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seudomonas_stutzeri_A150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<sst xmlns="http://schemas.openxmlformats.org/spreadsheetml/2006/main" count="129628" uniqueCount="53997">
  <si>
    <t xml:space="preserve">#Chromosome</t>
  </si>
  <si>
    <t xml:space="preserve">Left</t>
  </si>
  <si>
    <t xml:space="preserve">Right</t>
  </si>
  <si>
    <t xml:space="preserve">Locus Tag</t>
  </si>
  <si>
    <t xml:space="preserve">Gene Name</t>
  </si>
  <si>
    <t xml:space="preserve">Direction (Anti)</t>
  </si>
  <si>
    <t xml:space="preserve">PAM</t>
  </si>
  <si>
    <t xml:space="preserve">Offset</t>
  </si>
  <si>
    <t xml:space="preserve">Target</t>
  </si>
  <si>
    <t xml:space="preserve">Upper Oligo</t>
  </si>
  <si>
    <t xml:space="preserve">Bottom Oligos</t>
  </si>
  <si>
    <t xml:space="preserve">NCBI Track URL</t>
  </si>
  <si>
    <t xml:space="preserve">CP000304.1</t>
  </si>
  <si>
    <t xml:space="preserve">PST_0001</t>
  </si>
  <si>
    <t xml:space="preserve">dnaA</t>
  </si>
  <si>
    <t xml:space="preserve">-</t>
  </si>
  <si>
    <t xml:space="preserve">CGG</t>
  </si>
  <si>
    <t xml:space="preserve">CATTGTAGCCGTGCGCAGGC</t>
  </si>
  <si>
    <t xml:space="preserve">TAGTCATTGTAGCCGTGCGCAGGC</t>
  </si>
  <si>
    <t xml:space="preserve">AAACGCCTGCGCACGGCTACAATG</t>
  </si>
  <si>
    <t xml:space="preserve">ACTCTGTCGAGGTAAGAAGG</t>
  </si>
  <si>
    <t xml:space="preserve">TAGTACTCTGTCGAGGTAAGAAGG</t>
  </si>
  <si>
    <t xml:space="preserve">AAACCCTTCTTACCTCGACAGAGT</t>
  </si>
  <si>
    <t xml:space="preserve">CTGCCAAAGTTCCACCGACA</t>
  </si>
  <si>
    <t xml:space="preserve">TAGTCTGCCAAAGTTCCACCGACA</t>
  </si>
  <si>
    <t xml:space="preserve">AAACTGTCGGTGGAACTTTGGCAG</t>
  </si>
  <si>
    <t xml:space="preserve">AGG</t>
  </si>
  <si>
    <t xml:space="preserve">CATGTGTTGAATTGCTGAGC</t>
  </si>
  <si>
    <t xml:space="preserve">TAGTCATGTGTTGAATTGCTGAGC</t>
  </si>
  <si>
    <t xml:space="preserve">AAACGCTCAGCAATTCAACACATG</t>
  </si>
  <si>
    <t xml:space="preserve">PST_0002</t>
  </si>
  <si>
    <t xml:space="preserve">dnaN</t>
  </si>
  <si>
    <t xml:space="preserve">TGG</t>
  </si>
  <si>
    <t xml:space="preserve">GCGCTGAATGGAAAAATGCA</t>
  </si>
  <si>
    <t xml:space="preserve">TAGTGCGCTGAATGGAAAAATGCA</t>
  </si>
  <si>
    <t xml:space="preserve">AAACTGCATTTTTCCATTCAGCGC</t>
  </si>
  <si>
    <t xml:space="preserve">GGG</t>
  </si>
  <si>
    <t xml:space="preserve">CAGCTGCAGGGGTTTCAACA</t>
  </si>
  <si>
    <t xml:space="preserve">TAGTCAGCTGCAGGGGTTTCAACA</t>
  </si>
  <si>
    <t xml:space="preserve">AAACTGTTGAAACCCCTGCAGCTG</t>
  </si>
  <si>
    <t xml:space="preserve">ACAGCACCGGCAAGGTCTGA</t>
  </si>
  <si>
    <t xml:space="preserve">TAGTACAGCACCGGCAAGGTCTGA</t>
  </si>
  <si>
    <t xml:space="preserve">AAACTCAGACCTTGCCGGTGCTGT</t>
  </si>
  <si>
    <t xml:space="preserve">CTGTACGACGAGAAGAACGT</t>
  </si>
  <si>
    <t xml:space="preserve">TAGTCTGTACGACGAGAAGAACGT</t>
  </si>
  <si>
    <t xml:space="preserve">AAACACGTTCTTCTCGTCGTACAG</t>
  </si>
  <si>
    <t xml:space="preserve">PST_0003</t>
  </si>
  <si>
    <t xml:space="preserve">recF</t>
  </si>
  <si>
    <t xml:space="preserve">GGTGACGGAGAGACGGCTGA</t>
  </si>
  <si>
    <t xml:space="preserve">TAGTGGTGACGGAGAGACGGCTGA</t>
  </si>
  <si>
    <t xml:space="preserve">AAACTCAGCCGTCTCTCCGTCACC</t>
  </si>
  <si>
    <t xml:space="preserve">CGGGTGCAGATTGCGAACCC</t>
  </si>
  <si>
    <t xml:space="preserve">TAGTCGGGTGCAGATTGCGAACCC</t>
  </si>
  <si>
    <t xml:space="preserve">AAACGGGTTCGCAATCTGCACCCG</t>
  </si>
  <si>
    <t xml:space="preserve">GGGGAGGGGGACAGCGTCAC</t>
  </si>
  <si>
    <t xml:space="preserve">TAGTGGGGAGGGGGACAGCGTCAC</t>
  </si>
  <si>
    <t xml:space="preserve">AAACGTGACGCTGTCCCCCTCCCC</t>
  </si>
  <si>
    <t xml:space="preserve">CGAAGAGGATGTTGATGCGC</t>
  </si>
  <si>
    <t xml:space="preserve">TAGTCGAAGAGGATGTTGATGCGC</t>
  </si>
  <si>
    <t xml:space="preserve">AAACGCGCATCAACATCCTCTTCG</t>
  </si>
  <si>
    <t xml:space="preserve">PST_0004</t>
  </si>
  <si>
    <t xml:space="preserve">gyrB</t>
  </si>
  <si>
    <t xml:space="preserve">TGCTCGAAGAGTCGTACGTG</t>
  </si>
  <si>
    <t xml:space="preserve">TAGTTGCTCGAAGAGTCGTACGTG</t>
  </si>
  <si>
    <t xml:space="preserve">AAACCACGTACGACTCTTCGAGCA</t>
  </si>
  <si>
    <t xml:space="preserve">CATGCCAGGGCGCTTACGCA</t>
  </si>
  <si>
    <t xml:space="preserve">TAGTCATGCCAGGGCGCTTACGCA</t>
  </si>
  <si>
    <t xml:space="preserve">AAACTGCGTAAGCGCCCTGGCATG</t>
  </si>
  <si>
    <t xml:space="preserve">GTGCAGGCCGGTGCCGTCAT</t>
  </si>
  <si>
    <t xml:space="preserve">TAGTGTGCAGGCCGGTGCCGTCAT</t>
  </si>
  <si>
    <t xml:space="preserve">AAACATGACGGCACCGGCCTGCAC</t>
  </si>
  <si>
    <t xml:space="preserve">CGACGACTTCGAAGACCATG</t>
  </si>
  <si>
    <t xml:space="preserve">TAGTCGACGACTTCGAAGACCATG</t>
  </si>
  <si>
    <t xml:space="preserve">AAACCATGGTCTTCGAAGTCGTCG</t>
  </si>
  <si>
    <t xml:space="preserve">PST_0005</t>
  </si>
  <si>
    <t xml:space="preserve">ahpF-1</t>
  </si>
  <si>
    <t xml:space="preserve">TTGAGATTGGAATCCAACAT</t>
  </si>
  <si>
    <t xml:space="preserve">TAGTTTGAGATTGGAATCCAACAT</t>
  </si>
  <si>
    <t xml:space="preserve">AAACATGTTGGATTCCAATCTCAA</t>
  </si>
  <si>
    <t xml:space="preserve">CAGCAGGCTCAGCAGCTCCC</t>
  </si>
  <si>
    <t xml:space="preserve">TAGTCAGCAGGCTCAGCAGCTCCC</t>
  </si>
  <si>
    <t xml:space="preserve">AAACGGGAGCTGCTGAGCCTGCTG</t>
  </si>
  <si>
    <t xml:space="preserve">CTGCTCAATGACTTCCGGTG</t>
  </si>
  <si>
    <t xml:space="preserve">TAGTCTGCTCAATGACTTCCGGTG</t>
  </si>
  <si>
    <t xml:space="preserve">AAACCACCGGAAGTCATTGAGCAG</t>
  </si>
  <si>
    <t xml:space="preserve">GAAGCGGTAGTCGCCGTCGA</t>
  </si>
  <si>
    <t xml:space="preserve">TAGTGAAGCGGTAGTCGCCGTCGA</t>
  </si>
  <si>
    <t xml:space="preserve">AAACTCGACGGCGACTACCGCTTC</t>
  </si>
  <si>
    <t xml:space="preserve">PST_0006</t>
  </si>
  <si>
    <t xml:space="preserve">.</t>
  </si>
  <si>
    <t xml:space="preserve">+</t>
  </si>
  <si>
    <t xml:space="preserve">TGGTTGGGTATTTGCTGCAT</t>
  </si>
  <si>
    <t xml:space="preserve">TAGTTGGTTGGGTATTTGCTGCAT</t>
  </si>
  <si>
    <t xml:space="preserve">AAACATGCAGCAAATACCCAACCA</t>
  </si>
  <si>
    <t xml:space="preserve">GCCACTCGGCGACCAGCTGA</t>
  </si>
  <si>
    <t xml:space="preserve">TAGTGCCACTCGGCGACCAGCTGA</t>
  </si>
  <si>
    <t xml:space="preserve">AAACTCAGCTGGTCGCCGAGTGGC</t>
  </si>
  <si>
    <t xml:space="preserve">CGGCCGGATAGCCGTCCAGC</t>
  </si>
  <si>
    <t xml:space="preserve">TAGTCGGCCGGATAGCCGTCCAGC</t>
  </si>
  <si>
    <t xml:space="preserve">AAACGCTGGACGGCTATCCGGCCG</t>
  </si>
  <si>
    <t xml:space="preserve">CTGCAGAGCGGCGGCGGCTT</t>
  </si>
  <si>
    <t xml:space="preserve">TAGTCTGCAGAGCGGCGGCGGCTT</t>
  </si>
  <si>
    <t xml:space="preserve">AAACAAGCCGCCGCCGCTCTGCAG</t>
  </si>
  <si>
    <t xml:space="preserve">PST_0007</t>
  </si>
  <si>
    <t xml:space="preserve">CGATGCGGAGGGGAAACAGG</t>
  </si>
  <si>
    <t xml:space="preserve">TAGTCGATGCGGAGGGGAAACAGG</t>
  </si>
  <si>
    <t xml:space="preserve">AAACCCTGTTTCCCCTCCGCATCG</t>
  </si>
  <si>
    <t xml:space="preserve">GCACCAGACGAAGGCGGTGA</t>
  </si>
  <si>
    <t xml:space="preserve">TAGTGCACCAGACGAAGGCGGTGA</t>
  </si>
  <si>
    <t xml:space="preserve">AAACTCACCGCCTTCGTCTGGTGC</t>
  </si>
  <si>
    <t xml:space="preserve">GCGCGAACACCAGACTCACC</t>
  </si>
  <si>
    <t xml:space="preserve">TAGTGCGCGAACACCAGACTCACC</t>
  </si>
  <si>
    <t xml:space="preserve">AAACGGTGAGTCTGGTGTTCGCGC</t>
  </si>
  <si>
    <t xml:space="preserve">CGGGCACGAAACGCCATGAA</t>
  </si>
  <si>
    <t xml:space="preserve">TAGTCGGGCACGAAACGCCATGAA</t>
  </si>
  <si>
    <t xml:space="preserve">AAACTTCATGGCGTTTCGTGCCCG</t>
  </si>
  <si>
    <t xml:space="preserve">PST_0008</t>
  </si>
  <si>
    <t xml:space="preserve">TCCAGCACGATCAGCTTCAC</t>
  </si>
  <si>
    <t xml:space="preserve">TAGTTCCAGCACGATCAGCTTCAC</t>
  </si>
  <si>
    <t xml:space="preserve">AAACGTGAAGCTGATCGTGCTGGA</t>
  </si>
  <si>
    <t xml:space="preserve">CCTCGTTGATCACGCCGTCG</t>
  </si>
  <si>
    <t xml:space="preserve">TAGTCCTCGTTGATCACGCCGTCG</t>
  </si>
  <si>
    <t xml:space="preserve">AAACCGACGGCGTGATCAACGAGG</t>
  </si>
  <si>
    <t xml:space="preserve">GACCGACTTGACGTACTCGT</t>
  </si>
  <si>
    <t xml:space="preserve">TAGTGACCGACTTGACGTACTCGT</t>
  </si>
  <si>
    <t xml:space="preserve">AAACACGAGTACGTCAAGTCGGTC</t>
  </si>
  <si>
    <t xml:space="preserve">GCCTCCAGCGACCCGGGAAT</t>
  </si>
  <si>
    <t xml:space="preserve">TAGTGCCTCCAGCGACCCGGGAAT</t>
  </si>
  <si>
    <t xml:space="preserve">AAACATTCCCGGGTCGCTGGAGGC</t>
  </si>
  <si>
    <t xml:space="preserve">PST_0009</t>
  </si>
  <si>
    <t xml:space="preserve">glyS</t>
  </si>
  <si>
    <t xml:space="preserve">CTTCGGTACCCAGTTCGACG</t>
  </si>
  <si>
    <t xml:space="preserve">TAGTCTTCGGTACCCAGTTCGACG</t>
  </si>
  <si>
    <t xml:space="preserve">AAACCGTCGAACTGGGTACCGAAG</t>
  </si>
  <si>
    <t xml:space="preserve">AGCTTGGCGAGCGCCTTCGG</t>
  </si>
  <si>
    <t xml:space="preserve">TAGTAGCTTGGCGAGCGCCTTCGG</t>
  </si>
  <si>
    <t xml:space="preserve">AAACCCGAAGGCGCTCGCCAAGCT</t>
  </si>
  <si>
    <t xml:space="preserve">GATGCCAGCGCAGAAGGCGT</t>
  </si>
  <si>
    <t xml:space="preserve">TAGTGATGCCAGCGCAGAAGGCGT</t>
  </si>
  <si>
    <t xml:space="preserve">AAACACGCCTTCTGCGCTGGCATC</t>
  </si>
  <si>
    <t xml:space="preserve">GGCCTTGGCAAAGCCCAGGC</t>
  </si>
  <si>
    <t xml:space="preserve">TAGTGGCCTTGGCAAAGCCCAGGC</t>
  </si>
  <si>
    <t xml:space="preserve">AAACGCCTGGGCTTTGCCAAGGCC</t>
  </si>
  <si>
    <t xml:space="preserve">PST_0010</t>
  </si>
  <si>
    <t xml:space="preserve">glyQ</t>
  </si>
  <si>
    <t xml:space="preserve">TTTCCATGTCATAGGGCTGC</t>
  </si>
  <si>
    <t xml:space="preserve">TAGTTTTCCATGTCATAGGGCTGC</t>
  </si>
  <si>
    <t xml:space="preserve">AAACGCAGCCCTATGACATGGAAA</t>
  </si>
  <si>
    <t xml:space="preserve">GGTGGCGGTGTGGAATGTAC</t>
  </si>
  <si>
    <t xml:space="preserve">TAGTGGTGGCGGTGTGGAATGTAC</t>
  </si>
  <si>
    <t xml:space="preserve">AAACGTACATTCCACACCGCCACC</t>
  </si>
  <si>
    <t xml:space="preserve">GGGACCGATGGCGCGCAGGA</t>
  </si>
  <si>
    <t xml:space="preserve">TAGTGGGACCGATGGCGCGCAGGA</t>
  </si>
  <si>
    <t xml:space="preserve">AAACTCCTGCGCGCCATCGGTCCC</t>
  </si>
  <si>
    <t xml:space="preserve">TAGGCGGCGTTCCAGGTCTC</t>
  </si>
  <si>
    <t xml:space="preserve">TAGTTAGGCGGCGTTCCAGGTCTC</t>
  </si>
  <si>
    <t xml:space="preserve">AAACGAGACCTGGAACGCCGCCTA</t>
  </si>
  <si>
    <t xml:space="preserve">PST_0011</t>
  </si>
  <si>
    <t xml:space="preserve">tag</t>
  </si>
  <si>
    <t xml:space="preserve">CAGCGGATCCGTGCCGCACC</t>
  </si>
  <si>
    <t xml:space="preserve">TAGTCAGCGGATCCGTGCCGCACC</t>
  </si>
  <si>
    <t xml:space="preserve">AAACGGTGCGGCACGGATCCGCTG</t>
  </si>
  <si>
    <t xml:space="preserve">GTACGCCCCATTCGCGATCG</t>
  </si>
  <si>
    <t xml:space="preserve">TAGTGTACGCCCCATTCGCGATCG</t>
  </si>
  <si>
    <t xml:space="preserve">AAACCGATCGCGAATGGGGCGTAC</t>
  </si>
  <si>
    <t xml:space="preserve">GAACAGCACCTGCGGATCGC</t>
  </si>
  <si>
    <t xml:space="preserve">TAGTGAACAGCACCTGCGGATCGC</t>
  </si>
  <si>
    <t xml:space="preserve">AAACGCGATCCGCAGGTGCTGTTC</t>
  </si>
  <si>
    <t xml:space="preserve">CCTGAAAGGCCTCGAGCAAG</t>
  </si>
  <si>
    <t xml:space="preserve">TAGTCCTGAAAGGCCTCGAGCAAG</t>
  </si>
  <si>
    <t xml:space="preserve">AAACCTTGCTCGAGGCCTTTCAGG</t>
  </si>
  <si>
    <t xml:space="preserve">PST_0012</t>
  </si>
  <si>
    <t xml:space="preserve">GCCACCTCGCGCGAGCGGTT</t>
  </si>
  <si>
    <t xml:space="preserve">TAGTGCCACCTCGCGCGAGCGGTT</t>
  </si>
  <si>
    <t xml:space="preserve">AAACAACCGCTCGCGCGAGGTGGC</t>
  </si>
  <si>
    <t xml:space="preserve">GCTCGGGAAAGCACTTGTGC</t>
  </si>
  <si>
    <t xml:space="preserve">TAGTGCTCGGGAAAGCACTTGTGC</t>
  </si>
  <si>
    <t xml:space="preserve">AAACGCACAAGTGCTTTCCCGAGC</t>
  </si>
  <si>
    <t xml:space="preserve">GAGCAGCACATCCAGTTCGG</t>
  </si>
  <si>
    <t xml:space="preserve">TAGTGAGCAGCACATCCAGTTCGG</t>
  </si>
  <si>
    <t xml:space="preserve">AAACCCGAACTGGATGTGCTGCTC</t>
  </si>
  <si>
    <t xml:space="preserve">GCTTTCGGTGAAGGTCATGC</t>
  </si>
  <si>
    <t xml:space="preserve">TAGTGCTTTCGGTGAAGGTCATGC</t>
  </si>
  <si>
    <t xml:space="preserve">AAACGCATGACCTTCACCGAAAGC</t>
  </si>
  <si>
    <t xml:space="preserve">PST_0013</t>
  </si>
  <si>
    <t xml:space="preserve">AAAGCGACTGCCCGGCAAGA</t>
  </si>
  <si>
    <t xml:space="preserve">TAGTAAAGCGACTGCCCGGCAAGA</t>
  </si>
  <si>
    <t xml:space="preserve">AAACTCTTGCCGGGCAGTCGCTTT</t>
  </si>
  <si>
    <t xml:space="preserve">GATTGGAGCACGGGCGCCCA</t>
  </si>
  <si>
    <t xml:space="preserve">TAGTGATTGGAGCACGGGCGCCCA</t>
  </si>
  <si>
    <t xml:space="preserve">AAACTGGGCGCCCGTGCTCCAATC</t>
  </si>
  <si>
    <t xml:space="preserve">TCCAGAGATTCGAGCATGAT</t>
  </si>
  <si>
    <t xml:space="preserve">TAGTTCCAGAGATTCGAGCATGAT</t>
  </si>
  <si>
    <t xml:space="preserve">AAACATCATGCTCGAATCTCTGGA</t>
  </si>
  <si>
    <t xml:space="preserve">CCGAGTCCGAAGCGCAGCAT</t>
  </si>
  <si>
    <t xml:space="preserve">TAGTCCGAGTCCGAAGCGCAGCAT</t>
  </si>
  <si>
    <t xml:space="preserve">AAACATGCTGCGCTTCGGACTCGG</t>
  </si>
  <si>
    <t xml:space="preserve">PST_0014</t>
  </si>
  <si>
    <t xml:space="preserve">GATTCTTCTGTGGTGGGCAT</t>
  </si>
  <si>
    <t xml:space="preserve">TAGTGATTCTTCTGTGGTGGGCAT</t>
  </si>
  <si>
    <t xml:space="preserve">AAACATGCCCACCACAGAAGAATC</t>
  </si>
  <si>
    <t xml:space="preserve">CGCCGGCGCTGCGGCCGCCA</t>
  </si>
  <si>
    <t xml:space="preserve">TAGTCGCCGGCGCTGCGGCCGCCA</t>
  </si>
  <si>
    <t xml:space="preserve">AAACTGGCGGCCGCAGCGCCGGCG</t>
  </si>
  <si>
    <t xml:space="preserve">ACGCTGGCGAAACGCACCAT</t>
  </si>
  <si>
    <t xml:space="preserve">TAGTACGCTGGCGAAACGCACCAT</t>
  </si>
  <si>
    <t xml:space="preserve">AAACATGGTGCGTTTCGCCAGCGT</t>
  </si>
  <si>
    <t xml:space="preserve">GGTCAGCTCGCCATAGCGCT</t>
  </si>
  <si>
    <t xml:space="preserve">TAGTGGTCAGCTCGCCATAGCGCT</t>
  </si>
  <si>
    <t xml:space="preserve">AAACAGCGCTATGGCGAGCTGACC</t>
  </si>
  <si>
    <t xml:space="preserve">PST_0015</t>
  </si>
  <si>
    <t xml:space="preserve">CAGCCGTGGCAGGATCTCGC</t>
  </si>
  <si>
    <t xml:space="preserve">TAGTCAGCCGTGGCAGGATCTCGC</t>
  </si>
  <si>
    <t xml:space="preserve">AAACGCGAGATCCTGCCACGGCTG</t>
  </si>
  <si>
    <t xml:space="preserve">CAGGCCGAGCACCACGGCGA</t>
  </si>
  <si>
    <t xml:space="preserve">TAGTCAGGCCGAGCACCACGGCGA</t>
  </si>
  <si>
    <t xml:space="preserve">AAACTCGCCGTGGTGCTCGGCCTG</t>
  </si>
  <si>
    <t xml:space="preserve">GTGGCGGCTGCGCCGACCGA</t>
  </si>
  <si>
    <t xml:space="preserve">TAGTGTGGCGGCTGCGCCGACCGA</t>
  </si>
  <si>
    <t xml:space="preserve">AAACTCGGTCGGCGCAGCCGCCAC</t>
  </si>
  <si>
    <t xml:space="preserve">TGACCGGCCAGGACAGCCAG</t>
  </si>
  <si>
    <t xml:space="preserve">TAGTTGACCGGCCAGGACAGCCAG</t>
  </si>
  <si>
    <t xml:space="preserve">AAACCTGGCTGTCCTGGCCGGTCA</t>
  </si>
  <si>
    <t xml:space="preserve">PST_0016</t>
  </si>
  <si>
    <t xml:space="preserve">GTTGTCCGGAGCGCTGAGCG</t>
  </si>
  <si>
    <t xml:space="preserve">TAGTGTTGTCCGGAGCGCTGAGCG</t>
  </si>
  <si>
    <t xml:space="preserve">AAACCGCTCAGCGCTCCGGACAAC</t>
  </si>
  <si>
    <t xml:space="preserve">TCGATCATTGTGGCGCTATC</t>
  </si>
  <si>
    <t xml:space="preserve">TAGTTCGATCATTGTGGCGCTATC</t>
  </si>
  <si>
    <t xml:space="preserve">AAACGATAGCGCCACAATGATCGA</t>
  </si>
  <si>
    <t xml:space="preserve">AGGTGCCCTGCAGCAACAGG</t>
  </si>
  <si>
    <t xml:space="preserve">TAGTAGGTGCCCTGCAGCAACAGG</t>
  </si>
  <si>
    <t xml:space="preserve">AAACCCTGTTGCTGCAGGGCACCT</t>
  </si>
  <si>
    <t xml:space="preserve">AGTCACCTTGACGGTGACCC</t>
  </si>
  <si>
    <t xml:space="preserve">TAGTAGTCACCTTGACGGTGACCC</t>
  </si>
  <si>
    <t xml:space="preserve">AAACGGGTCACCGTCAAGGTGACT</t>
  </si>
  <si>
    <t xml:space="preserve">PST_0017</t>
  </si>
  <si>
    <t xml:space="preserve">GTGATGGGGCTGTTCCTCAT</t>
  </si>
  <si>
    <t xml:space="preserve">TAGTGTGATGGGGCTGTTCCTCAT</t>
  </si>
  <si>
    <t xml:space="preserve">AAACATGAGGAACAGCCCCATCAC</t>
  </si>
  <si>
    <t xml:space="preserve">AGGCGATCAGCAGCCGGCGG</t>
  </si>
  <si>
    <t xml:space="preserve">TAGTAGGCGATCAGCAGCCGGCGG</t>
  </si>
  <si>
    <t xml:space="preserve">AAACCCGCCGGCTGCTGATCGCCT</t>
  </si>
  <si>
    <t xml:space="preserve">GATGCTGGCCAGGGCGGCAC</t>
  </si>
  <si>
    <t xml:space="preserve">TAGTGATGCTGGCCAGGGCGGCAC</t>
  </si>
  <si>
    <t xml:space="preserve">AAACGTGCCGCCCTGGCCAGCATC</t>
  </si>
  <si>
    <t xml:space="preserve">GGTATCGGCCTGGGTGACGC</t>
  </si>
  <si>
    <t xml:space="preserve">TAGTGGTATCGGCCTGGGTGACGC</t>
  </si>
  <si>
    <t xml:space="preserve">AAACGCGTCACCCAGGCCGATACC</t>
  </si>
  <si>
    <t xml:space="preserve">PST_0018</t>
  </si>
  <si>
    <t xml:space="preserve">trkA</t>
  </si>
  <si>
    <t xml:space="preserve">GAGGGTGCCGCCGACCTGAC</t>
  </si>
  <si>
    <t xml:space="preserve">TAGTGAGGGTGCCGCCGACCTGAC</t>
  </si>
  <si>
    <t xml:space="preserve">AAACGTCAGGTCGGCGGCACCCTC</t>
  </si>
  <si>
    <t xml:space="preserve">GGCTTCGCTGGCGAGGTGTT</t>
  </si>
  <si>
    <t xml:space="preserve">TAGTGGCTTCGCTGGCGAGGTGTT</t>
  </si>
  <si>
    <t xml:space="preserve">AAACAACACCTCGCCAGCGAAGCC</t>
  </si>
  <si>
    <t xml:space="preserve">GTCCACCACGGTGATGTCGT</t>
  </si>
  <si>
    <t xml:space="preserve">TAGTGTCCACCACGGTGATGTCGT</t>
  </si>
  <si>
    <t xml:space="preserve">AAACACGACATCACCGTGGTGGAC</t>
  </si>
  <si>
    <t xml:space="preserve">ATCGCGCAGGCGATCGCCGT</t>
  </si>
  <si>
    <t xml:space="preserve">TAGTATCGCGCAGGCGATCGCCGT</t>
  </si>
  <si>
    <t xml:space="preserve">AAACACGGCGATCGCCTGCGCGAT</t>
  </si>
  <si>
    <t xml:space="preserve">PST_0019</t>
  </si>
  <si>
    <t xml:space="preserve">sun</t>
  </si>
  <si>
    <t xml:space="preserve">GCACGGGCCGCCGCCAGGCG</t>
  </si>
  <si>
    <t xml:space="preserve">TAGTGCACGGGCCGCCGCCAGGCG</t>
  </si>
  <si>
    <t xml:space="preserve">AAACCGCCTGGCGGCGGCCCGTGC</t>
  </si>
  <si>
    <t xml:space="preserve">TCCACCTTGCCGAGCACCTC</t>
  </si>
  <si>
    <t xml:space="preserve">TAGTTCCACCTTGCCGAGCACCTC</t>
  </si>
  <si>
    <t xml:space="preserve">AAACGAGGTGCTCGGCAAGGTGGA</t>
  </si>
  <si>
    <t xml:space="preserve">CTGGGTCAGCCCGCGATCAC</t>
  </si>
  <si>
    <t xml:space="preserve">TAGTCTGGGTCAGCCCGCGATCAC</t>
  </si>
  <si>
    <t xml:space="preserve">AAACGTGATCGCGGGCTGACCCAG</t>
  </si>
  <si>
    <t xml:space="preserve">CTGCCAGCGCGCGGTACCAA</t>
  </si>
  <si>
    <t xml:space="preserve">TAGTCTGCCAGCGCGCGGTACCAA</t>
  </si>
  <si>
    <t xml:space="preserve">AAACTTGGTACCGCGCGCTGGCAG</t>
  </si>
  <si>
    <t xml:space="preserve">PST_0020</t>
  </si>
  <si>
    <t xml:space="preserve">fmt</t>
  </si>
  <si>
    <t xml:space="preserve">ATGCGCAAGGGCTGGGTCAT</t>
  </si>
  <si>
    <t xml:space="preserve">TAGTATGCGCAAGGGCTGGGTCAT</t>
  </si>
  <si>
    <t xml:space="preserve">AAACATGACCCAGCCCTTGCGCAT</t>
  </si>
  <si>
    <t xml:space="preserve">GGCGGCGAATTCCGGAGTGC</t>
  </si>
  <si>
    <t xml:space="preserve">TAGTGGCGGCGAATTCCGGAGTGC</t>
  </si>
  <si>
    <t xml:space="preserve">AAACGCACTCCGGAATTCGCCGCC</t>
  </si>
  <si>
    <t xml:space="preserve">GAGCAGGGCCTGCAGGTGTT</t>
  </si>
  <si>
    <t xml:space="preserve">TAGTGAGCAGGGCCTGCAGGTGTT</t>
  </si>
  <si>
    <t xml:space="preserve">AAACAACACCTGCAGGCCCTGCTC</t>
  </si>
  <si>
    <t xml:space="preserve">CCCGGCCGGGCGGTCCGGCT</t>
  </si>
  <si>
    <t xml:space="preserve">TAGTCCCGGCCGGGCGGTCCGGCT</t>
  </si>
  <si>
    <t xml:space="preserve">AAACAGCCGGACCGCCCGGCCGGG</t>
  </si>
  <si>
    <t xml:space="preserve">PST_0021</t>
  </si>
  <si>
    <t xml:space="preserve">def</t>
  </si>
  <si>
    <t xml:space="preserve">AAATTCAAGGATGTTCAGAA</t>
  </si>
  <si>
    <t xml:space="preserve">TAGTAAATTCAAGGATGTTCAGAA</t>
  </si>
  <si>
    <t xml:space="preserve">AAACTTCTGAACATCCTTGAATTT</t>
  </si>
  <si>
    <t xml:space="preserve">ATGGTACGCAGCCGCGGATC</t>
  </si>
  <si>
    <t xml:space="preserve">TAGTATGGTACGCAGCCGCGGATC</t>
  </si>
  <si>
    <t xml:space="preserve">AAACGATCCGCGGCTGCGTACCAT</t>
  </si>
  <si>
    <t xml:space="preserve">ATCGACCACGTCCACCGGTT</t>
  </si>
  <si>
    <t xml:space="preserve">TAGTATCGACCACGTCCACCGGTT</t>
  </si>
  <si>
    <t xml:space="preserve">AAACAACCGGTGGACGTGGTCGAT</t>
  </si>
  <si>
    <t xml:space="preserve">GATGCCCGGCGCTTCGTACA</t>
  </si>
  <si>
    <t xml:space="preserve">TAGTGATGCCCGGCGCTTCGTACA</t>
  </si>
  <si>
    <t xml:space="preserve">AAACTGTACGAAGCGCCGGGCATC</t>
  </si>
  <si>
    <t xml:space="preserve">PST_0022</t>
  </si>
  <si>
    <t xml:space="preserve">AAGCCGTTTTCCATGCTGCT</t>
  </si>
  <si>
    <t xml:space="preserve">TAGTAAGCCGTTTTCCATGCTGCT</t>
  </si>
  <si>
    <t xml:space="preserve">AAACAGCAGCATGGAAAACGGCTT</t>
  </si>
  <si>
    <t xml:space="preserve">CCGCGGACCCATTTGGAACG</t>
  </si>
  <si>
    <t xml:space="preserve">TAGTCCGCGGACCCATTTGGAACG</t>
  </si>
  <si>
    <t xml:space="preserve">AAACCGTTCCAAATGGGTCCGCGG</t>
  </si>
  <si>
    <t xml:space="preserve">CGAGTAGTGATTTCCTCATG</t>
  </si>
  <si>
    <t xml:space="preserve">TAGTCGAGTAGTGATTTCCTCATG</t>
  </si>
  <si>
    <t xml:space="preserve">AAACCATGAGGAAATCACTACTCG</t>
  </si>
  <si>
    <t xml:space="preserve">ATTGTCCTTGAGCTGCACCG</t>
  </si>
  <si>
    <t xml:space="preserve">TAGTATTGTCCTTGAGCTGCACCG</t>
  </si>
  <si>
    <t xml:space="preserve">AAACCGGTGCAGCTCAAGGACAAT</t>
  </si>
  <si>
    <t xml:space="preserve">PST_0023</t>
  </si>
  <si>
    <t xml:space="preserve">GGCGGGGGAAATGGCAGGCA</t>
  </si>
  <si>
    <t xml:space="preserve">TAGTGGCGGGGGAAATGGCAGGCA</t>
  </si>
  <si>
    <t xml:space="preserve">AAACTGCCTGCCATTTCCCCCGCC</t>
  </si>
  <si>
    <t xml:space="preserve">ACGCAGCCGGGCTTCAAGCT</t>
  </si>
  <si>
    <t xml:space="preserve">TAGTACGCAGCCGGGCTTCAAGCT</t>
  </si>
  <si>
    <t xml:space="preserve">AAACAGCTTGAAGCCCGGCTGCGT</t>
  </si>
  <si>
    <t xml:space="preserve">AGGCGCCGCGGACCGAGTTC</t>
  </si>
  <si>
    <t xml:space="preserve">TAGTAGGCGCCGCGGACCGAGTTC</t>
  </si>
  <si>
    <t xml:space="preserve">AAACGAACTCGGTCCGCGGCGCCT</t>
  </si>
  <si>
    <t xml:space="preserve">ACGCCCTGAGCAACCGCTGC</t>
  </si>
  <si>
    <t xml:space="preserve">TAGTACGCCCTGAGCAACCGCTGC</t>
  </si>
  <si>
    <t xml:space="preserve">AAACGCAGCGGTTGCTCAGGGCGT</t>
  </si>
  <si>
    <t xml:space="preserve">PST_0024</t>
  </si>
  <si>
    <t xml:space="preserve">AGGCGATCACCCCGCCAGCC</t>
  </si>
  <si>
    <t xml:space="preserve">TAGTAGGCGATCACCCCGCCAGCC</t>
  </si>
  <si>
    <t xml:space="preserve">AAACGGCTGGCGGGGTGATCGCCT</t>
  </si>
  <si>
    <t xml:space="preserve">CCAGACCGCTTCGGTCGGAT</t>
  </si>
  <si>
    <t xml:space="preserve">TAGTCCAGACCGCTTCGGTCGGAT</t>
  </si>
  <si>
    <t xml:space="preserve">AAACATCCGACCGAAGCGGTCTGG</t>
  </si>
  <si>
    <t xml:space="preserve">ACACCGCGTCTTCGTCCCAC</t>
  </si>
  <si>
    <t xml:space="preserve">TAGTACACCGCGTCTTCGTCCCAC</t>
  </si>
  <si>
    <t xml:space="preserve">AAACGTGGGACGAAGACGCGGTGT</t>
  </si>
  <si>
    <t xml:space="preserve">GTCGCTCCTTGAGCGCCAGC</t>
  </si>
  <si>
    <t xml:space="preserve">TAGTGTCGCTCCTTGAGCGCCAGC</t>
  </si>
  <si>
    <t xml:space="preserve">AAACGCTGGCGCTCAAGGAGCGAC</t>
  </si>
  <si>
    <t xml:space="preserve">PST_0025</t>
  </si>
  <si>
    <t xml:space="preserve">qor-1</t>
  </si>
  <si>
    <t xml:space="preserve">GCATAGGCGACACGATCACC</t>
  </si>
  <si>
    <t xml:space="preserve">TAGTGCATAGGCGACACGATCACC</t>
  </si>
  <si>
    <t xml:space="preserve">AAACGGTGATCGTGTCGCCTATGC</t>
  </si>
  <si>
    <t xml:space="preserve">GTAGGCACCCAGCGGACCGG</t>
  </si>
  <si>
    <t xml:space="preserve">TAGTGTAGGCACCCAGCGGACCGG</t>
  </si>
  <si>
    <t xml:space="preserve">AAACCCGGTCCGCTGGGTGCCTAC</t>
  </si>
  <si>
    <t xml:space="preserve">AGCTTAACCAGGTGGCGAGC</t>
  </si>
  <si>
    <t xml:space="preserve">TAGTAGCTTAACCAGGTGGCGAGC</t>
  </si>
  <si>
    <t xml:space="preserve">AAACGCTCGCCACCTGGTTAAGCT</t>
  </si>
  <si>
    <t xml:space="preserve">TGTTCGTAGCTGATGGAGTC</t>
  </si>
  <si>
    <t xml:space="preserve">TAGTTGTTCGTAGCTGATGGAGTC</t>
  </si>
  <si>
    <t xml:space="preserve">AAACGACTCCATCAGCTACGAACA</t>
  </si>
  <si>
    <t xml:space="preserve">PST_0026</t>
  </si>
  <si>
    <t xml:space="preserve">hemF</t>
  </si>
  <si>
    <t xml:space="preserve">CAGATAGGCTTTGACGGCTT</t>
  </si>
  <si>
    <t xml:space="preserve">TAGTCAGATAGGCTTTGACGGCTT</t>
  </si>
  <si>
    <t xml:space="preserve">AAACAAGCCGTCAAAGCCTATCTG</t>
  </si>
  <si>
    <t xml:space="preserve">GCCGTCTTCGACCTCCAGGG</t>
  </si>
  <si>
    <t xml:space="preserve">TAGTGCCGTCTTCGACCTCCAGGG</t>
  </si>
  <si>
    <t xml:space="preserve">AAACCCCTGGAGGTCGAAGACGGC</t>
  </si>
  <si>
    <t xml:space="preserve">CCAGGCATCCTCGACGAAGC</t>
  </si>
  <si>
    <t xml:space="preserve">TAGTCCAGGCATCCTCGACGAAGC</t>
  </si>
  <si>
    <t xml:space="preserve">AAACGCTTCGTCGAGGATGCCTGG</t>
  </si>
  <si>
    <t xml:space="preserve">GTCCGGCCGCCACCGCCACC</t>
  </si>
  <si>
    <t xml:space="preserve">TAGTGTCCGGCCGCCACCGCCACC</t>
  </si>
  <si>
    <t xml:space="preserve">AAACGGTGGCGGTGGCGGCCGGAC</t>
  </si>
  <si>
    <t xml:space="preserve">PST_0027</t>
  </si>
  <si>
    <t xml:space="preserve">aroE-1</t>
  </si>
  <si>
    <t xml:space="preserve">GGTTGCCGAAGACGCCGTAG</t>
  </si>
  <si>
    <t xml:space="preserve">TAGTGGTTGCCGAAGACGCCGTAG</t>
  </si>
  <si>
    <t xml:space="preserve">AAACCTACGGCGTCTTCGGCAACC</t>
  </si>
  <si>
    <t xml:space="preserve">GTGACTTGCTGTGGCCGATG</t>
  </si>
  <si>
    <t xml:space="preserve">TAGTGTGACTTGCTGTGGCCGATG</t>
  </si>
  <si>
    <t xml:space="preserve">AAACCATCGGCCACAGCAAGTCAC</t>
  </si>
  <si>
    <t xml:space="preserve">GCGAACAGCGCATGAATCTG</t>
  </si>
  <si>
    <t xml:space="preserve">TAGTGCGAACAGCGCATGAATCTG</t>
  </si>
  <si>
    <t xml:space="preserve">AAACCAGATTCATGCGCTGTTCGC</t>
  </si>
  <si>
    <t xml:space="preserve">CAGCGCCTGGCCGGTCTGTG</t>
  </si>
  <si>
    <t xml:space="preserve">TAGTCAGCGCCTGGCCGGTCTGTG</t>
  </si>
  <si>
    <t xml:space="preserve">AAACCACAGACCGGCCAGGCGCTG</t>
  </si>
  <si>
    <t xml:space="preserve">PST_0028</t>
  </si>
  <si>
    <t xml:space="preserve">GAGATCGTCCAATAGCGCCA</t>
  </si>
  <si>
    <t xml:space="preserve">TAGTGAGATCGTCCAATAGCGCCA</t>
  </si>
  <si>
    <t xml:space="preserve">AAACTGGCGCTATTGGACGATCTC</t>
  </si>
  <si>
    <t xml:space="preserve">CTTGGTCCGCAGGCCCGGCC</t>
  </si>
  <si>
    <t xml:space="preserve">TAGTCTTGGTCCGCAGGCCCGGCC</t>
  </si>
  <si>
    <t xml:space="preserve">AAACGGCCGGGCCTGCGGACCAAG</t>
  </si>
  <si>
    <t xml:space="preserve">TGACGCTCAGCGGATCGAAC</t>
  </si>
  <si>
    <t xml:space="preserve">TAGTTGACGCTCAGCGGATCGAAC</t>
  </si>
  <si>
    <t xml:space="preserve">AAACGTTCGATCCGCTGAGCGTCA</t>
  </si>
  <si>
    <t xml:space="preserve">TGCTGGGCAGGCGCGGCGTG</t>
  </si>
  <si>
    <t xml:space="preserve">TAGTTGCTGGGCAGGCGCGGCGTG</t>
  </si>
  <si>
    <t xml:space="preserve">AAACCACGCCGCGCCTGCCCAGCA</t>
  </si>
  <si>
    <t xml:space="preserve">PST_0029</t>
  </si>
  <si>
    <t xml:space="preserve">GGTGGGCTTGTGGCTGAACA</t>
  </si>
  <si>
    <t xml:space="preserve">TAGTGGTGGGCTTGTGGCTGAACA</t>
  </si>
  <si>
    <t xml:space="preserve">AAACTGTTCAGCCACAAGCCCACC</t>
  </si>
  <si>
    <t xml:space="preserve">GCGTTGGACTTCTTCGCGGG</t>
  </si>
  <si>
    <t xml:space="preserve">TAGTGCGTTGGACTTCTTCGCGGG</t>
  </si>
  <si>
    <t xml:space="preserve">AAACCCCGCGAAGAAGTCCAACGC</t>
  </si>
  <si>
    <t xml:space="preserve">GCTCGTCGAGCGCGCGCATC</t>
  </si>
  <si>
    <t xml:space="preserve">TAGTGCTCGTCGAGCGCGCGCATC</t>
  </si>
  <si>
    <t xml:space="preserve">AAACGATGCGCGCGCTCGACGAGC</t>
  </si>
  <si>
    <t xml:space="preserve">GCGATGGCGCGAGTCACGTG</t>
  </si>
  <si>
    <t xml:space="preserve">TAGTGCGATGGCGCGAGTCACGTG</t>
  </si>
  <si>
    <t xml:space="preserve">AAACCACGTGACTCGCGCCATCGC</t>
  </si>
  <si>
    <t xml:space="preserve">PST_0030</t>
  </si>
  <si>
    <t xml:space="preserve">pbpG</t>
  </si>
  <si>
    <t xml:space="preserve">CGCACCTCTGCAACGTTTCG</t>
  </si>
  <si>
    <t xml:space="preserve">TAGTCGCACCTCTGCAACGTTTCG</t>
  </si>
  <si>
    <t xml:space="preserve">AAACCGAAACGTTGCAGAGGTGCG</t>
  </si>
  <si>
    <t xml:space="preserve">CGGCCAGCAAAGCCGGCTTC</t>
  </si>
  <si>
    <t xml:space="preserve">TAGTCGGCCAGCAAAGCCGGCTTC</t>
  </si>
  <si>
    <t xml:space="preserve">AAACGAAGCCGGCTTTGCTGGCCG</t>
  </si>
  <si>
    <t xml:space="preserve">ACATCTTGATGTGGTCTGCT</t>
  </si>
  <si>
    <t xml:space="preserve">TAGTACATCTTGATGTGGTCTGCT</t>
  </si>
  <si>
    <t xml:space="preserve">AAACAGCAGACCACATCAAGATGT</t>
  </si>
  <si>
    <t xml:space="preserve">GACCAGCGCGGCGGCCGGCC</t>
  </si>
  <si>
    <t xml:space="preserve">TAGTGACCAGCGCGGCGGCCGGCC</t>
  </si>
  <si>
    <t xml:space="preserve">AAACGGCCGGCCGCCGCGCTGGTC</t>
  </si>
  <si>
    <t xml:space="preserve">PST_0031</t>
  </si>
  <si>
    <t xml:space="preserve">AGGTGCAGGCAGTTCAGGCG</t>
  </si>
  <si>
    <t xml:space="preserve">TAGTAGGTGCAGGCAGTTCAGGCG</t>
  </si>
  <si>
    <t xml:space="preserve">AAACCGCCTGAACTGCCTGCACCT</t>
  </si>
  <si>
    <t xml:space="preserve">GCCAACACGCAACCATCGGC</t>
  </si>
  <si>
    <t xml:space="preserve">TAGTGCCAACACGCAACCATCGGC</t>
  </si>
  <si>
    <t xml:space="preserve">AAACGCCGATGGTTGCGTGTTGGC</t>
  </si>
  <si>
    <t xml:space="preserve">GCCGTACGGCGAATGGCCGC</t>
  </si>
  <si>
    <t xml:space="preserve">TAGTGCCGTACGGCGAATGGCCGC</t>
  </si>
  <si>
    <t xml:space="preserve">AAACGCGGCCATTCGCCGTACGGC</t>
  </si>
  <si>
    <t xml:space="preserve">GCCGCGAAGGGTGCGCAGGA</t>
  </si>
  <si>
    <t xml:space="preserve">TAGTGCCGCGAAGGGTGCGCAGGA</t>
  </si>
  <si>
    <t xml:space="preserve">AAACTCCTGCGCACCCTTCGCGGC</t>
  </si>
  <si>
    <t xml:space="preserve">PST_0032</t>
  </si>
  <si>
    <t xml:space="preserve">GTACAGATAACGCTTCATGC</t>
  </si>
  <si>
    <t xml:space="preserve">TAGTGTACAGATAACGCTTCATGC</t>
  </si>
  <si>
    <t xml:space="preserve">AAACGCATGAAGCGTTATCTGTAC</t>
  </si>
  <si>
    <t xml:space="preserve">TGCCGAGCCAGCGATGCATC</t>
  </si>
  <si>
    <t xml:space="preserve">TAGTTGCCGAGCCAGCGATGCATC</t>
  </si>
  <si>
    <t xml:space="preserve">AAACGATGCATCGCTGGCTCGGCA</t>
  </si>
  <si>
    <t xml:space="preserve">GGCCAGGACGAACAACCCCA</t>
  </si>
  <si>
    <t xml:space="preserve">TAGTGGCCAGGACGAACAACCCCA</t>
  </si>
  <si>
    <t xml:space="preserve">AAACTGGGGTTGTTCGTCCTGGCC</t>
  </si>
  <si>
    <t xml:space="preserve">CACCACGCCGCTGACGACCC</t>
  </si>
  <si>
    <t xml:space="preserve">TAGTCACCACGCCGCTGACGACCC</t>
  </si>
  <si>
    <t xml:space="preserve">AAACGGGTCGTCAGCGGCGTGGTG</t>
  </si>
  <si>
    <t xml:space="preserve">PST_0033</t>
  </si>
  <si>
    <t xml:space="preserve">GCCAGATATAGAGGACGGGC</t>
  </si>
  <si>
    <t xml:space="preserve">TAGTGCCAGATATAGAGGACGGGC</t>
  </si>
  <si>
    <t xml:space="preserve">AAACGCCCGTCCTCTATATCTGGC</t>
  </si>
  <si>
    <t xml:space="preserve">GTCGAGCGCGGCAGCAGCGA</t>
  </si>
  <si>
    <t xml:space="preserve">TAGTGTCGAGCGCGGCAGCAGCGA</t>
  </si>
  <si>
    <t xml:space="preserve">AAACTCGCTGCTGCCGCGCTCGAC</t>
  </si>
  <si>
    <t xml:space="preserve">GCCTACCGCCAGCGCCGCGC</t>
  </si>
  <si>
    <t xml:space="preserve">TAGTGCCTACCGCCAGCGCCGCGC</t>
  </si>
  <si>
    <t xml:space="preserve">AAACGCGCGGCGCTGGCGGTAGGC</t>
  </si>
  <si>
    <t xml:space="preserve">GCCAGCGCCAGAACACGCCG</t>
  </si>
  <si>
    <t xml:space="preserve">TAGTGCCAGCGCCAGAACACGCCG</t>
  </si>
  <si>
    <t xml:space="preserve">AAACCGGCGTGTTCTGGCGCTGGC</t>
  </si>
  <si>
    <t xml:space="preserve">PST_0034</t>
  </si>
  <si>
    <t xml:space="preserve">GTGTTGTCTGGGATGCTCAT</t>
  </si>
  <si>
    <t xml:space="preserve">TAGTGTGTTGTCTGGGATGCTCAT</t>
  </si>
  <si>
    <t xml:space="preserve">AAACATGAGCATCCCAGACAACAC</t>
  </si>
  <si>
    <t xml:space="preserve">GGGCCGCATGCAGCATGGAC</t>
  </si>
  <si>
    <t xml:space="preserve">TAGTGGGCCGCATGCAGCATGGAC</t>
  </si>
  <si>
    <t xml:space="preserve">AAACGTCCATGCTGCATGCGGCCC</t>
  </si>
  <si>
    <t xml:space="preserve">GTAATGACGCGACCGCTCGC</t>
  </si>
  <si>
    <t xml:space="preserve">TAGTGTAATGACGCGACCGCTCGC</t>
  </si>
  <si>
    <t xml:space="preserve">AAACGCGAGCGGTCGCGTCATTAC</t>
  </si>
  <si>
    <t xml:space="preserve">CTGCCAGAGACGCGCCTGGC</t>
  </si>
  <si>
    <t xml:space="preserve">TAGTCTGCCAGAGACGCGCCTGGC</t>
  </si>
  <si>
    <t xml:space="preserve">AAACGCCAGGCGCGTCTCTGGCAG</t>
  </si>
  <si>
    <t xml:space="preserve">PST_0035</t>
  </si>
  <si>
    <t xml:space="preserve">AAAAGCGAAGTGAACGACAC</t>
  </si>
  <si>
    <t xml:space="preserve">TAGTAAAAGCGAAGTGAACGACAC</t>
  </si>
  <si>
    <t xml:space="preserve">AAACGTGTCGTTCACTTCGCTTTT</t>
  </si>
  <si>
    <t xml:space="preserve">GCGCCAGCGGCAGCAGCGCA</t>
  </si>
  <si>
    <t xml:space="preserve">TAGTGCGCCAGCGGCAGCAGCGCA</t>
  </si>
  <si>
    <t xml:space="preserve">AAACTGCGCTGCTGCCGCTGGCGC</t>
  </si>
  <si>
    <t xml:space="preserve">GGTTTGTGCCCGTACGGGCA</t>
  </si>
  <si>
    <t xml:space="preserve">TAGTGGTTTGTGCCCGTACGGGCA</t>
  </si>
  <si>
    <t xml:space="preserve">AAACTGCCCGTACGGGCACAAACC</t>
  </si>
  <si>
    <t xml:space="preserve">CTGCTGCCCGGGCGGGCAAA</t>
  </si>
  <si>
    <t xml:space="preserve">TAGTCTGCTGCCCGGGCGGGCAAA</t>
  </si>
  <si>
    <t xml:space="preserve">AAACTTTGCCCGCCCGGGCAGCAG</t>
  </si>
  <si>
    <t xml:space="preserve">PST_0036</t>
  </si>
  <si>
    <t xml:space="preserve">metQ-2</t>
  </si>
  <si>
    <t xml:space="preserve">AAAACGCCGCGACGGTGGCC</t>
  </si>
  <si>
    <t xml:space="preserve">TAGTAAAACGCCGCGACGGTGGCC</t>
  </si>
  <si>
    <t xml:space="preserve">AAACGGCCACCGTCGCGGCGTTTT</t>
  </si>
  <si>
    <t xml:space="preserve">CAGGGTTTCGGCGGCCTGGG</t>
  </si>
  <si>
    <t xml:space="preserve">TAGTCAGGGTTTCGGCGGCCTGGG</t>
  </si>
  <si>
    <t xml:space="preserve">AAACCCCAGGCCGCCGAAACCCTG</t>
  </si>
  <si>
    <t xml:space="preserve">GGCATGCGGCACGGCGGTGG</t>
  </si>
  <si>
    <t xml:space="preserve">TAGTGGCATGCGGCACGGCGGTGG</t>
  </si>
  <si>
    <t xml:space="preserve">AAACCCACCGCCGTGCCGCATGCC</t>
  </si>
  <si>
    <t xml:space="preserve">CTTGACGAACTCCAGCAGCT</t>
  </si>
  <si>
    <t xml:space="preserve">TAGTCTTGACGAACTCCAGCAGCT</t>
  </si>
  <si>
    <t xml:space="preserve">AAACAGCTGCTGGAGTTCGTCAAG</t>
  </si>
  <si>
    <t xml:space="preserve">PST_0037</t>
  </si>
  <si>
    <t xml:space="preserve">metI-2</t>
  </si>
  <si>
    <t xml:space="preserve">CCCCAACAAAGAGCTGAACA</t>
  </si>
  <si>
    <t xml:space="preserve">TAGTCCCCAACAAAGAGCTGAACA</t>
  </si>
  <si>
    <t xml:space="preserve">AAACTGTTCAGCTCTTTGTTGGGG</t>
  </si>
  <si>
    <t xml:space="preserve">AGGAACAGCAGCACGCCCAG</t>
  </si>
  <si>
    <t xml:space="preserve">TAGTAGGAACAGCAGCACGCCCAG</t>
  </si>
  <si>
    <t xml:space="preserve">AAACCTGGGCGTGCTGCTGTTCCT</t>
  </si>
  <si>
    <t xml:space="preserve">ACAGCTGGCGCGGACCGCTG</t>
  </si>
  <si>
    <t xml:space="preserve">TAGTACAGCTGGCGCGGACCGCTG</t>
  </si>
  <si>
    <t xml:space="preserve">AAACCAGCGGTCCGCGCCAGCTGT</t>
  </si>
  <si>
    <t xml:space="preserve">AACGACAGCGCGGCGTACAG</t>
  </si>
  <si>
    <t xml:space="preserve">TAGTAACGACAGCGCGGCGTACAG</t>
  </si>
  <si>
    <t xml:space="preserve">AAACCTGTACGCCGCGCTGTCGTT</t>
  </si>
  <si>
    <t xml:space="preserve">PST_0038</t>
  </si>
  <si>
    <t xml:space="preserve">metN-2</t>
  </si>
  <si>
    <t xml:space="preserve">CGGGATGATCGGCGAAAGCC</t>
  </si>
  <si>
    <t xml:space="preserve">TAGTCGGGATGATCGGCGAAAGCC</t>
  </si>
  <si>
    <t xml:space="preserve">AAACGGCTTTCGCCGATCATCCCG</t>
  </si>
  <si>
    <t xml:space="preserve">GTGGGTGCGACGTTTGTTGC</t>
  </si>
  <si>
    <t xml:space="preserve">TAGTGTGGGTGCGACGTTTGTTGC</t>
  </si>
  <si>
    <t xml:space="preserve">AAACGCAACAAACGTCGCACCCAC</t>
  </si>
  <si>
    <t xml:space="preserve">ACTTGATGGAATTCGATCAC</t>
  </si>
  <si>
    <t xml:space="preserve">TAGTACTTGATGGAATTCGATCAC</t>
  </si>
  <si>
    <t xml:space="preserve">AAACGTGATCGAATTCCATCAAGT</t>
  </si>
  <si>
    <t xml:space="preserve">CGGCGGTCCGATAGGTTTTA</t>
  </si>
  <si>
    <t xml:space="preserve">TAGTCGGCGGTCCGATAGGTTTTA</t>
  </si>
  <si>
    <t xml:space="preserve">AAACTAAAACCTATCGGACCGCCG</t>
  </si>
  <si>
    <t xml:space="preserve">PST_0039</t>
  </si>
  <si>
    <t xml:space="preserve">katE</t>
  </si>
  <si>
    <t xml:space="preserve">TTGCGGGGTCTTGTCGGTCA</t>
  </si>
  <si>
    <t xml:space="preserve">TAGTTTGCGGGGTCTTGTCGGTCA</t>
  </si>
  <si>
    <t xml:space="preserve">AAACTGACCGACAAGACCCCGCAA</t>
  </si>
  <si>
    <t xml:space="preserve">GCGGTCGACAGTGTCGGTAC</t>
  </si>
  <si>
    <t xml:space="preserve">TAGTGCGGTCGACAGTGTCGGTAC</t>
  </si>
  <si>
    <t xml:space="preserve">AAACGTACCGACACTGTCGACCGC</t>
  </si>
  <si>
    <t xml:space="preserve">GTCGAGCTTGGCGTTGTGAT</t>
  </si>
  <si>
    <t xml:space="preserve">TAGTGTCGAGCTTGGCGTTGTGAT</t>
  </si>
  <si>
    <t xml:space="preserve">AAACATCACAACGCCAAGCTCGAC</t>
  </si>
  <si>
    <t xml:space="preserve">CGCTGCGAAACGCTTCCAGC</t>
  </si>
  <si>
    <t xml:space="preserve">TAGTCGCTGCGAAACGCTTCCAGC</t>
  </si>
  <si>
    <t xml:space="preserve">AAACGCTGGAAGCGTTTCGCAGCG</t>
  </si>
  <si>
    <t xml:space="preserve">PST_0040</t>
  </si>
  <si>
    <t xml:space="preserve">GCCGCGCAGGTACTTGAGAT</t>
  </si>
  <si>
    <t xml:space="preserve">TAGTGCCGCGCAGGTACTTGAGAT</t>
  </si>
  <si>
    <t xml:space="preserve">AAACATCTCAAGTACCTGCGCGGC</t>
  </si>
  <si>
    <t xml:space="preserve">CCTGAGCCAGCAGCGGCTCG</t>
  </si>
  <si>
    <t xml:space="preserve">TAGTCCTGAGCCAGCAGCGGCTCG</t>
  </si>
  <si>
    <t xml:space="preserve">AAACCGAGCCGCTGCTGGCTCAGG</t>
  </si>
  <si>
    <t xml:space="preserve">ATAGTCGCCCAGACGGTCCT</t>
  </si>
  <si>
    <t xml:space="preserve">TAGTATAGTCGCCCAGACGGTCCT</t>
  </si>
  <si>
    <t xml:space="preserve">AAACAGGACCGTCTGGGCGACTAT</t>
  </si>
  <si>
    <t xml:space="preserve">CTCTGCACCTGATGCCGGCC</t>
  </si>
  <si>
    <t xml:space="preserve">TAGTCTCTGCACCTGATGCCGGCC</t>
  </si>
  <si>
    <t xml:space="preserve">AAACGGCCGGCATCAGGTGCAGAG</t>
  </si>
  <si>
    <t xml:space="preserve">PST_0041</t>
  </si>
  <si>
    <t xml:space="preserve">AAGGCGTTGAGTAGGAAATC</t>
  </si>
  <si>
    <t xml:space="preserve">TAGTAAGGCGTTGAGTAGGAAATC</t>
  </si>
  <si>
    <t xml:space="preserve">AAACGATTTCCTACTCAACGCCTT</t>
  </si>
  <si>
    <t xml:space="preserve">GACCAGCGCCAGGGCGAGGC</t>
  </si>
  <si>
    <t xml:space="preserve">TAGTGACCAGCGCCAGGGCGAGGC</t>
  </si>
  <si>
    <t xml:space="preserve">AAACGCCTCGCCCTGGCGCTGGTC</t>
  </si>
  <si>
    <t xml:space="preserve">GACGAAGGAGCCGAGCGGGC</t>
  </si>
  <si>
    <t xml:space="preserve">TAGTGACGAAGGAGCCGAGCGGGC</t>
  </si>
  <si>
    <t xml:space="preserve">AAACGCCCGCTCGGCTCCTTCGTC</t>
  </si>
  <si>
    <t xml:space="preserve">GGACAGGGTGTCGCCGAAAT</t>
  </si>
  <si>
    <t xml:space="preserve">TAGTGGACAGGGTGTCGCCGAAAT</t>
  </si>
  <si>
    <t xml:space="preserve">AAACATTTCGGCGACACCCTGTCC</t>
  </si>
  <si>
    <t xml:space="preserve">PST_0042</t>
  </si>
  <si>
    <t xml:space="preserve">znuC</t>
  </si>
  <si>
    <t xml:space="preserve">GAGCACGGCGCGCACCAGGG</t>
  </si>
  <si>
    <t xml:space="preserve">TAGTGAGCACGGCGCGCACCAGGG</t>
  </si>
  <si>
    <t xml:space="preserve">AAACCCCTGGTGCGCGCCGTGCTC</t>
  </si>
  <si>
    <t xml:space="preserve">GGCCATGGTCGGGCTTGAGC</t>
  </si>
  <si>
    <t xml:space="preserve">TAGTGGCCATGGTCGGGCTTGAGC</t>
  </si>
  <si>
    <t xml:space="preserve">AAACGCTCAAGCCCGACCATGGCC</t>
  </si>
  <si>
    <t xml:space="preserve">GCCGCGGCTTGCGCCAGACC</t>
  </si>
  <si>
    <t xml:space="preserve">TAGTGCCGCGGCTTGCGCCAGACC</t>
  </si>
  <si>
    <t xml:space="preserve">AAACGGTCTGGCGCAAGCCGCGGC</t>
  </si>
  <si>
    <t xml:space="preserve">GGGTCGACGTGCAGCTTCTG</t>
  </si>
  <si>
    <t xml:space="preserve">TAGTGGGTCGACGTGCAGCTTCTG</t>
  </si>
  <si>
    <t xml:space="preserve">AAACCAGAAGCTGCACGTCGACCC</t>
  </si>
  <si>
    <t xml:space="preserve">PST_0043</t>
  </si>
  <si>
    <t xml:space="preserve">np20</t>
  </si>
  <si>
    <t xml:space="preserve">GCCAGCGGGGTCTTAGACAT</t>
  </si>
  <si>
    <t xml:space="preserve">TAGTGCCAGCGGGGTCTTAGACAT</t>
  </si>
  <si>
    <t xml:space="preserve">AAACATGTCTAAGACCCCGCTGGC</t>
  </si>
  <si>
    <t xml:space="preserve">GTGGTGGTCATGGGGCGTGC</t>
  </si>
  <si>
    <t xml:space="preserve">TAGTGTGGTGGTCATGGGGCGTGC</t>
  </si>
  <si>
    <t xml:space="preserve">AAACGCACGCCCCATGACCACCAC</t>
  </si>
  <si>
    <t xml:space="preserve">CCAGCGCGTGGCTGACGCAG</t>
  </si>
  <si>
    <t xml:space="preserve">TAGTCCAGCGCGTGGCTGACGCAG</t>
  </si>
  <si>
    <t xml:space="preserve">AAACCTGCGTCAGCCACGCGCTGG</t>
  </si>
  <si>
    <t xml:space="preserve">CGCGCAGAGGCTGTCGGCTT</t>
  </si>
  <si>
    <t xml:space="preserve">TAGTCGCGCAGAGGCTGTCGGCTT</t>
  </si>
  <si>
    <t xml:space="preserve">AAACAAGCCGACAGCCTCTGCGCG</t>
  </si>
  <si>
    <t xml:space="preserve">PST_0044</t>
  </si>
  <si>
    <t xml:space="preserve">znuA</t>
  </si>
  <si>
    <t xml:space="preserve">AGGGAGAAAAGACGATTCAC</t>
  </si>
  <si>
    <t xml:space="preserve">TAGTAGGGAGAAAAGACGATTCAC</t>
  </si>
  <si>
    <t xml:space="preserve">AAACGTGAATCGTCTTTTCTCCCT</t>
  </si>
  <si>
    <t xml:space="preserve">GCAGCGCCGCCAGCAACGGG</t>
  </si>
  <si>
    <t xml:space="preserve">TAGTGCAGCGCCGCCAGCAACGGG</t>
  </si>
  <si>
    <t xml:space="preserve">AAACCCCGTTGCTGGCGGCGCTGC</t>
  </si>
  <si>
    <t xml:space="preserve">GGCCTGGGCGCAGGTGGCAC</t>
  </si>
  <si>
    <t xml:space="preserve">TAGTGGCCTGGGCGCAGGTGGCAC</t>
  </si>
  <si>
    <t xml:space="preserve">AAACGTGCCACCTGCGCCCAGGCC</t>
  </si>
  <si>
    <t xml:space="preserve">GCTGGTCAGAACGCGCACTT</t>
  </si>
  <si>
    <t xml:space="preserve">TAGTGCTGGTCAGAACGCGCACTT</t>
  </si>
  <si>
    <t xml:space="preserve">AAACAAGTGCGCGTTCTGACCAGC</t>
  </si>
  <si>
    <t xml:space="preserve">PST_0045</t>
  </si>
  <si>
    <t xml:space="preserve">GTGGCAAAATCCTGGGACAT</t>
  </si>
  <si>
    <t xml:space="preserve">TAGTGTGGCAAAATCCTGGGACAT</t>
  </si>
  <si>
    <t xml:space="preserve">AAACATGTCCCAGGATTTTGCCAC</t>
  </si>
  <si>
    <t xml:space="preserve">CATCCAGAAGTGTTCGGGCG</t>
  </si>
  <si>
    <t xml:space="preserve">TAGTCATCCAGAAGTGTTCGGGCG</t>
  </si>
  <si>
    <t xml:space="preserve">AAACCGCCCGAACACTTCTGGATG</t>
  </si>
  <si>
    <t xml:space="preserve">AACTGGCGATTGGCGGTGAA</t>
  </si>
  <si>
    <t xml:space="preserve">TAGTAACTGGCGATTGGCGGTGAA</t>
  </si>
  <si>
    <t xml:space="preserve">AAACTTCACCGCCAATCGCCAGTT</t>
  </si>
  <si>
    <t xml:space="preserve">CCGCTCCAGCAGGCGCGGAC</t>
  </si>
  <si>
    <t xml:space="preserve">TAGTCCGCTCCAGCAGGCGCGGAC</t>
  </si>
  <si>
    <t xml:space="preserve">AAACGTCCGCGCCTGCTGGAGCGG</t>
  </si>
  <si>
    <t xml:space="preserve">PST_0047</t>
  </si>
  <si>
    <t xml:space="preserve">CACCCGAAGACCTGAGAGAG</t>
  </si>
  <si>
    <t xml:space="preserve">TAGTCACCCGAAGACCTGAGAGAG</t>
  </si>
  <si>
    <t xml:space="preserve">AAACCTCTCTCAGGTCTTCGGGTG</t>
  </si>
  <si>
    <t xml:space="preserve">PST_0048</t>
  </si>
  <si>
    <t xml:space="preserve">CAGCAGGAAATAGAGGATGA</t>
  </si>
  <si>
    <t xml:space="preserve">TAGTCAGCAGGAAATAGAGGATGA</t>
  </si>
  <si>
    <t xml:space="preserve">AAACTCATCCTCTATTTCCTGCTG</t>
  </si>
  <si>
    <t xml:space="preserve">TCAGGCTGCCCATCGACAGC</t>
  </si>
  <si>
    <t xml:space="preserve">TAGTTCAGGCTGCCCATCGACAGC</t>
  </si>
  <si>
    <t xml:space="preserve">AAACGCTGTCGATGGGCAGCCTGA</t>
  </si>
  <si>
    <t xml:space="preserve">CGCCGGTTTCTGCGCGCTGG</t>
  </si>
  <si>
    <t xml:space="preserve">TAGTCGCCGGTTTCTGCGCGCTGG</t>
  </si>
  <si>
    <t xml:space="preserve">AAACCCAGCGCGCAGAAACCGGCG</t>
  </si>
  <si>
    <t xml:space="preserve">GGCGGTTCGACGCCGAGATA</t>
  </si>
  <si>
    <t xml:space="preserve">TAGTGGCGGTTCGACGCCGAGATA</t>
  </si>
  <si>
    <t xml:space="preserve">AAACTATCTCGGCGTCGAACCGCC</t>
  </si>
  <si>
    <t xml:space="preserve">PST_0049</t>
  </si>
  <si>
    <t xml:space="preserve">CGTCAGCGCTCCGAGGCCGA</t>
  </si>
  <si>
    <t xml:space="preserve">TAGTCGTCAGCGCTCCGAGGCCGA</t>
  </si>
  <si>
    <t xml:space="preserve">AAACTCGGCCTCGGAGCGCTGACG</t>
  </si>
  <si>
    <t xml:space="preserve">GCTGCCGGCGCACCGCTCGC</t>
  </si>
  <si>
    <t xml:space="preserve">TAGTGCTGCCGGCGCACCGCTCGC</t>
  </si>
  <si>
    <t xml:space="preserve">AAACGCGAGCGGTGCGCCGGCAGC</t>
  </si>
  <si>
    <t xml:space="preserve">GGCTGCAGAGGGCGAAGTAG</t>
  </si>
  <si>
    <t xml:space="preserve">TAGTGGCTGCAGAGGGCGAAGTAG</t>
  </si>
  <si>
    <t xml:space="preserve">AAACCTACTTCGCCCTCTGCAGCC</t>
  </si>
  <si>
    <t xml:space="preserve">ATGTCGGCACGTCATCGCTG</t>
  </si>
  <si>
    <t xml:space="preserve">TAGTATGTCGGCACGTCATCGCTG</t>
  </si>
  <si>
    <t xml:space="preserve">AAACCAGCGATGACGTGCCGACAT</t>
  </si>
  <si>
    <t xml:space="preserve">PST_0050</t>
  </si>
  <si>
    <t xml:space="preserve">CATGAGGATGCGCTTGCTGG</t>
  </si>
  <si>
    <t xml:space="preserve">TAGTCATGAGGATGCGCTTGCTGG</t>
  </si>
  <si>
    <t xml:space="preserve">AAACCCAGCAAGCGCATCCTCATG</t>
  </si>
  <si>
    <t xml:space="preserve">GAGCATGTAACGGATGAGGA</t>
  </si>
  <si>
    <t xml:space="preserve">TAGTGAGCATGTAACGGATGAGGA</t>
  </si>
  <si>
    <t xml:space="preserve">AAACTCCTCATCCGTTACATGCTC</t>
  </si>
  <si>
    <t xml:space="preserve">CATGGTCGACGACGAAACCG</t>
  </si>
  <si>
    <t xml:space="preserve">TAGTCATGGTCGACGACGAAACCG</t>
  </si>
  <si>
    <t xml:space="preserve">AAACCGGTTTCGTCGTCGACCATG</t>
  </si>
  <si>
    <t xml:space="preserve">GAGCGCCTGGCGGCCATCGG</t>
  </si>
  <si>
    <t xml:space="preserve">TAGTGAGCGCCTGGCGGCCATCGG</t>
  </si>
  <si>
    <t xml:space="preserve">AAACCCGATGGCCGCCAGGCGCTC</t>
  </si>
  <si>
    <t xml:space="preserve">PST_0051</t>
  </si>
  <si>
    <t xml:space="preserve">CTTCCGCGGGGGAGACTGCA</t>
  </si>
  <si>
    <t xml:space="preserve">TAGTCTTCCGCGGGGGAGACTGCA</t>
  </si>
  <si>
    <t xml:space="preserve">AAACTGCAGTCTCCCCCGCGGAAG</t>
  </si>
  <si>
    <t xml:space="preserve">CGCGAGTCTTGCGGGCAAAC</t>
  </si>
  <si>
    <t xml:space="preserve">TAGTCGCGAGTCTTGCGGGCAAAC</t>
  </si>
  <si>
    <t xml:space="preserve">AAACGTTTGCCCGCAAGACTCGCG</t>
  </si>
  <si>
    <t xml:space="preserve">CTTGCCCTGCCAGCCGAGGG</t>
  </si>
  <si>
    <t xml:space="preserve">TAGTCTTGCCCTGCCAGCCGAGGG</t>
  </si>
  <si>
    <t xml:space="preserve">AAACCCCTCGGCTGGCAGGGCAAG</t>
  </si>
  <si>
    <t xml:space="preserve">GGTCTGCAGCAGCGTTTCCT</t>
  </si>
  <si>
    <t xml:space="preserve">TAGTGGTCTGCAGCAGCGTTTCCT</t>
  </si>
  <si>
    <t xml:space="preserve">AAACAGGAAACGCTGCTGCAGACC</t>
  </si>
  <si>
    <t xml:space="preserve">PST_0052</t>
  </si>
  <si>
    <t xml:space="preserve">CTGTTCCTGCAGCGCCAGGC</t>
  </si>
  <si>
    <t xml:space="preserve">TAGTCTGTTCCTGCAGCGCCAGGC</t>
  </si>
  <si>
    <t xml:space="preserve">AAACGCCTGGCGCTGCAGGAACAG</t>
  </si>
  <si>
    <t xml:space="preserve">GCCAAACTGCTGCTCAAGCT</t>
  </si>
  <si>
    <t xml:space="preserve">TAGTGCCAAACTGCTGCTCAAGCT</t>
  </si>
  <si>
    <t xml:space="preserve">AAACAGCTTGAGCAGCAGTTTGGC</t>
  </si>
  <si>
    <t xml:space="preserve">GTTCTGCCAGGTCCGCCTGC</t>
  </si>
  <si>
    <t xml:space="preserve">TAGTGTTCTGCCAGGTCCGCCTGC</t>
  </si>
  <si>
    <t xml:space="preserve">AAACGCAGGCGGACCTGGCAGAAC</t>
  </si>
  <si>
    <t xml:space="preserve">GCGGGTCTGCTGCAGGTCAC</t>
  </si>
  <si>
    <t xml:space="preserve">TAGTGCGGGTCTGCTGCAGGTCAC</t>
  </si>
  <si>
    <t xml:space="preserve">AAACGTGACCTGCAGCAGACCCGC</t>
  </si>
  <si>
    <t xml:space="preserve">PST_0053</t>
  </si>
  <si>
    <t xml:space="preserve">cheY-1</t>
  </si>
  <si>
    <t xml:space="preserve">AAGGAACGTCCTCGACGTGC</t>
  </si>
  <si>
    <t xml:space="preserve">TAGTAAGGAACGTCCTCGACGTGC</t>
  </si>
  <si>
    <t xml:space="preserve">AAACGCACGTCGAGGACGTTCCTT</t>
  </si>
  <si>
    <t xml:space="preserve">GATGCGCGTCACCACTTGAA</t>
  </si>
  <si>
    <t xml:space="preserve">TAGTGATGCGCGTCACCACTTGAA</t>
  </si>
  <si>
    <t xml:space="preserve">AAACTTCAAGTGGTGACGCGCATC</t>
  </si>
  <si>
    <t xml:space="preserve">GAAGCCGCCGATCTTTTCTA</t>
  </si>
  <si>
    <t xml:space="preserve">TAGTGAAGCCGCCGATCTTTTCTA</t>
  </si>
  <si>
    <t xml:space="preserve">AAACTAGAAAAGATCGGCGGCTTC</t>
  </si>
  <si>
    <t xml:space="preserve">TCCAGGGCCGCCTGGCCGGA</t>
  </si>
  <si>
    <t xml:space="preserve">TAGTTCCAGGGCCGCCTGGCCGGA</t>
  </si>
  <si>
    <t xml:space="preserve">AAACTCCGGCCAGGCGGCCCTGGA</t>
  </si>
  <si>
    <t xml:space="preserve">PST_0054</t>
  </si>
  <si>
    <t xml:space="preserve">GGCTGCGCGGCGGATGGCAT</t>
  </si>
  <si>
    <t xml:space="preserve">TAGTGGCTGCGCGGCGGATGGCAT</t>
  </si>
  <si>
    <t xml:space="preserve">AAACATGCCATCCGCCGCGCAGCC</t>
  </si>
  <si>
    <t xml:space="preserve">GCCAGGCGCGAGAGTTCGCG</t>
  </si>
  <si>
    <t xml:space="preserve">TAGTGCCAGGCGCGAGAGTTCGCG</t>
  </si>
  <si>
    <t xml:space="preserve">AAACCGCGAACTCTCGCGCCTGGC</t>
  </si>
  <si>
    <t xml:space="preserve">GAGGATTTCGTAACGCAGCA</t>
  </si>
  <si>
    <t xml:space="preserve">TAGTGAGGATTTCGTAACGCAGCA</t>
  </si>
  <si>
    <t xml:space="preserve">AAACTGCTGCGTTACGAAATCCTC</t>
  </si>
  <si>
    <t xml:space="preserve">TCGTCGAAGGCGCTTTCTTC</t>
  </si>
  <si>
    <t xml:space="preserve">TAGTTCGTCGAAGGCGCTTTCTTC</t>
  </si>
  <si>
    <t xml:space="preserve">AAACGAAGAAAGCGCCTTCGACGA</t>
  </si>
  <si>
    <t xml:space="preserve">PST_0055</t>
  </si>
  <si>
    <t xml:space="preserve">ACGGGTCGTCTTCGACATGC</t>
  </si>
  <si>
    <t xml:space="preserve">TAGTACGGGTCGTCTTCGACATGC</t>
  </si>
  <si>
    <t xml:space="preserve">AAACGCATGTCGAAGACGACCCGT</t>
  </si>
  <si>
    <t xml:space="preserve">GGGCCAGTTTGGTCACGGCC</t>
  </si>
  <si>
    <t xml:space="preserve">TAGTGGGCCAGTTTGGTCACGGCC</t>
  </si>
  <si>
    <t xml:space="preserve">AAACGGCCGTGACCAAACTGGCCC</t>
  </si>
  <si>
    <t xml:space="preserve">CAGCACCTCGTAGCCGCCGA</t>
  </si>
  <si>
    <t xml:space="preserve">TAGTCAGCACCTCGTAGCCGCCGA</t>
  </si>
  <si>
    <t xml:space="preserve">AAACTCGGCGGCTACGAGGTGCTG</t>
  </si>
  <si>
    <t xml:space="preserve">CGCCTGGGCGCCGGACGAGC</t>
  </si>
  <si>
    <t xml:space="preserve">TAGTCGCCTGGGCGCCGGACGAGC</t>
  </si>
  <si>
    <t xml:space="preserve">AAACGCTCGTCCGGCGCCCAGGCG</t>
  </si>
  <si>
    <t xml:space="preserve">PST_0056</t>
  </si>
  <si>
    <t xml:space="preserve">GCATGAGCCGCAACTTTCCA</t>
  </si>
  <si>
    <t xml:space="preserve">TAGTGCATGAGCCGCAACTTTCCA</t>
  </si>
  <si>
    <t xml:space="preserve">AAACTGGAAAGTTGCGGCTCATGC</t>
  </si>
  <si>
    <t xml:space="preserve">CTGCGCTCGACGTACGACAT</t>
  </si>
  <si>
    <t xml:space="preserve">TAGTCTGCGCTCGACGTACGACAT</t>
  </si>
  <si>
    <t xml:space="preserve">AAACATGTCGTACGTCGAGCGCAG</t>
  </si>
  <si>
    <t xml:space="preserve">GCGTGCCGGCCATGGGTGCG</t>
  </si>
  <si>
    <t xml:space="preserve">TAGTGCGTGCCGGCCATGGGTGCG</t>
  </si>
  <si>
    <t xml:space="preserve">AAACCGCACCCATGGCCGGCACGC</t>
  </si>
  <si>
    <t xml:space="preserve">CCATCTGGGGGTCGAGAGGT</t>
  </si>
  <si>
    <t xml:space="preserve">TAGTCCATCTGGGGGTCGAGAGGT</t>
  </si>
  <si>
    <t xml:space="preserve">AAACACCTCTCGACCCCCAGATGG</t>
  </si>
  <si>
    <t xml:space="preserve">PST_0057</t>
  </si>
  <si>
    <t xml:space="preserve">CGGTATGCCACATGGTAACG</t>
  </si>
  <si>
    <t xml:space="preserve">TAGTCGGTATGCCACATGGTAACG</t>
  </si>
  <si>
    <t xml:space="preserve">AAACCGTTACCATGTGGCATACCG</t>
  </si>
  <si>
    <t xml:space="preserve">GATCGACAGGTCGAGTAAGC</t>
  </si>
  <si>
    <t xml:space="preserve">TAGTGATCGACAGGTCGAGTAAGC</t>
  </si>
  <si>
    <t xml:space="preserve">AAACGCTTACTCGACCTGTCGATC</t>
  </si>
  <si>
    <t xml:space="preserve">GACGTGAGTCAGCAGCAGCG</t>
  </si>
  <si>
    <t xml:space="preserve">TAGTGACGTGAGTCAGCAGCAGCG</t>
  </si>
  <si>
    <t xml:space="preserve">AAACCGCTGCTGCTGACTCACGTC</t>
  </si>
  <si>
    <t xml:space="preserve">GTAGACCGTGACGCTGACGA</t>
  </si>
  <si>
    <t xml:space="preserve">TAGTGTAGACCGTGACGCTGACGA</t>
  </si>
  <si>
    <t xml:space="preserve">AAACTCGTCAGCGTCACGGTCTAC</t>
  </si>
  <si>
    <t xml:space="preserve">PST_0058</t>
  </si>
  <si>
    <t xml:space="preserve">CGAAAATACGTTCGTAGGCC</t>
  </si>
  <si>
    <t xml:space="preserve">TAGTCGAAAATACGTTCGTAGGCC</t>
  </si>
  <si>
    <t xml:space="preserve">AAACGGCCTACGAACGTATTTTCG</t>
  </si>
  <si>
    <t xml:space="preserve">CCAGCAGCAGGGCCGGTGAG</t>
  </si>
  <si>
    <t xml:space="preserve">TAGTCCAGCAGCAGGGCCGGTGAG</t>
  </si>
  <si>
    <t xml:space="preserve">AAACCTCACCGGCCCTGCTGCTGG</t>
  </si>
  <si>
    <t xml:space="preserve">GTTGCGCCATTCGCCGTAAT</t>
  </si>
  <si>
    <t xml:space="preserve">TAGTGTTGCGCCATTCGCCGTAAT</t>
  </si>
  <si>
    <t xml:space="preserve">AAACATTACGGCGAATGGCGCAAC</t>
  </si>
  <si>
    <t xml:space="preserve">GGGCGTACTCCACGTCGTCG</t>
  </si>
  <si>
    <t xml:space="preserve">TAGTGGGCGTACTCCACGTCGTCG</t>
  </si>
  <si>
    <t xml:space="preserve">AAACCGACGACGTGGAGTACGCCC</t>
  </si>
  <si>
    <t xml:space="preserve">PST_0059</t>
  </si>
  <si>
    <t xml:space="preserve">AGGTTCACCAGAAAGTCCAT</t>
  </si>
  <si>
    <t xml:space="preserve">TAGTAGGTTCACCAGAAAGTCCAT</t>
  </si>
  <si>
    <t xml:space="preserve">AAACATGGACTTTCTGGTGAACCT</t>
  </si>
  <si>
    <t xml:space="preserve">GCTCCAGGTCGTCGACGTCC</t>
  </si>
  <si>
    <t xml:space="preserve">TAGTGCTCCAGGTCGTCGACGTCC</t>
  </si>
  <si>
    <t xml:space="preserve">AAACGGACGTCGACGACCTGGAGC</t>
  </si>
  <si>
    <t xml:space="preserve">CGAGTCGGCGCCCGACCTGC</t>
  </si>
  <si>
    <t xml:space="preserve">TAGTCGAGTCGGCGCCCGACCTGC</t>
  </si>
  <si>
    <t xml:space="preserve">AAACGCAGGTCGGGCGCCGACTCG</t>
  </si>
  <si>
    <t xml:space="preserve">CGGCCCGCCGAGCAACTCCA</t>
  </si>
  <si>
    <t xml:space="preserve">TAGTCGGCCCGCCGAGCAACTCCA</t>
  </si>
  <si>
    <t xml:space="preserve">AAACTGGAGTTGCTCGGCGGGCCG</t>
  </si>
  <si>
    <t xml:space="preserve">PST_0060</t>
  </si>
  <si>
    <t xml:space="preserve">GGTGCTGGTCAGGGTGGTCA</t>
  </si>
  <si>
    <t xml:space="preserve">TAGTGGTGCTGGTCAGGGTGGTCA</t>
  </si>
  <si>
    <t xml:space="preserve">AAACTGACCACCCTGACCAGCACC</t>
  </si>
  <si>
    <t xml:space="preserve">GTAGTAACCATCTTGGCGAG</t>
  </si>
  <si>
    <t xml:space="preserve">TAGTGTAGTAACCATCTTGGCGAG</t>
  </si>
  <si>
    <t xml:space="preserve">AAACCTCGCCAAGATGGTTACTAC</t>
  </si>
  <si>
    <t xml:space="preserve">CTGTGCGGCGCCCATTCGGC</t>
  </si>
  <si>
    <t xml:space="preserve">TAGTCTGTGCGGCGCCCATTCGGC</t>
  </si>
  <si>
    <t xml:space="preserve">AAACGCCGAATGGGCGCCGCACAG</t>
  </si>
  <si>
    <t xml:space="preserve">GCGGCCAGACCATCCAGGTC</t>
  </si>
  <si>
    <t xml:space="preserve">TAGTGCGGCCAGACCATCCAGGTC</t>
  </si>
  <si>
    <t xml:space="preserve">AAACGACCTGGATGGTCTGGCCGC</t>
  </si>
  <si>
    <t xml:space="preserve">PST_0061</t>
  </si>
  <si>
    <t xml:space="preserve">TACGGTAACGACTCGGGACA</t>
  </si>
  <si>
    <t xml:space="preserve">TAGTTACGGTAACGACTCGGGACA</t>
  </si>
  <si>
    <t xml:space="preserve">AAACTGTCCCGAGTCGTTACCGTA</t>
  </si>
  <si>
    <t xml:space="preserve">GGAACAGGCCATCTGGGTGG</t>
  </si>
  <si>
    <t xml:space="preserve">TAGTGGAACAGGCCATCTGGGTGG</t>
  </si>
  <si>
    <t xml:space="preserve">AAACCCACCCAGATGGCCTGTTCC</t>
  </si>
  <si>
    <t xml:space="preserve">CGGCATTGGCGATGTTGGCC</t>
  </si>
  <si>
    <t xml:space="preserve">TAGTCGGCATTGGCGATGTTGGCC</t>
  </si>
  <si>
    <t xml:space="preserve">AAACGGCCAACATCGCCAATGCCG</t>
  </si>
  <si>
    <t xml:space="preserve">GGCCTCGCGCACCAGCCTGT</t>
  </si>
  <si>
    <t xml:space="preserve">TAGTGGCCTCGCGCACCAGCCTGT</t>
  </si>
  <si>
    <t xml:space="preserve">AAACACAGGCTGGTGCGCGAGGCC</t>
  </si>
  <si>
    <t xml:space="preserve">PST_0062</t>
  </si>
  <si>
    <t xml:space="preserve">GCGGGGCTGGGCTTGGTCAT</t>
  </si>
  <si>
    <t xml:space="preserve">TAGTGCGGGGCTGGGCTTGGTCAT</t>
  </si>
  <si>
    <t xml:space="preserve">AAACATGACCAAGCCCAGCCCCGC</t>
  </si>
  <si>
    <t xml:space="preserve">GGCGCGCGGTCGGCGACTGG</t>
  </si>
  <si>
    <t xml:space="preserve">TAGTGGCGCGCGGTCGGCGACTGG</t>
  </si>
  <si>
    <t xml:space="preserve">AAACCCAGTCGCCGACCGCGCGCC</t>
  </si>
  <si>
    <t xml:space="preserve">GCGAATGCGCGCCTGGCTGC</t>
  </si>
  <si>
    <t xml:space="preserve">TAGTGCGAATGCGCGCCTGGCTGC</t>
  </si>
  <si>
    <t xml:space="preserve">AAACGCAGCCAGGCGCGCATTCGC</t>
  </si>
  <si>
    <t xml:space="preserve">GCAGTTCGCGGGCGCTGGCG</t>
  </si>
  <si>
    <t xml:space="preserve">TAGTGCAGTTCGCGGGCGCTGGCG</t>
  </si>
  <si>
    <t xml:space="preserve">AAACCGCCAGCGCCCGCGAACTGC</t>
  </si>
  <si>
    <t xml:space="preserve">PST_0063</t>
  </si>
  <si>
    <t xml:space="preserve">GAGCTGAACGGCACGCGGCG</t>
  </si>
  <si>
    <t xml:space="preserve">TAGTGAGCTGAACGGCACGCGGCG</t>
  </si>
  <si>
    <t xml:space="preserve">AAACCGCCGCGTGCCGTTCAGCTC</t>
  </si>
  <si>
    <t xml:space="preserve">AGATCGACGTACTGAACCTC</t>
  </si>
  <si>
    <t xml:space="preserve">TAGTAGATCGACGTACTGAACCTC</t>
  </si>
  <si>
    <t xml:space="preserve">AAACGAGGTTCAGTACGTCGATCT</t>
  </si>
  <si>
    <t xml:space="preserve">CTCGTAGACCTTGTGCAGGC</t>
  </si>
  <si>
    <t xml:space="preserve">TAGTCTCGTAGACCTTGTGCAGGC</t>
  </si>
  <si>
    <t xml:space="preserve">AAACGCCTGCACAAGGTCTACGAG</t>
  </si>
  <si>
    <t xml:space="preserve">GGGCGAACAGCGAGGCGGGG</t>
  </si>
  <si>
    <t xml:space="preserve">TAGTGGGCGAACAGCGAGGCGGGG</t>
  </si>
  <si>
    <t xml:space="preserve">AAACCCCCGCCTCGCTGTTCGCCC</t>
  </si>
  <si>
    <t xml:space="preserve">PST_0064</t>
  </si>
  <si>
    <t xml:space="preserve">ATCAGAGGCTTGCGCGACAT</t>
  </si>
  <si>
    <t xml:space="preserve">TAGTATCAGAGGCTTGCGCGACAT</t>
  </si>
  <si>
    <t xml:space="preserve">AAACATGTCGCGCAAGCCTCTGAT</t>
  </si>
  <si>
    <t xml:space="preserve">GTGGCCGATCTGCTTGGTAC</t>
  </si>
  <si>
    <t xml:space="preserve">TAGTGTGGCCGATCTGCTTGGTAC</t>
  </si>
  <si>
    <t xml:space="preserve">AAACGTACCAAGCAGATCGGCCAC</t>
  </si>
  <si>
    <t xml:space="preserve">CGCCGGCGATATGAAAGCTG</t>
  </si>
  <si>
    <t xml:space="preserve">TAGTCGCCGGCGATATGAAAGCTG</t>
  </si>
  <si>
    <t xml:space="preserve">AAACCAGCTTTCATATCGCCGGCG</t>
  </si>
  <si>
    <t xml:space="preserve">CGGCGATCGCCGCGGCACGC</t>
  </si>
  <si>
    <t xml:space="preserve">TAGTCGGCGATCGCCGCGGCACGC</t>
  </si>
  <si>
    <t xml:space="preserve">AAACGCGTGCCGCGGCGATCGCCG</t>
  </si>
  <si>
    <t xml:space="preserve">PST_0065</t>
  </si>
  <si>
    <t xml:space="preserve">AGCCGGTGAGCTGGTCGAGC</t>
  </si>
  <si>
    <t xml:space="preserve">TAGTAGCCGGTGAGCTGGTCGAGC</t>
  </si>
  <si>
    <t xml:space="preserve">AAACGCTCGACCAGCTCACCGGCT</t>
  </si>
  <si>
    <t xml:space="preserve">GCTGATCAGGCATTCCACTT</t>
  </si>
  <si>
    <t xml:space="preserve">TAGTGCTGATCAGGCATTCCACTT</t>
  </si>
  <si>
    <t xml:space="preserve">AAACAAGTGGAATGCCTGATCAGC</t>
  </si>
  <si>
    <t xml:space="preserve">TGCCGCGGGCGATCCCGGTC</t>
  </si>
  <si>
    <t xml:space="preserve">TAGTTGCCGCGGGCGATCCCGGTC</t>
  </si>
  <si>
    <t xml:space="preserve">AAACGACCGGGATCGCCCGCGGCA</t>
  </si>
  <si>
    <t xml:space="preserve">TCGTCGAGAAACTTGTTGGT</t>
  </si>
  <si>
    <t xml:space="preserve">TAGTTCGTCGAGAAACTTGTTGGT</t>
  </si>
  <si>
    <t xml:space="preserve">AAACACCAACAAGTTTCTCGACGA</t>
  </si>
  <si>
    <t xml:space="preserve">PST_0066</t>
  </si>
  <si>
    <t xml:space="preserve">GCTCAGCGCTTGCCAGTGCA</t>
  </si>
  <si>
    <t xml:space="preserve">TAGTGCTCAGCGCTTGCCAGTGCA</t>
  </si>
  <si>
    <t xml:space="preserve">AAACTGCACTGGCAAGCGCTGAGC</t>
  </si>
  <si>
    <t xml:space="preserve">AGGGCGGCAGGTGGTGGTCA</t>
  </si>
  <si>
    <t xml:space="preserve">TAGTAGGGCGGCAGGTGGTGGTCA</t>
  </si>
  <si>
    <t xml:space="preserve">AAACTGACCACCACCTGCCGCCCT</t>
  </si>
  <si>
    <t xml:space="preserve">GAGCGCCTTGTAGTCGGTGA</t>
  </si>
  <si>
    <t xml:space="preserve">TAGTGAGCGCCTTGTAGTCGGTGA</t>
  </si>
  <si>
    <t xml:space="preserve">AAACTCACCGACTACAAGGCGCTC</t>
  </si>
  <si>
    <t xml:space="preserve">GGTGATGATGCGCGTGCCCT</t>
  </si>
  <si>
    <t xml:space="preserve">TAGTGGTGATGATGCGCGTGCCCT</t>
  </si>
  <si>
    <t xml:space="preserve">AAACAGGGCACGCGCATCATCACC</t>
  </si>
  <si>
    <t xml:space="preserve">PST_0067</t>
  </si>
  <si>
    <t xml:space="preserve">potF2</t>
  </si>
  <si>
    <t xml:space="preserve">GCAAGTAGGGTCTTGGCGAA</t>
  </si>
  <si>
    <t xml:space="preserve">TAGTGCAAGTAGGGTCTTGGCGAA</t>
  </si>
  <si>
    <t xml:space="preserve">AAACTTCGCCAAGACCCTACTTGC</t>
  </si>
  <si>
    <t xml:space="preserve">AACGGTGCCGGCCAGCGTCA</t>
  </si>
  <si>
    <t xml:space="preserve">TAGTAACGGTGCCGGCCAGCGTCA</t>
  </si>
  <si>
    <t xml:space="preserve">AAACTGACGCTGGCCGGCACCGTT</t>
  </si>
  <si>
    <t xml:space="preserve">TTCCTGGGCCTGCGCAGCCC</t>
  </si>
  <si>
    <t xml:space="preserve">TAGTTTCCTGGGCCTGCGCAGCCC</t>
  </si>
  <si>
    <t xml:space="preserve">AAACGGGCTGCGCAGGCCCAGGAA</t>
  </si>
  <si>
    <t xml:space="preserve">GGTGTCTTCGGCGATATAGT</t>
  </si>
  <si>
    <t xml:space="preserve">TAGTGGTGTCTTCGGCGATATAGT</t>
  </si>
  <si>
    <t xml:space="preserve">AAACACTATATCGCCGAAGACACC</t>
  </si>
  <si>
    <t xml:space="preserve">PST_0068</t>
  </si>
  <si>
    <t xml:space="preserve">potF3</t>
  </si>
  <si>
    <t xml:space="preserve">GACTTGAGGGTCGAGCGCAT</t>
  </si>
  <si>
    <t xml:space="preserve">TAGTGACTTGAGGGTCGAGCGCAT</t>
  </si>
  <si>
    <t xml:space="preserve">AAACATGCGCTCGACCCTCAAGTC</t>
  </si>
  <si>
    <t xml:space="preserve">GGCGGTGGCCGCACCGGCGA</t>
  </si>
  <si>
    <t xml:space="preserve">TAGTGGCGGTGGCCGCACCGGCGA</t>
  </si>
  <si>
    <t xml:space="preserve">AAACTCGCCGGTGCGGCCACCGCC</t>
  </si>
  <si>
    <t xml:space="preserve">GACGTGCACCGAGGCGGCCT</t>
  </si>
  <si>
    <t xml:space="preserve">TAGTGACGTGCACCGAGGCGGCCT</t>
  </si>
  <si>
    <t xml:space="preserve">AAACAGGCCGCCTCGGTGCACGTC</t>
  </si>
  <si>
    <t xml:space="preserve">GTCATAGACCGGCTTGATAC</t>
  </si>
  <si>
    <t xml:space="preserve">TAGTGTCATAGACCGGCTTGATAC</t>
  </si>
  <si>
    <t xml:space="preserve">AAACGTATCAAGCCGGTCTATGAC</t>
  </si>
  <si>
    <t xml:space="preserve">PST_0069</t>
  </si>
  <si>
    <t xml:space="preserve">potG</t>
  </si>
  <si>
    <t xml:space="preserve">CTTGTAGGCGCTGGAGGCAA</t>
  </si>
  <si>
    <t xml:space="preserve">TAGTCTTGTAGGCGCTGGAGGCAA</t>
  </si>
  <si>
    <t xml:space="preserve">AAACTTGCCTCCAGCGCCTACAAG</t>
  </si>
  <si>
    <t xml:space="preserve">GTTCTTGCTCTCGCCACTGA</t>
  </si>
  <si>
    <t xml:space="preserve">TAGTGTTCTTGCTCTCGCCACTGA</t>
  </si>
  <si>
    <t xml:space="preserve">AAACTCAGTGGCGAGAGCAAGAAC</t>
  </si>
  <si>
    <t xml:space="preserve">CACCGTTTCGTCAAACTTCT</t>
  </si>
  <si>
    <t xml:space="preserve">TAGTCACCGTTTCGTCAAACTTCT</t>
  </si>
  <si>
    <t xml:space="preserve">AAACAGAAGTTTGACGAAACGGTG</t>
  </si>
  <si>
    <t xml:space="preserve">AGGAAGATGCGCCCTTCGGT</t>
  </si>
  <si>
    <t xml:space="preserve">TAGTAGGAAGATGCGCCCTTCGGT</t>
  </si>
  <si>
    <t xml:space="preserve">AAACACCGAAGGGCGCATCTTCCT</t>
  </si>
  <si>
    <t xml:space="preserve">PST_0070</t>
  </si>
  <si>
    <t xml:space="preserve">potH</t>
  </si>
  <si>
    <t xml:space="preserve">GTCCGGTATTCAAGGGCGAG</t>
  </si>
  <si>
    <t xml:space="preserve">TAGTGTCCGGTATTCAAGGGCGAG</t>
  </si>
  <si>
    <t xml:space="preserve">AAACCTCGCCCTTGAATACCGGAC</t>
  </si>
  <si>
    <t xml:space="preserve">AGGGCACGCCGATGACCAGT</t>
  </si>
  <si>
    <t xml:space="preserve">TAGTAGGGCACGCCGATGACCAGT</t>
  </si>
  <si>
    <t xml:space="preserve">AAACACTGGTCATCGGCGTGCCCT</t>
  </si>
  <si>
    <t xml:space="preserve">AAACAGGAACAGCCACAGGA</t>
  </si>
  <si>
    <t xml:space="preserve">TAGTAAACAGGAACAGCCACAGGA</t>
  </si>
  <si>
    <t xml:space="preserve">AAACTCCTGTGGCTGTTCCTGTTT</t>
  </si>
  <si>
    <t xml:space="preserve">ATCTTCAGCACGATGGCGAA</t>
  </si>
  <si>
    <t xml:space="preserve">TAGTATCTTCAGCACGATGGCGAA</t>
  </si>
  <si>
    <t xml:space="preserve">AAACTTCGCCATCGTGCTGAAGAT</t>
  </si>
  <si>
    <t xml:space="preserve">PST_0071</t>
  </si>
  <si>
    <t xml:space="preserve">potI</t>
  </si>
  <si>
    <t xml:space="preserve">GCAGGCCAAGGACCAGGATC</t>
  </si>
  <si>
    <t xml:space="preserve">TAGTGCAGGCCAAGGACCAGGATC</t>
  </si>
  <si>
    <t xml:space="preserve">AAACGATCCTGGTCCTTGGCCTGC</t>
  </si>
  <si>
    <t xml:space="preserve">TGACCAGGATCACCATCGGC</t>
  </si>
  <si>
    <t xml:space="preserve">TAGTTGACCAGGATCACCATCGGC</t>
  </si>
  <si>
    <t xml:space="preserve">AAACGCCGATGGTGATCCTGGTCA</t>
  </si>
  <si>
    <t xml:space="preserve">CCACACCGTCACCAGCCGCG</t>
  </si>
  <si>
    <t xml:space="preserve">TAGTCCACACCGTCACCAGCCGCG</t>
  </si>
  <si>
    <t xml:space="preserve">AAACCGCGGCTGGTGACGGTGTGG</t>
  </si>
  <si>
    <t xml:space="preserve">CTGCGAGTTGTCGAGCAGGC</t>
  </si>
  <si>
    <t xml:space="preserve">TAGTCTGCGAGTTGTCGAGCAGGC</t>
  </si>
  <si>
    <t xml:space="preserve">AAACGCCTGCTCGACAACTCGCAG</t>
  </si>
  <si>
    <t xml:space="preserve">PST_0073</t>
  </si>
  <si>
    <t xml:space="preserve">GCGCTGCAGAGCTGAATATC</t>
  </si>
  <si>
    <t xml:space="preserve">TAGTGCGCTGCAGAGCTGAATATC</t>
  </si>
  <si>
    <t xml:space="preserve">AAACGATATTCAGCTCTGCAGCGC</t>
  </si>
  <si>
    <t xml:space="preserve">CTCATGGCAGGTTCCTGGCT</t>
  </si>
  <si>
    <t xml:space="preserve">TAGTCTCATGGCAGGTTCCTGGCT</t>
  </si>
  <si>
    <t xml:space="preserve">AAACAGCCAGGAACCTGCCATGAG</t>
  </si>
  <si>
    <t xml:space="preserve">GGGCGATCAGGGCGGCGATC</t>
  </si>
  <si>
    <t xml:space="preserve">TAGTGGGCGATCAGGGCGGCGATC</t>
  </si>
  <si>
    <t xml:space="preserve">AAACGATCGCCGCCCTGATCGCCC</t>
  </si>
  <si>
    <t xml:space="preserve">CATGGCGGCGCCCCAGAGCA</t>
  </si>
  <si>
    <t xml:space="preserve">TAGTCATGGCGGCGCCCCAGAGCA</t>
  </si>
  <si>
    <t xml:space="preserve">AAACTGCTCTGGGGCGCCGCCATG</t>
  </si>
  <si>
    <t xml:space="preserve">PST_0072</t>
  </si>
  <si>
    <t xml:space="preserve">TGTTGCGCAATCGATCGGGC</t>
  </si>
  <si>
    <t xml:space="preserve">TAGTTGTTGCGCAATCGATCGGGC</t>
  </si>
  <si>
    <t xml:space="preserve">AAACGCCCGATCGATTGCGCAACA</t>
  </si>
  <si>
    <t xml:space="preserve">TGGCCTCGCTCAGGGCGGGC</t>
  </si>
  <si>
    <t xml:space="preserve">TAGTTGGCCTCGCTCAGGGCGGGC</t>
  </si>
  <si>
    <t xml:space="preserve">AAACGCCCGCCCTGAGCGAGGCCA</t>
  </si>
  <si>
    <t xml:space="preserve">CGCCTCGGCCGAAGCCTCGG</t>
  </si>
  <si>
    <t xml:space="preserve">TAGTCGCCTCGGCCGAAGCCTCGG</t>
  </si>
  <si>
    <t xml:space="preserve">AAACCCGAGGCTTCGGCCGAGGCG</t>
  </si>
  <si>
    <t xml:space="preserve">TGGCAGGTCCAGCCCGTAGT</t>
  </si>
  <si>
    <t xml:space="preserve">TAGTTGGCAGGTCCAGCCCGTAGT</t>
  </si>
  <si>
    <t xml:space="preserve">AAACACTACGGGCTGGACCTGCCA</t>
  </si>
  <si>
    <t xml:space="preserve">PST_0074</t>
  </si>
  <si>
    <t xml:space="preserve">ACAGGTCAAGAGGGCGCGCA</t>
  </si>
  <si>
    <t xml:space="preserve">TAGTACAGGTCAAGAGGGCGCGCA</t>
  </si>
  <si>
    <t xml:space="preserve">AAACTGCGCGCCCTCTTGACCTGT</t>
  </si>
  <si>
    <t xml:space="preserve">GGCGAAGCTGGCGAGGCTGA</t>
  </si>
  <si>
    <t xml:space="preserve">TAGTGGCGAAGCTGGCGAGGCTGA</t>
  </si>
  <si>
    <t xml:space="preserve">AAACTCAGCCTCGCCAGCTTCGCC</t>
  </si>
  <si>
    <t xml:space="preserve">GTAGAGCTCTTCATAGGTGT</t>
  </si>
  <si>
    <t xml:space="preserve">TAGTGTAGAGCTCTTCATAGGTGT</t>
  </si>
  <si>
    <t xml:space="preserve">AAACACACCTATGAAGAGCTCTAC</t>
  </si>
  <si>
    <t xml:space="preserve">CCGCTGTTCGGTCCAGCCGG</t>
  </si>
  <si>
    <t xml:space="preserve">TAGTCCGCTGTTCGGTCCAGCCGG</t>
  </si>
  <si>
    <t xml:space="preserve">AAACCCGGCTGGACCGAACAGCGG</t>
  </si>
  <si>
    <t xml:space="preserve">PST_0075</t>
  </si>
  <si>
    <t xml:space="preserve">GGCACTCGTCGGCCAGCTTG</t>
  </si>
  <si>
    <t xml:space="preserve">TAGTGGCACTCGTCGGCCAGCTTG</t>
  </si>
  <si>
    <t xml:space="preserve">AAACCAAGCTGGCCGACGAGTGCC</t>
  </si>
  <si>
    <t xml:space="preserve">CGCCCTCGGCCTCGCGCTTG</t>
  </si>
  <si>
    <t xml:space="preserve">TAGTCGCCCTCGGCCTCGCGCTTG</t>
  </si>
  <si>
    <t xml:space="preserve">AAACCAAGCGCGAGGCCGAGGGCG</t>
  </si>
  <si>
    <t xml:space="preserve">TCGCCGCGGCCGACGCCGGC</t>
  </si>
  <si>
    <t xml:space="preserve">TAGTTCGCCGCGGCCGACGCCGGC</t>
  </si>
  <si>
    <t xml:space="preserve">AAACGCCGGCGTCGGCCGCGGCGA</t>
  </si>
  <si>
    <t xml:space="preserve">GAATGCCTTCGCGCACCGCC</t>
  </si>
  <si>
    <t xml:space="preserve">TAGTGAATGCCTTCGCGCACCGCC</t>
  </si>
  <si>
    <t xml:space="preserve">AAACGGCGGTGCGCGAAGGCATTC</t>
  </si>
  <si>
    <t xml:space="preserve">PST_0076</t>
  </si>
  <si>
    <t xml:space="preserve">dctM</t>
  </si>
  <si>
    <t xml:space="preserve">GGCGACGAACAGGAACAGGA</t>
  </si>
  <si>
    <t xml:space="preserve">TAGTGGCGACGAACAGGAACAGGA</t>
  </si>
  <si>
    <t xml:space="preserve">AAACTCCTGTTCCTGTTCGTCGCC</t>
  </si>
  <si>
    <t xml:space="preserve">GATGAACATCAGTGCGAAGA</t>
  </si>
  <si>
    <t xml:space="preserve">TAGTGATGAACATCAGTGCGAAGA</t>
  </si>
  <si>
    <t xml:space="preserve">AAACTCTTCGCACTGATGTTCATC</t>
  </si>
  <si>
    <t xml:space="preserve">AGGCCCAGGGAAACGGCCAC</t>
  </si>
  <si>
    <t xml:space="preserve">TAGTAGGCCCAGGGAAACGGCCAC</t>
  </si>
  <si>
    <t xml:space="preserve">AAACGTGGCCGTTTCCCTGGGCCT</t>
  </si>
  <si>
    <t xml:space="preserve">GATCATGATGGTCAGCGAGC</t>
  </si>
  <si>
    <t xml:space="preserve">TAGTGATCATGATGGTCAGCGAGC</t>
  </si>
  <si>
    <t xml:space="preserve">AAACGCTCGCTGACCATCATGATC</t>
  </si>
  <si>
    <t xml:space="preserve">PST_0077</t>
  </si>
  <si>
    <t xml:space="preserve">dctQ</t>
  </si>
  <si>
    <t xml:space="preserve">GACGCGCCAGAGGGCGTTCA</t>
  </si>
  <si>
    <t xml:space="preserve">TAGTGACGCGCCAGAGGGCGTTCA</t>
  </si>
  <si>
    <t xml:space="preserve">AAACTGAACGCCCTCTGGCGCGTC</t>
  </si>
  <si>
    <t xml:space="preserve">CGATGAAGCCTTCCTCGAAG</t>
  </si>
  <si>
    <t xml:space="preserve">TAGTCGATGAAGCCTTCCTCGAAG</t>
  </si>
  <si>
    <t xml:space="preserve">AAACCTTCGAGGAAGGCTTCATCG</t>
  </si>
  <si>
    <t xml:space="preserve">TGTCATGGCGGCCAGCAGAA</t>
  </si>
  <si>
    <t xml:space="preserve">TAGTTGTCATGGCGGCCAGCAGAA</t>
  </si>
  <si>
    <t xml:space="preserve">AAACTTCTGCTGGCCGCCATGACA</t>
  </si>
  <si>
    <t xml:space="preserve">GTTGAGGATCACGTAGACGA</t>
  </si>
  <si>
    <t xml:space="preserve">TAGTGTTGAGGATCACGTAGACGA</t>
  </si>
  <si>
    <t xml:space="preserve">AAACTCGTCTACGTGATCCTCAAC</t>
  </si>
  <si>
    <t xml:space="preserve">PST_0078</t>
  </si>
  <si>
    <t xml:space="preserve">dctP</t>
  </si>
  <si>
    <t xml:space="preserve">CTGGGCAAGTCTAGGCGCAA</t>
  </si>
  <si>
    <t xml:space="preserve">TAGTCTGGGCAAGTCTAGGCGCAA</t>
  </si>
  <si>
    <t xml:space="preserve">AAACTTGCGCCTAGACTTGCCCAG</t>
  </si>
  <si>
    <t xml:space="preserve">TGGGAGGCCTCGGGGCATCC</t>
  </si>
  <si>
    <t xml:space="preserve">TAGTTGGGAGGCCTCGGGGCATCC</t>
  </si>
  <si>
    <t xml:space="preserve">AAACGGATGCCCCGAGGCCTCCCA</t>
  </si>
  <si>
    <t xml:space="preserve">ATGTTTCCTCTTGTTGTGGG</t>
  </si>
  <si>
    <t xml:space="preserve">TAGTATGTTTCCTCTTGTTGTGGG</t>
  </si>
  <si>
    <t xml:space="preserve">AAACCCCACAACAAGAGGAAACAT</t>
  </si>
  <si>
    <t xml:space="preserve">ACCAGCGATGCTCAGCGACA</t>
  </si>
  <si>
    <t xml:space="preserve">TAGTACCAGCGATGCTCAGCGACA</t>
  </si>
  <si>
    <t xml:space="preserve">AAACTGTCGCTGAGCATCGCTGGT</t>
  </si>
  <si>
    <t xml:space="preserve">PST_0079</t>
  </si>
  <si>
    <t xml:space="preserve">dctD</t>
  </si>
  <si>
    <t xml:space="preserve">CTGGGCCTGGGTACTGATCG</t>
  </si>
  <si>
    <t xml:space="preserve">TAGTCTGGGCCTGGGTACTGATCG</t>
  </si>
  <si>
    <t xml:space="preserve">AAACCGATCAGTACCCAGGCCCAG</t>
  </si>
  <si>
    <t xml:space="preserve">CTCAGTGCCTGGCGCAGATG</t>
  </si>
  <si>
    <t xml:space="preserve">TAGTCTCAGTGCCTGGCGCAGATG</t>
  </si>
  <si>
    <t xml:space="preserve">AAACCATCTGCGCCAGGCACTGAG</t>
  </si>
  <si>
    <t xml:space="preserve">GCCCGGCCAGGTCGAGGGTC</t>
  </si>
  <si>
    <t xml:space="preserve">TAGTGCCCGGCCAGGTCGAGGGTC</t>
  </si>
  <si>
    <t xml:space="preserve">AAACGACCCTCGACCTGGCCGGGC</t>
  </si>
  <si>
    <t xml:space="preserve">ATCGCGGGCGTCGCCCAGGC</t>
  </si>
  <si>
    <t xml:space="preserve">TAGTATCGCGGGCGTCGCCCAGGC</t>
  </si>
  <si>
    <t xml:space="preserve">AAACGCCTGGGCGACGCCCGCGAT</t>
  </si>
  <si>
    <t xml:space="preserve">PST_0080</t>
  </si>
  <si>
    <t xml:space="preserve">dctB</t>
  </si>
  <si>
    <t xml:space="preserve">GCGGCGGGGAGCGAGAAGTG</t>
  </si>
  <si>
    <t xml:space="preserve">TAGTGCGGCGGGGAGCGAGAAGTG</t>
  </si>
  <si>
    <t xml:space="preserve">AAACCACTTCTCGCTCCCCGCCGC</t>
  </si>
  <si>
    <t xml:space="preserve">GGGCGAGATTGCGCCAGCGG</t>
  </si>
  <si>
    <t xml:space="preserve">TAGTGGGCGAGATTGCGCCAGCGG</t>
  </si>
  <si>
    <t xml:space="preserve">AAACCCGCTGGCGCAATCTCGCCC</t>
  </si>
  <si>
    <t xml:space="preserve">CGCCAGCAACAGGGCCAGCA</t>
  </si>
  <si>
    <t xml:space="preserve">TAGTCGCCAGCAACAGGGCCAGCA</t>
  </si>
  <si>
    <t xml:space="preserve">AAACTGCTGGCCCTGTTGCTGGCG</t>
  </si>
  <si>
    <t xml:space="preserve">TGCTGCAGCGGCCAGAGCAA</t>
  </si>
  <si>
    <t xml:space="preserve">TAGTTGCTGCAGCGGCCAGAGCAA</t>
  </si>
  <si>
    <t xml:space="preserve">AAACTTGCTCTGGCCGCTGCAGCA</t>
  </si>
  <si>
    <t xml:space="preserve">PST_0081</t>
  </si>
  <si>
    <t xml:space="preserve">GGCCCTTGCTGCCGGTGATC</t>
  </si>
  <si>
    <t xml:space="preserve">TAGTGGCCCTTGCTGCCGGTGATC</t>
  </si>
  <si>
    <t xml:space="preserve">AAACGATCACCGGCAGCAAGGGCC</t>
  </si>
  <si>
    <t xml:space="preserve">CAACTCCGACTGCAGCTCGC</t>
  </si>
  <si>
    <t xml:space="preserve">TAGTCAACTCCGACTGCAGCTCGC</t>
  </si>
  <si>
    <t xml:space="preserve">AAACGCGAGCTGCAGTCGGAGTTG</t>
  </si>
  <si>
    <t xml:space="preserve">CCCGAGCGCGAGCAGTTTGC</t>
  </si>
  <si>
    <t xml:space="preserve">TAGTCCCGAGCGCGAGCAGTTTGC</t>
  </si>
  <si>
    <t xml:space="preserve">AAACGCAAACTGCTCGCGCTCGGG</t>
  </si>
  <si>
    <t xml:space="preserve">GAATCTGCTCAGGTACGGCG</t>
  </si>
  <si>
    <t xml:space="preserve">TAGTGAATCTGCTCAGGTACGGCG</t>
  </si>
  <si>
    <t xml:space="preserve">AAACCGCCGTACCTGAGCAGATTC</t>
  </si>
  <si>
    <t xml:space="preserve">PST_0082</t>
  </si>
  <si>
    <t xml:space="preserve">GATCAGTACGTCGGGAATGC</t>
  </si>
  <si>
    <t xml:space="preserve">TAGTGATCAGTACGTCGGGAATGC</t>
  </si>
  <si>
    <t xml:space="preserve">AAACGCATTCCCGACGTACTGATC</t>
  </si>
  <si>
    <t xml:space="preserve">CGTTCGTCGCCGAAGACCTT</t>
  </si>
  <si>
    <t xml:space="preserve">TAGTCGTTCGTCGCCGAAGACCTT</t>
  </si>
  <si>
    <t xml:space="preserve">AAACAAGGTCTTCGGCGACGAACG</t>
  </si>
  <si>
    <t xml:space="preserve">CCCCGTGGCCGCTTCGAAAG</t>
  </si>
  <si>
    <t xml:space="preserve">TAGTCCCCGTGGCCGCTTCGAAAG</t>
  </si>
  <si>
    <t xml:space="preserve">AAACCTTTCGAAGCGGCCACGGGG</t>
  </si>
  <si>
    <t xml:space="preserve">GGGACTTGGAGTGGTTGTCC</t>
  </si>
  <si>
    <t xml:space="preserve">TAGTGGGACTTGGAGTGGTTGTCC</t>
  </si>
  <si>
    <t xml:space="preserve">AAACGGACAACCACTCCAAGTCCC</t>
  </si>
  <si>
    <t xml:space="preserve">PST_0083</t>
  </si>
  <si>
    <t xml:space="preserve">GGGTGCCGGAGCCTCCGGCG</t>
  </si>
  <si>
    <t xml:space="preserve">TAGTGGGTGCCGGAGCCTCCGGCG</t>
  </si>
  <si>
    <t xml:space="preserve">AAACCGCCGGAGGCTCCGGCACCC</t>
  </si>
  <si>
    <t xml:space="preserve">AAGGGTGATGGGGTGCAGAC</t>
  </si>
  <si>
    <t xml:space="preserve">TAGTAAGGGTGATGGGGTGCAGAC</t>
  </si>
  <si>
    <t xml:space="preserve">AAACGTCTGCACCCCATCACCCTT</t>
  </si>
  <si>
    <t xml:space="preserve">GTAGATCGGCAAGAGCTGCT</t>
  </si>
  <si>
    <t xml:space="preserve">TAGTGTAGATCGGCAAGAGCTGCT</t>
  </si>
  <si>
    <t xml:space="preserve">AAACAGCAGCTCTTGCCGATCTAC</t>
  </si>
  <si>
    <t xml:space="preserve">GAGATCGGGTAGTAGGCCAT</t>
  </si>
  <si>
    <t xml:space="preserve">TAGTGAGATCGGGTAGTAGGCCAT</t>
  </si>
  <si>
    <t xml:space="preserve">AAACATGGCCTACTACCCGATCTC</t>
  </si>
  <si>
    <t xml:space="preserve">PST_0084</t>
  </si>
  <si>
    <t xml:space="preserve">rfbB-2</t>
  </si>
  <si>
    <t xml:space="preserve">CGACTCGAGGTTGCCGGCGT</t>
  </si>
  <si>
    <t xml:space="preserve">TAGTCGACTCGAGGTTGCCGGCGT</t>
  </si>
  <si>
    <t xml:space="preserve">AAACACGCCGGCAACCTCGAGTCG</t>
  </si>
  <si>
    <t xml:space="preserve">GCGCGGGTTGCCTTCCACGC</t>
  </si>
  <si>
    <t xml:space="preserve">TAGTGCGCGGGTTGCCTTCCACGC</t>
  </si>
  <si>
    <t xml:space="preserve">AAACGCGTGGAAGGCAACCCGCGC</t>
  </si>
  <si>
    <t xml:space="preserve">GATCGGCGATGTCGGCCTGA</t>
  </si>
  <si>
    <t xml:space="preserve">TAGTGATCGGCGATGTCGGCCTGA</t>
  </si>
  <si>
    <t xml:space="preserve">AAACTCAGGCCGACATCGCCGATC</t>
  </si>
  <si>
    <t xml:space="preserve">GATGCATGATGGCGTCCGGC</t>
  </si>
  <si>
    <t xml:space="preserve">TAGTGATGCATGATGGCGTCCGGC</t>
  </si>
  <si>
    <t xml:space="preserve">AAACGCCGGACGCCATCATGCATC</t>
  </si>
  <si>
    <t xml:space="preserve">PST_0085</t>
  </si>
  <si>
    <t xml:space="preserve">GCAGTTCCTTGAGGCCGAGC</t>
  </si>
  <si>
    <t xml:space="preserve">TAGTGCAGTTCCTTGAGGCCGAGC</t>
  </si>
  <si>
    <t xml:space="preserve">AAACGCTCGGCCTCAAGGAACTGC</t>
  </si>
  <si>
    <t xml:space="preserve">GCAGCGCCGGGTCGCGGTAC</t>
  </si>
  <si>
    <t xml:space="preserve">TAGTGCAGCGCCGGGTCGCGGTAC</t>
  </si>
  <si>
    <t xml:space="preserve">AAACGTACCGCGACCCGGCGCTGC</t>
  </si>
  <si>
    <t xml:space="preserve">GGTGTAGATGGCCAGGGTGA</t>
  </si>
  <si>
    <t xml:space="preserve">TAGTGGTGTAGATGGCCAGGGTGA</t>
  </si>
  <si>
    <t xml:space="preserve">AAACTCACCCTGGCCATCTACACC</t>
  </si>
  <si>
    <t xml:space="preserve">CGGCGCCTCGGGCAGGGCGG</t>
  </si>
  <si>
    <t xml:space="preserve">TAGTCGGCGCCTCGGGCAGGGCGG</t>
  </si>
  <si>
    <t xml:space="preserve">AAACCCGCCCTGCCCGAGGCGCCG</t>
  </si>
  <si>
    <t xml:space="preserve">PST_0086</t>
  </si>
  <si>
    <t xml:space="preserve">CGGCGACCGGGGCAGATGAC</t>
  </si>
  <si>
    <t xml:space="preserve">TAGTCGGCGACCGGGGCAGATGAC</t>
  </si>
  <si>
    <t xml:space="preserve">AAACGTCATCTGCCCCGGTCGCCG</t>
  </si>
  <si>
    <t xml:space="preserve">CAGGCTGACGCCGCTGATTT</t>
  </si>
  <si>
    <t xml:space="preserve">TAGTCAGGCTGACGCCGCTGATTT</t>
  </si>
  <si>
    <t xml:space="preserve">AAACAAATCAGCGGCGTCAGCCTG</t>
  </si>
  <si>
    <t xml:space="preserve">GCTGAGGTCATCCAGCGCGC</t>
  </si>
  <si>
    <t xml:space="preserve">TAGTGCTGAGGTCATCCAGCGCGC</t>
  </si>
  <si>
    <t xml:space="preserve">AAACGCGCGCTGGATGACCTCAGC</t>
  </si>
  <si>
    <t xml:space="preserve">TGCAGCGTGCCGGCAGGCTC</t>
  </si>
  <si>
    <t xml:space="preserve">TAGTTGCAGCGTGCCGGCAGGCTC</t>
  </si>
  <si>
    <t xml:space="preserve">AAACGAGCCTGCCGGCACGCTGCA</t>
  </si>
  <si>
    <t xml:space="preserve">PST_0087</t>
  </si>
  <si>
    <t xml:space="preserve">CCCTTATCGTGAAGCAATGT</t>
  </si>
  <si>
    <t xml:space="preserve">TAGTCCCTTATCGTGAAGCAATGT</t>
  </si>
  <si>
    <t xml:space="preserve">AAACACATTGCTTCACGATAAGGG</t>
  </si>
  <si>
    <t xml:space="preserve">TTCTGGGCTGGGGCTTTCAT</t>
  </si>
  <si>
    <t xml:space="preserve">TAGTTTCTGGGCTGGGGCTTTCAT</t>
  </si>
  <si>
    <t xml:space="preserve">AAACATGAAAGCCCCAGCCCAGAA</t>
  </si>
  <si>
    <t xml:space="preserve">TGCGAACAGCACCCGGCGAA</t>
  </si>
  <si>
    <t xml:space="preserve">TAGTTGCGAACAGCACCCGGCGAA</t>
  </si>
  <si>
    <t xml:space="preserve">AAACTTCGCCGGGTGCTGTTCGCA</t>
  </si>
  <si>
    <t xml:space="preserve">ATCCGTGCGCAGCTCCGACC</t>
  </si>
  <si>
    <t xml:space="preserve">TAGTATCCGTGCGCAGCTCCGACC</t>
  </si>
  <si>
    <t xml:space="preserve">AAACGGTCGGAGCTGCGCACGGAT</t>
  </si>
  <si>
    <t xml:space="preserve">PST_0088</t>
  </si>
  <si>
    <t xml:space="preserve">GGGGGCGGAACAGCGCAAGG</t>
  </si>
  <si>
    <t xml:space="preserve">TAGTGGGGGCGGAACAGCGCAAGG</t>
  </si>
  <si>
    <t xml:space="preserve">AAACCCTTGCGCTGTTCCGCCCCC</t>
  </si>
  <si>
    <t xml:space="preserve">GAGCACGCACGCGAGGGCGA</t>
  </si>
  <si>
    <t xml:space="preserve">TAGTGAGCACGCACGCGAGGGCGA</t>
  </si>
  <si>
    <t xml:space="preserve">AAACTCGCCCTCGCGTGCGTGCTC</t>
  </si>
  <si>
    <t xml:space="preserve">ACGCGGATCGGCTCGGCCTC</t>
  </si>
  <si>
    <t xml:space="preserve">TAGTACGCGGATCGGCTCGGCCTC</t>
  </si>
  <si>
    <t xml:space="preserve">AAACGAGGCCGAGCCGATCCGCGT</t>
  </si>
  <si>
    <t xml:space="preserve">TCGCCTCAGCGGTGGGCAGC</t>
  </si>
  <si>
    <t xml:space="preserve">TAGTTCGCCTCAGCGGTGGGCAGC</t>
  </si>
  <si>
    <t xml:space="preserve">AAACGCTGCCCACCGCTGAGGCGA</t>
  </si>
  <si>
    <t xml:space="preserve">PST_0089</t>
  </si>
  <si>
    <t xml:space="preserve">GATCAGTACGTGGTGGGCGC</t>
  </si>
  <si>
    <t xml:space="preserve">TAGTGATCAGTACGTGGTGGGCGC</t>
  </si>
  <si>
    <t xml:space="preserve">AAACGCGCCCACCACGTACTGATC</t>
  </si>
  <si>
    <t xml:space="preserve">CGACGGCAAGCACCGTGAAC</t>
  </si>
  <si>
    <t xml:space="preserve">TAGTCGACGGCAAGCACCGTGAAC</t>
  </si>
  <si>
    <t xml:space="preserve">AAACGTTCACGGTGCTTGCCGTCG</t>
  </si>
  <si>
    <t xml:space="preserve">GTACTCCACCGCGCTGCCGT</t>
  </si>
  <si>
    <t xml:space="preserve">TAGTGTACTCCACCGCGCTGCCGT</t>
  </si>
  <si>
    <t xml:space="preserve">AAACACGGCAGCGCGGTGGAGTAC</t>
  </si>
  <si>
    <t xml:space="preserve">TGCGTGCACGCACCTTGCGC</t>
  </si>
  <si>
    <t xml:space="preserve">TAGTTGCGTGCACGCACCTTGCGC</t>
  </si>
  <si>
    <t xml:space="preserve">AAACGCGCAAGGTGCGTGCACGCA</t>
  </si>
  <si>
    <t xml:space="preserve">PST_0090</t>
  </si>
  <si>
    <t xml:space="preserve">CAGGTCGAGGTTCTCGTGCA</t>
  </si>
  <si>
    <t xml:space="preserve">TAGTCAGGTCGAGGTTCTCGTGCA</t>
  </si>
  <si>
    <t xml:space="preserve">AAACTGCACGAGAACCTCGACCTG</t>
  </si>
  <si>
    <t xml:space="preserve">CCGATCCGCCGACGACGCCG</t>
  </si>
  <si>
    <t xml:space="preserve">TAGTCCGATCCGCCGACGACGCCG</t>
  </si>
  <si>
    <t xml:space="preserve">AAACCGGCGTCGTCGGCGGATCGG</t>
  </si>
  <si>
    <t xml:space="preserve">GCGCAGCAGCACCGACTTGC</t>
  </si>
  <si>
    <t xml:space="preserve">TAGTGCGCAGCAGCACCGACTTGC</t>
  </si>
  <si>
    <t xml:space="preserve">AAACGCAAGTCGGTGCTGCTGCGC</t>
  </si>
  <si>
    <t xml:space="preserve">TGCCGGCATTTGGTCGGCGC</t>
  </si>
  <si>
    <t xml:space="preserve">TAGTTGCCGGCATTTGGTCGGCGC</t>
  </si>
  <si>
    <t xml:space="preserve">AAACGCGCCGACCAAATGCCGGCA</t>
  </si>
  <si>
    <t xml:space="preserve">PST_0091</t>
  </si>
  <si>
    <t xml:space="preserve">CCGACGATGCGCGCCCGCAA</t>
  </si>
  <si>
    <t xml:space="preserve">TAGTCCGACGATGCGCGCCCGCAA</t>
  </si>
  <si>
    <t xml:space="preserve">AAACTTGCGGGCGCGCATCGTCGG</t>
  </si>
  <si>
    <t xml:space="preserve">CAGTGCCGCGTAATGGGCGA</t>
  </si>
  <si>
    <t xml:space="preserve">TAGTCAGTGCCGCGTAATGGGCGA</t>
  </si>
  <si>
    <t xml:space="preserve">AAACTCGCCCATTACGCGGCACTG</t>
  </si>
  <si>
    <t xml:space="preserve">CCCTGAGCCGCTGCACCTCT</t>
  </si>
  <si>
    <t xml:space="preserve">TAGTCCCTGAGCCGCTGCACCTCT</t>
  </si>
  <si>
    <t xml:space="preserve">AAACAGAGGTGCAGCGGCTCAGGG</t>
  </si>
  <si>
    <t xml:space="preserve">CGATGGCGGCGATCCGCTCG</t>
  </si>
  <si>
    <t xml:space="preserve">TAGTCGATGGCGGCGATCCGCTCG</t>
  </si>
  <si>
    <t xml:space="preserve">AAACCGAGCGGATCGCCGCCATCG</t>
  </si>
  <si>
    <t xml:space="preserve">PST_0092</t>
  </si>
  <si>
    <t xml:space="preserve">GCAGCAGCCGGCCCAGCAGG</t>
  </si>
  <si>
    <t xml:space="preserve">TAGTGCAGCAGCCGGCCCAGCAGG</t>
  </si>
  <si>
    <t xml:space="preserve">AAACCCTGCTGGGCCGGCTGCTGC</t>
  </si>
  <si>
    <t xml:space="preserve">CGCCAGGCCCAGGGCGGTAA</t>
  </si>
  <si>
    <t xml:space="preserve">TAGTCGCCAGGCCCAGGGCGGTAA</t>
  </si>
  <si>
    <t xml:space="preserve">AAACTTACCGCCCTGGGCCTGGCG</t>
  </si>
  <si>
    <t xml:space="preserve">GATGAAGTGAAAGTGCACGG</t>
  </si>
  <si>
    <t xml:space="preserve">TAGTGATGAAGTGAAAGTGCACGG</t>
  </si>
  <si>
    <t xml:space="preserve">AAACCCGTGCACTTTCACTTCATC</t>
  </si>
  <si>
    <t xml:space="preserve">CGCTGGAAACGGGGCCACGA</t>
  </si>
  <si>
    <t xml:space="preserve">TAGTCGCTGGAAACGGGGCCACGA</t>
  </si>
  <si>
    <t xml:space="preserve">AAACTCGTGGCCCCGTTTCCAGCG</t>
  </si>
  <si>
    <t xml:space="preserve">PST_0093</t>
  </si>
  <si>
    <t xml:space="preserve">GCTCGGCGCAGCAATCGCAT</t>
  </si>
  <si>
    <t xml:space="preserve">TAGTGCTCGGCGCAGCAATCGCAT</t>
  </si>
  <si>
    <t xml:space="preserve">AAACATGCGATTGCTGCGCCGAGC</t>
  </si>
  <si>
    <t xml:space="preserve">CAACAACAAGACAGCCCCCA</t>
  </si>
  <si>
    <t xml:space="preserve">TAGTCAACAACAAGACAGCCCCCA</t>
  </si>
  <si>
    <t xml:space="preserve">AAACTGGGGGCTGTCTTGTTGTTG</t>
  </si>
  <si>
    <t xml:space="preserve">GAAATACAGCCCGACCCCCA</t>
  </si>
  <si>
    <t xml:space="preserve">TAGTGAAATACAGCCCGACCCCCA</t>
  </si>
  <si>
    <t xml:space="preserve">AAACTGGGGGTCGGGCTGTATTTC</t>
  </si>
  <si>
    <t xml:space="preserve">ATACTCTGGAAGGTTCGGGT</t>
  </si>
  <si>
    <t xml:space="preserve">TAGTATACTCTGGAAGGTTCGGGT</t>
  </si>
  <si>
    <t xml:space="preserve">AAACACCCGAACCTTCCAGAGTAT</t>
  </si>
  <si>
    <t xml:space="preserve">PST_0095</t>
  </si>
  <si>
    <t xml:space="preserve">GCGCGTCCCAGAGTTTGATA</t>
  </si>
  <si>
    <t xml:space="preserve">TAGTGCGCGTCCCAGAGTTTGATA</t>
  </si>
  <si>
    <t xml:space="preserve">AAACTATCAAACTCTGGGACGCGC</t>
  </si>
  <si>
    <t xml:space="preserve">AACCAGTGAAACAGCCGCAG</t>
  </si>
  <si>
    <t xml:space="preserve">TAGTAACCAGTGAAACAGCCGCAG</t>
  </si>
  <si>
    <t xml:space="preserve">AAACCTGCGGCTGTTTCACTGGTT</t>
  </si>
  <si>
    <t xml:space="preserve">GATGGTCGCGATCACCGCCC</t>
  </si>
  <si>
    <t xml:space="preserve">TAGTGATGGTCGCGATCACCGCCC</t>
  </si>
  <si>
    <t xml:space="preserve">AAACGGGCGGTGATCGCGACCATC</t>
  </si>
  <si>
    <t xml:space="preserve">AGGCCGAGCCGGCCATGCCA</t>
  </si>
  <si>
    <t xml:space="preserve">TAGTAGGCCGAGCCGGCCATGCCA</t>
  </si>
  <si>
    <t xml:space="preserve">AAACTGGCATGGCCGGCTCGGCCT</t>
  </si>
  <si>
    <t xml:space="preserve">PST_0096</t>
  </si>
  <si>
    <t xml:space="preserve">gabD-2</t>
  </si>
  <si>
    <t xml:space="preserve">CCGACATCCAAGGATCGATA</t>
  </si>
  <si>
    <t xml:space="preserve">TAGTCCGACATCCAAGGATCGATA</t>
  </si>
  <si>
    <t xml:space="preserve">AAACTATCGATCCTTGGATGTCGG</t>
  </si>
  <si>
    <t xml:space="preserve">GGGGTATAGTTCCGCGCGGG</t>
  </si>
  <si>
    <t xml:space="preserve">TAGTGGGGTATAGTTCCGCGCGGG</t>
  </si>
  <si>
    <t xml:space="preserve">AAACCCCGCGCGGAACTATACCCC</t>
  </si>
  <si>
    <t xml:space="preserve">CCCAAACCTGGGTACGGGTC</t>
  </si>
  <si>
    <t xml:space="preserve">TAGTCCCAAACCTGGGTACGGGTC</t>
  </si>
  <si>
    <t xml:space="preserve">AAACGACCCGTACCCAGGTTTGGG</t>
  </si>
  <si>
    <t xml:space="preserve">TGACCAGCCTGATGCCTGCG</t>
  </si>
  <si>
    <t xml:space="preserve">TAGTTGACCAGCCTGATGCCTGCG</t>
  </si>
  <si>
    <t xml:space="preserve">AAACCGCAGGCATCAGGCTGGTCA</t>
  </si>
  <si>
    <t xml:space="preserve">PST_0098</t>
  </si>
  <si>
    <t xml:space="preserve">GACCAGTACGAAGGAGACTT</t>
  </si>
  <si>
    <t xml:space="preserve">TAGTGACCAGTACGAAGGAGACTT</t>
  </si>
  <si>
    <t xml:space="preserve">AAACAAGTCTCCTTCGTACTGGTC</t>
  </si>
  <si>
    <t xml:space="preserve">CGCCCGCCACGGTTCGTTGT</t>
  </si>
  <si>
    <t xml:space="preserve">TAGTCGCCCGCCACGGTTCGTTGT</t>
  </si>
  <si>
    <t xml:space="preserve">AAACACAACGAACCGTGGCGGGCG</t>
  </si>
  <si>
    <t xml:space="preserve">CGCGTACCAGCTGACAAAGC</t>
  </si>
  <si>
    <t xml:space="preserve">TAGTCGCGTACCAGCTGACAAAGC</t>
  </si>
  <si>
    <t xml:space="preserve">AAACGCTTTGTCAGCTGGTACGCG</t>
  </si>
  <si>
    <t xml:space="preserve">GCCGGTTGCACGCGCATGCC</t>
  </si>
  <si>
    <t xml:space="preserve">TAGTGCCGGTTGCACGCGCATGCC</t>
  </si>
  <si>
    <t xml:space="preserve">AAACGGCATGCGCGTGCAACCGGC</t>
  </si>
  <si>
    <t xml:space="preserve">PST_0099</t>
  </si>
  <si>
    <t xml:space="preserve">GGATCAGAGCGATATCGCCC</t>
  </si>
  <si>
    <t xml:space="preserve">TAGTGGATCAGAGCGATATCGCCC</t>
  </si>
  <si>
    <t xml:space="preserve">AAACGGGCGATATCGCTCTGATCC</t>
  </si>
  <si>
    <t xml:space="preserve">TGACCGGCGGGTTGTTGACC</t>
  </si>
  <si>
    <t xml:space="preserve">TAGTTGACCGGCGGGTTGTTGACC</t>
  </si>
  <si>
    <t xml:space="preserve">AAACGGTCAACAACCCGCCGGTCA</t>
  </si>
  <si>
    <t xml:space="preserve">TTTTCGTACAGCATGGCCAA</t>
  </si>
  <si>
    <t xml:space="preserve">TAGTTTTTCGTACAGCATGGCCAA</t>
  </si>
  <si>
    <t xml:space="preserve">AAACTTGGCCATGCTGTACGAAAA</t>
  </si>
  <si>
    <t xml:space="preserve">CCTGTCGAAAGGCATCCAAC</t>
  </si>
  <si>
    <t xml:space="preserve">TAGTCCTGTCGAAAGGCATCCAAC</t>
  </si>
  <si>
    <t xml:space="preserve">AAACGTTGGATGCCTTTCGACAGG</t>
  </si>
  <si>
    <t xml:space="preserve">PST_0100</t>
  </si>
  <si>
    <t xml:space="preserve">GCCGTGTAGTTGACGTTCAT</t>
  </si>
  <si>
    <t xml:space="preserve">TAGTGCCGTGTAGTTGACGTTCAT</t>
  </si>
  <si>
    <t xml:space="preserve">AAACATGAACGTCAACTACACGGC</t>
  </si>
  <si>
    <t xml:space="preserve">ATCGCGGAAGGCGAGCTCTT</t>
  </si>
  <si>
    <t xml:space="preserve">TAGTATCGCGGAAGGCGAGCTCTT</t>
  </si>
  <si>
    <t xml:space="preserve">AAACAAGAGCTCGCCTTCCGCGAT</t>
  </si>
  <si>
    <t xml:space="preserve">CGGCAGCTCGCTTTTCAGAA</t>
  </si>
  <si>
    <t xml:space="preserve">TAGTCGGCAGCTCGCTTTTCAGAA</t>
  </si>
  <si>
    <t xml:space="preserve">AAACTTCTGAAAAGCGAGCTGCCG</t>
  </si>
  <si>
    <t xml:space="preserve">ACCTTGGCGGCAATGTCCGC</t>
  </si>
  <si>
    <t xml:space="preserve">TAGTACCTTGGCGGCAATGTCCGC</t>
  </si>
  <si>
    <t xml:space="preserve">AAACGCGGACATTGCCGCCAAGGT</t>
  </si>
  <si>
    <t xml:space="preserve">PST_0101</t>
  </si>
  <si>
    <t xml:space="preserve">TTCGGTCAGTTTGAAGTCCA</t>
  </si>
  <si>
    <t xml:space="preserve">TAGTTTCGGTCAGTTTGAAGTCCA</t>
  </si>
  <si>
    <t xml:space="preserve">AAACTGGACTTCAAACTGACCGAA</t>
  </si>
  <si>
    <t xml:space="preserve">GTCGCGCACCAGGCGCGCCG</t>
  </si>
  <si>
    <t xml:space="preserve">TAGTGTCGCGCACCAGGCGCGCCG</t>
  </si>
  <si>
    <t xml:space="preserve">AAACCGGCGCGCCTGGTGCGCGAC</t>
  </si>
  <si>
    <t xml:space="preserve">CTCGCGCTGTTCGAACGGAT</t>
  </si>
  <si>
    <t xml:space="preserve">TAGTCTCGCGCTGTTCGAACGGAT</t>
  </si>
  <si>
    <t xml:space="preserve">AAACATCCGTTCGAACAGCGCGAG</t>
  </si>
  <si>
    <t xml:space="preserve">TTCGGCGGAAAAGCCCAGCT</t>
  </si>
  <si>
    <t xml:space="preserve">TAGTTTCGGCGGAAAAGCCCAGCT</t>
  </si>
  <si>
    <t xml:space="preserve">AAACAGCTGGGCTTTTCCGCCGAA</t>
  </si>
  <si>
    <t xml:space="preserve">PST_0102</t>
  </si>
  <si>
    <t xml:space="preserve">ATCCAGGCGCGGGTGCTCGA</t>
  </si>
  <si>
    <t xml:space="preserve">TAGTATCCAGGCGCGGGTGCTCGA</t>
  </si>
  <si>
    <t xml:space="preserve">AAACTCGAGCACCCGCGCCTGGAT</t>
  </si>
  <si>
    <t xml:space="preserve">ACAGCACGTAGGCGAGCATC</t>
  </si>
  <si>
    <t xml:space="preserve">TAGTACAGCACGTAGGCGAGCATC</t>
  </si>
  <si>
    <t xml:space="preserve">AAACGATGCTCGCCTACGTGCTGT</t>
  </si>
  <si>
    <t xml:space="preserve">GAGAATCTGCCGGTCGACGA</t>
  </si>
  <si>
    <t xml:space="preserve">TAGTGAGAATCTGCCGGTCGACGA</t>
  </si>
  <si>
    <t xml:space="preserve">AAACTCGTCGACCGGCAGATTCTC</t>
  </si>
  <si>
    <t xml:space="preserve">GGCGGATCGGCTCCACCAGC</t>
  </si>
  <si>
    <t xml:space="preserve">TAGTGGCGGATCGGCTCCACCAGC</t>
  </si>
  <si>
    <t xml:space="preserve">AAACGCTGGTGGAGCCGATCCGCC</t>
  </si>
  <si>
    <t xml:space="preserve">PST_0103</t>
  </si>
  <si>
    <t xml:space="preserve">AAATCGGTATAGAAGCGCTG</t>
  </si>
  <si>
    <t xml:space="preserve">TAGTAAATCGGTATAGAAGCGCTG</t>
  </si>
  <si>
    <t xml:space="preserve">AAACCAGCGCTTCTATACCGATTT</t>
  </si>
  <si>
    <t xml:space="preserve">GCCCTGGCCGGCCAGCCAGT</t>
  </si>
  <si>
    <t xml:space="preserve">TAGTGCCCTGGCCGGCCAGCCAGT</t>
  </si>
  <si>
    <t xml:space="preserve">AAACACTGGCTGGCCGGCCAGGGC</t>
  </si>
  <si>
    <t xml:space="preserve">GGTAATCGAAGGTCACCGCC</t>
  </si>
  <si>
    <t xml:space="preserve">TAGTGGTAATCGAAGGTCACCGCC</t>
  </si>
  <si>
    <t xml:space="preserve">AAACGGCGGTGACCTTCGATTACC</t>
  </si>
  <si>
    <t xml:space="preserve">GACGCGAGCGCCCCATGCCC</t>
  </si>
  <si>
    <t xml:space="preserve">TAGTGACGCGAGCGCCCCATGCCC</t>
  </si>
  <si>
    <t xml:space="preserve">AAACGGGCATGGGGCGCTCGCGTC</t>
  </si>
  <si>
    <t xml:space="preserve">PST_0104</t>
  </si>
  <si>
    <t xml:space="preserve">TTCCTGCTTGCGGCTACTGC</t>
  </si>
  <si>
    <t xml:space="preserve">TAGTTTCCTGCTTGCGGCTACTGC</t>
  </si>
  <si>
    <t xml:space="preserve">AAACGCAGTAGCCGCAAGCAGGAA</t>
  </si>
  <si>
    <t xml:space="preserve">AACAGGCGAGCGCGGCCTGA</t>
  </si>
  <si>
    <t xml:space="preserve">TAGTAACAGGCGAGCGCGGCCTGA</t>
  </si>
  <si>
    <t xml:space="preserve">AAACTCAGGCCGCGCTCGCCTGTT</t>
  </si>
  <si>
    <t xml:space="preserve">CGTCGCCTCGACACCGAATT</t>
  </si>
  <si>
    <t xml:space="preserve">TAGTCGTCGCCTCGACACCGAATT</t>
  </si>
  <si>
    <t xml:space="preserve">AAACAATTCGGTGTCGAGGCGACG</t>
  </si>
  <si>
    <t xml:space="preserve">GCGATCACGAATCATCTCGA</t>
  </si>
  <si>
    <t xml:space="preserve">TAGTGCGATCACGAATCATCTCGA</t>
  </si>
  <si>
    <t xml:space="preserve">AAACTCGAGATGATTCGTGATCGC</t>
  </si>
  <si>
    <t xml:space="preserve">PST_0105</t>
  </si>
  <si>
    <t xml:space="preserve">ACCGCGAGCAGTGCGGCCAA</t>
  </si>
  <si>
    <t xml:space="preserve">TAGTACCGCGAGCAGTGCGGCCAA</t>
  </si>
  <si>
    <t xml:space="preserve">AAACTTGGCCGCACTGCTCGCGGT</t>
  </si>
  <si>
    <t xml:space="preserve">TTCTGGCTAGTGGGCAGCGG</t>
  </si>
  <si>
    <t xml:space="preserve">TAGTTTCTGGCTAGTGGGCAGCGG</t>
  </si>
  <si>
    <t xml:space="preserve">AAACCCGCTGCCCACTAGCCAGAA</t>
  </si>
  <si>
    <t xml:space="preserve">GATGTCGTCGCTCATGGTTT</t>
  </si>
  <si>
    <t xml:space="preserve">TAGTGATGTCGTCGCTCATGGTTT</t>
  </si>
  <si>
    <t xml:space="preserve">AAACAAACCATGAGCGACGACATC</t>
  </si>
  <si>
    <t xml:space="preserve">CTTGCGATCCTTGGGAGTGC</t>
  </si>
  <si>
    <t xml:space="preserve">TAGTCTTGCGATCCTTGGGAGTGC</t>
  </si>
  <si>
    <t xml:space="preserve">AAACGCACTCCCAAGGATCGCAAG</t>
  </si>
  <si>
    <t xml:space="preserve">PST_0106</t>
  </si>
  <si>
    <t xml:space="preserve">CACGTAGCCTTGCACGGGAG</t>
  </si>
  <si>
    <t xml:space="preserve">TAGTCACGTAGCCTTGCACGGGAG</t>
  </si>
  <si>
    <t xml:space="preserve">AAACCTCCCGTGCAAGGCTACGTG</t>
  </si>
  <si>
    <t xml:space="preserve">GCCGCCACGGGCCAGTTCGG</t>
  </si>
  <si>
    <t xml:space="preserve">TAGTGCCGCCACGGGCCAGTTCGG</t>
  </si>
  <si>
    <t xml:space="preserve">AAACCCGAACTGGCCCGTGGCGGC</t>
  </si>
  <si>
    <t xml:space="preserve">AGGCCAGGGTCAAGAGGTCA</t>
  </si>
  <si>
    <t xml:space="preserve">TAGTAGGCCAGGGTCAAGAGGTCA</t>
  </si>
  <si>
    <t xml:space="preserve">AAACTGACCTCTTGACCCTGGCCT</t>
  </si>
  <si>
    <t xml:space="preserve">GCGGTGCGGGTGCTTCGCGC</t>
  </si>
  <si>
    <t xml:space="preserve">TAGTGCGGTGCGGGTGCTTCGCGC</t>
  </si>
  <si>
    <t xml:space="preserve">AAACGCGCGAAGCACCCGCACCGC</t>
  </si>
  <si>
    <t xml:space="preserve">PST_0107</t>
  </si>
  <si>
    <t xml:space="preserve">rpmB</t>
  </si>
  <si>
    <t xml:space="preserve">CCCGGTTACCGGACCCTTAC</t>
  </si>
  <si>
    <t xml:space="preserve">TAGTCCCGGTTACCGGACCCTTAC</t>
  </si>
  <si>
    <t xml:space="preserve">AAACGTAAGGGTCCGGTAACCGGG</t>
  </si>
  <si>
    <t xml:space="preserve">ACGGGTTTTGTTGTTCGCGT</t>
  </si>
  <si>
    <t xml:space="preserve">TAGTACGGGTTTTGTTGTTCGCGT</t>
  </si>
  <si>
    <t xml:space="preserve">AAACACGCGAACAACAAAACCCGT</t>
  </si>
  <si>
    <t xml:space="preserve">GATGATGCTGCAGGTTCGGC</t>
  </si>
  <si>
    <t xml:space="preserve">TAGTGATGATGCTGCAGGTTCGGC</t>
  </si>
  <si>
    <t xml:space="preserve">AAACGCCGAACCTGCAGCATCATC</t>
  </si>
  <si>
    <t xml:space="preserve">CAGACGCACGAAGCGCTTCT</t>
  </si>
  <si>
    <t xml:space="preserve">TAGTCAGACGCACGAAGCGCTTCT</t>
  </si>
  <si>
    <t xml:space="preserve">AAACAGAAGCGCTTCGTGCGTCTG</t>
  </si>
  <si>
    <t xml:space="preserve">PST_0108</t>
  </si>
  <si>
    <t xml:space="preserve">rpmG</t>
  </si>
  <si>
    <t xml:space="preserve">CGCTGGACACCAAACGGATC</t>
  </si>
  <si>
    <t xml:space="preserve">TAGTCGCTGGACACCAAACGGATC</t>
  </si>
  <si>
    <t xml:space="preserve">AAACGATCCGTTTGGTGTCCAGCG</t>
  </si>
  <si>
    <t xml:space="preserve">GGTGTAGAAGTGGCCGGTAC</t>
  </si>
  <si>
    <t xml:space="preserve">TAGTGGTGTAGAAGTGGCCGGTAC</t>
  </si>
  <si>
    <t xml:space="preserve">AAACGTACCGGCCACTTCTACACC</t>
  </si>
  <si>
    <t xml:space="preserve">GGTGCGCTTGTTCTTGTCGG</t>
  </si>
  <si>
    <t xml:space="preserve">TAGTGGTGCGCTTGTTCTTGTCGG</t>
  </si>
  <si>
    <t xml:space="preserve">AAACCCGACAAGAACAAGCGCACC</t>
  </si>
  <si>
    <t xml:space="preserve">GATTTCGATCTTGTCGGGGG</t>
  </si>
  <si>
    <t xml:space="preserve">TAGTGATTTCGATCTTGTCGGGGG</t>
  </si>
  <si>
    <t xml:space="preserve">AAACCCCCCGACAAGATCGAAATC</t>
  </si>
  <si>
    <t xml:space="preserve">PST_0109</t>
  </si>
  <si>
    <t xml:space="preserve">TACGATAGCGAATTTCCGTG</t>
  </si>
  <si>
    <t xml:space="preserve">TAGTTACGATAGCGAATTTCCGTG</t>
  </si>
  <si>
    <t xml:space="preserve">AAACCACGGAAATTCGCTATCGTA</t>
  </si>
  <si>
    <t xml:space="preserve">GTGCCGAAAAGTGGGAGAAA</t>
  </si>
  <si>
    <t xml:space="preserve">TAGTGTGCCGAAAAGTGGGAGAAA</t>
  </si>
  <si>
    <t xml:space="preserve">AAACTTTCTCCCACTTTTCGGCAC</t>
  </si>
  <si>
    <t xml:space="preserve">CTCTTGCTGTCTGCCGCGAT</t>
  </si>
  <si>
    <t xml:space="preserve">TAGTCTCTTGCTGTCTGCCGCGAT</t>
  </si>
  <si>
    <t xml:space="preserve">AAACATCGCGGCAGACAGCAAGAG</t>
  </si>
  <si>
    <t xml:space="preserve">AGCCGCCTGCAGGGCGATGC</t>
  </si>
  <si>
    <t xml:space="preserve">TAGTAGCCGCCTGCAGGGCGATGC</t>
  </si>
  <si>
    <t xml:space="preserve">AAACGCATCGCCCTGCAGGCGGCT</t>
  </si>
  <si>
    <t xml:space="preserve">PST_0110</t>
  </si>
  <si>
    <t xml:space="preserve">GATGCGCTGGGTGATCTTTA</t>
  </si>
  <si>
    <t xml:space="preserve">TAGTGATGCGCTGGGTGATCTTTA</t>
  </si>
  <si>
    <t xml:space="preserve">AAACTAAAGATCACCCAGCGCATC</t>
  </si>
  <si>
    <t xml:space="preserve">GGCGGTCGCGGGACGCTCGA</t>
  </si>
  <si>
    <t xml:space="preserve">TAGTGGCGGTCGCGGGACGCTCGA</t>
  </si>
  <si>
    <t xml:space="preserve">AAACTCGAGCGTCCCGCGACCGCC</t>
  </si>
  <si>
    <t xml:space="preserve">CGCCGTGCCATCGCTGCCGC</t>
  </si>
  <si>
    <t xml:space="preserve">TAGTCGCCGTGCCATCGCTGCCGC</t>
  </si>
  <si>
    <t xml:space="preserve">AAACGCGGCAGCGATGGCACGGCG</t>
  </si>
  <si>
    <t xml:space="preserve">GTCCATCTCCACCACGTTGA</t>
  </si>
  <si>
    <t xml:space="preserve">TAGTGTCCATCTCCACCACGTTGA</t>
  </si>
  <si>
    <t xml:space="preserve">AAACTCAACGTGGTGGAGATGGAC</t>
  </si>
  <si>
    <t xml:space="preserve">PST_0111</t>
  </si>
  <si>
    <t xml:space="preserve">CGGCATTGCGGGTTGGCGCT</t>
  </si>
  <si>
    <t xml:space="preserve">TAGTCGGCATTGCGGGTTGGCGCT</t>
  </si>
  <si>
    <t xml:space="preserve">AAACAGCGCCAACCCGCAATGCCG</t>
  </si>
  <si>
    <t xml:space="preserve">GCCATCTTACCTGTGATGCG</t>
  </si>
  <si>
    <t xml:space="preserve">TAGTGCCATCTTACCTGTGATGCG</t>
  </si>
  <si>
    <t xml:space="preserve">AAACCGCATCACAGGTAAGATGGC</t>
  </si>
  <si>
    <t xml:space="preserve">CCGTGAACACGGCAGGAAAA</t>
  </si>
  <si>
    <t xml:space="preserve">TAGTCCGTGAACACGGCAGGAAAA</t>
  </si>
  <si>
    <t xml:space="preserve">AAACTTTTCCTGCCGTGTTCACGG</t>
  </si>
  <si>
    <t xml:space="preserve">CGAGGCACTCGCATGGCGAG</t>
  </si>
  <si>
    <t xml:space="preserve">TAGTCGAGGCACTCGCATGGCGAG</t>
  </si>
  <si>
    <t xml:space="preserve">AAACCTCGCCATGCGAGTGCCTCG</t>
  </si>
  <si>
    <t xml:space="preserve">PST_0112</t>
  </si>
  <si>
    <t xml:space="preserve">thrB</t>
  </si>
  <si>
    <t xml:space="preserve">TCCAGTTCATCGCGTTGCAG</t>
  </si>
  <si>
    <t xml:space="preserve">TAGTTCCAGTTCATCGCGTTGCAG</t>
  </si>
  <si>
    <t xml:space="preserve">AAACCTGCAACGCGATGAACTGGA</t>
  </si>
  <si>
    <t xml:space="preserve">GAGCCGGTAGGGCGCCAGAA</t>
  </si>
  <si>
    <t xml:space="preserve">TAGTGAGCCGGTAGGGCGCCAGAA</t>
  </si>
  <si>
    <t xml:space="preserve">AAACTTCTGGCGCCCTACCGGCTC</t>
  </si>
  <si>
    <t xml:space="preserve">CGCTGCCTGCGGCGATGCCC</t>
  </si>
  <si>
    <t xml:space="preserve">TAGTCGCTGCCTGCGGCGATGCCC</t>
  </si>
  <si>
    <t xml:space="preserve">AAACGGGCATCGCCGCAGGCAGCG</t>
  </si>
  <si>
    <t xml:space="preserve">GCACGTATTCGCCCTGCTCC</t>
  </si>
  <si>
    <t xml:space="preserve">TAGTGCACGTATTCGCCCTGCTCC</t>
  </si>
  <si>
    <t xml:space="preserve">AAACGGAGCAGGGCGAATACGTGC</t>
  </si>
  <si>
    <t xml:space="preserve">PST_0114</t>
  </si>
  <si>
    <t xml:space="preserve">CAGGTGTTTGAGAGCGCGCA</t>
  </si>
  <si>
    <t xml:space="preserve">TAGTCAGGTGTTTGAGAGCGCGCA</t>
  </si>
  <si>
    <t xml:space="preserve">AAACTGCGCGCTCTCAAACACCTG</t>
  </si>
  <si>
    <t xml:space="preserve">AGGGGCGCATGCCAGCAGGC</t>
  </si>
  <si>
    <t xml:space="preserve">TAGTAGGGGCGCATGCCAGCAGGC</t>
  </si>
  <si>
    <t xml:space="preserve">AAACGCCTGCTGGCATGCGCCCCT</t>
  </si>
  <si>
    <t xml:space="preserve">TCCTGGGCGAAGCCGGCCAG</t>
  </si>
  <si>
    <t xml:space="preserve">TAGTTCCTGGGCGAAGCCGGCCAG</t>
  </si>
  <si>
    <t xml:space="preserve">AAACCTGGCCGGCTTCGCCCAGGA</t>
  </si>
  <si>
    <t xml:space="preserve">TCCTGACGGATGGTTACGTC</t>
  </si>
  <si>
    <t xml:space="preserve">TAGTTCCTGACGGATGGTTACGTC</t>
  </si>
  <si>
    <t xml:space="preserve">AAACGACGTAACCATCCGTCAGGA</t>
  </si>
  <si>
    <t xml:space="preserve">PST_0113</t>
  </si>
  <si>
    <t xml:space="preserve">polA</t>
  </si>
  <si>
    <t xml:space="preserve">ATCAACCTTTTCGGCGGGCC</t>
  </si>
  <si>
    <t xml:space="preserve">TAGTATCAACCTTTTCGGCGGGCC</t>
  </si>
  <si>
    <t xml:space="preserve">AAACGGCCCGCCGAAAAGGTTGAT</t>
  </si>
  <si>
    <t xml:space="preserve">AGGGGGGCTTGGCTCATGAG</t>
  </si>
  <si>
    <t xml:space="preserve">TAGTAGGGGGGCTTGGCTCATGAG</t>
  </si>
  <si>
    <t xml:space="preserve">AAACCTCATGAGCCAAGCCCCCCT</t>
  </si>
  <si>
    <t xml:space="preserve">ACGAACCGTCCACCAGGACG</t>
  </si>
  <si>
    <t xml:space="preserve">TAGTACGAACCGTCCACCAGGACG</t>
  </si>
  <si>
    <t xml:space="preserve">AAACCGTCCTGGTGGACGGTTCGT</t>
  </si>
  <si>
    <t xml:space="preserve">GTGGAAGGCGCGGTACAGGT</t>
  </si>
  <si>
    <t xml:space="preserve">TAGTGTGGAAGGCGCGGTACAGGT</t>
  </si>
  <si>
    <t xml:space="preserve">AAACACCTGTACCGCGCCTTCCAC</t>
  </si>
  <si>
    <t xml:space="preserve">PST_0115</t>
  </si>
  <si>
    <t xml:space="preserve">CAGCAGCCAGGCGCCGAGGC</t>
  </si>
  <si>
    <t xml:space="preserve">TAGTCAGCAGCCAGGCGCCGAGGC</t>
  </si>
  <si>
    <t xml:space="preserve">AAACGCCTCGGCGCCTGGCTGCTG</t>
  </si>
  <si>
    <t xml:space="preserve">CATGAGCCGCGATGCTGGCC</t>
  </si>
  <si>
    <t xml:space="preserve">TAGTCATGAGCCGCGATGCTGGCC</t>
  </si>
  <si>
    <t xml:space="preserve">AAACGGCCAGCATCGCGGCTCATG</t>
  </si>
  <si>
    <t xml:space="preserve">GCGTGCGTGAGTCGAGAACC</t>
  </si>
  <si>
    <t xml:space="preserve">TAGTGCGTGCGTGAGTCGAGAACC</t>
  </si>
  <si>
    <t xml:space="preserve">AAACGGTTCTCGACTCACGCACGC</t>
  </si>
  <si>
    <t xml:space="preserve">GCGCGGGGGCAGGGCGGCCA</t>
  </si>
  <si>
    <t xml:space="preserve">TAGTGCGCGGGGGCAGGGCGGCCA</t>
  </si>
  <si>
    <t xml:space="preserve">AAACTGGCCGCCCTGCCCCCGCGC</t>
  </si>
  <si>
    <t xml:space="preserve">PST_0116</t>
  </si>
  <si>
    <t xml:space="preserve">TCTCTCACGGGTCTGGGCAC</t>
  </si>
  <si>
    <t xml:space="preserve">TAGTTCTCTCACGGGTCTGGGCAC</t>
  </si>
  <si>
    <t xml:space="preserve">AAACGTGCCCAGACCCGTGAGAGA</t>
  </si>
  <si>
    <t xml:space="preserve">GACGGCCAGCGCCAGCGGGG</t>
  </si>
  <si>
    <t xml:space="preserve">TAGTGACGGCCAGCGCCAGCGGGG</t>
  </si>
  <si>
    <t xml:space="preserve">AAACCCCCGCTGGCGCTGGCCGTC</t>
  </si>
  <si>
    <t xml:space="preserve">CTGCGCCTGGGCTGTGCCCG</t>
  </si>
  <si>
    <t xml:space="preserve">TAGTCTGCGCCTGGGCTGTGCCCG</t>
  </si>
  <si>
    <t xml:space="preserve">AAACCGGGCACAGCCCAGGCGCAG</t>
  </si>
  <si>
    <t xml:space="preserve">GATGTTGCTGGTGGCCACGA</t>
  </si>
  <si>
    <t xml:space="preserve">TAGTGATGTTGCTGGTGGCCACGA</t>
  </si>
  <si>
    <t xml:space="preserve">AAACTCGTGGCCACCAGCAACATC</t>
  </si>
  <si>
    <t xml:space="preserve">PST_0117</t>
  </si>
  <si>
    <t xml:space="preserve">GCGATGGAAAACGAACGCAT</t>
  </si>
  <si>
    <t xml:space="preserve">TAGTGCGATGGAAAACGAACGCAT</t>
  </si>
  <si>
    <t xml:space="preserve">AAACATGCGTTCGTTTTCCATCGC</t>
  </si>
  <si>
    <t xml:space="preserve">GCTGCAGCCGAACAGCAGAA</t>
  </si>
  <si>
    <t xml:space="preserve">TAGTGCTGCAGCCGAACAGCAGAA</t>
  </si>
  <si>
    <t xml:space="preserve">AAACTTCTGCTGTTCGGCTGCAGC</t>
  </si>
  <si>
    <t xml:space="preserve">ATCGAACGCCATGGCGGAGC</t>
  </si>
  <si>
    <t xml:space="preserve">TAGTATCGAACGCCATGGCGGAGC</t>
  </si>
  <si>
    <t xml:space="preserve">AAACGCTCCGCCATGGCGTTCGAT</t>
  </si>
  <si>
    <t xml:space="preserve">GTAGCTGGTACGCACGACGG</t>
  </si>
  <si>
    <t xml:space="preserve">TAGTGTAGCTGGTACGCACGACGG</t>
  </si>
  <si>
    <t xml:space="preserve">AAACCCGTCGTGCGTACCAGCTAC</t>
  </si>
  <si>
    <t xml:space="preserve">PST_0118</t>
  </si>
  <si>
    <t xml:space="preserve">GGGAAGCAGGATTCGGGACA</t>
  </si>
  <si>
    <t xml:space="preserve">TAGTGGGAAGCAGGATTCGGGACA</t>
  </si>
  <si>
    <t xml:space="preserve">AAACTGTCCCGAATCCTGCTTCCC</t>
  </si>
  <si>
    <t xml:space="preserve">AGCAGGCCGGCGGCGAGGAA</t>
  </si>
  <si>
    <t xml:space="preserve">TAGTAGCAGGCCGGCGGCGAGGAA</t>
  </si>
  <si>
    <t xml:space="preserve">AAACTTCCTCGCCGCCGGCCTGCT</t>
  </si>
  <si>
    <t xml:space="preserve">GTCGGTGGTGGCGGTGAAGC</t>
  </si>
  <si>
    <t xml:space="preserve">TAGTGTCGGTGGTGGCGGTGAAGC</t>
  </si>
  <si>
    <t xml:space="preserve">AAACGCTTCACCGCCACCACCGAC</t>
  </si>
  <si>
    <t xml:space="preserve">TGGCATCGACGGTATTGATC</t>
  </si>
  <si>
    <t xml:space="preserve">TAGTTGGCATCGACGGTATTGATC</t>
  </si>
  <si>
    <t xml:space="preserve">AAACGATCAATACCGTCGATGCCA</t>
  </si>
  <si>
    <t xml:space="preserve">PST_0119</t>
  </si>
  <si>
    <t xml:space="preserve">CATGACCGGGATGCTGCGCT</t>
  </si>
  <si>
    <t xml:space="preserve">TAGTCATGACCGGGATGCTGCGCT</t>
  </si>
  <si>
    <t xml:space="preserve">AAACAGCGCAGCATCCCGGTCATG</t>
  </si>
  <si>
    <t xml:space="preserve">CTGCGTGCGAACAGCGGTCG</t>
  </si>
  <si>
    <t xml:space="preserve">TAGTCTGCGTGCGAACAGCGGTCG</t>
  </si>
  <si>
    <t xml:space="preserve">AAACCGACCGCTGTTCGCACGCAG</t>
  </si>
  <si>
    <t xml:space="preserve">TGTGGTGGTCCGTTCGGCGA</t>
  </si>
  <si>
    <t xml:space="preserve">TAGTTGTGGTGGTCCGTTCGGCGA</t>
  </si>
  <si>
    <t xml:space="preserve">AAACTCGCCGAACGGACCACCACA</t>
  </si>
  <si>
    <t xml:space="preserve">GCCCAGGGATGGCTGTGGCG</t>
  </si>
  <si>
    <t xml:space="preserve">TAGTGCCCAGGGATGGCTGTGGCG</t>
  </si>
  <si>
    <t xml:space="preserve">AAACCGCCACAGCCATCCCTGGGC</t>
  </si>
  <si>
    <t xml:space="preserve">PST_0120</t>
  </si>
  <si>
    <t xml:space="preserve">AGCAGGCGGGGTCTGGCCAT</t>
  </si>
  <si>
    <t xml:space="preserve">TAGTAGCAGGCGGGGTCTGGCCAT</t>
  </si>
  <si>
    <t xml:space="preserve">AAACATGGCCAGACCCCGCCTGCT</t>
  </si>
  <si>
    <t xml:space="preserve">AGCGCGAGGGTGAAATTGTC</t>
  </si>
  <si>
    <t xml:space="preserve">TAGTAGCGCGAGGGTGAAATTGTC</t>
  </si>
  <si>
    <t xml:space="preserve">AAACGACAATTTCACCCTCGCGCT</t>
  </si>
  <si>
    <t xml:space="preserve">CCCGCGCGCCGGCAGCAGCG</t>
  </si>
  <si>
    <t xml:space="preserve">TAGTCCCGCGCGCCGGCAGCAGCG</t>
  </si>
  <si>
    <t xml:space="preserve">AAACCGCTGCTGCCGGCGCGCGGG</t>
  </si>
  <si>
    <t xml:space="preserve">CAGCAGGCCAATGGCCAGAT</t>
  </si>
  <si>
    <t xml:space="preserve">TAGTCAGCAGGCCAATGGCCAGAT</t>
  </si>
  <si>
    <t xml:space="preserve">AAACATCTGGCCATTGGCCTGCTG</t>
  </si>
  <si>
    <t xml:space="preserve">PST_0121</t>
  </si>
  <si>
    <t xml:space="preserve">AGTAGCAGAATCTTCTTCAT</t>
  </si>
  <si>
    <t xml:space="preserve">TAGTAGTAGCAGAATCTTCTTCAT</t>
  </si>
  <si>
    <t xml:space="preserve">AAACATGAAGAAGATTCTGCTACT</t>
  </si>
  <si>
    <t xml:space="preserve">CTGGCCGGCGGAATGGGCGA</t>
  </si>
  <si>
    <t xml:space="preserve">TAGTCTGGCCGGCGGAATGGGCGA</t>
  </si>
  <si>
    <t xml:space="preserve">AAACTCGCCCATTCCGCCGGCCAG</t>
  </si>
  <si>
    <t xml:space="preserve">TGAGGGTTTCGATGGCTGCC</t>
  </si>
  <si>
    <t xml:space="preserve">TAGTTGAGGGTTTCGATGGCTGCC</t>
  </si>
  <si>
    <t xml:space="preserve">AAACGGCAGCCATCGAAACCCTCA</t>
  </si>
  <si>
    <t xml:space="preserve">GGTGGTGCGCACCTCGAAGC</t>
  </si>
  <si>
    <t xml:space="preserve">TAGTGGTGGTGCGCACCTCGAAGC</t>
  </si>
  <si>
    <t xml:space="preserve">AAACGCTTCGAGGTGCGCACCACC</t>
  </si>
  <si>
    <t xml:space="preserve">PST_0122</t>
  </si>
  <si>
    <t xml:space="preserve">pntB</t>
  </si>
  <si>
    <t xml:space="preserve">CCAGATAGAGCAGGGTGATC</t>
  </si>
  <si>
    <t xml:space="preserve">TAGTCCAGATAGAGCAGGGTGATC</t>
  </si>
  <si>
    <t xml:space="preserve">AAACGATCACCCTGCTCTATCTGG</t>
  </si>
  <si>
    <t xml:space="preserve">TGCCTGGATGAAGCACACCG</t>
  </si>
  <si>
    <t xml:space="preserve">TAGTTGCCTGGATGAAGCACACCG</t>
  </si>
  <si>
    <t xml:space="preserve">AAACCGGTGTGCTTCATCCAGGCA</t>
  </si>
  <si>
    <t xml:space="preserve">GTGAGGTGGTGGGGTGGGAG</t>
  </si>
  <si>
    <t xml:space="preserve">TAGTGTGAGGTGGTGGGGTGGGAG</t>
  </si>
  <si>
    <t xml:space="preserve">AAACCTCCCACCCCACCACCTCAC</t>
  </si>
  <si>
    <t xml:space="preserve">CTTGAAGATCAGGCCCACGG</t>
  </si>
  <si>
    <t xml:space="preserve">TAGTCTTGAAGATCAGGCCCACGG</t>
  </si>
  <si>
    <t xml:space="preserve">AAACCCGTGGGCCTGATCTTCAAG</t>
  </si>
  <si>
    <t xml:space="preserve">PST_0123</t>
  </si>
  <si>
    <t xml:space="preserve">pntAB</t>
  </si>
  <si>
    <t xml:space="preserve">TCGCCAGCACGAAGATGATC</t>
  </si>
  <si>
    <t xml:space="preserve">TAGTTCGCCAGCACGAAGATGATC</t>
  </si>
  <si>
    <t xml:space="preserve">AAACGATCATCTTCGTGCTGGCGA</t>
  </si>
  <si>
    <t xml:space="preserve">GGGTGACGTTCCAGACCACG</t>
  </si>
  <si>
    <t xml:space="preserve">TAGTGGGTGACGTTCCAGACCACG</t>
  </si>
  <si>
    <t xml:space="preserve">AAACCGTGGTCTGGAACGTCACCC</t>
  </si>
  <si>
    <t xml:space="preserve">CAGCGGCGTGTGCAGGGCCG</t>
  </si>
  <si>
    <t xml:space="preserve">TAGTCAGCGGCGTGTGCAGGGCCG</t>
  </si>
  <si>
    <t xml:space="preserve">AAACCGGCCCTGCACACGCCGCTG</t>
  </si>
  <si>
    <t xml:space="preserve">GACGATTGCCGAGATCGCGT</t>
  </si>
  <si>
    <t xml:space="preserve">TAGTGACGATTGCCGAGATCGCGT</t>
  </si>
  <si>
    <t xml:space="preserve">AAACACGCGATCTCGGCAATCGTC</t>
  </si>
  <si>
    <t xml:space="preserve">PST_0124</t>
  </si>
  <si>
    <t xml:space="preserve">pntAA</t>
  </si>
  <si>
    <t xml:space="preserve">TCCCCGGAGTGGGTTTCGAG</t>
  </si>
  <si>
    <t xml:space="preserve">TAGTTCCCCGGAGTGGGTTTCGAG</t>
  </si>
  <si>
    <t xml:space="preserve">AAACCTCGAAACCCACTCCGGGGA</t>
  </si>
  <si>
    <t xml:space="preserve">CTTGACGGTTTCCGGGGTCG</t>
  </si>
  <si>
    <t xml:space="preserve">TAGTCTTGACGGTTTCCGGGGTCG</t>
  </si>
  <si>
    <t xml:space="preserve">AAACCGACCCCGGAAACCGTCAAG</t>
  </si>
  <si>
    <t xml:space="preserve">GCAGCGTCACCCGGTGCCCT</t>
  </si>
  <si>
    <t xml:space="preserve">TAGTGCAGCGTCACCCGGTGCCCT</t>
  </si>
  <si>
    <t xml:space="preserve">AAACAGGGCACCGGGTGACGCTGC</t>
  </si>
  <si>
    <t xml:space="preserve">CGGCACGCTGGAAAGCAACC</t>
  </si>
  <si>
    <t xml:space="preserve">TAGTCGGCACGCTGGAAAGCAACC</t>
  </si>
  <si>
    <t xml:space="preserve">AAACGGTTGCTTTCCAGCGTGCCG</t>
  </si>
  <si>
    <t xml:space="preserve">PST_0125</t>
  </si>
  <si>
    <t xml:space="preserve">xcpR</t>
  </si>
  <si>
    <t xml:space="preserve">GCTGACGAATACCACGTCAA</t>
  </si>
  <si>
    <t xml:space="preserve">TAGTGCTGACGAATACCACGTCAA</t>
  </si>
  <si>
    <t xml:space="preserve">AAACTTGACGTGGTATTCGTCAGC</t>
  </si>
  <si>
    <t xml:space="preserve">GCACCAAGGTCGCAGACGCC</t>
  </si>
  <si>
    <t xml:space="preserve">TAGTGCACCAAGGTCGCAGACGCC</t>
  </si>
  <si>
    <t xml:space="preserve">AAACGGCGTCTGCGACCTTGGTGC</t>
  </si>
  <si>
    <t xml:space="preserve">CCTGATTAGCCGACTTAACC</t>
  </si>
  <si>
    <t xml:space="preserve">TAGTCCTGATTAGCCGACTTAACC</t>
  </si>
  <si>
    <t xml:space="preserve">AAACGGTTAAGTCGGCTAATCAGG</t>
  </si>
  <si>
    <t xml:space="preserve">CCTAGTTGGACTACAAGGAT</t>
  </si>
  <si>
    <t xml:space="preserve">TAGTCCTAGTTGGACTACAAGGAT</t>
  </si>
  <si>
    <t xml:space="preserve">AAACATCCTTGTAGTCCAACTAGG</t>
  </si>
  <si>
    <t xml:space="preserve">PST_0126</t>
  </si>
  <si>
    <t xml:space="preserve">xcpS</t>
  </si>
  <si>
    <t xml:space="preserve">GTCGAGGGCGAGGTATTCGA</t>
  </si>
  <si>
    <t xml:space="preserve">TAGTGTCGAGGGCGAGGTATTCGA</t>
  </si>
  <si>
    <t xml:space="preserve">AAACTCGAATACCTCGCCCTCGAC</t>
  </si>
  <si>
    <t xml:space="preserve">CCTTCTGCTCACGGCCACGG</t>
  </si>
  <si>
    <t xml:space="preserve">TAGTCCTTCTGCTCACGGCCACGG</t>
  </si>
  <si>
    <t xml:space="preserve">AAACCCGTGGCCGTGAGCAGAAGG</t>
  </si>
  <si>
    <t xml:space="preserve">GCGGGCTGTCGGCCTCGATC</t>
  </si>
  <si>
    <t xml:space="preserve">TAGTGCGGGCTGTCGGCCTCGATC</t>
  </si>
  <si>
    <t xml:space="preserve">AAACGATCGAGGCCGACAGCCCGC</t>
  </si>
  <si>
    <t xml:space="preserve">TTGGCCTGCTTCACCTCCAG</t>
  </si>
  <si>
    <t xml:space="preserve">TAGTTTGGCCTGCTTCACCTCCAG</t>
  </si>
  <si>
    <t xml:space="preserve">AAACCTGGAGGTGAAGCAGGCCAA</t>
  </si>
  <si>
    <t xml:space="preserve">PST_0127</t>
  </si>
  <si>
    <t xml:space="preserve">xcpT</t>
  </si>
  <si>
    <t xml:space="preserve">GCGCTGCAGTCTTGTTGTCA</t>
  </si>
  <si>
    <t xml:space="preserve">TAGTGCGCTGCAGTCTTGTTGTCA</t>
  </si>
  <si>
    <t xml:space="preserve">AAACTGACAACAAGACTGCAGCGC</t>
  </si>
  <si>
    <t xml:space="preserve">GGGTGAAACCGCCCTGGGTG</t>
  </si>
  <si>
    <t xml:space="preserve">TAGTGGGTGAAACCGCCCTGGGTG</t>
  </si>
  <si>
    <t xml:space="preserve">AAACCACCCAGGGCGGTTTCACCC</t>
  </si>
  <si>
    <t xml:space="preserve">CACCACCATGATCTCGATAA</t>
  </si>
  <si>
    <t xml:space="preserve">TAGTCACCACCATGATCTCGATAA</t>
  </si>
  <si>
    <t xml:space="preserve">AAACTTATCGAGATCATGGTGGTG</t>
  </si>
  <si>
    <t xml:space="preserve">CCAGCGCGGCGAGGATACCG</t>
  </si>
  <si>
    <t xml:space="preserve">TAGTCCAGCGCGGCGAGGATACCG</t>
  </si>
  <si>
    <t xml:space="preserve">AAACCGGTATCCTCGCCGCGCTGG</t>
  </si>
  <si>
    <t xml:space="preserve">PST_0128</t>
  </si>
  <si>
    <t xml:space="preserve">xcpU</t>
  </si>
  <si>
    <t xml:space="preserve">CTCGATCAGCGTGAAGGCGC</t>
  </si>
  <si>
    <t xml:space="preserve">TAGTCTCGATCAGCGTGAAGGCGC</t>
  </si>
  <si>
    <t xml:space="preserve">AAACGCGCCTTCACGCTGATCGAG</t>
  </si>
  <si>
    <t xml:space="preserve">CGCTGACCAGAATGCCCAGC</t>
  </si>
  <si>
    <t xml:space="preserve">TAGTCGCTGACCAGAATGCCCAGC</t>
  </si>
  <si>
    <t xml:space="preserve">AAACGCTGGGCATTCTGGTCAGCG</t>
  </si>
  <si>
    <t xml:space="preserve">ACGCAGCTCGCGCGAGGTAC</t>
  </si>
  <si>
    <t xml:space="preserve">TAGTACGCAGCTCGCGCGAGGTAC</t>
  </si>
  <si>
    <t xml:space="preserve">AAACGTACCTCGCGCGAGCTGCGT</t>
  </si>
  <si>
    <t xml:space="preserve">TGATCAGCAGACCGTACTCG</t>
  </si>
  <si>
    <t xml:space="preserve">TAGTTGATCAGCAGACCGTACTCG</t>
  </si>
  <si>
    <t xml:space="preserve">AAACCGAGTACGGTCTGCTGATCA</t>
  </si>
  <si>
    <t xml:space="preserve">PST_0129</t>
  </si>
  <si>
    <t xml:space="preserve">xcpV</t>
  </si>
  <si>
    <t xml:space="preserve">GGTAAAACCGCGGCCGGCCC</t>
  </si>
  <si>
    <t xml:space="preserve">TAGTGGTAAAACCGCGGCCGGCCC</t>
  </si>
  <si>
    <t xml:space="preserve">AAACGGGCCGGCCGCGGTTTTACC</t>
  </si>
  <si>
    <t xml:space="preserve">CGCCACCAGCACTTCGAGCA</t>
  </si>
  <si>
    <t xml:space="preserve">TAGTCGCCACCAGCACTTCGAGCA</t>
  </si>
  <si>
    <t xml:space="preserve">AAACTGCTCGAAGTGCTGGTGGCG</t>
  </si>
  <si>
    <t xml:space="preserve">GAGCACCACGGCCGATACGC</t>
  </si>
  <si>
    <t xml:space="preserve">TAGTGAGCACCACGGCCGATACGC</t>
  </si>
  <si>
    <t xml:space="preserve">AAACGCGTATCGGCCGTGGTGCTC</t>
  </si>
  <si>
    <t xml:space="preserve">GCTCAGGCTGCGCCCGGCGG</t>
  </si>
  <si>
    <t xml:space="preserve">TAGTGCTCAGGCTGCGCCCGGCGG</t>
  </si>
  <si>
    <t xml:space="preserve">AAACCCGCCGGGCGCAGCCTGAGC</t>
  </si>
  <si>
    <t xml:space="preserve">PST_0130</t>
  </si>
  <si>
    <t xml:space="preserve">xcpW</t>
  </si>
  <si>
    <t xml:space="preserve">CAGCAGGGTGAAGCCGGCGT</t>
  </si>
  <si>
    <t xml:space="preserve">TAGTCAGCAGGGTGAAGCCGGCGT</t>
  </si>
  <si>
    <t xml:space="preserve">AAACACGCCGGCTTCACCCTGCTG</t>
  </si>
  <si>
    <t xml:space="preserve">AAGCAGCGCGAACAGGGCGA</t>
  </si>
  <si>
    <t xml:space="preserve">TAGTAAGCAGCGCGAACAGGGCGA</t>
  </si>
  <si>
    <t xml:space="preserve">AAACTCGCCCTGTTCGCGCTGCTT</t>
  </si>
  <si>
    <t xml:space="preserve">CGAGCATGCGGTAGGTACCC</t>
  </si>
  <si>
    <t xml:space="preserve">TAGTCGAGCATGCGGTAGGTACCC</t>
  </si>
  <si>
    <t xml:space="preserve">AAACGGGTACCTACCGCATGCTCG</t>
  </si>
  <si>
    <t xml:space="preserve">TTGCTGCTCCTGCGCGCGCA</t>
  </si>
  <si>
    <t xml:space="preserve">TAGTTTGCTGCTCCTGCGCGCGCA</t>
  </si>
  <si>
    <t xml:space="preserve">AAACTGCGCGCGCAGGAGCAGCAA</t>
  </si>
  <si>
    <t xml:space="preserve">PST_0131</t>
  </si>
  <si>
    <t xml:space="preserve">xcpX</t>
  </si>
  <si>
    <t xml:space="preserve">GATGGCCACCACCAGCAGCA</t>
  </si>
  <si>
    <t xml:space="preserve">TAGTGATGGCCACCACCAGCAGCA</t>
  </si>
  <si>
    <t xml:space="preserve">AAACTGCTGCTGGTGGTGGCCATC</t>
  </si>
  <si>
    <t xml:space="preserve">TGGCGCGGATGCTCAGCTGC</t>
  </si>
  <si>
    <t xml:space="preserve">TAGTTGGCGCGGATGCTCAGCTGC</t>
  </si>
  <si>
    <t xml:space="preserve">AAACGCAGCTGAGCATCCGCGCCA</t>
  </si>
  <si>
    <t xml:space="preserve">CGCCTGCAACTGATTGCTGG</t>
  </si>
  <si>
    <t xml:space="preserve">TAGTCGCCTGCAACTGATTGCTGG</t>
  </si>
  <si>
    <t xml:space="preserve">AAACCCAGCAATCAGTTGCAGGCG</t>
  </si>
  <si>
    <t xml:space="preserve">CCAGCGCGTAATGCCAGGCC</t>
  </si>
  <si>
    <t xml:space="preserve">TAGTCCAGCGCGTAATGCCAGGCC</t>
  </si>
  <si>
    <t xml:space="preserve">AAACGGCCTGGCATTACGCGCTGG</t>
  </si>
  <si>
    <t xml:space="preserve">PST_0132</t>
  </si>
  <si>
    <t xml:space="preserve">xcpY</t>
  </si>
  <si>
    <t xml:space="preserve">GTTCTCGGCCAGCAGTTCCT</t>
  </si>
  <si>
    <t xml:space="preserve">TAGTGTTCTCGGCCAGCAGTTCCT</t>
  </si>
  <si>
    <t xml:space="preserve">AAACAGGAACTGCTGGCCGAGAAC</t>
  </si>
  <si>
    <t xml:space="preserve">ATCCGGCAGCGTCTCGCCCA</t>
  </si>
  <si>
    <t xml:space="preserve">TAGTATCCGGCAGCGTCTCGCCCA</t>
  </si>
  <si>
    <t xml:space="preserve">AAACTGGGCGAGACGCTGCCGGAT</t>
  </si>
  <si>
    <t xml:space="preserve">GGCGGATCGCCACGACGCGC</t>
  </si>
  <si>
    <t xml:space="preserve">TAGTGGCGGATCGCCACGACGCGC</t>
  </si>
  <si>
    <t xml:space="preserve">AAACGCGCGTCGTGGCGATCCGCC</t>
  </si>
  <si>
    <t xml:space="preserve">GCCAGCCGGCCAGCAGCTGG</t>
  </si>
  <si>
    <t xml:space="preserve">TAGTGCCAGCCGGCCAGCAGCTGG</t>
  </si>
  <si>
    <t xml:space="preserve">AAACCCAGCTGCTGGCCGGCTGGC</t>
  </si>
  <si>
    <t xml:space="preserve">PST_0133</t>
  </si>
  <si>
    <t xml:space="preserve">xcpZ</t>
  </si>
  <si>
    <t xml:space="preserve">CGGCGAGTCGGCAAGACGTA</t>
  </si>
  <si>
    <t xml:space="preserve">TAGTCGGCGAGTCGGCAAGACGTA</t>
  </si>
  <si>
    <t xml:space="preserve">AAACTACGTCTTGCCGACTCGCCG</t>
  </si>
  <si>
    <t xml:space="preserve">CGTTGCCAGCGCTGCCACAG</t>
  </si>
  <si>
    <t xml:space="preserve">TAGTCGTTGCCAGCGCTGCCACAG</t>
  </si>
  <si>
    <t xml:space="preserve">AAACCTGTGGCAGCGCTGGCAACG</t>
  </si>
  <si>
    <t xml:space="preserve">AGGTGCGCTCGCGCGGTGCC</t>
  </si>
  <si>
    <t xml:space="preserve">TAGTAGGTGCGCTCGCGCGGTGCC</t>
  </si>
  <si>
    <t xml:space="preserve">AAACGGCACCGCGCGAGCGCACCT</t>
  </si>
  <si>
    <t xml:space="preserve">GGCGCCGAGCAGGCTCAGCG</t>
  </si>
  <si>
    <t xml:space="preserve">TAGTGGCGCCGAGCAGGCTCAGCG</t>
  </si>
  <si>
    <t xml:space="preserve">AAACCGCTGAGCCTGCTCGGCGCC</t>
  </si>
  <si>
    <t xml:space="preserve">PST_0134</t>
  </si>
  <si>
    <t xml:space="preserve">GGGCAGTTCGGAGCAGCTTT</t>
  </si>
  <si>
    <t xml:space="preserve">TAGTGGGCAGTTCGGAGCAGCTTT</t>
  </si>
  <si>
    <t xml:space="preserve">AAACAAAGCTGCTCCGAACTGCCC</t>
  </si>
  <si>
    <t xml:space="preserve">CAACAGCTTGGTGATCAGCA</t>
  </si>
  <si>
    <t xml:space="preserve">TAGTCAACAGCTTGGTGATCAGCA</t>
  </si>
  <si>
    <t xml:space="preserve">AAACTGCTGATCACCAAGCTGTTG</t>
  </si>
  <si>
    <t xml:space="preserve">GGATCTGGTAGTCCACACCG</t>
  </si>
  <si>
    <t xml:space="preserve">TAGTGGATCTGGTAGTCCACACCG</t>
  </si>
  <si>
    <t xml:space="preserve">AAACCGGTGTGGACTACCAGATCC</t>
  </si>
  <si>
    <t xml:space="preserve">GAATATTGGGGCGGTCGCGC</t>
  </si>
  <si>
    <t xml:space="preserve">TAGTGAATATTGGGGCGGTCGCGC</t>
  </si>
  <si>
    <t xml:space="preserve">AAACGCGCGACCGCCCCAATATTC</t>
  </si>
  <si>
    <t xml:space="preserve">PST_0135</t>
  </si>
  <si>
    <t xml:space="preserve">recG</t>
  </si>
  <si>
    <t xml:space="preserve">AATGGTCGCCAGTTCGCTCA</t>
  </si>
  <si>
    <t xml:space="preserve">TAGTAATGGTCGCCAGTTCGCTCA</t>
  </si>
  <si>
    <t xml:space="preserve">AAACTGAGCGAACTGGCGACCATT</t>
  </si>
  <si>
    <t xml:space="preserve">ACGCCCTTGAGTGCGGTGAC</t>
  </si>
  <si>
    <t xml:space="preserve">TAGTACGCCCTTGAGTGCGGTGAC</t>
  </si>
  <si>
    <t xml:space="preserve">AAACGTCACCGCACTCAAGGGCGT</t>
  </si>
  <si>
    <t xml:space="preserve">GGCCAGCTTTTCTGCCAGCG</t>
  </si>
  <si>
    <t xml:space="preserve">TAGTGGCCAGCTTTTCTGCCAGCG</t>
  </si>
  <si>
    <t xml:space="preserve">AAACCGCTGGCAGAAAAGCTGGCC</t>
  </si>
  <si>
    <t xml:space="preserve">CAGGGTTTCCAGGCCGACCC</t>
  </si>
  <si>
    <t xml:space="preserve">TAGTCAGGGTTTCCAGGCCGACCC</t>
  </si>
  <si>
    <t xml:space="preserve">AAACGGGTCGGCCTGGAAACCCTG</t>
  </si>
  <si>
    <t xml:space="preserve">PST_0136</t>
  </si>
  <si>
    <t xml:space="preserve">GGTGACGATGTAGCGCAGTT</t>
  </si>
  <si>
    <t xml:space="preserve">TAGTGGTGACGATGTAGCGCAGTT</t>
  </si>
  <si>
    <t xml:space="preserve">AAACAACTGCGCTACATCGTCACC</t>
  </si>
  <si>
    <t xml:space="preserve">CGAAGTGCTGTTCCTGGGCG</t>
  </si>
  <si>
    <t xml:space="preserve">TAGTCGAAGTGCTGTTCCTGGGCG</t>
  </si>
  <si>
    <t xml:space="preserve">AAACCGCCCAGGAACAGCACTTCG</t>
  </si>
  <si>
    <t xml:space="preserve">CGTGGCAGCGCTCGGCGGCA</t>
  </si>
  <si>
    <t xml:space="preserve">TAGTCGTGGCAGCGCTCGGCGGCA</t>
  </si>
  <si>
    <t xml:space="preserve">AAACTGCCGCCGAGCGCTGCCACG</t>
  </si>
  <si>
    <t xml:space="preserve">TTCACGCCAACCGAAAGGGT</t>
  </si>
  <si>
    <t xml:space="preserve">TAGTTTCACGCCAACCGAAAGGGT</t>
  </si>
  <si>
    <t xml:space="preserve">AAACACCCTTTCGGTTGGCGTGAA</t>
  </si>
  <si>
    <t xml:space="preserve">PST_0137</t>
  </si>
  <si>
    <t xml:space="preserve">AACCGGCGATCAATACGCTA</t>
  </si>
  <si>
    <t xml:space="preserve">TAGTAACCGGCGATCAATACGCTA</t>
  </si>
  <si>
    <t xml:space="preserve">AAACTAGCGTATTGATCGCCGGTT</t>
  </si>
  <si>
    <t xml:space="preserve">CGTACACCCGCCAGCCGTCA</t>
  </si>
  <si>
    <t xml:space="preserve">TAGTCGTACACCCGCCAGCCGTCA</t>
  </si>
  <si>
    <t xml:space="preserve">AAACTGACGGCTGGCGGGTGTACG</t>
  </si>
  <si>
    <t xml:space="preserve">CAGGATCGGCACCGGCAGCT</t>
  </si>
  <si>
    <t xml:space="preserve">TAGTCAGGATCGGCACCGGCAGCT</t>
  </si>
  <si>
    <t xml:space="preserve">AAACAGCTGCCGGTGCCGATCCTG</t>
  </si>
  <si>
    <t xml:space="preserve">TCGGTCAGGTCGCCCTTGAC</t>
  </si>
  <si>
    <t xml:space="preserve">TAGTTCGGTCAGGTCGCCCTTGAC</t>
  </si>
  <si>
    <t xml:space="preserve">AAACGTCAAGGGCGACCTGACCGA</t>
  </si>
  <si>
    <t xml:space="preserve">PST_0138</t>
  </si>
  <si>
    <t xml:space="preserve">GTGCCAGCGAAGGGCTCTCA</t>
  </si>
  <si>
    <t xml:space="preserve">TAGTGTGCCAGCGAAGGGCTCTCA</t>
  </si>
  <si>
    <t xml:space="preserve">AAACTGAGAGCCCTTCGCTGGCAC</t>
  </si>
  <si>
    <t xml:space="preserve">CGGGGACGTGGTTGTCGCAG</t>
  </si>
  <si>
    <t xml:space="preserve">TAGTCGGGGACGTGGTTGTCGCAG</t>
  </si>
  <si>
    <t xml:space="preserve">AAACCTGCGACAACCACGTCCCCG</t>
  </si>
  <si>
    <t xml:space="preserve">CGGGTCCTCGATGGAGGGAT</t>
  </si>
  <si>
    <t xml:space="preserve">TAGTCGGGTCCTCGATGGAGGGAT</t>
  </si>
  <si>
    <t xml:space="preserve">AAACATCCCTCCATCGAGGACCCG</t>
  </si>
  <si>
    <t xml:space="preserve">ACCTTGATGATGGCGTCGCG</t>
  </si>
  <si>
    <t xml:space="preserve">TAGTACCTTGATGATGGCGTCGCG</t>
  </si>
  <si>
    <t xml:space="preserve">AAACCGCGACGCCATCATCAAGGT</t>
  </si>
  <si>
    <t xml:space="preserve">PST_0139</t>
  </si>
  <si>
    <t xml:space="preserve">TTGGGCCGGGTGACTTGACG</t>
  </si>
  <si>
    <t xml:space="preserve">TAGTTTGGGCCGGGTGACTTGACG</t>
  </si>
  <si>
    <t xml:space="preserve">AAACCGTCAAGTCACCCGGCCCAA</t>
  </si>
  <si>
    <t xml:space="preserve">GCGCCAGCGAGCGCGCCAAA</t>
  </si>
  <si>
    <t xml:space="preserve">TAGTGCGCCAGCGAGCGCGCCAAA</t>
  </si>
  <si>
    <t xml:space="preserve">AAACTTTGGCGCGCTCGCTGGCGC</t>
  </si>
  <si>
    <t xml:space="preserve">CCTGACGCGGCGCCACCAGC</t>
  </si>
  <si>
    <t xml:space="preserve">TAGTCCTGACGCGGCGCCACCAGC</t>
  </si>
  <si>
    <t xml:space="preserve">AAACGCTGGTGGCGCCGCGTCAGG</t>
  </si>
  <si>
    <t xml:space="preserve">CGGATCACTCCATCGCTGCC</t>
  </si>
  <si>
    <t xml:space="preserve">TAGTCGGATCACTCCATCGCTGCC</t>
  </si>
  <si>
    <t xml:space="preserve">AAACGGCAGCGATGGAGTGATCCG</t>
  </si>
  <si>
    <t xml:space="preserve">PST_0140</t>
  </si>
  <si>
    <t xml:space="preserve">ACGTTGATGACCGAAGACAT</t>
  </si>
  <si>
    <t xml:space="preserve">TAGTACGTTGATGACCGAAGACAT</t>
  </si>
  <si>
    <t xml:space="preserve">AAACATGTCTTCGGTCATCAACGT</t>
  </si>
  <si>
    <t xml:space="preserve">GGATCAGGGCGAAGACGGGC</t>
  </si>
  <si>
    <t xml:space="preserve">TAGTGGATCAGGGCGAAGACGGGC</t>
  </si>
  <si>
    <t xml:space="preserve">AAACGCCCGTCTTCGCCCTGATCC</t>
  </si>
  <si>
    <t xml:space="preserve">GGCGGCACAGGTAGCCGAGC</t>
  </si>
  <si>
    <t xml:space="preserve">TAGTGGCGGCACAGGTAGCCGAGC</t>
  </si>
  <si>
    <t xml:space="preserve">AAACGCTCGGCTACCTGTGCCGCC</t>
  </si>
  <si>
    <t xml:space="preserve">TCGGCCCCATGCGCCCGCTG</t>
  </si>
  <si>
    <t xml:space="preserve">TAGTTCGGCCCCATGCGCCCGCTG</t>
  </si>
  <si>
    <t xml:space="preserve">AAACCAGCGGGCGCATGGGGCCGA</t>
  </si>
  <si>
    <t xml:space="preserve">PST_0141</t>
  </si>
  <si>
    <t xml:space="preserve">CTGCGCAGTGTCCATGGTCA</t>
  </si>
  <si>
    <t xml:space="preserve">TAGTCTGCGCAGTGTCCATGGTCA</t>
  </si>
  <si>
    <t xml:space="preserve">AAACTGACCATGGACACTGCGCAG</t>
  </si>
  <si>
    <t xml:space="preserve">GGCCCAGATGCAGCAATGCG</t>
  </si>
  <si>
    <t xml:space="preserve">TAGTGGCCCAGATGCAGCAATGCG</t>
  </si>
  <si>
    <t xml:space="preserve">AAACCGCATTGCTGCATCTGGGCC</t>
  </si>
  <si>
    <t xml:space="preserve">GTGATAGCCGCGATCGCGCA</t>
  </si>
  <si>
    <t xml:space="preserve">TAGTGTGATAGCCGCGATCGCGCA</t>
  </si>
  <si>
    <t xml:space="preserve">AAACTGCGCGATCGCGGCTATCAC</t>
  </si>
  <si>
    <t xml:space="preserve">CGTTCGTGGGTCAGCGGGGT</t>
  </si>
  <si>
    <t xml:space="preserve">TAGTCGTTCGTGGGTCAGCGGGGT</t>
  </si>
  <si>
    <t xml:space="preserve">AAACACCCCGCTGACCCACGAACG</t>
  </si>
  <si>
    <t xml:space="preserve">PST_0142</t>
  </si>
  <si>
    <t xml:space="preserve">AGGGGTGATCGGCAGGCTGC</t>
  </si>
  <si>
    <t xml:space="preserve">TAGTAGGGGTGATCGGCAGGCTGC</t>
  </si>
  <si>
    <t xml:space="preserve">AAACGCAGCCTGCCGATCACCCCT</t>
  </si>
  <si>
    <t xml:space="preserve">TCCGGCTCCGGGGTGATGGC</t>
  </si>
  <si>
    <t xml:space="preserve">TAGTTCCGGCTCCGGGGTGATGGC</t>
  </si>
  <si>
    <t xml:space="preserve">AAACGCCATCACCCCGGAGCCGGA</t>
  </si>
  <si>
    <t xml:space="preserve">GCGAAATACAGCGCCCGTGA</t>
  </si>
  <si>
    <t xml:space="preserve">TAGTGCGAAATACAGCGCCCGTGA</t>
  </si>
  <si>
    <t xml:space="preserve">AAACTCACGGGCGCTGTATTTCGC</t>
  </si>
  <si>
    <t xml:space="preserve">CTCGTCGACCTCGCGGACGA</t>
  </si>
  <si>
    <t xml:space="preserve">TAGTCTCGTCGACCTCGCGGACGA</t>
  </si>
  <si>
    <t xml:space="preserve">AAACTCGTCCGCGAGGTCGACGAG</t>
  </si>
  <si>
    <t xml:space="preserve">PST_0143</t>
  </si>
  <si>
    <t xml:space="preserve">AGTGCGAGTCGAAGGCGCAT</t>
  </si>
  <si>
    <t xml:space="preserve">TAGTAGTGCGAGTCGAAGGCGCAT</t>
  </si>
  <si>
    <t xml:space="preserve">AAACATGCGCCTTCGACTCGCACT</t>
  </si>
  <si>
    <t xml:space="preserve">GCCATTGGCCAGCAATGCCC</t>
  </si>
  <si>
    <t xml:space="preserve">TAGTGCCATTGGCCAGCAATGCCC</t>
  </si>
  <si>
    <t xml:space="preserve">AAACGGGCATTGCTGGCCAATGGC</t>
  </si>
  <si>
    <t xml:space="preserve">CATGTCGTTGCTCTCGGCCT</t>
  </si>
  <si>
    <t xml:space="preserve">TAGTCATGTCGTTGCTCTCGGCCT</t>
  </si>
  <si>
    <t xml:space="preserve">AAACAGGCCGAGAGCAACGACATG</t>
  </si>
  <si>
    <t xml:space="preserve">CATGCGTGTAGCTGCCGATC</t>
  </si>
  <si>
    <t xml:space="preserve">TAGTCATGCGTGTAGCTGCCGATC</t>
  </si>
  <si>
    <t xml:space="preserve">AAACGATCGGCAGCTACACGCATG</t>
  </si>
  <si>
    <t xml:space="preserve">PST_0144</t>
  </si>
  <si>
    <t xml:space="preserve">GAACGCGGCGGCTCCATGTG</t>
  </si>
  <si>
    <t xml:space="preserve">TAGTGAACGCGGCGGCTCCATGTG</t>
  </si>
  <si>
    <t xml:space="preserve">AAACCACATGGAGCCGCCGCGTTC</t>
  </si>
  <si>
    <t xml:space="preserve">GAATATCTGACCGTTTTGGT</t>
  </si>
  <si>
    <t xml:space="preserve">TAGTGAATATCTGACCGTTTTGGT</t>
  </si>
  <si>
    <t xml:space="preserve">AAACACCAAAACGGTCAGATATTC</t>
  </si>
  <si>
    <t xml:space="preserve">TCCTGGAATCTTGGGGAGGC</t>
  </si>
  <si>
    <t xml:space="preserve">TAGTTCCTGGAATCTTGGGGAGGC</t>
  </si>
  <si>
    <t xml:space="preserve">AAACGCCTCCCCAAGATTCCAGGA</t>
  </si>
  <si>
    <t xml:space="preserve">CCAGCTGAACGGGGAGCAAA</t>
  </si>
  <si>
    <t xml:space="preserve">TAGTCCAGCTGAACGGGGAGCAAA</t>
  </si>
  <si>
    <t xml:space="preserve">AAACTTTGCTCCCCGTTCAGCTGG</t>
  </si>
  <si>
    <t xml:space="preserve">PST_0145</t>
  </si>
  <si>
    <t xml:space="preserve">GCGCGACCCGATCGAGCAGC</t>
  </si>
  <si>
    <t xml:space="preserve">TAGTGCGCGACCCGATCGAGCAGC</t>
  </si>
  <si>
    <t xml:space="preserve">AAACGCTGCTCGATCGGGTCGCGC</t>
  </si>
  <si>
    <t xml:space="preserve">ACCGGGCGACCTGCTCATGC</t>
  </si>
  <si>
    <t xml:space="preserve">TAGTACCGGGCGACCTGCTCATGC</t>
  </si>
  <si>
    <t xml:space="preserve">AAACGCATGAGCAGGTCGCCCGGT</t>
  </si>
  <si>
    <t xml:space="preserve">CATCCAGGCGGCTCAGCTGC</t>
  </si>
  <si>
    <t xml:space="preserve">TAGTCATCCAGGCGGCTCAGCTGC</t>
  </si>
  <si>
    <t xml:space="preserve">AAACGCAGCTGAGCCGCCTGGATG</t>
  </si>
  <si>
    <t xml:space="preserve">GTCGTCCGGCGGCAATGCAC</t>
  </si>
  <si>
    <t xml:space="preserve">TAGTGTCGTCCGGCGGCAATGCAC</t>
  </si>
  <si>
    <t xml:space="preserve">AAACGTGCATTGCCGCCGGACGAC</t>
  </si>
  <si>
    <t xml:space="preserve">PST_0146</t>
  </si>
  <si>
    <t xml:space="preserve">GGAGCGCGCGGCGTGCCTTC</t>
  </si>
  <si>
    <t xml:space="preserve">TAGTGGAGCGCGCGGCGTGCCTTC</t>
  </si>
  <si>
    <t xml:space="preserve">AAACGAAGGCACGCCGCGCGCTCC</t>
  </si>
  <si>
    <t xml:space="preserve">TTGGCAGCCACCTGATCGAC</t>
  </si>
  <si>
    <t xml:space="preserve">TAGTTTGGCAGCCACCTGATCGAC</t>
  </si>
  <si>
    <t xml:space="preserve">AAACGTCGATCAGGTGGCTGCCAA</t>
  </si>
  <si>
    <t xml:space="preserve">CAGCGGCACCAGCCCTGGAT</t>
  </si>
  <si>
    <t xml:space="preserve">TAGTCAGCGGCACCAGCCCTGGAT</t>
  </si>
  <si>
    <t xml:space="preserve">AAACATCCAGGGCTGGTGCCGCTG</t>
  </si>
  <si>
    <t xml:space="preserve">GACATCCGGATCGTCTTCTT</t>
  </si>
  <si>
    <t xml:space="preserve">TAGTGACATCCGGATCGTCTTCTT</t>
  </si>
  <si>
    <t xml:space="preserve">AAACAAGAAGACGATCCGGATGTC</t>
  </si>
  <si>
    <t xml:space="preserve">PST_0147</t>
  </si>
  <si>
    <t xml:space="preserve">GGGTGAAGGGGACGGCTCGG</t>
  </si>
  <si>
    <t xml:space="preserve">TAGTGGGTGAAGGGGACGGCTCGG</t>
  </si>
  <si>
    <t xml:space="preserve">AAACCCGAGCCGTCCCCTTCACCC</t>
  </si>
  <si>
    <t xml:space="preserve">CGGACGTTGAACTGTGAGAG</t>
  </si>
  <si>
    <t xml:space="preserve">TAGTCGGACGTTGAACTGTGAGAG</t>
  </si>
  <si>
    <t xml:space="preserve">AAACCTCTCACAGTTCAACGTCCG</t>
  </si>
  <si>
    <t xml:space="preserve">GTGGGCATGGCGGACCTGAC</t>
  </si>
  <si>
    <t xml:space="preserve">TAGTGTGGGCATGGCGGACCTGAC</t>
  </si>
  <si>
    <t xml:space="preserve">AAACGTCAGGTCCGCCATGCCCAC</t>
  </si>
  <si>
    <t xml:space="preserve">GCAGCAGTGCGGTTTTACGC</t>
  </si>
  <si>
    <t xml:space="preserve">TAGTGCAGCAGTGCGGTTTTACGC</t>
  </si>
  <si>
    <t xml:space="preserve">AAACGCGTAAAACCGCACTGCTGC</t>
  </si>
  <si>
    <t xml:space="preserve">PST_0148</t>
  </si>
  <si>
    <t xml:space="preserve">AATGGCGGTTTCGTCCTGGC</t>
  </si>
  <si>
    <t xml:space="preserve">TAGTAATGGCGGTTTCGTCCTGGC</t>
  </si>
  <si>
    <t xml:space="preserve">AAACGCCAGGACGAAACCGCCATT</t>
  </si>
  <si>
    <t xml:space="preserve">GTCGAGATCCTTGGCACCGA</t>
  </si>
  <si>
    <t xml:space="preserve">TAGTGTCGAGATCCTTGGCACCGA</t>
  </si>
  <si>
    <t xml:space="preserve">AAACTCGGTGCCAAGGATCTCGAC</t>
  </si>
  <si>
    <t xml:space="preserve">GCGCGTACTGCGCCATGATC</t>
  </si>
  <si>
    <t xml:space="preserve">TAGTGCGCGTACTGCGCCATGATC</t>
  </si>
  <si>
    <t xml:space="preserve">AAACGATCATGGCGCAGTACGCGC</t>
  </si>
  <si>
    <t xml:space="preserve">GCATCGAAGGCGACCACGTC</t>
  </si>
  <si>
    <t xml:space="preserve">TAGTGCATCGAAGGCGACCACGTC</t>
  </si>
  <si>
    <t xml:space="preserve">AAACGACGTGGTCGCCTTCGATGC</t>
  </si>
  <si>
    <t xml:space="preserve">PST_0149</t>
  </si>
  <si>
    <t xml:space="preserve">CGTCGTAATAGATCAGGCAC</t>
  </si>
  <si>
    <t xml:space="preserve">TAGTCGTCGTAATAGATCAGGCAC</t>
  </si>
  <si>
    <t xml:space="preserve">AAACGTGCCTGATCTATTACGACG</t>
  </si>
  <si>
    <t xml:space="preserve">CAGCGCTTGCCACTGTTCAT</t>
  </si>
  <si>
    <t xml:space="preserve">TAGTCAGCGCTTGCCACTGTTCAT</t>
  </si>
  <si>
    <t xml:space="preserve">AAACATGAACAGTGGCAAGCGCTG</t>
  </si>
  <si>
    <t xml:space="preserve">GCAGCTCCTCGCCACAGCTC</t>
  </si>
  <si>
    <t xml:space="preserve">TAGTGCAGCTCCTCGCCACAGCTC</t>
  </si>
  <si>
    <t xml:space="preserve">AAACGAGCTGTGGCGAGGAGCTGC</t>
  </si>
  <si>
    <t xml:space="preserve">CCCGGCGAGCATATGCCCGC</t>
  </si>
  <si>
    <t xml:space="preserve">TAGTCCCGGCGAGCATATGCCCGC</t>
  </si>
  <si>
    <t xml:space="preserve">AAACGCGGGCATATGCTCGCCGGG</t>
  </si>
  <si>
    <t xml:space="preserve">PST_0150</t>
  </si>
  <si>
    <t xml:space="preserve">GCCGCAATGGCTCCAGTGAG</t>
  </si>
  <si>
    <t xml:space="preserve">TAGTGCCGCAATGGCTCCAGTGAG</t>
  </si>
  <si>
    <t xml:space="preserve">AAACCTCACTGGAGCCATTGCGGC</t>
  </si>
  <si>
    <t xml:space="preserve">CCAGGACCCGACGCGATTCG</t>
  </si>
  <si>
    <t xml:space="preserve">TAGTCCAGGACCCGACGCGATTCG</t>
  </si>
  <si>
    <t xml:space="preserve">AAACCGAATCGCGTCGGGTCCTGG</t>
  </si>
  <si>
    <t xml:space="preserve">ACCCAGCAGGCGGATCAGCG</t>
  </si>
  <si>
    <t xml:space="preserve">TAGTACCCAGCAGGCGGATCAGCG</t>
  </si>
  <si>
    <t xml:space="preserve">AAACCGCTGATCCGCCTGCTGGGT</t>
  </si>
  <si>
    <t xml:space="preserve">GGCGTCTTGCAGTGCTTCCT</t>
  </si>
  <si>
    <t xml:space="preserve">TAGTGGCGTCTTGCAGTGCTTCCT</t>
  </si>
  <si>
    <t xml:space="preserve">AAACAGGAAGCACTGCAAGACGCC</t>
  </si>
  <si>
    <t xml:space="preserve">PST_0151</t>
  </si>
  <si>
    <t xml:space="preserve">GCCACTGCTGCACGGCCTGG</t>
  </si>
  <si>
    <t xml:space="preserve">TAGTGCCACTGCTGCACGGCCTGG</t>
  </si>
  <si>
    <t xml:space="preserve">AAACCCAGGCCGTGCAGCAGTGGC</t>
  </si>
  <si>
    <t xml:space="preserve">GAAGGTACGCACCTGAAAGC</t>
  </si>
  <si>
    <t xml:space="preserve">TAGTGAAGGTACGCACCTGAAAGC</t>
  </si>
  <si>
    <t xml:space="preserve">AAACGCTTTCAGGTGCGTACCTTC</t>
  </si>
  <si>
    <t xml:space="preserve">CTGTCAGCGCCTCGCGGGCG</t>
  </si>
  <si>
    <t xml:space="preserve">TAGTCTGTCAGCGCCTCGCGGGCG</t>
  </si>
  <si>
    <t xml:space="preserve">AAACCGCCCGCGAGGCGCTGACAG</t>
  </si>
  <si>
    <t xml:space="preserve">ACGTCGCTGATCAGCACGCC</t>
  </si>
  <si>
    <t xml:space="preserve">TAGTACGTCGCTGATCAGCACGCC</t>
  </si>
  <si>
    <t xml:space="preserve">AAACGGCGTGCTGATCAGCGACGT</t>
  </si>
  <si>
    <t xml:space="preserve">PST_0153</t>
  </si>
  <si>
    <t xml:space="preserve">GACTTGATCTACTCCAATGG</t>
  </si>
  <si>
    <t xml:space="preserve">TAGTGACTTGATCTACTCCAATGG</t>
  </si>
  <si>
    <t xml:space="preserve">AAACCCATTGGAGTAGATCAAGTC</t>
  </si>
  <si>
    <t xml:space="preserve">GGTGGCGCATTGGCGAGCCT</t>
  </si>
  <si>
    <t xml:space="preserve">TAGTGGTGGCGCATTGGCGAGCCT</t>
  </si>
  <si>
    <t xml:space="preserve">AAACAGGCTCGCCAATGCGCCACC</t>
  </si>
  <si>
    <t xml:space="preserve">TGGTAAGCGAAAGCCGGCAG</t>
  </si>
  <si>
    <t xml:space="preserve">TAGTTGGTAAGCGAAAGCCGGCAG</t>
  </si>
  <si>
    <t xml:space="preserve">AAACCTGCCGGCTTTCGCTTACCA</t>
  </si>
  <si>
    <t xml:space="preserve">CTCGCGAAGGGACGCGTCGA</t>
  </si>
  <si>
    <t xml:space="preserve">TAGTCTCGCGAAGGGACGCGTCGA</t>
  </si>
  <si>
    <t xml:space="preserve">AAACTCGACGCGTCCCTTCGCGAG</t>
  </si>
  <si>
    <t xml:space="preserve">PST_0152</t>
  </si>
  <si>
    <t xml:space="preserve">AGCAATCCCTGCTGAGCTGG</t>
  </si>
  <si>
    <t xml:space="preserve">TAGTAGCAATCCCTGCTGAGCTGG</t>
  </si>
  <si>
    <t xml:space="preserve">AAACCCAGCTCAGCAGGGATTGCT</t>
  </si>
  <si>
    <t xml:space="preserve">CGGACCTCGACTGGAGCGGC</t>
  </si>
  <si>
    <t xml:space="preserve">TAGTCGGACCTCGACTGGAGCGGC</t>
  </si>
  <si>
    <t xml:space="preserve">AAACGCCGCTCCAGTCGAGGTCCG</t>
  </si>
  <si>
    <t xml:space="preserve">AAGGATTTTTCTGAGCAAGA</t>
  </si>
  <si>
    <t xml:space="preserve">TAGTAAGGATTTTTCTGAGCAAGA</t>
  </si>
  <si>
    <t xml:space="preserve">AAACTCTTGCTCAGAAAAATCCTT</t>
  </si>
  <si>
    <t xml:space="preserve">CGTACATACCGAAGCGGAGT</t>
  </si>
  <si>
    <t xml:space="preserve">TAGTCGTACATACCGAAGCGGAGT</t>
  </si>
  <si>
    <t xml:space="preserve">AAACACTCCGCTTCGGTATGTACG</t>
  </si>
  <si>
    <t xml:space="preserve">PST_0154</t>
  </si>
  <si>
    <t xml:space="preserve">TGTTTGATCGTTTGCAGCAT</t>
  </si>
  <si>
    <t xml:space="preserve">TAGTTGTTTGATCGTTTGCAGCAT</t>
  </si>
  <si>
    <t xml:space="preserve">AAACATGCTGCAAACGATCAAACA</t>
  </si>
  <si>
    <t xml:space="preserve">CAGCAGATCGCCACGGAGAT</t>
  </si>
  <si>
    <t xml:space="preserve">TAGTCAGCAGATCGCCACGGAGAT</t>
  </si>
  <si>
    <t xml:space="preserve">AAACATCTCCGTGGCGATCTGCTG</t>
  </si>
  <si>
    <t xml:space="preserve">CGCCAGGGCGACGACGAGAC</t>
  </si>
  <si>
    <t xml:space="preserve">TAGTCGCCAGGGCGACGACGAGAC</t>
  </si>
  <si>
    <t xml:space="preserve">AAACGTCTCGTCGTCGCCCTGGCG</t>
  </si>
  <si>
    <t xml:space="preserve">CGGATCGACCCCGGCGATGA</t>
  </si>
  <si>
    <t xml:space="preserve">TAGTCGGATCGACCCCGGCGATGA</t>
  </si>
  <si>
    <t xml:space="preserve">AAACTCATCGCCGGGGTCGATCCG</t>
  </si>
  <si>
    <t xml:space="preserve">PST_0155</t>
  </si>
  <si>
    <t xml:space="preserve">GTCGATACAGGCCATTACGT</t>
  </si>
  <si>
    <t xml:space="preserve">TAGTGTCGATACAGGCCATTACGT</t>
  </si>
  <si>
    <t xml:space="preserve">AAACACGTAATGGCCTGTATCGAC</t>
  </si>
  <si>
    <t xml:space="preserve">GCAGACCGCGGCTGCTTGCG</t>
  </si>
  <si>
    <t xml:space="preserve">TAGTGCAGACCGCGGCTGCTTGCG</t>
  </si>
  <si>
    <t xml:space="preserve">AAACCGCAAGCAGCCGCGGTCTGC</t>
  </si>
  <si>
    <t xml:space="preserve">CAGCCGTTGACTGGCCCAGG</t>
  </si>
  <si>
    <t xml:space="preserve">TAGTCAGCCGTTGACTGGCCCAGG</t>
  </si>
  <si>
    <t xml:space="preserve">AAACCCTGGGCCAGTCAACGGCTG</t>
  </si>
  <si>
    <t xml:space="preserve">AGCACGTGCAGCAATGTCAG</t>
  </si>
  <si>
    <t xml:space="preserve">TAGTAGCACGTGCAGCAATGTCAG</t>
  </si>
  <si>
    <t xml:space="preserve">AAACCTGACATTGCTGCACGTGCT</t>
  </si>
  <si>
    <t xml:space="preserve">PST_0156</t>
  </si>
  <si>
    <t xml:space="preserve">AGGCCGAGGTCTTTCAGGGC</t>
  </si>
  <si>
    <t xml:space="preserve">TAGTAGGCCGAGGTCTTTCAGGGC</t>
  </si>
  <si>
    <t xml:space="preserve">AAACGCCCTGAAAGACCTCGGCCT</t>
  </si>
  <si>
    <t xml:space="preserve">TCCCACAACTGCAGCTTCAG</t>
  </si>
  <si>
    <t xml:space="preserve">TAGTTCCCACAACTGCAGCTTCAG</t>
  </si>
  <si>
    <t xml:space="preserve">AAACCTGAAGCTGCAGTTGTGGGA</t>
  </si>
  <si>
    <t xml:space="preserve">GACCAGCGTGACGGAGGGGG</t>
  </si>
  <si>
    <t xml:space="preserve">TAGTGACCAGCGTGACGGAGGGGG</t>
  </si>
  <si>
    <t xml:space="preserve">AAACCCCCCTCCGTCACGCTGGTC</t>
  </si>
  <si>
    <t xml:space="preserve">CCAGTTGTGTGACGAGGTTG</t>
  </si>
  <si>
    <t xml:space="preserve">TAGTCCAGTTGTGTGACGAGGTTG</t>
  </si>
  <si>
    <t xml:space="preserve">AAACCAACCTCGTCACACAACTGG</t>
  </si>
  <si>
    <t xml:space="preserve">PST_0157</t>
  </si>
  <si>
    <t xml:space="preserve">ATCAGTACGCGCCGGGGACT</t>
  </si>
  <si>
    <t xml:space="preserve">TAGTATCAGTACGCGCCGGGGACT</t>
  </si>
  <si>
    <t xml:space="preserve">AAACAGTCCCCGGCGCGTACTGAT</t>
  </si>
  <si>
    <t xml:space="preserve">CGCAGCGCGCCGGAGTGCTG</t>
  </si>
  <si>
    <t xml:space="preserve">TAGTCGCAGCGCGCCGGAGTGCTG</t>
  </si>
  <si>
    <t xml:space="preserve">AAACCAGCACTCCGGCGCGCTGCG</t>
  </si>
  <si>
    <t xml:space="preserve">CGTGCCGATGTGAAACGGTG</t>
  </si>
  <si>
    <t xml:space="preserve">TAGTCGTGCCGATGTGAAACGGTG</t>
  </si>
  <si>
    <t xml:space="preserve">AAACCACCGTTTCACATCGGCACG</t>
  </si>
  <si>
    <t xml:space="preserve">CGTCACCTCGGCATCCATGC</t>
  </si>
  <si>
    <t xml:space="preserve">TAGTCGTCACCTCGGCATCCATGC</t>
  </si>
  <si>
    <t xml:space="preserve">AAACGCATGGATGCCGAGGTGACG</t>
  </si>
  <si>
    <t xml:space="preserve">PST_0158</t>
  </si>
  <si>
    <t xml:space="preserve">GCAGCGAGTCGGGGAACTCC</t>
  </si>
  <si>
    <t xml:space="preserve">TAGTGCAGCGAGTCGGGGAACTCC</t>
  </si>
  <si>
    <t xml:space="preserve">AAACGGAGTTCCCCGACTCGCTGC</t>
  </si>
  <si>
    <t xml:space="preserve">CAACCACAGGCTGTGCTCCG</t>
  </si>
  <si>
    <t xml:space="preserve">TAGTCAACCACAGGCTGTGCTCCG</t>
  </si>
  <si>
    <t xml:space="preserve">AAACCGGAGCACAGCCTGTGGTTG</t>
  </si>
  <si>
    <t xml:space="preserve">ACCGTAAGCGGTCAGGCCAA</t>
  </si>
  <si>
    <t xml:space="preserve">TAGTACCGTAAGCGGTCAGGCCAA</t>
  </si>
  <si>
    <t xml:space="preserve">AAACTTGGCCTGACCGCTTACGGT</t>
  </si>
  <si>
    <t xml:space="preserve">GCCGACGCGCTTGGGGGTGA</t>
  </si>
  <si>
    <t xml:space="preserve">TAGTGCCGACGCGCTTGGGGGTGA</t>
  </si>
  <si>
    <t xml:space="preserve">AAACTCACCCCCAAGCGCGTCGGC</t>
  </si>
  <si>
    <t xml:space="preserve">PST_0159</t>
  </si>
  <si>
    <t xml:space="preserve">AGGCTGTGAGAGCCAGGCGT</t>
  </si>
  <si>
    <t xml:space="preserve">TAGTAGGCTGTGAGAGCCAGGCGT</t>
  </si>
  <si>
    <t xml:space="preserve">AAACACGCCTGGCTCTCACAGCCT</t>
  </si>
  <si>
    <t xml:space="preserve">GAGGTGGGGCAGTTGGCGGA</t>
  </si>
  <si>
    <t xml:space="preserve">TAGTGAGGTGGGGCAGTTGGCGGA</t>
  </si>
  <si>
    <t xml:space="preserve">AAACTCCGCCAACTGCCCCACCTC</t>
  </si>
  <si>
    <t xml:space="preserve">TGGCGGGGCAGGAGTACGGC</t>
  </si>
  <si>
    <t xml:space="preserve">TAGTTGGCGGGGCAGGAGTACGGC</t>
  </si>
  <si>
    <t xml:space="preserve">AAACGCCGTACTCCTGCCCCGCCA</t>
  </si>
  <si>
    <t xml:space="preserve">GTCGCATTCCGAACCGGGGC</t>
  </si>
  <si>
    <t xml:space="preserve">TAGTGTCGCATTCCGAACCGGGGC</t>
  </si>
  <si>
    <t xml:space="preserve">AAACGCCCCGGTTCGGAATGCGAC</t>
  </si>
  <si>
    <t xml:space="preserve">PST_0160</t>
  </si>
  <si>
    <t xml:space="preserve">AAAATCTTCGGGGCGATACA</t>
  </si>
  <si>
    <t xml:space="preserve">TAGTAAAATCTTCGGGGCGATACA</t>
  </si>
  <si>
    <t xml:space="preserve">AAACTGTATCGCCCCGAAGATTTT</t>
  </si>
  <si>
    <t xml:space="preserve">GCCGATCCCCGCACCGGCAC</t>
  </si>
  <si>
    <t xml:space="preserve">TAGTGCCGATCCCCGCACCGGCAC</t>
  </si>
  <si>
    <t xml:space="preserve">AAACGTGCCGGTGCGGGGATCGGC</t>
  </si>
  <si>
    <t xml:space="preserve">CAAACGTTTGCGCGATCGCC</t>
  </si>
  <si>
    <t xml:space="preserve">TAGTCAAACGTTTGCGCGATCGCC</t>
  </si>
  <si>
    <t xml:space="preserve">AAACGGCGATCGCGCAAACGTTTG</t>
  </si>
  <si>
    <t xml:space="preserve">CAGCACTGCCGCACCTGCGG</t>
  </si>
  <si>
    <t xml:space="preserve">TAGTCAGCACTGCCGCACCTGCGG</t>
  </si>
  <si>
    <t xml:space="preserve">AAACCCGCAGGTGCGGCAGTGCTG</t>
  </si>
  <si>
    <t xml:space="preserve">PST_0161</t>
  </si>
  <si>
    <t xml:space="preserve">selB</t>
  </si>
  <si>
    <t xml:space="preserve">GCCATGGTCGATATGGCCGG</t>
  </si>
  <si>
    <t xml:space="preserve">TAGTGCCATGGTCGATATGGCCGG</t>
  </si>
  <si>
    <t xml:space="preserve">AAACCCGGCCATATCGACCATGGC</t>
  </si>
  <si>
    <t xml:space="preserve">GGTGAGAGCGTGGAGCAGTG</t>
  </si>
  <si>
    <t xml:space="preserve">TAGTGGTGAGAGCGTGGAGCAGTG</t>
  </si>
  <si>
    <t xml:space="preserve">AAACCACTGCTCCACGCTCTCACC</t>
  </si>
  <si>
    <t xml:space="preserve">GCGGCGGTCGCCTTGTTGCC</t>
  </si>
  <si>
    <t xml:space="preserve">TAGTGCGGCGGTCGCCTTGTTGCC</t>
  </si>
  <si>
    <t xml:space="preserve">AAACGGCAACAAGGCGACCGCCGC</t>
  </si>
  <si>
    <t xml:space="preserve">GTAGAGGTAGCCGAGGTCGA</t>
  </si>
  <si>
    <t xml:space="preserve">TAGTGTAGAGGTAGCCGAGGTCGA</t>
  </si>
  <si>
    <t xml:space="preserve">AAACTCGACCTCGGCTACCTCTAC</t>
  </si>
  <si>
    <t xml:space="preserve">PST_0162</t>
  </si>
  <si>
    <t xml:space="preserve">selA</t>
  </si>
  <si>
    <t xml:space="preserve">CGCAGCAGCTTGTCCACCGA</t>
  </si>
  <si>
    <t xml:space="preserve">TAGTCGCAGCAGCTTGTCCACCGA</t>
  </si>
  <si>
    <t xml:space="preserve">AAACTCGGTGGACAAGCTGCTGCG</t>
  </si>
  <si>
    <t xml:space="preserve">GCTGCAGTGGCTGGCAGGCT</t>
  </si>
  <si>
    <t xml:space="preserve">TAGTGCTGCAGTGGCTGGCAGGCT</t>
  </si>
  <si>
    <t xml:space="preserve">AAACAGCCTGCCAGCCACTGCAGC</t>
  </si>
  <si>
    <t xml:space="preserve">GCCAGCTGGCCACGGCGAGC</t>
  </si>
  <si>
    <t xml:space="preserve">TAGTGCCAGCTGGCCACGGCGAGC</t>
  </si>
  <si>
    <t xml:space="preserve">AAACGCTCGCCGTGGCCAGCTGGC</t>
  </si>
  <si>
    <t xml:space="preserve">CGCTTCGGACAGTTCCAGCG</t>
  </si>
  <si>
    <t xml:space="preserve">TAGTCGCTTCGGACAGTTCCAGCG</t>
  </si>
  <si>
    <t xml:space="preserve">AAACCGCTGGAACTGTCCGAAGCG</t>
  </si>
  <si>
    <t xml:space="preserve">PST_0163</t>
  </si>
  <si>
    <t xml:space="preserve">GATCTGCCCGGGCTCGAGAA</t>
  </si>
  <si>
    <t xml:space="preserve">TAGTGATCTGCCCGGGCTCGAGAA</t>
  </si>
  <si>
    <t xml:space="preserve">AAACTTCTCGAGCCCGGGCAGATC</t>
  </si>
  <si>
    <t xml:space="preserve">GAAGGGTGGTTTGCTGGCAG</t>
  </si>
  <si>
    <t xml:space="preserve">TAGTGAAGGGTGGTTTGCTGGCAG</t>
  </si>
  <si>
    <t xml:space="preserve">AAACCTGCCAGCAAACCACCCTTC</t>
  </si>
  <si>
    <t xml:space="preserve">CAGATCGCGTGGTGGCAGGT</t>
  </si>
  <si>
    <t xml:space="preserve">TAGTCAGATCGCGTGGTGGCAGGT</t>
  </si>
  <si>
    <t xml:space="preserve">AAACACCTGCCACCACGCGATCTG</t>
  </si>
  <si>
    <t xml:space="preserve">GGCGAGGCGCGCGCTGCGCA</t>
  </si>
  <si>
    <t xml:space="preserve">TAGTGGCGAGGCGCGCGCTGCGCA</t>
  </si>
  <si>
    <t xml:space="preserve">AAACTGCGCAGCGCGCGCCTCGCC</t>
  </si>
  <si>
    <t xml:space="preserve">PST_0164</t>
  </si>
  <si>
    <t xml:space="preserve">fdnI-1</t>
  </si>
  <si>
    <t xml:space="preserve">AGTGGTTGGTCCGTTGCGAG</t>
  </si>
  <si>
    <t xml:space="preserve">TAGTAGTGGTTGGTCCGTTGCGAG</t>
  </si>
  <si>
    <t xml:space="preserve">AAACCTCGCAACGGACCAACCACT</t>
  </si>
  <si>
    <t xml:space="preserve">CGGATGGAACAGTGCCAGGC</t>
  </si>
  <si>
    <t xml:space="preserve">TAGTCGGATGGAACAGTGCCAGGC</t>
  </si>
  <si>
    <t xml:space="preserve">AAACGCCTGGCACTGTTCCATCCG</t>
  </si>
  <si>
    <t xml:space="preserve">CCGGAGAGGCCGAACAGCGC</t>
  </si>
  <si>
    <t xml:space="preserve">TAGTCCGGAGAGGCCGAACAGCGC</t>
  </si>
  <si>
    <t xml:space="preserve">AAACGCGCTGTTCGGCCTCTCCGG</t>
  </si>
  <si>
    <t xml:space="preserve">GGGGTGCAGGATGCGCGTCC</t>
  </si>
  <si>
    <t xml:space="preserve">TAGTGGGGTGCAGGATGCGCGTCC</t>
  </si>
  <si>
    <t xml:space="preserve">AAACGGACGCGCATCCTGCACCCC</t>
  </si>
  <si>
    <t xml:space="preserve">PST_0165</t>
  </si>
  <si>
    <t xml:space="preserve">fdnH-1</t>
  </si>
  <si>
    <t xml:space="preserve">GCTCGGTGGTCGTGGCGGAG</t>
  </si>
  <si>
    <t xml:space="preserve">TAGTGCTCGGTGGTCGTGGCGGAG</t>
  </si>
  <si>
    <t xml:space="preserve">AAACCTCCGCCACGACCACCGAGC</t>
  </si>
  <si>
    <t xml:space="preserve">TCGCCGACCTCGCGGATCGA</t>
  </si>
  <si>
    <t xml:space="preserve">TAGTTCGCCGACCTCGCGGATCGA</t>
  </si>
  <si>
    <t xml:space="preserve">AAACTCGATCCGCGAGGTCGGCGA</t>
  </si>
  <si>
    <t xml:space="preserve">CTTGCAGCCGATGCACTTGG</t>
  </si>
  <si>
    <t xml:space="preserve">TAGTCTTGCAGCCGATGCACTTGG</t>
  </si>
  <si>
    <t xml:space="preserve">AAACCCAAGTGCATCGGCTGCAAG</t>
  </si>
  <si>
    <t xml:space="preserve">TTCCGAACAGGCGACCTGGC</t>
  </si>
  <si>
    <t xml:space="preserve">TAGTTTCCGAACAGGCGACCTGGC</t>
  </si>
  <si>
    <t xml:space="preserve">AAACGCCAGGTCGCCTGTTCGGAA</t>
  </si>
  <si>
    <t xml:space="preserve">PST_0166</t>
  </si>
  <si>
    <t xml:space="preserve">ATCGCTCCAGTGATTGGTCA</t>
  </si>
  <si>
    <t xml:space="preserve">TAGTATCGCTCCAGTGATTGGTCA</t>
  </si>
  <si>
    <t xml:space="preserve">AAACTGACCAATCACTGGAGCGAT</t>
  </si>
  <si>
    <t xml:space="preserve">TCAGGACCAGATCGGCGTTC</t>
  </si>
  <si>
    <t xml:space="preserve">TAGTTCAGGACCAGATCGGCGTTC</t>
  </si>
  <si>
    <t xml:space="preserve">AAACGAACGCCGATCTGGTCCTGA</t>
  </si>
  <si>
    <t xml:space="preserve">GCCGCACGGGTGCGCTTCGG</t>
  </si>
  <si>
    <t xml:space="preserve">TAGTGCCGCACGGGTGCGCTTCGG</t>
  </si>
  <si>
    <t xml:space="preserve">AAACCCGAAGCGCACCCGTGCGGC</t>
  </si>
  <si>
    <t xml:space="preserve">CTTGTTGCGCGCCTTGGCCT</t>
  </si>
  <si>
    <t xml:space="preserve">TAGTCTTGTTGCGCGCCTTGGCCT</t>
  </si>
  <si>
    <t xml:space="preserve">AAACAGGCCAAGGCGCGCAACAAG</t>
  </si>
  <si>
    <t xml:space="preserve">PST_0167</t>
  </si>
  <si>
    <t xml:space="preserve">TGTCGACGGTTCATGTCCAT</t>
  </si>
  <si>
    <t xml:space="preserve">TAGTTGTCGACGGTTCATGTCCAT</t>
  </si>
  <si>
    <t xml:space="preserve">AAACATGGACATGAACCGTCGACA</t>
  </si>
  <si>
    <t xml:space="preserve">CCGCCATGCTCGACGCCCCA</t>
  </si>
  <si>
    <t xml:space="preserve">TAGTCCGCCATGCTCGACGCCCCA</t>
  </si>
  <si>
    <t xml:space="preserve">AAACTGGGGCGTCGAGCATGGCGG</t>
  </si>
  <si>
    <t xml:space="preserve">CTCGGCATATGCCGTCGGTG</t>
  </si>
  <si>
    <t xml:space="preserve">TAGTCTCGGCATATGCCGTCGGTG</t>
  </si>
  <si>
    <t xml:space="preserve">AAACCACCGACGGCATATGCCGAG</t>
  </si>
  <si>
    <t xml:space="preserve">TGTTGGTCAGTTTGAAATGC</t>
  </si>
  <si>
    <t xml:space="preserve">TAGTTGTTGGTCAGTTTGAAATGC</t>
  </si>
  <si>
    <t xml:space="preserve">AAACGCATTTCAAACTGACCAACA</t>
  </si>
  <si>
    <t xml:space="preserve">PST_0168</t>
  </si>
  <si>
    <t xml:space="preserve">CATCAACGCAGCGAGGCGAT</t>
  </si>
  <si>
    <t xml:space="preserve">TAGTCATCAACGCAGCGAGGCGAT</t>
  </si>
  <si>
    <t xml:space="preserve">AAACATCGCCTCGCTGCGTTGATG</t>
  </si>
  <si>
    <t xml:space="preserve">TGAACACCTGGGCGTGCATC</t>
  </si>
  <si>
    <t xml:space="preserve">TAGTTGAACACCTGGGCGTGCATC</t>
  </si>
  <si>
    <t xml:space="preserve">AAACGATGCACGCCCAGGTGTTCA</t>
  </si>
  <si>
    <t xml:space="preserve">GTTGATGCCACACAGCGGCC</t>
  </si>
  <si>
    <t xml:space="preserve">TAGTGTTGATGCCACACAGCGGCC</t>
  </si>
  <si>
    <t xml:space="preserve">AAACGGCCGCTGTGTGGCATCAAC</t>
  </si>
  <si>
    <t xml:space="preserve">CCACCTCGCCGCGGCGTATC</t>
  </si>
  <si>
    <t xml:space="preserve">TAGTCCACCTCGCCGCGGCGTATC</t>
  </si>
  <si>
    <t xml:space="preserve">AAACGATACGCCGCGGCGAGGTGG</t>
  </si>
  <si>
    <t xml:space="preserve">PST_0169</t>
  </si>
  <si>
    <t xml:space="preserve">ohr</t>
  </si>
  <si>
    <t xml:space="preserve">GAGGATCTTCTCGATGGACA</t>
  </si>
  <si>
    <t xml:space="preserve">TAGTGAGGATCTTCTCGATGGACA</t>
  </si>
  <si>
    <t xml:space="preserve">AAACTGTCCATCGAGAAGATCCTC</t>
  </si>
  <si>
    <t xml:space="preserve">GCCGGTGGCGGTGGCAGTAG</t>
  </si>
  <si>
    <t xml:space="preserve">TAGTGCCGGTGGCGGTGGCAGTAG</t>
  </si>
  <si>
    <t xml:space="preserve">AAACCTACTGCCACCGCCACCGGC</t>
  </si>
  <si>
    <t xml:space="preserve">ACGATGTGGCGCGACCTTCC</t>
  </si>
  <si>
    <t xml:space="preserve">TAGTACGATGTGGCGCGACCTTCC</t>
  </si>
  <si>
    <t xml:space="preserve">AAACGGAAGGTCGCGCCACATCGT</t>
  </si>
  <si>
    <t xml:space="preserve">ACAGCTGCACGTCGAGCGCC</t>
  </si>
  <si>
    <t xml:space="preserve">TAGTACAGCTGCACGTCGAGCGCC</t>
  </si>
  <si>
    <t xml:space="preserve">AAACGGCGCTCGACGTGCAGCTGT</t>
  </si>
  <si>
    <t xml:space="preserve">PST_0170</t>
  </si>
  <si>
    <t xml:space="preserve">GGTGCGAGTGATCGAGTTCA</t>
  </si>
  <si>
    <t xml:space="preserve">TAGTGGTGCGAGTGATCGAGTTCA</t>
  </si>
  <si>
    <t xml:space="preserve">AAACTGAACTCGATCACTCGCACC</t>
  </si>
  <si>
    <t xml:space="preserve">GGCCAACAGCGAGAAGGCGA</t>
  </si>
  <si>
    <t xml:space="preserve">TAGTGGCCAACAGCGAGAAGGCGA</t>
  </si>
  <si>
    <t xml:space="preserve">AAACTCGCCTTCTCGCTGTTGGCC</t>
  </si>
  <si>
    <t xml:space="preserve">GAAGGCGGGTTGCAGCGCGA</t>
  </si>
  <si>
    <t xml:space="preserve">TAGTGAAGGCGGGTTGCAGCGCGA</t>
  </si>
  <si>
    <t xml:space="preserve">AAACTCGCGCTGCAACCCGCCTTC</t>
  </si>
  <si>
    <t xml:space="preserve">CACCGGTTGTGCGGCCTCGG</t>
  </si>
  <si>
    <t xml:space="preserve">TAGTCACCGGTTGTGCGGCCTCGG</t>
  </si>
  <si>
    <t xml:space="preserve">AAACCCGAGGCCGCACAACCGGTG</t>
  </si>
  <si>
    <t xml:space="preserve">PST_0171</t>
  </si>
  <si>
    <t xml:space="preserve">GGGCATCCAGCGCGAAGGTC</t>
  </si>
  <si>
    <t xml:space="preserve">TAGTGGGCATCCAGCGCGAAGGTC</t>
  </si>
  <si>
    <t xml:space="preserve">AAACGACCTTCGCGCTGGATGCCC</t>
  </si>
  <si>
    <t xml:space="preserve">GCCGCCAAAGCGCTTGGCGT</t>
  </si>
  <si>
    <t xml:space="preserve">TAGTGCCGCCAAAGCGCTTGGCGT</t>
  </si>
  <si>
    <t xml:space="preserve">AAACACGCCAAGCGCTTTGGCGGC</t>
  </si>
  <si>
    <t xml:space="preserve">GCCTGGCGGGTCTGGTGGCT</t>
  </si>
  <si>
    <t xml:space="preserve">TAGTGCCTGGCGGGTCTGGTGGCT</t>
  </si>
  <si>
    <t xml:space="preserve">AAACAGCCACCAGACCCGCCAGGC</t>
  </si>
  <si>
    <t xml:space="preserve">GGTGCGGCCTGGGTCTGCTG</t>
  </si>
  <si>
    <t xml:space="preserve">TAGTGGTGCGGCCTGGGTCTGCTG</t>
  </si>
  <si>
    <t xml:space="preserve">AAACCAGCAGACCCAGGCCGCACC</t>
  </si>
  <si>
    <t xml:space="preserve">PST_0172</t>
  </si>
  <si>
    <t xml:space="preserve">GAGTGGCTGGTTGGTATGAC</t>
  </si>
  <si>
    <t xml:space="preserve">TAGTGAGTGGCTGGTTGGTATGAC</t>
  </si>
  <si>
    <t xml:space="preserve">AAACGTCATACCAACCAGCCACTC</t>
  </si>
  <si>
    <t xml:space="preserve">CCTTGGAAGATTCTTCTTAT</t>
  </si>
  <si>
    <t xml:space="preserve">TAGTCCTTGGAAGATTCTTCTTAT</t>
  </si>
  <si>
    <t xml:space="preserve">AAACATAAGAAGAATCTTCCAAGG</t>
  </si>
  <si>
    <t xml:space="preserve">GATGGCGGCGTTTCATGGGT</t>
  </si>
  <si>
    <t xml:space="preserve">TAGTGATGGCGGCGTTTCATGGGT</t>
  </si>
  <si>
    <t xml:space="preserve">AAACACCCATGAAACGCCGCCATC</t>
  </si>
  <si>
    <t xml:space="preserve">GAGGGTGGCAAGCAAGGCAG</t>
  </si>
  <si>
    <t xml:space="preserve">TAGTGAGGGTGGCAAGCAAGGCAG</t>
  </si>
  <si>
    <t xml:space="preserve">AAACCTGCCTTGCTTGCCACCCTC</t>
  </si>
  <si>
    <t xml:space="preserve">PST_0173</t>
  </si>
  <si>
    <t xml:space="preserve">uvrD</t>
  </si>
  <si>
    <t xml:space="preserve">GTTGAGGGAATTCAGGAGAA</t>
  </si>
  <si>
    <t xml:space="preserve">TAGTGTTGAGGGAATTCAGGAGAA</t>
  </si>
  <si>
    <t xml:space="preserve">AAACTTCTCCTGAATTCCCTCAAC</t>
  </si>
  <si>
    <t xml:space="preserve">CCAGCGGCGCGGCCACGGCC</t>
  </si>
  <si>
    <t xml:space="preserve">TAGTCCAGCGGCGCGGCCACGGCC</t>
  </si>
  <si>
    <t xml:space="preserve">AAACGGCCGTGGCCGCGCCGCTGG</t>
  </si>
  <si>
    <t xml:space="preserve">CGCCGGCCAGCACCAATTGC</t>
  </si>
  <si>
    <t xml:space="preserve">TAGTCGCCGGCCAGCACCAATTGC</t>
  </si>
  <si>
    <t xml:space="preserve">AAACGCAATTGGTGCTGGCCGGCG</t>
  </si>
  <si>
    <t xml:space="preserve">TACACGGGTCTTGCCCGAGC</t>
  </si>
  <si>
    <t xml:space="preserve">TAGTTACACGGGTCTTGCCCGAGC</t>
  </si>
  <si>
    <t xml:space="preserve">AAACGCTCGGGCAAGACCCGTGTA</t>
  </si>
  <si>
    <t xml:space="preserve">PST_0174</t>
  </si>
  <si>
    <t xml:space="preserve">CGTTCGGCAATGTGGTCGGA</t>
  </si>
  <si>
    <t xml:space="preserve">TAGTCGTTCGGCAATGTGGTCGGA</t>
  </si>
  <si>
    <t xml:space="preserve">AAACTCCGACCACATTGCCGAACG</t>
  </si>
  <si>
    <t xml:space="preserve">GAGAGCAACAGCAACAGCGC</t>
  </si>
  <si>
    <t xml:space="preserve">TAGTGAGAGCAACAGCAACAGCGC</t>
  </si>
  <si>
    <t xml:space="preserve">AAACGCGCTGTTGCTGTTGCTCTC</t>
  </si>
  <si>
    <t xml:space="preserve">TGACCTGCTGCAGCCACAGC</t>
  </si>
  <si>
    <t xml:space="preserve">TAGTTGACCTGCTGCAGCCACAGC</t>
  </si>
  <si>
    <t xml:space="preserve">AAACGCTGTGGCTGCAGCAGGTCA</t>
  </si>
  <si>
    <t xml:space="preserve">GCGCATCGGCCTGCCCCTCG</t>
  </si>
  <si>
    <t xml:space="preserve">TAGTGCGCATCGGCCTGCCCCTCG</t>
  </si>
  <si>
    <t xml:space="preserve">AAACCGAGGGGCAGGCCGATGCGC</t>
  </si>
  <si>
    <t xml:space="preserve">PST_0175</t>
  </si>
  <si>
    <t xml:space="preserve">GGCATTTTACTGCGCTTGCC</t>
  </si>
  <si>
    <t xml:space="preserve">TAGTGGCATTTTACTGCGCTTGCC</t>
  </si>
  <si>
    <t xml:space="preserve">AAACGGCAAGCGCAGTAAAATGCC</t>
  </si>
  <si>
    <t xml:space="preserve">TCGCAGGGGTATCGAAAGCG</t>
  </si>
  <si>
    <t xml:space="preserve">TAGTTCGCAGGGGTATCGAAAGCG</t>
  </si>
  <si>
    <t xml:space="preserve">AAACCGCTTTCGATACCCCTGCGA</t>
  </si>
  <si>
    <t xml:space="preserve">GTTGGGGGTGTTCATGGCGC</t>
  </si>
  <si>
    <t xml:space="preserve">TAGTGTTGGGGGTGTTCATGGCGC</t>
  </si>
  <si>
    <t xml:space="preserve">AAACGCGCCATGAACACCCCCAAC</t>
  </si>
  <si>
    <t xml:space="preserve">CAGGCGACAGCAGCTCGGTG</t>
  </si>
  <si>
    <t xml:space="preserve">TAGTCAGGCGACAGCAGCTCGGTG</t>
  </si>
  <si>
    <t xml:space="preserve">AAACCACCGAGCTGCTGTCGCCTG</t>
  </si>
  <si>
    <t xml:space="preserve">PST_0176</t>
  </si>
  <si>
    <t xml:space="preserve">ATCGCGGTACTCGGGGAACA</t>
  </si>
  <si>
    <t xml:space="preserve">TAGTATCGCGGTACTCGGGGAACA</t>
  </si>
  <si>
    <t xml:space="preserve">AAACTGTTCCCCGAGTACCGCGAT</t>
  </si>
  <si>
    <t xml:space="preserve">CTTGTTTTCAGCCTTGAGAC</t>
  </si>
  <si>
    <t xml:space="preserve">TAGTCTTGTTTTCAGCCTTGAGAC</t>
  </si>
  <si>
    <t xml:space="preserve">AAACGTCTCAAGGCTGAAAACAAG</t>
  </si>
  <si>
    <t xml:space="preserve">CTCGTCGAACAGGCGGGCAA</t>
  </si>
  <si>
    <t xml:space="preserve">TAGTCTCGTCGAACAGGCGGGCAA</t>
  </si>
  <si>
    <t xml:space="preserve">AAACTTGCCCGCCTGTTCGACGAG</t>
  </si>
  <si>
    <t xml:space="preserve">TGTTCTTCACCCGCTGGTCG</t>
  </si>
  <si>
    <t xml:space="preserve">TAGTTGTTCTTCACCCGCTGGTCG</t>
  </si>
  <si>
    <t xml:space="preserve">AAACCGACCAGCGGGTGAAGAACA</t>
  </si>
  <si>
    <t xml:space="preserve">PST_0177</t>
  </si>
  <si>
    <t xml:space="preserve">CTTGTGCTCCAGCAGCAGGT</t>
  </si>
  <si>
    <t xml:space="preserve">TAGTCTTGTGCTCCAGCAGCAGGT</t>
  </si>
  <si>
    <t xml:space="preserve">AAACACCTGCTGCTGGAGCACAAG</t>
  </si>
  <si>
    <t xml:space="preserve">TTGGTAAACGCCGGGCTCGC</t>
  </si>
  <si>
    <t xml:space="preserve">TAGTTTGGTAAACGCCGGGCTCGC</t>
  </si>
  <si>
    <t xml:space="preserve">AAACGCGAGCCCGGCGTTTACCAA</t>
  </si>
  <si>
    <t xml:space="preserve">GGCACCTTCGCTCTGCGCAT</t>
  </si>
  <si>
    <t xml:space="preserve">TAGTGGCACCTTCGCTCTGCGCAT</t>
  </si>
  <si>
    <t xml:space="preserve">AAACATGCGCAGAGCGAAGGTGCC</t>
  </si>
  <si>
    <t xml:space="preserve">GCCCTCCAGCGCTTCGCGCC</t>
  </si>
  <si>
    <t xml:space="preserve">TAGTGCCCTCCAGCGCTTCGCGCC</t>
  </si>
  <si>
    <t xml:space="preserve">AAACGGCGCGAAGCGCTGGAGGGC</t>
  </si>
  <si>
    <t xml:space="preserve">PST_0178</t>
  </si>
  <si>
    <t xml:space="preserve">GGATACAGGTCGGCTTGCAT</t>
  </si>
  <si>
    <t xml:space="preserve">TAGTGGATACAGGTCGGCTTGCAT</t>
  </si>
  <si>
    <t xml:space="preserve">AAACATGCAAGCCGACCTGTATCC</t>
  </si>
  <si>
    <t xml:space="preserve">GGCTGGTCTTCCTGGCGCGA</t>
  </si>
  <si>
    <t xml:space="preserve">TAGTGGCTGGTCTTCCTGGCGCGA</t>
  </si>
  <si>
    <t xml:space="preserve">AAACTCGCGCCAGGAAGACCAGCC</t>
  </si>
  <si>
    <t xml:space="preserve">TCCAGGCGTTCCTGCCAGCT</t>
  </si>
  <si>
    <t xml:space="preserve">TAGTTCCAGGCGTTCCTGCCAGCT</t>
  </si>
  <si>
    <t xml:space="preserve">AAACAGCTGGCAGGAACGCCTGGA</t>
  </si>
  <si>
    <t xml:space="preserve">AGGTCGCTGCGGTAGACGAC</t>
  </si>
  <si>
    <t xml:space="preserve">TAGTAGGTCGCTGCGGTAGACGAC</t>
  </si>
  <si>
    <t xml:space="preserve">AAACGTCGTCTACCGCAGCGACCT</t>
  </si>
  <si>
    <t xml:space="preserve">PST_0179</t>
  </si>
  <si>
    <t xml:space="preserve">ectC</t>
  </si>
  <si>
    <t xml:space="preserve">GTAGATGGTGGTGATGTGGA</t>
  </si>
  <si>
    <t xml:space="preserve">TAGTGTAGATGGTGGTGATGTGGA</t>
  </si>
  <si>
    <t xml:space="preserve">AAACTCCACATCACCACCATCTAC</t>
  </si>
  <si>
    <t xml:space="preserve">ACTCGAAGTGGTTCTGGTAG</t>
  </si>
  <si>
    <t xml:space="preserve">TAGTACTCGAAGTGGTTCTGGTAG</t>
  </si>
  <si>
    <t xml:space="preserve">AAACCTACCAGAACCACTTCGAGT</t>
  </si>
  <si>
    <t xml:space="preserve">GTAGATCTTGCCGTCGGCGA</t>
  </si>
  <si>
    <t xml:space="preserve">TAGTGTAGATCTTGCCGTCGGCGA</t>
  </si>
  <si>
    <t xml:space="preserve">AAACTCGCCGACGGCAAGATCTAC</t>
  </si>
  <si>
    <t xml:space="preserve">TCCAGCACGTACAGCGTGCC</t>
  </si>
  <si>
    <t xml:space="preserve">TAGTTCCAGCACGTACAGCGTGCC</t>
  </si>
  <si>
    <t xml:space="preserve">AAACGGCACGCTGTACGTGCTGGA</t>
  </si>
  <si>
    <t xml:space="preserve">PST_0180</t>
  </si>
  <si>
    <t xml:space="preserve">ectB</t>
  </si>
  <si>
    <t xml:space="preserve">ACGGCAGTAGCTGCGAACCC</t>
  </si>
  <si>
    <t xml:space="preserve">TAGTACGGCAGTAGCTGCGAACCC</t>
  </si>
  <si>
    <t xml:space="preserve">AAACGGGTTCGCAGCTACTGCCGT</t>
  </si>
  <si>
    <t xml:space="preserve">CTGCTTGAAGACCACGGGGA</t>
  </si>
  <si>
    <t xml:space="preserve">TAGTCTGCTTGAAGACCACGGGGA</t>
  </si>
  <si>
    <t xml:space="preserve">AAACTCCCCGTGGTCTTCAAGCAG</t>
  </si>
  <si>
    <t xml:space="preserve">AGTGACCAGTTCGGCGCCCT</t>
  </si>
  <si>
    <t xml:space="preserve">TAGTAGTGACCAGTTCGGCGCCCT</t>
  </si>
  <si>
    <t xml:space="preserve">AAACAGGGCGCCGAACTGGTCACT</t>
  </si>
  <si>
    <t xml:space="preserve">TGAGCGTGCCGGCACCAGCG</t>
  </si>
  <si>
    <t xml:space="preserve">TAGTTGAGCGTGCCGGCACCAGCG</t>
  </si>
  <si>
    <t xml:space="preserve">AAACCGCTGGTGCCGGCACGCTCA</t>
  </si>
  <si>
    <t xml:space="preserve">PST_0181</t>
  </si>
  <si>
    <t xml:space="preserve">ectA</t>
  </si>
  <si>
    <t xml:space="preserve">ATTGAATTCCTTTTTAGGGT</t>
  </si>
  <si>
    <t xml:space="preserve">TAGTATTGAATTCCTTTTTAGGGT</t>
  </si>
  <si>
    <t xml:space="preserve">AAACACCCTAAAAAGGAATTCAAT</t>
  </si>
  <si>
    <t xml:space="preserve">AACTCAAAACAATGCCTTTG</t>
  </si>
  <si>
    <t xml:space="preserve">TAGTAACTCAAAACAATGCCTTTG</t>
  </si>
  <si>
    <t xml:space="preserve">AAACCAAAGGCATTGTTTTGAGTT</t>
  </si>
  <si>
    <t xml:space="preserve">GGCGACGGAGCATTACGGTG</t>
  </si>
  <si>
    <t xml:space="preserve">TAGTGGCGACGGAGCATTACGGTG</t>
  </si>
  <si>
    <t xml:space="preserve">AAACCACCGTAATGCTCCGTCGCC</t>
  </si>
  <si>
    <t xml:space="preserve">TGTAACCGTCGCCGTCGGTT</t>
  </si>
  <si>
    <t xml:space="preserve">TAGTTGTAACCGTCGCCGTCGGTT</t>
  </si>
  <si>
    <t xml:space="preserve">AAACAACCGACGGCGACGGTTACA</t>
  </si>
  <si>
    <t xml:space="preserve">PST_0182</t>
  </si>
  <si>
    <t xml:space="preserve">zwf-3</t>
  </si>
  <si>
    <t xml:space="preserve">TTTGTGCAGCGTCAGGTCAC</t>
  </si>
  <si>
    <t xml:space="preserve">TAGTTTTGTGCAGCGTCAGGTCAC</t>
  </si>
  <si>
    <t xml:space="preserve">AAACGTGACCTGACGCTGCACAAA</t>
  </si>
  <si>
    <t xml:space="preserve">CGGTGCAGGTGATACAGCGC</t>
  </si>
  <si>
    <t xml:space="preserve">TAGTCGGTGCAGGTGATACAGCGC</t>
  </si>
  <si>
    <t xml:space="preserve">AAACGCGCTGTATCACCTGCACCG</t>
  </si>
  <si>
    <t xml:space="preserve">CGGCATGCAGGCGGCCGTCG</t>
  </si>
  <si>
    <t xml:space="preserve">TAGTCGGCATGCAGGCGGCCGTCG</t>
  </si>
  <si>
    <t xml:space="preserve">AAACCGACGGCCGCCTGCATGCCG</t>
  </si>
  <si>
    <t xml:space="preserve">CAGGGCGAGAATCCGCACGT</t>
  </si>
  <si>
    <t xml:space="preserve">TAGTCAGGGCGAGAATCCGCACGT</t>
  </si>
  <si>
    <t xml:space="preserve">AAACACGTGCGGATTCTCGCCCTG</t>
  </si>
  <si>
    <t xml:space="preserve">PST_0183</t>
  </si>
  <si>
    <t xml:space="preserve">GCCGACGGTGTGCGCCAGGT</t>
  </si>
  <si>
    <t xml:space="preserve">TAGTGCCGACGGTGTGCGCCAGGT</t>
  </si>
  <si>
    <t xml:space="preserve">AAACACCTGGCGCACACCGTCGGC</t>
  </si>
  <si>
    <t xml:space="preserve">CGGCAGAAGCGCACGATGGT</t>
  </si>
  <si>
    <t xml:space="preserve">TAGTCGGCAGAAGCGCACGATGGT</t>
  </si>
  <si>
    <t xml:space="preserve">AAACACCATCGTGCGCTTCTGCCG</t>
  </si>
  <si>
    <t xml:space="preserve">CTGGAAGCCGAGGCAGCCGA</t>
  </si>
  <si>
    <t xml:space="preserve">TAGTCTGGAAGCCGAGGCAGCCGA</t>
  </si>
  <si>
    <t xml:space="preserve">AAACTCGGCTGCCTCGGCTTCCAG</t>
  </si>
  <si>
    <t xml:space="preserve">TCTGCGCCAGCTTGAGCTTG</t>
  </si>
  <si>
    <t xml:space="preserve">TAGTTCTGCGCCAGCTTGAGCTTG</t>
  </si>
  <si>
    <t xml:space="preserve">AAACCAAGCTCAAGCTGGCGCAGA</t>
  </si>
  <si>
    <t xml:space="preserve">PST_0184</t>
  </si>
  <si>
    <t xml:space="preserve">ACGTCGTTGTGCCGGAGCAT</t>
  </si>
  <si>
    <t xml:space="preserve">TAGTACGTCGTTGTGCCGGAGCAT</t>
  </si>
  <si>
    <t xml:space="preserve">AAACATGCTCCGGCACAACGACGT</t>
  </si>
  <si>
    <t xml:space="preserve">AGCCTTGCTGTCGAGTGGCG</t>
  </si>
  <si>
    <t xml:space="preserve">TAGTAGCCTTGCTGTCGAGTGGCG</t>
  </si>
  <si>
    <t xml:space="preserve">AAACCGCCACTCGACAGCAAGGCT</t>
  </si>
  <si>
    <t xml:space="preserve">GGCGCTCATCCTGCTGCTTG</t>
  </si>
  <si>
    <t xml:space="preserve">TAGTGGCGCTCATCCTGCTGCTTG</t>
  </si>
  <si>
    <t xml:space="preserve">AAACCAAGCAGCAGGATGAGCGCC</t>
  </si>
  <si>
    <t xml:space="preserve">TGGCGCGGCGGAAACGCATG</t>
  </si>
  <si>
    <t xml:space="preserve">TAGTTGGCGCGGCGGAAACGCATG</t>
  </si>
  <si>
    <t xml:space="preserve">AAACCATGCGTTTCCGCCGCGCCA</t>
  </si>
  <si>
    <t xml:space="preserve">PST_0185</t>
  </si>
  <si>
    <t xml:space="preserve">CTGCAGACTCACCGCCGGTT</t>
  </si>
  <si>
    <t xml:space="preserve">TAGTCTGCAGACTCACCGCCGGTT</t>
  </si>
  <si>
    <t xml:space="preserve">AAACAACCGGCGGTGAGTCTGCAG</t>
  </si>
  <si>
    <t xml:space="preserve">CGACCAGTTCTTCCAACTGG</t>
  </si>
  <si>
    <t xml:space="preserve">TAGTCGACCAGTTCTTCCAACTGG</t>
  </si>
  <si>
    <t xml:space="preserve">AAACCCAGTTGGAAGAACTGGTCG</t>
  </si>
  <si>
    <t xml:space="preserve">CGACATATTCGAATAGCGGC</t>
  </si>
  <si>
    <t xml:space="preserve">TAGTCGACATATTCGAATAGCGGC</t>
  </si>
  <si>
    <t xml:space="preserve">AAACGCCGCTATTCGAATATGTCG</t>
  </si>
  <si>
    <t xml:space="preserve">GCGCCTCGGCCGCGTCGGTG</t>
  </si>
  <si>
    <t xml:space="preserve">TAGTGCGCCTCGGCCGCGTCGGTG</t>
  </si>
  <si>
    <t xml:space="preserve">AAACCACCGACGCGGCCGAGGCGC</t>
  </si>
  <si>
    <t xml:space="preserve">PST_0186</t>
  </si>
  <si>
    <t xml:space="preserve">accC-2</t>
  </si>
  <si>
    <t xml:space="preserve">GCGAAATGCAGGCGAACTAC</t>
  </si>
  <si>
    <t xml:space="preserve">TAGTGCGAAATGCAGGCGAACTAC</t>
  </si>
  <si>
    <t xml:space="preserve">AAACGTAGTTCGCCTGCATTTCGC</t>
  </si>
  <si>
    <t xml:space="preserve">CAGTCAGACAGAAACGCCGC</t>
  </si>
  <si>
    <t xml:space="preserve">TAGTCAGTCAGACAGAAACGCCGC</t>
  </si>
  <si>
    <t xml:space="preserve">AAACGCGGCGTTTCTGTCTGACTG</t>
  </si>
  <si>
    <t xml:space="preserve">TATTTACTTATATGTGTGTC</t>
  </si>
  <si>
    <t xml:space="preserve">TAGTTATTTACTTATATGTGTGTC</t>
  </si>
  <si>
    <t xml:space="preserve">AAACGACACACATATAAGTAAATA</t>
  </si>
  <si>
    <t xml:space="preserve">AATGAATAATTGTTTTCTTT</t>
  </si>
  <si>
    <t xml:space="preserve">TAGTAATGAATAATTGTTTTCTTT</t>
  </si>
  <si>
    <t xml:space="preserve">AAACAAAGAAAACAATTATTCATT</t>
  </si>
  <si>
    <t xml:space="preserve">PST_0187</t>
  </si>
  <si>
    <t xml:space="preserve">oadA</t>
  </si>
  <si>
    <t xml:space="preserve">GATTTTCTTCTGGGCAGTCA</t>
  </si>
  <si>
    <t xml:space="preserve">TAGTGATTTTCTTCTGGGCAGTCA</t>
  </si>
  <si>
    <t xml:space="preserve">AAACTGACTGCCCAGAAGAAAATC</t>
  </si>
  <si>
    <t xml:space="preserve">ACGCAGGATGGTGTCGGTGA</t>
  </si>
  <si>
    <t xml:space="preserve">TAGTACGCAGGATGGTGTCGGTGA</t>
  </si>
  <si>
    <t xml:space="preserve">AAACTCACCGACACCATCCTGCGT</t>
  </si>
  <si>
    <t xml:space="preserve">GGGTGGCCAGCAGCGACTGG</t>
  </si>
  <si>
    <t xml:space="preserve">TAGTGGGTGGCCAGCAGCGACTGG</t>
  </si>
  <si>
    <t xml:space="preserve">AAACCCAGTCGCTGCTGGCCACCC</t>
  </si>
  <si>
    <t xml:space="preserve">CATGTCTTCGGTGCGCATGC</t>
  </si>
  <si>
    <t xml:space="preserve">TAGTCATGTCTTCGGTGCGCATGC</t>
  </si>
  <si>
    <t xml:space="preserve">AAACGCATGCGCACCGAAGACATG</t>
  </si>
  <si>
    <t xml:space="preserve">PST_0188</t>
  </si>
  <si>
    <t xml:space="preserve">AGACGAAGAACAGCACTACC</t>
  </si>
  <si>
    <t xml:space="preserve">TAGTAGACGAAGAACAGCACTACC</t>
  </si>
  <si>
    <t xml:space="preserve">AAACGGTAGTGCTGTTCTTCGTCT</t>
  </si>
  <si>
    <t xml:space="preserve">TCTTCACCAGCCCGGCGAAC</t>
  </si>
  <si>
    <t xml:space="preserve">TAGTTCTTCACCAGCCCGGCGAAC</t>
  </si>
  <si>
    <t xml:space="preserve">AAACGTTCGCCGGGCTGGTGAAGA</t>
  </si>
  <si>
    <t xml:space="preserve">AGCGTCTCGTAGAGCGCTGG</t>
  </si>
  <si>
    <t xml:space="preserve">TAGTAGCGTCTCGTAGAGCGCTGG</t>
  </si>
  <si>
    <t xml:space="preserve">AAACCCAGCGCTCTACGAGACGCT</t>
  </si>
  <si>
    <t xml:space="preserve">CAACGCGGCACTGGCCTGCT</t>
  </si>
  <si>
    <t xml:space="preserve">TAGTCAACGCGGCACTGGCCTGCT</t>
  </si>
  <si>
    <t xml:space="preserve">AAACAGCAGGCCAGTGCCGCGTTG</t>
  </si>
  <si>
    <t xml:space="preserve">PST_0189</t>
  </si>
  <si>
    <t xml:space="preserve">AGATCACGGTCAGCAGTGTT</t>
  </si>
  <si>
    <t xml:space="preserve">TAGTAGATCACGGTCAGCAGTGTT</t>
  </si>
  <si>
    <t xml:space="preserve">AAACAACACTGCTGACCGTGATCT</t>
  </si>
  <si>
    <t xml:space="preserve">AGCGCCGAGGGTTTTCAGGT</t>
  </si>
  <si>
    <t xml:space="preserve">TAGTAGCGCCGAGGGTTTTCAGGT</t>
  </si>
  <si>
    <t xml:space="preserve">AAACACCTGAAAACCCTCGGCGCT</t>
  </si>
  <si>
    <t xml:space="preserve">GCATCGGACAGAGTCCAGCC</t>
  </si>
  <si>
    <t xml:space="preserve">TAGTGCATCGGACAGAGTCCAGCC</t>
  </si>
  <si>
    <t xml:space="preserve">AAACGGCTGGACTCTGTCCGATGC</t>
  </si>
  <si>
    <t xml:space="preserve">GCCGCGACTGCCACTGCCGC</t>
  </si>
  <si>
    <t xml:space="preserve">TAGTGCCGCGACTGCCACTGCCGC</t>
  </si>
  <si>
    <t xml:space="preserve">AAACGCGGCAGTGGCAGTCGCGGC</t>
  </si>
  <si>
    <t xml:space="preserve">PST_0190</t>
  </si>
  <si>
    <t xml:space="preserve">TCCTGCAGCAGGGCGTGCAT</t>
  </si>
  <si>
    <t xml:space="preserve">TAGTTCCTGCAGCAGGGCGTGCAT</t>
  </si>
  <si>
    <t xml:space="preserve">AAACATGCACGCCCTGCTGCAGGA</t>
  </si>
  <si>
    <t xml:space="preserve">ACACGGCCGCGCCCGAGCAG</t>
  </si>
  <si>
    <t xml:space="preserve">TAGTACACGGCCGCGCCCGAGCAG</t>
  </si>
  <si>
    <t xml:space="preserve">AAACCTGCTCGGGCGCGGCCGTGT</t>
  </si>
  <si>
    <t xml:space="preserve">GGCCAGCGCCGGAATGTAGT</t>
  </si>
  <si>
    <t xml:space="preserve">TAGTGGCCAGCGCCGGAATGTAGT</t>
  </si>
  <si>
    <t xml:space="preserve">AAACACTACATTCCGGCGCTGGCC</t>
  </si>
  <si>
    <t xml:space="preserve">CAGTTGGTCGGCTGGCACGT</t>
  </si>
  <si>
    <t xml:space="preserve">TAGTCAGTTGGTCGGCTGGCACGT</t>
  </si>
  <si>
    <t xml:space="preserve">AAACACGTGCCAGCCGACCAACTG</t>
  </si>
  <si>
    <t xml:space="preserve">PST_0191</t>
  </si>
  <si>
    <t xml:space="preserve">GTGGTCAAGGGCCTCCTGGG</t>
  </si>
  <si>
    <t xml:space="preserve">TAGTGTGGTCAAGGGCCTCCTGGG</t>
  </si>
  <si>
    <t xml:space="preserve">AAACCCCAGGAGGCCCTTGACCAC</t>
  </si>
  <si>
    <t xml:space="preserve">GCTGCGGATACACCTCTTCG</t>
  </si>
  <si>
    <t xml:space="preserve">TAGTGCTGCGGATACACCTCTTCG</t>
  </si>
  <si>
    <t xml:space="preserve">AAACCGAAGAGGTGTATCCGCAGC</t>
  </si>
  <si>
    <t xml:space="preserve">CGCCCGGGGTTTCTGCTCGT</t>
  </si>
  <si>
    <t xml:space="preserve">TAGTCGCCCGGGGTTTCTGCTCGT</t>
  </si>
  <si>
    <t xml:space="preserve">AAACACGAGCAGAAACCCCGGGCG</t>
  </si>
  <si>
    <t xml:space="preserve">GATGATCCGCGAGTCGGCAC</t>
  </si>
  <si>
    <t xml:space="preserve">TAGTGATGATCCGCGAGTCGGCAC</t>
  </si>
  <si>
    <t xml:space="preserve">AAACGTGCCGACTCGCGGATCATC</t>
  </si>
  <si>
    <t xml:space="preserve">PST_0192</t>
  </si>
  <si>
    <t xml:space="preserve">GGCCGTTCGGGATCTGGCCA</t>
  </si>
  <si>
    <t xml:space="preserve">TAGTGGCCGTTCGGGATCTGGCCA</t>
  </si>
  <si>
    <t xml:space="preserve">AAACTGGCCAGATCCCGAACGGCC</t>
  </si>
  <si>
    <t xml:space="preserve">GAGCAGGGCGAACAGCGCCC</t>
  </si>
  <si>
    <t xml:space="preserve">TAGTGAGCAGGGCGAACAGCGCCC</t>
  </si>
  <si>
    <t xml:space="preserve">AAACGGGCGCTGTTCGCCCTGCTC</t>
  </si>
  <si>
    <t xml:space="preserve">CGGGTAGTTGGCGGGCAGTT</t>
  </si>
  <si>
    <t xml:space="preserve">TAGTCGGGTAGTTGGCGGGCAGTT</t>
  </si>
  <si>
    <t xml:space="preserve">AAACAACTGCCCGCCAACTACCCG</t>
  </si>
  <si>
    <t xml:space="preserve">CTGTCGGTCTGCAGGGTGAT</t>
  </si>
  <si>
    <t xml:space="preserve">TAGTCTGTCGGTCTGCAGGGTGAT</t>
  </si>
  <si>
    <t xml:space="preserve">AAACATCACCCTGCAGACCGACAG</t>
  </si>
  <si>
    <t xml:space="preserve">PST_0193</t>
  </si>
  <si>
    <t xml:space="preserve">ansA</t>
  </si>
  <si>
    <t xml:space="preserve">GTGACCGGCCTGTCGCGTCG</t>
  </si>
  <si>
    <t xml:space="preserve">TAGTGTGACCGGCCTGTCGCGTCG</t>
  </si>
  <si>
    <t xml:space="preserve">AAACCGACGCGACAGGCCGGTCAC</t>
  </si>
  <si>
    <t xml:space="preserve">TCGCATGTTAACGGAGCGGC</t>
  </si>
  <si>
    <t xml:space="preserve">TAGTTCGCATGTTAACGGAGCGGC</t>
  </si>
  <si>
    <t xml:space="preserve">AAACGCCGCTCCGTTAACATGCGA</t>
  </si>
  <si>
    <t xml:space="preserve">GGGAAATCGGGCGGGTGGGC</t>
  </si>
  <si>
    <t xml:space="preserve">TAGTGGGAAATCGGGCGGGTGGGC</t>
  </si>
  <si>
    <t xml:space="preserve">AAACGCCCACCCGCCCGATTTCCC</t>
  </si>
  <si>
    <t xml:space="preserve">GCTGATCGGCGCAGGTCGTC</t>
  </si>
  <si>
    <t xml:space="preserve">TAGTGCTGATCGGCGCAGGTCGTC</t>
  </si>
  <si>
    <t xml:space="preserve">AAACGACGACCTGCGCCGATCAGC</t>
  </si>
  <si>
    <t xml:space="preserve">PST_0194</t>
  </si>
  <si>
    <t xml:space="preserve">GTCGTTGAGAAGGTCGAGCA</t>
  </si>
  <si>
    <t xml:space="preserve">TAGTGTCGTTGAGAAGGTCGAGCA</t>
  </si>
  <si>
    <t xml:space="preserve">AAACTGCTCGACCTTCTCAACGAC</t>
  </si>
  <si>
    <t xml:space="preserve">TCAGCAGTTTGCTCCAGATA</t>
  </si>
  <si>
    <t xml:space="preserve">TAGTTCAGCAGTTTGCTCCAGATA</t>
  </si>
  <si>
    <t xml:space="preserve">AAACTATCTGGAGCAAACTGCTGA</t>
  </si>
  <si>
    <t xml:space="preserve">CTGGACGAAGCCGGAACGGA</t>
  </si>
  <si>
    <t xml:space="preserve">TAGTCTGGACGAAGCCGGAACGGA</t>
  </si>
  <si>
    <t xml:space="preserve">AAACTCCGTTCCGGCTTCGTCCAG</t>
  </si>
  <si>
    <t xml:space="preserve">TGAACATGTTGCCGAAATAG</t>
  </si>
  <si>
    <t xml:space="preserve">TAGTTGAACATGTTGCCGAAATAG</t>
  </si>
  <si>
    <t xml:space="preserve">AAACCTATTTCGGCAACATGTTCA</t>
  </si>
  <si>
    <t xml:space="preserve">PST_0195</t>
  </si>
  <si>
    <t xml:space="preserve">TCAGCGAGGTGAGAGGTCAC</t>
  </si>
  <si>
    <t xml:space="preserve">TAGTTCAGCGAGGTGAGAGGTCAC</t>
  </si>
  <si>
    <t xml:space="preserve">AAACGTGACCTCTCACCTCGCTGA</t>
  </si>
  <si>
    <t xml:space="preserve">CCTCGGCGATGGACCGGTAA</t>
  </si>
  <si>
    <t xml:space="preserve">TAGTCCTCGGCGATGGACCGGTAA</t>
  </si>
  <si>
    <t xml:space="preserve">AAACTTACCGGTCCATCGCCGAGG</t>
  </si>
  <si>
    <t xml:space="preserve">GTTGAACTGGGCGCGGTTGA</t>
  </si>
  <si>
    <t xml:space="preserve">TAGTGTTGAACTGGGCGCGGTTGA</t>
  </si>
  <si>
    <t xml:space="preserve">AAACTCAACCGCGCCCAGTTCAAC</t>
  </si>
  <si>
    <t xml:space="preserve">TCGGCCGGCTCTGCCCGCCC</t>
  </si>
  <si>
    <t xml:space="preserve">TAGTTCGGCCGGCTCTGCCCGCCC</t>
  </si>
  <si>
    <t xml:space="preserve">AAACGGGCGGGCAGAGCCGGCCGA</t>
  </si>
  <si>
    <t xml:space="preserve">PST_0196</t>
  </si>
  <si>
    <t xml:space="preserve">GTGCGAACGGGCCGGGCTGG</t>
  </si>
  <si>
    <t xml:space="preserve">TAGTGTGCGAACGGGCCGGGCTGG</t>
  </si>
  <si>
    <t xml:space="preserve">AAACCCAGCCCGGCCCGTTCGCAC</t>
  </si>
  <si>
    <t xml:space="preserve">AGGGTCGTACTCTGAGTCAT</t>
  </si>
  <si>
    <t xml:space="preserve">TAGTAGGGTCGTACTCTGAGTCAT</t>
  </si>
  <si>
    <t xml:space="preserve">AAACATGACTCAGAGTACGACCCT</t>
  </si>
  <si>
    <t xml:space="preserve">GCAGGCGCAGGGGGGCGGAG</t>
  </si>
  <si>
    <t xml:space="preserve">TAGTGCAGGCGCAGGGGGGCGGAG</t>
  </si>
  <si>
    <t xml:space="preserve">AAACCTCCGCCCCCCTGCGCCTGC</t>
  </si>
  <si>
    <t xml:space="preserve">TCTGCTGCCAGAGCGGCAGG</t>
  </si>
  <si>
    <t xml:space="preserve">TAGTTCTGCTGCCAGAGCGGCAGG</t>
  </si>
  <si>
    <t xml:space="preserve">AAACCCTGCCGCTCTGGCAGCAGA</t>
  </si>
  <si>
    <t xml:space="preserve">PST_0197</t>
  </si>
  <si>
    <t xml:space="preserve">aspA</t>
  </si>
  <si>
    <t xml:space="preserve">GATTCGCGGTGATGCAATTT</t>
  </si>
  <si>
    <t xml:space="preserve">TAGTGATTCGCGGTGATGCAATTT</t>
  </si>
  <si>
    <t xml:space="preserve">AAACAAATTGCATCACCGCGAATC</t>
  </si>
  <si>
    <t xml:space="preserve">GAACGGGGAGGGTGCCAAGC</t>
  </si>
  <si>
    <t xml:space="preserve">TAGTGAACGGGGAGGGTGCCAAGC</t>
  </si>
  <si>
    <t xml:space="preserve">AAACGCTTGGCACCCTCCCCGTTC</t>
  </si>
  <si>
    <t xml:space="preserve">ATGCCATAGTAGGCGTCGGA</t>
  </si>
  <si>
    <t xml:space="preserve">TAGTATGCCATAGTAGGCGTCGGA</t>
  </si>
  <si>
    <t xml:space="preserve">AAACTCCGACGCCTACTATGGCAT</t>
  </si>
  <si>
    <t xml:space="preserve">TGTGCAAGGCGCGCAGGGTC</t>
  </si>
  <si>
    <t xml:space="preserve">TAGTTGTGCAAGGCGCGCAGGGTC</t>
  </si>
  <si>
    <t xml:space="preserve">AAACGACCCTGCGCGCCTTGCACA</t>
  </si>
  <si>
    <t xml:space="preserve">PST_0198</t>
  </si>
  <si>
    <t xml:space="preserve">GACGAAATCCTCCAGCCACT</t>
  </si>
  <si>
    <t xml:space="preserve">TAGTGACGAAATCCTCCAGCCACT</t>
  </si>
  <si>
    <t xml:space="preserve">AAACAGTGGCTGGAGGATTTCGTC</t>
  </si>
  <si>
    <t xml:space="preserve">AGAAGCTGCGAGTCGCCGCG</t>
  </si>
  <si>
    <t xml:space="preserve">TAGTAGAAGCTGCGAGTCGCCGCG</t>
  </si>
  <si>
    <t xml:space="preserve">AAACCGCGGCGACTCGCAGCTTCT</t>
  </si>
  <si>
    <t xml:space="preserve">ACGCCGGCTGCGTGACGAAG</t>
  </si>
  <si>
    <t xml:space="preserve">TAGTACGCCGGCTGCGTGACGAAG</t>
  </si>
  <si>
    <t xml:space="preserve">AAACCTTCGTCACGCAGCCGGCGT</t>
  </si>
  <si>
    <t xml:space="preserve">CCAGAGCCTCTTCCAGCGAA</t>
  </si>
  <si>
    <t xml:space="preserve">TAGTCCAGAGCCTCTTCCAGCGAA</t>
  </si>
  <si>
    <t xml:space="preserve">AAACTTCGCTGGAAGAGGCTCTGG</t>
  </si>
  <si>
    <t xml:space="preserve">PST_0199</t>
  </si>
  <si>
    <t xml:space="preserve">ATGCTGGCGGTCGCCGGGGC</t>
  </si>
  <si>
    <t xml:space="preserve">TAGTATGCTGGCGGTCGCCGGGGC</t>
  </si>
  <si>
    <t xml:space="preserve">AAACGCCCCGGCGACCGCCAGCAT</t>
  </si>
  <si>
    <t xml:space="preserve">AGCGCGGCATGCAGCGTGAC</t>
  </si>
  <si>
    <t xml:space="preserve">TAGTAGCGCGGCATGCAGCGTGAC</t>
  </si>
  <si>
    <t xml:space="preserve">AAACGTCACGCTGCATGCCGCGCT</t>
  </si>
  <si>
    <t xml:space="preserve">GGGCGAGGCTTGCGCGATGC</t>
  </si>
  <si>
    <t xml:space="preserve">TAGTGGGCGAGGCTTGCGCGATGC</t>
  </si>
  <si>
    <t xml:space="preserve">AAACGCATCGCGCAAGCCTCGCCC</t>
  </si>
  <si>
    <t xml:space="preserve">GAAAGCACCGCCGCTCGATC</t>
  </si>
  <si>
    <t xml:space="preserve">TAGTGAAAGCACCGCCGCTCGATC</t>
  </si>
  <si>
    <t xml:space="preserve">AAACGATCGAGCGGCGGTGCTTTC</t>
  </si>
  <si>
    <t xml:space="preserve">PST_0200</t>
  </si>
  <si>
    <t xml:space="preserve">GGTACCGCTCAGGGATACGG</t>
  </si>
  <si>
    <t xml:space="preserve">TAGTGGTACCGCTCAGGGATACGG</t>
  </si>
  <si>
    <t xml:space="preserve">AAACCCGTATCCCTGAGCGGTACC</t>
  </si>
  <si>
    <t xml:space="preserve">GGCTTCCAGTTTCTCCGGCA</t>
  </si>
  <si>
    <t xml:space="preserve">TAGTGGCTTCCAGTTTCTCCGGCA</t>
  </si>
  <si>
    <t xml:space="preserve">AAACTGCCGGAGAAACTGGAAGCC</t>
  </si>
  <si>
    <t xml:space="preserve">GTCGAAACCAGCGGCGGCCA</t>
  </si>
  <si>
    <t xml:space="preserve">TAGTGTCGAAACCAGCGGCGGCCA</t>
  </si>
  <si>
    <t xml:space="preserve">AAACTGGCCGCCGCTGGTTTCGAC</t>
  </si>
  <si>
    <t xml:space="preserve">GGCTGCCGGAGTGATAGAGC</t>
  </si>
  <si>
    <t xml:space="preserve">TAGTGGCTGCCGGAGTGATAGAGC</t>
  </si>
  <si>
    <t xml:space="preserve">AAACGCTCTATCACTCCGGCAGCC</t>
  </si>
  <si>
    <t xml:space="preserve">PST_0201</t>
  </si>
  <si>
    <t xml:space="preserve">CAGGCAATCCGCAAGGGGGC</t>
  </si>
  <si>
    <t xml:space="preserve">TAGTCAGGCAATCCGCAAGGGGGC</t>
  </si>
  <si>
    <t xml:space="preserve">AAACGCCCCCTTGCGGATTGCCTG</t>
  </si>
  <si>
    <t xml:space="preserve">TGGGCACGACAGGGCTCCAG</t>
  </si>
  <si>
    <t xml:space="preserve">TAGTTGGGCACGACAGGGCTCCAG</t>
  </si>
  <si>
    <t xml:space="preserve">AAACCTGGAGCCCTGTCGTGCCCA</t>
  </si>
  <si>
    <t xml:space="preserve">CAGGCCGATTGGTTTTGGGG</t>
  </si>
  <si>
    <t xml:space="preserve">TAGTCAGGCCGATTGGTTTTGGGG</t>
  </si>
  <si>
    <t xml:space="preserve">AAACCCCCAAAACCAATCGGCCTG</t>
  </si>
  <si>
    <t xml:space="preserve">CCCGCCTCCACCAGCACCAG</t>
  </si>
  <si>
    <t xml:space="preserve">TAGTCCCGCCTCCACCAGCACCAG</t>
  </si>
  <si>
    <t xml:space="preserve">AAACCTGGTGCTGGTGGAGGCGGG</t>
  </si>
  <si>
    <t xml:space="preserve">PST_0202</t>
  </si>
  <si>
    <t xml:space="preserve">purE</t>
  </si>
  <si>
    <t xml:space="preserve">CAGGGTGGACCAGTCGGACT</t>
  </si>
  <si>
    <t xml:space="preserve">TAGTCAGGGTGGACCAGTCGGACT</t>
  </si>
  <si>
    <t xml:space="preserve">AAACAGTCCGACTGGTCCACCCTG</t>
  </si>
  <si>
    <t xml:space="preserve">TTTCCAGCATGTCGGCGGTG</t>
  </si>
  <si>
    <t xml:space="preserve">TAGTTTTCCAGCATGTCGGCGGTG</t>
  </si>
  <si>
    <t xml:space="preserve">AAACCACCGCCGACATGCTGGAAA</t>
  </si>
  <si>
    <t xml:space="preserve">GACACCACCGTCACTTCATG</t>
  </si>
  <si>
    <t xml:space="preserve">TAGTGACACCACCGTCACTTCATG</t>
  </si>
  <si>
    <t xml:space="preserve">AAACCATGAAGTGACGGTGGTGTC</t>
  </si>
  <si>
    <t xml:space="preserve">CAGATCCGGGGTGCGGTGGG</t>
  </si>
  <si>
    <t xml:space="preserve">TAGTCAGATCCGGGGTGCGGTGGG</t>
  </si>
  <si>
    <t xml:space="preserve">AAACCCCACCGCACCCCGGATCTG</t>
  </si>
  <si>
    <t xml:space="preserve">PST_0203</t>
  </si>
  <si>
    <t xml:space="preserve">purK</t>
  </si>
  <si>
    <t xml:space="preserve">GGGCCAGCATGCGGCCCAGC</t>
  </si>
  <si>
    <t xml:space="preserve">TAGTGGGCCAGCATGCGGCCCAGC</t>
  </si>
  <si>
    <t xml:space="preserve">AAACGCTGGGCCGCATGCTGGCCC</t>
  </si>
  <si>
    <t xml:space="preserve">GCCCAGCGGAGTGCCCGCCA</t>
  </si>
  <si>
    <t xml:space="preserve">TAGTGCCCAGCGGAGTGCCCGCCA</t>
  </si>
  <si>
    <t xml:space="preserve">AAACTGGCGGGCACTCCGCTGGGC</t>
  </si>
  <si>
    <t xml:space="preserve">AGGCATCCGGCGCGGGGTCG</t>
  </si>
  <si>
    <t xml:space="preserve">TAGTAGGCATCCGGCGCGGGGTCG</t>
  </si>
  <si>
    <t xml:space="preserve">AAACCGACCCCGCGCCGGATGCCT</t>
  </si>
  <si>
    <t xml:space="preserve">GATGTGCTCGCCGAGGGCCT</t>
  </si>
  <si>
    <t xml:space="preserve">TAGTGATGTGCTCGCCGAGGGCCT</t>
  </si>
  <si>
    <t xml:space="preserve">AAACAGGCCCTCGGCGAGCACATC</t>
  </si>
  <si>
    <t xml:space="preserve">PST_0204</t>
  </si>
  <si>
    <t xml:space="preserve">GACGATCAGGCCGATGATGA</t>
  </si>
  <si>
    <t xml:space="preserve">TAGTGACGATCAGGCCGATGATGA</t>
  </si>
  <si>
    <t xml:space="preserve">AAACTCATCATCGGCCTGATCGTC</t>
  </si>
  <si>
    <t xml:space="preserve">GCTTCAGGAAGCGCGCGATG</t>
  </si>
  <si>
    <t xml:space="preserve">TAGTGCTTCAGGAAGCGCGCGATG</t>
  </si>
  <si>
    <t xml:space="preserve">AAACCATCGCGCGCTTCCTGAAGC</t>
  </si>
  <si>
    <t xml:space="preserve">CAGCCCATGCTGTCGTCGCC</t>
  </si>
  <si>
    <t xml:space="preserve">TAGTCAGCCCATGCTGTCGTCGCC</t>
  </si>
  <si>
    <t xml:space="preserve">AAACGGCGACGACAGCATGGGCTG</t>
  </si>
  <si>
    <t xml:space="preserve">GCCGCCGATACCCAGCAGGA</t>
  </si>
  <si>
    <t xml:space="preserve">TAGTGCCGCCGATACCCAGCAGGA</t>
  </si>
  <si>
    <t xml:space="preserve">AAACTCCTGCTGGGTATCGGCGGC</t>
  </si>
  <si>
    <t xml:space="preserve">PST_0205</t>
  </si>
  <si>
    <t xml:space="preserve">GGCGAGACAGCAGAACAGCG</t>
  </si>
  <si>
    <t xml:space="preserve">TAGTGGCGAGACAGCAGAACAGCG</t>
  </si>
  <si>
    <t xml:space="preserve">AAACCGCTGTTCTGCTGTCTCGCC</t>
  </si>
  <si>
    <t xml:space="preserve">GGCATGAACGGTGGCAATGA</t>
  </si>
  <si>
    <t xml:space="preserve">TAGTGGCATGAACGGTGGCAATGA</t>
  </si>
  <si>
    <t xml:space="preserve">AAACTCATTGCCACCGTTCATGCC</t>
  </si>
  <si>
    <t xml:space="preserve">CCAGTCGAGTTCCGATGGCG</t>
  </si>
  <si>
    <t xml:space="preserve">TAGTCCAGTCGAGTTCCGATGGCG</t>
  </si>
  <si>
    <t xml:space="preserve">AAACCGCCATCGGAACTCGACTGG</t>
  </si>
  <si>
    <t xml:space="preserve">AGCGCCTGGCGATCCTCGGG</t>
  </si>
  <si>
    <t xml:space="preserve">TAGTAGCGCCTGGCGATCCTCGGG</t>
  </si>
  <si>
    <t xml:space="preserve">AAACCCCGAGGATCGCCAGGCGCT</t>
  </si>
  <si>
    <t xml:space="preserve">PST_0206</t>
  </si>
  <si>
    <t xml:space="preserve">AGCGCCTGGCGCAGCGATGC</t>
  </si>
  <si>
    <t xml:space="preserve">TAGTAGCGCCTGGCGCAGCGATGC</t>
  </si>
  <si>
    <t xml:space="preserve">AAACGCATCGCTGCGCCAGGCGCT</t>
  </si>
  <si>
    <t xml:space="preserve">TGCCGTCGGTGTCGGCAGCG</t>
  </si>
  <si>
    <t xml:space="preserve">TAGTTGCCGTCGGTGTCGGCAGCG</t>
  </si>
  <si>
    <t xml:space="preserve">AAACCGCTGCCGACACCGACGGCA</t>
  </si>
  <si>
    <t xml:space="preserve">TTCCAGCGGATCACGTTCGT</t>
  </si>
  <si>
    <t xml:space="preserve">TAGTTTCCAGCGGATCACGTTCGT</t>
  </si>
  <si>
    <t xml:space="preserve">AAACACGAACGTGATCCGCTGGAA</t>
  </si>
  <si>
    <t xml:space="preserve">GCGTCGCCAAGTCCGATGAT</t>
  </si>
  <si>
    <t xml:space="preserve">TAGTGCGTCGCCAAGTCCGATGAT</t>
  </si>
  <si>
    <t xml:space="preserve">AAACATCATCGGACTTGGCGACGC</t>
  </si>
  <si>
    <t xml:space="preserve">PST_0207</t>
  </si>
  <si>
    <t xml:space="preserve">ldhA</t>
  </si>
  <si>
    <t xml:space="preserve">CTGTCGCCCGATATGACCGG</t>
  </si>
  <si>
    <t xml:space="preserve">TAGTCTGTCGCCCGATATGACCGG</t>
  </si>
  <si>
    <t xml:space="preserve">AAACCCGGTCATATCGGGCGACAG</t>
  </si>
  <si>
    <t xml:space="preserve">GGTGCGACAGTTGCCCGCCG</t>
  </si>
  <si>
    <t xml:space="preserve">TAGTGGTGCGACAGTTGCCCGCCG</t>
  </si>
  <si>
    <t xml:space="preserve">AAACCGGCGGGCAACTGTCGCACC</t>
  </si>
  <si>
    <t xml:space="preserve">ATAAGGGGCGACTGCCGACA</t>
  </si>
  <si>
    <t xml:space="preserve">TAGTATAAGGGGCGACTGCCGACA</t>
  </si>
  <si>
    <t xml:space="preserve">AAACTGTCGGCAGTCGCCCCTTAT</t>
  </si>
  <si>
    <t xml:space="preserve">CTGAACAGGGTGATGCGCAT</t>
  </si>
  <si>
    <t xml:space="preserve">TAGTCTGAACAGGGTGATGCGCAT</t>
  </si>
  <si>
    <t xml:space="preserve">AAACATGCGCATCACCCTGTTCAG</t>
  </si>
  <si>
    <t xml:space="preserve">PST_0208</t>
  </si>
  <si>
    <t xml:space="preserve">cysA</t>
  </si>
  <si>
    <t xml:space="preserve">TCGCCTGCAGCGCCTGGAAC</t>
  </si>
  <si>
    <t xml:space="preserve">TAGTTCGCCTGCAGCGCCTGGAAC</t>
  </si>
  <si>
    <t xml:space="preserve">AAACGTTCCAGGCGCTGCAGGCGA</t>
  </si>
  <si>
    <t xml:space="preserve">GTTCGCCGCTCTGGATGTGC</t>
  </si>
  <si>
    <t xml:space="preserve">TAGTGTTCGCCGCTCTGGATGTGC</t>
  </si>
  <si>
    <t xml:space="preserve">AAACGCACATCCAGAGCGGCGAAC</t>
  </si>
  <si>
    <t xml:space="preserve">GCTGTCCGGCGTTTCCAGCC</t>
  </si>
  <si>
    <t xml:space="preserve">TAGTGCTGTCCGGCGTTTCCAGCC</t>
  </si>
  <si>
    <t xml:space="preserve">AAACGGCTGGAAACGCCGGACAGC</t>
  </si>
  <si>
    <t xml:space="preserve">GCGATCGCGCACATCGCGGC</t>
  </si>
  <si>
    <t xml:space="preserve">TAGTGCGATCGCGCACATCGCGGC</t>
  </si>
  <si>
    <t xml:space="preserve">AAACGCCGCGATGTGCGCGATCGC</t>
  </si>
  <si>
    <t xml:space="preserve">PST_0209</t>
  </si>
  <si>
    <t xml:space="preserve">cysW</t>
  </si>
  <si>
    <t xml:space="preserve">CGCCGACACGGGCAGGGAAG</t>
  </si>
  <si>
    <t xml:space="preserve">TAGTCGCCGACACGGGCAGGGAAG</t>
  </si>
  <si>
    <t xml:space="preserve">AAACCTTCCCTGCCCGTGTCGGCG</t>
  </si>
  <si>
    <t xml:space="preserve">GCGACGGGTAGTGGTGGCGC</t>
  </si>
  <si>
    <t xml:space="preserve">TAGTGCGACGGGTAGTGGTGGCGC</t>
  </si>
  <si>
    <t xml:space="preserve">AAACGCGCCACCACTACCCGTCGC</t>
  </si>
  <si>
    <t xml:space="preserve">CGCGCCGATCAACAGGCGGC</t>
  </si>
  <si>
    <t xml:space="preserve">TAGTCGCGCCGATCAACAGGCGGC</t>
  </si>
  <si>
    <t xml:space="preserve">AAACGCCGCCTGTTGATCGGCGCG</t>
  </si>
  <si>
    <t xml:space="preserve">GAACAGCGCGAAGGTCAACC</t>
  </si>
  <si>
    <t xml:space="preserve">TAGTGAACAGCGCGAAGGTCAACC</t>
  </si>
  <si>
    <t xml:space="preserve">AAACGGTTGACCTTCGCGCTGTTC</t>
  </si>
  <si>
    <t xml:space="preserve">PST_0210</t>
  </si>
  <si>
    <t xml:space="preserve">cysT</t>
  </si>
  <si>
    <t xml:space="preserve">GACGGAGGTAGATCGGGACA</t>
  </si>
  <si>
    <t xml:space="preserve">TAGTGACGGAGGTAGATCGGGACA</t>
  </si>
  <si>
    <t xml:space="preserve">AAACTGTCCCGATCTACCTCCGTC</t>
  </si>
  <si>
    <t xml:space="preserve">CCCAGCGTCAGCCCGAAGCC</t>
  </si>
  <si>
    <t xml:space="preserve">TAGTCCCAGCGTCAGCCCGAAGCC</t>
  </si>
  <si>
    <t xml:space="preserve">AAACGGCTTCGGGCTGACGCTGGG</t>
  </si>
  <si>
    <t xml:space="preserve">CAACAGGCTGAGGTACACCA</t>
  </si>
  <si>
    <t xml:space="preserve">TAGTCAACAGGCTGAGGTACACCA</t>
  </si>
  <si>
    <t xml:space="preserve">AAACTGGTGTACCTCAGCCTGTTG</t>
  </si>
  <si>
    <t xml:space="preserve">TTGAGAAACAGCGCACCCAG</t>
  </si>
  <si>
    <t xml:space="preserve">TAGTTTGAGAAACAGCGCACCCAG</t>
  </si>
  <si>
    <t xml:space="preserve">AAACCTGGGTGCGCTGTTTCTCAA</t>
  </si>
  <si>
    <t xml:space="preserve">PST_0211</t>
  </si>
  <si>
    <t xml:space="preserve">cysP</t>
  </si>
  <si>
    <t xml:space="preserve">GGCGAAGCGACGAATGGACA</t>
  </si>
  <si>
    <t xml:space="preserve">TAGTGGCGAAGCGACGAATGGACA</t>
  </si>
  <si>
    <t xml:space="preserve">AAACTGTCCATTCGTCGCTTCGCC</t>
  </si>
  <si>
    <t xml:space="preserve">CGCGCTCGCCAGGGCGGCGA</t>
  </si>
  <si>
    <t xml:space="preserve">TAGTCGCGCTCGCCAGGGCGGCGA</t>
  </si>
  <si>
    <t xml:space="preserve">AAACTCGCCGCCCTGGCGAGCGCG</t>
  </si>
  <si>
    <t xml:space="preserve">ATCGGCGGCCAGTGCAGGGC</t>
  </si>
  <si>
    <t xml:space="preserve">TAGTATCGGCGGCCAGTGCAGGGC</t>
  </si>
  <si>
    <t xml:space="preserve">AAACGCCCTGCACTGGCCGCCGAT</t>
  </si>
  <si>
    <t xml:space="preserve">ATCGTAGGACACGTTGAGCA</t>
  </si>
  <si>
    <t xml:space="preserve">TAGTATCGTAGGACACGTTGAGCA</t>
  </si>
  <si>
    <t xml:space="preserve">AAACTGCTCAACGTGTCCTACGAT</t>
  </si>
  <si>
    <t xml:space="preserve">PST_0212</t>
  </si>
  <si>
    <t xml:space="preserve">CTCGAGGTTGCGAATGGTCG</t>
  </si>
  <si>
    <t xml:space="preserve">TAGTCTCGAGGTTGCGAATGGTCG</t>
  </si>
  <si>
    <t xml:space="preserve">AAACCGACCATTCGCAACCTCGAG</t>
  </si>
  <si>
    <t xml:space="preserve">GGGCACTGTGGATCTCGCGC</t>
  </si>
  <si>
    <t xml:space="preserve">TAGTGGGCACTGTGGATCTCGCGC</t>
  </si>
  <si>
    <t xml:space="preserve">AAACGCGCGAGATCCACAGTGCCC</t>
  </si>
  <si>
    <t xml:space="preserve">GCCGAACTTGAGGCCGCTCA</t>
  </si>
  <si>
    <t xml:space="preserve">TAGTGCCGAACTTGAGGCCGCTCA</t>
  </si>
  <si>
    <t xml:space="preserve">AAACTGAGCGGCCTCAAGTTCGGC</t>
  </si>
  <si>
    <t xml:space="preserve">CACGACCTGGCCGTTGTGCA</t>
  </si>
  <si>
    <t xml:space="preserve">TAGTCACGACCTGGCCGTTGTGCA</t>
  </si>
  <si>
    <t xml:space="preserve">AAACTGCACAACGGCCAGGTCGTG</t>
  </si>
  <si>
    <t xml:space="preserve">PST_0213</t>
  </si>
  <si>
    <t xml:space="preserve">AGCCCGGCACGATCAGATAT</t>
  </si>
  <si>
    <t xml:space="preserve">TAGTAGCCCGGCACGATCAGATAT</t>
  </si>
  <si>
    <t xml:space="preserve">AAACATATCTGATCGTGCCGGGCT</t>
  </si>
  <si>
    <t xml:space="preserve">TGGCTCTGCCAATGCTCATC</t>
  </si>
  <si>
    <t xml:space="preserve">TAGTTGGCTCTGCCAATGCTCATC</t>
  </si>
  <si>
    <t xml:space="preserve">AAACGATGAGCATTGGCAGAGCCA</t>
  </si>
  <si>
    <t xml:space="preserve">CCGGCAGGGTGCGTTGCCAA</t>
  </si>
  <si>
    <t xml:space="preserve">TAGTCCGGCAGGGTGCGTTGCCAA</t>
  </si>
  <si>
    <t xml:space="preserve">AAACTTGGCAACGCACCCTGCCGG</t>
  </si>
  <si>
    <t xml:space="preserve">CCAGTCCTGCTGCTCTACTC</t>
  </si>
  <si>
    <t xml:space="preserve">TAGTCCAGTCCTGCTGCTCTACTC</t>
  </si>
  <si>
    <t xml:space="preserve">AAACGAGTAGAGCAGCAGGACTGG</t>
  </si>
  <si>
    <t xml:space="preserve">PST_0214</t>
  </si>
  <si>
    <t xml:space="preserve">lsfA</t>
  </si>
  <si>
    <t xml:space="preserve">CGGGGGCGATGTCGCCGAGG</t>
  </si>
  <si>
    <t xml:space="preserve">TAGTCGGGGGCGATGTCGCCGAGG</t>
  </si>
  <si>
    <t xml:space="preserve">AAACCCTCGGCGACATCGCCCCCG</t>
  </si>
  <si>
    <t xml:space="preserve">GCTGGAATCCTGTTCGAAAT</t>
  </si>
  <si>
    <t xml:space="preserve">TAGTGCTGGAATCCTGTTCGAAAT</t>
  </si>
  <si>
    <t xml:space="preserve">AAACATTTCGAACAGGATTCCAGC</t>
  </si>
  <si>
    <t xml:space="preserve">GCCACTCGTGGAAGCGGATG</t>
  </si>
  <si>
    <t xml:space="preserve">TAGTGCCACTCGTGGAAGCGGATG</t>
  </si>
  <si>
    <t xml:space="preserve">AAACCATCCGCTTCCACGAGTGGC</t>
  </si>
  <si>
    <t xml:space="preserve">ACACCGGGGTGAAGTCGGCC</t>
  </si>
  <si>
    <t xml:space="preserve">TAGTACACCGGGGTGAAGTCGGCC</t>
  </si>
  <si>
    <t xml:space="preserve">AAACGGCCGACTTCACCCCGGTGT</t>
  </si>
  <si>
    <t xml:space="preserve">PST_0215</t>
  </si>
  <si>
    <t xml:space="preserve">CCGAATCGGTGACATTGATG</t>
  </si>
  <si>
    <t xml:space="preserve">TAGTCCGAATCGGTGACATTGATG</t>
  </si>
  <si>
    <t xml:space="preserve">AAACCATCAATGTCACCGATTCGG</t>
  </si>
  <si>
    <t xml:space="preserve">GGCAGCGGTCTTCGAGGCGC</t>
  </si>
  <si>
    <t xml:space="preserve">TAGTGGCAGCGGTCTTCGAGGCGC</t>
  </si>
  <si>
    <t xml:space="preserve">AAACGCGCCTCGAAGACCGCTGCC</t>
  </si>
  <si>
    <t xml:space="preserve">CCTGCCTTCGAGAAAGGCCG</t>
  </si>
  <si>
    <t xml:space="preserve">TAGTCCTGCCTTCGAGAAAGGCCG</t>
  </si>
  <si>
    <t xml:space="preserve">AAACCGGCCTTTCTCGAAGGCAGG</t>
  </si>
  <si>
    <t xml:space="preserve">GGATGGTGCCGTCCTTCTTG</t>
  </si>
  <si>
    <t xml:space="preserve">TAGTGGATGGTGCCGTCCTTCTTG</t>
  </si>
  <si>
    <t xml:space="preserve">AAACCAAGAAGGACGGCACCATCC</t>
  </si>
  <si>
    <t xml:space="preserve">PST_0216</t>
  </si>
  <si>
    <t xml:space="preserve">TCGCGCAACTGGGCGTGTGT</t>
  </si>
  <si>
    <t xml:space="preserve">TAGTTCGCGCAACTGGGCGTGTGT</t>
  </si>
  <si>
    <t xml:space="preserve">AAACACACACGCCCAGTTGCGCGA</t>
  </si>
  <si>
    <t xml:space="preserve">GCAGCGCATGCGCAGCGGAT</t>
  </si>
  <si>
    <t xml:space="preserve">TAGTGCAGCGCATGCGCAGCGGAT</t>
  </si>
  <si>
    <t xml:space="preserve">AAACATCCGCTGCGCATGCGCTGC</t>
  </si>
  <si>
    <t xml:space="preserve">CGAGCGCCCTGACGTGGGCA</t>
  </si>
  <si>
    <t xml:space="preserve">TAGTCGAGCGCCCTGACGTGGGCA</t>
  </si>
  <si>
    <t xml:space="preserve">AAACTGCCCACGTCAGGGCGCTCG</t>
  </si>
  <si>
    <t xml:space="preserve">GGCCACCCAGCAATCCGGCA</t>
  </si>
  <si>
    <t xml:space="preserve">TAGTGGCCACCCAGCAATCCGGCA</t>
  </si>
  <si>
    <t xml:space="preserve">AAACTGCCGGATTGCTGGGTGGCC</t>
  </si>
  <si>
    <t xml:space="preserve">PST_0217</t>
  </si>
  <si>
    <t xml:space="preserve">TGCGACATTGCCATTGGAGG</t>
  </si>
  <si>
    <t xml:space="preserve">TAGTTGCGACATTGCCATTGGAGG</t>
  </si>
  <si>
    <t xml:space="preserve">AAACCCTCCAATGGCAATGTCGCA</t>
  </si>
  <si>
    <t xml:space="preserve">TGGCGTCCGCCGAACTGTTC</t>
  </si>
  <si>
    <t xml:space="preserve">TAGTTGGCGTCCGCCGAACTGTTC</t>
  </si>
  <si>
    <t xml:space="preserve">AAACGAACAGTTCGGCGGACGCCA</t>
  </si>
  <si>
    <t xml:space="preserve">CAGCTTGCAGGAAACCTGAG</t>
  </si>
  <si>
    <t xml:space="preserve">TAGTCAGCTTGCAGGAAACCTGAG</t>
  </si>
  <si>
    <t xml:space="preserve">AAACCTCAGGTTTCCTGCAAGCTG</t>
  </si>
  <si>
    <t xml:space="preserve">CCGCCTTTTCCACGCTGCGC</t>
  </si>
  <si>
    <t xml:space="preserve">TAGTCCGCCTTTTCCACGCTGCGC</t>
  </si>
  <si>
    <t xml:space="preserve">AAACGCGCAGCGTGGAAAAGGCGG</t>
  </si>
  <si>
    <t xml:space="preserve">PST_0218</t>
  </si>
  <si>
    <t xml:space="preserve">CAGCGATAGGGCAGGTTCAT</t>
  </si>
  <si>
    <t xml:space="preserve">TAGTCAGCGATAGGGCAGGTTCAT</t>
  </si>
  <si>
    <t xml:space="preserve">AAACATGAACCTGCCCTATCGCTG</t>
  </si>
  <si>
    <t xml:space="preserve">ACTGAGTAGCAACAAGGTGC</t>
  </si>
  <si>
    <t xml:space="preserve">TAGTACTGAGTAGCAACAAGGTGC</t>
  </si>
  <si>
    <t xml:space="preserve">AAACGCACCTTGTTGCTACTCAGT</t>
  </si>
  <si>
    <t xml:space="preserve">CGGCGCTGTGACTGGGCGCA</t>
  </si>
  <si>
    <t xml:space="preserve">TAGTCGGCGCTGTGACTGGGCGCA</t>
  </si>
  <si>
    <t xml:space="preserve">AAACTGCGCCCAGTCACAGCGCCG</t>
  </si>
  <si>
    <t xml:space="preserve">AGCTTGCGTGCGTGGCGTGG</t>
  </si>
  <si>
    <t xml:space="preserve">TAGTAGCTTGCGTGCGTGGCGTGG</t>
  </si>
  <si>
    <t xml:space="preserve">AAACCCACGCCACGCACGCAAGCT</t>
  </si>
  <si>
    <t xml:space="preserve">PST_0219</t>
  </si>
  <si>
    <t xml:space="preserve">CCAAGGCATGACGCAGGTGA</t>
  </si>
  <si>
    <t xml:space="preserve">TAGTCCAAGGCATGACGCAGGTGA</t>
  </si>
  <si>
    <t xml:space="preserve">AAACTCACCTGCGTCATGCCTTGG</t>
  </si>
  <si>
    <t xml:space="preserve">AAAGTTGCCATGTTCGACCA</t>
  </si>
  <si>
    <t xml:space="preserve">TAGTAAAGTTGCCATGTTCGACCA</t>
  </si>
  <si>
    <t xml:space="preserve">AAACTGGTCGAACATGGCAACTTT</t>
  </si>
  <si>
    <t xml:space="preserve">GTGCAGCGCCTCTGCGGCGC</t>
  </si>
  <si>
    <t xml:space="preserve">TAGTGTGCAGCGCCTCTGCGGCGC</t>
  </si>
  <si>
    <t xml:space="preserve">AAACGCGCCGCAGAGGCGCTGCAC</t>
  </si>
  <si>
    <t xml:space="preserve">GGGTCAGCGCCGGCTGGGAG</t>
  </si>
  <si>
    <t xml:space="preserve">TAGTGGGTCAGCGCCGGCTGGGAG</t>
  </si>
  <si>
    <t xml:space="preserve">AAACCTCCCAGCCGGCGCTGACCC</t>
  </si>
  <si>
    <t xml:space="preserve">PST_0220</t>
  </si>
  <si>
    <t xml:space="preserve">GGAGATTGGGCTATTAAGCA</t>
  </si>
  <si>
    <t xml:space="preserve">TAGTGGAGATTGGGCTATTAAGCA</t>
  </si>
  <si>
    <t xml:space="preserve">AAACTGCTTAATAGCCCAATCTCC</t>
  </si>
  <si>
    <t xml:space="preserve">TAGTGCCAGGAGTGTGTGGC</t>
  </si>
  <si>
    <t xml:space="preserve">TAGTTAGTGCCAGGAGTGTGTGGC</t>
  </si>
  <si>
    <t xml:space="preserve">AAACGCCACACACTCCTGGCACTA</t>
  </si>
  <si>
    <t xml:space="preserve">AAGCGGGCATGCTGATCATC</t>
  </si>
  <si>
    <t xml:space="preserve">TAGTAAGCGGGCATGCTGATCATC</t>
  </si>
  <si>
    <t xml:space="preserve">AAACGATGATCAGCATGCCCGCTT</t>
  </si>
  <si>
    <t xml:space="preserve">TGCCGCCTGTTCGGCCGAGA</t>
  </si>
  <si>
    <t xml:space="preserve">TAGTTGCCGCCTGTTCGGCCGAGA</t>
  </si>
  <si>
    <t xml:space="preserve">AAACTCTCGGCCGAACAGGCGGCA</t>
  </si>
  <si>
    <t xml:space="preserve">PST_0221</t>
  </si>
  <si>
    <t xml:space="preserve">CGCGTAAGTCCCTTGTTTCT</t>
  </si>
  <si>
    <t xml:space="preserve">TAGTCGCGTAAGTCCCTTGTTTCT</t>
  </si>
  <si>
    <t xml:space="preserve">AAACAGAAACAAGGGACTTACGCG</t>
  </si>
  <si>
    <t xml:space="preserve">CTTGCCGGGGGGCTTAAGAT</t>
  </si>
  <si>
    <t xml:space="preserve">TAGTCTTGCCGGGGGGCTTAAGAT</t>
  </si>
  <si>
    <t xml:space="preserve">AAACATCTTAAGCCCCCCGGCAAG</t>
  </si>
  <si>
    <t xml:space="preserve">TTTGTTGTTGTGAGTGCAAA</t>
  </si>
  <si>
    <t xml:space="preserve">TAGTTTTGTTGTTGTGAGTGCAAA</t>
  </si>
  <si>
    <t xml:space="preserve">AAACTTTGCACTCACAACAACAAA</t>
  </si>
  <si>
    <t xml:space="preserve">AATTGGTGCATGGTATGCCT</t>
  </si>
  <si>
    <t xml:space="preserve">TAGTAATTGGTGCATGGTATGCCT</t>
  </si>
  <si>
    <t xml:space="preserve">AAACAGGCATACCATGCACCAATT</t>
  </si>
  <si>
    <t xml:space="preserve">PST_0222</t>
  </si>
  <si>
    <t xml:space="preserve">AATCACCCTGGGATCGATAC</t>
  </si>
  <si>
    <t xml:space="preserve">TAGTAATCACCCTGGGATCGATAC</t>
  </si>
  <si>
    <t xml:space="preserve">AAACGTATCGATCCCAGGGTGATT</t>
  </si>
  <si>
    <t xml:space="preserve">ACCACGGCAACTCGCAGCTC</t>
  </si>
  <si>
    <t xml:space="preserve">TAGTACCACGGCAACTCGCAGCTC</t>
  </si>
  <si>
    <t xml:space="preserve">AAACGAGCTGCGAGTTGCCGTGGT</t>
  </si>
  <si>
    <t xml:space="preserve">AAGACCAAAAGAGTCATCGC</t>
  </si>
  <si>
    <t xml:space="preserve">TAGTAAGACCAAAAGAGTCATCGC</t>
  </si>
  <si>
    <t xml:space="preserve">AAACGCGATGACTCTTTTGGTCTT</t>
  </si>
  <si>
    <t xml:space="preserve">GAGGTGAGTCGGATAGAGAT</t>
  </si>
  <si>
    <t xml:space="preserve">TAGTGAGGTGAGTCGGATAGAGAT</t>
  </si>
  <si>
    <t xml:space="preserve">AAACATCTCTATCCGACTCACCTC</t>
  </si>
  <si>
    <t xml:space="preserve">PST_0223</t>
  </si>
  <si>
    <t xml:space="preserve">CTGATACCCGGCGGTCAGAG</t>
  </si>
  <si>
    <t xml:space="preserve">TAGTCTGATACCCGGCGGTCAGAG</t>
  </si>
  <si>
    <t xml:space="preserve">AAACCTCTGACCGCCGGGTATCAG</t>
  </si>
  <si>
    <t xml:space="preserve">TCTGCAGGTCGGGGACGGCA</t>
  </si>
  <si>
    <t xml:space="preserve">TAGTTCTGCAGGTCGGGGACGGCA</t>
  </si>
  <si>
    <t xml:space="preserve">AAACTGCCGTCCCCGACCTGCAGA</t>
  </si>
  <si>
    <t xml:space="preserve">CACGGCTGAGGCCGGCGTCG</t>
  </si>
  <si>
    <t xml:space="preserve">TAGTCACGGCTGAGGCCGGCGTCG</t>
  </si>
  <si>
    <t xml:space="preserve">AAACCGACGCCGGCCTCAGCCGTG</t>
  </si>
  <si>
    <t xml:space="preserve">GCGCACGTTCATCGCGCTGC</t>
  </si>
  <si>
    <t xml:space="preserve">TAGTGCGCACGTTCATCGCGCTGC</t>
  </si>
  <si>
    <t xml:space="preserve">AAACGCAGCGCGATGAACGTGCGC</t>
  </si>
  <si>
    <t xml:space="preserve">PST_0224</t>
  </si>
  <si>
    <t xml:space="preserve">AGTCCTGATATCTGGCTGTC</t>
  </si>
  <si>
    <t xml:space="preserve">TAGTAGTCCTGATATCTGGCTGTC</t>
  </si>
  <si>
    <t xml:space="preserve">AAACGACAGCCAGATATCAGGACT</t>
  </si>
  <si>
    <t xml:space="preserve">CATAGACGAGTTTCGTGCAG</t>
  </si>
  <si>
    <t xml:space="preserve">TAGTCATAGACGAGTTTCGTGCAG</t>
  </si>
  <si>
    <t xml:space="preserve">AAACCTGCACGAAACTCGTCTATG</t>
  </si>
  <si>
    <t xml:space="preserve">TCGCCATGCTCATCTCGCTT</t>
  </si>
  <si>
    <t xml:space="preserve">TAGTTCGCCATGCTCATCTCGCTT</t>
  </si>
  <si>
    <t xml:space="preserve">AAACAAGCGAGATGAGCATGGCGA</t>
  </si>
  <si>
    <t xml:space="preserve">CTCGGTAATCGGTGCGGTAT</t>
  </si>
  <si>
    <t xml:space="preserve">TAGTCTCGGTAATCGGTGCGGTAT</t>
  </si>
  <si>
    <t xml:space="preserve">AAACATACCGCACCGATTACCGAG</t>
  </si>
  <si>
    <t xml:space="preserve">PST_0225</t>
  </si>
  <si>
    <t xml:space="preserve">GATGATGGGATATTCTTCCA</t>
  </si>
  <si>
    <t xml:space="preserve">TAGTGATGATGGGATATTCTTCCA</t>
  </si>
  <si>
    <t xml:space="preserve">AAACTGGAAGAATATCCCATCATC</t>
  </si>
  <si>
    <t xml:space="preserve">CTGGGCCGCCGGCAGCAGGT</t>
  </si>
  <si>
    <t xml:space="preserve">TAGTCTGGGCCGCCGGCAGCAGGT</t>
  </si>
  <si>
    <t xml:space="preserve">AAACACCTGCTGCCGGCGGCCCAG</t>
  </si>
  <si>
    <t xml:space="preserve">GCGTTCGTCCGCCGGGAGAC</t>
  </si>
  <si>
    <t xml:space="preserve">TAGTGCGTTCGTCCGCCGGGAGAC</t>
  </si>
  <si>
    <t xml:space="preserve">AAACGTCTCCCGGCGGACGAACGC</t>
  </si>
  <si>
    <t xml:space="preserve">AGCGGTCGGCGCGAAGGCGA</t>
  </si>
  <si>
    <t xml:space="preserve">TAGTAGCGGTCGGCGCGAAGGCGA</t>
  </si>
  <si>
    <t xml:space="preserve">AAACTCGCCTTCGCGCCGACCGCT</t>
  </si>
  <si>
    <t xml:space="preserve">PST_0226</t>
  </si>
  <si>
    <t xml:space="preserve">TGCAGTGGCCAGCGTGGCGC</t>
  </si>
  <si>
    <t xml:space="preserve">TAGTTGCAGTGGCCAGCGTGGCGC</t>
  </si>
  <si>
    <t xml:space="preserve">AAACGCGCCACGCTGGCCACTGCA</t>
  </si>
  <si>
    <t xml:space="preserve">GCTTCGGCTTCCCTGGGTGC</t>
  </si>
  <si>
    <t xml:space="preserve">TAGTGCTTCGGCTTCCCTGGGTGC</t>
  </si>
  <si>
    <t xml:space="preserve">AAACGCACCCAGGGAAGCCGAAGC</t>
  </si>
  <si>
    <t xml:space="preserve">GCGGTTGAGCCACGAAGACA</t>
  </si>
  <si>
    <t xml:space="preserve">TAGTGCGGTTGAGCCACGAAGACA</t>
  </si>
  <si>
    <t xml:space="preserve">AAACTGTCTTCGTGGCTCAACCGC</t>
  </si>
  <si>
    <t xml:space="preserve">CACTTCCATGTGATAGCAAA</t>
  </si>
  <si>
    <t xml:space="preserve">TAGTCACTTCCATGTGATAGCAAA</t>
  </si>
  <si>
    <t xml:space="preserve">AAACTTTGCTATCACATGGAAGTG</t>
  </si>
  <si>
    <t xml:space="preserve">PST_0227</t>
  </si>
  <si>
    <t xml:space="preserve">GCGCTGCAAGTCAGTCGCTT</t>
  </si>
  <si>
    <t xml:space="preserve">TAGTGCGCTGCAAGTCAGTCGCTT</t>
  </si>
  <si>
    <t xml:space="preserve">AAACAAGCGACTGACTTGCAGCGC</t>
  </si>
  <si>
    <t xml:space="preserve">ATGCGCCGGATCGACGCCGG</t>
  </si>
  <si>
    <t xml:space="preserve">TAGTATGCGCCGGATCGACGCCGG</t>
  </si>
  <si>
    <t xml:space="preserve">AAACCCGGCGTCGATCCGGCGCAT</t>
  </si>
  <si>
    <t xml:space="preserve">CCTCGCGTTTGCCAGACGCC</t>
  </si>
  <si>
    <t xml:space="preserve">TAGTCCTCGCGTTTGCCAGACGCC</t>
  </si>
  <si>
    <t xml:space="preserve">AAACGGCGTCTGGCAAACGCGAGG</t>
  </si>
  <si>
    <t xml:space="preserve">TTCAGGCAGGCCGCCAAGCC</t>
  </si>
  <si>
    <t xml:space="preserve">TAGTTTCAGGCAGGCCGCCAAGCC</t>
  </si>
  <si>
    <t xml:space="preserve">AAACGGCTTGGCGGCCTGCCTGAA</t>
  </si>
  <si>
    <t xml:space="preserve">PST_0228</t>
  </si>
  <si>
    <t xml:space="preserve">CGTGTGGCTATGGTCGTGTT</t>
  </si>
  <si>
    <t xml:space="preserve">TAGTCGTGTGGCTATGGTCGTGTT</t>
  </si>
  <si>
    <t xml:space="preserve">AAACAACACGACCATAGCCACACG</t>
  </si>
  <si>
    <t xml:space="preserve">AAGGCCTTGTCGAAACTGGC</t>
  </si>
  <si>
    <t xml:space="preserve">TAGTAAGGCCTTGTCGAAACTGGC</t>
  </si>
  <si>
    <t xml:space="preserve">AAACGCCAGTTTCGACAAGGCCTT</t>
  </si>
  <si>
    <t xml:space="preserve">GAATGCTTCGATTCCGACAA</t>
  </si>
  <si>
    <t xml:space="preserve">TAGTGAATGCTTCGATTCCGACAA</t>
  </si>
  <si>
    <t xml:space="preserve">AAACTTGTCGGAATCGAAGCATTC</t>
  </si>
  <si>
    <t xml:space="preserve">GTGACCGGCGTCCGCCAGCA</t>
  </si>
  <si>
    <t xml:space="preserve">TAGTGTGACCGGCGTCCGCCAGCA</t>
  </si>
  <si>
    <t xml:space="preserve">AAACTGCTGGCGGACGCCGGTCAC</t>
  </si>
  <si>
    <t xml:space="preserve">PST_0229</t>
  </si>
  <si>
    <t xml:space="preserve">CAGATCATGAAAACGGTGAA</t>
  </si>
  <si>
    <t xml:space="preserve">TAGTCAGATCATGAAAACGGTGAA</t>
  </si>
  <si>
    <t xml:space="preserve">AAACTTCACCGTTTTCATGATCTG</t>
  </si>
  <si>
    <t xml:space="preserve">GCTGGTTGGGAAGTCCCAAC</t>
  </si>
  <si>
    <t xml:space="preserve">TAGTGCTGGTTGGGAAGTCCCAAC</t>
  </si>
  <si>
    <t xml:space="preserve">AAACGTTGGGACTTCCCAACCAGC</t>
  </si>
  <si>
    <t xml:space="preserve">AGGAATTGGTGAATTTCATG</t>
  </si>
  <si>
    <t xml:space="preserve">TAGTAGGAATTGGTGAATTTCATG</t>
  </si>
  <si>
    <t xml:space="preserve">AAACCATGAAATTCACCAATTCCT</t>
  </si>
  <si>
    <t xml:space="preserve">CCACTGGCCTGTGCTCCGCC</t>
  </si>
  <si>
    <t xml:space="preserve">TAGTCCACTGGCCTGTGCTCCGCC</t>
  </si>
  <si>
    <t xml:space="preserve">AAACGGCGGAGCACAGGCCAGTGG</t>
  </si>
  <si>
    <t xml:space="preserve">PST_0230</t>
  </si>
  <si>
    <t xml:space="preserve">ATGAAAACGCATCTTGACCG</t>
  </si>
  <si>
    <t xml:space="preserve">TAGTATGAAAACGCATCTTGACCG</t>
  </si>
  <si>
    <t xml:space="preserve">AAACCGGTCAAGATGCGTTTTCAT</t>
  </si>
  <si>
    <t xml:space="preserve">CGCTGCGATGGGCATCGATT</t>
  </si>
  <si>
    <t xml:space="preserve">TAGTCGCTGCGATGGGCATCGATT</t>
  </si>
  <si>
    <t xml:space="preserve">AAACAATCGATGCCCATCGCAGCG</t>
  </si>
  <si>
    <t xml:space="preserve">GATGCTCGCCAATTTGCAGG</t>
  </si>
  <si>
    <t xml:space="preserve">TAGTGATGCTCGCCAATTTGCAGG</t>
  </si>
  <si>
    <t xml:space="preserve">AAACCCTGCAAATTGGCGAGCATC</t>
  </si>
  <si>
    <t xml:space="preserve">ATGGGGATTGCCTCCCATGT</t>
  </si>
  <si>
    <t xml:space="preserve">TAGTATGGGGATTGCCTCCCATGT</t>
  </si>
  <si>
    <t xml:space="preserve">AAACACATGGGAGGCAATCCCCAT</t>
  </si>
  <si>
    <t xml:space="preserve">PST_0231</t>
  </si>
  <si>
    <t xml:space="preserve">GGTGGTTGGACAGACCTGCT</t>
  </si>
  <si>
    <t xml:space="preserve">TAGTGGTGGTTGGACAGACCTGCT</t>
  </si>
  <si>
    <t xml:space="preserve">AAACAGCAGGTCTGTCCAACCACC</t>
  </si>
  <si>
    <t xml:space="preserve">TTCTCTCACCAAGCGCTGAG</t>
  </si>
  <si>
    <t xml:space="preserve">TAGTTTCTCTCACCAAGCGCTGAG</t>
  </si>
  <si>
    <t xml:space="preserve">AAACCTCAGCGCTTGGTGAGAGAA</t>
  </si>
  <si>
    <t xml:space="preserve">CTCGCGCACGTCTACCAACA</t>
  </si>
  <si>
    <t xml:space="preserve">TAGTCTCGCGCACGTCTACCAACA</t>
  </si>
  <si>
    <t xml:space="preserve">AAACTGTTGGTAGACGTGCGCGAG</t>
  </si>
  <si>
    <t xml:space="preserve">CACGATGGCGGGTACATCGA</t>
  </si>
  <si>
    <t xml:space="preserve">TAGTCACGATGGCGGGTACATCGA</t>
  </si>
  <si>
    <t xml:space="preserve">AAACTCGATGTACCCGCCATCGTG</t>
  </si>
  <si>
    <t xml:space="preserve">PST_0232</t>
  </si>
  <si>
    <t xml:space="preserve">CGCAATGGTGCTCTTACAGT</t>
  </si>
  <si>
    <t xml:space="preserve">TAGTCGCAATGGTGCTCTTACAGT</t>
  </si>
  <si>
    <t xml:space="preserve">AAACACTGTAAGAGCACCATTGCG</t>
  </si>
  <si>
    <t xml:space="preserve">CACCCTTGGCTTTCGCCACC</t>
  </si>
  <si>
    <t xml:space="preserve">TAGTCACCCTTGGCTTTCGCCACC</t>
  </si>
  <si>
    <t xml:space="preserve">AAACGGTGGCGAAAGCCAAGGGTG</t>
  </si>
  <si>
    <t xml:space="preserve">TTGCCGTCGATCACGACGCC</t>
  </si>
  <si>
    <t xml:space="preserve">TAGTTTGCCGTCGATCACGACGCC</t>
  </si>
  <si>
    <t xml:space="preserve">AAACGGCGTCGTGATCGACGGCAA</t>
  </si>
  <si>
    <t xml:space="preserve">TGTTCGATCTTTTCGCGGCC</t>
  </si>
  <si>
    <t xml:space="preserve">TAGTTGTTCGATCTTTTCGCGGCC</t>
  </si>
  <si>
    <t xml:space="preserve">AAACGGCCGCGAAAAGATCGAACA</t>
  </si>
  <si>
    <t xml:space="preserve">PST_0233</t>
  </si>
  <si>
    <t xml:space="preserve">CTGGGTCCAGCGCATGGCGA</t>
  </si>
  <si>
    <t xml:space="preserve">TAGTCTGGGTCCAGCGCATGGCGA</t>
  </si>
  <si>
    <t xml:space="preserve">AAACTCGCCATGCGCTGGACCCAG</t>
  </si>
  <si>
    <t xml:space="preserve">CCACAACAAGGAACGCTGTT</t>
  </si>
  <si>
    <t xml:space="preserve">TAGTCCACAACAAGGAACGCTGTT</t>
  </si>
  <si>
    <t xml:space="preserve">AAACAACAGCGTTCCTTGTTGTGG</t>
  </si>
  <si>
    <t xml:space="preserve">GTACAACCCCCACCAAAGCA</t>
  </si>
  <si>
    <t xml:space="preserve">TAGTGTACAACCCCCACCAAAGCA</t>
  </si>
  <si>
    <t xml:space="preserve">AAACTGCTTTGGTGGGGGTTGTAC</t>
  </si>
  <si>
    <t xml:space="preserve">CCGAGGCGGGGATCAGCGAT</t>
  </si>
  <si>
    <t xml:space="preserve">TAGTCCGAGGCGGGGATCAGCGAT</t>
  </si>
  <si>
    <t xml:space="preserve">AAACATCGCTGATCCCCGCCTCGG</t>
  </si>
  <si>
    <t xml:space="preserve">PST_0234</t>
  </si>
  <si>
    <t xml:space="preserve">CTCCCGTTCGTGTGCCTCCC</t>
  </si>
  <si>
    <t xml:space="preserve">TAGTCTCCCGTTCGTGTGCCTCCC</t>
  </si>
  <si>
    <t xml:space="preserve">AAACGGGAGGCACACGAACGGGAG</t>
  </si>
  <si>
    <t xml:space="preserve">CCGGGCACGAAGAATCAAAA</t>
  </si>
  <si>
    <t xml:space="preserve">TAGTCCGGGCACGAAGAATCAAAA</t>
  </si>
  <si>
    <t xml:space="preserve">AAACTTTTGATTCTTCGTGCCCGG</t>
  </si>
  <si>
    <t xml:space="preserve">GGAGGTCTTCGGCGGCATTG</t>
  </si>
  <si>
    <t xml:space="preserve">TAGTGGAGGTCTTCGGCGGCATTG</t>
  </si>
  <si>
    <t xml:space="preserve">AAACCAATGCCGCCGAAGACCTCC</t>
  </si>
  <si>
    <t xml:space="preserve">CTTTGAGGAAGACCTCTTGC</t>
  </si>
  <si>
    <t xml:space="preserve">TAGTCTTTGAGGAAGACCTCTTGC</t>
  </si>
  <si>
    <t xml:space="preserve">AAACGCAAGAGGTCTTCCTCAAAG</t>
  </si>
  <si>
    <t xml:space="preserve">PST_0235</t>
  </si>
  <si>
    <t xml:space="preserve">TAGCGCTCAAAGACGCTCAT</t>
  </si>
  <si>
    <t xml:space="preserve">TAGTTAGCGCTCAAAGACGCTCAT</t>
  </si>
  <si>
    <t xml:space="preserve">AAACATGAGCGTCTTTGAGCGCTA</t>
  </si>
  <si>
    <t xml:space="preserve">CAATGCCAATGACGATGCAG</t>
  </si>
  <si>
    <t xml:space="preserve">TAGTCAATGCCAATGACGATGCAG</t>
  </si>
  <si>
    <t xml:space="preserve">AAACCTGCATCGTCATTGGCATTG</t>
  </si>
  <si>
    <t xml:space="preserve">TGCCGGGAAAAATTGTCCGA</t>
  </si>
  <si>
    <t xml:space="preserve">TAGTTGCCGGGAAAAATTGTCCGA</t>
  </si>
  <si>
    <t xml:space="preserve">AAACTCGGACAATTTTTCCCGGCA</t>
  </si>
  <si>
    <t xml:space="preserve">TCTCCATGCGGCCGATGGAC</t>
  </si>
  <si>
    <t xml:space="preserve">TAGTTCTCCATGCGGCCGATGGAC</t>
  </si>
  <si>
    <t xml:space="preserve">AAACGTCCATCGGCCGCATGGAGA</t>
  </si>
  <si>
    <t xml:space="preserve">PST_0236</t>
  </si>
  <si>
    <t xml:space="preserve">GATGCTGCGGGCAGAGTTCC</t>
  </si>
  <si>
    <t xml:space="preserve">TAGTGATGCTGCGGGCAGAGTTCC</t>
  </si>
  <si>
    <t xml:space="preserve">AAACGGAACTCTGCCCGCAGCATC</t>
  </si>
  <si>
    <t xml:space="preserve">TGAAGCGCTCCCGCCCAAGG</t>
  </si>
  <si>
    <t xml:space="preserve">TAGTTGAAGCGCTCCCGCCCAAGG</t>
  </si>
  <si>
    <t xml:space="preserve">AAACCCTTGGGCGGGAGCGCTTCA</t>
  </si>
  <si>
    <t xml:space="preserve">GATGAACCTCACCGCGAGGA</t>
  </si>
  <si>
    <t xml:space="preserve">TAGTGATGAACCTCACCGCGAGGA</t>
  </si>
  <si>
    <t xml:space="preserve">AAACTCCTCGCGGTGAGGTTCATC</t>
  </si>
  <si>
    <t xml:space="preserve">GACAGCACTTCCAAGGTCAT</t>
  </si>
  <si>
    <t xml:space="preserve">TAGTGACAGCACTTCCAAGGTCAT</t>
  </si>
  <si>
    <t xml:space="preserve">AAACATGACCTTGGAAGTGCTGTC</t>
  </si>
  <si>
    <t xml:space="preserve">PST_0237</t>
  </si>
  <si>
    <t xml:space="preserve">GGCTGATTGAGGAAGTGCAT</t>
  </si>
  <si>
    <t xml:space="preserve">TAGTGGCTGATTGAGGAAGTGCAT</t>
  </si>
  <si>
    <t xml:space="preserve">AAACATGCACTTCCTCAATCAGCC</t>
  </si>
  <si>
    <t xml:space="preserve">GTGAAAAAAAGGTAGCGCGG</t>
  </si>
  <si>
    <t xml:space="preserve">TAGTGTGAAAAAAAGGTAGCGCGG</t>
  </si>
  <si>
    <t xml:space="preserve">AAACCCGCGCTACCTTTTTTTCAC</t>
  </si>
  <si>
    <t xml:space="preserve">CGCCGTAGCACAGGCGATGG</t>
  </si>
  <si>
    <t xml:space="preserve">TAGTCGCCGTAGCACAGGCGATGG</t>
  </si>
  <si>
    <t xml:space="preserve">AAACCCATCGCCTGTGCTACGGCG</t>
  </si>
  <si>
    <t xml:space="preserve">CAGGGTCAGTGCTGACAAGC</t>
  </si>
  <si>
    <t xml:space="preserve">TAGTCAGGGTCAGTGCTGACAAGC</t>
  </si>
  <si>
    <t xml:space="preserve">AAACGCTTGTCAGCACTGACCCTG</t>
  </si>
  <si>
    <t xml:space="preserve">PST_0238</t>
  </si>
  <si>
    <t xml:space="preserve">AGCGGGGTCAAAAATCTGAA</t>
  </si>
  <si>
    <t xml:space="preserve">TAGTAGCGGGGTCAAAAATCTGAA</t>
  </si>
  <si>
    <t xml:space="preserve">AAACTTCAGATTTTTGACCCCGCT</t>
  </si>
  <si>
    <t xml:space="preserve">CGGCGAAGCTCACGAGTGCC</t>
  </si>
  <si>
    <t xml:space="preserve">TAGTCGGCGAAGCTCACGAGTGCC</t>
  </si>
  <si>
    <t xml:space="preserve">AAACGGCACTCGTGAGCTTCGCCG</t>
  </si>
  <si>
    <t xml:space="preserve">TTTGGCCCAGTCCACATCGG</t>
  </si>
  <si>
    <t xml:space="preserve">TAGTTTTGGCCCAGTCCACATCGG</t>
  </si>
  <si>
    <t xml:space="preserve">AAACCCGATGTGGACTGGGCCAAA</t>
  </si>
  <si>
    <t xml:space="preserve">GAGTTTTCTGCGAAGGCGAG</t>
  </si>
  <si>
    <t xml:space="preserve">TAGTGAGTTTTCTGCGAAGGCGAG</t>
  </si>
  <si>
    <t xml:space="preserve">AAACCTCGCCTTCGCAGAAAACTC</t>
  </si>
  <si>
    <t xml:space="preserve">PST_0239</t>
  </si>
  <si>
    <t xml:space="preserve">TCGTGATATTGCTTTTGCAT</t>
  </si>
  <si>
    <t xml:space="preserve">TAGTTCGTGATATTGCTTTTGCAT</t>
  </si>
  <si>
    <t xml:space="preserve">AAACATGCAAAAGCAATATCACGA</t>
  </si>
  <si>
    <t xml:space="preserve">TGGCTCCGCCGAAGTAGATG</t>
  </si>
  <si>
    <t xml:space="preserve">TAGTTGGCTCCGCCGAAGTAGATG</t>
  </si>
  <si>
    <t xml:space="preserve">AAACCATCTACTTCGGCGGAGCCA</t>
  </si>
  <si>
    <t xml:space="preserve">GGCGATTTGTTGAATGTCGC</t>
  </si>
  <si>
    <t xml:space="preserve">TAGTGGCGATTTGTTGAATGTCGC</t>
  </si>
  <si>
    <t xml:space="preserve">AAACGCGACATTCAACAAATCGCC</t>
  </si>
  <si>
    <t xml:space="preserve">CACGTCGATGTGTTCCACAT</t>
  </si>
  <si>
    <t xml:space="preserve">TAGTCACGTCGATGTGTTCCACAT</t>
  </si>
  <si>
    <t xml:space="preserve">AAACATGTGGAACACATCGACGTG</t>
  </si>
  <si>
    <t xml:space="preserve">PST_0240</t>
  </si>
  <si>
    <t xml:space="preserve">arsC-3</t>
  </si>
  <si>
    <t xml:space="preserve">AATTGCCGGTGCAAAGAAAC</t>
  </si>
  <si>
    <t xml:space="preserve">TAGTAATTGCCGGTGCAAAGAAAC</t>
  </si>
  <si>
    <t xml:space="preserve">AAACGTTTCTTTGCACCGGCAATT</t>
  </si>
  <si>
    <t xml:space="preserve">TGGCTTCACCAAGGATCGAG</t>
  </si>
  <si>
    <t xml:space="preserve">TAGTTGGCTTCACCAAGGATCGAG</t>
  </si>
  <si>
    <t xml:space="preserve">AAACCTCGATCCTTGGTGAAGCCA</t>
  </si>
  <si>
    <t xml:space="preserve">CGGAGCAAGGTGATTGAAGG</t>
  </si>
  <si>
    <t xml:space="preserve">TAGTCGGAGCAAGGTGATTGAAGG</t>
  </si>
  <si>
    <t xml:space="preserve">AAACCCTTCAATCACCTTGCTCCG</t>
  </si>
  <si>
    <t xml:space="preserve">CTCATGGCCTTCCACCCTGC</t>
  </si>
  <si>
    <t xml:space="preserve">TAGTCTCATGGCCTTCCACCCTGC</t>
  </si>
  <si>
    <t xml:space="preserve">AAACGCAGGGTGGAAGGCCATGAG</t>
  </si>
  <si>
    <t xml:space="preserve">PST_0241</t>
  </si>
  <si>
    <t xml:space="preserve">GGTGGCTGTGTTCTTTTCCA</t>
  </si>
  <si>
    <t xml:space="preserve">TAGTGGTGGCTGTGTTCTTTTCCA</t>
  </si>
  <si>
    <t xml:space="preserve">AAACTGGAAAAGAACACAGCCACC</t>
  </si>
  <si>
    <t xml:space="preserve">TGACAGCGATTCAAAGATCG</t>
  </si>
  <si>
    <t xml:space="preserve">TAGTTGACAGCGATTCAAAGATCG</t>
  </si>
  <si>
    <t xml:space="preserve">AAACCGATCTTTGAATCGCTGTCA</t>
  </si>
  <si>
    <t xml:space="preserve">GTACACATCCAGCCGAAGGC</t>
  </si>
  <si>
    <t xml:space="preserve">TAGTGTACACATCCAGCCGAAGGC</t>
  </si>
  <si>
    <t xml:space="preserve">AAACGCCTTCGGCTGGATGTGTAC</t>
  </si>
  <si>
    <t xml:space="preserve">TGCCCCTGCGCACCAGAAGC</t>
  </si>
  <si>
    <t xml:space="preserve">TAGTTGCCCCTGCGCACCAGAAGC</t>
  </si>
  <si>
    <t xml:space="preserve">AAACGCTTCTGGTGCGCAGGGGCA</t>
  </si>
  <si>
    <t xml:space="preserve">PST_0242</t>
  </si>
  <si>
    <t xml:space="preserve">GCTGAAGATCCGCTCGCAAC</t>
  </si>
  <si>
    <t xml:space="preserve">TAGTGCTGAAGATCCGCTCGCAAC</t>
  </si>
  <si>
    <t xml:space="preserve">AAACGTTGCGAGCGGATCTTCAGC</t>
  </si>
  <si>
    <t xml:space="preserve">AAGACCGGGGCGCGATGCTT</t>
  </si>
  <si>
    <t xml:space="preserve">TAGTAAGACCGGGGCGCGATGCTT</t>
  </si>
  <si>
    <t xml:space="preserve">AAACAAGCATCGCGCCCCGGTCTT</t>
  </si>
  <si>
    <t xml:space="preserve">CAGACAACCAGAACATCGCC</t>
  </si>
  <si>
    <t xml:space="preserve">TAGTCAGACAACCAGAACATCGCC</t>
  </si>
  <si>
    <t xml:space="preserve">AAACGGCGATGTTCTGGTTGTCTG</t>
  </si>
  <si>
    <t xml:space="preserve">CGGACATCGAACGGCCGAGG</t>
  </si>
  <si>
    <t xml:space="preserve">TAGTCGGACATCGAACGGCCGAGG</t>
  </si>
  <si>
    <t xml:space="preserve">AAACCCTCGGCCGTTCGATGTCCG</t>
  </si>
  <si>
    <t xml:space="preserve">PST_0243</t>
  </si>
  <si>
    <t xml:space="preserve">CTCTGCGATACGCAGCGATG</t>
  </si>
  <si>
    <t xml:space="preserve">TAGTCTCTGCGATACGCAGCGATG</t>
  </si>
  <si>
    <t xml:space="preserve">AAACCATCGCTGCGTATCGCAGAG</t>
  </si>
  <si>
    <t xml:space="preserve">AGCGACAGCTCCAAGCACAG</t>
  </si>
  <si>
    <t xml:space="preserve">TAGTAGCGACAGCTCCAAGCACAG</t>
  </si>
  <si>
    <t xml:space="preserve">AAACCTGTGCTTGGAGCTGTCGCT</t>
  </si>
  <si>
    <t xml:space="preserve">CAGCACAAGAGCAAGCGCGC</t>
  </si>
  <si>
    <t xml:space="preserve">TAGTCAGCACAAGAGCAAGCGCGC</t>
  </si>
  <si>
    <t xml:space="preserve">AAACGCGCGCTTGCTCTTGTGCTG</t>
  </si>
  <si>
    <t xml:space="preserve">TAGAGCAAACGGCATCACTC</t>
  </si>
  <si>
    <t xml:space="preserve">TAGTTAGAGCAAACGGCATCACTC</t>
  </si>
  <si>
    <t xml:space="preserve">AAACGAGTGATGCCGTTTGCTCTA</t>
  </si>
  <si>
    <t xml:space="preserve">PST_0246</t>
  </si>
  <si>
    <t xml:space="preserve">GTGCTCAAGTTCTTATCCAT</t>
  </si>
  <si>
    <t xml:space="preserve">TAGTGTGCTCAAGTTCTTATCCAT</t>
  </si>
  <si>
    <t xml:space="preserve">AAACATGGATAAGAACTTGAGCAC</t>
  </si>
  <si>
    <t xml:space="preserve">ATGCCATCAGATAAGAGCAA</t>
  </si>
  <si>
    <t xml:space="preserve">TAGTATGCCATCAGATAAGAGCAA</t>
  </si>
  <si>
    <t xml:space="preserve">AAACTTGCTCTTATCTGATGGCAT</t>
  </si>
  <si>
    <t xml:space="preserve">GTGCACCTCAATCTCCGCCT</t>
  </si>
  <si>
    <t xml:space="preserve">TAGTGTGCACCTCAATCTCCGCCT</t>
  </si>
  <si>
    <t xml:space="preserve">AAACAGGCGGAGATTGAGGTGCAC</t>
  </si>
  <si>
    <t xml:space="preserve">TCAGATAATTGGCGATGGCC</t>
  </si>
  <si>
    <t xml:space="preserve">TAGTTCAGATAATTGGCGATGGCC</t>
  </si>
  <si>
    <t xml:space="preserve">AAACGGCCATCGCCAATTATCTGA</t>
  </si>
  <si>
    <t xml:space="preserve">PST_0247</t>
  </si>
  <si>
    <t xml:space="preserve">CGCCTGGATTCCTGAAAGCA</t>
  </si>
  <si>
    <t xml:space="preserve">TAGTCGCCTGGATTCCTGAAAGCA</t>
  </si>
  <si>
    <t xml:space="preserve">AAACTGCTTTCAGGAATCCAGGCG</t>
  </si>
  <si>
    <t xml:space="preserve">GCAGCCTCGCCCTGCGTTGG</t>
  </si>
  <si>
    <t xml:space="preserve">TAGTGCAGCCTCGCCCTGCGTTGG</t>
  </si>
  <si>
    <t xml:space="preserve">AAACCCAACGCAGGGCGAGGCTGC</t>
  </si>
  <si>
    <t xml:space="preserve">CATCAGTTGCGTGCTCGGGT</t>
  </si>
  <si>
    <t xml:space="preserve">TAGTCATCAGTTGCGTGCTCGGGT</t>
  </si>
  <si>
    <t xml:space="preserve">AAACACCCGAGCACGCAACTGATG</t>
  </si>
  <si>
    <t xml:space="preserve">ACGTTGCCAAGTGAGCGACA</t>
  </si>
  <si>
    <t xml:space="preserve">TAGTACGTTGCCAAGTGAGCGACA</t>
  </si>
  <si>
    <t xml:space="preserve">AAACTGTCGCTCACTTGGCAACGT</t>
  </si>
  <si>
    <t xml:space="preserve">PST_0248</t>
  </si>
  <si>
    <t xml:space="preserve">CGGAGCTTGTCCATGGCCGC</t>
  </si>
  <si>
    <t xml:space="preserve">TAGTCGGAGCTTGTCCATGGCCGC</t>
  </si>
  <si>
    <t xml:space="preserve">AAACGCGGCCATGGACAAGCTCCG</t>
  </si>
  <si>
    <t xml:space="preserve">TACCGGCACCGTTCATGGCG</t>
  </si>
  <si>
    <t xml:space="preserve">TAGTTACCGGCACCGTTCATGGCG</t>
  </si>
  <si>
    <t xml:space="preserve">AAACCGCCATGAACGGTGCCGGTA</t>
  </si>
  <si>
    <t xml:space="preserve">CAGAGTGCCGCCGCCGGCCA</t>
  </si>
  <si>
    <t xml:space="preserve">TAGTCAGAGTGCCGCCGCCGGCCA</t>
  </si>
  <si>
    <t xml:space="preserve">AAACTGGCCGGCGGCGGCACTCTG</t>
  </si>
  <si>
    <t xml:space="preserve">TTCAGGCAGTGCCTGGCTCA</t>
  </si>
  <si>
    <t xml:space="preserve">TAGTTTCAGGCAGTGCCTGGCTCA</t>
  </si>
  <si>
    <t xml:space="preserve">AAACTGAGCCAGGCACTGCCTGAA</t>
  </si>
  <si>
    <t xml:space="preserve">PST_0249</t>
  </si>
  <si>
    <t xml:space="preserve">CCATATTGGCAATGGCCGAC</t>
  </si>
  <si>
    <t xml:space="preserve">TAGTCCATATTGGCAATGGCCGAC</t>
  </si>
  <si>
    <t xml:space="preserve">AAACGTCGGCCATTGCCAATATGG</t>
  </si>
  <si>
    <t xml:space="preserve">AATGCCCACGATGCGCAGTG</t>
  </si>
  <si>
    <t xml:space="preserve">TAGTAATGCCCACGATGCGCAGTG</t>
  </si>
  <si>
    <t xml:space="preserve">AAACCACTGCGCATCGTGGGCATT</t>
  </si>
  <si>
    <t xml:space="preserve">GGCGAACGTTATCGACGGTC</t>
  </si>
  <si>
    <t xml:space="preserve">TAGTGGCGAACGTTATCGACGGTC</t>
  </si>
  <si>
    <t xml:space="preserve">AAACGACCGTCGATAACGTTCGCC</t>
  </si>
  <si>
    <t xml:space="preserve">GGCAGCGCTCCAGCAGCCGC</t>
  </si>
  <si>
    <t xml:space="preserve">TAGTGGCAGCGCTCCAGCAGCCGC</t>
  </si>
  <si>
    <t xml:space="preserve">AAACGCGGCTGCTGGAGCGCTGCC</t>
  </si>
  <si>
    <t xml:space="preserve">PST_0250</t>
  </si>
  <si>
    <t xml:space="preserve">ACAGACGCAGGCTGCGGCCC</t>
  </si>
  <si>
    <t xml:space="preserve">TAGTACAGACGCAGGCTGCGGCCC</t>
  </si>
  <si>
    <t xml:space="preserve">AAACGGGCCGCAGCCTGCGTCTGT</t>
  </si>
  <si>
    <t xml:space="preserve">TCGGCGGTCAGCAGGCCGTT</t>
  </si>
  <si>
    <t xml:space="preserve">TAGTTCGGCGGTCAGCAGGCCGTT</t>
  </si>
  <si>
    <t xml:space="preserve">AAACAACGGCCTGCTGACCGCCGA</t>
  </si>
  <si>
    <t xml:space="preserve">AGGGCCGGTCAGCACATGAC</t>
  </si>
  <si>
    <t xml:space="preserve">TAGTAGGGCCGGTCAGCACATGAC</t>
  </si>
  <si>
    <t xml:space="preserve">AAACGTCATGTGCTGACCGGCCCT</t>
  </si>
  <si>
    <t xml:space="preserve">AGCTCGGCCAGTTTGGAGCG</t>
  </si>
  <si>
    <t xml:space="preserve">TAGTAGCTCGGCCAGTTTGGAGCG</t>
  </si>
  <si>
    <t xml:space="preserve">AAACCGCTCCAAACTGGCCGAGCT</t>
  </si>
  <si>
    <t xml:space="preserve">PST_0251</t>
  </si>
  <si>
    <t xml:space="preserve">AGGCCGGATACGGCTTGTAA</t>
  </si>
  <si>
    <t xml:space="preserve">TAGTAGGCCGGATACGGCTTGTAA</t>
  </si>
  <si>
    <t xml:space="preserve">AAACTTACAAGCCGTATCCGGCCT</t>
  </si>
  <si>
    <t xml:space="preserve">CTCTACCCCGGAGTCCTTAT</t>
  </si>
  <si>
    <t xml:space="preserve">TAGTCTCTACCCCGGAGTCCTTAT</t>
  </si>
  <si>
    <t xml:space="preserve">AAACATAAGGACTCCGGGGTAGAG</t>
  </si>
  <si>
    <t xml:space="preserve">GGACCAATAGTCCAATGCTC</t>
  </si>
  <si>
    <t xml:space="preserve">TAGTGGACCAATAGTCCAATGCTC</t>
  </si>
  <si>
    <t xml:space="preserve">AAACGAGCATTGGACTATTGGTCC</t>
  </si>
  <si>
    <t xml:space="preserve">ATCTGAATCGTTGCCTTGTA</t>
  </si>
  <si>
    <t xml:space="preserve">TAGTATCTGAATCGTTGCCTTGTA</t>
  </si>
  <si>
    <t xml:space="preserve">AAACTACAAGGCAACGATTCAGAT</t>
  </si>
  <si>
    <t xml:space="preserve">PST_0252</t>
  </si>
  <si>
    <t xml:space="preserve">TAAAGGGGGCCAGGGTTTGC</t>
  </si>
  <si>
    <t xml:space="preserve">TAGTTAAAGGGGGCCAGGGTTTGC</t>
  </si>
  <si>
    <t xml:space="preserve">AAACGCAAACCCTGGCCCCCTTTA</t>
  </si>
  <si>
    <t xml:space="preserve">GCCGTACTCGGAGGGTTTGA</t>
  </si>
  <si>
    <t xml:space="preserve">TAGTGCCGTACTCGGAGGGTTTGA</t>
  </si>
  <si>
    <t xml:space="preserve">AAACTCAAACCCTCCGAGTACGGC</t>
  </si>
  <si>
    <t xml:space="preserve">AGACGACGCAGCACGGTGAA</t>
  </si>
  <si>
    <t xml:space="preserve">TAGTAGACGACGCAGCACGGTGAA</t>
  </si>
  <si>
    <t xml:space="preserve">AAACTTCACCGTGCTGCGTCGTCT</t>
  </si>
  <si>
    <t xml:space="preserve">CTACGCACCTTGTCGCGGGT</t>
  </si>
  <si>
    <t xml:space="preserve">TAGTCTACGCACCTTGTCGCGGGT</t>
  </si>
  <si>
    <t xml:space="preserve">AAACACCCGCGACAAGGTGCGTAG</t>
  </si>
  <si>
    <t xml:space="preserve">PST_0253</t>
  </si>
  <si>
    <t xml:space="preserve">CATACGACCAAACCGTCCCA</t>
  </si>
  <si>
    <t xml:space="preserve">TAGTCATACGACCAAACCGTCCCA</t>
  </si>
  <si>
    <t xml:space="preserve">AAACTGGGACGGTTTGGTCGTATG</t>
  </si>
  <si>
    <t xml:space="preserve">AGGCTCCACATCACGTACAG</t>
  </si>
  <si>
    <t xml:space="preserve">TAGTAGGCTCCACATCACGTACAG</t>
  </si>
  <si>
    <t xml:space="preserve">AAACCTGTACGTGATGTGGAGCCT</t>
  </si>
  <si>
    <t xml:space="preserve">CTCTCAGGGCGCTGACGATA</t>
  </si>
  <si>
    <t xml:space="preserve">TAGTCTCTCAGGGCGCTGACGATA</t>
  </si>
  <si>
    <t xml:space="preserve">AAACTATCGTCAGCGCCCTGAGAG</t>
  </si>
  <si>
    <t xml:space="preserve">ACGCGGGTAGACGAAGTCGA</t>
  </si>
  <si>
    <t xml:space="preserve">TAGTACGCGGGTAGACGAAGTCGA</t>
  </si>
  <si>
    <t xml:space="preserve">AAACTCGACTTCGTCTACCCGCGT</t>
  </si>
  <si>
    <t xml:space="preserve">PST_0254</t>
  </si>
  <si>
    <t xml:space="preserve">CAAGGTGGCTTCCATGGGCA</t>
  </si>
  <si>
    <t xml:space="preserve">TAGTCAAGGTGGCTTCCATGGGCA</t>
  </si>
  <si>
    <t xml:space="preserve">AAACTGCCCATGGAAGCCACCTTG</t>
  </si>
  <si>
    <t xml:space="preserve">TACGAAAAGCCTTGGAGCTC</t>
  </si>
  <si>
    <t xml:space="preserve">TAGTTACGAAAAGCCTTGGAGCTC</t>
  </si>
  <si>
    <t xml:space="preserve">AAACGAGCTCCAAGGCTTTTCGTA</t>
  </si>
  <si>
    <t xml:space="preserve">TCACCTCTTGAAGAATCTCG</t>
  </si>
  <si>
    <t xml:space="preserve">TAGTTCACCTCTTGAAGAATCTCG</t>
  </si>
  <si>
    <t xml:space="preserve">AAACCGAGATTCTTCAAGAGGTGA</t>
  </si>
  <si>
    <t xml:space="preserve">CCAGTTGACACATGAGGTGC</t>
  </si>
  <si>
    <t xml:space="preserve">TAGTCCAGTTGACACATGAGGTGC</t>
  </si>
  <si>
    <t xml:space="preserve">AAACGCACCTCATGTGTCAACTGG</t>
  </si>
  <si>
    <t xml:space="preserve">PST_0256</t>
  </si>
  <si>
    <t xml:space="preserve">CGAACGCTATTAGCGGGCGG</t>
  </si>
  <si>
    <t xml:space="preserve">TAGTCGAACGCTATTAGCGGGCGG</t>
  </si>
  <si>
    <t xml:space="preserve">AAACCCGCCCGCTAATAGCGTTCG</t>
  </si>
  <si>
    <t xml:space="preserve">GTCGCCGAGCGGGAACGGCT</t>
  </si>
  <si>
    <t xml:space="preserve">TAGTGTCGCCGAGCGGGAACGGCT</t>
  </si>
  <si>
    <t xml:space="preserve">AAACAGCCGTTCCCGCTCGGCGAC</t>
  </si>
  <si>
    <t xml:space="preserve">GTTTTCGATTCAGCAGAACG</t>
  </si>
  <si>
    <t xml:space="preserve">TAGTGTTTTCGATTCAGCAGAACG</t>
  </si>
  <si>
    <t xml:space="preserve">AAACCGTTCTGCTGAATCGAAAAC</t>
  </si>
  <si>
    <t xml:space="preserve">CTCGTATTGCGAGCTGCCGA</t>
  </si>
  <si>
    <t xml:space="preserve">TAGTCTCGTATTGCGAGCTGCCGA</t>
  </si>
  <si>
    <t xml:space="preserve">AAACTCGGCAGCTCGCAATACGAG</t>
  </si>
  <si>
    <t xml:space="preserve">PST_0257</t>
  </si>
  <si>
    <t xml:space="preserve">CGGTGGCGAGGCGCTACCAA</t>
  </si>
  <si>
    <t xml:space="preserve">TAGTCGGTGGCGAGGCGCTACCAA</t>
  </si>
  <si>
    <t xml:space="preserve">AAACTTGGTAGCGCCTCGCCACCG</t>
  </si>
  <si>
    <t xml:space="preserve">CGTCACGAGAATTTTCATGA</t>
  </si>
  <si>
    <t xml:space="preserve">TAGTCGTCACGAGAATTTTCATGA</t>
  </si>
  <si>
    <t xml:space="preserve">AAACTCATGAAAATTCTCGTGACG</t>
  </si>
  <si>
    <t xml:space="preserve">CAAAAACATGTAGCGGGAAA</t>
  </si>
  <si>
    <t xml:space="preserve">TAGTCAAAAACATGTAGCGGGAAA</t>
  </si>
  <si>
    <t xml:space="preserve">AAACTTTCCCGCTACATGTTTTTG</t>
  </si>
  <si>
    <t xml:space="preserve">AATGCCCCAATGGCAAAGCC</t>
  </si>
  <si>
    <t xml:space="preserve">TAGTAATGCCCCAATGGCAAAGCC</t>
  </si>
  <si>
    <t xml:space="preserve">AAACGGCTTTGCCATTGGGGCATT</t>
  </si>
  <si>
    <t xml:space="preserve">PST_0258</t>
  </si>
  <si>
    <t xml:space="preserve">GCTTACTAGGGGCGGTTTGA</t>
  </si>
  <si>
    <t xml:space="preserve">TAGTGCTTACTAGGGGCGGTTTGA</t>
  </si>
  <si>
    <t xml:space="preserve">AAACTCAAACCGCCCCTAGTAAGC</t>
  </si>
  <si>
    <t xml:space="preserve">CAAAACGCGTGACAAGAGGT</t>
  </si>
  <si>
    <t xml:space="preserve">TAGTCAAAACGCGTGACAAGAGGT</t>
  </si>
  <si>
    <t xml:space="preserve">AAACACCTCTTGTCACGCGTTTTG</t>
  </si>
  <si>
    <t xml:space="preserve">ATGAAGTCGCACAGTCGAAG</t>
  </si>
  <si>
    <t xml:space="preserve">TAGTATGAAGTCGCACAGTCGAAG</t>
  </si>
  <si>
    <t xml:space="preserve">AAACCTTCGACTGTGCGACTTCAT</t>
  </si>
  <si>
    <t xml:space="preserve">TCGCAAAGGCTGCCTCCTCA</t>
  </si>
  <si>
    <t xml:space="preserve">TAGTTCGCAAAGGCTGCCTCCTCA</t>
  </si>
  <si>
    <t xml:space="preserve">AAACTGAGGAGGCAGCCTTTGCGA</t>
  </si>
  <si>
    <t xml:space="preserve">PST_0259</t>
  </si>
  <si>
    <t xml:space="preserve">TTCACCTGCAAGGCCGTTAG</t>
  </si>
  <si>
    <t xml:space="preserve">TAGTTTCACCTGCAAGGCCGTTAG</t>
  </si>
  <si>
    <t xml:space="preserve">AAACCTAACGGCCTTGCAGGTGAA</t>
  </si>
  <si>
    <t xml:space="preserve">AGGCCATAGTCACTTTCGCG</t>
  </si>
  <si>
    <t xml:space="preserve">TAGTAGGCCATAGTCACTTTCGCG</t>
  </si>
  <si>
    <t xml:space="preserve">AAACCGCGAAAGTGACTATGGCCT</t>
  </si>
  <si>
    <t xml:space="preserve">ATAAACCGCCGCCATCGGCA</t>
  </si>
  <si>
    <t xml:space="preserve">TAGTATAAACCGCCGCCATCGGCA</t>
  </si>
  <si>
    <t xml:space="preserve">AAACTGCCGATGGCGGCGGTTTAT</t>
  </si>
  <si>
    <t xml:space="preserve">CGCCTGCTGCGCGAATCCAG</t>
  </si>
  <si>
    <t xml:space="preserve">TAGTCGCCTGCTGCGCGAATCCAG</t>
  </si>
  <si>
    <t xml:space="preserve">AAACCTGGATTCGCGCAGCAGGCG</t>
  </si>
  <si>
    <t xml:space="preserve">PST_0261</t>
  </si>
  <si>
    <t xml:space="preserve">CTCGTGCAGGCTGGGGGCTG</t>
  </si>
  <si>
    <t xml:space="preserve">TAGTCTCGTGCAGGCTGGGGGCTG</t>
  </si>
  <si>
    <t xml:space="preserve">AAACCAGCCCCCAGCCTGCACGAG</t>
  </si>
  <si>
    <t xml:space="preserve">TGAGGAAACGGTCCAGCGCA</t>
  </si>
  <si>
    <t xml:space="preserve">TAGTTGAGGAAACGGTCCAGCGCA</t>
  </si>
  <si>
    <t xml:space="preserve">AAACTGCGCTGGACCGTTTCCTCA</t>
  </si>
  <si>
    <t xml:space="preserve">CCGCCACAGCGACTGATGCT</t>
  </si>
  <si>
    <t xml:space="preserve">TAGTCCGCCACAGCGACTGATGCT</t>
  </si>
  <si>
    <t xml:space="preserve">AAACAGCATCAGTCGCTGTGGCGG</t>
  </si>
  <si>
    <t xml:space="preserve">GTTCGGCAGACGAACGGACG</t>
  </si>
  <si>
    <t xml:space="preserve">TAGTGTTCGGCAGACGAACGGACG</t>
  </si>
  <si>
    <t xml:space="preserve">AAACCGTCCGTTCGTCTGCCGAAC</t>
  </si>
  <si>
    <t xml:space="preserve">PST_0262</t>
  </si>
  <si>
    <t xml:space="preserve">GATGCTGATGAACAGCAGGA</t>
  </si>
  <si>
    <t xml:space="preserve">TAGTGATGCTGATGAACAGCAGGA</t>
  </si>
  <si>
    <t xml:space="preserve">AAACTCCTGCTGTTCATCAGCATC</t>
  </si>
  <si>
    <t xml:space="preserve">GACCGGGTAACCCGACATGA</t>
  </si>
  <si>
    <t xml:space="preserve">TAGTGACCGGGTAACCCGACATGA</t>
  </si>
  <si>
    <t xml:space="preserve">AAACTCATGTCGGGTTACCCGGTC</t>
  </si>
  <si>
    <t xml:space="preserve">TGCCATGCCACCAAGGGTGA</t>
  </si>
  <si>
    <t xml:space="preserve">TAGTTGCCATGCCACCAAGGGTGA</t>
  </si>
  <si>
    <t xml:space="preserve">AAACTCACCCTTGGTGGCATGGCA</t>
  </si>
  <si>
    <t xml:space="preserve">GCCGGTGACCACGCCGATGC</t>
  </si>
  <si>
    <t xml:space="preserve">TAGTGCCGGTGACCACGCCGATGC</t>
  </si>
  <si>
    <t xml:space="preserve">AAACGCATCGGCGTGGTCACCGGC</t>
  </si>
  <si>
    <t xml:space="preserve">PST_0263</t>
  </si>
  <si>
    <t xml:space="preserve">GGCGGGGGGCTCTGGGACAT</t>
  </si>
  <si>
    <t xml:space="preserve">TAGTGGCGGGGGGCTCTGGGACAT</t>
  </si>
  <si>
    <t xml:space="preserve">AAACATGTCCCAGAGCCCCCCGCC</t>
  </si>
  <si>
    <t xml:space="preserve">AGGCCAGCCACGCGCAGCAG</t>
  </si>
  <si>
    <t xml:space="preserve">TAGTAGGCCAGCCACGCGCAGCAG</t>
  </si>
  <si>
    <t xml:space="preserve">AAACCTGCTGCGCGTGGCTGGCCT</t>
  </si>
  <si>
    <t xml:space="preserve">GCATGTTGAGCGCATCGATG</t>
  </si>
  <si>
    <t xml:space="preserve">TAGTGCATGTTGAGCGCATCGATG</t>
  </si>
  <si>
    <t xml:space="preserve">AAACCATCGATGCGCTCAACATGC</t>
  </si>
  <si>
    <t xml:space="preserve">TCCAGGCACATAGCTGGCCG</t>
  </si>
  <si>
    <t xml:space="preserve">TAGTTCCAGGCACATAGCTGGCCG</t>
  </si>
  <si>
    <t xml:space="preserve">AAACCGGCCAGCTATGTGCCTGGA</t>
  </si>
  <si>
    <t xml:space="preserve">PST_0264</t>
  </si>
  <si>
    <t xml:space="preserve">CGCCAGGCCTACGCCAGCGG</t>
  </si>
  <si>
    <t xml:space="preserve">TAGTCGCCAGGCCTACGCCAGCGG</t>
  </si>
  <si>
    <t xml:space="preserve">AAACCCGCTGGCGTAGGCCTGGCG</t>
  </si>
  <si>
    <t xml:space="preserve">GTTGCAGCCGGCCAGTGCGG</t>
  </si>
  <si>
    <t xml:space="preserve">TAGTGTTGCAGCCGGCCAGTGCGG</t>
  </si>
  <si>
    <t xml:space="preserve">AAACCCGCACTGGCCGGCTGCAAC</t>
  </si>
  <si>
    <t xml:space="preserve">TGCGCGCTTTCGCCTGCGGC</t>
  </si>
  <si>
    <t xml:space="preserve">TAGTTGCGCGCTTTCGCCTGCGGC</t>
  </si>
  <si>
    <t xml:space="preserve">AAACGCCGCAGGCGAAAGCGCGCA</t>
  </si>
  <si>
    <t xml:space="preserve">GTTGAATGTCTGCTGTTCGC</t>
  </si>
  <si>
    <t xml:space="preserve">TAGTGTTGAATGTCTGCTGTTCGC</t>
  </si>
  <si>
    <t xml:space="preserve">AAACGCGAACAGCAGACATTCAAC</t>
  </si>
  <si>
    <t xml:space="preserve">PST_0265</t>
  </si>
  <si>
    <t xml:space="preserve">osmC</t>
  </si>
  <si>
    <t xml:space="preserve">CAGGCCGCCTTGCCAGACGG</t>
  </si>
  <si>
    <t xml:space="preserve">TAGTCAGGCCGCCTTGCCAGACGG</t>
  </si>
  <si>
    <t xml:space="preserve">AAACCCGTCTGGCAAGGCGGCCTG</t>
  </si>
  <si>
    <t xml:space="preserve">GGCACCGCTTTCGGTGCTGA</t>
  </si>
  <si>
    <t xml:space="preserve">TAGTGGCACCGCTTTCGGTGCTGA</t>
  </si>
  <si>
    <t xml:space="preserve">AAACTCAGCACCGAAAGCGGTGCC</t>
  </si>
  <si>
    <t xml:space="preserve">GCCATAGGGGTTGTCCTTCA</t>
  </si>
  <si>
    <t xml:space="preserve">TAGTGCCATAGGGGTTGTCCTTCA</t>
  </si>
  <si>
    <t xml:space="preserve">AAACTGAAGGACAACCCCTATGGC</t>
  </si>
  <si>
    <t xml:space="preserve">TCCGGGTGCGCCTTCGAAAC</t>
  </si>
  <si>
    <t xml:space="preserve">TAGTTCCGGGTGCGCCTTCGAAAC</t>
  </si>
  <si>
    <t xml:space="preserve">AAACGTTTCGAAGGCGCACCCGGA</t>
  </si>
  <si>
    <t xml:space="preserve">PST_0266</t>
  </si>
  <si>
    <t xml:space="preserve">CGCCAGGGCCAGGGCGAATG</t>
  </si>
  <si>
    <t xml:space="preserve">TAGTCGCCAGGGCCAGGGCGAATG</t>
  </si>
  <si>
    <t xml:space="preserve">AAACCATTCGCCCTGGCCCTGGCG</t>
  </si>
  <si>
    <t xml:space="preserve">ACGTACCAGGCCATCGGCCA</t>
  </si>
  <si>
    <t xml:space="preserve">TAGTACGTACCAGGCCATCGGCCA</t>
  </si>
  <si>
    <t xml:space="preserve">AAACTGGCCGATGGCCTGGTACGT</t>
  </si>
  <si>
    <t xml:space="preserve">CCGTGGTCGCGCCCGAGGAC</t>
  </si>
  <si>
    <t xml:space="preserve">TAGTCCGTGGTCGCGCCCGAGGAC</t>
  </si>
  <si>
    <t xml:space="preserve">AAACGTCCTCGGGCGCGACCACGG</t>
  </si>
  <si>
    <t xml:space="preserve">GTCCTTGAACGTCAGGTAGG</t>
  </si>
  <si>
    <t xml:space="preserve">TAGTGTCCTTGAACGTCAGGTAGG</t>
  </si>
  <si>
    <t xml:space="preserve">AAACCCTACCTGACGTTCAAGGAC</t>
  </si>
  <si>
    <t xml:space="preserve">PST_0267</t>
  </si>
  <si>
    <t xml:space="preserve">CTGAGTAATTCAGACGGTTT</t>
  </si>
  <si>
    <t xml:space="preserve">TAGTCTGAGTAATTCAGACGGTTT</t>
  </si>
  <si>
    <t xml:space="preserve">AAACAAACCGTCTGAATTACTCAG</t>
  </si>
  <si>
    <t xml:space="preserve">GTGTCCTGCTCGGCTATCCA</t>
  </si>
  <si>
    <t xml:space="preserve">TAGTGTGTCCTGCTCGGCTATCCA</t>
  </si>
  <si>
    <t xml:space="preserve">AAACTGGATAGCCGAGCAGGACAC</t>
  </si>
  <si>
    <t xml:space="preserve">CGCTGCGGGAGCGCAGTGTT</t>
  </si>
  <si>
    <t xml:space="preserve">TAGTCGCTGCGGGAGCGCAGTGTT</t>
  </si>
  <si>
    <t xml:space="preserve">AAACAACACTGCGCTCCCGCAGCG</t>
  </si>
  <si>
    <t xml:space="preserve">CAGCCGTTCAGCTTCATTCC</t>
  </si>
  <si>
    <t xml:space="preserve">TAGTCAGCCGTTCAGCTTCATTCC</t>
  </si>
  <si>
    <t xml:space="preserve">AAACGGAATGAAGCTGAACGGCTG</t>
  </si>
  <si>
    <t xml:space="preserve">PST_0268</t>
  </si>
  <si>
    <t xml:space="preserve">GCTGCGGGCAGCTCTGCGGC</t>
  </si>
  <si>
    <t xml:space="preserve">TAGTGCTGCGGGCAGCTCTGCGGC</t>
  </si>
  <si>
    <t xml:space="preserve">AAACGCCGCAGAGCTGCCCGCAGC</t>
  </si>
  <si>
    <t xml:space="preserve">TCGCTAATCGCGGACCTGAC</t>
  </si>
  <si>
    <t xml:space="preserve">TAGTTCGCTAATCGCGGACCTGAC</t>
  </si>
  <si>
    <t xml:space="preserve">AAACGTCAGGTCCGCGATTAGCGA</t>
  </si>
  <si>
    <t xml:space="preserve">GGGCCTGGTAGAACGCGTTC</t>
  </si>
  <si>
    <t xml:space="preserve">TAGTGGGCCTGGTAGAACGCGTTC</t>
  </si>
  <si>
    <t xml:space="preserve">AAACGAACGCGTTCTACCAGGCCC</t>
  </si>
  <si>
    <t xml:space="preserve">CCAGGCGGGCTGGAACTGGC</t>
  </si>
  <si>
    <t xml:space="preserve">TAGTCCAGGCGGGCTGGAACTGGC</t>
  </si>
  <si>
    <t xml:space="preserve">AAACGCCAGTTCCAGCCCGCCTGG</t>
  </si>
  <si>
    <t xml:space="preserve">PST_0269</t>
  </si>
  <si>
    <t xml:space="preserve">GAGAAGGCCCGCCGCCAGGC</t>
  </si>
  <si>
    <t xml:space="preserve">TAGTGAGAAGGCCCGCCGCCAGGC</t>
  </si>
  <si>
    <t xml:space="preserve">AAACGCCTGGCGGCGGGCCTTCTC</t>
  </si>
  <si>
    <t xml:space="preserve">CATCGGCTGATAGGTGGCGG</t>
  </si>
  <si>
    <t xml:space="preserve">TAGTCATCGGCTGATAGGTGGCGG</t>
  </si>
  <si>
    <t xml:space="preserve">AAACCCGCCACCTATCAGCCGATG</t>
  </si>
  <si>
    <t xml:space="preserve">GCTTGGGCGCCAGCCGCGCC</t>
  </si>
  <si>
    <t xml:space="preserve">TAGTGCTTGGGCGCCAGCCGCGCC</t>
  </si>
  <si>
    <t xml:space="preserve">AAACGGCGCGGCTGGCGCCCAAGC</t>
  </si>
  <si>
    <t xml:space="preserve">CCGCGTGGGTCAGGACCTGC</t>
  </si>
  <si>
    <t xml:space="preserve">TAGTCCGCGTGGGTCAGGACCTGC</t>
  </si>
  <si>
    <t xml:space="preserve">AAACGCAGGTCCTGACCCACGCGG</t>
  </si>
  <si>
    <t xml:space="preserve">PST_0270</t>
  </si>
  <si>
    <t xml:space="preserve">GGGCGAGTTCAGCACGGACA</t>
  </si>
  <si>
    <t xml:space="preserve">TAGTGGGCGAGTTCAGCACGGACA</t>
  </si>
  <si>
    <t xml:space="preserve">AAACTGTCCGTGCTGAACTCGCCC</t>
  </si>
  <si>
    <t xml:space="preserve">TCGAGAGGGCGGTCCTGGGT</t>
  </si>
  <si>
    <t xml:space="preserve">TAGTTCGAGAGGGCGGTCCTGGGT</t>
  </si>
  <si>
    <t xml:space="preserve">AAACACCCAGGACCGCCCTCTCGA</t>
  </si>
  <si>
    <t xml:space="preserve">AACCAGCTCGCGCAACAGGT</t>
  </si>
  <si>
    <t xml:space="preserve">TAGTAACCAGCTCGCGCAACAGGT</t>
  </si>
  <si>
    <t xml:space="preserve">AAACACCTGTTGCGCGAGCTGGTT</t>
  </si>
  <si>
    <t xml:space="preserve">GTCCTGCGCGACCCGCCCCT</t>
  </si>
  <si>
    <t xml:space="preserve">TAGTGTCCTGCGCGACCCGCCCCT</t>
  </si>
  <si>
    <t xml:space="preserve">AAACAGGGGCGGGTCGCGCAGGAC</t>
  </si>
  <si>
    <t xml:space="preserve">PST_0271</t>
  </si>
  <si>
    <t xml:space="preserve">GATTTCGGTTTCTTTCTGCA</t>
  </si>
  <si>
    <t xml:space="preserve">TAGTGATTTCGGTTTCTTTCTGCA</t>
  </si>
  <si>
    <t xml:space="preserve">AAACTGCAGAAAGAAACCGAAATC</t>
  </si>
  <si>
    <t xml:space="preserve">GCAGGGCGAGCAGGGTTTCG</t>
  </si>
  <si>
    <t xml:space="preserve">TAGTGCAGGGCGAGCAGGGTTTCG</t>
  </si>
  <si>
    <t xml:space="preserve">AAACCGAAACCCTGCTCGCCCTGC</t>
  </si>
  <si>
    <t xml:space="preserve">TTGTTGCGCTTTTTCAGCAG</t>
  </si>
  <si>
    <t xml:space="preserve">TAGTTTGTTGCGCTTTTTCAGCAG</t>
  </si>
  <si>
    <t xml:space="preserve">AAACCTGCTGAAAAAGCGCAACAA</t>
  </si>
  <si>
    <t xml:space="preserve">AATACTGGTTGAACAGTTCA</t>
  </si>
  <si>
    <t xml:space="preserve">TAGTAATACTGGTTGAACAGTTCA</t>
  </si>
  <si>
    <t xml:space="preserve">AAACTGAACTGTTCAACCAGTATT</t>
  </si>
  <si>
    <t xml:space="preserve">PST_0272</t>
  </si>
  <si>
    <t xml:space="preserve">ACGAAAGGATTGACTGGCAT</t>
  </si>
  <si>
    <t xml:space="preserve">TAGTACGAAAGGATTGACTGGCAT</t>
  </si>
  <si>
    <t xml:space="preserve">AAACATGCCAGTCAATCCTTTCGT</t>
  </si>
  <si>
    <t xml:space="preserve">TGCTGCTGCATCGGGCCGAT</t>
  </si>
  <si>
    <t xml:space="preserve">TAGTTGCTGCTGCATCGGGCCGAT</t>
  </si>
  <si>
    <t xml:space="preserve">AAACATCGGCCCGATGCAGCAGCA</t>
  </si>
  <si>
    <t xml:space="preserve">CGCTGCACATTCATGCGACT</t>
  </si>
  <si>
    <t xml:space="preserve">TAGTCGCTGCACATTCATGCGACT</t>
  </si>
  <si>
    <t xml:space="preserve">AAACAGTCGCATGAATGTGCAGCG</t>
  </si>
  <si>
    <t xml:space="preserve">CCGCCTGGAACAGCGGCACC</t>
  </si>
  <si>
    <t xml:space="preserve">TAGTCCGCCTGGAACAGCGGCACC</t>
  </si>
  <si>
    <t xml:space="preserve">AAACGGTGCCGCTGTTCCAGGCGG</t>
  </si>
  <si>
    <t xml:space="preserve">PST_0273</t>
  </si>
  <si>
    <t xml:space="preserve">CGAATGCGCAGGCGAGAATC</t>
  </si>
  <si>
    <t xml:space="preserve">TAGTCGAATGCGCAGGCGAGAATC</t>
  </si>
  <si>
    <t xml:space="preserve">AAACGATTCTCGCCTGCGCATTCG</t>
  </si>
  <si>
    <t xml:space="preserve">ATCGTTGGCGCCGACGCCCC</t>
  </si>
  <si>
    <t xml:space="preserve">TAGTATCGTTGGCGCCGACGCCCC</t>
  </si>
  <si>
    <t xml:space="preserve">AAACGGGGCGTCGGCGCCAACGAT</t>
  </si>
  <si>
    <t xml:space="preserve">GACCGAAGTGCCCATGGCGT</t>
  </si>
  <si>
    <t xml:space="preserve">TAGTGACCGAAGTGCCCATGGCGT</t>
  </si>
  <si>
    <t xml:space="preserve">AAACACGCCATGGGCACTTCGGTC</t>
  </si>
  <si>
    <t xml:space="preserve">CCTGCTTGATGGTCAGCGCA</t>
  </si>
  <si>
    <t xml:space="preserve">TAGTCCTGCTTGATGGTCAGCGCA</t>
  </si>
  <si>
    <t xml:space="preserve">AAACTGCGCTGACCATCAAGCAGG</t>
  </si>
  <si>
    <t xml:space="preserve">PST_0274</t>
  </si>
  <si>
    <t xml:space="preserve">argE</t>
  </si>
  <si>
    <t xml:space="preserve">TTGAGCGAAGGAATGGGCAC</t>
  </si>
  <si>
    <t xml:space="preserve">TAGTTTGAGCGAAGGAATGGGCAC</t>
  </si>
  <si>
    <t xml:space="preserve">AAACGTGCCCATTCCTTCGCTCAA</t>
  </si>
  <si>
    <t xml:space="preserve">GGAGGGCGCGGCAATGAGCG</t>
  </si>
  <si>
    <t xml:space="preserve">TAGTGGAGGGCGCGGCAATGAGCG</t>
  </si>
  <si>
    <t xml:space="preserve">AAACCGCTCATTGCCGCGCCCTCC</t>
  </si>
  <si>
    <t xml:space="preserve">GCCAGGCTGCGTGCAACTGA</t>
  </si>
  <si>
    <t xml:space="preserve">TAGTGCCAGGCTGCGTGCAACTGA</t>
  </si>
  <si>
    <t xml:space="preserve">AAACTCAGTTGCACGCAGCCTGGC</t>
  </si>
  <si>
    <t xml:space="preserve">CCAGCAGCTCGATCACCGGA</t>
  </si>
  <si>
    <t xml:space="preserve">TAGTCCAGCAGCTCGATCACCGGA</t>
  </si>
  <si>
    <t xml:space="preserve">AAACTCCGGTGATCGAGCTGCTGG</t>
  </si>
  <si>
    <t xml:space="preserve">PST_0275</t>
  </si>
  <si>
    <t xml:space="preserve">argA</t>
  </si>
  <si>
    <t xml:space="preserve">GTGGACGATATTGGCGAAGT</t>
  </si>
  <si>
    <t xml:space="preserve">TAGTGTGGACGATATTGGCGAAGT</t>
  </si>
  <si>
    <t xml:space="preserve">AAACACTTCGCCAATATCGTCCAC</t>
  </si>
  <si>
    <t xml:space="preserve">CAAGGCTGTGCAGCAGCACC</t>
  </si>
  <si>
    <t xml:space="preserve">TAGTCAAGGCTGTGCAGCAGCACC</t>
  </si>
  <si>
    <t xml:space="preserve">AAACGGTGCTGCTGCACAGCCTTG</t>
  </si>
  <si>
    <t xml:space="preserve">GCGAACCGAACACCAGCACC</t>
  </si>
  <si>
    <t xml:space="preserve">TAGTGCGAACCGAACACCAGCACC</t>
  </si>
  <si>
    <t xml:space="preserve">AAACGGTGCTGGTGTTCGGTTCGC</t>
  </si>
  <si>
    <t xml:space="preserve">CGCAGGTCGCGGTGGAAGCG</t>
  </si>
  <si>
    <t xml:space="preserve">TAGTCGCAGGTCGCGGTGGAAGCG</t>
  </si>
  <si>
    <t xml:space="preserve">AAACCGCTTCCACCGCGACCTGCG</t>
  </si>
  <si>
    <t xml:space="preserve">PST_0276</t>
  </si>
  <si>
    <t xml:space="preserve">gshA</t>
  </si>
  <si>
    <t xml:space="preserve">GGCCAGCAATGCCAGGCGGT</t>
  </si>
  <si>
    <t xml:space="preserve">TAGTGGCCAGCAATGCCAGGCGGT</t>
  </si>
  <si>
    <t xml:space="preserve">AAACACCGCCTGGCATTGCTGGCC</t>
  </si>
  <si>
    <t xml:space="preserve">CAGCGGCAGGTGTGGAGCCT</t>
  </si>
  <si>
    <t xml:space="preserve">TAGTCAGCGGCAGGTGTGGAGCCT</t>
  </si>
  <si>
    <t xml:space="preserve">AAACAGGCTCCACACCTGCCGCTG</t>
  </si>
  <si>
    <t xml:space="preserve">GCTCGATTCCGTGCAGGCAT</t>
  </si>
  <si>
    <t xml:space="preserve">TAGTGCTCGATTCCGTGCAGGCAT</t>
  </si>
  <si>
    <t xml:space="preserve">AAACATGCCTGCACGGAATCGAGC</t>
  </si>
  <si>
    <t xml:space="preserve">CGTCATGGCCAGATGGCCGT</t>
  </si>
  <si>
    <t xml:space="preserve">TAGTCGTCATGGCCAGATGGCCGT</t>
  </si>
  <si>
    <t xml:space="preserve">AAACACGGCCATCTGGCCATGACG</t>
  </si>
  <si>
    <t xml:space="preserve">PST_0277</t>
  </si>
  <si>
    <t xml:space="preserve">GAGCAGGCGGCCGAAGGCGC</t>
  </si>
  <si>
    <t xml:space="preserve">TAGTGAGCAGGCGGCCGAAGGCGC</t>
  </si>
  <si>
    <t xml:space="preserve">AAACGCGCCTTCGGCCGCCTGCTC</t>
  </si>
  <si>
    <t xml:space="preserve">TGCCGACCTGGTGAATCTCC</t>
  </si>
  <si>
    <t xml:space="preserve">TAGTTGCCGACCTGGTGAATCTCC</t>
  </si>
  <si>
    <t xml:space="preserve">AAACGGAGATTCACCAGGTCGGCA</t>
  </si>
  <si>
    <t xml:space="preserve">GTGCATGGACAGGCCGAGCA</t>
  </si>
  <si>
    <t xml:space="preserve">TAGTGTGCATGGACAGGCCGAGCA</t>
  </si>
  <si>
    <t xml:space="preserve">AAACTGCTCGGCCTGTCCATGCAC</t>
  </si>
  <si>
    <t xml:space="preserve">GCTTGCCGTGCAGGTTGCGC</t>
  </si>
  <si>
    <t xml:space="preserve">TAGTGCTTGCCGTGCAGGTTGCGC</t>
  </si>
  <si>
    <t xml:space="preserve">AAACGCGCAACCTGCACGGCAAGC</t>
  </si>
  <si>
    <t xml:space="preserve">PST_0278</t>
  </si>
  <si>
    <t xml:space="preserve">GCCCAGCTCGTTGGCGATAC</t>
  </si>
  <si>
    <t xml:space="preserve">TAGTGCCCAGCTCGTTGGCGATAC</t>
  </si>
  <si>
    <t xml:space="preserve">AAACGTATCGCCAACGAGCTGGGC</t>
  </si>
  <si>
    <t xml:space="preserve">TTCGTCGAGCAGCGCCACGG</t>
  </si>
  <si>
    <t xml:space="preserve">TAGTTTCGTCGAGCAGCGCCACGG</t>
  </si>
  <si>
    <t xml:space="preserve">AAACCCGTGGCGCTGCTCGACGAA</t>
  </si>
  <si>
    <t xml:space="preserve">GCGGGCGATGAAGGGAACGG</t>
  </si>
  <si>
    <t xml:space="preserve">TAGTGCGGGCGATGAAGGGAACGG</t>
  </si>
  <si>
    <t xml:space="preserve">AAACCCGTTCCCTTCATCGCCCGC</t>
  </si>
  <si>
    <t xml:space="preserve">CTGGGTATCGTCGAGGCTGC</t>
  </si>
  <si>
    <t xml:space="preserve">TAGTCTGGGTATCGTCGAGGCTGC</t>
  </si>
  <si>
    <t xml:space="preserve">AAACGCAGCCTCGACGATACCCAG</t>
  </si>
  <si>
    <t xml:space="preserve">PST_0279</t>
  </si>
  <si>
    <t xml:space="preserve">AAGAAGCGGGGGCTTGCGCA</t>
  </si>
  <si>
    <t xml:space="preserve">TAGTAAGAAGCGGGGGCTTGCGCA</t>
  </si>
  <si>
    <t xml:space="preserve">AAACTGCGCAAGCCCCCGCTTCTT</t>
  </si>
  <si>
    <t xml:space="preserve">ATCTCGGCATGGCTCCAGAT</t>
  </si>
  <si>
    <t xml:space="preserve">TAGTATCTCGGCATGGCTCCAGAT</t>
  </si>
  <si>
    <t xml:space="preserve">AAACATCTGGAGCCATGCCGAGAT</t>
  </si>
  <si>
    <t xml:space="preserve">CAGCAACCACTGGGCCTGCT</t>
  </si>
  <si>
    <t xml:space="preserve">TAGTCAGCAACCACTGGGCCTGCT</t>
  </si>
  <si>
    <t xml:space="preserve">AAACAGCAGGCCCAGTGGTTGCTG</t>
  </si>
  <si>
    <t xml:space="preserve">GTCACGGTTGACGGCTTCGG</t>
  </si>
  <si>
    <t xml:space="preserve">TAGTGTCACGGTTGACGGCTTCGG</t>
  </si>
  <si>
    <t xml:space="preserve">AAACCCGAAGCCGTCAACCGTGAC</t>
  </si>
  <si>
    <t xml:space="preserve">PST_0280</t>
  </si>
  <si>
    <t xml:space="preserve">CAGCGTCCGGGAATAGGTTC</t>
  </si>
  <si>
    <t xml:space="preserve">TAGTCAGCGTCCGGGAATAGGTTC</t>
  </si>
  <si>
    <t xml:space="preserve">AAACGAACCTATTCCCGGACGCTG</t>
  </si>
  <si>
    <t xml:space="preserve">GCTGAATGCCCACAGCAAAG</t>
  </si>
  <si>
    <t xml:space="preserve">TAGTGCTGAATGCCCACAGCAAAG</t>
  </si>
  <si>
    <t xml:space="preserve">AAACCTTTGCTGTGGGCATTCAGC</t>
  </si>
  <si>
    <t xml:space="preserve">GAGGCTCGGCTCAGCGAAGG</t>
  </si>
  <si>
    <t xml:space="preserve">TAGTGAGGCTCGGCTCAGCGAAGG</t>
  </si>
  <si>
    <t xml:space="preserve">AAACCCTTCGCTGAGCCGAGCCTC</t>
  </si>
  <si>
    <t xml:space="preserve">CCAGCTCGGCGGCGTGCTGT</t>
  </si>
  <si>
    <t xml:space="preserve">TAGTCCAGCTCGGCGGCGTGCTGT</t>
  </si>
  <si>
    <t xml:space="preserve">AAACACAGCACGCCGCCGAGCTGG</t>
  </si>
  <si>
    <t xml:space="preserve">PST_0281</t>
  </si>
  <si>
    <t xml:space="preserve">wssB</t>
  </si>
  <si>
    <t xml:space="preserve">TGGTAGTAGCTCAGTGGGTT</t>
  </si>
  <si>
    <t xml:space="preserve">TAGTTGGTAGTAGCTCAGTGGGTT</t>
  </si>
  <si>
    <t xml:space="preserve">AAACAACCCACTGAGCTACTACCA</t>
  </si>
  <si>
    <t xml:space="preserve">CGCGCCGATAGCGGATGTAC</t>
  </si>
  <si>
    <t xml:space="preserve">TAGTCGCGCCGATAGCGGATGTAC</t>
  </si>
  <si>
    <t xml:space="preserve">AAACGTACATCCGCTATCGGCGCG</t>
  </si>
  <si>
    <t xml:space="preserve">GCTCAGCGCAGCAATCGGGC</t>
  </si>
  <si>
    <t xml:space="preserve">TAGTGCTCAGCGCAGCAATCGGGC</t>
  </si>
  <si>
    <t xml:space="preserve">AAACGCCCGATTGCTGCGCTGAGC</t>
  </si>
  <si>
    <t xml:space="preserve">CAGCAGCCAGGCTGTCATGT</t>
  </si>
  <si>
    <t xml:space="preserve">TAGTCAGCAGCCAGGCTGTCATGT</t>
  </si>
  <si>
    <t xml:space="preserve">AAACACATGACAGCCTGGCTGCTG</t>
  </si>
  <si>
    <t xml:space="preserve">PST_0282</t>
  </si>
  <si>
    <t xml:space="preserve">TGGCGCCGATTCCGCCGCGC</t>
  </si>
  <si>
    <t xml:space="preserve">TAGTTGGCGCCGATTCCGCCGCGC</t>
  </si>
  <si>
    <t xml:space="preserve">AAACGCGCGGCGGAATCGGCGCCA</t>
  </si>
  <si>
    <t xml:space="preserve">TAGGCCGGCCAGCAGCGAGG</t>
  </si>
  <si>
    <t xml:space="preserve">TAGTTAGGCCGGCCAGCAGCGAGG</t>
  </si>
  <si>
    <t xml:space="preserve">AAACCCTCGCTGCTGGCCGGCCTA</t>
  </si>
  <si>
    <t xml:space="preserve">GCAGGCGCAGCATGTTGTCC</t>
  </si>
  <si>
    <t xml:space="preserve">TAGTGCAGGCGCAGCATGTTGTCC</t>
  </si>
  <si>
    <t xml:space="preserve">AAACGGACAACATGCTGCGCCTGC</t>
  </si>
  <si>
    <t xml:space="preserve">CAGCTGCGCGCGCGCCCAGC</t>
  </si>
  <si>
    <t xml:space="preserve">TAGTCAGCTGCGCGCGCGCCCAGC</t>
  </si>
  <si>
    <t xml:space="preserve">AAACGCTGGGCGCGCGCGCAGCTG</t>
  </si>
  <si>
    <t xml:space="preserve">PST_0283</t>
  </si>
  <si>
    <t xml:space="preserve">CAGCCGCTCCGGCGCATTCA</t>
  </si>
  <si>
    <t xml:space="preserve">TAGTCAGCCGCTCCGGCGCATTCA</t>
  </si>
  <si>
    <t xml:space="preserve">AAACTGAATGCGCCGGAGCGGCTG</t>
  </si>
  <si>
    <t xml:space="preserve">CAGCGGGTAACCGGGGGCGC</t>
  </si>
  <si>
    <t xml:space="preserve">TAGTCAGCGGGTAACCGGGGGCGC</t>
  </si>
  <si>
    <t xml:space="preserve">AAACGCGCCCCCGGTTACCCGCTG</t>
  </si>
  <si>
    <t xml:space="preserve">AGATTCCACACACCCAGGCC</t>
  </si>
  <si>
    <t xml:space="preserve">TAGTAGATTCCACACACCCAGGCC</t>
  </si>
  <si>
    <t xml:space="preserve">AAACGGCCTGGGTGTGTGGAATCT</t>
  </si>
  <si>
    <t xml:space="preserve">GCAGGCCAAGGCCCAGCAAC</t>
  </si>
  <si>
    <t xml:space="preserve">TAGTGCAGGCCAAGGCCCAGCAAC</t>
  </si>
  <si>
    <t xml:space="preserve">AAACGTTGCTGGGCCTTGGCCTGC</t>
  </si>
  <si>
    <t xml:space="preserve">PST_0284</t>
  </si>
  <si>
    <t xml:space="preserve">CCGGAAGCTGCTGGTTTTGG</t>
  </si>
  <si>
    <t xml:space="preserve">TAGTCCGGAAGCTGCTGGTTTTGG</t>
  </si>
  <si>
    <t xml:space="preserve">AAACCCAAAACCAGCAGCTTCCGG</t>
  </si>
  <si>
    <t xml:space="preserve">GATACCGTCCAGTCCGAGCG</t>
  </si>
  <si>
    <t xml:space="preserve">TAGTGATACCGTCCAGTCCGAGCG</t>
  </si>
  <si>
    <t xml:space="preserve">AAACCGCTCGGACTGGACGGTATC</t>
  </si>
  <si>
    <t xml:space="preserve">CCGTCATTGAGCGCAAAAAT</t>
  </si>
  <si>
    <t xml:space="preserve">TAGTCCGTCATTGAGCGCAAAAAT</t>
  </si>
  <si>
    <t xml:space="preserve">AAACATTTTTGCGCTCAATGACGG</t>
  </si>
  <si>
    <t xml:space="preserve">TTTCCGCCATGATCCAATGC</t>
  </si>
  <si>
    <t xml:space="preserve">TAGTTTTCCGCCATGATCCAATGC</t>
  </si>
  <si>
    <t xml:space="preserve">AAACGCATTGGATCATGGCGGAAA</t>
  </si>
  <si>
    <t xml:space="preserve">PST_0285</t>
  </si>
  <si>
    <t xml:space="preserve">CTTGAAGGCAGTCGCCTCGT</t>
  </si>
  <si>
    <t xml:space="preserve">TAGTCTTGAAGGCAGTCGCCTCGT</t>
  </si>
  <si>
    <t xml:space="preserve">AAACACGAGGCGACTGCCTTCAAG</t>
  </si>
  <si>
    <t xml:space="preserve">TTGGCGATGCGCCCAAGCCC</t>
  </si>
  <si>
    <t xml:space="preserve">TAGTTTGGCGATGCGCCCAAGCCC</t>
  </si>
  <si>
    <t xml:space="preserve">AAACGGGCTTGGGCGCATCGCCAA</t>
  </si>
  <si>
    <t xml:space="preserve">GGCTGCGGCGAGGCCGGCAA</t>
  </si>
  <si>
    <t xml:space="preserve">TAGTGGCTGCGGCGAGGCCGGCAA</t>
  </si>
  <si>
    <t xml:space="preserve">AAACTTGCCGGCCTCGCCGCAGCC</t>
  </si>
  <si>
    <t xml:space="preserve">AAAGGCCGCCTCATGCCGCC</t>
  </si>
  <si>
    <t xml:space="preserve">TAGTAAAGGCCGCCTCATGCCGCC</t>
  </si>
  <si>
    <t xml:space="preserve">AAACGGCGGCATGAGGCGGCCTTT</t>
  </si>
  <si>
    <t xml:space="preserve">PST_0286</t>
  </si>
  <si>
    <t xml:space="preserve">ompR</t>
  </si>
  <si>
    <t xml:space="preserve">GGCTTGCGCAGTGCTGCTCA</t>
  </si>
  <si>
    <t xml:space="preserve">TAGTGGCTTGCGCAGTGCTGCTCA</t>
  </si>
  <si>
    <t xml:space="preserve">AAACTGAGCAGCACTGCGCAAGCC</t>
  </si>
  <si>
    <t xml:space="preserve">GAGGATCTTTTCGCCTTCGT</t>
  </si>
  <si>
    <t xml:space="preserve">TAGTGAGGATCTTTTCGCCTTCGT</t>
  </si>
  <si>
    <t xml:space="preserve">AAACACGAAGGCGAAAAGATCCTC</t>
  </si>
  <si>
    <t xml:space="preserve">CTCGAGCAGACGCCGCAGAC</t>
  </si>
  <si>
    <t xml:space="preserve">TAGTCTCGAGCAGACGCCGCAGAC</t>
  </si>
  <si>
    <t xml:space="preserve">AAACGTCTGCGGCGTCTGCTCGAG</t>
  </si>
  <si>
    <t xml:space="preserve">TGTTTTCCACGGTACGGACG</t>
  </si>
  <si>
    <t xml:space="preserve">TAGTTGTTTTCCACGGTACGGACG</t>
  </si>
  <si>
    <t xml:space="preserve">AAACCGTCCGTACCGTGGAAAACA</t>
  </si>
  <si>
    <t xml:space="preserve">PST_0287</t>
  </si>
  <si>
    <t xml:space="preserve">envZ</t>
  </si>
  <si>
    <t xml:space="preserve">GCTTTGCGGGAACCAGAGCG</t>
  </si>
  <si>
    <t xml:space="preserve">TAGTGCTTTGCGGGAACCAGAGCG</t>
  </si>
  <si>
    <t xml:space="preserve">AAACCGCTCTGGTTCCCGCAAAGC</t>
  </si>
  <si>
    <t xml:space="preserve">CAGCACCATCCACAGGGTGC</t>
  </si>
  <si>
    <t xml:space="preserve">TAGTCAGCACCATCCACAGGGTGC</t>
  </si>
  <si>
    <t xml:space="preserve">AAACGCACCCTGTGGATGGTGCTG</t>
  </si>
  <si>
    <t xml:space="preserve">ATAGACCAGGGTGAGGACCT</t>
  </si>
  <si>
    <t xml:space="preserve">TAGTATAGACCAGGGTGAGGACCT</t>
  </si>
  <si>
    <t xml:space="preserve">AAACAGGTCCTCACCCTGGTCTAT</t>
  </si>
  <si>
    <t xml:space="preserve">GTCCACCAGCACGTCCTCGT</t>
  </si>
  <si>
    <t xml:space="preserve">TAGTGTCCACCAGCACGTCCTCGT</t>
  </si>
  <si>
    <t xml:space="preserve">AAACACGAGGACGTGCTGGTGGAC</t>
  </si>
  <si>
    <t xml:space="preserve">PST_0288</t>
  </si>
  <si>
    <t xml:space="preserve">rimK</t>
  </si>
  <si>
    <t xml:space="preserve">GCGCGGATTGCGCGACAGCA</t>
  </si>
  <si>
    <t xml:space="preserve">TAGTGCGCGGATTGCGCGACAGCA</t>
  </si>
  <si>
    <t xml:space="preserve">AAACTGCTGTCGCGCAATCCGCGC</t>
  </si>
  <si>
    <t xml:space="preserve">CCAGACGACGGGTGGAATAC</t>
  </si>
  <si>
    <t xml:space="preserve">TAGTCCAGACGACGGGTGGAATAC</t>
  </si>
  <si>
    <t xml:space="preserve">AAACGTATTCCACCCGTCGTCTGG</t>
  </si>
  <si>
    <t xml:space="preserve">TATCGATCACCACCACTTCA</t>
  </si>
  <si>
    <t xml:space="preserve">TAGTTATCGATCACCACCACTTCA</t>
  </si>
  <si>
    <t xml:space="preserve">AAACTGAAGTGGTGGTGATCGATA</t>
  </si>
  <si>
    <t xml:space="preserve">GTGGATCTGCGGCTTGTGAC</t>
  </si>
  <si>
    <t xml:space="preserve">TAGTGTGGATCTGCGGCTTGTGAC</t>
  </si>
  <si>
    <t xml:space="preserve">AAACGTCACAAGCCGCAGATCCAC</t>
  </si>
  <si>
    <t xml:space="preserve">PST_0289</t>
  </si>
  <si>
    <t xml:space="preserve">TGGGGGTCGAGTTTCTTCAA</t>
  </si>
  <si>
    <t xml:space="preserve">TAGTTGGGGGTCGAGTTTCTTCAA</t>
  </si>
  <si>
    <t xml:space="preserve">AAACTTGAAGAAACTCGACCCCCA</t>
  </si>
  <si>
    <t xml:space="preserve">CACGCAGACCGATCACGGTA</t>
  </si>
  <si>
    <t xml:space="preserve">TAGTCACGCAGACCGATCACGGTA</t>
  </si>
  <si>
    <t xml:space="preserve">AAACTACCGTGATCGGTCTGCGTG</t>
  </si>
  <si>
    <t xml:space="preserve">CACCACGCCGAGATCCGGCA</t>
  </si>
  <si>
    <t xml:space="preserve">TAGTCACCACGCCGAGATCCGGCA</t>
  </si>
  <si>
    <t xml:space="preserve">AAACTGCCGGATCTCGGCGTGGTG</t>
  </si>
  <si>
    <t xml:space="preserve">CGGTATCGACCTTGGCGCGC</t>
  </si>
  <si>
    <t xml:space="preserve">TAGTCGGTATCGACCTTGGCGCGC</t>
  </si>
  <si>
    <t xml:space="preserve">AAACGCGCGCCAAGGTCGATACCG</t>
  </si>
  <si>
    <t xml:space="preserve">PST_0290</t>
  </si>
  <si>
    <t xml:space="preserve">hslR</t>
  </si>
  <si>
    <t xml:space="preserve">TACCTTGTCGTCGTCTTTTT</t>
  </si>
  <si>
    <t xml:space="preserve">TAGTTACCTTGTCGTCGTCTTTTT</t>
  </si>
  <si>
    <t xml:space="preserve">AAACAAAAAGACGACGACAAGGTA</t>
  </si>
  <si>
    <t xml:space="preserve">CGGCCCATAGCCACTTGTCC</t>
  </si>
  <si>
    <t xml:space="preserve">TAGTCGGCCCATAGCCACTTGTCC</t>
  </si>
  <si>
    <t xml:space="preserve">AAACGGACAAGTGGCTATGGGCCG</t>
  </si>
  <si>
    <t xml:space="preserve">ACGAGTCTTGAAGAAGCGTG</t>
  </si>
  <si>
    <t xml:space="preserve">TAGTACGAGTCTTGAAGAAGCGTG</t>
  </si>
  <si>
    <t xml:space="preserve">AAACCACGCTTCTTCAAGACTCGT</t>
  </si>
  <si>
    <t xml:space="preserve">GCCACCTTCGATGGCCGCCT</t>
  </si>
  <si>
    <t xml:space="preserve">TAGTGCCACCTTCGATGGCCGCCT</t>
  </si>
  <si>
    <t xml:space="preserve">AAACAGGCGGCCATCGAAGGTGGC</t>
  </si>
  <si>
    <t xml:space="preserve">PST_0291</t>
  </si>
  <si>
    <t xml:space="preserve">CGCGCCTGGGGCGTGGTCAC</t>
  </si>
  <si>
    <t xml:space="preserve">TAGTCGCGCCTGGGGCGTGGTCAC</t>
  </si>
  <si>
    <t xml:space="preserve">AAACGTGACCACGCCCCAGGCGCG</t>
  </si>
  <si>
    <t xml:space="preserve">GGCTGATGAACCAAGACAGT</t>
  </si>
  <si>
    <t xml:space="preserve">TAGTGGCTGATGAACCAAGACAGT</t>
  </si>
  <si>
    <t xml:space="preserve">AAACACTGTCTTGGTTCATCAGCC</t>
  </si>
  <si>
    <t xml:space="preserve">GCAGCAGCCCGGCTAGCAGG</t>
  </si>
  <si>
    <t xml:space="preserve">TAGTGCAGCAGCCCGGCTAGCAGG</t>
  </si>
  <si>
    <t xml:space="preserve">AAACCCTGCTAGCCGGGCTGCTGC</t>
  </si>
  <si>
    <t xml:space="preserve">TCCCAGAACGGGCGGCTGAC</t>
  </si>
  <si>
    <t xml:space="preserve">TAGTTCCCAGAACGGGCGGCTGAC</t>
  </si>
  <si>
    <t xml:space="preserve">AAACGTCAGCCGCCCGTTCTGGGA</t>
  </si>
  <si>
    <t xml:space="preserve">PST_0292</t>
  </si>
  <si>
    <t xml:space="preserve">yrfI</t>
  </si>
  <si>
    <t xml:space="preserve">AGGCTCTGGATAAGTGTGTT</t>
  </si>
  <si>
    <t xml:space="preserve">TAGTAGGCTCTGGATAAGTGTGTT</t>
  </si>
  <si>
    <t xml:space="preserve">AAACAACACACTTATCCAGAGCCT</t>
  </si>
  <si>
    <t xml:space="preserve">TCGCCGAGCAACTGGGCCAC</t>
  </si>
  <si>
    <t xml:space="preserve">TAGTTCGCCGAGCAACTGGGCCAC</t>
  </si>
  <si>
    <t xml:space="preserve">AAACGTGGCCCAGTTGCTCGGCGA</t>
  </si>
  <si>
    <t xml:space="preserve">GCCGACCAATAGCGCGGCCG</t>
  </si>
  <si>
    <t xml:space="preserve">TAGTGCCGACCAATAGCGCGGCCG</t>
  </si>
  <si>
    <t xml:space="preserve">AAACCGGCCGCGCTATTGGTCGGC</t>
  </si>
  <si>
    <t xml:space="preserve">CGGCGCCACTGGAGCGGGCC</t>
  </si>
  <si>
    <t xml:space="preserve">TAGTCGGCGCCACTGGAGCGGGCC</t>
  </si>
  <si>
    <t xml:space="preserve">AAACGGCCCGCTCCAGTGGCGCCG</t>
  </si>
  <si>
    <t xml:space="preserve">PST_0293</t>
  </si>
  <si>
    <t xml:space="preserve">pckA</t>
  </si>
  <si>
    <t xml:space="preserve">ATAGTTCACTGCCCGAGTGC</t>
  </si>
  <si>
    <t xml:space="preserve">TAGTATAGTTCACTGCCCGAGTGC</t>
  </si>
  <si>
    <t xml:space="preserve">AAACGCACTCGGGCAGTGAACTAT</t>
  </si>
  <si>
    <t xml:space="preserve">CGCTGGGTATGAGGCCGTGA</t>
  </si>
  <si>
    <t xml:space="preserve">TAGTCGCTGGGTATGAGGCCGTGA</t>
  </si>
  <si>
    <t xml:space="preserve">AAACTCACGGCCTCATACCCAGCG</t>
  </si>
  <si>
    <t xml:space="preserve">TGAGTGTTCCCGTCGGCCTT</t>
  </si>
  <si>
    <t xml:space="preserve">TAGTTGAGTGTTCCCGTCGGCCTT</t>
  </si>
  <si>
    <t xml:space="preserve">AAACAAGGCCGACGGGAACACTCA</t>
  </si>
  <si>
    <t xml:space="preserve">GTCGGTGTACACGGCGTTGG</t>
  </si>
  <si>
    <t xml:space="preserve">TAGTGTCGGTGTACACGGCGTTGG</t>
  </si>
  <si>
    <t xml:space="preserve">AAACCCAACGCCGTGTACACCGAC</t>
  </si>
  <si>
    <t xml:space="preserve">PST_0294</t>
  </si>
  <si>
    <t xml:space="preserve">AATGGCTTCTTCGGTATGCA</t>
  </si>
  <si>
    <t xml:space="preserve">TAGTAATGGCTTCTTCGGTATGCA</t>
  </si>
  <si>
    <t xml:space="preserve">AAACTGCATACCGAAGAAGCCATT</t>
  </si>
  <si>
    <t xml:space="preserve">GTAGGCCTTGACGGCGCGGC</t>
  </si>
  <si>
    <t xml:space="preserve">TAGTGTAGGCCTTGACGGCGCGGC</t>
  </si>
  <si>
    <t xml:space="preserve">AAACGCCGCGCCGTCAAGGCCTAC</t>
  </si>
  <si>
    <t xml:space="preserve">CACGGCTCAGCTGGAAGCTG</t>
  </si>
  <si>
    <t xml:space="preserve">TAGTCACGGCTCAGCTGGAAGCTG</t>
  </si>
  <si>
    <t xml:space="preserve">AAACCAGCTTCCAGCTGAGCCGTG</t>
  </si>
  <si>
    <t xml:space="preserve">TGCTGCAGATTGAAGGCAGA</t>
  </si>
  <si>
    <t xml:space="preserve">TAGTTGCTGCAGATTGAAGGCAGA</t>
  </si>
  <si>
    <t xml:space="preserve">AAACTCTGCCTTCAATCTGCAGCA</t>
  </si>
  <si>
    <t xml:space="preserve">PST_0295</t>
  </si>
  <si>
    <t xml:space="preserve">GGCAATAAGGGTTGCACGCA</t>
  </si>
  <si>
    <t xml:space="preserve">TAGTGGCAATAAGGGTTGCACGCA</t>
  </si>
  <si>
    <t xml:space="preserve">AAACTGCGTGCAACCCTTATTGCC</t>
  </si>
  <si>
    <t xml:space="preserve">CGAGGTAAACAGCAGGGCAG</t>
  </si>
  <si>
    <t xml:space="preserve">TAGTCGAGGTAAACAGCAGGGCAG</t>
  </si>
  <si>
    <t xml:space="preserve">AAACCTGCCCTGCTGTTTACCTCG</t>
  </si>
  <si>
    <t xml:space="preserve">AGCCTTGGCATCATCAGCCT</t>
  </si>
  <si>
    <t xml:space="preserve">TAGTAGCCTTGGCATCATCAGCCT</t>
  </si>
  <si>
    <t xml:space="preserve">AAACAGGCTGATGATGCCAAGGCT</t>
  </si>
  <si>
    <t xml:space="preserve">AGACGGGTGCCGTAGGTGTA</t>
  </si>
  <si>
    <t xml:space="preserve">TAGTAGACGGGTGCCGTAGGTGTA</t>
  </si>
  <si>
    <t xml:space="preserve">AAACTACACCTACGGCACCCGTCT</t>
  </si>
  <si>
    <t xml:space="preserve">PST_0296</t>
  </si>
  <si>
    <t xml:space="preserve">GTAGCCGAATGTCTGCCTGA</t>
  </si>
  <si>
    <t xml:space="preserve">TAGTGTAGCCGAATGTCTGCCTGA</t>
  </si>
  <si>
    <t xml:space="preserve">AAACTCAGGCAGACATTCGGCTAC</t>
  </si>
  <si>
    <t xml:space="preserve">GCGAATGGCCTGCTCCTGGC</t>
  </si>
  <si>
    <t xml:space="preserve">TAGTGCGAATGGCCTGCTCCTGGC</t>
  </si>
  <si>
    <t xml:space="preserve">AAACGCCAGGAGCAGGCCATTCGC</t>
  </si>
  <si>
    <t xml:space="preserve">TGCCGAGCGCCCGGCCACTA</t>
  </si>
  <si>
    <t xml:space="preserve">TAGTTGCCGAGCGCCCGGCCACTA</t>
  </si>
  <si>
    <t xml:space="preserve">AAACTAGTGGCCGGGCGCTCGGCA</t>
  </si>
  <si>
    <t xml:space="preserve">AGGGATTTGCCCGAGCCGGT</t>
  </si>
  <si>
    <t xml:space="preserve">TAGTAGGGATTTGCCCGAGCCGGT</t>
  </si>
  <si>
    <t xml:space="preserve">AAACACCGGCTCGGGCAAATCCCT</t>
  </si>
  <si>
    <t xml:space="preserve">PST_0297</t>
  </si>
  <si>
    <t xml:space="preserve">AAACGGGAGAACGAAATCAT</t>
  </si>
  <si>
    <t xml:space="preserve">TAGTAAACGGGAGAACGAAATCAT</t>
  </si>
  <si>
    <t xml:space="preserve">AAACATGATTTCGTTCTCCCGTTT</t>
  </si>
  <si>
    <t xml:space="preserve">CCGCTGGATTGCGTATGGCC</t>
  </si>
  <si>
    <t xml:space="preserve">TAGTCCGCTGGATTGCGTATGGCC</t>
  </si>
  <si>
    <t xml:space="preserve">AAACGGCCATACGCAATCCAGCGG</t>
  </si>
  <si>
    <t xml:space="preserve">GTATGTCGGCTCGAAGCGCA</t>
  </si>
  <si>
    <t xml:space="preserve">TAGTGTATGTCGGCTCGAAGCGCA</t>
  </si>
  <si>
    <t xml:space="preserve">AAACTGCGCTTCGAGCCGACATAC</t>
  </si>
  <si>
    <t xml:space="preserve">GATGTGCGGCGAGACGAAAC</t>
  </si>
  <si>
    <t xml:space="preserve">TAGTGATGTGCGGCGAGACGAAAC</t>
  </si>
  <si>
    <t xml:space="preserve">AAACGTTTCGTCTCGCCGCACATC</t>
  </si>
  <si>
    <t xml:space="preserve">PST_0298</t>
  </si>
  <si>
    <t xml:space="preserve">ATCACTGAACAGGCGAGTCA</t>
  </si>
  <si>
    <t xml:space="preserve">TAGTATCACTGAACAGGCGAGTCA</t>
  </si>
  <si>
    <t xml:space="preserve">AAACTGACTCGCCTGTTCAGTGAT</t>
  </si>
  <si>
    <t xml:space="preserve">TAGGCAGAGTGATTTTCCAA</t>
  </si>
  <si>
    <t xml:space="preserve">TAGTTAGGCAGAGTGATTTTCCAA</t>
  </si>
  <si>
    <t xml:space="preserve">AAACTTGGAAAATCACTCTGCCTA</t>
  </si>
  <si>
    <t xml:space="preserve">GCCCATCAGCACCAGCAGAA</t>
  </si>
  <si>
    <t xml:space="preserve">TAGTGCCCATCAGCACCAGCAGAA</t>
  </si>
  <si>
    <t xml:space="preserve">AAACTTCTGCTGGTGCTGATGGGC</t>
  </si>
  <si>
    <t xml:space="preserve">CTCAATGCCACGCATACCGA</t>
  </si>
  <si>
    <t xml:space="preserve">TAGTCTCAATGCCACGCATACCGA</t>
  </si>
  <si>
    <t xml:space="preserve">AAACTCGGTATGCGTGGCATTGAG</t>
  </si>
  <si>
    <t xml:space="preserve">PST_0299</t>
  </si>
  <si>
    <t xml:space="preserve">CGGAACGTTGCAGCAGCTGA</t>
  </si>
  <si>
    <t xml:space="preserve">TAGTCGGAACGTTGCAGCAGCTGA</t>
  </si>
  <si>
    <t xml:space="preserve">AAACTCAGCTGCTGCAACGTTCCG</t>
  </si>
  <si>
    <t xml:space="preserve">AGAGAGCGTGGCGATGAGGG</t>
  </si>
  <si>
    <t xml:space="preserve">TAGTAGAGAGCGTGGCGATGAGGG</t>
  </si>
  <si>
    <t xml:space="preserve">AAACCCCTCATCGCCACGCTCTCT</t>
  </si>
  <si>
    <t xml:space="preserve">GCGCAGGCAGCAGCGGGCCG</t>
  </si>
  <si>
    <t xml:space="preserve">TAGTGCGCAGGCAGCAGCGGGCCG</t>
  </si>
  <si>
    <t xml:space="preserve">AAACCGGCCCGCTGCTGCCTGCGC</t>
  </si>
  <si>
    <t xml:space="preserve">TCGCCGCAGCACGCCCTGGG</t>
  </si>
  <si>
    <t xml:space="preserve">TAGTTCGCCGCAGCACGCCCTGGG</t>
  </si>
  <si>
    <t xml:space="preserve">AAACCCCAGGGCGTGCTGCGGCGA</t>
  </si>
  <si>
    <t xml:space="preserve">PST_0300</t>
  </si>
  <si>
    <t xml:space="preserve">ATCAGCGCGGCGGAGGCGAC</t>
  </si>
  <si>
    <t xml:space="preserve">TAGTATCAGCGCGGCGGAGGCGAC</t>
  </si>
  <si>
    <t xml:space="preserve">AAACGTCGCCTCCGCCGCGCTGAT</t>
  </si>
  <si>
    <t xml:space="preserve">CGCGCGCAGTTCGCCGGGGC</t>
  </si>
  <si>
    <t xml:space="preserve">TAGTCGCGCGCAGTTCGCCGGGGC</t>
  </si>
  <si>
    <t xml:space="preserve">AAACGCCCCGGCGAACTGCGCGCG</t>
  </si>
  <si>
    <t xml:space="preserve">CGGCGAACAGGCAGAAGAAC</t>
  </si>
  <si>
    <t xml:space="preserve">TAGTCGGCGAACAGGCAGAAGAAC</t>
  </si>
  <si>
    <t xml:space="preserve">AAACGTTCTTCTGCCTGTTCGCCG</t>
  </si>
  <si>
    <t xml:space="preserve">CGGGCGCAGCATGAAGTAGC</t>
  </si>
  <si>
    <t xml:space="preserve">TAGTCGGGCGCAGCATGAAGTAGC</t>
  </si>
  <si>
    <t xml:space="preserve">AAACGCTACTTCATGCTGCGCCCG</t>
  </si>
  <si>
    <t xml:space="preserve">PST_0301</t>
  </si>
  <si>
    <t xml:space="preserve">ATTCGACACTGCCGGGAATG</t>
  </si>
  <si>
    <t xml:space="preserve">TAGTATTCGACACTGCCGGGAATG</t>
  </si>
  <si>
    <t xml:space="preserve">AAACCATTCCCGGCAGTGTCGAAT</t>
  </si>
  <si>
    <t xml:space="preserve">CGCTGATATGCACTTCCACA</t>
  </si>
  <si>
    <t xml:space="preserve">TAGTCGCTGATATGCACTTCCACA</t>
  </si>
  <si>
    <t xml:space="preserve">AAACTGTGGAAGTGCATATCAGCG</t>
  </si>
  <si>
    <t xml:space="preserve">GATCTGGCAGCGCTTGTCGT</t>
  </si>
  <si>
    <t xml:space="preserve">TAGTGATCTGGCAGCGCTTGTCGT</t>
  </si>
  <si>
    <t xml:space="preserve">AAACACGACAAGCGCTGCCAGATC</t>
  </si>
  <si>
    <t xml:space="preserve">GACACCGCCTGATGCCCCTT</t>
  </si>
  <si>
    <t xml:space="preserve">TAGTGACACCGCCTGATGCCCCTT</t>
  </si>
  <si>
    <t xml:space="preserve">AAACAAGGGGCATCAGGCGGTGTC</t>
  </si>
  <si>
    <t xml:space="preserve">PST_0302</t>
  </si>
  <si>
    <t xml:space="preserve">CGGGTCTGCCGTGCCGCACG</t>
  </si>
  <si>
    <t xml:space="preserve">TAGTCGGGTCTGCCGTGCCGCACG</t>
  </si>
  <si>
    <t xml:space="preserve">AAACCGTGCGGCACGGCAGACCCG</t>
  </si>
  <si>
    <t xml:space="preserve">CCAGCGTGCCGCGCCATGGT</t>
  </si>
  <si>
    <t xml:space="preserve">TAGTCCAGCGTGCCGCGCCATGGT</t>
  </si>
  <si>
    <t xml:space="preserve">AAACACCATGGCGCGGCACGCTGG</t>
  </si>
  <si>
    <t xml:space="preserve">ACCCAGGCTTTCATCCCGAT</t>
  </si>
  <si>
    <t xml:space="preserve">TAGTACCCAGGCTTTCATCCCGAT</t>
  </si>
  <si>
    <t xml:space="preserve">AAACATCGGGATGAAAGCCTGGGT</t>
  </si>
  <si>
    <t xml:space="preserve">CTCGCCCGTGGCCACCGCCG</t>
  </si>
  <si>
    <t xml:space="preserve">TAGTCTCGCCCGTGGCCACCGCCG</t>
  </si>
  <si>
    <t xml:space="preserve">AAACCGGCGGTGGCCACGGGCGAG</t>
  </si>
  <si>
    <t xml:space="preserve">PST_0303</t>
  </si>
  <si>
    <t xml:space="preserve">GGCAGATGCTCAGGCCGAGC</t>
  </si>
  <si>
    <t xml:space="preserve">TAGTGGCAGATGCTCAGGCCGAGC</t>
  </si>
  <si>
    <t xml:space="preserve">AAACGCTCGGCCTGAGCATCTGCC</t>
  </si>
  <si>
    <t xml:space="preserve">AGGCCATGGCCGGAGTAGCC</t>
  </si>
  <si>
    <t xml:space="preserve">TAGTAGGCCATGGCCGGAGTAGCC</t>
  </si>
  <si>
    <t xml:space="preserve">AAACGGCTACTCCGGCCATGGCCT</t>
  </si>
  <si>
    <t xml:space="preserve">GTCGATCAGAACCTGTTCCC</t>
  </si>
  <si>
    <t xml:space="preserve">TAGTGTCGATCAGAACCTGTTCCC</t>
  </si>
  <si>
    <t xml:space="preserve">AAACGGGAACAGGTTCTGATCGAC</t>
  </si>
  <si>
    <t xml:space="preserve">AGTTTTTCGCGGGCTTGTCG</t>
  </si>
  <si>
    <t xml:space="preserve">TAGTAGTTTTTCGCGGGCTTGTCG</t>
  </si>
  <si>
    <t xml:space="preserve">AAACCGACAAGCCCGCGAAAAACT</t>
  </si>
  <si>
    <t xml:space="preserve">PST_0304</t>
  </si>
  <si>
    <t xml:space="preserve">GCGCATCGCGTAGCGGGTAG</t>
  </si>
  <si>
    <t xml:space="preserve">TAGTGCGCATCGCGTAGCGGGTAG</t>
  </si>
  <si>
    <t xml:space="preserve">AAACCTACCCGCTACGCGATGCGC</t>
  </si>
  <si>
    <t xml:space="preserve">AGCCATGGCGCTCCAGCACC</t>
  </si>
  <si>
    <t xml:space="preserve">TAGTAGCCATGGCGCTCCAGCACC</t>
  </si>
  <si>
    <t xml:space="preserve">AAACGGTGCTGGAGCGCCATGGCT</t>
  </si>
  <si>
    <t xml:space="preserve">CGGTGCCCGCCTCCAGCACC</t>
  </si>
  <si>
    <t xml:space="preserve">TAGTCGGTGCCCGCCTCCAGCACC</t>
  </si>
  <si>
    <t xml:space="preserve">AAACGGTGCTGGAGGCGGGCACCG</t>
  </si>
  <si>
    <t xml:space="preserve">CAGCGCCAGCCCGTCGCTGC</t>
  </si>
  <si>
    <t xml:space="preserve">TAGTCAGCGCCAGCCCGTCGCTGC</t>
  </si>
  <si>
    <t xml:space="preserve">AAACGCAGCGACGGGCTGGCGCTG</t>
  </si>
  <si>
    <t xml:space="preserve">PST_0305</t>
  </si>
  <si>
    <t xml:space="preserve">CTTCGCCGGTTGTAGCGATG</t>
  </si>
  <si>
    <t xml:space="preserve">TAGTCTTCGCCGGTTGTAGCGATG</t>
  </si>
  <si>
    <t xml:space="preserve">AAACCATCGCTACAACCGGCGAAG</t>
  </si>
  <si>
    <t xml:space="preserve">CGCGCAGTGATTCGTTCTCA</t>
  </si>
  <si>
    <t xml:space="preserve">TAGTCGCGCAGTGATTCGTTCTCA</t>
  </si>
  <si>
    <t xml:space="preserve">AAACTGAGAACGAATCACTGCGCG</t>
  </si>
  <si>
    <t xml:space="preserve">CTGGTTGGTTTCCTCGAGCT</t>
  </si>
  <si>
    <t xml:space="preserve">TAGTCTGGTTGGTTTCCTCGAGCT</t>
  </si>
  <si>
    <t xml:space="preserve">AAACAGCTCGAGGAAACCAACCAG</t>
  </si>
  <si>
    <t xml:space="preserve">GGTGTCGAGTTCCGCATAGA</t>
  </si>
  <si>
    <t xml:space="preserve">TAGTGGTGTCGAGTTCCGCATAGA</t>
  </si>
  <si>
    <t xml:space="preserve">AAACTCTATGCGGAACTCGACACC</t>
  </si>
  <si>
    <t xml:space="preserve">PST_0306</t>
  </si>
  <si>
    <t xml:space="preserve">AGGACCTGGGTCATGCTGCC</t>
  </si>
  <si>
    <t xml:space="preserve">TAGTAGGACCTGGGTCATGCTGCC</t>
  </si>
  <si>
    <t xml:space="preserve">AAACGGCAGCATGACCCAGGTCCT</t>
  </si>
  <si>
    <t xml:space="preserve">GGCTGGAATCTTCCAGTGGC</t>
  </si>
  <si>
    <t xml:space="preserve">TAGTGGCTGGAATCTTCCAGTGGC</t>
  </si>
  <si>
    <t xml:space="preserve">AAACGCCACTGGAAGATTCCAGCC</t>
  </si>
  <si>
    <t xml:space="preserve">CGCGGCGCGCATGGCCCACC</t>
  </si>
  <si>
    <t xml:space="preserve">TAGTCGCGGCGCGCATGGCCCACC</t>
  </si>
  <si>
    <t xml:space="preserve">AAACGGTGGGCCATGCGCGCCGCG</t>
  </si>
  <si>
    <t xml:space="preserve">CGAAACCATGCTGCTCGGCC</t>
  </si>
  <si>
    <t xml:space="preserve">TAGTCGAAACCATGCTGCTCGGCC</t>
  </si>
  <si>
    <t xml:space="preserve">AAACGGCCGAGCAGCATGGTTTCG</t>
  </si>
  <si>
    <t xml:space="preserve">PST_0307</t>
  </si>
  <si>
    <t xml:space="preserve">AACTCGCCCATCCGCAGAAT</t>
  </si>
  <si>
    <t xml:space="preserve">TAGTAACTCGCCCATCCGCAGAAT</t>
  </si>
  <si>
    <t xml:space="preserve">AAACATTCTGCGGATGGGCGAGTT</t>
  </si>
  <si>
    <t xml:space="preserve">CGACCTGGATGGTGACGAGC</t>
  </si>
  <si>
    <t xml:space="preserve">TAGTCGACCTGGATGGTGACGAGC</t>
  </si>
  <si>
    <t xml:space="preserve">AAACGCTCGTCACCATCCAGGTCG</t>
  </si>
  <si>
    <t xml:space="preserve">CCTGCAGGGTCAGCGCCAGT</t>
  </si>
  <si>
    <t xml:space="preserve">TAGTCCTGCAGGGTCAGCGCCAGT</t>
  </si>
  <si>
    <t xml:space="preserve">AAACACTGGCGCTGACCCTGCAGG</t>
  </si>
  <si>
    <t xml:space="preserve">CGAGGTTTCGCTGATGCGCT</t>
  </si>
  <si>
    <t xml:space="preserve">TAGTCGAGGTTTCGCTGATGCGCT</t>
  </si>
  <si>
    <t xml:space="preserve">AAACAGCGCATCAGCGAAACCTCG</t>
  </si>
  <si>
    <t xml:space="preserve">PST_0308</t>
  </si>
  <si>
    <t xml:space="preserve">GTTCTTCGGGTTTTACGTTA</t>
  </si>
  <si>
    <t xml:space="preserve">TAGTGTTCTTCGGGTTTTACGTTA</t>
  </si>
  <si>
    <t xml:space="preserve">AAACTAACGTAAAACCCGAAGAAC</t>
  </si>
  <si>
    <t xml:space="preserve">GGATGAATTCGGCGGTCTGC</t>
  </si>
  <si>
    <t xml:space="preserve">TAGTGGATGAATTCGGCGGTCTGC</t>
  </si>
  <si>
    <t xml:space="preserve">AAACGCAGACCGCCGAATTCATCC</t>
  </si>
  <si>
    <t xml:space="preserve">CGGTGCCGCTGATCAGCAGG</t>
  </si>
  <si>
    <t xml:space="preserve">TAGTCGGTGCCGCTGATCAGCAGG</t>
  </si>
  <si>
    <t xml:space="preserve">AAACCCTGCTGATCAGCGGCACCG</t>
  </si>
  <si>
    <t xml:space="preserve">GATGTCGGCCGAGCCGTCGG</t>
  </si>
  <si>
    <t xml:space="preserve">TAGTGATGTCGGCCGAGCCGTCGG</t>
  </si>
  <si>
    <t xml:space="preserve">AAACCCGACGGCTCGGCCGACATC</t>
  </si>
  <si>
    <t xml:space="preserve">PST_0309</t>
  </si>
  <si>
    <t xml:space="preserve">CGAAGTTGTAGATATTCACT</t>
  </si>
  <si>
    <t xml:space="preserve">TAGTCGAAGTTGTAGATATTCACT</t>
  </si>
  <si>
    <t xml:space="preserve">AAACAGTGAATATCTACAACTTCG</t>
  </si>
  <si>
    <t xml:space="preserve">CGAGCACGCGGAGCAGGTTG</t>
  </si>
  <si>
    <t xml:space="preserve">TAGTCGAGCACGCGGAGCAGGTTG</t>
  </si>
  <si>
    <t xml:space="preserve">AAACCAACCTGCTCCGCGTGCTCG</t>
  </si>
  <si>
    <t xml:space="preserve">GACGTTGCGCTCACGCAGCA</t>
  </si>
  <si>
    <t xml:space="preserve">TAGTGACGTTGCGCTCACGCAGCA</t>
  </si>
  <si>
    <t xml:space="preserve">AAACTGCTGCGTGAGCGCAACGTC</t>
  </si>
  <si>
    <t xml:space="preserve">GCTGAGGGACAGGCGCTCGG</t>
  </si>
  <si>
    <t xml:space="preserve">TAGTGCTGAGGGACAGGCGCTCGG</t>
  </si>
  <si>
    <t xml:space="preserve">AAACCCGAGCGCCTGTCCCTCAGC</t>
  </si>
  <si>
    <t xml:space="preserve">PST_0310</t>
  </si>
  <si>
    <t xml:space="preserve">TCTGGATATCGAAGCGGGGT</t>
  </si>
  <si>
    <t xml:space="preserve">TAGTTCTGGATATCGAAGCGGGGT</t>
  </si>
  <si>
    <t xml:space="preserve">AAACACCCCGCTTCGATATCCAGA</t>
  </si>
  <si>
    <t xml:space="preserve">GCCCGCGCCGATCACGGCGG</t>
  </si>
  <si>
    <t xml:space="preserve">TAGTGCCCGCGCCGATCACGGCGG</t>
  </si>
  <si>
    <t xml:space="preserve">AAACCCGCCGTGATCGGCGCGGGC</t>
  </si>
  <si>
    <t xml:space="preserve">CATGACGATGCCGCGGCCCA</t>
  </si>
  <si>
    <t xml:space="preserve">TAGTCATGACGATGCCGCGGCCCA</t>
  </si>
  <si>
    <t xml:space="preserve">AAACTGGGCCGCGGCATCGTCATG</t>
  </si>
  <si>
    <t xml:space="preserve">CCTGCACACCGGCATTGGCC</t>
  </si>
  <si>
    <t xml:space="preserve">TAGTCCTGCACACCGGCATTGGCC</t>
  </si>
  <si>
    <t xml:space="preserve">AAACGGCCAATGCCGGTGTGCAGG</t>
  </si>
  <si>
    <t xml:space="preserve">PST_0311</t>
  </si>
  <si>
    <t xml:space="preserve">ACGAAGCGCATGTCACGCAG</t>
  </si>
  <si>
    <t xml:space="preserve">TAGTACGAAGCGCATGTCACGCAG</t>
  </si>
  <si>
    <t xml:space="preserve">AAACCTGCGTGACATGCGCTTCGT</t>
  </si>
  <si>
    <t xml:space="preserve">GAGCAATTCGCAATGGCCGG</t>
  </si>
  <si>
    <t xml:space="preserve">TAGTGAGCAATTCGCAATGGCCGG</t>
  </si>
  <si>
    <t xml:space="preserve">AAACCCGGCCATTGCGAATTGCTC</t>
  </si>
  <si>
    <t xml:space="preserve">GAGCGGCGCGATCTCGCCGC</t>
  </si>
  <si>
    <t xml:space="preserve">TAGTGAGCGGCGCGATCTCGCCGC</t>
  </si>
  <si>
    <t xml:space="preserve">AAACGCGGCGAGATCGCGCCGCTC</t>
  </si>
  <si>
    <t xml:space="preserve">TGCGCACTTCGCCGTTTTCC</t>
  </si>
  <si>
    <t xml:space="preserve">TAGTTGCGCACTTCGCCGTTTTCC</t>
  </si>
  <si>
    <t xml:space="preserve">AAACGGAAAACGGCGAAGTGCGCA</t>
  </si>
  <si>
    <t xml:space="preserve">PST_0312</t>
  </si>
  <si>
    <t xml:space="preserve">GCAAAGCTGAACGGATGCAT</t>
  </si>
  <si>
    <t xml:space="preserve">TAGTGCAAAGCTGAACGGATGCAT</t>
  </si>
  <si>
    <t xml:space="preserve">AAACATGCATCCGTTCAGCTTTGC</t>
  </si>
  <si>
    <t xml:space="preserve">GCAGATCAATTGAGCGGTTG</t>
  </si>
  <si>
    <t xml:space="preserve">TAGTGCAGATCAATTGAGCGGTTG</t>
  </si>
  <si>
    <t xml:space="preserve">AAACCAACCGCTCAATTGATCTGC</t>
  </si>
  <si>
    <t xml:space="preserve">GCCAGCCGGCGCGACGAGCC</t>
  </si>
  <si>
    <t xml:space="preserve">TAGTGCCAGCCGGCGCGACGAGCC</t>
  </si>
  <si>
    <t xml:space="preserve">AAACGGCTCGTCGCGCCGGCTGGC</t>
  </si>
  <si>
    <t xml:space="preserve">CCCACGCTCCTTGCAGAGGC</t>
  </si>
  <si>
    <t xml:space="preserve">TAGTCCCACGCTCCTTGCAGAGGC</t>
  </si>
  <si>
    <t xml:space="preserve">AAACGCCTCTGCAAGGAGCGTGGG</t>
  </si>
  <si>
    <t xml:space="preserve">PST_0313</t>
  </si>
  <si>
    <t xml:space="preserve">CGCAGGTGTTTGGGTTGCTC</t>
  </si>
  <si>
    <t xml:space="preserve">TAGTCGCAGGTGTTTGGGTTGCTC</t>
  </si>
  <si>
    <t xml:space="preserve">AAACGAGCAACCCAAACACCTGCG</t>
  </si>
  <si>
    <t xml:space="preserve">GCTGAAAGTGCTTGTAGTCG</t>
  </si>
  <si>
    <t xml:space="preserve">TAGTGCTGAAAGTGCTTGTAGTCG</t>
  </si>
  <si>
    <t xml:space="preserve">AAACCGACTACAAGCACTTTCAGC</t>
  </si>
  <si>
    <t xml:space="preserve">TCGTGCCAGCGCGTGGTGAT</t>
  </si>
  <si>
    <t xml:space="preserve">TAGTTCGTGCCAGCGCGTGGTGAT</t>
  </si>
  <si>
    <t xml:space="preserve">AAACATCACCACGCGCTGGCACGA</t>
  </si>
  <si>
    <t xml:space="preserve">GGATATCCAGCCCGCCCTGC</t>
  </si>
  <si>
    <t xml:space="preserve">TAGTGGATATCCAGCCCGCCCTGC</t>
  </si>
  <si>
    <t xml:space="preserve">AAACGCAGGGCGGGCTGGATATCC</t>
  </si>
  <si>
    <t xml:space="preserve">PST_0314</t>
  </si>
  <si>
    <t xml:space="preserve">GGCCATCCAGGCAAAGCCAA</t>
  </si>
  <si>
    <t xml:space="preserve">TAGTGGCCATCCAGGCAAAGCCAA</t>
  </si>
  <si>
    <t xml:space="preserve">AAACTTGGCTTTGCCTGGATGGCC</t>
  </si>
  <si>
    <t xml:space="preserve">CGGGATGATCGCCGCTACTA</t>
  </si>
  <si>
    <t xml:space="preserve">TAGTCGGGATGATCGCCGCTACTA</t>
  </si>
  <si>
    <t xml:space="preserve">AAACTAGTAGCGGCGATCATCCCG</t>
  </si>
  <si>
    <t xml:space="preserve">ATCGGGGCGACCGCCGCTAC</t>
  </si>
  <si>
    <t xml:space="preserve">TAGTATCGGGGCGACCGCCGCTAC</t>
  </si>
  <si>
    <t xml:space="preserve">AAACGTAGCGGCGGTCGCCCCGAT</t>
  </si>
  <si>
    <t xml:space="preserve">GGCGCTATCGGCAACGCCTA</t>
  </si>
  <si>
    <t xml:space="preserve">TAGTGGCGCTATCGGCAACGCCTA</t>
  </si>
  <si>
    <t xml:space="preserve">AAACTAGGCGTTGCCGATAGCGCC</t>
  </si>
  <si>
    <t xml:space="preserve">PST_0315</t>
  </si>
  <si>
    <t xml:space="preserve">ACGAAATCTTCCAGGTTGGC</t>
  </si>
  <si>
    <t xml:space="preserve">TAGTACGAAATCTTCCAGGTTGGC</t>
  </si>
  <si>
    <t xml:space="preserve">AAACGCCAACCTGGAAGATTTCGT</t>
  </si>
  <si>
    <t xml:space="preserve">ACTCGACGAAGCCGTTGGCC</t>
  </si>
  <si>
    <t xml:space="preserve">TAGTACTCGACGAAGCCGTTGGCC</t>
  </si>
  <si>
    <t xml:space="preserve">AAACGGCCAACGGCTTCGTCGAGT</t>
  </si>
  <si>
    <t xml:space="preserve">CATTACCGCGCCCATGCAGG</t>
  </si>
  <si>
    <t xml:space="preserve">TAGTCATTACCGCGCCCATGCAGG</t>
  </si>
  <si>
    <t xml:space="preserve">AAACCCTGCATGGGCGCGGTAATG</t>
  </si>
  <si>
    <t xml:space="preserve">CAGCCGCCAAAACGCGCGGC</t>
  </si>
  <si>
    <t xml:space="preserve">TAGTCAGCCGCCAAAACGCGCGGC</t>
  </si>
  <si>
    <t xml:space="preserve">AAACGCCGCGCGTTTTGGCGGCTG</t>
  </si>
  <si>
    <t xml:space="preserve">PST_0316</t>
  </si>
  <si>
    <t xml:space="preserve">TCGCCCCACAGGATGCACAT</t>
  </si>
  <si>
    <t xml:space="preserve">TAGTTCGCCCCACAGGATGCACAT</t>
  </si>
  <si>
    <t xml:space="preserve">AAACATGTGCATCCTGTGGGGCGA</t>
  </si>
  <si>
    <t xml:space="preserve">ATGACGATCACCGATCAGTG</t>
  </si>
  <si>
    <t xml:space="preserve">TAGTATGACGATCACCGATCAGTG</t>
  </si>
  <si>
    <t xml:space="preserve">AAACCACTGATCGGTGATCGTCAT</t>
  </si>
  <si>
    <t xml:space="preserve">GCAGGCTGGCCGAGTTCGGC</t>
  </si>
  <si>
    <t xml:space="preserve">TAGTGCAGGCTGGCCGAGTTCGGC</t>
  </si>
  <si>
    <t xml:space="preserve">AAACGCCGAACTCGGCCAGCCTGC</t>
  </si>
  <si>
    <t xml:space="preserve">GGTGGCACCCCAGCGACGAC</t>
  </si>
  <si>
    <t xml:space="preserve">TAGTGGTGGCACCCCAGCGACGAC</t>
  </si>
  <si>
    <t xml:space="preserve">AAACGTCGTCGCTGGGGTGCCACC</t>
  </si>
  <si>
    <t xml:space="preserve">PST_0317</t>
  </si>
  <si>
    <t xml:space="preserve">CAGGGCAGGGTGGCGATCAT</t>
  </si>
  <si>
    <t xml:space="preserve">TAGTCAGGGCAGGGTGGCGATCAT</t>
  </si>
  <si>
    <t xml:space="preserve">AAACATGATCGCCACCCTGCCCTG</t>
  </si>
  <si>
    <t xml:space="preserve">AGCAGGACGGTATCGATGTC</t>
  </si>
  <si>
    <t xml:space="preserve">TAGTAGCAGGACGGTATCGATGTC</t>
  </si>
  <si>
    <t xml:space="preserve">AAACGACATCGATACCGTCCTGCT</t>
  </si>
  <si>
    <t xml:space="preserve">GTCGAAGTGAAGATCCAGCA</t>
  </si>
  <si>
    <t xml:space="preserve">TAGTGTCGAAGTGAAGATCCAGCA</t>
  </si>
  <si>
    <t xml:space="preserve">AAACTGCTGGATCTTCACTTCGAC</t>
  </si>
  <si>
    <t xml:space="preserve">TGCAGTTCGGCATAGCGCTG</t>
  </si>
  <si>
    <t xml:space="preserve">TAGTTGCAGTTCGGCATAGCGCTG</t>
  </si>
  <si>
    <t xml:space="preserve">AAACCAGCGCTATGCCGAACTGCA</t>
  </si>
  <si>
    <t xml:space="preserve">PST_0318</t>
  </si>
  <si>
    <t xml:space="preserve">nudE</t>
  </si>
  <si>
    <t xml:space="preserve">ACGGTGGGTTTCTGGCGCAT</t>
  </si>
  <si>
    <t xml:space="preserve">TAGTACGGTGGGTTTCTGGCGCAT</t>
  </si>
  <si>
    <t xml:space="preserve">AAACATGCGCCAGAAACCCACCGT</t>
  </si>
  <si>
    <t xml:space="preserve">GCTGCTGGCGACGATTTCAC</t>
  </si>
  <si>
    <t xml:space="preserve">TAGTGCTGCTGGCGACGATTTCAC</t>
  </si>
  <si>
    <t xml:space="preserve">AAACGTGAAATCGTCGCCAGCAGC</t>
  </si>
  <si>
    <t xml:space="preserve">ATTCCTCGACGCGGAACAGG</t>
  </si>
  <si>
    <t xml:space="preserve">TAGTATTCCTCGACGCGGAACAGG</t>
  </si>
  <si>
    <t xml:space="preserve">AAACCCTGTTCCGCGTCGAGGAAT</t>
  </si>
  <si>
    <t xml:space="preserve">GTAGGTGCGTTCCACACCGT</t>
  </si>
  <si>
    <t xml:space="preserve">TAGTGTAGGTGCGTTCCACACCGT</t>
  </si>
  <si>
    <t xml:space="preserve">AAACACGGTGTGGAACGCACCTAC</t>
  </si>
  <si>
    <t xml:space="preserve">PST_0319</t>
  </si>
  <si>
    <t xml:space="preserve">cysQ</t>
  </si>
  <si>
    <t xml:space="preserve">TCGATCACTGCCGACAGGTA</t>
  </si>
  <si>
    <t xml:space="preserve">TAGTTCGATCACTGCCGACAGGTA</t>
  </si>
  <si>
    <t xml:space="preserve">AAACTACCTGTCGGCAGTGATCGA</t>
  </si>
  <si>
    <t xml:space="preserve">GTTCGCTGCGCCAGTGCGGC</t>
  </si>
  <si>
    <t xml:space="preserve">TAGTGTTCGCTGCGCCAGTGCGGC</t>
  </si>
  <si>
    <t xml:space="preserve">AAACGCCGCACTGGCGCAGCGAAC</t>
  </si>
  <si>
    <t xml:space="preserve">CACCGGCGAGGCATCGGCCT</t>
  </si>
  <si>
    <t xml:space="preserve">TAGTCACCGGCGAGGCATCGGCCT</t>
  </si>
  <si>
    <t xml:space="preserve">AAACAGGCCGATGCCTCGCCGGTG</t>
  </si>
  <si>
    <t xml:space="preserve">TGCTGCCGTCCAGCGCCTGC</t>
  </si>
  <si>
    <t xml:space="preserve">TAGTTGCTGCCGTCCAGCGCCTGC</t>
  </si>
  <si>
    <t xml:space="preserve">AAACGCAGGCGCTGGACGGCAGCA</t>
  </si>
  <si>
    <t xml:space="preserve">PST_0320</t>
  </si>
  <si>
    <t xml:space="preserve">TATCGCGGCTCATGCCGGGC</t>
  </si>
  <si>
    <t xml:space="preserve">TAGTTATCGCGGCTCATGCCGGGC</t>
  </si>
  <si>
    <t xml:space="preserve">AAACGCCCGGCATGAGCCGCGATA</t>
  </si>
  <si>
    <t xml:space="preserve">GAAGGATGGCTTCCAGGTAG</t>
  </si>
  <si>
    <t xml:space="preserve">TAGTGAAGGATGGCTTCCAGGTAG</t>
  </si>
  <si>
    <t xml:space="preserve">AAACCTACCTGGAAGCCATCCTTC</t>
  </si>
  <si>
    <t xml:space="preserve">AACCCAAGCGAGCGGGTCAG</t>
  </si>
  <si>
    <t xml:space="preserve">TAGTAACCCAAGCGAGCGGGTCAG</t>
  </si>
  <si>
    <t xml:space="preserve">AAACCTGACCCGCTCGCTTGGGTT</t>
  </si>
  <si>
    <t xml:space="preserve">TCGGCTGCAGCGGGACCTGC</t>
  </si>
  <si>
    <t xml:space="preserve">TAGTTCGGCTGCAGCGGGACCTGC</t>
  </si>
  <si>
    <t xml:space="preserve">AAACGCAGGTCCCGCTGCAGCCGA</t>
  </si>
  <si>
    <t xml:space="preserve">PST_0322</t>
  </si>
  <si>
    <t xml:space="preserve">CCGGGGCGTGGCCCGATGCG</t>
  </si>
  <si>
    <t xml:space="preserve">TAGTCCGGGGCGTGGCCCGATGCG</t>
  </si>
  <si>
    <t xml:space="preserve">AAACCGCATCGGGCCACGCCCCGG</t>
  </si>
  <si>
    <t xml:space="preserve">GCCACCGCTCTTGCTGCGAT</t>
  </si>
  <si>
    <t xml:space="preserve">TAGTGCCACCGCTCTTGCTGCGAT</t>
  </si>
  <si>
    <t xml:space="preserve">AAACATCGCAGCAAGAGCGGTGGC</t>
  </si>
  <si>
    <t xml:space="preserve">PST_0321</t>
  </si>
  <si>
    <t xml:space="preserve">CGCCGGAAGGCACTGGTAAT</t>
  </si>
  <si>
    <t xml:space="preserve">TAGTCGCCGGAAGGCACTGGTAAT</t>
  </si>
  <si>
    <t xml:space="preserve">AAACATTACCAGTGCCTTCCGGCG</t>
  </si>
  <si>
    <t xml:space="preserve">GCTACCGCCTGTCCGGTCAC</t>
  </si>
  <si>
    <t xml:space="preserve">TAGTGCTACCGCCTGTCCGGTCAC</t>
  </si>
  <si>
    <t xml:space="preserve">AAACGTGACCGGACAGGCGGTAGC</t>
  </si>
  <si>
    <t xml:space="preserve">PST_0323</t>
  </si>
  <si>
    <t xml:space="preserve">glgP</t>
  </si>
  <si>
    <t xml:space="preserve">AGACACACAAGAGGGACTCG</t>
  </si>
  <si>
    <t xml:space="preserve">TAGTAGACACACAAGAGGGACTCG</t>
  </si>
  <si>
    <t xml:space="preserve">AAACCGAGTCCCTCTTGTGTGTCT</t>
  </si>
  <si>
    <t xml:space="preserve">CCTGCGTCATGGACAGACCT</t>
  </si>
  <si>
    <t xml:space="preserve">TAGTCCTGCGTCATGGACAGACCT</t>
  </si>
  <si>
    <t xml:space="preserve">AAACAGGTCTGTCCATGACGCAGG</t>
  </si>
  <si>
    <t xml:space="preserve">GACTTCTTGGGCAGTGGCGT</t>
  </si>
  <si>
    <t xml:space="preserve">TAGTGACTTCTTGGGCAGTGGCGT</t>
  </si>
  <si>
    <t xml:space="preserve">AAACACGCCACTGCCCAAGAAGTC</t>
  </si>
  <si>
    <t xml:space="preserve">CAAAACCCGCTCACGGAAAG</t>
  </si>
  <si>
    <t xml:space="preserve">TAGTCAAAACCCGCTCACGGAAAG</t>
  </si>
  <si>
    <t xml:space="preserve">AAACCTTTCCGTGAGCGGGTTTTG</t>
  </si>
  <si>
    <t xml:space="preserve">PST_0324</t>
  </si>
  <si>
    <t xml:space="preserve">fbp</t>
  </si>
  <si>
    <t xml:space="preserve">ACTGAGGGTTACGCGTGACA</t>
  </si>
  <si>
    <t xml:space="preserve">TAGTACTGAGGGTTACGCGTGACA</t>
  </si>
  <si>
    <t xml:space="preserve">AAACTGTCACGCGTAACCCTCAGT</t>
  </si>
  <si>
    <t xml:space="preserve">TGCTGCGAGTCTGCTCGATG</t>
  </si>
  <si>
    <t xml:space="preserve">TAGTTGCTGCGAGTCTGCTCGATG</t>
  </si>
  <si>
    <t xml:space="preserve">AAACCATCGAGCAGACTCGCAGCA</t>
  </si>
  <si>
    <t xml:space="preserve">GAGAAAGCGCAGATCCGCCG</t>
  </si>
  <si>
    <t xml:space="preserve">TAGTGAGAAAGCGCAGATCCGCCG</t>
  </si>
  <si>
    <t xml:space="preserve">AAACCGGCGGATCTGCGCTTTCTC</t>
  </si>
  <si>
    <t xml:space="preserve">GCGCGCCCTTGGAAACCTGG</t>
  </si>
  <si>
    <t xml:space="preserve">TAGTGCGCGCCCTTGGAAACCTGG</t>
  </si>
  <si>
    <t xml:space="preserve">AAACCCAGGTTTCCAAGGGCGCGC</t>
  </si>
  <si>
    <t xml:space="preserve">PST_0325</t>
  </si>
  <si>
    <t xml:space="preserve">TCCTGCCAGGGCGCCTGCAC</t>
  </si>
  <si>
    <t xml:space="preserve">TAGTTCCTGCCAGGGCGCCTGCAC</t>
  </si>
  <si>
    <t xml:space="preserve">AAACGTGCAGGCGCCCTGGCAGGA</t>
  </si>
  <si>
    <t xml:space="preserve">TGCCCTGGCCGAACCACCAG</t>
  </si>
  <si>
    <t xml:space="preserve">TAGTTGCCCTGGCCGAACCACCAG</t>
  </si>
  <si>
    <t xml:space="preserve">AAACCTGGTGGTTCGGCCAGGGCA</t>
  </si>
  <si>
    <t xml:space="preserve">AGCCGCGATCTCGGTTGCGC</t>
  </si>
  <si>
    <t xml:space="preserve">TAGTAGCCGCGATCTCGGTTGCGC</t>
  </si>
  <si>
    <t xml:space="preserve">AAACGCGCAACCGAGATCGCGGCT</t>
  </si>
  <si>
    <t xml:space="preserve">CCTCGGCATCCTGTTGTGGA</t>
  </si>
  <si>
    <t xml:space="preserve">TAGTCCTCGGCATCCTGTTGTGGA</t>
  </si>
  <si>
    <t xml:space="preserve">AAACTCCACAACAGGATGCCGAGG</t>
  </si>
  <si>
    <t xml:space="preserve">PST_0326</t>
  </si>
  <si>
    <t xml:space="preserve">CGTGCAGGCGATCAACAATG</t>
  </si>
  <si>
    <t xml:space="preserve">TAGTCGTGCAGGCGATCAACAATG</t>
  </si>
  <si>
    <t xml:space="preserve">AAACCATTGTTGATCGCCTGCACG</t>
  </si>
  <si>
    <t xml:space="preserve">CTGGGTGATCGGGCTGCAGG</t>
  </si>
  <si>
    <t xml:space="preserve">TAGTCTGGGTGATCGGGCTGCAGG</t>
  </si>
  <si>
    <t xml:space="preserve">AAACCCTGCAGCCCGATCACCCAG</t>
  </si>
  <si>
    <t xml:space="preserve">CTCCATGCCGGGCTTGAGCT</t>
  </si>
  <si>
    <t xml:space="preserve">TAGTCTCCATGCCGGGCTTGAGCT</t>
  </si>
  <si>
    <t xml:space="preserve">AAACAGCTCAAGCCCGGCATGGAG</t>
  </si>
  <si>
    <t xml:space="preserve">AGCGCACCGGCGCATTCCGA</t>
  </si>
  <si>
    <t xml:space="preserve">TAGTAGCGCACCGGCGCATTCCGA</t>
  </si>
  <si>
    <t xml:space="preserve">AAACTCGGAATGCGCCGGTGCGCT</t>
  </si>
  <si>
    <t xml:space="preserve">PST_0327</t>
  </si>
  <si>
    <t xml:space="preserve">blc</t>
  </si>
  <si>
    <t xml:space="preserve">AGGGCGACACTCGCACGCAT</t>
  </si>
  <si>
    <t xml:space="preserve">TAGTAGGGCGACACTCGCACGCAT</t>
  </si>
  <si>
    <t xml:space="preserve">AAACATGCGTGCGAGTGTCGCCCT</t>
  </si>
  <si>
    <t xml:space="preserve">TCAACAGGATCAGGCACAGC</t>
  </si>
  <si>
    <t xml:space="preserve">TAGTTCAACAGGATCAGGCACAGC</t>
  </si>
  <si>
    <t xml:space="preserve">AAACGCTGTGCCTGATCCTGTTGA</t>
  </si>
  <si>
    <t xml:space="preserve">ACCTCGCCCACGGTTTCCGG</t>
  </si>
  <si>
    <t xml:space="preserve">TAGTACCTCGCCCACGGTTTCCGG</t>
  </si>
  <si>
    <t xml:space="preserve">AAACCCGGAAACCGTGGGCGAGGT</t>
  </si>
  <si>
    <t xml:space="preserve">CCAGCTCGTACCAGGTGCCC</t>
  </si>
  <si>
    <t xml:space="preserve">TAGTCCAGCTCGTACCAGGTGCCC</t>
  </si>
  <si>
    <t xml:space="preserve">AAACGGGCACCTGGTACGAGCTGG</t>
  </si>
  <si>
    <t xml:space="preserve">PST_0328</t>
  </si>
  <si>
    <t xml:space="preserve">CCCCGGTCTGCTTGCTTTCC</t>
  </si>
  <si>
    <t xml:space="preserve">TAGTCCCCGGTCTGCTTGCTTTCC</t>
  </si>
  <si>
    <t xml:space="preserve">AAACGGAAAGCAAGCAGACCGGGG</t>
  </si>
  <si>
    <t xml:space="preserve">GATCGTACTGCTGCTGGGCC</t>
  </si>
  <si>
    <t xml:space="preserve">TAGTGATCGTACTGCTGCTGGGCC</t>
  </si>
  <si>
    <t xml:space="preserve">AAACGGCCCAGCAGCAGTACGATC</t>
  </si>
  <si>
    <t xml:space="preserve">CATCAGCGTCGCCGTGCGCC</t>
  </si>
  <si>
    <t xml:space="preserve">TAGTCATCAGCGTCGCCGTGCGCC</t>
  </si>
  <si>
    <t xml:space="preserve">AAACGGCGCACGGCGACGCTGATG</t>
  </si>
  <si>
    <t xml:space="preserve">CGATCACCCGGACGTTGCGA</t>
  </si>
  <si>
    <t xml:space="preserve">TAGTCGATCACCCGGACGTTGCGA</t>
  </si>
  <si>
    <t xml:space="preserve">AAACTCGCAACGTCCGGGTGATCG</t>
  </si>
  <si>
    <t xml:space="preserve">PST_0329</t>
  </si>
  <si>
    <t xml:space="preserve">pip</t>
  </si>
  <si>
    <t xml:space="preserve">CTCCGGATACAAGGTCTGCA</t>
  </si>
  <si>
    <t xml:space="preserve">TAGTCTCCGGATACAAGGTCTGCA</t>
  </si>
  <si>
    <t xml:space="preserve">AAACTGCAGACCTTGTATCCGGAG</t>
  </si>
  <si>
    <t xml:space="preserve">GCCAGCTCGTGCCGGGCGTA</t>
  </si>
  <si>
    <t xml:space="preserve">TAGTGCCAGCTCGTGCCGGGCGTA</t>
  </si>
  <si>
    <t xml:space="preserve">AAACTACGCCCGGCACGAGCTGGC</t>
  </si>
  <si>
    <t xml:space="preserve">TCGTCGACGTAGAGCACATG</t>
  </si>
  <si>
    <t xml:space="preserve">TAGTTCGTCGACGTAGAGCACATG</t>
  </si>
  <si>
    <t xml:space="preserve">AAACCATGTGCTCTACGTCGACGA</t>
  </si>
  <si>
    <t xml:space="preserve">AACAGCACGGGCAGGCCATC</t>
  </si>
  <si>
    <t xml:space="preserve">TAGTAACAGCACGGGCAGGCCATC</t>
  </si>
  <si>
    <t xml:space="preserve">AAACGATGGCCTGCCCGTGCTGTT</t>
  </si>
  <si>
    <t xml:space="preserve">PST_0330</t>
  </si>
  <si>
    <t xml:space="preserve">dtD</t>
  </si>
  <si>
    <t xml:space="preserve">CCCGCGCGTGGCGGACCCGC</t>
  </si>
  <si>
    <t xml:space="preserve">TAGTCCCGCGCGTGGCGGACCCGC</t>
  </si>
  <si>
    <t xml:space="preserve">AAACGCGGGTCCGCCACGCGCGGG</t>
  </si>
  <si>
    <t xml:space="preserve">GATGGCACCGACTATCTCGC</t>
  </si>
  <si>
    <t xml:space="preserve">TAGTGATGGCACCGACTATCTCGC</t>
  </si>
  <si>
    <t xml:space="preserve">AAACGCGAGATAGTCGGTGCCATC</t>
  </si>
  <si>
    <t xml:space="preserve">GCAGCTTGTCGGCGCGCGCC</t>
  </si>
  <si>
    <t xml:space="preserve">TAGTGCAGCTTGTCGGCGCGCGCC</t>
  </si>
  <si>
    <t xml:space="preserve">AAACGGCGCGCGCCGACAAGCTGC</t>
  </si>
  <si>
    <t xml:space="preserve">CCTGCTCGTCGCCGAACACC</t>
  </si>
  <si>
    <t xml:space="preserve">TAGTCCTGCTCGTCGCCGAACACC</t>
  </si>
  <si>
    <t xml:space="preserve">AAACGGTGTTCGGCGACGAGCAGG</t>
  </si>
  <si>
    <t xml:space="preserve">PST_0331</t>
  </si>
  <si>
    <t xml:space="preserve">GTCGATGGTCAGTGGTCGCA</t>
  </si>
  <si>
    <t xml:space="preserve">TAGTGTCGATGGTCAGTGGTCGCA</t>
  </si>
  <si>
    <t xml:space="preserve">AAACTGCGACCACTGACCATCGAC</t>
  </si>
  <si>
    <t xml:space="preserve">CGTCCAGAGCGAATTCCAGA</t>
  </si>
  <si>
    <t xml:space="preserve">TAGTCGTCCAGAGCGAATTCCAGA</t>
  </si>
  <si>
    <t xml:space="preserve">AAACTCTGGAATTCGCTCTGGACG</t>
  </si>
  <si>
    <t xml:space="preserve">TTCCAGGTCCAGGTAGTATT</t>
  </si>
  <si>
    <t xml:space="preserve">TAGTTTCCAGGTCCAGGTAGTATT</t>
  </si>
  <si>
    <t xml:space="preserve">AAACAATACTACCTGGACCTGGAA</t>
  </si>
  <si>
    <t xml:space="preserve">GATCGCCGGGAAAGATGGCG</t>
  </si>
  <si>
    <t xml:space="preserve">TAGTGATCGCCGGGAAAGATGGCG</t>
  </si>
  <si>
    <t xml:space="preserve">AAACCGCCATCTTTCCCGGCGATC</t>
  </si>
  <si>
    <t xml:space="preserve">PST_0332</t>
  </si>
  <si>
    <t xml:space="preserve">AGTCGCCTTCCTCGAGCAGC</t>
  </si>
  <si>
    <t xml:space="preserve">TAGTAGTCGCCTTCCTCGAGCAGC</t>
  </si>
  <si>
    <t xml:space="preserve">AAACGCTGCTCGAGGAAGGCGACT</t>
  </si>
  <si>
    <t xml:space="preserve">GCGCAGCCGTACCCGGTCGG</t>
  </si>
  <si>
    <t xml:space="preserve">TAGTGCGCAGCCGTACCCGGTCGG</t>
  </si>
  <si>
    <t xml:space="preserve">AAACCCGACCGGGTACGGCTGCGC</t>
  </si>
  <si>
    <t xml:space="preserve">CGCGCATGTGGGTCAGGCGG</t>
  </si>
  <si>
    <t xml:space="preserve">TAGTCGCGCATGTGGGTCAGGCGG</t>
  </si>
  <si>
    <t xml:space="preserve">AAACCCGCCTGACCCACATGCGCG</t>
  </si>
  <si>
    <t xml:space="preserve">GGCTCTCATTGACTTCGACG</t>
  </si>
  <si>
    <t xml:space="preserve">TAGTGGCTCTCATTGACTTCGACG</t>
  </si>
  <si>
    <t xml:space="preserve">AAACCGTCGAAGTCAATGAGAGCC</t>
  </si>
  <si>
    <t xml:space="preserve">PST_0333</t>
  </si>
  <si>
    <t xml:space="preserve">tatC</t>
  </si>
  <si>
    <t xml:space="preserve">ATTTCCTGGTCGTCGATGGA</t>
  </si>
  <si>
    <t xml:space="preserve">TAGTATTTCCTGGTCGTCGATGGA</t>
  </si>
  <si>
    <t xml:space="preserve">AAACTCCATCGACGACCAGGAAAT</t>
  </si>
  <si>
    <t xml:space="preserve">TCGGTCAGGTGCGCAACCAG</t>
  </si>
  <si>
    <t xml:space="preserve">TAGTTCGGTCAGGTGCGCAACCAG</t>
  </si>
  <si>
    <t xml:space="preserve">AAACCTGGTTGCGCACCTGACCGA</t>
  </si>
  <si>
    <t xml:space="preserve">TGGCCACCACGCAGCGCAGC</t>
  </si>
  <si>
    <t xml:space="preserve">TAGTTGGCCACCACGCAGCGCAGC</t>
  </si>
  <si>
    <t xml:space="preserve">AAACGCTGCGCTGCGTGGTGGCCA</t>
  </si>
  <si>
    <t xml:space="preserve">AGAACAGCCCGGCGAAGAGC</t>
  </si>
  <si>
    <t xml:space="preserve">TAGTAGAACAGCCCGGCGAAGAGC</t>
  </si>
  <si>
    <t xml:space="preserve">AAACGCTCTTCGCCGGGCTGTTCT</t>
  </si>
  <si>
    <t xml:space="preserve">PST_0334</t>
  </si>
  <si>
    <t xml:space="preserve">tatB</t>
  </si>
  <si>
    <t xml:space="preserve">CAGGCCGACCAGTAGCAGTT</t>
  </si>
  <si>
    <t xml:space="preserve">TAGTCAGGCCGACCAGTAGCAGTT</t>
  </si>
  <si>
    <t xml:space="preserve">AAACAACTGCTACTGGTCGGCCTG</t>
  </si>
  <si>
    <t xml:space="preserve">CTGCACCCGGCAGGCGCTCC</t>
  </si>
  <si>
    <t xml:space="preserve">TAGTCTGCACCCGGCAGGCGCTCC</t>
  </si>
  <si>
    <t xml:space="preserve">AAACGGAGCGCCTGCCGGGTGCAG</t>
  </si>
  <si>
    <t xml:space="preserve">CCGGCCAACCCAAAGCCCGG</t>
  </si>
  <si>
    <t xml:space="preserve">TAGTCCGGCCAACCCAAAGCCCGG</t>
  </si>
  <si>
    <t xml:space="preserve">AAACCCGGGCTTTGGGTTGGCCGG</t>
  </si>
  <si>
    <t xml:space="preserve">GCCGATTTCGCGCTCCACTT</t>
  </si>
  <si>
    <t xml:space="preserve">TAGTGCCGATTTCGCGCTCCACTT</t>
  </si>
  <si>
    <t xml:space="preserve">AAACAAGTGGAGCGCGAAATCGGC</t>
  </si>
  <si>
    <t xml:space="preserve">PST_0335</t>
  </si>
  <si>
    <t xml:space="preserve">tatA</t>
  </si>
  <si>
    <t xml:space="preserve">GCTGATGCCGCCAAAACCCA</t>
  </si>
  <si>
    <t xml:space="preserve">TAGTGCTGATGCCGCCAAAACCCA</t>
  </si>
  <si>
    <t xml:space="preserve">AAACTGGGTTTTGGCGGCATCAGC</t>
  </si>
  <si>
    <t xml:space="preserve">GGTCGGAGCCCAGGCCCTTG</t>
  </si>
  <si>
    <t xml:space="preserve">TAGTGGTCGGAGCCCAGGCCCTTG</t>
  </si>
  <si>
    <t xml:space="preserve">AAACCAAGGGCCTGGGCTCCGACC</t>
  </si>
  <si>
    <t xml:space="preserve">AGCCCTTGATCGCATCACCG</t>
  </si>
  <si>
    <t xml:space="preserve">TAGTAGCCCTTGATCGCATCACCG</t>
  </si>
  <si>
    <t xml:space="preserve">AAACCGGTGATGCGATCAAGGGCT</t>
  </si>
  <si>
    <t xml:space="preserve">CGTCGGTGCCCATGGATTTG</t>
  </si>
  <si>
    <t xml:space="preserve">TAGTCGTCGGTGCCCATGGATTTG</t>
  </si>
  <si>
    <t xml:space="preserve">AAACCAAATCCATGGGCACCGACG</t>
  </si>
  <si>
    <t xml:space="preserve">PST_0336</t>
  </si>
  <si>
    <t xml:space="preserve">hisE</t>
  </si>
  <si>
    <t xml:space="preserve">CACCTCGGCCAGGCGGGTGA</t>
  </si>
  <si>
    <t xml:space="preserve">TAGTCACCTCGGCCAGGCGGGTGA</t>
  </si>
  <si>
    <t xml:space="preserve">AAACTCACCCGCCTGGCCGAGGTG</t>
  </si>
  <si>
    <t xml:space="preserve">GTCCGGCGCCGCGCCCTTGC</t>
  </si>
  <si>
    <t xml:space="preserve">TAGTGTCCGGCGCCGCGCCCTTGC</t>
  </si>
  <si>
    <t xml:space="preserve">AAACGCAAGGGCGCGGCGCCGGAC</t>
  </si>
  <si>
    <t xml:space="preserve">GTGATACAGGCTGGCGACGT</t>
  </si>
  <si>
    <t xml:space="preserve">TAGTGTGATACAGGCTGGCGACGT</t>
  </si>
  <si>
    <t xml:space="preserve">AAACACGTCGCCAGCCTGTATCAC</t>
  </si>
  <si>
    <t xml:space="preserve">CCTTCTCGAGAATCTTGTTC</t>
  </si>
  <si>
    <t xml:space="preserve">TAGTCCTTCTCGAGAATCTTGTTC</t>
  </si>
  <si>
    <t xml:space="preserve">AAACGAACAAGATTCTCGAGAAGG</t>
  </si>
  <si>
    <t xml:space="preserve">PST_0337</t>
  </si>
  <si>
    <t xml:space="preserve">hisI</t>
  </si>
  <si>
    <t xml:space="preserve">ATTTCGTCCAGCCAGTTCAT</t>
  </si>
  <si>
    <t xml:space="preserve">TAGTATTTCGTCCAGCCAGTTCAT</t>
  </si>
  <si>
    <t xml:space="preserve">AAACATGAACTGGCTGGACGAAAT</t>
  </si>
  <si>
    <t xml:space="preserve">AATCGCCGGGACCAGGCCAT</t>
  </si>
  <si>
    <t xml:space="preserve">TAGTAATCGCCGGGACCAGGCCAT</t>
  </si>
  <si>
    <t xml:space="preserve">AAACATGGCCTGGTCCCGGCGATT</t>
  </si>
  <si>
    <t xml:space="preserve">GCGACCGGTCTTGTGGTCCT</t>
  </si>
  <si>
    <t xml:space="preserve">TAGTGCGACCGGTCTTGTGGTCCT</t>
  </si>
  <si>
    <t xml:space="preserve">AAACAGGACCACAAGACCGGTCGC</t>
  </si>
  <si>
    <t xml:space="preserve">CAGCGCCTCGCGATTCATCC</t>
  </si>
  <si>
    <t xml:space="preserve">TAGTCAGCGCCTCGCGATTCATCC</t>
  </si>
  <si>
    <t xml:space="preserve">AAACGGATGAATCGCGAGGCGCTG</t>
  </si>
  <si>
    <t xml:space="preserve">PST_0338</t>
  </si>
  <si>
    <t xml:space="preserve">ubiB</t>
  </si>
  <si>
    <t xml:space="preserve">GCGGAACAGGCGGCGTGCGG</t>
  </si>
  <si>
    <t xml:space="preserve">TAGTGCGGAACAGGCGGCGTGCGG</t>
  </si>
  <si>
    <t xml:space="preserve">AAACCCGCACGCCGCCTGTTCCGC</t>
  </si>
  <si>
    <t xml:space="preserve">TGATGTCATCGAGGCGGTAG</t>
  </si>
  <si>
    <t xml:space="preserve">TAGTTGATGTCATCGAGGCGGTAG</t>
  </si>
  <si>
    <t xml:space="preserve">AAACCTACCGCCTCGATGACATCA</t>
  </si>
  <si>
    <t xml:space="preserve">ACCAGGGCATCGGCAGGTCG</t>
  </si>
  <si>
    <t xml:space="preserve">TAGTACCAGGGCATCGGCAGGTCG</t>
  </si>
  <si>
    <t xml:space="preserve">AAACCGACCTGCCGATGCCCTGGT</t>
  </si>
  <si>
    <t xml:space="preserve">GCGCCAGGGCAGCAGATAGC</t>
  </si>
  <si>
    <t xml:space="preserve">TAGTGCGCCAGGGCAGCAGATAGC</t>
  </si>
  <si>
    <t xml:space="preserve">AAACGCTATCTGCTGCCCTGGCGC</t>
  </si>
  <si>
    <t xml:space="preserve">PST_0339</t>
  </si>
  <si>
    <t xml:space="preserve">CGCGCTCGGCGCCGGCCAGG</t>
  </si>
  <si>
    <t xml:space="preserve">TAGTCGCGCTCGGCGCCGGCCAGG</t>
  </si>
  <si>
    <t xml:space="preserve">AAACCCTGGCCGGCGCCGAGCGCG</t>
  </si>
  <si>
    <t xml:space="preserve">GTGCGGTCGGGTCCAGACGC</t>
  </si>
  <si>
    <t xml:space="preserve">TAGTGTGCGGTCGGGTCCAGACGC</t>
  </si>
  <si>
    <t xml:space="preserve">AAACGCGTCTGGACCCGACCGCAC</t>
  </si>
  <si>
    <t xml:space="preserve">CCACTCAGGCGCGCCAGCCG</t>
  </si>
  <si>
    <t xml:space="preserve">TAGTCCACTCAGGCGCGCCAGCCG</t>
  </si>
  <si>
    <t xml:space="preserve">AAACCGGCTGGCGCGCCTGAGTGG</t>
  </si>
  <si>
    <t xml:space="preserve">TGCAGTCGATCTCGATGACC</t>
  </si>
  <si>
    <t xml:space="preserve">TAGTTGCAGTCGATCTCGATGACC</t>
  </si>
  <si>
    <t xml:space="preserve">AAACGGTCATCGAGATCGACTGCA</t>
  </si>
  <si>
    <t xml:space="preserve">PST_0340</t>
  </si>
  <si>
    <t xml:space="preserve">ubiE</t>
  </si>
  <si>
    <t xml:space="preserve">GTCATGCGCTTTGCGAGGAT</t>
  </si>
  <si>
    <t xml:space="preserve">TAGTGTCATGCGCTTTGCGAGGAT</t>
  </si>
  <si>
    <t xml:space="preserve">AAACATCCTCGCAAAGCGCATGAC</t>
  </si>
  <si>
    <t xml:space="preserve">TTGTAGCCGAAATGGGTGGT</t>
  </si>
  <si>
    <t xml:space="preserve">TAGTTTGTAGCCGAAATGGGTGGT</t>
  </si>
  <si>
    <t xml:space="preserve">AAACACCACCCATTTCGGCTACAA</t>
  </si>
  <si>
    <t xml:space="preserve">TTCTGCGCCTTCTGGCTTTC</t>
  </si>
  <si>
    <t xml:space="preserve">TAGTTTCTGCGCCTTCTGGCTTTC</t>
  </si>
  <si>
    <t xml:space="preserve">AAACGAAAGCCAGAAGGCGCAGAA</t>
  </si>
  <si>
    <t xml:space="preserve">GGCAACGGAATGGAACACCT</t>
  </si>
  <si>
    <t xml:space="preserve">TAGTGGCAACGGAATGGAACACCT</t>
  </si>
  <si>
    <t xml:space="preserve">AAACAGGTGTTCCATTCCGTTGCC</t>
  </si>
  <si>
    <t xml:space="preserve">PST_0341</t>
  </si>
  <si>
    <t xml:space="preserve">CTGGCCTGAACGGCGGCGCA</t>
  </si>
  <si>
    <t xml:space="preserve">TAGTCTGGCCTGAACGGCGGCGCA</t>
  </si>
  <si>
    <t xml:space="preserve">AAACTGCGCCGCCGTTCAGGCCAG</t>
  </si>
  <si>
    <t xml:space="preserve">GATCGAGCGGGCACTGGACA</t>
  </si>
  <si>
    <t xml:space="preserve">TAGTGATCGAGCGGGCACTGGACA</t>
  </si>
  <si>
    <t xml:space="preserve">AAACTGTCCAGTGCCCGCTCGATC</t>
  </si>
  <si>
    <t xml:space="preserve">GCCATGGGCAGCAGCATTCA</t>
  </si>
  <si>
    <t xml:space="preserve">TAGTGCCATGGGCAGCAGCATTCA</t>
  </si>
  <si>
    <t xml:space="preserve">AAACTGAATGCTGCTGCCCATGGC</t>
  </si>
  <si>
    <t xml:space="preserve">CAACCTCGGCCTGCTGCTTT</t>
  </si>
  <si>
    <t xml:space="preserve">TAGTCAACCTCGGCCTGCTGCTTT</t>
  </si>
  <si>
    <t xml:space="preserve">AAACAAAGCAGCAGGCCGAGGTTG</t>
  </si>
  <si>
    <t xml:space="preserve">PST_0342</t>
  </si>
  <si>
    <t xml:space="preserve">GGCCAGGTCGGTGAAAAAGC</t>
  </si>
  <si>
    <t xml:space="preserve">TAGTGGCCAGGTCGGTGAAAAAGC</t>
  </si>
  <si>
    <t xml:space="preserve">AAACGCTTTTTCACCGACCTGGCC</t>
  </si>
  <si>
    <t xml:space="preserve">CAGGCCAAGCTTGCGCGTGA</t>
  </si>
  <si>
    <t xml:space="preserve">TAGTCAGGCCAAGCTTGCGCGTGA</t>
  </si>
  <si>
    <t xml:space="preserve">AAACTCACGCGCAAGCTTGGCCTG</t>
  </si>
  <si>
    <t xml:space="preserve">CGGCAACCAGAAGTGTCAGC</t>
  </si>
  <si>
    <t xml:space="preserve">TAGTCGGCAACCAGAAGTGTCAGC</t>
  </si>
  <si>
    <t xml:space="preserve">AAACGCTGACACTTCTGGTTGCCG</t>
  </si>
  <si>
    <t xml:space="preserve">CAGGCTGGTGACGGCGATGG</t>
  </si>
  <si>
    <t xml:space="preserve">TAGTCAGGCTGGTGACGGCGATGG</t>
  </si>
  <si>
    <t xml:space="preserve">AAACCCATCGCCGTCACCAGCCTG</t>
  </si>
  <si>
    <t xml:space="preserve">PST_0343</t>
  </si>
  <si>
    <t xml:space="preserve">TGTGCAATTTGATTGCAGTG</t>
  </si>
  <si>
    <t xml:space="preserve">TAGTTGTGCAATTTGATTGCAGTG</t>
  </si>
  <si>
    <t xml:space="preserve">AAACCACTGCAATCAAATTGCACA</t>
  </si>
  <si>
    <t xml:space="preserve">GTATTCCAGTTCCAGCGTTC</t>
  </si>
  <si>
    <t xml:space="preserve">TAGTGTATTCCAGTTCCAGCGTTC</t>
  </si>
  <si>
    <t xml:space="preserve">AAACGAACGCTGGAACTGGAATAC</t>
  </si>
  <si>
    <t xml:space="preserve">GTGCACGCGCAGGAACTCGG</t>
  </si>
  <si>
    <t xml:space="preserve">TAGTGTGCACGCGCAGGAACTCGG</t>
  </si>
  <si>
    <t xml:space="preserve">AAACCCGAGTTCCTGCGCGTGCAC</t>
  </si>
  <si>
    <t xml:space="preserve">TGGCCCTGGACTTCCGCCGA</t>
  </si>
  <si>
    <t xml:space="preserve">TAGTTGGCCCTGGACTTCCGCCGA</t>
  </si>
  <si>
    <t xml:space="preserve">AAACTCGGCGGAAGTCCAGGGCCA</t>
  </si>
  <si>
    <t xml:space="preserve">PST_0344</t>
  </si>
  <si>
    <t xml:space="preserve">hslU</t>
  </si>
  <si>
    <t xml:space="preserve">CTCGCGGGGCGTCATGGACA</t>
  </si>
  <si>
    <t xml:space="preserve">TAGTCTCGCGGGGCGTCATGGACA</t>
  </si>
  <si>
    <t xml:space="preserve">AAACTGTCCATGACGCCCCGCGAG</t>
  </si>
  <si>
    <t xml:space="preserve">TGATGTGGCGGTTGAGTTCG</t>
  </si>
  <si>
    <t xml:space="preserve">TAGTTGATGTGGCGGTTGAGTTCG</t>
  </si>
  <si>
    <t xml:space="preserve">AAACCGAACTCAACCGCCACATCA</t>
  </si>
  <si>
    <t xml:space="preserve">CGGCGCGCTTGGCGTCGTCC</t>
  </si>
  <si>
    <t xml:space="preserve">TAGTCGGCGCGCTTGGCGTCGTCC</t>
  </si>
  <si>
    <t xml:space="preserve">AAACGGACGACGCCAAGCGCGCCG</t>
  </si>
  <si>
    <t xml:space="preserve">CCAGCGGTTGCGCAGGGCGA</t>
  </si>
  <si>
    <t xml:space="preserve">TAGTCCAGCGGTTGCGCAGGGCGA</t>
  </si>
  <si>
    <t xml:space="preserve">AAACTCGCCCTGCGCAACCGCTGG</t>
  </si>
  <si>
    <t xml:space="preserve">PST_0345</t>
  </si>
  <si>
    <t xml:space="preserve">hslV</t>
  </si>
  <si>
    <t xml:space="preserve">CCATGACGACTTTGCCGTTG</t>
  </si>
  <si>
    <t xml:space="preserve">TAGTCCATGACGACTTTGCCGTTG</t>
  </si>
  <si>
    <t xml:space="preserve">AAACCAACGGCAAAGTCGTCATGG</t>
  </si>
  <si>
    <t xml:space="preserve">CGGTGTTGCCGAGGGAAACC</t>
  </si>
  <si>
    <t xml:space="preserve">TAGTCGGTGTTGCCGAGGGAAACC</t>
  </si>
  <si>
    <t xml:space="preserve">AAACGGTTTCCCTCGGCAACACCG</t>
  </si>
  <si>
    <t xml:space="preserve">CTTGGCGTTGCCTTTCATGA</t>
  </si>
  <si>
    <t xml:space="preserve">TAGTCTTGGCGTTGCCTTTCATGA</t>
  </si>
  <si>
    <t xml:space="preserve">AAACTCATGAAAGGCAACGCCAAG</t>
  </si>
  <si>
    <t xml:space="preserve">CCTGGCCGTGATAGAGGCGG</t>
  </si>
  <si>
    <t xml:space="preserve">TAGTCCTGGCCGTGATAGAGGCGG</t>
  </si>
  <si>
    <t xml:space="preserve">AAACCCGCCTCTATCACGGCCAGG</t>
  </si>
  <si>
    <t xml:space="preserve">PST_0346</t>
  </si>
  <si>
    <t xml:space="preserve">GTAGGGTTTGAACTTGGTCT</t>
  </si>
  <si>
    <t xml:space="preserve">TAGTGTAGGGTTTGAACTTGGTCT</t>
  </si>
  <si>
    <t xml:space="preserve">AAACAGACCAAGTTCAAACCCTAC</t>
  </si>
  <si>
    <t xml:space="preserve">CCCAGCCACCGGCCGGTGCA</t>
  </si>
  <si>
    <t xml:space="preserve">TAGTCCCAGCCACCGGCCGGTGCA</t>
  </si>
  <si>
    <t xml:space="preserve">AAACTGCACCGGCCGGTGGCTGGG</t>
  </si>
  <si>
    <t xml:space="preserve">CAGGATATTGGCGACGGAGT</t>
  </si>
  <si>
    <t xml:space="preserve">TAGTCAGGATATTGGCGACGGAGT</t>
  </si>
  <si>
    <t xml:space="preserve">AAACACTCCGTCGCCAATATCCTG</t>
  </si>
  <si>
    <t xml:space="preserve">CTTGAGCAGCAAGCCGATGC</t>
  </si>
  <si>
    <t xml:space="preserve">TAGTCTTGAGCAGCAAGCCGATGC</t>
  </si>
  <si>
    <t xml:space="preserve">AAACGCATCGGCTTGCTGCTCAAG</t>
  </si>
  <si>
    <t xml:space="preserve">PST_0347</t>
  </si>
  <si>
    <t xml:space="preserve">GCGGTATTTCCGGTTGGAAC</t>
  </si>
  <si>
    <t xml:space="preserve">TAGTGCGGTATTTCCGGTTGGAAC</t>
  </si>
  <si>
    <t xml:space="preserve">AAACGTTCCAACCGGAAATACCGC</t>
  </si>
  <si>
    <t xml:space="preserve">CTGATAATGTTGCCGGTATT</t>
  </si>
  <si>
    <t xml:space="preserve">TAGTCTGATAATGTTGCCGGTATT</t>
  </si>
  <si>
    <t xml:space="preserve">AAACAATACCGGCAACATTATCAG</t>
  </si>
  <si>
    <t xml:space="preserve">GTGCAGGTGGCAGCCGGTAT</t>
  </si>
  <si>
    <t xml:space="preserve">TAGTGTGCAGGTGGCAGCCGGTAT</t>
  </si>
  <si>
    <t xml:space="preserve">AAACATACCGGCTGCCACCTGCAC</t>
  </si>
  <si>
    <t xml:space="preserve">CGTAACCCAGCGGCTCGATG</t>
  </si>
  <si>
    <t xml:space="preserve">TAGTCGTAACCCAGCGGCTCGATG</t>
  </si>
  <si>
    <t xml:space="preserve">AAACCATCGAGCCGCTGGGTTACG</t>
  </si>
  <si>
    <t xml:space="preserve">PST_0348</t>
  </si>
  <si>
    <t xml:space="preserve">GTCCGGCGTATGCGGCGCAT</t>
  </si>
  <si>
    <t xml:space="preserve">TAGTGTCCGGCGTATGCGGCGCAT</t>
  </si>
  <si>
    <t xml:space="preserve">AAACATGCGCCGCATACGCCGGAC</t>
  </si>
  <si>
    <t xml:space="preserve">CAGCACCAGCGAACCGAAAA</t>
  </si>
  <si>
    <t xml:space="preserve">TAGTCAGCACCAGCGAACCGAAAA</t>
  </si>
  <si>
    <t xml:space="preserve">AAACTTTTCGGTTCGCTGGTGCTG</t>
  </si>
  <si>
    <t xml:space="preserve">CCGGCCCGGGCGCGGTGAGC</t>
  </si>
  <si>
    <t xml:space="preserve">TAGTCCGGCCCGGGCGCGGTGAGC</t>
  </si>
  <si>
    <t xml:space="preserve">AAACGCTCACCGCGCCCGGGCCGG</t>
  </si>
  <si>
    <t xml:space="preserve">AAGCGCAGCGACAGCCCCTG</t>
  </si>
  <si>
    <t xml:space="preserve">TAGTAAGCGCAGCGACAGCCCCTG</t>
  </si>
  <si>
    <t xml:space="preserve">AAACCAGGGGCTGTCGCTGCGCTT</t>
  </si>
  <si>
    <t xml:space="preserve">PST_0349</t>
  </si>
  <si>
    <t xml:space="preserve">ntrC</t>
  </si>
  <si>
    <t xml:space="preserve">CGATCCAGACGTTTTCGCTT</t>
  </si>
  <si>
    <t xml:space="preserve">TAGTCGATCCAGACGTTTTCGCTT</t>
  </si>
  <si>
    <t xml:space="preserve">AAACAAGCGAAAACGTCTGGATCG</t>
  </si>
  <si>
    <t xml:space="preserve">CCAGGACCCAGCGGATGGAG</t>
  </si>
  <si>
    <t xml:space="preserve">TAGTCCAGGACCCAGCGGATGGAG</t>
  </si>
  <si>
    <t xml:space="preserve">AAACCTCCATCCGCTGGGTCCTGG</t>
  </si>
  <si>
    <t xml:space="preserve">GGCCATGCCTTCCTGTTGCA</t>
  </si>
  <si>
    <t xml:space="preserve">TAGTGGCCATGCCTTCCTGTTGCA</t>
  </si>
  <si>
    <t xml:space="preserve">AAACTGCAACAGGAAGGCATGGCC</t>
  </si>
  <si>
    <t xml:space="preserve">AGCGCTGTCGAAGCTCTGCG</t>
  </si>
  <si>
    <t xml:space="preserve">TAGTAGCGCTGTCGAAGCTCTGCG</t>
  </si>
  <si>
    <t xml:space="preserve">AAACCGCAGAGCTTCGACAGCGCT</t>
  </si>
  <si>
    <t xml:space="preserve">PST_0350</t>
  </si>
  <si>
    <t xml:space="preserve">ntrB</t>
  </si>
  <si>
    <t xml:space="preserve">GTTCATTGGGCGCACCAAAC</t>
  </si>
  <si>
    <t xml:space="preserve">TAGTGTTCATTGGGCGCACCAAAC</t>
  </si>
  <si>
    <t xml:space="preserve">AAACGTTTGGTGCGCCCAATGAAC</t>
  </si>
  <si>
    <t xml:space="preserve">CCAATTTGGTGACGAACGAT</t>
  </si>
  <si>
    <t xml:space="preserve">TAGTCCAATTTGGTGACGAACGAT</t>
  </si>
  <si>
    <t xml:space="preserve">AAACATCGTTCGTCACCAAATTGG</t>
  </si>
  <si>
    <t xml:space="preserve">CTGCAGCCCTACGGGCTGTC</t>
  </si>
  <si>
    <t xml:space="preserve">TAGTCTGCAGCCCTACGGGCTGTC</t>
  </si>
  <si>
    <t xml:space="preserve">AAACGACAGCCCGTAGGGCTGCAG</t>
  </si>
  <si>
    <t xml:space="preserve">CGCGCCATTGCGGCGCGGAT</t>
  </si>
  <si>
    <t xml:space="preserve">TAGTCGCGCCATTGCGGCGCGGAT</t>
  </si>
  <si>
    <t xml:space="preserve">AAACATCCGCGCCGCAATGGCGCG</t>
  </si>
  <si>
    <t xml:space="preserve">PST_0351</t>
  </si>
  <si>
    <t xml:space="preserve">GGATGGTCGTGACGTTGCGA</t>
  </si>
  <si>
    <t xml:space="preserve">TAGTGGATGGTCGTGACGTTGCGA</t>
  </si>
  <si>
    <t xml:space="preserve">AAACTCGCAACGTCACGACCATCC</t>
  </si>
  <si>
    <t xml:space="preserve">ACCGCCGAGCGCAGGCAGGG</t>
  </si>
  <si>
    <t xml:space="preserve">TAGTACCGCCGAGCGCAGGCAGGG</t>
  </si>
  <si>
    <t xml:space="preserve">AAACCCCTGCCTGCGCTCGGCGGT</t>
  </si>
  <si>
    <t xml:space="preserve">GTTGCCCTCGGCATCCGTGT</t>
  </si>
  <si>
    <t xml:space="preserve">TAGTGTTGCCCTCGGCATCCGTGT</t>
  </si>
  <si>
    <t xml:space="preserve">AAACACACGGATGCCGAGGGCAAC</t>
  </si>
  <si>
    <t xml:space="preserve">TAGGGCGGTCGGTAAAGACC</t>
  </si>
  <si>
    <t xml:space="preserve">TAGTTAGGGCGGTCGGTAAAGACC</t>
  </si>
  <si>
    <t xml:space="preserve">AAACGGTCTTTACCGACCGCCCTA</t>
  </si>
  <si>
    <t xml:space="preserve">PST_0352</t>
  </si>
  <si>
    <t xml:space="preserve">CTGAACAGGGCGCTACGCAT</t>
  </si>
  <si>
    <t xml:space="preserve">TAGTCTGAACAGGGCGCTACGCAT</t>
  </si>
  <si>
    <t xml:space="preserve">AAACATGCGTAGCGCCCTGTTCAG</t>
  </si>
  <si>
    <t xml:space="preserve">CGGCGAAGGCCGGGACGCTG</t>
  </si>
  <si>
    <t xml:space="preserve">TAGTCGGCGAAGGCCGGGACGCTG</t>
  </si>
  <si>
    <t xml:space="preserve">AAACCAGCGTCCCGGCCTTCGCCG</t>
  </si>
  <si>
    <t xml:space="preserve">GTCGGTGTACTTGTAGATCT</t>
  </si>
  <si>
    <t xml:space="preserve">TAGTGTCGGTGTACTTGTAGATCT</t>
  </si>
  <si>
    <t xml:space="preserve">AAACAGATCTACAAGTACACCGAC</t>
  </si>
  <si>
    <t xml:space="preserve">CACGCCTTCCGGCGGCTGGT</t>
  </si>
  <si>
    <t xml:space="preserve">TAGTCACGCCTTCCGGCGGCTGGT</t>
  </si>
  <si>
    <t xml:space="preserve">AAACACCAGCCGCCGGAAGGCGTG</t>
  </si>
  <si>
    <t xml:space="preserve">PST_0353</t>
  </si>
  <si>
    <t xml:space="preserve">glnA</t>
  </si>
  <si>
    <t xml:space="preserve">CAGTTGAAGCGACTTCGACA</t>
  </si>
  <si>
    <t xml:space="preserve">TAGTCAGTTGAAGCGACTTCGACA</t>
  </si>
  <si>
    <t xml:space="preserve">AAACTGTCGAAGTCGCTTCAACTG</t>
  </si>
  <si>
    <t xml:space="preserve">GTGCTGCTTGCCTTTGGTAT</t>
  </si>
  <si>
    <t xml:space="preserve">TAGTGTGCTGCTTGCCTTTGGTAT</t>
  </si>
  <si>
    <t xml:space="preserve">AAACATACCAAAGGCAAGCAGCAC</t>
  </si>
  <si>
    <t xml:space="preserve">CACGAGCCGGGACGGTGACG</t>
  </si>
  <si>
    <t xml:space="preserve">TAGTCACGAGCCGGGACGGTGACG</t>
  </si>
  <si>
    <t xml:space="preserve">AAACCGTCACCGTCCCGGCTCGTG</t>
  </si>
  <si>
    <t xml:space="preserve">CTCGAAGAAGTCTTCATCCT</t>
  </si>
  <si>
    <t xml:space="preserve">TAGTCTCGAAGAAGTCTTCATCCT</t>
  </si>
  <si>
    <t xml:space="preserve">AAACAGGATGAAGACTTCTTCGAG</t>
  </si>
  <si>
    <t xml:space="preserve">PST_0354</t>
  </si>
  <si>
    <t xml:space="preserve">thiI</t>
  </si>
  <si>
    <t xml:space="preserve">TAATCGCTTTCTTTGAGGCC</t>
  </si>
  <si>
    <t xml:space="preserve">TAGTTAATCGCTTTCTTTGAGGCC</t>
  </si>
  <si>
    <t xml:space="preserve">AAACGGCCTCAAAGAAAGCGATTA</t>
  </si>
  <si>
    <t xml:space="preserve">AAGAGGGGCGCGGAGTATAG</t>
  </si>
  <si>
    <t xml:space="preserve">TAGTAAGAGGGGCGCGGAGTATAG</t>
  </si>
  <si>
    <t xml:space="preserve">AAACCTATACTCCGCGCCCCTCTT</t>
  </si>
  <si>
    <t xml:space="preserve">AAACAGCGCGGGTGCCGGTA</t>
  </si>
  <si>
    <t xml:space="preserve">TAGTAAACAGCGCGGGTGCCGGTA</t>
  </si>
  <si>
    <t xml:space="preserve">AAACTACCGGCACCCGCGCTGTTT</t>
  </si>
  <si>
    <t xml:space="preserve">AACCTTGACGATCAGCTTCA</t>
  </si>
  <si>
    <t xml:space="preserve">TAGTAACCTTGACGATCAGCTTCA</t>
  </si>
  <si>
    <t xml:space="preserve">AAACTGAAGCTGATCGTCAAGGTT</t>
  </si>
  <si>
    <t xml:space="preserve">PST_0355</t>
  </si>
  <si>
    <t xml:space="preserve">typA</t>
  </si>
  <si>
    <t xml:space="preserve">ATGGTCGACGTGGGCGATGA</t>
  </si>
  <si>
    <t xml:space="preserve">TAGTATGGTCGACGTGGGCGATGA</t>
  </si>
  <si>
    <t xml:space="preserve">AAACTCATCGCCCACGTCGACCAT</t>
  </si>
  <si>
    <t xml:space="preserve">CAGCAGCTTGTCGACGAGGG</t>
  </si>
  <si>
    <t xml:space="preserve">TAGTCAGCAGCTTGTCGACGAGGG</t>
  </si>
  <si>
    <t xml:space="preserve">AAACCCCTCGTCGACAAGCTGCTG</t>
  </si>
  <si>
    <t xml:space="preserve">TGCGGTCCAGGGTGCCGGAC</t>
  </si>
  <si>
    <t xml:space="preserve">TAGTTGCGGTCCAGGGTGCCGGAC</t>
  </si>
  <si>
    <t xml:space="preserve">AAACGTCCGGCACCCTGGACCGCA</t>
  </si>
  <si>
    <t xml:space="preserve">GCGTTCCTTTTCCTGGTCGT</t>
  </si>
  <si>
    <t xml:space="preserve">TAGTGCGTTCCTTTTCCTGGTCGT</t>
  </si>
  <si>
    <t xml:space="preserve">AAACACGACCAGGAAAAGGAACGC</t>
  </si>
  <si>
    <t xml:space="preserve">PST_0356</t>
  </si>
  <si>
    <t xml:space="preserve">AAATCCCAGGCCCAGGCGCA</t>
  </si>
  <si>
    <t xml:space="preserve">TAGTAAATCCCAGGCCCAGGCGCA</t>
  </si>
  <si>
    <t xml:space="preserve">AAACTGCGCCTGGGCCTGGGATTT</t>
  </si>
  <si>
    <t xml:space="preserve">GACTTTGAGCGCGCTGACCA</t>
  </si>
  <si>
    <t xml:space="preserve">TAGTGACTTTGAGCGCGCTGACCA</t>
  </si>
  <si>
    <t xml:space="preserve">AAACTGGTCAGCGCGCTCAAAGTC</t>
  </si>
  <si>
    <t xml:space="preserve">AGCTGATCTGACTCATGCTG</t>
  </si>
  <si>
    <t xml:space="preserve">TAGTAGCTGATCTGACTCATGCTG</t>
  </si>
  <si>
    <t xml:space="preserve">AAACCAGCATGAGTCAGATCAGCT</t>
  </si>
  <si>
    <t xml:space="preserve">CGCGGTCGTGCACGCTGCCA</t>
  </si>
  <si>
    <t xml:space="preserve">TAGTCGCGGTCGTGCACGCTGCCA</t>
  </si>
  <si>
    <t xml:space="preserve">AAACTGGCAGCGTGCACGACCGCG</t>
  </si>
  <si>
    <t xml:space="preserve">PST_0357</t>
  </si>
  <si>
    <t xml:space="preserve">AGGCACGGCAGTGCTCAACG</t>
  </si>
  <si>
    <t xml:space="preserve">TAGTAGGCACGGCAGTGCTCAACG</t>
  </si>
  <si>
    <t xml:space="preserve">AAACCGTTGAGCACTGCCGTGCCT</t>
  </si>
  <si>
    <t xml:space="preserve">GACAGGGACGGGTTGCAGTC</t>
  </si>
  <si>
    <t xml:space="preserve">TAGTGACAGGGACGGGTTGCAGTC</t>
  </si>
  <si>
    <t xml:space="preserve">AAACGACTGCAACCCGTCCCTGTC</t>
  </si>
  <si>
    <t xml:space="preserve">GAAGATGCGCTGGGAAAACA</t>
  </si>
  <si>
    <t xml:space="preserve">TAGTGAAGATGCGCTGGGAAAACA</t>
  </si>
  <si>
    <t xml:space="preserve">AAACTGTTTTCCCAGCGCATCTTC</t>
  </si>
  <si>
    <t xml:space="preserve">TGGCGAACAGTGGCAGCGGC</t>
  </si>
  <si>
    <t xml:space="preserve">TAGTTGGCGAACAGTGGCAGCGGC</t>
  </si>
  <si>
    <t xml:space="preserve">AAACGCCGCTGCCACTGTTCGCCA</t>
  </si>
  <si>
    <t xml:space="preserve">PST_0358</t>
  </si>
  <si>
    <t xml:space="preserve">GCAGCGAGATCAGGGTGTTC</t>
  </si>
  <si>
    <t xml:space="preserve">TAGTGCAGCGAGATCAGGGTGTTC</t>
  </si>
  <si>
    <t xml:space="preserve">AAACGAACACCCTGATCTCGCTGC</t>
  </si>
  <si>
    <t xml:space="preserve">GAGGGCCAGCACCAGCATGA</t>
  </si>
  <si>
    <t xml:space="preserve">TAGTGAGGGCCAGCACCAGCATGA</t>
  </si>
  <si>
    <t xml:space="preserve">AAACTCATGCTGGTGCTGGCCCTC</t>
  </si>
  <si>
    <t xml:space="preserve">GCGCGGCCTGGCCTTCTTCG</t>
  </si>
  <si>
    <t xml:space="preserve">TAGTGCGCGGCCTGGCCTTCTTCG</t>
  </si>
  <si>
    <t xml:space="preserve">AAACCGAAGAAGGCCAGGCCGCGC</t>
  </si>
  <si>
    <t xml:space="preserve">CGCAACGCTCTGTGCGACGT</t>
  </si>
  <si>
    <t xml:space="preserve">TAGTCGCAACGCTCTGTGCGACGT</t>
  </si>
  <si>
    <t xml:space="preserve">AAACACGTCGCACAGAGCGTTGCG</t>
  </si>
  <si>
    <t xml:space="preserve">PST_0359</t>
  </si>
  <si>
    <t xml:space="preserve">GACGATCAGCACGCGCAGGG</t>
  </si>
  <si>
    <t xml:space="preserve">TAGTGACGATCAGCACGCGCAGGG</t>
  </si>
  <si>
    <t xml:space="preserve">AAACCCCTGCGCGTGCTGATCGTC</t>
  </si>
  <si>
    <t xml:space="preserve">CGTTCAGGCGCATGACCATC</t>
  </si>
  <si>
    <t xml:space="preserve">TAGTCGTTCAGGCGCATGACCATC</t>
  </si>
  <si>
    <t xml:space="preserve">AAACGATGGTCATGCGCCTGAACG</t>
  </si>
  <si>
    <t xml:space="preserve">CAGCTCGATGCCGTCGAGAC</t>
  </si>
  <si>
    <t xml:space="preserve">TAGTCAGCTCGATGCCGTCGAGAC</t>
  </si>
  <si>
    <t xml:space="preserve">AAACGTCTCGACGGCATCGAGCTG</t>
  </si>
  <si>
    <t xml:space="preserve">CCGCCGGCACGCTGGCACAC</t>
  </si>
  <si>
    <t xml:space="preserve">TAGTCCGCCGGCACGCTGGCACAC</t>
  </si>
  <si>
    <t xml:space="preserve">AAACGTGTGCCAGCGTGCCGGCGG</t>
  </si>
  <si>
    <t xml:space="preserve">PST_0360</t>
  </si>
  <si>
    <t xml:space="preserve">CGGCTTGCCGGCTGACCGGT</t>
  </si>
  <si>
    <t xml:space="preserve">TAGTCGGCTTGCCGGCTGACCGGT</t>
  </si>
  <si>
    <t xml:space="preserve">AAACACCGGTCAGCCGGCAAGCCG</t>
  </si>
  <si>
    <t xml:space="preserve">CCGGCGATACAGCCCGGTTG</t>
  </si>
  <si>
    <t xml:space="preserve">TAGTCCGGCGATACAGCCCGGTTG</t>
  </si>
  <si>
    <t xml:space="preserve">AAACCAACCGGGCTGTATCGCCGG</t>
  </si>
  <si>
    <t xml:space="preserve">TTCTCCAGTGATCGAATAGG</t>
  </si>
  <si>
    <t xml:space="preserve">TAGTTTCTCCAGTGATCGAATAGG</t>
  </si>
  <si>
    <t xml:space="preserve">AAACCCTATTCGATCACTGGAGAA</t>
  </si>
  <si>
    <t xml:space="preserve">GGCGTTGAACAGTGGGCGCA</t>
  </si>
  <si>
    <t xml:space="preserve">TAGTGGCGTTGAACAGTGGGCGCA</t>
  </si>
  <si>
    <t xml:space="preserve">AAACTGCGCCCACTGTTCAACGCC</t>
  </si>
  <si>
    <t xml:space="preserve">PST_0361</t>
  </si>
  <si>
    <t xml:space="preserve">CAGCAGCGGCTCACCTTCGC</t>
  </si>
  <si>
    <t xml:space="preserve">TAGTCAGCAGCGGCTCACCTTCGC</t>
  </si>
  <si>
    <t xml:space="preserve">AAACGCGAAGGTGAGCCGCTGCTG</t>
  </si>
  <si>
    <t xml:space="preserve">AGCTGGCGGTGGGAAAGCCA</t>
  </si>
  <si>
    <t xml:space="preserve">TAGTAGCTGGCGGTGGGAAAGCCA</t>
  </si>
  <si>
    <t xml:space="preserve">AAACTGGCTTTCCCACCGCCAGCT</t>
  </si>
  <si>
    <t xml:space="preserve">AGCCGGTAACGCGCCGCCAG</t>
  </si>
  <si>
    <t xml:space="preserve">TAGTAGCCGGTAACGCGCCGCCAG</t>
  </si>
  <si>
    <t xml:space="preserve">AAACCTGGCGGCGCGTTACCGGCT</t>
  </si>
  <si>
    <t xml:space="preserve">GTAGGTGTGCCTGCGCGGCT</t>
  </si>
  <si>
    <t xml:space="preserve">TAGTGTAGGTGTGCCTGCGCGGCT</t>
  </si>
  <si>
    <t xml:space="preserve">AAACAGCCGCGCAGGCACACCTAC</t>
  </si>
  <si>
    <t xml:space="preserve">PST_0362</t>
  </si>
  <si>
    <t xml:space="preserve">GTTGGGCAGAGGTGCGGCGG</t>
  </si>
  <si>
    <t xml:space="preserve">TAGTGTTGGGCAGAGGTGCGGCGG</t>
  </si>
  <si>
    <t xml:space="preserve">AAACCCGCCGCACCTCTGCCCAAC</t>
  </si>
  <si>
    <t xml:space="preserve">GATACGCCACGCTTCAACAG</t>
  </si>
  <si>
    <t xml:space="preserve">TAGTGATACGCCACGCTTCAACAG</t>
  </si>
  <si>
    <t xml:space="preserve">AAACCTGTTGAAGCGTGGCGTATC</t>
  </si>
  <si>
    <t xml:space="preserve">CGGCGGGGCTCTTTGGGTTT</t>
  </si>
  <si>
    <t xml:space="preserve">TAGTCGGCGGGGCTCTTTGGGTTT</t>
  </si>
  <si>
    <t xml:space="preserve">AAACAAACCCAAAGAGCCCCGCCG</t>
  </si>
  <si>
    <t xml:space="preserve">GAGCCCCGTCCGGCCGATGC</t>
  </si>
  <si>
    <t xml:space="preserve">TAGTGAGCCCCGTCCGGCCGATGC</t>
  </si>
  <si>
    <t xml:space="preserve">AAACGCATCGGCCGGACGGGGCTC</t>
  </si>
  <si>
    <t xml:space="preserve">PST_0363</t>
  </si>
  <si>
    <t xml:space="preserve">AGCGCGCCGCGCAGGCTGGC</t>
  </si>
  <si>
    <t xml:space="preserve">TAGTAGCGCGCCGCGCAGGCTGGC</t>
  </si>
  <si>
    <t xml:space="preserve">AAACGCCAGCCTGCGCGGCGCGCT</t>
  </si>
  <si>
    <t xml:space="preserve">CCGAACATGATTGCCATGAG</t>
  </si>
  <si>
    <t xml:space="preserve">TAGTCCGAACATGATTGCCATGAG</t>
  </si>
  <si>
    <t xml:space="preserve">AAACCTCATGGCAATCATGTTCGG</t>
  </si>
  <si>
    <t xml:space="preserve">CCGCGCCACCAGCTCCACCT</t>
  </si>
  <si>
    <t xml:space="preserve">TAGTCCGCGCCACCAGCTCCACCT</t>
  </si>
  <si>
    <t xml:space="preserve">AAACAGGTGGAGCTGGTGGCGCGG</t>
  </si>
  <si>
    <t xml:space="preserve">CCAGGCTGGCGCTGAGCGGC</t>
  </si>
  <si>
    <t xml:space="preserve">TAGTCCAGGCTGGCGCTGAGCGGC</t>
  </si>
  <si>
    <t xml:space="preserve">AAACGCCGCTCAGCGCCAGCCTGG</t>
  </si>
  <si>
    <t xml:space="preserve">PST_0364</t>
  </si>
  <si>
    <t xml:space="preserve">TGTCATCGTCCTCGACCAGC</t>
  </si>
  <si>
    <t xml:space="preserve">TAGTTGTCATCGTCCTCGACCAGC</t>
  </si>
  <si>
    <t xml:space="preserve">AAACGCTGGTCGAGGACGATGACA</t>
  </si>
  <si>
    <t xml:space="preserve">ACCCACCGCCTCCTCGGCGC</t>
  </si>
  <si>
    <t xml:space="preserve">TAGTACCCACCGCCTCCTCGGCGC</t>
  </si>
  <si>
    <t xml:space="preserve">AAACGCGCCGAGGAGGCGGTGGGT</t>
  </si>
  <si>
    <t xml:space="preserve">CGCCGGCTCCCAGCTTTCCA</t>
  </si>
  <si>
    <t xml:space="preserve">TAGTCGCCGGCTCCCAGCTTTCCA</t>
  </si>
  <si>
    <t xml:space="preserve">AAACTGGAAAGCTGGGAGCCGGCG</t>
  </si>
  <si>
    <t xml:space="preserve">CATCAGCGCCGGGCAGGCGC</t>
  </si>
  <si>
    <t xml:space="preserve">TAGTCATCAGCGCCGGGCAGGCGC</t>
  </si>
  <si>
    <t xml:space="preserve">AAACGCGCCTGCCCGGCGCTGATG</t>
  </si>
  <si>
    <t xml:space="preserve">PST_0365</t>
  </si>
  <si>
    <t xml:space="preserve">GGGTGTAGCGCAGGCTGCGC</t>
  </si>
  <si>
    <t xml:space="preserve">TAGTGGGTGTAGCGCAGGCTGCGC</t>
  </si>
  <si>
    <t xml:space="preserve">AAACGCGCAGCCTGCGCTACACCC</t>
  </si>
  <si>
    <t xml:space="preserve">CTGCGCATCGCTGACCTTGA</t>
  </si>
  <si>
    <t xml:space="preserve">TAGTCTGCGCATCGCTGACCTTGA</t>
  </si>
  <si>
    <t xml:space="preserve">AAACTCAAGGTCAGCGATGCGCAG</t>
  </si>
  <si>
    <t xml:space="preserve">ACCACCCAGGGCCGCGATTT</t>
  </si>
  <si>
    <t xml:space="preserve">TAGTACCACCCAGGGCCGCGATTT</t>
  </si>
  <si>
    <t xml:space="preserve">AAACAAATCGCGGCCCTGGGTGGT</t>
  </si>
  <si>
    <t xml:space="preserve">CCAGGCGCGAACCTCGGCCT</t>
  </si>
  <si>
    <t xml:space="preserve">TAGTCCAGGCGCGAACCTCGGCCT</t>
  </si>
  <si>
    <t xml:space="preserve">AAACAGGCCGAGGTTCGCGCCTGG</t>
  </si>
  <si>
    <t xml:space="preserve">PST_0366</t>
  </si>
  <si>
    <t xml:space="preserve">GGTCAGGCGGAAGGTCTTCA</t>
  </si>
  <si>
    <t xml:space="preserve">TAGTGGTCAGGCGGAAGGTCTTCA</t>
  </si>
  <si>
    <t xml:space="preserve">AAACTGAAGACCTTCCGCCTGACC</t>
  </si>
  <si>
    <t xml:space="preserve">CAGCGCAAGCAGGGCGCTCA</t>
  </si>
  <si>
    <t xml:space="preserve">TAGTCAGCGCAAGCAGGGCGCTCA</t>
  </si>
  <si>
    <t xml:space="preserve">AAACTGAGCGCCCTGCTTGCGCTG</t>
  </si>
  <si>
    <t xml:space="preserve">GGTCGGCGCCGCGATGGCAG</t>
  </si>
  <si>
    <t xml:space="preserve">TAGTGGTCGGCGCCGCGATGGCAG</t>
  </si>
  <si>
    <t xml:space="preserve">AAACCTGCCATCGCGGCGCCGACC</t>
  </si>
  <si>
    <t xml:space="preserve">GCGCTCCAGGGCTTCGTCAC</t>
  </si>
  <si>
    <t xml:space="preserve">TAGTGCGCTCCAGGGCTTCGTCAC</t>
  </si>
  <si>
    <t xml:space="preserve">AAACGTGACGAAGCCCTGGAGCGC</t>
  </si>
  <si>
    <t xml:space="preserve">PST_0367</t>
  </si>
  <si>
    <t xml:space="preserve">CGGCGCGAATCGGAAACGAT</t>
  </si>
  <si>
    <t xml:space="preserve">TAGTCGGCGCGAATCGGAAACGAT</t>
  </si>
  <si>
    <t xml:space="preserve">AAACATCGTTTCCGATTCGCGCCG</t>
  </si>
  <si>
    <t xml:space="preserve">GCAGCGCGCAGCACAGGCGC</t>
  </si>
  <si>
    <t xml:space="preserve">TAGTGCAGCGCGCAGCACAGGCGC</t>
  </si>
  <si>
    <t xml:space="preserve">AAACGCGCCTGTGCTGCGCGCTGC</t>
  </si>
  <si>
    <t xml:space="preserve">GGCGCCAGGCACAACAGCAG</t>
  </si>
  <si>
    <t xml:space="preserve">TAGTGGCGCCAGGCACAACAGCAG</t>
  </si>
  <si>
    <t xml:space="preserve">AAACCTGCTGTTGTGCCTGGCGCC</t>
  </si>
  <si>
    <t xml:space="preserve">AGGTCGGCGGCCTGCAGCGA</t>
  </si>
  <si>
    <t xml:space="preserve">TAGTAGGTCGGCGGCCTGCAGCGA</t>
  </si>
  <si>
    <t xml:space="preserve">AAACTCGCTGCAGGCCGCCGACCT</t>
  </si>
  <si>
    <t xml:space="preserve">PST_0368</t>
  </si>
  <si>
    <t xml:space="preserve">GCGACGATGGAAAAGGTCAT</t>
  </si>
  <si>
    <t xml:space="preserve">TAGTGCGACGATGGAAAAGGTCAT</t>
  </si>
  <si>
    <t xml:space="preserve">AAACATGACCTTTTCCATCGTCGC</t>
  </si>
  <si>
    <t xml:space="preserve">CTGCCCGGTGCGCGGGCAGC</t>
  </si>
  <si>
    <t xml:space="preserve">TAGTCTGCCCGGTGCGCGGGCAGC</t>
  </si>
  <si>
    <t xml:space="preserve">AAACGCTGCCCGCGCACCGGGCAG</t>
  </si>
  <si>
    <t xml:space="preserve">GGCTGGCATGGCGGTGGCGG</t>
  </si>
  <si>
    <t xml:space="preserve">TAGTGGCTGGCATGGCGGTGGCGG</t>
  </si>
  <si>
    <t xml:space="preserve">AAACCCGCCACCGCCATGCCAGCC</t>
  </si>
  <si>
    <t xml:space="preserve">GTGGGTCAGCAGCTTGCCCA</t>
  </si>
  <si>
    <t xml:space="preserve">TAGTGTGGGTCAGCAGCTTGCCCA</t>
  </si>
  <si>
    <t xml:space="preserve">AAACTGGGCAAGCTGCTGACCCAC</t>
  </si>
  <si>
    <t xml:space="preserve">PST_0369</t>
  </si>
  <si>
    <t xml:space="preserve">CTTGTCGCGCGTCTTGTCCA</t>
  </si>
  <si>
    <t xml:space="preserve">TAGTCTTGTCGCGCGTCTTGTCCA</t>
  </si>
  <si>
    <t xml:space="preserve">AAACTGGACAAGACGCGCGACAAG</t>
  </si>
  <si>
    <t xml:space="preserve">AGGTAGGGGTCGTGGTGTTC</t>
  </si>
  <si>
    <t xml:space="preserve">TAGTAGGTAGGGGTCGTGGTGTTC</t>
  </si>
  <si>
    <t xml:space="preserve">AAACGAACACCACGACCCCTACCT</t>
  </si>
  <si>
    <t xml:space="preserve">TGCGCTGGTGCCATGCCTTG</t>
  </si>
  <si>
    <t xml:space="preserve">TAGTTGCGCTGGTGCCATGCCTTG</t>
  </si>
  <si>
    <t xml:space="preserve">AAACCAAGGCATGGCACCAGCGCA</t>
  </si>
  <si>
    <t xml:space="preserve">GGCGCCGCATCGTGGGCAGA</t>
  </si>
  <si>
    <t xml:space="preserve">TAGTGGCGCCGCATCGTGGGCAGA</t>
  </si>
  <si>
    <t xml:space="preserve">AAACTCTGCCCACGATGCGGCGCC</t>
  </si>
  <si>
    <t xml:space="preserve">PST_0370</t>
  </si>
  <si>
    <t xml:space="preserve">GCTGGATGATCAGAATGACC</t>
  </si>
  <si>
    <t xml:space="preserve">TAGTGCTGGATGATCAGAATGACC</t>
  </si>
  <si>
    <t xml:space="preserve">AAACGGTCATTCTGATCATCCAGC</t>
  </si>
  <si>
    <t xml:space="preserve">GGTCAGGTAGGCGGTGGTCG</t>
  </si>
  <si>
    <t xml:space="preserve">TAGTGGTCAGGTAGGCGGTGGTCG</t>
  </si>
  <si>
    <t xml:space="preserve">AAACCGACCACCGCCTACCTGACC</t>
  </si>
  <si>
    <t xml:space="preserve">GGCCCAGCAGCGAGGCGCGC</t>
  </si>
  <si>
    <t xml:space="preserve">TAGTGGCCCAGCAGCGAGGCGCGC</t>
  </si>
  <si>
    <t xml:space="preserve">AAACGCGCGCCTCGCTGCTGGGCC</t>
  </si>
  <si>
    <t xml:space="preserve">GCTCCAGACGCGCCTGCTCC</t>
  </si>
  <si>
    <t xml:space="preserve">TAGTGCTCCAGACGCGCCTGCTCC</t>
  </si>
  <si>
    <t xml:space="preserve">AAACGGAGCAGGCGCGTCTGGAGC</t>
  </si>
  <si>
    <t xml:space="preserve">PST_0371</t>
  </si>
  <si>
    <t xml:space="preserve">GGTTTTTTGTTGTTCAGCAT</t>
  </si>
  <si>
    <t xml:space="preserve">TAGTGGTTTTTTGTTGTTCAGCAT</t>
  </si>
  <si>
    <t xml:space="preserve">AAACATGCTGAACAACAAAAAACC</t>
  </si>
  <si>
    <t xml:space="preserve">CGTACGCACCAGGCGACCCG</t>
  </si>
  <si>
    <t xml:space="preserve">TAGTCGTACGCACCAGGCGACCCG</t>
  </si>
  <si>
    <t xml:space="preserve">AAACCGGGTCGCCTGGTGCGTACG</t>
  </si>
  <si>
    <t xml:space="preserve">GGAGGGAAACAGCAGGCTGA</t>
  </si>
  <si>
    <t xml:space="preserve">TAGTGGAGGGAAACAGCAGGCTGA</t>
  </si>
  <si>
    <t xml:space="preserve">AAACTCAGCCTGCTGTTTCCCTCC</t>
  </si>
  <si>
    <t xml:space="preserve">TTGTGCCGCGTGCAGCGAGG</t>
  </si>
  <si>
    <t xml:space="preserve">TAGTTTGTGCCGCGTGCAGCGAGG</t>
  </si>
  <si>
    <t xml:space="preserve">AAACCCTCGCTGCACGCGGCACAA</t>
  </si>
  <si>
    <t xml:space="preserve">PST_0372</t>
  </si>
  <si>
    <t xml:space="preserve">GAAAGGGATCATCAGGGTCA</t>
  </si>
  <si>
    <t xml:space="preserve">TAGTGAAAGGGATCATCAGGGTCA</t>
  </si>
  <si>
    <t xml:space="preserve">AAACTGACCCTGATGATCCCTTTC</t>
  </si>
  <si>
    <t xml:space="preserve">CGCCTGCATGTATTCGATCG</t>
  </si>
  <si>
    <t xml:space="preserve">TAGTCGCCTGCATGTATTCGATCG</t>
  </si>
  <si>
    <t xml:space="preserve">AAACCGATCGAATACATGCAGGCG</t>
  </si>
  <si>
    <t xml:space="preserve">GCCTTCCTGCGCCAACCGCT</t>
  </si>
  <si>
    <t xml:space="preserve">TAGTGCCTTCCTGCGCCAACCGCT</t>
  </si>
  <si>
    <t xml:space="preserve">AAACAGCGGTTGGCGCAGGAAGGC</t>
  </si>
  <si>
    <t xml:space="preserve">CAGCGCCAGCACCAGGGCAT</t>
  </si>
  <si>
    <t xml:space="preserve">TAGTCAGCGCCAGCACCAGGGCAT</t>
  </si>
  <si>
    <t xml:space="preserve">AAACATGCCCTGGTGCTGGCGCTG</t>
  </si>
  <si>
    <t xml:space="preserve">PST_0373</t>
  </si>
  <si>
    <t xml:space="preserve">GCATCGGGGTCGCGGATGAC</t>
  </si>
  <si>
    <t xml:space="preserve">TAGTGCATCGGGGTCGCGGATGAC</t>
  </si>
  <si>
    <t xml:space="preserve">AAACGTCATCCGCGACCCCGATGC</t>
  </si>
  <si>
    <t xml:space="preserve">CGTGCAGGCGGGCCTTGCCG</t>
  </si>
  <si>
    <t xml:space="preserve">TAGTCGTGCAGGCGGGCCTTGCCG</t>
  </si>
  <si>
    <t xml:space="preserve">AAACCGGCAAGGCCCGCCTGCACG</t>
  </si>
  <si>
    <t xml:space="preserve">GCGCCGCAGCCGGCACGCAC</t>
  </si>
  <si>
    <t xml:space="preserve">TAGTGCGCCGCAGCCGGCACGCAC</t>
  </si>
  <si>
    <t xml:space="preserve">AAACGTGCGTGCCGGCTGCGGCGC</t>
  </si>
  <si>
    <t xml:space="preserve">TCTGGTTGCGTGGGCTGTGC</t>
  </si>
  <si>
    <t xml:space="preserve">TAGTTCTGGTTGCGTGGGCTGTGC</t>
  </si>
  <si>
    <t xml:space="preserve">AAACGCACAGCCCACGCAACCAGA</t>
  </si>
  <si>
    <t xml:space="preserve">PST_0374</t>
  </si>
  <si>
    <t xml:space="preserve">AGGGGGGGCATAGGGATTAT</t>
  </si>
  <si>
    <t xml:space="preserve">TAGTAGGGGGGGCATAGGGATTAT</t>
  </si>
  <si>
    <t xml:space="preserve">AAACATAATCCCTATGCCCCCCCT</t>
  </si>
  <si>
    <t xml:space="preserve">TCGCCGGCAAGCACGGCGAG</t>
  </si>
  <si>
    <t xml:space="preserve">TAGTTCGCCGGCAAGCACGGCGAG</t>
  </si>
  <si>
    <t xml:space="preserve">AAACCTCGCCGTGCTTGCCGGCGA</t>
  </si>
  <si>
    <t xml:space="preserve">CGTTTCCAACTGGCAGAAAC</t>
  </si>
  <si>
    <t xml:space="preserve">TAGTCGTTTCCAACTGGCAGAAAC</t>
  </si>
  <si>
    <t xml:space="preserve">AAACGTTTCTGCCAGTTGGAAACG</t>
  </si>
  <si>
    <t xml:space="preserve">CGCCCGCTTGGGCAATGGCC</t>
  </si>
  <si>
    <t xml:space="preserve">TAGTCGCCCGCTTGGGCAATGGCC</t>
  </si>
  <si>
    <t xml:space="preserve">AAACGGCCATTGCCCAAGCGGGCG</t>
  </si>
  <si>
    <t xml:space="preserve">PST_0375</t>
  </si>
  <si>
    <t xml:space="preserve">GAAGAACAGCACGTGGCGCT</t>
  </si>
  <si>
    <t xml:space="preserve">TAGTGAAGAACAGCACGTGGCGCT</t>
  </si>
  <si>
    <t xml:space="preserve">AAACAGCGCCACGTGCTGTTCTTC</t>
  </si>
  <si>
    <t xml:space="preserve">CGCGGTGGTGGCGGCCACGG</t>
  </si>
  <si>
    <t xml:space="preserve">TAGTCGCGGTGGTGGCGGCCACGG</t>
  </si>
  <si>
    <t xml:space="preserve">AAACCCGTGGCCGCCACCACCGCG</t>
  </si>
  <si>
    <t xml:space="preserve">GCGGCGCCCGGCCCGCGCCT</t>
  </si>
  <si>
    <t xml:space="preserve">TAGTGCGGCGCCCGGCCCGCGCCT</t>
  </si>
  <si>
    <t xml:space="preserve">AAACAGGCGCGGGCCGGGCGCCGC</t>
  </si>
  <si>
    <t xml:space="preserve">GAGGTTGTGTGCCGGATCGG</t>
  </si>
  <si>
    <t xml:space="preserve">TAGTGAGGTTGTGTGCCGGATCGG</t>
  </si>
  <si>
    <t xml:space="preserve">AAACCCGATCCGGCACACAACCTC</t>
  </si>
  <si>
    <t xml:space="preserve">PST_0376</t>
  </si>
  <si>
    <t xml:space="preserve">GTAGAACTCGCGCAGCCCCG</t>
  </si>
  <si>
    <t xml:space="preserve">TAGTGTAGAACTCGCGCAGCCCCG</t>
  </si>
  <si>
    <t xml:space="preserve">AAACCGGGGCTGCGCGAGTTCTAC</t>
  </si>
  <si>
    <t xml:space="preserve">CGGGCGAAGGTTCGCCGGTA</t>
  </si>
  <si>
    <t xml:space="preserve">TAGTCGGGCGAAGGTTCGCCGGTA</t>
  </si>
  <si>
    <t xml:space="preserve">AAACTACCGGCGAACCTTCGCCCG</t>
  </si>
  <si>
    <t xml:space="preserve">CAGGTCATCCTCGTCGCGCC</t>
  </si>
  <si>
    <t xml:space="preserve">TAGTCAGGTCATCCTCGTCGCGCC</t>
  </si>
  <si>
    <t xml:space="preserve">AAACGGCGCGACGAGGATGACCTG</t>
  </si>
  <si>
    <t xml:space="preserve">GGCCGGGTTCGGCACGCCCA</t>
  </si>
  <si>
    <t xml:space="preserve">TAGTGGCCGGGTTCGGCACGCCCA</t>
  </si>
  <si>
    <t xml:space="preserve">AAACTGGGCGTGCCGAACCCGGCC</t>
  </si>
  <si>
    <t xml:space="preserve">PST_0377</t>
  </si>
  <si>
    <t xml:space="preserve">cstA</t>
  </si>
  <si>
    <t xml:space="preserve">AGCCCAGCGCCATGGCGCCC</t>
  </si>
  <si>
    <t xml:space="preserve">TAGTAGCCCAGCGCCATGGCGCCC</t>
  </si>
  <si>
    <t xml:space="preserve">AAACGGGCGCCATGGCGCTGGGCT</t>
  </si>
  <si>
    <t xml:space="preserve">GATTCGTTCGGCGATGAACT</t>
  </si>
  <si>
    <t xml:space="preserve">TAGTGATTCGTTCGGCGATGAACT</t>
  </si>
  <si>
    <t xml:space="preserve">AAACAGTTCATCGCCGAACGAATC</t>
  </si>
  <si>
    <t xml:space="preserve">TCCGGTAGTTGGGATCGAGC</t>
  </si>
  <si>
    <t xml:space="preserve">TAGTTCCGGTAGTTGGGATCGAGC</t>
  </si>
  <si>
    <t xml:space="preserve">AAACGCTCGATCCCAACTACCGGA</t>
  </si>
  <si>
    <t xml:space="preserve">CCGTCGCGCATGGTGTGCGC</t>
  </si>
  <si>
    <t xml:space="preserve">TAGTCCGTCGCGCATGGTGTGCGC</t>
  </si>
  <si>
    <t xml:space="preserve">AAACGCGCACACCATGCGCGACGG</t>
  </si>
  <si>
    <t xml:space="preserve">PST_0378</t>
  </si>
  <si>
    <t xml:space="preserve">GGTGGCTCCGCGACGCCATG</t>
  </si>
  <si>
    <t xml:space="preserve">TAGTGGTGGCTCCGCGACGCCATG</t>
  </si>
  <si>
    <t xml:space="preserve">AAACCATGGCGTCGCGGAGCCACC</t>
  </si>
  <si>
    <t xml:space="preserve">CAGTGACCAGAAGAGTGCGT</t>
  </si>
  <si>
    <t xml:space="preserve">TAGTCAGTGACCAGAAGAGTGCGT</t>
  </si>
  <si>
    <t xml:space="preserve">AAACACGCACTCTTCTGGTCACTG</t>
  </si>
  <si>
    <t xml:space="preserve">CGCGAACAGCGACCAGAGTG</t>
  </si>
  <si>
    <t xml:space="preserve">TAGTCGCGAACAGCGACCAGAGTG</t>
  </si>
  <si>
    <t xml:space="preserve">AAACCACTCTGGTCGCTGTTCGCG</t>
  </si>
  <si>
    <t xml:space="preserve">GCGACGGCCAAGGCAATGGA</t>
  </si>
  <si>
    <t xml:space="preserve">TAGTGCGACGGCCAAGGCAATGGA</t>
  </si>
  <si>
    <t xml:space="preserve">AAACTCCATTGCCTTGGCCGTCGC</t>
  </si>
  <si>
    <t xml:space="preserve">PST_0379</t>
  </si>
  <si>
    <t xml:space="preserve">GCGCCACAGGCCGATGATCA</t>
  </si>
  <si>
    <t xml:space="preserve">TAGTGCGCCACAGGCCGATGATCA</t>
  </si>
  <si>
    <t xml:space="preserve">AAACTGATCATCGGCCTGTGGCGC</t>
  </si>
  <si>
    <t xml:space="preserve">GCAGCCGGTCAACCCGTCGC</t>
  </si>
  <si>
    <t xml:space="preserve">TAGTGCAGCCGGTCAACCCGTCGC</t>
  </si>
  <si>
    <t xml:space="preserve">AAACGCGACGGGTTGACCGGCTGC</t>
  </si>
  <si>
    <t xml:space="preserve">CAGCAGCAGTGCCGTGCCGG</t>
  </si>
  <si>
    <t xml:space="preserve">TAGTCAGCAGCAGTGCCGTGCCGG</t>
  </si>
  <si>
    <t xml:space="preserve">AAACCCGGCACGGCACTGCTGCTG</t>
  </si>
  <si>
    <t xml:space="preserve">AGCGCCGCATCGCGCAGTGC</t>
  </si>
  <si>
    <t xml:space="preserve">TAGTAGCGCCGCATCGCGCAGTGC</t>
  </si>
  <si>
    <t xml:space="preserve">AAACGCACTGCGCGATGCGGCGCT</t>
  </si>
  <si>
    <t xml:space="preserve">PST_0380</t>
  </si>
  <si>
    <t xml:space="preserve">GCCAGCTGAGGATGTTCAGC</t>
  </si>
  <si>
    <t xml:space="preserve">TAGTGCCAGCTGAGGATGTTCAGC</t>
  </si>
  <si>
    <t xml:space="preserve">AAACGCTGAACATCCTCAGCTGGC</t>
  </si>
  <si>
    <t xml:space="preserve">AGCAGCCCGCCGGCCAGCAA</t>
  </si>
  <si>
    <t xml:space="preserve">TAGTAGCAGCCCGCCGGCCAGCAA</t>
  </si>
  <si>
    <t xml:space="preserve">AAACTTGCTGGCCGGCGGGCTGCT</t>
  </si>
  <si>
    <t xml:space="preserve">CAACAAACCGATGCTGCCGG</t>
  </si>
  <si>
    <t xml:space="preserve">TAGTCAACAAACCGATGCTGCCGG</t>
  </si>
  <si>
    <t xml:space="preserve">AAACCCGGCAGCATCGGTTTGTTG</t>
  </si>
  <si>
    <t xml:space="preserve">TGCAGGCGACTCAGGGTATC</t>
  </si>
  <si>
    <t xml:space="preserve">TAGTTGCAGGCGACTCAGGGTATC</t>
  </si>
  <si>
    <t xml:space="preserve">AAACGATACCCTGAGTCGCCTGCA</t>
  </si>
  <si>
    <t xml:space="preserve">PST_0381</t>
  </si>
  <si>
    <t xml:space="preserve">GACCGAGCAGCAACAGGCCG</t>
  </si>
  <si>
    <t xml:space="preserve">TAGTGACCGAGCAGCAACAGGCCG</t>
  </si>
  <si>
    <t xml:space="preserve">AAACCGGCCTGTTGCTGCTCGGTC</t>
  </si>
  <si>
    <t xml:space="preserve">GCGCACATGCAGCGCGCCAC</t>
  </si>
  <si>
    <t xml:space="preserve">TAGTGCGCACATGCAGCGCGCCAC</t>
  </si>
  <si>
    <t xml:space="preserve">AAACGTGGCGCGCTGCATGTGCGC</t>
  </si>
  <si>
    <t xml:space="preserve">GCAACACGCCGGCATACAGC</t>
  </si>
  <si>
    <t xml:space="preserve">TAGTGCAACACGCCGGCATACAGC</t>
  </si>
  <si>
    <t xml:space="preserve">AAACGCTGTATGCCGGCGTGTTGC</t>
  </si>
  <si>
    <t xml:space="preserve">TGGCGGCCTCGGCCAATGCC</t>
  </si>
  <si>
    <t xml:space="preserve">TAGTTGGCGGCCTCGGCCAATGCC</t>
  </si>
  <si>
    <t xml:space="preserve">AAACGGCATTGGCCGAGGCCGCCA</t>
  </si>
  <si>
    <t xml:space="preserve">PST_0382</t>
  </si>
  <si>
    <t xml:space="preserve">GATGGCGATCCAGAACAGCG</t>
  </si>
  <si>
    <t xml:space="preserve">TAGTGATGGCGATCCAGAACAGCG</t>
  </si>
  <si>
    <t xml:space="preserve">AAACCGCTGTTCTGGATCGCCATC</t>
  </si>
  <si>
    <t xml:space="preserve">ATGCAGGCCGAGCAGCCAGA</t>
  </si>
  <si>
    <t xml:space="preserve">TAGTATGCAGGCCGAGCAGCCAGA</t>
  </si>
  <si>
    <t xml:space="preserve">AAACTCTGGCTGCTCGGCCTGCAT</t>
  </si>
  <si>
    <t xml:space="preserve">GATCGCGATGATCCGCCGCA</t>
  </si>
  <si>
    <t xml:space="preserve">TAGTGATCGCGATGATCCGCCGCA</t>
  </si>
  <si>
    <t xml:space="preserve">AAACTGCGGCGGATCATCGCGATC</t>
  </si>
  <si>
    <t xml:space="preserve">GGAACACACCACTGCCCATC</t>
  </si>
  <si>
    <t xml:space="preserve">TAGTGGAACACACCACTGCCCATC</t>
  </si>
  <si>
    <t xml:space="preserve">AAACGATGGGCAGTGGTGTGTTCC</t>
  </si>
  <si>
    <t xml:space="preserve">PST_0383</t>
  </si>
  <si>
    <t xml:space="preserve">TCAGCAACAGGCCGCCGCCC</t>
  </si>
  <si>
    <t xml:space="preserve">TAGTTCAGCAACAGGCCGCCGCCC</t>
  </si>
  <si>
    <t xml:space="preserve">AAACGGGCGGCGGCCTGTTGCTGA</t>
  </si>
  <si>
    <t xml:space="preserve">CGCCGCGGGCCGGGCGCAGC</t>
  </si>
  <si>
    <t xml:space="preserve">TAGTCGCCGCGGGCCGGGCGCAGC</t>
  </si>
  <si>
    <t xml:space="preserve">AAACGCTGCGCCCGGCCCGCGGCG</t>
  </si>
  <si>
    <t xml:space="preserve">CCTCCCAGCCACCGATGAAC</t>
  </si>
  <si>
    <t xml:space="preserve">TAGTCCTCCCAGCCACCGATGAAC</t>
  </si>
  <si>
    <t xml:space="preserve">AAACGTTCATCGGTGGCTGGGAGG</t>
  </si>
  <si>
    <t xml:space="preserve">GCGGAAACGAATCGCCAGCC</t>
  </si>
  <si>
    <t xml:space="preserve">TAGTGCGGAAACGAATCGCCAGCC</t>
  </si>
  <si>
    <t xml:space="preserve">AAACGGCTGGCGATTCGTTTCCGC</t>
  </si>
  <si>
    <t xml:space="preserve">PST_0384</t>
  </si>
  <si>
    <t xml:space="preserve">GTACGATGCCGAGCGGCAGC</t>
  </si>
  <si>
    <t xml:space="preserve">TAGTGTACGATGCCGAGCGGCAGC</t>
  </si>
  <si>
    <t xml:space="preserve">AAACGCTGCCGCTCGGCATCGTAC</t>
  </si>
  <si>
    <t xml:space="preserve">AGGGCGAAGATCACCAGGCC</t>
  </si>
  <si>
    <t xml:space="preserve">TAGTAGGGCGAAGATCACCAGGCC</t>
  </si>
  <si>
    <t xml:space="preserve">AAACGGCCTGGTGATCTTCGCCCT</t>
  </si>
  <si>
    <t xml:space="preserve">GCGTGACCCGCAGGCGCTGC</t>
  </si>
  <si>
    <t xml:space="preserve">TAGTGCGTGACCCGCAGGCGCTGC</t>
  </si>
  <si>
    <t xml:space="preserve">AAACGCAGCGCCTGCGGGTCACGC</t>
  </si>
  <si>
    <t xml:space="preserve">GCTTGAGCGTCACGCCGAGC</t>
  </si>
  <si>
    <t xml:space="preserve">TAGTGCTTGAGCGTCACGCCGAGC</t>
  </si>
  <si>
    <t xml:space="preserve">AAACGCTCGGCGTGACGCTCAAGC</t>
  </si>
  <si>
    <t xml:space="preserve">PST_0385</t>
  </si>
  <si>
    <t xml:space="preserve">GGGCACCAGCAGCCAGAGCC</t>
  </si>
  <si>
    <t xml:space="preserve">TAGTGGGCACCAGCAGCCAGAGCC</t>
  </si>
  <si>
    <t xml:space="preserve">AAACGGCTCTGGCTGCTGGTGCCC</t>
  </si>
  <si>
    <t xml:space="preserve">GCACCCAGCAGCGGAGCGAA</t>
  </si>
  <si>
    <t xml:space="preserve">TAGTGCACCCAGCAGCGGAGCGAA</t>
  </si>
  <si>
    <t xml:space="preserve">AAACTTCGCTCCGCTGCTGGGTGC</t>
  </si>
  <si>
    <t xml:space="preserve">AGGGCACGTTCGCGCAGCCA</t>
  </si>
  <si>
    <t xml:space="preserve">TAGTAGGGCACGTTCGCGCAGCCA</t>
  </si>
  <si>
    <t xml:space="preserve">AAACTGGCTGCGCGAACGTGCCCT</t>
  </si>
  <si>
    <t xml:space="preserve">CGCTCAGCCACAGCCATGGC</t>
  </si>
  <si>
    <t xml:space="preserve">TAGTCGCTCAGCCACAGCCATGGC</t>
  </si>
  <si>
    <t xml:space="preserve">AAACGCCATGGCTGTGGCTGAGCG</t>
  </si>
  <si>
    <t xml:space="preserve">PST_0386</t>
  </si>
  <si>
    <t xml:space="preserve">AATTTAACGCTTAGATTCAT</t>
  </si>
  <si>
    <t xml:space="preserve">TAGTAATTTAACGCTTAGATTCAT</t>
  </si>
  <si>
    <t xml:space="preserve">AAACATGAATCTAAGCGTTAAATT</t>
  </si>
  <si>
    <t xml:space="preserve">CAGGACCACTAGCGTGAGTG</t>
  </si>
  <si>
    <t xml:space="preserve">TAGTCAGGACCACTAGCGTGAGTG</t>
  </si>
  <si>
    <t xml:space="preserve">AAACCACTCACGCTAGTGGTCCTG</t>
  </si>
  <si>
    <t xml:space="preserve">TGGAAAGCTCGAGCAACGCC</t>
  </si>
  <si>
    <t xml:space="preserve">TAGTTGGAAAGCTCGAGCAACGCC</t>
  </si>
  <si>
    <t xml:space="preserve">AAACGGCGTTGCTCGAGCTTTCCA</t>
  </si>
  <si>
    <t xml:space="preserve">CGTAAATGTATTGTTGAATT</t>
  </si>
  <si>
    <t xml:space="preserve">TAGTCGTAAATGTATTGTTGAATT</t>
  </si>
  <si>
    <t xml:space="preserve">AAACAATTCAACAATACATTTACG</t>
  </si>
  <si>
    <t xml:space="preserve">PST_0387</t>
  </si>
  <si>
    <t xml:space="preserve">GCTGACGGACGAGTTTCTTG</t>
  </si>
  <si>
    <t xml:space="preserve">TAGTGCTGACGGACGAGTTTCTTG</t>
  </si>
  <si>
    <t xml:space="preserve">AAACCAAGAAACTCGTCCGTCAGC</t>
  </si>
  <si>
    <t xml:space="preserve">GGTGCCCGCGGTTCCAGGTC</t>
  </si>
  <si>
    <t xml:space="preserve">TAGTGGTGCCCGCGGTTCCAGGTC</t>
  </si>
  <si>
    <t xml:space="preserve">AAACGACCTGGAACCGCGGGCACC</t>
  </si>
  <si>
    <t xml:space="preserve">GCAGATGCTCGGCGAGCGCC</t>
  </si>
  <si>
    <t xml:space="preserve">TAGTGCAGATGCTCGGCGAGCGCC</t>
  </si>
  <si>
    <t xml:space="preserve">AAACGGCGCTCGCCGAGCATCTGC</t>
  </si>
  <si>
    <t xml:space="preserve">GACCAGCGGCCGGCCGATAA</t>
  </si>
  <si>
    <t xml:space="preserve">TAGTGACCAGCGGCCGGCCGATAA</t>
  </si>
  <si>
    <t xml:space="preserve">AAACTTATCGGCCGGCCGCTGGTC</t>
  </si>
  <si>
    <t xml:space="preserve">PST_0388</t>
  </si>
  <si>
    <t xml:space="preserve">phoQ</t>
  </si>
  <si>
    <t xml:space="preserve">CCTGCAGCCGGCGCCAGCGT</t>
  </si>
  <si>
    <t xml:space="preserve">TAGTCCTGCAGCCGGCGCCAGCGT</t>
  </si>
  <si>
    <t xml:space="preserve">AAACACGCTGGCGCCGGCTGCAGG</t>
  </si>
  <si>
    <t xml:space="preserve">CGACATGGCGCCGGTCAGGC</t>
  </si>
  <si>
    <t xml:space="preserve">TAGTCGACATGGCGCCGGTCAGGC</t>
  </si>
  <si>
    <t xml:space="preserve">AAACGCCTGACCGGCGCCATGTCG</t>
  </si>
  <si>
    <t xml:space="preserve">GAACAGCGCGGCCAGGCTCG</t>
  </si>
  <si>
    <t xml:space="preserve">TAGTGAACAGCGCGGCCAGGCTCG</t>
  </si>
  <si>
    <t xml:space="preserve">AAACCGAGCCTGGCCGCGCTGTTC</t>
  </si>
  <si>
    <t xml:space="preserve">CTGAAGGCGCCCTGCAGTGC</t>
  </si>
  <si>
    <t xml:space="preserve">TAGTCTGAAGGCGCCCTGCAGTGC</t>
  </si>
  <si>
    <t xml:space="preserve">AAACGCACTGCAGGGCGCCTTCAG</t>
  </si>
  <si>
    <t xml:space="preserve">PST_0389</t>
  </si>
  <si>
    <t xml:space="preserve">phoP</t>
  </si>
  <si>
    <t xml:space="preserve">CACCGAGCCGCGTCTGCAAG</t>
  </si>
  <si>
    <t xml:space="preserve">TAGTCACCGAGCCGCGTCTGCAAG</t>
  </si>
  <si>
    <t xml:space="preserve">AAACCTTGCAGACGCGGCTCGGTG</t>
  </si>
  <si>
    <t xml:space="preserve">CGCTTCTTCGGCATTGGGCA</t>
  </si>
  <si>
    <t xml:space="preserve">TAGTCGCTTCTTCGGCATTGGGCA</t>
  </si>
  <si>
    <t xml:space="preserve">AAACTGCCCAATGCCGAAGAAGCG</t>
  </si>
  <si>
    <t xml:space="preserve">AAGGTCATGATTGAATTCGT</t>
  </si>
  <si>
    <t xml:space="preserve">TAGTAAGGTCATGATTGAATTCGT</t>
  </si>
  <si>
    <t xml:space="preserve">AAACACGAATTCAATCATGACCTT</t>
  </si>
  <si>
    <t xml:space="preserve">CGGCAGGCCGAGGTCGATGA</t>
  </si>
  <si>
    <t xml:space="preserve">TAGTCGGCAGGCCGAGGTCGATGA</t>
  </si>
  <si>
    <t xml:space="preserve">AAACTCATCGACCTCGGCCTGCCG</t>
  </si>
  <si>
    <t xml:space="preserve">PST_0390</t>
  </si>
  <si>
    <t xml:space="preserve">oprH</t>
  </si>
  <si>
    <t xml:space="preserve">TCTTGATCACGTCATCGAAG</t>
  </si>
  <si>
    <t xml:space="preserve">TAGTTCTTGATCACGTCATCGAAG</t>
  </si>
  <si>
    <t xml:space="preserve">AAACCTTCGATGACGTGATCAAGA</t>
  </si>
  <si>
    <t xml:space="preserve">CTGACCGGCGCGCACGCCCC</t>
  </si>
  <si>
    <t xml:space="preserve">TAGTCTGACCGGCGCGCACGCCCC</t>
  </si>
  <si>
    <t xml:space="preserve">AAACGGGGCGTGCGCGCCGGTCAG</t>
  </si>
  <si>
    <t xml:space="preserve">CATGTAGTAGCGGCCTTCGT</t>
  </si>
  <si>
    <t xml:space="preserve">TAGTCATGTAGTAGCGGCCTTCGT</t>
  </si>
  <si>
    <t xml:space="preserve">AAACACGAAGGCCGCTACTACATG</t>
  </si>
  <si>
    <t xml:space="preserve">GTCGTCCGAAACGTTCTCGT</t>
  </si>
  <si>
    <t xml:space="preserve">TAGTGTCGTCCGAAACGTTCTCGT</t>
  </si>
  <si>
    <t xml:space="preserve">AAACACGAGAACGTTTCGGACGAC</t>
  </si>
  <si>
    <t xml:space="preserve">PST_0391</t>
  </si>
  <si>
    <t xml:space="preserve">CGCCAGCAGCCAGGGGGCGA</t>
  </si>
  <si>
    <t xml:space="preserve">TAGTCGCCAGCAGCCAGGGGGCGA</t>
  </si>
  <si>
    <t xml:space="preserve">AAACTCGCCCCCTGGCTGCTGGCG</t>
  </si>
  <si>
    <t xml:space="preserve">GTCGGTTGTCGCGGCGGCGG</t>
  </si>
  <si>
    <t xml:space="preserve">TAGTGTCGGTTGTCGCGGCGGCGG</t>
  </si>
  <si>
    <t xml:space="preserve">AAACCCGCCGCCGCGACAACCGAC</t>
  </si>
  <si>
    <t xml:space="preserve">GTCGAGGCGGACCTGCACCG</t>
  </si>
  <si>
    <t xml:space="preserve">TAGTGTCGAGGCGGACCTGCACCG</t>
  </si>
  <si>
    <t xml:space="preserve">AAACCGGTGCAGGTCCGCCTCGAC</t>
  </si>
  <si>
    <t xml:space="preserve">GCTCGGCGGCGGCGGGCTGC</t>
  </si>
  <si>
    <t xml:space="preserve">TAGTGCTCGGCGGCGGCGGGCTGC</t>
  </si>
  <si>
    <t xml:space="preserve">AAACGCAGCCCGCCGCCGCCGAGC</t>
  </si>
  <si>
    <t xml:space="preserve">PST_0392</t>
  </si>
  <si>
    <t xml:space="preserve">AGCAAGGTAGCGATTGCTGC</t>
  </si>
  <si>
    <t xml:space="preserve">TAGTAGCAAGGTAGCGATTGCTGC</t>
  </si>
  <si>
    <t xml:space="preserve">AAACGCAGCAATCGCTACCTTGCT</t>
  </si>
  <si>
    <t xml:space="preserve">CATGACCTGGGTGGCGCCGA</t>
  </si>
  <si>
    <t xml:space="preserve">TAGTCATGACCTGGGTGGCGCCGA</t>
  </si>
  <si>
    <t xml:space="preserve">AAACTCGGCGCCACCCAGGTCATG</t>
  </si>
  <si>
    <t xml:space="preserve">GGTACCCGTCTGCTCCAGCT</t>
  </si>
  <si>
    <t xml:space="preserve">TAGTGGTACCCGTCTGCTCCAGCT</t>
  </si>
  <si>
    <t xml:space="preserve">AAACAGCTGGAGCAGACGGGTACC</t>
  </si>
  <si>
    <t xml:space="preserve">CTGGAGCACGGCGACATTGC</t>
  </si>
  <si>
    <t xml:space="preserve">TAGTCTGGAGCACGGCGACATTGC</t>
  </si>
  <si>
    <t xml:space="preserve">AAACGCAATGTCGCCGTGCTCCAG</t>
  </si>
  <si>
    <t xml:space="preserve">PST_0393</t>
  </si>
  <si>
    <t xml:space="preserve">GATTAATCCCAGCGGTGCCA</t>
  </si>
  <si>
    <t xml:space="preserve">TAGTGATTAATCCCAGCGGTGCCA</t>
  </si>
  <si>
    <t xml:space="preserve">AAACTGGCACCGCTGGGATTAATC</t>
  </si>
  <si>
    <t xml:space="preserve">CGCCTGGATAACGCGTTTCA</t>
  </si>
  <si>
    <t xml:space="preserve">TAGTCGCCTGGATAACGCGTTTCA</t>
  </si>
  <si>
    <t xml:space="preserve">AAACTGAAACGCGTTATCCAGGCG</t>
  </si>
  <si>
    <t xml:space="preserve">GCGCGACCTTGGATATCCAT</t>
  </si>
  <si>
    <t xml:space="preserve">TAGTGCGCGACCTTGGATATCCAT</t>
  </si>
  <si>
    <t xml:space="preserve">AAACATGGATATCCAAGGTCGCGC</t>
  </si>
  <si>
    <t xml:space="preserve">TAGATACCGGATGACAGTGG</t>
  </si>
  <si>
    <t xml:space="preserve">TAGTTAGATACCGGATGACAGTGG</t>
  </si>
  <si>
    <t xml:space="preserve">AAACCCACTGTCATCCGGTATCTA</t>
  </si>
  <si>
    <t xml:space="preserve">PST_0394</t>
  </si>
  <si>
    <t xml:space="preserve">corR</t>
  </si>
  <si>
    <t xml:space="preserve">GGTTAATAGCGTGACGGTTG</t>
  </si>
  <si>
    <t xml:space="preserve">TAGTGGTTAATAGCGTGACGGTTG</t>
  </si>
  <si>
    <t xml:space="preserve">AAACCAACCGTCACGCTATTAACC</t>
  </si>
  <si>
    <t xml:space="preserve">CCTGTTCGCCGAGGAAGTGG</t>
  </si>
  <si>
    <t xml:space="preserve">TAGTCCTGTTCGCCGAGGAAGTGG</t>
  </si>
  <si>
    <t xml:space="preserve">AAACCCACTTCCTCGGCGAACAGG</t>
  </si>
  <si>
    <t xml:space="preserve">GACGAGGGAGACTTCGACCT</t>
  </si>
  <si>
    <t xml:space="preserve">TAGTGACGAGGGAGACTTCGACCT</t>
  </si>
  <si>
    <t xml:space="preserve">AAACAGGTCGAAGTCTCCCTCGTC</t>
  </si>
  <si>
    <t xml:space="preserve">CATGCTGCTCCGGCGGTTCC</t>
  </si>
  <si>
    <t xml:space="preserve">TAGTCATGCTGCTCCGGCGGTTCC</t>
  </si>
  <si>
    <t xml:space="preserve">AAACGGAACCGCCGGAGCAGCATG</t>
  </si>
  <si>
    <t xml:space="preserve">PST_0395</t>
  </si>
  <si>
    <t xml:space="preserve">GTGAAACGGCAGCAGAGGTT</t>
  </si>
  <si>
    <t xml:space="preserve">TAGTGTGAAACGGCAGCAGAGGTT</t>
  </si>
  <si>
    <t xml:space="preserve">AAACAACCTCTGCTGCCGTTTCAC</t>
  </si>
  <si>
    <t xml:space="preserve">GCGCGTGCGCTGAGTTCGCG</t>
  </si>
  <si>
    <t xml:space="preserve">TAGTGCGCGTGCGCTGAGTTCGCG</t>
  </si>
  <si>
    <t xml:space="preserve">AAACCGCGAACTCAGCGCACGCGC</t>
  </si>
  <si>
    <t xml:space="preserve">CAGCGCCCCCAGCAACAACC</t>
  </si>
  <si>
    <t xml:space="preserve">TAGTCAGCGCCCCCAGCAACAACC</t>
  </si>
  <si>
    <t xml:space="preserve">AAACGGTTGTTGCTGGGGGCGCTG</t>
  </si>
  <si>
    <t xml:space="preserve">AGGCCCGAGTAGACATTCGA</t>
  </si>
  <si>
    <t xml:space="preserve">TAGTAGGCCCGAGTAGACATTCGA</t>
  </si>
  <si>
    <t xml:space="preserve">AAACTCGAATGTCTACTCGGGCCT</t>
  </si>
  <si>
    <t xml:space="preserve">PST_0396</t>
  </si>
  <si>
    <t xml:space="preserve">GTCGTCCGGCGATGTTGGCT</t>
  </si>
  <si>
    <t xml:space="preserve">TAGTGTCGTCCGGCGATGTTGGCT</t>
  </si>
  <si>
    <t xml:space="preserve">AAACAGCCAACATCGCCGGACGAC</t>
  </si>
  <si>
    <t xml:space="preserve">CGCCTGCACCATGGCGCGGT</t>
  </si>
  <si>
    <t xml:space="preserve">TAGTCGCCTGCACCATGGCGCGGT</t>
  </si>
  <si>
    <t xml:space="preserve">AAACACCGCGCCATGGTGCAGGCG</t>
  </si>
  <si>
    <t xml:space="preserve">ACAGCAGCACCACAGCGGCC</t>
  </si>
  <si>
    <t xml:space="preserve">TAGTACAGCAGCACCACAGCGGCC</t>
  </si>
  <si>
    <t xml:space="preserve">AAACGGCCGCTGTGGTGCTGCTGT</t>
  </si>
  <si>
    <t xml:space="preserve">GAGAAAGTCGAAGGCTAGCC</t>
  </si>
  <si>
    <t xml:space="preserve">TAGTGAGAAAGTCGAAGGCTAGCC</t>
  </si>
  <si>
    <t xml:space="preserve">AAACGGCTAGCCTTCGACTTTCTC</t>
  </si>
  <si>
    <t xml:space="preserve">PST_0397</t>
  </si>
  <si>
    <t xml:space="preserve">CCGGCGAAACCTTGGCGGCG</t>
  </si>
  <si>
    <t xml:space="preserve">TAGTCCGGCGAAACCTTGGCGGCG</t>
  </si>
  <si>
    <t xml:space="preserve">AAACCGCCGCCAAGGTTTCGCCGG</t>
  </si>
  <si>
    <t xml:space="preserve">GACCGCTCGGCCGAAGACCG</t>
  </si>
  <si>
    <t xml:space="preserve">TAGTGACCGCTCGGCCGAAGACCG</t>
  </si>
  <si>
    <t xml:space="preserve">AAACCGGTCTTCGGCCGAGCGGTC</t>
  </si>
  <si>
    <t xml:space="preserve">CGGGCCGTTTCGCGTCCTGC</t>
  </si>
  <si>
    <t xml:space="preserve">TAGTCGGGCCGTTTCGCGTCCTGC</t>
  </si>
  <si>
    <t xml:space="preserve">AAACGCAGGACGCGAAACGGCCCG</t>
  </si>
  <si>
    <t xml:space="preserve">CCCGGCAAGCCTCTGGCTTC</t>
  </si>
  <si>
    <t xml:space="preserve">TAGTCCCGGCAAGCCTCTGGCTTC</t>
  </si>
  <si>
    <t xml:space="preserve">AAACGAAGCCAGAGGCTTGCCGGG</t>
  </si>
  <si>
    <t xml:space="preserve">PST_0398</t>
  </si>
  <si>
    <t xml:space="preserve">serA</t>
  </si>
  <si>
    <t xml:space="preserve">CCTGTGCTGAAGCGTGCTCA</t>
  </si>
  <si>
    <t xml:space="preserve">TAGTCCTGTGCTGAAGCGTGCTCA</t>
  </si>
  <si>
    <t xml:space="preserve">AAACTGAGCACGCTTCAGCACAGG</t>
  </si>
  <si>
    <t xml:space="preserve">TGCCGAGGCACGTTTCAAAG</t>
  </si>
  <si>
    <t xml:space="preserve">TAGTTGCCGAGGCACGTTTCAAAG</t>
  </si>
  <si>
    <t xml:space="preserve">AAACCTTTGAAACGTGCCTCGGCA</t>
  </si>
  <si>
    <t xml:space="preserve">GACCCGGCAATGCCGGTGCC</t>
  </si>
  <si>
    <t xml:space="preserve">TAGTGACCCGGCAATGCCGGTGCC</t>
  </si>
  <si>
    <t xml:space="preserve">AAACGGCACCGGCATTGCCGGGTC</t>
  </si>
  <si>
    <t xml:space="preserve">CTGAAGTGTCCAGCGAAGGC</t>
  </si>
  <si>
    <t xml:space="preserve">TAGTCTGAAGTGTCCAGCGAAGGC</t>
  </si>
  <si>
    <t xml:space="preserve">AAACGCCTTCGCTGGACACTTCAG</t>
  </si>
  <si>
    <t xml:space="preserve">PST_0399</t>
  </si>
  <si>
    <t xml:space="preserve">CTCATCGATCAGGGCGGGGT</t>
  </si>
  <si>
    <t xml:space="preserve">TAGTCTCATCGATCAGGGCGGGGT</t>
  </si>
  <si>
    <t xml:space="preserve">AAACACCCCGCCCTGATCGATGAG</t>
  </si>
  <si>
    <t xml:space="preserve">CACTTTGCCGGGCTCGACCA</t>
  </si>
  <si>
    <t xml:space="preserve">TAGTCACTTTGCCGGGCTCGACCA</t>
  </si>
  <si>
    <t xml:space="preserve">AAACTGGTCGAGCCCGGCAAAGTG</t>
  </si>
  <si>
    <t xml:space="preserve">GCCGTAGGCGTTCAGCGAAT</t>
  </si>
  <si>
    <t xml:space="preserve">TAGTGCCGTAGGCGTTCAGCGAAT</t>
  </si>
  <si>
    <t xml:space="preserve">AAACATTCGCTGAACGCCTACGGC</t>
  </si>
  <si>
    <t xml:space="preserve">CGGCGCGGGAGCGAAATGCT</t>
  </si>
  <si>
    <t xml:space="preserve">TAGTCGGCGCGGGAGCGAAATGCT</t>
  </si>
  <si>
    <t xml:space="preserve">AAACAGCATTTCGCTCCCGCGCCG</t>
  </si>
  <si>
    <t xml:space="preserve">PST_0400</t>
  </si>
  <si>
    <t xml:space="preserve">TGCCGTCGGTGTAGTGGTGC</t>
  </si>
  <si>
    <t xml:space="preserve">TAGTTGCCGTCGGTGTAGTGGTGC</t>
  </si>
  <si>
    <t xml:space="preserve">AAACGCACCACTACACCGACGGCA</t>
  </si>
  <si>
    <t xml:space="preserve">TTGCCCAGCGGGTAATGGAT</t>
  </si>
  <si>
    <t xml:space="preserve">TAGTTTGCCCAGCGGGTAATGGAT</t>
  </si>
  <si>
    <t xml:space="preserve">AAACATCCATTACCCGCTGGGCAA</t>
  </si>
  <si>
    <t xml:space="preserve">TGGCGTGCTCGGCGTAGTTG</t>
  </si>
  <si>
    <t xml:space="preserve">TAGTTGGCGTGCTCGGCGTAGTTG</t>
  </si>
  <si>
    <t xml:space="preserve">AAACCAACTACGCCGAGCACGCCA</t>
  </si>
  <si>
    <t xml:space="preserve">CACCGGGTTGTTCAGTTCCT</t>
  </si>
  <si>
    <t xml:space="preserve">TAGTCACCGGGTTGTTCAGTTCCT</t>
  </si>
  <si>
    <t xml:space="preserve">AAACAGGAACTGAACAACCCGGTG</t>
  </si>
  <si>
    <t xml:space="preserve">PST_0401</t>
  </si>
  <si>
    <t xml:space="preserve">GAGAACGGTTCGCAAAGAAG</t>
  </si>
  <si>
    <t xml:space="preserve">TAGTGAGAACGGTTCGCAAAGAAG</t>
  </si>
  <si>
    <t xml:space="preserve">AAACCTTCTTTGCGAACCGTTCTC</t>
  </si>
  <si>
    <t xml:space="preserve">AGCGTTCCAGCGGAGGGTGC</t>
  </si>
  <si>
    <t xml:space="preserve">TAGTAGCGTTCCAGCGGAGGGTGC</t>
  </si>
  <si>
    <t xml:space="preserve">AAACGCACCCTCCGCTGGAACGCT</t>
  </si>
  <si>
    <t xml:space="preserve">CGCCAACGGGAATAACGAAC</t>
  </si>
  <si>
    <t xml:space="preserve">TAGTCGCCAACGGGAATAACGAAC</t>
  </si>
  <si>
    <t xml:space="preserve">AAACGTTCGTTATTCCCGTTGGCG</t>
  </si>
  <si>
    <t xml:space="preserve">ACAGGACGACAGCGACGAGC</t>
  </si>
  <si>
    <t xml:space="preserve">TAGTACAGGACGACAGCGACGAGC</t>
  </si>
  <si>
    <t xml:space="preserve">AAACGCTCGTCGCTGTCGTCCTGT</t>
  </si>
  <si>
    <t xml:space="preserve">PST_0402</t>
  </si>
  <si>
    <t xml:space="preserve">CGCCGAGCAGCGCAGCCAGA</t>
  </si>
  <si>
    <t xml:space="preserve">TAGTCGCCGAGCAGCGCAGCCAGA</t>
  </si>
  <si>
    <t xml:space="preserve">AAACTCTGGCTGCGCTGCTCGGCG</t>
  </si>
  <si>
    <t xml:space="preserve">GGCCGCCACGGCCAGTAACA</t>
  </si>
  <si>
    <t xml:space="preserve">TAGTGGCCGCCACGGCCAGTAACA</t>
  </si>
  <si>
    <t xml:space="preserve">AAACTGTTACTGGCCGTGGCGGCC</t>
  </si>
  <si>
    <t xml:space="preserve">GAACAGACGGTAGTGAACGC</t>
  </si>
  <si>
    <t xml:space="preserve">TAGTGAACAGACGGTAGTGAACGC</t>
  </si>
  <si>
    <t xml:space="preserve">AAACGCGTTCACTACCGTCTGTTC</t>
  </si>
  <si>
    <t xml:space="preserve">CCTGCTGCCACTGGGTGAAG</t>
  </si>
  <si>
    <t xml:space="preserve">TAGTCCTGCTGCCACTGGGTGAAG</t>
  </si>
  <si>
    <t xml:space="preserve">AAACCTTCACCCAGTGGCAGCAGG</t>
  </si>
  <si>
    <t xml:space="preserve">PST_0403</t>
  </si>
  <si>
    <t xml:space="preserve">GTGGGCCTTGTACTGTTCGC</t>
  </si>
  <si>
    <t xml:space="preserve">TAGTGTGGGCCTTGTACTGTTCGC</t>
  </si>
  <si>
    <t xml:space="preserve">AAACGCGAACAGTACAAGGCCCAC</t>
  </si>
  <si>
    <t xml:space="preserve">CTCGAACGCCTCTTCGCGCA</t>
  </si>
  <si>
    <t xml:space="preserve">TAGTCTCGAACGCCTCTTCGCGCA</t>
  </si>
  <si>
    <t xml:space="preserve">AAACTGCGCGAAGAGGCGTTCGAG</t>
  </si>
  <si>
    <t xml:space="preserve">ACCGATGACCTGGCCATTCG</t>
  </si>
  <si>
    <t xml:space="preserve">TAGTACCGATGACCTGGCCATTCG</t>
  </si>
  <si>
    <t xml:space="preserve">AAACCGAATGGCCAGGTCATCGGT</t>
  </si>
  <si>
    <t xml:space="preserve">TGTGCAGGCTGGCGTACATC</t>
  </si>
  <si>
    <t xml:space="preserve">TAGTTGTGCAGGCTGGCGTACATC</t>
  </si>
  <si>
    <t xml:space="preserve">AAACGATGTACGCCAGCCTGCACA</t>
  </si>
  <si>
    <t xml:space="preserve">PST_0404</t>
  </si>
  <si>
    <t xml:space="preserve">rpiA</t>
  </si>
  <si>
    <t xml:space="preserve">TTGAGCTGGTCCTGGGTCAT</t>
  </si>
  <si>
    <t xml:space="preserve">TAGTTTGAGCTGGTCCTGGGTCAT</t>
  </si>
  <si>
    <t xml:space="preserve">AAACATGACCCAGGACCAGCTCAA</t>
  </si>
  <si>
    <t xml:space="preserve">GATATGGTCGACAGCGGCCT</t>
  </si>
  <si>
    <t xml:space="preserve">TAGTGATATGGTCGACAGCGGCCT</t>
  </si>
  <si>
    <t xml:space="preserve">AAACAGGCCGCTGTCGACCATATC</t>
  </si>
  <si>
    <t xml:space="preserve">TGCGATCGTTGAGCTTGGGA</t>
  </si>
  <si>
    <t xml:space="preserve">TAGTTGCGATCGTTGAGCTTGGGA</t>
  </si>
  <si>
    <t xml:space="preserve">AAACTCCCAAGCTCAACGATCGCA</t>
  </si>
  <si>
    <t xml:space="preserve">GAAGAAGTTGGCGGTGGAGC</t>
  </si>
  <si>
    <t xml:space="preserve">TAGTGAAGAAGTTGGCGGTGGAGC</t>
  </si>
  <si>
    <t xml:space="preserve">AAACGCTCCACCGCCAACTTCTTC</t>
  </si>
  <si>
    <t xml:space="preserve">PST_0405</t>
  </si>
  <si>
    <t xml:space="preserve">ilvA-2</t>
  </si>
  <si>
    <t xml:space="preserve">CGTCATAGACGCGCGAAGTG</t>
  </si>
  <si>
    <t xml:space="preserve">TAGTCGTCATAGACGCGCGAAGTG</t>
  </si>
  <si>
    <t xml:space="preserve">AAACCACTTCGCGCGTCTATGACG</t>
  </si>
  <si>
    <t xml:space="preserve">GGGTTGCAGCGGCGTTTCGA</t>
  </si>
  <si>
    <t xml:space="preserve">TAGTGGGTTGCAGCGGCGTTTCGA</t>
  </si>
  <si>
    <t xml:space="preserve">AAACTCGAAACGCCGCTGCAACCC</t>
  </si>
  <si>
    <t xml:space="preserve">CGTTCGGAAAGCTGGCGGGC</t>
  </si>
  <si>
    <t xml:space="preserve">TAGTCGTTCGGAAAGCTGGCGGGC</t>
  </si>
  <si>
    <t xml:space="preserve">AAACGCCCGCCAGCTTTCCGAACG</t>
  </si>
  <si>
    <t xml:space="preserve">CCTCGCGCTTGAGCAGAATC</t>
  </si>
  <si>
    <t xml:space="preserve">TAGTCCTCGCGCTTGAGCAGAATC</t>
  </si>
  <si>
    <t xml:space="preserve">AAACGATTCTGCTCAAGCGCGAGG</t>
  </si>
  <si>
    <t xml:space="preserve">PST_0406</t>
  </si>
  <si>
    <t xml:space="preserve">AGAGTCAGGTAGTGTTCCAT</t>
  </si>
  <si>
    <t xml:space="preserve">TAGTAGAGTCAGGTAGTGTTCCAT</t>
  </si>
  <si>
    <t xml:space="preserve">AAACATGGAACACTACCTGACTCT</t>
  </si>
  <si>
    <t xml:space="preserve">CGGTGGCGCCATGCACGATG</t>
  </si>
  <si>
    <t xml:space="preserve">TAGTCGGTGGCGCCATGCACGATG</t>
  </si>
  <si>
    <t xml:space="preserve">AAACCATCGTGCATGGCGCCACCG</t>
  </si>
  <si>
    <t xml:space="preserve">GCCCAGCAGCAAGAGCACTG</t>
  </si>
  <si>
    <t xml:space="preserve">TAGTGCCCAGCAGCAAGAGCACTG</t>
  </si>
  <si>
    <t xml:space="preserve">AAACCAGTGCTCTTGCTGCTGGGC</t>
  </si>
  <si>
    <t xml:space="preserve">GCACGGCCTGGTCGCCGCCG</t>
  </si>
  <si>
    <t xml:space="preserve">TAGTGCACGGCCTGGTCGCCGCCG</t>
  </si>
  <si>
    <t xml:space="preserve">AAACCGGCGGCGACCAGGCCGTGC</t>
  </si>
  <si>
    <t xml:space="preserve">PST_0407</t>
  </si>
  <si>
    <t xml:space="preserve">CTGCGTTGTTCGAGGGACGC</t>
  </si>
  <si>
    <t xml:space="preserve">TAGTCTGCGTTGTTCGAGGGACGC</t>
  </si>
  <si>
    <t xml:space="preserve">AAACGCGTCCCTCGAACAACGCAG</t>
  </si>
  <si>
    <t xml:space="preserve">GGCGACCACCACGATCGGTC</t>
  </si>
  <si>
    <t xml:space="preserve">TAGTGGCGACCACCACGATCGGTC</t>
  </si>
  <si>
    <t xml:space="preserve">AAACGACCGATCGTGGTGGTCGCC</t>
  </si>
  <si>
    <t xml:space="preserve">CAGGCACAGTGCGGTGGCCA</t>
  </si>
  <si>
    <t xml:space="preserve">TAGTCAGGCACAGTGCGGTGGCCA</t>
  </si>
  <si>
    <t xml:space="preserve">AAACTGGCCACCGCACTGTGCCTG</t>
  </si>
  <si>
    <t xml:space="preserve">GATGTACAGCATGGAATCGC</t>
  </si>
  <si>
    <t xml:space="preserve">TAGTGATGTACAGCATGGAATCGC</t>
  </si>
  <si>
    <t xml:space="preserve">AAACGCGATTCCATGCTGTACATC</t>
  </si>
  <si>
    <t xml:space="preserve">PST_0408</t>
  </si>
  <si>
    <t xml:space="preserve">ATCGAATAGAGCCAGGCGCA</t>
  </si>
  <si>
    <t xml:space="preserve">TAGTATCGAATAGAGCCAGGCGCA</t>
  </si>
  <si>
    <t xml:space="preserve">AAACTGCGCCTGGCTCTATTCGAT</t>
  </si>
  <si>
    <t xml:space="preserve">GTCGCTGTCACCGGCCAGCA</t>
  </si>
  <si>
    <t xml:space="preserve">TAGTGTCGCTGTCACCGGCCAGCA</t>
  </si>
  <si>
    <t xml:space="preserve">AAACTGCTGGCCGGTGACAGCGAC</t>
  </si>
  <si>
    <t xml:space="preserve">AGAGGTATTCGCCCCAGGCA</t>
  </si>
  <si>
    <t xml:space="preserve">TAGTAGAGGTATTCGCCCCAGGCA</t>
  </si>
  <si>
    <t xml:space="preserve">AAACTGCCTGGGGCGAATACCTCT</t>
  </si>
  <si>
    <t xml:space="preserve">CATCGTTACGGGCCCGGTAG</t>
  </si>
  <si>
    <t xml:space="preserve">TAGTCATCGTTACGGGCCCGGTAG</t>
  </si>
  <si>
    <t xml:space="preserve">AAACCTACCGGGCCCGTAACGATG</t>
  </si>
  <si>
    <t xml:space="preserve">PST_0409</t>
  </si>
  <si>
    <t xml:space="preserve">AAAACCATCGGAATCGATCA</t>
  </si>
  <si>
    <t xml:space="preserve">TAGTAAAACCATCGGAATCGATCA</t>
  </si>
  <si>
    <t xml:space="preserve">AAACTGATCGATTCCGATGGTTTT</t>
  </si>
  <si>
    <t xml:space="preserve">TCAGGATGATGCCGACATTG</t>
  </si>
  <si>
    <t xml:space="preserve">TAGTTCAGGATGATGCCGACATTG</t>
  </si>
  <si>
    <t xml:space="preserve">AAACCAATGTCGGCATCATCCTGA</t>
  </si>
  <si>
    <t xml:space="preserve">CAGCACCTGACCGACATCAT</t>
  </si>
  <si>
    <t xml:space="preserve">TAGTCAGCACCTGACCGACATCAT</t>
  </si>
  <si>
    <t xml:space="preserve">AAACATGATGTCGGTCAGGTGCTG</t>
  </si>
  <si>
    <t xml:space="preserve">ACCGCCCTGGGGGAATTGCC</t>
  </si>
  <si>
    <t xml:space="preserve">TAGTACCGCCCTGGGGGAATTGCC</t>
  </si>
  <si>
    <t xml:space="preserve">AAACGGCAATTCCCCCAGGGCGGT</t>
  </si>
  <si>
    <t xml:space="preserve">PST_0410</t>
  </si>
  <si>
    <t xml:space="preserve">ptsP</t>
  </si>
  <si>
    <t xml:space="preserve">CCTTGGCGGCATTCACTTCC</t>
  </si>
  <si>
    <t xml:space="preserve">TAGTCCTTGGCGGCATTCACTTCC</t>
  </si>
  <si>
    <t xml:space="preserve">AAACGGAAGTGAATGCCGCCAAGG</t>
  </si>
  <si>
    <t xml:space="preserve">TGATGCCCAACGCCGCCTTG</t>
  </si>
  <si>
    <t xml:space="preserve">TAGTTGATGCCCAACGCCGCCTTG</t>
  </si>
  <si>
    <t xml:space="preserve">AAACCAAGGCGGCGTTGGGCATCA</t>
  </si>
  <si>
    <t xml:space="preserve">CGAGCAGACCTGGCTGCCCA</t>
  </si>
  <si>
    <t xml:space="preserve">TAGTCGAGCAGACCTGGCTGCCCA</t>
  </si>
  <si>
    <t xml:space="preserve">AAACTGGGCAGCCAGGTCTGCTCG</t>
  </si>
  <si>
    <t xml:space="preserve">AGGACGAAGCGTTCGGTTTC</t>
  </si>
  <si>
    <t xml:space="preserve">TAGTAGGACGAAGCGTTCGGTTTC</t>
  </si>
  <si>
    <t xml:space="preserve">AAACGAAACCGAACGCTTCGTCCT</t>
  </si>
  <si>
    <t xml:space="preserve">PST_0411</t>
  </si>
  <si>
    <t xml:space="preserve">GCGAAAACGATCAGGCACAT</t>
  </si>
  <si>
    <t xml:space="preserve">TAGTGCGAAAACGATCAGGCACAT</t>
  </si>
  <si>
    <t xml:space="preserve">AAACATGTGCCTGATCGTTTTCGC</t>
  </si>
  <si>
    <t xml:space="preserve">CTGGGAGTGGTCGGGGCTCC</t>
  </si>
  <si>
    <t xml:space="preserve">TAGTCTGGGAGTGGTCGGGGCTCC</t>
  </si>
  <si>
    <t xml:space="preserve">AAACGGAGCCCCGACCACTCCCAG</t>
  </si>
  <si>
    <t xml:space="preserve">CGATTGGCCGCCACCACCAA</t>
  </si>
  <si>
    <t xml:space="preserve">TAGTCGATTGGCCGCCACCACCAA</t>
  </si>
  <si>
    <t xml:space="preserve">AAACTTGGTGGTGGCGGCCAATCG</t>
  </si>
  <si>
    <t xml:space="preserve">GCGGCAGACTGGGACGCGCG</t>
  </si>
  <si>
    <t xml:space="preserve">TAGTGCGGCAGACTGGGACGCGCG</t>
  </si>
  <si>
    <t xml:space="preserve">AAACCGCGCGTCCCAGTCTGCCGC</t>
  </si>
  <si>
    <t xml:space="preserve">PST_0412</t>
  </si>
  <si>
    <t xml:space="preserve">CGCCGCGCCTGTACCCTTGC</t>
  </si>
  <si>
    <t xml:space="preserve">TAGTCGCCGCGCCTGTACCCTTGC</t>
  </si>
  <si>
    <t xml:space="preserve">AAACGCAAGGGTACAGGCGCGGCG</t>
  </si>
  <si>
    <t xml:space="preserve">GCACGCCGACGCGCTGCCGC</t>
  </si>
  <si>
    <t xml:space="preserve">TAGTGCACGCCGACGCGCTGCCGC</t>
  </si>
  <si>
    <t xml:space="preserve">AAACGCGGCAGCGCGTCGGCGTGC</t>
  </si>
  <si>
    <t xml:space="preserve">TGGTAGCGAAAATGCCCGAC</t>
  </si>
  <si>
    <t xml:space="preserve">TAGTTGGTAGCGAAAATGCCCGAC</t>
  </si>
  <si>
    <t xml:space="preserve">AAACGTCGGGCATTTTCGCTACCA</t>
  </si>
  <si>
    <t xml:space="preserve">CCCGGCGAAACAAACCGGCA</t>
  </si>
  <si>
    <t xml:space="preserve">TAGTCCCGGCGAAACAAACCGGCA</t>
  </si>
  <si>
    <t xml:space="preserve">AAACTGCCGGTTTGTTTCGCCGGG</t>
  </si>
  <si>
    <t xml:space="preserve">PST_0413</t>
  </si>
  <si>
    <t xml:space="preserve">lgt</t>
  </si>
  <si>
    <t xml:space="preserve">ACCGGATCGATCTGCGGATA</t>
  </si>
  <si>
    <t xml:space="preserve">TAGTACCGGATCGATCTGCGGATA</t>
  </si>
  <si>
    <t xml:space="preserve">AAACTATCCGCAGATCGATCCGGT</t>
  </si>
  <si>
    <t xml:space="preserve">CTGCAAGGGGCCGATGGCGA</t>
  </si>
  <si>
    <t xml:space="preserve">TAGTCTGCAAGGGGCCGATGGCGA</t>
  </si>
  <si>
    <t xml:space="preserve">AAACTCGCCATCGGCCCCTTGCAG</t>
  </si>
  <si>
    <t xml:space="preserve">CGATGCCGATCAGGTACATC</t>
  </si>
  <si>
    <t xml:space="preserve">TAGTCGATGCCGATCAGGTACATC</t>
  </si>
  <si>
    <t xml:space="preserve">AAACGATGTACCTGATCGGCATCG</t>
  </si>
  <si>
    <t xml:space="preserve">CCGCAGCGAGGCCAACCACC</t>
  </si>
  <si>
    <t xml:space="preserve">TAGTCCGCAGCGAGGCCAACCACC</t>
  </si>
  <si>
    <t xml:space="preserve">AAACGGTGGTTGGCCTCGCTGCGG</t>
  </si>
  <si>
    <t xml:space="preserve">PST_0414</t>
  </si>
  <si>
    <t xml:space="preserve">thyA</t>
  </si>
  <si>
    <t xml:space="preserve">TTCATCGATTGACTCGAAGC</t>
  </si>
  <si>
    <t xml:space="preserve">TAGTTTCATCGATTGACTCGAAGC</t>
  </si>
  <si>
    <t xml:space="preserve">AAACGCTTCGAGTCAATCGATGAA</t>
  </si>
  <si>
    <t xml:space="preserve">GTTCGCGCACGTGGCGCATC</t>
  </si>
  <si>
    <t xml:space="preserve">TAGTGTTCGCGCACGTGGCGCATC</t>
  </si>
  <si>
    <t xml:space="preserve">AAACGATGCGCCACGTGCGCGAAC</t>
  </si>
  <si>
    <t xml:space="preserve">GCCGGTGCGGTCGCTCTTGA</t>
  </si>
  <si>
    <t xml:space="preserve">TAGTGCCGGTGCGGTCGCTCTTGA</t>
  </si>
  <si>
    <t xml:space="preserve">AAACTCAAGAGCGACCGCACCGGC</t>
  </si>
  <si>
    <t xml:space="preserve">GCCGAACACGCTATAGGTGC</t>
  </si>
  <si>
    <t xml:space="preserve">TAGTGCCGAACACGCTATAGGTGC</t>
  </si>
  <si>
    <t xml:space="preserve">AAACGCACCTATAGCGTGTTCGGC</t>
  </si>
  <si>
    <t xml:space="preserve">PST_0415</t>
  </si>
  <si>
    <t xml:space="preserve">GCTGACCGCGGCCAGATTGC</t>
  </si>
  <si>
    <t xml:space="preserve">TAGTGCTGACCGCGGCCAGATTGC</t>
  </si>
  <si>
    <t xml:space="preserve">AAACGCAATCTGGCCGCGGTCAGC</t>
  </si>
  <si>
    <t xml:space="preserve">CCAGGTCCACCAGCAGTGTG</t>
  </si>
  <si>
    <t xml:space="preserve">TAGTCCAGGTCCACCAGCAGTGTG</t>
  </si>
  <si>
    <t xml:space="preserve">AAACCACACTGCTGGTGGACCTGG</t>
  </si>
  <si>
    <t xml:space="preserve">GTAGTGCGTGGAGTTGGCCT</t>
  </si>
  <si>
    <t xml:space="preserve">TAGTGTAGTGCGTGGAGTTGGCCT</t>
  </si>
  <si>
    <t xml:space="preserve">AAACAGGCCAACTCCACGCACTAC</t>
  </si>
  <si>
    <t xml:space="preserve">AATGTCATCGCCGGTCAGGC</t>
  </si>
  <si>
    <t xml:space="preserve">TAGTAATGTCATCGCCGGTCAGGC</t>
  </si>
  <si>
    <t xml:space="preserve">AAACGCCTGACCGGCGATGACATT</t>
  </si>
  <si>
    <t xml:space="preserve">PST_0416</t>
  </si>
  <si>
    <t xml:space="preserve">TGGTCGGGGTGACGCTCAGC</t>
  </si>
  <si>
    <t xml:space="preserve">TAGTTGGTCGGGGTGACGCTCAGC</t>
  </si>
  <si>
    <t xml:space="preserve">AAACGCTGAGCGTCACCCCGACCA</t>
  </si>
  <si>
    <t xml:space="preserve">GCGCAGCAGCGGGCGTTTGG</t>
  </si>
  <si>
    <t xml:space="preserve">TAGTGCGCAGCAGCGGGCGTTTGG</t>
  </si>
  <si>
    <t xml:space="preserve">AAACCCAAACGCCCGCTGCTGCGC</t>
  </si>
  <si>
    <t xml:space="preserve">TCAGGATCAGCACGGTTTCC</t>
  </si>
  <si>
    <t xml:space="preserve">TAGTTCAGGATCAGCACGGTTTCC</t>
  </si>
  <si>
    <t xml:space="preserve">AAACGGAAACCGTGCTGATCCTGA</t>
  </si>
  <si>
    <t xml:space="preserve">GTAGAACGGCGCCAGGGTCA</t>
  </si>
  <si>
    <t xml:space="preserve">TAGTGTAGAACGGCGCCAGGGTCA</t>
  </si>
  <si>
    <t xml:space="preserve">AAACTGACCCTGGCGCCGTTCTAC</t>
  </si>
  <si>
    <t xml:space="preserve">PST_0417</t>
  </si>
  <si>
    <t xml:space="preserve">TGGCCGAGAAACGCCTGGAT</t>
  </si>
  <si>
    <t xml:space="preserve">TAGTTGGCCGAGAAACGCCTGGAT</t>
  </si>
  <si>
    <t xml:space="preserve">AAACATCCAGGCGTTTCTCGGCCA</t>
  </si>
  <si>
    <t xml:space="preserve">TGATCAGGCCGATCAGGAGC</t>
  </si>
  <si>
    <t xml:space="preserve">TAGTTGATCAGGCCGATCAGGAGC</t>
  </si>
  <si>
    <t xml:space="preserve">AAACGCTCCTGATCGGCCTGATCA</t>
  </si>
  <si>
    <t xml:space="preserve">CGCCAGGCCCAGGCTGAGCA</t>
  </si>
  <si>
    <t xml:space="preserve">TAGTCGCCAGGCCCAGGCTGAGCA</t>
  </si>
  <si>
    <t xml:space="preserve">AAACTGCTCAGCCTGGGCCTGGCG</t>
  </si>
  <si>
    <t xml:space="preserve">GATCATGTACTGCGCACCGT</t>
  </si>
  <si>
    <t xml:space="preserve">TAGTGATCATGTACTGCGCACCGT</t>
  </si>
  <si>
    <t xml:space="preserve">AAACACGGTGCGCAGTACATGATC</t>
  </si>
  <si>
    <t xml:space="preserve">PST_0418</t>
  </si>
  <si>
    <t xml:space="preserve">AGCTCGCGCACGCTGAGCAG</t>
  </si>
  <si>
    <t xml:space="preserve">TAGTAGCTCGCGCACGCTGAGCAG</t>
  </si>
  <si>
    <t xml:space="preserve">AAACCTGCTCAGCGTGCGCGAGCT</t>
  </si>
  <si>
    <t xml:space="preserve">GGCATGGCTTTCGCCATACC</t>
  </si>
  <si>
    <t xml:space="preserve">TAGTGGCATGGCTTTCGCCATACC</t>
  </si>
  <si>
    <t xml:space="preserve">AAACGGTATGGCGAAAGCCATGCC</t>
  </si>
  <si>
    <t xml:space="preserve">GTCCAGGTCGATGCCGTGCA</t>
  </si>
  <si>
    <t xml:space="preserve">TAGTGTCCAGGTCGATGCCGTGCA</t>
  </si>
  <si>
    <t xml:space="preserve">AAACTGCACGGCATCGACCTGGAC</t>
  </si>
  <si>
    <t xml:space="preserve">GGGTCACCGTCTCGCCCGCA</t>
  </si>
  <si>
    <t xml:space="preserve">TAGTGGGTCACCGTCTCGCCCGCA</t>
  </si>
  <si>
    <t xml:space="preserve">AAACTGCGGGCGAGACGGTGACCC</t>
  </si>
  <si>
    <t xml:space="preserve">PST_0419</t>
  </si>
  <si>
    <t xml:space="preserve">AGCCGCGCTGGGCTGAACGG</t>
  </si>
  <si>
    <t xml:space="preserve">TAGTAGCCGCGCTGGGCTGAACGG</t>
  </si>
  <si>
    <t xml:space="preserve">AAACCCGTTCAGCCCAGCGCGGCT</t>
  </si>
  <si>
    <t xml:space="preserve">CCGCGCGCCGAGAGCATCAC</t>
  </si>
  <si>
    <t xml:space="preserve">TAGTCCGCGCGCCGAGAGCATCAC</t>
  </si>
  <si>
    <t xml:space="preserve">AAACGTGATGCTCTCGGCGCGCGG</t>
  </si>
  <si>
    <t xml:space="preserve">AGCCGCCGAACTCCTTGCGC</t>
  </si>
  <si>
    <t xml:space="preserve">TAGTAGCCGCCGAACTCCTTGCGC</t>
  </si>
  <si>
    <t xml:space="preserve">AAACGCGCAAGGAGTTCGGCGGCT</t>
  </si>
  <si>
    <t xml:space="preserve">TCAGGGCGTGTACCCGGGCA</t>
  </si>
  <si>
    <t xml:space="preserve">TAGTTCAGGGCGTGTACCCGGGCA</t>
  </si>
  <si>
    <t xml:space="preserve">AAACTGCCCGGGTACACGCCCTGA</t>
  </si>
  <si>
    <t xml:space="preserve">PST_0420</t>
  </si>
  <si>
    <t xml:space="preserve">AACGGCGACCGCGGCCGTCA</t>
  </si>
  <si>
    <t xml:space="preserve">TAGTAACGGCGACCGCGGCCGTCA</t>
  </si>
  <si>
    <t xml:space="preserve">AAACTGACGGCCGCGGTCGCCGTT</t>
  </si>
  <si>
    <t xml:space="preserve">TCGGAAATCTCGGCCGAGGC</t>
  </si>
  <si>
    <t xml:space="preserve">TAGTTCGGAAATCTCGGCCGAGGC</t>
  </si>
  <si>
    <t xml:space="preserve">AAACGCCTCGGCCGAGATTTCCGA</t>
  </si>
  <si>
    <t xml:space="preserve">ACACGCCGGACTGGTCGTTG</t>
  </si>
  <si>
    <t xml:space="preserve">TAGTACACGCCGGACTGGTCGTTG</t>
  </si>
  <si>
    <t xml:space="preserve">AAACCAACGACCAGTCCGGCGTGT</t>
  </si>
  <si>
    <t xml:space="preserve">CACCTTGCCGCCGAAGTCTT</t>
  </si>
  <si>
    <t xml:space="preserve">TAGTCACCTTGCCGCCGAAGTCTT</t>
  </si>
  <si>
    <t xml:space="preserve">AAACAAGACTTCGGCGGCAAGGTG</t>
  </si>
  <si>
    <t xml:space="preserve">PST_0421</t>
  </si>
  <si>
    <t xml:space="preserve">CGTGAGCGACGAGAATGTGC</t>
  </si>
  <si>
    <t xml:space="preserve">TAGTCGTGAGCGACGAGAATGTGC</t>
  </si>
  <si>
    <t xml:space="preserve">AAACGCACATTCTCGTCGCTCACG</t>
  </si>
  <si>
    <t xml:space="preserve">TGCAGGGCCAGATCGGCGTC</t>
  </si>
  <si>
    <t xml:space="preserve">TAGTTGCAGGGCCAGATCGGCGTC</t>
  </si>
  <si>
    <t xml:space="preserve">AAACGACGCCGATCTGGCCCTGCA</t>
  </si>
  <si>
    <t xml:space="preserve">TGTCTGTCGCGCCAGCTGGA</t>
  </si>
  <si>
    <t xml:space="preserve">TAGTTGTCTGTCGCGCCAGCTGGA</t>
  </si>
  <si>
    <t xml:space="preserve">AAACTCCAGCTGGCGCGACAGACA</t>
  </si>
  <si>
    <t xml:space="preserve">GCTCGTCGAGCACGTGCAGC</t>
  </si>
  <si>
    <t xml:space="preserve">TAGTGCTCGTCGAGCACGTGCAGC</t>
  </si>
  <si>
    <t xml:space="preserve">AAACGCTGCACGTGCTCGACGAGC</t>
  </si>
  <si>
    <t xml:space="preserve">PST_0422</t>
  </si>
  <si>
    <t xml:space="preserve">TTCACCAGGTCGCGGATAAA</t>
  </si>
  <si>
    <t xml:space="preserve">TAGTTTCACCAGGTCGCGGATAAA</t>
  </si>
  <si>
    <t xml:space="preserve">AAACTTTATCCGCGACCTGGTGAA</t>
  </si>
  <si>
    <t xml:space="preserve">CGGTGCGAATCCCGGGAAAT</t>
  </si>
  <si>
    <t xml:space="preserve">TAGTCGGTGCGAATCCCGGGAAAT</t>
  </si>
  <si>
    <t xml:space="preserve">AAACATTTCCCGGGATTCGCACCG</t>
  </si>
  <si>
    <t xml:space="preserve">GCGTCCATTCACTGCATCCT</t>
  </si>
  <si>
    <t xml:space="preserve">TAGTGCGTCCATTCACTGCATCCT</t>
  </si>
  <si>
    <t xml:space="preserve">AAACAGGATGCAGTGAATGGACGC</t>
  </si>
  <si>
    <t xml:space="preserve">CTCACGGGCGAGCATCTGCT</t>
  </si>
  <si>
    <t xml:space="preserve">TAGTCTCACGGGCGAGCATCTGCT</t>
  </si>
  <si>
    <t xml:space="preserve">AAACAGCAGATGCTCGCCCGTGAG</t>
  </si>
  <si>
    <t xml:space="preserve">PST_0423</t>
  </si>
  <si>
    <t xml:space="preserve">AAGGCCGGCGAGGCCAGCAG</t>
  </si>
  <si>
    <t xml:space="preserve">TAGTAAGGCCGGCGAGGCCAGCAG</t>
  </si>
  <si>
    <t xml:space="preserve">AAACCTGCTGGCCTCGCCGGCCTT</t>
  </si>
  <si>
    <t xml:space="preserve">GGTGTATTTGTAGATGGTCA</t>
  </si>
  <si>
    <t xml:space="preserve">TAGTGGTGTATTTGTAGATGGTCA</t>
  </si>
  <si>
    <t xml:space="preserve">AAACTGACCATCTACAAATACACC</t>
  </si>
  <si>
    <t xml:space="preserve">GGTCACGACTCCATTGGCGT</t>
  </si>
  <si>
    <t xml:space="preserve">TAGTGGTCACGACTCCATTGGCGT</t>
  </si>
  <si>
    <t xml:space="preserve">AAACACGCCAATGGAGTCGTGACC</t>
  </si>
  <si>
    <t xml:space="preserve">AGGCGCGGCCTGGTCGCTAT</t>
  </si>
  <si>
    <t xml:space="preserve">TAGTAGGCGCGGCCTGGTCGCTAT</t>
  </si>
  <si>
    <t xml:space="preserve">AAACATAGCGACCAGGCCGCGCCT</t>
  </si>
  <si>
    <t xml:space="preserve">PST_0424</t>
  </si>
  <si>
    <t xml:space="preserve">GAGAGCCAGGGCGGTTGCAG</t>
  </si>
  <si>
    <t xml:space="preserve">TAGTGAGAGCCAGGGCGGTTGCAG</t>
  </si>
  <si>
    <t xml:space="preserve">AAACCTGCAACCGCCCTGGCTCTC</t>
  </si>
  <si>
    <t xml:space="preserve">ACGCCTGGGAGGTCGCTGTC</t>
  </si>
  <si>
    <t xml:space="preserve">TAGTACGCCTGGGAGGTCGCTGTC</t>
  </si>
  <si>
    <t xml:space="preserve">AAACGACAGCGACCTCCCAGGCGT</t>
  </si>
  <si>
    <t xml:space="preserve">GATTGGGCCGGTGGCGGACT</t>
  </si>
  <si>
    <t xml:space="preserve">TAGTGATTGGGCCGGTGGCGGACT</t>
  </si>
  <si>
    <t xml:space="preserve">AAACAGTCCGCCACCGGCCCAATC</t>
  </si>
  <si>
    <t xml:space="preserve">CTTGTCGCTTTCGTCGTTCA</t>
  </si>
  <si>
    <t xml:space="preserve">TAGTCTTGTCGCTTTCGTCGTTCA</t>
  </si>
  <si>
    <t xml:space="preserve">AAACTGAACGACGAAAGCGACAAG</t>
  </si>
  <si>
    <t xml:space="preserve">PST_0425</t>
  </si>
  <si>
    <t xml:space="preserve">AGGCGGCGTAACTGGGGGAG</t>
  </si>
  <si>
    <t xml:space="preserve">TAGTAGGCGGCGTAACTGGGGGAG</t>
  </si>
  <si>
    <t xml:space="preserve">AAACCTCCCCCAGTTACGCCGCCT</t>
  </si>
  <si>
    <t xml:space="preserve">GAAATCGGCGAAATAGGAAG</t>
  </si>
  <si>
    <t xml:space="preserve">TAGTGAAATCGGCGAAATAGGAAG</t>
  </si>
  <si>
    <t xml:space="preserve">AAACCTTCCTATTTCGCCGATTTC</t>
  </si>
  <si>
    <t xml:space="preserve">GGAACAGAGCGAAGAGGATC</t>
  </si>
  <si>
    <t xml:space="preserve">TAGTGGAACAGAGCGAAGAGGATC</t>
  </si>
  <si>
    <t xml:space="preserve">AAACGATCCTCTTCGCTCTGTTCC</t>
  </si>
  <si>
    <t xml:space="preserve">CTTGACCATGGCGAACTCGG</t>
  </si>
  <si>
    <t xml:space="preserve">TAGTCTTGACCATGGCGAACTCGG</t>
  </si>
  <si>
    <t xml:space="preserve">AAACCCGAGTTCGCCATGGTCAAG</t>
  </si>
  <si>
    <t xml:space="preserve">PST_0426</t>
  </si>
  <si>
    <t xml:space="preserve">phoR</t>
  </si>
  <si>
    <t xml:space="preserve">GAGCAGCAGACGACGAACGA</t>
  </si>
  <si>
    <t xml:space="preserve">TAGTGAGCAGCAGACGACGAACGA</t>
  </si>
  <si>
    <t xml:space="preserve">AAACTCGTTCGTCGTCTGCTGCTC</t>
  </si>
  <si>
    <t xml:space="preserve">CAGCACCCAGGCATATTCGC</t>
  </si>
  <si>
    <t xml:space="preserve">TAGTCAGCACCCAGGCATATTCGC</t>
  </si>
  <si>
    <t xml:space="preserve">AAACGCGAATATGCCTGGGTGCTG</t>
  </si>
  <si>
    <t xml:space="preserve">CAGACGCAGCAGCTGGCGCA</t>
  </si>
  <si>
    <t xml:space="preserve">TAGTCAGACGCAGCAGCTGGCGCA</t>
  </si>
  <si>
    <t xml:space="preserve">AAACTGCGCCAGCTGCTGCGTCTG</t>
  </si>
  <si>
    <t xml:space="preserve">GTGGCTCGTCCGGATCGGCA</t>
  </si>
  <si>
    <t xml:space="preserve">TAGTGTGGCTCGTCCGGATCGGCA</t>
  </si>
  <si>
    <t xml:space="preserve">AAACTGCCGATCCGGACGAGCCAC</t>
  </si>
  <si>
    <t xml:space="preserve">PST_0427</t>
  </si>
  <si>
    <t xml:space="preserve">phoB</t>
  </si>
  <si>
    <t xml:space="preserve">CAGTATGCTCTTGCCATTCA</t>
  </si>
  <si>
    <t xml:space="preserve">TAGTCAGTATGCTCTTGCCATTCA</t>
  </si>
  <si>
    <t xml:space="preserve">AAACTGAATGGCAAGAGCATACTG</t>
  </si>
  <si>
    <t xml:space="preserve">ACGACGATCATCTCCCGAAT</t>
  </si>
  <si>
    <t xml:space="preserve">TAGTACGACGATCATCTCCCGAAT</t>
  </si>
  <si>
    <t xml:space="preserve">AAACATTCGGGAGATGATCGTCGT</t>
  </si>
  <si>
    <t xml:space="preserve">GTCATAGCCGGCCATTTCCA</t>
  </si>
  <si>
    <t xml:space="preserve">TAGTGTCATAGCCGGCCATTTCCA</t>
  </si>
  <si>
    <t xml:space="preserve">AAACTGGAAATGGCCGGCTATGAC</t>
  </si>
  <si>
    <t xml:space="preserve">GATCAGCGCGTGGGCCTGTT</t>
  </si>
  <si>
    <t xml:space="preserve">TAGTGATCAGCGCGTGGGCCTGTT</t>
  </si>
  <si>
    <t xml:space="preserve">AAACAACAGGCCCACGCGCTGATC</t>
  </si>
  <si>
    <t xml:space="preserve">PST_0428</t>
  </si>
  <si>
    <t xml:space="preserve">ubiA</t>
  </si>
  <si>
    <t xml:space="preserve">AGTCCCAGGCGCGCGGGTGC</t>
  </si>
  <si>
    <t xml:space="preserve">TAGTAGTCCCAGGCGCGCGGGTGC</t>
  </si>
  <si>
    <t xml:space="preserve">AAACGCACCCGCGCGCCTGGGACT</t>
  </si>
  <si>
    <t xml:space="preserve">GCTTGTCCAGGCGCATCAGC</t>
  </si>
  <si>
    <t xml:space="preserve">TAGTGCTTGTCCAGGCGCATCAGC</t>
  </si>
  <si>
    <t xml:space="preserve">AAACGCTGATGCGCCTGGACAAGC</t>
  </si>
  <si>
    <t xml:space="preserve">AGCAGCAGGTAAGTGCCGAT</t>
  </si>
  <si>
    <t xml:space="preserve">TAGTAGCAGCAGGTAAGTGCCGAT</t>
  </si>
  <si>
    <t xml:space="preserve">AAACATCGGCACTTACCTGCTGCT</t>
  </si>
  <si>
    <t xml:space="preserve">ATCCACAGCGCCCACAGCGT</t>
  </si>
  <si>
    <t xml:space="preserve">TAGTATCCACAGCGCCCACAGCGT</t>
  </si>
  <si>
    <t xml:space="preserve">AAACACGCTGTGGGCGCTGTGGAT</t>
  </si>
  <si>
    <t xml:space="preserve">PST_0429</t>
  </si>
  <si>
    <t xml:space="preserve">AATTCGGACACGGCGCGTTC</t>
  </si>
  <si>
    <t xml:space="preserve">TAGTAATTCGGACACGGCGCGTTC</t>
  </si>
  <si>
    <t xml:space="preserve">AAACGAACGCGCCGTGTCCGAATT</t>
  </si>
  <si>
    <t xml:space="preserve">GGTCGGCACTTAGCCAGTCA</t>
  </si>
  <si>
    <t xml:space="preserve">TAGTGGTCGGCACTTAGCCAGTCA</t>
  </si>
  <si>
    <t xml:space="preserve">AAACTGACTGGCTAAGTGCCGACC</t>
  </si>
  <si>
    <t xml:space="preserve">GTTCGAGGGGGGAGGGCAGG</t>
  </si>
  <si>
    <t xml:space="preserve">TAGTGTTCGAGGGGGGAGGGCAGG</t>
  </si>
  <si>
    <t xml:space="preserve">AAACCCTGCCCTCCCCCCTCGAAC</t>
  </si>
  <si>
    <t xml:space="preserve">TAGAGCCAGTCATGCAGGGC</t>
  </si>
  <si>
    <t xml:space="preserve">TAGTTAGAGCCAGTCATGCAGGGC</t>
  </si>
  <si>
    <t xml:space="preserve">AAACGCCCTGCATGACTGGCTCTA</t>
  </si>
  <si>
    <t xml:space="preserve">PST_0430</t>
  </si>
  <si>
    <t xml:space="preserve">glcC</t>
  </si>
  <si>
    <t xml:space="preserve">ACTTGACGGCGGTCATTGTT</t>
  </si>
  <si>
    <t xml:space="preserve">TAGTACTTGACGGCGGTCATTGTT</t>
  </si>
  <si>
    <t xml:space="preserve">AAACAACAATGACCGCCGTCAAGT</t>
  </si>
  <si>
    <t xml:space="preserve">GATGCGCTCGGCCACCACGT</t>
  </si>
  <si>
    <t xml:space="preserve">TAGTGATGCGCTCGGCCACCACGT</t>
  </si>
  <si>
    <t xml:space="preserve">AAACACGTGGTGGCCGAGCGCATC</t>
  </si>
  <si>
    <t xml:space="preserve">GGCGCTCGGAGGGCAGCGCC</t>
  </si>
  <si>
    <t xml:space="preserve">TAGTGGCGCTCGGAGGGCAGCGCC</t>
  </si>
  <si>
    <t xml:space="preserve">AAACGGCGCTGCCCTCCGAGCGCC</t>
  </si>
  <si>
    <t xml:space="preserve">TGCCGAGCTTCTCGCACAGG</t>
  </si>
  <si>
    <t xml:space="preserve">TAGTTGCCGAGCTTCTCGCACAGG</t>
  </si>
  <si>
    <t xml:space="preserve">AAACCCTGTGCGAGAAGCTCGGCA</t>
  </si>
  <si>
    <t xml:space="preserve">PST_0431</t>
  </si>
  <si>
    <t xml:space="preserve">glcD</t>
  </si>
  <si>
    <t xml:space="preserve">TTCGTCGTAGAGAATGTTCA</t>
  </si>
  <si>
    <t xml:space="preserve">TAGTTTCGTCGTAGAGAATGTTCA</t>
  </si>
  <si>
    <t xml:space="preserve">AAACTGAACATTCTCTACGACGAA</t>
  </si>
  <si>
    <t xml:space="preserve">GCGCCTGCAGCTCGGCCAGC</t>
  </si>
  <si>
    <t xml:space="preserve">TAGTGCGCCTGCAGCTCGGCCAGC</t>
  </si>
  <si>
    <t xml:space="preserve">AAACGCTGGCCGAGCTGCAGGCGC</t>
  </si>
  <si>
    <t xml:space="preserve">CGGTGGAGGATGTCCAGATC</t>
  </si>
  <si>
    <t xml:space="preserve">TAGTCGGTGGAGGATGTCCAGATC</t>
  </si>
  <si>
    <t xml:space="preserve">AAACGATCTGGACATCCTCCACCG</t>
  </si>
  <si>
    <t xml:space="preserve">AGGGCTTGAGGTCCTCGCCG</t>
  </si>
  <si>
    <t xml:space="preserve">TAGTAGGGCTTGAGGTCCTCGCCG</t>
  </si>
  <si>
    <t xml:space="preserve">AAACCGGCGAGGACCTCAAGCCCT</t>
  </si>
  <si>
    <t xml:space="preserve">PST_0432</t>
  </si>
  <si>
    <t xml:space="preserve">glcE</t>
  </si>
  <si>
    <t xml:space="preserve">GCTGGCGTCGTTGGCGATTA</t>
  </si>
  <si>
    <t xml:space="preserve">TAGTGCTGGCGTCGTTGGCGATTA</t>
  </si>
  <si>
    <t xml:space="preserve">AAACTAATCGCCAACGACGCCAGC</t>
  </si>
  <si>
    <t xml:space="preserve">GGGTCTTGGCGGCGAGCGCC</t>
  </si>
  <si>
    <t xml:space="preserve">TAGTGGGTCTTGGCGGCGAGCGCC</t>
  </si>
  <si>
    <t xml:space="preserve">AAACGGCGCTCGCCGCCAAGACCC</t>
  </si>
  <si>
    <t xml:space="preserve">GCTGCCCTGGATGCGCAGCG</t>
  </si>
  <si>
    <t xml:space="preserve">TAGTGCTGCCCTGGATGCGCAGCG</t>
  </si>
  <si>
    <t xml:space="preserve">AAACCGCTGCGCATCCAGGGCAGC</t>
  </si>
  <si>
    <t xml:space="preserve">CACGTCGAGCAGCTGGCCCT</t>
  </si>
  <si>
    <t xml:space="preserve">TAGTCACGTCGAGCAGCTGGCCCT</t>
  </si>
  <si>
    <t xml:space="preserve">AAACAGGGCCAGCTGCTCGACGTG</t>
  </si>
  <si>
    <t xml:space="preserve">PST_0433</t>
  </si>
  <si>
    <t xml:space="preserve">glcF</t>
  </si>
  <si>
    <t xml:space="preserve">GGCGCGCGGCAGTTGCTTGG</t>
  </si>
  <si>
    <t xml:space="preserve">TAGTGGCGCGCGGCAGTTGCTTGG</t>
  </si>
  <si>
    <t xml:space="preserve">AAACCCAAGCAACTGCCGCGCGCC</t>
  </si>
  <si>
    <t xml:space="preserve">GCAGGAGCGCAGGATGCTTT</t>
  </si>
  <si>
    <t xml:space="preserve">TAGTGCAGGAGCGCAGGATGCTTT</t>
  </si>
  <si>
    <t xml:space="preserve">AAACAAAGCATCCTGCGCTCCTGC</t>
  </si>
  <si>
    <t xml:space="preserve">CAGCTGGTAGGTCGGGCAGG</t>
  </si>
  <si>
    <t xml:space="preserve">TAGTCAGCTGGTAGGTCGGGCAGG</t>
  </si>
  <si>
    <t xml:space="preserve">AAACCCTGCCCGACCTACCAGCTG</t>
  </si>
  <si>
    <t xml:space="preserve">TCAGGTAGATACGCCCGCGC</t>
  </si>
  <si>
    <t xml:space="preserve">TAGTTCAGGTAGATACGCCCGCGC</t>
  </si>
  <si>
    <t xml:space="preserve">AAACGCGCGGGCGTATCTACCTGA</t>
  </si>
  <si>
    <t xml:space="preserve">PST_0434</t>
  </si>
  <si>
    <t xml:space="preserve">glcG</t>
  </si>
  <si>
    <t xml:space="preserve">GACTTCGGTCTGGCTCAGTA</t>
  </si>
  <si>
    <t xml:space="preserve">TAGTGACTTCGGTCTGGCTCAGTA</t>
  </si>
  <si>
    <t xml:space="preserve">AAACTACTGAGCCAGACCGAAGTC</t>
  </si>
  <si>
    <t xml:space="preserve">ACGGGCGGCGGCGAGGATGG</t>
  </si>
  <si>
    <t xml:space="preserve">TAGTACGGGCGGCGGCGAGGATGG</t>
  </si>
  <si>
    <t xml:space="preserve">AAACCCATCCTCGCCGCCGCCCGT</t>
  </si>
  <si>
    <t xml:space="preserve">GATGGTCACGGCCCAGCCGT</t>
  </si>
  <si>
    <t xml:space="preserve">TAGTGATGGTCACGGCCCAGCCGT</t>
  </si>
  <si>
    <t xml:space="preserve">AAACACGGCTGGGCCGTGACCATC</t>
  </si>
  <si>
    <t xml:space="preserve">CAGCGGATGGCCGCCGTCGT</t>
  </si>
  <si>
    <t xml:space="preserve">TAGTCAGCGGATGGCCGCCGTCGT</t>
  </si>
  <si>
    <t xml:space="preserve">AAACACGACGGCGGCCATCCGCTG</t>
  </si>
  <si>
    <t xml:space="preserve">PST_0435</t>
  </si>
  <si>
    <t xml:space="preserve">GCGGCCCAGGGTTACACGCT</t>
  </si>
  <si>
    <t xml:space="preserve">TAGTGCGGCCCAGGGTTACACGCT</t>
  </si>
  <si>
    <t xml:space="preserve">AAACAGCGTGTAACCCTGGGCCGC</t>
  </si>
  <si>
    <t xml:space="preserve">GCAGATTGGCCGCGACCTGC</t>
  </si>
  <si>
    <t xml:space="preserve">TAGTGCAGATTGGCCGCGACCTGC</t>
  </si>
  <si>
    <t xml:space="preserve">AAACGCAGGTCGCGGCCAATCTGC</t>
  </si>
  <si>
    <t xml:space="preserve">CTTCGATACCGGTGCCCGGC</t>
  </si>
  <si>
    <t xml:space="preserve">TAGTCTTCGATACCGGTGCCCGGC</t>
  </si>
  <si>
    <t xml:space="preserve">AAACGCCGGGCACCGGTATCGAAG</t>
  </si>
  <si>
    <t xml:space="preserve">CAGCCCCTGCCAGAAGGCGG</t>
  </si>
  <si>
    <t xml:space="preserve">TAGTCAGCCCCTGCCAGAAGGCGG</t>
  </si>
  <si>
    <t xml:space="preserve">AAACCCGCCTTCTGGCAGGGGCTG</t>
  </si>
  <si>
    <t xml:space="preserve">PST_0436</t>
  </si>
  <si>
    <t xml:space="preserve">CAGCGGCACGAAGGCCAGGA</t>
  </si>
  <si>
    <t xml:space="preserve">TAGTCAGCGGCACGAAGGCCAGGA</t>
  </si>
  <si>
    <t xml:space="preserve">AAACTCCTGGCCTTCGTGCCGCTG</t>
  </si>
  <si>
    <t xml:space="preserve">AGCGGCATGGCGTACTTGGC</t>
  </si>
  <si>
    <t xml:space="preserve">TAGTAGCGGCATGGCGTACTTGGC</t>
  </si>
  <si>
    <t xml:space="preserve">AAACGCCAAGTACGCCATGCCGCT</t>
  </si>
  <si>
    <t xml:space="preserve">GCAGGCCGATCAGCGCAGTG</t>
  </si>
  <si>
    <t xml:space="preserve">TAGTGCAGGCCGATCAGCGCAGTG</t>
  </si>
  <si>
    <t xml:space="preserve">AAACCACTGCGCTGATCGGCCTGC</t>
  </si>
  <si>
    <t xml:space="preserve">CCGGTTGAGGGTCATGTCCC</t>
  </si>
  <si>
    <t xml:space="preserve">TAGTCCGGTTGAGGGTCATGTCCC</t>
  </si>
  <si>
    <t xml:space="preserve">AAACGGGACATGACCCTCAACCGG</t>
  </si>
  <si>
    <t xml:space="preserve">PST_0437</t>
  </si>
  <si>
    <t xml:space="preserve">rubA</t>
  </si>
  <si>
    <t xml:space="preserve">ACACATTGCCATTTCTTCAT</t>
  </si>
  <si>
    <t xml:space="preserve">TAGTACACATTGCCATTTCTTCAT</t>
  </si>
  <si>
    <t xml:space="preserve">AAACATGAAGAAATGGCAATGTGT</t>
  </si>
  <si>
    <t xml:space="preserve">CCGGGGGCGATGCCCTCTTC</t>
  </si>
  <si>
    <t xml:space="preserve">TAGTCCGGGGGCGATGCCCTCTTC</t>
  </si>
  <si>
    <t xml:space="preserve">AAACGAAGAGGGCATCGCCCCCGG</t>
  </si>
  <si>
    <t xml:space="preserve">GTCTTCCGGCACATCTTCCC</t>
  </si>
  <si>
    <t xml:space="preserve">TAGTGTCTTCCGGCACATCTTCCC</t>
  </si>
  <si>
    <t xml:space="preserve">AAACGGGAAGATGTGCCGGAAGAC</t>
  </si>
  <si>
    <t xml:space="preserve">GCTTGCCGACGCCGCAATCG</t>
  </si>
  <si>
    <t xml:space="preserve">TAGTGCTTGCCGACGCCGCAATCG</t>
  </si>
  <si>
    <t xml:space="preserve">AAACCGATTGCGGCGTCGGCAAGC</t>
  </si>
  <si>
    <t xml:space="preserve">PST_0438</t>
  </si>
  <si>
    <t xml:space="preserve">rubB</t>
  </si>
  <si>
    <t xml:space="preserve">CCGGTGCCGATGATGACTAC</t>
  </si>
  <si>
    <t xml:space="preserve">TAGTCCGGTGCCGATGATGACTAC</t>
  </si>
  <si>
    <t xml:space="preserve">AAACGTAGTCATCATCGGCACCGG</t>
  </si>
  <si>
    <t xml:space="preserve">CTCCCGCGCCAGGTTGTAAC</t>
  </si>
  <si>
    <t xml:space="preserve">TAGTCTCCCGCGCCAGGTTGTAAC</t>
  </si>
  <si>
    <t xml:space="preserve">AAACGTTACAACCTGGCGCGGGAG</t>
  </si>
  <si>
    <t xml:space="preserve">GCGTCTGCGGGTCCAGCTTG</t>
  </si>
  <si>
    <t xml:space="preserve">TAGTGCGTCTGCGGGTCCAGCTTG</t>
  </si>
  <si>
    <t xml:space="preserve">AAACCAAGCTGGACCCGCAGACGC</t>
  </si>
  <si>
    <t xml:space="preserve">TCGGCGGTGATCAGCAACAG</t>
  </si>
  <si>
    <t xml:space="preserve">TAGTTCGGCGGTGATCAGCAACAG</t>
  </si>
  <si>
    <t xml:space="preserve">AAACCTGTTGCTGATCACCGCCGA</t>
  </si>
  <si>
    <t xml:space="preserve">PST_0439</t>
  </si>
  <si>
    <t xml:space="preserve">hupA</t>
  </si>
  <si>
    <t xml:space="preserve">CGAGTTCCGGTTTACGCATT</t>
  </si>
  <si>
    <t xml:space="preserve">TAGTCGAGTTCCGGTTTACGCATT</t>
  </si>
  <si>
    <t xml:space="preserve">AAACAATGCGTAAACCGGAACTCG</t>
  </si>
  <si>
    <t xml:space="preserve">AGCCTTCTCGGCAATGGCTG</t>
  </si>
  <si>
    <t xml:space="preserve">TAGTAGCCTTCTCGGCAATGGCTG</t>
  </si>
  <si>
    <t xml:space="preserve">AAACCAGCCATTGCCGAGAAGGCT</t>
  </si>
  <si>
    <t xml:space="preserve">TACGCGATTGGCCTGGTCCT</t>
  </si>
  <si>
    <t xml:space="preserve">TAGTTACGCGATTGGCCTGGTCCT</t>
  </si>
  <si>
    <t xml:space="preserve">AAACAGGACCAGGCCAATCGCGTA</t>
  </si>
  <si>
    <t xml:space="preserve">ATTGGTGATTTCATCCAGCA</t>
  </si>
  <si>
    <t xml:space="preserve">TAGTATTGGTGATTTCATCCAGCA</t>
  </si>
  <si>
    <t xml:space="preserve">AAACTGCTGGATGAAATCACCAAT</t>
  </si>
  <si>
    <t xml:space="preserve">PST_0440</t>
  </si>
  <si>
    <t xml:space="preserve">CCAGCATCCAAAGCAGAAAG</t>
  </si>
  <si>
    <t xml:space="preserve">TAGTCCAGCATCCAAAGCAGAAAG</t>
  </si>
  <si>
    <t xml:space="preserve">AAACCTTTCTGCTTTGGATGCTGG</t>
  </si>
  <si>
    <t xml:space="preserve">GGCTGGCCTTGGCCATCAGG</t>
  </si>
  <si>
    <t xml:space="preserve">TAGTGGCTGGCCTTGGCCATCAGG</t>
  </si>
  <si>
    <t xml:space="preserve">AAACCCTGATGGCCAAGGCCAGCC</t>
  </si>
  <si>
    <t xml:space="preserve">GCTGGAACTCGGGATTGGTG</t>
  </si>
  <si>
    <t xml:space="preserve">TAGTGCTGGAACTCGGGATTGGTG</t>
  </si>
  <si>
    <t xml:space="preserve">AAACCACCAATCCCGAGTTCCAGC</t>
  </si>
  <si>
    <t xml:space="preserve">GGGTGTGCAGCTGGAAGCTC</t>
  </si>
  <si>
    <t xml:space="preserve">TAGTGGGTGTGCAGCTGGAAGCTC</t>
  </si>
  <si>
    <t xml:space="preserve">AAACGAGCTTCCAGCTGCACACCC</t>
  </si>
  <si>
    <t xml:space="preserve">PST_0441</t>
  </si>
  <si>
    <t xml:space="preserve">CGGCGGTGCTGGGAATCTTG</t>
  </si>
  <si>
    <t xml:space="preserve">TAGTCGGCGGTGCTGGGAATCTTG</t>
  </si>
  <si>
    <t xml:space="preserve">AAACCAAGATTCCCAGCACCGCCG</t>
  </si>
  <si>
    <t xml:space="preserve">GGCCTCGAAGGCGATCAGCG</t>
  </si>
  <si>
    <t xml:space="preserve">TAGTGGCCTCGAAGGCGATCAGCG</t>
  </si>
  <si>
    <t xml:space="preserve">AAACCGCTGATCGCCTTCGAGGCC</t>
  </si>
  <si>
    <t xml:space="preserve">GAAGCTCTCATGGCGGGCAG</t>
  </si>
  <si>
    <t xml:space="preserve">TAGTGAAGCTCTCATGGCGGGCAG</t>
  </si>
  <si>
    <t xml:space="preserve">AAACCTGCCCGCCATGAGAGCTTC</t>
  </si>
  <si>
    <t xml:space="preserve">CTGGGTCAGTGCCAGCTCGT</t>
  </si>
  <si>
    <t xml:space="preserve">TAGTCTGGGTCAGTGCCAGCTCGT</t>
  </si>
  <si>
    <t xml:space="preserve">AAACACGAGCTGGCACTGACCCAG</t>
  </si>
  <si>
    <t xml:space="preserve">PST_0442</t>
  </si>
  <si>
    <t xml:space="preserve">gcdH</t>
  </si>
  <si>
    <t xml:space="preserve">CCAGTTGAAGCTTGCTTTGC</t>
  </si>
  <si>
    <t xml:space="preserve">TAGTCCAGTTGAAGCTTGCTTTGC</t>
  </si>
  <si>
    <t xml:space="preserve">AAACGCAAAGCAAGCTTCAACTGG</t>
  </si>
  <si>
    <t xml:space="preserve">CTGCACCATGCGCTCTTCCT</t>
  </si>
  <si>
    <t xml:space="preserve">TAGTCTGCACCATGCGCTCTTCCT</t>
  </si>
  <si>
    <t xml:space="preserve">AAACAGGAAGAGCGCATGGTGCAG</t>
  </si>
  <si>
    <t xml:space="preserve">GGCGGCGAACTGCGCGGCGC</t>
  </si>
  <si>
    <t xml:space="preserve">TAGTGGCGGCGAACTGCGCGGCGC</t>
  </si>
  <si>
    <t xml:space="preserve">AAACGCGCCGCGCAGTTCGCCGCC</t>
  </si>
  <si>
    <t xml:space="preserve">CACCCGCGGCGCCAGCTTGT</t>
  </si>
  <si>
    <t xml:space="preserve">TAGTCACCCGCGGCGCCAGCTTGT</t>
  </si>
  <si>
    <t xml:space="preserve">AAACACAAGCTGGCGCCGCGGGTG</t>
  </si>
  <si>
    <t xml:space="preserve">PST_0443</t>
  </si>
  <si>
    <t xml:space="preserve">ATGGGACAGGGCGCCGGGCA</t>
  </si>
  <si>
    <t xml:space="preserve">TAGTATGGGACAGGGCGCCGGGCA</t>
  </si>
  <si>
    <t xml:space="preserve">AAACTGCCCGGCGCCCTGTCCCAT</t>
  </si>
  <si>
    <t xml:space="preserve">CGCGCGACAGGTCGAGAACA</t>
  </si>
  <si>
    <t xml:space="preserve">TAGTCGCGCGACAGGTCGAGAACA</t>
  </si>
  <si>
    <t xml:space="preserve">AAACTGTTCTCGACCTGTCGCGCG</t>
  </si>
  <si>
    <t xml:space="preserve">GATCTGCCCGCACCAGGGCC</t>
  </si>
  <si>
    <t xml:space="preserve">TAGTGATCTGCCCGCACCAGGGCC</t>
  </si>
  <si>
    <t xml:space="preserve">AAACGGCCCTGGTGCGGGCAGATC</t>
  </si>
  <si>
    <t xml:space="preserve">CCTCGGCGCCGAGATCACCG</t>
  </si>
  <si>
    <t xml:space="preserve">TAGTCCTCGGCGCCGAGATCACCG</t>
  </si>
  <si>
    <t xml:space="preserve">AAACCGGTGATCTCGGCGCCGAGG</t>
  </si>
  <si>
    <t xml:space="preserve">PST_0444</t>
  </si>
  <si>
    <t xml:space="preserve">AATGGCGAGGGATTCGAAGT</t>
  </si>
  <si>
    <t xml:space="preserve">TAGTAATGGCGAGGGATTCGAAGT</t>
  </si>
  <si>
    <t xml:space="preserve">AAACACTTCGAATCCCTCGCCATT</t>
  </si>
  <si>
    <t xml:space="preserve">TCCACGTCCTGCAGCGCGCG</t>
  </si>
  <si>
    <t xml:space="preserve">TAGTTCCACGTCCTGCAGCGCGCG</t>
  </si>
  <si>
    <t xml:space="preserve">AAACCGCGCGCTGCAGGACGTGGA</t>
  </si>
  <si>
    <t xml:space="preserve">CGCGGGCCGGGTACCGGCTC</t>
  </si>
  <si>
    <t xml:space="preserve">TAGTCGCGGGCCGGGTACCGGCTC</t>
  </si>
  <si>
    <t xml:space="preserve">AAACGAGCCGGTACCCGGCCCGCG</t>
  </si>
  <si>
    <t xml:space="preserve">ATCCACCGGGTTGACCGAAA</t>
  </si>
  <si>
    <t xml:space="preserve">TAGTATCCACCGGGTTGACCGAAA</t>
  </si>
  <si>
    <t xml:space="preserve">AAACTTTCGGTCAACCCGGTGGAT</t>
  </si>
  <si>
    <t xml:space="preserve">PST_0445</t>
  </si>
  <si>
    <t xml:space="preserve">ACGTTGCGACCGAAGTCCGA</t>
  </si>
  <si>
    <t xml:space="preserve">TAGTACGTTGCGACCGAAGTCCGA</t>
  </si>
  <si>
    <t xml:space="preserve">AAACTCGGACTTCGGTCGCAACGT</t>
  </si>
  <si>
    <t xml:space="preserve">GCCTGGAATTCGTCGAGCCA</t>
  </si>
  <si>
    <t xml:space="preserve">TAGTGCCTGGAATTCGTCGAGCCA</t>
  </si>
  <si>
    <t xml:space="preserve">AAACTGGCTCGACGAATTCCAGGC</t>
  </si>
  <si>
    <t xml:space="preserve">GGCGCAGCTGCAACTGCGGG</t>
  </si>
  <si>
    <t xml:space="preserve">TAGTGGCGCAGCTGCAACTGCGGG</t>
  </si>
  <si>
    <t xml:space="preserve">AAACCCCGCAGTTGCAGCTGCGCC</t>
  </si>
  <si>
    <t xml:space="preserve">TCAACCCGTCGCCCAGCAGC</t>
  </si>
  <si>
    <t xml:space="preserve">TAGTTCAACCCGTCGCCCAGCAGC</t>
  </si>
  <si>
    <t xml:space="preserve">AAACGCTGCTGGGCGACGGGTTGA</t>
  </si>
  <si>
    <t xml:space="preserve">PST_0446</t>
  </si>
  <si>
    <t xml:space="preserve">ACGCAGATAAGAATAGCCAA</t>
  </si>
  <si>
    <t xml:space="preserve">TAGTACGCAGATAAGAATAGCCAA</t>
  </si>
  <si>
    <t xml:space="preserve">AAACTTGGCTATTCTTATCTGCGT</t>
  </si>
  <si>
    <t xml:space="preserve">GACGACAACCGCCAGTTGCC</t>
  </si>
  <si>
    <t xml:space="preserve">TAGTGACGACAACCGCCAGTTGCC</t>
  </si>
  <si>
    <t xml:space="preserve">AAACGGCAACTGGCGGTTGTCGTC</t>
  </si>
  <si>
    <t xml:space="preserve">CGGCCAGCAGCCAGGACATG</t>
  </si>
  <si>
    <t xml:space="preserve">TAGTCGGCCAGCAGCCAGGACATG</t>
  </si>
  <si>
    <t xml:space="preserve">AAACCATGTCCTGGCTGCTGGCCG</t>
  </si>
  <si>
    <t xml:space="preserve">AATGTTGTTGATGCCGCAGC</t>
  </si>
  <si>
    <t xml:space="preserve">TAGTAATGTTGTTGATGCCGCAGC</t>
  </si>
  <si>
    <t xml:space="preserve">AAACGCTGCGGCATCAACAACATT</t>
  </si>
  <si>
    <t xml:space="preserve">PST_0447</t>
  </si>
  <si>
    <t xml:space="preserve">GGGCTAGCAGCAGCGGAAAC</t>
  </si>
  <si>
    <t xml:space="preserve">TAGTGGGCTAGCAGCAGCGGAAAC</t>
  </si>
  <si>
    <t xml:space="preserve">AAACGTTTCCGCTGCTGCTAGCCC</t>
  </si>
  <si>
    <t xml:space="preserve">GGCTGCCGGCCCAGAGCAGC</t>
  </si>
  <si>
    <t xml:space="preserve">TAGTGGCTGCCGGCCCAGAGCAGC</t>
  </si>
  <si>
    <t xml:space="preserve">AAACGCTGCTCTGGGCCGGCAGCC</t>
  </si>
  <si>
    <t xml:space="preserve">ACCACGCGACCGGTCAGCGC</t>
  </si>
  <si>
    <t xml:space="preserve">TAGTACCACGCGACCGGTCAGCGC</t>
  </si>
  <si>
    <t xml:space="preserve">AAACGCGCTGACCGGTCGCGTGGT</t>
  </si>
  <si>
    <t xml:space="preserve">GGCCTGGGTATCGAGCAATT</t>
  </si>
  <si>
    <t xml:space="preserve">TAGTGGCCTGGGTATCGAGCAATT</t>
  </si>
  <si>
    <t xml:space="preserve">AAACAATTGCTCGATACCCAGGCC</t>
  </si>
  <si>
    <t xml:space="preserve">PST_0448</t>
  </si>
  <si>
    <t xml:space="preserve">CAGTTCGCTTTCGCTGAGTA</t>
  </si>
  <si>
    <t xml:space="preserve">TAGTCAGTTCGCTTTCGCTGAGTA</t>
  </si>
  <si>
    <t xml:space="preserve">AAACTACTCAGCGAAAGCGAACTG</t>
  </si>
  <si>
    <t xml:space="preserve">CTCTACGCGCTCGATCGCCT</t>
  </si>
  <si>
    <t xml:space="preserve">TAGTCTCTACGCGCTCGATCGCCT</t>
  </si>
  <si>
    <t xml:space="preserve">AAACAGGCGATCGAGCGCGTAGAG</t>
  </si>
  <si>
    <t xml:space="preserve">CACCGTCACCAGTTCGGCGT</t>
  </si>
  <si>
    <t xml:space="preserve">TAGTCACCGTCACCAGTTCGGCGT</t>
  </si>
  <si>
    <t xml:space="preserve">AAACACGCCGAACTGGTGACGGTG</t>
  </si>
  <si>
    <t xml:space="preserve">GTGGTAGTCGTCGGCCTGCG</t>
  </si>
  <si>
    <t xml:space="preserve">TAGTGTGGTAGTCGTCGGCCTGCG</t>
  </si>
  <si>
    <t xml:space="preserve">AAACCGCAGGCCGACGACTACCAC</t>
  </si>
  <si>
    <t xml:space="preserve">PST_0449</t>
  </si>
  <si>
    <t xml:space="preserve">CGCCGTTGCAGCCGGTCAGT</t>
  </si>
  <si>
    <t xml:space="preserve">TAGTCGCCGTTGCAGCCGGTCAGT</t>
  </si>
  <si>
    <t xml:space="preserve">AAACACTGACCGGCTGCAACGGCG</t>
  </si>
  <si>
    <t xml:space="preserve">AGCGAAATTGCGCCAGCGCC</t>
  </si>
  <si>
    <t xml:space="preserve">TAGTAGCGAAATTGCGCCAGCGCC</t>
  </si>
  <si>
    <t xml:space="preserve">AAACGGCGCTGGCGCAATTTCGCT</t>
  </si>
  <si>
    <t xml:space="preserve">TTGCCAGCGAGGCGGCGTGC</t>
  </si>
  <si>
    <t xml:space="preserve">TAGTTTGCCAGCGAGGCGGCGTGC</t>
  </si>
  <si>
    <t xml:space="preserve">AAACGCACGCCGCCTCGCTGGCAA</t>
  </si>
  <si>
    <t xml:space="preserve">TTCAGGCGAGGCCTGCAGCG</t>
  </si>
  <si>
    <t xml:space="preserve">TAGTTTCAGGCGAGGCCTGCAGCG</t>
  </si>
  <si>
    <t xml:space="preserve">AAACCGCTGCAGGCCTCGCCTGAA</t>
  </si>
  <si>
    <t xml:space="preserve">PST_0450</t>
  </si>
  <si>
    <t xml:space="preserve">GTGCGAGGTGCCTTCGCAAC</t>
  </si>
  <si>
    <t xml:space="preserve">TAGTGTGCGAGGTGCCTTCGCAAC</t>
  </si>
  <si>
    <t xml:space="preserve">AAACGTTGCGAAGGCACCTCGCAC</t>
  </si>
  <si>
    <t xml:space="preserve">AGTGCACGTCCGGATACTCG</t>
  </si>
  <si>
    <t xml:space="preserve">TAGTAGTGCACGTCCGGATACTCG</t>
  </si>
  <si>
    <t xml:space="preserve">AAACCGAGTATCCGGACGTGCACT</t>
  </si>
  <si>
    <t xml:space="preserve">GTACTGACCAGCGTCTTGTC</t>
  </si>
  <si>
    <t xml:space="preserve">TAGTGTACTGACCAGCGTCTTGTC</t>
  </si>
  <si>
    <t xml:space="preserve">AAACGACAAGACGCTGGTCAGTAC</t>
  </si>
  <si>
    <t xml:space="preserve">CACCAGGCGCTGGCCGATGC</t>
  </si>
  <si>
    <t xml:space="preserve">TAGTCACCAGGCGCTGGCCGATGC</t>
  </si>
  <si>
    <t xml:space="preserve">AAACGCATCGGCCAGCGCCTGGTG</t>
  </si>
  <si>
    <t xml:space="preserve">PST_0452</t>
  </si>
  <si>
    <t xml:space="preserve">ATTGCGTCGACGCGCCGCAG</t>
  </si>
  <si>
    <t xml:space="preserve">TAGTATTGCGTCGACGCGCCGCAG</t>
  </si>
  <si>
    <t xml:space="preserve">AAACCTGCGGCGCGTCGACGCAAT</t>
  </si>
  <si>
    <t xml:space="preserve">ACAAGCACGGGCAGGGCTGC</t>
  </si>
  <si>
    <t xml:space="preserve">TAGTACAAGCACGGGCAGGGCTGC</t>
  </si>
  <si>
    <t xml:space="preserve">AAACGCAGCCCTGCCCGTGCTTGT</t>
  </si>
  <si>
    <t xml:space="preserve">GACGAATGACCGTTCGCGCC</t>
  </si>
  <si>
    <t xml:space="preserve">TAGTGACGAATGACCGTTCGCGCC</t>
  </si>
  <si>
    <t xml:space="preserve">AAACGGCGCGAACGGTCATTCGTC</t>
  </si>
  <si>
    <t xml:space="preserve">CTGTGCGACGAACGGACGGC</t>
  </si>
  <si>
    <t xml:space="preserve">TAGTCTGTGCGACGAACGGACGGC</t>
  </si>
  <si>
    <t xml:space="preserve">AAACGCCGTCCGTTCGTCGCACAG</t>
  </si>
  <si>
    <t xml:space="preserve">PST_0451</t>
  </si>
  <si>
    <t xml:space="preserve">ATGTCCGCAACGGAGCGTGA</t>
  </si>
  <si>
    <t xml:space="preserve">TAGTATGTCCGCAACGGAGCGTGA</t>
  </si>
  <si>
    <t xml:space="preserve">AAACTCACGCTCCGTTGCGGACAT</t>
  </si>
  <si>
    <t xml:space="preserve">ATCGTGGCAGGGTCGGCTGT</t>
  </si>
  <si>
    <t xml:space="preserve">TAGTATCGTGGCAGGGTCGGCTGT</t>
  </si>
  <si>
    <t xml:space="preserve">AAACACAGCCGACCCTGCCACGAT</t>
  </si>
  <si>
    <t xml:space="preserve">GTTGTTTTTATGAGCGCGCC</t>
  </si>
  <si>
    <t xml:space="preserve">TAGTGTTGTTTTTATGAGCGCGCC</t>
  </si>
  <si>
    <t xml:space="preserve">AAACGGCGCGCTCATAAAAACAAC</t>
  </si>
  <si>
    <t xml:space="preserve">GGTTGGCATGTTGAAGTCTC</t>
  </si>
  <si>
    <t xml:space="preserve">TAGTGGTTGGCATGTTGAAGTCTC</t>
  </si>
  <si>
    <t xml:space="preserve">AAACGAGACTTCAACATGCCAACC</t>
  </si>
  <si>
    <t xml:space="preserve">PST_0453</t>
  </si>
  <si>
    <t xml:space="preserve">GGCAGCGCCCAGCAGGCTGC</t>
  </si>
  <si>
    <t xml:space="preserve">TAGTGGCAGCGCCCAGCAGGCTGC</t>
  </si>
  <si>
    <t xml:space="preserve">AAACGCAGCCTGCTGGGCGCTGCC</t>
  </si>
  <si>
    <t xml:space="preserve">CGCCGTGCCGAACAAGGCCA</t>
  </si>
  <si>
    <t xml:space="preserve">TAGTCGCCGTGCCGAACAAGGCCA</t>
  </si>
  <si>
    <t xml:space="preserve">AAACTGGCCTTGTTCGGCACGGCG</t>
  </si>
  <si>
    <t xml:space="preserve">GTATTCGCCGCGTTCGAGCA</t>
  </si>
  <si>
    <t xml:space="preserve">TAGTGTATTCGCCGCGTTCGAGCA</t>
  </si>
  <si>
    <t xml:space="preserve">AAACTGCTCGAACGCGGCGAATAC</t>
  </si>
  <si>
    <t xml:space="preserve">GGCAGTCCGCGGCGCGGGTC</t>
  </si>
  <si>
    <t xml:space="preserve">TAGTGGCAGTCCGCGGCGCGGGTC</t>
  </si>
  <si>
    <t xml:space="preserve">AAACGACCCGCGCCGCGGACTGCC</t>
  </si>
  <si>
    <t xml:space="preserve">PST_0454</t>
  </si>
  <si>
    <t xml:space="preserve">ACTGCAGGGTCGTGTCGGGT</t>
  </si>
  <si>
    <t xml:space="preserve">TAGTACTGCAGGGTCGTGTCGGGT</t>
  </si>
  <si>
    <t xml:space="preserve">AAACACCCGACACGACCCTGCAGT</t>
  </si>
  <si>
    <t xml:space="preserve">GAGCAAGGTGCGGCGCGAAG</t>
  </si>
  <si>
    <t xml:space="preserve">TAGTGAGCAAGGTGCGGCGCGAAG</t>
  </si>
  <si>
    <t xml:space="preserve">AAACCTTCGCGCCGCACCTTGCTC</t>
  </si>
  <si>
    <t xml:space="preserve">TCACCAGCCCGCCCAGGGCG</t>
  </si>
  <si>
    <t xml:space="preserve">TAGTTCACCAGCCCGCCCAGGGCG</t>
  </si>
  <si>
    <t xml:space="preserve">AAACCGCCCTGGGCGGGCTGGTGA</t>
  </si>
  <si>
    <t xml:space="preserve">AGCTGCGCCCGGCGAACGGC</t>
  </si>
  <si>
    <t xml:space="preserve">TAGTAGCTGCGCCCGGCGAACGGC</t>
  </si>
  <si>
    <t xml:space="preserve">AAACGCCGTTCGCCGGGCGCAGCT</t>
  </si>
  <si>
    <t xml:space="preserve">PST_0455</t>
  </si>
  <si>
    <t xml:space="preserve">GTTGATGGAAAGCGTCAGCA</t>
  </si>
  <si>
    <t xml:space="preserve">TAGTGTTGATGGAAAGCGTCAGCA</t>
  </si>
  <si>
    <t xml:space="preserve">AAACTGCTGACGCTTTCCATCAAC</t>
  </si>
  <si>
    <t xml:space="preserve">CAGAGCAGGGGCATGTCTTC</t>
  </si>
  <si>
    <t xml:space="preserve">TAGTCAGAGCAGGGGCATGTCTTC</t>
  </si>
  <si>
    <t xml:space="preserve">AAACGAAGACATGCCCCTGCTCTG</t>
  </si>
  <si>
    <t xml:space="preserve">TGAGCCCTAGCACGTCGCGC</t>
  </si>
  <si>
    <t xml:space="preserve">TAGTTGAGCCCTAGCACGTCGCGC</t>
  </si>
  <si>
    <t xml:space="preserve">AAACGCGCGACGTGCTAGGGCTCA</t>
  </si>
  <si>
    <t xml:space="preserve">ACCGCAGCCGTACTTGCTGC</t>
  </si>
  <si>
    <t xml:space="preserve">TAGTACCGCAGCCGTACTTGCTGC</t>
  </si>
  <si>
    <t xml:space="preserve">AAACGCAGCAAGTACGGCTGCGGT</t>
  </si>
  <si>
    <t xml:space="preserve">PST_0456</t>
  </si>
  <si>
    <t xml:space="preserve">ATGCCATGGCGCCGGCTGCG</t>
  </si>
  <si>
    <t xml:space="preserve">TAGTATGCCATGGCGCCGGCTGCG</t>
  </si>
  <si>
    <t xml:space="preserve">AAACCGCAGCCGGCGCCATGGCAT</t>
  </si>
  <si>
    <t xml:space="preserve">CGTTTTCTGCGCTCCACCGC</t>
  </si>
  <si>
    <t xml:space="preserve">TAGTCGTTTTCTGCGCTCCACCGC</t>
  </si>
  <si>
    <t xml:space="preserve">AAACGCGGTGGAGCGCAGAAAACG</t>
  </si>
  <si>
    <t xml:space="preserve">AGAACTAAGGCAGTCCAAAT</t>
  </si>
  <si>
    <t xml:space="preserve">TAGTAGAACTAAGGCAGTCCAAAT</t>
  </si>
  <si>
    <t xml:space="preserve">AAACATTTGGACTGCCTTAGTTCT</t>
  </si>
  <si>
    <t xml:space="preserve">GACAGAATTGCACAAGGGAA</t>
  </si>
  <si>
    <t xml:space="preserve">TAGTGACAGAATTGCACAAGGGAA</t>
  </si>
  <si>
    <t xml:space="preserve">AAACTTCCCTTGTGCAATTCTGTC</t>
  </si>
  <si>
    <t xml:space="preserve">PST_0457</t>
  </si>
  <si>
    <t xml:space="preserve">ATCATCCGCCAGCATCACGT</t>
  </si>
  <si>
    <t xml:space="preserve">TAGTATCATCCGCCAGCATCACGT</t>
  </si>
  <si>
    <t xml:space="preserve">AAACACGTGATGCTGGCGGATGAT</t>
  </si>
  <si>
    <t xml:space="preserve">CCGTTGTTCGTCGCCCAGCA</t>
  </si>
  <si>
    <t xml:space="preserve">TAGTCCGTTGTTCGTCGCCCAGCA</t>
  </si>
  <si>
    <t xml:space="preserve">AAACTGCTGGGCGACGAACAACGG</t>
  </si>
  <si>
    <t xml:space="preserve">GCAATCGCCATGCCCTGCCC</t>
  </si>
  <si>
    <t xml:space="preserve">TAGTGCAATCGCCATGCCCTGCCC</t>
  </si>
  <si>
    <t xml:space="preserve">AAACGGGCAGGGCATGGCGATTGC</t>
  </si>
  <si>
    <t xml:space="preserve">ACCGTAAAGGCCTGCCCGCC</t>
  </si>
  <si>
    <t xml:space="preserve">TAGTACCGTAAAGGCCTGCCCGCC</t>
  </si>
  <si>
    <t xml:space="preserve">AAACGGCGGGCAGGCCTTTACGGT</t>
  </si>
  <si>
    <t xml:space="preserve">PST_0458</t>
  </si>
  <si>
    <t xml:space="preserve">GTTGATCACGGTCTTGCTCA</t>
  </si>
  <si>
    <t xml:space="preserve">TAGTGTTGATCACGGTCTTGCTCA</t>
  </si>
  <si>
    <t xml:space="preserve">AAACTGAGCAAGACCGTGATCAAC</t>
  </si>
  <si>
    <t xml:space="preserve">GATGGCGGCCGGGGCCTTGT</t>
  </si>
  <si>
    <t xml:space="preserve">TAGTGATGGCGGCCGGGGCCTTGT</t>
  </si>
  <si>
    <t xml:space="preserve">AAACACAAGGCCCCGGCCGCCATC</t>
  </si>
  <si>
    <t xml:space="preserve">GGCCTTGATGGCCTGGGAGT</t>
  </si>
  <si>
    <t xml:space="preserve">TAGTGGCCTTGATGGCCTGGGAGT</t>
  </si>
  <si>
    <t xml:space="preserve">AAACACTCCCAGGCCATCAAGGCC</t>
  </si>
  <si>
    <t xml:space="preserve">GGACAGGTAGACGGTGTTGC</t>
  </si>
  <si>
    <t xml:space="preserve">TAGTGGACAGGTAGACGGTGTTGC</t>
  </si>
  <si>
    <t xml:space="preserve">AAACGCAACACCGTCTACCTGTCC</t>
  </si>
  <si>
    <t xml:space="preserve">PST_0459</t>
  </si>
  <si>
    <t xml:space="preserve">spoT</t>
  </si>
  <si>
    <t xml:space="preserve">GAGTGCGTCTATGGCTGGCA</t>
  </si>
  <si>
    <t xml:space="preserve">TAGTGAGTGCGTCTATGGCTGGCA</t>
  </si>
  <si>
    <t xml:space="preserve">AAACTGCCAGCCATAGACGCACTC</t>
  </si>
  <si>
    <t xml:space="preserve">CCGGGACGAGATAGGTCGAC</t>
  </si>
  <si>
    <t xml:space="preserve">TAGTCCGGGACGAGATAGGTCGAC</t>
  </si>
  <si>
    <t xml:space="preserve">AAACGTCGACCTATCTCGTCCCGG</t>
  </si>
  <si>
    <t xml:space="preserve">CTCGGCGAACCAGGTTGACC</t>
  </si>
  <si>
    <t xml:space="preserve">TAGTCTCGGCGAACCAGGTTGACC</t>
  </si>
  <si>
    <t xml:space="preserve">AAACGGTCAACCTGGTTCGCCGAG</t>
  </si>
  <si>
    <t xml:space="preserve">GGCCTGCTCGGCATAGAAAT</t>
  </si>
  <si>
    <t xml:space="preserve">TAGTGGCCTGCTCGGCATAGAAAT</t>
  </si>
  <si>
    <t xml:space="preserve">AAACATTTCTATGCCGAGCAGGCC</t>
  </si>
  <si>
    <t xml:space="preserve">PST_0460</t>
  </si>
  <si>
    <t xml:space="preserve">rpoZ</t>
  </si>
  <si>
    <t xml:space="preserve">TTCAACGGTAACGCGGGCCA</t>
  </si>
  <si>
    <t xml:space="preserve">TAGTTTCAACGGTAACGCGGGCCA</t>
  </si>
  <si>
    <t xml:space="preserve">AAACTGGCCCGCGTTACCGTTGAA</t>
  </si>
  <si>
    <t xml:space="preserve">AGCGGTTATCAACGTTGTCC</t>
  </si>
  <si>
    <t xml:space="preserve">TAGTAGCGGTTATCAACGTTGTCC</t>
  </si>
  <si>
    <t xml:space="preserve">AAACGGACAACGTTGATAACCGCT</t>
  </si>
  <si>
    <t xml:space="preserve">CAGTTGACGTGCGCGCTTGG</t>
  </si>
  <si>
    <t xml:space="preserve">TAGTCAGTTGACGTGCGCGCTTGG</t>
  </si>
  <si>
    <t xml:space="preserve">AAACCCAAGCGCGCACGTCAACTG</t>
  </si>
  <si>
    <t xml:space="preserve">CACTTTCGGCTCCTTGCCGC</t>
  </si>
  <si>
    <t xml:space="preserve">TAGTCACTTTCGGCTCCTTGCCGC</t>
  </si>
  <si>
    <t xml:space="preserve">AAACGCGGCAAGGAGCCGAAAGTG</t>
  </si>
  <si>
    <t xml:space="preserve">PST_0461</t>
  </si>
  <si>
    <t xml:space="preserve">gmk</t>
  </si>
  <si>
    <t xml:space="preserve">ATAGAGCGTACCGGTGGTGG</t>
  </si>
  <si>
    <t xml:space="preserve">TAGTATAGAGCGTACCGGTGGTGG</t>
  </si>
  <si>
    <t xml:space="preserve">AAACCCACCACCGGTACGCTCTAT</t>
  </si>
  <si>
    <t xml:space="preserve">CTTGCCGGCCCCGGAAGGCG</t>
  </si>
  <si>
    <t xml:space="preserve">TAGTCTTGCCGGCCCCGGAAGGCG</t>
  </si>
  <si>
    <t xml:space="preserve">AAACCGCCTTCCGGGGCCGGCAAG</t>
  </si>
  <si>
    <t xml:space="preserve">GACCAGGGCCTTGACCAGGC</t>
  </si>
  <si>
    <t xml:space="preserve">TAGTGACCAGGGCCTTGACCAGGC</t>
  </si>
  <si>
    <t xml:space="preserve">AAACGCCTGGTCAAGGCCCTGGTC</t>
  </si>
  <si>
    <t xml:space="preserve">GAGACCGACACCCGCACCTG</t>
  </si>
  <si>
    <t xml:space="preserve">TAGTGAGACCGACACCCGCACCTG</t>
  </si>
  <si>
    <t xml:space="preserve">AAACCAGGTGCGGGTGTCGGTCTC</t>
  </si>
  <si>
    <t xml:space="preserve">PST_0462</t>
  </si>
  <si>
    <t xml:space="preserve">GCCGTCATGCTGTGGACCAT</t>
  </si>
  <si>
    <t xml:space="preserve">TAGTGCCGTCATGCTGTGGACCAT</t>
  </si>
  <si>
    <t xml:space="preserve">AAACATGGTCCACAGCATGACGGC</t>
  </si>
  <si>
    <t xml:space="preserve">GGCCTGCTCGCTGCGGGCAA</t>
  </si>
  <si>
    <t xml:space="preserve">TAGTGGCCTGCTCGCTGCGGGCAA</t>
  </si>
  <si>
    <t xml:space="preserve">AAACTTGCCCGCAGCGAGCAGGCC</t>
  </si>
  <si>
    <t xml:space="preserve">ACTGAGGGTGCCATGGGCGC</t>
  </si>
  <si>
    <t xml:space="preserve">TAGTACTGAGGGTGCCATGGGCGC</t>
  </si>
  <si>
    <t xml:space="preserve">AAACGCGCCCATGGCACCCTCAGT</t>
  </si>
  <si>
    <t xml:space="preserve">GATAGCGATGATTGACCGAG</t>
  </si>
  <si>
    <t xml:space="preserve">TAGTGATAGCGATGATTGACCGAG</t>
  </si>
  <si>
    <t xml:space="preserve">AAACCTCGGTCAATCATCGCTATC</t>
  </si>
  <si>
    <t xml:space="preserve">PST_0463</t>
  </si>
  <si>
    <t xml:space="preserve">rph</t>
  </si>
  <si>
    <t xml:space="preserve">CGGCCACTGGGTCGCTTCAT</t>
  </si>
  <si>
    <t xml:space="preserve">TAGTCGGCCACTGGGTCGCTTCAT</t>
  </si>
  <si>
    <t xml:space="preserve">AAACATGAAGCGACCCAGTGGCCG</t>
  </si>
  <si>
    <t xml:space="preserve">AGCGCAGCTGGTCGGCGGCA</t>
  </si>
  <si>
    <t xml:space="preserve">TAGTAGCGCAGCTGGTCGGCGGCA</t>
  </si>
  <si>
    <t xml:space="preserve">AAACTGCCGCCGACCAGCTGCGCT</t>
  </si>
  <si>
    <t xml:space="preserve">TGGTGTAGTTGCGGGTGATG</t>
  </si>
  <si>
    <t xml:space="preserve">TAGTTGGTGTAGTTGCGGGTGATG</t>
  </si>
  <si>
    <t xml:space="preserve">AAACCATCACCCGCAACTACACCA</t>
  </si>
  <si>
    <t xml:space="preserve">CACCGAGCCTTCGGCATGCT</t>
  </si>
  <si>
    <t xml:space="preserve">TAGTCACCGAGCCTTCGGCATGCT</t>
  </si>
  <si>
    <t xml:space="preserve">AAACAGCATGCCGAAGGCTCGGTG</t>
  </si>
  <si>
    <t xml:space="preserve">PST_0464</t>
  </si>
  <si>
    <t xml:space="preserve">CGCGCTTCGCGGCTGGGCAA</t>
  </si>
  <si>
    <t xml:space="preserve">TAGTCGCGCTTCGCGGCTGGGCAA</t>
  </si>
  <si>
    <t xml:space="preserve">AAACTTGCCCAGCCGCGAAGCGCG</t>
  </si>
  <si>
    <t xml:space="preserve">ACCAGAAAAAGGCCGAGTAG</t>
  </si>
  <si>
    <t xml:space="preserve">TAGTACCAGAAAAAGGCCGAGTAG</t>
  </si>
  <si>
    <t xml:space="preserve">AAACCTACTCGGCCTTTTTCTGGT</t>
  </si>
  <si>
    <t xml:space="preserve">CGTTGCCGATCATCGGCGCC</t>
  </si>
  <si>
    <t xml:space="preserve">TAGTCGTTGCCGATCATCGGCGCC</t>
  </si>
  <si>
    <t xml:space="preserve">AAACGGCGCCGATGATCGGCAACG</t>
  </si>
  <si>
    <t xml:space="preserve">TTCAGCTGCCAGACGATCAG</t>
  </si>
  <si>
    <t xml:space="preserve">TAGTTTCAGCTGCCAGACGATCAG</t>
  </si>
  <si>
    <t xml:space="preserve">AAACCTGATCGTCTGGCAGCTGAA</t>
  </si>
  <si>
    <t xml:space="preserve">PST_0465</t>
  </si>
  <si>
    <t xml:space="preserve">crc</t>
  </si>
  <si>
    <t xml:space="preserve">ATCCTGCAGGCAGATGACAT</t>
  </si>
  <si>
    <t xml:space="preserve">TAGTATCCTGCAGGCAGATGACAT</t>
  </si>
  <si>
    <t xml:space="preserve">AAACATGTCATCTGCCTGCAGGAT</t>
  </si>
  <si>
    <t xml:space="preserve">GAGTTCCAAGGCGGAGGCGC</t>
  </si>
  <si>
    <t xml:space="preserve">TAGTGAGTTCCAAGGCGGAGGCGC</t>
  </si>
  <si>
    <t xml:space="preserve">AAACGCGCCTCCGCCTTGGAACTC</t>
  </si>
  <si>
    <t xml:space="preserve">AGCCATCCAGTTGGTAGGCG</t>
  </si>
  <si>
    <t xml:space="preserve">TAGTAGCCATCCAGTTGGTAGGCG</t>
  </si>
  <si>
    <t xml:space="preserve">AAACCGCCTACCAACTGGATGGCT</t>
  </si>
  <si>
    <t xml:space="preserve">TCTCGGCATCGCAGGCGTAG</t>
  </si>
  <si>
    <t xml:space="preserve">TAGTTCTCGGCATCGCAGGCGTAG</t>
  </si>
  <si>
    <t xml:space="preserve">AAACCTACGCCTGCGATGCCGAGA</t>
  </si>
  <si>
    <t xml:space="preserve">PST_0466</t>
  </si>
  <si>
    <t xml:space="preserve">pyrE</t>
  </si>
  <si>
    <t xml:space="preserve">CGAAGCGGATGAACTCGCGC</t>
  </si>
  <si>
    <t xml:space="preserve">TAGTCGAAGCGGATGAACTCGCGC</t>
  </si>
  <si>
    <t xml:space="preserve">AAACGCGCGAGTTCATCCGCTTCG</t>
  </si>
  <si>
    <t xml:space="preserve">ACTGGTACGCCCCGACTTGA</t>
  </si>
  <si>
    <t xml:space="preserve">TAGTACTGGTACGCCCCGACTTGA</t>
  </si>
  <si>
    <t xml:space="preserve">AAACTCAAGTCGGGGCGTACCAGT</t>
  </si>
  <si>
    <t xml:space="preserve">AGGCCGGCATTGAAGAAATA</t>
  </si>
  <si>
    <t xml:space="preserve">TAGTAGGCCGGCATTGAAGAAATA</t>
  </si>
  <si>
    <t xml:space="preserve">AAACTATTTCTTCAATGCCGGCCT</t>
  </si>
  <si>
    <t xml:space="preserve">GCGCGCTGCCGCTGTTGAAC</t>
  </si>
  <si>
    <t xml:space="preserve">TAGTGCGCGCTGCCGCTGTTGAAC</t>
  </si>
  <si>
    <t xml:space="preserve">AAACGTTCAACAGCGGCAGCGCGC</t>
  </si>
  <si>
    <t xml:space="preserve">PST_0467</t>
  </si>
  <si>
    <t xml:space="preserve">CAACAGGAGCATCGTTCGAG</t>
  </si>
  <si>
    <t xml:space="preserve">TAGTCAACAGGAGCATCGTTCGAG</t>
  </si>
  <si>
    <t xml:space="preserve">AAACCTCGAACGATGCTCCTGTTG</t>
  </si>
  <si>
    <t xml:space="preserve">TCGGCAGCCGAGGCCAATAC</t>
  </si>
  <si>
    <t xml:space="preserve">TAGTTCGGCAGCCGAGGCCAATAC</t>
  </si>
  <si>
    <t xml:space="preserve">AAACGTATTGGCCTCGGCTGCCGA</t>
  </si>
  <si>
    <t xml:space="preserve">TATGCTGCGGCGGCACGCCG</t>
  </si>
  <si>
    <t xml:space="preserve">TAGTTATGCTGCGGCGGCACGCCG</t>
  </si>
  <si>
    <t xml:space="preserve">AAACCGGCGTGCCGCCGCAGCATA</t>
  </si>
  <si>
    <t xml:space="preserve">GTTGAGCACCTGATAACCGC</t>
  </si>
  <si>
    <t xml:space="preserve">TAGTGTTGAGCACCTGATAACCGC</t>
  </si>
  <si>
    <t xml:space="preserve">AAACGCGGTTATCAGGTGCTCAAC</t>
  </si>
  <si>
    <t xml:space="preserve">PST_0468</t>
  </si>
  <si>
    <t xml:space="preserve">GAAGCTCCTGATAACTGCGT</t>
  </si>
  <si>
    <t xml:space="preserve">TAGTGAAGCTCCTGATAACTGCGT</t>
  </si>
  <si>
    <t xml:space="preserve">AAACACGCAGTTATCAGGAGCTTC</t>
  </si>
  <si>
    <t xml:space="preserve">CGAGTAGCGAAATTTCCCTT</t>
  </si>
  <si>
    <t xml:space="preserve">TAGTCGAGTAGCGAAATTTCCCTT</t>
  </si>
  <si>
    <t xml:space="preserve">AAACAAGGGAAATTTCGCTACTCG</t>
  </si>
  <si>
    <t xml:space="preserve">TGATCTCCAATTCGTGTTCA</t>
  </si>
  <si>
    <t xml:space="preserve">TAGTTGATCTCCAATTCGTGTTCA</t>
  </si>
  <si>
    <t xml:space="preserve">AAACTGAACACGAATTGGAGATCA</t>
  </si>
  <si>
    <t xml:space="preserve">AGATTCACGCCCCAGCGTTT</t>
  </si>
  <si>
    <t xml:space="preserve">TAGTAGATTCACGCCCCAGCGTTT</t>
  </si>
  <si>
    <t xml:space="preserve">AAACAAACGCTGGGGCGTGAATCT</t>
  </si>
  <si>
    <t xml:space="preserve">PST_0469</t>
  </si>
  <si>
    <t xml:space="preserve">argB</t>
  </si>
  <si>
    <t xml:space="preserve">GGTGGCAGCTTCACGGCTGA</t>
  </si>
  <si>
    <t xml:space="preserve">TAGTGGTGGCAGCTTCACGGCTGA</t>
  </si>
  <si>
    <t xml:space="preserve">AAACTCAGCCGTGAAGCTGCCACC</t>
  </si>
  <si>
    <t xml:space="preserve">GGACAGGACCTTGGCGAATT</t>
  </si>
  <si>
    <t xml:space="preserve">TAGTGGACAGGACCTTGGCGAATT</t>
  </si>
  <si>
    <t xml:space="preserve">AAACAATTCGCCAAGGTCCTGTCC</t>
  </si>
  <si>
    <t xml:space="preserve">GCGGATGTAGGGCAGCGCTT</t>
  </si>
  <si>
    <t xml:space="preserve">TAGTGCGGATGTAGGGCAGCGCTT</t>
  </si>
  <si>
    <t xml:space="preserve">AAACAAGCGCTGCCCTACATCCGC</t>
  </si>
  <si>
    <t xml:space="preserve">CCAGCGTCTTGCCGACGAAT</t>
  </si>
  <si>
    <t xml:space="preserve">TAGTCCAGCGTCTTGCCGACGAAT</t>
  </si>
  <si>
    <t xml:space="preserve">AAACATTCGTCGGCAAGACGCTGG</t>
  </si>
  <si>
    <t xml:space="preserve">PST_0470</t>
  </si>
  <si>
    <t xml:space="preserve">GTTCAGTACGCCTGAATCCT</t>
  </si>
  <si>
    <t xml:space="preserve">TAGTGTTCAGTACGCCTGAATCCT</t>
  </si>
  <si>
    <t xml:space="preserve">AAACAGGATTCAGGCGTACTGAAC</t>
  </si>
  <si>
    <t xml:space="preserve">GCTTGCTGCGGGTCTCGGCC</t>
  </si>
  <si>
    <t xml:space="preserve">TAGTGCTTGCTGCGGGTCTCGGCC</t>
  </si>
  <si>
    <t xml:space="preserve">AAACGGCCGAGACCCGCAGCAAGC</t>
  </si>
  <si>
    <t xml:space="preserve">CTCGCCAGGCCGCCGAGCAA</t>
  </si>
  <si>
    <t xml:space="preserve">TAGTCTCGCCAGGCCGCCGAGCAA</t>
  </si>
  <si>
    <t xml:space="preserve">AAACTTGCTCGGCGGCCTGGCGAG</t>
  </si>
  <si>
    <t xml:space="preserve">CCGCTGCGCCGAGGCCGATC</t>
  </si>
  <si>
    <t xml:space="preserve">TAGTCCGCTGCGCCGAGGCCGATC</t>
  </si>
  <si>
    <t xml:space="preserve">AAACGATCGGCCTCGGCGCAGCGG</t>
  </si>
  <si>
    <t xml:space="preserve">PST_0471</t>
  </si>
  <si>
    <t xml:space="preserve">dut</t>
  </si>
  <si>
    <t xml:space="preserve">GCGGGTCGAGGATCTTGGCT</t>
  </si>
  <si>
    <t xml:space="preserve">TAGTGCGGGTCGAGGATCTTGGCT</t>
  </si>
  <si>
    <t xml:space="preserve">AAACAGCCAAGATCCTCGACCCGC</t>
  </si>
  <si>
    <t xml:space="preserve">GCAGTGGGAAGTCCCGACCG</t>
  </si>
  <si>
    <t xml:space="preserve">TAGTGCAGTGGGAAGTCCCGACCG</t>
  </si>
  <si>
    <t xml:space="preserve">AAACCGGTCGGGACTTCCCACTGC</t>
  </si>
  <si>
    <t xml:space="preserve">GAGCCGGGTGTGGCGTATTC</t>
  </si>
  <si>
    <t xml:space="preserve">TAGTGAGCCGGGTGTGGCGTATTC</t>
  </si>
  <si>
    <t xml:space="preserve">AAACGAATACGCCACACCCGGCTC</t>
  </si>
  <si>
    <t xml:space="preserve">GACGGTGTCCTGCTGCAGCA</t>
  </si>
  <si>
    <t xml:space="preserve">TAGTGACGGTGTCCTGCTGCAGCA</t>
  </si>
  <si>
    <t xml:space="preserve">AAACTGCTGCAGCAGGACACCGTC</t>
  </si>
  <si>
    <t xml:space="preserve">PST_0472</t>
  </si>
  <si>
    <t xml:space="preserve">coaBC</t>
  </si>
  <si>
    <t xml:space="preserve">TTACGATACAGCCGCTGCAT</t>
  </si>
  <si>
    <t xml:space="preserve">TAGTTTACGATACAGCCGCTGCAT</t>
  </si>
  <si>
    <t xml:space="preserve">AAACATGCAGCGGCTGTATCGTAA</t>
  </si>
  <si>
    <t xml:space="preserve">CAGTTCGGCGCTCTTGTAGG</t>
  </si>
  <si>
    <t xml:space="preserve">TAGTCAGTTCGGCGCTCTTGTAGG</t>
  </si>
  <si>
    <t xml:space="preserve">AAACCCTACAAGAGCGCCGAACTG</t>
  </si>
  <si>
    <t xml:space="preserve">CGCCATGGTCGCGCAGGCGG</t>
  </si>
  <si>
    <t xml:space="preserve">TAGTCGCCATGGTCGCGCAGGCGG</t>
  </si>
  <si>
    <t xml:space="preserve">AAACCCGCCTGCGCGACCATGGCG</t>
  </si>
  <si>
    <t xml:space="preserve">GGTCATCACCACCCGGACTT</t>
  </si>
  <si>
    <t xml:space="preserve">TAGTGGTCATCACCACCCGGACTT</t>
  </si>
  <si>
    <t xml:space="preserve">AAACAAGTCCGGGTGGTGATGACC</t>
  </si>
  <si>
    <t xml:space="preserve">PST_0473</t>
  </si>
  <si>
    <t xml:space="preserve">radC</t>
  </si>
  <si>
    <t xml:space="preserve">TCCCGCGGCCGCTCCGACGC</t>
  </si>
  <si>
    <t xml:space="preserve">TAGTTCCCGCGGCCGCTCCGACGC</t>
  </si>
  <si>
    <t xml:space="preserve">AAACGCGTCGGAGCGGCCGCGGGA</t>
  </si>
  <si>
    <t xml:space="preserve">CAATTCGGCATCGGAAAGCG</t>
  </si>
  <si>
    <t xml:space="preserve">TAGTCAATTCGGCATCGGAAAGCG</t>
  </si>
  <si>
    <t xml:space="preserve">AAACCGCTTTCCGATGCCGAATTG</t>
  </si>
  <si>
    <t xml:space="preserve">TTCCGGCGACGCCGGTGCGC</t>
  </si>
  <si>
    <t xml:space="preserve">TAGTTTCCGGCGACGCCGGTGCGC</t>
  </si>
  <si>
    <t xml:space="preserve">AAACGCGCACCGGCGTCGCCGGAA</t>
  </si>
  <si>
    <t xml:space="preserve">CGGCGAGCAGGTAGCGAGCC</t>
  </si>
  <si>
    <t xml:space="preserve">TAGTCGGCGAGCAGGTAGCGAGCC</t>
  </si>
  <si>
    <t xml:space="preserve">AAACGGCTCGCTACCTGCTCGCCG</t>
  </si>
  <si>
    <t xml:space="preserve">PST_0474</t>
  </si>
  <si>
    <t xml:space="preserve">AGTGGCAGCAAGGCCAGCAT</t>
  </si>
  <si>
    <t xml:space="preserve">TAGTAGTGGCAGCAAGGCCAGCAT</t>
  </si>
  <si>
    <t xml:space="preserve">AAACATGCTGGCCTTGCTGCCACT</t>
  </si>
  <si>
    <t xml:space="preserve">GACCAGCGCGAACAGCTCGC</t>
  </si>
  <si>
    <t xml:space="preserve">TAGTGACCAGCGCGAACAGCTCGC</t>
  </si>
  <si>
    <t xml:space="preserve">AAACGCGAGCTGTTCGCGCTGGTC</t>
  </si>
  <si>
    <t xml:space="preserve">CACGCTCGGCCATTGCAGGC</t>
  </si>
  <si>
    <t xml:space="preserve">TAGTCACGCTCGGCCATTGCAGGC</t>
  </si>
  <si>
    <t xml:space="preserve">AAACGCCTGCAATGGCCGAGCGTG</t>
  </si>
  <si>
    <t xml:space="preserve">CAGGAAGAACAGTACCAGCA</t>
  </si>
  <si>
    <t xml:space="preserve">TAGTCAGGAAGAACAGTACCAGCA</t>
  </si>
  <si>
    <t xml:space="preserve">AAACTGCTGGTACTGTTCTTCCTG</t>
  </si>
  <si>
    <t xml:space="preserve">PST_0475</t>
  </si>
  <si>
    <t xml:space="preserve">GACCTGCAGGCGTGAATGCT</t>
  </si>
  <si>
    <t xml:space="preserve">TAGTGACCTGCAGGCGTGAATGCT</t>
  </si>
  <si>
    <t xml:space="preserve">AAACAGCATTCACGCCTGCAGGTC</t>
  </si>
  <si>
    <t xml:space="preserve">CTGAAAGAAGCCGGTTATGG</t>
  </si>
  <si>
    <t xml:space="preserve">TAGTCTGAAAGAAGCCGGTTATGG</t>
  </si>
  <si>
    <t xml:space="preserve">AAACCCATAACCGGCTTCTTTCAG</t>
  </si>
  <si>
    <t xml:space="preserve">CGGGGCCGTACTCGGTCAGG</t>
  </si>
  <si>
    <t xml:space="preserve">TAGTCGGGGCCGTACTCGGTCAGG</t>
  </si>
  <si>
    <t xml:space="preserve">AAACCCTGACCGAGTACGGCCCCG</t>
  </si>
  <si>
    <t xml:space="preserve">CAGTTCGATCACCACCCGCT</t>
  </si>
  <si>
    <t xml:space="preserve">TAGTCAGTTCGATCACCACCCGCT</t>
  </si>
  <si>
    <t xml:space="preserve">AAACAGCGGGTGGTGATCGAACTG</t>
  </si>
  <si>
    <t xml:space="preserve">PST_0476</t>
  </si>
  <si>
    <t xml:space="preserve">paaC</t>
  </si>
  <si>
    <t xml:space="preserve">GATGCCCCGCCCCATGGCGC</t>
  </si>
  <si>
    <t xml:space="preserve">TAGTGATGCCCCGCCCCATGGCGC</t>
  </si>
  <si>
    <t xml:space="preserve">AAACGCGCCATGGGGCGGGGCATC</t>
  </si>
  <si>
    <t xml:space="preserve">CCACACCTGCTTGCCCGCGC</t>
  </si>
  <si>
    <t xml:space="preserve">TAGTCCACACCTGCTTGCCCGCGC</t>
  </si>
  <si>
    <t xml:space="preserve">AAACGCGCGGGCAAGCAGGTGTGG</t>
  </si>
  <si>
    <t xml:space="preserve">GCGATTGAAACGCAGCGCCT</t>
  </si>
  <si>
    <t xml:space="preserve">TAGTGCGATTGAAACGCAGCGCCT</t>
  </si>
  <si>
    <t xml:space="preserve">AAACAGGCGCTGCGTTTCAATCGC</t>
  </si>
  <si>
    <t xml:space="preserve">TGCTCAGGCGGCCCTTGGCC</t>
  </si>
  <si>
    <t xml:space="preserve">TAGTTGCTCAGGCGGCCCTTGGCC</t>
  </si>
  <si>
    <t xml:space="preserve">AAACGGCCAAGGGCCGCCTGAGCA</t>
  </si>
  <si>
    <t xml:space="preserve">PST_0477</t>
  </si>
  <si>
    <t xml:space="preserve">CCTTGGGGTGGCGGTTGGCG</t>
  </si>
  <si>
    <t xml:space="preserve">TAGTCCTTGGGGTGGCGGTTGGCG</t>
  </si>
  <si>
    <t xml:space="preserve">AAACCGCCAACCGCCACCCCAAGG</t>
  </si>
  <si>
    <t xml:space="preserve">CAGCGCTACATGGAACACGA</t>
  </si>
  <si>
    <t xml:space="preserve">TAGTCAGCGCTACATGGAACACGA</t>
  </si>
  <si>
    <t xml:space="preserve">AAACTCGTGTTCCATGTAGCGCTG</t>
  </si>
  <si>
    <t xml:space="preserve">CGCCGTCAACAGCAGGGGCG</t>
  </si>
  <si>
    <t xml:space="preserve">TAGTCGCCGTCAACAGCAGGGGCG</t>
  </si>
  <si>
    <t xml:space="preserve">AAACCGCCCCTGCTGTTGACGGCG</t>
  </si>
  <si>
    <t xml:space="preserve">GAACCAGGGCCATAGCGCCG</t>
  </si>
  <si>
    <t xml:space="preserve">TAGTGAACCAGGGCCATAGCGCCG</t>
  </si>
  <si>
    <t xml:space="preserve">AAACCGGCGCTATGGCCCTGGTTC</t>
  </si>
  <si>
    <t xml:space="preserve">PST_0478</t>
  </si>
  <si>
    <t xml:space="preserve">TGATCGGTGAGCGTCTTCAT</t>
  </si>
  <si>
    <t xml:space="preserve">TAGTTGATCGGTGAGCGTCTTCAT</t>
  </si>
  <si>
    <t xml:space="preserve">AAACATGAAGACGCTCACCGATCA</t>
  </si>
  <si>
    <t xml:space="preserve">GGTAGGCCGCGTATTGCGCG</t>
  </si>
  <si>
    <t xml:space="preserve">TAGTGGTAGGCCGCGTATTGCGCG</t>
  </si>
  <si>
    <t xml:space="preserve">AAACCGCGCAATACGCGGCCTACC</t>
  </si>
  <si>
    <t xml:space="preserve">GCAGGTTGCGCGGGTCGCGG</t>
  </si>
  <si>
    <t xml:space="preserve">TAGTGCAGGTTGCGCGGGTCGCGG</t>
  </si>
  <si>
    <t xml:space="preserve">AAACCCGCGACCCGCGCAACCTGC</t>
  </si>
  <si>
    <t xml:space="preserve">CAGGGGAATGCCAACGAAAT</t>
  </si>
  <si>
    <t xml:space="preserve">TAGTCAGGGGAATGCCAACGAAAT</t>
  </si>
  <si>
    <t xml:space="preserve">AAACATTTCGTTGGCATTCCCCTG</t>
  </si>
  <si>
    <t xml:space="preserve">PST_0479</t>
  </si>
  <si>
    <t xml:space="preserve">ATAACCAGAAGCGAGTGAAA</t>
  </si>
  <si>
    <t xml:space="preserve">TAGTATAACCAGAAGCGAGTGAAA</t>
  </si>
  <si>
    <t xml:space="preserve">AAACTTTCACTCGCTTCTGGTTAT</t>
  </si>
  <si>
    <t xml:space="preserve">TGAGGCCGGGCAGCATGCCG</t>
  </si>
  <si>
    <t xml:space="preserve">TAGTTGAGGCCGGGCAGCATGCCG</t>
  </si>
  <si>
    <t xml:space="preserve">AAACCGGCATGCTGCCCGGCCTCA</t>
  </si>
  <si>
    <t xml:space="preserve">GGTGGTCGGCTCGGCAGCCT</t>
  </si>
  <si>
    <t xml:space="preserve">TAGTGGTGGTCGGCTCGGCAGCCT</t>
  </si>
  <si>
    <t xml:space="preserve">AAACAGGCTGCCGAGCCGACCACC</t>
  </si>
  <si>
    <t xml:space="preserve">AATCTGCATGTTCTGCAGCG</t>
  </si>
  <si>
    <t xml:space="preserve">TAGTAATCTGCATGTTCTGCAGCG</t>
  </si>
  <si>
    <t xml:space="preserve">AAACCGCTGCAGAACATGCAGATT</t>
  </si>
  <si>
    <t xml:space="preserve">PST_0480</t>
  </si>
  <si>
    <t xml:space="preserve">GGCTGGATGGCTGGCGCAAC</t>
  </si>
  <si>
    <t xml:space="preserve">TAGTGGCTGGATGGCTGGCGCAAC</t>
  </si>
  <si>
    <t xml:space="preserve">AAACGTTGCGCCAGCCATCCAGCC</t>
  </si>
  <si>
    <t xml:space="preserve">GACCGAGTAGGACTCGGTCG</t>
  </si>
  <si>
    <t xml:space="preserve">TAGTGACCGAGTAGGACTCGGTCG</t>
  </si>
  <si>
    <t xml:space="preserve">AAACCGACCGAGTCCTACTCGGTC</t>
  </si>
  <si>
    <t xml:space="preserve">GCCGAGGGGAGAGGCGTCGG</t>
  </si>
  <si>
    <t xml:space="preserve">TAGTGCCGAGGGGAGAGGCGTCGG</t>
  </si>
  <si>
    <t xml:space="preserve">AAACCCGACGCCTCTCCCCTCGGC</t>
  </si>
  <si>
    <t xml:space="preserve">CAGCGAGCTGCTGTATCCGC</t>
  </si>
  <si>
    <t xml:space="preserve">TAGTCAGCGAGCTGCTGTATCCGC</t>
  </si>
  <si>
    <t xml:space="preserve">AAACGCGGATACAGCAGCTCGCTG</t>
  </si>
  <si>
    <t xml:space="preserve">PST_0481</t>
  </si>
  <si>
    <t xml:space="preserve">GGAGCGGTGCTGCGGGGCAA</t>
  </si>
  <si>
    <t xml:space="preserve">TAGTGGAGCGGTGCTGCGGGGCAA</t>
  </si>
  <si>
    <t xml:space="preserve">AAACTTGCCCCGCAGCACCGCTCC</t>
  </si>
  <si>
    <t xml:space="preserve">TGCATCTTTCTAGGGTAGAC</t>
  </si>
  <si>
    <t xml:space="preserve">TAGTTGCATCTTTCTAGGGTAGAC</t>
  </si>
  <si>
    <t xml:space="preserve">AAACGTCTACCCTAGAAAGATGCA</t>
  </si>
  <si>
    <t xml:space="preserve">ATTCACTGAAGTGTCATGAA</t>
  </si>
  <si>
    <t xml:space="preserve">TAGTATTCACTGAAGTGTCATGAA</t>
  </si>
  <si>
    <t xml:space="preserve">AAACTTCATGACACTTCAGTGAAT</t>
  </si>
  <si>
    <t xml:space="preserve">ATGGTCGCTGGTGTTCGAAG</t>
  </si>
  <si>
    <t xml:space="preserve">TAGTATGGTCGCTGGTGTTCGAAG</t>
  </si>
  <si>
    <t xml:space="preserve">AAACCTTCGAACACCAGCGACCAT</t>
  </si>
  <si>
    <t xml:space="preserve">PST_0482</t>
  </si>
  <si>
    <t xml:space="preserve">lrp</t>
  </si>
  <si>
    <t xml:space="preserve">GTCTGATGGCGAGTTCGCAA</t>
  </si>
  <si>
    <t xml:space="preserve">TAGTGTCTGATGGCGAGTTCGCAA</t>
  </si>
  <si>
    <t xml:space="preserve">AAACTTGCGAACTCGCCATCAGAC</t>
  </si>
  <si>
    <t xml:space="preserve">GATCTTGTCCAGTTCGCGTC</t>
  </si>
  <si>
    <t xml:space="preserve">TAGTGATCTTGTCCAGTTCGCGTC</t>
  </si>
  <si>
    <t xml:space="preserve">AAACGACGCGAACTGGACAAGATC</t>
  </si>
  <si>
    <t xml:space="preserve">GCAGACGCCCCTCGGCTTGC</t>
  </si>
  <si>
    <t xml:space="preserve">TAGTGCAGACGCCCCTCGGCTTGC</t>
  </si>
  <si>
    <t xml:space="preserve">AAACGCAAGCCGAGGGGCGTCTGC</t>
  </si>
  <si>
    <t xml:space="preserve">CGCTCGCCCAGTTCGGTGAA</t>
  </si>
  <si>
    <t xml:space="preserve">TAGTCGCTCGCCCAGTTCGGTGAA</t>
  </si>
  <si>
    <t xml:space="preserve">AAACTTCACCGAACTGGGCGAGCG</t>
  </si>
  <si>
    <t xml:space="preserve">PST_0483</t>
  </si>
  <si>
    <t xml:space="preserve">dadA</t>
  </si>
  <si>
    <t xml:space="preserve">CGCCAGATAGTAGGCGCTGG</t>
  </si>
  <si>
    <t xml:space="preserve">TAGTCGCCAGATAGTAGGCGCTGG</t>
  </si>
  <si>
    <t xml:space="preserve">AAACCCAGCGCCTACTATCTGGCG</t>
  </si>
  <si>
    <t xml:space="preserve">GACCACAACCACCTCGAAAC</t>
  </si>
  <si>
    <t xml:space="preserve">TAGTGACCACAACCACCTCGAAAC</t>
  </si>
  <si>
    <t xml:space="preserve">AAACGTTTCGAGGTGGTTGTGGTC</t>
  </si>
  <si>
    <t xml:space="preserve">CTGGTTTCCATTGCCACGGC</t>
  </si>
  <si>
    <t xml:space="preserve">TAGTCTGGTTTCCATTGCCACGGC</t>
  </si>
  <si>
    <t xml:space="preserve">AAACGCCGTGGCAATGGAAACCAG</t>
  </si>
  <si>
    <t xml:space="preserve">CGGCGACACCTGGCCGGCAT</t>
  </si>
  <si>
    <t xml:space="preserve">TAGTCGGCGACACCTGGCCGGCAT</t>
  </si>
  <si>
    <t xml:space="preserve">AAACATGCCGGCCAGGTGTCGCCG</t>
  </si>
  <si>
    <t xml:space="preserve">PST_0484</t>
  </si>
  <si>
    <t xml:space="preserve">CAGGCCCTTGAGCTTGCGGA</t>
  </si>
  <si>
    <t xml:space="preserve">TAGTCAGGCCCTTGAGCTTGCGGA</t>
  </si>
  <si>
    <t xml:space="preserve">AAACTCCGCAAGCTCAAGGGCCTG</t>
  </si>
  <si>
    <t xml:space="preserve">AATGGTGCTGTTGGTGACGC</t>
  </si>
  <si>
    <t xml:space="preserve">TAGTAATGGTGCTGTTGGTGACGC</t>
  </si>
  <si>
    <t xml:space="preserve">AAACGCGTCACCAACAGCACCATT</t>
  </si>
  <si>
    <t xml:space="preserve">GACGCTGTTCTTCTCGATCA</t>
  </si>
  <si>
    <t xml:space="preserve">TAGTGACGCTGTTCTTCTCGATCA</t>
  </si>
  <si>
    <t xml:space="preserve">AAACTGATCGAGAAGAACAGCGTC</t>
  </si>
  <si>
    <t xml:space="preserve">TTTTCAGCGAGCTGATGGAC</t>
  </si>
  <si>
    <t xml:space="preserve">TAGTTTTTCAGCGAGCTGATGGAC</t>
  </si>
  <si>
    <t xml:space="preserve">AAACGTCCATCAGCTCGCTGAAAA</t>
  </si>
  <si>
    <t xml:space="preserve">PST_0485</t>
  </si>
  <si>
    <t xml:space="preserve">cycB</t>
  </si>
  <si>
    <t xml:space="preserve">CTACCAGGATCTTCTTAATC</t>
  </si>
  <si>
    <t xml:space="preserve">TAGTCTACCAGGATCTTCTTAATC</t>
  </si>
  <si>
    <t xml:space="preserve">AAACGATTAAGAAGATCCTGGTAG</t>
  </si>
  <si>
    <t xml:space="preserve">CATTGCCCACAGGGCCAATA</t>
  </si>
  <si>
    <t xml:space="preserve">TAGTCATTGCCCACAGGGCCAATA</t>
  </si>
  <si>
    <t xml:space="preserve">AAACTATTGGCCCTGTGGGCAATG</t>
  </si>
  <si>
    <t xml:space="preserve">GCGCTCGGCGATTGCTTCGT</t>
  </si>
  <si>
    <t xml:space="preserve">TAGTGCGCTCGGCGATTGCTTCGT</t>
  </si>
  <si>
    <t xml:space="preserve">AAACACGAAGCAATCGCCGAGCGC</t>
  </si>
  <si>
    <t xml:space="preserve">ATACTTCGCCCACCGGCTTG</t>
  </si>
  <si>
    <t xml:space="preserve">TAGTATACTTCGCCCACCGGCTTG</t>
  </si>
  <si>
    <t xml:space="preserve">AAACCAAGCCGGTGGGCGAAGTAT</t>
  </si>
  <si>
    <t xml:space="preserve">PST_0486</t>
  </si>
  <si>
    <t xml:space="preserve">TCGGGATGCGGCGCGGTACT</t>
  </si>
  <si>
    <t xml:space="preserve">TAGTTCGGGATGCGGCGCGGTACT</t>
  </si>
  <si>
    <t xml:space="preserve">AAACAGTACCGCGCCGCATCCCGA</t>
  </si>
  <si>
    <t xml:space="preserve">AGCACCGGGTGCGGGCTGTT</t>
  </si>
  <si>
    <t xml:space="preserve">TAGTAGCACCGGGTGCGGGCTGTT</t>
  </si>
  <si>
    <t xml:space="preserve">AAACAACAGCCCGCACCCGGTGCT</t>
  </si>
  <si>
    <t xml:space="preserve">TCGGCCCCGCCAAGGGTAGC</t>
  </si>
  <si>
    <t xml:space="preserve">TAGTTCGGCCCCGCCAAGGGTAGC</t>
  </si>
  <si>
    <t xml:space="preserve">AAACGCTACCCTTGGCGGGGCCGA</t>
  </si>
  <si>
    <t xml:space="preserve">ATCGCTCGAACGCCTCGGCC</t>
  </si>
  <si>
    <t xml:space="preserve">TAGTATCGCTCGAACGCCTCGGCC</t>
  </si>
  <si>
    <t xml:space="preserve">AAACGGCCGAGGCGTTCGAGCGAT</t>
  </si>
  <si>
    <t xml:space="preserve">PST_0487</t>
  </si>
  <si>
    <t xml:space="preserve">xpt</t>
  </si>
  <si>
    <t xml:space="preserve">GGCTTGCCTGACGCTCGGCG</t>
  </si>
  <si>
    <t xml:space="preserve">TAGTGGCTTGCCTGACGCTCGGCG</t>
  </si>
  <si>
    <t xml:space="preserve">AAACCGCCGAGCGTCAGGCAAGCC</t>
  </si>
  <si>
    <t xml:space="preserve">ACCTCAAGCGTGGGCGGCCG</t>
  </si>
  <si>
    <t xml:space="preserve">TAGTACCTCAAGCGTGGGCGGCCG</t>
  </si>
  <si>
    <t xml:space="preserve">AAACCGGCCGCCCACGCTTGAGGT</t>
  </si>
  <si>
    <t xml:space="preserve">GTCGACCTTGAGAACCCGGT</t>
  </si>
  <si>
    <t xml:space="preserve">TAGTGTCGACCTTGAGAACCCGGT</t>
  </si>
  <si>
    <t xml:space="preserve">AAACACCGGGTTCTCAAGGTCGAC</t>
  </si>
  <si>
    <t xml:space="preserve">CCGGGTCGATCTGGTGATTG</t>
  </si>
  <si>
    <t xml:space="preserve">TAGTCCGGGTCGATCTGGTGATTG</t>
  </si>
  <si>
    <t xml:space="preserve">AAACCAATCACCAGATCGACCCGG</t>
  </si>
  <si>
    <t xml:space="preserve">PST_0488</t>
  </si>
  <si>
    <t xml:space="preserve">GGGAAAATCGTCACCGTGCC</t>
  </si>
  <si>
    <t xml:space="preserve">TAGTGGGAAAATCGTCACCGTGCC</t>
  </si>
  <si>
    <t xml:space="preserve">AAACGGCACGGTGACGATTTTCCC</t>
  </si>
  <si>
    <t xml:space="preserve">TCGCGGTACCAGCTGCCCTC</t>
  </si>
  <si>
    <t xml:space="preserve">TAGTTCGCGGTACCAGCTGCCCTC</t>
  </si>
  <si>
    <t xml:space="preserve">AAACGAGGGCAGCTGGTACCGCGA</t>
  </si>
  <si>
    <t xml:space="preserve">GATCCGCGGCGCACCGACGA</t>
  </si>
  <si>
    <t xml:space="preserve">TAGTGATCCGCGGCGCACCGACGA</t>
  </si>
  <si>
    <t xml:space="preserve">AAACTCGTCGGTGCGCCGCGGATC</t>
  </si>
  <si>
    <t xml:space="preserve">CGTAGCGCTCGCGGGATATC</t>
  </si>
  <si>
    <t xml:space="preserve">TAGTCGTAGCGCTCGCGGGATATC</t>
  </si>
  <si>
    <t xml:space="preserve">AAACGATATCCCGCGAGCGCTACG</t>
  </si>
  <si>
    <t xml:space="preserve">PST_0489</t>
  </si>
  <si>
    <t xml:space="preserve">GCGGTACCAGAGTGGGCGCA</t>
  </si>
  <si>
    <t xml:space="preserve">TAGTGCGGTACCAGAGTGGGCGCA</t>
  </si>
  <si>
    <t xml:space="preserve">AAACTGCGCCCACTCTGGTACCGC</t>
  </si>
  <si>
    <t xml:space="preserve">TGCTGTCACGGAACAGCGAG</t>
  </si>
  <si>
    <t xml:space="preserve">TAGTTGCTGTCACGGAACAGCGAG</t>
  </si>
  <si>
    <t xml:space="preserve">AAACCTCGCTGTTCCGTGACAGCA</t>
  </si>
  <si>
    <t xml:space="preserve">GCGAATGTAGTCGAGGCGCT</t>
  </si>
  <si>
    <t xml:space="preserve">TAGTGCGAATGTAGTCGAGGCGCT</t>
  </si>
  <si>
    <t xml:space="preserve">AAACAGCGCCTCGACTACATTCGC</t>
  </si>
  <si>
    <t xml:space="preserve">GCCAGATCGCGGTGCAACCG</t>
  </si>
  <si>
    <t xml:space="preserve">TAGTGCCAGATCGCGGTGCAACCG</t>
  </si>
  <si>
    <t xml:space="preserve">AAACCGGTTGCACCGCGATCTGGC</t>
  </si>
  <si>
    <t xml:space="preserve">PST_0490</t>
  </si>
  <si>
    <t xml:space="preserve">ACGGTCGCACCCATCCACCA</t>
  </si>
  <si>
    <t xml:space="preserve">TAGTACGGTCGCACCCATCCACCA</t>
  </si>
  <si>
    <t xml:space="preserve">AAACTGGTGGATGGGTGCGACCGT</t>
  </si>
  <si>
    <t xml:space="preserve">TGCTGTCAGCGAAGGATCGC</t>
  </si>
  <si>
    <t xml:space="preserve">TAGTTGCTGTCAGCGAAGGATCGC</t>
  </si>
  <si>
    <t xml:space="preserve">AAACGCGATCCTTCGCTGACAGCA</t>
  </si>
  <si>
    <t xml:space="preserve">CGAGGTGCCGCAGTACGCCC</t>
  </si>
  <si>
    <t xml:space="preserve">TAGTCGAGGTGCCGCAGTACGCCC</t>
  </si>
  <si>
    <t xml:space="preserve">AAACGGGCGTACTGCGGCACCTCG</t>
  </si>
  <si>
    <t xml:space="preserve">CATCGACCCCCAGCCGCTTG</t>
  </si>
  <si>
    <t xml:space="preserve">TAGTCATCGACCCCCAGCCGCTTG</t>
  </si>
  <si>
    <t xml:space="preserve">AAACCAAGCGGCTGGGGGTCGATG</t>
  </si>
  <si>
    <t xml:space="preserve">PST_0491</t>
  </si>
  <si>
    <t xml:space="preserve">ATTGATGGCAATACGCAGCA</t>
  </si>
  <si>
    <t xml:space="preserve">TAGTATTGATGGCAATACGCAGCA</t>
  </si>
  <si>
    <t xml:space="preserve">AAACTGCTGCGTATTGCCATCAAT</t>
  </si>
  <si>
    <t xml:space="preserve">GTGTTCGCTGAGGTCGTTGA</t>
  </si>
  <si>
    <t xml:space="preserve">TAGTGTGTTCGCTGAGGTCGTTGA</t>
  </si>
  <si>
    <t xml:space="preserve">AAACTCAACGACCTCAGCGAACAC</t>
  </si>
  <si>
    <t xml:space="preserve">AGGTCGAGTCGAAACGGGTC</t>
  </si>
  <si>
    <t xml:space="preserve">TAGTAGGTCGAGTCGAAACGGGTC</t>
  </si>
  <si>
    <t xml:space="preserve">AAACGACCCGTTTCGACTCGACCT</t>
  </si>
  <si>
    <t xml:space="preserve">CGGCTCGGGAAAACGACCGA</t>
  </si>
  <si>
    <t xml:space="preserve">TAGTCGGCTCGGGAAAACGACCGA</t>
  </si>
  <si>
    <t xml:space="preserve">AAACTCGGTCGTTTTCCCGAGCCG</t>
  </si>
  <si>
    <t xml:space="preserve">PST_0492</t>
  </si>
  <si>
    <t xml:space="preserve">CACACCAGGTCGGTCGGCGT</t>
  </si>
  <si>
    <t xml:space="preserve">TAGTCACACCAGGTCGGTCGGCGT</t>
  </si>
  <si>
    <t xml:space="preserve">AAACACGCCGACCGACCTGGTGTG</t>
  </si>
  <si>
    <t xml:space="preserve">GCATTGCGAAACTGCGCGAG</t>
  </si>
  <si>
    <t xml:space="preserve">TAGTGCATTGCGAAACTGCGCGAG</t>
  </si>
  <si>
    <t xml:space="preserve">AAACCTCGCGCAGTTTCGCAATGC</t>
  </si>
  <si>
    <t xml:space="preserve">GGGCAGCGCGCGCTCGGCCA</t>
  </si>
  <si>
    <t xml:space="preserve">TAGTGGGCAGCGCGCGCTCGGCCA</t>
  </si>
  <si>
    <t xml:space="preserve">AAACTGGCCGAGCGCGCGCTGCCC</t>
  </si>
  <si>
    <t xml:space="preserve">GCCGCGACCGCGCCGCAGCC</t>
  </si>
  <si>
    <t xml:space="preserve">TAGTGCCGCGACCGCGCCGCAGCC</t>
  </si>
  <si>
    <t xml:space="preserve">AAACGGCTGCGGCGCGGTCGCGGC</t>
  </si>
  <si>
    <t xml:space="preserve">PST_0493</t>
  </si>
  <si>
    <t xml:space="preserve">GGCGCGGCAGGACGATGCGG</t>
  </si>
  <si>
    <t xml:space="preserve">TAGTGGCGCGGCAGGACGATGCGG</t>
  </si>
  <si>
    <t xml:space="preserve">AAACCCGCATCGTCCTGCCGCGCC</t>
  </si>
  <si>
    <t xml:space="preserve">CGCCAGCGCCGACTTCCATC</t>
  </si>
  <si>
    <t xml:space="preserve">TAGTCGCCAGCGCCGACTTCCATC</t>
  </si>
  <si>
    <t xml:space="preserve">AAACGATGGAAGTCGGCGCTGGCG</t>
  </si>
  <si>
    <t xml:space="preserve">CACGCGGGCGAGTTGCCCGC</t>
  </si>
  <si>
    <t xml:space="preserve">TAGTCACGCGGGCGAGTTGCCCGC</t>
  </si>
  <si>
    <t xml:space="preserve">AAACGCGGGCAACTCGCCCGCGTG</t>
  </si>
  <si>
    <t xml:space="preserve">ATGCGGTCGGTGACGATCAG</t>
  </si>
  <si>
    <t xml:space="preserve">TAGTATGCGGTCGGTGACGATCAG</t>
  </si>
  <si>
    <t xml:space="preserve">AAACCTGATCGTCACCGACCGCAT</t>
  </si>
  <si>
    <t xml:space="preserve">PST_0494</t>
  </si>
  <si>
    <t xml:space="preserve">mmsA-1</t>
  </si>
  <si>
    <t xml:space="preserve">GTTGTTGATCAGGTTGCCGA</t>
  </si>
  <si>
    <t xml:space="preserve">TAGTGTTGTTGATCAGGTTGCCGA</t>
  </si>
  <si>
    <t xml:space="preserve">AAACTCGGCAACCTGATCAACAAC</t>
  </si>
  <si>
    <t xml:space="preserve">GCGCTCGGAGCGGCCTGCGA</t>
  </si>
  <si>
    <t xml:space="preserve">TAGTGCGCTCGGAGCGGCCTGCGA</t>
  </si>
  <si>
    <t xml:space="preserve">AAACTCGCAGGCCGCTCCGAGCGC</t>
  </si>
  <si>
    <t xml:space="preserve">CCGGGTTGTAGACGGTGGCA</t>
  </si>
  <si>
    <t xml:space="preserve">TAGTCCGGGTTGTAGACGGTGGCA</t>
  </si>
  <si>
    <t xml:space="preserve">AAACTGCCACCGTCTACAACCCGG</t>
  </si>
  <si>
    <t xml:space="preserve">ATACAGGCGCGGCTCGCCGG</t>
  </si>
  <si>
    <t xml:space="preserve">TAGTATACAGGCGCGGCTCGCCGG</t>
  </si>
  <si>
    <t xml:space="preserve">AAACCCGGCGAGCCGCGCCTGTAT</t>
  </si>
  <si>
    <t xml:space="preserve">PST_0495</t>
  </si>
  <si>
    <t xml:space="preserve">ATGGAAGAGCCTTTCTCGCG</t>
  </si>
  <si>
    <t xml:space="preserve">TAGTATGGAAGAGCCTTTCTCGCG</t>
  </si>
  <si>
    <t xml:space="preserve">AAACCGCGAGAAAGGCTCTTCCAT</t>
  </si>
  <si>
    <t xml:space="preserve">CTCGATGATTTCCAGCACGC</t>
  </si>
  <si>
    <t xml:space="preserve">TAGTCTCGATGATTTCCAGCACGC</t>
  </si>
  <si>
    <t xml:space="preserve">AAACGCGTGCTGGAAATCATCGAG</t>
  </si>
  <si>
    <t xml:space="preserve">GCCAGCGCGGTCGGGCTGAG</t>
  </si>
  <si>
    <t xml:space="preserve">TAGTGCCAGCGCGGTCGGGCTGAG</t>
  </si>
  <si>
    <t xml:space="preserve">AAACCTCAGCCCGACCGCGCTGGC</t>
  </si>
  <si>
    <t xml:space="preserve">CTTGGGGATGTCCAGGCGCT</t>
  </si>
  <si>
    <t xml:space="preserve">TAGTCTTGGGGATGTCCAGGCGCT</t>
  </si>
  <si>
    <t xml:space="preserve">AAACAGCGCCTGGACATCCCCAAG</t>
  </si>
  <si>
    <t xml:space="preserve">PST_0496</t>
  </si>
  <si>
    <t xml:space="preserve">AGCACCGACCAGGTGCGTCC</t>
  </si>
  <si>
    <t xml:space="preserve">TAGTAGCACCGACCAGGTGCGTCC</t>
  </si>
  <si>
    <t xml:space="preserve">AAACGGACGCACCTGGTCGGTGCT</t>
  </si>
  <si>
    <t xml:space="preserve">TACCGGCGAGCCGTCGAGCG</t>
  </si>
  <si>
    <t xml:space="preserve">TAGTTACCGGCGAGCCGTCGAGCG</t>
  </si>
  <si>
    <t xml:space="preserve">AAACCGCTCGACGGCTCGCCGGTA</t>
  </si>
  <si>
    <t xml:space="preserve">AGATGCTATACAGCAGGATC</t>
  </si>
  <si>
    <t xml:space="preserve">TAGTAGATGCTATACAGCAGGATC</t>
  </si>
  <si>
    <t xml:space="preserve">AAACGATCCTGCTGTATAGCATCT</t>
  </si>
  <si>
    <t xml:space="preserve">CGATCAAGAGGTAGATCGAC</t>
  </si>
  <si>
    <t xml:space="preserve">TAGTCGATCAAGAGGTAGATCGAC</t>
  </si>
  <si>
    <t xml:space="preserve">AAACGTCGATCTACCTCTTGATCG</t>
  </si>
  <si>
    <t xml:space="preserve">PST_0497</t>
  </si>
  <si>
    <t xml:space="preserve">rep</t>
  </si>
  <si>
    <t xml:space="preserve">GGGGCCGCCGACGTAGTTCA</t>
  </si>
  <si>
    <t xml:space="preserve">TAGTGGGGCCGCCGACGTAGTTCA</t>
  </si>
  <si>
    <t xml:space="preserve">AAACTGAACTACGTCGGCGGCCCC</t>
  </si>
  <si>
    <t xml:space="preserve">GGCACCGGCGAGCACCAGCA</t>
  </si>
  <si>
    <t xml:space="preserve">TAGTGGCACCGGCGAGCACCAGCA</t>
  </si>
  <si>
    <t xml:space="preserve">AAACTGCTGGTGCTCGCCGGTGCC</t>
  </si>
  <si>
    <t xml:space="preserve">GATCTTGCGGGTGATCACGC</t>
  </si>
  <si>
    <t xml:space="preserve">TAGTGATCTTGCGGGTGATCACGC</t>
  </si>
  <si>
    <t xml:space="preserve">AAACGCGTGATCACCCGCAAGATC</t>
  </si>
  <si>
    <t xml:space="preserve">GCCGCAGTTCTGCACCAGGT</t>
  </si>
  <si>
    <t xml:space="preserve">TAGTGCCGCAGTTCTGCACCAGGT</t>
  </si>
  <si>
    <t xml:space="preserve">AAACACCTGGTGCAGAACTGCGGC</t>
  </si>
  <si>
    <t xml:space="preserve">PST_0498</t>
  </si>
  <si>
    <t xml:space="preserve">GCCAACAGCAACAATGGCAT</t>
  </si>
  <si>
    <t xml:space="preserve">TAGTGCCAACAGCAACAATGGCAT</t>
  </si>
  <si>
    <t xml:space="preserve">AAACATGCCATTGTTGCTGTTGGC</t>
  </si>
  <si>
    <t xml:space="preserve">GCAGCCGCACCGCCCAGTCT</t>
  </si>
  <si>
    <t xml:space="preserve">TAGTGCAGCCGCACCGCCCAGTCT</t>
  </si>
  <si>
    <t xml:space="preserve">AAACAGACTGGGCGGTGCGGCTGC</t>
  </si>
  <si>
    <t xml:space="preserve">GTGGGCCGAATCCTGCAGGC</t>
  </si>
  <si>
    <t xml:space="preserve">TAGTGTGGGCCGAATCCTGCAGGC</t>
  </si>
  <si>
    <t xml:space="preserve">AAACGCCTGCAGGATTCGGCCCAC</t>
  </si>
  <si>
    <t xml:space="preserve">CGTCGCCACGACCAGCTGTT</t>
  </si>
  <si>
    <t xml:space="preserve">TAGTCGTCGCCACGACCAGCTGTT</t>
  </si>
  <si>
    <t xml:space="preserve">AAACAACAGCTGGTCGTGGCGACG</t>
  </si>
  <si>
    <t xml:space="preserve">PST_0499</t>
  </si>
  <si>
    <t xml:space="preserve">GCGTTGAGGTGGGAAGACGA</t>
  </si>
  <si>
    <t xml:space="preserve">TAGTGCGTTGAGGTGGGAAGACGA</t>
  </si>
  <si>
    <t xml:space="preserve">AAACTCGTCTTCCCACCTCAACGC</t>
  </si>
  <si>
    <t xml:space="preserve">TGCCGAGCCGTAAAAGACCG</t>
  </si>
  <si>
    <t xml:space="preserve">TAGTTGCCGAGCCGTAAAAGACCG</t>
  </si>
  <si>
    <t xml:space="preserve">AAACCGGTCTTTTACGGCTCGGCA</t>
  </si>
  <si>
    <t xml:space="preserve">CGCTGTAGATCACCAGTGCC</t>
  </si>
  <si>
    <t xml:space="preserve">TAGTCGCTGTAGATCACCAGTGCC</t>
  </si>
  <si>
    <t xml:space="preserve">AAACGGCACTGGTGATCTACAGCG</t>
  </si>
  <si>
    <t xml:space="preserve">GGCCTGCGCGTGTTCCTGAA</t>
  </si>
  <si>
    <t xml:space="preserve">TAGTGGCCTGCGCGTGTTCCTGAA</t>
  </si>
  <si>
    <t xml:space="preserve">AAACTTCAGGAACACGCGCAGGCC</t>
  </si>
  <si>
    <t xml:space="preserve">PST_0500</t>
  </si>
  <si>
    <t xml:space="preserve">GCGGCTATGGACGATGGCCA</t>
  </si>
  <si>
    <t xml:space="preserve">TAGTGCGGCTATGGACGATGGCCA</t>
  </si>
  <si>
    <t xml:space="preserve">AAACTGGCCATCGTCCATAGCCGC</t>
  </si>
  <si>
    <t xml:space="preserve">CGCCTCGACGGTCACCGCCG</t>
  </si>
  <si>
    <t xml:space="preserve">TAGTCGCCTCGACGGTCACCGCCG</t>
  </si>
  <si>
    <t xml:space="preserve">AAACCGGCGGTGACCGTCGAGGCG</t>
  </si>
  <si>
    <t xml:space="preserve">CGACCAGGGTCAGCGCCGGC</t>
  </si>
  <si>
    <t xml:space="preserve">TAGTCGACCAGGGTCAGCGCCGGC</t>
  </si>
  <si>
    <t xml:space="preserve">AAACGCCGGCGCTGACCCTGGTCG</t>
  </si>
  <si>
    <t xml:space="preserve">CCTTGACGGCGGTTTCCGGC</t>
  </si>
  <si>
    <t xml:space="preserve">TAGTCCTTGACGGCGGTTTCCGGC</t>
  </si>
  <si>
    <t xml:space="preserve">AAACGCCGGAAACCGCCGTCAAGG</t>
  </si>
  <si>
    <t xml:space="preserve">PST_0501</t>
  </si>
  <si>
    <t xml:space="preserve">GCAAGCGGCTCGCGCAAAGC</t>
  </si>
  <si>
    <t xml:space="preserve">TAGTGCAAGCGGCTCGCGCAAAGC</t>
  </si>
  <si>
    <t xml:space="preserve">AAACGCTTTGCGCGAGCCGCTTGC</t>
  </si>
  <si>
    <t xml:space="preserve">CCGTCGGGCCGCTTCGTTTG</t>
  </si>
  <si>
    <t xml:space="preserve">TAGTCCGTCGGGCCGCTTCGTTTG</t>
  </si>
  <si>
    <t xml:space="preserve">AAACCAAACGAAGCGGCCCGACGG</t>
  </si>
  <si>
    <t xml:space="preserve">CACAAAAAATGAGCAGGCCA</t>
  </si>
  <si>
    <t xml:space="preserve">TAGTCACAAAAAATGAGCAGGCCA</t>
  </si>
  <si>
    <t xml:space="preserve">AAACTGGCCTGCTCATTTTTTGTG</t>
  </si>
  <si>
    <t xml:space="preserve">TTTTTCGCCTTTCTCGGCTG</t>
  </si>
  <si>
    <t xml:space="preserve">TAGTTTTTTCGCCTTTCTCGGCTG</t>
  </si>
  <si>
    <t xml:space="preserve">AAACCAGCCGAGAAAGGCGAAAAA</t>
  </si>
  <si>
    <t xml:space="preserve">PST_0502</t>
  </si>
  <si>
    <t xml:space="preserve">glnK</t>
  </si>
  <si>
    <t xml:space="preserve">CAGCTTGAACGGCTTGATGA</t>
  </si>
  <si>
    <t xml:space="preserve">TAGTCAGCTTGAACGGCTTGATGA</t>
  </si>
  <si>
    <t xml:space="preserve">AAACTCATCAAGCCGTTCAAGCTG</t>
  </si>
  <si>
    <t xml:space="preserve">GAAGCCCTTGACTTCGGTGA</t>
  </si>
  <si>
    <t xml:space="preserve">TAGTGAAGCCCTTGACTTCGGTGA</t>
  </si>
  <si>
    <t xml:space="preserve">AAACTCACCGAAGTCAAGGGCTTC</t>
  </si>
  <si>
    <t xml:space="preserve">GCTCGGTGTGGCCCTTCTGA</t>
  </si>
  <si>
    <t xml:space="preserve">TAGTGCTCGGTGTGGCCCTTCTGA</t>
  </si>
  <si>
    <t xml:space="preserve">AAACTCAGAAGGGCCACACCGAGC</t>
  </si>
  <si>
    <t xml:space="preserve">CAGGAAGTCGACGACGTATT</t>
  </si>
  <si>
    <t xml:space="preserve">TAGTCAGGAAGTCGACGACGTATT</t>
  </si>
  <si>
    <t xml:space="preserve">AAACAATACGTCGTCGACTTCCTG</t>
  </si>
  <si>
    <t xml:space="preserve">PST_0503</t>
  </si>
  <si>
    <t xml:space="preserve">amtB1</t>
  </si>
  <si>
    <t xml:space="preserve">TGCGAATCTTCGCAGAGTCA</t>
  </si>
  <si>
    <t xml:space="preserve">TAGTTGCGAATCTTCGCAGAGTCA</t>
  </si>
  <si>
    <t xml:space="preserve">AAACTGACTCTGCGAAGATTCGCA</t>
  </si>
  <si>
    <t xml:space="preserve">TGGGCTTAACAGAGACAAAA</t>
  </si>
  <si>
    <t xml:space="preserve">TAGTTGGGCTTAACAGAGACAAAA</t>
  </si>
  <si>
    <t xml:space="preserve">AAACTTTTGTCTCTGTTAAGCCCA</t>
  </si>
  <si>
    <t xml:space="preserve">TCCTGCGCCATGGCCAGGCC</t>
  </si>
  <si>
    <t xml:space="preserve">TAGTTCCTGCGCCATGGCCAGGCC</t>
  </si>
  <si>
    <t xml:space="preserve">AAACGGCCTGGCCATGGCGCAGGA</t>
  </si>
  <si>
    <t xml:space="preserve">CATGAACAGCACCAGCGCAG</t>
  </si>
  <si>
    <t xml:space="preserve">TAGTCATGAACAGCACCAGCGCAG</t>
  </si>
  <si>
    <t xml:space="preserve">AAACCTGCGCTGGTGCTGTTCATG</t>
  </si>
  <si>
    <t xml:space="preserve">PST_0504</t>
  </si>
  <si>
    <t xml:space="preserve">amtB2</t>
  </si>
  <si>
    <t xml:space="preserve">CACCAGACCGGCCTCGAGCA</t>
  </si>
  <si>
    <t xml:space="preserve">TAGTCACCAGACCGGCCTCGAGCA</t>
  </si>
  <si>
    <t xml:space="preserve">AAACTGCTCGAGGCCGGTCTGGTG</t>
  </si>
  <si>
    <t xml:space="preserve">CAGAATCTCGGCAGTGTTCT</t>
  </si>
  <si>
    <t xml:space="preserve">TAGTCAGAATCTCGGCAGTGTTCT</t>
  </si>
  <si>
    <t xml:space="preserve">AAACAGAACACTGCCGAGATTCTG</t>
  </si>
  <si>
    <t xml:space="preserve">CGCGTAGAGCACGATGTTCT</t>
  </si>
  <si>
    <t xml:space="preserve">TAGTCGCGTAGAGCACGATGTTCT</t>
  </si>
  <si>
    <t xml:space="preserve">AAACAGAACATCGTGCTCTACGCG</t>
  </si>
  <si>
    <t xml:space="preserve">GAAAATGCCGCCTTCCGGAC</t>
  </si>
  <si>
    <t xml:space="preserve">TAGTGAAAATGCCGCCTTCCGGAC</t>
  </si>
  <si>
    <t xml:space="preserve">AAACGTCCGGAAGGCGGCATTTTC</t>
  </si>
  <si>
    <t xml:space="preserve">PST_0505</t>
  </si>
  <si>
    <t xml:space="preserve">GCGCGCGCGCAAGGTGATCA</t>
  </si>
  <si>
    <t xml:space="preserve">TAGTGCGCGCGCGCAAGGTGATCA</t>
  </si>
  <si>
    <t xml:space="preserve">AAACTGATCACCTTGCGCGCGCGC</t>
  </si>
  <si>
    <t xml:space="preserve">TGATCAGATGAAAACCACGT</t>
  </si>
  <si>
    <t xml:space="preserve">TAGTTGATCAGATGAAAACCACGT</t>
  </si>
  <si>
    <t xml:space="preserve">AAACACGTGGTTTTCATCTGATCA</t>
  </si>
  <si>
    <t xml:space="preserve">TTGCCGCAGTTCCGGCAGCG</t>
  </si>
  <si>
    <t xml:space="preserve">TAGTTTGCCGCAGTTCCGGCAGCG</t>
  </si>
  <si>
    <t xml:space="preserve">AAACCGCTGCCGGAACTGCGGCAA</t>
  </si>
  <si>
    <t xml:space="preserve">CCGAGGTATGCCGCAGCCAC</t>
  </si>
  <si>
    <t xml:space="preserve">TAGTCCGAGGTATGCCGCAGCCAC</t>
  </si>
  <si>
    <t xml:space="preserve">AAACGTGGCTGCGGCATACCTCGG</t>
  </si>
  <si>
    <t xml:space="preserve">PST_0506</t>
  </si>
  <si>
    <t xml:space="preserve">GAGGCTGTCGTCGCCGTCAT</t>
  </si>
  <si>
    <t xml:space="preserve">TAGTGAGGCTGTCGTCGCCGTCAT</t>
  </si>
  <si>
    <t xml:space="preserve">AAACATGACGGCGACGACAGCCTC</t>
  </si>
  <si>
    <t xml:space="preserve">CGGCGTGGCCCGCTCGCTGT</t>
  </si>
  <si>
    <t xml:space="preserve">TAGTCGGCGTGGCCCGCTCGCTGT</t>
  </si>
  <si>
    <t xml:space="preserve">AAACACAGCGAGCGGGCCACGCCG</t>
  </si>
  <si>
    <t xml:space="preserve">TTGGCCTTGGCCTTCTTGGT</t>
  </si>
  <si>
    <t xml:space="preserve">TAGTTTGGCCTTGGCCTTCTTGGT</t>
  </si>
  <si>
    <t xml:space="preserve">AAACACCAAGAAGGCCAAGGCCAA</t>
  </si>
  <si>
    <t xml:space="preserve">CGGCAGCTCGTCCGGCTCGG</t>
  </si>
  <si>
    <t xml:space="preserve">TAGTCGGCAGCTCGTCCGGCTCGG</t>
  </si>
  <si>
    <t xml:space="preserve">AAACCCGAGCCGGACGAGCTGCCG</t>
  </si>
  <si>
    <t xml:space="preserve">PST_0507</t>
  </si>
  <si>
    <t xml:space="preserve">CGTCGAGGTCGAAGGTGATC</t>
  </si>
  <si>
    <t xml:space="preserve">TAGTCGTCGAGGTCGAAGGTGATC</t>
  </si>
  <si>
    <t xml:space="preserve">AAACGATCACCTTCGACCTCGACG</t>
  </si>
  <si>
    <t xml:space="preserve">GGCTGGCGTGGTTTCCCAGA</t>
  </si>
  <si>
    <t xml:space="preserve">TAGTGGCTGGCGTGGTTTCCCAGA</t>
  </si>
  <si>
    <t xml:space="preserve">AAACTCTGGGAAACCACGCCAGCC</t>
  </si>
  <si>
    <t xml:space="preserve">TGCGGTTTCCGCGCTCTGGA</t>
  </si>
  <si>
    <t xml:space="preserve">TAGTTGCGGTTTCCGCGCTCTGGA</t>
  </si>
  <si>
    <t xml:space="preserve">AAACTCCAGAGCGCGGAAACCGCA</t>
  </si>
  <si>
    <t xml:space="preserve">GCCGAGCCGCGGTGCATGGG</t>
  </si>
  <si>
    <t xml:space="preserve">TAGTGCCGAGCCGCGGTGCATGGG</t>
  </si>
  <si>
    <t xml:space="preserve">AAACCCCATGCACCGCGGCTCGGC</t>
  </si>
  <si>
    <t xml:space="preserve">PST_0508</t>
  </si>
  <si>
    <t xml:space="preserve">xerC</t>
  </si>
  <si>
    <t xml:space="preserve">GCGTCGAGTTCGTTCTGCAC</t>
  </si>
  <si>
    <t xml:space="preserve">TAGTGCGTCGAGTTCGTTCTGCAC</t>
  </si>
  <si>
    <t xml:space="preserve">AAACGTGCAGAACGAACTCGACGC</t>
  </si>
  <si>
    <t xml:space="preserve">GCTGCGCAGGTATTCGAAGT</t>
  </si>
  <si>
    <t xml:space="preserve">TAGTGCTGCGCAGGTATTCGAAGT</t>
  </si>
  <si>
    <t xml:space="preserve">AAACACTTCGAATACCTGCGCAGC</t>
  </si>
  <si>
    <t xml:space="preserve">ATAGGCATCCAGCGAATGGC</t>
  </si>
  <si>
    <t xml:space="preserve">TAGTATAGGCATCCAGCGAATGGC</t>
  </si>
  <si>
    <t xml:space="preserve">AAACGCCATTCGCTGGATGCCTAT</t>
  </si>
  <si>
    <t xml:space="preserve">GATGCGCTCGCGCTCGCAGT</t>
  </si>
  <si>
    <t xml:space="preserve">TAGTGATGCGCTCGCGCTCGCAGT</t>
  </si>
  <si>
    <t xml:space="preserve">AAACACTGCGAGCGCGAGCGCATC</t>
  </si>
  <si>
    <t xml:space="preserve">PST_0509</t>
  </si>
  <si>
    <t xml:space="preserve">AGTGCTGCCCTGGGTCTGGT</t>
  </si>
  <si>
    <t xml:space="preserve">TAGTAGTGCTGCCCTGGGTCTGGT</t>
  </si>
  <si>
    <t xml:space="preserve">AAACACCAGACCCAGGGCAGCACT</t>
  </si>
  <si>
    <t xml:space="preserve">ACGGCTTCGGCGTCGGGTAG</t>
  </si>
  <si>
    <t xml:space="preserve">TAGTACGGCTTCGGCGTCGGGTAG</t>
  </si>
  <si>
    <t xml:space="preserve">AAACCTACCCGACGCCGAAGCCGT</t>
  </si>
  <si>
    <t xml:space="preserve">CGGATGGGCGCGCAGGTAGG</t>
  </si>
  <si>
    <t xml:space="preserve">TAGTCGGATGGGCGCGCAGGTAGG</t>
  </si>
  <si>
    <t xml:space="preserve">AAACCCTACCTGCGCGCCCATCCG</t>
  </si>
  <si>
    <t xml:space="preserve">TCGTGGTCGACGAAGAACTC</t>
  </si>
  <si>
    <t xml:space="preserve">TAGTTCGTGGTCGACGAAGAACTC</t>
  </si>
  <si>
    <t xml:space="preserve">AAACGAGTTCTTCGTCGACCACGA</t>
  </si>
  <si>
    <t xml:space="preserve">PST_0510</t>
  </si>
  <si>
    <t xml:space="preserve">dapF</t>
  </si>
  <si>
    <t xml:space="preserve">GTTGCCCAGACCGTGCATCT</t>
  </si>
  <si>
    <t xml:space="preserve">TAGTGTTGCCCAGACCGTGCATCT</t>
  </si>
  <si>
    <t xml:space="preserve">AAACAGATGCACGGTCTGGGCAAC</t>
  </si>
  <si>
    <t xml:space="preserve">TGTGCGCGTGCTGGCTGACC</t>
  </si>
  <si>
    <t xml:space="preserve">TAGTTGTGCGCGTGCTGGCTGACC</t>
  </si>
  <si>
    <t xml:space="preserve">AAACGGTCAGCCAGCACGCGCACA</t>
  </si>
  <si>
    <t xml:space="preserve">ATTGCTTGGCGTGCTTGGGC</t>
  </si>
  <si>
    <t xml:space="preserve">TAGTATTGCTTGGCGTGCTTGGGC</t>
  </si>
  <si>
    <t xml:space="preserve">AAACGCCCAAGCACGCCAAGCAAT</t>
  </si>
  <si>
    <t xml:space="preserve">CAGCTGATCGAAGCCGACGC</t>
  </si>
  <si>
    <t xml:space="preserve">TAGTCAGCTGATCGAAGCCGACGC</t>
  </si>
  <si>
    <t xml:space="preserve">AAACGCGTCGGCTTCGATCAGCTG</t>
  </si>
  <si>
    <t xml:space="preserve">PST_0511</t>
  </si>
  <si>
    <t xml:space="preserve">lysA</t>
  </si>
  <si>
    <t xml:space="preserve">TTGACCGTCGCGGTACGAGA</t>
  </si>
  <si>
    <t xml:space="preserve">TAGTTTGACCGTCGCGGTACGAGA</t>
  </si>
  <si>
    <t xml:space="preserve">AAACTCTCGTACCGCGACGGTCAA</t>
  </si>
  <si>
    <t xml:space="preserve">CCGAAGCGTTGCGCGAGTGC</t>
  </si>
  <si>
    <t xml:space="preserve">TAGTCCGAAGCGTTGCGCGAGTGC</t>
  </si>
  <si>
    <t xml:space="preserve">AAACGCACTCGCGCAACGCTTCGG</t>
  </si>
  <si>
    <t xml:space="preserve">GCGCGGGAATAGACGTAGGT</t>
  </si>
  <si>
    <t xml:space="preserve">TAGTGCGCGGGAATAGACGTAGGT</t>
  </si>
  <si>
    <t xml:space="preserve">AAACACCTACGTCTATTCCCGCGC</t>
  </si>
  <si>
    <t xml:space="preserve">CCGGTACTGGGCCTCGATGT</t>
  </si>
  <si>
    <t xml:space="preserve">TAGTCCGGTACTGGGCCTCGATGT</t>
  </si>
  <si>
    <t xml:space="preserve">AAACACATCGAGGCCCAGTACCGG</t>
  </si>
  <si>
    <t xml:space="preserve">PST_0512</t>
  </si>
  <si>
    <t xml:space="preserve">lppL</t>
  </si>
  <si>
    <t xml:space="preserve">TCCTTGAAAAATCTAATCGC</t>
  </si>
  <si>
    <t xml:space="preserve">TAGTTCCTTGAAAAATCTAATCGC</t>
  </si>
  <si>
    <t xml:space="preserve">AAACGCGATTAGATTTTTCAAGGA</t>
  </si>
  <si>
    <t xml:space="preserve">AGAAGGCGCTTCATGGGGAC</t>
  </si>
  <si>
    <t xml:space="preserve">TAGTAGAAGGCGCTTCATGGGGAC</t>
  </si>
  <si>
    <t xml:space="preserve">AAACGTCCCCATGAAGCGCCTTCT</t>
  </si>
  <si>
    <t xml:space="preserve">AAGACGGCGAGAGCGATGAA</t>
  </si>
  <si>
    <t xml:space="preserve">TAGTAAGACGGCGAGAGCGATGAA</t>
  </si>
  <si>
    <t xml:space="preserve">AAACTTCATCGCTCTCGCCGTCTT</t>
  </si>
  <si>
    <t xml:space="preserve">GCCGCAGCCGCTGAGCGCGG</t>
  </si>
  <si>
    <t xml:space="preserve">TAGTGCCGCAGCCGCTGAGCGCGG</t>
  </si>
  <si>
    <t xml:space="preserve">AAACCCGCGCTCAGCGGCTGCGGC</t>
  </si>
  <si>
    <t xml:space="preserve">PST_0513</t>
  </si>
  <si>
    <t xml:space="preserve">cyaY</t>
  </si>
  <si>
    <t xml:space="preserve">CGTGGTAACGGGCTTCGCTC</t>
  </si>
  <si>
    <t xml:space="preserve">TAGTCGTGGTAACGGGCTTCGCTC</t>
  </si>
  <si>
    <t xml:space="preserve">AAACGAGCGAAGCCCGTTACCACG</t>
  </si>
  <si>
    <t xml:space="preserve">GTCCTCGACGCTCTCCTGCA</t>
  </si>
  <si>
    <t xml:space="preserve">TAGTGTCCTCGACGCTCTCCTGCA</t>
  </si>
  <si>
    <t xml:space="preserve">AAACTGCAGGAGAGCGTCGAGGAC</t>
  </si>
  <si>
    <t xml:space="preserve">CTCCAGGTCGACATCCAGAC</t>
  </si>
  <si>
    <t xml:space="preserve">TAGTCTCCAGGTCGACATCCAGAC</t>
  </si>
  <si>
    <t xml:space="preserve">AAACGTCTGGATGTCGACCTGGAG</t>
  </si>
  <si>
    <t xml:space="preserve">ACGCACGGTCAGTACGCCAC</t>
  </si>
  <si>
    <t xml:space="preserve">TAGTACGCACGGTCAGTACGCCAC</t>
  </si>
  <si>
    <t xml:space="preserve">AAACGTGGCGTACTGACCGTGCGT</t>
  </si>
  <si>
    <t xml:space="preserve">PST_0514</t>
  </si>
  <si>
    <t xml:space="preserve">rnk</t>
  </si>
  <si>
    <t xml:space="preserve">ATCGGCGGTGCACTGGTCAT</t>
  </si>
  <si>
    <t xml:space="preserve">TAGTATCGGCGGTGCACTGGTCAT</t>
  </si>
  <si>
    <t xml:space="preserve">AAACATGACCAGTGCACCGCCGAT</t>
  </si>
  <si>
    <t xml:space="preserve">GCTGCAGGTCGAGTTTGGTA</t>
  </si>
  <si>
    <t xml:space="preserve">TAGTGCTGCAGGTCGAGTTTGGTA</t>
  </si>
  <si>
    <t xml:space="preserve">AAACTACCAAACTCGACCTGCAGC</t>
  </si>
  <si>
    <t xml:space="preserve">GGCTGTCGAGCAGCCGCTCG</t>
  </si>
  <si>
    <t xml:space="preserve">TAGTGGCTGTCGAGCAGCCGCTCG</t>
  </si>
  <si>
    <t xml:space="preserve">AAACCGAGCGGCTGCTCGACAGCC</t>
  </si>
  <si>
    <t xml:space="preserve">CGGCCGGACCGTAATCGTCC</t>
  </si>
  <si>
    <t xml:space="preserve">TAGTCGGCCGGACCGTAATCGTCC</t>
  </si>
  <si>
    <t xml:space="preserve">AAACGGACGATTACGGTCCGGCCG</t>
  </si>
  <si>
    <t xml:space="preserve">PST_0515</t>
  </si>
  <si>
    <t xml:space="preserve">CAGCCAGATAAGCCATTCCA</t>
  </si>
  <si>
    <t xml:space="preserve">TAGTCAGCCAGATAAGCCATTCCA</t>
  </si>
  <si>
    <t xml:space="preserve">AAACTGGAATGGCTTATCTGGCTG</t>
  </si>
  <si>
    <t xml:space="preserve">GCATGCAATTCCTGGTCGTC</t>
  </si>
  <si>
    <t xml:space="preserve">TAGTGCATGCAATTCCTGGTCGTC</t>
  </si>
  <si>
    <t xml:space="preserve">AAACGACGACCAGGAATTGCATGC</t>
  </si>
  <si>
    <t xml:space="preserve">GGCCCGCTGCCAGGCCTCGC</t>
  </si>
  <si>
    <t xml:space="preserve">TAGTGGCCCGCTGCCAGGCCTCGC</t>
  </si>
  <si>
    <t xml:space="preserve">AAACGCGAGGCCTGGCAGCGGGCC</t>
  </si>
  <si>
    <t xml:space="preserve">GGCGCTGGCATTGACAGGCG</t>
  </si>
  <si>
    <t xml:space="preserve">TAGTGGCGCTGGCATTGACAGGCG</t>
  </si>
  <si>
    <t xml:space="preserve">AAACCGCCTGTCAATGCCAGCGCC</t>
  </si>
  <si>
    <t xml:space="preserve">PST_0516</t>
  </si>
  <si>
    <t xml:space="preserve">cyaA</t>
  </si>
  <si>
    <t xml:space="preserve">ATGTGCTGAGTACGGGTCAT</t>
  </si>
  <si>
    <t xml:space="preserve">TAGTATGTGCTGAGTACGGGTCAT</t>
  </si>
  <si>
    <t xml:space="preserve">AAACATGACCCGTACTCAGCACAT</t>
  </si>
  <si>
    <t xml:space="preserve">TGCCTTCTTCGAGAACCAGG</t>
  </si>
  <si>
    <t xml:space="preserve">TAGTTGCCTTCTTCGAGAACCAGG</t>
  </si>
  <si>
    <t xml:space="preserve">AAACCCTGGTTCTCGAAGAAGGCA</t>
  </si>
  <si>
    <t xml:space="preserve">CAGAAAGCGCGTGCGCAGGG</t>
  </si>
  <si>
    <t xml:space="preserve">TAGTCAGAAAGCGCGTGCGCAGGG</t>
  </si>
  <si>
    <t xml:space="preserve">AAACCCCTGCGCACGCGCTTTCTG</t>
  </si>
  <si>
    <t xml:space="preserve">ACGGGTCGACATGGCGGCCA</t>
  </si>
  <si>
    <t xml:space="preserve">TAGTACGGGTCGACATGGCGGCCA</t>
  </si>
  <si>
    <t xml:space="preserve">AAACTGGCCGCCATGTCGACCCGT</t>
  </si>
  <si>
    <t xml:space="preserve">PST_0517</t>
  </si>
  <si>
    <t xml:space="preserve">CAGCTCGGCGACCAACTCAG</t>
  </si>
  <si>
    <t xml:space="preserve">TAGTCAGCTCGGCGACCAACTCAG</t>
  </si>
  <si>
    <t xml:space="preserve">AAACCTGAGTTGGTCGCCGAGCTG</t>
  </si>
  <si>
    <t xml:space="preserve">TTTCCAGATTGAACTGGCAG</t>
  </si>
  <si>
    <t xml:space="preserve">TAGTTTTCCAGATTGAACTGGCAG</t>
  </si>
  <si>
    <t xml:space="preserve">AAACCTGCCAGTTCAATCTGGAAA</t>
  </si>
  <si>
    <t xml:space="preserve">TGGTGGAGGGGCTGGCGTTG</t>
  </si>
  <si>
    <t xml:space="preserve">TAGTTGGTGGAGGGGCTGGCGTTG</t>
  </si>
  <si>
    <t xml:space="preserve">AAACCAACGCCAGCCCCTCCACCA</t>
  </si>
  <si>
    <t xml:space="preserve">CAAGCGGCTGAAGGCGGCGA</t>
  </si>
  <si>
    <t xml:space="preserve">TAGTCAAGCGGCTGAAGGCGGCGA</t>
  </si>
  <si>
    <t xml:space="preserve">AAACTCGCCGCCTTCAGCCGCTTG</t>
  </si>
  <si>
    <t xml:space="preserve">PST_0518</t>
  </si>
  <si>
    <t xml:space="preserve">CGGGCGGTCTGGGGCGGTCA</t>
  </si>
  <si>
    <t xml:space="preserve">TAGTCGGGCGGTCTGGGGCGGTCA</t>
  </si>
  <si>
    <t xml:space="preserve">AAACTGACCGCCCCAGACCGCCCG</t>
  </si>
  <si>
    <t xml:space="preserve">TCGGCATCGACGCGGTAACG</t>
  </si>
  <si>
    <t xml:space="preserve">TAGTTCGGCATCGACGCGGTAACG</t>
  </si>
  <si>
    <t xml:space="preserve">AAACCGTTACCGCGTCGATGCCGA</t>
  </si>
  <si>
    <t xml:space="preserve">GTACCCGCCGCTGGGCCGCC</t>
  </si>
  <si>
    <t xml:space="preserve">TAGTGTACCCGCCGCTGGGCCGCC</t>
  </si>
  <si>
    <t xml:space="preserve">AAACGGCGGCCCAGCGGCGGGTAC</t>
  </si>
  <si>
    <t xml:space="preserve">TACAGCTGCCGTCGTCCGGC</t>
  </si>
  <si>
    <t xml:space="preserve">TAGTTACAGCTGCCGTCGTCCGGC</t>
  </si>
  <si>
    <t xml:space="preserve">AAACGCCGGACGACGGCAGCTGTA</t>
  </si>
  <si>
    <t xml:space="preserve">PST_0519</t>
  </si>
  <si>
    <t xml:space="preserve">AACAGCAGGGTGCGCAGGTC</t>
  </si>
  <si>
    <t xml:space="preserve">TAGTAACAGCAGGGTGCGCAGGTC</t>
  </si>
  <si>
    <t xml:space="preserve">AAACGACCTGCGCACCCTGCTGTT</t>
  </si>
  <si>
    <t xml:space="preserve">CTCGAAGAGCTCGCCGCCCT</t>
  </si>
  <si>
    <t xml:space="preserve">TAGTCTCGAAGAGCTCGCCGCCCT</t>
  </si>
  <si>
    <t xml:space="preserve">AAACAGGGCGGCGAGCTCTTCGAG</t>
  </si>
  <si>
    <t xml:space="preserve">TAGAACAGCAGGCGCTCCTT</t>
  </si>
  <si>
    <t xml:space="preserve">TAGTTAGAACAGCAGGCGCTCCTT</t>
  </si>
  <si>
    <t xml:space="preserve">AAACAAGGAGCGCCTGCTGTTCTA</t>
  </si>
  <si>
    <t xml:space="preserve">ACTCGAAGTGGATTTCGGAG</t>
  </si>
  <si>
    <t xml:space="preserve">TAGTACTCGAAGTGGATTTCGGAG</t>
  </si>
  <si>
    <t xml:space="preserve">AAACCTCCGAAATCCACTTCGAGT</t>
  </si>
  <si>
    <t xml:space="preserve">PST_0520</t>
  </si>
  <si>
    <t xml:space="preserve">ACGGCAGGCGCGGTTGGCGT</t>
  </si>
  <si>
    <t xml:space="preserve">TAGTACGGCAGGCGCGGTTGGCGT</t>
  </si>
  <si>
    <t xml:space="preserve">AAACACGCCAACCGCGCCTGCCGT</t>
  </si>
  <si>
    <t xml:space="preserve">GACGGGGAAGAACCAGGCGT</t>
  </si>
  <si>
    <t xml:space="preserve">TAGTGACGGGGAAGAACCAGGCGT</t>
  </si>
  <si>
    <t xml:space="preserve">AAACACGCCTGGTTCTTCCCCGTC</t>
  </si>
  <si>
    <t xml:space="preserve">GATGAAGGCCGCATAGAGTG</t>
  </si>
  <si>
    <t xml:space="preserve">TAGTGATGAAGGCCGCATAGAGTG</t>
  </si>
  <si>
    <t xml:space="preserve">AAACCACTCTATGCGGCCTTCATC</t>
  </si>
  <si>
    <t xml:space="preserve">GCGCGAATACCGAGATCGGC</t>
  </si>
  <si>
    <t xml:space="preserve">TAGTGCGCGAATACCGAGATCGGC</t>
  </si>
  <si>
    <t xml:space="preserve">AAACGCCGATCTCGGTATTCGCGC</t>
  </si>
  <si>
    <t xml:space="preserve">PST_0521</t>
  </si>
  <si>
    <t xml:space="preserve">argH</t>
  </si>
  <si>
    <t xml:space="preserve">CCAGGACTGGTTGGTCTTGT</t>
  </si>
  <si>
    <t xml:space="preserve">TAGTCCAGGACTGGTTGGTCTTGT</t>
  </si>
  <si>
    <t xml:space="preserve">AAACACAAGACCAACCAGTCCTGG</t>
  </si>
  <si>
    <t xml:space="preserve">CGTCGACGGGCTCGCTGAAA</t>
  </si>
  <si>
    <t xml:space="preserve">TAGTCGTCGACGGGCTCGCTGAAA</t>
  </si>
  <si>
    <t xml:space="preserve">AAACTTTCAGCGAGCCCGTCGACG</t>
  </si>
  <si>
    <t xml:space="preserve">GGCGGTGAATCGGGCGACGA</t>
  </si>
  <si>
    <t xml:space="preserve">TAGTGGCGGTGAATCGGGCGACGA</t>
  </si>
  <si>
    <t xml:space="preserve">AAACTCGTCGCCCGATTCACCGCC</t>
  </si>
  <si>
    <t xml:space="preserve">GCGCTTGTCGAACTCGACGG</t>
  </si>
  <si>
    <t xml:space="preserve">TAGTGCGCTTGTCGAACTCGACGG</t>
  </si>
  <si>
    <t xml:space="preserve">AAACCCGTCGAGTTCGACAAGCGC</t>
  </si>
  <si>
    <t xml:space="preserve">PST_0522</t>
  </si>
  <si>
    <t xml:space="preserve">GAAGCCCGGCTGCATAGGCT</t>
  </si>
  <si>
    <t xml:space="preserve">TAGTGAAGCCCGGCTGCATAGGCT</t>
  </si>
  <si>
    <t xml:space="preserve">AAACAGCCTATGCAGCCGGGCTTC</t>
  </si>
  <si>
    <t xml:space="preserve">GATCCACTGCACGAACAGCG</t>
  </si>
  <si>
    <t xml:space="preserve">TAGTGATCCACTGCACGAACAGCG</t>
  </si>
  <si>
    <t xml:space="preserve">AAACCGCTGTTCGTGCAGTGGATC</t>
  </si>
  <si>
    <t xml:space="preserve">CAGCAGGCACATGGTGCCGG</t>
  </si>
  <si>
    <t xml:space="preserve">TAGTCAGCAGGCACATGGTGCCGG</t>
  </si>
  <si>
    <t xml:space="preserve">AAACCCGGCACCATGTGCCTGCTG</t>
  </si>
  <si>
    <t xml:space="preserve">GCTCTGAGCCTCGCCAGCAG</t>
  </si>
  <si>
    <t xml:space="preserve">TAGTGCTCTGAGCCTCGCCAGCAG</t>
  </si>
  <si>
    <t xml:space="preserve">AAACCTGCTGGCGAGGCTCAGAGC</t>
  </si>
  <si>
    <t xml:space="preserve">PST_0523</t>
  </si>
  <si>
    <t xml:space="preserve">algR</t>
  </si>
  <si>
    <t xml:space="preserve">GAGGTTCGTCATCGACAATC</t>
  </si>
  <si>
    <t xml:space="preserve">TAGTGAGGTTCGTCATCGACAATC</t>
  </si>
  <si>
    <t xml:space="preserve">AAACGATTGTCGATGACGAACCTC</t>
  </si>
  <si>
    <t xml:space="preserve">GGTCACCTACCAGTCGGCTC</t>
  </si>
  <si>
    <t xml:space="preserve">TAGTGGTCACCTACCAGTCGGCTC</t>
  </si>
  <si>
    <t xml:space="preserve">AAACGAGCCGACTGGTAGGTGACC</t>
  </si>
  <si>
    <t xml:space="preserve">CGAGGACACGATAGCCGTCG</t>
  </si>
  <si>
    <t xml:space="preserve">TAGTCGAGGACACGATAGCCGTCG</t>
  </si>
  <si>
    <t xml:space="preserve">AAACCGACGGCTATCGTGTCCTCG</t>
  </si>
  <si>
    <t xml:space="preserve">TCTTCGCCATTGCTGGCGGC</t>
  </si>
  <si>
    <t xml:space="preserve">TAGTTCTTCGCCATTGCTGGCGGC</t>
  </si>
  <si>
    <t xml:space="preserve">AAACGCCGCCAGCAATGGCGAAGA</t>
  </si>
  <si>
    <t xml:space="preserve">PST_0524</t>
  </si>
  <si>
    <t xml:space="preserve">hemC</t>
  </si>
  <si>
    <t xml:space="preserve">ATGCGAATTTCGCGAGACAT</t>
  </si>
  <si>
    <t xml:space="preserve">TAGTATGCGAATTTCGCGAGACAT</t>
  </si>
  <si>
    <t xml:space="preserve">AAACATGTCTCGCGAAATTCGCAT</t>
  </si>
  <si>
    <t xml:space="preserve">GGCCAGGGCACTCTTGCGGG</t>
  </si>
  <si>
    <t xml:space="preserve">TAGTGGCCAGGGCACTCTTGCGGG</t>
  </si>
  <si>
    <t xml:space="preserve">AAACCCCGCAAGAGTGCCCTGGCC</t>
  </si>
  <si>
    <t xml:space="preserve">GACGTATTCGGCCTGCCACA</t>
  </si>
  <si>
    <t xml:space="preserve">TAGTGACGTATTCGGCCTGCCACA</t>
  </si>
  <si>
    <t xml:space="preserve">AAACTGTGGCAGGCCGAATACGTC</t>
  </si>
  <si>
    <t xml:space="preserve">GCCCTGGATGCGACGCCTCC</t>
  </si>
  <si>
    <t xml:space="preserve">TAGTGCCCTGGATGCGACGCCTCC</t>
  </si>
  <si>
    <t xml:space="preserve">AAACGGAGGCGTCGCATCCAGGGC</t>
  </si>
  <si>
    <t xml:space="preserve">PST_0525</t>
  </si>
  <si>
    <t xml:space="preserve">hemD</t>
  </si>
  <si>
    <t xml:space="preserve">CTCGCATTCCTCGGCCGGCC</t>
  </si>
  <si>
    <t xml:space="preserve">TAGTCTCGCATTCCTCGGCCGGCC</t>
  </si>
  <si>
    <t xml:space="preserve">AAACGGCCGGCCGAGGAATGCGAG</t>
  </si>
  <si>
    <t xml:space="preserve">GCCTGCCTCGGCGAGAGTCG</t>
  </si>
  <si>
    <t xml:space="preserve">TAGTGCCTGCCTCGGCGAGAGTCG</t>
  </si>
  <si>
    <t xml:space="preserve">AAACCGACTCTCGCCGAGGCAGGC</t>
  </si>
  <si>
    <t xml:space="preserve">TGCTCGGCGGACTCCGGCAG</t>
  </si>
  <si>
    <t xml:space="preserve">TAGTTGCTCGGCGGACTCCGGCAG</t>
  </si>
  <si>
    <t xml:space="preserve">AAACCTGCCGGAGTCCGCCGAGCA</t>
  </si>
  <si>
    <t xml:space="preserve">CGCAATAGCGATCCAGCTCG</t>
  </si>
  <si>
    <t xml:space="preserve">TAGTCGCAATAGCGATCCAGCTCG</t>
  </si>
  <si>
    <t xml:space="preserve">AAACCGAGCTGGATCGCTATTGCG</t>
  </si>
  <si>
    <t xml:space="preserve">PST_0526</t>
  </si>
  <si>
    <t xml:space="preserve">GGGTTGCAGCGGTTCTTTCT</t>
  </si>
  <si>
    <t xml:space="preserve">TAGTGGGTTGCAGCGGTTCTTTCT</t>
  </si>
  <si>
    <t xml:space="preserve">AAACAGAAAGAACCGCTGCAACCC</t>
  </si>
  <si>
    <t xml:space="preserve">GGGGCCGGCTCGCTGGCGGG</t>
  </si>
  <si>
    <t xml:space="preserve">TAGTGGGGCCGGCTCGCTGGCGGG</t>
  </si>
  <si>
    <t xml:space="preserve">AAACCCCGCCAGCGAGCCGGCCCC</t>
  </si>
  <si>
    <t xml:space="preserve">GTTTCGCAGGCTCGGTCGCG</t>
  </si>
  <si>
    <t xml:space="preserve">TAGTGTTTCGCAGGCTCGGTCGCG</t>
  </si>
  <si>
    <t xml:space="preserve">AAACCGCGACCGAGCCTGCGAAAC</t>
  </si>
  <si>
    <t xml:space="preserve">ACGGGCTTGGCGGGCTTTGC</t>
  </si>
  <si>
    <t xml:space="preserve">TAGTACGGGCTTGGCGGGCTTTGC</t>
  </si>
  <si>
    <t xml:space="preserve">AAACGCAAAGCCCGCCAAGCCCGT</t>
  </si>
  <si>
    <t xml:space="preserve">PST_0527</t>
  </si>
  <si>
    <t xml:space="preserve">hemY</t>
  </si>
  <si>
    <t xml:space="preserve">TCAGCACATAACCGGCGCTC</t>
  </si>
  <si>
    <t xml:space="preserve">TAGTTCAGCACATAACCGGCGCTC</t>
  </si>
  <si>
    <t xml:space="preserve">AAACGAGCGCCGGTTATGTGCTGA</t>
  </si>
  <si>
    <t xml:space="preserve">TTCGTAGCGGAAGCGGTCAT</t>
  </si>
  <si>
    <t xml:space="preserve">TAGTTTCGTAGCGGAAGCGGTCAT</t>
  </si>
  <si>
    <t xml:space="preserve">AAACATGACCGCTTCCGCTACGAA</t>
  </si>
  <si>
    <t xml:space="preserve">ACAGACAGCCAATCAGCGCG</t>
  </si>
  <si>
    <t xml:space="preserve">TAGTACAGACAGCCAATCAGCGCG</t>
  </si>
  <si>
    <t xml:space="preserve">AAACCGCGCTGATTGGCTGTCTGT</t>
  </si>
  <si>
    <t xml:space="preserve">CCAGGGATTGATCAGCGCGC</t>
  </si>
  <si>
    <t xml:space="preserve">TAGTCCAGGGATTGATCAGCGCGC</t>
  </si>
  <si>
    <t xml:space="preserve">AAACGCGCGCTGATCAATCCCTGG</t>
  </si>
  <si>
    <t xml:space="preserve">PST_0528</t>
  </si>
  <si>
    <t xml:space="preserve">dsbH</t>
  </si>
  <si>
    <t xml:space="preserve">ACGAGGGCTGGCCAGGCGCA</t>
  </si>
  <si>
    <t xml:space="preserve">TAGTACGAGGGCTGGCCAGGCGCA</t>
  </si>
  <si>
    <t xml:space="preserve">AAACTGCGCCTGGCCAGCCCTCGT</t>
  </si>
  <si>
    <t xml:space="preserve">CAGGAAGGCGATGACGAACA</t>
  </si>
  <si>
    <t xml:space="preserve">TAGTCAGGAAGGCGATGACGAACA</t>
  </si>
  <si>
    <t xml:space="preserve">AAACTGTTCGTCATCGCCTTCCTG</t>
  </si>
  <si>
    <t xml:space="preserve">GAGCGCGATGGCGATCAGCA</t>
  </si>
  <si>
    <t xml:space="preserve">TAGTGAGCGCGATGGCGATCAGCA</t>
  </si>
  <si>
    <t xml:space="preserve">AAACTGCTGATCGCCATCGCGCTC</t>
  </si>
  <si>
    <t xml:space="preserve">TGCACAGCGGGCATGGCGCA</t>
  </si>
  <si>
    <t xml:space="preserve">TAGTTGCACAGCGGGCATGGCGCA</t>
  </si>
  <si>
    <t xml:space="preserve">AAACTGCGCCATGCCCGCTGTGCA</t>
  </si>
  <si>
    <t xml:space="preserve">PST_0529</t>
  </si>
  <si>
    <t xml:space="preserve">algQ</t>
  </si>
  <si>
    <t xml:space="preserve">TACACCGCCCCAGCGTTCCT</t>
  </si>
  <si>
    <t xml:space="preserve">TAGTTACACCGCCCCAGCGTTCCT</t>
  </si>
  <si>
    <t xml:space="preserve">AAACAGGAACGCTGGGGCGGTGTA</t>
  </si>
  <si>
    <t xml:space="preserve">CATGGCGTTCATGCAGCCAA</t>
  </si>
  <si>
    <t xml:space="preserve">TAGTCATGGCGTTCATGCAGCCAA</t>
  </si>
  <si>
    <t xml:space="preserve">AAACTTGGCTGCATGAACGCCATG</t>
  </si>
  <si>
    <t xml:space="preserve">CTCGATATGCAACCGGTCGT</t>
  </si>
  <si>
    <t xml:space="preserve">TAGTCTCGATATGCAACCGGTCGT</t>
  </si>
  <si>
    <t xml:space="preserve">AAACACGACCGGTTGCATATCGAG</t>
  </si>
  <si>
    <t xml:space="preserve">CGCAGAACCTTTGCAGGGCC</t>
  </si>
  <si>
    <t xml:space="preserve">TAGTCGCAGAACCTTTGCAGGGCC</t>
  </si>
  <si>
    <t xml:space="preserve">AAACGGCCCTGCAAAGGTTCTGCG</t>
  </si>
  <si>
    <t xml:space="preserve">PST_0530</t>
  </si>
  <si>
    <t xml:space="preserve">algP</t>
  </si>
  <si>
    <t xml:space="preserve">GTAACCGACTTCTTCTTCGC</t>
  </si>
  <si>
    <t xml:space="preserve">TAGTGTAACCGACTTCTTCTTCGC</t>
  </si>
  <si>
    <t xml:space="preserve">AAACGCGAAGAAGAAGTCGGTTAC</t>
  </si>
  <si>
    <t xml:space="preserve">CTGCAACAGATGCAGCGGGG</t>
  </si>
  <si>
    <t xml:space="preserve">TAGTCTGCAACAGATGCAGCGGGG</t>
  </si>
  <si>
    <t xml:space="preserve">AAACCCCCGCTGCATCTGTTGCAG</t>
  </si>
  <si>
    <t xml:space="preserve">CAGATGTTCGATAAGGCTGT</t>
  </si>
  <si>
    <t xml:space="preserve">TAGTCAGATGTTCGATAAGGCTGT</t>
  </si>
  <si>
    <t xml:space="preserve">AAACACAGCCTTATCGAACATCTG</t>
  </si>
  <si>
    <t xml:space="preserve">GTCCTTGATCGCCTGGCTGC</t>
  </si>
  <si>
    <t xml:space="preserve">TAGTGTCCTTGATCGCCTGGCTGC</t>
  </si>
  <si>
    <t xml:space="preserve">AAACGCAGCCAGGCGATCAAGGAC</t>
  </si>
  <si>
    <t xml:space="preserve">PST_0531</t>
  </si>
  <si>
    <t xml:space="preserve">GGCGAAGGTCCAAAGGTCAG</t>
  </si>
  <si>
    <t xml:space="preserve">TAGTGGCGAAGGTCCAAAGGTCAG</t>
  </si>
  <si>
    <t xml:space="preserve">AAACCTGACCTTTGGACCTTCGCC</t>
  </si>
  <si>
    <t xml:space="preserve">TGGTCGGGCATAGCAGGCTA</t>
  </si>
  <si>
    <t xml:space="preserve">TAGTTGGTCGGGCATAGCAGGCTA</t>
  </si>
  <si>
    <t xml:space="preserve">AAACTAGCCTGCTATGCCCGACCA</t>
  </si>
  <si>
    <t xml:space="preserve">AGGCAAGCCGTTTCGACACC</t>
  </si>
  <si>
    <t xml:space="preserve">TAGTAGGCAAGCCGTTTCGACACC</t>
  </si>
  <si>
    <t xml:space="preserve">AAACGGTGTCGAAACGGCTTGCCT</t>
  </si>
  <si>
    <t xml:space="preserve">CGCCCTGGTTTTGCAGCTCC</t>
  </si>
  <si>
    <t xml:space="preserve">TAGTCGCCCTGGTTTTGCAGCTCC</t>
  </si>
  <si>
    <t xml:space="preserve">AAACGGAGCTGCAAAACCAGGGCG</t>
  </si>
  <si>
    <t xml:space="preserve">PST_0532</t>
  </si>
  <si>
    <t xml:space="preserve">GTAGAGTCAGGTTCTGAAGT</t>
  </si>
  <si>
    <t xml:space="preserve">TAGTGTAGAGTCAGGTTCTGAAGT</t>
  </si>
  <si>
    <t xml:space="preserve">AAACACTTCAGAACCTGACTCTAC</t>
  </si>
  <si>
    <t xml:space="preserve">GCGCCTTCCAGCAGTCGCTG</t>
  </si>
  <si>
    <t xml:space="preserve">TAGTGCGCCTTCCAGCAGTCGCTG</t>
  </si>
  <si>
    <t xml:space="preserve">AAACCAGCGACTGCTGGAAGGCGC</t>
  </si>
  <si>
    <t xml:space="preserve">GCCGGGATGCAGGGTCAGCT</t>
  </si>
  <si>
    <t xml:space="preserve">TAGTGCCGGGATGCAGGGTCAGCT</t>
  </si>
  <si>
    <t xml:space="preserve">AAACAGCTGACCCTGCATCCCGGC</t>
  </si>
  <si>
    <t xml:space="preserve">ACCGTTGGCGCCGACCAGGC</t>
  </si>
  <si>
    <t xml:space="preserve">TAGTACCGTTGGCGCCGACCAGGC</t>
  </si>
  <si>
    <t xml:space="preserve">AAACGCCTGGTCGGCGCCAACGGT</t>
  </si>
  <si>
    <t xml:space="preserve">PST_0533</t>
  </si>
  <si>
    <t xml:space="preserve">TCCTCGACCAGGGTCAGCCA</t>
  </si>
  <si>
    <t xml:space="preserve">TAGTTCCTCGACCAGGGTCAGCCA</t>
  </si>
  <si>
    <t xml:space="preserve">AAACTGGCTGACCCTGGTCGAGGA</t>
  </si>
  <si>
    <t xml:space="preserve">GCAAGCCCAGCATCCATTGC</t>
  </si>
  <si>
    <t xml:space="preserve">TAGTGCAAGCCCAGCATCCATTGC</t>
  </si>
  <si>
    <t xml:space="preserve">AAACGCAATGGATGCTGGGCTTGC</t>
  </si>
  <si>
    <t xml:space="preserve">TCAGCAACTCCGGTGGCAGC</t>
  </si>
  <si>
    <t xml:space="preserve">TAGTTCAGCAACTCCGGTGGCAGC</t>
  </si>
  <si>
    <t xml:space="preserve">AAACGCTGCCACCGGAGTTGCTGA</t>
  </si>
  <si>
    <t xml:space="preserve">CAGCGGATGCCGCCGCGCAC</t>
  </si>
  <si>
    <t xml:space="preserve">TAGTCAGCGGATGCCGCCGCGCAC</t>
  </si>
  <si>
    <t xml:space="preserve">AAACGTGCGCGGCGGCATCCGCTG</t>
  </si>
  <si>
    <t xml:space="preserve">PST_0534</t>
  </si>
  <si>
    <t xml:space="preserve">GAAACGCGACCCAGATTTCC</t>
  </si>
  <si>
    <t xml:space="preserve">TAGTGAAACGCGACCCAGATTTCC</t>
  </si>
  <si>
    <t xml:space="preserve">AAACGGAAATCTGGGTCGCGTTTC</t>
  </si>
  <si>
    <t xml:space="preserve">GATGCCCAGGACGATTTCCA</t>
  </si>
  <si>
    <t xml:space="preserve">TAGTGATGCCCAGGACGATTTCCA</t>
  </si>
  <si>
    <t xml:space="preserve">AAACTGGAAATCGTCCTGGGCATC</t>
  </si>
  <si>
    <t xml:space="preserve">GGGCAGGCGGCTGACCAGAA</t>
  </si>
  <si>
    <t xml:space="preserve">TAGTGGGCAGGCGGCTGACCAGAA</t>
  </si>
  <si>
    <t xml:space="preserve">AAACTTCTGGTCAGCCGCCTGCCC</t>
  </si>
  <si>
    <t xml:space="preserve">GCCTTGGGCTGCTGTTCCTT</t>
  </si>
  <si>
    <t xml:space="preserve">TAGTGCCTTGGGCTGCTGTTCCTT</t>
  </si>
  <si>
    <t xml:space="preserve">AAACAAGGAACAGCAGCCCAAGGC</t>
  </si>
  <si>
    <t xml:space="preserve">PST_0535</t>
  </si>
  <si>
    <t xml:space="preserve">GGCGACAAAGAATGCGAGCC</t>
  </si>
  <si>
    <t xml:space="preserve">TAGTGGCGACAAAGAATGCGAGCC</t>
  </si>
  <si>
    <t xml:space="preserve">AAACGGCTCGCATTCTTTGTCGCC</t>
  </si>
  <si>
    <t xml:space="preserve">CGACAGGCTGATCACCCAAC</t>
  </si>
  <si>
    <t xml:space="preserve">TAGTCGACAGGCTGATCACCCAAC</t>
  </si>
  <si>
    <t xml:space="preserve">AAACGTTGGGTGATCAGCCTGTCG</t>
  </si>
  <si>
    <t xml:space="preserve">GACGCGATGGCCCCGGCGCC</t>
  </si>
  <si>
    <t xml:space="preserve">TAGTGACGCGATGGCCCCGGCGCC</t>
  </si>
  <si>
    <t xml:space="preserve">AAACGGCGCCGGGGCCATCGCGTC</t>
  </si>
  <si>
    <t xml:space="preserve">GAAGCCGTACTGCAAGCCGC</t>
  </si>
  <si>
    <t xml:space="preserve">TAGTGAAGCCGTACTGCAAGCCGC</t>
  </si>
  <si>
    <t xml:space="preserve">AAACGCGGCTTGCAGTACGGCTTC</t>
  </si>
  <si>
    <t xml:space="preserve">PST_0536</t>
  </si>
  <si>
    <t xml:space="preserve">GCGTCGATCCATACGCGCAT</t>
  </si>
  <si>
    <t xml:space="preserve">TAGTGCGTCGATCCATACGCGCAT</t>
  </si>
  <si>
    <t xml:space="preserve">AAACATGCGCGTATGGATCGACGC</t>
  </si>
  <si>
    <t xml:space="preserve">GGCTGCGCGCGGGCAGGCAT</t>
  </si>
  <si>
    <t xml:space="preserve">TAGTGGCTGCGCGCGGGCAGGCAT</t>
  </si>
  <si>
    <t xml:space="preserve">AAACATGCCTGCCCGCGCGCAGCC</t>
  </si>
  <si>
    <t xml:space="preserve">GAACTTGATCACCTGATCCT</t>
  </si>
  <si>
    <t xml:space="preserve">TAGTGAACTTGATCACCTGATCCT</t>
  </si>
  <si>
    <t xml:space="preserve">AAACAGGATCAGGTGATCAAGTTC</t>
  </si>
  <si>
    <t xml:space="preserve">CACCTCGAACTTGCGCTTGA</t>
  </si>
  <si>
    <t xml:space="preserve">TAGTCACCTCGAACTTGCGCTTGA</t>
  </si>
  <si>
    <t xml:space="preserve">AAACTCAAGCGCAAGTTCGAGGTG</t>
  </si>
  <si>
    <t xml:space="preserve">PST_0537</t>
  </si>
  <si>
    <t xml:space="preserve">CAGGTCGGAAAACAGCAGTC</t>
  </si>
  <si>
    <t xml:space="preserve">TAGTCAGGTCGGAAAACAGCAGTC</t>
  </si>
  <si>
    <t xml:space="preserve">AAACGACTGCTGTTTTCCGACCTG</t>
  </si>
  <si>
    <t xml:space="preserve">AGCAGGGCAACCTGGTCGGC</t>
  </si>
  <si>
    <t xml:space="preserve">TAGTAGCAGGGCAACCTGGTCGGC</t>
  </si>
  <si>
    <t xml:space="preserve">AAACGCCGACCAGGTTGCCCTGCT</t>
  </si>
  <si>
    <t xml:space="preserve">GCACGACCAGCATCGGGTCA</t>
  </si>
  <si>
    <t xml:space="preserve">TAGTGCACGACCAGCATCGGGTCA</t>
  </si>
  <si>
    <t xml:space="preserve">AAACTGACCCGATGCTGGTCGTGC</t>
  </si>
  <si>
    <t xml:space="preserve">CGCGGCGCTGGCGATCAGAT</t>
  </si>
  <si>
    <t xml:space="preserve">TAGTCGCGGCGCTGGCGATCAGAT</t>
  </si>
  <si>
    <t xml:space="preserve">AAACATCTGATCGCCAGCGCCGCG</t>
  </si>
  <si>
    <t xml:space="preserve">PST_0538</t>
  </si>
  <si>
    <t xml:space="preserve">GTCCGGGCTGAACAGGTCGA</t>
  </si>
  <si>
    <t xml:space="preserve">TAGTGTCCGGGCTGAACAGGTCGA</t>
  </si>
  <si>
    <t xml:space="preserve">AAACTCGACCTGTTCAGCCCGGAC</t>
  </si>
  <si>
    <t xml:space="preserve">GGGTCGGACCAAACTGCCCG</t>
  </si>
  <si>
    <t xml:space="preserve">TAGTGGGTCGGACCAAACTGCCCG</t>
  </si>
  <si>
    <t xml:space="preserve">AAACCGGGCAGTTTGGTCCGACCC</t>
  </si>
  <si>
    <t xml:space="preserve">ATGGTCGGCATTCCTGAAAA</t>
  </si>
  <si>
    <t xml:space="preserve">TAGTATGGTCGGCATTCCTGAAAA</t>
  </si>
  <si>
    <t xml:space="preserve">AAACTTTTCAGGAATGCCGACCAT</t>
  </si>
  <si>
    <t xml:space="preserve">CGGCGAGCAGCGCATCGTCA</t>
  </si>
  <si>
    <t xml:space="preserve">TAGTCGGCGAGCAGCGCATCGTCA</t>
  </si>
  <si>
    <t xml:space="preserve">AAACTGACGATGCGCTGCTCGCCG</t>
  </si>
  <si>
    <t xml:space="preserve">PST_0539</t>
  </si>
  <si>
    <t xml:space="preserve">elbB</t>
  </si>
  <si>
    <t xml:space="preserve">GCCACAGCCGGATAGGATCA</t>
  </si>
  <si>
    <t xml:space="preserve">TAGTGCCACAGCCGGATAGGATCA</t>
  </si>
  <si>
    <t xml:space="preserve">AAACTGATCCTATCCGGCTGTGGC</t>
  </si>
  <si>
    <t xml:space="preserve">CCTTGACGCCGCGCTGGTCC</t>
  </si>
  <si>
    <t xml:space="preserve">TAGTCCTTGACGCCGCGCTGGTCC</t>
  </si>
  <si>
    <t xml:space="preserve">AAACGGACCAGCGCGGCGTCAAGG</t>
  </si>
  <si>
    <t xml:space="preserve">ACGTGCATCTGCGCAATGTT</t>
  </si>
  <si>
    <t xml:space="preserve">TAGTACGTGCATCTGCGCAATGTT</t>
  </si>
  <si>
    <t xml:space="preserve">AAACAACATTGCGCAGATGCACGT</t>
  </si>
  <si>
    <t xml:space="preserve">CCGGCATTTCCTCGCCGGTC</t>
  </si>
  <si>
    <t xml:space="preserve">TAGTCCGGCATTTCCTCGCCGGTC</t>
  </si>
  <si>
    <t xml:space="preserve">AAACGACCGGCGAGGAAATGCCGG</t>
  </si>
  <si>
    <t xml:space="preserve">PST_0540</t>
  </si>
  <si>
    <t xml:space="preserve">hemB</t>
  </si>
  <si>
    <t xml:space="preserve">GCGGGGAACAGGCGGCTGGC</t>
  </si>
  <si>
    <t xml:space="preserve">TAGTGCGGGGAACAGGCGGCTGGC</t>
  </si>
  <si>
    <t xml:space="preserve">AAACGCCAGCCGCCTGTTCCCCGC</t>
  </si>
  <si>
    <t xml:space="preserve">ACGGTTGCGGCGCAGGCGGG</t>
  </si>
  <si>
    <t xml:space="preserve">TAGTACGGTTGCGGCGCAGGCGGG</t>
  </si>
  <si>
    <t xml:space="preserve">AAACCCCGCCTGCGCCGCAACCGT</t>
  </si>
  <si>
    <t xml:space="preserve">GTTCTCGCGCACCAGACGGC</t>
  </si>
  <si>
    <t xml:space="preserve">TAGTGTTCTCGCGCACCAGACGGC</t>
  </si>
  <si>
    <t xml:space="preserve">AAACGCCGTCTGGTGCGCGAGAAC</t>
  </si>
  <si>
    <t xml:space="preserve">GCACGAACACCGGGAGGATC</t>
  </si>
  <si>
    <t xml:space="preserve">TAGTGCACGAACACCGGGAGGATC</t>
  </si>
  <si>
    <t xml:space="preserve">AAACGATCCTCCCGGTGTTCGTGC</t>
  </si>
  <si>
    <t xml:space="preserve">PST_0541</t>
  </si>
  <si>
    <t xml:space="preserve">ppk</t>
  </si>
  <si>
    <t xml:space="preserve">GATCCTTTTCGCTGAGTCCC</t>
  </si>
  <si>
    <t xml:space="preserve">TAGTGATCCTTTTCGCTGAGTCCC</t>
  </si>
  <si>
    <t xml:space="preserve">AAACGGGACTCAGCGAAAAGGATC</t>
  </si>
  <si>
    <t xml:space="preserve">CTCCAGCACCTCGCTGACGA</t>
  </si>
  <si>
    <t xml:space="preserve">TAGTCTCCAGCACCTCGCTGACGA</t>
  </si>
  <si>
    <t xml:space="preserve">AAACTCGTCAGCGAGGTGCTGGAG</t>
  </si>
  <si>
    <t xml:space="preserve">GAAGGCACCGCTACCGCTTC</t>
  </si>
  <si>
    <t xml:space="preserve">TAGTGAAGGCACCGCTACCGCTTC</t>
  </si>
  <si>
    <t xml:space="preserve">AAACGAAGCGGTAGCGGTGCCTTC</t>
  </si>
  <si>
    <t xml:space="preserve">CTCGACGACTTCCGGCGGCG</t>
  </si>
  <si>
    <t xml:space="preserve">TAGTCTCGACGACTTCCGGCGGCG</t>
  </si>
  <si>
    <t xml:space="preserve">AAACCGCCGCCGGAAGTCGTCGAG</t>
  </si>
  <si>
    <t xml:space="preserve">PST_0542</t>
  </si>
  <si>
    <t xml:space="preserve">ppx</t>
  </si>
  <si>
    <t xml:space="preserve">TCAGCGGTGTTCTGGCGCAT</t>
  </si>
  <si>
    <t xml:space="preserve">TAGTTCAGCGGTGTTCTGGCGCAT</t>
  </si>
  <si>
    <t xml:space="preserve">AAACATGCGCCAGAACACCGCTGA</t>
  </si>
  <si>
    <t xml:space="preserve">CAGGGCGGCGATCATGGGAA</t>
  </si>
  <si>
    <t xml:space="preserve">TAGTCAGGGCGGCGATCATGGGAA</t>
  </si>
  <si>
    <t xml:space="preserve">AAACTTCCCATGATCGCCGCCCTG</t>
  </si>
  <si>
    <t xml:space="preserve">GATGCGCATTTCACCGTTGC</t>
  </si>
  <si>
    <t xml:space="preserve">TAGTGATGCGCATTTCACCGTTGC</t>
  </si>
  <si>
    <t xml:space="preserve">AAACGCAACGGTGAAATGCGCATC</t>
  </si>
  <si>
    <t xml:space="preserve">CCTTTTCGCCGAGTCGTTCG</t>
  </si>
  <si>
    <t xml:space="preserve">TAGTCCTTTTCGCCGAGTCGTTCG</t>
  </si>
  <si>
    <t xml:space="preserve">AAACCGAACGACTCGGCGAAAAGG</t>
  </si>
  <si>
    <t xml:space="preserve">PST_0543</t>
  </si>
  <si>
    <t xml:space="preserve">rho</t>
  </si>
  <si>
    <t xml:space="preserve">ATTTCCAGCAGTTCGGTGAT</t>
  </si>
  <si>
    <t xml:space="preserve">TAGTATTTCCAGCAGTTCGGTGAT</t>
  </si>
  <si>
    <t xml:space="preserve">AAACATCACCGAACTGCTGGAAAT</t>
  </si>
  <si>
    <t xml:space="preserve">GTTGTCGATGCCCATCTGTT</t>
  </si>
  <si>
    <t xml:space="preserve">TAGTGTTGTCGATGCCCATCTGTT</t>
  </si>
  <si>
    <t xml:space="preserve">AAACAACAGATGGGCATCGACAAC</t>
  </si>
  <si>
    <t xml:space="preserve">CACGTCCTGCTTGCGCGAAC</t>
  </si>
  <si>
    <t xml:space="preserve">TAGTCACGTCCTGCTTGCGCGAAC</t>
  </si>
  <si>
    <t xml:space="preserve">AAACGTTCGCGCAAGCAGGACGTG</t>
  </si>
  <si>
    <t xml:space="preserve">TTTCGCGTGCTTTTTCAGCA</t>
  </si>
  <si>
    <t xml:space="preserve">TAGTTTTCGCGTGCTTTTTCAGCA</t>
  </si>
  <si>
    <t xml:space="preserve">AAACTGCTGAAAAAGCACGCGAAA</t>
  </si>
  <si>
    <t xml:space="preserve">PST_0544</t>
  </si>
  <si>
    <t xml:space="preserve">TGAGCTCACCGCGTTTTTCC</t>
  </si>
  <si>
    <t xml:space="preserve">TAGTTGAGCTCACCGCGTTTTTCC</t>
  </si>
  <si>
    <t xml:space="preserve">AAACGGAAAAACGCGGTGAGCTCA</t>
  </si>
  <si>
    <t xml:space="preserve">ATTTCGGTCATTTCCAAGAC</t>
  </si>
  <si>
    <t xml:space="preserve">TAGTATTTCGGTCATTTCCAAGAC</t>
  </si>
  <si>
    <t xml:space="preserve">AAACGTCTTGGAAATGACCGAAAT</t>
  </si>
  <si>
    <t xml:space="preserve">GGCCCTGCTTGCGCAGGGTG</t>
  </si>
  <si>
    <t xml:space="preserve">TAGTGGCCCTGCTTGCGCAGGGTG</t>
  </si>
  <si>
    <t xml:space="preserve">AAACCACCCTGCGCAAGCAGGGCC</t>
  </si>
  <si>
    <t xml:space="preserve">GGTTCTCGAACAGCAGCGCC</t>
  </si>
  <si>
    <t xml:space="preserve">TAGTGGTTCTCGAACAGCAGCGCC</t>
  </si>
  <si>
    <t xml:space="preserve">AAACGGCGCTGCTGTTCGAGAACC</t>
  </si>
  <si>
    <t xml:space="preserve">PST_0545</t>
  </si>
  <si>
    <t xml:space="preserve">CGGGCTCGGGCCCGCCTCTT</t>
  </si>
  <si>
    <t xml:space="preserve">TAGTCGGGCTCGGGCCCGCCTCTT</t>
  </si>
  <si>
    <t xml:space="preserve">AAACAAGAGGCGGGCCCGAGCCCG</t>
  </si>
  <si>
    <t xml:space="preserve">TAACCCGCCAAGGCTTCGGA</t>
  </si>
  <si>
    <t xml:space="preserve">TAGTTAACCCGCCAAGGCTTCGGA</t>
  </si>
  <si>
    <t xml:space="preserve">AAACTCCGAAGCCTTGGCGGGTTA</t>
  </si>
  <si>
    <t xml:space="preserve">TGCACGTCTTTTCTGTGAAC</t>
  </si>
  <si>
    <t xml:space="preserve">TAGTTGCACGTCTTTTCTGTGAAC</t>
  </si>
  <si>
    <t xml:space="preserve">AAACGTTCACAGAAAAGACGTGCA</t>
  </si>
  <si>
    <t xml:space="preserve">CACGGCGCCGGAGGGCTGCA</t>
  </si>
  <si>
    <t xml:space="preserve">TAGTCACGGCGCCGGAGGGCTGCA</t>
  </si>
  <si>
    <t xml:space="preserve">AAACTGCAGCCCTCCGGCGCCGTG</t>
  </si>
  <si>
    <t xml:space="preserve">PST_0546</t>
  </si>
  <si>
    <t xml:space="preserve">GCTGGCGCCCCGCTTGGGTG</t>
  </si>
  <si>
    <t xml:space="preserve">TAGTGCTGGCGCCCCGCTTGGGTG</t>
  </si>
  <si>
    <t xml:space="preserve">AAACCACCCAAGCGGGGCGCCAGC</t>
  </si>
  <si>
    <t xml:space="preserve">GCTTGGCCGGCGCCTGGTAA</t>
  </si>
  <si>
    <t xml:space="preserve">TAGTGCTTGGCCGGCGCCTGGTAA</t>
  </si>
  <si>
    <t xml:space="preserve">AAACTTACCAGGCGCCGGCCAAGC</t>
  </si>
  <si>
    <t xml:space="preserve">AGCCAAATCCAGCCAGGCAC</t>
  </si>
  <si>
    <t xml:space="preserve">TAGTAGCCAAATCCAGCCAGGCAC</t>
  </si>
  <si>
    <t xml:space="preserve">AAACGTGCCTGGCTGGATTTGGCT</t>
  </si>
  <si>
    <t xml:space="preserve">TGATGAATCCGCCGATGACC</t>
  </si>
  <si>
    <t xml:space="preserve">TAGTTGATGAATCCGCCGATGACC</t>
  </si>
  <si>
    <t xml:space="preserve">AAACGGTCATCGGCGGATTCATCA</t>
  </si>
  <si>
    <t xml:space="preserve">PST_0547</t>
  </si>
  <si>
    <t xml:space="preserve">argS</t>
  </si>
  <si>
    <t xml:space="preserve">GTGGCGAATGCTGTCTTTCA</t>
  </si>
  <si>
    <t xml:space="preserve">TAGTGTGGCGAATGCTGTCTTTCA</t>
  </si>
  <si>
    <t xml:space="preserve">AAACTGAAAGACAGCATTCGCCAC</t>
  </si>
  <si>
    <t xml:space="preserve">GGACAAGGGCTTGCTGGATC</t>
  </si>
  <si>
    <t xml:space="preserve">TAGTGGACAAGGGCTTGCTGGATC</t>
  </si>
  <si>
    <t xml:space="preserve">AAACGATCCAGCAAGCCCTTGTCC</t>
  </si>
  <si>
    <t xml:space="preserve">CTCCGGCAGCACGCCCTCGC</t>
  </si>
  <si>
    <t xml:space="preserve">TAGTCTCCGGCAGCACGCCCTCGC</t>
  </si>
  <si>
    <t xml:space="preserve">AAACGCGAGGGCGTGCTGCCGGAG</t>
  </si>
  <si>
    <t xml:space="preserve">GTGTTTTCCACCTGGATCGC</t>
  </si>
  <si>
    <t xml:space="preserve">TAGTGTGTTTTCCACCTGGATCGC</t>
  </si>
  <si>
    <t xml:space="preserve">AAACGCGATCCAGGTGGAAAACAC</t>
  </si>
  <si>
    <t xml:space="preserve">PST_0549</t>
  </si>
  <si>
    <t xml:space="preserve">priA</t>
  </si>
  <si>
    <t xml:space="preserve">CTTGCATCACCTTTTTGCTC</t>
  </si>
  <si>
    <t xml:space="preserve">TAGTCTTGCATCACCTTTTTGCTC</t>
  </si>
  <si>
    <t xml:space="preserve">AAACGAGCAAAAAGGTGATGCAAG</t>
  </si>
  <si>
    <t xml:space="preserve">CGATCCGGGTGGCGGGACGC</t>
  </si>
  <si>
    <t xml:space="preserve">TAGTCGATCCGGGTGGCGGGACGC</t>
  </si>
  <si>
    <t xml:space="preserve">AAACGCGTCCCGCCACCCGGATCG</t>
  </si>
  <si>
    <t xml:space="preserve">GCGACGATGGTAAACGATCG</t>
  </si>
  <si>
    <t xml:space="preserve">TAGTGCGACGATGGTAAACGATCG</t>
  </si>
  <si>
    <t xml:space="preserve">AAACCGATCGTTTACCATCGTCGC</t>
  </si>
  <si>
    <t xml:space="preserve">GGAGGATGCAGGAAGGCACG</t>
  </si>
  <si>
    <t xml:space="preserve">TAGTGGAGGATGCAGGAAGGCACG</t>
  </si>
  <si>
    <t xml:space="preserve">AAACCGTGCCTTCCTGCATCCTCC</t>
  </si>
  <si>
    <t xml:space="preserve">PST_0548</t>
  </si>
  <si>
    <t xml:space="preserve">GCTTTCATGGTGAATCCTCT</t>
  </si>
  <si>
    <t xml:space="preserve">TAGTGCTTTCATGGTGAATCCTCT</t>
  </si>
  <si>
    <t xml:space="preserve">AAACAGAGGATTCACCATGAAAGC</t>
  </si>
  <si>
    <t xml:space="preserve">GACGTAGTTCGGATGGATAT</t>
  </si>
  <si>
    <t xml:space="preserve">TAGTGACGTAGTTCGGATGGATAT</t>
  </si>
  <si>
    <t xml:space="preserve">AAACATATCCATCCGAACTACGTC</t>
  </si>
  <si>
    <t xml:space="preserve">GACGTTGCCACAGCTGCAGG</t>
  </si>
  <si>
    <t xml:space="preserve">TAGTGACGTTGCCACAGCTGCAGG</t>
  </si>
  <si>
    <t xml:space="preserve">AAACCCTGCAGCTGTGGCAACGTC</t>
  </si>
  <si>
    <t xml:space="preserve">GTTCTTGCCCAGGGTGGAGC</t>
  </si>
  <si>
    <t xml:space="preserve">TAGTGTTCTTGCCCAGGGTGGAGC</t>
  </si>
  <si>
    <t xml:space="preserve">AAACGCTCCACCCTGGGCAAGAAC</t>
  </si>
  <si>
    <t xml:space="preserve">PST_0550</t>
  </si>
  <si>
    <t xml:space="preserve">maeB</t>
  </si>
  <si>
    <t xml:space="preserve">ATTCGAGCGCGGCAGTTTTC</t>
  </si>
  <si>
    <t xml:space="preserve">TAGTATTCGAGCGCGGCAGTTTTC</t>
  </si>
  <si>
    <t xml:space="preserve">AAACGAAAACTGCCGCGCTCGAAT</t>
  </si>
  <si>
    <t xml:space="preserve">TTCCCGGACGGGGCTGGGCA</t>
  </si>
  <si>
    <t xml:space="preserve">TAGTTTCCCGGACGGGGCTGGGCA</t>
  </si>
  <si>
    <t xml:space="preserve">AAACTGCCCAGCCCCGTCCGGGAA</t>
  </si>
  <si>
    <t xml:space="preserve">ACGAGCGGTGGCGGTCGGCT</t>
  </si>
  <si>
    <t xml:space="preserve">TAGTACGAGCGGTGGCGGTCGGCT</t>
  </si>
  <si>
    <t xml:space="preserve">AAACAGCCGACCGCCACCGCTCGT</t>
  </si>
  <si>
    <t xml:space="preserve">CTGGGCTATAGGCCAGAGAA</t>
  </si>
  <si>
    <t xml:space="preserve">TAGTCTGGGCTATAGGCCAGAGAA</t>
  </si>
  <si>
    <t xml:space="preserve">AAACTTCTCTGGCCTATAGCCCAG</t>
  </si>
  <si>
    <t xml:space="preserve">PST_0551</t>
  </si>
  <si>
    <t xml:space="preserve">ponA</t>
  </si>
  <si>
    <t xml:space="preserve">GGTATGTCGTCGAAGCGAAT</t>
  </si>
  <si>
    <t xml:space="preserve">TAGTGGTATGTCGTCGAAGCGAAT</t>
  </si>
  <si>
    <t xml:space="preserve">AAACATTCGCTTCGACGACATACC</t>
  </si>
  <si>
    <t xml:space="preserve">AGCGCGTGGATGAAGGCTTG</t>
  </si>
  <si>
    <t xml:space="preserve">TAGTAGCGCGTGGATGAAGGCTTG</t>
  </si>
  <si>
    <t xml:space="preserve">AAACCAAGCCTTCATCCACGCGCT</t>
  </si>
  <si>
    <t xml:space="preserve">GGCGAAATTGTCATCCTCCG</t>
  </si>
  <si>
    <t xml:space="preserve">TAGTGGCGAAATTGTCATCCTCCG</t>
  </si>
  <si>
    <t xml:space="preserve">AAACCGGAGGATGACAATTTCGCC</t>
  </si>
  <si>
    <t xml:space="preserve">TATGTCGACGCCATAATGAT</t>
  </si>
  <si>
    <t xml:space="preserve">TAGTTATGTCGACGCCATAATGAT</t>
  </si>
  <si>
    <t xml:space="preserve">AAACATCATTATGGCGTCGACATA</t>
  </si>
  <si>
    <t xml:space="preserve">PST_0553</t>
  </si>
  <si>
    <t xml:space="preserve">pilM</t>
  </si>
  <si>
    <t xml:space="preserve">GAGCTCTTCATCAGAAAGCC</t>
  </si>
  <si>
    <t xml:space="preserve">TAGTGAGCTCTTCATCAGAAAGCC</t>
  </si>
  <si>
    <t xml:space="preserve">AAACGGCTTTCTGATGAAGAGCTC</t>
  </si>
  <si>
    <t xml:space="preserve">GATCTGCCTCGATCTTGAGC</t>
  </si>
  <si>
    <t xml:space="preserve">TAGTGATCTGCCTCGATCTTGAGC</t>
  </si>
  <si>
    <t xml:space="preserve">AAACGCTCAAGATCGAGGCAGATC</t>
  </si>
  <si>
    <t xml:space="preserve">CGACTTCCTCCAGTGGGTAG</t>
  </si>
  <si>
    <t xml:space="preserve">TAGTCGACTTCCTCCAGTGGGTAG</t>
  </si>
  <si>
    <t xml:space="preserve">AAACCTACCCACTGGAGGAAGTCG</t>
  </si>
  <si>
    <t xml:space="preserve">TCTACCCTGCCAGGCGCGCG</t>
  </si>
  <si>
    <t xml:space="preserve">TAGTTCTACCCTGCCAGGCGCGCG</t>
  </si>
  <si>
    <t xml:space="preserve">AAACCGCGCGCCTGGCAGGGTAGA</t>
  </si>
  <si>
    <t xml:space="preserve">PST_0554</t>
  </si>
  <si>
    <t xml:space="preserve">pilN</t>
  </si>
  <si>
    <t xml:space="preserve">GCTGTTCGCGCCACGGAAGT</t>
  </si>
  <si>
    <t xml:space="preserve">TAGTGCTGTTCGCGCCACGGAAGT</t>
  </si>
  <si>
    <t xml:space="preserve">AAACACTTCCGTGGCGCGAACAGC</t>
  </si>
  <si>
    <t xml:space="preserve">GACGACAAGCACGCCCATGA</t>
  </si>
  <si>
    <t xml:space="preserve">TAGTGACGACAAGCACGCCCATGA</t>
  </si>
  <si>
    <t xml:space="preserve">AAACTCATGGGCGTGCTTGTCGTC</t>
  </si>
  <si>
    <t xml:space="preserve">ATCGCCTAGGAATACCAAGC</t>
  </si>
  <si>
    <t xml:space="preserve">TAGTATCGCCTAGGAATACCAAGC</t>
  </si>
  <si>
    <t xml:space="preserve">AAACGCTTGGTATTCCTAGGCGAT</t>
  </si>
  <si>
    <t xml:space="preserve">TCATTCGCTCCAGAAGTTGT</t>
  </si>
  <si>
    <t xml:space="preserve">TAGTTCATTCGCTCCAGAAGTTGT</t>
  </si>
  <si>
    <t xml:space="preserve">AAACACAACTTCTGGAGCGAATGA</t>
  </si>
  <si>
    <t xml:space="preserve">PST_0555</t>
  </si>
  <si>
    <t xml:space="preserve">pilO</t>
  </si>
  <si>
    <t xml:space="preserve">CAGGTTATTCAAATCCAGAT</t>
  </si>
  <si>
    <t xml:space="preserve">TAGTCAGGTTATTCAAATCCAGAT</t>
  </si>
  <si>
    <t xml:space="preserve">AAACATCTGGATTTGAATAACCTG</t>
  </si>
  <si>
    <t xml:space="preserve">GTAATAAATTTAACCGGCGC</t>
  </si>
  <si>
    <t xml:space="preserve">TAGTGTAATAAATTTAACCGGCGC</t>
  </si>
  <si>
    <t xml:space="preserve">AAACGCGCCGGTTAAATTTATTAC</t>
  </si>
  <si>
    <t xml:space="preserve">GCAAGTGAAAGTAATACCCC</t>
  </si>
  <si>
    <t xml:space="preserve">TAGTGCAAGTGAAAGTAATACCCC</t>
  </si>
  <si>
    <t xml:space="preserve">AAACGGGGTATTACTTTCACTTGC</t>
  </si>
  <si>
    <t xml:space="preserve">TTAGAGTTACCTCTTGGGCA</t>
  </si>
  <si>
    <t xml:space="preserve">TAGTTTAGAGTTACCTCTTGGGCA</t>
  </si>
  <si>
    <t xml:space="preserve">AAACTGCCCAAGAGGTAACTCTAA</t>
  </si>
  <si>
    <t xml:space="preserve">PST_0556</t>
  </si>
  <si>
    <t xml:space="preserve">pilP</t>
  </si>
  <si>
    <t xml:space="preserve">CGCAGCCCGAAATCACCGCC</t>
  </si>
  <si>
    <t xml:space="preserve">TAGTCGCAGCCCGAAATCACCGCC</t>
  </si>
  <si>
    <t xml:space="preserve">AAACGGCGGTGATTTCGGGCTGCG</t>
  </si>
  <si>
    <t xml:space="preserve">AATGGCTCAATTGTACCCTT</t>
  </si>
  <si>
    <t xml:space="preserve">TAGTAATGGCTCAATTGTACCCTT</t>
  </si>
  <si>
    <t xml:space="preserve">AAACAAGGGTACAATTGAGCCATT</t>
  </si>
  <si>
    <t xml:space="preserve">GCCTCGTAGGGGATGAAGGC</t>
  </si>
  <si>
    <t xml:space="preserve">TAGTGCCTCGTAGGGGATGAAGGC</t>
  </si>
  <si>
    <t xml:space="preserve">AAACGCCTTCATCCCCTACGAGGC</t>
  </si>
  <si>
    <t xml:space="preserve">ACGCAAGGCTGCCGCGCTAT</t>
  </si>
  <si>
    <t xml:space="preserve">TAGTACGCAAGGCTGCCGCGCTAT</t>
  </si>
  <si>
    <t xml:space="preserve">AAACATAGCGCGGCAGCCTTGCGT</t>
  </si>
  <si>
    <t xml:space="preserve">PST_0557</t>
  </si>
  <si>
    <t xml:space="preserve">pilQ</t>
  </si>
  <si>
    <t xml:space="preserve">TCCGTTGTGCAGACCGGTAA</t>
  </si>
  <si>
    <t xml:space="preserve">TAGTTCCGTTGTGCAGACCGGTAA</t>
  </si>
  <si>
    <t xml:space="preserve">AAACTTACCGGTCTGCACAACGGA</t>
  </si>
  <si>
    <t xml:space="preserve">GGATACGCCCAGACGGGAAA</t>
  </si>
  <si>
    <t xml:space="preserve">TAGTGGATACGCCCAGACGGGAAA</t>
  </si>
  <si>
    <t xml:space="preserve">AAACTTTCCCGTCTGGGCGTATCC</t>
  </si>
  <si>
    <t xml:space="preserve">CGAAATAAATACCGCCAGCA</t>
  </si>
  <si>
    <t xml:space="preserve">TAGTCGAAATAAATACCGCCAGCA</t>
  </si>
  <si>
    <t xml:space="preserve">AAACTGCTGGCGGTATTTATTTCG</t>
  </si>
  <si>
    <t xml:space="preserve">AGATTGGCCGCCAGCAGTGC</t>
  </si>
  <si>
    <t xml:space="preserve">TAGTAGATTGGCCGCCAGCAGTGC</t>
  </si>
  <si>
    <t xml:space="preserve">AAACGCACTGCTGGCGGCCAATCT</t>
  </si>
  <si>
    <t xml:space="preserve">PST_0558</t>
  </si>
  <si>
    <t xml:space="preserve">aroK</t>
  </si>
  <si>
    <t xml:space="preserve">TCCTTGTCGGAATCCTTGAA</t>
  </si>
  <si>
    <t xml:space="preserve">TAGTTCCTTGTCGGAATCCTTGAA</t>
  </si>
  <si>
    <t xml:space="preserve">AAACTTCAAGGATTCCGACAAGGA</t>
  </si>
  <si>
    <t xml:space="preserve">GATCAGAGGAATGCTGGCGC</t>
  </si>
  <si>
    <t xml:space="preserve">TAGTGATCAGAGGAATGCTGGCGC</t>
  </si>
  <si>
    <t xml:space="preserve">AAACGCGCCAGCATTCCTCTGATC</t>
  </si>
  <si>
    <t xml:space="preserve">ACGTTCACGCTCGCGAAAAC</t>
  </si>
  <si>
    <t xml:space="preserve">TAGTACGTTCACGCTCGCGAAAAC</t>
  </si>
  <si>
    <t xml:space="preserve">AAACGTTTTCGCGAGCGTGAACGT</t>
  </si>
  <si>
    <t xml:space="preserve">CCCGTCCTGCTGACAAAGAT</t>
  </si>
  <si>
    <t xml:space="preserve">TAGTCCCGTCCTGCTGACAAAGAT</t>
  </si>
  <si>
    <t xml:space="preserve">AAACATCTTTGTCAGCAGGACGGG</t>
  </si>
  <si>
    <t xml:space="preserve">PST_0559</t>
  </si>
  <si>
    <t xml:space="preserve">aroB</t>
  </si>
  <si>
    <t xml:space="preserve">TCGACCTGAAGAGTCTGCAT</t>
  </si>
  <si>
    <t xml:space="preserve">TAGTTCGACCTGAAGAGTCTGCAT</t>
  </si>
  <si>
    <t xml:space="preserve">AAACATGCAGACTCTTCAGGTCGA</t>
  </si>
  <si>
    <t xml:space="preserve">AATCGCTCGCCGATATGAAT</t>
  </si>
  <si>
    <t xml:space="preserve">TAGTAATCGCTCGCCGATATGAAT</t>
  </si>
  <si>
    <t xml:space="preserve">AAACATTCATATCGGCGAGCGATT</t>
  </si>
  <si>
    <t xml:space="preserve">TGGTCACGATGGCGACTTGG</t>
  </si>
  <si>
    <t xml:space="preserve">TAGTTGGTCACGATGGCGACTTGG</t>
  </si>
  <si>
    <t xml:space="preserve">AAACCCAAGTCGCCATCGTGACCA</t>
  </si>
  <si>
    <t xml:space="preserve">CAGTGGCGCAACCGTTTCAT</t>
  </si>
  <si>
    <t xml:space="preserve">TAGTCAGTGGCGCAACCGTTTCAT</t>
  </si>
  <si>
    <t xml:space="preserve">AAACATGAAACGGTTGCGCCACTG</t>
  </si>
  <si>
    <t xml:space="preserve">PST_0560</t>
  </si>
  <si>
    <t xml:space="preserve">GTCCGCGGACAAACTGTTCA</t>
  </si>
  <si>
    <t xml:space="preserve">TAGTGTCCGCGGACAAACTGTTCA</t>
  </si>
  <si>
    <t xml:space="preserve">AAACTGAACAGTTTGTCCGCGGAC</t>
  </si>
  <si>
    <t xml:space="preserve">CACGGGCCGCGAAAGGGTCA</t>
  </si>
  <si>
    <t xml:space="preserve">TAGTCACGGGCCGCGAAAGGGTCA</t>
  </si>
  <si>
    <t xml:space="preserve">AAACTGACCCTTTCGCGGCCCGTG</t>
  </si>
  <si>
    <t xml:space="preserve">GCGGGAAAGAACTTGAACCC</t>
  </si>
  <si>
    <t xml:space="preserve">TAGTGCGGGAAAGAACTTGAACCC</t>
  </si>
  <si>
    <t xml:space="preserve">AAACGGGTTCAAGTTCTTTCCCGC</t>
  </si>
  <si>
    <t xml:space="preserve">TGGTGCAGTTGCCCAAGCAC</t>
  </si>
  <si>
    <t xml:space="preserve">TAGTTGGTGCAGTTGCCCAAGCAC</t>
  </si>
  <si>
    <t xml:space="preserve">AAACGTGCTTGGGCAACTGCACCA</t>
  </si>
  <si>
    <t xml:space="preserve">PST_0561</t>
  </si>
  <si>
    <t xml:space="preserve">gltB</t>
  </si>
  <si>
    <t xml:space="preserve">CGAAACAGACCTGCTCTCAT</t>
  </si>
  <si>
    <t xml:space="preserve">TAGTCGAAACAGACCTGCTCTCAT</t>
  </si>
  <si>
    <t xml:space="preserve">AAACATGAGAGCAGGTCTGTTTCG</t>
  </si>
  <si>
    <t xml:space="preserve">CAGTTATCCTTGAACTCTTC</t>
  </si>
  <si>
    <t xml:space="preserve">TAGTCAGTTATCCTTGAACTCTTC</t>
  </si>
  <si>
    <t xml:space="preserve">AAACGAAGAGTTCAAGGATAACTG</t>
  </si>
  <si>
    <t xml:space="preserve">GCTTGCCTCGCCCTGCATGT</t>
  </si>
  <si>
    <t xml:space="preserve">TAGTGCTTGCCTCGCCCTGCATGT</t>
  </si>
  <si>
    <t xml:space="preserve">AAACACATGCAGGGCGAGGCAAGC</t>
  </si>
  <si>
    <t xml:space="preserve">TGGCAGTCTTTAGCAGGTGA</t>
  </si>
  <si>
    <t xml:space="preserve">TAGTTGGCAGTCTTTAGCAGGTGA</t>
  </si>
  <si>
    <t xml:space="preserve">AAACTCACCTGCTAAAGACTGCCA</t>
  </si>
  <si>
    <t xml:space="preserve">PST_0562</t>
  </si>
  <si>
    <t xml:space="preserve">gltD</t>
  </si>
  <si>
    <t xml:space="preserve">GCGGCCGTAGACGATACATA</t>
  </si>
  <si>
    <t xml:space="preserve">TAGTGCGGCCGTAGACGATACATA</t>
  </si>
  <si>
    <t xml:space="preserve">AAACTATGTATCGTCTACGGCCGC</t>
  </si>
  <si>
    <t xml:space="preserve">TGCGCCCGACCTCGATGAAC</t>
  </si>
  <si>
    <t xml:space="preserve">TAGTTGCGCCCGACCTCGATGAAC</t>
  </si>
  <si>
    <t xml:space="preserve">AAACGTTCATCGAGGTCGGGCGCA</t>
  </si>
  <si>
    <t xml:space="preserve">TGGCGCAGCAGCTTCTTCTT</t>
  </si>
  <si>
    <t xml:space="preserve">TAGTTGGCGCAGCAGCTTCTTCTT</t>
  </si>
  <si>
    <t xml:space="preserve">AAACAAGAAGAAGCTGCTGCGCCA</t>
  </si>
  <si>
    <t xml:space="preserve">CGACGAACTCCTTCTTGCGC</t>
  </si>
  <si>
    <t xml:space="preserve">TAGTCGACGAACTCCTTCTTGCGC</t>
  </si>
  <si>
    <t xml:space="preserve">AAACGCGCAAGAAGGAGTTCGTCG</t>
  </si>
  <si>
    <t xml:space="preserve">PST_0563</t>
  </si>
  <si>
    <t xml:space="preserve">hemE</t>
  </si>
  <si>
    <t xml:space="preserve">TCTTCAAGGCAGTCATGGCA</t>
  </si>
  <si>
    <t xml:space="preserve">TAGTTCTTCAAGGCAGTCATGGCA</t>
  </si>
  <si>
    <t xml:space="preserve">AAACTGCCATGACTGCCTTGAAGA</t>
  </si>
  <si>
    <t xml:space="preserve">TGAGCAGGGCACGAAGGAAG</t>
  </si>
  <si>
    <t xml:space="preserve">TAGTTGAGCAGGGCACGAAGGAAG</t>
  </si>
  <si>
    <t xml:space="preserve">AAACCTTCCTTCGTGCCCTGCTCA</t>
  </si>
  <si>
    <t xml:space="preserve">CACACAGGGGTGACGTCGAC</t>
  </si>
  <si>
    <t xml:space="preserve">TAGTCACACAGGGGTGACGTCGAC</t>
  </si>
  <si>
    <t xml:space="preserve">AAACGTCGACGTCACCCCTGTGTG</t>
  </si>
  <si>
    <t xml:space="preserve">CGGGCAGATAGCGGCCGGCC</t>
  </si>
  <si>
    <t xml:space="preserve">TAGTCGGGCAGATAGCGGCCGGCC</t>
  </si>
  <si>
    <t xml:space="preserve">AAACGGCCGGCCGCTATCTGCCCG</t>
  </si>
  <si>
    <t xml:space="preserve">PST_0565</t>
  </si>
  <si>
    <t xml:space="preserve">GATATGTTTTGCGACTCATA</t>
  </si>
  <si>
    <t xml:space="preserve">TAGTGATATGTTTTGCGACTCATA</t>
  </si>
  <si>
    <t xml:space="preserve">AAACTATGAGTCGCAAAACATATC</t>
  </si>
  <si>
    <t xml:space="preserve">GGGTTTATGGACGAAATGAT</t>
  </si>
  <si>
    <t xml:space="preserve">TAGTGGGTTTATGGACGAAATGAT</t>
  </si>
  <si>
    <t xml:space="preserve">AAACATCATTTCGTCCATAAACCC</t>
  </si>
  <si>
    <t xml:space="preserve">GGGCGCGATTGCTGTTGTTT</t>
  </si>
  <si>
    <t xml:space="preserve">TAGTGGGCGCGATTGCTGTTGTTT</t>
  </si>
  <si>
    <t xml:space="preserve">AAACAAACAACAGCAATCGCGCCC</t>
  </si>
  <si>
    <t xml:space="preserve">TGATCGCTTTTTCGATCGAC</t>
  </si>
  <si>
    <t xml:space="preserve">TAGTTGATCGCTTTTTCGATCGAC</t>
  </si>
  <si>
    <t xml:space="preserve">AAACGTCGATCGAAAAAGCGATCA</t>
  </si>
  <si>
    <t xml:space="preserve">PST_0564</t>
  </si>
  <si>
    <t xml:space="preserve">CGGCGACCGCCACGAAGTAG</t>
  </si>
  <si>
    <t xml:space="preserve">TAGTCGGCGACCGCCACGAAGTAG</t>
  </si>
  <si>
    <t xml:space="preserve">AAACCTACTTCGTGGCGGTCGCCG</t>
  </si>
  <si>
    <t xml:space="preserve">GCGACCGAAGTGCAGTTCCT</t>
  </si>
  <si>
    <t xml:space="preserve">TAGTGCGACCGAAGTGCAGTTCCT</t>
  </si>
  <si>
    <t xml:space="preserve">AAACAGGAACTGCACTTCGGTCGC</t>
  </si>
  <si>
    <t xml:space="preserve">TGAAATGCGCAGCTGTTCGG</t>
  </si>
  <si>
    <t xml:space="preserve">TAGTTGAAATGCGCAGCTGTTCGG</t>
  </si>
  <si>
    <t xml:space="preserve">AAACCCGAACAGCTGCGCATTTCA</t>
  </si>
  <si>
    <t xml:space="preserve">TGGATCTGCTGGCTCAACGG</t>
  </si>
  <si>
    <t xml:space="preserve">TAGTTGGATCTGCTGGCTCAACGG</t>
  </si>
  <si>
    <t xml:space="preserve">AAACCCGTTGAGCCAGCAGATCCA</t>
  </si>
  <si>
    <t xml:space="preserve">PST_0566</t>
  </si>
  <si>
    <t xml:space="preserve">GTAGATGTAGTTGATTTCGA</t>
  </si>
  <si>
    <t xml:space="preserve">TAGTGTAGATGTAGTTGATTTCGA</t>
  </si>
  <si>
    <t xml:space="preserve">AAACTCGAAATCAACTACATCTAC</t>
  </si>
  <si>
    <t xml:space="preserve">TCTCGGCGCGCGGGTCGTTC</t>
  </si>
  <si>
    <t xml:space="preserve">TAGTTCTCGGCGCGCGGGTCGTTC</t>
  </si>
  <si>
    <t xml:space="preserve">AAACGAACGACCCGCGCGCCGAGA</t>
  </si>
  <si>
    <t xml:space="preserve">GCTGTCGACGTCGGCGTCAT</t>
  </si>
  <si>
    <t xml:space="preserve">TAGTGCTGTCGACGTCGGCGTCAT</t>
  </si>
  <si>
    <t xml:space="preserve">AAACATGACGCCGACGTCGACAGC</t>
  </si>
  <si>
    <t xml:space="preserve">GCGCCGCCTCGCCCTGGGAC</t>
  </si>
  <si>
    <t xml:space="preserve">TAGTGCGCCGCCTCGCCCTGGGAC</t>
  </si>
  <si>
    <t xml:space="preserve">AAACGTCCCAGGGCGAGGCGGCGC</t>
  </si>
  <si>
    <t xml:space="preserve">PST_0567</t>
  </si>
  <si>
    <t xml:space="preserve">trxC</t>
  </si>
  <si>
    <t xml:space="preserve">AACGATCAACGAATCGGTCA</t>
  </si>
  <si>
    <t xml:space="preserve">TAGTAACGATCAACGAATCGGTCA</t>
  </si>
  <si>
    <t xml:space="preserve">AAACTGACCGATTCGTTGATCGTT</t>
  </si>
  <si>
    <t xml:space="preserve">AGGCTGGCGCACTGTGCGCA</t>
  </si>
  <si>
    <t xml:space="preserve">TAGTAGGCTGGCGCACTGTGCGCA</t>
  </si>
  <si>
    <t xml:space="preserve">AAACTGCGCACAGTGCGCCAGCCT</t>
  </si>
  <si>
    <t xml:space="preserve">GCGCGGCAGGGATGCGGTTG</t>
  </si>
  <si>
    <t xml:space="preserve">TAGTGCGCGGCAGGGATGCGGTTG</t>
  </si>
  <si>
    <t xml:space="preserve">AAACCAACCGCATCCCTGCCGCGC</t>
  </si>
  <si>
    <t xml:space="preserve">GACTTGCAGCGCCCGCAGCG</t>
  </si>
  <si>
    <t xml:space="preserve">TAGTGACTTGCAGCGCCCGCAGCG</t>
  </si>
  <si>
    <t xml:space="preserve">AAACCGCTGCGGGCGCTGCAAGTC</t>
  </si>
  <si>
    <t xml:space="preserve">PST_0568</t>
  </si>
  <si>
    <t xml:space="preserve">metY</t>
  </si>
  <si>
    <t xml:space="preserve">GGCGAGGGTTTCCAGTTTCA</t>
  </si>
  <si>
    <t xml:space="preserve">TAGTGGCGAGGGTTTCCAGTTTCA</t>
  </si>
  <si>
    <t xml:space="preserve">AAACTGAAACTGGAAACCCTCGCC</t>
  </si>
  <si>
    <t xml:space="preserve">TGGGCTGTAGCCAGCGTGGA</t>
  </si>
  <si>
    <t xml:space="preserve">TAGTTGGGCTGTAGCCAGCGTGGA</t>
  </si>
  <si>
    <t xml:space="preserve">AAACTCCACGCTGGCTACAGCCCA</t>
  </si>
  <si>
    <t xml:space="preserve">ACCGCCCTGGTGGTGGGGTC</t>
  </si>
  <si>
    <t xml:space="preserve">TAGTACCGCCCTGGTGGTGGGGTC</t>
  </si>
  <si>
    <t xml:space="preserve">AAACGACCCCACCACCAGGGCGGT</t>
  </si>
  <si>
    <t xml:space="preserve">TAGGAGGTGGTCTGGTAGAT</t>
  </si>
  <si>
    <t xml:space="preserve">TAGTTAGGAGGTGGTCTGGTAGAT</t>
  </si>
  <si>
    <t xml:space="preserve">AAACATCTACCAGACCACCTCCTA</t>
  </si>
  <si>
    <t xml:space="preserve">PST_0569</t>
  </si>
  <si>
    <t xml:space="preserve">CGGCAGCGATTCGGGAAACA</t>
  </si>
  <si>
    <t xml:space="preserve">TAGTCGGCAGCGATTCGGGAAACA</t>
  </si>
  <si>
    <t xml:space="preserve">AAACTGTTTCCCGAATCGCTGCCG</t>
  </si>
  <si>
    <t xml:space="preserve">AAGGCGCAGACGAACAACAG</t>
  </si>
  <si>
    <t xml:space="preserve">TAGTAAGGCGCAGACGAACAACAG</t>
  </si>
  <si>
    <t xml:space="preserve">AAACCTGTTGTTCGTCTGCGCCTT</t>
  </si>
  <si>
    <t xml:space="preserve">CGATTGCGACGACGATATCC</t>
  </si>
  <si>
    <t xml:space="preserve">TAGTCGATTGCGACGACGATATCC</t>
  </si>
  <si>
    <t xml:space="preserve">AAACGGATATCGTCGTCGCAATCG</t>
  </si>
  <si>
    <t xml:space="preserve">GCCCGGTGTCAGCAGCTGGG</t>
  </si>
  <si>
    <t xml:space="preserve">TAGTGCCCGGTGTCAGCAGCTGGG</t>
  </si>
  <si>
    <t xml:space="preserve">AAACCCCAGCTGCTGACACCGGGC</t>
  </si>
  <si>
    <t xml:space="preserve">PST_0570</t>
  </si>
  <si>
    <t xml:space="preserve">GAATCGGTCGCAGTCTGACC</t>
  </si>
  <si>
    <t xml:space="preserve">TAGTGAATCGGTCGCAGTCTGACC</t>
  </si>
  <si>
    <t xml:space="preserve">AAACGGTCAGACTGCGACCGATTC</t>
  </si>
  <si>
    <t xml:space="preserve">ATTGATCCGCTACCACGGCC</t>
  </si>
  <si>
    <t xml:space="preserve">TAGTATTGATCCGCTACCACGGCC</t>
  </si>
  <si>
    <t xml:space="preserve">AAACGGCCGTGGTAGCGGATCAAT</t>
  </si>
  <si>
    <t xml:space="preserve">CCTCGACAGCTCCCGAGGTA</t>
  </si>
  <si>
    <t xml:space="preserve">TAGTCCTCGACAGCTCCCGAGGTA</t>
  </si>
  <si>
    <t xml:space="preserve">AAACTACCTCGGGAGCTGTCGAGG</t>
  </si>
  <si>
    <t xml:space="preserve">CTCACCACGGCGGCGGTAGT</t>
  </si>
  <si>
    <t xml:space="preserve">TAGTCTCACCACGGCGGCGGTAGT</t>
  </si>
  <si>
    <t xml:space="preserve">AAACACTACCGCCGCCGTGGTGAG</t>
  </si>
  <si>
    <t xml:space="preserve">PST_0571</t>
  </si>
  <si>
    <t xml:space="preserve">CCCATGACCTCATCGTGAAT</t>
  </si>
  <si>
    <t xml:space="preserve">TAGTCCCATGACCTCATCGTGAAT</t>
  </si>
  <si>
    <t xml:space="preserve">AAACATTCACGATGAGGTCATGGG</t>
  </si>
  <si>
    <t xml:space="preserve">TATCCGCAAGGCGTGAAGCC</t>
  </si>
  <si>
    <t xml:space="preserve">TAGTTATCCGCAAGGCGTGAAGCC</t>
  </si>
  <si>
    <t xml:space="preserve">AAACGGCTTCACGCCTTGCGGATA</t>
  </si>
  <si>
    <t xml:space="preserve">GCTTCTGCGCCACTTGCGGA</t>
  </si>
  <si>
    <t xml:space="preserve">TAGTGCTTCTGCGCCACTTGCGGA</t>
  </si>
  <si>
    <t xml:space="preserve">AAACTCCGCAAGTGGCGCAGAAGC</t>
  </si>
  <si>
    <t xml:space="preserve">AAAAGACTCCAGGGCAGTGC</t>
  </si>
  <si>
    <t xml:space="preserve">TAGTAAAAGACTCCAGGGCAGTGC</t>
  </si>
  <si>
    <t xml:space="preserve">AAACGCACTGCCCTGGAGTCTTTT</t>
  </si>
  <si>
    <t xml:space="preserve">PST_0572</t>
  </si>
  <si>
    <t xml:space="preserve">CACACCTGCAGTTTGTGCAT</t>
  </si>
  <si>
    <t xml:space="preserve">TAGTCACACCTGCAGTTTGTGCAT</t>
  </si>
  <si>
    <t xml:space="preserve">AAACATGCACAAACTGCAGGTGTG</t>
  </si>
  <si>
    <t xml:space="preserve">CTGACCTGCACCAAAGGAAC</t>
  </si>
  <si>
    <t xml:space="preserve">TAGTCTGACCTGCACCAAAGGAAC</t>
  </si>
  <si>
    <t xml:space="preserve">AAACGTTCCTTTGGTGCAGGTCAG</t>
  </si>
  <si>
    <t xml:space="preserve">AAGACTTCACCGGATGCACC</t>
  </si>
  <si>
    <t xml:space="preserve">TAGTAAGACTTCACCGGATGCACC</t>
  </si>
  <si>
    <t xml:space="preserve">AAACGGTGCATCCGGTGAAGTCTT</t>
  </si>
  <si>
    <t xml:space="preserve">AGATAGCCCTGAAAGACATT</t>
  </si>
  <si>
    <t xml:space="preserve">TAGTAGATAGCCCTGAAAGACATT</t>
  </si>
  <si>
    <t xml:space="preserve">AAACAATGTCTTTCAGGGCTATCT</t>
  </si>
  <si>
    <t xml:space="preserve">PST_0574</t>
  </si>
  <si>
    <t xml:space="preserve">CTCTAGTGCATCTCTTGTCA</t>
  </si>
  <si>
    <t xml:space="preserve">TAGTCTCTAGTGCATCTCTTGTCA</t>
  </si>
  <si>
    <t xml:space="preserve">AAACTGACAAGAGATGCACTAGAG</t>
  </si>
  <si>
    <t xml:space="preserve">CTACGAAGTAGATCGGTACT</t>
  </si>
  <si>
    <t xml:space="preserve">TAGTCTACGAAGTAGATCGGTACT</t>
  </si>
  <si>
    <t xml:space="preserve">AAACAGTACCGATCTACTTCGTAG</t>
  </si>
  <si>
    <t xml:space="preserve">GACAATCCCTGGGCGGTGTT</t>
  </si>
  <si>
    <t xml:space="preserve">TAGTGACAATCCCTGGGCGGTGTT</t>
  </si>
  <si>
    <t xml:space="preserve">AAACAACACCGCCCAGGGATTGTC</t>
  </si>
  <si>
    <t xml:space="preserve">TACATCAGAACAGCGATGGT</t>
  </si>
  <si>
    <t xml:space="preserve">TAGTTACATCAGAACAGCGATGGT</t>
  </si>
  <si>
    <t xml:space="preserve">AAACACCATCGCTGTTCTGATGTA</t>
  </si>
  <si>
    <t xml:space="preserve">PST_0575</t>
  </si>
  <si>
    <t xml:space="preserve">CGGCTCTGCACCAACCAACA</t>
  </si>
  <si>
    <t xml:space="preserve">TAGTCGGCTCTGCACCAACCAACA</t>
  </si>
  <si>
    <t xml:space="preserve">AAACTGTTGGTTGGTGCAGAGCCG</t>
  </si>
  <si>
    <t xml:space="preserve">TCGCTCTTGAATCCCGCTTG</t>
  </si>
  <si>
    <t xml:space="preserve">TAGTTCGCTCTTGAATCCCGCTTG</t>
  </si>
  <si>
    <t xml:space="preserve">AAACCAAGCGGGATTCAAGAGCGA</t>
  </si>
  <si>
    <t xml:space="preserve">TGCACAAAAGACGCAAGAGG</t>
  </si>
  <si>
    <t xml:space="preserve">TAGTTGCACAAAAGACGCAAGAGG</t>
  </si>
  <si>
    <t xml:space="preserve">AAACCCTCTTGCGTCTTTTGTGCA</t>
  </si>
  <si>
    <t xml:space="preserve">CGGCAGTCATCGGCGAGTGC</t>
  </si>
  <si>
    <t xml:space="preserve">TAGTCGGCAGTCATCGGCGAGTGC</t>
  </si>
  <si>
    <t xml:space="preserve">AAACGCACTCGCCGATGACTGCCG</t>
  </si>
  <si>
    <t xml:space="preserve">PST_0576</t>
  </si>
  <si>
    <t xml:space="preserve">GTTTGTCTCTGTTTCCATCA</t>
  </si>
  <si>
    <t xml:space="preserve">TAGTGTTTGTCTCTGTTTCCATCA</t>
  </si>
  <si>
    <t xml:space="preserve">AAACTGATGGAAACAGAGACAAAC</t>
  </si>
  <si>
    <t xml:space="preserve">AGCAACAGGCTCCAGGGGCT</t>
  </si>
  <si>
    <t xml:space="preserve">TAGTAGCAACAGGCTCCAGGGGCT</t>
  </si>
  <si>
    <t xml:space="preserve">AAACAGCCCCTGGAGCCTGTTGCT</t>
  </si>
  <si>
    <t xml:space="preserve">CGAAACCAACGCAATACCCC</t>
  </si>
  <si>
    <t xml:space="preserve">TAGTCGAAACCAACGCAATACCCC</t>
  </si>
  <si>
    <t xml:space="preserve">AAACGGGGTATTGCGTTGGTTTCG</t>
  </si>
  <si>
    <t xml:space="preserve">GCCGATGAACAAGGCGGCTA</t>
  </si>
  <si>
    <t xml:space="preserve">TAGTGCCGATGAACAAGGCGGCTA</t>
  </si>
  <si>
    <t xml:space="preserve">AAACTAGCCGCCTTGTTCATCGGC</t>
  </si>
  <si>
    <t xml:space="preserve">PST_0577</t>
  </si>
  <si>
    <t xml:space="preserve">GCCGGAGACTTCCGACCGTT</t>
  </si>
  <si>
    <t xml:space="preserve">TAGTGCCGGAGACTTCCGACCGTT</t>
  </si>
  <si>
    <t xml:space="preserve">AAACAACGGTCGGAAGTCTCCGGC</t>
  </si>
  <si>
    <t xml:space="preserve">CGTGCTGATAGTGCGAGATC</t>
  </si>
  <si>
    <t xml:space="preserve">TAGTCGTGCTGATAGTGCGAGATC</t>
  </si>
  <si>
    <t xml:space="preserve">AAACGATCTCGCACTATCAGCACG</t>
  </si>
  <si>
    <t xml:space="preserve">TGGGTCGAATAGCTTGATGG</t>
  </si>
  <si>
    <t xml:space="preserve">TAGTTGGGTCGAATAGCTTGATGG</t>
  </si>
  <si>
    <t xml:space="preserve">AAACCCATCAAGCTATTCGACCCA</t>
  </si>
  <si>
    <t xml:space="preserve">ATGGTGCGCAAGTCATACTC</t>
  </si>
  <si>
    <t xml:space="preserve">TAGTATGGTGCGCAAGTCATACTC</t>
  </si>
  <si>
    <t xml:space="preserve">AAACGAGTATGACTTGCGCACCAT</t>
  </si>
  <si>
    <t xml:space="preserve">PST_0578</t>
  </si>
  <si>
    <t xml:space="preserve">GAGCAGGAAGTGTTGTGACA</t>
  </si>
  <si>
    <t xml:space="preserve">TAGTGAGCAGGAAGTGTTGTGACA</t>
  </si>
  <si>
    <t xml:space="preserve">AAACTGTCACAACACTTCCTGCTC</t>
  </si>
  <si>
    <t xml:space="preserve">CGACAGGGTGCGAGCTTGGG</t>
  </si>
  <si>
    <t xml:space="preserve">TAGTCGACAGGGTGCGAGCTTGGG</t>
  </si>
  <si>
    <t xml:space="preserve">AAACCCCAAGCTCGCACCCTGTCG</t>
  </si>
  <si>
    <t xml:space="preserve">ACGGGCAGATCGCGTCGTGA</t>
  </si>
  <si>
    <t xml:space="preserve">TAGTACGGGCAGATCGCGTCGTGA</t>
  </si>
  <si>
    <t xml:space="preserve">AAACTCACGACGCGATCTGCCCGT</t>
  </si>
  <si>
    <t xml:space="preserve">GGTCTTGATGAAATAGTGCT</t>
  </si>
  <si>
    <t xml:space="preserve">TAGTGGTCTTGATGAAATAGTGCT</t>
  </si>
  <si>
    <t xml:space="preserve">AAACAGCACTATTTCATCAAGACC</t>
  </si>
  <si>
    <t xml:space="preserve">PST_0579</t>
  </si>
  <si>
    <t xml:space="preserve">AGTTCGATAAGGCACAGATA</t>
  </si>
  <si>
    <t xml:space="preserve">TAGTAGTTCGATAAGGCACAGATA</t>
  </si>
  <si>
    <t xml:space="preserve">AAACTATCTGTGCCTTATCGAACT</t>
  </si>
  <si>
    <t xml:space="preserve">AAGAATACTCTACCACAAAA</t>
  </si>
  <si>
    <t xml:space="preserve">TAGTAAGAATACTCTACCACAAAA</t>
  </si>
  <si>
    <t xml:space="preserve">AAACTTTTGTGGTAGAGTATTCTT</t>
  </si>
  <si>
    <t xml:space="preserve">ATTCCAAGTCTGTTCATTCA</t>
  </si>
  <si>
    <t xml:space="preserve">TAGTATTCCAAGTCTGTTCATTCA</t>
  </si>
  <si>
    <t xml:space="preserve">AAACTGAATGAACAGACTTGGAAT</t>
  </si>
  <si>
    <t xml:space="preserve">CTGCGACTTCAGTAGGTTGG</t>
  </si>
  <si>
    <t xml:space="preserve">TAGTCTGCGACTTCAGTAGGTTGG</t>
  </si>
  <si>
    <t xml:space="preserve">AAACCCAACCTACTGAAGTCGCAG</t>
  </si>
  <si>
    <t xml:space="preserve">PST_0580</t>
  </si>
  <si>
    <t xml:space="preserve">CGCTGGCGGCAAAACGACAG</t>
  </si>
  <si>
    <t xml:space="preserve">TAGTCGCTGGCGGCAAAACGACAG</t>
  </si>
  <si>
    <t xml:space="preserve">AAACCTGTCGTTTTGCCGCCAGCG</t>
  </si>
  <si>
    <t xml:space="preserve">TTGCTGCTCCAATTCGGCAT</t>
  </si>
  <si>
    <t xml:space="preserve">TAGTTTGCTGCTCCAATTCGGCAT</t>
  </si>
  <si>
    <t xml:space="preserve">AAACATGCCGAATTGGAGCAGCAA</t>
  </si>
  <si>
    <t xml:space="preserve">TGGCAACCGCCGGGGCCGGC</t>
  </si>
  <si>
    <t xml:space="preserve">TAGTTGGCAACCGCCGGGGCCGGC</t>
  </si>
  <si>
    <t xml:space="preserve">AAACGCCGGCCCCGGCGGTTGCCA</t>
  </si>
  <si>
    <t xml:space="preserve">GGGTAAAGGCCGCTTCTCAC</t>
  </si>
  <si>
    <t xml:space="preserve">TAGTGGGTAAAGGCCGCTTCTCAC</t>
  </si>
  <si>
    <t xml:space="preserve">AAACGTGAGAAGCGGCCTTTACCC</t>
  </si>
  <si>
    <t xml:space="preserve">PST_0581</t>
  </si>
  <si>
    <t xml:space="preserve">CAGCTTGTCCAGGGTCGGAT</t>
  </si>
  <si>
    <t xml:space="preserve">TAGTCAGCTTGTCCAGGGTCGGAT</t>
  </si>
  <si>
    <t xml:space="preserve">AAACATCCGACCCTGGACAAGCTG</t>
  </si>
  <si>
    <t xml:space="preserve">GCTCAGGCTGTCGATTTCCG</t>
  </si>
  <si>
    <t xml:space="preserve">TAGTGCTCAGGCTGTCGATTTCCG</t>
  </si>
  <si>
    <t xml:space="preserve">AAACCGGAAATCGACAGCCTGAGC</t>
  </si>
  <si>
    <t xml:space="preserve">CAGGCGCTTGTCATCGCGTT</t>
  </si>
  <si>
    <t xml:space="preserve">TAGTCAGGCGCTTGTCATCGCGTT</t>
  </si>
  <si>
    <t xml:space="preserve">AAACAACGCGATGACAAGCGCCTG</t>
  </si>
  <si>
    <t xml:space="preserve">TGAGCCGGGCCTGGCGCAGG</t>
  </si>
  <si>
    <t xml:space="preserve">TAGTTGAGCCGGGCCTGGCGCAGG</t>
  </si>
  <si>
    <t xml:space="preserve">AAACCCTGCGCCAGGCCCGGCTCA</t>
  </si>
  <si>
    <t xml:space="preserve">PST_0582</t>
  </si>
  <si>
    <t xml:space="preserve">CCTGTAATACGACGGACTCG</t>
  </si>
  <si>
    <t xml:space="preserve">TAGTCCTGTAATACGACGGACTCG</t>
  </si>
  <si>
    <t xml:space="preserve">AAACCGAGTCCGTCGTATTACAGG</t>
  </si>
  <si>
    <t xml:space="preserve">GTGGTCTTACCGGCACCTGG</t>
  </si>
  <si>
    <t xml:space="preserve">TAGTGTGGTCTTACCGGCACCTGG</t>
  </si>
  <si>
    <t xml:space="preserve">AAACCCAGGTGCCGGTAAGACCAC</t>
  </si>
  <si>
    <t xml:space="preserve">GCTTCGTTGAGCAGGGCGAG</t>
  </si>
  <si>
    <t xml:space="preserve">TAGTGCTTCGTTGAGCAGGGCGAG</t>
  </si>
  <si>
    <t xml:space="preserve">AAACCTCGCCCTGCTCAACGAAGC</t>
  </si>
  <si>
    <t xml:space="preserve">CCCGGCGAGGCTGGAGCATC</t>
  </si>
  <si>
    <t xml:space="preserve">TAGTCCCGGCGAGGCTGGAGCATC</t>
  </si>
  <si>
    <t xml:space="preserve">AAACGATGCTCCAGCCTCGCCGGG</t>
  </si>
  <si>
    <t xml:space="preserve">PST_0583</t>
  </si>
  <si>
    <t xml:space="preserve">AGCTTGGAGAAGACCCGGCA</t>
  </si>
  <si>
    <t xml:space="preserve">TAGTAGCTTGGAGAAGACCCGGCA</t>
  </si>
  <si>
    <t xml:space="preserve">AAACTGCCGGGTCTTCTCCAAGCT</t>
  </si>
  <si>
    <t xml:space="preserve">GAACAACCTCGTCGCGCTCT</t>
  </si>
  <si>
    <t xml:space="preserve">TAGTGAACAACCTCGTCGCGCTCT</t>
  </si>
  <si>
    <t xml:space="preserve">AAACAGAGCGCGACGAGGTTGTTC</t>
  </si>
  <si>
    <t xml:space="preserve">GTGGTTTTACCTGCACCAGG</t>
  </si>
  <si>
    <t xml:space="preserve">TAGTGTGGTTTTACCTGCACCAGG</t>
  </si>
  <si>
    <t xml:space="preserve">AAACCCTGGTGCAGGTAAAACCAC</t>
  </si>
  <si>
    <t xml:space="preserve">GGCTCATCAAGGAGCGCTAG</t>
  </si>
  <si>
    <t xml:space="preserve">TAGTGGCTCATCAAGGAGCGCTAG</t>
  </si>
  <si>
    <t xml:space="preserve">AAACCTAGCGCTCCTTGATGAGCC</t>
  </si>
  <si>
    <t xml:space="preserve">PST_0584</t>
  </si>
  <si>
    <t xml:space="preserve">ACGGGTTTGCAGGCTCCTCA</t>
  </si>
  <si>
    <t xml:space="preserve">TAGTACGGGTTTGCAGGCTCCTCA</t>
  </si>
  <si>
    <t xml:space="preserve">AAACTGAGGAGCCTGCAAACCCGT</t>
  </si>
  <si>
    <t xml:space="preserve">CTCATAGGCAGTATTCAGCC</t>
  </si>
  <si>
    <t xml:space="preserve">TAGTCTCATAGGCAGTATTCAGCC</t>
  </si>
  <si>
    <t xml:space="preserve">AAACGGCTGAATACTGCCTATGAG</t>
  </si>
  <si>
    <t xml:space="preserve">TGAATGATGATGGCTCGAAG</t>
  </si>
  <si>
    <t xml:space="preserve">TAGTTGAATGATGATGGCTCGAAG</t>
  </si>
  <si>
    <t xml:space="preserve">AAACCTTCGAGCCATCATCATTCA</t>
  </si>
  <si>
    <t xml:space="preserve">TAGGGCGGTGCTGTCCCTGT</t>
  </si>
  <si>
    <t xml:space="preserve">TAGTTAGGGCGGTGCTGTCCCTGT</t>
  </si>
  <si>
    <t xml:space="preserve">AAACACAGGGACAGCACCGCCCTA</t>
  </si>
  <si>
    <t xml:space="preserve">PST_0585</t>
  </si>
  <si>
    <t xml:space="preserve">AAGGAAAGTGGAAAATATCC</t>
  </si>
  <si>
    <t xml:space="preserve">TAGTAAGGAAAGTGGAAAATATCC</t>
  </si>
  <si>
    <t xml:space="preserve">AAACGGATATTTTCCACTTTCCTT</t>
  </si>
  <si>
    <t xml:space="preserve">TTCCTGCCAGGGATCGCCTT</t>
  </si>
  <si>
    <t xml:space="preserve">TAGTTTCCTGCCAGGGATCGCCTT</t>
  </si>
  <si>
    <t xml:space="preserve">AAACAAGGCGATCCCTGGCAGGAA</t>
  </si>
  <si>
    <t xml:space="preserve">GAGCCACAGCAAGTAAGAGT</t>
  </si>
  <si>
    <t xml:space="preserve">TAGTGAGCCACAGCAAGTAAGAGT</t>
  </si>
  <si>
    <t xml:space="preserve">AAACACTCTTACTTGCTGTGGCTC</t>
  </si>
  <si>
    <t xml:space="preserve">TCATCAGTACGTCGGTTTCT</t>
  </si>
  <si>
    <t xml:space="preserve">TAGTTCATCAGTACGTCGGTTTCT</t>
  </si>
  <si>
    <t xml:space="preserve">AAACAGAAACCGACGTACTGATGA</t>
  </si>
  <si>
    <t xml:space="preserve">PST_0586</t>
  </si>
  <si>
    <t xml:space="preserve">CACGATGCTCGAATTGCTGG</t>
  </si>
  <si>
    <t xml:space="preserve">TAGTCACGATGCTCGAATTGCTGG</t>
  </si>
  <si>
    <t xml:space="preserve">AAACCCAGCAATTCGAGCATCGTG</t>
  </si>
  <si>
    <t xml:space="preserve">CAGCGTAATAATCTGCGTAT</t>
  </si>
  <si>
    <t xml:space="preserve">TAGTCAGCGTAATAATCTGCGTAT</t>
  </si>
  <si>
    <t xml:space="preserve">AAACATACGCAGATTATTACGCTG</t>
  </si>
  <si>
    <t xml:space="preserve">CAGACGCAAACGCTCAGGCT</t>
  </si>
  <si>
    <t xml:space="preserve">TAGTCAGACGCAAACGCTCAGGCT</t>
  </si>
  <si>
    <t xml:space="preserve">AAACAGCCTGAGCGTTTGCGTCTG</t>
  </si>
  <si>
    <t xml:space="preserve">GCGAAACTGCCAATATCAAA</t>
  </si>
  <si>
    <t xml:space="preserve">TAGTGCGAAACTGCCAATATCAAA</t>
  </si>
  <si>
    <t xml:space="preserve">AAACTTTGATATTGGCAGTTTCGC</t>
  </si>
  <si>
    <t xml:space="preserve">PST_0587</t>
  </si>
  <si>
    <t xml:space="preserve">AAAAGAGACTACCGATGGAG</t>
  </si>
  <si>
    <t xml:space="preserve">TAGTAAAAGAGACTACCGATGGAG</t>
  </si>
  <si>
    <t xml:space="preserve">AAACCTCCATCGGTAGTCTCTTTT</t>
  </si>
  <si>
    <t xml:space="preserve">GGTATGCGGAAACTGGCCGC</t>
  </si>
  <si>
    <t xml:space="preserve">TAGTGGTATGCGGAAACTGGCCGC</t>
  </si>
  <si>
    <t xml:space="preserve">AAACGCGGCCAGTTTCCGCATACC</t>
  </si>
  <si>
    <t xml:space="preserve">CGGCGCGTTATCTGGCTCAC</t>
  </si>
  <si>
    <t xml:space="preserve">TAGTCGGCGCGTTATCTGGCTCAC</t>
  </si>
  <si>
    <t xml:space="preserve">AAACGTGAGCCAGATAACGCGCCG</t>
  </si>
  <si>
    <t xml:space="preserve">GCGGGCTTGCCGTAGAGTTG</t>
  </si>
  <si>
    <t xml:space="preserve">TAGTGCGGGCTTGCCGTAGAGTTG</t>
  </si>
  <si>
    <t xml:space="preserve">AAACCAACTCTACGGCAAGCCCGC</t>
  </si>
  <si>
    <t xml:space="preserve">PST_0588</t>
  </si>
  <si>
    <t xml:space="preserve">CCAAACCAGGAGGCGCTGCA</t>
  </si>
  <si>
    <t xml:space="preserve">TAGTCCAAACCAGGAGGCGCTGCA</t>
  </si>
  <si>
    <t xml:space="preserve">AAACTGCAGCGCCTCCTGGTTTGG</t>
  </si>
  <si>
    <t xml:space="preserve">CCCACATGCTCGGGCACAAC</t>
  </si>
  <si>
    <t xml:space="preserve">TAGTCCCACATGCTCGGGCACAAC</t>
  </si>
  <si>
    <t xml:space="preserve">AAACGTTGTGCCCGAGCATGTGGG</t>
  </si>
  <si>
    <t xml:space="preserve">TGCTTGCAGTGAGTTTCGAC</t>
  </si>
  <si>
    <t xml:space="preserve">TAGTTGCTTGCAGTGAGTTTCGAC</t>
  </si>
  <si>
    <t xml:space="preserve">AAACGTCGAAACTCACTGCAAGCA</t>
  </si>
  <si>
    <t xml:space="preserve">CACGATCAAATCCAGCTTCC</t>
  </si>
  <si>
    <t xml:space="preserve">TAGTCACGATCAAATCCAGCTTCC</t>
  </si>
  <si>
    <t xml:space="preserve">AAACGGAAGCTGGATTTGATCGTG</t>
  </si>
  <si>
    <t xml:space="preserve">PST_0589</t>
  </si>
  <si>
    <t xml:space="preserve">CGAGTATTCTCTCTTCTGGT</t>
  </si>
  <si>
    <t xml:space="preserve">TAGTCGAGTATTCTCTCTTCTGGT</t>
  </si>
  <si>
    <t xml:space="preserve">AAACACCAGAAGAGAGAATACTCG</t>
  </si>
  <si>
    <t xml:space="preserve">TTGCGCCGTACTTTCGACGC</t>
  </si>
  <si>
    <t xml:space="preserve">TAGTTTGCGCCGTACTTTCGACGC</t>
  </si>
  <si>
    <t xml:space="preserve">AAACGCGTCGAAAGTACGGCGCAA</t>
  </si>
  <si>
    <t xml:space="preserve">TCGAGTCCGCCGATGTACTC</t>
  </si>
  <si>
    <t xml:space="preserve">TAGTTCGAGTCCGCCGATGTACTC</t>
  </si>
  <si>
    <t xml:space="preserve">AAACGAGTACATCGGCGGACTCGA</t>
  </si>
  <si>
    <t xml:space="preserve">TCCCAACTAAGAACGCGACC</t>
  </si>
  <si>
    <t xml:space="preserve">TAGTTCCCAACTAAGAACGCGACC</t>
  </si>
  <si>
    <t xml:space="preserve">AAACGGTCGCGTTCTTAGTTGGGA</t>
  </si>
  <si>
    <t xml:space="preserve">PST_0590</t>
  </si>
  <si>
    <t xml:space="preserve">ATTCCAAGTGACAATGTAAA</t>
  </si>
  <si>
    <t xml:space="preserve">TAGTATTCCAAGTGACAATGTAAA</t>
  </si>
  <si>
    <t xml:space="preserve">AAACTTTACATTGTCACTTGGAAT</t>
  </si>
  <si>
    <t xml:space="preserve">CGTAGTGCTCTAGGCATTGA</t>
  </si>
  <si>
    <t xml:space="preserve">TAGTCGTAGTGCTCTAGGCATTGA</t>
  </si>
  <si>
    <t xml:space="preserve">AAACTCAATGCCTAGAGCACTACG</t>
  </si>
  <si>
    <t xml:space="preserve">CCAGCGCACCGACTCCAGAC</t>
  </si>
  <si>
    <t xml:space="preserve">TAGTCCAGCGCACCGACTCCAGAC</t>
  </si>
  <si>
    <t xml:space="preserve">AAACGTCTGGAGTCGGTGCGCTGG</t>
  </si>
  <si>
    <t xml:space="preserve">CGTTTGCATCCAGCTTGGTT</t>
  </si>
  <si>
    <t xml:space="preserve">TAGTCGTTTGCATCCAGCTTGGTT</t>
  </si>
  <si>
    <t xml:space="preserve">AAACAACCAAGCTGGATGCAAACG</t>
  </si>
  <si>
    <t xml:space="preserve">PST_0591</t>
  </si>
  <si>
    <t xml:space="preserve">TCAGAATGAATTCATTTTCA</t>
  </si>
  <si>
    <t xml:space="preserve">TAGTTCAGAATGAATTCATTTTCA</t>
  </si>
  <si>
    <t xml:space="preserve">AAACTGAAAATGAATTCATTCTGA</t>
  </si>
  <si>
    <t xml:space="preserve">CGAGGCCTTCTCTGTTTTCT</t>
  </si>
  <si>
    <t xml:space="preserve">TAGTCGAGGCCTTCTCTGTTTTCT</t>
  </si>
  <si>
    <t xml:space="preserve">AAACAGAAAACAGAGAAGGCCTCG</t>
  </si>
  <si>
    <t xml:space="preserve">CGCGAGTGAAGTCGTGCGCG</t>
  </si>
  <si>
    <t xml:space="preserve">TAGTCGCGAGTGAAGTCGTGCGCG</t>
  </si>
  <si>
    <t xml:space="preserve">AAACCGCGCACGACTTCACTCGCG</t>
  </si>
  <si>
    <t xml:space="preserve">CTTTGCGGCCAAGACGCTTT</t>
  </si>
  <si>
    <t xml:space="preserve">TAGTCTTTGCGGCCAAGACGCTTT</t>
  </si>
  <si>
    <t xml:space="preserve">AAACAAAGCGTCTTGGCCGCAAAG</t>
  </si>
  <si>
    <t xml:space="preserve">PST_0592</t>
  </si>
  <si>
    <t xml:space="preserve">GGGTTGGTCGTCCGTGGGTT</t>
  </si>
  <si>
    <t xml:space="preserve">TAGTGGGTTGGTCGTCCGTGGGTT</t>
  </si>
  <si>
    <t xml:space="preserve">AAACAACCCACGGACGACCAACCC</t>
  </si>
  <si>
    <t xml:space="preserve">CGTGCTCCTCCCTTGCTGGT</t>
  </si>
  <si>
    <t xml:space="preserve">TAGTCGTGCTCCTCCCTTGCTGGT</t>
  </si>
  <si>
    <t xml:space="preserve">AAACACCAGCAAGGGAGGAGCACG</t>
  </si>
  <si>
    <t xml:space="preserve">TGAATTCCAGCCGACGTTCC</t>
  </si>
  <si>
    <t xml:space="preserve">TAGTTGAATTCCAGCCGACGTTCC</t>
  </si>
  <si>
    <t xml:space="preserve">AAACGGAACGTCGGCTGGAATTCA</t>
  </si>
  <si>
    <t xml:space="preserve">TGAGGCTGCTGCGGTTGATC</t>
  </si>
  <si>
    <t xml:space="preserve">TAGTTGAGGCTGCTGCGGTTGATC</t>
  </si>
  <si>
    <t xml:space="preserve">AAACGATCAACCGCAGCAGCCTCA</t>
  </si>
  <si>
    <t xml:space="preserve">PST_0593</t>
  </si>
  <si>
    <t xml:space="preserve">TTGATCTGTGTGTTGGTGAG</t>
  </si>
  <si>
    <t xml:space="preserve">TAGTTTGATCTGTGTGTTGGTGAG</t>
  </si>
  <si>
    <t xml:space="preserve">AAACCTCACCAACACACAGATCAA</t>
  </si>
  <si>
    <t xml:space="preserve">GCGGTCGACCTGGGCGTTGT</t>
  </si>
  <si>
    <t xml:space="preserve">TAGTGCGGTCGACCTGGGCGTTGT</t>
  </si>
  <si>
    <t xml:space="preserve">AAACACAACGCCCAGGTCGACCGC</t>
  </si>
  <si>
    <t xml:space="preserve">TGATCTTGTCCTGCTTCTTC</t>
  </si>
  <si>
    <t xml:space="preserve">TAGTTGATCTTGTCCTGCTTCTTC</t>
  </si>
  <si>
    <t xml:space="preserve">AAACGAAGAAGCAGGACAAGATCA</t>
  </si>
  <si>
    <t xml:space="preserve">AGCCTTCACCACCTTTTTGA</t>
  </si>
  <si>
    <t xml:space="preserve">TAGTAGCCTTCACCACCTTTTTGA</t>
  </si>
  <si>
    <t xml:space="preserve">AAACTCAAAAAGGTGGTGAAGGCT</t>
  </si>
  <si>
    <t xml:space="preserve">PST_0594</t>
  </si>
  <si>
    <t xml:space="preserve">GGTGTAGGTAGTGGTTTGAG</t>
  </si>
  <si>
    <t xml:space="preserve">TAGTGGTGTAGGTAGTGGTTTGAG</t>
  </si>
  <si>
    <t xml:space="preserve">AAACCTCAAACCACTACCTACACC</t>
  </si>
  <si>
    <t xml:space="preserve">GACCGCTTCGATGTCAGTGG</t>
  </si>
  <si>
    <t xml:space="preserve">TAGTGACCGCTTCGATGTCAGTGG</t>
  </si>
  <si>
    <t xml:space="preserve">AAACCCACTGACATCGAAGCGGTC</t>
  </si>
  <si>
    <t xml:space="preserve">TGCTCGACGCGATCATCAGG</t>
  </si>
  <si>
    <t xml:space="preserve">TAGTTGCTCGACGCGATCATCAGG</t>
  </si>
  <si>
    <t xml:space="preserve">AAACCCTGATGATCGCGTCGAGCA</t>
  </si>
  <si>
    <t xml:space="preserve">AGCCAGCAGCTCAATGTCAT</t>
  </si>
  <si>
    <t xml:space="preserve">TAGTAGCCAGCAGCTCAATGTCAT</t>
  </si>
  <si>
    <t xml:space="preserve">AAACATGACATTGAGCTGCTGGCT</t>
  </si>
  <si>
    <t xml:space="preserve">PST_0595</t>
  </si>
  <si>
    <t xml:space="preserve">CGCTCAGTCAGCTGGGCTTC</t>
  </si>
  <si>
    <t xml:space="preserve">TAGTCGCTCAGTCAGCTGGGCTTC</t>
  </si>
  <si>
    <t xml:space="preserve">AAACGAAGCCCAGCTGACTGAGCG</t>
  </si>
  <si>
    <t xml:space="preserve">GATTCAGTAACAGCTGGAGC</t>
  </si>
  <si>
    <t xml:space="preserve">TAGTGATTCAGTAACAGCTGGAGC</t>
  </si>
  <si>
    <t xml:space="preserve">AAACGCTCCAGCTGTTACTGAATC</t>
  </si>
  <si>
    <t xml:space="preserve">CCATGCTCCACTCGGACAAC</t>
  </si>
  <si>
    <t xml:space="preserve">TAGTCCATGCTCCACTCGGACAAC</t>
  </si>
  <si>
    <t xml:space="preserve">AAACGTTGTCCGAGTGGAGCATGG</t>
  </si>
  <si>
    <t xml:space="preserve">AAATCGGCAGCACGCTTTTA</t>
  </si>
  <si>
    <t xml:space="preserve">TAGTAAATCGGCAGCACGCTTTTA</t>
  </si>
  <si>
    <t xml:space="preserve">AAACTAAAAGCGTGCTGCCGATTT</t>
  </si>
  <si>
    <t xml:space="preserve">PST_0596</t>
  </si>
  <si>
    <t xml:space="preserve">TGCTGTACTTGCCAGGGATC</t>
  </si>
  <si>
    <t xml:space="preserve">TAGTTGCTGTACTTGCCAGGGATC</t>
  </si>
  <si>
    <t xml:space="preserve">AAACGATCCCTGGCAAGTACAGCA</t>
  </si>
  <si>
    <t xml:space="preserve">AGCAGGAGAACTGCTCAGCC</t>
  </si>
  <si>
    <t xml:space="preserve">TAGTAGCAGGAGAACTGCTCAGCC</t>
  </si>
  <si>
    <t xml:space="preserve">AAACGGCTGAGCAGTTCTCCTGCT</t>
  </si>
  <si>
    <t xml:space="preserve">GGCACAAACTCCTGAGAGAT</t>
  </si>
  <si>
    <t xml:space="preserve">TAGTGGCACAAACTCCTGAGAGAT</t>
  </si>
  <si>
    <t xml:space="preserve">AAACATCTCTCAGGAGTTTGTGCC</t>
  </si>
  <si>
    <t xml:space="preserve">CCTGTGACCTCAAGGGCAGC</t>
  </si>
  <si>
    <t xml:space="preserve">TAGTCCTGTGACCTCAAGGGCAGC</t>
  </si>
  <si>
    <t xml:space="preserve">AAACGCTGCCCTTGAGGTCACAGG</t>
  </si>
  <si>
    <t xml:space="preserve">PST_0597</t>
  </si>
  <si>
    <t xml:space="preserve">CCGATCAAGGTAAGCAGTCC</t>
  </si>
  <si>
    <t xml:space="preserve">TAGTCCGATCAAGGTAAGCAGTCC</t>
  </si>
  <si>
    <t xml:space="preserve">AAACGGACTGCTTACCTTGATCGG</t>
  </si>
  <si>
    <t xml:space="preserve">GGACGCACTGATGCGGCAGA</t>
  </si>
  <si>
    <t xml:space="preserve">TAGTGGACGCACTGATGCGGCAGA</t>
  </si>
  <si>
    <t xml:space="preserve">AAACTCTGCCGCATCAGTGCGTCC</t>
  </si>
  <si>
    <t xml:space="preserve">GGTGCAATCATCTGGTCAAA</t>
  </si>
  <si>
    <t xml:space="preserve">TAGTGGTGCAATCATCTGGTCAAA</t>
  </si>
  <si>
    <t xml:space="preserve">AAACTTTGACCAGATGATTGCACC</t>
  </si>
  <si>
    <t xml:space="preserve">CAAAACACTCCTCGTTTTAG</t>
  </si>
  <si>
    <t xml:space="preserve">TAGTCAAAACACTCCTCGTTTTAG</t>
  </si>
  <si>
    <t xml:space="preserve">AAACCTAAAACGAGGAGTGTTTTG</t>
  </si>
  <si>
    <t xml:space="preserve">PST_0599</t>
  </si>
  <si>
    <t xml:space="preserve">GCGCTCCAACTCCAGCACTT</t>
  </si>
  <si>
    <t xml:space="preserve">TAGTGCGCTCCAACTCCAGCACTT</t>
  </si>
  <si>
    <t xml:space="preserve">AAACAAGTGCTGGAGTTGGAGCGC</t>
  </si>
  <si>
    <t xml:space="preserve">CCGTCGAATGGCGCTGGCAC</t>
  </si>
  <si>
    <t xml:space="preserve">TAGTCCGTCGAATGGCGCTGGCAC</t>
  </si>
  <si>
    <t xml:space="preserve">AAACGTGCCAGCGCCATTCGACGG</t>
  </si>
  <si>
    <t xml:space="preserve">PST_0600</t>
  </si>
  <si>
    <t xml:space="preserve">ATTCCCCGGTTGAGATACTC</t>
  </si>
  <si>
    <t xml:space="preserve">TAGTATTCCCCGGTTGAGATACTC</t>
  </si>
  <si>
    <t xml:space="preserve">AAACGAGTATCTCAACCGGGGAAT</t>
  </si>
  <si>
    <t xml:space="preserve">TATCGCATGCGACAGGCGCT</t>
  </si>
  <si>
    <t xml:space="preserve">TAGTTATCGCATGCGACAGGCGCT</t>
  </si>
  <si>
    <t xml:space="preserve">AAACAGCGCCTGTCGCATGCGATA</t>
  </si>
  <si>
    <t xml:space="preserve">CCGCTGTTGCGACATGGTGG</t>
  </si>
  <si>
    <t xml:space="preserve">TAGTCCGCTGTTGCGACATGGTGG</t>
  </si>
  <si>
    <t xml:space="preserve">AAACCCACCATGTCGCAACAGCGG</t>
  </si>
  <si>
    <t xml:space="preserve">ACAGCCTTGGTAAGTCGCAC</t>
  </si>
  <si>
    <t xml:space="preserve">TAGTACAGCCTTGGTAAGTCGCAC</t>
  </si>
  <si>
    <t xml:space="preserve">AAACGTGCGACTTACCAAGGCTGT</t>
  </si>
  <si>
    <t xml:space="preserve">PST_0601</t>
  </si>
  <si>
    <t xml:space="preserve">TTGGGACGGATATGTTGGAT</t>
  </si>
  <si>
    <t xml:space="preserve">TAGTTTGGGACGGATATGTTGGAT</t>
  </si>
  <si>
    <t xml:space="preserve">AAACATCCAACATATCCGTCCCAA</t>
  </si>
  <si>
    <t xml:space="preserve">GAAAGACAGCGATAGGCCGT</t>
  </si>
  <si>
    <t xml:space="preserve">TAGTGAAAGACAGCGATAGGCCGT</t>
  </si>
  <si>
    <t xml:space="preserve">AAACACGGCCTATCGCTGTCTTTC</t>
  </si>
  <si>
    <t xml:space="preserve">GATTTTCGGGTCGTGCCCAG</t>
  </si>
  <si>
    <t xml:space="preserve">TAGTGATTTTCGGGTCGTGCCCAG</t>
  </si>
  <si>
    <t xml:space="preserve">AAACCTGGGCACGACCCGAAAATC</t>
  </si>
  <si>
    <t xml:space="preserve">TCAGAAATCTTGGTGAGGTG</t>
  </si>
  <si>
    <t xml:space="preserve">TAGTTCAGAAATCTTGGTGAGGTG</t>
  </si>
  <si>
    <t xml:space="preserve">AAACCACCTCACCAAGATTTCTGA</t>
  </si>
  <si>
    <t xml:space="preserve">PST_0602</t>
  </si>
  <si>
    <t xml:space="preserve">ACCGGTTTTGCTTTGACGTT</t>
  </si>
  <si>
    <t xml:space="preserve">TAGTACCGGTTTTGCTTTGACGTT</t>
  </si>
  <si>
    <t xml:space="preserve">AAACAACGTCAAAGCAAAACCGGT</t>
  </si>
  <si>
    <t xml:space="preserve">GTAGAACTGGAAACCAGTTT</t>
  </si>
  <si>
    <t xml:space="preserve">TAGTGTAGAACTGGAAACCAGTTT</t>
  </si>
  <si>
    <t xml:space="preserve">AAACAAACTGGTTTCCAGTTCTAC</t>
  </si>
  <si>
    <t xml:space="preserve">GGTGGGAGCCGATATTGCTC</t>
  </si>
  <si>
    <t xml:space="preserve">TAGTGGTGGGAGCCGATATTGCTC</t>
  </si>
  <si>
    <t xml:space="preserve">AAACGAGCAATATCGGCTCCCACC</t>
  </si>
  <si>
    <t xml:space="preserve">GGATCTGTGCAGGCAGTTTG</t>
  </si>
  <si>
    <t xml:space="preserve">TAGTGGATCTGTGCAGGCAGTTTG</t>
  </si>
  <si>
    <t xml:space="preserve">AAACCAAACTGCCTGCACAGATCC</t>
  </si>
  <si>
    <t xml:space="preserve">PST_0603</t>
  </si>
  <si>
    <t xml:space="preserve">GGCGTCCTTGATTATCGTTT</t>
  </si>
  <si>
    <t xml:space="preserve">TAGTGGCGTCCTTGATTATCGTTT</t>
  </si>
  <si>
    <t xml:space="preserve">AAACAAACGATAATCAAGGACGCC</t>
  </si>
  <si>
    <t xml:space="preserve">GGTTGTTTTGGGAGTTGAAC</t>
  </si>
  <si>
    <t xml:space="preserve">TAGTGGTTGTTTTGGGAGTTGAAC</t>
  </si>
  <si>
    <t xml:space="preserve">AAACGTTCAACTCCCAAAACAACC</t>
  </si>
  <si>
    <t xml:space="preserve">GCGCGCATGTTGCCGACTAA</t>
  </si>
  <si>
    <t xml:space="preserve">TAGTGCGCGCATGTTGCCGACTAA</t>
  </si>
  <si>
    <t xml:space="preserve">AAACTTAGTCGGCAACATGCGCGC</t>
  </si>
  <si>
    <t xml:space="preserve">GGGCTTATTTGGTGGAGCCG</t>
  </si>
  <si>
    <t xml:space="preserve">TAGTGGGCTTATTTGGTGGAGCCG</t>
  </si>
  <si>
    <t xml:space="preserve">AAACCGGCTCCACCAAATAAGCCC</t>
  </si>
  <si>
    <t xml:space="preserve">PST_0604</t>
  </si>
  <si>
    <t xml:space="preserve">fadD</t>
  </si>
  <si>
    <t xml:space="preserve">TGGGAAACATCATCAGGCTG</t>
  </si>
  <si>
    <t xml:space="preserve">TAGTTGGGAAACATCATCAGGCTG</t>
  </si>
  <si>
    <t xml:space="preserve">AAACCAGCCTGATGATGTTTCCCA</t>
  </si>
  <si>
    <t xml:space="preserve">GCCTTCCTGTTTGAAGGTGC</t>
  </si>
  <si>
    <t xml:space="preserve">TAGTGCCTTCCTGTTTGAAGGTGC</t>
  </si>
  <si>
    <t xml:space="preserve">AAACGCACCTTCAAACAGGAAGGC</t>
  </si>
  <si>
    <t xml:space="preserve">GCTCTTCCAGCGGGTCGCGG</t>
  </si>
  <si>
    <t xml:space="preserve">TAGTGCTCTTCCAGCGGGTCGCGG</t>
  </si>
  <si>
    <t xml:space="preserve">AAACCCGCGACCCGCTGGAAGAGC</t>
  </si>
  <si>
    <t xml:space="preserve">GTTTCGAGGAACACCACTTT</t>
  </si>
  <si>
    <t xml:space="preserve">TAGTGTTTCGAGGAACACCACTTT</t>
  </si>
  <si>
    <t xml:space="preserve">AAACAAAGTGGTGTTCCTCGAAAC</t>
  </si>
  <si>
    <t xml:space="preserve">PST_0605</t>
  </si>
  <si>
    <t xml:space="preserve">GCCAAGGCCCGATGCGCCAC</t>
  </si>
  <si>
    <t xml:space="preserve">TAGTGCCAAGGCCCGATGCGCCAC</t>
  </si>
  <si>
    <t xml:space="preserve">AAACGTGGCGCATCGGGCCTTGGC</t>
  </si>
  <si>
    <t xml:space="preserve">CCAGGTAGTGTGCGGTAGCC</t>
  </si>
  <si>
    <t xml:space="preserve">TAGTCCAGGTAGTGTGCGGTAGCC</t>
  </si>
  <si>
    <t xml:space="preserve">AAACGGCTACCGCACACTACCTGG</t>
  </si>
  <si>
    <t xml:space="preserve">TTCGACGTTGAGGTCGAAGA</t>
  </si>
  <si>
    <t xml:space="preserve">TAGTTTCGACGTTGAGGTCGAAGA</t>
  </si>
  <si>
    <t xml:space="preserve">AAACTCTTCGACCTCAACGTCGAA</t>
  </si>
  <si>
    <t xml:space="preserve">TGCCGCCACGGCTTGCTCGC</t>
  </si>
  <si>
    <t xml:space="preserve">TAGTTGCCGCCACGGCTTGCTCGC</t>
  </si>
  <si>
    <t xml:space="preserve">AAACGCGAGCAAGCCGTGGCGGCA</t>
  </si>
  <si>
    <t xml:space="preserve">PST_0606</t>
  </si>
  <si>
    <t xml:space="preserve">GTGCGCATGACGTGTCCCAT</t>
  </si>
  <si>
    <t xml:space="preserve">TAGTGTGCGCATGACGTGTCCCAT</t>
  </si>
  <si>
    <t xml:space="preserve">AAACATGGGACACGTCATGCGCAC</t>
  </si>
  <si>
    <t xml:space="preserve">GACGGCTTCCAGTTGCTCCG</t>
  </si>
  <si>
    <t xml:space="preserve">TAGTGACGGCTTCCAGTTGCTCCG</t>
  </si>
  <si>
    <t xml:space="preserve">AAACCGGAGCAACTGGAAGCCGTC</t>
  </si>
  <si>
    <t xml:space="preserve">TCCTGTCCGCCAGGAAACGG</t>
  </si>
  <si>
    <t xml:space="preserve">TAGTTCCTGTCCGCCAGGAAACGG</t>
  </si>
  <si>
    <t xml:space="preserve">AAACCCGTTTCCTGGCGGACAGGA</t>
  </si>
  <si>
    <t xml:space="preserve">GGTATTCCTTGTTGAACACC</t>
  </si>
  <si>
    <t xml:space="preserve">TAGTGGTATTCCTTGTTGAACACC</t>
  </si>
  <si>
    <t xml:space="preserve">AAACGGTGTTCAACAAGGAATACC</t>
  </si>
  <si>
    <t xml:space="preserve">PST_0607</t>
  </si>
  <si>
    <t xml:space="preserve">CTCGAGCAGGCGCCCGAAGG</t>
  </si>
  <si>
    <t xml:space="preserve">TAGTCTCGAGCAGGCGCCCGAAGG</t>
  </si>
  <si>
    <t xml:space="preserve">AAACCCTTCGGGCGCCTGCTCGAG</t>
  </si>
  <si>
    <t xml:space="preserve">ATCTTTCAAGGCCAGATCCA</t>
  </si>
  <si>
    <t xml:space="preserve">TAGTATCTTTCAAGGCCAGATCCA</t>
  </si>
  <si>
    <t xml:space="preserve">AAACTGGATCTGGCCTTGAAAGAT</t>
  </si>
  <si>
    <t xml:space="preserve">CACATCGCAGGTCGCGGCGC</t>
  </si>
  <si>
    <t xml:space="preserve">TAGTCACATCGCAGGTCGCGGCGC</t>
  </si>
  <si>
    <t xml:space="preserve">AAACGCGCCGCGACCTGCGATGTG</t>
  </si>
  <si>
    <t xml:space="preserve">GTTGGTCAGGGTGCCGTAGT</t>
  </si>
  <si>
    <t xml:space="preserve">TAGTGTTGGTCAGGGTGCCGTAGT</t>
  </si>
  <si>
    <t xml:space="preserve">AAACACTACGGCACCCTGACCAAC</t>
  </si>
  <si>
    <t xml:space="preserve">PST_0608</t>
  </si>
  <si>
    <t xml:space="preserve">GGCCGAGGGTTTCAAACAGC</t>
  </si>
  <si>
    <t xml:space="preserve">TAGTGGCCGAGGGTTTCAAACAGC</t>
  </si>
  <si>
    <t xml:space="preserve">AAACGCTGTTTGAAACCCTCGGCC</t>
  </si>
  <si>
    <t xml:space="preserve">TGAGGGTCAGGCGCGCAACC</t>
  </si>
  <si>
    <t xml:space="preserve">TAGTTGAGGGTCAGGCGCGCAACC</t>
  </si>
  <si>
    <t xml:space="preserve">AAACGGTTGCGCGCCTGACCCTCA</t>
  </si>
  <si>
    <t xml:space="preserve">GCGAGTTCATCGCCTTGGGC</t>
  </si>
  <si>
    <t xml:space="preserve">TAGTGCGAGTTCATCGCCTTGGGC</t>
  </si>
  <si>
    <t xml:space="preserve">AAACGCCCAAGGCGATGAACTCGC</t>
  </si>
  <si>
    <t xml:space="preserve">GGCCAGGCGCTGTTCTAGCT</t>
  </si>
  <si>
    <t xml:space="preserve">TAGTGGCCAGGCGCTGTTCTAGCT</t>
  </si>
  <si>
    <t xml:space="preserve">AAACAGCTAGAACAGCGCCTGGCC</t>
  </si>
  <si>
    <t xml:space="preserve">PST_0609</t>
  </si>
  <si>
    <t xml:space="preserve">TCGACTCGGCATCGGGCTGT</t>
  </si>
  <si>
    <t xml:space="preserve">TAGTTCGACTCGGCATCGGGCTGT</t>
  </si>
  <si>
    <t xml:space="preserve">AAACACAGCCCGATGCCGAGTCGA</t>
  </si>
  <si>
    <t xml:space="preserve">GACGTCACGCATCCGGGCGA</t>
  </si>
  <si>
    <t xml:space="preserve">TAGTGACGTCACGCATCCGGGCGA</t>
  </si>
  <si>
    <t xml:space="preserve">AAACTCGCCCGGATGCGTGACGTC</t>
  </si>
  <si>
    <t xml:space="preserve">ACGCTGCCTGCTGACGCTTA</t>
  </si>
  <si>
    <t xml:space="preserve">TAGTACGCTGCCTGCTGACGCTTA</t>
  </si>
  <si>
    <t xml:space="preserve">AAACTAAGCGTCAGCAGGCAGCGT</t>
  </si>
  <si>
    <t xml:space="preserve">CTCCACCGAGGGCGGGCCTT</t>
  </si>
  <si>
    <t xml:space="preserve">TAGTCTCCACCGAGGGCGGGCCTT</t>
  </si>
  <si>
    <t xml:space="preserve">AAACAAGGCCCGCCCTCGGTGGAG</t>
  </si>
  <si>
    <t xml:space="preserve">PST_0610</t>
  </si>
  <si>
    <t xml:space="preserve">GGCGCTGGTGAATCAAGCGC</t>
  </si>
  <si>
    <t xml:space="preserve">TAGTGGCGCTGGTGAATCAAGCGC</t>
  </si>
  <si>
    <t xml:space="preserve">AAACGCGCTTGATTCACCAGCGCC</t>
  </si>
  <si>
    <t xml:space="preserve">GATAACCCAGGCACTCGACC</t>
  </si>
  <si>
    <t xml:space="preserve">TAGTGATAACCCAGGCACTCGACC</t>
  </si>
  <si>
    <t xml:space="preserve">AAACGGTCGAGTGCCTGGGTTATC</t>
  </si>
  <si>
    <t xml:space="preserve">TTCTATATCCCACAGACCAT</t>
  </si>
  <si>
    <t xml:space="preserve">TAGTTTCTATATCCCACAGACCAT</t>
  </si>
  <si>
    <t xml:space="preserve">AAACATGGTCTGTGGGATATAGAA</t>
  </si>
  <si>
    <t xml:space="preserve">CACGGCGTGGGTCTTGCTAT</t>
  </si>
  <si>
    <t xml:space="preserve">TAGTCACGGCGTGGGTCTTGCTAT</t>
  </si>
  <si>
    <t xml:space="preserve">AAACATAGCAAGACCCACGCCGTG</t>
  </si>
  <si>
    <t xml:space="preserve">PST_0611</t>
  </si>
  <si>
    <t xml:space="preserve">AAAAGGCCCCGGTCCGATGC</t>
  </si>
  <si>
    <t xml:space="preserve">TAGTAAAAGGCCCCGGTCCGATGC</t>
  </si>
  <si>
    <t xml:space="preserve">AAACGCATCGGACCGGGGCCTTTT</t>
  </si>
  <si>
    <t xml:space="preserve">GCGCTCGATCAGGATGACCT</t>
  </si>
  <si>
    <t xml:space="preserve">TAGTGCGCTCGATCAGGATGACCT</t>
  </si>
  <si>
    <t xml:space="preserve">AAACAGGTCATCCTGATCGAGCGC</t>
  </si>
  <si>
    <t xml:space="preserve">GCGTTTGCCGCGATTGACGA</t>
  </si>
  <si>
    <t xml:space="preserve">TAGTGCGTTTGCCGCGATTGACGA</t>
  </si>
  <si>
    <t xml:space="preserve">AAACTCGTCAATCGCGGCAAACGC</t>
  </si>
  <si>
    <t xml:space="preserve">GCACCGCCTCGATGGCGGCC</t>
  </si>
  <si>
    <t xml:space="preserve">TAGTGCACCGCCTCGATGGCGGCC</t>
  </si>
  <si>
    <t xml:space="preserve">AAACGGCCGCCATCGAGGCGGTGC</t>
  </si>
  <si>
    <t xml:space="preserve">PST_0612</t>
  </si>
  <si>
    <t xml:space="preserve">TACCACGATGTAATCGAACA</t>
  </si>
  <si>
    <t xml:space="preserve">TAGTTACCACGATGTAATCGAACA</t>
  </si>
  <si>
    <t xml:space="preserve">AAACTGTTCGATTACATCGTGGTA</t>
  </si>
  <si>
    <t xml:space="preserve">GCTGGCGACTACGCAACCGG</t>
  </si>
  <si>
    <t xml:space="preserve">TAGTGCTGGCGACTACGCAACCGG</t>
  </si>
  <si>
    <t xml:space="preserve">AAACCCGGTTGCGTAGTCGCCAGC</t>
  </si>
  <si>
    <t xml:space="preserve">CCGCCGGGTCTTCCGACAAT</t>
  </si>
  <si>
    <t xml:space="preserve">TAGTCCGCCGGGTCTTCCGACAAT</t>
  </si>
  <si>
    <t xml:space="preserve">AAACATTGTCGGAAGACCCGGCGG</t>
  </si>
  <si>
    <t xml:space="preserve">GCCGGCTTCGAGCAGGCACA</t>
  </si>
  <si>
    <t xml:space="preserve">TAGTGCCGGCTTCGAGCAGGCACA</t>
  </si>
  <si>
    <t xml:space="preserve">AAACTGTGCCTGCTCGAAGCCGGC</t>
  </si>
  <si>
    <t xml:space="preserve">PST_0613</t>
  </si>
  <si>
    <t xml:space="preserve">GTGACGTCTGCGGTTGACGC</t>
  </si>
  <si>
    <t xml:space="preserve">TAGTGTGACGTCTGCGGTTGACGC</t>
  </si>
  <si>
    <t xml:space="preserve">AAACGCGTCAACCGCAGACGTCAC</t>
  </si>
  <si>
    <t xml:space="preserve">CACCAGGCTGTAGCTGCCGA</t>
  </si>
  <si>
    <t xml:space="preserve">TAGTCACCAGGCTGTAGCTGCCGA</t>
  </si>
  <si>
    <t xml:space="preserve">AAACTCGGCAGCTACAGCCTGGTG</t>
  </si>
  <si>
    <t xml:space="preserve">GCCACTGACCTCCAGAGCCC</t>
  </si>
  <si>
    <t xml:space="preserve">TAGTGCCACTGACCTCCAGAGCCC</t>
  </si>
  <si>
    <t xml:space="preserve">AAACGGGCTCTGGAGGTCAGTGGC</t>
  </si>
  <si>
    <t xml:space="preserve">GGTCATTGACTACATCCAGC</t>
  </si>
  <si>
    <t xml:space="preserve">TAGTGGTCATTGACTACATCCAGC</t>
  </si>
  <si>
    <t xml:space="preserve">AAACGCTGGATGTAGTCAATGACC</t>
  </si>
  <si>
    <t xml:space="preserve">PST_0614</t>
  </si>
  <si>
    <t xml:space="preserve">GGCAGGCAGGAATAAAGGCA</t>
  </si>
  <si>
    <t xml:space="preserve">TAGTGGCAGGCAGGAATAAAGGCA</t>
  </si>
  <si>
    <t xml:space="preserve">AAACTGCCTTTATTCCTGCCTGCC</t>
  </si>
  <si>
    <t xml:space="preserve">GCTGACGGCCAGCGACAGCA</t>
  </si>
  <si>
    <t xml:space="preserve">TAGTGCTGACGGCCAGCGACAGCA</t>
  </si>
  <si>
    <t xml:space="preserve">AAACTGCTGTCGCTGGCCGTCAGC</t>
  </si>
  <si>
    <t xml:space="preserve">CTACCTCGGCGAGGGCTGCG</t>
  </si>
  <si>
    <t xml:space="preserve">TAGTCTACCTCGGCGAGGGCTGCG</t>
  </si>
  <si>
    <t xml:space="preserve">AAACCGCAGCCCTCGCCGAGGTAG</t>
  </si>
  <si>
    <t xml:space="preserve">GGTCGTGGGCTCGGCCGGCT</t>
  </si>
  <si>
    <t xml:space="preserve">TAGTGGTCGTGGGCTCGGCCGGCT</t>
  </si>
  <si>
    <t xml:space="preserve">AAACAGCCGGCCGAGCCCACGACC</t>
  </si>
  <si>
    <t xml:space="preserve">PST_0615</t>
  </si>
  <si>
    <t xml:space="preserve">CACGGGGACAAACCCGAGCC</t>
  </si>
  <si>
    <t xml:space="preserve">TAGTCACGGGGACAAACCCGAGCC</t>
  </si>
  <si>
    <t xml:space="preserve">AAACGGCTCGGGTTTGTCCCCGTG</t>
  </si>
  <si>
    <t xml:space="preserve">TACAGTCCAGTCTTCACTGC</t>
  </si>
  <si>
    <t xml:space="preserve">TAGTTACAGTCCAGTCTTCACTGC</t>
  </si>
  <si>
    <t xml:space="preserve">AAACGCAGTGAAGACTGGACTGTA</t>
  </si>
  <si>
    <t xml:space="preserve">CTGGGCGTAGTTCATTTTCA</t>
  </si>
  <si>
    <t xml:space="preserve">TAGTCTGGGCGTAGTTCATTTTCA</t>
  </si>
  <si>
    <t xml:space="preserve">AAACTGAAAATGAACTACGCCCAG</t>
  </si>
  <si>
    <t xml:space="preserve">GGAGTTGGCCAGCTTGGAGT</t>
  </si>
  <si>
    <t xml:space="preserve">TAGTGGAGTTGGCCAGCTTGGAGT</t>
  </si>
  <si>
    <t xml:space="preserve">AAACACTCCAAGCTGGCCAACTCC</t>
  </si>
  <si>
    <t xml:space="preserve">PST_0616</t>
  </si>
  <si>
    <t xml:space="preserve">AGAGATTTAACGAAGGTCAT</t>
  </si>
  <si>
    <t xml:space="preserve">TAGTAGAGATTTAACGAAGGTCAT</t>
  </si>
  <si>
    <t xml:space="preserve">AAACATGACCTTCGTTAAATCTCT</t>
  </si>
  <si>
    <t xml:space="preserve">CACAGCCACGGCCAGGGTGG</t>
  </si>
  <si>
    <t xml:space="preserve">TAGTCACAGCCACGGCCAGGGTGG</t>
  </si>
  <si>
    <t xml:space="preserve">AAACCCACCCTGGCCGTGGCTGTG</t>
  </si>
  <si>
    <t xml:space="preserve">TTCCGGGGTTGCCGCCGCCA</t>
  </si>
  <si>
    <t xml:space="preserve">TAGTTTCCGGGGTTGCCGCCGCCA</t>
  </si>
  <si>
    <t xml:space="preserve">AAACTGGCGGCGGCAACCCCGGAA</t>
  </si>
  <si>
    <t xml:space="preserve">TTTCCGCGCCCACTGCGGTC</t>
  </si>
  <si>
    <t xml:space="preserve">TAGTTTTCCGCGCCCACTGCGGTC</t>
  </si>
  <si>
    <t xml:space="preserve">AAACGACCGCAGTGGGCGCGGAAA</t>
  </si>
  <si>
    <t xml:space="preserve">PST_0617</t>
  </si>
  <si>
    <t xml:space="preserve">CCGGTTGAATGGCAGCGCTA</t>
  </si>
  <si>
    <t xml:space="preserve">TAGTCCGGTTGAATGGCAGCGCTA</t>
  </si>
  <si>
    <t xml:space="preserve">AAACTAGCGCTGCCATTCAACCGG</t>
  </si>
  <si>
    <t xml:space="preserve">GCCAGCTCACTCATCTGTGC</t>
  </si>
  <si>
    <t xml:space="preserve">TAGTGCCAGCTCACTCATCTGTGC</t>
  </si>
  <si>
    <t xml:space="preserve">AAACGCACAGATGAGTGAGCTGGC</t>
  </si>
  <si>
    <t xml:space="preserve">GCCGGTGAGCATGCCCTGAA</t>
  </si>
  <si>
    <t xml:space="preserve">TAGTGCCGGTGAGCATGCCCTGAA</t>
  </si>
  <si>
    <t xml:space="preserve">AAACTTCAGGGCATGCTCACCGGC</t>
  </si>
  <si>
    <t xml:space="preserve">ACCGCTCGCCCGCGTGCGTC</t>
  </si>
  <si>
    <t xml:space="preserve">TAGTACCGCTCGCCCGCGTGCGTC</t>
  </si>
  <si>
    <t xml:space="preserve">AAACGACGCACGCGGGCGAGCGGT</t>
  </si>
  <si>
    <t xml:space="preserve">PST_0618</t>
  </si>
  <si>
    <t xml:space="preserve">ATCGAGTTTGTGGTTACCCA</t>
  </si>
  <si>
    <t xml:space="preserve">TAGTATCGAGTTTGTGGTTACCCA</t>
  </si>
  <si>
    <t xml:space="preserve">AAACTGGGTAACCACAAACTCGAT</t>
  </si>
  <si>
    <t xml:space="preserve">TCCTGCAGCTCGCGGATCAC</t>
  </si>
  <si>
    <t xml:space="preserve">TAGTTCCTGCAGCTCGCGGATCAC</t>
  </si>
  <si>
    <t xml:space="preserve">AAACGTGATCCGCGAGCTGCAGGA</t>
  </si>
  <si>
    <t xml:space="preserve">CAGGCGTTCCAGCAGGTTGC</t>
  </si>
  <si>
    <t xml:space="preserve">TAGTCAGGCGTTCCAGCAGGTTGC</t>
  </si>
  <si>
    <t xml:space="preserve">AAACGCAACCTGCTGGAACGCCTG</t>
  </si>
  <si>
    <t xml:space="preserve">AGGCCAGCACCACCAGCAAG</t>
  </si>
  <si>
    <t xml:space="preserve">TAGTAGGCCAGCACCACCAGCAAG</t>
  </si>
  <si>
    <t xml:space="preserve">AAACCTTGCTGGTGGTGCTGGCCT</t>
  </si>
  <si>
    <t xml:space="preserve">PST_0619</t>
  </si>
  <si>
    <t xml:space="preserve">GGAAATACTGCCCGTTGCCG</t>
  </si>
  <si>
    <t xml:space="preserve">TAGTGGAAATACTGCCCGTTGCCG</t>
  </si>
  <si>
    <t xml:space="preserve">AAACCGGCAACGGGCAGTATTTCC</t>
  </si>
  <si>
    <t xml:space="preserve">GCCCGTTAGGGGCGATAGGG</t>
  </si>
  <si>
    <t xml:space="preserve">TAGTGCCCGTTAGGGGCGATAGGG</t>
  </si>
  <si>
    <t xml:space="preserve">AAACCCCTATCGCCCCTAACGGGC</t>
  </si>
  <si>
    <t xml:space="preserve">GTCTTCCCGCTCAAAAGGCA</t>
  </si>
  <si>
    <t xml:space="preserve">TAGTGTCTTCCCGCTCAAAAGGCA</t>
  </si>
  <si>
    <t xml:space="preserve">AAACTGCCTTTTGAGCGGGAAGAC</t>
  </si>
  <si>
    <t xml:space="preserve">TCAGGTAGAAAATTTCTACC</t>
  </si>
  <si>
    <t xml:space="preserve">TAGTTCAGGTAGAAAATTTCTACC</t>
  </si>
  <si>
    <t xml:space="preserve">AAACGGTAGAAATTTTCTACCTGA</t>
  </si>
  <si>
    <t xml:space="preserve">PST_0620</t>
  </si>
  <si>
    <t xml:space="preserve">GCGCCGAAATCGTCGTTAGA</t>
  </si>
  <si>
    <t xml:space="preserve">TAGTGCGCCGAAATCGTCGTTAGA</t>
  </si>
  <si>
    <t xml:space="preserve">AAACTCTAACGACGATTTCGGCGC</t>
  </si>
  <si>
    <t xml:space="preserve">CCGCGCTGGGTCAGGTTCGC</t>
  </si>
  <si>
    <t xml:space="preserve">TAGTCCGCGCTGGGTCAGGTTCGC</t>
  </si>
  <si>
    <t xml:space="preserve">AAACGCGAACCTGACCCAGCGCGG</t>
  </si>
  <si>
    <t xml:space="preserve">GAGTAACGCATCGCGTCGCT</t>
  </si>
  <si>
    <t xml:space="preserve">TAGTGAGTAACGCATCGCGTCGCT</t>
  </si>
  <si>
    <t xml:space="preserve">AAACAGCGACGCGATGCGTTACTC</t>
  </si>
  <si>
    <t xml:space="preserve">AACGATGATGCGCAGTGCGG</t>
  </si>
  <si>
    <t xml:space="preserve">TAGTAACGATGATGCGCAGTGCGG</t>
  </si>
  <si>
    <t xml:space="preserve">AAACCCGCACTGCGCATCATCGTT</t>
  </si>
  <si>
    <t xml:space="preserve">PST_0621</t>
  </si>
  <si>
    <t xml:space="preserve">TCCAGTGCTTGGGTAGAATG</t>
  </si>
  <si>
    <t xml:space="preserve">TAGTTCCAGTGCTTGGGTAGAATG</t>
  </si>
  <si>
    <t xml:space="preserve">AAACCATTCTACCCAAGCACTGGA</t>
  </si>
  <si>
    <t xml:space="preserve">AGGTCATCCAGATAGGGCAT</t>
  </si>
  <si>
    <t xml:space="preserve">TAGTAGGTCATCCAGATAGGGCAT</t>
  </si>
  <si>
    <t xml:space="preserve">AAACATGCCCTATCTGGATGACCT</t>
  </si>
  <si>
    <t xml:space="preserve">CTAGCTGATCACCTGTCTTG</t>
  </si>
  <si>
    <t xml:space="preserve">TAGTCTAGCTGATCACCTGTCTTG</t>
  </si>
  <si>
    <t xml:space="preserve">AAACCAAGACAGGTGATCAGCTAG</t>
  </si>
  <si>
    <t xml:space="preserve">TGGGTGATTTCGTACACCAG</t>
  </si>
  <si>
    <t xml:space="preserve">TAGTTGGGTGATTTCGTACACCAG</t>
  </si>
  <si>
    <t xml:space="preserve">AAACCTGGTGTACGAAATCACCCA</t>
  </si>
  <si>
    <t xml:space="preserve">PST_0622</t>
  </si>
  <si>
    <t xml:space="preserve">TACCTCGGTGTTCTTACTCA</t>
  </si>
  <si>
    <t xml:space="preserve">TAGTTACCTCGGTGTTCTTACTCA</t>
  </si>
  <si>
    <t xml:space="preserve">AAACTGAGTAAGAACACCGAGGTA</t>
  </si>
  <si>
    <t xml:space="preserve">CGAGAAGCCTCGCTGCCTCT</t>
  </si>
  <si>
    <t xml:space="preserve">TAGTCGAGAAGCCTCGCTGCCTCT</t>
  </si>
  <si>
    <t xml:space="preserve">AAACAGAGGCAGCGAGGCTTCTCG</t>
  </si>
  <si>
    <t xml:space="preserve">CACACTGCTCCCAGGTGGCC</t>
  </si>
  <si>
    <t xml:space="preserve">TAGTCACACTGCTCCCAGGTGGCC</t>
  </si>
  <si>
    <t xml:space="preserve">AAACGGCCACCTGGGAGCAGTGTG</t>
  </si>
  <si>
    <t xml:space="preserve">TGCGAGGGTTCTTACGCATC</t>
  </si>
  <si>
    <t xml:space="preserve">TAGTTGCGAGGGTTCTTACGCATC</t>
  </si>
  <si>
    <t xml:space="preserve">AAACGATGCGTAAGAACCCTCGCA</t>
  </si>
  <si>
    <t xml:space="preserve">PST_0623</t>
  </si>
  <si>
    <t xml:space="preserve">CACATCACAGGTACTCATGC</t>
  </si>
  <si>
    <t xml:space="preserve">TAGTCACATCACAGGTACTCATGC</t>
  </si>
  <si>
    <t xml:space="preserve">AAACGCATGAGTACCTGTGATGTG</t>
  </si>
  <si>
    <t xml:space="preserve">CGAAGTGATCCAGCTCATGC</t>
  </si>
  <si>
    <t xml:space="preserve">TAGTCGAAGTGATCCAGCTCATGC</t>
  </si>
  <si>
    <t xml:space="preserve">AAACGCATGAGCTGGATCACTTCG</t>
  </si>
  <si>
    <t xml:space="preserve">AAAGACCGCATCTGGAGCGC</t>
  </si>
  <si>
    <t xml:space="preserve">TAGTAAAGACCGCATCTGGAGCGC</t>
  </si>
  <si>
    <t xml:space="preserve">AAACGCGCTCCAGATGCGGTCTTT</t>
  </si>
  <si>
    <t xml:space="preserve">TACGACTCAAGGTGGTGACA</t>
  </si>
  <si>
    <t xml:space="preserve">TAGTTACGACTCAAGGTGGTGACA</t>
  </si>
  <si>
    <t xml:space="preserve">AAACTGTCACCACCTTGAGTCGTA</t>
  </si>
  <si>
    <t xml:space="preserve">PST_0624</t>
  </si>
  <si>
    <t xml:space="preserve">GCCAAGGCGCGTCGTGATAA</t>
  </si>
  <si>
    <t xml:space="preserve">TAGTGCCAAGGCGCGTCGTGATAA</t>
  </si>
  <si>
    <t xml:space="preserve">AAACTTATCACGACGCGCCTTGGC</t>
  </si>
  <si>
    <t xml:space="preserve">GGGTCAGCCCGCGGTTCAAG</t>
  </si>
  <si>
    <t xml:space="preserve">TAGTGGGTCAGCCCGCGGTTCAAG</t>
  </si>
  <si>
    <t xml:space="preserve">AAACCTTGAACCGCGGGCTGACCC</t>
  </si>
  <si>
    <t xml:space="preserve">CAAGTCAGCGAGCGTGGCCT</t>
  </si>
  <si>
    <t xml:space="preserve">TAGTCAAGTCAGCGAGCGTGGCCT</t>
  </si>
  <si>
    <t xml:space="preserve">AAACAGGCCACGCTCGCTGACTTG</t>
  </si>
  <si>
    <t xml:space="preserve">GATGGCGATAACCTTCTGCC</t>
  </si>
  <si>
    <t xml:space="preserve">TAGTGATGGCGATAACCTTCTGCC</t>
  </si>
  <si>
    <t xml:space="preserve">AAACGGCAGAAGGTTATCGCCATC</t>
  </si>
  <si>
    <t xml:space="preserve">PST_0625</t>
  </si>
  <si>
    <t xml:space="preserve">TGGCGTTGCAACTTGCAGCA</t>
  </si>
  <si>
    <t xml:space="preserve">TAGTTGGCGTTGCAACTTGCAGCA</t>
  </si>
  <si>
    <t xml:space="preserve">AAACTGCTGCAAGTTGCAACGCCA</t>
  </si>
  <si>
    <t xml:space="preserve">ATCTTTCCGCTGTCGCCCTC</t>
  </si>
  <si>
    <t xml:space="preserve">TAGTATCTTTCCGCTGTCGCCCTC</t>
  </si>
  <si>
    <t xml:space="preserve">AAACGAGGGCGACAGCGGAAAGAT</t>
  </si>
  <si>
    <t xml:space="preserve">CCTTGGCGTCTTCGTGGTAA</t>
  </si>
  <si>
    <t xml:space="preserve">TAGTCCTTGGCGTCTTCGTGGTAA</t>
  </si>
  <si>
    <t xml:space="preserve">AAACTTACCACGAAGACGCCAAGG</t>
  </si>
  <si>
    <t xml:space="preserve">CGGCATTAGCAAACTGATCG</t>
  </si>
  <si>
    <t xml:space="preserve">TAGTCGGCATTAGCAAACTGATCG</t>
  </si>
  <si>
    <t xml:space="preserve">AAACCGATCAGTTTGCTAATGCCG</t>
  </si>
  <si>
    <t xml:space="preserve">PST_0626</t>
  </si>
  <si>
    <t xml:space="preserve">CACACTCTCTAAGTCCGGTC</t>
  </si>
  <si>
    <t xml:space="preserve">TAGTCACACTCTCTAAGTCCGGTC</t>
  </si>
  <si>
    <t xml:space="preserve">AAACGACCGGACTTAGAGAGTGTG</t>
  </si>
  <si>
    <t xml:space="preserve">GTCTAGCAGTATGTTCAGAG</t>
  </si>
  <si>
    <t xml:space="preserve">TAGTGTCTAGCAGTATGTTCAGAG</t>
  </si>
  <si>
    <t xml:space="preserve">AAACCTCTGAACATACTGCTAGAC</t>
  </si>
  <si>
    <t xml:space="preserve">TGTCGCCGCTGTATTCATTC</t>
  </si>
  <si>
    <t xml:space="preserve">TAGTTGTCGCCGCTGTATTCATTC</t>
  </si>
  <si>
    <t xml:space="preserve">AAACGAATGAATACAGCGGCGACA</t>
  </si>
  <si>
    <t xml:space="preserve">TAGTATGCGATTTCGAAGTA</t>
  </si>
  <si>
    <t xml:space="preserve">TAGTTAGTATGCGATTTCGAAGTA</t>
  </si>
  <si>
    <t xml:space="preserve">AAACTACTTCGAAATCGCATACTA</t>
  </si>
  <si>
    <t xml:space="preserve">PST_0627</t>
  </si>
  <si>
    <t xml:space="preserve">GATATTGGCTTGATTTCAAA</t>
  </si>
  <si>
    <t xml:space="preserve">TAGTGATATTGGCTTGATTTCAAA</t>
  </si>
  <si>
    <t xml:space="preserve">AAACTTTGAAATCAAGCCAATATC</t>
  </si>
  <si>
    <t xml:space="preserve">ATGACATGTAGTTCGTGTGT</t>
  </si>
  <si>
    <t xml:space="preserve">TAGTATGACATGTAGTTCGTGTGT</t>
  </si>
  <si>
    <t xml:space="preserve">AAACACACACGAACTACATGTCAT</t>
  </si>
  <si>
    <t xml:space="preserve">AACTAGCTCTAGCTCGCTAC</t>
  </si>
  <si>
    <t xml:space="preserve">TAGTAACTAGCTCTAGCTCGCTAC</t>
  </si>
  <si>
    <t xml:space="preserve">AAACGTAGCGAGCTAGAGCTAGTT</t>
  </si>
  <si>
    <t xml:space="preserve">GGCTGCACCCATTCGTGTAT</t>
  </si>
  <si>
    <t xml:space="preserve">TAGTGGCTGCACCCATTCGTGTAT</t>
  </si>
  <si>
    <t xml:space="preserve">AAACATACACGAATGGGTGCAGCC</t>
  </si>
  <si>
    <t xml:space="preserve">PST_0628</t>
  </si>
  <si>
    <t xml:space="preserve">CCAGACCTGCGCGATGATGG</t>
  </si>
  <si>
    <t xml:space="preserve">TAGTCCAGACCTGCGCGATGATGG</t>
  </si>
  <si>
    <t xml:space="preserve">AAACCCATCATCGCGCAGGTCTGG</t>
  </si>
  <si>
    <t xml:space="preserve">AGGCCGATCAGCAGCATCAG</t>
  </si>
  <si>
    <t xml:space="preserve">TAGTAGGCCGATCAGCAGCATCAG</t>
  </si>
  <si>
    <t xml:space="preserve">AAACCTGATGCTGCTGATCGGCCT</t>
  </si>
  <si>
    <t xml:space="preserve">TGGCCCAAGGCGACTTGAGC</t>
  </si>
  <si>
    <t xml:space="preserve">TAGTTGGCCCAAGGCGACTTGAGC</t>
  </si>
  <si>
    <t xml:space="preserve">AAACGCTCAAGTCGCCTTGGGCCA</t>
  </si>
  <si>
    <t xml:space="preserve">AAGTTCGCCAATATGGCCCT</t>
  </si>
  <si>
    <t xml:space="preserve">TAGTAAGTTCGCCAATATGGCCCT</t>
  </si>
  <si>
    <t xml:space="preserve">AAACAGGGCCATATTGGCGAACTT</t>
  </si>
  <si>
    <t xml:space="preserve">PST_0629</t>
  </si>
  <si>
    <t xml:space="preserve">TCGCACTCAATTTTTTTGGT</t>
  </si>
  <si>
    <t xml:space="preserve">TAGTTCGCACTCAATTTTTTTGGT</t>
  </si>
  <si>
    <t xml:space="preserve">AAACACCAAAAAAATTGAGTGCGA</t>
  </si>
  <si>
    <t xml:space="preserve">ACCAGCACGTCCACTTCCTC</t>
  </si>
  <si>
    <t xml:space="preserve">TAGTACCAGCACGTCCACTTCCTC</t>
  </si>
  <si>
    <t xml:space="preserve">AAACGAGGAAGTGGACGTGCTGGT</t>
  </si>
  <si>
    <t xml:space="preserve">GGCGCGGCCCCTGGCGAAGT</t>
  </si>
  <si>
    <t xml:space="preserve">TAGTGGCGCGGCCCCTGGCGAAGT</t>
  </si>
  <si>
    <t xml:space="preserve">AAACACTTCGCCAGGGGCCGCGCC</t>
  </si>
  <si>
    <t xml:space="preserve">CTTGTCATCTGTATCTAGGC</t>
  </si>
  <si>
    <t xml:space="preserve">TAGTCTTGTCATCTGTATCTAGGC</t>
  </si>
  <si>
    <t xml:space="preserve">AAACGCCTAGATACAGATGACAAG</t>
  </si>
  <si>
    <t xml:space="preserve">PST_0630</t>
  </si>
  <si>
    <t xml:space="preserve">CAGTAGGGCGTTTTGCAGGT</t>
  </si>
  <si>
    <t xml:space="preserve">TAGTCAGTAGGGCGTTTTGCAGGT</t>
  </si>
  <si>
    <t xml:space="preserve">AAACACCTGCAAAACGCCCTACTG</t>
  </si>
  <si>
    <t xml:space="preserve">GTTGCTGGTAGTCGGCGAGC</t>
  </si>
  <si>
    <t xml:space="preserve">TAGTGTTGCTGGTAGTCGGCGAGC</t>
  </si>
  <si>
    <t xml:space="preserve">AAACGCTCGCCGACTACCAGCAAC</t>
  </si>
  <si>
    <t xml:space="preserve">CCTTTGCTCCCAGTCGCTCA</t>
  </si>
  <si>
    <t xml:space="preserve">TAGTCCTTTGCTCCCAGTCGCTCA</t>
  </si>
  <si>
    <t xml:space="preserve">AAACTGAGCGACTGGGAGCAAAGG</t>
  </si>
  <si>
    <t xml:space="preserve">GTAGTGGATGAAGGTACTTG</t>
  </si>
  <si>
    <t xml:space="preserve">TAGTGTAGTGGATGAAGGTACTTG</t>
  </si>
  <si>
    <t xml:space="preserve">AAACCAAGTACCTTCATCCACTAC</t>
  </si>
  <si>
    <t xml:space="preserve">PST_0631</t>
  </si>
  <si>
    <t xml:space="preserve">GACCTGCTGACTCTGCAGAC</t>
  </si>
  <si>
    <t xml:space="preserve">TAGTGACCTGCTGACTCTGCAGAC</t>
  </si>
  <si>
    <t xml:space="preserve">AAACGTCTGCAGAGTCAGCAGGTC</t>
  </si>
  <si>
    <t xml:space="preserve">GCCGGCGGTCAGCACATCTT</t>
  </si>
  <si>
    <t xml:space="preserve">TAGTGCCGGCGGTCAGCACATCTT</t>
  </si>
  <si>
    <t xml:space="preserve">AAACAAGATGTGCTGACCGCCGGC</t>
  </si>
  <si>
    <t xml:space="preserve">GCTCATCAGGCAGATAGGCC</t>
  </si>
  <si>
    <t xml:space="preserve">TAGTGCTCATCAGGCAGATAGGCC</t>
  </si>
  <si>
    <t xml:space="preserve">AAACGGCCTATCTGCCTGATGAGC</t>
  </si>
  <si>
    <t xml:space="preserve">ATAGCCTGCAGCGGGCCGAA</t>
  </si>
  <si>
    <t xml:space="preserve">TAGTATAGCCTGCAGCGGGCCGAA</t>
  </si>
  <si>
    <t xml:space="preserve">AAACTTCGGCCCGCTGCAGGCTAT</t>
  </si>
  <si>
    <t xml:space="preserve">PST_0632</t>
  </si>
  <si>
    <t xml:space="preserve">GCGAAGCGCGTCCAACCACT</t>
  </si>
  <si>
    <t xml:space="preserve">TAGTGCGAAGCGCGTCCAACCACT</t>
  </si>
  <si>
    <t xml:space="preserve">AAACAGTGGTTGGACGCGCTTCGC</t>
  </si>
  <si>
    <t xml:space="preserve">AATTCTGGATTCGCTTTTGA</t>
  </si>
  <si>
    <t xml:space="preserve">TAGTAATTCTGGATTCGCTTTTGA</t>
  </si>
  <si>
    <t xml:space="preserve">AAACTCAAAAGCGAATCCAGAATT</t>
  </si>
  <si>
    <t xml:space="preserve">ATGTCCTTGGGCGATACCCA</t>
  </si>
  <si>
    <t xml:space="preserve">TAGTATGTCCTTGGGCGATACCCA</t>
  </si>
  <si>
    <t xml:space="preserve">AAACTGGGTATCGCCCAAGGACAT</t>
  </si>
  <si>
    <t xml:space="preserve">TGCTTCGTCTACGGCATTCT</t>
  </si>
  <si>
    <t xml:space="preserve">TAGTTGCTTCGTCTACGGCATTCT</t>
  </si>
  <si>
    <t xml:space="preserve">AAACAGAATGCCGTAGACGAAGCA</t>
  </si>
  <si>
    <t xml:space="preserve">PST_0633</t>
  </si>
  <si>
    <t xml:space="preserve">ACGATGTCGGAATTGGTCAT</t>
  </si>
  <si>
    <t xml:space="preserve">TAGTACGATGTCGGAATTGGTCAT</t>
  </si>
  <si>
    <t xml:space="preserve">AAACATGACCAATTCCGACATCGT</t>
  </si>
  <si>
    <t xml:space="preserve">CACAGAGGTTCCAGAGCTTC</t>
  </si>
  <si>
    <t xml:space="preserve">TAGTCACAGAGGTTCCAGAGCTTC</t>
  </si>
  <si>
    <t xml:space="preserve">AAACGAAGCTCTGGAACCTCTGTG</t>
  </si>
  <si>
    <t xml:space="preserve">AAACAGCAAGAGCACCAGCT</t>
  </si>
  <si>
    <t xml:space="preserve">TAGTAAACAGCAAGAGCACCAGCT</t>
  </si>
  <si>
    <t xml:space="preserve">AAACAGCTGGTGCTCTTGCTGTTT</t>
  </si>
  <si>
    <t xml:space="preserve">CGCGCCCTCGGGTAGCTTGT</t>
  </si>
  <si>
    <t xml:space="preserve">TAGTCGCGCCCTCGGGTAGCTTGT</t>
  </si>
  <si>
    <t xml:space="preserve">AAACACAAGCTACCCGAGGGCGCG</t>
  </si>
  <si>
    <t xml:space="preserve">PST_0634</t>
  </si>
  <si>
    <t xml:space="preserve">CATCTTCTGAAAGCTGGAAC</t>
  </si>
  <si>
    <t xml:space="preserve">TAGTCATCTTCTGAAAGCTGGAAC</t>
  </si>
  <si>
    <t xml:space="preserve">AAACGTTCCAGCTTTCAGAAGATG</t>
  </si>
  <si>
    <t xml:space="preserve">ATCGGGCTTGAAGCCGTGGT</t>
  </si>
  <si>
    <t xml:space="preserve">TAGTATCGGGCTTGAAGCCGTGGT</t>
  </si>
  <si>
    <t xml:space="preserve">AAACACCACGGCTTCAAGCCCGAT</t>
  </si>
  <si>
    <t xml:space="preserve">ACAGGCGGGTTAGTGCTTGC</t>
  </si>
  <si>
    <t xml:space="preserve">TAGTACAGGCGGGTTAGTGCTTGC</t>
  </si>
  <si>
    <t xml:space="preserve">AAACGCAAGCACTAACCCGCCTGT</t>
  </si>
  <si>
    <t xml:space="preserve">CCATGACCAACAGACGCAGG</t>
  </si>
  <si>
    <t xml:space="preserve">TAGTCCATGACCAACAGACGCAGG</t>
  </si>
  <si>
    <t xml:space="preserve">AAACCCTGCGTCTGTTGGTCATGG</t>
  </si>
  <si>
    <t xml:space="preserve">PST_0635</t>
  </si>
  <si>
    <t xml:space="preserve">GAAGTTACTGCTGACTGCCA</t>
  </si>
  <si>
    <t xml:space="preserve">TAGTGAAGTTACTGCTGACTGCCA</t>
  </si>
  <si>
    <t xml:space="preserve">AAACTGGCAGTCAGCAGTAACTTC</t>
  </si>
  <si>
    <t xml:space="preserve">AGGATCGTGCTCCTGGAGAA</t>
  </si>
  <si>
    <t xml:space="preserve">TAGTAGGATCGTGCTCCTGGAGAA</t>
  </si>
  <si>
    <t xml:space="preserve">AAACTTCTCCAGGAGCACGATCCT</t>
  </si>
  <si>
    <t xml:space="preserve">TTCGCAAGCTGTAGGAAGAC</t>
  </si>
  <si>
    <t xml:space="preserve">TAGTTTCGCAAGCTGTAGGAAGAC</t>
  </si>
  <si>
    <t xml:space="preserve">AAACGTCTTCCTACAGCTTGCGAA</t>
  </si>
  <si>
    <t xml:space="preserve">ATCACTGGCGAATACCTGTT</t>
  </si>
  <si>
    <t xml:space="preserve">TAGTATCACTGGCGAATACCTGTT</t>
  </si>
  <si>
    <t xml:space="preserve">AAACAACAGGTATTCGCCAGTGAT</t>
  </si>
  <si>
    <t xml:space="preserve">PST_0638</t>
  </si>
  <si>
    <t xml:space="preserve">CTCCAATGTTGATACCGTTT</t>
  </si>
  <si>
    <t xml:space="preserve">TAGTCTCCAATGTTGATACCGTTT</t>
  </si>
  <si>
    <t xml:space="preserve">AAACAAACGGTATCAACATTGGAG</t>
  </si>
  <si>
    <t xml:space="preserve">ATCACCATAACTTACAAAAG</t>
  </si>
  <si>
    <t xml:space="preserve">TAGTATCACCATAACTTACAAAAG</t>
  </si>
  <si>
    <t xml:space="preserve">AAACCTTTTGTAAGTTATGGTGAT</t>
  </si>
  <si>
    <t xml:space="preserve">ACAAGCCCCGTAACTTCAGC</t>
  </si>
  <si>
    <t xml:space="preserve">TAGTACAAGCCCCGTAACTTCAGC</t>
  </si>
  <si>
    <t xml:space="preserve">AAACGCTGAAGTTACGGGGCTTGT</t>
  </si>
  <si>
    <t xml:space="preserve">GAGTAACGTTGCTGGTCTTC</t>
  </si>
  <si>
    <t xml:space="preserve">TAGTGAGTAACGTTGCTGGTCTTC</t>
  </si>
  <si>
    <t xml:space="preserve">AAACGAAGACCAGCAACGTTACTC</t>
  </si>
  <si>
    <t xml:space="preserve">PST_0639</t>
  </si>
  <si>
    <t xml:space="preserve">TGGCGTCGATGATGTCTTGC</t>
  </si>
  <si>
    <t xml:space="preserve">TAGTTGGCGTCGATGATGTCTTGC</t>
  </si>
  <si>
    <t xml:space="preserve">AAACGCAAGACATCATCGACGCCA</t>
  </si>
  <si>
    <t xml:space="preserve">TAGCCAACCTTGAGCGACCA</t>
  </si>
  <si>
    <t xml:space="preserve">TAGTTAGCCAACCTTGAGCGACCA</t>
  </si>
  <si>
    <t xml:space="preserve">AAACTGGTCGCTCAAGGTTGGCTA</t>
  </si>
  <si>
    <t xml:space="preserve">GGCGGTCATAGCCGCTGGCT</t>
  </si>
  <si>
    <t xml:space="preserve">TAGTGGCGGTCATAGCCGCTGGCT</t>
  </si>
  <si>
    <t xml:space="preserve">AAACAGCCAGCGGCTATGACCGCC</t>
  </si>
  <si>
    <t xml:space="preserve">CCTCGGTATACAACGCGGCG</t>
  </si>
  <si>
    <t xml:space="preserve">TAGTCCTCGGTATACAACGCGGCG</t>
  </si>
  <si>
    <t xml:space="preserve">AAACCGCCGCGTTGTATACCGAGG</t>
  </si>
  <si>
    <t xml:space="preserve">PST_0640</t>
  </si>
  <si>
    <t xml:space="preserve">CAGCACTGACTCCGACGCTC</t>
  </si>
  <si>
    <t xml:space="preserve">TAGTCAGCACTGACTCCGACGCTC</t>
  </si>
  <si>
    <t xml:space="preserve">AAACGAGCGTCGGAGTCAGTGCTG</t>
  </si>
  <si>
    <t xml:space="preserve">CCAGCGGTCGTATTTCAGGT</t>
  </si>
  <si>
    <t xml:space="preserve">TAGTCCAGCGGTCGTATTTCAGGT</t>
  </si>
  <si>
    <t xml:space="preserve">AAACACCTGAAATACGACCGCTGG</t>
  </si>
  <si>
    <t xml:space="preserve">CGTTCTCAAGGTCGTGGGCT</t>
  </si>
  <si>
    <t xml:space="preserve">TAGTCGTTCTCAAGGTCGTGGGCT</t>
  </si>
  <si>
    <t xml:space="preserve">AAACAGCCCACGACCTTGAGAACG</t>
  </si>
  <si>
    <t xml:space="preserve">AAGCTTGGATCGAGTGGATG</t>
  </si>
  <si>
    <t xml:space="preserve">TAGTAAGCTTGGATCGAGTGGATG</t>
  </si>
  <si>
    <t xml:space="preserve">AAACCATCCACTCGATCCAAGCTT</t>
  </si>
  <si>
    <t xml:space="preserve">PST_0641</t>
  </si>
  <si>
    <t xml:space="preserve">ATCGATGATCGCAGAAGTGC</t>
  </si>
  <si>
    <t xml:space="preserve">TAGTATCGATGATCGCAGAAGTGC</t>
  </si>
  <si>
    <t xml:space="preserve">AAACGCACTTCTGCGATCATCGAT</t>
  </si>
  <si>
    <t xml:space="preserve">GCGGCGTTGGCTGTGATACT</t>
  </si>
  <si>
    <t xml:space="preserve">TAGTGCGGCGTTGGCTGTGATACT</t>
  </si>
  <si>
    <t xml:space="preserve">AAACAGTATCACAGCCAACGCCGC</t>
  </si>
  <si>
    <t xml:space="preserve">TGGCATTTCCCAAGTGGATC</t>
  </si>
  <si>
    <t xml:space="preserve">TAGTTGGCATTTCCCAAGTGGATC</t>
  </si>
  <si>
    <t xml:space="preserve">AAACGATCCACTTGGGAAATGCCA</t>
  </si>
  <si>
    <t xml:space="preserve">CCCCTGGTCAACCTTAAATA</t>
  </si>
  <si>
    <t xml:space="preserve">TAGTCCCCTGGTCAACCTTAAATA</t>
  </si>
  <si>
    <t xml:space="preserve">AAACTATTTAAGGTTGACCAGGGG</t>
  </si>
  <si>
    <t xml:space="preserve">PST_0642</t>
  </si>
  <si>
    <t xml:space="preserve">GCGCTCCAACTCCAGTACCT</t>
  </si>
  <si>
    <t xml:space="preserve">TAGTGCGCTCCAACTCCAGTACCT</t>
  </si>
  <si>
    <t xml:space="preserve">AAACAGGTACTGGAGTTGGAGCGC</t>
  </si>
  <si>
    <t xml:space="preserve">CGCGGGCATAGGCATCAGTT</t>
  </si>
  <si>
    <t xml:space="preserve">TAGTCGCGGGCATAGGCATCAGTT</t>
  </si>
  <si>
    <t xml:space="preserve">AAACAACTGATGCCTATGCCCGCG</t>
  </si>
  <si>
    <t xml:space="preserve">PST_0646</t>
  </si>
  <si>
    <t xml:space="preserve">ATCCCTCCCATTTCGTATCA</t>
  </si>
  <si>
    <t xml:space="preserve">TAGTATCCCTCCCATTTCGTATCA</t>
  </si>
  <si>
    <t xml:space="preserve">AAACTGATACGAAATGGGAGGGAT</t>
  </si>
  <si>
    <t xml:space="preserve">ATGACCGGATACTCACCATC</t>
  </si>
  <si>
    <t xml:space="preserve">TAGTATGACCGGATACTCACCATC</t>
  </si>
  <si>
    <t xml:space="preserve">AAACGATGGTGAGTATCCGGTCAT</t>
  </si>
  <si>
    <t xml:space="preserve">TCCGTCGTAAAGATACCGAG</t>
  </si>
  <si>
    <t xml:space="preserve">TAGTTCCGTCGTAAAGATACCGAG</t>
  </si>
  <si>
    <t xml:space="preserve">AAACCTCGGTATCTTTACGACGGA</t>
  </si>
  <si>
    <t xml:space="preserve">CCCCTTTCGACCGAGCAATA</t>
  </si>
  <si>
    <t xml:space="preserve">TAGTCCCCTTTCGACCGAGCAATA</t>
  </si>
  <si>
    <t xml:space="preserve">AAACTATTGCTCGGTCGAAAGGGG</t>
  </si>
  <si>
    <t xml:space="preserve">PST_0647</t>
  </si>
  <si>
    <t xml:space="preserve">GGCCGTCTGGGAATGATTCT</t>
  </si>
  <si>
    <t xml:space="preserve">TAGTGGCCGTCTGGGAATGATTCT</t>
  </si>
  <si>
    <t xml:space="preserve">AAACAGAATCATTCCCAGACGGCC</t>
  </si>
  <si>
    <t xml:space="preserve">GGCAATGGACCACAGAAAGG</t>
  </si>
  <si>
    <t xml:space="preserve">TAGTGGCAATGGACCACAGAAAGG</t>
  </si>
  <si>
    <t xml:space="preserve">AAACCCTTTCTGTGGTCCATTGCC</t>
  </si>
  <si>
    <t xml:space="preserve">GAAGTCACCGCGCAGCAGAT</t>
  </si>
  <si>
    <t xml:space="preserve">TAGTGAAGTCACCGCGCAGCAGAT</t>
  </si>
  <si>
    <t xml:space="preserve">AAACATCTGCTGCGCGGTGACTTC</t>
  </si>
  <si>
    <t xml:space="preserve">ATACGCCGCAACAGGGTGAA</t>
  </si>
  <si>
    <t xml:space="preserve">TAGTATACGCCGCAACAGGGTGAA</t>
  </si>
  <si>
    <t xml:space="preserve">AAACTTCACCCTGTTGCGGCGTAT</t>
  </si>
  <si>
    <t xml:space="preserve">PST_0650</t>
  </si>
  <si>
    <t xml:space="preserve">CAATTTTGCCTTGCTGCAGC</t>
  </si>
  <si>
    <t xml:space="preserve">TAGTCAATTTTGCCTTGCTGCAGC</t>
  </si>
  <si>
    <t xml:space="preserve">AAACGCTGCAGCAAGGCAAAATTG</t>
  </si>
  <si>
    <t xml:space="preserve">ACGGAGCAAAACAGAGCACC</t>
  </si>
  <si>
    <t xml:space="preserve">TAGTACGGAGCAAAACAGAGCACC</t>
  </si>
  <si>
    <t xml:space="preserve">AAACGGTGCTCTGTTTTGCTCCGT</t>
  </si>
  <si>
    <t xml:space="preserve">TCCGAAAACCATCTACAACC</t>
  </si>
  <si>
    <t xml:space="preserve">TAGTTCCGAAAACCATCTACAACC</t>
  </si>
  <si>
    <t xml:space="preserve">AAACGGTTGTAGATGGTTTTCGGA</t>
  </si>
  <si>
    <t xml:space="preserve">CTGACCAAGCACTTGCGAGA</t>
  </si>
  <si>
    <t xml:space="preserve">TAGTCTGACCAAGCACTTGCGAGA</t>
  </si>
  <si>
    <t xml:space="preserve">AAACTCTCGCAAGTGCTTGGTCAG</t>
  </si>
  <si>
    <t xml:space="preserve">PST_0651</t>
  </si>
  <si>
    <t xml:space="preserve">CTATCAAAGGTGAATGAATC</t>
  </si>
  <si>
    <t xml:space="preserve">TAGTCTATCAAAGGTGAATGAATC</t>
  </si>
  <si>
    <t xml:space="preserve">AAACGATTCATTCACCTTTGATAG</t>
  </si>
  <si>
    <t xml:space="preserve">CAAAACCCTCTTGCTGCAGC</t>
  </si>
  <si>
    <t xml:space="preserve">TAGTCAAAACCCTCTTGCTGCAGC</t>
  </si>
  <si>
    <t xml:space="preserve">AAACGCTGCAGCAAGAGGGTTTTG</t>
  </si>
  <si>
    <t xml:space="preserve">CGTCACGCCATCCAGGTGTT</t>
  </si>
  <si>
    <t xml:space="preserve">TAGTCGTCACGCCATCCAGGTGTT</t>
  </si>
  <si>
    <t xml:space="preserve">AAACAACACCTGGATGGCGTGACG</t>
  </si>
  <si>
    <t xml:space="preserve">CATAGACTCGCAAGTCGCCA</t>
  </si>
  <si>
    <t xml:space="preserve">TAGTCATAGACTCGCAAGTCGCCA</t>
  </si>
  <si>
    <t xml:space="preserve">AAACTGGCGACTTGCGAGTCTATG</t>
  </si>
  <si>
    <t xml:space="preserve">PST_0652</t>
  </si>
  <si>
    <t xml:space="preserve">AGCATCTTGAGAAAACCCTC</t>
  </si>
  <si>
    <t xml:space="preserve">TAGTAGCATCTTGAGAAAACCCTC</t>
  </si>
  <si>
    <t xml:space="preserve">AAACGAGGGTTTTCTCAAGATGCT</t>
  </si>
  <si>
    <t xml:space="preserve">TCACTTCGCCGCGCTCTATG</t>
  </si>
  <si>
    <t xml:space="preserve">TAGTTCACTTCGCCGCGCTCTATG</t>
  </si>
  <si>
    <t xml:space="preserve">AAACCATAGAGCGCGGCGAAGTGA</t>
  </si>
  <si>
    <t xml:space="preserve">GGTCTGGCAATAGACACTTG</t>
  </si>
  <si>
    <t xml:space="preserve">TAGTGGTCTGGCAATAGACACTTG</t>
  </si>
  <si>
    <t xml:space="preserve">AAACCAAGTGTCTATTGCCAGACC</t>
  </si>
  <si>
    <t xml:space="preserve">PST_0653</t>
  </si>
  <si>
    <t xml:space="preserve">AGTCGCGCGGATTACCCGTA</t>
  </si>
  <si>
    <t xml:space="preserve">TAGTAGTCGCGCGGATTACCCGTA</t>
  </si>
  <si>
    <t xml:space="preserve">AAACTACGGGTAATCCGCGCGACT</t>
  </si>
  <si>
    <t xml:space="preserve">TAGGAAATGCCTGGTAACGA</t>
  </si>
  <si>
    <t xml:space="preserve">TAGTTAGGAAATGCCTGGTAACGA</t>
  </si>
  <si>
    <t xml:space="preserve">AAACTCGTTACCAGGCATTTCCTA</t>
  </si>
  <si>
    <t xml:space="preserve">AGACCTTCTTGCTTGAAAAA</t>
  </si>
  <si>
    <t xml:space="preserve">TAGTAGACCTTCTTGCTTGAAAAA</t>
  </si>
  <si>
    <t xml:space="preserve">AAACTTTTTCAAGCAAGAAGGTCT</t>
  </si>
  <si>
    <t xml:space="preserve">TCATTCCGGCCCACTGTATT</t>
  </si>
  <si>
    <t xml:space="preserve">TAGTTCATTCCGGCCCACTGTATT</t>
  </si>
  <si>
    <t xml:space="preserve">AAACAATACAGTGGGCCGGAATGA</t>
  </si>
  <si>
    <t xml:space="preserve">PST_0656</t>
  </si>
  <si>
    <t xml:space="preserve">GGGTATTTTGGAAAGGGCAA</t>
  </si>
  <si>
    <t xml:space="preserve">TAGTGGGTATTTTGGAAAGGGCAA</t>
  </si>
  <si>
    <t xml:space="preserve">AAACTTGCCCTTTCCAAAATACCC</t>
  </si>
  <si>
    <t xml:space="preserve">TCTTTCTTGAGGGCAGCAAG</t>
  </si>
  <si>
    <t xml:space="preserve">TAGTTCTTTCTTGAGGGCAGCAAG</t>
  </si>
  <si>
    <t xml:space="preserve">AAACCTTGCTGCCCTCAAGAAAGA</t>
  </si>
  <si>
    <t xml:space="preserve">TCTCACCGAAGTAGACACGC</t>
  </si>
  <si>
    <t xml:space="preserve">TAGTTCTCACCGAAGTAGACACGC</t>
  </si>
  <si>
    <t xml:space="preserve">AAACGCGTGTCTACTTCGGTGAGA</t>
  </si>
  <si>
    <t xml:space="preserve">CAGCGGCCAGAGCTTCGGAT</t>
  </si>
  <si>
    <t xml:space="preserve">TAGTCAGCGGCCAGAGCTTCGGAT</t>
  </si>
  <si>
    <t xml:space="preserve">AAACATCCGAAGCTCTGGCCGCTG</t>
  </si>
  <si>
    <t xml:space="preserve">PST_0657</t>
  </si>
  <si>
    <t xml:space="preserve">ATCGCCATCAACGGGTACGC</t>
  </si>
  <si>
    <t xml:space="preserve">TAGTATCGCCATCAACGGGTACGC</t>
  </si>
  <si>
    <t xml:space="preserve">AAACGCGTACCCGTTGATGGCGAT</t>
  </si>
  <si>
    <t xml:space="preserve">CGCAAACTGGCGCAAGATGG</t>
  </si>
  <si>
    <t xml:space="preserve">TAGTCGCAAACTGGCGCAAGATGG</t>
  </si>
  <si>
    <t xml:space="preserve">AAACCCATCTTGCGCCAGTTTGCG</t>
  </si>
  <si>
    <t xml:space="preserve">TCTCGTCAGGGATACGCTCC</t>
  </si>
  <si>
    <t xml:space="preserve">TAGTTCTCGTCAGGGATACGCTCC</t>
  </si>
  <si>
    <t xml:space="preserve">AAACGGAGCGTATCCCTGACGAGA</t>
  </si>
  <si>
    <t xml:space="preserve">GCGACAGGCCACGGTCACCC</t>
  </si>
  <si>
    <t xml:space="preserve">TAGTGCGACAGGCCACGGTCACCC</t>
  </si>
  <si>
    <t xml:space="preserve">AAACGGGTGACCGTGGCCTGTCGC</t>
  </si>
  <si>
    <t xml:space="preserve">PST_0659</t>
  </si>
  <si>
    <t xml:space="preserve">CTGGGTGACGTCCGCCACGT</t>
  </si>
  <si>
    <t xml:space="preserve">TAGTCTGGGTGACGTCCGCCACGT</t>
  </si>
  <si>
    <t xml:space="preserve">AAACACGTGGCGGACGTCACCCAG</t>
  </si>
  <si>
    <t xml:space="preserve">CTCGGCACGCTTCTCGACGC</t>
  </si>
  <si>
    <t xml:space="preserve">TAGTCTCGGCACGCTTCTCGACGC</t>
  </si>
  <si>
    <t xml:space="preserve">AAACGCGTCGAGAAGCGTGCCGAG</t>
  </si>
  <si>
    <t xml:space="preserve">CTTTTTGTAGGTGCTGCGCC</t>
  </si>
  <si>
    <t xml:space="preserve">TAGTCTTTTTGTAGGTGCTGCGCC</t>
  </si>
  <si>
    <t xml:space="preserve">AAACGGCGCAGCACCTACAAAAAG</t>
  </si>
  <si>
    <t xml:space="preserve">CTGCACTTGTCAGTAAATGT</t>
  </si>
  <si>
    <t xml:space="preserve">TAGTCTGCACTTGTCAGTAAATGT</t>
  </si>
  <si>
    <t xml:space="preserve">AAACACATTTACTGACAAGTGCAG</t>
  </si>
  <si>
    <t xml:space="preserve">PST_0660</t>
  </si>
  <si>
    <t xml:space="preserve">GTGCTACGCCGCTGGTCAGT</t>
  </si>
  <si>
    <t xml:space="preserve">TAGTGTGCTACGCCGCTGGTCAGT</t>
  </si>
  <si>
    <t xml:space="preserve">AAACACTGACCAGCGGCGTAGCAC</t>
  </si>
  <si>
    <t xml:space="preserve">GAGGAATCGTACCTCTTCTT</t>
  </si>
  <si>
    <t xml:space="preserve">TAGTGAGGAATCGTACCTCTTCTT</t>
  </si>
  <si>
    <t xml:space="preserve">AAACAAGAAGAGGTACGATTCCTC</t>
  </si>
  <si>
    <t xml:space="preserve">GATGACAACACCGTTGTAGT</t>
  </si>
  <si>
    <t xml:space="preserve">TAGTGATGACAACACCGTTGTAGT</t>
  </si>
  <si>
    <t xml:space="preserve">AAACACTACAACGGTGTTGTCATC</t>
  </si>
  <si>
    <t xml:space="preserve">CTCCTTGAAGGCGGGACTGC</t>
  </si>
  <si>
    <t xml:space="preserve">TAGTCTCCTTGAAGGCGGGACTGC</t>
  </si>
  <si>
    <t xml:space="preserve">AAACGCAGTCCCGCCTTCAAGGAG</t>
  </si>
  <si>
    <t xml:space="preserve">PST_0661</t>
  </si>
  <si>
    <t xml:space="preserve">TTCGCCACGTTCGATCTCGG</t>
  </si>
  <si>
    <t xml:space="preserve">TAGTTTCGCCACGTTCGATCTCGG</t>
  </si>
  <si>
    <t xml:space="preserve">AAACCCGAGATCGAACGTGGCGAA</t>
  </si>
  <si>
    <t xml:space="preserve">CAAACCCCTGAATCCCTGCG</t>
  </si>
  <si>
    <t xml:space="preserve">TAGTCAAACCCCTGAATCCCTGCG</t>
  </si>
  <si>
    <t xml:space="preserve">AAACCGCAGGGATTCAGGGGTTTG</t>
  </si>
  <si>
    <t xml:space="preserve">GTCGAGATACCAACTGAAAA</t>
  </si>
  <si>
    <t xml:space="preserve">TAGTGTCGAGATACCAACTGAAAA</t>
  </si>
  <si>
    <t xml:space="preserve">AAACTTTTCAGTTGGTATCTCGAC</t>
  </si>
  <si>
    <t xml:space="preserve">GTCGGCTCCATGTGCCGGAT</t>
  </si>
  <si>
    <t xml:space="preserve">TAGTGTCGGCTCCATGTGCCGGAT</t>
  </si>
  <si>
    <t xml:space="preserve">AAACATCCGGCACATGGAGCCGAC</t>
  </si>
  <si>
    <t xml:space="preserve">PST_0662</t>
  </si>
  <si>
    <t xml:space="preserve">CTCTTCACTGGCCGAATATC</t>
  </si>
  <si>
    <t xml:space="preserve">TAGTCTCTTCACTGGCCGAATATC</t>
  </si>
  <si>
    <t xml:space="preserve">AAACGATATTCGGCCAGTGAAGAG</t>
  </si>
  <si>
    <t xml:space="preserve">CTAGCGACTGGAGCAACTGG</t>
  </si>
  <si>
    <t xml:space="preserve">TAGTCTAGCGACTGGAGCAACTGG</t>
  </si>
  <si>
    <t xml:space="preserve">AAACCCAGTTGCTCCAGTCGCTAG</t>
  </si>
  <si>
    <t xml:space="preserve">CGGTGCCGATAACGGGCGAA</t>
  </si>
  <si>
    <t xml:space="preserve">TAGTCGGTGCCGATAACGGGCGAA</t>
  </si>
  <si>
    <t xml:space="preserve">AAACTTCGCCCGTTATCGGCACCG</t>
  </si>
  <si>
    <t xml:space="preserve">GATGGTTACGGGCGCATTGG</t>
  </si>
  <si>
    <t xml:space="preserve">TAGTGATGGTTACGGGCGCATTGG</t>
  </si>
  <si>
    <t xml:space="preserve">AAACCCAATGCGCCCGTAACCATC</t>
  </si>
  <si>
    <t xml:space="preserve">PST_0663</t>
  </si>
  <si>
    <t xml:space="preserve">cadR</t>
  </si>
  <si>
    <t xml:space="preserve">AACCTGGCAATCGGCAAGCT</t>
  </si>
  <si>
    <t xml:space="preserve">TAGTAACCTGGCAATCGGCAAGCT</t>
  </si>
  <si>
    <t xml:space="preserve">AAACAGCTTGCCGATTGCCAGGTT</t>
  </si>
  <si>
    <t xml:space="preserve">TAATTACCCTCGCTACGGGC</t>
  </si>
  <si>
    <t xml:space="preserve">TAGTTAATTACCCTCGCTACGGGC</t>
  </si>
  <si>
    <t xml:space="preserve">AAACGCCCGTAGCGAGGGTAATTA</t>
  </si>
  <si>
    <t xml:space="preserve">GGTGCTCACTGCTGTAAAGG</t>
  </si>
  <si>
    <t xml:space="preserve">TAGTGGTGCTCACTGCTGTAAAGG</t>
  </si>
  <si>
    <t xml:space="preserve">AAACCCTTTACAGCAGTGAGCACC</t>
  </si>
  <si>
    <t xml:space="preserve">GAATGAACGTAAGCCGCTCA</t>
  </si>
  <si>
    <t xml:space="preserve">TAGTGAATGAACGTAAGCCGCTCA</t>
  </si>
  <si>
    <t xml:space="preserve">AAACTGAGCGGCTTACGTTCATTC</t>
  </si>
  <si>
    <t xml:space="preserve">PST_0664</t>
  </si>
  <si>
    <t xml:space="preserve">cadA-2</t>
  </si>
  <si>
    <t xml:space="preserve">GAATCAGCGTCTGCTCGGTA</t>
  </si>
  <si>
    <t xml:space="preserve">TAGTGAATCAGCGTCTGCTCGGTA</t>
  </si>
  <si>
    <t xml:space="preserve">AAACTACCGAGCAGACGCTGATTC</t>
  </si>
  <si>
    <t xml:space="preserve">CCCCAAGAATCCGATTGATC</t>
  </si>
  <si>
    <t xml:space="preserve">TAGTCCCCAAGAATCCGATTGATC</t>
  </si>
  <si>
    <t xml:space="preserve">AAACGATCAATCGGATTCTTGGGG</t>
  </si>
  <si>
    <t xml:space="preserve">GCTTCGATAGGCGCGGTCGA</t>
  </si>
  <si>
    <t xml:space="preserve">TAGTGCTTCGATAGGCGCGGTCGA</t>
  </si>
  <si>
    <t xml:space="preserve">AAACTCGACCGCGCCTATCGAAGC</t>
  </si>
  <si>
    <t xml:space="preserve">CGGTTCTGCCTGCATTCCCA</t>
  </si>
  <si>
    <t xml:space="preserve">TAGTCGGTTCTGCCTGCATTCCCA</t>
  </si>
  <si>
    <t xml:space="preserve">AAACTGGGAATGCAGGCAGAACCG</t>
  </si>
  <si>
    <t xml:space="preserve">PST_0665</t>
  </si>
  <si>
    <t xml:space="preserve">GGCGTGCTCGGCCTGTTGAA</t>
  </si>
  <si>
    <t xml:space="preserve">TAGTGGCGTGCTCGGCCTGTTGAA</t>
  </si>
  <si>
    <t xml:space="preserve">AAACTTCAACAGGCCGAGCACGCC</t>
  </si>
  <si>
    <t xml:space="preserve">GGTATTACGTCTCTCCTGCA</t>
  </si>
  <si>
    <t xml:space="preserve">TAGTGGTATTACGTCTCTCCTGCA</t>
  </si>
  <si>
    <t xml:space="preserve">AAACTGCAGGAGAGACGTAATACC</t>
  </si>
  <si>
    <t xml:space="preserve">CTCCAGCCATTCAAAGGCAT</t>
  </si>
  <si>
    <t xml:space="preserve">TAGTCTCCAGCCATTCAAAGGCAT</t>
  </si>
  <si>
    <t xml:space="preserve">AAACATGCCTTTGAATGGCTGGAG</t>
  </si>
  <si>
    <t xml:space="preserve">GCAAGGGCTGGCGTTGAGTC</t>
  </si>
  <si>
    <t xml:space="preserve">TAGTGCAAGGGCTGGCGTTGAGTC</t>
  </si>
  <si>
    <t xml:space="preserve">AAACGACTCAACGCCAGCCCTTGC</t>
  </si>
  <si>
    <t xml:space="preserve">PST_0666</t>
  </si>
  <si>
    <t xml:space="preserve">GGTGGCGAGATCGACTTGCA</t>
  </si>
  <si>
    <t xml:space="preserve">TAGTGGTGGCGAGATCGACTTGCA</t>
  </si>
  <si>
    <t xml:space="preserve">AAACTGCAAGTCGATCTCGCCACC</t>
  </si>
  <si>
    <t xml:space="preserve">TGCAAGTGTGCACGGCAGCT</t>
  </si>
  <si>
    <t xml:space="preserve">TAGTTGCAAGTGTGCACGGCAGCT</t>
  </si>
  <si>
    <t xml:space="preserve">AAACAGCTGCCGTGCACACTTGCA</t>
  </si>
  <si>
    <t xml:space="preserve">CAGGCGTGGTGTGCGCACCT</t>
  </si>
  <si>
    <t xml:space="preserve">TAGTCAGGCGTGGTGTGCGCACCT</t>
  </si>
  <si>
    <t xml:space="preserve">AAACAGGTGCGCACACCACGCCTG</t>
  </si>
  <si>
    <t xml:space="preserve">AGCGGGCTGAAACTCAATAA</t>
  </si>
  <si>
    <t xml:space="preserve">TAGTAGCGGGCTGAAACTCAATAA</t>
  </si>
  <si>
    <t xml:space="preserve">AAACTTATTGAGTTTCAGCCCGCT</t>
  </si>
  <si>
    <t xml:space="preserve">PST_0667</t>
  </si>
  <si>
    <t xml:space="preserve">AAAGCGAACGCGGCGAGTTT</t>
  </si>
  <si>
    <t xml:space="preserve">TAGTAAAGCGAACGCGGCGAGTTT</t>
  </si>
  <si>
    <t xml:space="preserve">AAACAAACTCGCCGCGTTCGCTTT</t>
  </si>
  <si>
    <t xml:space="preserve">TGCTGCGCAAAGGTTAAGGC</t>
  </si>
  <si>
    <t xml:space="preserve">TAGTTGCTGCGCAAAGGTTAAGGC</t>
  </si>
  <si>
    <t xml:space="preserve">AAACGCCTTAACCTTTGCGCAGCA</t>
  </si>
  <si>
    <t xml:space="preserve">TTGAGCCTGGCTGGTGGCAC</t>
  </si>
  <si>
    <t xml:space="preserve">TAGTTTGAGCCTGGCTGGTGGCAC</t>
  </si>
  <si>
    <t xml:space="preserve">AAACGTGCCACCAGCCAGGCTCAA</t>
  </si>
  <si>
    <t xml:space="preserve">TCAAATTGCTCAACGCTCAT</t>
  </si>
  <si>
    <t xml:space="preserve">TAGTTCAAATTGCTCAACGCTCAT</t>
  </si>
  <si>
    <t xml:space="preserve">AAACATGAGCGTTGAGCAATTTGA</t>
  </si>
  <si>
    <t xml:space="preserve">PST_0669</t>
  </si>
  <si>
    <t xml:space="preserve">TGCGTCTAGACCAGAGACTC</t>
  </si>
  <si>
    <t xml:space="preserve">TAGTTGCGTCTAGACCAGAGACTC</t>
  </si>
  <si>
    <t xml:space="preserve">AAACGAGTCTCTGGTCTAGACGCA</t>
  </si>
  <si>
    <t xml:space="preserve">CAGGTCTGATGTGGCTTTTT</t>
  </si>
  <si>
    <t xml:space="preserve">TAGTCAGGTCTGATGTGGCTTTTT</t>
  </si>
  <si>
    <t xml:space="preserve">AAACAAAAAGCCACATCAGACCTG</t>
  </si>
  <si>
    <t xml:space="preserve">CCGTACCGTGGAGGACTCTT</t>
  </si>
  <si>
    <t xml:space="preserve">TAGTCCGTACCGTGGAGGACTCTT</t>
  </si>
  <si>
    <t xml:space="preserve">AAACAAGAGTCCTCCACGGTACGG</t>
  </si>
  <si>
    <t xml:space="preserve">PST_0670</t>
  </si>
  <si>
    <t xml:space="preserve">TACAGCCCCTTGCGGCTGCA</t>
  </si>
  <si>
    <t xml:space="preserve">TAGTTACAGCCCCTTGCGGCTGCA</t>
  </si>
  <si>
    <t xml:space="preserve">AAACTGCAGCCGCAAGGGGCTGTA</t>
  </si>
  <si>
    <t xml:space="preserve">TTTGCCCATCAATGCTCCAT</t>
  </si>
  <si>
    <t xml:space="preserve">TAGTTTTGCCCATCAATGCTCCAT</t>
  </si>
  <si>
    <t xml:space="preserve">AAACATGGAGCATTGATGGGCAAA</t>
  </si>
  <si>
    <t xml:space="preserve">GACAAACTGGACGGGTGAAT</t>
  </si>
  <si>
    <t xml:space="preserve">TAGTGACAAACTGGACGGGTGAAT</t>
  </si>
  <si>
    <t xml:space="preserve">AAACATTCACCCGTCCAGTTTGTC</t>
  </si>
  <si>
    <t xml:space="preserve">ACGTGCGCCGGATATCACGC</t>
  </si>
  <si>
    <t xml:space="preserve">TAGTACGTGCGCCGGATATCACGC</t>
  </si>
  <si>
    <t xml:space="preserve">AAACGCGTGATATCCGGCGCACGT</t>
  </si>
  <si>
    <t xml:space="preserve">PST_0671</t>
  </si>
  <si>
    <t xml:space="preserve">CCAAATCTTCCAAGATCGTC</t>
  </si>
  <si>
    <t xml:space="preserve">TAGTCCAAATCTTCCAAGATCGTC</t>
  </si>
  <si>
    <t xml:space="preserve">AAACGACGATCTTGGAAGATTTGG</t>
  </si>
  <si>
    <t xml:space="preserve">ACCAAATGCGGCGAAGACCT</t>
  </si>
  <si>
    <t xml:space="preserve">TAGTACCAAATGCGGCGAAGACCT</t>
  </si>
  <si>
    <t xml:space="preserve">AAACAGGTCTTCGCCGCATTTGGT</t>
  </si>
  <si>
    <t xml:space="preserve">TCCTGACGTTCTGCTCGAGT</t>
  </si>
  <si>
    <t xml:space="preserve">TAGTTCCTGACGTTCTGCTCGAGT</t>
  </si>
  <si>
    <t xml:space="preserve">AAACACTCGAGCAGAACGTCAGGA</t>
  </si>
  <si>
    <t xml:space="preserve">TGACACCGGTCTTTGCCTGC</t>
  </si>
  <si>
    <t xml:space="preserve">TAGTTGACACCGGTCTTTGCCTGC</t>
  </si>
  <si>
    <t xml:space="preserve">AAACGCAGGCAAAGACCGGTGTCA</t>
  </si>
  <si>
    <t xml:space="preserve">PST_0672</t>
  </si>
  <si>
    <t xml:space="preserve">AGCGCGCAAACGACGCAGTT</t>
  </si>
  <si>
    <t xml:space="preserve">TAGTAGCGCGCAAACGACGCAGTT</t>
  </si>
  <si>
    <t xml:space="preserve">AAACAACTGCGTCGTTTGCGCGCT</t>
  </si>
  <si>
    <t xml:space="preserve">PST_0673</t>
  </si>
  <si>
    <t xml:space="preserve">TACTTCGCGAATCTTACGCA</t>
  </si>
  <si>
    <t xml:space="preserve">TAGTTACTTCGCGAATCTTACGCA</t>
  </si>
  <si>
    <t xml:space="preserve">AAACTGCGTAAGATTCGCGAAGTA</t>
  </si>
  <si>
    <t xml:space="preserve">CCTGCACACTGACTGCAATC</t>
  </si>
  <si>
    <t xml:space="preserve">TAGTCCTGCACACTGACTGCAATC</t>
  </si>
  <si>
    <t xml:space="preserve">AAACGATTGCAGTCAGTGTGCAGG</t>
  </si>
  <si>
    <t xml:space="preserve">GCGGTTGAGGTAATCGCCGA</t>
  </si>
  <si>
    <t xml:space="preserve">TAGTGCGGTTGAGGTAATCGCCGA</t>
  </si>
  <si>
    <t xml:space="preserve">AAACTCGGCGATTACCTCAACCGC</t>
  </si>
  <si>
    <t xml:space="preserve">GGGCCAGGCTAGACCGCTGG</t>
  </si>
  <si>
    <t xml:space="preserve">TAGTGGGCCAGGCTAGACCGCTGG</t>
  </si>
  <si>
    <t xml:space="preserve">AAACCCAGCGGTCTAGCCTGGCCC</t>
  </si>
  <si>
    <t xml:space="preserve">PST_0674</t>
  </si>
  <si>
    <t xml:space="preserve">arcC-1</t>
  </si>
  <si>
    <t xml:space="preserve">ACGCTGGTTTTCTGCGGTCA</t>
  </si>
  <si>
    <t xml:space="preserve">TAGTACGCTGGTTTTCTGCGGTCA</t>
  </si>
  <si>
    <t xml:space="preserve">AAACTGACCGCAGAAAACCAGCGT</t>
  </si>
  <si>
    <t xml:space="preserve">CACCTTGGCGATTTGTTCGC</t>
  </si>
  <si>
    <t xml:space="preserve">TAGTCACCTTGGCGATTTGTTCGC</t>
  </si>
  <si>
    <t xml:space="preserve">AAACGCGAACAAATCGCCAAGGTG</t>
  </si>
  <si>
    <t xml:space="preserve">CATTGCCCTGCAGGGCTAGC</t>
  </si>
  <si>
    <t xml:space="preserve">TAGTCATTGCCCTGCAGGGCTAGC</t>
  </si>
  <si>
    <t xml:space="preserve">AAACGCTAGCCCTGCAGGGCAATG</t>
  </si>
  <si>
    <t xml:space="preserve">GTAAGGGTTGGCAGCGTCGA</t>
  </si>
  <si>
    <t xml:space="preserve">TAGTGTAAGGGTTGGCAGCGTCGA</t>
  </si>
  <si>
    <t xml:space="preserve">AAACTCGACGCTGCCAACCCTTAC</t>
  </si>
  <si>
    <t xml:space="preserve">PST_0675</t>
  </si>
  <si>
    <t xml:space="preserve">arcB-1</t>
  </si>
  <si>
    <t xml:space="preserve">AGCGCAGCTCGCGGGTGCTG</t>
  </si>
  <si>
    <t xml:space="preserve">TAGTAGCGCAGCTCGCGGGTGCTG</t>
  </si>
  <si>
    <t xml:space="preserve">AAACCAGCACCCGCGAGCTGCGCT</t>
  </si>
  <si>
    <t xml:space="preserve">GATCACGCGATAGGTCGATC</t>
  </si>
  <si>
    <t xml:space="preserve">TAGTGATCACGCGATAGGTCGATC</t>
  </si>
  <si>
    <t xml:space="preserve">AAACGATCGACCTATCGCGTGATC</t>
  </si>
  <si>
    <t xml:space="preserve">CTGCTCGGTACCGGTGTACT</t>
  </si>
  <si>
    <t xml:space="preserve">TAGTCTGCTCGGTACCGGTGTACT</t>
  </si>
  <si>
    <t xml:space="preserve">AAACAGTACACCGGTACCGAGCAG</t>
  </si>
  <si>
    <t xml:space="preserve">GCGCGATATTCTTGCGGCTC</t>
  </si>
  <si>
    <t xml:space="preserve">TAGTGCGCGATATTCTTGCGGCTC</t>
  </si>
  <si>
    <t xml:space="preserve">AAACGAGCCGCAAGAATATCGCGC</t>
  </si>
  <si>
    <t xml:space="preserve">PST_0676</t>
  </si>
  <si>
    <t xml:space="preserve">arcA-1</t>
  </si>
  <si>
    <t xml:space="preserve">ATGAACGCCTAGGGCTTTCT</t>
  </si>
  <si>
    <t xml:space="preserve">TAGTATGAACGCCTAGGGCTTTCT</t>
  </si>
  <si>
    <t xml:space="preserve">AAACAGAAAGCCCTAGGCGTTCAT</t>
  </si>
  <si>
    <t xml:space="preserve">CTTGTGCAGCTTGCCGGCTT</t>
  </si>
  <si>
    <t xml:space="preserve">TAGTCTTGTGCAGCTTGCCGGCTT</t>
  </si>
  <si>
    <t xml:space="preserve">AAACAAGCCGGCAAGCTGCACAAG</t>
  </si>
  <si>
    <t xml:space="preserve">AGGCGCAGGTGCGCAAGGCC</t>
  </si>
  <si>
    <t xml:space="preserve">TAGTAGGCGCAGGTGCGCAAGGCC</t>
  </si>
  <si>
    <t xml:space="preserve">AAACGGCCTTGCGCACCTGCGCCT</t>
  </si>
  <si>
    <t xml:space="preserve">CGTCGCAGTTGGCGGGGGTC</t>
  </si>
  <si>
    <t xml:space="preserve">TAGTCGTCGCAGTTGGCGGGGGTC</t>
  </si>
  <si>
    <t xml:space="preserve">AAACGACCCCCGCCAACTGCGACG</t>
  </si>
  <si>
    <t xml:space="preserve">PST_0677</t>
  </si>
  <si>
    <t xml:space="preserve">arcD-1</t>
  </si>
  <si>
    <t xml:space="preserve">CCAGAGCGATCAACGCGCCG</t>
  </si>
  <si>
    <t xml:space="preserve">TAGTCCAGAGCGATCAACGCGCCG</t>
  </si>
  <si>
    <t xml:space="preserve">AAACCGGCGCGTTGATCGCTCTGG</t>
  </si>
  <si>
    <t xml:space="preserve">GCACTGGCGGCGATATTCTG</t>
  </si>
  <si>
    <t xml:space="preserve">TAGTGCACTGGCGGCGATATTCTG</t>
  </si>
  <si>
    <t xml:space="preserve">AAACCAGAATATCGCCGCCAGTGC</t>
  </si>
  <si>
    <t xml:space="preserve">AATAAGGGTGGCGCCGGCAC</t>
  </si>
  <si>
    <t xml:space="preserve">TAGTAATAAGGGTGGCGCCGGCAC</t>
  </si>
  <si>
    <t xml:space="preserve">AAACGTGCCGGCGCCACCCTTATT</t>
  </si>
  <si>
    <t xml:space="preserve">CAGGGTGAGCATGCCGACAC</t>
  </si>
  <si>
    <t xml:space="preserve">TAGTCAGGGTGAGCATGCCGACAC</t>
  </si>
  <si>
    <t xml:space="preserve">AAACGTGTCGGCATGCTCACCCTG</t>
  </si>
  <si>
    <t xml:space="preserve">PST_0678</t>
  </si>
  <si>
    <t xml:space="preserve">GAGTCAGAGCGGAAAGTACA</t>
  </si>
  <si>
    <t xml:space="preserve">TAGTGAGTCAGAGCGGAAAGTACA</t>
  </si>
  <si>
    <t xml:space="preserve">AAACTGTACTTTCCGCTCTGACTC</t>
  </si>
  <si>
    <t xml:space="preserve">GTTGAGCACGATCAGCGAGG</t>
  </si>
  <si>
    <t xml:space="preserve">TAGTGTTGAGCACGATCAGCGAGG</t>
  </si>
  <si>
    <t xml:space="preserve">AAACCCTCGCTGATCGTGCTCAAC</t>
  </si>
  <si>
    <t xml:space="preserve">ATTTGGGTTCGTCTAGTGTC</t>
  </si>
  <si>
    <t xml:space="preserve">TAGTATTTGGGTTCGTCTAGTGTC</t>
  </si>
  <si>
    <t xml:space="preserve">AAACGACACTAGACGAACCCAAAT</t>
  </si>
  <si>
    <t xml:space="preserve">ATACGTTGGGGTTTCCCGTC</t>
  </si>
  <si>
    <t xml:space="preserve">TAGTATACGTTGGGGTTTCCCGTC</t>
  </si>
  <si>
    <t xml:space="preserve">AAACGACGGGAAACCCCAACGTAT</t>
  </si>
  <si>
    <t xml:space="preserve">PST_0679</t>
  </si>
  <si>
    <t xml:space="preserve">CAGGGCCAACCTAGCGGTTG</t>
  </si>
  <si>
    <t xml:space="preserve">TAGTCAGGGCCAACCTAGCGGTTG</t>
  </si>
  <si>
    <t xml:space="preserve">AAACCAACCGCTAGGTTGGCCCTG</t>
  </si>
  <si>
    <t xml:space="preserve">TGCTGGGATGCCCAGGCAGA</t>
  </si>
  <si>
    <t xml:space="preserve">TAGTTGCTGGGATGCCCAGGCAGA</t>
  </si>
  <si>
    <t xml:space="preserve">AAACTCTGCCTGGGCATCCCAGCA</t>
  </si>
  <si>
    <t xml:space="preserve">TTTGGCCGGGGTGGGTAGGG</t>
  </si>
  <si>
    <t xml:space="preserve">TAGTTTTGGCCGGGGTGGGTAGGG</t>
  </si>
  <si>
    <t xml:space="preserve">AAACCCCTACCCACCCCGGCCAAA</t>
  </si>
  <si>
    <t xml:space="preserve">TTTGTACACGGTGACCAGGT</t>
  </si>
  <si>
    <t xml:space="preserve">TAGTTTTGTACACGGTGACCAGGT</t>
  </si>
  <si>
    <t xml:space="preserve">AAACACCTGGTCACCGTGTACAAA</t>
  </si>
  <si>
    <t xml:space="preserve">PST_0680</t>
  </si>
  <si>
    <t xml:space="preserve">ACAGGGCAGGATCGCGATAC</t>
  </si>
  <si>
    <t xml:space="preserve">TAGTACAGGGCAGGATCGCGATAC</t>
  </si>
  <si>
    <t xml:space="preserve">AAACGTATCGCGATCCTGCCCTGT</t>
  </si>
  <si>
    <t xml:space="preserve">GGAGTAAATGCTCAGGGTGA</t>
  </si>
  <si>
    <t xml:space="preserve">TAGTGGAGTAAATGCTCAGGGTGA</t>
  </si>
  <si>
    <t xml:space="preserve">AAACTCACCCTGAGCATTTACTCC</t>
  </si>
  <si>
    <t xml:space="preserve">CTCCGGCACACTGTTGGCTT</t>
  </si>
  <si>
    <t xml:space="preserve">TAGTCTCCGGCACACTGTTGGCTT</t>
  </si>
  <si>
    <t xml:space="preserve">AAACAAGCCAACAGTGTGCCGGAG</t>
  </si>
  <si>
    <t xml:space="preserve">ACGCCAATGCTGGCCCGGTG</t>
  </si>
  <si>
    <t xml:space="preserve">TAGTACGCCAATGCTGGCCCGGTG</t>
  </si>
  <si>
    <t xml:space="preserve">AAACCACCGGGCCAGCATTGGCGT</t>
  </si>
  <si>
    <t xml:space="preserve">PST_0681</t>
  </si>
  <si>
    <t xml:space="preserve">CGATCAGTTGCACCACGCTG</t>
  </si>
  <si>
    <t xml:space="preserve">TAGTCGATCAGTTGCACCACGCTG</t>
  </si>
  <si>
    <t xml:space="preserve">AAACCAGCGTGGTGCAACTGATCG</t>
  </si>
  <si>
    <t xml:space="preserve">CGCAGGTTTTGTTGTAGCGC</t>
  </si>
  <si>
    <t xml:space="preserve">TAGTCGCAGGTTTTGTTGTAGCGC</t>
  </si>
  <si>
    <t xml:space="preserve">AAACGCGCTACAACAAAACCTGCG</t>
  </si>
  <si>
    <t xml:space="preserve">GCGGTTGGCGGGGATGTCGA</t>
  </si>
  <si>
    <t xml:space="preserve">TAGTGCGGTTGGCGGGGATGTCGA</t>
  </si>
  <si>
    <t xml:space="preserve">AAACTCGACATCCCCGCCAACCGC</t>
  </si>
  <si>
    <t xml:space="preserve">CCACGCCATCTGGGCCGATC</t>
  </si>
  <si>
    <t xml:space="preserve">TAGTCCACGCCATCTGGGCCGATC</t>
  </si>
  <si>
    <t xml:space="preserve">AAACGATCGGCCCAGATGGCGTGG</t>
  </si>
  <si>
    <t xml:space="preserve">PST_0682</t>
  </si>
  <si>
    <t xml:space="preserve">GGGTTTTCCTAAACTTCGGG</t>
  </si>
  <si>
    <t xml:space="preserve">TAGTGGGTTTTCCTAAACTTCGGG</t>
  </si>
  <si>
    <t xml:space="preserve">AAACCCCGAAGTTTAGGAAAACCC</t>
  </si>
  <si>
    <t xml:space="preserve">TTCTGTTGTGGCTTCATCGA</t>
  </si>
  <si>
    <t xml:space="preserve">TAGTTTCTGTTGTGGCTTCATCGA</t>
  </si>
  <si>
    <t xml:space="preserve">AAACTCGATGAAGCCACAACAGAA</t>
  </si>
  <si>
    <t xml:space="preserve">GGCGGAGGCCGTGTGGATCA</t>
  </si>
  <si>
    <t xml:space="preserve">TAGTGGCGGAGGCCGTGTGGATCA</t>
  </si>
  <si>
    <t xml:space="preserve">AAACTGATCCACACGGCCTCCGCC</t>
  </si>
  <si>
    <t xml:space="preserve">CAGTGCGGCCACGGCGGCCA</t>
  </si>
  <si>
    <t xml:space="preserve">TAGTCAGTGCGGCCACGGCGGCCA</t>
  </si>
  <si>
    <t xml:space="preserve">AAACTGGCCGCCGTGGCCGCACTG</t>
  </si>
  <si>
    <t xml:space="preserve">PST_0683</t>
  </si>
  <si>
    <t xml:space="preserve">phaC</t>
  </si>
  <si>
    <t xml:space="preserve">AGGGCGAAGCTGGTGATGAA</t>
  </si>
  <si>
    <t xml:space="preserve">TAGTAGGGCGAAGCTGGTGATGAA</t>
  </si>
  <si>
    <t xml:space="preserve">AAACTTCATCACCAGCTTCGCCCT</t>
  </si>
  <si>
    <t xml:space="preserve">CGTACAGGCGCAGTTGCTGT</t>
  </si>
  <si>
    <t xml:space="preserve">TAGTCGTACAGGCGCAGTTGCTGT</t>
  </si>
  <si>
    <t xml:space="preserve">AAACACAGCAACTGCGCCTGTACG</t>
  </si>
  <si>
    <t xml:space="preserve">AGACATTGAACCACTGGCTT</t>
  </si>
  <si>
    <t xml:space="preserve">TAGTAGACATTGAACCACTGGCTT</t>
  </si>
  <si>
    <t xml:space="preserve">AAACAAGCCAGTGGTTCAATGTCT</t>
  </si>
  <si>
    <t xml:space="preserve">CAATTGTTCCAACGCTTCGG</t>
  </si>
  <si>
    <t xml:space="preserve">TAGTCAATTGTTCCAACGCTTCGG</t>
  </si>
  <si>
    <t xml:space="preserve">AAACCCGAAGCGTTGGAACAATTG</t>
  </si>
  <si>
    <t xml:space="preserve">PST_0684</t>
  </si>
  <si>
    <t xml:space="preserve">phaA</t>
  </si>
  <si>
    <t xml:space="preserve">GCCTTGGAAGCTACCGATGG</t>
  </si>
  <si>
    <t xml:space="preserve">TAGTGCCTTGGAAGCTACCGATGG</t>
  </si>
  <si>
    <t xml:space="preserve">AAACCCATCGGTAGCTTCCAAGGC</t>
  </si>
  <si>
    <t xml:space="preserve">CCGGTGCCGGAATCTCGGCC</t>
  </si>
  <si>
    <t xml:space="preserve">TAGTCCGGTGCCGGAATCTCGGCC</t>
  </si>
  <si>
    <t xml:space="preserve">AAACGGCCGAGATTCCGGCACCGG</t>
  </si>
  <si>
    <t xml:space="preserve">GAGCAGGCGCCGGATGACGA</t>
  </si>
  <si>
    <t xml:space="preserve">TAGTGAGCAGGCGCCGGATGACGA</t>
  </si>
  <si>
    <t xml:space="preserve">AAACTCGTCATCCGGCGCCTGCTC</t>
  </si>
  <si>
    <t xml:space="preserve">GACCTGGGCAGCATCGAGGC</t>
  </si>
  <si>
    <t xml:space="preserve">TAGTGACCTGGGCAGCATCGAGGC</t>
  </si>
  <si>
    <t xml:space="preserve">AAACGCCTCGATGCTGCCCAGGTC</t>
  </si>
  <si>
    <t xml:space="preserve">PST_0685</t>
  </si>
  <si>
    <t xml:space="preserve">phaB</t>
  </si>
  <si>
    <t xml:space="preserve">GCCGATGCCGCCCATGCCGC</t>
  </si>
  <si>
    <t xml:space="preserve">TAGTGCCGATGCCGCCCATGCCGC</t>
  </si>
  <si>
    <t xml:space="preserve">AAACGCGGCATGGGCGGCATCGGC</t>
  </si>
  <si>
    <t xml:space="preserve">AACCATCCTGGTGCAGGCGC</t>
  </si>
  <si>
    <t xml:space="preserve">TAGTAACCATCCTGGTGCAGGCGC</t>
  </si>
  <si>
    <t xml:space="preserve">AAACGCGCCTGCACCAGGATGGTT</t>
  </si>
  <si>
    <t xml:space="preserve">GGGGCCGCAACTCACCACTA</t>
  </si>
  <si>
    <t xml:space="preserve">TAGTGGGGCCGCAACTCACCACTA</t>
  </si>
  <si>
    <t xml:space="preserve">AAACTAGTGGTGAGTTGCGGCCCC</t>
  </si>
  <si>
    <t xml:space="preserve">GAGGCTTTGCGGCTTGAGTA</t>
  </si>
  <si>
    <t xml:space="preserve">TAGTGAGGCTTTGCGGCTTGAGTA</t>
  </si>
  <si>
    <t xml:space="preserve">AAACTACTCAAGCCGCAAAGCCTC</t>
  </si>
  <si>
    <t xml:space="preserve">PST_0686</t>
  </si>
  <si>
    <t xml:space="preserve">phbR</t>
  </si>
  <si>
    <t xml:space="preserve">CGGATTGTCCGAATCCAACT</t>
  </si>
  <si>
    <t xml:space="preserve">TAGTCGGATTGTCCGAATCCAACT</t>
  </si>
  <si>
    <t xml:space="preserve">AAACAGTTGGATTCGGACAATCCG</t>
  </si>
  <si>
    <t xml:space="preserve">GCAGCCTTGAGGCCGAGATT</t>
  </si>
  <si>
    <t xml:space="preserve">TAGTGCAGCCTTGAGGCCGAGATT</t>
  </si>
  <si>
    <t xml:space="preserve">AAACAATCTCGGCCTCAAGGCTGC</t>
  </si>
  <si>
    <t xml:space="preserve">ACTGCCAGGTTTGAAATGCA</t>
  </si>
  <si>
    <t xml:space="preserve">TAGTACTGCCAGGTTTGAAATGCA</t>
  </si>
  <si>
    <t xml:space="preserve">AAACTGCATTTCAAACCTGGCAGT</t>
  </si>
  <si>
    <t xml:space="preserve">TCATCACGTAGCCCACCAAC</t>
  </si>
  <si>
    <t xml:space="preserve">TAGTTCATCACGTAGCCCACCAAC</t>
  </si>
  <si>
    <t xml:space="preserve">AAACGTTGGTGGGCTACGTGATGA</t>
  </si>
  <si>
    <t xml:space="preserve">PST_0687</t>
  </si>
  <si>
    <t xml:space="preserve">gltS</t>
  </si>
  <si>
    <t xml:space="preserve">GTGGCTCGTAGTGCTGGACG</t>
  </si>
  <si>
    <t xml:space="preserve">TAGTGTGGCTCGTAGTGCTGGACG</t>
  </si>
  <si>
    <t xml:space="preserve">AAACCGTCCAGCACTACGAGCCAC</t>
  </si>
  <si>
    <t xml:space="preserve">CCGATTCAGGAATGCTGTAG</t>
  </si>
  <si>
    <t xml:space="preserve">TAGTCCGATTCAGGAATGCTGTAG</t>
  </si>
  <si>
    <t xml:space="preserve">AAACCTACAGCATTCCTGAATCGG</t>
  </si>
  <si>
    <t xml:space="preserve">CCGCGGTAACGGAGGTGCAG</t>
  </si>
  <si>
    <t xml:space="preserve">TAGTCCGCGGTAACGGAGGTGCAG</t>
  </si>
  <si>
    <t xml:space="preserve">AAACCTGCACCTCCGTTACCGCGG</t>
  </si>
  <si>
    <t xml:space="preserve">GCATTACATCGCGTACCTCC</t>
  </si>
  <si>
    <t xml:space="preserve">TAGTGCATTACATCGCGTACCTCC</t>
  </si>
  <si>
    <t xml:space="preserve">AAACGGAGGTACGCGATGTAATGC</t>
  </si>
  <si>
    <t xml:space="preserve">PST_0688</t>
  </si>
  <si>
    <t xml:space="preserve">CGCGCTTGCCAGCCAGGGAC</t>
  </si>
  <si>
    <t xml:space="preserve">TAGTCGCGCTTGCCAGCCAGGGAC</t>
  </si>
  <si>
    <t xml:space="preserve">AAACGTCCCTGGCTGGCAAGCGCG</t>
  </si>
  <si>
    <t xml:space="preserve">GCAGCCCCAGGCGATCGAAT</t>
  </si>
  <si>
    <t xml:space="preserve">TAGTGCAGCCCCAGGCGATCGAAT</t>
  </si>
  <si>
    <t xml:space="preserve">AAACATTCGATCGCCTGGGGCTGC</t>
  </si>
  <si>
    <t xml:space="preserve">ACCCATTTCATGTAGCGCTT</t>
  </si>
  <si>
    <t xml:space="preserve">TAGTACCCATTTCATGTAGCGCTT</t>
  </si>
  <si>
    <t xml:space="preserve">AAACAAGCGCTACATGAAATGGGT</t>
  </si>
  <si>
    <t xml:space="preserve">TTTCTCATTCAGCCAGGTGA</t>
  </si>
  <si>
    <t xml:space="preserve">TAGTTTTCTCATTCAGCCAGGTGA</t>
  </si>
  <si>
    <t xml:space="preserve">AAACTCACCTGGCTGAATGAGAAA</t>
  </si>
  <si>
    <t xml:space="preserve">PST_0689</t>
  </si>
  <si>
    <t xml:space="preserve">tdcD</t>
  </si>
  <si>
    <t xml:space="preserve">CGATGAGTTCGTCCTGAACA</t>
  </si>
  <si>
    <t xml:space="preserve">TAGTCGATGAGTTCGTCCTGAACA</t>
  </si>
  <si>
    <t xml:space="preserve">AAACTGTTCAGGACGAACTCATCG</t>
  </si>
  <si>
    <t xml:space="preserve">GCTCGAAGAGCCTGCGTTGA</t>
  </si>
  <si>
    <t xml:space="preserve">TAGTGCTCGAAGAGCCTGCGTTGA</t>
  </si>
  <si>
    <t xml:space="preserve">AAACTCAACGCAGGCTCTTCGAGC</t>
  </si>
  <si>
    <t xml:space="preserve">CCGGCGACCGGAGAATAGGC</t>
  </si>
  <si>
    <t xml:space="preserve">TAGTCCGGCGACCGGAGAATAGGC</t>
  </si>
  <si>
    <t xml:space="preserve">AAACGCCTATTCTCCGGTCGCCGG</t>
  </si>
  <si>
    <t xml:space="preserve">TTTCCGCGCGCCAGCAAGCG</t>
  </si>
  <si>
    <t xml:space="preserve">TAGTTTTCCGCGCGCCAGCAAGCG</t>
  </si>
  <si>
    <t xml:space="preserve">AAACCGCTTGCTGGCGCGCGGAAA</t>
  </si>
  <si>
    <t xml:space="preserve">PST_0690</t>
  </si>
  <si>
    <t xml:space="preserve">GCAGCGCCTGGTAGTGATCC</t>
  </si>
  <si>
    <t xml:space="preserve">TAGTGCAGCGCCTGGTAGTGATCC</t>
  </si>
  <si>
    <t xml:space="preserve">AAACGGATCACTACCAGGCGCTGC</t>
  </si>
  <si>
    <t xml:space="preserve">GCGGGCCAATCTCGGCGCAG</t>
  </si>
  <si>
    <t xml:space="preserve">TAGTGCGGGCCAATCTCGGCGCAG</t>
  </si>
  <si>
    <t xml:space="preserve">AAACCTGCGCCGAGATTGGCCCGC</t>
  </si>
  <si>
    <t xml:space="preserve">CAAGGATGCACGACGATGGT</t>
  </si>
  <si>
    <t xml:space="preserve">TAGTCAAGGATGCACGACGATGGT</t>
  </si>
  <si>
    <t xml:space="preserve">AAACACCATCGTCGTGCATCCTTG</t>
  </si>
  <si>
    <t xml:space="preserve">TGTGATCAGCCCGGCCTGGG</t>
  </si>
  <si>
    <t xml:space="preserve">TAGTTGTGATCAGCCCGGCCTGGG</t>
  </si>
  <si>
    <t xml:space="preserve">AAACCCCAGGCCGGGCTGATCACA</t>
  </si>
  <si>
    <t xml:space="preserve">PST_0691</t>
  </si>
  <si>
    <t xml:space="preserve">GCTTCGCAAAAAAACTTTCC</t>
  </si>
  <si>
    <t xml:space="preserve">TAGTGCTTCGCAAAAAAACTTTCC</t>
  </si>
  <si>
    <t xml:space="preserve">AAACGGAAAGTTTTTTTGCGAAGC</t>
  </si>
  <si>
    <t xml:space="preserve">TTCGAACAGATTATGGAATG</t>
  </si>
  <si>
    <t xml:space="preserve">TAGTTTCGAACAGATTATGGAATG</t>
  </si>
  <si>
    <t xml:space="preserve">AAACCATTCCATAATCTGTTCGAA</t>
  </si>
  <si>
    <t xml:space="preserve">GCAACTGCTGCAGACGGCTG</t>
  </si>
  <si>
    <t xml:space="preserve">TAGTGCAACTGCTGCAGACGGCTG</t>
  </si>
  <si>
    <t xml:space="preserve">AAACCAGCCGTCTGCAGCAGTTGC</t>
  </si>
  <si>
    <t xml:space="preserve">GGCCGCATGGCGTTGGCCGA</t>
  </si>
  <si>
    <t xml:space="preserve">TAGTGGCCGCATGGCGTTGGCCGA</t>
  </si>
  <si>
    <t xml:space="preserve">AAACTCGGCCAACGCCATGCGGCC</t>
  </si>
  <si>
    <t xml:space="preserve">PST_0692</t>
  </si>
  <si>
    <t xml:space="preserve">phaP</t>
  </si>
  <si>
    <t xml:space="preserve">TTCCGAATCAAAAAAAGACA</t>
  </si>
  <si>
    <t xml:space="preserve">TAGTTTCCGAATCAAAAAAAGACA</t>
  </si>
  <si>
    <t xml:space="preserve">AAACTGTCTTTTTTTGATTCGGAA</t>
  </si>
  <si>
    <t xml:space="preserve">CTGCTGCAGCAGGTCAAGGT</t>
  </si>
  <si>
    <t xml:space="preserve">TAGTCTGCTGCAGCAGGTCAAGGT</t>
  </si>
  <si>
    <t xml:space="preserve">AAACACCTTGACCTGCTGCAGCAG</t>
  </si>
  <si>
    <t xml:space="preserve">GCTGTCGAACTGCTCGCCAC</t>
  </si>
  <si>
    <t xml:space="preserve">TAGTGCTGTCGAACTGCTCGCCAC</t>
  </si>
  <si>
    <t xml:space="preserve">AAACGTGGCGAGCAGTTCGACAGC</t>
  </si>
  <si>
    <t xml:space="preserve">GCAACTCGGCGAAGGCCTGC</t>
  </si>
  <si>
    <t xml:space="preserve">TAGTGCAACTCGGCGAAGGCCTGC</t>
  </si>
  <si>
    <t xml:space="preserve">AAACGCAGGCCTTCGCCGAGTTGC</t>
  </si>
  <si>
    <t xml:space="preserve">PST_0693</t>
  </si>
  <si>
    <t xml:space="preserve">phaR</t>
  </si>
  <si>
    <t xml:space="preserve">CGCAGATACTTACTTGGGGC</t>
  </si>
  <si>
    <t xml:space="preserve">TAGTCGCAGATACTTACTTGGGGC</t>
  </si>
  <si>
    <t xml:space="preserve">AAACGCCCCAAGTAAGTATCTGCG</t>
  </si>
  <si>
    <t xml:space="preserve">GTTTTAGTTTTTCGGATATA</t>
  </si>
  <si>
    <t xml:space="preserve">TAGTGTTTTAGTTTTTCGGATATA</t>
  </si>
  <si>
    <t xml:space="preserve">AAACTATATCCGAAAAACTAAAAC</t>
  </si>
  <si>
    <t xml:space="preserve">ATTGTTAATGCGGGGATAAT</t>
  </si>
  <si>
    <t xml:space="preserve">TAGTATTGTTAATGCGGGGATAAT</t>
  </si>
  <si>
    <t xml:space="preserve">AAACATTATCCCCGCATTAACAAT</t>
  </si>
  <si>
    <t xml:space="preserve">GTATTATCTCAGGCCTCTCC</t>
  </si>
  <si>
    <t xml:space="preserve">TAGTGTATTATCTCAGGCCTCTCC</t>
  </si>
  <si>
    <t xml:space="preserve">AAACGGAGAGGCCTGAGATAATAC</t>
  </si>
  <si>
    <t xml:space="preserve">PST_0694</t>
  </si>
  <si>
    <t xml:space="preserve">ACTCACAGTGAACGAAGTGG</t>
  </si>
  <si>
    <t xml:space="preserve">TAGTACTCACAGTGAACGAAGTGG</t>
  </si>
  <si>
    <t xml:space="preserve">AAACCCACTTCGTTCACTGTGAGT</t>
  </si>
  <si>
    <t xml:space="preserve">ACTAGAACCAGCAGGACTGA</t>
  </si>
  <si>
    <t xml:space="preserve">TAGTACTAGAACCAGCAGGACTGA</t>
  </si>
  <si>
    <t xml:space="preserve">AAACTCAGTCCTGCTGGTTCTAGT</t>
  </si>
  <si>
    <t xml:space="preserve">GACCTTGACCCCTGCACACC</t>
  </si>
  <si>
    <t xml:space="preserve">TAGTGACCTTGACCCCTGCACACC</t>
  </si>
  <si>
    <t xml:space="preserve">AAACGGTGTGCAGGGGTCAAGGTC</t>
  </si>
  <si>
    <t xml:space="preserve">CAACACATCACCGCGGCGCT</t>
  </si>
  <si>
    <t xml:space="preserve">TAGTCAACACATCACCGCGGCGCT</t>
  </si>
  <si>
    <t xml:space="preserve">AAACAGCGCCGCGGTGATGTGTTG</t>
  </si>
  <si>
    <t xml:space="preserve">PST_0695</t>
  </si>
  <si>
    <t xml:space="preserve">ACAGCGCGAGGACACTGCGC</t>
  </si>
  <si>
    <t xml:space="preserve">TAGTACAGCGCGAGGACACTGCGC</t>
  </si>
  <si>
    <t xml:space="preserve">AAACGCGCAGTGTCCTCGCGCTGT</t>
  </si>
  <si>
    <t xml:space="preserve">GAACAGCGCCAGCACGCCCC</t>
  </si>
  <si>
    <t xml:space="preserve">TAGTGAACAGCGCCAGCACGCCCC</t>
  </si>
  <si>
    <t xml:space="preserve">AAACGGGGCGTGCTGGCGCTGTTC</t>
  </si>
  <si>
    <t xml:space="preserve">AGGTTGCCAGCCCTCCAGTC</t>
  </si>
  <si>
    <t xml:space="preserve">TAGTAGGTTGCCAGCCCTCCAGTC</t>
  </si>
  <si>
    <t xml:space="preserve">AAACGACTGGAGGGCTGGCAACCT</t>
  </si>
  <si>
    <t xml:space="preserve">CCAGCCCGCAATCAGCACCC</t>
  </si>
  <si>
    <t xml:space="preserve">TAGTCCAGCCCGCAATCAGCACCC</t>
  </si>
  <si>
    <t xml:space="preserve">AAACGGGTGCTGATTGCGGGCTGG</t>
  </si>
  <si>
    <t xml:space="preserve">PST_0696</t>
  </si>
  <si>
    <t xml:space="preserve">GCAGGAATCCCAGGCCGATC</t>
  </si>
  <si>
    <t xml:space="preserve">TAGTGCAGGAATCCCAGGCCGATC</t>
  </si>
  <si>
    <t xml:space="preserve">AAACGATCGGCCTGGGATTCCTGC</t>
  </si>
  <si>
    <t xml:space="preserve">GCCGGCTGTAGCCGACCATC</t>
  </si>
  <si>
    <t xml:space="preserve">TAGTGCCGGCTGTAGCCGACCATC</t>
  </si>
  <si>
    <t xml:space="preserve">AAACGATGGTCGGCTACAGCCGGC</t>
  </si>
  <si>
    <t xml:space="preserve">CAACATCACCACTATCCCTG</t>
  </si>
  <si>
    <t xml:space="preserve">TAGTCAACATCACCACTATCCCTG</t>
  </si>
  <si>
    <t xml:space="preserve">AAACCAGGGATAGTGGTGATGTTG</t>
  </si>
  <si>
    <t xml:space="preserve">AATGTAGATTTTGTAACCAA</t>
  </si>
  <si>
    <t xml:space="preserve">TAGTAATGTAGATTTTGTAACCAA</t>
  </si>
  <si>
    <t xml:space="preserve">AAACTTGGTTACAAAATCTACATT</t>
  </si>
  <si>
    <t xml:space="preserve">PST_0697</t>
  </si>
  <si>
    <t xml:space="preserve">CGGGGTAGCGGTTCTTGCCA</t>
  </si>
  <si>
    <t xml:space="preserve">TAGTCGGGGTAGCGGTTCTTGCCA</t>
  </si>
  <si>
    <t xml:space="preserve">AAACTGGCAAGAACCGCTACCCCG</t>
  </si>
  <si>
    <t xml:space="preserve">CGGGTACGGTTCTGTTTCAT</t>
  </si>
  <si>
    <t xml:space="preserve">TAGTCGGGTACGGTTCTGTTTCAT</t>
  </si>
  <si>
    <t xml:space="preserve">AAACATGAAACAGAACCGTACCCG</t>
  </si>
  <si>
    <t xml:space="preserve">TCTTGAAGGCTTGGGAGTGA</t>
  </si>
  <si>
    <t xml:space="preserve">TAGTTCTTGAAGGCTTGGGAGTGA</t>
  </si>
  <si>
    <t xml:space="preserve">AAACTCACTCCCAAGCCTTCAAGA</t>
  </si>
  <si>
    <t xml:space="preserve">TTTACTAACGCCAATTCGCT</t>
  </si>
  <si>
    <t xml:space="preserve">TAGTTTTACTAACGCCAATTCGCT</t>
  </si>
  <si>
    <t xml:space="preserve">AAACAGCGAATTGGCGTTAGTAAA</t>
  </si>
  <si>
    <t xml:space="preserve">PST_0698</t>
  </si>
  <si>
    <t xml:space="preserve">GGCTTTCACCGAAAACGCTG</t>
  </si>
  <si>
    <t xml:space="preserve">TAGTGGCTTTCACCGAAAACGCTG</t>
  </si>
  <si>
    <t xml:space="preserve">AAACCAGCGTTTTCGGTGAAAGCC</t>
  </si>
  <si>
    <t xml:space="preserve">GACACCCAGAACACGGCACA</t>
  </si>
  <si>
    <t xml:space="preserve">TAGTGACACCCAGAACACGGCACA</t>
  </si>
  <si>
    <t xml:space="preserve">AAACTGTGCCGTGTTCTGGGTGTC</t>
  </si>
  <si>
    <t xml:space="preserve">CCAGGCGTAGAAACCACTGC</t>
  </si>
  <si>
    <t xml:space="preserve">TAGTCCAGGCGTAGAAACCACTGC</t>
  </si>
  <si>
    <t xml:space="preserve">AAACGCAGTGGTTTCTACGCCTGG</t>
  </si>
  <si>
    <t xml:space="preserve">CGTTGCTGGCGGCGCGTGGA</t>
  </si>
  <si>
    <t xml:space="preserve">TAGTCGTTGCTGGCGGCGCGTGGA</t>
  </si>
  <si>
    <t xml:space="preserve">AAACTCCACGCGCCGCCAGCAACG</t>
  </si>
  <si>
    <t xml:space="preserve">PST_0699</t>
  </si>
  <si>
    <t xml:space="preserve">CGAGATTTGTACCAATTTTC</t>
  </si>
  <si>
    <t xml:space="preserve">TAGTCGAGATTTGTACCAATTTTC</t>
  </si>
  <si>
    <t xml:space="preserve">AAACGAAAATTGGTACAAATCTCG</t>
  </si>
  <si>
    <t xml:space="preserve">GCGCCGCAGCCTGGTTGATC</t>
  </si>
  <si>
    <t xml:space="preserve">TAGTGCGCCGCAGCCTGGTTGATC</t>
  </si>
  <si>
    <t xml:space="preserve">AAACGATCAACCAGGCTGCGGCGC</t>
  </si>
  <si>
    <t xml:space="preserve">CATGCTTAGCAACAGTCTTA</t>
  </si>
  <si>
    <t xml:space="preserve">TAGTCATGCTTAGCAACAGTCTTA</t>
  </si>
  <si>
    <t xml:space="preserve">AAACTAAGACTGTTGCTAAGCATG</t>
  </si>
  <si>
    <t xml:space="preserve">ATAGCGAATGAAGGGGTAAA</t>
  </si>
  <si>
    <t xml:space="preserve">TAGTATAGCGAATGAAGGGGTAAA</t>
  </si>
  <si>
    <t xml:space="preserve">AAACTTTACCCCTTCATTCGCTAT</t>
  </si>
  <si>
    <t xml:space="preserve">PST_0701</t>
  </si>
  <si>
    <t xml:space="preserve">ATTTCTTCGACCTATTAACC</t>
  </si>
  <si>
    <t xml:space="preserve">TAGTATTTCTTCGACCTATTAACC</t>
  </si>
  <si>
    <t xml:space="preserve">AAACGGTTAATAGGTCGAAGAAAT</t>
  </si>
  <si>
    <t xml:space="preserve">CGTTCATGATTCTGGCTGCC</t>
  </si>
  <si>
    <t xml:space="preserve">TAGTCGTTCATGATTCTGGCTGCC</t>
  </si>
  <si>
    <t xml:space="preserve">AAACGGCAGCCAGAATCATGAACG</t>
  </si>
  <si>
    <t xml:space="preserve">GAGCTGCTTCTTGATCGAGG</t>
  </si>
  <si>
    <t xml:space="preserve">TAGTGAGCTGCTTCTTGATCGAGG</t>
  </si>
  <si>
    <t xml:space="preserve">AAACCCTCGATCAAGAAGCAGCTC</t>
  </si>
  <si>
    <t xml:space="preserve">TCGCGGAGCCTGTTCCAATG</t>
  </si>
  <si>
    <t xml:space="preserve">TAGTTCGCGGAGCCTGTTCCAATG</t>
  </si>
  <si>
    <t xml:space="preserve">AAACCATTGGAACAGGCTCCGCGA</t>
  </si>
  <si>
    <t xml:space="preserve">PST_0702</t>
  </si>
  <si>
    <t xml:space="preserve">GTTTTTTGAACGATTGAAAG</t>
  </si>
  <si>
    <t xml:space="preserve">TAGTGTTTTTTGAACGATTGAAAG</t>
  </si>
  <si>
    <t xml:space="preserve">AAACCTTTCAATCGTTCAAAAAAC</t>
  </si>
  <si>
    <t xml:space="preserve">CGATTTCTGCGTGCGAAAGT</t>
  </si>
  <si>
    <t xml:space="preserve">TAGTCGATTTCTGCGTGCGAAAGT</t>
  </si>
  <si>
    <t xml:space="preserve">AAACACTTTCGCACGCAGAAATCG</t>
  </si>
  <si>
    <t xml:space="preserve">AGTCCGTGAGCGAACGCAAA</t>
  </si>
  <si>
    <t xml:space="preserve">TAGTAGTCCGTGAGCGAACGCAAA</t>
  </si>
  <si>
    <t xml:space="preserve">AAACTTTGCGTTCGCTCACGGACT</t>
  </si>
  <si>
    <t xml:space="preserve">PST_0703</t>
  </si>
  <si>
    <t xml:space="preserve">TGGTATTTCTTCAAGGTATC</t>
  </si>
  <si>
    <t xml:space="preserve">TAGTTGGTATTTCTTCAAGGTATC</t>
  </si>
  <si>
    <t xml:space="preserve">AAACGATACCTTGAAGAAATACCA</t>
  </si>
  <si>
    <t xml:space="preserve">AAAAGTTTCGGGCTCTGGTT</t>
  </si>
  <si>
    <t xml:space="preserve">TAGTAAAAGTTTCGGGCTCTGGTT</t>
  </si>
  <si>
    <t xml:space="preserve">AAACAACCAGAGCCCGAAACTTTT</t>
  </si>
  <si>
    <t xml:space="preserve">CATCTGACCCGCAGTGCTTG</t>
  </si>
  <si>
    <t xml:space="preserve">TAGTCATCTGACCCGCAGTGCTTG</t>
  </si>
  <si>
    <t xml:space="preserve">AAACCAAGCACTGCGGGTCAGATG</t>
  </si>
  <si>
    <t xml:space="preserve">CGCAGATCTGCGCCGAATCT</t>
  </si>
  <si>
    <t xml:space="preserve">TAGTCGCAGATCTGCGCCGAATCT</t>
  </si>
  <si>
    <t xml:space="preserve">AAACAGATTCGGCGCAGATCTGCG</t>
  </si>
  <si>
    <t xml:space="preserve">PST_0704</t>
  </si>
  <si>
    <t xml:space="preserve">TTTTTGATTTTGATGACAAA</t>
  </si>
  <si>
    <t xml:space="preserve">TAGTTTTTTGATTTTGATGACAAA</t>
  </si>
  <si>
    <t xml:space="preserve">AAACTTTGTCATCAAAATCAAAAA</t>
  </si>
  <si>
    <t xml:space="preserve">CCCTTCAGCGCCCCAGGCGC</t>
  </si>
  <si>
    <t xml:space="preserve">TAGTCCCTTCAGCGCCCCAGGCGC</t>
  </si>
  <si>
    <t xml:space="preserve">AAACGCGCCTGGGGCGCTGAAGGG</t>
  </si>
  <si>
    <t xml:space="preserve">CGCTGGCGAATCGTTTCACC</t>
  </si>
  <si>
    <t xml:space="preserve">TAGTCGCTGGCGAATCGTTTCACC</t>
  </si>
  <si>
    <t xml:space="preserve">AAACGGTGAAACGATTCGCCAGCG</t>
  </si>
  <si>
    <t xml:space="preserve">CATTTTGAATGCACCGTTTT</t>
  </si>
  <si>
    <t xml:space="preserve">TAGTCATTTTGAATGCACCGTTTT</t>
  </si>
  <si>
    <t xml:space="preserve">AAACAAAACGGTGCATTCAAAATG</t>
  </si>
  <si>
    <t xml:space="preserve">PST_0705</t>
  </si>
  <si>
    <t xml:space="preserve">CTCATGCTGCTACCGCTCAT</t>
  </si>
  <si>
    <t xml:space="preserve">TAGTCTCATGCTGCTACCGCTCAT</t>
  </si>
  <si>
    <t xml:space="preserve">AAACATGAGCGGTAGCAGCATGAG</t>
  </si>
  <si>
    <t xml:space="preserve">AGACTGCCTGGCATAGGCTA</t>
  </si>
  <si>
    <t xml:space="preserve">TAGTAGACTGCCTGGCATAGGCTA</t>
  </si>
  <si>
    <t xml:space="preserve">AAACTAGCCTATGCCAGGCAGTCT</t>
  </si>
  <si>
    <t xml:space="preserve">ACCAGGCAGTAATTCCCGTA</t>
  </si>
  <si>
    <t xml:space="preserve">TAGTACCAGGCAGTAATTCCCGTA</t>
  </si>
  <si>
    <t xml:space="preserve">AAACTACGGGAATTACTGCCTGGT</t>
  </si>
  <si>
    <t xml:space="preserve">CAGCTGTAGACGCTGGCTTT</t>
  </si>
  <si>
    <t xml:space="preserve">TAGTCAGCTGTAGACGCTGGCTTT</t>
  </si>
  <si>
    <t xml:space="preserve">AAACAAAGCCAGCGTCTACAGCTG</t>
  </si>
  <si>
    <t xml:space="preserve">PST_0706</t>
  </si>
  <si>
    <t xml:space="preserve">CCGTTACTGCTGGTCAGAAC</t>
  </si>
  <si>
    <t xml:space="preserve">TAGTCCGTTACTGCTGGTCAGAAC</t>
  </si>
  <si>
    <t xml:space="preserve">AAACGTTCTGACCAGCAGTAACGG</t>
  </si>
  <si>
    <t xml:space="preserve">GCTTCGCACAATGGGCGCAT</t>
  </si>
  <si>
    <t xml:space="preserve">TAGTGCTTCGCACAATGGGCGCAT</t>
  </si>
  <si>
    <t xml:space="preserve">AAACATGCGCCCATTGTGCGAAGC</t>
  </si>
  <si>
    <t xml:space="preserve">GCTGTGCCAGTTCAGCTCGA</t>
  </si>
  <si>
    <t xml:space="preserve">TAGTGCTGTGCCAGTTCAGCTCGA</t>
  </si>
  <si>
    <t xml:space="preserve">AAACTCGAGCTGAACTGGCACAGC</t>
  </si>
  <si>
    <t xml:space="preserve">GCGGATGTAACTTTGCAGCC</t>
  </si>
  <si>
    <t xml:space="preserve">TAGTGCGGATGTAACTTTGCAGCC</t>
  </si>
  <si>
    <t xml:space="preserve">AAACGGCTGCAAAGTTACATCCGC</t>
  </si>
  <si>
    <t xml:space="preserve">PST_0707</t>
  </si>
  <si>
    <t xml:space="preserve">TGGGCGGTGAAGGTTGATTT</t>
  </si>
  <si>
    <t xml:space="preserve">TAGTTGGGCGGTGAAGGTTGATTT</t>
  </si>
  <si>
    <t xml:space="preserve">AAACAAATCAACCTTCACCGCCCA</t>
  </si>
  <si>
    <t xml:space="preserve">CTGGAACTGCAGATTACTGC</t>
  </si>
  <si>
    <t xml:space="preserve">TAGTCTGGAACTGCAGATTACTGC</t>
  </si>
  <si>
    <t xml:space="preserve">AAACGCAGTAATCTGCAGTTCCAG</t>
  </si>
  <si>
    <t xml:space="preserve">TGAGTACTTCTTGTGTCTTT</t>
  </si>
  <si>
    <t xml:space="preserve">TAGTTGAGTACTTCTTGTGTCTTT</t>
  </si>
  <si>
    <t xml:space="preserve">AAACAAAGACACAAGAAGTACTCA</t>
  </si>
  <si>
    <t xml:space="preserve">CAAACCAAACCACTGCAGTA</t>
  </si>
  <si>
    <t xml:space="preserve">TAGTCAAACCAAACCACTGCAGTA</t>
  </si>
  <si>
    <t xml:space="preserve">AAACTACTGCAGTGGTTTGGTTTG</t>
  </si>
  <si>
    <t xml:space="preserve">PST_0708</t>
  </si>
  <si>
    <t xml:space="preserve">TTAGCAACCTAAGCAGAATT</t>
  </si>
  <si>
    <t xml:space="preserve">TAGTTTAGCAACCTAAGCAGAATT</t>
  </si>
  <si>
    <t xml:space="preserve">AAACAATTCTGCTTAGGTTGCTAA</t>
  </si>
  <si>
    <t xml:space="preserve">GGGTCAGGCCCGCCTCTACG</t>
  </si>
  <si>
    <t xml:space="preserve">TAGTGGGTCAGGCCCGCCTCTACG</t>
  </si>
  <si>
    <t xml:space="preserve">AAACCGTAGAGGCGGGCCTGACCC</t>
  </si>
  <si>
    <t xml:space="preserve">TGCCTGGGCAAACTGGGATT</t>
  </si>
  <si>
    <t xml:space="preserve">TAGTTGCCTGGGCAAACTGGGATT</t>
  </si>
  <si>
    <t xml:space="preserve">AAACAATCCCAGTTTGCCCAGGCA</t>
  </si>
  <si>
    <t xml:space="preserve">TATCGCTAGCAAAAGACTGT</t>
  </si>
  <si>
    <t xml:space="preserve">TAGTTATCGCTAGCAAAAGACTGT</t>
  </si>
  <si>
    <t xml:space="preserve">AAACACAGTCTTTTGCTAGCGATA</t>
  </si>
  <si>
    <t xml:space="preserve">PST_0709</t>
  </si>
  <si>
    <t xml:space="preserve">GCATCCGAAGATGCCCCGCA</t>
  </si>
  <si>
    <t xml:space="preserve">TAGTGCATCCGAAGATGCCCCGCA</t>
  </si>
  <si>
    <t xml:space="preserve">AAACTGCGGGGCATCTTCGGATGC</t>
  </si>
  <si>
    <t xml:space="preserve">TGGCGTACCGGTCTGAGGGC</t>
  </si>
  <si>
    <t xml:space="preserve">TAGTTGGCGTACCGGTCTGAGGGC</t>
  </si>
  <si>
    <t xml:space="preserve">AAACGCCCTCAGACCGGTACGCCA</t>
  </si>
  <si>
    <t xml:space="preserve">GGTGAGCAGACCGCACGGGT</t>
  </si>
  <si>
    <t xml:space="preserve">TAGTGGTGAGCAGACCGCACGGGT</t>
  </si>
  <si>
    <t xml:space="preserve">AAACACCCGTGCGGTCTGCTCACC</t>
  </si>
  <si>
    <t xml:space="preserve">TCTGCCACCCAACGCCAATT</t>
  </si>
  <si>
    <t xml:space="preserve">TAGTTCTGCCACCCAACGCCAATT</t>
  </si>
  <si>
    <t xml:space="preserve">AAACAATTGGCGTTGGGTGGCAGA</t>
  </si>
  <si>
    <t xml:space="preserve">PST_0710</t>
  </si>
  <si>
    <t xml:space="preserve">TTCGGCCCATAAACGACAAA</t>
  </si>
  <si>
    <t xml:space="preserve">TAGTTTCGGCCCATAAACGACAAA</t>
  </si>
  <si>
    <t xml:space="preserve">AAACTTTGTCGTTTATGGGCCGAA</t>
  </si>
  <si>
    <t xml:space="preserve">AAATGAAACGGTACGCAAAG</t>
  </si>
  <si>
    <t xml:space="preserve">TAGTAAATGAAACGGTACGCAAAG</t>
  </si>
  <si>
    <t xml:space="preserve">AAACCTTTGCGTACCGTTTCATTT</t>
  </si>
  <si>
    <t xml:space="preserve">TCTGCGAGCGGCAAGGGCCA</t>
  </si>
  <si>
    <t xml:space="preserve">TAGTTCTGCGAGCGGCAAGGGCCA</t>
  </si>
  <si>
    <t xml:space="preserve">AAACTGGCCCTTGCCGCTCGCAGA</t>
  </si>
  <si>
    <t xml:space="preserve">PST_0712</t>
  </si>
  <si>
    <t xml:space="preserve">rpoD</t>
  </si>
  <si>
    <t xml:space="preserve">CAGGGCATCGGCATCCGGAG</t>
  </si>
  <si>
    <t xml:space="preserve">TAGTCAGGGCATCGGCATCCGGAG</t>
  </si>
  <si>
    <t xml:space="preserve">AAACCTCCGGATGCCGATGCCCTG</t>
  </si>
  <si>
    <t xml:space="preserve">GGCTTCATCGGTATCGGCTT</t>
  </si>
  <si>
    <t xml:space="preserve">TAGTGGCTTCATCGGTATCGGCTT</t>
  </si>
  <si>
    <t xml:space="preserve">AAACAAGCCGATACCGATGAAGCC</t>
  </si>
  <si>
    <t xml:space="preserve">GAGTGCGGCTGCGGCCTCTT</t>
  </si>
  <si>
    <t xml:space="preserve">TAGTGAGTGCGGCTGCGGCCTCTT</t>
  </si>
  <si>
    <t xml:space="preserve">AAACAAGAGGCCGCAGCCGCACTC</t>
  </si>
  <si>
    <t xml:space="preserve">GCCGATATCGGTCTCGACCG</t>
  </si>
  <si>
    <t xml:space="preserve">TAGTGCCGATATCGGTCTCGACCG</t>
  </si>
  <si>
    <t xml:space="preserve">AAACCGGTCGAGACCGATATCGGC</t>
  </si>
  <si>
    <t xml:space="preserve">PST_0713</t>
  </si>
  <si>
    <t xml:space="preserve">dnaG</t>
  </si>
  <si>
    <t xml:space="preserve">TGAGGGATCAGTCCGGCCAT</t>
  </si>
  <si>
    <t xml:space="preserve">TAGTTGAGGGATCAGTCCGGCCAT</t>
  </si>
  <si>
    <t xml:space="preserve">AAACATGGCCGGACTGATCCCTCA</t>
  </si>
  <si>
    <t xml:space="preserve">GTTGAGCAGGTCATCGATGA</t>
  </si>
  <si>
    <t xml:space="preserve">TAGTGTTGAGCAGGTCATCGATGA</t>
  </si>
  <si>
    <t xml:space="preserve">AAACTCATCGATGACCTGCTCAAC</t>
  </si>
  <si>
    <t xml:space="preserve">CCACTTCGACGATGTCGGAG</t>
  </si>
  <si>
    <t xml:space="preserve">TAGTCCACTTCGACGATGTCGGAG</t>
  </si>
  <si>
    <t xml:space="preserve">AAACCTCCGACATCGTCGAAGTGG</t>
  </si>
  <si>
    <t xml:space="preserve">TCTTGCCGGTCTTCTTCAGC</t>
  </si>
  <si>
    <t xml:space="preserve">TAGTTCTTGCCGGTCTTCTTCAGC</t>
  </si>
  <si>
    <t xml:space="preserve">AAACGCTGAAGAAGACCGGCAAGA</t>
  </si>
  <si>
    <t xml:space="preserve">PST_0714</t>
  </si>
  <si>
    <t xml:space="preserve">rpsU</t>
  </si>
  <si>
    <t xml:space="preserve">TTCTCTTTAACTTTGACAGC</t>
  </si>
  <si>
    <t xml:space="preserve">TAGTTTCTCTTTAACTTTGACAGC</t>
  </si>
  <si>
    <t xml:space="preserve">AAACGCTGTCAAAGTTAAAGAGAA</t>
  </si>
  <si>
    <t xml:space="preserve">CGACGCAGTGCTACGTCGAA</t>
  </si>
  <si>
    <t xml:space="preserve">TAGTCGACGCAGTGCTACGTCGAA</t>
  </si>
  <si>
    <t xml:space="preserve">AAACTTCGACGTAGCACTGCGTCG</t>
  </si>
  <si>
    <t xml:space="preserve">CAGAACGCCGGCTTTTTCGC</t>
  </si>
  <si>
    <t xml:space="preserve">TAGTCAGAACGCCGGCTTTTTCGC</t>
  </si>
  <si>
    <t xml:space="preserve">AAACGCGAAAAAGCCGGCGTTCTG</t>
  </si>
  <si>
    <t xml:space="preserve">GAACTCACGCGAACGGACTT</t>
  </si>
  <si>
    <t xml:space="preserve">TAGTGAACTCACGCGAACGGACTT</t>
  </si>
  <si>
    <t xml:space="preserve">AAACAAGTCCGTTCGCGTGAGTTC</t>
  </si>
  <si>
    <t xml:space="preserve">PST_0715</t>
  </si>
  <si>
    <t xml:space="preserve">gcp</t>
  </si>
  <si>
    <t xml:space="preserve">TTGCATTCCGCCATTGGAGC</t>
  </si>
  <si>
    <t xml:space="preserve">TAGTTTGCATTCCGCCATTGGAGC</t>
  </si>
  <si>
    <t xml:space="preserve">AAACGCTCCAATGGCGGAATGCAA</t>
  </si>
  <si>
    <t xml:space="preserve">GACCAGCGCTTTTCGATCAG</t>
  </si>
  <si>
    <t xml:space="preserve">TAGTGACCAGCGCTTTTCGATCAG</t>
  </si>
  <si>
    <t xml:space="preserve">AAACCTGATCGAAAAGCGCTGGTC</t>
  </si>
  <si>
    <t xml:space="preserve">AGCCGTGCATATTAATCGTC</t>
  </si>
  <si>
    <t xml:space="preserve">TAGTAGCCGTGCATATTAATCGTC</t>
  </si>
  <si>
    <t xml:space="preserve">AAACGACGATTAATATGCACGGCT</t>
  </si>
  <si>
    <t xml:space="preserve">CATGGGTTCAACCTTCCGGA</t>
  </si>
  <si>
    <t xml:space="preserve">TAGTCATGGGTTCAACCTTCCGGA</t>
  </si>
  <si>
    <t xml:space="preserve">AAACTCCGGAAGGTTGAACCCATG</t>
  </si>
  <si>
    <t xml:space="preserve">PST_0716</t>
  </si>
  <si>
    <t xml:space="preserve">CGAGGTCAGCAGCCAGAACA</t>
  </si>
  <si>
    <t xml:space="preserve">TAGTCGAGGTCAGCAGCCAGAACA</t>
  </si>
  <si>
    <t xml:space="preserve">AAACTGTTCTGGCTGCTGACCTCG</t>
  </si>
  <si>
    <t xml:space="preserve">CGAATGACAGCGAGCCGATC</t>
  </si>
  <si>
    <t xml:space="preserve">TAGTCGAATGACAGCGAGCCGATC</t>
  </si>
  <si>
    <t xml:space="preserve">AAACGATCGGCTCGCTGTCATTCG</t>
  </si>
  <si>
    <t xml:space="preserve">GGCCAGGCGGCTGAGCAGTA</t>
  </si>
  <si>
    <t xml:space="preserve">TAGTGGCCAGGCGGCTGAGCAGTA</t>
  </si>
  <si>
    <t xml:space="preserve">AAACTACTGCTCAGCCGCCTGGCC</t>
  </si>
  <si>
    <t xml:space="preserve">GGCGCGCGGGTCGGGTATCC</t>
  </si>
  <si>
    <t xml:space="preserve">TAGTGGCGCGCGGGTCGGGTATCC</t>
  </si>
  <si>
    <t xml:space="preserve">AAACGGATACCCGACCCGCGCGCC</t>
  </si>
  <si>
    <t xml:space="preserve">PST_0717</t>
  </si>
  <si>
    <t xml:space="preserve">folB-1</t>
  </si>
  <si>
    <t xml:space="preserve">CGATCACCGTATCCACTTCC</t>
  </si>
  <si>
    <t xml:space="preserve">TAGTCGATCACCGTATCCACTTCC</t>
  </si>
  <si>
    <t xml:space="preserve">AAACGGAAGTGGATACGGTGATCG</t>
  </si>
  <si>
    <t xml:space="preserve">GATGCCGCGCTCCCAATCAT</t>
  </si>
  <si>
    <t xml:space="preserve">TAGTGATGCCGCGCTCCCAATCAT</t>
  </si>
  <si>
    <t xml:space="preserve">AAACATGATTGGGAGCGCGGCATC</t>
  </si>
  <si>
    <t xml:space="preserve">GGTCCAACTGCAGGCACTGC</t>
  </si>
  <si>
    <t xml:space="preserve">TAGTGGTCCAACTGCAGGCACTGC</t>
  </si>
  <si>
    <t xml:space="preserve">AAACGCAGTGCCTGCAGTTGGACC</t>
  </si>
  <si>
    <t xml:space="preserve">GGATGTCCCAGCCCAGCGCC</t>
  </si>
  <si>
    <t xml:space="preserve">TAGTGGATGTCCCAGCCCAGCGCC</t>
  </si>
  <si>
    <t xml:space="preserve">AAACGGCGCTGGGCTGGGACATCC</t>
  </si>
  <si>
    <t xml:space="preserve">PST_0718</t>
  </si>
  <si>
    <t xml:space="preserve">folK-1</t>
  </si>
  <si>
    <t xml:space="preserve">CTGCCCAGGCCGAGCAGCAC</t>
  </si>
  <si>
    <t xml:space="preserve">TAGTCTGCCCAGGCCGAGCAGCAC</t>
  </si>
  <si>
    <t xml:space="preserve">AAACGTGCTGCTCGGCCTGGGCAG</t>
  </si>
  <si>
    <t xml:space="preserve">CATGCAGGTGAGGTTCACGC</t>
  </si>
  <si>
    <t xml:space="preserve">TAGTCATGCAGGTGAGGTTCACGC</t>
  </si>
  <si>
    <t xml:space="preserve">AAACGCGTGAACCTCACCTGCATG</t>
  </si>
  <si>
    <t xml:space="preserve">ACAGCTCGGCCAGCGCATCG</t>
  </si>
  <si>
    <t xml:space="preserve">TAGTACAGCTCGGCCAGCGCATCG</t>
  </si>
  <si>
    <t xml:space="preserve">AAACCGATGCGCTGGCCGAGCTGT</t>
  </si>
  <si>
    <t xml:space="preserve">ACCGCCAGGCTCTCGAACAC</t>
  </si>
  <si>
    <t xml:space="preserve">TAGTACCGCCAGGCTCTCGAACAC</t>
  </si>
  <si>
    <t xml:space="preserve">AAACGTGTTCGAGAGCCTGGCGGT</t>
  </si>
  <si>
    <t xml:space="preserve">PST_0719</t>
  </si>
  <si>
    <t xml:space="preserve">cca</t>
  </si>
  <si>
    <t xml:space="preserve">GCGGGCGTTGCCCGCGACGT</t>
  </si>
  <si>
    <t xml:space="preserve">TAGTGCGGGCGTTGCCCGCGACGT</t>
  </si>
  <si>
    <t xml:space="preserve">AAACACGTCGCGGGCAACGCCCGC</t>
  </si>
  <si>
    <t xml:space="preserve">ACAGATTGGTGCTGAGGAAG</t>
  </si>
  <si>
    <t xml:space="preserve">TAGTACAGATTGGTGCTGAGGAAG</t>
  </si>
  <si>
    <t xml:space="preserve">AAACCTTCCTCAGCACCAATCTGT</t>
  </si>
  <si>
    <t xml:space="preserve">GATAAAGGATATCGGCCGTA</t>
  </si>
  <si>
    <t xml:space="preserve">TAGTGATAAAGGATATCGGCCGTA</t>
  </si>
  <si>
    <t xml:space="preserve">AAACTACGGCCGATATCCTTTATC</t>
  </si>
  <si>
    <t xml:space="preserve">AACCACCTCCGTAGGCGCGG</t>
  </si>
  <si>
    <t xml:space="preserve">TAGTAACCACCTCCGTAGGCGCGG</t>
  </si>
  <si>
    <t xml:space="preserve">AAACCCGCGCCTACGGAGGTGGTT</t>
  </si>
  <si>
    <t xml:space="preserve">PST_0720</t>
  </si>
  <si>
    <t xml:space="preserve">CATTCCGAGCCGGTGGAAAT</t>
  </si>
  <si>
    <t xml:space="preserve">TAGTCATTCCGAGCCGGTGGAAAT</t>
  </si>
  <si>
    <t xml:space="preserve">AAACATTTCCACCGGCTCGGAATG</t>
  </si>
  <si>
    <t xml:space="preserve">GTACTGCCGGATCAGGTCGA</t>
  </si>
  <si>
    <t xml:space="preserve">TAGTGTACTGCCGGATCAGGTCGA</t>
  </si>
  <si>
    <t xml:space="preserve">AAACTCGACCTGATCCGGCAGTAC</t>
  </si>
  <si>
    <t xml:space="preserve">CGGCGATGCGGCCGATCTCG</t>
  </si>
  <si>
    <t xml:space="preserve">TAGTCGGCGATGCGGCCGATCTCG</t>
  </si>
  <si>
    <t xml:space="preserve">AAACCGAGATCGGCCGCATCGCCG</t>
  </si>
  <si>
    <t xml:space="preserve">GGTATCCAGCGCGTAGCGTT</t>
  </si>
  <si>
    <t xml:space="preserve">TAGTGGTATCCAGCGCGTAGCGTT</t>
  </si>
  <si>
    <t xml:space="preserve">AAACAACGCTACGCGCTGGATACC</t>
  </si>
  <si>
    <t xml:space="preserve">PST_0721</t>
  </si>
  <si>
    <t xml:space="preserve">CGGTCGATTACGTAGCTCAT</t>
  </si>
  <si>
    <t xml:space="preserve">TAGTCGGTCGATTACGTAGCTCAT</t>
  </si>
  <si>
    <t xml:space="preserve">AAACATGAGCTACGTAATCGACCG</t>
  </si>
  <si>
    <t xml:space="preserve">TGTTCTTGCCATTCAGGCGA</t>
  </si>
  <si>
    <t xml:space="preserve">TAGTTGTTCTTGCCATTCAGGCGA</t>
  </si>
  <si>
    <t xml:space="preserve">AAACTCGCCTGAATGGCAAGAACA</t>
  </si>
  <si>
    <t xml:space="preserve">ACCGCTGCAGGAAGCGCTGG</t>
  </si>
  <si>
    <t xml:space="preserve">TAGTACCGCTGCAGGAAGCGCTGG</t>
  </si>
  <si>
    <t xml:space="preserve">AAACCCAGCGCTTCCTGCAGCGGT</t>
  </si>
  <si>
    <t xml:space="preserve">CCGCTTTCTTGATGTGCCCA</t>
  </si>
  <si>
    <t xml:space="preserve">TAGTCCGCTTTCTTGATGTGCCCA</t>
  </si>
  <si>
    <t xml:space="preserve">AAACTGGGCACATCAAGAAAGCGG</t>
  </si>
  <si>
    <t xml:space="preserve">PST_0722</t>
  </si>
  <si>
    <t xml:space="preserve">prkA</t>
  </si>
  <si>
    <t xml:space="preserve">GTGGAAGTGTCCACCAGTTC</t>
  </si>
  <si>
    <t xml:space="preserve">TAGTGTGGAAGTGTCCACCAGTTC</t>
  </si>
  <si>
    <t xml:space="preserve">AAACGAACTGGTGGACACTTCCAC</t>
  </si>
  <si>
    <t xml:space="preserve">GATGCGCGACAGTCGTGGGT</t>
  </si>
  <si>
    <t xml:space="preserve">TAGTGATGCGCGACAGTCGTGGGT</t>
  </si>
  <si>
    <t xml:space="preserve">AAACACCCACGACTGTCGCGCATC</t>
  </si>
  <si>
    <t xml:space="preserve">ATAACGGCGGATCACCTTGT</t>
  </si>
  <si>
    <t xml:space="preserve">TAGTATAACGGCGGATCACCTTGT</t>
  </si>
  <si>
    <t xml:space="preserve">AAACACAAGGTGATCCGCCGTTAT</t>
  </si>
  <si>
    <t xml:space="preserve">CCATGGAAATCCTCGAAGGC</t>
  </si>
  <si>
    <t xml:space="preserve">TAGTCCATGGAAATCCTCGAAGGC</t>
  </si>
  <si>
    <t xml:space="preserve">AAACGCCTTCGAGGATTTCCATGG</t>
  </si>
  <si>
    <t xml:space="preserve">PST_0723</t>
  </si>
  <si>
    <t xml:space="preserve">CGGCGGGATGCGTTTGAAGT</t>
  </si>
  <si>
    <t xml:space="preserve">TAGTCGGCGGGATGCGTTTGAAGT</t>
  </si>
  <si>
    <t xml:space="preserve">AAACACTTCAAACGCATCCCGCCG</t>
  </si>
  <si>
    <t xml:space="preserve">CGCATGGCGTGGGCCTGTTC</t>
  </si>
  <si>
    <t xml:space="preserve">TAGTCGCATGGCGTGGGCCTGTTC</t>
  </si>
  <si>
    <t xml:space="preserve">AAACGAACAGGCCCACGCCATGCG</t>
  </si>
  <si>
    <t xml:space="preserve">TGGCGAAGCTGTGCGGGTCG</t>
  </si>
  <si>
    <t xml:space="preserve">TAGTTGGCGAAGCTGTGCGGGTCG</t>
  </si>
  <si>
    <t xml:space="preserve">AAACCGACCCGCACAGCTTCGCCA</t>
  </si>
  <si>
    <t xml:space="preserve">CGAGCCGCTGATATGGCCGT</t>
  </si>
  <si>
    <t xml:space="preserve">TAGTCGAGCCGCTGATATGGCCGT</t>
  </si>
  <si>
    <t xml:space="preserve">AAACACGGCCATATCAGCGGCTCG</t>
  </si>
  <si>
    <t xml:space="preserve">PST_0724</t>
  </si>
  <si>
    <t xml:space="preserve">apaH</t>
  </si>
  <si>
    <t xml:space="preserve">CAGGTCGCCGACGGCATAGG</t>
  </si>
  <si>
    <t xml:space="preserve">TAGTCAGGTCGCCGACGGCATAGG</t>
  </si>
  <si>
    <t xml:space="preserve">AAACCCTATGCCGTCGGCGACCTG</t>
  </si>
  <si>
    <t xml:space="preserve">GAAGGCAGGTCAGGGGTTCG</t>
  </si>
  <si>
    <t xml:space="preserve">TAGTGAAGGCAGGTCAGGGGTTCG</t>
  </si>
  <si>
    <t xml:space="preserve">AAACCGAACCCCTGACCTGCCTTC</t>
  </si>
  <si>
    <t xml:space="preserve">GCCACAGGCAATCCCGCGAG</t>
  </si>
  <si>
    <t xml:space="preserve">TAGTGCCACAGGCAATCCCGCGAG</t>
  </si>
  <si>
    <t xml:space="preserve">AAACCTCGCGGGATTGCCTGTGGC</t>
  </si>
  <si>
    <t xml:space="preserve">GCCGCGGTTGACCAGATCAC</t>
  </si>
  <si>
    <t xml:space="preserve">TAGTGCCGCGGTTGACCAGATCAC</t>
  </si>
  <si>
    <t xml:space="preserve">AAACGTGATCTGGTCAACCGCGGC</t>
  </si>
  <si>
    <t xml:space="preserve">PST_0725</t>
  </si>
  <si>
    <t xml:space="preserve">apaG</t>
  </si>
  <si>
    <t xml:space="preserve">GTAGCGTGGGTCTTCGGTCA</t>
  </si>
  <si>
    <t xml:space="preserve">TAGTGTAGCGTGGGTCTTCGGTCA</t>
  </si>
  <si>
    <t xml:space="preserve">AAACTGACCGAAGACCCACGCTAC</t>
  </si>
  <si>
    <t xml:space="preserve">GCGTGACGCTGACGTCGATG</t>
  </si>
  <si>
    <t xml:space="preserve">TAGTGCGTGACGCTGACGTCGATG</t>
  </si>
  <si>
    <t xml:space="preserve">AAACCATCGACGTCAGCGTCACGC</t>
  </si>
  <si>
    <t xml:space="preserve">GATTGCGCGGCCAGATAGCG</t>
  </si>
  <si>
    <t xml:space="preserve">TAGTGATTGCGCGGCCAGATAGCG</t>
  </si>
  <si>
    <t xml:space="preserve">AAACCGCTATCTGGCCGCGCAATC</t>
  </si>
  <si>
    <t xml:space="preserve">ATAGCGGTTTTGTTCCGGCT</t>
  </si>
  <si>
    <t xml:space="preserve">TAGTATAGCGGTTTTGTTCCGGCT</t>
  </si>
  <si>
    <t xml:space="preserve">AAACAGCCGGAACAAAACCGCTAT</t>
  </si>
  <si>
    <t xml:space="preserve">PST_0726</t>
  </si>
  <si>
    <t xml:space="preserve">ksgA</t>
  </si>
  <si>
    <t xml:space="preserve">GCGCGCGCGGTGTTGGTAGT</t>
  </si>
  <si>
    <t xml:space="preserve">TAGTGCGCGCGCGGTGTTGGTAGT</t>
  </si>
  <si>
    <t xml:space="preserve">AAACACTACCAACACCGCGCGCGC</t>
  </si>
  <si>
    <t xml:space="preserve">CGGCGTCGTGCAGGAAGTTC</t>
  </si>
  <si>
    <t xml:space="preserve">TAGTCGGCGTCGTGCAGGAAGTTC</t>
  </si>
  <si>
    <t xml:space="preserve">AAACGAACTTCCTGCACGACGCCG</t>
  </si>
  <si>
    <t xml:space="preserve">CAGAATGCGGTGGATCACGC</t>
  </si>
  <si>
    <t xml:space="preserve">TAGTCAGAATGCGGTGGATCACGC</t>
  </si>
  <si>
    <t xml:space="preserve">AAACGCGTGATCCACCGCATTCTG</t>
  </si>
  <si>
    <t xml:space="preserve">GTCGCTCACCCGGCTTGGCG</t>
  </si>
  <si>
    <t xml:space="preserve">TAGTGTCGCTCACCCGGCTTGGCG</t>
  </si>
  <si>
    <t xml:space="preserve">AAACCGCCAAGCCGGGTGAGCGAC</t>
  </si>
  <si>
    <t xml:space="preserve">PST_0727</t>
  </si>
  <si>
    <t xml:space="preserve">pdxA</t>
  </si>
  <si>
    <t xml:space="preserve">AGAACGAAGGGGCGGGACGT</t>
  </si>
  <si>
    <t xml:space="preserve">TAGTAGAACGAAGGGGCGGGACGT</t>
  </si>
  <si>
    <t xml:space="preserve">AAACACGTCCCGCCCCTTCGTTCT</t>
  </si>
  <si>
    <t xml:space="preserve">CCGATGCCGGCCGGTTCGCC</t>
  </si>
  <si>
    <t xml:space="preserve">TAGTCCGATGCCGGCCGGTTCGCC</t>
  </si>
  <si>
    <t xml:space="preserve">AAACGGCGAACCGGCCGGCATCGG</t>
  </si>
  <si>
    <t xml:space="preserve">CCAGCAACAGGCACAGATCC</t>
  </si>
  <si>
    <t xml:space="preserve">TAGTCCAGCAACAGGCACAGATCC</t>
  </si>
  <si>
    <t xml:space="preserve">AAACGGATCTGTGCCTGTTGCTGG</t>
  </si>
  <si>
    <t xml:space="preserve">CCAGTGGCCGCGGTTGCGCC</t>
  </si>
  <si>
    <t xml:space="preserve">TAGTCCAGTGGCCGCGGTTGCGCC</t>
  </si>
  <si>
    <t xml:space="preserve">AAACGGCGCAACCGCGGCCACTGG</t>
  </si>
  <si>
    <t xml:space="preserve">PST_0728</t>
  </si>
  <si>
    <t xml:space="preserve">surA</t>
  </si>
  <si>
    <t xml:space="preserve">GCAGTGCGCCGAGCGCGAGC</t>
  </si>
  <si>
    <t xml:space="preserve">TAGTGCAGTGCGCCGAGCGCGAGC</t>
  </si>
  <si>
    <t xml:space="preserve">AAACGCTCGCGCTCGGCGCACTGC</t>
  </si>
  <si>
    <t xml:space="preserve">GGGCGAGGGCCGCAGGCGCG</t>
  </si>
  <si>
    <t xml:space="preserve">TAGTGGGCGAGGGCCGCAGGCGCG</t>
  </si>
  <si>
    <t xml:space="preserve">AAACCGCGCCTGCGGCCCTCGCCC</t>
  </si>
  <si>
    <t xml:space="preserve">GCGATCCAGTGGTTGAACCT</t>
  </si>
  <si>
    <t xml:space="preserve">TAGTGCGATCCAGTGGTTGAACCT</t>
  </si>
  <si>
    <t xml:space="preserve">AAACAGGTTCAACCACTGGATCGC</t>
  </si>
  <si>
    <t xml:space="preserve">CGCGCATGCGCTGATTCAAC</t>
  </si>
  <si>
    <t xml:space="preserve">TAGTCGCGCATGCGCTGATTCAAC</t>
  </si>
  <si>
    <t xml:space="preserve">AAACGTTGAATCAGCGCATGCGCG</t>
  </si>
  <si>
    <t xml:space="preserve">PST_0729</t>
  </si>
  <si>
    <t xml:space="preserve">ostA</t>
  </si>
  <si>
    <t xml:space="preserve">TGTTTTTTGGTCCGTGCTTG</t>
  </si>
  <si>
    <t xml:space="preserve">TAGTTGTTTTTTGGTCCGTGCTTG</t>
  </si>
  <si>
    <t xml:space="preserve">AAACCAAGCACGGACCAAAAAACA</t>
  </si>
  <si>
    <t xml:space="preserve">GGAATTTTTTACGAAACGCG</t>
  </si>
  <si>
    <t xml:space="preserve">TAGTGGAATTTTTTACGAAACGCG</t>
  </si>
  <si>
    <t xml:space="preserve">AAACCGCGTTTCGTAAAAAATTCC</t>
  </si>
  <si>
    <t xml:space="preserve">GACCGCCAGTAACCAATAGA</t>
  </si>
  <si>
    <t xml:space="preserve">TAGTGACCGCCAGTAACCAATAGA</t>
  </si>
  <si>
    <t xml:space="preserve">AAACTCTATTGGTTACTGGCGGTC</t>
  </si>
  <si>
    <t xml:space="preserve">AAAACAAAAGGAACAGCTAC</t>
  </si>
  <si>
    <t xml:space="preserve">TAGTAAAACAAAAGGAACAGCTAC</t>
  </si>
  <si>
    <t xml:space="preserve">AAACGTAGCTGTTCCTTTTGTTTT</t>
  </si>
  <si>
    <t xml:space="preserve">PST_0730</t>
  </si>
  <si>
    <t xml:space="preserve">AGCAGACGTTGATCTTGATG</t>
  </si>
  <si>
    <t xml:space="preserve">TAGTAGCAGACGTTGATCTTGATG</t>
  </si>
  <si>
    <t xml:space="preserve">AAACCATCAAGATCAACGTCTGCT</t>
  </si>
  <si>
    <t xml:space="preserve">GCTGGTCCAGCCAGGCGCTG</t>
  </si>
  <si>
    <t xml:space="preserve">TAGTGCTGGTCCAGCCAGGCGCTG</t>
  </si>
  <si>
    <t xml:space="preserve">AAACCAGCGCCTGGCTGGACCAGC</t>
  </si>
  <si>
    <t xml:space="preserve">CCGCAACGGGCGAAGAGTTC</t>
  </si>
  <si>
    <t xml:space="preserve">TAGTCCGCAACGGGCGAAGAGTTC</t>
  </si>
  <si>
    <t xml:space="preserve">AAACGAACTCTTCGCCCGTTGCGG</t>
  </si>
  <si>
    <t xml:space="preserve">GCCGCGGTGAGCTCCGCGGT</t>
  </si>
  <si>
    <t xml:space="preserve">TAGTGCCGCGGTGAGCTCCGCGGT</t>
  </si>
  <si>
    <t xml:space="preserve">AAACACCGCGGAGCTCACCGCGGC</t>
  </si>
  <si>
    <t xml:space="preserve">PST_0731</t>
  </si>
  <si>
    <t xml:space="preserve">CTTGCCCGCGGCGAGGATCA</t>
  </si>
  <si>
    <t xml:space="preserve">TAGTCTTGCCCGCGGCGAGGATCA</t>
  </si>
  <si>
    <t xml:space="preserve">AAACTGATCCTCGCCGCGGGCAAG</t>
  </si>
  <si>
    <t xml:space="preserve">TGTGCATGGTCAAGGGGCGC</t>
  </si>
  <si>
    <t xml:space="preserve">TAGTTGTGCATGGTCAAGGGGCGC</t>
  </si>
  <si>
    <t xml:space="preserve">AAACGCGCCCCTTGACCATGCACA</t>
  </si>
  <si>
    <t xml:space="preserve">GGCGGCGCGCACCAGCGGCT</t>
  </si>
  <si>
    <t xml:space="preserve">TAGTGGCGGCGCGCACCAGCGGCT</t>
  </si>
  <si>
    <t xml:space="preserve">AAACAGCCGCTGGTGCGCGCCGCC</t>
  </si>
  <si>
    <t xml:space="preserve">ATACTCGATCAGCGGCACGC</t>
  </si>
  <si>
    <t xml:space="preserve">TAGTATACTCGATCAGCGGCACGC</t>
  </si>
  <si>
    <t xml:space="preserve">AAACGCGTGCCGCTGATCGAGTAT</t>
  </si>
  <si>
    <t xml:space="preserve">PST_0732</t>
  </si>
  <si>
    <t xml:space="preserve">djlA</t>
  </si>
  <si>
    <t xml:space="preserve">AACAGCCCCAGCAGGGTAAT</t>
  </si>
  <si>
    <t xml:space="preserve">TAGTAACAGCCCCAGCAGGGTAAT</t>
  </si>
  <si>
    <t xml:space="preserve">AAACATTACCCTGCTGGGGCTGTT</t>
  </si>
  <si>
    <t xml:space="preserve">GAGCAGGGCACCGGGAATGC</t>
  </si>
  <si>
    <t xml:space="preserve">TAGTGAGCAGGGCACCGGGAATGC</t>
  </si>
  <si>
    <t xml:space="preserve">AAACGCATTCCCGGTGCCCTGCTC</t>
  </si>
  <si>
    <t xml:space="preserve">CCAGACGGCGATCCAGCACC</t>
  </si>
  <si>
    <t xml:space="preserve">TAGTCCAGACGGCGATCCAGCACC</t>
  </si>
  <si>
    <t xml:space="preserve">AAACGGTGCTGGATCGCCGTCTGG</t>
  </si>
  <si>
    <t xml:space="preserve">TGCCGGCCAGCCGCTCGCGC</t>
  </si>
  <si>
    <t xml:space="preserve">TAGTTGCCGGCCAGCCGCTCGCGC</t>
  </si>
  <si>
    <t xml:space="preserve">AAACGCGCGAGCGGCTGGCCGGCA</t>
  </si>
  <si>
    <t xml:space="preserve">PST_0733</t>
  </si>
  <si>
    <t xml:space="preserve">AAAGCGGGCAGGCGGCACAT</t>
  </si>
  <si>
    <t xml:space="preserve">TAGTAAAGCGGGCAGGCGGCACAT</t>
  </si>
  <si>
    <t xml:space="preserve">AAACATGTGCCGCCTGCCCGCTTT</t>
  </si>
  <si>
    <t xml:space="preserve">GGGCCTGAGCAACAGACGGC</t>
  </si>
  <si>
    <t xml:space="preserve">TAGTGGGCCTGAGCAACAGACGGC</t>
  </si>
  <si>
    <t xml:space="preserve">AAACGCCGTCTGTTGCTCAGGCCC</t>
  </si>
  <si>
    <t xml:space="preserve">CTCGGCGGCTTCCGGCTCCT</t>
  </si>
  <si>
    <t xml:space="preserve">TAGTCTCGGCGGCTTCCGGCTCCT</t>
  </si>
  <si>
    <t xml:space="preserve">AAACAGGAGCCGGAAGCCGCCGAG</t>
  </si>
  <si>
    <t xml:space="preserve">CGGGAGGCTGGCTCATCCGC</t>
  </si>
  <si>
    <t xml:space="preserve">TAGTCGGGAGGCTGGCTCATCCGC</t>
  </si>
  <si>
    <t xml:space="preserve">AAACGCGGATGAGCCAGCCTCCCG</t>
  </si>
  <si>
    <t xml:space="preserve">PST_0734</t>
  </si>
  <si>
    <t xml:space="preserve">CGCTGGTCATATTCGGCATA</t>
  </si>
  <si>
    <t xml:space="preserve">TAGTCGCTGGTCATATTCGGCATA</t>
  </si>
  <si>
    <t xml:space="preserve">AAACTATGCCGAATATGACCAGCG</t>
  </si>
  <si>
    <t xml:space="preserve">GCTGCACATGGAATCCGGAC</t>
  </si>
  <si>
    <t xml:space="preserve">TAGTGCTGCACATGGAATCCGGAC</t>
  </si>
  <si>
    <t xml:space="preserve">AAACGTCCGGATTCCATGTGCAGC</t>
  </si>
  <si>
    <t xml:space="preserve">CAGCTGCACGCCGAGTTCGG</t>
  </si>
  <si>
    <t xml:space="preserve">TAGTCAGCTGCACGCCGAGTTCGG</t>
  </si>
  <si>
    <t xml:space="preserve">AAACCCGAACTCGGCGTGCAGCTG</t>
  </si>
  <si>
    <t xml:space="preserve">GTGCCGCCTCGTCGTTGAAG</t>
  </si>
  <si>
    <t xml:space="preserve">TAGTGTGCCGCCTCGTCGTTGAAG</t>
  </si>
  <si>
    <t xml:space="preserve">AAACCTTCAACGACGAGGCGGCAC</t>
  </si>
  <si>
    <t xml:space="preserve">PST_0735</t>
  </si>
  <si>
    <t xml:space="preserve">uhpA</t>
  </si>
  <si>
    <t xml:space="preserve">ACGGACGATGGTGTGATCCT</t>
  </si>
  <si>
    <t xml:space="preserve">TAGTACGGACGATGGTGTGATCCT</t>
  </si>
  <si>
    <t xml:space="preserve">AAACAGGATCACACCATCGTCCGT</t>
  </si>
  <si>
    <t xml:space="preserve">GAGCAACTGCTGGCCGTTGG</t>
  </si>
  <si>
    <t xml:space="preserve">TAGTGAGCAACTGCTGGCCGTTGG</t>
  </si>
  <si>
    <t xml:space="preserve">AAACCCAACGGCCAGCAGTTGCTC</t>
  </si>
  <si>
    <t xml:space="preserve">CGTTGACGCCGGGCATGGAA</t>
  </si>
  <si>
    <t xml:space="preserve">TAGTCGTTGACGCCGGGCATGGAA</t>
  </si>
  <si>
    <t xml:space="preserve">AAACTTCCATGCCCGGCGTCAACG</t>
  </si>
  <si>
    <t xml:space="preserve">GAATCCGTGGGATCGCCTCA</t>
  </si>
  <si>
    <t xml:space="preserve">TAGTGAATCCGTGGGATCGCCTCA</t>
  </si>
  <si>
    <t xml:space="preserve">AAACTGAGGCGATCCCACGGATTC</t>
  </si>
  <si>
    <t xml:space="preserve">PST_0736</t>
  </si>
  <si>
    <t xml:space="preserve">GGACGCCGCGAAAGCTCACC</t>
  </si>
  <si>
    <t xml:space="preserve">TAGTGGACGCCGCGAAAGCTCACC</t>
  </si>
  <si>
    <t xml:space="preserve">AAACGGTGAGCTTTCGCGGCGTCC</t>
  </si>
  <si>
    <t xml:space="preserve">ACTCGCCGTCATAACTCTTC</t>
  </si>
  <si>
    <t xml:space="preserve">TAGTACTCGCCGTCATAACTCTTC</t>
  </si>
  <si>
    <t xml:space="preserve">AAACGAAGAGTTATGACGGCGAGT</t>
  </si>
  <si>
    <t xml:space="preserve">ATTCGCCGCGGCGGATATCC</t>
  </si>
  <si>
    <t xml:space="preserve">TAGTATTCGCCGCGGCGGATATCC</t>
  </si>
  <si>
    <t xml:space="preserve">AAACGGATATCCGCCGCGGCGAAT</t>
  </si>
  <si>
    <t xml:space="preserve">CGGACGGCCCGAGCAGGGTG</t>
  </si>
  <si>
    <t xml:space="preserve">TAGTCGGACGGCCCGAGCAGGGTG</t>
  </si>
  <si>
    <t xml:space="preserve">AAACCACCCTGCTCGGGCCGTCCG</t>
  </si>
  <si>
    <t xml:space="preserve">PST_0737</t>
  </si>
  <si>
    <t xml:space="preserve">GCGCCAGCGCGGACAGTTTC</t>
  </si>
  <si>
    <t xml:space="preserve">TAGTGCGCCAGCGCGGACAGTTTC</t>
  </si>
  <si>
    <t xml:space="preserve">AAACGAAACTGTCCGCGCTGGCGC</t>
  </si>
  <si>
    <t xml:space="preserve">GTTCTCGGCAACCGCGTGCC</t>
  </si>
  <si>
    <t xml:space="preserve">TAGTGTTCTCGGCAACCGCGTGCC</t>
  </si>
  <si>
    <t xml:space="preserve">AAACGGCACGCGGTTGCCGAGAAC</t>
  </si>
  <si>
    <t xml:space="preserve">CGCCGAAGCTCACCGCAGTG</t>
  </si>
  <si>
    <t xml:space="preserve">TAGTCGCCGAAGCTCACCGCAGTG</t>
  </si>
  <si>
    <t xml:space="preserve">AAACCACTGCGGTGAGCTTCGGCG</t>
  </si>
  <si>
    <t xml:space="preserve">CTTCACCTGGGCCTGCTTGT</t>
  </si>
  <si>
    <t xml:space="preserve">TAGTCTTCACCTGGGCCTGCTTGT</t>
  </si>
  <si>
    <t xml:space="preserve">AAACACAAGCAGGCCCAGGTGAAG</t>
  </si>
  <si>
    <t xml:space="preserve">PST_0738</t>
  </si>
  <si>
    <t xml:space="preserve">CGCCGGCAGGGATATTGCTG</t>
  </si>
  <si>
    <t xml:space="preserve">TAGTCGCCGGCAGGGATATTGCTG</t>
  </si>
  <si>
    <t xml:space="preserve">AAACCAGCAATATCCCTGCCGGCG</t>
  </si>
  <si>
    <t xml:space="preserve">TCAGATTGGGCTCGGCGATC</t>
  </si>
  <si>
    <t xml:space="preserve">TAGTTCAGATTGGGCTCGGCGATC</t>
  </si>
  <si>
    <t xml:space="preserve">AAACGATCGCCGAGCCCAATCTGA</t>
  </si>
  <si>
    <t xml:space="preserve">CTTGAGCTTGTTCACCCGTT</t>
  </si>
  <si>
    <t xml:space="preserve">TAGTCTTGAGCTTGTTCACCCGTT</t>
  </si>
  <si>
    <t xml:space="preserve">AAACAACGGGTGAACAAGCTCAAG</t>
  </si>
  <si>
    <t xml:space="preserve">AGCAGCACGAACAGCAGCAG</t>
  </si>
  <si>
    <t xml:space="preserve">TAGTAGCAGCACGAACAGCAGCAG</t>
  </si>
  <si>
    <t xml:space="preserve">AAACCTGCTGCTGTTCGTGCTGCT</t>
  </si>
  <si>
    <t xml:space="preserve">PST_0739</t>
  </si>
  <si>
    <t xml:space="preserve">GCTCGACGGGCGACATGTAG</t>
  </si>
  <si>
    <t xml:space="preserve">TAGTGCTCGACGGGCGACATGTAG</t>
  </si>
  <si>
    <t xml:space="preserve">AAACCTACATGTCGCCCGTCGAGC</t>
  </si>
  <si>
    <t xml:space="preserve">GATGCGCAGAGCGTAGTACC</t>
  </si>
  <si>
    <t xml:space="preserve">TAGTGATGCGCAGAGCGTAGTACC</t>
  </si>
  <si>
    <t xml:space="preserve">AAACGGTACTACGCTCTGCGCATC</t>
  </si>
  <si>
    <t xml:space="preserve">ACAGCAGCACCAGCGCGCAG</t>
  </si>
  <si>
    <t xml:space="preserve">TAGTACAGCAGCACCAGCGCGCAG</t>
  </si>
  <si>
    <t xml:space="preserve">AAACCTGCGCGCTGGTGCTGCTGT</t>
  </si>
  <si>
    <t xml:space="preserve">GAACCGGAGTTGAACGACAG</t>
  </si>
  <si>
    <t xml:space="preserve">TAGTGAACCGGAGTTGAACGACAG</t>
  </si>
  <si>
    <t xml:space="preserve">AAACCTGTCGTTCAACTCCGGTTC</t>
  </si>
  <si>
    <t xml:space="preserve">PST_0740</t>
  </si>
  <si>
    <t xml:space="preserve">gabD-1</t>
  </si>
  <si>
    <t xml:space="preserve">GCCGTTTGGCGCAACAGATC</t>
  </si>
  <si>
    <t xml:space="preserve">TAGTGCCGTTTGGCGCAACAGATC</t>
  </si>
  <si>
    <t xml:space="preserve">AAACGATCTGTTGCGCCAAACGGC</t>
  </si>
  <si>
    <t xml:space="preserve">GCACCATTCACCGTTGAGAT</t>
  </si>
  <si>
    <t xml:space="preserve">TAGTGCACCATTCACCGTTGAGAT</t>
  </si>
  <si>
    <t xml:space="preserve">AAACATCTCAACGGTGAATGGTGC</t>
  </si>
  <si>
    <t xml:space="preserve">CTCGGTGCGCGCGCCACTGT</t>
  </si>
  <si>
    <t xml:space="preserve">TAGTCTCGGTGCGCGCGCCACTGT</t>
  </si>
  <si>
    <t xml:space="preserve">AAACACAGTGGCGCGCGCACCGAG</t>
  </si>
  <si>
    <t xml:space="preserve">CACGACGCCGATCAGCTCGC</t>
  </si>
  <si>
    <t xml:space="preserve">TAGTCACGACGCCGATCAGCTCGC</t>
  </si>
  <si>
    <t xml:space="preserve">AAACGCGAGCTGATCGGCGTCGTG</t>
  </si>
  <si>
    <t xml:space="preserve">PST_0741</t>
  </si>
  <si>
    <t xml:space="preserve">gabT</t>
  </si>
  <si>
    <t xml:space="preserve">CACGGGGAACGGCGGCGACA</t>
  </si>
  <si>
    <t xml:space="preserve">TAGTCACGGGGAACGGCGGCGACA</t>
  </si>
  <si>
    <t xml:space="preserve">AAACTGTCGCCGCCGTTCCCCGTG</t>
  </si>
  <si>
    <t xml:space="preserve">CGGCAAAGATCGGGTGGATC</t>
  </si>
  <si>
    <t xml:space="preserve">TAGTCGGCAAAGATCGGGTGGATC</t>
  </si>
  <si>
    <t xml:space="preserve">AAACGATCCACCCGATCTTTGCCG</t>
  </si>
  <si>
    <t xml:space="preserve">GCTGCTGTTCTTCGCGTGGT</t>
  </si>
  <si>
    <t xml:space="preserve">TAGTGCTGCTGTTCTTCGCGTGGT</t>
  </si>
  <si>
    <t xml:space="preserve">AAACACCACGCGAAGAACAGCAGC</t>
  </si>
  <si>
    <t xml:space="preserve">CGGCGAAATCGATGAACTCG</t>
  </si>
  <si>
    <t xml:space="preserve">TAGTCGGCGAAATCGATGAACTCG</t>
  </si>
  <si>
    <t xml:space="preserve">AAACCGAGTTCATCGATTTCGCCG</t>
  </si>
  <si>
    <t xml:space="preserve">PST_0742</t>
  </si>
  <si>
    <t xml:space="preserve">rpe</t>
  </si>
  <si>
    <t xml:space="preserve">ATGGACGATGTCGGCGCCGG</t>
  </si>
  <si>
    <t xml:space="preserve">TAGTATGGACGATGTCGGCGCCGG</t>
  </si>
  <si>
    <t xml:space="preserve">AAACCCGGCGCCGACATCGTCCAT</t>
  </si>
  <si>
    <t xml:space="preserve">TTGTGAGGTTGGGCACGTAG</t>
  </si>
  <si>
    <t xml:space="preserve">TAGTTTGTGAGGTTGGGCACGTAG</t>
  </si>
  <si>
    <t xml:space="preserve">AAACCTACGTGCCCAACCTCACAA</t>
  </si>
  <si>
    <t xml:space="preserve">GCAGCGCCGAGCAGACCATC</t>
  </si>
  <si>
    <t xml:space="preserve">TAGTGCAGCGCCGAGCAGACCATC</t>
  </si>
  <si>
    <t xml:space="preserve">AAACGATGGTCTGCTCGGCGCTGC</t>
  </si>
  <si>
    <t xml:space="preserve">CAGGTGCACGTCGATGGGCG</t>
  </si>
  <si>
    <t xml:space="preserve">TAGTCAGGTGCACGTCGATGGGCG</t>
  </si>
  <si>
    <t xml:space="preserve">AAACCGCCCATCGACGTGCACCTG</t>
  </si>
  <si>
    <t xml:space="preserve">PST_0743</t>
  </si>
  <si>
    <t xml:space="preserve">gph</t>
  </si>
  <si>
    <t xml:space="preserve">TGCCGTCGAACAGTTGCTCC</t>
  </si>
  <si>
    <t xml:space="preserve">TAGTTGCCGTCGAACAGTTGCTCC</t>
  </si>
  <si>
    <t xml:space="preserve">AAACGGAGCAACTGTTCGACGGCA</t>
  </si>
  <si>
    <t xml:space="preserve">AGATCGAACATCACCAGCCG</t>
  </si>
  <si>
    <t xml:space="preserve">TAGTAGATCGAACATCACCAGCCG</t>
  </si>
  <si>
    <t xml:space="preserve">AAACCGGCTGGTGATGTTCGATCT</t>
  </si>
  <si>
    <t xml:space="preserve">GTCCGGTACCGAGTCCATCA</t>
  </si>
  <si>
    <t xml:space="preserve">TAGTGTCCGGTACCGAGTCCATCA</t>
  </si>
  <si>
    <t xml:space="preserve">AAACTGATGGACTCGGTACCGGAC</t>
  </si>
  <si>
    <t xml:space="preserve">CAGCATCTTGTCCACTGCGG</t>
  </si>
  <si>
    <t xml:space="preserve">TAGTCAGCATCTTGTCCACTGCGG</t>
  </si>
  <si>
    <t xml:space="preserve">AAACCCGCAGTGGACAAGATGCTG</t>
  </si>
  <si>
    <t xml:space="preserve">PST_0744</t>
  </si>
  <si>
    <t xml:space="preserve">trpE</t>
  </si>
  <si>
    <t xml:space="preserve">GCGCCAGCGCCAACGGGCCA</t>
  </si>
  <si>
    <t xml:space="preserve">TAGTGCGCCAGCGCCAACGGGCCA</t>
  </si>
  <si>
    <t xml:space="preserve">AAACTGGCCCGTTGGCGCTGGCGC</t>
  </si>
  <si>
    <t xml:space="preserve">CTGGCCGGCAGGAAAAAGTC</t>
  </si>
  <si>
    <t xml:space="preserve">TAGTCTGGCCGGCAGGAAAAAGTC</t>
  </si>
  <si>
    <t xml:space="preserve">AAACGACTTTTTCCTGCCGGCCAG</t>
  </si>
  <si>
    <t xml:space="preserve">ACGAACAACGGCAAACGCGC</t>
  </si>
  <si>
    <t xml:space="preserve">TAGTACGAACAACGGCAAACGCGC</t>
  </si>
  <si>
    <t xml:space="preserve">AAACGCGCGTTTGCCGTTGTTCGT</t>
  </si>
  <si>
    <t xml:space="preserve">TCAGCCTCGTGGTCTGAGGA</t>
  </si>
  <si>
    <t xml:space="preserve">TAGTTCAGCCTCGTGGTCTGAGGA</t>
  </si>
  <si>
    <t xml:space="preserve">AAACTCCTCAGACCACGAGGCTGA</t>
  </si>
  <si>
    <t xml:space="preserve">PST_0745</t>
  </si>
  <si>
    <t xml:space="preserve">trpG</t>
  </si>
  <si>
    <t xml:space="preserve">CTGCACGACGTTGTAGGTAA</t>
  </si>
  <si>
    <t xml:space="preserve">TAGTCTGCACGACGTTGTAGGTAA</t>
  </si>
  <si>
    <t xml:space="preserve">AAACTTACCTACAACGTCGTGCAG</t>
  </si>
  <si>
    <t xml:space="preserve">CGGATTCAGCGCTTCGATTT</t>
  </si>
  <si>
    <t xml:space="preserve">TAGTCGGATTCAGCGCTTCGATTT</t>
  </si>
  <si>
    <t xml:space="preserve">AAACAAATCGAAGCGCTGAATCCG</t>
  </si>
  <si>
    <t xml:space="preserve">GGCGAGACGACGATACGCTC</t>
  </si>
  <si>
    <t xml:space="preserve">TAGTGGCGAGACGACGATACGCTC</t>
  </si>
  <si>
    <t xml:space="preserve">AAACGAGCGTATCGTCGTCTCGCC</t>
  </si>
  <si>
    <t xml:space="preserve">TCGTTCGGCGTGCACGGGCC</t>
  </si>
  <si>
    <t xml:space="preserve">TAGTTCGTTCGGCGTGCACGGGCC</t>
  </si>
  <si>
    <t xml:space="preserve">AAACGGCCCGTGCACGCCGAACGA</t>
  </si>
  <si>
    <t xml:space="preserve">PST_0746</t>
  </si>
  <si>
    <t xml:space="preserve">trpD</t>
  </si>
  <si>
    <t xml:space="preserve">CTGACCGACGATGCGGTTGA</t>
  </si>
  <si>
    <t xml:space="preserve">TAGTCTGACCGACGATGCGGTTGA</t>
  </si>
  <si>
    <t xml:space="preserve">AAACTCAACCGCATCGTCGGTCAG</t>
  </si>
  <si>
    <t xml:space="preserve">CCTGCATCTCTTCGGTGGTC</t>
  </si>
  <si>
    <t xml:space="preserve">TAGTCCTGCATCTCTTCGGTGGTC</t>
  </si>
  <si>
    <t xml:space="preserve">AAACGACCACCGAAGAGATGCAGG</t>
  </si>
  <si>
    <t xml:space="preserve">TGCACTGACCGGTCATGATC</t>
  </si>
  <si>
    <t xml:space="preserve">TAGTTGCACTGACCGGTCATGATC</t>
  </si>
  <si>
    <t xml:space="preserve">AAACGATCATGACCGGTCAGTGCA</t>
  </si>
  <si>
    <t xml:space="preserve">TCTTCATGCGCATGCCCATG</t>
  </si>
  <si>
    <t xml:space="preserve">TAGTTCTTCATGCGCATGCCCATG</t>
  </si>
  <si>
    <t xml:space="preserve">AAACCATGGGCATGCGCATGAAGA</t>
  </si>
  <si>
    <t xml:space="preserve">PST_0747</t>
  </si>
  <si>
    <t xml:space="preserve">trpC</t>
  </si>
  <si>
    <t xml:space="preserve">ATGATCTTCTCCAGCACGGT</t>
  </si>
  <si>
    <t xml:space="preserve">TAGTATGATCTTCTCCAGCACGGT</t>
  </si>
  <si>
    <t xml:space="preserve">AAACACCGTGCTGGAGAAGATCAT</t>
  </si>
  <si>
    <t xml:space="preserve">GCCGATTCGACGGCTGCGCT</t>
  </si>
  <si>
    <t xml:space="preserve">TAGTGCCGATTCGACGGCTGCGCT</t>
  </si>
  <si>
    <t xml:space="preserve">AAACAGCGCAGCCGTCGAATCGGC</t>
  </si>
  <si>
    <t xml:space="preserve">CCTGCTGCTCCAGCTCTGCC</t>
  </si>
  <si>
    <t xml:space="preserve">TAGTCCTGCTGCTCCAGCTCTGCC</t>
  </si>
  <si>
    <t xml:space="preserve">AAACGGCAGAGCTGGAGCAGCAGG</t>
  </si>
  <si>
    <t xml:space="preserve">CGCGAAGCCGCGCACCGGGT</t>
  </si>
  <si>
    <t xml:space="preserve">TAGTCGCGAAGCCGCGCACCGGGT</t>
  </si>
  <si>
    <t xml:space="preserve">AAACACCCGGTGCGCGGCTTCGCG</t>
  </si>
  <si>
    <t xml:space="preserve">PST_0748</t>
  </si>
  <si>
    <t xml:space="preserve">TCGGCACCCGCTGACCCGCC</t>
  </si>
  <si>
    <t xml:space="preserve">TAGTTCGGCACCCGCTGACCCGCC</t>
  </si>
  <si>
    <t xml:space="preserve">AAACGGCGGGTCAGCGGGTGCCGA</t>
  </si>
  <si>
    <t xml:space="preserve">CGTCAAAGGCAAGACCATGG</t>
  </si>
  <si>
    <t xml:space="preserve">TAGTCGTCAAAGGCAAGACCATGG</t>
  </si>
  <si>
    <t xml:space="preserve">AAACCCATGGTCTTGCCTTTGACG</t>
  </si>
  <si>
    <t xml:space="preserve">CTGAAGAGCCTGGAGTCGCA</t>
  </si>
  <si>
    <t xml:space="preserve">TAGTCTGAAGAGCCTGGAGTCGCA</t>
  </si>
  <si>
    <t xml:space="preserve">AAACTGCGACTCCAGGCTCTTCAG</t>
  </si>
  <si>
    <t xml:space="preserve">GGTTGCTCCCGCGAAATGGT</t>
  </si>
  <si>
    <t xml:space="preserve">TAGTGGTTGCTCCCGCGAAATGGT</t>
  </si>
  <si>
    <t xml:space="preserve">AAACACCATTTCGCGGGAGCAACC</t>
  </si>
  <si>
    <t xml:space="preserve">PST_0749</t>
  </si>
  <si>
    <t xml:space="preserve">CGGTGTCGCAACTTTGCTCT</t>
  </si>
  <si>
    <t xml:space="preserve">TAGTCGGTGTCGCAACTTTGCTCT</t>
  </si>
  <si>
    <t xml:space="preserve">AAACAGAGCAAAGTTGCGACACCG</t>
  </si>
  <si>
    <t xml:space="preserve">TGCGTTGACCCGCACGTTTC</t>
  </si>
  <si>
    <t xml:space="preserve">TAGTTGCGTTGACCCGCACGTTTC</t>
  </si>
  <si>
    <t xml:space="preserve">AAACGAAACGTGCGGGTCAACGCA</t>
  </si>
  <si>
    <t xml:space="preserve">GCGACAACACACACGACTAA</t>
  </si>
  <si>
    <t xml:space="preserve">TAGTGCGACAACACACACGACTAA</t>
  </si>
  <si>
    <t xml:space="preserve">AAACTTAGTCGTGTGTGTTGTCGC</t>
  </si>
  <si>
    <t xml:space="preserve">CAGAACAAATAGCTTAACAT</t>
  </si>
  <si>
    <t xml:space="preserve">TAGTCAGAACAAATAGCTTAACAT</t>
  </si>
  <si>
    <t xml:space="preserve">AAACATGTTAAGCTATTTGTTCTG</t>
  </si>
  <si>
    <t xml:space="preserve">PST_0750</t>
  </si>
  <si>
    <t xml:space="preserve">GGGGAGTAGTGGCGTTGGCT</t>
  </si>
  <si>
    <t xml:space="preserve">TAGTGGGGAGTAGTGGCGTTGGCT</t>
  </si>
  <si>
    <t xml:space="preserve">AAACAGCCAACGCCACTACTCCCC</t>
  </si>
  <si>
    <t xml:space="preserve">GCATGAGCAGTCGGTCGGCA</t>
  </si>
  <si>
    <t xml:space="preserve">TAGTGCATGAGCAGTCGGTCGGCA</t>
  </si>
  <si>
    <t xml:space="preserve">AAACTGCCGACCGACTGCTCATGC</t>
  </si>
  <si>
    <t xml:space="preserve">CAGCGTCCGTAATGCCGCAT</t>
  </si>
  <si>
    <t xml:space="preserve">TAGTCAGCGTCCGTAATGCCGCAT</t>
  </si>
  <si>
    <t xml:space="preserve">AAACATGCGGCATTACGGACGCTG</t>
  </si>
  <si>
    <t xml:space="preserve">GCGAGGGTTGACCGCTGAAC</t>
  </si>
  <si>
    <t xml:space="preserve">TAGTGCGAGGGTTGACCGCTGAAC</t>
  </si>
  <si>
    <t xml:space="preserve">AAACGTTCAGCGGTCAACCCTCGC</t>
  </si>
  <si>
    <t xml:space="preserve">PST_0751</t>
  </si>
  <si>
    <t xml:space="preserve">CAACGACCTTGGCGGGCAGA</t>
  </si>
  <si>
    <t xml:space="preserve">TAGTCAACGACCTTGGCGGGCAGA</t>
  </si>
  <si>
    <t xml:space="preserve">AAACTCTGCCCGCCAAGGTCGTTG</t>
  </si>
  <si>
    <t xml:space="preserve">GAAGAACAGGGCTGCCAGGA</t>
  </si>
  <si>
    <t xml:space="preserve">TAGTGAAGAACAGGGCTGCCAGGA</t>
  </si>
  <si>
    <t xml:space="preserve">AAACTCCTGGCAGCCCTGTTCTTC</t>
  </si>
  <si>
    <t xml:space="preserve">CCTCTTCACGGCGCAGCGCC</t>
  </si>
  <si>
    <t xml:space="preserve">TAGTCCTCTTCACGGCGCAGCGCC</t>
  </si>
  <si>
    <t xml:space="preserve">AAACGGCGCTGCGCCGTGAAGAGG</t>
  </si>
  <si>
    <t xml:space="preserve">AGGACGACAAGGTGCTCGCC</t>
  </si>
  <si>
    <t xml:space="preserve">TAGTAGGACGACAAGGTGCTCGCC</t>
  </si>
  <si>
    <t xml:space="preserve">AAACGGCGAGCACCTTGTCGTCCT</t>
  </si>
  <si>
    <t xml:space="preserve">PST_0752</t>
  </si>
  <si>
    <t xml:space="preserve">ACTGCCTCGAGAGGCATGTC</t>
  </si>
  <si>
    <t xml:space="preserve">TAGTACTGCCTCGAGAGGCATGTC</t>
  </si>
  <si>
    <t xml:space="preserve">AAACGACATGCCTCTCGAGGCAGT</t>
  </si>
  <si>
    <t xml:space="preserve">CTTGAATAGCGCTGCGAGAT</t>
  </si>
  <si>
    <t xml:space="preserve">TAGTCTTGAATAGCGCTGCGAGAT</t>
  </si>
  <si>
    <t xml:space="preserve">AAACATCTCGCAGCGCTATTCAAG</t>
  </si>
  <si>
    <t xml:space="preserve">GCGTTCCACCTTGCCGAGGT</t>
  </si>
  <si>
    <t xml:space="preserve">TAGTGCGTTCCACCTTGCCGAGGT</t>
  </si>
  <si>
    <t xml:space="preserve">AAACACCTCGGCAAGGTGGAACGC</t>
  </si>
  <si>
    <t xml:space="preserve">TGGCAGCCTCGCCACTGAAC</t>
  </si>
  <si>
    <t xml:space="preserve">TAGTTGGCAGCCTCGCCACTGAAC</t>
  </si>
  <si>
    <t xml:space="preserve">AAACGTTCAGTGGCGAGGCTGCCA</t>
  </si>
  <si>
    <t xml:space="preserve">PST_0754</t>
  </si>
  <si>
    <t xml:space="preserve">CGGATTGAATCCTTCGAAGG</t>
  </si>
  <si>
    <t xml:space="preserve">TAGTCGGATTGAATCCTTCGAAGG</t>
  </si>
  <si>
    <t xml:space="preserve">AAACCCTTCGAAGGATTCAATCCG</t>
  </si>
  <si>
    <t xml:space="preserve">TTGAGCCAGAGGTAAAGCAT</t>
  </si>
  <si>
    <t xml:space="preserve">TAGTTTGAGCCAGAGGTAAAGCAT</t>
  </si>
  <si>
    <t xml:space="preserve">AAACATGCTTTACCTCTGGCTCAA</t>
  </si>
  <si>
    <t xml:space="preserve">GCCGGCAAACCAGCAAACGA</t>
  </si>
  <si>
    <t xml:space="preserve">TAGTGCCGGCAAACCAGCAAACGA</t>
  </si>
  <si>
    <t xml:space="preserve">AAACTCGTTTGCTGGTTTGCCGGC</t>
  </si>
  <si>
    <t xml:space="preserve">GCGTGATAGACGAACAGGCG</t>
  </si>
  <si>
    <t xml:space="preserve">TAGTGCGTGATAGACGAACAGGCG</t>
  </si>
  <si>
    <t xml:space="preserve">AAACCGCCTGTTCGTCTATCACGC</t>
  </si>
  <si>
    <t xml:space="preserve">PST_0753</t>
  </si>
  <si>
    <t xml:space="preserve">argC</t>
  </si>
  <si>
    <t xml:space="preserve">TTGATCGCGGGCCAACCGTC</t>
  </si>
  <si>
    <t xml:space="preserve">TAGTTTGATCGCGGGCCAACCGTC</t>
  </si>
  <si>
    <t xml:space="preserve">AAACGACGGTTGGCCCGCGATCAA</t>
  </si>
  <si>
    <t xml:space="preserve">CCCTCGAACTGAAAACGTAA</t>
  </si>
  <si>
    <t xml:space="preserve">TAGTCCCTCGAACTGAAAACGTAA</t>
  </si>
  <si>
    <t xml:space="preserve">AAACTTACGTTTTCAGTTCGAGGG</t>
  </si>
  <si>
    <t xml:space="preserve">CCTGCGGATGCTGAGCGAGC</t>
  </si>
  <si>
    <t xml:space="preserve">TAGTCCTGCGGATGCTGAGCGAGC</t>
  </si>
  <si>
    <t xml:space="preserve">AAACGCTCGCTCAGCATCCGCAGG</t>
  </si>
  <si>
    <t xml:space="preserve">GGAGGTGATCACCACCACTT</t>
  </si>
  <si>
    <t xml:space="preserve">TAGTGGAGGTGATCACCACCACTT</t>
  </si>
  <si>
    <t xml:space="preserve">AAACAAGTGGTGGTGATCACCTCC</t>
  </si>
  <si>
    <t xml:space="preserve">PST_0755</t>
  </si>
  <si>
    <t xml:space="preserve">GTGAAGGATTCGACACTCAT</t>
  </si>
  <si>
    <t xml:space="preserve">TAGTGTGAAGGATTCGACACTCAT</t>
  </si>
  <si>
    <t xml:space="preserve">AAACATGAGTGTCGAATCCTTCAC</t>
  </si>
  <si>
    <t xml:space="preserve">TGACTGAACTGGATGGCGGT</t>
  </si>
  <si>
    <t xml:space="preserve">TAGTTGACTGAACTGGATGGCGGT</t>
  </si>
  <si>
    <t xml:space="preserve">AAACACCGCCATCCAGTTCAGTCA</t>
  </si>
  <si>
    <t xml:space="preserve">AAGACGCGCAGCTTCAGGCG</t>
  </si>
  <si>
    <t xml:space="preserve">TAGTAAGACGCGCAGCTTCAGGCG</t>
  </si>
  <si>
    <t xml:space="preserve">AAACCGCCTGAAGCTGCGCGTCTT</t>
  </si>
  <si>
    <t xml:space="preserve">CATCGAACGTGAAGCCATAC</t>
  </si>
  <si>
    <t xml:space="preserve">TAGTCATCGAACGTGAAGCCATAC</t>
  </si>
  <si>
    <t xml:space="preserve">AAACGTATGGCTTCACGTTCGATG</t>
  </si>
  <si>
    <t xml:space="preserve">PST_0756</t>
  </si>
  <si>
    <t xml:space="preserve">GAGGTCCACACCATCCAGGC</t>
  </si>
  <si>
    <t xml:space="preserve">TAGTGAGGTCCACACCATCCAGGC</t>
  </si>
  <si>
    <t xml:space="preserve">AAACGCCTGGATGGTGTGGACCTC</t>
  </si>
  <si>
    <t xml:space="preserve">GGCAAGCAGGCGAGTGTGGT</t>
  </si>
  <si>
    <t xml:space="preserve">TAGTGGCAAGCAGGCGAGTGTGGT</t>
  </si>
  <si>
    <t xml:space="preserve">AAACACCACACTCGCCTGCTTGCC</t>
  </si>
  <si>
    <t xml:space="preserve">AGGCATCGCCTGGTAGCGGG</t>
  </si>
  <si>
    <t xml:space="preserve">TAGTAGGCATCGCCTGGTAGCGGG</t>
  </si>
  <si>
    <t xml:space="preserve">AAACCCCGCTACCAGGCGATGCCT</t>
  </si>
  <si>
    <t xml:space="preserve">AGCTCCTGGCGGAGCTGGTC</t>
  </si>
  <si>
    <t xml:space="preserve">TAGTAGCTCCTGGCGGAGCTGGTC</t>
  </si>
  <si>
    <t xml:space="preserve">AAACGACCAGCTCCGCCAGGAGCT</t>
  </si>
  <si>
    <t xml:space="preserve">PST_0757</t>
  </si>
  <si>
    <t xml:space="preserve">TTCGGAGCTTTTGATTTGGA</t>
  </si>
  <si>
    <t xml:space="preserve">TAGTTTCGGAGCTTTTGATTTGGA</t>
  </si>
  <si>
    <t xml:space="preserve">AAACTCCAAATCAAAAGCTCCGAA</t>
  </si>
  <si>
    <t xml:space="preserve">CAGCCAGAAGATGGCTCTTG</t>
  </si>
  <si>
    <t xml:space="preserve">TAGTCAGCCAGAAGATGGCTCTTG</t>
  </si>
  <si>
    <t xml:space="preserve">AAACCAAGAGCCATCTTCTGGCTG</t>
  </si>
  <si>
    <t xml:space="preserve">ATGGGAATACGAGCAGCGCC</t>
  </si>
  <si>
    <t xml:space="preserve">TAGTATGGGAATACGAGCAGCGCC</t>
  </si>
  <si>
    <t xml:space="preserve">AAACGGCGCTGCTCGTATTCCCAT</t>
  </si>
  <si>
    <t xml:space="preserve">TTTCTTCGCTTCGACTTCAC</t>
  </si>
  <si>
    <t xml:space="preserve">TAGTTTTCTTCGCTTCGACTTCAC</t>
  </si>
  <si>
    <t xml:space="preserve">AAACGTGAAGTCGAAGCGAAGAAA</t>
  </si>
  <si>
    <t xml:space="preserve">PST_0758</t>
  </si>
  <si>
    <t xml:space="preserve">tyrS</t>
  </si>
  <si>
    <t xml:space="preserve">CTGCTCTTGAACCGACTTCA</t>
  </si>
  <si>
    <t xml:space="preserve">TAGTCTGCTCTTGAACCGACTTCA</t>
  </si>
  <si>
    <t xml:space="preserve">AAACTGAAGTCGGTTCAAGAGCAG</t>
  </si>
  <si>
    <t xml:space="preserve">CGGCTCGCCTCGCTCAAGCT</t>
  </si>
  <si>
    <t xml:space="preserve">TAGTCGGCTCGCCTCGCTCAAGCT</t>
  </si>
  <si>
    <t xml:space="preserve">AAACAGCTTGAGCGAGGCGAGCCG</t>
  </si>
  <si>
    <t xml:space="preserve">AATCCAGCCTTGACGCGCAG</t>
  </si>
  <si>
    <t xml:space="preserve">TAGTAATCCAGCCTTGACGCGCAG</t>
  </si>
  <si>
    <t xml:space="preserve">AAACCTGCGCGTCAAGGCTGGATT</t>
  </si>
  <si>
    <t xml:space="preserve">AGATGAAGGTCGGGAGCCGT</t>
  </si>
  <si>
    <t xml:space="preserve">TAGTAGATGAAGGTCGGGAGCCGT</t>
  </si>
  <si>
    <t xml:space="preserve">AAACACGGCTCCCGACCTTCATCT</t>
  </si>
  <si>
    <t xml:space="preserve">PST_0763</t>
  </si>
  <si>
    <t xml:space="preserve">birA</t>
  </si>
  <si>
    <t xml:space="preserve">CAGAATGAAACCGCCCATCT</t>
  </si>
  <si>
    <t xml:space="preserve">TAGTCAGAATGAAACCGCCCATCT</t>
  </si>
  <si>
    <t xml:space="preserve">AAACAGATGGGCGGTTTCATTCTG</t>
  </si>
  <si>
    <t xml:space="preserve">TTTCATTCTGAATGCGCTGG</t>
  </si>
  <si>
    <t xml:space="preserve">TAGTTTTCATTCTGAATGCGCTGG</t>
  </si>
  <si>
    <t xml:space="preserve">AAACCCAGCGCATTCAGAATGAAA</t>
  </si>
  <si>
    <t xml:space="preserve">GGCCTGGGACCTTATAGAGG</t>
  </si>
  <si>
    <t xml:space="preserve">TAGTGGCCTGGGACCTTATAGAGG</t>
  </si>
  <si>
    <t xml:space="preserve">AAACCCTCTATAAGGTCCCAGGCC</t>
  </si>
  <si>
    <t xml:space="preserve">GCTCTGCCAATCGGTACCCG</t>
  </si>
  <si>
    <t xml:space="preserve">TAGTGCTCTGCCAATCGGTACCCG</t>
  </si>
  <si>
    <t xml:space="preserve">AAACCGGGTACCGATTGGCAGAGC</t>
  </si>
  <si>
    <t xml:space="preserve">PST_0764</t>
  </si>
  <si>
    <t xml:space="preserve">CAACCACGACTCCAGAGTCA</t>
  </si>
  <si>
    <t xml:space="preserve">TAGTCAACCACGACTCCAGAGTCA</t>
  </si>
  <si>
    <t xml:space="preserve">AAACTGACTCTGGAGTCGTGGTTG</t>
  </si>
  <si>
    <t xml:space="preserve">CAGCTCTATCGACGAACTCG</t>
  </si>
  <si>
    <t xml:space="preserve">TAGTCAGCTCTATCGACGAACTCG</t>
  </si>
  <si>
    <t xml:space="preserve">AAACCGAGTTCGTCGATAGAGCTG</t>
  </si>
  <si>
    <t xml:space="preserve">TATTCGCAACAAGGCCAAAC</t>
  </si>
  <si>
    <t xml:space="preserve">TAGTTATTCGCAACAAGGCCAAAC</t>
  </si>
  <si>
    <t xml:space="preserve">AAACGTTTGGCCTTGTTGCGAATA</t>
  </si>
  <si>
    <t xml:space="preserve">GCTGCGGACACTGACCAATC</t>
  </si>
  <si>
    <t xml:space="preserve">TAGTGCTGCGGACACTGACCAATC</t>
  </si>
  <si>
    <t xml:space="preserve">AAACGATTGGTCAGTGTCCGCAGC</t>
  </si>
  <si>
    <t xml:space="preserve">PST_0765</t>
  </si>
  <si>
    <t xml:space="preserve">CACGGACCGGAGACTGATAC</t>
  </si>
  <si>
    <t xml:space="preserve">TAGTCACGGACCGGAGACTGATAC</t>
  </si>
  <si>
    <t xml:space="preserve">AAACGTATCAGTCTCCGGTCCGTG</t>
  </si>
  <si>
    <t xml:space="preserve">GGGCGATTATAGGAATCCAG</t>
  </si>
  <si>
    <t xml:space="preserve">TAGTGGGCGATTATAGGAATCCAG</t>
  </si>
  <si>
    <t xml:space="preserve">AAACCTGGATTCCTATAATCGCCC</t>
  </si>
  <si>
    <t xml:space="preserve">GCAGCGTTATGTTCTGCTGA</t>
  </si>
  <si>
    <t xml:space="preserve">TAGTGCAGCGTTATGTTCTGCTGA</t>
  </si>
  <si>
    <t xml:space="preserve">AAACTCAGCAGAACATAACGCTGC</t>
  </si>
  <si>
    <t xml:space="preserve">CAACCGTTCTCTGCAGCGAG</t>
  </si>
  <si>
    <t xml:space="preserve">TAGTCAACCGTTCTCTGCAGCGAG</t>
  </si>
  <si>
    <t xml:space="preserve">AAACCTCGCTGCAGAGAACGGTTG</t>
  </si>
  <si>
    <t xml:space="preserve">PST_0769</t>
  </si>
  <si>
    <t xml:space="preserve">tuf</t>
  </si>
  <si>
    <t xml:space="preserve">TGATCGGAGTATCGTCACCT</t>
  </si>
  <si>
    <t xml:space="preserve">TAGTTGATCGGAGTATCGTCACCT</t>
  </si>
  <si>
    <t xml:space="preserve">AAACAGGTGACGATACTCCGATCA</t>
  </si>
  <si>
    <t xml:space="preserve">PST_0771</t>
  </si>
  <si>
    <t xml:space="preserve">secE</t>
  </si>
  <si>
    <t xml:space="preserve">CAGATCGAAGCGCGCATCAT</t>
  </si>
  <si>
    <t xml:space="preserve">TAGTCAGATCGAAGCGCGCATCAT</t>
  </si>
  <si>
    <t xml:space="preserve">AAACATGATGCGCGCTTCGATCTG</t>
  </si>
  <si>
    <t xml:space="preserve">ACGATAGAGAATAGGCTCAG</t>
  </si>
  <si>
    <t xml:space="preserve">TAGTACGATAGAGAATAGGCTCAG</t>
  </si>
  <si>
    <t xml:space="preserve">AAACCTGAGCCTATTCTCTATCGT</t>
  </si>
  <si>
    <t xml:space="preserve">CGCCTATTGCGAGAACAGCA</t>
  </si>
  <si>
    <t xml:space="preserve">TAGTCGCCTATTGCGAGAACAGCA</t>
  </si>
  <si>
    <t xml:space="preserve">AAACTGCTGTTCTCGCAATAGGCG</t>
  </si>
  <si>
    <t xml:space="preserve">CGTCTGCAGAGCAACAAACG</t>
  </si>
  <si>
    <t xml:space="preserve">TAGTCGTCTGCAGAGCAACAAACG</t>
  </si>
  <si>
    <t xml:space="preserve">AAACCGTTTGTTGCTCTGCAGACG</t>
  </si>
  <si>
    <t xml:space="preserve">PST_0772</t>
  </si>
  <si>
    <t xml:space="preserve">nusG</t>
  </si>
  <si>
    <t xml:space="preserve">GCCGAACTCATCTTCCATGC</t>
  </si>
  <si>
    <t xml:space="preserve">TAGTGCCGAACTCATCTTCCATGC</t>
  </si>
  <si>
    <t xml:space="preserve">AAACGCATGGAAGATGAGTTCGGC</t>
  </si>
  <si>
    <t xml:space="preserve">ATCTCGACCACTTCCTCGGT</t>
  </si>
  <si>
    <t xml:space="preserve">TAGTATCTCGACCACTTCCTCGGT</t>
  </si>
  <si>
    <t xml:space="preserve">AAACACCGAGGAAGTGGTCGAGAT</t>
  </si>
  <si>
    <t xml:space="preserve">TCTGAACGAGCACGTAACCT</t>
  </si>
  <si>
    <t xml:space="preserve">TAGTTCTGAACGAGCACGTAACCT</t>
  </si>
  <si>
    <t xml:space="preserve">AAACAGGTTACGTGCTCGTTCAGA</t>
  </si>
  <si>
    <t xml:space="preserve">CACGAGGAGTATCCTTGACC</t>
  </si>
  <si>
    <t xml:space="preserve">TAGTCACGAGGAGTATCCTTGACC</t>
  </si>
  <si>
    <t xml:space="preserve">AAACGGTCAAGGATACTCCTCGTG</t>
  </si>
  <si>
    <t xml:space="preserve">PST_0773</t>
  </si>
  <si>
    <t xml:space="preserve">rplK</t>
  </si>
  <si>
    <t xml:space="preserve">CGGCGACGGGTTAGCCTGAC</t>
  </si>
  <si>
    <t xml:space="preserve">TAGTCGGCGACGGGTTAGCCTGAC</t>
  </si>
  <si>
    <t xml:space="preserve">AAACGTCAGGCTAACCCGTCGCCG</t>
  </si>
  <si>
    <t xml:space="preserve">CCCAGAGCGGGGCCGACGGG</t>
  </si>
  <si>
    <t xml:space="preserve">TAGTCCCAGAGCGGGGCCGACGGG</t>
  </si>
  <si>
    <t xml:space="preserve">AAACCCCGTCGGCCCCGCTCTGGG</t>
  </si>
  <si>
    <t xml:space="preserve">GGGCTCCTGGCCCTGGGTCC</t>
  </si>
  <si>
    <t xml:space="preserve">TAGTGGGCTCCTGGCCCTGGGTCC</t>
  </si>
  <si>
    <t xml:space="preserve">AAACGGACCCAGGGCCAGGAGCCC</t>
  </si>
  <si>
    <t xml:space="preserve">ATCACGGGAGTCGGCAGACC</t>
  </si>
  <si>
    <t xml:space="preserve">TAGTATCACGGGAGTCGGCAGACC</t>
  </si>
  <si>
    <t xml:space="preserve">AAACGGTCTGCCGACTCCCGTGAT</t>
  </si>
  <si>
    <t xml:space="preserve">PST_0774</t>
  </si>
  <si>
    <t xml:space="preserve">rplA</t>
  </si>
  <si>
    <t xml:space="preserve">AGCGATAGCCTTCTGGCGCT</t>
  </si>
  <si>
    <t xml:space="preserve">TAGTAGCGATAGCCTTCTGGCGCT</t>
  </si>
  <si>
    <t xml:space="preserve">AAACAGCGCCAGAAGGCTATCGCT</t>
  </si>
  <si>
    <t xml:space="preserve">TTCGAACGCGTACTGCTTGC</t>
  </si>
  <si>
    <t xml:space="preserve">TAGTTTCGAACGCGTACTGCTTGC</t>
  </si>
  <si>
    <t xml:space="preserve">AAACGCAAGCAGTACGCGTTCGAA</t>
  </si>
  <si>
    <t xml:space="preserve">AACCTCTGCCAGCAGCTTGG</t>
  </si>
  <si>
    <t xml:space="preserve">TAGTAACCTCTGCCAGCAGCTTGG</t>
  </si>
  <si>
    <t xml:space="preserve">AAACCCAAGCTGCTGGCAGAGGTT</t>
  </si>
  <si>
    <t xml:space="preserve">GATCGCGATATCGAACGACT</t>
  </si>
  <si>
    <t xml:space="preserve">TAGTGATCGCGATATCGAACGACT</t>
  </si>
  <si>
    <t xml:space="preserve">AAACAGTCGTTCGATATCGCGATC</t>
  </si>
  <si>
    <t xml:space="preserve">PST_0775</t>
  </si>
  <si>
    <t xml:space="preserve">rplJ</t>
  </si>
  <si>
    <t xml:space="preserve">TCTTCGAGTTTAATTGCCAC</t>
  </si>
  <si>
    <t xml:space="preserve">TAGTTCTTCGAGTTTAATTGCCAC</t>
  </si>
  <si>
    <t xml:space="preserve">AAACGTGGCAATTAAACTCGAAGA</t>
  </si>
  <si>
    <t xml:space="preserve">CTCGTTGACTTCAGCGACGA</t>
  </si>
  <si>
    <t xml:space="preserve">TAGTCTCGTTGACTTCAGCGACGA</t>
  </si>
  <si>
    <t xml:space="preserve">AAACTCGTCGCTGAAGTCAACGAG</t>
  </si>
  <si>
    <t xml:space="preserve">GACAGCGGACAGACCGGCTT</t>
  </si>
  <si>
    <t xml:space="preserve">TAGTGACAGCGGACAGACCGGCTT</t>
  </si>
  <si>
    <t xml:space="preserve">AAACAAGCCGGTCTGTCCGCTGTC</t>
  </si>
  <si>
    <t xml:space="preserve">TGCGCCGACGGTCACGCCAC</t>
  </si>
  <si>
    <t xml:space="preserve">TAGTTGCGCCGACGGTCACGCCAC</t>
  </si>
  <si>
    <t xml:space="preserve">AAACGTGGCGTGACCGTCGGCGCA</t>
  </si>
  <si>
    <t xml:space="preserve">PST_0776</t>
  </si>
  <si>
    <t xml:space="preserve">rplL</t>
  </si>
  <si>
    <t xml:space="preserve">CGATTTCCATGACGGATTTC</t>
  </si>
  <si>
    <t xml:space="preserve">TAGTCGATTTCCATGACGGATTTC</t>
  </si>
  <si>
    <t xml:space="preserve">AAACGAAATCCGTCATGGAAATCG</t>
  </si>
  <si>
    <t xml:space="preserve">AGCGGCAACAGCGGCAGCAG</t>
  </si>
  <si>
    <t xml:space="preserve">TAGTAGCGGCAACAGCGGCAGCAG</t>
  </si>
  <si>
    <t xml:space="preserve">AAACCTGCTGCCGCTGTTGCCGCT</t>
  </si>
  <si>
    <t xml:space="preserve">CAGCCGGGGCAGCGGCAGCC</t>
  </si>
  <si>
    <t xml:space="preserve">TAGTCAGCCGGGGCAGCGGCAGCC</t>
  </si>
  <si>
    <t xml:space="preserve">AAACGGCTGCCGCTGCCCCGGCTG</t>
  </si>
  <si>
    <t xml:space="preserve">GGCCAGAACGATGGTGAACT</t>
  </si>
  <si>
    <t xml:space="preserve">TAGTGGCCAGAACGATGGTGAACT</t>
  </si>
  <si>
    <t xml:space="preserve">AAACAGTTCACCATCGTTCTGGCC</t>
  </si>
  <si>
    <t xml:space="preserve">PST_0777</t>
  </si>
  <si>
    <t xml:space="preserve">rpoB</t>
  </si>
  <si>
    <t xml:space="preserve">GTAACTTGCTAAAGTCCTTG</t>
  </si>
  <si>
    <t xml:space="preserve">TAGTGTAACTTGCTAAAGTCCTTG</t>
  </si>
  <si>
    <t xml:space="preserve">AAACCAAGGACTTTAGCAAGTTAC</t>
  </si>
  <si>
    <t xml:space="preserve">TACGGCACGTCCATCACGTG</t>
  </si>
  <si>
    <t xml:space="preserve">TAGTTACGGCACGTCCATCACGTG</t>
  </si>
  <si>
    <t xml:space="preserve">AAACCACGTGATGGACGTGCCGTA</t>
  </si>
  <si>
    <t xml:space="preserve">GCGATACGAATCCAGCTGGA</t>
  </si>
  <si>
    <t xml:space="preserve">TAGTGCGATACGAATCCAGCTGGA</t>
  </si>
  <si>
    <t xml:space="preserve">AAACTCCAGCTGGATTCGTATCGC</t>
  </si>
  <si>
    <t xml:space="preserve">AATGTCGCGGAACTGATCTT</t>
  </si>
  <si>
    <t xml:space="preserve">TAGTAATGTCGCGGAACTGATCTT</t>
  </si>
  <si>
    <t xml:space="preserve">AAACAAGATCAGTTCCGCGACATT</t>
  </si>
  <si>
    <t xml:space="preserve">PST_0778</t>
  </si>
  <si>
    <t xml:space="preserve">rpoC</t>
  </si>
  <si>
    <t xml:space="preserve">CAGATTCAGCAAGTCTTTCA</t>
  </si>
  <si>
    <t xml:space="preserve">TAGTCAGATTCAGCAAGTCTTTCA</t>
  </si>
  <si>
    <t xml:space="preserve">AAACTGAAAGACTTGCTGAATCTG</t>
  </si>
  <si>
    <t xml:space="preserve">CGAACTCTTCGATTTGACCC</t>
  </si>
  <si>
    <t xml:space="preserve">TAGTCGAACTCTTCGATTTGACCC</t>
  </si>
  <si>
    <t xml:space="preserve">AAACGGGTCAAATCGAAGAGTTCG</t>
  </si>
  <si>
    <t xml:space="preserve">GGACGCCAGGGCAATCTTGA</t>
  </si>
  <si>
    <t xml:space="preserve">TAGTGGACGCCAGGGCAATCTTGA</t>
  </si>
  <si>
    <t xml:space="preserve">AAACTCAAGATTGCCCTGGCGTCC</t>
  </si>
  <si>
    <t xml:space="preserve">CCAGGAACGGATCATCTCGG</t>
  </si>
  <si>
    <t xml:space="preserve">TAGTCCAGGAACGGATCATCTCGG</t>
  </si>
  <si>
    <t xml:space="preserve">AAACCCGAGATGATCCGTTCCTGG</t>
  </si>
  <si>
    <t xml:space="preserve">PST_0779</t>
  </si>
  <si>
    <t xml:space="preserve">rpsL</t>
  </si>
  <si>
    <t xml:space="preserve">TGCGCGGCTGACGTACCAGC</t>
  </si>
  <si>
    <t xml:space="preserve">TAGTTGCGCGGCTGACGTACCAGC</t>
  </si>
  <si>
    <t xml:space="preserve">AAACGCTGGTACGTCAGCCGCGCA</t>
  </si>
  <si>
    <t xml:space="preserve">GCGGGCAGTTTTGCAGCGCA</t>
  </si>
  <si>
    <t xml:space="preserve">TAGTGCGGGCAGTTTTGCAGCGCA</t>
  </si>
  <si>
    <t xml:space="preserve">AAACTGCGCTGCAAAACTGCCCGC</t>
  </si>
  <si>
    <t xml:space="preserve">CGGCGTGGTGGTGTACACAC</t>
  </si>
  <si>
    <t xml:space="preserve">TAGTCGGCGTGGTGGTGTACACAC</t>
  </si>
  <si>
    <t xml:space="preserve">AAACGTGTGTACACCACCACGCCG</t>
  </si>
  <si>
    <t xml:space="preserve">AGTGCGGAGTTCGGTTTCTT</t>
  </si>
  <si>
    <t xml:space="preserve">TAGTAGTGCGGAGTTCGGTTTCTT</t>
  </si>
  <si>
    <t xml:space="preserve">AAACAAGAAACCGAACTCCGCACT</t>
  </si>
  <si>
    <t xml:space="preserve">PST_0780</t>
  </si>
  <si>
    <t xml:space="preserve">rpsG</t>
  </si>
  <si>
    <t xml:space="preserve">TTGGCTGCTACACGACGTCT</t>
  </si>
  <si>
    <t xml:space="preserve">TAGTTTGGCTGCTACACGACGTCT</t>
  </si>
  <si>
    <t xml:space="preserve">AAACAGACGTCGTGTAGCAGCCAA</t>
  </si>
  <si>
    <t xml:space="preserve">AGGATCAGACTTCCGTACTT</t>
  </si>
  <si>
    <t xml:space="preserve">TAGTAGGATCAGACTTCCGTACTT</t>
  </si>
  <si>
    <t xml:space="preserve">AAACAAGTACGGAAGTCTGATCCT</t>
  </si>
  <si>
    <t xml:space="preserve">CGTGGTTCATGAACTTGGCC</t>
  </si>
  <si>
    <t xml:space="preserve">TAGTCGTGGTTCATGAACTTGGCC</t>
  </si>
  <si>
    <t xml:space="preserve">AAACGGCCAAGTTCATGAACCACG</t>
  </si>
  <si>
    <t xml:space="preserve">ATAAACGATACGCTCGGCAA</t>
  </si>
  <si>
    <t xml:space="preserve">TAGTATAAACGATACGCTCGGCAA</t>
  </si>
  <si>
    <t xml:space="preserve">AAACTTGCCGAGCGTATCGTTTAT</t>
  </si>
  <si>
    <t xml:space="preserve">PST_0781</t>
  </si>
  <si>
    <t xml:space="preserve">fusA1</t>
  </si>
  <si>
    <t xml:space="preserve">GCGGTTGATAGGGGTAGTAC</t>
  </si>
  <si>
    <t xml:space="preserve">TAGTGCGGTTGATAGGGGTAGTAC</t>
  </si>
  <si>
    <t xml:space="preserve">AAACGTACTACCCCTATCAACCGC</t>
  </si>
  <si>
    <t xml:space="preserve">GGGCACAGATACCGATGTTA</t>
  </si>
  <si>
    <t xml:space="preserve">TAGTGGGCACAGATACCGATGTTA</t>
  </si>
  <si>
    <t xml:space="preserve">AAACTAACATCGGTATCTGTGCCC</t>
  </si>
  <si>
    <t xml:space="preserve">AGTCTTGCCCGCGTCGACGT</t>
  </si>
  <si>
    <t xml:space="preserve">TAGTAGTCTTGCCCGCGTCGACGT</t>
  </si>
  <si>
    <t xml:space="preserve">AAACACGTCGACGCGGGCAAGACT</t>
  </si>
  <si>
    <t xml:space="preserve">AAACAGAATCCGCTCCGTGG</t>
  </si>
  <si>
    <t xml:space="preserve">TAGTAAACAGAATCCGCTCCGTGG</t>
  </si>
  <si>
    <t xml:space="preserve">AAACCCACGGAGCGGATTCTGTTT</t>
  </si>
  <si>
    <t xml:space="preserve">PST_0782</t>
  </si>
  <si>
    <t xml:space="preserve">tuf-1</t>
  </si>
  <si>
    <t xml:space="preserve">TGATCGGAGTGTCGTCACCC</t>
  </si>
  <si>
    <t xml:space="preserve">TAGTTGATCGGAGTGTCGTCACCC</t>
  </si>
  <si>
    <t xml:space="preserve">AAACGGGTGACGACACTCCGATCA</t>
  </si>
  <si>
    <t xml:space="preserve">PST_0783</t>
  </si>
  <si>
    <t xml:space="preserve">rpsJ</t>
  </si>
  <si>
    <t xml:space="preserve">TCAACCGAATACGGATTTGT</t>
  </si>
  <si>
    <t xml:space="preserve">TAGTTCAACCGAATACGGATTTGT</t>
  </si>
  <si>
    <t xml:space="preserve">AAACACAAATCCGTATTCGGTTGA</t>
  </si>
  <si>
    <t xml:space="preserve">TTGATTGATCGATCAGGCGA</t>
  </si>
  <si>
    <t xml:space="preserve">TAGTTTGATTGATCGATCAGGCGA</t>
  </si>
  <si>
    <t xml:space="preserve">AAACTCGCCTGATCGATCAATCAA</t>
  </si>
  <si>
    <t xml:space="preserve">CGCGGTTTCCACGATTTCCT</t>
  </si>
  <si>
    <t xml:space="preserve">TAGTCGCGGTTTCCACGATTTCCT</t>
  </si>
  <si>
    <t xml:space="preserve">AAACAGGAAATCGTGGAAACCGCG</t>
  </si>
  <si>
    <t xml:space="preserve">TTGCGGGTTGGCAGCGGAAT</t>
  </si>
  <si>
    <t xml:space="preserve">TAGTTTGCGGGTTGGCAGCGGAAT</t>
  </si>
  <si>
    <t xml:space="preserve">AAACATTCCGCTGCCAACCCGCAA</t>
  </si>
  <si>
    <t xml:space="preserve">PST_0784</t>
  </si>
  <si>
    <t xml:space="preserve">rplC</t>
  </si>
  <si>
    <t xml:space="preserve">ACCATCCTCGGTGAAAACGC</t>
  </si>
  <si>
    <t xml:space="preserve">TAGTACCATCCTCGGTGAAAACGC</t>
  </si>
  <si>
    <t xml:space="preserve">AAACGCGTTTTCACCGAGGATGGT</t>
  </si>
  <si>
    <t xml:space="preserve">TCGATCTCGATGACCGTAAC</t>
  </si>
  <si>
    <t xml:space="preserve">TAGTTCGATCTCGATGACCGTAAC</t>
  </si>
  <si>
    <t xml:space="preserve">AAACGTTACGGTCATCGAGATCGA</t>
  </si>
  <si>
    <t xml:space="preserve">TTGAACTGAGTGACGCGATT</t>
  </si>
  <si>
    <t xml:space="preserve">TAGTTTGAACTGAGTGACGCGATT</t>
  </si>
  <si>
    <t xml:space="preserve">AAACAATCGCGTCACTCAGTTCAA</t>
  </si>
  <si>
    <t xml:space="preserve">GGCCTGAGCCTTGGTAACAC</t>
  </si>
  <si>
    <t xml:space="preserve">TAGTGGCCTGAGCCTTGGTAACAC</t>
  </si>
  <si>
    <t xml:space="preserve">AAACGTGTTACCAAGGCTCAGGCC</t>
  </si>
  <si>
    <t xml:space="preserve">PST_0785</t>
  </si>
  <si>
    <t xml:space="preserve">rplD</t>
  </si>
  <si>
    <t xml:space="preserve">GGTGCGATCGGAGACTTCGA</t>
  </si>
  <si>
    <t xml:space="preserve">TAGTGGTGCGATCGGAGACTTCGA</t>
  </si>
  <si>
    <t xml:space="preserve">AAACTCGAAGTCTCCGATCGCACC</t>
  </si>
  <si>
    <t xml:space="preserve">CTCGTTGAACTCACCACCAA</t>
  </si>
  <si>
    <t xml:space="preserve">TAGTCTCGTTGAACTCACCACCAA</t>
  </si>
  <si>
    <t xml:space="preserve">AAACTTGGTGGTGAGTTCAACGAG</t>
  </si>
  <si>
    <t xml:space="preserve">CCATGTAGGCGACGACTGCC</t>
  </si>
  <si>
    <t xml:space="preserve">TAGTCCATGTAGGCGACGACTGCC</t>
  </si>
  <si>
    <t xml:space="preserve">AAACGGCAGTCGTCGCCTACATGG</t>
  </si>
  <si>
    <t xml:space="preserve">CACCACCGGACACATCGGAG</t>
  </si>
  <si>
    <t xml:space="preserve">TAGTCACCACCGGACACATCGGAG</t>
  </si>
  <si>
    <t xml:space="preserve">AAACCTCCGATGTGTCCGGTGGTG</t>
  </si>
  <si>
    <t xml:space="preserve">PST_0786</t>
  </si>
  <si>
    <t xml:space="preserve">rplW</t>
  </si>
  <si>
    <t xml:space="preserve">GGACTTTGAATACGCGTTCC</t>
  </si>
  <si>
    <t xml:space="preserve">TAGTGGACTTTGAATACGCGTTCC</t>
  </si>
  <si>
    <t xml:space="preserve">AAACGGAACGCGTATTCAAAGTCC</t>
  </si>
  <si>
    <t xml:space="preserve">CGGAGACGTGCGGACCAAGC</t>
  </si>
  <si>
    <t xml:space="preserve">TAGTCGGAGACGTGCGGACCAAGC</t>
  </si>
  <si>
    <t xml:space="preserve">AAACGCTTGGTCCGCACGTCTCCG</t>
  </si>
  <si>
    <t xml:space="preserve">AGCCAGCACGGTAGCCTTCT</t>
  </si>
  <si>
    <t xml:space="preserve">TAGTAGCCAGCACGGTAGCCTTCT</t>
  </si>
  <si>
    <t xml:space="preserve">AAACAGAAGGCTACCGTGCTGGCT</t>
  </si>
  <si>
    <t xml:space="preserve">CGGCGACCTTCACGTCGAAC</t>
  </si>
  <si>
    <t xml:space="preserve">TAGTCGGCGACCTTCACGTCGAAC</t>
  </si>
  <si>
    <t xml:space="preserve">AAACGTTCGACGTGAAGGTCGCCG</t>
  </si>
  <si>
    <t xml:space="preserve">PST_0787</t>
  </si>
  <si>
    <t xml:space="preserve">rplB</t>
  </si>
  <si>
    <t xml:space="preserve">AAACGGCGGCCCGCGGAAGT</t>
  </si>
  <si>
    <t xml:space="preserve">TAGTAAACGGCGGCCCGCGGAAGT</t>
  </si>
  <si>
    <t xml:space="preserve">AAACACTTCCGCGGGCCGCCGTTT</t>
  </si>
  <si>
    <t xml:space="preserve">TTCTCGAGCAGCGGTGCGTA</t>
  </si>
  <si>
    <t xml:space="preserve">TAGTTTCTCGAGCAGCGGTGCGTA</t>
  </si>
  <si>
    <t xml:space="preserve">AAACTACGCACCGCTGCTCGAGAA</t>
  </si>
  <si>
    <t xml:space="preserve">TGATACGACCGTTGTTGTTA</t>
  </si>
  <si>
    <t xml:space="preserve">TAGTTGATACGACCGTTGTTGTTA</t>
  </si>
  <si>
    <t xml:space="preserve">AAACTAACAACAACGGTCGTATCA</t>
  </si>
  <si>
    <t xml:space="preserve">ACCACCGCCGATGTGGCGAG</t>
  </si>
  <si>
    <t xml:space="preserve">TAGTACCACCGCCGATGTGGCGAG</t>
  </si>
  <si>
    <t xml:space="preserve">AAACCTCGCCACATCGGCGGTGGT</t>
  </si>
  <si>
    <t xml:space="preserve">PST_0788</t>
  </si>
  <si>
    <t xml:space="preserve">rpsS</t>
  </si>
  <si>
    <t xml:space="preserve">GGACCTTTTTTCAGAGAACG</t>
  </si>
  <si>
    <t xml:space="preserve">TAGTGGACCTTTTTTCAGAGAACG</t>
  </si>
  <si>
    <t xml:space="preserve">AAACCGTTCTCTGAAAAAAGGTCC</t>
  </si>
  <si>
    <t xml:space="preserve">AGTAGGTGAAGATCGATAAA</t>
  </si>
  <si>
    <t xml:space="preserve">TAGTAGTAGGTGAAGATCGATAAA</t>
  </si>
  <si>
    <t xml:space="preserve">AAACTTTATCGATCTTCACCTACT</t>
  </si>
  <si>
    <t xml:space="preserve">CGACGCGACCAGGTTTTCAC</t>
  </si>
  <si>
    <t xml:space="preserve">TAGTCGACGCGACCAGGTTTTCAC</t>
  </si>
  <si>
    <t xml:space="preserve">AAACGTGAAAACCTGGTCGCGTCG</t>
  </si>
  <si>
    <t xml:space="preserve">TCAGACCGACCATCTGCGGC</t>
  </si>
  <si>
    <t xml:space="preserve">TAGTTCAGACCGACCATCTGCGGC</t>
  </si>
  <si>
    <t xml:space="preserve">AAACGCCGCAGATGGTCGGTCTGA</t>
  </si>
  <si>
    <t xml:space="preserve">PST_0789</t>
  </si>
  <si>
    <t xml:space="preserve">rplV</t>
  </si>
  <si>
    <t xml:space="preserve">GCGAGCGCCCGACAACTTAG</t>
  </si>
  <si>
    <t xml:space="preserve">TAGTGCGAGCGCCCGACAACTTAG</t>
  </si>
  <si>
    <t xml:space="preserve">AAACCTAAGTTGTCGGGCGCTCGC</t>
  </si>
  <si>
    <t xml:space="preserve">GGCGACCAGGCGGGCTTTCT</t>
  </si>
  <si>
    <t xml:space="preserve">TAGTGGCGACCAGGCGGGCTTTCT</t>
  </si>
  <si>
    <t xml:space="preserve">AAACAGAAAGCCCGCCTGGTCGCC</t>
  </si>
  <si>
    <t xml:space="preserve">CTTCTTCCCGCGGATCTGGT</t>
  </si>
  <si>
    <t xml:space="preserve">TAGTCTTCTTCCCGCGGATCTGGT</t>
  </si>
  <si>
    <t xml:space="preserve">AAACACCAGATCCGCGGGAAGAAG</t>
  </si>
  <si>
    <t xml:space="preserve">TCTTACTGCTGAAAGCCAGG</t>
  </si>
  <si>
    <t xml:space="preserve">TAGTTCTTACTGCTGAAAGCCAGG</t>
  </si>
  <si>
    <t xml:space="preserve">AAACCCTGGCTTTCAGCAGTAAGA</t>
  </si>
  <si>
    <t xml:space="preserve">PST_0790</t>
  </si>
  <si>
    <t xml:space="preserve">rpsC</t>
  </si>
  <si>
    <t xml:space="preserve">ATTCCCAGGCGAATGCCAGT</t>
  </si>
  <si>
    <t xml:space="preserve">TAGTATTCCCAGGCGAATGCCAGT</t>
  </si>
  <si>
    <t xml:space="preserve">AAACACTGGCATTCGCCTGGGAAT</t>
  </si>
  <si>
    <t xml:space="preserve">GCCGTCTGCGTACCAGACGG</t>
  </si>
  <si>
    <t xml:space="preserve">TAGTGCCGTCTGCGTACCAGACGG</t>
  </si>
  <si>
    <t xml:space="preserve">AAACCCGTCTGGTACGCAGACGGC</t>
  </si>
  <si>
    <t xml:space="preserve">GCAGATAGTCTGCATACGTA</t>
  </si>
  <si>
    <t xml:space="preserve">TAGTGCAGATAGTCTGCATACGTA</t>
  </si>
  <si>
    <t xml:space="preserve">AAACTACGTATGCAGACTATCTGC</t>
  </si>
  <si>
    <t xml:space="preserve">CGCTTTTTAGTTTGTCTTGG</t>
  </si>
  <si>
    <t xml:space="preserve">TAGTCGCTTTTTAGTTTGTCTTGG</t>
  </si>
  <si>
    <t xml:space="preserve">AAACCCAAGACAAACTAAAAAGCG</t>
  </si>
  <si>
    <t xml:space="preserve">PST_0791</t>
  </si>
  <si>
    <t xml:space="preserve">rplP</t>
  </si>
  <si>
    <t xml:space="preserve">TTGCGGAATTTTGTACGCTT</t>
  </si>
  <si>
    <t xml:space="preserve">TAGTTTGCGGAATTTTGTACGCTT</t>
  </si>
  <si>
    <t xml:space="preserve">AAACAAGCGTACAAAATTCCGCAA</t>
  </si>
  <si>
    <t xml:space="preserve">AGCCAAACCACGATTGTGGC</t>
  </si>
  <si>
    <t xml:space="preserve">TAGTAGCCAAACCACGATTGTGGC</t>
  </si>
  <si>
    <t xml:space="preserve">AAACGCCACAATCGTGGTTTGGCT</t>
  </si>
  <si>
    <t xml:space="preserve">ACGCGCGGTCAGACGACCAC</t>
  </si>
  <si>
    <t xml:space="preserve">TAGTACGCGCGGTCAGACGACCAC</t>
  </si>
  <si>
    <t xml:space="preserve">AAACGTGGTCGTCTGACCGCGCGT</t>
  </si>
  <si>
    <t xml:space="preserve">CGGGCTTGTCGGGGAACACG</t>
  </si>
  <si>
    <t xml:space="preserve">TAGTCGGGCTTGTCGGGGAACACG</t>
  </si>
  <si>
    <t xml:space="preserve">AAACCGTGTTCCCCGACAAGCCCG</t>
  </si>
  <si>
    <t xml:space="preserve">PST_0792</t>
  </si>
  <si>
    <t xml:space="preserve">rpmC</t>
  </si>
  <si>
    <t xml:space="preserve">TTGCTCGTTCAGCTGCTCAA</t>
  </si>
  <si>
    <t xml:space="preserve">TAGTTTGCTCGTTCAGCTGCTCAA</t>
  </si>
  <si>
    <t xml:space="preserve">AAACTTGAGCAGCTGAACGAGCAA</t>
  </si>
  <si>
    <t xml:space="preserve">TCTGCATACGCAGATTGAAC</t>
  </si>
  <si>
    <t xml:space="preserve">TAGTTCTGCATACGCAGATTGAAC</t>
  </si>
  <si>
    <t xml:space="preserve">AAACGTTCAATCTGCGTATGCAGA</t>
  </si>
  <si>
    <t xml:space="preserve">GCAGGTGAGACTGCCCCAAC</t>
  </si>
  <si>
    <t xml:space="preserve">TAGTGCAGGTGAGACTGCCCCAAC</t>
  </si>
  <si>
    <t xml:space="preserve">AAACGTTGGGGCAGTCTCACCTGC</t>
  </si>
  <si>
    <t xml:space="preserve">PST_0793</t>
  </si>
  <si>
    <t xml:space="preserve">rpsQ</t>
  </si>
  <si>
    <t xml:space="preserve">ACGGCCGGTCAGCGTGCGGA</t>
  </si>
  <si>
    <t xml:space="preserve">TAGTACGGCCGGTCAGCGTGCGGA</t>
  </si>
  <si>
    <t xml:space="preserve">AAACTCCGCACGCTGACCGGCCGT</t>
  </si>
  <si>
    <t xml:space="preserve">ACGCTCGATCAGTACGGTGA</t>
  </si>
  <si>
    <t xml:space="preserve">TAGTACGCTCGATCAGTACGGTGA</t>
  </si>
  <si>
    <t xml:space="preserve">AAACTCACCGTACTGATCGAGCGT</t>
  </si>
  <si>
    <t xml:space="preserve">TAACGTATTTGCCGTAGATC</t>
  </si>
  <si>
    <t xml:space="preserve">TAGTTAACGTATTTGCCGTAGATC</t>
  </si>
  <si>
    <t xml:space="preserve">AAACGATCTACGGCAAATACGTTA</t>
  </si>
  <si>
    <t xml:space="preserve">TTCGTCGTGGGCGTGCAGTT</t>
  </si>
  <si>
    <t xml:space="preserve">TAGTTTCGTCGTGGGCGTGCAGTT</t>
  </si>
  <si>
    <t xml:space="preserve">AAACAACTGCACGCCCACGACGAA</t>
  </si>
  <si>
    <t xml:space="preserve">PST_0794</t>
  </si>
  <si>
    <t xml:space="preserve">rplN</t>
  </si>
  <si>
    <t xml:space="preserve">GTTATCAGCCACATCGAGCA</t>
  </si>
  <si>
    <t xml:space="preserve">TAGTGTTATCAGCCACATCGAGCA</t>
  </si>
  <si>
    <t xml:space="preserve">AAACTGCTCGATGTGGCTGATAAC</t>
  </si>
  <si>
    <t xml:space="preserve">GATGCCGGCGTAACGGCGGT</t>
  </si>
  <si>
    <t xml:space="preserve">TAGTGATGCCGGCGTAACGGCGGT</t>
  </si>
  <si>
    <t xml:space="preserve">AAACACCGCCGTTACGCCGGCATC</t>
  </si>
  <si>
    <t xml:space="preserve">ACGCGGAATCGCTTCCTTGA</t>
  </si>
  <si>
    <t xml:space="preserve">TAGTACGCGGAATCGCTTCCTTGA</t>
  </si>
  <si>
    <t xml:space="preserve">AAACTCAAGGAAGCGATTCCGCGT</t>
  </si>
  <si>
    <t xml:space="preserve">CCACTACAGCGGTCATCACC</t>
  </si>
  <si>
    <t xml:space="preserve">TAGTCCACTACAGCGGTCATCACC</t>
  </si>
  <si>
    <t xml:space="preserve">AAACGGTGATGACCGCTGTAGTGG</t>
  </si>
  <si>
    <t xml:space="preserve">PST_0795</t>
  </si>
  <si>
    <t xml:space="preserve">rplX</t>
  </si>
  <si>
    <t xml:space="preserve">GCGCTTGCCCTTGTCTTTGC</t>
  </si>
  <si>
    <t xml:space="preserve">TAGTGCGCTTGCCCTTGTCTTTGC</t>
  </si>
  <si>
    <t xml:space="preserve">AAACGCAAAGACAAGGGCAAGCGC</t>
  </si>
  <si>
    <t xml:space="preserve">TGATCCCGCCAACGACCAGA</t>
  </si>
  <si>
    <t xml:space="preserve">TAGTTGATCCCGCCAACGACCAGA</t>
  </si>
  <si>
    <t xml:space="preserve">AAACTCTGGTCGTTGGCGGGATCA</t>
  </si>
  <si>
    <t xml:space="preserve">GCTTGGTGTGGCGCTTGACC</t>
  </si>
  <si>
    <t xml:space="preserve">TAGTGCTTGGTGTGGCGCTTGACC</t>
  </si>
  <si>
    <t xml:space="preserve">AAACGGTCAAGCGCCACACCAAGC</t>
  </si>
  <si>
    <t xml:space="preserve">TGAACACCGGACATCGGGTT</t>
  </si>
  <si>
    <t xml:space="preserve">TAGTTGAACACCGGACATCGGGTT</t>
  </si>
  <si>
    <t xml:space="preserve">AAACAACCCGATGTCCGGTGTTCA</t>
  </si>
  <si>
    <t xml:space="preserve">PST_0796</t>
  </si>
  <si>
    <t xml:space="preserve">rplE</t>
  </si>
  <si>
    <t xml:space="preserve">AACTTCTTTTAGTCGTGCCA</t>
  </si>
  <si>
    <t xml:space="preserve">TAGTAACTTCTTTTAGTCGTGCCA</t>
  </si>
  <si>
    <t xml:space="preserve">AAACTGGCACGACTAAAAGAAGTT</t>
  </si>
  <si>
    <t xml:space="preserve">TGAAGTTCTTCCTTCAGCTT</t>
  </si>
  <si>
    <t xml:space="preserve">TAGTTGAAGTTCTTCCTTCAGCTT</t>
  </si>
  <si>
    <t xml:space="preserve">AAACAAGCTGAAGGAAGAACTTCA</t>
  </si>
  <si>
    <t xml:space="preserve">AGGGTGATCTTGGTAATGCG</t>
  </si>
  <si>
    <t xml:space="preserve">TAGTAGGGTGATCTTGGTAATGCG</t>
  </si>
  <si>
    <t xml:space="preserve">AAACCGCATTACCAAGATCACCCT</t>
  </si>
  <si>
    <t xml:space="preserve">CTTCGCCGATACCCATGTTG</t>
  </si>
  <si>
    <t xml:space="preserve">TAGTCTTCGCCGATACCCATGTTG</t>
  </si>
  <si>
    <t xml:space="preserve">AAACCAACATGGGTATCGGCGAAG</t>
  </si>
  <si>
    <t xml:space="preserve">PST_0797</t>
  </si>
  <si>
    <t xml:space="preserve">rpsN</t>
  </si>
  <si>
    <t xml:space="preserve">TGCGCTGACGCTTCAGCTCA</t>
  </si>
  <si>
    <t xml:space="preserve">TAGTTGCGCTGACGCTTCAGCTCA</t>
  </si>
  <si>
    <t xml:space="preserve">AAACTGAGCTGAAGCGTCAGCGCA</t>
  </si>
  <si>
    <t xml:space="preserve">CGCACGCTTCTGGGCGAACT</t>
  </si>
  <si>
    <t xml:space="preserve">TAGTCGCACGCTTCTGGGCGAACT</t>
  </si>
  <si>
    <t xml:space="preserve">AAACAGTTCGCCCAGAAGCGTGCG</t>
  </si>
  <si>
    <t xml:space="preserve">GCGCCTCCGGAGTGGACTCC</t>
  </si>
  <si>
    <t xml:space="preserve">TAGTGCGCCTCCGGAGTGGACTCC</t>
  </si>
  <si>
    <t xml:space="preserve">AAACGGAGTCCACTCCGGAGGCGC</t>
  </si>
  <si>
    <t xml:space="preserve">ATCACGCGGCTGCTTCTGCA</t>
  </si>
  <si>
    <t xml:space="preserve">TAGTATCACGCGGCTGCTTCTGCA</t>
  </si>
  <si>
    <t xml:space="preserve">AAACTGCAGAAGCAGCCGCGTGAT</t>
  </si>
  <si>
    <t xml:space="preserve">PST_0798</t>
  </si>
  <si>
    <t xml:space="preserve">rpsH</t>
  </si>
  <si>
    <t xml:space="preserve">AACGGGTCCTGCATACTCAT</t>
  </si>
  <si>
    <t xml:space="preserve">TAGTAACGGGTCCTGCATACTCAT</t>
  </si>
  <si>
    <t xml:space="preserve">AAACATGAGTATGCAGGACCCGTT</t>
  </si>
  <si>
    <t xml:space="preserve">TTTCGGCCATCTGGGCATTA</t>
  </si>
  <si>
    <t xml:space="preserve">TAGTTTTCGGCCATCTGGGCATTA</t>
  </si>
  <si>
    <t xml:space="preserve">AAACTAATGCCCAGATGGCCGAAA</t>
  </si>
  <si>
    <t xml:space="preserve">GGAAGACGGCATGCTTACGA</t>
  </si>
  <si>
    <t xml:space="preserve">TAGTGGAAGACGGCATGCTTACGA</t>
  </si>
  <si>
    <t xml:space="preserve">AAACTCGTAAGCATGCCGTCTTCC</t>
  </si>
  <si>
    <t xml:space="preserve">GGCTACAGCCACCTTCAGCG</t>
  </si>
  <si>
    <t xml:space="preserve">TAGTGGCTACAGCCACCTTCAGCG</t>
  </si>
  <si>
    <t xml:space="preserve">AAACCGCTGAAGGTGGCTGTAGCC</t>
  </si>
  <si>
    <t xml:space="preserve">PST_0799</t>
  </si>
  <si>
    <t xml:space="preserve">rplF</t>
  </si>
  <si>
    <t xml:space="preserve">CGCCAGCGGGCAGCTTGACG</t>
  </si>
  <si>
    <t xml:space="preserve">TAGTCGCCAGCGGGCAGCTTGACG</t>
  </si>
  <si>
    <t xml:space="preserve">AAACCGTCAAGCTGCCCGCTGGCG</t>
  </si>
  <si>
    <t xml:space="preserve">CTTCACCGAAAGCTGCTGGC</t>
  </si>
  <si>
    <t xml:space="preserve">TAGTCTTCACCGAAAGCTGCTGGC</t>
  </si>
  <si>
    <t xml:space="preserve">AAACGCCAGCAGCTTTCGGTGAAG</t>
  </si>
  <si>
    <t xml:space="preserve">TCCTGGATAACCTCAACGGA</t>
  </si>
  <si>
    <t xml:space="preserve">TAGTTCCTGGATAACCTCAACGGA</t>
  </si>
  <si>
    <t xml:space="preserve">AAACTCCGTTGAGGTTATCCAGGA</t>
  </si>
  <si>
    <t xml:space="preserve">CTGCTGATCACCGTTACGAC</t>
  </si>
  <si>
    <t xml:space="preserve">TAGTCTGCTGATCACCGTTACGAC</t>
  </si>
  <si>
    <t xml:space="preserve">AAACGTCGTAACGGTGATCAGCAG</t>
  </si>
  <si>
    <t xml:space="preserve">PST_0800</t>
  </si>
  <si>
    <t xml:space="preserve">rplR</t>
  </si>
  <si>
    <t xml:space="preserve">GCGGTGCACGCAGAGGCGTA</t>
  </si>
  <si>
    <t xml:space="preserve">TAGTGCGGTGCACGCAGAGGCGTA</t>
  </si>
  <si>
    <t xml:space="preserve">AAACTACGCCTCTGCGTGCACCGC</t>
  </si>
  <si>
    <t xml:space="preserve">GACCTGGGCGTAGATGTGCT</t>
  </si>
  <si>
    <t xml:space="preserve">TAGTGACCTGGGCGTAGATGTGCT</t>
  </si>
  <si>
    <t xml:space="preserve">AAACAGCACATCTACGCCCAGGTC</t>
  </si>
  <si>
    <t xml:space="preserve">CCTTGCCGCCGTCGGCCGAA</t>
  </si>
  <si>
    <t xml:space="preserve">TAGTCCTTGCCGCCGTCGGCCGAA</t>
  </si>
  <si>
    <t xml:space="preserve">AAACTTCGGCCGACGGCGGCAAGG</t>
  </si>
  <si>
    <t xml:space="preserve">CCAGAGTCGAGGCGCTTGCC</t>
  </si>
  <si>
    <t xml:space="preserve">TAGTCCAGAGTCGAGGCGCTTGCC</t>
  </si>
  <si>
    <t xml:space="preserve">AAACGGCAAGCGCCTCGACTCTGG</t>
  </si>
  <si>
    <t xml:space="preserve">PST_0801</t>
  </si>
  <si>
    <t xml:space="preserve">rpsE</t>
  </si>
  <si>
    <t xml:space="preserve">CCTTCACGGTTTTTGCGACG</t>
  </si>
  <si>
    <t xml:space="preserve">TAGTCCTTCACGGTTTTTGCGACG</t>
  </si>
  <si>
    <t xml:space="preserve">AAACCGTCGCAAAAACCGTGAAGG</t>
  </si>
  <si>
    <t xml:space="preserve">AACTACAGTCAGCGCGGTGA</t>
  </si>
  <si>
    <t xml:space="preserve">TAGTAACTACAGTCAGCGCGGTGA</t>
  </si>
  <si>
    <t xml:space="preserve">AAACTCACCGCGCTGACTGTAGTT</t>
  </si>
  <si>
    <t xml:space="preserve">AATGGCAGCCGGCACTTCGC</t>
  </si>
  <si>
    <t xml:space="preserve">TAGTAATGGCAGCCGGCACTTCGC</t>
  </si>
  <si>
    <t xml:space="preserve">AAACGCGAAGTGCCGGCTGCCATT</t>
  </si>
  <si>
    <t xml:space="preserve">GTTGCGGCGCGCCGCTTCCA</t>
  </si>
  <si>
    <t xml:space="preserve">TAGTGTTGCGGCGCGCCGCTTCCA</t>
  </si>
  <si>
    <t xml:space="preserve">AAACTGGAAGCGGCGCGCCGCAAC</t>
  </si>
  <si>
    <t xml:space="preserve">PST_0802</t>
  </si>
  <si>
    <t xml:space="preserve">rpmD</t>
  </si>
  <si>
    <t xml:space="preserve">CTTGATCAGCGTAACCTTGA</t>
  </si>
  <si>
    <t xml:space="preserve">TAGTCTTGATCAGCGTAACCTTGA</t>
  </si>
  <si>
    <t xml:space="preserve">AAACTCAAGGTTACGCTGATCAAG</t>
  </si>
  <si>
    <t xml:space="preserve">TGACGCACAGCTTGTGATTG</t>
  </si>
  <si>
    <t xml:space="preserve">TAGTTGACGCACAGCTTGTGATTG</t>
  </si>
  <si>
    <t xml:space="preserve">AAACCAATCACAAGCTGTGCGTCA</t>
  </si>
  <si>
    <t xml:space="preserve">GACCAATGCGACGCAGGCCC</t>
  </si>
  <si>
    <t xml:space="preserve">TAGTGACCAATGCGACGCAGGCCC</t>
  </si>
  <si>
    <t xml:space="preserve">AAACGGGCCTGCGTCGCATTGGTC</t>
  </si>
  <si>
    <t xml:space="preserve">AGGAGTATCCTGAACTTCTA</t>
  </si>
  <si>
    <t xml:space="preserve">TAGTAGGAGTATCCTGAACTTCTA</t>
  </si>
  <si>
    <t xml:space="preserve">AAACTAGAAGTTCAGGATACTCCT</t>
  </si>
  <si>
    <t xml:space="preserve">PST_0803</t>
  </si>
  <si>
    <t xml:space="preserve">rplO</t>
  </si>
  <si>
    <t xml:space="preserve">ACGCAGATCGTTCAGTTGCA</t>
  </si>
  <si>
    <t xml:space="preserve">TAGTACGCAGATCGTTCAGTTGCA</t>
  </si>
  <si>
    <t xml:space="preserve">AAACTGCAACTGAACGATCTGCGT</t>
  </si>
  <si>
    <t xml:space="preserve">AGCTTTTCGCGACGGGCACC</t>
  </si>
  <si>
    <t xml:space="preserve">TAGTAGCTTTTCGCGACGGGCACC</t>
  </si>
  <si>
    <t xml:space="preserve">AAACGGTGCCCGTCGCGAAAAGCT</t>
  </si>
  <si>
    <t xml:space="preserve">CCGCTGCCGATACCACGACC</t>
  </si>
  <si>
    <t xml:space="preserve">TAGTCCGCTGCCGATACCACGACC</t>
  </si>
  <si>
    <t xml:space="preserve">AAACGGTCGTGGTATCGGCAGCGG</t>
  </si>
  <si>
    <t xml:space="preserve">ACCTTTGTGGCCACGGCCAC</t>
  </si>
  <si>
    <t xml:space="preserve">TAGTACCTTTGTGGCCACGGCCAC</t>
  </si>
  <si>
    <t xml:space="preserve">AAACGTGGCCGTGGCCACAAAGGT</t>
  </si>
  <si>
    <t xml:space="preserve">PST_0804</t>
  </si>
  <si>
    <t xml:space="preserve">secY</t>
  </si>
  <si>
    <t xml:space="preserve">CAGACCACCATTACTCAGCG</t>
  </si>
  <si>
    <t xml:space="preserve">TAGTCAGACCACCATTACTCAGCG</t>
  </si>
  <si>
    <t xml:space="preserve">AAACCGCTGAGTAATGGTGGTCTG</t>
  </si>
  <si>
    <t xml:space="preserve">GCGCAGACGAGCCCAGAGTT</t>
  </si>
  <si>
    <t xml:space="preserve">TAGTGCGCAGACGAGCCCAGAGTT</t>
  </si>
  <si>
    <t xml:space="preserve">AAACAACTCTGGGCTCGTCTGCGC</t>
  </si>
  <si>
    <t xml:space="preserve">CTGGAATGTGTGCGCCAATC</t>
  </si>
  <si>
    <t xml:space="preserve">TAGTCTGGAATGTGTGCGCCAATC</t>
  </si>
  <si>
    <t xml:space="preserve">AAACGATTGGCGCACACATTCCAG</t>
  </si>
  <si>
    <t xml:space="preserve">AGCCGATCGGGATTGATCCC</t>
  </si>
  <si>
    <t xml:space="preserve">TAGTAGCCGATCGGGATTGATCCC</t>
  </si>
  <si>
    <t xml:space="preserve">AAACGGGATCAATCCCGATCGGCT</t>
  </si>
  <si>
    <t xml:space="preserve">PST_0805</t>
  </si>
  <si>
    <t xml:space="preserve">rpmJ</t>
  </si>
  <si>
    <t xml:space="preserve">GACGGATGATCTTGCAGTTA</t>
  </si>
  <si>
    <t xml:space="preserve">TAGTGACGGATGATCTTGCAGTTA</t>
  </si>
  <si>
    <t xml:space="preserve">AAACTAACTGCAAGATCATCCGTC</t>
  </si>
  <si>
    <t xml:space="preserve">CCTTGGCGCTGCTTGTGACG</t>
  </si>
  <si>
    <t xml:space="preserve">TAGTCCTTGGCGCTGCTTGTGACG</t>
  </si>
  <si>
    <t xml:space="preserve">AAACCGTCACAAGCAGCGCCAAGG</t>
  </si>
  <si>
    <t xml:space="preserve">PST_0806</t>
  </si>
  <si>
    <t xml:space="preserve">rpsM</t>
  </si>
  <si>
    <t xml:space="preserve">AATGTTGACGCCTGCAATAC</t>
  </si>
  <si>
    <t xml:space="preserve">TAGTAATGTTGACGCCTGCAATAC</t>
  </si>
  <si>
    <t xml:space="preserve">AAACGTATTGCAGGCGTCAACATT</t>
  </si>
  <si>
    <t xml:space="preserve">ATAACAGTGTGCTTGTTATC</t>
  </si>
  <si>
    <t xml:space="preserve">TAGTATAACAGTGTGCTTGTTATC</t>
  </si>
  <si>
    <t xml:space="preserve">AAACGATAACAAGCACACTGTTAT</t>
  </si>
  <si>
    <t xml:space="preserve">GCGACCAACACCGTAGATGT</t>
  </si>
  <si>
    <t xml:space="preserve">TAGTGCGACCAACACCGTAGATGT</t>
  </si>
  <si>
    <t xml:space="preserve">AAACACATCTACGGTGTTGGTCGC</t>
  </si>
  <si>
    <t xml:space="preserve">GGCACAGATTTCCTGCGCAC</t>
  </si>
  <si>
    <t xml:space="preserve">TAGTGGCACAGATTTCCTGCGCAC</t>
  </si>
  <si>
    <t xml:space="preserve">AAACGTGCGCAGGAAATCTGTGCC</t>
  </si>
  <si>
    <t xml:space="preserve">PST_0807</t>
  </si>
  <si>
    <t xml:space="preserve">rpsK</t>
  </si>
  <si>
    <t xml:space="preserve">TTTTTACGAGGACGAGCAGC</t>
  </si>
  <si>
    <t xml:space="preserve">TAGTTTTTTACGAGGACGAGCAGC</t>
  </si>
  <si>
    <t xml:space="preserve">AAACGCTGCTCGTCCTCGTAAAAA</t>
  </si>
  <si>
    <t xml:space="preserve">GTTGAAAGAAGCGTGGATGT</t>
  </si>
  <si>
    <t xml:space="preserve">TAGTGTTGAAAGAAGCGTGGATGT</t>
  </si>
  <si>
    <t xml:space="preserve">AAACACATCCACGCTTCTTTCAAC</t>
  </si>
  <si>
    <t xml:space="preserve">ACGATCGGTGATGGTCACGA</t>
  </si>
  <si>
    <t xml:space="preserve">TAGTACGATCGGTGATGGTCACGA</t>
  </si>
  <si>
    <t xml:space="preserve">AAACTCGTGACCATCACCGATCGT</t>
  </si>
  <si>
    <t xml:space="preserve">GGAACCACCCGAGGTAGCCC</t>
  </si>
  <si>
    <t xml:space="preserve">TAGTGGAACCACCCGAGGTAGCCC</t>
  </si>
  <si>
    <t xml:space="preserve">AAACGGGCTACCTCGGGTGGTTCC</t>
  </si>
  <si>
    <t xml:space="preserve">PST_0808</t>
  </si>
  <si>
    <t xml:space="preserve">rpsD</t>
  </si>
  <si>
    <t xml:space="preserve">CGACGAGACAGTTTGCACTT</t>
  </si>
  <si>
    <t xml:space="preserve">TAGTCGACGAGACAGTTTGCACTT</t>
  </si>
  <si>
    <t xml:space="preserve">AAACAAGTGCAAACTGTCTCGTCG</t>
  </si>
  <si>
    <t xml:space="preserve">GCGCGCGCGCACCACTCTTC</t>
  </si>
  <si>
    <t xml:space="preserve">TAGTGCGCGCGCGCACCACTCTTC</t>
  </si>
  <si>
    <t xml:space="preserve">AAACGAAGAGTGGTGCGCGCGCGC</t>
  </si>
  <si>
    <t xml:space="preserve">CGGAGTTTCAATGTTGCACT</t>
  </si>
  <si>
    <t xml:space="preserve">TAGTCGGAGTTTCAATGTTGCACT</t>
  </si>
  <si>
    <t xml:space="preserve">AAACAGTGCAACATTGAAACTCCG</t>
  </si>
  <si>
    <t xml:space="preserve">CGCTGGCCGTGCACACCTGG</t>
  </si>
  <si>
    <t xml:space="preserve">TAGTCGCTGGCCGTGCACACCTGG</t>
  </si>
  <si>
    <t xml:space="preserve">AAACCCAGGTGTGCACGGCCAGCG</t>
  </si>
  <si>
    <t xml:space="preserve">PST_0809</t>
  </si>
  <si>
    <t xml:space="preserve">rpoA</t>
  </si>
  <si>
    <t xml:space="preserve">CTCATTTACCGAACTCTGCA</t>
  </si>
  <si>
    <t xml:space="preserve">TAGTCTCATTTACCGAACTCTGCA</t>
  </si>
  <si>
    <t xml:space="preserve">AAACTGCAGAGTTCGGTAAATGAG</t>
  </si>
  <si>
    <t xml:space="preserve">CATCGATATGGCGGGGGGTC</t>
  </si>
  <si>
    <t xml:space="preserve">TAGTCATCGATATGGCGGGGGGTC</t>
  </si>
  <si>
    <t xml:space="preserve">AAACGACCCCCCGCCATATCGATG</t>
  </si>
  <si>
    <t xml:space="preserve">AGAGTGATCTTGGCACGGGT</t>
  </si>
  <si>
    <t xml:space="preserve">TAGTAGAGTGATCTTGGCACGGGT</t>
  </si>
  <si>
    <t xml:space="preserve">AAACACCCGTGCCAAGATCACTCT</t>
  </si>
  <si>
    <t xml:space="preserve">TGGCCAAAACCACGCTCGAG</t>
  </si>
  <si>
    <t xml:space="preserve">TAGTTGGCCAAAACCACGCTCGAG</t>
  </si>
  <si>
    <t xml:space="preserve">AAACCTCGAGCGTGGTTTTGGCCA</t>
  </si>
  <si>
    <t xml:space="preserve">PST_0810</t>
  </si>
  <si>
    <t xml:space="preserve">rplQ</t>
  </si>
  <si>
    <t xml:space="preserve">CGCTGGTGCGGCTCAGATGA</t>
  </si>
  <si>
    <t xml:space="preserve">TAGTCGCTGGTGCGGCTCAGATGA</t>
  </si>
  <si>
    <t xml:space="preserve">AAACTCATCTGAGCCGCACCAGCG</t>
  </si>
  <si>
    <t xml:space="preserve">CTGGAACATGGCCTTGCGGT</t>
  </si>
  <si>
    <t xml:space="preserve">TAGTCTGGAACATGGCCTTGCGGT</t>
  </si>
  <si>
    <t xml:space="preserve">AAACACCGCAAGGCCATGTTCCAG</t>
  </si>
  <si>
    <t xml:space="preserve">TTCTTTGGCCTTGGGCAGGG</t>
  </si>
  <si>
    <t xml:space="preserve">TAGTTTCTTTGGCCTTGGGCAGGG</t>
  </si>
  <si>
    <t xml:space="preserve">AAACCCCTGCCCAAGGCCAAAGAA</t>
  </si>
  <si>
    <t xml:space="preserve">GGCCAGGGTGATCAGCGGCT</t>
  </si>
  <si>
    <t xml:space="preserve">TAGTGGCCAGGGTGATCAGCGGCT</t>
  </si>
  <si>
    <t xml:space="preserve">AAACAGCCGCTGATCACCCTGGCC</t>
  </si>
  <si>
    <t xml:space="preserve">PST_0811</t>
  </si>
  <si>
    <t xml:space="preserve">katA</t>
  </si>
  <si>
    <t xml:space="preserve">CGGTGGTGAGGGTCTTGCCT</t>
  </si>
  <si>
    <t xml:space="preserve">TAGTCGGTGGTGAGGGTCTTGCCT</t>
  </si>
  <si>
    <t xml:space="preserve">AAACAGGCAAGACCCTCACCACCG</t>
  </si>
  <si>
    <t xml:space="preserve">GGCAACGGGGGCGCCAGCAG</t>
  </si>
  <si>
    <t xml:space="preserve">TAGTGGCAACGGGGGCGCCAGCAG</t>
  </si>
  <si>
    <t xml:space="preserve">AAACCTGCTGGCGCCCCCGTTGCC</t>
  </si>
  <si>
    <t xml:space="preserve">TGAACGAGAATTCTGATTGT</t>
  </si>
  <si>
    <t xml:space="preserve">TAGTTGAACGAGAATTCTGATTGT</t>
  </si>
  <si>
    <t xml:space="preserve">AAACACAATCAGAATTCTCGTTCA</t>
  </si>
  <si>
    <t xml:space="preserve">CAACAAAGGGCCACGAGGCC</t>
  </si>
  <si>
    <t xml:space="preserve">TAGTCAACAAAGGGCCACGAGGCC</t>
  </si>
  <si>
    <t xml:space="preserve">AAACGGCCTCGTGGCCCTTTGTTG</t>
  </si>
  <si>
    <t xml:space="preserve">PST_0812</t>
  </si>
  <si>
    <t xml:space="preserve">uvrA</t>
  </si>
  <si>
    <t xml:space="preserve">AGGGCTGCTAGAATCGCCGC</t>
  </si>
  <si>
    <t xml:space="preserve">TAGTAGGGCTGCTAGAATCGCCGC</t>
  </si>
  <si>
    <t xml:space="preserve">AAACGCGGCGATTCTAGCAGCCCT</t>
  </si>
  <si>
    <t xml:space="preserve">GCGCCTGTGCCGAACAGGGT</t>
  </si>
  <si>
    <t xml:space="preserve">TAGTGCGCCTGTGCCGAACAGGGT</t>
  </si>
  <si>
    <t xml:space="preserve">AAACACCCTGTTCGGCACAGGCGC</t>
  </si>
  <si>
    <t xml:space="preserve">TACGGCCGGGGTAACAGCCG</t>
  </si>
  <si>
    <t xml:space="preserve">TAGTTACGGCCGGGGTAACAGCCG</t>
  </si>
  <si>
    <t xml:space="preserve">AAACCGGCTGTTACCCCGGCCGTA</t>
  </si>
  <si>
    <t xml:space="preserve">CAAAACAGCCTCGCTGTGGC</t>
  </si>
  <si>
    <t xml:space="preserve">TAGTCAAAACAGCCTCGCTGTGGC</t>
  </si>
  <si>
    <t xml:space="preserve">AAACGCCACAGCGAGGCTGTTTTG</t>
  </si>
  <si>
    <t xml:space="preserve">PST_0813</t>
  </si>
  <si>
    <t xml:space="preserve">CTCGCTGTAGGGGTCCTGCA</t>
  </si>
  <si>
    <t xml:space="preserve">TAGTCTCGCTGTAGGGGTCCTGCA</t>
  </si>
  <si>
    <t xml:space="preserve">AAACTGCAGGACCCCTACAGCGAG</t>
  </si>
  <si>
    <t xml:space="preserve">GGAGGCTGCGCGAGTTTCGC</t>
  </si>
  <si>
    <t xml:space="preserve">TAGTGGAGGCTGCGCGAGTTTCGC</t>
  </si>
  <si>
    <t xml:space="preserve">AAACGCGAAACTCGCGCAGCCTCC</t>
  </si>
  <si>
    <t xml:space="preserve">CCATGAACATGCCGAGCATG</t>
  </si>
  <si>
    <t xml:space="preserve">TAGTCCATGAACATGCCGAGCATG</t>
  </si>
  <si>
    <t xml:space="preserve">AAACCATGCTCGGCATGTTCATGG</t>
  </si>
  <si>
    <t xml:space="preserve">ATACCGTAGGTCGCCAGCAC</t>
  </si>
  <si>
    <t xml:space="preserve">TAGTATACCGTAGGTCGCCAGCAC</t>
  </si>
  <si>
    <t xml:space="preserve">AAACGTGCTGGCGACCTACGGTAT</t>
  </si>
  <si>
    <t xml:space="preserve">PST_0814</t>
  </si>
  <si>
    <t xml:space="preserve">ssb</t>
  </si>
  <si>
    <t xml:space="preserve">TGGGCATGTAGCGGGTTTCC</t>
  </si>
  <si>
    <t xml:space="preserve">TAGTTGGGCATGTAGCGGGTTTCC</t>
  </si>
  <si>
    <t xml:space="preserve">AAACGGAAACCCGCTACATGCCCA</t>
  </si>
  <si>
    <t xml:space="preserve">GTTGGTCACCGCATTGCCAT</t>
  </si>
  <si>
    <t xml:space="preserve">TAGTGTTGGTCACCGCATTGCCAT</t>
  </si>
  <si>
    <t xml:space="preserve">AAACATGGCAATGCGGTGACCAAC</t>
  </si>
  <si>
    <t xml:space="preserve">CTTGTCCTTCCAGCTGTCGG</t>
  </si>
  <si>
    <t xml:space="preserve">TAGTCTTGTCCTTCCAGCTGTCGG</t>
  </si>
  <si>
    <t xml:space="preserve">AAACCCGACAGCTGGAAGGACAAG</t>
  </si>
  <si>
    <t xml:space="preserve">GGTGCGCTCCTGAAGCTGAC</t>
  </si>
  <si>
    <t xml:space="preserve">TAGTGGTGCGCTCCTGAAGCTGAC</t>
  </si>
  <si>
    <t xml:space="preserve">AAACGTCAGCTTCAGGAGCGCACC</t>
  </si>
  <si>
    <t xml:space="preserve">PST_0815</t>
  </si>
  <si>
    <t xml:space="preserve">ATCGTGGTGCTGGCACAGCT</t>
  </si>
  <si>
    <t xml:space="preserve">TAGTATCGTGGTGCTGGCACAGCT</t>
  </si>
  <si>
    <t xml:space="preserve">AAACAGCTGTGCCAGCACCACGAT</t>
  </si>
  <si>
    <t xml:space="preserve">TCGAACACGCGGTAGCTCGA</t>
  </si>
  <si>
    <t xml:space="preserve">TAGTTCGAACACGCGGTAGCTCGA</t>
  </si>
  <si>
    <t xml:space="preserve">AAACTCGAGCTACCGCGTGTTCGA</t>
  </si>
  <si>
    <t xml:space="preserve">ATCCTTTTCGCTGTAGGCAG</t>
  </si>
  <si>
    <t xml:space="preserve">TAGTATCCTTTTCGCTGTAGGCAG</t>
  </si>
  <si>
    <t xml:space="preserve">AAACCTGCCTACAGCGAAAAGGAT</t>
  </si>
  <si>
    <t xml:space="preserve">GCCTGGCCCCGGGCATCCAG</t>
  </si>
  <si>
    <t xml:space="preserve">TAGTGCCTGGCCCCGGGCATCCAG</t>
  </si>
  <si>
    <t xml:space="preserve">AAACCTGGATGCCCGGGGCCAGGC</t>
  </si>
  <si>
    <t xml:space="preserve">PST_0816</t>
  </si>
  <si>
    <t xml:space="preserve">ACCGCCGGTAACCAGAATCG</t>
  </si>
  <si>
    <t xml:space="preserve">TAGTACCGCCGGTAACCAGAATCG</t>
  </si>
  <si>
    <t xml:space="preserve">AAACCGATTCTGGTTACCGGCGGT</t>
  </si>
  <si>
    <t xml:space="preserve">CAGATTGGAGCCTATGAACC</t>
  </si>
  <si>
    <t xml:space="preserve">TAGTCAGATTGGAGCCTATGAACC</t>
  </si>
  <si>
    <t xml:space="preserve">AAACGGTTCATAGGCTCCAATCTG</t>
  </si>
  <si>
    <t xml:space="preserve">GAGGTTATCCAGCACTCGAA</t>
  </si>
  <si>
    <t xml:space="preserve">TAGTGAGGTTATCCAGCACTCGAA</t>
  </si>
  <si>
    <t xml:space="preserve">AAACTTCGAGTGCTGGATAACCTC</t>
  </si>
  <si>
    <t xml:space="preserve">CAGGTTTTCACGCTTGCCAG</t>
  </si>
  <si>
    <t xml:space="preserve">TAGTCAGGTTTTCACGCTTGCCAG</t>
  </si>
  <si>
    <t xml:space="preserve">AAACCTGGCAAGCGTGAAAACCTG</t>
  </si>
  <si>
    <t xml:space="preserve">PST_0817</t>
  </si>
  <si>
    <t xml:space="preserve">oprG</t>
  </si>
  <si>
    <t xml:space="preserve">CAGCGCGGAAGCGGTGAACA</t>
  </si>
  <si>
    <t xml:space="preserve">TAGTCAGCGCGGAAGCGGTGAACA</t>
  </si>
  <si>
    <t xml:space="preserve">AAACTGTTCACCGCTTCCGCGCTG</t>
  </si>
  <si>
    <t xml:space="preserve">GAAGGGGGCGGCCAGCGCCA</t>
  </si>
  <si>
    <t xml:space="preserve">TAGTGAAGGGGGCGGCCAGCGCCA</t>
  </si>
  <si>
    <t xml:space="preserve">AAACTGGCGCTGGCCGCCCCCTTC</t>
  </si>
  <si>
    <t xml:space="preserve">GTCCCCGGCTTCGAAAGCCT</t>
  </si>
  <si>
    <t xml:space="preserve">TAGTGTCCCCGGCTTCGAAAGCCT</t>
  </si>
  <si>
    <t xml:space="preserve">AAACAGGCTTTCGAAGCCGGGGAC</t>
  </si>
  <si>
    <t xml:space="preserve">GCTATCCTCACGCGGATCAA</t>
  </si>
  <si>
    <t xml:space="preserve">TAGTGCTATCCTCACGCGGATCAA</t>
  </si>
  <si>
    <t xml:space="preserve">AAACTTGATCCGCGTGAGGATAGC</t>
  </si>
  <si>
    <t xml:space="preserve">PST_0818</t>
  </si>
  <si>
    <t xml:space="preserve">GCGGGGGATGAAGGAAGGCA</t>
  </si>
  <si>
    <t xml:space="preserve">TAGTGCGGGGGATGAAGGAAGGCA</t>
  </si>
  <si>
    <t xml:space="preserve">AAACTGCCTTCCTTCATCCCCCGC</t>
  </si>
  <si>
    <t xml:space="preserve">GCAGCACGGCAACCGCCAAC</t>
  </si>
  <si>
    <t xml:space="preserve">TAGTGCAGCACGGCAACCGCCAAC</t>
  </si>
  <si>
    <t xml:space="preserve">AAACGTTGGCGGTTGCCGTGCTGC</t>
  </si>
  <si>
    <t xml:space="preserve">GCATACAGGTGCAGGCAGCA</t>
  </si>
  <si>
    <t xml:space="preserve">TAGTGCATACAGGTGCAGGCAGCA</t>
  </si>
  <si>
    <t xml:space="preserve">AAACTGCTGCCTGCACCTGTATGC</t>
  </si>
  <si>
    <t xml:space="preserve">CGCAGCGTCCAGCGGGGCCG</t>
  </si>
  <si>
    <t xml:space="preserve">TAGTCGCAGCGTCCAGCGGGGCCG</t>
  </si>
  <si>
    <t xml:space="preserve">AAACCGGCCCCGCTGGACGCTGCG</t>
  </si>
  <si>
    <t xml:space="preserve">PST_0819</t>
  </si>
  <si>
    <t xml:space="preserve">CAAGGAACAGGGAAAACAGA</t>
  </si>
  <si>
    <t xml:space="preserve">TAGTCAAGGAACAGGGAAAACAGA</t>
  </si>
  <si>
    <t xml:space="preserve">AAACTCTGTTTTCCCTGTTCCTTG</t>
  </si>
  <si>
    <t xml:space="preserve">TCCGCCGCATGAGAGGTGAG</t>
  </si>
  <si>
    <t xml:space="preserve">TAGTTCCGCCGCATGAGAGGTGAG</t>
  </si>
  <si>
    <t xml:space="preserve">AAACCTCACCTCTCATGCGGCGGA</t>
  </si>
  <si>
    <t xml:space="preserve">AGCAGCTGGTCGGGACTGAG</t>
  </si>
  <si>
    <t xml:space="preserve">TAGTAGCAGCTGGTCGGGACTGAG</t>
  </si>
  <si>
    <t xml:space="preserve">AAACCTCAGTCCCGACCAGCTGCT</t>
  </si>
  <si>
    <t xml:space="preserve">TGGCGCTGACCTCGGCCGCG</t>
  </si>
  <si>
    <t xml:space="preserve">TAGTTGGCGCTGACCTCGGCCGCG</t>
  </si>
  <si>
    <t xml:space="preserve">AAACCGCGGCCGAGGTCAGCGCCA</t>
  </si>
  <si>
    <t xml:space="preserve">PST_0820</t>
  </si>
  <si>
    <t xml:space="preserve">exbB2</t>
  </si>
  <si>
    <t xml:space="preserve">CCACATCACCACCCCACCCG</t>
  </si>
  <si>
    <t xml:space="preserve">TAGTCCACATCACCACCCCACCCG</t>
  </si>
  <si>
    <t xml:space="preserve">AAACCGGGTGGGGTGGTGATGTGG</t>
  </si>
  <si>
    <t xml:space="preserve">CCAATAAAGCACGCAGAGGC</t>
  </si>
  <si>
    <t xml:space="preserve">TAGTCCAATAAAGCACGCAGAGGC</t>
  </si>
  <si>
    <t xml:space="preserve">AAACGCCTCTGCGTGCTTTATTGG</t>
  </si>
  <si>
    <t xml:space="preserve">AGACCCGACGCATGAACCAC</t>
  </si>
  <si>
    <t xml:space="preserve">TAGTAGACCCGACGCATGAACCAC</t>
  </si>
  <si>
    <t xml:space="preserve">AAACGTGGTTCATGCGTCGGGTCT</t>
  </si>
  <si>
    <t xml:space="preserve">CGGCGCGACTCGACCCAATG</t>
  </si>
  <si>
    <t xml:space="preserve">TAGTCGGCGCGACTCGACCCAATG</t>
  </si>
  <si>
    <t xml:space="preserve">AAACCATTGGGTCGAGTCGCGCCG</t>
  </si>
  <si>
    <t xml:space="preserve">PST_0821</t>
  </si>
  <si>
    <t xml:space="preserve">exbD2</t>
  </si>
  <si>
    <t xml:space="preserve">TGTCTTCTTCCTGCTGGTAA</t>
  </si>
  <si>
    <t xml:space="preserve">TAGTTGTCTTCTTCCTGCTGGTAA</t>
  </si>
  <si>
    <t xml:space="preserve">AAACTTACCAGCAGGAAGAAGACA</t>
  </si>
  <si>
    <t xml:space="preserve">CATCGGCGTGAGATCGATAC</t>
  </si>
  <si>
    <t xml:space="preserve">TAGTCATCGGCGTGAGATCGATAC</t>
  </si>
  <si>
    <t xml:space="preserve">AAACGTATCGATCTCACGCCGATG</t>
  </si>
  <si>
    <t xml:space="preserve">CGACTCCTTGATGAAGGAGC</t>
  </si>
  <si>
    <t xml:space="preserve">TAGTCGACTCCTTGATGAAGGAGC</t>
  </si>
  <si>
    <t xml:space="preserve">AAACGCTCCTTCATCAAGGAGTCG</t>
  </si>
  <si>
    <t xml:space="preserve">CGCTCGCGGTATCGGCCTGC</t>
  </si>
  <si>
    <t xml:space="preserve">TAGTCGCTCGCGGTATCGGCCTGC</t>
  </si>
  <si>
    <t xml:space="preserve">AAACGCAGGCCGATACCGCGAGCG</t>
  </si>
  <si>
    <t xml:space="preserve">PST_0822</t>
  </si>
  <si>
    <t xml:space="preserve">AGACTGAAACGGACCAGCCG</t>
  </si>
  <si>
    <t xml:space="preserve">TAGTAGACTGAAACGGACCAGCCG</t>
  </si>
  <si>
    <t xml:space="preserve">AAACCGGCTGGTCCGTTTCAGTCT</t>
  </si>
  <si>
    <t xml:space="preserve">ATTGACCATGCTCAGCATCA</t>
  </si>
  <si>
    <t xml:space="preserve">TAGTATTGACCATGCTCAGCATCA</t>
  </si>
  <si>
    <t xml:space="preserve">AAACTGATGCTGAGCATGGTCAAT</t>
  </si>
  <si>
    <t xml:space="preserve">TCCTGAATCTTGCTGCGCGG</t>
  </si>
  <si>
    <t xml:space="preserve">TAGTTCCTGAATCTTGCTGCGCGG</t>
  </si>
  <si>
    <t xml:space="preserve">AAACCCGCGCAGCAAGATTCAGGA</t>
  </si>
  <si>
    <t xml:space="preserve">CGAAATTGGCGATGGCCAGC</t>
  </si>
  <si>
    <t xml:space="preserve">TAGTCGAAATTGGCGATGGCCAGC</t>
  </si>
  <si>
    <t xml:space="preserve">AAACGCTGGCCATCGCCAATTTCG</t>
  </si>
  <si>
    <t xml:space="preserve">PST_0823</t>
  </si>
  <si>
    <t xml:space="preserve">GACCGAAGCAGCGAGGGAAA</t>
  </si>
  <si>
    <t xml:space="preserve">TAGTGACCGAAGCAGCGAGGGAAA</t>
  </si>
  <si>
    <t xml:space="preserve">AAACTTTCCCTCGCTGCTTCGGTC</t>
  </si>
  <si>
    <t xml:space="preserve">GGTCGATGGCCTGGGCAGCC</t>
  </si>
  <si>
    <t xml:space="preserve">TAGTGGTCGATGGCCTGGGCAGCC</t>
  </si>
  <si>
    <t xml:space="preserve">AAACGGCTGCCCAGGCCATCGACC</t>
  </si>
  <si>
    <t xml:space="preserve">CGAGCGCCATGAACACGGCC</t>
  </si>
  <si>
    <t xml:space="preserve">TAGTCGAGCGCCATGAACACGGCC</t>
  </si>
  <si>
    <t xml:space="preserve">AAACGGCCGTGTTCATGGCGCTCG</t>
  </si>
  <si>
    <t xml:space="preserve">ATAGTCGCCCTTGCTCTGCG</t>
  </si>
  <si>
    <t xml:space="preserve">TAGTATAGTCGCCCTTGCTCTGCG</t>
  </si>
  <si>
    <t xml:space="preserve">AAACCGCAGAGCAAGGGCGACTAT</t>
  </si>
  <si>
    <t xml:space="preserve">PST_0824</t>
  </si>
  <si>
    <t xml:space="preserve">GCGAACAGCAGGCGTGGCAT</t>
  </si>
  <si>
    <t xml:space="preserve">TAGTGCGAACAGCAGGCGTGGCAT</t>
  </si>
  <si>
    <t xml:space="preserve">AAACATGCCACGCCTGCTGTTCGC</t>
  </si>
  <si>
    <t xml:space="preserve">CAGCGCGCAGGCCAGGAGCA</t>
  </si>
  <si>
    <t xml:space="preserve">TAGTCAGCGCGCAGGCCAGGAGCA</t>
  </si>
  <si>
    <t xml:space="preserve">AAACTGCTCCTGGCCTGCGCGCTG</t>
  </si>
  <si>
    <t xml:space="preserve">CGGACTTCAGCCGCGTGCAG</t>
  </si>
  <si>
    <t xml:space="preserve">TAGTCGGACTTCAGCCGCGTGCAG</t>
  </si>
  <si>
    <t xml:space="preserve">AAACCTGCACGCGGCTGAAGTCCG</t>
  </si>
  <si>
    <t xml:space="preserve">GCTCCGACCATTGCAGCAGA</t>
  </si>
  <si>
    <t xml:space="preserve">TAGTGCTCCGACCATTGCAGCAGA</t>
  </si>
  <si>
    <t xml:space="preserve">AAACTCTGCTGCAATGGTCGGAGC</t>
  </si>
  <si>
    <t xml:space="preserve">PST_0825</t>
  </si>
  <si>
    <t xml:space="preserve">GCGATTGTTCAGGCTCGCCA</t>
  </si>
  <si>
    <t xml:space="preserve">TAGTGCGATTGTTCAGGCTCGCCA</t>
  </si>
  <si>
    <t xml:space="preserve">AAACTGGCGAGCCTGAACAATCGC</t>
  </si>
  <si>
    <t xml:space="preserve">CGGTCAGCAGGGCGGTAAAG</t>
  </si>
  <si>
    <t xml:space="preserve">TAGTCGGTCAGCAGGGCGGTAAAG</t>
  </si>
  <si>
    <t xml:space="preserve">AAACCTTTACCGCCCTGCTGACCG</t>
  </si>
  <si>
    <t xml:space="preserve">TGACAACGCGATGGCGAATA</t>
  </si>
  <si>
    <t xml:space="preserve">TAGTTGACAACGCGATGGCGAATA</t>
  </si>
  <si>
    <t xml:space="preserve">AAACTATTCGCCATCGCGTTGTCA</t>
  </si>
  <si>
    <t xml:space="preserve">TTCGCTGCGTACCCGTTCGA</t>
  </si>
  <si>
    <t xml:space="preserve">TAGTTTCGCTGCGTACCCGTTCGA</t>
  </si>
  <si>
    <t xml:space="preserve">AAACTCGAACGGGTACGCAGCGAA</t>
  </si>
  <si>
    <t xml:space="preserve">PST_0826</t>
  </si>
  <si>
    <t xml:space="preserve">GTCGATTGCGAGAAGTGGAG</t>
  </si>
  <si>
    <t xml:space="preserve">TAGTGTCGATTGCGAGAAGTGGAG</t>
  </si>
  <si>
    <t xml:space="preserve">AAACCTCCACTTCTCGCAATCGAC</t>
  </si>
  <si>
    <t xml:space="preserve">GGCGTGGCCAGGCGAAGCCG</t>
  </si>
  <si>
    <t xml:space="preserve">TAGTGGCGTGGCCAGGCGAAGCCG</t>
  </si>
  <si>
    <t xml:space="preserve">AAACCGGCTTCGCCTGGCCACGCC</t>
  </si>
  <si>
    <t xml:space="preserve">GCAGGGGATATCCAGCAGCT</t>
  </si>
  <si>
    <t xml:space="preserve">TAGTGCAGGGGATATCCAGCAGCT</t>
  </si>
  <si>
    <t xml:space="preserve">AAACAGCTGCTGGATATCCCCTGC</t>
  </si>
  <si>
    <t xml:space="preserve">ACAGGCTCTCGCCGCGCTCG</t>
  </si>
  <si>
    <t xml:space="preserve">TAGTACAGGCTCTCGCCGCGCTCG</t>
  </si>
  <si>
    <t xml:space="preserve">AAACCGAGCGCGGCGAGAGCCTGT</t>
  </si>
  <si>
    <t xml:space="preserve">PST_0827</t>
  </si>
  <si>
    <t xml:space="preserve">GGCGAGCAGTAAGTGGCGCA</t>
  </si>
  <si>
    <t xml:space="preserve">TAGTGGCGAGCAGTAAGTGGCGCA</t>
  </si>
  <si>
    <t xml:space="preserve">AAACTGCGCCACTTACTGCTCGCC</t>
  </si>
  <si>
    <t xml:space="preserve">GGGCAACAGAAGCACGGGTA</t>
  </si>
  <si>
    <t xml:space="preserve">TAGTGGGCAACAGAAGCACGGGTA</t>
  </si>
  <si>
    <t xml:space="preserve">AAACTACCCGTGCTTCTGTTGCCC</t>
  </si>
  <si>
    <t xml:space="preserve">TGTGCTTGGCTGTAGCTCAG</t>
  </si>
  <si>
    <t xml:space="preserve">TAGTTGTGCTTGGCTGTAGCTCAG</t>
  </si>
  <si>
    <t xml:space="preserve">AAACCTGAGCTACAGCCAAGCACA</t>
  </si>
  <si>
    <t xml:space="preserve">ATGTTCGTGGGCGCCGAGGC</t>
  </si>
  <si>
    <t xml:space="preserve">TAGTATGTTCGTGGGCGCCGAGGC</t>
  </si>
  <si>
    <t xml:space="preserve">AAACGCCTCGGCGCCCACGAACAT</t>
  </si>
  <si>
    <t xml:space="preserve">PST_0828</t>
  </si>
  <si>
    <t xml:space="preserve">CCCCTATGCGCCCACGGATT</t>
  </si>
  <si>
    <t xml:space="preserve">TAGTCCCCTATGCGCCCACGGATT</t>
  </si>
  <si>
    <t xml:space="preserve">AAACAATCCGTGGGCGCATAGGGG</t>
  </si>
  <si>
    <t xml:space="preserve">AGTTCGATTTCCAGATCGAC</t>
  </si>
  <si>
    <t xml:space="preserve">TAGTAGTTCGATTTCCAGATCGAC</t>
  </si>
  <si>
    <t xml:space="preserve">AAACGTCGATCTGGAAATCGAACT</t>
  </si>
  <si>
    <t xml:space="preserve">CGGCGCCCAGCCCACGCGCC</t>
  </si>
  <si>
    <t xml:space="preserve">TAGTCGGCGCCCAGCCCACGCGCC</t>
  </si>
  <si>
    <t xml:space="preserve">AAACGGCGCGTGGGCTGGGCGCCG</t>
  </si>
  <si>
    <t xml:space="preserve">CCCGGCCGAGCTGATCTCGA</t>
  </si>
  <si>
    <t xml:space="preserve">TAGTCCCGGCCGAGCTGATCTCGA</t>
  </si>
  <si>
    <t xml:space="preserve">AAACTCGAGATCAGCTCGGCCGGG</t>
  </si>
  <si>
    <t xml:space="preserve">PST_0829</t>
  </si>
  <si>
    <t xml:space="preserve">trx-1</t>
  </si>
  <si>
    <t xml:space="preserve">ATATAGGGCGTCTGGCTCAT</t>
  </si>
  <si>
    <t xml:space="preserve">TAGTATATAGGGCGTCTGGCTCAT</t>
  </si>
  <si>
    <t xml:space="preserve">AAACATGAGCCAGACGCCCTATAT</t>
  </si>
  <si>
    <t xml:space="preserve">CAGCTGTTCGAAACTGGCGG</t>
  </si>
  <si>
    <t xml:space="preserve">TAGTCAGCTGTTCGAAACTGGCGG</t>
  </si>
  <si>
    <t xml:space="preserve">AAACCCGCCAGTTTCGAACAGCTG</t>
  </si>
  <si>
    <t xml:space="preserve">AATCCACCAGCACCGGCTTG</t>
  </si>
  <si>
    <t xml:space="preserve">TAGTAATCCACCAGCACCGGCTTG</t>
  </si>
  <si>
    <t xml:space="preserve">AAACCAAGCCGGTGCTGGTGGATT</t>
  </si>
  <si>
    <t xml:space="preserve">CTTGCATGGCGCGCACCATT</t>
  </si>
  <si>
    <t xml:space="preserve">TAGTCTTGCATGGCGCGCACCATT</t>
  </si>
  <si>
    <t xml:space="preserve">AAACAATGGTGCGCGCCATGCAAG</t>
  </si>
  <si>
    <t xml:space="preserve">PST_0830</t>
  </si>
  <si>
    <t xml:space="preserve">CTCCCGGAAATCGGAGAGAA</t>
  </si>
  <si>
    <t xml:space="preserve">TAGTCTCCCGGAAATCGGAGAGAA</t>
  </si>
  <si>
    <t xml:space="preserve">AAACTTCTCTCCGATTTCCGGGAG</t>
  </si>
  <si>
    <t xml:space="preserve">AGCGCGACGAGCGCCGGCAG</t>
  </si>
  <si>
    <t xml:space="preserve">TAGTAGCGCGACGAGCGCCGGCAG</t>
  </si>
  <si>
    <t xml:space="preserve">AAACCTGCCGGCGCTCGTCGCGCT</t>
  </si>
  <si>
    <t xml:space="preserve">GATGGCGAAGTAGTAGGCGG</t>
  </si>
  <si>
    <t xml:space="preserve">TAGTGATGGCGAAGTAGTAGGCGG</t>
  </si>
  <si>
    <t xml:space="preserve">AAACCCGCCTACTACTTCGCCATC</t>
  </si>
  <si>
    <t xml:space="preserve">GGTGACGGCCCAGAAGGTTC</t>
  </si>
  <si>
    <t xml:space="preserve">TAGTGGTGACGGCCCAGAAGGTTC</t>
  </si>
  <si>
    <t xml:space="preserve">AAACGAACCTTCTGGGCCGTCACC</t>
  </si>
  <si>
    <t xml:space="preserve">PST_0831</t>
  </si>
  <si>
    <t xml:space="preserve">CAGCAACTGCCCTGGTTGCA</t>
  </si>
  <si>
    <t xml:space="preserve">TAGTCAGCAACTGCCCTGGTTGCA</t>
  </si>
  <si>
    <t xml:space="preserve">AAACTGCAACCAGGGCAGTTGCTG</t>
  </si>
  <si>
    <t xml:space="preserve">CCCTTGGCCGTGGCGTCCTC</t>
  </si>
  <si>
    <t xml:space="preserve">TAGTCCCTTGGCCGTGGCGTCCTC</t>
  </si>
  <si>
    <t xml:space="preserve">AAACGAGGACGCCACGGCCAAGGG</t>
  </si>
  <si>
    <t xml:space="preserve">GACCGTGCTGCTCCACCGCC</t>
  </si>
  <si>
    <t xml:space="preserve">TAGTGACCGTGCTGCTCCACCGCC</t>
  </si>
  <si>
    <t xml:space="preserve">AAACGGCGGTGGAGCAGCACGGTC</t>
  </si>
  <si>
    <t xml:space="preserve">TCGATGAGAAAGCGGAACAG</t>
  </si>
  <si>
    <t xml:space="preserve">TAGTTCGATGAGAAAGCGGAACAG</t>
  </si>
  <si>
    <t xml:space="preserve">AAACCTGTTCCGCTTTCTCATCGA</t>
  </si>
  <si>
    <t xml:space="preserve">PST_0832</t>
  </si>
  <si>
    <t xml:space="preserve">ligT</t>
  </si>
  <si>
    <t xml:space="preserve">GCGCAGACTTTCCTCGCTCA</t>
  </si>
  <si>
    <t xml:space="preserve">TAGTGCGCAGACTTTCCTCGCTCA</t>
  </si>
  <si>
    <t xml:space="preserve">AAACTGAGCGAGGAAAGTCTGCGC</t>
  </si>
  <si>
    <t xml:space="preserve">GGCAGGGCAGGGCGAAGAAC</t>
  </si>
  <si>
    <t xml:space="preserve">TAGTGGCAGGGCAGGGCGAAGAAC</t>
  </si>
  <si>
    <t xml:space="preserve">AAACGTTCTTCGCCCTGCCCTGCC</t>
  </si>
  <si>
    <t xml:space="preserve">TGGCCGTCGCCTGGTCGGGC</t>
  </si>
  <si>
    <t xml:space="preserve">TAGTTGGCCGTCGCCTGGTCGGGC</t>
  </si>
  <si>
    <t xml:space="preserve">AAACGCCCGACCAGGCGACGGCCA</t>
  </si>
  <si>
    <t xml:space="preserve">GCCGTCACGCCAGGCGCAGA</t>
  </si>
  <si>
    <t xml:space="preserve">TAGTGCCGTCACGCCAGGCGCAGA</t>
  </si>
  <si>
    <t xml:space="preserve">AAACTCTGCGCCTGGCGTGACGGC</t>
  </si>
  <si>
    <t xml:space="preserve">PST_0833</t>
  </si>
  <si>
    <t xml:space="preserve">CTGCGGTGCCCACGACACCA</t>
  </si>
  <si>
    <t xml:space="preserve">TAGTCTGCGGTGCCCACGACACCA</t>
  </si>
  <si>
    <t xml:space="preserve">AAACTGGTGTCGTGGGCACCGCAG</t>
  </si>
  <si>
    <t xml:space="preserve">GCCGGTCGGATGCGCTACCA</t>
  </si>
  <si>
    <t xml:space="preserve">TAGTGCCGGTCGGATGCGCTACCA</t>
  </si>
  <si>
    <t xml:space="preserve">AAACTGGTAGCGCATCCGACCGGC</t>
  </si>
  <si>
    <t xml:space="preserve">GCCTCCTGAACGGCGATTGC</t>
  </si>
  <si>
    <t xml:space="preserve">TAGTGCCTCCTGAACGGCGATTGC</t>
  </si>
  <si>
    <t xml:space="preserve">AAACGCAATCGCCGTTCAGGAGGC</t>
  </si>
  <si>
    <t xml:space="preserve">AGAAAGCGTGATGGCACGGA</t>
  </si>
  <si>
    <t xml:space="preserve">TAGTAGAAAGCGTGATGGCACGGA</t>
  </si>
  <si>
    <t xml:space="preserve">AAACTCCGTGCCATCACGCTTTCT</t>
  </si>
  <si>
    <t xml:space="preserve">PST_0834</t>
  </si>
  <si>
    <t xml:space="preserve">AGGCCAGGCACTCGCGGCGG</t>
  </si>
  <si>
    <t xml:space="preserve">TAGTAGGCCAGGCACTCGCGGCGG</t>
  </si>
  <si>
    <t xml:space="preserve">AAACCCGCCGCGAGTGCCTGGCCT</t>
  </si>
  <si>
    <t xml:space="preserve">GGTGGTGAAGCGCTCGCCAC</t>
  </si>
  <si>
    <t xml:space="preserve">TAGTGGTGGTGAAGCGCTCGCCAC</t>
  </si>
  <si>
    <t xml:space="preserve">AAACGTGGCGAGCGCTTCACCACC</t>
  </si>
  <si>
    <t xml:space="preserve">CACCAGCTCGGCGGTTTCAA</t>
  </si>
  <si>
    <t xml:space="preserve">TAGTCACCAGCTCGGCGGTTTCAA</t>
  </si>
  <si>
    <t xml:space="preserve">AAACTTGAAACCGCCGAGCTGGTG</t>
  </si>
  <si>
    <t xml:space="preserve">CCGTCGGACTTGATCAGTCG</t>
  </si>
  <si>
    <t xml:space="preserve">TAGTCCGTCGGACTTGATCAGTCG</t>
  </si>
  <si>
    <t xml:space="preserve">AAACCGACTGATCAAGTCCGACGG</t>
  </si>
  <si>
    <t xml:space="preserve">PST_0835</t>
  </si>
  <si>
    <t xml:space="preserve">ribD</t>
  </si>
  <si>
    <t xml:space="preserve">GCGCGCCAACTGCAGCGCCC</t>
  </si>
  <si>
    <t xml:space="preserve">TAGTGCGCGCCAACTGCAGCGCCC</t>
  </si>
  <si>
    <t xml:space="preserve">AAACGGGCGCTGCAGTTGGCGCGC</t>
  </si>
  <si>
    <t xml:space="preserve">ACCGACCCGCGGGTTCGGAT</t>
  </si>
  <si>
    <t xml:space="preserve">TAGTACCGACCCGCGGGTTCGGAT</t>
  </si>
  <si>
    <t xml:space="preserve">AAACATCCGAACCCGCGGGTCGGT</t>
  </si>
  <si>
    <t xml:space="preserve">TTCGCCGACCAGTTCGCCAT</t>
  </si>
  <si>
    <t xml:space="preserve">TAGTTTCGCCGACCAGTTCGCCAT</t>
  </si>
  <si>
    <t xml:space="preserve">AAACATGGCGAACTGGTCGGCGAA</t>
  </si>
  <si>
    <t xml:space="preserve">GACTTCGGCATGCGGCTCGC</t>
  </si>
  <si>
    <t xml:space="preserve">TAGTGACTTCGGCATGCGGCTCGC</t>
  </si>
  <si>
    <t xml:space="preserve">AAACGCGAGCCGCATGCCGAAGTC</t>
  </si>
  <si>
    <t xml:space="preserve">PST_0836</t>
  </si>
  <si>
    <t xml:space="preserve">ribE-1</t>
  </si>
  <si>
    <t xml:space="preserve">GCCGATGGCTTCGATTATTC</t>
  </si>
  <si>
    <t xml:space="preserve">TAGTGCCGATGGCTTCGATTATTC</t>
  </si>
  <si>
    <t xml:space="preserve">AAACGAATAATCGAAGCCATCGGC</t>
  </si>
  <si>
    <t xml:space="preserve">CTTGGGGGTGAGCGCACGGA</t>
  </si>
  <si>
    <t xml:space="preserve">TAGTCTTGGGGGTGAGCGCACGGA</t>
  </si>
  <si>
    <t xml:space="preserve">AAACTCCGTGCGCTCACCCCCAAG</t>
  </si>
  <si>
    <t xml:space="preserve">TGCCGGTTTCGACCAACACG</t>
  </si>
  <si>
    <t xml:space="preserve">TAGTTGCCGGTTTCGACCAACACG</t>
  </si>
  <si>
    <t xml:space="preserve">AAACCGTGTTGGTCGAAACCGGCA</t>
  </si>
  <si>
    <t xml:space="preserve">CGTCAGGCAGACGCCGTTGA</t>
  </si>
  <si>
    <t xml:space="preserve">TAGTCGTCAGGCAGACGCCGTTGA</t>
  </si>
  <si>
    <t xml:space="preserve">AAACTCAACGGCGTCTGCCTGACG</t>
  </si>
  <si>
    <t xml:space="preserve">PST_0837</t>
  </si>
  <si>
    <t xml:space="preserve">ribBA-1</t>
  </si>
  <si>
    <t xml:space="preserve">TCAGCGGTATTGAGCGCCAT</t>
  </si>
  <si>
    <t xml:space="preserve">TAGTTCAGCGGTATTGAGCGCCAT</t>
  </si>
  <si>
    <t xml:space="preserve">AAACATGGCGCTCAATACCGCTGA</t>
  </si>
  <si>
    <t xml:space="preserve">GGATGACCATCTTGCCGGCG</t>
  </si>
  <si>
    <t xml:space="preserve">TAGTGGATGACCATCTTGCCGGCG</t>
  </si>
  <si>
    <t xml:space="preserve">AAACCGCCGGCAAGATGGTCATCC</t>
  </si>
  <si>
    <t xml:space="preserve">CGCGGTCCTCGTCATCCATG</t>
  </si>
  <si>
    <t xml:space="preserve">TAGTCGCGGTCCTCGTCATCCATG</t>
  </si>
  <si>
    <t xml:space="preserve">AAACCATGGATGACGAGGACCGCG</t>
  </si>
  <si>
    <t xml:space="preserve">CTCGGCGGTGACGCACTCGG</t>
  </si>
  <si>
    <t xml:space="preserve">TAGTCTCGGCGGTGACGCACTCGG</t>
  </si>
  <si>
    <t xml:space="preserve">AAACCCGAGTGCGTCACCGCCGAG</t>
  </si>
  <si>
    <t xml:space="preserve">PST_0838</t>
  </si>
  <si>
    <t xml:space="preserve">ribH</t>
  </si>
  <si>
    <t xml:space="preserve">TCGATGGTCTTCAGGGGCAT</t>
  </si>
  <si>
    <t xml:space="preserve">TAGTTCGATGGTCTTCAGGGGCAT</t>
  </si>
  <si>
    <t xml:space="preserve">AAACATGCCCCTGAAGACCATCGA</t>
  </si>
  <si>
    <t xml:space="preserve">TTTGCCCTGCGGGGCTATGA</t>
  </si>
  <si>
    <t xml:space="preserve">TAGTTTTGCCCTGCGGGGCTATGA</t>
  </si>
  <si>
    <t xml:space="preserve">AAACTCATAGCCCCGCAGGGCAAA</t>
  </si>
  <si>
    <t xml:space="preserve">GTTGAAGCGGCCTACGACCA</t>
  </si>
  <si>
    <t xml:space="preserve">TAGTGTTGAAGCGGCCTACGACCA</t>
  </si>
  <si>
    <t xml:space="preserve">AAACTGGTCGTAGGCCGCTTCAAC</t>
  </si>
  <si>
    <t xml:space="preserve">TGTCGTTTTCGCTGACGCCG</t>
  </si>
  <si>
    <t xml:space="preserve">TAGTTGTCGTTTTCGCTGACGCCG</t>
  </si>
  <si>
    <t xml:space="preserve">AAACCGGCGTCAGCGAAAACGACA</t>
  </si>
  <si>
    <t xml:space="preserve">PST_0839</t>
  </si>
  <si>
    <t xml:space="preserve">nusB</t>
  </si>
  <si>
    <t xml:space="preserve">CCTGGCTATCGTCGTGATTC</t>
  </si>
  <si>
    <t xml:space="preserve">TAGTCCTGGCTATCGTCGTGATTC</t>
  </si>
  <si>
    <t xml:space="preserve">AAACGAATCACGACGATAGCCAGG</t>
  </si>
  <si>
    <t xml:space="preserve">TTGCCCTTGGCCTTGGGCTG</t>
  </si>
  <si>
    <t xml:space="preserve">TAGTTTGCCCTTGGCCTTGGGCTG</t>
  </si>
  <si>
    <t xml:space="preserve">AAACCAGCCCAAGGCCAAGGGCAA</t>
  </si>
  <si>
    <t xml:space="preserve">GCTGCGAGCGACCCGGCGCG</t>
  </si>
  <si>
    <t xml:space="preserve">TAGTGCTGCGAGCGACCCGGCGCG</t>
  </si>
  <si>
    <t xml:space="preserve">AAACCGCGCCGGGTCGCTCGCAGC</t>
  </si>
  <si>
    <t xml:space="preserve">GATACAACGCCTGCATCGCC</t>
  </si>
  <si>
    <t xml:space="preserve">TAGTGATACAACGCCTGCATCGCC</t>
  </si>
  <si>
    <t xml:space="preserve">AAACGGCGATGCAGGCGTTGTATC</t>
  </si>
  <si>
    <t xml:space="preserve">PST_0840</t>
  </si>
  <si>
    <t xml:space="preserve">thiL</t>
  </si>
  <si>
    <t xml:space="preserve">CAGCTCGAACTCACCCAGCA</t>
  </si>
  <si>
    <t xml:space="preserve">TAGTCAGCTCGAACTCACCCAGCA</t>
  </si>
  <si>
    <t xml:space="preserve">AAACTGCTGGGTGAGTTCGAGCTG</t>
  </si>
  <si>
    <t xml:space="preserve">CGGCGGCGGCGAAGTAGTGA</t>
  </si>
  <si>
    <t xml:space="preserve">TAGTCGGCGGCGGCGAAGTAGTGA</t>
  </si>
  <si>
    <t xml:space="preserve">AAACTCACTACTTCGCCGCCGCCG</t>
  </si>
  <si>
    <t xml:space="preserve">GCCGCCGGCCCTGGCGCAAG</t>
  </si>
  <si>
    <t xml:space="preserve">TAGTGCCGCCGGCCCTGGCGCAAG</t>
  </si>
  <si>
    <t xml:space="preserve">AAACCTTGCGCCAGGGCCGGCGGC</t>
  </si>
  <si>
    <t xml:space="preserve">ACCGGAGGGAATCTGCAGCA</t>
  </si>
  <si>
    <t xml:space="preserve">TAGTACCGGAGGGAATCTGCAGCA</t>
  </si>
  <si>
    <t xml:space="preserve">AAACTGCTGCAGATTCCCTCCGGT</t>
  </si>
  <si>
    <t xml:space="preserve">PST_0841</t>
  </si>
  <si>
    <t xml:space="preserve">GTTTGCGGCTTGGCCGCGAC</t>
  </si>
  <si>
    <t xml:space="preserve">TAGTGTTTGCGGCTTGGCCGCGAC</t>
  </si>
  <si>
    <t xml:space="preserve">AAACGTCGCGGCCAAGCCGCAAAC</t>
  </si>
  <si>
    <t xml:space="preserve">CCAGGGGTTGGACCAGACCA</t>
  </si>
  <si>
    <t xml:space="preserve">TAGTCCAGGGGTTGGACCAGACCA</t>
  </si>
  <si>
    <t xml:space="preserve">AAACTGGTCTGGTCCAACCCCTGG</t>
  </si>
  <si>
    <t xml:space="preserve">CGGACCCGAAGCCGAACGCC</t>
  </si>
  <si>
    <t xml:space="preserve">TAGTCGGACCCGAAGCCGAACGCC</t>
  </si>
  <si>
    <t xml:space="preserve">AAACGGCGTTCGGCTTCGGGTCCG</t>
  </si>
  <si>
    <t xml:space="preserve">CGGCGCCTTGGGCATCAACC</t>
  </si>
  <si>
    <t xml:space="preserve">TAGTCGGCGCCTTGGGCATCAACC</t>
  </si>
  <si>
    <t xml:space="preserve">AAACGGTTGATGCCCAAGGCGCCG</t>
  </si>
  <si>
    <t xml:space="preserve">PST_0842</t>
  </si>
  <si>
    <t xml:space="preserve">CAGAACGGGGATGCTACGCA</t>
  </si>
  <si>
    <t xml:space="preserve">TAGTCAGAACGGGGATGCTACGCA</t>
  </si>
  <si>
    <t xml:space="preserve">AAACTGCGTAGCATCCCCGTTCTG</t>
  </si>
  <si>
    <t xml:space="preserve">CGCGGGCAGCAGCAACAGGC</t>
  </si>
  <si>
    <t xml:space="preserve">TAGTCGCGGGCAGCAGCAACAGGC</t>
  </si>
  <si>
    <t xml:space="preserve">AAACGCCTGTTGCTGCTGCCCGCG</t>
  </si>
  <si>
    <t xml:space="preserve">GACCACCTGCACCATTGACG</t>
  </si>
  <si>
    <t xml:space="preserve">TAGTGACCACCTGCACCATTGACG</t>
  </si>
  <si>
    <t xml:space="preserve">AAACCGTCAATGGTGCAGGTGGTC</t>
  </si>
  <si>
    <t xml:space="preserve">ACGTTGACCACCGCCGCACC</t>
  </si>
  <si>
    <t xml:space="preserve">TAGTACGTTGACCACCGCCGCACC</t>
  </si>
  <si>
    <t xml:space="preserve">AAACGGTGCGGCGGTGGTCAACGT</t>
  </si>
  <si>
    <t xml:space="preserve">PST_0843</t>
  </si>
  <si>
    <t xml:space="preserve">ribA</t>
  </si>
  <si>
    <t xml:space="preserve">GCCGATACTGCCGTCCAGCC</t>
  </si>
  <si>
    <t xml:space="preserve">TAGTGCCGATACTGCCGTCCAGCC</t>
  </si>
  <si>
    <t xml:space="preserve">AAACGGCTGGACGGCAGTATCGGC</t>
  </si>
  <si>
    <t xml:space="preserve">ACACTAACTGCGGGCGAATC</t>
  </si>
  <si>
    <t xml:space="preserve">TAGTACACTAACTGCGGGCGAATC</t>
  </si>
  <si>
    <t xml:space="preserve">AAACGATTCGCCCGCAGTTAGTGT</t>
  </si>
  <si>
    <t xml:space="preserve">AGTCCCAGGCGGCAGAAAAG</t>
  </si>
  <si>
    <t xml:space="preserve">TAGTAGTCCCAGGCGGCAGAAAAG</t>
  </si>
  <si>
    <t xml:space="preserve">AAACCTTTTCTGCCGCCTGGGACT</t>
  </si>
  <si>
    <t xml:space="preserve">ACGAACACGACAGACACGGG</t>
  </si>
  <si>
    <t xml:space="preserve">TAGTACGAACACGACAGACACGGG</t>
  </si>
  <si>
    <t xml:space="preserve">AAACCCCGTGTCTGTCGTGTTCGT</t>
  </si>
  <si>
    <t xml:space="preserve">PST_0844</t>
  </si>
  <si>
    <t xml:space="preserve">GCTGGCGGCGGGCGGCGACG</t>
  </si>
  <si>
    <t xml:space="preserve">TAGTGCTGGCGGCGGGCGGCGACG</t>
  </si>
  <si>
    <t xml:space="preserve">AAACCGTCGCCGCCCGCCGCCAGC</t>
  </si>
  <si>
    <t xml:space="preserve">GCGCGCCCGAGCACCAACAC</t>
  </si>
  <si>
    <t xml:space="preserve">TAGTGCGCGCCCGAGCACCAACAC</t>
  </si>
  <si>
    <t xml:space="preserve">AAACGTGTTGGTGCTCGGGCGCGC</t>
  </si>
  <si>
    <t xml:space="preserve">GAAGAGCGGTAGCCCCCAAT</t>
  </si>
  <si>
    <t xml:space="preserve">TAGTGAAGAGCGGTAGCCCCCAAT</t>
  </si>
  <si>
    <t xml:space="preserve">AAACATTGGGGGCTACCGCTCTTC</t>
  </si>
  <si>
    <t xml:space="preserve">TGCATGTTTGAAGGCGGTGA</t>
  </si>
  <si>
    <t xml:space="preserve">TAGTTGCATGTTTGAAGGCGGTGA</t>
  </si>
  <si>
    <t xml:space="preserve">AAACTCACCGCCTTCAAACATGCA</t>
  </si>
  <si>
    <t xml:space="preserve">PST_0845</t>
  </si>
  <si>
    <t xml:space="preserve">CGTGGCCAGCAGTGCCAGGG</t>
  </si>
  <si>
    <t xml:space="preserve">TAGTCGTGGCCAGCAGTGCCAGGG</t>
  </si>
  <si>
    <t xml:space="preserve">AAACCCCTGGCACTGCTGGCCACG</t>
  </si>
  <si>
    <t xml:space="preserve">ACCCGCTGCGCGGCAACCGC</t>
  </si>
  <si>
    <t xml:space="preserve">TAGTACCCGCTGCGCGGCAACCGC</t>
  </si>
  <si>
    <t xml:space="preserve">AAACGCGGTTGCCGCGCAGCGGGT</t>
  </si>
  <si>
    <t xml:space="preserve">TTTCGCTGAGCGAGGGCGCC</t>
  </si>
  <si>
    <t xml:space="preserve">TAGTTTTCGCTGAGCGAGGGCGCC</t>
  </si>
  <si>
    <t xml:space="preserve">AAACGGCGCCCTCGCTCAGCGAAA</t>
  </si>
  <si>
    <t xml:space="preserve">CACACCGGCCAGGCGGTCCA</t>
  </si>
  <si>
    <t xml:space="preserve">TAGTCACACCGGCCAGGCGGTCCA</t>
  </si>
  <si>
    <t xml:space="preserve">AAACTGGACCGCCTGGCCGGTGTG</t>
  </si>
  <si>
    <t xml:space="preserve">PST_0846</t>
  </si>
  <si>
    <t xml:space="preserve">CGCCACGGCGAGGGCAAGTC</t>
  </si>
  <si>
    <t xml:space="preserve">TAGTCGCCACGGCGAGGGCAAGTC</t>
  </si>
  <si>
    <t xml:space="preserve">AAACGACTTGCCCTCGCCGTGGCG</t>
  </si>
  <si>
    <t xml:space="preserve">GCAGCAAACACCTGCACGCC</t>
  </si>
  <si>
    <t xml:space="preserve">TAGTGCAGCAAACACCTGCACGCC</t>
  </si>
  <si>
    <t xml:space="preserve">AAACGGCGTGCAGGTGTTTGCTGC</t>
  </si>
  <si>
    <t xml:space="preserve">GTTTGCGCTGACCACCGTAT</t>
  </si>
  <si>
    <t xml:space="preserve">TAGTGTTTGCGCTGACCACCGTAT</t>
  </si>
  <si>
    <t xml:space="preserve">AAACATACGGTGGTCAGCGCAAAC</t>
  </si>
  <si>
    <t xml:space="preserve">GGCTGCGTCGCTGTGGTTCG</t>
  </si>
  <si>
    <t xml:space="preserve">TAGTGGCTGCGTCGCTGTGGTTCG</t>
  </si>
  <si>
    <t xml:space="preserve">AAACCGAACCACAGCGACGCAGCC</t>
  </si>
  <si>
    <t xml:space="preserve">PST_0847</t>
  </si>
  <si>
    <t xml:space="preserve">sbcC</t>
  </si>
  <si>
    <t xml:space="preserve">GGTTCTTCAGGCGGATGGCG</t>
  </si>
  <si>
    <t xml:space="preserve">TAGTGGTTCTTCAGGCGGATGGCG</t>
  </si>
  <si>
    <t xml:space="preserve">AAACCGCCATCCGCCTGAAGAACC</t>
  </si>
  <si>
    <t xml:space="preserve">GTTCTCCGGCCAGAGAGGCC</t>
  </si>
  <si>
    <t xml:space="preserve">TAGTGTTCTCCGGCCAGAGAGGCC</t>
  </si>
  <si>
    <t xml:space="preserve">AAACGGCCTCTCTGGCCGGAGAAC</t>
  </si>
  <si>
    <t xml:space="preserve">GGCGCTGGCCAGGGGTTCCG</t>
  </si>
  <si>
    <t xml:space="preserve">TAGTGGCGCTGGCCAGGGGTTCCG</t>
  </si>
  <si>
    <t xml:space="preserve">AAACCGGAACCCCTGGCCAGCGCC</t>
  </si>
  <si>
    <t xml:space="preserve">CCCGGTGATGGCGAACAGCC</t>
  </si>
  <si>
    <t xml:space="preserve">TAGTCCCGGTGATGGCGAACAGCC</t>
  </si>
  <si>
    <t xml:space="preserve">AAACGGCTGTTCGCCATCACCGGG</t>
  </si>
  <si>
    <t xml:space="preserve">PST_0848</t>
  </si>
  <si>
    <t xml:space="preserve">sbcD</t>
  </si>
  <si>
    <t xml:space="preserve">TGGGCTTCGGCGGACGGTTC</t>
  </si>
  <si>
    <t xml:space="preserve">TAGTTGGGCTTCGGCGGACGGTTC</t>
  </si>
  <si>
    <t xml:space="preserve">AAACGAACCGTCCGCCGAAGCCCA</t>
  </si>
  <si>
    <t xml:space="preserve">TGTGGCACTCGTGACTGTCG</t>
  </si>
  <si>
    <t xml:space="preserve">TAGTTGTGGCACTCGTGACTGTCG</t>
  </si>
  <si>
    <t xml:space="preserve">AAACCGACAGTCACGAGTGCCACA</t>
  </si>
  <si>
    <t xml:space="preserve">GGGAAGTTGCGTCGGATGTA</t>
  </si>
  <si>
    <t xml:space="preserve">TAGTGGGAAGTTGCGTCGGATGTA</t>
  </si>
  <si>
    <t xml:space="preserve">AAACTACATCCGACGCAACTTCCC</t>
  </si>
  <si>
    <t xml:space="preserve">GCTGGCTTGGTTTGTGCGGC</t>
  </si>
  <si>
    <t xml:space="preserve">TAGTGCTGGCTTGGTTTGTGCGGC</t>
  </si>
  <si>
    <t xml:space="preserve">AAACGCCGCACAAACCAAGCCAGC</t>
  </si>
  <si>
    <t xml:space="preserve">PST_0849</t>
  </si>
  <si>
    <t xml:space="preserve">GCGGCCTTCCCACCAGGCGA</t>
  </si>
  <si>
    <t xml:space="preserve">TAGTGCGGCCTTCCCACCAGGCGA</t>
  </si>
  <si>
    <t xml:space="preserve">AAACTCGCCTGGTGGGAAGGCCGC</t>
  </si>
  <si>
    <t xml:space="preserve">GCATCAGGTGGCCCGTGGTC</t>
  </si>
  <si>
    <t xml:space="preserve">TAGTGCATCAGGTGGCCCGTGGTC</t>
  </si>
  <si>
    <t xml:space="preserve">AAACGACCACGGGCCACCTGATGC</t>
  </si>
  <si>
    <t xml:space="preserve">TGTCCTTCGAGGCCTGCTGG</t>
  </si>
  <si>
    <t xml:space="preserve">TAGTTGTCCTTCGAGGCCTGCTGG</t>
  </si>
  <si>
    <t xml:space="preserve">AAACCCAGCAGGCCTCGAAGGACA</t>
  </si>
  <si>
    <t xml:space="preserve">GGGCGCATGTTCGTTGAGGT</t>
  </si>
  <si>
    <t xml:space="preserve">TAGTGGGCGCATGTTCGTTGAGGT</t>
  </si>
  <si>
    <t xml:space="preserve">AAACACCTCAACGAACATGCGCCC</t>
  </si>
  <si>
    <t xml:space="preserve">PST_0850</t>
  </si>
  <si>
    <t xml:space="preserve">GCAGGGTGGCGATGAGGGCC</t>
  </si>
  <si>
    <t xml:space="preserve">TAGTGCAGGGTGGCGATGAGGGCC</t>
  </si>
  <si>
    <t xml:space="preserve">AAACGGCCCTCATCGCCACCCTGC</t>
  </si>
  <si>
    <t xml:space="preserve">GGATTCGAACAGCCAGAGGC</t>
  </si>
  <si>
    <t xml:space="preserve">TAGTGGATTCGAACAGCCAGAGGC</t>
  </si>
  <si>
    <t xml:space="preserve">AAACGCCTCTGGCTGTTCGAATCC</t>
  </si>
  <si>
    <t xml:space="preserve">TTCCAGGCTGCGCCTGAGGC</t>
  </si>
  <si>
    <t xml:space="preserve">TAGTTTCCAGGCTGCGCCTGAGGC</t>
  </si>
  <si>
    <t xml:space="preserve">AAACGCCTCAGGCGCAGCCTGGAA</t>
  </si>
  <si>
    <t xml:space="preserve">CAGCGCTACCAACAGGCCCT</t>
  </si>
  <si>
    <t xml:space="preserve">TAGTCAGCGCTACCAACAGGCCCT</t>
  </si>
  <si>
    <t xml:space="preserve">AAACAGGGCCTGTTGGTAGCGCTG</t>
  </si>
  <si>
    <t xml:space="preserve">PST_0851</t>
  </si>
  <si>
    <t xml:space="preserve">GCGACCAGTTCGTCAGCCAG</t>
  </si>
  <si>
    <t xml:space="preserve">TAGTGCGACCAGTTCGTCAGCCAG</t>
  </si>
  <si>
    <t xml:space="preserve">AAACCTGGCTGACGAACTGGTCGC</t>
  </si>
  <si>
    <t xml:space="preserve">GTAGCCCTGGCGGCTGAGAC</t>
  </si>
  <si>
    <t xml:space="preserve">TAGTGTAGCCCTGGCGGCTGAGAC</t>
  </si>
  <si>
    <t xml:space="preserve">AAACGTCTCAGCCGCCAGGGCTAC</t>
  </si>
  <si>
    <t xml:space="preserve">GCCATCGGTGAGCCAGTCGG</t>
  </si>
  <si>
    <t xml:space="preserve">TAGTGCCATCGGTGAGCCAGTCGG</t>
  </si>
  <si>
    <t xml:space="preserve">AAACCCGACTGGCTCACCGATGGC</t>
  </si>
  <si>
    <t xml:space="preserve">CTCGGTCGCGCCCTGGTATT</t>
  </si>
  <si>
    <t xml:space="preserve">TAGTCTCGGTCGCGCCCTGGTATT</t>
  </si>
  <si>
    <t xml:space="preserve">AAACAATACCAGGGCGCGACCGAG</t>
  </si>
  <si>
    <t xml:space="preserve">PST_0852</t>
  </si>
  <si>
    <t xml:space="preserve">ACAAGAAGAGGGGCACGCAT</t>
  </si>
  <si>
    <t xml:space="preserve">TAGTACAAGAAGAGGGGCACGCAT</t>
  </si>
  <si>
    <t xml:space="preserve">AAACATGCGTGCCCCTCTTCTTGT</t>
  </si>
  <si>
    <t xml:space="preserve">GCGGCGAGCAGCAGAACCAG</t>
  </si>
  <si>
    <t xml:space="preserve">TAGTGCGGCGAGCAGCAGAACCAG</t>
  </si>
  <si>
    <t xml:space="preserve">AAACCTGGTTCTGCTGCTCGCCGC</t>
  </si>
  <si>
    <t xml:space="preserve">GTCGCGGCTCACCGCCGGGG</t>
  </si>
  <si>
    <t xml:space="preserve">TAGTGTCGCGGCTCACCGCCGGGG</t>
  </si>
  <si>
    <t xml:space="preserve">AAACCCCCGGCGGTGAGCCGCGAC</t>
  </si>
  <si>
    <t xml:space="preserve">GCAGGGCCTCGTCCTGGTCC</t>
  </si>
  <si>
    <t xml:space="preserve">TAGTGCAGGGCCTCGTCCTGGTCC</t>
  </si>
  <si>
    <t xml:space="preserve">AAACGGACCAGGACGAGGCCCTGC</t>
  </si>
  <si>
    <t xml:space="preserve">PST_0854</t>
  </si>
  <si>
    <t xml:space="preserve">CCCGGCGACTACGCTTGCAG</t>
  </si>
  <si>
    <t xml:space="preserve">TAGTCCCGGCGACTACGCTTGCAG</t>
  </si>
  <si>
    <t xml:space="preserve">AAACCTGCAAGCGTAGTCGCCGGG</t>
  </si>
  <si>
    <t xml:space="preserve">CGAATGCACCATTCGAGCGA</t>
  </si>
  <si>
    <t xml:space="preserve">TAGTCGAATGCACCATTCGAGCGA</t>
  </si>
  <si>
    <t xml:space="preserve">AAACTCGCTCGAATGGTGCATTCG</t>
  </si>
  <si>
    <t xml:space="preserve">CGAAACTGAATGTCGCCCGC</t>
  </si>
  <si>
    <t xml:space="preserve">TAGTCGAAACTGAATGTCGCCCGC</t>
  </si>
  <si>
    <t xml:space="preserve">AAACGCGGGCGACATTCAGTTTCG</t>
  </si>
  <si>
    <t xml:space="preserve">GATTCACAGGTTACGAGGGC</t>
  </si>
  <si>
    <t xml:space="preserve">TAGTGATTCACAGGTTACGAGGGC</t>
  </si>
  <si>
    <t xml:space="preserve">AAACGCCCTCGTAACCTGTGAATC</t>
  </si>
  <si>
    <t xml:space="preserve">PST_0853</t>
  </si>
  <si>
    <t xml:space="preserve">CTTGAGCAGGTCTTCTGCCA</t>
  </si>
  <si>
    <t xml:space="preserve">TAGTCTTGAGCAGGTCTTCTGCCA</t>
  </si>
  <si>
    <t xml:space="preserve">AAACTGGCAGAAGACCTGCTCAAG</t>
  </si>
  <si>
    <t xml:space="preserve">ACCGCTGGCGCAGCCGTGGA</t>
  </si>
  <si>
    <t xml:space="preserve">TAGTACCGCTGGCGCAGCCGTGGA</t>
  </si>
  <si>
    <t xml:space="preserve">AAACTCCACGGCTGCGCCAGCGGT</t>
  </si>
  <si>
    <t xml:space="preserve">GCGGCTTCCAGACCGTCACC</t>
  </si>
  <si>
    <t xml:space="preserve">TAGTGCGGCTTCCAGACCGTCACC</t>
  </si>
  <si>
    <t xml:space="preserve">AAACGGTGACGGTCTGGAAGCCGC</t>
  </si>
  <si>
    <t xml:space="preserve">GCCGTGGGCCAGGTGAGTGG</t>
  </si>
  <si>
    <t xml:space="preserve">TAGTGCCGTGGGCCAGGTGAGTGG</t>
  </si>
  <si>
    <t xml:space="preserve">AAACCCACTCACCTGGCCCACGGC</t>
  </si>
  <si>
    <t xml:space="preserve">PST_0855</t>
  </si>
  <si>
    <t xml:space="preserve">TACGACCTTGTGCGTTGTCA</t>
  </si>
  <si>
    <t xml:space="preserve">TAGTTACGACCTTGTGCGTTGTCA</t>
  </si>
  <si>
    <t xml:space="preserve">AAACTGACAACGCACAAGGTCGTA</t>
  </si>
  <si>
    <t xml:space="preserve">GGCGGCGAGCCAGTCCTGGT</t>
  </si>
  <si>
    <t xml:space="preserve">TAGTGGCGGCGAGCCAGTCCTGGT</t>
  </si>
  <si>
    <t xml:space="preserve">AAACACCAGGACTGGCTCGCCGCC</t>
  </si>
  <si>
    <t xml:space="preserve">CTCGCGCAGATGAGCGCTGT</t>
  </si>
  <si>
    <t xml:space="preserve">TAGTCTCGCGCAGATGAGCGCTGT</t>
  </si>
  <si>
    <t xml:space="preserve">AAACACAGCGCTCATCTGCGCGAG</t>
  </si>
  <si>
    <t xml:space="preserve">GAAGAGTGCGTCGCGTTGGC</t>
  </si>
  <si>
    <t xml:space="preserve">TAGTGAAGAGTGCGTCGCGTTGGC</t>
  </si>
  <si>
    <t xml:space="preserve">AAACGCCAACGCGACGCACTCTTC</t>
  </si>
  <si>
    <t xml:space="preserve">PST_0856</t>
  </si>
  <si>
    <t xml:space="preserve">TGCCTGAAATACGAGCCCAA</t>
  </si>
  <si>
    <t xml:space="preserve">TAGTTGCCTGAAATACGAGCCCAA</t>
  </si>
  <si>
    <t xml:space="preserve">AAACTTGGGCTCGTATTTCAGGCA</t>
  </si>
  <si>
    <t xml:space="preserve">TCGTATCGGGCCTTTGGTGC</t>
  </si>
  <si>
    <t xml:space="preserve">TAGTTCGTATCGGGCCTTTGGTGC</t>
  </si>
  <si>
    <t xml:space="preserve">AAACGCACCAAAGGCCCGATACGA</t>
  </si>
  <si>
    <t xml:space="preserve">TCGTTTTTCCTTCTGCGAAC</t>
  </si>
  <si>
    <t xml:space="preserve">TAGTTCGTTTTTCCTTCTGCGAAC</t>
  </si>
  <si>
    <t xml:space="preserve">AAACGTTCGCAGAAGGAAAAACGA</t>
  </si>
  <si>
    <t xml:space="preserve">CAGGATGGCAACAGCGAACG</t>
  </si>
  <si>
    <t xml:space="preserve">TAGTCAGGATGGCAACAGCGAACG</t>
  </si>
  <si>
    <t xml:space="preserve">AAACCGTTCGCTGTTGCCATCCTG</t>
  </si>
  <si>
    <t xml:space="preserve">PST_0857</t>
  </si>
  <si>
    <t xml:space="preserve">CGGGAATTGGAGGGGGGCAT</t>
  </si>
  <si>
    <t xml:space="preserve">TAGTCGGGAATTGGAGGGGGGCAT</t>
  </si>
  <si>
    <t xml:space="preserve">AAACATGCCCCCCTCCAATTCCCG</t>
  </si>
  <si>
    <t xml:space="preserve">GCAGGTGCAGGGTGCTGGGA</t>
  </si>
  <si>
    <t xml:space="preserve">TAGTGCAGGTGCAGGGTGCTGGGA</t>
  </si>
  <si>
    <t xml:space="preserve">AAACTCCCAGCACCCTGCACCTGC</t>
  </si>
  <si>
    <t xml:space="preserve">ACCGTAGGCCAGTCGCCTTG</t>
  </si>
  <si>
    <t xml:space="preserve">TAGTACCGTAGGCCAGTCGCCTTG</t>
  </si>
  <si>
    <t xml:space="preserve">AAACCAAGGCGACTGGCCTACGGT</t>
  </si>
  <si>
    <t xml:space="preserve">TTGCCGGAAAGCGCTCGCAC</t>
  </si>
  <si>
    <t xml:space="preserve">TAGTTTGCCGGAAAGCGCTCGCAC</t>
  </si>
  <si>
    <t xml:space="preserve">AAACGTGCGAGCGCTTTCCGGCAA</t>
  </si>
  <si>
    <t xml:space="preserve">PST_0858</t>
  </si>
  <si>
    <t xml:space="preserve">CAGACTCGCCCGTGCGGCGA</t>
  </si>
  <si>
    <t xml:space="preserve">TAGTCAGACTCGCCCGTGCGGCGA</t>
  </si>
  <si>
    <t xml:space="preserve">AAACTCGCCGCACGGGCGAGTCTG</t>
  </si>
  <si>
    <t xml:space="preserve">GATGGATGGACCTTCGGGCA</t>
  </si>
  <si>
    <t xml:space="preserve">TAGTGATGGATGGACCTTCGGGCA</t>
  </si>
  <si>
    <t xml:space="preserve">AAACTGCCCGAAGGTCCATCCATC</t>
  </si>
  <si>
    <t xml:space="preserve">TGAACGCCGCGACTTCCTCG</t>
  </si>
  <si>
    <t xml:space="preserve">TAGTTGAACGCCGCGACTTCCTCG</t>
  </si>
  <si>
    <t xml:space="preserve">AAACCGAGGAAGTCGCGGCGTTCA</t>
  </si>
  <si>
    <t xml:space="preserve">GTCGACCTTGGCACTGCCTT</t>
  </si>
  <si>
    <t xml:space="preserve">TAGTGTCGACCTTGGCACTGCCTT</t>
  </si>
  <si>
    <t xml:space="preserve">AAACAAGGCAGTGCCAAGGTCGAC</t>
  </si>
  <si>
    <t xml:space="preserve">PST_0859</t>
  </si>
  <si>
    <t xml:space="preserve">CGTCATCGAAATACAGCAGC</t>
  </si>
  <si>
    <t xml:space="preserve">TAGTCGTCATCGAAATACAGCAGC</t>
  </si>
  <si>
    <t xml:space="preserve">AAACGCTGCTGTATTTCGATGACG</t>
  </si>
  <si>
    <t xml:space="preserve">TTCGGCCAGGCGCAGGGCGG</t>
  </si>
  <si>
    <t xml:space="preserve">TAGTTTCGGCCAGGCGCAGGGCGG</t>
  </si>
  <si>
    <t xml:space="preserve">AAACCCGCCCTGCGCCTGGCCGAA</t>
  </si>
  <si>
    <t xml:space="preserve">TGAGGCGGCGGGCAGGCCGG</t>
  </si>
  <si>
    <t xml:space="preserve">TAGTTGAGGCGGCGGGCAGGCCGG</t>
  </si>
  <si>
    <t xml:space="preserve">AAACCCGGCCTGCCCGCCGCCTCA</t>
  </si>
  <si>
    <t xml:space="preserve">GCTCGTCATCGGGAAAACGG</t>
  </si>
  <si>
    <t xml:space="preserve">TAGTGCTCGTCATCGGGAAAACGG</t>
  </si>
  <si>
    <t xml:space="preserve">AAACCCGTTTTCCCGATGACGAGC</t>
  </si>
  <si>
    <t xml:space="preserve">PST_0860</t>
  </si>
  <si>
    <t xml:space="preserve">AGCCTCAGCGTAGCGCCGCT</t>
  </si>
  <si>
    <t xml:space="preserve">TAGTAGCCTCAGCGTAGCGCCGCT</t>
  </si>
  <si>
    <t xml:space="preserve">AAACAGCGGCGCTACGCTGAGGCT</t>
  </si>
  <si>
    <t xml:space="preserve">CGCATTCGCTGGAGGGATGA</t>
  </si>
  <si>
    <t xml:space="preserve">TAGTCGCATTCGCTGGAGGGATGA</t>
  </si>
  <si>
    <t xml:space="preserve">AAACTCATCCCTCCAGCGAATGCG</t>
  </si>
  <si>
    <t xml:space="preserve">CGGCGTGTCGCTGGAAATGC</t>
  </si>
  <si>
    <t xml:space="preserve">TAGTCGGCGTGTCGCTGGAAATGC</t>
  </si>
  <si>
    <t xml:space="preserve">AAACGCATTTCCAGCGACACGCCG</t>
  </si>
  <si>
    <t xml:space="preserve">ACCGGGGCTTTGCCGTTGAG</t>
  </si>
  <si>
    <t xml:space="preserve">TAGTACCGGGGCTTTGCCGTTGAG</t>
  </si>
  <si>
    <t xml:space="preserve">AAACCTCAACGGCAAAGCCCCGGT</t>
  </si>
  <si>
    <t xml:space="preserve">PST_0861</t>
  </si>
  <si>
    <t xml:space="preserve">GGTCTTGCCTGTGAGGTTCA</t>
  </si>
  <si>
    <t xml:space="preserve">TAGTGGTCTTGCCTGTGAGGTTCA</t>
  </si>
  <si>
    <t xml:space="preserve">AAACTGAACCTCACAGGCAAGACC</t>
  </si>
  <si>
    <t xml:space="preserve">GGTGGAGCCGGTGACCAGTG</t>
  </si>
  <si>
    <t xml:space="preserve">TAGTGGTGGAGCCGGTGACCAGTG</t>
  </si>
  <si>
    <t xml:space="preserve">AAACCACTGGTCACCGGCTCCACC</t>
  </si>
  <si>
    <t xml:space="preserve">AATGCCCAGCCCGATGCCGC</t>
  </si>
  <si>
    <t xml:space="preserve">TAGTAATGCCCAGCCCGATGCCGC</t>
  </si>
  <si>
    <t xml:space="preserve">AAACGCGGCATCGGGCTGGGCATT</t>
  </si>
  <si>
    <t xml:space="preserve">GATCAGATCGGCGCCGGCCT</t>
  </si>
  <si>
    <t xml:space="preserve">TAGTGATCAGATCGGCGCCGGCCT</t>
  </si>
  <si>
    <t xml:space="preserve">AAACAGGCCGGCGCCGATCTGATC</t>
  </si>
  <si>
    <t xml:space="preserve">PST_0862</t>
  </si>
  <si>
    <t xml:space="preserve">AGGGCGATGACGACGCTCAT</t>
  </si>
  <si>
    <t xml:space="preserve">TAGTAGGGCGATGACGACGCTCAT</t>
  </si>
  <si>
    <t xml:space="preserve">AAACATGAGCGTCGTCATCGCCCT</t>
  </si>
  <si>
    <t xml:space="preserve">TCAGCAGGGCCAATGCAGCA</t>
  </si>
  <si>
    <t xml:space="preserve">TAGTTCAGCAGGGCCAATGCAGCA</t>
  </si>
  <si>
    <t xml:space="preserve">AAACTGCTGCATTGGCCCTGCTGA</t>
  </si>
  <si>
    <t xml:space="preserve">GACACTGTAGCCGCGGTAGG</t>
  </si>
  <si>
    <t xml:space="preserve">TAGTGACACTGTAGCCGCGGTAGG</t>
  </si>
  <si>
    <t xml:space="preserve">AAACCCTACCGCGGCTACAGTGTC</t>
  </si>
  <si>
    <t xml:space="preserve">CGCGCCCATGGCGGCGATGG</t>
  </si>
  <si>
    <t xml:space="preserve">TAGTCGCGCCCATGGCGGCGATGG</t>
  </si>
  <si>
    <t xml:space="preserve">AAACCCATCGCCGCCATGGGCGCG</t>
  </si>
  <si>
    <t xml:space="preserve">PST_0863</t>
  </si>
  <si>
    <t xml:space="preserve">CACCAGGTAGACGCTGGCGG</t>
  </si>
  <si>
    <t xml:space="preserve">TAGTCACCAGGTAGACGCTGGCGG</t>
  </si>
  <si>
    <t xml:space="preserve">AAACCCGCCAGCGTCTACCTGGTG</t>
  </si>
  <si>
    <t xml:space="preserve">CGAAGACGAAGGGCGAGGGA</t>
  </si>
  <si>
    <t xml:space="preserve">TAGTCGAAGACGAAGGGCGAGGGA</t>
  </si>
  <si>
    <t xml:space="preserve">AAACTCCCTCGCCCTTCGTCTTCG</t>
  </si>
  <si>
    <t xml:space="preserve">CACGATCAACGTGAGAAGGA</t>
  </si>
  <si>
    <t xml:space="preserve">TAGTCACGATCAACGTGAGAAGGA</t>
  </si>
  <si>
    <t xml:space="preserve">AAACTCCTTCTCACGTTGATCGTG</t>
  </si>
  <si>
    <t xml:space="preserve">CTGACCGGTGCTGAGCATGG</t>
  </si>
  <si>
    <t xml:space="preserve">TAGTCTGACCGGTGCTGAGCATGG</t>
  </si>
  <si>
    <t xml:space="preserve">AAACCCATGCTCAGCACCGGTCAG</t>
  </si>
  <si>
    <t xml:space="preserve">PST_0864</t>
  </si>
  <si>
    <t xml:space="preserve">GGGCTGGGCGGTGGTCGCGA</t>
  </si>
  <si>
    <t xml:space="preserve">TAGTGGGCTGGGCGGTGGTCGCGA</t>
  </si>
  <si>
    <t xml:space="preserve">AAACTCGCGACCACCGCCCAGCCC</t>
  </si>
  <si>
    <t xml:space="preserve">TCCAGTCGCAACGGCTGGGC</t>
  </si>
  <si>
    <t xml:space="preserve">TAGTTCCAGTCGCAACGGCTGGGC</t>
  </si>
  <si>
    <t xml:space="preserve">AAACGCCCAGCCGTTGCGACTGGA</t>
  </si>
  <si>
    <t xml:space="preserve">CAGGAAGGTATCCGCATATT</t>
  </si>
  <si>
    <t xml:space="preserve">TAGTCAGGAAGGTATCCGCATATT</t>
  </si>
  <si>
    <t xml:space="preserve">AAACAATATGCGGATACCTTCCTG</t>
  </si>
  <si>
    <t xml:space="preserve">CGAGTTCGGTGCGCCCCATC</t>
  </si>
  <si>
    <t xml:space="preserve">TAGTCGAGTTCGGTGCGCCCCATC</t>
  </si>
  <si>
    <t xml:space="preserve">AAACGATGGGGCGCACCGAACTCG</t>
  </si>
  <si>
    <t xml:space="preserve">PST_0865</t>
  </si>
  <si>
    <t xml:space="preserve">TTTTGTTGTTGTTTGCGAAT</t>
  </si>
  <si>
    <t xml:space="preserve">TAGTTTTTGTTGTTGTTTGCGAAT</t>
  </si>
  <si>
    <t xml:space="preserve">AAACATTCGCAAACAACAACAAAA</t>
  </si>
  <si>
    <t xml:space="preserve">ACTCAGAGGTGTGGACTGCA</t>
  </si>
  <si>
    <t xml:space="preserve">TAGTACTCAGAGGTGTGGACTGCA</t>
  </si>
  <si>
    <t xml:space="preserve">AAACTGCAGTCCACACCTCTGAGT</t>
  </si>
  <si>
    <t xml:space="preserve">CGTTGTGCTGCAGCAGCAGG</t>
  </si>
  <si>
    <t xml:space="preserve">TAGTCGTTGTGCTGCAGCAGCAGG</t>
  </si>
  <si>
    <t xml:space="preserve">AAACCCTGCTGCTGCAGCACAACG</t>
  </si>
  <si>
    <t xml:space="preserve">GATTTCCGCAGCGGACAGAT</t>
  </si>
  <si>
    <t xml:space="preserve">TAGTGATTTCCGCAGCGGACAGAT</t>
  </si>
  <si>
    <t xml:space="preserve">AAACATCTGTCCGCTGCGGAAATC</t>
  </si>
  <si>
    <t xml:space="preserve">PST_0866</t>
  </si>
  <si>
    <t xml:space="preserve">CGGATCTCGGCCAGAGACAT</t>
  </si>
  <si>
    <t xml:space="preserve">TAGTCGGATCTCGGCCAGAGACAT</t>
  </si>
  <si>
    <t xml:space="preserve">AAACATGTCTCTGGCCGAGATCCG</t>
  </si>
  <si>
    <t xml:space="preserve">GCCGGTACTTGTCGTCCAGA</t>
  </si>
  <si>
    <t xml:space="preserve">TAGTGCCGGTACTTGTCGTCCAGA</t>
  </si>
  <si>
    <t xml:space="preserve">AAACTCTGGACGACAAGTACCGGC</t>
  </si>
  <si>
    <t xml:space="preserve">GCCGGTGAGGTACAGATGAC</t>
  </si>
  <si>
    <t xml:space="preserve">TAGTGCCGGTGAGGTACAGATGAC</t>
  </si>
  <si>
    <t xml:space="preserve">AAACGTCATCTGTACCTCACCGGC</t>
  </si>
  <si>
    <t xml:space="preserve">CGGCAAGCGGGTCAGCGCCT</t>
  </si>
  <si>
    <t xml:space="preserve">TAGTCGGCAAGCGGGTCAGCGCCT</t>
  </si>
  <si>
    <t xml:space="preserve">AAACAGGCGCTGACCCGCTTGCCG</t>
  </si>
  <si>
    <t xml:space="preserve">PST_0867</t>
  </si>
  <si>
    <t xml:space="preserve">ldh</t>
  </si>
  <si>
    <t xml:space="preserve">CCTCGTCGTCACTGGCATAG</t>
  </si>
  <si>
    <t xml:space="preserve">TAGTCCTCGTCGTCACTGGCATAG</t>
  </si>
  <si>
    <t xml:space="preserve">AAACCTATGCCAGTGACGACGAGG</t>
  </si>
  <si>
    <t xml:space="preserve">GCCGCCGCCGAGCTTGAGCC</t>
  </si>
  <si>
    <t xml:space="preserve">TAGTGCCGCCGCCGAGCTTGAGCC</t>
  </si>
  <si>
    <t xml:space="preserve">AAACGGCTCAAGCTCGGCGGCGGC</t>
  </si>
  <si>
    <t xml:space="preserve">CCTGGCTCTTGCCGGTATGC</t>
  </si>
  <si>
    <t xml:space="preserve">TAGTCCTGGCTCTTGCCGGTATGC</t>
  </si>
  <si>
    <t xml:space="preserve">AAACGCATACCGGCAAGAGCCAGG</t>
  </si>
  <si>
    <t xml:space="preserve">GCTGTCGACGAAGTCGCCCA</t>
  </si>
  <si>
    <t xml:space="preserve">TAGTGCTGTCGACGAAGTCGCCCA</t>
  </si>
  <si>
    <t xml:space="preserve">AAACTGGGCGACTTCGTCGACAGC</t>
  </si>
  <si>
    <t xml:space="preserve">PST_0868</t>
  </si>
  <si>
    <t xml:space="preserve">GGCCGCGAGGCTGGTTTTAT</t>
  </si>
  <si>
    <t xml:space="preserve">TAGTGGCCGCGAGGCTGGTTTTAT</t>
  </si>
  <si>
    <t xml:space="preserve">AAACATAAAACCAGCCTCGCGGCC</t>
  </si>
  <si>
    <t xml:space="preserve">GCGTGCGCCGGCGAAGGTGC</t>
  </si>
  <si>
    <t xml:space="preserve">TAGTGCGTGCGCCGGCGAAGGTGC</t>
  </si>
  <si>
    <t xml:space="preserve">AAACGCACCTTCGCCGGCGCACGC</t>
  </si>
  <si>
    <t xml:space="preserve">GGCCTCGGCTGGCATTGTCT</t>
  </si>
  <si>
    <t xml:space="preserve">TAGTGGCCTCGGCTGGCATTGTCT</t>
  </si>
  <si>
    <t xml:space="preserve">AAACAGACAATGCCAGCCGAGGCC</t>
  </si>
  <si>
    <t xml:space="preserve">ACACCCAGCGGGAGGACCAC</t>
  </si>
  <si>
    <t xml:space="preserve">TAGTACACCCAGCGGGAGGACCAC</t>
  </si>
  <si>
    <t xml:space="preserve">AAACGTGGTCCTCCCGCTGGGTGT</t>
  </si>
  <si>
    <t xml:space="preserve">PST_0869</t>
  </si>
  <si>
    <t xml:space="preserve">hpd</t>
  </si>
  <si>
    <t xml:space="preserve">GTGCTGTTCGATCTTGTTCA</t>
  </si>
  <si>
    <t xml:space="preserve">TAGTGTGCTGTTCGATCTTGTTCA</t>
  </si>
  <si>
    <t xml:space="preserve">AAACTGAACAAGATCGAACAGCAC</t>
  </si>
  <si>
    <t xml:space="preserve">CGAAGCCGTCGGTGCCGATG</t>
  </si>
  <si>
    <t xml:space="preserve">TAGTCGAAGCCGTCGGTGCCGATG</t>
  </si>
  <si>
    <t xml:space="preserve">AAACCATCGGCACCGACGGCTTCG</t>
  </si>
  <si>
    <t xml:space="preserve">GATGCCCTCGGCATTCGGCG</t>
  </si>
  <si>
    <t xml:space="preserve">TAGTGATGCCCTCGGCATTCGGCG</t>
  </si>
  <si>
    <t xml:space="preserve">AAACCGCCGAATGCCGAGGGCATC</t>
  </si>
  <si>
    <t xml:space="preserve">GGTTTCGGTAAAGCCCATCT</t>
  </si>
  <si>
    <t xml:space="preserve">TAGTGGTTTCGGTAAAGCCCATCT</t>
  </si>
  <si>
    <t xml:space="preserve">AAACAGATGGGCTTTACCGAAACC</t>
  </si>
  <si>
    <t xml:space="preserve">PST_0870</t>
  </si>
  <si>
    <t xml:space="preserve">TGGGGAAACTGATCCATTTG</t>
  </si>
  <si>
    <t xml:space="preserve">TAGTTGGGGAAACTGATCCATTTG</t>
  </si>
  <si>
    <t xml:space="preserve">AAACCAAATGGATCAGTTTCCCCA</t>
  </si>
  <si>
    <t xml:space="preserve">CGAACTCTCTCCCTCGCGGA</t>
  </si>
  <si>
    <t xml:space="preserve">TAGTCGAACTCTCTCCCTCGCGGA</t>
  </si>
  <si>
    <t xml:space="preserve">AAACTCCGCGAGGGAGAGAGTTCG</t>
  </si>
  <si>
    <t xml:space="preserve">TCGCGCTCGTAGGTGCCCTG</t>
  </si>
  <si>
    <t xml:space="preserve">TAGTTCGCGCTCGTAGGTGCCCTG</t>
  </si>
  <si>
    <t xml:space="preserve">AAACCAGGGCACCTACGAGCGCGA</t>
  </si>
  <si>
    <t xml:space="preserve">CCGGGCCGAAGAAGCCTTCG</t>
  </si>
  <si>
    <t xml:space="preserve">TAGTCCGGGCCGAAGAAGCCTTCG</t>
  </si>
  <si>
    <t xml:space="preserve">AAACCGAAGGCTTCTTCGGCCCGG</t>
  </si>
  <si>
    <t xml:space="preserve">PST_0871</t>
  </si>
  <si>
    <t xml:space="preserve">GCCGTCGCGGCCCTGGTTGA</t>
  </si>
  <si>
    <t xml:space="preserve">TAGTGCCGTCGCGGCCCTGGTTGA</t>
  </si>
  <si>
    <t xml:space="preserve">AAACTCAACCAGGGCCGCGACGGC</t>
  </si>
  <si>
    <t xml:space="preserve">TCACCGCCTGGGCGAGATCA</t>
  </si>
  <si>
    <t xml:space="preserve">TAGTTCACCGCCTGGGCGAGATCA</t>
  </si>
  <si>
    <t xml:space="preserve">AAACTGATCTCGCCCAGGCGGTGA</t>
  </si>
  <si>
    <t xml:space="preserve">TGCAGCGTGGCGGCGATCTG</t>
  </si>
  <si>
    <t xml:space="preserve">TAGTTGCAGCGTGGCGGCGATCTG</t>
  </si>
  <si>
    <t xml:space="preserve">AAACCAGATCGCCGCCACGCTGCA</t>
  </si>
  <si>
    <t xml:space="preserve">GTAGTTCCAGTCATCCAGCG</t>
  </si>
  <si>
    <t xml:space="preserve">TAGTGTAGTTCCAGTCATCCAGCG</t>
  </si>
  <si>
    <t xml:space="preserve">AAACCGCTGGATGACTGGAACTAC</t>
  </si>
  <si>
    <t xml:space="preserve">PST_0872</t>
  </si>
  <si>
    <t xml:space="preserve">GCGCACCCGGTAGGCGGCAC</t>
  </si>
  <si>
    <t xml:space="preserve">TAGTGCGCACCCGGTAGGCGGCAC</t>
  </si>
  <si>
    <t xml:space="preserve">AAACGTGCCGCCTACCGGGTGCGC</t>
  </si>
  <si>
    <t xml:space="preserve">CCGGCACCTGCCGATAGGCC</t>
  </si>
  <si>
    <t xml:space="preserve">TAGTCCGGCACCTGCCGATAGGCC</t>
  </si>
  <si>
    <t xml:space="preserve">AAACGGCCTATCGGCAGGTGCCGG</t>
  </si>
  <si>
    <t xml:space="preserve">CGGGTTGAGGGCGCGGTAAT</t>
  </si>
  <si>
    <t xml:space="preserve">TAGTCGGGTTGAGGGCGCGGTAAT</t>
  </si>
  <si>
    <t xml:space="preserve">AAACATTACCGCGCCCTCAACCCG</t>
  </si>
  <si>
    <t xml:space="preserve">AGCAACGGCACCAGCTGCTG</t>
  </si>
  <si>
    <t xml:space="preserve">TAGTAGCAACGGCACCAGCTGCTG</t>
  </si>
  <si>
    <t xml:space="preserve">AAACCAGCAGCTGGTGCCGTTGCT</t>
  </si>
  <si>
    <t xml:space="preserve">PST_0873</t>
  </si>
  <si>
    <t xml:space="preserve">CGCGAGAGCCAGAGGTTCTT</t>
  </si>
  <si>
    <t xml:space="preserve">TAGTCGCGAGAGCCAGAGGTTCTT</t>
  </si>
  <si>
    <t xml:space="preserve">AAACAAGAACCTCTGGCTCTCGCG</t>
  </si>
  <si>
    <t xml:space="preserve">CGGCCGAGCCGGTTGCCGCG</t>
  </si>
  <si>
    <t xml:space="preserve">TAGTCGGCCGAGCCGGTTGCCGCG</t>
  </si>
  <si>
    <t xml:space="preserve">AAACCGCGGCAACCGGCTCGGCCG</t>
  </si>
  <si>
    <t xml:space="preserve">CGAATTCACCGGTGATGTAG</t>
  </si>
  <si>
    <t xml:space="preserve">TAGTCGAATTCACCGGTGATGTAG</t>
  </si>
  <si>
    <t xml:space="preserve">AAACCTACATCACCGGTGAATTCG</t>
  </si>
  <si>
    <t xml:space="preserve">CAGCAGGTACATCAATACGA</t>
  </si>
  <si>
    <t xml:space="preserve">TAGTCAGCAGGTACATCAATACGA</t>
  </si>
  <si>
    <t xml:space="preserve">AAACTCGTATTGATGTACCTGCTG</t>
  </si>
  <si>
    <t xml:space="preserve">PST_0874</t>
  </si>
  <si>
    <t xml:space="preserve">pctA</t>
  </si>
  <si>
    <t xml:space="preserve">GAACTTCAGGTGTTTGGGCA</t>
  </si>
  <si>
    <t xml:space="preserve">TAGTGAACTTCAGGTGTTTGGGCA</t>
  </si>
  <si>
    <t xml:space="preserve">AAACTGCCCAAACACCTGAAGTTC</t>
  </si>
  <si>
    <t xml:space="preserve">ATGCGGCCAGGAGAATCTTG</t>
  </si>
  <si>
    <t xml:space="preserve">TAGTATGCGGCCAGGAGAATCTTG</t>
  </si>
  <si>
    <t xml:space="preserve">AAACCAAGATTCTCCTGGCCGCAT</t>
  </si>
  <si>
    <t xml:space="preserve">GAACAGGGTGAACAACGAAA</t>
  </si>
  <si>
    <t xml:space="preserve">TAGTGAACAGGGTGAACAACGAAA</t>
  </si>
  <si>
    <t xml:space="preserve">AAACTTTCGTTGTTCACCCTGTTC</t>
  </si>
  <si>
    <t xml:space="preserve">CCCGAATGGCGTTGCGCTGC</t>
  </si>
  <si>
    <t xml:space="preserve">TAGTCCCGAATGGCGTTGCGCTGC</t>
  </si>
  <si>
    <t xml:space="preserve">AAACGCAGCGCAACGCCATTCGGG</t>
  </si>
  <si>
    <t xml:space="preserve">PST_0875</t>
  </si>
  <si>
    <t xml:space="preserve">GAGCACGATGAGAATTTTCA</t>
  </si>
  <si>
    <t xml:space="preserve">TAGTGAGCACGATGAGAATTTTCA</t>
  </si>
  <si>
    <t xml:space="preserve">AAACTGAAAATTCTCATCGTGCTC</t>
  </si>
  <si>
    <t xml:space="preserve">GGTATCACCCAGCTGGTCGT</t>
  </si>
  <si>
    <t xml:space="preserve">TAGTGGTATCACCCAGCTGGTCGT</t>
  </si>
  <si>
    <t xml:space="preserve">AAACACGACCAGCTGGGTGATACC</t>
  </si>
  <si>
    <t xml:space="preserve">GAACTCCTCCAGCCAGAAGC</t>
  </si>
  <si>
    <t xml:space="preserve">TAGTGAACTCCTCCAGCCAGAAGC</t>
  </si>
  <si>
    <t xml:space="preserve">AAACGCTTCTGGCTGGAGGAGTTC</t>
  </si>
  <si>
    <t xml:space="preserve">CTTGAACGCGTAGTAGGGGG</t>
  </si>
  <si>
    <t xml:space="preserve">TAGTCTTGAACGCGTAGTAGGGGG</t>
  </si>
  <si>
    <t xml:space="preserve">AAACCCCCCTACTACGCGTTCAAG</t>
  </si>
  <si>
    <t xml:space="preserve">PST_0876</t>
  </si>
  <si>
    <t xml:space="preserve">GGTCAGGTTAACGGCCGCAT</t>
  </si>
  <si>
    <t xml:space="preserve">TAGTGGTCAGGTTAACGGCCGCAT</t>
  </si>
  <si>
    <t xml:space="preserve">AAACATGCGGCCGTTAACCTGACC</t>
  </si>
  <si>
    <t xml:space="preserve">GACACTCGGTGGCGGGCTGA</t>
  </si>
  <si>
    <t xml:space="preserve">TAGTGACACTCGGTGGCGGGCTGA</t>
  </si>
  <si>
    <t xml:space="preserve">AAACTCAGCCCGCCACCGAGTGTC</t>
  </si>
  <si>
    <t xml:space="preserve">GGGTTGTGAGCGGTGTTTCC</t>
  </si>
  <si>
    <t xml:space="preserve">TAGTGGGTTGTGAGCGGTGTTTCC</t>
  </si>
  <si>
    <t xml:space="preserve">AAACGGAAACACCGCTCACAACCC</t>
  </si>
  <si>
    <t xml:space="preserve">ACGGGTAGGCATCTGGCGCG</t>
  </si>
  <si>
    <t xml:space="preserve">TAGTACGGGTAGGCATCTGGCGCG</t>
  </si>
  <si>
    <t xml:space="preserve">AAACCGCGCCAGATGCCTACCCGT</t>
  </si>
  <si>
    <t xml:space="preserve">PST_0877</t>
  </si>
  <si>
    <t xml:space="preserve">GAATTCGGCGAAAGGGCCAT</t>
  </si>
  <si>
    <t xml:space="preserve">TAGTGAATTCGGCGAAAGGGCCAT</t>
  </si>
  <si>
    <t xml:space="preserve">AAACATGGCCCTTTCGCCGAATTC</t>
  </si>
  <si>
    <t xml:space="preserve">TGCCGAGATGATCAGCAGCA</t>
  </si>
  <si>
    <t xml:space="preserve">TAGTTGCCGAGATGATCAGCAGCA</t>
  </si>
  <si>
    <t xml:space="preserve">AAACTGCTGCTGATCATCTCGGCA</t>
  </si>
  <si>
    <t xml:space="preserve">CTGACGCAGGCTCACGGCGA</t>
  </si>
  <si>
    <t xml:space="preserve">TAGTCTGACGCAGGCTCACGGCGA</t>
  </si>
  <si>
    <t xml:space="preserve">AAACTCGCCGTGAGCCTGCGTCAG</t>
  </si>
  <si>
    <t xml:space="preserve">ACGATGTAGGAGATCAGCAG</t>
  </si>
  <si>
    <t xml:space="preserve">TAGTACGATGTAGGAGATCAGCAG</t>
  </si>
  <si>
    <t xml:space="preserve">AAACCTGCTGATCTCCTACATCGT</t>
  </si>
  <si>
    <t xml:space="preserve">PST_0878</t>
  </si>
  <si>
    <t xml:space="preserve">AACCTGCTCGGCCAGTTCAC</t>
  </si>
  <si>
    <t xml:space="preserve">TAGTAACCTGCTCGGCCAGTTCAC</t>
  </si>
  <si>
    <t xml:space="preserve">AAACGTGAACTGGCCGAGCAGGTT</t>
  </si>
  <si>
    <t xml:space="preserve">TACACCGCGTAGGTGCGCAG</t>
  </si>
  <si>
    <t xml:space="preserve">TAGTTACACCGCGTAGGTGCGCAG</t>
  </si>
  <si>
    <t xml:space="preserve">AAACCTGCGCACCTACGCGGTGTA</t>
  </si>
  <si>
    <t xml:space="preserve">TTGCGCAGCGCCATCATCTG</t>
  </si>
  <si>
    <t xml:space="preserve">TAGTTTGCGCAGCGCCATCATCTG</t>
  </si>
  <si>
    <t xml:space="preserve">AAACCAGATGATGGCGCTGCGCAA</t>
  </si>
  <si>
    <t xml:space="preserve">GTCGAGCAGGCGCCCCGGGG</t>
  </si>
  <si>
    <t xml:space="preserve">TAGTGTCGAGCAGGCGCCCCGGGG</t>
  </si>
  <si>
    <t xml:space="preserve">AAACCCCCGGGGCGCCTGCTCGAC</t>
  </si>
  <si>
    <t xml:space="preserve">PST_0879</t>
  </si>
  <si>
    <t xml:space="preserve">ACAGCACGAAAGGCAGCCAC</t>
  </si>
  <si>
    <t xml:space="preserve">TAGTACAGCACGAAAGGCAGCCAC</t>
  </si>
  <si>
    <t xml:space="preserve">AAACGTGGCTGCCTTTCGTGCTGT</t>
  </si>
  <si>
    <t xml:space="preserve">CGGGGTGATGGAGGCGACGA</t>
  </si>
  <si>
    <t xml:space="preserve">TAGTCGGGGTGATGGAGGCGACGA</t>
  </si>
  <si>
    <t xml:space="preserve">AAACTCGTCGCCTCCATCACCCCG</t>
  </si>
  <si>
    <t xml:space="preserve">ACCAGGATGTTGGTCGGGCC</t>
  </si>
  <si>
    <t xml:space="preserve">TAGTACCAGGATGTTGGTCGGGCC</t>
  </si>
  <si>
    <t xml:space="preserve">AAACGGCCCGACCAACATCCTGGT</t>
  </si>
  <si>
    <t xml:space="preserve">TGATGGGAAGCGCCGCCAGC</t>
  </si>
  <si>
    <t xml:space="preserve">TAGTTGATGGGAAGCGCCGCCAGC</t>
  </si>
  <si>
    <t xml:space="preserve">AAACGCTGGCGGCGCTTCCCATCA</t>
  </si>
  <si>
    <t xml:space="preserve">PST_0880</t>
  </si>
  <si>
    <t xml:space="preserve">GATCCAGTCATTGTTGCCCA</t>
  </si>
  <si>
    <t xml:space="preserve">TAGTGATCCAGTCATTGTTGCCCA</t>
  </si>
  <si>
    <t xml:space="preserve">AAACTGGGCAACAATGACTGGATC</t>
  </si>
  <si>
    <t xml:space="preserve">GATCGTCTCGATGCCGGTTT</t>
  </si>
  <si>
    <t xml:space="preserve">TAGTGATCGTCTCGATGCCGGTTT</t>
  </si>
  <si>
    <t xml:space="preserve">AAACAAACCGGCATCGAGACGATC</t>
  </si>
  <si>
    <t xml:space="preserve">CGTGGCCTTCGAAATGGGCG</t>
  </si>
  <si>
    <t xml:space="preserve">TAGTCGTGGCCTTCGAAATGGGCG</t>
  </si>
  <si>
    <t xml:space="preserve">AAACCGCCCATTTCGAAGGCCACG</t>
  </si>
  <si>
    <t xml:space="preserve">GTCGTGGAAGTGCGGATCGT</t>
  </si>
  <si>
    <t xml:space="preserve">TAGTGTCGTGGAAGTGCGGATCGT</t>
  </si>
  <si>
    <t xml:space="preserve">AAACACGATCCGCACTTCCACGAC</t>
  </si>
  <si>
    <t xml:space="preserve">PST_0881</t>
  </si>
  <si>
    <t xml:space="preserve">ACCGGGCAGGCGAGCGGGGC</t>
  </si>
  <si>
    <t xml:space="preserve">TAGTACCGGGCAGGCGAGCGGGGC</t>
  </si>
  <si>
    <t xml:space="preserve">AAACGCCCCGCTCGCCTGCCCGGT</t>
  </si>
  <si>
    <t xml:space="preserve">AGAGGAGGGCTGGGGCATGG</t>
  </si>
  <si>
    <t xml:space="preserve">TAGTAGAGGAGGGCTGGGGCATGG</t>
  </si>
  <si>
    <t xml:space="preserve">AAACCCATGCCCCAGCCCTCCTCT</t>
  </si>
  <si>
    <t xml:space="preserve">GGCCGGACCACCACCGATGA</t>
  </si>
  <si>
    <t xml:space="preserve">TAGTGGCCGGACCACCACCGATGA</t>
  </si>
  <si>
    <t xml:space="preserve">AAACTCATCGGTGGTGGTCCGGCC</t>
  </si>
  <si>
    <t xml:space="preserve">CACCTCGGCGGCCATCAGGC</t>
  </si>
  <si>
    <t xml:space="preserve">TAGTCACCTCGGCGGCCATCAGGC</t>
  </si>
  <si>
    <t xml:space="preserve">AAACGCCTGATGGCCGCCGAGGTG</t>
  </si>
  <si>
    <t xml:space="preserve">PST_0882</t>
  </si>
  <si>
    <t xml:space="preserve">GTCGTGATAGACCAGGGGGA</t>
  </si>
  <si>
    <t xml:space="preserve">TAGTGTCGTGATAGACCAGGGGGA</t>
  </si>
  <si>
    <t xml:space="preserve">AAACTCCCCCTGGTCTATCACGAC</t>
  </si>
  <si>
    <t xml:space="preserve">CGATGGCCCGGCGGCAGCGG</t>
  </si>
  <si>
    <t xml:space="preserve">TAGTCGATGGCCCGGCGGCAGCGG</t>
  </si>
  <si>
    <t xml:space="preserve">AAACCCGCTGCCGCCGGGCCATCG</t>
  </si>
  <si>
    <t xml:space="preserve">AGCAGACGAAACTTCTCCAT</t>
  </si>
  <si>
    <t xml:space="preserve">TAGTAGCAGACGAAACTTCTCCAT</t>
  </si>
  <si>
    <t xml:space="preserve">AAACATGGAGAAGTTTCGTCTGCT</t>
  </si>
  <si>
    <t xml:space="preserve">TCATACCGAGAGTGACCAGA</t>
  </si>
  <si>
    <t xml:space="preserve">TAGTTCATACCGAGAGTGACCAGA</t>
  </si>
  <si>
    <t xml:space="preserve">AAACTCTGGTCACTCTCGGTATGA</t>
  </si>
  <si>
    <t xml:space="preserve">PST_0883</t>
  </si>
  <si>
    <t xml:space="preserve">CCGCAGACGCGAGGTTTCGA</t>
  </si>
  <si>
    <t xml:space="preserve">TAGTCCGCAGACGCGAGGTTTCGA</t>
  </si>
  <si>
    <t xml:space="preserve">AAACTCGAAACCTCGCGTCTGCGG</t>
  </si>
  <si>
    <t xml:space="preserve">ACAGCTGCGCCAATGGCTCG</t>
  </si>
  <si>
    <t xml:space="preserve">TAGTACAGCTGCGCCAATGGCTCG</t>
  </si>
  <si>
    <t xml:space="preserve">AAACCGAGCCATTGGCGCAGCTGT</t>
  </si>
  <si>
    <t xml:space="preserve">GTAGCGCATGACTTCCGGGT</t>
  </si>
  <si>
    <t xml:space="preserve">TAGTGTAGCGCATGACTTCCGGGT</t>
  </si>
  <si>
    <t xml:space="preserve">AAACACCCGGAAGTCATGCGCTAC</t>
  </si>
  <si>
    <t xml:space="preserve">CATCCCGCGACAGCAGGGCC</t>
  </si>
  <si>
    <t xml:space="preserve">TAGTCATCCCGCGACAGCAGGGCC</t>
  </si>
  <si>
    <t xml:space="preserve">AAACGGCCCTGCTGTCGCGGGATG</t>
  </si>
  <si>
    <t xml:space="preserve">PST_0884</t>
  </si>
  <si>
    <t xml:space="preserve">tesB</t>
  </si>
  <si>
    <t xml:space="preserve">CCTTGATAAGGGGGGCGGAC</t>
  </si>
  <si>
    <t xml:space="preserve">TAGTCCTTGATAAGGGGGGCGGAC</t>
  </si>
  <si>
    <t xml:space="preserve">AAACGTCCGCCCCCCTTATCAAGG</t>
  </si>
  <si>
    <t xml:space="preserve">GTCGAGTATCTGGGTCATTT</t>
  </si>
  <si>
    <t xml:space="preserve">TAGTGTCGAGTATCTGGGTCATTT</t>
  </si>
  <si>
    <t xml:space="preserve">AAACAAATGACCCAGATACTCGAC</t>
  </si>
  <si>
    <t xml:space="preserve">CAGGGTCAGCAGATTGACCA</t>
  </si>
  <si>
    <t xml:space="preserve">TAGTCAGGGTCAGCAGATTGACCA</t>
  </si>
  <si>
    <t xml:space="preserve">AAACTGGTCAATCTGCTGACCCTG</t>
  </si>
  <si>
    <t xml:space="preserve">CCTGGCTGGCGCCACGGAAC</t>
  </si>
  <si>
    <t xml:space="preserve">TAGTCCTGGCTGGCGCCACGGAAC</t>
  </si>
  <si>
    <t xml:space="preserve">AAACGTTCCGTGGCGCCAGCCAGG</t>
  </si>
  <si>
    <t xml:space="preserve">PST_0885</t>
  </si>
  <si>
    <t xml:space="preserve">ATCGTGCACGGCGATGGTCA</t>
  </si>
  <si>
    <t xml:space="preserve">TAGTATCGTGCACGGCGATGGTCA</t>
  </si>
  <si>
    <t xml:space="preserve">AAACTGACCATCGCCGTGCACGAT</t>
  </si>
  <si>
    <t xml:space="preserve">CTCCAGGGCGCGGCGGATCG</t>
  </si>
  <si>
    <t xml:space="preserve">TAGTCTCCAGGGCGCGGCGGATCG</t>
  </si>
  <si>
    <t xml:space="preserve">AAACCGATCCGCCGCGCCCTGGAG</t>
  </si>
  <si>
    <t xml:space="preserve">TGGAGGATGTCGTCCTCCTC</t>
  </si>
  <si>
    <t xml:space="preserve">TAGTTGGAGGATGTCGTCCTCCTC</t>
  </si>
  <si>
    <t xml:space="preserve">AAACGAGGAGGACGACATCCTCCA</t>
  </si>
  <si>
    <t xml:space="preserve">CCGGCAGCGCAGCCAGGTGA</t>
  </si>
  <si>
    <t xml:space="preserve">TAGTCCGGCAGCGCAGCCAGGTGA</t>
  </si>
  <si>
    <t xml:space="preserve">AAACTCACCTGGCTGCGCTGCCGG</t>
  </si>
  <si>
    <t xml:space="preserve">PST_0886</t>
  </si>
  <si>
    <t xml:space="preserve">CACTACGTTGTCGCTGCGTC</t>
  </si>
  <si>
    <t xml:space="preserve">TAGTCACTACGTTGTCGCTGCGTC</t>
  </si>
  <si>
    <t xml:space="preserve">AAACGACGCAGCGACAACGTAGTG</t>
  </si>
  <si>
    <t xml:space="preserve">CCGCATGCCGCTGCGGCCTC</t>
  </si>
  <si>
    <t xml:space="preserve">TAGTCCGCATGCCGCTGCGGCCTC</t>
  </si>
  <si>
    <t xml:space="preserve">AAACGAGGCCGCAGCGGCATGCGG</t>
  </si>
  <si>
    <t xml:space="preserve">TAGCGATGCCGCCCAGACCG</t>
  </si>
  <si>
    <t xml:space="preserve">TAGTTAGCGATGCCGCCCAGACCG</t>
  </si>
  <si>
    <t xml:space="preserve">AAACCGGTCTGGGCGGCATCGCTA</t>
  </si>
  <si>
    <t xml:space="preserve">CGAGAATCTGCAGCGGATCC</t>
  </si>
  <si>
    <t xml:space="preserve">TAGTCGAGAATCTGCAGCGGATCC</t>
  </si>
  <si>
    <t xml:space="preserve">AAACGGATCCGCTGCAGATTCTCG</t>
  </si>
  <si>
    <t xml:space="preserve">PST_0887</t>
  </si>
  <si>
    <t xml:space="preserve">AGCACAGTCCCATGCAAACC</t>
  </si>
  <si>
    <t xml:space="preserve">TAGTAGCACAGTCCCATGCAAACC</t>
  </si>
  <si>
    <t xml:space="preserve">AAACGGTTTGCATGGGACTGTGCT</t>
  </si>
  <si>
    <t xml:space="preserve">TCGCGGTCGCGAAACAAAAC</t>
  </si>
  <si>
    <t xml:space="preserve">TAGTTCGCGGTCGCGAAACAAAAC</t>
  </si>
  <si>
    <t xml:space="preserve">AAACGTTTTGTTTCGCGACCGCGA</t>
  </si>
  <si>
    <t xml:space="preserve">GTAAGACGCTTTCGGACGGT</t>
  </si>
  <si>
    <t xml:space="preserve">TAGTGTAAGACGCTTTCGGACGGT</t>
  </si>
  <si>
    <t xml:space="preserve">AAACACCGTCCGAAAGCGTCTTAC</t>
  </si>
  <si>
    <t xml:space="preserve">CGAGAGGCCCAGAATACGCT</t>
  </si>
  <si>
    <t xml:space="preserve">TAGTCGAGAGGCCCAGAATACGCT</t>
  </si>
  <si>
    <t xml:space="preserve">AAACAGCGTATTCTGGGCCTCTCG</t>
  </si>
  <si>
    <t xml:space="preserve">PST_0888</t>
  </si>
  <si>
    <t xml:space="preserve">CTGCGCGAGCAGAACGAAAC</t>
  </si>
  <si>
    <t xml:space="preserve">TAGTCTGCGCGAGCAGAACGAAAC</t>
  </si>
  <si>
    <t xml:space="preserve">AAACGTTTCGTTCTGCTCGCGCAG</t>
  </si>
  <si>
    <t xml:space="preserve">CCAGTAGGCCAGGCTGAGAC</t>
  </si>
  <si>
    <t xml:space="preserve">TAGTCCAGTAGGCCAGGCTGAGAC</t>
  </si>
  <si>
    <t xml:space="preserve">AAACGTCTCAGCCTGGCCTACTGG</t>
  </si>
  <si>
    <t xml:space="preserve">TCAGATTGGCCATCTCGTAG</t>
  </si>
  <si>
    <t xml:space="preserve">TAGTTCAGATTGGCCATCTCGTAG</t>
  </si>
  <si>
    <t xml:space="preserve">AAACCTACGAGATGGCCAATCTGA</t>
  </si>
  <si>
    <t xml:space="preserve">GTAGACCCGCATATGGCTGA</t>
  </si>
  <si>
    <t xml:space="preserve">TAGTGTAGACCCGCATATGGCTGA</t>
  </si>
  <si>
    <t xml:space="preserve">AAACTCAGCCATATGCGGGTCTAC</t>
  </si>
  <si>
    <t xml:space="preserve">PST_0889</t>
  </si>
  <si>
    <t xml:space="preserve">dnrE</t>
  </si>
  <si>
    <t xml:space="preserve">CACTGCGGAGCCTGTCAGCA</t>
  </si>
  <si>
    <t xml:space="preserve">TAGTCACTGCGGAGCCTGTCAGCA</t>
  </si>
  <si>
    <t xml:space="preserve">AAACTGCTGACAGGCTCCGCAGTG</t>
  </si>
  <si>
    <t xml:space="preserve">GCCCGCGGAACAGATGATGA</t>
  </si>
  <si>
    <t xml:space="preserve">TAGTGCCCGCGGAACAGATGATGA</t>
  </si>
  <si>
    <t xml:space="preserve">AAACTCATCATCTGTTCCGCGGGC</t>
  </si>
  <si>
    <t xml:space="preserve">GTGCGTGGCGATGTTCTGCA</t>
  </si>
  <si>
    <t xml:space="preserve">TAGTGTGCGTGGCGATGTTCTGCA</t>
  </si>
  <si>
    <t xml:space="preserve">AAACTGCAGAACATCGCCACGCAC</t>
  </si>
  <si>
    <t xml:space="preserve">GGCCGGCAGATGCCTGGCCG</t>
  </si>
  <si>
    <t xml:space="preserve">TAGTGGCCGGCAGATGCCTGGCCG</t>
  </si>
  <si>
    <t xml:space="preserve">AAACCGGCCAGGCATCTGCCGGCC</t>
  </si>
  <si>
    <t xml:space="preserve">PST_0890</t>
  </si>
  <si>
    <t xml:space="preserve">GGTAGCAGGATCTTGAACAT</t>
  </si>
  <si>
    <t xml:space="preserve">TAGTGGTAGCAGGATCTTGAACAT</t>
  </si>
  <si>
    <t xml:space="preserve">AAACATGTTCAAGATCCTGCTACC</t>
  </si>
  <si>
    <t xml:space="preserve">AGGCCGAGCAGCAGGGAGGT</t>
  </si>
  <si>
    <t xml:space="preserve">TAGTAGGCCGAGCAGCAGGGAGGT</t>
  </si>
  <si>
    <t xml:space="preserve">AAACACCTCCCTGCTGCTCGGCCT</t>
  </si>
  <si>
    <t xml:space="preserve">AGGAAAGGCTGCCGGCGAGC</t>
  </si>
  <si>
    <t xml:space="preserve">TAGTAGGAAAGGCTGCCGGCGAGC</t>
  </si>
  <si>
    <t xml:space="preserve">AAACGCTCGCCGGCAGCCTTTCCT</t>
  </si>
  <si>
    <t xml:space="preserve">GTCGCTGATGGCAGCCTGGC</t>
  </si>
  <si>
    <t xml:space="preserve">TAGTGTCGCTGATGGCAGCCTGGC</t>
  </si>
  <si>
    <t xml:space="preserve">AAACGCCAGGCTGCCATCAGCGAC</t>
  </si>
  <si>
    <t xml:space="preserve">PST_0891</t>
  </si>
  <si>
    <t xml:space="preserve">narL</t>
  </si>
  <si>
    <t xml:space="preserve">CGGCCTCGCCGACCATCTCC</t>
  </si>
  <si>
    <t xml:space="preserve">TAGTCGGCCTCGCCGACCATCTCC</t>
  </si>
  <si>
    <t xml:space="preserve">AAACGGAGATGGTCGGCGAGGCCG</t>
  </si>
  <si>
    <t xml:space="preserve">GATGGCGTCCTCACCGTTGC</t>
  </si>
  <si>
    <t xml:space="preserve">TAGTGATGGCGTCCTCACCGTTGC</t>
  </si>
  <si>
    <t xml:space="preserve">AAACGCAACGGTGAGGACGCCATC</t>
  </si>
  <si>
    <t xml:space="preserve">AGGTCCATCAGAATCAGGTC</t>
  </si>
  <si>
    <t xml:space="preserve">TAGTAGGTCCATCAGAATCAGGTC</t>
  </si>
  <si>
    <t xml:space="preserve">AAACGACCTGATTCTGATGGACCT</t>
  </si>
  <si>
    <t xml:space="preserve">CGTCGATGCCCGGCATGTTG</t>
  </si>
  <si>
    <t xml:space="preserve">TAGTCGTCGATGCCCGGCATGTTG</t>
  </si>
  <si>
    <t xml:space="preserve">AAACCAACATGCCGGGCATCGACG</t>
  </si>
  <si>
    <t xml:space="preserve">PST_0892</t>
  </si>
  <si>
    <t xml:space="preserve">narX</t>
  </si>
  <si>
    <t xml:space="preserve">CTTGCGGCATTCGCTTGCCA</t>
  </si>
  <si>
    <t xml:space="preserve">TAGTCTTGCGGCATTCGCTTGCCA</t>
  </si>
  <si>
    <t xml:space="preserve">AAACTGGCAAGCGAATGCCGCAAG</t>
  </si>
  <si>
    <t xml:space="preserve">GGCATGGTCGGCTCGTCGGG</t>
  </si>
  <si>
    <t xml:space="preserve">TAGTGGCATGGTCGGCTCGTCGGG</t>
  </si>
  <si>
    <t xml:space="preserve">AAACCCCGACGAGCCGACCATGCC</t>
  </si>
  <si>
    <t xml:space="preserve">AGCTGGTCTCGTTCGGATTG</t>
  </si>
  <si>
    <t xml:space="preserve">TAGTAGCTGGTCTCGTTCGGATTG</t>
  </si>
  <si>
    <t xml:space="preserve">AAACCAATCCGAACGAGACCAGCT</t>
  </si>
  <si>
    <t xml:space="preserve">GAACACGATCGAGTGGCGCG</t>
  </si>
  <si>
    <t xml:space="preserve">TAGTGAACACGATCGAGTGGCGCG</t>
  </si>
  <si>
    <t xml:space="preserve">AAACCGCGCCACTCGATCGTGTTC</t>
  </si>
  <si>
    <t xml:space="preserve">PST_0893</t>
  </si>
  <si>
    <t xml:space="preserve">narK</t>
  </si>
  <si>
    <t xml:space="preserve">CCACTTTTCGATATTGCTCA</t>
  </si>
  <si>
    <t xml:space="preserve">TAGTCCACTTTTCGATATTGCTCA</t>
  </si>
  <si>
    <t xml:space="preserve">AAACTGAGCAATATCGAAAAGTGG</t>
  </si>
  <si>
    <t xml:space="preserve">CGGTGGTGTCCCAGAATGTC</t>
  </si>
  <si>
    <t xml:space="preserve">TAGTCGGTGGTGTCCCAGAATGTC</t>
  </si>
  <si>
    <t xml:space="preserve">AAACGACATTCTGGGACACCACCG</t>
  </si>
  <si>
    <t xml:space="preserve">GGAGATCCAGAGGTTGCGAT</t>
  </si>
  <si>
    <t xml:space="preserve">TAGTGGAGATCCAGAGGTTGCGAT</t>
  </si>
  <si>
    <t xml:space="preserve">AAACATCGCAACCTCTGGATCTCC</t>
  </si>
  <si>
    <t xml:space="preserve">GCCCATCAGCAGACTCGGGA</t>
  </si>
  <si>
    <t xml:space="preserve">TAGTGCCCATCAGCAGACTCGGGA</t>
  </si>
  <si>
    <t xml:space="preserve">AAACTCCCGAGTCTGCTGATGGGC</t>
  </si>
  <si>
    <t xml:space="preserve">PST_0894</t>
  </si>
  <si>
    <t xml:space="preserve">GTAGGCAATCATGATGTTCA</t>
  </si>
  <si>
    <t xml:space="preserve">TAGTGTAGGCAATCATGATGTTCA</t>
  </si>
  <si>
    <t xml:space="preserve">AAACTGAACATCATGATTGCCTAC</t>
  </si>
  <si>
    <t xml:space="preserve">GGTGGCGTCCAACGCTTTGC</t>
  </si>
  <si>
    <t xml:space="preserve">TAGTGGTGGCGTCCAACGCTTTGC</t>
  </si>
  <si>
    <t xml:space="preserve">AAACGCAAAGCGTTGGACGCCACC</t>
  </si>
  <si>
    <t xml:space="preserve">CAGCGGACCGAACATCTCGA</t>
  </si>
  <si>
    <t xml:space="preserve">TAGTCAGCGGACCGAACATCTCGA</t>
  </si>
  <si>
    <t xml:space="preserve">AAACTCGAGATGTTCGGTCCGCTG</t>
  </si>
  <si>
    <t xml:space="preserve">ACGCCGATCAGCATGATCAG</t>
  </si>
  <si>
    <t xml:space="preserve">TAGTACGCCGATCAGCATGATCAG</t>
  </si>
  <si>
    <t xml:space="preserve">AAACCTGATCATGCTGATCGGCGT</t>
  </si>
  <si>
    <t xml:space="preserve">PST_0895</t>
  </si>
  <si>
    <t xml:space="preserve">narM</t>
  </si>
  <si>
    <t xml:space="preserve">AGGTGCAGAGCCCGGATCTC</t>
  </si>
  <si>
    <t xml:space="preserve">TAGTAGGTGCAGAGCCCGGATCTC</t>
  </si>
  <si>
    <t xml:space="preserve">AAACGAGATCCGGGCTCTGCACCT</t>
  </si>
  <si>
    <t xml:space="preserve">TGTAGAAGGCGATCCAGGTC</t>
  </si>
  <si>
    <t xml:space="preserve">TAGTTGTAGAAGGCGATCCAGGTC</t>
  </si>
  <si>
    <t xml:space="preserve">AAACGACCTGGATCGCCTTCTACA</t>
  </si>
  <si>
    <t xml:space="preserve">TTCAGCATGCTCGAGGCCAG</t>
  </si>
  <si>
    <t xml:space="preserve">TAGTTTCAGCATGCTCGAGGCCAG</t>
  </si>
  <si>
    <t xml:space="preserve">AAACCTGGCCTCGAGCATGCTGAA</t>
  </si>
  <si>
    <t xml:space="preserve">GCGAACAGCTTGAGGTCTTC</t>
  </si>
  <si>
    <t xml:space="preserve">TAGTGCGAACAGCTTGAGGTCTTC</t>
  </si>
  <si>
    <t xml:space="preserve">AAACGAAGACCTCAAGCTGTTCGC</t>
  </si>
  <si>
    <t xml:space="preserve">PST_0896</t>
  </si>
  <si>
    <t xml:space="preserve">narG</t>
  </si>
  <si>
    <t xml:space="preserve">AGCGCAGTTGATCGAGCAAG</t>
  </si>
  <si>
    <t xml:space="preserve">TAGTAGCGCAGTTGATCGAGCAAG</t>
  </si>
  <si>
    <t xml:space="preserve">AAACCTTGCTCGATCAACTGCGCT</t>
  </si>
  <si>
    <t xml:space="preserve">GCGGGTTTCGCCATGACCAT</t>
  </si>
  <si>
    <t xml:space="preserve">TAGTGCGGGTTTCGCCATGACCAT</t>
  </si>
  <si>
    <t xml:space="preserve">AAACATGGTCATGGCGAAACCCGC</t>
  </si>
  <si>
    <t xml:space="preserve">GTAGACGTTCTCCCAGTCGC</t>
  </si>
  <si>
    <t xml:space="preserve">TAGTGTAGACGTTCTCCCAGTCGC</t>
  </si>
  <si>
    <t xml:space="preserve">AAACGCGACTGGGAGAACGTCTAC</t>
  </si>
  <si>
    <t xml:space="preserve">TGTCGTACTGCCAGCGCGAG</t>
  </si>
  <si>
    <t xml:space="preserve">TAGTTGTCGTACTGCCAGCGCGAG</t>
  </si>
  <si>
    <t xml:space="preserve">AAACCTCGCGCTGGCAGTACGACA</t>
  </si>
  <si>
    <t xml:space="preserve">PST_0897</t>
  </si>
  <si>
    <t xml:space="preserve">narH</t>
  </si>
  <si>
    <t xml:space="preserve">TACTTGTGAACGAATCTTCA</t>
  </si>
  <si>
    <t xml:space="preserve">TAGTTACTTGTGAACGAATCTTCA</t>
  </si>
  <si>
    <t xml:space="preserve">AAACTGAAGATTCGTTCACAAGTA</t>
  </si>
  <si>
    <t xml:space="preserve">CGATGCACTTGTCCAGGTTC</t>
  </si>
  <si>
    <t xml:space="preserve">TAGTCGATGCACTTGTCCAGGTTC</t>
  </si>
  <si>
    <t xml:space="preserve">AAACGAACCTGGACAAGTGCATCG</t>
  </si>
  <si>
    <t xml:space="preserve">GTTCTTGCAGGTGATCGAGC</t>
  </si>
  <si>
    <t xml:space="preserve">TAGTGTTCTTGCAGGTGATCGAGC</t>
  </si>
  <si>
    <t xml:space="preserve">AAACGCTCGATCACCTGCAAGAAC</t>
  </si>
  <si>
    <t xml:space="preserve">GTATTCCATGCCTTCGCGGC</t>
  </si>
  <si>
    <t xml:space="preserve">TAGTGTATTCCATGCCTTCGCGGC</t>
  </si>
  <si>
    <t xml:space="preserve">AAACGCCGCGAAGGCATGGAATAC</t>
  </si>
  <si>
    <t xml:space="preserve">PST_0898</t>
  </si>
  <si>
    <t xml:space="preserve">narJ</t>
  </si>
  <si>
    <t xml:space="preserve">AATCACTTTAAGGATGCGCA</t>
  </si>
  <si>
    <t xml:space="preserve">TAGTAATCACTTTAAGGATGCGCA</t>
  </si>
  <si>
    <t xml:space="preserve">AAACTGCGCATCCTTAAAGTGATT</t>
  </si>
  <si>
    <t xml:space="preserve">GTCGGGATAGTCCAGCAGCA</t>
  </si>
  <si>
    <t xml:space="preserve">TAGTGTCGGGATAGTCCAGCAGCA</t>
  </si>
  <si>
    <t xml:space="preserve">AAACTGCTGCTGGACTATCCCGAC</t>
  </si>
  <si>
    <t xml:space="preserve">GTTCGGCATGGCCGTCGCGC</t>
  </si>
  <si>
    <t xml:space="preserve">TAGTGTTCGGCATGGCCGTCGCGC</t>
  </si>
  <si>
    <t xml:space="preserve">AAACGCGCGACGGCCATGCCGAAC</t>
  </si>
  <si>
    <t xml:space="preserve">CGCGAGCCGAACCGATGGCC</t>
  </si>
  <si>
    <t xml:space="preserve">TAGTCGCGAGCCGAACCGATGGCC</t>
  </si>
  <si>
    <t xml:space="preserve">AAACGGCCATCGGTTCGGCTCGCG</t>
  </si>
  <si>
    <t xml:space="preserve">PST_0899</t>
  </si>
  <si>
    <t xml:space="preserve">narI</t>
  </si>
  <si>
    <t xml:space="preserve">AGGGATAGACCCCGAACAGC</t>
  </si>
  <si>
    <t xml:space="preserve">TAGTAGGGATAGACCCCGAACAGC</t>
  </si>
  <si>
    <t xml:space="preserve">AAACGCTGTTCGGGGTCTATCCCT</t>
  </si>
  <si>
    <t xml:space="preserve">GCAGATGGCCAGGGCGATGT</t>
  </si>
  <si>
    <t xml:space="preserve">TAGTGCAGATGGCCAGGGCGATGT</t>
  </si>
  <si>
    <t xml:space="preserve">AAACACATCGCCCTGGCCATCTGC</t>
  </si>
  <si>
    <t xml:space="preserve">AGCGCGCCCAGCTGCCGATC</t>
  </si>
  <si>
    <t xml:space="preserve">TAGTAGCGCGCCCAGCTGCCGATC</t>
  </si>
  <si>
    <t xml:space="preserve">AAACGATCGGCAGCTGGGCGCGCT</t>
  </si>
  <si>
    <t xml:space="preserve">CCTTCCAGCTGTACTGCGAC</t>
  </si>
  <si>
    <t xml:space="preserve">TAGTCCTTCCAGCTGTACTGCGAC</t>
  </si>
  <si>
    <t xml:space="preserve">AAACGTCGCAGTACAGCTGGAAGG</t>
  </si>
  <si>
    <t xml:space="preserve">PST_0900</t>
  </si>
  <si>
    <t xml:space="preserve">CGTGGGGCGTCAGCCGGCAA</t>
  </si>
  <si>
    <t xml:space="preserve">TAGTCGTGGGGCGTCAGCCGGCAA</t>
  </si>
  <si>
    <t xml:space="preserve">AAACTTGCCGGCTGACGCCCCACG</t>
  </si>
  <si>
    <t xml:space="preserve">TTCGATCCGATCGACCAGAC</t>
  </si>
  <si>
    <t xml:space="preserve">TAGTTTCGATCCGATCGACCAGAC</t>
  </si>
  <si>
    <t xml:space="preserve">AAACGTCTGGTCGATCGGATCGAA</t>
  </si>
  <si>
    <t xml:space="preserve">CGGCACTTCGATTTCCGGGC</t>
  </si>
  <si>
    <t xml:space="preserve">TAGTCGGCACTTCGATTTCCGGGC</t>
  </si>
  <si>
    <t xml:space="preserve">AAACGCCCGGAAATCGAAGTGCCG</t>
  </si>
  <si>
    <t xml:space="preserve">TCGAACAGAGGGGCCTCGGC</t>
  </si>
  <si>
    <t xml:space="preserve">TAGTTCGAACAGAGGGGCCTCGGC</t>
  </si>
  <si>
    <t xml:space="preserve">AAACGCCGAGGCCCCTCTGTTCGA</t>
  </si>
  <si>
    <t xml:space="preserve">PST_0901</t>
  </si>
  <si>
    <t xml:space="preserve">moaA1</t>
  </si>
  <si>
    <t xml:space="preserve">GTAGTCGATCTGGCGGTTGT</t>
  </si>
  <si>
    <t xml:space="preserve">TAGTGTAGTCGATCTGGCGGTTGT</t>
  </si>
  <si>
    <t xml:space="preserve">AAACACAACCGCCAGATCGACTAC</t>
  </si>
  <si>
    <t xml:space="preserve">GGTCGGTGACCGACATGCGC</t>
  </si>
  <si>
    <t xml:space="preserve">TAGTGGTCGGTGACCGACATGCGC</t>
  </si>
  <si>
    <t xml:space="preserve">AAACGCGCATGTCGGTCACCGACC</t>
  </si>
  <si>
    <t xml:space="preserve">AGACGCAGCGGAAGTCGCAG</t>
  </si>
  <si>
    <t xml:space="preserve">TAGTAGACGCAGCGGAAGTCGCAG</t>
  </si>
  <si>
    <t xml:space="preserve">AAACCTGCGACTTCCGCTGCGTCT</t>
  </si>
  <si>
    <t xml:space="preserve">CGGCAGGAAGGTCATGTCCT</t>
  </si>
  <si>
    <t xml:space="preserve">TAGTCGGCAGGAAGGTCATGTCCT</t>
  </si>
  <si>
    <t xml:space="preserve">AAACAGGACATGACCTTCCTGCCG</t>
  </si>
  <si>
    <t xml:space="preserve">PST_0902</t>
  </si>
  <si>
    <t xml:space="preserve">moaB2</t>
  </si>
  <si>
    <t xml:space="preserve">GGTGTTGGACAGGTGAGCCA</t>
  </si>
  <si>
    <t xml:space="preserve">TAGTGGTGTTGGACAGGTGAGCCA</t>
  </si>
  <si>
    <t xml:space="preserve">AAACTGGCTCACCTGTCCAACACC</t>
  </si>
  <si>
    <t xml:space="preserve">GATGTTCAGAGGCTGGAATT</t>
  </si>
  <si>
    <t xml:space="preserve">TAGTGATGTTCAGAGGCTGGAATT</t>
  </si>
  <si>
    <t xml:space="preserve">AAACAATTCCAGCCTCTGAACATC</t>
  </si>
  <si>
    <t xml:space="preserve">GGTATCGCTCACCGTGAGCA</t>
  </si>
  <si>
    <t xml:space="preserve">TAGTGGTATCGCTCACCGTGAGCA</t>
  </si>
  <si>
    <t xml:space="preserve">AAACTGCTCACGGTGAGCGATACC</t>
  </si>
  <si>
    <t xml:space="preserve">GGTATCGGAATCGATGTTAC</t>
  </si>
  <si>
    <t xml:space="preserve">TAGTGGTATCGGAATCGATGTTAC</t>
  </si>
  <si>
    <t xml:space="preserve">AAACGTAACATCGATTCCGATACC</t>
  </si>
  <si>
    <t xml:space="preserve">PST_0903</t>
  </si>
  <si>
    <t xml:space="preserve">moeA1</t>
  </si>
  <si>
    <t xml:space="preserve">GTCGACCGGCTTCAGCCCGC</t>
  </si>
  <si>
    <t xml:space="preserve">TAGTGTCGACCGGCTTCAGCCCGC</t>
  </si>
  <si>
    <t xml:space="preserve">AAACGCGGGCTGAAGCCGGTCGAC</t>
  </si>
  <si>
    <t xml:space="preserve">TCTTCCACCGCGGGCGGCGC</t>
  </si>
  <si>
    <t xml:space="preserve">TAGTTCTTCCACCGCGGGCGGCGC</t>
  </si>
  <si>
    <t xml:space="preserve">AAACGCGCCGCCCGCGGTGGAAGA</t>
  </si>
  <si>
    <t xml:space="preserve">CTCGGCGAGCACGCGACCGA</t>
  </si>
  <si>
    <t xml:space="preserve">TAGTCTCGGCGAGCACGCGACCGA</t>
  </si>
  <si>
    <t xml:space="preserve">AAACTCGGTCGCGTGCTCGCCGAG</t>
  </si>
  <si>
    <t xml:space="preserve">ACCGGAAAGCTGGCATCCAG</t>
  </si>
  <si>
    <t xml:space="preserve">TAGTACCGGAAAGCTGGCATCCAG</t>
  </si>
  <si>
    <t xml:space="preserve">AAACCTGGATGCCAGCTTTCCGGT</t>
  </si>
  <si>
    <t xml:space="preserve">PST_0904</t>
  </si>
  <si>
    <t xml:space="preserve">GCCGTAACGCGGCAGGGGGG</t>
  </si>
  <si>
    <t xml:space="preserve">TAGTGCCGTAACGCGGCAGGGGGG</t>
  </si>
  <si>
    <t xml:space="preserve">AAACCCCCCCTGCCGCGTTACGGC</t>
  </si>
  <si>
    <t xml:space="preserve">CAGCAGCATCAGCCAGTGCA</t>
  </si>
  <si>
    <t xml:space="preserve">TAGTCAGCAGCATCAGCCAGTGCA</t>
  </si>
  <si>
    <t xml:space="preserve">AAACTGCACTGGCTGATGCTGCTG</t>
  </si>
  <si>
    <t xml:space="preserve">TTCGATGGTGGCGTAGACGG</t>
  </si>
  <si>
    <t xml:space="preserve">TAGTTTCGATGGTGGCGTAGACGG</t>
  </si>
  <si>
    <t xml:space="preserve">AAACCCGTCTACGCCACCATCGAA</t>
  </si>
  <si>
    <t xml:space="preserve">CTCGCGTGGCTCGCTGCCCT</t>
  </si>
  <si>
    <t xml:space="preserve">TAGTCTCGCGTGGCTCGCTGCCCT</t>
  </si>
  <si>
    <t xml:space="preserve">AAACAGGGCAGCGAGCCACGCGAG</t>
  </si>
  <si>
    <t xml:space="preserve">PST_0905</t>
  </si>
  <si>
    <t xml:space="preserve">GCAGCGCCAGGGTGCGCTGG</t>
  </si>
  <si>
    <t xml:space="preserve">TAGTGCAGCGCCAGGGTGCGCTGG</t>
  </si>
  <si>
    <t xml:space="preserve">AAACCCAGCGCACCCTGGCGCTGC</t>
  </si>
  <si>
    <t xml:space="preserve">CAGGCTCAGCGAGACCAGCA</t>
  </si>
  <si>
    <t xml:space="preserve">TAGTCAGGCTCAGCGAGACCAGCA</t>
  </si>
  <si>
    <t xml:space="preserve">AAACTGCTGGTCTCGCTGAGCCTG</t>
  </si>
  <si>
    <t xml:space="preserve">CGCGTCGCGGTAGCTGCGCC</t>
  </si>
  <si>
    <t xml:space="preserve">TAGTCGCGTCGCGGTAGCTGCGCC</t>
  </si>
  <si>
    <t xml:space="preserve">AAACGGCGCAGCTACCGCGACGCG</t>
  </si>
  <si>
    <t xml:space="preserve">CGAACAGTTCCTCGATCTCG</t>
  </si>
  <si>
    <t xml:space="preserve">TAGTCGAACAGTTCCTCGATCTCG</t>
  </si>
  <si>
    <t xml:space="preserve">AAACCGAGATCGAGGAACTGTTCG</t>
  </si>
  <si>
    <t xml:space="preserve">PST_0906</t>
  </si>
  <si>
    <t xml:space="preserve">TCCTGTCGTTCTCGGCCGCT</t>
  </si>
  <si>
    <t xml:space="preserve">TAGTTCCTGTCGTTCTCGGCCGCT</t>
  </si>
  <si>
    <t xml:space="preserve">AAACAGCGGCCGAGAACGACAGGA</t>
  </si>
  <si>
    <t xml:space="preserve">GGTGCGGATGCCCTCGCCAA</t>
  </si>
  <si>
    <t xml:space="preserve">TAGTGGTGCGGATGCCCTCGCCAA</t>
  </si>
  <si>
    <t xml:space="preserve">AAACTTGGCGAGGGCATCCGCACC</t>
  </si>
  <si>
    <t xml:space="preserve">ATAGCCCTCCGGCTTGAGCG</t>
  </si>
  <si>
    <t xml:space="preserve">TAGTATAGCCCTCCGGCTTGAGCG</t>
  </si>
  <si>
    <t xml:space="preserve">AAACCGCTCAAGCCGGAGGGCTAT</t>
  </si>
  <si>
    <t xml:space="preserve">GTTCAGCGCATGCAGCGCAC</t>
  </si>
  <si>
    <t xml:space="preserve">TAGTGTTCAGCGCATGCAGCGCAC</t>
  </si>
  <si>
    <t xml:space="preserve">AAACGTGCGCTGCATGCGCTGAAC</t>
  </si>
  <si>
    <t xml:space="preserve">PST_0907</t>
  </si>
  <si>
    <t xml:space="preserve">AGGGCGCAAAGGCCTAACAG</t>
  </si>
  <si>
    <t xml:space="preserve">TAGTAGGGCGCAAAGGCCTAACAG</t>
  </si>
  <si>
    <t xml:space="preserve">AAACCTGTTAGGCCTTTGCGCCCT</t>
  </si>
  <si>
    <t xml:space="preserve">GGCTGGCCAGGGCCAGCATC</t>
  </si>
  <si>
    <t xml:space="preserve">TAGTGGCTGGCCAGGGCCAGCATC</t>
  </si>
  <si>
    <t xml:space="preserve">AAACGATGCTGGCCCTGGCCAGCC</t>
  </si>
  <si>
    <t xml:space="preserve">GGCTGAGAGCGAAGGAGGGC</t>
  </si>
  <si>
    <t xml:space="preserve">TAGTGGCTGAGAGCGAAGGAGGGC</t>
  </si>
  <si>
    <t xml:space="preserve">AAACGCCCTCCTTCGCTCTCAGCC</t>
  </si>
  <si>
    <t xml:space="preserve">GCAGCGACGACTCGCCGGCC</t>
  </si>
  <si>
    <t xml:space="preserve">TAGTGCAGCGACGACTCGCCGGCC</t>
  </si>
  <si>
    <t xml:space="preserve">AAACGGCCGGCGAGTCGTCGCTGC</t>
  </si>
  <si>
    <t xml:space="preserve">PST_0908</t>
  </si>
  <si>
    <t xml:space="preserve">CGCTGGCACCGGTGAGCAGG</t>
  </si>
  <si>
    <t xml:space="preserve">TAGTCGCTGGCACCGGTGAGCAGG</t>
  </si>
  <si>
    <t xml:space="preserve">AAACCCTGCTCACCGGTGCCAGCG</t>
  </si>
  <si>
    <t xml:space="preserve">CAGCAGCAGCCGGGCACCGC</t>
  </si>
  <si>
    <t xml:space="preserve">TAGTCAGCAGCAGCCGGGCACCGC</t>
  </si>
  <si>
    <t xml:space="preserve">AAACGCGGTGCCCGGCTGCTGCTG</t>
  </si>
  <si>
    <t xml:space="preserve">GCCCAGGGTAACGGCGGGCC</t>
  </si>
  <si>
    <t xml:space="preserve">TAGTGCCCAGGGTAACGGCGGGCC</t>
  </si>
  <si>
    <t xml:space="preserve">AAACGGCCCGCCGTTACCCTGGGC</t>
  </si>
  <si>
    <t xml:space="preserve">GTCGCCCGCTGCGCTGGGCT</t>
  </si>
  <si>
    <t xml:space="preserve">TAGTGTCGCCCGCTGCGCTGGGCT</t>
  </si>
  <si>
    <t xml:space="preserve">AAACAGCCCAGCGCAGCGGGCGAC</t>
  </si>
  <si>
    <t xml:space="preserve">PST_0909</t>
  </si>
  <si>
    <t xml:space="preserve">CAGCTGGTCGAAGAATTCCA</t>
  </si>
  <si>
    <t xml:space="preserve">TAGTCAGCTGGTCGAAGAATTCCA</t>
  </si>
  <si>
    <t xml:space="preserve">AAACTGGAATTCTTCGACCAGCTG</t>
  </si>
  <si>
    <t xml:space="preserve">CAGGTATTCGCGTTCGGTGT</t>
  </si>
  <si>
    <t xml:space="preserve">TAGTCAGGTATTCGCGTTCGGTGT</t>
  </si>
  <si>
    <t xml:space="preserve">AAACACACCGAACGCGAATACCTG</t>
  </si>
  <si>
    <t xml:space="preserve">CGCGGAATGAATGATCGGCG</t>
  </si>
  <si>
    <t xml:space="preserve">TAGTCGCGGAATGAATGATCGGCG</t>
  </si>
  <si>
    <t xml:space="preserve">AAACCGCCGATCATTCATTCCGCG</t>
  </si>
  <si>
    <t xml:space="preserve">TTGCGCGCGGTTGGCGGTGC</t>
  </si>
  <si>
    <t xml:space="preserve">TAGTTTGCGCGCGGTTGGCGGTGC</t>
  </si>
  <si>
    <t xml:space="preserve">AAACGCACCGCCAACCGCGCGCAA</t>
  </si>
  <si>
    <t xml:space="preserve">PST_0910</t>
  </si>
  <si>
    <t xml:space="preserve">CGATGCCACTGTGCTGTTCC</t>
  </si>
  <si>
    <t xml:space="preserve">TAGTCGATGCCACTGTGCTGTTCC</t>
  </si>
  <si>
    <t xml:space="preserve">AAACGGAACAGCACAGTGGCATCG</t>
  </si>
  <si>
    <t xml:space="preserve">CTGGCGCGGCCCCTCGCTCA</t>
  </si>
  <si>
    <t xml:space="preserve">TAGTCTGGCGCGGCCCCTCGCTCA</t>
  </si>
  <si>
    <t xml:space="preserve">AAACTGAGCGAGGGGCCGCGCCAG</t>
  </si>
  <si>
    <t xml:space="preserve">CGCGACCTCGTGGCGCAGCT</t>
  </si>
  <si>
    <t xml:space="preserve">TAGTCGCGACCTCGTGGCGCAGCT</t>
  </si>
  <si>
    <t xml:space="preserve">AAACAGCTGCGCCACGAGGTCGCG</t>
  </si>
  <si>
    <t xml:space="preserve">CTGTTGCAGCTGACTGGCAC</t>
  </si>
  <si>
    <t xml:space="preserve">TAGTCTGTTGCAGCTGACTGGCAC</t>
  </si>
  <si>
    <t xml:space="preserve">AAACGTGCCAGTCAGCTGCAACAG</t>
  </si>
  <si>
    <t xml:space="preserve">PST_0911</t>
  </si>
  <si>
    <t xml:space="preserve">TCAACCCAGGGCAGGCCCAT</t>
  </si>
  <si>
    <t xml:space="preserve">TAGTTCAACCCAGGGCAGGCCCAT</t>
  </si>
  <si>
    <t xml:space="preserve">AAACATGGGCCTGCCCTGGGTTGA</t>
  </si>
  <si>
    <t xml:space="preserve">GCCGATGCGGGCCAGTATGT</t>
  </si>
  <si>
    <t xml:space="preserve">TAGTGCCGATGCGGGCCAGTATGT</t>
  </si>
  <si>
    <t xml:space="preserve">AAACACATACTGGCCCGCATCGGC</t>
  </si>
  <si>
    <t xml:space="preserve">GCAGGCATAGCGAGGGCTCT</t>
  </si>
  <si>
    <t xml:space="preserve">TAGTGCAGGCATAGCGAGGGCTCT</t>
  </si>
  <si>
    <t xml:space="preserve">AAACAGAGCCCTCGCTATGCCTGC</t>
  </si>
  <si>
    <t xml:space="preserve">CACTCGCCGCGGGTCCTCGC</t>
  </si>
  <si>
    <t xml:space="preserve">TAGTCACTCGCCGCGGGTCCTCGC</t>
  </si>
  <si>
    <t xml:space="preserve">AAACGCGAGGACCCGCGGCGAGTG</t>
  </si>
  <si>
    <t xml:space="preserve">PST_0912</t>
  </si>
  <si>
    <t xml:space="preserve">TGTCAGCGTTCTTACGGCTT</t>
  </si>
  <si>
    <t xml:space="preserve">TAGTTGTCAGCGTTCTTACGGCTT</t>
  </si>
  <si>
    <t xml:space="preserve">AAACAAGCCGTAAGAACGCTGACA</t>
  </si>
  <si>
    <t xml:space="preserve">TGGCGCAGCTGGAGCACCGG</t>
  </si>
  <si>
    <t xml:space="preserve">TAGTTGGCGCAGCTGGAGCACCGG</t>
  </si>
  <si>
    <t xml:space="preserve">AAACCCGGTGCTCCAGCTGCGCCA</t>
  </si>
  <si>
    <t xml:space="preserve">GCCAGCGTTCGATGGGCCTC</t>
  </si>
  <si>
    <t xml:space="preserve">TAGTGCCAGCGTTCGATGGGCCTC</t>
  </si>
  <si>
    <t xml:space="preserve">AAACGAGGCCCATCGAACGCTGGC</t>
  </si>
  <si>
    <t xml:space="preserve">TAGCTGCTTCGGTGGTCGGC</t>
  </si>
  <si>
    <t xml:space="preserve">TAGTTAGCTGCTTCGGTGGTCGGC</t>
  </si>
  <si>
    <t xml:space="preserve">AAACGCCGACCACCGAAGCAGCTA</t>
  </si>
  <si>
    <t xml:space="preserve">PST_0913</t>
  </si>
  <si>
    <t xml:space="preserve">colR</t>
  </si>
  <si>
    <t xml:space="preserve">CACGGTTGTCTTCAATGACC</t>
  </si>
  <si>
    <t xml:space="preserve">TAGTCACGGTTGTCTTCAATGACC</t>
  </si>
  <si>
    <t xml:space="preserve">AAACGGTCATTGAAGACAACCGTG</t>
  </si>
  <si>
    <t xml:space="preserve">GGTAGTCGAGCACGTTGGCC</t>
  </si>
  <si>
    <t xml:space="preserve">TAGTGGTAGTCGAGCACGTTGGCC</t>
  </si>
  <si>
    <t xml:space="preserve">AAACGGCCAACGTGCTCGACTACC</t>
  </si>
  <si>
    <t xml:space="preserve">CGTCCTGCGCACAGTCCACC</t>
  </si>
  <si>
    <t xml:space="preserve">TAGTCGTCCTGCGCACAGTCCACC</t>
  </si>
  <si>
    <t xml:space="preserve">AAACGGTGGACTGTGCGCAGGACG</t>
  </si>
  <si>
    <t xml:space="preserve">CCTGGGTCGCGGCCAGGTGC</t>
  </si>
  <si>
    <t xml:space="preserve">TAGTCCTGGGTCGCGGCCAGGTGC</t>
  </si>
  <si>
    <t xml:space="preserve">AAACGCACCTGGCCGCGACCCAGG</t>
  </si>
  <si>
    <t xml:space="preserve">PST_0914</t>
  </si>
  <si>
    <t xml:space="preserve">colS</t>
  </si>
  <si>
    <t xml:space="preserve">GAAGGCAATGACGATGCGTC</t>
  </si>
  <si>
    <t xml:space="preserve">TAGTGAAGGCAATGACGATGCGTC</t>
  </si>
  <si>
    <t xml:space="preserve">AAACGACGCATCGTCATTGCCTTC</t>
  </si>
  <si>
    <t xml:space="preserve">GAACACGCCGCTGACCACCA</t>
  </si>
  <si>
    <t xml:space="preserve">TAGTGAACACGCCGCTGACCACCA</t>
  </si>
  <si>
    <t xml:space="preserve">AAACTGGTGGTCAGCGGCGTGTTC</t>
  </si>
  <si>
    <t xml:space="preserve">CAGCTCGCGACTCAGCTCCC</t>
  </si>
  <si>
    <t xml:space="preserve">TAGTCAGCTCGCGACTCAGCTCCC</t>
  </si>
  <si>
    <t xml:space="preserve">AAACGGGAGCTGAGTCGCGAGCTG</t>
  </si>
  <si>
    <t xml:space="preserve">GCGGTGGGCGTCCGCTGGGC</t>
  </si>
  <si>
    <t xml:space="preserve">TAGTGCGGTGGGCGTCCGCTGGGC</t>
  </si>
  <si>
    <t xml:space="preserve">AAACGCCCAGCGGACGCCCACCGC</t>
  </si>
  <si>
    <t xml:space="preserve">PST_0915</t>
  </si>
  <si>
    <t xml:space="preserve">AGTTCGATGGGGCTCGATGT</t>
  </si>
  <si>
    <t xml:space="preserve">TAGTAGTTCGATGGGGCTCGATGT</t>
  </si>
  <si>
    <t xml:space="preserve">AAACACATCGAGCCCCATCGAACT</t>
  </si>
  <si>
    <t xml:space="preserve">GCAGGTATTCGTAGGCGTGC</t>
  </si>
  <si>
    <t xml:space="preserve">TAGTGCAGGTATTCGTAGGCGTGC</t>
  </si>
  <si>
    <t xml:space="preserve">AAACGCACGCCTACGAATACCTGC</t>
  </si>
  <si>
    <t xml:space="preserve">GCCGCCGGGCGAGGCCGTCC</t>
  </si>
  <si>
    <t xml:space="preserve">TAGTGCCGCCGGGCGAGGCCGTCC</t>
  </si>
  <si>
    <t xml:space="preserve">AAACGGACGGCCTCGCCCGGCGGC</t>
  </si>
  <si>
    <t xml:space="preserve">GAGGACCAGATCGGGCTCGC</t>
  </si>
  <si>
    <t xml:space="preserve">TAGTGAGGACCAGATCGGGCTCGC</t>
  </si>
  <si>
    <t xml:space="preserve">AAACGCGAGCCCGATCTGGTCCTC</t>
  </si>
  <si>
    <t xml:space="preserve">PST_0916</t>
  </si>
  <si>
    <t xml:space="preserve">GGGCCGGCAGTACGAAGGCT</t>
  </si>
  <si>
    <t xml:space="preserve">TAGTGGGCCGGCAGTACGAAGGCT</t>
  </si>
  <si>
    <t xml:space="preserve">AAACAGCCTTCGTACTGCCGGCCC</t>
  </si>
  <si>
    <t xml:space="preserve">GGTGCTGGTCCGCGCCTCGC</t>
  </si>
  <si>
    <t xml:space="preserve">TAGTGGTGCTGGTCCGCGCCTCGC</t>
  </si>
  <si>
    <t xml:space="preserve">AAACGCGAGGCGCGGACCAGCACC</t>
  </si>
  <si>
    <t xml:space="preserve">CATGTCCCACCAGCGCTGAA</t>
  </si>
  <si>
    <t xml:space="preserve">TAGTCATGTCCCACCAGCGCTGAA</t>
  </si>
  <si>
    <t xml:space="preserve">AAACTTCAGCGCTGGTGGGACATG</t>
  </si>
  <si>
    <t xml:space="preserve">TCGCCGGCGCGTCGCCGGTT</t>
  </si>
  <si>
    <t xml:space="preserve">TAGTTCGCCGGCGCGTCGCCGGTT</t>
  </si>
  <si>
    <t xml:space="preserve">AAACAACCGGCGACGCGCCGGCGA</t>
  </si>
  <si>
    <t xml:space="preserve">PST_0917</t>
  </si>
  <si>
    <t xml:space="preserve">CCCCTTGAGCGCCGCGCCAT</t>
  </si>
  <si>
    <t xml:space="preserve">TAGTCCCCTTGAGCGCCGCGCCAT</t>
  </si>
  <si>
    <t xml:space="preserve">AAACATGGCGCGGCGCTCAAGGGG</t>
  </si>
  <si>
    <t xml:space="preserve">CGGCGAGCCACAGCCGCATC</t>
  </si>
  <si>
    <t xml:space="preserve">TAGTCGGCGAGCCACAGCCGCATC</t>
  </si>
  <si>
    <t xml:space="preserve">AAACGATGCGGCTGTGGCTCGCCG</t>
  </si>
  <si>
    <t xml:space="preserve">GCCGGCCAGCGAATAGCCCC</t>
  </si>
  <si>
    <t xml:space="preserve">TAGTGCCGGCCAGCGAATAGCCCC</t>
  </si>
  <si>
    <t xml:space="preserve">AAACGGGGCTATTCGCTGGCCGGC</t>
  </si>
  <si>
    <t xml:space="preserve">CACCGCGGTAGGCGGCCCGC</t>
  </si>
  <si>
    <t xml:space="preserve">TAGTCACCGCGGTAGGCGGCCCGC</t>
  </si>
  <si>
    <t xml:space="preserve">AAACGCGGGCCGCCTACCGCGGTG</t>
  </si>
  <si>
    <t xml:space="preserve">PST_0918</t>
  </si>
  <si>
    <t xml:space="preserve">CGGGCGGTTGCGTCGGTCAT</t>
  </si>
  <si>
    <t xml:space="preserve">TAGTCGGGCGGTTGCGTCGGTCAT</t>
  </si>
  <si>
    <t xml:space="preserve">AAACATGACCGACGCAACCGCCCG</t>
  </si>
  <si>
    <t xml:space="preserve">TGGCGTAGTCCGGGCTGGAC</t>
  </si>
  <si>
    <t xml:space="preserve">TAGTTGGCGTAGTCCGGGCTGGAC</t>
  </si>
  <si>
    <t xml:space="preserve">AAACGTCCAGCCCGGACTACGCCA</t>
  </si>
  <si>
    <t xml:space="preserve">CAGCCATGAACAGCAGATGG</t>
  </si>
  <si>
    <t xml:space="preserve">TAGTCAGCCATGAACAGCAGATGG</t>
  </si>
  <si>
    <t xml:space="preserve">AAACCCATCTGCTGTTCATGGCTG</t>
  </si>
  <si>
    <t xml:space="preserve">CAGCAGTGCCAAGCGCAGCA</t>
  </si>
  <si>
    <t xml:space="preserve">TAGTCAGCAGTGCCAAGCGCAGCA</t>
  </si>
  <si>
    <t xml:space="preserve">AAACTGCTGCGCTTGGCACTGCTG</t>
  </si>
  <si>
    <t xml:space="preserve">PST_0919</t>
  </si>
  <si>
    <t xml:space="preserve">trmA</t>
  </si>
  <si>
    <t xml:space="preserve">GTCGAGCTGGGGCAGCGGCA</t>
  </si>
  <si>
    <t xml:space="preserve">TAGTGTCGAGCTGGGGCAGCGGCA</t>
  </si>
  <si>
    <t xml:space="preserve">AAACTGCCGCTGCCCCAGCTCGAC</t>
  </si>
  <si>
    <t xml:space="preserve">GTTGGGCGGCGTATTGGGCG</t>
  </si>
  <si>
    <t xml:space="preserve">TAGTGTTGGGCGGCGTATTGGGCG</t>
  </si>
  <si>
    <t xml:space="preserve">AAACCGCCCAATACGCCGCCCAAC</t>
  </si>
  <si>
    <t xml:space="preserve">CTCCAGCCGGGCGGCTTTCT</t>
  </si>
  <si>
    <t xml:space="preserve">TAGTCTCCAGCCGGGCGGCTTTCT</t>
  </si>
  <si>
    <t xml:space="preserve">AAACAGAAAGCCGCCCGGCTGGAG</t>
  </si>
  <si>
    <t xml:space="preserve">TCCGCTGCCGGTGCATCGAA</t>
  </si>
  <si>
    <t xml:space="preserve">TAGTTCCGCTGCCGGTGCATCGAA</t>
  </si>
  <si>
    <t xml:space="preserve">AAACTTCGATGCACCGGCAGCGGA</t>
  </si>
  <si>
    <t xml:space="preserve">PST_0920</t>
  </si>
  <si>
    <t xml:space="preserve">TTGAAACAGCTTTTCCAGCA</t>
  </si>
  <si>
    <t xml:space="preserve">TAGTTTGAAACAGCTTTTCCAGCA</t>
  </si>
  <si>
    <t xml:space="preserve">AAACTGCTGGAAAAGCTGTTTCAA</t>
  </si>
  <si>
    <t xml:space="preserve">GGTGATGCCGGCCAGGATCT</t>
  </si>
  <si>
    <t xml:space="preserve">TAGTGGTGATGCCGGCCAGGATCT</t>
  </si>
  <si>
    <t xml:space="preserve">AAACAGATCCTGGCCGGCATCACC</t>
  </si>
  <si>
    <t xml:space="preserve">GTAGGCCATCGTCAGGAAGG</t>
  </si>
  <si>
    <t xml:space="preserve">TAGTGTAGGCCATCGTCAGGAAGG</t>
  </si>
  <si>
    <t xml:space="preserve">AAACCCTTCCTGACGATGGCCTAC</t>
  </si>
  <si>
    <t xml:space="preserve">CCGGTCTCGGCGAGGATGCT</t>
  </si>
  <si>
    <t xml:space="preserve">TAGTCCGGTCTCGGCGAGGATGCT</t>
  </si>
  <si>
    <t xml:space="preserve">AAACAGCATCCTCGCCGAGACCGG</t>
  </si>
  <si>
    <t xml:space="preserve">PST_0921</t>
  </si>
  <si>
    <t xml:space="preserve">AATCAGGACACGTTTGCTCA</t>
  </si>
  <si>
    <t xml:space="preserve">TAGTAATCAGGACACGTTTGCTCA</t>
  </si>
  <si>
    <t xml:space="preserve">AAACTGAGCAAACGTGTCCTGATT</t>
  </si>
  <si>
    <t xml:space="preserve">TCTTCGGAACCGTCGGCGAT</t>
  </si>
  <si>
    <t xml:space="preserve">TAGTTCTTCGGAACCGTCGGCGAT</t>
  </si>
  <si>
    <t xml:space="preserve">AAACATCGCCGACGGTTCCGAAGA</t>
  </si>
  <si>
    <t xml:space="preserve">CGATCAGGGTGACGGCCTCC</t>
  </si>
  <si>
    <t xml:space="preserve">TAGTCGATCAGGGTGACGGCCTCC</t>
  </si>
  <si>
    <t xml:space="preserve">AAACGGAGGCCGTCACCCTGATCG</t>
  </si>
  <si>
    <t xml:space="preserve">GGCCACCACCACGTCGAACT</t>
  </si>
  <si>
    <t xml:space="preserve">TAGTGGCCACCACCACGTCGAACT</t>
  </si>
  <si>
    <t xml:space="preserve">AAACAGTTCGACGTGGTGGTGGCC</t>
  </si>
  <si>
    <t xml:space="preserve">PST_0922</t>
  </si>
  <si>
    <t xml:space="preserve">ACCGTCACGCAACCAGTCGC</t>
  </si>
  <si>
    <t xml:space="preserve">TAGTACCGTCACGCAACCAGTCGC</t>
  </si>
  <si>
    <t xml:space="preserve">AAACGCGACTGGTTGCGTGACGGT</t>
  </si>
  <si>
    <t xml:space="preserve">CGGGCGCGGCGCGCTGCCCC</t>
  </si>
  <si>
    <t xml:space="preserve">TAGTCGGGCGCGGCGCGCTGCCCC</t>
  </si>
  <si>
    <t xml:space="preserve">AAACGGGGCAGCGCGCCGCGCCCG</t>
  </si>
  <si>
    <t xml:space="preserve">CGGACACCGAGCCCTCGACA</t>
  </si>
  <si>
    <t xml:space="preserve">TAGTCGGACACCGAGCCCTCGACA</t>
  </si>
  <si>
    <t xml:space="preserve">AAACTGTCGAGGGCTCGGTGTCCG</t>
  </si>
  <si>
    <t xml:space="preserve">GTCGTCCTCGACGCAGCCAC</t>
  </si>
  <si>
    <t xml:space="preserve">TAGTGTCGTCCTCGACGCAGCCAC</t>
  </si>
  <si>
    <t xml:space="preserve">AAACGTGGCTGCGTCGAGGACGAC</t>
  </si>
  <si>
    <t xml:space="preserve">PST_0923</t>
  </si>
  <si>
    <t xml:space="preserve">ATGGCGCAGACACCGGCACC</t>
  </si>
  <si>
    <t xml:space="preserve">TAGTATGGCGCAGACACCGGCACC</t>
  </si>
  <si>
    <t xml:space="preserve">AAACGGTGCCGGTGTCTGCGCCAT</t>
  </si>
  <si>
    <t xml:space="preserve">GTAACGGCTGCCCTGCCCGG</t>
  </si>
  <si>
    <t xml:space="preserve">TAGTGTAACGGCTGCCCTGCCCGG</t>
  </si>
  <si>
    <t xml:space="preserve">AAACCCGGGCAGGGCAGCCGTTAC</t>
  </si>
  <si>
    <t xml:space="preserve">TGTCCGCACCACTGGCCGCG</t>
  </si>
  <si>
    <t xml:space="preserve">TAGTTGTCCGCACCACTGGCCGCG</t>
  </si>
  <si>
    <t xml:space="preserve">AAACCGCGGCCAGTGGTGCGGACA</t>
  </si>
  <si>
    <t xml:space="preserve">ACCGGCGCATCGCTGAGGCT</t>
  </si>
  <si>
    <t xml:space="preserve">TAGTACCGGCGCATCGCTGAGGCT</t>
  </si>
  <si>
    <t xml:space="preserve">AAACAGCCTCAGCGATGCGCCGGT</t>
  </si>
  <si>
    <t xml:space="preserve">PST_0924</t>
  </si>
  <si>
    <t xml:space="preserve">AGCTGAAGAATGTTCGCTCA</t>
  </si>
  <si>
    <t xml:space="preserve">TAGTAGCTGAAGAATGTTCGCTCA</t>
  </si>
  <si>
    <t xml:space="preserve">AAACTGAGCGAACATTCTTCAGCT</t>
  </si>
  <si>
    <t xml:space="preserve">CCAGGCTGATGGTGCAGGTC</t>
  </si>
  <si>
    <t xml:space="preserve">TAGTCCAGGCTGATGGTGCAGGTC</t>
  </si>
  <si>
    <t xml:space="preserve">AAACGACCTGCACCATCAGCCTGG</t>
  </si>
  <si>
    <t xml:space="preserve">AGGGTTGCACCTGGAGCTCA</t>
  </si>
  <si>
    <t xml:space="preserve">TAGTAGGGTTGCACCTGGAGCTCA</t>
  </si>
  <si>
    <t xml:space="preserve">AAACTGAGCTCCAGGTGCAACCCT</t>
  </si>
  <si>
    <t xml:space="preserve">CAGGTCGAGCAAGGTGGTCC</t>
  </si>
  <si>
    <t xml:space="preserve">TAGTCAGGTCGAGCAAGGTGGTCC</t>
  </si>
  <si>
    <t xml:space="preserve">AAACGGACCACCTTGCTCGACCTG</t>
  </si>
  <si>
    <t xml:space="preserve">PST_0925</t>
  </si>
  <si>
    <t xml:space="preserve">TCGGGGCGCTGGTAGCTGAA</t>
  </si>
  <si>
    <t xml:space="preserve">TAGTTCGGGGCGCTGGTAGCTGAA</t>
  </si>
  <si>
    <t xml:space="preserve">AAACTTCAGCTACCAGCGCCCCGA</t>
  </si>
  <si>
    <t xml:space="preserve">GTCCGGCCCGTGCAGGGCGA</t>
  </si>
  <si>
    <t xml:space="preserve">TAGTGTCCGGCCCGTGCAGGGCGA</t>
  </si>
  <si>
    <t xml:space="preserve">AAACTCGCCCTGCACGGGCCGGAC</t>
  </si>
  <si>
    <t xml:space="preserve">TGGTGCCACCGGCGATATAG</t>
  </si>
  <si>
    <t xml:space="preserve">TAGTTGGTGCCACCGGCGATATAG</t>
  </si>
  <si>
    <t xml:space="preserve">AAACCTATATCGCCGGTGGCACCA</t>
  </si>
  <si>
    <t xml:space="preserve">TTTCCTTCATCAGGTCGAGC</t>
  </si>
  <si>
    <t xml:space="preserve">TAGTTTTCCTTCATCAGGTCGAGC</t>
  </si>
  <si>
    <t xml:space="preserve">AAACGCTCGACCTGATGAAGGAAA</t>
  </si>
  <si>
    <t xml:space="preserve">PST_0926</t>
  </si>
  <si>
    <t xml:space="preserve">CGGCTTGCCGAGTGGAGAGT</t>
  </si>
  <si>
    <t xml:space="preserve">TAGTCGGCTTGCCGAGTGGAGAGT</t>
  </si>
  <si>
    <t xml:space="preserve">AAACACTCTCCACTCGGCAAGCCG</t>
  </si>
  <si>
    <t xml:space="preserve">GGGCCGTCGACGCGGTCCAG</t>
  </si>
  <si>
    <t xml:space="preserve">TAGTGGGCCGTCGACGCGGTCCAG</t>
  </si>
  <si>
    <t xml:space="preserve">AAACCTGGACCGCGTCGACGGCCC</t>
  </si>
  <si>
    <t xml:space="preserve">CCTTGCCGGTGACCTTGAGC</t>
  </si>
  <si>
    <t xml:space="preserve">TAGTCCTTGCCGGTGACCTTGAGC</t>
  </si>
  <si>
    <t xml:space="preserve">AAACGCTCAAGGTCACCGGCAAGG</t>
  </si>
  <si>
    <t xml:space="preserve">CTCGGCTTCGGCGGCATAGC</t>
  </si>
  <si>
    <t xml:space="preserve">TAGTCTCGGCTTCGGCGGCATAGC</t>
  </si>
  <si>
    <t xml:space="preserve">AAACGCTATGCCGCCGAAGCCGAG</t>
  </si>
  <si>
    <t xml:space="preserve">PST_0927</t>
  </si>
  <si>
    <t xml:space="preserve">CTCCAGTCCGATGAAATGTT</t>
  </si>
  <si>
    <t xml:space="preserve">TAGTCTCCAGTCCGATGAAATGTT</t>
  </si>
  <si>
    <t xml:space="preserve">AAACAACATTTCATCGGACTGGAG</t>
  </si>
  <si>
    <t xml:space="preserve">ATGGAACAGCACGACATAGA</t>
  </si>
  <si>
    <t xml:space="preserve">TAGTATGGAACAGCACGACATAGA</t>
  </si>
  <si>
    <t xml:space="preserve">AAACTCTATGTCGTGCTGTTCCAT</t>
  </si>
  <si>
    <t xml:space="preserve">GTCCTCGACGTAGGCGTGCA</t>
  </si>
  <si>
    <t xml:space="preserve">TAGTGTCCTCGACGTAGGCGTGCA</t>
  </si>
  <si>
    <t xml:space="preserve">AAACTGCACGCCTACGTCGAGGAC</t>
  </si>
  <si>
    <t xml:space="preserve">GCCAGCTCCGAGAGCCAGGT</t>
  </si>
  <si>
    <t xml:space="preserve">TAGTGCCAGCTCCGAGAGCCAGGT</t>
  </si>
  <si>
    <t xml:space="preserve">AAACACCTGGCTCTCGGAGCTGGC</t>
  </si>
  <si>
    <t xml:space="preserve">PST_0928</t>
  </si>
  <si>
    <t xml:space="preserve">AGCTGGGCGGGCAACAACAT</t>
  </si>
  <si>
    <t xml:space="preserve">TAGTAGCTGGGCGGGCAACAACAT</t>
  </si>
  <si>
    <t xml:space="preserve">AAACATGTTGTTGCCCGCCCAGCT</t>
  </si>
  <si>
    <t xml:space="preserve">AGCAGACACAGAGCGGCGAA</t>
  </si>
  <si>
    <t xml:space="preserve">TAGTAGCAGACACAGAGCGGCGAA</t>
  </si>
  <si>
    <t xml:space="preserve">AAACTTCGCCGCTCTGTGTCTGCT</t>
  </si>
  <si>
    <t xml:space="preserve">GTCCTGCGCCACGGCGCGCT</t>
  </si>
  <si>
    <t xml:space="preserve">TAGTGTCCTGCGCCACGGCGCGCT</t>
  </si>
  <si>
    <t xml:space="preserve">AAACAGCGCGCCGTGGCGCAGGAC</t>
  </si>
  <si>
    <t xml:space="preserve">GCGCCAGGCGCGCCAGGAAC</t>
  </si>
  <si>
    <t xml:space="preserve">TAGTGCGCCAGGCGCGCCAGGAAC</t>
  </si>
  <si>
    <t xml:space="preserve">AAACGTTCCTGGCGCGCCTGGCGC</t>
  </si>
  <si>
    <t xml:space="preserve">PST_0929</t>
  </si>
  <si>
    <t xml:space="preserve">CAGGCCGTCAGGCCGGCCAG</t>
  </si>
  <si>
    <t xml:space="preserve">TAGTCAGGCCGTCAGGCCGGCCAG</t>
  </si>
  <si>
    <t xml:space="preserve">AAACCTGGCCGGCCTGACGGCCTG</t>
  </si>
  <si>
    <t xml:space="preserve">CCAGGTCGCCTCGGCCTGTT</t>
  </si>
  <si>
    <t xml:space="preserve">TAGTCCAGGTCGCCTCGGCCTGTT</t>
  </si>
  <si>
    <t xml:space="preserve">AAACAACAGGCCGAGGCGACCTGG</t>
  </si>
  <si>
    <t xml:space="preserve">CTGGCGACGCCTCGTCGACG</t>
  </si>
  <si>
    <t xml:space="preserve">TAGTCTGGCGACGCCTCGTCGACG</t>
  </si>
  <si>
    <t xml:space="preserve">AAACCGTCGACGAGGCGTCGCCAG</t>
  </si>
  <si>
    <t xml:space="preserve">CTCGGCGTCGTAGCGCAGCT</t>
  </si>
  <si>
    <t xml:space="preserve">TAGTCTCGGCGTCGTAGCGCAGCT</t>
  </si>
  <si>
    <t xml:space="preserve">AAACAGCTGCGCTACGACGCCGAG</t>
  </si>
  <si>
    <t xml:space="preserve">PST_0930</t>
  </si>
  <si>
    <t xml:space="preserve">GTAGCGGGTCGATGCAGACA</t>
  </si>
  <si>
    <t xml:space="preserve">TAGTGTAGCGGGTCGATGCAGACA</t>
  </si>
  <si>
    <t xml:space="preserve">AAACTGTCTGCATCGACCCGCTAC</t>
  </si>
  <si>
    <t xml:space="preserve">CAATTTCTTGGAGCTTGGCC</t>
  </si>
  <si>
    <t xml:space="preserve">TAGTCAATTTCTTGGAGCTTGGCC</t>
  </si>
  <si>
    <t xml:space="preserve">AAACGGCCAAGCTCCAAGAAATTG</t>
  </si>
  <si>
    <t xml:space="preserve">GCTGTCGATGACCTTGTGCC</t>
  </si>
  <si>
    <t xml:space="preserve">TAGTGCTGTCGATGACCTTGTGCC</t>
  </si>
  <si>
    <t xml:space="preserve">AAACGGCACAAGGTCATCGACAGC</t>
  </si>
  <si>
    <t xml:space="preserve">GGTCCGGTGCGATGGCTTGC</t>
  </si>
  <si>
    <t xml:space="preserve">TAGTGGTCCGGTGCGATGGCTTGC</t>
  </si>
  <si>
    <t xml:space="preserve">AAACGCAAGCCATCGCACCGGACC</t>
  </si>
  <si>
    <t xml:space="preserve">PST_0931</t>
  </si>
  <si>
    <t xml:space="preserve">TGCCGGATGCTCAGGCGGAC</t>
  </si>
  <si>
    <t xml:space="preserve">TAGTTGCCGGATGCTCAGGCGGAC</t>
  </si>
  <si>
    <t xml:space="preserve">AAACGTCCGCCTGAGCATCCGGCA</t>
  </si>
  <si>
    <t xml:space="preserve">GGCGGACAGCCCGGTACGTG</t>
  </si>
  <si>
    <t xml:space="preserve">TAGTGGCGGACAGCCCGGTACGTG</t>
  </si>
  <si>
    <t xml:space="preserve">AAACCACGTACCGGGCTGTCCGCC</t>
  </si>
  <si>
    <t xml:space="preserve">CTCGTAATAGCGCAGCGTGT</t>
  </si>
  <si>
    <t xml:space="preserve">TAGTCTCGTAATAGCGCAGCGTGT</t>
  </si>
  <si>
    <t xml:space="preserve">AAACACACGCTGCGCTATTACGAG</t>
  </si>
  <si>
    <t xml:space="preserve">CCCGAGCGACCTGCCGCAGC</t>
  </si>
  <si>
    <t xml:space="preserve">TAGTCCCGAGCGACCTGCCGCAGC</t>
  </si>
  <si>
    <t xml:space="preserve">AAACGCTGCGGCAGGTCGCTCGGG</t>
  </si>
  <si>
    <t xml:space="preserve">PST_0932</t>
  </si>
  <si>
    <t xml:space="preserve">GCGTACGGAGTGTCGAGAAT</t>
  </si>
  <si>
    <t xml:space="preserve">TAGTGCGTACGGAGTGTCGAGAAT</t>
  </si>
  <si>
    <t xml:space="preserve">AAACATTCTCGACACTCCGTACGC</t>
  </si>
  <si>
    <t xml:space="preserve">TTGACGGATCAGGTCGAGGC</t>
  </si>
  <si>
    <t xml:space="preserve">TAGTTTGACGGATCAGGTCGAGGC</t>
  </si>
  <si>
    <t xml:space="preserve">AAACGCCTCGACCTGATCCGTCAA</t>
  </si>
  <si>
    <t xml:space="preserve">AACGGCTCGTTGGGCTGCTC</t>
  </si>
  <si>
    <t xml:space="preserve">TAGTAACGGCTCGTTGGGCTGCTC</t>
  </si>
  <si>
    <t xml:space="preserve">AAACGAGCAGCCCAACGAGCCGTT</t>
  </si>
  <si>
    <t xml:space="preserve">GGCGAGCAGGTATTCGTCGG</t>
  </si>
  <si>
    <t xml:space="preserve">TAGTGGCGAGCAGGTATTCGTCGG</t>
  </si>
  <si>
    <t xml:space="preserve">AAACCCGACGAATACCTGCTCGCC</t>
  </si>
  <si>
    <t xml:space="preserve">PST_0933</t>
  </si>
  <si>
    <t xml:space="preserve">GGTGAACTTCTCTTCGCTGG</t>
  </si>
  <si>
    <t xml:space="preserve">TAGTGGTGAACTTCTCTTCGCTGG</t>
  </si>
  <si>
    <t xml:space="preserve">AAACCCAGCGAAGAGAAGTTCACC</t>
  </si>
  <si>
    <t xml:space="preserve">TCAGCGTCTGCACCTCGAGC</t>
  </si>
  <si>
    <t xml:space="preserve">TAGTTCAGCGTCTGCACCTCGAGC</t>
  </si>
  <si>
    <t xml:space="preserve">AAACGCTCGAGGTGCAGACGCTGA</t>
  </si>
  <si>
    <t xml:space="preserve">GTACGCAGGGTGAACAGGTT</t>
  </si>
  <si>
    <t xml:space="preserve">TAGTGTACGCAGGGTGAACAGGTT</t>
  </si>
  <si>
    <t xml:space="preserve">AAACAACCTGTTCACCCTGCGTAC</t>
  </si>
  <si>
    <t xml:space="preserve">GCGAAAGCCGGGATCACGGC</t>
  </si>
  <si>
    <t xml:space="preserve">TAGTGCGAAAGCCGGGATCACGGC</t>
  </si>
  <si>
    <t xml:space="preserve">AAACGCCGTGATCCCGGCTTTCGC</t>
  </si>
  <si>
    <t xml:space="preserve">PST_0934</t>
  </si>
  <si>
    <t xml:space="preserve">gdhA</t>
  </si>
  <si>
    <t xml:space="preserve">GGGCTTCGAGGAATGGCCAG</t>
  </si>
  <si>
    <t xml:space="preserve">TAGTGGGCTTCGAGGAATGGCCAG</t>
  </si>
  <si>
    <t xml:space="preserve">AAACCTGGCCATTCCTCGAAGCCC</t>
  </si>
  <si>
    <t xml:space="preserve">GGCCTGCATGTAGTGCGGGT</t>
  </si>
  <si>
    <t xml:space="preserve">TAGTGGCCTGCATGTAGTGCGGGT</t>
  </si>
  <si>
    <t xml:space="preserve">AAACACCCGCACTACATGCAGGCC</t>
  </si>
  <si>
    <t xml:space="preserve">CACCATGCGTTCGATGATGC</t>
  </si>
  <si>
    <t xml:space="preserve">TAGTCACCATGCGTTCGATGATGC</t>
  </si>
  <si>
    <t xml:space="preserve">AAACGCATCATCGAACGCATGGTG</t>
  </si>
  <si>
    <t xml:space="preserve">CGGAAGATGATGGCGCGCTC</t>
  </si>
  <si>
    <t xml:space="preserve">TAGTCGGAAGATGATGGCGCGCTC</t>
  </si>
  <si>
    <t xml:space="preserve">AAACGAGCGCGCCATCATCTTCCG</t>
  </si>
  <si>
    <t xml:space="preserve">PST_0935</t>
  </si>
  <si>
    <t xml:space="preserve">ATCTCCTGTTCTAGCGGTGA</t>
  </si>
  <si>
    <t xml:space="preserve">TAGTATCTCCTGTTCTAGCGGTGA</t>
  </si>
  <si>
    <t xml:space="preserve">AAACTCACCGCTAGAACAGGAGAT</t>
  </si>
  <si>
    <t xml:space="preserve">CTCTGGATTGGCGAGGAGAC</t>
  </si>
  <si>
    <t xml:space="preserve">TAGTCTCTGGATTGGCGAGGAGAC</t>
  </si>
  <si>
    <t xml:space="preserve">AAACGTCTCCTCGCCAATCCAGAG</t>
  </si>
  <si>
    <t xml:space="preserve">TGAGGGCCTCCTTCAGTGGG</t>
  </si>
  <si>
    <t xml:space="preserve">TAGTTGAGGGCCTCCTTCAGTGGG</t>
  </si>
  <si>
    <t xml:space="preserve">AAACCCCACTGAAGGAGGCCCTCA</t>
  </si>
  <si>
    <t xml:space="preserve">CGTGATGGGCGCTCCACAGC</t>
  </si>
  <si>
    <t xml:space="preserve">TAGTCGTGATGGGCGCTCCACAGC</t>
  </si>
  <si>
    <t xml:space="preserve">AAACGCTGTGGAGCGCCCATCACG</t>
  </si>
  <si>
    <t xml:space="preserve">PST_0936</t>
  </si>
  <si>
    <t xml:space="preserve">GGGATGGAAAAGTCGTTCAT</t>
  </si>
  <si>
    <t xml:space="preserve">TAGTGGGATGGAAAAGTCGTTCAT</t>
  </si>
  <si>
    <t xml:space="preserve">AAACATGAACGACTTTTCCATCCC</t>
  </si>
  <si>
    <t xml:space="preserve">CAGGGGTGGACTGGCTGCCG</t>
  </si>
  <si>
    <t xml:space="preserve">TAGTCAGGGGTGGACTGGCTGCCG</t>
  </si>
  <si>
    <t xml:space="preserve">AAACCGGCAGCCAGTCCACCCCTG</t>
  </si>
  <si>
    <t xml:space="preserve">TGCCTTTTTCCCAGTCGGAC</t>
  </si>
  <si>
    <t xml:space="preserve">TAGTTGCCTTTTTCCCAGTCGGAC</t>
  </si>
  <si>
    <t xml:space="preserve">AAACGTCCGACTGGGAAAAAGGCA</t>
  </si>
  <si>
    <t xml:space="preserve">CTCGTAGGAATTCTCAGGGT</t>
  </si>
  <si>
    <t xml:space="preserve">TAGTCTCGTAGGAATTCTCAGGGT</t>
  </si>
  <si>
    <t xml:space="preserve">AAACACCCTGAGAATTCCTACGAG</t>
  </si>
  <si>
    <t xml:space="preserve">PST_0937</t>
  </si>
  <si>
    <t xml:space="preserve">GAACATGTCAATGGGGGCCA</t>
  </si>
  <si>
    <t xml:space="preserve">TAGTGAACATGTCAATGGGGGCCA</t>
  </si>
  <si>
    <t xml:space="preserve">AAACTGGCCCCCATTGACATGTTC</t>
  </si>
  <si>
    <t xml:space="preserve">CATGATCTGTTGCTGGTTGT</t>
  </si>
  <si>
    <t xml:space="preserve">TAGTCATGATCTGTTGCTGGTTGT</t>
  </si>
  <si>
    <t xml:space="preserve">AAACACAACCAGCAACAGATCATG</t>
  </si>
  <si>
    <t xml:space="preserve">CGATCAGACTGCGTGAGATG</t>
  </si>
  <si>
    <t xml:space="preserve">TAGTCGATCAGACTGCGTGAGATG</t>
  </si>
  <si>
    <t xml:space="preserve">AAACCATCTCACGCAGTCTGATCG</t>
  </si>
  <si>
    <t xml:space="preserve">ACACATCCATGGCCGAGGAG</t>
  </si>
  <si>
    <t xml:space="preserve">TAGTACACATCCATGGCCGAGGAG</t>
  </si>
  <si>
    <t xml:space="preserve">AAACCTCCTCGGCCATGGATGTGT</t>
  </si>
  <si>
    <t xml:space="preserve">PST_0938</t>
  </si>
  <si>
    <t xml:space="preserve">CGGCAAAGACGAAAGCAAGC</t>
  </si>
  <si>
    <t xml:space="preserve">TAGTCGGCAAAGACGAAAGCAAGC</t>
  </si>
  <si>
    <t xml:space="preserve">AAACGCTTGCTTTCGTCTTTGCCG</t>
  </si>
  <si>
    <t xml:space="preserve">CGCCTCTCGGCCAATGAAAC</t>
  </si>
  <si>
    <t xml:space="preserve">TAGTCGCCTCTCGGCCAATGAAAC</t>
  </si>
  <si>
    <t xml:space="preserve">AAACGTTTCATTGGCCGAGAGGCG</t>
  </si>
  <si>
    <t xml:space="preserve">ACAGGCGTTCGCGGTTGAGT</t>
  </si>
  <si>
    <t xml:space="preserve">TAGTACAGGCGTTCGCGGTTGAGT</t>
  </si>
  <si>
    <t xml:space="preserve">AAACACTCAACCGCGAACGCCTGT</t>
  </si>
  <si>
    <t xml:space="preserve">AGTGCCAGTTCGCGTGAAAC</t>
  </si>
  <si>
    <t xml:space="preserve">TAGTAGTGCCAGTTCGCGTGAAAC</t>
  </si>
  <si>
    <t xml:space="preserve">AAACGTTTCACGCGAACTGGCACT</t>
  </si>
  <si>
    <t xml:space="preserve">PST_0939</t>
  </si>
  <si>
    <t xml:space="preserve">GCAAAGCTACCCGAATGCAC</t>
  </si>
  <si>
    <t xml:space="preserve">TAGTGCAAAGCTACCCGAATGCAC</t>
  </si>
  <si>
    <t xml:space="preserve">AAACGTGCATTCGGGTAGCTTTGC</t>
  </si>
  <si>
    <t xml:space="preserve">GAAAAAGGGAGGCATGTAAA</t>
  </si>
  <si>
    <t xml:space="preserve">TAGTGAAAAAGGGAGGCATGTAAA</t>
  </si>
  <si>
    <t xml:space="preserve">AAACTTTACATGCCTCCCTTTTTC</t>
  </si>
  <si>
    <t xml:space="preserve">CCCCGGAGCCCGCGAGGGCC</t>
  </si>
  <si>
    <t xml:space="preserve">TAGTCCCCGGAGCCCGCGAGGGCC</t>
  </si>
  <si>
    <t xml:space="preserve">AAACGGCCCTCGCGGGCTCCGGGG</t>
  </si>
  <si>
    <t xml:space="preserve">GATGCCCGTGACAGTGGTGA</t>
  </si>
  <si>
    <t xml:space="preserve">TAGTGATGCCCGTGACAGTGGTGA</t>
  </si>
  <si>
    <t xml:space="preserve">AAACTCACCACTGTCACGGGCATC</t>
  </si>
  <si>
    <t xml:space="preserve">PST_0940</t>
  </si>
  <si>
    <t xml:space="preserve">glyA3</t>
  </si>
  <si>
    <t xml:space="preserve">GGTCAAATCACGGCTGAACA</t>
  </si>
  <si>
    <t xml:space="preserve">TAGTGGTCAAATCACGGCTGAACA</t>
  </si>
  <si>
    <t xml:space="preserve">AAACTGTTCAGCCGTGATTTGACC</t>
  </si>
  <si>
    <t xml:space="preserve">ATCGGCGTCGAAACGGGCGA</t>
  </si>
  <si>
    <t xml:space="preserve">TAGTATCGGCGTCGAAACGGGCGA</t>
  </si>
  <si>
    <t xml:space="preserve">AAACTCGCCCGTTTCGACGCCGAT</t>
  </si>
  <si>
    <t xml:space="preserve">ACGCTTGGCTTCCTGCTGCA</t>
  </si>
  <si>
    <t xml:space="preserve">TAGTACGCTTGGCTTCCTGCTGCA</t>
  </si>
  <si>
    <t xml:space="preserve">AAACTGCAGCAGGAAGCCAAGCGT</t>
  </si>
  <si>
    <t xml:space="preserve">CCGAGGCGATCAGCTCGATG</t>
  </si>
  <si>
    <t xml:space="preserve">TAGTCCGAGGCGATCAGCTCGATG</t>
  </si>
  <si>
    <t xml:space="preserve">AAACCATCGAGCTGATCGCCTCGG</t>
  </si>
  <si>
    <t xml:space="preserve">PST_0941</t>
  </si>
  <si>
    <t xml:space="preserve">TGGCGGGAGGATCACGCCAG</t>
  </si>
  <si>
    <t xml:space="preserve">TAGTTGGCGGGAGGATCACGCCAG</t>
  </si>
  <si>
    <t xml:space="preserve">AAACCTGGCGTGATCCTCCCGCCA</t>
  </si>
  <si>
    <t xml:space="preserve">AACAACAGGTAGATAAGCGG</t>
  </si>
  <si>
    <t xml:space="preserve">TAGTAACAACAGGTAGATAAGCGG</t>
  </si>
  <si>
    <t xml:space="preserve">AAACCCGCTTATCTACCTGTTGTT</t>
  </si>
  <si>
    <t xml:space="preserve">CGAGCAACCAGGCGGCAGCC</t>
  </si>
  <si>
    <t xml:space="preserve">TAGTCGAGCAACCAGGCGGCAGCC</t>
  </si>
  <si>
    <t xml:space="preserve">AAACGGCTGCCGCCTGGTTGCTCG</t>
  </si>
  <si>
    <t xml:space="preserve">AGCGTCTGCGGCAGCGCGAT</t>
  </si>
  <si>
    <t xml:space="preserve">TAGTAGCGTCTGCGGCAGCGCGAT</t>
  </si>
  <si>
    <t xml:space="preserve">AAACATCGCGCTGCCGCAGACGCT</t>
  </si>
  <si>
    <t xml:space="preserve">PST_0942</t>
  </si>
  <si>
    <t xml:space="preserve">CTCACTGGACGAATCACTCA</t>
  </si>
  <si>
    <t xml:space="preserve">TAGTCTCACTGGACGAATCACTCA</t>
  </si>
  <si>
    <t xml:space="preserve">AAACTGAGTGATTCGTCCAGTGAG</t>
  </si>
  <si>
    <t xml:space="preserve">GCGCTCGCCCTGAACCAGCT</t>
  </si>
  <si>
    <t xml:space="preserve">TAGTGCGCTCGCCCTGAACCAGCT</t>
  </si>
  <si>
    <t xml:space="preserve">AAACAGCTGGTTCAGGGCGAGCGC</t>
  </si>
  <si>
    <t xml:space="preserve">CATGCAGCTCGACCGGCCAG</t>
  </si>
  <si>
    <t xml:space="preserve">TAGTCATGCAGCTCGACCGGCCAG</t>
  </si>
  <si>
    <t xml:space="preserve">AAACCTGGCCGGTCGAGCTGCATG</t>
  </si>
  <si>
    <t xml:space="preserve">CCGCCGGACGGCGGACCAGC</t>
  </si>
  <si>
    <t xml:space="preserve">TAGTCCGCCGGACGGCGGACCAGC</t>
  </si>
  <si>
    <t xml:space="preserve">AAACGCTGGTCCGCCGTCCGGCGG</t>
  </si>
  <si>
    <t xml:space="preserve">PST_0943</t>
  </si>
  <si>
    <t xml:space="preserve">radA</t>
  </si>
  <si>
    <t xml:space="preserve">ATGCGCTTGGCCTTGGCCAT</t>
  </si>
  <si>
    <t xml:space="preserve">TAGTATGCGCTTGGCCTTGGCCAT</t>
  </si>
  <si>
    <t xml:space="preserve">AAACATGGCCAAGGCCAAGCGCAT</t>
  </si>
  <si>
    <t xml:space="preserve">GGGGAAGGTCGAGCCGCATT</t>
  </si>
  <si>
    <t xml:space="preserve">TAGTGGGGAAGGTCGAGCCGCATT</t>
  </si>
  <si>
    <t xml:space="preserve">AAACAATGCGGCTCGACCTTCCCC</t>
  </si>
  <si>
    <t xml:space="preserve">CCGCACTGGCCGGCCCACTT</t>
  </si>
  <si>
    <t xml:space="preserve">TAGTCCGCACTGGCCGGCCCACTT</t>
  </si>
  <si>
    <t xml:space="preserve">AAACAAGTGGGCCGGCCAGTGCGG</t>
  </si>
  <si>
    <t xml:space="preserve">GGCTGGGGTGGCCTCGACGA</t>
  </si>
  <si>
    <t xml:space="preserve">TAGTGGCTGGGGTGGCCTCGACGA</t>
  </si>
  <si>
    <t xml:space="preserve">AAACTCGTCGAGGCCACCCCAGCC</t>
  </si>
  <si>
    <t xml:space="preserve">PST_0944</t>
  </si>
  <si>
    <t xml:space="preserve">CAGAAACAACAGATGTCGCA</t>
  </si>
  <si>
    <t xml:space="preserve">TAGTCAGAAACAACAGATGTCGCA</t>
  </si>
  <si>
    <t xml:space="preserve">AAACTGCGACATCTGTTGTTTCTG</t>
  </si>
  <si>
    <t xml:space="preserve">CAGATGGCCGCCAACCCAGA</t>
  </si>
  <si>
    <t xml:space="preserve">TAGTCAGATGGCCGCCAACCCAGA</t>
  </si>
  <si>
    <t xml:space="preserve">AAACTCTGGGTTGGCGGCCATCTG</t>
  </si>
  <si>
    <t xml:space="preserve">TCGCGCTGGCGCATGGCCCT</t>
  </si>
  <si>
    <t xml:space="preserve">TAGTTCGCGCTGGCGCATGGCCCT</t>
  </si>
  <si>
    <t xml:space="preserve">AAACAGGGCCATGCGCCAGCGCGA</t>
  </si>
  <si>
    <t xml:space="preserve">TCGAACTGGCGTACCGGCTG</t>
  </si>
  <si>
    <t xml:space="preserve">TAGTTCGAACTGGCGTACCGGCTG</t>
  </si>
  <si>
    <t xml:space="preserve">AAACCAGCCGGTACGCCAGTTCGA</t>
  </si>
  <si>
    <t xml:space="preserve">PST_0945</t>
  </si>
  <si>
    <t xml:space="preserve">GGGATGGTGTTCGACGTGCA</t>
  </si>
  <si>
    <t xml:space="preserve">TAGTGGGATGGTGTTCGACGTGCA</t>
  </si>
  <si>
    <t xml:space="preserve">AAACTGCACGTCGAACACCATCCC</t>
  </si>
  <si>
    <t xml:space="preserve">TCAGGGAAATCCTTGATCAG</t>
  </si>
  <si>
    <t xml:space="preserve">TAGTTCAGGGAAATCCTTGATCAG</t>
  </si>
  <si>
    <t xml:space="preserve">AAACCTGATCAAGGATTTCCCTGA</t>
  </si>
  <si>
    <t xml:space="preserve">AGAGAGGGTCTTCCTGGCGC</t>
  </si>
  <si>
    <t xml:space="preserve">TAGTAGAGAGGGTCTTCCTGGCGC</t>
  </si>
  <si>
    <t xml:space="preserve">AAACGCGCCAGGAAGACCCTCTCT</t>
  </si>
  <si>
    <t xml:space="preserve">TTCGTACTCCTCGGCCTTGC</t>
  </si>
  <si>
    <t xml:space="preserve">TAGTTTCGTACTCCTCGGCCTTGC</t>
  </si>
  <si>
    <t xml:space="preserve">AAACGCAAGGCCGAGGAGTACGAA</t>
  </si>
  <si>
    <t xml:space="preserve">PST_0946</t>
  </si>
  <si>
    <t xml:space="preserve">mscL</t>
  </si>
  <si>
    <t xml:space="preserve">GTCGACGACGTTACCGCGCA</t>
  </si>
  <si>
    <t xml:space="preserve">TAGTGTCGACGACGTTACCGCGCA</t>
  </si>
  <si>
    <t xml:space="preserve">AAACTGCGCGGTAACGTCGTCGAC</t>
  </si>
  <si>
    <t xml:space="preserve">CGACACGATCTTGCCGAACG</t>
  </si>
  <si>
    <t xml:space="preserve">TAGTCGACACGATCTTGCCGAACG</t>
  </si>
  <si>
    <t xml:space="preserve">AAACCGTTCGGCAAGATCGTGTCG</t>
  </si>
  <si>
    <t xml:space="preserve">CCGATCAGCAACCCCAGCGG</t>
  </si>
  <si>
    <t xml:space="preserve">TAGTCCGATCAGCAACCCCAGCGG</t>
  </si>
  <si>
    <t xml:space="preserve">AAACCCGCTGGGGTTGCTGATCGG</t>
  </si>
  <si>
    <t xml:space="preserve">CTTGAGCACGATCGCCAGAT</t>
  </si>
  <si>
    <t xml:space="preserve">TAGTCTTGAGCACGATCGCCAGAT</t>
  </si>
  <si>
    <t xml:space="preserve">AAACATCTGGCGATCGTGCTCAAG</t>
  </si>
  <si>
    <t xml:space="preserve">PST_0947</t>
  </si>
  <si>
    <t xml:space="preserve">ccpR</t>
  </si>
  <si>
    <t xml:space="preserve">ATCGTCAGCGCTCGCGGCGC</t>
  </si>
  <si>
    <t xml:space="preserve">TAGTATCGTCAGCGCTCGCGGCGC</t>
  </si>
  <si>
    <t xml:space="preserve">AAACGCGCCGCGAGCGCTGACGAT</t>
  </si>
  <si>
    <t xml:space="preserve">AATCGGCTTGAAGATGGCAT</t>
  </si>
  <si>
    <t xml:space="preserve">TAGTAATCGGCTTGAAGATGGCAT</t>
  </si>
  <si>
    <t xml:space="preserve">AAACATGCCATCTTCAAGCCGATT</t>
  </si>
  <si>
    <t xml:space="preserve">CGCACCTCGGTGACCTTGTC</t>
  </si>
  <si>
    <t xml:space="preserve">TAGTCGCACCTCGGTGACCTTGTC</t>
  </si>
  <si>
    <t xml:space="preserve">AAACGACAAGGTCACCGAGGTGCG</t>
  </si>
  <si>
    <t xml:space="preserve">CCTGATCCTCGCTGACCTTC</t>
  </si>
  <si>
    <t xml:space="preserve">TAGTCCTGATCCTCGCTGACCTTC</t>
  </si>
  <si>
    <t xml:space="preserve">AAACGAAGGTCAGCGAGGATCAGG</t>
  </si>
  <si>
    <t xml:space="preserve">PST_0948</t>
  </si>
  <si>
    <t xml:space="preserve">GTTGTAACCGGGTCGCGGCA</t>
  </si>
  <si>
    <t xml:space="preserve">TAGTGTTGTAACCGGGTCGCGGCA</t>
  </si>
  <si>
    <t xml:space="preserve">AAACTGCCGCGACCCGGTTACAAC</t>
  </si>
  <si>
    <t xml:space="preserve">AAAGAGAAACGCCCGGTGCC</t>
  </si>
  <si>
    <t xml:space="preserve">TAGTAAAGAGAAACGCCCGGTGCC</t>
  </si>
  <si>
    <t xml:space="preserve">AAACGGCACCGGGCGTTTCTCTTT</t>
  </si>
  <si>
    <t xml:space="preserve">GTCGCTTGCCTTCGGCCTTC</t>
  </si>
  <si>
    <t xml:space="preserve">TAGTGTCGCTTGCCTTCGGCCTTC</t>
  </si>
  <si>
    <t xml:space="preserve">AAACGAAGGCCGAAGGCAAGCGAC</t>
  </si>
  <si>
    <t xml:space="preserve">TTGACGTAGACCCAGTCCGA</t>
  </si>
  <si>
    <t xml:space="preserve">TAGTTTGACGTAGACCCAGTCCGA</t>
  </si>
  <si>
    <t xml:space="preserve">AAACTCGGACTGGGTCTACGTCAA</t>
  </si>
  <si>
    <t xml:space="preserve">PST_0949</t>
  </si>
  <si>
    <t xml:space="preserve">TGGATAATCCTGTGAATGAA</t>
  </si>
  <si>
    <t xml:space="preserve">TAGTTGGATAATCCTGTGAATGAA</t>
  </si>
  <si>
    <t xml:space="preserve">AAACTTCATTCACAGGATTATCCA</t>
  </si>
  <si>
    <t xml:space="preserve">CTGTTTATCCCCTGAAGCTG</t>
  </si>
  <si>
    <t xml:space="preserve">TAGTCTGTTTATCCCCTGAAGCTG</t>
  </si>
  <si>
    <t xml:space="preserve">AAACCAGCTTCAGGGGATAAACAG</t>
  </si>
  <si>
    <t xml:space="preserve">TGACGCGGGAACATCCTGCA</t>
  </si>
  <si>
    <t xml:space="preserve">TAGTTGACGCGGGAACATCCTGCA</t>
  </si>
  <si>
    <t xml:space="preserve">AAACTGCAGGATGTTCCCGCGTCA</t>
  </si>
  <si>
    <t xml:space="preserve">ATGACGGCAATCCTCGCGTC</t>
  </si>
  <si>
    <t xml:space="preserve">TAGTATGACGGCAATCCTCGCGTC</t>
  </si>
  <si>
    <t xml:space="preserve">AAACGACGCGAGGATTGCCGTCAT</t>
  </si>
  <si>
    <t xml:space="preserve">PST_0950</t>
  </si>
  <si>
    <t xml:space="preserve">CAGCCAGCGAGCGGCATACA</t>
  </si>
  <si>
    <t xml:space="preserve">TAGTCAGCCAGCGAGCGGCATACA</t>
  </si>
  <si>
    <t xml:space="preserve">AAACTGTATGCCGCTCGCTGGCTG</t>
  </si>
  <si>
    <t xml:space="preserve">AATGCCAGACCGAAATAGAT</t>
  </si>
  <si>
    <t xml:space="preserve">TAGTAATGCCAGACCGAAATAGAT</t>
  </si>
  <si>
    <t xml:space="preserve">AAACATCTATTTCGGTCTGGCATT</t>
  </si>
  <si>
    <t xml:space="preserve">CTGAAAGAACTTGATCGCCA</t>
  </si>
  <si>
    <t xml:space="preserve">TAGTCTGAAAGAACTTGATCGCCA</t>
  </si>
  <si>
    <t xml:space="preserve">AAACTGGCGATCAAGTTCTTTCAG</t>
  </si>
  <si>
    <t xml:space="preserve">AGAGGATCATCGGCAGGATA</t>
  </si>
  <si>
    <t xml:space="preserve">TAGTAGAGGATCATCGGCAGGATA</t>
  </si>
  <si>
    <t xml:space="preserve">AAACTATCCTGCCGATGATCCTCT</t>
  </si>
  <si>
    <t xml:space="preserve">PST_0951</t>
  </si>
  <si>
    <t xml:space="preserve">GGCGAGGTCGCTCAGGTTCA</t>
  </si>
  <si>
    <t xml:space="preserve">TAGTGGCGAGGTCGCTCAGGTTCA</t>
  </si>
  <si>
    <t xml:space="preserve">AAACTGAACCTGAGCGACCTCGCC</t>
  </si>
  <si>
    <t xml:space="preserve">ACGCCCCGCATTGGCATGCC</t>
  </si>
  <si>
    <t xml:space="preserve">TAGTACGCCCCGCATTGGCATGCC</t>
  </si>
  <si>
    <t xml:space="preserve">AAACGGCATGCCAATGCGGGGCGT</t>
  </si>
  <si>
    <t xml:space="preserve">CTCAAGGGAAATCAGCTCGA</t>
  </si>
  <si>
    <t xml:space="preserve">TAGTCTCAAGGGAAATCAGCTCGA</t>
  </si>
  <si>
    <t xml:space="preserve">AAACTCGAGCTGATTTCCCTTGAG</t>
  </si>
  <si>
    <t xml:space="preserve">GGCCCTGCATATAGATGTCG</t>
  </si>
  <si>
    <t xml:space="preserve">TAGTGGCCCTGCATATAGATGTCG</t>
  </si>
  <si>
    <t xml:space="preserve">AAACCGACATCTATATGCAGGGCC</t>
  </si>
  <si>
    <t xml:space="preserve">PST_0952</t>
  </si>
  <si>
    <t xml:space="preserve">CGGACAGCTCGAAGCTCAGC</t>
  </si>
  <si>
    <t xml:space="preserve">TAGTCGGACAGCTCGAAGCTCAGC</t>
  </si>
  <si>
    <t xml:space="preserve">AAACGCTGAGCTTCGAGCTGTCCG</t>
  </si>
  <si>
    <t xml:space="preserve">CACATCAAGACCTTCGAGGG</t>
  </si>
  <si>
    <t xml:space="preserve">TAGTCACATCAAGACCTTCGAGGG</t>
  </si>
  <si>
    <t xml:space="preserve">AAACCCCTCGAAGGTCTTGATGTG</t>
  </si>
  <si>
    <t xml:space="preserve">CCACTTCCGCGAGCAGCACC</t>
  </si>
  <si>
    <t xml:space="preserve">TAGTCCACTTCCGCGAGCAGCACC</t>
  </si>
  <si>
    <t xml:space="preserve">AAACGGTGCTGCTCGCGGAAGTGG</t>
  </si>
  <si>
    <t xml:space="preserve">GCTATCTTCTGCGGATGATG</t>
  </si>
  <si>
    <t xml:space="preserve">TAGTGCTATCTTCTGCGGATGATG</t>
  </si>
  <si>
    <t xml:space="preserve">AAACCATCATCCGCAGAAGATAGC</t>
  </si>
  <si>
    <t xml:space="preserve">PST_0953</t>
  </si>
  <si>
    <t xml:space="preserve">fklB-1</t>
  </si>
  <si>
    <t xml:space="preserve">GTCGGTGGAGAGATTGAGTT</t>
  </si>
  <si>
    <t xml:space="preserve">TAGTGTCGGTGGAGAGATTGAGTT</t>
  </si>
  <si>
    <t xml:space="preserve">AAACAACTCAATCTCTCCACCGAC</t>
  </si>
  <si>
    <t xml:space="preserve">GCCGATGCCGTAGCTGACGC</t>
  </si>
  <si>
    <t xml:space="preserve">TAGTGCCGATGCCGTAGCTGACGC</t>
  </si>
  <si>
    <t xml:space="preserve">AAACGCGTCAGCTACGGCATCGGC</t>
  </si>
  <si>
    <t xml:space="preserve">GCAGCTGATCACCCAGCTGA</t>
  </si>
  <si>
    <t xml:space="preserve">TAGTGCAGCTGATCACCCAGCTGA</t>
  </si>
  <si>
    <t xml:space="preserve">AAACTCAGCTGGGTGATCAGCTGC</t>
  </si>
  <si>
    <t xml:space="preserve">CGAGGCTGACACCCGGCGGC</t>
  </si>
  <si>
    <t xml:space="preserve">TAGTCGAGGCTGACACCCGGCGGC</t>
  </si>
  <si>
    <t xml:space="preserve">AAACGCCGCCGGGTGTCAGCCTCG</t>
  </si>
  <si>
    <t xml:space="preserve">PST_0954</t>
  </si>
  <si>
    <t xml:space="preserve">CAGCCAGGCATCGATCAGAT</t>
  </si>
  <si>
    <t xml:space="preserve">TAGTCAGCCAGGCATCGATCAGAT</t>
  </si>
  <si>
    <t xml:space="preserve">AAACATCTGATCGATGCCTGGCTG</t>
  </si>
  <si>
    <t xml:space="preserve">TCCGCAGGTAGGGTTGCGGC</t>
  </si>
  <si>
    <t xml:space="preserve">TAGTTCCGCAGGTAGGGTTGCGGC</t>
  </si>
  <si>
    <t xml:space="preserve">AAACGCCGCAACCCTACCTGCGGA</t>
  </si>
  <si>
    <t xml:space="preserve">CGCACACCGCGCCGGTGTTG</t>
  </si>
  <si>
    <t xml:space="preserve">TAGTCGCACACCGCGCCGGTGTTG</t>
  </si>
  <si>
    <t xml:space="preserve">AAACCAACACCGGCGCGGTGTGCG</t>
  </si>
  <si>
    <t xml:space="preserve">CGTTCGTGCTGAGCTCCTGC</t>
  </si>
  <si>
    <t xml:space="preserve">TAGTCGTTCGTGCTGAGCTCCTGC</t>
  </si>
  <si>
    <t xml:space="preserve">AAACGCAGGAGCTCAGCACGAACG</t>
  </si>
  <si>
    <t xml:space="preserve">PST_0955</t>
  </si>
  <si>
    <t xml:space="preserve">ispB</t>
  </si>
  <si>
    <t xml:space="preserve">TAGAAAGGCTGGGGTTGCAT</t>
  </si>
  <si>
    <t xml:space="preserve">TAGTTAGAAAGGCTGGGGTTGCAT</t>
  </si>
  <si>
    <t xml:space="preserve">AAACATGCAACCCCAGCCTTTCTA</t>
  </si>
  <si>
    <t xml:space="preserve">GCGGATGATGCCGTCGACAG</t>
  </si>
  <si>
    <t xml:space="preserve">TAGTGCGGATGATGCCGTCGACAG</t>
  </si>
  <si>
    <t xml:space="preserve">AAACCTGTCGACGGCATCATCCGC</t>
  </si>
  <si>
    <t xml:space="preserve">TCCCCGATCTTTTCCACCAG</t>
  </si>
  <si>
    <t xml:space="preserve">TAGTTCCCCGATCTTTTCCACCAG</t>
  </si>
  <si>
    <t xml:space="preserve">AAACCTGGTGGAAAAGATCGGGGA</t>
  </si>
  <si>
    <t xml:space="preserve">CGGGCGCAGGCGTTTGCCGC</t>
  </si>
  <si>
    <t xml:space="preserve">TAGTCGGGCGCAGGCGTTTGCCGC</t>
  </si>
  <si>
    <t xml:space="preserve">AAACGCGGCAAACGCCTGCGCCCG</t>
  </si>
  <si>
    <t xml:space="preserve">PST_0956</t>
  </si>
  <si>
    <t xml:space="preserve">rplU</t>
  </si>
  <si>
    <t xml:space="preserve">AATGCCCAGGGGGAAGTTCA</t>
  </si>
  <si>
    <t xml:space="preserve">TAGTAATGCCCAGGGGGAAGTTCA</t>
  </si>
  <si>
    <t xml:space="preserve">AAACTGAACTTCCCCCTGGGCATT</t>
  </si>
  <si>
    <t xml:space="preserve">CCGTGCAATTGCGTAAGGCA</t>
  </si>
  <si>
    <t xml:space="preserve">TAGTCCGTGCAATTGCGTAAGGCA</t>
  </si>
  <si>
    <t xml:space="preserve">AAACTGCCTTACGCAATTGCACGG</t>
  </si>
  <si>
    <t xml:space="preserve">CATGGCTGCATGGGGCCGGA</t>
  </si>
  <si>
    <t xml:space="preserve">TAGTCATGGCTGCATGGGGCCGGA</t>
  </si>
  <si>
    <t xml:space="preserve">AAACTCCGGCCCCATGCAGCCATG</t>
  </si>
  <si>
    <t xml:space="preserve">TTGAAAGAATGATTAGTGGC</t>
  </si>
  <si>
    <t xml:space="preserve">TAGTTTGAAAGAATGATTAGTGGC</t>
  </si>
  <si>
    <t xml:space="preserve">AAACGCCACTAATCATTCTTTCAA</t>
  </si>
  <si>
    <t xml:space="preserve">PST_0957</t>
  </si>
  <si>
    <t xml:space="preserve">rpmA</t>
  </si>
  <si>
    <t xml:space="preserve">TTCTGAGTCGCGACCGTTGC</t>
  </si>
  <si>
    <t xml:space="preserve">TAGTTTCTGAGTCGCGACCGTTGC</t>
  </si>
  <si>
    <t xml:space="preserve">AAACGCAACGGTCGCGACTCAGAA</t>
  </si>
  <si>
    <t xml:space="preserve">CATCTTCACGCCAAGTCGTT</t>
  </si>
  <si>
    <t xml:space="preserve">TAGTCATCTTCACGCCAAGTCGTT</t>
  </si>
  <si>
    <t xml:space="preserve">AAACAACGACTTGGCGTGAAGATG</t>
  </si>
  <si>
    <t xml:space="preserve">CTGACGCACGATGATGTTGC</t>
  </si>
  <si>
    <t xml:space="preserve">TAGTCTGACGCACGATGATGTTGC</t>
  </si>
  <si>
    <t xml:space="preserve">AAACGCAACATCATCGTGCGTCAG</t>
  </si>
  <si>
    <t xml:space="preserve">GCCATAACCGGCGTGGAACT</t>
  </si>
  <si>
    <t xml:space="preserve">TAGTGCCATAACCGGCGTGGAACT</t>
  </si>
  <si>
    <t xml:space="preserve">AAACAGTTCCACGCCGGTTATGGC</t>
  </si>
  <si>
    <t xml:space="preserve">PST_0958</t>
  </si>
  <si>
    <t xml:space="preserve">obg</t>
  </si>
  <si>
    <t xml:space="preserve">ACTTCATCGACGAATTTCAT</t>
  </si>
  <si>
    <t xml:space="preserve">TAGTACTTCATCGACGAATTTCAT</t>
  </si>
  <si>
    <t xml:space="preserve">AAACATGAAATTCGTCGATGAAGT</t>
  </si>
  <si>
    <t xml:space="preserve">CATGCCGTTACCGCCGTCGC</t>
  </si>
  <si>
    <t xml:space="preserve">TAGTCATGCCGTTACCGCCGTCGC</t>
  </si>
  <si>
    <t xml:space="preserve">AAACGCGACGGCGGTAACGGCATG</t>
  </si>
  <si>
    <t xml:space="preserve">TTTCGATGAACTTCTCGCGG</t>
  </si>
  <si>
    <t xml:space="preserve">TAGTTTTCGATGAACTTCTCGCGG</t>
  </si>
  <si>
    <t xml:space="preserve">AAACCCGCGAGAAGTTCATCGAAA</t>
  </si>
  <si>
    <t xml:space="preserve">CACCACCATCACCGCCGTTG</t>
  </si>
  <si>
    <t xml:space="preserve">TAGTCACCACCATCACCGCCGTTG</t>
  </si>
  <si>
    <t xml:space="preserve">AAACCAACGGCGGTGATGGTGGTG</t>
  </si>
  <si>
    <t xml:space="preserve">PST_0959</t>
  </si>
  <si>
    <t xml:space="preserve">proB</t>
  </si>
  <si>
    <t xml:space="preserve">ATCGAGCCCTCGACCGTCGG</t>
  </si>
  <si>
    <t xml:space="preserve">TAGTATCGAGCCCTCGACCGTCGG</t>
  </si>
  <si>
    <t xml:space="preserve">AAACCCGACGGTCGAGGGCTCGAT</t>
  </si>
  <si>
    <t xml:space="preserve">CCGCTCGCAGCGCCACCATC</t>
  </si>
  <si>
    <t xml:space="preserve">TAGTCCGCTCGCAGCGCCACCATC</t>
  </si>
  <si>
    <t xml:space="preserve">AAACGATGGTGGCGCTGCGAGCGG</t>
  </si>
  <si>
    <t xml:space="preserve">CATGCCGGCAGCCACCGCAC</t>
  </si>
  <si>
    <t xml:space="preserve">TAGTCATGCCGGCAGCCACCGCAC</t>
  </si>
  <si>
    <t xml:space="preserve">AAACGTGCGGTGGCTGCCGGCATG</t>
  </si>
  <si>
    <t xml:space="preserve">GAAGTTCGTGCACCGCCTTG</t>
  </si>
  <si>
    <t xml:space="preserve">TAGTGAAGTTCGTGCACCGCCTTG</t>
  </si>
  <si>
    <t xml:space="preserve">AAACCAAGGCGGTGCACGAACTTC</t>
  </si>
  <si>
    <t xml:space="preserve">PST_0960</t>
  </si>
  <si>
    <t xml:space="preserve">creA</t>
  </si>
  <si>
    <t xml:space="preserve">TGCCGCAATCGCCAAGCGCA</t>
  </si>
  <si>
    <t xml:space="preserve">TAGTTGCCGCAATCGCCAAGCGCA</t>
  </si>
  <si>
    <t xml:space="preserve">AAACTGCGCTTGGCGATTGCGGCA</t>
  </si>
  <si>
    <t xml:space="preserve">GGCAGTCGCCAGACCCGGCA</t>
  </si>
  <si>
    <t xml:space="preserve">TAGTGGCAGTCGCCAGACCCGGCA</t>
  </si>
  <si>
    <t xml:space="preserve">AAACTGCCGGGTCTGGCGACTGCC</t>
  </si>
  <si>
    <t xml:space="preserve">TCGACGACGATCTTGTGATT</t>
  </si>
  <si>
    <t xml:space="preserve">TAGTTCGACGACGATCTTGTGATT</t>
  </si>
  <si>
    <t xml:space="preserve">AAACAATCACAAGATCGTCGTCGA</t>
  </si>
  <si>
    <t xml:space="preserve">AGGTCACGCCATCGACCATG</t>
  </si>
  <si>
    <t xml:space="preserve">TAGTAGGTCACGCCATCGACCATG</t>
  </si>
  <si>
    <t xml:space="preserve">AAACCATGGTCGATGGCGTGACCT</t>
  </si>
  <si>
    <t xml:space="preserve">PST_0961</t>
  </si>
  <si>
    <t xml:space="preserve">rpsT</t>
  </si>
  <si>
    <t xml:space="preserve">TTTTTTGGCGGAAGGGCTGT</t>
  </si>
  <si>
    <t xml:space="preserve">TAGTTTTTTTGGCGGAAGGGCTGT</t>
  </si>
  <si>
    <t xml:space="preserve">AAACACAGCCCTTCCGCCAAAAAA</t>
  </si>
  <si>
    <t xml:space="preserve">TGGAGCGCAAGCTGGCGTTG</t>
  </si>
  <si>
    <t xml:space="preserve">TAGTTGGAGCGCAAGCTGGCGTTG</t>
  </si>
  <si>
    <t xml:space="preserve">AAACCAACGCCAGCTTGCGCTCCA</t>
  </si>
  <si>
    <t xml:space="preserve">CTTGATGTAGGTGCGAACCA</t>
  </si>
  <si>
    <t xml:space="preserve">TAGTCTTGATGTAGGTGCGAACCA</t>
  </si>
  <si>
    <t xml:space="preserve">AAACTGGTTCGCACCTACATCAAG</t>
  </si>
  <si>
    <t xml:space="preserve">GTCCAGGTCCTTGGCGTCGA</t>
  </si>
  <si>
    <t xml:space="preserve">TAGTGTCCAGGTCCTTGGCGTCGA</t>
  </si>
  <si>
    <t xml:space="preserve">AAACTCGACGCCAAGGACCTGGAC</t>
  </si>
  <si>
    <t xml:space="preserve">PST_0962</t>
  </si>
  <si>
    <t xml:space="preserve">TCCGCCCTTGCCGATTTTTT</t>
  </si>
  <si>
    <t xml:space="preserve">TAGTTCCGCCCTTGCCGATTTTTT</t>
  </si>
  <si>
    <t xml:space="preserve">AAACAAAAAATCGGCAAGGGCGGA</t>
  </si>
  <si>
    <t xml:space="preserve">CATGACACTGACCACGGCGC</t>
  </si>
  <si>
    <t xml:space="preserve">TAGTCATGACACTGACCACGGCGC</t>
  </si>
  <si>
    <t xml:space="preserve">AAACGCGCCGTGGTCAGTGTCATG</t>
  </si>
  <si>
    <t xml:space="preserve">GCCCAGCACGCGCGACAGCA</t>
  </si>
  <si>
    <t xml:space="preserve">TAGTGCCCAGCACGCGCGACAGCA</t>
  </si>
  <si>
    <t xml:space="preserve">AAACTGCTGTCGCGCGTGCTGGGC</t>
  </si>
  <si>
    <t xml:space="preserve">CGCACCGGAGCCGAAGTAGC</t>
  </si>
  <si>
    <t xml:space="preserve">TAGTCGCACCGGAGCCGAAGTAGC</t>
  </si>
  <si>
    <t xml:space="preserve">AAACGCTACTTCGGCTCCGGTGCG</t>
  </si>
  <si>
    <t xml:space="preserve">PST_0963</t>
  </si>
  <si>
    <t xml:space="preserve">ribF</t>
  </si>
  <si>
    <t xml:space="preserve">AGCCCCGATGTCGGGGGCGC</t>
  </si>
  <si>
    <t xml:space="preserve">TAGTAGCCCCGATGTCGGGGGCGC</t>
  </si>
  <si>
    <t xml:space="preserve">AAACGCGCCCCCGACATCGGGGCT</t>
  </si>
  <si>
    <t xml:space="preserve">CACGCCGTCGAAATTGCCGA</t>
  </si>
  <si>
    <t xml:space="preserve">TAGTCACGCCGTCGAAATTGCCGA</t>
  </si>
  <si>
    <t xml:space="preserve">AAACTCGGCAATTTCGACGGCGTG</t>
  </si>
  <si>
    <t xml:space="preserve">CCAGGATGGCCTGATGCCCC</t>
  </si>
  <si>
    <t xml:space="preserve">TAGTCCAGGATGGCCTGATGCCCC</t>
  </si>
  <si>
    <t xml:space="preserve">AAACGGGGCATCAGGCCATCCTGG</t>
  </si>
  <si>
    <t xml:space="preserve">GCAGCTCGGCACCCCCAACT</t>
  </si>
  <si>
    <t xml:space="preserve">TAGTGCAGCTCGGCACCCCCAACT</t>
  </si>
  <si>
    <t xml:space="preserve">AAACAGTTGGGGGTGCCGAGCTGC</t>
  </si>
  <si>
    <t xml:space="preserve">PST_0964</t>
  </si>
  <si>
    <t xml:space="preserve">ileS</t>
  </si>
  <si>
    <t xml:space="preserve">ATTGAGGGTCGCTTTGTAAT</t>
  </si>
  <si>
    <t xml:space="preserve">TAGTATTGAGGGTCGCTTTGTAAT</t>
  </si>
  <si>
    <t xml:space="preserve">AAACATTACAAAGCGACCCTCAAT</t>
  </si>
  <si>
    <t xml:space="preserve">TTCATCGGAAATGCCGTGGA</t>
  </si>
  <si>
    <t xml:space="preserve">TAGTTTCATCGGAAATGCCGTGGA</t>
  </si>
  <si>
    <t xml:space="preserve">AAACTCCACGGCATTTCCGATGAA</t>
  </si>
  <si>
    <t xml:space="preserve">CGGCTCGCGCTGTGGCAGAC</t>
  </si>
  <si>
    <t xml:space="preserve">TAGTCGGCTCGCGCTGTGGCAGAC</t>
  </si>
  <si>
    <t xml:space="preserve">AAACGTCTGCCACAGCGCGAGCCG</t>
  </si>
  <si>
    <t xml:space="preserve">TTCCAGCGCTGCAGAATCTC</t>
  </si>
  <si>
    <t xml:space="preserve">TAGTTTCCAGCGCTGCAGAATCTC</t>
  </si>
  <si>
    <t xml:space="preserve">AAACGAGATTCTGCAGCGCTGGAA</t>
  </si>
  <si>
    <t xml:space="preserve">PST_0965</t>
  </si>
  <si>
    <t xml:space="preserve">lspA</t>
  </si>
  <si>
    <t xml:space="preserve">GTGCTTGGTGGCCTGATCGA</t>
  </si>
  <si>
    <t xml:space="preserve">TAGTGTGCTTGGTGGCCTGATCGA</t>
  </si>
  <si>
    <t xml:space="preserve">AAACTCGATCAGGCCACCAAGCAC</t>
  </si>
  <si>
    <t xml:space="preserve">CTTCTGGTACAGGCTGAAAT</t>
  </si>
  <si>
    <t xml:space="preserve">TAGTCTTCTGGTACAGGCTGAAAT</t>
  </si>
  <si>
    <t xml:space="preserve">AAACATTTCAGCCTGTACCAGAAG</t>
  </si>
  <si>
    <t xml:space="preserve">GGGTCCAGGCGAAGTAGTCG</t>
  </si>
  <si>
    <t xml:space="preserve">TAGTGGGTCCAGGCGAAGTAGTCG</t>
  </si>
  <si>
    <t xml:space="preserve">AAACCGACTACTTCGCCTGGACCC</t>
  </si>
  <si>
    <t xml:space="preserve">CGCACCGGTGTTGTAAGCGA</t>
  </si>
  <si>
    <t xml:space="preserve">TAGTCGCACCGGTGTTGTAAGCGA</t>
  </si>
  <si>
    <t xml:space="preserve">AAACTCGCTTACAACACCGGTGCG</t>
  </si>
  <si>
    <t xml:space="preserve">PST_0966</t>
  </si>
  <si>
    <t xml:space="preserve">fkpB</t>
  </si>
  <si>
    <t xml:space="preserve">TGCAGGGTGACTTCCTTGTC</t>
  </si>
  <si>
    <t xml:space="preserve">TAGTTGCAGGGTGACTTCCTTGTC</t>
  </si>
  <si>
    <t xml:space="preserve">AAACGACAAGGAAGTCACCCTGCA</t>
  </si>
  <si>
    <t xml:space="preserve">CGACCAGCTCGCCCGTCTCC</t>
  </si>
  <si>
    <t xml:space="preserve">TAGTCGACCAGCTCGCCCGTCTCC</t>
  </si>
  <si>
    <t xml:space="preserve">AAACGGAGACGGGCGAGCTGGTCG</t>
  </si>
  <si>
    <t xml:space="preserve">TCGCCCACCTTGAAAGTGGC</t>
  </si>
  <si>
    <t xml:space="preserve">TAGTTCGCCCACCTTGAAAGTGGC</t>
  </si>
  <si>
    <t xml:space="preserve">AAACGCCACTTTCAAGGTGGGCGA</t>
  </si>
  <si>
    <t xml:space="preserve">TAGAGCTGCTGCTCGAAACC</t>
  </si>
  <si>
    <t xml:space="preserve">TAGTTAGAGCTGCTGCTCGAAACC</t>
  </si>
  <si>
    <t xml:space="preserve">AAACGGTTTCGAGCAGCAGCTCTA</t>
  </si>
  <si>
    <t xml:space="preserve">PST_0967</t>
  </si>
  <si>
    <t xml:space="preserve">ispH</t>
  </si>
  <si>
    <t xml:space="preserve">AAGATAACGATCACGTTGTC</t>
  </si>
  <si>
    <t xml:space="preserve">TAGTAAGATAACGATCACGTTGTC</t>
  </si>
  <si>
    <t xml:space="preserve">AAACGACAACGTGATCGTTATCTT</t>
  </si>
  <si>
    <t xml:space="preserve">TACCGCCTGGGAAACGCCAT</t>
  </si>
  <si>
    <t xml:space="preserve">TAGTTACCGCCTGGGAAACGCCAT</t>
  </si>
  <si>
    <t xml:space="preserve">AAACATGGCGTTTCCCAGGCGGTA</t>
  </si>
  <si>
    <t xml:space="preserve">AGGTGGCGTCGAACACCTTA</t>
  </si>
  <si>
    <t xml:space="preserve">TAGTAGGTGGCGTCGAACACCTTA</t>
  </si>
  <si>
    <t xml:space="preserve">AAACTAAGGTGTTCGACGCCACCT</t>
  </si>
  <si>
    <t xml:space="preserve">CACCTTGGTCACCAACGGAC</t>
  </si>
  <si>
    <t xml:space="preserve">TAGTCACCTTGGTCACCAACGGAC</t>
  </si>
  <si>
    <t xml:space="preserve">AAACGTCCGTTGGTGACCAAGGTG</t>
  </si>
  <si>
    <t xml:space="preserve">PST_0968</t>
  </si>
  <si>
    <t xml:space="preserve">pilE</t>
  </si>
  <si>
    <t xml:space="preserve">CGCGATCATTAGCTCGATGA</t>
  </si>
  <si>
    <t xml:space="preserve">TAGTCGCGATCATTAGCTCGATGA</t>
  </si>
  <si>
    <t xml:space="preserve">AAACTCATCGAGCTAATGATCGCG</t>
  </si>
  <si>
    <t xml:space="preserve">GATCGCGATACTTGCCAACA</t>
  </si>
  <si>
    <t xml:space="preserve">TAGTGATCGCGATACTTGCCAACA</t>
  </si>
  <si>
    <t xml:space="preserve">AAACTGTTGGCAAGTATCGCGATC</t>
  </si>
  <si>
    <t xml:space="preserve">GAACATAATTCTGATAACTG</t>
  </si>
  <si>
    <t xml:space="preserve">TAGTGAACATAATTCTGATAACTG</t>
  </si>
  <si>
    <t xml:space="preserve">AAACCAGTTATCAGAATTATGTTC</t>
  </si>
  <si>
    <t xml:space="preserve">TGCCTGCCCTTCGGTCCTAT</t>
  </si>
  <si>
    <t xml:space="preserve">TAGTTGCCTGCCCTTCGGTCCTAT</t>
  </si>
  <si>
    <t xml:space="preserve">AAACATAGGACCGAAGGGCAGGCA</t>
  </si>
  <si>
    <t xml:space="preserve">PST_0969</t>
  </si>
  <si>
    <t xml:space="preserve">pilY2</t>
  </si>
  <si>
    <t xml:space="preserve">GAAAAGGACGCTGCTGATCA</t>
  </si>
  <si>
    <t xml:space="preserve">TAGTGAAAAGGACGCTGCTGATCA</t>
  </si>
  <si>
    <t xml:space="preserve">AAACTGATCAGCAGCGTCCTTTTC</t>
  </si>
  <si>
    <t xml:space="preserve">TTGCAGTGAAGGCTACGAGC</t>
  </si>
  <si>
    <t xml:space="preserve">TAGTTTGCAGTGAAGGCTACGAGC</t>
  </si>
  <si>
    <t xml:space="preserve">AAACGCTCGTAGCCTTCACTGCAA</t>
  </si>
  <si>
    <t xml:space="preserve">GCCGGAAATCTCAAAAGTTT</t>
  </si>
  <si>
    <t xml:space="preserve">TAGTGCCGGAAATCTCAAAAGTTT</t>
  </si>
  <si>
    <t xml:space="preserve">AAACAAACTTTTGAGATTTCCGGC</t>
  </si>
  <si>
    <t xml:space="preserve">CTTTCCGTCGATAGTGATAA</t>
  </si>
  <si>
    <t xml:space="preserve">TAGTCTTTCCGTCGATAGTGATAA</t>
  </si>
  <si>
    <t xml:space="preserve">AAACTTATCACTATCGACGGAAAG</t>
  </si>
  <si>
    <t xml:space="preserve">PST_0970</t>
  </si>
  <si>
    <t xml:space="preserve">pilY1</t>
  </si>
  <si>
    <t xml:space="preserve">ACGCCTTCGGTCAGGAACAA</t>
  </si>
  <si>
    <t xml:space="preserve">TAGTACGCCTTCGGTCAGGAACAA</t>
  </si>
  <si>
    <t xml:space="preserve">AAACTTGTTCCTGACCGAAGGCGT</t>
  </si>
  <si>
    <t xml:space="preserve">GAGCGTAACCAGCAGGTTGG</t>
  </si>
  <si>
    <t xml:space="preserve">TAGTGAGCGTAACCAGCAGGTTGG</t>
  </si>
  <si>
    <t xml:space="preserve">AAACCCAACCTGCTGGTTACGCTC</t>
  </si>
  <si>
    <t xml:space="preserve">GGGCGCATAGGCCCAGGCCA</t>
  </si>
  <si>
    <t xml:space="preserve">TAGTGGGCGCATAGGCCCAGGCCA</t>
  </si>
  <si>
    <t xml:space="preserve">AAACTGGCCTGGGCCTATGCGCCC</t>
  </si>
  <si>
    <t xml:space="preserve">GCGTCGTTAGCAATGCCGTC</t>
  </si>
  <si>
    <t xml:space="preserve">TAGTGCGTCGTTAGCAATGCCGTC</t>
  </si>
  <si>
    <t xml:space="preserve">AAACGACGGCATTGCTAACGACGC</t>
  </si>
  <si>
    <t xml:space="preserve">PST_0971</t>
  </si>
  <si>
    <t xml:space="preserve">pilX</t>
  </si>
  <si>
    <t xml:space="preserve">CACTTCGCGCATGCTGGATA</t>
  </si>
  <si>
    <t xml:space="preserve">TAGTCACTTCGCGCATGCTGGATA</t>
  </si>
  <si>
    <t xml:space="preserve">AAACTATCCAGCATGCGCGAAGTG</t>
  </si>
  <si>
    <t xml:space="preserve">ATGCAGTCTGCTTGTCGCGC</t>
  </si>
  <si>
    <t xml:space="preserve">TAGTATGCAGTCTGCTTGTCGCGC</t>
  </si>
  <si>
    <t xml:space="preserve">AAACGCGCGACAAGCAGACTGCAT</t>
  </si>
  <si>
    <t xml:space="preserve">TCCCTCACGCAGCGCGGATT</t>
  </si>
  <si>
    <t xml:space="preserve">TAGTTCCCTCACGCAGCGCGGATT</t>
  </si>
  <si>
    <t xml:space="preserve">AAACAATCCGCGCTGCGTGAGGGA</t>
  </si>
  <si>
    <t xml:space="preserve">GCCCAATCGAGTTGGCGAGA</t>
  </si>
  <si>
    <t xml:space="preserve">TAGTGCCCAATCGAGTTGGCGAGA</t>
  </si>
  <si>
    <t xml:space="preserve">AAACTCTCGCCAACTCGATTGGGC</t>
  </si>
  <si>
    <t xml:space="preserve">PST_0972</t>
  </si>
  <si>
    <t xml:space="preserve">pilW</t>
  </si>
  <si>
    <t xml:space="preserve">CAGCTCGACCATGGACAGGC</t>
  </si>
  <si>
    <t xml:space="preserve">TAGTCAGCTCGACCATGGACAGGC</t>
  </si>
  <si>
    <t xml:space="preserve">AAACGCCTGTCCATGGTCGAGCTG</t>
  </si>
  <si>
    <t xml:space="preserve">CAGAAAGCTGCTGATGAGTA</t>
  </si>
  <si>
    <t xml:space="preserve">TAGTCAGAAAGCTGCTGATGAGTA</t>
  </si>
  <si>
    <t xml:space="preserve">AAACTACTCATCAGCAGCTTTCTG</t>
  </si>
  <si>
    <t xml:space="preserve">AGTTGGCGGACTGATTTTGC</t>
  </si>
  <si>
    <t xml:space="preserve">TAGTAGTTGGCGGACTGATTTTGC</t>
  </si>
  <si>
    <t xml:space="preserve">AAACGCAAAATCAGTCCGCCAACT</t>
  </si>
  <si>
    <t xml:space="preserve">CGAGTAGCAATAGCGCGAAA</t>
  </si>
  <si>
    <t xml:space="preserve">TAGTCGAGTAGCAATAGCGCGAAA</t>
  </si>
  <si>
    <t xml:space="preserve">AAACTTTCGCGCTATTGCTACTCG</t>
  </si>
  <si>
    <t xml:space="preserve">PST_0973</t>
  </si>
  <si>
    <t xml:space="preserve">pilV</t>
  </si>
  <si>
    <t xml:space="preserve">TGACCGGTTGGATTTAAACA</t>
  </si>
  <si>
    <t xml:space="preserve">TAGTTGACCGGTTGGATTTAAACA</t>
  </si>
  <si>
    <t xml:space="preserve">AAACTGTTTAAATCCAACCGGTCA</t>
  </si>
  <si>
    <t xml:space="preserve">GCCGATACTGATGATGACGA</t>
  </si>
  <si>
    <t xml:space="preserve">TAGTGCCGATACTGATGATGACGA</t>
  </si>
  <si>
    <t xml:space="preserve">AAACTCGTCATCATCAGTATCGGC</t>
  </si>
  <si>
    <t xml:space="preserve">TTCGACCCTGCATAGCAACC</t>
  </si>
  <si>
    <t xml:space="preserve">TAGTTTCGACCCTGCATAGCAACC</t>
  </si>
  <si>
    <t xml:space="preserve">AAACGGTTGCTATGCAGGGTCGAA</t>
  </si>
  <si>
    <t xml:space="preserve">GCGCGGAATCTTGCGTGTAC</t>
  </si>
  <si>
    <t xml:space="preserve">TAGTGCGCGGAATCTTGCGTGTAC</t>
  </si>
  <si>
    <t xml:space="preserve">AAACGTACACGCAAGATTCCGCGC</t>
  </si>
  <si>
    <t xml:space="preserve">PST_0974</t>
  </si>
  <si>
    <t xml:space="preserve">fimU</t>
  </si>
  <si>
    <t xml:space="preserve">CAGTTCAATGAGCGAGAAAC</t>
  </si>
  <si>
    <t xml:space="preserve">TAGTCAGTTCAATGAGCGAGAAAC</t>
  </si>
  <si>
    <t xml:space="preserve">AAACGTTTCTCGCTCATTGAACTG</t>
  </si>
  <si>
    <t xml:space="preserve">CACTAGCCATAATGGACAGC</t>
  </si>
  <si>
    <t xml:space="preserve">TAGTCACTAGCCATAATGGACAGC</t>
  </si>
  <si>
    <t xml:space="preserve">AAACGCTGTCCATTATGGCTAGTG</t>
  </si>
  <si>
    <t xml:space="preserve">TGGATGAGATTGGTGAAGCT</t>
  </si>
  <si>
    <t xml:space="preserve">TAGTTGGATGAGATTGGTGAAGCT</t>
  </si>
  <si>
    <t xml:space="preserve">AAACAGCTTCACCAATCTCATCCA</t>
  </si>
  <si>
    <t xml:space="preserve">CACTTTGCACTCTGTTGGAC</t>
  </si>
  <si>
    <t xml:space="preserve">TAGTCACTTTGCACTCTGTTGGAC</t>
  </si>
  <si>
    <t xml:space="preserve">AAACGTCCAACAGAGTGCAAAGTG</t>
  </si>
  <si>
    <t xml:space="preserve">PST_0975</t>
  </si>
  <si>
    <t xml:space="preserve">fimT</t>
  </si>
  <si>
    <t xml:space="preserve">TGCGGCTTGTTTGGTATGCA</t>
  </si>
  <si>
    <t xml:space="preserve">TAGTTGCGGCTTGTTTGGTATGCA</t>
  </si>
  <si>
    <t xml:space="preserve">AAACTGCATACCAAACAAGCCGCA</t>
  </si>
  <si>
    <t xml:space="preserve">GCTGCCGATAATTGTAATCA</t>
  </si>
  <si>
    <t xml:space="preserve">TAGTGCTGCCGATAATTGTAATCA</t>
  </si>
  <si>
    <t xml:space="preserve">AAACTGATTACAATTATCGGCAGC</t>
  </si>
  <si>
    <t xml:space="preserve">GCGCTAAGTATTGAAAAGTT</t>
  </si>
  <si>
    <t xml:space="preserve">TAGTGCGCTAAGTATTGAAAAGTT</t>
  </si>
  <si>
    <t xml:space="preserve">AAACAACTTTTCAATACTTAGCGC</t>
  </si>
  <si>
    <t xml:space="preserve">CTGAGTATCGCCCTGGAGTC</t>
  </si>
  <si>
    <t xml:space="preserve">TAGTCTGAGTATCGCCCTGGAGTC</t>
  </si>
  <si>
    <t xml:space="preserve">AAACGACTCCAGGGCGATACTCAG</t>
  </si>
  <si>
    <t xml:space="preserve">PST_0976</t>
  </si>
  <si>
    <t xml:space="preserve">GGCCGGTCACATGCACCTCT</t>
  </si>
  <si>
    <t xml:space="preserve">TAGTGGCCGGTCACATGCACCTCT</t>
  </si>
  <si>
    <t xml:space="preserve">AAACAGAGGTGCATGTGACCGGCC</t>
  </si>
  <si>
    <t xml:space="preserve">CATGCAGATCCAGCCAGTAG</t>
  </si>
  <si>
    <t xml:space="preserve">TAGTCATGCAGATCCAGCCAGTAG</t>
  </si>
  <si>
    <t xml:space="preserve">AAACCTACTGGCTGGATCTGCATG</t>
  </si>
  <si>
    <t xml:space="preserve">TCGACACCGACGTCAGCGGC</t>
  </si>
  <si>
    <t xml:space="preserve">TAGTTCGACACCGACGTCAGCGGC</t>
  </si>
  <si>
    <t xml:space="preserve">AAACGCCGCTGACGTCGGTGTCGA</t>
  </si>
  <si>
    <t xml:space="preserve">CGAAGGCACTGCCTGGCGCA</t>
  </si>
  <si>
    <t xml:space="preserve">TAGTCGAAGGCACTGCCTGGCGCA</t>
  </si>
  <si>
    <t xml:space="preserve">AAACTGCGCCAGGCAGTGCCTTCG</t>
  </si>
  <si>
    <t xml:space="preserve">PST_0977</t>
  </si>
  <si>
    <t xml:space="preserve">GCTCAGGCCGGCCAAAGAAG</t>
  </si>
  <si>
    <t xml:space="preserve">TAGTGCTCAGGCCGGCCAAAGAAG</t>
  </si>
  <si>
    <t xml:space="preserve">AAACCTTCTTTGGCCGGCCTGAGC</t>
  </si>
  <si>
    <t xml:space="preserve">ACAATGCCGACCGGCATCGG</t>
  </si>
  <si>
    <t xml:space="preserve">TAGTACAATGCCGACCGGCATCGG</t>
  </si>
  <si>
    <t xml:space="preserve">AAACCCGATGCCGGTCGGCATTGT</t>
  </si>
  <si>
    <t xml:space="preserve">CCCAGCGGTTGACTGCACTC</t>
  </si>
  <si>
    <t xml:space="preserve">TAGTCCCAGCGGTTGACTGCACTC</t>
  </si>
  <si>
    <t xml:space="preserve">AAACGAGTGCAGTCAACCGCTGGG</t>
  </si>
  <si>
    <t xml:space="preserve">CGTGCAATGCCGTCGCCTTC</t>
  </si>
  <si>
    <t xml:space="preserve">TAGTCGTGCAATGCCGTCGCCTTC</t>
  </si>
  <si>
    <t xml:space="preserve">AAACGAAGGCGACGGCATTGCACG</t>
  </si>
  <si>
    <t xml:space="preserve">PST_0978</t>
  </si>
  <si>
    <t xml:space="preserve">speA</t>
  </si>
  <si>
    <t xml:space="preserve">TCTTTACGTGTACGTCGTAC</t>
  </si>
  <si>
    <t xml:space="preserve">TAGTTCTTTACGTGTACGTCGTAC</t>
  </si>
  <si>
    <t xml:space="preserve">AAACGTACGACGTACACGTAAAGA</t>
  </si>
  <si>
    <t xml:space="preserve">GGCTGTCCGCAGCGGTCCAC</t>
  </si>
  <si>
    <t xml:space="preserve">TAGTGGCTGTCCGCAGCGGTCCAC</t>
  </si>
  <si>
    <t xml:space="preserve">AAACGTGGACCGCTGCGGACAGCC</t>
  </si>
  <si>
    <t xml:space="preserve">GGCGAATGCCGTAGATGCTG</t>
  </si>
  <si>
    <t xml:space="preserve">TAGTGGCGAATGCCGTAGATGCTG</t>
  </si>
  <si>
    <t xml:space="preserve">AAACCAGCATCTACGGCATTCGCC</t>
  </si>
  <si>
    <t xml:space="preserve">CGAAATACCCTGCGCCCCAG</t>
  </si>
  <si>
    <t xml:space="preserve">TAGTCGAAATACCCTGCGCCCCAG</t>
  </si>
  <si>
    <t xml:space="preserve">AAACCTGGGGCGCAGGGTATTTCG</t>
  </si>
  <si>
    <t xml:space="preserve">PST_0979</t>
  </si>
  <si>
    <t xml:space="preserve">GAGGTAGGCGGCAATGGCAT</t>
  </si>
  <si>
    <t xml:space="preserve">TAGTGAGGTAGGCGGCAATGGCAT</t>
  </si>
  <si>
    <t xml:space="preserve">AAACATGCCATTGCCGCCTACCTC</t>
  </si>
  <si>
    <t xml:space="preserve">GCAGGAAGATCGCCAGAAAG</t>
  </si>
  <si>
    <t xml:space="preserve">TAGTGCAGGAAGATCGCCAGAAAG</t>
  </si>
  <si>
    <t xml:space="preserve">AAACCTTTCTGGCGATCTTCCTGC</t>
  </si>
  <si>
    <t xml:space="preserve">CTGATGCTCCAGCAGCAACA</t>
  </si>
  <si>
    <t xml:space="preserve">TAGTCTGATGCTCCAGCAGCAACA</t>
  </si>
  <si>
    <t xml:space="preserve">AAACTGTTGCTGCTGGAGCATCAG</t>
  </si>
  <si>
    <t xml:space="preserve">GCTCCAGCGTCAGCGGCTGG</t>
  </si>
  <si>
    <t xml:space="preserve">TAGTGCTCCAGCGTCAGCGGCTGG</t>
  </si>
  <si>
    <t xml:space="preserve">AAACCCAGCCGCTGACGCTGGAGC</t>
  </si>
  <si>
    <t xml:space="preserve">PST_0980</t>
  </si>
  <si>
    <t xml:space="preserve">dinF</t>
  </si>
  <si>
    <t xml:space="preserve">GCGCCAGGCGGCAAGCATGC</t>
  </si>
  <si>
    <t xml:space="preserve">TAGTGCGCCAGGCGGCAAGCATGC</t>
  </si>
  <si>
    <t xml:space="preserve">AAACGCATGCTTGCCGCCTGGCGC</t>
  </si>
  <si>
    <t xml:space="preserve">CCTTCTGATGCGTGGGCGCG</t>
  </si>
  <si>
    <t xml:space="preserve">TAGTCCTTCTGATGCGTGGGCGCG</t>
  </si>
  <si>
    <t xml:space="preserve">AAACCGCGCCCACGCATCAGAAGG</t>
  </si>
  <si>
    <t xml:space="preserve">GACAGGTTCGACAGGATCAT</t>
  </si>
  <si>
    <t xml:space="preserve">TAGTGACAGGTTCGACAGGATCAT</t>
  </si>
  <si>
    <t xml:space="preserve">AAACATGATCCTGTCGAACCTGTC</t>
  </si>
  <si>
    <t xml:space="preserve">GCTGGTGAGCGTGCGGCAGA</t>
  </si>
  <si>
    <t xml:space="preserve">TAGTGCTGGTGAGCGTGCGGCAGA</t>
  </si>
  <si>
    <t xml:space="preserve">AAACTCTGCCGCACGCTCACCAGC</t>
  </si>
  <si>
    <t xml:space="preserve">PST_0981</t>
  </si>
  <si>
    <t xml:space="preserve">TTCGACGATGAAACGTATGA</t>
  </si>
  <si>
    <t xml:space="preserve">TAGTTTCGACGATGAAACGTATGA</t>
  </si>
  <si>
    <t xml:space="preserve">AAACTCATACGTTTCATCGTCGAA</t>
  </si>
  <si>
    <t xml:space="preserve">GGCAAACAGGCCGAAGAAGT</t>
  </si>
  <si>
    <t xml:space="preserve">TAGTGGCAAACAGGCCGAAGAAGT</t>
  </si>
  <si>
    <t xml:space="preserve">AAACACTTCTTCGGCCTGTTTGCC</t>
  </si>
  <si>
    <t xml:space="preserve">GAGAAAGTTGTGCCCGGCGC</t>
  </si>
  <si>
    <t xml:space="preserve">TAGTGAGAAAGTTGTGCCCGGCGC</t>
  </si>
  <si>
    <t xml:space="preserve">AAACGCGCCGGGCACAACTTTCTC</t>
  </si>
  <si>
    <t xml:space="preserve">CGACCAGGCTCAGCAGCGAG</t>
  </si>
  <si>
    <t xml:space="preserve">TAGTCGACCAGGCTCAGCAGCGAG</t>
  </si>
  <si>
    <t xml:space="preserve">AAACCTCGCTGCTGAGCCTGGTCG</t>
  </si>
  <si>
    <t xml:space="preserve">PST_0982</t>
  </si>
  <si>
    <t xml:space="preserve">CGCGATGGCGAGGGCTCGCA</t>
  </si>
  <si>
    <t xml:space="preserve">TAGTCGCGATGGCGAGGGCTCGCA</t>
  </si>
  <si>
    <t xml:space="preserve">AAACTGCGAGCCCTCGCCATCGCG</t>
  </si>
  <si>
    <t xml:space="preserve">GGCCACAGGCCCAGCTCAAG</t>
  </si>
  <si>
    <t xml:space="preserve">TAGTGGCCACAGGCCCAGCTCAAG</t>
  </si>
  <si>
    <t xml:space="preserve">AAACCTTGAGCTGGGCCTGTGGCC</t>
  </si>
  <si>
    <t xml:space="preserve">CCAGATGCAGCGTGACGGCA</t>
  </si>
  <si>
    <t xml:space="preserve">TAGTCCAGATGCAGCGTGACGGCA</t>
  </si>
  <si>
    <t xml:space="preserve">AAACTGCCGTCACGCTGCATCTGG</t>
  </si>
  <si>
    <t xml:space="preserve">CCAGCTGTTCTCATGCCAGG</t>
  </si>
  <si>
    <t xml:space="preserve">TAGTCCAGCTGTTCTCATGCCAGG</t>
  </si>
  <si>
    <t xml:space="preserve">AAACCCTGGCATGAGAACAGCTGG</t>
  </si>
  <si>
    <t xml:space="preserve">PST_0983</t>
  </si>
  <si>
    <t xml:space="preserve">AGCAACCACCAGACAACAGC</t>
  </si>
  <si>
    <t xml:space="preserve">TAGTAGCAACCACCAGACAACAGC</t>
  </si>
  <si>
    <t xml:space="preserve">AAACGCTGTTGTCTGGTGGTTGCT</t>
  </si>
  <si>
    <t xml:space="preserve">GGCTCCGGCAATGAACGGCA</t>
  </si>
  <si>
    <t xml:space="preserve">TAGTGGCTCCGGCAATGAACGGCA</t>
  </si>
  <si>
    <t xml:space="preserve">AAACTGCCGTTCATTGCCGGAGCC</t>
  </si>
  <si>
    <t xml:space="preserve">TCCGGCCTGCAAAGGCAGCA</t>
  </si>
  <si>
    <t xml:space="preserve">TAGTTCCGGCCTGCAAAGGCAGCA</t>
  </si>
  <si>
    <t xml:space="preserve">AAACTGCTGCCTTTGCAGGCCGGA</t>
  </si>
  <si>
    <t xml:space="preserve">CGCCCATGACGTTGCCGAGC</t>
  </si>
  <si>
    <t xml:space="preserve">TAGTCGCCCATGACGTTGCCGAGC</t>
  </si>
  <si>
    <t xml:space="preserve">AAACGCTCGGCAACGTCATGGGCG</t>
  </si>
  <si>
    <t xml:space="preserve">PST_0984</t>
  </si>
  <si>
    <t xml:space="preserve">GGGGAATCAGCAACAGGCGG</t>
  </si>
  <si>
    <t xml:space="preserve">TAGTGGGGAATCAGCAACAGGCGG</t>
  </si>
  <si>
    <t xml:space="preserve">AAACCCGCCTGTTGCTGATTCCCC</t>
  </si>
  <si>
    <t xml:space="preserve">GGCGACGAGGGCGAGGAGTA</t>
  </si>
  <si>
    <t xml:space="preserve">TAGTGGCGACGAGGGCGAGGAGTA</t>
  </si>
  <si>
    <t xml:space="preserve">AAACTACTCCTCGCCCTCGTCGCC</t>
  </si>
  <si>
    <t xml:space="preserve">CACGCTGCACCTGCGGGCCC</t>
  </si>
  <si>
    <t xml:space="preserve">TAGTCACGCTGCACCTGCGGGCCC</t>
  </si>
  <si>
    <t xml:space="preserve">AAACGGGCCCGCAGGTGCAGCGTG</t>
  </si>
  <si>
    <t xml:space="preserve">TAGGCGGAGAAATCCCGTGT</t>
  </si>
  <si>
    <t xml:space="preserve">TAGTTAGGCGGAGAAATCCCGTGT</t>
  </si>
  <si>
    <t xml:space="preserve">AAACACACGGGATTTCTCCGCCTA</t>
  </si>
  <si>
    <t xml:space="preserve">PST_0985</t>
  </si>
  <si>
    <t xml:space="preserve">CAAGAACGCGCGGTTCGACA</t>
  </si>
  <si>
    <t xml:space="preserve">TAGTCAAGAACGCGCGGTTCGACA</t>
  </si>
  <si>
    <t xml:space="preserve">AAACTGTCGAACCGCGCGTTCTTG</t>
  </si>
  <si>
    <t xml:space="preserve">GCGAGGGTAAGGCAGAGCAA</t>
  </si>
  <si>
    <t xml:space="preserve">TAGTGCGAGGGTAAGGCAGAGCAA</t>
  </si>
  <si>
    <t xml:space="preserve">AAACTTGCTCTGCCTTACCCTCGC</t>
  </si>
  <si>
    <t xml:space="preserve">ATAGGGGTTCTGGCTCTGGC</t>
  </si>
  <si>
    <t xml:space="preserve">TAGTATAGGGGTTCTGGCTCTGGC</t>
  </si>
  <si>
    <t xml:space="preserve">AAACGCCAGAGCCAGAACCCCTAT</t>
  </si>
  <si>
    <t xml:space="preserve">CGGGATCGGCGCCGATTCAT</t>
  </si>
  <si>
    <t xml:space="preserve">TAGTCGGGATCGGCGCCGATTCAT</t>
  </si>
  <si>
    <t xml:space="preserve">AAACATGAATCGGCGCCGATCCCG</t>
  </si>
  <si>
    <t xml:space="preserve">PST_0986</t>
  </si>
  <si>
    <t xml:space="preserve">CGATGTTCATCAGGGAAGGC</t>
  </si>
  <si>
    <t xml:space="preserve">TAGTCGATGTTCATCAGGGAAGGC</t>
  </si>
  <si>
    <t xml:space="preserve">AAACGCCTTCCCTGATGAACATCG</t>
  </si>
  <si>
    <t xml:space="preserve">GCGGATCGCGTGCAGGCGCT</t>
  </si>
  <si>
    <t xml:space="preserve">TAGTGCGGATCGCGTGCAGGCGCT</t>
  </si>
  <si>
    <t xml:space="preserve">AAACAGCGCCTGCACGCGATCCGC</t>
  </si>
  <si>
    <t xml:space="preserve">CGGCCATGGCGAGGTTCTTC</t>
  </si>
  <si>
    <t xml:space="preserve">TAGTCGGCCATGGCGAGGTTCTTC</t>
  </si>
  <si>
    <t xml:space="preserve">AAACGAAGAACCTCGCCATGGCCG</t>
  </si>
  <si>
    <t xml:space="preserve">CTCGGCCATTTCCACACTGG</t>
  </si>
  <si>
    <t xml:space="preserve">TAGTCTCGGCCATTTCCACACTGG</t>
  </si>
  <si>
    <t xml:space="preserve">AAACCCAGTGTGGAAATGGCCGAG</t>
  </si>
  <si>
    <t xml:space="preserve">PST_0987</t>
  </si>
  <si>
    <t xml:space="preserve">fruR</t>
  </si>
  <si>
    <t xml:space="preserve">GTTGGCGAGGCGGGCGATGT</t>
  </si>
  <si>
    <t xml:space="preserve">TAGTGTTGGCGAGGCGGGCGATGT</t>
  </si>
  <si>
    <t xml:space="preserve">AAACACATCGCCCGCCTCGCCAAC</t>
  </si>
  <si>
    <t xml:space="preserve">GTTGAGCACGTAGCTGGCGG</t>
  </si>
  <si>
    <t xml:space="preserve">TAGTGTTGAGCACGTAGCTGGCGG</t>
  </si>
  <si>
    <t xml:space="preserve">AAACCCGCCAGCTACGTGCTCAAC</t>
  </si>
  <si>
    <t xml:space="preserve">TGGACTGATCCGTCGCTGCG</t>
  </si>
  <si>
    <t xml:space="preserve">TAGTTGGACTGATCCGTCGCTGCG</t>
  </si>
  <si>
    <t xml:space="preserve">AAACCGCAGCGACGGATCAGTCCA</t>
  </si>
  <si>
    <t xml:space="preserve">AGCACGCGCTCGACCGTGGC</t>
  </si>
  <si>
    <t xml:space="preserve">TAGTAGCACGCGCTCGACCGTGGC</t>
  </si>
  <si>
    <t xml:space="preserve">AAACGCCACGGTCGAGCGCGTGCT</t>
  </si>
  <si>
    <t xml:space="preserve">PST_0988</t>
  </si>
  <si>
    <t xml:space="preserve">fruB</t>
  </si>
  <si>
    <t xml:space="preserve">CTGCGCATTCAACTCAAGCA</t>
  </si>
  <si>
    <t xml:space="preserve">TAGTCTGCGCATTCAACTCAAGCA</t>
  </si>
  <si>
    <t xml:space="preserve">AAACTGCTTGAGTTGAATGCGCAG</t>
  </si>
  <si>
    <t xml:space="preserve">CCGCCGCGACCTGATGCATG</t>
  </si>
  <si>
    <t xml:space="preserve">TAGTCCGCCGCGACCTGATGCATG</t>
  </si>
  <si>
    <t xml:space="preserve">AAACCATGCATCAGGTCGCGGCGG</t>
  </si>
  <si>
    <t xml:space="preserve">GCCGGGCGCCACCAGCCCGT</t>
  </si>
  <si>
    <t xml:space="preserve">TAGTGCCGGGCGCCACCAGCCCGT</t>
  </si>
  <si>
    <t xml:space="preserve">AAACACGGGCTGGTGGCGCCCGGC</t>
  </si>
  <si>
    <t xml:space="preserve">CGCGTGCGCGCAAGCCGTCC</t>
  </si>
  <si>
    <t xml:space="preserve">TAGTCGCGTGCGCGCAAGCCGTCC</t>
  </si>
  <si>
    <t xml:space="preserve">AAACGGACGGCTTGCGCGCACGCG</t>
  </si>
  <si>
    <t xml:space="preserve">PST_0989</t>
  </si>
  <si>
    <t xml:space="preserve">fruK</t>
  </si>
  <si>
    <t xml:space="preserve">CAGCGCGGGATTGAGGGTGA</t>
  </si>
  <si>
    <t xml:space="preserve">TAGTCAGCGCGGGATTGAGGGTGA</t>
  </si>
  <si>
    <t xml:space="preserve">AAACTCACCCTCAATCCCGCGCTG</t>
  </si>
  <si>
    <t xml:space="preserve">ACTTCGCCCAGGTGCAGCGC</t>
  </si>
  <si>
    <t xml:space="preserve">TAGTACTTCGCCCAGGTGCAGCGC</t>
  </si>
  <si>
    <t xml:space="preserve">AAACGCGCTGCACCTGGGCGAAGT</t>
  </si>
  <si>
    <t xml:space="preserve">TGCCCGCGGCGTGCACCTGC</t>
  </si>
  <si>
    <t xml:space="preserve">TAGTTGCCCGCGGCGTGCACCTGC</t>
  </si>
  <si>
    <t xml:space="preserve">AAACGCAGGTGCACGCCGCGGGCA</t>
  </si>
  <si>
    <t xml:space="preserve">GCCAAGATCGGCCAGGACCT</t>
  </si>
  <si>
    <t xml:space="preserve">TAGTGCCAAGATCGGCCAGGACCT</t>
  </si>
  <si>
    <t xml:space="preserve">AAACAGGTCCTGGCCGATCTTGGC</t>
  </si>
  <si>
    <t xml:space="preserve">PST_0990</t>
  </si>
  <si>
    <t xml:space="preserve">fruA</t>
  </si>
  <si>
    <t xml:space="preserve">GGTGACCATTCCGTTGGGGC</t>
  </si>
  <si>
    <t xml:space="preserve">TAGTGGTGACCATTCCGTTGGGGC</t>
  </si>
  <si>
    <t xml:space="preserve">AAACGCCCCAACGGAATGGTCACC</t>
  </si>
  <si>
    <t xml:space="preserve">CAGGCGCGAGGTCAGCACGC</t>
  </si>
  <si>
    <t xml:space="preserve">TAGTCAGGCGCGAGGTCAGCACGC</t>
  </si>
  <si>
    <t xml:space="preserve">AAACGCGTGCTGACCTCGCGCCTG</t>
  </si>
  <si>
    <t xml:space="preserve">CCAGCCCAGGCGATGAGCCG</t>
  </si>
  <si>
    <t xml:space="preserve">TAGTCCAGCCCAGGCGATGAGCCG</t>
  </si>
  <si>
    <t xml:space="preserve">AAACCGGCTCATCGCCTGGGCTGG</t>
  </si>
  <si>
    <t xml:space="preserve">GGGGTCGTGGACTTCCACGG</t>
  </si>
  <si>
    <t xml:space="preserve">TAGTGGGGTCGTGGACTTCCACGG</t>
  </si>
  <si>
    <t xml:space="preserve">AAACCCGTGGAAGTCCACGACCCC</t>
  </si>
  <si>
    <t xml:space="preserve">PST_0991</t>
  </si>
  <si>
    <t xml:space="preserve">GCGGTCAGGGTGATACGCAG</t>
  </si>
  <si>
    <t xml:space="preserve">TAGTGCGGTCAGGGTGATACGCAG</t>
  </si>
  <si>
    <t xml:space="preserve">AAACCTGCGTATCACCCTGACCGC</t>
  </si>
  <si>
    <t xml:space="preserve">ACCCAGTACCAGAATCACCA</t>
  </si>
  <si>
    <t xml:space="preserve">TAGTACCCAGTACCAGAATCACCA</t>
  </si>
  <si>
    <t xml:space="preserve">AAACTGGTGATTCTGGTACTGGGT</t>
  </si>
  <si>
    <t xml:space="preserve">TGCGAGGTAGCCGCCGCCGA</t>
  </si>
  <si>
    <t xml:space="preserve">TAGTTGCGAGGTAGCCGCCGCCGA</t>
  </si>
  <si>
    <t xml:space="preserve">AAACTCGGCGGCGGCTACCTCGCA</t>
  </si>
  <si>
    <t xml:space="preserve">ACCGGCGACCAGGTAGTACC</t>
  </si>
  <si>
    <t xml:space="preserve">TAGTACCGGCGACCAGGTAGTACC</t>
  </si>
  <si>
    <t xml:space="preserve">AAACGGTACTACCTGGTCGCCGGT</t>
  </si>
  <si>
    <t xml:space="preserve">PST_0992</t>
  </si>
  <si>
    <t xml:space="preserve">GCACATCCTTGTGTCGGTAT</t>
  </si>
  <si>
    <t xml:space="preserve">TAGTGCACATCCTTGTGTCGGTAT</t>
  </si>
  <si>
    <t xml:space="preserve">AAACATACCGACACAAGGATGTGC</t>
  </si>
  <si>
    <t xml:space="preserve">TCGGGCGATGGGCGTTCGGC</t>
  </si>
  <si>
    <t xml:space="preserve">TAGTTCGGGCGATGGGCGTTCGGC</t>
  </si>
  <si>
    <t xml:space="preserve">AAACGCCGAACGCCCATCGCCCGA</t>
  </si>
  <si>
    <t xml:space="preserve">GAAGCGATCGGGCGAAGTGA</t>
  </si>
  <si>
    <t xml:space="preserve">TAGTGAAGCGATCGGGCGAAGTGA</t>
  </si>
  <si>
    <t xml:space="preserve">AAACTCACTTCGCCCGATCGCTTC</t>
  </si>
  <si>
    <t xml:space="preserve">GGCGCTCGCAATCGGTGAGC</t>
  </si>
  <si>
    <t xml:space="preserve">TAGTGGCGCTCGCAATCGGTGAGC</t>
  </si>
  <si>
    <t xml:space="preserve">AAACGCTCACCGATTGCGAGCGCC</t>
  </si>
  <si>
    <t xml:space="preserve">PST_0993</t>
  </si>
  <si>
    <t xml:space="preserve">prfC</t>
  </si>
  <si>
    <t xml:space="preserve">TCGGCGGCCTGAGTGGTCAT</t>
  </si>
  <si>
    <t xml:space="preserve">TAGTTCGGCGGCCTGAGTGGTCAT</t>
  </si>
  <si>
    <t xml:space="preserve">AAACATGACCACTCAGGCCGCCGA</t>
  </si>
  <si>
    <t xml:space="preserve">GCGAGATGATGGCGAAGGTA</t>
  </si>
  <si>
    <t xml:space="preserve">TAGTGCGAGATGATGGCGAAGGTA</t>
  </si>
  <si>
    <t xml:space="preserve">AAACTACCTTCGCCATCATCTCGC</t>
  </si>
  <si>
    <t xml:space="preserve">TGGTGGTCTTGCCCGCATCG</t>
  </si>
  <si>
    <t xml:space="preserve">TAGTTGGTGGTCTTGCCCGCATCG</t>
  </si>
  <si>
    <t xml:space="preserve">AAACCGATGCGGGCAAGACCACCA</t>
  </si>
  <si>
    <t xml:space="preserve">CAGCAGCAGCTTTTCGGTGA</t>
  </si>
  <si>
    <t xml:space="preserve">TAGTCAGCAGCAGCTTTTCGGTGA</t>
  </si>
  <si>
    <t xml:space="preserve">AAACTCACCGAAAAGCTGCTGCTG</t>
  </si>
  <si>
    <t xml:space="preserve">PST_0994</t>
  </si>
  <si>
    <t xml:space="preserve">TCTTCTGGAAGGTGGCGCGC</t>
  </si>
  <si>
    <t xml:space="preserve">TAGTTCTTCTGGAAGGTGGCGCGC</t>
  </si>
  <si>
    <t xml:space="preserve">AAACGCGCGCCACCTTCCAGAAGA</t>
  </si>
  <si>
    <t xml:space="preserve">GAACGGGGTTTCGTGCTGGT</t>
  </si>
  <si>
    <t xml:space="preserve">TAGTGAACGGGGTTTCGTGCTGGT</t>
  </si>
  <si>
    <t xml:space="preserve">AAACACCAGCACGAAACCCCGTTC</t>
  </si>
  <si>
    <t xml:space="preserve">GTAGGCCTTGCTGATGGTTT</t>
  </si>
  <si>
    <t xml:space="preserve">TAGTGTAGGCCTTGCTGATGGTTT</t>
  </si>
  <si>
    <t xml:space="preserve">AAACAAACCATCAGCAAGGCCTAC</t>
  </si>
  <si>
    <t xml:space="preserve">CGAATTCGAAACCGGCGCGC</t>
  </si>
  <si>
    <t xml:space="preserve">TAGTCGAATTCGAAACCGGCGCGC</t>
  </si>
  <si>
    <t xml:space="preserve">AAACGCGCGCCGGTTTCGAATTCG</t>
  </si>
  <si>
    <t xml:space="preserve">PST_0995</t>
  </si>
  <si>
    <t xml:space="preserve">TTGGCAATGCGTAGCAGCAT</t>
  </si>
  <si>
    <t xml:space="preserve">TAGTTTGGCAATGCGTAGCAGCAT</t>
  </si>
  <si>
    <t xml:space="preserve">AAACATGCTGCTACGCATTGCCAA</t>
  </si>
  <si>
    <t xml:space="preserve">GATACGGGCGGTTTCTTCGC</t>
  </si>
  <si>
    <t xml:space="preserve">TAGTGATACGGGCGGTTTCTTCGC</t>
  </si>
  <si>
    <t xml:space="preserve">AAACGCGAAGAAACCGCCCGTATC</t>
  </si>
  <si>
    <t xml:space="preserve">CAGCCTGTTCCAGCGCGACG</t>
  </si>
  <si>
    <t xml:space="preserve">TAGTCAGCCTGTTCCAGCGCGACG</t>
  </si>
  <si>
    <t xml:space="preserve">AAACCGTCGCGCTGGAACAGGCTG</t>
  </si>
  <si>
    <t xml:space="preserve">CGTTACCCGACCGTCCTGCC</t>
  </si>
  <si>
    <t xml:space="preserve">TAGTCGTTACCCGACCGTCCTGCC</t>
  </si>
  <si>
    <t xml:space="preserve">AAACGGCAGGACGGTCGGGTAACG</t>
  </si>
  <si>
    <t xml:space="preserve">PST_0996</t>
  </si>
  <si>
    <t xml:space="preserve">TTCGAGAGACTGACGCGACA</t>
  </si>
  <si>
    <t xml:space="preserve">TAGTTTCGAGAGACTGACGCGACA</t>
  </si>
  <si>
    <t xml:space="preserve">AAACTGTCGCGTCAGTCTCTCGAA</t>
  </si>
  <si>
    <t xml:space="preserve">AGCCAACACGCGGGGTGGCT</t>
  </si>
  <si>
    <t xml:space="preserve">TAGTAGCCAACACGCGGGGTGGCT</t>
  </si>
  <si>
    <t xml:space="preserve">AAACAGCCACCCCGCGTGTTGGCT</t>
  </si>
  <si>
    <t xml:space="preserve">GGGGGCGGAGAAAGCGGTAA</t>
  </si>
  <si>
    <t xml:space="preserve">TAGTGGGGGCGGAGAAAGCGGTAA</t>
  </si>
  <si>
    <t xml:space="preserve">AAACTTACCGCTTTCTCCGCCCCC</t>
  </si>
  <si>
    <t xml:space="preserve">GGCACGGACTGGGCAATGGA</t>
  </si>
  <si>
    <t xml:space="preserve">TAGTGGCACGGACTGGGCAATGGA</t>
  </si>
  <si>
    <t xml:space="preserve">AAACTCCATTGCCCAGTCCGTGCC</t>
  </si>
  <si>
    <t xml:space="preserve">PST_0997</t>
  </si>
  <si>
    <t xml:space="preserve">GGCCATCGACGGCCGCGCGC</t>
  </si>
  <si>
    <t xml:space="preserve">TAGTGGCCATCGACGGCCGCGCGC</t>
  </si>
  <si>
    <t xml:space="preserve">AAACGCGCGCGGCCGTCGATGGCC</t>
  </si>
  <si>
    <t xml:space="preserve">AGGCGATCACCAGCTGTGCC</t>
  </si>
  <si>
    <t xml:space="preserve">TAGTAGGCGATCACCAGCTGTGCC</t>
  </si>
  <si>
    <t xml:space="preserve">AAACGGCACAGCTGGTGATCGCCT</t>
  </si>
  <si>
    <t xml:space="preserve">CTGACCGCCCTGGCTGGCAT</t>
  </si>
  <si>
    <t xml:space="preserve">TAGTCTGACCGCCCTGGCTGGCAT</t>
  </si>
  <si>
    <t xml:space="preserve">AAACATGCCAGCCAGGGCGGTCAG</t>
  </si>
  <si>
    <t xml:space="preserve">CAGCTGCGCTGCGCTGCGTT</t>
  </si>
  <si>
    <t xml:space="preserve">TAGTCAGCTGCGCTGCGCTGCGTT</t>
  </si>
  <si>
    <t xml:space="preserve">AAACAACGCAGCGCAGCGCAGCTG</t>
  </si>
  <si>
    <t xml:space="preserve">PST_0998</t>
  </si>
  <si>
    <t xml:space="preserve">CCATTTGATGACGGGTTTCA</t>
  </si>
  <si>
    <t xml:space="preserve">TAGTCCATTTGATGACGGGTTTCA</t>
  </si>
  <si>
    <t xml:space="preserve">AAACTGAAACCCGTCATCAAATGG</t>
  </si>
  <si>
    <t xml:space="preserve">GCAGACGGCGAGCGCCAGGG</t>
  </si>
  <si>
    <t xml:space="preserve">TAGTGCAGACGGCGAGCGCCAGGG</t>
  </si>
  <si>
    <t xml:space="preserve">AAACCCCTGGCGCTCGCCGTCTGC</t>
  </si>
  <si>
    <t xml:space="preserve">GGGCCTGGGCCGACAACGGC</t>
  </si>
  <si>
    <t xml:space="preserve">TAGTGGGCCTGGGCCGACAACGGC</t>
  </si>
  <si>
    <t xml:space="preserve">AAACGCCGTTGTCGGCCCAGGCCC</t>
  </si>
  <si>
    <t xml:space="preserve">GGGCAGCATCCAGGCGCGGT</t>
  </si>
  <si>
    <t xml:space="preserve">TAGTGGGCAGCATCCAGGCGCGGT</t>
  </si>
  <si>
    <t xml:space="preserve">AAACACCGCGCCTGGATGCTGCCC</t>
  </si>
  <si>
    <t xml:space="preserve">PST_0999</t>
  </si>
  <si>
    <t xml:space="preserve">GGGGCGCTGAGCAGGGCGAG</t>
  </si>
  <si>
    <t xml:space="preserve">TAGTGGGGCGCTGAGCAGGGCGAG</t>
  </si>
  <si>
    <t xml:space="preserve">AAACCTCGCCCTGCTCAGCGCCCC</t>
  </si>
  <si>
    <t xml:space="preserve">GCAGGTCCGCCGCGTGCAGC</t>
  </si>
  <si>
    <t xml:space="preserve">TAGTGCAGGTCCGCCGCGTGCAGC</t>
  </si>
  <si>
    <t xml:space="preserve">AAACGCTGCACGCGGCGGACCTGC</t>
  </si>
  <si>
    <t xml:space="preserve">ACTCGGCGACATCCAGACGC</t>
  </si>
  <si>
    <t xml:space="preserve">TAGTACTCGGCGACATCCAGACGC</t>
  </si>
  <si>
    <t xml:space="preserve">AAACGCGTCTGGATGTCGCCGAGT</t>
  </si>
  <si>
    <t xml:space="preserve">AGATGGCGACATAGGGGCGG</t>
  </si>
  <si>
    <t xml:space="preserve">TAGTAGATGGCGACATAGGGGCGG</t>
  </si>
  <si>
    <t xml:space="preserve">AAACCCGCCCCTATGTCGCCATCT</t>
  </si>
  <si>
    <t xml:space="preserve">PST_1000</t>
  </si>
  <si>
    <t xml:space="preserve">GAAGAGTGGTGCGAATTCTA</t>
  </si>
  <si>
    <t xml:space="preserve">TAGTGAAGAGTGGTGCGAATTCTA</t>
  </si>
  <si>
    <t xml:space="preserve">AAACTAGAATTCGCACCACTCTTC</t>
  </si>
  <si>
    <t xml:space="preserve">ACGCATGGTGATCCTTACCT</t>
  </si>
  <si>
    <t xml:space="preserve">TAGTACGCATGGTGATCCTTACCT</t>
  </si>
  <si>
    <t xml:space="preserve">AAACAGGTAAGGATCACCATGCGT</t>
  </si>
  <si>
    <t xml:space="preserve">CGGAGCTGATCCAGTGCCAT</t>
  </si>
  <si>
    <t xml:space="preserve">TAGTCGGAGCTGATCCAGTGCCAT</t>
  </si>
  <si>
    <t xml:space="preserve">AAACATGGCACTGGATCAGCTCCG</t>
  </si>
  <si>
    <t xml:space="preserve">CATGCCAACCAGGCACAGCG</t>
  </si>
  <si>
    <t xml:space="preserve">TAGTCATGCCAACCAGGCACAGCG</t>
  </si>
  <si>
    <t xml:space="preserve">AAACCGCTGTGCCTGGTTGGCATG</t>
  </si>
  <si>
    <t xml:space="preserve">PST_1001</t>
  </si>
  <si>
    <t xml:space="preserve">ACAGGGCAGTACGTGCGAAG</t>
  </si>
  <si>
    <t xml:space="preserve">TAGTACAGGGCAGTACGTGCGAAG</t>
  </si>
  <si>
    <t xml:space="preserve">AAACCTTCGCACGTACTGCCCTGT</t>
  </si>
  <si>
    <t xml:space="preserve">CGTCCAGCTGCAGCCGATCA</t>
  </si>
  <si>
    <t xml:space="preserve">TAGTCGTCCAGCTGCAGCCGATCA</t>
  </si>
  <si>
    <t xml:space="preserve">AAACTGATCGGCTGCAGCTGGACG</t>
  </si>
  <si>
    <t xml:space="preserve">GACAGGCGCGTTCTGGGCCA</t>
  </si>
  <si>
    <t xml:space="preserve">TAGTGACAGGCGCGTTCTGGGCCA</t>
  </si>
  <si>
    <t xml:space="preserve">AAACTGGCCCAGAACGCGCCTGTC</t>
  </si>
  <si>
    <t xml:space="preserve">GATCTTCTGTTCGAAGCCGG</t>
  </si>
  <si>
    <t xml:space="preserve">TAGTGATCTTCTGTTCGAAGCCGG</t>
  </si>
  <si>
    <t xml:space="preserve">AAACCCGGCTTCGAACAGAAGATC</t>
  </si>
  <si>
    <t xml:space="preserve">PST_1002</t>
  </si>
  <si>
    <t xml:space="preserve">CTGCGCGGCGGAGGAGGGAT</t>
  </si>
  <si>
    <t xml:space="preserve">TAGTCTGCGCGGCGGAGGAGGGAT</t>
  </si>
  <si>
    <t xml:space="preserve">AAACATCCCTCCTCCGCCGCGCAG</t>
  </si>
  <si>
    <t xml:space="preserve">GCTCGCGAGCACGGCGACGA</t>
  </si>
  <si>
    <t xml:space="preserve">TAGTGCTCGCGAGCACGGCGACGA</t>
  </si>
  <si>
    <t xml:space="preserve">AAACTCGTCGCCGTGCTCGCGAGC</t>
  </si>
  <si>
    <t xml:space="preserve">TTCGGCCATGGCGGGCAGGC</t>
  </si>
  <si>
    <t xml:space="preserve">TAGTTTCGGCCATGGCGGGCAGGC</t>
  </si>
  <si>
    <t xml:space="preserve">AAACGCCTGCCCGCCATGGCCGAA</t>
  </si>
  <si>
    <t xml:space="preserve">CAGGGCGACCTGGTTGTAGC</t>
  </si>
  <si>
    <t xml:space="preserve">TAGTCAGGGCGACCTGGTTGTAGC</t>
  </si>
  <si>
    <t xml:space="preserve">AAACGCTACAACCAGGTCGCCCTG</t>
  </si>
  <si>
    <t xml:space="preserve">PST_1003</t>
  </si>
  <si>
    <t xml:space="preserve">CAGCGGGACGGATGCGTACA</t>
  </si>
  <si>
    <t xml:space="preserve">TAGTCAGCGGGACGGATGCGTACA</t>
  </si>
  <si>
    <t xml:space="preserve">AAACTGTACGCATCCGTCCCGCTG</t>
  </si>
  <si>
    <t xml:space="preserve">CCGAAGGTTCTGCCGGCTGG</t>
  </si>
  <si>
    <t xml:space="preserve">TAGTCCGAAGGTTCTGCCGGCTGG</t>
  </si>
  <si>
    <t xml:space="preserve">AAACCCAGCCGGCAGAACCTTCGG</t>
  </si>
  <si>
    <t xml:space="preserve">CAGCACCACGATGCGAATTA</t>
  </si>
  <si>
    <t xml:space="preserve">TAGTCAGCACCACGATGCGAATTA</t>
  </si>
  <si>
    <t xml:space="preserve">AAACTAATTCGCATCGTGGTGCTG</t>
  </si>
  <si>
    <t xml:space="preserve">ACCCACGGCACCGGACTGTG</t>
  </si>
  <si>
    <t xml:space="preserve">TAGTACCCACGGCACCGGACTGTG</t>
  </si>
  <si>
    <t xml:space="preserve">AAACCACAGTCCGGTGCCGTGGGT</t>
  </si>
  <si>
    <t xml:space="preserve">PST_1004</t>
  </si>
  <si>
    <t xml:space="preserve">ACCCTCTTGCTGCAACTCGT</t>
  </si>
  <si>
    <t xml:space="preserve">TAGTACCCTCTTGCTGCAACTCGT</t>
  </si>
  <si>
    <t xml:space="preserve">AAACACGAGTTGCAGCAAGAGGGT</t>
  </si>
  <si>
    <t xml:space="preserve">TCATCCACCAGGAGCAGATG</t>
  </si>
  <si>
    <t xml:space="preserve">TAGTTCATCCACCAGGAGCAGATG</t>
  </si>
  <si>
    <t xml:space="preserve">AAACCATCTGCTCCTGGTGGATGA</t>
  </si>
  <si>
    <t xml:space="preserve">CCATTACCCGGGTGAACGTG</t>
  </si>
  <si>
    <t xml:space="preserve">TAGTCCATTACCCGGGTGAACGTG</t>
  </si>
  <si>
    <t xml:space="preserve">AAACCACGTTCACCCGGGTAATGG</t>
  </si>
  <si>
    <t xml:space="preserve">CTGCAGTCCGCGACGGCTCA</t>
  </si>
  <si>
    <t xml:space="preserve">TAGTCTGCAGTCCGCGACGGCTCA</t>
  </si>
  <si>
    <t xml:space="preserve">AAACTGAGCCGTCGCGGACTGCAG</t>
  </si>
  <si>
    <t xml:space="preserve">PST_1005</t>
  </si>
  <si>
    <t xml:space="preserve">CTGCAGGATGAGGGGAAGCA</t>
  </si>
  <si>
    <t xml:space="preserve">TAGTCTGCAGGATGAGGGGAAGCA</t>
  </si>
  <si>
    <t xml:space="preserve">AAACTGCTTCCCCTCATCCTGCAG</t>
  </si>
  <si>
    <t xml:space="preserve">CACCGGAGCGGTAACGCTCA</t>
  </si>
  <si>
    <t xml:space="preserve">TAGTCACCGGAGCGGTAACGCTCA</t>
  </si>
  <si>
    <t xml:space="preserve">AAACTGAGCGTTACCGCTCCGGTG</t>
  </si>
  <si>
    <t xml:space="preserve">CGCGACGCCGAGAAACAGCA</t>
  </si>
  <si>
    <t xml:space="preserve">TAGTCGCGACGCCGAGAAACAGCA</t>
  </si>
  <si>
    <t xml:space="preserve">AAACTGCTGTTTCTCGGCGTCGCG</t>
  </si>
  <si>
    <t xml:space="preserve">ATGCCGAGTCGATCCAGCCG</t>
  </si>
  <si>
    <t xml:space="preserve">TAGTATGCCGAGTCGATCCAGCCG</t>
  </si>
  <si>
    <t xml:space="preserve">AAACCGGCTGGATCGACTCGGCAT</t>
  </si>
  <si>
    <t xml:space="preserve">PST_1006</t>
  </si>
  <si>
    <t xml:space="preserve">AAATGCCATGAAAGATTTCC</t>
  </si>
  <si>
    <t xml:space="preserve">TAGTAAATGCCATGAAAGATTTCC</t>
  </si>
  <si>
    <t xml:space="preserve">AAACGGAAATCTTTCATGGCATTT</t>
  </si>
  <si>
    <t xml:space="preserve">CGCGTCAGCGACCGGTTCGA</t>
  </si>
  <si>
    <t xml:space="preserve">TAGTCGCGTCAGCGACCGGTTCGA</t>
  </si>
  <si>
    <t xml:space="preserve">AAACTCGAACCGGTCGCTGACGCG</t>
  </si>
  <si>
    <t xml:space="preserve">GCCGCCGCAGATTCACCACG</t>
  </si>
  <si>
    <t xml:space="preserve">TAGTGCCGCCGCAGATTCACCACG</t>
  </si>
  <si>
    <t xml:space="preserve">AAACCGTGGTGAATCTGCGGCGGC</t>
  </si>
  <si>
    <t xml:space="preserve">CCCAGCACCAGAACAAGGCC</t>
  </si>
  <si>
    <t xml:space="preserve">TAGTCCCAGCACCAGAACAAGGCC</t>
  </si>
  <si>
    <t xml:space="preserve">AAACGGCCTTGTTCTGGTGCTGGG</t>
  </si>
  <si>
    <t xml:space="preserve">PST_1007</t>
  </si>
  <si>
    <t xml:space="preserve">CGTACCAGCTCGCGCGTGGA</t>
  </si>
  <si>
    <t xml:space="preserve">TAGTCGTACCAGCTCGCGCGTGGA</t>
  </si>
  <si>
    <t xml:space="preserve">AAACTCCACGCGCGAGCTGGTACG</t>
  </si>
  <si>
    <t xml:space="preserve">TGCTGCCTGCAGCCGATGTT</t>
  </si>
  <si>
    <t xml:space="preserve">TAGTTGCTGCCTGCAGCCGATGTT</t>
  </si>
  <si>
    <t xml:space="preserve">AAACAACATCGGCTGCAGGCAGCA</t>
  </si>
  <si>
    <t xml:space="preserve">AAAGCAAGGCGAGGATGATC</t>
  </si>
  <si>
    <t xml:space="preserve">TAGTAAAGCAAGGCGAGGATGATC</t>
  </si>
  <si>
    <t xml:space="preserve">AAACGATCATCCTCGCCTTGCTTT</t>
  </si>
  <si>
    <t xml:space="preserve">CACTTCGATCTGCCGCGCCT</t>
  </si>
  <si>
    <t xml:space="preserve">TAGTCACTTCGATCTGCCGCGCCT</t>
  </si>
  <si>
    <t xml:space="preserve">AAACAGGCGCGGCAGATCGAAGTG</t>
  </si>
  <si>
    <t xml:space="preserve">PST_1008</t>
  </si>
  <si>
    <t xml:space="preserve">TCAATGGTGACGCGCGCCAC</t>
  </si>
  <si>
    <t xml:space="preserve">TAGTTCAATGGTGACGCGCGCCAC</t>
  </si>
  <si>
    <t xml:space="preserve">AAACGTGGCGCGCGTCACCATTGA</t>
  </si>
  <si>
    <t xml:space="preserve">CGGAGATCAGGCTGGAAAAC</t>
  </si>
  <si>
    <t xml:space="preserve">TAGTCGGAGATCAGGCTGGAAAAC</t>
  </si>
  <si>
    <t xml:space="preserve">AAACGTTTTCCAGCCTGATCTCCG</t>
  </si>
  <si>
    <t xml:space="preserve">GCCGACGAGCGACAGGTTGC</t>
  </si>
  <si>
    <t xml:space="preserve">TAGTGCCGACGAGCGACAGGTTGC</t>
  </si>
  <si>
    <t xml:space="preserve">AAACGCAACCTGTCGCTCGTCGGC</t>
  </si>
  <si>
    <t xml:space="preserve">GGCTGTGGGTGCCGGCCTTG</t>
  </si>
  <si>
    <t xml:space="preserve">TAGTGGCTGTGGGTGCCGGCCTTG</t>
  </si>
  <si>
    <t xml:space="preserve">AAACCAAGGCCGGCACCCACAGCC</t>
  </si>
  <si>
    <t xml:space="preserve">PST_1009</t>
  </si>
  <si>
    <t xml:space="preserve">GCCGGCAATGAGATAGACGA</t>
  </si>
  <si>
    <t xml:space="preserve">TAGTGCCGGCAATGAGATAGACGA</t>
  </si>
  <si>
    <t xml:space="preserve">AAACTCGTCTATCTCATTGCCGGC</t>
  </si>
  <si>
    <t xml:space="preserve">GCGTACCAGTACCTCCGCGC</t>
  </si>
  <si>
    <t xml:space="preserve">TAGTGCGTACCAGTACCTCCGCGC</t>
  </si>
  <si>
    <t xml:space="preserve">AAACGCGCGGAGGTACTGGTACGC</t>
  </si>
  <si>
    <t xml:space="preserve">CGGCGAAATGCCGAACTGCG</t>
  </si>
  <si>
    <t xml:space="preserve">TAGTCGGCGAAATGCCGAACTGCG</t>
  </si>
  <si>
    <t xml:space="preserve">AAACCGCAGTTCGGCATTTCGCCG</t>
  </si>
  <si>
    <t xml:space="preserve">ACGGTCAGACCGATGACCAG</t>
  </si>
  <si>
    <t xml:space="preserve">TAGTACGGTCAGACCGATGACCAG</t>
  </si>
  <si>
    <t xml:space="preserve">AAACCTGGTCATCGGTCTGACCGT</t>
  </si>
  <si>
    <t xml:space="preserve">PST_1010</t>
  </si>
  <si>
    <t xml:space="preserve">GCCGCCGATGAGGTAGGCGA</t>
  </si>
  <si>
    <t xml:space="preserve">TAGTGCCGCCGATGAGGTAGGCGA</t>
  </si>
  <si>
    <t xml:space="preserve">AAACTCGCCTACCTCATCGGCGGC</t>
  </si>
  <si>
    <t xml:space="preserve">GGCGCCGCGGACCAGCGCTT</t>
  </si>
  <si>
    <t xml:space="preserve">TAGTGGCGCCGCGGACCAGCGCTT</t>
  </si>
  <si>
    <t xml:space="preserve">AAACAAGCGCTGGTCCGCGGCGCC</t>
  </si>
  <si>
    <t xml:space="preserve">AAAGCGGCTGGCCAGTCGGG</t>
  </si>
  <si>
    <t xml:space="preserve">TAGTAAAGCGGCTGGCCAGTCGGG</t>
  </si>
  <si>
    <t xml:space="preserve">AAACCCCGACTGGCCAGCCGCTTT</t>
  </si>
  <si>
    <t xml:space="preserve">GTCAGCCCGATGATCAGCGG</t>
  </si>
  <si>
    <t xml:space="preserve">TAGTGTCAGCCCGATGATCAGCGG</t>
  </si>
  <si>
    <t xml:space="preserve">AAACCCGCTGATCATCGGGCTGAC</t>
  </si>
  <si>
    <t xml:space="preserve">PST_1011</t>
  </si>
  <si>
    <t xml:space="preserve">GGCTCGATGCGGCGACGCCA</t>
  </si>
  <si>
    <t xml:space="preserve">TAGTGGCTCGATGCGGCGACGCCA</t>
  </si>
  <si>
    <t xml:space="preserve">AAACTGGCGTCGCCGCATCGAGCC</t>
  </si>
  <si>
    <t xml:space="preserve">CGAAGTTCGGGCAGCGCCGA</t>
  </si>
  <si>
    <t xml:space="preserve">TAGTCGAAGTTCGGGCAGCGCCGA</t>
  </si>
  <si>
    <t xml:space="preserve">AAACTCGGCGCTGCCCGAACTTCG</t>
  </si>
  <si>
    <t xml:space="preserve">GCGAAAGCCCGCGGCAGGCA</t>
  </si>
  <si>
    <t xml:space="preserve">TAGTGCGAAAGCCCGCGGCAGGCA</t>
  </si>
  <si>
    <t xml:space="preserve">AAACTGCCTGCCGCGGGCTTTCGC</t>
  </si>
  <si>
    <t xml:space="preserve">CGTTGGGTCGATCGCTCGAG</t>
  </si>
  <si>
    <t xml:space="preserve">TAGTCGTTGGGTCGATCGCTCGAG</t>
  </si>
  <si>
    <t xml:space="preserve">AAACCTCGAGCGATCGACCCAACG</t>
  </si>
  <si>
    <t xml:space="preserve">PST_1012</t>
  </si>
  <si>
    <t xml:space="preserve">gatB</t>
  </si>
  <si>
    <t xml:space="preserve">GCCGGAAAAGATCTTCGACT</t>
  </si>
  <si>
    <t xml:space="preserve">TAGTGCCGGAAAAGATCTTCGACT</t>
  </si>
  <si>
    <t xml:space="preserve">AAACAGTCGAAGATCTTTTCCGGC</t>
  </si>
  <si>
    <t xml:space="preserve">GGGCTCGGCGCCGAAGGTGG</t>
  </si>
  <si>
    <t xml:space="preserve">TAGTGGGCTCGGCGCCGAAGGTGG</t>
  </si>
  <si>
    <t xml:space="preserve">AAACCCACCTTCGGCGCCGAGCCC</t>
  </si>
  <si>
    <t xml:space="preserve">ACCAGGCTGGCCTGGGTGTT</t>
  </si>
  <si>
    <t xml:space="preserve">TAGTACCAGGCTGGCCTGGGTGTT</t>
  </si>
  <si>
    <t xml:space="preserve">AAACAACACCCAGGCCAGCCTGGT</t>
  </si>
  <si>
    <t xml:space="preserve">GCAGGGTGCCGGGCATGCCG</t>
  </si>
  <si>
    <t xml:space="preserve">TAGTGCAGGGTGCCGGGCATGCCG</t>
  </si>
  <si>
    <t xml:space="preserve">AAACCGGCATGCCCGGCACCCTGC</t>
  </si>
  <si>
    <t xml:space="preserve">PST_1013</t>
  </si>
  <si>
    <t xml:space="preserve">gatA</t>
  </si>
  <si>
    <t xml:space="preserve">GAGCGTCAGGTTGTGCATGG</t>
  </si>
  <si>
    <t xml:space="preserve">TAGTGAGCGTCAGGTTGTGCATGG</t>
  </si>
  <si>
    <t xml:space="preserve">AAACCCATGCACAACCTGACGCTC</t>
  </si>
  <si>
    <t xml:space="preserve">CGCGAGGTTGCGGGCAATCT</t>
  </si>
  <si>
    <t xml:space="preserve">TAGTCGCGAGGTTGCGGGCAATCT</t>
  </si>
  <si>
    <t xml:space="preserve">AAACAGATTGCCCGCAACCTCGCG</t>
  </si>
  <si>
    <t xml:space="preserve">CAGGGTGCGTGTCAGCTCTT</t>
  </si>
  <si>
    <t xml:space="preserve">TAGTCAGGGTGCGTGTCAGCTCTT</t>
  </si>
  <si>
    <t xml:space="preserve">AAACAAGAGCTGACACGCACCCTG</t>
  </si>
  <si>
    <t xml:space="preserve">TGATGAAGCTGTTCAGTTGC</t>
  </si>
  <si>
    <t xml:space="preserve">TAGTTGATGAAGCTGTTCAGTTGC</t>
  </si>
  <si>
    <t xml:space="preserve">AAACGCAACTGAACAGCTTCATCA</t>
  </si>
  <si>
    <t xml:space="preserve">PST_1014</t>
  </si>
  <si>
    <t xml:space="preserve">gatC</t>
  </si>
  <si>
    <t xml:space="preserve">CGCGGGTTTGGCCGCAGCAA</t>
  </si>
  <si>
    <t xml:space="preserve">TAGTCGCGGGTTTGGCCGCAGCAA</t>
  </si>
  <si>
    <t xml:space="preserve">AAACTTGCTGCGGCCAAACCCGCG</t>
  </si>
  <si>
    <t xml:space="preserve">TCGATTGACGGGGCGCGTGG</t>
  </si>
  <si>
    <t xml:space="preserve">TAGTTCGATTGACGGGGCGCGTGG</t>
  </si>
  <si>
    <t xml:space="preserve">AAACCCACGCGCCCCGTCAATCGA</t>
  </si>
  <si>
    <t xml:space="preserve">TCTCCAGCGGAAAGCGAATC</t>
  </si>
  <si>
    <t xml:space="preserve">TAGTTCTCCAGCGGAAAGCGAATC</t>
  </si>
  <si>
    <t xml:space="preserve">AAACGATTCGCTTTCCGCTGGAGA</t>
  </si>
  <si>
    <t xml:space="preserve">CGGTGCGTTCAAGCGCCATC</t>
  </si>
  <si>
    <t xml:space="preserve">TAGTCGGTGCGTTCAAGCGCCATC</t>
  </si>
  <si>
    <t xml:space="preserve">AAACGATGGCGCTTGAACGCACCG</t>
  </si>
  <si>
    <t xml:space="preserve">PST_1015</t>
  </si>
  <si>
    <t xml:space="preserve">mreB</t>
  </si>
  <si>
    <t xml:space="preserve">AACATGGGAAAAGGGCCCTG</t>
  </si>
  <si>
    <t xml:space="preserve">TAGTAACATGGGAAAAGGGCCCTG</t>
  </si>
  <si>
    <t xml:space="preserve">AAACCAGGGCCCTTTTCCCATGTT</t>
  </si>
  <si>
    <t xml:space="preserve">CAGGTCGATCGACAGATCAC</t>
  </si>
  <si>
    <t xml:space="preserve">TAGTCAGGTCGATCGACAGATCAC</t>
  </si>
  <si>
    <t xml:space="preserve">AAACGTGATCTGTCGATCGACCTG</t>
  </si>
  <si>
    <t xml:space="preserve">GCGCACATAAATAAGGGTAT</t>
  </si>
  <si>
    <t xml:space="preserve">TAGTGCGCACATAAATAAGGGTAT</t>
  </si>
  <si>
    <t xml:space="preserve">AAACATACCCTTATTTATGTGCGC</t>
  </si>
  <si>
    <t xml:space="preserve">CTACGGATGGCGACCACCGA</t>
  </si>
  <si>
    <t xml:space="preserve">TAGTCTACGGATGGCGACCACCGA</t>
  </si>
  <si>
    <t xml:space="preserve">AAACTCGGTGGTCGCCATCCGTAG</t>
  </si>
  <si>
    <t xml:space="preserve">PST_1016</t>
  </si>
  <si>
    <t xml:space="preserve">mreC</t>
  </si>
  <si>
    <t xml:space="preserve">GGTCTTCAGCGCGTCGAAGC</t>
  </si>
  <si>
    <t xml:space="preserve">TAGTGGTCTTCAGCGCGTCGAAGC</t>
  </si>
  <si>
    <t xml:space="preserve">AAACGCTTCGACGCGCTGAAGACC</t>
  </si>
  <si>
    <t xml:space="preserve">CAGGCCCATCTGGCTGCGGA</t>
  </si>
  <si>
    <t xml:space="preserve">TAGTCAGGCCCATCTGGCTGCGGA</t>
  </si>
  <si>
    <t xml:space="preserve">AAACTCCGCAGCCAGATGGGCCTG</t>
  </si>
  <si>
    <t xml:space="preserve">ATATCGGCGACCCAGTAGAA</t>
  </si>
  <si>
    <t xml:space="preserve">TAGTATATCGGCGACCCAGTAGAA</t>
  </si>
  <si>
    <t xml:space="preserve">AAACTTCTACTGGGTCGCCGATAT</t>
  </si>
  <si>
    <t xml:space="preserve">GCCCCGCGCCAGATACGCAC</t>
  </si>
  <si>
    <t xml:space="preserve">TAGTGCCCCGCGCCAGATACGCAC</t>
  </si>
  <si>
    <t xml:space="preserve">AAACGTGCGTATCTGGCGCGGGGC</t>
  </si>
  <si>
    <t xml:space="preserve">PST_1017</t>
  </si>
  <si>
    <t xml:space="preserve">mreD</t>
  </si>
  <si>
    <t xml:space="preserve">CAGATGACCCAACCGTTGTT</t>
  </si>
  <si>
    <t xml:space="preserve">TAGTCAGATGACCCAACCGTTGTT</t>
  </si>
  <si>
    <t xml:space="preserve">AAACAACAACGGTTGGGTCATCTG</t>
  </si>
  <si>
    <t xml:space="preserve">ATTTCCGCACTGCCGGGCAT</t>
  </si>
  <si>
    <t xml:space="preserve">TAGTATTTCCGCACTGCCGGGCAT</t>
  </si>
  <si>
    <t xml:space="preserve">AAACATGCCCGGCAGTGCGGAAAT</t>
  </si>
  <si>
    <t xml:space="preserve">GAGGCCCAGCCACAACGGCC</t>
  </si>
  <si>
    <t xml:space="preserve">TAGTGAGGCCCAGCCACAACGGCC</t>
  </si>
  <si>
    <t xml:space="preserve">AAACGGCCGTTGTGGCTGGGCCTC</t>
  </si>
  <si>
    <t xml:space="preserve">CGGCAACGTCAGCGACCAGA</t>
  </si>
  <si>
    <t xml:space="preserve">TAGTCGGCAACGTCAGCGACCAGA</t>
  </si>
  <si>
    <t xml:space="preserve">AAACTCTGGTCGCTGACGTTGCCG</t>
  </si>
  <si>
    <t xml:space="preserve">PST_1018</t>
  </si>
  <si>
    <t xml:space="preserve">AGCGCGAGTGCCTTCGGCCT</t>
  </si>
  <si>
    <t xml:space="preserve">TAGTAGCGCGAGTGCCTTCGGCCT</t>
  </si>
  <si>
    <t xml:space="preserve">AAACAGGCCGAAGGCACTCGCGCT</t>
  </si>
  <si>
    <t xml:space="preserve">CTGCGGGGCAGCGTCGGCCT</t>
  </si>
  <si>
    <t xml:space="preserve">TAGTCTGCGGGGCAGCGTCGGCCT</t>
  </si>
  <si>
    <t xml:space="preserve">AAACAGGCCGACGCTGCCCCGCAG</t>
  </si>
  <si>
    <t xml:space="preserve">AGATTCGGGTGCCGCCGGGG</t>
  </si>
  <si>
    <t xml:space="preserve">TAGTAGATTCGGGTGCCGCCGGGG</t>
  </si>
  <si>
    <t xml:space="preserve">AAACCCCCGGCGGCACCCGAATCT</t>
  </si>
  <si>
    <t xml:space="preserve">GCGGAGGTACCGCCCGCAGC</t>
  </si>
  <si>
    <t xml:space="preserve">TAGTGCGGAGGTACCGCCCGCAGC</t>
  </si>
  <si>
    <t xml:space="preserve">AAACGCTGCGGGCGGTACCTCCGC</t>
  </si>
  <si>
    <t xml:space="preserve">PST_1019</t>
  </si>
  <si>
    <t xml:space="preserve">maf-2</t>
  </si>
  <si>
    <t xml:space="preserve">GGCAAGAAACAAAGCGCCCA</t>
  </si>
  <si>
    <t xml:space="preserve">TAGTGGCAAGAAACAAAGCGCCCA</t>
  </si>
  <si>
    <t xml:space="preserve">AAACTGGGCGCTTTGTTTCTTGCC</t>
  </si>
  <si>
    <t xml:space="preserve">GCGGCGACGGGGTGATGCCG</t>
  </si>
  <si>
    <t xml:space="preserve">TAGTGCGGCGACGGGGTGATGCCG</t>
  </si>
  <si>
    <t xml:space="preserve">AAACCGGCATCACCCCGTCGCCGC</t>
  </si>
  <si>
    <t xml:space="preserve">GATACGCTGAGCAGGGAAAA</t>
  </si>
  <si>
    <t xml:space="preserve">TAGTGATACGCTGAGCAGGGAAAA</t>
  </si>
  <si>
    <t xml:space="preserve">AAACTTTTCCCTGCTCAGCGTATC</t>
  </si>
  <si>
    <t xml:space="preserve">CGGTGATGGCGTCTCGTCGA</t>
  </si>
  <si>
    <t xml:space="preserve">TAGTCGGTGATGGCGTCTCGTCGA</t>
  </si>
  <si>
    <t xml:space="preserve">AAACTCGACGAGACGCCATCACCG</t>
  </si>
  <si>
    <t xml:space="preserve">PST_1020</t>
  </si>
  <si>
    <t xml:space="preserve">cafA</t>
  </si>
  <si>
    <t xml:space="preserve">CCATGGGGGTGATGTTCATC</t>
  </si>
  <si>
    <t xml:space="preserve">TAGTCCATGGGGGTGATGTTCATC</t>
  </si>
  <si>
    <t xml:space="preserve">AAACGATGAACATCACCCCCATGG</t>
  </si>
  <si>
    <t xml:space="preserve">AGATATTGCCAACGATGCCA</t>
  </si>
  <si>
    <t xml:space="preserve">TAGTAGATATTGCCAACGATGCCA</t>
  </si>
  <si>
    <t xml:space="preserve">AAACTGGCATCGTTGGCAATATCT</t>
  </si>
  <si>
    <t xml:space="preserve">ACGAAGGCCGCCTGCATGCC</t>
  </si>
  <si>
    <t xml:space="preserve">TAGTACGAAGGCCGCCTGCATGCC</t>
  </si>
  <si>
    <t xml:space="preserve">AAACGGCATGCAGGCGGCCTTCGT</t>
  </si>
  <si>
    <t xml:space="preserve">AGGCGTGGATGAACGCCGCG</t>
  </si>
  <si>
    <t xml:space="preserve">TAGTAGGCGTGGATGAACGCCGCG</t>
  </si>
  <si>
    <t xml:space="preserve">AAACCGCGGCGTTCATCCACGCCT</t>
  </si>
  <si>
    <t xml:space="preserve">PST_1021</t>
  </si>
  <si>
    <t xml:space="preserve">TGACGAGAAAGGCGGCGAGG</t>
  </si>
  <si>
    <t xml:space="preserve">TAGTTGACGAGAAAGGCGGCGAGG</t>
  </si>
  <si>
    <t xml:space="preserve">AAACCCTCGCCGCCTTTCTCGTCA</t>
  </si>
  <si>
    <t xml:space="preserve">ACGCGGCCACCCAGAACAAC</t>
  </si>
  <si>
    <t xml:space="preserve">TAGTACGCGGCCACCCAGAACAAC</t>
  </si>
  <si>
    <t xml:space="preserve">AAACGTTGTTCTGGGTGGCCGCGT</t>
  </si>
  <si>
    <t xml:space="preserve">CATAAAGCGCAGCCAGAATC</t>
  </si>
  <si>
    <t xml:space="preserve">TAGTCATAAAGCGCAGCCAGAATC</t>
  </si>
  <si>
    <t xml:space="preserve">AAACGATTCTGGCTGCGCTTTATG</t>
  </si>
  <si>
    <t xml:space="preserve">GCGGCACCAGCTGCCGGCCC</t>
  </si>
  <si>
    <t xml:space="preserve">TAGTGCGGCACCAGCTGCCGGCCC</t>
  </si>
  <si>
    <t xml:space="preserve">AAACGGGCCGGCAGCTGGTGCCGC</t>
  </si>
  <si>
    <t xml:space="preserve">PST_1022</t>
  </si>
  <si>
    <t xml:space="preserve">TGAATCACGGCTAAGGACAT</t>
  </si>
  <si>
    <t xml:space="preserve">TAGTTGAATCACGGCTAAGGACAT</t>
  </si>
  <si>
    <t xml:space="preserve">AAACATGTCCTTAGCCGTGATTCA</t>
  </si>
  <si>
    <t xml:space="preserve">GTGCGCGACCTCGGCCCCGG</t>
  </si>
  <si>
    <t xml:space="preserve">TAGTGTGCGCGACCTCGGCCCCGG</t>
  </si>
  <si>
    <t xml:space="preserve">AAACCCGGGGCCGAGGTCGCGCAC</t>
  </si>
  <si>
    <t xml:space="preserve">GCAATTGGCGCGCCCGGGCC</t>
  </si>
  <si>
    <t xml:space="preserve">TAGTGCAATTGGCGCGCCCGGGCC</t>
  </si>
  <si>
    <t xml:space="preserve">AAACGGCCCGGGCGCGCCAATTGC</t>
  </si>
  <si>
    <t xml:space="preserve">CAGCACCGCCAGACGCGCAC</t>
  </si>
  <si>
    <t xml:space="preserve">TAGTCAGCACCGCCAGACGCGCAC</t>
  </si>
  <si>
    <t xml:space="preserve">AAACGTGCGCGTCTGGCGGTGCTG</t>
  </si>
  <si>
    <t xml:space="preserve">PST_1023</t>
  </si>
  <si>
    <t xml:space="preserve">GTCAGCAGTCGCTCGGTGAC</t>
  </si>
  <si>
    <t xml:space="preserve">TAGTGTCAGCAGTCGCTCGGTGAC</t>
  </si>
  <si>
    <t xml:space="preserve">AAACGTCACCGAGCGACTGCTGAC</t>
  </si>
  <si>
    <t xml:space="preserve">GTCGAGTCCCAGACCTCCGG</t>
  </si>
  <si>
    <t xml:space="preserve">TAGTGTCGAGTCCCAGACCTCCGG</t>
  </si>
  <si>
    <t xml:space="preserve">AAACCCGGAGGTCTGGGACTCGAC</t>
  </si>
  <si>
    <t xml:space="preserve">GCGAGCTCACCCAGCAAACC</t>
  </si>
  <si>
    <t xml:space="preserve">TAGTGCGAGCTCACCCAGCAAACC</t>
  </si>
  <si>
    <t xml:space="preserve">AAACGGTTTGCTGGGTGAGCTCGC</t>
  </si>
  <si>
    <t xml:space="preserve">CGCGGCATCCACGCCGGGGC</t>
  </si>
  <si>
    <t xml:space="preserve">TAGTCGCGGCATCCACGCCGGGGC</t>
  </si>
  <si>
    <t xml:space="preserve">AAACGCCCCGGCGTGGATGCCGCG</t>
  </si>
  <si>
    <t xml:space="preserve">PST_1025</t>
  </si>
  <si>
    <t xml:space="preserve">ATCTTGCGGCTGGCAGCCGG</t>
  </si>
  <si>
    <t xml:space="preserve">TAGTATCTTGCGGCTGGCAGCCGG</t>
  </si>
  <si>
    <t xml:space="preserve">AAACCCGGCTGCCAGCCGCAAGAT</t>
  </si>
  <si>
    <t xml:space="preserve">GCTTGGTCTCGTCCAGGTCG</t>
  </si>
  <si>
    <t xml:space="preserve">TAGTGCTTGGTCTCGTCCAGGTCG</t>
  </si>
  <si>
    <t xml:space="preserve">AAACCGACCTGGACGAGACCAAGC</t>
  </si>
  <si>
    <t xml:space="preserve">PST_1024</t>
  </si>
  <si>
    <t xml:space="preserve">ATCATGGCGGCATTTCCTAG</t>
  </si>
  <si>
    <t xml:space="preserve">TAGTATCATGGCGGCATTTCCTAG</t>
  </si>
  <si>
    <t xml:space="preserve">AAACCTAGGAAATGCCGCCATGAT</t>
  </si>
  <si>
    <t xml:space="preserve">CAGTCTGGAGCCTGCTGCCA</t>
  </si>
  <si>
    <t xml:space="preserve">TAGTCAGTCTGGAGCCTGCTGCCA</t>
  </si>
  <si>
    <t xml:space="preserve">AAACTGGCAGCAGGCTCCAGACTG</t>
  </si>
  <si>
    <t xml:space="preserve">PST_1026</t>
  </si>
  <si>
    <t xml:space="preserve">pmbA</t>
  </si>
  <si>
    <t xml:space="preserve">CGCAAACCGGGCAGCGCATG</t>
  </si>
  <si>
    <t xml:space="preserve">TAGTCGCAAACCGGGCAGCGCATG</t>
  </si>
  <si>
    <t xml:space="preserve">AAACCATGCGCTGCCCGGTTTGCG</t>
  </si>
  <si>
    <t xml:space="preserve">GACAGAGACCTCGCTGGCGC</t>
  </si>
  <si>
    <t xml:space="preserve">TAGTGACAGAGACCTCGCTGGCGC</t>
  </si>
  <si>
    <t xml:space="preserve">AAACGCGCCAGCGAGGTCTCTGTC</t>
  </si>
  <si>
    <t xml:space="preserve">CGTGGACAGCCCCTGCTCCA</t>
  </si>
  <si>
    <t xml:space="preserve">TAGTCGTGGACAGCCCCTGCTCCA</t>
  </si>
  <si>
    <t xml:space="preserve">AAACTGGAGCAGGGGCTGTCCACG</t>
  </si>
  <si>
    <t xml:space="preserve">CGACCGTTTCCACTTCACCC</t>
  </si>
  <si>
    <t xml:space="preserve">TAGTCGACCGTTTCCACTTCACCC</t>
  </si>
  <si>
    <t xml:space="preserve">AAACGGGTGAAGTGGAAACGGTCG</t>
  </si>
  <si>
    <t xml:space="preserve">PST_1027</t>
  </si>
  <si>
    <t xml:space="preserve">ptsO</t>
  </si>
  <si>
    <t xml:space="preserve">GTGACTTCGCGGGCGGGCAT</t>
  </si>
  <si>
    <t xml:space="preserve">TAGTGTGACTTCGCGGGCGGGCAT</t>
  </si>
  <si>
    <t xml:space="preserve">AAACATGCCCGCCCGCGAAGTCAC</t>
  </si>
  <si>
    <t xml:space="preserve">CAGGCCAAGCTTGTTGATGA</t>
  </si>
  <si>
    <t xml:space="preserve">TAGTCAGGCCAAGCTTGTTGATGA</t>
  </si>
  <si>
    <t xml:space="preserve">AAACTCATCAACAAGCTTGGCCTG</t>
  </si>
  <si>
    <t xml:space="preserve">GTTGGCGACGGCGACGAACT</t>
  </si>
  <si>
    <t xml:space="preserve">TAGTGTTGGCGACGGCGACGAACT</t>
  </si>
  <si>
    <t xml:space="preserve">AAACAGTTCGTCGCCGTCGCCAAC</t>
  </si>
  <si>
    <t xml:space="preserve">CCCGGATCTTGCAGGGGAAG</t>
  </si>
  <si>
    <t xml:space="preserve">TAGTCCCGGATCTTGCAGGGGAAG</t>
  </si>
  <si>
    <t xml:space="preserve">AAACCTTCCCCTGCAAGATCCGGG</t>
  </si>
  <si>
    <t xml:space="preserve">PST_1028</t>
  </si>
  <si>
    <t xml:space="preserve">GTCTTCGAGTACGTTCAGCG</t>
  </si>
  <si>
    <t xml:space="preserve">TAGTGTCTTCGAGTACGTTCAGCG</t>
  </si>
  <si>
    <t xml:space="preserve">AAACCGCTGAACGTACTCGAAGAC</t>
  </si>
  <si>
    <t xml:space="preserve">AGCTCGGGCAGCAGGCCAGC</t>
  </si>
  <si>
    <t xml:space="preserve">TAGTAGCTCGGGCAGCAGGCCAGC</t>
  </si>
  <si>
    <t xml:space="preserve">AAACGCTGGCCTGCTGCCCGAGCT</t>
  </si>
  <si>
    <t xml:space="preserve">CAGCAGTTCGGTGTGCAGCA</t>
  </si>
  <si>
    <t xml:space="preserve">TAGTCAGCAGTTCGGTGTGCAGCA</t>
  </si>
  <si>
    <t xml:space="preserve">AAACTGCTGCACACCGAACTGCTG</t>
  </si>
  <si>
    <t xml:space="preserve">CGATCGACACGGCAACCTGT</t>
  </si>
  <si>
    <t xml:space="preserve">TAGTCGATCGACACGGCAACCTGT</t>
  </si>
  <si>
    <t xml:space="preserve">AAACACAGGTTGCCGTGTCGATCG</t>
  </si>
  <si>
    <t xml:space="preserve">PST_1029</t>
  </si>
  <si>
    <t xml:space="preserve">ptsN</t>
  </si>
  <si>
    <t xml:space="preserve">GGGTCAGGATGTTTTCGAGT</t>
  </si>
  <si>
    <t xml:space="preserve">TAGTGGGTCAGGATGTTTTCGAGT</t>
  </si>
  <si>
    <t xml:space="preserve">AAACACTCGAAAACATCCTGACCC</t>
  </si>
  <si>
    <t xml:space="preserve">GTTCACCAGGGAACGTCCGG</t>
  </si>
  <si>
    <t xml:space="preserve">TAGTGTTCACCAGGGAACGTCCGG</t>
  </si>
  <si>
    <t xml:space="preserve">AAACCCGGACGTTCCCTGGTGAAC</t>
  </si>
  <si>
    <t xml:space="preserve">CGCGCTTCTTGCTACCGCCC</t>
  </si>
  <si>
    <t xml:space="preserve">TAGTCGCGCTTCTTGCTACCGCCC</t>
  </si>
  <si>
    <t xml:space="preserve">AAACGGGCGGTAGCAAGAAGCGCG</t>
  </si>
  <si>
    <t xml:space="preserve">TCACCTTGGCGATCTGCTCC</t>
  </si>
  <si>
    <t xml:space="preserve">TAGTTCACCTTGGCGATCTGCTCC</t>
  </si>
  <si>
    <t xml:space="preserve">AAACGGAGCAGATCGCCAAGGTGA</t>
  </si>
  <si>
    <t xml:space="preserve">PST_1030</t>
  </si>
  <si>
    <t xml:space="preserve">rpoX</t>
  </si>
  <si>
    <t xml:space="preserve">GATGTAGTCACGCAGGGCAT</t>
  </si>
  <si>
    <t xml:space="preserve">TAGTGATGTAGTCACGCAGGGCAT</t>
  </si>
  <si>
    <t xml:space="preserve">AAACATGCCCTGCGTGACTACATC</t>
  </si>
  <si>
    <t xml:space="preserve">GGTCGAAATGACGGGCCAGT</t>
  </si>
  <si>
    <t xml:space="preserve">TAGTGGTCGAAATGACGGGCCAGT</t>
  </si>
  <si>
    <t xml:space="preserve">AAACACTGGCCCGTCATTTCGACC</t>
  </si>
  <si>
    <t xml:space="preserve">CCACTTGGACGCTGATGATG</t>
  </si>
  <si>
    <t xml:space="preserve">TAGTCCACTTGGACGCTGATGATG</t>
  </si>
  <si>
    <t xml:space="preserve">AAACCATCATCAGCGTCCAAGTGG</t>
  </si>
  <si>
    <t xml:space="preserve">GCTTGAGTTTCTCGACCTGC</t>
  </si>
  <si>
    <t xml:space="preserve">TAGTGCTTGAGTTTCTCGACCTGC</t>
  </si>
  <si>
    <t xml:space="preserve">AAACGCAGGTCGAGAAACTCAAGC</t>
  </si>
  <si>
    <t xml:space="preserve">PST_1031</t>
  </si>
  <si>
    <t xml:space="preserve">rpoN</t>
  </si>
  <si>
    <t xml:space="preserve">TCCTCTTCACGCTCGAGCAT</t>
  </si>
  <si>
    <t xml:space="preserve">TAGTTCCTCTTCACGCTCGAGCAT</t>
  </si>
  <si>
    <t xml:space="preserve">AAACATGCTCGAGCGTGAAGAGGA</t>
  </si>
  <si>
    <t xml:space="preserve">CGATCGACGGCCTCGGCCAT</t>
  </si>
  <si>
    <t xml:space="preserve">TAGTCGATCGACGGCCTCGGCCAT</t>
  </si>
  <si>
    <t xml:space="preserve">AAACATGGCCGAGGCCGTCGATCG</t>
  </si>
  <si>
    <t xml:space="preserve">GCTGTGCGAAGGCTCTTCAT</t>
  </si>
  <si>
    <t xml:space="preserve">TAGTGCTGTGCGAAGGCTCTTCAT</t>
  </si>
  <si>
    <t xml:space="preserve">AAACATGAAGAGCCTTCGCACAGC</t>
  </si>
  <si>
    <t xml:space="preserve">CACCCCAGTCGGCCTCGTCG</t>
  </si>
  <si>
    <t xml:space="preserve">TAGTCACCCCAGTCGGCCTCGTCG</t>
  </si>
  <si>
    <t xml:space="preserve">AAACCGACGAGGCCGACTGGGGTG</t>
  </si>
  <si>
    <t xml:space="preserve">PST_1032</t>
  </si>
  <si>
    <t xml:space="preserve">TAGATGCTGGGCTTTGAGGA</t>
  </si>
  <si>
    <t xml:space="preserve">TAGTTAGATGCTGGGCTTTGAGGA</t>
  </si>
  <si>
    <t xml:space="preserve">AAACTCCTCAAAGCCCAGCATCTA</t>
  </si>
  <si>
    <t xml:space="preserve">CTGCCGGCTCTTGTAGCTCT</t>
  </si>
  <si>
    <t xml:space="preserve">TAGTCTGCCGGCTCTTGTAGCTCT</t>
  </si>
  <si>
    <t xml:space="preserve">AAACAGAGCTACAAGAGCCGGCAG</t>
  </si>
  <si>
    <t xml:space="preserve">TCTGCCCGCTCTCGATGGAC</t>
  </si>
  <si>
    <t xml:space="preserve">TAGTTCTGCCCGCTCTCGATGGAC</t>
  </si>
  <si>
    <t xml:space="preserve">AAACGTCCATCGAGAGCGGGCAGA</t>
  </si>
  <si>
    <t xml:space="preserve">CGGCGCCGTTCGGGCCAAGC</t>
  </si>
  <si>
    <t xml:space="preserve">TAGTCGGCGCCGTTCGGGCCAAGC</t>
  </si>
  <si>
    <t xml:space="preserve">AAACGCTTGGCCCGAACGGCGCCG</t>
  </si>
  <si>
    <t xml:space="preserve">PST_1033</t>
  </si>
  <si>
    <t xml:space="preserve">CGCTCAAACCGAGCAGGAGG</t>
  </si>
  <si>
    <t xml:space="preserve">TAGTCGCTCAAACCGAGCAGGAGG</t>
  </si>
  <si>
    <t xml:space="preserve">AAACCCTCCTGCTCGGTTTGAGCG</t>
  </si>
  <si>
    <t xml:space="preserve">ACGATCCTCGGGAAGCGCCC</t>
  </si>
  <si>
    <t xml:space="preserve">TAGTACGATCCTCGGGAAGCGCCC</t>
  </si>
  <si>
    <t xml:space="preserve">AAACGGGCGCTTCCCGAGGATCGT</t>
  </si>
  <si>
    <t xml:space="preserve">GAGTCAGCCTGTACGCGGAT</t>
  </si>
  <si>
    <t xml:space="preserve">TAGTGAGTCAGCCTGTACGCGGAT</t>
  </si>
  <si>
    <t xml:space="preserve">AAACATCCGCGTACAGGCTGACTC</t>
  </si>
  <si>
    <t xml:space="preserve">GCCCTGTCGGTCGTCCAGTT</t>
  </si>
  <si>
    <t xml:space="preserve">TAGTGCCCTGTCGGTCGTCCAGTT</t>
  </si>
  <si>
    <t xml:space="preserve">AAACAACTGGACGACCGACAGGGC</t>
  </si>
  <si>
    <t xml:space="preserve">PST_1034</t>
  </si>
  <si>
    <t xml:space="preserve">GTCTCGCCGCTGGCCACGGT</t>
  </si>
  <si>
    <t xml:space="preserve">TAGTGTCTCGCCGCTGGCCACGGT</t>
  </si>
  <si>
    <t xml:space="preserve">AAACACCGTGGCCAGCGGCGAGAC</t>
  </si>
  <si>
    <t xml:space="preserve">ATCACATAGAAATCCACATC</t>
  </si>
  <si>
    <t xml:space="preserve">TAGTATCACATAGAAATCCACATC</t>
  </si>
  <si>
    <t xml:space="preserve">AAACGATGTGGATTTCTATGTGAT</t>
  </si>
  <si>
    <t xml:space="preserve">GCTTGCCATCCGCCTGGTAC</t>
  </si>
  <si>
    <t xml:space="preserve">TAGTGCTTGCCATCCGCCTGGTAC</t>
  </si>
  <si>
    <t xml:space="preserve">AAACGTACCAGGCGGATGGCAAGC</t>
  </si>
  <si>
    <t xml:space="preserve">GATGTGTTCGACCTTCTCCG</t>
  </si>
  <si>
    <t xml:space="preserve">TAGTGATGTGTTCGACCTTCTCCG</t>
  </si>
  <si>
    <t xml:space="preserve">AAACCGGAGAAGGTCGAACACATC</t>
  </si>
  <si>
    <t xml:space="preserve">PST_1035</t>
  </si>
  <si>
    <t xml:space="preserve">CATCCACATCGAAGATTGCC</t>
  </si>
  <si>
    <t xml:space="preserve">TAGTCATCCACATCGAAGATTGCC</t>
  </si>
  <si>
    <t xml:space="preserve">AAACGGCAATCTTCGATGTGGATG</t>
  </si>
  <si>
    <t xml:space="preserve">GAGAAAGTACAGGCGACCGT</t>
  </si>
  <si>
    <t xml:space="preserve">TAGTGAGAAAGTACAGGCGACCGT</t>
  </si>
  <si>
    <t xml:space="preserve">AAACACGGTCGCCTGTACTTTCTC</t>
  </si>
  <si>
    <t xml:space="preserve">GGTTTTGAATTCGCTGCCGT</t>
  </si>
  <si>
    <t xml:space="preserve">TAGTGGTTTTGAATTCGCTGCCGT</t>
  </si>
  <si>
    <t xml:space="preserve">AAACACGGCAGCGAATTCAAAACC</t>
  </si>
  <si>
    <t xml:space="preserve">GTGGCCGTCCAGGGTGTTGA</t>
  </si>
  <si>
    <t xml:space="preserve">TAGTGTGGCCGTCCAGGGTGTTGA</t>
  </si>
  <si>
    <t xml:space="preserve">AAACTCAACACCCTGGACGGCCAC</t>
  </si>
  <si>
    <t xml:space="preserve">PST_1036</t>
  </si>
  <si>
    <t xml:space="preserve">CAGGCGAATGGTGCGCTGCG</t>
  </si>
  <si>
    <t xml:space="preserve">TAGTCAGGCGAATGGTGCGCTGCG</t>
  </si>
  <si>
    <t xml:space="preserve">AAACCGCAGCGCACCATTCGCCTG</t>
  </si>
  <si>
    <t xml:space="preserve">TTCGCAGGCTTGTACGAAGC</t>
  </si>
  <si>
    <t xml:space="preserve">TAGTTTCGCAGGCTTGTACGAAGC</t>
  </si>
  <si>
    <t xml:space="preserve">AAACGCTTCGTACAAGCCTGCGAA</t>
  </si>
  <si>
    <t xml:space="preserve">CACAACGACACGGCCCTTGC</t>
  </si>
  <si>
    <t xml:space="preserve">TAGTCACAACGACACGGCCCTTGC</t>
  </si>
  <si>
    <t xml:space="preserve">AAACGCAAGGGCCGTGTCGTTGTG</t>
  </si>
  <si>
    <t xml:space="preserve">GGTGCCGGTGCTGGCCAGGG</t>
  </si>
  <si>
    <t xml:space="preserve">TAGTGGTGCCGGTGCTGGCCAGGG</t>
  </si>
  <si>
    <t xml:space="preserve">AAACCCCTGGCCAGCACCGGCACC</t>
  </si>
  <si>
    <t xml:space="preserve">PST_1037</t>
  </si>
  <si>
    <t xml:space="preserve">ttg2A</t>
  </si>
  <si>
    <t xml:space="preserve">CTCGACCGCGTAGTCGTTGC</t>
  </si>
  <si>
    <t xml:space="preserve">TAGTCTCGACCGCGTAGTCGTTGC</t>
  </si>
  <si>
    <t xml:space="preserve">AAACGCAACGACTACGCGGTCGAG</t>
  </si>
  <si>
    <t xml:space="preserve">ACTGCGCTCGCCGCGCTTGA</t>
  </si>
  <si>
    <t xml:space="preserve">TAGTACTGCGCTCGCCGCGCTTGA</t>
  </si>
  <si>
    <t xml:space="preserve">AAACTCAAGCGCGGCGAGCGCAGT</t>
  </si>
  <si>
    <t xml:space="preserve">TGGCCGTGACCTTGCCTCGC</t>
  </si>
  <si>
    <t xml:space="preserve">TAGTTGGCCGTGACCTTGCCTCGC</t>
  </si>
  <si>
    <t xml:space="preserve">AAACGCGAGGCAAGGTCACGGCCA</t>
  </si>
  <si>
    <t xml:space="preserve">ACAGCCGGACGGCCCCATGA</t>
  </si>
  <si>
    <t xml:space="preserve">TAGTACAGCCGGACGGCCCCATGA</t>
  </si>
  <si>
    <t xml:space="preserve">AAACTCATGGGGCCGTCCGGCTGT</t>
  </si>
  <si>
    <t xml:space="preserve">PST_1038</t>
  </si>
  <si>
    <t xml:space="preserve">ttg2B</t>
  </si>
  <si>
    <t xml:space="preserve">CACGCCCGAGCAGGGCGATA</t>
  </si>
  <si>
    <t xml:space="preserve">TAGTCACGCCCGAGCAGGGCGATA</t>
  </si>
  <si>
    <t xml:space="preserve">AAACTATCGCCCTGCTCGGGCGTG</t>
  </si>
  <si>
    <t xml:space="preserve">CCAGCGCCGCCAGCACATCC</t>
  </si>
  <si>
    <t xml:space="preserve">TAGTCCAGCGCCGCCAGCACATCC</t>
  </si>
  <si>
    <t xml:space="preserve">AAACGGATGTGCTGGCGGCGCTGG</t>
  </si>
  <si>
    <t xml:space="preserve">GGCCAAACAGCGCATGAACG</t>
  </si>
  <si>
    <t xml:space="preserve">TAGTGGCCAAACAGCGCATGAACG</t>
  </si>
  <si>
    <t xml:space="preserve">AAACCGTTCATGCGCTGTTTGGCC</t>
  </si>
  <si>
    <t xml:space="preserve">AGCCGTTGCGCAAGCCGCTG</t>
  </si>
  <si>
    <t xml:space="preserve">TAGTAGCCGTTGCGCAAGCCGCTG</t>
  </si>
  <si>
    <t xml:space="preserve">AAACCAGCGGCTTGCGCAACGGCT</t>
  </si>
  <si>
    <t xml:space="preserve">PST_1039</t>
  </si>
  <si>
    <t xml:space="preserve">ttg2C</t>
  </si>
  <si>
    <t xml:space="preserve">CGACACCCATTTCCAGTGTG</t>
  </si>
  <si>
    <t xml:space="preserve">TAGTCGACACCCATTTCCAGTGTG</t>
  </si>
  <si>
    <t xml:space="preserve">AAACCACACTGGAAATGGGTGTCG</t>
  </si>
  <si>
    <t xml:space="preserve">GCAGGCCGGCAAGCAGGAAC</t>
  </si>
  <si>
    <t xml:space="preserve">TAGTGCAGGCCGGCAAGCAGGAAC</t>
  </si>
  <si>
    <t xml:space="preserve">AAACGTTCCTGCTTGCCGGCCTGC</t>
  </si>
  <si>
    <t xml:space="preserve">CGCGCAGCGACAGCAGCAGC</t>
  </si>
  <si>
    <t xml:space="preserve">TAGTCGCGCAGCGACAGCAGCAGC</t>
  </si>
  <si>
    <t xml:space="preserve">AAACGCTGCTGCTGTCGCTGCGCG</t>
  </si>
  <si>
    <t xml:space="preserve">GGCATACAGCTTGTAGGTAT</t>
  </si>
  <si>
    <t xml:space="preserve">TAGTGGCATACAGCTTGTAGGTAT</t>
  </si>
  <si>
    <t xml:space="preserve">AAACATACCTACAAGCTGTATGCC</t>
  </si>
  <si>
    <t xml:space="preserve">PST_1040</t>
  </si>
  <si>
    <t xml:space="preserve">ttg2D</t>
  </si>
  <si>
    <t xml:space="preserve">AACCAGCAGACCGCGACGCA</t>
  </si>
  <si>
    <t xml:space="preserve">TAGTAACCAGCAGACCGCGACGCA</t>
  </si>
  <si>
    <t xml:space="preserve">AAACTGCGTCGCGGTCTGCTGGTT</t>
  </si>
  <si>
    <t xml:space="preserve">ATGGGAGAACAGGGGCAACA</t>
  </si>
  <si>
    <t xml:space="preserve">TAGTATGGGAGAACAGGGGCAACA</t>
  </si>
  <si>
    <t xml:space="preserve">AAACTGTTGCCCCTGTTCTCCCAT</t>
  </si>
  <si>
    <t xml:space="preserve">CACCTGATGCGCGGTCAGCG</t>
  </si>
  <si>
    <t xml:space="preserve">TAGTCACCTGATGCGCGGTCAGCG</t>
  </si>
  <si>
    <t xml:space="preserve">AAACCGCTGACCGCGCATCAGGTG</t>
  </si>
  <si>
    <t xml:space="preserve">GCAACTCGTCGGTGGTCTTC</t>
  </si>
  <si>
    <t xml:space="preserve">TAGTGCAACTCGTCGGTGGTCTTC</t>
  </si>
  <si>
    <t xml:space="preserve">AAACGAAGACCACCGACGAGTTGC</t>
  </si>
  <si>
    <t xml:space="preserve">PST_1041</t>
  </si>
  <si>
    <t xml:space="preserve">ttg2E</t>
  </si>
  <si>
    <t xml:space="preserve">TTCTCCACGGCGCTCGATCC</t>
  </si>
  <si>
    <t xml:space="preserve">TAGTTTCTCCACGGCGCTCGATCC</t>
  </si>
  <si>
    <t xml:space="preserve">AAACGGATCGAGCGCCGTGGAGAA</t>
  </si>
  <si>
    <t xml:space="preserve">CACGCAAGGCCGGGCCGCTG</t>
  </si>
  <si>
    <t xml:space="preserve">TAGTCACGCAAGGCCGGGCCGCTG</t>
  </si>
  <si>
    <t xml:space="preserve">AAACCAGCGGCCCGGCCTTGCGTG</t>
  </si>
  <si>
    <t xml:space="preserve">CGTCAACGGCGCCCGGCTGC</t>
  </si>
  <si>
    <t xml:space="preserve">TAGTCGTCAACGGCGCCCGGCTGC</t>
  </si>
  <si>
    <t xml:space="preserve">AAACGCAGCCGGGCGCCGTTGACG</t>
  </si>
  <si>
    <t xml:space="preserve">CAGCGACAGCCCGACACTGC</t>
  </si>
  <si>
    <t xml:space="preserve">TAGTCAGCGACAGCCCGACACTGC</t>
  </si>
  <si>
    <t xml:space="preserve">AAACGCAGTGTCGGGCTGTCGCTG</t>
  </si>
  <si>
    <t xml:space="preserve">PST_1042</t>
  </si>
  <si>
    <t xml:space="preserve">GGGACTCGGCCAGCTCGTGC</t>
  </si>
  <si>
    <t xml:space="preserve">TAGTGGGACTCGGCCAGCTCGTGC</t>
  </si>
  <si>
    <t xml:space="preserve">AAACGCACGAGCTGGCCGAGTCCC</t>
  </si>
  <si>
    <t xml:space="preserve">CTCGACCAGCAGATTGCCGA</t>
  </si>
  <si>
    <t xml:space="preserve">TAGTCTCGACCAGCAGATTGCCGA</t>
  </si>
  <si>
    <t xml:space="preserve">AAACTCGGCAATCTGCTGGTCGAG</t>
  </si>
  <si>
    <t xml:space="preserve">GACTGCCGCCCAGGCCGTCA</t>
  </si>
  <si>
    <t xml:space="preserve">TAGTGACTGCCGCCCAGGCCGTCA</t>
  </si>
  <si>
    <t xml:space="preserve">AAACTGACGGCCTGGGCGGCAGTC</t>
  </si>
  <si>
    <t xml:space="preserve">GGATGTCATCGATCGTGATA</t>
  </si>
  <si>
    <t xml:space="preserve">TAGTGGATGTCATCGATCGTGATA</t>
  </si>
  <si>
    <t xml:space="preserve">AAACTATCACGATCGATGACATCC</t>
  </si>
  <si>
    <t xml:space="preserve">PST_1043</t>
  </si>
  <si>
    <t xml:space="preserve">ttg2F</t>
  </si>
  <si>
    <t xml:space="preserve">CAGGAAATTCTTCACTTCTA</t>
  </si>
  <si>
    <t xml:space="preserve">TAGTCAGGAAATTCTTCACTTCTA</t>
  </si>
  <si>
    <t xml:space="preserve">AAACTAGAAGTGAAGAATTTCCTG</t>
  </si>
  <si>
    <t xml:space="preserve">TCCACTTCCACCTGGGCTCC</t>
  </si>
  <si>
    <t xml:space="preserve">TAGTTCCACTTCCACCTGGGCTCC</t>
  </si>
  <si>
    <t xml:space="preserve">AAACGGAGCCCAGGTGGAAGTGGA</t>
  </si>
  <si>
    <t xml:space="preserve">CATCACTGATCACGTTGAGC</t>
  </si>
  <si>
    <t xml:space="preserve">TAGTCATCACTGATCACGTTGAGC</t>
  </si>
  <si>
    <t xml:space="preserve">AAACGCTCAACGTGATCAGTGATG</t>
  </si>
  <si>
    <t xml:space="preserve">ACGCTTCACCGGGCTCAGGG</t>
  </si>
  <si>
    <t xml:space="preserve">TAGTACGCTTCACCGGGCTCAGGG</t>
  </si>
  <si>
    <t xml:space="preserve">AAACCCCTGAGCCCGGTGAAGCGT</t>
  </si>
  <si>
    <t xml:space="preserve">PST_1044</t>
  </si>
  <si>
    <t xml:space="preserve">murA</t>
  </si>
  <si>
    <t xml:space="preserve">GGTAATGATCAGTTTGTCCA</t>
  </si>
  <si>
    <t xml:space="preserve">TAGTGGTAATGATCAGTTTGTCCA</t>
  </si>
  <si>
    <t xml:space="preserve">AAACTGGACAAACTGATCATTACC</t>
  </si>
  <si>
    <t xml:space="preserve">GCCATCGAGGCGAATGCCGC</t>
  </si>
  <si>
    <t xml:space="preserve">TAGTGCCATCGAGGCGAATGCCGC</t>
  </si>
  <si>
    <t xml:space="preserve">AAACGCGGCATTCGCCTCGATGGC</t>
  </si>
  <si>
    <t xml:space="preserve">GGCGGCCAGGATCGGCAATG</t>
  </si>
  <si>
    <t xml:space="preserve">TAGTGGCGGCCAGGATCGGCAATG</t>
  </si>
  <si>
    <t xml:space="preserve">AAACCATTGCCGATCCTGGCCGCC</t>
  </si>
  <si>
    <t xml:space="preserve">CGGAGTGTCGGCCAGCAAGG</t>
  </si>
  <si>
    <t xml:space="preserve">TAGTCGGAGTGTCGGCCAGCAAGG</t>
  </si>
  <si>
    <t xml:space="preserve">AAACCCTTGCTGGCCGACACTCCG</t>
  </si>
  <si>
    <t xml:space="preserve">PST_1045</t>
  </si>
  <si>
    <t xml:space="preserve">hisG</t>
  </si>
  <si>
    <t xml:space="preserve">CCAACGAGAGTAACAGCCAA</t>
  </si>
  <si>
    <t xml:space="preserve">TAGTCCAACGAGAGTAACAGCCAA</t>
  </si>
  <si>
    <t xml:space="preserve">AAACTTGGCTGTTACTCTCGTTGG</t>
  </si>
  <si>
    <t xml:space="preserve">CTTGCGAACTGAGTCATGCA</t>
  </si>
  <si>
    <t xml:space="preserve">TAGTCTTGCGAACTGAGTCATGCA</t>
  </si>
  <si>
    <t xml:space="preserve">AAACTGCATGACTCAGTTCGCAAG</t>
  </si>
  <si>
    <t xml:space="preserve">TGGGACGACCAAATGACCAA</t>
  </si>
  <si>
    <t xml:space="preserve">TAGTTGGGACGACCAAATGACCAA</t>
  </si>
  <si>
    <t xml:space="preserve">AAACTTGGTCATTTGGTCGTCCCA</t>
  </si>
  <si>
    <t xml:space="preserve">ACGGCAACGGCCAACCTTGA</t>
  </si>
  <si>
    <t xml:space="preserve">TAGTACGGCAACGGCCAACCTTGA</t>
  </si>
  <si>
    <t xml:space="preserve">AAACTCAAGGTTGGCCGTTGCCGT</t>
  </si>
  <si>
    <t xml:space="preserve">PST_1046</t>
  </si>
  <si>
    <t xml:space="preserve">hisD</t>
  </si>
  <si>
    <t xml:space="preserve">AATGGCGGAAGGAGCGGTCA</t>
  </si>
  <si>
    <t xml:space="preserve">TAGTAATGGCGGAAGGAGCGGTCA</t>
  </si>
  <si>
    <t xml:space="preserve">AAACTGACCGCTCCTTCCGCCATT</t>
  </si>
  <si>
    <t xml:space="preserve">CGGCATCGGCAGCGTTGAGT</t>
  </si>
  <si>
    <t xml:space="preserve">TAGTCGGCATCGGCAGCGTTGAGT</t>
  </si>
  <si>
    <t xml:space="preserve">AAACACTCAACGCTGCCGATGCCG</t>
  </si>
  <si>
    <t xml:space="preserve">GTCCAGATGACGGGCAAAGT</t>
  </si>
  <si>
    <t xml:space="preserve">TAGTGTCCAGATGACGGGCAAAGT</t>
  </si>
  <si>
    <t xml:space="preserve">AAACACTTTGCCCGTCATCTGGAC</t>
  </si>
  <si>
    <t xml:space="preserve">CACTTTCCCAGCTCAGCAGA</t>
  </si>
  <si>
    <t xml:space="preserve">TAGTCACTTTCCCAGCTCAGCAGA</t>
  </si>
  <si>
    <t xml:space="preserve">AAACTCTGCTGAGCTGGGAAAGTG</t>
  </si>
  <si>
    <t xml:space="preserve">PST_1047</t>
  </si>
  <si>
    <t xml:space="preserve">hisC</t>
  </si>
  <si>
    <t xml:space="preserve">GCACCAGGTCCTTGACGAAG</t>
  </si>
  <si>
    <t xml:space="preserve">TAGTGCACCAGGTCCTTGACGAAG</t>
  </si>
  <si>
    <t xml:space="preserve">AAACCTTCGTCAAGGACCTGGTGC</t>
  </si>
  <si>
    <t xml:space="preserve">GGCTGCTCGCCCGGCACATA</t>
  </si>
  <si>
    <t xml:space="preserve">TAGTGGCTGCTCGCCCGGCACATA</t>
  </si>
  <si>
    <t xml:space="preserve">AAACTATGTGCCGGGCGAGCAGCC</t>
  </si>
  <si>
    <t xml:space="preserve">TTGACCAGCTTGCTCAACTT</t>
  </si>
  <si>
    <t xml:space="preserve">TAGTTTGACCAGCTTGCTCAACTT</t>
  </si>
  <si>
    <t xml:space="preserve">AAACAAGTTGAGCAAGCTGGTCAA</t>
  </si>
  <si>
    <t xml:space="preserve">CGGGCCATAGGGATTCTCGT</t>
  </si>
  <si>
    <t xml:space="preserve">TAGTCGGGCCATAGGGATTCTCGT</t>
  </si>
  <si>
    <t xml:space="preserve">AAACACGAGAATCCCTATGGCCCG</t>
  </si>
  <si>
    <t xml:space="preserve">PST_1048</t>
  </si>
  <si>
    <t xml:space="preserve">algW</t>
  </si>
  <si>
    <t xml:space="preserve">CGGCCAGCCGAGGAAACGCA</t>
  </si>
  <si>
    <t xml:space="preserve">TAGTCGGCCAGCCGAGGAAACGCA</t>
  </si>
  <si>
    <t xml:space="preserve">AAACTGCGTTTCCTCGGCTGGCCG</t>
  </si>
  <si>
    <t xml:space="preserve">CTACCAGCTGCGGATAACGC</t>
  </si>
  <si>
    <t xml:space="preserve">TAGTCTACCAGCTGCGGATAACGC</t>
  </si>
  <si>
    <t xml:space="preserve">AAACGCGTTATCCGCAGCTGGTAG</t>
  </si>
  <si>
    <t xml:space="preserve">GCGGCGCCTGTTGCAGGCCG</t>
  </si>
  <si>
    <t xml:space="preserve">TAGTGCGGCGCCTGTTGCAGGCCG</t>
  </si>
  <si>
    <t xml:space="preserve">AAACCGGCCTGCAACAGGCGCCGC</t>
  </si>
  <si>
    <t xml:space="preserve">CGGGCCCTGCTGCGGTGCGG</t>
  </si>
  <si>
    <t xml:space="preserve">TAGTCGGGCCCTGCTGCGGTGCGG</t>
  </si>
  <si>
    <t xml:space="preserve">AAACCCGCACCGCAGCAGGGCCCG</t>
  </si>
  <si>
    <t xml:space="preserve">PST_1049</t>
  </si>
  <si>
    <t xml:space="preserve">GTGGTGAGTGCTACTGGCAT</t>
  </si>
  <si>
    <t xml:space="preserve">TAGTGTGGTGAGTGCTACTGGCAT</t>
  </si>
  <si>
    <t xml:space="preserve">AAACATGCCAGTAGCACTCACCAC</t>
  </si>
  <si>
    <t xml:space="preserve">CCGGTCCGCCTCCTGTACCA</t>
  </si>
  <si>
    <t xml:space="preserve">TAGTCCGGTCCGCCTCCTGTACCA</t>
  </si>
  <si>
    <t xml:space="preserve">AAACTGGTACAGGAGGCGGACCGG</t>
  </si>
  <si>
    <t xml:space="preserve">GCAGTAATCGGCGATCCTGG</t>
  </si>
  <si>
    <t xml:space="preserve">TAGTGCAGTAATCGGCGATCCTGG</t>
  </si>
  <si>
    <t xml:space="preserve">AAACCCAGGATCGCCGATTACTGC</t>
  </si>
  <si>
    <t xml:space="preserve">CTTCGACCTGCAGTCCGTTG</t>
  </si>
  <si>
    <t xml:space="preserve">TAGTCTTCGACCTGCAGTCCGTTG</t>
  </si>
  <si>
    <t xml:space="preserve">AAACCAACGGACTGCAGGTCGAAG</t>
  </si>
  <si>
    <t xml:space="preserve">PST_1050</t>
  </si>
  <si>
    <t xml:space="preserve">cysD</t>
  </si>
  <si>
    <t xml:space="preserve">ATGCGTCAGTTTGTCGACCA</t>
  </si>
  <si>
    <t xml:space="preserve">TAGTATGCGTCAGTTTGTCGACCA</t>
  </si>
  <si>
    <t xml:space="preserve">AAACTGGTCGACAAACTGACGCAT</t>
  </si>
  <si>
    <t xml:space="preserve">CAGCAACCTCGCGAATGATA</t>
  </si>
  <si>
    <t xml:space="preserve">TAGTCAGCAACCTCGCGAATGATA</t>
  </si>
  <si>
    <t xml:space="preserve">AAACTATCATTCGCGAGGTTGCTG</t>
  </si>
  <si>
    <t xml:space="preserve">CAATGGAATAGAGCATCACC</t>
  </si>
  <si>
    <t xml:space="preserve">TAGTCAATGGAATAGAGCATCACC</t>
  </si>
  <si>
    <t xml:space="preserve">AAACGGTGATGCTCTATTCCATTG</t>
  </si>
  <si>
    <t xml:space="preserve">GCGCGCCAGGTGCAGCATCA</t>
  </si>
  <si>
    <t xml:space="preserve">TAGTGCGCGCCAGGTGCAGCATCA</t>
  </si>
  <si>
    <t xml:space="preserve">AAACTGATGCTGCACCTGGCGCGC</t>
  </si>
  <si>
    <t xml:space="preserve">PST_1051</t>
  </si>
  <si>
    <t xml:space="preserve">cysN</t>
  </si>
  <si>
    <t xml:space="preserve">CCTCGCTGATCAGATCGGAT</t>
  </si>
  <si>
    <t xml:space="preserve">TAGTCCTCGCTGATCAGATCGGAT</t>
  </si>
  <si>
    <t xml:space="preserve">AAACATCCGATCTGATCAGCGAGG</t>
  </si>
  <si>
    <t xml:space="preserve">CGTGTTGCGCCAGGTAGGCG</t>
  </si>
  <si>
    <t xml:space="preserve">TAGTCGTGTTGCGCCAGGTAGGCG</t>
  </si>
  <si>
    <t xml:space="preserve">AAACCGCCTACCTGGCGCAACACG</t>
  </si>
  <si>
    <t xml:space="preserve">CATCGACGTTACCGCAGGTC</t>
  </si>
  <si>
    <t xml:space="preserve">TAGTCATCGACGTTACCGCAGGTC</t>
  </si>
  <si>
    <t xml:space="preserve">AAACGACCTGCGGTAACGTCGATG</t>
  </si>
  <si>
    <t xml:space="preserve">TCTTCGAGTCGTGCAGCAGG</t>
  </si>
  <si>
    <t xml:space="preserve">TAGTTCTTCGAGTCGTGCAGCAGG</t>
  </si>
  <si>
    <t xml:space="preserve">AAACCCTGCTGCACGACTCGAAGA</t>
  </si>
  <si>
    <t xml:space="preserve">PST_1052</t>
  </si>
  <si>
    <t xml:space="preserve">ACAAGGGCGCGACGATAGTT</t>
  </si>
  <si>
    <t xml:space="preserve">TAGTACAAGGGCGCGACGATAGTT</t>
  </si>
  <si>
    <t xml:space="preserve">AAACAACTATCGTCGCGCCCTTGT</t>
  </si>
  <si>
    <t xml:space="preserve">GTAAAAAACCAGCTCGCCCC</t>
  </si>
  <si>
    <t xml:space="preserve">TAGTGTAAAAAACCAGCTCGCCCC</t>
  </si>
  <si>
    <t xml:space="preserve">AAACGGGGCGAGCTGGTTTTTTAC</t>
  </si>
  <si>
    <t xml:space="preserve">CGTTGTTGCGCCGTTGCAAT</t>
  </si>
  <si>
    <t xml:space="preserve">TAGTCGTTGTTGCGCCGTTGCAAT</t>
  </si>
  <si>
    <t xml:space="preserve">AAACATTGCAACGGCGCAACAACG</t>
  </si>
  <si>
    <t xml:space="preserve">CAGCCTATGCACGCGCCGGA</t>
  </si>
  <si>
    <t xml:space="preserve">TAGTCAGCCTATGCACGCGCCGGA</t>
  </si>
  <si>
    <t xml:space="preserve">AAACTCCGGCGCGTGCATAGGCTG</t>
  </si>
  <si>
    <t xml:space="preserve">PST_1053</t>
  </si>
  <si>
    <t xml:space="preserve">CCGTCGTTTACCGCGAATCG</t>
  </si>
  <si>
    <t xml:space="preserve">TAGTCCGTCGTTTACCGCGAATCG</t>
  </si>
  <si>
    <t xml:space="preserve">AAACCGATTCGCGGTAAACGACGG</t>
  </si>
  <si>
    <t xml:space="preserve">TCGTAGGATGGAATCGGCAA</t>
  </si>
  <si>
    <t xml:space="preserve">TAGTTCGTAGGATGGAATCGGCAA</t>
  </si>
  <si>
    <t xml:space="preserve">AAACTTGCCGATTCCATCCTACGA</t>
  </si>
  <si>
    <t xml:space="preserve">GACGTTGCACCGCGGAACCG</t>
  </si>
  <si>
    <t xml:space="preserve">TAGTGACGTTGCACCGCGGAACCG</t>
  </si>
  <si>
    <t xml:space="preserve">AAACCGGTTCCGCGGTGCAACGTC</t>
  </si>
  <si>
    <t xml:space="preserve">CACTTAACGTCGGAATACGC</t>
  </si>
  <si>
    <t xml:space="preserve">TAGTCACTTAACGTCGGAATACGC</t>
  </si>
  <si>
    <t xml:space="preserve">AAACGCGTATTCCGACGTTAAGTG</t>
  </si>
  <si>
    <t xml:space="preserve">PST_1054</t>
  </si>
  <si>
    <t xml:space="preserve">GCAACGTAGTTTTGATACTG</t>
  </si>
  <si>
    <t xml:space="preserve">TAGTGCAACGTAGTTTTGATACTG</t>
  </si>
  <si>
    <t xml:space="preserve">AAACCAGTATCAAAACTACGTTGC</t>
  </si>
  <si>
    <t xml:space="preserve">TGCTGCGCCTAGGACTGAGA</t>
  </si>
  <si>
    <t xml:space="preserve">TAGTTGCTGCGCCTAGGACTGAGA</t>
  </si>
  <si>
    <t xml:space="preserve">AAACTCTCAGTCCTAGGCGCAGCA</t>
  </si>
  <si>
    <t xml:space="preserve">TGCAACAAACTCAGTAATAG</t>
  </si>
  <si>
    <t xml:space="preserve">TAGTTGCAACAAACTCAGTAATAG</t>
  </si>
  <si>
    <t xml:space="preserve">AAACCTATTACTGAGTTTGTTGCA</t>
  </si>
  <si>
    <t xml:space="preserve">AAGTTGAGCGGCGGTTGGAA</t>
  </si>
  <si>
    <t xml:space="preserve">TAGTAAGTTGAGCGGCGGTTGGAA</t>
  </si>
  <si>
    <t xml:space="preserve">AAACTTCCAACCGCCGCTCAACTT</t>
  </si>
  <si>
    <t xml:space="preserve">PST_1055</t>
  </si>
  <si>
    <t xml:space="preserve">pilB</t>
  </si>
  <si>
    <t xml:space="preserve">TAGGGAAATGTTTTCGCTCA</t>
  </si>
  <si>
    <t xml:space="preserve">TAGTTAGGGAAATGTTTTCGCTCA</t>
  </si>
  <si>
    <t xml:space="preserve">AAACTGAGCGAAAACATTTCCCTA</t>
  </si>
  <si>
    <t xml:space="preserve">GACCATCTGCCGTGCCAGCC</t>
  </si>
  <si>
    <t xml:space="preserve">TAGTGACCATCTGCCGTGCCAGCC</t>
  </si>
  <si>
    <t xml:space="preserve">AAACGGCTGGCACGGCAGATGGTC</t>
  </si>
  <si>
    <t xml:space="preserve">TGTTCTTTCGTCCAGCACGC</t>
  </si>
  <si>
    <t xml:space="preserve">TAGTTGTTCTTTCGTCCAGCACGC</t>
  </si>
  <si>
    <t xml:space="preserve">AAACGCGTGCTGGACGAAAGAACA</t>
  </si>
  <si>
    <t xml:space="preserve">GGCCTGCGCCTGCGCCTGCT</t>
  </si>
  <si>
    <t xml:space="preserve">TAGTGGCCTGCGCCTGCGCCTGCT</t>
  </si>
  <si>
    <t xml:space="preserve">AAACAGCAGGCGCAGGCGCAGGCC</t>
  </si>
  <si>
    <t xml:space="preserve">PST_1056</t>
  </si>
  <si>
    <t xml:space="preserve">pilC</t>
  </si>
  <si>
    <t xml:space="preserve">GCCTTCCCAGGTGAACACAC</t>
  </si>
  <si>
    <t xml:space="preserve">TAGTGCCTTCCCAGGTGAACACAC</t>
  </si>
  <si>
    <t xml:space="preserve">AAACGTGTGTTCACCTGGGAAGGC</t>
  </si>
  <si>
    <t xml:space="preserve">GCTGCGCCTTGACCATCGCA</t>
  </si>
  <si>
    <t xml:space="preserve">TAGTGCTGCGCCTTGACCATCGCA</t>
  </si>
  <si>
    <t xml:space="preserve">AAACTGCGATGGTCAAGGCGCAGC</t>
  </si>
  <si>
    <t xml:space="preserve">ACTTCTTACGCACCTTTTGA</t>
  </si>
  <si>
    <t xml:space="preserve">TAGTACTTCTTACGCACCTTTTGA</t>
  </si>
  <si>
    <t xml:space="preserve">AAACTCAAAAGGTGCGTAAGAAGT</t>
  </si>
  <si>
    <t xml:space="preserve">GTGAACAAGGCGATATCCAT</t>
  </si>
  <si>
    <t xml:space="preserve">TAGTGTGAACAAGGCGATATCCAT</t>
  </si>
  <si>
    <t xml:space="preserve">AAACATGGATATCGCCTTGTTCAC</t>
  </si>
  <si>
    <t xml:space="preserve">PST_1057</t>
  </si>
  <si>
    <t xml:space="preserve">pilD</t>
  </si>
  <si>
    <t xml:space="preserve">AACAAAGGCCAGCACATGGC</t>
  </si>
  <si>
    <t xml:space="preserve">TAGTAACAAAGGCCAGCACATGGC</t>
  </si>
  <si>
    <t xml:space="preserve">AAACGCCATGTGCTGGCCTTTGTT</t>
  </si>
  <si>
    <t xml:space="preserve">GCTGCATCATGATCGGCACA</t>
  </si>
  <si>
    <t xml:space="preserve">TAGTGCTGCATCATGATCGGCACA</t>
  </si>
  <si>
    <t xml:space="preserve">AAACTGTGCCGATCATGATGCAGC</t>
  </si>
  <si>
    <t xml:space="preserve">CGCTCCCCAATTGGCTCGGG</t>
  </si>
  <si>
    <t xml:space="preserve">TAGTCGCTCCCCAATTGGCTCGGG</t>
  </si>
  <si>
    <t xml:space="preserve">AAACCCCGAGCCAATTGGGGAGCG</t>
  </si>
  <si>
    <t xml:space="preserve">CAGTGAGGGCAGCGTGAACT</t>
  </si>
  <si>
    <t xml:space="preserve">TAGTCAGTGAGGGCAGCGTGAACT</t>
  </si>
  <si>
    <t xml:space="preserve">AAACAGTTCACGCTGCCCTCACTG</t>
  </si>
  <si>
    <t xml:space="preserve">PST_1058</t>
  </si>
  <si>
    <t xml:space="preserve">coaE</t>
  </si>
  <si>
    <t xml:space="preserve">TGACAGCTCGACCGACCGAG</t>
  </si>
  <si>
    <t xml:space="preserve">TAGTTGACAGCTCGACCGACCGAG</t>
  </si>
  <si>
    <t xml:space="preserve">AAACCTCGGTCGGTCGAGCTGTCA</t>
  </si>
  <si>
    <t xml:space="preserve">GACGACAGACAAAAGCCGAT</t>
  </si>
  <si>
    <t xml:space="preserve">TAGTGACGACAGACAAAAGCCGAT</t>
  </si>
  <si>
    <t xml:space="preserve">AAACATCGGCTTTTGTCTGTCGTC</t>
  </si>
  <si>
    <t xml:space="preserve">CAAGCCTCAGCGTTCGAAAT</t>
  </si>
  <si>
    <t xml:space="preserve">TAGTCAAGCCTCAGCGTTCGAAAT</t>
  </si>
  <si>
    <t xml:space="preserve">AAACATTTCGAACGCTGAGGCTTG</t>
  </si>
  <si>
    <t xml:space="preserve">CGCGCGCAGTAGTAACCACT</t>
  </si>
  <si>
    <t xml:space="preserve">TAGTCGCGCGCAGTAGTAACCACT</t>
  </si>
  <si>
    <t xml:space="preserve">AAACAGTGGTTACTACTGCGCGCG</t>
  </si>
  <si>
    <t xml:space="preserve">PST_1059</t>
  </si>
  <si>
    <t xml:space="preserve">GGAGGGAGCTAGGAGATGCG</t>
  </si>
  <si>
    <t xml:space="preserve">TAGTGGAGGGAGCTAGGAGATGCG</t>
  </si>
  <si>
    <t xml:space="preserve">AAACCGCATCTCCTAGCTCCCTCC</t>
  </si>
  <si>
    <t xml:space="preserve">CAGCCAACCTGCGAAAAGGG</t>
  </si>
  <si>
    <t xml:space="preserve">TAGTCAGCCAACCTGCGAAAAGGG</t>
  </si>
  <si>
    <t xml:space="preserve">AAACCCCTTTTCGCAGGTTGGCTG</t>
  </si>
  <si>
    <t xml:space="preserve">GCGCCACGCCGCCCAGAGCA</t>
  </si>
  <si>
    <t xml:space="preserve">TAGTGCGCCACGCCGCCCAGAGCA</t>
  </si>
  <si>
    <t xml:space="preserve">AAACTGCTCTGGGCGGCGTGGCGC</t>
  </si>
  <si>
    <t xml:space="preserve">GCTGAAGAGCTCGACCCAGG</t>
  </si>
  <si>
    <t xml:space="preserve">TAGTGCTGAAGAGCTCGACCCAGG</t>
  </si>
  <si>
    <t xml:space="preserve">AAACCCTGGGTCGAGCTCTTCAGC</t>
  </si>
  <si>
    <t xml:space="preserve">PST_1060</t>
  </si>
  <si>
    <t xml:space="preserve">GCCGAGTGGACGAAATTCCA</t>
  </si>
  <si>
    <t xml:space="preserve">TAGTGCCGAGTGGACGAAATTCCA</t>
  </si>
  <si>
    <t xml:space="preserve">AAACTGGAATTTCGTCCACTCGGC</t>
  </si>
  <si>
    <t xml:space="preserve">AGCTTACGTTCAGGTCGGTT</t>
  </si>
  <si>
    <t xml:space="preserve">TAGTAGCTTACGTTCAGGTCGGTT</t>
  </si>
  <si>
    <t xml:space="preserve">AAACAACCGACCTGAACGTAAGCT</t>
  </si>
  <si>
    <t xml:space="preserve">CGCCCCATGTCATGGTGCCG</t>
  </si>
  <si>
    <t xml:space="preserve">TAGTCGCCCCATGTCATGGTGCCG</t>
  </si>
  <si>
    <t xml:space="preserve">AAACCGGCACCATGACATGGGGCG</t>
  </si>
  <si>
    <t xml:space="preserve">CTGAGCGAAGGCGTCAGCCT</t>
  </si>
  <si>
    <t xml:space="preserve">TAGTCTGAGCGAAGGCGTCAGCCT</t>
  </si>
  <si>
    <t xml:space="preserve">AAACAGGCTGACGCCTTCGCTCAG</t>
  </si>
  <si>
    <t xml:space="preserve">PST_1061</t>
  </si>
  <si>
    <t xml:space="preserve">rplM</t>
  </si>
  <si>
    <t xml:space="preserve">CAGTCGCGCTTGACGGTTTC</t>
  </si>
  <si>
    <t xml:space="preserve">TAGTCAGTCGCGCTTGACGGTTTC</t>
  </si>
  <si>
    <t xml:space="preserve">AAACGAAACCGTCAAGCGCGACTG</t>
  </si>
  <si>
    <t xml:space="preserve">CAGACGACCCAGGGTCTGGC</t>
  </si>
  <si>
    <t xml:space="preserve">TAGTCAGACGACCCAGGGTCTGGC</t>
  </si>
  <si>
    <t xml:space="preserve">AAACGCCAGACCCTGGGTCGTCTG</t>
  </si>
  <si>
    <t xml:space="preserve">ACGCAGGCGGCTGGCGATTT</t>
  </si>
  <si>
    <t xml:space="preserve">TAGTACGCAGGCGGCTGGCGATTT</t>
  </si>
  <si>
    <t xml:space="preserve">AAACAAATCGCCAGCCGCCTGCGT</t>
  </si>
  <si>
    <t xml:space="preserve">TCGACGTGAGGGGTGTATTC</t>
  </si>
  <si>
    <t xml:space="preserve">TAGTTCGACGTGAGGGGTGTATTC</t>
  </si>
  <si>
    <t xml:space="preserve">AAACGAATACACCCCTCACGTCGA</t>
  </si>
  <si>
    <t xml:space="preserve">PST_1062</t>
  </si>
  <si>
    <t xml:space="preserve">rpsI</t>
  </si>
  <si>
    <t xml:space="preserve">GCGCGGTTGCAGTCTTGCGA</t>
  </si>
  <si>
    <t xml:space="preserve">TAGTGCGCGGTTGCAGTCTTGCGA</t>
  </si>
  <si>
    <t xml:space="preserve">AAACTCGCAAGACTGCAACCGCGC</t>
  </si>
  <si>
    <t xml:space="preserve">TCTTGCCAGTGCCCGGGCGC</t>
  </si>
  <si>
    <t xml:space="preserve">TAGTTCTTGCCAGTGCCCGGGCGC</t>
  </si>
  <si>
    <t xml:space="preserve">AAACGCGCCCGGGCACTGGCAAGA</t>
  </si>
  <si>
    <t xml:space="preserve">ATCCAGCTCACGGTTGTTGA</t>
  </si>
  <si>
    <t xml:space="preserve">TAGTATCCAGCTCACGGTTGTTGA</t>
  </si>
  <si>
    <t xml:space="preserve">AAACTCAACAACCGTGAGCTGGAT</t>
  </si>
  <si>
    <t xml:space="preserve">CAACCATGCGAGCAGTTTCG</t>
  </si>
  <si>
    <t xml:space="preserve">TAGTCAACCATGCGAGCAGTTTCG</t>
  </si>
  <si>
    <t xml:space="preserve">AAACCGAAACTGCTCGCATGGTTG</t>
  </si>
  <si>
    <t xml:space="preserve">PST_1063</t>
  </si>
  <si>
    <t xml:space="preserve">petA</t>
  </si>
  <si>
    <t xml:space="preserve">CGGCCACAAGGAAGCGACGC</t>
  </si>
  <si>
    <t xml:space="preserve">TAGTCGGCCACAAGGAAGCGACGC</t>
  </si>
  <si>
    <t xml:space="preserve">AAACGCGTCGCTTCCTTGTGGCCG</t>
  </si>
  <si>
    <t xml:space="preserve">AGCGCCCACCACCGAAGTGG</t>
  </si>
  <si>
    <t xml:space="preserve">TAGTAGCGCCCACCACCGAAGTGG</t>
  </si>
  <si>
    <t xml:space="preserve">AAACCCACTTCGGTGGTGGGCGCT</t>
  </si>
  <si>
    <t xml:space="preserve">GGAACCACGATCCCACGAAC</t>
  </si>
  <si>
    <t xml:space="preserve">TAGTGGAACCACGATCCCACGAAC</t>
  </si>
  <si>
    <t xml:space="preserve">AAACGTTCGTGGGATCGTGGTTCC</t>
  </si>
  <si>
    <t xml:space="preserve">CAGCCTTGGCCTTGGCACTT</t>
  </si>
  <si>
    <t xml:space="preserve">TAGTCAGCCTTGGCCTTGGCACTT</t>
  </si>
  <si>
    <t xml:space="preserve">AAACAAGTGCCAAGGCCAAGGCTG</t>
  </si>
  <si>
    <t xml:space="preserve">PST_1064</t>
  </si>
  <si>
    <t xml:space="preserve">petB</t>
  </si>
  <si>
    <t xml:space="preserve">CATCTTGGTAGCGGGGAAGC</t>
  </si>
  <si>
    <t xml:space="preserve">TAGTCATCTTGGTAGCGGGGAAGC</t>
  </si>
  <si>
    <t xml:space="preserve">AAACGCTTCCCCGCTACCAAGATG</t>
  </si>
  <si>
    <t xml:space="preserve">TGGGAGCGTAGTACTTCGAG</t>
  </si>
  <si>
    <t xml:space="preserve">TAGTTGGGAGCGTAGTACTTCGAG</t>
  </si>
  <si>
    <t xml:space="preserve">AAACCTCGAAGTACTACGCTCCCA</t>
  </si>
  <si>
    <t xml:space="preserve">GTACAGGACGTTGAAGTTCT</t>
  </si>
  <si>
    <t xml:space="preserve">TAGTGTACAGGACGTTGAAGTTCT</t>
  </si>
  <si>
    <t xml:space="preserve">AAACAGAACTTCAACGTCCTGTAC</t>
  </si>
  <si>
    <t xml:space="preserve">GCTCATGGTCAGCCAGATAC</t>
  </si>
  <si>
    <t xml:space="preserve">TAGTGCTCATGGTCAGCCAGATAC</t>
  </si>
  <si>
    <t xml:space="preserve">AAACGTATCTGGCTGACCATGAGC</t>
  </si>
  <si>
    <t xml:space="preserve">PST_1065</t>
  </si>
  <si>
    <t xml:space="preserve">petC</t>
  </si>
  <si>
    <t xml:space="preserve">CCGGCTGCAAAAGTGAAGGC</t>
  </si>
  <si>
    <t xml:space="preserve">TAGTCCGGCTGCAAAAGTGAAGGC</t>
  </si>
  <si>
    <t xml:space="preserve">AAACGCCTTCACTTTTGCAGCCGG</t>
  </si>
  <si>
    <t xml:space="preserve">CCTTGTCCAGCGGAGCTTCT</t>
  </si>
  <si>
    <t xml:space="preserve">TAGTCCTTGTCCAGCGGAGCTTCT</t>
  </si>
  <si>
    <t xml:space="preserve">AAACAGAAGCTCCGCTGGACAAGG</t>
  </si>
  <si>
    <t xml:space="preserve">ATCCTGCATGGCCGCCTTGT</t>
  </si>
  <si>
    <t xml:space="preserve">TAGTATCCTGCATGGCCGCCTTGT</t>
  </si>
  <si>
    <t xml:space="preserve">AAACACAAGGCGGCCATGCAGGAT</t>
  </si>
  <si>
    <t xml:space="preserve">ACCCATACAATAGTTGGCGA</t>
  </si>
  <si>
    <t xml:space="preserve">TAGTACCCATACAATAGTTGGCGA</t>
  </si>
  <si>
    <t xml:space="preserve">AAACTCGCCAACTATTGTATGGGT</t>
  </si>
  <si>
    <t xml:space="preserve">PST_1066</t>
  </si>
  <si>
    <t xml:space="preserve">sspA</t>
  </si>
  <si>
    <t xml:space="preserve">AACCGGTTGGTCGCAGCCAT</t>
  </si>
  <si>
    <t xml:space="preserve">TAGTAACCGGTTGGTCGCAGCCAT</t>
  </si>
  <si>
    <t xml:space="preserve">AAACATGGCTGCGACCAACCGGTT</t>
  </si>
  <si>
    <t xml:space="preserve">ACAGTAATGATCGGCAGGAT</t>
  </si>
  <si>
    <t xml:space="preserve">TAGTACAGTAATGATCGGCAGGAT</t>
  </si>
  <si>
    <t xml:space="preserve">AAACATCCTGCCGATCATTACTGT</t>
  </si>
  <si>
    <t xml:space="preserve">CCCCTTTCTCGGCGAGAACA</t>
  </si>
  <si>
    <t xml:space="preserve">TAGTCCCCTTTCTCGGCGAGAACA</t>
  </si>
  <si>
    <t xml:space="preserve">AAACTGTTCTCGCCGAGAAAGGGG</t>
  </si>
  <si>
    <t xml:space="preserve">CGGCCAACGCGACCGGACAC</t>
  </si>
  <si>
    <t xml:space="preserve">TAGTCGGCCAACGCGACCGGACAC</t>
  </si>
  <si>
    <t xml:space="preserve">AAACGTGTCCGGTCGCGTTGGCCG</t>
  </si>
  <si>
    <t xml:space="preserve">PST_1067</t>
  </si>
  <si>
    <t xml:space="preserve">sspB</t>
  </si>
  <si>
    <t xml:space="preserve">AAAGTGCTCGTACCAGATAC</t>
  </si>
  <si>
    <t xml:space="preserve">TAGTAAAGTGCTCGTACCAGATAC</t>
  </si>
  <si>
    <t xml:space="preserve">AAACGTATCTGGTACGAGCACTTT</t>
  </si>
  <si>
    <t xml:space="preserve">TCGACATTCACCAGTAGGTG</t>
  </si>
  <si>
    <t xml:space="preserve">TAGTTCGACATTCACCAGTAGGTG</t>
  </si>
  <si>
    <t xml:space="preserve">AAACCACCTACTGGTGAATGTCGA</t>
  </si>
  <si>
    <t xml:space="preserve">CCTGCCGGCACCTGCACCCC</t>
  </si>
  <si>
    <t xml:space="preserve">TAGTCCTGCCGGCACCTGCACCCC</t>
  </si>
  <si>
    <t xml:space="preserve">AAACGGGGTGCAGGTGCCGGCAGG</t>
  </si>
  <si>
    <t xml:space="preserve">CAATACGATCTGACCATCGC</t>
  </si>
  <si>
    <t xml:space="preserve">TAGTCAATACGATCTGACCATCGC</t>
  </si>
  <si>
    <t xml:space="preserve">AAACGCGATGGTCAGATCGTATTG</t>
  </si>
  <si>
    <t xml:space="preserve">PST_1068</t>
  </si>
  <si>
    <t xml:space="preserve">CGATGGCAGGCAAGCGGAAA</t>
  </si>
  <si>
    <t xml:space="preserve">TAGTCGATGGCAGGCAAGCGGAAA</t>
  </si>
  <si>
    <t xml:space="preserve">AAACTTTCCGCTTGCCTGCCATCG</t>
  </si>
  <si>
    <t xml:space="preserve">GACGGCCAGGCAAATTCCCA</t>
  </si>
  <si>
    <t xml:space="preserve">TAGTGACGGCCAGGCAAATTCCCA</t>
  </si>
  <si>
    <t xml:space="preserve">AAACTGGGAATTTGCCTGGCCGTC</t>
  </si>
  <si>
    <t xml:space="preserve">GGCGATCGGGTCGTCGCGCG</t>
  </si>
  <si>
    <t xml:space="preserve">TAGTGGCGATCGGGTCGTCGCGCG</t>
  </si>
  <si>
    <t xml:space="preserve">AAACCGCGCGACGACCCGATCGCC</t>
  </si>
  <si>
    <t xml:space="preserve">GGTCCGTGTGCCCCGATTGT</t>
  </si>
  <si>
    <t xml:space="preserve">TAGTGGTCCGTGTGCCCCGATTGT</t>
  </si>
  <si>
    <t xml:space="preserve">AAACACAATCGGGGCACACGGACC</t>
  </si>
  <si>
    <t xml:space="preserve">PST_1069</t>
  </si>
  <si>
    <t xml:space="preserve">gmhA</t>
  </si>
  <si>
    <t xml:space="preserve">GCTGGGGGCTAGCACTTCCA</t>
  </si>
  <si>
    <t xml:space="preserve">TAGTGCTGGGGGCTAGCACTTCCA</t>
  </si>
  <si>
    <t xml:space="preserve">AAACTGGAAGTGCTAGCCCCCAGC</t>
  </si>
  <si>
    <t xml:space="preserve">TGCATTAACCATCGCTTGGC</t>
  </si>
  <si>
    <t xml:space="preserve">TAGTTGCATTAACCATCGCTTGGC</t>
  </si>
  <si>
    <t xml:space="preserve">AAACGCCAAGCGATGGTTAATGCA</t>
  </si>
  <si>
    <t xml:space="preserve">AACCGCCATTACCGCAGGTC</t>
  </si>
  <si>
    <t xml:space="preserve">TAGTAACCGCCATTACCGCAGGTC</t>
  </si>
  <si>
    <t xml:space="preserve">AAACGACCTGCGGTAATGGCGGTT</t>
  </si>
  <si>
    <t xml:space="preserve">GGAGAAGTGCTGGGCATCGC</t>
  </si>
  <si>
    <t xml:space="preserve">TAGTGGAGAAGTGCTGGGCATCGC</t>
  </si>
  <si>
    <t xml:space="preserve">AAACGCGATGCCCAGCACTTCTCC</t>
  </si>
  <si>
    <t xml:space="preserve">PST_1070</t>
  </si>
  <si>
    <t xml:space="preserve">CGGCAGAGCGTCCGCTGCTC</t>
  </si>
  <si>
    <t xml:space="preserve">TAGTCGGCAGAGCGTCCGCTGCTC</t>
  </si>
  <si>
    <t xml:space="preserve">AAACGAGCAGCGGACGCTCTGCCG</t>
  </si>
  <si>
    <t xml:space="preserve">ATGCTGCAGGGCCAGTGCTT</t>
  </si>
  <si>
    <t xml:space="preserve">TAGTATGCTGCAGGGCCAGTGCTT</t>
  </si>
  <si>
    <t xml:space="preserve">AAACAAGCACTGGCCCTGCAGCAT</t>
  </si>
  <si>
    <t xml:space="preserve">AGTTGCGTTCGAGTAGGCGC</t>
  </si>
  <si>
    <t xml:space="preserve">TAGTAGTTGCGTTCGAGTAGGCGC</t>
  </si>
  <si>
    <t xml:space="preserve">AAACGCGCCTACTCGAACGCAACT</t>
  </si>
  <si>
    <t xml:space="preserve">CCAGATCGAGCTCGCCGCTG</t>
  </si>
  <si>
    <t xml:space="preserve">TAGTCCAGATCGAGCTCGCCGCTG</t>
  </si>
  <si>
    <t xml:space="preserve">AAACCAGCGGCGAGCTCGATCTGG</t>
  </si>
  <si>
    <t xml:space="preserve">PST_1071</t>
  </si>
  <si>
    <t xml:space="preserve">AGGGGGCGTAAGCAAGCCAT</t>
  </si>
  <si>
    <t xml:space="preserve">TAGTAGGGGGCGTAAGCAAGCCAT</t>
  </si>
  <si>
    <t xml:space="preserve">AAACATGGCTTGCTTACGCCCCCT</t>
  </si>
  <si>
    <t xml:space="preserve">TGGCGACGCAGAGGAGAAGG</t>
  </si>
  <si>
    <t xml:space="preserve">TAGTTGGCGACGCAGAGGAGAAGG</t>
  </si>
  <si>
    <t xml:space="preserve">AAACCCTTCTCCTCTGCGTCGCCA</t>
  </si>
  <si>
    <t xml:space="preserve">GGAGCAGGCTGCGAGCAGGG</t>
  </si>
  <si>
    <t xml:space="preserve">TAGTGGAGCAGGCTGCGAGCAGGG</t>
  </si>
  <si>
    <t xml:space="preserve">AAACCCCTGCTCGCAGCCTGCTCC</t>
  </si>
  <si>
    <t xml:space="preserve">GAGCGTGGACGAGGGGGAGC</t>
  </si>
  <si>
    <t xml:space="preserve">TAGTGAGCGTGGACGAGGGGGAGC</t>
  </si>
  <si>
    <t xml:space="preserve">AAACGCTCCCCCTCGTCCACGCTC</t>
  </si>
  <si>
    <t xml:space="preserve">PST_1072</t>
  </si>
  <si>
    <t xml:space="preserve">CTTCGGTGGTTGGGTACAAT</t>
  </si>
  <si>
    <t xml:space="preserve">TAGTCTTCGGTGGTTGGGTACAAT</t>
  </si>
  <si>
    <t xml:space="preserve">AAACATTGTACCCAACCACCGAAG</t>
  </si>
  <si>
    <t xml:space="preserve">GATTCACCGCCGCAACATCG</t>
  </si>
  <si>
    <t xml:space="preserve">TAGTGATTCACCGCCGCAACATCG</t>
  </si>
  <si>
    <t xml:space="preserve">AAACCGATGTTGCGGCGGTGAATC</t>
  </si>
  <si>
    <t xml:space="preserve">TCACAGGGCTTACCTCAAAT</t>
  </si>
  <si>
    <t xml:space="preserve">TAGTTCACAGGGCTTACCTCAAAT</t>
  </si>
  <si>
    <t xml:space="preserve">AAACATTTGAGGTAAGCCCTGTGA</t>
  </si>
  <si>
    <t xml:space="preserve">TCCGGAATTCGCACCACCGC</t>
  </si>
  <si>
    <t xml:space="preserve">TAGTTCCGGAATTCGCACCACCGC</t>
  </si>
  <si>
    <t xml:space="preserve">AAACGCGGTGGTGCGAATTCCGGA</t>
  </si>
  <si>
    <t xml:space="preserve">PST_1073</t>
  </si>
  <si>
    <t xml:space="preserve">GTCACGGTACCGGCTGGGCA</t>
  </si>
  <si>
    <t xml:space="preserve">TAGTGTCACGGTACCGGCTGGGCA</t>
  </si>
  <si>
    <t xml:space="preserve">AAACTGCCCAGCCGGTACCGTGAC</t>
  </si>
  <si>
    <t xml:space="preserve">GATCAGCTGGCCATCGCCAC</t>
  </si>
  <si>
    <t xml:space="preserve">TAGTGATCAGCTGGCCATCGCCAC</t>
  </si>
  <si>
    <t xml:space="preserve">AAACGTGGCGATGGCCAGCTGATC</t>
  </si>
  <si>
    <t xml:space="preserve">TATGCACAAGCAGCGGTCCA</t>
  </si>
  <si>
    <t xml:space="preserve">TAGTTATGCACAAGCAGCGGTCCA</t>
  </si>
  <si>
    <t xml:space="preserve">AAACTGGACCGCTGCTTGTGCATA</t>
  </si>
  <si>
    <t xml:space="preserve">ATGAGCTCCCACTCGGGCAG</t>
  </si>
  <si>
    <t xml:space="preserve">TAGTATGAGCTCCCACTCGGGCAG</t>
  </si>
  <si>
    <t xml:space="preserve">AAACCTGCCCGAGTGGGAGCTCAT</t>
  </si>
  <si>
    <t xml:space="preserve">PST_1074</t>
  </si>
  <si>
    <t xml:space="preserve">CCCGTCCAGATAGCGACCAT</t>
  </si>
  <si>
    <t xml:space="preserve">TAGTCCCGTCCAGATAGCGACCAT</t>
  </si>
  <si>
    <t xml:space="preserve">AAACATGGTCGCTATCTGGACGGG</t>
  </si>
  <si>
    <t xml:space="preserve">GCTATGGCCGCCCCGCCCGA</t>
  </si>
  <si>
    <t xml:space="preserve">TAGTGCTATGGCCGCCCCGCCCGA</t>
  </si>
  <si>
    <t xml:space="preserve">AAACTCGGGCGGGGCGGCCATAGC</t>
  </si>
  <si>
    <t xml:space="preserve">CGAGCTGTTGCAGAAGTAGC</t>
  </si>
  <si>
    <t xml:space="preserve">TAGTCGAGCTGTTGCAGAAGTAGC</t>
  </si>
  <si>
    <t xml:space="preserve">AAACGCTACTTCTGCAACAGCTCG</t>
  </si>
  <si>
    <t xml:space="preserve">AACCCTAGCAACTGGCCATT</t>
  </si>
  <si>
    <t xml:space="preserve">TAGTAACCCTAGCAACTGGCCATT</t>
  </si>
  <si>
    <t xml:space="preserve">AAACAATGGCCAGTTGCTAGGGTT</t>
  </si>
  <si>
    <t xml:space="preserve">PST_1075</t>
  </si>
  <si>
    <t xml:space="preserve">ftsL</t>
  </si>
  <si>
    <t xml:space="preserve">TGGGCATGACACGCAGCACG</t>
  </si>
  <si>
    <t xml:space="preserve">TAGTTGGGCATGACACGCAGCACG</t>
  </si>
  <si>
    <t xml:space="preserve">AAACCGTGCTGCGTGTCATGCCCA</t>
  </si>
  <si>
    <t xml:space="preserve">CAGCATCAGCAGGCTGCCAT</t>
  </si>
  <si>
    <t xml:space="preserve">TAGTCAGCATCAGCAGGCTGCCAT</t>
  </si>
  <si>
    <t xml:space="preserve">AAACATGGCAGCCTGCTGATGCTG</t>
  </si>
  <si>
    <t xml:space="preserve">AGGCAACCGCGATCGCCGAC</t>
  </si>
  <si>
    <t xml:space="preserve">TAGTAGGCAACCGCGATCGCCGAC</t>
  </si>
  <si>
    <t xml:space="preserve">AAACGTCGGCGATCGCGGTTGCCT</t>
  </si>
  <si>
    <t xml:space="preserve">ACGGTTCCAATGCGCGCAGT</t>
  </si>
  <si>
    <t xml:space="preserve">TAGTACGGTTCCAATGCGCGCAGT</t>
  </si>
  <si>
    <t xml:space="preserve">AAACACTGCGCGCATTGGAACCGT</t>
  </si>
  <si>
    <t xml:space="preserve">PST_1076</t>
  </si>
  <si>
    <t xml:space="preserve">ftsI</t>
  </si>
  <si>
    <t xml:space="preserve">AGAACGATGCGAAAGCGCCA</t>
  </si>
  <si>
    <t xml:space="preserve">TAGTAGAACGATGCGAAAGCGCCA</t>
  </si>
  <si>
    <t xml:space="preserve">AAACTGGCGCTTTCGCATCGTTCT</t>
  </si>
  <si>
    <t xml:space="preserve">CTGCAGATCGACGATGCGCC</t>
  </si>
  <si>
    <t xml:space="preserve">TAGTCTGCAGATCGACGATGCGCC</t>
  </si>
  <si>
    <t xml:space="preserve">AAACGGCGCATCGTCGATCTGCAG</t>
  </si>
  <si>
    <t xml:space="preserve">GCGCGTCGCCCTGGCCTTTC</t>
  </si>
  <si>
    <t xml:space="preserve">TAGTGCGCGTCGCCCTGGCCTTTC</t>
  </si>
  <si>
    <t xml:space="preserve">AAACGAAAGGCCAGGGCGACGCGC</t>
  </si>
  <si>
    <t xml:space="preserve">GGTGCGCGGGAATCGGAATA</t>
  </si>
  <si>
    <t xml:space="preserve">TAGTGGTGCGCGGGAATCGGAATA</t>
  </si>
  <si>
    <t xml:space="preserve">AAACTATTCCGATTCCCGCGCACC</t>
  </si>
  <si>
    <t xml:space="preserve">PST_1077</t>
  </si>
  <si>
    <t xml:space="preserve">murE</t>
  </si>
  <si>
    <t xml:space="preserve">AGCAGGTGATTCAATGGCAT</t>
  </si>
  <si>
    <t xml:space="preserve">TAGTAGCAGGTGATTCAATGGCAT</t>
  </si>
  <si>
    <t xml:space="preserve">AAACATGCCATTGAATCACCTGCT</t>
  </si>
  <si>
    <t xml:space="preserve">AGGACGTCGCTGCCGGCATG</t>
  </si>
  <si>
    <t xml:space="preserve">TAGTAGGACGTCGCTGCCGGCATG</t>
  </si>
  <si>
    <t xml:space="preserve">AAACCATGCCGGCAGCGACGTCCT</t>
  </si>
  <si>
    <t xml:space="preserve">CGAGCGTCAACTCGCGGATC</t>
  </si>
  <si>
    <t xml:space="preserve">TAGTCGAGCGTCAACTCGCGGATC</t>
  </si>
  <si>
    <t xml:space="preserve">AAACGATCCGCGAGTTGACGCTCG</t>
  </si>
  <si>
    <t xml:space="preserve">GGTCGCCGCCACGAACCTTG</t>
  </si>
  <si>
    <t xml:space="preserve">TAGTGGTCGCCGCCACGAACCTTG</t>
  </si>
  <si>
    <t xml:space="preserve">AAACCAAGGTTCGTGGCGGCGACC</t>
  </si>
  <si>
    <t xml:space="preserve">PST_1078</t>
  </si>
  <si>
    <t xml:space="preserve">murF</t>
  </si>
  <si>
    <t xml:space="preserve">CTGCAGCTCGCTCAGTCGCA</t>
  </si>
  <si>
    <t xml:space="preserve">TAGTCTGCAGCTCGCTCAGTCGCA</t>
  </si>
  <si>
    <t xml:space="preserve">AAACTGCGACTGAGCGAGCTGCAG</t>
  </si>
  <si>
    <t xml:space="preserve">CCCACCAGACGGCCGGACAA</t>
  </si>
  <si>
    <t xml:space="preserve">TAGTCCCACCAGACGGCCGGACAA</t>
  </si>
  <si>
    <t xml:space="preserve">AAACTTGTCCGGCCGTCTGGTGGG</t>
  </si>
  <si>
    <t xml:space="preserve">GACCGCAGAGAAGCTGGCAT</t>
  </si>
  <si>
    <t xml:space="preserve">TAGTGACCGCAGAGAAGCTGGCAT</t>
  </si>
  <si>
    <t xml:space="preserve">AAACATGCCAGCTTCTCTGCGGTC</t>
  </si>
  <si>
    <t xml:space="preserve">CAATGAACAGCTGCCCCGGC</t>
  </si>
  <si>
    <t xml:space="preserve">TAGTCAATGAACAGCTGCCCCGGC</t>
  </si>
  <si>
    <t xml:space="preserve">AAACGCCGGGGCAGCTGTTCATTG</t>
  </si>
  <si>
    <t xml:space="preserve">PST_1079</t>
  </si>
  <si>
    <t xml:space="preserve">mraY</t>
  </si>
  <si>
    <t xml:space="preserve">GTGGAACTGTTGCAGATACT</t>
  </si>
  <si>
    <t xml:space="preserve">TAGTGTGGAACTGTTGCAGATACT</t>
  </si>
  <si>
    <t xml:space="preserve">AAACAGTATCTGCAACAGTTCCAC</t>
  </si>
  <si>
    <t xml:space="preserve">TTCCACGCAGCGACAGGTAC</t>
  </si>
  <si>
    <t xml:space="preserve">TAGTTTCCACGCAGCGACAGGTAC</t>
  </si>
  <si>
    <t xml:space="preserve">AAACGTACCTGTCGCTGCGTGGAA</t>
  </si>
  <si>
    <t xml:space="preserve">CCAGCGCGGTGAGGACGCCG</t>
  </si>
  <si>
    <t xml:space="preserve">TAGTCCAGCGCGGTGAGGACGCCG</t>
  </si>
  <si>
    <t xml:space="preserve">AAACCGGCGTCCTCACCGCGCTGG</t>
  </si>
  <si>
    <t xml:space="preserve">GGAGGGTGCGGATCAGCCAC</t>
  </si>
  <si>
    <t xml:space="preserve">TAGTGGAGGGTGCGGATCAGCCAC</t>
  </si>
  <si>
    <t xml:space="preserve">AAACGTGGCTGATCCGCACCCTCC</t>
  </si>
  <si>
    <t xml:space="preserve">PST_1080</t>
  </si>
  <si>
    <t xml:space="preserve">murD</t>
  </si>
  <si>
    <t xml:space="preserve">GACAACGATGCGGAACTGGT</t>
  </si>
  <si>
    <t xml:space="preserve">TAGTGACAACGATGCGGAACTGGT</t>
  </si>
  <si>
    <t xml:space="preserve">AAACACCAGTTCCGCATCGTTGTC</t>
  </si>
  <si>
    <t xml:space="preserve">GGGACATGCCGCTCTTGCCG</t>
  </si>
  <si>
    <t xml:space="preserve">TAGTGGGACATGCCGCTCTTGCCG</t>
  </si>
  <si>
    <t xml:space="preserve">AAACCGGCAAGAGCGGCATGTCCC</t>
  </si>
  <si>
    <t xml:space="preserve">GCGCGCCAGGTGGCGAACCA</t>
  </si>
  <si>
    <t xml:space="preserve">TAGTGCGCGCCAGGTGGCGAACCA</t>
  </si>
  <si>
    <t xml:space="preserve">AAACTGGTTCGCCACCTGGCGCGC</t>
  </si>
  <si>
    <t xml:space="preserve">CCACGGCAAACGGCAGCCCG</t>
  </si>
  <si>
    <t xml:space="preserve">TAGTCCACGGCAAACGGCAGCCCG</t>
  </si>
  <si>
    <t xml:space="preserve">AAACCGGGCTGCCGTTTGCCGTGG</t>
  </si>
  <si>
    <t xml:space="preserve">PST_1081</t>
  </si>
  <si>
    <t xml:space="preserve">ftsW</t>
  </si>
  <si>
    <t xml:space="preserve">CGAAGGGGCTTGGCGCAGGA</t>
  </si>
  <si>
    <t xml:space="preserve">TAGTCGAAGGGGCTTGGCGCAGGA</t>
  </si>
  <si>
    <t xml:space="preserve">AAACTCCTGCGCCAAGCCCCTTCG</t>
  </si>
  <si>
    <t xml:space="preserve">ACACCACGGCGGCCGTACAG</t>
  </si>
  <si>
    <t xml:space="preserve">TAGTACACCACGGCGGCCGTACAG</t>
  </si>
  <si>
    <t xml:space="preserve">AAACCTGTACGGCCGCCGTGGTGT</t>
  </si>
  <si>
    <t xml:space="preserve">CGGCCAGCATGGGGAAGTCC</t>
  </si>
  <si>
    <t xml:space="preserve">TAGTCGGCCAGCATGGGGAAGTCC</t>
  </si>
  <si>
    <t xml:space="preserve">AAACGGACTTCCCCATGCTGGCCG</t>
  </si>
  <si>
    <t xml:space="preserve">ACCAAGCAGCGCCAGACAAC</t>
  </si>
  <si>
    <t xml:space="preserve">TAGTACCAAGCAGCGCCAGACAAC</t>
  </si>
  <si>
    <t xml:space="preserve">AAACGTTGTCTGGCGCTGCTTGGT</t>
  </si>
  <si>
    <t xml:space="preserve">PST_1082</t>
  </si>
  <si>
    <t xml:space="preserve">murG</t>
  </si>
  <si>
    <t xml:space="preserve">CGGTACCGCCGGCCATGATC</t>
  </si>
  <si>
    <t xml:space="preserve">TAGTCGGTACCGCCGGCCATGATC</t>
  </si>
  <si>
    <t xml:space="preserve">AAACGATCATGGCCGGCGGTACCG</t>
  </si>
  <si>
    <t xml:space="preserve">CGCAGGGAATACGTGCCCAC</t>
  </si>
  <si>
    <t xml:space="preserve">TAGTCGCAGGGAATACGTGCCCAC</t>
  </si>
  <si>
    <t xml:space="preserve">AAACGTGGGCACGTATTCCCTGCG</t>
  </si>
  <si>
    <t xml:space="preserve">CGTCTGGAACTCGCGCGCGC</t>
  </si>
  <si>
    <t xml:space="preserve">TAGTCGTCTGGAACTCGCGCGCGC</t>
  </si>
  <si>
    <t xml:space="preserve">AAACGCGCGCGCGAGTTCCAGACG</t>
  </si>
  <si>
    <t xml:space="preserve">CGGCGTGCCGAGCCAATGCA</t>
  </si>
  <si>
    <t xml:space="preserve">TAGTCGGCGTGCCGAGCCAATGCA</t>
  </si>
  <si>
    <t xml:space="preserve">AAACTGCATTGGCTCGGCACGCCG</t>
  </si>
  <si>
    <t xml:space="preserve">PST_1083</t>
  </si>
  <si>
    <t xml:space="preserve">murC</t>
  </si>
  <si>
    <t xml:space="preserve">ACTTCGGCTTTCACCGCAGC</t>
  </si>
  <si>
    <t xml:space="preserve">TAGTACTTCGGCTTTCACCGCAGC</t>
  </si>
  <si>
    <t xml:space="preserve">AAACGCTGCGGTGAAAGCCGAAGT</t>
  </si>
  <si>
    <t xml:space="preserve">TGCGGCGGATGCGCCGCATG</t>
  </si>
  <si>
    <t xml:space="preserve">TAGTTGCGGCGGATGCGCCGCATG</t>
  </si>
  <si>
    <t xml:space="preserve">AAACCATGCGGCGCATCCGCCGCA</t>
  </si>
  <si>
    <t xml:space="preserve">GCCGAGATTGAGCAGCACTT</t>
  </si>
  <si>
    <t xml:space="preserve">TAGTGCCGAGATTGAGCAGCACTT</t>
  </si>
  <si>
    <t xml:space="preserve">AAACAAGTGCTGCTCAATCTCGGC</t>
  </si>
  <si>
    <t xml:space="preserve">CGATTCCTTGAGGTCCGAGC</t>
  </si>
  <si>
    <t xml:space="preserve">TAGTCGATTCCTTGAGGTCCGAGC</t>
  </si>
  <si>
    <t xml:space="preserve">AAACGCTCGGACCTCAAGGAATCG</t>
  </si>
  <si>
    <t xml:space="preserve">PST_1084</t>
  </si>
  <si>
    <t xml:space="preserve">ddlB</t>
  </si>
  <si>
    <t xml:space="preserve">CGACGCGGCCGAATTCCTTG</t>
  </si>
  <si>
    <t xml:space="preserve">TAGTCGACGCGGCCGAATTCCTTG</t>
  </si>
  <si>
    <t xml:space="preserve">AAACCAAGGAATTCGGCCGCGTCG</t>
  </si>
  <si>
    <t xml:space="preserve">GCTCTTGCCGCCGAAGAGCA</t>
  </si>
  <si>
    <t xml:space="preserve">TAGTGCTCTTGCCGCCGAAGAGCA</t>
  </si>
  <si>
    <t xml:space="preserve">AAACTGCTCTTCGGCGGCAAGAGC</t>
  </si>
  <si>
    <t xml:space="preserve">CTTGAGGGAGACCTCGCGCT</t>
  </si>
  <si>
    <t xml:space="preserve">TAGTCTTGAGGGAGACCTCGCGCT</t>
  </si>
  <si>
    <t xml:space="preserve">AAACAGCGCGAGGTCTCCCTCAAG</t>
  </si>
  <si>
    <t xml:space="preserve">CGCGGCGAGCACGGCAGCGC</t>
  </si>
  <si>
    <t xml:space="preserve">TAGTCGCGGCGAGCACGGCAGCGC</t>
  </si>
  <si>
    <t xml:space="preserve">AAACGCGCTGCCGTGCTCGCCGCG</t>
  </si>
  <si>
    <t xml:space="preserve">PST_1085</t>
  </si>
  <si>
    <t xml:space="preserve">ftsQ</t>
  </si>
  <si>
    <t xml:space="preserve">ATGACGCAGCGTGGTGATCA</t>
  </si>
  <si>
    <t xml:space="preserve">TAGTATGACGCAGCGTGGTGATCA</t>
  </si>
  <si>
    <t xml:space="preserve">AAACTGATCACCACGCTGCGTCAT</t>
  </si>
  <si>
    <t xml:space="preserve">CGCGAGGCGCGTCCGTTGCC</t>
  </si>
  <si>
    <t xml:space="preserve">TAGTCGCGAGGCGCGTCCGTTGCC</t>
  </si>
  <si>
    <t xml:space="preserve">AAACGGCAACGGACGCGCCTCGCG</t>
  </si>
  <si>
    <t xml:space="preserve">CGGCTCGCACCCCGTTGCAC</t>
  </si>
  <si>
    <t xml:space="preserve">TAGTCGGCTCGCACCCCGTTGCAC</t>
  </si>
  <si>
    <t xml:space="preserve">AAACGTGCAACGGGGTGCGAGCCG</t>
  </si>
  <si>
    <t xml:space="preserve">GCGGCTGCGGCGTCACCAGG</t>
  </si>
  <si>
    <t xml:space="preserve">TAGTGCGGCTGCGGCGTCACCAGG</t>
  </si>
  <si>
    <t xml:space="preserve">AAACCCTGGTGACGCCGCAGCCGC</t>
  </si>
  <si>
    <t xml:space="preserve">PST_1086</t>
  </si>
  <si>
    <t xml:space="preserve">ftsA</t>
  </si>
  <si>
    <t xml:space="preserve">CCTTGGAGGTGCCGATGTCC</t>
  </si>
  <si>
    <t xml:space="preserve">TAGTCCTTGGAGGTGCCGATGTCC</t>
  </si>
  <si>
    <t xml:space="preserve">AAACGGACATCGGCACCTCCAAGG</t>
  </si>
  <si>
    <t xml:space="preserve">GATTTCCAGTTCACCATCGG</t>
  </si>
  <si>
    <t xml:space="preserve">TAGTGATTTCCAGTTCACCATCGG</t>
  </si>
  <si>
    <t xml:space="preserve">AAACCCGATGGTGAACTGGAAATC</t>
  </si>
  <si>
    <t xml:space="preserve">CTTCAGGCCGCGCGAAGGAT</t>
  </si>
  <si>
    <t xml:space="preserve">TAGTCTTCAGGCCGCGCGAAGGAT</t>
  </si>
  <si>
    <t xml:space="preserve">AAACATCCTTCGCGCGGCCTGAAG</t>
  </si>
  <si>
    <t xml:space="preserve">GCGCTGGATCGACTGCACGG</t>
  </si>
  <si>
    <t xml:space="preserve">TAGTGCGCTGGATCGACTGCACGG</t>
  </si>
  <si>
    <t xml:space="preserve">AAACCCGTGCAGTCGATCCAGCGC</t>
  </si>
  <si>
    <t xml:space="preserve">PST_1087</t>
  </si>
  <si>
    <t xml:space="preserve">ftsZ</t>
  </si>
  <si>
    <t xml:space="preserve">CTTGATGACTGCACTTTGCG</t>
  </si>
  <si>
    <t xml:space="preserve">TAGTCTTGATGACTGCACTTTGCG</t>
  </si>
  <si>
    <t xml:space="preserve">AAACCGCAAAGTGCAGTCATCAAG</t>
  </si>
  <si>
    <t xml:space="preserve">GTTGCGAACCATGTGGTTCA</t>
  </si>
  <si>
    <t xml:space="preserve">TAGTGTTGCGAACCATGTGGTTCA</t>
  </si>
  <si>
    <t xml:space="preserve">AAACTGAACCACATGGTTCGCAAC</t>
  </si>
  <si>
    <t xml:space="preserve">CAGCGCCTGCGCATCGGTGT</t>
  </si>
  <si>
    <t xml:space="preserve">TAGTCAGCGCCTGCGCATCGGTGT</t>
  </si>
  <si>
    <t xml:space="preserve">AAACACACCGATGCGCAGGCGCTG</t>
  </si>
  <si>
    <t xml:space="preserve">AGCCGAGCCGAGCTGCAGCA</t>
  </si>
  <si>
    <t xml:space="preserve">TAGTAGCCGAGCCGAGCTGCAGCA</t>
  </si>
  <si>
    <t xml:space="preserve">AAACTGCTGCAGCTCGGCTCGGCT</t>
  </si>
  <si>
    <t xml:space="preserve">PST_1088</t>
  </si>
  <si>
    <t xml:space="preserve">lpxC</t>
  </si>
  <si>
    <t xml:space="preserve">AACACGATCCCGGTGTCCAC</t>
  </si>
  <si>
    <t xml:space="preserve">TAGTAACACGATCCCGGTGTCCAC</t>
  </si>
  <si>
    <t xml:space="preserve">AAACGTGGACACCGGGATCGTGTT</t>
  </si>
  <si>
    <t xml:space="preserve">CTCCACAGGCGGGTTGAGGT</t>
  </si>
  <si>
    <t xml:space="preserve">TAGTCTCCACAGGCGGGTTGAGGT</t>
  </si>
  <si>
    <t xml:space="preserve">AAACACCTCAACCCGCCTGTGGAG</t>
  </si>
  <si>
    <t xml:space="preserve">CCAACATTCTCGGCCCGCGC</t>
  </si>
  <si>
    <t xml:space="preserve">TAGTCCAACATTCTCGGCCCGCGC</t>
  </si>
  <si>
    <t xml:space="preserve">AAACGCGCGGGCCGAGAATGTTGG</t>
  </si>
  <si>
    <t xml:space="preserve">GACCAGCGTCGTGGACATGG</t>
  </si>
  <si>
    <t xml:space="preserve">TAGTGACCAGCGTCGTGGACATGG</t>
  </si>
  <si>
    <t xml:space="preserve">AAACCCATGTCCACGACGCTGGTC</t>
  </si>
  <si>
    <t xml:space="preserve">PST_1090</t>
  </si>
  <si>
    <t xml:space="preserve">GTTGACGGGCCCGCTCGCGC</t>
  </si>
  <si>
    <t xml:space="preserve">TAGTGTTGACGGGCCCGCTCGCGC</t>
  </si>
  <si>
    <t xml:space="preserve">AAACGCGCGAGCGGGCCCGTCAAC</t>
  </si>
  <si>
    <t xml:space="preserve">ACGGTCGGCGGAATAGCTCT</t>
  </si>
  <si>
    <t xml:space="preserve">TAGTACGGTCGGCGGAATAGCTCT</t>
  </si>
  <si>
    <t xml:space="preserve">AAACAGAGCTATTCCGCCGACCGT</t>
  </si>
  <si>
    <t xml:space="preserve">CAGGTAGCAGACCAGCTCGG</t>
  </si>
  <si>
    <t xml:space="preserve">TAGTCAGGTAGCAGACCAGCTCGG</t>
  </si>
  <si>
    <t xml:space="preserve">AAACCCGAGCTGGTCTGCTACCTG</t>
  </si>
  <si>
    <t xml:space="preserve">GGCGACGCTGGATTTCAGTC</t>
  </si>
  <si>
    <t xml:space="preserve">TAGTGGCGACGCTGGATTTCAGTC</t>
  </si>
  <si>
    <t xml:space="preserve">AAACGACTGAAATCCAGCGTCGCC</t>
  </si>
  <si>
    <t xml:space="preserve">PST_1091</t>
  </si>
  <si>
    <t xml:space="preserve">GGCTTTGTCTCCACGGGGCA</t>
  </si>
  <si>
    <t xml:space="preserve">TAGTGGCTTTGTCTCCACGGGGCA</t>
  </si>
  <si>
    <t xml:space="preserve">AAACTGCCCCGTGGAGACAAAGCC</t>
  </si>
  <si>
    <t xml:space="preserve">CTGTTGCTTGTCGGTGTACT</t>
  </si>
  <si>
    <t xml:space="preserve">TAGTCTGTTGCTTGTCGGTGTACT</t>
  </si>
  <si>
    <t xml:space="preserve">AAACAGTACACCGACAAGCAACAG</t>
  </si>
  <si>
    <t xml:space="preserve">GTAGCTTTCCTCGATATGTT</t>
  </si>
  <si>
    <t xml:space="preserve">TAGTGTAGCTTTCCTCGATATGTT</t>
  </si>
  <si>
    <t xml:space="preserve">AAACAACATATCGAGGAAAGCTAC</t>
  </si>
  <si>
    <t xml:space="preserve">GGTTGCCCAGGCACGTGCTT</t>
  </si>
  <si>
    <t xml:space="preserve">TAGTGGTTGCCCAGGCACGTGCTT</t>
  </si>
  <si>
    <t xml:space="preserve">AAACAAGCACGTGCCTGGGCAACC</t>
  </si>
  <si>
    <t xml:space="preserve">PST_1092</t>
  </si>
  <si>
    <t xml:space="preserve">osmE</t>
  </si>
  <si>
    <t xml:space="preserve">CAGCGGAGCGATGAAAAAAA</t>
  </si>
  <si>
    <t xml:space="preserve">TAGTCAGCGGAGCGATGAAAAAAA</t>
  </si>
  <si>
    <t xml:space="preserve">AAACTTTTTTTCATCGCTCCGCTG</t>
  </si>
  <si>
    <t xml:space="preserve">GACGGGGTTCTGCACGTTGC</t>
  </si>
  <si>
    <t xml:space="preserve">TAGTGACGGGGTTCTGCACGTTGC</t>
  </si>
  <si>
    <t xml:space="preserve">AAACGCAACGTGCAGAACCCCGTC</t>
  </si>
  <si>
    <t xml:space="preserve">GCTCGTCGCGATAGGTGATT</t>
  </si>
  <si>
    <t xml:space="preserve">TAGTGCTCGTCGCGATAGGTGATT</t>
  </si>
  <si>
    <t xml:space="preserve">AAACAATCACCTATCGCGACGAGC</t>
  </si>
  <si>
    <t xml:space="preserve">GTTTCCACGTCCCGTACCAG</t>
  </si>
  <si>
    <t xml:space="preserve">TAGTGTTTCCACGTCCCGTACCAG</t>
  </si>
  <si>
    <t xml:space="preserve">AAACCTGGTACGGGACGTGGAAAC</t>
  </si>
  <si>
    <t xml:space="preserve">PST_1093</t>
  </si>
  <si>
    <t xml:space="preserve">GATCCGTGTATGGCACAGCA</t>
  </si>
  <si>
    <t xml:space="preserve">TAGTGATCCGTGTATGGCACAGCA</t>
  </si>
  <si>
    <t xml:space="preserve">AAACTGCTGTGCCATACACGGATC</t>
  </si>
  <si>
    <t xml:space="preserve">GCCGCCAAGGGCAAGCAGCG</t>
  </si>
  <si>
    <t xml:space="preserve">TAGTGCCGCCAAGGGCAAGCAGCG</t>
  </si>
  <si>
    <t xml:space="preserve">AAACCGCTGCTTGCCCTTGGCGGC</t>
  </si>
  <si>
    <t xml:space="preserve">GCTTTCCACCGGCAGCTTGG</t>
  </si>
  <si>
    <t xml:space="preserve">TAGTGCTTTCCACCGGCAGCTTGG</t>
  </si>
  <si>
    <t xml:space="preserve">AAACCCAAGCTGCCGGTGGAAAGC</t>
  </si>
  <si>
    <t xml:space="preserve">GCGCGGGCAGGGCAGGTGTC</t>
  </si>
  <si>
    <t xml:space="preserve">TAGTGCGCGGGCAGGGCAGGTGTC</t>
  </si>
  <si>
    <t xml:space="preserve">AAACGACACCTGCCCTGCCCGCGC</t>
  </si>
  <si>
    <t xml:space="preserve">PST_1094</t>
  </si>
  <si>
    <t xml:space="preserve">AAACTCCGCGGTCACGGTAC</t>
  </si>
  <si>
    <t xml:space="preserve">TAGTAAACTCCGCGGTCACGGTAC</t>
  </si>
  <si>
    <t xml:space="preserve">AAACGTACCGTGACCGCGGAGTTT</t>
  </si>
  <si>
    <t xml:space="preserve">ATCCTCCAGGTCGGTGATAT</t>
  </si>
  <si>
    <t xml:space="preserve">TAGTATCCTCCAGGTCGGTGATAT</t>
  </si>
  <si>
    <t xml:space="preserve">AAACATATCACCGACCTGGAGGAT</t>
  </si>
  <si>
    <t xml:space="preserve">GAATCGTTGCGATCAGCAAG</t>
  </si>
  <si>
    <t xml:space="preserve">TAGTGAATCGTTGCGATCAGCAAG</t>
  </si>
  <si>
    <t xml:space="preserve">AAACCTTGCTGATCGCAACGATTC</t>
  </si>
  <si>
    <t xml:space="preserve">GCTCGCGCTCATAGCCCAGC</t>
  </si>
  <si>
    <t xml:space="preserve">TAGTGCTCGCGCTCATAGCCCAGC</t>
  </si>
  <si>
    <t xml:space="preserve">AAACGCTGGGCTATGAGCGCGAGC</t>
  </si>
  <si>
    <t xml:space="preserve">PST_1095</t>
  </si>
  <si>
    <t xml:space="preserve">TCGAACAGGCGCGACAGCAG</t>
  </si>
  <si>
    <t xml:space="preserve">TAGTTCGAACAGGCGCGACAGCAG</t>
  </si>
  <si>
    <t xml:space="preserve">AAACCTGCTGTCGCGCCTGTTCGA</t>
  </si>
  <si>
    <t xml:space="preserve">CAACGGTGCCGGGGTAGCGA</t>
  </si>
  <si>
    <t xml:space="preserve">TAGTCAACGGTGCCGGGGTAGCGA</t>
  </si>
  <si>
    <t xml:space="preserve">AAACTCGCTACCCCGGCACCGTTG</t>
  </si>
  <si>
    <t xml:space="preserve">CAGCACGAAACTGGCGACGC</t>
  </si>
  <si>
    <t xml:space="preserve">TAGTCAGCACGAAACTGGCGACGC</t>
  </si>
  <si>
    <t xml:space="preserve">AAACGCGTCGCCAGTTTCGTGCTG</t>
  </si>
  <si>
    <t xml:space="preserve">CCACCTTGGCCAGCCCGGCG</t>
  </si>
  <si>
    <t xml:space="preserve">TAGTCCACCTTGGCCAGCCCGGCG</t>
  </si>
  <si>
    <t xml:space="preserve">AAACCGCCGGGCTGGCCAAGGTGG</t>
  </si>
  <si>
    <t xml:space="preserve">PST_1096</t>
  </si>
  <si>
    <t xml:space="preserve">AAGGGCAAATAGCAGGGGCA</t>
  </si>
  <si>
    <t xml:space="preserve">TAGTAAGGGCAAATAGCAGGGGCA</t>
  </si>
  <si>
    <t xml:space="preserve">AAACTGCCCCTGCTATTTGCCCTT</t>
  </si>
  <si>
    <t xml:space="preserve">GTTCGCCAGGGTCGCAACAG</t>
  </si>
  <si>
    <t xml:space="preserve">TAGTGTTCGCCAGGGTCGCAACAG</t>
  </si>
  <si>
    <t xml:space="preserve">AAACCTGTTGCGACCCTGGCGAAC</t>
  </si>
  <si>
    <t xml:space="preserve">GGCCTCGTCGATAGGCTGGC</t>
  </si>
  <si>
    <t xml:space="preserve">TAGTGGCCTCGTCGATAGGCTGGC</t>
  </si>
  <si>
    <t xml:space="preserve">AAACGCCAGCCTATCGACGAGGCC</t>
  </si>
  <si>
    <t xml:space="preserve">GGTCGAACAGGGCGGCGACC</t>
  </si>
  <si>
    <t xml:space="preserve">TAGTGGTCGAACAGGGCGGCGACC</t>
  </si>
  <si>
    <t xml:space="preserve">AAACGGTCGCCGCCCTGTTCGACC</t>
  </si>
  <si>
    <t xml:space="preserve">PST_1097</t>
  </si>
  <si>
    <t xml:space="preserve">GTCAATGCCAGCCAGCTCAT</t>
  </si>
  <si>
    <t xml:space="preserve">TAGTGTCAATGCCAGCCAGCTCAT</t>
  </si>
  <si>
    <t xml:space="preserve">AAACATGAGCTGGCTGGCATTGAC</t>
  </si>
  <si>
    <t xml:space="preserve">GCAGCGCCGGGTGGTTGAGT</t>
  </si>
  <si>
    <t xml:space="preserve">TAGTGCAGCGCCGGGTGGTTGAGT</t>
  </si>
  <si>
    <t xml:space="preserve">AAACACTCAACCACCCGGCGCTGC</t>
  </si>
  <si>
    <t xml:space="preserve">GAGGCACCTTGAGTCGATAG</t>
  </si>
  <si>
    <t xml:space="preserve">TAGTGAGGCACCTTGAGTCGATAG</t>
  </si>
  <si>
    <t xml:space="preserve">AAACCTATCGACTCAAGGTGCCTC</t>
  </si>
  <si>
    <t xml:space="preserve">CGCTCACCTTGGGGAGCACC</t>
  </si>
  <si>
    <t xml:space="preserve">TAGTCGCTCACCTTGGGGAGCACC</t>
  </si>
  <si>
    <t xml:space="preserve">AAACGGTGCTCCCCAAGGTGAGCG</t>
  </si>
  <si>
    <t xml:space="preserve">PST_1098</t>
  </si>
  <si>
    <t xml:space="preserve">CAGATGGAACGCAGGGACAT</t>
  </si>
  <si>
    <t xml:space="preserve">TAGTCAGATGGAACGCAGGGACAT</t>
  </si>
  <si>
    <t xml:space="preserve">AAACATGTCCCTGCGTTCCATCTG</t>
  </si>
  <si>
    <t xml:space="preserve">AACGGGATTGGTACCGCGGC</t>
  </si>
  <si>
    <t xml:space="preserve">TAGTAACGGGATTGGTACCGCGGC</t>
  </si>
  <si>
    <t xml:space="preserve">AAACGCCGCGGTACCAATCCCGTT</t>
  </si>
  <si>
    <t xml:space="preserve">GGTGCGACCGAGATCCTGGG</t>
  </si>
  <si>
    <t xml:space="preserve">TAGTGGTGCGACCGAGATCCTGGG</t>
  </si>
  <si>
    <t xml:space="preserve">AAACCCCAGGATCTCGGTCGCACC</t>
  </si>
  <si>
    <t xml:space="preserve">GCGAATACCGTTGGCGGCCA</t>
  </si>
  <si>
    <t xml:space="preserve">TAGTGCGAATACCGTTGGCGGCCA</t>
  </si>
  <si>
    <t xml:space="preserve">AAACTGGCCGCCAACGGTATTCGC</t>
  </si>
  <si>
    <t xml:space="preserve">PST_1099</t>
  </si>
  <si>
    <t xml:space="preserve">GACCTTGTCTTCGAAGCGGA</t>
  </si>
  <si>
    <t xml:space="preserve">TAGTGACCTTGTCTTCGAAGCGGA</t>
  </si>
  <si>
    <t xml:space="preserve">AAACTCCGCTTCGAAGACAAGGTC</t>
  </si>
  <si>
    <t xml:space="preserve">CCCCAGCCCGCCGCCGGCCC</t>
  </si>
  <si>
    <t xml:space="preserve">TAGTCCCCAGCCCGCCGCCGGCCC</t>
  </si>
  <si>
    <t xml:space="preserve">AAACGGGCCGGCGGCGGGCTGGGG</t>
  </si>
  <si>
    <t xml:space="preserve">GCGCGCGAACAACAGGGCAT</t>
  </si>
  <si>
    <t xml:space="preserve">TAGTGCGCGCGAACAACAGGGCAT</t>
  </si>
  <si>
    <t xml:space="preserve">AAACATGCCCTGTTGTTCGCGCGC</t>
  </si>
  <si>
    <t xml:space="preserve">TGACCACCACTCTGGCGCCG</t>
  </si>
  <si>
    <t xml:space="preserve">TAGTTGACCACCACTCTGGCGCCG</t>
  </si>
  <si>
    <t xml:space="preserve">AAACCGGCGCCAGAGTGGTGGTCA</t>
  </si>
  <si>
    <t xml:space="preserve">PST_1100</t>
  </si>
  <si>
    <t xml:space="preserve">CGCCATGCCGCGAACAGAGG</t>
  </si>
  <si>
    <t xml:space="preserve">TAGTCGCCATGCCGCGAACAGAGG</t>
  </si>
  <si>
    <t xml:space="preserve">AAACCCTCTGTTCGCGGCATGGCG</t>
  </si>
  <si>
    <t xml:space="preserve">GGCTCCGTAACCCAGGTGCA</t>
  </si>
  <si>
    <t xml:space="preserve">TAGTGGCTCCGTAACCCAGGTGCA</t>
  </si>
  <si>
    <t xml:space="preserve">AAACTGCACCTGGGTTACGGAGCC</t>
  </si>
  <si>
    <t xml:space="preserve">GATGTCGCCGCGCAATGCGC</t>
  </si>
  <si>
    <t xml:space="preserve">TAGTGATGTCGCCGCGCAATGCGC</t>
  </si>
  <si>
    <t xml:space="preserve">AAACGCGCATTGCGCGGCGACATC</t>
  </si>
  <si>
    <t xml:space="preserve">GATGATGCCAACGGTCAATC</t>
  </si>
  <si>
    <t xml:space="preserve">TAGTGATGATGCCAACGGTCAATC</t>
  </si>
  <si>
    <t xml:space="preserve">AAACGATTGACCGTTGGCATCATC</t>
  </si>
  <si>
    <t xml:space="preserve">PST_1101</t>
  </si>
  <si>
    <t xml:space="preserve">GGGGTGTCGTCAGCCGGTTC</t>
  </si>
  <si>
    <t xml:space="preserve">TAGTGGGGTGTCGTCAGCCGGTTC</t>
  </si>
  <si>
    <t xml:space="preserve">AAACGAACCGGCTGACGACACCCC</t>
  </si>
  <si>
    <t xml:space="preserve">TCAGCTTGTGCAACGAAGGT</t>
  </si>
  <si>
    <t xml:space="preserve">TAGTTCAGCTTGTGCAACGAAGGT</t>
  </si>
  <si>
    <t xml:space="preserve">AAACACCTTCGTTGCACAAGCTGA</t>
  </si>
  <si>
    <t xml:space="preserve">ATCGATGCGAAGGCCGCGGT</t>
  </si>
  <si>
    <t xml:space="preserve">TAGTATCGATGCGAAGGCCGCGGT</t>
  </si>
  <si>
    <t xml:space="preserve">AAACACCGCGGCCTTCGCATCGAT</t>
  </si>
  <si>
    <t xml:space="preserve">CCTGGCGTCGAGATCGTAGC</t>
  </si>
  <si>
    <t xml:space="preserve">TAGTCCTGGCGTCGAGATCGTAGC</t>
  </si>
  <si>
    <t xml:space="preserve">AAACGCTACGATCTCGACGCCAGG</t>
  </si>
  <si>
    <t xml:space="preserve">PST_1102</t>
  </si>
  <si>
    <t xml:space="preserve">mqoB</t>
  </si>
  <si>
    <t xml:space="preserve">TTCCTTGAGCAGTACCGCCA</t>
  </si>
  <si>
    <t xml:space="preserve">TAGTTTCCTTGAGCAGTACCGCCA</t>
  </si>
  <si>
    <t xml:space="preserve">AAACTGGCGGTACTGCTCAAGGAA</t>
  </si>
  <si>
    <t xml:space="preserve">ACGATTTCCAGCTTGATATT</t>
  </si>
  <si>
    <t xml:space="preserve">TAGTACGATTTCCAGCTTGATATT</t>
  </si>
  <si>
    <t xml:space="preserve">AAACAATATCAAGCTGGAAATCGT</t>
  </si>
  <si>
    <t xml:space="preserve">GTTGGAGCTTTCGATGGCTC</t>
  </si>
  <si>
    <t xml:space="preserve">TAGTGTTGGAGCTTTCGATGGCTC</t>
  </si>
  <si>
    <t xml:space="preserve">AAACGAGCCATCGAAAGCTCCAAC</t>
  </si>
  <si>
    <t xml:space="preserve">CGGTACCGGCGTTGTTCCAC</t>
  </si>
  <si>
    <t xml:space="preserve">TAGTCGGTACCGGCGTTGTTCCAC</t>
  </si>
  <si>
    <t xml:space="preserve">AAACGTGGAACAACGCCGGTACCG</t>
  </si>
  <si>
    <t xml:space="preserve">PST_1103</t>
  </si>
  <si>
    <t xml:space="preserve">GGAAATCAGCTGTCGCATGA</t>
  </si>
  <si>
    <t xml:space="preserve">TAGTGGAAATCAGCTGTCGCATGA</t>
  </si>
  <si>
    <t xml:space="preserve">AAACTCATGCGACAGCTGATTTCC</t>
  </si>
  <si>
    <t xml:space="preserve">AGCGGGGCGGCGGCGCAACA</t>
  </si>
  <si>
    <t xml:space="preserve">TAGTAGCGGGGCGGCGGCGCAACA</t>
  </si>
  <si>
    <t xml:space="preserve">AAACTGTTGCGCCGCCGCCCCGCT</t>
  </si>
  <si>
    <t xml:space="preserve">GTTCATCCAGCAGCGCGAAG</t>
  </si>
  <si>
    <t xml:space="preserve">TAGTGTTCATCCAGCAGCGCGAAG</t>
  </si>
  <si>
    <t xml:space="preserve">AAACCTTCGCGCTGCTGGATGAAC</t>
  </si>
  <si>
    <t xml:space="preserve">TGCTGAGCAGCATGCGGCAC</t>
  </si>
  <si>
    <t xml:space="preserve">TAGTTGCTGAGCAGCATGCGGCAC</t>
  </si>
  <si>
    <t xml:space="preserve">AAACGTGCCGCATGCTGCTCAGCA</t>
  </si>
  <si>
    <t xml:space="preserve">PST_1104</t>
  </si>
  <si>
    <t xml:space="preserve">CGGTGACAAGACCGAACAAC</t>
  </si>
  <si>
    <t xml:space="preserve">TAGTCGGTGACAAGACCGAACAAC</t>
  </si>
  <si>
    <t xml:space="preserve">AAACGTTGTTCGGTCTTGTCACCG</t>
  </si>
  <si>
    <t xml:space="preserve">GACCAGACTCATTCCAAGAA</t>
  </si>
  <si>
    <t xml:space="preserve">TAGTGACCAGACTCATTCCAAGAA</t>
  </si>
  <si>
    <t xml:space="preserve">AAACTTCTTGGAATGAGTCTGGTC</t>
  </si>
  <si>
    <t xml:space="preserve">GTCGAGCTGCTGCGGGCTGT</t>
  </si>
  <si>
    <t xml:space="preserve">TAGTGTCGAGCTGCTGCGGGCTGT</t>
  </si>
  <si>
    <t xml:space="preserve">AAACACAGCCCGCAGCAGCTCGAC</t>
  </si>
  <si>
    <t xml:space="preserve">TGCCGTTGAGTTTGGGGTTC</t>
  </si>
  <si>
    <t xml:space="preserve">TAGTTGCCGTTGAGTTTGGGGTTC</t>
  </si>
  <si>
    <t xml:space="preserve">AAACGAACCCCAAACTCAACGGCA</t>
  </si>
  <si>
    <t xml:space="preserve">PST_1105</t>
  </si>
  <si>
    <t xml:space="preserve">AGCGGCTCCGGGTGATGCCG</t>
  </si>
  <si>
    <t xml:space="preserve">TAGTAGCGGCTCCGGGTGATGCCG</t>
  </si>
  <si>
    <t xml:space="preserve">AAACCGGCATCACCCGGAGCCGCT</t>
  </si>
  <si>
    <t xml:space="preserve">ATCGGCGTAGCGATGTGTGC</t>
  </si>
  <si>
    <t xml:space="preserve">TAGTATCGGCGTAGCGATGTGTGC</t>
  </si>
  <si>
    <t xml:space="preserve">AAACGCACACATCGCTACGCCGAT</t>
  </si>
  <si>
    <t xml:space="preserve">TCCCCGTGGCGCAGCCGAAG</t>
  </si>
  <si>
    <t xml:space="preserve">TAGTTCCCCGTGGCGCAGCCGAAG</t>
  </si>
  <si>
    <t xml:space="preserve">AAACCTTCGGCTGCGCCACGGGGA</t>
  </si>
  <si>
    <t xml:space="preserve">GTTTTCATTATTTCGTCCTG</t>
  </si>
  <si>
    <t xml:space="preserve">TAGTGTTTTCATTATTTCGTCCTG</t>
  </si>
  <si>
    <t xml:space="preserve">AAACCAGGACGAAATAATGAAAAC</t>
  </si>
  <si>
    <t xml:space="preserve">PST_1106</t>
  </si>
  <si>
    <t xml:space="preserve">GTCTGCGCATGAAACAGCAT</t>
  </si>
  <si>
    <t xml:space="preserve">TAGTGTCTGCGCATGAAACAGCAT</t>
  </si>
  <si>
    <t xml:space="preserve">AAACATGCTGTTTCATGCGCAGAC</t>
  </si>
  <si>
    <t xml:space="preserve">CGCCGGAGCCAGGATCAGCT</t>
  </si>
  <si>
    <t xml:space="preserve">TAGTCGCCGGAGCCAGGATCAGCT</t>
  </si>
  <si>
    <t xml:space="preserve">AAACAGCTGATCCTGGCTCCGGCG</t>
  </si>
  <si>
    <t xml:space="preserve">GGCCCGTGCGGCCCGCCACT</t>
  </si>
  <si>
    <t xml:space="preserve">TAGTGGCCCGTGCGGCCCGCCACT</t>
  </si>
  <si>
    <t xml:space="preserve">AAACAGTGGCGGGCCGCACGGGCC</t>
  </si>
  <si>
    <t xml:space="preserve">CGCGGCCTGACCGCGCGAAC</t>
  </si>
  <si>
    <t xml:space="preserve">TAGTCGCGGCCTGACCGCGCGAAC</t>
  </si>
  <si>
    <t xml:space="preserve">AAACGTTCGCGCGGTCAGGCCGCG</t>
  </si>
  <si>
    <t xml:space="preserve">PST_1108</t>
  </si>
  <si>
    <t xml:space="preserve">TGTCGGCCAGGCGCGGGAAG</t>
  </si>
  <si>
    <t xml:space="preserve">TAGTTGTCGGCCAGGCGCGGGAAG</t>
  </si>
  <si>
    <t xml:space="preserve">AAACCTTCCCGCGCCTGGCCGACA</t>
  </si>
  <si>
    <t xml:space="preserve">CGCAGGCGGCGCGAGATCAC</t>
  </si>
  <si>
    <t xml:space="preserve">TAGTCGCAGGCGGCGCGAGATCAC</t>
  </si>
  <si>
    <t xml:space="preserve">AAACGTGATCTCGCGCCGCCTGCG</t>
  </si>
  <si>
    <t xml:space="preserve">GGCATCCACTGTATGGATGC</t>
  </si>
  <si>
    <t xml:space="preserve">TAGTGGCATCCACTGTATGGATGC</t>
  </si>
  <si>
    <t xml:space="preserve">AAACGCATCCATACAGTGGATGCC</t>
  </si>
  <si>
    <t xml:space="preserve">GGCTTCGATCTTGTGCTGTA</t>
  </si>
  <si>
    <t xml:space="preserve">TAGTGGCTTCGATCTTGTGCTGTA</t>
  </si>
  <si>
    <t xml:space="preserve">AAACTACAGCACAAGATCGAAGCC</t>
  </si>
  <si>
    <t xml:space="preserve">PST_1107</t>
  </si>
  <si>
    <t xml:space="preserve">ATCGCCCTGCCCTGTGCTGC</t>
  </si>
  <si>
    <t xml:space="preserve">TAGTATCGCCCTGCCCTGTGCTGC</t>
  </si>
  <si>
    <t xml:space="preserve">AAACGCAGCACAGGGCAGGGCGAT</t>
  </si>
  <si>
    <t xml:space="preserve">GAGTATGAGCCAGCCGGCTC</t>
  </si>
  <si>
    <t xml:space="preserve">TAGTGAGTATGAGCCAGCCGGCTC</t>
  </si>
  <si>
    <t xml:space="preserve">AAACGAGCCGGCTGGCTCATACTC</t>
  </si>
  <si>
    <t xml:space="preserve">CGGCAGACGATCAGGCGAAA</t>
  </si>
  <si>
    <t xml:space="preserve">TAGTCGGCAGACGATCAGGCGAAA</t>
  </si>
  <si>
    <t xml:space="preserve">AAACTTTCGCCTGATCGTCTGCCG</t>
  </si>
  <si>
    <t xml:space="preserve">CACCGCTGGGTCGCAGGCAT</t>
  </si>
  <si>
    <t xml:space="preserve">TAGTCACCGCTGGGTCGCAGGCAT</t>
  </si>
  <si>
    <t xml:space="preserve">AAACATGCCTGCGACCCAGCGGTG</t>
  </si>
  <si>
    <t xml:space="preserve">PST_1109</t>
  </si>
  <si>
    <t xml:space="preserve">TCCGCTTCCAGCAGGTCGCG</t>
  </si>
  <si>
    <t xml:space="preserve">TAGTTCCGCTTCCAGCAGGTCGCG</t>
  </si>
  <si>
    <t xml:space="preserve">AAACCGCGACCTGCTGGAAGCGGA</t>
  </si>
  <si>
    <t xml:space="preserve">AAGGAATGCCTCGATGCCCT</t>
  </si>
  <si>
    <t xml:space="preserve">TAGTAAGGAATGCCTCGATGCCCT</t>
  </si>
  <si>
    <t xml:space="preserve">AAACAGGGCATCGAGGCATTCCTT</t>
  </si>
  <si>
    <t xml:space="preserve">GGCGCCGATCAGGTGGCTAC</t>
  </si>
  <si>
    <t xml:space="preserve">TAGTGGCGCCGATCAGGTGGCTAC</t>
  </si>
  <si>
    <t xml:space="preserve">AAACGTAGCCACCTGATCGGCGCC</t>
  </si>
  <si>
    <t xml:space="preserve">CGCTGCGGGCAATTCACCCA</t>
  </si>
  <si>
    <t xml:space="preserve">TAGTCGCTGCGGGCAATTCACCCA</t>
  </si>
  <si>
    <t xml:space="preserve">AAACTGGGTGAATTGCCCGCAGCG</t>
  </si>
  <si>
    <t xml:space="preserve">PST_1110</t>
  </si>
  <si>
    <t xml:space="preserve">TCCAGCGGAAAAGGGCGTAG</t>
  </si>
  <si>
    <t xml:space="preserve">TAGTTCCAGCGGAAAAGGGCGTAG</t>
  </si>
  <si>
    <t xml:space="preserve">AAACCTACGCCCTTTTCCGCTGGA</t>
  </si>
  <si>
    <t xml:space="preserve">GGAAGGAAAACCGGGCAAGG</t>
  </si>
  <si>
    <t xml:space="preserve">TAGTGGAAGGAAAACCGGGCAAGG</t>
  </si>
  <si>
    <t xml:space="preserve">AAACCCTTGCCCGGTTTTCCTTCC</t>
  </si>
  <si>
    <t xml:space="preserve">ACTCCAGTGCGGTCTTTGAT</t>
  </si>
  <si>
    <t xml:space="preserve">TAGTACTCCAGTGCGGTCTTTGAT</t>
  </si>
  <si>
    <t xml:space="preserve">AAACATCAAAGACCGCACTGGAGT</t>
  </si>
  <si>
    <t xml:space="preserve">AGCAGCAGCACCGAAGCGCC</t>
  </si>
  <si>
    <t xml:space="preserve">TAGTAGCAGCAGCACCGAAGCGCC</t>
  </si>
  <si>
    <t xml:space="preserve">AAACGGCGCTTCGGTGCTGCTGCT</t>
  </si>
  <si>
    <t xml:space="preserve">PST_1113</t>
  </si>
  <si>
    <t xml:space="preserve">ATCAGCATGGATAACGTGCG</t>
  </si>
  <si>
    <t xml:space="preserve">TAGTATCAGCATGGATAACGTGCG</t>
  </si>
  <si>
    <t xml:space="preserve">AAACCGCACGTTATCCATGCTGAT</t>
  </si>
  <si>
    <t xml:space="preserve">ACAGCCGGCCAGCGCGGTGG</t>
  </si>
  <si>
    <t xml:space="preserve">TAGTACAGCCGGCCAGCGCGGTGG</t>
  </si>
  <si>
    <t xml:space="preserve">AAACCCACCGCGCTGGCCGGCTGT</t>
  </si>
  <si>
    <t xml:space="preserve">CCCACCGCTGGTGGTGTTGA</t>
  </si>
  <si>
    <t xml:space="preserve">TAGTCCCACCGCTGGTGGTGTTGA</t>
  </si>
  <si>
    <t xml:space="preserve">AAACTCAACACCACCAGCGGTGGG</t>
  </si>
  <si>
    <t xml:space="preserve">CTGCTTGCGGTCGACCCCCA</t>
  </si>
  <si>
    <t xml:space="preserve">TAGTCTGCTTGCGGTCGACCCCCA</t>
  </si>
  <si>
    <t xml:space="preserve">AAACTGGGGGTCGACCGCAAGCAG</t>
  </si>
  <si>
    <t xml:space="preserve">PST_1114</t>
  </si>
  <si>
    <t xml:space="preserve">TGTTCCAGCTCAGATCGATA</t>
  </si>
  <si>
    <t xml:space="preserve">TAGTTGTTCCAGCTCAGATCGATA</t>
  </si>
  <si>
    <t xml:space="preserve">AAACTATCGATCTGAGCTGGAACA</t>
  </si>
  <si>
    <t xml:space="preserve">TCTGTTCGGAAAGGGCCAGG</t>
  </si>
  <si>
    <t xml:space="preserve">TAGTTCTGTTCGGAAAGGGCCAGG</t>
  </si>
  <si>
    <t xml:space="preserve">AAACCCTGGCCCTTTCCGAACAGA</t>
  </si>
  <si>
    <t xml:space="preserve">GCTGATGAATGAGCCCTTGT</t>
  </si>
  <si>
    <t xml:space="preserve">TAGTGCTGATGAATGAGCCCTTGT</t>
  </si>
  <si>
    <t xml:space="preserve">AAACACAAGGGCTCATTCATCAGC</t>
  </si>
  <si>
    <t xml:space="preserve">AGCCTGCGCTGTTCAGCGGC</t>
  </si>
  <si>
    <t xml:space="preserve">TAGTAGCCTGCGCTGTTCAGCGGC</t>
  </si>
  <si>
    <t xml:space="preserve">AAACGCCGCTGAACAGCGCAGGCT</t>
  </si>
  <si>
    <t xml:space="preserve">PST_1115</t>
  </si>
  <si>
    <t xml:space="preserve">GCGAGGGCAACGATGAGAGT</t>
  </si>
  <si>
    <t xml:space="preserve">TAGTGCGAGGGCAACGATGAGAGT</t>
  </si>
  <si>
    <t xml:space="preserve">AAACACTCTCATCGTTGCCCTCGC</t>
  </si>
  <si>
    <t xml:space="preserve">TTGGGTCTTGTCGCCGATTT</t>
  </si>
  <si>
    <t xml:space="preserve">TAGTTTGGGTCTTGTCGCCGATTT</t>
  </si>
  <si>
    <t xml:space="preserve">AAACAAATCGGCGACAAGACCCAA</t>
  </si>
  <si>
    <t xml:space="preserve">CGGCCAGGGGCGGCGATAGC</t>
  </si>
  <si>
    <t xml:space="preserve">TAGTCGGCCAGGGGCGGCGATAGC</t>
  </si>
  <si>
    <t xml:space="preserve">AAACGCTATCGCCGCCCCTGGCCG</t>
  </si>
  <si>
    <t xml:space="preserve">ACGACGATGCCCCAGATGAT</t>
  </si>
  <si>
    <t xml:space="preserve">TAGTACGACGATGCCCCAGATGAT</t>
  </si>
  <si>
    <t xml:space="preserve">AAACATCATCTGGGGCATCGTCGT</t>
  </si>
  <si>
    <t xml:space="preserve">PST_1116</t>
  </si>
  <si>
    <t xml:space="preserve">rsmC</t>
  </si>
  <si>
    <t xml:space="preserve">ACTTCGCTTCGCGGGTCCAT</t>
  </si>
  <si>
    <t xml:space="preserve">TAGTACTTCGCTTCGCGGGTCCAT</t>
  </si>
  <si>
    <t xml:space="preserve">AAACATGGACCCGCGAAGCGAAGT</t>
  </si>
  <si>
    <t xml:space="preserve">TGTCCCAGCAGGTCGTCGGC</t>
  </si>
  <si>
    <t xml:space="preserve">TAGTTGTCCCAGCAGGTCGTCGGC</t>
  </si>
  <si>
    <t xml:space="preserve">AAACGCCGACGACCTGCTGGGACA</t>
  </si>
  <si>
    <t xml:space="preserve">GGCGTGCCAGCTCCAGGCGG</t>
  </si>
  <si>
    <t xml:space="preserve">TAGTGGCGTGCCAGCTCCAGGCGG</t>
  </si>
  <si>
    <t xml:space="preserve">AAACCCGCCTGGAGCTGGCACGCC</t>
  </si>
  <si>
    <t xml:space="preserve">GTCCAGCTGCTGCTGTTCGC</t>
  </si>
  <si>
    <t xml:space="preserve">TAGTGTCCAGCTGCTGCTGTTCGC</t>
  </si>
  <si>
    <t xml:space="preserve">AAACGCGAACAGCAGCAGCTGGAC</t>
  </si>
  <si>
    <t xml:space="preserve">PST_1117</t>
  </si>
  <si>
    <t xml:space="preserve">hprA</t>
  </si>
  <si>
    <t xml:space="preserve">TCGAGGAAAACGGCGCGATT</t>
  </si>
  <si>
    <t xml:space="preserve">TAGTTCGAGGAAAACGGCGCGATT</t>
  </si>
  <si>
    <t xml:space="preserve">AAACAATCGCGCCGTTTTCCTCGA</t>
  </si>
  <si>
    <t xml:space="preserve">CGCCCTGGTCGAGCGGGGAG</t>
  </si>
  <si>
    <t xml:space="preserve">TAGTCGCCCTGGTCGAGCGGGGAG</t>
  </si>
  <si>
    <t xml:space="preserve">AAACCTCCCCGCTCGACCAGGGCG</t>
  </si>
  <si>
    <t xml:space="preserve">TGCGCAGCGGGGCGAGGTCG</t>
  </si>
  <si>
    <t xml:space="preserve">TAGTTGCGCAGCGGGGCGAGGTCG</t>
  </si>
  <si>
    <t xml:space="preserve">AAACCGACCTCGCCCCGCTGCGCA</t>
  </si>
  <si>
    <t xml:space="preserve">GTGGCAGACCAGCTCGTCGA</t>
  </si>
  <si>
    <t xml:space="preserve">TAGTGTGGCAGACCAGCTCGTCGA</t>
  </si>
  <si>
    <t xml:space="preserve">AAACTCGACGAGCTGGTCTGCCAC</t>
  </si>
  <si>
    <t xml:space="preserve">PST_1118</t>
  </si>
  <si>
    <t xml:space="preserve">GAGCAGATGCACCAGCGCCA</t>
  </si>
  <si>
    <t xml:space="preserve">TAGTGAGCAGATGCACCAGCGCCA</t>
  </si>
  <si>
    <t xml:space="preserve">AAACTGGCGCTGGTGCATCTGCTC</t>
  </si>
  <si>
    <t xml:space="preserve">CCACCGCGAAATCCGGGCCG</t>
  </si>
  <si>
    <t xml:space="preserve">TAGTCCACCGCGAAATCCGGGCCG</t>
  </si>
  <si>
    <t xml:space="preserve">AAACCGGCCCGGATTTCGCGGTGG</t>
  </si>
  <si>
    <t xml:space="preserve">CCGTCCAGCTACCCGCACGC</t>
  </si>
  <si>
    <t xml:space="preserve">TAGTCCGTCCAGCTACCCGCACGC</t>
  </si>
  <si>
    <t xml:space="preserve">AAACGCGTGCGGGTAGCTGGACGG</t>
  </si>
  <si>
    <t xml:space="preserve">CGAGCAGGGAGTAGGCGACA</t>
  </si>
  <si>
    <t xml:space="preserve">TAGTCGAGCAGGGAGTAGGCGACA</t>
  </si>
  <si>
    <t xml:space="preserve">AAACTGTCGCCTACTCCCTGCTCG</t>
  </si>
  <si>
    <t xml:space="preserve">PST_1119</t>
  </si>
  <si>
    <t xml:space="preserve">alkK-1</t>
  </si>
  <si>
    <t xml:space="preserve">ACACGGGTCTGCAGCATGGA</t>
  </si>
  <si>
    <t xml:space="preserve">TAGTACACGGGTCTGCAGCATGGA</t>
  </si>
  <si>
    <t xml:space="preserve">AAACTCCATGCTGCAGACCCGTGT</t>
  </si>
  <si>
    <t xml:space="preserve">TACTGGTAGGCGTTCGCCGC</t>
  </si>
  <si>
    <t xml:space="preserve">TAGTTACTGGTAGGCGTTCGCCGC</t>
  </si>
  <si>
    <t xml:space="preserve">AAACGCGGCGAACGCCTACCAGTA</t>
  </si>
  <si>
    <t xml:space="preserve">AGCAGGCGCTTGATCAGCAG</t>
  </si>
  <si>
    <t xml:space="preserve">TAGTAGCAGGCGCTTGATCAGCAG</t>
  </si>
  <si>
    <t xml:space="preserve">AAACCTGCTGATCAAGCGCCTGCT</t>
  </si>
  <si>
    <t xml:space="preserve">GCTGCGCTCGTAGCGCACGC</t>
  </si>
  <si>
    <t xml:space="preserve">TAGTGCTGCGCTCGTAGCGCACGC</t>
  </si>
  <si>
    <t xml:space="preserve">AAACGCGTGCGCTACGAGCGCAGC</t>
  </si>
  <si>
    <t xml:space="preserve">PST_1120</t>
  </si>
  <si>
    <t xml:space="preserve">GGCCGTCGATGATTGCCTGC</t>
  </si>
  <si>
    <t xml:space="preserve">TAGTGGCCGTCGATGATTGCCTGC</t>
  </si>
  <si>
    <t xml:space="preserve">AAACGCAGGCAATCATCGACGGCC</t>
  </si>
  <si>
    <t xml:space="preserve">CGATCAGATAAATGCCGGGC</t>
  </si>
  <si>
    <t xml:space="preserve">TAGTCGATCAGATAAATGCCGGGC</t>
  </si>
  <si>
    <t xml:space="preserve">AAACGCCCGGCATTTATCTGATCG</t>
  </si>
  <si>
    <t xml:space="preserve">GCTGGCAACCATGGTGTATT</t>
  </si>
  <si>
    <t xml:space="preserve">TAGTGCTGGCAACCATGGTGTATT</t>
  </si>
  <si>
    <t xml:space="preserve">AAACAATACACCATGGTTGCCAGC</t>
  </si>
  <si>
    <t xml:space="preserve">CACGTCTTCCCGGCGAGTCA</t>
  </si>
  <si>
    <t xml:space="preserve">TAGTCACGTCTTCCCGGCGAGTCA</t>
  </si>
  <si>
    <t xml:space="preserve">AAACTGACTCGCCGGGAAGACGTG</t>
  </si>
  <si>
    <t xml:space="preserve">PST_1121</t>
  </si>
  <si>
    <t xml:space="preserve">GCGGATCAGCGTTGTTTGGG</t>
  </si>
  <si>
    <t xml:space="preserve">TAGTGCGGATCAGCGTTGTTTGGG</t>
  </si>
  <si>
    <t xml:space="preserve">AAACCCCAAACAACGCTGATCCGC</t>
  </si>
  <si>
    <t xml:space="preserve">CTGCAAGGGGCCGACGGGAA</t>
  </si>
  <si>
    <t xml:space="preserve">TAGTCTGCAAGGGGCCGACGGGAA</t>
  </si>
  <si>
    <t xml:space="preserve">AAACTTCCCGTCGGCCCCTTGCAG</t>
  </si>
  <si>
    <t xml:space="preserve">GCTCAGCGGGTCGCCGATGA</t>
  </si>
  <si>
    <t xml:space="preserve">TAGTGCTCAGCGGGTCGCCGATGA</t>
  </si>
  <si>
    <t xml:space="preserve">AAACTCATCGGCGACCCGCTGAGC</t>
  </si>
  <si>
    <t xml:space="preserve">GCCACCCGGGTCGACCACGA</t>
  </si>
  <si>
    <t xml:space="preserve">TAGTGCCACCCGGGTCGACCACGA</t>
  </si>
  <si>
    <t xml:space="preserve">AAACTCGTGGTCGACCCGGGTGGC</t>
  </si>
  <si>
    <t xml:space="preserve">PST_1122</t>
  </si>
  <si>
    <t xml:space="preserve">AGCGACACTTGCAGCCAGGG</t>
  </si>
  <si>
    <t xml:space="preserve">TAGTAGCGACACTTGCAGCCAGGG</t>
  </si>
  <si>
    <t xml:space="preserve">AAACCCCTGGCTGCAAGTGTCGCT</t>
  </si>
  <si>
    <t xml:space="preserve">TTCGCCGGTGTAGGGGTTGG</t>
  </si>
  <si>
    <t xml:space="preserve">TAGTTTCGCCGGTGTAGGGGTTGG</t>
  </si>
  <si>
    <t xml:space="preserve">AAACCCAACCCCTACACCGGCGAA</t>
  </si>
  <si>
    <t xml:space="preserve">GCCATAGACGCCCGCCTTGC</t>
  </si>
  <si>
    <t xml:space="preserve">TAGTGCCATAGACGCCCGCCTTGC</t>
  </si>
  <si>
    <t xml:space="preserve">AAACGCAAGGCGGGCGTCTATGGC</t>
  </si>
  <si>
    <t xml:space="preserve">GTCCTTCTTGCTCGAGGTCG</t>
  </si>
  <si>
    <t xml:space="preserve">TAGTGTCCTTCTTGCTCGAGGTCG</t>
  </si>
  <si>
    <t xml:space="preserve">AAACCGACCTCGAGCAAGAAGGAC</t>
  </si>
  <si>
    <t xml:space="preserve">PST_1123</t>
  </si>
  <si>
    <t xml:space="preserve">GACCTACGGGAATGGAGAGC</t>
  </si>
  <si>
    <t xml:space="preserve">TAGTGACCTACGGGAATGGAGAGC</t>
  </si>
  <si>
    <t xml:space="preserve">AAACGCTCTCCATTCCCGTAGGTC</t>
  </si>
  <si>
    <t xml:space="preserve">TGCGACCAGAACTGGCAGCC</t>
  </si>
  <si>
    <t xml:space="preserve">TAGTTGCGACCAGAACTGGCAGCC</t>
  </si>
  <si>
    <t xml:space="preserve">AAACGGCTGCCAGTTCTGGTCGCA</t>
  </si>
  <si>
    <t xml:space="preserve">TCCTCCCAGGCCCGCCATCA</t>
  </si>
  <si>
    <t xml:space="preserve">TAGTTCCTCCCAGGCCCGCCATCA</t>
  </si>
  <si>
    <t xml:space="preserve">AAACTGATGGCGGGCCTGGGAGGA</t>
  </si>
  <si>
    <t xml:space="preserve">CGACCTTGCTGCGCTGCTCC</t>
  </si>
  <si>
    <t xml:space="preserve">TAGTCGACCTTGCTGCGCTGCTCC</t>
  </si>
  <si>
    <t xml:space="preserve">AAACGGAGCAGCGCAGCAAGGTCG</t>
  </si>
  <si>
    <t xml:space="preserve">PST_1124</t>
  </si>
  <si>
    <t xml:space="preserve">CAACGTGCGGCTGCGTGGCT</t>
  </si>
  <si>
    <t xml:space="preserve">TAGTCAACGTGCGGCTGCGTGGCT</t>
  </si>
  <si>
    <t xml:space="preserve">AAACAGCCACGCAGCCGCACGTTG</t>
  </si>
  <si>
    <t xml:space="preserve">AGCCTCCATCGCCACCAGAT</t>
  </si>
  <si>
    <t xml:space="preserve">TAGTAGCCTCCATCGCCACCAGAT</t>
  </si>
  <si>
    <t xml:space="preserve">AAACATCTGGTGGCGATGGAGGCT</t>
  </si>
  <si>
    <t xml:space="preserve">CGCCGCCTCGCCGGAGTTGA</t>
  </si>
  <si>
    <t xml:space="preserve">TAGTCGCCGCCTCGCCGGAGTTGA</t>
  </si>
  <si>
    <t xml:space="preserve">AAACTCAACTCCGGCGAGGCGGCG</t>
  </si>
  <si>
    <t xml:space="preserve">TCGGCGTGTAGCGCGTGTGC</t>
  </si>
  <si>
    <t xml:space="preserve">TAGTTCGGCGTGTAGCGCGTGTGC</t>
  </si>
  <si>
    <t xml:space="preserve">AAACGCACACGCGCTACACGCCGA</t>
  </si>
  <si>
    <t xml:space="preserve">PST_1125</t>
  </si>
  <si>
    <t xml:space="preserve">TGCCGCGCAGTGGGGCGGGG</t>
  </si>
  <si>
    <t xml:space="preserve">TAGTTGCCGCGCAGTGGGGCGGGG</t>
  </si>
  <si>
    <t xml:space="preserve">AAACCCCCGCCCCACTGCGCGGCA</t>
  </si>
  <si>
    <t xml:space="preserve">ATTGAGCGCCAGCAGCAGGG</t>
  </si>
  <si>
    <t xml:space="preserve">TAGTATTGAGCGCCAGCAGCAGGG</t>
  </si>
  <si>
    <t xml:space="preserve">AAACCCCTGCTGCTGGCGCTCAAT</t>
  </si>
  <si>
    <t xml:space="preserve">CAGTGGCCAGCACCAGAACA</t>
  </si>
  <si>
    <t xml:space="preserve">TAGTCAGTGGCCAGCACCAGAACA</t>
  </si>
  <si>
    <t xml:space="preserve">AAACTGTTCTGGTGCTGGCCACTG</t>
  </si>
  <si>
    <t xml:space="preserve">CGCCAACTTGAGTAGCGACA</t>
  </si>
  <si>
    <t xml:space="preserve">TAGTCGCCAACTTGAGTAGCGACA</t>
  </si>
  <si>
    <t xml:space="preserve">AAACTGTCGCTACTCAAGTTGGCG</t>
  </si>
  <si>
    <t xml:space="preserve">PST_1126</t>
  </si>
  <si>
    <t xml:space="preserve">pta</t>
  </si>
  <si>
    <t xml:space="preserve">GGCAAGGAAGAGTGTGTGCA</t>
  </si>
  <si>
    <t xml:space="preserve">TAGTGGCAAGGAAGAGTGTGTGCA</t>
  </si>
  <si>
    <t xml:space="preserve">AAACTGCACACACTCTTCCTTGCC</t>
  </si>
  <si>
    <t xml:space="preserve">GCCGCCGCCGAAACCGGTAG</t>
  </si>
  <si>
    <t xml:space="preserve">TAGTGCCGCCGCCGAAACCGGTAG</t>
  </si>
  <si>
    <t xml:space="preserve">AAACCTACCGGTTTCGGCGGCGGC</t>
  </si>
  <si>
    <t xml:space="preserve">GGCCGAGGCTGATGGAATTG</t>
  </si>
  <si>
    <t xml:space="preserve">TAGTGGCCGAGGCTGATGGAATTG</t>
  </si>
  <si>
    <t xml:space="preserve">AAACCAATTCCATCAGCCTCGGCC</t>
  </si>
  <si>
    <t xml:space="preserve">CGCTTTCCAGCGCGCGGATC</t>
  </si>
  <si>
    <t xml:space="preserve">TAGTCGCTTTCCAGCGCGCGGATC</t>
  </si>
  <si>
    <t xml:space="preserve">AAACGATCCGCGCGCTGGAAAGCG</t>
  </si>
  <si>
    <t xml:space="preserve">PST_1127</t>
  </si>
  <si>
    <t xml:space="preserve">AGGATGTTACGAGCCGACAT</t>
  </si>
  <si>
    <t xml:space="preserve">TAGTAGGATGTTACGAGCCGACAT</t>
  </si>
  <si>
    <t xml:space="preserve">AAACATGTCGGCTCGTAACATCCT</t>
  </si>
  <si>
    <t xml:space="preserve">AGCTGCCACAGTTAATCACC</t>
  </si>
  <si>
    <t xml:space="preserve">TAGTAGCTGCCACAGTTAATCACC</t>
  </si>
  <si>
    <t xml:space="preserve">AAACGGTGATTAACTGTGGCAGCT</t>
  </si>
  <si>
    <t xml:space="preserve">CGCTTGCGCTTCGTTGACCA</t>
  </si>
  <si>
    <t xml:space="preserve">TAGTCGCTTGCGCTTCGTTGACCA</t>
  </si>
  <si>
    <t xml:space="preserve">AAACTGGTCAACGAAGCGCAAGCG</t>
  </si>
  <si>
    <t xml:space="preserve">GGCCAGGCCTTGTAGCGGGA</t>
  </si>
  <si>
    <t xml:space="preserve">TAGTGGCCAGGCCTTGTAGCGGGA</t>
  </si>
  <si>
    <t xml:space="preserve">AAACTCCCGCTACAAGGCCTGGCC</t>
  </si>
  <si>
    <t xml:space="preserve">PST_1128</t>
  </si>
  <si>
    <t xml:space="preserve">slyD</t>
  </si>
  <si>
    <t xml:space="preserve">TTGTTAGCGGCAATCAGCAT</t>
  </si>
  <si>
    <t xml:space="preserve">TAGTTTGTTAGCGGCAATCAGCAT</t>
  </si>
  <si>
    <t xml:space="preserve">AAACATGCTGATTGCCGCTAACAA</t>
  </si>
  <si>
    <t xml:space="preserve">GTTGGTGAGTGTGTAGTCGA</t>
  </si>
  <si>
    <t xml:space="preserve">TAGTGTTGGTGAGTGTGTAGTCGA</t>
  </si>
  <si>
    <t xml:space="preserve">AAACTCGACTACACACTCACCAAC</t>
  </si>
  <si>
    <t xml:space="preserve">CGAGCTGTCGATCACCTCAC</t>
  </si>
  <si>
    <t xml:space="preserve">TAGTCGAGCTGTCGATCACCTCAC</t>
  </si>
  <si>
    <t xml:space="preserve">AAACGTGAGGTGATCGACAGCTCG</t>
  </si>
  <si>
    <t xml:space="preserve">ATAGACCAGCGGCGCGCCGC</t>
  </si>
  <si>
    <t xml:space="preserve">TAGTATAGACCAGCGGCGCGCCGC</t>
  </si>
  <si>
    <t xml:space="preserve">AAACGCGGCGCGCCGCTGGTCTAT</t>
  </si>
  <si>
    <t xml:space="preserve">PST_1129</t>
  </si>
  <si>
    <t xml:space="preserve">GGCCTGGCAACACCAATTGA</t>
  </si>
  <si>
    <t xml:space="preserve">TAGTGGCCTGGCAACACCAATTGA</t>
  </si>
  <si>
    <t xml:space="preserve">AAACTCAATTGGTGTTGCCAGGCC</t>
  </si>
  <si>
    <t xml:space="preserve">GCGGCAATTCCTCGCCGCCC</t>
  </si>
  <si>
    <t xml:space="preserve">TAGTGCGGCAATTCCTCGCCGCCC</t>
  </si>
  <si>
    <t xml:space="preserve">AAACGGGCGGCGAGGAATTGCCGC</t>
  </si>
  <si>
    <t xml:space="preserve">CGGCGTCAGTCCGCACTGGG</t>
  </si>
  <si>
    <t xml:space="preserve">TAGTCGGCGTCAGTCCGCACTGGG</t>
  </si>
  <si>
    <t xml:space="preserve">AAACCCCAGTGCGGACTGACGCCG</t>
  </si>
  <si>
    <t xml:space="preserve">CGCTCGAGGCCGGCGTACTG</t>
  </si>
  <si>
    <t xml:space="preserve">TAGTCGCTCGAGGCCGGCGTACTG</t>
  </si>
  <si>
    <t xml:space="preserve">AAACCAGTACGCCGGCCTCGAGCG</t>
  </si>
  <si>
    <t xml:space="preserve">PST_1130</t>
  </si>
  <si>
    <t xml:space="preserve">GGTCCCGTGGTAGCCGCGGC</t>
  </si>
  <si>
    <t xml:space="preserve">TAGTGGTCCCGTGGTAGCCGCGGC</t>
  </si>
  <si>
    <t xml:space="preserve">AAACGCCGCGGCTACCACGGGACC</t>
  </si>
  <si>
    <t xml:space="preserve">CTGGACGATTTCCTGCACCC</t>
  </si>
  <si>
    <t xml:space="preserve">TAGTCTGGACGATTTCCTGCACCC</t>
  </si>
  <si>
    <t xml:space="preserve">AAACGGGTGCAGGAAATCGTCCAG</t>
  </si>
  <si>
    <t xml:space="preserve">CGAGCCCTTGGGGATCCCTG</t>
  </si>
  <si>
    <t xml:space="preserve">TAGTCGAGCCCTTGGGGATCCCTG</t>
  </si>
  <si>
    <t xml:space="preserve">AAACCAGGGATCCCCAAGGGCTCG</t>
  </si>
  <si>
    <t xml:space="preserve">CACGGCGAAATCTTCCTTGC</t>
  </si>
  <si>
    <t xml:space="preserve">TAGTCACGGCGAAATCTTCCTTGC</t>
  </si>
  <si>
    <t xml:space="preserve">AAACGCAAGGAAGATTTCGCCGTG</t>
  </si>
  <si>
    <t xml:space="preserve">PST_1131</t>
  </si>
  <si>
    <t xml:space="preserve">AAACAGGGCTTGTACGCTAG</t>
  </si>
  <si>
    <t xml:space="preserve">TAGTAAACAGGGCTTGTACGCTAG</t>
  </si>
  <si>
    <t xml:space="preserve">AAACCTAGCGTACAAGCCCTGTTT</t>
  </si>
  <si>
    <t xml:space="preserve">CGAAGGGCGCCCAATTCGAA</t>
  </si>
  <si>
    <t xml:space="preserve">TAGTCGAAGGGCGCCCAATTCGAA</t>
  </si>
  <si>
    <t xml:space="preserve">AAACTTCGAATTGGGCGCCCTTCG</t>
  </si>
  <si>
    <t xml:space="preserve">GGTGCCATGACCACACGGGT</t>
  </si>
  <si>
    <t xml:space="preserve">TAGTGGTGCCATGACCACACGGGT</t>
  </si>
  <si>
    <t xml:space="preserve">AAACACCCGTGTGGTCATGGCACC</t>
  </si>
  <si>
    <t xml:space="preserve">GGCGAGAACGACCGGGTCAT</t>
  </si>
  <si>
    <t xml:space="preserve">TAGTGGCGAGAACGACCGGGTCAT</t>
  </si>
  <si>
    <t xml:space="preserve">AAACATGACCCGGTCGTTCTCGCC</t>
  </si>
  <si>
    <t xml:space="preserve">PST_1132</t>
  </si>
  <si>
    <t xml:space="preserve">cysZ</t>
  </si>
  <si>
    <t xml:space="preserve">GGAAAGAGCGGATACGGGCA</t>
  </si>
  <si>
    <t xml:space="preserve">TAGTGGAAAGAGCGGATACGGGCA</t>
  </si>
  <si>
    <t xml:space="preserve">AAACTGCCCGTATCCGCTCTTTCC</t>
  </si>
  <si>
    <t xml:space="preserve">TTCGCGCAGGTACTGCGGGC</t>
  </si>
  <si>
    <t xml:space="preserve">TAGTTTCGCGCAGGTACTGCGGGC</t>
  </si>
  <si>
    <t xml:space="preserve">AAACGCCCGCAGTACCTGCGCGAA</t>
  </si>
  <si>
    <t xml:space="preserve">GCAGCCCCGGGCTAAGCACC</t>
  </si>
  <si>
    <t xml:space="preserve">TAGTGCAGCCCCGGGCTAAGCACC</t>
  </si>
  <si>
    <t xml:space="preserve">AAACGGTGCTTAGCCCGGGGCTGC</t>
  </si>
  <si>
    <t xml:space="preserve">TCAGGGGCAGGATCACGAAC</t>
  </si>
  <si>
    <t xml:space="preserve">TAGTTCAGGGGCAGGATCACGAAC</t>
  </si>
  <si>
    <t xml:space="preserve">AAACGTTCGTGATCCTGCCCCTGA</t>
  </si>
  <si>
    <t xml:space="preserve">PST_1133</t>
  </si>
  <si>
    <t xml:space="preserve">GGCTCGCGCGGAAGTCCTTC</t>
  </si>
  <si>
    <t xml:space="preserve">TAGTGGCTCGCGCGGAAGTCCTTC</t>
  </si>
  <si>
    <t xml:space="preserve">AAACGAAGGACTTCCGCGCGAGCC</t>
  </si>
  <si>
    <t xml:space="preserve">ACGCGTGGTTGCGGTTGCGC</t>
  </si>
  <si>
    <t xml:space="preserve">TAGTACGCGTGGTTGCGGTTGCGC</t>
  </si>
  <si>
    <t xml:space="preserve">AAACGCGCAACCGCAACCACGCGT</t>
  </si>
  <si>
    <t xml:space="preserve">AGTTGCTGGCGATGAAGGCG</t>
  </si>
  <si>
    <t xml:space="preserve">TAGTAGTTGCTGGCGATGAAGGCG</t>
  </si>
  <si>
    <t xml:space="preserve">AAACCGCCTTCATCGCCAGCAACT</t>
  </si>
  <si>
    <t xml:space="preserve">GTGCCATTGACGAAACGGCT</t>
  </si>
  <si>
    <t xml:space="preserve">TAGTGTGCCATTGACGAAACGGCT</t>
  </si>
  <si>
    <t xml:space="preserve">AAACAGCCGTTTCGTCAATGGCAC</t>
  </si>
  <si>
    <t xml:space="preserve">PST_1134</t>
  </si>
  <si>
    <t xml:space="preserve">GTCTCGGCGTTGGCTGAGGT</t>
  </si>
  <si>
    <t xml:space="preserve">TAGTGTCTCGGCGTTGGCTGAGGT</t>
  </si>
  <si>
    <t xml:space="preserve">AAACACCTCAGCCAACGCCGAGAC</t>
  </si>
  <si>
    <t xml:space="preserve">TTCTTGGTCGTTCATCTCTC</t>
  </si>
  <si>
    <t xml:space="preserve">TAGTTTCTTGGTCGTTCATCTCTC</t>
  </si>
  <si>
    <t xml:space="preserve">AAACGAGAGATGAACGACCAAGAA</t>
  </si>
  <si>
    <t xml:space="preserve">GACCAGGCGACGGAAGGCGG</t>
  </si>
  <si>
    <t xml:space="preserve">TAGTGACCAGGCGACGGAAGGCGG</t>
  </si>
  <si>
    <t xml:space="preserve">AAACCCGCCTTCCGTCGCCTGGTC</t>
  </si>
  <si>
    <t xml:space="preserve">CAGGGCGGGTGCGCAGGTGC</t>
  </si>
  <si>
    <t xml:space="preserve">TAGTCAGGGCGGGTGCGCAGGTGC</t>
  </si>
  <si>
    <t xml:space="preserve">AAACGCACCTGCGCACCCGCCCTG</t>
  </si>
  <si>
    <t xml:space="preserve">PST_1135</t>
  </si>
  <si>
    <t xml:space="preserve">GCCATCGCGGGTTCCAGTCT</t>
  </si>
  <si>
    <t xml:space="preserve">TAGTGCCATCGCGGGTTCCAGTCT</t>
  </si>
  <si>
    <t xml:space="preserve">AAACAGACTGGAACCCGCGATGGC</t>
  </si>
  <si>
    <t xml:space="preserve">GCAGCCGCAGGTCCTTGACG</t>
  </si>
  <si>
    <t xml:space="preserve">TAGTGCAGCCGCAGGTCCTTGACG</t>
  </si>
  <si>
    <t xml:space="preserve">AAACCGTCAAGGACCTGCGGCTGC</t>
  </si>
  <si>
    <t xml:space="preserve">TCAGCACGTCCTGGCGATTG</t>
  </si>
  <si>
    <t xml:space="preserve">TAGTTCAGCACGTCCTGGCGATTG</t>
  </si>
  <si>
    <t xml:space="preserve">AAACCAATCGCCAGGACGTGCTGA</t>
  </si>
  <si>
    <t xml:space="preserve">CGGCCGGGTAGAGCATGGTC</t>
  </si>
  <si>
    <t xml:space="preserve">TAGTCGGCCGGGTAGAGCATGGTC</t>
  </si>
  <si>
    <t xml:space="preserve">AAACGACCATGCTCTACCCGGCCG</t>
  </si>
  <si>
    <t xml:space="preserve">PST_1136</t>
  </si>
  <si>
    <t xml:space="preserve">GGCTCCGGTGATGAGAATCG</t>
  </si>
  <si>
    <t xml:space="preserve">TAGTGGCTCCGGTGATGAGAATCG</t>
  </si>
  <si>
    <t xml:space="preserve">AAACCGATTCTCATCACCGGAGCC</t>
  </si>
  <si>
    <t xml:space="preserve">ATGCAACCCGATCCGCTGGC</t>
  </si>
  <si>
    <t xml:space="preserve">TAGTATGCAACCCGATCCGCTGGC</t>
  </si>
  <si>
    <t xml:space="preserve">AAACGCCAGCGGATCGGGTTGCAT</t>
  </si>
  <si>
    <t xml:space="preserve">ACCGTCATCCAGCAGGCGTT</t>
  </si>
  <si>
    <t xml:space="preserve">TAGTACCGTCATCCAGCAGGCGTT</t>
  </si>
  <si>
    <t xml:space="preserve">AAACAACGCCTGCTGGATGACGGT</t>
  </si>
  <si>
    <t xml:space="preserve">GACGGTAGCTGATGATGACC</t>
  </si>
  <si>
    <t xml:space="preserve">TAGTGACGGTAGCTGATGATGACC</t>
  </si>
  <si>
    <t xml:space="preserve">AAACGGTCATCATCAGCTACCGTC</t>
  </si>
  <si>
    <t xml:space="preserve">PST_1137</t>
  </si>
  <si>
    <t xml:space="preserve">CAGCTCGTCTTTGCTGAGTA</t>
  </si>
  <si>
    <t xml:space="preserve">TAGTCAGCTCGTCTTTGCTGAGTA</t>
  </si>
  <si>
    <t xml:space="preserve">AAACTACTCAGCAAAGACGAGCTG</t>
  </si>
  <si>
    <t xml:space="preserve">CTGCATCAGCTGGCGGATGA</t>
  </si>
  <si>
    <t xml:space="preserve">TAGTCTGCATCAGCTGGCGGATGA</t>
  </si>
  <si>
    <t xml:space="preserve">AAACTCATCCGCCAGCTGATGCAG</t>
  </si>
  <si>
    <t xml:space="preserve">GCCATCGATCCGGAAACCCG</t>
  </si>
  <si>
    <t xml:space="preserve">TAGTGCCATCGATCCGGAAACCCG</t>
  </si>
  <si>
    <t xml:space="preserve">AAACCGGGTTTCCGGATCGATGGC</t>
  </si>
  <si>
    <t xml:space="preserve">CAGTTGCATCAGCAGCTCGT</t>
  </si>
  <si>
    <t xml:space="preserve">TAGTCAGTTGCATCAGCAGCTCGT</t>
  </si>
  <si>
    <t xml:space="preserve">AAACACGAGCTGCTGATGCAACTG</t>
  </si>
  <si>
    <t xml:space="preserve">PST_1138</t>
  </si>
  <si>
    <t xml:space="preserve">GTAGACGCTTCCGGAAAGAA</t>
  </si>
  <si>
    <t xml:space="preserve">TAGTGTAGACGCTTCCGGAAAGAA</t>
  </si>
  <si>
    <t xml:space="preserve">AAACTTCTTTCCGGAAGCGTCTAC</t>
  </si>
  <si>
    <t xml:space="preserve">GGCATGGCGGGCTACGTCTT</t>
  </si>
  <si>
    <t xml:space="preserve">TAGTGGCATGGCGGGCTACGTCTT</t>
  </si>
  <si>
    <t xml:space="preserve">AAACAAGACGTAGCCCGCCATGCC</t>
  </si>
  <si>
    <t xml:space="preserve">GGCGGCCTTCAACTGGCGTT</t>
  </si>
  <si>
    <t xml:space="preserve">TAGTGGCGGCCTTCAACTGGCGTT</t>
  </si>
  <si>
    <t xml:space="preserve">AAACAACGCCAGTTGAAGGCCGCC</t>
  </si>
  <si>
    <t xml:space="preserve">ATCGTGCCAGGCGTCGAAGC</t>
  </si>
  <si>
    <t xml:space="preserve">TAGTATCGTGCCAGGCGTCGAAGC</t>
  </si>
  <si>
    <t xml:space="preserve">AAACGCTTCGACGCCTGGCACGAT</t>
  </si>
  <si>
    <t xml:space="preserve">PST_1139</t>
  </si>
  <si>
    <t xml:space="preserve">CTGAGGCTGAAGCGAAGGCA</t>
  </si>
  <si>
    <t xml:space="preserve">TAGTCTGAGGCTGAAGCGAAGGCA</t>
  </si>
  <si>
    <t xml:space="preserve">AAACTGCCTTCGCTTCAGCCTCAG</t>
  </si>
  <si>
    <t xml:space="preserve">CCCGCGCCTGCCATTCGGCG</t>
  </si>
  <si>
    <t xml:space="preserve">TAGTCCCGCGCCTGCCATTCGGCG</t>
  </si>
  <si>
    <t xml:space="preserve">AAACCGCCGAATGGCAGGCGCGGG</t>
  </si>
  <si>
    <t xml:space="preserve">CCAGTCGGTAGCAGGCGGCG</t>
  </si>
  <si>
    <t xml:space="preserve">TAGTCCAGTCGGTAGCAGGCGGCG</t>
  </si>
  <si>
    <t xml:space="preserve">AAACCGCCGCCTGCTACCGACTGG</t>
  </si>
  <si>
    <t xml:space="preserve">CCGAGATATGGGTGAAGATG</t>
  </si>
  <si>
    <t xml:space="preserve">TAGTCCGAGATATGGGTGAAGATG</t>
  </si>
  <si>
    <t xml:space="preserve">AAACCATCTTCACCCATATCTCGG</t>
  </si>
  <si>
    <t xml:space="preserve">PST_1140</t>
  </si>
  <si>
    <t xml:space="preserve">AGGTGTGCGAGATAGTTCAT</t>
  </si>
  <si>
    <t xml:space="preserve">TAGTAGGTGTGCGAGATAGTTCAT</t>
  </si>
  <si>
    <t xml:space="preserve">AAACATGAACTATCTCGCACACCT</t>
  </si>
  <si>
    <t xml:space="preserve">CCCCCGGCTGCGGGCCGCCG</t>
  </si>
  <si>
    <t xml:space="preserve">TAGTCCCCCGGCTGCGGGCCGCCG</t>
  </si>
  <si>
    <t xml:space="preserve">AAACCGGCGGCCCGCAGCCGGGGG</t>
  </si>
  <si>
    <t xml:space="preserve">CGCCGTAGAGGCTGCCGAGC</t>
  </si>
  <si>
    <t xml:space="preserve">TAGTCGCCGTAGAGGCTGCCGAGC</t>
  </si>
  <si>
    <t xml:space="preserve">AAACGCTCGGCAGCCTCTACGGCG</t>
  </si>
  <si>
    <t xml:space="preserve">GCCGGCCAGCGACCCTGTAG</t>
  </si>
  <si>
    <t xml:space="preserve">TAGTGCCGGCCAGCGACCCTGTAG</t>
  </si>
  <si>
    <t xml:space="preserve">AAACCTACAGGGTCGCTGGCCGGC</t>
  </si>
  <si>
    <t xml:space="preserve">PST_1141</t>
  </si>
  <si>
    <t xml:space="preserve">CGCCAGTACCGGCGCAGGCG</t>
  </si>
  <si>
    <t xml:space="preserve">TAGTCGCCAGTACCGGCGCAGGCG</t>
  </si>
  <si>
    <t xml:space="preserve">AAACCGCCTGCGCCGGTACTGGCG</t>
  </si>
  <si>
    <t xml:space="preserve">CCACCCCGGCGATCCGCAGC</t>
  </si>
  <si>
    <t xml:space="preserve">TAGTCCACCCCGGCGATCCGCAGC</t>
  </si>
  <si>
    <t xml:space="preserve">AAACGCTGCGGATCGCCGGGGTGG</t>
  </si>
  <si>
    <t xml:space="preserve">TTCGGCAATACCCAGTGCAC</t>
  </si>
  <si>
    <t xml:space="preserve">TAGTTTCGGCAATACCCAGTGCAC</t>
  </si>
  <si>
    <t xml:space="preserve">AAACGTGCACTGGGTATTGCCGAA</t>
  </si>
  <si>
    <t xml:space="preserve">TGCTTGCGCAGGGCCGAGAC</t>
  </si>
  <si>
    <t xml:space="preserve">TAGTTGCTTGCGCAGGGCCGAGAC</t>
  </si>
  <si>
    <t xml:space="preserve">AAACGTCTCGGCCCTGCGCAAGCA</t>
  </si>
  <si>
    <t xml:space="preserve">PST_1142</t>
  </si>
  <si>
    <t xml:space="preserve">GCGTGTGCTGCGGTCGACGA</t>
  </si>
  <si>
    <t xml:space="preserve">TAGTGCGTGTGCTGCGGTCGACGA</t>
  </si>
  <si>
    <t xml:space="preserve">AAACTCGTCGACCGCAGCACACGC</t>
  </si>
  <si>
    <t xml:space="preserve">GCAGGCGTTCGGCTTGAAGC</t>
  </si>
  <si>
    <t xml:space="preserve">TAGTGCAGGCGTTCGGCTTGAAGC</t>
  </si>
  <si>
    <t xml:space="preserve">AAACGCTTCAAGCCGAACGCCTGC</t>
  </si>
  <si>
    <t xml:space="preserve">CAGGGCCTGGGCTTCGCGCA</t>
  </si>
  <si>
    <t xml:space="preserve">TAGTCAGGGCCTGGGCTTCGCGCA</t>
  </si>
  <si>
    <t xml:space="preserve">AAACTGCGCGAAGCCCAGGCCCTG</t>
  </si>
  <si>
    <t xml:space="preserve">CGAACTCGCTGCTGAATACG</t>
  </si>
  <si>
    <t xml:space="preserve">TAGTCGAACTCGCTGCTGAATACG</t>
  </si>
  <si>
    <t xml:space="preserve">AAACCGTATTCAGCAGCGAGTTCG</t>
  </si>
  <si>
    <t xml:space="preserve">PST_1143</t>
  </si>
  <si>
    <t xml:space="preserve">CTTGCCGCGATGGGCTGCAG</t>
  </si>
  <si>
    <t xml:space="preserve">TAGTCTTGCCGCGATGGGCTGCAG</t>
  </si>
  <si>
    <t xml:space="preserve">AAACCTGCAGCCCATCGCGGCAAG</t>
  </si>
  <si>
    <t xml:space="preserve">TTCATACCAGCCACGTAGCC</t>
  </si>
  <si>
    <t xml:space="preserve">TAGTTTCATACCAGCCACGTAGCC</t>
  </si>
  <si>
    <t xml:space="preserve">AAACGGCTACGTGGCTGGTATGAA</t>
  </si>
  <si>
    <t xml:space="preserve">CGCCTGATAACCGGCGAAAA</t>
  </si>
  <si>
    <t xml:space="preserve">TAGTCGCCTGATAACCGGCGAAAA</t>
  </si>
  <si>
    <t xml:space="preserve">AAACTTTTCGCCGGTTATCAGGCG</t>
  </si>
  <si>
    <t xml:space="preserve">CCCAGCCCTGCCGGCGCGTT</t>
  </si>
  <si>
    <t xml:space="preserve">TAGTCCCAGCCCTGCCGGCGCGTT</t>
  </si>
  <si>
    <t xml:space="preserve">AAACAACGCGCCGGCAGGGCTGGG</t>
  </si>
  <si>
    <t xml:space="preserve">PST_1144</t>
  </si>
  <si>
    <t xml:space="preserve">CGTCGACCAGCAGACGGAAG</t>
  </si>
  <si>
    <t xml:space="preserve">TAGTCGTCGACCAGCAGACGGAAG</t>
  </si>
  <si>
    <t xml:space="preserve">AAACCTTCCGTCTGCTGGTCGACG</t>
  </si>
  <si>
    <t xml:space="preserve">ATCATGGCGGGAAAGAACTG</t>
  </si>
  <si>
    <t xml:space="preserve">TAGTATCATGGCGGGAAAGAACTG</t>
  </si>
  <si>
    <t xml:space="preserve">AAACCAGTTCTTTCCCGCCATGAT</t>
  </si>
  <si>
    <t xml:space="preserve">CTCGAGATCTATGCGCCGCT</t>
  </si>
  <si>
    <t xml:space="preserve">TAGTCTCGAGATCTATGCGCCGCT</t>
  </si>
  <si>
    <t xml:space="preserve">AAACAGCGGCGCATAGATCTCGAG</t>
  </si>
  <si>
    <t xml:space="preserve">CGCTCCGCCGCGCGCAGCAG</t>
  </si>
  <si>
    <t xml:space="preserve">TAGTCGCTCCGCCGCGCGCAGCAG</t>
  </si>
  <si>
    <t xml:space="preserve">AAACCTGCTGCGCGCGGCGGAGCG</t>
  </si>
  <si>
    <t xml:space="preserve">PST_1145</t>
  </si>
  <si>
    <t xml:space="preserve">AGCATCGCTCCGGTACGCAA</t>
  </si>
  <si>
    <t xml:space="preserve">TAGTAGCATCGCTCCGGTACGCAA</t>
  </si>
  <si>
    <t xml:space="preserve">AAACTTGCGTACCGGAGCGATGCT</t>
  </si>
  <si>
    <t xml:space="preserve">CGTCCTCTTTCGCGCGGGTT</t>
  </si>
  <si>
    <t xml:space="preserve">TAGTCGTCCTCTTTCGCGCGGGTT</t>
  </si>
  <si>
    <t xml:space="preserve">AAACAACCCGCGCGAAAGAGGACG</t>
  </si>
  <si>
    <t xml:space="preserve">CACCATGGTTTCGTAATCCT</t>
  </si>
  <si>
    <t xml:space="preserve">TAGTCACCATGGTTTCGTAATCCT</t>
  </si>
  <si>
    <t xml:space="preserve">AAACAGGATTACGAAACCATGGTG</t>
  </si>
  <si>
    <t xml:space="preserve">ACCATCTGCAGTGCCTGGAA</t>
  </si>
  <si>
    <t xml:space="preserve">TAGTACCATCTGCAGTGCCTGGAA</t>
  </si>
  <si>
    <t xml:space="preserve">AAACTTCCAGGCACTGCAGATGGT</t>
  </si>
  <si>
    <t xml:space="preserve">PST_1146</t>
  </si>
  <si>
    <t xml:space="preserve">TGAAGCGGCACGAGCCGCGG</t>
  </si>
  <si>
    <t xml:space="preserve">TAGTTGAAGCGGCACGAGCCGCGG</t>
  </si>
  <si>
    <t xml:space="preserve">AAACCCGCGGCTCGTGCCGCTTCA</t>
  </si>
  <si>
    <t xml:space="preserve">TTGGGAGTTGCAGACACGGA</t>
  </si>
  <si>
    <t xml:space="preserve">TAGTTTGGGAGTTGCAGACACGGA</t>
  </si>
  <si>
    <t xml:space="preserve">AAACTCCGTGTCTGCAACTCCCAA</t>
  </si>
  <si>
    <t xml:space="preserve">TCCAGGGTGACGCCATGAAG</t>
  </si>
  <si>
    <t xml:space="preserve">TAGTTCCAGGGTGACGCCATGAAG</t>
  </si>
  <si>
    <t xml:space="preserve">AAACCTTCATGGCGTCACCCTGGA</t>
  </si>
  <si>
    <t xml:space="preserve">GGCGTGCAGCTCGGTGAGTA</t>
  </si>
  <si>
    <t xml:space="preserve">TAGTGGCGTGCAGCTCGGTGAGTA</t>
  </si>
  <si>
    <t xml:space="preserve">AAACTACTCACCGAGCTGCACGCC</t>
  </si>
  <si>
    <t xml:space="preserve">PST_1147</t>
  </si>
  <si>
    <t xml:space="preserve">CAGGTCGTCTTGCTTGATCA</t>
  </si>
  <si>
    <t xml:space="preserve">TAGTCAGGTCGTCTTGCTTGATCA</t>
  </si>
  <si>
    <t xml:space="preserve">AAACTGATCAAGCAAGACGACCTG</t>
  </si>
  <si>
    <t xml:space="preserve">AGAAATGAACTGCAAAGCGT</t>
  </si>
  <si>
    <t xml:space="preserve">TAGTAGAAATGAACTGCAAAGCGT</t>
  </si>
  <si>
    <t xml:space="preserve">AAACACGCTTTGCAGTTCATTTCT</t>
  </si>
  <si>
    <t xml:space="preserve">CCTGGATGAAATCCACGGGA</t>
  </si>
  <si>
    <t xml:space="preserve">TAGTCCTGGATGAAATCCACGGGA</t>
  </si>
  <si>
    <t xml:space="preserve">AAACTCCCGTGGATTTCATCCAGG</t>
  </si>
  <si>
    <t xml:space="preserve">CGGGGATTCTTCACGCAGGT</t>
  </si>
  <si>
    <t xml:space="preserve">TAGTCGGGGATTCTTCACGCAGGT</t>
  </si>
  <si>
    <t xml:space="preserve">AAACACCTGCGTGAAGAATCCCCG</t>
  </si>
  <si>
    <t xml:space="preserve">PST_1148</t>
  </si>
  <si>
    <t xml:space="preserve">TCGTAACGCATCGCACTCAT</t>
  </si>
  <si>
    <t xml:space="preserve">TAGTTCGTAACGCATCGCACTCAT</t>
  </si>
  <si>
    <t xml:space="preserve">AAACATGAGTGCGATGCGTTACGA</t>
  </si>
  <si>
    <t xml:space="preserve">CTGCTGCAGCGATCGCTCAT</t>
  </si>
  <si>
    <t xml:space="preserve">TAGTCTGCTGCAGCGATCGCTCAT</t>
  </si>
  <si>
    <t xml:space="preserve">AAACATGAGCGATCGCTGCAGCAG</t>
  </si>
  <si>
    <t xml:space="preserve">CAGGGCCAAGCCATAGGTGA</t>
  </si>
  <si>
    <t xml:space="preserve">TAGTCAGGGCCAAGCCATAGGTGA</t>
  </si>
  <si>
    <t xml:space="preserve">AAACTCACCTATGGCTTGGCCCTG</t>
  </si>
  <si>
    <t xml:space="preserve">ACCACTCGCCACGGCCACCC</t>
  </si>
  <si>
    <t xml:space="preserve">TAGTACCACTCGCCACGGCCACCC</t>
  </si>
  <si>
    <t xml:space="preserve">AAACGGGTGGCCGTGGCGAGTGGT</t>
  </si>
  <si>
    <t xml:space="preserve">PST_1149</t>
  </si>
  <si>
    <t xml:space="preserve">TCCAACGACGTCCGGCGCAG</t>
  </si>
  <si>
    <t xml:space="preserve">TAGTTCCAACGACGTCCGGCGCAG</t>
  </si>
  <si>
    <t xml:space="preserve">AAACCTGCGCCGGACGTCGTTGGA</t>
  </si>
  <si>
    <t xml:space="preserve">CAGATTGCTGTCGGTTGGTA</t>
  </si>
  <si>
    <t xml:space="preserve">TAGTCAGATTGCTGTCGGTTGGTA</t>
  </si>
  <si>
    <t xml:space="preserve">AAACTACCAACCGACAGCAATCTG</t>
  </si>
  <si>
    <t xml:space="preserve">CTTCCGGCGCGACAGCTGGA</t>
  </si>
  <si>
    <t xml:space="preserve">TAGTCTTCCGGCGCGACAGCTGGA</t>
  </si>
  <si>
    <t xml:space="preserve">AAACTCCAGCTGTCGCGCCGGAAG</t>
  </si>
  <si>
    <t xml:space="preserve">CGCATCGCACCAGGCAGGCA</t>
  </si>
  <si>
    <t xml:space="preserve">TAGTCGCATCGCACCAGGCAGGCA</t>
  </si>
  <si>
    <t xml:space="preserve">AAACTGCCTGCCTGGTGCGATGCG</t>
  </si>
  <si>
    <t xml:space="preserve">PST_1150</t>
  </si>
  <si>
    <t xml:space="preserve">pykA</t>
  </si>
  <si>
    <t xml:space="preserve">GCCCAGGGTGGCGACGATCT</t>
  </si>
  <si>
    <t xml:space="preserve">TAGTGCCCAGGGTGGCGACGATCT</t>
  </si>
  <si>
    <t xml:space="preserve">AAACAGATCGTCGCCACCCTGGGC</t>
  </si>
  <si>
    <t xml:space="preserve">CATCCGGCGAACTGCTGGCC</t>
  </si>
  <si>
    <t xml:space="preserve">TAGTCATCCGGCGAACTGCTGGCC</t>
  </si>
  <si>
    <t xml:space="preserve">AAACGGCCAGCAGTTCGCCGGATG</t>
  </si>
  <si>
    <t xml:space="preserve">GCCGTGGGAGAAGTTCAGGC</t>
  </si>
  <si>
    <t xml:space="preserve">TAGTGCCGTGGGAGAAGTTCAGGC</t>
  </si>
  <si>
    <t xml:space="preserve">AAACGCCTGAACTTCTCCCACGGC</t>
  </si>
  <si>
    <t xml:space="preserve">CCCGGGCACGGTGCTCGTCG</t>
  </si>
  <si>
    <t xml:space="preserve">TAGTCCCGGGCACGGTGCTCGTCG</t>
  </si>
  <si>
    <t xml:space="preserve">AAACCGACGAGCACCGTGCCCGGG</t>
  </si>
  <si>
    <t xml:space="preserve">PST_1151</t>
  </si>
  <si>
    <t xml:space="preserve">ACGATGATCAGGGTACGCAT</t>
  </si>
  <si>
    <t xml:space="preserve">TAGTACGATGATCAGGGTACGCAT</t>
  </si>
  <si>
    <t xml:space="preserve">AAACATGCGTACCCTGATCATCGT</t>
  </si>
  <si>
    <t xml:space="preserve">ACTACAGCCCACGGTGAACA</t>
  </si>
  <si>
    <t xml:space="preserve">TAGTACTACAGCCCACGGTGAACA</t>
  </si>
  <si>
    <t xml:space="preserve">AAACTGTTCACCGTGGGCTGTAGT</t>
  </si>
  <si>
    <t xml:space="preserve">ATGGCGATCGGACGCATGGC</t>
  </si>
  <si>
    <t xml:space="preserve">TAGTATGGCGATCGGACGCATGGC</t>
  </si>
  <si>
    <t xml:space="preserve">AAACGCCATGCGTCCGATCGCCAT</t>
  </si>
  <si>
    <t xml:space="preserve">AGTTATCCGCCTCGTAATGC</t>
  </si>
  <si>
    <t xml:space="preserve">TAGTAGTTATCCGCCTCGTAATGC</t>
  </si>
  <si>
    <t xml:space="preserve">AAACGCATTACGAGGCGGATAACT</t>
  </si>
  <si>
    <t xml:space="preserve">PST_1152</t>
  </si>
  <si>
    <t xml:space="preserve">CAGCGCCGGCATCAGTATCA</t>
  </si>
  <si>
    <t xml:space="preserve">TAGTCAGCGCCGGCATCAGTATCA</t>
  </si>
  <si>
    <t xml:space="preserve">AAACTGATACTGATGCCGGCGCTG</t>
  </si>
  <si>
    <t xml:space="preserve">GGTCCACCGGTAGATCTGCG</t>
  </si>
  <si>
    <t xml:space="preserve">TAGTGGTCCACCGGTAGATCTGCG</t>
  </si>
  <si>
    <t xml:space="preserve">AAACCGCAGATCTACCGGTGGACC</t>
  </si>
  <si>
    <t xml:space="preserve">ACCGAAATGGACGCGCCCGT</t>
  </si>
  <si>
    <t xml:space="preserve">TAGTACCGAAATGGACGCGCCCGT</t>
  </si>
  <si>
    <t xml:space="preserve">AAACACGGGCGCGTCCATTTCGGT</t>
  </si>
  <si>
    <t xml:space="preserve">ATCTGCTCGGCGCCAGCGGG</t>
  </si>
  <si>
    <t xml:space="preserve">TAGTATCTGCTCGGCGCCAGCGGG</t>
  </si>
  <si>
    <t xml:space="preserve">AAACCCCGCTGGCGCCGAGCAGAT</t>
  </si>
  <si>
    <t xml:space="preserve">PST_1153</t>
  </si>
  <si>
    <t xml:space="preserve">GATGCCGCTGAATACGACGC</t>
  </si>
  <si>
    <t xml:space="preserve">TAGTGATGCCGCTGAATACGACGC</t>
  </si>
  <si>
    <t xml:space="preserve">AAACGCGTCGTATTCAGCGGCATC</t>
  </si>
  <si>
    <t xml:space="preserve">TTGAATACGTTGAGGTAGTA</t>
  </si>
  <si>
    <t xml:space="preserve">TAGTTTGAATACGTTGAGGTAGTA</t>
  </si>
  <si>
    <t xml:space="preserve">AAACTACTACCTCAACGTATTCAA</t>
  </si>
  <si>
    <t xml:space="preserve">CCAGCGGCTTTTCCGTGAAA</t>
  </si>
  <si>
    <t xml:space="preserve">TAGTCCAGCGGCTTTTCCGTGAAA</t>
  </si>
  <si>
    <t xml:space="preserve">AAACTTTCACGGAAAAGCCGCTGG</t>
  </si>
  <si>
    <t xml:space="preserve">GATCAGCATGAGTCCGCCCT</t>
  </si>
  <si>
    <t xml:space="preserve">TAGTGATCAGCATGAGTCCGCCCT</t>
  </si>
  <si>
    <t xml:space="preserve">AAACAGGGCGGACTCATGCTGATC</t>
  </si>
  <si>
    <t xml:space="preserve">PST_1154</t>
  </si>
  <si>
    <t xml:space="preserve">AACGAGCAGGCGACGAGACG</t>
  </si>
  <si>
    <t xml:space="preserve">TAGTAACGAGCAGGCGACGAGACG</t>
  </si>
  <si>
    <t xml:space="preserve">AAACCGTCTCGTCGCCTGCTCGTT</t>
  </si>
  <si>
    <t xml:space="preserve">GCGTTGTGCCAGCTGTCGGC</t>
  </si>
  <si>
    <t xml:space="preserve">TAGTGCGTTGTGCCAGCTGTCGGC</t>
  </si>
  <si>
    <t xml:space="preserve">AAACGCCGACAGCTGGCACAACGC</t>
  </si>
  <si>
    <t xml:space="preserve">GGGCAGCCAGTGCCAGCAAC</t>
  </si>
  <si>
    <t xml:space="preserve">TAGTGGGCAGCCAGTGCCAGCAAC</t>
  </si>
  <si>
    <t xml:space="preserve">AAACGTTGCTGGCACTGGCTGCCC</t>
  </si>
  <si>
    <t xml:space="preserve">GAGCGCATCCTGCAGGGCCA</t>
  </si>
  <si>
    <t xml:space="preserve">TAGTGAGCGCATCCTGCAGGGCCA</t>
  </si>
  <si>
    <t xml:space="preserve">AAACTGGCCCTGCAGGATGCGCTC</t>
  </si>
  <si>
    <t xml:space="preserve">PST_1155</t>
  </si>
  <si>
    <t xml:space="preserve">GGGCGGGGCTGCTCGAATCG</t>
  </si>
  <si>
    <t xml:space="preserve">TAGTGGGCGGGGCTGCTCGAATCG</t>
  </si>
  <si>
    <t xml:space="preserve">AAACCGATTCGAGCAGCCCCGCCC</t>
  </si>
  <si>
    <t xml:space="preserve">GCTGATGGGGCTGGTGGTCG</t>
  </si>
  <si>
    <t xml:space="preserve">TAGTGCTGATGGGGCTGGTGGTCG</t>
  </si>
  <si>
    <t xml:space="preserve">AAACCGACCACCAGCCCCATCAGC</t>
  </si>
  <si>
    <t xml:space="preserve">CGCCGTCGATGACCTCGTCC</t>
  </si>
  <si>
    <t xml:space="preserve">TAGTCGCCGTCGATGACCTCGTCC</t>
  </si>
  <si>
    <t xml:space="preserve">AAACGGACGAGGTCATCGACGGCG</t>
  </si>
  <si>
    <t xml:space="preserve">GTGGCCACCGGCGATCAGCG</t>
  </si>
  <si>
    <t xml:space="preserve">TAGTGTGGCCACCGGCGATCAGCG</t>
  </si>
  <si>
    <t xml:space="preserve">AAACCGCTGATCGCCGGTGGCCAC</t>
  </si>
  <si>
    <t xml:space="preserve">PST_1156</t>
  </si>
  <si>
    <t xml:space="preserve">CGGCCAGCGCACGCGTATGC</t>
  </si>
  <si>
    <t xml:space="preserve">TAGTCGGCCAGCGCACGCGTATGC</t>
  </si>
  <si>
    <t xml:space="preserve">AAACGCATACGCGTGCGCTGGCCG</t>
  </si>
  <si>
    <t xml:space="preserve">GCCGAGCAGCAGCACCGCCA</t>
  </si>
  <si>
    <t xml:space="preserve">TAGTGCCGAGCAGCAGCACCGCCA</t>
  </si>
  <si>
    <t xml:space="preserve">AAACTGGCGGTGCTGCTGCTCGGC</t>
  </si>
  <si>
    <t xml:space="preserve">TGGCCAGCCAGATGATCAAC</t>
  </si>
  <si>
    <t xml:space="preserve">TAGTTGGCCAGCCAGATGATCAAC</t>
  </si>
  <si>
    <t xml:space="preserve">AAACGTTGATCATCTGGCTGGCCA</t>
  </si>
  <si>
    <t xml:space="preserve">CTCGTAAGGTTGCAGCTGGC</t>
  </si>
  <si>
    <t xml:space="preserve">TAGTCTCGTAAGGTTGCAGCTGGC</t>
  </si>
  <si>
    <t xml:space="preserve">AAACGCCAGCTGCAACCTTACGAG</t>
  </si>
  <si>
    <t xml:space="preserve">PST_1157</t>
  </si>
  <si>
    <t xml:space="preserve">GCGCGGGCGTATCGAGACGC</t>
  </si>
  <si>
    <t xml:space="preserve">TAGTGCGCGGGCGTATCGAGACGC</t>
  </si>
  <si>
    <t xml:space="preserve">AAACGCGTCTCGATACGCCCGCGC</t>
  </si>
  <si>
    <t xml:space="preserve">TGGCGTGGCGCCGGGCCAGA</t>
  </si>
  <si>
    <t xml:space="preserve">TAGTTGGCGTGGCGCCGGGCCAGA</t>
  </si>
  <si>
    <t xml:space="preserve">AAACTCTGGCCCGGCGCCACGCCA</t>
  </si>
  <si>
    <t xml:space="preserve">CCAGCTGAGAATCAGCAGTC</t>
  </si>
  <si>
    <t xml:space="preserve">TAGTCCAGCTGAGAATCAGCAGTC</t>
  </si>
  <si>
    <t xml:space="preserve">AAACGACTGCTGATTCTCAGCTGG</t>
  </si>
  <si>
    <t xml:space="preserve">GCCGAAAACCGGCAGCGTGA</t>
  </si>
  <si>
    <t xml:space="preserve">TAGTGCCGAAAACCGGCAGCGTGA</t>
  </si>
  <si>
    <t xml:space="preserve">AAACTCACGCTGCCGGTTTTCGGC</t>
  </si>
  <si>
    <t xml:space="preserve">PST_1158</t>
  </si>
  <si>
    <t xml:space="preserve">CTGATGCAGGCGTTCGAATG</t>
  </si>
  <si>
    <t xml:space="preserve">TAGTCTGATGCAGGCGTTCGAATG</t>
  </si>
  <si>
    <t xml:space="preserve">AAACCATTCGAACGCCTGCATCAG</t>
  </si>
  <si>
    <t xml:space="preserve">CTGGCGGTAGGCGGCAGGGA</t>
  </si>
  <si>
    <t xml:space="preserve">TAGTCTGGCGGTAGGCGGCAGGGA</t>
  </si>
  <si>
    <t xml:space="preserve">AAACTCCCTGCCGCCTACCGCCAG</t>
  </si>
  <si>
    <t xml:space="preserve">GTAGCCGCGGGATTCGGCAA</t>
  </si>
  <si>
    <t xml:space="preserve">TAGTGTAGCCGCGGGATTCGGCAA</t>
  </si>
  <si>
    <t xml:space="preserve">AAACTTGCCGAATCCCGCGGCTAC</t>
  </si>
  <si>
    <t xml:space="preserve">GTTGCAGCTGCTCGACCAAC</t>
  </si>
  <si>
    <t xml:space="preserve">TAGTGTTGCAGCTGCTCGACCAAC</t>
  </si>
  <si>
    <t xml:space="preserve">AAACGTTGGTCGAGCAGCTGCAAC</t>
  </si>
  <si>
    <t xml:space="preserve">PST_1159</t>
  </si>
  <si>
    <t xml:space="preserve">GATGTTCGATGGCAAGGGCA</t>
  </si>
  <si>
    <t xml:space="preserve">TAGTGATGTTCGATGGCAAGGGCA</t>
  </si>
  <si>
    <t xml:space="preserve">AAACTGCCCTTGCCATCGAACATC</t>
  </si>
  <si>
    <t xml:space="preserve">TGGTGTCGAGCAGGGCTTGG</t>
  </si>
  <si>
    <t xml:space="preserve">TAGTTGGTGTCGAGCAGGGCTTGG</t>
  </si>
  <si>
    <t xml:space="preserve">AAACCCAAGCCCTGCTCGACACCA</t>
  </si>
  <si>
    <t xml:space="preserve">TGGGGTTTCCACGCGATGGC</t>
  </si>
  <si>
    <t xml:space="preserve">TAGTTGGGGTTTCCACGCGATGGC</t>
  </si>
  <si>
    <t xml:space="preserve">AAACGCCATCGCGTGGAAACCCCA</t>
  </si>
  <si>
    <t xml:space="preserve">AACGCCAGGTCGATGCCCTC</t>
  </si>
  <si>
    <t xml:space="preserve">TAGTAACGCCAGGTCGATGCCCTC</t>
  </si>
  <si>
    <t xml:space="preserve">AAACGAGGGCATCGACCTGGCGTT</t>
  </si>
  <si>
    <t xml:space="preserve">PST_1160</t>
  </si>
  <si>
    <t xml:space="preserve">sbcB</t>
  </si>
  <si>
    <t xml:space="preserve">CAGAAGATGCTTGGAGTCAC</t>
  </si>
  <si>
    <t xml:space="preserve">TAGTCAGAAGATGCTTGGAGTCAC</t>
  </si>
  <si>
    <t xml:space="preserve">AAACGTGACTCCAAGCATCTTCTG</t>
  </si>
  <si>
    <t xml:space="preserve">GCGGCTGGGCGATATGCCTG</t>
  </si>
  <si>
    <t xml:space="preserve">TAGTGCGGCTGGGCGATATGCCTG</t>
  </si>
  <si>
    <t xml:space="preserve">AAACCAGGCATATCGCCCAGCCGC</t>
  </si>
  <si>
    <t xml:space="preserve">TACCGGCAACCTGCAAGGGG</t>
  </si>
  <si>
    <t xml:space="preserve">TAGTTACCGGCAACCTGCAAGGGG</t>
  </si>
  <si>
    <t xml:space="preserve">AAACCCCCTTGCAGGTTGCCGGTA</t>
  </si>
  <si>
    <t xml:space="preserve">CCTCGAGCGCCTCGTTGGTG</t>
  </si>
  <si>
    <t xml:space="preserve">TAGTCCTCGAGCGCCTCGTTGGTG</t>
  </si>
  <si>
    <t xml:space="preserve">AAACCACCAACGAGGCGCTCGAGG</t>
  </si>
  <si>
    <t xml:space="preserve">PST_1161</t>
  </si>
  <si>
    <t xml:space="preserve">mvaT</t>
  </si>
  <si>
    <t xml:space="preserve">ACATGTGACTTCCTTGGATT</t>
  </si>
  <si>
    <t xml:space="preserve">TAGTACATGTGACTTCCTTGGATT</t>
  </si>
  <si>
    <t xml:space="preserve">AAACAATCCAAGGAAGTCACATGT</t>
  </si>
  <si>
    <t xml:space="preserve">TTCCTTGATGGCCTCTTCAG</t>
  </si>
  <si>
    <t xml:space="preserve">TAGTTTCCTTGATGGCCTCTTCAG</t>
  </si>
  <si>
    <t xml:space="preserve">AAACCTGAAGAGGCCATCAAGGAA</t>
  </si>
  <si>
    <t xml:space="preserve">CAGTTTGTCATCTTCGGAAA</t>
  </si>
  <si>
    <t xml:space="preserve">TAGTCAGTTTGTCATCTTCGGAAA</t>
  </si>
  <si>
    <t xml:space="preserve">AAACTTTCCGAAGATGACAAACTG</t>
  </si>
  <si>
    <t xml:space="preserve">TGATGTCGCGCAGCGACTTC</t>
  </si>
  <si>
    <t xml:space="preserve">TAGTTGATGTCGCGCAGCGACTTC</t>
  </si>
  <si>
    <t xml:space="preserve">AAACGAAGTCGCTGCGCGACATCA</t>
  </si>
  <si>
    <t xml:space="preserve">PST_1162</t>
  </si>
  <si>
    <t xml:space="preserve">CTGAGTAACGTCTGCAACAT</t>
  </si>
  <si>
    <t xml:space="preserve">TAGTCTGAGTAACGTCTGCAACAT</t>
  </si>
  <si>
    <t xml:space="preserve">AAACATGTTGCAGACGTTACTCAG</t>
  </si>
  <si>
    <t xml:space="preserve">TGCGCTTGGCTTTGTAGAGC</t>
  </si>
  <si>
    <t xml:space="preserve">TAGTTGCGCTTGGCTTTGTAGAGC</t>
  </si>
  <si>
    <t xml:space="preserve">AAACGCTCTACAAAGCCAAGCGCA</t>
  </si>
  <si>
    <t xml:space="preserve">CGGTGTTCTTGGCCAGGCCG</t>
  </si>
  <si>
    <t xml:space="preserve">TAGTCGGTGTTCTTGGCCAGGCCG</t>
  </si>
  <si>
    <t xml:space="preserve">AAACCGGCCTGGCCAAGAACACCG</t>
  </si>
  <si>
    <t xml:space="preserve">GAACAGTGTCATCAGCTGCG</t>
  </si>
  <si>
    <t xml:space="preserve">TAGTGAACAGTGTCATCAGCTGCG</t>
  </si>
  <si>
    <t xml:space="preserve">AAACCGCAGCTGATGACACTGTTC</t>
  </si>
  <si>
    <t xml:space="preserve">PST_1164</t>
  </si>
  <si>
    <t xml:space="preserve">TGGGTAGTGTGGCTCGATTA</t>
  </si>
  <si>
    <t xml:space="preserve">TAGTTGGGTAGTGTGGCTCGATTA</t>
  </si>
  <si>
    <t xml:space="preserve">AAACTAATCGAGCCACACTACCCA</t>
  </si>
  <si>
    <t xml:space="preserve">ATACGTAACATGGCCATCAG</t>
  </si>
  <si>
    <t xml:space="preserve">TAGTATACGTAACATGGCCATCAG</t>
  </si>
  <si>
    <t xml:space="preserve">AAACCTGATGGCCATGTTACGTAT</t>
  </si>
  <si>
    <t xml:space="preserve">CGAACCAGTTCTGCATCAGA</t>
  </si>
  <si>
    <t xml:space="preserve">TAGTCGAACCAGTTCTGCATCAGA</t>
  </si>
  <si>
    <t xml:space="preserve">AAACTCTGATGCAGAACTGGTTCG</t>
  </si>
  <si>
    <t xml:space="preserve">AGAGCGCTTCTTCCATGGCC</t>
  </si>
  <si>
    <t xml:space="preserve">TAGTAGAGCGCTTCTTCCATGGCC</t>
  </si>
  <si>
    <t xml:space="preserve">AAACGGCCATGGAAGAAGCGCTCT</t>
  </si>
  <si>
    <t xml:space="preserve">PST_1165</t>
  </si>
  <si>
    <t xml:space="preserve">purU1</t>
  </si>
  <si>
    <t xml:space="preserve">AATGCCAACGCCATCGGGGC</t>
  </si>
  <si>
    <t xml:space="preserve">TAGTAATGCCAACGCCATCGGGGC</t>
  </si>
  <si>
    <t xml:space="preserve">AAACGCCCCGATGGCGTTGGCATT</t>
  </si>
  <si>
    <t xml:space="preserve">GGCGAGAAAGTTACTGACCT</t>
  </si>
  <si>
    <t xml:space="preserve">TAGTGGCGAGAAAGTTACTGACCT</t>
  </si>
  <si>
    <t xml:space="preserve">AAACAGGTCAGTAACTTTCTCGCC</t>
  </si>
  <si>
    <t xml:space="preserve">CGTGATCCAGCCATTGTAGG</t>
  </si>
  <si>
    <t xml:space="preserve">TAGTCGTGATCCAGCCATTGTAGG</t>
  </si>
  <si>
    <t xml:space="preserve">AAACCCTACAATGGCTGGATCACG</t>
  </si>
  <si>
    <t xml:space="preserve">CTGGTGGTCGGAATGGTGGT</t>
  </si>
  <si>
    <t xml:space="preserve">TAGTCTGGTGGTCGGAATGGTGGT</t>
  </si>
  <si>
    <t xml:space="preserve">AAACACCACCATTCCGACCACCAG</t>
  </si>
  <si>
    <t xml:space="preserve">PST_1166</t>
  </si>
  <si>
    <t xml:space="preserve">ACGCTCGAAAGGATCTGCCA</t>
  </si>
  <si>
    <t xml:space="preserve">TAGTACGCTCGAAAGGATCTGCCA</t>
  </si>
  <si>
    <t xml:space="preserve">AAACTGGCAGATCCTTTCGAGCGT</t>
  </si>
  <si>
    <t xml:space="preserve">GCCGATGACCGGCGGCGCCT</t>
  </si>
  <si>
    <t xml:space="preserve">TAGTGCCGATGACCGGCGGCGCCT</t>
  </si>
  <si>
    <t xml:space="preserve">AAACAGGCGCCGCCGGTCATCGGC</t>
  </si>
  <si>
    <t xml:space="preserve">CGCCTCCGGGTCGTAGCGCT</t>
  </si>
  <si>
    <t xml:space="preserve">TAGTCGCCTCCGGGTCGTAGCGCT</t>
  </si>
  <si>
    <t xml:space="preserve">AAACAGCGCTACGACCCGGAGGCG</t>
  </si>
  <si>
    <t xml:space="preserve">AGCGAATTCCGTGCCCTGCT</t>
  </si>
  <si>
    <t xml:space="preserve">TAGTAGCGAATTCCGTGCCCTGCT</t>
  </si>
  <si>
    <t xml:space="preserve">AAACAGCAGGGCACGGAATTCGCT</t>
  </si>
  <si>
    <t xml:space="preserve">PST_1167</t>
  </si>
  <si>
    <t xml:space="preserve">GCTGGGTTCGCCGTTGGCGT</t>
  </si>
  <si>
    <t xml:space="preserve">TAGTGCTGGGTTCGCCGTTGGCGT</t>
  </si>
  <si>
    <t xml:space="preserve">AAACACGCCAACGGCGAACCCAGC</t>
  </si>
  <si>
    <t xml:space="preserve">GGCGATCAGGCCATGCCGAT</t>
  </si>
  <si>
    <t xml:space="preserve">TAGTGGCGATCAGGCCATGCCGAT</t>
  </si>
  <si>
    <t xml:space="preserve">AAACATCGGCATGGCCTGATCGCC</t>
  </si>
  <si>
    <t xml:space="preserve">CTTTCCGGTGCCGGTGGCGC</t>
  </si>
  <si>
    <t xml:space="preserve">TAGTCTTTCCGGTGCCGGTGGCGC</t>
  </si>
  <si>
    <t xml:space="preserve">AAACGCGCCACCGGCACCGGAAAG</t>
  </si>
  <si>
    <t xml:space="preserve">CTGCTCGGCCAGCCGTTGCA</t>
  </si>
  <si>
    <t xml:space="preserve">TAGTCTGCTCGGCCAGCCGTTGCA</t>
  </si>
  <si>
    <t xml:space="preserve">AAACTGCAACGGCTGGCCGAGCAG</t>
  </si>
  <si>
    <t xml:space="preserve">PST_1168</t>
  </si>
  <si>
    <t xml:space="preserve">ACCACTGTTTGCCGGCTGCA</t>
  </si>
  <si>
    <t xml:space="preserve">TAGTACCACTGTTTGCCGGCTGCA</t>
  </si>
  <si>
    <t xml:space="preserve">AAACTGCAGCCGGCAAACAGTGGT</t>
  </si>
  <si>
    <t xml:space="preserve">TCAGCAAATGATTGCATGGC</t>
  </si>
  <si>
    <t xml:space="preserve">TAGTTCAGCAAATGATTGCATGGC</t>
  </si>
  <si>
    <t xml:space="preserve">AAACGCCATGCAATCATTTGCTGA</t>
  </si>
  <si>
    <t xml:space="preserve">GGATGATTTGAATTGAGACG</t>
  </si>
  <si>
    <t xml:space="preserve">TAGTGGATGATTTGAATTGAGACG</t>
  </si>
  <si>
    <t xml:space="preserve">AAACCGTCTCAATTCAAATCATCC</t>
  </si>
  <si>
    <t xml:space="preserve">TCACGTAATAAAACCTGTGT</t>
  </si>
  <si>
    <t xml:space="preserve">TAGTTCACGTAATAAAACCTGTGT</t>
  </si>
  <si>
    <t xml:space="preserve">AAACACACAGGTTTTATTACGTGA</t>
  </si>
  <si>
    <t xml:space="preserve">PST_1169</t>
  </si>
  <si>
    <t xml:space="preserve">algA</t>
  </si>
  <si>
    <t xml:space="preserve">TACCACCTGAAAGAATAACC</t>
  </si>
  <si>
    <t xml:space="preserve">TAGTTACCACCTGAAAGAATAACC</t>
  </si>
  <si>
    <t xml:space="preserve">AAACGGTTATTCTTTCAGGTGGTA</t>
  </si>
  <si>
    <t xml:space="preserve">GCGGGAGAGGGGCCACAGTC</t>
  </si>
  <si>
    <t xml:space="preserve">TAGTGCGGGAGAGGGGCCACAGTC</t>
  </si>
  <si>
    <t xml:space="preserve">AAACGACTGTGGCCCCTCTCCCGC</t>
  </si>
  <si>
    <t xml:space="preserve">TCAGTGCAAGGAACTGCTTG</t>
  </si>
  <si>
    <t xml:space="preserve">TAGTTCAGTGCAAGGAACTGCTTG</t>
  </si>
  <si>
    <t xml:space="preserve">AAACCAAGCAGTTCCTTGCACTGA</t>
  </si>
  <si>
    <t xml:space="preserve">GCTGCATGCCGTCGAAGGCC</t>
  </si>
  <si>
    <t xml:space="preserve">TAGTGCTGCATGCCGTCGAAGGCC</t>
  </si>
  <si>
    <t xml:space="preserve">AAACGGCCTTCGACGGCATGCAGC</t>
  </si>
  <si>
    <t xml:space="preserve">PST_1170</t>
  </si>
  <si>
    <t xml:space="preserve">GTAATCGAGTGTCTTGGCCG</t>
  </si>
  <si>
    <t xml:space="preserve">TAGTGTAATCGAGTGTCTTGGCCG</t>
  </si>
  <si>
    <t xml:space="preserve">AAACCGGCCAAGACACTCGATTAC</t>
  </si>
  <si>
    <t xml:space="preserve">GTGAAGCGTTCGGTTATCGG</t>
  </si>
  <si>
    <t xml:space="preserve">TAGTGTGAAGCGTTCGGTTATCGG</t>
  </si>
  <si>
    <t xml:space="preserve">AAACCCGATAACCGAACGCTTCAC</t>
  </si>
  <si>
    <t xml:space="preserve">GTGGTCGAGGTACTGGGGCT</t>
  </si>
  <si>
    <t xml:space="preserve">TAGTGTGGTCGAGGTACTGGGGCT</t>
  </si>
  <si>
    <t xml:space="preserve">AAACAGCCCCAGTACCTCGACCAC</t>
  </si>
  <si>
    <t xml:space="preserve">ATCAGTTCGCTGATCTGCGC</t>
  </si>
  <si>
    <t xml:space="preserve">TAGTATCAGTTCGCTGATCTGCGC</t>
  </si>
  <si>
    <t xml:space="preserve">AAACGCGCAGATCAGCGAACTGAT</t>
  </si>
  <si>
    <t xml:space="preserve">PST_1171</t>
  </si>
  <si>
    <t xml:space="preserve">AGCGGGCGGTAATCGTGTGG</t>
  </si>
  <si>
    <t xml:space="preserve">TAGTAGCGGGCGGTAATCGTGTGG</t>
  </si>
  <si>
    <t xml:space="preserve">AAACCCACACGATTACCGCCCGCT</t>
  </si>
  <si>
    <t xml:space="preserve">CCCATGTCCGCCGTTCCGAG</t>
  </si>
  <si>
    <t xml:space="preserve">TAGTCCCATGTCCGCCGTTCCGAG</t>
  </si>
  <si>
    <t xml:space="preserve">AAACCTCGGAACGGCGGACATGGG</t>
  </si>
  <si>
    <t xml:space="preserve">GGAGTTGAACCAGTAACCGG</t>
  </si>
  <si>
    <t xml:space="preserve">TAGTGGAGTTGAACCAGTAACCGG</t>
  </si>
  <si>
    <t xml:space="preserve">AAACCCGGTTACTGGTTCAACTCC</t>
  </si>
  <si>
    <t xml:space="preserve">GCCATCGGCGAGCAATGCCA</t>
  </si>
  <si>
    <t xml:space="preserve">TAGTGCCATCGGCGAGCAATGCCA</t>
  </si>
  <si>
    <t xml:space="preserve">AAACTGGCATTGCTCGCCGATGGC</t>
  </si>
  <si>
    <t xml:space="preserve">PST_1172</t>
  </si>
  <si>
    <t xml:space="preserve">GACGTAGAGCGTGGGCTGGG</t>
  </si>
  <si>
    <t xml:space="preserve">TAGTGACGTAGAGCGTGGGCTGGG</t>
  </si>
  <si>
    <t xml:space="preserve">AAACCCCAGCCCACGCTCTACGTC</t>
  </si>
  <si>
    <t xml:space="preserve">GTATCAGGACGTTCGTGTCG</t>
  </si>
  <si>
    <t xml:space="preserve">TAGTGTATCAGGACGTTCGTGTCG</t>
  </si>
  <si>
    <t xml:space="preserve">AAACCGACACGAACGTCCTGATAC</t>
  </si>
  <si>
    <t xml:space="preserve">TGGAAATTCAGCAAGGCGTT</t>
  </si>
  <si>
    <t xml:space="preserve">TAGTTGGAAATTCAGCAAGGCGTT</t>
  </si>
  <si>
    <t xml:space="preserve">AAACAACGCCTTGCTGAATTTCCA</t>
  </si>
  <si>
    <t xml:space="preserve">GAATGGCGACCTGGTGTTCC</t>
  </si>
  <si>
    <t xml:space="preserve">TAGTGAATGGCGACCTGGTGTTCC</t>
  </si>
  <si>
    <t xml:space="preserve">AAACGGAACACCAGGTCGCCATTC</t>
  </si>
  <si>
    <t xml:space="preserve">PST_1173</t>
  </si>
  <si>
    <t xml:space="preserve">moaC</t>
  </si>
  <si>
    <t xml:space="preserve">CCGGCCTAGGGAATCGAGAT</t>
  </si>
  <si>
    <t xml:space="preserve">TAGTCCGGCCTAGGGAATCGAGAT</t>
  </si>
  <si>
    <t xml:space="preserve">AAACATCTCGATTCCCTAGGCCGG</t>
  </si>
  <si>
    <t xml:space="preserve">GTCGGTGACGTCGACCATGC</t>
  </si>
  <si>
    <t xml:space="preserve">TAGTGTCGGTGACGTCGACCATGC</t>
  </si>
  <si>
    <t xml:space="preserve">AAACGCATGGTCGACGTCACCGAC</t>
  </si>
  <si>
    <t xml:space="preserve">CACGGCTTCGCGCGCCGTCA</t>
  </si>
  <si>
    <t xml:space="preserve">TAGTCACGGCTTCGCGCGCCGTCA</t>
  </si>
  <si>
    <t xml:space="preserve">AAACTGACGGCGCGCGAAGCCGTG</t>
  </si>
  <si>
    <t xml:space="preserve">CAGCATGCGGACGCGCGCCT</t>
  </si>
  <si>
    <t xml:space="preserve">TAGTCAGCATGCGGACGCGCGCCT</t>
  </si>
  <si>
    <t xml:space="preserve">AAACAGGCGCGCGTCCGCATGCTG</t>
  </si>
  <si>
    <t xml:space="preserve">PST_1174</t>
  </si>
  <si>
    <t xml:space="preserve">moaD</t>
  </si>
  <si>
    <t xml:space="preserve">GCCTAGGGTTTCCCGATAAC</t>
  </si>
  <si>
    <t xml:space="preserve">TAGTGCCTAGGGTTTCCCGATAAC</t>
  </si>
  <si>
    <t xml:space="preserve">AAACGTTATCGGGAAACCCTAGGC</t>
  </si>
  <si>
    <t xml:space="preserve">TGCCGAACGATTCATCCCAT</t>
  </si>
  <si>
    <t xml:space="preserve">TAGTTGCCGAACGATTCATCCCAT</t>
  </si>
  <si>
    <t xml:space="preserve">AAACATGGGATGAATCGTTCGGCA</t>
  </si>
  <si>
    <t xml:space="preserve">CACCGCGCGCCAGGAGGTAC</t>
  </si>
  <si>
    <t xml:space="preserve">TAGTCACCGCGCGCCAGGAGGTAC</t>
  </si>
  <si>
    <t xml:space="preserve">AAACGTACCTCCTGGCGCGCGGTG</t>
  </si>
  <si>
    <t xml:space="preserve">CACCTCGTCGCCATCGACAA</t>
  </si>
  <si>
    <t xml:space="preserve">TAGTCACCTCGTCGCCATCGACAA</t>
  </si>
  <si>
    <t xml:space="preserve">AAACTTGTCGATGGCGACGAGGTG</t>
  </si>
  <si>
    <t xml:space="preserve">PST_1175</t>
  </si>
  <si>
    <t xml:space="preserve">moaE</t>
  </si>
  <si>
    <t xml:space="preserve">AGCGCGTTCAGCTCCGCGCC</t>
  </si>
  <si>
    <t xml:space="preserve">TAGTAGCGCGTTCAGCTCCGCGCC</t>
  </si>
  <si>
    <t xml:space="preserve">AAACGGCGCGGAGCTGAACGCGCT</t>
  </si>
  <si>
    <t xml:space="preserve">CGCGCCGATTCCCAGATTGG</t>
  </si>
  <si>
    <t xml:space="preserve">TAGTCGCGCCGATTCCCAGATTGG</t>
  </si>
  <si>
    <t xml:space="preserve">AAACCCAATCTGGGAATCGGCGCG</t>
  </si>
  <si>
    <t xml:space="preserve">CCGCACGTAGCCGACGAAGC</t>
  </si>
  <si>
    <t xml:space="preserve">TAGTCCGCACGTAGCCGACGAAGC</t>
  </si>
  <si>
    <t xml:space="preserve">AAACGCTTCGTCGGCTACGTGCGG</t>
  </si>
  <si>
    <t xml:space="preserve">CGCATGCTCGAGAAACATGC</t>
  </si>
  <si>
    <t xml:space="preserve">TAGTCGCATGCTCGAGAAACATGC</t>
  </si>
  <si>
    <t xml:space="preserve">AAACGCATGTTTCTCGAGCATGCG</t>
  </si>
  <si>
    <t xml:space="preserve">PST_1176</t>
  </si>
  <si>
    <t xml:space="preserve">AGCCAGTGCATGCTGTCCAT</t>
  </si>
  <si>
    <t xml:space="preserve">TAGTAGCCAGTGCATGCTGTCCAT</t>
  </si>
  <si>
    <t xml:space="preserve">AAACATGGACAGCATGCACTGGCT</t>
  </si>
  <si>
    <t xml:space="preserve">CGACGCCCCATCGCTTGTCC</t>
  </si>
  <si>
    <t xml:space="preserve">TAGTCGACGCCCCATCGCTTGTCC</t>
  </si>
  <si>
    <t xml:space="preserve">AAACGGACAAGCGATGGGGCGTCG</t>
  </si>
  <si>
    <t xml:space="preserve">AAAACATCGTGAGAATGCCG</t>
  </si>
  <si>
    <t xml:space="preserve">TAGTAAAACATCGTGAGAATGCCG</t>
  </si>
  <si>
    <t xml:space="preserve">AAACCGGCATTCTCACGATGTTTT</t>
  </si>
  <si>
    <t xml:space="preserve">GTACATCTTGAAGGCCAGCG</t>
  </si>
  <si>
    <t xml:space="preserve">TAGTGTACATCTTGAAGGCCAGCG</t>
  </si>
  <si>
    <t xml:space="preserve">AAACCGCTGGCCTTCAAGATGTAC</t>
  </si>
  <si>
    <t xml:space="preserve">PST_1177</t>
  </si>
  <si>
    <t xml:space="preserve">rhlB</t>
  </si>
  <si>
    <t xml:space="preserve">TGGGAAGCGGCGCGCTGCCA</t>
  </si>
  <si>
    <t xml:space="preserve">TAGTTGGGAAGCGGCGCGCTGCCA</t>
  </si>
  <si>
    <t xml:space="preserve">AAACTGGCAGCGCGCCGCTTCCCA</t>
  </si>
  <si>
    <t xml:space="preserve">GGCGGTCGGACGATGGCCGG</t>
  </si>
  <si>
    <t xml:space="preserve">TAGTGGCGGTCGGACGATGGCCGG</t>
  </si>
  <si>
    <t xml:space="preserve">AAACCCGGCCATCGTCCGACCGCC</t>
  </si>
  <si>
    <t xml:space="preserve">GCACGGGCGGCCGACGTGGT</t>
  </si>
  <si>
    <t xml:space="preserve">TAGTGCACGGGCGGCCGACGTGGT</t>
  </si>
  <si>
    <t xml:space="preserve">AAACACCACGTCGGCCGCCCGTGC</t>
  </si>
  <si>
    <t xml:space="preserve">ATGTGGCGAAGCCTCCAGCC</t>
  </si>
  <si>
    <t xml:space="preserve">TAGTATGTGGCGAAGCCTCCAGCC</t>
  </si>
  <si>
    <t xml:space="preserve">AAACGGCTGGAGGCTTCGCCACAT</t>
  </si>
  <si>
    <t xml:space="preserve">PST_1178</t>
  </si>
  <si>
    <t xml:space="preserve">GAGGATCAGCGGTTCGCTCA</t>
  </si>
  <si>
    <t xml:space="preserve">TAGTGAGGATCAGCGGTTCGCTCA</t>
  </si>
  <si>
    <t xml:space="preserve">AAACTGAGCGAACCGCTGATCCTC</t>
  </si>
  <si>
    <t xml:space="preserve">GCAGGCGTCTGCGCTGGCGG</t>
  </si>
  <si>
    <t xml:space="preserve">TAGTGCAGGCGTCTGCGCTGGCGG</t>
  </si>
  <si>
    <t xml:space="preserve">AAACCCGCCAGCGCAGACGCCTGC</t>
  </si>
  <si>
    <t xml:space="preserve">AGTCATAACGGTCTGCGCCC</t>
  </si>
  <si>
    <t xml:space="preserve">TAGTAGTCATAACGGTCTGCGCCC</t>
  </si>
  <si>
    <t xml:space="preserve">AAACGGGCGCAGACCGTTATGACT</t>
  </si>
  <si>
    <t xml:space="preserve">TGTTGCAGGGCCTCGGCCAC</t>
  </si>
  <si>
    <t xml:space="preserve">TAGTTGTTGCAGGGCCTCGGCCAC</t>
  </si>
  <si>
    <t xml:space="preserve">AAACGTGGCCGAGGCCCTGCAACA</t>
  </si>
  <si>
    <t xml:space="preserve">PST_1179</t>
  </si>
  <si>
    <t xml:space="preserve">ACACGGCCGCGGCGACCGCA</t>
  </si>
  <si>
    <t xml:space="preserve">TAGTACACGGCCGCGGCGACCGCA</t>
  </si>
  <si>
    <t xml:space="preserve">AAACTGCGGTCGCCGCGGCCGTGT</t>
  </si>
  <si>
    <t xml:space="preserve">CAGCGGGCTGTACTTGACCT</t>
  </si>
  <si>
    <t xml:space="preserve">TAGTCAGCGGGCTGTACTTGACCT</t>
  </si>
  <si>
    <t xml:space="preserve">AAACAGGTCAAGTACAGCCCGCTG</t>
  </si>
  <si>
    <t xml:space="preserve">CGCGGTGAAACGCTCCTTGG</t>
  </si>
  <si>
    <t xml:space="preserve">TAGTCGCGGTGAAACGCTCCTTGG</t>
  </si>
  <si>
    <t xml:space="preserve">AAACCCAAGGAGCGTTTCACCGCG</t>
  </si>
  <si>
    <t xml:space="preserve">GTCCCGCGAGCTGGTCCAGG</t>
  </si>
  <si>
    <t xml:space="preserve">TAGTGTCCCGCGAGCTGGTCCAGG</t>
  </si>
  <si>
    <t xml:space="preserve">AAACCCTGGACCAGCTCGCGGGAC</t>
  </si>
  <si>
    <t xml:space="preserve">PST_1180</t>
  </si>
  <si>
    <t xml:space="preserve">purL</t>
  </si>
  <si>
    <t xml:space="preserve">AAAGAGCGGGAGCACCGCGC</t>
  </si>
  <si>
    <t xml:space="preserve">TAGTAAAGAGCGGGAGCACCGCGC</t>
  </si>
  <si>
    <t xml:space="preserve">AAACGCGCGGTGCTCCCGCTCTTT</t>
  </si>
  <si>
    <t xml:space="preserve">GAGCTTGCCGTGACGGAAGG</t>
  </si>
  <si>
    <t xml:space="preserve">TAGTGAGCTTGCCGTGACGGAAGG</t>
  </si>
  <si>
    <t xml:space="preserve">AAACCCTTCCGTCACGGCAAGCTC</t>
  </si>
  <si>
    <t xml:space="preserve">CCTTTTCGGTCAGTTGTGCC</t>
  </si>
  <si>
    <t xml:space="preserve">TAGTCCTTTTCGGTCAGTTGTGCC</t>
  </si>
  <si>
    <t xml:space="preserve">AAACGGCACAACTGACCGAAAAGG</t>
  </si>
  <si>
    <t xml:space="preserve">GCATACAACCCGCTGACGGC</t>
  </si>
  <si>
    <t xml:space="preserve">TAGTGCATACAACCCGCTGACGGC</t>
  </si>
  <si>
    <t xml:space="preserve">AAACGCCGTCAGCGGGTTGTATGC</t>
  </si>
  <si>
    <t xml:space="preserve">PST_1181</t>
  </si>
  <si>
    <t xml:space="preserve">GGAGTGGAAAGTGGAGATGG</t>
  </si>
  <si>
    <t xml:space="preserve">TAGTGGAGTGGAAAGTGGAGATGG</t>
  </si>
  <si>
    <t xml:space="preserve">AAACCCATCTCCACTTTCCACTCC</t>
  </si>
  <si>
    <t xml:space="preserve">CGGGCAGGTGCAACACGTGC</t>
  </si>
  <si>
    <t xml:space="preserve">TAGTCGGGCAGGTGCAACACGTGC</t>
  </si>
  <si>
    <t xml:space="preserve">AAACGCACGTGTTGCACCTGCCCG</t>
  </si>
  <si>
    <t xml:space="preserve">CAGCCCTTTCTCGGGCAAAC</t>
  </si>
  <si>
    <t xml:space="preserve">TAGTCAGCCCTTTCTCGGGCAAAC</t>
  </si>
  <si>
    <t xml:space="preserve">AAACGTTTGCCCGAGAAAGGGCTG</t>
  </si>
  <si>
    <t xml:space="preserve">GGACAGTATCGTCCGCTGGA</t>
  </si>
  <si>
    <t xml:space="preserve">TAGTGGACAGTATCGTCCGCTGGA</t>
  </si>
  <si>
    <t xml:space="preserve">AAACTCCAGCGGACGATACTGTCC</t>
  </si>
  <si>
    <t xml:space="preserve">PST_1182</t>
  </si>
  <si>
    <t xml:space="preserve">AGAGCGAGCAGCCAACGCAT</t>
  </si>
  <si>
    <t xml:space="preserve">TAGTAGAGCGAGCAGCCAACGCAT</t>
  </si>
  <si>
    <t xml:space="preserve">AAACATGCGTTGGCTGCTCGCTCT</t>
  </si>
  <si>
    <t xml:space="preserve">GGGAGAAGGCGGTAAAGGTG</t>
  </si>
  <si>
    <t xml:space="preserve">TAGTGGGAGAAGGCGGTAAAGGTG</t>
  </si>
  <si>
    <t xml:space="preserve">AAACCACCTTTACCGCCTTCTCCC</t>
  </si>
  <si>
    <t xml:space="preserve">GCTGGGTGTCGCATTGGCGT</t>
  </si>
  <si>
    <t xml:space="preserve">TAGTGCTGGGTGTCGCATTGGCGT</t>
  </si>
  <si>
    <t xml:space="preserve">AAACACGCCAATGCGACACCCAGC</t>
  </si>
  <si>
    <t xml:space="preserve">TGTCGATGGGCGAGCCGCCC</t>
  </si>
  <si>
    <t xml:space="preserve">TAGTTGTCGATGGGCGAGCCGCCC</t>
  </si>
  <si>
    <t xml:space="preserve">AAACGGGCGGCTCGCCCATCGACA</t>
  </si>
  <si>
    <t xml:space="preserve">PST_1183</t>
  </si>
  <si>
    <t xml:space="preserve">ACACTGGTTGCAGTACTTCA</t>
  </si>
  <si>
    <t xml:space="preserve">TAGTACACTGGTTGCAGTACTTCA</t>
  </si>
  <si>
    <t xml:space="preserve">AAACTGAAGTACTGCAACCAGTGT</t>
  </si>
  <si>
    <t xml:space="preserve">CCGGGACGCGGATCAGTACC</t>
  </si>
  <si>
    <t xml:space="preserve">TAGTCCGGGACGCGGATCAGTACC</t>
  </si>
  <si>
    <t xml:space="preserve">AAACGGTACTGATCCGCGTCCCGG</t>
  </si>
  <si>
    <t xml:space="preserve">TGCCGCAGACGAAGCGCGGG</t>
  </si>
  <si>
    <t xml:space="preserve">TAGTTGCCGCAGACGAAGCGCGGG</t>
  </si>
  <si>
    <t xml:space="preserve">AAACCCCGCGCTTCGTCTGCGGCA</t>
  </si>
  <si>
    <t xml:space="preserve">GGTTTTCATAATGCACAGTG</t>
  </si>
  <si>
    <t xml:space="preserve">TAGTGGTTTTCATAATGCACAGTG</t>
  </si>
  <si>
    <t xml:space="preserve">AAACCACTGTGCATTATGAAAACC</t>
  </si>
  <si>
    <t xml:space="preserve">PST_1184</t>
  </si>
  <si>
    <t xml:space="preserve">GGCAATGGCCGCGCACCCGT</t>
  </si>
  <si>
    <t xml:space="preserve">TAGTGGCAATGGCCGCGCACCCGT</t>
  </si>
  <si>
    <t xml:space="preserve">AAACACGGGTGCGCGGCCATTGCC</t>
  </si>
  <si>
    <t xml:space="preserve">CCTCCGGCGCCAGGAGATAC</t>
  </si>
  <si>
    <t xml:space="preserve">TAGTCCTCCGGCGCCAGGAGATAC</t>
  </si>
  <si>
    <t xml:space="preserve">AAACGTATCTCCTGGCGCCGGAGG</t>
  </si>
  <si>
    <t xml:space="preserve">ACACGGCCGCCTCGGGCAGG</t>
  </si>
  <si>
    <t xml:space="preserve">TAGTACACGGCCGCCTCGGGCAGG</t>
  </si>
  <si>
    <t xml:space="preserve">AAACCCTGCCCGAGGCGGCCGTGT</t>
  </si>
  <si>
    <t xml:space="preserve">GGCGACTCGCTGCGAGTGAT</t>
  </si>
  <si>
    <t xml:space="preserve">TAGTGGCGACTCGCTGCGAGTGAT</t>
  </si>
  <si>
    <t xml:space="preserve">AAACATCACTCGCAGCGAGTCGCC</t>
  </si>
  <si>
    <t xml:space="preserve">PST_1185</t>
  </si>
  <si>
    <t xml:space="preserve">TTGCCGAGCAGCGTGGCATT</t>
  </si>
  <si>
    <t xml:space="preserve">TAGTTTGCCGAGCAGCGTGGCATT</t>
  </si>
  <si>
    <t xml:space="preserve">AAACAATGCCACGCTGCTCGGCAA</t>
  </si>
  <si>
    <t xml:space="preserve">CACCGCACCGAACCACACAC</t>
  </si>
  <si>
    <t xml:space="preserve">TAGTCACCGCACCGAACCACACAC</t>
  </si>
  <si>
    <t xml:space="preserve">AAACGTGTGTGGTTCGGTGCGGTG</t>
  </si>
  <si>
    <t xml:space="preserve">CGTCAGCGGATGGCCCATAT</t>
  </si>
  <si>
    <t xml:space="preserve">TAGTCGTCAGCGGATGGCCCATAT</t>
  </si>
  <si>
    <t xml:space="preserve">AAACATATGGGCCATCCGCTGACG</t>
  </si>
  <si>
    <t xml:space="preserve">CACCGTGCAGCCATGCAGCA</t>
  </si>
  <si>
    <t xml:space="preserve">TAGTCACCGTGCAGCCATGCAGCA</t>
  </si>
  <si>
    <t xml:space="preserve">AAACTGCTGCATGGCTGCACGGTG</t>
  </si>
  <si>
    <t xml:space="preserve">PST_1186</t>
  </si>
  <si>
    <t xml:space="preserve">CTGACACAGGGGGAAGCGAC</t>
  </si>
  <si>
    <t xml:space="preserve">TAGTCTGACACAGGGGGAAGCGAC</t>
  </si>
  <si>
    <t xml:space="preserve">AAACGTCGCTTCCCCCTGTGTCAG</t>
  </si>
  <si>
    <t xml:space="preserve">CGTCTTCGTCCAGCGCGCAG</t>
  </si>
  <si>
    <t xml:space="preserve">TAGTCGTCTTCGTCCAGCGCGCAG</t>
  </si>
  <si>
    <t xml:space="preserve">AAACCTGCGCGCTGGACGAAGACG</t>
  </si>
  <si>
    <t xml:space="preserve">TGCGCTGGCAGCCGACGCAC</t>
  </si>
  <si>
    <t xml:space="preserve">TAGTTGCGCTGGCAGCCGACGCAC</t>
  </si>
  <si>
    <t xml:space="preserve">AAACGTGCGTCGGCTGCCAGCGCA</t>
  </si>
  <si>
    <t xml:space="preserve">CGTTGTTCATCTGGCCCCAG</t>
  </si>
  <si>
    <t xml:space="preserve">TAGTCGTTGTTCATCTGGCCCCAG</t>
  </si>
  <si>
    <t xml:space="preserve">AAACCTGGGGCCAGATGAACAACG</t>
  </si>
  <si>
    <t xml:space="preserve">PST_1187</t>
  </si>
  <si>
    <t xml:space="preserve">purT</t>
  </si>
  <si>
    <t xml:space="preserve">GGAGTGCCTATTCTTGGCAT</t>
  </si>
  <si>
    <t xml:space="preserve">TAGTGGAGTGCCTATTCTTGGCAT</t>
  </si>
  <si>
    <t xml:space="preserve">AAACATGCCAAGAATAGGCACTCC</t>
  </si>
  <si>
    <t xml:space="preserve">CGGGTCGCACTGGGCGACAG</t>
  </si>
  <si>
    <t xml:space="preserve">TAGTCGGGTCGCACTGGGCGACAG</t>
  </si>
  <si>
    <t xml:space="preserve">AAACCTGTCGCCCAGTGCGACCCG</t>
  </si>
  <si>
    <t xml:space="preserve">CGCAGCCGCAGAGCAGGATA</t>
  </si>
  <si>
    <t xml:space="preserve">TAGTCGCAGCCGCAGAGCAGGATA</t>
  </si>
  <si>
    <t xml:space="preserve">AAACTATCCTGCTCTGCGGCTGCG</t>
  </si>
  <si>
    <t xml:space="preserve">CGCATTGGCATAACGGTCCA</t>
  </si>
  <si>
    <t xml:space="preserve">TAGTCGCATTGGCATAACGGTCCA</t>
  </si>
  <si>
    <t xml:space="preserve">AAACTGGACCGTTATGCCAATGCG</t>
  </si>
  <si>
    <t xml:space="preserve">PST_1188</t>
  </si>
  <si>
    <t xml:space="preserve">GCAGGCCGACGAGAAAGCCG</t>
  </si>
  <si>
    <t xml:space="preserve">TAGTGCAGGCCGACGAGAAAGCCG</t>
  </si>
  <si>
    <t xml:space="preserve">AAACCGGCTTTCTCGTCGGCCTGC</t>
  </si>
  <si>
    <t xml:space="preserve">GAGCATGCCGGTCTCGGAGC</t>
  </si>
  <si>
    <t xml:space="preserve">TAGTGAGCATGCCGGTCTCGGAGC</t>
  </si>
  <si>
    <t xml:space="preserve">AAACGCTCCGAGACCGGCATGCTC</t>
  </si>
  <si>
    <t xml:space="preserve">GTCTGAGGCGGTAGCGATTG</t>
  </si>
  <si>
    <t xml:space="preserve">TAGTGTCTGAGGCGGTAGCGATTG</t>
  </si>
  <si>
    <t xml:space="preserve">AAACCAATCGCTACCGCCTCAGAC</t>
  </si>
  <si>
    <t xml:space="preserve">GGCGCCACGATGGCCCTCCT</t>
  </si>
  <si>
    <t xml:space="preserve">TAGTGGCGCCACGATGGCCCTCCT</t>
  </si>
  <si>
    <t xml:space="preserve">AAACAGGAGGGCCATCGTGGCGCC</t>
  </si>
  <si>
    <t xml:space="preserve">PST_1189</t>
  </si>
  <si>
    <t xml:space="preserve">AGCAGGGCGGATCGGCGGCA</t>
  </si>
  <si>
    <t xml:space="preserve">TAGTAGCAGGGCGGATCGGCGGCA</t>
  </si>
  <si>
    <t xml:space="preserve">AAACTGCCGCCGATCCGCCCTGCT</t>
  </si>
  <si>
    <t xml:space="preserve">GGTGGGAACTGCTTCGTGTG</t>
  </si>
  <si>
    <t xml:space="preserve">TAGTGGTGGGAACTGCTTCGTGTG</t>
  </si>
  <si>
    <t xml:space="preserve">AAACCACACGAAGCAGTTCCCACC</t>
  </si>
  <si>
    <t xml:space="preserve">CGGCAAGGTTACGCGGCTCG</t>
  </si>
  <si>
    <t xml:space="preserve">TAGTCGGCAAGGTTACGCGGCTCG</t>
  </si>
  <si>
    <t xml:space="preserve">AAACCGAGCCGCGTAACCTTGCCG</t>
  </si>
  <si>
    <t xml:space="preserve">CGCCCGAGGCACAAAAGCTG</t>
  </si>
  <si>
    <t xml:space="preserve">TAGTCGCCCGAGGCACAAAAGCTG</t>
  </si>
  <si>
    <t xml:space="preserve">AAACCAGCTTTTGTGCCTCGGGCG</t>
  </si>
  <si>
    <t xml:space="preserve">PST_1190</t>
  </si>
  <si>
    <t xml:space="preserve">ffh</t>
  </si>
  <si>
    <t xml:space="preserve">AGAAGGTGCGGACGCCCCGC</t>
  </si>
  <si>
    <t xml:space="preserve">TAGTAGAAGGTGCGGACGCCCCGC</t>
  </si>
  <si>
    <t xml:space="preserve">AAACGCGGGGCGTCCGCACCTTCT</t>
  </si>
  <si>
    <t xml:space="preserve">TCCACGCTGGATGTGCTGAG</t>
  </si>
  <si>
    <t xml:space="preserve">TAGTTCCACGCTGGATGTGCTGAG</t>
  </si>
  <si>
    <t xml:space="preserve">AAACCTCAGCACATCCAGCGTGGA</t>
  </si>
  <si>
    <t xml:space="preserve">TTTGAGAGAGACGATCGGTT</t>
  </si>
  <si>
    <t xml:space="preserve">TAGTTTTGAGAGAGACGATCGGTT</t>
  </si>
  <si>
    <t xml:space="preserve">AAACAACCGATCGTCTCTCTCAAA</t>
  </si>
  <si>
    <t xml:space="preserve">CTCGGTCAGCTTGGCCTTGC</t>
  </si>
  <si>
    <t xml:space="preserve">TAGTCTCGGTCAGCTTGGCCTTGC</t>
  </si>
  <si>
    <t xml:space="preserve">AAACGCAAGGCCAAGCTGACCGAG</t>
  </si>
  <si>
    <t xml:space="preserve">PST_1191</t>
  </si>
  <si>
    <t xml:space="preserve">rpsP</t>
  </si>
  <si>
    <t xml:space="preserve">GCGCTTCTTGGAGCCGCCAC</t>
  </si>
  <si>
    <t xml:space="preserve">TAGTGCGCTTCTTGGAGCCGCCAC</t>
  </si>
  <si>
    <t xml:space="preserve">AAACGTGGCGGCTCCAAGAAGCGC</t>
  </si>
  <si>
    <t xml:space="preserve">TCACGGTCAGGTGGTAGAAA</t>
  </si>
  <si>
    <t xml:space="preserve">TAGTTCACGGTCAGGTGGTAGAAA</t>
  </si>
  <si>
    <t xml:space="preserve">AAACTTTCTACCACCTGACCGTGA</t>
  </si>
  <si>
    <t xml:space="preserve">ATCACGCGGATTGCGGCTGT</t>
  </si>
  <si>
    <t xml:space="preserve">TAGTATCACGCGGATTGCGGCTGT</t>
  </si>
  <si>
    <t xml:space="preserve">AAACACAGCCGCAATCCGCGTGAT</t>
  </si>
  <si>
    <t xml:space="preserve">ACTTCCGCACCAGTGGCGAT</t>
  </si>
  <si>
    <t xml:space="preserve">TAGTACTTCCGCACCAGTGGCGAT</t>
  </si>
  <si>
    <t xml:space="preserve">AAACATCGCCACTGGTGCGGAAGT</t>
  </si>
  <si>
    <t xml:space="preserve">PST_1192</t>
  </si>
  <si>
    <t xml:space="preserve">rimM</t>
  </si>
  <si>
    <t xml:space="preserve">GGGGCGGACATTGCGCTCAT</t>
  </si>
  <si>
    <t xml:space="preserve">TAGTGGGGCGGACATTGCGCTCAT</t>
  </si>
  <si>
    <t xml:space="preserve">AAACATGAGCGCAATGTCCGCCCC</t>
  </si>
  <si>
    <t xml:space="preserve">TGACGACCAGCTCATCGCTC</t>
  </si>
  <si>
    <t xml:space="preserve">TAGTTGACGACCAGCTCATCGCTC</t>
  </si>
  <si>
    <t xml:space="preserve">AAACGAGCGATGAGCTGGTCGTCA</t>
  </si>
  <si>
    <t xml:space="preserve">GTTGTCGATTGGATCGGTGA</t>
  </si>
  <si>
    <t xml:space="preserve">TAGTGTTGTCGATTGGATCGGTGA</t>
  </si>
  <si>
    <t xml:space="preserve">AAACTCACCGATCCAATCGACAAC</t>
  </si>
  <si>
    <t xml:space="preserve">TCCAGCGACGATAGTCCAGC</t>
  </si>
  <si>
    <t xml:space="preserve">TAGTTCCAGCGACGATAGTCCAGC</t>
  </si>
  <si>
    <t xml:space="preserve">AAACGCTGGACTATCGTCGCTGGA</t>
  </si>
  <si>
    <t xml:space="preserve">PST_1193</t>
  </si>
  <si>
    <t xml:space="preserve">trmD</t>
  </si>
  <si>
    <t xml:space="preserve">GATGACCTCGACGCGCAAGC</t>
  </si>
  <si>
    <t xml:space="preserve">TAGTGATGACCTCGACGCGCAAGC</t>
  </si>
  <si>
    <t xml:space="preserve">AAACGCTTGCGCGTCGAGGTCATC</t>
  </si>
  <si>
    <t xml:space="preserve">CTGCGAACATATCCGGGAAC</t>
  </si>
  <si>
    <t xml:space="preserve">TAGTCTGCGAACATATCCGGGAAC</t>
  </si>
  <si>
    <t xml:space="preserve">AAACGTTCCCGGATATGTTCGCAG</t>
  </si>
  <si>
    <t xml:space="preserve">GGTAATCCCATATTCGCTGA</t>
  </si>
  <si>
    <t xml:space="preserve">TAGTGGTAATCCCATATTCGCTGA</t>
  </si>
  <si>
    <t xml:space="preserve">AAACTCAGCGAATATGGGATTACC</t>
  </si>
  <si>
    <t xml:space="preserve">CCCCTGCTTCACCGCACGAC</t>
  </si>
  <si>
    <t xml:space="preserve">TAGTCCCCTGCTTCACCGCACGAC</t>
  </si>
  <si>
    <t xml:space="preserve">AAACGTCGTGCGGTGAAGCAGGGG</t>
  </si>
  <si>
    <t xml:space="preserve">PST_1194</t>
  </si>
  <si>
    <t xml:space="preserve">rplS</t>
  </si>
  <si>
    <t xml:space="preserve">GAGCTGCTGAATGATCTTGT</t>
  </si>
  <si>
    <t xml:space="preserve">TAGTGAGCTGCTGAATGATCTTGT</t>
  </si>
  <si>
    <t xml:space="preserve">AAACACAAGATCATTCAGCAGCTC</t>
  </si>
  <si>
    <t xml:space="preserve">GATTTCTTTGGTCATCTGCT</t>
  </si>
  <si>
    <t xml:space="preserve">TAGTGATTTCTTTGGTCATCTGCT</t>
  </si>
  <si>
    <t xml:space="preserve">AAACAGCAGATGACCAAAGAAATC</t>
  </si>
  <si>
    <t xml:space="preserve">TATCGCCCGGCGCGAACGGC</t>
  </si>
  <si>
    <t xml:space="preserve">TAGTTATCGCCCGGCGCGAACGGC</t>
  </si>
  <si>
    <t xml:space="preserve">AAACGCCGTTCGCGCCGGGCGATA</t>
  </si>
  <si>
    <t xml:space="preserve">CACCTTCACCTGAACGATGA</t>
  </si>
  <si>
    <t xml:space="preserve">TAGTCACCTTCACCTGAACGATGA</t>
  </si>
  <si>
    <t xml:space="preserve">AAACTCATCGTTCAGGTGAAGGTG</t>
  </si>
  <si>
    <t xml:space="preserve">PST_1195</t>
  </si>
  <si>
    <t xml:space="preserve">xerD</t>
  </si>
  <si>
    <t xml:space="preserve">GGGGTCGTCGAGCGTGGGCA</t>
  </si>
  <si>
    <t xml:space="preserve">TAGTGGGGTCGTCGAGCGTGGGCA</t>
  </si>
  <si>
    <t xml:space="preserve">AAACTGCCCACGCTCGACGACCCC</t>
  </si>
  <si>
    <t xml:space="preserve">TCGAGGTAACGGTCTATTAC</t>
  </si>
  <si>
    <t xml:space="preserve">TAGTTCGAGGTAACGGTCTATTAC</t>
  </si>
  <si>
    <t xml:space="preserve">AAACGTAATAGACCGTTACCTCGA</t>
  </si>
  <si>
    <t xml:space="preserve">CAGCCCCTTTTCCAGCCAGA</t>
  </si>
  <si>
    <t xml:space="preserve">TAGTCAGCCCCTTTTCCAGCCAGA</t>
  </si>
  <si>
    <t xml:space="preserve">AAACTCTGGCTGGAAAAGGGGCTG</t>
  </si>
  <si>
    <t xml:space="preserve">ATAGGCCTCCCGACTGTTAT</t>
  </si>
  <si>
    <t xml:space="preserve">TAGTATAGGCCTCCCGACTGTTAT</t>
  </si>
  <si>
    <t xml:space="preserve">AAACATAACAGTCGGGAGGCCTAT</t>
  </si>
  <si>
    <t xml:space="preserve">PST_1196</t>
  </si>
  <si>
    <t xml:space="preserve">dsbC</t>
  </si>
  <si>
    <t xml:space="preserve">AACATACGAATCACGCCCAT</t>
  </si>
  <si>
    <t xml:space="preserve">TAGTAACATACGAATCACGCCCAT</t>
  </si>
  <si>
    <t xml:space="preserve">AAACATGGGCGTGATTCGTATGTT</t>
  </si>
  <si>
    <t xml:space="preserve">GCTGACCAGACCAACTGTGG</t>
  </si>
  <si>
    <t xml:space="preserve">TAGTGCTGACCAGACCAACTGTGG</t>
  </si>
  <si>
    <t xml:space="preserve">AAACCCACAGTTGGTCTGGTCAGC</t>
  </si>
  <si>
    <t xml:space="preserve">CGGATCGGCGGCCATTGCAA</t>
  </si>
  <si>
    <t xml:space="preserve">TAGTCGGATCGGCGGCCATTGCAA</t>
  </si>
  <si>
    <t xml:space="preserve">AAACTTGCAATGGCCGCCGATCCG</t>
  </si>
  <si>
    <t xml:space="preserve">GATTGACGAATTGCCTGATC</t>
  </si>
  <si>
    <t xml:space="preserve">TAGTGATTGACGAATTGCCTGATC</t>
  </si>
  <si>
    <t xml:space="preserve">AAACGATCAGGCAATTCGTCAATC</t>
  </si>
  <si>
    <t xml:space="preserve">PST_1197</t>
  </si>
  <si>
    <t xml:space="preserve">CCGCACGGCCTGACAGTGAC</t>
  </si>
  <si>
    <t xml:space="preserve">TAGTCCGCACGGCCTGACAGTGAC</t>
  </si>
  <si>
    <t xml:space="preserve">AAACGTCACTGTCAGGCCGTGCGG</t>
  </si>
  <si>
    <t xml:space="preserve">CATGAAAGGATAGGGCTGTG</t>
  </si>
  <si>
    <t xml:space="preserve">TAGTCATGAAAGGATAGGGCTGTG</t>
  </si>
  <si>
    <t xml:space="preserve">AAACCACAGCCCTATCCTTTCATG</t>
  </si>
  <si>
    <t xml:space="preserve">CGCCGCCACCTGCCGTCTTG</t>
  </si>
  <si>
    <t xml:space="preserve">TAGTCGCCGCCACCTGCCGTCTTG</t>
  </si>
  <si>
    <t xml:space="preserve">AAACCAAGACGGCAGGTGGCGGCG</t>
  </si>
  <si>
    <t xml:space="preserve">ATAGTCGCCACCCAGATTGA</t>
  </si>
  <si>
    <t xml:space="preserve">TAGTATAGTCGCCACCCAGATTGA</t>
  </si>
  <si>
    <t xml:space="preserve">AAACTCAATCTGGGTGGCGACTAT</t>
  </si>
  <si>
    <t xml:space="preserve">PST_1198</t>
  </si>
  <si>
    <t xml:space="preserve">hom</t>
  </si>
  <si>
    <t xml:space="preserve">CCACAGATGCCAACTTTCAC</t>
  </si>
  <si>
    <t xml:space="preserve">TAGTCCACAGATGCCAACTTTCAC</t>
  </si>
  <si>
    <t xml:space="preserve">AAACGTGAAAGTTGGCATCTGTGG</t>
  </si>
  <si>
    <t xml:space="preserve">ATTGAAGGTACCGCCACCGA</t>
  </si>
  <si>
    <t xml:space="preserve">TAGTATTGAAGGTACCGCCACCGA</t>
  </si>
  <si>
    <t xml:space="preserve">AAACTCGGTGGCGGTACCTTCAAT</t>
  </si>
  <si>
    <t xml:space="preserve">GGCACGGCGGGCAATCTCCT</t>
  </si>
  <si>
    <t xml:space="preserve">TAGTGGCACGGCGGGCAATCTCCT</t>
  </si>
  <si>
    <t xml:space="preserve">AAACAGGAGATTGCCCGCCGTGCC</t>
  </si>
  <si>
    <t xml:space="preserve">CGCAACCTCGATTCCACGCC</t>
  </si>
  <si>
    <t xml:space="preserve">TAGTCGCAACCTCGATTCCACGCC</t>
  </si>
  <si>
    <t xml:space="preserve">AAACGGCGTGGAATCGAGGTTGCG</t>
  </si>
  <si>
    <t xml:space="preserve">PST_1199</t>
  </si>
  <si>
    <t xml:space="preserve">thrC</t>
  </si>
  <si>
    <t xml:space="preserve">CAGGGCCGGTGCCTGGCCGC</t>
  </si>
  <si>
    <t xml:space="preserve">TAGTCAGGGCCGGTGCCTGGCCGC</t>
  </si>
  <si>
    <t xml:space="preserve">AAACGCGGCCAGGCACCGGCCCTG</t>
  </si>
  <si>
    <t xml:space="preserve">GCCGCCGTCGCTGGCCAGAC</t>
  </si>
  <si>
    <t xml:space="preserve">TAGTGCCGCCGTCGCTGGCCAGAC</t>
  </si>
  <si>
    <t xml:space="preserve">AAACGTCTGGCCAGCGACGGCGGC</t>
  </si>
  <si>
    <t xml:space="preserve">GCAGGTTCTCCGGCACGTAG</t>
  </si>
  <si>
    <t xml:space="preserve">TAGTGCAGGTTCTCCGGCACGTAG</t>
  </si>
  <si>
    <t xml:space="preserve">AAACCTACGTGCCGGAGAACCTGC</t>
  </si>
  <si>
    <t xml:space="preserve">ATTTCCTCTACGGTGAAGCG</t>
  </si>
  <si>
    <t xml:space="preserve">TAGTATTTCCTCTACGGTGAAGCG</t>
  </si>
  <si>
    <t xml:space="preserve">AAACCGCTTCACCGTAGAGGAAAT</t>
  </si>
  <si>
    <t xml:space="preserve">PST_1200</t>
  </si>
  <si>
    <t xml:space="preserve">rnt</t>
  </si>
  <si>
    <t xml:space="preserve">CCGCGGAAGCGCCGCGCCAT</t>
  </si>
  <si>
    <t xml:space="preserve">TAGTCCGCGGAAGCGCCGCGCCAT</t>
  </si>
  <si>
    <t xml:space="preserve">AAACATGGCGCGGCGCTTCCGCGG</t>
  </si>
  <si>
    <t xml:space="preserve">CGACATCGATCACCACCGGC</t>
  </si>
  <si>
    <t xml:space="preserve">TAGTCGACATCGATCACCACCGGC</t>
  </si>
  <si>
    <t xml:space="preserve">AAACGCCGGTGGTGATCGATGTCG</t>
  </si>
  <si>
    <t xml:space="preserve">GTCCATGCCGATGGTCACTG</t>
  </si>
  <si>
    <t xml:space="preserve">TAGTGTCCATGCCGATGGTCACTG</t>
  </si>
  <si>
    <t xml:space="preserve">AAACCAGTGACCATCGGCATGGAC</t>
  </si>
  <si>
    <t xml:space="preserve">GAGTGTCCTGCGGGTAGAGC</t>
  </si>
  <si>
    <t xml:space="preserve">TAGTGAGTGTCCTGCGGGTAGAGC</t>
  </si>
  <si>
    <t xml:space="preserve">AAACGCTCTACCCGCAGGACACTC</t>
  </si>
  <si>
    <t xml:space="preserve">PST_1201</t>
  </si>
  <si>
    <t xml:space="preserve">pyrC</t>
  </si>
  <si>
    <t xml:space="preserve">GCGCAGCAGGGTGAGTCGGG</t>
  </si>
  <si>
    <t xml:space="preserve">TAGTGCGCAGCAGGGTGAGTCGGG</t>
  </si>
  <si>
    <t xml:space="preserve">AAACCCCGACTCACCCTGCTGCGC</t>
  </si>
  <si>
    <t xml:space="preserve">GGTGGATGTGCCAGTCGTCG</t>
  </si>
  <si>
    <t xml:space="preserve">TAGTGGTGGATGTGCCAGTCGTCG</t>
  </si>
  <si>
    <t xml:space="preserve">AAACCGACGACTGGCACATCCACC</t>
  </si>
  <si>
    <t xml:space="preserve">GCAGGGCGGCTCCGTCGCGC</t>
  </si>
  <si>
    <t xml:space="preserve">TAGTGCAGGGCGGCTCCGTCGCGC</t>
  </si>
  <si>
    <t xml:space="preserve">AAACGCGCGACGGAGCCGCCCTGC</t>
  </si>
  <si>
    <t xml:space="preserve">GCCGCATCTGCGACGGTATG</t>
  </si>
  <si>
    <t xml:space="preserve">TAGTGCCGCATCTGCGACGGTATG</t>
  </si>
  <si>
    <t xml:space="preserve">AAACCATACCGTCGCAGATGCGGC</t>
  </si>
  <si>
    <t xml:space="preserve">PST_1202</t>
  </si>
  <si>
    <t xml:space="preserve">GTGCCCCGCCCGGGCTTTTC</t>
  </si>
  <si>
    <t xml:space="preserve">TAGTGTGCCCCGCCCGGGCTTTTC</t>
  </si>
  <si>
    <t xml:space="preserve">AAACGAAAAGCCCGGGCGGGGCAC</t>
  </si>
  <si>
    <t xml:space="preserve">GACCGCCGCAGACGAAGGCA</t>
  </si>
  <si>
    <t xml:space="preserve">TAGTGACCGCCGCAGACGAAGGCA</t>
  </si>
  <si>
    <t xml:space="preserve">AAACTGCCTTCGTCTGCGGCGGTC</t>
  </si>
  <si>
    <t xml:space="preserve">ACTTGAGCGTTGGGCGGTGA</t>
  </si>
  <si>
    <t xml:space="preserve">TAGTACTTGAGCGTTGGGCGGTGA</t>
  </si>
  <si>
    <t xml:space="preserve">AAACTCACCGCCCAACGCTCAAGT</t>
  </si>
  <si>
    <t xml:space="preserve">TCCATCTAGGTATCGGTGCC</t>
  </si>
  <si>
    <t xml:space="preserve">TAGTTCCATCTAGGTATCGGTGCC</t>
  </si>
  <si>
    <t xml:space="preserve">AAACGGCACCGATACCTAGATGGA</t>
  </si>
  <si>
    <t xml:space="preserve">PST_1203</t>
  </si>
  <si>
    <t xml:space="preserve">argG</t>
  </si>
  <si>
    <t xml:space="preserve">GGTGTCCAGGCCACCGGAAT</t>
  </si>
  <si>
    <t xml:space="preserve">TAGTGGTGTCCAGGCCACCGGAAT</t>
  </si>
  <si>
    <t xml:space="preserve">AAACATTCCGGTGGCCTGGACACC</t>
  </si>
  <si>
    <t xml:space="preserve">CAGCCACTTGAGAATCACCG</t>
  </si>
  <si>
    <t xml:space="preserve">TAGTCAGCCACTTGAGAATCACCG</t>
  </si>
  <si>
    <t xml:space="preserve">AAACCGGTGATTCTCAAGTGGCTG</t>
  </si>
  <si>
    <t xml:space="preserve">GGTCACCACTTCGCAGTTGT</t>
  </si>
  <si>
    <t xml:space="preserve">TAGTGGTCACCACTTCGCAGTTGT</t>
  </si>
  <si>
    <t xml:space="preserve">AAACACAACTGCGAAGTGGTGACC</t>
  </si>
  <si>
    <t xml:space="preserve">CTGGCCGAGGTCGGCGGTGA</t>
  </si>
  <si>
    <t xml:space="preserve">TAGTCTGGCCGAGGTCGGCGGTGA</t>
  </si>
  <si>
    <t xml:space="preserve">AAACTCACCGCCGACCTCGGCCAG</t>
  </si>
  <si>
    <t xml:space="preserve">PST_1204</t>
  </si>
  <si>
    <t xml:space="preserve">gloA1</t>
  </si>
  <si>
    <t xml:space="preserve">CATATCGCCGACACGCAGCA</t>
  </si>
  <si>
    <t xml:space="preserve">TAGTCATATCGCCGACACGCAGCA</t>
  </si>
  <si>
    <t xml:space="preserve">AAACTGCTGCGTGTCGGCGATATG</t>
  </si>
  <si>
    <t xml:space="preserve">CACTTCGGTGTAGAAGGCGA</t>
  </si>
  <si>
    <t xml:space="preserve">TAGTCACTTCGGTGTAGAAGGCGA</t>
  </si>
  <si>
    <t xml:space="preserve">AAACTCGCCTTCTACACCGAAGTG</t>
  </si>
  <si>
    <t xml:space="preserve">ATAATCCTTGCGGCGCAGCA</t>
  </si>
  <si>
    <t xml:space="preserve">TAGTATAATCCTTGCGGCGCAGCA</t>
  </si>
  <si>
    <t xml:space="preserve">AAACTGCTGCGCCGCAAGGATTAT</t>
  </si>
  <si>
    <t xml:space="preserve">GCCAGGGTGAATTTACCGTC</t>
  </si>
  <si>
    <t xml:space="preserve">TAGTGCCAGGGTGAATTTACCGTC</t>
  </si>
  <si>
    <t xml:space="preserve">AAACGACGGTAAATTCACCCTGGC</t>
  </si>
  <si>
    <t xml:space="preserve">PST_1205</t>
  </si>
  <si>
    <t xml:space="preserve">GATCTGGATATCTTCTTTCT</t>
  </si>
  <si>
    <t xml:space="preserve">TAGTGATCTGGATATCTTCTTTCT</t>
  </si>
  <si>
    <t xml:space="preserve">AAACAGAAAGAAGATATCCAGATC</t>
  </si>
  <si>
    <t xml:space="preserve">GCTGCTCTCGTCGTCATCTT</t>
  </si>
  <si>
    <t xml:space="preserve">TAGTGCTGCTCTCGTCGTCATCTT</t>
  </si>
  <si>
    <t xml:space="preserve">AAACAAGATGACGACGAGAGCAGC</t>
  </si>
  <si>
    <t xml:space="preserve">GGTCCTGGCGACCTCGACAG</t>
  </si>
  <si>
    <t xml:space="preserve">TAGTGGTCCTGGCGACCTCGACAG</t>
  </si>
  <si>
    <t xml:space="preserve">AAACCTGTCGAGGTCGCCAGGACC</t>
  </si>
  <si>
    <t xml:space="preserve">CGAGCAGGTTGTCGATGATC</t>
  </si>
  <si>
    <t xml:space="preserve">TAGTCGAGCAGGTTGTCGATGATC</t>
  </si>
  <si>
    <t xml:space="preserve">AAACGATCATCGACAACCTGCTCG</t>
  </si>
  <si>
    <t xml:space="preserve">PST_1206</t>
  </si>
  <si>
    <t xml:space="preserve">nth</t>
  </si>
  <si>
    <t xml:space="preserve">AAAGATTTCCCGGCGTTTCT</t>
  </si>
  <si>
    <t xml:space="preserve">TAGTAAAGATTTCCCGGCGTTTCT</t>
  </si>
  <si>
    <t xml:space="preserve">AAACAGAAACGCCGGGAAATCTTT</t>
  </si>
  <si>
    <t xml:space="preserve">CCGGATTATTCTCATGAAAG</t>
  </si>
  <si>
    <t xml:space="preserve">TAGTCCGGATTATTCTCATGAAAG</t>
  </si>
  <si>
    <t xml:space="preserve">AAACCTTTCATGAGAATAATCCGG</t>
  </si>
  <si>
    <t xml:space="preserve">CTGTAGGCCAGCTCGGTCTT</t>
  </si>
  <si>
    <t xml:space="preserve">TAGTCTGTAGGCCAGCTCGGTCTT</t>
  </si>
  <si>
    <t xml:space="preserve">AAACAAGACCGAGCTGGCCTACAG</t>
  </si>
  <si>
    <t xml:space="preserve">ACCGCGATCAGCAGTTCGAA</t>
  </si>
  <si>
    <t xml:space="preserve">TAGTACCGCGATCAGCAGTTCGAA</t>
  </si>
  <si>
    <t xml:space="preserve">AAACTTCGAACTGCTGATCGCGGT</t>
  </si>
  <si>
    <t xml:space="preserve">PST_1207</t>
  </si>
  <si>
    <t xml:space="preserve">ACGGTCAGTTCGCGGTAGCT</t>
  </si>
  <si>
    <t xml:space="preserve">TAGTACGGTCAGTTCGCGGTAGCT</t>
  </si>
  <si>
    <t xml:space="preserve">AAACAGCTACCGCGAACTGACCGT</t>
  </si>
  <si>
    <t xml:space="preserve">GCGCCGGATTGTTCTTCCAC</t>
  </si>
  <si>
    <t xml:space="preserve">TAGTGCGCCGGATTGTTCTTCCAC</t>
  </si>
  <si>
    <t xml:space="preserve">AAACGTGGAAGAACAATCCGGCGC</t>
  </si>
  <si>
    <t xml:space="preserve">AGTTGCTGACGCCGAGCAGC</t>
  </si>
  <si>
    <t xml:space="preserve">TAGTAGTTGCTGACGCCGAGCAGC</t>
  </si>
  <si>
    <t xml:space="preserve">AAACGCTGCTCGGCGTCAGCAACT</t>
  </si>
  <si>
    <t xml:space="preserve">TGGTCGCCAGGCCAAGGCCG</t>
  </si>
  <si>
    <t xml:space="preserve">TAGTTGGTCGCCAGGCCAAGGCCG</t>
  </si>
  <si>
    <t xml:space="preserve">AAACCGGCCTTGGCCTGGCGACCA</t>
  </si>
  <si>
    <t xml:space="preserve">PST_1208</t>
  </si>
  <si>
    <t xml:space="preserve">AGCATCGAACGGCTGATTTC</t>
  </si>
  <si>
    <t xml:space="preserve">TAGTAGCATCGAACGGCTGATTTC</t>
  </si>
  <si>
    <t xml:space="preserve">AAACGAAATCAGCCGTTCGATGCT</t>
  </si>
  <si>
    <t xml:space="preserve">GGCGAACAAGCCCAGCACCG</t>
  </si>
  <si>
    <t xml:space="preserve">TAGTGGCGAACAAGCCCAGCACCG</t>
  </si>
  <si>
    <t xml:space="preserve">AAACCGGTGCTGGGCTTGTTCGCC</t>
  </si>
  <si>
    <t xml:space="preserve">CACCGCGCCCACGGTGACGA</t>
  </si>
  <si>
    <t xml:space="preserve">TAGTCACCGCGCCCACGGTGACGA</t>
  </si>
  <si>
    <t xml:space="preserve">AAACTCGTCACCGTGGGCGCGGTG</t>
  </si>
  <si>
    <t xml:space="preserve">CGGCAGTGCCCTGTTGCAGC</t>
  </si>
  <si>
    <t xml:space="preserve">TAGTCGGCAGTGCCCTGTTGCAGC</t>
  </si>
  <si>
    <t xml:space="preserve">AAACGCTGCAACAGGGCACTGCCG</t>
  </si>
  <si>
    <t xml:space="preserve">PST_1209</t>
  </si>
  <si>
    <t xml:space="preserve">GTGATGCGGGGCAGGGCCAT</t>
  </si>
  <si>
    <t xml:space="preserve">TAGTGTGATGCGGGGCAGGGCCAT</t>
  </si>
  <si>
    <t xml:space="preserve">AAACATGGCCCTGCCCCGCATCAC</t>
  </si>
  <si>
    <t xml:space="preserve">GGCGCCCTTGGCGTGGGGCG</t>
  </si>
  <si>
    <t xml:space="preserve">TAGTGGCGCCCTTGGCGTGGGGCG</t>
  </si>
  <si>
    <t xml:space="preserve">AAACCGCCCCACGCCAAGGGCGCC</t>
  </si>
  <si>
    <t xml:space="preserve">CATGACTCGCTGGGTACGGT</t>
  </si>
  <si>
    <t xml:space="preserve">TAGTCATGACTCGCTGGGTACGGT</t>
  </si>
  <si>
    <t xml:space="preserve">AAACACCGTACCCAGCGAGTCATG</t>
  </si>
  <si>
    <t xml:space="preserve">CACGACCACGCCGGGCAGGG</t>
  </si>
  <si>
    <t xml:space="preserve">TAGTCACGACCACGCCGGGCAGGG</t>
  </si>
  <si>
    <t xml:space="preserve">AAACCCCTGCCCGGCGTGGTCGTG</t>
  </si>
  <si>
    <t xml:space="preserve">PST_1210</t>
  </si>
  <si>
    <t xml:space="preserve">GATGTCCCATACCTTTAGTG</t>
  </si>
  <si>
    <t xml:space="preserve">TAGTGATGTCCCATACCTTTAGTG</t>
  </si>
  <si>
    <t xml:space="preserve">AAACCACTAAAGGTATGGGACATC</t>
  </si>
  <si>
    <t xml:space="preserve">CCGGCGGATGGATGCCGCCG</t>
  </si>
  <si>
    <t xml:space="preserve">TAGTCCGGCGGATGGATGCCGCCG</t>
  </si>
  <si>
    <t xml:space="preserve">AAACCGGCGGCATCCATCCGCCGG</t>
  </si>
  <si>
    <t xml:space="preserve">CGGCTGGATCGGGGTGCGGT</t>
  </si>
  <si>
    <t xml:space="preserve">TAGTCGGCTGGATCGGGGTGCGGT</t>
  </si>
  <si>
    <t xml:space="preserve">AAACACCGCACCCCGATCCAGCCG</t>
  </si>
  <si>
    <t xml:space="preserve">AGGCGCTTGGGCAGTGGCGC</t>
  </si>
  <si>
    <t xml:space="preserve">TAGTAGGCGCTTGGGCAGTGGCGC</t>
  </si>
  <si>
    <t xml:space="preserve">AAACGCGCCACTGCCCAAGCGCCT</t>
  </si>
  <si>
    <t xml:space="preserve">PST_1211</t>
  </si>
  <si>
    <t xml:space="preserve">GGCACCGCCAAGCAGGCACA</t>
  </si>
  <si>
    <t xml:space="preserve">TAGTGGCACCGCCAAGCAGGCACA</t>
  </si>
  <si>
    <t xml:space="preserve">AAACTGTGCCTGCTTGGCGGTGCC</t>
  </si>
  <si>
    <t xml:space="preserve">CACGGCGGCGAAACCGAGGA</t>
  </si>
  <si>
    <t xml:space="preserve">TAGTCACGGCGGCGAAACCGAGGA</t>
  </si>
  <si>
    <t xml:space="preserve">AAACTCCTCGGTTTCGCCGCCGTG</t>
  </si>
  <si>
    <t xml:space="preserve">GCATTGATCTGCTCGGCGAT</t>
  </si>
  <si>
    <t xml:space="preserve">TAGTGCATTGATCTGCTCGGCGAT</t>
  </si>
  <si>
    <t xml:space="preserve">AAACATCGCCGAGCAGATCAATGC</t>
  </si>
  <si>
    <t xml:space="preserve">GCACTGGGTCTGCGGCAGCA</t>
  </si>
  <si>
    <t xml:space="preserve">TAGTGCACTGGGTCTGCGGCAGCA</t>
  </si>
  <si>
    <t xml:space="preserve">AAACTGCTGCCGCAGACCCAGTGC</t>
  </si>
  <si>
    <t xml:space="preserve">PST_1212</t>
  </si>
  <si>
    <t xml:space="preserve">AACCATGATCAGGGCGAGTT</t>
  </si>
  <si>
    <t xml:space="preserve">TAGTAACCATGATCAGGGCGAGTT</t>
  </si>
  <si>
    <t xml:space="preserve">AAACAACTCGCCCTGATCATGGTT</t>
  </si>
  <si>
    <t xml:space="preserve">CACGAAATTGTTGACCAGAA</t>
  </si>
  <si>
    <t xml:space="preserve">TAGTCACGAAATTGTTGACCAGAA</t>
  </si>
  <si>
    <t xml:space="preserve">AAACTTCTGGTCAACAATTTCGTG</t>
  </si>
  <si>
    <t xml:space="preserve">CCATGAACGGGCACAGACCG</t>
  </si>
  <si>
    <t xml:space="preserve">TAGTCCATGAACGGGCACAGACCG</t>
  </si>
  <si>
    <t xml:space="preserve">AAACCGGTCTGTGCCCGTTCATGG</t>
  </si>
  <si>
    <t xml:space="preserve">CGAAGGTGGTCGCCAGCGAC</t>
  </si>
  <si>
    <t xml:space="preserve">TAGTCGAAGGTGGTCGCCAGCGAC</t>
  </si>
  <si>
    <t xml:space="preserve">AAACGTCGCTGGCGACCACCTTCG</t>
  </si>
  <si>
    <t xml:space="preserve">PST_1213</t>
  </si>
  <si>
    <t xml:space="preserve">TCTTCGAACGTGACCTTCAT</t>
  </si>
  <si>
    <t xml:space="preserve">TAGTTCTTCGAACGTGACCTTCAT</t>
  </si>
  <si>
    <t xml:space="preserve">AAACATGAAGGTCACGTTCGAAGA</t>
  </si>
  <si>
    <t xml:space="preserve">TCCGCGTTCCGTGCAGCGCC</t>
  </si>
  <si>
    <t xml:space="preserve">TAGTTCCGCGTTCCGTGCAGCGCC</t>
  </si>
  <si>
    <t xml:space="preserve">AAACGGCGCTGCACGGAACGCGGA</t>
  </si>
  <si>
    <t xml:space="preserve">TGGGGCGTCCAGAGTGGCGA</t>
  </si>
  <si>
    <t xml:space="preserve">TAGTTGGGGCGTCCAGAGTGGCGA</t>
  </si>
  <si>
    <t xml:space="preserve">AAACTCGCCACTCTGGACGCCCCA</t>
  </si>
  <si>
    <t xml:space="preserve">CTCAGGGCGTTGAGTTGCCG</t>
  </si>
  <si>
    <t xml:space="preserve">TAGTCTCAGGGCGTTGAGTTGCCG</t>
  </si>
  <si>
    <t xml:space="preserve">AAACCGGCAACTCAACGCCCTGAG</t>
  </si>
  <si>
    <t xml:space="preserve">PST_1214</t>
  </si>
  <si>
    <t xml:space="preserve">GGGCTCTACGGCAGTGTTCA</t>
  </si>
  <si>
    <t xml:space="preserve">TAGTGGGCTCTACGGCAGTGTTCA</t>
  </si>
  <si>
    <t xml:space="preserve">AAACTGAACACTGCCGTAGAGCCC</t>
  </si>
  <si>
    <t xml:space="preserve">TCGAAGACGCCAGCCTGGTA</t>
  </si>
  <si>
    <t xml:space="preserve">TAGTTCGAAGACGCCAGCCTGGTA</t>
  </si>
  <si>
    <t xml:space="preserve">AAACTACCAGGCTGGCGTCTTCGA</t>
  </si>
  <si>
    <t xml:space="preserve">CCACGGTCAGCTTGTGGGTC</t>
  </si>
  <si>
    <t xml:space="preserve">TAGTCCACGGTCAGCTTGTGGGTC</t>
  </si>
  <si>
    <t xml:space="preserve">AAACGACCCACAAGCTGACCGTGG</t>
  </si>
  <si>
    <t xml:space="preserve">TGATGGTGATGAGCGCGGTG</t>
  </si>
  <si>
    <t xml:space="preserve">TAGTTGATGGTGATGAGCGCGGTG</t>
  </si>
  <si>
    <t xml:space="preserve">AAACCACCGCGCTCATCACCATCA</t>
  </si>
  <si>
    <t xml:space="preserve">PST_1215</t>
  </si>
  <si>
    <t xml:space="preserve">CTAGCGCCAGAAGGGTAATC</t>
  </si>
  <si>
    <t xml:space="preserve">TAGTCTAGCGCCAGAAGGGTAATC</t>
  </si>
  <si>
    <t xml:space="preserve">AAACGATTACCCTTCTGGCGCTAG</t>
  </si>
  <si>
    <t xml:space="preserve">GAGACCAAGCGTGATGGGGT</t>
  </si>
  <si>
    <t xml:space="preserve">TAGTGAGACCAAGCGTGATGGGGT</t>
  </si>
  <si>
    <t xml:space="preserve">AAACACCCCATCACGCTTGGTCTC</t>
  </si>
  <si>
    <t xml:space="preserve">TCCTTGTAGCTTCCGGTACG</t>
  </si>
  <si>
    <t xml:space="preserve">TAGTTCCTTGTAGCTTCCGGTACG</t>
  </si>
  <si>
    <t xml:space="preserve">AAACCGTACCGGAAGCTACAAGGA</t>
  </si>
  <si>
    <t xml:space="preserve">GCGCACCGCGCATCTGCGCC</t>
  </si>
  <si>
    <t xml:space="preserve">TAGTGCGCACCGCGCATCTGCGCC</t>
  </si>
  <si>
    <t xml:space="preserve">AAACGGCGCAGATGCGCGGTGCGC</t>
  </si>
  <si>
    <t xml:space="preserve">PST_1216</t>
  </si>
  <si>
    <t xml:space="preserve">ung</t>
  </si>
  <si>
    <t xml:space="preserve">GGCCTTCTCGCGCCTGAGAA</t>
  </si>
  <si>
    <t xml:space="preserve">TAGTGGCCTTCTCGCGCCTGAGAA</t>
  </si>
  <si>
    <t xml:space="preserve">AAACTTCTCAGGCGCGAGAAGGCC</t>
  </si>
  <si>
    <t xml:space="preserve">TGGATAGATCGTCTTGCCAG</t>
  </si>
  <si>
    <t xml:space="preserve">TAGTTGGATAGATCGTCTTGCCAG</t>
  </si>
  <si>
    <t xml:space="preserve">AAACCTGGCAAGACGATCTATCCA</t>
  </si>
  <si>
    <t xml:space="preserve">TTGAAGATCATCGGCCCCGG</t>
  </si>
  <si>
    <t xml:space="preserve">TAGTTTGAAGATCATCGGCCCCGG</t>
  </si>
  <si>
    <t xml:space="preserve">AAACCCGGGGCCGATGATCTTCAA</t>
  </si>
  <si>
    <t xml:space="preserve">ACCACCTTGACCTGCTCGAG</t>
  </si>
  <si>
    <t xml:space="preserve">TAGTACCACCTTGACCTGCTCGAG</t>
  </si>
  <si>
    <t xml:space="preserve">AAACCTCGAGCAGGTCAAGGTGGT</t>
  </si>
  <si>
    <t xml:space="preserve">PST_1217</t>
  </si>
  <si>
    <t xml:space="preserve">AGCGCCTGAGAAGATTGTCT</t>
  </si>
  <si>
    <t xml:space="preserve">TAGTAGCGCCTGAGAAGATTGTCT</t>
  </si>
  <si>
    <t xml:space="preserve">AAACAGACAATCTTCTCAGGCGCT</t>
  </si>
  <si>
    <t xml:space="preserve">GGCTGCCAGCCCGACGAGCA</t>
  </si>
  <si>
    <t xml:space="preserve">TAGTGGCTGCCAGCCCGACGAGCA</t>
  </si>
  <si>
    <t xml:space="preserve">AAACTGCTCGTCGGGCTGGCAGCC</t>
  </si>
  <si>
    <t xml:space="preserve">TTCCGCAGCCAGAGCCATGT</t>
  </si>
  <si>
    <t xml:space="preserve">TAGTTTCCGCAGCCAGAGCCATGT</t>
  </si>
  <si>
    <t xml:space="preserve">AAACACATGGCTCTGGCTGCGGAA</t>
  </si>
  <si>
    <t xml:space="preserve">TTCCGCGATGCCTTTGGCAG</t>
  </si>
  <si>
    <t xml:space="preserve">TAGTTTCCGCGATGCCTTTGGCAG</t>
  </si>
  <si>
    <t xml:space="preserve">AAACCTGCCAAAGGCATCGCGGAA</t>
  </si>
  <si>
    <t xml:space="preserve">PST_1218</t>
  </si>
  <si>
    <t xml:space="preserve">ACGCTGGACTTTCTCGGCAA</t>
  </si>
  <si>
    <t xml:space="preserve">TAGTACGCTGGACTTTCTCGGCAA</t>
  </si>
  <si>
    <t xml:space="preserve">AAACTTGCCGAGAAAGTCCAGCGT</t>
  </si>
  <si>
    <t xml:space="preserve">TTCATCGTTCTCGATCGCAA</t>
  </si>
  <si>
    <t xml:space="preserve">TAGTTTCATCGTTCTCGATCGCAA</t>
  </si>
  <si>
    <t xml:space="preserve">AAACTTGCGATCGAGAACGATGAA</t>
  </si>
  <si>
    <t xml:space="preserve">CCACTTCCGGCAGCGTAGGC</t>
  </si>
  <si>
    <t xml:space="preserve">TAGTCCACTTCCGGCAGCGTAGGC</t>
  </si>
  <si>
    <t xml:space="preserve">AAACGCCTACGCTGCCGGAAGTGG</t>
  </si>
  <si>
    <t xml:space="preserve">AATGCTGATGTTGGGGTCTT</t>
  </si>
  <si>
    <t xml:space="preserve">TAGTAATGCTGATGTTGGGGTCTT</t>
  </si>
  <si>
    <t xml:space="preserve">AAACAAGACCCCAACATCAGCATT</t>
  </si>
  <si>
    <t xml:space="preserve">PST_1219</t>
  </si>
  <si>
    <t xml:space="preserve">CATCACCCTCCGGCACGATG</t>
  </si>
  <si>
    <t xml:space="preserve">TAGTCATCACCCTCCGGCACGATG</t>
  </si>
  <si>
    <t xml:space="preserve">AAACCATCGTGCCGGAGGGTGATG</t>
  </si>
  <si>
    <t xml:space="preserve">TTGGCGAGGTCGGCCAGCTG</t>
  </si>
  <si>
    <t xml:space="preserve">TAGTTTGGCGAGGTCGGCCAGCTG</t>
  </si>
  <si>
    <t xml:space="preserve">AAACCAGCTGGCCGACCTCGCCAA</t>
  </si>
  <si>
    <t xml:space="preserve">TTCGTCGCTCAGGCGAGACT</t>
  </si>
  <si>
    <t xml:space="preserve">TAGTTTCGTCGCTCAGGCGAGACT</t>
  </si>
  <si>
    <t xml:space="preserve">AAACAGTCTCGCCTGAGCGACGAA</t>
  </si>
  <si>
    <t xml:space="preserve">GATGCCGAATCGGCACCAGT</t>
  </si>
  <si>
    <t xml:space="preserve">TAGTGATGCCGAATCGGCACCAGT</t>
  </si>
  <si>
    <t xml:space="preserve">AAACACTGGTGCCGATTCGGCATC</t>
  </si>
  <si>
    <t xml:space="preserve">PST_1220</t>
  </si>
  <si>
    <t xml:space="preserve">ACGATTGAGTTCGGATTGCT</t>
  </si>
  <si>
    <t xml:space="preserve">TAGTACGATTGAGTTCGGATTGCT</t>
  </si>
  <si>
    <t xml:space="preserve">AAACAGCAATCCGAACTCAATCGT</t>
  </si>
  <si>
    <t xml:space="preserve">CCTTGACGAAAGGCACCAGC</t>
  </si>
  <si>
    <t xml:space="preserve">TAGTCCTTGACGAAAGGCACCAGC</t>
  </si>
  <si>
    <t xml:space="preserve">AAACGCTGGTGCCTTTCGTCAAGG</t>
  </si>
  <si>
    <t xml:space="preserve">TGGTCTTCTTCGTCGAGGCC</t>
  </si>
  <si>
    <t xml:space="preserve">TAGTTGGTCTTCTTCGTCGAGGCC</t>
  </si>
  <si>
    <t xml:space="preserve">AAACGGCCTCGACGAAGAAGACCA</t>
  </si>
  <si>
    <t xml:space="preserve">GCAGCTTGCGATAACGACGC</t>
  </si>
  <si>
    <t xml:space="preserve">TAGTGCAGCTTGCGATAACGACGC</t>
  </si>
  <si>
    <t xml:space="preserve">AAACGCGTCGTTATCGCAAGCTGC</t>
  </si>
  <si>
    <t xml:space="preserve">PST_1221</t>
  </si>
  <si>
    <t xml:space="preserve">CGCCAGTGGCACTCGAAAGG</t>
  </si>
  <si>
    <t xml:space="preserve">TAGTCGCCAGTGGCACTCGAAAGG</t>
  </si>
  <si>
    <t xml:space="preserve">AAACCCTTTCGAGTGCCACTGGCG</t>
  </si>
  <si>
    <t xml:space="preserve">ATAGAACGCCAGCAGCAGAC</t>
  </si>
  <si>
    <t xml:space="preserve">TAGTATAGAACGCCAGCAGCAGAC</t>
  </si>
  <si>
    <t xml:space="preserve">AAACGTCTGCTGCTGGCGTTCTAT</t>
  </si>
  <si>
    <t xml:space="preserve">CGTGAGCGCGCATGCCTGAA</t>
  </si>
  <si>
    <t xml:space="preserve">TAGTCGTGAGCGCGCATGCCTGAA</t>
  </si>
  <si>
    <t xml:space="preserve">AAACTTCAGGCATGCGCGCTCACG</t>
  </si>
  <si>
    <t xml:space="preserve">CGGCGCGCCAGACAGCAGAA</t>
  </si>
  <si>
    <t xml:space="preserve">TAGTCGGCGCGCCAGACAGCAGAA</t>
  </si>
  <si>
    <t xml:space="preserve">AAACTTCTGCTGTCTGGCGCGCCG</t>
  </si>
  <si>
    <t xml:space="preserve">PST_1222</t>
  </si>
  <si>
    <t xml:space="preserve">nadB</t>
  </si>
  <si>
    <t xml:space="preserve">GAGCGGAACTTTTTCCTCTG</t>
  </si>
  <si>
    <t xml:space="preserve">TAGTGAGCGGAACTTTTTCCTCTG</t>
  </si>
  <si>
    <t xml:space="preserve">AAACCAGAGGAAAAAGTTCCGCTC</t>
  </si>
  <si>
    <t xml:space="preserve">ACGAACCCTAGTATATAGAC</t>
  </si>
  <si>
    <t xml:space="preserve">TAGTACGAACCCTAGTATATAGAC</t>
  </si>
  <si>
    <t xml:space="preserve">AAACGTCTATATACTAGGGTTCGT</t>
  </si>
  <si>
    <t xml:space="preserve">CTGGTTCATGTCCATTTCCG</t>
  </si>
  <si>
    <t xml:space="preserve">TAGTCTGGTTCATGTCCATTTCCG</t>
  </si>
  <si>
    <t xml:space="preserve">AAACCGGAAATGGACATGAACCAG</t>
  </si>
  <si>
    <t xml:space="preserve">GAGCGCGAGGGTAAGGCCGG</t>
  </si>
  <si>
    <t xml:space="preserve">TAGTGAGCGCGAGGGTAAGGCCGG</t>
  </si>
  <si>
    <t xml:space="preserve">AAACCCGGCCTTACCCTCGCGCTC</t>
  </si>
  <si>
    <t xml:space="preserve">PST_1223</t>
  </si>
  <si>
    <t xml:space="preserve">algT</t>
  </si>
  <si>
    <t xml:space="preserve">GCACTCGTTCAACCAGTTGC</t>
  </si>
  <si>
    <t xml:space="preserve">TAGTGCACTCGTTCAACCAGTTGC</t>
  </si>
  <si>
    <t xml:space="preserve">AAACGCAACTGGTTGAACGAGTGC</t>
  </si>
  <si>
    <t xml:space="preserve">TCAACCCAAGGATCTTGTGC</t>
  </si>
  <si>
    <t xml:space="preserve">TAGTTCAACCCAAGGATCTTGTGC</t>
  </si>
  <si>
    <t xml:space="preserve">AAACGCACAAGATCCTTGGGTTGA</t>
  </si>
  <si>
    <t xml:space="preserve">CGCGACGTCCTGAGCTTCGT</t>
  </si>
  <si>
    <t xml:space="preserve">TAGTCGCGACGTCCTGAGCTTCGT</t>
  </si>
  <si>
    <t xml:space="preserve">AAACACGAAGCTCAGGACGTCGCG</t>
  </si>
  <si>
    <t xml:space="preserve">AAAATTGGCGAGTGCGCGAT</t>
  </si>
  <si>
    <t xml:space="preserve">TAGTAAAATTGGCGAGTGCGCGAT</t>
  </si>
  <si>
    <t xml:space="preserve">AAACATCGCGCACTCGCCAATTTT</t>
  </si>
  <si>
    <t xml:space="preserve">PST_1224</t>
  </si>
  <si>
    <t xml:space="preserve">mucA</t>
  </si>
  <si>
    <t xml:space="preserve">ACTCATGGCGGTTCCTCTCT</t>
  </si>
  <si>
    <t xml:space="preserve">TAGTACTCATGGCGGTTCCTCTCT</t>
  </si>
  <si>
    <t xml:space="preserve">AAACAGAGAGGAACCGCCATGAGT</t>
  </si>
  <si>
    <t xml:space="preserve">CGCGGACAGCGATTCATGCA</t>
  </si>
  <si>
    <t xml:space="preserve">TAGTCGCGGACAGCGATTCATGCA</t>
  </si>
  <si>
    <t xml:space="preserve">AAACTGCATGAATCGCTGTCCGCG</t>
  </si>
  <si>
    <t xml:space="preserve">ACCAGGTGGCACGCAGCTCG</t>
  </si>
  <si>
    <t xml:space="preserve">TAGTACCAGGTGGCACGCAGCTCG</t>
  </si>
  <si>
    <t xml:space="preserve">AAACCGAGCTGCGTGCCACCTGGT</t>
  </si>
  <si>
    <t xml:space="preserve">GATCAGTTCCTTGTGCATTG</t>
  </si>
  <si>
    <t xml:space="preserve">TAGTGATCAGTTCCTTGTGCATTG</t>
  </si>
  <si>
    <t xml:space="preserve">AAACCAATGCACAAGGAACTGATC</t>
  </si>
  <si>
    <t xml:space="preserve">PST_1225</t>
  </si>
  <si>
    <t xml:space="preserve">mucB</t>
  </si>
  <si>
    <t xml:space="preserve">CCCCCCATCACCACATACAG</t>
  </si>
  <si>
    <t xml:space="preserve">TAGTCCCCCCATCACCACATACAG</t>
  </si>
  <si>
    <t xml:space="preserve">AAACCTGTATGTGGTGATGGGGGG</t>
  </si>
  <si>
    <t xml:space="preserve">TCAGCATCAGCAGCGAGGGC</t>
  </si>
  <si>
    <t xml:space="preserve">TAGTTCAGCATCAGCAGCGAGGGC</t>
  </si>
  <si>
    <t xml:space="preserve">AAACGCCCTCGCTGCTGATGCTGA</t>
  </si>
  <si>
    <t xml:space="preserve">GCTGCTGCTCGGCTATCGCG</t>
  </si>
  <si>
    <t xml:space="preserve">TAGTGCTGCTGCTCGGCTATCGCG</t>
  </si>
  <si>
    <t xml:space="preserve">AAACCGCGATAGCCGAGCAGCAGC</t>
  </si>
  <si>
    <t xml:space="preserve">CTGCTGCCAAACAGCATGAC</t>
  </si>
  <si>
    <t xml:space="preserve">TAGTCTGCTGCCAAACAGCATGAC</t>
  </si>
  <si>
    <t xml:space="preserve">AAACGTCATGCTGTTTGGCAGCAG</t>
  </si>
  <si>
    <t xml:space="preserve">PST_1226</t>
  </si>
  <si>
    <t xml:space="preserve">mucC</t>
  </si>
  <si>
    <t xml:space="preserve">TCCAGCGCAACGACCCGCCC</t>
  </si>
  <si>
    <t xml:space="preserve">TAGTTCCAGCGCAACGACCCGCCC</t>
  </si>
  <si>
    <t xml:space="preserve">AAACGGGCGGGTCGTTGCGCTGGA</t>
  </si>
  <si>
    <t xml:space="preserve">GCGCCGAGTTTCGACCCAAA</t>
  </si>
  <si>
    <t xml:space="preserve">TAGTGCGCCGAGTTTCGACCCAAA</t>
  </si>
  <si>
    <t xml:space="preserve">AAACTTTGGGTCGAAACTCGGCGC</t>
  </si>
  <si>
    <t xml:space="preserve">CTTCGCCGAACAGCCAGAGC</t>
  </si>
  <si>
    <t xml:space="preserve">TAGTCTTCGCCGAACAGCCAGAGC</t>
  </si>
  <si>
    <t xml:space="preserve">AAACGCTCTGGCTGTTCGGCGAAG</t>
  </si>
  <si>
    <t xml:space="preserve">TCGTTGCTCACGCACCCCGA</t>
  </si>
  <si>
    <t xml:space="preserve">TAGTTCGTTGCTCACGCACCCCGA</t>
  </si>
  <si>
    <t xml:space="preserve">AAACTCGGGGTGCGTGAGCAACGA</t>
  </si>
  <si>
    <t xml:space="preserve">PST_1227</t>
  </si>
  <si>
    <t xml:space="preserve">mucD</t>
  </si>
  <si>
    <t xml:space="preserve">CAGGGCCAGGCCTGCCACGA</t>
  </si>
  <si>
    <t xml:space="preserve">TAGTCAGGGCCAGGCCTGCCACGA</t>
  </si>
  <si>
    <t xml:space="preserve">AAACTCGTGGCAGGCCTGGCCCTG</t>
  </si>
  <si>
    <t xml:space="preserve">CGCTTGCGCTTGCGCCACCA</t>
  </si>
  <si>
    <t xml:space="preserve">TAGTCGCTTGCGCTTGCGCCACCA</t>
  </si>
  <si>
    <t xml:space="preserve">AAACTGGTGGCGCAAGCGCAAGCG</t>
  </si>
  <si>
    <t xml:space="preserve">TCAACCAGCGGCGTAAAATC</t>
  </si>
  <si>
    <t xml:space="preserve">TAGTTCAACCAGCGGCGTAAAATC</t>
  </si>
  <si>
    <t xml:space="preserve">AAACGATTTTACGCCGCTGGTTGA</t>
  </si>
  <si>
    <t xml:space="preserve">GATGTTGACGACCGCTGGCG</t>
  </si>
  <si>
    <t xml:space="preserve">TAGTGATGTTGACGACCGCTGGCG</t>
  </si>
  <si>
    <t xml:space="preserve">AAACCGCCAGCGGTCGTCAACATC</t>
  </si>
  <si>
    <t xml:space="preserve">PST_1228</t>
  </si>
  <si>
    <t xml:space="preserve">lepA</t>
  </si>
  <si>
    <t xml:space="preserve">AGAAATTGCGGATATGACTC</t>
  </si>
  <si>
    <t xml:space="preserve">TAGTAGAAATTGCGGATATGACTC</t>
  </si>
  <si>
    <t xml:space="preserve">AAACGAGTCATATCCGCAATTTCT</t>
  </si>
  <si>
    <t xml:space="preserve">GTGATCGATATGGGCAATGA</t>
  </si>
  <si>
    <t xml:space="preserve">TAGTGTGATCGATATGGGCAATGA</t>
  </si>
  <si>
    <t xml:space="preserve">AAACTCATTGCCCATATCGATCAC</t>
  </si>
  <si>
    <t xml:space="preserve">CTGGATGAAACGGTCCGCCA</t>
  </si>
  <si>
    <t xml:space="preserve">TAGTCTGGATGAAACGGTCCGCCA</t>
  </si>
  <si>
    <t xml:space="preserve">AAACTGGCGGACCGTTTCATCCAG</t>
  </si>
  <si>
    <t xml:space="preserve">CGGCCATTTCGCGCTCGGAC</t>
  </si>
  <si>
    <t xml:space="preserve">TAGTCGGCCATTTCGCGCTCGGAC</t>
  </si>
  <si>
    <t xml:space="preserve">AAACGTCCGAGCGCGAAATGGCCG</t>
  </si>
  <si>
    <t xml:space="preserve">PST_1229</t>
  </si>
  <si>
    <t xml:space="preserve">lepB</t>
  </si>
  <si>
    <t xml:space="preserve">CGGCGATAACCAGCAACAAC</t>
  </si>
  <si>
    <t xml:space="preserve">TAGTCGGCGATAACCAGCAACAAC</t>
  </si>
  <si>
    <t xml:space="preserve">AAACGTTGTTGCTGGTTATCGCCG</t>
  </si>
  <si>
    <t xml:space="preserve">CAAAAGACCGCAGACGGCCA</t>
  </si>
  <si>
    <t xml:space="preserve">TAGTCAAAAGACCGCAGACGGCCA</t>
  </si>
  <si>
    <t xml:space="preserve">AAACTGGCCGTCTGCGGTCTTTTG</t>
  </si>
  <si>
    <t xml:space="preserve">GCGATCGCAGCCCGACGCCG</t>
  </si>
  <si>
    <t xml:space="preserve">TAGTGCGATCGCAGCCCGACGCCG</t>
  </si>
  <si>
    <t xml:space="preserve">AAACCGGCGTCGGGCTGCGATCGC</t>
  </si>
  <si>
    <t xml:space="preserve">CCCGGTGCGCCCTTCGTAGT</t>
  </si>
  <si>
    <t xml:space="preserve">TAGTCCCGGTGCGCCCTTCGTAGT</t>
  </si>
  <si>
    <t xml:space="preserve">AAACACTACGAAGGGCGCACCGGG</t>
  </si>
  <si>
    <t xml:space="preserve">PST_1230</t>
  </si>
  <si>
    <t xml:space="preserve">GAGCATGATCCAGCTCAGCA</t>
  </si>
  <si>
    <t xml:space="preserve">TAGTGAGCATGATCCAGCTCAGCA</t>
  </si>
  <si>
    <t xml:space="preserve">AAACTGCTGAGCTGGATCATGCTC</t>
  </si>
  <si>
    <t xml:space="preserve">CCACAAACGCCACAACCGCC</t>
  </si>
  <si>
    <t xml:space="preserve">TAGTCCACAAACGCCACAACCGCC</t>
  </si>
  <si>
    <t xml:space="preserve">AAACGGCGGTTGTGGCGTTTGTGG</t>
  </si>
  <si>
    <t xml:space="preserve">GAACATCTTGAACCCGGTGC</t>
  </si>
  <si>
    <t xml:space="preserve">TAGTGAACATCTTGAACCCGGTGC</t>
  </si>
  <si>
    <t xml:space="preserve">AAACGCACCGGGTTCAAGATGTTC</t>
  </si>
  <si>
    <t xml:space="preserve">ACATGTAGTCGAAATAATGC</t>
  </si>
  <si>
    <t xml:space="preserve">TAGTACATGTAGTCGAAATAATGC</t>
  </si>
  <si>
    <t xml:space="preserve">AAACGCATTATTTCGACTACATGT</t>
  </si>
  <si>
    <t xml:space="preserve">PST_1231</t>
  </si>
  <si>
    <t xml:space="preserve">rnc</t>
  </si>
  <si>
    <t xml:space="preserve">AGCTGCGATGGGTAAGGGCC</t>
  </si>
  <si>
    <t xml:space="preserve">TAGTAGCTGCGATGGGTAAGGGCC</t>
  </si>
  <si>
    <t xml:space="preserve">AAACGGCCCTTACCCATCGCAGCT</t>
  </si>
  <si>
    <t xml:space="preserve">CAGACGCTCGTTGTTGCGTC</t>
  </si>
  <si>
    <t xml:space="preserve">TAGTCAGACGCTCGTTGTTGCGTC</t>
  </si>
  <si>
    <t xml:space="preserve">AAACGACGCAACAACGAGCGTCTG</t>
  </si>
  <si>
    <t xml:space="preserve">GCCAGCAACGAAGTTGAGGA</t>
  </si>
  <si>
    <t xml:space="preserve">TAGTGCCAGCAACGAAGTTGAGGA</t>
  </si>
  <si>
    <t xml:space="preserve">AAACTCCTCAACTTCGTTGCTGGC</t>
  </si>
  <si>
    <t xml:space="preserve">CTTCACGGGCCTGCGGAAAA</t>
  </si>
  <si>
    <t xml:space="preserve">TAGTCTTCACGGGCCTGCGGAAAA</t>
  </si>
  <si>
    <t xml:space="preserve">AAACTTTTCCGCAGGCCCGTGAAG</t>
  </si>
  <si>
    <t xml:space="preserve">PST_1232</t>
  </si>
  <si>
    <t xml:space="preserve">era</t>
  </si>
  <si>
    <t xml:space="preserve">ACCGCAACGGCTGACGTCTT</t>
  </si>
  <si>
    <t xml:space="preserve">TAGTACCGCAACGGCTGACGTCTT</t>
  </si>
  <si>
    <t xml:space="preserve">AAACAAGACGTCAGCCGTTGCGGT</t>
  </si>
  <si>
    <t xml:space="preserve">GACGTTCGGCCGGCCGACGA</t>
  </si>
  <si>
    <t xml:space="preserve">TAGTGACGTTCGGCCGGCCGACGA</t>
  </si>
  <si>
    <t xml:space="preserve">AAACTCGTCGGCCGGCCGAACGTC</t>
  </si>
  <si>
    <t xml:space="preserve">GAGGATGTGGTTGAGCAAGG</t>
  </si>
  <si>
    <t xml:space="preserve">TAGTGAGGATGTGGTTGAGCAAGG</t>
  </si>
  <si>
    <t xml:space="preserve">AAACCCTTGCTCAACCACATCCTC</t>
  </si>
  <si>
    <t xml:space="preserve">GGTCGTCTGCGGCTTGCGCG</t>
  </si>
  <si>
    <t xml:space="preserve">TAGTGGTCGTCTGCGGCTTGCGCG</t>
  </si>
  <si>
    <t xml:space="preserve">AAACCGCGCAAGCCGCAGACGACC</t>
  </si>
  <si>
    <t xml:space="preserve">PST_1233</t>
  </si>
  <si>
    <t xml:space="preserve">recO</t>
  </si>
  <si>
    <t xml:space="preserve">CTGGTGCATGGCGGCCCAGG</t>
  </si>
  <si>
    <t xml:space="preserve">TAGTCTGGTGCATGGCGGCCCAGG</t>
  </si>
  <si>
    <t xml:space="preserve">AAACCCTGGGCCGCCATGCACCAG</t>
  </si>
  <si>
    <t xml:space="preserve">CGGCTGTGCAGAACGAATGC</t>
  </si>
  <si>
    <t xml:space="preserve">TAGTCGGCTGTGCAGAACGAATGC</t>
  </si>
  <si>
    <t xml:space="preserve">AAACGCATTCGTTCTGCACAGCCG</t>
  </si>
  <si>
    <t xml:space="preserve">CGCTGCTTTCCTTGTACGGA</t>
  </si>
  <si>
    <t xml:space="preserve">TAGTCGCTGCTTTCCTTGTACGGA</t>
  </si>
  <si>
    <t xml:space="preserve">AAACTCCGTACAAGGAAAGCAGCG</t>
  </si>
  <si>
    <t xml:space="preserve">GCCGCCCCTGCGGAGTGAAC</t>
  </si>
  <si>
    <t xml:space="preserve">TAGTGCCGCCCCTGCGGAGTGAAC</t>
  </si>
  <si>
    <t xml:space="preserve">AAACGTTCACTCCGCAGGGGCGGC</t>
  </si>
  <si>
    <t xml:space="preserve">PST_1234</t>
  </si>
  <si>
    <t xml:space="preserve">pdxJ</t>
  </si>
  <si>
    <t xml:space="preserve">GACACCGAGCAGGATTCGAT</t>
  </si>
  <si>
    <t xml:space="preserve">TAGTGACACCGAGCAGGATTCGAT</t>
  </si>
  <si>
    <t xml:space="preserve">AAACATCGAATCCTGCTCGGTGTC</t>
  </si>
  <si>
    <t xml:space="preserve">CCTGGCGCAGGGTGGCGACA</t>
  </si>
  <si>
    <t xml:space="preserve">TAGTCCTGGCGCAGGGTGGCGACA</t>
  </si>
  <si>
    <t xml:space="preserve">AAACTGTCGCCACCCTGCGCCAGG</t>
  </si>
  <si>
    <t xml:space="preserve">GTCCGGATAGCGGGTGCCGC</t>
  </si>
  <si>
    <t xml:space="preserve">TAGTGTCCGGATAGCGGGTGCCGC</t>
  </si>
  <si>
    <t xml:space="preserve">AAACGCGGCACCCGCTATCCGGAC</t>
  </si>
  <si>
    <t xml:space="preserve">GCGTCCAGCGCGGCCTTGAC</t>
  </si>
  <si>
    <t xml:space="preserve">TAGTGCGTCCAGCGCGGCCTTGAC</t>
  </si>
  <si>
    <t xml:space="preserve">AAACGTCAAGGCCGCGCTGGACGC</t>
  </si>
  <si>
    <t xml:space="preserve">PST_1235</t>
  </si>
  <si>
    <t xml:space="preserve">GGAGCAGTACCGCCCCGGCG</t>
  </si>
  <si>
    <t xml:space="preserve">TAGTGGAGCAGTACCGCCCCGGCG</t>
  </si>
  <si>
    <t xml:space="preserve">AAACCGCCGGGGCGGTACTGCTCC</t>
  </si>
  <si>
    <t xml:space="preserve">CAGCCAGGGGAAGTAGTGCC</t>
  </si>
  <si>
    <t xml:space="preserve">TAGTCAGCCAGGGGAAGTAGTGCC</t>
  </si>
  <si>
    <t xml:space="preserve">AAACGGCACTACTTCCCCTGGCTG</t>
  </si>
  <si>
    <t xml:space="preserve">TGCGGATGTCGCCCGGTAGG</t>
  </si>
  <si>
    <t xml:space="preserve">TAGTTGCGGATGTCGCCCGGTAGG</t>
  </si>
  <si>
    <t xml:space="preserve">AAACCCTACCGGGCGACATCCGCA</t>
  </si>
  <si>
    <t xml:space="preserve">GATGAACACCCGGCTGCGTT</t>
  </si>
  <si>
    <t xml:space="preserve">TAGTGATGAACACCCGGCTGCGTT</t>
  </si>
  <si>
    <t xml:space="preserve">AAACAACGCAGCCGGGTGTTCATC</t>
  </si>
  <si>
    <t xml:space="preserve">PST_1236</t>
  </si>
  <si>
    <t xml:space="preserve">GGGTTGGATGGTTCCAGCAT</t>
  </si>
  <si>
    <t xml:space="preserve">TAGTGGGTTGGATGGTTCCAGCAT</t>
  </si>
  <si>
    <t xml:space="preserve">AAACATGCTGGAACCATCCAACCC</t>
  </si>
  <si>
    <t xml:space="preserve">GCAACGGGGCAGTCGTACCG</t>
  </si>
  <si>
    <t xml:space="preserve">TAGTGCAACGGGGCAGTCGTACCG</t>
  </si>
  <si>
    <t xml:space="preserve">AAACCGGTACGACTGCCCCGTTGC</t>
  </si>
  <si>
    <t xml:space="preserve">AAAGCTGCCGCTCTCGGCGA</t>
  </si>
  <si>
    <t xml:space="preserve">TAGTAAAGCTGCCGCTCTCGGCGA</t>
  </si>
  <si>
    <t xml:space="preserve">AAACTCGCCGAGAGCGGCAGCTTT</t>
  </si>
  <si>
    <t xml:space="preserve">GGTGCTGCGGTAGATCTGCC</t>
  </si>
  <si>
    <t xml:space="preserve">TAGTGGTGCTGCGGTAGATCTGCC</t>
  </si>
  <si>
    <t xml:space="preserve">AAACGGCAGATCTACCGCAGCACC</t>
  </si>
  <si>
    <t xml:space="preserve">PST_1237</t>
  </si>
  <si>
    <t xml:space="preserve">GGCGCCAGGCGAGGGGAGTG</t>
  </si>
  <si>
    <t xml:space="preserve">TAGTGGCGCCAGGCGAGGGGAGTG</t>
  </si>
  <si>
    <t xml:space="preserve">AAACCACTCCCCTCGCCTGGCGCC</t>
  </si>
  <si>
    <t xml:space="preserve">CAGCGAGTGGTGTGCCGGCC</t>
  </si>
  <si>
    <t xml:space="preserve">TAGTCAGCGAGTGGTGTGCCGGCC</t>
  </si>
  <si>
    <t xml:space="preserve">AAACGGCCGGCACACCACTCGCTG</t>
  </si>
  <si>
    <t xml:space="preserve">CTGTTGAACGTCGTTGGCCC</t>
  </si>
  <si>
    <t xml:space="preserve">TAGTCTGTTGAACGTCGTTGGCCC</t>
  </si>
  <si>
    <t xml:space="preserve">AAACGGGCCAACGACGTTCAACAG</t>
  </si>
  <si>
    <t xml:space="preserve">GCCATGACCGATGGCGAGTT</t>
  </si>
  <si>
    <t xml:space="preserve">TAGTGCCATGACCGATGGCGAGTT</t>
  </si>
  <si>
    <t xml:space="preserve">AAACAACTCGCCATCGGTCATGGC</t>
  </si>
  <si>
    <t xml:space="preserve">PST_1238</t>
  </si>
  <si>
    <t xml:space="preserve">TGTAGCGGAAAGCGGCTGCC</t>
  </si>
  <si>
    <t xml:space="preserve">TAGTTGTAGCGGAAAGCGGCTGCC</t>
  </si>
  <si>
    <t xml:space="preserve">AAACGGCAGCCGCTTTCCGCTACA</t>
  </si>
  <si>
    <t xml:space="preserve">GGCGTGTTGGAAAAATGGGG</t>
  </si>
  <si>
    <t xml:space="preserve">TAGTGGCGTGTTGGAAAAATGGGG</t>
  </si>
  <si>
    <t xml:space="preserve">AAACCCCCATTTTTCCAACACGCC</t>
  </si>
  <si>
    <t xml:space="preserve">ATCGTGACTCACGGTGGCGG</t>
  </si>
  <si>
    <t xml:space="preserve">TAGTATCGTGACTCACGGTGGCGG</t>
  </si>
  <si>
    <t xml:space="preserve">AAACCCGCCACCGTGAGTCACGAT</t>
  </si>
  <si>
    <t xml:space="preserve">GGCTGGGCGAACAGACGGTC</t>
  </si>
  <si>
    <t xml:space="preserve">TAGTGGCTGGGCGAACAGACGGTC</t>
  </si>
  <si>
    <t xml:space="preserve">AAACGACCGTCTGTTCGCCCAGCC</t>
  </si>
  <si>
    <t xml:space="preserve">PST_1239</t>
  </si>
  <si>
    <t xml:space="preserve">GGGATGTCGAAAGGCATGAT</t>
  </si>
  <si>
    <t xml:space="preserve">TAGTGGGATGTCGAAAGGCATGAT</t>
  </si>
  <si>
    <t xml:space="preserve">AAACATCATGCCTTTCGACATCCC</t>
  </si>
  <si>
    <t xml:space="preserve">TGGTGGGTAGCAGCAGGCGA</t>
  </si>
  <si>
    <t xml:space="preserve">TAGTTGGTGGGTAGCAGCAGGCGA</t>
  </si>
  <si>
    <t xml:space="preserve">AAACTCGCCTGCTGCTACCCACCA</t>
  </si>
  <si>
    <t xml:space="preserve">GGCGGTCAGCAGGGCGAGGC</t>
  </si>
  <si>
    <t xml:space="preserve">TAGTGGCGGTCAGCAGGGCGAGGC</t>
  </si>
  <si>
    <t xml:space="preserve">AAACGCCTCGCCCTGCTGACCGCC</t>
  </si>
  <si>
    <t xml:space="preserve">TGCGCTCTCTTGGCCGGCGC</t>
  </si>
  <si>
    <t xml:space="preserve">TAGTTGCGCTCTCTTGGCCGGCGC</t>
  </si>
  <si>
    <t xml:space="preserve">AAACGCGCCGGCCAAGAGAGCGCA</t>
  </si>
  <si>
    <t xml:space="preserve">PST_1240</t>
  </si>
  <si>
    <t xml:space="preserve">lon-1</t>
  </si>
  <si>
    <t xml:space="preserve">GTCAGGCAGCACGAGGCCGT</t>
  </si>
  <si>
    <t xml:space="preserve">TAGTGTCAGGCAGCACGAGGCCGT</t>
  </si>
  <si>
    <t xml:space="preserve">AAACACGGCCTCGTGCTGCCTGAC</t>
  </si>
  <si>
    <t xml:space="preserve">GGGATGATGTAGAGCTTGTC</t>
  </si>
  <si>
    <t xml:space="preserve">TAGTGGGATGATGTAGAGCTTGTC</t>
  </si>
  <si>
    <t xml:space="preserve">AAACGACAAGCTCTACATCATCCC</t>
  </si>
  <si>
    <t xml:space="preserve">AAAACGGCCGGTTGTGCACC</t>
  </si>
  <si>
    <t xml:space="preserve">TAGTAAAACGGCCGGTTGTGCACC</t>
  </si>
  <si>
    <t xml:space="preserve">AAACGGTGCACAACCGGCCGTTTT</t>
  </si>
  <si>
    <t xml:space="preserve">TGACCGGCAACACCTGAGCC</t>
  </si>
  <si>
    <t xml:space="preserve">TAGTTGACCGGCAACACCTGAGCC</t>
  </si>
  <si>
    <t xml:space="preserve">AAACGGCTCAGGTGTTGCCGGTCA</t>
  </si>
  <si>
    <t xml:space="preserve">PST_1241</t>
  </si>
  <si>
    <t xml:space="preserve">GGCATCCCCCGGCACCAGGC</t>
  </si>
  <si>
    <t xml:space="preserve">TAGTGGCATCCCCCGGCACCAGGC</t>
  </si>
  <si>
    <t xml:space="preserve">AAACGCCTGGTGCCGGGGGATGCC</t>
  </si>
  <si>
    <t xml:space="preserve">CATGCCGGCGAAACCATGAT</t>
  </si>
  <si>
    <t xml:space="preserve">TAGTCATGCCGGCGAAACCATGAT</t>
  </si>
  <si>
    <t xml:space="preserve">AAACATCATGGTTTCGCCGGCATG</t>
  </si>
  <si>
    <t xml:space="preserve">CCAGGTCGATGATCAGCATG</t>
  </si>
  <si>
    <t xml:space="preserve">TAGTCCAGGTCGATGATCAGCATG</t>
  </si>
  <si>
    <t xml:space="preserve">AAACCATGCTGATCATCGACCTGG</t>
  </si>
  <si>
    <t xml:space="preserve">CGCCAGCAGTTCGGGATCTT</t>
  </si>
  <si>
    <t xml:space="preserve">TAGTCGCCAGCAGTTCGGGATCTT</t>
  </si>
  <si>
    <t xml:space="preserve">AAACAAGATCCCGAACTGCTGGCG</t>
  </si>
  <si>
    <t xml:space="preserve">PST_1242</t>
  </si>
  <si>
    <t xml:space="preserve">putA</t>
  </si>
  <si>
    <t xml:space="preserve">GGCGCCATCCAGCACGTGAC</t>
  </si>
  <si>
    <t xml:space="preserve">TAGTGGCGCCATCCAGCACGTGAC</t>
  </si>
  <si>
    <t xml:space="preserve">AAACGTCACGTGCTGGATGGCGCC</t>
  </si>
  <si>
    <t xml:space="preserve">TGCTGCTGTCTGGTTGGCGA</t>
  </si>
  <si>
    <t xml:space="preserve">TAGTTGCTGCTGTCTGGTTGGCGA</t>
  </si>
  <si>
    <t xml:space="preserve">AAACTCGCCAACCAGACAGCAGCA</t>
  </si>
  <si>
    <t xml:space="preserve">CTGTAGTTGGCGCTGATGGC</t>
  </si>
  <si>
    <t xml:space="preserve">TAGTCTGTAGTTGGCGCTGATGGC</t>
  </si>
  <si>
    <t xml:space="preserve">AAACGCCATCAGCGCCAACTACAG</t>
  </si>
  <si>
    <t xml:space="preserve">CTGCAGCAGTTCAGTGAGAT</t>
  </si>
  <si>
    <t xml:space="preserve">TAGTCTGCAGCAGTTCAGTGAGAT</t>
  </si>
  <si>
    <t xml:space="preserve">AAACATCTCACTGAACTGCTGCAG</t>
  </si>
  <si>
    <t xml:space="preserve">PST_1243</t>
  </si>
  <si>
    <t xml:space="preserve">putP-1</t>
  </si>
  <si>
    <t xml:space="preserve">AGGGCGAAGATGACAAACAA</t>
  </si>
  <si>
    <t xml:space="preserve">TAGTAGGGCGAAGATGACAAACAA</t>
  </si>
  <si>
    <t xml:space="preserve">AAACTTGTTTGTCATCTTCGCCCT</t>
  </si>
  <si>
    <t xml:space="preserve">CGGCCCAGGCGTAGGACACC</t>
  </si>
  <si>
    <t xml:space="preserve">TAGTCGGCCCAGGCGTAGGACACC</t>
  </si>
  <si>
    <t xml:space="preserve">AAACGGTGTCCTACGCCTGGGCCG</t>
  </si>
  <si>
    <t xml:space="preserve">ACCGGCGTGGTAATCCGCGT</t>
  </si>
  <si>
    <t xml:space="preserve">TAGTACCGGCGTGGTAATCCGCGT</t>
  </si>
  <si>
    <t xml:space="preserve">AAACACGCGGATTACCACGCCGGT</t>
  </si>
  <si>
    <t xml:space="preserve">PST_1244</t>
  </si>
  <si>
    <t xml:space="preserve">GGTGGTGGTGTCGATGTCGA</t>
  </si>
  <si>
    <t xml:space="preserve">TAGTGGTGGTGGTGTCGATGTCGA</t>
  </si>
  <si>
    <t xml:space="preserve">AAACTCGACATCGACACCACCACC</t>
  </si>
  <si>
    <t xml:space="preserve">GATGACCACGCAGCAGGTGC</t>
  </si>
  <si>
    <t xml:space="preserve">TAGTGATGACCACGCAGCAGGTGC</t>
  </si>
  <si>
    <t xml:space="preserve">AAACGCACCTGCTGCGTGGTCATC</t>
  </si>
  <si>
    <t xml:space="preserve">GCACGTCCATCAGGGCGCTG</t>
  </si>
  <si>
    <t xml:space="preserve">TAGTGCACGTCCATCAGGGCGCTG</t>
  </si>
  <si>
    <t xml:space="preserve">AAACCAGCGCCCTGATGGACGTGC</t>
  </si>
  <si>
    <t xml:space="preserve">CATGCGTGCCTCTGGATCGG</t>
  </si>
  <si>
    <t xml:space="preserve">TAGTCATGCGTGCCTCTGGATCGG</t>
  </si>
  <si>
    <t xml:space="preserve">AAACCCGATCCAGAGGCACGCATG</t>
  </si>
  <si>
    <t xml:space="preserve">PST_1245</t>
  </si>
  <si>
    <t xml:space="preserve">AGGCTGATCGCCCAGGCCAG</t>
  </si>
  <si>
    <t xml:space="preserve">TAGTAGGCTGATCGCCCAGGCCAG</t>
  </si>
  <si>
    <t xml:space="preserve">AAACCTGGCCTGGGCGATCAGCCT</t>
  </si>
  <si>
    <t xml:space="preserve">AGGCAGCCGGAACCAGAGCC</t>
  </si>
  <si>
    <t xml:space="preserve">TAGTAGGCAGCCGGAACCAGAGCC</t>
  </si>
  <si>
    <t xml:space="preserve">AAACGGCTCTGGTTCCGGCTGCCT</t>
  </si>
  <si>
    <t xml:space="preserve">TTCGACCGGATCGGCGGCCC</t>
  </si>
  <si>
    <t xml:space="preserve">TAGTTTCGACCGGATCGGCGGCCC</t>
  </si>
  <si>
    <t xml:space="preserve">AAACGGGCCGCCGATCCGGTCGAA</t>
  </si>
  <si>
    <t xml:space="preserve">TCTCATGGCTCTGCTTGGCC</t>
  </si>
  <si>
    <t xml:space="preserve">TAGTTCTCATGGCTCTGCTTGGCC</t>
  </si>
  <si>
    <t xml:space="preserve">AAACGGCCAAGCAGAGCCATGAGA</t>
  </si>
  <si>
    <t xml:space="preserve">PST_1246</t>
  </si>
  <si>
    <t xml:space="preserve">putP-2</t>
  </si>
  <si>
    <t xml:space="preserve">GCAAACGGTGCCAGCCCTTT</t>
  </si>
  <si>
    <t xml:space="preserve">TAGTGCAAACGGTGCCAGCCCTTT</t>
  </si>
  <si>
    <t xml:space="preserve">AAACAAAGGGCTGGCACCGTTTGC</t>
  </si>
  <si>
    <t xml:space="preserve">CCGCTATAACGAAAAAGGGC</t>
  </si>
  <si>
    <t xml:space="preserve">TAGTCCGCTATAACGAAAAAGGGC</t>
  </si>
  <si>
    <t xml:space="preserve">AAACGCCCTTTTTCGTTATAGCGG</t>
  </si>
  <si>
    <t xml:space="preserve">GCGTGACCGCCAGGTTCTCC</t>
  </si>
  <si>
    <t xml:space="preserve">TAGTGCGTGACCGCCAGGTTCTCC</t>
  </si>
  <si>
    <t xml:space="preserve">AAACGGAGAACCTGGCGGTCACGC</t>
  </si>
  <si>
    <t xml:space="preserve">CGGAACCATCGAGGGGCGCA</t>
  </si>
  <si>
    <t xml:space="preserve">TAGTCGGAACCATCGAGGGGCGCA</t>
  </si>
  <si>
    <t xml:space="preserve">AAACTGCGCCCCTCGATGGTTCCG</t>
  </si>
  <si>
    <t xml:space="preserve">PST_1247</t>
  </si>
  <si>
    <t xml:space="preserve">CGCCAGCCAGACCACTCCGC</t>
  </si>
  <si>
    <t xml:space="preserve">TAGTCGCCAGCCAGACCACTCCGC</t>
  </si>
  <si>
    <t xml:space="preserve">AAACGCGGAGTGGTCTGGCTGGCG</t>
  </si>
  <si>
    <t xml:space="preserve">ATCCGACGATCACATACACC</t>
  </si>
  <si>
    <t xml:space="preserve">TAGTATCCGACGATCACATACACC</t>
  </si>
  <si>
    <t xml:space="preserve">AAACGGTGTATGTGATCGTCGGAT</t>
  </si>
  <si>
    <t xml:space="preserve">CGAGCCCAGTGCGGCCATGA</t>
  </si>
  <si>
    <t xml:space="preserve">TAGTCGAGCCCAGTGCGGCCATGA</t>
  </si>
  <si>
    <t xml:space="preserve">AAACTCATGGCCGCACTGGGCTCG</t>
  </si>
  <si>
    <t xml:space="preserve">CACGGCGCCGCGGGTGTCCA</t>
  </si>
  <si>
    <t xml:space="preserve">TAGTCACGGCGCCGCGGGTGTCCA</t>
  </si>
  <si>
    <t xml:space="preserve">AAACTGGACACCCGCGGCGCCGTG</t>
  </si>
  <si>
    <t xml:space="preserve">PST_1248</t>
  </si>
  <si>
    <t xml:space="preserve">pcaQ</t>
  </si>
  <si>
    <t xml:space="preserve">ATTCGGTTATCGATGTTCAC</t>
  </si>
  <si>
    <t xml:space="preserve">TAGTATTCGGTTATCGATGTTCAC</t>
  </si>
  <si>
    <t xml:space="preserve">AAACGTGAACATCGATAACCGAAT</t>
  </si>
  <si>
    <t xml:space="preserve">CCAGAAAGCAGAGCAGATGA</t>
  </si>
  <si>
    <t xml:space="preserve">TAGTCCAGAAAGCAGAGCAGATGA</t>
  </si>
  <si>
    <t xml:space="preserve">AAACTCATCTGCTCTGCTTTCTGG</t>
  </si>
  <si>
    <t xml:space="preserve">GCGCGCCAGACTGCCCTGCC</t>
  </si>
  <si>
    <t xml:space="preserve">TAGTGCGCGCCAGACTGCCCTGCC</t>
  </si>
  <si>
    <t xml:space="preserve">AAACGGCAGGGCAGTCTGGCGCGC</t>
  </si>
  <si>
    <t xml:space="preserve">GCTCACCGCGAGTGTTTCGG</t>
  </si>
  <si>
    <t xml:space="preserve">TAGTGCTCACCGCGAGTGTTTCGG</t>
  </si>
  <si>
    <t xml:space="preserve">AAACCCGAAACACTCGCGGTGAGC</t>
  </si>
  <si>
    <t xml:space="preserve">PST_1249</t>
  </si>
  <si>
    <t xml:space="preserve">pcaH</t>
  </si>
  <si>
    <t xml:space="preserve">GCGGGTGTCCGGTTCGGACA</t>
  </si>
  <si>
    <t xml:space="preserve">TAGTGCGGGTGTCCGGTTCGGACA</t>
  </si>
  <si>
    <t xml:space="preserve">AAACTGTCCGAACCGGACACCCGC</t>
  </si>
  <si>
    <t xml:space="preserve">TGCGATCACGGGCGACGAAC</t>
  </si>
  <si>
    <t xml:space="preserve">TAGTTGCGATCACGGGCGACGAAC</t>
  </si>
  <si>
    <t xml:space="preserve">AAACGTTCGTCGCCCGTGATCGCA</t>
  </si>
  <si>
    <t xml:space="preserve">CGTTAGCGCCGCCGGATGCC</t>
  </si>
  <si>
    <t xml:space="preserve">TAGTCGTTAGCGCCGCCGGATGCC</t>
  </si>
  <si>
    <t xml:space="preserve">AAACGGCATCCGGCGGCGCTAACG</t>
  </si>
  <si>
    <t xml:space="preserve">GCTACGGAGGTCCTGTAGTC</t>
  </si>
  <si>
    <t xml:space="preserve">TAGTGCTACGGAGGTCCTGTAGTC</t>
  </si>
  <si>
    <t xml:space="preserve">AAACGACTACAGGACCTCCGTAGC</t>
  </si>
  <si>
    <t xml:space="preserve">PST_1250</t>
  </si>
  <si>
    <t xml:space="preserve">pcaG</t>
  </si>
  <si>
    <t xml:space="preserve">GTCTCCGGCAGCAGTTCAAG</t>
  </si>
  <si>
    <t xml:space="preserve">TAGTGTCTCCGGCAGCAGTTCAAG</t>
  </si>
  <si>
    <t xml:space="preserve">AAACCTTGAACTGCTGCCGGAGAC</t>
  </si>
  <si>
    <t xml:space="preserve">GGGGCCGGCCGTCTGCGAGG</t>
  </si>
  <si>
    <t xml:space="preserve">TAGTGGGGCCGGCCGTCTGCGAGG</t>
  </si>
  <si>
    <t xml:space="preserve">AAACCCTCGCAGACGGCCGGCCCC</t>
  </si>
  <si>
    <t xml:space="preserve">GCCAGGCCGATGTGCACATA</t>
  </si>
  <si>
    <t xml:space="preserve">TAGTGCCAGGCCGATGTGCACATA</t>
  </si>
  <si>
    <t xml:space="preserve">AAACTATGTGCACATCGGCCTGGC</t>
  </si>
  <si>
    <t xml:space="preserve">GTCGGGTTGCCGGCGGCAGC</t>
  </si>
  <si>
    <t xml:space="preserve">TAGTGTCGGGTTGCCGGCGGCAGC</t>
  </si>
  <si>
    <t xml:space="preserve">AAACGCTGCCGCCGGCAACCCGAC</t>
  </si>
  <si>
    <t xml:space="preserve">PST_1251</t>
  </si>
  <si>
    <t xml:space="preserve">CTCGCTGGTTACGCCCGCGA</t>
  </si>
  <si>
    <t xml:space="preserve">TAGTCTCGCTGGTTACGCCCGCGA</t>
  </si>
  <si>
    <t xml:space="preserve">AAACTCGCGGGCGTAACCAGCGAG</t>
  </si>
  <si>
    <t xml:space="preserve">AAACCGTTGCTGGATATGCG</t>
  </si>
  <si>
    <t xml:space="preserve">TAGTAAACCGTTGCTGGATATGCG</t>
  </si>
  <si>
    <t xml:space="preserve">AAACCGCATATCCAGCAACGGTTT</t>
  </si>
  <si>
    <t xml:space="preserve">GCCACGGGCCTGCAGGGCAT</t>
  </si>
  <si>
    <t xml:space="preserve">TAGTGCCACGGGCCTGCAGGGCAT</t>
  </si>
  <si>
    <t xml:space="preserve">AAACATGCCCTGCAGGCCCGTGGC</t>
  </si>
  <si>
    <t xml:space="preserve">GCTGCTGTGCCGGGTCGGCA</t>
  </si>
  <si>
    <t xml:space="preserve">TAGTGCTGCTGTGCCGGGTCGGCA</t>
  </si>
  <si>
    <t xml:space="preserve">AAACTGCCGACCCGGCACAGCAGC</t>
  </si>
  <si>
    <t xml:space="preserve">PST_1252</t>
  </si>
  <si>
    <t xml:space="preserve">CACCAGCGCCGGCAGCGCGA</t>
  </si>
  <si>
    <t xml:space="preserve">TAGTCACCAGCGCCGGCAGCGCGA</t>
  </si>
  <si>
    <t xml:space="preserve">AAACTCGCGCTGCCGGCGCTGGTG</t>
  </si>
  <si>
    <t xml:space="preserve">CAGTTCAGCACCTGCTCCAG</t>
  </si>
  <si>
    <t xml:space="preserve">TAGTCAGTTCAGCACCTGCTCCAG</t>
  </si>
  <si>
    <t xml:space="preserve">AAACCTGGAGCAGGTGCTGAACTG</t>
  </si>
  <si>
    <t xml:space="preserve">AGCCCAGGCCATAGGCGCAC</t>
  </si>
  <si>
    <t xml:space="preserve">TAGTAGCCCAGGCCATAGGCGCAC</t>
  </si>
  <si>
    <t xml:space="preserve">AAACGTGCGCCTATGGCCTGGGCT</t>
  </si>
  <si>
    <t xml:space="preserve">GCGTGAGATGCCGTAGCCCA</t>
  </si>
  <si>
    <t xml:space="preserve">TAGTGCGTGAGATGCCGTAGCCCA</t>
  </si>
  <si>
    <t xml:space="preserve">AAACTGGGCTACGGCATCTCACGC</t>
  </si>
  <si>
    <t xml:space="preserve">PST_1253</t>
  </si>
  <si>
    <t xml:space="preserve">pcaR</t>
  </si>
  <si>
    <t xml:space="preserve">AACGCGCGATTCGTCGGTCA</t>
  </si>
  <si>
    <t xml:space="preserve">TAGTAACGCGCGATTCGTCGGTCA</t>
  </si>
  <si>
    <t xml:space="preserve">AAACTGACCGACGAATCGCGCGTT</t>
  </si>
  <si>
    <t xml:space="preserve">TGGGCGGTGCCATCGGTGGT</t>
  </si>
  <si>
    <t xml:space="preserve">TAGTTGGGCGGTGCCATCGGTGGT</t>
  </si>
  <si>
    <t xml:space="preserve">AAACACCACCGATGGCACCGCCCA</t>
  </si>
  <si>
    <t xml:space="preserve">CTTGGCAGGCGAAGCGACGA</t>
  </si>
  <si>
    <t xml:space="preserve">TAGTCTTGGCAGGCGAAGCGACGA</t>
  </si>
  <si>
    <t xml:space="preserve">AAACTCGTCGCTTCGCCTGCCAAG</t>
  </si>
  <si>
    <t xml:space="preserve">CGTCATGAAGTTGGGATCGC</t>
  </si>
  <si>
    <t xml:space="preserve">TAGTCGTCATGAAGTTGGGATCGC</t>
  </si>
  <si>
    <t xml:space="preserve">AAACGCGATCCCAACTTCATGACG</t>
  </si>
  <si>
    <t xml:space="preserve">PST_1254</t>
  </si>
  <si>
    <t xml:space="preserve">pcaI</t>
  </si>
  <si>
    <t xml:space="preserve">ACGGTAACGGTCCAACTCCC</t>
  </si>
  <si>
    <t xml:space="preserve">TAGTACGGTAACGGTCCAACTCCC</t>
  </si>
  <si>
    <t xml:space="preserve">AAACGGGAGTTGGACCGTTACCGT</t>
  </si>
  <si>
    <t xml:space="preserve">GTCGAATCTCGTGTTGTTTT</t>
  </si>
  <si>
    <t xml:space="preserve">TAGTGTCGAATCTCGTGTTGTTTT</t>
  </si>
  <si>
    <t xml:space="preserve">AAACAAAACAACACGAGATTCGAC</t>
  </si>
  <si>
    <t xml:space="preserve">CGACGGCTTCGCGGAGCGTA</t>
  </si>
  <si>
    <t xml:space="preserve">TAGTCGACGGCTTCGCGGAGCGTA</t>
  </si>
  <si>
    <t xml:space="preserve">AAACTACGCTCCGCGAAGCCGTCG</t>
  </si>
  <si>
    <t xml:space="preserve">GGGCAACCGTGTCACCGTCC</t>
  </si>
  <si>
    <t xml:space="preserve">TAGTGGGCAACCGTGTCACCGTCC</t>
  </si>
  <si>
    <t xml:space="preserve">AAACGGACGGTGACACGGTTGCCC</t>
  </si>
  <si>
    <t xml:space="preserve">PST_1255</t>
  </si>
  <si>
    <t xml:space="preserve">pcaJ</t>
  </si>
  <si>
    <t xml:space="preserve">CATCATTTCATTGGTGCTGT</t>
  </si>
  <si>
    <t xml:space="preserve">TAGTCATCATTTCATTGGTGCTGT</t>
  </si>
  <si>
    <t xml:space="preserve">AAACACAGCACCAATGAAATGATG</t>
  </si>
  <si>
    <t xml:space="preserve">GAGGCGGCGGGCGGCGGCCA</t>
  </si>
  <si>
    <t xml:space="preserve">TAGTGAGGCGGCGGGCGGCGGCCA</t>
  </si>
  <si>
    <t xml:space="preserve">AAACTGGCCGCCGCCCGCCGCCTC</t>
  </si>
  <si>
    <t xml:space="preserve">GGTTGGCGGCCTTCGATGGC</t>
  </si>
  <si>
    <t xml:space="preserve">TAGTGGTTGGCGGCCTTCGATGGC</t>
  </si>
  <si>
    <t xml:space="preserve">AAACGCCATCGAAGGCCGCCAACC</t>
  </si>
  <si>
    <t xml:space="preserve">GTGCATGGGTCAGGCGCGCC</t>
  </si>
  <si>
    <t xml:space="preserve">TAGTGTGCATGGGTCAGGCGCGCC</t>
  </si>
  <si>
    <t xml:space="preserve">AAACGGCGCGCCTGACCCATGCAC</t>
  </si>
  <si>
    <t xml:space="preserve">PST_1256</t>
  </si>
  <si>
    <t xml:space="preserve">pcaF</t>
  </si>
  <si>
    <t xml:space="preserve">CATCGCAGATGAATACGTCG</t>
  </si>
  <si>
    <t xml:space="preserve">TAGTCATCGCAGATGAATACGTCG</t>
  </si>
  <si>
    <t xml:space="preserve">AAACCGACGTATTCATCTGCGATG</t>
  </si>
  <si>
    <t xml:space="preserve">GCGGCCGATGGGCGTTCGTA</t>
  </si>
  <si>
    <t xml:space="preserve">TAGTGCGGCCGATGGGCGTTCGTA</t>
  </si>
  <si>
    <t xml:space="preserve">AAACTACGAACGCCCATCGGCCGC</t>
  </si>
  <si>
    <t xml:space="preserve">CGGAATCGCTGCCAGGTCGT</t>
  </si>
  <si>
    <t xml:space="preserve">TAGTCGGAATCGCTGCCAGGTCGT</t>
  </si>
  <si>
    <t xml:space="preserve">AAACACGACCTGGCAGCGATTCCG</t>
  </si>
  <si>
    <t xml:space="preserve">CGTTCGAGCAACGCCTTGAG</t>
  </si>
  <si>
    <t xml:space="preserve">TAGTCGTTCGAGCAACGCCTTGAG</t>
  </si>
  <si>
    <t xml:space="preserve">AAACCTCAAGGCGTTGCTCGAACG</t>
  </si>
  <si>
    <t xml:space="preserve">PST_1257</t>
  </si>
  <si>
    <t xml:space="preserve">pcaB</t>
  </si>
  <si>
    <t xml:space="preserve">CGAAGAGTTGGTTGCTTGGC</t>
  </si>
  <si>
    <t xml:space="preserve">TAGTCGAAGAGTTGGTTGCTTGGC</t>
  </si>
  <si>
    <t xml:space="preserve">AAACGCCAAGCAACCAACTCTTCG</t>
  </si>
  <si>
    <t xml:space="preserve">CACCTCACGCATCGGGGCGC</t>
  </si>
  <si>
    <t xml:space="preserve">TAGTCACCTCACGCATCGGGGCGC</t>
  </si>
  <si>
    <t xml:space="preserve">AAACGCGCCCCGATGCGTGAGGTG</t>
  </si>
  <si>
    <t xml:space="preserve">GCCCTGCACACGGCCGCGGT</t>
  </si>
  <si>
    <t xml:space="preserve">TAGTGCCCTGCACACGGCCGCGGT</t>
  </si>
  <si>
    <t xml:space="preserve">AAACACCGCGGCCGTGTGCAGGGC</t>
  </si>
  <si>
    <t xml:space="preserve">CCCGGTCCGCGCTTCGGCCC</t>
  </si>
  <si>
    <t xml:space="preserve">TAGTCCCGGTCCGCGCTTCGGCCC</t>
  </si>
  <si>
    <t xml:space="preserve">AAACGGGCCGAAGCGCGGACCGGG</t>
  </si>
  <si>
    <t xml:space="preserve">PST_1258</t>
  </si>
  <si>
    <t xml:space="preserve">pcaD</t>
  </si>
  <si>
    <t xml:space="preserve">ACATCGGCCAGTTGTACGCT</t>
  </si>
  <si>
    <t xml:space="preserve">TAGTACATCGGCCAGTTGTACGCT</t>
  </si>
  <si>
    <t xml:space="preserve">AAACAGCGTACAACTGGCCGATGT</t>
  </si>
  <si>
    <t xml:space="preserve">GGCCGTCGAATCGGTAGTTC</t>
  </si>
  <si>
    <t xml:space="preserve">TAGTGGCCGTCGAATCGGTAGTTC</t>
  </si>
  <si>
    <t xml:space="preserve">AAACGAACTACCGATTCGACGGCC</t>
  </si>
  <si>
    <t xml:space="preserve">CCAGCACAGGCGCGCTCTCC</t>
  </si>
  <si>
    <t xml:space="preserve">TAGTCCAGCACAGGCGCGCTCTCC</t>
  </si>
  <si>
    <t xml:space="preserve">AAACGGAGAGCGCGCCTGTGCTGG</t>
  </si>
  <si>
    <t xml:space="preserve">CAGGTCGGTGCCCAGGGAAT</t>
  </si>
  <si>
    <t xml:space="preserve">TAGTCAGGTCGGTGCCCAGGGAAT</t>
  </si>
  <si>
    <t xml:space="preserve">AAACATTCCCTGGGCACCGACCTG</t>
  </si>
  <si>
    <t xml:space="preserve">PST_1259</t>
  </si>
  <si>
    <t xml:space="preserve">pcaC</t>
  </si>
  <si>
    <t xml:space="preserve">CGCGCGCCGCACCTGCATGC</t>
  </si>
  <si>
    <t xml:space="preserve">TAGTCGCGCGCCGCACCTGCATGC</t>
  </si>
  <si>
    <t xml:space="preserve">AAACGCATGCAGGTGCGGCGCGCG</t>
  </si>
  <si>
    <t xml:space="preserve">GCTCAGGCTGCGGTCGACAT</t>
  </si>
  <si>
    <t xml:space="preserve">TAGTGCTCAGGCTGCGGTCGACAT</t>
  </si>
  <si>
    <t xml:space="preserve">AAACATGTCGACCGCAGCCTGAGC</t>
  </si>
  <si>
    <t xml:space="preserve">GGTGATCATCTCCTGGAACT</t>
  </si>
  <si>
    <t xml:space="preserve">TAGTGGTGATCATCTCCTGGAACT</t>
  </si>
  <si>
    <t xml:space="preserve">AAACAGTTCCAGGAGATGATCACC</t>
  </si>
  <si>
    <t xml:space="preserve">GATATCACCCCAGGCATGGC</t>
  </si>
  <si>
    <t xml:space="preserve">TAGTGATATCACCCCAGGCATGGC</t>
  </si>
  <si>
    <t xml:space="preserve">AAACGCCATGCCTGGGGTGATATC</t>
  </si>
  <si>
    <t xml:space="preserve">PST_1261</t>
  </si>
  <si>
    <t xml:space="preserve">GGCTACCGAGATAACGATCG</t>
  </si>
  <si>
    <t xml:space="preserve">TAGTGGCTACCGAGATAACGATCG</t>
  </si>
  <si>
    <t xml:space="preserve">AAACCGATCGTTATCTCGGTAGCC</t>
  </si>
  <si>
    <t xml:space="preserve">CCAGCCGGCGGACGTCCTGG</t>
  </si>
  <si>
    <t xml:space="preserve">TAGTCCAGCCGGCGGACGTCCTGG</t>
  </si>
  <si>
    <t xml:space="preserve">AAACCCAGGACGTCCGCCGGCTGG</t>
  </si>
  <si>
    <t xml:space="preserve">CTTCGCCGTTTACTCGTGCT</t>
  </si>
  <si>
    <t xml:space="preserve">TAGTCTTCGCCGTTTACTCGTGCT</t>
  </si>
  <si>
    <t xml:space="preserve">AAACAGCACGAGTAAACGGCGAAG</t>
  </si>
  <si>
    <t xml:space="preserve">TATGCGCACCTCCCGGTCCA</t>
  </si>
  <si>
    <t xml:space="preserve">TAGTTATGCGCACCTCCCGGTCCA</t>
  </si>
  <si>
    <t xml:space="preserve">AAACTGGACCGGGAGGTGCGCATA</t>
  </si>
  <si>
    <t xml:space="preserve">PST_1262</t>
  </si>
  <si>
    <t xml:space="preserve">metG</t>
  </si>
  <si>
    <t xml:space="preserve">TGGGGACTCGACAGTCGGAA</t>
  </si>
  <si>
    <t xml:space="preserve">TAGTTGGGGACTCGACAGTCGGAA</t>
  </si>
  <si>
    <t xml:space="preserve">AAACTTCCGACTGTCGAGTCCCCA</t>
  </si>
  <si>
    <t xml:space="preserve">GATCTGGCGGGCTTCGGACA</t>
  </si>
  <si>
    <t xml:space="preserve">TAGTGATCTGGCGGGCTTCGGACA</t>
  </si>
  <si>
    <t xml:space="preserve">AAACTGTCCGAAGCCCGCCAGATC</t>
  </si>
  <si>
    <t xml:space="preserve">AGGGCAGGGCGCTGGTAACG</t>
  </si>
  <si>
    <t xml:space="preserve">TAGTAGGGCAGGGCGCTGGTAACG</t>
  </si>
  <si>
    <t xml:space="preserve">AAACCGTTACCAGCGCCCTGCCCT</t>
  </si>
  <si>
    <t xml:space="preserve">GTGGATCGAACCGTTGGCGT</t>
  </si>
  <si>
    <t xml:space="preserve">TAGTGTGGATCGAACCGTTGGCGT</t>
  </si>
  <si>
    <t xml:space="preserve">AAACACGCCAACGGTTCGATCCAC</t>
  </si>
  <si>
    <t xml:space="preserve">PST_1263</t>
  </si>
  <si>
    <t xml:space="preserve">AGCTTCGCGGGTGACGGACA</t>
  </si>
  <si>
    <t xml:space="preserve">TAGTAGCTTCGCGGGTGACGGACA</t>
  </si>
  <si>
    <t xml:space="preserve">AAACTGTCCGTCACCCGCGAAGCT</t>
  </si>
  <si>
    <t xml:space="preserve">GTCGGTGTACTGGCGCAGTA</t>
  </si>
  <si>
    <t xml:space="preserve">TAGTGTCGGTGTACTGGCGCAGTA</t>
  </si>
  <si>
    <t xml:space="preserve">AAACTACTGCGCCAGTACACCGAC</t>
  </si>
  <si>
    <t xml:space="preserve">CCGGATCCTGATTCAGATGG</t>
  </si>
  <si>
    <t xml:space="preserve">TAGTCCGGATCCTGATTCAGATGG</t>
  </si>
  <si>
    <t xml:space="preserve">AAACCCATCTGAATCAGGATCCGG</t>
  </si>
  <si>
    <t xml:space="preserve">GTCGATTGAACGCACACAGC</t>
  </si>
  <si>
    <t xml:space="preserve">TAGTGTCGATTGAACGCACACAGC</t>
  </si>
  <si>
    <t xml:space="preserve">AAACGCTGTGTGCGTTCAATCGAC</t>
  </si>
  <si>
    <t xml:space="preserve">PST_1264</t>
  </si>
  <si>
    <t xml:space="preserve">AACGGTACCGGTTTGGCGAT</t>
  </si>
  <si>
    <t xml:space="preserve">TAGTAACGGTACCGGTTTGGCGAT</t>
  </si>
  <si>
    <t xml:space="preserve">AAACATCGCCAAACCGGTACCGTT</t>
  </si>
  <si>
    <t xml:space="preserve">AAGAGGTCGTCACCGGATTG</t>
  </si>
  <si>
    <t xml:space="preserve">TAGTAAGAGGTCGTCACCGGATTG</t>
  </si>
  <si>
    <t xml:space="preserve">AAACCAATCCGGTGACGACCTCTT</t>
  </si>
  <si>
    <t xml:space="preserve">AGCCGTCACCCTGAATGGCA</t>
  </si>
  <si>
    <t xml:space="preserve">TAGTAGCCGTCACCCTGAATGGCA</t>
  </si>
  <si>
    <t xml:space="preserve">AAACTGCCATTCAGGGTGACGGCT</t>
  </si>
  <si>
    <t xml:space="preserve">TAGCGACGAAGGAGACTTGC</t>
  </si>
  <si>
    <t xml:space="preserve">TAGTTAGCGACGAAGGAGACTTGC</t>
  </si>
  <si>
    <t xml:space="preserve">AAACGCAAGTCTCCTTCGTCGCTA</t>
  </si>
  <si>
    <t xml:space="preserve">PST_1265</t>
  </si>
  <si>
    <t xml:space="preserve">dcd</t>
  </si>
  <si>
    <t xml:space="preserve">CATTCCCTTCATTGCGCACC</t>
  </si>
  <si>
    <t xml:space="preserve">TAGTCATTCCCTTCATTGCGCACC</t>
  </si>
  <si>
    <t xml:space="preserve">AAACGGTGCGCAATGAAGGGAATG</t>
  </si>
  <si>
    <t xml:space="preserve">AGACACCGTAGGAGATCAGC</t>
  </si>
  <si>
    <t xml:space="preserve">TAGTAGACACCGTAGGAGATCAGC</t>
  </si>
  <si>
    <t xml:space="preserve">AAACGCTGATCTCCTACGGTGTCT</t>
  </si>
  <si>
    <t xml:space="preserve">GCGCACATCGTAACCGTAGC</t>
  </si>
  <si>
    <t xml:space="preserve">TAGTGCGCACATCGTAACCGTAGC</t>
  </si>
  <si>
    <t xml:space="preserve">AAACGCTACGGTTACGATGTGCGC</t>
  </si>
  <si>
    <t xml:space="preserve">TACAGTTGCCGAGTTGATAT</t>
  </si>
  <si>
    <t xml:space="preserve">TAGTTACAGTTGCCGAGTTGATAT</t>
  </si>
  <si>
    <t xml:space="preserve">AAACATATCAACTCGGCAACTGTA</t>
  </si>
  <si>
    <t xml:space="preserve">PST_1266</t>
  </si>
  <si>
    <t xml:space="preserve">napC</t>
  </si>
  <si>
    <t xml:space="preserve">GACGCTCGGTCGCCGCAGGA</t>
  </si>
  <si>
    <t xml:space="preserve">TAGTGACGCTCGGTCGCCGCAGGA</t>
  </si>
  <si>
    <t xml:space="preserve">AAACTCCTGCGGCGACCGAGCGTC</t>
  </si>
  <si>
    <t xml:space="preserve">CGCCAAGCGTCAGCGCGCCG</t>
  </si>
  <si>
    <t xml:space="preserve">TAGTCGCCAAGCGTCAGCGCGCCG</t>
  </si>
  <si>
    <t xml:space="preserve">AAACCGGCGCGCTGACGCTTGGCG</t>
  </si>
  <si>
    <t xml:space="preserve">GCAGAACGCCTCGGTGTTGG</t>
  </si>
  <si>
    <t xml:space="preserve">TAGTGCAGAACGCCTCGGTGTTGG</t>
  </si>
  <si>
    <t xml:space="preserve">AAACCCAACACCGAGGCGTTCTGC</t>
  </si>
  <si>
    <t xml:space="preserve">GTTGTCTTCCATCTCGTGGC</t>
  </si>
  <si>
    <t xml:space="preserve">TAGTGTTGTCTTCCATCTCGTGGC</t>
  </si>
  <si>
    <t xml:space="preserve">AAACGCCACGAGATGGAAGACAAC</t>
  </si>
  <si>
    <t xml:space="preserve">PST_1267</t>
  </si>
  <si>
    <t xml:space="preserve">napB</t>
  </si>
  <si>
    <t xml:space="preserve">CGGCAGTAGGCAGAATTTCA</t>
  </si>
  <si>
    <t xml:space="preserve">TAGTCGGCAGTAGGCAGAATTTCA</t>
  </si>
  <si>
    <t xml:space="preserve">AAACTGAAATTCTGCCTACTGCCG</t>
  </si>
  <si>
    <t xml:space="preserve">AACACCGCGAGCAGGGTCAG</t>
  </si>
  <si>
    <t xml:space="preserve">TAGTAACACCGCGAGCAGGGTCAG</t>
  </si>
  <si>
    <t xml:space="preserve">AAACCTGACCCTGCTCGCGGTGTT</t>
  </si>
  <si>
    <t xml:space="preserve">GAGGGGGTAGTTGGTTTCGG</t>
  </si>
  <si>
    <t xml:space="preserve">TAGTGAGGGGGTAGTTGGTTTCGG</t>
  </si>
  <si>
    <t xml:space="preserve">AAACCCGAAACCAACTACCCCCTC</t>
  </si>
  <si>
    <t xml:space="preserve">GGCGTCGGCCGTCCGGCGCG</t>
  </si>
  <si>
    <t xml:space="preserve">TAGTGGCGTCGGCCGTCCGGCGCG</t>
  </si>
  <si>
    <t xml:space="preserve">AAACCGCGCCGGACGGCCGACGCC</t>
  </si>
  <si>
    <t xml:space="preserve">PST_1268</t>
  </si>
  <si>
    <t xml:space="preserve">napA</t>
  </si>
  <si>
    <t xml:space="preserve">TGGCGAATTGACGTCGGGTA</t>
  </si>
  <si>
    <t xml:space="preserve">TAGTTGGCGAATTGACGTCGGGTA</t>
  </si>
  <si>
    <t xml:space="preserve">AAACTACCCGACGTCAATTCGCCA</t>
  </si>
  <si>
    <t xml:space="preserve">GATGGCGGCGGCATTGGCCT</t>
  </si>
  <si>
    <t xml:space="preserve">TAGTGATGGCGGCGGCATTGGCCT</t>
  </si>
  <si>
    <t xml:space="preserve">AAACAGGCCAATGCCGCCGCCATC</t>
  </si>
  <si>
    <t xml:space="preserve">AGCGATGGGCATGCCGGCCA</t>
  </si>
  <si>
    <t xml:space="preserve">TAGTAGCGATGGGCATGCCGGCCA</t>
  </si>
  <si>
    <t xml:space="preserve">AAACTGGCCGGCATGCCCATCGCT</t>
  </si>
  <si>
    <t xml:space="preserve">TTCGGTGACCAGATTGCTCG</t>
  </si>
  <si>
    <t xml:space="preserve">TAGTTTCGGTGACCAGATTGCTCG</t>
  </si>
  <si>
    <t xml:space="preserve">AAACCGAGCAATCTGGTCACCGAA</t>
  </si>
  <si>
    <t xml:space="preserve">PST_1269</t>
  </si>
  <si>
    <t xml:space="preserve">napD</t>
  </si>
  <si>
    <t xml:space="preserve">GGCGTGAGCGCCCCGGTCAA</t>
  </si>
  <si>
    <t xml:space="preserve">TAGTGGCGTGAGCGCCCCGGTCAA</t>
  </si>
  <si>
    <t xml:space="preserve">AAACTTGACCGGGGCGCTCACGCC</t>
  </si>
  <si>
    <t xml:space="preserve">TTCCGTCTGGCTTGGTGGCA</t>
  </si>
  <si>
    <t xml:space="preserve">TAGTTTCCGTCTGGCTTGGTGGCA</t>
  </si>
  <si>
    <t xml:space="preserve">AAACTGCCACCAAGCCAGACGGAA</t>
  </si>
  <si>
    <t xml:space="preserve">GGAGGCTGGCGATATGCAAA</t>
  </si>
  <si>
    <t xml:space="preserve">TAGTGGAGGCTGGCGATATGCAAA</t>
  </si>
  <si>
    <t xml:space="preserve">AAACTTTGCATATCGCCAGCCTCC</t>
  </si>
  <si>
    <t xml:space="preserve">ACTCGGGGCGGCAGTGCACC</t>
  </si>
  <si>
    <t xml:space="preserve">TAGTACTCGGGGCGGCAGTGCACC</t>
  </si>
  <si>
    <t xml:space="preserve">AAACGGTGCACTGCCGCCCCGAGT</t>
  </si>
  <si>
    <t xml:space="preserve">PST_1270</t>
  </si>
  <si>
    <t xml:space="preserve">napE</t>
  </si>
  <si>
    <t xml:space="preserve">ACAGAGGGGCGGGTGTCATT</t>
  </si>
  <si>
    <t xml:space="preserve">TAGTACAGAGGGGCGGGTGTCATT</t>
  </si>
  <si>
    <t xml:space="preserve">AAACAATGACACCCGCCCCTCTGT</t>
  </si>
  <si>
    <t xml:space="preserve">GGTCTCGTCCCGCTTGGTCG</t>
  </si>
  <si>
    <t xml:space="preserve">TAGTGGTCTCGTCCCGCTTGGTCG</t>
  </si>
  <si>
    <t xml:space="preserve">AAACCGACCAAGCGGGACGAGACC</t>
  </si>
  <si>
    <t xml:space="preserve">GATCAGGAAGACGAACAGGC</t>
  </si>
  <si>
    <t xml:space="preserve">TAGTGATCAGGAAGACGAACAGGC</t>
  </si>
  <si>
    <t xml:space="preserve">AAACGCCTGTTCGTCTTCCTGATC</t>
  </si>
  <si>
    <t xml:space="preserve">ACCAGCGCGACGCTCAGGAT</t>
  </si>
  <si>
    <t xml:space="preserve">TAGTACCAGCGCGACGCTCAGGAT</t>
  </si>
  <si>
    <t xml:space="preserve">AAACATCCTGAGCGTCGCGCTGGT</t>
  </si>
  <si>
    <t xml:space="preserve">PST_1271</t>
  </si>
  <si>
    <t xml:space="preserve">AGTACCGCGTTTGAGGTGGG</t>
  </si>
  <si>
    <t xml:space="preserve">TAGTAGTACCGCGTTTGAGGTGGG</t>
  </si>
  <si>
    <t xml:space="preserve">AAACCCCACCTCAAACGCGGTACT</t>
  </si>
  <si>
    <t xml:space="preserve">CAGCGTGGCGCGTCGATAGG</t>
  </si>
  <si>
    <t xml:space="preserve">TAGTCAGCGTGGCGCGTCGATAGG</t>
  </si>
  <si>
    <t xml:space="preserve">AAACCCTATCGACGCGCCACGCTG</t>
  </si>
  <si>
    <t xml:space="preserve">GCAATACAACAGCGCGAAGG</t>
  </si>
  <si>
    <t xml:space="preserve">TAGTGCAATACAACAGCGCGAAGG</t>
  </si>
  <si>
    <t xml:space="preserve">AAACCCTTCGCGCTGTTGTATTGC</t>
  </si>
  <si>
    <t xml:space="preserve">CCAGCAACGGCAGCAACGGC</t>
  </si>
  <si>
    <t xml:space="preserve">TAGTCCAGCAACGGCAGCAACGGC</t>
  </si>
  <si>
    <t xml:space="preserve">AAACGCCGTTGCTGCCGTTGCTGG</t>
  </si>
  <si>
    <t xml:space="preserve">PST_1272</t>
  </si>
  <si>
    <t xml:space="preserve">ACGCGGGCATTGAGACGCTC</t>
  </si>
  <si>
    <t xml:space="preserve">TAGTACGCGGGCATTGAGACGCTC</t>
  </si>
  <si>
    <t xml:space="preserve">AAACGAGCGTCTCAATGCCCGCGT</t>
  </si>
  <si>
    <t xml:space="preserve">TTGCTCGGCCAGCGCGTAGC</t>
  </si>
  <si>
    <t xml:space="preserve">TAGTTTGCTCGGCCAGCGCGTAGC</t>
  </si>
  <si>
    <t xml:space="preserve">AAACGCTACGCGCTGGCCGAGCAA</t>
  </si>
  <si>
    <t xml:space="preserve">TCACCTCGGGGCGGGGGAAG</t>
  </si>
  <si>
    <t xml:space="preserve">TAGTTCACCTCGGGGCGGGGGAAG</t>
  </si>
  <si>
    <t xml:space="preserve">AAACCTTCCCCCGCCCCGAGGTGA</t>
  </si>
  <si>
    <t xml:space="preserve">CCTTCTGGCCGCGCAACTTC</t>
  </si>
  <si>
    <t xml:space="preserve">TAGTCCTTCTGGCCGCGCAACTTC</t>
  </si>
  <si>
    <t xml:space="preserve">AAACGAAGTTGCGCGGCCAGAAGG</t>
  </si>
  <si>
    <t xml:space="preserve">PST_1273</t>
  </si>
  <si>
    <t xml:space="preserve">TTAGCAATGTGAAAAAGTGC</t>
  </si>
  <si>
    <t xml:space="preserve">TAGTTTAGCAATGTGAAAAAGTGC</t>
  </si>
  <si>
    <t xml:space="preserve">AAACGCACTTTTTCACATTGCTAA</t>
  </si>
  <si>
    <t xml:space="preserve">GGTCCACGCCTTGTCGGGGC</t>
  </si>
  <si>
    <t xml:space="preserve">TAGTGGTCCACGCCTTGTCGGGGC</t>
  </si>
  <si>
    <t xml:space="preserve">AAACGCCCCGACAAGGCGTGGACC</t>
  </si>
  <si>
    <t xml:space="preserve">CTCCTCGTCGCGGCGAATGT</t>
  </si>
  <si>
    <t xml:space="preserve">TAGTCTCCTCGTCGCGGCGAATGT</t>
  </si>
  <si>
    <t xml:space="preserve">AAACACATTCGCCGCGACGAGGAG</t>
  </si>
  <si>
    <t xml:space="preserve">CAGCAGATGGACAAGGTAGT</t>
  </si>
  <si>
    <t xml:space="preserve">TAGTCAGCAGATGGACAAGGTAGT</t>
  </si>
  <si>
    <t xml:space="preserve">AAACACTACCTTGTCCATCTGCTG</t>
  </si>
  <si>
    <t xml:space="preserve">PST_1274</t>
  </si>
  <si>
    <t xml:space="preserve">TGAACAAACCCCAAACGTGA</t>
  </si>
  <si>
    <t xml:space="preserve">TAGTTGAACAAACCCCAAACGTGA</t>
  </si>
  <si>
    <t xml:space="preserve">AAACTCACGTTTGGGGTTTGTTCA</t>
  </si>
  <si>
    <t xml:space="preserve">GTTCCACTCCTGACCAGGGT</t>
  </si>
  <si>
    <t xml:space="preserve">TAGTGTTCCACTCCTGACCAGGGT</t>
  </si>
  <si>
    <t xml:space="preserve">AAACACCCTGGTCAGGAGTGGAAC</t>
  </si>
  <si>
    <t xml:space="preserve">TGACGGTCTCTTCCTCGCCA</t>
  </si>
  <si>
    <t xml:space="preserve">TAGTTGACGGTCTCTTCCTCGCCA</t>
  </si>
  <si>
    <t xml:space="preserve">AAACTGGCGAGGAAGAGACCGTCA</t>
  </si>
  <si>
    <t xml:space="preserve">GCACATGGGTCAGATACATG</t>
  </si>
  <si>
    <t xml:space="preserve">TAGTGCACATGGGTCAGATACATG</t>
  </si>
  <si>
    <t xml:space="preserve">AAACCATGTATCTGACCCATGTGC</t>
  </si>
  <si>
    <t xml:space="preserve">PST_1275</t>
  </si>
  <si>
    <t xml:space="preserve">GCGGGGGAGAGGTCGTCCAT</t>
  </si>
  <si>
    <t xml:space="preserve">TAGTGCGGGGGAGAGGTCGTCCAT</t>
  </si>
  <si>
    <t xml:space="preserve">AAACATGGACGACCTCTCCCCCGC</t>
  </si>
  <si>
    <t xml:space="preserve">AACAGCAGGAGCAGATGGTC</t>
  </si>
  <si>
    <t xml:space="preserve">TAGTAACAGCAGGAGCAGATGGTC</t>
  </si>
  <si>
    <t xml:space="preserve">AAACGACCATCTGCTCCTGCTGTT</t>
  </si>
  <si>
    <t xml:space="preserve">TCGTATTCGCTGCGGCCCTC</t>
  </si>
  <si>
    <t xml:space="preserve">TAGTTCGTATTCGCTGCGGCCCTC</t>
  </si>
  <si>
    <t xml:space="preserve">AAACGAGGGCCGCAGCGAATACGA</t>
  </si>
  <si>
    <t xml:space="preserve">TGTGCCGTCGCTTGAGCTGT</t>
  </si>
  <si>
    <t xml:space="preserve">TAGTTGTGCCGTCGCTTGAGCTGT</t>
  </si>
  <si>
    <t xml:space="preserve">AAACACAGCTCAAGCGACGGCACA</t>
  </si>
  <si>
    <t xml:space="preserve">PST_1276</t>
  </si>
  <si>
    <t xml:space="preserve">GTTTGTTCTGGTTGACCGAG</t>
  </si>
  <si>
    <t xml:space="preserve">TAGTGTTTGTTCTGGTTGACCGAG</t>
  </si>
  <si>
    <t xml:space="preserve">AAACCTCGGTCAACCAGAACAAAC</t>
  </si>
  <si>
    <t xml:space="preserve">CCTCGCCGGCGAGGCGGCGC</t>
  </si>
  <si>
    <t xml:space="preserve">TAGTCCTCGCCGGCGAGGCGGCGC</t>
  </si>
  <si>
    <t xml:space="preserve">AAACGCGCCGCCTCGCCGGCGAGG</t>
  </si>
  <si>
    <t xml:space="preserve">GATCATGTTGAAGTCGGTGA</t>
  </si>
  <si>
    <t xml:space="preserve">TAGTGATCATGTTGAAGTCGGTGA</t>
  </si>
  <si>
    <t xml:space="preserve">AAACTCACCGACTTCAACATGATC</t>
  </si>
  <si>
    <t xml:space="preserve">GGTGTAGCTGTCCTTGCCGC</t>
  </si>
  <si>
    <t xml:space="preserve">TAGTGGTGTAGCTGTCCTTGCCGC</t>
  </si>
  <si>
    <t xml:space="preserve">AAACGCGGCAAGGACAGCTACACC</t>
  </si>
  <si>
    <t xml:space="preserve">PST_1277</t>
  </si>
  <si>
    <t xml:space="preserve">aroF-2</t>
  </si>
  <si>
    <t xml:space="preserve">TTGTTTGGCAAGTACGGTGG</t>
  </si>
  <si>
    <t xml:space="preserve">TAGTTTGTTTGGCAAGTACGGTGG</t>
  </si>
  <si>
    <t xml:space="preserve">AAACCCACCGTACTTGCCAAACAA</t>
  </si>
  <si>
    <t xml:space="preserve">CTGGCTTCGGCGGTGGCGGC</t>
  </si>
  <si>
    <t xml:space="preserve">TAGTCTGGCTTCGGCGGTGGCGGC</t>
  </si>
  <si>
    <t xml:space="preserve">AAACGCCGCCACCGCCGAAGCCAG</t>
  </si>
  <si>
    <t xml:space="preserve">TTGGCAGCGGCTGCGCGCTG</t>
  </si>
  <si>
    <t xml:space="preserve">TAGTTTGGCAGCGGCTGCGCGCTG</t>
  </si>
  <si>
    <t xml:space="preserve">AAACCAGCGCGCAGCCGCTGCCAA</t>
  </si>
  <si>
    <t xml:space="preserve">GACGCTGGCGCAATACGGCG</t>
  </si>
  <si>
    <t xml:space="preserve">TAGTGACGCTGGCGCAATACGGCG</t>
  </si>
  <si>
    <t xml:space="preserve">AAACCGCCGTATTGCGCCAGCGTC</t>
  </si>
  <si>
    <t xml:space="preserve">PST_1278</t>
  </si>
  <si>
    <t xml:space="preserve">GGTTGATCAAGCGACGGCAA</t>
  </si>
  <si>
    <t xml:space="preserve">TAGTGGTTGATCAAGCGACGGCAA</t>
  </si>
  <si>
    <t xml:space="preserve">AAACTTGCCGTCGCTTGATCAACC</t>
  </si>
  <si>
    <t xml:space="preserve">TCGTGCATGGATGGGCCTTT</t>
  </si>
  <si>
    <t xml:space="preserve">TAGTTCGTGCATGGATGGGCCTTT</t>
  </si>
  <si>
    <t xml:space="preserve">AAACAAAGGCCCATCCATGCACGA</t>
  </si>
  <si>
    <t xml:space="preserve">CCGCGGAACCGAAGCGATTG</t>
  </si>
  <si>
    <t xml:space="preserve">TAGTCCGCGGAACCGAAGCGATTG</t>
  </si>
  <si>
    <t xml:space="preserve">AAACCAATCGCTTCGGTTCCGCGG</t>
  </si>
  <si>
    <t xml:space="preserve">TCATCGGTGCTGCGCGGCTG</t>
  </si>
  <si>
    <t xml:space="preserve">TAGTTCATCGGTGCTGCGCGGCTG</t>
  </si>
  <si>
    <t xml:space="preserve">AAACCAGCCGCGCAGCACCGATGA</t>
  </si>
  <si>
    <t xml:space="preserve">PST_1279</t>
  </si>
  <si>
    <t xml:space="preserve">CGCACGTTTGTCTTTGACGA</t>
  </si>
  <si>
    <t xml:space="preserve">TAGTCGCACGTTTGTCTTTGACGA</t>
  </si>
  <si>
    <t xml:space="preserve">AAACTCGTCAAAGACAAACGTGCG</t>
  </si>
  <si>
    <t xml:space="preserve">AAAGACATTGAGCAGGATGC</t>
  </si>
  <si>
    <t xml:space="preserve">TAGTAAAGACATTGAGCAGGATGC</t>
  </si>
  <si>
    <t xml:space="preserve">AAACGCATCCTGCTCAATGTCTTT</t>
  </si>
  <si>
    <t xml:space="preserve">CCACATGGCTGGCATGGTTC</t>
  </si>
  <si>
    <t xml:space="preserve">TAGTCCACATGGCTGGCATGGTTC</t>
  </si>
  <si>
    <t xml:space="preserve">AAACGAACCATGCCAGCCATGTGG</t>
  </si>
  <si>
    <t xml:space="preserve">ACAGAAGGCGTCCTGCCCCA</t>
  </si>
  <si>
    <t xml:space="preserve">TAGTACAGAAGGCGTCCTGCCCCA</t>
  </si>
  <si>
    <t xml:space="preserve">AAACTGGGGCAGGACGCCTTCTGT</t>
  </si>
  <si>
    <t xml:space="preserve">PST_1280</t>
  </si>
  <si>
    <t xml:space="preserve">GCGGGTGAAGCGTTCCATCA</t>
  </si>
  <si>
    <t xml:space="preserve">TAGTGCGGGTGAAGCGTTCCATCA</t>
  </si>
  <si>
    <t xml:space="preserve">AAACTGATGGAACGCTTCACCCGC</t>
  </si>
  <si>
    <t xml:space="preserve">CCGATAGCTGACGCGGCTCT</t>
  </si>
  <si>
    <t xml:space="preserve">TAGTCCGATAGCTGACGCGGCTCT</t>
  </si>
  <si>
    <t xml:space="preserve">AAACAGAGCCGCGTCAGCTATCGG</t>
  </si>
  <si>
    <t xml:space="preserve">TTGCTGGGGTAGTCCGGGAA</t>
  </si>
  <si>
    <t xml:space="preserve">TAGTTTGCTGGGGTAGTCCGGGAA</t>
  </si>
  <si>
    <t xml:space="preserve">AAACTTCCCGGACTACCCCAGCAA</t>
  </si>
  <si>
    <t xml:space="preserve">GTGCCAGTACGGCAGCAGTT</t>
  </si>
  <si>
    <t xml:space="preserve">TAGTGTGCCAGTACGGCAGCAGTT</t>
  </si>
  <si>
    <t xml:space="preserve">AAACAACTGCTGCCGTACTGGCAC</t>
  </si>
  <si>
    <t xml:space="preserve">PST_1281</t>
  </si>
  <si>
    <t xml:space="preserve">cydA1</t>
  </si>
  <si>
    <t xml:space="preserve">CGTCATGGCGAATTGCAGAC</t>
  </si>
  <si>
    <t xml:space="preserve">TAGTCGTCATGGCGAATTGCAGAC</t>
  </si>
  <si>
    <t xml:space="preserve">AAACGTCTGCAATTCGCCATGACG</t>
  </si>
  <si>
    <t xml:space="preserve">TCAACGGCACGAAGAGAAAG</t>
  </si>
  <si>
    <t xml:space="preserve">TAGTTCAACGGCACGAAGAGAAAG</t>
  </si>
  <si>
    <t xml:space="preserve">AAACCTTTCTCTTCGTGCCGTTGA</t>
  </si>
  <si>
    <t xml:space="preserve">CAGCAGGAACGCCAGACCCA</t>
  </si>
  <si>
    <t xml:space="preserve">TAGTCAGCAGGAACGCCAGACCCA</t>
  </si>
  <si>
    <t xml:space="preserve">AAACTGGGTCTGGCGTTCCTGCTG</t>
  </si>
  <si>
    <t xml:space="preserve">CACGTAGACCGACTCCATGA</t>
  </si>
  <si>
    <t xml:space="preserve">TAGTCACGTAGACCGACTCCATGA</t>
  </si>
  <si>
    <t xml:space="preserve">AAACTCATGGAGTCGGTCTACGTG</t>
  </si>
  <si>
    <t xml:space="preserve">PST_1282</t>
  </si>
  <si>
    <t xml:space="preserve">cydB1</t>
  </si>
  <si>
    <t xml:space="preserve">CATGTCAAAACCATCGGTCA</t>
  </si>
  <si>
    <t xml:space="preserve">TAGTCATGTCAAAACCATCGGTCA</t>
  </si>
  <si>
    <t xml:space="preserve">AAACTGACCGATGGTTTTGACATG</t>
  </si>
  <si>
    <t xml:space="preserve">GACGAAGGGCATCAGTGCCA</t>
  </si>
  <si>
    <t xml:space="preserve">TAGTGACGAAGGGCATCAGTGCCA</t>
  </si>
  <si>
    <t xml:space="preserve">AAACTGGCACTGATGCCCTTCGTC</t>
  </si>
  <si>
    <t xml:space="preserve">GCCATCCCAATGCGGCGCGA</t>
  </si>
  <si>
    <t xml:space="preserve">TAGTGCCATCCCAATGCGGCGCGA</t>
  </si>
  <si>
    <t xml:space="preserve">AAACTCGCGCCGCATTGGGATGGC</t>
  </si>
  <si>
    <t xml:space="preserve">CCGCGGTGATGAACCACACC</t>
  </si>
  <si>
    <t xml:space="preserve">TAGTCCGCGGTGATGAACCACACC</t>
  </si>
  <si>
    <t xml:space="preserve">AAACGGTGTGGTTCATCACCGCGG</t>
  </si>
  <si>
    <t xml:space="preserve">PST_1283</t>
  </si>
  <si>
    <t xml:space="preserve">GTCTCCTTGGCGGGCGAGCA</t>
  </si>
  <si>
    <t xml:space="preserve">TAGTGTCTCCTTGGCGGGCGAGCA</t>
  </si>
  <si>
    <t xml:space="preserve">AAACTGCTCGCCCGCCAAGGAGAC</t>
  </si>
  <si>
    <t xml:space="preserve">CGGGGGTCCGGTACAGCAGC</t>
  </si>
  <si>
    <t xml:space="preserve">TAGTCGGGGGTCCGGTACAGCAGC</t>
  </si>
  <si>
    <t xml:space="preserve">AAACGCTGCTGTACCGGACCCCCG</t>
  </si>
  <si>
    <t xml:space="preserve">CAGCAGCGAGAGAAGCCGCG</t>
  </si>
  <si>
    <t xml:space="preserve">TAGTCAGCAGCGAGAGAAGCCGCG</t>
  </si>
  <si>
    <t xml:space="preserve">AAACCGCGGCTTCTCTCGCTGCTG</t>
  </si>
  <si>
    <t xml:space="preserve">CGTCGAGCATCGCCGCCGGA</t>
  </si>
  <si>
    <t xml:space="preserve">TAGTCGTCGAGCATCGCCGCCGGA</t>
  </si>
  <si>
    <t xml:space="preserve">AAACTCCGGCGGCGATGCTCGACG</t>
  </si>
  <si>
    <t xml:space="preserve">PST_1285</t>
  </si>
  <si>
    <t xml:space="preserve">GGTGCGAAGCGTTGGCGCAT</t>
  </si>
  <si>
    <t xml:space="preserve">TAGTGGTGCGAAGCGTTGGCGCAT</t>
  </si>
  <si>
    <t xml:space="preserve">AAACATGCGCCAACGCTTCGCACC</t>
  </si>
  <si>
    <t xml:space="preserve">ATGAGTGCGAGAGGCACGAG</t>
  </si>
  <si>
    <t xml:space="preserve">TAGTATGAGTGCGAGAGGCACGAG</t>
  </si>
  <si>
    <t xml:space="preserve">AAACCTCGTGCCTCTCGCACTCAT</t>
  </si>
  <si>
    <t xml:space="preserve">CTGTACAGGCTGACCGGCAC</t>
  </si>
  <si>
    <t xml:space="preserve">TAGTCTGTACAGGCTGACCGGCAC</t>
  </si>
  <si>
    <t xml:space="preserve">AAACGTGCCGGTCAGCCTGTACAG</t>
  </si>
  <si>
    <t xml:space="preserve">AGGCGATTCGATCTGCTGCT</t>
  </si>
  <si>
    <t xml:space="preserve">TAGTAGGCGATTCGATCTGCTGCT</t>
  </si>
  <si>
    <t xml:space="preserve">AAACAGCAGCAGATCGAATCGCCT</t>
  </si>
  <si>
    <t xml:space="preserve">PST_1286</t>
  </si>
  <si>
    <t xml:space="preserve">GGAACGGGCCAGATAGCGCA</t>
  </si>
  <si>
    <t xml:space="preserve">TAGTGGAACGGGCCAGATAGCGCA</t>
  </si>
  <si>
    <t xml:space="preserve">AAACTGCGCTATCTGGCCCGTTCC</t>
  </si>
  <si>
    <t xml:space="preserve">GGCGAAAAGAACCACAAGGG</t>
  </si>
  <si>
    <t xml:space="preserve">TAGTGGCGAAAAGAACCACAAGGG</t>
  </si>
  <si>
    <t xml:space="preserve">AAACCCCTTGTGGTTCTTTTCGCC</t>
  </si>
  <si>
    <t xml:space="preserve">GCCGGCACAGGCAGCCAGCA</t>
  </si>
  <si>
    <t xml:space="preserve">TAGTGCCGGCACAGGCAGCCAGCA</t>
  </si>
  <si>
    <t xml:space="preserve">AAACTGCTGGCTGCCTGTGCCGGC</t>
  </si>
  <si>
    <t xml:space="preserve">TCGGCGATTGGCGGCGTCGG</t>
  </si>
  <si>
    <t xml:space="preserve">TAGTTCGGCGATTGGCGGCGTCGG</t>
  </si>
  <si>
    <t xml:space="preserve">AAACCCGACGCCGCCAATCGCCGA</t>
  </si>
  <si>
    <t xml:space="preserve">PST_1287</t>
  </si>
  <si>
    <t xml:space="preserve">AGCACGTACGTCAGCAATAC</t>
  </si>
  <si>
    <t xml:space="preserve">TAGTAGCACGTACGTCAGCAATAC</t>
  </si>
  <si>
    <t xml:space="preserve">AAACGTATTGCTGACGTACGTGCT</t>
  </si>
  <si>
    <t xml:space="preserve">GACCTTGGCCTTGTTCACAT</t>
  </si>
  <si>
    <t xml:space="preserve">TAGTGACCTTGGCCTTGTTCACAT</t>
  </si>
  <si>
    <t xml:space="preserve">AAACATGTGAACAAGGCCAAGGTC</t>
  </si>
  <si>
    <t xml:space="preserve">GAACAGCAGCAACCAGGCCA</t>
  </si>
  <si>
    <t xml:space="preserve">TAGTGAACAGCAGCAACCAGGCCA</t>
  </si>
  <si>
    <t xml:space="preserve">AAACTGGCCTGGTTGCTGCTGTTC</t>
  </si>
  <si>
    <t xml:space="preserve">TTCCCGCACCTCGCCTGCCG</t>
  </si>
  <si>
    <t xml:space="preserve">TAGTTTCCCGCACCTCGCCTGCCG</t>
  </si>
  <si>
    <t xml:space="preserve">AAACCGGCAGGCGAGGTGCGGGAA</t>
  </si>
  <si>
    <t xml:space="preserve">PST_1288</t>
  </si>
  <si>
    <t xml:space="preserve">CGCGGTTTCGGGATGCCGCA</t>
  </si>
  <si>
    <t xml:space="preserve">TAGTCGCGGTTTCGGGATGCCGCA</t>
  </si>
  <si>
    <t xml:space="preserve">AAACTGCGGCATCCCGAAACCGCG</t>
  </si>
  <si>
    <t xml:space="preserve">ACTGTGCATGACGCATGGGA</t>
  </si>
  <si>
    <t xml:space="preserve">TAGTACTGTGCATGACGCATGGGA</t>
  </si>
  <si>
    <t xml:space="preserve">AAACTCCCATGCGTCATGCACAGT</t>
  </si>
  <si>
    <t xml:space="preserve">GGCGAGTCGAGAAACCGCAA</t>
  </si>
  <si>
    <t xml:space="preserve">TAGTGGCGAGTCGAGAAACCGCAA</t>
  </si>
  <si>
    <t xml:space="preserve">AAACTTGCGGTTTCTCGACTCGCC</t>
  </si>
  <si>
    <t xml:space="preserve">GGCGCTGCCCCCGCAACGGT</t>
  </si>
  <si>
    <t xml:space="preserve">TAGTGGCGCTGCCCCCGCAACGGT</t>
  </si>
  <si>
    <t xml:space="preserve">AAACACCGTTGCGGGGGCAGCGCC</t>
  </si>
  <si>
    <t xml:space="preserve">PST_1289</t>
  </si>
  <si>
    <t xml:space="preserve">GCCAGTTGGCCGATGGAAAA</t>
  </si>
  <si>
    <t xml:space="preserve">TAGTGCCAGTTGGCCGATGGAAAA</t>
  </si>
  <si>
    <t xml:space="preserve">AAACTTTTCCATCGGCCAACTGGC</t>
  </si>
  <si>
    <t xml:space="preserve">TTCGAGGTCCAGCGGGGCTG</t>
  </si>
  <si>
    <t xml:space="preserve">TAGTTTCGAGGTCCAGCGGGGCTG</t>
  </si>
  <si>
    <t xml:space="preserve">AAACCAGCCCCGCTGGACCTCGAA</t>
  </si>
  <si>
    <t xml:space="preserve">GGTTTGCGCGGTACGGGTGG</t>
  </si>
  <si>
    <t xml:space="preserve">TAGTGGTTTGCGCGGTACGGGTGG</t>
  </si>
  <si>
    <t xml:space="preserve">AAACCCACCCGTACCGCGCAAACC</t>
  </si>
  <si>
    <t xml:space="preserve">TGCGGCCAGGCTCTGCTGGG</t>
  </si>
  <si>
    <t xml:space="preserve">TAGTTGCGGCCAGGCTCTGCTGGG</t>
  </si>
  <si>
    <t xml:space="preserve">AAACCCCAGCAGAGCCTGGCCGCA</t>
  </si>
  <si>
    <t xml:space="preserve">PST_1290</t>
  </si>
  <si>
    <t xml:space="preserve">CACCAGCAGCTGGTATCTCG</t>
  </si>
  <si>
    <t xml:space="preserve">TAGTCACCAGCAGCTGGTATCTCG</t>
  </si>
  <si>
    <t xml:space="preserve">AAACCGAGATACCAGCTGCTGGTG</t>
  </si>
  <si>
    <t xml:space="preserve">CCAGCAGCGCAGCGAGCGCA</t>
  </si>
  <si>
    <t xml:space="preserve">TAGTCCAGCAGCGCAGCGAGCGCA</t>
  </si>
  <si>
    <t xml:space="preserve">AAACTGCGCTCGCTGCGCTGCTGG</t>
  </si>
  <si>
    <t xml:space="preserve">GAAGTGCTGTCCGCGGGTCA</t>
  </si>
  <si>
    <t xml:space="preserve">TAGTGAAGTGCTGTCCGCGGGTCA</t>
  </si>
  <si>
    <t xml:space="preserve">AAACTGACCCGCGGACAGCACTTC</t>
  </si>
  <si>
    <t xml:space="preserve">AACACCGCCCAGGACGCGCT</t>
  </si>
  <si>
    <t xml:space="preserve">TAGTAACACCGCCCAGGACGCGCT</t>
  </si>
  <si>
    <t xml:space="preserve">AAACAGCGCGTCCTGGGCGGTGTT</t>
  </si>
  <si>
    <t xml:space="preserve">PST_1291</t>
  </si>
  <si>
    <t xml:space="preserve">cobO</t>
  </si>
  <si>
    <t xml:space="preserve">TGCGCTGCATGCGCGCCTTG</t>
  </si>
  <si>
    <t xml:space="preserve">TAGTTGCGCTGCATGCGCGCCTTG</t>
  </si>
  <si>
    <t xml:space="preserve">AAACCAAGGCGCGCATGCAGCGCA</t>
  </si>
  <si>
    <t xml:space="preserve">GCCGTACTCGTCCTGCGCCT</t>
  </si>
  <si>
    <t xml:space="preserve">TAGTGCCGTACTCGTCCTGCGCCT</t>
  </si>
  <si>
    <t xml:space="preserve">AAACAGGCGCAGGACGAGTACGGC</t>
  </si>
  <si>
    <t xml:space="preserve">GCTCTTGCCCTTGCCGTTGC</t>
  </si>
  <si>
    <t xml:space="preserve">TAGTGCTCTTGCCCTTGCCGTTGC</t>
  </si>
  <si>
    <t xml:space="preserve">AAACGCAACGGCAAGGGCAAGAGC</t>
  </si>
  <si>
    <t xml:space="preserve">CGCTCGCGCCAGCATGCCGA</t>
  </si>
  <si>
    <t xml:space="preserve">TAGTCGCTCGCGCCAGCATGCCGA</t>
  </si>
  <si>
    <t xml:space="preserve">AAACTCGGCATGCTGGCGCGAGCG</t>
  </si>
  <si>
    <t xml:space="preserve">PST_1292</t>
  </si>
  <si>
    <t xml:space="preserve">cobB</t>
  </si>
  <si>
    <t xml:space="preserve">CAGCGCCGGGCAGTTTCTAC</t>
  </si>
  <si>
    <t xml:space="preserve">TAGTCAGCGCCGGGCAGTTTCTAC</t>
  </si>
  <si>
    <t xml:space="preserve">AAACGTAGAAACTGCCCGGCGCTG</t>
  </si>
  <si>
    <t xml:space="preserve">GCCCTGGCCGGATGCAGGGG</t>
  </si>
  <si>
    <t xml:space="preserve">TAGTGCCCTGGCCGGATGCAGGGG</t>
  </si>
  <si>
    <t xml:space="preserve">AAACCCCCTGCATCCGGCCAGGGC</t>
  </si>
  <si>
    <t xml:space="preserve">CGCCAGAGCCGCGGTGACGG</t>
  </si>
  <si>
    <t xml:space="preserve">TAGTCGCCAGAGCCGCGGTGACGG</t>
  </si>
  <si>
    <t xml:space="preserve">AAACCCGTCACCGCGGCTCTGGCG</t>
  </si>
  <si>
    <t xml:space="preserve">ATCATCGGGTCGAGAAAGTC</t>
  </si>
  <si>
    <t xml:space="preserve">TAGTATCATCGGGTCGAGAAAGTC</t>
  </si>
  <si>
    <t xml:space="preserve">AAACGACTTTCTCGACCCGATGAT</t>
  </si>
  <si>
    <t xml:space="preserve">PST_1293</t>
  </si>
  <si>
    <t xml:space="preserve">CTACCTCGCCGCCCGCGAAA</t>
  </si>
  <si>
    <t xml:space="preserve">TAGTCTACCTCGCCGCCCGCGAAA</t>
  </si>
  <si>
    <t xml:space="preserve">AAACTTTCGCGGGCGGCGAGGTAG</t>
  </si>
  <si>
    <t xml:space="preserve">AGCAGTTTCGACAGCAACTC</t>
  </si>
  <si>
    <t xml:space="preserve">TAGTAGCAGTTTCGACAGCAACTC</t>
  </si>
  <si>
    <t xml:space="preserve">AAACGAGTTGCTGTCGAAACTGCT</t>
  </si>
  <si>
    <t xml:space="preserve">TCAGGCCGACACTGGGTGCC</t>
  </si>
  <si>
    <t xml:space="preserve">TAGTTCAGGCCGACACTGGGTGCC</t>
  </si>
  <si>
    <t xml:space="preserve">AAACGGCACCCAGTGTCGGCCTGA</t>
  </si>
  <si>
    <t xml:space="preserve">GTGATGCGAACGAAACGCCA</t>
  </si>
  <si>
    <t xml:space="preserve">TAGTGTGATGCGAACGAAACGCCA</t>
  </si>
  <si>
    <t xml:space="preserve">AAACTGGCGTTTCGTTCGCATCAC</t>
  </si>
  <si>
    <t xml:space="preserve">PST_1294</t>
  </si>
  <si>
    <t xml:space="preserve">GACAGACAGACGATCCGCTG</t>
  </si>
  <si>
    <t xml:space="preserve">TAGTGACAGACAGACGATCCGCTG</t>
  </si>
  <si>
    <t xml:space="preserve">AAACCAGCGGATCGTCTGTCTGTC</t>
  </si>
  <si>
    <t xml:space="preserve">GAGCGTTTCGCAGGTCTCGG</t>
  </si>
  <si>
    <t xml:space="preserve">TAGTGAGCGTTTCGCAGGTCTCGG</t>
  </si>
  <si>
    <t xml:space="preserve">AAACCCGAGACCTGCGAAACGCTC</t>
  </si>
  <si>
    <t xml:space="preserve">CGGCGGGCGCACGGTAAAAC</t>
  </si>
  <si>
    <t xml:space="preserve">TAGTCGGCGGGCGCACGGTAAAAC</t>
  </si>
  <si>
    <t xml:space="preserve">AAACGTTTTACCGTGCGCCCGCCG</t>
  </si>
  <si>
    <t xml:space="preserve">GGCTTTTCCTTGCGCGCCTG</t>
  </si>
  <si>
    <t xml:space="preserve">TAGTGGCTTTTCCTTGCGCGCCTG</t>
  </si>
  <si>
    <t xml:space="preserve">AAACCAGGCGCGCAAGGAAAAGCC</t>
  </si>
  <si>
    <t xml:space="preserve">PST_1295</t>
  </si>
  <si>
    <t xml:space="preserve">cobD</t>
  </si>
  <si>
    <t xml:space="preserve">GCAGCGCCCCGATGACGCTG</t>
  </si>
  <si>
    <t xml:space="preserve">TAGTGCAGCGCCCCGATGACGCTG</t>
  </si>
  <si>
    <t xml:space="preserve">AAACCAGCGTCATCGGGGCGCTGC</t>
  </si>
  <si>
    <t xml:space="preserve">ACTAGCGGATGGGCACGCTT</t>
  </si>
  <si>
    <t xml:space="preserve">TAGTACTAGCGGATGGGCACGCTT</t>
  </si>
  <si>
    <t xml:space="preserve">AAACAAGCGTGCCCATCCGCTAGT</t>
  </si>
  <si>
    <t xml:space="preserve">CACCGTTGAAATGCTGCTCC</t>
  </si>
  <si>
    <t xml:space="preserve">TAGTCACCGTTGAAATGCTGCTCC</t>
  </si>
  <si>
    <t xml:space="preserve">AAACGGAGCAGCATTTCAACGGTG</t>
  </si>
  <si>
    <t xml:space="preserve">CCCCATGGCTGCGCCAGCCA</t>
  </si>
  <si>
    <t xml:space="preserve">TAGTCCCCATGGCTGCGCCAGCCA</t>
  </si>
  <si>
    <t xml:space="preserve">AAACTGGCTGGCGCAGCCATGGGG</t>
  </si>
  <si>
    <t xml:space="preserve">PST_1296</t>
  </si>
  <si>
    <t xml:space="preserve">cobC</t>
  </si>
  <si>
    <t xml:space="preserve">CGGGATTCCGTGGCGCTGCG</t>
  </si>
  <si>
    <t xml:space="preserve">TAGTCGGGATTCCGTGGCGCTGCG</t>
  </si>
  <si>
    <t xml:space="preserve">AAACCGCAGCGCCACGGAATCCCG</t>
  </si>
  <si>
    <t xml:space="preserve">AGGTCCAGCCAGTCCGACAA</t>
  </si>
  <si>
    <t xml:space="preserve">TAGTAGGTCCAGCCAGTCCGACAA</t>
  </si>
  <si>
    <t xml:space="preserve">AAACTTGTCGGACTGGCTGGACCT</t>
  </si>
  <si>
    <t xml:space="preserve">AGGGCGCCACGCCGGTGGAC</t>
  </si>
  <si>
    <t xml:space="preserve">TAGTAGGGCGCCACGCCGGTGGAC</t>
  </si>
  <si>
    <t xml:space="preserve">AAACGTCCACCGGCGTGGCGCCCT</t>
  </si>
  <si>
    <t xml:space="preserve">GGTCGGCAGGTCCGGGTGAT</t>
  </si>
  <si>
    <t xml:space="preserve">TAGTGGTCGGCAGGTCCGGGTGAT</t>
  </si>
  <si>
    <t xml:space="preserve">AAACATCACCCGGACCTGCCGACC</t>
  </si>
  <si>
    <t xml:space="preserve">PST_1297</t>
  </si>
  <si>
    <t xml:space="preserve">cobQ</t>
  </si>
  <si>
    <t xml:space="preserve">GGTGCCCTGCACCATCAGCG</t>
  </si>
  <si>
    <t xml:space="preserve">TAGTGGTGCCCTGCACCATCAGCG</t>
  </si>
  <si>
    <t xml:space="preserve">AAACCGCTGATGGTGCAGGGCACC</t>
  </si>
  <si>
    <t xml:space="preserve">GCTCTTGCCGGCGTCGGACG</t>
  </si>
  <si>
    <t xml:space="preserve">TAGTGCTCTTGCCGGCGTCGGACG</t>
  </si>
  <si>
    <t xml:space="preserve">AAACCGTCCGACGCCGGCAAGAGC</t>
  </si>
  <si>
    <t xml:space="preserve">ACGGCACCACCGCGACACCC</t>
  </si>
  <si>
    <t xml:space="preserve">TAGTACGGCACCACCGCGACACCC</t>
  </si>
  <si>
    <t xml:space="preserve">AAACGGGTGTCGCGGTGGTGCCGT</t>
  </si>
  <si>
    <t xml:space="preserve">CTGTTGAGCGCCATGTTCTG</t>
  </si>
  <si>
    <t xml:space="preserve">TAGTCTGTTGAGCGCCATGTTCTG</t>
  </si>
  <si>
    <t xml:space="preserve">AAACCAGAACATGGCGCTCAACAG</t>
  </si>
  <si>
    <t xml:space="preserve">PST_1298</t>
  </si>
  <si>
    <t xml:space="preserve">cobP</t>
  </si>
  <si>
    <t xml:space="preserve">TGCCCGAGCGGGCACCACCT</t>
  </si>
  <si>
    <t xml:space="preserve">TAGTTGCCCGAGCGGGCACCACCT</t>
  </si>
  <si>
    <t xml:space="preserve">AAACAGGTGGTGCCCGCTCGGGCA</t>
  </si>
  <si>
    <t xml:space="preserve">CAGCCAGACGTTCGGCAAAG</t>
  </si>
  <si>
    <t xml:space="preserve">TAGTCAGCCAGACGTTCGGCAAAG</t>
  </si>
  <si>
    <t xml:space="preserve">AAACCTTTGCCGAACGTCTGGCTG</t>
  </si>
  <si>
    <t xml:space="preserve">GGTGACCGCCAGGCCGCTTT</t>
  </si>
  <si>
    <t xml:space="preserve">TAGTGGTGACCGCCAGGCCGCTTT</t>
  </si>
  <si>
    <t xml:space="preserve">AAACAAAGCGGCCTGGCGGTCACC</t>
  </si>
  <si>
    <t xml:space="preserve">CGCCTGGCTGGTGGCGATAT</t>
  </si>
  <si>
    <t xml:space="preserve">TAGTCGCCTGGCTGGTGGCGATAT</t>
  </si>
  <si>
    <t xml:space="preserve">AAACATATCGCCACCAGCCAGGCG</t>
  </si>
  <si>
    <t xml:space="preserve">PST_1299</t>
  </si>
  <si>
    <t xml:space="preserve">cobU</t>
  </si>
  <si>
    <t xml:space="preserve">GCTTCGTCCGGCTGCCGGCA</t>
  </si>
  <si>
    <t xml:space="preserve">TAGTGCTTCGTCCGGCTGCCGGCA</t>
  </si>
  <si>
    <t xml:space="preserve">AAACTGCCGGCAGCCGGACGAAGC</t>
  </si>
  <si>
    <t xml:space="preserve">CGCCATGGCACGGATACGCG</t>
  </si>
  <si>
    <t xml:space="preserve">TAGTCGCCATGGCACGGATACGCG</t>
  </si>
  <si>
    <t xml:space="preserve">AAACCGCGTATCCGTGCCATGGCG</t>
  </si>
  <si>
    <t xml:space="preserve">GCGGTTTGGTCAGCTGATCC</t>
  </si>
  <si>
    <t xml:space="preserve">TAGTGCGGTTTGGTCAGCTGATCC</t>
  </si>
  <si>
    <t xml:space="preserve">AAACGGATCAGCTGACCAAACCGC</t>
  </si>
  <si>
    <t xml:space="preserve">CGCATGCCTGCAGCGCCGCC</t>
  </si>
  <si>
    <t xml:space="preserve">TAGTCGCATGCCTGCAGCGCCGCC</t>
  </si>
  <si>
    <t xml:space="preserve">AAACGGCGGCGCTGCAGGCATGCG</t>
  </si>
  <si>
    <t xml:space="preserve">PST_1300</t>
  </si>
  <si>
    <t xml:space="preserve">CGGTCTCGCCATGGCGCAGC</t>
  </si>
  <si>
    <t xml:space="preserve">TAGTCGGTCTCGCCATGGCGCAGC</t>
  </si>
  <si>
    <t xml:space="preserve">AAACGCTGCGCCATGGCGAGACCG</t>
  </si>
  <si>
    <t xml:space="preserve">GCGAAAGCCGCCGCCCCGCT</t>
  </si>
  <si>
    <t xml:space="preserve">TAGTGCGAAAGCCGCCGCCCCGCT</t>
  </si>
  <si>
    <t xml:space="preserve">AAACAGCGGGGCGGCGGCTTTCGC</t>
  </si>
  <si>
    <t xml:space="preserve">GAGCGGTCAGGGCGTCGTCA</t>
  </si>
  <si>
    <t xml:space="preserve">TAGTGAGCGGTCAGGGCGTCGTCA</t>
  </si>
  <si>
    <t xml:space="preserve">AAACTGACGACGCCCTGACCGCTC</t>
  </si>
  <si>
    <t xml:space="preserve">AGCTGACCAGCACGTCCCAG</t>
  </si>
  <si>
    <t xml:space="preserve">TAGTAGCTGACCAGCACGTCCCAG</t>
  </si>
  <si>
    <t xml:space="preserve">AAACCTGGGACGTGCTGGTCAGCT</t>
  </si>
  <si>
    <t xml:space="preserve">PST_1301</t>
  </si>
  <si>
    <t xml:space="preserve">cobS</t>
  </si>
  <si>
    <t xml:space="preserve">GCGATCAACAGCGGCAGCAT</t>
  </si>
  <si>
    <t xml:space="preserve">TAGTGCGATCAACAGCGGCAGCAT</t>
  </si>
  <si>
    <t xml:space="preserve">AAACATGCTGCCGCTGTTGATCGC</t>
  </si>
  <si>
    <t xml:space="preserve">AGGCAGCCGGATTGGCAGGC</t>
  </si>
  <si>
    <t xml:space="preserve">TAGTAGGCAGCCGGATTGGCAGGC</t>
  </si>
  <si>
    <t xml:space="preserve">AAACGCCTGCCAATCCGGCTGCCT</t>
  </si>
  <si>
    <t xml:space="preserve">TGCCGCGGCGTAGGCATGGC</t>
  </si>
  <si>
    <t xml:space="preserve">TAGTTGCCGCGGCGTAGGCATGGC</t>
  </si>
  <si>
    <t xml:space="preserve">AAACGCCATGCCTACGCCGCGGCA</t>
  </si>
  <si>
    <t xml:space="preserve">CCGGATAATGCAGCAACGAA</t>
  </si>
  <si>
    <t xml:space="preserve">TAGTCCGGATAATGCAGCAACGAA</t>
  </si>
  <si>
    <t xml:space="preserve">AAACTTCGTTGCTGCATTATCCGG</t>
  </si>
  <si>
    <t xml:space="preserve">PST_1302</t>
  </si>
  <si>
    <t xml:space="preserve">TTGCTGGCGTATGCGTGCTT</t>
  </si>
  <si>
    <t xml:space="preserve">TAGTTTGCTGGCGTATGCGTGCTT</t>
  </si>
  <si>
    <t xml:space="preserve">AAACAAGCACGCATACGCCAGCAA</t>
  </si>
  <si>
    <t xml:space="preserve">GTACAGCAGCACCGGATGCT</t>
  </si>
  <si>
    <t xml:space="preserve">TAGTGTACAGCAGCACCGGATGCT</t>
  </si>
  <si>
    <t xml:space="preserve">AAACAGCATCCGGTGCTGCTGTAC</t>
  </si>
  <si>
    <t xml:space="preserve">AAACCGCACTCCGGCACGCC</t>
  </si>
  <si>
    <t xml:space="preserve">TAGTAAACCGCACTCCGGCACGCC</t>
  </si>
  <si>
    <t xml:space="preserve">AAACGGCGTGCCGGAGTGCGGTTT</t>
  </si>
  <si>
    <t xml:space="preserve">CAATGCCTCCACCGCGGCGC</t>
  </si>
  <si>
    <t xml:space="preserve">TAGTCAATGCCTCCACCGCGGCGC</t>
  </si>
  <si>
    <t xml:space="preserve">AAACGCGCCGCGGTGGAGGCATTG</t>
  </si>
  <si>
    <t xml:space="preserve">PST_1303</t>
  </si>
  <si>
    <t xml:space="preserve">CCTGCTCGACGCTGATGCGT</t>
  </si>
  <si>
    <t xml:space="preserve">TAGTCCTGCTCGACGCTGATGCGT</t>
  </si>
  <si>
    <t xml:space="preserve">AAACACGCATCAGCGTCGAGCAGG</t>
  </si>
  <si>
    <t xml:space="preserve">TTCGGTCGCCAACAGCCGCT</t>
  </si>
  <si>
    <t xml:space="preserve">TAGTTTCGGTCGCCAACAGCCGCT</t>
  </si>
  <si>
    <t xml:space="preserve">AAACAGCGGCTGTTGGCGACCGAA</t>
  </si>
  <si>
    <t xml:space="preserve">ATCGCGCATGTCCAGCAGCA</t>
  </si>
  <si>
    <t xml:space="preserve">TAGTATCGCGCATGTCCAGCAGCA</t>
  </si>
  <si>
    <t xml:space="preserve">AAACTGCTGCTGGACATGCGCGAT</t>
  </si>
  <si>
    <t xml:space="preserve">ATGGCCCTGGCAGTAGGCGC</t>
  </si>
  <si>
    <t xml:space="preserve">TAGTATGGCCCTGGCAGTAGGCGC</t>
  </si>
  <si>
    <t xml:space="preserve">AAACGCGCCTACTGCCAGGGCCAT</t>
  </si>
  <si>
    <t xml:space="preserve">PST_1304</t>
  </si>
  <si>
    <t xml:space="preserve">nifQ</t>
  </si>
  <si>
    <t xml:space="preserve">TGCGACCTCCAGGCACAACG</t>
  </si>
  <si>
    <t xml:space="preserve">TAGTTGCGACCTCCAGGCACAACG</t>
  </si>
  <si>
    <t xml:space="preserve">AAACCGTTGTGCCTGGAGGTCGCA</t>
  </si>
  <si>
    <t xml:space="preserve">TGATCTGCGCTAGCCAGGCC</t>
  </si>
  <si>
    <t xml:space="preserve">TAGTTGATCTGCGCTAGCCAGGCC</t>
  </si>
  <si>
    <t xml:space="preserve">AAACGGCCTGGCTAGCGCAGATCA</t>
  </si>
  <si>
    <t xml:space="preserve">TACGGCCTTCGCGCTGGGCG</t>
  </si>
  <si>
    <t xml:space="preserve">TAGTTACGGCCTTCGCGCTGGGCG</t>
  </si>
  <si>
    <t xml:space="preserve">AAACCGCCCAGCGCGAAGGCCGTA</t>
  </si>
  <si>
    <t xml:space="preserve">CGAGCCCGAGGTGCTGCGGC</t>
  </si>
  <si>
    <t xml:space="preserve">TAGTCGAGCCCGAGGTGCTGCGGC</t>
  </si>
  <si>
    <t xml:space="preserve">AAACGCCGCAGCACCTCGGGCTCG</t>
  </si>
  <si>
    <t xml:space="preserve">PST_1305</t>
  </si>
  <si>
    <t xml:space="preserve">GTAGAAGATGATGCAGGACA</t>
  </si>
  <si>
    <t xml:space="preserve">TAGTGTAGAAGATGATGCAGGACA</t>
  </si>
  <si>
    <t xml:space="preserve">AAACTGTCCTGCATCATCTTCTAC</t>
  </si>
  <si>
    <t xml:space="preserve">AGGCGGTTGGTGGCGCAACC</t>
  </si>
  <si>
    <t xml:space="preserve">TAGTAGGCGGTTGGTGGCGCAACC</t>
  </si>
  <si>
    <t xml:space="preserve">AAACGGTTGCGCCACCAACCGCCT</t>
  </si>
  <si>
    <t xml:space="preserve">AACGCAGCAGCTCCTTCTGC</t>
  </si>
  <si>
    <t xml:space="preserve">TAGTAACGCAGCAGCTCCTTCTGC</t>
  </si>
  <si>
    <t xml:space="preserve">AAACGCAGAAGGAGCTGCTGCGTT</t>
  </si>
  <si>
    <t xml:space="preserve">GCGTCCAGGCCTCGCGCAGC</t>
  </si>
  <si>
    <t xml:space="preserve">TAGTGCGTCCAGGCCTCGCGCAGC</t>
  </si>
  <si>
    <t xml:space="preserve">AAACGCTGCGCGAGGCCTGGACGC</t>
  </si>
  <si>
    <t xml:space="preserve">PST_1305a</t>
  </si>
  <si>
    <t xml:space="preserve">fdxN</t>
  </si>
  <si>
    <t xml:space="preserve">GCTCGGGCAGACGTCCACGC</t>
  </si>
  <si>
    <t xml:space="preserve">TAGTGCTCGGGCAGACGTCCACGC</t>
  </si>
  <si>
    <t xml:space="preserve">AAACGCGTGGACGTCTGCCCGAGC</t>
  </si>
  <si>
    <t xml:space="preserve">TGCGGAAGTACGCAGTGCCG</t>
  </si>
  <si>
    <t xml:space="preserve">TAGTTGCGGAAGTACGCAGTGCCG</t>
  </si>
  <si>
    <t xml:space="preserve">AAACCGGCACTGCGTACTTCCGCA</t>
  </si>
  <si>
    <t xml:space="preserve">GGCGTAGTCGCCATCGCATT</t>
  </si>
  <si>
    <t xml:space="preserve">TAGTGGCGTAGTCGCCATCGCATT</t>
  </si>
  <si>
    <t xml:space="preserve">AAACAATGCGATGGCGACTACGCC</t>
  </si>
  <si>
    <t xml:space="preserve">GATGCTCGCGCACTGTTGCT</t>
  </si>
  <si>
    <t xml:space="preserve">TAGTGATGCTCGCGCACTGTTGCT</t>
  </si>
  <si>
    <t xml:space="preserve">AAACAGCAACAGTGCGCGAGCATC</t>
  </si>
  <si>
    <t xml:space="preserve">PST_1306</t>
  </si>
  <si>
    <t xml:space="preserve">nifB</t>
  </si>
  <si>
    <t xml:space="preserve">TGGCACTGGATGTTGCAGGC</t>
  </si>
  <si>
    <t xml:space="preserve">TAGTTGGCACTGGATGTTGCAGGC</t>
  </si>
  <si>
    <t xml:space="preserve">AAACGCCTGCAACATCCAGTGCCA</t>
  </si>
  <si>
    <t xml:space="preserve">CGTACTTGCGGTTGCAGTAG</t>
  </si>
  <si>
    <t xml:space="preserve">TAGTCGTACTTGCGGTTGCAGTAG</t>
  </si>
  <si>
    <t xml:space="preserve">AAACCTACTGCAACCGCAAGTACG</t>
  </si>
  <si>
    <t xml:space="preserve">CACGCCCGGGCGCGATTCGT</t>
  </si>
  <si>
    <t xml:space="preserve">TAGTCACGCCCGGGCGCGATTCGT</t>
  </si>
  <si>
    <t xml:space="preserve">AAACACGAATCGCGCCCGGGCGTG</t>
  </si>
  <si>
    <t xml:space="preserve">ACCTTCTTCACCGCTTGCAC</t>
  </si>
  <si>
    <t xml:space="preserve">TAGTACCTTCTTCACCGCTTGCAC</t>
  </si>
  <si>
    <t xml:space="preserve">AAACGTGCAAGCGGTGAAGAAGGT</t>
  </si>
  <si>
    <t xml:space="preserve">PST_1307</t>
  </si>
  <si>
    <t xml:space="preserve">GCCGTCGTACCAGAGGCAAA</t>
  </si>
  <si>
    <t xml:space="preserve">TAGTGCCGTCGTACCAGAGGCAAA</t>
  </si>
  <si>
    <t xml:space="preserve">AAACTTTGCCTCTGGTACGACGGC</t>
  </si>
  <si>
    <t xml:space="preserve">ACAGCGCCTACCGCGCTGTC</t>
  </si>
  <si>
    <t xml:space="preserve">TAGTACAGCGCCTACCGCGCTGTC</t>
  </si>
  <si>
    <t xml:space="preserve">AAACGACAGCGCGGTAGGCGCTGT</t>
  </si>
  <si>
    <t xml:space="preserve">TGGCCCGCCGGATAGTCGCC</t>
  </si>
  <si>
    <t xml:space="preserve">TAGTTGGCCCGCCGGATAGTCGCC</t>
  </si>
  <si>
    <t xml:space="preserve">AAACGGCGACTATCCGGCGGGCCA</t>
  </si>
  <si>
    <t xml:space="preserve">CCGTCAGGACGTCGCCCTGA</t>
  </si>
  <si>
    <t xml:space="preserve">TAGTCCGTCAGGACGTCGCCCTGA</t>
  </si>
  <si>
    <t xml:space="preserve">AAACTCAGGGCGACGTCCTGACGG</t>
  </si>
  <si>
    <t xml:space="preserve">PST_1308</t>
  </si>
  <si>
    <t xml:space="preserve">AGGCCTGCATCGCATCGAAA</t>
  </si>
  <si>
    <t xml:space="preserve">TAGTAGGCCTGCATCGCATCGAAA</t>
  </si>
  <si>
    <t xml:space="preserve">AAACTTTCGATGCGATGCAGGCCT</t>
  </si>
  <si>
    <t xml:space="preserve">GGTTTCCACCACGCGGGCGA</t>
  </si>
  <si>
    <t xml:space="preserve">TAGTGGTTTCCACCACGCGGGCGA</t>
  </si>
  <si>
    <t xml:space="preserve">AAACTCGCCCGCGTGGTGGAAACC</t>
  </si>
  <si>
    <t xml:space="preserve">GGCCGCCTTGGTGAAACTGC</t>
  </si>
  <si>
    <t xml:space="preserve">TAGTGGCCGCCTTGGTGAAACTGC</t>
  </si>
  <si>
    <t xml:space="preserve">AAACGCAGTTTCACCAAGGCGGCC</t>
  </si>
  <si>
    <t xml:space="preserve">CTTGCTCATGTGCAGGGTCT</t>
  </si>
  <si>
    <t xml:space="preserve">TAGTCTTGCTCATGTGCAGGGTCT</t>
  </si>
  <si>
    <t xml:space="preserve">AAACAGACCCTGCACATGAGCAAG</t>
  </si>
  <si>
    <t xml:space="preserve">PST_1309</t>
  </si>
  <si>
    <t xml:space="preserve">CTGTAGGCCGGCCCAGCGCC</t>
  </si>
  <si>
    <t xml:space="preserve">TAGTCTGTAGGCCGGCCCAGCGCC</t>
  </si>
  <si>
    <t xml:space="preserve">AAACGGCGCTGGGCCGGCCTACAG</t>
  </si>
  <si>
    <t xml:space="preserve">GGCCGTGATTGACCATGGAG</t>
  </si>
  <si>
    <t xml:space="preserve">TAGTGGCCGTGATTGACCATGGAG</t>
  </si>
  <si>
    <t xml:space="preserve">AAACCTCCATGGTCAATCACGGCC</t>
  </si>
  <si>
    <t xml:space="preserve">ATGAGAGTTCCTCCATCGAT</t>
  </si>
  <si>
    <t xml:space="preserve">TAGTATGAGAGTTCCTCCATCGAT</t>
  </si>
  <si>
    <t xml:space="preserve">AAACATCGATGGAGGAACTCTCAT</t>
  </si>
  <si>
    <t xml:space="preserve">TGGGAAAACGACGTCACGCT</t>
  </si>
  <si>
    <t xml:space="preserve">TAGTTGGGAAAACGACGTCACGCT</t>
  </si>
  <si>
    <t xml:space="preserve">AAACAGCGTGACGTCGTTTTCCCA</t>
  </si>
  <si>
    <t xml:space="preserve">PST_1310</t>
  </si>
  <si>
    <t xml:space="preserve">GAGCGAGACAGGCAATTTCA</t>
  </si>
  <si>
    <t xml:space="preserve">TAGTGAGCGAGACAGGCAATTTCA</t>
  </si>
  <si>
    <t xml:space="preserve">AAACTGAAATTGCCTGTCTCGCTC</t>
  </si>
  <si>
    <t xml:space="preserve">TCGGCCAGCAATTTTTCCAA</t>
  </si>
  <si>
    <t xml:space="preserve">TAGTTCGGCCAGCAATTTTTCCAA</t>
  </si>
  <si>
    <t xml:space="preserve">AAACTTGGAAAAATTGCTGGCCGA</t>
  </si>
  <si>
    <t xml:space="preserve">GCGCTGCTGATGACCGTGCA</t>
  </si>
  <si>
    <t xml:space="preserve">TAGTGCGCTGCTGATGACCGTGCA</t>
  </si>
  <si>
    <t xml:space="preserve">AAACTGCACGGTCATCAGCAGCGC</t>
  </si>
  <si>
    <t xml:space="preserve">GAACCATCCCTCCGGGTAAT</t>
  </si>
  <si>
    <t xml:space="preserve">TAGTGAACCATCCCTCCGGGTAAT</t>
  </si>
  <si>
    <t xml:space="preserve">AAACATTACCCGGAGGGATGGTTC</t>
  </si>
  <si>
    <t xml:space="preserve">PST_1311</t>
  </si>
  <si>
    <t xml:space="preserve">fsr</t>
  </si>
  <si>
    <t xml:space="preserve">CGCCGCTGTAGTGGTACTGC</t>
  </si>
  <si>
    <t xml:space="preserve">TAGTCGCCGCTGTAGTGGTACTGC</t>
  </si>
  <si>
    <t xml:space="preserve">AAACGCAGTACCACTACAGCGGCG</t>
  </si>
  <si>
    <t xml:space="preserve">GGCCTGGCTGGCGACCGAGG</t>
  </si>
  <si>
    <t xml:space="preserve">TAGTGGCCTGGCTGGCGACCGAGG</t>
  </si>
  <si>
    <t xml:space="preserve">AAACCCTCGGTCGCCAGCCAGGCC</t>
  </si>
  <si>
    <t xml:space="preserve">CACACGCATCACCAGCGGAC</t>
  </si>
  <si>
    <t xml:space="preserve">TAGTCACACGCATCACCAGCGGAC</t>
  </si>
  <si>
    <t xml:space="preserve">AAACGTCCGCTGGTGATGCGTGTG</t>
  </si>
  <si>
    <t xml:space="preserve">GATCAGGTGCGCCAGGGCGC</t>
  </si>
  <si>
    <t xml:space="preserve">TAGTGATCAGGTGCGCCAGGGCGC</t>
  </si>
  <si>
    <t xml:space="preserve">AAACGCGCCCTGGCGCACCTGATC</t>
  </si>
  <si>
    <t xml:space="preserve">PST_1312</t>
  </si>
  <si>
    <t xml:space="preserve">tpmA</t>
  </si>
  <si>
    <t xml:space="preserve">GCAGCCAGCGCTGGTTGTCG</t>
  </si>
  <si>
    <t xml:space="preserve">TAGTGCAGCCAGCGCTGGTTGTCG</t>
  </si>
  <si>
    <t xml:space="preserve">AAACCGACAACCAGCGCTGGCTGC</t>
  </si>
  <si>
    <t xml:space="preserve">CGTGCTGGTGGAAATCGGTG</t>
  </si>
  <si>
    <t xml:space="preserve">TAGTCGTGCTGGTGGAAATCGGTG</t>
  </si>
  <si>
    <t xml:space="preserve">AAACCACCGATTTCCACCAGCACG</t>
  </si>
  <si>
    <t xml:space="preserve">GCCAGAAGCGGCTGAGCAGC</t>
  </si>
  <si>
    <t xml:space="preserve">TAGTGCCAGAAGCGGCTGAGCAGC</t>
  </si>
  <si>
    <t xml:space="preserve">AAACGCTGCTCAGCCGCTTCTGGC</t>
  </si>
  <si>
    <t xml:space="preserve">GGCGTGGCCGGGGCGAACGC</t>
  </si>
  <si>
    <t xml:space="preserve">TAGTGGCGTGGCCGGGGCGAACGC</t>
  </si>
  <si>
    <t xml:space="preserve">AAACGCGTTCGCCCCGGCCACGCC</t>
  </si>
  <si>
    <t xml:space="preserve">PST_1313</t>
  </si>
  <si>
    <t xml:space="preserve">nifA</t>
  </si>
  <si>
    <t xml:space="preserve">GCTGGGGCGTTCGGCGAATG</t>
  </si>
  <si>
    <t xml:space="preserve">TAGTGCTGGGGCGTTCGGCGAATG</t>
  </si>
  <si>
    <t xml:space="preserve">AAACCATTCGCCGAACGCCCCAGC</t>
  </si>
  <si>
    <t xml:space="preserve">TCCAGCAGTTCGTTGCGGGT</t>
  </si>
  <si>
    <t xml:space="preserve">TAGTTCCAGCAGTTCGTTGCGGGT</t>
  </si>
  <si>
    <t xml:space="preserve">AAACACCCGCAACGAACTGCTGGA</t>
  </si>
  <si>
    <t xml:space="preserve">CTGCGCCAGCGCCTGCAGTT</t>
  </si>
  <si>
    <t xml:space="preserve">TAGTCTGCGCCAGCGCCTGCAGTT</t>
  </si>
  <si>
    <t xml:space="preserve">AAACAACTGCAGGCGCTGGCGCAG</t>
  </si>
  <si>
    <t xml:space="preserve">CCGGCCGCGGTTAAGGATGC</t>
  </si>
  <si>
    <t xml:space="preserve">TAGTCCGGCCGCGGTTAAGGATGC</t>
  </si>
  <si>
    <t xml:space="preserve">AAACGCATCCTTAACCGCGGCCGG</t>
  </si>
  <si>
    <t xml:space="preserve">PST_1314</t>
  </si>
  <si>
    <t xml:space="preserve">nifL</t>
  </si>
  <si>
    <t xml:space="preserve">CGAAGCCGACGTCTGTGCGC</t>
  </si>
  <si>
    <t xml:space="preserve">TAGTCGAAGCCGACGTCTGTGCGC</t>
  </si>
  <si>
    <t xml:space="preserve">AAACGCGCACAGACGTCGGCTTCG</t>
  </si>
  <si>
    <t xml:space="preserve">TGTGCATGTCCTCATCGATG</t>
  </si>
  <si>
    <t xml:space="preserve">TAGTTGTGCATGTCCTCATCGATG</t>
  </si>
  <si>
    <t xml:space="preserve">AAACCATCGATGAGGACATGCACA</t>
  </si>
  <si>
    <t xml:space="preserve">GTCGCGCTCGGGGGTGGCCT</t>
  </si>
  <si>
    <t xml:space="preserve">TAGTGTCGCGCTCGGGGGTGGCCT</t>
  </si>
  <si>
    <t xml:space="preserve">AAACAGGCCACCCCCGAGCGCGAC</t>
  </si>
  <si>
    <t xml:space="preserve">GCCAATCCATCGGACGCAGC</t>
  </si>
  <si>
    <t xml:space="preserve">TAGTGCCAATCCATCGGACGCAGC</t>
  </si>
  <si>
    <t xml:space="preserve">AAACGCTGCGTCCGATGGATTGGC</t>
  </si>
  <si>
    <t xml:space="preserve">PST_1315</t>
  </si>
  <si>
    <t xml:space="preserve">rnfA</t>
  </si>
  <si>
    <t xml:space="preserve">CACCACGTTGTTGACCAGCA</t>
  </si>
  <si>
    <t xml:space="preserve">TAGTCACCACGTTGTTGACCAGCA</t>
  </si>
  <si>
    <t xml:space="preserve">AAACTGCTGGTCAACAACGTGGTG</t>
  </si>
  <si>
    <t xml:space="preserve">CCATGAACGGACACAGGCCG</t>
  </si>
  <si>
    <t xml:space="preserve">TAGTCCATGAACGGACACAGGCCG</t>
  </si>
  <si>
    <t xml:space="preserve">AAACCGGCCTGTGTCCGTTCATGG</t>
  </si>
  <si>
    <t xml:space="preserve">CAGCGAGGGGTCGAGCTTGC</t>
  </si>
  <si>
    <t xml:space="preserve">TAGTCAGCGAGGGGTCGAGCTTGC</t>
  </si>
  <si>
    <t xml:space="preserve">AAACGCAAGCTCGACCCCTCGCTG</t>
  </si>
  <si>
    <t xml:space="preserve">CGCCGCCCAGGGTCATCACC</t>
  </si>
  <si>
    <t xml:space="preserve">TAGTCGCCGCCCAGGGTCATCACC</t>
  </si>
  <si>
    <t xml:space="preserve">AAACGGTGATGACCCTGGGCGGCG</t>
  </si>
  <si>
    <t xml:space="preserve">PST_1316</t>
  </si>
  <si>
    <t xml:space="preserve">rnfB</t>
  </si>
  <si>
    <t xml:space="preserve">GATAGCGCGCCGCCAGACCG</t>
  </si>
  <si>
    <t xml:space="preserve">TAGTGATAGCGCGCCGCCAGACCG</t>
  </si>
  <si>
    <t xml:space="preserve">AAACCGGTCTGGCGGCGCGCTATC</t>
  </si>
  <si>
    <t xml:space="preserve">CCTCGATTTCCTTGATCAGC</t>
  </si>
  <si>
    <t xml:space="preserve">TAGTCCTCGATTTCCTTGATCAGC</t>
  </si>
  <si>
    <t xml:space="preserve">AAACGCTGATCAAGGAAATCGAGG</t>
  </si>
  <si>
    <t xml:space="preserve">CATTGCCCGCACTGGCTGCC</t>
  </si>
  <si>
    <t xml:space="preserve">TAGTCATTGCCCGCACTGGCTGCC</t>
  </si>
  <si>
    <t xml:space="preserve">AAACGGCAGCCAGTGCGGGCAATG</t>
  </si>
  <si>
    <t xml:space="preserve">TCGGCCGCCGCACTGCAACC</t>
  </si>
  <si>
    <t xml:space="preserve">TAGTTCGGCCGCCGCACTGCAACC</t>
  </si>
  <si>
    <t xml:space="preserve">AAACGGTTGCAGTGCGGCGGCCGA</t>
  </si>
  <si>
    <t xml:space="preserve">PST_1317</t>
  </si>
  <si>
    <t xml:space="preserve">rnfC</t>
  </si>
  <si>
    <t xml:space="preserve">TGCCGCCGCGAAAATGCGCG</t>
  </si>
  <si>
    <t xml:space="preserve">TAGTTGCCGCCGCGAAAATGCGCG</t>
  </si>
  <si>
    <t xml:space="preserve">AAACCGCGCATTTTCGCGGCGGCA</t>
  </si>
  <si>
    <t xml:space="preserve">GGTCCTTGTGGGCGGCGGGA</t>
  </si>
  <si>
    <t xml:space="preserve">TAGTGGTCCTTGTGGGCGGCGGGA</t>
  </si>
  <si>
    <t xml:space="preserve">AAACTCCCGCCGCCCACAAGGACC</t>
  </si>
  <si>
    <t xml:space="preserve">CGATGCCGAGGGCGGCCGAG</t>
  </si>
  <si>
    <t xml:space="preserve">TAGTCGATGCCGAGGGCGGCCGAG</t>
  </si>
  <si>
    <t xml:space="preserve">AAACCTCGGCCGCCCTCGGCATCG</t>
  </si>
  <si>
    <t xml:space="preserve">GCGCGGCGGCAGCGGCTGCA</t>
  </si>
  <si>
    <t xml:space="preserve">TAGTGCGCGGCGGCAGCGGCTGCA</t>
  </si>
  <si>
    <t xml:space="preserve">AAACTGCAGCCGCTGCCGCCGCGC</t>
  </si>
  <si>
    <t xml:space="preserve">PST_1318</t>
  </si>
  <si>
    <t xml:space="preserve">rnfD</t>
  </si>
  <si>
    <t xml:space="preserve">GAGGAGCGATCATGGGCGAA</t>
  </si>
  <si>
    <t xml:space="preserve">TAGTGAGGAGCGATCATGGGCGAA</t>
  </si>
  <si>
    <t xml:space="preserve">AAACTTCGCCCATGATCGCTCCTC</t>
  </si>
  <si>
    <t xml:space="preserve">GGCAGACGTGCAGCATGATG</t>
  </si>
  <si>
    <t xml:space="preserve">TAGTGGCAGACGTGCAGCATGATG</t>
  </si>
  <si>
    <t xml:space="preserve">AAACCATCATGCTGCACGTCTGCC</t>
  </si>
  <si>
    <t xml:space="preserve">CCGTCGTCGGCAGCAACGCC</t>
  </si>
  <si>
    <t xml:space="preserve">TAGTCCGTCGTCGGCAGCAACGCC</t>
  </si>
  <si>
    <t xml:space="preserve">AAACGGCGTTGCTGCCGACGACGG</t>
  </si>
  <si>
    <t xml:space="preserve">GCCGAACAGATACAGGCCCC</t>
  </si>
  <si>
    <t xml:space="preserve">TAGTGCCGAACAGATACAGGCCCC</t>
  </si>
  <si>
    <t xml:space="preserve">AAACGGGGCCTGTATCTGTTCGGC</t>
  </si>
  <si>
    <t xml:space="preserve">PST_1319</t>
  </si>
  <si>
    <t xml:space="preserve">rnfG</t>
  </si>
  <si>
    <t xml:space="preserve">GTCTGCCACGGGCGGCGTCT</t>
  </si>
  <si>
    <t xml:space="preserve">TAGTGTCTGCCACGGGCGGCGTCT</t>
  </si>
  <si>
    <t xml:space="preserve">AAACAGACGCCGCCCGTGGCAGAC</t>
  </si>
  <si>
    <t xml:space="preserve">AGGCCGGGTCGGGTGAGCGG</t>
  </si>
  <si>
    <t xml:space="preserve">TAGTAGGCCGGGTCGGGTGAGCGG</t>
  </si>
  <si>
    <t xml:space="preserve">AAACCCGCTCACCCGACCCGGCCT</t>
  </si>
  <si>
    <t xml:space="preserve">GCTCGCGCCAGGTCTCGACC</t>
  </si>
  <si>
    <t xml:space="preserve">TAGTGCTCGCGCCAGGTCTCGACC</t>
  </si>
  <si>
    <t xml:space="preserve">AAACGGTCGAGACCTGGCGCGAGC</t>
  </si>
  <si>
    <t xml:space="preserve">CCAAGCCCAGCGACAGCGCC</t>
  </si>
  <si>
    <t xml:space="preserve">TAGTCCAAGCCCAGCGACAGCGCC</t>
  </si>
  <si>
    <t xml:space="preserve">AAACGGCGCTGTCGCTGGGCTTGG</t>
  </si>
  <si>
    <t xml:space="preserve">PST_1320</t>
  </si>
  <si>
    <t xml:space="preserve">rnfE</t>
  </si>
  <si>
    <t xml:space="preserve">TGACATCCGCTGATCCGCAT</t>
  </si>
  <si>
    <t xml:space="preserve">TAGTTGACATCCGCTGATCCGCAT</t>
  </si>
  <si>
    <t xml:space="preserve">AAACATGCGGATCAGCGGATGTCA</t>
  </si>
  <si>
    <t xml:space="preserve">TTGAACAGCCCCTTGGGCTT</t>
  </si>
  <si>
    <t xml:space="preserve">TAGTTTGAACAGCCCCTTGGGCTT</t>
  </si>
  <si>
    <t xml:space="preserve">AAACAAGCCCAAGGGGCTGTTCAA</t>
  </si>
  <si>
    <t xml:space="preserve">CAACGCGAGCATCTGCACCA</t>
  </si>
  <si>
    <t xml:space="preserve">TAGTCAACGCGAGCATCTGCACCA</t>
  </si>
  <si>
    <t xml:space="preserve">AAACTGGTGCAGATGCTCGCGTTG</t>
  </si>
  <si>
    <t xml:space="preserve">CAGGCCGTTGGTAGCGGTGG</t>
  </si>
  <si>
    <t xml:space="preserve">TAGTCAGGCCGTTGGTAGCGGTGG</t>
  </si>
  <si>
    <t xml:space="preserve">AAACCCACCGCTACCAACGGCCTG</t>
  </si>
  <si>
    <t xml:space="preserve">PST_1321</t>
  </si>
  <si>
    <t xml:space="preserve">rnfH</t>
  </si>
  <si>
    <t xml:space="preserve">CCGGGGTGCGGCGTATACAA</t>
  </si>
  <si>
    <t xml:space="preserve">TAGTCCGGGGTGCGGCGTATACAA</t>
  </si>
  <si>
    <t xml:space="preserve">AAACTTGTATACGCCGCACCCCGG</t>
  </si>
  <si>
    <t xml:space="preserve">ACCCGGCAATCGAACAGCAG</t>
  </si>
  <si>
    <t xml:space="preserve">TAGTACCCGGCAATCGAACAGCAG</t>
  </si>
  <si>
    <t xml:space="preserve">AAACCTGCTGTTCGATTGCCGGGT</t>
  </si>
  <si>
    <t xml:space="preserve">CTCGATGGCCTCGGCCACGC</t>
  </si>
  <si>
    <t xml:space="preserve">TAGTCTCGATGGCCTCGGCCACGC</t>
  </si>
  <si>
    <t xml:space="preserve">AAACGCGTGGCCGAGGCCATCGAG</t>
  </si>
  <si>
    <t xml:space="preserve">CGGGCAGTAGCGCAGCACCC</t>
  </si>
  <si>
    <t xml:space="preserve">TAGTCGGGCAGTAGCGCAGCACCC</t>
  </si>
  <si>
    <t xml:space="preserve">AAACGGGTGCTGCGCTACTGCCCG</t>
  </si>
  <si>
    <t xml:space="preserve">PST_1322</t>
  </si>
  <si>
    <t xml:space="preserve">nifY2</t>
  </si>
  <si>
    <t xml:space="preserve">CTCGGGGGCTGGCTGTTCAT</t>
  </si>
  <si>
    <t xml:space="preserve">TAGTCTCGGGGGCTGGCTGTTCAT</t>
  </si>
  <si>
    <t xml:space="preserve">AAACATGAACAGCCAGCCCCCGAG</t>
  </si>
  <si>
    <t xml:space="preserve">CGATGCGTAATGCGGTTTCA</t>
  </si>
  <si>
    <t xml:space="preserve">TAGTCGATGCGTAATGCGGTTTCA</t>
  </si>
  <si>
    <t xml:space="preserve">AAACTGAAACCGCATTACGCATCG</t>
  </si>
  <si>
    <t xml:space="preserve">GCCCACCTCGGGCAATGCCC</t>
  </si>
  <si>
    <t xml:space="preserve">TAGTGCCCACCTCGGGCAATGCCC</t>
  </si>
  <si>
    <t xml:space="preserve">AAACGGGCATTGCCCGAGGTGGGC</t>
  </si>
  <si>
    <t xml:space="preserve">GGTGCAGGATATCCAGCAAC</t>
  </si>
  <si>
    <t xml:space="preserve">TAGTGGTGCAGGATATCCAGCAAC</t>
  </si>
  <si>
    <t xml:space="preserve">AAACGTTGCTGGATATCCTGCACC</t>
  </si>
  <si>
    <t xml:space="preserve">PST_1323</t>
  </si>
  <si>
    <t xml:space="preserve">GCCCTGGCGGTCGATGGCCA</t>
  </si>
  <si>
    <t xml:space="preserve">TAGTGCCCTGGCGGTCGATGGCCA</t>
  </si>
  <si>
    <t xml:space="preserve">AAACTGGCCATCGACCGCCAGGGC</t>
  </si>
  <si>
    <t xml:space="preserve">GTGCGCCCGACCGGCGTGAC</t>
  </si>
  <si>
    <t xml:space="preserve">TAGTGTGCGCCCGACCGGCGTGAC</t>
  </si>
  <si>
    <t xml:space="preserve">AAACGTCACGCCGGTCGGGCGCAC</t>
  </si>
  <si>
    <t xml:space="preserve">AGATGTCGTACACCTGCCAG</t>
  </si>
  <si>
    <t xml:space="preserve">TAGTAGATGTCGTACACCTGCCAG</t>
  </si>
  <si>
    <t xml:space="preserve">AAACCTGGCAGGTGTACGACATCT</t>
  </si>
  <si>
    <t xml:space="preserve">ACGGATTCCGGCGCCTCGCC</t>
  </si>
  <si>
    <t xml:space="preserve">TAGTACGGATTCCGGCGCCTCGCC</t>
  </si>
  <si>
    <t xml:space="preserve">AAACGGCGAGGCGCCGGAATCCGT</t>
  </si>
  <si>
    <t xml:space="preserve">PST_1324</t>
  </si>
  <si>
    <t xml:space="preserve">TTCGTAGGTTTTCAACAGCA</t>
  </si>
  <si>
    <t xml:space="preserve">TAGTTTCGTAGGTTTTCAACAGCA</t>
  </si>
  <si>
    <t xml:space="preserve">AAACTGCTGTTGAAAACCTACGAA</t>
  </si>
  <si>
    <t xml:space="preserve">TGACGCTGACGTTGCACAGC</t>
  </si>
  <si>
    <t xml:space="preserve">TAGTTGACGCTGACGTTGCACAGC</t>
  </si>
  <si>
    <t xml:space="preserve">AAACGCTGTGCAACGTCAGCGTCA</t>
  </si>
  <si>
    <t xml:space="preserve">CTTCGAGCACCAGGTCGCCG</t>
  </si>
  <si>
    <t xml:space="preserve">TAGTCTTCGAGCACCAGGTCGCCG</t>
  </si>
  <si>
    <t xml:space="preserve">AAACCGGCGACCTGGTGCTCGAAG</t>
  </si>
  <si>
    <t xml:space="preserve">CAGGCGGCGGCCGGAGGCGT</t>
  </si>
  <si>
    <t xml:space="preserve">TAGTCAGGCGGCGGCCGGAGGCGT</t>
  </si>
  <si>
    <t xml:space="preserve">AAACACGCCTCCGGCCGCCGCCTG</t>
  </si>
  <si>
    <t xml:space="preserve">PST_1325</t>
  </si>
  <si>
    <t xml:space="preserve">TTCCTGCAAAGGATCGTTCA</t>
  </si>
  <si>
    <t xml:space="preserve">TAGTTTCCTGCAAAGGATCGTTCA</t>
  </si>
  <si>
    <t xml:space="preserve">AAACTGAACGATCCTTTGCAGGAA</t>
  </si>
  <si>
    <t xml:space="preserve">TTCATGGGCGGCGAGGCGGT</t>
  </si>
  <si>
    <t xml:space="preserve">TAGTTTCATGGGCGGCGAGGCGGT</t>
  </si>
  <si>
    <t xml:space="preserve">AAACACCGCCTCGCCGCCCATGAA</t>
  </si>
  <si>
    <t xml:space="preserve">AGCACACCGGGGCCCAGATA</t>
  </si>
  <si>
    <t xml:space="preserve">TAGTAGCACACCGGGGCCCAGATA</t>
  </si>
  <si>
    <t xml:space="preserve">AAACTATCTGGGCCCCGGTGTGCT</t>
  </si>
  <si>
    <t xml:space="preserve">GCATCGGCTGACCTGTGTCG</t>
  </si>
  <si>
    <t xml:space="preserve">TAGTGCATCGGCTGACCTGTGTCG</t>
  </si>
  <si>
    <t xml:space="preserve">AAACCGACACAGGTCAGCCGATGC</t>
  </si>
  <si>
    <t xml:space="preserve">PST_1326</t>
  </si>
  <si>
    <t xml:space="preserve">nifH</t>
  </si>
  <si>
    <t xml:space="preserve">CACGAGGTTCTGGGTCGTGG</t>
  </si>
  <si>
    <t xml:space="preserve">TAGTCACGAGGTTCTGGGTCGTGG</t>
  </si>
  <si>
    <t xml:space="preserve">AAACCCACGACCCAGAACCTCGTG</t>
  </si>
  <si>
    <t xml:space="preserve">CTTCTTGCCGAGTTCGGCCA</t>
  </si>
  <si>
    <t xml:space="preserve">TAGTCTTCTTGCCGAGTTCGGCCA</t>
  </si>
  <si>
    <t xml:space="preserve">AAACTGGCCGAACTCGGCAAGAAG</t>
  </si>
  <si>
    <t xml:space="preserve">GGCGAGTGGAGTCGGCCTTG</t>
  </si>
  <si>
    <t xml:space="preserve">TAGTGGCGAGTGGAGTCGGCCTTG</t>
  </si>
  <si>
    <t xml:space="preserve">AAACCAAGGCCGACTCCACTCGCC</t>
  </si>
  <si>
    <t xml:space="preserve">GCGCCTTGGAGTGCAGGATC</t>
  </si>
  <si>
    <t xml:space="preserve">TAGTGCGCCTTGGAGTGCAGGATC</t>
  </si>
  <si>
    <t xml:space="preserve">AAACGATCCTGCACTCCAAGGCGC</t>
  </si>
  <si>
    <t xml:space="preserve">PST_1327</t>
  </si>
  <si>
    <t xml:space="preserve">nifD</t>
  </si>
  <si>
    <t xml:space="preserve">CACCTCTTCGCGGGACATAC</t>
  </si>
  <si>
    <t xml:space="preserve">TAGTCACCTCTTCGCGGGACATAC</t>
  </si>
  <si>
    <t xml:space="preserve">AAACGTATGTCCCGCGAAGAGGTG</t>
  </si>
  <si>
    <t xml:space="preserve">TTCCAGGACTTCCTGGATGA</t>
  </si>
  <si>
    <t xml:space="preserve">TAGTTTCCAGGACTTCCTGGATGA</t>
  </si>
  <si>
    <t xml:space="preserve">AAACTCATCCAGGAAGTCCTGGAA</t>
  </si>
  <si>
    <t xml:space="preserve">CGGTCCTTGCGGGCCTTCTC</t>
  </si>
  <si>
    <t xml:space="preserve">TAGTCGGTCCTTGCGGGCCTTCTC</t>
  </si>
  <si>
    <t xml:space="preserve">AAACGAGAAGGCCCGCAAGGACCG</t>
  </si>
  <si>
    <t xml:space="preserve">TGGGCGACAAGTGCTTGGCG</t>
  </si>
  <si>
    <t xml:space="preserve">TAGTTGGGCGACAAGTGCTTGGCG</t>
  </si>
  <si>
    <t xml:space="preserve">AAACCGCCAAGCACTTGTCGCCCA</t>
  </si>
  <si>
    <t xml:space="preserve">PST_1328</t>
  </si>
  <si>
    <t xml:space="preserve">nifK</t>
  </si>
  <si>
    <t xml:space="preserve">GTTTGATGTTATCGACTTGC</t>
  </si>
  <si>
    <t xml:space="preserve">TAGTGTTTGATGTTATCGACTTGC</t>
  </si>
  <si>
    <t xml:space="preserve">AAACGCAAGTCGATAACATCAAAC</t>
  </si>
  <si>
    <t xml:space="preserve">TCGCGGAACAGCGGATAGCT</t>
  </si>
  <si>
    <t xml:space="preserve">TAGTTCGCGGAACAGCGGATAGCT</t>
  </si>
  <si>
    <t xml:space="preserve">AAACAGCTATCCGCTGTTCCGCGA</t>
  </si>
  <si>
    <t xml:space="preserve">CTCGAAGGCATCGCGCTTCT</t>
  </si>
  <si>
    <t xml:space="preserve">TAGTCTCGAAGGCATCGCGCTTCT</t>
  </si>
  <si>
    <t xml:space="preserve">AAACAGAAGCGCGATGCCTTCGAG</t>
  </si>
  <si>
    <t xml:space="preserve">ACTTCGTCGATCTTGTCCTG</t>
  </si>
  <si>
    <t xml:space="preserve">TAGTACTTCGTCGATCTTGTCCTG</t>
  </si>
  <si>
    <t xml:space="preserve">AAACCAGGACAAGATCGACGAAGT</t>
  </si>
  <si>
    <t xml:space="preserve">PST_1329</t>
  </si>
  <si>
    <t xml:space="preserve">nifT</t>
  </si>
  <si>
    <t xml:space="preserve">CTGATCATGACACTGGGCAT</t>
  </si>
  <si>
    <t xml:space="preserve">TAGTCTGATCATGACACTGGGCAT</t>
  </si>
  <si>
    <t xml:space="preserve">AAACATGCCCAGTGTCATGATCAG</t>
  </si>
  <si>
    <t xml:space="preserve">TCAGCTGGCCATTCTTGTTA</t>
  </si>
  <si>
    <t xml:space="preserve">TAGTTCAGCTGGCCATTCTTGTTA</t>
  </si>
  <si>
    <t xml:space="preserve">AAACTAACAAGAATGGCCAGCTGA</t>
  </si>
  <si>
    <t xml:space="preserve">GTCCTTCTTGGCGATGTAGA</t>
  </si>
  <si>
    <t xml:space="preserve">TAGTGTCCTTCTTGGCGATGTAGA</t>
  </si>
  <si>
    <t xml:space="preserve">AAACTCTACATCGCCAAGAAGGAC</t>
  </si>
  <si>
    <t xml:space="preserve">GGCTGACGACGATTTCTTCC</t>
  </si>
  <si>
    <t xml:space="preserve">TAGTGGCTGACGACGATTTCTTCC</t>
  </si>
  <si>
    <t xml:space="preserve">AAACGGAAGAAATCGTCGTCAGCC</t>
  </si>
  <si>
    <t xml:space="preserve">PST_1330</t>
  </si>
  <si>
    <t xml:space="preserve">nifY</t>
  </si>
  <si>
    <t xml:space="preserve">AGCGGAGCCCGTCCGTTGCT</t>
  </si>
  <si>
    <t xml:space="preserve">TAGTAGCGGAGCCCGTCCGTTGCT</t>
  </si>
  <si>
    <t xml:space="preserve">AAACAGCAACGGACGGGCTCCGCT</t>
  </si>
  <si>
    <t xml:space="preserve">ATGCGCAGGGCCAGGTGAGC</t>
  </si>
  <si>
    <t xml:space="preserve">TAGTATGCGCAGGGCCAGGTGAGC</t>
  </si>
  <si>
    <t xml:space="preserve">AAACGCTCACCTGGCCCTGCGCAT</t>
  </si>
  <si>
    <t xml:space="preserve">GTTCAGCTCGCGCGCCGCCA</t>
  </si>
  <si>
    <t xml:space="preserve">TAGTGTTCAGCTCGCGCGCCGCCA</t>
  </si>
  <si>
    <t xml:space="preserve">AAACTGGCGGCGCGCGAGCTGAAC</t>
  </si>
  <si>
    <t xml:space="preserve">CAGGGTGCGCAGCAGTTGCC</t>
  </si>
  <si>
    <t xml:space="preserve">TAGTCAGGGTGCGCAGCAGTTGCC</t>
  </si>
  <si>
    <t xml:space="preserve">AAACGGCAACTGCTGCGCACCCTG</t>
  </si>
  <si>
    <t xml:space="preserve">PST_1331</t>
  </si>
  <si>
    <t xml:space="preserve">GCGGATGACCGCGTCGAGCT</t>
  </si>
  <si>
    <t xml:space="preserve">TAGTGCGGATGACCGCGTCGAGCT</t>
  </si>
  <si>
    <t xml:space="preserve">AAACAGCTCGACGCGGTCATCCGC</t>
  </si>
  <si>
    <t xml:space="preserve">TCAGCGGGCCGTTCTCGGCC</t>
  </si>
  <si>
    <t xml:space="preserve">TAGTTCAGCGGGCCGTTCTCGGCC</t>
  </si>
  <si>
    <t xml:space="preserve">AAACGGCCGAGAACGGCCCGCTGA</t>
  </si>
  <si>
    <t xml:space="preserve">AGGGTGCTCGCTGCGCAGCC</t>
  </si>
  <si>
    <t xml:space="preserve">TAGTAGGGTGCTCGCTGCGCAGCC</t>
  </si>
  <si>
    <t xml:space="preserve">AAACGGCTGCGCAGCGAGCACCCT</t>
  </si>
  <si>
    <t xml:space="preserve">CAACAGGTGAAGTGGATACC</t>
  </si>
  <si>
    <t xml:space="preserve">TAGTCAACAGGTGAAGTGGATACC</t>
  </si>
  <si>
    <t xml:space="preserve">AAACGGTATCCACTTCACCTGTTG</t>
  </si>
  <si>
    <t xml:space="preserve">PST_1332</t>
  </si>
  <si>
    <t xml:space="preserve">GCACCGCCTCGTCGACGTCG</t>
  </si>
  <si>
    <t xml:space="preserve">TAGTGCACCGCCTCGTCGACGTCG</t>
  </si>
  <si>
    <t xml:space="preserve">AAACCGACGTCGACGAGGCGGTGC</t>
  </si>
  <si>
    <t xml:space="preserve">GCGCGGCAGGCGGTAGGCGA</t>
  </si>
  <si>
    <t xml:space="preserve">TAGTGCGCGGCAGGCGGTAGGCGA</t>
  </si>
  <si>
    <t xml:space="preserve">AAACTCGCCTACCGCCTGCCGCGC</t>
  </si>
  <si>
    <t xml:space="preserve">GGTCGCGCATGAGTTCGCCC</t>
  </si>
  <si>
    <t xml:space="preserve">TAGTGGTCGCGCATGAGTTCGCCC</t>
  </si>
  <si>
    <t xml:space="preserve">AAACGGGCGAACTCATGCGCGACC</t>
  </si>
  <si>
    <t xml:space="preserve">TGATGCGTACTTCCCGATCC</t>
  </si>
  <si>
    <t xml:space="preserve">TAGTTGATGCGTACTTCCCGATCC</t>
  </si>
  <si>
    <t xml:space="preserve">AAACGGATCGGGAAGTACGCATCA</t>
  </si>
  <si>
    <t xml:space="preserve">PST_1333</t>
  </si>
  <si>
    <t xml:space="preserve">nifE</t>
  </si>
  <si>
    <t xml:space="preserve">TTCTTGTTGTGCGTGCAGGC</t>
  </si>
  <si>
    <t xml:space="preserve">TAGTTTCTTGTTGTGCGTGCAGGC</t>
  </si>
  <si>
    <t xml:space="preserve">AAACGCCTGCACGCACAACAAGAA</t>
  </si>
  <si>
    <t xml:space="preserve">CAGCCGCCATCGGTGGCGCC</t>
  </si>
  <si>
    <t xml:space="preserve">TAGTCAGCCGCCATCGGTGGCGCC</t>
  </si>
  <si>
    <t xml:space="preserve">AAACGGCGCCACCGATGGCGGCTG</t>
  </si>
  <si>
    <t xml:space="preserve">CGCGATCTGCGCGCCGTCGA</t>
  </si>
  <si>
    <t xml:space="preserve">TAGTCGCGATCTGCGCGCCGTCGA</t>
  </si>
  <si>
    <t xml:space="preserve">AAACTCGACGGCGCGCAGATCGCG</t>
  </si>
  <si>
    <t xml:space="preserve">ATGGACGATGTGCGCCACAT</t>
  </si>
  <si>
    <t xml:space="preserve">TAGTATGGACGATGTGCGCCACAT</t>
  </si>
  <si>
    <t xml:space="preserve">AAACATGTGGCGCACATCGTCCAT</t>
  </si>
  <si>
    <t xml:space="preserve">PST_1334</t>
  </si>
  <si>
    <t xml:space="preserve">nifN</t>
  </si>
  <si>
    <t xml:space="preserve">TGACCGCCAGCGCCTTGTTG</t>
  </si>
  <si>
    <t xml:space="preserve">TAGTTGACCGCCAGCGCCTTGTTG</t>
  </si>
  <si>
    <t xml:space="preserve">AAACCAACAAGGCGCTGGCGGTCA</t>
  </si>
  <si>
    <t xml:space="preserve">TGGTCTGGCTGGCCTTCAGC</t>
  </si>
  <si>
    <t xml:space="preserve">TAGTTGGTCTGGCTGGCCTTCAGC</t>
  </si>
  <si>
    <t xml:space="preserve">AAACGCTGAAGGCCAGCCAGACCA</t>
  </si>
  <si>
    <t xml:space="preserve">GAAGGCCAGCGCGGCACCCA</t>
  </si>
  <si>
    <t xml:space="preserve">TAGTGAAGGCCAGCGCGGCACCCA</t>
  </si>
  <si>
    <t xml:space="preserve">AAACTGGGTGCCGCGCTGGCCTTC</t>
  </si>
  <si>
    <t xml:space="preserve">GCATGCTGCGCGCCAGGCCG</t>
  </si>
  <si>
    <t xml:space="preserve">TAGTGCATGCTGCGCGCCAGGCCG</t>
  </si>
  <si>
    <t xml:space="preserve">AAACCGGCCTGGCGCGCAGCATGC</t>
  </si>
  <si>
    <t xml:space="preserve">PST_1335</t>
  </si>
  <si>
    <t xml:space="preserve">nifX</t>
  </si>
  <si>
    <t xml:space="preserve">TTGTCGGATGGGGCTGGCCA</t>
  </si>
  <si>
    <t xml:space="preserve">TAGTTTGTCGGATGGGGCTGGCCA</t>
  </si>
  <si>
    <t xml:space="preserve">AAACTGGCCAGCCCCATCCGACAA</t>
  </si>
  <si>
    <t xml:space="preserve">GCGCCGATCGGACGAGGCGA</t>
  </si>
  <si>
    <t xml:space="preserve">TAGTGCGCCGATCGGACGAGGCGA</t>
  </si>
  <si>
    <t xml:space="preserve">AAACTCGCCTCGTCCGATCGGCGC</t>
  </si>
  <si>
    <t xml:space="preserve">ACCGCGACGAACCGAAATGC</t>
  </si>
  <si>
    <t xml:space="preserve">TAGTACCGCGACGAACCGAAATGC</t>
  </si>
  <si>
    <t xml:space="preserve">AAACGCATTTCGGTTCGTCGCGGT</t>
  </si>
  <si>
    <t xml:space="preserve">ATTGCAGCTCGGCCCGCTCG</t>
  </si>
  <si>
    <t xml:space="preserve">TAGTATTGCAGCTCGGCCCGCTCG</t>
  </si>
  <si>
    <t xml:space="preserve">AAACCGAGCGGGCCGAGCTGCAAT</t>
  </si>
  <si>
    <t xml:space="preserve">PST_1336</t>
  </si>
  <si>
    <t xml:space="preserve">CACCGGGTCCTGCAGGGCCG</t>
  </si>
  <si>
    <t xml:space="preserve">TAGTCACCGGGTCCTGCAGGGCCG</t>
  </si>
  <si>
    <t xml:space="preserve">AAACCGGCCCTGCAGGACCCGGTG</t>
  </si>
  <si>
    <t xml:space="preserve">GTAGGTGCCGTAGCTGTCCA</t>
  </si>
  <si>
    <t xml:space="preserve">TAGTGTAGGTGCCGTAGCTGTCCA</t>
  </si>
  <si>
    <t xml:space="preserve">AAACTGGACAGCTACGGCACCTAC</t>
  </si>
  <si>
    <t xml:space="preserve">GAGCACCCGCGCGTCGCTCC</t>
  </si>
  <si>
    <t xml:space="preserve">TAGTGAGCACCCGCGCGTCGCTCC</t>
  </si>
  <si>
    <t xml:space="preserve">AAACGGAGCGACGCGCGGGTGCTC</t>
  </si>
  <si>
    <t xml:space="preserve">GCTCGCGGGTCAGCACCAGC</t>
  </si>
  <si>
    <t xml:space="preserve">TAGTGCTCGCGGGTCAGCACCAGC</t>
  </si>
  <si>
    <t xml:space="preserve">AAACGCTGGTGCTGACCCGCGAGC</t>
  </si>
  <si>
    <t xml:space="preserve">PST_1337</t>
  </si>
  <si>
    <t xml:space="preserve">CAACGCCTTGAGTTCCTCTT</t>
  </si>
  <si>
    <t xml:space="preserve">TAGTCAACGCCTTGAGTTCCTCTT</t>
  </si>
  <si>
    <t xml:space="preserve">AAACAAGAGGAACTCAAGGCGTTG</t>
  </si>
  <si>
    <t xml:space="preserve">CGGTGGCGATGCGCTTCTTC</t>
  </si>
  <si>
    <t xml:space="preserve">TAGTCGGTGGCGATGCGCTTCTTC</t>
  </si>
  <si>
    <t xml:space="preserve">AAACGAAGAAGCGCATCGCCACCG</t>
  </si>
  <si>
    <t xml:space="preserve">GTGGATCTGCGACGCCCATT</t>
  </si>
  <si>
    <t xml:space="preserve">TAGTGTGGATCTGCGACGCCCATT</t>
  </si>
  <si>
    <t xml:space="preserve">AAACAATGGGCGTCGCAGATCCAC</t>
  </si>
  <si>
    <t xml:space="preserve">TCAGCAGCCGGTCCTCGACC</t>
  </si>
  <si>
    <t xml:space="preserve">TAGTTCAGCAGCCGGTCCTCGACC</t>
  </si>
  <si>
    <t xml:space="preserve">AAACGGTCGAGGACCGGCTGCTGA</t>
  </si>
  <si>
    <t xml:space="preserve">PST_1338</t>
  </si>
  <si>
    <t xml:space="preserve">GGCGCCACCGCGCGTACGCC</t>
  </si>
  <si>
    <t xml:space="preserve">TAGTGGCGCCACCGCGCGTACGCC</t>
  </si>
  <si>
    <t xml:space="preserve">AAACGGCGTACGCGCGGTGGCGCC</t>
  </si>
  <si>
    <t xml:space="preserve">GACGAACTGCGGCACCCATT</t>
  </si>
  <si>
    <t xml:space="preserve">TAGTGACGAACTGCGGCACCCATT</t>
  </si>
  <si>
    <t xml:space="preserve">AAACAATGGGTGCCGCAGTTCGTC</t>
  </si>
  <si>
    <t xml:space="preserve">GCACTTCTGCGCATCGACGG</t>
  </si>
  <si>
    <t xml:space="preserve">TAGTGCACTTCTGCGCATCGACGG</t>
  </si>
  <si>
    <t xml:space="preserve">AAACCCGTCGATGCGCAGAAGTGC</t>
  </si>
  <si>
    <t xml:space="preserve">CCAGCTCGAACACGTCGCGC</t>
  </si>
  <si>
    <t xml:space="preserve">TAGTCCAGCTCGAACACGTCGCGC</t>
  </si>
  <si>
    <t xml:space="preserve">AAACGCGCGACGTGTTCGAGCTGG</t>
  </si>
  <si>
    <t xml:space="preserve">PST_1339</t>
  </si>
  <si>
    <t xml:space="preserve">AAGATGTGGTAGTCGGGTCT</t>
  </si>
  <si>
    <t xml:space="preserve">TAGTAAGATGTGGTAGTCGGGTCT</t>
  </si>
  <si>
    <t xml:space="preserve">AAACAGACCCGACTACCACATCTT</t>
  </si>
  <si>
    <t xml:space="preserve">CGCGCGGGTGCCCCTCGGCG</t>
  </si>
  <si>
    <t xml:space="preserve">TAGTCGCGCGGGTGCCCCTCGGCG</t>
  </si>
  <si>
    <t xml:space="preserve">AAACCGCCGAGGGGCACCCGCGCG</t>
  </si>
  <si>
    <t xml:space="preserve">CTGGGAGAAGGCGTCGAACA</t>
  </si>
  <si>
    <t xml:space="preserve">TAGTCTGGGAGAAGGCGTCGAACA</t>
  </si>
  <si>
    <t xml:space="preserve">AAACTGTTCGACGCCTTCTCCCAG</t>
  </si>
  <si>
    <t xml:space="preserve">GATCAGGTTGCGCCGGATCA</t>
  </si>
  <si>
    <t xml:space="preserve">TAGTGATCAGGTTGCGCCGGATCA</t>
  </si>
  <si>
    <t xml:space="preserve">AAACTGATCCGGCGCAACCTGATC</t>
  </si>
  <si>
    <t xml:space="preserve">PST_1340</t>
  </si>
  <si>
    <t xml:space="preserve">TCGGAAAAGAACGCCCGTTC</t>
  </si>
  <si>
    <t xml:space="preserve">TAGTTCGGAAAAGAACGCCCGTTC</t>
  </si>
  <si>
    <t xml:space="preserve">AAACGAACGGGCGTTCTTTTCCGA</t>
  </si>
  <si>
    <t xml:space="preserve">AGCGCAGCCCGGTCGGCGTG</t>
  </si>
  <si>
    <t xml:space="preserve">TAGTAGCGCAGCCCGGTCGGCGTG</t>
  </si>
  <si>
    <t xml:space="preserve">AAACCACGCCGACCGGGCTGCGCT</t>
  </si>
  <si>
    <t xml:space="preserve">GGCCGCGCGCGCTGTTCAGC</t>
  </si>
  <si>
    <t xml:space="preserve">TAGTGGCCGCGCGCGCTGTTCAGC</t>
  </si>
  <si>
    <t xml:space="preserve">AAACGCTGAACAGCGCGCGCGGCC</t>
  </si>
  <si>
    <t xml:space="preserve">CGACCGCCGCCGGATGCTCG</t>
  </si>
  <si>
    <t xml:space="preserve">TAGTCGACCGCCGCCGGATGCTCG</t>
  </si>
  <si>
    <t xml:space="preserve">AAACCGAGCATCCGGCGGCGGTCG</t>
  </si>
  <si>
    <t xml:space="preserve">PST_1341</t>
  </si>
  <si>
    <t xml:space="preserve">ACAGCGGCCGCGCCGCCTGC</t>
  </si>
  <si>
    <t xml:space="preserve">TAGTACAGCGGCCGCGCCGCCTGC</t>
  </si>
  <si>
    <t xml:space="preserve">AAACGCAGGCGGCGCGGCCGCTGT</t>
  </si>
  <si>
    <t xml:space="preserve">GGCAATCCTGCAGCGCGCGC</t>
  </si>
  <si>
    <t xml:space="preserve">TAGTGGCAATCCTGCAGCGCGCGC</t>
  </si>
  <si>
    <t xml:space="preserve">AAACGCGCGCGCTGCAGGATTGCC</t>
  </si>
  <si>
    <t xml:space="preserve">GGCGGATGGCCGAACGCTGC</t>
  </si>
  <si>
    <t xml:space="preserve">TAGTGGCGGATGGCCGAACGCTGC</t>
  </si>
  <si>
    <t xml:space="preserve">AAACGCAGCGTTCGGCCATCCGCC</t>
  </si>
  <si>
    <t xml:space="preserve">CACGCTCGTCGGGCAGTTGC</t>
  </si>
  <si>
    <t xml:space="preserve">TAGTCACGCTCGTCGGGCAGTTGC</t>
  </si>
  <si>
    <t xml:space="preserve">AAACGCAACTGCCCGACGAGCGTG</t>
  </si>
  <si>
    <t xml:space="preserve">PST_1342</t>
  </si>
  <si>
    <t xml:space="preserve">TTCGACGGTCCGCGCCTGCG</t>
  </si>
  <si>
    <t xml:space="preserve">TAGTTTCGACGGTCCGCGCCTGCG</t>
  </si>
  <si>
    <t xml:space="preserve">AAACCGCAGGCGCGGACCGTCGAA</t>
  </si>
  <si>
    <t xml:space="preserve">CCAGTGTCCAGTTCAACCCC</t>
  </si>
  <si>
    <t xml:space="preserve">TAGTCCAGTGTCCAGTTCAACCCC</t>
  </si>
  <si>
    <t xml:space="preserve">AAACGGGGTTGAACTGGACACTGG</t>
  </si>
  <si>
    <t xml:space="preserve">GCCCTGGTTGCCGTCGACTT</t>
  </si>
  <si>
    <t xml:space="preserve">TAGTGCCCTGGTTGCCGTCGACTT</t>
  </si>
  <si>
    <t xml:space="preserve">AAACAAGTCGACGGCAACCAGGGC</t>
  </si>
  <si>
    <t xml:space="preserve">CGGCACCTGGCGCGGGCTGA</t>
  </si>
  <si>
    <t xml:space="preserve">TAGTCGGCACCTGGCGCGGGCTGA</t>
  </si>
  <si>
    <t xml:space="preserve">AAACTCAGCCCGCGCCAGGTGCCG</t>
  </si>
  <si>
    <t xml:space="preserve">PST_1343</t>
  </si>
  <si>
    <t xml:space="preserve">TCAGCATCCGCCAGCCCAGC</t>
  </si>
  <si>
    <t xml:space="preserve">TAGTTCAGCATCCGCCAGCCCAGC</t>
  </si>
  <si>
    <t xml:space="preserve">AAACGCTGGGCTGGCGGATGCTGA</t>
  </si>
  <si>
    <t xml:space="preserve">AATGCAGGCGCGCGCTGACC</t>
  </si>
  <si>
    <t xml:space="preserve">TAGTAATGCAGGCGCGCGCTGACC</t>
  </si>
  <si>
    <t xml:space="preserve">AAACGGTCAGCGCGCGCCTGCATT</t>
  </si>
  <si>
    <t xml:space="preserve">CCCCGCCGCGCTGCGGCACG</t>
  </si>
  <si>
    <t xml:space="preserve">TAGTCCCCGCCGCGCTGCGGCACG</t>
  </si>
  <si>
    <t xml:space="preserve">AAACCGTGCCGCAGCGCGGCGGGG</t>
  </si>
  <si>
    <t xml:space="preserve">GCGAGGGCCGGAAGGGGCTG</t>
  </si>
  <si>
    <t xml:space="preserve">TAGTGCGAGGGCCGGAAGGGGCTG</t>
  </si>
  <si>
    <t xml:space="preserve">AAACCAGCCCCTTCCGGCCCTCGC</t>
  </si>
  <si>
    <t xml:space="preserve">PST_1344</t>
  </si>
  <si>
    <t xml:space="preserve">TGGAACCAGCGCCGAACGGC</t>
  </si>
  <si>
    <t xml:space="preserve">TAGTTGGAACCAGCGCCGAACGGC</t>
  </si>
  <si>
    <t xml:space="preserve">AAACGCCGTTCGGCGCTGGTTCCA</t>
  </si>
  <si>
    <t xml:space="preserve">GTTCTCTCTGTTGCGATGAC</t>
  </si>
  <si>
    <t xml:space="preserve">TAGTGTTCTCTCTGTTGCGATGAC</t>
  </si>
  <si>
    <t xml:space="preserve">AAACGTCATCGCAACAGAGAGAAC</t>
  </si>
  <si>
    <t xml:space="preserve">GGATTTCCTTGATGGACATA</t>
  </si>
  <si>
    <t xml:space="preserve">TAGTGGATTTCCTTGATGGACATA</t>
  </si>
  <si>
    <t xml:space="preserve">AAACTATGTCCATCAAGGAAATCC</t>
  </si>
  <si>
    <t xml:space="preserve">GGGCTTGGTTCGAGAAGGCT</t>
  </si>
  <si>
    <t xml:space="preserve">TAGTGGGCTTGGTTCGAGAAGGCT</t>
  </si>
  <si>
    <t xml:space="preserve">AAACAGCCTTCTCGAACCAAGCCC</t>
  </si>
  <si>
    <t xml:space="preserve">PST_1345</t>
  </si>
  <si>
    <t xml:space="preserve">modC</t>
  </si>
  <si>
    <t xml:space="preserve">GCGTGGATCTGCCCGGCGGT</t>
  </si>
  <si>
    <t xml:space="preserve">TAGTGCGTGGATCTGCCCGGCGGT</t>
  </si>
  <si>
    <t xml:space="preserve">AAACACCGCCGGGCAGATCCACGC</t>
  </si>
  <si>
    <t xml:space="preserve">GGGCCAGGTCAGGCGGAAGC</t>
  </si>
  <si>
    <t xml:space="preserve">TAGTGGGCCAGGTCAGGCGGAAGC</t>
  </si>
  <si>
    <t xml:space="preserve">AAACGCTTCCGCCTGACCTGGCCC</t>
  </si>
  <si>
    <t xml:space="preserve">TCGACGTCCAGTTCGAAGCC</t>
  </si>
  <si>
    <t xml:space="preserve">TAGTTCGACGTCCAGTTCGAAGCC</t>
  </si>
  <si>
    <t xml:space="preserve">AAACGGCTTCGAACTGGACGTCGA</t>
  </si>
  <si>
    <t xml:space="preserve">CGCCGCGGCCAGGCAGGGCG</t>
  </si>
  <si>
    <t xml:space="preserve">TAGTCGCCGCGGCCAGGCAGGGCG</t>
  </si>
  <si>
    <t xml:space="preserve">AAACCGCCCTGCCTGGCCGCGGCG</t>
  </si>
  <si>
    <t xml:space="preserve">PST_1346</t>
  </si>
  <si>
    <t xml:space="preserve">modB</t>
  </si>
  <si>
    <t xml:space="preserve">GGTGAGGCTGGCCAGCTTGA</t>
  </si>
  <si>
    <t xml:space="preserve">TAGTGGTGAGGCTGGCCAGCTTGA</t>
  </si>
  <si>
    <t xml:space="preserve">AAACTCAAGCTGGCCAGCCTCACC</t>
  </si>
  <si>
    <t xml:space="preserve">GATCAGCAACAGCAGTGCGG</t>
  </si>
  <si>
    <t xml:space="preserve">TAGTGATCAGCAACAGCAGTGCGG</t>
  </si>
  <si>
    <t xml:space="preserve">AAACCCGCACTGCTGTTGCTGATC</t>
  </si>
  <si>
    <t xml:space="preserve">CGCGCCAGCCACCATGCCAG</t>
  </si>
  <si>
    <t xml:space="preserve">TAGTCGCGCCAGCCACCATGCCAG</t>
  </si>
  <si>
    <t xml:space="preserve">AAACCTGGCATGGTGGCTGGCGCG</t>
  </si>
  <si>
    <t xml:space="preserve">GCGCCGACCGGCCCCTTGAG</t>
  </si>
  <si>
    <t xml:space="preserve">TAGTGCGCCGACCGGCCCCTTGAG</t>
  </si>
  <si>
    <t xml:space="preserve">AAACCTCAAGGGGCCGGTCGGCGC</t>
  </si>
  <si>
    <t xml:space="preserve">PST_1347</t>
  </si>
  <si>
    <t xml:space="preserve">modA</t>
  </si>
  <si>
    <t xml:space="preserve">GAAACGGCGGACAGAATGCA</t>
  </si>
  <si>
    <t xml:space="preserve">TAGTGAAACGGCGGACAGAATGCA</t>
  </si>
  <si>
    <t xml:space="preserve">AAACTGCATTCTGTCCGCCGTTTC</t>
  </si>
  <si>
    <t xml:space="preserve">TAGTGGCAGGCAGAGCAGCA</t>
  </si>
  <si>
    <t xml:space="preserve">TAGTTAGTGGCAGGCAGAGCAGCA</t>
  </si>
  <si>
    <t xml:space="preserve">AAACTGCTGCTCTGCCTGCCACTA</t>
  </si>
  <si>
    <t xml:space="preserve">CTGCACGTCGTCGGCGATGG</t>
  </si>
  <si>
    <t xml:space="preserve">TAGTCTGCACGTCGTCGGCGATGG</t>
  </si>
  <si>
    <t xml:space="preserve">AAACCCATCGCCGACGACGTGCAG</t>
  </si>
  <si>
    <t xml:space="preserve">CTGCATTGGCGCGGTGAAGT</t>
  </si>
  <si>
    <t xml:space="preserve">TAGTCTGCATTGGCGCGGTGAAGT</t>
  </si>
  <si>
    <t xml:space="preserve">AAACACTTCACCGCGCCAATGCAG</t>
  </si>
  <si>
    <t xml:space="preserve">PST_1348</t>
  </si>
  <si>
    <t xml:space="preserve">GGCCGTCGATGCGCAGGGGT</t>
  </si>
  <si>
    <t xml:space="preserve">TAGTGGCCGTCGATGCGCAGGGGT</t>
  </si>
  <si>
    <t xml:space="preserve">AAACACCCCTGCGCATCGACGGCC</t>
  </si>
  <si>
    <t xml:space="preserve">CGCCCCGGTTGAACCAGAGC</t>
  </si>
  <si>
    <t xml:space="preserve">TAGTCGCCCCGGTTGAACCAGAGC</t>
  </si>
  <si>
    <t xml:space="preserve">AAACGCTCTGGTTCAACCGGGGCG</t>
  </si>
  <si>
    <t xml:space="preserve">GGCGCGGCTGATGGAACCGG</t>
  </si>
  <si>
    <t xml:space="preserve">TAGTGGCGCGGCTGATGGAACCGG</t>
  </si>
  <si>
    <t xml:space="preserve">AAACCCGGTTCCATCAGCCGCGCC</t>
  </si>
  <si>
    <t xml:space="preserve">GCTCAGCTTGATGGCCTTGG</t>
  </si>
  <si>
    <t xml:space="preserve">TAGTGCTCAGCTTGATGGCCTTGG</t>
  </si>
  <si>
    <t xml:space="preserve">AAACCCAAGGCCATCAAGCTGAGC</t>
  </si>
  <si>
    <t xml:space="preserve">PST_1349</t>
  </si>
  <si>
    <t xml:space="preserve">hesB</t>
  </si>
  <si>
    <t xml:space="preserve">CTTTCAGTCAGGGTAATCAT</t>
  </si>
  <si>
    <t xml:space="preserve">TAGTCTTTCAGTCAGGGTAATCAT</t>
  </si>
  <si>
    <t xml:space="preserve">AAACATGATTACCCTGACTGAAAG</t>
  </si>
  <si>
    <t xml:space="preserve">GAAGCGGTTAATCGCACTCT</t>
  </si>
  <si>
    <t xml:space="preserve">TAGTGAAGCGGTTAATCGCACTCT</t>
  </si>
  <si>
    <t xml:space="preserve">AAACAGAGTGCGATTAACCGCTTC</t>
  </si>
  <si>
    <t xml:space="preserve">CAAGCCGGCGGTGGGTTTGT</t>
  </si>
  <si>
    <t xml:space="preserve">TAGTCAAGCCGGCGGTGGGTTTGT</t>
  </si>
  <si>
    <t xml:space="preserve">AAACACAAACCCACCGCCGGCTTG</t>
  </si>
  <si>
    <t xml:space="preserve">CACAGCCGCCGCCCTCGACG</t>
  </si>
  <si>
    <t xml:space="preserve">TAGTCACAGCCGCCGCCCTCGACG</t>
  </si>
  <si>
    <t xml:space="preserve">AAACCGTCGAGGGCGGCGGCTGTG</t>
  </si>
  <si>
    <t xml:space="preserve">PST_1350</t>
  </si>
  <si>
    <t xml:space="preserve">nifU</t>
  </si>
  <si>
    <t xml:space="preserve">GCCACGGCGCCGGCGTTCTT</t>
  </si>
  <si>
    <t xml:space="preserve">TAGTGCCACGGCGCCGGCGTTCTT</t>
  </si>
  <si>
    <t xml:space="preserve">AAACAAGAACGCCGGCGCCGTGGC</t>
  </si>
  <si>
    <t xml:space="preserve">GTCACCGACGGCATTGGCCT</t>
  </si>
  <si>
    <t xml:space="preserve">TAGTGTCACCGACGGCATTGGCCT</t>
  </si>
  <si>
    <t xml:space="preserve">AAACAGGCCAATGCCGTCGGTGAC</t>
  </si>
  <si>
    <t xml:space="preserve">GACCTTCAGCGACAGCCGCA</t>
  </si>
  <si>
    <t xml:space="preserve">TAGTGACCTTCAGCGACAGCCGCA</t>
  </si>
  <si>
    <t xml:space="preserve">AAACTGCGGCTGTCGCTGAAGGTC</t>
  </si>
  <si>
    <t xml:space="preserve">TCGAGAATCACGTCGGTGTC</t>
  </si>
  <si>
    <t xml:space="preserve">TAGTTCGAGAATCACGTCGGTGTC</t>
  </si>
  <si>
    <t xml:space="preserve">AAACGACACCGACGTGATTCTCGA</t>
  </si>
  <si>
    <t xml:space="preserve">PST_1351</t>
  </si>
  <si>
    <t xml:space="preserve">nifS</t>
  </si>
  <si>
    <t xml:space="preserve">CACTTCGTCATCGACACGGG</t>
  </si>
  <si>
    <t xml:space="preserve">TAGTCACTTCGTCATCGACACGGG</t>
  </si>
  <si>
    <t xml:space="preserve">AAACCCCGTGTCGATGACGAAGTG</t>
  </si>
  <si>
    <t xml:space="preserve">CTCGGTGAAGAACGGCAGCA</t>
  </si>
  <si>
    <t xml:space="preserve">TAGTCTCGGTGAAGAACGGCAGCA</t>
  </si>
  <si>
    <t xml:space="preserve">AAACTGCTGCCGTTCTTCACCGAG</t>
  </si>
  <si>
    <t xml:space="preserve">CGAAGCTGTGCATCGACGAG</t>
  </si>
  <si>
    <t xml:space="preserve">TAGTCGAAGCTGTGCATCGACGAG</t>
  </si>
  <si>
    <t xml:space="preserve">AAACCTCGTCGATGCACAGCTTCG</t>
  </si>
  <si>
    <t xml:space="preserve">TCTTCAGCGCCATGCCGACT</t>
  </si>
  <si>
    <t xml:space="preserve">TAGTTCTTCAGCGCCATGCCGACT</t>
  </si>
  <si>
    <t xml:space="preserve">AAACAGTCGGCATGGCGCTGAAGA</t>
  </si>
  <si>
    <t xml:space="preserve">PST_1352</t>
  </si>
  <si>
    <t xml:space="preserve">nifV</t>
  </si>
  <si>
    <t xml:space="preserve">CGCTCTGTTCGCCGTCACGC</t>
  </si>
  <si>
    <t xml:space="preserve">TAGTCGCTCTGTTCGCCGTCACGC</t>
  </si>
  <si>
    <t xml:space="preserve">AAACGCGTGACGGCGAACAGAGCG</t>
  </si>
  <si>
    <t xml:space="preserve">CTCGGCGCTGAAGGCGACCC</t>
  </si>
  <si>
    <t xml:space="preserve">TAGTCTCGGCGCTGAAGGCGACCC</t>
  </si>
  <si>
    <t xml:space="preserve">AAACGGGTCGCCTTCAGCGCCGAG</t>
  </si>
  <si>
    <t xml:space="preserve">CTGTGCCAGAGCACGGGCGA</t>
  </si>
  <si>
    <t xml:space="preserve">TAGTCTGTGCCAGAGCACGGGCGA</t>
  </si>
  <si>
    <t xml:space="preserve">AAACTCGCCCGTGCTCTGGCACAG</t>
  </si>
  <si>
    <t xml:space="preserve">CACTCCTCCTCGCCCATGCT</t>
  </si>
  <si>
    <t xml:space="preserve">TAGTCACTCCTCCTCGCCCATGCT</t>
  </si>
  <si>
    <t xml:space="preserve">AAACAGCATGGGCGAGGAGGAGTG</t>
  </si>
  <si>
    <t xml:space="preserve">PST_1353</t>
  </si>
  <si>
    <t xml:space="preserve">cysE</t>
  </si>
  <si>
    <t xml:space="preserve">CGTCGCGGCATTCTCGGTAC</t>
  </si>
  <si>
    <t xml:space="preserve">TAGTCGTCGCGGCATTCTCGGTAC</t>
  </si>
  <si>
    <t xml:space="preserve">AAACGTACCGAGAATGCCGCGACG</t>
  </si>
  <si>
    <t xml:space="preserve">GGTCGCGCTGGAACACGCAA</t>
  </si>
  <si>
    <t xml:space="preserve">TAGTGGTCGCGCTGGAACACGCAA</t>
  </si>
  <si>
    <t xml:space="preserve">AAACTTGCGTGTTCCAGCGCGACC</t>
  </si>
  <si>
    <t xml:space="preserve">CCAGCGTGGAGCGCGCCGCG</t>
  </si>
  <si>
    <t xml:space="preserve">TAGTCCAGCGTGGAGCGCGCCGCG</t>
  </si>
  <si>
    <t xml:space="preserve">AAACCGCGGCGCGCTCCACGCTGG</t>
  </si>
  <si>
    <t xml:space="preserve">TGCGTGCACGCCCGGATAGG</t>
  </si>
  <si>
    <t xml:space="preserve">TAGTTGCGTGCACGCCCGGATAGG</t>
  </si>
  <si>
    <t xml:space="preserve">AAACCCTATCCGGGCGTGCACGCA</t>
  </si>
  <si>
    <t xml:space="preserve">PST_1354</t>
  </si>
  <si>
    <t xml:space="preserve">TCGAAATTCTGCAGGTCCAT</t>
  </si>
  <si>
    <t xml:space="preserve">TAGTTCGAAATTCTGCAGGTCCAT</t>
  </si>
  <si>
    <t xml:space="preserve">AAACATGGACCTGCAGAATTTCGA</t>
  </si>
  <si>
    <t xml:space="preserve">CGGCTCGTCGAAATACAGGC</t>
  </si>
  <si>
    <t xml:space="preserve">TAGTCGGCTCGTCGAAATACAGGC</t>
  </si>
  <si>
    <t xml:space="preserve">AAACGCCTGTATTTCGACGAGCCG</t>
  </si>
  <si>
    <t xml:space="preserve">GCAGCGCCGCGACGCGCGGC</t>
  </si>
  <si>
    <t xml:space="preserve">TAGTGCAGCGCCGCGACGCGCGGC</t>
  </si>
  <si>
    <t xml:space="preserve">AAACGCCGCGCGTCGCGGCGCTGC</t>
  </si>
  <si>
    <t xml:space="preserve">CGGCTGCTCCGCAGTGCCGG</t>
  </si>
  <si>
    <t xml:space="preserve">TAGTCGGCTGCTCCGCAGTGCCGG</t>
  </si>
  <si>
    <t xml:space="preserve">AAACCCGGCACTGCGGAGCAGCCG</t>
  </si>
  <si>
    <t xml:space="preserve">PST_1355</t>
  </si>
  <si>
    <t xml:space="preserve">nifW</t>
  </si>
  <si>
    <t xml:space="preserve">CCCGTCCAGGTTCGGTTCGG</t>
  </si>
  <si>
    <t xml:space="preserve">TAGTCCCGTCCAGGTTCGGTTCGG</t>
  </si>
  <si>
    <t xml:space="preserve">AAACCCGAACCGAACCTGGACGGG</t>
  </si>
  <si>
    <t xml:space="preserve">TCTTCCAGCGCCTCGTCCAA</t>
  </si>
  <si>
    <t xml:space="preserve">TAGTTCTTCCAGCGCCTCGTCCAA</t>
  </si>
  <si>
    <t xml:space="preserve">AAACTTGGACGAGGCGCTGGAAGA</t>
  </si>
  <si>
    <t xml:space="preserve">GAAGAAGTTCAGGAAATCCT</t>
  </si>
  <si>
    <t xml:space="preserve">TAGTGAAGAAGTTCAGGAAATCCT</t>
  </si>
  <si>
    <t xml:space="preserve">AAACAGGATTTCCTGAACTTCTTC</t>
  </si>
  <si>
    <t xml:space="preserve">TGCACCACCGACGGCACGAA</t>
  </si>
  <si>
    <t xml:space="preserve">TAGTTGCACCACCGACGGCACGAA</t>
  </si>
  <si>
    <t xml:space="preserve">AAACTTCGTGCCGTCGGTGGTGCA</t>
  </si>
  <si>
    <t xml:space="preserve">PST_1356</t>
  </si>
  <si>
    <t xml:space="preserve">nifZ</t>
  </si>
  <si>
    <t xml:space="preserve">TTCGTAGAGCGGCAGACTCA</t>
  </si>
  <si>
    <t xml:space="preserve">TAGTTTCGTAGAGCGGCAGACTCA</t>
  </si>
  <si>
    <t xml:space="preserve">AAACTGAGTCTGCCGCTCTACGAA</t>
  </si>
  <si>
    <t xml:space="preserve">TGCGGATCAGCCTGACGGCC</t>
  </si>
  <si>
    <t xml:space="preserve">TAGTTGCGGATCAGCCTGACGGCC</t>
  </si>
  <si>
    <t xml:space="preserve">AAACGGCCGTCAGGCTGATCCGCA</t>
  </si>
  <si>
    <t xml:space="preserve">GCCGGTGTCCTTGCCGGGGT</t>
  </si>
  <si>
    <t xml:space="preserve">TAGTGCCGGTGTCCTTGCCGGGGT</t>
  </si>
  <si>
    <t xml:space="preserve">AAACACCCCGGCAAGGACACCGGC</t>
  </si>
  <si>
    <t xml:space="preserve">CCGCGCCGCGGCGCATCAGC</t>
  </si>
  <si>
    <t xml:space="preserve">TAGTCCGCGCCGCGGCGCATCAGC</t>
  </si>
  <si>
    <t xml:space="preserve">AAACGCTGATGCGCCGCGGCGCGG</t>
  </si>
  <si>
    <t xml:space="preserve">PST_1357</t>
  </si>
  <si>
    <t xml:space="preserve">nifM</t>
  </si>
  <si>
    <t xml:space="preserve">GACCTTCAGCAGCTGGTAGC</t>
  </si>
  <si>
    <t xml:space="preserve">TAGTGACCTTCAGCAGCTGGTAGC</t>
  </si>
  <si>
    <t xml:space="preserve">AAACGCTACCAGCTGCTGAAGGTC</t>
  </si>
  <si>
    <t xml:space="preserve">GGCACAGCCGAAACGCTCGT</t>
  </si>
  <si>
    <t xml:space="preserve">TAGTGGCACAGCCGAAACGCTCGT</t>
  </si>
  <si>
    <t xml:space="preserve">AAACACGAGCGTTTCGGCTGTGCC</t>
  </si>
  <si>
    <t xml:space="preserve">TTGCGAACTGAGGGCGGCCG</t>
  </si>
  <si>
    <t xml:space="preserve">TAGTTTGCGAACTGAGGGCGGCCG</t>
  </si>
  <si>
    <t xml:space="preserve">AAACCGGCCGCCCTCAGTTCGCAA</t>
  </si>
  <si>
    <t xml:space="preserve">CTGGCGACCGATGATGCGCT</t>
  </si>
  <si>
    <t xml:space="preserve">TAGTCTGGCGACCGATGATGCGCT</t>
  </si>
  <si>
    <t xml:space="preserve">AAACAGCGCATCATCGGTCGCCAG</t>
  </si>
  <si>
    <t xml:space="preserve">PST_1358</t>
  </si>
  <si>
    <t xml:space="preserve">GAACGAACAGCAGGGCTTGT</t>
  </si>
  <si>
    <t xml:space="preserve">TAGTGAACGAACAGCAGGGCTTGT</t>
  </si>
  <si>
    <t xml:space="preserve">AAACACAAGCCCTGCTGTTCGTTC</t>
  </si>
  <si>
    <t xml:space="preserve">CCCGCGATCAAGGGTACCGT</t>
  </si>
  <si>
    <t xml:space="preserve">TAGTCCCGCGATCAAGGGTACCGT</t>
  </si>
  <si>
    <t xml:space="preserve">AAACACGGTACCCTTGATCGCGGG</t>
  </si>
  <si>
    <t xml:space="preserve">TGACGCAGGCCTCGCAGATC</t>
  </si>
  <si>
    <t xml:space="preserve">TAGTTGACGCAGGCCTCGCAGATC</t>
  </si>
  <si>
    <t xml:space="preserve">AAACGATCTGCGAGGCCTGCGTCA</t>
  </si>
  <si>
    <t xml:space="preserve">CCAGCTGGTCACCACCTGGT</t>
  </si>
  <si>
    <t xml:space="preserve">TAGTCCAGCTGGTCACCACCTGGT</t>
  </si>
  <si>
    <t xml:space="preserve">AAACACCAGGTGGTGACCAGCTGG</t>
  </si>
  <si>
    <t xml:space="preserve">PST_1359</t>
  </si>
  <si>
    <t xml:space="preserve">nifF</t>
  </si>
  <si>
    <t xml:space="preserve">GCCGAAGAAAAGTCCGATCC</t>
  </si>
  <si>
    <t xml:space="preserve">TAGTGCCGAAGAAAAGTCCGATCC</t>
  </si>
  <si>
    <t xml:space="preserve">AAACGGATCGGACTTTTCTTCGGC</t>
  </si>
  <si>
    <t xml:space="preserve">GAAGCGCTTCTTGATCATCT</t>
  </si>
  <si>
    <t xml:space="preserve">TAGTGAAGCGCTTCTTGATCATCT</t>
  </si>
  <si>
    <t xml:space="preserve">AAACAGATGATCAAGAAGCGCTTC</t>
  </si>
  <si>
    <t xml:space="preserve">GACGTTGAGCGGATCAGCCA</t>
  </si>
  <si>
    <t xml:space="preserve">TAGTGACGTTGAGCGGATCAGCCA</t>
  </si>
  <si>
    <t xml:space="preserve">AAACTGGCTGATCCGCTCAACGTC</t>
  </si>
  <si>
    <t xml:space="preserve">CGAAGTCTGCGGCGCTCGTG</t>
  </si>
  <si>
    <t xml:space="preserve">TAGTCGAAGTCTGCGGCGCTCGTG</t>
  </si>
  <si>
    <t xml:space="preserve">AAACCACGAGCGCCGCAGACTTCG</t>
  </si>
  <si>
    <t xml:space="preserve">PST_1360</t>
  </si>
  <si>
    <t xml:space="preserve">AATGAGCGTGAGAAGCTTCA</t>
  </si>
  <si>
    <t xml:space="preserve">TAGTAATGAGCGTGAGAAGCTTCA</t>
  </si>
  <si>
    <t xml:space="preserve">AAACTGAAGCTTCTCACGCTCATT</t>
  </si>
  <si>
    <t xml:space="preserve">CGGCAAGGCGAGCGCAGACA</t>
  </si>
  <si>
    <t xml:space="preserve">TAGTCGGCAAGGCGAGCGCAGACA</t>
  </si>
  <si>
    <t xml:space="preserve">AAACTGTCTGCGCTCGCCTTGCCG</t>
  </si>
  <si>
    <t xml:space="preserve">CTGGCCGCCGCCGGCATTAC</t>
  </si>
  <si>
    <t xml:space="preserve">TAGTCTGGCCGCCGCCGGCATTAC</t>
  </si>
  <si>
    <t xml:space="preserve">AAACGTAATGCCGGCGGCGGCCAG</t>
  </si>
  <si>
    <t xml:space="preserve">ATCTCGTGCTGCAGCACGGC</t>
  </si>
  <si>
    <t xml:space="preserve">TAGTATCTCGTGCTGCAGCACGGC</t>
  </si>
  <si>
    <t xml:space="preserve">AAACGCCGTGCTGCAGCACGAGAT</t>
  </si>
  <si>
    <t xml:space="preserve">PST_1361</t>
  </si>
  <si>
    <t xml:space="preserve">GCCTACGGCTACCGCGAGTG</t>
  </si>
  <si>
    <t xml:space="preserve">TAGTGCCTACGGCTACCGCGAGTG</t>
  </si>
  <si>
    <t xml:space="preserve">AAACCACTCGCGGTAGCCGTAGGC</t>
  </si>
  <si>
    <t xml:space="preserve">TGCCATTGCCTGGCTGGACA</t>
  </si>
  <si>
    <t xml:space="preserve">TAGTTGCCATTGCCTGGCTGGACA</t>
  </si>
  <si>
    <t xml:space="preserve">AAACTGTCCAGCCAGGCAATGGCA</t>
  </si>
  <si>
    <t xml:space="preserve">TTGCTCGTTGAGGGCGAAAC</t>
  </si>
  <si>
    <t xml:space="preserve">TAGTTTGCTCGTTGAGGGCGAAAC</t>
  </si>
  <si>
    <t xml:space="preserve">AAACGTTTCGCCCTCAACGAGCAA</t>
  </si>
  <si>
    <t xml:space="preserve">AGATGAGCGGCCTGCGAAGG</t>
  </si>
  <si>
    <t xml:space="preserve">TAGTAGATGAGCGGCCTGCGAAGG</t>
  </si>
  <si>
    <t xml:space="preserve">AAACCCTTCGCAGGCCGCTCATCT</t>
  </si>
  <si>
    <t xml:space="preserve">PST_1362</t>
  </si>
  <si>
    <t xml:space="preserve">GCTGTGATGAGTTGTGCAAG</t>
  </si>
  <si>
    <t xml:space="preserve">TAGTGCTGTGATGAGTTGTGCAAG</t>
  </si>
  <si>
    <t xml:space="preserve">AAACCTTGCACAACTCATCACAGC</t>
  </si>
  <si>
    <t xml:space="preserve">CAGGCGCCGGGCCAGTTGCT</t>
  </si>
  <si>
    <t xml:space="preserve">TAGTCAGGCGCCGGGCCAGTTGCT</t>
  </si>
  <si>
    <t xml:space="preserve">AAACAGCAACTGGCCCGGCGCCTG</t>
  </si>
  <si>
    <t xml:space="preserve">CAATCGAGAATGCGCAGCGC</t>
  </si>
  <si>
    <t xml:space="preserve">TAGTCAATCGAGAATGCGCAGCGC</t>
  </si>
  <si>
    <t xml:space="preserve">AAACGCGCTGCGCATTCTCGATTG</t>
  </si>
  <si>
    <t xml:space="preserve">TGGAATCTTCCAGGGCGAAG</t>
  </si>
  <si>
    <t xml:space="preserve">TAGTTGGAATCTTCCAGGGCGAAG</t>
  </si>
  <si>
    <t xml:space="preserve">AAACCTTCGCCCTGGAAGATTCCA</t>
  </si>
  <si>
    <t xml:space="preserve">PST_1363</t>
  </si>
  <si>
    <t xml:space="preserve">rnd</t>
  </si>
  <si>
    <t xml:space="preserve">TATCGAGCATCCGACCGGCC</t>
  </si>
  <si>
    <t xml:space="preserve">TAGTTATCGAGCATCCGACCGGCC</t>
  </si>
  <si>
    <t xml:space="preserve">AAACGGCCGGTCGGATGCTCGATA</t>
  </si>
  <si>
    <t xml:space="preserve">GACCGGCGCGCGGCCGAACG</t>
  </si>
  <si>
    <t xml:space="preserve">TAGTGACCGGCGCGCGGCCGAACG</t>
  </si>
  <si>
    <t xml:space="preserve">AAACCGTTCGGCCGCGCGCCGGTC</t>
  </si>
  <si>
    <t xml:space="preserve">TGGCCACACGGCCTCCTTTT</t>
  </si>
  <si>
    <t xml:space="preserve">TAGTTGGCCACACGGCCTCCTTTT</t>
  </si>
  <si>
    <t xml:space="preserve">AAACAAAAGGAGGCCGTGTGGCCA</t>
  </si>
  <si>
    <t xml:space="preserve">CACGACCCATTGAGTTTCGA</t>
  </si>
  <si>
    <t xml:space="preserve">TAGTCACGACCCATTGAGTTTCGA</t>
  </si>
  <si>
    <t xml:space="preserve">AAACTCGAAACTCAATGGGTCGTG</t>
  </si>
  <si>
    <t xml:space="preserve">PST_1364</t>
  </si>
  <si>
    <t xml:space="preserve">CTTGCGGGGGCTCTTGTAAA</t>
  </si>
  <si>
    <t xml:space="preserve">TAGTCTTGCGGGGGCTCTTGTAAA</t>
  </si>
  <si>
    <t xml:space="preserve">AAACTTTACAAGAGCCCCCGCAAG</t>
  </si>
  <si>
    <t xml:space="preserve">CATCGCGCTTGTCGACGTAG</t>
  </si>
  <si>
    <t xml:space="preserve">TAGTCATCGCGCTTGTCGACGTAG</t>
  </si>
  <si>
    <t xml:space="preserve">AAACCTACGTCGACAAGCGCGATG</t>
  </si>
  <si>
    <t xml:space="preserve">AATGCGGCGAGCAAGCCCTC</t>
  </si>
  <si>
    <t xml:space="preserve">TAGTAATGCGGCGAGCAAGCCCTC</t>
  </si>
  <si>
    <t xml:space="preserve">AAACGAGGGCTTGCTCGCCGCATT</t>
  </si>
  <si>
    <t xml:space="preserve">ACCAGCTCGAATGCCAGCTG</t>
  </si>
  <si>
    <t xml:space="preserve">TAGTACCAGCTCGAATGCCAGCTG</t>
  </si>
  <si>
    <t xml:space="preserve">AAACCAGCTGGCATTCGAGCTGGT</t>
  </si>
  <si>
    <t xml:space="preserve">PST_1365</t>
  </si>
  <si>
    <t xml:space="preserve">AAGGATCGAACCGAGTACCC</t>
  </si>
  <si>
    <t xml:space="preserve">TAGTAAGGATCGAACCGAGTACCC</t>
  </si>
  <si>
    <t xml:space="preserve">AAACGGGTACTCGGTTCGATCCTT</t>
  </si>
  <si>
    <t xml:space="preserve">GCTGGCAGACATCGCCAGAC</t>
  </si>
  <si>
    <t xml:space="preserve">TAGTGCTGGCAGACATCGCCAGAC</t>
  </si>
  <si>
    <t xml:space="preserve">AAACGTCTGGCGATGTCTGCCAGC</t>
  </si>
  <si>
    <t xml:space="preserve">TCGTTGTCGTAGGCCGGCGC</t>
  </si>
  <si>
    <t xml:space="preserve">TAGTTCGTTGTCGTAGGCCGGCGC</t>
  </si>
  <si>
    <t xml:space="preserve">AAACGCGCCGGCCTACGACAACGA</t>
  </si>
  <si>
    <t xml:space="preserve">CTTCTGCCAGTGCTGCTGCC</t>
  </si>
  <si>
    <t xml:space="preserve">TAGTCTTCTGCCAGTGCTGCTGCC</t>
  </si>
  <si>
    <t xml:space="preserve">AAACGGCAGCAGCACTGGCAGAAG</t>
  </si>
  <si>
    <t xml:space="preserve">PST_1366</t>
  </si>
  <si>
    <t xml:space="preserve">CTGTCACTACCGGGAAAAAG</t>
  </si>
  <si>
    <t xml:space="preserve">TAGTCTGTCACTACCGGGAAAAAG</t>
  </si>
  <si>
    <t xml:space="preserve">AAACCTTTTTCCCGGTAGTGACAG</t>
  </si>
  <si>
    <t xml:space="preserve">CTTCCAGAAGGGTTCGACTT</t>
  </si>
  <si>
    <t xml:space="preserve">TAGTCTTCCAGAAGGGTTCGACTT</t>
  </si>
  <si>
    <t xml:space="preserve">AAACAAGTCGAACCCTTCTGGAAG</t>
  </si>
  <si>
    <t xml:space="preserve">GGCCGAATCGAGCTCGGCGA</t>
  </si>
  <si>
    <t xml:space="preserve">TAGTGGCCGAATCGAGCTCGGCGA</t>
  </si>
  <si>
    <t xml:space="preserve">AAACTCGCCGAGCTCGATTCGGCC</t>
  </si>
  <si>
    <t xml:space="preserve">GTCGCATAGCGACTCCCACT</t>
  </si>
  <si>
    <t xml:space="preserve">TAGTGTCGCATAGCGACTCCCACT</t>
  </si>
  <si>
    <t xml:space="preserve">AAACAGTGGGAGTCGCTATGCGAC</t>
  </si>
  <si>
    <t xml:space="preserve">PST_1367</t>
  </si>
  <si>
    <t xml:space="preserve">CCCGTTTGGCCGCCTGTGCC</t>
  </si>
  <si>
    <t xml:space="preserve">TAGTCCCGTTTGGCCGCCTGTGCC</t>
  </si>
  <si>
    <t xml:space="preserve">AAACGGCACAGGCGGCCAAACGGG</t>
  </si>
  <si>
    <t xml:space="preserve">CTGCCTGATCTTCCGCCGGG</t>
  </si>
  <si>
    <t xml:space="preserve">TAGTCTGCCTGATCTTCCGCCGGG</t>
  </si>
  <si>
    <t xml:space="preserve">AAACCCCGGCGGAAGATCAGGCAG</t>
  </si>
  <si>
    <t xml:space="preserve">GGACCGCCTCGCCCTTCTCC</t>
  </si>
  <si>
    <t xml:space="preserve">TAGTGGACCGCCTCGCCCTTCTCC</t>
  </si>
  <si>
    <t xml:space="preserve">AAACGGAGAAGGGCGAGGCGGTCC</t>
  </si>
  <si>
    <t xml:space="preserve">CCAGGTTGAACTGCAGGCTG</t>
  </si>
  <si>
    <t xml:space="preserve">TAGTCCAGGTTGAACTGCAGGCTG</t>
  </si>
  <si>
    <t xml:space="preserve">AAACCAGCCTGCAGTTCAACCTGG</t>
  </si>
  <si>
    <t xml:space="preserve">PST_1368</t>
  </si>
  <si>
    <t xml:space="preserve">GTCGCTGCGAAGATCGATGA</t>
  </si>
  <si>
    <t xml:space="preserve">TAGTGTCGCTGCGAAGATCGATGA</t>
  </si>
  <si>
    <t xml:space="preserve">AAACTCATCGATCTTCGCAGCGAC</t>
  </si>
  <si>
    <t xml:space="preserve">TGCGCTGGAGGGCTGAGTGA</t>
  </si>
  <si>
    <t xml:space="preserve">TAGTTGCGCTGGAGGGCTGAGTGA</t>
  </si>
  <si>
    <t xml:space="preserve">AAACTCACTCAGCCCTCCAGCGCA</t>
  </si>
  <si>
    <t xml:space="preserve">CTCGCTGTACACGTCATCAC</t>
  </si>
  <si>
    <t xml:space="preserve">TAGTCTCGCTGTACACGTCATCAC</t>
  </si>
  <si>
    <t xml:space="preserve">AAACGTGATGACGTGTACAGCGAG</t>
  </si>
  <si>
    <t xml:space="preserve">TCTCGAGCAGGCTGACCGTC</t>
  </si>
  <si>
    <t xml:space="preserve">TAGTTCTCGAGCAGGCTGACCGTC</t>
  </si>
  <si>
    <t xml:space="preserve">AAACGACGGTCAGCCTGCTCGAGA</t>
  </si>
  <si>
    <t xml:space="preserve">PST_1369</t>
  </si>
  <si>
    <t xml:space="preserve">alaS</t>
  </si>
  <si>
    <t xml:space="preserve">GAGGCGGGACCACCGAAAGC</t>
  </si>
  <si>
    <t xml:space="preserve">TAGTGAGGCGGGACCACCGAAAGC</t>
  </si>
  <si>
    <t xml:space="preserve">AAACGCTTTCGGTGGTCCCGCCTC</t>
  </si>
  <si>
    <t xml:space="preserve">CGAACGGCTGCAAAACGACA</t>
  </si>
  <si>
    <t xml:space="preserve">TAGTCGAACGGCTGCAAAACGACA</t>
  </si>
  <si>
    <t xml:space="preserve">AAACTGTCGTTTTGCAGCCGTTCG</t>
  </si>
  <si>
    <t xml:space="preserve">AGATTTCTTCCAGAGGACTG</t>
  </si>
  <si>
    <t xml:space="preserve">TAGTAGATTTCTTCCAGAGGACTG</t>
  </si>
  <si>
    <t xml:space="preserve">AAACCAGTCCTCTGGAAGAAATCT</t>
  </si>
  <si>
    <t xml:space="preserve">AGAAGCGGAGGAAGGCTTCA</t>
  </si>
  <si>
    <t xml:space="preserve">TAGTAGAAGCGGAGGAAGGCTTCA</t>
  </si>
  <si>
    <t xml:space="preserve">AAACTGAAGCCTTCCTCCGCTTCT</t>
  </si>
  <si>
    <t xml:space="preserve">PST_1370</t>
  </si>
  <si>
    <t xml:space="preserve">lysC</t>
  </si>
  <si>
    <t xml:space="preserve">TCGCTCGACGGTGCCGACCG</t>
  </si>
  <si>
    <t xml:space="preserve">TAGTTCGCTCGACGGTGCCGACCG</t>
  </si>
  <si>
    <t xml:space="preserve">AAACCGGTCGGCACCGTCGAGCGA</t>
  </si>
  <si>
    <t xml:space="preserve">GCGGAATTTCTTGACCTTTT</t>
  </si>
  <si>
    <t xml:space="preserve">TAGTGCGGAATTTCTTGACCTTTT</t>
  </si>
  <si>
    <t xml:space="preserve">AAACAAAAGGTCAAGAAATTCCGC</t>
  </si>
  <si>
    <t xml:space="preserve">GGCCAGATCGATCAGACGGT</t>
  </si>
  <si>
    <t xml:space="preserve">TAGTGGCCAGATCGATCAGACGGT</t>
  </si>
  <si>
    <t xml:space="preserve">AAACACCGTCTGATCGATCTGGCC</t>
  </si>
  <si>
    <t xml:space="preserve">CGGCTGCTCGCTGATCTGCT</t>
  </si>
  <si>
    <t xml:space="preserve">TAGTCGGCTGCTCGCTGATCTGCT</t>
  </si>
  <si>
    <t xml:space="preserve">AAACAGCAGATCAGCGAGCAGCCG</t>
  </si>
  <si>
    <t xml:space="preserve">PST_1371</t>
  </si>
  <si>
    <t xml:space="preserve">csrA</t>
  </si>
  <si>
    <t xml:space="preserve">CCATCAGGGTTTCTCCTACC</t>
  </si>
  <si>
    <t xml:space="preserve">TAGTCCATCAGGGTTTCTCCTACC</t>
  </si>
  <si>
    <t xml:space="preserve">AAACGGTAGGAGAAACCCTGATGG</t>
  </si>
  <si>
    <t xml:space="preserve">CATTGACGCCGATACGTACC</t>
  </si>
  <si>
    <t xml:space="preserve">TAGTCATTGACGCCGATACGTACC</t>
  </si>
  <si>
    <t xml:space="preserve">AAACGGTACGTATCGGCGTCAATG</t>
  </si>
  <si>
    <t xml:space="preserve">CGATGCACCGCCACCTCCTT</t>
  </si>
  <si>
    <t xml:space="preserve">TAGTCGATGCACCGCCACCTCCTT</t>
  </si>
  <si>
    <t xml:space="preserve">AAACAAGGAGGTGGCGGTGCATCG</t>
  </si>
  <si>
    <t xml:space="preserve">CCTTCTCTTTCTGGATCCGC</t>
  </si>
  <si>
    <t xml:space="preserve">TAGTCCTTCTCTTTCTGGATCCGC</t>
  </si>
  <si>
    <t xml:space="preserve">AAACGCGGATCCAGAAAGAGAAGG</t>
  </si>
  <si>
    <t xml:space="preserve">PST_1375</t>
  </si>
  <si>
    <t xml:space="preserve">CCGGATTCGCCAGCAAAAGC</t>
  </si>
  <si>
    <t xml:space="preserve">TAGTCCGGATTCGCCAGCAAAAGC</t>
  </si>
  <si>
    <t xml:space="preserve">AAACGCTTTTGCTGGCGAATCCGG</t>
  </si>
  <si>
    <t xml:space="preserve">GACGCAGCGAAACACGCTTG</t>
  </si>
  <si>
    <t xml:space="preserve">TAGTGACGCAGCGAAACACGCTTG</t>
  </si>
  <si>
    <t xml:space="preserve">AAACCAAGCGTGTTTCGCTGCGTC</t>
  </si>
  <si>
    <t xml:space="preserve">ACTGAAAGTGACGTGCCCCG</t>
  </si>
  <si>
    <t xml:space="preserve">TAGTACTGAAAGTGACGTGCCCCG</t>
  </si>
  <si>
    <t xml:space="preserve">AAACCGGGGCACGTCACTTTCAGT</t>
  </si>
  <si>
    <t xml:space="preserve">GCTCGCTGCTCTGGTCCGTG</t>
  </si>
  <si>
    <t xml:space="preserve">TAGTGCTCGCTGCTCTGGTCCGTG</t>
  </si>
  <si>
    <t xml:space="preserve">AAACCACGGACCAGAGCAGCGAGC</t>
  </si>
  <si>
    <t xml:space="preserve">PST_1376</t>
  </si>
  <si>
    <t xml:space="preserve">mgtE</t>
  </si>
  <si>
    <t xml:space="preserve">TTTTGCTTCTACTTCTGTCA</t>
  </si>
  <si>
    <t xml:space="preserve">TAGTTTTTGCTTCTACTTCTGTCA</t>
  </si>
  <si>
    <t xml:space="preserve">AAACTGACAGAAGTAGAAGCAAAA</t>
  </si>
  <si>
    <t xml:space="preserve">CGGTCCTGCAAGGTCTCTTG</t>
  </si>
  <si>
    <t xml:space="preserve">TAGTCGGTCCTGCAAGGTCTCTTG</t>
  </si>
  <si>
    <t xml:space="preserve">AAACCAAGAGACCTTGCAGGACCG</t>
  </si>
  <si>
    <t xml:space="preserve">GTTCGACCACCTGCGCCAGG</t>
  </si>
  <si>
    <t xml:space="preserve">TAGTGTTCGACCACCTGCGCCAGG</t>
  </si>
  <si>
    <t xml:space="preserve">AAACCCTGGCGCAGGTGGTCGAAC</t>
  </si>
  <si>
    <t xml:space="preserve">CGCCATCCTCACCGAGGCGA</t>
  </si>
  <si>
    <t xml:space="preserve">TAGTCGCCATCCTCACCGAGGCGA</t>
  </si>
  <si>
    <t xml:space="preserve">AAACTCGCCTCGGTGAGGATGGCG</t>
  </si>
  <si>
    <t xml:space="preserve">PST_1377</t>
  </si>
  <si>
    <t xml:space="preserve">CGGCTTTTTAGCAACTGTCA</t>
  </si>
  <si>
    <t xml:space="preserve">TAGTCGGCTTTTTAGCAACTGTCA</t>
  </si>
  <si>
    <t xml:space="preserve">AAACTGACAGTTGCTAAAAAGCCG</t>
  </si>
  <si>
    <t xml:space="preserve">ACCACATCGGTGATACCGAG</t>
  </si>
  <si>
    <t xml:space="preserve">TAGTACCACATCGGTGATACCGAG</t>
  </si>
  <si>
    <t xml:space="preserve">AAACCTCGGTATCACCGATGTGGT</t>
  </si>
  <si>
    <t xml:space="preserve">GGTGGCCAGAATGGACTGAT</t>
  </si>
  <si>
    <t xml:space="preserve">TAGTGGTGGCCAGAATGGACTGAT</t>
  </si>
  <si>
    <t xml:space="preserve">AAACATCAGTCCATTCTGGCCACC</t>
  </si>
  <si>
    <t xml:space="preserve">CATGTCCTCTAGCCGGACGC</t>
  </si>
  <si>
    <t xml:space="preserve">TAGTCATGTCCTCTAGCCGGACGC</t>
  </si>
  <si>
    <t xml:space="preserve">AAACGCGTCCGGCTAGAGGACATG</t>
  </si>
  <si>
    <t xml:space="preserve">PST_1378</t>
  </si>
  <si>
    <t xml:space="preserve">CGGCTCCAGATGATACAGAC</t>
  </si>
  <si>
    <t xml:space="preserve">TAGTCGGCTCCAGATGATACAGAC</t>
  </si>
  <si>
    <t xml:space="preserve">AAACGTCTGTATCATCTGGAGCCG</t>
  </si>
  <si>
    <t xml:space="preserve">AAAATCATCAGCACCTGGCC</t>
  </si>
  <si>
    <t xml:space="preserve">TAGTAAAATCATCAGCACCTGGCC</t>
  </si>
  <si>
    <t xml:space="preserve">AAACGGCCAGGTGCTGATGATTTT</t>
  </si>
  <si>
    <t xml:space="preserve">TCGCCAGATAGATCAGCCCC</t>
  </si>
  <si>
    <t xml:space="preserve">TAGTTCGCCAGATAGATCAGCCCC</t>
  </si>
  <si>
    <t xml:space="preserve">AAACGGGGCTGATCTATCTGGCGA</t>
  </si>
  <si>
    <t xml:space="preserve">ATAGCGGCTCGAATCCCTTG</t>
  </si>
  <si>
    <t xml:space="preserve">TAGTATAGCGGCTCGAATCCCTTG</t>
  </si>
  <si>
    <t xml:space="preserve">AAACCAAGGGATTCGAGCCGCTAT</t>
  </si>
  <si>
    <t xml:space="preserve">PST_1379</t>
  </si>
  <si>
    <t xml:space="preserve">algZ</t>
  </si>
  <si>
    <t xml:space="preserve">AAAAACATTAGACGGGTTCA</t>
  </si>
  <si>
    <t xml:space="preserve">TAGTAAAAACATTAGACGGGTTCA</t>
  </si>
  <si>
    <t xml:space="preserve">AAACTGAACCCGTCTAATGTTTTT</t>
  </si>
  <si>
    <t xml:space="preserve">CGTATTGCCGGGGTGGTCAC</t>
  </si>
  <si>
    <t xml:space="preserve">TAGTCGTATTGCCGGGGTGGTCAC</t>
  </si>
  <si>
    <t xml:space="preserve">AAACGTGACCACCCCGGCAATACG</t>
  </si>
  <si>
    <t xml:space="preserve">GGTTAGTCAGGTGGGCGTGC</t>
  </si>
  <si>
    <t xml:space="preserve">TAGTGGTTAGTCAGGTGGGCGTGC</t>
  </si>
  <si>
    <t xml:space="preserve">AAACGCACGCCCACCTGACTAACC</t>
  </si>
  <si>
    <t xml:space="preserve">TCATAGGGCGCATATTTAAC</t>
  </si>
  <si>
    <t xml:space="preserve">TAGTTCATAGGGCGCATATTTAAC</t>
  </si>
  <si>
    <t xml:space="preserve">AAACGTTAAATATGCGCCCTATGA</t>
  </si>
  <si>
    <t xml:space="preserve">PST_1380</t>
  </si>
  <si>
    <t xml:space="preserve">GATAAACCGGCTTTTTCATG</t>
  </si>
  <si>
    <t xml:space="preserve">TAGTGATAAACCGGCTTTTTCATG</t>
  </si>
  <si>
    <t xml:space="preserve">AAACCATGAAAAAGCCGGTTTATC</t>
  </si>
  <si>
    <t xml:space="preserve">AGTGCTGGCGCTTCGAGCGC</t>
  </si>
  <si>
    <t xml:space="preserve">TAGTAGTGCTGGCGCTTCGAGCGC</t>
  </si>
  <si>
    <t xml:space="preserve">AAACGCGCTCGAAGCGCCAGCACT</t>
  </si>
  <si>
    <t xml:space="preserve">GCTTGGTGACCAGGCGGCTG</t>
  </si>
  <si>
    <t xml:space="preserve">TAGTGCTTGGTGACCAGGCGGCTG</t>
  </si>
  <si>
    <t xml:space="preserve">AAACCAGCCGCCTGGTCACCAAGC</t>
  </si>
  <si>
    <t xml:space="preserve">TTCGTGGCTGACCGGCTGAA</t>
  </si>
  <si>
    <t xml:space="preserve">TAGTTTCGTGGCTGACCGGCTGAA</t>
  </si>
  <si>
    <t xml:space="preserve">AAACTTCAGCCGGTCAGCCACGAA</t>
  </si>
  <si>
    <t xml:space="preserve">PST_1382</t>
  </si>
  <si>
    <t xml:space="preserve">GGGCCTTCTTCGTCGAAGAA</t>
  </si>
  <si>
    <t xml:space="preserve">TAGTGGGCCTTCTTCGTCGAAGAA</t>
  </si>
  <si>
    <t xml:space="preserve">AAACTTCTTCGACGAAGAAGGCCC</t>
  </si>
  <si>
    <t xml:space="preserve">TCAACAGTTTGGGCGGTTGC</t>
  </si>
  <si>
    <t xml:space="preserve">TAGTTCAACAGTTTGGGCGGTTGC</t>
  </si>
  <si>
    <t xml:space="preserve">AAACGCAACCGCCCAAACTGTTGA</t>
  </si>
  <si>
    <t xml:space="preserve">AGGTTGGCATGTATCTCGAG</t>
  </si>
  <si>
    <t xml:space="preserve">TAGTAGGTTGGCATGTATCTCGAG</t>
  </si>
  <si>
    <t xml:space="preserve">AAACCTCGAGATACATGCCAACCT</t>
  </si>
  <si>
    <t xml:space="preserve">GGTTGTCCAGAAGCGGCCGC</t>
  </si>
  <si>
    <t xml:space="preserve">TAGTGGTTGTCCAGAAGCGGCCGC</t>
  </si>
  <si>
    <t xml:space="preserve">AAACGCGGCCGCTTCTGGACAACC</t>
  </si>
  <si>
    <t xml:space="preserve">PST_1383</t>
  </si>
  <si>
    <t xml:space="preserve">GGGTTTCGTTCTTGCCCTGG</t>
  </si>
  <si>
    <t xml:space="preserve">TAGTGGGTTTCGTTCTTGCCCTGG</t>
  </si>
  <si>
    <t xml:space="preserve">AAACCCAGGGCAAGAACGAAACCC</t>
  </si>
  <si>
    <t xml:space="preserve">ACGGTTGTCGTACAGGCTGG</t>
  </si>
  <si>
    <t xml:space="preserve">TAGTACGGTTGTCGTACAGGCTGG</t>
  </si>
  <si>
    <t xml:space="preserve">AAACCCAGCCTGTACGACAACCGT</t>
  </si>
  <si>
    <t xml:space="preserve">GCGCTGTTTCGCGACCTTGG</t>
  </si>
  <si>
    <t xml:space="preserve">TAGTGCGCTGTTTCGCGACCTTGG</t>
  </si>
  <si>
    <t xml:space="preserve">AAACCCAAGGTCGCGAAACAGCGC</t>
  </si>
  <si>
    <t xml:space="preserve">PST_1384</t>
  </si>
  <si>
    <t xml:space="preserve">flgM</t>
  </si>
  <si>
    <t xml:space="preserve">CGTTCAGTGTGCCGTTGGGC</t>
  </si>
  <si>
    <t xml:space="preserve">TAGTCGTTCAGTGTGCCGTTGGGC</t>
  </si>
  <si>
    <t xml:space="preserve">AAACGCCCAACGGCACACTGAACG</t>
  </si>
  <si>
    <t xml:space="preserve">AACGGCACTGCGCCCGCTGG</t>
  </si>
  <si>
    <t xml:space="preserve">TAGTAACGGCACTGCGCCCGCTGG</t>
  </si>
  <si>
    <t xml:space="preserve">AAACCCAGCGGGCGCAGTGCCGTT</t>
  </si>
  <si>
    <t xml:space="preserve">CGGCCCTTGCAGGGGGCTGC</t>
  </si>
  <si>
    <t xml:space="preserve">TAGTCGGCCCTTGCAGGGGGCTGC</t>
  </si>
  <si>
    <t xml:space="preserve">AAACGCAGCCCCCTGCAAGGGCCG</t>
  </si>
  <si>
    <t xml:space="preserve">GTTTTCGGCGCGTCGCCGGC</t>
  </si>
  <si>
    <t xml:space="preserve">TAGTGTTTTCGGCGCGTCGCCGGC</t>
  </si>
  <si>
    <t xml:space="preserve">AAACGCCGGCGACGCGCCGAAAAC</t>
  </si>
  <si>
    <t xml:space="preserve">PST_1385</t>
  </si>
  <si>
    <t xml:space="preserve">flgA</t>
  </si>
  <si>
    <t xml:space="preserve">GCGTCGGAAAAAAGTCATAT</t>
  </si>
  <si>
    <t xml:space="preserve">TAGTGCGTCGGAAAAAAGTCATAT</t>
  </si>
  <si>
    <t xml:space="preserve">AAACATATGACTTTTTTCCGACGC</t>
  </si>
  <si>
    <t xml:space="preserve">GCAGATATCTGCGCAGCCTT</t>
  </si>
  <si>
    <t xml:space="preserve">TAGTGCAGATATCTGCGCAGCCTT</t>
  </si>
  <si>
    <t xml:space="preserve">AAACAAGGCTGCGCAGATATCTGC</t>
  </si>
  <si>
    <t xml:space="preserve">TGGCCCAGCGCGCAAAACGC</t>
  </si>
  <si>
    <t xml:space="preserve">TAGTTGGCCCAGCGCGCAAAACGC</t>
  </si>
  <si>
    <t xml:space="preserve">AAACGCGTTTTGCGCGCTGGGCCA</t>
  </si>
  <si>
    <t xml:space="preserve">TGGTTGTCGCATGGGCCAGT</t>
  </si>
  <si>
    <t xml:space="preserve">TAGTTGGTTGTCGCATGGGCCAGT</t>
  </si>
  <si>
    <t xml:space="preserve">AAACACTGGCCCATGCGACAACCA</t>
  </si>
  <si>
    <t xml:space="preserve">PST_1386</t>
  </si>
  <si>
    <t xml:space="preserve">cheV-3</t>
  </si>
  <si>
    <t xml:space="preserve">GTTAACCGAATCCAGTACAC</t>
  </si>
  <si>
    <t xml:space="preserve">TAGTGTTAACCGAATCCAGTACAC</t>
  </si>
  <si>
    <t xml:space="preserve">AAACGTGTACTGGATTCGGTTAAC</t>
  </si>
  <si>
    <t xml:space="preserve">GCCCCACCAATTGGGTACGC</t>
  </si>
  <si>
    <t xml:space="preserve">TAGTGCCCCACCAATTGGGTACGC</t>
  </si>
  <si>
    <t xml:space="preserve">AAACGCGTACCCAATTGGTGGGGC</t>
  </si>
  <si>
    <t xml:space="preserve">GAAACAGCAGCAACTCCAGG</t>
  </si>
  <si>
    <t xml:space="preserve">TAGTGAAACAGCAGCAACTCCAGG</t>
  </si>
  <si>
    <t xml:space="preserve">AAACCCTGGAGTTGCTGCTGTTTC</t>
  </si>
  <si>
    <t xml:space="preserve">TGGGCATGATCGTCAGGCGC</t>
  </si>
  <si>
    <t xml:space="preserve">TAGTTGGGCATGATCGTCAGGCGC</t>
  </si>
  <si>
    <t xml:space="preserve">AAACGCGCCTGACGATCATGCCCA</t>
  </si>
  <si>
    <t xml:space="preserve">PST_1387</t>
  </si>
  <si>
    <t xml:space="preserve">cheR</t>
  </si>
  <si>
    <t xml:space="preserve">CATCAGCTTGTTCAGCCGGC</t>
  </si>
  <si>
    <t xml:space="preserve">TAGTCATCAGCTTGTTCAGCCGGC</t>
  </si>
  <si>
    <t xml:space="preserve">AAACGCCGGCTGAACAAGCTGATG</t>
  </si>
  <si>
    <t xml:space="preserve">GGCCGCTGCGTGGCTGCGCC</t>
  </si>
  <si>
    <t xml:space="preserve">TAGTGGCCGCTGCGTGGCTGCGCC</t>
  </si>
  <si>
    <t xml:space="preserve">AAACGGCGCAGCCACGCAGCGGCC</t>
  </si>
  <si>
    <t xml:space="preserve">AAACCACAGCGTCTCGTTGG</t>
  </si>
  <si>
    <t xml:space="preserve">TAGTAAACCACAGCGTCTCGTTGG</t>
  </si>
  <si>
    <t xml:space="preserve">AAACCCAACGAGACGCTGTGGTTT</t>
  </si>
  <si>
    <t xml:space="preserve">CTTGAGCACGTCGAACGGGT</t>
  </si>
  <si>
    <t xml:space="preserve">TAGTCTTGAGCACGTCGAACGGGT</t>
  </si>
  <si>
    <t xml:space="preserve">AAACACCCGTTCGACGTGCTCAAG</t>
  </si>
  <si>
    <t xml:space="preserve">PST_1388</t>
  </si>
  <si>
    <t xml:space="preserve">flgB</t>
  </si>
  <si>
    <t xml:space="preserve">CTTGTCGAAACTGATGCTCA</t>
  </si>
  <si>
    <t xml:space="preserve">TAGTCTTGTCGAAACTGATGCTCA</t>
  </si>
  <si>
    <t xml:space="preserve">AAACTGAGCATCAGTTTCGACAAG</t>
  </si>
  <si>
    <t xml:space="preserve">CGCCTTTTCGTGAATGCCCA</t>
  </si>
  <si>
    <t xml:space="preserve">TAGTCGCCTTTTCGTGAATGCCCA</t>
  </si>
  <si>
    <t xml:space="preserve">AAACTGGGCATTCACGAAAAGGCG</t>
  </si>
  <si>
    <t xml:space="preserve">GATGTTGTTCGCCAGCACTT</t>
  </si>
  <si>
    <t xml:space="preserve">TAGTGATGTTGTTCGCCAGCACTT</t>
  </si>
  <si>
    <t xml:space="preserve">AAACAAGTGCTGGCGAACAACATC</t>
  </si>
  <si>
    <t xml:space="preserve">GTAATTGGGCGTATCGGCGT</t>
  </si>
  <si>
    <t xml:space="preserve">TAGTGTAATTGGGCGTATCGGCGT</t>
  </si>
  <si>
    <t xml:space="preserve">AAACACGCCGATACGCCCAATTAC</t>
  </si>
  <si>
    <t xml:space="preserve">PST_1389</t>
  </si>
  <si>
    <t xml:space="preserve">flgC</t>
  </si>
  <si>
    <t xml:space="preserve">GGTGTTCAGGCGAGTGCTCT</t>
  </si>
  <si>
    <t xml:space="preserve">TAGTGGTGTTCAGGCGAGTGCTCT</t>
  </si>
  <si>
    <t xml:space="preserve">AAACAGAGCACTCGCCTGAACACC</t>
  </si>
  <si>
    <t xml:space="preserve">GTTGGCGATGTTGCTGGAAA</t>
  </si>
  <si>
    <t xml:space="preserve">TAGTGTTGGCGATGTTGCTGGAAA</t>
  </si>
  <si>
    <t xml:space="preserve">AAACTTTCCAGCAACATCGCCAAC</t>
  </si>
  <si>
    <t xml:space="preserve">GACGCTGGAGGACACCGTTT</t>
  </si>
  <si>
    <t xml:space="preserve">TAGTGACGCTGGAGGACACCGTTT</t>
  </si>
  <si>
    <t xml:space="preserve">AAACAAACGGTGTCCTCCAGCGTC</t>
  </si>
  <si>
    <t xml:space="preserve">GATGGCGGGCCCGGTAGGTC</t>
  </si>
  <si>
    <t xml:space="preserve">TAGTGATGGCGGGCCCGGTAGGTC</t>
  </si>
  <si>
    <t xml:space="preserve">AAACGACCTACCGGGCCCGCCATC</t>
  </si>
  <si>
    <t xml:space="preserve">PST_1390</t>
  </si>
  <si>
    <t xml:space="preserve">flgD</t>
  </si>
  <si>
    <t xml:space="preserve">AACAGTACTACTCACGCTAC</t>
  </si>
  <si>
    <t xml:space="preserve">TAGTAACAGTACTACTCACGCTAC</t>
  </si>
  <si>
    <t xml:space="preserve">AAACGTAGCGTGAGTAGTACTGTT</t>
  </si>
  <si>
    <t xml:space="preserve">CGAGGATGAAGTGTCCGTAC</t>
  </si>
  <si>
    <t xml:space="preserve">TAGTCGAGGATGAAGTGTCCGTAC</t>
  </si>
  <si>
    <t xml:space="preserve">AAACGTACGGACACTTCATCCTCG</t>
  </si>
  <si>
    <t xml:space="preserve">CTGTTATCTTGCGGATCCAG</t>
  </si>
  <si>
    <t xml:space="preserve">TAGTCTGTTATCTTGCGGATCCAG</t>
  </si>
  <si>
    <t xml:space="preserve">AAACCTGGATCCGCAAGATAACAG</t>
  </si>
  <si>
    <t xml:space="preserve">CGACTCAAGACTGCTGAACT</t>
  </si>
  <si>
    <t xml:space="preserve">TAGTCGACTCAAGACTGCTGAACT</t>
  </si>
  <si>
    <t xml:space="preserve">AAACAGTTCAGCAGTCTTGAGTCG</t>
  </si>
  <si>
    <t xml:space="preserve">PST_1391</t>
  </si>
  <si>
    <t xml:space="preserve">flgE</t>
  </si>
  <si>
    <t xml:space="preserve">GATCCGTGCTGGCCGCATTC</t>
  </si>
  <si>
    <t xml:space="preserve">TAGTGATCCGTGCTGGCCGCATTC</t>
  </si>
  <si>
    <t xml:space="preserve">AAACGAATGCGGCCAGCACGGATC</t>
  </si>
  <si>
    <t xml:space="preserve">TGCGCGCGAAGCTTTGAAGC</t>
  </si>
  <si>
    <t xml:space="preserve">TAGTTGCGCGCGAAGCTTTGAAGC</t>
  </si>
  <si>
    <t xml:space="preserve">AAACGCTTCAAAGCTTCGCGCGCA</t>
  </si>
  <si>
    <t xml:space="preserve">TCCGGAGCCGAGCATGGAGG</t>
  </si>
  <si>
    <t xml:space="preserve">TAGTTCCGGAGCCGAGCATGGAGG</t>
  </si>
  <si>
    <t xml:space="preserve">AAACCCTCCATGCTCGGCTCCGGA</t>
  </si>
  <si>
    <t xml:space="preserve">ATTCCCCTGGGTAAATTGCT</t>
  </si>
  <si>
    <t xml:space="preserve">TAGTATTCCCCTGGGTAAATTGCT</t>
  </si>
  <si>
    <t xml:space="preserve">AAACAGCAATTTACCCAGGGGAAT</t>
  </si>
  <si>
    <t xml:space="preserve">PST_1392</t>
  </si>
  <si>
    <t xml:space="preserve">flgF</t>
  </si>
  <si>
    <t xml:space="preserve">GACATGGCGTAGACGCGGGC</t>
  </si>
  <si>
    <t xml:space="preserve">TAGTGACATGGCGTAGACGCGGGC</t>
  </si>
  <si>
    <t xml:space="preserve">AAACGCCCGCGTCTACGCCATGTC</t>
  </si>
  <si>
    <t xml:space="preserve">CCGGCGGTGAAATCGGTACC</t>
  </si>
  <si>
    <t xml:space="preserve">TAGTCCGGCGGTGAAATCGGTACC</t>
  </si>
  <si>
    <t xml:space="preserve">AAACGGTACCGATTTCACCGCCGG</t>
  </si>
  <si>
    <t xml:space="preserve">GGCGACGTCCAGATCACGAC</t>
  </si>
  <si>
    <t xml:space="preserve">TAGTGGCGACGTCCAGATCACGAC</t>
  </si>
  <si>
    <t xml:space="preserve">AAACGTCGTGATCTGGACGTCGCC</t>
  </si>
  <si>
    <t xml:space="preserve">GACCCAGCCCTCGCCTTCGA</t>
  </si>
  <si>
    <t xml:space="preserve">TAGTGACCCAGCCCTCGCCTTCGA</t>
  </si>
  <si>
    <t xml:space="preserve">AAACTCGAAGGCGAGGGCTGGGTC</t>
  </si>
  <si>
    <t xml:space="preserve">PST_1393</t>
  </si>
  <si>
    <t xml:space="preserve">flgG</t>
  </si>
  <si>
    <t xml:space="preserve">GTCTTGCTGACCCAAAGTGC</t>
  </si>
  <si>
    <t xml:space="preserve">TAGTGTCTTGCTGACCCAAAGTGC</t>
  </si>
  <si>
    <t xml:space="preserve">AAACGCACTTTGGGTCAGCAAGAC</t>
  </si>
  <si>
    <t xml:space="preserve">CATGTCCTGGGCGGACAAAC</t>
  </si>
  <si>
    <t xml:space="preserve">TAGTCATGTCCTGGGCGGACAAAC</t>
  </si>
  <si>
    <t xml:space="preserve">AAACGTTTGTCCGCCCAGGACATG</t>
  </si>
  <si>
    <t xml:space="preserve">GGTTGTTGGAAATGGTCGTC</t>
  </si>
  <si>
    <t xml:space="preserve">TAGTGGTTGTTGGAAATGGTCGTC</t>
  </si>
  <si>
    <t xml:space="preserve">AAACGACGACCATTTCCAACAACC</t>
  </si>
  <si>
    <t xml:space="preserve">CGGTGGTGGAAACGTTGGCC</t>
  </si>
  <si>
    <t xml:space="preserve">TAGTCGGTGGTGGAAACGTTGGCC</t>
  </si>
  <si>
    <t xml:space="preserve">AAACGGCCAACGTTTCCACCACCG</t>
  </si>
  <si>
    <t xml:space="preserve">PST_1394</t>
  </si>
  <si>
    <t xml:space="preserve">flgH</t>
  </si>
  <si>
    <t xml:space="preserve">GCGAGACAACAATCAACAAG</t>
  </si>
  <si>
    <t xml:space="preserve">TAGTGCGAGACAACAATCAACAAG</t>
  </si>
  <si>
    <t xml:space="preserve">AAACCTTGTTGATTGTTGTCTCGC</t>
  </si>
  <si>
    <t xml:space="preserve">GCACCCGGCCAGCGCGAAGG</t>
  </si>
  <si>
    <t xml:space="preserve">TAGTGCACCCGGCCAGCGCGAAGG</t>
  </si>
  <si>
    <t xml:space="preserve">AAACCCTTCGCGCTGGCCGGGTGC</t>
  </si>
  <si>
    <t xml:space="preserve">ATCGTTCGGCTTGGGCGCGG</t>
  </si>
  <si>
    <t xml:space="preserve">TAGTATCGTTCGGCTTGGGCGCGG</t>
  </si>
  <si>
    <t xml:space="preserve">AAACCCGCGCCCAAGCCGAACGAT</t>
  </si>
  <si>
    <t xml:space="preserve">GGCAGCACCGGTGCGTAGTA</t>
  </si>
  <si>
    <t xml:space="preserve">TAGTGGCAGCACCGGTGCGTAGTA</t>
  </si>
  <si>
    <t xml:space="preserve">AAACTACTACGCACCGGTGCTGCC</t>
  </si>
  <si>
    <t xml:space="preserve">PST_1395</t>
  </si>
  <si>
    <t xml:space="preserve">flgI</t>
  </si>
  <si>
    <t xml:space="preserve">CCAGCAGCAACCCGGTGAGC</t>
  </si>
  <si>
    <t xml:space="preserve">TAGTCCAGCAGCAACCCGGTGAGC</t>
  </si>
  <si>
    <t xml:space="preserve">AAACGCTCACCGGGTTGCTGCTGG</t>
  </si>
  <si>
    <t xml:space="preserve">CTTGAGGCGCTCGGCCTGGG</t>
  </si>
  <si>
    <t xml:space="preserve">TAGTCTTGAGGCGCTCGGCCTGGG</t>
  </si>
  <si>
    <t xml:space="preserve">AAACCCCAGGCCGAGCGCCTCAAG</t>
  </si>
  <si>
    <t xml:space="preserve">GTTGGCGCGCACGCCATGGA</t>
  </si>
  <si>
    <t xml:space="preserve">TAGTGTTGGCGCGCACGCCATGGA</t>
  </si>
  <si>
    <t xml:space="preserve">AAACTCCATGGCGTGCGCGCCAAC</t>
  </si>
  <si>
    <t xml:space="preserve">CCAGCCCGTAACCGATCAAC</t>
  </si>
  <si>
    <t xml:space="preserve">TAGTCCAGCCCGTAACCGATCAAC</t>
  </si>
  <si>
    <t xml:space="preserve">AAACGTTGATCGGTTACGGGCTGG</t>
  </si>
  <si>
    <t xml:space="preserve">PST_1396</t>
  </si>
  <si>
    <t xml:space="preserve">flgJ</t>
  </si>
  <si>
    <t xml:space="preserve">GCTGGCAAGGCGATTGTCCA</t>
  </si>
  <si>
    <t xml:space="preserve">TAGTGCTGGCAAGGCGATTGTCCA</t>
  </si>
  <si>
    <t xml:space="preserve">AAACTGGACAATCGCCTTGCCAGC</t>
  </si>
  <si>
    <t xml:space="preserve">CGGTGTAGCTGCCGCTGTCG</t>
  </si>
  <si>
    <t xml:space="preserve">TAGTCGGTGTAGCTGCCGCTGTCG</t>
  </si>
  <si>
    <t xml:space="preserve">AAACCGACAGCGGCAGCTACACCG</t>
  </si>
  <si>
    <t xml:space="preserve">CTGGCTGAGACGGTTGAGGT</t>
  </si>
  <si>
    <t xml:space="preserve">TAGTCTGGCTGAGACGGTTGAGGT</t>
  </si>
  <si>
    <t xml:space="preserve">AAACACCTCAACCGTCTCAGCCAG</t>
  </si>
  <si>
    <t xml:space="preserve">GCACGTTCTCTTCACCATCC</t>
  </si>
  <si>
    <t xml:space="preserve">TAGTGCACGTTCTCTTCACCATCC</t>
  </si>
  <si>
    <t xml:space="preserve">AAACGGATGGTGAAGAGAACGTGC</t>
  </si>
  <si>
    <t xml:space="preserve">PST_1397</t>
  </si>
  <si>
    <t xml:space="preserve">flgK</t>
  </si>
  <si>
    <t xml:space="preserve">GGAAAGCCCCGACAGCCCGA</t>
  </si>
  <si>
    <t xml:space="preserve">TAGTGGAAAGCCCCGACAGCCCGA</t>
  </si>
  <si>
    <t xml:space="preserve">AAACTCGGGCTGTCGGGGCTTTCC</t>
  </si>
  <si>
    <t xml:space="preserve">CGCAAGTGCCGTTTGGCTGG</t>
  </si>
  <si>
    <t xml:space="preserve">TAGTCGCAAGTGCCGTTTGGCTGG</t>
  </si>
  <si>
    <t xml:space="preserve">AAACCCAGCCAAACGGCACTTGCG</t>
  </si>
  <si>
    <t xml:space="preserve">GACGTTGGCGATATTGTTAC</t>
  </si>
  <si>
    <t xml:space="preserve">TAGTGACGTTGGCGATATTGTTAC</t>
  </si>
  <si>
    <t xml:space="preserve">AAACGTAACAATATCGCCAACGTC</t>
  </si>
  <si>
    <t xml:space="preserve">GGATTGTCGCGAGTACCCGG</t>
  </si>
  <si>
    <t xml:space="preserve">TAGTGGATTGTCGCGAGTACCCGG</t>
  </si>
  <si>
    <t xml:space="preserve">AAACCCGGGTACTCGCGACAATCC</t>
  </si>
  <si>
    <t xml:space="preserve">PST_1398</t>
  </si>
  <si>
    <t xml:space="preserve">flgL</t>
  </si>
  <si>
    <t xml:space="preserve">CGAACTGTAGATCAGCGAAG</t>
  </si>
  <si>
    <t xml:space="preserve">TAGTCGAACTGTAGATCAGCGAAG</t>
  </si>
  <si>
    <t xml:space="preserve">AAACCTTCGCTGATCTACAGTTCG</t>
  </si>
  <si>
    <t xml:space="preserve">CGCATAGCCCTTCTGATAGC</t>
  </si>
  <si>
    <t xml:space="preserve">TAGTCGCATAGCCCTTCTGATAGC</t>
  </si>
  <si>
    <t xml:space="preserve">AAACGCTATCAGAAGGGCTATGCG</t>
  </si>
  <si>
    <t xml:space="preserve">CCGGGTCGTCTGCCGGTGTC</t>
  </si>
  <si>
    <t xml:space="preserve">TAGTCCGGGTCGTCTGCCGGTGTC</t>
  </si>
  <si>
    <t xml:space="preserve">AAACGACACCGGCAGACGACCCGG</t>
  </si>
  <si>
    <t xml:space="preserve">TCGCGGTCGTCAGGTTGCCC</t>
  </si>
  <si>
    <t xml:space="preserve">TAGTTCGCGGTCGTCAGGTTGCCC</t>
  </si>
  <si>
    <t xml:space="preserve">AAACGGGCAACCTGACGACCGCGA</t>
  </si>
  <si>
    <t xml:space="preserve">PST_1399</t>
  </si>
  <si>
    <t xml:space="preserve">TTTCAAGCGTAAGAGCGTGG</t>
  </si>
  <si>
    <t xml:space="preserve">TAGTTTTCAAGCGTAAGAGCGTGG</t>
  </si>
  <si>
    <t xml:space="preserve">AAACCCACGCTCTTACGCTTGAAA</t>
  </si>
  <si>
    <t xml:space="preserve">TTCATACGTTGCCTCGACTC</t>
  </si>
  <si>
    <t xml:space="preserve">TAGTTTCATACGTTGCCTCGACTC</t>
  </si>
  <si>
    <t xml:space="preserve">AAACGAGTCGAGGCAACGTATGAA</t>
  </si>
  <si>
    <t xml:space="preserve">PST_1400</t>
  </si>
  <si>
    <t xml:space="preserve">cysC</t>
  </si>
  <si>
    <t xml:space="preserve">CGACCCTATTTCTTATGAAA</t>
  </si>
  <si>
    <t xml:space="preserve">TAGTCGACCCTATTTCTTATGAAA</t>
  </si>
  <si>
    <t xml:space="preserve">AAACTTTCATAAGAAATAGGGTCG</t>
  </si>
  <si>
    <t xml:space="preserve">CTCGTCGGAAGTTGCCAGAT</t>
  </si>
  <si>
    <t xml:space="preserve">TAGTCTCGTCGGAAGTTGCCAGAT</t>
  </si>
  <si>
    <t xml:space="preserve">AAACATCTGGCAACTTCCGACGAG</t>
  </si>
  <si>
    <t xml:space="preserve">GCCACAAGGTCACAGGTATC</t>
  </si>
  <si>
    <t xml:space="preserve">TAGTGCCACAAGGTCACAGGTATC</t>
  </si>
  <si>
    <t xml:space="preserve">AAACGATACCTGTGACCTTGTGGC</t>
  </si>
  <si>
    <t xml:space="preserve">CTTTCCCGCACCGCTAAGGC</t>
  </si>
  <si>
    <t xml:space="preserve">TAGTCTTTCCCGCACCGCTAAGGC</t>
  </si>
  <si>
    <t xml:space="preserve">AAACGCCTTAGCGGTGCGGGAAAG</t>
  </si>
  <si>
    <t xml:space="preserve">PST_1401</t>
  </si>
  <si>
    <t xml:space="preserve">GACTATCTTGCCGGGAGTAT</t>
  </si>
  <si>
    <t xml:space="preserve">TAGTGACTATCTTGCCGGGAGTAT</t>
  </si>
  <si>
    <t xml:space="preserve">AAACATACTCCCGGCAAGATAGTC</t>
  </si>
  <si>
    <t xml:space="preserve">ATCCGCTACGGGGAATGAAA</t>
  </si>
  <si>
    <t xml:space="preserve">TAGTATCCGCTACGGGGAATGAAA</t>
  </si>
  <si>
    <t xml:space="preserve">AAACTTTCATTCCCCGTAGCGGAT</t>
  </si>
  <si>
    <t xml:space="preserve">GATCAGGTCTGCCAAGAGGT</t>
  </si>
  <si>
    <t xml:space="preserve">TAGTGATCAGGTCTGCCAAGAGGT</t>
  </si>
  <si>
    <t xml:space="preserve">AAACACCTCTTGGCAGACCTGATC</t>
  </si>
  <si>
    <t xml:space="preserve">AACCGATTCTACCAACCTGC</t>
  </si>
  <si>
    <t xml:space="preserve">TAGTAACCGATTCTACCAACCTGC</t>
  </si>
  <si>
    <t xml:space="preserve">AAACGCAGGTTGGTAGAATCGGTT</t>
  </si>
  <si>
    <t xml:space="preserve">PST_1402</t>
  </si>
  <si>
    <t xml:space="preserve">CTGCGAAGTAGCGCAGGGAA</t>
  </si>
  <si>
    <t xml:space="preserve">TAGTCTGCGAAGTAGCGCAGGGAA</t>
  </si>
  <si>
    <t xml:space="preserve">AAACTTCCCTGCGCTACTTCGCAG</t>
  </si>
  <si>
    <t xml:space="preserve">CAACACTCTCGCCATGTCGA</t>
  </si>
  <si>
    <t xml:space="preserve">TAGTCAACACTCTCGCCATGTCGA</t>
  </si>
  <si>
    <t xml:space="preserve">AAACTCGACATGGCGAGAGTGTTG</t>
  </si>
  <si>
    <t xml:space="preserve">ATGAACCTTCCAGCCCATGC</t>
  </si>
  <si>
    <t xml:space="preserve">TAGTATGAACCTTCCAGCCCATGC</t>
  </si>
  <si>
    <t xml:space="preserve">AAACGCATGGGCTGGAAGGTTCAT</t>
  </si>
  <si>
    <t xml:space="preserve">GTCGATCCAGCCGACCTCGA</t>
  </si>
  <si>
    <t xml:space="preserve">TAGTGTCGATCCAGCCGACCTCGA</t>
  </si>
  <si>
    <t xml:space="preserve">AAACTCGAGGTCGGCTGGATCGAC</t>
  </si>
  <si>
    <t xml:space="preserve">PST_1403</t>
  </si>
  <si>
    <t xml:space="preserve">CATGGATAAAAAGAACGTCC</t>
  </si>
  <si>
    <t xml:space="preserve">TAGTCATGGATAAAAAGAACGTCC</t>
  </si>
  <si>
    <t xml:space="preserve">AAACGGACGTTCTTTTTATCCATG</t>
  </si>
  <si>
    <t xml:space="preserve">CCCGGGCTCCTACGCTCGAG</t>
  </si>
  <si>
    <t xml:space="preserve">TAGTCCCGGGCTCCTACGCTCGAG</t>
  </si>
  <si>
    <t xml:space="preserve">AAACCTCGAGCGTAGGAGCCCGGG</t>
  </si>
  <si>
    <t xml:space="preserve">TCCGGATAGCCAGCAGAACC</t>
  </si>
  <si>
    <t xml:space="preserve">TAGTTCCGGATAGCCAGCAGAACC</t>
  </si>
  <si>
    <t xml:space="preserve">AAACGGTTCTGCTGGCTATCCGGA</t>
  </si>
  <si>
    <t xml:space="preserve">CACACCGAACCCGTAGGAGC</t>
  </si>
  <si>
    <t xml:space="preserve">TAGTCACACCGAACCCGTAGGAGC</t>
  </si>
  <si>
    <t xml:space="preserve">AAACGCTCCTACGGGTTCGGTGTG</t>
  </si>
  <si>
    <t xml:space="preserve">PST_1404</t>
  </si>
  <si>
    <t xml:space="preserve">fliC</t>
  </si>
  <si>
    <t xml:space="preserve">CGATGCAACGTTGGTGTTGA</t>
  </si>
  <si>
    <t xml:space="preserve">TAGTCGATGCAACGTTGGTGTTGA</t>
  </si>
  <si>
    <t xml:space="preserve">AAACTCAACACCAACGTTGCATCG</t>
  </si>
  <si>
    <t xml:space="preserve">GGCCCGGTTCAGGTTTTTCT</t>
  </si>
  <si>
    <t xml:space="preserve">TAGTGGCCCGGTTCAGGTTTTTCT</t>
  </si>
  <si>
    <t xml:space="preserve">AAACAGAAAAACCTGAACCGGGCC</t>
  </si>
  <si>
    <t xml:space="preserve">GGTGGTGGACAGGGCCTCGG</t>
  </si>
  <si>
    <t xml:space="preserve">TAGTGGTGGTGGACAGGGCCTCGG</t>
  </si>
  <si>
    <t xml:space="preserve">AAACCCGAGGCCCTGTCCACCACC</t>
  </si>
  <si>
    <t xml:space="preserve">TGATCTTCAGGCCGCTGGAC</t>
  </si>
  <si>
    <t xml:space="preserve">TAGTTGATCTTCAGGCCGCTGGAC</t>
  </si>
  <si>
    <t xml:space="preserve">AAACGTCCAGCGGCCTGAAGATCA</t>
  </si>
  <si>
    <t xml:space="preserve">PST_1405</t>
  </si>
  <si>
    <t xml:space="preserve">GGTAACGAGCTGAATGGTCA</t>
  </si>
  <si>
    <t xml:space="preserve">TAGTGGTAACGAGCTGAATGGTCA</t>
  </si>
  <si>
    <t xml:space="preserve">AAACTGACCATTCAGCTCGTTACC</t>
  </si>
  <si>
    <t xml:space="preserve">CGCCTGCGCCGGCTGAGCCT</t>
  </si>
  <si>
    <t xml:space="preserve">TAGTCGCCTGCGCCGGCTGAGCCT</t>
  </si>
  <si>
    <t xml:space="preserve">AAACAGGCTCAGCCGGCGCAGGCG</t>
  </si>
  <si>
    <t xml:space="preserve">GAACCACCTGCTGTCGACTG</t>
  </si>
  <si>
    <t xml:space="preserve">TAGTGAACCACCTGCTGTCGACTG</t>
  </si>
  <si>
    <t xml:space="preserve">AAACCAGTCGACAGCAGGTGGTTC</t>
  </si>
  <si>
    <t xml:space="preserve">ACGAACCAGGTGATCCGCAG</t>
  </si>
  <si>
    <t xml:space="preserve">TAGTACGAACCAGGTGATCCGCAG</t>
  </si>
  <si>
    <t xml:space="preserve">AAACCTGCGGATCACCTGGTTCGT</t>
  </si>
  <si>
    <t xml:space="preserve">PST_1406</t>
  </si>
  <si>
    <t xml:space="preserve">ATCCAGCCCTGTACCCAGAC</t>
  </si>
  <si>
    <t xml:space="preserve">TAGTATCCAGCCCTGTACCCAGAC</t>
  </si>
  <si>
    <t xml:space="preserve">AAACGTCTGGGTACAGGGCTGGAT</t>
  </si>
  <si>
    <t xml:space="preserve">CTTTTCCGCATCGGCGATGG</t>
  </si>
  <si>
    <t xml:space="preserve">TAGTCTTTTCCGCATCGGCGATGG</t>
  </si>
  <si>
    <t xml:space="preserve">AAACCCATCGCCGATGCGGAAAAG</t>
  </si>
  <si>
    <t xml:space="preserve">CGGTCGATCTGCGCCTGCTT</t>
  </si>
  <si>
    <t xml:space="preserve">TAGTCGGTCGATCTGCGCCTGCTT</t>
  </si>
  <si>
    <t xml:space="preserve">AAACAAGCAGGCGCAGATCGACCG</t>
  </si>
  <si>
    <t xml:space="preserve">TTTCCGTCTTGGTCGTCAGC</t>
  </si>
  <si>
    <t xml:space="preserve">TAGTTTTCCGTCTTGGTCGTCAGC</t>
  </si>
  <si>
    <t xml:space="preserve">AAACGCTGACGACCAAGACGGAAA</t>
  </si>
  <si>
    <t xml:space="preserve">PST_1407</t>
  </si>
  <si>
    <t xml:space="preserve">TGCAACGGCAAGAAAGGTCT</t>
  </si>
  <si>
    <t xml:space="preserve">TAGTTGCAACGGCAAGAAAGGTCT</t>
  </si>
  <si>
    <t xml:space="preserve">AAACAGACCTTTCTTGCCGTTGCA</t>
  </si>
  <si>
    <t xml:space="preserve">AGCACTGGTAAGCAGCGCAA</t>
  </si>
  <si>
    <t xml:space="preserve">TAGTAGCACTGGTAAGCAGCGCAA</t>
  </si>
  <si>
    <t xml:space="preserve">AAACTTGCGCTGCTTACCAGTGCT</t>
  </si>
  <si>
    <t xml:space="preserve">GGATGCGGCATAGCCGGAGA</t>
  </si>
  <si>
    <t xml:space="preserve">TAGTGGATGCGGCATAGCCGGAGA</t>
  </si>
  <si>
    <t xml:space="preserve">AAACTCTCCGGCTATGCCGCATCC</t>
  </si>
  <si>
    <t xml:space="preserve">TGCCGCAGCGGGTTGTGACG</t>
  </si>
  <si>
    <t xml:space="preserve">TAGTTGCCGCAGCGGGTTGTGACG</t>
  </si>
  <si>
    <t xml:space="preserve">AAACCGTCACAACCCGCTGCGGCA</t>
  </si>
  <si>
    <t xml:space="preserve">PST_1408</t>
  </si>
  <si>
    <t xml:space="preserve">AAATAACGCATGAAATTCCA</t>
  </si>
  <si>
    <t xml:space="preserve">TAGTAAATAACGCATGAAATTCCA</t>
  </si>
  <si>
    <t xml:space="preserve">AAACTGGAATTTCATGCGTTATTT</t>
  </si>
  <si>
    <t xml:space="preserve">CGGATCAGACGCTGCGCGAG</t>
  </si>
  <si>
    <t xml:space="preserve">TAGTCGGATCAGACGCTGCGCGAG</t>
  </si>
  <si>
    <t xml:space="preserve">AAACCTCGCGCAGCGTCTGATCCG</t>
  </si>
  <si>
    <t xml:space="preserve">GCGCGGGAATTTTCCCCATG</t>
  </si>
  <si>
    <t xml:space="preserve">TAGTGCGCGGGAATTTTCCCCATG</t>
  </si>
  <si>
    <t xml:space="preserve">AAACCATGGGGAAAATTCCCGCGC</t>
  </si>
  <si>
    <t xml:space="preserve">CGACGATGATTTACGCGCCA</t>
  </si>
  <si>
    <t xml:space="preserve">TAGTCGACGATGATTTACGCGCCA</t>
  </si>
  <si>
    <t xml:space="preserve">AAACTGGCGCGTAAATCATCGTCG</t>
  </si>
  <si>
    <t xml:space="preserve">PST_1409</t>
  </si>
  <si>
    <t xml:space="preserve">CATGGCAGAACGGCATATTC</t>
  </si>
  <si>
    <t xml:space="preserve">TAGTCATGGCAGAACGGCATATTC</t>
  </si>
  <si>
    <t xml:space="preserve">AAACGAATATGCCGTTCTGCCATG</t>
  </si>
  <si>
    <t xml:space="preserve">CAACCGCGTTCAGCAGCGCC</t>
  </si>
  <si>
    <t xml:space="preserve">TAGTCAACCGCGTTCAGCAGCGCC</t>
  </si>
  <si>
    <t xml:space="preserve">AAACGGCGCTGCTGAACGCGGTTG</t>
  </si>
  <si>
    <t xml:space="preserve">CTCCATGACCGTCGTAGGCT</t>
  </si>
  <si>
    <t xml:space="preserve">TAGTCTCCATGACCGTCGTAGGCT</t>
  </si>
  <si>
    <t xml:space="preserve">AAACAGCCTACGACGGTCATGGAG</t>
  </si>
  <si>
    <t xml:space="preserve">AGTTGCTTCAGCGCCGGTTT</t>
  </si>
  <si>
    <t xml:space="preserve">TAGTAGTTGCTTCAGCGCCGGTTT</t>
  </si>
  <si>
    <t xml:space="preserve">AAACAAACCGGCGCTGAAGCAACT</t>
  </si>
  <si>
    <t xml:space="preserve">PST_1410</t>
  </si>
  <si>
    <t xml:space="preserve">ATGCTGGCGGCTGATGCTCA</t>
  </si>
  <si>
    <t xml:space="preserve">TAGTATGCTGGCGGCTGATGCTCA</t>
  </si>
  <si>
    <t xml:space="preserve">AAACTGAGCATCAGCCGCCAGCAT</t>
  </si>
  <si>
    <t xml:space="preserve">ATGGCGCTGGCGGCGCGCCT</t>
  </si>
  <si>
    <t xml:space="preserve">TAGTATGGCGCTGGCGGCGCGCCT</t>
  </si>
  <si>
    <t xml:space="preserve">AAACAGGCGCGCCGCCAGCGCCAT</t>
  </si>
  <si>
    <t xml:space="preserve">GCGCTCGAGCAGCGCCCGAT</t>
  </si>
  <si>
    <t xml:space="preserve">TAGTGCGCTCGAGCAGCGCCCGAT</t>
  </si>
  <si>
    <t xml:space="preserve">AAACATCGGGCGCTGCTCGAGCGC</t>
  </si>
  <si>
    <t xml:space="preserve">TGGCGGGTGTCGGCAACTGC</t>
  </si>
  <si>
    <t xml:space="preserve">TAGTTGGCGGGTGTCGGCAACTGC</t>
  </si>
  <si>
    <t xml:space="preserve">AAACGCAGTTGCCGACACCCGCCA</t>
  </si>
  <si>
    <t xml:space="preserve">PST_1411</t>
  </si>
  <si>
    <t xml:space="preserve">CTGTCGAACGGCCTGGCGCG</t>
  </si>
  <si>
    <t xml:space="preserve">TAGTCTGTCGAACGGCCTGGCGCG</t>
  </si>
  <si>
    <t xml:space="preserve">AAACCGCGCCAGGCCGTTCGACAG</t>
  </si>
  <si>
    <t xml:space="preserve">TCCATCCAGCGCCAGAGCTT</t>
  </si>
  <si>
    <t xml:space="preserve">TAGTTCCATCCAGCGCCAGAGCTT</t>
  </si>
  <si>
    <t xml:space="preserve">AAACAAGCTCTGGCGCTGGATGGA</t>
  </si>
  <si>
    <t xml:space="preserve">GTGCCGCCATCCGTGCGAAC</t>
  </si>
  <si>
    <t xml:space="preserve">TAGTGTGCCGCCATCCGTGCGAAC</t>
  </si>
  <si>
    <t xml:space="preserve">AAACGTTCGCACGGATGGCGGCAC</t>
  </si>
  <si>
    <t xml:space="preserve">GATGTGCCCGTAGAAGCTCT</t>
  </si>
  <si>
    <t xml:space="preserve">TAGTGATGTGCCCGTAGAAGCTCT</t>
  </si>
  <si>
    <t xml:space="preserve">AAACAGAGCTTCTACGGGCACATC</t>
  </si>
  <si>
    <t xml:space="preserve">PST_1412</t>
  </si>
  <si>
    <t xml:space="preserve">TGGTGATGTCGCCTTGAGCA</t>
  </si>
  <si>
    <t xml:space="preserve">TAGTTGGTGATGTCGCCTTGAGCA</t>
  </si>
  <si>
    <t xml:space="preserve">AAACTGCTCAAGGCGACATCACCA</t>
  </si>
  <si>
    <t xml:space="preserve">GACGATGGGTTGGAACAGGG</t>
  </si>
  <si>
    <t xml:space="preserve">TAGTGACGATGGGTTGGAACAGGG</t>
  </si>
  <si>
    <t xml:space="preserve">AAACCCCTGTTCCAACCCATCGTC</t>
  </si>
  <si>
    <t xml:space="preserve">GTAGCCGAGGATGCGGCGCT</t>
  </si>
  <si>
    <t xml:space="preserve">TAGTGTAGCCGAGGATGCGGCGCT</t>
  </si>
  <si>
    <t xml:space="preserve">AAACAGCGCCGCATCCTCGGCTAC</t>
  </si>
  <si>
    <t xml:space="preserve">AATGCAGCGGGCTGTTGGAC</t>
  </si>
  <si>
    <t xml:space="preserve">TAGTAATGCAGCGGGCTGTTGGAC</t>
  </si>
  <si>
    <t xml:space="preserve">AAACGTCCAACAGCCCGCTGCATT</t>
  </si>
  <si>
    <t xml:space="preserve">PST_1414</t>
  </si>
  <si>
    <t xml:space="preserve">prc</t>
  </si>
  <si>
    <t xml:space="preserve">ACGGATTGAACTCACTATGG</t>
  </si>
  <si>
    <t xml:space="preserve">TAGTACGGATTGAACTCACTATGG</t>
  </si>
  <si>
    <t xml:space="preserve">AAACCCATAGTGAGTTCAATCCGT</t>
  </si>
  <si>
    <t xml:space="preserve">AAGCGAGCGATCGGTTGAAC</t>
  </si>
  <si>
    <t xml:space="preserve">TAGTAAGCGAGCGATCGGTTGAAC</t>
  </si>
  <si>
    <t xml:space="preserve">AAACGTTCAACCGATCGCTCGCTT</t>
  </si>
  <si>
    <t xml:space="preserve">ATGAGCCCGATGGTAACAGC</t>
  </si>
  <si>
    <t xml:space="preserve">TAGTATGAGCCCGATGGTAACAGC</t>
  </si>
  <si>
    <t xml:space="preserve">AAACGCTGTTACCATCGGGCTCAT</t>
  </si>
  <si>
    <t xml:space="preserve">GTTCCGTTTCCGTCCGGCGG</t>
  </si>
  <si>
    <t xml:space="preserve">TAGTGTTCCGTTTCCGTCCGGCGG</t>
  </si>
  <si>
    <t xml:space="preserve">AAACCCGCCGGACGGAAACGGAAC</t>
  </si>
  <si>
    <t xml:space="preserve">PST_1413</t>
  </si>
  <si>
    <t xml:space="preserve">ACCTCGCCCTCAGCGCACGC</t>
  </si>
  <si>
    <t xml:space="preserve">TAGTACCTCGCCCTCAGCGCACGC</t>
  </si>
  <si>
    <t xml:space="preserve">AAACGCGTGCGCTGAGGGCGAGGT</t>
  </si>
  <si>
    <t xml:space="preserve">CGCCCGGTTGAGCCCGGCGG</t>
  </si>
  <si>
    <t xml:space="preserve">TAGTCGCCCGGTTGAGCCCGGCGG</t>
  </si>
  <si>
    <t xml:space="preserve">AAACCCGCCGGGCTCAACCGGGCG</t>
  </si>
  <si>
    <t xml:space="preserve">AGTGCCCCGCACGCTGAAGC</t>
  </si>
  <si>
    <t xml:space="preserve">TAGTAGTGCCCCGCACGCTGAAGC</t>
  </si>
  <si>
    <t xml:space="preserve">AAACGCTTCAGCGTGCGGGGCACT</t>
  </si>
  <si>
    <t xml:space="preserve">CGGTGACCCCGGCCGGCGGC</t>
  </si>
  <si>
    <t xml:space="preserve">TAGTCGGTGACCCCGGCCGGCGGC</t>
  </si>
  <si>
    <t xml:space="preserve">AAACGCCGCCGGCCGGGGTCACCG</t>
  </si>
  <si>
    <t xml:space="preserve">PST_1415</t>
  </si>
  <si>
    <t xml:space="preserve">GTCGGTGGGGGTGGTCCAGA</t>
  </si>
  <si>
    <t xml:space="preserve">TAGTGTCGGTGGGGGTGGTCCAGA</t>
  </si>
  <si>
    <t xml:space="preserve">AAACTCTGGACCACCCCCACCGAC</t>
  </si>
  <si>
    <t xml:space="preserve">GGCGTTGAAGCTGGGTTTTG</t>
  </si>
  <si>
    <t xml:space="preserve">TAGTGGCGTTGAAGCTGGGTTTTG</t>
  </si>
  <si>
    <t xml:space="preserve">AAACCAAAACCCAGCTTCAACGCC</t>
  </si>
  <si>
    <t xml:space="preserve">GCAGCGTGCCCTGGTCCCAG</t>
  </si>
  <si>
    <t xml:space="preserve">TAGTGCAGCGTGCCCTGGTCCCAG</t>
  </si>
  <si>
    <t xml:space="preserve">AAACCTGGGACCAGGGCACGCTGC</t>
  </si>
  <si>
    <t xml:space="preserve">AAGCGCCTCATCGGCCAGCG</t>
  </si>
  <si>
    <t xml:space="preserve">TAGTAAGCGCCTCATCGGCCAGCG</t>
  </si>
  <si>
    <t xml:space="preserve">AAACCGCTGGCCGATGAGGCGCTT</t>
  </si>
  <si>
    <t xml:space="preserve">PST_1416</t>
  </si>
  <si>
    <t xml:space="preserve">GTAGAAGCGCCATTCGCGGC</t>
  </si>
  <si>
    <t xml:space="preserve">TAGTGTAGAAGCGCCATTCGCGGC</t>
  </si>
  <si>
    <t xml:space="preserve">AAACGCCGCGAATGGCGCTTCTAC</t>
  </si>
  <si>
    <t xml:space="preserve">ATTCGCCACCTTCTCGATGA</t>
  </si>
  <si>
    <t xml:space="preserve">TAGTATTCGCCACCTTCTCGATGA</t>
  </si>
  <si>
    <t xml:space="preserve">AAACTCATCGAGAAGGTGGCGAAT</t>
  </si>
  <si>
    <t xml:space="preserve">GTTGCGCAATGTCGCATCGT</t>
  </si>
  <si>
    <t xml:space="preserve">TAGTGTTGCGCAATGTCGCATCGT</t>
  </si>
  <si>
    <t xml:space="preserve">AAACACGATGCGACATTGCGCAAC</t>
  </si>
  <si>
    <t xml:space="preserve">CGGCTTCTCCTATCAGTTCG</t>
  </si>
  <si>
    <t xml:space="preserve">TAGTCGGCTTCTCCTATCAGTTCG</t>
  </si>
  <si>
    <t xml:space="preserve">AAACCGAACTGATAGGAGAAGCCG</t>
  </si>
  <si>
    <t xml:space="preserve">PST_1417</t>
  </si>
  <si>
    <t xml:space="preserve">GTACCTCGAGGGCCGTATCG</t>
  </si>
  <si>
    <t xml:space="preserve">TAGTGTACCTCGAGGGCCGTATCG</t>
  </si>
  <si>
    <t xml:space="preserve">AAACCGATACGGCCCTCGAGGTAC</t>
  </si>
  <si>
    <t xml:space="preserve">GGCCAGTATCGGCTTGCTGC</t>
  </si>
  <si>
    <t xml:space="preserve">TAGTGGCCAGTATCGGCTTGCTGC</t>
  </si>
  <si>
    <t xml:space="preserve">AAACGCAGCAAGCCGATACTGGCC</t>
  </si>
  <si>
    <t xml:space="preserve">CCAGGCGGGCGACGCCGAAG</t>
  </si>
  <si>
    <t xml:space="preserve">TAGTCCAGGCGGGCGACGCCGAAG</t>
  </si>
  <si>
    <t xml:space="preserve">AAACCTTCGGCGTCGCCCGCCTGG</t>
  </si>
  <si>
    <t xml:space="preserve">TCCTGGCTGTCGAACCGAAC</t>
  </si>
  <si>
    <t xml:space="preserve">TAGTTCCTGGCTGTCGAACCGAAC</t>
  </si>
  <si>
    <t xml:space="preserve">AAACGTTCGGTTCGACAGCCAGGA</t>
  </si>
  <si>
    <t xml:space="preserve">PST_1418</t>
  </si>
  <si>
    <t xml:space="preserve">TCGAGCAGGGAAAGCGTGTC</t>
  </si>
  <si>
    <t xml:space="preserve">TAGTTCGAGCAGGGAAAGCGTGTC</t>
  </si>
  <si>
    <t xml:space="preserve">AAACGACACGCTTTCCCTGCTCGA</t>
  </si>
  <si>
    <t xml:space="preserve">ACCGGCGCGCTCGTCACTGC</t>
  </si>
  <si>
    <t xml:space="preserve">TAGTACCGGCGCGCTCGTCACTGC</t>
  </si>
  <si>
    <t xml:space="preserve">AAACGCAGTGACGAGCGCGCCGGT</t>
  </si>
  <si>
    <t xml:space="preserve">ACACCTCGATAGCGTGCAGG</t>
  </si>
  <si>
    <t xml:space="preserve">TAGTACACCTCGATAGCGTGCAGG</t>
  </si>
  <si>
    <t xml:space="preserve">AAACCCTGCACGCTATCGAGGTGT</t>
  </si>
  <si>
    <t xml:space="preserve">GCGCCAGACCCGCTGGTCGA</t>
  </si>
  <si>
    <t xml:space="preserve">TAGTGCGCCAGACCCGCTGGTCGA</t>
  </si>
  <si>
    <t xml:space="preserve">AAACTCGACCAGCGGGTCTGGCGC</t>
  </si>
  <si>
    <t xml:space="preserve">PST_1419</t>
  </si>
  <si>
    <t xml:space="preserve">CGAGAAGGCATTGTCGGGTG</t>
  </si>
  <si>
    <t xml:space="preserve">TAGTCGAGAAGGCATTGTCGGGTG</t>
  </si>
  <si>
    <t xml:space="preserve">AAACCACCCGACAATGCCTTCTCG</t>
  </si>
  <si>
    <t xml:space="preserve">GTAGAGCACGCCCTTGAACA</t>
  </si>
  <si>
    <t xml:space="preserve">TAGTGTAGAGCACGCCCTTGAACA</t>
  </si>
  <si>
    <t xml:space="preserve">AAACTGTTCAAGGGCGTGCTCTAC</t>
  </si>
  <si>
    <t xml:space="preserve">ACTGCGCGGCATCGTCCTCG</t>
  </si>
  <si>
    <t xml:space="preserve">TAGTACTGCGCGGCATCGTCCTCG</t>
  </si>
  <si>
    <t xml:space="preserve">AAACCGAGGACGATGCCGCGCAGT</t>
  </si>
  <si>
    <t xml:space="preserve">AATCGCGCGCGGCAGCTTGC</t>
  </si>
  <si>
    <t xml:space="preserve">TAGTAATCGCGCGCGGCAGCTTGC</t>
  </si>
  <si>
    <t xml:space="preserve">AAACGCAAGCTGCCGCGCGCGATT</t>
  </si>
  <si>
    <t xml:space="preserve">PST_1420</t>
  </si>
  <si>
    <t xml:space="preserve">GGCCGGATGGCGCTGGCGCA</t>
  </si>
  <si>
    <t xml:space="preserve">TAGTGGCCGGATGGCGCTGGCGCA</t>
  </si>
  <si>
    <t xml:space="preserve">AAACTGCGCCAGCGCCATCCGGCC</t>
  </si>
  <si>
    <t xml:space="preserve">GTCGGCGCGCAACAGTCGCC</t>
  </si>
  <si>
    <t xml:space="preserve">TAGTGTCGGCGCGCAACAGTCGCC</t>
  </si>
  <si>
    <t xml:space="preserve">AAACGGCGACTGTTGCGCGCCGAC</t>
  </si>
  <si>
    <t xml:space="preserve">AGCTCGCGATCAGCGGTGCA</t>
  </si>
  <si>
    <t xml:space="preserve">TAGTAGCTCGCGATCAGCGGTGCA</t>
  </si>
  <si>
    <t xml:space="preserve">AAACTGCACCGCTGATCGCGAGCT</t>
  </si>
  <si>
    <t xml:space="preserve">GCGCGACGAAGGCCTGTTGC</t>
  </si>
  <si>
    <t xml:space="preserve">TAGTGCGCGACGAAGGCCTGTTGC</t>
  </si>
  <si>
    <t xml:space="preserve">AAACGCAACAGGCCTTCGTCGCGC</t>
  </si>
  <si>
    <t xml:space="preserve">PST_1421</t>
  </si>
  <si>
    <t xml:space="preserve">TGGTTGAGTTCATCGCGCAT</t>
  </si>
  <si>
    <t xml:space="preserve">TAGTTGGTTGAGTTCATCGCGCAT</t>
  </si>
  <si>
    <t xml:space="preserve">AAACATGCGCGATGAACTCAACCA</t>
  </si>
  <si>
    <t xml:space="preserve">TGAGGTAATCGATCAGGCCC</t>
  </si>
  <si>
    <t xml:space="preserve">TAGTTGAGGTAATCGATCAGGCCC</t>
  </si>
  <si>
    <t xml:space="preserve">AAACGGGCCTGATCGATTACCTCA</t>
  </si>
  <si>
    <t xml:space="preserve">GGCATGGAAGGGGGTGGGGG</t>
  </si>
  <si>
    <t xml:space="preserve">TAGTGGCATGGAAGGGGGTGGGGG</t>
  </si>
  <si>
    <t xml:space="preserve">AAACCCCCCACCCCCTTCCATGCC</t>
  </si>
  <si>
    <t xml:space="preserve">GGTTTGGGCAAGGCTGGCGG</t>
  </si>
  <si>
    <t xml:space="preserve">TAGTGGTTTGGGCAAGGCTGGCGG</t>
  </si>
  <si>
    <t xml:space="preserve">AAACCCGCCAGCCTTGCCCAAACC</t>
  </si>
  <si>
    <t xml:space="preserve">PST_1422</t>
  </si>
  <si>
    <t xml:space="preserve">rluA</t>
  </si>
  <si>
    <t xml:space="preserve">TGGGCCGCCGTTTCTGTTGC</t>
  </si>
  <si>
    <t xml:space="preserve">TAGTTGGGCCGCCGTTTCTGTTGC</t>
  </si>
  <si>
    <t xml:space="preserve">AAACGCAACAGAAACGGCGGCCCA</t>
  </si>
  <si>
    <t xml:space="preserve">CAAACGAAGACGGCGACCCG</t>
  </si>
  <si>
    <t xml:space="preserve">TAGTCAAACGAAGACGGCGACCCG</t>
  </si>
  <si>
    <t xml:space="preserve">AAACCGGGTCGCCGTCTTCGTTTG</t>
  </si>
  <si>
    <t xml:space="preserve">ACAATCTGGATATTGCTCAA</t>
  </si>
  <si>
    <t xml:space="preserve">TAGTACAATCTGGATATTGCTCAA</t>
  </si>
  <si>
    <t xml:space="preserve">AAACTTGAGCAATATCCAGATTGT</t>
  </si>
  <si>
    <t xml:space="preserve">CCAGCAGCGCGGCGTCCTGG</t>
  </si>
  <si>
    <t xml:space="preserve">TAGTCCAGCAGCGCGGCGTCCTGG</t>
  </si>
  <si>
    <t xml:space="preserve">AAACCCAGGACGCCGCGCTGCTGG</t>
  </si>
  <si>
    <t xml:space="preserve">PST_1423</t>
  </si>
  <si>
    <t xml:space="preserve">minE</t>
  </si>
  <si>
    <t xml:space="preserve">CTCCTTCGCGATCGCGGCCG</t>
  </si>
  <si>
    <t xml:space="preserve">TAGTCTCCTTCGCGATCGCGGCCG</t>
  </si>
  <si>
    <t xml:space="preserve">AAACCGGCCGCGATCGCGAAGGAG</t>
  </si>
  <si>
    <t xml:space="preserve">GGTAGTCCGGCTCGCTGCGT</t>
  </si>
  <si>
    <t xml:space="preserve">TAGTGGTAGTCCGGCTCGCTGCGT</t>
  </si>
  <si>
    <t xml:space="preserve">AAACACGCAGCGAGCCGGACTACC</t>
  </si>
  <si>
    <t xml:space="preserve">ACCAGCTCTTTCTGCAGGGC</t>
  </si>
  <si>
    <t xml:space="preserve">TAGTACCAGCTCTTTCTGCAGGGC</t>
  </si>
  <si>
    <t xml:space="preserve">AAACGCCCTGCAGAAAGAGCTGGT</t>
  </si>
  <si>
    <t xml:space="preserve">TGTCGATATTGACGTACTTG</t>
  </si>
  <si>
    <t xml:space="preserve">TAGTTGTCGATATTGACGTACTTG</t>
  </si>
  <si>
    <t xml:space="preserve">AAACCAAGTACGTCAATATCGACA</t>
  </si>
  <si>
    <t xml:space="preserve">PST_1424</t>
  </si>
  <si>
    <t xml:space="preserve">minD</t>
  </si>
  <si>
    <t xml:space="preserve">CTTGTCCTTGATCAGGGCCT</t>
  </si>
  <si>
    <t xml:space="preserve">TAGTCTTGTCCTTGATCAGGGCCT</t>
  </si>
  <si>
    <t xml:space="preserve">AAACAGGCCCTGATCAAGGACAAG</t>
  </si>
  <si>
    <t xml:space="preserve">CCAGCACGTAAAGATTCTCC</t>
  </si>
  <si>
    <t xml:space="preserve">TAGTCCAGCACGTAAAGATTCTCC</t>
  </si>
  <si>
    <t xml:space="preserve">AAACGGAGAATCTTTACGTGCTGG</t>
  </si>
  <si>
    <t xml:space="preserve">GTCCTTGTCACGGGTCTGGC</t>
  </si>
  <si>
    <t xml:space="preserve">TAGTGTCCTTGTCACGGGTCTGGC</t>
  </si>
  <si>
    <t xml:space="preserve">AAACGCCAGACCCGTGACAAGGAC</t>
  </si>
  <si>
    <t xml:space="preserve">GCCGACGCCTTCCTGAGTCA</t>
  </si>
  <si>
    <t xml:space="preserve">TAGTGCCGACGCCTTCCTGAGTCA</t>
  </si>
  <si>
    <t xml:space="preserve">AAACTGACTCAGGAAGGCGTCGGC</t>
  </si>
  <si>
    <t xml:space="preserve">PST_1425</t>
  </si>
  <si>
    <t xml:space="preserve">minC</t>
  </si>
  <si>
    <t xml:space="preserve">GGGAAGGTCGGCTTGGCTCA</t>
  </si>
  <si>
    <t xml:space="preserve">TAGTGGGAAGGTCGGCTTGGCTCA</t>
  </si>
  <si>
    <t xml:space="preserve">AAACTGAGCCAAGCCGACCTTCCC</t>
  </si>
  <si>
    <t xml:space="preserve">TGGAAGGCAGGGGCGGGTTC</t>
  </si>
  <si>
    <t xml:space="preserve">TAGTTGGAAGGCAGGGGCGGGTTC</t>
  </si>
  <si>
    <t xml:space="preserve">AAACGAACCCGCCCCTGCCTTCCA</t>
  </si>
  <si>
    <t xml:space="preserve">CGAGCATGCTGCCCTTGAGC</t>
  </si>
  <si>
    <t xml:space="preserve">TAGTCGAGCATGCTGCCCTTGAGC</t>
  </si>
  <si>
    <t xml:space="preserve">AAACGCTCAAGGGCAGCATGCTCG</t>
  </si>
  <si>
    <t xml:space="preserve">CGCCAGTTCCAGCACGGTGA</t>
  </si>
  <si>
    <t xml:space="preserve">TAGTCGCCAGTTCCAGCACGGTGA</t>
  </si>
  <si>
    <t xml:space="preserve">AAACTCACCGTGCTGGAACTGGCG</t>
  </si>
  <si>
    <t xml:space="preserve">PST_1426</t>
  </si>
  <si>
    <t xml:space="preserve">htrB</t>
  </si>
  <si>
    <t xml:space="preserve">TCGCCCGCGGTTGCAGGCGG</t>
  </si>
  <si>
    <t xml:space="preserve">TAGTTCGCCCGCGGTTGCAGGCGG</t>
  </si>
  <si>
    <t xml:space="preserve">AAACCCGCCTGCAACCGCGGGCGA</t>
  </si>
  <si>
    <t xml:space="preserve">ATGACCGAACCTCAGGACAC</t>
  </si>
  <si>
    <t xml:space="preserve">TAGTATGACCGAACCTCAGGACAC</t>
  </si>
  <si>
    <t xml:space="preserve">AAACGTGTCCTGAGGTTCGGTCAT</t>
  </si>
  <si>
    <t xml:space="preserve">ACGCATTCTAGCGAGAAACA</t>
  </si>
  <si>
    <t xml:space="preserve">TAGTACGCATTCTAGCGAGAAACA</t>
  </si>
  <si>
    <t xml:space="preserve">AAACTGTTTCTCGCTAGAATGCGT</t>
  </si>
  <si>
    <t xml:space="preserve">ATCCATGAATAGCTCGAAAC</t>
  </si>
  <si>
    <t xml:space="preserve">TAGTATCCATGAATAGCTCGAAAC</t>
  </si>
  <si>
    <t xml:space="preserve">AAACGTTTCGAGCTATTCATGGAT</t>
  </si>
  <si>
    <t xml:space="preserve">PST_1427</t>
  </si>
  <si>
    <t xml:space="preserve">GATGATTTCGCGCAGGGACA</t>
  </si>
  <si>
    <t xml:space="preserve">TAGTGATGATTTCGCGCAGGGACA</t>
  </si>
  <si>
    <t xml:space="preserve">AAACTGTCCCTGCGCGAAATCATC</t>
  </si>
  <si>
    <t xml:space="preserve">GGTGGGGCGGCCGCGGGTGA</t>
  </si>
  <si>
    <t xml:space="preserve">TAGTGGTGGGGCGGCCGCGGGTGA</t>
  </si>
  <si>
    <t xml:space="preserve">AAACTCACCCGCGGCCGCCCCACC</t>
  </si>
  <si>
    <t xml:space="preserve">GCTCACCCCGGCGCCATCGG</t>
  </si>
  <si>
    <t xml:space="preserve">TAGTGCTCACCCCGGCGCCATCGG</t>
  </si>
  <si>
    <t xml:space="preserve">AAACCCGATGGCGCCGGGGTGAGC</t>
  </si>
  <si>
    <t xml:space="preserve">CCCCGCCGAACACGCGGGTC</t>
  </si>
  <si>
    <t xml:space="preserve">TAGTCCCCGCCGAACACGCGGGTC</t>
  </si>
  <si>
    <t xml:space="preserve">AAACGACCCGCGTGTTCGGCGGGG</t>
  </si>
  <si>
    <t xml:space="preserve">PST_1428</t>
  </si>
  <si>
    <t xml:space="preserve">GCGCATAAACTCCGTTTTTT</t>
  </si>
  <si>
    <t xml:space="preserve">TAGTGCGCATAAACTCCGTTTTTT</t>
  </si>
  <si>
    <t xml:space="preserve">AAACAAAAAACGGAGTTTATGCGC</t>
  </si>
  <si>
    <t xml:space="preserve">CGTTGAAAAACTATCTGCAT</t>
  </si>
  <si>
    <t xml:space="preserve">TAGTCGTTGAAAAACTATCTGCAT</t>
  </si>
  <si>
    <t xml:space="preserve">AAACATGCAGATAGTTTTTCAACG</t>
  </si>
  <si>
    <t xml:space="preserve">CATGGAGGTGGCCAGCAGCA</t>
  </si>
  <si>
    <t xml:space="preserve">TAGTCATGGAGGTGGCCAGCAGCA</t>
  </si>
  <si>
    <t xml:space="preserve">AAACTGCTGCTGGCCACCTCCATG</t>
  </si>
  <si>
    <t xml:space="preserve">GACGAAGGGCGTTTGTGCCT</t>
  </si>
  <si>
    <t xml:space="preserve">TAGTGACGAAGGGCGTTTGTGCCT</t>
  </si>
  <si>
    <t xml:space="preserve">AAACAGGCACAAACGCCCTTCGTC</t>
  </si>
  <si>
    <t xml:space="preserve">PST_1429</t>
  </si>
  <si>
    <t xml:space="preserve">GCAGTCAGGCGCAACAACAG</t>
  </si>
  <si>
    <t xml:space="preserve">TAGTGCAGTCAGGCGCAACAACAG</t>
  </si>
  <si>
    <t xml:space="preserve">AAACCTGTTGTTGCGCCTGACTGC</t>
  </si>
  <si>
    <t xml:space="preserve">CGCGACGACCAGCGCGAGCA</t>
  </si>
  <si>
    <t xml:space="preserve">TAGTCGCGACGACCAGCGCGAGCA</t>
  </si>
  <si>
    <t xml:space="preserve">AAACTGCTCGCGCTGGTCGTCGCG</t>
  </si>
  <si>
    <t xml:space="preserve">TTCGGCGGGGCTCAGCTCGG</t>
  </si>
  <si>
    <t xml:space="preserve">TAGTTTCGGCGGGGCTCAGCTCGG</t>
  </si>
  <si>
    <t xml:space="preserve">AAACCCGAGCTGAGCCCCGCCGAA</t>
  </si>
  <si>
    <t xml:space="preserve">CTTCGAACGGATTGTCCAGC</t>
  </si>
  <si>
    <t xml:space="preserve">TAGTCTTCGAACGGATTGTCCAGC</t>
  </si>
  <si>
    <t xml:space="preserve">AAACGCTGGACAATCCGTTCGAAG</t>
  </si>
  <si>
    <t xml:space="preserve">PST_1430</t>
  </si>
  <si>
    <t xml:space="preserve">GACGCTGCCGGTCAGCGCGT</t>
  </si>
  <si>
    <t xml:space="preserve">TAGTGACGCTGCCGGTCAGCGCGT</t>
  </si>
  <si>
    <t xml:space="preserve">AAACACGCGCTGACCGGCAGCGTC</t>
  </si>
  <si>
    <t xml:space="preserve">GAACCGACGGAGTTGCACAG</t>
  </si>
  <si>
    <t xml:space="preserve">TAGTGAACCGACGGAGTTGCACAG</t>
  </si>
  <si>
    <t xml:space="preserve">AAACCTGTGCAACTCCGTCGGTTC</t>
  </si>
  <si>
    <t xml:space="preserve">GGAATTTCGCTCGTGCGCCG</t>
  </si>
  <si>
    <t xml:space="preserve">TAGTGGAATTTCGCTCGTGCGCCG</t>
  </si>
  <si>
    <t xml:space="preserve">AAACCGGCGCACGAGCGAAATTCC</t>
  </si>
  <si>
    <t xml:space="preserve">TCATGCAGGCAGGCGCGGGC</t>
  </si>
  <si>
    <t xml:space="preserve">TAGTTCATGCAGGCAGGCGCGGGC</t>
  </si>
  <si>
    <t xml:space="preserve">AAACGCCCGCGCCTGCCTGCATGA</t>
  </si>
  <si>
    <t xml:space="preserve">PST_1431</t>
  </si>
  <si>
    <t xml:space="preserve">TAAACATTGTCATTGTGCAT</t>
  </si>
  <si>
    <t xml:space="preserve">TAGTTAAACATTGTCATTGTGCAT</t>
  </si>
  <si>
    <t xml:space="preserve">AAACATGCACAATGACAATGTTTA</t>
  </si>
  <si>
    <t xml:space="preserve">GCGGATTGGCATAGATCTGC</t>
  </si>
  <si>
    <t xml:space="preserve">TAGTGCGGATTGGCATAGATCTGC</t>
  </si>
  <si>
    <t xml:space="preserve">AAACGCAGATCTATGCCAATCCGC</t>
  </si>
  <si>
    <t xml:space="preserve">CGCGCTTGGCCACCAGCTCC</t>
  </si>
  <si>
    <t xml:space="preserve">TAGTCGCGCTTGGCCACCAGCTCC</t>
  </si>
  <si>
    <t xml:space="preserve">AAACGGAGCTGGTGGCCAAGCGCG</t>
  </si>
  <si>
    <t xml:space="preserve">CATGACGGCAGACAGCAGCC</t>
  </si>
  <si>
    <t xml:space="preserve">TAGTCATGACGGCAGACAGCAGCC</t>
  </si>
  <si>
    <t xml:space="preserve">AAACGGCTGCTGTCTGCCGTCATG</t>
  </si>
  <si>
    <t xml:space="preserve">PST_1432</t>
  </si>
  <si>
    <t xml:space="preserve">CGGCGAGACTGCCAACGCGG</t>
  </si>
  <si>
    <t xml:space="preserve">TAGTCGGCGAGACTGCCAACGCGG</t>
  </si>
  <si>
    <t xml:space="preserve">AAACCCGCGTTGGCAGTCTCGCCG</t>
  </si>
  <si>
    <t xml:space="preserve">ATCGCATCGGCAAACAGTGC</t>
  </si>
  <si>
    <t xml:space="preserve">TAGTATCGCATCGGCAAACAGTGC</t>
  </si>
  <si>
    <t xml:space="preserve">AAACGCACTGTTTGCCGATGCGAT</t>
  </si>
  <si>
    <t xml:space="preserve">TGCCTGTTTCTGTACTTCGC</t>
  </si>
  <si>
    <t xml:space="preserve">TAGTTGCCTGTTTCTGTACTTCGC</t>
  </si>
  <si>
    <t xml:space="preserve">AAACGCGAAGTACAGAAACAGGCA</t>
  </si>
  <si>
    <t xml:space="preserve">CATGGCGATGGCGGTGTAAT</t>
  </si>
  <si>
    <t xml:space="preserve">TAGTCATGGCGATGGCGGTGTAAT</t>
  </si>
  <si>
    <t xml:space="preserve">AAACATTACACCGCCATCGCCATG</t>
  </si>
  <si>
    <t xml:space="preserve">PST_1433</t>
  </si>
  <si>
    <t xml:space="preserve">TTCGCGCCCGAGTCCAGAAC</t>
  </si>
  <si>
    <t xml:space="preserve">TAGTTTCGCGCCCGAGTCCAGAAC</t>
  </si>
  <si>
    <t xml:space="preserve">AAACGTTCTGGACTCGGGCGCGAA</t>
  </si>
  <si>
    <t xml:space="preserve">GCCATCACGTGCCCAGCGCA</t>
  </si>
  <si>
    <t xml:space="preserve">TAGTGCCATCACGTGCCCAGCGCA</t>
  </si>
  <si>
    <t xml:space="preserve">AAACTGCGCTGGGCACGTGATGGC</t>
  </si>
  <si>
    <t xml:space="preserve">CAAGCCAGCTTCATTGACGT</t>
  </si>
  <si>
    <t xml:space="preserve">TAGTCAAGCCAGCTTCATTGACGT</t>
  </si>
  <si>
    <t xml:space="preserve">AAACACGTCAATGAAGCTGGCTTG</t>
  </si>
  <si>
    <t xml:space="preserve">CGCCTCGCGAACCATCTTCA</t>
  </si>
  <si>
    <t xml:space="preserve">TAGTCGCCTCGCGAACCATCTTCA</t>
  </si>
  <si>
    <t xml:space="preserve">AAACTGAAGATGGTTCGCGAGGCG</t>
  </si>
  <si>
    <t xml:space="preserve">PST_1434</t>
  </si>
  <si>
    <t xml:space="preserve">CAGCAACAACAGTCCGCGGG</t>
  </si>
  <si>
    <t xml:space="preserve">TAGTCAGCAACAACAGTCCGCGGG</t>
  </si>
  <si>
    <t xml:space="preserve">AAACCCCGCGGACTGTTGTTGCTG</t>
  </si>
  <si>
    <t xml:space="preserve">GGTTGATCGCTGCCAGCACC</t>
  </si>
  <si>
    <t xml:space="preserve">TAGTGGTTGATCGCTGCCAGCACC</t>
  </si>
  <si>
    <t xml:space="preserve">AAACGGTGCTGGCAGCGATCAACC</t>
  </si>
  <si>
    <t xml:space="preserve">AGGAGGTGATGCCAGGGCGC</t>
  </si>
  <si>
    <t xml:space="preserve">TAGTAGGAGGTGATGCCAGGGCGC</t>
  </si>
  <si>
    <t xml:space="preserve">AAACGCGCCCTGGCATCACCTCCT</t>
  </si>
  <si>
    <t xml:space="preserve">GCGTTCGATCAGCGGGGCGA</t>
  </si>
  <si>
    <t xml:space="preserve">TAGTGCGTTCGATCAGCGGGGCGA</t>
  </si>
  <si>
    <t xml:space="preserve">AAACTCGCCCCGCTGATCGAACGC</t>
  </si>
  <si>
    <t xml:space="preserve">PST_1435</t>
  </si>
  <si>
    <t xml:space="preserve">GCGGATACAGCCATAAACGA</t>
  </si>
  <si>
    <t xml:space="preserve">TAGTGCGGATACAGCCATAAACGA</t>
  </si>
  <si>
    <t xml:space="preserve">AAACTCGTTTATGGCTGTATCCGC</t>
  </si>
  <si>
    <t xml:space="preserve">CACTGCTCGAGGTCGGCGGA</t>
  </si>
  <si>
    <t xml:space="preserve">TAGTCACTGCTCGAGGTCGGCGGA</t>
  </si>
  <si>
    <t xml:space="preserve">AAACTCCGCCGACCTCGAGCAGTG</t>
  </si>
  <si>
    <t xml:space="preserve">GATTGTGCGCCCGGCGCTGG</t>
  </si>
  <si>
    <t xml:space="preserve">TAGTGATTGTGCGCCCGGCGCTGG</t>
  </si>
  <si>
    <t xml:space="preserve">AAACCCAGCGCCGGGCGCACAATC</t>
  </si>
  <si>
    <t xml:space="preserve">CTGCGGCAACGCCTGCACGG</t>
  </si>
  <si>
    <t xml:space="preserve">TAGTCTGCGGCAACGCCTGCACGG</t>
  </si>
  <si>
    <t xml:space="preserve">AAACCCGTGCAGGCGTTGCCGCAG</t>
  </si>
  <si>
    <t xml:space="preserve">PST_1436</t>
  </si>
  <si>
    <t xml:space="preserve">TGGTCGTGGGGTATGAGCAT</t>
  </si>
  <si>
    <t xml:space="preserve">TAGTTGGTCGTGGGGTATGAGCAT</t>
  </si>
  <si>
    <t xml:space="preserve">AAACATGCTCATACCCCACGACCA</t>
  </si>
  <si>
    <t xml:space="preserve">TCAGGGTGTCCGATTCGAGC</t>
  </si>
  <si>
    <t xml:space="preserve">TAGTTCAGGGTGTCCGATTCGAGC</t>
  </si>
  <si>
    <t xml:space="preserve">AAACGCTCGAATCGGACACCCTGA</t>
  </si>
  <si>
    <t xml:space="preserve">GACGAAGTCCTCGATCAGGC</t>
  </si>
  <si>
    <t xml:space="preserve">TAGTGACGAAGTCCTCGATCAGGC</t>
  </si>
  <si>
    <t xml:space="preserve">AAACGCCTGATCGAGGACTTCGTC</t>
  </si>
  <si>
    <t xml:space="preserve">GCCGTTGTCGGTGCCGTCGC</t>
  </si>
  <si>
    <t xml:space="preserve">TAGTGCCGTTGTCGGTGCCGTCGC</t>
  </si>
  <si>
    <t xml:space="preserve">AAACGCGACGGCACCGACAACGGC</t>
  </si>
  <si>
    <t xml:space="preserve">PST_1437</t>
  </si>
  <si>
    <t xml:space="preserve">AGCAGAGCCAGGCATAAACG</t>
  </si>
  <si>
    <t xml:space="preserve">TAGTAGCAGAGCCAGGCATAAACG</t>
  </si>
  <si>
    <t xml:space="preserve">AAACCGTTTATGCCTGGCTCTGCT</t>
  </si>
  <si>
    <t xml:space="preserve">ATGCCCAGGCTTGAAGCGAC</t>
  </si>
  <si>
    <t xml:space="preserve">TAGTATGCCCAGGCTTGAAGCGAC</t>
  </si>
  <si>
    <t xml:space="preserve">AAACGTCGCTTCAAGCCTGGGCAT</t>
  </si>
  <si>
    <t xml:space="preserve">TCGATCGAGTCGAGCACCAC</t>
  </si>
  <si>
    <t xml:space="preserve">TAGTTCGATCGAGTCGAGCACCAC</t>
  </si>
  <si>
    <t xml:space="preserve">AAACGTGGTGCTCGACTCGATCGA</t>
  </si>
  <si>
    <t xml:space="preserve">AGGTGCCATTGCCGAGGGAC</t>
  </si>
  <si>
    <t xml:space="preserve">TAGTAGGTGCCATTGCCGAGGGAC</t>
  </si>
  <si>
    <t xml:space="preserve">AAACGTCCCTCGGCAATGGCACCT</t>
  </si>
  <si>
    <t xml:space="preserve">PST_1438</t>
  </si>
  <si>
    <t xml:space="preserve">CTCGGGTAGTTGTGCGGTCA</t>
  </si>
  <si>
    <t xml:space="preserve">TAGTCTCGGGTAGTTGTGCGGTCA</t>
  </si>
  <si>
    <t xml:space="preserve">AAACTGACCGCACAACTACCCGAG</t>
  </si>
  <si>
    <t xml:space="preserve">CGTTGCATGTAGTTGAGATC</t>
  </si>
  <si>
    <t xml:space="preserve">TAGTCGTTGCATGTAGTTGAGATC</t>
  </si>
  <si>
    <t xml:space="preserve">AAACGATCTCAACTACATGCAACG</t>
  </si>
  <si>
    <t xml:space="preserve">GAAGCCGGTGGGGCTGGGGA</t>
  </si>
  <si>
    <t xml:space="preserve">TAGTGAAGCCGGTGGGGCTGGGGA</t>
  </si>
  <si>
    <t xml:space="preserve">AAACTCCCCAGCCCCACCGGCTTC</t>
  </si>
  <si>
    <t xml:space="preserve">GACGTAGCGCACGATGGTGT</t>
  </si>
  <si>
    <t xml:space="preserve">TAGTGACGTAGCGCACGATGGTGT</t>
  </si>
  <si>
    <t xml:space="preserve">AAACACACCATCGTGCGCTACGTC</t>
  </si>
  <si>
    <t xml:space="preserve">PST_1439</t>
  </si>
  <si>
    <t xml:space="preserve">GTAGGCTTGGGACTTCTGCA</t>
  </si>
  <si>
    <t xml:space="preserve">TAGTGTAGGCTTGGGACTTCTGCA</t>
  </si>
  <si>
    <t xml:space="preserve">AAACTGCAGAAGTCCCAAGCCTAC</t>
  </si>
  <si>
    <t xml:space="preserve">TCGGGGCCTGGCCGCGCAGC</t>
  </si>
  <si>
    <t xml:space="preserve">TAGTTCGGGGCCTGGCCGCGCAGC</t>
  </si>
  <si>
    <t xml:space="preserve">AAACGCTGCGCGGCCAGGCCCCGA</t>
  </si>
  <si>
    <t xml:space="preserve">GCGTGCCTGCAACCGCTGGT</t>
  </si>
  <si>
    <t xml:space="preserve">TAGTGCGTGCCTGCAACCGCTGGT</t>
  </si>
  <si>
    <t xml:space="preserve">AAACACCAGCGGTTGCAGGCACGC</t>
  </si>
  <si>
    <t xml:space="preserve">TGCAGGACCACGGGCCCACA</t>
  </si>
  <si>
    <t xml:space="preserve">TAGTTGCAGGACCACGGGCCCACA</t>
  </si>
  <si>
    <t xml:space="preserve">AAACTGTGGGCCCGTGGTCCTGCA</t>
  </si>
  <si>
    <t xml:space="preserve">PST_1440</t>
  </si>
  <si>
    <t xml:space="preserve">asnB</t>
  </si>
  <si>
    <t xml:space="preserve">CCGCGGCCAGATCGGCGGGG</t>
  </si>
  <si>
    <t xml:space="preserve">TAGTCCGCGGCCAGATCGGCGGGG</t>
  </si>
  <si>
    <t xml:space="preserve">AAACCCCCGCCGATCTGGCCGCGG</t>
  </si>
  <si>
    <t xml:space="preserve">GCCGCGTGCCGTCAGGTGTT</t>
  </si>
  <si>
    <t xml:space="preserve">TAGTGCCGCGTGCCGTCAGGTGTT</t>
  </si>
  <si>
    <t xml:space="preserve">AAACAACACCTGACGGCACGCGGC</t>
  </si>
  <si>
    <t xml:space="preserve">TGTGGAAACCGCACGCGTCC</t>
  </si>
  <si>
    <t xml:space="preserve">TAGTTGTGGAAACCGCACGCGTCC</t>
  </si>
  <si>
    <t xml:space="preserve">AAACGGACGCGTGCGGTTTCCACA</t>
  </si>
  <si>
    <t xml:space="preserve">GGCCGAGGGCCAGCGGCCCC</t>
  </si>
  <si>
    <t xml:space="preserve">TAGTGGCCGAGGGCCAGCGGCCCC</t>
  </si>
  <si>
    <t xml:space="preserve">AAACGGGGCCGCTGGCCCTCGGCC</t>
  </si>
  <si>
    <t xml:space="preserve">PST_1441</t>
  </si>
  <si>
    <t xml:space="preserve">CTGGAACAGCGGCAGTTCGA</t>
  </si>
  <si>
    <t xml:space="preserve">TAGTCTGGAACAGCGGCAGTTCGA</t>
  </si>
  <si>
    <t xml:space="preserve">AAACTCGAACTGCCGCTGTTCCAG</t>
  </si>
  <si>
    <t xml:space="preserve">ATCCTGCTGCAGCCGGCGCA</t>
  </si>
  <si>
    <t xml:space="preserve">TAGTATCCTGCTGCAGCCGGCGCA</t>
  </si>
  <si>
    <t xml:space="preserve">AAACTGCGCCGGCTGCAGCAGGAT</t>
  </si>
  <si>
    <t xml:space="preserve">CAGACGCTTGGCATGCACTT</t>
  </si>
  <si>
    <t xml:space="preserve">TAGTCAGACGCTTGGCATGCACTT</t>
  </si>
  <si>
    <t xml:space="preserve">AAACAAGTGCATGCCAAGCGTCTG</t>
  </si>
  <si>
    <t xml:space="preserve">TCATCAGCTGCACCGGGCTC</t>
  </si>
  <si>
    <t xml:space="preserve">TAGTTCATCAGCTGCACCGGGCTC</t>
  </si>
  <si>
    <t xml:space="preserve">AAACGAGCCCGGTGCAGCTGATGA</t>
  </si>
  <si>
    <t xml:space="preserve">PST_1442</t>
  </si>
  <si>
    <t xml:space="preserve">GCAGGTAATCGACACGTCAT</t>
  </si>
  <si>
    <t xml:space="preserve">TAGTGCAGGTAATCGACACGTCAT</t>
  </si>
  <si>
    <t xml:space="preserve">AAACATGACGTGTCGATTACCTGC</t>
  </si>
  <si>
    <t xml:space="preserve">CCCGAACATGGCGAGGCCGA</t>
  </si>
  <si>
    <t xml:space="preserve">TAGTCCCGAACATGGCGAGGCCGA</t>
  </si>
  <si>
    <t xml:space="preserve">AAACTCGGCCTCGCCATGTTCGGG</t>
  </si>
  <si>
    <t xml:space="preserve">ACTGGCAGCCACCGGGCCGG</t>
  </si>
  <si>
    <t xml:space="preserve">TAGTACTGGCAGCCACCGGGCCGG</t>
  </si>
  <si>
    <t xml:space="preserve">AAACCCGGCCCGGTGGCTGCCAGT</t>
  </si>
  <si>
    <t xml:space="preserve">ATCGCCGCACCGCGTGAGCT</t>
  </si>
  <si>
    <t xml:space="preserve">TAGTATCGCCGCACCGCGTGAGCT</t>
  </si>
  <si>
    <t xml:space="preserve">AAACAGCTCACGCGGTGCGGCGAT</t>
  </si>
  <si>
    <t xml:space="preserve">PST_1443</t>
  </si>
  <si>
    <t xml:space="preserve">TCGCGCAGCGAGGCCTCGTG</t>
  </si>
  <si>
    <t xml:space="preserve">TAGTTCGCGCAGCGAGGCCTCGTG</t>
  </si>
  <si>
    <t xml:space="preserve">AAACCACGAGGCCTCGCTGCGCGA</t>
  </si>
  <si>
    <t xml:space="preserve">CGTGGCGGCGAACCCGGCCA</t>
  </si>
  <si>
    <t xml:space="preserve">TAGTCGTGGCGGCGAACCCGGCCA</t>
  </si>
  <si>
    <t xml:space="preserve">AAACTGGCCGGGTTCGCCGCCACG</t>
  </si>
  <si>
    <t xml:space="preserve">AATTTCGGCGACGCCCACTT</t>
  </si>
  <si>
    <t xml:space="preserve">TAGTAATTTCGGCGACGCCCACTT</t>
  </si>
  <si>
    <t xml:space="preserve">AAACAAGTGGGCGTCGCCGAAATT</t>
  </si>
  <si>
    <t xml:space="preserve">GCAAATCTGCTCGAACAGCT</t>
  </si>
  <si>
    <t xml:space="preserve">TAGTGCAAATCTGCTCGAACAGCT</t>
  </si>
  <si>
    <t xml:space="preserve">AAACAGCTGTTCGAGCAGATTTGC</t>
  </si>
  <si>
    <t xml:space="preserve">PST_1444</t>
  </si>
  <si>
    <t xml:space="preserve">CTGCTCTGCCAGGTTGCCCA</t>
  </si>
  <si>
    <t xml:space="preserve">TAGTCTGCTCTGCCAGGTTGCCCA</t>
  </si>
  <si>
    <t xml:space="preserve">AAACTGGGCAACCTGGCAGAGCAG</t>
  </si>
  <si>
    <t xml:space="preserve">GCGAGTGCCGGGTGCGGATG</t>
  </si>
  <si>
    <t xml:space="preserve">TAGTGCGAGTGCCGGGTGCGGATG</t>
  </si>
  <si>
    <t xml:space="preserve">AAACCATCCGCACCCGGCACTCGC</t>
  </si>
  <si>
    <t xml:space="preserve">CTGCAACAGCTGATCGAGTT</t>
  </si>
  <si>
    <t xml:space="preserve">TAGTCTGCAACAGCTGATCGAGTT</t>
  </si>
  <si>
    <t xml:space="preserve">AAACAACTCGATCAGCTGTTGCAG</t>
  </si>
  <si>
    <t xml:space="preserve">CGCTGGCTGCGCGCACCAGG</t>
  </si>
  <si>
    <t xml:space="preserve">TAGTCGCTGGCTGCGCGCACCAGG</t>
  </si>
  <si>
    <t xml:space="preserve">AAACCCTGGTGCGCGCAGCCAGCG</t>
  </si>
  <si>
    <t xml:space="preserve">PST_1445</t>
  </si>
  <si>
    <t xml:space="preserve">CAGCATCAGAAACTGTCGCA</t>
  </si>
  <si>
    <t xml:space="preserve">TAGTCAGCATCAGAAACTGTCGCA</t>
  </si>
  <si>
    <t xml:space="preserve">AAACTGCGACAGTTTCTGATGCTG</t>
  </si>
  <si>
    <t xml:space="preserve">GGTGTCGTGCTGGGCGCAGG</t>
  </si>
  <si>
    <t xml:space="preserve">TAGTGGTGTCGTGCTGGGCGCAGG</t>
  </si>
  <si>
    <t xml:space="preserve">AAACCCTGCGCCCAGCACGACACC</t>
  </si>
  <si>
    <t xml:space="preserve">CGCGGCCTCGGTGTAGGACG</t>
  </si>
  <si>
    <t xml:space="preserve">TAGTCGCGGCCTCGGTGTAGGACG</t>
  </si>
  <si>
    <t xml:space="preserve">AAACCGTCCTACACCGAGGCCGCG</t>
  </si>
  <si>
    <t xml:space="preserve">GCATGGGTCTCGACGCTTTT</t>
  </si>
  <si>
    <t xml:space="preserve">TAGTGCATGGGTCTCGACGCTTTT</t>
  </si>
  <si>
    <t xml:space="preserve">AAACAAAAGCGTCGAGACCCATGC</t>
  </si>
  <si>
    <t xml:space="preserve">PST_1446</t>
  </si>
  <si>
    <t xml:space="preserve">GCGCCGGTGATCAACAGAAC</t>
  </si>
  <si>
    <t xml:space="preserve">TAGTGCGCCGGTGATCAACAGAAC</t>
  </si>
  <si>
    <t xml:space="preserve">AAACGTTCTGTTGATCACCGGCGC</t>
  </si>
  <si>
    <t xml:space="preserve">GGCCGCACCGATCCCGGACG</t>
  </si>
  <si>
    <t xml:space="preserve">TAGTGGCCGCACCGATCCCGGACG</t>
  </si>
  <si>
    <t xml:space="preserve">AAACCGTCCGGGATCGGTGCGGCC</t>
  </si>
  <si>
    <t xml:space="preserve">CTTGGCGGCCTGGCGCGCGG</t>
  </si>
  <si>
    <t xml:space="preserve">TAGTCTTGGCGGCCTGGCGCGCGG</t>
  </si>
  <si>
    <t xml:space="preserve">AAACCCGCGCGCCAGGCCGCCAAG</t>
  </si>
  <si>
    <t xml:space="preserve">GGCCAGAGCCAGGCGATAGC</t>
  </si>
  <si>
    <t xml:space="preserve">TAGTGGCCAGAGCCAGGCGATAGC</t>
  </si>
  <si>
    <t xml:space="preserve">AAACGCTATCGCCTGGCTCTGGCC</t>
  </si>
  <si>
    <t xml:space="preserve">PST_1448</t>
  </si>
  <si>
    <t xml:space="preserve">AGGCGCGGCACCATATTCAT</t>
  </si>
  <si>
    <t xml:space="preserve">TAGTAGGCGCGGCACCATATTCAT</t>
  </si>
  <si>
    <t xml:space="preserve">AAACATGAATATGGTGCCGCGCCT</t>
  </si>
  <si>
    <t xml:space="preserve">GCTGTCGCTTGTGCAATGGC</t>
  </si>
  <si>
    <t xml:space="preserve">TAGTGCTGTCGCTTGTGCAATGGC</t>
  </si>
  <si>
    <t xml:space="preserve">AAACGCCATTGCACAAGCGACAGC</t>
  </si>
  <si>
    <t xml:space="preserve">GCCGTTTCCCCACAGCCGAC</t>
  </si>
  <si>
    <t xml:space="preserve">TAGTGCCGTTTCCCCACAGCCGAC</t>
  </si>
  <si>
    <t xml:space="preserve">AAACGTCGGCTGTGGGGAAACGGC</t>
  </si>
  <si>
    <t xml:space="preserve">TGGAGTTGACCGCCATATGC</t>
  </si>
  <si>
    <t xml:space="preserve">TAGTTGGAGTTGACCGCCATATGC</t>
  </si>
  <si>
    <t xml:space="preserve">AAACGCATATGGCGGTCAACTCCA</t>
  </si>
  <si>
    <t xml:space="preserve">PST_1447</t>
  </si>
  <si>
    <t xml:space="preserve">GAAAACCAGCCCGCCACGGC</t>
  </si>
  <si>
    <t xml:space="preserve">TAGTGAAAACCAGCCCGCCACGGC</t>
  </si>
  <si>
    <t xml:space="preserve">AAACGCCGTGGCGGGCTGGTTTTC</t>
  </si>
  <si>
    <t xml:space="preserve">TGTCGGGGCGGGAAAGCTGC</t>
  </si>
  <si>
    <t xml:space="preserve">TAGTTGTCGGGGCGGGAAAGCTGC</t>
  </si>
  <si>
    <t xml:space="preserve">AAACGCAGCTTTCCCGCCCCGACA</t>
  </si>
  <si>
    <t xml:space="preserve">ACCGGCGCGTACCAACGGCC</t>
  </si>
  <si>
    <t xml:space="preserve">TAGTACCGGCGCGTACCAACGGCC</t>
  </si>
  <si>
    <t xml:space="preserve">AAACGGCCGTTGGTACGCGCCGGT</t>
  </si>
  <si>
    <t xml:space="preserve">ACCGGTCGGCGCGGCGACCA</t>
  </si>
  <si>
    <t xml:space="preserve">TAGTACCGGTCGGCGCGGCGACCA</t>
  </si>
  <si>
    <t xml:space="preserve">AAACTGGTCGCCGCGCCGACCGGT</t>
  </si>
  <si>
    <t xml:space="preserve">PST_1449</t>
  </si>
  <si>
    <t xml:space="preserve">CAGCAGAAACAGGCGGCTGG</t>
  </si>
  <si>
    <t xml:space="preserve">TAGTCAGCAGAAACAGGCGGCTGG</t>
  </si>
  <si>
    <t xml:space="preserve">AAACCCAGCCGCCTGTTTCTGCTG</t>
  </si>
  <si>
    <t xml:space="preserve">CGCGGCTGCAGCCGACCAGC</t>
  </si>
  <si>
    <t xml:space="preserve">TAGTCGCGGCTGCAGCCGACCAGC</t>
  </si>
  <si>
    <t xml:space="preserve">AAACGCTGGTCGGCTGCAGCCGCG</t>
  </si>
  <si>
    <t xml:space="preserve">GTCGAGATTGCGGTAGACCA</t>
  </si>
  <si>
    <t xml:space="preserve">TAGTGTCGAGATTGCGGTAGACCA</t>
  </si>
  <si>
    <t xml:space="preserve">AAACTGGTCTACCGCAATCTCGAC</t>
  </si>
  <si>
    <t xml:space="preserve">AGGTAATCGTTGAGTGTCCA</t>
  </si>
  <si>
    <t xml:space="preserve">TAGTAGGTAATCGTTGAGTGTCCA</t>
  </si>
  <si>
    <t xml:space="preserve">AAACTGGACACTCAACGATTACCT</t>
  </si>
  <si>
    <t xml:space="preserve">PST_1450</t>
  </si>
  <si>
    <t xml:space="preserve">GAAGAGCAATGCCTTTTTCA</t>
  </si>
  <si>
    <t xml:space="preserve">TAGTGAAGAGCAATGCCTTTTTCA</t>
  </si>
  <si>
    <t xml:space="preserve">AAACTGAAAAAGGCATTGCTCTTC</t>
  </si>
  <si>
    <t xml:space="preserve">AACCGCCGAGAGTCAACAGC</t>
  </si>
  <si>
    <t xml:space="preserve">TAGTAACCGCCGAGAGTCAACAGC</t>
  </si>
  <si>
    <t xml:space="preserve">AAACGCTGTTGACTCTCGGCGGTT</t>
  </si>
  <si>
    <t xml:space="preserve">GGCGCGATCGCAGGATTGGC</t>
  </si>
  <si>
    <t xml:space="preserve">TAGTGGCGCGATCGCAGGATTGGC</t>
  </si>
  <si>
    <t xml:space="preserve">AAACGCCAATCCTGCGATCGCGCC</t>
  </si>
  <si>
    <t xml:space="preserve">GCGACAGCCGTCGTCGTCCC</t>
  </si>
  <si>
    <t xml:space="preserve">TAGTGCGACAGCCGTCGTCGTCCC</t>
  </si>
  <si>
    <t xml:space="preserve">AAACGGGACGACGACGGCTGTCGC</t>
  </si>
  <si>
    <t xml:space="preserve">PST_1451</t>
  </si>
  <si>
    <t xml:space="preserve">AGTGACAGGCTCGGCCGCCT</t>
  </si>
  <si>
    <t xml:space="preserve">TAGTAGTGACAGGCTCGGCCGCCT</t>
  </si>
  <si>
    <t xml:space="preserve">AAACAGGCGGCCGAGCCTGTCACT</t>
  </si>
  <si>
    <t xml:space="preserve">GAACGGCGGAGAAGGTTGAT</t>
  </si>
  <si>
    <t xml:space="preserve">TAGTGAACGGCGGAGAAGGTTGAT</t>
  </si>
  <si>
    <t xml:space="preserve">AAACATCAACCTTCTCCGCCGTTC</t>
  </si>
  <si>
    <t xml:space="preserve">CAGGCCGGGGCTCTGGCCGG</t>
  </si>
  <si>
    <t xml:space="preserve">TAGTCAGGCCGGGGCTCTGGCCGG</t>
  </si>
  <si>
    <t xml:space="preserve">AAACCCGGCCAGAGCCCCGGCCTG</t>
  </si>
  <si>
    <t xml:space="preserve">GAGCAGCTGCACCAGGGTTT</t>
  </si>
  <si>
    <t xml:space="preserve">TAGTGAGCAGCTGCACCAGGGTTT</t>
  </si>
  <si>
    <t xml:space="preserve">AAACAAACCCTGGTGCAGCTGCTC</t>
  </si>
  <si>
    <t xml:space="preserve">PST_1452</t>
  </si>
  <si>
    <t xml:space="preserve">AGGCGCACGGGATCGGTCAT</t>
  </si>
  <si>
    <t xml:space="preserve">TAGTAGGCGCACGGGATCGGTCAT</t>
  </si>
  <si>
    <t xml:space="preserve">AAACATGACCGATCCCGTGCGCCT</t>
  </si>
  <si>
    <t xml:space="preserve">GCTCGGCGACGCGTTTGGCA</t>
  </si>
  <si>
    <t xml:space="preserve">TAGTGCTCGGCGACGCGTTTGGCA</t>
  </si>
  <si>
    <t xml:space="preserve">AAACTGCCAAACGCGTCGCCGAGC</t>
  </si>
  <si>
    <t xml:space="preserve">GTACAGCTCGGCCTCGCGCC</t>
  </si>
  <si>
    <t xml:space="preserve">TAGTGTACAGCTCGGCCTCGCGCC</t>
  </si>
  <si>
    <t xml:space="preserve">AAACGGCGCGAGGCCGAGCTGTAC</t>
  </si>
  <si>
    <t xml:space="preserve">TGCGGACCTACCTTGAGGAA</t>
  </si>
  <si>
    <t xml:space="preserve">TAGTTGCGGACCTACCTTGAGGAA</t>
  </si>
  <si>
    <t xml:space="preserve">AAACTTCCTCAAGGTAGGTCCGCA</t>
  </si>
  <si>
    <t xml:space="preserve">PST_1453</t>
  </si>
  <si>
    <t xml:space="preserve">GCTGGTGGTTTTGGTGGCCA</t>
  </si>
  <si>
    <t xml:space="preserve">TAGTGCTGGTGGTTTTGGTGGCCA</t>
  </si>
  <si>
    <t xml:space="preserve">AAACTGGCCACCAAAACCACCAGC</t>
  </si>
  <si>
    <t xml:space="preserve">CGCGGGTTCGGGTTTGCGCT</t>
  </si>
  <si>
    <t xml:space="preserve">TAGTCGCGGGTTCGGGTTTGCGCT</t>
  </si>
  <si>
    <t xml:space="preserve">AAACAGCGCAAACCCGAACCCGCG</t>
  </si>
  <si>
    <t xml:space="preserve">TGCCAGGGACTGGCTGGTTT</t>
  </si>
  <si>
    <t xml:space="preserve">TAGTTGCCAGGGACTGGCTGGTTT</t>
  </si>
  <si>
    <t xml:space="preserve">AAACAAACCAGCCAGTCCCTGGCA</t>
  </si>
  <si>
    <t xml:space="preserve">ACCGCCGGCCTTGAGGAACG</t>
  </si>
  <si>
    <t xml:space="preserve">TAGTACCGCCGGCCTTGAGGAACG</t>
  </si>
  <si>
    <t xml:space="preserve">AAACCGTTCCTCAAGGCCGGCGGT</t>
  </si>
  <si>
    <t xml:space="preserve">PST_1454</t>
  </si>
  <si>
    <t xml:space="preserve">ACCGCAGAGCGTGGTGCGAA</t>
  </si>
  <si>
    <t xml:space="preserve">TAGTACCGCAGAGCGTGGTGCGAA</t>
  </si>
  <si>
    <t xml:space="preserve">AAACTTCGCACCACGCTCTGCGGT</t>
  </si>
  <si>
    <t xml:space="preserve">AGCGGCAACCTGGAACGAAG</t>
  </si>
  <si>
    <t xml:space="preserve">TAGTAGCGGCAACCTGGAACGAAG</t>
  </si>
  <si>
    <t xml:space="preserve">AAACCTTCGTTCCAGGTTGCCGCT</t>
  </si>
  <si>
    <t xml:space="preserve">GTTACCTGCCCCGCCTCGCT</t>
  </si>
  <si>
    <t xml:space="preserve">TAGTGTTACCTGCCCCGCCTCGCT</t>
  </si>
  <si>
    <t xml:space="preserve">AAACAGCGAGGCGGGGCAGGTAAC</t>
  </si>
  <si>
    <t xml:space="preserve">CCCCGCGGCGATCTCCTTGA</t>
  </si>
  <si>
    <t xml:space="preserve">TAGTCCCCGCGGCGATCTCCTTGA</t>
  </si>
  <si>
    <t xml:space="preserve">AAACTCAAGGAGATCGCCGCGGGG</t>
  </si>
  <si>
    <t xml:space="preserve">PST_1455</t>
  </si>
  <si>
    <t xml:space="preserve">TCCGCTGATGACTACTGCCA</t>
  </si>
  <si>
    <t xml:space="preserve">TAGTTCCGCTGATGACTACTGCCA</t>
  </si>
  <si>
    <t xml:space="preserve">AAACTGGCAGTAGTCATCAGCGGA</t>
  </si>
  <si>
    <t xml:space="preserve">CGAAGTACCAGGTTCCGCCG</t>
  </si>
  <si>
    <t xml:space="preserve">TAGTCGAAGTACCAGGTTCCGCCG</t>
  </si>
  <si>
    <t xml:space="preserve">AAACCGGCGGAACCTGGTACTTCG</t>
  </si>
  <si>
    <t xml:space="preserve">TCAGCAGAAAGCCGGCCGCC</t>
  </si>
  <si>
    <t xml:space="preserve">TAGTTCAGCAGAAAGCCGGCCGCC</t>
  </si>
  <si>
    <t xml:space="preserve">AAACGGCGGCCGGCTTTCTGCTGA</t>
  </si>
  <si>
    <t xml:space="preserve">GCGCATCAGCAGCAGGACAC</t>
  </si>
  <si>
    <t xml:space="preserve">TAGTGCGCATCAGCAGCAGGACAC</t>
  </si>
  <si>
    <t xml:space="preserve">AAACGTGTCCTGCTGCTGATGCGC</t>
  </si>
  <si>
    <t xml:space="preserve">PST_1456</t>
  </si>
  <si>
    <t xml:space="preserve">GGGTGTCCCAGTGATGAAGG</t>
  </si>
  <si>
    <t xml:space="preserve">TAGTGGGTGTCCCAGTGATGAAGG</t>
  </si>
  <si>
    <t xml:space="preserve">AAACCCTTCATCACTGGGACACCC</t>
  </si>
  <si>
    <t xml:space="preserve">CGTCCGATGGCGGCCATGGC</t>
  </si>
  <si>
    <t xml:space="preserve">TAGTCGTCCGATGGCGGCCATGGC</t>
  </si>
  <si>
    <t xml:space="preserve">AAACGCCATGGCCGCCATCGGACG</t>
  </si>
  <si>
    <t xml:space="preserve">GTCGAGGTAGAGGCCGAAAC</t>
  </si>
  <si>
    <t xml:space="preserve">TAGTGTCGAGGTAGAGGCCGAAAC</t>
  </si>
  <si>
    <t xml:space="preserve">AAACGTTTCGGCCTCTACCTCGAC</t>
  </si>
  <si>
    <t xml:space="preserve">GGCAGCAGAATCTCGCCATC</t>
  </si>
  <si>
    <t xml:space="preserve">TAGTGGCAGCAGAATCTCGCCATC</t>
  </si>
  <si>
    <t xml:space="preserve">AAACGATGGCGAGATTCTGCTGCC</t>
  </si>
  <si>
    <t xml:space="preserve">PST_1457</t>
  </si>
  <si>
    <t xml:space="preserve">CGAATGGCCGATGGTCCAGA</t>
  </si>
  <si>
    <t xml:space="preserve">TAGTCGAATGGCCGATGGTCCAGA</t>
  </si>
  <si>
    <t xml:space="preserve">AAACTCTGGACCATCGGCCATTCG</t>
  </si>
  <si>
    <t xml:space="preserve">CGACAAAGGCCTCCAGCGGG</t>
  </si>
  <si>
    <t xml:space="preserve">TAGTCGACAAAGGCCTCCAGCGGG</t>
  </si>
  <si>
    <t xml:space="preserve">AAACCCCGCTGGAGGCCTTTGTCG</t>
  </si>
  <si>
    <t xml:space="preserve">GAAGCGGCGCACGTCGGCGA</t>
  </si>
  <si>
    <t xml:space="preserve">TAGTGAAGCGGCGCACGTCGGCGA</t>
  </si>
  <si>
    <t xml:space="preserve">AAACTCGCCGACGTGCGCCGCTTC</t>
  </si>
  <si>
    <t xml:space="preserve">GTGGCAGCCGCCGCGAACCG</t>
  </si>
  <si>
    <t xml:space="preserve">TAGTGTGGCAGCCGCCGCGAACCG</t>
  </si>
  <si>
    <t xml:space="preserve">AAACCGGTTCGCGGCGGCTGCCAC</t>
  </si>
  <si>
    <t xml:space="preserve">PST_1458</t>
  </si>
  <si>
    <t xml:space="preserve">GATCGCCGACCTTGAACTTA</t>
  </si>
  <si>
    <t xml:space="preserve">TAGTGATCGCCGACCTTGAACTTA</t>
  </si>
  <si>
    <t xml:space="preserve">AAACTAAGTTCAAGGTCGGCGATC</t>
  </si>
  <si>
    <t xml:space="preserve">GCACCCTAGTGATGCGACCG</t>
  </si>
  <si>
    <t xml:space="preserve">TAGTGCACCCTAGTGATGCGACCG</t>
  </si>
  <si>
    <t xml:space="preserve">AAACCGGTCGCATCACTAGGGTGC</t>
  </si>
  <si>
    <t xml:space="preserve">CCGGCCCATGAACTCGGTGT</t>
  </si>
  <si>
    <t xml:space="preserve">TAGTCCGGCCCATGAACTCGGTGT</t>
  </si>
  <si>
    <t xml:space="preserve">AAACACACCGAGTTCATGGGCCGG</t>
  </si>
  <si>
    <t xml:space="preserve">TGCTTCGGGGCTGGCACGCC</t>
  </si>
  <si>
    <t xml:space="preserve">TAGTTGCTTCGGGGCTGGCACGCC</t>
  </si>
  <si>
    <t xml:space="preserve">AAACGGCGTGCCAGCCCCGAAGCA</t>
  </si>
  <si>
    <t xml:space="preserve">PST_1459</t>
  </si>
  <si>
    <t xml:space="preserve">GGCACCGGTAAACAGGTTGG</t>
  </si>
  <si>
    <t xml:space="preserve">TAGTGGCACCGGTAAACAGGTTGG</t>
  </si>
  <si>
    <t xml:space="preserve">AAACCCAACCTGTTTACCGGTGCC</t>
  </si>
  <si>
    <t xml:space="preserve">GGAAGCGACGAGTGCCTTAC</t>
  </si>
  <si>
    <t xml:space="preserve">TAGTGGAAGCGACGAGTGCCTTAC</t>
  </si>
  <si>
    <t xml:space="preserve">AAACGTAAGGCACTCGTCGCTTCC</t>
  </si>
  <si>
    <t xml:space="preserve">CATGAGGGCAGCCATGGCGA</t>
  </si>
  <si>
    <t xml:space="preserve">TAGTCATGAGGGCAGCCATGGCGA</t>
  </si>
  <si>
    <t xml:space="preserve">AAACTCGCCATGGCTGCCCTCATG</t>
  </si>
  <si>
    <t xml:space="preserve">AGCGTAAGGAACAGTTGCTA</t>
  </si>
  <si>
    <t xml:space="preserve">TAGTAGCGTAAGGAACAGTTGCTA</t>
  </si>
  <si>
    <t xml:space="preserve">AAACTAGCAACTGTTCCTTACGCT</t>
  </si>
  <si>
    <t xml:space="preserve">PST_1460</t>
  </si>
  <si>
    <t xml:space="preserve">GCCGGACAGCGCTGGTTTGC</t>
  </si>
  <si>
    <t xml:space="preserve">TAGTGCCGGACAGCGCTGGTTTGC</t>
  </si>
  <si>
    <t xml:space="preserve">AAACGCAAACCAGCGCTGTCCGGC</t>
  </si>
  <si>
    <t xml:space="preserve">TATCGCGGCGGCGCCGGTAG</t>
  </si>
  <si>
    <t xml:space="preserve">TAGTTATCGCGGCGGCGCCGGTAG</t>
  </si>
  <si>
    <t xml:space="preserve">AAACCTACCGGCGCCGCCGCGATA</t>
  </si>
  <si>
    <t xml:space="preserve">CGGTTCCGGCGTTCGCTGGC</t>
  </si>
  <si>
    <t xml:space="preserve">TAGTCGGTTCCGGCGTTCGCTGGC</t>
  </si>
  <si>
    <t xml:space="preserve">AAACGCCAGCGAACGCCGGAACCG</t>
  </si>
  <si>
    <t xml:space="preserve">GTTCCGTGGCTCGGGCCAGA</t>
  </si>
  <si>
    <t xml:space="preserve">TAGTGTTCCGTGGCTCGGGCCAGA</t>
  </si>
  <si>
    <t xml:space="preserve">AAACTCTGGCCCGAGCCACGGAAC</t>
  </si>
  <si>
    <t xml:space="preserve">PST_1461</t>
  </si>
  <si>
    <t xml:space="preserve">CCGGTTCGTAAGGCGTGTTC</t>
  </si>
  <si>
    <t xml:space="preserve">TAGTCCGGTTCGTAAGGCGTGTTC</t>
  </si>
  <si>
    <t xml:space="preserve">AAACGAACACGCCTTACGAACCGG</t>
  </si>
  <si>
    <t xml:space="preserve">CCACGGAAGTGTCGTGCTCG</t>
  </si>
  <si>
    <t xml:space="preserve">TAGTCCACGGAAGTGTCGTGCTCG</t>
  </si>
  <si>
    <t xml:space="preserve">AAACCGAGCACGACACTTCCGTGG</t>
  </si>
  <si>
    <t xml:space="preserve">CACGCGTCAGCTGCCGCAAC</t>
  </si>
  <si>
    <t xml:space="preserve">TAGTCACGCGTCAGCTGCCGCAAC</t>
  </si>
  <si>
    <t xml:space="preserve">AAACGTTGCGGCAGCTGACGCGTG</t>
  </si>
  <si>
    <t xml:space="preserve">AGCTCCTTGGTGAACAGTGA</t>
  </si>
  <si>
    <t xml:space="preserve">TAGTAGCTCCTTGGTGAACAGTGA</t>
  </si>
  <si>
    <t xml:space="preserve">AAACTCACTGTTCACCAAGGAGCT</t>
  </si>
  <si>
    <t xml:space="preserve">PST_1462</t>
  </si>
  <si>
    <t xml:space="preserve">TCTCGCGTTCGAGCGTGCTC</t>
  </si>
  <si>
    <t xml:space="preserve">TAGTTCTCGCGTTCGAGCGTGCTC</t>
  </si>
  <si>
    <t xml:space="preserve">AAACGAGCACGCTCGAACGCGAGA</t>
  </si>
  <si>
    <t xml:space="preserve">GTGGACGATGTTGCCGATCT</t>
  </si>
  <si>
    <t xml:space="preserve">TAGTGTGGACGATGTTGCCGATCT</t>
  </si>
  <si>
    <t xml:space="preserve">AAACAGATCGGCAACATCGTCCAC</t>
  </si>
  <si>
    <t xml:space="preserve">GCGGTGTCGATCATCTGCCC</t>
  </si>
  <si>
    <t xml:space="preserve">TAGTGCGGTGTCGATCATCTGCCC</t>
  </si>
  <si>
    <t xml:space="preserve">AAACGGGCAGATGATCGACACCGC</t>
  </si>
  <si>
    <t xml:space="preserve">GAACTCACCGCCACCACCCT</t>
  </si>
  <si>
    <t xml:space="preserve">TAGTGAACTCACCGCCACCACCCT</t>
  </si>
  <si>
    <t xml:space="preserve">AAACAGGGTGGTGGCGGTGAGTTC</t>
  </si>
  <si>
    <t xml:space="preserve">PST_1464</t>
  </si>
  <si>
    <t xml:space="preserve">GATCTGCCAGCATCGCTCAT</t>
  </si>
  <si>
    <t xml:space="preserve">TAGTGATCTGCCAGCATCGCTCAT</t>
  </si>
  <si>
    <t xml:space="preserve">AAACATGAGCGATGCTGGCAGATC</t>
  </si>
  <si>
    <t xml:space="preserve">CTTCGTCCACGGAATGACGG</t>
  </si>
  <si>
    <t xml:space="preserve">TAGTCTTCGTCCACGGAATGACGG</t>
  </si>
  <si>
    <t xml:space="preserve">AAACCCGTCATTCCGTGGACGAAG</t>
  </si>
  <si>
    <t xml:space="preserve">CCGGCAAAGGAGCAGCCCCA</t>
  </si>
  <si>
    <t xml:space="preserve">TAGTCCGGCAAAGGAGCAGCCCCA</t>
  </si>
  <si>
    <t xml:space="preserve">AAACTGGGGCTGCTCCTTTGCCGG</t>
  </si>
  <si>
    <t xml:space="preserve">CGTTCCCATCCCAGCCTGGG</t>
  </si>
  <si>
    <t xml:space="preserve">TAGTCGTTCCCATCCCAGCCTGGG</t>
  </si>
  <si>
    <t xml:space="preserve">AAACCCCAGGCTGGGATGGGAACG</t>
  </si>
  <si>
    <t xml:space="preserve">PST_1465</t>
  </si>
  <si>
    <t xml:space="preserve">ATGCCTCATACCGAGGCTGT</t>
  </si>
  <si>
    <t xml:space="preserve">TAGTATGCCTCATACCGAGGCTGT</t>
  </si>
  <si>
    <t xml:space="preserve">AAACACAGCCTCGGTATGAGGCAT</t>
  </si>
  <si>
    <t xml:space="preserve">CGTGCAGGTCTGGGTACGGC</t>
  </si>
  <si>
    <t xml:space="preserve">TAGTCGTGCAGGTCTGGGTACGGC</t>
  </si>
  <si>
    <t xml:space="preserve">AAACGCCGTACCCAGACCTGCACG</t>
  </si>
  <si>
    <t xml:space="preserve">GTTTTCGAGCGGGATCATCC</t>
  </si>
  <si>
    <t xml:space="preserve">TAGTGTTTTCGAGCGGGATCATCC</t>
  </si>
  <si>
    <t xml:space="preserve">AAACGGATGATCCCGCTCGAAAAC</t>
  </si>
  <si>
    <t xml:space="preserve">TCTAGTCTGGCTACGTGTAC</t>
  </si>
  <si>
    <t xml:space="preserve">TAGTTCTAGTCTGGCTACGTGTAC</t>
  </si>
  <si>
    <t xml:space="preserve">AAACGTACACGTAGCCAGACTAGA</t>
  </si>
  <si>
    <t xml:space="preserve">PST_1466</t>
  </si>
  <si>
    <t xml:space="preserve">TCTAGGGTGGCCACCGTAGC</t>
  </si>
  <si>
    <t xml:space="preserve">TAGTTCTAGGGTGGCCACCGTAGC</t>
  </si>
  <si>
    <t xml:space="preserve">AAACGCTACGGTGGCCACCCTAGA</t>
  </si>
  <si>
    <t xml:space="preserve">GTCTCGCATGAAGAAGTGCT</t>
  </si>
  <si>
    <t xml:space="preserve">TAGTGTCTCGCATGAAGAAGTGCT</t>
  </si>
  <si>
    <t xml:space="preserve">AAACAGCACTTCTTCATGCGAGAC</t>
  </si>
  <si>
    <t xml:space="preserve">TCTGCGAGATTTCCGAGTAC</t>
  </si>
  <si>
    <t xml:space="preserve">TAGTTCTGCGAGATTTCCGAGTAC</t>
  </si>
  <si>
    <t xml:space="preserve">AAACGTACTCGGAAATCTCGCAGA</t>
  </si>
  <si>
    <t xml:space="preserve">TCAGGGTAATCCGGGATGTT</t>
  </si>
  <si>
    <t xml:space="preserve">TAGTTCAGGGTAATCCGGGATGTT</t>
  </si>
  <si>
    <t xml:space="preserve">AAACAACATCCCGGATTACCCTGA</t>
  </si>
  <si>
    <t xml:space="preserve">PST_1467</t>
  </si>
  <si>
    <t xml:space="preserve">hsdR</t>
  </si>
  <si>
    <t xml:space="preserve">ATTAATGAAAGCGCGCTTGA</t>
  </si>
  <si>
    <t xml:space="preserve">TAGTATTAATGAAAGCGCGCTTGA</t>
  </si>
  <si>
    <t xml:space="preserve">AAACTCAAGCGCGCTTTCATTAAT</t>
  </si>
  <si>
    <t xml:space="preserve">TGCCCGAGCCGAACAGCCTG</t>
  </si>
  <si>
    <t xml:space="preserve">TAGTTGCCCGAGCCGAACAGCCTG</t>
  </si>
  <si>
    <t xml:space="preserve">AAACCAGGCTGTTCGGCTCGGGCA</t>
  </si>
  <si>
    <t xml:space="preserve">CAATTCGGACGCCCCGACAA</t>
  </si>
  <si>
    <t xml:space="preserve">TAGTCAATTCGGACGCCCCGACAA</t>
  </si>
  <si>
    <t xml:space="preserve">AAACTTGTCGGGGCGTCCGAATTG</t>
  </si>
  <si>
    <t xml:space="preserve">ATGACTTCTTGTCCATGCGC</t>
  </si>
  <si>
    <t xml:space="preserve">TAGTATGACTTCTTGTCCATGCGC</t>
  </si>
  <si>
    <t xml:space="preserve">AAACGCGCATGGACAAGAAGTCAT</t>
  </si>
  <si>
    <t xml:space="preserve">PST_1468</t>
  </si>
  <si>
    <t xml:space="preserve">CCACGTAGCGTGGCCCCCTT</t>
  </si>
  <si>
    <t xml:space="preserve">TAGTCCACGTAGCGTGGCCCCCTT</t>
  </si>
  <si>
    <t xml:space="preserve">AAACAAGGGGGCCACGCTACGTGG</t>
  </si>
  <si>
    <t xml:space="preserve">GTATTCGTCCGTGCCTGGAG</t>
  </si>
  <si>
    <t xml:space="preserve">TAGTGTATTCGTCCGTGCCTGGAG</t>
  </si>
  <si>
    <t xml:space="preserve">AAACCTCCAGGCACGGACGAATAC</t>
  </si>
  <si>
    <t xml:space="preserve">GCTCGATGGTGCGTAGCGCA</t>
  </si>
  <si>
    <t xml:space="preserve">TAGTGCTCGATGGTGCGTAGCGCA</t>
  </si>
  <si>
    <t xml:space="preserve">AAACTGCGCTACGCACCATCGAGC</t>
  </si>
  <si>
    <t xml:space="preserve">CGCTGTAGCGCTGTTATTTC</t>
  </si>
  <si>
    <t xml:space="preserve">TAGTCGCTGTAGCGCTGTTATTTC</t>
  </si>
  <si>
    <t xml:space="preserve">AAACGAAATAACAGCGCTACAGCG</t>
  </si>
  <si>
    <t xml:space="preserve">PST_1469</t>
  </si>
  <si>
    <t xml:space="preserve">AGCTTTCGGGGATGGGCGAG</t>
  </si>
  <si>
    <t xml:space="preserve">TAGTAGCTTTCGGGGATGGGCGAG</t>
  </si>
  <si>
    <t xml:space="preserve">AAACCTCGCCCATCCCCGAAAGCT</t>
  </si>
  <si>
    <t xml:space="preserve">CGGCAGCCCAGGTGCGCCAG</t>
  </si>
  <si>
    <t xml:space="preserve">TAGTCGGCAGCCCAGGTGCGCCAG</t>
  </si>
  <si>
    <t xml:space="preserve">AAACCTGGCGCACCTGGGCTGCCG</t>
  </si>
  <si>
    <t xml:space="preserve">CATCACCGGTCATGCCTTCC</t>
  </si>
  <si>
    <t xml:space="preserve">TAGTCATCACCGGTCATGCCTTCC</t>
  </si>
  <si>
    <t xml:space="preserve">AAACGGAAGGCATGACCGGTGATG</t>
  </si>
  <si>
    <t xml:space="preserve">GGTTTTGCAGCTGCGGGAAC</t>
  </si>
  <si>
    <t xml:space="preserve">TAGTGGTTTTGCAGCTGCGGGAAC</t>
  </si>
  <si>
    <t xml:space="preserve">AAACGTTCCCGCAGCTGCAAAACC</t>
  </si>
  <si>
    <t xml:space="preserve">PST_1470</t>
  </si>
  <si>
    <t xml:space="preserve">GGTGACGGCGATCTGGCCGC</t>
  </si>
  <si>
    <t xml:space="preserve">TAGTGGTGACGGCGATCTGGCCGC</t>
  </si>
  <si>
    <t xml:space="preserve">AAACGCGGCCAGATCGCCGTCACC</t>
  </si>
  <si>
    <t xml:space="preserve">GCGGTCGCGGCCGAACAGCT</t>
  </si>
  <si>
    <t xml:space="preserve">TAGTGCGGTCGCGGCCGAACAGCT</t>
  </si>
  <si>
    <t xml:space="preserve">AAACAGCTGTTCGGCCGCGACCGC</t>
  </si>
  <si>
    <t xml:space="preserve">GCGGATATGCCGGCCGATCA</t>
  </si>
  <si>
    <t xml:space="preserve">TAGTGCGGATATGCCGGCCGATCA</t>
  </si>
  <si>
    <t xml:space="preserve">AAACTGATCGGCCGGCATATCCGC</t>
  </si>
  <si>
    <t xml:space="preserve">TTCACGCTCCAGCTCGCCCT</t>
  </si>
  <si>
    <t xml:space="preserve">TAGTTTCACGCTCCAGCTCGCCCT</t>
  </si>
  <si>
    <t xml:space="preserve">AAACAGGGCGAGCTGGAGCGTGAA</t>
  </si>
  <si>
    <t xml:space="preserve">PST_1471</t>
  </si>
  <si>
    <t xml:space="preserve">hsdS</t>
  </si>
  <si>
    <t xml:space="preserve">CAGGTTGTCGGTCAGTAGAG</t>
  </si>
  <si>
    <t xml:space="preserve">TAGTCAGGTTGTCGGTCAGTAGAG</t>
  </si>
  <si>
    <t xml:space="preserve">AAACCTCTACTGACCGACAACCTG</t>
  </si>
  <si>
    <t xml:space="preserve">CGCAGTTTCTTGATGCCATT</t>
  </si>
  <si>
    <t xml:space="preserve">TAGTCGCAGTTTCTTGATGCCATT</t>
  </si>
  <si>
    <t xml:space="preserve">AAACAATGGCATCAAGAAACTGCG</t>
  </si>
  <si>
    <t xml:space="preserve">GGCTCATCACTGGGATCTTG</t>
  </si>
  <si>
    <t xml:space="preserve">TAGTGGCTCATCACTGGGATCTTG</t>
  </si>
  <si>
    <t xml:space="preserve">AAACCAAGATCCCAGTGATGAGCC</t>
  </si>
  <si>
    <t xml:space="preserve">AGATTTAGCAACTCACTGGC</t>
  </si>
  <si>
    <t xml:space="preserve">TAGTAGATTTAGCAACTCACTGGC</t>
  </si>
  <si>
    <t xml:space="preserve">AAACGCCAGTGAGTTGCTAAATCT</t>
  </si>
  <si>
    <t xml:space="preserve">PST_1472</t>
  </si>
  <si>
    <t xml:space="preserve">GTCCAGACTTGCGTGCGAAT</t>
  </si>
  <si>
    <t xml:space="preserve">TAGTGTCCAGACTTGCGTGCGAAT</t>
  </si>
  <si>
    <t xml:space="preserve">AAACATTCGCACGCAAGTCTGGAC</t>
  </si>
  <si>
    <t xml:space="preserve">CGCGCAGCCTTGAGGGCTAC</t>
  </si>
  <si>
    <t xml:space="preserve">TAGTCGCGCAGCCTTGAGGGCTAC</t>
  </si>
  <si>
    <t xml:space="preserve">AAACGTAGCCCTCAAGGCTGCGCG</t>
  </si>
  <si>
    <t xml:space="preserve">CAGTCCTCCGACAGCAGCGC</t>
  </si>
  <si>
    <t xml:space="preserve">TAGTCAGTCCTCCGACAGCAGCGC</t>
  </si>
  <si>
    <t xml:space="preserve">AAACGCGCTGCTGTCGGAGGACTG</t>
  </si>
  <si>
    <t xml:space="preserve">CGTAGCCGGTGCTTTCCTGC</t>
  </si>
  <si>
    <t xml:space="preserve">TAGTCGTAGCCGGTGCTTTCCTGC</t>
  </si>
  <si>
    <t xml:space="preserve">AAACGCAGGAAAGCACCGGCTACG</t>
  </si>
  <si>
    <t xml:space="preserve">PST_1473</t>
  </si>
  <si>
    <t xml:space="preserve">TATGGGCGAAATCGGGGATC</t>
  </si>
  <si>
    <t xml:space="preserve">TAGTTATGGGCGAAATCGGGGATC</t>
  </si>
  <si>
    <t xml:space="preserve">AAACGATCCCCGATTTCGCCCATA</t>
  </si>
  <si>
    <t xml:space="preserve">GGCACTGATGCCGTTAGGGT</t>
  </si>
  <si>
    <t xml:space="preserve">TAGTGGCACTGATGCCGTTAGGGT</t>
  </si>
  <si>
    <t xml:space="preserve">AAACACCCTAACGGCATCAGTGCC</t>
  </si>
  <si>
    <t xml:space="preserve">TGCAGTGACCAACCAGAACC</t>
  </si>
  <si>
    <t xml:space="preserve">TAGTTGCAGTGACCAACCAGAACC</t>
  </si>
  <si>
    <t xml:space="preserve">AAACGGTTCTGGTTGGTCACTGCA</t>
  </si>
  <si>
    <t xml:space="preserve">AATGCCGGAAGTGCAGCATC</t>
  </si>
  <si>
    <t xml:space="preserve">TAGTAATGCCGGAAGTGCAGCATC</t>
  </si>
  <si>
    <t xml:space="preserve">AAACGATGCTGCACTTCCGGCATT</t>
  </si>
  <si>
    <t xml:space="preserve">PST_1474</t>
  </si>
  <si>
    <t xml:space="preserve">GTACGGGTTTTCCTCATCGA</t>
  </si>
  <si>
    <t xml:space="preserve">TAGTGTACGGGTTTTCCTCATCGA</t>
  </si>
  <si>
    <t xml:space="preserve">AAACTCGATGAGGAAAACCCGTAC</t>
  </si>
  <si>
    <t xml:space="preserve">CGCCGACATAATGTCCGAGA</t>
  </si>
  <si>
    <t xml:space="preserve">TAGTCGCCGACATAATGTCCGAGA</t>
  </si>
  <si>
    <t xml:space="preserve">AAACTCTCGGACATTATGTCGGCG</t>
  </si>
  <si>
    <t xml:space="preserve">TGTCCATCAGCTGCAGGATC</t>
  </si>
  <si>
    <t xml:space="preserve">TAGTTGTCCATCAGCTGCAGGATC</t>
  </si>
  <si>
    <t xml:space="preserve">AAACGATCCTGCAGCTGATGGACA</t>
  </si>
  <si>
    <t xml:space="preserve">CTTCGATTTCCTGTTCGAAC</t>
  </si>
  <si>
    <t xml:space="preserve">TAGTCTTCGATTTCCTGTTCGAAC</t>
  </si>
  <si>
    <t xml:space="preserve">AAACGTTCGAACAGGAAATCGAAG</t>
  </si>
  <si>
    <t xml:space="preserve">PST_1475</t>
  </si>
  <si>
    <t xml:space="preserve">GCCGCAGGAAACTCTACTGG</t>
  </si>
  <si>
    <t xml:space="preserve">TAGTGCCGCAGGAAACTCTACTGG</t>
  </si>
  <si>
    <t xml:space="preserve">AAACCCAGTAGAGTTTCCTGCGGC</t>
  </si>
  <si>
    <t xml:space="preserve">GAGCATCTGAGCGCCCCAGC</t>
  </si>
  <si>
    <t xml:space="preserve">TAGTGAGCATCTGAGCGCCCCAGC</t>
  </si>
  <si>
    <t xml:space="preserve">AAACGCTGGGGCGCTCAGATGCTC</t>
  </si>
  <si>
    <t xml:space="preserve">TCCGGCCTCCGTCTCCATAG</t>
  </si>
  <si>
    <t xml:space="preserve">TAGTTCCGGCCTCCGTCTCCATAG</t>
  </si>
  <si>
    <t xml:space="preserve">AAACCTATGGAGACGGAGGCCGGA</t>
  </si>
  <si>
    <t xml:space="preserve">CACATCACAGCGCAGCGTGA</t>
  </si>
  <si>
    <t xml:space="preserve">TAGTCACATCACAGCGCAGCGTGA</t>
  </si>
  <si>
    <t xml:space="preserve">AAACTCACGCTGCGCTGTGATGTG</t>
  </si>
  <si>
    <t xml:space="preserve">PST_1476</t>
  </si>
  <si>
    <t xml:space="preserve">ACTGGATCAGAGTCGCCAAG</t>
  </si>
  <si>
    <t xml:space="preserve">TAGTACTGGATCAGAGTCGCCAAG</t>
  </si>
  <si>
    <t xml:space="preserve">AAACCTTGGCGACTCTGATCCAGT</t>
  </si>
  <si>
    <t xml:space="preserve">AATGGCGCCTTGGCAACGGA</t>
  </si>
  <si>
    <t xml:space="preserve">TAGTAATGGCGCCTTGGCAACGGA</t>
  </si>
  <si>
    <t xml:space="preserve">AAACTCCGTTGCCAAGGCGCCATT</t>
  </si>
  <si>
    <t xml:space="preserve">TGAGGATCTCAAGCGCAACA</t>
  </si>
  <si>
    <t xml:space="preserve">TAGTTGAGGATCTCAAGCGCAACA</t>
  </si>
  <si>
    <t xml:space="preserve">AAACTGTTGCGCTTGAGATCCTCA</t>
  </si>
  <si>
    <t xml:space="preserve">AAAGTTCTGCCAGACTTCGC</t>
  </si>
  <si>
    <t xml:space="preserve">TAGTAAAGTTCTGCCAGACTTCGC</t>
  </si>
  <si>
    <t xml:space="preserve">AAACGCGAAGTCTGGCAGAACTTT</t>
  </si>
  <si>
    <t xml:space="preserve">PST_1479</t>
  </si>
  <si>
    <t xml:space="preserve">CCAGTAGGAGGTGCGTATTT</t>
  </si>
  <si>
    <t xml:space="preserve">TAGTCCAGTAGGAGGTGCGTATTT</t>
  </si>
  <si>
    <t xml:space="preserve">AAACAAATACGCACCTCCTACTGG</t>
  </si>
  <si>
    <t xml:space="preserve">CCCATCCATTCGCGCGAAGC</t>
  </si>
  <si>
    <t xml:space="preserve">TAGTCCCATCCATTCGCGCGAAGC</t>
  </si>
  <si>
    <t xml:space="preserve">AAACGCTTCGCGCGAATGGATGGG</t>
  </si>
  <si>
    <t xml:space="preserve">ATCACGGCCTTGTCATTCAT</t>
  </si>
  <si>
    <t xml:space="preserve">TAGTATCACGGCCTTGTCATTCAT</t>
  </si>
  <si>
    <t xml:space="preserve">AAACATGAATGACAAGGCCGTGAT</t>
  </si>
  <si>
    <t xml:space="preserve">TATGTGAGCCCTCAACCAGA</t>
  </si>
  <si>
    <t xml:space="preserve">TAGTTATGTGAGCCCTCAACCAGA</t>
  </si>
  <si>
    <t xml:space="preserve">AAACTCTGGTTGAGGGCTCACATA</t>
  </si>
  <si>
    <t xml:space="preserve">PST_1480</t>
  </si>
  <si>
    <t xml:space="preserve">AAGATAAAAATTGACTCCGT</t>
  </si>
  <si>
    <t xml:space="preserve">TAGTAAGATAAAAATTGACTCCGT</t>
  </si>
  <si>
    <t xml:space="preserve">AAACACGGAGTCAATTTTTATCTT</t>
  </si>
  <si>
    <t xml:space="preserve">AACGCTTTGAACGTCTGGAC</t>
  </si>
  <si>
    <t xml:space="preserve">TAGTAACGCTTTGAACGTCTGGAC</t>
  </si>
  <si>
    <t xml:space="preserve">AAACGTCCAGACGTTCAAAGCGTT</t>
  </si>
  <si>
    <t xml:space="preserve">CCTGCTCAGAGAGCATGTTC</t>
  </si>
  <si>
    <t xml:space="preserve">TAGTCCTGCTCAGAGAGCATGTTC</t>
  </si>
  <si>
    <t xml:space="preserve">AAACGAACATGCTCTCTGAGCAGG</t>
  </si>
  <si>
    <t xml:space="preserve">AGCGCCGATATGAAAGCCGT</t>
  </si>
  <si>
    <t xml:space="preserve">TAGTAGCGCCGATATGAAAGCCGT</t>
  </si>
  <si>
    <t xml:space="preserve">AAACACGGCTTTCATATCGGCGCT</t>
  </si>
  <si>
    <t xml:space="preserve">PST_1481</t>
  </si>
  <si>
    <t xml:space="preserve">GAGCATCATTGCCAGTTTCT</t>
  </si>
  <si>
    <t xml:space="preserve">TAGTGAGCATCATTGCCAGTTTCT</t>
  </si>
  <si>
    <t xml:space="preserve">AAACAGAAACTGGCAATGATGCTC</t>
  </si>
  <si>
    <t xml:space="preserve">CATACCGAACGTAACAGCTG</t>
  </si>
  <si>
    <t xml:space="preserve">TAGTCATACCGAACGTAACAGCTG</t>
  </si>
  <si>
    <t xml:space="preserve">AAACCAGCTGTTACGTTCGGTATG</t>
  </si>
  <si>
    <t xml:space="preserve">CGAGCTGAAACTAAGTAGCG</t>
  </si>
  <si>
    <t xml:space="preserve">TAGTCGAGCTGAAACTAAGTAGCG</t>
  </si>
  <si>
    <t xml:space="preserve">AAACCGCTACTTAGTTTCAGCTCG</t>
  </si>
  <si>
    <t xml:space="preserve">AATTTGGAGGCGTAACGCGA</t>
  </si>
  <si>
    <t xml:space="preserve">TAGTAATTTGGAGGCGTAACGCGA</t>
  </si>
  <si>
    <t xml:space="preserve">AAACTCGCGTTACGCCTCCAAATT</t>
  </si>
  <si>
    <t xml:space="preserve">PST_1482</t>
  </si>
  <si>
    <t xml:space="preserve">CGGCAAACAGGTTGGAACAA</t>
  </si>
  <si>
    <t xml:space="preserve">TAGTCGGCAAACAGGTTGGAACAA</t>
  </si>
  <si>
    <t xml:space="preserve">AAACTTGTTCCAACCTGTTTGCCG</t>
  </si>
  <si>
    <t xml:space="preserve">CACTACGAGCACGCGAGGGG</t>
  </si>
  <si>
    <t xml:space="preserve">TAGTCACTACGAGCACGCGAGGGG</t>
  </si>
  <si>
    <t xml:space="preserve">AAACCCCCTCGCGTGCTCGTAGTG</t>
  </si>
  <si>
    <t xml:space="preserve">TATCGAAATGCCGAGACCTG</t>
  </si>
  <si>
    <t xml:space="preserve">TAGTTATCGAAATGCCGAGACCTG</t>
  </si>
  <si>
    <t xml:space="preserve">AAACCAGGTCTCGGCATTTCGATA</t>
  </si>
  <si>
    <t xml:space="preserve">CCGAGCTCCGGTCCGTTGCT</t>
  </si>
  <si>
    <t xml:space="preserve">TAGTCCGAGCTCCGGTCCGTTGCT</t>
  </si>
  <si>
    <t xml:space="preserve">AAACAGCAACGGACCGGAGCTCGG</t>
  </si>
  <si>
    <t xml:space="preserve">PST_1483</t>
  </si>
  <si>
    <t xml:space="preserve">TCTGCAGTGTCGTACGCGTT</t>
  </si>
  <si>
    <t xml:space="preserve">TAGTTCTGCAGTGTCGTACGCGTT</t>
  </si>
  <si>
    <t xml:space="preserve">AAACAACGCGTACGACACTGCAGA</t>
  </si>
  <si>
    <t xml:space="preserve">CGGCGCTTTCAGCTCTGCTA</t>
  </si>
  <si>
    <t xml:space="preserve">TAGTCGGCGCTTTCAGCTCTGCTA</t>
  </si>
  <si>
    <t xml:space="preserve">AAACTAGCAGAGCTGAAAGCGCCG</t>
  </si>
  <si>
    <t xml:space="preserve">CGTACGAAAGCGATCTGCTT</t>
  </si>
  <si>
    <t xml:space="preserve">TAGTCGTACGAAAGCGATCTGCTT</t>
  </si>
  <si>
    <t xml:space="preserve">AAACAAGCAGATCGCTTTCGTACG</t>
  </si>
  <si>
    <t xml:space="preserve">TTCACGTGCGCGCGTGGGCA</t>
  </si>
  <si>
    <t xml:space="preserve">TAGTTTCACGTGCGCGCGTGGGCA</t>
  </si>
  <si>
    <t xml:space="preserve">AAACTGCCCACGCGCGCACGTGAA</t>
  </si>
  <si>
    <t xml:space="preserve">PST_1484</t>
  </si>
  <si>
    <t xml:space="preserve">CTCGGATCAGGAATTAGGAA</t>
  </si>
  <si>
    <t xml:space="preserve">TAGTCTCGGATCAGGAATTAGGAA</t>
  </si>
  <si>
    <t xml:space="preserve">AAACTTCCTAATTCCTGATCCGAG</t>
  </si>
  <si>
    <t xml:space="preserve">GCAACAGCGGCGTTGGTTCG</t>
  </si>
  <si>
    <t xml:space="preserve">TAGTGCAACAGCGGCGTTGGTTCG</t>
  </si>
  <si>
    <t xml:space="preserve">AAACCGAACCAACGCCGCTGTTGC</t>
  </si>
  <si>
    <t xml:space="preserve">GGAACGGCCGCTTCCACTTC</t>
  </si>
  <si>
    <t xml:space="preserve">TAGTGGAACGGCCGCTTCCACTTC</t>
  </si>
  <si>
    <t xml:space="preserve">AAACGAAGTGGAAGCGGCCGTTCC</t>
  </si>
  <si>
    <t xml:space="preserve">CCCAAGGCTTCCAGCGGATA</t>
  </si>
  <si>
    <t xml:space="preserve">TAGTCCCAAGGCTTCCAGCGGATA</t>
  </si>
  <si>
    <t xml:space="preserve">AAACTATCCGCTGGAAGCCTTGGG</t>
  </si>
  <si>
    <t xml:space="preserve">PST_1485</t>
  </si>
  <si>
    <t xml:space="preserve">TTGCATGGCAGCGTGAAGAT</t>
  </si>
  <si>
    <t xml:space="preserve">TAGTTTGCATGGCAGCGTGAAGAT</t>
  </si>
  <si>
    <t xml:space="preserve">AAACATCTTCACGCTGCCATGCAA</t>
  </si>
  <si>
    <t xml:space="preserve">GCAGCCAGTTAAGCGGGCCG</t>
  </si>
  <si>
    <t xml:space="preserve">TAGTGCAGCCAGTTAAGCGGGCCG</t>
  </si>
  <si>
    <t xml:space="preserve">AAACCGGCCCGCTTAACTGGCTGC</t>
  </si>
  <si>
    <t xml:space="preserve">TGGATCTGGCCGTCCGCTTT</t>
  </si>
  <si>
    <t xml:space="preserve">TAGTTGGATCTGGCCGTCCGCTTT</t>
  </si>
  <si>
    <t xml:space="preserve">AAACAAAGCGGACGGCCAGATCCA</t>
  </si>
  <si>
    <t xml:space="preserve">CACCAGGGACGTAGTAGCGG</t>
  </si>
  <si>
    <t xml:space="preserve">TAGTCACCAGGGACGTAGTAGCGG</t>
  </si>
  <si>
    <t xml:space="preserve">AAACCCGCTACTACGTCCCTGGTG</t>
  </si>
  <si>
    <t xml:space="preserve">PST_1488</t>
  </si>
  <si>
    <t xml:space="preserve">ATCGTCAGTTATTAGGTCAA</t>
  </si>
  <si>
    <t xml:space="preserve">TAGTATCGTCAGTTATTAGGTCAA</t>
  </si>
  <si>
    <t xml:space="preserve">AAACTTGACCTAATAACTGACGAT</t>
  </si>
  <si>
    <t xml:space="preserve">CCGCTAAAAACGATGCGCAG</t>
  </si>
  <si>
    <t xml:space="preserve">TAGTCCGCTAAAAACGATGCGCAG</t>
  </si>
  <si>
    <t xml:space="preserve">AAACCTGCGCATCGTTTTTAGCGG</t>
  </si>
  <si>
    <t xml:space="preserve">AGCGACACGGACGGCTGACA</t>
  </si>
  <si>
    <t xml:space="preserve">TAGTAGCGACACGGACGGCTGACA</t>
  </si>
  <si>
    <t xml:space="preserve">AAACTGTCAGCCGTCCGTGTCGCT</t>
  </si>
  <si>
    <t xml:space="preserve">TTTATTTGCTCAATGGCCTG</t>
  </si>
  <si>
    <t xml:space="preserve">TAGTTTTATTTGCTCAATGGCCTG</t>
  </si>
  <si>
    <t xml:space="preserve">AAACCAGGCCATTGAGCAAATAAA</t>
  </si>
  <si>
    <t xml:space="preserve">PST_1489</t>
  </si>
  <si>
    <t xml:space="preserve">GAACGCAATGTGGGTCGCGC</t>
  </si>
  <si>
    <t xml:space="preserve">TAGTGAACGCAATGTGGGTCGCGC</t>
  </si>
  <si>
    <t xml:space="preserve">AAACGCGCGACCCACATTGCGTTC</t>
  </si>
  <si>
    <t xml:space="preserve">CGCTTTCCTGCCTCGGGCGG</t>
  </si>
  <si>
    <t xml:space="preserve">TAGTCGCTTTCCTGCCTCGGGCGG</t>
  </si>
  <si>
    <t xml:space="preserve">AAACCCGCCCGAGGCAGGAAAGCG</t>
  </si>
  <si>
    <t xml:space="preserve">TATCTTGGTGTCGTGATAAG</t>
  </si>
  <si>
    <t xml:space="preserve">TAGTTATCTTGGTGTCGTGATAAG</t>
  </si>
  <si>
    <t xml:space="preserve">AAACCTTATCACGACACCAAGATA</t>
  </si>
  <si>
    <t xml:space="preserve">GAAAACGTCTTTACCCCGCT</t>
  </si>
  <si>
    <t xml:space="preserve">TAGTGAAAACGTCTTTACCCCGCT</t>
  </si>
  <si>
    <t xml:space="preserve">AAACAGCGGGGTAAAGACGTTTTC</t>
  </si>
  <si>
    <t xml:space="preserve">PST_1491</t>
  </si>
  <si>
    <t xml:space="preserve">CCCAGCACCAGCCAGCGAAG</t>
  </si>
  <si>
    <t xml:space="preserve">TAGTCCCAGCACCAGCCAGCGAAG</t>
  </si>
  <si>
    <t xml:space="preserve">AAACCTTCGCTGGCTGGTGCTGGG</t>
  </si>
  <si>
    <t xml:space="preserve">TCAGCAGCAGCGCGCTGGAC</t>
  </si>
  <si>
    <t xml:space="preserve">TAGTTCAGCAGCAGCGCGCTGGAC</t>
  </si>
  <si>
    <t xml:space="preserve">AAACGTCCAGCGCGCTGCTGCTGA</t>
  </si>
  <si>
    <t xml:space="preserve">AGGTCAGACTGGGCAGGGCG</t>
  </si>
  <si>
    <t xml:space="preserve">TAGTAGGTCAGACTGGGCAGGGCG</t>
  </si>
  <si>
    <t xml:space="preserve">AAACCGCCCTGCCCAGTCTGACCT</t>
  </si>
  <si>
    <t xml:space="preserve">GGCCGTGGCACGCAGCTCGT</t>
  </si>
  <si>
    <t xml:space="preserve">TAGTGGCCGTGGCACGCAGCTCGT</t>
  </si>
  <si>
    <t xml:space="preserve">AAACACGAGCTGCGTGCCACGGCC</t>
  </si>
  <si>
    <t xml:space="preserve">PST_1494</t>
  </si>
  <si>
    <t xml:space="preserve">pobA</t>
  </si>
  <si>
    <t xml:space="preserve">GATGGCGACACCTGTTTTCA</t>
  </si>
  <si>
    <t xml:space="preserve">TAGTGATGGCGACACCTGTTTTCA</t>
  </si>
  <si>
    <t xml:space="preserve">AAACTGAAAACAGGTGTCGCCATC</t>
  </si>
  <si>
    <t xml:space="preserve">CAGCAGCAGGCCAGACGGGC</t>
  </si>
  <si>
    <t xml:space="preserve">TAGTCAGCAGCAGGCCAGACGGGC</t>
  </si>
  <si>
    <t xml:space="preserve">AAACGCCCGTCTGGCCTGCTGCTG</t>
  </si>
  <si>
    <t xml:space="preserve">GCCTTTCGATGATGACGTTG</t>
  </si>
  <si>
    <t xml:space="preserve">TAGTGCCTTTCGATGATGACGTTG</t>
  </si>
  <si>
    <t xml:space="preserve">AAACCAACGTCATCATCGAAAGGC</t>
  </si>
  <si>
    <t xml:space="preserve">CCTGCTCCAGTACCCCGGCG</t>
  </si>
  <si>
    <t xml:space="preserve">TAGTCCTGCTCCAGTACCCCGGCG</t>
  </si>
  <si>
    <t xml:space="preserve">AAACCGCCGGGGTACTGGAGCAGG</t>
  </si>
  <si>
    <t xml:space="preserve">PST_1497</t>
  </si>
  <si>
    <t xml:space="preserve">AGCTGTTAGCGAAGGTCAGC</t>
  </si>
  <si>
    <t xml:space="preserve">TAGTAGCTGTTAGCGAAGGTCAGC</t>
  </si>
  <si>
    <t xml:space="preserve">AAACGCTGACCTTCGCTAACAGCT</t>
  </si>
  <si>
    <t xml:space="preserve">ATCGAACAGCTGGTCGCGCT</t>
  </si>
  <si>
    <t xml:space="preserve">TAGTATCGAACAGCTGGTCGCGCT</t>
  </si>
  <si>
    <t xml:space="preserve">AAACAGCGCGACCAGCTGTTCGAT</t>
  </si>
  <si>
    <t xml:space="preserve">CTTGCGGGCATAGGCCCGGT</t>
  </si>
  <si>
    <t xml:space="preserve">TAGTCTTGCGGGCATAGGCCCGGT</t>
  </si>
  <si>
    <t xml:space="preserve">AAACACCGGGCCTATGCCCGCAAG</t>
  </si>
  <si>
    <t xml:space="preserve">GATGAACTGATCGGTCGTGT</t>
  </si>
  <si>
    <t xml:space="preserve">TAGTGATGAACTGATCGGTCGTGT</t>
  </si>
  <si>
    <t xml:space="preserve">AAACACACGACCGATCAGTTCATC</t>
  </si>
  <si>
    <t xml:space="preserve">PST_1498</t>
  </si>
  <si>
    <t xml:space="preserve">CGGTGACGGATGCGGCGAGC</t>
  </si>
  <si>
    <t xml:space="preserve">TAGTCGGTGACGGATGCGGCGAGC</t>
  </si>
  <si>
    <t xml:space="preserve">AAACGCTCGCCGCATCCGTCACCG</t>
  </si>
  <si>
    <t xml:space="preserve">CGCATGGCTGACGGCGGGGG</t>
  </si>
  <si>
    <t xml:space="preserve">TAGTCGCATGGCTGACGGCGGGGG</t>
  </si>
  <si>
    <t xml:space="preserve">AAACCCCCCGCCGTCAGCCATGCG</t>
  </si>
  <si>
    <t xml:space="preserve">GATGTCGTTTTCCACCTTGA</t>
  </si>
  <si>
    <t xml:space="preserve">TAGTGATGTCGTTTTCCACCTTGA</t>
  </si>
  <si>
    <t xml:space="preserve">AAACTCAAGGTGGAAAACGACATC</t>
  </si>
  <si>
    <t xml:space="preserve">GTAATGACCATCGCTGCCCG</t>
  </si>
  <si>
    <t xml:space="preserve">TAGTGTAATGACCATCGCTGCCCG</t>
  </si>
  <si>
    <t xml:space="preserve">AAACCGGGCAGCGATGGTCATTAC</t>
  </si>
  <si>
    <t xml:space="preserve">PST_1499</t>
  </si>
  <si>
    <t xml:space="preserve">ATAGGCCAGCGCCGAGGCGT</t>
  </si>
  <si>
    <t xml:space="preserve">TAGTATAGGCCAGCGCCGAGGCGT</t>
  </si>
  <si>
    <t xml:space="preserve">AAACACGCCTCGGCGCTGGCCTAT</t>
  </si>
  <si>
    <t xml:space="preserve">CGATGAGAAAGACCAGGAAC</t>
  </si>
  <si>
    <t xml:space="preserve">TAGTCGATGAGAAAGACCAGGAAC</t>
  </si>
  <si>
    <t xml:space="preserve">AAACGTTCCTGGTCTTTCTCATCG</t>
  </si>
  <si>
    <t xml:space="preserve">CAGGTCGAGAAAGCCCAGCA</t>
  </si>
  <si>
    <t xml:space="preserve">TAGTCAGGTCGAGAAAGCCCAGCA</t>
  </si>
  <si>
    <t xml:space="preserve">AAACTGCTGGGCTTTCTCGACCTG</t>
  </si>
  <si>
    <t xml:space="preserve">ATCTGCTCCATTGCCACCGG</t>
  </si>
  <si>
    <t xml:space="preserve">TAGTATCTGCTCCATTGCCACCGG</t>
  </si>
  <si>
    <t xml:space="preserve">AAACCCGGTGGCAATGGAGCAGAT</t>
  </si>
  <si>
    <t xml:space="preserve">PST_1500</t>
  </si>
  <si>
    <t xml:space="preserve">GCTGGCAGGTGCGTAGAACA</t>
  </si>
  <si>
    <t xml:space="preserve">TAGTGCTGGCAGGTGCGTAGAACA</t>
  </si>
  <si>
    <t xml:space="preserve">AAACTGTTCTACGCACCTGCCAGC</t>
  </si>
  <si>
    <t xml:space="preserve">GCGATGCTTGGCCTCTAGGT</t>
  </si>
  <si>
    <t xml:space="preserve">TAGTGCGATGCTTGGCCTCTAGGT</t>
  </si>
  <si>
    <t xml:space="preserve">AAACACCTAGAGGCCAAGCATCGC</t>
  </si>
  <si>
    <t xml:space="preserve">CGCCCGAGTAAAGCTGCAAC</t>
  </si>
  <si>
    <t xml:space="preserve">TAGTCGCCCGAGTAAAGCTGCAAC</t>
  </si>
  <si>
    <t xml:space="preserve">AAACGTTGCAGCTTTACTCGGGCG</t>
  </si>
  <si>
    <t xml:space="preserve">TGTAATCACCGCCCGGTACC</t>
  </si>
  <si>
    <t xml:space="preserve">TAGTTGTAATCACCGCCCGGTACC</t>
  </si>
  <si>
    <t xml:space="preserve">AAACGGTACCGGGCGGTGATTACA</t>
  </si>
  <si>
    <t xml:space="preserve">PST_1501</t>
  </si>
  <si>
    <t xml:space="preserve">GTCGTGCAACACCAGGGTCA</t>
  </si>
  <si>
    <t xml:space="preserve">TAGTGTCGTGCAACACCAGGGTCA</t>
  </si>
  <si>
    <t xml:space="preserve">AAACTGACCCTGGTGTTGCACGAC</t>
  </si>
  <si>
    <t xml:space="preserve">GAAGGGACGGTAGTCGGGCC</t>
  </si>
  <si>
    <t xml:space="preserve">TAGTGAAGGGACGGTAGTCGGGCC</t>
  </si>
  <si>
    <t xml:space="preserve">AAACGGCCCGACTACCGTCCCTTC</t>
  </si>
  <si>
    <t xml:space="preserve">GGTGATCGGCACCCCACCGA</t>
  </si>
  <si>
    <t xml:space="preserve">TAGTGGTGATCGGCACCCCACCGA</t>
  </si>
  <si>
    <t xml:space="preserve">AAACTCGGTGGGGTGCCGATCACC</t>
  </si>
  <si>
    <t xml:space="preserve">GAAATCCGGTACTACCAGCC</t>
  </si>
  <si>
    <t xml:space="preserve">TAGTGAAATCCGGTACTACCAGCC</t>
  </si>
  <si>
    <t xml:space="preserve">AAACGGCTGGTAGTACCGGATTTC</t>
  </si>
  <si>
    <t xml:space="preserve">PST_1502</t>
  </si>
  <si>
    <t xml:space="preserve">CCGGTACCGCCGAGCAACAG</t>
  </si>
  <si>
    <t xml:space="preserve">TAGTCCGGTACCGCCGAGCAACAG</t>
  </si>
  <si>
    <t xml:space="preserve">AAACCTGTTGCTCGGCGGTACCGG</t>
  </si>
  <si>
    <t xml:space="preserve">AATGGCGCAGCCGCTCGAAC</t>
  </si>
  <si>
    <t xml:space="preserve">TAGTAATGGCGCAGCCGCTCGAAC</t>
  </si>
  <si>
    <t xml:space="preserve">AAACGTTCGAGCGGCTGCGCCATT</t>
  </si>
  <si>
    <t xml:space="preserve">TTGTGACCAACAGGCTGCCA</t>
  </si>
  <si>
    <t xml:space="preserve">TAGTTTGTGACCAACAGGCTGCCA</t>
  </si>
  <si>
    <t xml:space="preserve">AAACTGGCAGCCTGTTGGTCACAA</t>
  </si>
  <si>
    <t xml:space="preserve">ATTCCAGCCGACCAGCACCA</t>
  </si>
  <si>
    <t xml:space="preserve">TAGTATTCCAGCCGACCAGCACCA</t>
  </si>
  <si>
    <t xml:space="preserve">AAACTGGTGCTGGTCGGCTGGAAT</t>
  </si>
  <si>
    <t xml:space="preserve">PST_1503</t>
  </si>
  <si>
    <t xml:space="preserve">GTTGCCCTTGACCTTGTCTT</t>
  </si>
  <si>
    <t xml:space="preserve">TAGTGTTGCCCTTGACCTTGTCTT</t>
  </si>
  <si>
    <t xml:space="preserve">AAACAAGACAAGGTCAAGGGCAAC</t>
  </si>
  <si>
    <t xml:space="preserve">GATCTTGCCTACGGCTTCGT</t>
  </si>
  <si>
    <t xml:space="preserve">TAGTGATCTTGCCTACGGCTTCGT</t>
  </si>
  <si>
    <t xml:space="preserve">AAACACGAAGCCGTAGGCAAGATC</t>
  </si>
  <si>
    <t xml:space="preserve">GCCTTTCAGACGCTGGTTGT</t>
  </si>
  <si>
    <t xml:space="preserve">TAGTGCCTTTCAGACGCTGGTTGT</t>
  </si>
  <si>
    <t xml:space="preserve">AAACACAACCAGCGTCTGAAAGGC</t>
  </si>
  <si>
    <t xml:space="preserve">CGCCCTTGACTTCCTGACGC</t>
  </si>
  <si>
    <t xml:space="preserve">TAGTCGCCCTTGACTTCCTGACGC</t>
  </si>
  <si>
    <t xml:space="preserve">AAACGCGTCAGGAAGTCAAGGGCG</t>
  </si>
  <si>
    <t xml:space="preserve">PST_1504</t>
  </si>
  <si>
    <t xml:space="preserve">fdxA</t>
  </si>
  <si>
    <t xml:space="preserve">TTTGCACTTGATGCAGTTGT</t>
  </si>
  <si>
    <t xml:space="preserve">TAGTTTTGCACTTGATGCAGTTGT</t>
  </si>
  <si>
    <t xml:space="preserve">AAACACAACTGCATCAAGTGCAAA</t>
  </si>
  <si>
    <t xml:space="preserve">CGGGCAGACTTCCACGCAAT</t>
  </si>
  <si>
    <t xml:space="preserve">TAGTCGGGCAGACTTCCACGCAAT</t>
  </si>
  <si>
    <t xml:space="preserve">AAACATTGCGTGGAAGTCTGCCCG</t>
  </si>
  <si>
    <t xml:space="preserve">CCTTCGTAGAAGCAGTCCAC</t>
  </si>
  <si>
    <t xml:space="preserve">TAGTCCTTCGTAGAAGCAGTCCAC</t>
  </si>
  <si>
    <t xml:space="preserve">AAACGTGGACTGCTTCTACGAAGG</t>
  </si>
  <si>
    <t xml:space="preserve">GGTGAATCACCAGAAAGTTC</t>
  </si>
  <si>
    <t xml:space="preserve">TAGTGGTGAATCACCAGAAAGTTC</t>
  </si>
  <si>
    <t xml:space="preserve">AAACGAACTTTCTGGTGATTCACC</t>
  </si>
  <si>
    <t xml:space="preserve">PST_1505</t>
  </si>
  <si>
    <t xml:space="preserve">mutS</t>
  </si>
  <si>
    <t xml:space="preserve">GGCGCCGCTGAAAACCGGCA</t>
  </si>
  <si>
    <t xml:space="preserve">TAGTGGCGCCGCTGAAAACCGGCA</t>
  </si>
  <si>
    <t xml:space="preserve">AAACTGCCGGTTTTCAGCGGCGCC</t>
  </si>
  <si>
    <t xml:space="preserve">CAGCTGCCGAACGGAAACGA</t>
  </si>
  <si>
    <t xml:space="preserve">TAGTCAGCTGCCGAACGGAAACGA</t>
  </si>
  <si>
    <t xml:space="preserve">AAACTCGTTTCCGTTCGGCAGCTG</t>
  </si>
  <si>
    <t xml:space="preserve">AGGGCGCAGGCATCGGCGGC</t>
  </si>
  <si>
    <t xml:space="preserve">TAGTAGGGCGCAGGCATCGGCGGC</t>
  </si>
  <si>
    <t xml:space="preserve">AAACGCCGCCGATGCCTGCGCCCT</t>
  </si>
  <si>
    <t xml:space="preserve">GGCGTGGGTGTGGTTCGTTG</t>
  </si>
  <si>
    <t xml:space="preserve">TAGTGGCGTGGGTGTGGTTCGTTG</t>
  </si>
  <si>
    <t xml:space="preserve">AAACCAACGAACCACACCCACGCC</t>
  </si>
  <si>
    <t xml:space="preserve">PST_1506</t>
  </si>
  <si>
    <t xml:space="preserve">GGCATCGAGACCGATTAGTC</t>
  </si>
  <si>
    <t xml:space="preserve">TAGTGGCATCGAGACCGATTAGTC</t>
  </si>
  <si>
    <t xml:space="preserve">AAACGACTAATCGGTCTCGATGCC</t>
  </si>
  <si>
    <t xml:space="preserve">CAATGCCGCTACGCCGCGCA</t>
  </si>
  <si>
    <t xml:space="preserve">TAGTCAATGCCGCTACGCCGCGCA</t>
  </si>
  <si>
    <t xml:space="preserve">AAACTGCGCGGCGTAGCGGCATTG</t>
  </si>
  <si>
    <t xml:space="preserve">TTTTGCAATTAGATGGGAAT</t>
  </si>
  <si>
    <t xml:space="preserve">TAGTTTTTGCAATTAGATGGGAAT</t>
  </si>
  <si>
    <t xml:space="preserve">AAACATTCCCATCTAATTGCAAAA</t>
  </si>
  <si>
    <t xml:space="preserve">CTTGCTGACAAGAAACAACT</t>
  </si>
  <si>
    <t xml:space="preserve">TAGTCTTGCTGACAAGAAACAACT</t>
  </si>
  <si>
    <t xml:space="preserve">AAACAGTTGTTTCTTGTCAGCAAG</t>
  </si>
  <si>
    <t xml:space="preserve">PST_1507</t>
  </si>
  <si>
    <t xml:space="preserve">CGTGAACGGCCGAACGGCTC</t>
  </si>
  <si>
    <t xml:space="preserve">TAGTCGTGAACGGCCGAACGGCTC</t>
  </si>
  <si>
    <t xml:space="preserve">AAACGAGCCGTTCGGCCGTTCACG</t>
  </si>
  <si>
    <t xml:space="preserve">CCCCCCTGCCATCGGGCGAA</t>
  </si>
  <si>
    <t xml:space="preserve">TAGTCCCCCCTGCCATCGGGCGAA</t>
  </si>
  <si>
    <t xml:space="preserve">AAACTTCGCCCGATGGCAGGGGGG</t>
  </si>
  <si>
    <t xml:space="preserve">CACCCCGGCAACATGCAAAG</t>
  </si>
  <si>
    <t xml:space="preserve">TAGTCACCCCGGCAACATGCAAAG</t>
  </si>
  <si>
    <t xml:space="preserve">AAACCTTTGCATGTTGCCGGGGTG</t>
  </si>
  <si>
    <t xml:space="preserve">CAGCTCCTCGCCCAATCGTG</t>
  </si>
  <si>
    <t xml:space="preserve">TAGTCAGCTCCTCGCCCAATCGTG</t>
  </si>
  <si>
    <t xml:space="preserve">AAACCACGATTGGGCGAGGAGCTG</t>
  </si>
  <si>
    <t xml:space="preserve">PST_1508</t>
  </si>
  <si>
    <t xml:space="preserve">recA</t>
  </si>
  <si>
    <t xml:space="preserve">TAGAGATGGCCGGGATCGCC</t>
  </si>
  <si>
    <t xml:space="preserve">TAGTTAGAGATGGCCGGGATCGCC</t>
  </si>
  <si>
    <t xml:space="preserve">AAACGGCGATCCCGGCCATCTCTA</t>
  </si>
  <si>
    <t xml:space="preserve">GATGTCCAGACCCAGCGAGC</t>
  </si>
  <si>
    <t xml:space="preserve">TAGTGATGTCCAGACCCAGCGAGC</t>
  </si>
  <si>
    <t xml:space="preserve">AAACGCTCGCTGGGTCTGGACATC</t>
  </si>
  <si>
    <t xml:space="preserve">CGACGATCCGGCCCTTCGGC</t>
  </si>
  <si>
    <t xml:space="preserve">TAGTCGACGATCCGGCCCTTCGGC</t>
  </si>
  <si>
    <t xml:space="preserve">AAACGCCGAAGGGCCGGATCGTCG</t>
  </si>
  <si>
    <t xml:space="preserve">GTGGTCTTACCGGACGATTC</t>
  </si>
  <si>
    <t xml:space="preserve">TAGTGTGGTCTTACCGGACGATTC</t>
  </si>
  <si>
    <t xml:space="preserve">AAACGAATCGTCCGGTAAGACCAC</t>
  </si>
  <si>
    <t xml:space="preserve">PST_1509</t>
  </si>
  <si>
    <t xml:space="preserve">recX</t>
  </si>
  <si>
    <t xml:space="preserve">GCGGCGAGCCAGCAGGTCCA</t>
  </si>
  <si>
    <t xml:space="preserve">TAGTGCGGCGAGCCAGCAGGTCCA</t>
  </si>
  <si>
    <t xml:space="preserve">AAACTGGACCTGCTGGCTCGCCGC</t>
  </si>
  <si>
    <t xml:space="preserve">GCCACGCTGGCGCAACTTGC</t>
  </si>
  <si>
    <t xml:space="preserve">TAGTGCCACGCTGGCGCAACTTGC</t>
  </si>
  <si>
    <t xml:space="preserve">AAACGCAAGTTGCGCCAGCGTGGC</t>
  </si>
  <si>
    <t xml:space="preserve">CTGTTCGATCAGATCAGGCG</t>
  </si>
  <si>
    <t xml:space="preserve">TAGTCTGTTCGATCAGATCAGGCG</t>
  </si>
  <si>
    <t xml:space="preserve">AAACCGCCTGATCTGATCGAACAG</t>
  </si>
  <si>
    <t xml:space="preserve">ACAGCAGGCCCTGTTCGCAG</t>
  </si>
  <si>
    <t xml:space="preserve">TAGTACAGCAGGCCCTGTTCGCAG</t>
  </si>
  <si>
    <t xml:space="preserve">AAACCTGCGAACAGGGCCTGCTGT</t>
  </si>
  <si>
    <t xml:space="preserve">PST_1510</t>
  </si>
  <si>
    <t xml:space="preserve">CAGATAGTCATCCGGATCAA</t>
  </si>
  <si>
    <t xml:space="preserve">TAGTCAGATAGTCATCCGGATCAA</t>
  </si>
  <si>
    <t xml:space="preserve">AAACTTGATCCGGATGACTATCTG</t>
  </si>
  <si>
    <t xml:space="preserve">CCAGTTCGGCGCCGCTGGTT</t>
  </si>
  <si>
    <t xml:space="preserve">TAGTCCAGTTCGGCGCCGCTGGTT</t>
  </si>
  <si>
    <t xml:space="preserve">AAACAACCAGCGGCGCCGAACTGG</t>
  </si>
  <si>
    <t xml:space="preserve">ACTGTTGGCCGGAACGACCA</t>
  </si>
  <si>
    <t xml:space="preserve">TAGTACTGTTGGCCGGAACGACCA</t>
  </si>
  <si>
    <t xml:space="preserve">AAACTGGTCGTTCCGGCCAACAGT</t>
  </si>
  <si>
    <t xml:space="preserve">TCCCGATACAGCGGCAGGTT</t>
  </si>
  <si>
    <t xml:space="preserve">TAGTTCCCGATACAGCGGCAGGTT</t>
  </si>
  <si>
    <t xml:space="preserve">AAACAACCTGCCGCTGTATCGGGA</t>
  </si>
  <si>
    <t xml:space="preserve">PST_1511</t>
  </si>
  <si>
    <t xml:space="preserve">TGATGTCCACTGTGCCCGCT</t>
  </si>
  <si>
    <t xml:space="preserve">TAGTTGATGTCCACTGTGCCCGCT</t>
  </si>
  <si>
    <t xml:space="preserve">AAACAGCGGGCACAGTGGACATCA</t>
  </si>
  <si>
    <t xml:space="preserve">GGAGCCGGTTACCTGTTGAA</t>
  </si>
  <si>
    <t xml:space="preserve">TAGTGGAGCCGGTTACCTGTTGAA</t>
  </si>
  <si>
    <t xml:space="preserve">AAACTTCAACAGGTAACCGGCTCC</t>
  </si>
  <si>
    <t xml:space="preserve">GTGTGTCTCAATGAGGTAGC</t>
  </si>
  <si>
    <t xml:space="preserve">TAGTGTGTGTCTCAATGAGGTAGC</t>
  </si>
  <si>
    <t xml:space="preserve">AAACGCTACCTCATTGAGACACAC</t>
  </si>
  <si>
    <t xml:space="preserve">TGTCGCTTTCCTCCTCCCGG</t>
  </si>
  <si>
    <t xml:space="preserve">TAGTTGTCGCTTTCCTCCTCCCGG</t>
  </si>
  <si>
    <t xml:space="preserve">AAACCCGGGAGGAGGAAAGCGACA</t>
  </si>
  <si>
    <t xml:space="preserve">PST_1512</t>
  </si>
  <si>
    <t xml:space="preserve">CTGGGCAGTAGCTGACTCAT</t>
  </si>
  <si>
    <t xml:space="preserve">TAGTCTGGGCAGTAGCTGACTCAT</t>
  </si>
  <si>
    <t xml:space="preserve">AAACATGAGTCAGCTACTGCCCAG</t>
  </si>
  <si>
    <t xml:space="preserve">CGTGTTGATCCAGCTCGACG</t>
  </si>
  <si>
    <t xml:space="preserve">TAGTCGTGTTGATCCAGCTCGACG</t>
  </si>
  <si>
    <t xml:space="preserve">AAACCGTCGAGCTGGATCAACACG</t>
  </si>
  <si>
    <t xml:space="preserve">CCAGGTGGCGAACTCCGGTT</t>
  </si>
  <si>
    <t xml:space="preserve">TAGTCCAGGTGGCGAACTCCGGTT</t>
  </si>
  <si>
    <t xml:space="preserve">AAACAACCGGAGTTCGCCACCTGG</t>
  </si>
  <si>
    <t xml:space="preserve">GTCTCCAGCGCGTGCTCGAA</t>
  </si>
  <si>
    <t xml:space="preserve">TAGTGTCTCCAGCGCGTGCTCGAA</t>
  </si>
  <si>
    <t xml:space="preserve">AAACTTCGAGCACGCGCTGGAGAC</t>
  </si>
  <si>
    <t xml:space="preserve">PST_1513</t>
  </si>
  <si>
    <t xml:space="preserve">CAGGGTGGTCAGACGATACA</t>
  </si>
  <si>
    <t xml:space="preserve">TAGTCAGGGTGGTCAGACGATACA</t>
  </si>
  <si>
    <t xml:space="preserve">AAACTGTATCGTCTGACCACCCTG</t>
  </si>
  <si>
    <t xml:space="preserve">AACGGGCAGGGCGAGGCTCA</t>
  </si>
  <si>
    <t xml:space="preserve">TAGTAACGGGCAGGGCGAGGCTCA</t>
  </si>
  <si>
    <t xml:space="preserve">AAACTGAGCCTCGCCCTGCCCGTT</t>
  </si>
  <si>
    <t xml:space="preserve">TTCTTGCAGCGAGGCGGCAT</t>
  </si>
  <si>
    <t xml:space="preserve">TAGTTTCTTGCAGCGAGGCGGCAT</t>
  </si>
  <si>
    <t xml:space="preserve">AAACATGCCGCCTCGCTGCAAGAA</t>
  </si>
  <si>
    <t xml:space="preserve">GGGCTACCTGATCGAGCAAC</t>
  </si>
  <si>
    <t xml:space="preserve">TAGTGGGCTACCTGATCGAGCAAC</t>
  </si>
  <si>
    <t xml:space="preserve">AAACGTTGCTCGATCAGGTAGCCC</t>
  </si>
  <si>
    <t xml:space="preserve">PST_1514</t>
  </si>
  <si>
    <t xml:space="preserve">ACGGGCTACGGCATGGGGCA</t>
  </si>
  <si>
    <t xml:space="preserve">TAGTACGGGCTACGGCATGGGGCA</t>
  </si>
  <si>
    <t xml:space="preserve">AAACTGCCCCATGCCGTAGCCCGT</t>
  </si>
  <si>
    <t xml:space="preserve">AGGGCTTCAGGCTTTTCGCC</t>
  </si>
  <si>
    <t xml:space="preserve">TAGTAGGGCTTCAGGCTTTTCGCC</t>
  </si>
  <si>
    <t xml:space="preserve">AAACGGCGAAAAGCCTGAAGCCCT</t>
  </si>
  <si>
    <t xml:space="preserve">TCGCGAGCCGCGCGCGACGA</t>
  </si>
  <si>
    <t xml:space="preserve">TAGTTCGCGAGCCGCGCGCGACGA</t>
  </si>
  <si>
    <t xml:space="preserve">AAACTCGTCGCGCGCGGCTCGCGA</t>
  </si>
  <si>
    <t xml:space="preserve">ACTCGGCAACGCAGACAGCG</t>
  </si>
  <si>
    <t xml:space="preserve">TAGTACTCGGCAACGCAGACAGCG</t>
  </si>
  <si>
    <t xml:space="preserve">AAACCGCTGTCTGCGTTGCCGAGT</t>
  </si>
  <si>
    <t xml:space="preserve">PST_1515</t>
  </si>
  <si>
    <t xml:space="preserve">GGAAGTCGGCGCGGAGGGCT</t>
  </si>
  <si>
    <t xml:space="preserve">TAGTGGAAGTCGGCGCGGAGGGCT</t>
  </si>
  <si>
    <t xml:space="preserve">AAACAGCCCTCCGCGCCGACTTCC</t>
  </si>
  <si>
    <t xml:space="preserve">TCATGGCGGTGATCAGCATC</t>
  </si>
  <si>
    <t xml:space="preserve">TAGTTCATGGCGGTGATCAGCATC</t>
  </si>
  <si>
    <t xml:space="preserve">AAACGATGCTGATCACCGCCATGA</t>
  </si>
  <si>
    <t xml:space="preserve">GATGCGCTGGGCCACGAAGG</t>
  </si>
  <si>
    <t xml:space="preserve">TAGTGATGCGCTGGGCCACGAAGG</t>
  </si>
  <si>
    <t xml:space="preserve">AAACCCTTCGTGGCCCAGCGCATC</t>
  </si>
  <si>
    <t xml:space="preserve">GCAGACCGGTGAAAAGAAAC</t>
  </si>
  <si>
    <t xml:space="preserve">TAGTGCAGACCGGTGAAAAGAAAC</t>
  </si>
  <si>
    <t xml:space="preserve">AAACGTTTCTTTTCACCGGTCTGC</t>
  </si>
  <si>
    <t xml:space="preserve">PST_1516</t>
  </si>
  <si>
    <t xml:space="preserve">TACGTTCTCACCAAGCCCCA</t>
  </si>
  <si>
    <t xml:space="preserve">TAGTTACGTTCTCACCAAGCCCCA</t>
  </si>
  <si>
    <t xml:space="preserve">AAACTGGGGCTTGGTGAGAACGTA</t>
  </si>
  <si>
    <t xml:space="preserve">GCCTTCCAGTTCGGCGATGC</t>
  </si>
  <si>
    <t xml:space="preserve">TAGTGCCTTCCAGTTCGGCGATGC</t>
  </si>
  <si>
    <t xml:space="preserve">AAACGCATCGCCGAACTGGAAGGC</t>
  </si>
  <si>
    <t xml:space="preserve">CCAGATCCCAGTCGGCACCC</t>
  </si>
  <si>
    <t xml:space="preserve">TAGTCCAGATCCCAGTCGGCACCC</t>
  </si>
  <si>
    <t xml:space="preserve">AAACGGGTGCCGACTGGGATCTGG</t>
  </si>
  <si>
    <t xml:space="preserve">CCGGCATGTTCAGGTCCAGC</t>
  </si>
  <si>
    <t xml:space="preserve">TAGTCCGGCATGTTCAGGTCCAGC</t>
  </si>
  <si>
    <t xml:space="preserve">AAACGCTGGACCTGAACATGCCGG</t>
  </si>
  <si>
    <t xml:space="preserve">PST_1517</t>
  </si>
  <si>
    <t xml:space="preserve">TGGCGGCGAAAACTTCGATC</t>
  </si>
  <si>
    <t xml:space="preserve">TAGTTGGCGGCGAAAACTTCGATC</t>
  </si>
  <si>
    <t xml:space="preserve">AAACGATCGAAGTTTTCGCCGCCA</t>
  </si>
  <si>
    <t xml:space="preserve">AACGCTTTCCTGGCGAGCAA</t>
  </si>
  <si>
    <t xml:space="preserve">TAGTAACGCTTTCCTGGCGAGCAA</t>
  </si>
  <si>
    <t xml:space="preserve">AAACTTGCTCGCCAGGAAAGCGTT</t>
  </si>
  <si>
    <t xml:space="preserve">CGAAAGGCTTTGTGCAGCCT</t>
  </si>
  <si>
    <t xml:space="preserve">TAGTCGAAAGGCTTTGTGCAGCCT</t>
  </si>
  <si>
    <t xml:space="preserve">AAACAGGCTGCACAAAGCCTTTCG</t>
  </si>
  <si>
    <t xml:space="preserve">TGATGTGCTGGTTGCCGACT</t>
  </si>
  <si>
    <t xml:space="preserve">TAGTTGATGTGCTGGTTGCCGACT</t>
  </si>
  <si>
    <t xml:space="preserve">AAACAGTCGGCAACCAGCACATCA</t>
  </si>
  <si>
    <t xml:space="preserve">PST_1518</t>
  </si>
  <si>
    <t xml:space="preserve">fpr</t>
  </si>
  <si>
    <t xml:space="preserve">TGAGAACGCGCTCTACGTTC</t>
  </si>
  <si>
    <t xml:space="preserve">TAGTTGAGAACGCGCTCTACGTTC</t>
  </si>
  <si>
    <t xml:space="preserve">AAACGAACGTAGAGCGCGTTCTCA</t>
  </si>
  <si>
    <t xml:space="preserve">TGAACAGCGTATCGTTCCAA</t>
  </si>
  <si>
    <t xml:space="preserve">TAGTTGAACAGCGTATCGTTCCAA</t>
  </si>
  <si>
    <t xml:space="preserve">AAACTTGGAACGATACGCTGTTCA</t>
  </si>
  <si>
    <t xml:space="preserve">GCGCAAGCCTGCATTGCGAG</t>
  </si>
  <si>
    <t xml:space="preserve">TAGTGCGCAAGCCTGCATTGCGAG</t>
  </si>
  <si>
    <t xml:space="preserve">AAACCTCGCAATGCAGGCTTGCGC</t>
  </si>
  <si>
    <t xml:space="preserve">GTGGACGCCCCTCGACCTCC</t>
  </si>
  <si>
    <t xml:space="preserve">TAGTGTGGACGCCCCTCGACCTCC</t>
  </si>
  <si>
    <t xml:space="preserve">AAACGGAGGTCGAGGGGCGTCCAC</t>
  </si>
  <si>
    <t xml:space="preserve">PST_1519</t>
  </si>
  <si>
    <t xml:space="preserve">CAGTTCAGGTCGGTTGGACG</t>
  </si>
  <si>
    <t xml:space="preserve">TAGTCAGTTCAGGTCGGTTGGACG</t>
  </si>
  <si>
    <t xml:space="preserve">AAACCGTCCAACCGACCTGAACTG</t>
  </si>
  <si>
    <t xml:space="preserve">GGGCATCGCCGCTGCCGCAG</t>
  </si>
  <si>
    <t xml:space="preserve">TAGTGGGCATCGCCGCTGCCGCAG</t>
  </si>
  <si>
    <t xml:space="preserve">AAACCTGCGGCAGCGGCGATGCCC</t>
  </si>
  <si>
    <t xml:space="preserve">GCGCCCGCAGCATTCGCCGA</t>
  </si>
  <si>
    <t xml:space="preserve">TAGTGCGCCCGCAGCATTCGCCGA</t>
  </si>
  <si>
    <t xml:space="preserve">AAACTCGGCGAATGCTGCGGGCGC</t>
  </si>
  <si>
    <t xml:space="preserve">CAATAGCTCGGCGCTCGGCG</t>
  </si>
  <si>
    <t xml:space="preserve">TAGTCAATAGCTCGGCGCTCGGCG</t>
  </si>
  <si>
    <t xml:space="preserve">AAACCGCCGAGCGCCGAGCTATTG</t>
  </si>
  <si>
    <t xml:space="preserve">PST_1520</t>
  </si>
  <si>
    <t xml:space="preserve">GCGGCGTATGCAGCGGTACA</t>
  </si>
  <si>
    <t xml:space="preserve">TAGTGCGGCGTATGCAGCGGTACA</t>
  </si>
  <si>
    <t xml:space="preserve">AAACTGTACCGCTGCATACGCCGC</t>
  </si>
  <si>
    <t xml:space="preserve">GCACGCGTGTTGGGGCGTAA</t>
  </si>
  <si>
    <t xml:space="preserve">TAGTGCACGCGTGTTGGGGCGTAA</t>
  </si>
  <si>
    <t xml:space="preserve">AAACTTACGCCCCAACACGCGTGC</t>
  </si>
  <si>
    <t xml:space="preserve">TCGGCGTAGGCAGCCAGAGC</t>
  </si>
  <si>
    <t xml:space="preserve">TAGTTCGGCGTAGGCAGCCAGAGC</t>
  </si>
  <si>
    <t xml:space="preserve">AAACGCTCTGGCTGCCTACGCCGA</t>
  </si>
  <si>
    <t xml:space="preserve">GATCGAGCTGACACTCCGGG</t>
  </si>
  <si>
    <t xml:space="preserve">TAGTGATCGAGCTGACACTCCGGG</t>
  </si>
  <si>
    <t xml:space="preserve">AAACCCCGGAGTGTCAGCTCGATC</t>
  </si>
  <si>
    <t xml:space="preserve">PST_1521</t>
  </si>
  <si>
    <t xml:space="preserve">AACGTGGTCATGACAATAAC</t>
  </si>
  <si>
    <t xml:space="preserve">TAGTAACGTGGTCATGACAATAAC</t>
  </si>
  <si>
    <t xml:space="preserve">AAACGTTATTGTCATGACCACGTT</t>
  </si>
  <si>
    <t xml:space="preserve">GCACGCCTGCACAACCAGCC</t>
  </si>
  <si>
    <t xml:space="preserve">TAGTGCACGCCTGCACAACCAGCC</t>
  </si>
  <si>
    <t xml:space="preserve">AAACGGCTGGTTGTGCAGGCGTGC</t>
  </si>
  <si>
    <t xml:space="preserve">CCACCTACAGCCGCACAGGT</t>
  </si>
  <si>
    <t xml:space="preserve">TAGTCCACCTACAGCCGCACAGGT</t>
  </si>
  <si>
    <t xml:space="preserve">AAACACCTGTGCGGCTGTAGGTGG</t>
  </si>
  <si>
    <t xml:space="preserve">GCTTTCGATGGCCCCCAGCG</t>
  </si>
  <si>
    <t xml:space="preserve">TAGTGCTTTCGATGGCCCCCAGCG</t>
  </si>
  <si>
    <t xml:space="preserve">AAACCGCTGGGGGCCATCGAAAGC</t>
  </si>
  <si>
    <t xml:space="preserve">PST_1522</t>
  </si>
  <si>
    <t xml:space="preserve">AGCAAGGCAAAAGGTGTCAT</t>
  </si>
  <si>
    <t xml:space="preserve">TAGTAGCAAGGCAAAAGGTGTCAT</t>
  </si>
  <si>
    <t xml:space="preserve">AAACATGACACCTTTTGCCTTGCT</t>
  </si>
  <si>
    <t xml:space="preserve">GCCGCCGACCCACACCGTTG</t>
  </si>
  <si>
    <t xml:space="preserve">TAGTGCCGCCGACCCACACCGTTG</t>
  </si>
  <si>
    <t xml:space="preserve">AAACCAACGGTGTGGGTCGGCGGC</t>
  </si>
  <si>
    <t xml:space="preserve">CGCTGGTCGCAGGACCATCC</t>
  </si>
  <si>
    <t xml:space="preserve">TAGTCGCTGGTCGCAGGACCATCC</t>
  </si>
  <si>
    <t xml:space="preserve">AAACGGATGGTCCTGCGACCAGCG</t>
  </si>
  <si>
    <t xml:space="preserve">GTCCACAGCCGCAGCCGCTC</t>
  </si>
  <si>
    <t xml:space="preserve">TAGTGTCCACAGCCGCAGCCGCTC</t>
  </si>
  <si>
    <t xml:space="preserve">AAACGAGCGGCTGCGGCTGTGGAC</t>
  </si>
  <si>
    <t xml:space="preserve">PST_1523</t>
  </si>
  <si>
    <t xml:space="preserve">ACCCAGCACCTTGGCGACTT</t>
  </si>
  <si>
    <t xml:space="preserve">TAGTACCCAGCACCTTGGCGACTT</t>
  </si>
  <si>
    <t xml:space="preserve">AAACAAGTCGCCAAGGTGCTGGGT</t>
  </si>
  <si>
    <t xml:space="preserve">GCCTCGACGGCAACGACAGC</t>
  </si>
  <si>
    <t xml:space="preserve">TAGTGCCTCGACGGCAACGACAGC</t>
  </si>
  <si>
    <t xml:space="preserve">AAACGCTGTCGTTGCCGTCGAGGC</t>
  </si>
  <si>
    <t xml:space="preserve">GCTGTAGGCGACGGTCTTGC</t>
  </si>
  <si>
    <t xml:space="preserve">TAGTGCTGTAGGCGACGGTCTTGC</t>
  </si>
  <si>
    <t xml:space="preserve">AAACGCAAGACCGTCGCCTACAGC</t>
  </si>
  <si>
    <t xml:space="preserve">TGGCCGTGGGGATCGCGGCC</t>
  </si>
  <si>
    <t xml:space="preserve">TAGTTGGCCGTGGGGATCGCGGCC</t>
  </si>
  <si>
    <t xml:space="preserve">AAACGGCCGCGATCCCCACGGCCA</t>
  </si>
  <si>
    <t xml:space="preserve">PST_1524</t>
  </si>
  <si>
    <t xml:space="preserve">estC</t>
  </si>
  <si>
    <t xml:space="preserve">CTGGGTGCCGTCGAACAATG</t>
  </si>
  <si>
    <t xml:space="preserve">TAGTCTGGGTGCCGTCGAACAATG</t>
  </si>
  <si>
    <t xml:space="preserve">AAACCATTGTTCGACGGCACCCAG</t>
  </si>
  <si>
    <t xml:space="preserve">GCCGATCTGCACACAGAGTG</t>
  </si>
  <si>
    <t xml:space="preserve">TAGTGCCGATCTGCACACAGAGTG</t>
  </si>
  <si>
    <t xml:space="preserve">AAACCACTCTGTGTGCAGATCGGC</t>
  </si>
  <si>
    <t xml:space="preserve">GGCCTGCTCGCCCTGGTTGT</t>
  </si>
  <si>
    <t xml:space="preserve">TAGTGGCCTGCTCGCCCTGGTTGT</t>
  </si>
  <si>
    <t xml:space="preserve">AAACACAACCAGGGCGAGCAGGCC</t>
  </si>
  <si>
    <t xml:space="preserve">GACCAGCGTGTCGCTGTGCC</t>
  </si>
  <si>
    <t xml:space="preserve">TAGTGACCAGCGTGTCGCTGTGCC</t>
  </si>
  <si>
    <t xml:space="preserve">AAACGGCACAGCGACACGCTGGTC</t>
  </si>
  <si>
    <t xml:space="preserve">PST_1525</t>
  </si>
  <si>
    <t xml:space="preserve">CACCAGACGCGTTTCTTGGA</t>
  </si>
  <si>
    <t xml:space="preserve">TAGTCACCAGACGCGTTTCTTGGA</t>
  </si>
  <si>
    <t xml:space="preserve">AAACTCCAAGAAACGCGTCTGGTG</t>
  </si>
  <si>
    <t xml:space="preserve">TCAGGGAGGCGCTCTTCAGC</t>
  </si>
  <si>
    <t xml:space="preserve">TAGTTCAGGGAGGCGCTCTTCAGC</t>
  </si>
  <si>
    <t xml:space="preserve">AAACGCTGAAGAGCGCCTCCCTGA</t>
  </si>
  <si>
    <t xml:space="preserve">CTCGCCCTTCGAGCTACAGC</t>
  </si>
  <si>
    <t xml:space="preserve">TAGTCTCGCCCTTCGAGCTACAGC</t>
  </si>
  <si>
    <t xml:space="preserve">AAACGCTGTAGCTCGAAGGGCGAG</t>
  </si>
  <si>
    <t xml:space="preserve">ACCGGAGCCGCTGCCTCACT</t>
  </si>
  <si>
    <t xml:space="preserve">TAGTACCGGAGCCGCTGCCTCACT</t>
  </si>
  <si>
    <t xml:space="preserve">AAACAGTGAGGCAGCGGCTCCGGT</t>
  </si>
  <si>
    <t xml:space="preserve">PST_1526</t>
  </si>
  <si>
    <t xml:space="preserve">pdxH</t>
  </si>
  <si>
    <t xml:space="preserve">GGCGCATATCGGCCAGGGTC</t>
  </si>
  <si>
    <t xml:space="preserve">TAGTGGCGCATATCGGCCAGGGTC</t>
  </si>
  <si>
    <t xml:space="preserve">AAACGACCCTGGCCGATATGCGCC</t>
  </si>
  <si>
    <t xml:space="preserve">GTCCGTCACGGGTGTAATCG</t>
  </si>
  <si>
    <t xml:space="preserve">TAGTGTCCGTCACGGGTGTAATCG</t>
  </si>
  <si>
    <t xml:space="preserve">AAACCGATTACACCCGTGACGGAC</t>
  </si>
  <si>
    <t xml:space="preserve">GAAAGGGTCGTCGGGCGCGT</t>
  </si>
  <si>
    <t xml:space="preserve">TAGTGAAAGGGTCGTCGGGCGCGT</t>
  </si>
  <si>
    <t xml:space="preserve">AAACACGCGCCCGACGACCCTTTC</t>
  </si>
  <si>
    <t xml:space="preserve">GACATGGCATTGGGTTCGAC</t>
  </si>
  <si>
    <t xml:space="preserve">TAGTGACATGGCATTGGGTTCGAC</t>
  </si>
  <si>
    <t xml:space="preserve">AAACGTCGAACCCAATGCCATGTC</t>
  </si>
  <si>
    <t xml:space="preserve">PST_1527</t>
  </si>
  <si>
    <t xml:space="preserve">GGCTATGATGAAGTAATCCA</t>
  </si>
  <si>
    <t xml:space="preserve">TAGTGGCTATGATGAAGTAATCCA</t>
  </si>
  <si>
    <t xml:space="preserve">AAACTGGATTACTTCATCATAGCC</t>
  </si>
  <si>
    <t xml:space="preserve">CAGGCCAGCCACAGTAGTGA</t>
  </si>
  <si>
    <t xml:space="preserve">TAGTCAGGCCAGCCACAGTAGTGA</t>
  </si>
  <si>
    <t xml:space="preserve">AAACTCACTACTGTGGCTGGCCTG</t>
  </si>
  <si>
    <t xml:space="preserve">GATCGCGATCGGCCCAGCGG</t>
  </si>
  <si>
    <t xml:space="preserve">TAGTGATCGCGATCGGCCCAGCGG</t>
  </si>
  <si>
    <t xml:space="preserve">AAACCCGCTGGGCCGATCGCGATC</t>
  </si>
  <si>
    <t xml:space="preserve">GCGCCGGTCGGGGTCGCTTC</t>
  </si>
  <si>
    <t xml:space="preserve">TAGTGCGCCGGTCGGGGTCGCTTC</t>
  </si>
  <si>
    <t xml:space="preserve">AAACGAAGCGACCCCGACCGGCGC</t>
  </si>
  <si>
    <t xml:space="preserve">PST_1528</t>
  </si>
  <si>
    <t xml:space="preserve">GGTAAAGGACGCGACAACGA</t>
  </si>
  <si>
    <t xml:space="preserve">TAGTGGTAAAGGACGCGACAACGA</t>
  </si>
  <si>
    <t xml:space="preserve">AAACTCGTTGTCGCGTCCTTTACC</t>
  </si>
  <si>
    <t xml:space="preserve">GCCCAGAGTCAGCGCCAAGG</t>
  </si>
  <si>
    <t xml:space="preserve">TAGTGCCCAGAGTCAGCGCCAAGG</t>
  </si>
  <si>
    <t xml:space="preserve">AAACCCTTGGCGCTGACTCTGGGC</t>
  </si>
  <si>
    <t xml:space="preserve">GGTATCGCCGGTAAGGCTCG</t>
  </si>
  <si>
    <t xml:space="preserve">TAGTGGTATCGCCGGTAAGGCTCG</t>
  </si>
  <si>
    <t xml:space="preserve">AAACCGAGCCTTACCGGCGATACC</t>
  </si>
  <si>
    <t xml:space="preserve">ACGCGCCTCGTCCCGGGAAT</t>
  </si>
  <si>
    <t xml:space="preserve">TAGTACGCGCCTCGTCCCGGGAAT</t>
  </si>
  <si>
    <t xml:space="preserve">AAACATTCCCGGGACGAGGCGCGT</t>
  </si>
  <si>
    <t xml:space="preserve">PST_1529</t>
  </si>
  <si>
    <t xml:space="preserve">GGCAGGAAGATGCCCAGAAA</t>
  </si>
  <si>
    <t xml:space="preserve">TAGTGGCAGGAAGATGCCCAGAAA</t>
  </si>
  <si>
    <t xml:space="preserve">AAACTTTCTGGGCATCTTCCTGCC</t>
  </si>
  <si>
    <t xml:space="preserve">CCGAAACGCTCCAGAAGCAG</t>
  </si>
  <si>
    <t xml:space="preserve">TAGTCCGAAACGCTCCAGAAGCAG</t>
  </si>
  <si>
    <t xml:space="preserve">AAACCTGCTTCTGGAGCGTTTCGG</t>
  </si>
  <si>
    <t xml:space="preserve">ACCTGCACCGAAGGCACAGG</t>
  </si>
  <si>
    <t xml:space="preserve">TAGTACCTGCACCGAAGGCACAGG</t>
  </si>
  <si>
    <t xml:space="preserve">AAACCCTGTGCCTTCGGTGCAGGT</t>
  </si>
  <si>
    <t xml:space="preserve">GGAAAAGACATCGGCCCGTT</t>
  </si>
  <si>
    <t xml:space="preserve">TAGTGGAAAAGACATCGGCCCGTT</t>
  </si>
  <si>
    <t xml:space="preserve">AAACAACGGGCCGATGTCTTTTCC</t>
  </si>
  <si>
    <t xml:space="preserve">PST_1530</t>
  </si>
  <si>
    <t xml:space="preserve">CTGGAAATATCCGGGCGCGC</t>
  </si>
  <si>
    <t xml:space="preserve">TAGTCTGGAAATATCCGGGCGCGC</t>
  </si>
  <si>
    <t xml:space="preserve">AAACGCGCGCCCGGATATTTCCAG</t>
  </si>
  <si>
    <t xml:space="preserve">GATGAACAGGTTGACGGCGT</t>
  </si>
  <si>
    <t xml:space="preserve">TAGTGATGAACAGGTTGACGGCGT</t>
  </si>
  <si>
    <t xml:space="preserve">AAACACGCCGTCAACCTGTTCATC</t>
  </si>
  <si>
    <t xml:space="preserve">CCCGGTAGCCAGGCGCCCCA</t>
  </si>
  <si>
    <t xml:space="preserve">TAGTCCCGGTAGCCAGGCGCCCCA</t>
  </si>
  <si>
    <t xml:space="preserve">AAACTGGGGCGCCTGGCTACCGGG</t>
  </si>
  <si>
    <t xml:space="preserve">GCACTTTTGCCGATGACGGC</t>
  </si>
  <si>
    <t xml:space="preserve">TAGTGCACTTTTGCCGATGACGGC</t>
  </si>
  <si>
    <t xml:space="preserve">AAACGCCGTCATCGGCAAAAGTGC</t>
  </si>
  <si>
    <t xml:space="preserve">PST_1531</t>
  </si>
  <si>
    <t xml:space="preserve">AACAGCGCGCCAACGAACAG</t>
  </si>
  <si>
    <t xml:space="preserve">TAGTAACAGCGCGCCAACGAACAG</t>
  </si>
  <si>
    <t xml:space="preserve">AAACCTGTTCGTTGGCGCGCTGTT</t>
  </si>
  <si>
    <t xml:space="preserve">TGGCCGGCTTGCCCATGCGG</t>
  </si>
  <si>
    <t xml:space="preserve">TAGTTGGCCGGCTTGCCCATGCGG</t>
  </si>
  <si>
    <t xml:space="preserve">AAACCCGCATGGGCAAGCCGGCCA</t>
  </si>
  <si>
    <t xml:space="preserve">CGCCAAGGAGAGAATTCGCT</t>
  </si>
  <si>
    <t xml:space="preserve">TAGTCGCCAAGGAGAGAATTCGCT</t>
  </si>
  <si>
    <t xml:space="preserve">AAACAGCGAATTCTCTCCTTGGCG</t>
  </si>
  <si>
    <t xml:space="preserve">AGCAGCAGCCAGATCGCGAT</t>
  </si>
  <si>
    <t xml:space="preserve">TAGTAGCAGCAGCCAGATCGCGAT</t>
  </si>
  <si>
    <t xml:space="preserve">AAACATCGCGATCTGGCTGCTGCT</t>
  </si>
  <si>
    <t xml:space="preserve">PST_1532</t>
  </si>
  <si>
    <t xml:space="preserve">AAAATTGTCAGCGCGGGGCT</t>
  </si>
  <si>
    <t xml:space="preserve">TAGTAAAATTGTCAGCGCGGGGCT</t>
  </si>
  <si>
    <t xml:space="preserve">AAACAGCCCCGCGCTGACAATTTT</t>
  </si>
  <si>
    <t xml:space="preserve">GCAGCAGCCAGAGCAGTGCG</t>
  </si>
  <si>
    <t xml:space="preserve">TAGTGCAGCAGCCAGAGCAGTGCG</t>
  </si>
  <si>
    <t xml:space="preserve">AAACCGCACTGCTCTGGCTGCTGC</t>
  </si>
  <si>
    <t xml:space="preserve">GGAACAGACCGAGCAGGACA</t>
  </si>
  <si>
    <t xml:space="preserve">TAGTGGAACAGACCGAGCAGGACA</t>
  </si>
  <si>
    <t xml:space="preserve">AAACTGTCCTGCTCGGTCTGTTCC</t>
  </si>
  <si>
    <t xml:space="preserve">GTAGCGGAATCCCCCAGCCC</t>
  </si>
  <si>
    <t xml:space="preserve">TAGTGTAGCGGAATCCCCCAGCCC</t>
  </si>
  <si>
    <t xml:space="preserve">AAACGGGCTGGGGGATTCCGCTAC</t>
  </si>
  <si>
    <t xml:space="preserve">PST_1533</t>
  </si>
  <si>
    <t xml:space="preserve">CCAAGCACGGCCATGCAGAG</t>
  </si>
  <si>
    <t xml:space="preserve">TAGTCCAAGCACGGCCATGCAGAG</t>
  </si>
  <si>
    <t xml:space="preserve">AAACCTCTGCATGGCCGTGCTTGG</t>
  </si>
  <si>
    <t xml:space="preserve">GCGAACGACGTTCAGCACGG</t>
  </si>
  <si>
    <t xml:space="preserve">TAGTGCGAACGACGTTCAGCACGG</t>
  </si>
  <si>
    <t xml:space="preserve">AAACCCGTGCTGAACGTCGTTCGC</t>
  </si>
  <si>
    <t xml:space="preserve">GCATGTCCGGCCCCTGGATC</t>
  </si>
  <si>
    <t xml:space="preserve">TAGTGCATGTCCGGCCCCTGGATC</t>
  </si>
  <si>
    <t xml:space="preserve">AAACGATCCAGGGGCCGGACATGC</t>
  </si>
  <si>
    <t xml:space="preserve">TCGAGCGCAAGCACCCGATC</t>
  </si>
  <si>
    <t xml:space="preserve">TAGTTCGAGCGCAAGCACCCGATC</t>
  </si>
  <si>
    <t xml:space="preserve">AAACGATCGGGTGCTTGCGCTCGA</t>
  </si>
  <si>
    <t xml:space="preserve">PST_1534</t>
  </si>
  <si>
    <t xml:space="preserve">CGAACAGGCTGCCGATGATG</t>
  </si>
  <si>
    <t xml:space="preserve">TAGTCGAACAGGCTGCCGATGATG</t>
  </si>
  <si>
    <t xml:space="preserve">AAACCATCATCGGCAGCCTGTTCG</t>
  </si>
  <si>
    <t xml:space="preserve">GCGTGTAGAAATCCGGCAGA</t>
  </si>
  <si>
    <t xml:space="preserve">TAGTGCGTGTAGAAATCCGGCAGA</t>
  </si>
  <si>
    <t xml:space="preserve">AAACTCTGCCGGATTTCTACACGC</t>
  </si>
  <si>
    <t xml:space="preserve">CCAAGCGTGGTCGCCTTGGT</t>
  </si>
  <si>
    <t xml:space="preserve">TAGTCCAAGCGTGGTCGCCTTGGT</t>
  </si>
  <si>
    <t xml:space="preserve">AAACACCAAGGCGACCACGCTTGG</t>
  </si>
  <si>
    <t xml:space="preserve">GCAGGCTCAGCCCGCCATTG</t>
  </si>
  <si>
    <t xml:space="preserve">TAGTGCAGGCTCAGCCCGCCATTG</t>
  </si>
  <si>
    <t xml:space="preserve">AAACCAATGGCGGGCTGAGCCTGC</t>
  </si>
  <si>
    <t xml:space="preserve">PST_1535</t>
  </si>
  <si>
    <t xml:space="preserve">glnD</t>
  </si>
  <si>
    <t xml:space="preserve">AAACAGCTCCGGATCAACCT</t>
  </si>
  <si>
    <t xml:space="preserve">TAGTAAACAGCTCCGGATCAACCT</t>
  </si>
  <si>
    <t xml:space="preserve">AAACAGGTTGATCCGGAGCTGTTT</t>
  </si>
  <si>
    <t xml:space="preserve">GCTCCGCCTGGAACTGGCTG</t>
  </si>
  <si>
    <t xml:space="preserve">TAGTGCTCCGCCTGGAACTGGCTG</t>
  </si>
  <si>
    <t xml:space="preserve">AAACCAGCCAGTTCCAGGCGGAGC</t>
  </si>
  <si>
    <t xml:space="preserve">CTTGTACGCAGCGATGGGGC</t>
  </si>
  <si>
    <t xml:space="preserve">TAGTCTTGTACGCAGCGATGGGGC</t>
  </si>
  <si>
    <t xml:space="preserve">AAACGCCCCATCGCTGCGTACAAG</t>
  </si>
  <si>
    <t xml:space="preserve">CACCTGGCGTGCCTGGCGAA</t>
  </si>
  <si>
    <t xml:space="preserve">TAGTCACCTGGCGTGCCTGGCGAA</t>
  </si>
  <si>
    <t xml:space="preserve">AAACTTCGCCAGGCACGCCAGGTG</t>
  </si>
  <si>
    <t xml:space="preserve">PST_1536</t>
  </si>
  <si>
    <t xml:space="preserve">map</t>
  </si>
  <si>
    <t xml:space="preserve">GATATCTTCGGGCGTCTTGA</t>
  </si>
  <si>
    <t xml:space="preserve">TAGTGATATCTTCGGGCGTCTTGA</t>
  </si>
  <si>
    <t xml:space="preserve">AAACTCAAGACGCCCGAAGATATC</t>
  </si>
  <si>
    <t xml:space="preserve">AACCTCGGCGGCGAGACGCC</t>
  </si>
  <si>
    <t xml:space="preserve">TAGTAACCTCGGCGGCGAGACGCC</t>
  </si>
  <si>
    <t xml:space="preserve">AAACGGCGTCTCGCCGCCGAGGTT</t>
  </si>
  <si>
    <t xml:space="preserve">AGCTCCTCGGTGGTCACGCC</t>
  </si>
  <si>
    <t xml:space="preserve">TAGTAGCTCCTCGGTGGTCACGCC</t>
  </si>
  <si>
    <t xml:space="preserve">AAACGGCGTGACCACCGAGGAGCT</t>
  </si>
  <si>
    <t xml:space="preserve">CGATGTAGTCGTGGCACAGG</t>
  </si>
  <si>
    <t xml:space="preserve">TAGTCGATGTAGTCGTGGCACAGG</t>
  </si>
  <si>
    <t xml:space="preserve">AAACCCTGTGCCACGACTACATCG</t>
  </si>
  <si>
    <t xml:space="preserve">PST_1537</t>
  </si>
  <si>
    <t xml:space="preserve">rpsB</t>
  </si>
  <si>
    <t xml:space="preserve">GGCCTTCAGCATATCGCGCA</t>
  </si>
  <si>
    <t xml:space="preserve">TAGTGGCCTTCAGCATATCGCGCA</t>
  </si>
  <si>
    <t xml:space="preserve">AAACTGCGCGATATGCTGAAGGCC</t>
  </si>
  <si>
    <t xml:space="preserve">CTGGTGGCCGAAGTGCACAC</t>
  </si>
  <si>
    <t xml:space="preserve">TAGTCTGGTGGCCGAAGTGCACAC</t>
  </si>
  <si>
    <t xml:space="preserve">AAACGTGTGCACTTCGGCCACCAG</t>
  </si>
  <si>
    <t xml:space="preserve">CATTTTCGGGTTCCAGTAAC</t>
  </si>
  <si>
    <t xml:space="preserve">TAGTCATTTTCGGGTTCCAGTAAC</t>
  </si>
  <si>
    <t xml:space="preserve">AAACGTTACTGGAACCCGAAAATG</t>
  </si>
  <si>
    <t xml:space="preserve">TCTTTTCCAGGTTGATGATG</t>
  </si>
  <si>
    <t xml:space="preserve">TAGTTCTTTTCCAGGTTGATGATG</t>
  </si>
  <si>
    <t xml:space="preserve">AAACCATCATCAACCTGGAAAAGA</t>
  </si>
  <si>
    <t xml:space="preserve">PST_1538</t>
  </si>
  <si>
    <t xml:space="preserve">tsf</t>
  </si>
  <si>
    <t xml:space="preserve">CTCGCGCAGTTCTTTGACCA</t>
  </si>
  <si>
    <t xml:space="preserve">TAGTCTCGCGCAGTTCTTTGACCA</t>
  </si>
  <si>
    <t xml:space="preserve">AAACTGGTCAAAGAACTGCGCGAG</t>
  </si>
  <si>
    <t xml:space="preserve">GCACTCCATCATGCCCTGGC</t>
  </si>
  <si>
    <t xml:space="preserve">TAGTGCACTCCATCATGCCCTGGC</t>
  </si>
  <si>
    <t xml:space="preserve">AAACGCCAGGGCATGATGGAGTGC</t>
  </si>
  <si>
    <t xml:space="preserve">TTTCTCGATGTCGCCACCAG</t>
  </si>
  <si>
    <t xml:space="preserve">TAGTTTTCTCGATGTCGCCACCAG</t>
  </si>
  <si>
    <t xml:space="preserve">AAACCTGGTGGCGACATCGAGAAA</t>
  </si>
  <si>
    <t xml:space="preserve">GGAAGCGCGCATGTCGTCGA</t>
  </si>
  <si>
    <t xml:space="preserve">TAGTGGAAGCGCGCATGTCGTCGA</t>
  </si>
  <si>
    <t xml:space="preserve">AAACTCGACGACATGCGCGCTTCC</t>
  </si>
  <si>
    <t xml:space="preserve">PST_1539</t>
  </si>
  <si>
    <t xml:space="preserve">pyrH</t>
  </si>
  <si>
    <t xml:space="preserve">GCACTCATCTGCTGAGCCAT</t>
  </si>
  <si>
    <t xml:space="preserve">TAGTGCACTCATCTGCTGAGCCAT</t>
  </si>
  <si>
    <t xml:space="preserve">AAACATGGCTCAGCAGATGAGTGC</t>
  </si>
  <si>
    <t xml:space="preserve">AGCAGAATGCGTTTATAGCG</t>
  </si>
  <si>
    <t xml:space="preserve">TAGTAGCAGAATGCGTTTATAGCG</t>
  </si>
  <si>
    <t xml:space="preserve">AAACCGCTATAAACGCATTCTGCT</t>
  </si>
  <si>
    <t xml:space="preserve">GAAGTCCTCGGACCCCATCA</t>
  </si>
  <si>
    <t xml:space="preserve">TAGTGAAGTCCTCGGACCCCATCA</t>
  </si>
  <si>
    <t xml:space="preserve">AAACTGATGGGGTCCGAGGACTTC</t>
  </si>
  <si>
    <t xml:space="preserve">GCCATGCGGTCGAGCACCTT</t>
  </si>
  <si>
    <t xml:space="preserve">TAGTGCCATGCGGTCGAGCACCTT</t>
  </si>
  <si>
    <t xml:space="preserve">AAACAAGGTGCTCGACCGCATGGC</t>
  </si>
  <si>
    <t xml:space="preserve">PST_1540</t>
  </si>
  <si>
    <t xml:space="preserve">frr</t>
  </si>
  <si>
    <t xml:space="preserve">CGCATGGTCCAGCGCTTCCA</t>
  </si>
  <si>
    <t xml:space="preserve">TAGTCGCATGGTCCAGCGCTTCCA</t>
  </si>
  <si>
    <t xml:space="preserve">AAACTGGAAGCGCTGGACCATGCG</t>
  </si>
  <si>
    <t xml:space="preserve">GGCGCGACCGGTACGAATCT</t>
  </si>
  <si>
    <t xml:space="preserve">TAGTGGCGCGACCGGTACGAATCT</t>
  </si>
  <si>
    <t xml:space="preserve">AAACAGATTCGTACCGGTCGCGCC</t>
  </si>
  <si>
    <t xml:space="preserve">GCTGTCGAGGATGCTGGGGT</t>
  </si>
  <si>
    <t xml:space="preserve">TAGTGCTGTCGAGGATGCTGGGGT</t>
  </si>
  <si>
    <t xml:space="preserve">AAACACCCCAGCATCCTCGACAGC</t>
  </si>
  <si>
    <t xml:space="preserve">CGGCGTGTCGGCGCCGTAGT</t>
  </si>
  <si>
    <t xml:space="preserve">TAGTCGGCGTGTCGGCGCCGTAGT</t>
  </si>
  <si>
    <t xml:space="preserve">AAACACTACGGCGCCGACACGCCG</t>
  </si>
  <si>
    <t xml:space="preserve">PST_1541</t>
  </si>
  <si>
    <t xml:space="preserve">uppS</t>
  </si>
  <si>
    <t xml:space="preserve">ATGGCATCTCGCGACCACAT</t>
  </si>
  <si>
    <t xml:space="preserve">TAGTATGGCATCTCGCGACCACAT</t>
  </si>
  <si>
    <t xml:space="preserve">AAACATGTGGTCGCGAGATGCCAT</t>
  </si>
  <si>
    <t xml:space="preserve">GGCGGGGTACGTTCCGCCCA</t>
  </si>
  <si>
    <t xml:space="preserve">TAGTGGCGGGGTACGTTCCGCCCA</t>
  </si>
  <si>
    <t xml:space="preserve">AAACTGGGCGGAACGTACCCCGCC</t>
  </si>
  <si>
    <t xml:space="preserve">GCCTTGTGCCCAGCCACGCC</t>
  </si>
  <si>
    <t xml:space="preserve">TAGTGCCTTGTGCCCAGCCACGCC</t>
  </si>
  <si>
    <t xml:space="preserve">AAACGGCGTGGCTGGGCACAAGGC</t>
  </si>
  <si>
    <t xml:space="preserve">ATCGGCACAGACCTCGATCA</t>
  </si>
  <si>
    <t xml:space="preserve">TAGTATCGGCACAGACCTCGATCA</t>
  </si>
  <si>
    <t xml:space="preserve">AAACTGATCGAGGTCTGTGCCGAT</t>
  </si>
  <si>
    <t xml:space="preserve">PST_1542</t>
  </si>
  <si>
    <t xml:space="preserve">cdsA</t>
  </si>
  <si>
    <t xml:space="preserve">ACCGACGCGTACCGGCTGGC</t>
  </si>
  <si>
    <t xml:space="preserve">TAGTACCGACGCGTACCGGCTGGC</t>
  </si>
  <si>
    <t xml:space="preserve">AAACGCCAGCCGGTACGCGTCGGT</t>
  </si>
  <si>
    <t xml:space="preserve">TAGCAGAATCACCACCAGTG</t>
  </si>
  <si>
    <t xml:space="preserve">TAGTTAGCAGAATCACCACCAGTG</t>
  </si>
  <si>
    <t xml:space="preserve">AAACCACTGGTGGTGATTCTGCTA</t>
  </si>
  <si>
    <t xml:space="preserve">ATCCCGGCAGCTGGTAGAGC</t>
  </si>
  <si>
    <t xml:space="preserve">TAGTATCCCGGCAGCTGGTAGAGC</t>
  </si>
  <si>
    <t xml:space="preserve">AAACGCTCTACCAGCTGCCGGGAT</t>
  </si>
  <si>
    <t xml:space="preserve">GGCCGCCATCCACCAGAGTA</t>
  </si>
  <si>
    <t xml:space="preserve">TAGTGGCCGCCATCCACCAGAGTA</t>
  </si>
  <si>
    <t xml:space="preserve">AAACTACTCTGGTGGATGGCGGCC</t>
  </si>
  <si>
    <t xml:space="preserve">PST_1543</t>
  </si>
  <si>
    <t xml:space="preserve">dxr</t>
  </si>
  <si>
    <t xml:space="preserve">CCCAGTATGGTGATCTGCAA</t>
  </si>
  <si>
    <t xml:space="preserve">TAGTCCCAGTATGGTGATCTGCAA</t>
  </si>
  <si>
    <t xml:space="preserve">AAACTTGCAGATCACCATACTGGG</t>
  </si>
  <si>
    <t xml:space="preserve">CGTGCTCAGGCCGATCGAGC</t>
  </si>
  <si>
    <t xml:space="preserve">TAGTCGTGCTCAGGCCGATCGAGC</t>
  </si>
  <si>
    <t xml:space="preserve">AAACGCTCGATCGGCCTGAGCACG</t>
  </si>
  <si>
    <t xml:space="preserve">ATCGTAGCGGTCCGGATGGC</t>
  </si>
  <si>
    <t xml:space="preserve">TAGTATCGTAGCGGTCCGGATGGC</t>
  </si>
  <si>
    <t xml:space="preserve">AAACGCCATCCGGACCGCTACGAT</t>
  </si>
  <si>
    <t xml:space="preserve">AAGCCGGCTGAAGCCGGTCA</t>
  </si>
  <si>
    <t xml:space="preserve">TAGTAAGCCGGCTGAAGCCGGTCA</t>
  </si>
  <si>
    <t xml:space="preserve">AAACTGACCGGCTTCAGCCGGCTT</t>
  </si>
  <si>
    <t xml:space="preserve">PST_1544</t>
  </si>
  <si>
    <t xml:space="preserve">CAGCACCCCGAGCGCAACGA</t>
  </si>
  <si>
    <t xml:space="preserve">TAGTCAGCACCCCGAGCGCAACGA</t>
  </si>
  <si>
    <t xml:space="preserve">AAACTCGTTGCGCTCGGGGTGCTG</t>
  </si>
  <si>
    <t xml:space="preserve">GAAGTGACCGAATTCGTGGA</t>
  </si>
  <si>
    <t xml:space="preserve">TAGTGAAGTGACCGAATTCGTGGA</t>
  </si>
  <si>
    <t xml:space="preserve">AAACTCCACGAATTCGGTCACTTC</t>
  </si>
  <si>
    <t xml:space="preserve">CGATCATGCCAGCGCACCAG</t>
  </si>
  <si>
    <t xml:space="preserve">TAGTCGATCATGCCAGCGCACCAG</t>
  </si>
  <si>
    <t xml:space="preserve">AAACCTGGTGCGCTGGCATGATCG</t>
  </si>
  <si>
    <t xml:space="preserve">GATCGCGGCGATCACGAACT</t>
  </si>
  <si>
    <t xml:space="preserve">TAGTGATCGCGGCGATCACGAACT</t>
  </si>
  <si>
    <t xml:space="preserve">AAACAGTTCGTGATCGCCGCGATC</t>
  </si>
  <si>
    <t xml:space="preserve">PST_1545</t>
  </si>
  <si>
    <t xml:space="preserve">GAAGGACTCAGCGTGAACTT</t>
  </si>
  <si>
    <t xml:space="preserve">TAGTGAAGGACTCAGCGTGAACTT</t>
  </si>
  <si>
    <t xml:space="preserve">AAACAAGTTCACGCTGAGTCCTTC</t>
  </si>
  <si>
    <t xml:space="preserve">CAAGCCGTTGACTCGGATAT</t>
  </si>
  <si>
    <t xml:space="preserve">TAGTCAAGCCGTTGACTCGGATAT</t>
  </si>
  <si>
    <t xml:space="preserve">AAACATATCCGAGTCAACGGCTTG</t>
  </si>
  <si>
    <t xml:space="preserve">CGCACCAAAAACGCTGCCGG</t>
  </si>
  <si>
    <t xml:space="preserve">TAGTCGCACCAAAAACGCTGCCGG</t>
  </si>
  <si>
    <t xml:space="preserve">AAACCCGGCAGCGTTTTTGGTGCG</t>
  </si>
  <si>
    <t xml:space="preserve">GCCGCCTCGCCCACATTCAA</t>
  </si>
  <si>
    <t xml:space="preserve">TAGTGCCGCCTCGCCCACATTCAA</t>
  </si>
  <si>
    <t xml:space="preserve">AAACTTGAATGTGGGCGAGGCGGC</t>
  </si>
  <si>
    <t xml:space="preserve">PST_1546</t>
  </si>
  <si>
    <t xml:space="preserve">ompH</t>
  </si>
  <si>
    <t xml:space="preserve">TGAAAGAAAGCACTGAAGCA</t>
  </si>
  <si>
    <t xml:space="preserve">TAGTTGAAAGAAAGCACTGAAGCA</t>
  </si>
  <si>
    <t xml:space="preserve">AAACTGCTTCAGTGCTTTCTTTCA</t>
  </si>
  <si>
    <t xml:space="preserve">CAGTTGAGTCAACTTACGCA</t>
  </si>
  <si>
    <t xml:space="preserve">TAGTCAGTTGAGTCAACTTACGCA</t>
  </si>
  <si>
    <t xml:space="preserve">AAACTGCGTAAGTTGACTCAACTG</t>
  </si>
  <si>
    <t xml:space="preserve">ATCTTCATTTCGGCGAATGC</t>
  </si>
  <si>
    <t xml:space="preserve">TAGTATCTTCATTTCGGCGAATGC</t>
  </si>
  <si>
    <t xml:space="preserve">AAACGCATTCGCCGAAATGAAGAT</t>
  </si>
  <si>
    <t xml:space="preserve">TGCCATCTGATAGTTCATGA</t>
  </si>
  <si>
    <t xml:space="preserve">TAGTTGCCATCTGATAGTTCATGA</t>
  </si>
  <si>
    <t xml:space="preserve">AAACTCATGAACTATCAGATGGCA</t>
  </si>
  <si>
    <t xml:space="preserve">PST_1547</t>
  </si>
  <si>
    <t xml:space="preserve">lpxD</t>
  </si>
  <si>
    <t xml:space="preserve">CAGGCTGCCACCCAGCTCCT</t>
  </si>
  <si>
    <t xml:space="preserve">TAGTCAGGCTGCCACCCAGCTCCT</t>
  </si>
  <si>
    <t xml:space="preserve">AAACAGGAGCTGGGTGGCAGCCTG</t>
  </si>
  <si>
    <t xml:space="preserve">AAGCCCGTCGATGACTCGGG</t>
  </si>
  <si>
    <t xml:space="preserve">TAGTAAGCCCGTCGATGACTCGGG</t>
  </si>
  <si>
    <t xml:space="preserve">AAACCCCGAGTCATCGACGGGCTT</t>
  </si>
  <si>
    <t xml:space="preserve">CGGGCCAGCCTCCTGCAAAG</t>
  </si>
  <si>
    <t xml:space="preserve">TAGTCGGGCCAGCCTCCTGCAAAG</t>
  </si>
  <si>
    <t xml:space="preserve">AAACCTTTGCAGGAGGCTGGCCCG</t>
  </si>
  <si>
    <t xml:space="preserve">GCCAGAAAGCTCAGCTGAGA</t>
  </si>
  <si>
    <t xml:space="preserve">TAGTGCCAGAAAGCTCAGCTGAGA</t>
  </si>
  <si>
    <t xml:space="preserve">AAACTCTCAGCTGAGCTTTCTGGC</t>
  </si>
  <si>
    <t xml:space="preserve">PST_1548</t>
  </si>
  <si>
    <t xml:space="preserve">fabZ</t>
  </si>
  <si>
    <t xml:space="preserve">AGCAGGAACGGGTAGCGGTG</t>
  </si>
  <si>
    <t xml:space="preserve">TAGTAGCAGGAACGGGTAGCGGTG</t>
  </si>
  <si>
    <t xml:space="preserve">AAACCACCGCTACCCGTTCCTGCT</t>
  </si>
  <si>
    <t xml:space="preserve">CTTGTAGGCGCGAACGCGCT</t>
  </si>
  <si>
    <t xml:space="preserve">TAGTCTTGTAGGCGCGAACGCGCT</t>
  </si>
  <si>
    <t xml:space="preserve">AAACAGCGCGTTCGCGCCTACAAG</t>
  </si>
  <si>
    <t xml:space="preserve">ATTGAAGAACGGCTCGTTGA</t>
  </si>
  <si>
    <t xml:space="preserve">TAGTATTGAAGAACGGCTCGTTGA</t>
  </si>
  <si>
    <t xml:space="preserve">AAACTCAACGAGCCGTTCTTCAAT</t>
  </si>
  <si>
    <t xml:space="preserve">CCGGCATGATCGGGTGCTGC</t>
  </si>
  <si>
    <t xml:space="preserve">TAGTCCGGCATGATCGGGTGCTGC</t>
  </si>
  <si>
    <t xml:space="preserve">AAACGCAGCACCCGATCATGCCGG</t>
  </si>
  <si>
    <t xml:space="preserve">PST_1549</t>
  </si>
  <si>
    <t xml:space="preserve">lpxA</t>
  </si>
  <si>
    <t xml:space="preserve">CAGGATCGATGATGGCGCGA</t>
  </si>
  <si>
    <t xml:space="preserve">TAGTCAGGATCGATGATGGCGCGA</t>
  </si>
  <si>
    <t xml:space="preserve">AAACTCGCGCCATCATCGATCCTG</t>
  </si>
  <si>
    <t xml:space="preserve">TGATCGACCAGGGCCCCACC</t>
  </si>
  <si>
    <t xml:space="preserve">TAGTTGATCGACCAGGGCCCCACC</t>
  </si>
  <si>
    <t xml:space="preserve">AAACGGTGGGGCCCTGGTCGATCA</t>
  </si>
  <si>
    <t xml:space="preserve">CCCTCGCCGATTTCGACATC</t>
  </si>
  <si>
    <t xml:space="preserve">TAGTCCCTCGCCGATTTCGACATC</t>
  </si>
  <si>
    <t xml:space="preserve">AAACGATGTCGAAATCGGCGAGGG</t>
  </si>
  <si>
    <t xml:space="preserve">TTGTGCCGACCGATACGGGT</t>
  </si>
  <si>
    <t xml:space="preserve">TAGTTTGTGCCGACCGATACGGGT</t>
  </si>
  <si>
    <t xml:space="preserve">AAACACCCGTATCGGTCGGCACAA</t>
  </si>
  <si>
    <t xml:space="preserve">PST_1550</t>
  </si>
  <si>
    <t xml:space="preserve">lpxB</t>
  </si>
  <si>
    <t xml:space="preserve">GAAATAGGATTGCAGCCCTT</t>
  </si>
  <si>
    <t xml:space="preserve">TAGTGAAATAGGATTGCAGCCCTT</t>
  </si>
  <si>
    <t xml:space="preserve">AAACAAGGGCTGCAATCCTATTTC</t>
  </si>
  <si>
    <t xml:space="preserve">TCACGGCCAGTCGCTCCAGC</t>
  </si>
  <si>
    <t xml:space="preserve">TAGTTCACGGCCAGTCGCTCCAGC</t>
  </si>
  <si>
    <t xml:space="preserve">AAACGCTGGAGCGACTGGCCGTGA</t>
  </si>
  <si>
    <t xml:space="preserve">GTGTATCCACCAGGCGCTTG</t>
  </si>
  <si>
    <t xml:space="preserve">TAGTGTGTATCCACCAGGCGCTTG</t>
  </si>
  <si>
    <t xml:space="preserve">AAACCAAGCGCCTGGTGGATACAC</t>
  </si>
  <si>
    <t xml:space="preserve">TGAACACATCGGGCCGCTGC</t>
  </si>
  <si>
    <t xml:space="preserve">TAGTTGAACACATCGGGCCGCTGC</t>
  </si>
  <si>
    <t xml:space="preserve">AAACGCAGCGGCCCGATGTGTTCA</t>
  </si>
  <si>
    <t xml:space="preserve">PST_1551</t>
  </si>
  <si>
    <t xml:space="preserve">rnhB</t>
  </si>
  <si>
    <t xml:space="preserve">GTCACGACCGGCCCACACAG</t>
  </si>
  <si>
    <t xml:space="preserve">TAGTGTCACGACCGGCCCACACAG</t>
  </si>
  <si>
    <t xml:space="preserve">AAACCTGTGTGGGCCGGTCGTGAC</t>
  </si>
  <si>
    <t xml:space="preserve">CCTTGCCGGATCGAGAATCA</t>
  </si>
  <si>
    <t xml:space="preserve">TAGTCCTTGCCGGATCGAGAATCA</t>
  </si>
  <si>
    <t xml:space="preserve">AAACTGATTCTCGATCCGGCAAGG</t>
  </si>
  <si>
    <t xml:space="preserve">GAGTCGTTCAAGCCTTCGAT</t>
  </si>
  <si>
    <t xml:space="preserve">TAGTGAGTCGTTCAAGCCTTCGAT</t>
  </si>
  <si>
    <t xml:space="preserve">AAACATCGAAGGCTTGAACGACTC</t>
  </si>
  <si>
    <t xml:space="preserve">CAGGGCCTCTCGGCGAGCCT</t>
  </si>
  <si>
    <t xml:space="preserve">TAGTCAGGGCCTCTCGGCGAGCCT</t>
  </si>
  <si>
    <t xml:space="preserve">AAACAGGCTCGCCGAGAGGCCCTG</t>
  </si>
  <si>
    <t xml:space="preserve">PST_1552</t>
  </si>
  <si>
    <t xml:space="preserve">dnaE</t>
  </si>
  <si>
    <t xml:space="preserve">GCCACAGATCGGTTTGATTC</t>
  </si>
  <si>
    <t xml:space="preserve">TAGTGCCACAGATCGGTTTGATTC</t>
  </si>
  <si>
    <t xml:space="preserve">AAACGAATCAAACCGATCTGTGGC</t>
  </si>
  <si>
    <t xml:space="preserve">GCAGCCAGCCAGCCAGATAT</t>
  </si>
  <si>
    <t xml:space="preserve">TAGTGCAGCCAGCCAGCCAGATAT</t>
  </si>
  <si>
    <t xml:space="preserve">AAACATATCTGGCTGGCTGGCTGC</t>
  </si>
  <si>
    <t xml:space="preserve">AGCAGCGTCAGGCGGCTGAG</t>
  </si>
  <si>
    <t xml:space="preserve">TAGTAGCAGCGTCAGGCGGCTGAG</t>
  </si>
  <si>
    <t xml:space="preserve">AAACCTCAGCCGCCTGACGCTGCT</t>
  </si>
  <si>
    <t xml:space="preserve">TGAGATTGCGATATCCCTTG</t>
  </si>
  <si>
    <t xml:space="preserve">TAGTTGAGATTGCGATATCCCTTG</t>
  </si>
  <si>
    <t xml:space="preserve">AAACCAAGGGATATCGCAATCTCA</t>
  </si>
  <si>
    <t xml:space="preserve">PST_1553</t>
  </si>
  <si>
    <t xml:space="preserve">accA</t>
  </si>
  <si>
    <t xml:space="preserve">TCCAGGAAGTTCGGGTTCAT</t>
  </si>
  <si>
    <t xml:space="preserve">TAGTTCCAGGAAGTTCGGGTTCAT</t>
  </si>
  <si>
    <t xml:space="preserve">AAACATGAACCCGAACTTCCTGGA</t>
  </si>
  <si>
    <t xml:space="preserve">TTCGATCTTGGCTTGCAGGT</t>
  </si>
  <si>
    <t xml:space="preserve">TAGTTTCGATCTTGGCTTGCAGGT</t>
  </si>
  <si>
    <t xml:space="preserve">AAACACCTGCAAGCCAAGATCGAA</t>
  </si>
  <si>
    <t xml:space="preserve">GCGAGTTGTCGTTACCAACC</t>
  </si>
  <si>
    <t xml:space="preserve">TAGTGCGAGTTGTCGTTACCAACC</t>
  </si>
  <si>
    <t xml:space="preserve">AAACGGTTGGTAACGACAACTCGC</t>
  </si>
  <si>
    <t xml:space="preserve">TTCGCTCTTGTCCTGCAGGC</t>
  </si>
  <si>
    <t xml:space="preserve">TAGTTTCGCTCTTGTCCTGCAGGC</t>
  </si>
  <si>
    <t xml:space="preserve">AAACGCCTGCAGGACAAGAGCGAA</t>
  </si>
  <si>
    <t xml:space="preserve">PST_1554</t>
  </si>
  <si>
    <t xml:space="preserve">ACATGGATCGCACGAATCAC</t>
  </si>
  <si>
    <t xml:space="preserve">TAGTACATGGATCGCACGAATCAC</t>
  </si>
  <si>
    <t xml:space="preserve">AAACGTGATTCGTGCGATCCATGT</t>
  </si>
  <si>
    <t xml:space="preserve">AGTCATCACCAGCGGCTTGC</t>
  </si>
  <si>
    <t xml:space="preserve">TAGTAGTCATCACCAGCGGCTTGC</t>
  </si>
  <si>
    <t xml:space="preserve">AAACGCAAGCCGCTGGTGATGACT</t>
  </si>
  <si>
    <t xml:space="preserve">CAGACTCGCTGACAGTGTGC</t>
  </si>
  <si>
    <t xml:space="preserve">TAGTCAGACTCGCTGACAGTGTGC</t>
  </si>
  <si>
    <t xml:space="preserve">AAACGCACACTGTCAGCGAGTCTG</t>
  </si>
  <si>
    <t xml:space="preserve">TTTCCAGCGTGACGCCGAGC</t>
  </si>
  <si>
    <t xml:space="preserve">TAGTTTTCCAGCGTGACGCCGAGC</t>
  </si>
  <si>
    <t xml:space="preserve">AAACGCTCGGCGTCACGCTGGAAA</t>
  </si>
  <si>
    <t xml:space="preserve">PST_1555</t>
  </si>
  <si>
    <t xml:space="preserve">pyrG</t>
  </si>
  <si>
    <t xml:space="preserve">GATGGCCGCCAATGAAGCCG</t>
  </si>
  <si>
    <t xml:space="preserve">TAGTGATGGCCGCCAATGAAGCCG</t>
  </si>
  <si>
    <t xml:space="preserve">AAACCGGCTTCATTGGCGGCCATC</t>
  </si>
  <si>
    <t xml:space="preserve">CCTTCAGGCCCCGCGCCTCC</t>
  </si>
  <si>
    <t xml:space="preserve">TAGTCCTTCAGGCCCCGCGCCTCC</t>
  </si>
  <si>
    <t xml:space="preserve">AAACGGAGGCGCGGGGCCTGAAGG</t>
  </si>
  <si>
    <t xml:space="preserve">CCGGATCGACGTTGATGTAA</t>
  </si>
  <si>
    <t xml:space="preserve">TAGTCCGGATCGACGTTGATGTAA</t>
  </si>
  <si>
    <t xml:space="preserve">AAACTTACATCAACGTCGATCCGG</t>
  </si>
  <si>
    <t xml:space="preserve">ACCGTGCTGGAACGGGCTCA</t>
  </si>
  <si>
    <t xml:space="preserve">TAGTACCGTGCTGGAACGGGCTCA</t>
  </si>
  <si>
    <t xml:space="preserve">AAACTGAGCCCGTTCCAGCACGGT</t>
  </si>
  <si>
    <t xml:space="preserve">PST_1556</t>
  </si>
  <si>
    <t xml:space="preserve">kdsA</t>
  </si>
  <si>
    <t xml:space="preserve">CTCGATGTTGCCTACGCGGA</t>
  </si>
  <si>
    <t xml:space="preserve">TAGTCTCGATGTTGCCTACGCGGA</t>
  </si>
  <si>
    <t xml:space="preserve">AAACTCCGCGTAGGCAACATCGAG</t>
  </si>
  <si>
    <t xml:space="preserve">TGGCCAGGTCACGGGACTCG</t>
  </si>
  <si>
    <t xml:space="preserve">TAGTTGGCCAGGTCACGGGACTCG</t>
  </si>
  <si>
    <t xml:space="preserve">AAACCGAGTCCCGTGACCTGGCCA</t>
  </si>
  <si>
    <t xml:space="preserve">GTACTCTTCGCAGGCCTGCA</t>
  </si>
  <si>
    <t xml:space="preserve">TAGTGTACTCTTCGCAGGCCTGCA</t>
  </si>
  <si>
    <t xml:space="preserve">AAACTGCAGGCCTGCGAAGAGTAC</t>
  </si>
  <si>
    <t xml:space="preserve">GTAAGGAATGCCGAGCTTCT</t>
  </si>
  <si>
    <t xml:space="preserve">TAGTGTAAGGAATGCCGAGCTTCT</t>
  </si>
  <si>
    <t xml:space="preserve">AAACAGAAGCTCGGCATTCCTTAC</t>
  </si>
  <si>
    <t xml:space="preserve">PST_1557</t>
  </si>
  <si>
    <t xml:space="preserve">eno</t>
  </si>
  <si>
    <t xml:space="preserve">ACACTCCATAGATAGCTGCA</t>
  </si>
  <si>
    <t xml:space="preserve">TAGTACACTCCATAGATAGCTGCA</t>
  </si>
  <si>
    <t xml:space="preserve">AAACTGCAGCTATCTATGGAGTGT</t>
  </si>
  <si>
    <t xml:space="preserve">TTCCACGGTGGGGTTGCCGC</t>
  </si>
  <si>
    <t xml:space="preserve">TAGTTTCCACGGTGGGGTTGCCGC</t>
  </si>
  <si>
    <t xml:space="preserve">AAACGCGGCAACCCCACCGTGGAA</t>
  </si>
  <si>
    <t xml:space="preserve">GCCGTTATCGAGGATCACAT</t>
  </si>
  <si>
    <t xml:space="preserve">TAGTGCCGTTATCGAGGATCACAT</t>
  </si>
  <si>
    <t xml:space="preserve">AAACATGTGATCCTCGATAACGGC</t>
  </si>
  <si>
    <t xml:space="preserve">GGATGCACCGGACGGCGCGC</t>
  </si>
  <si>
    <t xml:space="preserve">TAGTGGATGCACCGGACGGCGCGC</t>
  </si>
  <si>
    <t xml:space="preserve">AAACGCGCGCCGTCCGGTGCATCC</t>
  </si>
  <si>
    <t xml:space="preserve">PST_1558</t>
  </si>
  <si>
    <t xml:space="preserve">TTCGGGTATCGGAACGCCAT</t>
  </si>
  <si>
    <t xml:space="preserve">TAGTTTCGGGTATCGGAACGCCAT</t>
  </si>
  <si>
    <t xml:space="preserve">AAACATGGCGTTCCGATACCCGAA</t>
  </si>
  <si>
    <t xml:space="preserve">TAGCAGGCATGAAACGACTT</t>
  </si>
  <si>
    <t xml:space="preserve">TAGTTAGCAGGCATGAAACGACTT</t>
  </si>
  <si>
    <t xml:space="preserve">AAACAAGTCGTTTCATGCCTGCTA</t>
  </si>
  <si>
    <t xml:space="preserve">GGACAACGAACAACCAGTAG</t>
  </si>
  <si>
    <t xml:space="preserve">TAGTGGACAACGAACAACCAGTAG</t>
  </si>
  <si>
    <t xml:space="preserve">AAACCTACTGGTTGTTCGTTGTCC</t>
  </si>
  <si>
    <t xml:space="preserve">TGCCCTCGCCTACCCAAAGA</t>
  </si>
  <si>
    <t xml:space="preserve">TAGTTGCCCTCGCCTACCCAAAGA</t>
  </si>
  <si>
    <t xml:space="preserve">AAACTCTTTGGGTAGGCGAGGGCA</t>
  </si>
  <si>
    <t xml:space="preserve">PST_1559</t>
  </si>
  <si>
    <t xml:space="preserve">ispD</t>
  </si>
  <si>
    <t xml:space="preserve">TCACCACCCAGAATGCAGGC</t>
  </si>
  <si>
    <t xml:space="preserve">TAGTTCACCACCCAGAATGCAGGC</t>
  </si>
  <si>
    <t xml:space="preserve">AAACGCCTGCATTCTGGGTGGTGA</t>
  </si>
  <si>
    <t xml:space="preserve">CGGCTGCCAACGCCGGCTGC</t>
  </si>
  <si>
    <t xml:space="preserve">TAGTCGGCTGCCAACGCCGGCTGC</t>
  </si>
  <si>
    <t xml:space="preserve">AAACGCAGCCGGCGTTGGCAGCCG</t>
  </si>
  <si>
    <t xml:space="preserve">TGGGGCGATCGGCGCGCATC</t>
  </si>
  <si>
    <t xml:space="preserve">TAGTTGGGGCGATCGGCGCGCATC</t>
  </si>
  <si>
    <t xml:space="preserve">AAACGATGCGCGCCGATCGCCCCA</t>
  </si>
  <si>
    <t xml:space="preserve">GGCTACCTGCAGGTACTGCT</t>
  </si>
  <si>
    <t xml:space="preserve">TAGTGGCTACCTGCAGGTACTGCT</t>
  </si>
  <si>
    <t xml:space="preserve">AAACAGCAGTACCTGCAGGTAGCC</t>
  </si>
  <si>
    <t xml:space="preserve">PST_1560</t>
  </si>
  <si>
    <t xml:space="preserve">GGGTTTCACGATCGAGCAGT</t>
  </si>
  <si>
    <t xml:space="preserve">TAGTGGGTTTCACGATCGAGCAGT</t>
  </si>
  <si>
    <t xml:space="preserve">AAACACTGCTCGATCGTGAAACCC</t>
  </si>
  <si>
    <t xml:space="preserve">GTGTTTCAGCAGTTGGGTAA</t>
  </si>
  <si>
    <t xml:space="preserve">TAGTGTGTTTCAGCAGTTGGGTAA</t>
  </si>
  <si>
    <t xml:space="preserve">AAACTTACCCAACTGCTGAAACAC</t>
  </si>
  <si>
    <t xml:space="preserve">GGGAGAGGCAGGGCCCGTCC</t>
  </si>
  <si>
    <t xml:space="preserve">TAGTGGGAGAGGCAGGGCCCGTCC</t>
  </si>
  <si>
    <t xml:space="preserve">AAACGGACGGGCCCTGCCTCTCCC</t>
  </si>
  <si>
    <t xml:space="preserve">GCGATGAGTCGGCTGGTACA</t>
  </si>
  <si>
    <t xml:space="preserve">TAGTGCGATGAGTCGGCTGGTACA</t>
  </si>
  <si>
    <t xml:space="preserve">AAACTGTACCAGCCGACTCATCGC</t>
  </si>
  <si>
    <t xml:space="preserve">PST_1561</t>
  </si>
  <si>
    <t xml:space="preserve">GCTGTTCACCAGAACCTGCA</t>
  </si>
  <si>
    <t xml:space="preserve">TAGTGCTGTTCACCAGAACCTGCA</t>
  </si>
  <si>
    <t xml:space="preserve">AAACTGCAGGTTCTGGTGAACAGC</t>
  </si>
  <si>
    <t xml:space="preserve">CGGCGGTAACGCTGATGCTG</t>
  </si>
  <si>
    <t xml:space="preserve">TAGTCGGCGGTAACGCTGATGCTG</t>
  </si>
  <si>
    <t xml:space="preserve">AAACCAGCATCAGCGTTACCGCCG</t>
  </si>
  <si>
    <t xml:space="preserve">CTTGATTCGCTCTTCGAGAT</t>
  </si>
  <si>
    <t xml:space="preserve">TAGTCTTGATTCGCTCTTCGAGAT</t>
  </si>
  <si>
    <t xml:space="preserve">AAACATCTCGAAGAGCGAATCAAG</t>
  </si>
  <si>
    <t xml:space="preserve">GGGTCAGATGATCGTCGAAG</t>
  </si>
  <si>
    <t xml:space="preserve">TAGTGGGTCAGATGATCGTCGAAG</t>
  </si>
  <si>
    <t xml:space="preserve">AAACCTTCGACGATCATCTGACCC</t>
  </si>
  <si>
    <t xml:space="preserve">PST_1562</t>
  </si>
  <si>
    <t xml:space="preserve">GGACGACACCCGCAGACGTT</t>
  </si>
  <si>
    <t xml:space="preserve">TAGTGGACGACACCCGCAGACGTT</t>
  </si>
  <si>
    <t xml:space="preserve">AAACAACGTCTGCGGGTGTCGTCC</t>
  </si>
  <si>
    <t xml:space="preserve">GATCTGGCGGCTGACATGGG</t>
  </si>
  <si>
    <t xml:space="preserve">TAGTGATCTGGCGGCTGACATGGG</t>
  </si>
  <si>
    <t xml:space="preserve">AAACCCCATGTCAGCCGCCAGATC</t>
  </si>
  <si>
    <t xml:space="preserve">CTGCAGGCGCTCTTCCAGAC</t>
  </si>
  <si>
    <t xml:space="preserve">TAGTCTGCAGGCGCTCTTCCAGAC</t>
  </si>
  <si>
    <t xml:space="preserve">AAACGTCTGGAAGAGCGCCTGCAG</t>
  </si>
  <si>
    <t xml:space="preserve">AGTGGTTCGGTAGAGCAGGC</t>
  </si>
  <si>
    <t xml:space="preserve">TAGTAGTGGTTCGGTAGAGCAGGC</t>
  </si>
  <si>
    <t xml:space="preserve">AAACGCCTGCTCTACCGAACCACT</t>
  </si>
  <si>
    <t xml:space="preserve">PST_1563</t>
  </si>
  <si>
    <t xml:space="preserve">adhC</t>
  </si>
  <si>
    <t xml:space="preserve">AACGGCCGCGCGCGACTTGA</t>
  </si>
  <si>
    <t xml:space="preserve">TAGTAACGGCCGCGCGCGACTTGA</t>
  </si>
  <si>
    <t xml:space="preserve">AAACTCAAGTCGCGCGCGGCCGTT</t>
  </si>
  <si>
    <t xml:space="preserve">CAGGGGCTGGTTGGGGCCGA</t>
  </si>
  <si>
    <t xml:space="preserve">TAGTCAGGGGCTGGTTGGGGCCGA</t>
  </si>
  <si>
    <t xml:space="preserve">AAACTCGGCCCCAACCAGCCCCTG</t>
  </si>
  <si>
    <t xml:space="preserve">AGGACCTCGCCGGCCTTGGG</t>
  </si>
  <si>
    <t xml:space="preserve">TAGTAGGACCTCGCCGGCCTTGGG</t>
  </si>
  <si>
    <t xml:space="preserve">AAACCCCAAGGCCGGCGAGGTCCT</t>
  </si>
  <si>
    <t xml:space="preserve">CGGTGGCCACGATACGGATC</t>
  </si>
  <si>
    <t xml:space="preserve">TAGTCGGTGGCCACGATACGGATC</t>
  </si>
  <si>
    <t xml:space="preserve">AAACGATCCGTATCGTGGCCACCG</t>
  </si>
  <si>
    <t xml:space="preserve">PST_1564</t>
  </si>
  <si>
    <t xml:space="preserve">GTTGCTGGAAACGATTTCAG</t>
  </si>
  <si>
    <t xml:space="preserve">TAGTGTTGCTGGAAACGATTTCAG</t>
  </si>
  <si>
    <t xml:space="preserve">AAACCTGAAATCGTTTCCAGCAAC</t>
  </si>
  <si>
    <t xml:space="preserve">TCAGGGCGTTGGAGCGGTGG</t>
  </si>
  <si>
    <t xml:space="preserve">TAGTTCAGGGCGTTGGAGCGGTGG</t>
  </si>
  <si>
    <t xml:space="preserve">AAACCCACCGCTCCAACGCCCTGA</t>
  </si>
  <si>
    <t xml:space="preserve">GGCCTGCGGCGGCAGGAACA</t>
  </si>
  <si>
    <t xml:space="preserve">TAGTGGCCTGCGGCGGCAGGAACA</t>
  </si>
  <si>
    <t xml:space="preserve">AAACTGTTCCTGCCGCCGCAGGCC</t>
  </si>
  <si>
    <t xml:space="preserve">CGGCAGTTTTTCACCCTGCT</t>
  </si>
  <si>
    <t xml:space="preserve">TAGTCGGCAGTTTTTCACCCTGCT</t>
  </si>
  <si>
    <t xml:space="preserve">AAACAGCAGGGTGAAAAACTGCCG</t>
  </si>
  <si>
    <t xml:space="preserve">PST_1565</t>
  </si>
  <si>
    <t xml:space="preserve">xenB</t>
  </si>
  <si>
    <t xml:space="preserve">ACGAACTATATATCGCCAAC</t>
  </si>
  <si>
    <t xml:space="preserve">TAGTACGAACTATATATCGCCAAC</t>
  </si>
  <si>
    <t xml:space="preserve">AAACGTTGGCGATATATAGTTCGT</t>
  </si>
  <si>
    <t xml:space="preserve">TGAGTTTCGGCTGCCTGTAT</t>
  </si>
  <si>
    <t xml:space="preserve">TAGTTGAGTTTCGGCTGCCTGTAT</t>
  </si>
  <si>
    <t xml:space="preserve">AAACATACAGGCAGCCGAAACTCA</t>
  </si>
  <si>
    <t xml:space="preserve">CGCGGCGCAGCGGATGGGCG</t>
  </si>
  <si>
    <t xml:space="preserve">TAGTCGCGGCGCAGCGGATGGGCG</t>
  </si>
  <si>
    <t xml:space="preserve">AAACCGCCCATCCGCTGCGCCGCG</t>
  </si>
  <si>
    <t xml:space="preserve">TGCGCGGCGAAATAGCGCTG</t>
  </si>
  <si>
    <t xml:space="preserve">TAGTTGCGCGGCGAAATAGCGCTG</t>
  </si>
  <si>
    <t xml:space="preserve">AAACCAGCGCTATTTCGCCGCGCA</t>
  </si>
  <si>
    <t xml:space="preserve">PST_1566</t>
  </si>
  <si>
    <t xml:space="preserve">ispF</t>
  </si>
  <si>
    <t xml:space="preserve">AGCGGTGCACGTCGTAACCG</t>
  </si>
  <si>
    <t xml:space="preserve">TAGTAGCGGTGCACGTCGTAACCG</t>
  </si>
  <si>
    <t xml:space="preserve">AAACCGGTTACGACGTGCACCGCT</t>
  </si>
  <si>
    <t xml:space="preserve">GCACGCCGCCAAGCGTGATG</t>
  </si>
  <si>
    <t xml:space="preserve">TAGTGCACGCCGCCAAGCGTGATG</t>
  </si>
  <si>
    <t xml:space="preserve">AAACCATCACGCTTGGCGGCGTGC</t>
  </si>
  <si>
    <t xml:space="preserve">GCGAGCAGCCCGAACCTGTG</t>
  </si>
  <si>
    <t xml:space="preserve">TAGTGCGAGCAGCCCGAACCTGTG</t>
  </si>
  <si>
    <t xml:space="preserve">AAACCACAGGTTCGGGCTGCTCGC</t>
  </si>
  <si>
    <t xml:space="preserve">CAGCACGTCACCGTCGGAAT</t>
  </si>
  <si>
    <t xml:space="preserve">TAGTCAGCACGTCACCGTCGGAAT</t>
  </si>
  <si>
    <t xml:space="preserve">AAACATTCCGACGGTGACGTGCTG</t>
  </si>
  <si>
    <t xml:space="preserve">PST_1567</t>
  </si>
  <si>
    <t xml:space="preserve">AAGGCTCGCCGTGGGCACGC</t>
  </si>
  <si>
    <t xml:space="preserve">TAGTAAGGCTCGCCGTGGGCACGC</t>
  </si>
  <si>
    <t xml:space="preserve">AAACGCGTGCCCACGGCGAGCCTT</t>
  </si>
  <si>
    <t xml:space="preserve">CTCTTCGACCTGGAAGTCCT</t>
  </si>
  <si>
    <t xml:space="preserve">TAGTCTCTTCGACCTGGAAGTCCT</t>
  </si>
  <si>
    <t xml:space="preserve">AAACAGGACTTCCAGGTCGAAGAG</t>
  </si>
  <si>
    <t xml:space="preserve">GCTCGCCCTCCCCCGACAGC</t>
  </si>
  <si>
    <t xml:space="preserve">TAGTGCTCGCCCTCCCCCGACAGC</t>
  </si>
  <si>
    <t xml:space="preserve">AAACGCTGTCGGGGGAGGGCGAGC</t>
  </si>
  <si>
    <t xml:space="preserve">GCTTTTCCACCCAGAGCCAG</t>
  </si>
  <si>
    <t xml:space="preserve">TAGTGCTTTTCCACCCAGAGCCAG</t>
  </si>
  <si>
    <t xml:space="preserve">AAACCTGGCTCTGGGTGGAAAAGC</t>
  </si>
  <si>
    <t xml:space="preserve">PST_1568</t>
  </si>
  <si>
    <t xml:space="preserve">surE</t>
  </si>
  <si>
    <t xml:space="preserve">TGCATACACCCCGTCGTCGT</t>
  </si>
  <si>
    <t xml:space="preserve">TAGTTGCATACACCCCGTCGTCGT</t>
  </si>
  <si>
    <t xml:space="preserve">AAACACGACGACGGGGTGTATGCA</t>
  </si>
  <si>
    <t xml:space="preserve">TCATAAAGCGCGGCGAGCCC</t>
  </si>
  <si>
    <t xml:space="preserve">TAGTTCATAAAGCGCGGCGAGCCC</t>
  </si>
  <si>
    <t xml:space="preserve">AAACGGGCTCGCCGCGCTTTATGA</t>
  </si>
  <si>
    <t xml:space="preserve">CGGGGCTACCACCGTGCACT</t>
  </si>
  <si>
    <t xml:space="preserve">TAGTCGGGGCTACCACCGTGCACT</t>
  </si>
  <si>
    <t xml:space="preserve">AAACAGTGCACGGTGGTAGCCCCG</t>
  </si>
  <si>
    <t xml:space="preserve">GCGCCGCTCATGTCCTGGAT</t>
  </si>
  <si>
    <t xml:space="preserve">TAGTGCGCCGCTCATGTCCTGGAT</t>
  </si>
  <si>
    <t xml:space="preserve">AAACATCCAGGACATGAGCGGCGC</t>
  </si>
  <si>
    <t xml:space="preserve">PST_1569</t>
  </si>
  <si>
    <t xml:space="preserve">pcm</t>
  </si>
  <si>
    <t xml:space="preserve">TCATACCCGAGCCGTGGAGC</t>
  </si>
  <si>
    <t xml:space="preserve">TAGTTCATACCCGAGCCGTGGAGC</t>
  </si>
  <si>
    <t xml:space="preserve">AAACGCTCCACGGCTCGGGTATGA</t>
  </si>
  <si>
    <t xml:space="preserve">GCGGTCACGTGTGCGTTGCG</t>
  </si>
  <si>
    <t xml:space="preserve">TAGTGCGGTCACGTGTGCGTTGCG</t>
  </si>
  <si>
    <t xml:space="preserve">AAACCGCAACGCACACGTGACCGC</t>
  </si>
  <si>
    <t xml:space="preserve">CGAGCACATGGGCGTTGGAC</t>
  </si>
  <si>
    <t xml:space="preserve">TAGTCGAGCACATGGGCGTTGGAC</t>
  </si>
  <si>
    <t xml:space="preserve">AAACGTCCAACGCCCATGTGCTCG</t>
  </si>
  <si>
    <t xml:space="preserve">ACAGATGACGAGGGGTACGG</t>
  </si>
  <si>
    <t xml:space="preserve">TAGTACAGATGACGAGGGGTACGG</t>
  </si>
  <si>
    <t xml:space="preserve">AAACCCGTACCCCTCGTCATCTGT</t>
  </si>
  <si>
    <t xml:space="preserve">PST_1570</t>
  </si>
  <si>
    <t xml:space="preserve">AGCACCCATCGCCATGCCTT</t>
  </si>
  <si>
    <t xml:space="preserve">TAGTAGCACCCATCGCCATGCCTT</t>
  </si>
  <si>
    <t xml:space="preserve">AAACAAGGCATGGCGATGGGTGCT</t>
  </si>
  <si>
    <t xml:space="preserve">ACGGTACCGCCGGAGACACC</t>
  </si>
  <si>
    <t xml:space="preserve">TAGTACGGTACCGCCGGAGACACC</t>
  </si>
  <si>
    <t xml:space="preserve">AAACGGTGTCTCCGGCGGTACCGT</t>
  </si>
  <si>
    <t xml:space="preserve">CAGCAGCTCATCGTAGATAC</t>
  </si>
  <si>
    <t xml:space="preserve">TAGTCAGCAGCTCATCGTAGATAC</t>
  </si>
  <si>
    <t xml:space="preserve">AAACGTATCTACGATGAGCTGCTG</t>
  </si>
  <si>
    <t xml:space="preserve">CGCGTAGGGCACTGCGCTGA</t>
  </si>
  <si>
    <t xml:space="preserve">TAGTCGCGTAGGGCACTGCGCTGA</t>
  </si>
  <si>
    <t xml:space="preserve">AAACTCAGCGCAGTGCCCTACGCG</t>
  </si>
  <si>
    <t xml:space="preserve">PST_1571</t>
  </si>
  <si>
    <t xml:space="preserve">nlpD</t>
  </si>
  <si>
    <t xml:space="preserve">CCGAGCATCGAACGGACCAT</t>
  </si>
  <si>
    <t xml:space="preserve">TAGTCCGAGCATCGAACGGACCAT</t>
  </si>
  <si>
    <t xml:space="preserve">AAACATGGTCCGTTCGATGCTCGG</t>
  </si>
  <si>
    <t xml:space="preserve">CGCACAACCGACCAGCGTTC</t>
  </si>
  <si>
    <t xml:space="preserve">TAGTCGCACAACCGACCAGCGTTC</t>
  </si>
  <si>
    <t xml:space="preserve">AAACGAACGCTGGTCGGTTGTGCG</t>
  </si>
  <si>
    <t xml:space="preserve">ACCTGTACGCCGCCACCCTG</t>
  </si>
  <si>
    <t xml:space="preserve">TAGTACCTGTACGCCGCCACCCTG</t>
  </si>
  <si>
    <t xml:space="preserve">AAACCAGGGTGGCGGCGTACAGGT</t>
  </si>
  <si>
    <t xml:space="preserve">CGCTGGTGACCTTGTCACGC</t>
  </si>
  <si>
    <t xml:space="preserve">TAGTCGCTGGTGACCTTGTCACGC</t>
  </si>
  <si>
    <t xml:space="preserve">AAACGCGTGACAAGGTCACCAGCG</t>
  </si>
  <si>
    <t xml:space="preserve">PST_1572</t>
  </si>
  <si>
    <t xml:space="preserve">rpoS</t>
  </si>
  <si>
    <t xml:space="preserve">CGACGTCAAACTCCAGCGCT</t>
  </si>
  <si>
    <t xml:space="preserve">TAGTCGACGTCAAACTCCAGCGCT</t>
  </si>
  <si>
    <t xml:space="preserve">AAACAGCGCTGGAGTTTGACGTCG</t>
  </si>
  <si>
    <t xml:space="preserve">TCTTTCTGGTCGAAGTGGAT</t>
  </si>
  <si>
    <t xml:space="preserve">TAGTTCTTTCTGGTCGAAGTGGAT</t>
  </si>
  <si>
    <t xml:space="preserve">AAACATCCACTTCGACCAGAAAGA</t>
  </si>
  <si>
    <t xml:space="preserve">TCTGCCTGCAGAGGCAGCCT</t>
  </si>
  <si>
    <t xml:space="preserve">TAGTTCTGCCTGCAGAGGCAGCCT</t>
  </si>
  <si>
    <t xml:space="preserve">AAACAGGCTGCCTCTGCAGGCAGA</t>
  </si>
  <si>
    <t xml:space="preserve">CTGGTGCTGGATGCGGCCTT</t>
  </si>
  <si>
    <t xml:space="preserve">TAGTCTGGTGCTGGATGCGGCCTT</t>
  </si>
  <si>
    <t xml:space="preserve">AAACAAGGCCGCATCCAGCACCAG</t>
  </si>
  <si>
    <t xml:space="preserve">PST_1573</t>
  </si>
  <si>
    <t xml:space="preserve">TTAGGCCGTGCCACTGCCAC</t>
  </si>
  <si>
    <t xml:space="preserve">TAGTTTAGGCCGTGCCACTGCCAC</t>
  </si>
  <si>
    <t xml:space="preserve">AAACGTGGCAGTGGCACGGCCTAA</t>
  </si>
  <si>
    <t xml:space="preserve">TCATAGGTTCCTCCGCTGAT</t>
  </si>
  <si>
    <t xml:space="preserve">TAGTTCATAGGTTCCTCCGCTGAT</t>
  </si>
  <si>
    <t xml:space="preserve">AAACATCAGCGGAGGAACCTATGA</t>
  </si>
  <si>
    <t xml:space="preserve">ACGTCGTCCCGCTCTTTGGT</t>
  </si>
  <si>
    <t xml:space="preserve">TAGTACGTCGTCCCGCTCTTTGGT</t>
  </si>
  <si>
    <t xml:space="preserve">AAACACCAAAGAGCGGGACGACGT</t>
  </si>
  <si>
    <t xml:space="preserve">TGATCCTCGTCCGCTTCATC</t>
  </si>
  <si>
    <t xml:space="preserve">TAGTTGATCCTCGTCCGCTTCATC</t>
  </si>
  <si>
    <t xml:space="preserve">AAACGATGAAGCGGACGAGGATCA</t>
  </si>
  <si>
    <t xml:space="preserve">PST_1575</t>
  </si>
  <si>
    <t xml:space="preserve">TCTCACCAGCAGCGGTTGCA</t>
  </si>
  <si>
    <t xml:space="preserve">TAGTTCTCACCAGCAGCGGTTGCA</t>
  </si>
  <si>
    <t xml:space="preserve">AAACTGCAACCGCTGCTGGTGAGA</t>
  </si>
  <si>
    <t xml:space="preserve">CTTCGGCGCGCACCCGGTTA</t>
  </si>
  <si>
    <t xml:space="preserve">TAGTCTTCGGCGCGCACCCGGTTA</t>
  </si>
  <si>
    <t xml:space="preserve">AAACTAACCGGGTGCGCGCCGAAG</t>
  </si>
  <si>
    <t xml:space="preserve">CGCCAGGATGCCGCCCCGCC</t>
  </si>
  <si>
    <t xml:space="preserve">TAGTCGCCAGGATGCCGCCCCGCC</t>
  </si>
  <si>
    <t xml:space="preserve">AAACGGCGGGGCGGCATCCTGGCG</t>
  </si>
  <si>
    <t xml:space="preserve">GCCCGTGGGCGACGGGCGTC</t>
  </si>
  <si>
    <t xml:space="preserve">TAGTGCCCGTGGGCGACGGGCGTC</t>
  </si>
  <si>
    <t xml:space="preserve">AAACGACGCCCGTCGCCCACGGGC</t>
  </si>
  <si>
    <t xml:space="preserve">PST_1574</t>
  </si>
  <si>
    <t xml:space="preserve">GGCTCCGCAAACAGCCCGGT</t>
  </si>
  <si>
    <t xml:space="preserve">TAGTGGCTCCGCAAACAGCCCGGT</t>
  </si>
  <si>
    <t xml:space="preserve">AAACACCGGGCTGTTTGCGGAGCC</t>
  </si>
  <si>
    <t xml:space="preserve">GGCCCAGACGCTAGACTAGC</t>
  </si>
  <si>
    <t xml:space="preserve">TAGTGGCCCAGACGCTAGACTAGC</t>
  </si>
  <si>
    <t xml:space="preserve">AAACGCTAGTCTAGCGTCTGGGCC</t>
  </si>
  <si>
    <t xml:space="preserve">CGAAGAAAGTTTGGCGCCGG</t>
  </si>
  <si>
    <t xml:space="preserve">TAGTCGAAGAAAGTTTGGCGCCGG</t>
  </si>
  <si>
    <t xml:space="preserve">AAACCCGGCGCCAAACTTTCTTCG</t>
  </si>
  <si>
    <t xml:space="preserve">AACGGACAAACGGCACACAT</t>
  </si>
  <si>
    <t xml:space="preserve">TAGTAACGGACAAACGGCACACAT</t>
  </si>
  <si>
    <t xml:space="preserve">AAACATGTGTGCCGTTTGTCCGTT</t>
  </si>
  <si>
    <t xml:space="preserve">PST_1576</t>
  </si>
  <si>
    <t xml:space="preserve">GCGCCGCACCGGCAATAGCC</t>
  </si>
  <si>
    <t xml:space="preserve">TAGTGCGCCGCACCGGCAATAGCC</t>
  </si>
  <si>
    <t xml:space="preserve">AAACGGCTATTGCCGGTGCGGCGC</t>
  </si>
  <si>
    <t xml:space="preserve">ATTTCCTTGTCACCGGCCAT</t>
  </si>
  <si>
    <t xml:space="preserve">TAGTATTTCCTTGTCACCGGCCAT</t>
  </si>
  <si>
    <t xml:space="preserve">AAACATGGCCGGTGACAAGGAAAT</t>
  </si>
  <si>
    <t xml:space="preserve">CTGCCCCCAACTTCCCTGTA</t>
  </si>
  <si>
    <t xml:space="preserve">TAGTCTGCCCCCAACTTCCCTGTA</t>
  </si>
  <si>
    <t xml:space="preserve">AAACTACAGGGAAGTTGGGGGCAG</t>
  </si>
  <si>
    <t xml:space="preserve">AGTCTGCCGGACGCCCCACA</t>
  </si>
  <si>
    <t xml:space="preserve">TAGTAGTCTGCCGGACGCCCCACA</t>
  </si>
  <si>
    <t xml:space="preserve">AAACTGTGGGGCGTCCGGCAGACT</t>
  </si>
  <si>
    <t xml:space="preserve">PST_1577</t>
  </si>
  <si>
    <t xml:space="preserve">TGCGGTAGGCGTCGCGCAGC</t>
  </si>
  <si>
    <t xml:space="preserve">TAGTTGCGGTAGGCGTCGCGCAGC</t>
  </si>
  <si>
    <t xml:space="preserve">AAACGCTGCGCGACGCCTACCGCA</t>
  </si>
  <si>
    <t xml:space="preserve">ACACCCCGGAGCCAACGAAG</t>
  </si>
  <si>
    <t xml:space="preserve">TAGTACACCCCGGAGCCAACGAAG</t>
  </si>
  <si>
    <t xml:space="preserve">AAACCTTCGTTGGCTCCGGGGTGT</t>
  </si>
  <si>
    <t xml:space="preserve">CCAAGGCGGCAGGCCGATGT</t>
  </si>
  <si>
    <t xml:space="preserve">TAGTCCAAGGCGGCAGGCCGATGT</t>
  </si>
  <si>
    <t xml:space="preserve">AAACACATCGGCCTGCCGCCTTGG</t>
  </si>
  <si>
    <t xml:space="preserve">CGGGTCATAGTCCAGCTGCA</t>
  </si>
  <si>
    <t xml:space="preserve">TAGTCGGGTCATAGTCCAGCTGCA</t>
  </si>
  <si>
    <t xml:space="preserve">AAACTGCAGCTGGACTATGACCCG</t>
  </si>
  <si>
    <t xml:space="preserve">PST_1578</t>
  </si>
  <si>
    <t xml:space="preserve">GCAGCGAATGGATGTCGCGT</t>
  </si>
  <si>
    <t xml:space="preserve">TAGTGCAGCGAATGGATGTCGCGT</t>
  </si>
  <si>
    <t xml:space="preserve">AAACACGCGACATCCATTCGCTGC</t>
  </si>
  <si>
    <t xml:space="preserve">TTCATCGAACGAGCCAGCTC</t>
  </si>
  <si>
    <t xml:space="preserve">TAGTTTCATCGAACGAGCCAGCTC</t>
  </si>
  <si>
    <t xml:space="preserve">AAACGAGCTGGCTCGTTCGATGAA</t>
  </si>
  <si>
    <t xml:space="preserve">GCTGATTGATGGACGCGAAG</t>
  </si>
  <si>
    <t xml:space="preserve">TAGTGCTGATTGATGGACGCGAAG</t>
  </si>
  <si>
    <t xml:space="preserve">AAACCTTCGCGTCCATCAATCAGC</t>
  </si>
  <si>
    <t xml:space="preserve">CCTCGATTCCACTGGGCTCG</t>
  </si>
  <si>
    <t xml:space="preserve">TAGTCCTCGATTCCACTGGGCTCG</t>
  </si>
  <si>
    <t xml:space="preserve">AAACCGAGCCCAGTGGAATCGAGG</t>
  </si>
  <si>
    <t xml:space="preserve">PST_1579</t>
  </si>
  <si>
    <t xml:space="preserve">ATCAAGACAAGTGCAAGCAG</t>
  </si>
  <si>
    <t xml:space="preserve">TAGTATCAAGACAAGTGCAAGCAG</t>
  </si>
  <si>
    <t xml:space="preserve">AAACCTGCTTGCACTTGTCTTGAT</t>
  </si>
  <si>
    <t xml:space="preserve">CTGGCTTGGAAACGGGGCGC</t>
  </si>
  <si>
    <t xml:space="preserve">TAGTCTGGCTTGGAAACGGGGCGC</t>
  </si>
  <si>
    <t xml:space="preserve">AAACGCGCCCCGTTTCCAAGCCAG</t>
  </si>
  <si>
    <t xml:space="preserve">CCGAAAACGGGACGTTGATC</t>
  </si>
  <si>
    <t xml:space="preserve">TAGTCCGAAAACGGGACGTTGATC</t>
  </si>
  <si>
    <t xml:space="preserve">AAACGATCAACGTCCCGTTTTCGG</t>
  </si>
  <si>
    <t xml:space="preserve">GCCACCGGCTGCCTGGAACG</t>
  </si>
  <si>
    <t xml:space="preserve">TAGTGCCACCGGCTGCCTGGAACG</t>
  </si>
  <si>
    <t xml:space="preserve">AAACCGTTCCAGGCAGCCGGTGGC</t>
  </si>
  <si>
    <t xml:space="preserve">PST_1580</t>
  </si>
  <si>
    <t xml:space="preserve">CGTGTTGAACATTGACCACG</t>
  </si>
  <si>
    <t xml:space="preserve">TAGTCGTGTTGAACATTGACCACG</t>
  </si>
  <si>
    <t xml:space="preserve">AAACCGTGGTCAATGTTCAACACG</t>
  </si>
  <si>
    <t xml:space="preserve">ACGTACTCGCCATAGATGAT</t>
  </si>
  <si>
    <t xml:space="preserve">TAGTACGTACTCGCCATAGATGAT</t>
  </si>
  <si>
    <t xml:space="preserve">AAACATCATCTATGGCGAGTACGT</t>
  </si>
  <si>
    <t xml:space="preserve">GAGCTCGTCGATCATGGCCG</t>
  </si>
  <si>
    <t xml:space="preserve">TAGTGAGCTCGTCGATCATGGCCG</t>
  </si>
  <si>
    <t xml:space="preserve">AAACCGGCCATGATCGACGAGCTC</t>
  </si>
  <si>
    <t xml:space="preserve">CACTGCGGGATTTGGCCATC</t>
  </si>
  <si>
    <t xml:space="preserve">TAGTCACTGCGGGATTTGGCCATC</t>
  </si>
  <si>
    <t xml:space="preserve">AAACGATGGCCAAATCCCGCAGTG</t>
  </si>
  <si>
    <t xml:space="preserve">PST_1581</t>
  </si>
  <si>
    <t xml:space="preserve">GCGCTGGCTGTAGGGCGTGG</t>
  </si>
  <si>
    <t xml:space="preserve">TAGTGCGCTGGCTGTAGGGCGTGG</t>
  </si>
  <si>
    <t xml:space="preserve">AAACCCACGCCCTACAGCCAGCGC</t>
  </si>
  <si>
    <t xml:space="preserve">GCGCACCGCCCGCAGACCCA</t>
  </si>
  <si>
    <t xml:space="preserve">TAGTGCGCACCGCCCGCAGACCCA</t>
  </si>
  <si>
    <t xml:space="preserve">AAACTGGGTCTGCGGGCGGTGCGC</t>
  </si>
  <si>
    <t xml:space="preserve">CAGCTCGCTCAGGCGCTTGC</t>
  </si>
  <si>
    <t xml:space="preserve">TAGTCAGCTCGCTCAGGCGCTTGC</t>
  </si>
  <si>
    <t xml:space="preserve">AAACGCAAGCGCCTGAGCGAGCTG</t>
  </si>
  <si>
    <t xml:space="preserve">CGTGATTGTGGTCCTTGTGA</t>
  </si>
  <si>
    <t xml:space="preserve">TAGTCGTGATTGTGGTCCTTGTGA</t>
  </si>
  <si>
    <t xml:space="preserve">AAACTCACAAGGACCACAATCACG</t>
  </si>
  <si>
    <t xml:space="preserve">PST_1582</t>
  </si>
  <si>
    <t xml:space="preserve">CTTGCCGAAGATCCTGCCCT</t>
  </si>
  <si>
    <t xml:space="preserve">TAGTCTTGCCGAAGATCCTGCCCT</t>
  </si>
  <si>
    <t xml:space="preserve">AAACAGGGCAGGATCTTCGGCAAG</t>
  </si>
  <si>
    <t xml:space="preserve">GTCCGGGTCGGCACCGCTGC</t>
  </si>
  <si>
    <t xml:space="preserve">TAGTGTCCGGGTCGGCACCGCTGC</t>
  </si>
  <si>
    <t xml:space="preserve">AAACGCAGCGGTGCCGACCCGGAC</t>
  </si>
  <si>
    <t xml:space="preserve">CGACCACCAGACGCAGGCGT</t>
  </si>
  <si>
    <t xml:space="preserve">TAGTCGACCACCAGACGCAGGCGT</t>
  </si>
  <si>
    <t xml:space="preserve">AAACACGCCTGCGTCTGGTGGTCG</t>
  </si>
  <si>
    <t xml:space="preserve">CTTGGGCATAGAAGCCTTCT</t>
  </si>
  <si>
    <t xml:space="preserve">TAGTCTTGGGCATAGAAGCCTTCT</t>
  </si>
  <si>
    <t xml:space="preserve">AAACAGAAGGCTTCTATGCCCAAG</t>
  </si>
  <si>
    <t xml:space="preserve">PST_1584</t>
  </si>
  <si>
    <t xml:space="preserve">AGTGCGAGCAGCAGGTCCCG</t>
  </si>
  <si>
    <t xml:space="preserve">TAGTAGTGCGAGCAGCAGGTCCCG</t>
  </si>
  <si>
    <t xml:space="preserve">AAACCGGGACCTGCTGCTCGCACT</t>
  </si>
  <si>
    <t xml:space="preserve">GGGCACCGAGCAACATGGGC</t>
  </si>
  <si>
    <t xml:space="preserve">TAGTGGGCACCGAGCAACATGGGC</t>
  </si>
  <si>
    <t xml:space="preserve">AAACGCCCATGTTGCTCGGTGCCC</t>
  </si>
  <si>
    <t xml:space="preserve">CGCCGCCAGCATGAATCGCA</t>
  </si>
  <si>
    <t xml:space="preserve">TAGTCGCCGCCAGCATGAATCGCA</t>
  </si>
  <si>
    <t xml:space="preserve">AAACTGCGATTCATGCTGGCGGCG</t>
  </si>
  <si>
    <t xml:space="preserve">CGTCTGATGAAGAATACCGC</t>
  </si>
  <si>
    <t xml:space="preserve">TAGTCGTCTGATGAAGAATACCGC</t>
  </si>
  <si>
    <t xml:space="preserve">AAACGCGGTATTCTTCATCAGACG</t>
  </si>
  <si>
    <t xml:space="preserve">PST_1585</t>
  </si>
  <si>
    <t xml:space="preserve">TGCTGCAGTATGGCATTGCT</t>
  </si>
  <si>
    <t xml:space="preserve">TAGTTGCTGCAGTATGGCATTGCT</t>
  </si>
  <si>
    <t xml:space="preserve">AAACAGCAATGCCATACTGCAGCA</t>
  </si>
  <si>
    <t xml:space="preserve">GCAGGAGCGATGCCTGTTTC</t>
  </si>
  <si>
    <t xml:space="preserve">TAGTGCAGGAGCGATGCCTGTTTC</t>
  </si>
  <si>
    <t xml:space="preserve">AAACGAAACAGGCATCGCTCCTGC</t>
  </si>
  <si>
    <t xml:space="preserve">GGACATGTCCTGATGGGCGA</t>
  </si>
  <si>
    <t xml:space="preserve">TAGTGGACATGTCCTGATGGGCGA</t>
  </si>
  <si>
    <t xml:space="preserve">AAACTCGCCCATCAGGACATGTCC</t>
  </si>
  <si>
    <t xml:space="preserve">GTTCACCTCTGATTGCTGGC</t>
  </si>
  <si>
    <t xml:space="preserve">TAGTGTTCACCTCTGATTGCTGGC</t>
  </si>
  <si>
    <t xml:space="preserve">AAACGCCAGCAATCAGAGGTGAAC</t>
  </si>
  <si>
    <t xml:space="preserve">PST_1586</t>
  </si>
  <si>
    <t xml:space="preserve">AGCCAGAGCGGGCCGTCTGC</t>
  </si>
  <si>
    <t xml:space="preserve">TAGTAGCCAGAGCGGGCCGTCTGC</t>
  </si>
  <si>
    <t xml:space="preserve">AAACGCAGACGGCCCGCTCTGGCT</t>
  </si>
  <si>
    <t xml:space="preserve">GGTCGCCCTGCAGGCCATCC</t>
  </si>
  <si>
    <t xml:space="preserve">TAGTGGTCGCCCTGCAGGCCATCC</t>
  </si>
  <si>
    <t xml:space="preserve">AAACGGATGGCCTGCAGGGCGACC</t>
  </si>
  <si>
    <t xml:space="preserve">GAAAACGCCGCTCGGCGACC</t>
  </si>
  <si>
    <t xml:space="preserve">TAGTGAAAACGCCGCTCGGCGACC</t>
  </si>
  <si>
    <t xml:space="preserve">AAACGGTCGCCGAGCGGCGTTTTC</t>
  </si>
  <si>
    <t xml:space="preserve">TAATGGCACAGGGCACGGTC</t>
  </si>
  <si>
    <t xml:space="preserve">TAGTTAATGGCACAGGGCACGGTC</t>
  </si>
  <si>
    <t xml:space="preserve">AAACGACCGTGCCCTGTGCCATTA</t>
  </si>
  <si>
    <t xml:space="preserve">PST_1587</t>
  </si>
  <si>
    <t xml:space="preserve">ATGAAAGTCGGCACGACTCA</t>
  </si>
  <si>
    <t xml:space="preserve">TAGTATGAAAGTCGGCACGACTCA</t>
  </si>
  <si>
    <t xml:space="preserve">AAACTGAGTCGTGCCGACTTTCAT</t>
  </si>
  <si>
    <t xml:space="preserve">CGCTGGCCCGCTCGGCGTTC</t>
  </si>
  <si>
    <t xml:space="preserve">TAGTCGCTGGCCCGCTCGGCGTTC</t>
  </si>
  <si>
    <t xml:space="preserve">AAACGAACGCCGAGCGGGCCAGCG</t>
  </si>
  <si>
    <t xml:space="preserve">TTCGATCAGACGTTGGGCTT</t>
  </si>
  <si>
    <t xml:space="preserve">TAGTTTCGATCAGACGTTGGGCTT</t>
  </si>
  <si>
    <t xml:space="preserve">AAACAAGCCCAACGTCTGATCGAA</t>
  </si>
  <si>
    <t xml:space="preserve">CAGCCAGCGAGCGCCCAGAA</t>
  </si>
  <si>
    <t xml:space="preserve">TAGTCAGCCAGCGAGCGCCCAGAA</t>
  </si>
  <si>
    <t xml:space="preserve">AAACTTCTGGGCGCTCGCTGGCTG</t>
  </si>
  <si>
    <t xml:space="preserve">PST_1588</t>
  </si>
  <si>
    <t xml:space="preserve">dgt</t>
  </si>
  <si>
    <t xml:space="preserve">TGCTTGAAGTTCACGGACTC</t>
  </si>
  <si>
    <t xml:space="preserve">TAGTTGCTTGAAGTTCACGGACTC</t>
  </si>
  <si>
    <t xml:space="preserve">AAACGAGTCCGTGAACTTCAAGCA</t>
  </si>
  <si>
    <t xml:space="preserve">CTTGCCGTAAGGGCGTTGAC</t>
  </si>
  <si>
    <t xml:space="preserve">TAGTCTTGCCGTAAGGGCGTTGAC</t>
  </si>
  <si>
    <t xml:space="preserve">AAACGTCAACGCCCTTACGGCAAG</t>
  </si>
  <si>
    <t xml:space="preserve">CCCTCGCTGGCGCGCAGGCC</t>
  </si>
  <si>
    <t xml:space="preserve">TAGTCCCTCGCTGGCGCGCAGGCC</t>
  </si>
  <si>
    <t xml:space="preserve">AAACGGCCTGCGCGCCAGCGAGGG</t>
  </si>
  <si>
    <t xml:space="preserve">GCCCGCGATCGCTTTCCAAC</t>
  </si>
  <si>
    <t xml:space="preserve">TAGTGCCCGCGATCGCTTTCCAAC</t>
  </si>
  <si>
    <t xml:space="preserve">AAACGTTGGAAAGCGATCGCGGGC</t>
  </si>
  <si>
    <t xml:space="preserve">PST_1589</t>
  </si>
  <si>
    <t xml:space="preserve">AAAGGCGAAGCCGGCATGCA</t>
  </si>
  <si>
    <t xml:space="preserve">TAGTAAAGGCGAAGCCGGCATGCA</t>
  </si>
  <si>
    <t xml:space="preserve">AAACTGCATGCCGGCTTCGCCTTT</t>
  </si>
  <si>
    <t xml:space="preserve">GACCTGGTTCTTCAGGCGCA</t>
  </si>
  <si>
    <t xml:space="preserve">TAGTGACCTGGTTCTTCAGGCGCA</t>
  </si>
  <si>
    <t xml:space="preserve">AAACTGCGCCTGAAGAACCAGGTC</t>
  </si>
  <si>
    <t xml:space="preserve">GTCGGTGATGATCTTCGACA</t>
  </si>
  <si>
    <t xml:space="preserve">TAGTGTCGGTGATGATCTTCGACA</t>
  </si>
  <si>
    <t xml:space="preserve">AAACTGTCGAAGATCATCACCGAC</t>
  </si>
  <si>
    <t xml:space="preserve">GAAGTACGCCAGGGTCGATA</t>
  </si>
  <si>
    <t xml:space="preserve">TAGTGAAGTACGCCAGGGTCGATA</t>
  </si>
  <si>
    <t xml:space="preserve">AAACTATCGACCCTGGCGTACTTC</t>
  </si>
  <si>
    <t xml:space="preserve">PST_1590</t>
  </si>
  <si>
    <t xml:space="preserve">GCCGCAAAGCAGTAGGTCCA</t>
  </si>
  <si>
    <t xml:space="preserve">TAGTGCCGCAAAGCAGTAGGTCCA</t>
  </si>
  <si>
    <t xml:space="preserve">AAACTGGACCTACTGCTTTGCGGC</t>
  </si>
  <si>
    <t xml:space="preserve">GCGTTGCAGCTCGCCGAGCC</t>
  </si>
  <si>
    <t xml:space="preserve">TAGTGCGTTGCAGCTCGCCGAGCC</t>
  </si>
  <si>
    <t xml:space="preserve">AAACGGCTCGGCGAGCTGCAACGC</t>
  </si>
  <si>
    <t xml:space="preserve">GTGCCAGCGGGCATCGGGCA</t>
  </si>
  <si>
    <t xml:space="preserve">TAGTGTGCCAGCGGGCATCGGGCA</t>
  </si>
  <si>
    <t xml:space="preserve">AAACTGCCCGATGCCCGCTGGCAC</t>
  </si>
  <si>
    <t xml:space="preserve">CGTTCTGCGTCGGGGCGTGC</t>
  </si>
  <si>
    <t xml:space="preserve">TAGTCGTTCTGCGTCGGGGCGTGC</t>
  </si>
  <si>
    <t xml:space="preserve">AAACGCACGCCCCGACGCAGAACG</t>
  </si>
  <si>
    <t xml:space="preserve">PST_1591</t>
  </si>
  <si>
    <t xml:space="preserve">AGGGTGCCGAGGTCTTTGTT</t>
  </si>
  <si>
    <t xml:space="preserve">TAGTAGGGTGCCGAGGTCTTTGTT</t>
  </si>
  <si>
    <t xml:space="preserve">AAACAACAAAGACCTCGGCACCCT</t>
  </si>
  <si>
    <t xml:space="preserve">TGCTGGCAGGATCGGATTCC</t>
  </si>
  <si>
    <t xml:space="preserve">TAGTTGCTGGCAGGATCGGATTCC</t>
  </si>
  <si>
    <t xml:space="preserve">AAACGGAATCCGATCCTGCCAGCA</t>
  </si>
  <si>
    <t xml:space="preserve">CCGGCCGTGCTTGGCGATAA</t>
  </si>
  <si>
    <t xml:space="preserve">TAGTCCGGCCGTGCTTGGCGATAA</t>
  </si>
  <si>
    <t xml:space="preserve">AAACTTATCGCCAAGCACGGCCGG</t>
  </si>
  <si>
    <t xml:space="preserve">TCGGCCAGACGGACATCCTC</t>
  </si>
  <si>
    <t xml:space="preserve">TAGTTCGGCCAGACGGACATCCTC</t>
  </si>
  <si>
    <t xml:space="preserve">AAACGAGGATGTCCGTCTGGCCGA</t>
  </si>
  <si>
    <t xml:space="preserve">PST_1592</t>
  </si>
  <si>
    <t xml:space="preserve">TGTCCGGCTCGGCGTGCGCC</t>
  </si>
  <si>
    <t xml:space="preserve">TAGTTGTCCGGCTCGGCGTGCGCC</t>
  </si>
  <si>
    <t xml:space="preserve">AAACGGCGCACGCCGAGCCGGACA</t>
  </si>
  <si>
    <t xml:space="preserve">TTCCGGCGGGGTAGTGGGTG</t>
  </si>
  <si>
    <t xml:space="preserve">TAGTTTCCGGCGGGGTAGTGGGTG</t>
  </si>
  <si>
    <t xml:space="preserve">AAACCACCCACTACCCCGCCGGAA</t>
  </si>
  <si>
    <t xml:space="preserve">GGGTGCGCCGGCACCACCGG</t>
  </si>
  <si>
    <t xml:space="preserve">TAGTGGGTGCGCCGGCACCACCGG</t>
  </si>
  <si>
    <t xml:space="preserve">AAACCCGGTGGTGCCGGCGCACCC</t>
  </si>
  <si>
    <t xml:space="preserve">TGATCCACGGCAGGCGTCGT</t>
  </si>
  <si>
    <t xml:space="preserve">TAGTTGATCCACGGCAGGCGTCGT</t>
  </si>
  <si>
    <t xml:space="preserve">AAACACGACGCCTGCCGTGGATCA</t>
  </si>
  <si>
    <t xml:space="preserve">PST_1593</t>
  </si>
  <si>
    <t xml:space="preserve">GCGGTCCTAACTGCGAGCCA</t>
  </si>
  <si>
    <t xml:space="preserve">TAGTGCGGTCCTAACTGCGAGCCA</t>
  </si>
  <si>
    <t xml:space="preserve">AAACTGGCTCGCAGTTAGGACCGC</t>
  </si>
  <si>
    <t xml:space="preserve">GGCGCGACTAATGGAAGCGC</t>
  </si>
  <si>
    <t xml:space="preserve">TAGTGGCGCGACTAATGGAAGCGC</t>
  </si>
  <si>
    <t xml:space="preserve">AAACGCGCTTCCATTAGTCGCGCC</t>
  </si>
  <si>
    <t xml:space="preserve">GTAGCCGGCCACGAGCGACG</t>
  </si>
  <si>
    <t xml:space="preserve">TAGTGTAGCCGGCCACGAGCGACG</t>
  </si>
  <si>
    <t xml:space="preserve">AAACCGTCGCTCGTGGCCGGCTAC</t>
  </si>
  <si>
    <t xml:space="preserve">TGCAGCCCGACGGCTTCGGC</t>
  </si>
  <si>
    <t xml:space="preserve">TAGTTGCAGCCCGACGGCTTCGGC</t>
  </si>
  <si>
    <t xml:space="preserve">AAACGCCGAAGCCGTCGGGCTGCA</t>
  </si>
  <si>
    <t xml:space="preserve">PST_1594</t>
  </si>
  <si>
    <t xml:space="preserve">CGGCGGTGATGATGTGATCG</t>
  </si>
  <si>
    <t xml:space="preserve">TAGTCGGCGGTGATGATGTGATCG</t>
  </si>
  <si>
    <t xml:space="preserve">AAACCGATCACATCATCACCGCCG</t>
  </si>
  <si>
    <t xml:space="preserve">GCCAGGATATTCCATCACCT</t>
  </si>
  <si>
    <t xml:space="preserve">TAGTGCCAGGATATTCCATCACCT</t>
  </si>
  <si>
    <t xml:space="preserve">AAACAGGTGATGGAATATCCTGGC</t>
  </si>
  <si>
    <t xml:space="preserve">GCCGCCGGCCCAGGGAGTGG</t>
  </si>
  <si>
    <t xml:space="preserve">TAGTGCCGCCGGCCCAGGGAGTGG</t>
  </si>
  <si>
    <t xml:space="preserve">AAACCCACTCCCTGGGCCGGCGGC</t>
  </si>
  <si>
    <t xml:space="preserve">GTCCGTCGGGGGCGGTAATC</t>
  </si>
  <si>
    <t xml:space="preserve">TAGTGTCCGTCGGGGGCGGTAATC</t>
  </si>
  <si>
    <t xml:space="preserve">AAACGATTACCGCCCCCGACGGAC</t>
  </si>
  <si>
    <t xml:space="preserve">PST_1595</t>
  </si>
  <si>
    <t xml:space="preserve">TGTGGTTATCGCTATGAACC</t>
  </si>
  <si>
    <t xml:space="preserve">TAGTTGTGGTTATCGCTATGAACC</t>
  </si>
  <si>
    <t xml:space="preserve">AAACGGTTCATAGCGATAACCACA</t>
  </si>
  <si>
    <t xml:space="preserve">ACTGACCCAATCAGCCAGAC</t>
  </si>
  <si>
    <t xml:space="preserve">TAGTACTGACCCAATCAGCCAGAC</t>
  </si>
  <si>
    <t xml:space="preserve">AAACGTCTGGCTGATTGGGTCAGT</t>
  </si>
  <si>
    <t xml:space="preserve">GTCCAGCTTGCCTGCGACAC</t>
  </si>
  <si>
    <t xml:space="preserve">TAGTGTCCAGCTTGCCTGCGACAC</t>
  </si>
  <si>
    <t xml:space="preserve">AAACGTGTCGCAGGCAAGCTGGAC</t>
  </si>
  <si>
    <t xml:space="preserve">GTGTCAGCTCGTCGTCATAC</t>
  </si>
  <si>
    <t xml:space="preserve">TAGTGTGTCAGCTCGTCGTCATAC</t>
  </si>
  <si>
    <t xml:space="preserve">AAACGTATGACGACGAGCTGACAC</t>
  </si>
  <si>
    <t xml:space="preserve">PST_1596</t>
  </si>
  <si>
    <t xml:space="preserve">CGGAGAAGTCGATATCGATG</t>
  </si>
  <si>
    <t xml:space="preserve">TAGTCGGAGAAGTCGATATCGATG</t>
  </si>
  <si>
    <t xml:space="preserve">AAACCATCGATATCGACTTCTCCG</t>
  </si>
  <si>
    <t xml:space="preserve">GGCCTGGCTGTCCAGCTTGC</t>
  </si>
  <si>
    <t xml:space="preserve">TAGTGGCCTGGCTGTCCAGCTTGC</t>
  </si>
  <si>
    <t xml:space="preserve">AAACGCAAGCTGGACAGCCAGGCC</t>
  </si>
  <si>
    <t xml:space="preserve">GAACAGCAGGTCGTCCAGCG</t>
  </si>
  <si>
    <t xml:space="preserve">TAGTGAACAGCAGGTCGTCCAGCG</t>
  </si>
  <si>
    <t xml:space="preserve">AAACCGCTGGACGACCTGCTGTTC</t>
  </si>
  <si>
    <t xml:space="preserve">GCGGCCGTGGCTGATGCCTT</t>
  </si>
  <si>
    <t xml:space="preserve">TAGTGCGGCCGTGGCTGATGCCTT</t>
  </si>
  <si>
    <t xml:space="preserve">AAACAAGGCATCAGCCACGGCCGC</t>
  </si>
  <si>
    <t xml:space="preserve">PST_1597</t>
  </si>
  <si>
    <t xml:space="preserve">AATTCCAACTGCAGAAAAGC</t>
  </si>
  <si>
    <t xml:space="preserve">TAGTAATTCCAACTGCAGAAAAGC</t>
  </si>
  <si>
    <t xml:space="preserve">AAACGCTTTTCTGCAGTTGGAATT</t>
  </si>
  <si>
    <t xml:space="preserve">CGCCAAAGTGCTGGTCATGA</t>
  </si>
  <si>
    <t xml:space="preserve">TAGTCGCCAAAGTGCTGGTCATGA</t>
  </si>
  <si>
    <t xml:space="preserve">AAACTCATGACCAGCACTTTGGCG</t>
  </si>
  <si>
    <t xml:space="preserve">CCAGCCCGCGCAGTACGGAC</t>
  </si>
  <si>
    <t xml:space="preserve">TAGTCCAGCCCGCGCAGTACGGAC</t>
  </si>
  <si>
    <t xml:space="preserve">AAACGTCCGTACTGCGCGGGCTGG</t>
  </si>
  <si>
    <t xml:space="preserve">ATTGCAGGTTGATGGTACGT</t>
  </si>
  <si>
    <t xml:space="preserve">TAGTATTGCAGGTTGATGGTACGT</t>
  </si>
  <si>
    <t xml:space="preserve">AAACACGTACCATCAACCTGCAAT</t>
  </si>
  <si>
    <t xml:space="preserve">PST_1598</t>
  </si>
  <si>
    <t xml:space="preserve">GCGGGCAGTGGCTCGGGCCA</t>
  </si>
  <si>
    <t xml:space="preserve">TAGTGCGGGCAGTGGCTCGGGCCA</t>
  </si>
  <si>
    <t xml:space="preserve">AAACTGGCCCGAGCCACTGCCCGC</t>
  </si>
  <si>
    <t xml:space="preserve">CTTCAGTGGAAACCAGGATG</t>
  </si>
  <si>
    <t xml:space="preserve">TAGTCTTCAGTGGAAACCAGGATG</t>
  </si>
  <si>
    <t xml:space="preserve">AAACCATCCTGGTTTCCACTGAAG</t>
  </si>
  <si>
    <t xml:space="preserve">GAAGTCGGCGCCGCCTTCGA</t>
  </si>
  <si>
    <t xml:space="preserve">TAGTGAAGTCGGCGCCGCCTTCGA</t>
  </si>
  <si>
    <t xml:space="preserve">AAACTCGAAGGCGGCGCCGACTTC</t>
  </si>
  <si>
    <t xml:space="preserve">GGAGTTTTCCTTGGCGACCT</t>
  </si>
  <si>
    <t xml:space="preserve">TAGTGGAGTTTTCCTTGGCGACCT</t>
  </si>
  <si>
    <t xml:space="preserve">AAACAGGTCGCCAAGGAAAACTCC</t>
  </si>
  <si>
    <t xml:space="preserve">PST_1599</t>
  </si>
  <si>
    <t xml:space="preserve">ACTGATCAGCAGTAGCGGGC</t>
  </si>
  <si>
    <t xml:space="preserve">TAGTACTGATCAGCAGTAGCGGGC</t>
  </si>
  <si>
    <t xml:space="preserve">AAACGCCCGCTACTGCTGATCAGT</t>
  </si>
  <si>
    <t xml:space="preserve">CTGGCGTGGATGCCAGCTGC</t>
  </si>
  <si>
    <t xml:space="preserve">TAGTCTGGCGTGGATGCCAGCTGC</t>
  </si>
  <si>
    <t xml:space="preserve">AAACGCAGCTGGCATCCACGCCAG</t>
  </si>
  <si>
    <t xml:space="preserve">GGCGGATTCGGCTGCGCTCA</t>
  </si>
  <si>
    <t xml:space="preserve">TAGTGGCGGATTCGGCTGCGCTCA</t>
  </si>
  <si>
    <t xml:space="preserve">AAACTGAGCGCAGCCGAATCCGCC</t>
  </si>
  <si>
    <t xml:space="preserve">ATCGATGAGCAGCCCTTCGG</t>
  </si>
  <si>
    <t xml:space="preserve">TAGTATCGATGAGCAGCCCTTCGG</t>
  </si>
  <si>
    <t xml:space="preserve">AAACCCGAAGGGCTGCTCATCGAT</t>
  </si>
  <si>
    <t xml:space="preserve">PST_1600</t>
  </si>
  <si>
    <t xml:space="preserve">GGAGTGGTCGGCTAGGGCGC</t>
  </si>
  <si>
    <t xml:space="preserve">TAGTGGAGTGGTCGGCTAGGGCGC</t>
  </si>
  <si>
    <t xml:space="preserve">AAACGCGCCCTAGCCGACCACTCC</t>
  </si>
  <si>
    <t xml:space="preserve">CCATTGGCGCGTAGCGGGTG</t>
  </si>
  <si>
    <t xml:space="preserve">TAGTCCATTGGCGCGTAGCGGGTG</t>
  </si>
  <si>
    <t xml:space="preserve">AAACCACCCGCTACGCGCCAATGG</t>
  </si>
  <si>
    <t xml:space="preserve">GCCATCTCCGATAGCACCGA</t>
  </si>
  <si>
    <t xml:space="preserve">TAGTGCCATCTCCGATAGCACCGA</t>
  </si>
  <si>
    <t xml:space="preserve">AAACTCGGTGCTATCGGAGATGGC</t>
  </si>
  <si>
    <t xml:space="preserve">CAGGCCGACAAAGGGGTTGG</t>
  </si>
  <si>
    <t xml:space="preserve">TAGTCAGGCCGACAAAGGGGTTGG</t>
  </si>
  <si>
    <t xml:space="preserve">AAACCCAACCCCTTTGTCGGCCTG</t>
  </si>
  <si>
    <t xml:space="preserve">PST_1601</t>
  </si>
  <si>
    <t xml:space="preserve">glpD-2</t>
  </si>
  <si>
    <t xml:space="preserve">GGCTGGGCAATATGGGGCAC</t>
  </si>
  <si>
    <t xml:space="preserve">TAGTGGCTGGGCAATATGGGGCAC</t>
  </si>
  <si>
    <t xml:space="preserve">AAACGTGCCCCATATTGCCCAGCC</t>
  </si>
  <si>
    <t xml:space="preserve">ATGTCATAAAGCTCGGAGAC</t>
  </si>
  <si>
    <t xml:space="preserve">TAGTATGTCATAAAGCTCGGAGAC</t>
  </si>
  <si>
    <t xml:space="preserve">AAACGTCTCCGAGCTTTATGACAT</t>
  </si>
  <si>
    <t xml:space="preserve">ATTGATACCGCCGCCGATCA</t>
  </si>
  <si>
    <t xml:space="preserve">TAGTATTGATACCGCCGCCGATCA</t>
  </si>
  <si>
    <t xml:space="preserve">AAACTGATCGGCGGCGGTATCAAT</t>
  </si>
  <si>
    <t xml:space="preserve">CAGCCCACGGCCGGCGGCAT</t>
  </si>
  <si>
    <t xml:space="preserve">TAGTCAGCCCACGGCCGGCGGCAT</t>
  </si>
  <si>
    <t xml:space="preserve">AAACATGCCGCCGGCCGTGGGCTG</t>
  </si>
  <si>
    <t xml:space="preserve">PST_1602</t>
  </si>
  <si>
    <t xml:space="preserve">glpR</t>
  </si>
  <si>
    <t xml:space="preserve">TGTCGGGGCGCCAGGCTCAT</t>
  </si>
  <si>
    <t xml:space="preserve">TAGTTGTCGGGGCGCCAGGCTCAT</t>
  </si>
  <si>
    <t xml:space="preserve">AAACATGAGCCTGGCGCCCCGACA</t>
  </si>
  <si>
    <t xml:space="preserve">CGGGGTGACGGCGAAGTGCC</t>
  </si>
  <si>
    <t xml:space="preserve">TAGTCGGGGTGACGGCGAAGTGCC</t>
  </si>
  <si>
    <t xml:space="preserve">AAACGGCACTTCGCCGTCACCCCG</t>
  </si>
  <si>
    <t xml:space="preserve">ATGTCGCGGCGGATGGTCTG</t>
  </si>
  <si>
    <t xml:space="preserve">TAGTATGTCGCGGCGGATGGTCTG</t>
  </si>
  <si>
    <t xml:space="preserve">AAACCAGACCATCCGCCGCGACAT</t>
  </si>
  <si>
    <t xml:space="preserve">GTGGTAGCGCCGCAGCAGGC</t>
  </si>
  <si>
    <t xml:space="preserve">TAGTGTGGTAGCGCCGCAGCAGGC</t>
  </si>
  <si>
    <t xml:space="preserve">AAACGCCTGCTGCGGCGCTACCAC</t>
  </si>
  <si>
    <t xml:space="preserve">PST_1603</t>
  </si>
  <si>
    <t xml:space="preserve">glpK</t>
  </si>
  <si>
    <t xml:space="preserve">TTGCTTGTTCTGGTTGCTCA</t>
  </si>
  <si>
    <t xml:space="preserve">TAGTTTGCTTGTTCTGGTTGCTCA</t>
  </si>
  <si>
    <t xml:space="preserve">AAACTGAGCAACCAGAACAAGCAA</t>
  </si>
  <si>
    <t xml:space="preserve">ACTGGTGGTGCCCTGGTCGA</t>
  </si>
  <si>
    <t xml:space="preserve">TAGTACTGGTGGTGCCCTGGTCGA</t>
  </si>
  <si>
    <t xml:space="preserve">AAACTCGACCAGGGCACCACCAGT</t>
  </si>
  <si>
    <t xml:space="preserve">GCGGTCCAGCACGATGGCGC</t>
  </si>
  <si>
    <t xml:space="preserve">TAGTGCGGTCCAGCACGATGGCGC</t>
  </si>
  <si>
    <t xml:space="preserve">AAACGCGCCATCGTGCTGGACCGC</t>
  </si>
  <si>
    <t xml:space="preserve">CGCGAACTCGCGCTGGGCGA</t>
  </si>
  <si>
    <t xml:space="preserve">TAGTCGCGAACTCGCGCTGGGCGA</t>
  </si>
  <si>
    <t xml:space="preserve">AAACTCGCCCAGCGCGAGTTCGCG</t>
  </si>
  <si>
    <t xml:space="preserve">PST_1604</t>
  </si>
  <si>
    <t xml:space="preserve">glpF</t>
  </si>
  <si>
    <t xml:space="preserve">CCCTTGAGCGTCGGGACGAT</t>
  </si>
  <si>
    <t xml:space="preserve">TAGTCCCTTGAGCGTCGGGACGAT</t>
  </si>
  <si>
    <t xml:space="preserve">AAACATCGTCCCGACGCTCAAGGG</t>
  </si>
  <si>
    <t xml:space="preserve">AAGGGCAGTGCCGAGAAATT</t>
  </si>
  <si>
    <t xml:space="preserve">TAGTAAGGGCAGTGCCGAGAAATT</t>
  </si>
  <si>
    <t xml:space="preserve">AAACAATTTCTCGGCACTGCCCTT</t>
  </si>
  <si>
    <t xml:space="preserve">CTTTAGCGCTGCGACGCAGC</t>
  </si>
  <si>
    <t xml:space="preserve">TAGTCTTTAGCGCTGCGACGCAGC</t>
  </si>
  <si>
    <t xml:space="preserve">AAACGCTGCGTCGCAGCGCTAAAG</t>
  </si>
  <si>
    <t xml:space="preserve">GATTTCCCACAGCCCCAGGT</t>
  </si>
  <si>
    <t xml:space="preserve">TAGTGATTTCCCACAGCCCCAGGT</t>
  </si>
  <si>
    <t xml:space="preserve">AAACACCTGGGGCTGTGGGAAATC</t>
  </si>
  <si>
    <t xml:space="preserve">PST_1605</t>
  </si>
  <si>
    <t xml:space="preserve">AGGCGACGGGCATAGTTGAT</t>
  </si>
  <si>
    <t xml:space="preserve">TAGTAGGCGACGGGCATAGTTGAT</t>
  </si>
  <si>
    <t xml:space="preserve">AAACATCAACTATGCCCGTCGCCT</t>
  </si>
  <si>
    <t xml:space="preserve">TGGAGCGTCGGCGATCGGTC</t>
  </si>
  <si>
    <t xml:space="preserve">TAGTTGGAGCGTCGGCGATCGGTC</t>
  </si>
  <si>
    <t xml:space="preserve">AAACGACCGATCGCCGACGCTCCA</t>
  </si>
  <si>
    <t xml:space="preserve">GAGCTGGCGGTTGCTGCGGG</t>
  </si>
  <si>
    <t xml:space="preserve">TAGTGAGCTGGCGGTTGCTGCGGG</t>
  </si>
  <si>
    <t xml:space="preserve">AAACCCCGCAGCAACCGCCAGCTC</t>
  </si>
  <si>
    <t xml:space="preserve">GCCTCCGGCGTTCGCCGCGC</t>
  </si>
  <si>
    <t xml:space="preserve">TAGTGCCTCCGGCGTTCGCCGCGC</t>
  </si>
  <si>
    <t xml:space="preserve">AAACGCGCGGCGAACGCCGGAGGC</t>
  </si>
  <si>
    <t xml:space="preserve">PST_1606</t>
  </si>
  <si>
    <t xml:space="preserve">GGATTTGAACTGCTTGCCTC</t>
  </si>
  <si>
    <t xml:space="preserve">TAGTGGATTTGAACTGCTTGCCTC</t>
  </si>
  <si>
    <t xml:space="preserve">AAACGAGGCAAGCAGTTCAAATCC</t>
  </si>
  <si>
    <t xml:space="preserve">CGCCAGGCGCTCGAGCCTGA</t>
  </si>
  <si>
    <t xml:space="preserve">TAGTCGCCAGGCGCTCGAGCCTGA</t>
  </si>
  <si>
    <t xml:space="preserve">AAACTCAGGCTCGAGCGCCTGGCG</t>
  </si>
  <si>
    <t xml:space="preserve">TGCTTCTTCGCGACGAAATC</t>
  </si>
  <si>
    <t xml:space="preserve">TAGTTGCTTCTTCGCGACGAAATC</t>
  </si>
  <si>
    <t xml:space="preserve">AAACGATTTCGTCGCGAAGAAGCA</t>
  </si>
  <si>
    <t xml:space="preserve">GCGCGAACCACTTTTCCTGG</t>
  </si>
  <si>
    <t xml:space="preserve">TAGTGCGCGAACCACTTTTCCTGG</t>
  </si>
  <si>
    <t xml:space="preserve">AAACCCAGGAAAAGTGGTTCGCGC</t>
  </si>
  <si>
    <t xml:space="preserve">PST_1607</t>
  </si>
  <si>
    <t xml:space="preserve">GGTGACGGGGCGCTGATTCA</t>
  </si>
  <si>
    <t xml:space="preserve">TAGTGGTGACGGGGCGCTGATTCA</t>
  </si>
  <si>
    <t xml:space="preserve">AAACTGAATCAGCGCCCCGTCACC</t>
  </si>
  <si>
    <t xml:space="preserve">CAGAATCAGGATCTGAAAGG</t>
  </si>
  <si>
    <t xml:space="preserve">TAGTCAGAATCAGGATCTGAAAGG</t>
  </si>
  <si>
    <t xml:space="preserve">AAACCCTTTCAGATCCTGATTCTG</t>
  </si>
  <si>
    <t xml:space="preserve">CGCCGATCACATAGACAGAC</t>
  </si>
  <si>
    <t xml:space="preserve">TAGTCGCCGATCACATAGACAGAC</t>
  </si>
  <si>
    <t xml:space="preserve">AAACGTCTGTCTATGTGATCGGCG</t>
  </si>
  <si>
    <t xml:space="preserve">CGTCAGGCAGGTCGAATACC</t>
  </si>
  <si>
    <t xml:space="preserve">TAGTCGTCAGGCAGGTCGAATACC</t>
  </si>
  <si>
    <t xml:space="preserve">AAACGGTATTCGACCTGCCTGACG</t>
  </si>
  <si>
    <t xml:space="preserve">PST_1608</t>
  </si>
  <si>
    <t xml:space="preserve">TTTTCGCAGTTCACGACTCA</t>
  </si>
  <si>
    <t xml:space="preserve">TAGTTTTTCGCAGTTCACGACTCA</t>
  </si>
  <si>
    <t xml:space="preserve">AAACTGAGTCGTGAACTGCGAAAA</t>
  </si>
  <si>
    <t xml:space="preserve">ATATCCACGCGACACCGAGC</t>
  </si>
  <si>
    <t xml:space="preserve">TAGTATATCCACGCGACACCGAGC</t>
  </si>
  <si>
    <t xml:space="preserve">AAACGCTCGGTGTCGCGTGGATAT</t>
  </si>
  <si>
    <t xml:space="preserve">GGCTCCAGCCGGCACAGCCG</t>
  </si>
  <si>
    <t xml:space="preserve">TAGTGGCTCCAGCCGGCACAGCCG</t>
  </si>
  <si>
    <t xml:space="preserve">AAACCGGCTGTGCCGGCTGGAGCC</t>
  </si>
  <si>
    <t xml:space="preserve">CTCGCCAGGCGTCGCGCGGC</t>
  </si>
  <si>
    <t xml:space="preserve">TAGTCTCGCCAGGCGTCGCGCGGC</t>
  </si>
  <si>
    <t xml:space="preserve">AAACGCCGCGCGACGCCTGGCGAG</t>
  </si>
  <si>
    <t xml:space="preserve">PST_1609</t>
  </si>
  <si>
    <t xml:space="preserve">GAAAGCGGCAATTAGAATTT</t>
  </si>
  <si>
    <t xml:space="preserve">TAGTGAAAGCGGCAATTAGAATTT</t>
  </si>
  <si>
    <t xml:space="preserve">AAACAAATTCTAATTGCCGCTTTC</t>
  </si>
  <si>
    <t xml:space="preserve">CTTTCTCTGCTTCGGCATAG</t>
  </si>
  <si>
    <t xml:space="preserve">TAGTCTTTCTCTGCTTCGGCATAG</t>
  </si>
  <si>
    <t xml:space="preserve">AAACCTATGCCGAAGCAGAGAAAG</t>
  </si>
  <si>
    <t xml:space="preserve">CACCCCCTCGCTCACGAGTT</t>
  </si>
  <si>
    <t xml:space="preserve">TAGTCACCCCCTCGCTCACGAGTT</t>
  </si>
  <si>
    <t xml:space="preserve">AAACAACTCGTGAGCGAGGGGGTG</t>
  </si>
  <si>
    <t xml:space="preserve">CGATATCTGGATGTCATCAC</t>
  </si>
  <si>
    <t xml:space="preserve">TAGTCGATATCTGGATGTCATCAC</t>
  </si>
  <si>
    <t xml:space="preserve">AAACGTGATGACATCCAGATATCG</t>
  </si>
  <si>
    <t xml:space="preserve">PST_1610</t>
  </si>
  <si>
    <t xml:space="preserve">CGAGGTCATTGCCTGGTACA</t>
  </si>
  <si>
    <t xml:space="preserve">TAGTCGAGGTCATTGCCTGGTACA</t>
  </si>
  <si>
    <t xml:space="preserve">AAACTGTACCAGGCAATGACCTCG</t>
  </si>
  <si>
    <t xml:space="preserve">CTCGTCGTGACGGGTTTCAG</t>
  </si>
  <si>
    <t xml:space="preserve">TAGTCTCGTCGTGACGGGTTTCAG</t>
  </si>
  <si>
    <t xml:space="preserve">AAACCTGAAACCCGTCACGACGAG</t>
  </si>
  <si>
    <t xml:space="preserve">GCCCTTTGGGGCGCCACTCA</t>
  </si>
  <si>
    <t xml:space="preserve">TAGTGCCCTTTGGGGCGCCACTCA</t>
  </si>
  <si>
    <t xml:space="preserve">AAACTGAGTGGCGCCCCAAAGGGC</t>
  </si>
  <si>
    <t xml:space="preserve">ACGGCGAAGCTCGTAAGCCG</t>
  </si>
  <si>
    <t xml:space="preserve">TAGTACGGCGAAGCTCGTAAGCCG</t>
  </si>
  <si>
    <t xml:space="preserve">AAACCGGCTTACGAGCTTCGCCGT</t>
  </si>
  <si>
    <t xml:space="preserve">PST_1611</t>
  </si>
  <si>
    <t xml:space="preserve">TGATCGCTGAAACCAGGCCT</t>
  </si>
  <si>
    <t xml:space="preserve">TAGTTGATCGCTGAAACCAGGCCT</t>
  </si>
  <si>
    <t xml:space="preserve">AAACAGGCCTGGTTTCAGCGATCA</t>
  </si>
  <si>
    <t xml:space="preserve">CCGCGACCGCCACGGCCAGA</t>
  </si>
  <si>
    <t xml:space="preserve">TAGTCCGCGACCGCCACGGCCAGA</t>
  </si>
  <si>
    <t xml:space="preserve">AAACTCTGGCCGTGGCGGTCGCGG</t>
  </si>
  <si>
    <t xml:space="preserve">GGCGGATTGGCCGCCGAAGC</t>
  </si>
  <si>
    <t xml:space="preserve">TAGTGGCGGATTGGCCGCCGAAGC</t>
  </si>
  <si>
    <t xml:space="preserve">AAACGCTTCGGCGGCCAATCCGCC</t>
  </si>
  <si>
    <t xml:space="preserve">GTTTCGCCCTTAGAAAAAGG</t>
  </si>
  <si>
    <t xml:space="preserve">TAGTGTTTCGCCCTTAGAAAAAGG</t>
  </si>
  <si>
    <t xml:space="preserve">AAACCCTTTTTCTAAGGGCGAAAC</t>
  </si>
  <si>
    <t xml:space="preserve">PST_1612</t>
  </si>
  <si>
    <t xml:space="preserve">GGCGGCATTTAGCAATTTTC</t>
  </si>
  <si>
    <t xml:space="preserve">TAGTGGCGGCATTTAGCAATTTTC</t>
  </si>
  <si>
    <t xml:space="preserve">AAACGAAAATTGCTAAATGCCGCC</t>
  </si>
  <si>
    <t xml:space="preserve">CAGAACGGTGGACAGCAGCG</t>
  </si>
  <si>
    <t xml:space="preserve">TAGTCAGAACGGTGGACAGCAGCG</t>
  </si>
  <si>
    <t xml:space="preserve">AAACCGCTGCTGTCCACCGTTCTG</t>
  </si>
  <si>
    <t xml:space="preserve">TGCCATCGGCTGCCTGGACA</t>
  </si>
  <si>
    <t xml:space="preserve">TAGTTGCCATCGGCTGCCTGGACA</t>
  </si>
  <si>
    <t xml:space="preserve">AAACTGTCCAGGCAGCCGATGGCA</t>
  </si>
  <si>
    <t xml:space="preserve">AATCCGAATTGGGGATCTTG</t>
  </si>
  <si>
    <t xml:space="preserve">TAGTAATCCGAATTGGGGATCTTG</t>
  </si>
  <si>
    <t xml:space="preserve">AAACCAAGATCCCCAATTCGGATT</t>
  </si>
  <si>
    <t xml:space="preserve">PST_1613</t>
  </si>
  <si>
    <t xml:space="preserve">GAGTGGCAGGACAGTCGAAG</t>
  </si>
  <si>
    <t xml:space="preserve">TAGTGAGTGGCAGGACAGTCGAAG</t>
  </si>
  <si>
    <t xml:space="preserve">AAACCTTCGACTGTCCTGCCACTC</t>
  </si>
  <si>
    <t xml:space="preserve">ATGGCAGCGGGAGCGGATGG</t>
  </si>
  <si>
    <t xml:space="preserve">TAGTATGGCAGCGGGAGCGGATGG</t>
  </si>
  <si>
    <t xml:space="preserve">AAACCCATCCGCTCCCGCTGCCAT</t>
  </si>
  <si>
    <t xml:space="preserve">GGCCCGCGCGCGAAGCGAGC</t>
  </si>
  <si>
    <t xml:space="preserve">TAGTGGCCCGCGCGCGAAGCGAGC</t>
  </si>
  <si>
    <t xml:space="preserve">AAACGCTCGCTTCGCGCGCGGGCC</t>
  </si>
  <si>
    <t xml:space="preserve">CCCGAATGCCATGACACACG</t>
  </si>
  <si>
    <t xml:space="preserve">TAGTCCCGAATGCCATGACACACG</t>
  </si>
  <si>
    <t xml:space="preserve">AAACCGTGTGTCATGGCATTCGGG</t>
  </si>
  <si>
    <t xml:space="preserve">PST_1614</t>
  </si>
  <si>
    <t xml:space="preserve">GAGCCGGGAGCCTGCGTGGC</t>
  </si>
  <si>
    <t xml:space="preserve">TAGTGAGCCGGGAGCCTGCGTGGC</t>
  </si>
  <si>
    <t xml:space="preserve">AAACGCCACGCAGGCTCCCGGCTC</t>
  </si>
  <si>
    <t xml:space="preserve">TCCATGCGCAACGCCTCCGT</t>
  </si>
  <si>
    <t xml:space="preserve">TAGTTCCATGCGCAACGCCTCCGT</t>
  </si>
  <si>
    <t xml:space="preserve">AAACACGGAGGCGTTGCGCATGGA</t>
  </si>
  <si>
    <t xml:space="preserve">CACGGACCGGCTGTGTTTCG</t>
  </si>
  <si>
    <t xml:space="preserve">TAGTCACGGACCGGCTGTGTTTCG</t>
  </si>
  <si>
    <t xml:space="preserve">AAACCGAAACACAGCCGGTCCGTG</t>
  </si>
  <si>
    <t xml:space="preserve">TGGTGCTTGGGAAGGGACAT</t>
  </si>
  <si>
    <t xml:space="preserve">TAGTTGGTGCTTGGGAAGGGACAT</t>
  </si>
  <si>
    <t xml:space="preserve">AAACATGTCCCTTCCCAAGCACCA</t>
  </si>
  <si>
    <t xml:space="preserve">PST_1615</t>
  </si>
  <si>
    <t xml:space="preserve">CAGCGTCCGGACGGTCACGC</t>
  </si>
  <si>
    <t xml:space="preserve">TAGTCAGCGTCCGGACGGTCACGC</t>
  </si>
  <si>
    <t xml:space="preserve">AAACGCGTGACCGTCCGGACGCTG</t>
  </si>
  <si>
    <t xml:space="preserve">CGGACGGTTTGAGCAGATCA</t>
  </si>
  <si>
    <t xml:space="preserve">TAGTCGGACGGTTTGAGCAGATCA</t>
  </si>
  <si>
    <t xml:space="preserve">AAACTGATCTGCTCAAACCGTCCG</t>
  </si>
  <si>
    <t xml:space="preserve">ATAACCGGCATCGGAGCGTG</t>
  </si>
  <si>
    <t xml:space="preserve">TAGTATAACCGGCATCGGAGCGTG</t>
  </si>
  <si>
    <t xml:space="preserve">AAACCACGCTCCGATGCCGGTTAT</t>
  </si>
  <si>
    <t xml:space="preserve">GCAGGCGCTCGACGTCCTTG</t>
  </si>
  <si>
    <t xml:space="preserve">TAGTGCAGGCGCTCGACGTCCTTG</t>
  </si>
  <si>
    <t xml:space="preserve">AAACCAAGGACGTCGAGCGCCTGC</t>
  </si>
  <si>
    <t xml:space="preserve">PST_1616</t>
  </si>
  <si>
    <t xml:space="preserve">AATCGGCGGTTGGCTGTTCA</t>
  </si>
  <si>
    <t xml:space="preserve">TAGTAATCGGCGGTTGGCTGTTCA</t>
  </si>
  <si>
    <t xml:space="preserve">AAACTGAACAGCCAACCGCCGATT</t>
  </si>
  <si>
    <t xml:space="preserve">AGGTGCCGGGCGGGCAGGAT</t>
  </si>
  <si>
    <t xml:space="preserve">TAGTAGGTGCCGGGCGGGCAGGAT</t>
  </si>
  <si>
    <t xml:space="preserve">AAACATCCTGCCCGCCCGGCACCT</t>
  </si>
  <si>
    <t xml:space="preserve">CTCGTCCCGCCGACAGGTGC</t>
  </si>
  <si>
    <t xml:space="preserve">TAGTCTCGTCCCGCCGACAGGTGC</t>
  </si>
  <si>
    <t xml:space="preserve">AAACGCACCTGTCGGCGGGACGAG</t>
  </si>
  <si>
    <t xml:space="preserve">AGGATGCGCACGTCGGCGCC</t>
  </si>
  <si>
    <t xml:space="preserve">TAGTAGGATGCGCACGTCGGCGCC</t>
  </si>
  <si>
    <t xml:space="preserve">AAACGGCGCCGACGTGCGCATCCT</t>
  </si>
  <si>
    <t xml:space="preserve">PST_1617</t>
  </si>
  <si>
    <t xml:space="preserve">AGCGGCGCCGGCAACGCAAA</t>
  </si>
  <si>
    <t xml:space="preserve">TAGTAGCGGCGCCGGCAACGCAAA</t>
  </si>
  <si>
    <t xml:space="preserve">AAACTTTGCGTTGCCGGCGCCGCT</t>
  </si>
  <si>
    <t xml:space="preserve">CTCGACCAGCCGGGCCTCCT</t>
  </si>
  <si>
    <t xml:space="preserve">TAGTCTCGACCAGCCGGGCCTCCT</t>
  </si>
  <si>
    <t xml:space="preserve">AAACAGGAGGCCCGGCTGGTCGAG</t>
  </si>
  <si>
    <t xml:space="preserve">GCGCTGCACCTCGCCACGGT</t>
  </si>
  <si>
    <t xml:space="preserve">TAGTGCGCTGCACCTCGCCACGGT</t>
  </si>
  <si>
    <t xml:space="preserve">AAACACCGTGGCGAGGTGCAGCGC</t>
  </si>
  <si>
    <t xml:space="preserve">GAGTGGCGGCAGCTCCTCGC</t>
  </si>
  <si>
    <t xml:space="preserve">TAGTGAGTGGCGGCAGCTCCTCGC</t>
  </si>
  <si>
    <t xml:space="preserve">AAACGCGAGGAGCTGCCGCCACTC</t>
  </si>
  <si>
    <t xml:space="preserve">PST_1618</t>
  </si>
  <si>
    <t xml:space="preserve">CGCTCATTGGAAGCAGCGAG</t>
  </si>
  <si>
    <t xml:space="preserve">TAGTCGCTCATTGGAAGCAGCGAG</t>
  </si>
  <si>
    <t xml:space="preserve">AAACCTCGCTGCTTCCAATGAGCG</t>
  </si>
  <si>
    <t xml:space="preserve">AGGCTTCTCTGACAGCACAC</t>
  </si>
  <si>
    <t xml:space="preserve">TAGTAGGCTTCTCTGACAGCACAC</t>
  </si>
  <si>
    <t xml:space="preserve">AAACGTGTGCTGTCAGAGAAGCCT</t>
  </si>
  <si>
    <t xml:space="preserve">GCAACCCTGTCTTTGGCAAC</t>
  </si>
  <si>
    <t xml:space="preserve">TAGTGCAACCCTGTCTTTGGCAAC</t>
  </si>
  <si>
    <t xml:space="preserve">AAACGTTGCCAAAGACAGGGTTGC</t>
  </si>
  <si>
    <t xml:space="preserve">TGGGTGGGAATATCGGTCAA</t>
  </si>
  <si>
    <t xml:space="preserve">TAGTTGGGTGGGAATATCGGTCAA</t>
  </si>
  <si>
    <t xml:space="preserve">AAACTTGACCGATATTCCCACCCA</t>
  </si>
  <si>
    <t xml:space="preserve">PST_1619</t>
  </si>
  <si>
    <t xml:space="preserve">GCGCCCGCGCACCGCTGCGC</t>
  </si>
  <si>
    <t xml:space="preserve">TAGTGCGCCCGCGCACCGCTGCGC</t>
  </si>
  <si>
    <t xml:space="preserve">AAACGCGCAGCGGTGCGCGGGCGC</t>
  </si>
  <si>
    <t xml:space="preserve">TCTCCACCGCGAACATCGCC</t>
  </si>
  <si>
    <t xml:space="preserve">TAGTTCTCCACCGCGAACATCGCC</t>
  </si>
  <si>
    <t xml:space="preserve">AAACGGCGATGTTCGCGGTGGAGA</t>
  </si>
  <si>
    <t xml:space="preserve">GGCCAGCAGCGAGACCGAAC</t>
  </si>
  <si>
    <t xml:space="preserve">TAGTGGCCAGCAGCGAGACCGAAC</t>
  </si>
  <si>
    <t xml:space="preserve">AAACGTTCGGTCTCGCTGCTGGCC</t>
  </si>
  <si>
    <t xml:space="preserve">GCCGAAGAAGTCCAGCGAGT</t>
  </si>
  <si>
    <t xml:space="preserve">TAGTGCCGAAGAAGTCCAGCGAGT</t>
  </si>
  <si>
    <t xml:space="preserve">AAACACTCGCTGGACTTCTTCGGC</t>
  </si>
  <si>
    <t xml:space="preserve">PST_1620</t>
  </si>
  <si>
    <t xml:space="preserve">TTTGCCGATGGTGATAGACA</t>
  </si>
  <si>
    <t xml:space="preserve">TAGTTTTGCCGATGGTGATAGACA</t>
  </si>
  <si>
    <t xml:space="preserve">AAACTGTCTATCACCATCGGCAAA</t>
  </si>
  <si>
    <t xml:space="preserve">CCACGTTCACAGCCGTGGCC</t>
  </si>
  <si>
    <t xml:space="preserve">TAGTCCACGTTCACAGCCGTGGCC</t>
  </si>
  <si>
    <t xml:space="preserve">AAACGGCCACGGCTGTGAACGTGG</t>
  </si>
  <si>
    <t xml:space="preserve">GATGCGCTCGTAGTAGCGGA</t>
  </si>
  <si>
    <t xml:space="preserve">TAGTGATGCGCTCGTAGTAGCGGA</t>
  </si>
  <si>
    <t xml:space="preserve">AAACTCCGCTACTACGAGCGCATC</t>
  </si>
  <si>
    <t xml:space="preserve">TCCGCAACGGCGCCGCGAGC</t>
  </si>
  <si>
    <t xml:space="preserve">TAGTTCCGCAACGGCGCCGCGAGC</t>
  </si>
  <si>
    <t xml:space="preserve">AAACGCTCGCGGCGCCGTTGCGGA</t>
  </si>
  <si>
    <t xml:space="preserve">PST_1621</t>
  </si>
  <si>
    <t xml:space="preserve">gnl</t>
  </si>
  <si>
    <t xml:space="preserve">CCGCGAACGAATCATAGTAG</t>
  </si>
  <si>
    <t xml:space="preserve">TAGTCCGCGAACGAATCATAGTAG</t>
  </si>
  <si>
    <t xml:space="preserve">AAACCTACTATGATTCGTTCGCGG</t>
  </si>
  <si>
    <t xml:space="preserve">ACCCTTGTTCGAATCGGAGG</t>
  </si>
  <si>
    <t xml:space="preserve">TAGTACCCTTGTTCGAATCGGAGG</t>
  </si>
  <si>
    <t xml:space="preserve">AAACCCTCCGATTCGAACAAGGGT</t>
  </si>
  <si>
    <t xml:space="preserve">TTCTTGTTCGTCCATTTTGA</t>
  </si>
  <si>
    <t xml:space="preserve">TAGTTTCTTGTTCGTCCATTTTGA</t>
  </si>
  <si>
    <t xml:space="preserve">AAACTCAAAATGGACGAACAAGAA</t>
  </si>
  <si>
    <t xml:space="preserve">AGAAAGCGGCGGCGGGAACT</t>
  </si>
  <si>
    <t xml:space="preserve">TAGTAGAAAGCGGCGGCGGGAACT</t>
  </si>
  <si>
    <t xml:space="preserve">AAACAGTTCCCGCCGCCGCTTTCT</t>
  </si>
  <si>
    <t xml:space="preserve">PST_1622</t>
  </si>
  <si>
    <t xml:space="preserve">CAGGTACCGCTGGAAGGAGT</t>
  </si>
  <si>
    <t xml:space="preserve">TAGTCAGGTACCGCTGGAAGGAGT</t>
  </si>
  <si>
    <t xml:space="preserve">AAACACTCCTTCCAGCGGTACCTG</t>
  </si>
  <si>
    <t xml:space="preserve">CTGGTGAACTGGTGTACGAA</t>
  </si>
  <si>
    <t xml:space="preserve">TAGTCTGGTGAACTGGTGTACGAA</t>
  </si>
  <si>
    <t xml:space="preserve">AAACTTCGTACACCAGTTCACCAG</t>
  </si>
  <si>
    <t xml:space="preserve">GGCGACCGTTCAGGTCGAAC</t>
  </si>
  <si>
    <t xml:space="preserve">TAGTGGCGACCGTTCAGGTCGAAC</t>
  </si>
  <si>
    <t xml:space="preserve">AAACGTTCGACCTGAACGGTCGCC</t>
  </si>
  <si>
    <t xml:space="preserve">CGCCGAGAAACAGCAGGCCC</t>
  </si>
  <si>
    <t xml:space="preserve">TAGTCGCCGAGAAACAGCAGGCCC</t>
  </si>
  <si>
    <t xml:space="preserve">AAACGGGCCTGCTGTTTCTCGGCG</t>
  </si>
  <si>
    <t xml:space="preserve">PST_1623</t>
  </si>
  <si>
    <t xml:space="preserve">TCACAGCGATAGTCGTAGGT</t>
  </si>
  <si>
    <t xml:space="preserve">TAGTTCACAGCGATAGTCGTAGGT</t>
  </si>
  <si>
    <t xml:space="preserve">AAACACCTACGACTATCGCTGTGA</t>
  </si>
  <si>
    <t xml:space="preserve">CACTTCATAAACCTGGCCGT</t>
  </si>
  <si>
    <t xml:space="preserve">TAGTCACTTCATAAACCTGGCCGT</t>
  </si>
  <si>
    <t xml:space="preserve">AAACACGGCCAGGTTTATGAAGTG</t>
  </si>
  <si>
    <t xml:space="preserve">TGGGGCGCAGCGCCATGGCA</t>
  </si>
  <si>
    <t xml:space="preserve">TAGTTGGGGCGCAGCGCCATGGCA</t>
  </si>
  <si>
    <t xml:space="preserve">AAACTGCCATGGCGCTGCGCCCCA</t>
  </si>
  <si>
    <t xml:space="preserve">ACGCAGCTCGCCCCAGGTCC</t>
  </si>
  <si>
    <t xml:space="preserve">TAGTACGCAGCTCGCCCCAGGTCC</t>
  </si>
  <si>
    <t xml:space="preserve">AAACGGACCTGGGGCGAGCTGCGT</t>
  </si>
  <si>
    <t xml:space="preserve">PST_1624</t>
  </si>
  <si>
    <t xml:space="preserve">CGAGGGTCACCAGCAGGTTC</t>
  </si>
  <si>
    <t xml:space="preserve">TAGTCGAGGGTCACCAGCAGGTTC</t>
  </si>
  <si>
    <t xml:space="preserve">AAACGAACCTGCTGGTGACCCTCG</t>
  </si>
  <si>
    <t xml:space="preserve">AGCGCGGGTAACGTTGTGCT</t>
  </si>
  <si>
    <t xml:space="preserve">TAGTAGCGCGGGTAACGTTGTGCT</t>
  </si>
  <si>
    <t xml:space="preserve">AAACAGCACAACGTTACCCGCGCT</t>
  </si>
  <si>
    <t xml:space="preserve">CTGGGAGAAGTTCAGCCGCT</t>
  </si>
  <si>
    <t xml:space="preserve">TAGTCTGGGAGAAGTTCAGCCGCT</t>
  </si>
  <si>
    <t xml:space="preserve">AAACAGCGGCTGAACTTCTCCCAG</t>
  </si>
  <si>
    <t xml:space="preserve">GCCAGATGGACGCTCACCGA</t>
  </si>
  <si>
    <t xml:space="preserve">TAGTGCCAGATGGACGCTCACCGA</t>
  </si>
  <si>
    <t xml:space="preserve">AAACTCGGTGAGCGTCCATCTGGC</t>
  </si>
  <si>
    <t xml:space="preserve">PST_1625</t>
  </si>
  <si>
    <t xml:space="preserve">ATAGACGATCAGAACATTCA</t>
  </si>
  <si>
    <t xml:space="preserve">TAGTATAGACGATCAGAACATTCA</t>
  </si>
  <si>
    <t xml:space="preserve">AAACTGAATGTTCTGATCGTCTAT</t>
  </si>
  <si>
    <t xml:space="preserve">CAGGGAACGCGGTTCGGGAT</t>
  </si>
  <si>
    <t xml:space="preserve">TAGTCAGGGAACGCGGTTCGGGAT</t>
  </si>
  <si>
    <t xml:space="preserve">AAACATCCCGAACCGCGTTCCCTG</t>
  </si>
  <si>
    <t xml:space="preserve">CTGGACAGTGAAATCCTTCA</t>
  </si>
  <si>
    <t xml:space="preserve">TAGTCTGGACAGTGAAATCCTTCA</t>
  </si>
  <si>
    <t xml:space="preserve">AAACTGAAGGATTTCACTGTCCAG</t>
  </si>
  <si>
    <t xml:space="preserve">GATCGGACAGCTGCACGGCG</t>
  </si>
  <si>
    <t xml:space="preserve">TAGTGATCGGACAGCTGCACGGCG</t>
  </si>
  <si>
    <t xml:space="preserve">AAACCGCCGTGCAGCTGTCCGATC</t>
  </si>
  <si>
    <t xml:space="preserve">PST_1626</t>
  </si>
  <si>
    <t xml:space="preserve">GCACGCCAGGGCGGCAACGA</t>
  </si>
  <si>
    <t xml:space="preserve">TAGTGCACGCCAGGGCGGCAACGA</t>
  </si>
  <si>
    <t xml:space="preserve">AAACTCGTTGCCGCCCTGGCGTGC</t>
  </si>
  <si>
    <t xml:space="preserve">TCATGCATCCCGTCAGGGTC</t>
  </si>
  <si>
    <t xml:space="preserve">TAGTTCATGCATCCCGTCAGGGTC</t>
  </si>
  <si>
    <t xml:space="preserve">AAACGACCCTGACGGGATGCATGA</t>
  </si>
  <si>
    <t xml:space="preserve">GGGCAGCGACTTGTGGGAGT</t>
  </si>
  <si>
    <t xml:space="preserve">TAGTGGGCAGCGACTTGTGGGAGT</t>
  </si>
  <si>
    <t xml:space="preserve">AAACACTCCCACAAGTCGCTGCCC</t>
  </si>
  <si>
    <t xml:space="preserve">AGCGGCCATTGACTCACTTC</t>
  </si>
  <si>
    <t xml:space="preserve">TAGTAGCGGCCATTGACTCACTTC</t>
  </si>
  <si>
    <t xml:space="preserve">AAACGAAGTGAGTCAATGGCCGCT</t>
  </si>
  <si>
    <t xml:space="preserve">PST_1627</t>
  </si>
  <si>
    <t xml:space="preserve">CAGATATTTGAAGGGGGTCA</t>
  </si>
  <si>
    <t xml:space="preserve">TAGTCAGATATTTGAAGGGGGTCA</t>
  </si>
  <si>
    <t xml:space="preserve">AAACTGACCCCCTTCAAATATCTG</t>
  </si>
  <si>
    <t xml:space="preserve">CAGCGCCAGGCTCAACAGGC</t>
  </si>
  <si>
    <t xml:space="preserve">TAGTCAGCGCCAGGCTCAACAGGC</t>
  </si>
  <si>
    <t xml:space="preserve">AAACGCCTGTTGAGCCTGGCGCTG</t>
  </si>
  <si>
    <t xml:space="preserve">GGGGGTGAACGAGACGCAAC</t>
  </si>
  <si>
    <t xml:space="preserve">TAGTGGGGGTGAACGAGACGCAAC</t>
  </si>
  <si>
    <t xml:space="preserve">AAACGTTGCGTCTCGTTCACCCCC</t>
  </si>
  <si>
    <t xml:space="preserve">GGCAGCCCAATGGGGCCAGT</t>
  </si>
  <si>
    <t xml:space="preserve">TAGTGGCAGCCCAATGGGGCCAGT</t>
  </si>
  <si>
    <t xml:space="preserve">AAACACTGGCCCCATTGGGCTGCC</t>
  </si>
  <si>
    <t xml:space="preserve">PST_1628</t>
  </si>
  <si>
    <t xml:space="preserve">GAATCAGAAGGGCGAGGGTC</t>
  </si>
  <si>
    <t xml:space="preserve">TAGTGAATCAGAAGGGCGAGGGTC</t>
  </si>
  <si>
    <t xml:space="preserve">AAACGACCCTCGCCCTTCTGATTC</t>
  </si>
  <si>
    <t xml:space="preserve">AGCTCCTGAGCCTGGGCTGC</t>
  </si>
  <si>
    <t xml:space="preserve">TAGTAGCTCCTGAGCCTGGGCTGC</t>
  </si>
  <si>
    <t xml:space="preserve">AAACGCAGCCCAGGCTCAGGAGCT</t>
  </si>
  <si>
    <t xml:space="preserve">CTTGCGGAAGCTCTTGGCAT</t>
  </si>
  <si>
    <t xml:space="preserve">TAGTCTTGCGGAAGCTCTTGGCAT</t>
  </si>
  <si>
    <t xml:space="preserve">AAACATGCCAAGAGCTTCCGCAAG</t>
  </si>
  <si>
    <t xml:space="preserve">CCTTCTGCGCGGCGAAGGCC</t>
  </si>
  <si>
    <t xml:space="preserve">TAGTCCTTCTGCGCGGCGAAGGCC</t>
  </si>
  <si>
    <t xml:space="preserve">AAACGGCCTTCGCCGCGCAGAAGG</t>
  </si>
  <si>
    <t xml:space="preserve">PST_1629</t>
  </si>
  <si>
    <t xml:space="preserve">katG</t>
  </si>
  <si>
    <t xml:space="preserve">CCCGGCATTTTCTCCAGATT</t>
  </si>
  <si>
    <t xml:space="preserve">TAGTCCCGGCATTTTCTCCAGATT</t>
  </si>
  <si>
    <t xml:space="preserve">AAACAATCTGGAGAAAATGCCGGG</t>
  </si>
  <si>
    <t xml:space="preserve">CGCCGGCGCCATGACCGAGT</t>
  </si>
  <si>
    <t xml:space="preserve">TAGTCGCCGGCGCCATGACCGAGT</t>
  </si>
  <si>
    <t xml:space="preserve">AAACACTCGGTCATGGCGCCGGCG</t>
  </si>
  <si>
    <t xml:space="preserve">CGATTGCTAGGGCGTTTGCG</t>
  </si>
  <si>
    <t xml:space="preserve">TAGTCGATTGCTAGGGCGTTTGCG</t>
  </si>
  <si>
    <t xml:space="preserve">AAACCGCAAACGCCCTAGCAATCG</t>
  </si>
  <si>
    <t xml:space="preserve">GATGTCAGGCTCAGCGCTTC</t>
  </si>
  <si>
    <t xml:space="preserve">TAGTGATGTCAGGCTCAGCGCTTC</t>
  </si>
  <si>
    <t xml:space="preserve">AAACGAAGCGCTGAGCCTGACATC</t>
  </si>
  <si>
    <t xml:space="preserve">PST_1630</t>
  </si>
  <si>
    <t xml:space="preserve">TCGGTATAGATGGCGGTGCC</t>
  </si>
  <si>
    <t xml:space="preserve">TAGTTCGGTATAGATGGCGGTGCC</t>
  </si>
  <si>
    <t xml:space="preserve">AAACGGCACCGCCATCTATACCGA</t>
  </si>
  <si>
    <t xml:space="preserve">TGAGGTCGTAGTAACCCGAC</t>
  </si>
  <si>
    <t xml:space="preserve">TAGTTGAGGTCGTAGTAACCCGAC</t>
  </si>
  <si>
    <t xml:space="preserve">AAACGTCGGGTTACTACGACCTCA</t>
  </si>
  <si>
    <t xml:space="preserve">CTGGGCGCCGTAGTCGATAT</t>
  </si>
  <si>
    <t xml:space="preserve">TAGTCTGGGCGCCGTAGTCGATAT</t>
  </si>
  <si>
    <t xml:space="preserve">AAACATATCGACTACGGCGCCCAG</t>
  </si>
  <si>
    <t xml:space="preserve">CGAACAATTGCTGCAGCCGC</t>
  </si>
  <si>
    <t xml:space="preserve">TAGTCGAACAATTGCTGCAGCCGC</t>
  </si>
  <si>
    <t xml:space="preserve">AAACGCGGCTGCAGCAATTGTTCG</t>
  </si>
  <si>
    <t xml:space="preserve">PST_1631</t>
  </si>
  <si>
    <t xml:space="preserve">CAGATGGGCGAGGGTGAACA</t>
  </si>
  <si>
    <t xml:space="preserve">TAGTCAGATGGGCGAGGGTGAACA</t>
  </si>
  <si>
    <t xml:space="preserve">AAACTGTTCACCCTCGCCCATCTG</t>
  </si>
  <si>
    <t xml:space="preserve">TTTCAGCGCTTCCGGCGGCG</t>
  </si>
  <si>
    <t xml:space="preserve">TAGTTTTCAGCGCTTCCGGCGGCG</t>
  </si>
  <si>
    <t xml:space="preserve">AAACCGCCGCCGGAAGCGCTGAAA</t>
  </si>
  <si>
    <t xml:space="preserve">GTTGCTCGGCGTGAGCGAGA</t>
  </si>
  <si>
    <t xml:space="preserve">TAGTGTTGCTCGGCGTGAGCGAGA</t>
  </si>
  <si>
    <t xml:space="preserve">AAACTCTCGCTCACGCCGAGCAAC</t>
  </si>
  <si>
    <t xml:space="preserve">ACTGATACAGCGGGTACAGC</t>
  </si>
  <si>
    <t xml:space="preserve">TAGTACTGATACAGCGGGTACAGC</t>
  </si>
  <si>
    <t xml:space="preserve">AAACGCTGTACCCGCTGTATCAGT</t>
  </si>
  <si>
    <t xml:space="preserve">PST_1632</t>
  </si>
  <si>
    <t xml:space="preserve">TCGGTCAATTCCAGCTTTCG</t>
  </si>
  <si>
    <t xml:space="preserve">TAGTTCGGTCAATTCCAGCTTTCG</t>
  </si>
  <si>
    <t xml:space="preserve">AAACCGAAAGCTGGAATTGACCGA</t>
  </si>
  <si>
    <t xml:space="preserve">TCTGTTGCAGCTCGCGCCCC</t>
  </si>
  <si>
    <t xml:space="preserve">TAGTTCTGTTGCAGCTCGCGCCCC</t>
  </si>
  <si>
    <t xml:space="preserve">AAACGGGGCGCGAGCTGCAACAGA</t>
  </si>
  <si>
    <t xml:space="preserve">CGTGGCGCTGATGCTGTCGA</t>
  </si>
  <si>
    <t xml:space="preserve">TAGTCGTGGCGCTGATGCTGTCGA</t>
  </si>
  <si>
    <t xml:space="preserve">AAACTCGACAGCATCAGCGCCACG</t>
  </si>
  <si>
    <t xml:space="preserve">GGCGGCAGGGCTTTGCGCTC</t>
  </si>
  <si>
    <t xml:space="preserve">TAGTGGCGGCAGGGCTTTGCGCTC</t>
  </si>
  <si>
    <t xml:space="preserve">AAACGAGCGCAAAGCCCTGCCGCC</t>
  </si>
  <si>
    <t xml:space="preserve">PST_1633</t>
  </si>
  <si>
    <t xml:space="preserve">AGGAGATTGCTTGGGACGGC</t>
  </si>
  <si>
    <t xml:space="preserve">TAGTAGGAGATTGCTTGGGACGGC</t>
  </si>
  <si>
    <t xml:space="preserve">AAACGCCGTCCCAAGCAATCTCCT</t>
  </si>
  <si>
    <t xml:space="preserve">AGATCGATCAGGTCTTCGAA</t>
  </si>
  <si>
    <t xml:space="preserve">TAGTAGATCGATCAGGTCTTCGAA</t>
  </si>
  <si>
    <t xml:space="preserve">AAACTTCGAAGACCTGATCGATCT</t>
  </si>
  <si>
    <t xml:space="preserve">AGTGGAAGGGTGATCCACCA</t>
  </si>
  <si>
    <t xml:space="preserve">TAGTAGTGGAAGGGTGATCCACCA</t>
  </si>
  <si>
    <t xml:space="preserve">AAACTGGTGGATCACCCTTCCACT</t>
  </si>
  <si>
    <t xml:space="preserve">TGACGATGCTGTTGAGCCAC</t>
  </si>
  <si>
    <t xml:space="preserve">TAGTTGACGATGCTGTTGAGCCAC</t>
  </si>
  <si>
    <t xml:space="preserve">AAACGTGGCTCAACAGCATCGTCA</t>
  </si>
  <si>
    <t xml:space="preserve">PST_1634</t>
  </si>
  <si>
    <t xml:space="preserve">GAAGGTCAATTTCGTTGGAG</t>
  </si>
  <si>
    <t xml:space="preserve">TAGTGAAGGTCAATTTCGTTGGAG</t>
  </si>
  <si>
    <t xml:space="preserve">AAACCTCCAACGAAATTGACCTTC</t>
  </si>
  <si>
    <t xml:space="preserve">CTCTAGCAACCGTCTTCTCC</t>
  </si>
  <si>
    <t xml:space="preserve">TAGTCTCTAGCAACCGTCTTCTCC</t>
  </si>
  <si>
    <t xml:space="preserve">AAACGGAGAAGACGGTTGCTAGAG</t>
  </si>
  <si>
    <t xml:space="preserve">ATAAGAGCAAAGTTTTAACC</t>
  </si>
  <si>
    <t xml:space="preserve">TAGTATAAGAGCAAAGTTTTAACC</t>
  </si>
  <si>
    <t xml:space="preserve">AAACGGTTAAAACTTTGCTCTTAT</t>
  </si>
  <si>
    <t xml:space="preserve">TAATTTTGTGTAGCTGGTAA</t>
  </si>
  <si>
    <t xml:space="preserve">TAGTTAATTTTGTGTAGCTGGTAA</t>
  </si>
  <si>
    <t xml:space="preserve">AAACTTACCAGCTACACAAAATTA</t>
  </si>
  <si>
    <t xml:space="preserve">PST_1635</t>
  </si>
  <si>
    <t xml:space="preserve">AGGGTCAATCCCCTTCGCTT</t>
  </si>
  <si>
    <t xml:space="preserve">TAGTAGGGTCAATCCCCTTCGCTT</t>
  </si>
  <si>
    <t xml:space="preserve">AAACAAGCGAAGGGGATTGACCCT</t>
  </si>
  <si>
    <t xml:space="preserve">GCTCGTACACTTGGAGTGCT</t>
  </si>
  <si>
    <t xml:space="preserve">TAGTGCTCGTACACTTGGAGTGCT</t>
  </si>
  <si>
    <t xml:space="preserve">AAACAGCACTCCAAGTGTACGAGC</t>
  </si>
  <si>
    <t xml:space="preserve">TGCGAGACAGCAACAACGCT</t>
  </si>
  <si>
    <t xml:space="preserve">TAGTTGCGAGACAGCAACAACGCT</t>
  </si>
  <si>
    <t xml:space="preserve">AAACAGCGTTGTTGCTGTCTCGCA</t>
  </si>
  <si>
    <t xml:space="preserve">AGGGTGGTTGATATCTGTTC</t>
  </si>
  <si>
    <t xml:space="preserve">TAGTAGGGTGGTTGATATCTGTTC</t>
  </si>
  <si>
    <t xml:space="preserve">AAACGAACAGATATCAACCACCCT</t>
  </si>
  <si>
    <t xml:space="preserve">PST_1636</t>
  </si>
  <si>
    <t xml:space="preserve">nrdB</t>
  </si>
  <si>
    <t xml:space="preserve">GGCAGCGGTGGCCGGCGCGG</t>
  </si>
  <si>
    <t xml:space="preserve">TAGTGGCAGCGGTGGCCGGCGCGG</t>
  </si>
  <si>
    <t xml:space="preserve">AAACCCGCGCCGGCCACCGCTGCC</t>
  </si>
  <si>
    <t xml:space="preserve">GGCCTGGCTTGCCGGCTGCG</t>
  </si>
  <si>
    <t xml:space="preserve">TAGTGGCCTGGCTTGCCGGCTGCG</t>
  </si>
  <si>
    <t xml:space="preserve">AAACCGCAGCCGGCAAGCCAGGCC</t>
  </si>
  <si>
    <t xml:space="preserve">GGCTTCGTTGTCCAGCTTGG</t>
  </si>
  <si>
    <t xml:space="preserve">TAGTGGCTTCGTTGTCCAGCTTGG</t>
  </si>
  <si>
    <t xml:space="preserve">AAACCCAAGCTGGACAACGAAGCC</t>
  </si>
  <si>
    <t xml:space="preserve">GGCTTCTTCCACGGAACCGG</t>
  </si>
  <si>
    <t xml:space="preserve">TAGTGGCTTCTTCCACGGAACCGG</t>
  </si>
  <si>
    <t xml:space="preserve">AAACCCGGTTCCGTGGAAGAAGCC</t>
  </si>
  <si>
    <t xml:space="preserve">PST_1637</t>
  </si>
  <si>
    <t xml:space="preserve">nrdA</t>
  </si>
  <si>
    <t xml:space="preserve">CGAGTGGATTGGTTTTGCAT</t>
  </si>
  <si>
    <t xml:space="preserve">TAGTCGAGTGGATTGGTTTTGCAT</t>
  </si>
  <si>
    <t xml:space="preserve">AAACATGCAAAACCAATCCACTCG</t>
  </si>
  <si>
    <t xml:space="preserve">CCGGTGCATCGGCTGATAGC</t>
  </si>
  <si>
    <t xml:space="preserve">TAGTCCGGTGCATCGGCTGATAGC</t>
  </si>
  <si>
    <t xml:space="preserve">AAACGCTATCAGCCGATGCACCGG</t>
  </si>
  <si>
    <t xml:space="preserve">CACGCGCAGCTGGCCCGGGG</t>
  </si>
  <si>
    <t xml:space="preserve">TAGTCACGCGCAGCTGGCCCGGGG</t>
  </si>
  <si>
    <t xml:space="preserve">AAACCCCCGGGCCAGCTGCGCGTG</t>
  </si>
  <si>
    <t xml:space="preserve">GTCGTCGGTGTAGGGGACGA</t>
  </si>
  <si>
    <t xml:space="preserve">TAGTGTCGTCGGTGTAGGGGACGA</t>
  </si>
  <si>
    <t xml:space="preserve">AAACTCGTCCCCTACACCGACGAC</t>
  </si>
  <si>
    <t xml:space="preserve">PST_1638</t>
  </si>
  <si>
    <t xml:space="preserve">CAGATACTCCTGCGTCAGCT</t>
  </si>
  <si>
    <t xml:space="preserve">TAGTCAGATACTCCTGCGTCAGCT</t>
  </si>
  <si>
    <t xml:space="preserve">AAACAGCTGACGCAGGAGTATCTG</t>
  </si>
  <si>
    <t xml:space="preserve">GATGATGCGCTCGACCGCAC</t>
  </si>
  <si>
    <t xml:space="preserve">TAGTGATGATGCGCTCGACCGCAC</t>
  </si>
  <si>
    <t xml:space="preserve">AAACGTGCGGTCGAGCGCATCATC</t>
  </si>
  <si>
    <t xml:space="preserve">AGGTCGAGCACCACCAGGTC</t>
  </si>
  <si>
    <t xml:space="preserve">TAGTAGGTCGAGCACCACCAGGTC</t>
  </si>
  <si>
    <t xml:space="preserve">AAACGACCTGGTGGTGCTCGACCT</t>
  </si>
  <si>
    <t xml:space="preserve">ATCGACAGGCCGTCTTCGCC</t>
  </si>
  <si>
    <t xml:space="preserve">TAGTATCGACAGGCCGTCTTCGCC</t>
  </si>
  <si>
    <t xml:space="preserve">AAACGGCGAAGACGGCCTGTCGAT</t>
  </si>
  <si>
    <t xml:space="preserve">PST_1639</t>
  </si>
  <si>
    <t xml:space="preserve">GCGCAGGAAGATCGAATTCA</t>
  </si>
  <si>
    <t xml:space="preserve">TAGTGCGCAGGAAGATCGAATTCA</t>
  </si>
  <si>
    <t xml:space="preserve">AAACTGAATTCGATCTTCCTGCGC</t>
  </si>
  <si>
    <t xml:space="preserve">GTTGAGCAGATGCAGCCCGC</t>
  </si>
  <si>
    <t xml:space="preserve">TAGTGTTGAGCAGATGCAGCCCGC</t>
  </si>
  <si>
    <t xml:space="preserve">AAACGCGGGCTGCATCTGCTCAAC</t>
  </si>
  <si>
    <t xml:space="preserve">GGTGATCGTCGGCGCGAAAC</t>
  </si>
  <si>
    <t xml:space="preserve">TAGTGGTGATCGTCGGCGCGAAAC</t>
  </si>
  <si>
    <t xml:space="preserve">AAACGTTTCGCGCCGACGATCACC</t>
  </si>
  <si>
    <t xml:space="preserve">GGCGGAAGGTGCCGCTGGCC</t>
  </si>
  <si>
    <t xml:space="preserve">TAGTGGCGGAAGGTGCCGCTGGCC</t>
  </si>
  <si>
    <t xml:space="preserve">AAACGGCCAGCGGCACCTTCCGCC</t>
  </si>
  <si>
    <t xml:space="preserve">PST_1640</t>
  </si>
  <si>
    <t xml:space="preserve">TACGCGCAGGTGGGCGAGCA</t>
  </si>
  <si>
    <t xml:space="preserve">TAGTTACGCGCAGGTGGGCGAGCA</t>
  </si>
  <si>
    <t xml:space="preserve">AAACTGCTCGCCCACCTGCGCGTA</t>
  </si>
  <si>
    <t xml:space="preserve">ACGATCGCCAGTGCCAGCCG</t>
  </si>
  <si>
    <t xml:space="preserve">TAGTACGATCGCCAGTGCCAGCCG</t>
  </si>
  <si>
    <t xml:space="preserve">AAACCGGCTGGCACTGGCGATCGT</t>
  </si>
  <si>
    <t xml:space="preserve">GGTCATGAAGATCAGGTAGG</t>
  </si>
  <si>
    <t xml:space="preserve">TAGTGGTCATGAAGATCAGGTAGG</t>
  </si>
  <si>
    <t xml:space="preserve">AAACCCTACCTGATCTTCATGACC</t>
  </si>
  <si>
    <t xml:space="preserve">CACCCCGGAGGTTTCCGCCG</t>
  </si>
  <si>
    <t xml:space="preserve">TAGTCACCCCGGAGGTTTCCGCCG</t>
  </si>
  <si>
    <t xml:space="preserve">AAACCGGCGGAAACCTCCGGGGTG</t>
  </si>
  <si>
    <t xml:space="preserve">PST_1641</t>
  </si>
  <si>
    <t xml:space="preserve">CCAGAAAGTCTCGTTTAGCA</t>
  </si>
  <si>
    <t xml:space="preserve">TAGTCCAGAAAGTCTCGTTTAGCA</t>
  </si>
  <si>
    <t xml:space="preserve">AAACTGCTAAACGAGACTTTCTGG</t>
  </si>
  <si>
    <t xml:space="preserve">GATGGTGATGCCCAGCACGA</t>
  </si>
  <si>
    <t xml:space="preserve">TAGTGATGGTGATGCCCAGCACGA</t>
  </si>
  <si>
    <t xml:space="preserve">AAACTCGTGCTGGGCATCACCATC</t>
  </si>
  <si>
    <t xml:space="preserve">CGATGCCTAGAATGGTGCGC</t>
  </si>
  <si>
    <t xml:space="preserve">TAGTCGATGCCTAGAATGGTGCGC</t>
  </si>
  <si>
    <t xml:space="preserve">AAACGCGCACCATTCTAGGCATCG</t>
  </si>
  <si>
    <t xml:space="preserve">CGCCAGCTTGCTCAGGCGTC</t>
  </si>
  <si>
    <t xml:space="preserve">TAGTCGCCAGCTTGCTCAGGCGTC</t>
  </si>
  <si>
    <t xml:space="preserve">AAACGACGCCTGAGCAAGCTGGCG</t>
  </si>
  <si>
    <t xml:space="preserve">PST_1642</t>
  </si>
  <si>
    <t xml:space="preserve">CGAGAGCGCCGAGCAGCAGT</t>
  </si>
  <si>
    <t xml:space="preserve">TAGTCGAGAGCGCCGAGCAGCAGT</t>
  </si>
  <si>
    <t xml:space="preserve">AAACACTGCTGCTCGGCGCTCTCG</t>
  </si>
  <si>
    <t xml:space="preserve">CTGGTCAATCTCGCCGGCGT</t>
  </si>
  <si>
    <t xml:space="preserve">TAGTCTGGTCAATCTCGCCGGCGT</t>
  </si>
  <si>
    <t xml:space="preserve">AAACACGCCGGCGAGATTGACCAG</t>
  </si>
  <si>
    <t xml:space="preserve">CTGCAGGAGCTTGAGGGCGG</t>
  </si>
  <si>
    <t xml:space="preserve">TAGTCTGCAGGAGCTTGAGGGCGG</t>
  </si>
  <si>
    <t xml:space="preserve">AAACCCGCCCTCAAGCTCCTGCAG</t>
  </si>
  <si>
    <t xml:space="preserve">ACATCGATCAGCACGGTTGC</t>
  </si>
  <si>
    <t xml:space="preserve">TAGTACATCGATCAGCACGGTTGC</t>
  </si>
  <si>
    <t xml:space="preserve">AAACGCAACCGTGCTGATCGATGT</t>
  </si>
  <si>
    <t xml:space="preserve">PST_1643</t>
  </si>
  <si>
    <t xml:space="preserve">CATGAGTAGACAGAACTGGA</t>
  </si>
  <si>
    <t xml:space="preserve">TAGTCATGAGTAGACAGAACTGGA</t>
  </si>
  <si>
    <t xml:space="preserve">AAACTCCAGTTCTGTCTACTCATG</t>
  </si>
  <si>
    <t xml:space="preserve">AGGGAGCCAAGCGCATCTTC</t>
  </si>
  <si>
    <t xml:space="preserve">TAGTAGGGAGCCAAGCGCATCTTC</t>
  </si>
  <si>
    <t xml:space="preserve">AAACGAAGATGCGCTTGGCTCCCT</t>
  </si>
  <si>
    <t xml:space="preserve">ACCAGCAATCGGGCTGAAGA</t>
  </si>
  <si>
    <t xml:space="preserve">TAGTACCAGCAATCGGGCTGAAGA</t>
  </si>
  <si>
    <t xml:space="preserve">AAACTCTTCAGCCCGATTGCTGGT</t>
  </si>
  <si>
    <t xml:space="preserve">CGCTGATCATTCGGCCCTGG</t>
  </si>
  <si>
    <t xml:space="preserve">TAGTCGCTGATCATTCGGCCCTGG</t>
  </si>
  <si>
    <t xml:space="preserve">AAACCCAGGGCCGAATGATCAGCG</t>
  </si>
  <si>
    <t xml:space="preserve">PST_1644</t>
  </si>
  <si>
    <t xml:space="preserve">CTGGCGATTGTCCTCCAAAT</t>
  </si>
  <si>
    <t xml:space="preserve">TAGTCTGGCGATTGTCCTCCAAAT</t>
  </si>
  <si>
    <t xml:space="preserve">AAACATTTGGAGGACAATCGCCAG</t>
  </si>
  <si>
    <t xml:space="preserve">CGCGGATTCGGTTGATATCC</t>
  </si>
  <si>
    <t xml:space="preserve">TAGTCGCGGATTCGGTTGATATCC</t>
  </si>
  <si>
    <t xml:space="preserve">AAACGGATATCAACCGAATCCGCG</t>
  </si>
  <si>
    <t xml:space="preserve">ACCCTGCGTCTGATTCTGCG</t>
  </si>
  <si>
    <t xml:space="preserve">TAGTACCCTGCGTCTGATTCTGCG</t>
  </si>
  <si>
    <t xml:space="preserve">AAACCGCAGAATCAGACGCAGGGT</t>
  </si>
  <si>
    <t xml:space="preserve">GTACCTGGAACGTTCGGCTG</t>
  </si>
  <si>
    <t xml:space="preserve">TAGTGTACCTGGAACGTTCGGCTG</t>
  </si>
  <si>
    <t xml:space="preserve">AAACCAGCCGAACGTTCCAGGTAC</t>
  </si>
  <si>
    <t xml:space="preserve">PST_1645</t>
  </si>
  <si>
    <t xml:space="preserve">AGATCAAATGGGTCGTTCAT</t>
  </si>
  <si>
    <t xml:space="preserve">TAGTAGATCAAATGGGTCGTTCAT</t>
  </si>
  <si>
    <t xml:space="preserve">AAACATGAACGACCCATTTGATCT</t>
  </si>
  <si>
    <t xml:space="preserve">CTGTTCGTAGTGGTCGCGCT</t>
  </si>
  <si>
    <t xml:space="preserve">TAGTCTGTTCGTAGTGGTCGCGCT</t>
  </si>
  <si>
    <t xml:space="preserve">AAACAGCGCGACCACTACGAACAG</t>
  </si>
  <si>
    <t xml:space="preserve">CCAGTGCGTCCGTTTTCGCC</t>
  </si>
  <si>
    <t xml:space="preserve">TAGTCCAGTGCGTCCGTTTTCGCC</t>
  </si>
  <si>
    <t xml:space="preserve">AAACGGCGAAAACGGACGCACTGG</t>
  </si>
  <si>
    <t xml:space="preserve">GGCCCAGCCCATGCAGTTGC</t>
  </si>
  <si>
    <t xml:space="preserve">TAGTGGCCCAGCCCATGCAGTTGC</t>
  </si>
  <si>
    <t xml:space="preserve">AAACGCAACTGCATGGGCTGGGCC</t>
  </si>
  <si>
    <t xml:space="preserve">PST_1647</t>
  </si>
  <si>
    <t xml:space="preserve">GACTCGCTTGTCAGTCTCAT</t>
  </si>
  <si>
    <t xml:space="preserve">TAGTGACTCGCTTGTCAGTCTCAT</t>
  </si>
  <si>
    <t xml:space="preserve">AAACATGAGACTGACAAGCGAGTC</t>
  </si>
  <si>
    <t xml:space="preserve">GCACCACCAAGGTATCGGGA</t>
  </si>
  <si>
    <t xml:space="preserve">TAGTGCACCACCAAGGTATCGGGA</t>
  </si>
  <si>
    <t xml:space="preserve">AAACTCCCGATACCTTGGTGGTGC</t>
  </si>
  <si>
    <t xml:space="preserve">ACCGCCACCCGACGTCGGGT</t>
  </si>
  <si>
    <t xml:space="preserve">TAGTACCGCCACCCGACGTCGGGT</t>
  </si>
  <si>
    <t xml:space="preserve">AAACACCCGACGTCGGGTGGCGGT</t>
  </si>
  <si>
    <t xml:space="preserve">GAACATGCCCAGTTCCAAGT</t>
  </si>
  <si>
    <t xml:space="preserve">TAGTGAACATGCCCAGTTCCAAGT</t>
  </si>
  <si>
    <t xml:space="preserve">AAACACTTGGAACTGGGCATGTTC</t>
  </si>
  <si>
    <t xml:space="preserve">PST_1648</t>
  </si>
  <si>
    <t xml:space="preserve">GACGCCGTCTTCGAATTGGT</t>
  </si>
  <si>
    <t xml:space="preserve">TAGTGACGCCGTCTTCGAATTGGT</t>
  </si>
  <si>
    <t xml:space="preserve">AAACACCAATTCGAAGACGGCGTC</t>
  </si>
  <si>
    <t xml:space="preserve">TTGAGCGCCTCGAATACCGC</t>
  </si>
  <si>
    <t xml:space="preserve">TAGTTTGAGCGCCTCGAATACCGC</t>
  </si>
  <si>
    <t xml:space="preserve">AAACGCGGTATTCGAGGCGCTCAA</t>
  </si>
  <si>
    <t xml:space="preserve">GACGATGGCCCGGTCCTGCT</t>
  </si>
  <si>
    <t xml:space="preserve">TAGTGACGATGGCCCGGTCCTGCT</t>
  </si>
  <si>
    <t xml:space="preserve">AAACAGCAGGACCGGGCCATCGTC</t>
  </si>
  <si>
    <t xml:space="preserve">GGATGCCGGGCTGGCCGGTG</t>
  </si>
  <si>
    <t xml:space="preserve">TAGTGGATGCCGGGCTGGCCGGTG</t>
  </si>
  <si>
    <t xml:space="preserve">AAACCACCGGCCAGCCCGGCATCC</t>
  </si>
  <si>
    <t xml:space="preserve">PST_1649</t>
  </si>
  <si>
    <t xml:space="preserve">argD</t>
  </si>
  <si>
    <t xml:space="preserve">GGGGTGTGCGGGGCGGACAT</t>
  </si>
  <si>
    <t xml:space="preserve">TAGTGGGGTGTGCGGGGCGGACAT</t>
  </si>
  <si>
    <t xml:space="preserve">AAACATGTCCGCCCCGCACACCCC</t>
  </si>
  <si>
    <t xml:space="preserve">CGAAATCGGCGCGTTCTACC</t>
  </si>
  <si>
    <t xml:space="preserve">TAGTCGAAATCGGCGCGTTCTACC</t>
  </si>
  <si>
    <t xml:space="preserve">AAACGGTAGAACGCGCCGATTTCG</t>
  </si>
  <si>
    <t xml:space="preserve">CGAAAGTGGGAACAATGACC</t>
  </si>
  <si>
    <t xml:space="preserve">TAGTCGAAAGTGGGAACAATGACC</t>
  </si>
  <si>
    <t xml:space="preserve">AAACGGTCATTGTTCCCACTTTCG</t>
  </si>
  <si>
    <t xml:space="preserve">CACCGGCACGAAGGCGGCGG</t>
  </si>
  <si>
    <t xml:space="preserve">TAGTCACCGGCACGAAGGCGGCGG</t>
  </si>
  <si>
    <t xml:space="preserve">AAACCCGCCGCCTTCGTGCCGGTG</t>
  </si>
  <si>
    <t xml:space="preserve">PST_1650</t>
  </si>
  <si>
    <t xml:space="preserve">CGTCTTCCAGAACCAGTTGC</t>
  </si>
  <si>
    <t xml:space="preserve">TAGTCGTCTTCCAGAACCAGTTGC</t>
  </si>
  <si>
    <t xml:space="preserve">AAACGCAACTGGTTCTGGAAGACG</t>
  </si>
  <si>
    <t xml:space="preserve">GGTGCAGGAGGTTTCCAGTT</t>
  </si>
  <si>
    <t xml:space="preserve">TAGTGGTGCAGGAGGTTTCCAGTT</t>
  </si>
  <si>
    <t xml:space="preserve">AAACAACTGGAAACCTCCTGCACC</t>
  </si>
  <si>
    <t xml:space="preserve">CTGCCAGACGACCGCGAAGC</t>
  </si>
  <si>
    <t xml:space="preserve">TAGTCTGCCAGACGACCGCGAAGC</t>
  </si>
  <si>
    <t xml:space="preserve">AAACGCTTCGCGGTCGTCTGGCAG</t>
  </si>
  <si>
    <t xml:space="preserve">CATCCACGCCGATCATCAGC</t>
  </si>
  <si>
    <t xml:space="preserve">TAGTCATCCACGCCGATCATCAGC</t>
  </si>
  <si>
    <t xml:space="preserve">AAACGCTGATGATCGGCGTGGATG</t>
  </si>
  <si>
    <t xml:space="preserve">PST_1651</t>
  </si>
  <si>
    <t xml:space="preserve">astE</t>
  </si>
  <si>
    <t xml:space="preserve">CAGCTCCAGCAGCTTGCCGA</t>
  </si>
  <si>
    <t xml:space="preserve">TAGTCAGCTCCAGCAGCTTGCCGA</t>
  </si>
  <si>
    <t xml:space="preserve">AAACTCGGCAAGCTGCTGGAGCTG</t>
  </si>
  <si>
    <t xml:space="preserve">CGCAGGGCTCACGCCCGGCG</t>
  </si>
  <si>
    <t xml:space="preserve">TAGTCGCAGGGCTCACGCCCGGCG</t>
  </si>
  <si>
    <t xml:space="preserve">AAACCGCCGGGCGTGAGCCCTGCG</t>
  </si>
  <si>
    <t xml:space="preserve">TCACCCCATGCGGGGTGAGC</t>
  </si>
  <si>
    <t xml:space="preserve">TAGTTCACCCCATGCGGGGTGAGC</t>
  </si>
  <si>
    <t xml:space="preserve">AAACGCTCACCCCGCATGGGGTGA</t>
  </si>
  <si>
    <t xml:space="preserve">AGAAACGAGCAGCGCGCCCT</t>
  </si>
  <si>
    <t xml:space="preserve">TAGTAGAAACGAGCAGCGCGCCCT</t>
  </si>
  <si>
    <t xml:space="preserve">AAACAGGGCGCGCTGCTCGTTTCT</t>
  </si>
  <si>
    <t xml:space="preserve">PST_1652</t>
  </si>
  <si>
    <t xml:space="preserve">GCCGATGGTGGTGGACTTGC</t>
  </si>
  <si>
    <t xml:space="preserve">TAGTGCCGATGGTGGTGGACTTGC</t>
  </si>
  <si>
    <t xml:space="preserve">AAACGCAAGTCCACCACCATCGGC</t>
  </si>
  <si>
    <t xml:space="preserve">TCTTGTTCACCAGCGTCGAG</t>
  </si>
  <si>
    <t xml:space="preserve">TAGTTCTTGTTCACCAGCGTCGAG</t>
  </si>
  <si>
    <t xml:space="preserve">AAACCTCGACGCTGGTGAACAAGA</t>
  </si>
  <si>
    <t xml:space="preserve">ACGGGTCGCGATCCAGGTCG</t>
  </si>
  <si>
    <t xml:space="preserve">TAGTACGGGTCGCGATCCAGGTCG</t>
  </si>
  <si>
    <t xml:space="preserve">AAACCGACCTGGATCGCGACCCGT</t>
  </si>
  <si>
    <t xml:space="preserve">GCCCAGGCAGCGCTTGAGCC</t>
  </si>
  <si>
    <t xml:space="preserve">TAGTGCCCAGGCAGCGCTTGAGCC</t>
  </si>
  <si>
    <t xml:space="preserve">AAACGGCTCAAGCGCTGCCTGGGC</t>
  </si>
  <si>
    <t xml:space="preserve">PST_1653</t>
  </si>
  <si>
    <t xml:space="preserve">GTCTGCAGCGCGACCAGGTT</t>
  </si>
  <si>
    <t xml:space="preserve">TAGTGTCTGCAGCGCGACCAGGTT</t>
  </si>
  <si>
    <t xml:space="preserve">AAACAACCTGGTCGCGCTGCAGAC</t>
  </si>
  <si>
    <t xml:space="preserve">ACGGATCTCGCGCTGCACGA</t>
  </si>
  <si>
    <t xml:space="preserve">TAGTACGGATCTCGCGCTGCACGA</t>
  </si>
  <si>
    <t xml:space="preserve">AAACTCGTGCAGCGCGAGATCCGT</t>
  </si>
  <si>
    <t xml:space="preserve">AGCACCATGGTGATCGCCGG</t>
  </si>
  <si>
    <t xml:space="preserve">TAGTAGCACCATGGTGATCGCCGG</t>
  </si>
  <si>
    <t xml:space="preserve">AAACCCGGCGATCACCATGGTGCT</t>
  </si>
  <si>
    <t xml:space="preserve">ACCGACATCATGATCAGCCC</t>
  </si>
  <si>
    <t xml:space="preserve">TAGTACCGACATCATGATCAGCCC</t>
  </si>
  <si>
    <t xml:space="preserve">AAACGGGCTGATCATGATGTCGGT</t>
  </si>
  <si>
    <t xml:space="preserve">PST_1654</t>
  </si>
  <si>
    <t xml:space="preserve">CCGCGAAGTTTAGCGCTTCG</t>
  </si>
  <si>
    <t xml:space="preserve">TAGTCCGCGAAGTTTAGCGCTTCG</t>
  </si>
  <si>
    <t xml:space="preserve">AAACCGAAGCGCTAAACTTCGCGG</t>
  </si>
  <si>
    <t xml:space="preserve">GCATCGGAAGGGAACCTGAA</t>
  </si>
  <si>
    <t xml:space="preserve">TAGTGCATCGGAAGGGAACCTGAA</t>
  </si>
  <si>
    <t xml:space="preserve">AAACTTCAGGTTCCCTTCCGATGC</t>
  </si>
  <si>
    <t xml:space="preserve">CCCAGCGGAGAATGTTCGGC</t>
  </si>
  <si>
    <t xml:space="preserve">TAGTCCCAGCGGAGAATGTTCGGC</t>
  </si>
  <si>
    <t xml:space="preserve">AAACGCCGAACATTCTCCGCTGGG</t>
  </si>
  <si>
    <t xml:space="preserve">GTAGGTGGCGACGTAGTCGC</t>
  </si>
  <si>
    <t xml:space="preserve">TAGTGTAGGTGGCGACGTAGTCGC</t>
  </si>
  <si>
    <t xml:space="preserve">AAACGCGACTACGTCGCCACCTAC</t>
  </si>
  <si>
    <t xml:space="preserve">PST_1655</t>
  </si>
  <si>
    <t xml:space="preserve">TGCGACTGCAGATCATGTTC</t>
  </si>
  <si>
    <t xml:space="preserve">TAGTTGCGACTGCAGATCATGTTC</t>
  </si>
  <si>
    <t xml:space="preserve">AAACGAACATGATCTGCAGTCGCA</t>
  </si>
  <si>
    <t xml:space="preserve">ATCGGTCAGCGGCGTGTCCT</t>
  </si>
  <si>
    <t xml:space="preserve">TAGTATCGGTCAGCGGCGTGTCCT</t>
  </si>
  <si>
    <t xml:space="preserve">AAACAGGACACGCCGCTGACCGAT</t>
  </si>
  <si>
    <t xml:space="preserve">CAGGCGAACTTCGATGTCCT</t>
  </si>
  <si>
    <t xml:space="preserve">TAGTCAGGCGAACTTCGATGTCCT</t>
  </si>
  <si>
    <t xml:space="preserve">AAACAGGACATCGAAGTTCGCCTG</t>
  </si>
  <si>
    <t xml:space="preserve">CACCAGCGAGTCGTTGTGGT</t>
  </si>
  <si>
    <t xml:space="preserve">TAGTCACCAGCGAGTCGTTGTGGT</t>
  </si>
  <si>
    <t xml:space="preserve">AAACACCACAACGACTCGCTGGTG</t>
  </si>
  <si>
    <t xml:space="preserve">PST_1656</t>
  </si>
  <si>
    <t xml:space="preserve">vacJ</t>
  </si>
  <si>
    <t xml:space="preserve">ATCCAGGCCGTAGCGATCTT</t>
  </si>
  <si>
    <t xml:space="preserve">TAGTATCCAGGCCGTAGCGATCTT</t>
  </si>
  <si>
    <t xml:space="preserve">AAACAAGATCGCTACGGCCTGGAT</t>
  </si>
  <si>
    <t xml:space="preserve">GACGAAACTGGCCTTGAGCA</t>
  </si>
  <si>
    <t xml:space="preserve">TAGTGACGAAACTGGCCTTGAGCA</t>
  </si>
  <si>
    <t xml:space="preserve">AAACTGCTCAAGGCCAGTTTCGTC</t>
  </si>
  <si>
    <t xml:space="preserve">CGCTGGCGCTGCGCCAAGCG</t>
  </si>
  <si>
    <t xml:space="preserve">TAGTCGCTGGCGCTGCGCCAAGCG</t>
  </si>
  <si>
    <t xml:space="preserve">AAACCGCTTGGCGCAGCGCCAGCG</t>
  </si>
  <si>
    <t xml:space="preserve">GCCTTCCCACGGATCTTCTT</t>
  </si>
  <si>
    <t xml:space="preserve">TAGTGCCTTCCCACGGATCTTCTT</t>
  </si>
  <si>
    <t xml:space="preserve">AAACAAGAAGATCCGTGGGAAGGC</t>
  </si>
  <si>
    <t xml:space="preserve">PST_1657</t>
  </si>
  <si>
    <t xml:space="preserve">ATCGCGGTCTTTCTGGCTCA</t>
  </si>
  <si>
    <t xml:space="preserve">TAGTATCGCGGTCTTTCTGGCTCA</t>
  </si>
  <si>
    <t xml:space="preserve">AAACTGAGCCAGAAAGACCGCGAT</t>
  </si>
  <si>
    <t xml:space="preserve">CGGTGGTTTCGATCTGCATC</t>
  </si>
  <si>
    <t xml:space="preserve">TAGTCGGTGGTTTCGATCTGCATC</t>
  </si>
  <si>
    <t xml:space="preserve">AAACGATGCAGATCGAAACCACCG</t>
  </si>
  <si>
    <t xml:space="preserve">GTCGCCATGTTCCAGCGCGA</t>
  </si>
  <si>
    <t xml:space="preserve">TAGTGTCGCCATGTTCCAGCGCGA</t>
  </si>
  <si>
    <t xml:space="preserve">AAACTCGCGCTGGAACATGGCGAC</t>
  </si>
  <si>
    <t xml:space="preserve">TCTGCATGCCGGTGCTGGAA</t>
  </si>
  <si>
    <t xml:space="preserve">TAGTTCTGCATGCCGGTGCTGGAA</t>
  </si>
  <si>
    <t xml:space="preserve">AAACTTCCAGCACCGGCATGCAGA</t>
  </si>
  <si>
    <t xml:space="preserve">PST_1658</t>
  </si>
  <si>
    <t xml:space="preserve">CGGGGCATAGGTTCGATTCA</t>
  </si>
  <si>
    <t xml:space="preserve">TAGTCGGGGCATAGGTTCGATTCA</t>
  </si>
  <si>
    <t xml:space="preserve">AAACTGAATCGAACCTATGCCCCG</t>
  </si>
  <si>
    <t xml:space="preserve">TACATTGGCCCGGCGTGATG</t>
  </si>
  <si>
    <t xml:space="preserve">TAGTTACATTGGCCCGGCGTGATG</t>
  </si>
  <si>
    <t xml:space="preserve">AAACCATCACGCCGGGCCAATGTA</t>
  </si>
  <si>
    <t xml:space="preserve">GGCGGTGTCGCCAGGATGGT</t>
  </si>
  <si>
    <t xml:space="preserve">TAGTGGCGGTGTCGCCAGGATGGT</t>
  </si>
  <si>
    <t xml:space="preserve">AAACACCATCCTGGCGACACCGCC</t>
  </si>
  <si>
    <t xml:space="preserve">GGTTTATGCATGTTCCTACC</t>
  </si>
  <si>
    <t xml:space="preserve">TAGTGGTTTATGCATGTTCCTACC</t>
  </si>
  <si>
    <t xml:space="preserve">AAACGGTAGGAACATGCATAAACC</t>
  </si>
  <si>
    <t xml:space="preserve">PST_1659</t>
  </si>
  <si>
    <t xml:space="preserve">TGCCATCCATCTCAGCGAAC</t>
  </si>
  <si>
    <t xml:space="preserve">TAGTTGCCATCCATCTCAGCGAAC</t>
  </si>
  <si>
    <t xml:space="preserve">AAACGTTCGCTGAGATGGATGGCA</t>
  </si>
  <si>
    <t xml:space="preserve">ACCAATGAACTTCAGAACAA</t>
  </si>
  <si>
    <t xml:space="preserve">TAGTACCAATGAACTTCAGAACAA</t>
  </si>
  <si>
    <t xml:space="preserve">AAACTTGTTCTGAAGTTCATTGGT</t>
  </si>
  <si>
    <t xml:space="preserve">GCGCCGAACAGAGCGTCAAA</t>
  </si>
  <si>
    <t xml:space="preserve">TAGTGCGCCGAACAGAGCGTCAAA</t>
  </si>
  <si>
    <t xml:space="preserve">AAACTTTGACGCTCTGTTCGGCGC</t>
  </si>
  <si>
    <t xml:space="preserve">GCTGTCGATGCTTCGGCTCT</t>
  </si>
  <si>
    <t xml:space="preserve">TAGTGCTGTCGATGCTTCGGCTCT</t>
  </si>
  <si>
    <t xml:space="preserve">AAACAGAGCCGAAGCATCGACAGC</t>
  </si>
  <si>
    <t xml:space="preserve">PST_1660</t>
  </si>
  <si>
    <t xml:space="preserve">tal</t>
  </si>
  <si>
    <t xml:space="preserve">CTGCTTGAGTTGTTCCAGCT</t>
  </si>
  <si>
    <t xml:space="preserve">TAGTCTGCTTGAGTTGTTCCAGCT</t>
  </si>
  <si>
    <t xml:space="preserve">AAACAGCTGGAACAACTCAAGCAG</t>
  </si>
  <si>
    <t xml:space="preserve">GCCGGTATCGGCGACAACGG</t>
  </si>
  <si>
    <t xml:space="preserve">TAGTGCCGGTATCGGCGACAACGG</t>
  </si>
  <si>
    <t xml:space="preserve">AAACCCGTTGTCGCCGATACCGGC</t>
  </si>
  <si>
    <t xml:space="preserve">CACGGGCTTCAGGCGGGCAA</t>
  </si>
  <si>
    <t xml:space="preserve">TAGTCACGGGCTTCAGGCGGGCAA</t>
  </si>
  <si>
    <t xml:space="preserve">AAACTTGCCCGCCTGAAGCCCGTG</t>
  </si>
  <si>
    <t xml:space="preserve">GAGCAGCAGCGACGGATTAG</t>
  </si>
  <si>
    <t xml:space="preserve">TAGTGAGCAGCAGCGACGGATTAG</t>
  </si>
  <si>
    <t xml:space="preserve">AAACCTAATCCGTCGCTGCTGCTC</t>
  </si>
  <si>
    <t xml:space="preserve">PST_1661</t>
  </si>
  <si>
    <t xml:space="preserve">GTTTTGTGGCAGAGGGCGTT</t>
  </si>
  <si>
    <t xml:space="preserve">TAGTGTTTTGTGGCAGAGGGCGTT</t>
  </si>
  <si>
    <t xml:space="preserve">AAACAACGCCCTCTGCCACAAAAC</t>
  </si>
  <si>
    <t xml:space="preserve">GAGAAGCGGCGGGACAGCAC</t>
  </si>
  <si>
    <t xml:space="preserve">TAGTGAGAAGCGGCGGGACAGCAC</t>
  </si>
  <si>
    <t xml:space="preserve">AAACGTGCTGTCCCGCCGCTTCTC</t>
  </si>
  <si>
    <t xml:space="preserve">CGGTCGGTCCAGTCCATCAT</t>
  </si>
  <si>
    <t xml:space="preserve">TAGTCGGTCGGTCCAGTCCATCAT</t>
  </si>
  <si>
    <t xml:space="preserve">AAACATGATGGACTGGACCGACCG</t>
  </si>
  <si>
    <t xml:space="preserve">GCAGGAAGAACCGGCAGTGG</t>
  </si>
  <si>
    <t xml:space="preserve">TAGTGCAGGAAGAACCGGCAGTGG</t>
  </si>
  <si>
    <t xml:space="preserve">AAACCCACTGCCGGTTCTTCCTGC</t>
  </si>
  <si>
    <t xml:space="preserve">PST_1662</t>
  </si>
  <si>
    <t xml:space="preserve">GCAAAACGAGGAGGGCGGCT</t>
  </si>
  <si>
    <t xml:space="preserve">TAGTGCAAAACGAGGAGGGCGGCT</t>
  </si>
  <si>
    <t xml:space="preserve">AAACAGCCGCCCTCCTCGTTTTGC</t>
  </si>
  <si>
    <t xml:space="preserve">GCAACATGGCGATGGCGATC</t>
  </si>
  <si>
    <t xml:space="preserve">TAGTGCAACATGGCGATGGCGATC</t>
  </si>
  <si>
    <t xml:space="preserve">AAACGATCGCCATCGCCATGTTGC</t>
  </si>
  <si>
    <t xml:space="preserve">GCTGAGCAGCGGCGACCAAC</t>
  </si>
  <si>
    <t xml:space="preserve">TAGTGCTGAGCAGCGGCGACCAAC</t>
  </si>
  <si>
    <t xml:space="preserve">AAACGTTGGTCGCCGCTGCTCAGC</t>
  </si>
  <si>
    <t xml:space="preserve">CGTATAGCGCGCATAGGCGA</t>
  </si>
  <si>
    <t xml:space="preserve">TAGTCGTATAGCGCGCATAGGCGA</t>
  </si>
  <si>
    <t xml:space="preserve">AAACTCGCCTATGCGCGCTATACG</t>
  </si>
  <si>
    <t xml:space="preserve">PST_1663</t>
  </si>
  <si>
    <t xml:space="preserve">CGGATCGGCAGGCACGGTCG</t>
  </si>
  <si>
    <t xml:space="preserve">TAGTCGGATCGGCAGGCACGGTCG</t>
  </si>
  <si>
    <t xml:space="preserve">AAACCGACCGTGCCTGCCGATCCG</t>
  </si>
  <si>
    <t xml:space="preserve">CGATCGAGCACGCGGCCCAT</t>
  </si>
  <si>
    <t xml:space="preserve">TAGTCGATCGAGCACGCGGCCCAT</t>
  </si>
  <si>
    <t xml:space="preserve">AAACATGGGCCGCGTGCTCGATCG</t>
  </si>
  <si>
    <t xml:space="preserve">CAGCAGCAGGCCGCCGACGA</t>
  </si>
  <si>
    <t xml:space="preserve">TAGTCAGCAGCAGGCCGCCGACGA</t>
  </si>
  <si>
    <t xml:space="preserve">AAACTCGTCGGCGGCCTGCTGCTG</t>
  </si>
  <si>
    <t xml:space="preserve">GTAGGTCGCCATCAGCGTCA</t>
  </si>
  <si>
    <t xml:space="preserve">TAGTGTAGGTCGCCATCAGCGTCA</t>
  </si>
  <si>
    <t xml:space="preserve">AAACTGACGCTGATGGCGACCTAC</t>
  </si>
  <si>
    <t xml:space="preserve">PST_1664</t>
  </si>
  <si>
    <t xml:space="preserve">TCTCAGGCCTGCGTCGGTGA</t>
  </si>
  <si>
    <t xml:space="preserve">TAGTTCTCAGGCCTGCGTCGGTGA</t>
  </si>
  <si>
    <t xml:space="preserve">AAACTCACCGACGCAGGCCTGAGA</t>
  </si>
  <si>
    <t xml:space="preserve">TCCGCTTCGTCGGCACCGTA</t>
  </si>
  <si>
    <t xml:space="preserve">TAGTTCCGCTTCGTCGGCACCGTA</t>
  </si>
  <si>
    <t xml:space="preserve">AAACTACGGTGCCGACGAAGCGGA</t>
  </si>
  <si>
    <t xml:space="preserve">ATCTGTTCGATAATCGCCCT</t>
  </si>
  <si>
    <t xml:space="preserve">TAGTATCTGTTCGATAATCGCCCT</t>
  </si>
  <si>
    <t xml:space="preserve">AAACAGGGCGATTATCGAACAGAT</t>
  </si>
  <si>
    <t xml:space="preserve">CCGGTTGCATCGCAACCGAG</t>
  </si>
  <si>
    <t xml:space="preserve">TAGTCCGGTTGCATCGCAACCGAG</t>
  </si>
  <si>
    <t xml:space="preserve">AAACCTCGGTTGCGATGCAACCGG</t>
  </si>
  <si>
    <t xml:space="preserve">PST_1665</t>
  </si>
  <si>
    <t xml:space="preserve">CAGCAGGGCGATGGGGAAGA</t>
  </si>
  <si>
    <t xml:space="preserve">TAGTCAGCAGGGCGATGGGGAAGA</t>
  </si>
  <si>
    <t xml:space="preserve">AAACTCTTCCCCATCGCCCTGCTG</t>
  </si>
  <si>
    <t xml:space="preserve">TGTGACCGCGGACGCGGCGC</t>
  </si>
  <si>
    <t xml:space="preserve">TAGTTGTGACCGCGGACGCGGCGC</t>
  </si>
  <si>
    <t xml:space="preserve">AAACGCGCCGCGTCCGCGGTCACA</t>
  </si>
  <si>
    <t xml:space="preserve">GCAGCCAACCCGTCGTGGGC</t>
  </si>
  <si>
    <t xml:space="preserve">TAGTGCAGCCAACCCGTCGTGGGC</t>
  </si>
  <si>
    <t xml:space="preserve">AAACGCCCACGACGGGTTGGCTGC</t>
  </si>
  <si>
    <t xml:space="preserve">ATGACGAGCAGGGGCGGCTC</t>
  </si>
  <si>
    <t xml:space="preserve">TAGTATGACGAGCAGGGGCGGCTC</t>
  </si>
  <si>
    <t xml:space="preserve">AAACGAGCCGCCCCTGCTCGTCAT</t>
  </si>
  <si>
    <t xml:space="preserve">PST_1666</t>
  </si>
  <si>
    <t xml:space="preserve">benR</t>
  </si>
  <si>
    <t xml:space="preserve">ACGTAATCCGACACCGCATG</t>
  </si>
  <si>
    <t xml:space="preserve">TAGTACGTAATCCGACACCGCATG</t>
  </si>
  <si>
    <t xml:space="preserve">AAACCATGCGGTGTCGGATTACGT</t>
  </si>
  <si>
    <t xml:space="preserve">CAGTGGCTGAGGCTGGCCTG</t>
  </si>
  <si>
    <t xml:space="preserve">TAGTCAGTGGCTGAGGCTGGCCTG</t>
  </si>
  <si>
    <t xml:space="preserve">AAACCAGGCCAGCCTCAGCCACTG</t>
  </si>
  <si>
    <t xml:space="preserve">CGCCATAACTGATCTGGCAA</t>
  </si>
  <si>
    <t xml:space="preserve">TAGTCGCCATAACTGATCTGGCAA</t>
  </si>
  <si>
    <t xml:space="preserve">AAACTTGCCAGATCAGTTATGGCG</t>
  </si>
  <si>
    <t xml:space="preserve">GATGGTTTCCAGGGCTGGCG</t>
  </si>
  <si>
    <t xml:space="preserve">TAGTGATGGTTTCCAGGGCTGGCG</t>
  </si>
  <si>
    <t xml:space="preserve">AAACCGCCAGCCCTGGAAACCATC</t>
  </si>
  <si>
    <t xml:space="preserve">PST_1667</t>
  </si>
  <si>
    <t xml:space="preserve">benA</t>
  </si>
  <si>
    <t xml:space="preserve">GGATCTGGCTCTCGTGAGCG</t>
  </si>
  <si>
    <t xml:space="preserve">TAGTGGATCTGGCTCTCGTGAGCG</t>
  </si>
  <si>
    <t xml:space="preserve">AAACCGCTCACGAGAGCCAGATCC</t>
  </si>
  <si>
    <t xml:space="preserve">TGTAGTAGTCGTTCTTCTCG</t>
  </si>
  <si>
    <t xml:space="preserve">TAGTTGTAGTAGTCGTTCTTCTCG</t>
  </si>
  <si>
    <t xml:space="preserve">AAACCGAGAAGAACGACTACTACA</t>
  </si>
  <si>
    <t xml:space="preserve">CGGCTGACGCCCCATCTGGG</t>
  </si>
  <si>
    <t xml:space="preserve">TAGTCGGCTGACGCCCCATCTGGG</t>
  </si>
  <si>
    <t xml:space="preserve">AAACCCCAGATGGGGCGTCAGCCG</t>
  </si>
  <si>
    <t xml:space="preserve">TTGTTGCGCGCGATGAAGAT</t>
  </si>
  <si>
    <t xml:space="preserve">TAGTTTGTTGCGCGCGATGAAGAT</t>
  </si>
  <si>
    <t xml:space="preserve">AAACATCTTCATCGCGCGCAACAA</t>
  </si>
  <si>
    <t xml:space="preserve">PST_1668</t>
  </si>
  <si>
    <t xml:space="preserve">benB</t>
  </si>
  <si>
    <t xml:space="preserve">GAAGTCACGCGCGGTTTCGT</t>
  </si>
  <si>
    <t xml:space="preserve">TAGTGAAGTCACGCGCGGTTTCGT</t>
  </si>
  <si>
    <t xml:space="preserve">AAACACGAAACCGCGCGTGACTTC</t>
  </si>
  <si>
    <t xml:space="preserve">GGTAGCGCGCTTCGCGGTAG</t>
  </si>
  <si>
    <t xml:space="preserve">TAGTGGTAGCGCGCTTCGCGGTAG</t>
  </si>
  <si>
    <t xml:space="preserve">AAACCTACCGCGAAGCGCGCTACC</t>
  </si>
  <si>
    <t xml:space="preserve">TGTCCCAGTCCTTGTCGTCG</t>
  </si>
  <si>
    <t xml:space="preserve">TAGTTGTCCCAGTCCTTGTCGTCG</t>
  </si>
  <si>
    <t xml:space="preserve">AAACCGACGACAAGGACTGGGACA</t>
  </si>
  <si>
    <t xml:space="preserve">CATCCAGAAGGTGGCGTCGG</t>
  </si>
  <si>
    <t xml:space="preserve">TAGTCATCCAGAAGGTGGCGTCGG</t>
  </si>
  <si>
    <t xml:space="preserve">AAACCCGACGCCACCTTCTGGATG</t>
  </si>
  <si>
    <t xml:space="preserve">PST_1669</t>
  </si>
  <si>
    <t xml:space="preserve">benC</t>
  </si>
  <si>
    <t xml:space="preserve">CAATGCGATCTGGTGAGTCA</t>
  </si>
  <si>
    <t xml:space="preserve">TAGTCAATGCGATCTGGTGAGTCA</t>
  </si>
  <si>
    <t xml:space="preserve">AAACTGACTCACCAGATCGCATTG</t>
  </si>
  <si>
    <t xml:space="preserve">AAGATTGGCCTCGATGAAGC</t>
  </si>
  <si>
    <t xml:space="preserve">TAGTAAGATTGGCCTCGATGAAGC</t>
  </si>
  <si>
    <t xml:space="preserve">AAACGCTTCATCGAGGCCAATCTT</t>
  </si>
  <si>
    <t xml:space="preserve">GCGGTAGGCTGCGTCGGCGA</t>
  </si>
  <si>
    <t xml:space="preserve">TAGTGCGGTAGGCTGCGTCGGCGA</t>
  </si>
  <si>
    <t xml:space="preserve">AAACTCGCCGACGCAGCCTACCGC</t>
  </si>
  <si>
    <t xml:space="preserve">CCAGCGGGATGTTGATGCCC</t>
  </si>
  <si>
    <t xml:space="preserve">TAGTCCAGCGGGATGTTGATGCCC</t>
  </si>
  <si>
    <t xml:space="preserve">AAACGGGCATCAACATCCCGCTGG</t>
  </si>
  <si>
    <t xml:space="preserve">PST_1670</t>
  </si>
  <si>
    <t xml:space="preserve">benD</t>
  </si>
  <si>
    <t xml:space="preserve">GACACGGCGACCGATGCCCT</t>
  </si>
  <si>
    <t xml:space="preserve">TAGTGACACGGCGACCGATGCCCT</t>
  </si>
  <si>
    <t xml:space="preserve">AAACAGGGCATCGGTCGCCGTGTC</t>
  </si>
  <si>
    <t xml:space="preserve">GCCTTCCTCGACGAATCGCT</t>
  </si>
  <si>
    <t xml:space="preserve">TAGTGCCTTCCTCGACGAATCGCT</t>
  </si>
  <si>
    <t xml:space="preserve">AAACAGCGATTCGTCGAGGAAGGC</t>
  </si>
  <si>
    <t xml:space="preserve">AACGGTCCACGGCTACCAGC</t>
  </si>
  <si>
    <t xml:space="preserve">TAGTAACGGTCCACGGCTACCAGC</t>
  </si>
  <si>
    <t xml:space="preserve">AAACGCTGGTAGCCGTGGACCGTT</t>
  </si>
  <si>
    <t xml:space="preserve">GGCCAGTTCATGGACCAGTT</t>
  </si>
  <si>
    <t xml:space="preserve">TAGTGGCCAGTTCATGGACCAGTT</t>
  </si>
  <si>
    <t xml:space="preserve">AAACAACTGGTCCATGAACTGGCC</t>
  </si>
  <si>
    <t xml:space="preserve">PST_1671</t>
  </si>
  <si>
    <t xml:space="preserve">benK</t>
  </si>
  <si>
    <t xml:space="preserve">GTGAACGTCTACTTTTCGCA</t>
  </si>
  <si>
    <t xml:space="preserve">TAGTGTGAACGTCTACTTTTCGCA</t>
  </si>
  <si>
    <t xml:space="preserve">AAACTGCGAAAAGTAGACGTTCAC</t>
  </si>
  <si>
    <t xml:space="preserve">ACACCACCAGCCAGTGGAAG</t>
  </si>
  <si>
    <t xml:space="preserve">TAGTACACCACCAGCCAGTGGAAG</t>
  </si>
  <si>
    <t xml:space="preserve">AAACCTTCCACTGGCTGGTGGTGT</t>
  </si>
  <si>
    <t xml:space="preserve">AGATCAGCAGCAGTGCGCAG</t>
  </si>
  <si>
    <t xml:space="preserve">TAGTAGATCAGCAGCAGTGCGCAG</t>
  </si>
  <si>
    <t xml:space="preserve">AAACCTGCGCACTGCTGCTGATCT</t>
  </si>
  <si>
    <t xml:space="preserve">GCACCACGCCGTAGATGAAC</t>
  </si>
  <si>
    <t xml:space="preserve">TAGTGCACCACGCCGTAGATGAAC</t>
  </si>
  <si>
    <t xml:space="preserve">AAACGTTCATCTACGGCGTGGTGC</t>
  </si>
  <si>
    <t xml:space="preserve">PST_1672</t>
  </si>
  <si>
    <t xml:space="preserve">catB</t>
  </si>
  <si>
    <t xml:space="preserve">TTCGATCAGGATGGGGCTCA</t>
  </si>
  <si>
    <t xml:space="preserve">TAGTTTCGATCAGGATGGGGCTCA</t>
  </si>
  <si>
    <t xml:space="preserve">AAACTGAGCCCCATCCTGATCGAA</t>
  </si>
  <si>
    <t xml:space="preserve">TGTGCGGGCGGATGGTCGGC</t>
  </si>
  <si>
    <t xml:space="preserve">TAGTTGTGCGGGCGGATGGTCGGC</t>
  </si>
  <si>
    <t xml:space="preserve">AAACGCCGACCATCCGCCCGCACA</t>
  </si>
  <si>
    <t xml:space="preserve">CACCAGCGTCTGTTGCTGCA</t>
  </si>
  <si>
    <t xml:space="preserve">TAGTCACCAGCGTCTGTTGCTGCA</t>
  </si>
  <si>
    <t xml:space="preserve">AAACTGCAGCAACAGACGCTGGTG</t>
  </si>
  <si>
    <t xml:space="preserve">TGCCGTCGCTGCACTGCACA</t>
  </si>
  <si>
    <t xml:space="preserve">TAGTTGCCGTCGCTGCACTGCACA</t>
  </si>
  <si>
    <t xml:space="preserve">AAACTGTGCAGTGCAGCGACGGCA</t>
  </si>
  <si>
    <t xml:space="preserve">PST_1673</t>
  </si>
  <si>
    <t xml:space="preserve">catC</t>
  </si>
  <si>
    <t xml:space="preserve">GTTTCACGATCATCTTCACG</t>
  </si>
  <si>
    <t xml:space="preserve">TAGTGTTTCACGATCATCTTCACG</t>
  </si>
  <si>
    <t xml:space="preserve">AAACCGTGAAGATGATCGTGAAAC</t>
  </si>
  <si>
    <t xml:space="preserve">TGGGCCGGATCCATGTCGAC</t>
  </si>
  <si>
    <t xml:space="preserve">TAGTTGGGCCGGATCCATGTCGAC</t>
  </si>
  <si>
    <t xml:space="preserve">AAACGTCGACATGGATCCGGCCCA</t>
  </si>
  <si>
    <t xml:space="preserve">CTCGTCGGCCTTGAGCTTGG</t>
  </si>
  <si>
    <t xml:space="preserve">TAGTCTCGTCGGCCTTGAGCTTGG</t>
  </si>
  <si>
    <t xml:space="preserve">AAACCCAAGCTCAAGGCCGACGAG</t>
  </si>
  <si>
    <t xml:space="preserve">GCCACTTGCCTTCACGCATC</t>
  </si>
  <si>
    <t xml:space="preserve">TAGTGCCACTTGCCTTCACGCATC</t>
  </si>
  <si>
    <t xml:space="preserve">AAACGATGCGTGAAGGCAAGTGGC</t>
  </si>
  <si>
    <t xml:space="preserve">PST_1674</t>
  </si>
  <si>
    <t xml:space="preserve">catA</t>
  </si>
  <si>
    <t xml:space="preserve">TCGCGGTGTCGACCAGGATG</t>
  </si>
  <si>
    <t xml:space="preserve">TAGTTCGCGGTGTCGACCAGGATG</t>
  </si>
  <si>
    <t xml:space="preserve">AAACCATCCTGGTCGACACCGCGA</t>
  </si>
  <si>
    <t xml:space="preserve">ACTCGTCCTGGGTGATTTCC</t>
  </si>
  <si>
    <t xml:space="preserve">TAGTACTCGTCCTGGGTGATTTCC</t>
  </si>
  <si>
    <t xml:space="preserve">AAACGGAAATCACCCAGGACGAGT</t>
  </si>
  <si>
    <t xml:space="preserve">CTTCGTGGCGACCGCCGAGA</t>
  </si>
  <si>
    <t xml:space="preserve">TAGTCTTCGTGGCGACCGCCGAGA</t>
  </si>
  <si>
    <t xml:space="preserve">AAACTCTCGGCGGTCGCCACGAAG</t>
  </si>
  <si>
    <t xml:space="preserve">GAGTCCGGCGACCAGCAAGC</t>
  </si>
  <si>
    <t xml:space="preserve">TAGTGAGTCCGGCGACCAGCAAGC</t>
  </si>
  <si>
    <t xml:space="preserve">AAACGCTTGCTGGTCGCCGGACTC</t>
  </si>
  <si>
    <t xml:space="preserve">PST_1675</t>
  </si>
  <si>
    <t xml:space="preserve">benE</t>
  </si>
  <si>
    <t xml:space="preserve">GATAAAGCCGGCGACCACGG</t>
  </si>
  <si>
    <t xml:space="preserve">TAGTGATAAAGCCGGCGACCACGG</t>
  </si>
  <si>
    <t xml:space="preserve">AAACCCGTGGTCGCCGGCTTTATC</t>
  </si>
  <si>
    <t xml:space="preserve">CGGACCGGCGTAGGAAATCA</t>
  </si>
  <si>
    <t xml:space="preserve">TAGTCGGACCGGCGTAGGAAATCA</t>
  </si>
  <si>
    <t xml:space="preserve">AAACTGATTTCCTACGCCGGTCCG</t>
  </si>
  <si>
    <t xml:space="preserve">GCCTGGAAGATGATCACCAG</t>
  </si>
  <si>
    <t xml:space="preserve">TAGTGCCTGGAAGATGATCACCAG</t>
  </si>
  <si>
    <t xml:space="preserve">AAACCTGGTGATCATCTTCCAGGC</t>
  </si>
  <si>
    <t xml:space="preserve">ATGCGGCAAATTCGCGGCCT</t>
  </si>
  <si>
    <t xml:space="preserve">TAGTATGCGGCAAATTCGCGGCCT</t>
  </si>
  <si>
    <t xml:space="preserve">AAACAGGCCGCGAATTTGCCGCAT</t>
  </si>
  <si>
    <t xml:space="preserve">PST_1676</t>
  </si>
  <si>
    <t xml:space="preserve">benF</t>
  </si>
  <si>
    <t xml:space="preserve">AGCCAGGGTGAGTCGGGAAA</t>
  </si>
  <si>
    <t xml:space="preserve">TAGTAGCCAGGGTGAGTCGGGAAA</t>
  </si>
  <si>
    <t xml:space="preserve">AAACTTTCCCGACTCACCCTGGCT</t>
  </si>
  <si>
    <t xml:space="preserve">AGGAATCATGGACGTCATGC</t>
  </si>
  <si>
    <t xml:space="preserve">TAGTAGGAATCATGGACGTCATGC</t>
  </si>
  <si>
    <t xml:space="preserve">AAACGCATGACGTCCATGATTCCT</t>
  </si>
  <si>
    <t xml:space="preserve">GCGTCTGCGGCAAACGCAGG</t>
  </si>
  <si>
    <t xml:space="preserve">TAGTGCGTCTGCGGCAAACGCAGG</t>
  </si>
  <si>
    <t xml:space="preserve">AAACCCTGCGTTTGCCGCAGACGC</t>
  </si>
  <si>
    <t xml:space="preserve">CGTGGCGTCCGTGATGAAGC</t>
  </si>
  <si>
    <t xml:space="preserve">TAGTCGTGGCGTCCGTGATGAAGC</t>
  </si>
  <si>
    <t xml:space="preserve">AAACGCTTCATCACGGACGCCACG</t>
  </si>
  <si>
    <t xml:space="preserve">PST_1681</t>
  </si>
  <si>
    <t xml:space="preserve">GACCAGAGAGACGTTGTAAG</t>
  </si>
  <si>
    <t xml:space="preserve">TAGTGACCAGAGAGACGTTGTAAG</t>
  </si>
  <si>
    <t xml:space="preserve">AAACCTTACAACGTCTCTCTGGTC</t>
  </si>
  <si>
    <t xml:space="preserve">GTCCAGGGCGGTGTAGGAGC</t>
  </si>
  <si>
    <t xml:space="preserve">TAGTGTCCAGGGCGGTGTAGGAGC</t>
  </si>
  <si>
    <t xml:space="preserve">AAACGCTCCTACACCGCCCTGGAC</t>
  </si>
  <si>
    <t xml:space="preserve">TCTCTCGTGTGCGGCTGGAG</t>
  </si>
  <si>
    <t xml:space="preserve">TAGTTCTCTCGTGTGCGGCTGGAG</t>
  </si>
  <si>
    <t xml:space="preserve">AAACCTCCAGCCGCACACGAGAGA</t>
  </si>
  <si>
    <t xml:space="preserve">GGCCTGTCGAGGCCAGCCTT</t>
  </si>
  <si>
    <t xml:space="preserve">TAGTGGCCTGTCGAGGCCAGCCTT</t>
  </si>
  <si>
    <t xml:space="preserve">AAACAAGGCTGGCCTCGACAGGCC</t>
  </si>
  <si>
    <t xml:space="preserve">PST_1682</t>
  </si>
  <si>
    <t xml:space="preserve">lpd3</t>
  </si>
  <si>
    <t xml:space="preserve">GGCCACGATGATCCATCGGC</t>
  </si>
  <si>
    <t xml:space="preserve">TAGTGGCCACGATGATCCATCGGC</t>
  </si>
  <si>
    <t xml:space="preserve">AAACGCCGATGGATCATCGTGGCC</t>
  </si>
  <si>
    <t xml:space="preserve">GACCACTGCGACAATCAGCA</t>
  </si>
  <si>
    <t xml:space="preserve">TAGTGACCACTGCGACAATCAGCA</t>
  </si>
  <si>
    <t xml:space="preserve">AAACTGCTGATTGTCGCAGTGGTC</t>
  </si>
  <si>
    <t xml:space="preserve">CGAGGGTGAGGTACTCGCCG</t>
  </si>
  <si>
    <t xml:space="preserve">TAGTCGAGGGTGAGGTACTCGCCG</t>
  </si>
  <si>
    <t xml:space="preserve">AAACCGGCGAGTACCTCACCCTCG</t>
  </si>
  <si>
    <t xml:space="preserve">GGCCTTCAGGGCGCCGCTGT</t>
  </si>
  <si>
    <t xml:space="preserve">TAGTGGCCTTCAGGGCGCCGCTGT</t>
  </si>
  <si>
    <t xml:space="preserve">AAACACAGCGGCGCCCTGAAGGCC</t>
  </si>
  <si>
    <t xml:space="preserve">PST_1683</t>
  </si>
  <si>
    <t xml:space="preserve">fumC-2</t>
  </si>
  <si>
    <t xml:space="preserve">TTCGACCTGCCCCAGGCTGT</t>
  </si>
  <si>
    <t xml:space="preserve">TAGTTTCGACCTGCCCCAGGCTGT</t>
  </si>
  <si>
    <t xml:space="preserve">AAACACAGCCTGGGGCAGGTCGAA</t>
  </si>
  <si>
    <t xml:space="preserve">GCACCCCAGTAAGCCTGCTC</t>
  </si>
  <si>
    <t xml:space="preserve">TAGTGCACCCCAGTAAGCCTGCTC</t>
  </si>
  <si>
    <t xml:space="preserve">AAACGAGCAGGCTTACTGGGGTGC</t>
  </si>
  <si>
    <t xml:space="preserve">GCTCAGCGAACGTTGCGTCT</t>
  </si>
  <si>
    <t xml:space="preserve">TAGTGCTCAGCGAACGTTGCGTCT</t>
  </si>
  <si>
    <t xml:space="preserve">AAACAGACGCAACGTTCGCTGAGC</t>
  </si>
  <si>
    <t xml:space="preserve">AGCGCATGCAGCACCTCGAT</t>
  </si>
  <si>
    <t xml:space="preserve">TAGTAGCGCATGCAGCACCTCGAT</t>
  </si>
  <si>
    <t xml:space="preserve">AAACATCGAGGTGCTGCATGCGCT</t>
  </si>
  <si>
    <t xml:space="preserve">PST_1684</t>
  </si>
  <si>
    <t xml:space="preserve">AGGCGATAGGTAGCCCTCAA</t>
  </si>
  <si>
    <t xml:space="preserve">TAGTAGGCGATAGGTAGCCCTCAA</t>
  </si>
  <si>
    <t xml:space="preserve">AAACTTGAGGGCTACCTATCGCCT</t>
  </si>
  <si>
    <t xml:space="preserve">GCATTGGAAGTCCCTTGGGA</t>
  </si>
  <si>
    <t xml:space="preserve">TAGTGCATTGGAAGTCCCTTGGGA</t>
  </si>
  <si>
    <t xml:space="preserve">AAACTCCCAAGGGACTTCCAATGC</t>
  </si>
  <si>
    <t xml:space="preserve">AACGCCTGGGTACGTAAGGT</t>
  </si>
  <si>
    <t xml:space="preserve">TAGTAACGCCTGGGTACGTAAGGT</t>
  </si>
  <si>
    <t xml:space="preserve">AAACACCTTACGTACCCAGGCGTT</t>
  </si>
  <si>
    <t xml:space="preserve">GCTGGCGTGGCTGGCGGTGT</t>
  </si>
  <si>
    <t xml:space="preserve">TAGTGCTGGCGTGGCTGGCGGTGT</t>
  </si>
  <si>
    <t xml:space="preserve">AAACACACCGCCAGCCACGCCAGC</t>
  </si>
  <si>
    <t xml:space="preserve">PST_1685</t>
  </si>
  <si>
    <t xml:space="preserve">CAACGATTTTTCGTGTCATG</t>
  </si>
  <si>
    <t xml:space="preserve">TAGTCAACGATTTTTCGTGTCATG</t>
  </si>
  <si>
    <t xml:space="preserve">AAACCATGACACGAAAAATCGTTG</t>
  </si>
  <si>
    <t xml:space="preserve">TCACGCAAGGCGACGTAGTC</t>
  </si>
  <si>
    <t xml:space="preserve">TAGTTCACGCAAGGCGACGTAGTC</t>
  </si>
  <si>
    <t xml:space="preserve">AAACGACTACGTCGCCTTGCGTGA</t>
  </si>
  <si>
    <t xml:space="preserve">CGGTAAGCGTCGCGAAGAGA</t>
  </si>
  <si>
    <t xml:space="preserve">TAGTCGGTAAGCGTCGCGAAGAGA</t>
  </si>
  <si>
    <t xml:space="preserve">AAACTCTCTTCGCGACGCTTACCG</t>
  </si>
  <si>
    <t xml:space="preserve">GGTGCCCTTGATGCCGTTTT</t>
  </si>
  <si>
    <t xml:space="preserve">TAGTGGTGCCCTTGATGCCGTTTT</t>
  </si>
  <si>
    <t xml:space="preserve">AAACAAAACGGCATCAAGGGCACC</t>
  </si>
  <si>
    <t xml:space="preserve">PST_1686</t>
  </si>
  <si>
    <t xml:space="preserve">CCCCAGCACCACGAGCACAT</t>
  </si>
  <si>
    <t xml:space="preserve">TAGTCCCCAGCACCACGAGCACAT</t>
  </si>
  <si>
    <t xml:space="preserve">AAACATGTGCTCGTGGTGCTGGGG</t>
  </si>
  <si>
    <t xml:space="preserve">TCGGCAAGCCCCTGCAGCAC</t>
  </si>
  <si>
    <t xml:space="preserve">TAGTTCGGCAAGCCCCTGCAGCAC</t>
  </si>
  <si>
    <t xml:space="preserve">AAACGTGCTGCAGGGGCTTGCCGA</t>
  </si>
  <si>
    <t xml:space="preserve">GAGCGGCACACCGTGCTCCG</t>
  </si>
  <si>
    <t xml:space="preserve">TAGTGAGCGGCACACCGTGCTCCG</t>
  </si>
  <si>
    <t xml:space="preserve">AAACCGGAGCACGGTGTGCCGCTC</t>
  </si>
  <si>
    <t xml:space="preserve">TCGCGACCTGTTCTCGGCGC</t>
  </si>
  <si>
    <t xml:space="preserve">TAGTTCGCGACCTGTTCTCGGCGC</t>
  </si>
  <si>
    <t xml:space="preserve">AAACGCGCCGAGAACAGGTCGCGA</t>
  </si>
  <si>
    <t xml:space="preserve">PST_1687</t>
  </si>
  <si>
    <t xml:space="preserve">GAATCTCCGCCCAACTGAGC</t>
  </si>
  <si>
    <t xml:space="preserve">TAGTGAATCTCCGCCCAACTGAGC</t>
  </si>
  <si>
    <t xml:space="preserve">AAACGCTCAGTTGGGCGGAGATTC</t>
  </si>
  <si>
    <t xml:space="preserve">TGCGGTGGCGCAACGCAAGG</t>
  </si>
  <si>
    <t xml:space="preserve">TAGTTGCGGTGGCGCAACGCAAGG</t>
  </si>
  <si>
    <t xml:space="preserve">AAACCCTTGCGTTGCGCCACCGCA</t>
  </si>
  <si>
    <t xml:space="preserve">GGCCAGAACCGCGACCAGGT</t>
  </si>
  <si>
    <t xml:space="preserve">TAGTGGCCAGAACCGCGACCAGGT</t>
  </si>
  <si>
    <t xml:space="preserve">AAACACCTGGTCGCGGTTCTGGCC</t>
  </si>
  <si>
    <t xml:space="preserve">GATCGGCACGCTGCAGAGCG</t>
  </si>
  <si>
    <t xml:space="preserve">TAGTGATCGGCACGCTGCAGAGCG</t>
  </si>
  <si>
    <t xml:space="preserve">AAACCGCTCTGCAGCGTGCCGATC</t>
  </si>
  <si>
    <t xml:space="preserve">PST_1688</t>
  </si>
  <si>
    <t xml:space="preserve">TTGGTGAATAGGTTCTGCAC</t>
  </si>
  <si>
    <t xml:space="preserve">TAGTTTGGTGAATAGGTTCTGCAC</t>
  </si>
  <si>
    <t xml:space="preserve">AAACGTGCAGAACCTATTCACCAA</t>
  </si>
  <si>
    <t xml:space="preserve">GAAGCCGCAGATAAGCTTTT</t>
  </si>
  <si>
    <t xml:space="preserve">TAGTGAAGCCGCAGATAAGCTTTT</t>
  </si>
  <si>
    <t xml:space="preserve">AAACAAAAGCTTATCTGCGGCTTC</t>
  </si>
  <si>
    <t xml:space="preserve">CTCGTCGACCGCAACGAAGC</t>
  </si>
  <si>
    <t xml:space="preserve">TAGTCTCGTCGACCGCAACGAAGC</t>
  </si>
  <si>
    <t xml:space="preserve">AAACGCTTCGTTGCGGTCGACGAG</t>
  </si>
  <si>
    <t xml:space="preserve">AAGAATCGACGCATTGACGC</t>
  </si>
  <si>
    <t xml:space="preserve">TAGTAAGAATCGACGCATTGACGC</t>
  </si>
  <si>
    <t xml:space="preserve">AAACGCGTCAATGCGTCGATTCTT</t>
  </si>
  <si>
    <t xml:space="preserve">PST_1689</t>
  </si>
  <si>
    <t xml:space="preserve">CGCCGTAGGCGAGCGCCTTG</t>
  </si>
  <si>
    <t xml:space="preserve">TAGTCGCCGTAGGCGAGCGCCTTG</t>
  </si>
  <si>
    <t xml:space="preserve">AAACCAAGGCGCTCGCCTACGGCG</t>
  </si>
  <si>
    <t xml:space="preserve">TGACCACGTCGAGGTCGGGC</t>
  </si>
  <si>
    <t xml:space="preserve">TAGTTGACCACGTCGAGGTCGGGC</t>
  </si>
  <si>
    <t xml:space="preserve">AAACGCCCGACCTCGACGTGGTCA</t>
  </si>
  <si>
    <t xml:space="preserve">GCCGCGGTGATAGGTCATGT</t>
  </si>
  <si>
    <t xml:space="preserve">TAGTGCCGCGGTGATAGGTCATGT</t>
  </si>
  <si>
    <t xml:space="preserve">AAACACATGACCTATCACCGCGGC</t>
  </si>
  <si>
    <t xml:space="preserve">TGCTGAGGACGAACAGCGAA</t>
  </si>
  <si>
    <t xml:space="preserve">TAGTTGCTGAGGACGAACAGCGAA</t>
  </si>
  <si>
    <t xml:space="preserve">AAACTTCGCTGTTCGTCCTCAGCA</t>
  </si>
  <si>
    <t xml:space="preserve">PST_1690</t>
  </si>
  <si>
    <t xml:space="preserve">AGGTAATTTCCCCGCCCCCA</t>
  </si>
  <si>
    <t xml:space="preserve">TAGTAGGTAATTTCCCCGCCCCCA</t>
  </si>
  <si>
    <t xml:space="preserve">AAACTGGGGGCGGGGAAATTACCT</t>
  </si>
  <si>
    <t xml:space="preserve">TGCCGCCGGCGCTTCGGCTA</t>
  </si>
  <si>
    <t xml:space="preserve">TAGTTGCCGCCGGCGCTTCGGCTA</t>
  </si>
  <si>
    <t xml:space="preserve">AAACTAGCCGAAGCGCCGGCGGCA</t>
  </si>
  <si>
    <t xml:space="preserve">TTTTTCGAAATTTGCCGATC</t>
  </si>
  <si>
    <t xml:space="preserve">TAGTTTTTTCGAAATTTGCCGATC</t>
  </si>
  <si>
    <t xml:space="preserve">AAACGATCGGCAAATTTCGAAAAA</t>
  </si>
  <si>
    <t xml:space="preserve">TGCGCCATGGACGATTGAGC</t>
  </si>
  <si>
    <t xml:space="preserve">TAGTTGCGCCATGGACGATTGAGC</t>
  </si>
  <si>
    <t xml:space="preserve">AAACGCTCAATCGTCCATGGCGCA</t>
  </si>
  <si>
    <t xml:space="preserve">PST_1691</t>
  </si>
  <si>
    <t xml:space="preserve">TGAACTGATGGGAGCGATCA</t>
  </si>
  <si>
    <t xml:space="preserve">TAGTTGAACTGATGGGAGCGATCA</t>
  </si>
  <si>
    <t xml:space="preserve">AAACTGATCGCTCCCATCAGTTCA</t>
  </si>
  <si>
    <t xml:space="preserve">GAGCAGCAGCAGAGCCACGC</t>
  </si>
  <si>
    <t xml:space="preserve">TAGTGAGCAGCAGCAGAGCCACGC</t>
  </si>
  <si>
    <t xml:space="preserve">AAACGCGTGGCTCTGCTGCTGCTC</t>
  </si>
  <si>
    <t xml:space="preserve">GGAGTGTGTTGAGTAGCCCG</t>
  </si>
  <si>
    <t xml:space="preserve">TAGTGGAGTGTGTTGAGTAGCCCG</t>
  </si>
  <si>
    <t xml:space="preserve">AAACCGGGCTACTCAACACACTCC</t>
  </si>
  <si>
    <t xml:space="preserve">GCCTTCGGCCACACCGCGCA</t>
  </si>
  <si>
    <t xml:space="preserve">TAGTGCCTTCGGCCACACCGCGCA</t>
  </si>
  <si>
    <t xml:space="preserve">AAACTGCGCGGTGTGGCCGAAGGC</t>
  </si>
  <si>
    <t xml:space="preserve">PST_1692</t>
  </si>
  <si>
    <t xml:space="preserve">CTGTTGGTGACTGCGGACAT</t>
  </si>
  <si>
    <t xml:space="preserve">TAGTCTGTTGGTGACTGCGGACAT</t>
  </si>
  <si>
    <t xml:space="preserve">AAACATGTCCGCAGTCACCAACAG</t>
  </si>
  <si>
    <t xml:space="preserve">TACCGGTGACGCGGTGATAC</t>
  </si>
  <si>
    <t xml:space="preserve">TAGTTACCGGTGACGCGGTGATAC</t>
  </si>
  <si>
    <t xml:space="preserve">AAACGTATCACCGCGTCACCGGTA</t>
  </si>
  <si>
    <t xml:space="preserve">CGCGATCAGAGTCGGGTAGA</t>
  </si>
  <si>
    <t xml:space="preserve">TAGTCGCGATCAGAGTCGGGTAGA</t>
  </si>
  <si>
    <t xml:space="preserve">AAACTCTACCCGACTCTGATCGCG</t>
  </si>
  <si>
    <t xml:space="preserve">GATGGTGACGACGCACAGGC</t>
  </si>
  <si>
    <t xml:space="preserve">TAGTGATGGTGACGACGCACAGGC</t>
  </si>
  <si>
    <t xml:space="preserve">AAACGCCTGTGCGTCGTCACCATC</t>
  </si>
  <si>
    <t xml:space="preserve">PST_1693</t>
  </si>
  <si>
    <t xml:space="preserve">GCACCTCATGCATTTCGATC</t>
  </si>
  <si>
    <t xml:space="preserve">TAGTGCACCTCATGCATTTCGATC</t>
  </si>
  <si>
    <t xml:space="preserve">AAACGATCGAAATGCATGAGGTGC</t>
  </si>
  <si>
    <t xml:space="preserve">TGAACGCCCGACCCAAGCCG</t>
  </si>
  <si>
    <t xml:space="preserve">TAGTTGAACGCCCGACCCAAGCCG</t>
  </si>
  <si>
    <t xml:space="preserve">AAACCGGCTTGGGTCGGGCGTTCA</t>
  </si>
  <si>
    <t xml:space="preserve">TATTTACCGACACCGGCGTT</t>
  </si>
  <si>
    <t xml:space="preserve">TAGTTATTTACCGACACCGGCGTT</t>
  </si>
  <si>
    <t xml:space="preserve">AAACAACGCCGGTGTCGGTAAATA</t>
  </si>
  <si>
    <t xml:space="preserve">GCCGCAGGATGCTACGAAGC</t>
  </si>
  <si>
    <t xml:space="preserve">TAGTGCCGCAGGATGCTACGAAGC</t>
  </si>
  <si>
    <t xml:space="preserve">AAACGCTTCGTAGCATCCTGCGGC</t>
  </si>
  <si>
    <t xml:space="preserve">PST_1694</t>
  </si>
  <si>
    <t xml:space="preserve">CAGTTCTTCGGTCTTGTTCG</t>
  </si>
  <si>
    <t xml:space="preserve">TAGTCAGTTCTTCGGTCTTGTTCG</t>
  </si>
  <si>
    <t xml:space="preserve">AAACCGAACAAGACCGAAGAACTG</t>
  </si>
  <si>
    <t xml:space="preserve">AGAGGGCGCGCACGCCTTCG</t>
  </si>
  <si>
    <t xml:space="preserve">TAGTAGAGGGCGCGCACGCCTTCG</t>
  </si>
  <si>
    <t xml:space="preserve">AAACCGAAGGCGTGCGCGCCCTCT</t>
  </si>
  <si>
    <t xml:space="preserve">ATCCTGCGCCAGTATTCGGC</t>
  </si>
  <si>
    <t xml:space="preserve">TAGTATCCTGCGCCAGTATTCGGC</t>
  </si>
  <si>
    <t xml:space="preserve">AAACGCCGAATACTGGCGCAGGAT</t>
  </si>
  <si>
    <t xml:space="preserve">TGGCGGTGACGAAGGCTTCC</t>
  </si>
  <si>
    <t xml:space="preserve">TAGTTGGCGGTGACGAAGGCTTCC</t>
  </si>
  <si>
    <t xml:space="preserve">AAACGGAAGCCTTCGTCACCGCCA</t>
  </si>
  <si>
    <t xml:space="preserve">PST_1695</t>
  </si>
  <si>
    <t xml:space="preserve">TCAGCACCAGGTGGTCGAAA</t>
  </si>
  <si>
    <t xml:space="preserve">TAGTTCAGCACCAGGTGGTCGAAA</t>
  </si>
  <si>
    <t xml:space="preserve">AAACTTTCGACCACCTGGTGCTGA</t>
  </si>
  <si>
    <t xml:space="preserve">CGTTGCCTCGAGGTCAGCGA</t>
  </si>
  <si>
    <t xml:space="preserve">TAGTCGTTGCCTCGAGGTCAGCGA</t>
  </si>
  <si>
    <t xml:space="preserve">AAACTCGCTGACCTCGAGGCAACG</t>
  </si>
  <si>
    <t xml:space="preserve">CGCCTGCATGCCGAGCACGC</t>
  </si>
  <si>
    <t xml:space="preserve">TAGTCGCCTGCATGCCGAGCACGC</t>
  </si>
  <si>
    <t xml:space="preserve">AAACGCGTGCTCGGCATGCAGGCG</t>
  </si>
  <si>
    <t xml:space="preserve">CCTGGTGCAGGTTGATCTTC</t>
  </si>
  <si>
    <t xml:space="preserve">TAGTCCTGGTGCAGGTTGATCTTC</t>
  </si>
  <si>
    <t xml:space="preserve">AAACGAAGATCAACCTGCACCAGG</t>
  </si>
  <si>
    <t xml:space="preserve">PST_1696</t>
  </si>
  <si>
    <t xml:space="preserve">CGGTCAGGGCACGGGTGTGC</t>
  </si>
  <si>
    <t xml:space="preserve">TAGTCGGTCAGGGCACGGGTGTGC</t>
  </si>
  <si>
    <t xml:space="preserve">AAACGCACACCCGTGCCCTGACCG</t>
  </si>
  <si>
    <t xml:space="preserve">GGCGAGCCCGGCGAGGAATT</t>
  </si>
  <si>
    <t xml:space="preserve">TAGTGGCGAGCCCGGCGAGGAATT</t>
  </si>
  <si>
    <t xml:space="preserve">AAACAATTCCTCGCCGGGCTCGCC</t>
  </si>
  <si>
    <t xml:space="preserve">CGGTTCGGGGATCTGCTTGT</t>
  </si>
  <si>
    <t xml:space="preserve">TAGTCGGTTCGGGGATCTGCTTGT</t>
  </si>
  <si>
    <t xml:space="preserve">AAACACAAGCAGATCCCCGAACCG</t>
  </si>
  <si>
    <t xml:space="preserve">TCTTCGGTGCGGGCGAGCAC</t>
  </si>
  <si>
    <t xml:space="preserve">TAGTTCTTCGGTGCGGGCGAGCAC</t>
  </si>
  <si>
    <t xml:space="preserve">AAACGTGCTCGCCCGCACCGAAGA</t>
  </si>
  <si>
    <t xml:space="preserve">PST_1697</t>
  </si>
  <si>
    <t xml:space="preserve">TGGCGCCACATTGGTGGATA</t>
  </si>
  <si>
    <t xml:space="preserve">TAGTTGGCGCCACATTGGTGGATA</t>
  </si>
  <si>
    <t xml:space="preserve">AAACTATCCACCAATGTGGCGCCA</t>
  </si>
  <si>
    <t xml:space="preserve">TGTTCCAGCCCCTGGGGCTC</t>
  </si>
  <si>
    <t xml:space="preserve">TAGTTGTTCCAGCCCCTGGGGCTC</t>
  </si>
  <si>
    <t xml:space="preserve">AAACGAGCCCCAGGGGCTGGAACA</t>
  </si>
  <si>
    <t xml:space="preserve">CCTGCAATTTCGGCGTAGGG</t>
  </si>
  <si>
    <t xml:space="preserve">TAGTCCTGCAATTTCGGCGTAGGG</t>
  </si>
  <si>
    <t xml:space="preserve">AAACCCCTACGCCGAAATTGCAGG</t>
  </si>
  <si>
    <t xml:space="preserve">ACTTGGGTGTCGTTCATGTT</t>
  </si>
  <si>
    <t xml:space="preserve">TAGTACTTGGGTGTCGTTCATGTT</t>
  </si>
  <si>
    <t xml:space="preserve">AAACAACATGAACGACACCCAAGT</t>
  </si>
  <si>
    <t xml:space="preserve">PST_1698</t>
  </si>
  <si>
    <t xml:space="preserve">CGGATGATCGATGAGTTCAT</t>
  </si>
  <si>
    <t xml:space="preserve">TAGTCGGATGATCGATGAGTTCAT</t>
  </si>
  <si>
    <t xml:space="preserve">AAACATGAACTCATCGATCATCCG</t>
  </si>
  <si>
    <t xml:space="preserve">CCGGGACGAACAGCGCGCTA</t>
  </si>
  <si>
    <t xml:space="preserve">TAGTCCGGGACGAACAGCGCGCTA</t>
  </si>
  <si>
    <t xml:space="preserve">AAACTAGCGCGCTGTTCGTCCCGG</t>
  </si>
  <si>
    <t xml:space="preserve">CTTGGGAATGCGCTCCGGAC</t>
  </si>
  <si>
    <t xml:space="preserve">TAGTCTTGGGAATGCGCTCCGGAC</t>
  </si>
  <si>
    <t xml:space="preserve">AAACGTCCGGAGCGCATTCCCAAG</t>
  </si>
  <si>
    <t xml:space="preserve">GAGGTCGACGATGACCGCGT</t>
  </si>
  <si>
    <t xml:space="preserve">TAGTGAGGTCGACGATGACCGCGT</t>
  </si>
  <si>
    <t xml:space="preserve">AAACACGCGGTCATCGTCGACCTC</t>
  </si>
  <si>
    <t xml:space="preserve">PST_1699</t>
  </si>
  <si>
    <t xml:space="preserve">TGTCGATTGGTACGTTTCGC</t>
  </si>
  <si>
    <t xml:space="preserve">TAGTTGTCGATTGGTACGTTTCGC</t>
  </si>
  <si>
    <t xml:space="preserve">AAACGCGAAACGTACCAATCGACA</t>
  </si>
  <si>
    <t xml:space="preserve">CTTGAGCTTGTTACTCAGCA</t>
  </si>
  <si>
    <t xml:space="preserve">TAGTCTTGAGCTTGTTACTCAGCA</t>
  </si>
  <si>
    <t xml:space="preserve">AAACTGCTGAGTAACAAGCTCAAG</t>
  </si>
  <si>
    <t xml:space="preserve">GACGGTGAAAGAAAGCGCGC</t>
  </si>
  <si>
    <t xml:space="preserve">TAGTGACGGTGAAAGAAAGCGCGC</t>
  </si>
  <si>
    <t xml:space="preserve">AAACGCGCGCTTTCTTTCACCGTC</t>
  </si>
  <si>
    <t xml:space="preserve">GGGGTCGGCGTGCACCAACC</t>
  </si>
  <si>
    <t xml:space="preserve">TAGTGGGGTCGGCGTGCACCAACC</t>
  </si>
  <si>
    <t xml:space="preserve">AAACGGTTGGTGCACGCCGACCCC</t>
  </si>
  <si>
    <t xml:space="preserve">PST_1700</t>
  </si>
  <si>
    <t xml:space="preserve">ACGCGCGGATGCTGCGCCGT</t>
  </si>
  <si>
    <t xml:space="preserve">TAGTACGCGCGGATGCTGCGCCGT</t>
  </si>
  <si>
    <t xml:space="preserve">AAACACGGCGCAGCATCCGCGCGT</t>
  </si>
  <si>
    <t xml:space="preserve">GCAACAGGTCGGCGTCCACG</t>
  </si>
  <si>
    <t xml:space="preserve">TAGTGCAACAGGTCGGCGTCCACG</t>
  </si>
  <si>
    <t xml:space="preserve">AAACCGTGGACGCCGACCTGTTGC</t>
  </si>
  <si>
    <t xml:space="preserve">GTTCCTCTGGGCATGGCCCT</t>
  </si>
  <si>
    <t xml:space="preserve">TAGTGTTCCTCTGGGCATGGCCCT</t>
  </si>
  <si>
    <t xml:space="preserve">AAACAGGGCCATGCCCAGAGGAAC</t>
  </si>
  <si>
    <t xml:space="preserve">CTCGACTCGAACACATCCGC</t>
  </si>
  <si>
    <t xml:space="preserve">TAGTCTCGACTCGAACACATCCGC</t>
  </si>
  <si>
    <t xml:space="preserve">AAACGCGGATGTGTTCGAGTCGAG</t>
  </si>
  <si>
    <t xml:space="preserve">PST_1701</t>
  </si>
  <si>
    <t xml:space="preserve">GATCAGGAACAATTCTCTGC</t>
  </si>
  <si>
    <t xml:space="preserve">TAGTGATCAGGAACAATTCTCTGC</t>
  </si>
  <si>
    <t xml:space="preserve">AAACGCAGAGAATTGTTCCTGATC</t>
  </si>
  <si>
    <t xml:space="preserve">AGAGTAATCAAACCTTTCCA</t>
  </si>
  <si>
    <t xml:space="preserve">TAGTAGAGTAATCAAACCTTTCCA</t>
  </si>
  <si>
    <t xml:space="preserve">AAACTGGAAAGGTTTGATTACTCT</t>
  </si>
  <si>
    <t xml:space="preserve">TGCGAACTGGCGCAGAATGG</t>
  </si>
  <si>
    <t xml:space="preserve">TAGTTGCGAACTGGCGCAGAATGG</t>
  </si>
  <si>
    <t xml:space="preserve">AAACCCATTCTGCGCCAGTTCGCA</t>
  </si>
  <si>
    <t xml:space="preserve">AGCGACAGGCCACGGTCGCC</t>
  </si>
  <si>
    <t xml:space="preserve">TAGTAGCGACAGGCCACGGTCGCC</t>
  </si>
  <si>
    <t xml:space="preserve">AAACGGCGACCGTGGCCTGTCGCT</t>
  </si>
  <si>
    <t xml:space="preserve">PST_1704</t>
  </si>
  <si>
    <t xml:space="preserve">CAACACGGTCAGAGACCGTG</t>
  </si>
  <si>
    <t xml:space="preserve">TAGTCAACACGGTCAGAGACCGTG</t>
  </si>
  <si>
    <t xml:space="preserve">AAACCACGGTCTCTGACCGTGTTG</t>
  </si>
  <si>
    <t xml:space="preserve">CTCGATGAGAAGCTTGACTA</t>
  </si>
  <si>
    <t xml:space="preserve">TAGTCTCGATGAGAAGCTTGACTA</t>
  </si>
  <si>
    <t xml:space="preserve">AAACTAGTCAAGCTTCTCATCGAG</t>
  </si>
  <si>
    <t xml:space="preserve">TGGAAGATCGAGTCCAGCTC</t>
  </si>
  <si>
    <t xml:space="preserve">TAGTTGGAAGATCGAGTCCAGCTC</t>
  </si>
  <si>
    <t xml:space="preserve">AAACGAGCTGGACTCGATCTTCCA</t>
  </si>
  <si>
    <t xml:space="preserve">GATACCCATAAGAGTCCGGA</t>
  </si>
  <si>
    <t xml:space="preserve">TAGTGATACCCATAAGAGTCCGGA</t>
  </si>
  <si>
    <t xml:space="preserve">AAACTCCGGACTCTTATGGGTATC</t>
  </si>
  <si>
    <t xml:space="preserve">PST_1705</t>
  </si>
  <si>
    <t xml:space="preserve">CGAAGTGGTGAGTCGACCGC</t>
  </si>
  <si>
    <t xml:space="preserve">TAGTCGAAGTGGTGAGTCGACCGC</t>
  </si>
  <si>
    <t xml:space="preserve">AAACGCGGTCGACTCACCACTTCG</t>
  </si>
  <si>
    <t xml:space="preserve">CTGAGTAACGTCCGCAACGT</t>
  </si>
  <si>
    <t xml:space="preserve">TAGTCTGAGTAACGTCCGCAACGT</t>
  </si>
  <si>
    <t xml:space="preserve">AAACACGTTGCGGACGTTACTCAG</t>
  </si>
  <si>
    <t xml:space="preserve">ACCTTCCGATCAGCATGCTC</t>
  </si>
  <si>
    <t xml:space="preserve">TAGTACCTTCCGATCAGCATGCTC</t>
  </si>
  <si>
    <t xml:space="preserve">AAACGAGCATGCTGATCGGAAGGT</t>
  </si>
  <si>
    <t xml:space="preserve">GCGTTTATCGAGCTTCTTGT</t>
  </si>
  <si>
    <t xml:space="preserve">TAGTGCGTTTATCGAGCTTCTTGT</t>
  </si>
  <si>
    <t xml:space="preserve">AAACACAAGAAGCTCGATAAACGC</t>
  </si>
  <si>
    <t xml:space="preserve">PST_1706</t>
  </si>
  <si>
    <t xml:space="preserve">GGATTTCAATCAGGTTGTCT</t>
  </si>
  <si>
    <t xml:space="preserve">TAGTGGATTTCAATCAGGTTGTCT</t>
  </si>
  <si>
    <t xml:space="preserve">AAACAGACAACCTGATTGAAATCC</t>
  </si>
  <si>
    <t xml:space="preserve">CGAAGGCCACTCTCAGGTCA</t>
  </si>
  <si>
    <t xml:space="preserve">TAGTCGAAGGCCACTCTCAGGTCA</t>
  </si>
  <si>
    <t xml:space="preserve">AAACTGACCTGAGAGTGGCCTTCG</t>
  </si>
  <si>
    <t xml:space="preserve">GCCGTGAACCACCTCCTGCC</t>
  </si>
  <si>
    <t xml:space="preserve">TAGTGCCGTGAACCACCTCCTGCC</t>
  </si>
  <si>
    <t xml:space="preserve">AAACGGCAGGAGGTGGTTCACGGC</t>
  </si>
  <si>
    <t xml:space="preserve">ATTCGCCGCGACGGATGTCC</t>
  </si>
  <si>
    <t xml:space="preserve">TAGTATTCGCCGCGACGGATGTCC</t>
  </si>
  <si>
    <t xml:space="preserve">AAACGGACATCCGTCGCGGCGAAT</t>
  </si>
  <si>
    <t xml:space="preserve">PST_1707</t>
  </si>
  <si>
    <t xml:space="preserve">CGATTGATCGGCGAGAGAGC</t>
  </si>
  <si>
    <t xml:space="preserve">TAGTCGATTGATCGGCGAGAGAGC</t>
  </si>
  <si>
    <t xml:space="preserve">AAACGCTCTCTCGCCGATCAATCG</t>
  </si>
  <si>
    <t xml:space="preserve">CCTTGAAGCGCTGGAGTCGG</t>
  </si>
  <si>
    <t xml:space="preserve">TAGTCCTTGAAGCGCTGGAGTCGG</t>
  </si>
  <si>
    <t xml:space="preserve">AAACCCGACTCCAGCGCTTCAAGG</t>
  </si>
  <si>
    <t xml:space="preserve">CGACCACCAGCCGCGGCGGT</t>
  </si>
  <si>
    <t xml:space="preserve">TAGTCGACCACCAGCCGCGGCGGT</t>
  </si>
  <si>
    <t xml:space="preserve">AAACACCGCCGCGGCTGGTGGTCG</t>
  </si>
  <si>
    <t xml:space="preserve">TGGCGACCAGTTCGCCGCAC</t>
  </si>
  <si>
    <t xml:space="preserve">TAGTTGGCGACCAGTTCGCCGCAC</t>
  </si>
  <si>
    <t xml:space="preserve">AAACGTGCGGCGAACTGGTCGCCA</t>
  </si>
  <si>
    <t xml:space="preserve">PST_1708</t>
  </si>
  <si>
    <t xml:space="preserve">ACGATGATGCACAGCAGCGT</t>
  </si>
  <si>
    <t xml:space="preserve">TAGTACGATGATGCACAGCAGCGT</t>
  </si>
  <si>
    <t xml:space="preserve">AAACACGCTGCTGTGCATCATCGT</t>
  </si>
  <si>
    <t xml:space="preserve">GCCTGTTCCACCGGCCCACC</t>
  </si>
  <si>
    <t xml:space="preserve">TAGTGCCTGTTCCACCGGCCCACC</t>
  </si>
  <si>
    <t xml:space="preserve">AAACGGTGGGCCGGTGGAACAGGC</t>
  </si>
  <si>
    <t xml:space="preserve">GAAGCCCTGCATGCGGGCCA</t>
  </si>
  <si>
    <t xml:space="preserve">TAGTGAAGCCCTGCATGCGGGCCA</t>
  </si>
  <si>
    <t xml:space="preserve">AAACTGGCCCGCATGCAGGGCTTC</t>
  </si>
  <si>
    <t xml:space="preserve">GACGAAACGCTGCCGGTTTC</t>
  </si>
  <si>
    <t xml:space="preserve">TAGTGACGAAACGCTGCCGGTTTC</t>
  </si>
  <si>
    <t xml:space="preserve">AAACGAAACCGGCAGCGTTTCGTC</t>
  </si>
  <si>
    <t xml:space="preserve">PST_1709</t>
  </si>
  <si>
    <t xml:space="preserve">GCCGCGGGCGGGGGCCGCTG</t>
  </si>
  <si>
    <t xml:space="preserve">TAGTGCCGCGGGCGGGGGCCGCTG</t>
  </si>
  <si>
    <t xml:space="preserve">AAACCAGCGGCCCCCGCCCGCGGC</t>
  </si>
  <si>
    <t xml:space="preserve">TGCCGTGTCTGTCGAAAGGG</t>
  </si>
  <si>
    <t xml:space="preserve">TAGTTGCCGTGTCTGTCGAAAGGG</t>
  </si>
  <si>
    <t xml:space="preserve">AAACCCCTTTCGACAGACACGGCA</t>
  </si>
  <si>
    <t xml:space="preserve">GTCAGGCGATTGGTGGCGTG</t>
  </si>
  <si>
    <t xml:space="preserve">TAGTGTCAGGCGATTGGTGGCGTG</t>
  </si>
  <si>
    <t xml:space="preserve">AAACCACGCCACCAATCGCCTGAC</t>
  </si>
  <si>
    <t xml:space="preserve">AGCAGGCAAGAAACGTTCAA</t>
  </si>
  <si>
    <t xml:space="preserve">TAGTAGCAGGCAAGAAACGTTCAA</t>
  </si>
  <si>
    <t xml:space="preserve">AAACTTGAACGTTTCTTGCCTGCT</t>
  </si>
  <si>
    <t xml:space="preserve">PST_1710</t>
  </si>
  <si>
    <t xml:space="preserve">GGGTGCGAGCAAAACTACTA</t>
  </si>
  <si>
    <t xml:space="preserve">TAGTGGGTGCGAGCAAAACTACTA</t>
  </si>
  <si>
    <t xml:space="preserve">AAACTAGTAGTTTTGCTCGCACCC</t>
  </si>
  <si>
    <t xml:space="preserve">GGTGATCGCTGCTGCCAGGG</t>
  </si>
  <si>
    <t xml:space="preserve">TAGTGGTGATCGCTGCTGCCAGGG</t>
  </si>
  <si>
    <t xml:space="preserve">AAACCCCTGGCAGCAGCGATCACC</t>
  </si>
  <si>
    <t xml:space="preserve">GAGCGGCACGAACCGGTAAC</t>
  </si>
  <si>
    <t xml:space="preserve">TAGTGAGCGGCACGAACCGGTAAC</t>
  </si>
  <si>
    <t xml:space="preserve">AAACGTTACCGGTTCGTGCCGCTC</t>
  </si>
  <si>
    <t xml:space="preserve">ATTTCCTGCGCGCCGACCTG</t>
  </si>
  <si>
    <t xml:space="preserve">TAGTATTTCCTGCGCGCCGACCTG</t>
  </si>
  <si>
    <t xml:space="preserve">AAACCAGGTCGGCGCGCAGGAAAT</t>
  </si>
  <si>
    <t xml:space="preserve">PST_1711</t>
  </si>
  <si>
    <t xml:space="preserve">exbD1</t>
  </si>
  <si>
    <t xml:space="preserve">GTCGTTGTCTTGGGTAGAAA</t>
  </si>
  <si>
    <t xml:space="preserve">TAGTGTCGTTGTCTTGGGTAGAAA</t>
  </si>
  <si>
    <t xml:space="preserve">AAACTTTCTACCCAAGACAACGAC</t>
  </si>
  <si>
    <t xml:space="preserve">GGGTGACGTTCATTTCGCTG</t>
  </si>
  <si>
    <t xml:space="preserve">TAGTGGGTGACGTTCATTTCGCTG</t>
  </si>
  <si>
    <t xml:space="preserve">AAACCAGCGAAATGAACGTCACCC</t>
  </si>
  <si>
    <t xml:space="preserve">GAGCATGACGTCCACCAGGG</t>
  </si>
  <si>
    <t xml:space="preserve">TAGTGAGCATGACGTCCACCAGGG</t>
  </si>
  <si>
    <t xml:space="preserve">AAACCCCTGGTGGACGTCATGCTC</t>
  </si>
  <si>
    <t xml:space="preserve">GGCATTGGTCATCAGCGGGG</t>
  </si>
  <si>
    <t xml:space="preserve">TAGTGGCATTGGTCATCAGCGGGG</t>
  </si>
  <si>
    <t xml:space="preserve">AAACCCCCGCTGATGACCAATGCC</t>
  </si>
  <si>
    <t xml:space="preserve">PST_1712</t>
  </si>
  <si>
    <t xml:space="preserve">exbB1</t>
  </si>
  <si>
    <t xml:space="preserve">GCGGCGGGCCTTCATGGACT</t>
  </si>
  <si>
    <t xml:space="preserve">TAGTGCGGCGGGCCTTCATGGACT</t>
  </si>
  <si>
    <t xml:space="preserve">AAACAGTCCATGAAGGCCCGCCGC</t>
  </si>
  <si>
    <t xml:space="preserve">CCTTCAGAAAATGCTTGTTC</t>
  </si>
  <si>
    <t xml:space="preserve">TAGTCCTTCAGAAAATGCTTGTTC</t>
  </si>
  <si>
    <t xml:space="preserve">AAACGAACAAGCATTTTCTGAAGG</t>
  </si>
  <si>
    <t xml:space="preserve">TCGGCGGCGGTCAGCAGGTC</t>
  </si>
  <si>
    <t xml:space="preserve">TAGTTCGGCGGCGGTCAGCAGGTC</t>
  </si>
  <si>
    <t xml:space="preserve">AAACGACCTGCTGACCGCCGCCGA</t>
  </si>
  <si>
    <t xml:space="preserve">CGATGCGTGCCATCGGGCCC</t>
  </si>
  <si>
    <t xml:space="preserve">TAGTCGATGCGTGCCATCGGGCCC</t>
  </si>
  <si>
    <t xml:space="preserve">AAACGGGCCCGATGGCACGCATCG</t>
  </si>
  <si>
    <t xml:space="preserve">PST_1713</t>
  </si>
  <si>
    <t xml:space="preserve">GTATTTCTCCTTTGATGTTG</t>
  </si>
  <si>
    <t xml:space="preserve">TAGTGTATTTCTCCTTTGATGTTG</t>
  </si>
  <si>
    <t xml:space="preserve">AAACCAACATCAAAGGAGAAATAC</t>
  </si>
  <si>
    <t xml:space="preserve">GAATGCTGATTGGGCAGAGG</t>
  </si>
  <si>
    <t xml:space="preserve">TAGTGAATGCTGATTGGGCAGAGG</t>
  </si>
  <si>
    <t xml:space="preserve">AAACCCTCTGCCCAATCAGCATTC</t>
  </si>
  <si>
    <t xml:space="preserve">TTTCGCCGGCTGAGGATGTT</t>
  </si>
  <si>
    <t xml:space="preserve">TAGTTTTCGCCGGCTGAGGATGTT</t>
  </si>
  <si>
    <t xml:space="preserve">AAACAACATCCTCAGCCGGCGAAA</t>
  </si>
  <si>
    <t xml:space="preserve">GATACCAGGCAAGGCCGGCA</t>
  </si>
  <si>
    <t xml:space="preserve">TAGTGATACCAGGCAAGGCCGGCA</t>
  </si>
  <si>
    <t xml:space="preserve">AAACTGCCGGCCTTGCCTGGTATC</t>
  </si>
  <si>
    <t xml:space="preserve">PST_1714</t>
  </si>
  <si>
    <t xml:space="preserve">GAAATGCTCCAGTGCCTGGG</t>
  </si>
  <si>
    <t xml:space="preserve">TAGTGAAATGCTCCAGTGCCTGGG</t>
  </si>
  <si>
    <t xml:space="preserve">AAACCCCAGGCACTGGAGCATTTC</t>
  </si>
  <si>
    <t xml:space="preserve">CCAGAGCGTGTAGTGCTCTC</t>
  </si>
  <si>
    <t xml:space="preserve">TAGTCCAGAGCGTGTAGTGCTCTC</t>
  </si>
  <si>
    <t xml:space="preserve">AAACGAGAGCACTACACGCTCTGG</t>
  </si>
  <si>
    <t xml:space="preserve">ACGGACGAAATCGGAGGCTT</t>
  </si>
  <si>
    <t xml:space="preserve">TAGTACGGACGAAATCGGAGGCTT</t>
  </si>
  <si>
    <t xml:space="preserve">AAACAAGCCTCCGATTTCGTCCGT</t>
  </si>
  <si>
    <t xml:space="preserve">CTCGATCTGGTCGACCTGGC</t>
  </si>
  <si>
    <t xml:space="preserve">TAGTCTCGATCTGGTCGACCTGGC</t>
  </si>
  <si>
    <t xml:space="preserve">AAACGCCAGGTCGACCAGATCGAG</t>
  </si>
  <si>
    <t xml:space="preserve">PST_1715</t>
  </si>
  <si>
    <t xml:space="preserve">CGCGCTGACACGCGCCCTGA</t>
  </si>
  <si>
    <t xml:space="preserve">TAGTCGCGCTGACACGCGCCCTGA</t>
  </si>
  <si>
    <t xml:space="preserve">AAACTCAGGGCGCGTGTCAGCGCG</t>
  </si>
  <si>
    <t xml:space="preserve">GAAGCGTCTGACTTTTTACG</t>
  </si>
  <si>
    <t xml:space="preserve">TAGTGAAGCGTCTGACTTTTTACG</t>
  </si>
  <si>
    <t xml:space="preserve">AAACCGTAAAAAGTCAGACGCTTC</t>
  </si>
  <si>
    <t xml:space="preserve">GGGTGGCCTTGATGACTCCA</t>
  </si>
  <si>
    <t xml:space="preserve">TAGTGGGTGGCCTTGATGACTCCA</t>
  </si>
  <si>
    <t xml:space="preserve">AAACTGGAGTCATCAAGGCCACCC</t>
  </si>
  <si>
    <t xml:space="preserve">GGTGGTGTGTACCGGAAGGG</t>
  </si>
  <si>
    <t xml:space="preserve">TAGTGGTGGTGTGTACCGGAAGGG</t>
  </si>
  <si>
    <t xml:space="preserve">AAACCCCTTCCGGTACACACCACC</t>
  </si>
  <si>
    <t xml:space="preserve">PST_1716</t>
  </si>
  <si>
    <t xml:space="preserve">mvaB</t>
  </si>
  <si>
    <t xml:space="preserve">CGTTGTGGCTTGCTGGCTGG</t>
  </si>
  <si>
    <t xml:space="preserve">TAGTCGTTGTGGCTTGCTGGCTGG</t>
  </si>
  <si>
    <t xml:space="preserve">AAACCCAGCCAGCAAGCCACAACG</t>
  </si>
  <si>
    <t xml:space="preserve">AGTCCTGGGGTTTCGTAGGG</t>
  </si>
  <si>
    <t xml:space="preserve">TAGTAGTCCTGGGGTTTCGTAGGG</t>
  </si>
  <si>
    <t xml:space="preserve">AAACCCCTACGAAACCCCAGGACT</t>
  </si>
  <si>
    <t xml:space="preserve">TATGCAGGCGTTTGCTCATG</t>
  </si>
  <si>
    <t xml:space="preserve">TAGTTATGCAGGCGTTTGCTCATG</t>
  </si>
  <si>
    <t xml:space="preserve">AAACCATGAGCAAACGCCTGCATA</t>
  </si>
  <si>
    <t xml:space="preserve">CGTCGCGGGTGGCGACTTCC</t>
  </si>
  <si>
    <t xml:space="preserve">TAGTCGTCGCGGGTGGCGACTTCC</t>
  </si>
  <si>
    <t xml:space="preserve">AAACGGAAGTCGCCACCCGCGACG</t>
  </si>
  <si>
    <t xml:space="preserve">PST_1717</t>
  </si>
  <si>
    <t xml:space="preserve">ATCACCTTGAGGCCCTGCAG</t>
  </si>
  <si>
    <t xml:space="preserve">TAGTATCACCTTGAGGCCCTGCAG</t>
  </si>
  <si>
    <t xml:space="preserve">AAACCTGCAGGGCCTCAAGGTGAT</t>
  </si>
  <si>
    <t xml:space="preserve">CGAAAGGGCCGGCGATCAGT</t>
  </si>
  <si>
    <t xml:space="preserve">TAGTCGAAAGGGCCGGCGATCAGT</t>
  </si>
  <si>
    <t xml:space="preserve">AAACACTGATCGCCGGCCCTTTCG</t>
  </si>
  <si>
    <t xml:space="preserve">GGGCTCGATCTTGATCACGT</t>
  </si>
  <si>
    <t xml:space="preserve">TAGTGGGCTCGATCTTGATCACGT</t>
  </si>
  <si>
    <t xml:space="preserve">AAACACGTGATCAAGATCGAGCCC</t>
  </si>
  <si>
    <t xml:space="preserve">AACGGGTCGCCAACCCTGGG</t>
  </si>
  <si>
    <t xml:space="preserve">TAGTAACGGGTCGCCAACCCTGGG</t>
  </si>
  <si>
    <t xml:space="preserve">AAACCCCAGGGTTGGCGACCCGTT</t>
  </si>
  <si>
    <t xml:space="preserve">PST_1718</t>
  </si>
  <si>
    <t xml:space="preserve">ACGAAATCGATGCGGCGCAT</t>
  </si>
  <si>
    <t xml:space="preserve">TAGTACGAAATCGATGCGGCGCAT</t>
  </si>
  <si>
    <t xml:space="preserve">AAACATGCGCCGCATCGATTTCGT</t>
  </si>
  <si>
    <t xml:space="preserve">GATGGCGACGAACAGCCGAA</t>
  </si>
  <si>
    <t xml:space="preserve">TAGTGATGGCGACGAACAGCCGAA</t>
  </si>
  <si>
    <t xml:space="preserve">AAACTTCGGCTGTTCGTCGCCATC</t>
  </si>
  <si>
    <t xml:space="preserve">GCGGGTCAGGCTACGGGTCT</t>
  </si>
  <si>
    <t xml:space="preserve">TAGTGCGGGTCAGGCTACGGGTCT</t>
  </si>
  <si>
    <t xml:space="preserve">AAACAGACCCGTAGCCTGACCCGC</t>
  </si>
  <si>
    <t xml:space="preserve">CGCCAGATGCTCGCGCTCGG</t>
  </si>
  <si>
    <t xml:space="preserve">TAGTCGCCAGATGCTCGCGCTCGG</t>
  </si>
  <si>
    <t xml:space="preserve">AAACCCGAGCGCGAGCATCTGGCG</t>
  </si>
  <si>
    <t xml:space="preserve">PST_1719</t>
  </si>
  <si>
    <t xml:space="preserve">CGCCGATGCCCATGCCGGTG</t>
  </si>
  <si>
    <t xml:space="preserve">TAGTCGCCGATGCCCATGCCGGTG</t>
  </si>
  <si>
    <t xml:space="preserve">AAACCACCGGCATGGGCATCGGCG</t>
  </si>
  <si>
    <t xml:space="preserve">TAGTTGCGCACCACTTGCTC</t>
  </si>
  <si>
    <t xml:space="preserve">TAGTTAGTTGCGCACCACTTGCTC</t>
  </si>
  <si>
    <t xml:space="preserve">AAACGAGCAAGTGGTGCGCAACTA</t>
  </si>
  <si>
    <t xml:space="preserve">ACCATGGCCACGTCCAGCGC</t>
  </si>
  <si>
    <t xml:space="preserve">TAGTACCATGGCCACGTCCAGCGC</t>
  </si>
  <si>
    <t xml:space="preserve">AAACGCGCTGGACGTGGCCATGGT</t>
  </si>
  <si>
    <t xml:space="preserve">CGCGCCCAGACATCGGTCAG</t>
  </si>
  <si>
    <t xml:space="preserve">TAGTCGCGCCCAGACATCGGTCAG</t>
  </si>
  <si>
    <t xml:space="preserve">AAACCTGACCGATGTCTGGGCGCG</t>
  </si>
  <si>
    <t xml:space="preserve">PST_1720</t>
  </si>
  <si>
    <t xml:space="preserve">GCCACGGGTGAGTCGTGCCA</t>
  </si>
  <si>
    <t xml:space="preserve">TAGTGCCACGGGTGAGTCGTGCCA</t>
  </si>
  <si>
    <t xml:space="preserve">AAACTGGCACGACTCACCCGTGGC</t>
  </si>
  <si>
    <t xml:space="preserve">GCGCCGAAGCGGCGAGCAGA</t>
  </si>
  <si>
    <t xml:space="preserve">TAGTGCGCCGAAGCGGCGAGCAGA</t>
  </si>
  <si>
    <t xml:space="preserve">AAACTCTGCTCGCCGCTTCGGCGC</t>
  </si>
  <si>
    <t xml:space="preserve">TCGGATCGGCCTGGGCGCCG</t>
  </si>
  <si>
    <t xml:space="preserve">TAGTTCGGATCGGCCTGGGCGCCG</t>
  </si>
  <si>
    <t xml:space="preserve">AAACCGGCGCCCAGGCCGATCCGA</t>
  </si>
  <si>
    <t xml:space="preserve">TGATATGGGAGAACTTGATC</t>
  </si>
  <si>
    <t xml:space="preserve">TAGTTGATATGGGAGAACTTGATC</t>
  </si>
  <si>
    <t xml:space="preserve">AAACGATCAAGTTCTCCCATATCA</t>
  </si>
  <si>
    <t xml:space="preserve">PST_1723</t>
  </si>
  <si>
    <t xml:space="preserve">acsA</t>
  </si>
  <si>
    <t xml:space="preserve">ATACACGGACGCAGCACACA</t>
  </si>
  <si>
    <t xml:space="preserve">TAGTATACACGGACGCAGCACACA</t>
  </si>
  <si>
    <t xml:space="preserve">AAACTGTGTGCTGCGTCCGTGTAT</t>
  </si>
  <si>
    <t xml:space="preserve">TTTGCAGCCTCAGGGGACAC</t>
  </si>
  <si>
    <t xml:space="preserve">TAGTTTTGCAGCCTCAGGGGACAC</t>
  </si>
  <si>
    <t xml:space="preserve">AAACGTGTCCCCTGAGGCTGCAAA</t>
  </si>
  <si>
    <t xml:space="preserve">ATAAGCGGCCTCGTCGGTCA</t>
  </si>
  <si>
    <t xml:space="preserve">TAGTATAAGCGGCCTCGTCGGTCA</t>
  </si>
  <si>
    <t xml:space="preserve">AAACTGACCGACGAGGCCGCTTAT</t>
  </si>
  <si>
    <t xml:space="preserve">GATCACCGACTGCTGATACA</t>
  </si>
  <si>
    <t xml:space="preserve">TAGTGATCACCGACTGCTGATACA</t>
  </si>
  <si>
    <t xml:space="preserve">AAACTGTATCAGCAGTCGGTGATC</t>
  </si>
  <si>
    <t xml:space="preserve">PST_1724</t>
  </si>
  <si>
    <t xml:space="preserve">TGCTTGGAAGAGTTGTTCAT</t>
  </si>
  <si>
    <t xml:space="preserve">TAGTTGCTTGGAAGAGTTGTTCAT</t>
  </si>
  <si>
    <t xml:space="preserve">AAACATGAACAACTCTTCCAAGCA</t>
  </si>
  <si>
    <t xml:space="preserve">AGCCGTGGACGTTCTGTTCG</t>
  </si>
  <si>
    <t xml:space="preserve">TAGTAGCCGTGGACGTTCTGTTCG</t>
  </si>
  <si>
    <t xml:space="preserve">AAACCGAACAGAACGTCCACGGCT</t>
  </si>
  <si>
    <t xml:space="preserve">CAGGCCGCCGGCCAGGGACA</t>
  </si>
  <si>
    <t xml:space="preserve">TAGTCAGGCCGCCGGCCAGGGACA</t>
  </si>
  <si>
    <t xml:space="preserve">AAACTGTCCCTGGCCGGCGGCCTG</t>
  </si>
  <si>
    <t xml:space="preserve">CGCGGCGCAGACCCTTGGCG</t>
  </si>
  <si>
    <t xml:space="preserve">TAGTCGCGGCGCAGACCCTTGGCG</t>
  </si>
  <si>
    <t xml:space="preserve">AAACCGCCAAGGGTCTGCGCCGCG</t>
  </si>
  <si>
    <t xml:space="preserve">PST_1725</t>
  </si>
  <si>
    <t xml:space="preserve">GGCATTCTCCGCCTTGAGAT</t>
  </si>
  <si>
    <t xml:space="preserve">TAGTGGCATTCTCCGCCTTGAGAT</t>
  </si>
  <si>
    <t xml:space="preserve">AAACATCTCAAGGCGGAGAATGCC</t>
  </si>
  <si>
    <t xml:space="preserve">GGCGAGCTGCTCCTCGAGAT</t>
  </si>
  <si>
    <t xml:space="preserve">TAGTGGCGAGCTGCTCCTCGAGAT</t>
  </si>
  <si>
    <t xml:space="preserve">AAACATCTCGAGGAGCAGCTCGCC</t>
  </si>
  <si>
    <t xml:space="preserve">TTCACGCAGTTCGGCCTGAT</t>
  </si>
  <si>
    <t xml:space="preserve">TAGTTTCACGCAGTTCGGCCTGAT</t>
  </si>
  <si>
    <t xml:space="preserve">AAACATCAGGCCGAACTGCGTGAA</t>
  </si>
  <si>
    <t xml:space="preserve">GCTCTTGATCTCCTGAAACA</t>
  </si>
  <si>
    <t xml:space="preserve">TAGTGCTCTTGATCTCCTGAAACA</t>
  </si>
  <si>
    <t xml:space="preserve">AAACTGTTTCAGGAGATCAAGAGC</t>
  </si>
  <si>
    <t xml:space="preserve">PST_1726</t>
  </si>
  <si>
    <t xml:space="preserve">faoA</t>
  </si>
  <si>
    <t xml:space="preserve">CTCAAGAGCCTTAACCGTGA</t>
  </si>
  <si>
    <t xml:space="preserve">TAGTCTCAAGAGCCTTAACCGTGA</t>
  </si>
  <si>
    <t xml:space="preserve">AAACTCACGGTTAAGGCTCTTGAG</t>
  </si>
  <si>
    <t xml:space="preserve">TATTGACGGACTCACCCTTG</t>
  </si>
  <si>
    <t xml:space="preserve">TAGTTATTGACGGACTCACCCTTG</t>
  </si>
  <si>
    <t xml:space="preserve">AAACCAAGGGTGAGTCCGTCAATA</t>
  </si>
  <si>
    <t xml:space="preserve">GGCGCAGATCGTTGAGAGTG</t>
  </si>
  <si>
    <t xml:space="preserve">TAGTGGCGCAGATCGTTGAGAGTG</t>
  </si>
  <si>
    <t xml:space="preserve">AAACCACTCTCAACGATCTGCGCC</t>
  </si>
  <si>
    <t xml:space="preserve">CCTTGATGGCATCGACAGCC</t>
  </si>
  <si>
    <t xml:space="preserve">TAGTCCTTGATGGCATCGACAGCC</t>
  </si>
  <si>
    <t xml:space="preserve">AAACGGCTGTCGATGCCATCAAGG</t>
  </si>
  <si>
    <t xml:space="preserve">PST_1727</t>
  </si>
  <si>
    <t xml:space="preserve">foaB</t>
  </si>
  <si>
    <t xml:space="preserve">TGACTGCATCTCTTGGATTC</t>
  </si>
  <si>
    <t xml:space="preserve">TAGTTGACTGCATCTCTTGGATTC</t>
  </si>
  <si>
    <t xml:space="preserve">AAACGAATCCAAGAGATGCAGTCA</t>
  </si>
  <si>
    <t xml:space="preserve">GCCCTTGGAGCGCCCCATCG</t>
  </si>
  <si>
    <t xml:space="preserve">TAGTGCCCTTGGAGCGCCCCATCG</t>
  </si>
  <si>
    <t xml:space="preserve">AAACCGATGGGGCGCTCCAAGGGC</t>
  </si>
  <si>
    <t xml:space="preserve">TGGTCTCGGCGCGGGTGTTA</t>
  </si>
  <si>
    <t xml:space="preserve">TAGTTGGTCTCGGCGCGGGTGTTA</t>
  </si>
  <si>
    <t xml:space="preserve">AAACTAACACCCGCGCCGAGACCA</t>
  </si>
  <si>
    <t xml:space="preserve">GTCGATCAGCTGTGCGGACA</t>
  </si>
  <si>
    <t xml:space="preserve">TAGTGTCGATCAGCTGTGCGGACA</t>
  </si>
  <si>
    <t xml:space="preserve">AAACTGTCCGCACAGCTGATCGAC</t>
  </si>
  <si>
    <t xml:space="preserve">PST_1728</t>
  </si>
  <si>
    <t xml:space="preserve">AGGCCCCGGCTTCCATGCAC</t>
  </si>
  <si>
    <t xml:space="preserve">TAGTAGGCCCCGGCTTCCATGCAC</t>
  </si>
  <si>
    <t xml:space="preserve">AAACGTGCATGGAAGCCGGGGCCT</t>
  </si>
  <si>
    <t xml:space="preserve">AAAAGAAAAACCGGGGCACC</t>
  </si>
  <si>
    <t xml:space="preserve">TAGTAAAAGAAAAACCGGGGCACC</t>
  </si>
  <si>
    <t xml:space="preserve">AAACGGTGCCCCGGTTTTTCTTTT</t>
  </si>
  <si>
    <t xml:space="preserve">TTGTAATGGCGATAACGCCC</t>
  </si>
  <si>
    <t xml:space="preserve">TAGTTTGTAATGGCGATAACGCCC</t>
  </si>
  <si>
    <t xml:space="preserve">AAACGGGCGTTATCGCCATTACAA</t>
  </si>
  <si>
    <t xml:space="preserve">ACGGCGAATACGCGATATTC</t>
  </si>
  <si>
    <t xml:space="preserve">TAGTACGGCGAATACGCGATATTC</t>
  </si>
  <si>
    <t xml:space="preserve">AAACGAATATCGCGTATTCGCCGT</t>
  </si>
  <si>
    <t xml:space="preserve">PST_1729</t>
  </si>
  <si>
    <t xml:space="preserve">topA</t>
  </si>
  <si>
    <t xml:space="preserve">GATGACCAGCGATTTACCCA</t>
  </si>
  <si>
    <t xml:space="preserve">TAGTGATGACCAGCGATTTACCCA</t>
  </si>
  <si>
    <t xml:space="preserve">AAACTGGGTAAATCGCTGGTCATC</t>
  </si>
  <si>
    <t xml:space="preserve">TTGATTGTCTTGGCCTTGGC</t>
  </si>
  <si>
    <t xml:space="preserve">TAGTTTGATTGTCTTGGCCTTGGC</t>
  </si>
  <si>
    <t xml:space="preserve">AAACGCCAAGGCCAAGACAATCAA</t>
  </si>
  <si>
    <t xml:space="preserve">TACTCGACTTCACCACGTAC</t>
  </si>
  <si>
    <t xml:space="preserve">TAGTTACTCGACTTCACCACGTAC</t>
  </si>
  <si>
    <t xml:space="preserve">AAACGTACGTGGTGAAGTCGAGTA</t>
  </si>
  <si>
    <t xml:space="preserve">TGGTGGGAAGGTCGCGGATG</t>
  </si>
  <si>
    <t xml:space="preserve">TAGTTGGTGGGAAGGTCGCGGATG</t>
  </si>
  <si>
    <t xml:space="preserve">AAACCATCCGCGACCTTCCCACCA</t>
  </si>
  <si>
    <t xml:space="preserve">PST_1730</t>
  </si>
  <si>
    <t xml:space="preserve">GGTGTAGAGCTCGTGAGCCA</t>
  </si>
  <si>
    <t xml:space="preserve">TAGTGGTGTAGAGCTCGTGAGCCA</t>
  </si>
  <si>
    <t xml:space="preserve">AAACTGGCTCACGAGCTCTACACC</t>
  </si>
  <si>
    <t xml:space="preserve">GAAGATCTTCTGGTTGGTAC</t>
  </si>
  <si>
    <t xml:space="preserve">TAGTGAAGATCTTCTGGTTGGTAC</t>
  </si>
  <si>
    <t xml:space="preserve">AAACGTACCAACCAGAAGATCTTC</t>
  </si>
  <si>
    <t xml:space="preserve">TGCGCCAGCTTTCCAGCGAG</t>
  </si>
  <si>
    <t xml:space="preserve">TAGTTGCGCCAGCTTTCCAGCGAG</t>
  </si>
  <si>
    <t xml:space="preserve">AAACCTCGCTGGAAAGCTGGCGCA</t>
  </si>
  <si>
    <t xml:space="preserve">GTTCATCGAGGCAGTCTCTT</t>
  </si>
  <si>
    <t xml:space="preserve">TAGTGTTCATCGAGGCAGTCTCTT</t>
  </si>
  <si>
    <t xml:space="preserve">AAACAAGAGACTGCCTCGATGAAC</t>
  </si>
  <si>
    <t xml:space="preserve">PST_1731</t>
  </si>
  <si>
    <t xml:space="preserve">GGTGAGCAGCAAGGTGCGGG</t>
  </si>
  <si>
    <t xml:space="preserve">TAGTGGTGAGCAGCAAGGTGCGGG</t>
  </si>
  <si>
    <t xml:space="preserve">AAACCCCGCACCTTGCTGCTCACC</t>
  </si>
  <si>
    <t xml:space="preserve">GAACGCCAGCATGGCCAGAG</t>
  </si>
  <si>
    <t xml:space="preserve">TAGTGAACGCCAGCATGGCCAGAG</t>
  </si>
  <si>
    <t xml:space="preserve">AAACCTCTGGCCATGCTGGCGTTC</t>
  </si>
  <si>
    <t xml:space="preserve">CCGACAGAGGATCGAGTTGC</t>
  </si>
  <si>
    <t xml:space="preserve">TAGTCCGACAGAGGATCGAGTTGC</t>
  </si>
  <si>
    <t xml:space="preserve">AAACGCAACTCGATCCTCTGTCGG</t>
  </si>
  <si>
    <t xml:space="preserve">GAAGCTGGCTGGATCGATGG</t>
  </si>
  <si>
    <t xml:space="preserve">TAGTGAAGCTGGCTGGATCGATGG</t>
  </si>
  <si>
    <t xml:space="preserve">AAACCCATCGATCCAGCCAGCTTC</t>
  </si>
  <si>
    <t xml:space="preserve">PST_1732</t>
  </si>
  <si>
    <t xml:space="preserve">TTCCAGAAAAGATGTAGGCA</t>
  </si>
  <si>
    <t xml:space="preserve">TAGTTTCCAGAAAAGATGTAGGCA</t>
  </si>
  <si>
    <t xml:space="preserve">AAACTGCCTACATCTTTTCTGGAA</t>
  </si>
  <si>
    <t xml:space="preserve">CGAAGCACGATGCGCCCGTC</t>
  </si>
  <si>
    <t xml:space="preserve">TAGTCGAAGCACGATGCGCCCGTC</t>
  </si>
  <si>
    <t xml:space="preserve">AAACGACGGGCGCATCGTGCTTCG</t>
  </si>
  <si>
    <t xml:space="preserve">GACCAACACCTCTTCGTCCT</t>
  </si>
  <si>
    <t xml:space="preserve">TAGTGACCAACACCTCTTCGTCCT</t>
  </si>
  <si>
    <t xml:space="preserve">AAACAGGACGAAGAGGTGTTGGTC</t>
  </si>
  <si>
    <t xml:space="preserve">CAGGAAGAGCTTGGCGTCGT</t>
  </si>
  <si>
    <t xml:space="preserve">TAGTCAGGAAGAGCTTGGCGTCGT</t>
  </si>
  <si>
    <t xml:space="preserve">AAACACGACGCCAAGCTCTTCCTG</t>
  </si>
  <si>
    <t xml:space="preserve">PST_1733</t>
  </si>
  <si>
    <t xml:space="preserve">GGGGCCGGGAAGTGCTGGTC</t>
  </si>
  <si>
    <t xml:space="preserve">TAGTGGGGCCGGGAAGTGCTGGTC</t>
  </si>
  <si>
    <t xml:space="preserve">AAACGACCAGCACTTCCCGGCCCC</t>
  </si>
  <si>
    <t xml:space="preserve">ACCGTCGAACAGCGATAGTT</t>
  </si>
  <si>
    <t xml:space="preserve">TAGTACCGTCGAACAGCGATAGTT</t>
  </si>
  <si>
    <t xml:space="preserve">AAACAACTATCGCTGTTCGACGGT</t>
  </si>
  <si>
    <t xml:space="preserve">CAAGGCTGCCGAAAGGTGCC</t>
  </si>
  <si>
    <t xml:space="preserve">TAGTCAAGGCTGCCGAAAGGTGCC</t>
  </si>
  <si>
    <t xml:space="preserve">AAACGGCACCTTTCGGCAGCCTTG</t>
  </si>
  <si>
    <t xml:space="preserve">TCCTGCTCGGGTTTGCTGCG</t>
  </si>
  <si>
    <t xml:space="preserve">TAGTTCCTGCTCGGGTTTGCTGCG</t>
  </si>
  <si>
    <t xml:space="preserve">AAACCGCAGCAAACCCGAGCAGGA</t>
  </si>
  <si>
    <t xml:space="preserve">PST_1734</t>
  </si>
  <si>
    <t xml:space="preserve">lexA-2</t>
  </si>
  <si>
    <t xml:space="preserve">CGTATCCCGCGGGAGGCGCC</t>
  </si>
  <si>
    <t xml:space="preserve">TAGTCGTATCCCGCGGGAGGCGCC</t>
  </si>
  <si>
    <t xml:space="preserve">AAACGGCGCCTCCCGCGGGATACG</t>
  </si>
  <si>
    <t xml:space="preserve">GCAGGTGCGGGCTCGAAGTC</t>
  </si>
  <si>
    <t xml:space="preserve">TAGTGCAGGTGCGGGCTCGAAGTC</t>
  </si>
  <si>
    <t xml:space="preserve">AAACGACTTCGAGCCCGCACCTGC</t>
  </si>
  <si>
    <t xml:space="preserve">GATGATGGGCAAGCCGGTTT</t>
  </si>
  <si>
    <t xml:space="preserve">TAGTGATGATGGGCAAGCCGGTTT</t>
  </si>
  <si>
    <t xml:space="preserve">AAACAAACCGGCTTGCCCATCATC</t>
  </si>
  <si>
    <t xml:space="preserve">TCGGTGCGCCAGCAGCGACG</t>
  </si>
  <si>
    <t xml:space="preserve">TAGTTCGGTGCGCCAGCAGCGACG</t>
  </si>
  <si>
    <t xml:space="preserve">AAACCGTCGCTGCTGGCGCACCGA</t>
  </si>
  <si>
    <t xml:space="preserve">PST_1735</t>
  </si>
  <si>
    <t xml:space="preserve">psrA</t>
  </si>
  <si>
    <t xml:space="preserve">GATCAGGCGAAGCGAGGTCT</t>
  </si>
  <si>
    <t xml:space="preserve">TAGTGATCAGGCGAAGCGAGGTCT</t>
  </si>
  <si>
    <t xml:space="preserve">AAACAGACCTCGCTTCGCCTGATC</t>
  </si>
  <si>
    <t xml:space="preserve">GAGGTTCACCCCAGCCTTGC</t>
  </si>
  <si>
    <t xml:space="preserve">TAGTGAGGTTCACCCCAGCCTTGC</t>
  </si>
  <si>
    <t xml:space="preserve">AAACGCAAGGCTGGGGTGAACCTC</t>
  </si>
  <si>
    <t xml:space="preserve">GGAAACGCGAGAACACCGCC</t>
  </si>
  <si>
    <t xml:space="preserve">TAGTGGAAACGCGAGAACACCGCC</t>
  </si>
  <si>
    <t xml:space="preserve">AAACGGCGGTGTTCTCGCGTTTCC</t>
  </si>
  <si>
    <t xml:space="preserve">GGCTGGCACAGAACGGCCCG</t>
  </si>
  <si>
    <t xml:space="preserve">TAGTGGCTGGCACAGAACGGCCCG</t>
  </si>
  <si>
    <t xml:space="preserve">AAACCGGGCCGTTCTGTGCCAGCC</t>
  </si>
  <si>
    <t xml:space="preserve">PST_1736</t>
  </si>
  <si>
    <t xml:space="preserve">AGAAGATCGAGAAAGGCCAT</t>
  </si>
  <si>
    <t xml:space="preserve">TAGTAGAAGATCGAGAAAGGCCAT</t>
  </si>
  <si>
    <t xml:space="preserve">AAACATGGCCTTTCTCGATCTTCT</t>
  </si>
  <si>
    <t xml:space="preserve">GTAAAGCTGCTGGTCAGCGA</t>
  </si>
  <si>
    <t xml:space="preserve">TAGTGTAAAGCTGCTGGTCAGCGA</t>
  </si>
  <si>
    <t xml:space="preserve">AAACTCGCTGACCAGCAGCTTTAC</t>
  </si>
  <si>
    <t xml:space="preserve">GCGCAGACGCAGCTGCCCGC</t>
  </si>
  <si>
    <t xml:space="preserve">TAGTGCGCAGACGCAGCTGCCCGC</t>
  </si>
  <si>
    <t xml:space="preserve">AAACGCGGGCAGCTGCGTCTGCGC</t>
  </si>
  <si>
    <t xml:space="preserve">CCGTTACGAGCGGTGGACAC</t>
  </si>
  <si>
    <t xml:space="preserve">TAGTCCGTTACGAGCGGTGGACAC</t>
  </si>
  <si>
    <t xml:space="preserve">AAACGTGTCCACCGCTCGTAACGG</t>
  </si>
  <si>
    <t xml:space="preserve">PST_1737</t>
  </si>
  <si>
    <t xml:space="preserve">nagZ</t>
  </si>
  <si>
    <t xml:space="preserve">CCGGAAGCCGCACGAAACCC</t>
  </si>
  <si>
    <t xml:space="preserve">TAGTCCGGAAGCCGCACGAAACCC</t>
  </si>
  <si>
    <t xml:space="preserve">AAACGGGTTTCGTGCGGCTTCCGG</t>
  </si>
  <si>
    <t xml:space="preserve">TTCGGCCAGCCTGGGAGCGT</t>
  </si>
  <si>
    <t xml:space="preserve">TAGTTTCGGCCAGCCTGGGAGCGT</t>
  </si>
  <si>
    <t xml:space="preserve">AAACACGCTCCCAGGCTGGCCGAA</t>
  </si>
  <si>
    <t xml:space="preserve">GCTGGCCATGACCCAGCCAC</t>
  </si>
  <si>
    <t xml:space="preserve">TAGTGCTGGCCATGACCCAGCCAC</t>
  </si>
  <si>
    <t xml:space="preserve">AAACGTGGCTGGGTCATGGCCAGC</t>
  </si>
  <si>
    <t xml:space="preserve">CCGGCGCGAAGCTGAAATCC</t>
  </si>
  <si>
    <t xml:space="preserve">TAGTCCGGCGCGAAGCTGAAATCC</t>
  </si>
  <si>
    <t xml:space="preserve">AAACGGATTTCAGCTTCGCGCCGG</t>
  </si>
  <si>
    <t xml:space="preserve">PST_1738</t>
  </si>
  <si>
    <t xml:space="preserve">ATGATGGCATGGACAGTCAT</t>
  </si>
  <si>
    <t xml:space="preserve">TAGTATGATGGCATGGACAGTCAT</t>
  </si>
  <si>
    <t xml:space="preserve">AAACATGACTGTCCATGCCATCAT</t>
  </si>
  <si>
    <t xml:space="preserve">GCCGGTCAACTGGGTCAGGC</t>
  </si>
  <si>
    <t xml:space="preserve">TAGTGCCGGTCAACTGGGTCAGGC</t>
  </si>
  <si>
    <t xml:space="preserve">AAACGCCTGACCCAGTTGACCGGC</t>
  </si>
  <si>
    <t xml:space="preserve">GCGTATCGATCAGCTGTGCG</t>
  </si>
  <si>
    <t xml:space="preserve">TAGTGCGTATCGATCAGCTGTGCG</t>
  </si>
  <si>
    <t xml:space="preserve">AAACCGCACAGCTGATCGATACGC</t>
  </si>
  <si>
    <t xml:space="preserve">TCCGCAGAGGGACGTCCATA</t>
  </si>
  <si>
    <t xml:space="preserve">TAGTTCCGCAGAGGGACGTCCATA</t>
  </si>
  <si>
    <t xml:space="preserve">AAACTATGGACGTCCCTCTGCGGA</t>
  </si>
  <si>
    <t xml:space="preserve">PST_1739</t>
  </si>
  <si>
    <t xml:space="preserve">GAATTCTTATTGTGTGTGCC</t>
  </si>
  <si>
    <t xml:space="preserve">TAGTGAATTCTTATTGTGTGTGCC</t>
  </si>
  <si>
    <t xml:space="preserve">AAACGGCACACACAATAAGAATTC</t>
  </si>
  <si>
    <t xml:space="preserve">CGAGAACCAGGTCGAACAAC</t>
  </si>
  <si>
    <t xml:space="preserve">TAGTCGAGAACCAGGTCGAACAAC</t>
  </si>
  <si>
    <t xml:space="preserve">AAACGTTGTTCGACCTGGTTCTCG</t>
  </si>
  <si>
    <t xml:space="preserve">CCTTGGTGAGTTCGACTTTC</t>
  </si>
  <si>
    <t xml:space="preserve">TAGTCCTTGGTGAGTTCGACTTTC</t>
  </si>
  <si>
    <t xml:space="preserve">AAACGAAAGTCGAACTCACCAAGG</t>
  </si>
  <si>
    <t xml:space="preserve">CAGGCAGGCTGCGATCGTTG</t>
  </si>
  <si>
    <t xml:space="preserve">TAGTCAGGCAGGCTGCGATCGTTG</t>
  </si>
  <si>
    <t xml:space="preserve">AAACCAACGATCGCAGCCTGCCTG</t>
  </si>
  <si>
    <t xml:space="preserve">PST_1740</t>
  </si>
  <si>
    <t xml:space="preserve">GGCGGCGGCGAACAGGCTCA</t>
  </si>
  <si>
    <t xml:space="preserve">TAGTGGCGGCGGCGAACAGGCTCA</t>
  </si>
  <si>
    <t xml:space="preserve">AAACTGAGCCTGTTCGCCGCCGCC</t>
  </si>
  <si>
    <t xml:space="preserve">CAGCGCATAGCCCGCCAGCG</t>
  </si>
  <si>
    <t xml:space="preserve">TAGTCAGCGCATAGCCCGCCAGCG</t>
  </si>
  <si>
    <t xml:space="preserve">AAACCGCTGGCGGGCTATGCGCTG</t>
  </si>
  <si>
    <t xml:space="preserve">GCCGTTCATTGCGCCAGACA</t>
  </si>
  <si>
    <t xml:space="preserve">TAGTGCCGTTCATTGCGCCAGACA</t>
  </si>
  <si>
    <t xml:space="preserve">AAACTGTCTGGCGCAATGAACGGC</t>
  </si>
  <si>
    <t xml:space="preserve">CTGCTCGTCCAGCAGACAGC</t>
  </si>
  <si>
    <t xml:space="preserve">TAGTCTGCTCGTCCAGCAGACAGC</t>
  </si>
  <si>
    <t xml:space="preserve">AAACGCTGTCTGCTGGACGAGCAG</t>
  </si>
  <si>
    <t xml:space="preserve">PST_1741</t>
  </si>
  <si>
    <t xml:space="preserve">GTCAGGCGAACCAGGGCGTA</t>
  </si>
  <si>
    <t xml:space="preserve">TAGTGTCAGGCGAACCAGGGCGTA</t>
  </si>
  <si>
    <t xml:space="preserve">AAACTACGCCCTGGTTCGCCTGAC</t>
  </si>
  <si>
    <t xml:space="preserve">GAGGCCGGCCAGGCCGAGCG</t>
  </si>
  <si>
    <t xml:space="preserve">TAGTGAGGCCGGCCAGGCCGAGCG</t>
  </si>
  <si>
    <t xml:space="preserve">AAACCGCTCGGCCTGGCCGGCCTC</t>
  </si>
  <si>
    <t xml:space="preserve">GCTGTAGCGGTTATCGAGAT</t>
  </si>
  <si>
    <t xml:space="preserve">TAGTGCTGTAGCGGTTATCGAGAT</t>
  </si>
  <si>
    <t xml:space="preserve">AAACATCTCGATAACCGCTACAGC</t>
  </si>
  <si>
    <t xml:space="preserve">GCCTTGTGCCGGCGGCAGAC</t>
  </si>
  <si>
    <t xml:space="preserve">TAGTGCCTTGTGCCGGCGGCAGAC</t>
  </si>
  <si>
    <t xml:space="preserve">AAACGTCTGCCGCCGGCACAAGGC</t>
  </si>
  <si>
    <t xml:space="preserve">PST_1742</t>
  </si>
  <si>
    <t xml:space="preserve">GGCGAGACGCTGTGTTGCAT</t>
  </si>
  <si>
    <t xml:space="preserve">TAGTGGCGAGACGCTGTGTTGCAT</t>
  </si>
  <si>
    <t xml:space="preserve">AAACATGCAACACAGCGTCTCGCC</t>
  </si>
  <si>
    <t xml:space="preserve">CAGGAACGGACGTAGCCGAT</t>
  </si>
  <si>
    <t xml:space="preserve">TAGTCAGGAACGGACGTAGCCGAT</t>
  </si>
  <si>
    <t xml:space="preserve">AAACATCGGCTACGTCCGTTCCTG</t>
  </si>
  <si>
    <t xml:space="preserve">CAGGCTGGGTTGGCGCGGAA</t>
  </si>
  <si>
    <t xml:space="preserve">TAGTCAGGCTGGGTTGGCGCGGAA</t>
  </si>
  <si>
    <t xml:space="preserve">AAACTTCCGCGCCAACCCAGCCTG</t>
  </si>
  <si>
    <t xml:space="preserve">CAGCACGCCGCGTGCGGCCG</t>
  </si>
  <si>
    <t xml:space="preserve">TAGTCAGCACGCCGCGTGCGGCCG</t>
  </si>
  <si>
    <t xml:space="preserve">AAACCGGCCGCACGCGGCGTGCTG</t>
  </si>
  <si>
    <t xml:space="preserve">PST_1743</t>
  </si>
  <si>
    <t xml:space="preserve">AAACGAGGATCGGACGACAT</t>
  </si>
  <si>
    <t xml:space="preserve">TAGTAAACGAGGATCGGACGACAT</t>
  </si>
  <si>
    <t xml:space="preserve">AAACATGTCGTCCGATCCTCGTTT</t>
  </si>
  <si>
    <t xml:space="preserve">GTAGCCGTTGGCGTCGGGCA</t>
  </si>
  <si>
    <t xml:space="preserve">TAGTGTAGCCGTTGGCGTCGGGCA</t>
  </si>
  <si>
    <t xml:space="preserve">AAACTGCCCGACGCCAACGGCTAC</t>
  </si>
  <si>
    <t xml:space="preserve">GCACCAGCTGGCCACCGTAG</t>
  </si>
  <si>
    <t xml:space="preserve">TAGTGCACCAGCTGGCCACCGTAG</t>
  </si>
  <si>
    <t xml:space="preserve">AAACCTACGGTGGCCAGCTGGTGC</t>
  </si>
  <si>
    <t xml:space="preserve">ATCGCCTGCTTGAGGTGCGG</t>
  </si>
  <si>
    <t xml:space="preserve">TAGTATCGCCTGCTTGAGGTGCGG</t>
  </si>
  <si>
    <t xml:space="preserve">AAACCCGCACCTCAAGCAGGCGAT</t>
  </si>
  <si>
    <t xml:space="preserve">PST_1744</t>
  </si>
  <si>
    <t xml:space="preserve">GCGGGCGCTTCGGAATCATT</t>
  </si>
  <si>
    <t xml:space="preserve">TAGTGCGGGCGCTTCGGAATCATT</t>
  </si>
  <si>
    <t xml:space="preserve">AAACAATGATTCCGAAGCGCCCGC</t>
  </si>
  <si>
    <t xml:space="preserve">GCGGAACCGTAGAACACTAC</t>
  </si>
  <si>
    <t xml:space="preserve">TAGTGCGGAACCGTAGAACACTAC</t>
  </si>
  <si>
    <t xml:space="preserve">AAACGTAGTGTTCTACGGTTCCGC</t>
  </si>
  <si>
    <t xml:space="preserve">GGCGAATACCACGATGGCGA</t>
  </si>
  <si>
    <t xml:space="preserve">TAGTGGCGAATACCACGATGGCGA</t>
  </si>
  <si>
    <t xml:space="preserve">AAACTCGCCATCGTGGTATTCGCC</t>
  </si>
  <si>
    <t xml:space="preserve">GGTGAAGAACATCGTCCATA</t>
  </si>
  <si>
    <t xml:space="preserve">TAGTGGTGAAGAACATCGTCCATA</t>
  </si>
  <si>
    <t xml:space="preserve">AAACTATGGACGATGTTCTTCACC</t>
  </si>
  <si>
    <t xml:space="preserve">PST_1745</t>
  </si>
  <si>
    <t xml:space="preserve">betB</t>
  </si>
  <si>
    <t xml:space="preserve">GAGTTGCTGCCTTGGGAAAC</t>
  </si>
  <si>
    <t xml:space="preserve">TAGTGAGTTGCTGCCTTGGGAAAC</t>
  </si>
  <si>
    <t xml:space="preserve">AAACGTTTCCCAAGGCAGCAACTC</t>
  </si>
  <si>
    <t xml:space="preserve">TGGCGTCGACGTAGGCGCCA</t>
  </si>
  <si>
    <t xml:space="preserve">TAGTTGGCGTCGACGTAGGCGCCA</t>
  </si>
  <si>
    <t xml:space="preserve">AAACTGGCGCCTACGTCGACGCCA</t>
  </si>
  <si>
    <t xml:space="preserve">CTCGAAGGTCTGGTTGCTGC</t>
  </si>
  <si>
    <t xml:space="preserve">TAGTCTCGAAGGTCTGGTTGCTGC</t>
  </si>
  <si>
    <t xml:space="preserve">AAACGCAGCAACCAGACCTTCGAG</t>
  </si>
  <si>
    <t xml:space="preserve">CCAGGACTTCGCCGTTGGCC</t>
  </si>
  <si>
    <t xml:space="preserve">TAGTCCAGGACTTCGCCGTTGGCC</t>
  </si>
  <si>
    <t xml:space="preserve">AAACGGCCAACGGCGAAGTCCTGG</t>
  </si>
  <si>
    <t xml:space="preserve">PST_1746</t>
  </si>
  <si>
    <t xml:space="preserve">betA</t>
  </si>
  <si>
    <t xml:space="preserve">GCGCGCGGCCAGCACATTAC</t>
  </si>
  <si>
    <t xml:space="preserve">TAGTGCGCGCGGCCAGCACATTAC</t>
  </si>
  <si>
    <t xml:space="preserve">AAACGTAATGTGCTGGCCGCGCGC</t>
  </si>
  <si>
    <t xml:space="preserve">CAGCAGCAGCACGCTGACCT</t>
  </si>
  <si>
    <t xml:space="preserve">TAGTCAGCAGCAGCACGCTGACCT</t>
  </si>
  <si>
    <t xml:space="preserve">AAACAGGTCAGCGTGCTGCTGCTG</t>
  </si>
  <si>
    <t xml:space="preserve">CAGCCGGTAGTCCGGGCCGC</t>
  </si>
  <si>
    <t xml:space="preserve">TAGTCAGCCGGTAGTCCGGGCCGC</t>
  </si>
  <si>
    <t xml:space="preserve">AAACGCGGCCCGGACTACCGGCTG</t>
  </si>
  <si>
    <t xml:space="preserve">GCGCGGCAGGCATCTGGGTG</t>
  </si>
  <si>
    <t xml:space="preserve">TAGTGCGCGGCAGGCATCTGGGTG</t>
  </si>
  <si>
    <t xml:space="preserve">AAACCACCCAGATGCCTGCCGCGC</t>
  </si>
  <si>
    <t xml:space="preserve">PST_1747</t>
  </si>
  <si>
    <t xml:space="preserve">TCGAAAACCGCGCATGAAAA</t>
  </si>
  <si>
    <t xml:space="preserve">TAGTTCGAAAACCGCGCATGAAAA</t>
  </si>
  <si>
    <t xml:space="preserve">AAACTTTTCATGCGCGGTTTTCGA</t>
  </si>
  <si>
    <t xml:space="preserve">AAGCTCACGAACCCGACTGT</t>
  </si>
  <si>
    <t xml:space="preserve">TAGTAAGCTCACGAACCCGACTGT</t>
  </si>
  <si>
    <t xml:space="preserve">AAACACAGTCGGGTTCGTGAGCTT</t>
  </si>
  <si>
    <t xml:space="preserve">CGGAATCGACGGTCGCCTTG</t>
  </si>
  <si>
    <t xml:space="preserve">TAGTCGGAATCGACGGTCGCCTTG</t>
  </si>
  <si>
    <t xml:space="preserve">AAACCAAGGCGACCGTCGATTCCG</t>
  </si>
  <si>
    <t xml:space="preserve">CAGCTGAGTGAGGATGCGTT</t>
  </si>
  <si>
    <t xml:space="preserve">TAGTCAGCTGAGTGAGGATGCGTT</t>
  </si>
  <si>
    <t xml:space="preserve">AAACAACGCATCCTCACTCAGCTG</t>
  </si>
  <si>
    <t xml:space="preserve">PST_1748</t>
  </si>
  <si>
    <t xml:space="preserve">GGCGGGGTGGGCGTGGGCAT</t>
  </si>
  <si>
    <t xml:space="preserve">TAGTGGCGGGGTGGGCGTGGGCAT</t>
  </si>
  <si>
    <t xml:space="preserve">AAACATGCCCACGCCCACCCCGCC</t>
  </si>
  <si>
    <t xml:space="preserve">TCGAAGTTGTTGTCTCGGTT</t>
  </si>
  <si>
    <t xml:space="preserve">TAGTTCGAAGTTGTTGTCTCGGTT</t>
  </si>
  <si>
    <t xml:space="preserve">AAACAACCGAGACAACAACTTCGA</t>
  </si>
  <si>
    <t xml:space="preserve">TCGCGGCGGCGAAAAAACGC</t>
  </si>
  <si>
    <t xml:space="preserve">TAGTTCGCGGCGGCGAAAAAACGC</t>
  </si>
  <si>
    <t xml:space="preserve">AAACGCGTTTTTTCGCCGCCGCGA</t>
  </si>
  <si>
    <t xml:space="preserve">CCTGGTGCGCCTGCCCGGCG</t>
  </si>
  <si>
    <t xml:space="preserve">TAGTCCTGGTGCGCCTGCCCGGCG</t>
  </si>
  <si>
    <t xml:space="preserve">AAACCGCCGGGCAGGCGCACCAGG</t>
  </si>
  <si>
    <t xml:space="preserve">PST_1749</t>
  </si>
  <si>
    <t xml:space="preserve">AATGCGAGCCTGGTTGTGCA</t>
  </si>
  <si>
    <t xml:space="preserve">TAGTAATGCGAGCCTGGTTGTGCA</t>
  </si>
  <si>
    <t xml:space="preserve">AAACTGCACAACCAGGCTCGCATT</t>
  </si>
  <si>
    <t xml:space="preserve">GCCGGCGTCTGTTGGCGGCA</t>
  </si>
  <si>
    <t xml:space="preserve">TAGTGCCGGCGTCTGTTGGCGGCA</t>
  </si>
  <si>
    <t xml:space="preserve">AAACTGCCGCCAACAGACGCCGGC</t>
  </si>
  <si>
    <t xml:space="preserve">CGGCATGTCGCAGGCCATGT</t>
  </si>
  <si>
    <t xml:space="preserve">TAGTCGGCATGTCGCAGGCCATGT</t>
  </si>
  <si>
    <t xml:space="preserve">AAACACATGGCCTGCGACATGCCG</t>
  </si>
  <si>
    <t xml:space="preserve">ATGGTCGTCTGGCGCCTGAT</t>
  </si>
  <si>
    <t xml:space="preserve">TAGTATGGTCGTCTGGCGCCTGAT</t>
  </si>
  <si>
    <t xml:space="preserve">AAACATCAGGCGCCAGACGACCAT</t>
  </si>
  <si>
    <t xml:space="preserve">PST_1750</t>
  </si>
  <si>
    <t xml:space="preserve">GAGTGCGAAACCGAGGGCGC</t>
  </si>
  <si>
    <t xml:space="preserve">TAGTGAGTGCGAAACCGAGGGCGC</t>
  </si>
  <si>
    <t xml:space="preserve">AAACGCGCCCTCGGTTTCGCACTC</t>
  </si>
  <si>
    <t xml:space="preserve">GCGATCACCATGGCACTGGC</t>
  </si>
  <si>
    <t xml:space="preserve">TAGTGCGATCACCATGGCACTGGC</t>
  </si>
  <si>
    <t xml:space="preserve">AAACGCCAGTGCCATGGTGATCGC</t>
  </si>
  <si>
    <t xml:space="preserve">CGTATCGGCCCTCAGCGACT</t>
  </si>
  <si>
    <t xml:space="preserve">TAGTCGTATCGGCCCTCAGCGACT</t>
  </si>
  <si>
    <t xml:space="preserve">AAACAGTCGCTGAGGGCCGATACG</t>
  </si>
  <si>
    <t xml:space="preserve">GCTGCCCTGCACGTCCGGCA</t>
  </si>
  <si>
    <t xml:space="preserve">TAGTGCTGCCCTGCACGTCCGGCA</t>
  </si>
  <si>
    <t xml:space="preserve">AAACTGCCGGACGTGCAGGGCAGC</t>
  </si>
  <si>
    <t xml:space="preserve">PST_1751</t>
  </si>
  <si>
    <t xml:space="preserve">TGAACGATGGCAACTTTCAT</t>
  </si>
  <si>
    <t xml:space="preserve">TAGTTGAACGATGGCAACTTTCAT</t>
  </si>
  <si>
    <t xml:space="preserve">AAACATGAAAGTTGCCATCGTTCA</t>
  </si>
  <si>
    <t xml:space="preserve">CAAACCGGCCAGCACGCGCT</t>
  </si>
  <si>
    <t xml:space="preserve">TAGTCAAACCGGCCAGCACGCGCT</t>
  </si>
  <si>
    <t xml:space="preserve">AAACAGCGCGTGCTGGCCGGTTTG</t>
  </si>
  <si>
    <t xml:space="preserve">ACGGCGAACAGGTCGGCCTC</t>
  </si>
  <si>
    <t xml:space="preserve">TAGTACGGCGAACAGGTCGGCCTC</t>
  </si>
  <si>
    <t xml:space="preserve">AAACGAGGCCGACCTGTTCGCCGT</t>
  </si>
  <si>
    <t xml:space="preserve">GGGCGCGGTCTTCATCGGAG</t>
  </si>
  <si>
    <t xml:space="preserve">TAGTGGGCGCGGTCTTCATCGGAG</t>
  </si>
  <si>
    <t xml:space="preserve">AAACCTCCGATGAAGACCGCGCCC</t>
  </si>
  <si>
    <t xml:space="preserve">PST_1752</t>
  </si>
  <si>
    <t xml:space="preserve">GATGTGCACCAACCGTTCCA</t>
  </si>
  <si>
    <t xml:space="preserve">TAGTGATGTGCACCAACCGTTCCA</t>
  </si>
  <si>
    <t xml:space="preserve">AAACTGGAACGGTTGGTGCACATC</t>
  </si>
  <si>
    <t xml:space="preserve">GACATGAACAATCAGAAGGA</t>
  </si>
  <si>
    <t xml:space="preserve">TAGTGACATGAACAATCAGAAGGA</t>
  </si>
  <si>
    <t xml:space="preserve">AAACTCCTTCTGATTGTTCATGTC</t>
  </si>
  <si>
    <t xml:space="preserve">GAACCGGGCTCTGTCAGCAG</t>
  </si>
  <si>
    <t xml:space="preserve">TAGTGAACCGGGCTCTGTCAGCAG</t>
  </si>
  <si>
    <t xml:space="preserve">AAACCTGCTGACAGAGCCCGGTTC</t>
  </si>
  <si>
    <t xml:space="preserve">CCAGAGGTCGATGGCCGGCG</t>
  </si>
  <si>
    <t xml:space="preserve">TAGTCCAGAGGTCGATGGCCGGCG</t>
  </si>
  <si>
    <t xml:space="preserve">AAACCGCCGGCCATCGACCTCTGG</t>
  </si>
  <si>
    <t xml:space="preserve">PST_1753</t>
  </si>
  <si>
    <t xml:space="preserve">CGAGCGTTGATGACAATCAT</t>
  </si>
  <si>
    <t xml:space="preserve">TAGTCGAGCGTTGATGACAATCAT</t>
  </si>
  <si>
    <t xml:space="preserve">AAACATGATTGTCATCAACGCTCG</t>
  </si>
  <si>
    <t xml:space="preserve">CGCCGCGGGTTTCCTGGGTC</t>
  </si>
  <si>
    <t xml:space="preserve">TAGTCGCCGCGGGTTTCCTGGGTC</t>
  </si>
  <si>
    <t xml:space="preserve">AAACGACCCAGGAAACCCGCGGCG</t>
  </si>
  <si>
    <t xml:space="preserve">TAACTCCAGGCAGACCTGTT</t>
  </si>
  <si>
    <t xml:space="preserve">TAGTTAACTCCAGGCAGACCTGTT</t>
  </si>
  <si>
    <t xml:space="preserve">AAACAACAGGTCTGCCTGGAGTTA</t>
  </si>
  <si>
    <t xml:space="preserve">AAAGGTGAGGTCCTTGCGCA</t>
  </si>
  <si>
    <t xml:space="preserve">TAGTAAAGGTGAGGTCCTTGCGCA</t>
  </si>
  <si>
    <t xml:space="preserve">AAACTGCGCAAGGACCTCACCTTT</t>
  </si>
  <si>
    <t xml:space="preserve">PST_1754</t>
  </si>
  <si>
    <t xml:space="preserve">GGGTAGAGCGAATCGTCATG</t>
  </si>
  <si>
    <t xml:space="preserve">TAGTGGGTAGAGCGAATCGTCATG</t>
  </si>
  <si>
    <t xml:space="preserve">AAACCATGACGATTCGCTCTACCC</t>
  </si>
  <si>
    <t xml:space="preserve">GAGCAGCAAAGCGTGGAGCA</t>
  </si>
  <si>
    <t xml:space="preserve">TAGTGAGCAGCAAAGCGTGGAGCA</t>
  </si>
  <si>
    <t xml:space="preserve">AAACTGCTCCACGCTTTGCTGCTC</t>
  </si>
  <si>
    <t xml:space="preserve">GGGTTCCTCGGTGGTCTGTG</t>
  </si>
  <si>
    <t xml:space="preserve">TAGTGGGTTCCTCGGTGGTCTGTG</t>
  </si>
  <si>
    <t xml:space="preserve">AAACCACAGACCACCGAGGAACCC</t>
  </si>
  <si>
    <t xml:space="preserve">GCGCAGACACCGACGACGAA</t>
  </si>
  <si>
    <t xml:space="preserve">TAGTGCGCAGACACCGACGACGAA</t>
  </si>
  <si>
    <t xml:space="preserve">AAACTTCGTCGTCGGTGTCTGCGC</t>
  </si>
  <si>
    <t xml:space="preserve">PST_1755</t>
  </si>
  <si>
    <t xml:space="preserve">GTAGCGCAGGGCACCGGAGA</t>
  </si>
  <si>
    <t xml:space="preserve">TAGTGTAGCGCAGGGCACCGGAGA</t>
  </si>
  <si>
    <t xml:space="preserve">AAACTCTCCGGTGCCCTGCGCTAC</t>
  </si>
  <si>
    <t xml:space="preserve">CTTCGGCAGGTACAGCAGCC</t>
  </si>
  <si>
    <t xml:space="preserve">TAGTCTTCGGCAGGTACAGCAGCC</t>
  </si>
  <si>
    <t xml:space="preserve">AAACGGCTGCTGTACCTGCCGAAG</t>
  </si>
  <si>
    <t xml:space="preserve">CAGGCTCAGCGCTGCCAGGC</t>
  </si>
  <si>
    <t xml:space="preserve">TAGTCAGGCTCAGCGCTGCCAGGC</t>
  </si>
  <si>
    <t xml:space="preserve">AAACGCCTGGCAGCGCTGAGCCTG</t>
  </si>
  <si>
    <t xml:space="preserve">GCCAGAACAGCGGCCAGCCG</t>
  </si>
  <si>
    <t xml:space="preserve">TAGTGCCAGAACAGCGGCCAGCCG</t>
  </si>
  <si>
    <t xml:space="preserve">AAACCGGCTGGCCGCTGTTCTGGC</t>
  </si>
  <si>
    <t xml:space="preserve">PST_1756</t>
  </si>
  <si>
    <t xml:space="preserve">CGTAGAACGCATTGAGAAAT</t>
  </si>
  <si>
    <t xml:space="preserve">TAGTCGTAGAACGCATTGAGAAAT</t>
  </si>
  <si>
    <t xml:space="preserve">AAACATTTCTCAATGCGTTCTACG</t>
  </si>
  <si>
    <t xml:space="preserve">TCCGCACCTCCGCCGATGTG</t>
  </si>
  <si>
    <t xml:space="preserve">TAGTTCCGCACCTCCGCCGATGTG</t>
  </si>
  <si>
    <t xml:space="preserve">AAACCACATCGGCGGAGGTGCGGA</t>
  </si>
  <si>
    <t xml:space="preserve">GCCCCTTGGCCAGATGGCGG</t>
  </si>
  <si>
    <t xml:space="preserve">TAGTGCCCCTTGGCCAGATGGCGG</t>
  </si>
  <si>
    <t xml:space="preserve">AAACCCGCCATCTGGCCAAGGGGC</t>
  </si>
  <si>
    <t xml:space="preserve">GCACGGCTACCTCGCAACCG</t>
  </si>
  <si>
    <t xml:space="preserve">TAGTGCACGGCTACCTCGCAACCG</t>
  </si>
  <si>
    <t xml:space="preserve">AAACCGGTTGCGAGGTAGCCGTGC</t>
  </si>
  <si>
    <t xml:space="preserve">PST_1757</t>
  </si>
  <si>
    <t xml:space="preserve">CTGGATCAGATACCAGCGTG</t>
  </si>
  <si>
    <t xml:space="preserve">TAGTCTGGATCAGATACCAGCGTG</t>
  </si>
  <si>
    <t xml:space="preserve">AAACCACGCTGGTATCTGATCCAG</t>
  </si>
  <si>
    <t xml:space="preserve">GCGGGCCTCCTGGCGCGGTT</t>
  </si>
  <si>
    <t xml:space="preserve">TAGTGCGGGCCTCCTGGCGCGGTT</t>
  </si>
  <si>
    <t xml:space="preserve">AAACAACCGCGCCAGGAGGCCCGC</t>
  </si>
  <si>
    <t xml:space="preserve">CTGGCGCAGCAGGTGCTCCT</t>
  </si>
  <si>
    <t xml:space="preserve">TAGTCTGGCGCAGCAGGTGCTCCT</t>
  </si>
  <si>
    <t xml:space="preserve">AAACAGGAGCACCTGCTGCGCCAG</t>
  </si>
  <si>
    <t xml:space="preserve">TCGCCGCCGACGCCTTGAGC</t>
  </si>
  <si>
    <t xml:space="preserve">TAGTTCGCCGCCGACGCCTTGAGC</t>
  </si>
  <si>
    <t xml:space="preserve">AAACGCTCAAGGCGTCGGCGGCGA</t>
  </si>
  <si>
    <t xml:space="preserve">PST_1758</t>
  </si>
  <si>
    <t xml:space="preserve">CCCAGGTACGGAAAGAGATA</t>
  </si>
  <si>
    <t xml:space="preserve">TAGTCCCAGGTACGGAAAGAGATA</t>
  </si>
  <si>
    <t xml:space="preserve">AAACTATCTCTTTCCGTACCTGGG</t>
  </si>
  <si>
    <t xml:space="preserve">CATCGCTGAGGGCGATCAGC</t>
  </si>
  <si>
    <t xml:space="preserve">TAGTCATCGCTGAGGGCGATCAGC</t>
  </si>
  <si>
    <t xml:space="preserve">AAACGCTGATCGCCCTCAGCGATG</t>
  </si>
  <si>
    <t xml:space="preserve">CATACTGCAGGTCATCGCCC</t>
  </si>
  <si>
    <t xml:space="preserve">TAGTCATACTGCAGGTCATCGCCC</t>
  </si>
  <si>
    <t xml:space="preserve">AAACGGGCGATGACCTGCAGTATG</t>
  </si>
  <si>
    <t xml:space="preserve">CGTTGACCAGCACGCGGTTG</t>
  </si>
  <si>
    <t xml:space="preserve">TAGTCGTTGACCAGCACGCGGTTG</t>
  </si>
  <si>
    <t xml:space="preserve">AAACCAACCGCGTGCTGGTCAACG</t>
  </si>
  <si>
    <t xml:space="preserve">PST_1759</t>
  </si>
  <si>
    <t xml:space="preserve">GAGCGGGTCAGGGCAGTCAT</t>
  </si>
  <si>
    <t xml:space="preserve">TAGTGAGCGGGTCAGGGCAGTCAT</t>
  </si>
  <si>
    <t xml:space="preserve">AAACATGACTGCCCTGACCCGCTC</t>
  </si>
  <si>
    <t xml:space="preserve">CCGTGCGCATGATGCCGGCC</t>
  </si>
  <si>
    <t xml:space="preserve">TAGTCCGTGCGCATGATGCCGGCC</t>
  </si>
  <si>
    <t xml:space="preserve">AAACGGCCGGCATCATGCGCACGG</t>
  </si>
  <si>
    <t xml:space="preserve">GATCAACGCCTTGTGGTCGT</t>
  </si>
  <si>
    <t xml:space="preserve">TAGTGATCAACGCCTTGTGGTCGT</t>
  </si>
  <si>
    <t xml:space="preserve">AAACACGACCACAAGGCGTTGATC</t>
  </si>
  <si>
    <t xml:space="preserve">CACGGTGAACAACCCTGTGA</t>
  </si>
  <si>
    <t xml:space="preserve">TAGTCACGGTGAACAACCCTGTGA</t>
  </si>
  <si>
    <t xml:space="preserve">AAACTCACAGGGTTGTTCACCGTG</t>
  </si>
  <si>
    <t xml:space="preserve">PST_1760</t>
  </si>
  <si>
    <t xml:space="preserve">GACGATGCTCAGCAGCGGTT</t>
  </si>
  <si>
    <t xml:space="preserve">TAGTGACGATGCTCAGCAGCGGTT</t>
  </si>
  <si>
    <t xml:space="preserve">AAACAACCGCTGCTGAGCATCGTC</t>
  </si>
  <si>
    <t xml:space="preserve">AGGACGCATGATTGTAGGTG</t>
  </si>
  <si>
    <t xml:space="preserve">TAGTAGGACGCATGATTGTAGGTG</t>
  </si>
  <si>
    <t xml:space="preserve">AAACCACCTACAATCATGCGTCCT</t>
  </si>
  <si>
    <t xml:space="preserve">CTCCAGCGTCTTCCGAATGA</t>
  </si>
  <si>
    <t xml:space="preserve">TAGTCTCCAGCGTCTTCCGAATGA</t>
  </si>
  <si>
    <t xml:space="preserve">AAACTCATTCGGAAGACGCTGGAG</t>
  </si>
  <si>
    <t xml:space="preserve">AGGGGAAATCCGTTTCCTGC</t>
  </si>
  <si>
    <t xml:space="preserve">TAGTAGGGGAAATCCGTTTCCTGC</t>
  </si>
  <si>
    <t xml:space="preserve">AAACGCAGGAAACGGATTTCCCCT</t>
  </si>
  <si>
    <t xml:space="preserve">PST_1761</t>
  </si>
  <si>
    <t xml:space="preserve">CGGATCACCGATAACCGCTT</t>
  </si>
  <si>
    <t xml:space="preserve">TAGTCGGATCACCGATAACCGCTT</t>
  </si>
  <si>
    <t xml:space="preserve">AAACAAGCGGTTATCGGTGATCCG</t>
  </si>
  <si>
    <t xml:space="preserve">GGTAATTCAGGCTGGTGTTG</t>
  </si>
  <si>
    <t xml:space="preserve">TAGTGGTAATTCAGGCTGGTGTTG</t>
  </si>
  <si>
    <t xml:space="preserve">AAACCAACACCAGCCTGAATTACC</t>
  </si>
  <si>
    <t xml:space="preserve">CGATCAGCAGGGCATAGGCC</t>
  </si>
  <si>
    <t xml:space="preserve">TAGTCGATCAGCAGGGCATAGGCC</t>
  </si>
  <si>
    <t xml:space="preserve">AAACGGCCTATGCCCTGCTGATCG</t>
  </si>
  <si>
    <t xml:space="preserve">CCAGGTAGAACGGCAGAATC</t>
  </si>
  <si>
    <t xml:space="preserve">TAGTCCAGGTAGAACGGCAGAATC</t>
  </si>
  <si>
    <t xml:space="preserve">AAACGATTCTGCCGTTCTACCTGG</t>
  </si>
  <si>
    <t xml:space="preserve">PST_1762</t>
  </si>
  <si>
    <t xml:space="preserve">GACTTGGTCACGTTGATCAT</t>
  </si>
  <si>
    <t xml:space="preserve">TAGTGACTTGGTCACGTTGATCAT</t>
  </si>
  <si>
    <t xml:space="preserve">AAACATGATCAACGTGACCAAGTC</t>
  </si>
  <si>
    <t xml:space="preserve">CTTGTTCTTGCTGCCCAGGT</t>
  </si>
  <si>
    <t xml:space="preserve">TAGTCTTGTTCTTGCTGCCCAGGT</t>
  </si>
  <si>
    <t xml:space="preserve">AAACACCTGGGCAGCAAGAACAAG</t>
  </si>
  <si>
    <t xml:space="preserve">GCCAGCCGGTGTTGTAGATG</t>
  </si>
  <si>
    <t xml:space="preserve">TAGTGCCAGCCGGTGTTGTAGATG</t>
  </si>
  <si>
    <t xml:space="preserve">AAACCATCTACAACACCGGCTGGC</t>
  </si>
  <si>
    <t xml:space="preserve">CGTCACCAGGGGTCCGTTGT</t>
  </si>
  <si>
    <t xml:space="preserve">TAGTCGTCACCAGGGGTCCGTTGT</t>
  </si>
  <si>
    <t xml:space="preserve">AAACACAACGGACCCCTGGTGACG</t>
  </si>
  <si>
    <t xml:space="preserve">PST_1763</t>
  </si>
  <si>
    <t xml:space="preserve">ACTATAGAAGATGGATGACA</t>
  </si>
  <si>
    <t xml:space="preserve">TAGTACTATAGAAGATGGATGACA</t>
  </si>
  <si>
    <t xml:space="preserve">AAACTGTCATCCATCTTCTATAGT</t>
  </si>
  <si>
    <t xml:space="preserve">ATTCAGGAAGTCGTGCAGGC</t>
  </si>
  <si>
    <t xml:space="preserve">TAGTATTCAGGAAGTCGTGCAGGC</t>
  </si>
  <si>
    <t xml:space="preserve">AAACGCCTGCACGACTTCCTGAAT</t>
  </si>
  <si>
    <t xml:space="preserve">TACTTCCTCGCCGCCGTGGT</t>
  </si>
  <si>
    <t xml:space="preserve">TAGTTACTTCCTCGCCGCCGTGGT</t>
  </si>
  <si>
    <t xml:space="preserve">AAACACCACGGCGGCGAGGAAGTA</t>
  </si>
  <si>
    <t xml:space="preserve">TTCCGGCGCGGCCCCCAGCA</t>
  </si>
  <si>
    <t xml:space="preserve">TAGTTTCCGGCGCGGCCCCCAGCA</t>
  </si>
  <si>
    <t xml:space="preserve">AAACTGCTGGGGGCCGCGCCGGAA</t>
  </si>
  <si>
    <t xml:space="preserve">PST_1766</t>
  </si>
  <si>
    <t xml:space="preserve">GGAACCGCTTTTCGCCACCG</t>
  </si>
  <si>
    <t xml:space="preserve">TAGTGGAACCGCTTTTCGCCACCG</t>
  </si>
  <si>
    <t xml:space="preserve">AAACCGGTGGCGAAAAGCGGTTCC</t>
  </si>
  <si>
    <t xml:space="preserve">GCTGGCGACCGATGGCGCTC</t>
  </si>
  <si>
    <t xml:space="preserve">TAGTGCTGGCGACCGATGGCGCTC</t>
  </si>
  <si>
    <t xml:space="preserve">AAACGAGCGCCATCGGTCGCCAGC</t>
  </si>
  <si>
    <t xml:space="preserve">AGCCCTCGCCTTGAGTGCGA</t>
  </si>
  <si>
    <t xml:space="preserve">TAGTAGCCCTCGCCTTGAGTGCGA</t>
  </si>
  <si>
    <t xml:space="preserve">AAACTCGCACTCAAGGCGAGGGCT</t>
  </si>
  <si>
    <t xml:space="preserve">CATTCGTCCGCCTGAACGTT</t>
  </si>
  <si>
    <t xml:space="preserve">TAGTCATTCGTCCGCCTGAACGTT</t>
  </si>
  <si>
    <t xml:space="preserve">AAACAACGTTCAGGCGGACGAATG</t>
  </si>
  <si>
    <t xml:space="preserve">PST_1767</t>
  </si>
  <si>
    <t xml:space="preserve">TGAGGCAATTATCGATTTCA</t>
  </si>
  <si>
    <t xml:space="preserve">TAGTTGAGGCAATTATCGATTTCA</t>
  </si>
  <si>
    <t xml:space="preserve">AAACTGAAATCGATAATTGCCTCA</t>
  </si>
  <si>
    <t xml:space="preserve">CGACGACTCCGCGAACGCAC</t>
  </si>
  <si>
    <t xml:space="preserve">TAGTCGACGACTCCGCGAACGCAC</t>
  </si>
  <si>
    <t xml:space="preserve">AAACGTGCGTTCGCGGAGTCGTCG</t>
  </si>
  <si>
    <t xml:space="preserve">CACCGCGTCCTCCGCAGCTC</t>
  </si>
  <si>
    <t xml:space="preserve">TAGTCACCGCGTCCTCCGCAGCTC</t>
  </si>
  <si>
    <t xml:space="preserve">AAACGAGCTGCGGAGGACGCGGTG</t>
  </si>
  <si>
    <t xml:space="preserve">TTCTTCCGGGGACGCAGGCA</t>
  </si>
  <si>
    <t xml:space="preserve">TAGTTTCTTCCGGGGACGCAGGCA</t>
  </si>
  <si>
    <t xml:space="preserve">AAACTGCCTGCGTCCCCGGAAGAA</t>
  </si>
  <si>
    <t xml:space="preserve">PST_1768</t>
  </si>
  <si>
    <t xml:space="preserve">ATCAGACACGCGGATGAATT</t>
  </si>
  <si>
    <t xml:space="preserve">TAGTATCAGACACGCGGATGAATT</t>
  </si>
  <si>
    <t xml:space="preserve">AAACAATTCATCCGCGTGTCTGAT</t>
  </si>
  <si>
    <t xml:space="preserve">CGAAGCTGCTCTGCGGCAAT</t>
  </si>
  <si>
    <t xml:space="preserve">TAGTCGAAGCTGCTCTGCGGCAAT</t>
  </si>
  <si>
    <t xml:space="preserve">AAACATTGCCGCAGAGCAGCTTCG</t>
  </si>
  <si>
    <t xml:space="preserve">CGCACCGTTCTGCAACTCCG</t>
  </si>
  <si>
    <t xml:space="preserve">TAGTCGCACCGTTCTGCAACTCCG</t>
  </si>
  <si>
    <t xml:space="preserve">AAACCGGAGTTGCAGAACGGTGCG</t>
  </si>
  <si>
    <t xml:space="preserve">CCCAGCAACTGAACGCGCAC</t>
  </si>
  <si>
    <t xml:space="preserve">TAGTCCCAGCAACTGAACGCGCAC</t>
  </si>
  <si>
    <t xml:space="preserve">AAACGTGCGCGTTCAGTTGCTGGG</t>
  </si>
  <si>
    <t xml:space="preserve">PST_1769</t>
  </si>
  <si>
    <t xml:space="preserve">CAGTGGCGGCGCCGATGCCG</t>
  </si>
  <si>
    <t xml:space="preserve">TAGTCAGTGGCGGCGCCGATGCCG</t>
  </si>
  <si>
    <t xml:space="preserve">AAACCGGCATCGGCGCCGCCACTG</t>
  </si>
  <si>
    <t xml:space="preserve">CTGGTGATAGTTCAGGCACA</t>
  </si>
  <si>
    <t xml:space="preserve">TAGTCTGGTGATAGTTCAGGCACA</t>
  </si>
  <si>
    <t xml:space="preserve">AAACTGTGCCTGAACTATCACCAG</t>
  </si>
  <si>
    <t xml:space="preserve">CTGCTCGAGCACCGCGTTCG</t>
  </si>
  <si>
    <t xml:space="preserve">TAGTCTGCTCGAGCACCGCGTTCG</t>
  </si>
  <si>
    <t xml:space="preserve">AAACCGAACGCGGTGCTCGAGCAG</t>
  </si>
  <si>
    <t xml:space="preserve">TCGCCGTCACGCCCAGGCCG</t>
  </si>
  <si>
    <t xml:space="preserve">TAGTTCGCCGTCACGCCCAGGCCG</t>
  </si>
  <si>
    <t xml:space="preserve">AAACCGGCCTGGGCGTGACGGCGA</t>
  </si>
  <si>
    <t xml:space="preserve">PST_1770</t>
  </si>
  <si>
    <t xml:space="preserve">ibpA</t>
  </si>
  <si>
    <t xml:space="preserve">GCCGGAACAGAGGGGCCATG</t>
  </si>
  <si>
    <t xml:space="preserve">TAGTGCCGGAACAGAGGGGCCATG</t>
  </si>
  <si>
    <t xml:space="preserve">AAACCATGGCCCCTCTGTTCCGGC</t>
  </si>
  <si>
    <t xml:space="preserve">GTTGAAGCGATCGAAGCCCA</t>
  </si>
  <si>
    <t xml:space="preserve">TAGTGTTGAAGCGATCGAAGCCCA</t>
  </si>
  <si>
    <t xml:space="preserve">AAACTGGGCTTCGATCGCTTCAAC</t>
  </si>
  <si>
    <t xml:space="preserve">TACGCAAGGCCGACTCGAAC</t>
  </si>
  <si>
    <t xml:space="preserve">TAGTTACGCAAGGCCGACTCGAAC</t>
  </si>
  <si>
    <t xml:space="preserve">AAACGTTCGAGTCGGCCTTGCGTA</t>
  </si>
  <si>
    <t xml:space="preserve">GTAGGGCGGGTACGAGCTGC</t>
  </si>
  <si>
    <t xml:space="preserve">TAGTGTAGGGCGGGTACGAGCTGC</t>
  </si>
  <si>
    <t xml:space="preserve">AAACGCAGCTCGTACCCGCCCTAC</t>
  </si>
  <si>
    <t xml:space="preserve">PST_1771</t>
  </si>
  <si>
    <t xml:space="preserve">GTTTAGGTTGGCGAGATCCA</t>
  </si>
  <si>
    <t xml:space="preserve">TAGTGTTTAGGTTGGCGAGATCCA</t>
  </si>
  <si>
    <t xml:space="preserve">AAACTGGATCTCGCCAACCTAAAC</t>
  </si>
  <si>
    <t xml:space="preserve">GGTTTCCGCGACTGCGATAA</t>
  </si>
  <si>
    <t xml:space="preserve">TAGTGGTTTCCGCGACTGCGATAA</t>
  </si>
  <si>
    <t xml:space="preserve">AAACTTATCGCAGTCGCGGAAACC</t>
  </si>
  <si>
    <t xml:space="preserve">GGCGGCCAGGGAAAAGCTGC</t>
  </si>
  <si>
    <t xml:space="preserve">TAGTGGCGGCCAGGGAAAAGCTGC</t>
  </si>
  <si>
    <t xml:space="preserve">AAACGCAGCTTTTCCCTGGCCGCC</t>
  </si>
  <si>
    <t xml:space="preserve">CTGGGTCAGATGGAGGCGTT</t>
  </si>
  <si>
    <t xml:space="preserve">TAGTCTGGGTCAGATGGAGGCGTT</t>
  </si>
  <si>
    <t xml:space="preserve">AAACAACGCCTCCATCTGACCCAG</t>
  </si>
  <si>
    <t xml:space="preserve">PST_1772</t>
  </si>
  <si>
    <t xml:space="preserve">leuC</t>
  </si>
  <si>
    <t xml:space="preserve">TAGAGCGTCTTGCCGGCCAT</t>
  </si>
  <si>
    <t xml:space="preserve">TAGTTAGAGCGTCTTGCCGGCCAT</t>
  </si>
  <si>
    <t xml:space="preserve">AAACATGGCCGGCAAGACGCTCTA</t>
  </si>
  <si>
    <t xml:space="preserve">TCACTTCGTGGAGGATGTGA</t>
  </si>
  <si>
    <t xml:space="preserve">TAGTTCACTTCGTGGAGGATGTGA</t>
  </si>
  <si>
    <t xml:space="preserve">AAACTCACATCCTCCACGAAGTGA</t>
  </si>
  <si>
    <t xml:space="preserve">CGCAGCCCTTCGAAGGCCTG</t>
  </si>
  <si>
    <t xml:space="preserve">TAGTCGCAGCCCTTCGAAGGCCTG</t>
  </si>
  <si>
    <t xml:space="preserve">AAACCAGGCCTTCGAAGGGCTGCG</t>
  </si>
  <si>
    <t xml:space="preserve">GCCACGGCTTGCGATTGGCC</t>
  </si>
  <si>
    <t xml:space="preserve">TAGTGCCACGGCTTGCGATTGGCC</t>
  </si>
  <si>
    <t xml:space="preserve">AAACGGCCAATCGCAAGCCGTGGC</t>
  </si>
  <si>
    <t xml:space="preserve">PST_1773</t>
  </si>
  <si>
    <t xml:space="preserve">leuD</t>
  </si>
  <si>
    <t xml:space="preserve">CAGGCCGGTGTGTTGGGTAA</t>
  </si>
  <si>
    <t xml:space="preserve">TAGTCAGGCCGGTGTGTTGGGTAA</t>
  </si>
  <si>
    <t xml:space="preserve">AAACTTACCCAACACACCGGCCTG</t>
  </si>
  <si>
    <t xml:space="preserve">CGACATTAGCGCGATCGAGT</t>
  </si>
  <si>
    <t xml:space="preserve">TAGTCGACATTAGCGCGATCGAGT</t>
  </si>
  <si>
    <t xml:space="preserve">AAACACTCGATCGCGCTAATGTCG</t>
  </si>
  <si>
    <t xml:space="preserve">CTGCTTGGGAATGATCTGAT</t>
  </si>
  <si>
    <t xml:space="preserve">TAGTCTGCTTGGGAATGATCTGAT</t>
  </si>
  <si>
    <t xml:space="preserve">AAACATCAGATCATTCCCAAGCAG</t>
  </si>
  <si>
    <t xml:space="preserve">AAACAGGTTGGGACCGAAGC</t>
  </si>
  <si>
    <t xml:space="preserve">TAGTAAACAGGTTGGGACCGAAGC</t>
  </si>
  <si>
    <t xml:space="preserve">AAACGCTTCGGTCCCAACCTGTTT</t>
  </si>
  <si>
    <t xml:space="preserve">PST_1774</t>
  </si>
  <si>
    <t xml:space="preserve">leuB</t>
  </si>
  <si>
    <t xml:space="preserve">GGGGAGAACCAGAATCTGTT</t>
  </si>
  <si>
    <t xml:space="preserve">TAGTGGGGAGAACCAGAATCTGTT</t>
  </si>
  <si>
    <t xml:space="preserve">AAACAACAGATTCTGGTTCTCCCC</t>
  </si>
  <si>
    <t xml:space="preserve">TCCGGGCCGATGCCATCGCC</t>
  </si>
  <si>
    <t xml:space="preserve">TAGTTCCGGGCCGATGCCATCGCC</t>
  </si>
  <si>
    <t xml:space="preserve">AAACGGCGATGGCATCGGCCCGGA</t>
  </si>
  <si>
    <t xml:space="preserve">CTGCAGCACCTTGACCGCCT</t>
  </si>
  <si>
    <t xml:space="preserve">TAGTCTGCAGCACCTTGACCGCCT</t>
  </si>
  <si>
    <t xml:space="preserve">AAACAGGCGGTCAAGGTGCTGCAG</t>
  </si>
  <si>
    <t xml:space="preserve">GCCCAGATCGAACTTGTCAC</t>
  </si>
  <si>
    <t xml:space="preserve">TAGTGCCCAGATCGAACTTGTCAC</t>
  </si>
  <si>
    <t xml:space="preserve">AAACGTGACAAGTTCGATCTGGGC</t>
  </si>
  <si>
    <t xml:space="preserve">PST_1775</t>
  </si>
  <si>
    <t xml:space="preserve">asd-1</t>
  </si>
  <si>
    <t xml:space="preserve">CAGCATCCGCTGCATGAGCA</t>
  </si>
  <si>
    <t xml:space="preserve">TAGTCAGCATCCGCTGCATGAGCA</t>
  </si>
  <si>
    <t xml:space="preserve">AAACTGCTCATGCAGCGGATGCTG</t>
  </si>
  <si>
    <t xml:space="preserve">TGAAGAACACAGGCTCGATC</t>
  </si>
  <si>
    <t xml:space="preserve">TAGTTGAAGAACACAGGCTCGATC</t>
  </si>
  <si>
    <t xml:space="preserve">AAACGATCGAGCCTGTGTTCTTCA</t>
  </si>
  <si>
    <t xml:space="preserve">TTGGCCGCCAACGTTGGAGG</t>
  </si>
  <si>
    <t xml:space="preserve">TAGTTTGGCCGCCAACGTTGGAGG</t>
  </si>
  <si>
    <t xml:space="preserve">AAACCCTCCAACGTTGGCGGCCAA</t>
  </si>
  <si>
    <t xml:space="preserve">CGGTTTCCTTGCCAATATCG</t>
  </si>
  <si>
    <t xml:space="preserve">TAGTCGGTTTCCTTGCCAATATCG</t>
  </si>
  <si>
    <t xml:space="preserve">AAACCGATATTGGCAAGGAAACCG</t>
  </si>
  <si>
    <t xml:space="preserve">PST_1776</t>
  </si>
  <si>
    <t xml:space="preserve">asd-2</t>
  </si>
  <si>
    <t xml:space="preserve">ACCGCAACTCCGACAAGCGA</t>
  </si>
  <si>
    <t xml:space="preserve">TAGTACCGCAACTCCGACAAGCGA</t>
  </si>
  <si>
    <t xml:space="preserve">AAACTCGCTTGTCGGAGTTGCGGT</t>
  </si>
  <si>
    <t xml:space="preserve">CGACCAGGGCCTCACCTACC</t>
  </si>
  <si>
    <t xml:space="preserve">TAGTCGACCAGGGCCTCACCTACC</t>
  </si>
  <si>
    <t xml:space="preserve">AAACGGTAGGTGAGGCCCTGGTCG</t>
  </si>
  <si>
    <t xml:space="preserve">AGCAAGTGCAGCTCGGAAAG</t>
  </si>
  <si>
    <t xml:space="preserve">TAGTAGCAAGTGCAGCTCGGAAAG</t>
  </si>
  <si>
    <t xml:space="preserve">AAACCTTTCCGAGCTGCACTTGCT</t>
  </si>
  <si>
    <t xml:space="preserve">GTCCCTTGAACGGCACGCTG</t>
  </si>
  <si>
    <t xml:space="preserve">TAGTGTCCCTTGAACGGCACGCTG</t>
  </si>
  <si>
    <t xml:space="preserve">AAACCAGCGTGCCGTTCAAGGGAC</t>
  </si>
  <si>
    <t xml:space="preserve">PST_1777</t>
  </si>
  <si>
    <t xml:space="preserve">GGCCATTTCTGTAGTCAGCG</t>
  </si>
  <si>
    <t xml:space="preserve">TAGTGGCCATTTCTGTAGTCAGCG</t>
  </si>
  <si>
    <t xml:space="preserve">AAACCGCTGACTACAGAAATGGCC</t>
  </si>
  <si>
    <t xml:space="preserve">CTCTCCCAACCCAAGCGCAT</t>
  </si>
  <si>
    <t xml:space="preserve">TAGTCTCTCCCAACCCAAGCGCAT</t>
  </si>
  <si>
    <t xml:space="preserve">AAACATGCGCTTGGGTTGGGAGAG</t>
  </si>
  <si>
    <t xml:space="preserve">AGCTCGATTTCGGCGATCAG</t>
  </si>
  <si>
    <t xml:space="preserve">TAGTAGCTCGATTTCGGCGATCAG</t>
  </si>
  <si>
    <t xml:space="preserve">AAACCTGATCGCCGAAATCGAGCT</t>
  </si>
  <si>
    <t xml:space="preserve">CTCTCCCGGTGCCAGGTTTT</t>
  </si>
  <si>
    <t xml:space="preserve">TAGTCTCTCCCGGTGCCAGGTTTT</t>
  </si>
  <si>
    <t xml:space="preserve">AAACAAAACCTGGCACCGGGAGAG</t>
  </si>
  <si>
    <t xml:space="preserve">PST_1778</t>
  </si>
  <si>
    <t xml:space="preserve">truA</t>
  </si>
  <si>
    <t xml:space="preserve">CTGCCGTTTCGGGTACTGCT</t>
  </si>
  <si>
    <t xml:space="preserve">TAGTCTGCCGTTTCGGGTACTGCT</t>
  </si>
  <si>
    <t xml:space="preserve">AAACAGCAGTACCCGAAACGGCAG</t>
  </si>
  <si>
    <t xml:space="preserve">AACGCCGACGGCAGCCATTT</t>
  </si>
  <si>
    <t xml:space="preserve">TAGTAACGCCGACGGCAGCCATTT</t>
  </si>
  <si>
    <t xml:space="preserve">AAACAAATGGCTGCCGTCGGCGTT</t>
  </si>
  <si>
    <t xml:space="preserve">CTCGACACCGAGAGCTATTC</t>
  </si>
  <si>
    <t xml:space="preserve">TAGTCTCGACACCGAGAGCTATTC</t>
  </si>
  <si>
    <t xml:space="preserve">AAACGAATAGCTCTCGGTGTCGAG</t>
  </si>
  <si>
    <t xml:space="preserve">GCGTTGGAACCCGCGATAAC</t>
  </si>
  <si>
    <t xml:space="preserve">TAGTGCGTTGGAACCCGCGATAAC</t>
  </si>
  <si>
    <t xml:space="preserve">AAACGTTATCGCGGGTTCCAACGC</t>
  </si>
  <si>
    <t xml:space="preserve">PST_1779</t>
  </si>
  <si>
    <t xml:space="preserve">trpF</t>
  </si>
  <si>
    <t xml:space="preserve">TTGCTGCGAACGACTGGCAA</t>
  </si>
  <si>
    <t xml:space="preserve">TAGTTTGCTGCGAACGACTGGCAA</t>
  </si>
  <si>
    <t xml:space="preserve">AAACTTGCCAGTCGTTCGCAGCAA</t>
  </si>
  <si>
    <t xml:space="preserve">GATCAGCGCATCTTCAACCC</t>
  </si>
  <si>
    <t xml:space="preserve">TAGTGATCAGCGCATCTTCAACCC</t>
  </si>
  <si>
    <t xml:space="preserve">AAACGGGTTGAAGATGCGCTGATC</t>
  </si>
  <si>
    <t xml:space="preserve">AATGGCATCGGCGCCGGCTT</t>
  </si>
  <si>
    <t xml:space="preserve">TAGTAATGGCATCGGCGCCGGCTT</t>
  </si>
  <si>
    <t xml:space="preserve">AAACAAGCCGGCGCCGATGCCATT</t>
  </si>
  <si>
    <t xml:space="preserve">GCTGCAGGCTGACCGCACGC</t>
  </si>
  <si>
    <t xml:space="preserve">TAGTGCTGCAGGCTGACCGCACGC</t>
  </si>
  <si>
    <t xml:space="preserve">AAACGCGTGCGGTCAGCCTGCAGC</t>
  </si>
  <si>
    <t xml:space="preserve">PST_1780</t>
  </si>
  <si>
    <t xml:space="preserve">accD</t>
  </si>
  <si>
    <t xml:space="preserve">TCTCCGAGCGCATGATCGAA</t>
  </si>
  <si>
    <t xml:space="preserve">TAGTTCTCCGAGCGCATGATCGAA</t>
  </si>
  <si>
    <t xml:space="preserve">AAACTTCGATCATGCGCTCGGAGA</t>
  </si>
  <si>
    <t xml:space="preserve">CATTTGTGCCAGAGGCCTTC</t>
  </si>
  <si>
    <t xml:space="preserve">TAGTCATTTGTGCCAGAGGCCTTC</t>
  </si>
  <si>
    <t xml:space="preserve">AAACGAAGGCCTCTGGCACAAATG</t>
  </si>
  <si>
    <t xml:space="preserve">ACAGTACCGCCTCGCAGGAG</t>
  </si>
  <si>
    <t xml:space="preserve">TAGTACAGTACCGCCTCGCAGGAG</t>
  </si>
  <si>
    <t xml:space="preserve">AAACCTCCTGCGAGGCGGTACTGT</t>
  </si>
  <si>
    <t xml:space="preserve">GGGTCTTCTCCAGCTCGGGG</t>
  </si>
  <si>
    <t xml:space="preserve">TAGTGGGTCTTCTCCAGCTCGGGG</t>
  </si>
  <si>
    <t xml:space="preserve">AAACCCCCGAGCTGGAGAAGACCC</t>
  </si>
  <si>
    <t xml:space="preserve">PST_1781</t>
  </si>
  <si>
    <t xml:space="preserve">folC</t>
  </si>
  <si>
    <t xml:space="preserve">CGGCCGTGTCATGGCCATCC</t>
  </si>
  <si>
    <t xml:space="preserve">TAGTCGGCCGTGTCATGGCCATCC</t>
  </si>
  <si>
    <t xml:space="preserve">AAACGGATGGCCATGACACGGCCG</t>
  </si>
  <si>
    <t xml:space="preserve">ACCGTGACCACCAGAGGGGC</t>
  </si>
  <si>
    <t xml:space="preserve">TAGTACCGTGACCACCAGAGGGGC</t>
  </si>
  <si>
    <t xml:space="preserve">AAACGCCCCTCTGGTGGTCACGGT</t>
  </si>
  <si>
    <t xml:space="preserve">CGAGGCGATGAAGGCACAGG</t>
  </si>
  <si>
    <t xml:space="preserve">TAGTCGAGGCGATGAAGGCACAGG</t>
  </si>
  <si>
    <t xml:space="preserve">AAACCCTGTGCCTTCATCGCCTCG</t>
  </si>
  <si>
    <t xml:space="preserve">GTTGTAGCGCAACAGGTGGG</t>
  </si>
  <si>
    <t xml:space="preserve">TAGTGTTGTAGCGCAACAGGTGGG</t>
  </si>
  <si>
    <t xml:space="preserve">AAACCCCACCTGTTGCGCTACAAC</t>
  </si>
  <si>
    <t xml:space="preserve">PST_1782</t>
  </si>
  <si>
    <t xml:space="preserve">TCCTGCCGATTGAACAGCAT</t>
  </si>
  <si>
    <t xml:space="preserve">TAGTTCCTGCCGATTGAACAGCAT</t>
  </si>
  <si>
    <t xml:space="preserve">AAACATGCTGTTCAATCGGCAGGA</t>
  </si>
  <si>
    <t xml:space="preserve">CATCAACGGTGACATGCCGC</t>
  </si>
  <si>
    <t xml:space="preserve">TAGTCATCAACGGTGACATGCCGC</t>
  </si>
  <si>
    <t xml:space="preserve">AAACGCGGCATGTCACCGTTGATG</t>
  </si>
  <si>
    <t xml:space="preserve">ACTGGTGCAGCTGGAATGCT</t>
  </si>
  <si>
    <t xml:space="preserve">TAGTACTGGTGCAGCTGGAATGCT</t>
  </si>
  <si>
    <t xml:space="preserve">AAACAGCATTCCAGCTGCACCAGT</t>
  </si>
  <si>
    <t xml:space="preserve">TCGGGTACGGACTGCGGTTC</t>
  </si>
  <si>
    <t xml:space="preserve">TAGTTCGGGTACGGACTGCGGTTC</t>
  </si>
  <si>
    <t xml:space="preserve">AAACGAACCGCAGTCCGTACCCGA</t>
  </si>
  <si>
    <t xml:space="preserve">PST_1783</t>
  </si>
  <si>
    <t xml:space="preserve">GCCAGTGACCCGGCGATGAG</t>
  </si>
  <si>
    <t xml:space="preserve">TAGTGCCAGTGACCCGGCGATGAG</t>
  </si>
  <si>
    <t xml:space="preserve">AAACCTCATCGCCGGGTCACTGGC</t>
  </si>
  <si>
    <t xml:space="preserve">TAGCAGAGCGCAAGCGCCAG</t>
  </si>
  <si>
    <t xml:space="preserve">TAGTTAGCAGAGCGCAAGCGCCAG</t>
  </si>
  <si>
    <t xml:space="preserve">AAACCTGGCGCTTGCGCTCTGCTA</t>
  </si>
  <si>
    <t xml:space="preserve">TTTCTGCAAGGAGGAAAAGG</t>
  </si>
  <si>
    <t xml:space="preserve">TAGTTTTCTGCAAGGAGGAAAAGG</t>
  </si>
  <si>
    <t xml:space="preserve">AAACCCTTTTCCTCCTTGCAGAAA</t>
  </si>
  <si>
    <t xml:space="preserve">ATCGACCCAGGTGAATGCCA</t>
  </si>
  <si>
    <t xml:space="preserve">TAGTATCGACCCAGGTGAATGCCA</t>
  </si>
  <si>
    <t xml:space="preserve">AAACTGGCATTCACCTGGGTCGAT</t>
  </si>
  <si>
    <t xml:space="preserve">PST_1784</t>
  </si>
  <si>
    <t xml:space="preserve">purF</t>
  </si>
  <si>
    <t xml:space="preserve">CTGGCCGCGGTGCTGCAGTA</t>
  </si>
  <si>
    <t xml:space="preserve">TAGTCTGGCCGCGGTGCTGCAGTA</t>
  </si>
  <si>
    <t xml:space="preserve">AAACTACTGCAGCACCGCGGCCAG</t>
  </si>
  <si>
    <t xml:space="preserve">ATCGTGGCTGGTCACGATAC</t>
  </si>
  <si>
    <t xml:space="preserve">TAGTATCGTGGCTGGTCACGATAC</t>
  </si>
  <si>
    <t xml:space="preserve">AAACGTATCGTGACCAGCCACGAT</t>
  </si>
  <si>
    <t xml:space="preserve">GCTGGAAGACATCGCGCACC</t>
  </si>
  <si>
    <t xml:space="preserve">TAGTGCTGGAAGACATCGCGCACC</t>
  </si>
  <si>
    <t xml:space="preserve">AAACGGTGCGCGATGTCTTCCAGC</t>
  </si>
  <si>
    <t xml:space="preserve">CGATGCCCATGTTGCCGACC</t>
  </si>
  <si>
    <t xml:space="preserve">TAGTCGATGCCCATGTTGCCGACC</t>
  </si>
  <si>
    <t xml:space="preserve">AAACGGTCGGCAACATGGGCATCG</t>
  </si>
  <si>
    <t xml:space="preserve">PST_1785</t>
  </si>
  <si>
    <t xml:space="preserve">metZ</t>
  </si>
  <si>
    <t xml:space="preserve">CCGTCCGGCTTCCCATTTGA</t>
  </si>
  <si>
    <t xml:space="preserve">TAGTCCGTCCGGCTTCCCATTTGA</t>
  </si>
  <si>
    <t xml:space="preserve">AAACTCAAATGGGAAGCCGGACGG</t>
  </si>
  <si>
    <t xml:space="preserve">TTGACCAGCGCGCACGGCCA</t>
  </si>
  <si>
    <t xml:space="preserve">TAGTTTGACCAGCGCGCACGGCCA</t>
  </si>
  <si>
    <t xml:space="preserve">AAACTGGCCGTGCGCGCTGGTCAA</t>
  </si>
  <si>
    <t xml:space="preserve">CATGCTCGGCTTCCGGAGTA</t>
  </si>
  <si>
    <t xml:space="preserve">TAGTCATGCTCGGCTTCCGGAGTA</t>
  </si>
  <si>
    <t xml:space="preserve">AAACTACTCCGGAAGCCGAGCATG</t>
  </si>
  <si>
    <t xml:space="preserve">TAGCTGGACGTGAAGAACAG</t>
  </si>
  <si>
    <t xml:space="preserve">TAGTTAGCTGGACGTGAAGAACAG</t>
  </si>
  <si>
    <t xml:space="preserve">AAACCTGTTCTTCACGTCCAGCTA</t>
  </si>
  <si>
    <t xml:space="preserve">PST_1786</t>
  </si>
  <si>
    <t xml:space="preserve">xcpQ</t>
  </si>
  <si>
    <t xml:space="preserve">CGCGAAAAAGGCTTCGACAT</t>
  </si>
  <si>
    <t xml:space="preserve">TAGTCGCGAAAAAGGCTTCGACAT</t>
  </si>
  <si>
    <t xml:space="preserve">AAACATGTCGAAGCCTTTTTCGCG</t>
  </si>
  <si>
    <t xml:space="preserve">TGGCGATTAGGGCAAGCAAC</t>
  </si>
  <si>
    <t xml:space="preserve">TAGTTGGCGATTAGGGCAAGCAAC</t>
  </si>
  <si>
    <t xml:space="preserve">AAACGTTGCTTGCCCTAATCGCCA</t>
  </si>
  <si>
    <t xml:space="preserve">GGGGGCGGCCAGCAGGCTGG</t>
  </si>
  <si>
    <t xml:space="preserve">TAGTGGGGGCGGCCAGCAGGCTGG</t>
  </si>
  <si>
    <t xml:space="preserve">AAACCCAGCCTGCTGGCCGCCCCC</t>
  </si>
  <si>
    <t xml:space="preserve">TCGGCGGCCAGCAGGGGCAG</t>
  </si>
  <si>
    <t xml:space="preserve">TAGTTCGGCGGCCAGCAGGGGCAG</t>
  </si>
  <si>
    <t xml:space="preserve">AAACCTGCCCCTGCTGGCCGCCGA</t>
  </si>
  <si>
    <t xml:space="preserve">PST_1787</t>
  </si>
  <si>
    <t xml:space="preserve">xcpP</t>
  </si>
  <si>
    <t xml:space="preserve">CTGTGAAGTTTTCCCGGCAG</t>
  </si>
  <si>
    <t xml:space="preserve">TAGTCTGTGAAGTTTTCCCGGCAG</t>
  </si>
  <si>
    <t xml:space="preserve">AAACCTGCCGGGAAAACTTCACAG</t>
  </si>
  <si>
    <t xml:space="preserve">AAAACAAAGGGACGTAGCGG</t>
  </si>
  <si>
    <t xml:space="preserve">TAGTAAAACAAAGGGACGTAGCGG</t>
  </si>
  <si>
    <t xml:space="preserve">AAACCCGCTACGTCCCTTTGTTTT</t>
  </si>
  <si>
    <t xml:space="preserve">AGCGAACAGGCAGAGAAGCA</t>
  </si>
  <si>
    <t xml:space="preserve">TAGTAGCGAACAGGCAGAGAAGCA</t>
  </si>
  <si>
    <t xml:space="preserve">AAACTGCTTCTCTGCCTGTTCGCT</t>
  </si>
  <si>
    <t xml:space="preserve">CTGGACCCATTGCTCGATCT</t>
  </si>
  <si>
    <t xml:space="preserve">TAGTCTGGACCCATTGCTCGATCT</t>
  </si>
  <si>
    <t xml:space="preserve">AAACAGATCGAGCAATGGGTCCAG</t>
  </si>
  <si>
    <t xml:space="preserve">PST_1790</t>
  </si>
  <si>
    <t xml:space="preserve">GAATGCCGCTTCGTAGGGGG</t>
  </si>
  <si>
    <t xml:space="preserve">TAGTGAATGCCGCTTCGTAGGGGG</t>
  </si>
  <si>
    <t xml:space="preserve">AAACCCCCCTACGAAGCGGCATTC</t>
  </si>
  <si>
    <t xml:space="preserve">TGTGCCCGCTGCTTGGCCCT</t>
  </si>
  <si>
    <t xml:space="preserve">TAGTTGTGCCCGCTGCTTGGCCCT</t>
  </si>
  <si>
    <t xml:space="preserve">AAACAGGGCCAAGCAGCGGGCACA</t>
  </si>
  <si>
    <t xml:space="preserve">GGAACAAGGAAAGCTGCCAA</t>
  </si>
  <si>
    <t xml:space="preserve">TAGTGGAACAAGGAAAGCTGCCAA</t>
  </si>
  <si>
    <t xml:space="preserve">AAACTTGGCAGCTTTCCTTGTTCC</t>
  </si>
  <si>
    <t xml:space="preserve">CGCCACCTTTCGACTGAAGG</t>
  </si>
  <si>
    <t xml:space="preserve">TAGTCGCCACCTTTCGACTGAAGG</t>
  </si>
  <si>
    <t xml:space="preserve">AAACCCTTCAGTCGAAAGGTGGCG</t>
  </si>
  <si>
    <t xml:space="preserve">PST_1791</t>
  </si>
  <si>
    <t xml:space="preserve">soxR</t>
  </si>
  <si>
    <t xml:space="preserve">TCCTTCTTGAACGCTTGTCC</t>
  </si>
  <si>
    <t xml:space="preserve">TAGTTCCTTCTTGAACGCTTGTCC</t>
  </si>
  <si>
    <t xml:space="preserve">AAACGGACAAGCGTTCAAGAAGGA</t>
  </si>
  <si>
    <t xml:space="preserve">ATTTCACCGATCGGTAGCAA</t>
  </si>
  <si>
    <t xml:space="preserve">TAGTATTTCACCGATCGGTAGCAA</t>
  </si>
  <si>
    <t xml:space="preserve">AAACTTGCTACCGATCGGTGAAAT</t>
  </si>
  <si>
    <t xml:space="preserve">CGCGGCCACGCCGCTGCGTT</t>
  </si>
  <si>
    <t xml:space="preserve">TAGTCGCGGCCACGCCGCTGCGTT</t>
  </si>
  <si>
    <t xml:space="preserve">AAACAACGCAGCGGCGTGGCCGCG</t>
  </si>
  <si>
    <t xml:space="preserve">TCGAGCGTGGGAAGAATCGC</t>
  </si>
  <si>
    <t xml:space="preserve">TAGTTCGAGCGTGGGAAGAATCGC</t>
  </si>
  <si>
    <t xml:space="preserve">AAACGCGATTCTTCCCACGCTCGA</t>
  </si>
  <si>
    <t xml:space="preserve">PST_1792</t>
  </si>
  <si>
    <t xml:space="preserve">AGCAGGGTCTCTGGCGGCAT</t>
  </si>
  <si>
    <t xml:space="preserve">TAGTAGCAGGGTCTCTGGCGGCAT</t>
  </si>
  <si>
    <t xml:space="preserve">AAACATGCCGCCAGAGACCCTGCT</t>
  </si>
  <si>
    <t xml:space="preserve">CACGAAGGCATAGGTGATGA</t>
  </si>
  <si>
    <t xml:space="preserve">TAGTCACGAAGGCATAGGTGATGA</t>
  </si>
  <si>
    <t xml:space="preserve">AAACTCATCACCTATGCCTTCGTG</t>
  </si>
  <si>
    <t xml:space="preserve">GTTCGGGCCAGGAGTGATGG</t>
  </si>
  <si>
    <t xml:space="preserve">TAGTGTTCGGGCCAGGAGTGATGG</t>
  </si>
  <si>
    <t xml:space="preserve">AAACCCATCACTCCTGGCCCGAAC</t>
  </si>
  <si>
    <t xml:space="preserve">GAACCCGTAGTTCACCCCGG</t>
  </si>
  <si>
    <t xml:space="preserve">TAGTGAACCCGTAGTTCACCCCGG</t>
  </si>
  <si>
    <t xml:space="preserve">AAACCCGGGGTGAACTACGGGTTC</t>
  </si>
  <si>
    <t xml:space="preserve">PST_1793</t>
  </si>
  <si>
    <t xml:space="preserve">GTCCTGTTGCGCGGAGTTGA</t>
  </si>
  <si>
    <t xml:space="preserve">TAGTGTCCTGTTGCGCGGAGTTGA</t>
  </si>
  <si>
    <t xml:space="preserve">AAACTCAACTCCGCGCAACAGGAC</t>
  </si>
  <si>
    <t xml:space="preserve">TGAAAAGGCACATGGGCTTC</t>
  </si>
  <si>
    <t xml:space="preserve">TAGTTGAAAAGGCACATGGGCTTC</t>
  </si>
  <si>
    <t xml:space="preserve">AAACGAAGCCCATGTGCCTTTTCA</t>
  </si>
  <si>
    <t xml:space="preserve">CAGCGGAGTCGGTATGGCGG</t>
  </si>
  <si>
    <t xml:space="preserve">TAGTCAGCGGAGTCGGTATGGCGG</t>
  </si>
  <si>
    <t xml:space="preserve">AAACCCGCCATACCGACTCCGCTG</t>
  </si>
  <si>
    <t xml:space="preserve">TCGTGGTGCCCGGCCGTCCT</t>
  </si>
  <si>
    <t xml:space="preserve">TAGTTCGTGGTGCCCGGCCGTCCT</t>
  </si>
  <si>
    <t xml:space="preserve">AAACAGGACGGCCGGGCACCACGA</t>
  </si>
  <si>
    <t xml:space="preserve">PST_1794</t>
  </si>
  <si>
    <t xml:space="preserve">GTGGGTCGTCTTCATCGTCA</t>
  </si>
  <si>
    <t xml:space="preserve">TAGTGTGGGTCGTCTTCATCGTCA</t>
  </si>
  <si>
    <t xml:space="preserve">AAACTGACGATGAAGACGACCCAC</t>
  </si>
  <si>
    <t xml:space="preserve">CCACCAGAAAGAGGTCGATG</t>
  </si>
  <si>
    <t xml:space="preserve">TAGTCCACCAGAAAGAGGTCGATG</t>
  </si>
  <si>
    <t xml:space="preserve">AAACCATCGACCTCTTTCTGGTGG</t>
  </si>
  <si>
    <t xml:space="preserve">CTTGGCTGAACGGGTTGAGG</t>
  </si>
  <si>
    <t xml:space="preserve">TAGTCTTGGCTGAACGGGTTGAGG</t>
  </si>
  <si>
    <t xml:space="preserve">AAACCCTCAACCCGTTCAGCCAAG</t>
  </si>
  <si>
    <t xml:space="preserve">ATGCGCATGTTCGCTTCGCC</t>
  </si>
  <si>
    <t xml:space="preserve">TAGTATGCGCATGTTCGCTTCGCC</t>
  </si>
  <si>
    <t xml:space="preserve">AAACGGCGAAGCGAACATGCGCAT</t>
  </si>
  <si>
    <t xml:space="preserve">PST_1795</t>
  </si>
  <si>
    <t xml:space="preserve">GTTCGTACAGACTGGACTCA</t>
  </si>
  <si>
    <t xml:space="preserve">TAGTGTTCGTACAGACTGGACTCA</t>
  </si>
  <si>
    <t xml:space="preserve">AAACTGAGTCCAGTCTGTACGAAC</t>
  </si>
  <si>
    <t xml:space="preserve">AACGGGTGCGAGAAATACTC</t>
  </si>
  <si>
    <t xml:space="preserve">TAGTAACGGGTGCGAGAAATACTC</t>
  </si>
  <si>
    <t xml:space="preserve">AAACGAGTATTTCTCGCACCCGTT</t>
  </si>
  <si>
    <t xml:space="preserve">ACGCATAGGCCAGTGCCGCC</t>
  </si>
  <si>
    <t xml:space="preserve">TAGTACGCATAGGCCAGTGCCGCC</t>
  </si>
  <si>
    <t xml:space="preserve">AAACGGCGGCACTGGCCTATGCGT</t>
  </si>
  <si>
    <t xml:space="preserve">GCGGCCGGCGCGGCGCTGCC</t>
  </si>
  <si>
    <t xml:space="preserve">TAGTGCGGCCGGCGCGGCGCTGCC</t>
  </si>
  <si>
    <t xml:space="preserve">AAACGGCAGCGCCGCGCCGGCCGC</t>
  </si>
  <si>
    <t xml:space="preserve">PST_1796</t>
  </si>
  <si>
    <t xml:space="preserve">cobN</t>
  </si>
  <si>
    <t xml:space="preserve">GGGGGATCGGCCTCCAAGTC</t>
  </si>
  <si>
    <t xml:space="preserve">TAGTGGGGGATCGGCCTCCAAGTC</t>
  </si>
  <si>
    <t xml:space="preserve">AAACGACTTGGAGGCCGATCCCCC</t>
  </si>
  <si>
    <t xml:space="preserve">GAGGCGTGTCGAGGATGAGC</t>
  </si>
  <si>
    <t xml:space="preserve">TAGTGAGGCGTGTCGAGGATGAGC</t>
  </si>
  <si>
    <t xml:space="preserve">AAACGCTCATCCTCGACACGCCTC</t>
  </si>
  <si>
    <t xml:space="preserve">TGCACCGCGGAAAGGTCGGC</t>
  </si>
  <si>
    <t xml:space="preserve">TAGTTGCACCGCGGAAAGGTCGGC</t>
  </si>
  <si>
    <t xml:space="preserve">AAACGCCGACCTTTCCGCGGTGCA</t>
  </si>
  <si>
    <t xml:space="preserve">GTCGGACAGTGTCTCGCCTA</t>
  </si>
  <si>
    <t xml:space="preserve">TAGTGTCGGACAGTGTCTCGCCTA</t>
  </si>
  <si>
    <t xml:space="preserve">AAACTAGGCGAGACACTGTCCGAC</t>
  </si>
  <si>
    <t xml:space="preserve">PST_1797</t>
  </si>
  <si>
    <t xml:space="preserve">AGGCGGTTACGGCGGGACAT</t>
  </si>
  <si>
    <t xml:space="preserve">TAGTAGGCGGTTACGGCGGGACAT</t>
  </si>
  <si>
    <t xml:space="preserve">AAACATGTCCCGCCGTAACCGCCT</t>
  </si>
  <si>
    <t xml:space="preserve">CGCGGTGGCAGGCATTGCTC</t>
  </si>
  <si>
    <t xml:space="preserve">TAGTCGCGGTGGCAGGCATTGCTC</t>
  </si>
  <si>
    <t xml:space="preserve">AAACGAGCAATGCCTGCCACCGCG</t>
  </si>
  <si>
    <t xml:space="preserve">AGAGGGCGAAGGCGGGGATC</t>
  </si>
  <si>
    <t xml:space="preserve">TAGTAGAGGGCGAAGGCGGGGATC</t>
  </si>
  <si>
    <t xml:space="preserve">AAACGATCCCCGCCTTCGCCCTCT</t>
  </si>
  <si>
    <t xml:space="preserve">TGGTCGGCGAAGGCCGACAG</t>
  </si>
  <si>
    <t xml:space="preserve">TAGTTGGTCGGCGAAGGCCGACAG</t>
  </si>
  <si>
    <t xml:space="preserve">AAACCTGTCGGCCTTCGCCGACCA</t>
  </si>
  <si>
    <t xml:space="preserve">PST_1798</t>
  </si>
  <si>
    <t xml:space="preserve">rpmE-1</t>
  </si>
  <si>
    <t xml:space="preserve">CGATAGTCGGGGTGGATGCC</t>
  </si>
  <si>
    <t xml:space="preserve">TAGTCGATAGTCGGGGTGGATGCC</t>
  </si>
  <si>
    <t xml:space="preserve">AAACGGCATCCACCCCGACTATCG</t>
  </si>
  <si>
    <t xml:space="preserve">GCCGTGTCATGGAACAGCAC</t>
  </si>
  <si>
    <t xml:space="preserve">TAGTGCCGTGTCATGGAACAGCAC</t>
  </si>
  <si>
    <t xml:space="preserve">AAACGTGCTGTTCCATGACACGGC</t>
  </si>
  <si>
    <t xml:space="preserve">TCTCGGCCGTCGAGCCGATC</t>
  </si>
  <si>
    <t xml:space="preserve">TAGTTCTCGGCCGTCGAGCCGATC</t>
  </si>
  <si>
    <t xml:space="preserve">AAACGATCGGCTCGACGGCCGAGA</t>
  </si>
  <si>
    <t xml:space="preserve">ATTGCCGTCGGTGTGCTGGT</t>
  </si>
  <si>
    <t xml:space="preserve">TAGTATTGCCGTCGGTGTGCTGGT</t>
  </si>
  <si>
    <t xml:space="preserve">AAACACCAGCACACCGACGGCAAT</t>
  </si>
  <si>
    <t xml:space="preserve">PST_1799</t>
  </si>
  <si>
    <t xml:space="preserve">ltaA</t>
  </si>
  <si>
    <t xml:space="preserve">GGCAAATTGCTGATTGGCGG</t>
  </si>
  <si>
    <t xml:space="preserve">TAGTGGCAAATTGCTGATTGGCGG</t>
  </si>
  <si>
    <t xml:space="preserve">AAACCCGCCAATCAGCAATTTGCC</t>
  </si>
  <si>
    <t xml:space="preserve">TACGCCGGAATAGTTGTCGC</t>
  </si>
  <si>
    <t xml:space="preserve">TAGTTACGCCGGAATAGTTGTCGC</t>
  </si>
  <si>
    <t xml:space="preserve">AAACGCGACAACTATTCCGGCGTA</t>
  </si>
  <si>
    <t xml:space="preserve">CCATGGCTTCCCAGGCTTCT</t>
  </si>
  <si>
    <t xml:space="preserve">TAGTCCATGGCTTCCCAGGCTTCT</t>
  </si>
  <si>
    <t xml:space="preserve">AAACAGAAGCCTGGGAAGCCATGG</t>
  </si>
  <si>
    <t xml:space="preserve">GTCATGCCCCTGATTCGCTC</t>
  </si>
  <si>
    <t xml:space="preserve">TAGTGTCATGCCCCTGATTCGCTC</t>
  </si>
  <si>
    <t xml:space="preserve">AAACGAGCGAATCAGGGGCATGAC</t>
  </si>
  <si>
    <t xml:space="preserve">PST_1800</t>
  </si>
  <si>
    <t xml:space="preserve">CGGCAACCGTGACGAACGTC</t>
  </si>
  <si>
    <t xml:space="preserve">TAGTCGGCAACCGTGACGAACGTC</t>
  </si>
  <si>
    <t xml:space="preserve">AAACGACGTTCGTCACGGTTGCCG</t>
  </si>
  <si>
    <t xml:space="preserve">GGAGCGAAAGCTGCCGCTGT</t>
  </si>
  <si>
    <t xml:space="preserve">TAGTGGAGCGAAAGCTGCCGCTGT</t>
  </si>
  <si>
    <t xml:space="preserve">AAACACAGCGGCAGCTTTCGCTCC</t>
  </si>
  <si>
    <t xml:space="preserve">GCGCAACAGCCGCGCCGCGC</t>
  </si>
  <si>
    <t xml:space="preserve">TAGTGCGCAACAGCCGCGCCGCGC</t>
  </si>
  <si>
    <t xml:space="preserve">AAACGCGCGGCGCGGCTGTTGCGC</t>
  </si>
  <si>
    <t xml:space="preserve">CCTCCAGATTTGCAATCGCA</t>
  </si>
  <si>
    <t xml:space="preserve">TAGTCCTCCAGATTTGCAATCGCA</t>
  </si>
  <si>
    <t xml:space="preserve">AAACTGCGATTGCAAATCTGGAGG</t>
  </si>
  <si>
    <t xml:space="preserve">PST_1801</t>
  </si>
  <si>
    <t xml:space="preserve">CGTCTCGATATGCCCATAAG</t>
  </si>
  <si>
    <t xml:space="preserve">TAGTCGTCTCGATATGCCCATAAG</t>
  </si>
  <si>
    <t xml:space="preserve">AAACCTTATGGGCATATCGAGACG</t>
  </si>
  <si>
    <t xml:space="preserve">AACCCCATCGGCCACGGCGT</t>
  </si>
  <si>
    <t xml:space="preserve">TAGTAACCCCATCGGCCACGGCGT</t>
  </si>
  <si>
    <t xml:space="preserve">AAACACGCCGTGGCCGATGGGGTT</t>
  </si>
  <si>
    <t xml:space="preserve">ACGTGCTCCGGAACGAGTTC</t>
  </si>
  <si>
    <t xml:space="preserve">TAGTACGTGCTCCGGAACGAGTTC</t>
  </si>
  <si>
    <t xml:space="preserve">AAACGAACTCGTTCCGGAGCACGT</t>
  </si>
  <si>
    <t xml:space="preserve">CATCCGCCGGCTGCAACGTC</t>
  </si>
  <si>
    <t xml:space="preserve">TAGTCATCCGCCGGCTGCAACGTC</t>
  </si>
  <si>
    <t xml:space="preserve">AAACGACGTTGCAGCCGGCGGATG</t>
  </si>
  <si>
    <t xml:space="preserve">PST_1802</t>
  </si>
  <si>
    <t xml:space="preserve">ATCGAGCGCCTCGTAGCGAG</t>
  </si>
  <si>
    <t xml:space="preserve">TAGTATCGAGCGCCTCGTAGCGAG</t>
  </si>
  <si>
    <t xml:space="preserve">AAACCTCGCTACGAGGCGCTCGAT</t>
  </si>
  <si>
    <t xml:space="preserve">GCTGGCCAGCACCAGCCAAT</t>
  </si>
  <si>
    <t xml:space="preserve">TAGTGCTGGCCAGCACCAGCCAAT</t>
  </si>
  <si>
    <t xml:space="preserve">AAACATTGGCTGGTGCTGGCCAGC</t>
  </si>
  <si>
    <t xml:space="preserve">CTGCAGCATCGGGGTGGCGA</t>
  </si>
  <si>
    <t xml:space="preserve">TAGTCTGCAGCATCGGGGTGGCGA</t>
  </si>
  <si>
    <t xml:space="preserve">AAACTCGCCACCCCGATGCTGCAG</t>
  </si>
  <si>
    <t xml:space="preserve">TCAGCCAGCCGGCCTGAGCG</t>
  </si>
  <si>
    <t xml:space="preserve">TAGTTCAGCCAGCCGGCCTGAGCG</t>
  </si>
  <si>
    <t xml:space="preserve">AAACCGCTCAGGCCGGCTGGCTGA</t>
  </si>
  <si>
    <t xml:space="preserve">PST_1803</t>
  </si>
  <si>
    <t xml:space="preserve">CTACCGACATCCCAGGGGTT</t>
  </si>
  <si>
    <t xml:space="preserve">TAGTCTACCGACATCCCAGGGGTT</t>
  </si>
  <si>
    <t xml:space="preserve">AAACAACCCCTGGGATGTCGGTAG</t>
  </si>
  <si>
    <t xml:space="preserve">CAGGGCCTTGAAGCCTAGGC</t>
  </si>
  <si>
    <t xml:space="preserve">TAGTCAGGGCCTTGAAGCCTAGGC</t>
  </si>
  <si>
    <t xml:space="preserve">AAACGCCTAGGCTTCAAGGCCCTG</t>
  </si>
  <si>
    <t xml:space="preserve">GGCGTAACCTGAGCTGGTGG</t>
  </si>
  <si>
    <t xml:space="preserve">TAGTGGCGTAACCTGAGCTGGTGG</t>
  </si>
  <si>
    <t xml:space="preserve">AAACCCACCAGCTCAGGTTACGCC</t>
  </si>
  <si>
    <t xml:space="preserve">ATCTGCATGCCCGCAGGACC</t>
  </si>
  <si>
    <t xml:space="preserve">TAGTATCTGCATGCCCGCAGGACC</t>
  </si>
  <si>
    <t xml:space="preserve">AAACGGTCCTGCGGGCATGCAGAT</t>
  </si>
  <si>
    <t xml:space="preserve">PST_1804</t>
  </si>
  <si>
    <t xml:space="preserve">CAGGCTGCTGCGGCGGTTGG</t>
  </si>
  <si>
    <t xml:space="preserve">TAGTCAGGCTGCTGCGGCGGTTGG</t>
  </si>
  <si>
    <t xml:space="preserve">AAACCCAACCGCCGCAGCAGCCTG</t>
  </si>
  <si>
    <t xml:space="preserve">AGAGCGGTCTAGGACCTCGC</t>
  </si>
  <si>
    <t xml:space="preserve">TAGTAGAGCGGTCTAGGACCTCGC</t>
  </si>
  <si>
    <t xml:space="preserve">AAACGCGAGGTCCTAGACCGCTCT</t>
  </si>
  <si>
    <t xml:space="preserve">TCCTTCCAGGTTGTTGACCA</t>
  </si>
  <si>
    <t xml:space="preserve">TAGTTCCTTCCAGGTTGTTGACCA</t>
  </si>
  <si>
    <t xml:space="preserve">AAACTGGTCAACAACCTGGAAGGA</t>
  </si>
  <si>
    <t xml:space="preserve">CGCATCGTTACGGCAGCGAT</t>
  </si>
  <si>
    <t xml:space="preserve">TAGTCGCATCGTTACGGCAGCGAT</t>
  </si>
  <si>
    <t xml:space="preserve">AAACATCGCTGCCGTAACGATGCG</t>
  </si>
  <si>
    <t xml:space="preserve">PST_1805</t>
  </si>
  <si>
    <t xml:space="preserve">GATGTTTCAGGGCCCAGGGC</t>
  </si>
  <si>
    <t xml:space="preserve">TAGTGATGTTTCAGGGCCCAGGGC</t>
  </si>
  <si>
    <t xml:space="preserve">AAACGCCCTGGGCCCTGAAACATC</t>
  </si>
  <si>
    <t xml:space="preserve">GCCCTGGCGCGAGATCCGCA</t>
  </si>
  <si>
    <t xml:space="preserve">TAGTGCCCTGGCGCGAGATCCGCA</t>
  </si>
  <si>
    <t xml:space="preserve">AAACTGCGGATCTCGCGCCAGGGC</t>
  </si>
  <si>
    <t xml:space="preserve">GGGGCGGGCGAGCGCTGGCG</t>
  </si>
  <si>
    <t xml:space="preserve">TAGTGGGGCGGGCGAGCGCTGGCG</t>
  </si>
  <si>
    <t xml:space="preserve">AAACCGCCAGCGCTCGCCCGCCCC</t>
  </si>
  <si>
    <t xml:space="preserve">TCGGCGAATTCGATCTGCCG</t>
  </si>
  <si>
    <t xml:space="preserve">TAGTTCGGCGAATTCGATCTGCCG</t>
  </si>
  <si>
    <t xml:space="preserve">AAACCGGCAGATCGAATTCGCCGA</t>
  </si>
  <si>
    <t xml:space="preserve">PST_1806</t>
  </si>
  <si>
    <t xml:space="preserve">ATGAACGAACGGATGGGCAC</t>
  </si>
  <si>
    <t xml:space="preserve">TAGTATGAACGAACGGATGGGCAC</t>
  </si>
  <si>
    <t xml:space="preserve">AAACGTGCCCATCCGTTCGTTCAT</t>
  </si>
  <si>
    <t xml:space="preserve">TGCGGTCGAGAATGTACGGC</t>
  </si>
  <si>
    <t xml:space="preserve">TAGTTGCGGTCGAGAATGTACGGC</t>
  </si>
  <si>
    <t xml:space="preserve">AAACGCCGTACATTCTCGACCGCA</t>
  </si>
  <si>
    <t xml:space="preserve">CGAGCACAGCTGCGCAAGTA</t>
  </si>
  <si>
    <t xml:space="preserve">TAGTCGAGCACAGCTGCGCAAGTA</t>
  </si>
  <si>
    <t xml:space="preserve">AAACTACTTGCGCAGCTGTGCTCG</t>
  </si>
  <si>
    <t xml:space="preserve">TGGGCTGCAGGCTCTGCACG</t>
  </si>
  <si>
    <t xml:space="preserve">TAGTTGGGCTGCAGGCTCTGCACG</t>
  </si>
  <si>
    <t xml:space="preserve">AAACCGTGCAGAGCCTGCAGCCCA</t>
  </si>
  <si>
    <t xml:space="preserve">PST_1807</t>
  </si>
  <si>
    <t xml:space="preserve">cydA2</t>
  </si>
  <si>
    <t xml:space="preserve">AGTGCTTCCAGTCCGAACAT</t>
  </si>
  <si>
    <t xml:space="preserve">TAGTAGTGCTTCCAGTCCGAACAT</t>
  </si>
  <si>
    <t xml:space="preserve">AAACATGTTCGGACTGGAAGCACT</t>
  </si>
  <si>
    <t xml:space="preserve">GAAGATGATGTGGAAGGTAA</t>
  </si>
  <si>
    <t xml:space="preserve">TAGTGAAGATGATGTGGAAGGTAA</t>
  </si>
  <si>
    <t xml:space="preserve">AAACTTACCTTCCACATCATCTTC</t>
  </si>
  <si>
    <t xml:space="preserve">CCAGGCCGATGGTGATGGCC</t>
  </si>
  <si>
    <t xml:space="preserve">TAGTCCAGGCCGATGGTGATGGCC</t>
  </si>
  <si>
    <t xml:space="preserve">AAACGGCCATCACCATCGGCCTGG</t>
  </si>
  <si>
    <t xml:space="preserve">CTCGAGTACGGCGAGGTAGC</t>
  </si>
  <si>
    <t xml:space="preserve">TAGTCTCGAGTACGGCGAGGTAGC</t>
  </si>
  <si>
    <t xml:space="preserve">AAACGCTACCTCGCCGTACTCGAG</t>
  </si>
  <si>
    <t xml:space="preserve">PST_1808</t>
  </si>
  <si>
    <t xml:space="preserve">cydB2</t>
  </si>
  <si>
    <t xml:space="preserve">AAGTGAAAGATCGATACCCA</t>
  </si>
  <si>
    <t xml:space="preserve">TAGTAAGTGAAAGATCGATACCCA</t>
  </si>
  <si>
    <t xml:space="preserve">AAACTGGGTATCGATCTTTCACTT</t>
  </si>
  <si>
    <t xml:space="preserve">TGTCCTGCACGAACGGGAAG</t>
  </si>
  <si>
    <t xml:space="preserve">TAGTTGTCCTGCACGAACGGGAAG</t>
  </si>
  <si>
    <t xml:space="preserve">AAACCTTCCCGTTCGTGCAGGACA</t>
  </si>
  <si>
    <t xml:space="preserve">GTTCATCATGACGTCCCTAT</t>
  </si>
  <si>
    <t xml:space="preserve">TAGTGTTCATCATGACGTCCCTAT</t>
  </si>
  <si>
    <t xml:space="preserve">AAACATAGGGACGTCATGATGAAC</t>
  </si>
  <si>
    <t xml:space="preserve">GCCGTCCCAGATCGGCGCCA</t>
  </si>
  <si>
    <t xml:space="preserve">TAGTGCCGTCCCAGATCGGCGCCA</t>
  </si>
  <si>
    <t xml:space="preserve">AAACTGGCGCCGATCTGGGACGGC</t>
  </si>
  <si>
    <t xml:space="preserve">PST_1809</t>
  </si>
  <si>
    <t xml:space="preserve">GGCGGGCTTTCGTTCATGCG</t>
  </si>
  <si>
    <t xml:space="preserve">TAGTGGCGGGCTTTCGTTCATGCG</t>
  </si>
  <si>
    <t xml:space="preserve">AAACCGCATGAACGAAAGCCCGCC</t>
  </si>
  <si>
    <t xml:space="preserve">TGGCTTCGGCTCACCCTCGC</t>
  </si>
  <si>
    <t xml:space="preserve">TAGTTGGCTTCGGCTCACCCTCGC</t>
  </si>
  <si>
    <t xml:space="preserve">AAACGCGAGGGTGAGCCGAAGCCA</t>
  </si>
  <si>
    <t xml:space="preserve">CAGCTCATGCGCTGCCAGAG</t>
  </si>
  <si>
    <t xml:space="preserve">TAGTCAGCTCATGCGCTGCCAGAG</t>
  </si>
  <si>
    <t xml:space="preserve">AAACCTCTGGCAGCGCATGAGCTG</t>
  </si>
  <si>
    <t xml:space="preserve">CATTGCCAGGCGCAGCAGCC</t>
  </si>
  <si>
    <t xml:space="preserve">TAGTCATTGCCAGGCGCAGCAGCC</t>
  </si>
  <si>
    <t xml:space="preserve">AAACGGCTGCTGCGCCTGGCAATG</t>
  </si>
  <si>
    <t xml:space="preserve">PST_1810</t>
  </si>
  <si>
    <t xml:space="preserve">TAGGCCTGCAGCAGCGGTTG</t>
  </si>
  <si>
    <t xml:space="preserve">TAGTTAGGCCTGCAGCAGCGGTTG</t>
  </si>
  <si>
    <t xml:space="preserve">AAACCAACCGCTGCTGCAGGCCTA</t>
  </si>
  <si>
    <t xml:space="preserve">GCCGTGCATGAGGCTCGGCG</t>
  </si>
  <si>
    <t xml:space="preserve">TAGTGCCGTGCATGAGGCTCGGCG</t>
  </si>
  <si>
    <t xml:space="preserve">AAACCGCCGAGCCTCATGCACGGC</t>
  </si>
  <si>
    <t xml:space="preserve">TGACCCAGGCGCATGTAGCG</t>
  </si>
  <si>
    <t xml:space="preserve">TAGTTGACCCAGGCGCATGTAGCG</t>
  </si>
  <si>
    <t xml:space="preserve">AAACCGCTACATGCGCCTGGGTCA</t>
  </si>
  <si>
    <t xml:space="preserve">GTCGCCGGCCAACTGGATGG</t>
  </si>
  <si>
    <t xml:space="preserve">TAGTGTCGCCGGCCAACTGGATGG</t>
  </si>
  <si>
    <t xml:space="preserve">AAACCCATCCAGTTGGCCGGCGAC</t>
  </si>
  <si>
    <t xml:space="preserve">PST_1811</t>
  </si>
  <si>
    <t xml:space="preserve">CAGCAGTGCGAGATTCAGAT</t>
  </si>
  <si>
    <t xml:space="preserve">TAGTCAGCAGTGCGAGATTCAGAT</t>
  </si>
  <si>
    <t xml:space="preserve">AAACATCTGAATCTCGCACTGCTG</t>
  </si>
  <si>
    <t xml:space="preserve">CCGCGAGCGAGACGCCGGCC</t>
  </si>
  <si>
    <t xml:space="preserve">TAGTCCGCGAGCGAGACGCCGGCC</t>
  </si>
  <si>
    <t xml:space="preserve">AAACGGCCGGCGTCTCGCTCGCGG</t>
  </si>
  <si>
    <t xml:space="preserve">CGGGCCGCTGCGGCGGTCGT</t>
  </si>
  <si>
    <t xml:space="preserve">TAGTCGGGCCGCTGCGGCGGTCGT</t>
  </si>
  <si>
    <t xml:space="preserve">AAACACGACCGCCGCAGCGGCCCG</t>
  </si>
  <si>
    <t xml:space="preserve">GTGCGCAGATCGGAGAGCAG</t>
  </si>
  <si>
    <t xml:space="preserve">TAGTGTGCGCAGATCGGAGAGCAG</t>
  </si>
  <si>
    <t xml:space="preserve">AAACCTGCTCTCCGATCTGCGCAC</t>
  </si>
  <si>
    <t xml:space="preserve">PST_1812</t>
  </si>
  <si>
    <t xml:space="preserve">fadH1</t>
  </si>
  <si>
    <t xml:space="preserve">GAGCCTCTTGGGGCTGCGGT</t>
  </si>
  <si>
    <t xml:space="preserve">TAGTGAGCCTCTTGGGGCTGCGGT</t>
  </si>
  <si>
    <t xml:space="preserve">AAACACCGCAGCCCCAAGAGGCTC</t>
  </si>
  <si>
    <t xml:space="preserve">CGGTGTGTCCTCATCATTGT</t>
  </si>
  <si>
    <t xml:space="preserve">TAGTCGGTGTGTCCTCATCATTGT</t>
  </si>
  <si>
    <t xml:space="preserve">AAACACAATGATGAGGACACACCG</t>
  </si>
  <si>
    <t xml:space="preserve">AGATGCGGGAAGGCGGTCAT</t>
  </si>
  <si>
    <t xml:space="preserve">TAGTAGATGCGGGAAGGCGGTCAT</t>
  </si>
  <si>
    <t xml:space="preserve">AAACATGACCGCCTTCCCGCATCT</t>
  </si>
  <si>
    <t xml:space="preserve">GTGGTGAAGCCCAGATCGAG</t>
  </si>
  <si>
    <t xml:space="preserve">TAGTGTGGTGAAGCCCAGATCGAG</t>
  </si>
  <si>
    <t xml:space="preserve">AAACCTCGATCTGGGCTTCACCAC</t>
  </si>
  <si>
    <t xml:space="preserve">PST_1813</t>
  </si>
  <si>
    <t xml:space="preserve">TGCAGGCATTCGGCGGCTTG</t>
  </si>
  <si>
    <t xml:space="preserve">TAGTTGCAGGCATTCGGCGGCTTG</t>
  </si>
  <si>
    <t xml:space="preserve">AAACCAAGCCGCCGAATGCCTGCA</t>
  </si>
  <si>
    <t xml:space="preserve">CTGGGCGATCATCGCGTGCC</t>
  </si>
  <si>
    <t xml:space="preserve">TAGTCTGGGCGATCATCGCGTGCC</t>
  </si>
  <si>
    <t xml:space="preserve">AAACGGCACGCGATGATCGCCCAG</t>
  </si>
  <si>
    <t xml:space="preserve">GCCTGGGGGTGCAGCAGTTC</t>
  </si>
  <si>
    <t xml:space="preserve">TAGTGCCTGGGGGTGCAGCAGTTC</t>
  </si>
  <si>
    <t xml:space="preserve">AAACGAACTGCTGCACCCCCAGGC</t>
  </si>
  <si>
    <t xml:space="preserve">GCTTGTGAGCCATCGGCGAG</t>
  </si>
  <si>
    <t xml:space="preserve">TAGTGCTTGTGAGCCATCGGCGAG</t>
  </si>
  <si>
    <t xml:space="preserve">AAACCTCGCCGATGGCTCACAAGC</t>
  </si>
  <si>
    <t xml:space="preserve">PST_1814</t>
  </si>
  <si>
    <t xml:space="preserve">GCCTTCGTTGTAGAACAGCA</t>
  </si>
  <si>
    <t xml:space="preserve">TAGTGCCTTCGTTGTAGAACAGCA</t>
  </si>
  <si>
    <t xml:space="preserve">AAACTGCTGTTCTACAACGAAGGC</t>
  </si>
  <si>
    <t xml:space="preserve">ATACAGCATTTCCTTGCAGA</t>
  </si>
  <si>
    <t xml:space="preserve">TAGTATACAGCATTTCCTTGCAGA</t>
  </si>
  <si>
    <t xml:space="preserve">AAACTCTGCAAGGAAATGCTGTAT</t>
  </si>
  <si>
    <t xml:space="preserve">TCCAGCACCGCTTCGAACTC</t>
  </si>
  <si>
    <t xml:space="preserve">TAGTTCCAGCACCGCTTCGAACTC</t>
  </si>
  <si>
    <t xml:space="preserve">AAACGAGTTCGAAGCGGTGCTGGA</t>
  </si>
  <si>
    <t xml:space="preserve">ATCTGGCGGTCAGCGAACTC</t>
  </si>
  <si>
    <t xml:space="preserve">TAGTATCTGGCGGTCAGCGAACTC</t>
  </si>
  <si>
    <t xml:space="preserve">AAACGAGTTCGCTGACCGCCAGAT</t>
  </si>
  <si>
    <t xml:space="preserve">PST_1815</t>
  </si>
  <si>
    <t xml:space="preserve">ATCGGAGGCGACGCAACGTT</t>
  </si>
  <si>
    <t xml:space="preserve">TAGTATCGGAGGCGACGCAACGTT</t>
  </si>
  <si>
    <t xml:space="preserve">AAACAACGTTGCGTCGCCTCCGAT</t>
  </si>
  <si>
    <t xml:space="preserve">CAGGCGTTGCAGAATCAGCG</t>
  </si>
  <si>
    <t xml:space="preserve">TAGTCAGGCGTTGCAGAATCAGCG</t>
  </si>
  <si>
    <t xml:space="preserve">AAACCGCTGATTCTGCAACGCCTG</t>
  </si>
  <si>
    <t xml:space="preserve">CAACACCACCACGTCGACAG</t>
  </si>
  <si>
    <t xml:space="preserve">TAGTCAACACCACCACGTCGACAG</t>
  </si>
  <si>
    <t xml:space="preserve">AAACCTGTCGACGTGGTGGTGTTG</t>
  </si>
  <si>
    <t xml:space="preserve">CGGACAGCTCCGGGTCCACC</t>
  </si>
  <si>
    <t xml:space="preserve">TAGTCGGACAGCTCCGGGTCCACC</t>
  </si>
  <si>
    <t xml:space="preserve">AAACGGTGGACCCGGAGCTGTCCG</t>
  </si>
  <si>
    <t xml:space="preserve">PST_1816</t>
  </si>
  <si>
    <t xml:space="preserve">CGAGCAGCTTCCCGGACATC</t>
  </si>
  <si>
    <t xml:space="preserve">TAGTCGAGCAGCTTCCCGGACATC</t>
  </si>
  <si>
    <t xml:space="preserve">AAACGATGTCCGGGAAGCTGCTCG</t>
  </si>
  <si>
    <t xml:space="preserve">AGGAGGCTATGCAGCGCCGC</t>
  </si>
  <si>
    <t xml:space="preserve">TAGTAGGAGGCTATGCAGCGCCGC</t>
  </si>
  <si>
    <t xml:space="preserve">AAACGCGGCGCTGCATAGCCTCCT</t>
  </si>
  <si>
    <t xml:space="preserve">CCTCCCGCGTCCGTTCTGAC</t>
  </si>
  <si>
    <t xml:space="preserve">TAGTCCTCCCGCGTCCGTTCTGAC</t>
  </si>
  <si>
    <t xml:space="preserve">AAACGTCAGAACGGACGCGGGAGG</t>
  </si>
  <si>
    <t xml:space="preserve">CGGCATCCACGCTCAGCAGA</t>
  </si>
  <si>
    <t xml:space="preserve">TAGTCGGCATCCACGCTCAGCAGA</t>
  </si>
  <si>
    <t xml:space="preserve">AAACTCTGCTGAGCGTGGATGCCG</t>
  </si>
  <si>
    <t xml:space="preserve">PST_1817</t>
  </si>
  <si>
    <t xml:space="preserve">CGTCTGAGTCGAAGCTCAGT</t>
  </si>
  <si>
    <t xml:space="preserve">TAGTCGTCTGAGTCGAAGCTCAGT</t>
  </si>
  <si>
    <t xml:space="preserve">AAACACTGAGCTTCGACTCAGACG</t>
  </si>
  <si>
    <t xml:space="preserve">AGAGGGTGCGCAGTTCAAGG</t>
  </si>
  <si>
    <t xml:space="preserve">TAGTAGAGGGTGCGCAGTTCAAGG</t>
  </si>
  <si>
    <t xml:space="preserve">AAACCCTTGAACTGCGCACCCTCT</t>
  </si>
  <si>
    <t xml:space="preserve">GATCATCATGGGCAGGGCGA</t>
  </si>
  <si>
    <t xml:space="preserve">TAGTGATCATCATGGGCAGGGCGA</t>
  </si>
  <si>
    <t xml:space="preserve">AAACTCGCCCTGCCCATGATGATC</t>
  </si>
  <si>
    <t xml:space="preserve">GACAAAGCCCATGGCAGTGC</t>
  </si>
  <si>
    <t xml:space="preserve">TAGTGACAAAGCCCATGGCAGTGC</t>
  </si>
  <si>
    <t xml:space="preserve">AAACGCACTGCCATGGGCTTTGTC</t>
  </si>
  <si>
    <t xml:space="preserve">PST_1818</t>
  </si>
  <si>
    <t xml:space="preserve">pdxB</t>
  </si>
  <si>
    <t xml:space="preserve">TTCGTCGGCAAGGATGTGCA</t>
  </si>
  <si>
    <t xml:space="preserve">TAGTTTCGTCGGCAAGGATGTGCA</t>
  </si>
  <si>
    <t xml:space="preserve">AAACTGCACATCCTTGCCGACGAA</t>
  </si>
  <si>
    <t xml:space="preserve">CAAAGAACTCATCGACCAGC</t>
  </si>
  <si>
    <t xml:space="preserve">TAGTCAAAGAACTCATCGACCAGC</t>
  </si>
  <si>
    <t xml:space="preserve">AAACGCTGGTCGATGAGTTCTTTG</t>
  </si>
  <si>
    <t xml:space="preserve">GCGACGGATCTCGCCGAGAC</t>
  </si>
  <si>
    <t xml:space="preserve">TAGTGCGACGGATCTCGCCGAGAC</t>
  </si>
  <si>
    <t xml:space="preserve">AAACGTCTCGGCGAGATCCGTCGC</t>
  </si>
  <si>
    <t xml:space="preserve">GCCCGATTGATGCGACGCCC</t>
  </si>
  <si>
    <t xml:space="preserve">TAGTGCCCGATTGATGCGACGCCC</t>
  </si>
  <si>
    <t xml:space="preserve">AAACGGGCGTCGCATCAATCGGGC</t>
  </si>
  <si>
    <t xml:space="preserve">PST_1819</t>
  </si>
  <si>
    <t xml:space="preserve">GCAGACGCGACCGGTGCTGC</t>
  </si>
  <si>
    <t xml:space="preserve">TAGTGCAGACGCGACCGGTGCTGC</t>
  </si>
  <si>
    <t xml:space="preserve">AAACGCAGCACCGGTCGCGTCTGC</t>
  </si>
  <si>
    <t xml:space="preserve">CCAGTTCGTCATCCCGTCGA</t>
  </si>
  <si>
    <t xml:space="preserve">TAGTCCAGTTCGTCATCCCGTCGA</t>
  </si>
  <si>
    <t xml:space="preserve">AAACTCGACGGGATGACGAACTGG</t>
  </si>
  <si>
    <t xml:space="preserve">CCGAACGGCTTGTTGAATCC</t>
  </si>
  <si>
    <t xml:space="preserve">TAGTCCGAACGGCTTGTTGAATCC</t>
  </si>
  <si>
    <t xml:space="preserve">AAACGGATTCAACAAGCCGTTCGG</t>
  </si>
  <si>
    <t xml:space="preserve">ACAGCGGCCATAGAACGAGT</t>
  </si>
  <si>
    <t xml:space="preserve">TAGTACAGCGGCCATAGAACGAGT</t>
  </si>
  <si>
    <t xml:space="preserve">AAACACTCGTTCTATGGCCGCTGT</t>
  </si>
  <si>
    <t xml:space="preserve">PST_1820</t>
  </si>
  <si>
    <t xml:space="preserve">dnaX</t>
  </si>
  <si>
    <t xml:space="preserve">TAGGCAGGTCGGGTAGGGAC</t>
  </si>
  <si>
    <t xml:space="preserve">TAGTTAGGCAGGTCGGGTAGGGAC</t>
  </si>
  <si>
    <t xml:space="preserve">AAACGTCCCTACCCGACCTGCCTA</t>
  </si>
  <si>
    <t xml:space="preserve">TAACTCATAACACCATCGCG</t>
  </si>
  <si>
    <t xml:space="preserve">TAGTTAACTCATAACACCATCGCG</t>
  </si>
  <si>
    <t xml:space="preserve">AAACCGCGATGGTGTTATGAGTTA</t>
  </si>
  <si>
    <t xml:space="preserve">ACCATTTCGCGGAACGAGCG</t>
  </si>
  <si>
    <t xml:space="preserve">TAGTACCATTTCGCGGAACGAGCG</t>
  </si>
  <si>
    <t xml:space="preserve">AAACCGCTCGTTCCGCGAAATGGT</t>
  </si>
  <si>
    <t xml:space="preserve">GGGCCTTGAGCACATGCGTC</t>
  </si>
  <si>
    <t xml:space="preserve">TAGTGGGCCTTGAGCACATGCGTC</t>
  </si>
  <si>
    <t xml:space="preserve">AAACGACGCATGTGCTCAAGGCCC</t>
  </si>
  <si>
    <t xml:space="preserve">PST_1821</t>
  </si>
  <si>
    <t xml:space="preserve">ACCGGATTGGCCAGTGACTT</t>
  </si>
  <si>
    <t xml:space="preserve">TAGTACCGGATTGGCCAGTGACTT</t>
  </si>
  <si>
    <t xml:space="preserve">AAACAAGTCACTGGCCAATCCGGT</t>
  </si>
  <si>
    <t xml:space="preserve">CATCACCACGCTGACCAGGC</t>
  </si>
  <si>
    <t xml:space="preserve">TAGTCATCACCACGCTGACCAGGC</t>
  </si>
  <si>
    <t xml:space="preserve">AAACGCCTGGTCAGCGTGGTGATG</t>
  </si>
  <si>
    <t xml:space="preserve">TGACGCGCTTGACGTCATGA</t>
  </si>
  <si>
    <t xml:space="preserve">TAGTTGACGCGCTTGACGTCATGA</t>
  </si>
  <si>
    <t xml:space="preserve">AAACTCATGACGTCAAGCGCGTCA</t>
  </si>
  <si>
    <t xml:space="preserve">CCTGCATCAGGCTGTCATCG</t>
  </si>
  <si>
    <t xml:space="preserve">TAGTCCTGCATCAGGCTGTCATCG</t>
  </si>
  <si>
    <t xml:space="preserve">AAACCGATGACAGCCTGATGCAGG</t>
  </si>
  <si>
    <t xml:space="preserve">PST_1822</t>
  </si>
  <si>
    <t xml:space="preserve">recR</t>
  </si>
  <si>
    <t xml:space="preserve">CGATGAGTTGCCGAATCAGC</t>
  </si>
  <si>
    <t xml:space="preserve">TAGTCGATGAGTTGCCGAATCAGC</t>
  </si>
  <si>
    <t xml:space="preserve">AAACGCTGATTCGGCAACTCATCG</t>
  </si>
  <si>
    <t xml:space="preserve">TACGCCAGGAAGAATGCGCA</t>
  </si>
  <si>
    <t xml:space="preserve">TAGTTACGCCAGGAAGAATGCGCA</t>
  </si>
  <si>
    <t xml:space="preserve">AAACTGCGCATTCTTCCTGGCGTA</t>
  </si>
  <si>
    <t xml:space="preserve">CTGCAGCGCCATGCGTTGCG</t>
  </si>
  <si>
    <t xml:space="preserve">TAGTCTGCAGCGCCATGCGTTGCG</t>
  </si>
  <si>
    <t xml:space="preserve">AAACCGCAACGCATGGCGCTGCAG</t>
  </si>
  <si>
    <t xml:space="preserve">CCAGGCGCAGGCCACCGCTG</t>
  </si>
  <si>
    <t xml:space="preserve">TAGTCCAGGCGCAGGCCACCGCTG</t>
  </si>
  <si>
    <t xml:space="preserve">AAACCAGCGGTGGCCTGCGCCTGG</t>
  </si>
  <si>
    <t xml:space="preserve">PST_1823</t>
  </si>
  <si>
    <t xml:space="preserve">CTTTCATTTCGACCTCGATT</t>
  </si>
  <si>
    <t xml:space="preserve">TAGTCTTTCATTTCGACCTCGATT</t>
  </si>
  <si>
    <t xml:space="preserve">AAACAATCGAGGTCGAAATGAAAG</t>
  </si>
  <si>
    <t xml:space="preserve">GCACTCAGGAGCACAAGAGC</t>
  </si>
  <si>
    <t xml:space="preserve">TAGTGCACTCAGGAGCACAAGAGC</t>
  </si>
  <si>
    <t xml:space="preserve">AAACGCTCTTGTGCTCCTGAGTGC</t>
  </si>
  <si>
    <t xml:space="preserve">CCTGGGCATCATCCATCACC</t>
  </si>
  <si>
    <t xml:space="preserve">TAGTCCTGGGCATCATCCATCACC</t>
  </si>
  <si>
    <t xml:space="preserve">AAACGGTGATGGATGATGCCCAGG</t>
  </si>
  <si>
    <t xml:space="preserve">CCCTGCCTCGTGGGCGACCA</t>
  </si>
  <si>
    <t xml:space="preserve">TAGTCCCTGCCTCGTGGGCGACCA</t>
  </si>
  <si>
    <t xml:space="preserve">AAACTGGTCGCCCACGAGGCAGGG</t>
  </si>
  <si>
    <t xml:space="preserve">PST_1824</t>
  </si>
  <si>
    <t xml:space="preserve">CAGGGCGACCAGCTCGCCCT</t>
  </si>
  <si>
    <t xml:space="preserve">TAGTCAGGGCGACCAGCTCGCCCT</t>
  </si>
  <si>
    <t xml:space="preserve">AAACAGGGCGAGCTGGTCGCCCTG</t>
  </si>
  <si>
    <t xml:space="preserve">CCCCGCCACCAGGTGCAACA</t>
  </si>
  <si>
    <t xml:space="preserve">TAGTCCCCGCCACCAGGTGCAACA</t>
  </si>
  <si>
    <t xml:space="preserve">AAACTGTTGCACCTGGTGGCGGGG</t>
  </si>
  <si>
    <t xml:space="preserve">GCAAGCACGCGGCCAGCGCT</t>
  </si>
  <si>
    <t xml:space="preserve">TAGTGCAAGCACGCGGCCAGCGCT</t>
  </si>
  <si>
    <t xml:space="preserve">AAACAGCGCTGGCCGCGTGCTTGC</t>
  </si>
  <si>
    <t xml:space="preserve">ACCAGGGTACGTCGCGGGCT</t>
  </si>
  <si>
    <t xml:space="preserve">TAGTACCAGGGTACGTCGCGGGCT</t>
  </si>
  <si>
    <t xml:space="preserve">AAACAGCCCGCGACGTACCCTGGT</t>
  </si>
  <si>
    <t xml:space="preserve">PST_1825</t>
  </si>
  <si>
    <t xml:space="preserve">GGCCAGGTATTTCTTCGGGC</t>
  </si>
  <si>
    <t xml:space="preserve">TAGTGGCCAGGTATTTCTTCGGGC</t>
  </si>
  <si>
    <t xml:space="preserve">AAACGCCCGAAGAAATACCTGGCC</t>
  </si>
  <si>
    <t xml:space="preserve">GAACAGGATGGCCAGAACGA</t>
  </si>
  <si>
    <t xml:space="preserve">TAGTGAACAGGATGGCCAGAACGA</t>
  </si>
  <si>
    <t xml:space="preserve">AAACTCGTTCTGGCCATCCTGTTC</t>
  </si>
  <si>
    <t xml:space="preserve">GAGGAACGCCGGCAGACTCC</t>
  </si>
  <si>
    <t xml:space="preserve">TAGTGAGGAACGCCGGCAGACTCC</t>
  </si>
  <si>
    <t xml:space="preserve">AAACGGAGTCTGCCGGCGTTCCTC</t>
  </si>
  <si>
    <t xml:space="preserve">TCGACCACGGTCGGGATACC</t>
  </si>
  <si>
    <t xml:space="preserve">TAGTTCGACCACGGTCGGGATACC</t>
  </si>
  <si>
    <t xml:space="preserve">AAACGGTATCCCGACCGTGGTCGA</t>
  </si>
  <si>
    <t xml:space="preserve">PST_1826</t>
  </si>
  <si>
    <t xml:space="preserve">ATGTGCGAAAAGACGGGCAC</t>
  </si>
  <si>
    <t xml:space="preserve">TAGTATGTGCGAAAAGACGGGCAC</t>
  </si>
  <si>
    <t xml:space="preserve">AAACGTGCCCGTCTTTTCGCACAT</t>
  </si>
  <si>
    <t xml:space="preserve">GACTCGGCCAGCCCCACTGC</t>
  </si>
  <si>
    <t xml:space="preserve">TAGTGACTCGGCCAGCCCCACTGC</t>
  </si>
  <si>
    <t xml:space="preserve">AAACGCAGTGGGGCTGGCCGAGTC</t>
  </si>
  <si>
    <t xml:space="preserve">CTCGACAGCACGCGATGCTC</t>
  </si>
  <si>
    <t xml:space="preserve">TAGTCTCGACAGCACGCGATGCTC</t>
  </si>
  <si>
    <t xml:space="preserve">AAACGAGCATCGCGTGCTGTCGAG</t>
  </si>
  <si>
    <t xml:space="preserve">CAGCGCCGCCTCGAAACTTT</t>
  </si>
  <si>
    <t xml:space="preserve">TAGTCAGCGCCGCCTCGAAACTTT</t>
  </si>
  <si>
    <t xml:space="preserve">AAACAAAGTTTCGAGGCGGCGCTG</t>
  </si>
  <si>
    <t xml:space="preserve">PST_1827</t>
  </si>
  <si>
    <t xml:space="preserve">GCGCCAGAGTCTCGTTGGCA</t>
  </si>
  <si>
    <t xml:space="preserve">TAGTGCGCCAGAGTCTCGTTGGCA</t>
  </si>
  <si>
    <t xml:space="preserve">AAACTGCCAACGAGACTCTGGCGC</t>
  </si>
  <si>
    <t xml:space="preserve">AGGCTAGCGCAAGAATCAGC</t>
  </si>
  <si>
    <t xml:space="preserve">TAGTAGGCTAGCGCAAGAATCAGC</t>
  </si>
  <si>
    <t xml:space="preserve">AAACGCTGATTCTTGCGCTAGCCT</t>
  </si>
  <si>
    <t xml:space="preserve">CGCCAATGCGGGTGTGGCCA</t>
  </si>
  <si>
    <t xml:space="preserve">TAGTCGCCAATGCGGGTGTGGCCA</t>
  </si>
  <si>
    <t xml:space="preserve">AAACTGGCCACACCCGCATTGGCG</t>
  </si>
  <si>
    <t xml:space="preserve">GGATATTGGCCTGATCCAGC</t>
  </si>
  <si>
    <t xml:space="preserve">TAGTGGATATTGGCCTGATCCAGC</t>
  </si>
  <si>
    <t xml:space="preserve">AAACGCTGGATCAGGCCAATATCC</t>
  </si>
  <si>
    <t xml:space="preserve">PST_1828</t>
  </si>
  <si>
    <t xml:space="preserve">apt</t>
  </si>
  <si>
    <t xml:space="preserve">CTGAATTCGTCGAAGATCAT</t>
  </si>
  <si>
    <t xml:space="preserve">TAGTCTGAATTCGTCGAAGATCAT</t>
  </si>
  <si>
    <t xml:space="preserve">AAACATGATCTTCGACGAATTCAG</t>
  </si>
  <si>
    <t xml:space="preserve">GTCCGGAACCGGGCGGATCA</t>
  </si>
  <si>
    <t xml:space="preserve">TAGTGTCCGGAACCGGGCGGATCA</t>
  </si>
  <si>
    <t xml:space="preserve">AAACTGATCCGCCCGGTTCCGGAC</t>
  </si>
  <si>
    <t xml:space="preserve">CGAAATATCACGCCGGGCCG</t>
  </si>
  <si>
    <t xml:space="preserve">TAGTCGAAATATCACGCCGGGCCG</t>
  </si>
  <si>
    <t xml:space="preserve">AAACCGGCCCGGCGTGATATTTCG</t>
  </si>
  <si>
    <t xml:space="preserve">GCCTTTGGCGACTGGAACAA</t>
  </si>
  <si>
    <t xml:space="preserve">TAGTGCCTTTGGCGACTGGAACAA</t>
  </si>
  <si>
    <t xml:space="preserve">AAACTTGTTCCAGTCGCCAAAGGC</t>
  </si>
  <si>
    <t xml:space="preserve">PST_1829</t>
  </si>
  <si>
    <t xml:space="preserve">anr</t>
  </si>
  <si>
    <t xml:space="preserve">CGCACGGACCTTGATCGATT</t>
  </si>
  <si>
    <t xml:space="preserve">TAGTCGCACGGACCTTGATCGATT</t>
  </si>
  <si>
    <t xml:space="preserve">AAACAATCGATCAAGGTCCGTGCG</t>
  </si>
  <si>
    <t xml:space="preserve">GGGGCAGGCAGAGCCCGGAA</t>
  </si>
  <si>
    <t xml:space="preserve">TAGTGGGGCAGGCAGAGCCCGGAA</t>
  </si>
  <si>
    <t xml:space="preserve">AAACTTCCGGGCTCTGCCTGCCCC</t>
  </si>
  <si>
    <t xml:space="preserve">GTCCTGCATGTTCAACGACA</t>
  </si>
  <si>
    <t xml:space="preserve">TAGTGTCCTGCATGTTCAACGACA</t>
  </si>
  <si>
    <t xml:space="preserve">AAACTGTCGTTGAACATGCAGGAC</t>
  </si>
  <si>
    <t xml:space="preserve">TCTCGCCTTTCTTCAGCGGG</t>
  </si>
  <si>
    <t xml:space="preserve">TAGTTCTCGCCTTTCTTCAGCGGG</t>
  </si>
  <si>
    <t xml:space="preserve">AAACCCCGCTGAAGAAAGGCGAGA</t>
  </si>
  <si>
    <t xml:space="preserve">PST_1830</t>
  </si>
  <si>
    <t xml:space="preserve">CAGGTCGGAATCCCAGCGAA</t>
  </si>
  <si>
    <t xml:space="preserve">TAGTCAGGTCGGAATCCCAGCGAA</t>
  </si>
  <si>
    <t xml:space="preserve">AAACTTCGCTGGGATTCCGACCTG</t>
  </si>
  <si>
    <t xml:space="preserve">GGCCGGCCTGATCGTAACGA</t>
  </si>
  <si>
    <t xml:space="preserve">TAGTGGCCGGCCTGATCGTAACGA</t>
  </si>
  <si>
    <t xml:space="preserve">AAACTCGTTACGATCAGGCCGGCC</t>
  </si>
  <si>
    <t xml:space="preserve">TCGGGTACGACGTGTAGCGC</t>
  </si>
  <si>
    <t xml:space="preserve">TAGTTCGGGTACGACGTGTAGCGC</t>
  </si>
  <si>
    <t xml:space="preserve">AAACGCGCTACACGTCGTACCCGA</t>
  </si>
  <si>
    <t xml:space="preserve">CTTGTCATTGAGCTGGGCCG</t>
  </si>
  <si>
    <t xml:space="preserve">TAGTCTTGTCATTGAGCTGGGCCG</t>
  </si>
  <si>
    <t xml:space="preserve">AAACCGGCCCAGCTCAATGACAAG</t>
  </si>
  <si>
    <t xml:space="preserve">PST_1831</t>
  </si>
  <si>
    <t xml:space="preserve">nadE</t>
  </si>
  <si>
    <t xml:space="preserve">CGGTGAAAGGTGCGCAGACA</t>
  </si>
  <si>
    <t xml:space="preserve">TAGTCGGTGAAAGGTGCGCAGACA</t>
  </si>
  <si>
    <t xml:space="preserve">AAACTGTCTGCGCACCTTTCACCG</t>
  </si>
  <si>
    <t xml:space="preserve">CGTCTGCACGGATTCCGGCC</t>
  </si>
  <si>
    <t xml:space="preserve">TAGTCGTCTGCACGGATTCCGGCC</t>
  </si>
  <si>
    <t xml:space="preserve">AAACGGCCGGAATCCGTGCAGACG</t>
  </si>
  <si>
    <t xml:space="preserve">CGGACTCGCGCAGGCAGGAC</t>
  </si>
  <si>
    <t xml:space="preserve">TAGTCGGACTCGCGCAGGCAGGAC</t>
  </si>
  <si>
    <t xml:space="preserve">AAACGTCCTGCCTGCGCGAGTCCG</t>
  </si>
  <si>
    <t xml:space="preserve">CAGCACCAGTGTTTTCATGC</t>
  </si>
  <si>
    <t xml:space="preserve">TAGTCAGCACCAGTGTTTTCATGC</t>
  </si>
  <si>
    <t xml:space="preserve">AAACGCATGAAAACACTGGTGCTG</t>
  </si>
  <si>
    <t xml:space="preserve">PST_1832</t>
  </si>
  <si>
    <t xml:space="preserve">CTGTTCCGGCGGAATGGCCA</t>
  </si>
  <si>
    <t xml:space="preserve">TAGTCTGTTCCGGCGGAATGGCCA</t>
  </si>
  <si>
    <t xml:space="preserve">AAACTGGCCATTCCGCCGGAACAG</t>
  </si>
  <si>
    <t xml:space="preserve">TGTAAGCGAGCAGCAGGCGC</t>
  </si>
  <si>
    <t xml:space="preserve">TAGTTGTAAGCGAGCAGCAGGCGC</t>
  </si>
  <si>
    <t xml:space="preserve">AAACGCGCCTGCTGCTCGCTTACA</t>
  </si>
  <si>
    <t xml:space="preserve">CATAGCTGGCCACCCGCCCC</t>
  </si>
  <si>
    <t xml:space="preserve">TAGTCATAGCTGGCCACCCGCCCC</t>
  </si>
  <si>
    <t xml:space="preserve">AAACGGGGCGGGTGGCCAGCTATG</t>
  </si>
  <si>
    <t xml:space="preserve">ACCGATCAGAAAGCCGGCAA</t>
  </si>
  <si>
    <t xml:space="preserve">TAGTACCGATCAGAAAGCCGGCAA</t>
  </si>
  <si>
    <t xml:space="preserve">AAACTTGCCGGCTTTCTGATCGGT</t>
  </si>
  <si>
    <t xml:space="preserve">PST_1833</t>
  </si>
  <si>
    <t xml:space="preserve">ccoS</t>
  </si>
  <si>
    <t xml:space="preserve">AGGGATCAGGATATACAGAG</t>
  </si>
  <si>
    <t xml:space="preserve">TAGTAGGGATCAGGATATACAGAG</t>
  </si>
  <si>
    <t xml:space="preserve">AAACCTCTGTATATCCTGATCCCT</t>
  </si>
  <si>
    <t xml:space="preserve">GCCACCAGGACCACGGCAAC</t>
  </si>
  <si>
    <t xml:space="preserve">TAGTGCCACCAGGACCACGGCAAC</t>
  </si>
  <si>
    <t xml:space="preserve">AAACGTTGCCGTGGTCCTGGTGGC</t>
  </si>
  <si>
    <t xml:space="preserve">GAAGAACACCCAGATCGCAA</t>
  </si>
  <si>
    <t xml:space="preserve">TAGTGAAGAACACCCAGATCGCAA</t>
  </si>
  <si>
    <t xml:space="preserve">AAACTTGCGATCTGGGTGTTCTTC</t>
  </si>
  <si>
    <t xml:space="preserve">TGCTGTGCGCCGGCCCGTCT</t>
  </si>
  <si>
    <t xml:space="preserve">TAGTTGCTGTGCGCCGGCCCGTCT</t>
  </si>
  <si>
    <t xml:space="preserve">AAACAGACGGGCCGGCGCACAGCA</t>
  </si>
  <si>
    <t xml:space="preserve">PST_1834</t>
  </si>
  <si>
    <t xml:space="preserve">CCGCAGTGGTAGCAGGGGAG</t>
  </si>
  <si>
    <t xml:space="preserve">TAGTCCGCAGTGGTAGCAGGGGAG</t>
  </si>
  <si>
    <t xml:space="preserve">AAACCTCCCCTGCTACCACTGCGG</t>
  </si>
  <si>
    <t xml:space="preserve">AAGGGGCTGCCGGGAGGAAC</t>
  </si>
  <si>
    <t xml:space="preserve">TAGTAAGGGGCTGCCGGGAGGAAC</t>
  </si>
  <si>
    <t xml:space="preserve">AAACGTTCCTCCCGGCAGCCCCTT</t>
  </si>
  <si>
    <t xml:space="preserve">CCGCGTCTCACCCAGCACGC</t>
  </si>
  <si>
    <t xml:space="preserve">TAGTCCGCGTCTCACCCAGCACGC</t>
  </si>
  <si>
    <t xml:space="preserve">AAACGCGTGCTGGGTGAGACGCGG</t>
  </si>
  <si>
    <t xml:space="preserve">CTGACAGCCCGGGCAACACA</t>
  </si>
  <si>
    <t xml:space="preserve">TAGTCTGACAGCCCGGGCAACACA</t>
  </si>
  <si>
    <t xml:space="preserve">AAACTGTGTTGCCCGGGCTGTCAG</t>
  </si>
  <si>
    <t xml:space="preserve">PST_1835</t>
  </si>
  <si>
    <t xml:space="preserve">CCACCAGCGTATCGGCGTTG</t>
  </si>
  <si>
    <t xml:space="preserve">TAGTCCACCAGCGTATCGGCGTTG</t>
  </si>
  <si>
    <t xml:space="preserve">AAACCAACGCCGATACGCTGGTGG</t>
  </si>
  <si>
    <t xml:space="preserve">GGACTGGTTGATTCCTTTGC</t>
  </si>
  <si>
    <t xml:space="preserve">TAGTGGACTGGTTGATTCCTTTGC</t>
  </si>
  <si>
    <t xml:space="preserve">AAACGCAAAGGAATCAACCAGTCC</t>
  </si>
  <si>
    <t xml:space="preserve">CGCCAGCTTTTCGCGCTCGA</t>
  </si>
  <si>
    <t xml:space="preserve">TAGTCGCCAGCTTTTCGCGCTCGA</t>
  </si>
  <si>
    <t xml:space="preserve">AAACTCGAGCGCGAAAAGCTGGCG</t>
  </si>
  <si>
    <t xml:space="preserve">CTCGTCATTGAGGACGATAC</t>
  </si>
  <si>
    <t xml:space="preserve">TAGTCTCGTCATTGAGGACGATAC</t>
  </si>
  <si>
    <t xml:space="preserve">AAACGTATCGTCCTCAATGACGAG</t>
  </si>
  <si>
    <t xml:space="preserve">PST_1836</t>
  </si>
  <si>
    <t xml:space="preserve">GAGGGGTTACATCACGAACG</t>
  </si>
  <si>
    <t xml:space="preserve">TAGTGAGGGGTTACATCACGAACG</t>
  </si>
  <si>
    <t xml:space="preserve">AAACCGTTCGTGATGTAACCCCTC</t>
  </si>
  <si>
    <t xml:space="preserve">GCGGACGCTCCTGCCTTGGA</t>
  </si>
  <si>
    <t xml:space="preserve">TAGTGCGGACGCTCCTGCCTTGGA</t>
  </si>
  <si>
    <t xml:space="preserve">AAACTCCAAGGCAGGAGCGTCCGC</t>
  </si>
  <si>
    <t xml:space="preserve">TTTTTTCACGCGCGGCATAG</t>
  </si>
  <si>
    <t xml:space="preserve">TAGTTTTTTTCACGCGCGGCATAG</t>
  </si>
  <si>
    <t xml:space="preserve">AAACCTATGCCGCGCGTGAAAAAA</t>
  </si>
  <si>
    <t xml:space="preserve">AAACAGGCCGGAGAAGGCTC</t>
  </si>
  <si>
    <t xml:space="preserve">TAGTAAACAGGCCGGAGAAGGCTC</t>
  </si>
  <si>
    <t xml:space="preserve">AAACGAGCCTTCTCCGGCCTGTTT</t>
  </si>
  <si>
    <t xml:space="preserve">PST_1837</t>
  </si>
  <si>
    <t xml:space="preserve">GACGTACCAACTCCAAAACG</t>
  </si>
  <si>
    <t xml:space="preserve">TAGTGACGTACCAACTCCAAAACG</t>
  </si>
  <si>
    <t xml:space="preserve">AAACCGTTTTGGAGTTGGTACGTC</t>
  </si>
  <si>
    <t xml:space="preserve">AATGGTGCCGAGGCTCAGCA</t>
  </si>
  <si>
    <t xml:space="preserve">TAGTAATGGTGCCGAGGCTCAGCA</t>
  </si>
  <si>
    <t xml:space="preserve">AAACTGCTGAGCCTCGGCACCATT</t>
  </si>
  <si>
    <t xml:space="preserve">CTTCGGTGCTGTCAGGGCGT</t>
  </si>
  <si>
    <t xml:space="preserve">TAGTCTTCGGTGCTGTCAGGGCGT</t>
  </si>
  <si>
    <t xml:space="preserve">AAACACGCCCTGACAGCACCGAAG</t>
  </si>
  <si>
    <t xml:space="preserve">GCCGTCATAGGAGTGGCCAA</t>
  </si>
  <si>
    <t xml:space="preserve">TAGTGCCGTCATAGGAGTGGCCAA</t>
  </si>
  <si>
    <t xml:space="preserve">AAACTTGGCCACTCCTATGACGGC</t>
  </si>
  <si>
    <t xml:space="preserve">PST_1838</t>
  </si>
  <si>
    <t xml:space="preserve">ccoQ-2</t>
  </si>
  <si>
    <t xml:space="preserve">CGAATACCAGAATTGTGCCC</t>
  </si>
  <si>
    <t xml:space="preserve">TAGTCGAATACCAGAATTGTGCCC</t>
  </si>
  <si>
    <t xml:space="preserve">AAACGGGCACAATTCTGGTATTCG</t>
  </si>
  <si>
    <t xml:space="preserve">CCAGAGCACCACGCCAATAA</t>
  </si>
  <si>
    <t xml:space="preserve">TAGTCCAGAGCACCACGCCAATAA</t>
  </si>
  <si>
    <t xml:space="preserve">AAACTTATTGGCGTGGTGCTCTGG</t>
  </si>
  <si>
    <t xml:space="preserve">TTGCTTGCGTTTGCTGCTGT</t>
  </si>
  <si>
    <t xml:space="preserve">TAGTTTGCTTGCGTTTGCTGCTGT</t>
  </si>
  <si>
    <t xml:space="preserve">AAACACAGCAGCAAACGCAAGCAA</t>
  </si>
  <si>
    <t xml:space="preserve">GTCCGCGAAGGGCAGATTGG</t>
  </si>
  <si>
    <t xml:space="preserve">TAGTGTCCGCGAAGGGCAGATTGG</t>
  </si>
  <si>
    <t xml:space="preserve">AAACCCAATCTGCCCTTCGCGGAC</t>
  </si>
  <si>
    <t xml:space="preserve">PST_1839</t>
  </si>
  <si>
    <t xml:space="preserve">TGTTCTTTTCAAGTATTTCG</t>
  </si>
  <si>
    <t xml:space="preserve">TAGTTGTTCTTTTCAAGTATTTCG</t>
  </si>
  <si>
    <t xml:space="preserve">AAACCGAAATACTTGAAAAGAACA</t>
  </si>
  <si>
    <t xml:space="preserve">ACGAACGGCATCCCGGGCGC</t>
  </si>
  <si>
    <t xml:space="preserve">TAGTACGAACGGCATCCCGGGCGC</t>
  </si>
  <si>
    <t xml:space="preserve">AAACGCGCCCGGGATGCCGTTCGT</t>
  </si>
  <si>
    <t xml:space="preserve">GGCCACCATGGCGTCCATCT</t>
  </si>
  <si>
    <t xml:space="preserve">TAGTGGCCACCATGGCGTCCATCT</t>
  </si>
  <si>
    <t xml:space="preserve">AAACAGATGGACGCCATGGTGGCC</t>
  </si>
  <si>
    <t xml:space="preserve">GGTGCCGAGTACTTGCAGAT</t>
  </si>
  <si>
    <t xml:space="preserve">TAGTGGTGCCGAGTACTTGCAGAT</t>
  </si>
  <si>
    <t xml:space="preserve">AAACATCTGCAAGTACTCGGCACC</t>
  </si>
  <si>
    <t xml:space="preserve">PST_1840</t>
  </si>
  <si>
    <t xml:space="preserve">ccoN-2</t>
  </si>
  <si>
    <t xml:space="preserve">GCGCGGCGATGAAAACACCC</t>
  </si>
  <si>
    <t xml:space="preserve">TAGTGCGCGGCGATGAAAACACCC</t>
  </si>
  <si>
    <t xml:space="preserve">AAACGGGTGTTTTCATCGCCGCGC</t>
  </si>
  <si>
    <t xml:space="preserve">GGCAGGTCAAAATTGAGCGA</t>
  </si>
  <si>
    <t xml:space="preserve">TAGTGGCAGGTCAAAATTGAGCGA</t>
  </si>
  <si>
    <t xml:space="preserve">AAACTCGCTCAATTTTGACCTGCC</t>
  </si>
  <si>
    <t xml:space="preserve">AGACGACCGAAGCTCGTCCA</t>
  </si>
  <si>
    <t xml:space="preserve">TAGTAGACGACCGAAGCTCGTCCA</t>
  </si>
  <si>
    <t xml:space="preserve">AAACTGGACGAGCTTCGGTCGTCT</t>
  </si>
  <si>
    <t xml:space="preserve">GAACAGTGCGCAACCACCGA</t>
  </si>
  <si>
    <t xml:space="preserve">TAGTGAACAGTGCGCAACCACCGA</t>
  </si>
  <si>
    <t xml:space="preserve">AAACTCGGTGGTTGCGCACTGTTC</t>
  </si>
  <si>
    <t xml:space="preserve">PST_1841</t>
  </si>
  <si>
    <t xml:space="preserve">GATGGTGCCCAGCGTCAGCA</t>
  </si>
  <si>
    <t xml:space="preserve">TAGTGATGGTGCCCAGCGTCAGCA</t>
  </si>
  <si>
    <t xml:space="preserve">AAACTGCTGACGCTGGGCACCATC</t>
  </si>
  <si>
    <t xml:space="preserve">GGCGGACTCGCCCTTGCGGG</t>
  </si>
  <si>
    <t xml:space="preserve">TAGTGGCGGACTCGCCCTTGCGGG</t>
  </si>
  <si>
    <t xml:space="preserve">AAACCCCGCAAGGGCGAGTCCGCC</t>
  </si>
  <si>
    <t xml:space="preserve">CATCGTCTGGTCGGTAGTAC</t>
  </si>
  <si>
    <t xml:space="preserve">TAGTCATCGTCTGGTCGGTAGTAC</t>
  </si>
  <si>
    <t xml:space="preserve">AAACGTACTACCGACCAGACGATG</t>
  </si>
  <si>
    <t xml:space="preserve">AACCACCTTCGTAACCCGGC</t>
  </si>
  <si>
    <t xml:space="preserve">TAGTAACCACCTTCGTAACCCGGC</t>
  </si>
  <si>
    <t xml:space="preserve">AAACGCCGGGTTACGAAGGTGGTT</t>
  </si>
  <si>
    <t xml:space="preserve">PST_1842</t>
  </si>
  <si>
    <t xml:space="preserve">CTTGACGGAGTCACGGGCGC</t>
  </si>
  <si>
    <t xml:space="preserve">TAGTCTTGACGGAGTCACGGGCGC</t>
  </si>
  <si>
    <t xml:space="preserve">AAACGCGCCCGTGACTCCGTCAAG</t>
  </si>
  <si>
    <t xml:space="preserve">GGCCACCATCGCGTCCATTT</t>
  </si>
  <si>
    <t xml:space="preserve">TAGTGGCCACCATCGCGTCCATTT</t>
  </si>
  <si>
    <t xml:space="preserve">AAACAAATGGACGCGATGGTGGCC</t>
  </si>
  <si>
    <t xml:space="preserve">CGTGCCGAGTACCTGCAGGT</t>
  </si>
  <si>
    <t xml:space="preserve">TAGTCGTGCCGAGTACCTGCAGGT</t>
  </si>
  <si>
    <t xml:space="preserve">AAACACCTGCAGGTACTCGGCACG</t>
  </si>
  <si>
    <t xml:space="preserve">PST_1843</t>
  </si>
  <si>
    <t xml:space="preserve">ccoN-1</t>
  </si>
  <si>
    <t xml:space="preserve">CTTGTAACTGTAGGCGGTAC</t>
  </si>
  <si>
    <t xml:space="preserve">TAGTCTTGTAACTGTAGGCGGTAC</t>
  </si>
  <si>
    <t xml:space="preserve">AAACGTACCGCCTACAGTTACAAG</t>
  </si>
  <si>
    <t xml:space="preserve">CCGTCATGATGGCGAATTGG</t>
  </si>
  <si>
    <t xml:space="preserve">TAGTCCGTCATGATGGCGAATTGG</t>
  </si>
  <si>
    <t xml:space="preserve">AAACCCAATTCGCCATCATGACGG</t>
  </si>
  <si>
    <t xml:space="preserve">GTCGAAGTTCAGAAATGGCC</t>
  </si>
  <si>
    <t xml:space="preserve">TAGTGTCGAAGTTCAGAAATGGCC</t>
  </si>
  <si>
    <t xml:space="preserve">AAACGGCCATTTCTGAACTTCGAC</t>
  </si>
  <si>
    <t xml:space="preserve">GACCGAAACTGGTCCACGGG</t>
  </si>
  <si>
    <t xml:space="preserve">TAGTGACCGAAACTGGTCCACGGG</t>
  </si>
  <si>
    <t xml:space="preserve">AAACCCCGTGGACCAGTTTCGGTC</t>
  </si>
  <si>
    <t xml:space="preserve">PST_1844</t>
  </si>
  <si>
    <t xml:space="preserve">GTATTGACCCGCGTCAATAC</t>
  </si>
  <si>
    <t xml:space="preserve">TAGTGTATTGACCCGCGTCAATAC</t>
  </si>
  <si>
    <t xml:space="preserve">AAACGTATTGACGCGGGTCAATAC</t>
  </si>
  <si>
    <t xml:space="preserve">CCGACGCCACGCCCCGAGGA</t>
  </si>
  <si>
    <t xml:space="preserve">TAGTCCGACGCCACGCCCCGAGGA</t>
  </si>
  <si>
    <t xml:space="preserve">AAACTCCTCGGGGCGTGGCGTCGG</t>
  </si>
  <si>
    <t xml:space="preserve">GCCGTGGGCCAGAATCAGAC</t>
  </si>
  <si>
    <t xml:space="preserve">TAGTGCCGTGGGCCAGAATCAGAC</t>
  </si>
  <si>
    <t xml:space="preserve">AAACGTCTGATTCTGGCCCACGGC</t>
  </si>
  <si>
    <t xml:space="preserve">CGGACTGTCCATCGGCGCAC</t>
  </si>
  <si>
    <t xml:space="preserve">TAGTCGGACTGTCCATCGGCGCAC</t>
  </si>
  <si>
    <t xml:space="preserve">AAACGTGCGCCGATGGACAGTCCG</t>
  </si>
  <si>
    <t xml:space="preserve">PST_1845</t>
  </si>
  <si>
    <t xml:space="preserve">aer-2</t>
  </si>
  <si>
    <t xml:space="preserve">ATTCACGCTGGGATACGGGC</t>
  </si>
  <si>
    <t xml:space="preserve">TAGTATTCACGCTGGGATACGGGC</t>
  </si>
  <si>
    <t xml:space="preserve">AAACGCCCGTATCCCAGCGTGAAT</t>
  </si>
  <si>
    <t xml:space="preserve">GAGGCGTTGCTGGTCGGGGA</t>
  </si>
  <si>
    <t xml:space="preserve">TAGTGAGGCGTTGCTGGTCGGGGA</t>
  </si>
  <si>
    <t xml:space="preserve">AAACTCCCCGACCAGCAACGCCTC</t>
  </si>
  <si>
    <t xml:space="preserve">GATCTGCCCTTTCAGGTCGG</t>
  </si>
  <si>
    <t xml:space="preserve">TAGTGATCTGCCCTTTCAGGTCGG</t>
  </si>
  <si>
    <t xml:space="preserve">AAACCCGACCTGAAAGGGCAGATC</t>
  </si>
  <si>
    <t xml:space="preserve">GGCGAAGATGTCGTTGCAGT</t>
  </si>
  <si>
    <t xml:space="preserve">TAGTGGCGAAGATGTCGTTGCAGT</t>
  </si>
  <si>
    <t xml:space="preserve">AAACACTGCAACGACATCTTCGCC</t>
  </si>
  <si>
    <t xml:space="preserve">PST_1846</t>
  </si>
  <si>
    <t xml:space="preserve">acnA</t>
  </si>
  <si>
    <t xml:space="preserve">CATTTCAGGCTATCCAGGGA</t>
  </si>
  <si>
    <t xml:space="preserve">TAGTCATTTCAGGCTATCCAGGGA</t>
  </si>
  <si>
    <t xml:space="preserve">AAACTCCCTGGATAGCCTGAAATG</t>
  </si>
  <si>
    <t xml:space="preserve">TGCCGGCAACCTCGAGGCTG</t>
  </si>
  <si>
    <t xml:space="preserve">TAGTTGCCGGCAACCTCGAGGCTG</t>
  </si>
  <si>
    <t xml:space="preserve">AAACCAGCCTCGAGGTTGCCGGCA</t>
  </si>
  <si>
    <t xml:space="preserve">GGGGAGGCTGTAGTAGTGGT</t>
  </si>
  <si>
    <t xml:space="preserve">TAGTGGGGAGGCTGTAGTAGTGGT</t>
  </si>
  <si>
    <t xml:space="preserve">AAACACCACTACTACAGCCTCCCC</t>
  </si>
  <si>
    <t xml:space="preserve">CCCAGCTGGGCGGCTGCGTC</t>
  </si>
  <si>
    <t xml:space="preserve">TAGTCCCAGCTGGGCGGCTGCGTC</t>
  </si>
  <si>
    <t xml:space="preserve">AAACGACGCAGCCGCCCAGCTGGG</t>
  </si>
  <si>
    <t xml:space="preserve">PST_1847</t>
  </si>
  <si>
    <t xml:space="preserve">CGCGCATCATAGCCGACCGC</t>
  </si>
  <si>
    <t xml:space="preserve">TAGTCGCGCATCATAGCCGACCGC</t>
  </si>
  <si>
    <t xml:space="preserve">AAACGCGGTCGGCTATGATGCGCG</t>
  </si>
  <si>
    <t xml:space="preserve">TTCGGATCCTGTGAGCGGTC</t>
  </si>
  <si>
    <t xml:space="preserve">TAGTTTCGGATCCTGTGAGCGGTC</t>
  </si>
  <si>
    <t xml:space="preserve">AAACGACCGCTCACAGGATCCGAA</t>
  </si>
  <si>
    <t xml:space="preserve">CCTCGCCTTCGAACCCGGGG</t>
  </si>
  <si>
    <t xml:space="preserve">TAGTCCTCGCCTTCGAACCCGGGG</t>
  </si>
  <si>
    <t xml:space="preserve">AAACCCCCGGGTTCGAAGGCGAGG</t>
  </si>
  <si>
    <t xml:space="preserve">GGCGGCGTGCTCACTGATTT</t>
  </si>
  <si>
    <t xml:space="preserve">TAGTGGCGGCGTGCTCACTGATTT</t>
  </si>
  <si>
    <t xml:space="preserve">AAACAAATCAGTGAGCACGCCGCC</t>
  </si>
  <si>
    <t xml:space="preserve">PST_1848</t>
  </si>
  <si>
    <t xml:space="preserve">CGACAGTCATTTCAGCTGAT</t>
  </si>
  <si>
    <t xml:space="preserve">TAGTCGACAGTCATTTCAGCTGAT</t>
  </si>
  <si>
    <t xml:space="preserve">AAACATCAGCTGAAATGACTGTCG</t>
  </si>
  <si>
    <t xml:space="preserve">CAGGCCGGTGGCGTCGAGAA</t>
  </si>
  <si>
    <t xml:space="preserve">TAGTCAGGCCGGTGGCGTCGAGAA</t>
  </si>
  <si>
    <t xml:space="preserve">AAACTTCTCGACGCCACCGGCCTG</t>
  </si>
  <si>
    <t xml:space="preserve">TGCAGCATCATCACCGGCTC</t>
  </si>
  <si>
    <t xml:space="preserve">TAGTTGCAGCATCATCACCGGCTC</t>
  </si>
  <si>
    <t xml:space="preserve">AAACGAGCCGGTGATGATGCTGCA</t>
  </si>
  <si>
    <t xml:space="preserve">TGAGCATGGCCCCGCCAGCC</t>
  </si>
  <si>
    <t xml:space="preserve">TAGTTGAGCATGGCCCCGCCAGCC</t>
  </si>
  <si>
    <t xml:space="preserve">AAACGGCTGGCGGGGCCATGCTCA</t>
  </si>
  <si>
    <t xml:space="preserve">PST_1849</t>
  </si>
  <si>
    <t xml:space="preserve">GGAATCTGGATCGGATGGTA</t>
  </si>
  <si>
    <t xml:space="preserve">TAGTGGAATCTGGATCGGATGGTA</t>
  </si>
  <si>
    <t xml:space="preserve">AAACTACCATCCGATCCAGATTCC</t>
  </si>
  <si>
    <t xml:space="preserve">CTCCAGATGATCAGGCCGAT</t>
  </si>
  <si>
    <t xml:space="preserve">TAGTCTCCAGATGATCAGGCCGAT</t>
  </si>
  <si>
    <t xml:space="preserve">AAACATCGGCCTGATCATCTGGAG</t>
  </si>
  <si>
    <t xml:space="preserve">CATACATGGCGATGAACCAC</t>
  </si>
  <si>
    <t xml:space="preserve">TAGTCATACATGGCGATGAACCAC</t>
  </si>
  <si>
    <t xml:space="preserve">AAACGTGGTTCATCGCCATGTATG</t>
  </si>
  <si>
    <t xml:space="preserve">TGAGCTTGCAGATCACCGCC</t>
  </si>
  <si>
    <t xml:space="preserve">TAGTTGAGCTTGCAGATCACCGCC</t>
  </si>
  <si>
    <t xml:space="preserve">AAACGGCGGTGATCTGCAAGCTCA</t>
  </si>
  <si>
    <t xml:space="preserve">PST_1850</t>
  </si>
  <si>
    <t xml:space="preserve">GGCGCCAGTGTTACGGGTCG</t>
  </si>
  <si>
    <t xml:space="preserve">TAGTGGCGCCAGTGTTACGGGTCG</t>
  </si>
  <si>
    <t xml:space="preserve">AAACCGACCCGTAACACTGGCGCC</t>
  </si>
  <si>
    <t xml:space="preserve">GCTGGTCAGGGTCGGTGGCG</t>
  </si>
  <si>
    <t xml:space="preserve">TAGTGCTGGTCAGGGTCGGTGGCG</t>
  </si>
  <si>
    <t xml:space="preserve">AAACCGCCACCGACCCTGACCAGC</t>
  </si>
  <si>
    <t xml:space="preserve">TGCCCCACACCTCGTTGAAC</t>
  </si>
  <si>
    <t xml:space="preserve">TAGTTGCCCCACACCTCGTTGAAC</t>
  </si>
  <si>
    <t xml:space="preserve">AAACGTTCAACGAGGTGTGGGGCA</t>
  </si>
  <si>
    <t xml:space="preserve">TCAGCGCGCGCCAGCCGCGC</t>
  </si>
  <si>
    <t xml:space="preserve">TAGTTCAGCGCGCGCCAGCCGCGC</t>
  </si>
  <si>
    <t xml:space="preserve">AAACGCGCGGCTGGCGCGCGCTGA</t>
  </si>
  <si>
    <t xml:space="preserve">PST_1851</t>
  </si>
  <si>
    <t xml:space="preserve">GGGAATGGTCGAGGCGGGCC</t>
  </si>
  <si>
    <t xml:space="preserve">TAGTGGGAATGGTCGAGGCGGGCC</t>
  </si>
  <si>
    <t xml:space="preserve">AAACGGCCCGCCTCGACCATTCCC</t>
  </si>
  <si>
    <t xml:space="preserve">CCAGCTCTGGCAGGCGGGAT</t>
  </si>
  <si>
    <t xml:space="preserve">TAGTCCAGCTCTGGCAGGCGGGAT</t>
  </si>
  <si>
    <t xml:space="preserve">AAACATCCCGCCTGCCAGAGCTGG</t>
  </si>
  <si>
    <t xml:space="preserve">TCGCAACGACGTGCCGGAGA</t>
  </si>
  <si>
    <t xml:space="preserve">TAGTTCGCAACGACGTGCCGGAGA</t>
  </si>
  <si>
    <t xml:space="preserve">AAACTCTCCGGCACGTCGTTGCGA</t>
  </si>
  <si>
    <t xml:space="preserve">TGTGGATCTGGATGGCGAGC</t>
  </si>
  <si>
    <t xml:space="preserve">TAGTTGTGGATCTGGATGGCGAGC</t>
  </si>
  <si>
    <t xml:space="preserve">AAACGCTCGCCATCCAGATCCACA</t>
  </si>
  <si>
    <t xml:space="preserve">PST_1852</t>
  </si>
  <si>
    <t xml:space="preserve">AAATGCAGCAGTTTGAGCAA</t>
  </si>
  <si>
    <t xml:space="preserve">TAGTAAATGCAGCAGTTTGAGCAA</t>
  </si>
  <si>
    <t xml:space="preserve">AAACTTGCTCAAACTGCTGCATTT</t>
  </si>
  <si>
    <t xml:space="preserve">GCCGCACCAGCAGAGCAGGG</t>
  </si>
  <si>
    <t xml:space="preserve">TAGTGCCGCACCAGCAGAGCAGGG</t>
  </si>
  <si>
    <t xml:space="preserve">AAACCCCTGCTCTGCTGGTGCGGC</t>
  </si>
  <si>
    <t xml:space="preserve">GTGCCGGCGGCGATCATCGC</t>
  </si>
  <si>
    <t xml:space="preserve">TAGTGTGCCGGCGGCGATCATCGC</t>
  </si>
  <si>
    <t xml:space="preserve">AAACGCGATGATCGCCGCCGGCAC</t>
  </si>
  <si>
    <t xml:space="preserve">GAACAGCTGCTCGCTGCGCT</t>
  </si>
  <si>
    <t xml:space="preserve">TAGTGAACAGCTGCTCGCTGCGCT</t>
  </si>
  <si>
    <t xml:space="preserve">AAACAGCGCAGCGAGCAGCTGTTC</t>
  </si>
  <si>
    <t xml:space="preserve">PST_1853</t>
  </si>
  <si>
    <t xml:space="preserve">TTCAGGGAGTCGTTGTCCAT</t>
  </si>
  <si>
    <t xml:space="preserve">TAGTTTCAGGGAGTCGTTGTCCAT</t>
  </si>
  <si>
    <t xml:space="preserve">AAACATGGACAACGACTCCCTGAA</t>
  </si>
  <si>
    <t xml:space="preserve">TGAAAAAGATGATGGTGTAA</t>
  </si>
  <si>
    <t xml:space="preserve">TAGTTGAAAAAGATGATGGTGTAA</t>
  </si>
  <si>
    <t xml:space="preserve">AAACTTACACCATCATCTTTTTCA</t>
  </si>
  <si>
    <t xml:space="preserve">GCGCTTGCCGGCCGGGGTGT</t>
  </si>
  <si>
    <t xml:space="preserve">TAGTGCGCTTGCCGGCCGGGGTGT</t>
  </si>
  <si>
    <t xml:space="preserve">AAACACACCCCGGCCGGCAAGCGC</t>
  </si>
  <si>
    <t xml:space="preserve">GAAAATGATCACCAGCAGCC</t>
  </si>
  <si>
    <t xml:space="preserve">TAGTGAAAATGATCACCAGCAGCC</t>
  </si>
  <si>
    <t xml:space="preserve">AAACGGCTGCTGGTGATCATTTTC</t>
  </si>
  <si>
    <t xml:space="preserve">PST_1854</t>
  </si>
  <si>
    <t xml:space="preserve">moaA2</t>
  </si>
  <si>
    <t xml:space="preserve">GACCAACTGGGAATCGGGCA</t>
  </si>
  <si>
    <t xml:space="preserve">TAGTGACCAACTGGGAATCGGGCA</t>
  </si>
  <si>
    <t xml:space="preserve">AAACTGCCCGATTCCCAGTTGGTC</t>
  </si>
  <si>
    <t xml:space="preserve">TAGGTGATGCGCCGGCCGAA</t>
  </si>
  <si>
    <t xml:space="preserve">TAGTTAGGTGATGCGCCGGCCGAA</t>
  </si>
  <si>
    <t xml:space="preserve">AAACTTCGGCCGGCGCATCACCTA</t>
  </si>
  <si>
    <t xml:space="preserve">GGTCGGTTACCGACAACCTC</t>
  </si>
  <si>
    <t xml:space="preserve">TAGTGGTCGGTTACCGACAACCTC</t>
  </si>
  <si>
    <t xml:space="preserve">AAACGAGGTTGTCGGTAACCGACC</t>
  </si>
  <si>
    <t xml:space="preserve">AGGTGCAGCGAAAATCGCAG</t>
  </si>
  <si>
    <t xml:space="preserve">TAGTAGGTGCAGCGAAAATCGCAG</t>
  </si>
  <si>
    <t xml:space="preserve">AAACCTGCGATTTTCGCTGCACCT</t>
  </si>
  <si>
    <t xml:space="preserve">PST_1855</t>
  </si>
  <si>
    <t xml:space="preserve">ATCGACGAAGGATTTGAAAC</t>
  </si>
  <si>
    <t xml:space="preserve">TAGTATCGACGAAGGATTTGAAAC</t>
  </si>
  <si>
    <t xml:space="preserve">AAACGTTTCAAATCCTTCGTCGAT</t>
  </si>
  <si>
    <t xml:space="preserve">CTCGGGAAGCTGACCGTAGT</t>
  </si>
  <si>
    <t xml:space="preserve">TAGTCTCGGGAAGCTGACCGTAGT</t>
  </si>
  <si>
    <t xml:space="preserve">AAACACTACGGTCAGCTTCCCGAG</t>
  </si>
  <si>
    <t xml:space="preserve">TGGATTTTCCGCAGCCGTTC</t>
  </si>
  <si>
    <t xml:space="preserve">TAGTTGGATTTTCCGCAGCCGTTC</t>
  </si>
  <si>
    <t xml:space="preserve">AAACGAACGGCTGCGGAAAATCCA</t>
  </si>
  <si>
    <t xml:space="preserve">GCGCACGGCGTCGATGATGT</t>
  </si>
  <si>
    <t xml:space="preserve">TAGTGCGCACGGCGTCGATGATGT</t>
  </si>
  <si>
    <t xml:space="preserve">AAACACATCATCGACGCCGTGCGC</t>
  </si>
  <si>
    <t xml:space="preserve">PST_1856</t>
  </si>
  <si>
    <t xml:space="preserve">zipA</t>
  </si>
  <si>
    <t xml:space="preserve">CCAGCCGTCGAACAGAATGC</t>
  </si>
  <si>
    <t xml:space="preserve">TAGTCCAGCCGTCGAACAGAATGC</t>
  </si>
  <si>
    <t xml:space="preserve">AAACGCATTCTGTTCGACGGCTGG</t>
  </si>
  <si>
    <t xml:space="preserve">CGGGCAGGTTGGAAAGACTG</t>
  </si>
  <si>
    <t xml:space="preserve">TAGTCGGGCAGGTTGGAAAGACTG</t>
  </si>
  <si>
    <t xml:space="preserve">AAACCAGTCTTTCCAACCTGCCCG</t>
  </si>
  <si>
    <t xml:space="preserve">CTCGGGGGAGTCGTCGACGT</t>
  </si>
  <si>
    <t xml:space="preserve">TAGTCTCGGGGGAGTCGTCGACGT</t>
  </si>
  <si>
    <t xml:space="preserve">AAACACGTCGACGACTCCCCCGAG</t>
  </si>
  <si>
    <t xml:space="preserve">TCACGATTCACGACACGCGC</t>
  </si>
  <si>
    <t xml:space="preserve">TAGTTCACGATTCACGACACGCGC</t>
  </si>
  <si>
    <t xml:space="preserve">AAACGCGCGTGTCGTGAATCGTGA</t>
  </si>
  <si>
    <t xml:space="preserve">PST_1857</t>
  </si>
  <si>
    <t xml:space="preserve">ligA</t>
  </si>
  <si>
    <t xml:space="preserve">ATAGGACGAAGCCGTGACTG</t>
  </si>
  <si>
    <t xml:space="preserve">TAGTATAGGACGAAGCCGTGACTG</t>
  </si>
  <si>
    <t xml:space="preserve">AAACCAGTCACGGCTTCGTCCTAT</t>
  </si>
  <si>
    <t xml:space="preserve">TCGGCGGCGGTTTGGGCAGA</t>
  </si>
  <si>
    <t xml:space="preserve">TAGTTCGGCGGCGGTTTGGGCAGA</t>
  </si>
  <si>
    <t xml:space="preserve">AAACTCTGCCCAAACCGCCGCCGA</t>
  </si>
  <si>
    <t xml:space="preserve">GTCGATTTCGCTGCGTAGTT</t>
  </si>
  <si>
    <t xml:space="preserve">TAGTGTCGATTTCGCTGCGTAGTT</t>
  </si>
  <si>
    <t xml:space="preserve">AAACAACTACGCAGCGAAATCGAC</t>
  </si>
  <si>
    <t xml:space="preserve">CACGTAGTAGCGGTAGTTGT</t>
  </si>
  <si>
    <t xml:space="preserve">TAGTCACGTAGTAGCGGTAGTTGT</t>
  </si>
  <si>
    <t xml:space="preserve">AAACACAACTACCGCTACTACGTG</t>
  </si>
  <si>
    <t xml:space="preserve">PST_1858</t>
  </si>
  <si>
    <t xml:space="preserve">GCCATGGTGTTTGCCTCCAA</t>
  </si>
  <si>
    <t xml:space="preserve">TAGTGCCATGGTGTTTGCCTCCAA</t>
  </si>
  <si>
    <t xml:space="preserve">AAACTTGGAGGCAAACACCATGGC</t>
  </si>
  <si>
    <t xml:space="preserve">CGACGCAATGTTGGTATTGA</t>
  </si>
  <si>
    <t xml:space="preserve">TAGTCGACGCAATGTTGGTATTGA</t>
  </si>
  <si>
    <t xml:space="preserve">AAACTCAATACCAACATTGCGTCG</t>
  </si>
  <si>
    <t xml:space="preserve">PST_1859</t>
  </si>
  <si>
    <t xml:space="preserve">GCTGCATAGCGCTGCTGTGC</t>
  </si>
  <si>
    <t xml:space="preserve">TAGTGCTGCATAGCGCTGCTGTGC</t>
  </si>
  <si>
    <t xml:space="preserve">AAACGCACAGCAGCGCTATGCAGC</t>
  </si>
  <si>
    <t xml:space="preserve">PST_1861</t>
  </si>
  <si>
    <t xml:space="preserve">AAGACCCGCTGCGTCGTCTT</t>
  </si>
  <si>
    <t xml:space="preserve">TAGTAAGACCCGCTGCGTCGTCTT</t>
  </si>
  <si>
    <t xml:space="preserve">AAACAAGACGACGCAGCGGGTCTT</t>
  </si>
  <si>
    <t xml:space="preserve">CGTTAATTTGGCTTGTCAAA</t>
  </si>
  <si>
    <t xml:space="preserve">TAGTCGTTAATTTGGCTTGTCAAA</t>
  </si>
  <si>
    <t xml:space="preserve">AAACTTTGACAAGCCAAATTAACG</t>
  </si>
  <si>
    <t xml:space="preserve">CTGCTGCAATGCACCTTCCG</t>
  </si>
  <si>
    <t xml:space="preserve">TAGTCTGCTGCAATGCACCTTCCG</t>
  </si>
  <si>
    <t xml:space="preserve">AAACCGGAAGGTGCATTGCAGCAG</t>
  </si>
  <si>
    <t xml:space="preserve">CATACGCTGCAGAATGTTTG</t>
  </si>
  <si>
    <t xml:space="preserve">TAGTCATACGCTGCAGAATGTTTG</t>
  </si>
  <si>
    <t xml:space="preserve">AAACCAAACATTCTGCAGCGTATG</t>
  </si>
  <si>
    <t xml:space="preserve">PST_1862</t>
  </si>
  <si>
    <t xml:space="preserve">GGGCGTCGCATTGCTTGGTG</t>
  </si>
  <si>
    <t xml:space="preserve">TAGTGGGCGTCGCATTGCTTGGTG</t>
  </si>
  <si>
    <t xml:space="preserve">AAACCACCAAGCAATGCGACGCCC</t>
  </si>
  <si>
    <t xml:space="preserve">CCAACCTCCGGACGGAGGCT</t>
  </si>
  <si>
    <t xml:space="preserve">TAGTCCAACCTCCGGACGGAGGCT</t>
  </si>
  <si>
    <t xml:space="preserve">AAACAGCCTCCGTCCGGAGGTTGG</t>
  </si>
  <si>
    <t xml:space="preserve">GCTTCGGTCACATCCACCTC</t>
  </si>
  <si>
    <t xml:space="preserve">TAGTGCTTCGGTCACATCCACCTC</t>
  </si>
  <si>
    <t xml:space="preserve">AAACGAGGTGGATGTGACCGAAGC</t>
  </si>
  <si>
    <t xml:space="preserve">CACACGTATTACCACCTGGC</t>
  </si>
  <si>
    <t xml:space="preserve">TAGTCACACGTATTACCACCTGGC</t>
  </si>
  <si>
    <t xml:space="preserve">AAACGCCAGGTGGTAATACGTGTG</t>
  </si>
  <si>
    <t xml:space="preserve">PST_1863</t>
  </si>
  <si>
    <t xml:space="preserve">AATACTGTCGATATCAATGC</t>
  </si>
  <si>
    <t xml:space="preserve">TAGTAATACTGTCGATATCAATGC</t>
  </si>
  <si>
    <t xml:space="preserve">AAACGCATTGATATCGACAGTATT</t>
  </si>
  <si>
    <t xml:space="preserve">CTCCTTCGGCGCGCGCTCGG</t>
  </si>
  <si>
    <t xml:space="preserve">TAGTCTCCTTCGGCGCGCGCTCGG</t>
  </si>
  <si>
    <t xml:space="preserve">AAACCCGAGCGCGCGCCGAAGGAG</t>
  </si>
  <si>
    <t xml:space="preserve">GGTGGTCTTCTTTTCCAGGT</t>
  </si>
  <si>
    <t xml:space="preserve">TAGTGGTGGTCTTCTTTTCCAGGT</t>
  </si>
  <si>
    <t xml:space="preserve">AAACACCTGGAAAAGAAGACCACC</t>
  </si>
  <si>
    <t xml:space="preserve">GCCAATGGCAGTGATCTGAG</t>
  </si>
  <si>
    <t xml:space="preserve">TAGTGCCAATGGCAGTGATCTGAG</t>
  </si>
  <si>
    <t xml:space="preserve">AAACCTCAGATCACTGCCATTGGC</t>
  </si>
  <si>
    <t xml:space="preserve">PST_1864</t>
  </si>
  <si>
    <t xml:space="preserve">ACGGCAGCGTCGAAGCCGAT</t>
  </si>
  <si>
    <t xml:space="preserve">TAGTACGGCAGCGTCGAAGCCGAT</t>
  </si>
  <si>
    <t xml:space="preserve">AAACATCGGCTTCGACGCTGCCGT</t>
  </si>
  <si>
    <t xml:space="preserve">CCTGACTGCGCAGTGCAACG</t>
  </si>
  <si>
    <t xml:space="preserve">TAGTCCTGACTGCGCAGTGCAACG</t>
  </si>
  <si>
    <t xml:space="preserve">AAACCGTTGCACTGCGCAGTCAGG</t>
  </si>
  <si>
    <t xml:space="preserve">CTCGACTCTGGTTGAACAGC</t>
  </si>
  <si>
    <t xml:space="preserve">TAGTCTCGACTCTGGTTGAACAGC</t>
  </si>
  <si>
    <t xml:space="preserve">AAACGCTGTTCAACCAGAGTCGAG</t>
  </si>
  <si>
    <t xml:space="preserve">TCAACCGACGCACACGAAAA</t>
  </si>
  <si>
    <t xml:space="preserve">TAGTTCAACCGACGCACACGAAAA</t>
  </si>
  <si>
    <t xml:space="preserve">AAACTTTTCGTGTGCGTCGGTTGA</t>
  </si>
  <si>
    <t xml:space="preserve">PST_1865</t>
  </si>
  <si>
    <t xml:space="preserve">CGTAAAGGAACGACGTTGCT</t>
  </si>
  <si>
    <t xml:space="preserve">TAGTCGTAAAGGAACGACGTTGCT</t>
  </si>
  <si>
    <t xml:space="preserve">AAACAGCAACGTCGTTCCTTTACG</t>
  </si>
  <si>
    <t xml:space="preserve">GCGGCCTCTCGTTTGAACTC</t>
  </si>
  <si>
    <t xml:space="preserve">TAGTGCGGCCTCTCGTTTGAACTC</t>
  </si>
  <si>
    <t xml:space="preserve">AAACGAGTTCAAACGAGAGGCCGC</t>
  </si>
  <si>
    <t xml:space="preserve">GCCCTGATCGAGCACCAGGC</t>
  </si>
  <si>
    <t xml:space="preserve">TAGTGCCCTGATCGAGCACCAGGC</t>
  </si>
  <si>
    <t xml:space="preserve">AAACGCCTGGTGCTCGATCAGGGC</t>
  </si>
  <si>
    <t xml:space="preserve">GTGAACGAGCTGCTTCGATA</t>
  </si>
  <si>
    <t xml:space="preserve">TAGTGTGAACGAGCTGCTTCGATA</t>
  </si>
  <si>
    <t xml:space="preserve">AAACTATCGAAGCAGCTCGTTCAC</t>
  </si>
  <si>
    <t xml:space="preserve">PST_1866</t>
  </si>
  <si>
    <t xml:space="preserve">fliS</t>
  </si>
  <si>
    <t xml:space="preserve">AGCATCTGGATCAAACGGTG</t>
  </si>
  <si>
    <t xml:space="preserve">TAGTAGCATCTGGATCAAACGGTG</t>
  </si>
  <si>
    <t xml:space="preserve">AAACCACCGTTTGATCCAGATGCT</t>
  </si>
  <si>
    <t xml:space="preserve">CTCGCGCTCCATCGCGCCCT</t>
  </si>
  <si>
    <t xml:space="preserve">TAGTCTCGCGCTCCATCGCGCCCT</t>
  </si>
  <si>
    <t xml:space="preserve">AAACAGGGCGCGATGGAGCGCGAG</t>
  </si>
  <si>
    <t xml:space="preserve">CAGTACGCCCTTCTCTGCGA</t>
  </si>
  <si>
    <t xml:space="preserve">TAGTCAGTACGCCCTTCTCTGCGA</t>
  </si>
  <si>
    <t xml:space="preserve">AAACTCGCAGAGAAGGGCGTACTG</t>
  </si>
  <si>
    <t xml:space="preserve">CTTCGGGGCAATCTGATCCC</t>
  </si>
  <si>
    <t xml:space="preserve">TAGTCTTCGGGGCAATCTGATCCC</t>
  </si>
  <si>
    <t xml:space="preserve">AAACGGGATCAGATTGCCCCGAAG</t>
  </si>
  <si>
    <t xml:space="preserve">PST_1867</t>
  </si>
  <si>
    <t xml:space="preserve">AACGCGCTATATGATGAACT</t>
  </si>
  <si>
    <t xml:space="preserve">TAGTAACGCGCTATATGATGAACT</t>
  </si>
  <si>
    <t xml:space="preserve">AAACAGTTCATCATATAGCGCGTT</t>
  </si>
  <si>
    <t xml:space="preserve">TTCGAACTCATATATTCTCC</t>
  </si>
  <si>
    <t xml:space="preserve">TAGTTTCGAACTCATATATTCTCC</t>
  </si>
  <si>
    <t xml:space="preserve">AAACGGAGAATATATGAGTTCGAA</t>
  </si>
  <si>
    <t xml:space="preserve">GCTCAGTGAAGTCGGCGAAA</t>
  </si>
  <si>
    <t xml:space="preserve">TAGTGCTCAGTGAAGTCGGCGAAA</t>
  </si>
  <si>
    <t xml:space="preserve">AAACTTTCGCCGACTTCACTGAGC</t>
  </si>
  <si>
    <t xml:space="preserve">GCCGCAGTCATCGTCCAGAG</t>
  </si>
  <si>
    <t xml:space="preserve">TAGTGCCGCAGTCATCGTCCAGAG</t>
  </si>
  <si>
    <t xml:space="preserve">AAACCTCTGGACGATGACTGCGGC</t>
  </si>
  <si>
    <t xml:space="preserve">PST_1868</t>
  </si>
  <si>
    <t xml:space="preserve">GTCGCAGCCCGCTCAACGAC</t>
  </si>
  <si>
    <t xml:space="preserve">TAGTGTCGCAGCCCGCTCAACGAC</t>
  </si>
  <si>
    <t xml:space="preserve">AAACGTCGTTGAGCGGGCTGCGAC</t>
  </si>
  <si>
    <t xml:space="preserve">CCTTCCGCAAGGGACTGTTG</t>
  </si>
  <si>
    <t xml:space="preserve">TAGTCCTTCCGCAAGGGACTGTTG</t>
  </si>
  <si>
    <t xml:space="preserve">AAACCAACAGTCCCTTGCGGAAGG</t>
  </si>
  <si>
    <t xml:space="preserve">TGCCTGACGCGCTGGCCAGG</t>
  </si>
  <si>
    <t xml:space="preserve">TAGTTGCCTGACGCGCTGGCCAGG</t>
  </si>
  <si>
    <t xml:space="preserve">AAACCCTGGCCAGCGCGTCAGGCA</t>
  </si>
  <si>
    <t xml:space="preserve">GCTGAAGGTCAAGGTGGATA</t>
  </si>
  <si>
    <t xml:space="preserve">TAGTGCTGAAGGTCAAGGTGGATA</t>
  </si>
  <si>
    <t xml:space="preserve">AAACTATCCACCTTGACCTTCAGC</t>
  </si>
  <si>
    <t xml:space="preserve">PST_1869</t>
  </si>
  <si>
    <t xml:space="preserve">TGCCGCGTGCAATGGCCATC</t>
  </si>
  <si>
    <t xml:space="preserve">TAGTTGCCGCGTGCAATGGCCATC</t>
  </si>
  <si>
    <t xml:space="preserve">AAACGATGGCCATTGCACGCGGCA</t>
  </si>
  <si>
    <t xml:space="preserve">CGCGCTAGCGTATTTCCAGG</t>
  </si>
  <si>
    <t xml:space="preserve">TAGTCGCGCTAGCGTATTTCCAGG</t>
  </si>
  <si>
    <t xml:space="preserve">AAACCCTGGAAATACGCTAGCGCG</t>
  </si>
  <si>
    <t xml:space="preserve">CAAATAGGCATGATGGGGTG</t>
  </si>
  <si>
    <t xml:space="preserve">TAGTCAAATAGGCATGATGGGGTG</t>
  </si>
  <si>
    <t xml:space="preserve">AAACCACCCCATCATGCCTATTTG</t>
  </si>
  <si>
    <t xml:space="preserve">GGAGCAGCAGAGCAGGGCGG</t>
  </si>
  <si>
    <t xml:space="preserve">TAGTGGAGCAGCAGAGCAGGGCGG</t>
  </si>
  <si>
    <t xml:space="preserve">AAACCCGCCCTGCTCTGCTGCTCC</t>
  </si>
  <si>
    <t xml:space="preserve">PST_1870</t>
  </si>
  <si>
    <t xml:space="preserve">gltA</t>
  </si>
  <si>
    <t xml:space="preserve">TAAAACGGGCAGTTCGACGG</t>
  </si>
  <si>
    <t xml:space="preserve">TAGTTAAAACGGGCAGTTCGACGG</t>
  </si>
  <si>
    <t xml:space="preserve">AAACCCGTCGAACTGCCCGTTTTA</t>
  </si>
  <si>
    <t xml:space="preserve">TACATCAGGCCCTACGGTAC</t>
  </si>
  <si>
    <t xml:space="preserve">TAGTTACATCAGGCCCTACGGTAC</t>
  </si>
  <si>
    <t xml:space="preserve">AAACGTACCGTAGGGCCTGATGTA</t>
  </si>
  <si>
    <t xml:space="preserve">TGAAGTGACCCGTGGAGGTC</t>
  </si>
  <si>
    <t xml:space="preserve">TAGTTGAAGTGACCCGTGGAGGTC</t>
  </si>
  <si>
    <t xml:space="preserve">AAACGACCTCCACGGGTCACTTCA</t>
  </si>
  <si>
    <t xml:space="preserve">CGACATGAAGCCGGGATCGA</t>
  </si>
  <si>
    <t xml:space="preserve">TAGTCGACATGAAGCCGGGATCGA</t>
  </si>
  <si>
    <t xml:space="preserve">AAACTCGATCCCGGCTTCATGTCG</t>
  </si>
  <si>
    <t xml:space="preserve">PST_1871</t>
  </si>
  <si>
    <t xml:space="preserve">sdhC</t>
  </si>
  <si>
    <t xml:space="preserve">TACAGGTCGTTGGCTTTTCA</t>
  </si>
  <si>
    <t xml:space="preserve">TAGTTACAGGTCGTTGGCTTTTCA</t>
  </si>
  <si>
    <t xml:space="preserve">AAACTGAAAAGCCAACGACCTGTA</t>
  </si>
  <si>
    <t xml:space="preserve">GTTTTATTGTCCTAAGATCT</t>
  </si>
  <si>
    <t xml:space="preserve">TAGTGTTTTATTGTCCTAAGATCT</t>
  </si>
  <si>
    <t xml:space="preserve">AAACAGATCTTAGGACAATAAAAC</t>
  </si>
  <si>
    <t xml:space="preserve">TCGACGTGTAAGCAGTGATG</t>
  </si>
  <si>
    <t xml:space="preserve">TAGTTCGACGTGTAAGCAGTGATG</t>
  </si>
  <si>
    <t xml:space="preserve">AAACCATCACTGCTTACACGTCGA</t>
  </si>
  <si>
    <t xml:space="preserve">GGATGACACCGGATACACGG</t>
  </si>
  <si>
    <t xml:space="preserve">TAGTGGATGACACCGGATACACGG</t>
  </si>
  <si>
    <t xml:space="preserve">AAACCCGTGTATCCGGTGTCATCC</t>
  </si>
  <si>
    <t xml:space="preserve">PST_1872</t>
  </si>
  <si>
    <t xml:space="preserve">sdhD</t>
  </si>
  <si>
    <t xml:space="preserve">GCGCGAAAAGTTGGTGACAT</t>
  </si>
  <si>
    <t xml:space="preserve">TAGTGCGCGAAAAGTTGGTGACAT</t>
  </si>
  <si>
    <t xml:space="preserve">AAACATGTCACCAACTTTTCGCGC</t>
  </si>
  <si>
    <t xml:space="preserve">TCGCGATCAGGTACCCAAGC</t>
  </si>
  <si>
    <t xml:space="preserve">TAGTTCGCGATCAGGTACCCAAGC</t>
  </si>
  <si>
    <t xml:space="preserve">AAACGCTTGGGTACCTGATCGCGA</t>
  </si>
  <si>
    <t xml:space="preserve">ACTGGGTGTACTCCAGTCCC</t>
  </si>
  <si>
    <t xml:space="preserve">TAGTACTGGGTGTACTCCAGTCCC</t>
  </si>
  <si>
    <t xml:space="preserve">AAACGGGACTGGAGTACACCCAGT</t>
  </si>
  <si>
    <t xml:space="preserve">GCTGAAGATGCGCATCCAGT</t>
  </si>
  <si>
    <t xml:space="preserve">TAGTGCTGAAGATGCGCATCCAGT</t>
  </si>
  <si>
    <t xml:space="preserve">AAACACTGGATGCGCATCTTCAGC</t>
  </si>
  <si>
    <t xml:space="preserve">PST_1873</t>
  </si>
  <si>
    <t xml:space="preserve">sdhA</t>
  </si>
  <si>
    <t xml:space="preserve">GCCACCGCCACCGACGATGA</t>
  </si>
  <si>
    <t xml:space="preserve">TAGTGCCACCGCCACCGACGATGA</t>
  </si>
  <si>
    <t xml:space="preserve">AAACTCATCGTCGGTGGCGGTGGC</t>
  </si>
  <si>
    <t xml:space="preserve">CTGCAGCGCCGCGCGCATAC</t>
  </si>
  <si>
    <t xml:space="preserve">TAGTCTGCAGCGCCGCGCGCATAC</t>
  </si>
  <si>
    <t xml:space="preserve">AAACGTATGCGCGCGGCGCTGCAG</t>
  </si>
  <si>
    <t xml:space="preserve">AGCGGTCTTGTGACCAGACT</t>
  </si>
  <si>
    <t xml:space="preserve">TAGTAGCGGTCTTGTGACCAGACT</t>
  </si>
  <si>
    <t xml:space="preserve">AAACAGTCTGGTCACAAGACCGCT</t>
  </si>
  <si>
    <t xml:space="preserve">CGAACGAGTCGGGAAAACCT</t>
  </si>
  <si>
    <t xml:space="preserve">TAGTCGAACGAGTCGGGAAAACCT</t>
  </si>
  <si>
    <t xml:space="preserve">AAACAGGTTTTCCCGACTCGTTCG</t>
  </si>
  <si>
    <t xml:space="preserve">PST_1874</t>
  </si>
  <si>
    <t xml:space="preserve">sdhB</t>
  </si>
  <si>
    <t xml:space="preserve">ACGGCTTTTCGTCCTGATCG</t>
  </si>
  <si>
    <t xml:space="preserve">TAGTACGGCTTTTCGTCCTGATCG</t>
  </si>
  <si>
    <t xml:space="preserve">AAACCGATCAGGACGAAAAGCCGT</t>
  </si>
  <si>
    <t xml:space="preserve">CTTTACCATCGGTATTGACC</t>
  </si>
  <si>
    <t xml:space="preserve">TAGTCTTTACCATCGGTATTGACC</t>
  </si>
  <si>
    <t xml:space="preserve">AAACGGTCAATACCGATGGTAAAG</t>
  </si>
  <si>
    <t xml:space="preserve">CCAAGACGTCCAGAACCATC</t>
  </si>
  <si>
    <t xml:space="preserve">TAGTCCAAGACGTCCAGAACCATC</t>
  </si>
  <si>
    <t xml:space="preserve">AAACGATGGTTCTGGACGTCTTGG</t>
  </si>
  <si>
    <t xml:space="preserve">AGCGACGATAGGAGAAACCC</t>
  </si>
  <si>
    <t xml:space="preserve">TAGTAGCGACGATAGGAGAAACCC</t>
  </si>
  <si>
    <t xml:space="preserve">AAACGGGTTTCTCCTATCGTCGCT</t>
  </si>
  <si>
    <t xml:space="preserve">PST_1875</t>
  </si>
  <si>
    <t xml:space="preserve">sucA</t>
  </si>
  <si>
    <t xml:space="preserve">AGCGTTACCACCGGATAGGT</t>
  </si>
  <si>
    <t xml:space="preserve">TAGTAGCGTTACCACCGGATAGGT</t>
  </si>
  <si>
    <t xml:space="preserve">AAACACCTATCCGGTGGTAACGCT</t>
  </si>
  <si>
    <t xml:space="preserve">CTCATAAAGCTCTTCCACAT</t>
  </si>
  <si>
    <t xml:space="preserve">TAGTCTCATAAAGCTCTTCCACAT</t>
  </si>
  <si>
    <t xml:space="preserve">AAACATGTGGAAGAGCTTTATGAG</t>
  </si>
  <si>
    <t xml:space="preserve">GCACAGCGTTGGGATCGTGC</t>
  </si>
  <si>
    <t xml:space="preserve">TAGTGCACAGCGTTGGGATCGTGC</t>
  </si>
  <si>
    <t xml:space="preserve">AAACGCACGATCCCAACGCTGTGC</t>
  </si>
  <si>
    <t xml:space="preserve">AAGTAAGTGCGCCACTCTTC</t>
  </si>
  <si>
    <t xml:space="preserve">TAGTAAGTAAGTGCGCCACTCTTC</t>
  </si>
  <si>
    <t xml:space="preserve">AAACGAAGAGTGGCGCACTTACTT</t>
  </si>
  <si>
    <t xml:space="preserve">PST_1876</t>
  </si>
  <si>
    <t xml:space="preserve">sucB</t>
  </si>
  <si>
    <t xml:space="preserve">GACCGATTCCGGGAATGTAG</t>
  </si>
  <si>
    <t xml:space="preserve">TAGTGACCGATTCCGGGAATGTAG</t>
  </si>
  <si>
    <t xml:space="preserve">AAACCTACATTCCCGGAATCGGTC</t>
  </si>
  <si>
    <t xml:space="preserve">CCAGGTGGCAACGGTGCCGT</t>
  </si>
  <si>
    <t xml:space="preserve">TAGTCCAGGTGGCAACGGTGCCGT</t>
  </si>
  <si>
    <t xml:space="preserve">AAACACGGCACCGTTGCCACCTGG</t>
  </si>
  <si>
    <t xml:space="preserve">TCACGCTTAACCGCGTCGCC</t>
  </si>
  <si>
    <t xml:space="preserve">TAGTTCACGCTTAACCGCGTCGCC</t>
  </si>
  <si>
    <t xml:space="preserve">AAACGGCGACGCGGTTAAGCGTGA</t>
  </si>
  <si>
    <t xml:space="preserve">TACTTCCATGACCACCTTGT</t>
  </si>
  <si>
    <t xml:space="preserve">TAGTTACTTCCATGACCACCTTGT</t>
  </si>
  <si>
    <t xml:space="preserve">AAACACAAGGTGGTCATGGAAGTA</t>
  </si>
  <si>
    <t xml:space="preserve">PST_1877</t>
  </si>
  <si>
    <t xml:space="preserve">lpdG</t>
  </si>
  <si>
    <t xml:space="preserve">TGACGACGACGTCGAATTTC</t>
  </si>
  <si>
    <t xml:space="preserve">TAGTTGACGACGACGTCGAATTTC</t>
  </si>
  <si>
    <t xml:space="preserve">AAACGAAATTCGACGTCGTCGTCA</t>
  </si>
  <si>
    <t xml:space="preserve">GGCAACATAGCCGCCGGGGC</t>
  </si>
  <si>
    <t xml:space="preserve">TAGTGGCAACATAGCCGCCGGGGC</t>
  </si>
  <si>
    <t xml:space="preserve">AAACGCCCCGGCGGCTATGTTGCC</t>
  </si>
  <si>
    <t xml:space="preserve">CAGCTGGGCTGCGCGAATAG</t>
  </si>
  <si>
    <t xml:space="preserve">TAGTCAGCTGGGCTGCGCGAATAG</t>
  </si>
  <si>
    <t xml:space="preserve">AAACCTATTCGCGCAGCCCAGCTG</t>
  </si>
  <si>
    <t xml:space="preserve">CTGGTACTTTTCGATACACG</t>
  </si>
  <si>
    <t xml:space="preserve">TAGTCTGGTACTTTTCGATACACG</t>
  </si>
  <si>
    <t xml:space="preserve">AAACCGTGTATCGAAAAGTACCAG</t>
  </si>
  <si>
    <t xml:space="preserve">PST_1878</t>
  </si>
  <si>
    <t xml:space="preserve">sucC</t>
  </si>
  <si>
    <t xml:space="preserve">CAGCGAACAGTTGTTTACCT</t>
  </si>
  <si>
    <t xml:space="preserve">TAGTCAGCGAACAGTTGTTTACCT</t>
  </si>
  <si>
    <t xml:space="preserve">AAACAGGTAAACAACTGTTCGCTG</t>
  </si>
  <si>
    <t xml:space="preserve">ACCGCATAGCCTTTGGACAC</t>
  </si>
  <si>
    <t xml:space="preserve">TAGTACCGCATAGCCTTTGGACAC</t>
  </si>
  <si>
    <t xml:space="preserve">AAACGTGTCCAAAGGCTATGCGGT</t>
  </si>
  <si>
    <t xml:space="preserve">AGGCTTCCGCTGCTTCCTTC</t>
  </si>
  <si>
    <t xml:space="preserve">TAGTAGGCTTCCGCTGCTTCCTTC</t>
  </si>
  <si>
    <t xml:space="preserve">AAACGAAGGAAGCAGCGGAAGCCT</t>
  </si>
  <si>
    <t xml:space="preserve">TGTGCCGCCGATCTTGTCGC</t>
  </si>
  <si>
    <t xml:space="preserve">TAGTTGTGCCGCCGATCTTGTCGC</t>
  </si>
  <si>
    <t xml:space="preserve">AAACGCGACAAGATCGGCGGCACA</t>
  </si>
  <si>
    <t xml:space="preserve">PST_1879</t>
  </si>
  <si>
    <t xml:space="preserve">sucD</t>
  </si>
  <si>
    <t xml:space="preserve">GAAGCCCTGACAGATGACCT</t>
  </si>
  <si>
    <t xml:space="preserve">TAGTGAAGCCCTGACAGATGACCT</t>
  </si>
  <si>
    <t xml:space="preserve">AAACAGGTCATCTGTCAGGGCTTC</t>
  </si>
  <si>
    <t xml:space="preserve">ATGGAAGGTGCCCTGCGAGC</t>
  </si>
  <si>
    <t xml:space="preserve">TAGTATGGAAGGTGCCCTGCGAGC</t>
  </si>
  <si>
    <t xml:space="preserve">AAACGCTCGCAGGGCACCTTCCAT</t>
  </si>
  <si>
    <t xml:space="preserve">ACCGTAGGCAATTGCCTGCT</t>
  </si>
  <si>
    <t xml:space="preserve">TAGTACCGTAGGCAATTGCCTGCT</t>
  </si>
  <si>
    <t xml:space="preserve">AAACAGCAGGCAATTGCCTACGGT</t>
  </si>
  <si>
    <t xml:space="preserve">CGTTACACCACCGACCATCT</t>
  </si>
  <si>
    <t xml:space="preserve">TAGTCGTTACACCACCGACCATCT</t>
  </si>
  <si>
    <t xml:space="preserve">AAACAGATGGTCGGTGGTGTAACG</t>
  </si>
  <si>
    <t xml:space="preserve">PST_1880</t>
  </si>
  <si>
    <t xml:space="preserve">braB</t>
  </si>
  <si>
    <t xml:space="preserve">TCATGAAGCCGAGGGCAAGC</t>
  </si>
  <si>
    <t xml:space="preserve">TAGTTCATGAAGCCGAGGGCAAGC</t>
  </si>
  <si>
    <t xml:space="preserve">AAACGCTTGCCCTCGGCTTCATGA</t>
  </si>
  <si>
    <t xml:space="preserve">CCGCCATGCCGGCGCTGGGC</t>
  </si>
  <si>
    <t xml:space="preserve">TAGTCCGCCATGCCGGCGCTGGGC</t>
  </si>
  <si>
    <t xml:space="preserve">AAACGCCCAGCGCCGGCATGGCGG</t>
  </si>
  <si>
    <t xml:space="preserve">GTAAACCGACGCCCGTGAGG</t>
  </si>
  <si>
    <t xml:space="preserve">TAGTGTAAACCGACGCCCGTGAGG</t>
  </si>
  <si>
    <t xml:space="preserve">AAACCCTCACGGGCGTCGGTTTAC</t>
  </si>
  <si>
    <t xml:space="preserve">AGCGCAACCACGGTCAGCAG</t>
  </si>
  <si>
    <t xml:space="preserve">TAGTAGCGCAACCACGGTCAGCAG</t>
  </si>
  <si>
    <t xml:space="preserve">AAACCTGCTGACCGTGGTTGCGCT</t>
  </si>
  <si>
    <t xml:space="preserve">PST_1881</t>
  </si>
  <si>
    <t xml:space="preserve">GTGTGTATCGGATAACGTCA</t>
  </si>
  <si>
    <t xml:space="preserve">TAGTGTGTGTATCGGATAACGTCA</t>
  </si>
  <si>
    <t xml:space="preserve">AAACTGACGTTATCCGATACACAC</t>
  </si>
  <si>
    <t xml:space="preserve">CACAGGACGGCGATCAGATG</t>
  </si>
  <si>
    <t xml:space="preserve">TAGTCACAGGACGGCGATCAGATG</t>
  </si>
  <si>
    <t xml:space="preserve">AAACCATCTGATCGCCGTCCTGTG</t>
  </si>
  <si>
    <t xml:space="preserve">GTGTATAGCCGACCCAGCAG</t>
  </si>
  <si>
    <t xml:space="preserve">TAGTGTGTATAGCCGACCCAGCAG</t>
  </si>
  <si>
    <t xml:space="preserve">AAACCTGCTGGGTCGGCTATACAC</t>
  </si>
  <si>
    <t xml:space="preserve">CATCACGCTCGCCAGGCAGG</t>
  </si>
  <si>
    <t xml:space="preserve">TAGTCATCACGCTCGCCAGGCAGG</t>
  </si>
  <si>
    <t xml:space="preserve">AAACCCTGCCTGGCGAGCGTGATG</t>
  </si>
  <si>
    <t xml:space="preserve">PST_1882</t>
  </si>
  <si>
    <t xml:space="preserve">GCTGCGTGCGCTCGAGTATC</t>
  </si>
  <si>
    <t xml:space="preserve">TAGTGCTGCGTGCGCTCGAGTATC</t>
  </si>
  <si>
    <t xml:space="preserve">AAACGATACTCGAGCGCACGCAGC</t>
  </si>
  <si>
    <t xml:space="preserve">CAAGGTCAGCCCCCGGCGAT</t>
  </si>
  <si>
    <t xml:space="preserve">TAGTCAAGGTCAGCCCCCGGCGAT</t>
  </si>
  <si>
    <t xml:space="preserve">AAACATCGCCGGGGGCTGACCTTG</t>
  </si>
  <si>
    <t xml:space="preserve">CTATCTTTTCGCTGTACGGC</t>
  </si>
  <si>
    <t xml:space="preserve">TAGTCTATCTTTTCGCTGTACGGC</t>
  </si>
  <si>
    <t xml:space="preserve">AAACGCCGTACAGCGAAAAGATAG</t>
  </si>
  <si>
    <t xml:space="preserve">CGTGGACGCCGCCGGTCTCG</t>
  </si>
  <si>
    <t xml:space="preserve">TAGTCGTGGACGCCGCCGGTCTCG</t>
  </si>
  <si>
    <t xml:space="preserve">AAACCGAGACCGGCGGCGTCCACG</t>
  </si>
  <si>
    <t xml:space="preserve">PST_1883</t>
  </si>
  <si>
    <t xml:space="preserve">CAGCGAATCGTAATCGTTGT</t>
  </si>
  <si>
    <t xml:space="preserve">TAGTCAGCGAATCGTAATCGTTGT</t>
  </si>
  <si>
    <t xml:space="preserve">AAACACAACGATTACGATTCGCTG</t>
  </si>
  <si>
    <t xml:space="preserve">ATCCCGATCAGCCGGGCATA</t>
  </si>
  <si>
    <t xml:space="preserve">TAGTATCCCGATCAGCCGGGCATA</t>
  </si>
  <si>
    <t xml:space="preserve">AAACTATGCCCGGCTGATCGGGAT</t>
  </si>
  <si>
    <t xml:space="preserve">CCATCTCGTCGCCAAGCCGC</t>
  </si>
  <si>
    <t xml:space="preserve">TAGTCCATCTCGTCGCCAAGCCGC</t>
  </si>
  <si>
    <t xml:space="preserve">AAACGCGGCTTGGCGACGAGATGG</t>
  </si>
  <si>
    <t xml:space="preserve">TGTCTTCGTTCTGCGGCAGA</t>
  </si>
  <si>
    <t xml:space="preserve">TAGTTGTCTTCGTTCTGCGGCAGA</t>
  </si>
  <si>
    <t xml:space="preserve">AAACTCTGCCGCAGAACGAAGACA</t>
  </si>
  <si>
    <t xml:space="preserve">PST_1884</t>
  </si>
  <si>
    <t xml:space="preserve">AACCGGCGAGCATCAGTAAC</t>
  </si>
  <si>
    <t xml:space="preserve">TAGTAACCGGCGAGCATCAGTAAC</t>
  </si>
  <si>
    <t xml:space="preserve">AAACGTTACTGATGCTCGCCGGTT</t>
  </si>
  <si>
    <t xml:space="preserve">GCAGGCTGGTCGTGAATGCC</t>
  </si>
  <si>
    <t xml:space="preserve">TAGTGCAGGCTGGTCGTGAATGCC</t>
  </si>
  <si>
    <t xml:space="preserve">AAACGGCATTCACGACCAGCCTGC</t>
  </si>
  <si>
    <t xml:space="preserve">GCGAAAGCCAGCGTCATCGG</t>
  </si>
  <si>
    <t xml:space="preserve">TAGTGCGAAAGCCAGCGTCATCGG</t>
  </si>
  <si>
    <t xml:space="preserve">AAACCCGATGACGCTGGCTTTCGC</t>
  </si>
  <si>
    <t xml:space="preserve">CCTTGCGTGCCACACGCCAA</t>
  </si>
  <si>
    <t xml:space="preserve">TAGTCCTTGCGTGCCACACGCCAA</t>
  </si>
  <si>
    <t xml:space="preserve">AAACTTGGCGTGTGGCACGCAAGG</t>
  </si>
  <si>
    <t xml:space="preserve">PST_1885</t>
  </si>
  <si>
    <t xml:space="preserve">htpG</t>
  </si>
  <si>
    <t xml:space="preserve">CACTTCGGTCTGGAAGCCCA</t>
  </si>
  <si>
    <t xml:space="preserve">TAGTCACTTCGGTCTGGAAGCCCA</t>
  </si>
  <si>
    <t xml:space="preserve">AAACTGGGCTTCCAGACCGAAGTG</t>
  </si>
  <si>
    <t xml:space="preserve">AATACAGCGAATGGATCATC</t>
  </si>
  <si>
    <t xml:space="preserve">TAGTAATACAGCGAATGGATCATC</t>
  </si>
  <si>
    <t xml:space="preserve">AAACGATGATCCATTCGCTGTATT</t>
  </si>
  <si>
    <t xml:space="preserve">CGTTGGAAATCAGTTCGCGA</t>
  </si>
  <si>
    <t xml:space="preserve">TAGTCGTTGGAAATCAGTTCGCGA</t>
  </si>
  <si>
    <t xml:space="preserve">AAACTCGCGAACTGATTTCCAACG</t>
  </si>
  <si>
    <t xml:space="preserve">CTCGAAGCGCAGCTTGTCGG</t>
  </si>
  <si>
    <t xml:space="preserve">TAGTCTCGAAGCGCAGCTTGTCGG</t>
  </si>
  <si>
    <t xml:space="preserve">AAACCCGACAAGCTGCGCTTCGAG</t>
  </si>
  <si>
    <t xml:space="preserve">PST_1886</t>
  </si>
  <si>
    <t xml:space="preserve">GTATGCGGGATGCGGGCTCG</t>
  </si>
  <si>
    <t xml:space="preserve">TAGTGTATGCGGGATGCGGGCTCG</t>
  </si>
  <si>
    <t xml:space="preserve">AAACCGAGCCCGCATCCCGCATAC</t>
  </si>
  <si>
    <t xml:space="preserve">TTCTGGTCAAATACGGTGGG</t>
  </si>
  <si>
    <t xml:space="preserve">TAGTTTCTGGTCAAATACGGTGGG</t>
  </si>
  <si>
    <t xml:space="preserve">AAACCCCACCGTATTTGACCAGAA</t>
  </si>
  <si>
    <t xml:space="preserve">ATATTAGGAGCGCAGCGGGG</t>
  </si>
  <si>
    <t xml:space="preserve">TAGTATATTAGGAGCGCAGCGGGG</t>
  </si>
  <si>
    <t xml:space="preserve">AAACCCCCGCTGCGCTCCTAATAT</t>
  </si>
  <si>
    <t xml:space="preserve">GCGAATGGCATCGATCTGAC</t>
  </si>
  <si>
    <t xml:space="preserve">TAGTGCGAATGGCATCGATCTGAC</t>
  </si>
  <si>
    <t xml:space="preserve">AAACGTCAGATCGATGCCATTCGC</t>
  </si>
  <si>
    <t xml:space="preserve">PST_1887</t>
  </si>
  <si>
    <t xml:space="preserve">ACAGCCAGCGAGTAGACCGC</t>
  </si>
  <si>
    <t xml:space="preserve">TAGTACAGCCAGCGAGTAGACCGC</t>
  </si>
  <si>
    <t xml:space="preserve">AAACGCGGTCTACTCGCTGGCTGT</t>
  </si>
  <si>
    <t xml:space="preserve">TTCTCTCGATGTACAAAGCT</t>
  </si>
  <si>
    <t xml:space="preserve">TAGTTTCTCTCGATGTACAAAGCT</t>
  </si>
  <si>
    <t xml:space="preserve">AAACAGCTTTGTACATCGAGAGAA</t>
  </si>
  <si>
    <t xml:space="preserve">GAATGGGGCCAACAGGCAGA</t>
  </si>
  <si>
    <t xml:space="preserve">TAGTGAATGGGGCCAACAGGCAGA</t>
  </si>
  <si>
    <t xml:space="preserve">AAACTCTGCCTGTTGGCCCCATTC</t>
  </si>
  <si>
    <t xml:space="preserve">GTACTCCCGCTCCTCGGCCG</t>
  </si>
  <si>
    <t xml:space="preserve">TAGTGTACTCCCGCTCCTCGGCCG</t>
  </si>
  <si>
    <t xml:space="preserve">AAACCGGCCGAGGAGCGGGAGTAC</t>
  </si>
  <si>
    <t xml:space="preserve">PST_1888</t>
  </si>
  <si>
    <t xml:space="preserve">AATACCTACCACTAACAACG</t>
  </si>
  <si>
    <t xml:space="preserve">TAGTAATACCTACCACTAACAACG</t>
  </si>
  <si>
    <t xml:space="preserve">AAACCGTTGTTAGTGGTAGGTATT</t>
  </si>
  <si>
    <t xml:space="preserve">ACTTCAACCTGCGCCTGCGC</t>
  </si>
  <si>
    <t xml:space="preserve">TAGTACTTCAACCTGCGCCTGCGC</t>
  </si>
  <si>
    <t xml:space="preserve">AAACGCGCAGGCGCAGGTTGAAGT</t>
  </si>
  <si>
    <t xml:space="preserve">TCGAAGATGCCGTACTCCAC</t>
  </si>
  <si>
    <t xml:space="preserve">TAGTTCGAAGATGCCGTACTCCAC</t>
  </si>
  <si>
    <t xml:space="preserve">AAACGTGGAGTACGGCATCTTCGA</t>
  </si>
  <si>
    <t xml:space="preserve">GCCCGGCTGGAAGTCGTCCT</t>
  </si>
  <si>
    <t xml:space="preserve">TAGTGCCCGGCTGGAAGTCGTCCT</t>
  </si>
  <si>
    <t xml:space="preserve">AAACAGGACGACTTCCAGCCGGGC</t>
  </si>
  <si>
    <t xml:space="preserve">PST_1889</t>
  </si>
  <si>
    <t xml:space="preserve">GTGAGATTGCGGATGGACAT</t>
  </si>
  <si>
    <t xml:space="preserve">TAGTGTGAGATTGCGGATGGACAT</t>
  </si>
  <si>
    <t xml:space="preserve">AAACATGTCCATCCGCAATCTCAC</t>
  </si>
  <si>
    <t xml:space="preserve">GATCAAACCGAAGCCGAGGG</t>
  </si>
  <si>
    <t xml:space="preserve">TAGTGATCAAACCGAAGCCGAGGG</t>
  </si>
  <si>
    <t xml:space="preserve">AAACCCCTCGGCTTCGGTTTGATC</t>
  </si>
  <si>
    <t xml:space="preserve">ATGCGAACAGGCCGAGGAAC</t>
  </si>
  <si>
    <t xml:space="preserve">TAGTATGCGAACAGGCCGAGGAAC</t>
  </si>
  <si>
    <t xml:space="preserve">AAACGTTCCTCGGCCTGTTCGCAT</t>
  </si>
  <si>
    <t xml:space="preserve">CCTTGCGCATATTCGCCATC</t>
  </si>
  <si>
    <t xml:space="preserve">TAGTCCTTGCGCATATTCGCCATC</t>
  </si>
  <si>
    <t xml:space="preserve">AAACGATGGCGAATATGCGCAAGG</t>
  </si>
  <si>
    <t xml:space="preserve">PST_1890</t>
  </si>
  <si>
    <t xml:space="preserve">TTCCTCGGCCTCATCCTCCA</t>
  </si>
  <si>
    <t xml:space="preserve">TAGTTTCCTCGGCCTCATCCTCCA</t>
  </si>
  <si>
    <t xml:space="preserve">AAACTGGAGGATGAGGCCGAGGAA</t>
  </si>
  <si>
    <t xml:space="preserve">GAATGGTAGGCAACAGCCGC</t>
  </si>
  <si>
    <t xml:space="preserve">TAGTGAATGGTAGGCAACAGCCGC</t>
  </si>
  <si>
    <t xml:space="preserve">AAACGCGGCTGTTGCCTACCATTC</t>
  </si>
  <si>
    <t xml:space="preserve">GATCAGCAGGCGCAGGGTGC</t>
  </si>
  <si>
    <t xml:space="preserve">TAGTGATCAGCAGGCGCAGGGTGC</t>
  </si>
  <si>
    <t xml:space="preserve">AAACGCACCCTGCGCCTGCTGATC</t>
  </si>
  <si>
    <t xml:space="preserve">CGCGGCGCCGCTCTTCAAGC</t>
  </si>
  <si>
    <t xml:space="preserve">TAGTCGCGGCGCCGCTCTTCAAGC</t>
  </si>
  <si>
    <t xml:space="preserve">AAACGCTTGAAGAGCGGCGCCGCG</t>
  </si>
  <si>
    <t xml:space="preserve">PST_1891</t>
  </si>
  <si>
    <t xml:space="preserve">ATTCGAGGCAGATCGGACAT</t>
  </si>
  <si>
    <t xml:space="preserve">TAGTATTCGAGGCAGATCGGACAT</t>
  </si>
  <si>
    <t xml:space="preserve">AAACATGTCCGATCTGCCTCGAAT</t>
  </si>
  <si>
    <t xml:space="preserve">GGCTGGTGCGATTGATGAAG</t>
  </si>
  <si>
    <t xml:space="preserve">TAGTGGCTGGTGCGATTGATGAAG</t>
  </si>
  <si>
    <t xml:space="preserve">AAACCTTCATCAATCGCACCAGCC</t>
  </si>
  <si>
    <t xml:space="preserve">CAACCACGATCTGAGCGACC</t>
  </si>
  <si>
    <t xml:space="preserve">TAGTCAACCACGATCTGAGCGACC</t>
  </si>
  <si>
    <t xml:space="preserve">AAACGGTCGCTCAGATCGTGGTTG</t>
  </si>
  <si>
    <t xml:space="preserve">CCGACTTGGCAGCCCCAGGC</t>
  </si>
  <si>
    <t xml:space="preserve">TAGTCCGACTTGGCAGCCCCAGGC</t>
  </si>
  <si>
    <t xml:space="preserve">AAACGCCTGGGGCTGCCAAGTCGG</t>
  </si>
  <si>
    <t xml:space="preserve">PST_1892</t>
  </si>
  <si>
    <t xml:space="preserve">fabB</t>
  </si>
  <si>
    <t xml:space="preserve">CCAGGCAGGAAACGATACCC</t>
  </si>
  <si>
    <t xml:space="preserve">TAGTCCAGGCAGGAAACGATACCC</t>
  </si>
  <si>
    <t xml:space="preserve">AAACGGGTATCGTTTCCTGCCTGG</t>
  </si>
  <si>
    <t xml:space="preserve">GGCGCGCAGGTTGCCGGAGA</t>
  </si>
  <si>
    <t xml:space="preserve">TAGTGGCGCGCAGGTTGCCGGAGA</t>
  </si>
  <si>
    <t xml:space="preserve">AAACTCTCCGGCAACCTGCGCGCC</t>
  </si>
  <si>
    <t xml:space="preserve">GAAGCGAATGCCGGGGCGGC</t>
  </si>
  <si>
    <t xml:space="preserve">TAGTGAAGCGAATGCCGGGGCGGC</t>
  </si>
  <si>
    <t xml:space="preserve">AAACGCCGCCCCGGCATTCGCTTC</t>
  </si>
  <si>
    <t xml:space="preserve">GCCCCATGTCCGCGTAGGAC</t>
  </si>
  <si>
    <t xml:space="preserve">TAGTGCCCCATGTCCGCGTAGGAC</t>
  </si>
  <si>
    <t xml:space="preserve">AAACGTCCTACGCGGACATGGGGC</t>
  </si>
  <si>
    <t xml:space="preserve">PST_1893</t>
  </si>
  <si>
    <t xml:space="preserve">fabA</t>
  </si>
  <si>
    <t xml:space="preserve">CCGAGTAAAGGCGTGTTGTT</t>
  </si>
  <si>
    <t xml:space="preserve">TAGTCCGAGTAAAGGCGTGTTGTT</t>
  </si>
  <si>
    <t xml:space="preserve">AAACAACAACACGCCTTTACTCGG</t>
  </si>
  <si>
    <t xml:space="preserve">CGCCGCGGCTGCAACGAAGC</t>
  </si>
  <si>
    <t xml:space="preserve">TAGTCGCCGCGGCTGCAACGAAGC</t>
  </si>
  <si>
    <t xml:space="preserve">AAACGCTTCGTTGCAGCCGCGGCG</t>
  </si>
  <si>
    <t xml:space="preserve">GCAGGCAGTTGCGCATTACC</t>
  </si>
  <si>
    <t xml:space="preserve">TAGTGCAGGCAGTTGCGCATTACC</t>
  </si>
  <si>
    <t xml:space="preserve">AAACGGTAATGCGCAACTGCCTGC</t>
  </si>
  <si>
    <t xml:space="preserve">CGGTCGACCATCAGCATGTT</t>
  </si>
  <si>
    <t xml:space="preserve">TAGTCGGTCGACCATCAGCATGTT</t>
  </si>
  <si>
    <t xml:space="preserve">AAACAACATGCTGATGGTCGACCG</t>
  </si>
  <si>
    <t xml:space="preserve">PST_1894</t>
  </si>
  <si>
    <t xml:space="preserve">gpsA</t>
  </si>
  <si>
    <t xml:space="preserve">TGTCATGAGGGTTCCGTCGT</t>
  </si>
  <si>
    <t xml:space="preserve">TAGTTGTCATGAGGGTTCCGTCGT</t>
  </si>
  <si>
    <t xml:space="preserve">AAACACGACGGAACCCTCATGACA</t>
  </si>
  <si>
    <t xml:space="preserve">CCGCCGCCGAGTACCGCAAT</t>
  </si>
  <si>
    <t xml:space="preserve">TAGTCCGCCGCCGAGTACCGCAAT</t>
  </si>
  <si>
    <t xml:space="preserve">AAACATTGCGGTACTCGGCGGCGG</t>
  </si>
  <si>
    <t xml:space="preserve">GGCCAGCAGATTGGCAATCG</t>
  </si>
  <si>
    <t xml:space="preserve">TAGTGGCCAGCAGATTGGCAATCG</t>
  </si>
  <si>
    <t xml:space="preserve">AAACCGATTGCCAATCTGCTGGCC</t>
  </si>
  <si>
    <t xml:space="preserve">CAGGACGTGGTGACCGTTTT</t>
  </si>
  <si>
    <t xml:space="preserve">TAGTCAGGACGTGGTGACCGTTTT</t>
  </si>
  <si>
    <t xml:space="preserve">AAACAAAACGGTCACCACGTCCTG</t>
  </si>
  <si>
    <t xml:space="preserve">PST_1895</t>
  </si>
  <si>
    <t xml:space="preserve">AGCCTGATTCGATTGGTTCA</t>
  </si>
  <si>
    <t xml:space="preserve">TAGTAGCCTGATTCGATTGGTTCA</t>
  </si>
  <si>
    <t xml:space="preserve">AAACTGAACCAATCGAATCAGGCT</t>
  </si>
  <si>
    <t xml:space="preserve">GAAGAAGATCAGCATCCAGA</t>
  </si>
  <si>
    <t xml:space="preserve">TAGTGAAGAAGATCAGCATCCAGA</t>
  </si>
  <si>
    <t xml:space="preserve">AAACTCTGGATGCTGATCTTCTTC</t>
  </si>
  <si>
    <t xml:space="preserve">AGTCGGCGCTCCCCTTGACC</t>
  </si>
  <si>
    <t xml:space="preserve">TAGTAGTCGGCGCTCCCCTTGACC</t>
  </si>
  <si>
    <t xml:space="preserve">AAACGGTCAAGGGGAGCGCCGACT</t>
  </si>
  <si>
    <t xml:space="preserve">TCTGCGCAATGTACTGGCTC</t>
  </si>
  <si>
    <t xml:space="preserve">TAGTTCTGCGCAATGTACTGGCTC</t>
  </si>
  <si>
    <t xml:space="preserve">AAACGAGCCAGTACATTGCGCAGA</t>
  </si>
  <si>
    <t xml:space="preserve">PST_1896</t>
  </si>
  <si>
    <t xml:space="preserve">sixA</t>
  </si>
  <si>
    <t xml:space="preserve">CGCGTAGAAAAGTGGCGCTG</t>
  </si>
  <si>
    <t xml:space="preserve">TAGTCGCGTAGAAAAGTGGCGCTG</t>
  </si>
  <si>
    <t xml:space="preserve">AAACCAGCGCCACTTTTCTACGCG</t>
  </si>
  <si>
    <t xml:space="preserve">CTGGCCAGCACTACCTGCAG</t>
  </si>
  <si>
    <t xml:space="preserve">TAGTCTGGCCAGCACTACCTGCAG</t>
  </si>
  <si>
    <t xml:space="preserve">AAACCTGCAGGTAGTGCTGGCCAG</t>
  </si>
  <si>
    <t xml:space="preserve">TCTGCTGTGCACGCTGGTAG</t>
  </si>
  <si>
    <t xml:space="preserve">TAGTTCTGCTGTGCACGCTGGTAG</t>
  </si>
  <si>
    <t xml:space="preserve">AAACCTACCAGCGTGCACAGCAGA</t>
  </si>
  <si>
    <t xml:space="preserve">TGCCTTGCAGACCTCATCCG</t>
  </si>
  <si>
    <t xml:space="preserve">TAGTTGCCTTGCAGACCTCATCCG</t>
  </si>
  <si>
    <t xml:space="preserve">AAACCGGATGAGGTCTGCAAGGCA</t>
  </si>
  <si>
    <t xml:space="preserve">PST_1897</t>
  </si>
  <si>
    <t xml:space="preserve">CTGACGGTGCCAGATGCTCA</t>
  </si>
  <si>
    <t xml:space="preserve">TAGTCTGACGGTGCCAGATGCTCA</t>
  </si>
  <si>
    <t xml:space="preserve">AAACTGAGCATCTGGCACCGTCAG</t>
  </si>
  <si>
    <t xml:space="preserve">CTGTGAAGCTCTTCCAGGTC</t>
  </si>
  <si>
    <t xml:space="preserve">TAGTCTGTGAAGCTCTTCCAGGTC</t>
  </si>
  <si>
    <t xml:space="preserve">AAACGACCTGGAAGAGCTTCACAG</t>
  </si>
  <si>
    <t xml:space="preserve">GAAGCGGATATCCAGCAGAT</t>
  </si>
  <si>
    <t xml:space="preserve">TAGTGAAGCGGATATCCAGCAGAT</t>
  </si>
  <si>
    <t xml:space="preserve">AAACATCTGCTGGATATCCGCTTC</t>
  </si>
  <si>
    <t xml:space="preserve">GGTGATGGACGAGTCATCGA</t>
  </si>
  <si>
    <t xml:space="preserve">TAGTGGTGATGGACGAGTCATCGA</t>
  </si>
  <si>
    <t xml:space="preserve">AAACTCGATGACTCGTCCATCACC</t>
  </si>
  <si>
    <t xml:space="preserve">PST_1898</t>
  </si>
  <si>
    <t xml:space="preserve">AATCAGCAGGCCGCATTGTC</t>
  </si>
  <si>
    <t xml:space="preserve">TAGTAATCAGCAGGCCGCATTGTC</t>
  </si>
  <si>
    <t xml:space="preserve">AAACGACAATGCGGCCTGCTGATT</t>
  </si>
  <si>
    <t xml:space="preserve">CTGCCGAATGAAGGGCATTC</t>
  </si>
  <si>
    <t xml:space="preserve">TAGTCTGCCGAATGAAGGGCATTC</t>
  </si>
  <si>
    <t xml:space="preserve">AAACGAATGCCCTTCATTCGGCAG</t>
  </si>
  <si>
    <t xml:space="preserve">GTCTGGCAGCCCTCGGCAGG</t>
  </si>
  <si>
    <t xml:space="preserve">TAGTGTCTGGCAGCCCTCGGCAGG</t>
  </si>
  <si>
    <t xml:space="preserve">AAACCCTGCCGAGGGCTGCCAGAC</t>
  </si>
  <si>
    <t xml:space="preserve">GCGACATGAACTGAAGGTGC</t>
  </si>
  <si>
    <t xml:space="preserve">TAGTGCGACATGAACTGAAGGTGC</t>
  </si>
  <si>
    <t xml:space="preserve">AAACGCACCTTCAGTTCATGTCGC</t>
  </si>
  <si>
    <t xml:space="preserve">PST_1899</t>
  </si>
  <si>
    <t xml:space="preserve">CCAGATGAGGCAGGCTCAGC</t>
  </si>
  <si>
    <t xml:space="preserve">TAGTCCAGATGAGGCAGGCTCAGC</t>
  </si>
  <si>
    <t xml:space="preserve">AAACGCTGAGCCTGCCTCATCTGG</t>
  </si>
  <si>
    <t xml:space="preserve">TGCCGTCTTCAGGTCCGTAC</t>
  </si>
  <si>
    <t xml:space="preserve">TAGTTGCCGTCTTCAGGTCCGTAC</t>
  </si>
  <si>
    <t xml:space="preserve">AAACGTACGGACCTGAAGACGGCA</t>
  </si>
  <si>
    <t xml:space="preserve">CAGCCGTGCAGCGCGATGAC</t>
  </si>
  <si>
    <t xml:space="preserve">TAGTCAGCCGTGCAGCGCGATGAC</t>
  </si>
  <si>
    <t xml:space="preserve">AAACGTCATCGCGCTGCACGGCTG</t>
  </si>
  <si>
    <t xml:space="preserve">GGCCAGCCGACTGAAGGTGG</t>
  </si>
  <si>
    <t xml:space="preserve">TAGTGGCCAGCCGACTGAAGGTGG</t>
  </si>
  <si>
    <t xml:space="preserve">AAACCCACCTTCAGTCGGCTGGCC</t>
  </si>
  <si>
    <t xml:space="preserve">PST_1900</t>
  </si>
  <si>
    <t xml:space="preserve">GGACAGAAACAAAGCCGGTG</t>
  </si>
  <si>
    <t xml:space="preserve">TAGTGGACAGAAACAAAGCCGGTG</t>
  </si>
  <si>
    <t xml:space="preserve">AAACCACCGGCTTTGTTTCTGTCC</t>
  </si>
  <si>
    <t xml:space="preserve">ATCGGCCGCGATTGCAGCAG</t>
  </si>
  <si>
    <t xml:space="preserve">TAGTATCGGCCGCGATTGCAGCAG</t>
  </si>
  <si>
    <t xml:space="preserve">AAACCTGCTGCAATCGCGGCCGAT</t>
  </si>
  <si>
    <t xml:space="preserve">ACGCTCGAGATCAGCACTGC</t>
  </si>
  <si>
    <t xml:space="preserve">TAGTACGCTCGAGATCAGCACTGC</t>
  </si>
  <si>
    <t xml:space="preserve">AAACGCAGTGCTGATCTCGAGCGT</t>
  </si>
  <si>
    <t xml:space="preserve">ATCTGCGCTTGGGCGAAGCG</t>
  </si>
  <si>
    <t xml:space="preserve">TAGTATCTGCGCTTGGGCGAAGCG</t>
  </si>
  <si>
    <t xml:space="preserve">AAACCGCTTCGCCCAAGCGCAGAT</t>
  </si>
  <si>
    <t xml:space="preserve">PST_1901</t>
  </si>
  <si>
    <t xml:space="preserve">AGGCGATCATTGTTGAGCAT</t>
  </si>
  <si>
    <t xml:space="preserve">TAGTAGGCGATCATTGTTGAGCAT</t>
  </si>
  <si>
    <t xml:space="preserve">AAACATGCTCAACAATGATCGCCT</t>
  </si>
  <si>
    <t xml:space="preserve">GCAGCAGGATCTGCGCAAGC</t>
  </si>
  <si>
    <t xml:space="preserve">TAGTGCAGCAGGATCTGCGCAAGC</t>
  </si>
  <si>
    <t xml:space="preserve">AAACGCTTGCGCAGATCCTGCTGC</t>
  </si>
  <si>
    <t xml:space="preserve">AGGCGCCAACACCCAGAGAC</t>
  </si>
  <si>
    <t xml:space="preserve">TAGTAGGCGCCAACACCCAGAGAC</t>
  </si>
  <si>
    <t xml:space="preserve">AAACGTCTCTGGGTGTTGGCGCCT</t>
  </si>
  <si>
    <t xml:space="preserve">CAGAACAAGGCCGACGCAAA</t>
  </si>
  <si>
    <t xml:space="preserve">TAGTCAGAACAAGGCCGACGCAAA</t>
  </si>
  <si>
    <t xml:space="preserve">AAACTTTGCGTCGGCCTTGTTCTG</t>
  </si>
  <si>
    <t xml:space="preserve">PST_1902</t>
  </si>
  <si>
    <t xml:space="preserve">CGCATAGCCCCGCGCACCGC</t>
  </si>
  <si>
    <t xml:space="preserve">TAGTCGCATAGCCCCGCGCACCGC</t>
  </si>
  <si>
    <t xml:space="preserve">AAACGCGGTGCGCGGGGCTATGCG</t>
  </si>
  <si>
    <t xml:space="preserve">CATGGAGCAGCCGGCGATGC</t>
  </si>
  <si>
    <t xml:space="preserve">TAGTCATGGAGCAGCCGGCGATGC</t>
  </si>
  <si>
    <t xml:space="preserve">AAACGCATCGCCGGCTGCTCCATG</t>
  </si>
  <si>
    <t xml:space="preserve">CGCGTAGATGCCGCCCACCA</t>
  </si>
  <si>
    <t xml:space="preserve">TAGTCGCGTAGATGCCGCCCACCA</t>
  </si>
  <si>
    <t xml:space="preserve">AAACTGGTGGGCGGCATCTACGCG</t>
  </si>
  <si>
    <t xml:space="preserve">ATAGTCCAGGCTCTCGATCC</t>
  </si>
  <si>
    <t xml:space="preserve">TAGTATAGTCCAGGCTCTCGATCC</t>
  </si>
  <si>
    <t xml:space="preserve">AAACGGATCGAGAGCCTGGACTAT</t>
  </si>
  <si>
    <t xml:space="preserve">PST_1903</t>
  </si>
  <si>
    <t xml:space="preserve">selD</t>
  </si>
  <si>
    <t xml:space="preserve">AGGCGGATCGGTTCGCTCAT</t>
  </si>
  <si>
    <t xml:space="preserve">TAGTAGGCGGATCGGTTCGCTCAT</t>
  </si>
  <si>
    <t xml:space="preserve">AAACATGAGCGAACCGATCCGCCT</t>
  </si>
  <si>
    <t xml:space="preserve">CGCCGTGACTGTACTGGGTG</t>
  </si>
  <si>
    <t xml:space="preserve">TAGTCGCCGTGACTGTACTGGGTG</t>
  </si>
  <si>
    <t xml:space="preserve">AAACCACCCAGTACAGTCACGGCG</t>
  </si>
  <si>
    <t xml:space="preserve">CGATATCTTGCAGCCGCAGC</t>
  </si>
  <si>
    <t xml:space="preserve">TAGTCGATATCTTGCAGCCGCAGC</t>
  </si>
  <si>
    <t xml:space="preserve">AAACGCTGCGGCTGCAAGATATCG</t>
  </si>
  <si>
    <t xml:space="preserve">AGAATCACGTCCAGCACCTT</t>
  </si>
  <si>
    <t xml:space="preserve">TAGTAGAATCACGTCCAGCACCTT</t>
  </si>
  <si>
    <t xml:space="preserve">AAACAAGGTGCTGGACGTGATTCT</t>
  </si>
  <si>
    <t xml:space="preserve">PST_1904</t>
  </si>
  <si>
    <t xml:space="preserve">CTGGCCGTGCTGCTTGTAGC</t>
  </si>
  <si>
    <t xml:space="preserve">TAGTCTGGCCGTGCTGCTTGTAGC</t>
  </si>
  <si>
    <t xml:space="preserve">AAACGCTACAAGCAGCACGGCCAG</t>
  </si>
  <si>
    <t xml:space="preserve">CTGATGGCCCATCTCGATGG</t>
  </si>
  <si>
    <t xml:space="preserve">TAGTCTGATGGCCCATCTCGATGG</t>
  </si>
  <si>
    <t xml:space="preserve">AAACCCATCGAGATGGGCCATCAG</t>
  </si>
  <si>
    <t xml:space="preserve">GGCCCAGGCCTGCAGCCGCT</t>
  </si>
  <si>
    <t xml:space="preserve">TAGTGGCCCAGGCCTGCAGCCGCT</t>
  </si>
  <si>
    <t xml:space="preserve">AAACAGCGGCTGCAGGCCTGGGCC</t>
  </si>
  <si>
    <t xml:space="preserve">CGGGTGGGCGCGGGCGAAAT</t>
  </si>
  <si>
    <t xml:space="preserve">TAGTCGGGTGGGCGCGGGCGAAAT</t>
  </si>
  <si>
    <t xml:space="preserve">AAACATTTCGCCCGCGCCCACCCG</t>
  </si>
  <si>
    <t xml:space="preserve">PST_1905</t>
  </si>
  <si>
    <t xml:space="preserve">CAGCAAAGGCAAAGTCAGCC</t>
  </si>
  <si>
    <t xml:space="preserve">TAGTCAGCAAAGGCAAAGTCAGCC</t>
  </si>
  <si>
    <t xml:space="preserve">AAACGGCTGACTTTGCCTTTGCTG</t>
  </si>
  <si>
    <t xml:space="preserve">CGCGGTCTTGCCGGCACAGC</t>
  </si>
  <si>
    <t xml:space="preserve">TAGTCGCGGTCTTGCCGGCACAGC</t>
  </si>
  <si>
    <t xml:space="preserve">AAACGCTGTGCCGGCAAGACCGCG</t>
  </si>
  <si>
    <t xml:space="preserve">GCTCCGCGGCACAGCTGTCA</t>
  </si>
  <si>
    <t xml:space="preserve">TAGTGCTCCGCGGCACAGCTGTCA</t>
  </si>
  <si>
    <t xml:space="preserve">AAACTGACAGCTGTGCCGCGGAGC</t>
  </si>
  <si>
    <t xml:space="preserve">CAAAGCCCTCGGCTTCCGCC</t>
  </si>
  <si>
    <t xml:space="preserve">TAGTCAAAGCCCTCGGCTTCCGCC</t>
  </si>
  <si>
    <t xml:space="preserve">AAACGGCGGAAGCCGAGGGCTTTG</t>
  </si>
  <si>
    <t xml:space="preserve">PST_1906</t>
  </si>
  <si>
    <t xml:space="preserve">CCGCTCGCCAACGGCTGCCC</t>
  </si>
  <si>
    <t xml:space="preserve">TAGTCCGCTCGCCAACGGCTGCCC</t>
  </si>
  <si>
    <t xml:space="preserve">AAACGGGCAGCCGTTGGCGAGCGG</t>
  </si>
  <si>
    <t xml:space="preserve">CAGTGCTCACGCCCAATGAC</t>
  </si>
  <si>
    <t xml:space="preserve">TAGTCAGTGCTCACGCCCAATGAC</t>
  </si>
  <si>
    <t xml:space="preserve">AAACGTCATTGGGCGTGAGCACTG</t>
  </si>
  <si>
    <t xml:space="preserve">GCTAAAGACGTTGGGGATGC</t>
  </si>
  <si>
    <t xml:space="preserve">TAGTGCTAAAGACGTTGGGGATGC</t>
  </si>
  <si>
    <t xml:space="preserve">AAACGCATCCCCAACGTCTTTAGC</t>
  </si>
  <si>
    <t xml:space="preserve">CGGCCGCTTGACCGCGCGCC</t>
  </si>
  <si>
    <t xml:space="preserve">TAGTCGGCCGCTTGACCGCGCGCC</t>
  </si>
  <si>
    <t xml:space="preserve">AAACGGCGCGCGGTCAAGCGGCCG</t>
  </si>
  <si>
    <t xml:space="preserve">PST_1907</t>
  </si>
  <si>
    <t xml:space="preserve">TCGCAGGCAGGCGTCCAATC</t>
  </si>
  <si>
    <t xml:space="preserve">TAGTTCGCAGGCAGGCGTCCAATC</t>
  </si>
  <si>
    <t xml:space="preserve">AAACGATTGGACGCCTGCCTGCGA</t>
  </si>
  <si>
    <t xml:space="preserve">GCAGGCAGGCCATGGCCAAC</t>
  </si>
  <si>
    <t xml:space="preserve">TAGTGCAGGCAGGCCATGGCCAAC</t>
  </si>
  <si>
    <t xml:space="preserve">AAACGTTGGCCATGGCCTGCCTGC</t>
  </si>
  <si>
    <t xml:space="preserve">CTCCACCAGCAGGTGACCGC</t>
  </si>
  <si>
    <t xml:space="preserve">TAGTCTCCACCAGCAGGTGACCGC</t>
  </si>
  <si>
    <t xml:space="preserve">AAACGCGGTCACCTGCTGGTGGAG</t>
  </si>
  <si>
    <t xml:space="preserve">GGCCAGGGCATGACTCAGGG</t>
  </si>
  <si>
    <t xml:space="preserve">TAGTGGCCAGGGCATGACTCAGGG</t>
  </si>
  <si>
    <t xml:space="preserve">AAACCCCTGAGTCATGCCCTGGCC</t>
  </si>
  <si>
    <t xml:space="preserve">PST_1908</t>
  </si>
  <si>
    <t xml:space="preserve">AGCCAGCGGTCGCGAAAGCG</t>
  </si>
  <si>
    <t xml:space="preserve">TAGTAGCCAGCGGTCGCGAAAGCG</t>
  </si>
  <si>
    <t xml:space="preserve">AAACCGCTTTCGCGACCGCTGGCT</t>
  </si>
  <si>
    <t xml:space="preserve">AGCCGCACGCTGGAAGCCGG</t>
  </si>
  <si>
    <t xml:space="preserve">TAGTAGCCGCACGCTGGAAGCCGG</t>
  </si>
  <si>
    <t xml:space="preserve">AAACCCGGCTTCCAGCGTGCGGCT</t>
  </si>
  <si>
    <t xml:space="preserve">GCATGATGAAGATTCGCCGC</t>
  </si>
  <si>
    <t xml:space="preserve">TAGTGCATGATGAAGATTCGCCGC</t>
  </si>
  <si>
    <t xml:space="preserve">AAACGCGGCGAATCTTCATCATGC</t>
  </si>
  <si>
    <t xml:space="preserve">AACGTCAGCCCTACCGCCGT</t>
  </si>
  <si>
    <t xml:space="preserve">TAGTAACGTCAGCCCTACCGCCGT</t>
  </si>
  <si>
    <t xml:space="preserve">AAACACGGCGGTAGGGCTGACGTT</t>
  </si>
  <si>
    <t xml:space="preserve">PST_1909</t>
  </si>
  <si>
    <t xml:space="preserve">AGGCTGTTGCGCGGAATACC</t>
  </si>
  <si>
    <t xml:space="preserve">TAGTAGGCTGTTGCGCGGAATACC</t>
  </si>
  <si>
    <t xml:space="preserve">AAACGGTATTCCGCGCAACAGCCT</t>
  </si>
  <si>
    <t xml:space="preserve">GCGCCACCAGCAGCCAGATC</t>
  </si>
  <si>
    <t xml:space="preserve">TAGTGCGCCACCAGCAGCCAGATC</t>
  </si>
  <si>
    <t xml:space="preserve">AAACGATCTGGCTGCTGGTGGCGC</t>
  </si>
  <si>
    <t xml:space="preserve">GCAGATGGGTGAGATGCGGC</t>
  </si>
  <si>
    <t xml:space="preserve">TAGTGCAGATGGGTGAGATGCGGC</t>
  </si>
  <si>
    <t xml:space="preserve">AAACGCCGCATCTCACCCATCTGC</t>
  </si>
  <si>
    <t xml:space="preserve">CACAGGCCGATGATCCACAG</t>
  </si>
  <si>
    <t xml:space="preserve">TAGTCACAGGCCGATGATCCACAG</t>
  </si>
  <si>
    <t xml:space="preserve">AAACCTGTGGATCATCGGCCTGTG</t>
  </si>
  <si>
    <t xml:space="preserve">PST_1910</t>
  </si>
  <si>
    <t xml:space="preserve">CGGGCGTCCTTCAGGCACCT</t>
  </si>
  <si>
    <t xml:space="preserve">TAGTCGGGCGTCCTTCAGGCACCT</t>
  </si>
  <si>
    <t xml:space="preserve">AAACAGGTGCCTGAAGGACGCCCG</t>
  </si>
  <si>
    <t xml:space="preserve">CACCGCCAGCGGACCAACGA</t>
  </si>
  <si>
    <t xml:space="preserve">TAGTCACCGCCAGCGGACCAACGA</t>
  </si>
  <si>
    <t xml:space="preserve">AAACTCGTTGGTCCGCTGGCGGTG</t>
  </si>
  <si>
    <t xml:space="preserve">ACTTCGGCCTCGTACCTGGC</t>
  </si>
  <si>
    <t xml:space="preserve">TAGTACTTCGGCCTCGTACCTGGC</t>
  </si>
  <si>
    <t xml:space="preserve">AAACGCCAGGTACGAGGCCGAAGT</t>
  </si>
  <si>
    <t xml:space="preserve">CCTGGCCATCCTGCACCACC</t>
  </si>
  <si>
    <t xml:space="preserve">TAGTCCTGGCCATCCTGCACCACC</t>
  </si>
  <si>
    <t xml:space="preserve">AAACGGTGGTGCAGGATGGCCAGG</t>
  </si>
  <si>
    <t xml:space="preserve">PST_1911</t>
  </si>
  <si>
    <t xml:space="preserve">GAAGGCCGCGCAGCAAGATC</t>
  </si>
  <si>
    <t xml:space="preserve">TAGTGAAGGCCGCGCAGCAAGATC</t>
  </si>
  <si>
    <t xml:space="preserve">AAACGATCTTGCTGCGCGGCCTTC</t>
  </si>
  <si>
    <t xml:space="preserve">TCGGAGCCGCTGCGCCCAAC</t>
  </si>
  <si>
    <t xml:space="preserve">TAGTTCGGAGCCGCTGCGCCCAAC</t>
  </si>
  <si>
    <t xml:space="preserve">AAACGTTGGGCGCAGCGGCTCCGA</t>
  </si>
  <si>
    <t xml:space="preserve">CGGCGGATTGGCCAAGGCAT</t>
  </si>
  <si>
    <t xml:space="preserve">TAGTCGGCGGATTGGCCAAGGCAT</t>
  </si>
  <si>
    <t xml:space="preserve">AAACATGCCTTGGCCAATCCGCCG</t>
  </si>
  <si>
    <t xml:space="preserve">CGTACGAACACTTCCAGCAC</t>
  </si>
  <si>
    <t xml:space="preserve">TAGTCGTACGAACACTTCCAGCAC</t>
  </si>
  <si>
    <t xml:space="preserve">AAACGTGCTGGAAGTGTTCGTACG</t>
  </si>
  <si>
    <t xml:space="preserve">PST_1912</t>
  </si>
  <si>
    <t xml:space="preserve">TATCGCGTGTCCAGTCGATC</t>
  </si>
  <si>
    <t xml:space="preserve">TAGTTATCGCGTGTCCAGTCGATC</t>
  </si>
  <si>
    <t xml:space="preserve">AAACGATCGACTGGACACGCGATA</t>
  </si>
  <si>
    <t xml:space="preserve">GCAGCGGGCGAGCATGGCAT</t>
  </si>
  <si>
    <t xml:space="preserve">TAGTGCAGCGGGCGAGCATGGCAT</t>
  </si>
  <si>
    <t xml:space="preserve">AAACATGCCATGCTCGCCCGCTGC</t>
  </si>
  <si>
    <t xml:space="preserve">ACGGGTCTCTTCGTGCTTGT</t>
  </si>
  <si>
    <t xml:space="preserve">TAGTACGGGTCTCTTCGTGCTTGT</t>
  </si>
  <si>
    <t xml:space="preserve">AAACACAAGCACGAAGAGACCCGT</t>
  </si>
  <si>
    <t xml:space="preserve">GAGATAGACCAGCAGCCATT</t>
  </si>
  <si>
    <t xml:space="preserve">TAGTGAGATAGACCAGCAGCCATT</t>
  </si>
  <si>
    <t xml:space="preserve">AAACAATGGCTGCTGGTCTATCTC</t>
  </si>
  <si>
    <t xml:space="preserve">PST_1913</t>
  </si>
  <si>
    <t xml:space="preserve">CAGGAACAGGCCGAGATAGC</t>
  </si>
  <si>
    <t xml:space="preserve">TAGTCAGGAACAGGCCGAGATAGC</t>
  </si>
  <si>
    <t xml:space="preserve">AAACGCTATCTCGGCCTGTTCCTG</t>
  </si>
  <si>
    <t xml:space="preserve">CAGCAGGGTCGCAGCGCCGA</t>
  </si>
  <si>
    <t xml:space="preserve">TAGTCAGCAGGGTCGCAGCGCCGA</t>
  </si>
  <si>
    <t xml:space="preserve">AAACTCGGCGCTGCGACCCTGCTG</t>
  </si>
  <si>
    <t xml:space="preserve">AGCACGGCTTCGGACTGCAT</t>
  </si>
  <si>
    <t xml:space="preserve">TAGTAGCACGGCTTCGGACTGCAT</t>
  </si>
  <si>
    <t xml:space="preserve">AAACATGCAGTCCGAAGCCGTGCT</t>
  </si>
  <si>
    <t xml:space="preserve">CTCCCATGCGGCATAGCGTT</t>
  </si>
  <si>
    <t xml:space="preserve">TAGTCTCCCATGCGGCATAGCGTT</t>
  </si>
  <si>
    <t xml:space="preserve">AAACAACGCTATGCCGCATGGGAG</t>
  </si>
  <si>
    <t xml:space="preserve">PST_1914</t>
  </si>
  <si>
    <t xml:space="preserve">GCCAGCCTTCAACTGCGCCT</t>
  </si>
  <si>
    <t xml:space="preserve">TAGTGCCAGCCTTCAACTGCGCCT</t>
  </si>
  <si>
    <t xml:space="preserve">AAACAGGCGCAGTTGAAGGCTGGC</t>
  </si>
  <si>
    <t xml:space="preserve">GCTGATACTGTCGCGGCTGG</t>
  </si>
  <si>
    <t xml:space="preserve">TAGTGCTGATACTGTCGCGGCTGG</t>
  </si>
  <si>
    <t xml:space="preserve">AAACCCAGCCGCGACAGTATCAGC</t>
  </si>
  <si>
    <t xml:space="preserve">CGGCGGTCAGCCCCGGTTGC</t>
  </si>
  <si>
    <t xml:space="preserve">TAGTCGGCGGTCAGCCCCGGTTGC</t>
  </si>
  <si>
    <t xml:space="preserve">AAACGCAACCGGGGCTGACCGCCG</t>
  </si>
  <si>
    <t xml:space="preserve">GATCTGTTCCAGCAGCTGCT</t>
  </si>
  <si>
    <t xml:space="preserve">TAGTGATCTGTTCCAGCAGCTGCT</t>
  </si>
  <si>
    <t xml:space="preserve">AAACAGCAGCTGCTGGAACAGATC</t>
  </si>
  <si>
    <t xml:space="preserve">PST_1915</t>
  </si>
  <si>
    <t xml:space="preserve">TACGTTGTCCTGAATCCGCA</t>
  </si>
  <si>
    <t xml:space="preserve">TAGTTACGTTGTCCTGAATCCGCA</t>
  </si>
  <si>
    <t xml:space="preserve">AAACTGCGGATTCAGGACAACGTA</t>
  </si>
  <si>
    <t xml:space="preserve">CGGACGCGCCGCCGGTGATA</t>
  </si>
  <si>
    <t xml:space="preserve">TAGTCGGACGCGCCGCCGGTGATA</t>
  </si>
  <si>
    <t xml:space="preserve">AAACTATCACCGGCGGCGCGTCCG</t>
  </si>
  <si>
    <t xml:space="preserve">CGCCGCTGCGGCGCCGAGGC</t>
  </si>
  <si>
    <t xml:space="preserve">TAGTCGCCGCTGCGGCGCCGAGGC</t>
  </si>
  <si>
    <t xml:space="preserve">AAACGCCTCGGCGCCGCAGCGGCG</t>
  </si>
  <si>
    <t xml:space="preserve">CGCGTCGGCCGAGGCCTGCG</t>
  </si>
  <si>
    <t xml:space="preserve">TAGTCGCGTCGGCCGAGGCCTGCG</t>
  </si>
  <si>
    <t xml:space="preserve">AAACCGCAGGCCTCGGCCGACGCG</t>
  </si>
  <si>
    <t xml:space="preserve">PST_1916</t>
  </si>
  <si>
    <t xml:space="preserve">fadAx</t>
  </si>
  <si>
    <t xml:space="preserve">GGCAGCACCGAGCTGCCAGG</t>
  </si>
  <si>
    <t xml:space="preserve">TAGTGGCAGCACCGAGCTGCCAGG</t>
  </si>
  <si>
    <t xml:space="preserve">AAACCCTGGCAGCTCGGTGCTGCC</t>
  </si>
  <si>
    <t xml:space="preserve">TTCCACCGCCGCGCGGATGG</t>
  </si>
  <si>
    <t xml:space="preserve">TAGTTTCCACCGCCGCGCGGATGG</t>
  </si>
  <si>
    <t xml:space="preserve">AAACCCATCCGCGCGGCGGTGGAA</t>
  </si>
  <si>
    <t xml:space="preserve">CCTGCACGCTCTCGGCCGGC</t>
  </si>
  <si>
    <t xml:space="preserve">TAGTCCTGCACGCTCTCGGCCGGC</t>
  </si>
  <si>
    <t xml:space="preserve">AAACGCCGGCCGAGAGCGTGCAGG</t>
  </si>
  <si>
    <t xml:space="preserve">GGCGCCTGGCCCTGGCCGGC</t>
  </si>
  <si>
    <t xml:space="preserve">TAGTGGCGCCTGGCCCTGGCCGGC</t>
  </si>
  <si>
    <t xml:space="preserve">AAACGCCGGCCAGGGCCAGGCGCC</t>
  </si>
  <si>
    <t xml:space="preserve">PST_1917</t>
  </si>
  <si>
    <t xml:space="preserve">TGATCCTCATTGGGCAACAT</t>
  </si>
  <si>
    <t xml:space="preserve">TAGTTGATCCTCATTGGGCAACAT</t>
  </si>
  <si>
    <t xml:space="preserve">AAACATGTTGCCCAATGAGGATCA</t>
  </si>
  <si>
    <t xml:space="preserve">GGCGAACTGCCGGGCCATCT</t>
  </si>
  <si>
    <t xml:space="preserve">TAGTGGCGAACTGCCGGGCCATCT</t>
  </si>
  <si>
    <t xml:space="preserve">AAACAGATGGCCCGGCAGTTCGCC</t>
  </si>
  <si>
    <t xml:space="preserve">CGAAGGGCTTCAAGCGCTCC</t>
  </si>
  <si>
    <t xml:space="preserve">TAGTCGAAGGGCTTCAAGCGCTCC</t>
  </si>
  <si>
    <t xml:space="preserve">AAACGGAGCGCTTGAAGCCCTTCG</t>
  </si>
  <si>
    <t xml:space="preserve">GTGCTCGCGGCTCCACTGTT</t>
  </si>
  <si>
    <t xml:space="preserve">TAGTGTGCTCGCGGCTCCACTGTT</t>
  </si>
  <si>
    <t xml:space="preserve">AAACAACAGTGGAGCCGCGAGCAC</t>
  </si>
  <si>
    <t xml:space="preserve">PST_1918</t>
  </si>
  <si>
    <t xml:space="preserve">alkK-2</t>
  </si>
  <si>
    <t xml:space="preserve">GGAGCGTTCTGCATCAAACC</t>
  </si>
  <si>
    <t xml:space="preserve">TAGTGGAGCGTTCTGCATCAAACC</t>
  </si>
  <si>
    <t xml:space="preserve">AAACGGTTTGATGCAGAACGCTCC</t>
  </si>
  <si>
    <t xml:space="preserve">AGGATGCCGCTGATCAGCAG</t>
  </si>
  <si>
    <t xml:space="preserve">TAGTAGGATGCCGCTGATCAGCAG</t>
  </si>
  <si>
    <t xml:space="preserve">AAACCTGCTGATCAGCGGCATCCT</t>
  </si>
  <si>
    <t xml:space="preserve">GGGCACGAGCGGCGTGGGTG</t>
  </si>
  <si>
    <t xml:space="preserve">TAGTGGGCACGAGCGGCGTGGGTG</t>
  </si>
  <si>
    <t xml:space="preserve">AAACCACCCACGCCGCTCGTGCCC</t>
  </si>
  <si>
    <t xml:space="preserve">GACGATTTCACGGTCGCCAT</t>
  </si>
  <si>
    <t xml:space="preserve">TAGTGACGATTTCACGGTCGCCAT</t>
  </si>
  <si>
    <t xml:space="preserve">AAACATGGCGACCGTGAAATCGTC</t>
  </si>
  <si>
    <t xml:space="preserve">PST_1919</t>
  </si>
  <si>
    <t xml:space="preserve">GTATCGTCATGTTCGTTCAT</t>
  </si>
  <si>
    <t xml:space="preserve">TAGTGTATCGTCATGTTCGTTCAT</t>
  </si>
  <si>
    <t xml:space="preserve">AAACATGAACGAACATGACGATAC</t>
  </si>
  <si>
    <t xml:space="preserve">CCCGCACAGCGGTCCGCTAC</t>
  </si>
  <si>
    <t xml:space="preserve">TAGTCCCGCACAGCGGTCCGCTAC</t>
  </si>
  <si>
    <t xml:space="preserve">AAACGTAGCGGACCGCTGTGCGGG</t>
  </si>
  <si>
    <t xml:space="preserve">ATGCGGACCGGGGCCGATGC</t>
  </si>
  <si>
    <t xml:space="preserve">TAGTATGCGGACCGGGGCCGATGC</t>
  </si>
  <si>
    <t xml:space="preserve">AAACGCATCGGCCCCGGTCCGCAT</t>
  </si>
  <si>
    <t xml:space="preserve">GCCCATGTCGGCCAACAGCA</t>
  </si>
  <si>
    <t xml:space="preserve">TAGTGCCCATGTCGGCCAACAGCA</t>
  </si>
  <si>
    <t xml:space="preserve">AAACTGCTGTTGGCCGACATGGGC</t>
  </si>
  <si>
    <t xml:space="preserve">PST_1920</t>
  </si>
  <si>
    <t xml:space="preserve">AAGTGCAACTACTTGTTGTT</t>
  </si>
  <si>
    <t xml:space="preserve">TAGTAAGTGCAACTACTTGTTGTT</t>
  </si>
  <si>
    <t xml:space="preserve">AAACAACAACAAGTAGTTGCACTT</t>
  </si>
  <si>
    <t xml:space="preserve">TCGCAGCGACGCAATGGGCT</t>
  </si>
  <si>
    <t xml:space="preserve">TAGTTCGCAGCGACGCAATGGGCT</t>
  </si>
  <si>
    <t xml:space="preserve">AAACAGCCCATTGCGTCGCTGCGA</t>
  </si>
  <si>
    <t xml:space="preserve">AACACTGAGGGCAGCGTGCC</t>
  </si>
  <si>
    <t xml:space="preserve">TAGTAACACTGAGGGCAGCGTGCC</t>
  </si>
  <si>
    <t xml:space="preserve">AAACGGCACGCTGCCCTCAGTGTT</t>
  </si>
  <si>
    <t xml:space="preserve">CAGGCCAGAATGGCCAGCAG</t>
  </si>
  <si>
    <t xml:space="preserve">TAGTCAGGCCAGAATGGCCAGCAG</t>
  </si>
  <si>
    <t xml:space="preserve">AAACCTGCTGGCCATTCTGGCCTG</t>
  </si>
  <si>
    <t xml:space="preserve">PST_1921</t>
  </si>
  <si>
    <t xml:space="preserve">GTCGTAGCCTGGCCAGAAAA</t>
  </si>
  <si>
    <t xml:space="preserve">TAGTGTCGTAGCCTGGCCAGAAAA</t>
  </si>
  <si>
    <t xml:space="preserve">AAACTTTTCTGGCCAGGCTACGAC</t>
  </si>
  <si>
    <t xml:space="preserve">ATTTTCAGCAACGGGGCGAG</t>
  </si>
  <si>
    <t xml:space="preserve">TAGTATTTTCAGCAACGGGGCGAG</t>
  </si>
  <si>
    <t xml:space="preserve">AAACCTCGCCCCGTTGCTGAAAAT</t>
  </si>
  <si>
    <t xml:space="preserve">GGGTTCCAGCTCAATTAGCA</t>
  </si>
  <si>
    <t xml:space="preserve">TAGTGGGTTCCAGCTCAATTAGCA</t>
  </si>
  <si>
    <t xml:space="preserve">AAACTGCTAATTGAGCTGGAACCC</t>
  </si>
  <si>
    <t xml:space="preserve">CGAGGCACTCGCGTGGCTTG</t>
  </si>
  <si>
    <t xml:space="preserve">TAGTCGAGGCACTCGCGTGGCTTG</t>
  </si>
  <si>
    <t xml:space="preserve">AAACCAAGCCACGCGAGTGCCTCG</t>
  </si>
  <si>
    <t xml:space="preserve">PST_1922</t>
  </si>
  <si>
    <t xml:space="preserve">acdA</t>
  </si>
  <si>
    <t xml:space="preserve">GTTGGTCTTCGCTGAGTTCG</t>
  </si>
  <si>
    <t xml:space="preserve">TAGTGTTGGTCTTCGCTGAGTTCG</t>
  </si>
  <si>
    <t xml:space="preserve">AAACCGAACTCAGCGAAGACCAAC</t>
  </si>
  <si>
    <t xml:space="preserve">CGAAGTCGCGCGCCATGTCG</t>
  </si>
  <si>
    <t xml:space="preserve">TAGTCGAAGTCGCGCGCCATGTCG</t>
  </si>
  <si>
    <t xml:space="preserve">AAACCGACATGGCGCGCGACTTCG</t>
  </si>
  <si>
    <t xml:space="preserve">ATGGGGGGCGATCTCGCGGC</t>
  </si>
  <si>
    <t xml:space="preserve">TAGTATGGGGGGCGATCTCGCGGC</t>
  </si>
  <si>
    <t xml:space="preserve">AAACGCCGCGAGATCGCCCCCCAT</t>
  </si>
  <si>
    <t xml:space="preserve">GATCCAGCCGGCCTTTTCCC</t>
  </si>
  <si>
    <t xml:space="preserve">TAGTGATCCAGCCGGCCTTTTCCC</t>
  </si>
  <si>
    <t xml:space="preserve">AAACGGGAAAAGGCCGGCTGGATC</t>
  </si>
  <si>
    <t xml:space="preserve">PST_1923</t>
  </si>
  <si>
    <t xml:space="preserve">GGGGCGTTCGGTTGCAGTCA</t>
  </si>
  <si>
    <t xml:space="preserve">TAGTGGGGCGTTCGGTTGCAGTCA</t>
  </si>
  <si>
    <t xml:space="preserve">AAACTGACTGCAACCGAACGCCCC</t>
  </si>
  <si>
    <t xml:space="preserve">TTGCGTACGGCGGCCAGCAC</t>
  </si>
  <si>
    <t xml:space="preserve">TAGTTTGCGTACGGCGGCCAGCAC</t>
  </si>
  <si>
    <t xml:space="preserve">AAACGTGCTGGCCGCCGTACGCAA</t>
  </si>
  <si>
    <t xml:space="preserve">TGAGGGTGAGGTGGCCGACG</t>
  </si>
  <si>
    <t xml:space="preserve">TAGTTGAGGGTGAGGTGGCCGACG</t>
  </si>
  <si>
    <t xml:space="preserve">AAACCGTCGGCCACCTCACCCTCA</t>
  </si>
  <si>
    <t xml:space="preserve">CCGCATTCAGCCCGGCCGGG</t>
  </si>
  <si>
    <t xml:space="preserve">TAGTCCGCATTCAGCCCGGCCGGG</t>
  </si>
  <si>
    <t xml:space="preserve">AAACCCCGGCCGGGCTGAATGCGG</t>
  </si>
  <si>
    <t xml:space="preserve">PST_1924</t>
  </si>
  <si>
    <t xml:space="preserve">mmsB</t>
  </si>
  <si>
    <t xml:space="preserve">TTGAGCAGGTTGTGGGCCAT</t>
  </si>
  <si>
    <t xml:space="preserve">TAGTTTGAGCAGGTTGTGGGCCAT</t>
  </si>
  <si>
    <t xml:space="preserve">AAACATGGCCCACAACCTGCTCAA</t>
  </si>
  <si>
    <t xml:space="preserve">GGTCGAATACGCTGAGCTGG</t>
  </si>
  <si>
    <t xml:space="preserve">TAGTGGTCGAATACGCTGAGCTGG</t>
  </si>
  <si>
    <t xml:space="preserve">AAACCCAGCTCAGCGTATTCGACC</t>
  </si>
  <si>
    <t xml:space="preserve">TTTCAACGGCCGCGGCGTTG</t>
  </si>
  <si>
    <t xml:space="preserve">TAGTTTTCAACGGCCGCGGCGTTG</t>
  </si>
  <si>
    <t xml:space="preserve">AAACCAACGCCGCGGCCGTTGAAA</t>
  </si>
  <si>
    <t xml:space="preserve">TGAGTCGACCGGCAGCGCGC</t>
  </si>
  <si>
    <t xml:space="preserve">TAGTTGAGTCGACCGGCAGCGCGC</t>
  </si>
  <si>
    <t xml:space="preserve">AAACGCGCGCTGCCGGTCGACTCA</t>
  </si>
  <si>
    <t xml:space="preserve">PST_1925</t>
  </si>
  <si>
    <t xml:space="preserve">fadB1x</t>
  </si>
  <si>
    <t xml:space="preserve">CTCCTGGATGTCGACGAGCA</t>
  </si>
  <si>
    <t xml:space="preserve">TAGTCTCCTGGATGTCGACGAGCA</t>
  </si>
  <si>
    <t xml:space="preserve">AAACTGCTCGTCGACATCCAGGAG</t>
  </si>
  <si>
    <t xml:space="preserve">GAGCGCCTGCGGCCGGTTGA</t>
  </si>
  <si>
    <t xml:space="preserve">TAGTGAGCGCCTGCGGCCGGTTGA</t>
  </si>
  <si>
    <t xml:space="preserve">AAACTCAACCGGCCGCAGGCGCTC</t>
  </si>
  <si>
    <t xml:space="preserve">CCTCGAGCTGGCCCAGGGCC</t>
  </si>
  <si>
    <t xml:space="preserve">TAGTCCTCGAGCTGGCCCAGGGCC</t>
  </si>
  <si>
    <t xml:space="preserve">AAACGGCCCTGGGCCAGCTCGAGG</t>
  </si>
  <si>
    <t xml:space="preserve">GATGCAGCCGATCCGCGGAT</t>
  </si>
  <si>
    <t xml:space="preserve">TAGTGATGCAGCCGATCCGCGGAT</t>
  </si>
  <si>
    <t xml:space="preserve">AAACATCCGCGGATCGGCTGCATC</t>
  </si>
  <si>
    <t xml:space="preserve">PST_1926</t>
  </si>
  <si>
    <t xml:space="preserve">mmsA-2</t>
  </si>
  <si>
    <t xml:space="preserve">TTTGACGGTAGGAATGGCGT</t>
  </si>
  <si>
    <t xml:space="preserve">TAGTTTTGACGGTAGGAATGGCGT</t>
  </si>
  <si>
    <t xml:space="preserve">AAACACGCCATTCCTACCGTCAAA</t>
  </si>
  <si>
    <t xml:space="preserve">GACGTCGCGCCAGTCCTGGG</t>
  </si>
  <si>
    <t xml:space="preserve">TAGTGACGTCGCGCCAGTCCTGGG</t>
  </si>
  <si>
    <t xml:space="preserve">AAACCCCAGGACTGGCGCGACGTC</t>
  </si>
  <si>
    <t xml:space="preserve">CCAGGACTTCCTGGGTCGCC</t>
  </si>
  <si>
    <t xml:space="preserve">TAGTCCAGGACTTCCTGGGTCGCC</t>
  </si>
  <si>
    <t xml:space="preserve">AAACGGCGACCCAGGAAGTCCTGG</t>
  </si>
  <si>
    <t xml:space="preserve">ATTTCCTCGGCGGTCGCAAA</t>
  </si>
  <si>
    <t xml:space="preserve">TAGTATTTCCTCGGCGGTCGCAAA</t>
  </si>
  <si>
    <t xml:space="preserve">AAACTTTGCGACCGCCGAGGAAAT</t>
  </si>
  <si>
    <t xml:space="preserve">PST_1927</t>
  </si>
  <si>
    <t xml:space="preserve">GCCCCGCTCGGGCGACTTCG</t>
  </si>
  <si>
    <t xml:space="preserve">TAGTGCCCCGCTCGGGCGACTTCG</t>
  </si>
  <si>
    <t xml:space="preserve">AAACCGAAGTCGCCCGAGCGGGGC</t>
  </si>
  <si>
    <t xml:space="preserve">CGCGAGCCGACGCGCCGCAG</t>
  </si>
  <si>
    <t xml:space="preserve">TAGTCGCGAGCCGACGCGCCGCAG</t>
  </si>
  <si>
    <t xml:space="preserve">AAACCTGCGGCGCGTCGGCTCGCG</t>
  </si>
  <si>
    <t xml:space="preserve">GCCGGCGCGAGACCGTGGTG</t>
  </si>
  <si>
    <t xml:space="preserve">TAGTGCCGGCGCGAGACCGTGGTG</t>
  </si>
  <si>
    <t xml:space="preserve">AAACCACCACGGTCTCGCGCCGGC</t>
  </si>
  <si>
    <t xml:space="preserve">GCTCGCGCAGGAACAGCTGT</t>
  </si>
  <si>
    <t xml:space="preserve">TAGTGCTCGCGCAGGAACAGCTGT</t>
  </si>
  <si>
    <t xml:space="preserve">AAACACAGCTGTTCCTGCGCGAGC</t>
  </si>
  <si>
    <t xml:space="preserve">PST_1928</t>
  </si>
  <si>
    <t xml:space="preserve">CACGCGTCTGATCCACCGGG</t>
  </si>
  <si>
    <t xml:space="preserve">TAGTCACGCGTCTGATCCACCGGG</t>
  </si>
  <si>
    <t xml:space="preserve">AAACCCCGGTGGATCAGACGCGTG</t>
  </si>
  <si>
    <t xml:space="preserve">CTCCCGGACAGCTCGCCGAT</t>
  </si>
  <si>
    <t xml:space="preserve">TAGTCTCCCGGACAGCTCGCCGAT</t>
  </si>
  <si>
    <t xml:space="preserve">AAACATCGGCGAGCTGTCCGGGAG</t>
  </si>
  <si>
    <t xml:space="preserve">GTACATAGCCCGGACTTTCA</t>
  </si>
  <si>
    <t xml:space="preserve">TAGTGTACATAGCCCGGACTTTCA</t>
  </si>
  <si>
    <t xml:space="preserve">AAACTGAAAGTCCGGGCTATGTAC</t>
  </si>
  <si>
    <t xml:space="preserve">CAGCCATATGCCCATGGATT</t>
  </si>
  <si>
    <t xml:space="preserve">TAGTCAGCCATATGCCCATGGATT</t>
  </si>
  <si>
    <t xml:space="preserve">AAACAATCCATGGGCATATGGCTG</t>
  </si>
  <si>
    <t xml:space="preserve">PST_1929</t>
  </si>
  <si>
    <t xml:space="preserve">CGATCGGATGCAGGTGCCAA</t>
  </si>
  <si>
    <t xml:space="preserve">TAGTCGATCGGATGCAGGTGCCAA</t>
  </si>
  <si>
    <t xml:space="preserve">AAACTTGGCACCTGCATCCGATCG</t>
  </si>
  <si>
    <t xml:space="preserve">GGGTGTCGGGCGTGAGGGCG</t>
  </si>
  <si>
    <t xml:space="preserve">TAGTGGGTGTCGGGCGTGAGGGCG</t>
  </si>
  <si>
    <t xml:space="preserve">AAACCGCCCTCACGCCCGACACCC</t>
  </si>
  <si>
    <t xml:space="preserve">GTCGAAAGCCAGTTCGCGCA</t>
  </si>
  <si>
    <t xml:space="preserve">TAGTGTCGAAAGCCAGTTCGCGCA</t>
  </si>
  <si>
    <t xml:space="preserve">AAACTGCGCGAACTGGCTTTCGAC</t>
  </si>
  <si>
    <t xml:space="preserve">GGCTGGTCCAGCGAATCGAC</t>
  </si>
  <si>
    <t xml:space="preserve">TAGTGGCTGGTCCAGCGAATCGAC</t>
  </si>
  <si>
    <t xml:space="preserve">AAACGTCGATTCGCTGGACCAGCC</t>
  </si>
  <si>
    <t xml:space="preserve">PST_1930</t>
  </si>
  <si>
    <t xml:space="preserve">CAGCAAGATTCCTTCGAGCA</t>
  </si>
  <si>
    <t xml:space="preserve">TAGTCAGCAAGATTCCTTCGAGCA</t>
  </si>
  <si>
    <t xml:space="preserve">AAACTGCTCGAAGGAATCTTGCTG</t>
  </si>
  <si>
    <t xml:space="preserve">GAGTGCCAGGAGGCCTGTAC</t>
  </si>
  <si>
    <t xml:space="preserve">TAGTGAGTGCCAGGAGGCCTGTAC</t>
  </si>
  <si>
    <t xml:space="preserve">AAACGTACAGGCCTCCTGGCACTC</t>
  </si>
  <si>
    <t xml:space="preserve">CAGGCGCGGTATCGACAAAG</t>
  </si>
  <si>
    <t xml:space="preserve">TAGTCAGGCGCGGTATCGACAAAG</t>
  </si>
  <si>
    <t xml:space="preserve">AAACCTTTGTCGATACCGCGCCTG</t>
  </si>
  <si>
    <t xml:space="preserve">AGGGCGCCCAGTTGCAGACG</t>
  </si>
  <si>
    <t xml:space="preserve">TAGTAGGGCGCCCAGTTGCAGACG</t>
  </si>
  <si>
    <t xml:space="preserve">AAACCGTCTGCAACTGGGCGCCCT</t>
  </si>
  <si>
    <t xml:space="preserve">PST_1931</t>
  </si>
  <si>
    <t xml:space="preserve">CCAGCCGAGATAGCCGCCAC</t>
  </si>
  <si>
    <t xml:space="preserve">TAGTCCAGCCGAGATAGCCGCCAC</t>
  </si>
  <si>
    <t xml:space="preserve">AAACGTGGCGGCTATCTCGGCTGG</t>
  </si>
  <si>
    <t xml:space="preserve">AATCCAGGTCGGCGGCATAG</t>
  </si>
  <si>
    <t xml:space="preserve">TAGTAATCCAGGTCGGCGGCATAG</t>
  </si>
  <si>
    <t xml:space="preserve">AAACCTATGCCGCCGACCTGGATT</t>
  </si>
  <si>
    <t xml:space="preserve">CGGACTCGGCCCGGGCTTGA</t>
  </si>
  <si>
    <t xml:space="preserve">TAGTCGGACTCGGCCCGGGCTTGA</t>
  </si>
  <si>
    <t xml:space="preserve">AAACTCAAGCCCGGGCCGAGTCCG</t>
  </si>
  <si>
    <t xml:space="preserve">TCCTCGGGAAACTGGATGCG</t>
  </si>
  <si>
    <t xml:space="preserve">TAGTTCCTCGGGAAACTGGATGCG</t>
  </si>
  <si>
    <t xml:space="preserve">AAACCGCATCCAGTTTCCCGAGGA</t>
  </si>
  <si>
    <t xml:space="preserve">PST_1932</t>
  </si>
  <si>
    <t xml:space="preserve">CGAGCCGCCCCGGTTCATGC</t>
  </si>
  <si>
    <t xml:space="preserve">TAGTCGAGCCGCCCCGGTTCATGC</t>
  </si>
  <si>
    <t xml:space="preserve">AAACGCATGAACCGGGGCGGCTCG</t>
  </si>
  <si>
    <t xml:space="preserve">GAATCCATAACCGCCGAAGT</t>
  </si>
  <si>
    <t xml:space="preserve">TAGTGAATCCATAACCGCCGAAGT</t>
  </si>
  <si>
    <t xml:space="preserve">AAACACTTCGGCGGTTATGGATTC</t>
  </si>
  <si>
    <t xml:space="preserve">GCATAGGTGTCGTGCCGGTG</t>
  </si>
  <si>
    <t xml:space="preserve">TAGTGCATAGGTGTCGTGCCGGTG</t>
  </si>
  <si>
    <t xml:space="preserve">AAACCACCGGCACGACACCTATGC</t>
  </si>
  <si>
    <t xml:space="preserve">GCCCGCCAGCGTACAGCCGA</t>
  </si>
  <si>
    <t xml:space="preserve">TAGTGCCCGCCAGCGTACAGCCGA</t>
  </si>
  <si>
    <t xml:space="preserve">AAACTCGGCTGTACGCTGGCGGGC</t>
  </si>
  <si>
    <t xml:space="preserve">PST_1933</t>
  </si>
  <si>
    <t xml:space="preserve">AGGCAGCCAGGCTCGCCGCA</t>
  </si>
  <si>
    <t xml:space="preserve">TAGTAGGCAGCCAGGCTCGCCGCA</t>
  </si>
  <si>
    <t xml:space="preserve">AAACTGCGGCGAGCCTGGCTGCCT</t>
  </si>
  <si>
    <t xml:space="preserve">GGCCGGCAACGCACGTCGAT</t>
  </si>
  <si>
    <t xml:space="preserve">TAGTGGCCGGCAACGCACGTCGAT</t>
  </si>
  <si>
    <t xml:space="preserve">AAACATCGACGTGCGTTGCCGGCC</t>
  </si>
  <si>
    <t xml:space="preserve">CACCGGCATGACCGAAAGCG</t>
  </si>
  <si>
    <t xml:space="preserve">TAGTCACCGGCATGACCGAAAGCG</t>
  </si>
  <si>
    <t xml:space="preserve">AAACCGCTTTCGGTCATGCCGGTG</t>
  </si>
  <si>
    <t xml:space="preserve">CACCTCCCACCACGACCAAT</t>
  </si>
  <si>
    <t xml:space="preserve">TAGTCACCTCCCACCACGACCAAT</t>
  </si>
  <si>
    <t xml:space="preserve">AAACATTGGTCGTGGTGGGAGGTG</t>
  </si>
  <si>
    <t xml:space="preserve">PST_1934</t>
  </si>
  <si>
    <t xml:space="preserve">CCGGGGCGGGGCAGTGGGGT</t>
  </si>
  <si>
    <t xml:space="preserve">TAGTCCGGGGCGGGGCAGTGGGGT</t>
  </si>
  <si>
    <t xml:space="preserve">AAACACCCCACTGCCCCGCCCCGG</t>
  </si>
  <si>
    <t xml:space="preserve">ACATGAAAGATTCGCGATAT</t>
  </si>
  <si>
    <t xml:space="preserve">TAGTACATGAAAGATTCGCGATAT</t>
  </si>
  <si>
    <t xml:space="preserve">AAACATATCGCGAATCTTTCATGT</t>
  </si>
  <si>
    <t xml:space="preserve">GGCAGAAAGATGAAGAGATA</t>
  </si>
  <si>
    <t xml:space="preserve">TAGTGGCAGAAAGATGAAGAGATA</t>
  </si>
  <si>
    <t xml:space="preserve">AAACTATCTCTTCATCTTTCTGCC</t>
  </si>
  <si>
    <t xml:space="preserve">CGAAGTGAAGCGGGAAAGCA</t>
  </si>
  <si>
    <t xml:space="preserve">TAGTCGAAGTGAAGCGGGAAAGCA</t>
  </si>
  <si>
    <t xml:space="preserve">AAACTGCTTTCCCGCTTCACTTCG</t>
  </si>
  <si>
    <t xml:space="preserve">PST_1935</t>
  </si>
  <si>
    <t xml:space="preserve">GCGCACCTCGGTGTCGCCGA</t>
  </si>
  <si>
    <t xml:space="preserve">TAGTGCGCACCTCGGTGTCGCCGA</t>
  </si>
  <si>
    <t xml:space="preserve">AAACTCGGCGACACCGAGGTGCGC</t>
  </si>
  <si>
    <t xml:space="preserve">CGTTGGTTGCCTTGGCCGCC</t>
  </si>
  <si>
    <t xml:space="preserve">TAGTCGTTGGTTGCCTTGGCCGCC</t>
  </si>
  <si>
    <t xml:space="preserve">AAACGGCGGCCAAGGCAACCAACG</t>
  </si>
  <si>
    <t xml:space="preserve">GTCCAGGTCCCAATCCCAGA</t>
  </si>
  <si>
    <t xml:space="preserve">TAGTGTCCAGGTCCCAATCCCAGA</t>
  </si>
  <si>
    <t xml:space="preserve">AAACTCTGGGATTGGGACCTGGAC</t>
  </si>
  <si>
    <t xml:space="preserve">GCTGGCCAGCGGATGGCCGT</t>
  </si>
  <si>
    <t xml:space="preserve">TAGTGCTGGCCAGCGGATGGCCGT</t>
  </si>
  <si>
    <t xml:space="preserve">AAACACGGCCATCCGCTGGCCAGC</t>
  </si>
  <si>
    <t xml:space="preserve">PST_1936</t>
  </si>
  <si>
    <t xml:space="preserve">CGAGAGCAACGGTCCTGCCT</t>
  </si>
  <si>
    <t xml:space="preserve">TAGTCGAGAGCAACGGTCCTGCCT</t>
  </si>
  <si>
    <t xml:space="preserve">AAACAGGCAGGACCGTTGCTCTCG</t>
  </si>
  <si>
    <t xml:space="preserve">CAGCGCTGTGCCGCAGAGGA</t>
  </si>
  <si>
    <t xml:space="preserve">TAGTCAGCGCTGTGCCGCAGAGGA</t>
  </si>
  <si>
    <t xml:space="preserve">AAACTCCTCTGCGGCACAGCGCTG</t>
  </si>
  <si>
    <t xml:space="preserve">TCGCCGCTGGCATGGGCTAT</t>
  </si>
  <si>
    <t xml:space="preserve">TAGTTCGCCGCTGGCATGGGCTAT</t>
  </si>
  <si>
    <t xml:space="preserve">AAACATAGCCCATGCCAGCGGCGA</t>
  </si>
  <si>
    <t xml:space="preserve">GAAGGCCGTGAGCAACGGGC</t>
  </si>
  <si>
    <t xml:space="preserve">TAGTGAAGGCCGTGAGCAACGGGC</t>
  </si>
  <si>
    <t xml:space="preserve">AAACGCCCGTTGCTCACGGCCTTC</t>
  </si>
  <si>
    <t xml:space="preserve">PST_1937</t>
  </si>
  <si>
    <t xml:space="preserve">TACCCATCACGTCATGGCCA</t>
  </si>
  <si>
    <t xml:space="preserve">TAGTTACCCATCACGTCATGGCCA</t>
  </si>
  <si>
    <t xml:space="preserve">AAACTGGCCATGACGTGATGGGTA</t>
  </si>
  <si>
    <t xml:space="preserve">CCATGCATGAACGGGCTCGG</t>
  </si>
  <si>
    <t xml:space="preserve">TAGTCCATGCATGAACGGGCTCGG</t>
  </si>
  <si>
    <t xml:space="preserve">AAACCCGAGCCCGTTCATGCATGG</t>
  </si>
  <si>
    <t xml:space="preserve">TACCGCATGGGTCAGCAGAT</t>
  </si>
  <si>
    <t xml:space="preserve">TAGTTACCGCATGGGTCAGCAGAT</t>
  </si>
  <si>
    <t xml:space="preserve">AAACATCTGCTGACCCATGCGGTA</t>
  </si>
  <si>
    <t xml:space="preserve">GGCCATGACATTGGTGGAGT</t>
  </si>
  <si>
    <t xml:space="preserve">TAGTGGCCATGACATTGGTGGAGT</t>
  </si>
  <si>
    <t xml:space="preserve">AAACACTCCACCAATGTCATGGCC</t>
  </si>
  <si>
    <t xml:space="preserve">PST_1938</t>
  </si>
  <si>
    <t xml:space="preserve">TGACAGATGCCGACTCGATA</t>
  </si>
  <si>
    <t xml:space="preserve">TAGTTGACAGATGCCGACTCGATA</t>
  </si>
  <si>
    <t xml:space="preserve">AAACTATCGAGTCGGCATCTGTCA</t>
  </si>
  <si>
    <t xml:space="preserve">CGTGATGCTTACGGCAGTCC</t>
  </si>
  <si>
    <t xml:space="preserve">TAGTCGTGATGCTTACGGCAGTCC</t>
  </si>
  <si>
    <t xml:space="preserve">AAACGGACTGCCGTAAGCATCACG</t>
  </si>
  <si>
    <t xml:space="preserve">ATCCTGCGGGAACACCGCAG</t>
  </si>
  <si>
    <t xml:space="preserve">TAGTATCCTGCGGGAACACCGCAG</t>
  </si>
  <si>
    <t xml:space="preserve">AAACCTGCGGTGTTCCCGCAGGAT</t>
  </si>
  <si>
    <t xml:space="preserve">GAAATACCGTCCGGCGTATT</t>
  </si>
  <si>
    <t xml:space="preserve">TAGTGAAATACCGTCCGGCGTATT</t>
  </si>
  <si>
    <t xml:space="preserve">AAACAATACGCCGGACGGTATTTC</t>
  </si>
  <si>
    <t xml:space="preserve">PST_1939</t>
  </si>
  <si>
    <t xml:space="preserve">GTTCTGGTTGGTCTTGAGCA</t>
  </si>
  <si>
    <t xml:space="preserve">TAGTGTTCTGGTTGGTCTTGAGCA</t>
  </si>
  <si>
    <t xml:space="preserve">AAACTGCTCAAGACCAACCAGAAC</t>
  </si>
  <si>
    <t xml:space="preserve">AATCGCCCCAGGCGCAGCCG</t>
  </si>
  <si>
    <t xml:space="preserve">TAGTAATCGCCCCAGGCGCAGCCG</t>
  </si>
  <si>
    <t xml:space="preserve">AAACCGGCTGCGCCTGGGGCGATT</t>
  </si>
  <si>
    <t xml:space="preserve">AACTTCACCGCACCGGCATC</t>
  </si>
  <si>
    <t xml:space="preserve">TAGTAACTTCACCGCACCGGCATC</t>
  </si>
  <si>
    <t xml:space="preserve">AAACGATGCCGGTGCGGTGAAGTT</t>
  </si>
  <si>
    <t xml:space="preserve">GGCTTCCCAGTTCACCGCCT</t>
  </si>
  <si>
    <t xml:space="preserve">TAGTGGCTTCCCAGTTCACCGCCT</t>
  </si>
  <si>
    <t xml:space="preserve">AAACAGGCGGTGAACTGGGAAGCC</t>
  </si>
  <si>
    <t xml:space="preserve">PST_1940</t>
  </si>
  <si>
    <t xml:space="preserve">GTTCAGAGTGGCGTAGAGCA</t>
  </si>
  <si>
    <t xml:space="preserve">TAGTGTTCAGAGTGGCGTAGAGCA</t>
  </si>
  <si>
    <t xml:space="preserve">AAACTGCTCTACGCCACTCTGAAC</t>
  </si>
  <si>
    <t xml:space="preserve">GCGTGCATCGTGCGGTTCGG</t>
  </si>
  <si>
    <t xml:space="preserve">TAGTGCGTGCATCGTGCGGTTCGG</t>
  </si>
  <si>
    <t xml:space="preserve">AAACCCGAACCGCACGATGCACGC</t>
  </si>
  <si>
    <t xml:space="preserve">GATGGCCAGCGCGCATTCCT</t>
  </si>
  <si>
    <t xml:space="preserve">TAGTGATGGCCAGCGCGCATTCCT</t>
  </si>
  <si>
    <t xml:space="preserve">AAACAGGAATGCGCGCTGGCCATC</t>
  </si>
  <si>
    <t xml:space="preserve">GCGTCACCATCATCACGGCA</t>
  </si>
  <si>
    <t xml:space="preserve">TAGTGCGTCACCATCATCACGGCA</t>
  </si>
  <si>
    <t xml:space="preserve">AAACTGCCGTGATGATGGTGACGC</t>
  </si>
  <si>
    <t xml:space="preserve">PST_1941</t>
  </si>
  <si>
    <t xml:space="preserve">GCTCGTCTTCCAGTGTGCGC</t>
  </si>
  <si>
    <t xml:space="preserve">TAGTGCTCGTCTTCCAGTGTGCGC</t>
  </si>
  <si>
    <t xml:space="preserve">AAACGCGCACACTGGAAGACGAGC</t>
  </si>
  <si>
    <t xml:space="preserve">GCGTGAAGCCTTCGAAGCGC</t>
  </si>
  <si>
    <t xml:space="preserve">TAGTGCGTGAAGCCTTCGAAGCGC</t>
  </si>
  <si>
    <t xml:space="preserve">AAACGCGCTTCGAAGGCTTCACGC</t>
  </si>
  <si>
    <t xml:space="preserve">GCCAGGATGCGCTCACCTTC</t>
  </si>
  <si>
    <t xml:space="preserve">TAGTGCCAGGATGCGCTCACCTTC</t>
  </si>
  <si>
    <t xml:space="preserve">AAACGAAGGTGAGCGCATCCTGGC</t>
  </si>
  <si>
    <t xml:space="preserve">GGCCAGCAGTCCGTCCTGAG</t>
  </si>
  <si>
    <t xml:space="preserve">TAGTGGCCAGCAGTCCGTCCTGAG</t>
  </si>
  <si>
    <t xml:space="preserve">AAACCTCAGGACGGACTGCTGGCC</t>
  </si>
  <si>
    <t xml:space="preserve">PST_1942</t>
  </si>
  <si>
    <t xml:space="preserve">CCAGCGTAAGGGGCTGCTCA</t>
  </si>
  <si>
    <t xml:space="preserve">TAGTCCAGCGTAAGGGGCTGCTCA</t>
  </si>
  <si>
    <t xml:space="preserve">AAACTGAGCAGCCCCTTACGCTGG</t>
  </si>
  <si>
    <t xml:space="preserve">GGTGATGCGCGGCGATGAAG</t>
  </si>
  <si>
    <t xml:space="preserve">TAGTGGTGATGCGCGGCGATGAAG</t>
  </si>
  <si>
    <t xml:space="preserve">AAACCTTCATCGCCGCGCATCACC</t>
  </si>
  <si>
    <t xml:space="preserve">GGTCCAGCAGGACCGCCGGC</t>
  </si>
  <si>
    <t xml:space="preserve">TAGTGGTCCAGCAGGACCGCCGGC</t>
  </si>
  <si>
    <t xml:space="preserve">AAACGCCGGCGGTCCTGCTGGACC</t>
  </si>
  <si>
    <t xml:space="preserve">CGATGCCGCGCGACAACGCC</t>
  </si>
  <si>
    <t xml:space="preserve">TAGTCGATGCCGCGCGACAACGCC</t>
  </si>
  <si>
    <t xml:space="preserve">AAACGGCGTTGTCGCGCGGCATCG</t>
  </si>
  <si>
    <t xml:space="preserve">PST_1943</t>
  </si>
  <si>
    <t xml:space="preserve">GAGGGTGTGGAGTTTGAGGA</t>
  </si>
  <si>
    <t xml:space="preserve">TAGTGAGGGTGTGGAGTTTGAGGA</t>
  </si>
  <si>
    <t xml:space="preserve">AAACTCCTCAAACTCCACACCCTC</t>
  </si>
  <si>
    <t xml:space="preserve">AGCCAGGGCGAGGCCGAGGA</t>
  </si>
  <si>
    <t xml:space="preserve">TAGTAGCCAGGGCGAGGCCGAGGA</t>
  </si>
  <si>
    <t xml:space="preserve">AAACTCCTCGGCCTCGCCCTGGCT</t>
  </si>
  <si>
    <t xml:space="preserve">CAGCAGCTGCAGGCCGACGT</t>
  </si>
  <si>
    <t xml:space="preserve">TAGTCAGCAGCTGCAGGCCGACGT</t>
  </si>
  <si>
    <t xml:space="preserve">AAACACGTCGGCCTGCAGCTGCTG</t>
  </si>
  <si>
    <t xml:space="preserve">CCAGGATTTGACCGTGCCGA</t>
  </si>
  <si>
    <t xml:space="preserve">TAGTCCAGGATTTGACCGTGCCGA</t>
  </si>
  <si>
    <t xml:space="preserve">AAACTCGGCACGGTCAAATCCTGG</t>
  </si>
  <si>
    <t xml:space="preserve">PST_1944</t>
  </si>
  <si>
    <t xml:space="preserve">CCTCGTCGATGCTGACGGCC</t>
  </si>
  <si>
    <t xml:space="preserve">TAGTCCTCGTCGATGCTGACGGCC</t>
  </si>
  <si>
    <t xml:space="preserve">AAACGGCCGTCAGCATCGACGAGG</t>
  </si>
  <si>
    <t xml:space="preserve">TGACGCTGTCGGAACTGCGC</t>
  </si>
  <si>
    <t xml:space="preserve">TAGTTGACGCTGTCGGAACTGCGC</t>
  </si>
  <si>
    <t xml:space="preserve">AAACGCGCAGTTCCGACAGCGTCA</t>
  </si>
  <si>
    <t xml:space="preserve">GCTGGCCGATGCCATCGGCA</t>
  </si>
  <si>
    <t xml:space="preserve">TAGTGCTGGCCGATGCCATCGGCA</t>
  </si>
  <si>
    <t xml:space="preserve">AAACTGCCGATGGCATCGGCCAGC</t>
  </si>
  <si>
    <t xml:space="preserve">GCTTCGGCGGCGTTGTCATC</t>
  </si>
  <si>
    <t xml:space="preserve">TAGTGCTTCGGCGGCGTTGTCATC</t>
  </si>
  <si>
    <t xml:space="preserve">AAACGATGACAACGCCGCCGAAGC</t>
  </si>
  <si>
    <t xml:space="preserve">PST_1945</t>
  </si>
  <si>
    <t xml:space="preserve">CAGGCCGAGCAGCAGGGTTT</t>
  </si>
  <si>
    <t xml:space="preserve">TAGTCAGGCCGAGCAGCAGGGTTT</t>
  </si>
  <si>
    <t xml:space="preserve">AAACAAACCCTGCTGCTCGGCCTG</t>
  </si>
  <si>
    <t xml:space="preserve">CGGCGGACTGGCAGGCGGCC</t>
  </si>
  <si>
    <t xml:space="preserve">TAGTCGGCGGACTGGCAGGCGGCC</t>
  </si>
  <si>
    <t xml:space="preserve">AAACGGCCGCCTGCCAGTCCGCCG</t>
  </si>
  <si>
    <t xml:space="preserve">CTGTGGCACCTCGTCCTGAC</t>
  </si>
  <si>
    <t xml:space="preserve">TAGTCTGTGGCACCTCGTCCTGAC</t>
  </si>
  <si>
    <t xml:space="preserve">AAACGTCAGGACGAGGTGCCACAG</t>
  </si>
  <si>
    <t xml:space="preserve">GAGGCCCGTCTGCGCCGGCG</t>
  </si>
  <si>
    <t xml:space="preserve">TAGTGAGGCCCGTCTGCGCCGGCG</t>
  </si>
  <si>
    <t xml:space="preserve">AAACCGCCGGCGCAGACGGGCCTC</t>
  </si>
  <si>
    <t xml:space="preserve">PST_1946</t>
  </si>
  <si>
    <t xml:space="preserve">tolQ-1</t>
  </si>
  <si>
    <t xml:space="preserve">CTCGCTGATCAGGCCCCAGA</t>
  </si>
  <si>
    <t xml:space="preserve">TAGTCTCGCTGATCAGGCCCCAGA</t>
  </si>
  <si>
    <t xml:space="preserve">AAACTCTGGGGCCTGATCAGCGAG</t>
  </si>
  <si>
    <t xml:space="preserve">TGGAGACCGAAGCCAGCACC</t>
  </si>
  <si>
    <t xml:space="preserve">TAGTTGGAGACCGAAGCCAGCACC</t>
  </si>
  <si>
    <t xml:space="preserve">AAACGGTGCTGGCTTCGGTCTCCA</t>
  </si>
  <si>
    <t xml:space="preserve">GCGGATGATCAGGTACCAGC</t>
  </si>
  <si>
    <t xml:space="preserve">TAGTGCGGATGATCAGGTACCAGC</t>
  </si>
  <si>
    <t xml:space="preserve">AAACGCTGGTACCTGATCATCCGC</t>
  </si>
  <si>
    <t xml:space="preserve">TGCGGTGCAGCGCGGCGCTG</t>
  </si>
  <si>
    <t xml:space="preserve">TAGTTGCGGTGCAGCGCGGCGCTG</t>
  </si>
  <si>
    <t xml:space="preserve">AAACCAGCGCCGCGCTGCACCGCA</t>
  </si>
  <si>
    <t xml:space="preserve">PST_1947</t>
  </si>
  <si>
    <t xml:space="preserve">tolR-1</t>
  </si>
  <si>
    <t xml:space="preserve">TTGGGCCCGTGTTTGCGCTG</t>
  </si>
  <si>
    <t xml:space="preserve">TAGTTTGGGCCCGTGTTTGCGCTG</t>
  </si>
  <si>
    <t xml:space="preserve">AAACCAGCGCAAACACGGGCCCAA</t>
  </si>
  <si>
    <t xml:space="preserve">GCCCTGCACCAGCATCGGCG</t>
  </si>
  <si>
    <t xml:space="preserve">TAGTGCCCTGCACCAGCATCGGCG</t>
  </si>
  <si>
    <t xml:space="preserve">AAACCGCCGATGCTGGTGCAGGGC</t>
  </si>
  <si>
    <t xml:space="preserve">AGCGCCTCGGCCGCCACCTT</t>
  </si>
  <si>
    <t xml:space="preserve">TAGTAGCGCCTCGGCCGCCACCTT</t>
  </si>
  <si>
    <t xml:space="preserve">AAACAAGGTGGCGGCCGAGGCGCT</t>
  </si>
  <si>
    <t xml:space="preserve">ATCTGCCGCTCGTTCTCCAC</t>
  </si>
  <si>
    <t xml:space="preserve">TAGTATCTGCCGCTCGTTCTCCAC</t>
  </si>
  <si>
    <t xml:space="preserve">AAACGTGGAGAACGAGCGGCAGAT</t>
  </si>
  <si>
    <t xml:space="preserve">PST_1948</t>
  </si>
  <si>
    <t xml:space="preserve">TGTGTGAGCACGGGCGCGGG</t>
  </si>
  <si>
    <t xml:space="preserve">TAGTTGTGTGAGCACGGGCGCGGG</t>
  </si>
  <si>
    <t xml:space="preserve">AAACCCCGCGCCCGTGCTCACACA</t>
  </si>
  <si>
    <t xml:space="preserve">TAGCGCCGCGCCAGCGGCAC</t>
  </si>
  <si>
    <t xml:space="preserve">TAGTTAGCGCCGCGCCAGCGGCAC</t>
  </si>
  <si>
    <t xml:space="preserve">AAACGTGCCGCTGGCGCGGCGCTA</t>
  </si>
  <si>
    <t xml:space="preserve">CCCGGCATGCAAGCCCAGCG</t>
  </si>
  <si>
    <t xml:space="preserve">TAGTCCCGGCATGCAAGCCCAGCG</t>
  </si>
  <si>
    <t xml:space="preserve">AAACCGCTGGGCTTGCATGCCGGG</t>
  </si>
  <si>
    <t xml:space="preserve">GCGTCCAGCTGGTCAGCAGC</t>
  </si>
  <si>
    <t xml:space="preserve">TAGTGCGTCCAGCTGGTCAGCAGC</t>
  </si>
  <si>
    <t xml:space="preserve">AAACGCTGCTGACCAGCTGGACGC</t>
  </si>
  <si>
    <t xml:space="preserve">PST_1949</t>
  </si>
  <si>
    <t xml:space="preserve">uxpB</t>
  </si>
  <si>
    <t xml:space="preserve">GTCATCATGGGCGGCGATGC</t>
  </si>
  <si>
    <t xml:space="preserve">TAGTGTCATCATGGGCGGCGATGC</t>
  </si>
  <si>
    <t xml:space="preserve">AAACGCATCGCCGCCCATGATGAC</t>
  </si>
  <si>
    <t xml:space="preserve">TGCGGCTGGGGTTGATCGCC</t>
  </si>
  <si>
    <t xml:space="preserve">TAGTTGCGGCTGGGGTTGATCGCC</t>
  </si>
  <si>
    <t xml:space="preserve">AAACGGCGATCAACCCCAGCCGCA</t>
  </si>
  <si>
    <t xml:space="preserve">TGAGCAGGCCGCGGCGGCGC</t>
  </si>
  <si>
    <t xml:space="preserve">TAGTTGAGCAGGCCGCGGCGGCGC</t>
  </si>
  <si>
    <t xml:space="preserve">AAACGCGCCGCCGCGGCCTGCTCA</t>
  </si>
  <si>
    <t xml:space="preserve">CGAGAAAGGCGATGCCGGCC</t>
  </si>
  <si>
    <t xml:space="preserve">TAGTCGAGAAAGGCGATGCCGGCC</t>
  </si>
  <si>
    <t xml:space="preserve">AAACGGCCGGCATCGCCTTTCTCG</t>
  </si>
  <si>
    <t xml:space="preserve">PST_1950</t>
  </si>
  <si>
    <t xml:space="preserve">TCAGGCGTGGGGTTGGCTGC</t>
  </si>
  <si>
    <t xml:space="preserve">TAGTTCAGGCGTGGGGTTGGCTGC</t>
  </si>
  <si>
    <t xml:space="preserve">AAACGCAGCCAACCCCACGCCTGA</t>
  </si>
  <si>
    <t xml:space="preserve">CACCGTCCGGGAGGAAGCTG</t>
  </si>
  <si>
    <t xml:space="preserve">TAGTCACCGTCCGGGAGGAAGCTG</t>
  </si>
  <si>
    <t xml:space="preserve">AAACCAGCTTCCTCCCGGACGGTG</t>
  </si>
  <si>
    <t xml:space="preserve">TGCTGGACCAATCGAAGCGT</t>
  </si>
  <si>
    <t xml:space="preserve">TAGTTGCTGGACCAATCGAAGCGT</t>
  </si>
  <si>
    <t xml:space="preserve">AAACACGCTTCGATTGGTCCAGCA</t>
  </si>
  <si>
    <t xml:space="preserve">CAGTCCCGCAATGGCCCCAG</t>
  </si>
  <si>
    <t xml:space="preserve">TAGTCAGTCCCGCAATGGCCCCAG</t>
  </si>
  <si>
    <t xml:space="preserve">AAACCTGGGGCCATTGCGGGACTG</t>
  </si>
  <si>
    <t xml:space="preserve">PST_1951</t>
  </si>
  <si>
    <t xml:space="preserve">CGCTTGACGGCAGAAAGCAT</t>
  </si>
  <si>
    <t xml:space="preserve">TAGTCGCTTGACGGCAGAAAGCAT</t>
  </si>
  <si>
    <t xml:space="preserve">AAACATGCTTTCTGCCGTCAAGCG</t>
  </si>
  <si>
    <t xml:space="preserve">CTTCAGCACCCCGGCGACCA</t>
  </si>
  <si>
    <t xml:space="preserve">TAGTCTTCAGCACCCCGGCGACCA</t>
  </si>
  <si>
    <t xml:space="preserve">AAACTGGTCGCCGGGGTGCTGAAG</t>
  </si>
  <si>
    <t xml:space="preserve">CGCAGATGGGCCGAGGTGCG</t>
  </si>
  <si>
    <t xml:space="preserve">TAGTCGCAGATGGGCCGAGGTGCG</t>
  </si>
  <si>
    <t xml:space="preserve">AAACCGCACCTCGGCCCATCTGCG</t>
  </si>
  <si>
    <t xml:space="preserve">CCGGCCCATGCCCCCAACGA</t>
  </si>
  <si>
    <t xml:space="preserve">TAGTCCGGCCCATGCCCCCAACGA</t>
  </si>
  <si>
    <t xml:space="preserve">AAACTCGTTGGGGGCATGGGCCGG</t>
  </si>
  <si>
    <t xml:space="preserve">PST_1952</t>
  </si>
  <si>
    <t xml:space="preserve">GTCGGAGGTGCAGAAGTAGT</t>
  </si>
  <si>
    <t xml:space="preserve">TAGTGTCGGAGGTGCAGAAGTAGT</t>
  </si>
  <si>
    <t xml:space="preserve">AAACACTACTTCTGCACCTCCGAC</t>
  </si>
  <si>
    <t xml:space="preserve">CGCCGACTGTTTCACCGACC</t>
  </si>
  <si>
    <t xml:space="preserve">TAGTCGCCGACTGTTTCACCGACC</t>
  </si>
  <si>
    <t xml:space="preserve">AAACGGTCGGTGAAACAGTCGGCG</t>
  </si>
  <si>
    <t xml:space="preserve">GCGGGTCTGCGCATGCAACC</t>
  </si>
  <si>
    <t xml:space="preserve">TAGTGCGGGTCTGCGCATGCAACC</t>
  </si>
  <si>
    <t xml:space="preserve">AAACGGTTGCATGCGCAGACCCGC</t>
  </si>
  <si>
    <t xml:space="preserve">GGTCATAGCGGTAAGGGCCT</t>
  </si>
  <si>
    <t xml:space="preserve">TAGTGGTCATAGCGGTAAGGGCCT</t>
  </si>
  <si>
    <t xml:space="preserve">AAACAGGCCCTTACCGCTATGACC</t>
  </si>
  <si>
    <t xml:space="preserve">PST_1953</t>
  </si>
  <si>
    <t xml:space="preserve">GAACTCGGAAGGGATGATGT</t>
  </si>
  <si>
    <t xml:space="preserve">TAGTGAACTCGGAAGGGATGATGT</t>
  </si>
  <si>
    <t xml:space="preserve">AAACACATCATCCCTTCCGAGTTC</t>
  </si>
  <si>
    <t xml:space="preserve">TTCGCCGGCGTCCACCATCT</t>
  </si>
  <si>
    <t xml:space="preserve">TAGTTTCGCCGGCGTCCACCATCT</t>
  </si>
  <si>
    <t xml:space="preserve">AAACAGATGGTGGACGCCGGCGAA</t>
  </si>
  <si>
    <t xml:space="preserve">GCGGATCAGGGTGTCGCGGG</t>
  </si>
  <si>
    <t xml:space="preserve">TAGTGCGGATCAGGGTGTCGCGGG</t>
  </si>
  <si>
    <t xml:space="preserve">AAACCCCGCGACACCCTGATCCGC</t>
  </si>
  <si>
    <t xml:space="preserve">GGCAAGAGCCAGGATCGCGC</t>
  </si>
  <si>
    <t xml:space="preserve">TAGTGGCAAGAGCCAGGATCGCGC</t>
  </si>
  <si>
    <t xml:space="preserve">AAACGCGCGATCCTGGCTCTTGCC</t>
  </si>
  <si>
    <t xml:space="preserve">PST_1954</t>
  </si>
  <si>
    <t xml:space="preserve">CGAGACGAACGACGTTGGAC</t>
  </si>
  <si>
    <t xml:space="preserve">TAGTCGAGACGAACGACGTTGGAC</t>
  </si>
  <si>
    <t xml:space="preserve">AAACGTCCAACGTCGTTCGTCTCG</t>
  </si>
  <si>
    <t xml:space="preserve">GGCCGCCGGCGCGTTGGAAC</t>
  </si>
  <si>
    <t xml:space="preserve">TAGTGGCCGCCGGCGCGTTGGAAC</t>
  </si>
  <si>
    <t xml:space="preserve">AAACGTTCCAACGCGCCGGCGGCC</t>
  </si>
  <si>
    <t xml:space="preserve">ACGGCTGCACAGCGTCTGCC</t>
  </si>
  <si>
    <t xml:space="preserve">TAGTACGGCTGCACAGCGTCTGCC</t>
  </si>
  <si>
    <t xml:space="preserve">AAACGGCAGACGCTGTGCAGCCGT</t>
  </si>
  <si>
    <t xml:space="preserve">ACCGGAATTGGCGACCAGAT</t>
  </si>
  <si>
    <t xml:space="preserve">TAGTACCGGAATTGGCGACCAGAT</t>
  </si>
  <si>
    <t xml:space="preserve">AAACATCTGGTCGCCAATTCCGGT</t>
  </si>
  <si>
    <t xml:space="preserve">PST_1955</t>
  </si>
  <si>
    <t xml:space="preserve">CTCGTGCTTGAGCGGGGTGA</t>
  </si>
  <si>
    <t xml:space="preserve">TAGTCTCGTGCTTGAGCGGGGTGA</t>
  </si>
  <si>
    <t xml:space="preserve">AAACTCACCCCGCTCAAGCACGAG</t>
  </si>
  <si>
    <t xml:space="preserve">GTGCACGTCGTAGCGGGTGA</t>
  </si>
  <si>
    <t xml:space="preserve">TAGTGTGCACGTCGTAGCGGGTGA</t>
  </si>
  <si>
    <t xml:space="preserve">AAACTCACCCGCTACGACGTGCAC</t>
  </si>
  <si>
    <t xml:space="preserve">GTACGCGATCGTAGGCGCGC</t>
  </si>
  <si>
    <t xml:space="preserve">TAGTGTACGCGATCGTAGGCGCGC</t>
  </si>
  <si>
    <t xml:space="preserve">AAACGCGCGCCTACGATCGCGTAC</t>
  </si>
  <si>
    <t xml:space="preserve">GGCCGCCGAAGTACTCGGAC</t>
  </si>
  <si>
    <t xml:space="preserve">TAGTGGCCGCCGAAGTACTCGGAC</t>
  </si>
  <si>
    <t xml:space="preserve">AAACGTCCGAGTACTTCGGCGGCC</t>
  </si>
  <si>
    <t xml:space="preserve">PST_1956</t>
  </si>
  <si>
    <t xml:space="preserve">AGCAGGGAAGAGGGGATCAC</t>
  </si>
  <si>
    <t xml:space="preserve">TAGTAGCAGGGAAGAGGGGATCAC</t>
  </si>
  <si>
    <t xml:space="preserve">AAACGTGATCCCCTCTTCCCTGCT</t>
  </si>
  <si>
    <t xml:space="preserve">GACATGGCGCGCCGAACGCA</t>
  </si>
  <si>
    <t xml:space="preserve">TAGTGACATGGCGCGCCGAACGCA</t>
  </si>
  <si>
    <t xml:space="preserve">AAACTGCGTTCGGCGCGCCATGTC</t>
  </si>
  <si>
    <t xml:space="preserve">CTCGGCGGAGACGCCGGCAC</t>
  </si>
  <si>
    <t xml:space="preserve">TAGTCTCGGCGGAGACGCCGGCAC</t>
  </si>
  <si>
    <t xml:space="preserve">AAACGTGCCGGCGTCTCCGCCGAG</t>
  </si>
  <si>
    <t xml:space="preserve">TGAGCGCGTCGCGAAAGGTC</t>
  </si>
  <si>
    <t xml:space="preserve">TAGTTGAGCGCGTCGCGAAAGGTC</t>
  </si>
  <si>
    <t xml:space="preserve">AAACGACCTTTCGCGACGCGCTCA</t>
  </si>
  <si>
    <t xml:space="preserve">PST_1957</t>
  </si>
  <si>
    <t xml:space="preserve">TTGTACCAAGGCCTCGTCCC</t>
  </si>
  <si>
    <t xml:space="preserve">TAGTTTGTACCAAGGCCTCGTCCC</t>
  </si>
  <si>
    <t xml:space="preserve">AAACGGGACGAGGCCTTGGTACAA</t>
  </si>
  <si>
    <t xml:space="preserve">ACAGGTCCAGCGGTGCGACA</t>
  </si>
  <si>
    <t xml:space="preserve">TAGTACAGGTCCAGCGGTGCGACA</t>
  </si>
  <si>
    <t xml:space="preserve">AAACTGTCGCACCGCTGGACCTGT</t>
  </si>
  <si>
    <t xml:space="preserve">GCCGCGGCGACTCTCGCGCA</t>
  </si>
  <si>
    <t xml:space="preserve">TAGTGCCGCGGCGACTCTCGCGCA</t>
  </si>
  <si>
    <t xml:space="preserve">AAACTGCGCGAGAGTCGCCGCGGC</t>
  </si>
  <si>
    <t xml:space="preserve">TGATGAATGGAGAGGGAGAG</t>
  </si>
  <si>
    <t xml:space="preserve">TAGTTGATGAATGGAGAGGGAGAG</t>
  </si>
  <si>
    <t xml:space="preserve">AAACCTCTCCCTCTCCATTCATCA</t>
  </si>
  <si>
    <t xml:space="preserve">PST_1958</t>
  </si>
  <si>
    <t xml:space="preserve">GTGACGCTATCGGTGCTCAT</t>
  </si>
  <si>
    <t xml:space="preserve">TAGTGTGACGCTATCGGTGCTCAT</t>
  </si>
  <si>
    <t xml:space="preserve">AAACATGAGCACCGATAGCGTCAC</t>
  </si>
  <si>
    <t xml:space="preserve">GCATGATGCGGTCGGCCTTG</t>
  </si>
  <si>
    <t xml:space="preserve">TAGTGCATGATGCGGTCGGCCTTG</t>
  </si>
  <si>
    <t xml:space="preserve">AAACCAAGGCCGACCGCATCATGC</t>
  </si>
  <si>
    <t xml:space="preserve">CGCCGCGATCCCGCAGGAAT</t>
  </si>
  <si>
    <t xml:space="preserve">TAGTCGCCGCGATCCCGCAGGAAT</t>
  </si>
  <si>
    <t xml:space="preserve">AAACATTCCTGCGGGATCGCGGCG</t>
  </si>
  <si>
    <t xml:space="preserve">CAGCGCGGTCATCGAGATGG</t>
  </si>
  <si>
    <t xml:space="preserve">TAGTCAGCGCGGTCATCGAGATGG</t>
  </si>
  <si>
    <t xml:space="preserve">AAACCCATCTCGATGACCGCGCTG</t>
  </si>
  <si>
    <t xml:space="preserve">PST_1959</t>
  </si>
  <si>
    <t xml:space="preserve">GCGGGTGGGCTTTGACGGTC</t>
  </si>
  <si>
    <t xml:space="preserve">TAGTGCGGGTGGGCTTTGACGGTC</t>
  </si>
  <si>
    <t xml:space="preserve">AAACGACCGTCAAAGCCCACCCGC</t>
  </si>
  <si>
    <t xml:space="preserve">GCCGGCGGCCAGTCCCATCC</t>
  </si>
  <si>
    <t xml:space="preserve">TAGTGCCGGCGGCCAGTCCCATCC</t>
  </si>
  <si>
    <t xml:space="preserve">AAACGGATGGGACTGGCCGCCGGC</t>
  </si>
  <si>
    <t xml:space="preserve">GCAGCACGGTGCGGCGCAGC</t>
  </si>
  <si>
    <t xml:space="preserve">TAGTGCAGCACGGTGCGGCGCAGC</t>
  </si>
  <si>
    <t xml:space="preserve">AAACGCTGCGCCGCACCGTGCTGC</t>
  </si>
  <si>
    <t xml:space="preserve">ACAGCTGCTGCTGATCCCCG</t>
  </si>
  <si>
    <t xml:space="preserve">TAGTACAGCTGCTGCTGATCCCCG</t>
  </si>
  <si>
    <t xml:space="preserve">AAACCGGGGATCAGCAGCAGCTGT</t>
  </si>
  <si>
    <t xml:space="preserve">PST_1960</t>
  </si>
  <si>
    <t xml:space="preserve">GTACAGCGCGCTGTGTACGA</t>
  </si>
  <si>
    <t xml:space="preserve">TAGTGTACAGCGCGCTGTGTACGA</t>
  </si>
  <si>
    <t xml:space="preserve">AAACTCGTACACAGCGCGCTGTAC</t>
  </si>
  <si>
    <t xml:space="preserve">GCCGGTGCTGCACCCAGCCG</t>
  </si>
  <si>
    <t xml:space="preserve">TAGTGCCGGTGCTGCACCCAGCCG</t>
  </si>
  <si>
    <t xml:space="preserve">AAACCGGCTGGGTGCAGCACCGGC</t>
  </si>
  <si>
    <t xml:space="preserve">TAGTTGAACGCATGGGCGTG</t>
  </si>
  <si>
    <t xml:space="preserve">TAGTTAGTTGAACGCATGGGCGTG</t>
  </si>
  <si>
    <t xml:space="preserve">AAACCACGCCCATGCGTTCAACTA</t>
  </si>
  <si>
    <t xml:space="preserve">CCAGGTAGAGCAGCCCCATG</t>
  </si>
  <si>
    <t xml:space="preserve">TAGTCCAGGTAGAGCAGCCCCATG</t>
  </si>
  <si>
    <t xml:space="preserve">AAACCATGGGGCTGCTCTACCTGG</t>
  </si>
  <si>
    <t xml:space="preserve">PST_1961</t>
  </si>
  <si>
    <t xml:space="preserve">GGCAATACCGCTGCCGATGA</t>
  </si>
  <si>
    <t xml:space="preserve">TAGTGGCAATACCGCTGCCGATGA</t>
  </si>
  <si>
    <t xml:space="preserve">AAACTCATCGGCAGCGGTATTGCC</t>
  </si>
  <si>
    <t xml:space="preserve">CAGATGCGCACAGGTGAGAC</t>
  </si>
  <si>
    <t xml:space="preserve">TAGTCAGATGCGCACAGGTGAGAC</t>
  </si>
  <si>
    <t xml:space="preserve">AAACGTCTCACCTGTGCGCATCTG</t>
  </si>
  <si>
    <t xml:space="preserve">CACGGTGATGGCGTGCTGGC</t>
  </si>
  <si>
    <t xml:space="preserve">TAGTCACGGTGATGGCGTGCTGGC</t>
  </si>
  <si>
    <t xml:space="preserve">AAACGCCAGCACGCCATCACCGTG</t>
  </si>
  <si>
    <t xml:space="preserve">GCACGTCCACCGTATGGGTG</t>
  </si>
  <si>
    <t xml:space="preserve">TAGTGCACGTCCACCGTATGGGTG</t>
  </si>
  <si>
    <t xml:space="preserve">AAACCACCCATACGGTGGACGTGC</t>
  </si>
  <si>
    <t xml:space="preserve">PST_1962</t>
  </si>
  <si>
    <t xml:space="preserve">TCAGCCAGATCCGTCGCGAG</t>
  </si>
  <si>
    <t xml:space="preserve">TAGTTCAGCCAGATCCGTCGCGAG</t>
  </si>
  <si>
    <t xml:space="preserve">AAACCTCGCGACGGATCTGGCTGA</t>
  </si>
  <si>
    <t xml:space="preserve">TTCGAGGCCGATGCCGCTGC</t>
  </si>
  <si>
    <t xml:space="preserve">TAGTTTCGAGGCCGATGCCGCTGC</t>
  </si>
  <si>
    <t xml:space="preserve">AAACGCAGCGGCATCGGCCTCGAA</t>
  </si>
  <si>
    <t xml:space="preserve">TAGCGCCAGACAATGCCCCT</t>
  </si>
  <si>
    <t xml:space="preserve">TAGTTAGCGCCAGACAATGCCCCT</t>
  </si>
  <si>
    <t xml:space="preserve">AAACAGGGGCATTGTCTGGCGCTA</t>
  </si>
  <si>
    <t xml:space="preserve">GGCAAACGCCAGCAGCGGCT</t>
  </si>
  <si>
    <t xml:space="preserve">TAGTGGCAAACGCCAGCAGCGGCT</t>
  </si>
  <si>
    <t xml:space="preserve">AAACAGCCGCTGCTGGCGTTTGCC</t>
  </si>
  <si>
    <t xml:space="preserve">PST_1963</t>
  </si>
  <si>
    <t xml:space="preserve">ACTCGGCCGCGAAGCGATGC</t>
  </si>
  <si>
    <t xml:space="preserve">TAGTACTCGGCCGCGAAGCGATGC</t>
  </si>
  <si>
    <t xml:space="preserve">AAACGCATCGCTTCGCGGCCGAGT</t>
  </si>
  <si>
    <t xml:space="preserve">CAGCTTGTCGGCATCCAGAC</t>
  </si>
  <si>
    <t xml:space="preserve">TAGTCAGCTTGTCGGCATCCAGAC</t>
  </si>
  <si>
    <t xml:space="preserve">AAACGTCTGGATGCCGACAAGCTG</t>
  </si>
  <si>
    <t xml:space="preserve">GACCACCTCGTGCAGCGGGT</t>
  </si>
  <si>
    <t xml:space="preserve">TAGTGACCACCTCGTGCAGCGGGT</t>
  </si>
  <si>
    <t xml:space="preserve">AAACACCCGCTGCACGAGGTGGTC</t>
  </si>
  <si>
    <t xml:space="preserve">AATAACGCTGCAGTTCAATC</t>
  </si>
  <si>
    <t xml:space="preserve">TAGTAATAACGCTGCAGTTCAATC</t>
  </si>
  <si>
    <t xml:space="preserve">AAACGATTGAACTGCAGCGTTATT</t>
  </si>
  <si>
    <t xml:space="preserve">PST_1964</t>
  </si>
  <si>
    <t xml:space="preserve">phrB</t>
  </si>
  <si>
    <t xml:space="preserve">GGCCATGGCAGATGCCAGGG</t>
  </si>
  <si>
    <t xml:space="preserve">TAGTGGCCATGGCAGATGCCAGGG</t>
  </si>
  <si>
    <t xml:space="preserve">AAACCCCTGGCATCTGCCATGGCC</t>
  </si>
  <si>
    <t xml:space="preserve">GTAGACCGCGACGGTGGGGC</t>
  </si>
  <si>
    <t xml:space="preserve">TAGTGTAGACCGCGACGGTGGGGC</t>
  </si>
  <si>
    <t xml:space="preserve">AAACGCCCCACCGTCGCGGTCTAC</t>
  </si>
  <si>
    <t xml:space="preserve">GCCACTGGCCGGGCGTGATC</t>
  </si>
  <si>
    <t xml:space="preserve">TAGTGCCACTGGCCGGGCGTGATC</t>
  </si>
  <si>
    <t xml:space="preserve">AAACGATCACGCCCGGCCAGTGGC</t>
  </si>
  <si>
    <t xml:space="preserve">CTTGCAGGCGGCATCGTCAT</t>
  </si>
  <si>
    <t xml:space="preserve">TAGTCTTGCAGGCGGCATCGTCAT</t>
  </si>
  <si>
    <t xml:space="preserve">AAACATGACGATGCCGCCTGCAAG</t>
  </si>
  <si>
    <t xml:space="preserve">PST_1965</t>
  </si>
  <si>
    <t xml:space="preserve">CAGGTCCGTTGGTTCGATCA</t>
  </si>
  <si>
    <t xml:space="preserve">TAGTCAGGTCCGTTGGTTCGATCA</t>
  </si>
  <si>
    <t xml:space="preserve">AAACTGATCGAACCAACGGACCTG</t>
  </si>
  <si>
    <t xml:space="preserve">GATGGGCAGCAGGCCGTCGG</t>
  </si>
  <si>
    <t xml:space="preserve">TAGTGATGGGCAGCAGGCCGTCGG</t>
  </si>
  <si>
    <t xml:space="preserve">AAACCCGACGGCCTGCTGCCCATC</t>
  </si>
  <si>
    <t xml:space="preserve">CGGTGATGCGGGCCACTTCG</t>
  </si>
  <si>
    <t xml:space="preserve">TAGTCGGTGATGCGGGCCACTTCG</t>
  </si>
  <si>
    <t xml:space="preserve">AAACCGAAGTGGCCCGCATCACCG</t>
  </si>
  <si>
    <t xml:space="preserve">CAGGGTCACGGCGTTTACGC</t>
  </si>
  <si>
    <t xml:space="preserve">TAGTCAGGGTCACGGCGTTTACGC</t>
  </si>
  <si>
    <t xml:space="preserve">AAACGCGTAAACGCCGTGACCCTG</t>
  </si>
  <si>
    <t xml:space="preserve">PST_1966</t>
  </si>
  <si>
    <t xml:space="preserve">GATTCGGGGGGTGGGGAGCG</t>
  </si>
  <si>
    <t xml:space="preserve">TAGTGATTCGGGGGGTGGGGAGCG</t>
  </si>
  <si>
    <t xml:space="preserve">AAACCGCTCCCCACCCCCCGAATC</t>
  </si>
  <si>
    <t xml:space="preserve">CACCGGGTTGCCGAGCAGGC</t>
  </si>
  <si>
    <t xml:space="preserve">TAGTCACCGGGTTGCCGAGCAGGC</t>
  </si>
  <si>
    <t xml:space="preserve">AAACGCCTGCTCGGCAACCCGGTG</t>
  </si>
  <si>
    <t xml:space="preserve">TGCACAGGCGCGATTCCTTG</t>
  </si>
  <si>
    <t xml:space="preserve">TAGTTGCACAGGCGCGATTCCTTG</t>
  </si>
  <si>
    <t xml:space="preserve">AAACCAAGGAATCGCGCCTGTGCA</t>
  </si>
  <si>
    <t xml:space="preserve">ATGGCCACTTCCGGGCAGAC</t>
  </si>
  <si>
    <t xml:space="preserve">TAGTATGGCCACTTCCGGGCAGAC</t>
  </si>
  <si>
    <t xml:space="preserve">AAACGTCTGCCCGGAAGTGGCCAT</t>
  </si>
  <si>
    <t xml:space="preserve">PST_1967</t>
  </si>
  <si>
    <t xml:space="preserve">GCCGGTGAGCAAGATGTTCA</t>
  </si>
  <si>
    <t xml:space="preserve">TAGTGCCGGTGAGCAAGATGTTCA</t>
  </si>
  <si>
    <t xml:space="preserve">AAACTGAACATCTTGCTCACCGGC</t>
  </si>
  <si>
    <t xml:space="preserve">CAGCGCGCGCCCGATCAACC</t>
  </si>
  <si>
    <t xml:space="preserve">TAGTCAGCGCGCGCCCGATCAACC</t>
  </si>
  <si>
    <t xml:space="preserve">AAACGGTTGATCGGGCGCGCGCTG</t>
  </si>
  <si>
    <t xml:space="preserve">GACCCAGAGTCGATGCCCGT</t>
  </si>
  <si>
    <t xml:space="preserve">TAGTGACCCAGAGTCGATGCCCGT</t>
  </si>
  <si>
    <t xml:space="preserve">AAACACGGGCATCGACTCTGGGTC</t>
  </si>
  <si>
    <t xml:space="preserve">GCGCCACACGCTGCGGTGAG</t>
  </si>
  <si>
    <t xml:space="preserve">TAGTGCGCCACACGCTGCGGTGAG</t>
  </si>
  <si>
    <t xml:space="preserve">AAACCTCACCGCAGCGTGTGGCGC</t>
  </si>
  <si>
    <t xml:space="preserve">PST_1968</t>
  </si>
  <si>
    <t xml:space="preserve">hemH</t>
  </si>
  <si>
    <t xml:space="preserve">TCGGCGACTTCCGTGGAGGC</t>
  </si>
  <si>
    <t xml:space="preserve">TAGTTCGGCGACTTCCGTGGAGGC</t>
  </si>
  <si>
    <t xml:space="preserve">AAACGCCTCCACGGAAGTCGCCGA</t>
  </si>
  <si>
    <t xml:space="preserve">TCAGGAACTGGTTGAGGTAG</t>
  </si>
  <si>
    <t xml:space="preserve">TAGTTCAGGAACTGGTTGAGGTAG</t>
  </si>
  <si>
    <t xml:space="preserve">AAACCTACCTCAACCAGTTCCTGA</t>
  </si>
  <si>
    <t xml:space="preserve">ACGGCAGATCGACCACGTAC</t>
  </si>
  <si>
    <t xml:space="preserve">TAGTACGGCAGATCGACCACGTAC</t>
  </si>
  <si>
    <t xml:space="preserve">AAACGTACGTGGTCGATCTGCCGT</t>
  </si>
  <si>
    <t xml:space="preserve">ACTGCTCGGGCCGCTTGATC</t>
  </si>
  <si>
    <t xml:space="preserve">TAGTACTGCTCGGGCCGCTTGATC</t>
  </si>
  <si>
    <t xml:space="preserve">AAACGATCAAGCGGCCCGAGCAGT</t>
  </si>
  <si>
    <t xml:space="preserve">PST_1969</t>
  </si>
  <si>
    <t xml:space="preserve">GTTTTCTACGACGGCATCGA</t>
  </si>
  <si>
    <t xml:space="preserve">TAGTGTTTTCTACGACGGCATCGA</t>
  </si>
  <si>
    <t xml:space="preserve">AAACTCGATGCCGTCGTAGAAAAC</t>
  </si>
  <si>
    <t xml:space="preserve">GTTCCAGCTGCGGGTGGTAA</t>
  </si>
  <si>
    <t xml:space="preserve">TAGTGTTCCAGCTGCGGGTGGTAA</t>
  </si>
  <si>
    <t xml:space="preserve">AAACTTACCACCCGCAGCTGGAAC</t>
  </si>
  <si>
    <t xml:space="preserve">TCGCGGAGCGTTGTCCGCTG</t>
  </si>
  <si>
    <t xml:space="preserve">TAGTTCGCGGAGCGTTGTCCGCTG</t>
  </si>
  <si>
    <t xml:space="preserve">AAACCAGCGGACAACGCTCCGCGA</t>
  </si>
  <si>
    <t xml:space="preserve">GGCGCTGCCGAACCAGAGGC</t>
  </si>
  <si>
    <t xml:space="preserve">TAGTGGCGCTGCCGAACCAGAGGC</t>
  </si>
  <si>
    <t xml:space="preserve">AAACGCCTCTGGTTCGGCAGCGCC</t>
  </si>
  <si>
    <t xml:space="preserve">PST_1970</t>
  </si>
  <si>
    <t xml:space="preserve">GATAACCAGTTGCAACAGCT</t>
  </si>
  <si>
    <t xml:space="preserve">TAGTGATAACCAGTTGCAACAGCT</t>
  </si>
  <si>
    <t xml:space="preserve">AAACAGCTGTTGCAACTGGTTATC</t>
  </si>
  <si>
    <t xml:space="preserve">GACCACGATTCCGTCGTTGG</t>
  </si>
  <si>
    <t xml:space="preserve">TAGTGACCACGATTCCGTCGTTGG</t>
  </si>
  <si>
    <t xml:space="preserve">AAACCCAACGACGGAATCGTGGTC</t>
  </si>
  <si>
    <t xml:space="preserve">CAGTCGCTCGAATGCCGGGT</t>
  </si>
  <si>
    <t xml:space="preserve">TAGTCAGTCGCTCGAATGCCGGGT</t>
  </si>
  <si>
    <t xml:space="preserve">AAACACCCGGCATTCGAGCGACTG</t>
  </si>
  <si>
    <t xml:space="preserve">GATGTCGTCGACCGCGTAAC</t>
  </si>
  <si>
    <t xml:space="preserve">TAGTGATGTCGTCGACCGCGTAAC</t>
  </si>
  <si>
    <t xml:space="preserve">AAACGTTACGCGGTCGACGACATC</t>
  </si>
  <si>
    <t xml:space="preserve">PST_1971</t>
  </si>
  <si>
    <t xml:space="preserve">CAGCAGCAGGCATAGCGTCA</t>
  </si>
  <si>
    <t xml:space="preserve">TAGTCAGCAGCAGGCATAGCGTCA</t>
  </si>
  <si>
    <t xml:space="preserve">AAACTGACGCTATGCCTGCTGCTG</t>
  </si>
  <si>
    <t xml:space="preserve">CCAGACGGGGTTCCTCATTG</t>
  </si>
  <si>
    <t xml:space="preserve">TAGTCCAGACGGGGTTCCTCATTG</t>
  </si>
  <si>
    <t xml:space="preserve">AAACCAATGAGGAACCCCGTCTGG</t>
  </si>
  <si>
    <t xml:space="preserve">TGCCAACGAAATAGTCCCTC</t>
  </si>
  <si>
    <t xml:space="preserve">TAGTTGCCAACGAAATAGTCCCTC</t>
  </si>
  <si>
    <t xml:space="preserve">AAACGAGGGACTATTTCGTTGGCA</t>
  </si>
  <si>
    <t xml:space="preserve">GCGCTTCTGGAACATGCCCC</t>
  </si>
  <si>
    <t xml:space="preserve">TAGTGCGCTTCTGGAACATGCCCC</t>
  </si>
  <si>
    <t xml:space="preserve">AAACGGGGCATGTTCCAGAAGCGC</t>
  </si>
  <si>
    <t xml:space="preserve">PST_1972</t>
  </si>
  <si>
    <t xml:space="preserve">GAGCACGCCGTAGGCGGCAA</t>
  </si>
  <si>
    <t xml:space="preserve">TAGTGAGCACGCCGTAGGCGGCAA</t>
  </si>
  <si>
    <t xml:space="preserve">AAACTTGCCGCCTACGGCGTGCTC</t>
  </si>
  <si>
    <t xml:space="preserve">GCATGGCCATTGCCAGCGGC</t>
  </si>
  <si>
    <t xml:space="preserve">TAGTGCATGGCCATTGCCAGCGGC</t>
  </si>
  <si>
    <t xml:space="preserve">AAACGCCGCTGGCAATGGCCATGC</t>
  </si>
  <si>
    <t xml:space="preserve">TTCGGTACCAGCACATAGAT</t>
  </si>
  <si>
    <t xml:space="preserve">TAGTTTCGGTACCAGCACATAGAT</t>
  </si>
  <si>
    <t xml:space="preserve">AAACATCTATGTGCTGGTACCGAA</t>
  </si>
  <si>
    <t xml:space="preserve">GGCCAGACCGAGGCCGAGGT</t>
  </si>
  <si>
    <t xml:space="preserve">TAGTGGCCAGACCGAGGCCGAGGT</t>
  </si>
  <si>
    <t xml:space="preserve">AAACACCTCGGCCTCGGTCTGGCC</t>
  </si>
  <si>
    <t xml:space="preserve">PST_1973</t>
  </si>
  <si>
    <t xml:space="preserve">GACGACACCCCGAGCGTCCA</t>
  </si>
  <si>
    <t xml:space="preserve">TAGTGACGACACCCCGAGCGTCCA</t>
  </si>
  <si>
    <t xml:space="preserve">AAACTGGACGCTCGGGGTGTCGTC</t>
  </si>
  <si>
    <t xml:space="preserve">GGCCCGGCAGCAGGCAAAGC</t>
  </si>
  <si>
    <t xml:space="preserve">TAGTGGCCCGGCAGCAGGCAAAGC</t>
  </si>
  <si>
    <t xml:space="preserve">AAACGCTTTGCCTGCTGCCGGGCC</t>
  </si>
  <si>
    <t xml:space="preserve">CGCGCCAGCTGCCGCTGGCG</t>
  </si>
  <si>
    <t xml:space="preserve">TAGTCGCGCCAGCTGCCGCTGGCG</t>
  </si>
  <si>
    <t xml:space="preserve">AAACCGCCAGCGGCAGCTGGCGCG</t>
  </si>
  <si>
    <t xml:space="preserve">TCGCCAACCAGGCGCGCGTC</t>
  </si>
  <si>
    <t xml:space="preserve">TAGTTCGCCAACCAGGCGCGCGTC</t>
  </si>
  <si>
    <t xml:space="preserve">AAACGACGCGCGCCTGGTTGGCGA</t>
  </si>
  <si>
    <t xml:space="preserve">PST_1974</t>
  </si>
  <si>
    <t xml:space="preserve">GCCATCCCAGGTTCCAGGCG</t>
  </si>
  <si>
    <t xml:space="preserve">TAGTGCCATCCCAGGTTCCAGGCG</t>
  </si>
  <si>
    <t xml:space="preserve">AAACCGCCTGGAACCTGGGATGGC</t>
  </si>
  <si>
    <t xml:space="preserve">TGATGCCGATGTAGGTGCGC</t>
  </si>
  <si>
    <t xml:space="preserve">TAGTTGATGCCGATGTAGGTGCGC</t>
  </si>
  <si>
    <t xml:space="preserve">AAACGCGCACCTACATCGGCATCA</t>
  </si>
  <si>
    <t xml:space="preserve">GATTGATCAGCACATCCTGG</t>
  </si>
  <si>
    <t xml:space="preserve">TAGTGATTGATCAGCACATCCTGG</t>
  </si>
  <si>
    <t xml:space="preserve">AAACCCAGGATGTGCTGATCAATC</t>
  </si>
  <si>
    <t xml:space="preserve">CCGCGTCGAGCGCCGGGTAG</t>
  </si>
  <si>
    <t xml:space="preserve">TAGTCCGCGTCGAGCGCCGGGTAG</t>
  </si>
  <si>
    <t xml:space="preserve">AAACCTACCCGGCGCTCGACGCGG</t>
  </si>
  <si>
    <t xml:space="preserve">PST_1975</t>
  </si>
  <si>
    <t xml:space="preserve">folE-1</t>
  </si>
  <si>
    <t xml:space="preserve">CCTTTCATGAAGGAGGTGAG</t>
  </si>
  <si>
    <t xml:space="preserve">TAGTCCTTTCATGAAGGAGGTGAG</t>
  </si>
  <si>
    <t xml:space="preserve">AAACCTCACCTCCTTCATGAAAGG</t>
  </si>
  <si>
    <t xml:space="preserve">ACCGGGCAGATCGTTCATGG</t>
  </si>
  <si>
    <t xml:space="preserve">TAGTACCGGGCAGATCGTTCATGG</t>
  </si>
  <si>
    <t xml:space="preserve">AAACCCATGAACGATCTGCCCGGT</t>
  </si>
  <si>
    <t xml:space="preserve">CTCGGGGTCTTCGCCGAGGC</t>
  </si>
  <si>
    <t xml:space="preserve">TAGTCTCGGGGTCTTCGCCGAGGC</t>
  </si>
  <si>
    <t xml:space="preserve">AAACGCCTCGGCGAAGACCCCGAG</t>
  </si>
  <si>
    <t xml:space="preserve">ATGGCCTTGGCGGCGCGCGT</t>
  </si>
  <si>
    <t xml:space="preserve">TAGTATGGCCTTGGCGGCGCGCGT</t>
  </si>
  <si>
    <t xml:space="preserve">AAACACGCGCGCCGCCAAGGCCAT</t>
  </si>
  <si>
    <t xml:space="preserve">PST_1976</t>
  </si>
  <si>
    <t xml:space="preserve">TAGAGCGTCAGCGGCAGGTC</t>
  </si>
  <si>
    <t xml:space="preserve">TAGTTAGAGCGTCAGCGGCAGGTC</t>
  </si>
  <si>
    <t xml:space="preserve">AAACGACCTGCCGCTGACGCTCTA</t>
  </si>
  <si>
    <t xml:space="preserve">CTCGCGCGCGCAGAGCGGGC</t>
  </si>
  <si>
    <t xml:space="preserve">TAGTCTCGCGCGCGCAGAGCGGGC</t>
  </si>
  <si>
    <t xml:space="preserve">AAACGCCCGCTCTGCGCGCGCGAG</t>
  </si>
  <si>
    <t xml:space="preserve">CAGCCGCAGCCGCGTCGGAT</t>
  </si>
  <si>
    <t xml:space="preserve">TAGTCAGCCGCAGCCGCGTCGGAT</t>
  </si>
  <si>
    <t xml:space="preserve">AAACATCCGACGCGGCTGCGGCTG</t>
  </si>
  <si>
    <t xml:space="preserve">GATCGACGCCCAGGCCGGCG</t>
  </si>
  <si>
    <t xml:space="preserve">TAGTGATCGACGCCCAGGCCGGCG</t>
  </si>
  <si>
    <t xml:space="preserve">AAACCGCCGGCCTGGGCGTCGATC</t>
  </si>
  <si>
    <t xml:space="preserve">PST_1977</t>
  </si>
  <si>
    <t xml:space="preserve">GCGCCGGAAGGCTCGGTCAT</t>
  </si>
  <si>
    <t xml:space="preserve">TAGTGCGCCGGAAGGCTCGGTCAT</t>
  </si>
  <si>
    <t xml:space="preserve">AAACATGACCGAGCCTTCCGGCGC</t>
  </si>
  <si>
    <t xml:space="preserve">CTCGAAGGCATTCGAGGCGA</t>
  </si>
  <si>
    <t xml:space="preserve">TAGTCTCGAAGGCATTCGAGGCGA</t>
  </si>
  <si>
    <t xml:space="preserve">AAACTCGCCTCGAATGCCTTCGAG</t>
  </si>
  <si>
    <t xml:space="preserve">CAGGCGGGAAACTTCGCGGA</t>
  </si>
  <si>
    <t xml:space="preserve">TAGTCAGGCGGGAAACTTCGCGGA</t>
  </si>
  <si>
    <t xml:space="preserve">AAACTCCGCGAAGTTTCCCGCCTG</t>
  </si>
  <si>
    <t xml:space="preserve">CAGGGTGACCGGGTTGACAC</t>
  </si>
  <si>
    <t xml:space="preserve">TAGTCAGGGTGACCGGGTTGACAC</t>
  </si>
  <si>
    <t xml:space="preserve">AAACGTGTCAACCCGGTCACCCTG</t>
  </si>
  <si>
    <t xml:space="preserve">PST_1978</t>
  </si>
  <si>
    <t xml:space="preserve">pqqF</t>
  </si>
  <si>
    <t xml:space="preserve">AGATGGAACGCTGGGTTTCA</t>
  </si>
  <si>
    <t xml:space="preserve">TAGTAGATGGAACGCTGGGTTTCA</t>
  </si>
  <si>
    <t xml:space="preserve">AAACTGAAACCCAGCGTTCCATCT</t>
  </si>
  <si>
    <t xml:space="preserve">TCGATGGCGCGATGGCGGCA</t>
  </si>
  <si>
    <t xml:space="preserve">TAGTTCGATGGCGCGATGGCGGCA</t>
  </si>
  <si>
    <t xml:space="preserve">AAACTGCCGCCATCGCGCCATCGA</t>
  </si>
  <si>
    <t xml:space="preserve">AAGCCCAGCCGCATGCCGCC</t>
  </si>
  <si>
    <t xml:space="preserve">TAGTAAGCCCAGCCGCATGCCGCC</t>
  </si>
  <si>
    <t xml:space="preserve">AAACGGCGGCATGCGGCTGGGCTT</t>
  </si>
  <si>
    <t xml:space="preserve">GCCGCGGCCTGGCTGCCAGG</t>
  </si>
  <si>
    <t xml:space="preserve">TAGTGCCGCGGCCTGGCTGCCAGG</t>
  </si>
  <si>
    <t xml:space="preserve">AAACCCTGGCAGCCAGGCCGCGGC</t>
  </si>
  <si>
    <t xml:space="preserve">PST_1979</t>
  </si>
  <si>
    <t xml:space="preserve">CAGTGGCAGCAGGGTTGATA</t>
  </si>
  <si>
    <t xml:space="preserve">TAGTCAGTGGCAGCAGGGTTGATA</t>
  </si>
  <si>
    <t xml:space="preserve">AAACTATCAACCCTGCTGCCACTG</t>
  </si>
  <si>
    <t xml:space="preserve">CATGGCAACAGCACTGGCCA</t>
  </si>
  <si>
    <t xml:space="preserve">TAGTCATGGCAACAGCACTGGCCA</t>
  </si>
  <si>
    <t xml:space="preserve">AAACTGGCCAGTGCTGTTGCCATG</t>
  </si>
  <si>
    <t xml:space="preserve">AGCCATGGCCGACTGGCTCA</t>
  </si>
  <si>
    <t xml:space="preserve">TAGTAGCCATGGCCGACTGGCTCA</t>
  </si>
  <si>
    <t xml:space="preserve">AAACTGAGCCAGTCGGCCATGGCT</t>
  </si>
  <si>
    <t xml:space="preserve">ATAACCATCGGTGGAGAAAG</t>
  </si>
  <si>
    <t xml:space="preserve">TAGTATAACCATCGGTGGAGAAAG</t>
  </si>
  <si>
    <t xml:space="preserve">AAACCTTTCTCCACCGATGGTTAT</t>
  </si>
  <si>
    <t xml:space="preserve">PST_1980</t>
  </si>
  <si>
    <t xml:space="preserve">CGTTTCGGCCAGCCGTGCAT</t>
  </si>
  <si>
    <t xml:space="preserve">TAGTCGTTTCGGCCAGCCGTGCAT</t>
  </si>
  <si>
    <t xml:space="preserve">AAACATGCACGGCTGGCCGAAACG</t>
  </si>
  <si>
    <t xml:space="preserve">ATGCGGATGCATCAGCTGTC</t>
  </si>
  <si>
    <t xml:space="preserve">TAGTATGCGGATGCATCAGCTGTC</t>
  </si>
  <si>
    <t xml:space="preserve">AAACGACAGCTGATGCATCCGCAT</t>
  </si>
  <si>
    <t xml:space="preserve">CAGCGCGGGCAGGTCGTATT</t>
  </si>
  <si>
    <t xml:space="preserve">TAGTCAGCGCGGGCAGGTCGTATT</t>
  </si>
  <si>
    <t xml:space="preserve">AAACAATACGACCTGCCCGCGCTG</t>
  </si>
  <si>
    <t xml:space="preserve">CAGCCGAGGTGCAGCCCACC</t>
  </si>
  <si>
    <t xml:space="preserve">TAGTCAGCCGAGGTGCAGCCCACC</t>
  </si>
  <si>
    <t xml:space="preserve">AAACGGTGGGCTGCACCTCGGCTG</t>
  </si>
  <si>
    <t xml:space="preserve">PST_1981</t>
  </si>
  <si>
    <t xml:space="preserve">GTGGTTCTCCCGTTCGAGTT</t>
  </si>
  <si>
    <t xml:space="preserve">TAGTGTGGTTCTCCCGTTCGAGTT</t>
  </si>
  <si>
    <t xml:space="preserve">AAACAACTCGAACGGGAGAACCAC</t>
  </si>
  <si>
    <t xml:space="preserve">GGCATCGCGGCCGGCACCGC</t>
  </si>
  <si>
    <t xml:space="preserve">TAGTGGCATCGCGGCCGGCACCGC</t>
  </si>
  <si>
    <t xml:space="preserve">AAACGCGGTGCCGGCCGCGATGCC</t>
  </si>
  <si>
    <t xml:space="preserve">GTGCTGGAAGGCCGCGTAGG</t>
  </si>
  <si>
    <t xml:space="preserve">TAGTGTGCTGGAAGGCCGCGTAGG</t>
  </si>
  <si>
    <t xml:space="preserve">AAACCCTACGCGGCCTTCCAGCAC</t>
  </si>
  <si>
    <t xml:space="preserve">GGTGCGCTCGCGCACCTGCT</t>
  </si>
  <si>
    <t xml:space="preserve">TAGTGGTGCGCTCGCGCACCTGCT</t>
  </si>
  <si>
    <t xml:space="preserve">AAACAGCAGGTGCGCGAGCGCACC</t>
  </si>
  <si>
    <t xml:space="preserve">PST_1982</t>
  </si>
  <si>
    <t xml:space="preserve">CATACCAGCGGTCATGCCAC</t>
  </si>
  <si>
    <t xml:space="preserve">TAGTCATACCAGCGGTCATGCCAC</t>
  </si>
  <si>
    <t xml:space="preserve">AAACGTGGCATGACCGCTGGTATG</t>
  </si>
  <si>
    <t xml:space="preserve">CGCGCTCGAATCTTCCGTCG</t>
  </si>
  <si>
    <t xml:space="preserve">TAGTCGCGCTCGAATCTTCCGTCG</t>
  </si>
  <si>
    <t xml:space="preserve">AAACCGACGGAAGATTCGAGCGCG</t>
  </si>
  <si>
    <t xml:space="preserve">CGTGATCCAGTCATGGCGCT</t>
  </si>
  <si>
    <t xml:space="preserve">TAGTCGTGATCCAGTCATGGCGCT</t>
  </si>
  <si>
    <t xml:space="preserve">AAACAGCGCCATGACTGGATCACG</t>
  </si>
  <si>
    <t xml:space="preserve">TTGGGGCCCGGTGAACCGTC</t>
  </si>
  <si>
    <t xml:space="preserve">TAGTTTGGGGCCCGGTGAACCGTC</t>
  </si>
  <si>
    <t xml:space="preserve">AAACGACGGTTCACCGGGCCCCAA</t>
  </si>
  <si>
    <t xml:space="preserve">PST_1983</t>
  </si>
  <si>
    <t xml:space="preserve">GGTGAATCCGGCCAGCTCTT</t>
  </si>
  <si>
    <t xml:space="preserve">TAGTGGTGAATCCGGCCAGCTCTT</t>
  </si>
  <si>
    <t xml:space="preserve">AAACAAGAGCTGGCCGGATTCACC</t>
  </si>
  <si>
    <t xml:space="preserve">CACCCGCTCGCGTACCGCTT</t>
  </si>
  <si>
    <t xml:space="preserve">TAGTCACCCGCTCGCGTACCGCTT</t>
  </si>
  <si>
    <t xml:space="preserve">AAACAAGCGGTACGCGAGCGGGTG</t>
  </si>
  <si>
    <t xml:space="preserve">TCCAGGTCGACAGCCGTCTT</t>
  </si>
  <si>
    <t xml:space="preserve">TAGTTCCAGGTCGACAGCCGTCTT</t>
  </si>
  <si>
    <t xml:space="preserve">AAACAAGACGGCTGTCGACCTGGA</t>
  </si>
  <si>
    <t xml:space="preserve">CGTTTCTTGCCTGCGTAGCT</t>
  </si>
  <si>
    <t xml:space="preserve">TAGTCGTTTCTTGCCTGCGTAGCT</t>
  </si>
  <si>
    <t xml:space="preserve">AAACAGCTACGCAGGCAAGAAACG</t>
  </si>
  <si>
    <t xml:space="preserve">PST_1984</t>
  </si>
  <si>
    <t xml:space="preserve">AGCTGTTGCAGCGCCAGGCA</t>
  </si>
  <si>
    <t xml:space="preserve">TAGTAGCTGTTGCAGCGCCAGGCA</t>
  </si>
  <si>
    <t xml:space="preserve">AAACTGCCTGGCGCTGCAACAGCT</t>
  </si>
  <si>
    <t xml:space="preserve">TGCCTGAACGTCCTCTTGCA</t>
  </si>
  <si>
    <t xml:space="preserve">TAGTTGCCTGAACGTCCTCTTGCA</t>
  </si>
  <si>
    <t xml:space="preserve">AAACTGCAAGAGGACGTTCAGGCA</t>
  </si>
  <si>
    <t xml:space="preserve">CTGGACGCGCGGCGGCACGA</t>
  </si>
  <si>
    <t xml:space="preserve">TAGTCTGGACGCGCGGCGGCACGA</t>
  </si>
  <si>
    <t xml:space="preserve">AAACTCGTGCCGCCGCGCGTCCAG</t>
  </si>
  <si>
    <t xml:space="preserve">CAGGTCAGCTCGACGAAGCC</t>
  </si>
  <si>
    <t xml:space="preserve">TAGTCAGGTCAGCTCGACGAAGCC</t>
  </si>
  <si>
    <t xml:space="preserve">AAACGGCTTCGTCGAGCTGACCTG</t>
  </si>
  <si>
    <t xml:space="preserve">PST_1985</t>
  </si>
  <si>
    <t xml:space="preserve">CTGGCGGCTGATGATGAGCA</t>
  </si>
  <si>
    <t xml:space="preserve">TAGTCTGGCGGCTGATGATGAGCA</t>
  </si>
  <si>
    <t xml:space="preserve">AAACTGCTCATCATCAGCCGCCAG</t>
  </si>
  <si>
    <t xml:space="preserve">CGGGCGGATGGGCCGGACCA</t>
  </si>
  <si>
    <t xml:space="preserve">TAGTCGGGCGGATGGGCCGGACCA</t>
  </si>
  <si>
    <t xml:space="preserve">AAACTGGTCCGGCCCATCCGCCCG</t>
  </si>
  <si>
    <t xml:space="preserve">CAGCCCCAGCGGTAGCTCGA</t>
  </si>
  <si>
    <t xml:space="preserve">TAGTCAGCCCCAGCGGTAGCTCGA</t>
  </si>
  <si>
    <t xml:space="preserve">AAACTCGAGCTACCGCTGGGGCTG</t>
  </si>
  <si>
    <t xml:space="preserve">CCAGCTGCGCGGGGGCGAGC</t>
  </si>
  <si>
    <t xml:space="preserve">TAGTCCAGCTGCGCGGGGGCGAGC</t>
  </si>
  <si>
    <t xml:space="preserve">AAACGCTCGCCCCCGCGCAGCTGG</t>
  </si>
  <si>
    <t xml:space="preserve">PST_1986</t>
  </si>
  <si>
    <t xml:space="preserve">GATTCCGTCTACCGTCAGCC</t>
  </si>
  <si>
    <t xml:space="preserve">TAGTGATTCCGTCTACCGTCAGCC</t>
  </si>
  <si>
    <t xml:space="preserve">AAACGGCTGACGGTAGACGGAATC</t>
  </si>
  <si>
    <t xml:space="preserve">CGGTACCGGGCCTGGCTGTC</t>
  </si>
  <si>
    <t xml:space="preserve">TAGTCGGTACCGGGCCTGGCTGTC</t>
  </si>
  <si>
    <t xml:space="preserve">AAACGACAGCCAGGCCCGGTACCG</t>
  </si>
  <si>
    <t xml:space="preserve">AGATTGGCCGGCTTTCTGCC</t>
  </si>
  <si>
    <t xml:space="preserve">TAGTAGATTGGCCGGCTTTCTGCC</t>
  </si>
  <si>
    <t xml:space="preserve">AAACGGCAGAAAGCCGGCCAATCT</t>
  </si>
  <si>
    <t xml:space="preserve">TGCTCGGGTCTTCGCCCCTC</t>
  </si>
  <si>
    <t xml:space="preserve">TAGTTGCTCGGGTCTTCGCCCCTC</t>
  </si>
  <si>
    <t xml:space="preserve">AAACGAGGGGCGAAGACCCGAGCA</t>
  </si>
  <si>
    <t xml:space="preserve">PST_1987</t>
  </si>
  <si>
    <t xml:space="preserve">CCGACATAGGCCAGCGACAG</t>
  </si>
  <si>
    <t xml:space="preserve">TAGTCCGACATAGGCCAGCGACAG</t>
  </si>
  <si>
    <t xml:space="preserve">AAACCTGTCGCTGGCCTATGTCGG</t>
  </si>
  <si>
    <t xml:space="preserve">ACATCGGGACGAACTGCGCC</t>
  </si>
  <si>
    <t xml:space="preserve">TAGTACATCGGGACGAACTGCGCC</t>
  </si>
  <si>
    <t xml:space="preserve">AAACGGCGCAGTTCGTCCCGATGT</t>
  </si>
  <si>
    <t xml:space="preserve">GTAGCGATCGATCAGGTCGC</t>
  </si>
  <si>
    <t xml:space="preserve">TAGTGTAGCGATCGATCAGGTCGC</t>
  </si>
  <si>
    <t xml:space="preserve">AAACGCGACCTGATCGATCGCTAC</t>
  </si>
  <si>
    <t xml:space="preserve">CGAGCGCCCAGCTCAGGGCG</t>
  </si>
  <si>
    <t xml:space="preserve">TAGTCGAGCGCCCAGCTCAGGGCG</t>
  </si>
  <si>
    <t xml:space="preserve">AAACCGCCCTGAGCTGGGCGCTCG</t>
  </si>
  <si>
    <t xml:space="preserve">PST_1988</t>
  </si>
  <si>
    <t xml:space="preserve">CGCGTATTCGTGTTCGTGCA</t>
  </si>
  <si>
    <t xml:space="preserve">TAGTCGCGTATTCGTGTTCGTGCA</t>
  </si>
  <si>
    <t xml:space="preserve">AAACTGCACGAACACGAATACGCG</t>
  </si>
  <si>
    <t xml:space="preserve">CACGCTGTTCGACCTGCGTG</t>
  </si>
  <si>
    <t xml:space="preserve">TAGTCACGCTGTTCGACCTGCGTG</t>
  </si>
  <si>
    <t xml:space="preserve">AAACCACGCAGGTCGAACAGCGTG</t>
  </si>
  <si>
    <t xml:space="preserve">GCAGCCCGTAGGTGTTGCGC</t>
  </si>
  <si>
    <t xml:space="preserve">TAGTGCAGCCCGTAGGTGTTGCGC</t>
  </si>
  <si>
    <t xml:space="preserve">AAACGCGCAACACCTACGGGCTGC</t>
  </si>
  <si>
    <t xml:space="preserve">GCCGCTGAACGCGAGCGTCA</t>
  </si>
  <si>
    <t xml:space="preserve">TAGTGCCGCTGAACGCGAGCGTCA</t>
  </si>
  <si>
    <t xml:space="preserve">AAACTGACGCTCGCGTTCAGCGGC</t>
  </si>
  <si>
    <t xml:space="preserve">PST_1990</t>
  </si>
  <si>
    <t xml:space="preserve">CGGCTGTCTGAATCGTTTCA</t>
  </si>
  <si>
    <t xml:space="preserve">TAGTCGGCTGTCTGAATCGTTTCA</t>
  </si>
  <si>
    <t xml:space="preserve">AAACTGAAACGATTCAGACAGCCG</t>
  </si>
  <si>
    <t xml:space="preserve">TGGACCAGAGCGAAGGCCTC</t>
  </si>
  <si>
    <t xml:space="preserve">TAGTTGGACCAGAGCGAAGGCCTC</t>
  </si>
  <si>
    <t xml:space="preserve">AAACGAGGCCTTCGCTCTGGTCCA</t>
  </si>
  <si>
    <t xml:space="preserve">CCAGCGGTTCGTAGTGTTGC</t>
  </si>
  <si>
    <t xml:space="preserve">TAGTCCAGCGGTTCGTAGTGTTGC</t>
  </si>
  <si>
    <t xml:space="preserve">AAACGCAACACTACGAACCGCTGG</t>
  </si>
  <si>
    <t xml:space="preserve">AACATCACGCGCACCGTAGT</t>
  </si>
  <si>
    <t xml:space="preserve">TAGTAACATCACGCGCACCGTAGT</t>
  </si>
  <si>
    <t xml:space="preserve">AAACACTACGGTGCGCGTGATGTT</t>
  </si>
  <si>
    <t xml:space="preserve">PST_1991</t>
  </si>
  <si>
    <t xml:space="preserve">ttgR</t>
  </si>
  <si>
    <t xml:space="preserve">GTTCGGCGTCTTCTTTGGTA</t>
  </si>
  <si>
    <t xml:space="preserve">TAGTGTTCGGCGTCTTCTTTGGTA</t>
  </si>
  <si>
    <t xml:space="preserve">AAACTACCAAAGAAGACGCCGAAC</t>
  </si>
  <si>
    <t xml:space="preserve">CGCGGCGATGATCTTGAGGC</t>
  </si>
  <si>
    <t xml:space="preserve">TAGTCGCGGCGATGATCTTGAGGC</t>
  </si>
  <si>
    <t xml:space="preserve">AAACGCCTCAAGATCATCGCCGCG</t>
  </si>
  <si>
    <t xml:space="preserve">CTCGGCGATCATCGCCAGGG</t>
  </si>
  <si>
    <t xml:space="preserve">TAGTCTCGGCGATCATCGCCAGGG</t>
  </si>
  <si>
    <t xml:space="preserve">AAACCCCTGGCGATGATCGCCGAG</t>
  </si>
  <si>
    <t xml:space="preserve">CGGGCCACGGCTGAAGCCGG</t>
  </si>
  <si>
    <t xml:space="preserve">TAGTCGGGCCACGGCTGAAGCCGG</t>
  </si>
  <si>
    <t xml:space="preserve">AAACCCGGCTTCAGCCGTGGCCCG</t>
  </si>
  <si>
    <t xml:space="preserve">PST_1992</t>
  </si>
  <si>
    <t xml:space="preserve">TTTCATCATGGTGCCGTGCA</t>
  </si>
  <si>
    <t xml:space="preserve">TAGTTTTCATCATGGTGCCGTGCA</t>
  </si>
  <si>
    <t xml:space="preserve">AAACTGCACGGCACCATGATGAAA</t>
  </si>
  <si>
    <t xml:space="preserve">GGCGGCGAGGGCAATGGCCC</t>
  </si>
  <si>
    <t xml:space="preserve">TAGTGGCGGCGAGGGCAATGGCCC</t>
  </si>
  <si>
    <t xml:space="preserve">AAACGGGCCATTGCCCTCGCCGCC</t>
  </si>
  <si>
    <t xml:space="preserve">CGCCTGGGCCAGCGGGGCGA</t>
  </si>
  <si>
    <t xml:space="preserve">TAGTCGCCTGGGCCAGCGGGGCGA</t>
  </si>
  <si>
    <t xml:space="preserve">AAACTCGCCCCGCTGGCCCAGGCG</t>
  </si>
  <si>
    <t xml:space="preserve">GATGGTCCAGGCCAGGTTGA</t>
  </si>
  <si>
    <t xml:space="preserve">TAGTGATGGTCCAGGCCAGGTTGA</t>
  </si>
  <si>
    <t xml:space="preserve">AAACTCAACCTGGCCTGGACCATC</t>
  </si>
  <si>
    <t xml:space="preserve">PST_1993</t>
  </si>
  <si>
    <t xml:space="preserve">GAGAGGGGAAAGCTGGTCAT</t>
  </si>
  <si>
    <t xml:space="preserve">TAGTGAGAGGGGAAAGCTGGTCAT</t>
  </si>
  <si>
    <t xml:space="preserve">AAACATGACCAGCTTTCCCCTCTC</t>
  </si>
  <si>
    <t xml:space="preserve">CTGTTTCAACTCCTCGACGG</t>
  </si>
  <si>
    <t xml:space="preserve">TAGTCTGTTTCAACTCCTCGACGG</t>
  </si>
  <si>
    <t xml:space="preserve">AAACCCGTCGAGGAGTTGAAACAG</t>
  </si>
  <si>
    <t xml:space="preserve">GCCATGGATGTCGACGTAGC</t>
  </si>
  <si>
    <t xml:space="preserve">TAGTGCCATGGATGTCGACGTAGC</t>
  </si>
  <si>
    <t xml:space="preserve">AAACGCTACGTCGACATCCATGGC</t>
  </si>
  <si>
    <t xml:space="preserve">TCTGGCCGAGATGGGCGATG</t>
  </si>
  <si>
    <t xml:space="preserve">TAGTTCTGGCCGAGATGGGCGATG</t>
  </si>
  <si>
    <t xml:space="preserve">AAACCATCGCCCATCTCGGCCAGA</t>
  </si>
  <si>
    <t xml:space="preserve">PST_1994</t>
  </si>
  <si>
    <t xml:space="preserve">GCAGGCGTTCGCCGTTTTCG</t>
  </si>
  <si>
    <t xml:space="preserve">TAGTGCAGGCGTTCGCCGTTTTCG</t>
  </si>
  <si>
    <t xml:space="preserve">AAACCGAAAACGGCGAACGCCTGC</t>
  </si>
  <si>
    <t xml:space="preserve">AGGTTGTCCCGCGCGCGGTT</t>
  </si>
  <si>
    <t xml:space="preserve">TAGTAGGTTGTCCCGCGCGCGGTT</t>
  </si>
  <si>
    <t xml:space="preserve">AAACAACCGCGCGCGGGACAACCT</t>
  </si>
  <si>
    <t xml:space="preserve">AGTAGCTCGGAATCAGCACC</t>
  </si>
  <si>
    <t xml:space="preserve">TAGTAGTAGCTCGGAATCAGCACC</t>
  </si>
  <si>
    <t xml:space="preserve">AAACGGTGCTGATTCCGAGCTACT</t>
  </si>
  <si>
    <t xml:space="preserve">CATCCGCACCAAGCAGGGGC</t>
  </si>
  <si>
    <t xml:space="preserve">TAGTCATCCGCACCAAGCAGGGGC</t>
  </si>
  <si>
    <t xml:space="preserve">AAACGCCCCTGCTTGGTGCGGATG</t>
  </si>
  <si>
    <t xml:space="preserve">PST_1995</t>
  </si>
  <si>
    <t xml:space="preserve">GGAGGGAATGCTGATCTGTG</t>
  </si>
  <si>
    <t xml:space="preserve">TAGTGGAGGGAATGCTGATCTGTG</t>
  </si>
  <si>
    <t xml:space="preserve">AAACCACAGATCAGCATTCCCTCC</t>
  </si>
  <si>
    <t xml:space="preserve">TTGTTGAGCGGCGGGGGCAG</t>
  </si>
  <si>
    <t xml:space="preserve">TAGTTTGTTGAGCGGCGGGGGCAG</t>
  </si>
  <si>
    <t xml:space="preserve">AAACCTGCCCCCGCCGCTCAACAA</t>
  </si>
  <si>
    <t xml:space="preserve">GGCTCGTGCGACGGGTGCTG</t>
  </si>
  <si>
    <t xml:space="preserve">TAGTGGCTCGTGCGACGGGTGCTG</t>
  </si>
  <si>
    <t xml:space="preserve">AAACCAGCACCCGTCGCACGAGCC</t>
  </si>
  <si>
    <t xml:space="preserve">GCCTCTGCGGACCACCGGTT</t>
  </si>
  <si>
    <t xml:space="preserve">TAGTGCCTCTGCGGACCACCGGTT</t>
  </si>
  <si>
    <t xml:space="preserve">AAACAACCGGTGGTCCGCAGAGGC</t>
  </si>
  <si>
    <t xml:space="preserve">PST_1996</t>
  </si>
  <si>
    <t xml:space="preserve">GCATCGGGAACGGTTTTCAT</t>
  </si>
  <si>
    <t xml:space="preserve">TAGTGCATCGGGAACGGTTTTCAT</t>
  </si>
  <si>
    <t xml:space="preserve">AAACATGAAAACCGTTCCCGATGC</t>
  </si>
  <si>
    <t xml:space="preserve">GCGGCGCCAGACGCCGAGAT</t>
  </si>
  <si>
    <t xml:space="preserve">TAGTGCGGCGCCAGACGCCGAGAT</t>
  </si>
  <si>
    <t xml:space="preserve">AAACATCTCGGCGTCTGGCGCCGC</t>
  </si>
  <si>
    <t xml:space="preserve">GGCCGGCCGTGGTGGTCAGC</t>
  </si>
  <si>
    <t xml:space="preserve">TAGTGGCCGGCCGTGGTGGTCAGC</t>
  </si>
  <si>
    <t xml:space="preserve">AAACGCTGACCACCACGGCCGGCC</t>
  </si>
  <si>
    <t xml:space="preserve">CTTCGCTGGTTTCGTCGCGC</t>
  </si>
  <si>
    <t xml:space="preserve">TAGTCTTCGCTGGTTTCGTCGCGC</t>
  </si>
  <si>
    <t xml:space="preserve">AAACGCGCGACGAAACCAGCGAAG</t>
  </si>
  <si>
    <t xml:space="preserve">PST_1997</t>
  </si>
  <si>
    <t xml:space="preserve">GGAACAGCGGGTTCGTCGTC</t>
  </si>
  <si>
    <t xml:space="preserve">TAGTGGAACAGCGGGTTCGTCGTC</t>
  </si>
  <si>
    <t xml:space="preserve">AAACGACGACGAACCCGCTGTTCC</t>
  </si>
  <si>
    <t xml:space="preserve">CCAGCAGCGCCGTATGCTCG</t>
  </si>
  <si>
    <t xml:space="preserve">TAGTCCAGCAGCGCCGTATGCTCG</t>
  </si>
  <si>
    <t xml:space="preserve">AAACCGAGCATACGGCGCTGCTGG</t>
  </si>
  <si>
    <t xml:space="preserve">GACGTCCATGCCGGCCTGGT</t>
  </si>
  <si>
    <t xml:space="preserve">TAGTGACGTCCATGCCGGCCTGGT</t>
  </si>
  <si>
    <t xml:space="preserve">AAACACCAGGCCGGCATGGACGTC</t>
  </si>
  <si>
    <t xml:space="preserve">CCTCGATCGGTGCGCGCAGG</t>
  </si>
  <si>
    <t xml:space="preserve">TAGTCCTCGATCGGTGCGCGCAGG</t>
  </si>
  <si>
    <t xml:space="preserve">AAACCCTGCGCGCACCGATCGAGG</t>
  </si>
  <si>
    <t xml:space="preserve">PST_1998</t>
  </si>
  <si>
    <t xml:space="preserve">GCTCAGTTGATCCATGTGCA</t>
  </si>
  <si>
    <t xml:space="preserve">TAGTGCTCAGTTGATCCATGTGCA</t>
  </si>
  <si>
    <t xml:space="preserve">AAACTGCACATGGATCAACTGAGC</t>
  </si>
  <si>
    <t xml:space="preserve">CCACGGCGCCTTCGCGCACG</t>
  </si>
  <si>
    <t xml:space="preserve">TAGTCCACGGCGCCTTCGCGCACG</t>
  </si>
  <si>
    <t xml:space="preserve">AAACCGTGCGCGAAGGCGCCGTGG</t>
  </si>
  <si>
    <t xml:space="preserve">TGCTGCTCGGTGGCGCCGCA</t>
  </si>
  <si>
    <t xml:space="preserve">TAGTTGCTGCTCGGTGGCGCCGCA</t>
  </si>
  <si>
    <t xml:space="preserve">AAACTGCGGCGCCACCGAGCAGCA</t>
  </si>
  <si>
    <t xml:space="preserve">AGCAGCGCGTCGGTGCCCAG</t>
  </si>
  <si>
    <t xml:space="preserve">TAGTAGCAGCGCGTCGGTGCCCAG</t>
  </si>
  <si>
    <t xml:space="preserve">AAACCTGGGCACCGACGCGCTGCT</t>
  </si>
  <si>
    <t xml:space="preserve">PST_1999</t>
  </si>
  <si>
    <t xml:space="preserve">CGGGCCGCGAAGAACTGCAG</t>
  </si>
  <si>
    <t xml:space="preserve">TAGTCGGGCCGCGAAGAACTGCAG</t>
  </si>
  <si>
    <t xml:space="preserve">AAACCTGCAGTTCTTCGCGGCCCG</t>
  </si>
  <si>
    <t xml:space="preserve">GCGGCATCCCTGCCAGGCCG</t>
  </si>
  <si>
    <t xml:space="preserve">TAGTGCGGCATCCCTGCCAGGCCG</t>
  </si>
  <si>
    <t xml:space="preserve">AAACCGGCCTGGCAGGGATGCCGC</t>
  </si>
  <si>
    <t xml:space="preserve">CAACAGGCTGAGCAGCGAAT</t>
  </si>
  <si>
    <t xml:space="preserve">TAGTCAACAGGCTGAGCAGCGAAT</t>
  </si>
  <si>
    <t xml:space="preserve">AAACATTCGCTGCTCAGCCTGTTG</t>
  </si>
  <si>
    <t xml:space="preserve">CGGCGCTGCTGCCAGAGCAC</t>
  </si>
  <si>
    <t xml:space="preserve">TAGTCGGCGCTGCTGCCAGAGCAC</t>
  </si>
  <si>
    <t xml:space="preserve">AAACGTGCTCTGGCAGCAGCGCCG</t>
  </si>
  <si>
    <t xml:space="preserve">PST_2000</t>
  </si>
  <si>
    <t xml:space="preserve">AGCGGTCAGCCCGGTAAGGA</t>
  </si>
  <si>
    <t xml:space="preserve">TAGTAGCGGTCAGCCCGGTAAGGA</t>
  </si>
  <si>
    <t xml:space="preserve">AAACTCCTTACCGGGCTGACCGCT</t>
  </si>
  <si>
    <t xml:space="preserve">GCCGATGCCGGTCGCTGCGC</t>
  </si>
  <si>
    <t xml:space="preserve">TAGTGCCGATGCCGGTCGCTGCGC</t>
  </si>
  <si>
    <t xml:space="preserve">AAACGCGCAGCGACCGGCATCGGC</t>
  </si>
  <si>
    <t xml:space="preserve">CCAGCGCGAGTGCGGTGGCA</t>
  </si>
  <si>
    <t xml:space="preserve">TAGTCCAGCGCGAGTGCGGTGGCA</t>
  </si>
  <si>
    <t xml:space="preserve">AAACTGCCACCGCACTCGCGCTGG</t>
  </si>
  <si>
    <t xml:space="preserve">CCAGAGCCGCGCGCCTTCGG</t>
  </si>
  <si>
    <t xml:space="preserve">TAGTCCAGAGCCGCGCGCCTTCGG</t>
  </si>
  <si>
    <t xml:space="preserve">AAACCCGAAGGCGCGCGGCTCTGG</t>
  </si>
  <si>
    <t xml:space="preserve">PST_2001</t>
  </si>
  <si>
    <t xml:space="preserve">CGCCGGTGATGACCACGCAA</t>
  </si>
  <si>
    <t xml:space="preserve">TAGTCGCCGGTGATGACCACGCAA</t>
  </si>
  <si>
    <t xml:space="preserve">AAACTTGCGTGGTCATCACCGGCG</t>
  </si>
  <si>
    <t xml:space="preserve">GCCCCGGCCGATGCCCCCGG</t>
  </si>
  <si>
    <t xml:space="preserve">TAGTGCCCCGGCCGATGCCCCCGG</t>
  </si>
  <si>
    <t xml:space="preserve">AAACCCGGGGGCATCGGCCGGGGC</t>
  </si>
  <si>
    <t xml:space="preserve">CAGCGGCGAAGCTCTGCGCC</t>
  </si>
  <si>
    <t xml:space="preserve">TAGTCAGCGGCGAAGCTCTGCGCC</t>
  </si>
  <si>
    <t xml:space="preserve">AAACGGCGCAGAGCTTCGCCGCTG</t>
  </si>
  <si>
    <t xml:space="preserve">GTCACGGTCCAGCAGCTCCA</t>
  </si>
  <si>
    <t xml:space="preserve">TAGTGTCACGGTCCAGCAGCTCCA</t>
  </si>
  <si>
    <t xml:space="preserve">AAACTGGAGCTGCTGGACCGTGAC</t>
  </si>
  <si>
    <t xml:space="preserve">PST_2002</t>
  </si>
  <si>
    <t xml:space="preserve">GTACAGAGGTTTGGCAGTCA</t>
  </si>
  <si>
    <t xml:space="preserve">TAGTGTACAGAGGTTTGGCAGTCA</t>
  </si>
  <si>
    <t xml:space="preserve">AAACTGACTGCCAAACCTCTGTAC</t>
  </si>
  <si>
    <t xml:space="preserve">GTAGGCGGCCATCGGCGTAA</t>
  </si>
  <si>
    <t xml:space="preserve">TAGTGTAGGCGGCCATCGGCGTAA</t>
  </si>
  <si>
    <t xml:space="preserve">AAACTTACGCCGATGGCCGCCTAC</t>
  </si>
  <si>
    <t xml:space="preserve">TAGAGGATCGCCATCGTGTT</t>
  </si>
  <si>
    <t xml:space="preserve">TAGTTAGAGGATCGCCATCGTGTT</t>
  </si>
  <si>
    <t xml:space="preserve">AAACAACACGATGGCGATCCTCTA</t>
  </si>
  <si>
    <t xml:space="preserve">GCCGCCGCCGTAGGCGAGCG</t>
  </si>
  <si>
    <t xml:space="preserve">TAGTGCCGCCGCCGTAGGCGAGCG</t>
  </si>
  <si>
    <t xml:space="preserve">AAACCGCTCGCCTACGGCGGCGGC</t>
  </si>
  <si>
    <t xml:space="preserve">PST_2003</t>
  </si>
  <si>
    <t xml:space="preserve">CAGCGAGCGCAGTGTGGACA</t>
  </si>
  <si>
    <t xml:space="preserve">TAGTCAGCGAGCGCAGTGTGGACA</t>
  </si>
  <si>
    <t xml:space="preserve">AAACTGTCCACACTGCGCTCGCTG</t>
  </si>
  <si>
    <t xml:space="preserve">AAAACAACGTCGCGACGGCC</t>
  </si>
  <si>
    <t xml:space="preserve">TAGTAAAACAACGTCGCGACGGCC</t>
  </si>
  <si>
    <t xml:space="preserve">AAACGGCCGTCGCGACGTTGTTTT</t>
  </si>
  <si>
    <t xml:space="preserve">TCGGCGGCCTGGCTGGCCAG</t>
  </si>
  <si>
    <t xml:space="preserve">TAGTTCGGCGGCCTGGCTGGCCAG</t>
  </si>
  <si>
    <t xml:space="preserve">AAACCTGGCCAGCCAGGCCGCCGA</t>
  </si>
  <si>
    <t xml:space="preserve">GCCATAGCCGGCCCAGACCA</t>
  </si>
  <si>
    <t xml:space="preserve">TAGTGCCATAGCCGGCCCAGACCA</t>
  </si>
  <si>
    <t xml:space="preserve">AAACTGGTCTGGGCCGGCTATGGC</t>
  </si>
  <si>
    <t xml:space="preserve">PST_2004</t>
  </si>
  <si>
    <t xml:space="preserve">GCGTGGCAGGGTGATACGCA</t>
  </si>
  <si>
    <t xml:space="preserve">TAGTGCGTGGCAGGGTGATACGCA</t>
  </si>
  <si>
    <t xml:space="preserve">AAACTGCGTATCACCCTGCCACGC</t>
  </si>
  <si>
    <t xml:space="preserve">GGATGGAACATGTTGCCCAG</t>
  </si>
  <si>
    <t xml:space="preserve">TAGTGGATGGAACATGTTGCCCAG</t>
  </si>
  <si>
    <t xml:space="preserve">AAACCTGGGCAACATGTTCCATCC</t>
  </si>
  <si>
    <t xml:space="preserve">TCGGCGGTTTCTTCGCTGAG</t>
  </si>
  <si>
    <t xml:space="preserve">TAGTTCGGCGGTTTCTTCGCTGAG</t>
  </si>
  <si>
    <t xml:space="preserve">AAACCTCAGCGAAGAAACCGCCGA</t>
  </si>
  <si>
    <t xml:space="preserve">GTCCCAGGCGGCATTGAGGG</t>
  </si>
  <si>
    <t xml:space="preserve">TAGTGTCCCAGGCGGCATTGAGGG</t>
  </si>
  <si>
    <t xml:space="preserve">AAACCCCTCAATGCCGCCTGGGAC</t>
  </si>
  <si>
    <t xml:space="preserve">PST_2005</t>
  </si>
  <si>
    <t xml:space="preserve">GAGGCGCAGGTCAAAAGTCG</t>
  </si>
  <si>
    <t xml:space="preserve">TAGTGAGGCGCAGGTCAAAAGTCG</t>
  </si>
  <si>
    <t xml:space="preserve">AAACCGACTTTTGACCTGCGCCTC</t>
  </si>
  <si>
    <t xml:space="preserve">AGTGTAGGCGGCGCTCAGGG</t>
  </si>
  <si>
    <t xml:space="preserve">TAGTAGTGTAGGCGGCGCTCAGGG</t>
  </si>
  <si>
    <t xml:space="preserve">AAACCCCTGAGCGCCGCCTACACT</t>
  </si>
  <si>
    <t xml:space="preserve">CTGGCGCGGGGTGGTGTCCC</t>
  </si>
  <si>
    <t xml:space="preserve">TAGTCTGGCGCGGGGTGGTGTCCC</t>
  </si>
  <si>
    <t xml:space="preserve">AAACGGGACACCACCCCGCGCCAG</t>
  </si>
  <si>
    <t xml:space="preserve">TCCCGCAGCCTTGTCGCGCA</t>
  </si>
  <si>
    <t xml:space="preserve">TAGTTCCCGCAGCCTTGTCGCGCA</t>
  </si>
  <si>
    <t xml:space="preserve">AAACTGCGCGACAAGGCTGCGGGA</t>
  </si>
  <si>
    <t xml:space="preserve">PST_2008</t>
  </si>
  <si>
    <t xml:space="preserve">GGTGCAGGCTGCTTTCGGTA</t>
  </si>
  <si>
    <t xml:space="preserve">TAGTGGTGCAGGCTGCTTTCGGTA</t>
  </si>
  <si>
    <t xml:space="preserve">AAACTACCGAAAGCAGCCTGCACC</t>
  </si>
  <si>
    <t xml:space="preserve">GGCGGAACGCGGCGGTTTCG</t>
  </si>
  <si>
    <t xml:space="preserve">TAGTGGCGGAACGCGGCGGTTTCG</t>
  </si>
  <si>
    <t xml:space="preserve">AAACCGAAACCGCCGCGTTCCGCC</t>
  </si>
  <si>
    <t xml:space="preserve">GTTCGCCGGCCGGGATCACA</t>
  </si>
  <si>
    <t xml:space="preserve">TAGTGTTCGCCGGCCGGGATCACA</t>
  </si>
  <si>
    <t xml:space="preserve">AAACTGTGATCCCGGCCGGCGAAC</t>
  </si>
  <si>
    <t xml:space="preserve">GCCTTGACTTCGAACAGGTA</t>
  </si>
  <si>
    <t xml:space="preserve">TAGTGCCTTGACTTCGAACAGGTA</t>
  </si>
  <si>
    <t xml:space="preserve">AAACTACCTGTTCGAAGTCAAGGC</t>
  </si>
  <si>
    <t xml:space="preserve">PST_2009</t>
  </si>
  <si>
    <t xml:space="preserve">TTTCCTCGTACAGCGTGGGA</t>
  </si>
  <si>
    <t xml:space="preserve">TAGTTTTCCTCGTACAGCGTGGGA</t>
  </si>
  <si>
    <t xml:space="preserve">AAACTCCCACGCTGTACGAGGAAA</t>
  </si>
  <si>
    <t xml:space="preserve">GGTGTGGCCGCCGCCAGGAA</t>
  </si>
  <si>
    <t xml:space="preserve">TAGTGGTGTGGCCGCCGCCAGGAA</t>
  </si>
  <si>
    <t xml:space="preserve">AAACTTCCTGGCGGCGGCCACACC</t>
  </si>
  <si>
    <t xml:space="preserve">GCCCCGCTTGAGGACGAAGG</t>
  </si>
  <si>
    <t xml:space="preserve">TAGTGCCCCGCTTGAGGACGAAGG</t>
  </si>
  <si>
    <t xml:space="preserve">AAACCCTTCGTCCTCAAGCGGGGC</t>
  </si>
  <si>
    <t xml:space="preserve">GATCGCTCAGACGCAGCAGT</t>
  </si>
  <si>
    <t xml:space="preserve">TAGTGATCGCTCAGACGCAGCAGT</t>
  </si>
  <si>
    <t xml:space="preserve">AAACACTGCTGCGTCTGAGCGATC</t>
  </si>
  <si>
    <t xml:space="preserve">PST_2010</t>
  </si>
  <si>
    <t xml:space="preserve">GGCGATGGATCCGCCCGCAA</t>
  </si>
  <si>
    <t xml:space="preserve">TAGTGGCGATGGATCCGCCCGCAA</t>
  </si>
  <si>
    <t xml:space="preserve">AAACTTGCGGGCGGATCCATCGCC</t>
  </si>
  <si>
    <t xml:space="preserve">AGGTGCGTCGTGCTCCAGCT</t>
  </si>
  <si>
    <t xml:space="preserve">TAGTAGGTGCGTCGTGCTCCAGCT</t>
  </si>
  <si>
    <t xml:space="preserve">AAACAGCTGGAGCACGACGCACCT</t>
  </si>
  <si>
    <t xml:space="preserve">TCGCCTGCGCTGCGGCTTAT</t>
  </si>
  <si>
    <t xml:space="preserve">TAGTTCGCCTGCGCTGCGGCTTAT</t>
  </si>
  <si>
    <t xml:space="preserve">AAACATAAGCCGCAGCGCAGGCGA</t>
  </si>
  <si>
    <t xml:space="preserve">CCTGACCTGGATGAACGGTC</t>
  </si>
  <si>
    <t xml:space="preserve">TAGTCCTGACCTGGATGAACGGTC</t>
  </si>
  <si>
    <t xml:space="preserve">AAACGACCGTTCATCCAGGTCAGG</t>
  </si>
  <si>
    <t xml:space="preserve">PST_2011</t>
  </si>
  <si>
    <t xml:space="preserve">GTTCGATTGATCAGGCGCAT</t>
  </si>
  <si>
    <t xml:space="preserve">TAGTGTTCGATTGATCAGGCGCAT</t>
  </si>
  <si>
    <t xml:space="preserve">AAACATGCGCCTGATCAATCGAAC</t>
  </si>
  <si>
    <t xml:space="preserve">CCAGAGCAAGCCAGCCGCTG</t>
  </si>
  <si>
    <t xml:space="preserve">TAGTCCAGAGCAAGCCAGCCGCTG</t>
  </si>
  <si>
    <t xml:space="preserve">AAACCAGCGGCTGGCTTGCTCTGG</t>
  </si>
  <si>
    <t xml:space="preserve">CAACAGGGCGAAGGGCAGTA</t>
  </si>
  <si>
    <t xml:space="preserve">TAGTCAACAGGGCGAAGGGCAGTA</t>
  </si>
  <si>
    <t xml:space="preserve">AAACTACTGCCCTTCGCCCTGTTG</t>
  </si>
  <si>
    <t xml:space="preserve">GGCGCTGGGTAGAGCTGGTC</t>
  </si>
  <si>
    <t xml:space="preserve">TAGTGGCGCTGGGTAGAGCTGGTC</t>
  </si>
  <si>
    <t xml:space="preserve">AAACGACCAGCTCTACCCAGCGCC</t>
  </si>
  <si>
    <t xml:space="preserve">PST_2012</t>
  </si>
  <si>
    <t xml:space="preserve">GGCGTAAAGCACCAGCAACA</t>
  </si>
  <si>
    <t xml:space="preserve">TAGTGGCGTAAAGCACCAGCAACA</t>
  </si>
  <si>
    <t xml:space="preserve">AAACTGTTGCTGGTGCTTTACGCC</t>
  </si>
  <si>
    <t xml:space="preserve">TGCGCTCTGCTCCAACTGCA</t>
  </si>
  <si>
    <t xml:space="preserve">TAGTTGCGCTCTGCTCCAACTGCA</t>
  </si>
  <si>
    <t xml:space="preserve">AAACTGCAGTTGGAGCAGAGCGCA</t>
  </si>
  <si>
    <t xml:space="preserve">CTGGGCGGCACTGCGTGCAT</t>
  </si>
  <si>
    <t xml:space="preserve">TAGTCTGGGCGGCACTGCGTGCAT</t>
  </si>
  <si>
    <t xml:space="preserve">AAACATGCACGCAGTGCCGCCCAG</t>
  </si>
  <si>
    <t xml:space="preserve">CAATGCCGCGTCATTCGGCC</t>
  </si>
  <si>
    <t xml:space="preserve">TAGTCAATGCCGCGTCATTCGGCC</t>
  </si>
  <si>
    <t xml:space="preserve">AAACGGCCGAATGACGCGGCATTG</t>
  </si>
  <si>
    <t xml:space="preserve">PST_2013</t>
  </si>
  <si>
    <t xml:space="preserve">mttC</t>
  </si>
  <si>
    <t xml:space="preserve">AGGCGAACGAGCGGTGAGTC</t>
  </si>
  <si>
    <t xml:space="preserve">TAGTAGGCGAACGAGCGGTGAGTC</t>
  </si>
  <si>
    <t xml:space="preserve">AAACGACTCACCGCTCGTTCGCCT</t>
  </si>
  <si>
    <t xml:space="preserve">CACCACCGCGGAGGGGGCGG</t>
  </si>
  <si>
    <t xml:space="preserve">TAGTCACCACCGCGGAGGGGGCGG</t>
  </si>
  <si>
    <t xml:space="preserve">AAACCCGCCCCCTCCGCGGTGGTG</t>
  </si>
  <si>
    <t xml:space="preserve">CTGCGTCACACCGGCGGCTC</t>
  </si>
  <si>
    <t xml:space="preserve">TAGTCTGCGTCACACCGGCGGCTC</t>
  </si>
  <si>
    <t xml:space="preserve">AAACGAGCCGCCGGTGTGACGCAG</t>
  </si>
  <si>
    <t xml:space="preserve">GGGCGGCTTCGCTTTCCGCG</t>
  </si>
  <si>
    <t xml:space="preserve">TAGTGGGCGGCTTCGCTTTCCGCG</t>
  </si>
  <si>
    <t xml:space="preserve">AAACCGCGGAAAGCGAAGCCGCCC</t>
  </si>
  <si>
    <t xml:space="preserve">PST_2014</t>
  </si>
  <si>
    <t xml:space="preserve">AGCAACAGACAGAGCAGAAG</t>
  </si>
  <si>
    <t xml:space="preserve">TAGTAGCAACAGACAGAGCAGAAG</t>
  </si>
  <si>
    <t xml:space="preserve">AAACCTTCTGCTCTGTCTGTTGCT</t>
  </si>
  <si>
    <t xml:space="preserve">ATGCGGGCGCTTGCCGTGAG</t>
  </si>
  <si>
    <t xml:space="preserve">TAGTATGCGGGCGCTTGCCGTGAG</t>
  </si>
  <si>
    <t xml:space="preserve">AAACCTCACGGCAAGCGCCCGCAT</t>
  </si>
  <si>
    <t xml:space="preserve">CGATTGCCAGGCCTCCGGTC</t>
  </si>
  <si>
    <t xml:space="preserve">TAGTCGATTGCCAGGCCTCCGGTC</t>
  </si>
  <si>
    <t xml:space="preserve">AAACGACCGGAGGCCTGGCAATCG</t>
  </si>
  <si>
    <t xml:space="preserve">CACGCCGCTGCGGCGGATTT</t>
  </si>
  <si>
    <t xml:space="preserve">TAGTCACGCCGCTGCGGCGGATTT</t>
  </si>
  <si>
    <t xml:space="preserve">AAACAAATCCGCCGCAGCGGCGTG</t>
  </si>
  <si>
    <t xml:space="preserve">PST_2015</t>
  </si>
  <si>
    <t xml:space="preserve">lipH</t>
  </si>
  <si>
    <t xml:space="preserve">CAGAAGGATGGATCCGCTCA</t>
  </si>
  <si>
    <t xml:space="preserve">TAGTCAGAAGGATGGATCCGCTCA</t>
  </si>
  <si>
    <t xml:space="preserve">AAACTGAGCGGATCCATCCTTCTG</t>
  </si>
  <si>
    <t xml:space="preserve">GCCGGGCGATAAAGAAGCCC</t>
  </si>
  <si>
    <t xml:space="preserve">TAGTGCCGGGCGATAAAGAAGCCC</t>
  </si>
  <si>
    <t xml:space="preserve">AAACGGGCTTCTTTATCGCCCGGC</t>
  </si>
  <si>
    <t xml:space="preserve">ACCGGCGTCACGGTGGATTC</t>
  </si>
  <si>
    <t xml:space="preserve">TAGTACCGGCGTCACGGTGGATTC</t>
  </si>
  <si>
    <t xml:space="preserve">AAACGAATCCACCGTGACGCCGGT</t>
  </si>
  <si>
    <t xml:space="preserve">TTGGCGGCGGGAGACGATGT</t>
  </si>
  <si>
    <t xml:space="preserve">TAGTTTGGCGGCGGGAGACGATGT</t>
  </si>
  <si>
    <t xml:space="preserve">AAACACATCGTCTCCCGCCGCCAA</t>
  </si>
  <si>
    <t xml:space="preserve">PST_2016</t>
  </si>
  <si>
    <t xml:space="preserve">lipC</t>
  </si>
  <si>
    <t xml:space="preserve">CAAGGTTTTGTTCTTGTTCA</t>
  </si>
  <si>
    <t xml:space="preserve">TAGTCAAGGTTTTGTTCTTGTTCA</t>
  </si>
  <si>
    <t xml:space="preserve">AAACTGAACAAGAACAAAACCTTG</t>
  </si>
  <si>
    <t xml:space="preserve">CAGGGCGCTTCCGAGACAGA</t>
  </si>
  <si>
    <t xml:space="preserve">TAGTCAGGGCGCTTCCGAGACAGA</t>
  </si>
  <si>
    <t xml:space="preserve">AAACTCTGTCTCGGAAGCGCCCTG</t>
  </si>
  <si>
    <t xml:space="preserve">GGTGGCAGCGAATGCCTGAC</t>
  </si>
  <si>
    <t xml:space="preserve">TAGTGGTGGCAGCGAATGCCTGAC</t>
  </si>
  <si>
    <t xml:space="preserve">AAACGTCAGGCATTCGCTGCCACC</t>
  </si>
  <si>
    <t xml:space="preserve">CGTGGCGGTGTAGCCGCTGC</t>
  </si>
  <si>
    <t xml:space="preserve">TAGTCGTGGCGGTGTAGCCGCTGC</t>
  </si>
  <si>
    <t xml:space="preserve">AAACGCAGCGGCTACACCGCCACG</t>
  </si>
  <si>
    <t xml:space="preserve">PST_2017</t>
  </si>
  <si>
    <t xml:space="preserve">greB</t>
  </si>
  <si>
    <t xml:space="preserve">CCGGGCGGGGTGGGCGATAA</t>
  </si>
  <si>
    <t xml:space="preserve">TAGTCCGGGCGGGGTGGGCGATAA</t>
  </si>
  <si>
    <t xml:space="preserve">AAACTTATCGCCCACCCCGCCCGG</t>
  </si>
  <si>
    <t xml:space="preserve">TGGTGTGATCAGCGGCGTGC</t>
  </si>
  <si>
    <t xml:space="preserve">TAGTTGGTGTGATCAGCGGCGTGC</t>
  </si>
  <si>
    <t xml:space="preserve">AAACGCACGCCGCTGATCACACCA</t>
  </si>
  <si>
    <t xml:space="preserve">CGTGCAATTCGGCGCGCAGC</t>
  </si>
  <si>
    <t xml:space="preserve">TAGTCGTGCAATTCGGCGCGCAGC</t>
  </si>
  <si>
    <t xml:space="preserve">AAACGCTGCGCGCCGAATTGCACG</t>
  </si>
  <si>
    <t xml:space="preserve">CTGACCGACTGGGTAACCTG</t>
  </si>
  <si>
    <t xml:space="preserve">TAGTCTGACCGACTGGGTAACCTG</t>
  </si>
  <si>
    <t xml:space="preserve">AAACCAGGTTACCCAGTCGGTCAG</t>
  </si>
  <si>
    <t xml:space="preserve">PST_2018</t>
  </si>
  <si>
    <t xml:space="preserve">CGAACAGGCGCGCCTTGGGT</t>
  </si>
  <si>
    <t xml:space="preserve">TAGTCGAACAGGCGCGCCTTGGGT</t>
  </si>
  <si>
    <t xml:space="preserve">AAACACCCAAGGCGCGCCTGTTCG</t>
  </si>
  <si>
    <t xml:space="preserve">GAGCGTCGCGCAGCAACTGC</t>
  </si>
  <si>
    <t xml:space="preserve">TAGTGAGCGTCGCGCAGCAACTGC</t>
  </si>
  <si>
    <t xml:space="preserve">AAACGCAGTTGCTGCGCGACGCTC</t>
  </si>
  <si>
    <t xml:space="preserve">AAACAGCACGCGCAACTCGC</t>
  </si>
  <si>
    <t xml:space="preserve">TAGTAAACAGCACGCGCAACTCGC</t>
  </si>
  <si>
    <t xml:space="preserve">AAACGCGAGTTGCGCGTGCTGTTT</t>
  </si>
  <si>
    <t xml:space="preserve">GGCGGCGACGGCGATCAACA</t>
  </si>
  <si>
    <t xml:space="preserve">TAGTGGCGGCGACGGCGATCAACA</t>
  </si>
  <si>
    <t xml:space="preserve">AAACTGTTGATCGCCGTCGCCGCC</t>
  </si>
  <si>
    <t xml:space="preserve">PST_2019</t>
  </si>
  <si>
    <t xml:space="preserve">TACCACTTTGTTAAGGTTCC</t>
  </si>
  <si>
    <t xml:space="preserve">TAGTTACCACTTTGTTAAGGTTCC</t>
  </si>
  <si>
    <t xml:space="preserve">AAACGGAACCTTAACAAAGTGGTA</t>
  </si>
  <si>
    <t xml:space="preserve">CTCAGCTCGCCTTCCGCGCT</t>
  </si>
  <si>
    <t xml:space="preserve">TAGTCTCAGCTCGCCTTCCGCGCT</t>
  </si>
  <si>
    <t xml:space="preserve">AAACAGCGCGGAAGGCGAGCTGAG</t>
  </si>
  <si>
    <t xml:space="preserve">GCTGCAAAGAGAGGTCGGCC</t>
  </si>
  <si>
    <t xml:space="preserve">TAGTGCTGCAAAGAGAGGTCGGCC</t>
  </si>
  <si>
    <t xml:space="preserve">AAACGGCCGACCTCTCTTTGCAGC</t>
  </si>
  <si>
    <t xml:space="preserve">GATGGCCAGGCTGTCGCCCT</t>
  </si>
  <si>
    <t xml:space="preserve">TAGTGATGGCCAGGCTGTCGCCCT</t>
  </si>
  <si>
    <t xml:space="preserve">AAACAGGGCGACAGCCTGGCCATC</t>
  </si>
  <si>
    <t xml:space="preserve">PST_2020</t>
  </si>
  <si>
    <t xml:space="preserve">tesA</t>
  </si>
  <si>
    <t xml:space="preserve">CATTTCAGCCACCTTCGCAT</t>
  </si>
  <si>
    <t xml:space="preserve">TAGTCATTTCAGCCACCTTCGCAT</t>
  </si>
  <si>
    <t xml:space="preserve">AAACATGCGAAGGTGGCTGAAATG</t>
  </si>
  <si>
    <t xml:space="preserve">AGTCCAGCACAGCAGCGCCA</t>
  </si>
  <si>
    <t xml:space="preserve">TAGTAGTCCAGCACAGCAGCGCCA</t>
  </si>
  <si>
    <t xml:space="preserve">AAACTGGCGCTGCTGTGCTGGACT</t>
  </si>
  <si>
    <t xml:space="preserve">CACCAGTACGGTTCCGGCCA</t>
  </si>
  <si>
    <t xml:space="preserve">TAGTCACCAGTACGGTTCCGGCCA</t>
  </si>
  <si>
    <t xml:space="preserve">AAACTGGCCGGAACCGTACTGGTG</t>
  </si>
  <si>
    <t xml:space="preserve">GCTGGTTTCCAGCCCGAAAG</t>
  </si>
  <si>
    <t xml:space="preserve">TAGTGCTGGTTTCCAGCCCGAAAG</t>
  </si>
  <si>
    <t xml:space="preserve">AAACCTTTCGGGCTGGAAACCAGC</t>
  </si>
  <si>
    <t xml:space="preserve">PST_2021</t>
  </si>
  <si>
    <t xml:space="preserve">CGAGGGCGCGACAGTAGCTG</t>
  </si>
  <si>
    <t xml:space="preserve">TAGTCGAGGGCGCGACAGTAGCTG</t>
  </si>
  <si>
    <t xml:space="preserve">AAACCAGCTACTGTCGCGCCCTCG</t>
  </si>
  <si>
    <t xml:space="preserve">CTGGCTGAGCGCGACATCTG</t>
  </si>
  <si>
    <t xml:space="preserve">TAGTCTGGCTGAGCGCGACATCTG</t>
  </si>
  <si>
    <t xml:space="preserve">AAACCAGATGTCGCGCTCAGCCAG</t>
  </si>
  <si>
    <t xml:space="preserve">GATGAGTCGATAAGCGTAAA</t>
  </si>
  <si>
    <t xml:space="preserve">TAGTGATGAGTCGATAAGCGTAAA</t>
  </si>
  <si>
    <t xml:space="preserve">AAACTTTACGCTTATCGACTCATC</t>
  </si>
  <si>
    <t xml:space="preserve">AACATGTCGTACTGTTCGTC</t>
  </si>
  <si>
    <t xml:space="preserve">TAGTAACATGTCGTACTGTTCGTC</t>
  </si>
  <si>
    <t xml:space="preserve">AAACGACGAACAGTACGACATGTT</t>
  </si>
  <si>
    <t xml:space="preserve">PST_2022</t>
  </si>
  <si>
    <t xml:space="preserve">oprI</t>
  </si>
  <si>
    <t xml:space="preserve">GCAACCGGTAGCCAGAACTG</t>
  </si>
  <si>
    <t xml:space="preserve">TAGTGCAACCGGTAGCCAGAACTG</t>
  </si>
  <si>
    <t xml:space="preserve">AAACCAGTTCTGGCTACCGGTTGC</t>
  </si>
  <si>
    <t xml:space="preserve">CAGGCGAGCTTCGCTTTCTT</t>
  </si>
  <si>
    <t xml:space="preserve">TAGTCAGGCGAGCTTCGCTTTCTT</t>
  </si>
  <si>
    <t xml:space="preserve">AAACAAGAAAGCGAAGCTCGCCTG</t>
  </si>
  <si>
    <t xml:space="preserve">AGCAGCGGCGTCTTCGGTCG</t>
  </si>
  <si>
    <t xml:space="preserve">TAGTAGCAGCGGCGTCTTCGGTCG</t>
  </si>
  <si>
    <t xml:space="preserve">AAACCGACCGAAGACGCCGCTGCT</t>
  </si>
  <si>
    <t xml:space="preserve">ACGCTTCGTCAGCGCGAGCC</t>
  </si>
  <si>
    <t xml:space="preserve">TAGTACGCTTCGTCAGCGCGAGCC</t>
  </si>
  <si>
    <t xml:space="preserve">AAACGGCTCGCGCTGACGAAGCGT</t>
  </si>
  <si>
    <t xml:space="preserve">PST_2023</t>
  </si>
  <si>
    <t xml:space="preserve">GATGGCCAGCCTGGTCGTGA</t>
  </si>
  <si>
    <t xml:space="preserve">TAGTGATGGCCAGCCTGGTCGTGA</t>
  </si>
  <si>
    <t xml:space="preserve">AAACTCACGACCAGGCTGGCCATC</t>
  </si>
  <si>
    <t xml:space="preserve">AAGATCCATGTAGGCAAGGT</t>
  </si>
  <si>
    <t xml:space="preserve">TAGTAAGATCCATGTAGGCAAGGT</t>
  </si>
  <si>
    <t xml:space="preserve">AAACACCTTGCCTACATGGATCTT</t>
  </si>
  <si>
    <t xml:space="preserve">ACGCAATGCGTCCGGAACGA</t>
  </si>
  <si>
    <t xml:space="preserve">TAGTACGCAATGCGTCCGGAACGA</t>
  </si>
  <si>
    <t xml:space="preserve">AAACTCGTTCCGGACGCATTGCGT</t>
  </si>
  <si>
    <t xml:space="preserve">TTCGAGCGCATGCTGCGCCA</t>
  </si>
  <si>
    <t xml:space="preserve">TAGTTTCGAGCGCATGCTGCGCCA</t>
  </si>
  <si>
    <t xml:space="preserve">AAACTGGCGCAGCATGCGCTCGAA</t>
  </si>
  <si>
    <t xml:space="preserve">PST_2024</t>
  </si>
  <si>
    <t xml:space="preserve">aroF-1</t>
  </si>
  <si>
    <t xml:space="preserve">GCAACGTTGAGGTCGTCGAT</t>
  </si>
  <si>
    <t xml:space="preserve">TAGTGCAACGTTGAGGTCGTCGAT</t>
  </si>
  <si>
    <t xml:space="preserve">AAACATCGACGACCTCAACGTTGC</t>
  </si>
  <si>
    <t xml:space="preserve">CGGCGTGATCAGGGTCACGT</t>
  </si>
  <si>
    <t xml:space="preserve">TAGTCGGCGTGATCAGGGTCACGT</t>
  </si>
  <si>
    <t xml:space="preserve">AAACACGTGACCCTGATCACGCCG</t>
  </si>
  <si>
    <t xml:space="preserve">ATTTCACGCTTCAGTTGCTC</t>
  </si>
  <si>
    <t xml:space="preserve">TAGTATTTCACGCTTCAGTTGCTC</t>
  </si>
  <si>
    <t xml:space="preserve">AAACGAGCAACTGAAGCGTGAAAT</t>
  </si>
  <si>
    <t xml:space="preserve">GCAATGCCGAGGCGGTCAGC</t>
  </si>
  <si>
    <t xml:space="preserve">TAGTGCAATGCCGAGGCGGTCAGC</t>
  </si>
  <si>
    <t xml:space="preserve">AAACGCTGACCGCCTCGGCATTGC</t>
  </si>
  <si>
    <t xml:space="preserve">PST_2025</t>
  </si>
  <si>
    <t xml:space="preserve">panE-1</t>
  </si>
  <si>
    <t xml:space="preserve">GATGATGCCTATACGTGGAT</t>
  </si>
  <si>
    <t xml:space="preserve">TAGTGATGATGCCTATACGTGGAT</t>
  </si>
  <si>
    <t xml:space="preserve">AAACATCCACGTATAGGCATCATC</t>
  </si>
  <si>
    <t xml:space="preserve">CAAGCCGTAGAAGCCTCCGA</t>
  </si>
  <si>
    <t xml:space="preserve">TAGTCAAGCCGTAGAAGCCTCCGA</t>
  </si>
  <si>
    <t xml:space="preserve">AAACTCGGAGGCTTCTACGGCTTG</t>
  </si>
  <si>
    <t xml:space="preserve">CAGGAAATGCACATCGAAGC</t>
  </si>
  <si>
    <t xml:space="preserve">TAGTCAGGAAATGCACATCGAAGC</t>
  </si>
  <si>
    <t xml:space="preserve">AAACGCTTCGATGTGCATTTCCTG</t>
  </si>
  <si>
    <t xml:space="preserve">CTGCAGGCCACGGGCGAGGA</t>
  </si>
  <si>
    <t xml:space="preserve">TAGTCTGCAGGCCACGGGCGAGGA</t>
  </si>
  <si>
    <t xml:space="preserve">AAACTCCTCGCCCGTGGCCTGCAG</t>
  </si>
  <si>
    <t xml:space="preserve">PST_2026</t>
  </si>
  <si>
    <t xml:space="preserve">cysB</t>
  </si>
  <si>
    <t xml:space="preserve">TTGCCGAAACGTTGAGGTCA</t>
  </si>
  <si>
    <t xml:space="preserve">TAGTTTGCCGAAACGTTGAGGTCA</t>
  </si>
  <si>
    <t xml:space="preserve">AAACTGACCTCAACGTTTCGGCAA</t>
  </si>
  <si>
    <t xml:space="preserve">TTGCGAGGTGAACAGACTCT</t>
  </si>
  <si>
    <t xml:space="preserve">TAGTTTGCGAGGTGAACAGACTCT</t>
  </si>
  <si>
    <t xml:space="preserve">AAACAGAGTCTGTTCACCTCGCAA</t>
  </si>
  <si>
    <t xml:space="preserve">CGAATCTGCTTGCTGATGCC</t>
  </si>
  <si>
    <t xml:space="preserve">TAGTCGAATCTGCTTGCTGATGCC</t>
  </si>
  <si>
    <t xml:space="preserve">AAACGGCATCAGCAAGCAGATTCG</t>
  </si>
  <si>
    <t xml:space="preserve">CGCCGAGCTCATCCTCCAAC</t>
  </si>
  <si>
    <t xml:space="preserve">TAGTCGCCGAGCTCATCCTCCAAC</t>
  </si>
  <si>
    <t xml:space="preserve">AAACGTTGGAGGATGAGCTCGGCG</t>
  </si>
  <si>
    <t xml:space="preserve">PST_2027</t>
  </si>
  <si>
    <t xml:space="preserve">cysH</t>
  </si>
  <si>
    <t xml:space="preserve">CAACGCGGCGACGTCGATGG</t>
  </si>
  <si>
    <t xml:space="preserve">TAGTCAACGCGGCGACGTCGATGG</t>
  </si>
  <si>
    <t xml:space="preserve">AAACCCATCGACGTCGCCGCGTTG</t>
  </si>
  <si>
    <t xml:space="preserve">TTGCGGCGATTTCTCGGCGT</t>
  </si>
  <si>
    <t xml:space="preserve">TAGTTTGCGGCGATTTCTCGGCGT</t>
  </si>
  <si>
    <t xml:space="preserve">AAACACGCCGAGAAATCGCCGCAA</t>
  </si>
  <si>
    <t xml:space="preserve">GTCATCGCCGAACAGATCGA</t>
  </si>
  <si>
    <t xml:space="preserve">TAGTGTCATCGCCGAACAGATCGA</t>
  </si>
  <si>
    <t xml:space="preserve">AAACTCGATCTGTTCGGCGATGAC</t>
  </si>
  <si>
    <t xml:space="preserve">CGCCACTGAAGGAGATCCAC</t>
  </si>
  <si>
    <t xml:space="preserve">TAGTCGCCACTGAAGGAGATCCAC</t>
  </si>
  <si>
    <t xml:space="preserve">AAACGTGGATCTCCTTCAGTGGCG</t>
  </si>
  <si>
    <t xml:space="preserve">PST_2028</t>
  </si>
  <si>
    <t xml:space="preserve">thrH</t>
  </si>
  <si>
    <t xml:space="preserve">TCGAGACAGGCTATTTCCAC</t>
  </si>
  <si>
    <t xml:space="preserve">TAGTTCGAGACAGGCTATTTCCAC</t>
  </si>
  <si>
    <t xml:space="preserve">AAACGTGGAAATAGCCTGTCTCGA</t>
  </si>
  <si>
    <t xml:space="preserve">CCGGAACCAGCACACCTTCC</t>
  </si>
  <si>
    <t xml:space="preserve">TAGTCCGGAACCAGCACACCTTCC</t>
  </si>
  <si>
    <t xml:space="preserve">AAACGGAAGGTGTGCTGGTTCCGG</t>
  </si>
  <si>
    <t xml:space="preserve">GATTCCGGTGGCCTCGGCAA</t>
  </si>
  <si>
    <t xml:space="preserve">TAGTGATTCCGGTGGCCTCGGCAA</t>
  </si>
  <si>
    <t xml:space="preserve">AAACTTGCCGAGGCCACCGGAATC</t>
  </si>
  <si>
    <t xml:space="preserve">GAATGTCTCGTGTGGTCGCC</t>
  </si>
  <si>
    <t xml:space="preserve">TAGTGAATGTCTCGTGTGGTCGCC</t>
  </si>
  <si>
    <t xml:space="preserve">AAACGGCGACCACACGAGACATTC</t>
  </si>
  <si>
    <t xml:space="preserve">PST_2029</t>
  </si>
  <si>
    <t xml:space="preserve">pabB</t>
  </si>
  <si>
    <t xml:space="preserve">GTGCAGCGTGCAGAGGGGCA</t>
  </si>
  <si>
    <t xml:space="preserve">TAGTGTGCAGCGTGCAGAGGGGCA</t>
  </si>
  <si>
    <t xml:space="preserve">AAACTGCCCCTCTGCACGCTGCAC</t>
  </si>
  <si>
    <t xml:space="preserve">GATCGGCCTTATAGGGCAGG</t>
  </si>
  <si>
    <t xml:space="preserve">TAGTGATCGGCCTTATAGGGCAGG</t>
  </si>
  <si>
    <t xml:space="preserve">AAACCCTGCCCTATAAGGCCGATC</t>
  </si>
  <si>
    <t xml:space="preserve">ATGCGTTCGAACCAGTGAGC</t>
  </si>
  <si>
    <t xml:space="preserve">TAGTATGCGTTCGAACCAGTGAGC</t>
  </si>
  <si>
    <t xml:space="preserve">AAACGCTCACTGGTTCGAACGCAT</t>
  </si>
  <si>
    <t xml:space="preserve">GAATCCAGCAGAACGGCGCC</t>
  </si>
  <si>
    <t xml:space="preserve">TAGTGAATCCAGCAGAACGGCGCC</t>
  </si>
  <si>
    <t xml:space="preserve">AAACGGCGCCGTTCTGCTGGATTC</t>
  </si>
  <si>
    <t xml:space="preserve">PST_2030</t>
  </si>
  <si>
    <t xml:space="preserve">CGTCTTGATCAGACCGAACA</t>
  </si>
  <si>
    <t xml:space="preserve">TAGTCGTCTTGATCAGACCGAACA</t>
  </si>
  <si>
    <t xml:space="preserve">AAACTGTTCGGTCTGATCAAGACG</t>
  </si>
  <si>
    <t xml:space="preserve">CATGATGCCCTTGGCTTCCA</t>
  </si>
  <si>
    <t xml:space="preserve">TAGTCATGATGCCCTTGGCTTCCA</t>
  </si>
  <si>
    <t xml:space="preserve">AAACTGGAAGCCAAGGGCATCATG</t>
  </si>
  <si>
    <t xml:space="preserve">GCACGTAGTCCGCGTTGCGG</t>
  </si>
  <si>
    <t xml:space="preserve">TAGTGCACGTAGTCCGCGTTGCGG</t>
  </si>
  <si>
    <t xml:space="preserve">AAACCCGCAACGCGGACTACGTGC</t>
  </si>
  <si>
    <t xml:space="preserve">TGTCATCGACGATCGGGTAC</t>
  </si>
  <si>
    <t xml:space="preserve">TAGTTGTCATCGACGATCGGGTAC</t>
  </si>
  <si>
    <t xml:space="preserve">AAACGTACCCGATCGTCGATGACA</t>
  </si>
  <si>
    <t xml:space="preserve">PST_2031</t>
  </si>
  <si>
    <t xml:space="preserve">TGCAGAGTGAGAGCGCGCAT</t>
  </si>
  <si>
    <t xml:space="preserve">TAGTTGCAGAGTGAGAGCGCGCAT</t>
  </si>
  <si>
    <t xml:space="preserve">AAACATGCGCGCTCTCACTCTGCA</t>
  </si>
  <si>
    <t xml:space="preserve">GTGCGACGAGCAGGAAGATC</t>
  </si>
  <si>
    <t xml:space="preserve">TAGTGTGCGACGAGCAGGAAGATC</t>
  </si>
  <si>
    <t xml:space="preserve">AAACGATCTTCCTGCTCGTCGCAC</t>
  </si>
  <si>
    <t xml:space="preserve">GCCGAGGATGAAGATCTGGT</t>
  </si>
  <si>
    <t xml:space="preserve">TAGTGCCGAGGATGAAGATCTGGT</t>
  </si>
  <si>
    <t xml:space="preserve">AAACACCAGATCTTCATCCTCGGC</t>
  </si>
  <si>
    <t xml:space="preserve">TCGGTTTCGTCTTCGGTAAC</t>
  </si>
  <si>
    <t xml:space="preserve">TAGTTCGGTTTCGTCTTCGGTAAC</t>
  </si>
  <si>
    <t xml:space="preserve">AAACGTTACCGAAGACGAAACCGA</t>
  </si>
  <si>
    <t xml:space="preserve">PST_2032</t>
  </si>
  <si>
    <t xml:space="preserve">AAGGTGGGCTTTAACTCTCA</t>
  </si>
  <si>
    <t xml:space="preserve">TAGTAAGGTGGGCTTTAACTCTCA</t>
  </si>
  <si>
    <t xml:space="preserve">AAACTGAGAGTTAAAGCCCACCTT</t>
  </si>
  <si>
    <t xml:space="preserve">CAGCCACGCCGATGGCGGGC</t>
  </si>
  <si>
    <t xml:space="preserve">TAGTCAGCCACGCCGATGGCGGGC</t>
  </si>
  <si>
    <t xml:space="preserve">AAACGCCCGCCATCGGCGTGGCTG</t>
  </si>
  <si>
    <t xml:space="preserve">CAGACCGTAGATCGCCTTTT</t>
  </si>
  <si>
    <t xml:space="preserve">TAGTCAGACCGTAGATCGCCTTTT</t>
  </si>
  <si>
    <t xml:space="preserve">AAACAAAAGGCGATCTACGGTCTG</t>
  </si>
  <si>
    <t xml:space="preserve">TCCACTTCCAGATTGAAGTC</t>
  </si>
  <si>
    <t xml:space="preserve">TAGTTCCACTTCCAGATTGAAGTC</t>
  </si>
  <si>
    <t xml:space="preserve">AAACGACTTCAATCTGGAAGTGGA</t>
  </si>
  <si>
    <t xml:space="preserve">PST_2033</t>
  </si>
  <si>
    <t xml:space="preserve">CACTGAAGGGGGTAGCTCAA</t>
  </si>
  <si>
    <t xml:space="preserve">TAGTCACTGAAGGGGGTAGCTCAA</t>
  </si>
  <si>
    <t xml:space="preserve">AAACTTGAGCTACCCCCTTCAGTG</t>
  </si>
  <si>
    <t xml:space="preserve">GATCAGGCGGAACACGTTCT</t>
  </si>
  <si>
    <t xml:space="preserve">TAGTGATCAGGCGGAACACGTTCT</t>
  </si>
  <si>
    <t xml:space="preserve">AAACAGAACGTGTTCCGCCTGATC</t>
  </si>
  <si>
    <t xml:space="preserve">GGCTCGGAGATCTTGCTGCC</t>
  </si>
  <si>
    <t xml:space="preserve">TAGTGGCTCGGAGATCTTGCTGCC</t>
  </si>
  <si>
    <t xml:space="preserve">AAACGGCAGCAAGATCTCCGAGCC</t>
  </si>
  <si>
    <t xml:space="preserve">CCGTAGGTACGCGCCAGTTC</t>
  </si>
  <si>
    <t xml:space="preserve">TAGTCCGTAGGTACGCGCCAGTTC</t>
  </si>
  <si>
    <t xml:space="preserve">AAACGAACTGGCGCGTACCTACGG</t>
  </si>
  <si>
    <t xml:space="preserve">PST_2034</t>
  </si>
  <si>
    <t xml:space="preserve">prpB</t>
  </si>
  <si>
    <t xml:space="preserve">GAAAACGCTGACCGGGGGTT</t>
  </si>
  <si>
    <t xml:space="preserve">TAGTGAAAACGCTGACCGGGGGTT</t>
  </si>
  <si>
    <t xml:space="preserve">AAACAACCCCCGGTCAGCGTTTTC</t>
  </si>
  <si>
    <t xml:space="preserve">CACCTGCAGGGGATGTTCGC</t>
  </si>
  <si>
    <t xml:space="preserve">TAGTCACCTGCAGGGGATGTTCGC</t>
  </si>
  <si>
    <t xml:space="preserve">AAACGCGAACATCCCCTGCAGGTG</t>
  </si>
  <si>
    <t xml:space="preserve">CTTGGCCAGCAGCGCATGAT</t>
  </si>
  <si>
    <t xml:space="preserve">TAGTCTTGGCCAGCAGCGCATGAT</t>
  </si>
  <si>
    <t xml:space="preserve">AAACATCATGCGCTGCTGGCCAAG</t>
  </si>
  <si>
    <t xml:space="preserve">CAGGTAGATCGCCTTGAAGC</t>
  </si>
  <si>
    <t xml:space="preserve">TAGTCAGGTAGATCGCCTTGAAGC</t>
  </si>
  <si>
    <t xml:space="preserve">AAACGCTTCAAGGCGATCTACCTG</t>
  </si>
  <si>
    <t xml:space="preserve">PST_2035</t>
  </si>
  <si>
    <t xml:space="preserve">prpC</t>
  </si>
  <si>
    <t xml:space="preserve">GGTGCACAGGGCGGTCTGCC</t>
  </si>
  <si>
    <t xml:space="preserve">TAGTGGTGCACAGGGCGGTCTGCC</t>
  </si>
  <si>
    <t xml:space="preserve">AAACGGCAGACCGCCCTGTGCACC</t>
  </si>
  <si>
    <t xml:space="preserve">CCCGGCGCCGGTCTTGCCGA</t>
  </si>
  <si>
    <t xml:space="preserve">TAGTCCCGGCGCCGGTCTTGCCGA</t>
  </si>
  <si>
    <t xml:space="preserve">AAACTCGGCAAGACCGGCGCCGGG</t>
  </si>
  <si>
    <t xml:space="preserve">GCGTACGTCATAGCCACGGT</t>
  </si>
  <si>
    <t xml:space="preserve">TAGTGCGTACGTCATAGCCACGGT</t>
  </si>
  <si>
    <t xml:space="preserve">AAACACCGTGGCTATGACGTACGC</t>
  </si>
  <si>
    <t xml:space="preserve">CGAAGTCGCACTCAGCCGCC</t>
  </si>
  <si>
    <t xml:space="preserve">TAGTCGAAGTCGCACTCAGCCGCC</t>
  </si>
  <si>
    <t xml:space="preserve">AAACGGCGGCTGAGTGCGACTTCG</t>
  </si>
  <si>
    <t xml:space="preserve">PST_2036</t>
  </si>
  <si>
    <t xml:space="preserve">AAGGCCTGGAGGAACCCGCA</t>
  </si>
  <si>
    <t xml:space="preserve">TAGTAAGGCCTGGAGGAACCCGCA</t>
  </si>
  <si>
    <t xml:space="preserve">AAACTGCGGGTTCCTCCAGGCCTT</t>
  </si>
  <si>
    <t xml:space="preserve">CAATCCAGTAATGTTCCGAG</t>
  </si>
  <si>
    <t xml:space="preserve">TAGTCAATCCAGTAATGTTCCGAG</t>
  </si>
  <si>
    <t xml:space="preserve">AAACCTCGGAACATTACTGGATTG</t>
  </si>
  <si>
    <t xml:space="preserve">GCGGTGTTCTGTATTCATGC</t>
  </si>
  <si>
    <t xml:space="preserve">TAGTGCGGTGTTCTGTATTCATGC</t>
  </si>
  <si>
    <t xml:space="preserve">AAACGCATGAATACAGAACACCGC</t>
  </si>
  <si>
    <t xml:space="preserve">TCAAGCCCGGTGCCTGGCAG</t>
  </si>
  <si>
    <t xml:space="preserve">TAGTTCAAGCCCGGTGCCTGGCAG</t>
  </si>
  <si>
    <t xml:space="preserve">AAACCTGCCAGGCACCGGGCTTGA</t>
  </si>
  <si>
    <t xml:space="preserve">PST_2037</t>
  </si>
  <si>
    <t xml:space="preserve">GCGCCACCGGACGGTCGCGC</t>
  </si>
  <si>
    <t xml:space="preserve">TAGTGCGCCACCGGACGGTCGCGC</t>
  </si>
  <si>
    <t xml:space="preserve">AAACGCGCGACCGTCCGGTGGCGC</t>
  </si>
  <si>
    <t xml:space="preserve">GAAGATGAGCCATGGGAATC</t>
  </si>
  <si>
    <t xml:space="preserve">TAGTGAAGATGAGCCATGGGAATC</t>
  </si>
  <si>
    <t xml:space="preserve">AAACGATTCCCATGGCTCATCTTC</t>
  </si>
  <si>
    <t xml:space="preserve">GTGGCAGGAATCCTGATCTG</t>
  </si>
  <si>
    <t xml:space="preserve">TAGTGTGGCAGGAATCCTGATCTG</t>
  </si>
  <si>
    <t xml:space="preserve">AAACCAGATCAGGATTCCTGCCAC</t>
  </si>
  <si>
    <t xml:space="preserve">GCTGGTGCCGCCACGCATGT</t>
  </si>
  <si>
    <t xml:space="preserve">TAGTGCTGGTGCCGCCACGCATGT</t>
  </si>
  <si>
    <t xml:space="preserve">AAACACATGCGTGGCGGCACCAGC</t>
  </si>
  <si>
    <t xml:space="preserve">PST_2038</t>
  </si>
  <si>
    <t xml:space="preserve">ACTCTGGCCCAGGGTTTCCG</t>
  </si>
  <si>
    <t xml:space="preserve">TAGTACTCTGGCCCAGGGTTTCCG</t>
  </si>
  <si>
    <t xml:space="preserve">AAACCGGAAACCCTGGGCCAGAGT</t>
  </si>
  <si>
    <t xml:space="preserve">TTTCCGCGGTGTCGATGTAC</t>
  </si>
  <si>
    <t xml:space="preserve">TAGTTTTCCGCGGTGTCGATGTAC</t>
  </si>
  <si>
    <t xml:space="preserve">AAACGTACATCGACACCGCGGAAA</t>
  </si>
  <si>
    <t xml:space="preserve">ATTATTGATTTGCTGTACCA</t>
  </si>
  <si>
    <t xml:space="preserve">TAGTATTATTGATTTGCTGTACCA</t>
  </si>
  <si>
    <t xml:space="preserve">AAACTGGTACAGCAAATCAATAAT</t>
  </si>
  <si>
    <t xml:space="preserve">CCGGCCACCGTCCTTTTCCG</t>
  </si>
  <si>
    <t xml:space="preserve">TAGTCCGGCCACCGTCCTTTTCCG</t>
  </si>
  <si>
    <t xml:space="preserve">AAACCGGAAAAGGACGGTGGCCGG</t>
  </si>
  <si>
    <t xml:space="preserve">PST_2039</t>
  </si>
  <si>
    <t xml:space="preserve">ppsA</t>
  </si>
  <si>
    <t xml:space="preserve">CGGTACGGAAACGCCGGCAC</t>
  </si>
  <si>
    <t xml:space="preserve">TAGTCGGTACGGAAACGCCGGCAC</t>
  </si>
  <si>
    <t xml:space="preserve">AAACGTGCCGGCGTTTCCGTACCG</t>
  </si>
  <si>
    <t xml:space="preserve">GCCGTCGTGGCGAAACCGCC</t>
  </si>
  <si>
    <t xml:space="preserve">TAGTGCCGTCGTGGCGAAACCGCC</t>
  </si>
  <si>
    <t xml:space="preserve">AAACGGCGGTTTCGCCACGACGGC</t>
  </si>
  <si>
    <t xml:space="preserve">GAGTTCGAGGAAGTCGCGAT</t>
  </si>
  <si>
    <t xml:space="preserve">TAGTGAGTTCGAGGAAGTCGCGAT</t>
  </si>
  <si>
    <t xml:space="preserve">AAACATCGCGACTTCCTCGAACTC</t>
  </si>
  <si>
    <t xml:space="preserve">GTTGACGTCATCCACGTCGA</t>
  </si>
  <si>
    <t xml:space="preserve">TAGTGTTGACGTCATCCACGTCGA</t>
  </si>
  <si>
    <t xml:space="preserve">AAACTCGACGTGGATGACGTCAAC</t>
  </si>
  <si>
    <t xml:space="preserve">PST_2040</t>
  </si>
  <si>
    <t xml:space="preserve">menG</t>
  </si>
  <si>
    <t xml:space="preserve">ATCAGGCGTGACGTATTGCA</t>
  </si>
  <si>
    <t xml:space="preserve">TAGTATCAGGCGTGACGTATTGCA</t>
  </si>
  <si>
    <t xml:space="preserve">AAACTGCAATACGTCACGCCTGAT</t>
  </si>
  <si>
    <t xml:space="preserve">GACCTGCACCAGGTCAGGAT</t>
  </si>
  <si>
    <t xml:space="preserve">TAGTGACCTGCACCAGGTCAGGAT</t>
  </si>
  <si>
    <t xml:space="preserve">AAACATCCTGACCTGGTGCAGGTC</t>
  </si>
  <si>
    <t xml:space="preserve">CCGCCGAAATTGCTGAACAG</t>
  </si>
  <si>
    <t xml:space="preserve">TAGTCCGCCGAAATTGCTGAACAG</t>
  </si>
  <si>
    <t xml:space="preserve">AAACCTGTTCAGCAATTTCGGCGG</t>
  </si>
  <si>
    <t xml:space="preserve">GGTCACGATCTCCCCGCCGA</t>
  </si>
  <si>
    <t xml:space="preserve">TAGTGGTCACGATCTCCCCGCCGA</t>
  </si>
  <si>
    <t xml:space="preserve">AAACTCGGCGGGGAGATCGTGACC</t>
  </si>
  <si>
    <t xml:space="preserve">PST_2041</t>
  </si>
  <si>
    <t xml:space="preserve">cmaX</t>
  </si>
  <si>
    <t xml:space="preserve">CCGGGCTCGGAACAGATGAC</t>
  </si>
  <si>
    <t xml:space="preserve">TAGTCCGGGCTCGGAACAGATGAC</t>
  </si>
  <si>
    <t xml:space="preserve">AAACGTCATCTGTTCCGAGCCCGG</t>
  </si>
  <si>
    <t xml:space="preserve">GTCGTCACTCATGAAAAGCC</t>
  </si>
  <si>
    <t xml:space="preserve">TAGTGTCGTCACTCATGAAAAGCC</t>
  </si>
  <si>
    <t xml:space="preserve">AAACGGCTTTTCATGAGTGACGAC</t>
  </si>
  <si>
    <t xml:space="preserve">TGCCATCCAGAACAAACGCG</t>
  </si>
  <si>
    <t xml:space="preserve">TAGTTGCCATCCAGAACAAACGCG</t>
  </si>
  <si>
    <t xml:space="preserve">AAACCGCGTTTGTTCTGGATGGCA</t>
  </si>
  <si>
    <t xml:space="preserve">GGCCTGATAGCCGATCTGTC</t>
  </si>
  <si>
    <t xml:space="preserve">TAGTGGCCTGATAGCCGATCTGTC</t>
  </si>
  <si>
    <t xml:space="preserve">AAACGACAGATCGGCTATCAGGCC</t>
  </si>
  <si>
    <t xml:space="preserve">PST_2042</t>
  </si>
  <si>
    <t xml:space="preserve">crfX</t>
  </si>
  <si>
    <t xml:space="preserve">TCTCGCAGGGATTCTTCGAA</t>
  </si>
  <si>
    <t xml:space="preserve">TAGTTCTCGCAGGGATTCTTCGAA</t>
  </si>
  <si>
    <t xml:space="preserve">AAACTTCGAAGAATCCCTGCGAGA</t>
  </si>
  <si>
    <t xml:space="preserve">GCCCCGATGGCTTGTTGAGG</t>
  </si>
  <si>
    <t xml:space="preserve">TAGTGCCCCGATGGCTTGTTGAGG</t>
  </si>
  <si>
    <t xml:space="preserve">AAACCCTCAACAAGCCATCGGGGC</t>
  </si>
  <si>
    <t xml:space="preserve">TCCGGCACCGACCTGGCGGT</t>
  </si>
  <si>
    <t xml:space="preserve">TAGTTCCGGCACCGACCTGGCGGT</t>
  </si>
  <si>
    <t xml:space="preserve">AAACACCGCCAGGTCGGTGCCGGA</t>
  </si>
  <si>
    <t xml:space="preserve">CGGCAGCCACTGGCCCATCA</t>
  </si>
  <si>
    <t xml:space="preserve">TAGTCGGCAGCCACTGGCCCATCA</t>
  </si>
  <si>
    <t xml:space="preserve">AAACTGATGGGCCAGTGGCTGCCG</t>
  </si>
  <si>
    <t xml:space="preserve">PST_2043</t>
  </si>
  <si>
    <t xml:space="preserve">cmpX</t>
  </si>
  <si>
    <t xml:space="preserve">GACAGCAGACTTTGGGTCCA</t>
  </si>
  <si>
    <t xml:space="preserve">TAGTGACAGCAGACTTTGGGTCCA</t>
  </si>
  <si>
    <t xml:space="preserve">AAACTGGACCCAAAGTCTGCTGTC</t>
  </si>
  <si>
    <t xml:space="preserve">GCGAGGAATGAAGGCCGCGA</t>
  </si>
  <si>
    <t xml:space="preserve">TAGTGCGAGGAATGAAGGCCGCGA</t>
  </si>
  <si>
    <t xml:space="preserve">AAACTCGCGGCCTTCATTCCTCGC</t>
  </si>
  <si>
    <t xml:space="preserve">GCCGAGCAGTACCACGACCA</t>
  </si>
  <si>
    <t xml:space="preserve">TAGTGCCGAGCAGTACCACGACCA</t>
  </si>
  <si>
    <t xml:space="preserve">AAACTGGTCGTGGTACTGCTCGGC</t>
  </si>
  <si>
    <t xml:space="preserve">GAGCAGCGTATCGAGCAGCT</t>
  </si>
  <si>
    <t xml:space="preserve">TAGTGAGCAGCGTATCGAGCAGCT</t>
  </si>
  <si>
    <t xml:space="preserve">AAACAGCTGCTCGATACGCTGCTC</t>
  </si>
  <si>
    <t xml:space="preserve">PST_2044</t>
  </si>
  <si>
    <t xml:space="preserve">sigX</t>
  </si>
  <si>
    <t xml:space="preserve">TTAGTCAAGACGCTTCGAGC</t>
  </si>
  <si>
    <t xml:space="preserve">TAGTTTAGTCAAGACGCTTCGAGC</t>
  </si>
  <si>
    <t xml:space="preserve">AAACGCTCGAAGCGTCTTGACTAA</t>
  </si>
  <si>
    <t xml:space="preserve">GTAGCGCGATATGGACGATG</t>
  </si>
  <si>
    <t xml:space="preserve">TAGTGTAGCGCGATATGGACGATG</t>
  </si>
  <si>
    <t xml:space="preserve">AAACCATCGTCCATATCGCGCTAC</t>
  </si>
  <si>
    <t xml:space="preserve">CTTCATCGGTGAGCTGGCGA</t>
  </si>
  <si>
    <t xml:space="preserve">TAGTCTTCATCGGTGAGCTGGCGA</t>
  </si>
  <si>
    <t xml:space="preserve">AAACTCGCCAGCTCACCGATGAAG</t>
  </si>
  <si>
    <t xml:space="preserve">TCGGCGCATGAGTTCTTCGT</t>
  </si>
  <si>
    <t xml:space="preserve">TAGTTCGGCGCATGAGTTCTTCGT</t>
  </si>
  <si>
    <t xml:space="preserve">AAACACGAAGAACTCATGCGCCGA</t>
  </si>
  <si>
    <t xml:space="preserve">PST_2045</t>
  </si>
  <si>
    <t xml:space="preserve">oprF</t>
  </si>
  <si>
    <t xml:space="preserve">CAGTGCATTGACGGAAGTGG</t>
  </si>
  <si>
    <t xml:space="preserve">TAGTCAGTGCATTGACGGAAGTGG</t>
  </si>
  <si>
    <t xml:space="preserve">AAACCCACTTCCGTCAATGCACTG</t>
  </si>
  <si>
    <t xml:space="preserve">CTTCCACTTCGACAGCGCCC</t>
  </si>
  <si>
    <t xml:space="preserve">TAGTCTTCCACTTCGACAGCGCCC</t>
  </si>
  <si>
    <t xml:space="preserve">AAACGGGCGCTGTCGAAGTGGAAG</t>
  </si>
  <si>
    <t xml:space="preserve">CTTGATGTCACGCGAGCTGT</t>
  </si>
  <si>
    <t xml:space="preserve">TAGTCTTGATGTCACGCGAGCTGT</t>
  </si>
  <si>
    <t xml:space="preserve">AAACACAGCTCGCGTGACATCAAG</t>
  </si>
  <si>
    <t xml:space="preserve">CCAGAGAAACATCGTCGGTA</t>
  </si>
  <si>
    <t xml:space="preserve">TAGTCCAGAGAAACATCGTCGGTA</t>
  </si>
  <si>
    <t xml:space="preserve">AAACTACCGACGATGTTTCTCTGG</t>
  </si>
  <si>
    <t xml:space="preserve">PST_2046</t>
  </si>
  <si>
    <t xml:space="preserve">acnB</t>
  </si>
  <si>
    <t xml:space="preserve">CTCTTCTACGTGTTTGCGAT</t>
  </si>
  <si>
    <t xml:space="preserve">TAGTCTCTTCTACGTGTTTGCGAT</t>
  </si>
  <si>
    <t xml:space="preserve">AAACATCGCAAACACGTAGAAGAG</t>
  </si>
  <si>
    <t xml:space="preserve">CTGGGGCACAACGCCCTGGG</t>
  </si>
  <si>
    <t xml:space="preserve">TAGTCTGGGGCACAACGCCCTGGG</t>
  </si>
  <si>
    <t xml:space="preserve">AAACCCCAGGGCGTTGTGCCCCAG</t>
  </si>
  <si>
    <t xml:space="preserve">GCGGTCTGTTCGGCGTTCAG</t>
  </si>
  <si>
    <t xml:space="preserve">TAGTGCGGTCTGTTCGGCGTTCAG</t>
  </si>
  <si>
    <t xml:space="preserve">AAACCTGAACGCCGAACAGACCGC</t>
  </si>
  <si>
    <t xml:space="preserve">ATTCTTCTTCGCCGGCCGGC</t>
  </si>
  <si>
    <t xml:space="preserve">TAGTATTCTTCTTCGCCGGCCGGC</t>
  </si>
  <si>
    <t xml:space="preserve">AAACGCCGGCCGGCGAAGAAGAAT</t>
  </si>
  <si>
    <t xml:space="preserve">PST_2047</t>
  </si>
  <si>
    <t xml:space="preserve">GGCAGAACAGGTTTGATGGC</t>
  </si>
  <si>
    <t xml:space="preserve">TAGTGGCAGAACAGGTTTGATGGC</t>
  </si>
  <si>
    <t xml:space="preserve">AAACGCCATCAAACCTGTTCTGCC</t>
  </si>
  <si>
    <t xml:space="preserve">TTTGATGCGCTGGCTGGACA</t>
  </si>
  <si>
    <t xml:space="preserve">TAGTTTTGATGCGCTGGCTGGACA</t>
  </si>
  <si>
    <t xml:space="preserve">AAACTGTCCAGCCAGCGCATCAAA</t>
  </si>
  <si>
    <t xml:space="preserve">CGAGCAGAGACCTATGCATG</t>
  </si>
  <si>
    <t xml:space="preserve">TAGTCGAGCAGAGACCTATGCATG</t>
  </si>
  <si>
    <t xml:space="preserve">AAACCATGCATAGGTCTCTGCTCG</t>
  </si>
  <si>
    <t xml:space="preserve">GGTGAAAGCGCTTGCAGCCG</t>
  </si>
  <si>
    <t xml:space="preserve">TAGTGGTGAAAGCGCTTGCAGCCG</t>
  </si>
  <si>
    <t xml:space="preserve">AAACCGGCTGCAAGCGCTTTCACC</t>
  </si>
  <si>
    <t xml:space="preserve">PST_2048</t>
  </si>
  <si>
    <t xml:space="preserve">TACCACGAGGATGCAGCGAA</t>
  </si>
  <si>
    <t xml:space="preserve">TAGTTACCACGAGGATGCAGCGAA</t>
  </si>
  <si>
    <t xml:space="preserve">AAACTTCGCTGCATCCTCGTGGTA</t>
  </si>
  <si>
    <t xml:space="preserve">GCCAGCTCTTGTGGCTGGTT</t>
  </si>
  <si>
    <t xml:space="preserve">TAGTGCCAGCTCTTGTGGCTGGTT</t>
  </si>
  <si>
    <t xml:space="preserve">AAACAACCAGCCACAAGAGCTGGC</t>
  </si>
  <si>
    <t xml:space="preserve">GATCAGGCGTGCTCGTTTCA</t>
  </si>
  <si>
    <t xml:space="preserve">TAGTGATCAGGCGTGCTCGTTTCA</t>
  </si>
  <si>
    <t xml:space="preserve">AAACTGAAACGAGCACGCCTGATC</t>
  </si>
  <si>
    <t xml:space="preserve">GTGCAGGCGCGACTGGCTGA</t>
  </si>
  <si>
    <t xml:space="preserve">TAGTGTGCAGGCGCGACTGGCTGA</t>
  </si>
  <si>
    <t xml:space="preserve">AAACTCAGCCAGTCGCGCCTGCAC</t>
  </si>
  <si>
    <t xml:space="preserve">PST_2049</t>
  </si>
  <si>
    <t xml:space="preserve">GCGAGGAAGTCGTTCAGATC</t>
  </si>
  <si>
    <t xml:space="preserve">TAGTGCGAGGAAGTCGTTCAGATC</t>
  </si>
  <si>
    <t xml:space="preserve">AAACGATCTGAACGACTTCCTCGC</t>
  </si>
  <si>
    <t xml:space="preserve">CCAGGCAGCGGGAGTGGCGC</t>
  </si>
  <si>
    <t xml:space="preserve">TAGTCCAGGCAGCGGGAGTGGCGC</t>
  </si>
  <si>
    <t xml:space="preserve">AAACGCGCCACTCCCGCTGCCTGG</t>
  </si>
  <si>
    <t xml:space="preserve">CATCACGTCCTGGTTCTGCA</t>
  </si>
  <si>
    <t xml:space="preserve">TAGTCATCACGTCCTGGTTCTGCA</t>
  </si>
  <si>
    <t xml:space="preserve">AAACTGCAGAACCAGGACGTGATG</t>
  </si>
  <si>
    <t xml:space="preserve">CCTTTTTCTCGCAGTTGCCG</t>
  </si>
  <si>
    <t xml:space="preserve">TAGTCCTTTTTCTCGCAGTTGCCG</t>
  </si>
  <si>
    <t xml:space="preserve">AAACCGGCAACTGCGAGAAAAAGG</t>
  </si>
  <si>
    <t xml:space="preserve">PST_2050</t>
  </si>
  <si>
    <t xml:space="preserve">lpxH</t>
  </si>
  <si>
    <t xml:space="preserve">GATGCAGATCCGAGATCAGC</t>
  </si>
  <si>
    <t xml:space="preserve">TAGTGATGCAGATCCGAGATCAGC</t>
  </si>
  <si>
    <t xml:space="preserve">AAACGCTGATCTCGGATCTGCATC</t>
  </si>
  <si>
    <t xml:space="preserve">GAAACGCCCGGGTGATATCC</t>
  </si>
  <si>
    <t xml:space="preserve">TAGTGAAACGCCCGGGTGATATCC</t>
  </si>
  <si>
    <t xml:space="preserve">AAACGGATATCACCCGGGCGTTTC</t>
  </si>
  <si>
    <t xml:space="preserve">AATGTACAGGGCTTCGGCCT</t>
  </si>
  <si>
    <t xml:space="preserve">TAGTAATGTACAGGGCTTCGGCCT</t>
  </si>
  <si>
    <t xml:space="preserve">AAACAGGCCGAAGCCCTGTACATT</t>
  </si>
  <si>
    <t xml:space="preserve">CGACTCCTGGAACGGCGTCA</t>
  </si>
  <si>
    <t xml:space="preserve">TAGTCGACTCCTGGAACGGCGTCA</t>
  </si>
  <si>
    <t xml:space="preserve">AAACTGACGCCGTTCCAGGAGTCG</t>
  </si>
  <si>
    <t xml:space="preserve">PST_2051</t>
  </si>
  <si>
    <t xml:space="preserve">ppiB</t>
  </si>
  <si>
    <t xml:space="preserve">GTGCGGGCGTGCCGCTGCAA</t>
  </si>
  <si>
    <t xml:space="preserve">TAGTGTGCGGGCGTGCCGCTGCAA</t>
  </si>
  <si>
    <t xml:space="preserve">AAACTTGCAGCGGCACGCCCGCAC</t>
  </si>
  <si>
    <t xml:space="preserve">CGTGAGGGGTTCCGTTTCGT</t>
  </si>
  <si>
    <t xml:space="preserve">TAGTCGTGAGGGGTTCCGTTTCGT</t>
  </si>
  <si>
    <t xml:space="preserve">AAACACGAAACGGAACCCCTCACG</t>
  </si>
  <si>
    <t xml:space="preserve">GACGGTGATGACGCCGTAGT</t>
  </si>
  <si>
    <t xml:space="preserve">TAGTGACGGTGATGACGCCGTAGT</t>
  </si>
  <si>
    <t xml:space="preserve">AAACACTACGGCGTCATCACCGTC</t>
  </si>
  <si>
    <t xml:space="preserve">TTGAAGTTGGCAGTGGTTTC</t>
  </si>
  <si>
    <t xml:space="preserve">TAGTTTGAAGTTGGCAGTGGTTTC</t>
  </si>
  <si>
    <t xml:space="preserve">AAACGAAACCACTGCCAACTTCAA</t>
  </si>
  <si>
    <t xml:space="preserve">PST_2052</t>
  </si>
  <si>
    <t xml:space="preserve">glnS</t>
  </si>
  <si>
    <t xml:space="preserve">GGGAGTCTCGGGCTTGCTCA</t>
  </si>
  <si>
    <t xml:space="preserve">TAGTGGGAGTCTCGGGCTTGCTCA</t>
  </si>
  <si>
    <t xml:space="preserve">AAACTGAGCAAGCCCGAGACTCCC</t>
  </si>
  <si>
    <t xml:space="preserve">CGGAGAAAGTTGCTAGCGGC</t>
  </si>
  <si>
    <t xml:space="preserve">TAGTCGGAGAAAGTTGCTAGCGGC</t>
  </si>
  <si>
    <t xml:space="preserve">AAACGCCGCTAGCAACTTTCTCCG</t>
  </si>
  <si>
    <t xml:space="preserve">GGTCAGCCTGGACGATCGGA</t>
  </si>
  <si>
    <t xml:space="preserve">TAGTGGTCAGCCTGGACGATCGGA</t>
  </si>
  <si>
    <t xml:space="preserve">AAACTCCGATCGTCCAGGCTGACC</t>
  </si>
  <si>
    <t xml:space="preserve">TGGCATGCTTGCCGGAGTCC</t>
  </si>
  <si>
    <t xml:space="preserve">TAGTTGGCATGCTTGCCGGAGTCC</t>
  </si>
  <si>
    <t xml:space="preserve">AAACGGACTCCGGCAAGCATGCCA</t>
  </si>
  <si>
    <t xml:space="preserve">PST_2053</t>
  </si>
  <si>
    <t xml:space="preserve">cysS</t>
  </si>
  <si>
    <t xml:space="preserve">TCACCCGCGCATGACCGATA</t>
  </si>
  <si>
    <t xml:space="preserve">TAGTTCACCCGCGCATGACCGATA</t>
  </si>
  <si>
    <t xml:space="preserve">AAACTATCGGTCATGCGCGGGTGA</t>
  </si>
  <si>
    <t xml:space="preserve">AGCCTCGGTGGCGCAGCCAG</t>
  </si>
  <si>
    <t xml:space="preserve">TAGTAGCCTCGGTGGCGCAGCCAG</t>
  </si>
  <si>
    <t xml:space="preserve">AAACCTGGCTGCGCCACCGAGGCT</t>
  </si>
  <si>
    <t xml:space="preserve">GTCAGTGATGTTGCGCACGT</t>
  </si>
  <si>
    <t xml:space="preserve">TAGTGTCAGTGATGTTGCGCACGT</t>
  </si>
  <si>
    <t xml:space="preserve">AAACACGTGCGCAACATCACTGAC</t>
  </si>
  <si>
    <t xml:space="preserve">GCTCGCCGTTCTCGCTGGCT</t>
  </si>
  <si>
    <t xml:space="preserve">TAGTGCTCGCCGTTCTCGCTGGCT</t>
  </si>
  <si>
    <t xml:space="preserve">AAACAGCCAGCGAGAACGGCGAGC</t>
  </si>
  <si>
    <t xml:space="preserve">PST_2054</t>
  </si>
  <si>
    <t xml:space="preserve">folD</t>
  </si>
  <si>
    <t xml:space="preserve">TTTACCGTCGATCAGTTTTG</t>
  </si>
  <si>
    <t xml:space="preserve">TAGTTTTACCGTCGATCAGTTTTG</t>
  </si>
  <si>
    <t xml:space="preserve">AAACCAAAACTGATCGACGGTAAA</t>
  </si>
  <si>
    <t xml:space="preserve">AGAAATCTGTTGGCGAATAT</t>
  </si>
  <si>
    <t xml:space="preserve">TAGTAGAAATCTGTTGGCGAATAT</t>
  </si>
  <si>
    <t xml:space="preserve">AAACATATTCGCCAACAGATTTCT</t>
  </si>
  <si>
    <t xml:space="preserve">GAGCCCTTGGGCGCGGCGCT</t>
  </si>
  <si>
    <t xml:space="preserve">TAGTGAGCCCTTGGGCGCGGCGCT</t>
  </si>
  <si>
    <t xml:space="preserve">AAACAGCGCCGCGCCCAAGGGCTC</t>
  </si>
  <si>
    <t xml:space="preserve">TCACGGCGAGGCCGGGTGCG</t>
  </si>
  <si>
    <t xml:space="preserve">TAGTTCACGGCGAGGCCGGGTGCG</t>
  </si>
  <si>
    <t xml:space="preserve">AAACCGCACCCGGCCTCGCCGTGA</t>
  </si>
  <si>
    <t xml:space="preserve">PST_2058</t>
  </si>
  <si>
    <t xml:space="preserve">CAGTGATCTGTGTGCGCAGC</t>
  </si>
  <si>
    <t xml:space="preserve">TAGTCAGTGATCTGTGTGCGCAGC</t>
  </si>
  <si>
    <t xml:space="preserve">AAACGCTGCGCACACAGATCACTG</t>
  </si>
  <si>
    <t xml:space="preserve">CTCACCGCACTTCCATGAGC</t>
  </si>
  <si>
    <t xml:space="preserve">TAGTCTCACCGCACTTCCATGAGC</t>
  </si>
  <si>
    <t xml:space="preserve">AAACGCTCATGGAAGTGCGGTGAG</t>
  </si>
  <si>
    <t xml:space="preserve">TCGCTGAGCTGGGGCTCGGT</t>
  </si>
  <si>
    <t xml:space="preserve">TAGTTCGCTGAGCTGGGGCTCGGT</t>
  </si>
  <si>
    <t xml:space="preserve">AAACACCGAGCCCCAGCTCAGCGA</t>
  </si>
  <si>
    <t xml:space="preserve">CGCGCGCACCGCCTCACGAA</t>
  </si>
  <si>
    <t xml:space="preserve">TAGTCGCGCGCACCGCCTCACGAA</t>
  </si>
  <si>
    <t xml:space="preserve">AAACTTCGTGAGGCGGTGCGCGCG</t>
  </si>
  <si>
    <t xml:space="preserve">PST_2059</t>
  </si>
  <si>
    <t xml:space="preserve">GGCGAGCAGGATTGCCCAAG</t>
  </si>
  <si>
    <t xml:space="preserve">TAGTGGCGAGCAGGATTGCCCAAG</t>
  </si>
  <si>
    <t xml:space="preserve">AAACCTTGGGCAATCCTGCTCGCC</t>
  </si>
  <si>
    <t xml:space="preserve">CCCACCACCCAGGAAAGCAG</t>
  </si>
  <si>
    <t xml:space="preserve">TAGTCCCACCACCCAGGAAAGCAG</t>
  </si>
  <si>
    <t xml:space="preserve">AAACCTGCTTTCCTGGGTGGTGGG</t>
  </si>
  <si>
    <t xml:space="preserve">AAAGCTACCGCCTCCGGCGA</t>
  </si>
  <si>
    <t xml:space="preserve">TAGTAAAGCTACCGCCTCCGGCGA</t>
  </si>
  <si>
    <t xml:space="preserve">AAACTCGCCGGAGGCGGTAGCTTT</t>
  </si>
  <si>
    <t xml:space="preserve">CGCCTGCATAAACCAGGGCC</t>
  </si>
  <si>
    <t xml:space="preserve">TAGTCGCCTGCATAAACCAGGGCC</t>
  </si>
  <si>
    <t xml:space="preserve">AAACGGCCCTGGTTTATGCAGGCG</t>
  </si>
  <si>
    <t xml:space="preserve">PST_2060</t>
  </si>
  <si>
    <t xml:space="preserve">tig</t>
  </si>
  <si>
    <t xml:space="preserve">GCTTTCAACAGAAACTTGCA</t>
  </si>
  <si>
    <t xml:space="preserve">TAGTGCTTTCAACAGAAACTTGCA</t>
  </si>
  <si>
    <t xml:space="preserve">AAACTGCAAGTTTCTGTTGAAAGC</t>
  </si>
  <si>
    <t xml:space="preserve">CATGCGGCGCTCAAGAGCGG</t>
  </si>
  <si>
    <t xml:space="preserve">TAGTCATGCGGCGCTCAAGAGCGG</t>
  </si>
  <si>
    <t xml:space="preserve">AAACCCGCTCTTGAGCGCCGCATG</t>
  </si>
  <si>
    <t xml:space="preserve">GCGCTCGACCGGCACGCCGA</t>
  </si>
  <si>
    <t xml:space="preserve">TAGTGCGCTCGACCGGCACGCCGA</t>
  </si>
  <si>
    <t xml:space="preserve">AAACTCGGCGTGCCGGTCGAGCGC</t>
  </si>
  <si>
    <t xml:space="preserve">TTGCAGACGCTTGTTGACTT</t>
  </si>
  <si>
    <t xml:space="preserve">TAGTTTGCAGACGCTTGTTGACTT</t>
  </si>
  <si>
    <t xml:space="preserve">AAACAAGTCAACAAGCGTCTGCAA</t>
  </si>
  <si>
    <t xml:space="preserve">PST_2061</t>
  </si>
  <si>
    <t xml:space="preserve">clpP</t>
  </si>
  <si>
    <t xml:space="preserve">CCGCCGGCGGCCTGAATGTC</t>
  </si>
  <si>
    <t xml:space="preserve">TAGTCCGCCGGCGGCCTGAATGTC</t>
  </si>
  <si>
    <t xml:space="preserve">AAACGACATTCAGGCCGCCGGCGG</t>
  </si>
  <si>
    <t xml:space="preserve">GCTCGATCACCATCGGGACC</t>
  </si>
  <si>
    <t xml:space="preserve">TAGTGCTCGATCACCATCGGGACC</t>
  </si>
  <si>
    <t xml:space="preserve">AAACGGTCCCGATGGTGATCGAGC</t>
  </si>
  <si>
    <t xml:space="preserve">GTAGGCGCGCTCACCGCGTG</t>
  </si>
  <si>
    <t xml:space="preserve">TAGTGTAGGCGCGCTCACCGCGTG</t>
  </si>
  <si>
    <t xml:space="preserve">AAACCACGCGGTGAGCGCGCCTAC</t>
  </si>
  <si>
    <t xml:space="preserve">AAATCACCCGCTCCTTCAGG</t>
  </si>
  <si>
    <t xml:space="preserve">TAGTAAATCACCCGCTCCTTCAGG</t>
  </si>
  <si>
    <t xml:space="preserve">AAACCCTGAAGGAGCGGGTGATTT</t>
  </si>
  <si>
    <t xml:space="preserve">PST_2062</t>
  </si>
  <si>
    <t xml:space="preserve">clpX</t>
  </si>
  <si>
    <t xml:space="preserve">AGGCTTGAAACACAAGATGA</t>
  </si>
  <si>
    <t xml:space="preserve">TAGTAGGCTTGAAACACAAGATGA</t>
  </si>
  <si>
    <t xml:space="preserve">AAACTCATCTTGTGTTTCAAGCCT</t>
  </si>
  <si>
    <t xml:space="preserve">TTCGATCGATCCAATCGGGA</t>
  </si>
  <si>
    <t xml:space="preserve">TAGTTTCGATCGATCCAATCGGGA</t>
  </si>
  <si>
    <t xml:space="preserve">AAACTCCCGATTGGATCGATCGAA</t>
  </si>
  <si>
    <t xml:space="preserve">GCCGGAGTCCTCGCCGTTGC</t>
  </si>
  <si>
    <t xml:space="preserve">TAGTGCCGGAGTCCTCGCCGTTGC</t>
  </si>
  <si>
    <t xml:space="preserve">AAACGCAACGGCGAGGACTCCGGC</t>
  </si>
  <si>
    <t xml:space="preserve">TCAACTTGCGAACTTCATGC</t>
  </si>
  <si>
    <t xml:space="preserve">TAGTTCAACTTGCGAACTTCATGC</t>
  </si>
  <si>
    <t xml:space="preserve">AAACGCATGAAGTTCGCAAGTTGA</t>
  </si>
  <si>
    <t xml:space="preserve">PST_2063</t>
  </si>
  <si>
    <t xml:space="preserve">lon</t>
  </si>
  <si>
    <t xml:space="preserve">CGGCAAGAGGGGCAATTCGA</t>
  </si>
  <si>
    <t xml:space="preserve">TAGTCGGCAAGAGGGGCAATTCGA</t>
  </si>
  <si>
    <t xml:space="preserve">AAACTCGAATTGCCCCTCTTGCCG</t>
  </si>
  <si>
    <t xml:space="preserve">TAAACCACCACATCGCGCAG</t>
  </si>
  <si>
    <t xml:space="preserve">TAGTTAAACCACCACATCGCGCAG</t>
  </si>
  <si>
    <t xml:space="preserve">AAACCTGCGCGATGTGGTGGTTTA</t>
  </si>
  <si>
    <t xml:space="preserve">AAAGCGGGATCACCATATGC</t>
  </si>
  <si>
    <t xml:space="preserve">TAGTAAAGCGGGATCACCATATGC</t>
  </si>
  <si>
    <t xml:space="preserve">AAACGCATATGGTGATCCCGCTTT</t>
  </si>
  <si>
    <t xml:space="preserve">GCGCCTCGATGGATTTTTCA</t>
  </si>
  <si>
    <t xml:space="preserve">TAGTGCGCCTCGATGGATTTTTCA</t>
  </si>
  <si>
    <t xml:space="preserve">AAACTGAAAAATCCATCGAGGCGC</t>
  </si>
  <si>
    <t xml:space="preserve">PST_2064</t>
  </si>
  <si>
    <t xml:space="preserve">hupB</t>
  </si>
  <si>
    <t xml:space="preserve">GATATCAGCAGATGCAGCGA</t>
  </si>
  <si>
    <t xml:space="preserve">TAGTGATATCAGCAGATGCAGCGA</t>
  </si>
  <si>
    <t xml:space="preserve">AAACTCGCTGCATCTGCTGATATC</t>
  </si>
  <si>
    <t xml:space="preserve">CGCGGCCAGCAACAGCTTTT</t>
  </si>
  <si>
    <t xml:space="preserve">TAGTCGCGGCCAGCAACAGCTTTT</t>
  </si>
  <si>
    <t xml:space="preserve">AAACAAAAGCTGTTGCTGGCCGCG</t>
  </si>
  <si>
    <t xml:space="preserve">AGCCTTCAGGGCGCCGGTGA</t>
  </si>
  <si>
    <t xml:space="preserve">TAGTAGCCTTCAGGGCGCCGGTGA</t>
  </si>
  <si>
    <t xml:space="preserve">AAACTCACCGGCGCCCTGAAGGCT</t>
  </si>
  <si>
    <t xml:space="preserve">ACCGAAACCAACCAGTACCA</t>
  </si>
  <si>
    <t xml:space="preserve">TAGTACCGAAACCAACCAGTACCA</t>
  </si>
  <si>
    <t xml:space="preserve">AAACTGGTACTGGTTGGTTTCGGT</t>
  </si>
  <si>
    <t xml:space="preserve">PST_2065</t>
  </si>
  <si>
    <t xml:space="preserve">ppiD</t>
  </si>
  <si>
    <t xml:space="preserve">GATGACGCCGATGATTGTTT</t>
  </si>
  <si>
    <t xml:space="preserve">TAGTGATGACGCCGATGATTGTTT</t>
  </si>
  <si>
    <t xml:space="preserve">AAACAAACAATCATCGGCGTCATC</t>
  </si>
  <si>
    <t xml:space="preserve">GATGGCATCGAAGCCAGTCA</t>
  </si>
  <si>
    <t xml:space="preserve">TAGTGATGGCATCGAAGCCAGTCA</t>
  </si>
  <si>
    <t xml:space="preserve">AAACTGACTGGCTTCGATGCCATC</t>
  </si>
  <si>
    <t xml:space="preserve">AGCGTTCTGGGCGTTGCTGG</t>
  </si>
  <si>
    <t xml:space="preserve">TAGTAGCGTTCTGGGCGTTGCTGG</t>
  </si>
  <si>
    <t xml:space="preserve">AAACCCAGCAACGCCCAGAACGCT</t>
  </si>
  <si>
    <t xml:space="preserve">GGCCTGGTCGAGGTCGTAGC</t>
  </si>
  <si>
    <t xml:space="preserve">TAGTGGCCTGGTCGAGGTCGTAGC</t>
  </si>
  <si>
    <t xml:space="preserve">AAACGCTACGACCTCGACCAGGCC</t>
  </si>
  <si>
    <t xml:space="preserve">PST_2066</t>
  </si>
  <si>
    <t xml:space="preserve">GGCGGCGAAGTTATAGCGCT</t>
  </si>
  <si>
    <t xml:space="preserve">TAGTGGCGGCGAAGTTATAGCGCT</t>
  </si>
  <si>
    <t xml:space="preserve">AAACAGCGCTATAACTTCGCCGCC</t>
  </si>
  <si>
    <t xml:space="preserve">CCTCGGCAGGCAGCATCGCC</t>
  </si>
  <si>
    <t xml:space="preserve">TAGTCCTCGGCAGGCAGCATCGCC</t>
  </si>
  <si>
    <t xml:space="preserve">AAACGGCGATGCTGCCTGCCGAGG</t>
  </si>
  <si>
    <t xml:space="preserve">GCCAGTCCGGCATCTCTTCG</t>
  </si>
  <si>
    <t xml:space="preserve">TAGTGCCAGTCCGGCATCTCTTCG</t>
  </si>
  <si>
    <t xml:space="preserve">AAACCGAAGAGATGCCGGACTGGC</t>
  </si>
  <si>
    <t xml:space="preserve">TTGTTCCAGTATCGAAGAAC</t>
  </si>
  <si>
    <t xml:space="preserve">TAGTTTGTTCCAGTATCGAAGAAC</t>
  </si>
  <si>
    <t xml:space="preserve">AAACGTTCTTCGATACTGGAACAA</t>
  </si>
  <si>
    <t xml:space="preserve">PST_2067</t>
  </si>
  <si>
    <t xml:space="preserve">CGCGCCAGCAGGTCGAGAAC</t>
  </si>
  <si>
    <t xml:space="preserve">TAGTCGCGCCAGCAGGTCGAGAAC</t>
  </si>
  <si>
    <t xml:space="preserve">AAACGTTCTCGACCTGCTGGCGCG</t>
  </si>
  <si>
    <t xml:space="preserve">GGATGAAGTTCGCGTAGTTG</t>
  </si>
  <si>
    <t xml:space="preserve">TAGTGGATGAAGTTCGCGTAGTTG</t>
  </si>
  <si>
    <t xml:space="preserve">AAACCAACTACGCGAACTTCATCC</t>
  </si>
  <si>
    <t xml:space="preserve">GCGGCACGAAGCGCGGGTTC</t>
  </si>
  <si>
    <t xml:space="preserve">TAGTGCGGCACGAAGCGCGGGTTC</t>
  </si>
  <si>
    <t xml:space="preserve">AAACGAACCCGCGCTTCGTGCCGC</t>
  </si>
  <si>
    <t xml:space="preserve">CTCCAGATCGCGGTTGAGGG</t>
  </si>
  <si>
    <t xml:space="preserve">TAGTCTCCAGATCGCGGTTGAGGG</t>
  </si>
  <si>
    <t xml:space="preserve">AAACCCCTCAACCGCGATCTGGAG</t>
  </si>
  <si>
    <t xml:space="preserve">PST_2068</t>
  </si>
  <si>
    <t xml:space="preserve">GCTCCAGCAGCAGCCAGACC</t>
  </si>
  <si>
    <t xml:space="preserve">TAGTGCTCCAGCAGCAGCCAGACC</t>
  </si>
  <si>
    <t xml:space="preserve">AAACGGTCTGGCTGCTGCTGGAGC</t>
  </si>
  <si>
    <t xml:space="preserve">TGCAGAACACGCACTGCAAC</t>
  </si>
  <si>
    <t xml:space="preserve">TAGTTGCAGAACACGCACTGCAAC</t>
  </si>
  <si>
    <t xml:space="preserve">AAACGTTGCAGTGCGTGTTCTGCA</t>
  </si>
  <si>
    <t xml:space="preserve">CGGTAATCGGCGAAGTTGCG</t>
  </si>
  <si>
    <t xml:space="preserve">TAGTCGGTAATCGGCGAAGTTGCG</t>
  </si>
  <si>
    <t xml:space="preserve">AAACCGCAACTTCGCCGATTACCG</t>
  </si>
  <si>
    <t xml:space="preserve">CTGTGCTGAGCTCGTCCGGA</t>
  </si>
  <si>
    <t xml:space="preserve">TAGTCTGTGCTGAGCTCGTCCGGA</t>
  </si>
  <si>
    <t xml:space="preserve">AAACTCCGGACGAGCTCAGCACAG</t>
  </si>
  <si>
    <t xml:space="preserve">PST_2069</t>
  </si>
  <si>
    <t xml:space="preserve">GTAGCGGTCGGTCGGCGCTA</t>
  </si>
  <si>
    <t xml:space="preserve">TAGTGTAGCGGTCGGTCGGCGCTA</t>
  </si>
  <si>
    <t xml:space="preserve">AAACTAGCGCCGACCGACCGCTAC</t>
  </si>
  <si>
    <t xml:space="preserve">AGCGGAACAGAAAAGGTGGA</t>
  </si>
  <si>
    <t xml:space="preserve">TAGTAGCGGAACAGAAAAGGTGGA</t>
  </si>
  <si>
    <t xml:space="preserve">AAACTCCACCTTTTCTGTTCCGCT</t>
  </si>
  <si>
    <t xml:space="preserve">GAGCAGCACGTGGGCCTGCT</t>
  </si>
  <si>
    <t xml:space="preserve">TAGTGAGCAGCACGTGGGCCTGCT</t>
  </si>
  <si>
    <t xml:space="preserve">AAACAGCAGGCCCACGTGCTGCTC</t>
  </si>
  <si>
    <t xml:space="preserve">TTGAGCTTGACGATGCCTTC</t>
  </si>
  <si>
    <t xml:space="preserve">TAGTTTGAGCTTGACGATGCCTTC</t>
  </si>
  <si>
    <t xml:space="preserve">AAACGAAGGCATCGTCAAGCTCAA</t>
  </si>
  <si>
    <t xml:space="preserve">PST_2070</t>
  </si>
  <si>
    <t xml:space="preserve">GTGGTTCTGCGCCCTTGTCC</t>
  </si>
  <si>
    <t xml:space="preserve">TAGTGTGGTTCTGCGCCCTTGTCC</t>
  </si>
  <si>
    <t xml:space="preserve">AAACGGACAAGGGCGCAGAACCAC</t>
  </si>
  <si>
    <t xml:space="preserve">GGTCGTGCTTTTCTTGCGCT</t>
  </si>
  <si>
    <t xml:space="preserve">TAGTGGTCGTGCTTTTCTTGCGCT</t>
  </si>
  <si>
    <t xml:space="preserve">AAACAGCGCAAGAAAAGCACGACC</t>
  </si>
  <si>
    <t xml:space="preserve">GGGTCGGTTTTGCAGGCTTT</t>
  </si>
  <si>
    <t xml:space="preserve">TAGTGGGTCGGTTTTGCAGGCTTT</t>
  </si>
  <si>
    <t xml:space="preserve">AAACAAAGCCTGCAAAACCGACCC</t>
  </si>
  <si>
    <t xml:space="preserve">GGGCATCTAATAAGACTTTG</t>
  </si>
  <si>
    <t xml:space="preserve">TAGTGGGCATCTAATAAGACTTTG</t>
  </si>
  <si>
    <t xml:space="preserve">AAACCAAAGTCTTATTAGATGCCC</t>
  </si>
  <si>
    <t xml:space="preserve">PST_2071</t>
  </si>
  <si>
    <t xml:space="preserve">GGCGCCTGGGGTACCGGGCT</t>
  </si>
  <si>
    <t xml:space="preserve">TAGTGGCGCCTGGGGTACCGGGCT</t>
  </si>
  <si>
    <t xml:space="preserve">AAACAGCCCGGTACCCCAGGCGCC</t>
  </si>
  <si>
    <t xml:space="preserve">ACGGGGCTTGAAGGAAACGA</t>
  </si>
  <si>
    <t xml:space="preserve">TAGTACGGGGCTTGAAGGAAACGA</t>
  </si>
  <si>
    <t xml:space="preserve">AAACTCGTTTCCTTCAAGCCCCGT</t>
  </si>
  <si>
    <t xml:space="preserve">AAGTACTCGCCTTTGACCGG</t>
  </si>
  <si>
    <t xml:space="preserve">TAGTAAGTACTCGCCTTTGACCGG</t>
  </si>
  <si>
    <t xml:space="preserve">AAACCCGGTCAAAGGCGAGTACTT</t>
  </si>
  <si>
    <t xml:space="preserve">CACTTCACCATTGACGGGCG</t>
  </si>
  <si>
    <t xml:space="preserve">TAGTCACTTCACCATTGACGGGCG</t>
  </si>
  <si>
    <t xml:space="preserve">AAACCGCCCGTCAATGGTGAAGTG</t>
  </si>
  <si>
    <t xml:space="preserve">PST_2072</t>
  </si>
  <si>
    <t xml:space="preserve">morB</t>
  </si>
  <si>
    <t xml:space="preserve">GGCTCGAGCAATTGCGGCAT</t>
  </si>
  <si>
    <t xml:space="preserve">TAGTGGCTCGAGCAATTGCGGCAT</t>
  </si>
  <si>
    <t xml:space="preserve">AAACATGCCGCAATTGCTCGAGCC</t>
  </si>
  <si>
    <t xml:space="preserve">CGCAGGTGCTTCAGCGAGCA</t>
  </si>
  <si>
    <t xml:space="preserve">TAGTCGCAGGTGCTTCAGCGAGCA</t>
  </si>
  <si>
    <t xml:space="preserve">AAACTGCTCGCTGAAGCACCTGCG</t>
  </si>
  <si>
    <t xml:space="preserve">CCGGGTCATGGGTGCGACGA</t>
  </si>
  <si>
    <t xml:space="preserve">TAGTCCGGGTCATGGGTGCGACGA</t>
  </si>
  <si>
    <t xml:space="preserve">AAACTCGTCGCACCCATGACCCGG</t>
  </si>
  <si>
    <t xml:space="preserve">AGTTCGTTGGCAGCGCCCTC</t>
  </si>
  <si>
    <t xml:space="preserve">TAGTAGTTCGTTGGCAGCGCCCTC</t>
  </si>
  <si>
    <t xml:space="preserve">AAACGAGGGCGCTGCCAACGAACT</t>
  </si>
  <si>
    <t xml:space="preserve">PST_2073</t>
  </si>
  <si>
    <t xml:space="preserve">pqqB</t>
  </si>
  <si>
    <t xml:space="preserve">ACCGAGAATTCGGATGAACA</t>
  </si>
  <si>
    <t xml:space="preserve">TAGTACCGAGAATTCGGATGAACA</t>
  </si>
  <si>
    <t xml:space="preserve">AAACTGTTCATCCGAATTCTCGGT</t>
  </si>
  <si>
    <t xml:space="preserve">CGGAAAACCTCCACCCGCGG</t>
  </si>
  <si>
    <t xml:space="preserve">TAGTCGGAAAACCTCCACCCGCGG</t>
  </si>
  <si>
    <t xml:space="preserve">AAACCCGCGGGTGGAGGTTTTCCG</t>
  </si>
  <si>
    <t xml:space="preserve">GCGCAGTTGCAGTTCCACTG</t>
  </si>
  <si>
    <t xml:space="preserve">TAGTGCGCAGTTGCAGTTCCACTG</t>
  </si>
  <si>
    <t xml:space="preserve">AAACCAGTGGAACTGCAACTGCGC</t>
  </si>
  <si>
    <t xml:space="preserve">GGCGCGCAGGCCCGCACAGT</t>
  </si>
  <si>
    <t xml:space="preserve">TAGTGGCGCGCAGGCCCGCACAGT</t>
  </si>
  <si>
    <t xml:space="preserve">AAACACTGTGCGGGCCTGCGCGCC</t>
  </si>
  <si>
    <t xml:space="preserve">PST_2074</t>
  </si>
  <si>
    <t xml:space="preserve">pqqC</t>
  </si>
  <si>
    <t xml:space="preserve">CGTCGCCTGCCCGGCATACA</t>
  </si>
  <si>
    <t xml:space="preserve">TAGTCGTCGCCTGCCCGGCATACA</t>
  </si>
  <si>
    <t xml:space="preserve">AAACTGTATGCCGGGCAGGCGACG</t>
  </si>
  <si>
    <t xml:space="preserve">GACCTGATAGTAGAAGCGGT</t>
  </si>
  <si>
    <t xml:space="preserve">TAGTGACCTGATAGTAGAAGCGGT</t>
  </si>
  <si>
    <t xml:space="preserve">AAACACCGCTTCTACTATCAGGTC</t>
  </si>
  <si>
    <t xml:space="preserve">TGATCGCTGCATCCTTCACC</t>
  </si>
  <si>
    <t xml:space="preserve">TAGTTGATCGCTGCATCCTTCACC</t>
  </si>
  <si>
    <t xml:space="preserve">AAACGGTGAAGGATGCAGCGATCA</t>
  </si>
  <si>
    <t xml:space="preserve">GGTGTCGCGGTCCGGACAGT</t>
  </si>
  <si>
    <t xml:space="preserve">TAGTGGTGTCGCGGTCCGGACAGT</t>
  </si>
  <si>
    <t xml:space="preserve">AAACACTGTCCGGACCGCGACACC</t>
  </si>
  <si>
    <t xml:space="preserve">PST_2075</t>
  </si>
  <si>
    <t xml:space="preserve">GCGGCGAAAGGATGGAACCT</t>
  </si>
  <si>
    <t xml:space="preserve">TAGTGCGGCGAAAGGATGGAACCT</t>
  </si>
  <si>
    <t xml:space="preserve">AAACAGGTTCCATCCTTTCGCCGC</t>
  </si>
  <si>
    <t xml:space="preserve">GCGCCGGCTCCCACTGGAAG</t>
  </si>
  <si>
    <t xml:space="preserve">TAGTGCGCCGGCTCCCACTGGAAG</t>
  </si>
  <si>
    <t xml:space="preserve">AAACCTTCCAGTGGGAGCCGGCGC</t>
  </si>
  <si>
    <t xml:space="preserve">TTGAGTTTGATCATACCTTC</t>
  </si>
  <si>
    <t xml:space="preserve">TAGTTTGAGTTTGATCATACCTTC</t>
  </si>
  <si>
    <t xml:space="preserve">AAACGAAGGTATGATCAAACTCAA</t>
  </si>
  <si>
    <t xml:space="preserve">CACCTCGGTCAGCACTGCTG</t>
  </si>
  <si>
    <t xml:space="preserve">TAGTCACCTCGGTCAGCACTGCTG</t>
  </si>
  <si>
    <t xml:space="preserve">AAACCAGCAGTGCTGACCGAGGTG</t>
  </si>
  <si>
    <t xml:space="preserve">PST_2076</t>
  </si>
  <si>
    <t xml:space="preserve">TCCGGAAAAGCCCAGCTGGG</t>
  </si>
  <si>
    <t xml:space="preserve">TAGTTCCGGAAAAGCCCAGCTGGG</t>
  </si>
  <si>
    <t xml:space="preserve">AAACCCCAGCTGGGCTTTTCCGGA</t>
  </si>
  <si>
    <t xml:space="preserve">ACAAGGTCCTGACGGACCAG</t>
  </si>
  <si>
    <t xml:space="preserve">TAGTACAAGGTCCTGACGGACCAG</t>
  </si>
  <si>
    <t xml:space="preserve">AAACCTGGTCCGTCAGGACCTTGT</t>
  </si>
  <si>
    <t xml:space="preserve">GTAGCCGAGCCCGCGCGCGG</t>
  </si>
  <si>
    <t xml:space="preserve">TAGTGTAGCCGAGCCCGCGCGCGG</t>
  </si>
  <si>
    <t xml:space="preserve">AAACCCGCGCGCGGGCTCGGCTAC</t>
  </si>
  <si>
    <t xml:space="preserve">TTCGGTAAGGCCGATGCCTG</t>
  </si>
  <si>
    <t xml:space="preserve">TAGTTTCGGTAAGGCCGATGCCTG</t>
  </si>
  <si>
    <t xml:space="preserve">AAACCAGGCATCGGCCTTACCGAA</t>
  </si>
  <si>
    <t xml:space="preserve">PST_2077</t>
  </si>
  <si>
    <t xml:space="preserve">AGCATGGACGAATCGTTGCG</t>
  </si>
  <si>
    <t xml:space="preserve">TAGTAGCATGGACGAATCGTTGCG</t>
  </si>
  <si>
    <t xml:space="preserve">AAACCGCAACGATTCGTCCATGCT</t>
  </si>
  <si>
    <t xml:space="preserve">TAGGGCAGCACCTCGGCGGA</t>
  </si>
  <si>
    <t xml:space="preserve">TAGTTAGGGCAGCACCTCGGCGGA</t>
  </si>
  <si>
    <t xml:space="preserve">AAACTCCGCCGAGGTGCTGCCCTA</t>
  </si>
  <si>
    <t xml:space="preserve">GCTTCGGCACTCCAGTCGCT</t>
  </si>
  <si>
    <t xml:space="preserve">TAGTGCTTCGGCACTCCAGTCGCT</t>
  </si>
  <si>
    <t xml:space="preserve">AAACAGCGACTGGAGTGCCGAAGC</t>
  </si>
  <si>
    <t xml:space="preserve">GTCCCGGCTGGCGGCCGCAG</t>
  </si>
  <si>
    <t xml:space="preserve">TAGTGTCCCGGCTGGCGGCCGCAG</t>
  </si>
  <si>
    <t xml:space="preserve">AAACCTGCGGCCGCCAGCCGGGAC</t>
  </si>
  <si>
    <t xml:space="preserve">PST_2078</t>
  </si>
  <si>
    <t xml:space="preserve">TTTTTTATTTTTTGTAACAA</t>
  </si>
  <si>
    <t xml:space="preserve">TAGTTTTTTTATTTTTTGTAACAA</t>
  </si>
  <si>
    <t xml:space="preserve">AAACTTGTTACAAAAAATAAAAAA</t>
  </si>
  <si>
    <t xml:space="preserve">GATATTCGGGCTCATGACTG</t>
  </si>
  <si>
    <t xml:space="preserve">TAGTGATATTCGGGCTCATGACTG</t>
  </si>
  <si>
    <t xml:space="preserve">AAACCAGTCATGAGCCCGAATATC</t>
  </si>
  <si>
    <t xml:space="preserve">GGGAGACGAACTTGCGCTGG</t>
  </si>
  <si>
    <t xml:space="preserve">TAGTGGGAGACGAACTTGCGCTGG</t>
  </si>
  <si>
    <t xml:space="preserve">AAACCCAGCGCAAGTTCGTCTCCC</t>
  </si>
  <si>
    <t xml:space="preserve">GGCACCAAAGATGATTTCAG</t>
  </si>
  <si>
    <t xml:space="preserve">TAGTGGCACCAAAGATGATTTCAG</t>
  </si>
  <si>
    <t xml:space="preserve">AAACCTGAAATCATCTTTGGTGCC</t>
  </si>
  <si>
    <t xml:space="preserve">PST_2079</t>
  </si>
  <si>
    <t xml:space="preserve">GTGCCAGCAGCTCGGGGTAG</t>
  </si>
  <si>
    <t xml:space="preserve">TAGTGTGCCAGCAGCTCGGGGTAG</t>
  </si>
  <si>
    <t xml:space="preserve">AAACCTACCCCGAGCTGCTGGCAC</t>
  </si>
  <si>
    <t xml:space="preserve">GTTCGGCTTCCAGCTCTTCC</t>
  </si>
  <si>
    <t xml:space="preserve">TAGTGTTCGGCTTCCAGCTCTTCC</t>
  </si>
  <si>
    <t xml:space="preserve">AAACGGAAGAGCTGGAAGCCGAAC</t>
  </si>
  <si>
    <t xml:space="preserve">TGCCTTCCTGCAGGCTGGCC</t>
  </si>
  <si>
    <t xml:space="preserve">TAGTTGCCTTCCTGCAGGCTGGCC</t>
  </si>
  <si>
    <t xml:space="preserve">AAACGGCCAGCCTGCAGGAAGGCA</t>
  </si>
  <si>
    <t xml:space="preserve">CCAGCGCCGGATTGGCTGCG</t>
  </si>
  <si>
    <t xml:space="preserve">TAGTCCAGCGCCGGATTGGCTGCG</t>
  </si>
  <si>
    <t xml:space="preserve">AAACCGCAGCCAATCCGGCGCTGG</t>
  </si>
  <si>
    <t xml:space="preserve">PST_2080</t>
  </si>
  <si>
    <t xml:space="preserve">GAGACGCAGGTAGGCTTTCA</t>
  </si>
  <si>
    <t xml:space="preserve">TAGTGAGACGCAGGTAGGCTTTCA</t>
  </si>
  <si>
    <t xml:space="preserve">AAACTGAAAGCCTACCTGCGTCTC</t>
  </si>
  <si>
    <t xml:space="preserve">TCCCGTTCAGGGGAAGCGCG</t>
  </si>
  <si>
    <t xml:space="preserve">TAGTTCCCGTTCAGGGGAAGCGCG</t>
  </si>
  <si>
    <t xml:space="preserve">AAACCGCGCTTCCCCTGAACGGGA</t>
  </si>
  <si>
    <t xml:space="preserve">GCATCTTTCTGCATCTGACA</t>
  </si>
  <si>
    <t xml:space="preserve">TAGTGCATCTTTCTGCATCTGACA</t>
  </si>
  <si>
    <t xml:space="preserve">AAACTGTCAGATGCAGAAAGATGC</t>
  </si>
  <si>
    <t xml:space="preserve">GGCGCGAGCGCCATATGGCC</t>
  </si>
  <si>
    <t xml:space="preserve">TAGTGGCGCGAGCGCCATATGGCC</t>
  </si>
  <si>
    <t xml:space="preserve">AAACGGCCATATGGCGCTCGCGCC</t>
  </si>
  <si>
    <t xml:space="preserve">PST_2081</t>
  </si>
  <si>
    <t xml:space="preserve">GCGAAAGAATCGGATCATCA</t>
  </si>
  <si>
    <t xml:space="preserve">TAGTGCGAAAGAATCGGATCATCA</t>
  </si>
  <si>
    <t xml:space="preserve">AAACTGATGATCCGATTCTTTCGC</t>
  </si>
  <si>
    <t xml:space="preserve">GAAGCACGGCCGGCAGCGCT</t>
  </si>
  <si>
    <t xml:space="preserve">TAGTGAAGCACGGCCGGCAGCGCT</t>
  </si>
  <si>
    <t xml:space="preserve">AAACAGCGCTGCCGGCCGTGCTTC</t>
  </si>
  <si>
    <t xml:space="preserve">GGCAGCCAAAAGGCGAACAA</t>
  </si>
  <si>
    <t xml:space="preserve">TAGTGGCAGCCAAAAGGCGAACAA</t>
  </si>
  <si>
    <t xml:space="preserve">AAACTTGTTCGCCTTTTGGCTGCC</t>
  </si>
  <si>
    <t xml:space="preserve">GTCAGGCCGGCAGCCGTGCC</t>
  </si>
  <si>
    <t xml:space="preserve">TAGTGTCAGGCCGGCAGCCGTGCC</t>
  </si>
  <si>
    <t xml:space="preserve">AAACGGCACGGCTGCCGGCCTGAC</t>
  </si>
  <si>
    <t xml:space="preserve">PST_2082</t>
  </si>
  <si>
    <t xml:space="preserve">TGATGCTTGCAAGAACAGTA</t>
  </si>
  <si>
    <t xml:space="preserve">TAGTTGATGCTTGCAAGAACAGTA</t>
  </si>
  <si>
    <t xml:space="preserve">AAACTACTGTTCTTGCAAGCATCA</t>
  </si>
  <si>
    <t xml:space="preserve">TGCCATGTCGCCGTATTGGC</t>
  </si>
  <si>
    <t xml:space="preserve">TAGTTGCCATGTCGCCGTATTGGC</t>
  </si>
  <si>
    <t xml:space="preserve">AAACGCCAATACGGCGACATGGCA</t>
  </si>
  <si>
    <t xml:space="preserve">CTGGGCATGGCTGCCGGCTT</t>
  </si>
  <si>
    <t xml:space="preserve">TAGTCTGGGCATGGCTGCCGGCTT</t>
  </si>
  <si>
    <t xml:space="preserve">AAACAAGCCGGCAGCCATGCCCAG</t>
  </si>
  <si>
    <t xml:space="preserve">AGCGATGCTGAGGAACCATC</t>
  </si>
  <si>
    <t xml:space="preserve">TAGTAGCGATGCTGAGGAACCATC</t>
  </si>
  <si>
    <t xml:space="preserve">AAACGATGGTTCCTCAGCATCGCT</t>
  </si>
  <si>
    <t xml:space="preserve">PST_2083</t>
  </si>
  <si>
    <t xml:space="preserve">CACGGACCAGCGAATCAGCG</t>
  </si>
  <si>
    <t xml:space="preserve">TAGTCACGGACCAGCGAATCAGCG</t>
  </si>
  <si>
    <t xml:space="preserve">AAACCGCTGATTCGCTGGTCCGTG</t>
  </si>
  <si>
    <t xml:space="preserve">CACCGCGCTCATCAACAGCG</t>
  </si>
  <si>
    <t xml:space="preserve">TAGTCACCGCGCTCATCAACAGCG</t>
  </si>
  <si>
    <t xml:space="preserve">AAACCGCTGTTGATGAGCGCGGTG</t>
  </si>
  <si>
    <t xml:space="preserve">CGGCAGGGCGTCGATCGGCG</t>
  </si>
  <si>
    <t xml:space="preserve">TAGTCGGCAGGGCGTCGATCGGCG</t>
  </si>
  <si>
    <t xml:space="preserve">AAACCGCCGATCGACGCCCTGCCG</t>
  </si>
  <si>
    <t xml:space="preserve">TGATCACCTGCACGTCGGAA</t>
  </si>
  <si>
    <t xml:space="preserve">TAGTTGATCACCTGCACGTCGGAA</t>
  </si>
  <si>
    <t xml:space="preserve">AAACTTCCGACGTGCAGGTGATCA</t>
  </si>
  <si>
    <t xml:space="preserve">PST_2084</t>
  </si>
  <si>
    <t xml:space="preserve">TTGAGACTTTGACCGTCCAT</t>
  </si>
  <si>
    <t xml:space="preserve">TAGTTTGAGACTTTGACCGTCCAT</t>
  </si>
  <si>
    <t xml:space="preserve">AAACATGGACGGTCAAAGTCTCAA</t>
  </si>
  <si>
    <t xml:space="preserve">GTCCTGAGCGAAAGCCTCAG</t>
  </si>
  <si>
    <t xml:space="preserve">TAGTGTCCTGAGCGAAAGCCTCAG</t>
  </si>
  <si>
    <t xml:space="preserve">AAACCTGAGGCTTTCGCTCAGGAC</t>
  </si>
  <si>
    <t xml:space="preserve">GCGGCAATGAATGTGAGCAT</t>
  </si>
  <si>
    <t xml:space="preserve">TAGTGCGGCAATGAATGTGAGCAT</t>
  </si>
  <si>
    <t xml:space="preserve">AAACATGCTCACATTCATTGCCGC</t>
  </si>
  <si>
    <t xml:space="preserve">CAGCCTGCCTGCCGCCAAGT</t>
  </si>
  <si>
    <t xml:space="preserve">TAGTCAGCCTGCCTGCCGCCAAGT</t>
  </si>
  <si>
    <t xml:space="preserve">AAACACTTGGCGGCAGGCAGGCTG</t>
  </si>
  <si>
    <t xml:space="preserve">PST_2085</t>
  </si>
  <si>
    <t xml:space="preserve">gacA</t>
  </si>
  <si>
    <t xml:space="preserve">TGCCCGTACGAACCAGATCG</t>
  </si>
  <si>
    <t xml:space="preserve">TAGTTGCCCGTACGAACCAGATCG</t>
  </si>
  <si>
    <t xml:space="preserve">AAACCGATCTGGTTCGTACGGGCA</t>
  </si>
  <si>
    <t xml:space="preserve">CTGACCTATCACCTGAAGGC</t>
  </si>
  <si>
    <t xml:space="preserve">TAGTCTGACCTATCACCTGAAGGC</t>
  </si>
  <si>
    <t xml:space="preserve">AAACGCCTTCAGGTGATAGGTCAG</t>
  </si>
  <si>
    <t xml:space="preserve">GCTTGAGTTCCCGAGCCTTG</t>
  </si>
  <si>
    <t xml:space="preserve">TAGTGCTTGAGTTCCCGAGCCTTG</t>
  </si>
  <si>
    <t xml:space="preserve">AAACCAAGGCTCGGGAACTCAAGC</t>
  </si>
  <si>
    <t xml:space="preserve">GACGTCCATCAGCACCACAT</t>
  </si>
  <si>
    <t xml:space="preserve">TAGTGACGTCCATCAGCACCACAT</t>
  </si>
  <si>
    <t xml:space="preserve">AAACATGTGGTGCTGATGGACGTC</t>
  </si>
  <si>
    <t xml:space="preserve">PST_2086</t>
  </si>
  <si>
    <t xml:space="preserve">uvrC</t>
  </si>
  <si>
    <t xml:space="preserve">CTTGCCGACATAGAGCAGCT</t>
  </si>
  <si>
    <t xml:space="preserve">TAGTCTTGCCGACATAGAGCAGCT</t>
  </si>
  <si>
    <t xml:space="preserve">AAACAGCTGCTCTATGTCGGCAAG</t>
  </si>
  <si>
    <t xml:space="preserve">AGCTGGCCAGGCGCTTTTTC</t>
  </si>
  <si>
    <t xml:space="preserve">TAGTAGCTGGCCAGGCGCTTTTTC</t>
  </si>
  <si>
    <t xml:space="preserve">AAACGAAAAAGCGCCTGGCCAGCT</t>
  </si>
  <si>
    <t xml:space="preserve">TGGGTGCCTGCCCGGTCTTG</t>
  </si>
  <si>
    <t xml:space="preserve">TAGTTGGGTGCCTGCCCGGTCTTG</t>
  </si>
  <si>
    <t xml:space="preserve">AAACCAAGACCGGGCAGGCACCCA</t>
  </si>
  <si>
    <t xml:space="preserve">GGCCACCAGCGCAGCGGTTT</t>
  </si>
  <si>
    <t xml:space="preserve">TAGTGGCCACCAGCGCAGCGGTTT</t>
  </si>
  <si>
    <t xml:space="preserve">AAACAAACCGCTGCGCTGGTGGCC</t>
  </si>
  <si>
    <t xml:space="preserve">PST_2087</t>
  </si>
  <si>
    <t xml:space="preserve">pgsA</t>
  </si>
  <si>
    <t xml:space="preserve">CACTGATCGGCGGAATTCGG</t>
  </si>
  <si>
    <t xml:space="preserve">TAGTCACTGATCGGCGGAATTCGG</t>
  </si>
  <si>
    <t xml:space="preserve">AAACCCGAATTCCGCCGATCAGTG</t>
  </si>
  <si>
    <t xml:space="preserve">AGCAGGTTCGGGATATTCAT</t>
  </si>
  <si>
    <t xml:space="preserve">TAGTAGCAGGTTCGGGATATTCAT</t>
  </si>
  <si>
    <t xml:space="preserve">AAACATGAATATCCCGAACCTGCT</t>
  </si>
  <si>
    <t xml:space="preserve">TATCAGCAGCACGCGCAGAA</t>
  </si>
  <si>
    <t xml:space="preserve">TAGTTATCAGCAGCACGCGCAGAA</t>
  </si>
  <si>
    <t xml:space="preserve">AAACTTCTGCGCGTGCTGCTGATA</t>
  </si>
  <si>
    <t xml:space="preserve">TAGAAAAGCAGGATGAAGAT</t>
  </si>
  <si>
    <t xml:space="preserve">TAGTTAGAAAAGCAGGATGAAGAT</t>
  </si>
  <si>
    <t xml:space="preserve">AAACATCTTCATCCTGCTTTTCTA</t>
  </si>
  <si>
    <t xml:space="preserve">PST_2089</t>
  </si>
  <si>
    <t xml:space="preserve">AAAGGCTGAGAGGCGTCGCA</t>
  </si>
  <si>
    <t xml:space="preserve">TAGTAAAGGCTGAGAGGCGTCGCA</t>
  </si>
  <si>
    <t xml:space="preserve">AAACTGCGACGCCTCTCAGCCTTT</t>
  </si>
  <si>
    <t xml:space="preserve">CGAGCTGAACAGAATCGCGA</t>
  </si>
  <si>
    <t xml:space="preserve">TAGTCGAGCTGAACAGAATCGCGA</t>
  </si>
  <si>
    <t xml:space="preserve">AAACTCGCGATTCTGTTCAGCTCG</t>
  </si>
  <si>
    <t xml:space="preserve">CGATCTTGGCCATGTCCATG</t>
  </si>
  <si>
    <t xml:space="preserve">TAGTCGATCTTGGCCATGTCCATG</t>
  </si>
  <si>
    <t xml:space="preserve">AAACCATGGACATGGCCAAGATCG</t>
  </si>
  <si>
    <t xml:space="preserve">AGCCGCGTCCTTCGGTGGGT</t>
  </si>
  <si>
    <t xml:space="preserve">TAGTAGCCGCGTCCTTCGGTGGGT</t>
  </si>
  <si>
    <t xml:space="preserve">AAACACCCACCGAAGGACGCGGCT</t>
  </si>
  <si>
    <t xml:space="preserve">PST_2091</t>
  </si>
  <si>
    <t xml:space="preserve">CCACCGCGGCTGCGATAGCC</t>
  </si>
  <si>
    <t xml:space="preserve">TAGTCCACCGCGGCTGCGATAGCC</t>
  </si>
  <si>
    <t xml:space="preserve">AAACGGCTATCGCAGCCGCGGTGG</t>
  </si>
  <si>
    <t xml:space="preserve">CAGGCCCAGCACTGGGAAGA</t>
  </si>
  <si>
    <t xml:space="preserve">TAGTCAGGCCCAGCACTGGGAAGA</t>
  </si>
  <si>
    <t xml:space="preserve">AAACTCTTCCCAGTGCTGGGCCTG</t>
  </si>
  <si>
    <t xml:space="preserve">PST_2092</t>
  </si>
  <si>
    <t xml:space="preserve">TTGCTGGCACTTGGCGCAGC</t>
  </si>
  <si>
    <t xml:space="preserve">TAGTTTGCTGGCACTTGGCGCAGC</t>
  </si>
  <si>
    <t xml:space="preserve">AAACGCTGCGCCAAGTGCCAGCAA</t>
  </si>
  <si>
    <t xml:space="preserve">ACGTGCCGCCGCTTCGGTAT</t>
  </si>
  <si>
    <t xml:space="preserve">TAGTACGTGCCGCCGCTTCGGTAT</t>
  </si>
  <si>
    <t xml:space="preserve">AAACATACCGAAGCGGCGGCACGT</t>
  </si>
  <si>
    <t xml:space="preserve">CGAGCTGATATTCCAGACCG</t>
  </si>
  <si>
    <t xml:space="preserve">TAGTCGAGCTGATATTCCAGACCG</t>
  </si>
  <si>
    <t xml:space="preserve">AAACCGGTCTGGAATATCAGCTCG</t>
  </si>
  <si>
    <t xml:space="preserve">ATCGATGATCGCGTTGACGT</t>
  </si>
  <si>
    <t xml:space="preserve">TAGTATCGATGATCGCGTTGACGT</t>
  </si>
  <si>
    <t xml:space="preserve">AAACACGTCAACGCGATCATCGAT</t>
  </si>
  <si>
    <t xml:space="preserve">PST_2093</t>
  </si>
  <si>
    <t xml:space="preserve">AGGAGCCGATCGCTCGGGCG</t>
  </si>
  <si>
    <t xml:space="preserve">TAGTAGGAGCCGATCGCTCGGGCG</t>
  </si>
  <si>
    <t xml:space="preserve">AAACCGCCCGAGCGATCGGCTCCT</t>
  </si>
  <si>
    <t xml:space="preserve">GAAGGGGAGGCGTCAGCCGA</t>
  </si>
  <si>
    <t xml:space="preserve">TAGTGAAGGGGAGGCGTCAGCCGA</t>
  </si>
  <si>
    <t xml:space="preserve">AAACTCGGCTGACGCCTCCCCTTC</t>
  </si>
  <si>
    <t xml:space="preserve">GGTCGCGCCAGAAACGCGCC</t>
  </si>
  <si>
    <t xml:space="preserve">TAGTGGTCGCGCCAGAAACGCGCC</t>
  </si>
  <si>
    <t xml:space="preserve">AAACGGCGCGTTTCTGGCGCGACC</t>
  </si>
  <si>
    <t xml:space="preserve">GCACCTTGGCCTCGCCAGGG</t>
  </si>
  <si>
    <t xml:space="preserve">TAGTGCACCTTGGCCTCGCCAGGG</t>
  </si>
  <si>
    <t xml:space="preserve">AAACCCCTGGCGAGGCCAAGGTGC</t>
  </si>
  <si>
    <t xml:space="preserve">PST_2094</t>
  </si>
  <si>
    <t xml:space="preserve">GCTGGTCACTTGGCATTGAG</t>
  </si>
  <si>
    <t xml:space="preserve">TAGTGCTGGTCACTTGGCATTGAG</t>
  </si>
  <si>
    <t xml:space="preserve">AAACCTCAATGCCAAGTGACCAGC</t>
  </si>
  <si>
    <t xml:space="preserve">GAAGAAGCCCAGTGGCGCCC</t>
  </si>
  <si>
    <t xml:space="preserve">TAGTGAAGAAGCCCAGTGGCGCCC</t>
  </si>
  <si>
    <t xml:space="preserve">AAACGGGCGCCACTGGGCTTCTTC</t>
  </si>
  <si>
    <t xml:space="preserve">AGAGGAATACCCAGAGGGTG</t>
  </si>
  <si>
    <t xml:space="preserve">TAGTAGAGGAATACCCAGAGGGTG</t>
  </si>
  <si>
    <t xml:space="preserve">AAACCACCCTCTGGGTATTCCTCT</t>
  </si>
  <si>
    <t xml:space="preserve">CCCACGGCCTTTGCCGCAGC</t>
  </si>
  <si>
    <t xml:space="preserve">TAGTCCCACGGCCTTTGCCGCAGC</t>
  </si>
  <si>
    <t xml:space="preserve">AAACGCTGCGGCAAAGGCCGTGGG</t>
  </si>
  <si>
    <t xml:space="preserve">PST_2095</t>
  </si>
  <si>
    <t xml:space="preserve">ATGATCACATCGAGCACATG</t>
  </si>
  <si>
    <t xml:space="preserve">TAGTATGATCACATCGAGCACATG</t>
  </si>
  <si>
    <t xml:space="preserve">AAACCATGTGCTCGATGTGATCAT</t>
  </si>
  <si>
    <t xml:space="preserve">GGTCGCCAGGGCCGACTGCC</t>
  </si>
  <si>
    <t xml:space="preserve">TAGTGGTCGCCAGGGCCGACTGCC</t>
  </si>
  <si>
    <t xml:space="preserve">AAACGGCAGTCGGCCCTGGCGACC</t>
  </si>
  <si>
    <t xml:space="preserve">CGTACGCCGCATGAAGTACG</t>
  </si>
  <si>
    <t xml:space="preserve">TAGTCGTACGCCGCATGAAGTACG</t>
  </si>
  <si>
    <t xml:space="preserve">AAACCGTACTTCATGCGGCGTACG</t>
  </si>
  <si>
    <t xml:space="preserve">TTGATCGTCCAGCAGCAGAT</t>
  </si>
  <si>
    <t xml:space="preserve">TAGTTTGATCGTCCAGCAGCAGAT</t>
  </si>
  <si>
    <t xml:space="preserve">AAACATCTGCTGCTGGACGATCAA</t>
  </si>
  <si>
    <t xml:space="preserve">PST_2096</t>
  </si>
  <si>
    <t xml:space="preserve">arsR-2</t>
  </si>
  <si>
    <t xml:space="preserve">TGAATACGGTGGTAGGTGTC</t>
  </si>
  <si>
    <t xml:space="preserve">TAGTTGAATACGGTGGTAGGTGTC</t>
  </si>
  <si>
    <t xml:space="preserve">AAACGACACCTACCACCGTATTCA</t>
  </si>
  <si>
    <t xml:space="preserve">GCACGCGAGTCTCGTCAGCC</t>
  </si>
  <si>
    <t xml:space="preserve">TAGTGCACGCGAGTCTCGTCAGCC</t>
  </si>
  <si>
    <t xml:space="preserve">AAACGGCTGACGAGACTCGCGTGC</t>
  </si>
  <si>
    <t xml:space="preserve">GCCTTCGCGGGCGATGAGCA</t>
  </si>
  <si>
    <t xml:space="preserve">TAGTGCCTTCGCGGGCGATGAGCA</t>
  </si>
  <si>
    <t xml:space="preserve">AAACTGCTCATCGCCCGCGAAGGC</t>
  </si>
  <si>
    <t xml:space="preserve">CTGGCTTTCATCCAGCGCGC</t>
  </si>
  <si>
    <t xml:space="preserve">TAGTCTGGCTTTCATCCAGCGCGC</t>
  </si>
  <si>
    <t xml:space="preserve">AAACGCGCGCTGGATGAAAGCCAG</t>
  </si>
  <si>
    <t xml:space="preserve">PST_2097</t>
  </si>
  <si>
    <t xml:space="preserve">arsH</t>
  </si>
  <si>
    <t xml:space="preserve">TTGGGTAGGTCGTCGTGCAT</t>
  </si>
  <si>
    <t xml:space="preserve">TAGTTTGGGTAGGTCGTCGTGCAT</t>
  </si>
  <si>
    <t xml:space="preserve">AAACATGCACGACGACCTACCCAA</t>
  </si>
  <si>
    <t xml:space="preserve">TCCGGTAGATCGAGCAGCGC</t>
  </si>
  <si>
    <t xml:space="preserve">TAGTTCCGGTAGATCGAGCAGCGC</t>
  </si>
  <si>
    <t xml:space="preserve">AAACGCGCTGCTCGATCTACCGGA</t>
  </si>
  <si>
    <t xml:space="preserve">CCCGTCTGGGAGGCCCAGCT</t>
  </si>
  <si>
    <t xml:space="preserve">TAGTCCCGTCTGGGAGGCCCAGCT</t>
  </si>
  <si>
    <t xml:space="preserve">AAACAGCTGGGCCTCCCAGACGGG</t>
  </si>
  <si>
    <t xml:space="preserve">AGGATGCGCGGCTTGTGCGC</t>
  </si>
  <si>
    <t xml:space="preserve">TAGTAGGATGCGCGGCTTGTGCGC</t>
  </si>
  <si>
    <t xml:space="preserve">AAACGCGCACAAGCCGCGCATCCT</t>
  </si>
  <si>
    <t xml:space="preserve">PST_2098</t>
  </si>
  <si>
    <t xml:space="preserve">ATCGAGGATGTCGTAGGGAT</t>
  </si>
  <si>
    <t xml:space="preserve">TAGTATCGAGGATGTCGTAGGGAT</t>
  </si>
  <si>
    <t xml:space="preserve">AAACATCCCTACGACATCCTCGAT</t>
  </si>
  <si>
    <t xml:space="preserve">ATCAGCTGACCGGCACAGCC</t>
  </si>
  <si>
    <t xml:space="preserve">TAGTATCAGCTGACCGGCACAGCC</t>
  </si>
  <si>
    <t xml:space="preserve">AAACGGCTGTGCCGGTCAGCTGAT</t>
  </si>
  <si>
    <t xml:space="preserve">CTGCCCTTGCTGCCGGGACA</t>
  </si>
  <si>
    <t xml:space="preserve">TAGTCTGCCCTTGCTGCCGGGACA</t>
  </si>
  <si>
    <t xml:space="preserve">AAACTGTCCCGGCAGCAAGGGCAG</t>
  </si>
  <si>
    <t xml:space="preserve">GCGTGCCCAGCGCCTCGTCG</t>
  </si>
  <si>
    <t xml:space="preserve">TAGTGCGTGCCCAGCGCCTCGTCG</t>
  </si>
  <si>
    <t xml:space="preserve">AAACCGACGAGGCGCTGGGCACGC</t>
  </si>
  <si>
    <t xml:space="preserve">PST_2099</t>
  </si>
  <si>
    <t xml:space="preserve">CCGAGCGTATTCAGCATGGG</t>
  </si>
  <si>
    <t xml:space="preserve">TAGTCCGAGCGTATTCAGCATGGG</t>
  </si>
  <si>
    <t xml:space="preserve">AAACCCCATGCTGAATACGCTCGG</t>
  </si>
  <si>
    <t xml:space="preserve">ACCGACGATCTCCGCTATCG</t>
  </si>
  <si>
    <t xml:space="preserve">TAGTACCGACGATCTCCGCTATCG</t>
  </si>
  <si>
    <t xml:space="preserve">AAACCGATAGCGGAGATCGTCGGT</t>
  </si>
  <si>
    <t xml:space="preserve">CCTTGTTTCAGCCAGAGGTA</t>
  </si>
  <si>
    <t xml:space="preserve">TAGTCCTTGTTTCAGCCAGAGGTA</t>
  </si>
  <si>
    <t xml:space="preserve">AAACTACCTCTGGCTGAAACAAGG</t>
  </si>
  <si>
    <t xml:space="preserve">AGCGCCAGGGAAAGCGCCGC</t>
  </si>
  <si>
    <t xml:space="preserve">TAGTAGCGCCAGGGAAAGCGCCGC</t>
  </si>
  <si>
    <t xml:space="preserve">AAACGCGGCGCTTTCCCTGGCGCT</t>
  </si>
  <si>
    <t xml:space="preserve">PST_2100</t>
  </si>
  <si>
    <t xml:space="preserve">GATGCCTACTTTTATGCTCA</t>
  </si>
  <si>
    <t xml:space="preserve">TAGTGATGCCTACTTTTATGCTCA</t>
  </si>
  <si>
    <t xml:space="preserve">AAACTGAGCATAAAAGTAGGCATC</t>
  </si>
  <si>
    <t xml:space="preserve">GCAGGGCCAGGCGACCGATG</t>
  </si>
  <si>
    <t xml:space="preserve">TAGTGCAGGGCCAGGCGACCGATG</t>
  </si>
  <si>
    <t xml:space="preserve">AAACCATCGGTCGCCTGGCCCTGC</t>
  </si>
  <si>
    <t xml:space="preserve">ATCCAGCTCCGGCCAATCCC</t>
  </si>
  <si>
    <t xml:space="preserve">TAGTATCCAGCTCCGGCCAATCCC</t>
  </si>
  <si>
    <t xml:space="preserve">AAACGGGATTGGCCGGAGCTGGAT</t>
  </si>
  <si>
    <t xml:space="preserve">TGGGCGGCCGCATCGCCGGC</t>
  </si>
  <si>
    <t xml:space="preserve">TAGTTGGGCGGCCGCATCGCCGGC</t>
  </si>
  <si>
    <t xml:space="preserve">AAACGCCGGCGATGCGGCCGCCCA</t>
  </si>
  <si>
    <t xml:space="preserve">PST_2101</t>
  </si>
  <si>
    <t xml:space="preserve">GAGACGTTGGAGAGCGTGCA</t>
  </si>
  <si>
    <t xml:space="preserve">TAGTGAGACGTTGGAGAGCGTGCA</t>
  </si>
  <si>
    <t xml:space="preserve">AAACTGCACGCTCTCCAACGTCTC</t>
  </si>
  <si>
    <t xml:space="preserve">ACCAGGTACTGGCGGATTTC</t>
  </si>
  <si>
    <t xml:space="preserve">TAGTACCAGGTACTGGCGGATTTC</t>
  </si>
  <si>
    <t xml:space="preserve">AAACGAAATCCGCCAGTACCTGGT</t>
  </si>
  <si>
    <t xml:space="preserve">TGTGAAGGCCCAGTAGTTAC</t>
  </si>
  <si>
    <t xml:space="preserve">TAGTTGTGAAGGCCCAGTAGTTAC</t>
  </si>
  <si>
    <t xml:space="preserve">AAACGTAACTACTGGGCCTTCACA</t>
  </si>
  <si>
    <t xml:space="preserve">CAACATGCGCAATGCGCCGT</t>
  </si>
  <si>
    <t xml:space="preserve">TAGTCAACATGCGCAATGCGCCGT</t>
  </si>
  <si>
    <t xml:space="preserve">AAACACGGCGCATTGCGCATGTTG</t>
  </si>
  <si>
    <t xml:space="preserve">PST_2102</t>
  </si>
  <si>
    <t xml:space="preserve">AGGCAGGGTGTCAGATGATG</t>
  </si>
  <si>
    <t xml:space="preserve">TAGTAGGCAGGGTGTCAGATGATG</t>
  </si>
  <si>
    <t xml:space="preserve">AAACCATCATCTGACACCCTGCCT</t>
  </si>
  <si>
    <t xml:space="preserve">AGAACAGCCCGACGCTAAGC</t>
  </si>
  <si>
    <t xml:space="preserve">TAGTAGAACAGCCCGACGCTAAGC</t>
  </si>
  <si>
    <t xml:space="preserve">AAACGCTTAGCGTCGGGCTGTTCT</t>
  </si>
  <si>
    <t xml:space="preserve">CGCTGAAGTTCTCGCCGGCG</t>
  </si>
  <si>
    <t xml:space="preserve">TAGTCGCTGAAGTTCTCGCCGGCG</t>
  </si>
  <si>
    <t xml:space="preserve">AAACCGCCGGCGAGAACTTCAGCG</t>
  </si>
  <si>
    <t xml:space="preserve">ATCCAGAATCGGCTTGGCAT</t>
  </si>
  <si>
    <t xml:space="preserve">TAGTATCCAGAATCGGCTTGGCAT</t>
  </si>
  <si>
    <t xml:space="preserve">AAACATGCCAAGCCGATTCTGGAT</t>
  </si>
  <si>
    <t xml:space="preserve">PST_2103</t>
  </si>
  <si>
    <t xml:space="preserve">CGGACGAGTGGCGGCGGGCG</t>
  </si>
  <si>
    <t xml:space="preserve">TAGTCGGACGAGTGGCGGCGGGCG</t>
  </si>
  <si>
    <t xml:space="preserve">AAACCGCCCGCCGCCACTCGTCCG</t>
  </si>
  <si>
    <t xml:space="preserve">GGTTGGCAGTGACGCGCGTG</t>
  </si>
  <si>
    <t xml:space="preserve">TAGTGGTTGGCAGTGACGCGCGTG</t>
  </si>
  <si>
    <t xml:space="preserve">AAACCACGCGCGTCACTGCCAACC</t>
  </si>
  <si>
    <t xml:space="preserve">TGCGCGGAGTTTGTTACAGC</t>
  </si>
  <si>
    <t xml:space="preserve">TAGTTGCGCGGAGTTTGTTACAGC</t>
  </si>
  <si>
    <t xml:space="preserve">AAACGCTGTAACAAACTCCGCGCA</t>
  </si>
  <si>
    <t xml:space="preserve">ATGGGGGAGTCCTTGAGCAA</t>
  </si>
  <si>
    <t xml:space="preserve">TAGTATGGGGGAGTCCTTGAGCAA</t>
  </si>
  <si>
    <t xml:space="preserve">AAACTTGCTCAAGGACTCCCCCAT</t>
  </si>
  <si>
    <t xml:space="preserve">PST_2104</t>
  </si>
  <si>
    <t xml:space="preserve">GGCCGAACCGGCAGCCGCTT</t>
  </si>
  <si>
    <t xml:space="preserve">TAGTGGCCGAACCGGCAGCCGCTT</t>
  </si>
  <si>
    <t xml:space="preserve">AAACAAGCGGCTGCCGGTTCGGCC</t>
  </si>
  <si>
    <t xml:space="preserve">TATGCCTGCAGCTTCGCCGA</t>
  </si>
  <si>
    <t xml:space="preserve">TAGTTATGCCTGCAGCTTCGCCGA</t>
  </si>
  <si>
    <t xml:space="preserve">AAACTCGGCGAAGCTGCAGGCATA</t>
  </si>
  <si>
    <t xml:space="preserve">TCATCGAACAGCTCGATGGG</t>
  </si>
  <si>
    <t xml:space="preserve">TAGTTCATCGAACAGCTCGATGGG</t>
  </si>
  <si>
    <t xml:space="preserve">AAACCCCATCGAGCTGTTCGATGA</t>
  </si>
  <si>
    <t xml:space="preserve">CATGTCGAACTCATCGGCGT</t>
  </si>
  <si>
    <t xml:space="preserve">TAGTCATGTCGAACTCATCGGCGT</t>
  </si>
  <si>
    <t xml:space="preserve">AAACACGCCGATGAGTTCGACATG</t>
  </si>
  <si>
    <t xml:space="preserve">PST_2105</t>
  </si>
  <si>
    <t xml:space="preserve">TACTTGAAGGGTGGCTGACA</t>
  </si>
  <si>
    <t xml:space="preserve">TAGTTACTTGAAGGGTGGCTGACA</t>
  </si>
  <si>
    <t xml:space="preserve">AAACTGTCAGCCACCCTTCAAGTA</t>
  </si>
  <si>
    <t xml:space="preserve">GCATTGATCCTTGGAAAAAG</t>
  </si>
  <si>
    <t xml:space="preserve">TAGTGCATTGATCCTTGGAAAAAG</t>
  </si>
  <si>
    <t xml:space="preserve">AAACCTTTTTCCAAGGATCAATGC</t>
  </si>
  <si>
    <t xml:space="preserve">ATTCACCGCAGCGCGCAATC</t>
  </si>
  <si>
    <t xml:space="preserve">TAGTATTCACCGCAGCGCGCAATC</t>
  </si>
  <si>
    <t xml:space="preserve">AAACGATTGCGCGCTGCGGTGAAT</t>
  </si>
  <si>
    <t xml:space="preserve">CCGACAGGCCTGTTCAGTCG</t>
  </si>
  <si>
    <t xml:space="preserve">TAGTCCGACAGGCCTGTTCAGTCG</t>
  </si>
  <si>
    <t xml:space="preserve">AAACCGACTGAACAGGCCTGTCGG</t>
  </si>
  <si>
    <t xml:space="preserve">PST_2107</t>
  </si>
  <si>
    <t xml:space="preserve">ATCCAGATCGCCGACCTTGG</t>
  </si>
  <si>
    <t xml:space="preserve">TAGTATCCAGATCGCCGACCTTGG</t>
  </si>
  <si>
    <t xml:space="preserve">AAACCCAAGGTCGGCGATCTGGAT</t>
  </si>
  <si>
    <t xml:space="preserve">CCTTCCAGCGCGGTGGGCGA</t>
  </si>
  <si>
    <t xml:space="preserve">TAGTCCTTCCAGCGCGGTGGGCGA</t>
  </si>
  <si>
    <t xml:space="preserve">AAACTCGCCCACCGCGCTGGAAGG</t>
  </si>
  <si>
    <t xml:space="preserve">GGCAGTGACCTGGGCGTGCC</t>
  </si>
  <si>
    <t xml:space="preserve">TAGTGGCAGTGACCTGGGCGTGCC</t>
  </si>
  <si>
    <t xml:space="preserve">AAACGGCACGCCCAGGTCACTGCC</t>
  </si>
  <si>
    <t xml:space="preserve">TTCGTAGCCGTCGCCACGCC</t>
  </si>
  <si>
    <t xml:space="preserve">TAGTTTCGTAGCCGTCGCCACGCC</t>
  </si>
  <si>
    <t xml:space="preserve">AAACGGCGTGGCGACGGCTACGAA</t>
  </si>
  <si>
    <t xml:space="preserve">PST_2108</t>
  </si>
  <si>
    <t xml:space="preserve">ATAGTAGAAGGGGTTTTCCA</t>
  </si>
  <si>
    <t xml:space="preserve">TAGTATAGTAGAAGGGGTTTTCCA</t>
  </si>
  <si>
    <t xml:space="preserve">AAACTGGAAAACCCCTTCTACTAT</t>
  </si>
  <si>
    <t xml:space="preserve">GATGCTGGTCCACCCAGGCC</t>
  </si>
  <si>
    <t xml:space="preserve">TAGTGATGCTGGTCCACCCAGGCC</t>
  </si>
  <si>
    <t xml:space="preserve">AAACGGCCTGGGTGGACCAGCATC</t>
  </si>
  <si>
    <t xml:space="preserve">CGCGTTCGGCGTCGTCCAGC</t>
  </si>
  <si>
    <t xml:space="preserve">TAGTCGCGTTCGGCGTCGTCCAGC</t>
  </si>
  <si>
    <t xml:space="preserve">AAACGCTGGACGACGCCGAACGCG</t>
  </si>
  <si>
    <t xml:space="preserve">CAGGGCGAAACGCTCGATGA</t>
  </si>
  <si>
    <t xml:space="preserve">TAGTCAGGGCGAAACGCTCGATGA</t>
  </si>
  <si>
    <t xml:space="preserve">AAACTCATCGAGCGTTTCGCCCTG</t>
  </si>
  <si>
    <t xml:space="preserve">PST_2109</t>
  </si>
  <si>
    <t xml:space="preserve">CCCGGTTGAAGCTCGGCAGT</t>
  </si>
  <si>
    <t xml:space="preserve">TAGTCCCGGTTGAAGCTCGGCAGT</t>
  </si>
  <si>
    <t xml:space="preserve">AAACACTGCCGAGCTTCAACCGGG</t>
  </si>
  <si>
    <t xml:space="preserve">ACGGTCGTATTTCTCGACCA</t>
  </si>
  <si>
    <t xml:space="preserve">TAGTACGGTCGTATTTCTCGACCA</t>
  </si>
  <si>
    <t xml:space="preserve">AAACTGGTCGAGAAATACGACCGT</t>
  </si>
  <si>
    <t xml:space="preserve">TAGGACGTGTAGCGCGGACC</t>
  </si>
  <si>
    <t xml:space="preserve">TAGTTAGGACGTGTAGCGCGGACC</t>
  </si>
  <si>
    <t xml:space="preserve">AAACGGTCCGCGCTACACGTCCTA</t>
  </si>
  <si>
    <t xml:space="preserve">GATGGAACTGCGGGGCAGTG</t>
  </si>
  <si>
    <t xml:space="preserve">TAGTGATGGAACTGCGGGGCAGTG</t>
  </si>
  <si>
    <t xml:space="preserve">AAACCACTGCCCCGCAGTTCCATC</t>
  </si>
  <si>
    <t xml:space="preserve">PST_2110</t>
  </si>
  <si>
    <t xml:space="preserve">TCGAGGGGCGGAGTTGTTCA</t>
  </si>
  <si>
    <t xml:space="preserve">TAGTTCGAGGGGCGGAGTTGTTCA</t>
  </si>
  <si>
    <t xml:space="preserve">AAACTGAACAACTCCGCCCCTCGA</t>
  </si>
  <si>
    <t xml:space="preserve">CAGGTTGATCTTTGTCTGCA</t>
  </si>
  <si>
    <t xml:space="preserve">TAGTCAGGTTGATCTTTGTCTGCA</t>
  </si>
  <si>
    <t xml:space="preserve">AAACTGCAGACAAAGATCAACCTG</t>
  </si>
  <si>
    <t xml:space="preserve">ACTGGCAGAGAAGAACAGCG</t>
  </si>
  <si>
    <t xml:space="preserve">TAGTACTGGCAGAGAAGAACAGCG</t>
  </si>
  <si>
    <t xml:space="preserve">AAACCGCTGTTCTTCTCTGCCAGT</t>
  </si>
  <si>
    <t xml:space="preserve">GCTCGACAACCTGGAGTACC</t>
  </si>
  <si>
    <t xml:space="preserve">TAGTGCTCGACAACCTGGAGTACC</t>
  </si>
  <si>
    <t xml:space="preserve">AAACGGTACTCCAGGTTGTCGAGC</t>
  </si>
  <si>
    <t xml:space="preserve">PST_2111</t>
  </si>
  <si>
    <t xml:space="preserve">galU</t>
  </si>
  <si>
    <t xml:space="preserve">CATATCCGGCAGCAGGAAAA</t>
  </si>
  <si>
    <t xml:space="preserve">TAGTCATATCCGGCAGCAGGAAAA</t>
  </si>
  <si>
    <t xml:space="preserve">AAACTTTTCCTGCTGCCGGATATG</t>
  </si>
  <si>
    <t xml:space="preserve">TTGGGCATGGCTTTGGTTGC</t>
  </si>
  <si>
    <t xml:space="preserve">TAGTTTGGGCATGGCTTTGGTTGC</t>
  </si>
  <si>
    <t xml:space="preserve">AAACGCAACCAAAGCCATGCCCAA</t>
  </si>
  <si>
    <t xml:space="preserve">ATCAGAGGCTTGTTCACCAC</t>
  </si>
  <si>
    <t xml:space="preserve">TAGTATCAGAGGCTTGTTCACCAC</t>
  </si>
  <si>
    <t xml:space="preserve">AAACGTGGTGAACAAGCCTCTGAT</t>
  </si>
  <si>
    <t xml:space="preserve">GCGCTTCCTCGACCCCGTAC</t>
  </si>
  <si>
    <t xml:space="preserve">TAGTGCGCTTCCTCGACCCCGTAC</t>
  </si>
  <si>
    <t xml:space="preserve">AAACGTACGGGGTCGAGGAAGCGC</t>
  </si>
  <si>
    <t xml:space="preserve">PST_2112</t>
  </si>
  <si>
    <t xml:space="preserve">TGGGTGAGGGTGGGGCGCAT</t>
  </si>
  <si>
    <t xml:space="preserve">TAGTTGGGTGAGGGTGGGGCGCAT</t>
  </si>
  <si>
    <t xml:space="preserve">AAACATGCGCCCCACCCTCACCCA</t>
  </si>
  <si>
    <t xml:space="preserve">CTGGCACATGCAGCGCCAGG</t>
  </si>
  <si>
    <t xml:space="preserve">TAGTCTGGCACATGCAGCGCCAGG</t>
  </si>
  <si>
    <t xml:space="preserve">AAACCCTGGCGCTGCATGTGCCAG</t>
  </si>
  <si>
    <t xml:space="preserve">CCTCGTGTAGAAGGCGATAC</t>
  </si>
  <si>
    <t xml:space="preserve">TAGTCCTCGTGTAGAAGGCGATAC</t>
  </si>
  <si>
    <t xml:space="preserve">AAACGTATCGCCTTCTACACGAGG</t>
  </si>
  <si>
    <t xml:space="preserve">AGCCTTTGCCCGGGCGTTCG</t>
  </si>
  <si>
    <t xml:space="preserve">TAGTAGCCTTTGCCCGGGCGTTCG</t>
  </si>
  <si>
    <t xml:space="preserve">AAACCGAACGCCCGGGCAAAGGCT</t>
  </si>
  <si>
    <t xml:space="preserve">PST_2113</t>
  </si>
  <si>
    <t xml:space="preserve">gor</t>
  </si>
  <si>
    <t xml:space="preserve">GCGCGCCGCACGTACGCCAC</t>
  </si>
  <si>
    <t xml:space="preserve">TAGTGCGCGCCGCACGTACGCCAC</t>
  </si>
  <si>
    <t xml:space="preserve">AAACGTGGCGTACGTGCGGCGCGC</t>
  </si>
  <si>
    <t xml:space="preserve">CAGGTAGCGGCTCTCGGCGA</t>
  </si>
  <si>
    <t xml:space="preserve">TAGTCAGGTAGCGGCTCTCGGCGA</t>
  </si>
  <si>
    <t xml:space="preserve">AAACTCGCCGAGAGCCGCTACCTG</t>
  </si>
  <si>
    <t xml:space="preserve">CCGTAGACCAGCAGCTTCTT</t>
  </si>
  <si>
    <t xml:space="preserve">TAGTCCGTAGACCAGCAGCTTCTT</t>
  </si>
  <si>
    <t xml:space="preserve">AAACAAGAAGCTGCTGGTCTACGG</t>
  </si>
  <si>
    <t xml:space="preserve">TCCAGCCGTAGCCCTGCGCC</t>
  </si>
  <si>
    <t xml:space="preserve">TAGTTCCAGCCGTAGCCCTGCGCC</t>
  </si>
  <si>
    <t xml:space="preserve">AAACGGCGCAGGGCTACGGCTGGA</t>
  </si>
  <si>
    <t xml:space="preserve">PST_2114</t>
  </si>
  <si>
    <t xml:space="preserve">GAAGGCAGGCATGCAAAGCA</t>
  </si>
  <si>
    <t xml:space="preserve">TAGTGAAGGCAGGCATGCAAAGCA</t>
  </si>
  <si>
    <t xml:space="preserve">AAACTGCTTTGCATGCCTGCCTTC</t>
  </si>
  <si>
    <t xml:space="preserve">CTGCAGCGTGATGATCGTGG</t>
  </si>
  <si>
    <t xml:space="preserve">TAGTCTGCAGCGTGATGATCGTGG</t>
  </si>
  <si>
    <t xml:space="preserve">AAACCCACGATCATCACGCTGCAG</t>
  </si>
  <si>
    <t xml:space="preserve">GCCAGTTCCCCGGCGACTGC</t>
  </si>
  <si>
    <t xml:space="preserve">TAGTGCCAGTTCCCCGGCGACTGC</t>
  </si>
  <si>
    <t xml:space="preserve">AAACGCAGTCGCCGGGGAACTGGC</t>
  </si>
  <si>
    <t xml:space="preserve">GCATCGCGCGCGACCAGGCC</t>
  </si>
  <si>
    <t xml:space="preserve">TAGTGCATCGCGCGCGACCAGGCC</t>
  </si>
  <si>
    <t xml:space="preserve">AAACGGCCTGGTCGCGCGCGATGC</t>
  </si>
  <si>
    <t xml:space="preserve">PST_2115</t>
  </si>
  <si>
    <t xml:space="preserve">TCAAAAAATGCATGCAGACC</t>
  </si>
  <si>
    <t xml:space="preserve">TAGTTCAAAAAATGCATGCAGACC</t>
  </si>
  <si>
    <t xml:space="preserve">AAACGGTCTGCATGCATTTTTTGA</t>
  </si>
  <si>
    <t xml:space="preserve">CGAGTGCACTGCCAGCACGA</t>
  </si>
  <si>
    <t xml:space="preserve">TAGTCGAGTGCACTGCCAGCACGA</t>
  </si>
  <si>
    <t xml:space="preserve">AAACTCGTGCTGGCAGTGCACTCG</t>
  </si>
  <si>
    <t xml:space="preserve">GAAACGAACCGCAACACCCA</t>
  </si>
  <si>
    <t xml:space="preserve">TAGTGAAACGAACCGCAACACCCA</t>
  </si>
  <si>
    <t xml:space="preserve">AAACTGGGTGTTGCGGTTCGTTTC</t>
  </si>
  <si>
    <t xml:space="preserve">GCGCGCGAGAGGGTATTGCC</t>
  </si>
  <si>
    <t xml:space="preserve">TAGTGCGCGCGAGAGGGTATTGCC</t>
  </si>
  <si>
    <t xml:space="preserve">AAACGGCAATACCCTCTCGCGCGC</t>
  </si>
  <si>
    <t xml:space="preserve">PST_2116</t>
  </si>
  <si>
    <t xml:space="preserve">CGCGAACAACAGAGGAGGGC</t>
  </si>
  <si>
    <t xml:space="preserve">TAGTCGCGAACAACAGAGGAGGGC</t>
  </si>
  <si>
    <t xml:space="preserve">AAACGCCCTCCTCTGTTGTTCGCG</t>
  </si>
  <si>
    <t xml:space="preserve">GACACGAGCGGCATATTCCT</t>
  </si>
  <si>
    <t xml:space="preserve">TAGTGACACGAGCGGCATATTCCT</t>
  </si>
  <si>
    <t xml:space="preserve">AAACAGGAATATGCCGCTCGTGTC</t>
  </si>
  <si>
    <t xml:space="preserve">CAGCTCGAGCCCCATGTGCC</t>
  </si>
  <si>
    <t xml:space="preserve">TAGTCAGCTCGAGCCCCATGTGCC</t>
  </si>
  <si>
    <t xml:space="preserve">AAACGGCACATGGGGCTCGAGCTG</t>
  </si>
  <si>
    <t xml:space="preserve">GAAGGCGCGCTCTTCGAGTT</t>
  </si>
  <si>
    <t xml:space="preserve">TAGTGAAGGCGCGCTCTTCGAGTT</t>
  </si>
  <si>
    <t xml:space="preserve">AAACAACTCGAAGAGCGCGCCTTC</t>
  </si>
  <si>
    <t xml:space="preserve">PST_2117</t>
  </si>
  <si>
    <t xml:space="preserve">TCGCCAATCGCATATCGCCG</t>
  </si>
  <si>
    <t xml:space="preserve">TAGTTCGCCAATCGCATATCGCCG</t>
  </si>
  <si>
    <t xml:space="preserve">AAACCGGCGATATGCGATTGGCGA</t>
  </si>
  <si>
    <t xml:space="preserve">GGGTAGGCCGCCCTTCGAAC</t>
  </si>
  <si>
    <t xml:space="preserve">TAGTGGGTAGGCCGCCCTTCGAAC</t>
  </si>
  <si>
    <t xml:space="preserve">AAACGTTCGAAGGGCGGCCTACCC</t>
  </si>
  <si>
    <t xml:space="preserve">GAACTCGATGCCGTCGAACA</t>
  </si>
  <si>
    <t xml:space="preserve">TAGTGAACTCGATGCCGTCGAACA</t>
  </si>
  <si>
    <t xml:space="preserve">AAACTGTTCGACGGCATCGAGTTC</t>
  </si>
  <si>
    <t xml:space="preserve">GTCATGCAGAACATCGATAC</t>
  </si>
  <si>
    <t xml:space="preserve">TAGTGTCATGCAGAACATCGATAC</t>
  </si>
  <si>
    <t xml:space="preserve">AAACGTATCGATGTTCTGCATGAC</t>
  </si>
  <si>
    <t xml:space="preserve">PST_2118</t>
  </si>
  <si>
    <t xml:space="preserve">AAGCGCCGAGGATACGGAGC</t>
  </si>
  <si>
    <t xml:space="preserve">TAGTAAGCGCCGAGGATACGGAGC</t>
  </si>
  <si>
    <t xml:space="preserve">AAACGCTCCGTATCCTCGGCGCTT</t>
  </si>
  <si>
    <t xml:space="preserve">GGTAGCAATCAGGAAAGTGG</t>
  </si>
  <si>
    <t xml:space="preserve">TAGTGGTAGCAATCAGGAAAGTGG</t>
  </si>
  <si>
    <t xml:space="preserve">AAACCCACTTTCCTGATTGCTACC</t>
  </si>
  <si>
    <t xml:space="preserve">GAACGAAAGAGAAGCGAGGG</t>
  </si>
  <si>
    <t xml:space="preserve">TAGTGAACGAAAGAGAAGCGAGGG</t>
  </si>
  <si>
    <t xml:space="preserve">AAACCCCTCGCTTCTCTTTCGTTC</t>
  </si>
  <si>
    <t xml:space="preserve">TGAAACGCGGGACCGCCTCG</t>
  </si>
  <si>
    <t xml:space="preserve">TAGTTGAAACGCGGGACCGCCTCG</t>
  </si>
  <si>
    <t xml:space="preserve">AAACCGAGGCGGTCCCGCGTTTCA</t>
  </si>
  <si>
    <t xml:space="preserve">PST_2119</t>
  </si>
  <si>
    <t xml:space="preserve">pobR</t>
  </si>
  <si>
    <t xml:space="preserve">CGCGCTGATGCATGTCGCCG</t>
  </si>
  <si>
    <t xml:space="preserve">TAGTCGCGCTGATGCATGTCGCCG</t>
  </si>
  <si>
    <t xml:space="preserve">AAACCGGCGACATGCATCAGCGCG</t>
  </si>
  <si>
    <t xml:space="preserve">ACGCATCGTGCTGATGGGGC</t>
  </si>
  <si>
    <t xml:space="preserve">TAGTACGCATCGTGCTGATGGGGC</t>
  </si>
  <si>
    <t xml:space="preserve">AAACGCCCCATCAGCACGATGCGT</t>
  </si>
  <si>
    <t xml:space="preserve">TCTCCAGCGATACCTCGCCC</t>
  </si>
  <si>
    <t xml:space="preserve">TAGTTCTCCAGCGATACCTCGCCC</t>
  </si>
  <si>
    <t xml:space="preserve">AAACGGGCGAGGTATCGCTGGAGA</t>
  </si>
  <si>
    <t xml:space="preserve">GCAGGATCAGGCACGGCGCA</t>
  </si>
  <si>
    <t xml:space="preserve">TAGTGCAGGATCAGGCACGGCGCA</t>
  </si>
  <si>
    <t xml:space="preserve">AAACTGCGCCGTGCCTGATCCTGC</t>
  </si>
  <si>
    <t xml:space="preserve">PST_2120</t>
  </si>
  <si>
    <t xml:space="preserve">AAAGGGCGGGAGAGGGCGGC</t>
  </si>
  <si>
    <t xml:space="preserve">TAGTAAAGGGCGGGAGAGGGCGGC</t>
  </si>
  <si>
    <t xml:space="preserve">AAACGCCGCCCTCTCCCGCCCTTT</t>
  </si>
  <si>
    <t xml:space="preserve">GCGTATTGTTCGAGAGGCGT</t>
  </si>
  <si>
    <t xml:space="preserve">TAGTGCGTATTGTTCGAGAGGCGT</t>
  </si>
  <si>
    <t xml:space="preserve">AAACACGCCTCTCGAACAATACGC</t>
  </si>
  <si>
    <t xml:space="preserve">CGCCAGGTTGGCATGGTCAT</t>
  </si>
  <si>
    <t xml:space="preserve">TAGTCGCCAGGTTGGCATGGTCAT</t>
  </si>
  <si>
    <t xml:space="preserve">AAACATGACCATGCCAACCTGGCG</t>
  </si>
  <si>
    <t xml:space="preserve">CAGGGCGGCAATCAGCGCCT</t>
  </si>
  <si>
    <t xml:space="preserve">TAGTCAGGGCGGCAATCAGCGCCT</t>
  </si>
  <si>
    <t xml:space="preserve">AAACAGGCGCTGATTGCCGCCCTG</t>
  </si>
  <si>
    <t xml:space="preserve">PST_2121</t>
  </si>
  <si>
    <t xml:space="preserve">AGACGCCGTAAATATTGAGA</t>
  </si>
  <si>
    <t xml:space="preserve">TAGTAGACGCCGTAAATATTGAGA</t>
  </si>
  <si>
    <t xml:space="preserve">AAACTCTCAATATTTACGGCGTCT</t>
  </si>
  <si>
    <t xml:space="preserve">AACATTGTCACCAGCAGGAC</t>
  </si>
  <si>
    <t xml:space="preserve">TAGTAACATTGTCACCAGCAGGAC</t>
  </si>
  <si>
    <t xml:space="preserve">AAACGTCCTGCTGGTGACAATGTT</t>
  </si>
  <si>
    <t xml:space="preserve">CAATAGGCTCTTCAGGCCAT</t>
  </si>
  <si>
    <t xml:space="preserve">TAGTCAATAGGCTCTTCAGGCCAT</t>
  </si>
  <si>
    <t xml:space="preserve">AAACATGGCCTGAAGAGCCTATTG</t>
  </si>
  <si>
    <t xml:space="preserve">GCCGATACGCTGCAACAGCG</t>
  </si>
  <si>
    <t xml:space="preserve">TAGTGCCGATACGCTGCAACAGCG</t>
  </si>
  <si>
    <t xml:space="preserve">AAACCGCTGTTGCAGCGTATCGGC</t>
  </si>
  <si>
    <t xml:space="preserve">PST_2122</t>
  </si>
  <si>
    <t xml:space="preserve">AGCAGTACCGAGCCGGCGGT</t>
  </si>
  <si>
    <t xml:space="preserve">TAGTAGCAGTACCGAGCCGGCGGT</t>
  </si>
  <si>
    <t xml:space="preserve">AAACACCGCCGGCTCGGTACTGCT</t>
  </si>
  <si>
    <t xml:space="preserve">GGCGATGGCTACAGCCAGCA</t>
  </si>
  <si>
    <t xml:space="preserve">TAGTGGCGATGGCTACAGCCAGCA</t>
  </si>
  <si>
    <t xml:space="preserve">AAACTGCTGGCTGTAGCCATCGCC</t>
  </si>
  <si>
    <t xml:space="preserve">CAGGTGCAGGCTGACGGCGG</t>
  </si>
  <si>
    <t xml:space="preserve">TAGTCAGGTGCAGGCTGACGGCGG</t>
  </si>
  <si>
    <t xml:space="preserve">AAACCCGCCGTCAGCCTGCACCTG</t>
  </si>
  <si>
    <t xml:space="preserve">ACATGCCCATCACGGGTCCA</t>
  </si>
  <si>
    <t xml:space="preserve">TAGTACATGCCCATCACGGGTCCA</t>
  </si>
  <si>
    <t xml:space="preserve">AAACTGGACCCGTGATGGGCATGT</t>
  </si>
  <si>
    <t xml:space="preserve">PST_2123</t>
  </si>
  <si>
    <t xml:space="preserve">GCAGGGCGGGGTACAGGTAT</t>
  </si>
  <si>
    <t xml:space="preserve">TAGTGCAGGGCGGGGTACAGGTAT</t>
  </si>
  <si>
    <t xml:space="preserve">AAACATACCTGTACCCCGCCCTGC</t>
  </si>
  <si>
    <t xml:space="preserve">GCGAGCAGCGTGACGAGCAG</t>
  </si>
  <si>
    <t xml:space="preserve">TAGTGCGAGCAGCGTGACGAGCAG</t>
  </si>
  <si>
    <t xml:space="preserve">AAACCTGCTCGTCACGCTGCTCGC</t>
  </si>
  <si>
    <t xml:space="preserve">CGGGCCGACCGCACTGCAAG</t>
  </si>
  <si>
    <t xml:space="preserve">TAGTCGGGCCGACCGCACTGCAAG</t>
  </si>
  <si>
    <t xml:space="preserve">AAACCTTGCAGTGCGGTCGGCCCG</t>
  </si>
  <si>
    <t xml:space="preserve">TGGTCCGGTACGCGGTAGTC</t>
  </si>
  <si>
    <t xml:space="preserve">TAGTTGGTCCGGTACGCGGTAGTC</t>
  </si>
  <si>
    <t xml:space="preserve">AAACGACTACCGCGTACCGGACCA</t>
  </si>
  <si>
    <t xml:space="preserve">PST_2124</t>
  </si>
  <si>
    <t xml:space="preserve">AGCTACCGGCGTCGACCACC</t>
  </si>
  <si>
    <t xml:space="preserve">TAGTAGCTACCGGCGTCGACCACC</t>
  </si>
  <si>
    <t xml:space="preserve">AAACGGTGGTCGACGCCGGTAGCT</t>
  </si>
  <si>
    <t xml:space="preserve">GTCGGTCTGCCTGGCTGCCG</t>
  </si>
  <si>
    <t xml:space="preserve">TAGTGTCGGTCTGCCTGGCTGCCG</t>
  </si>
  <si>
    <t xml:space="preserve">AAACCGGCAGCCAGGCAGACCGAC</t>
  </si>
  <si>
    <t xml:space="preserve">CAGGCGCGACACCTGCGCCG</t>
  </si>
  <si>
    <t xml:space="preserve">TAGTCAGGCGCGACACCTGCGCCG</t>
  </si>
  <si>
    <t xml:space="preserve">AAACCGGCGCAGGTGTCGCGCCTG</t>
  </si>
  <si>
    <t xml:space="preserve">GCAGCAGGCGGGCGTGCAGA</t>
  </si>
  <si>
    <t xml:space="preserve">TAGTGCAGCAGGCGGGCGTGCAGA</t>
  </si>
  <si>
    <t xml:space="preserve">AAACTCTGCACGCCCGCCTGCTGC</t>
  </si>
  <si>
    <t xml:space="preserve">PST_2125</t>
  </si>
  <si>
    <t xml:space="preserve">ACGCTTCGACGGGCATTGGC</t>
  </si>
  <si>
    <t xml:space="preserve">TAGTACGCTTCGACGGGCATTGGC</t>
  </si>
  <si>
    <t xml:space="preserve">AAACGCCAATGCCCGTCGAAGCGT</t>
  </si>
  <si>
    <t xml:space="preserve">ATCCAGATCAGTCTTTTCAC</t>
  </si>
  <si>
    <t xml:space="preserve">TAGTATCCAGATCAGTCTTTTCAC</t>
  </si>
  <si>
    <t xml:space="preserve">AAACGTGAAAAGACTGATCTGGAT</t>
  </si>
  <si>
    <t xml:space="preserve">CTGGGCGCTGAAAGCCAGGG</t>
  </si>
  <si>
    <t xml:space="preserve">TAGTCTGGGCGCTGAAAGCCAGGG</t>
  </si>
  <si>
    <t xml:space="preserve">AAACCCCTGGCTTTCAGCGCCCAG</t>
  </si>
  <si>
    <t xml:space="preserve">GTAGGGCTTGGGCTCATCGG</t>
  </si>
  <si>
    <t xml:space="preserve">TAGTGTAGGGCTTGGGCTCATCGG</t>
  </si>
  <si>
    <t xml:space="preserve">AAACCCGATGAGCCCAAGCCCTAC</t>
  </si>
  <si>
    <t xml:space="preserve">PST_2126</t>
  </si>
  <si>
    <t xml:space="preserve">AGCGGTTTATGCGAGAACAT</t>
  </si>
  <si>
    <t xml:space="preserve">TAGTAGCGGTTTATGCGAGAACAT</t>
  </si>
  <si>
    <t xml:space="preserve">AAACATGTTCTCGCATAAACCGCT</t>
  </si>
  <si>
    <t xml:space="preserve">ATTTCCGGTCTGGGTGGCGG</t>
  </si>
  <si>
    <t xml:space="preserve">TAGTATTTCCGGTCTGGGTGGCGG</t>
  </si>
  <si>
    <t xml:space="preserve">AAACCCGCCACCCAGACCGGAAAT</t>
  </si>
  <si>
    <t xml:space="preserve">TGCGATCCCCCTGCTGCACC</t>
  </si>
  <si>
    <t xml:space="preserve">TAGTTGCGATCCCCCTGCTGCACC</t>
  </si>
  <si>
    <t xml:space="preserve">AAACGGTGCAGCAGGGGGATCGCA</t>
  </si>
  <si>
    <t xml:space="preserve">TCCAATTGTCGAGATTGAGC</t>
  </si>
  <si>
    <t xml:space="preserve">TAGTTCCAATTGTCGAGATTGAGC</t>
  </si>
  <si>
    <t xml:space="preserve">AAACGCTCAATCTCGACAATTGGA</t>
  </si>
  <si>
    <t xml:space="preserve">PST_2127</t>
  </si>
  <si>
    <t xml:space="preserve">GTTGCGGACAGGGCAGGCAT</t>
  </si>
  <si>
    <t xml:space="preserve">TAGTGTTGCGGACAGGGCAGGCAT</t>
  </si>
  <si>
    <t xml:space="preserve">AAACATGCCTGCCCTGTCCGCAAC</t>
  </si>
  <si>
    <t xml:space="preserve">GGCGCTCCAGCAGCAATCAG</t>
  </si>
  <si>
    <t xml:space="preserve">TAGTGGCGCTCCAGCAGCAATCAG</t>
  </si>
  <si>
    <t xml:space="preserve">AAACCTGATTGCTGCTGGAGCGCC</t>
  </si>
  <si>
    <t xml:space="preserve">AAAGTCGCCACGCGGCGCGC</t>
  </si>
  <si>
    <t xml:space="preserve">TAGTAAAGTCGCCACGCGGCGCGC</t>
  </si>
  <si>
    <t xml:space="preserve">AAACGCGCGCCGCGTGGCGACTTT</t>
  </si>
  <si>
    <t xml:space="preserve">CGCATTCGCTGTGGCCGGTC</t>
  </si>
  <si>
    <t xml:space="preserve">TAGTCGCATTCGCTGTGGCCGGTC</t>
  </si>
  <si>
    <t xml:space="preserve">AAACGACCGGCCACAGCGAATGCG</t>
  </si>
  <si>
    <t xml:space="preserve">PST_2128</t>
  </si>
  <si>
    <t xml:space="preserve">TCATGGTCGTCGGAATGCAT</t>
  </si>
  <si>
    <t xml:space="preserve">TAGTTCATGGTCGTCGGAATGCAT</t>
  </si>
  <si>
    <t xml:space="preserve">AAACATGCATTCCGACGACCATGA</t>
  </si>
  <si>
    <t xml:space="preserve">ACCCTGGATGAGCTTGCGTC</t>
  </si>
  <si>
    <t xml:space="preserve">TAGTACCCTGGATGAGCTTGCGTC</t>
  </si>
  <si>
    <t xml:space="preserve">AAACGACGCAAGCTCATCCAGGGT</t>
  </si>
  <si>
    <t xml:space="preserve">CATGCCGGCGGCGAAGGTTG</t>
  </si>
  <si>
    <t xml:space="preserve">TAGTCATGCCGGCGGCGAAGGTTG</t>
  </si>
  <si>
    <t xml:space="preserve">AAACCAACCTTCGCCGCCGGCATG</t>
  </si>
  <si>
    <t xml:space="preserve">TCTGCGGCCTGGGCAAAGCC</t>
  </si>
  <si>
    <t xml:space="preserve">TAGTTCTGCGGCCTGGGCAAAGCC</t>
  </si>
  <si>
    <t xml:space="preserve">AAACGGCTTTGCCCAGGCCGCAGA</t>
  </si>
  <si>
    <t xml:space="preserve">PST_2129</t>
  </si>
  <si>
    <t xml:space="preserve">poxB</t>
  </si>
  <si>
    <t xml:space="preserve">ACTGGTAAAGCCGCTCGACC</t>
  </si>
  <si>
    <t xml:space="preserve">TAGTACTGGTAAAGCCGCTCGACC</t>
  </si>
  <si>
    <t xml:space="preserve">AAACGGTCGAGCGGCTTTACCAGT</t>
  </si>
  <si>
    <t xml:space="preserve">ACGCCGTTGATGCCGTCGCC</t>
  </si>
  <si>
    <t xml:space="preserve">TAGTACGCCGTTGATGCCGTCGCC</t>
  </si>
  <si>
    <t xml:space="preserve">AAACGGCGACGGCATCAACGGCGT</t>
  </si>
  <si>
    <t xml:space="preserve">AGCGAATCTTGCCGCCCGCC</t>
  </si>
  <si>
    <t xml:space="preserve">TAGTAGCGAATCTTGCCGCCCGCC</t>
  </si>
  <si>
    <t xml:space="preserve">AAACGGCGGGCGGCAAGATTCGCT</t>
  </si>
  <si>
    <t xml:space="preserve">ATCGGCCGAGGCCATGAAGG</t>
  </si>
  <si>
    <t xml:space="preserve">TAGTATCGGCCGAGGCCATGAAGG</t>
  </si>
  <si>
    <t xml:space="preserve">AAACCCTTCATGGCCTCGGCCGAT</t>
  </si>
  <si>
    <t xml:space="preserve">PST_2130</t>
  </si>
  <si>
    <t xml:space="preserve">TTGGTAGTCTTCGAGCGCCA</t>
  </si>
  <si>
    <t xml:space="preserve">TAGTTTGGTAGTCTTCGAGCGCCA</t>
  </si>
  <si>
    <t xml:space="preserve">AAACTGGCGCTCGAAGACTACCAA</t>
  </si>
  <si>
    <t xml:space="preserve">GCCGGCGGGTTCCGGCGTAG</t>
  </si>
  <si>
    <t xml:space="preserve">TAGTGCCGGCGGGTTCCGGCGTAG</t>
  </si>
  <si>
    <t xml:space="preserve">AAACCTACGCCGGAACCCGCCGGC</t>
  </si>
  <si>
    <t xml:space="preserve">GCCTGGCTCTTGCGGGGCTT</t>
  </si>
  <si>
    <t xml:space="preserve">TAGTGCCTGGCTCTTGCGGGGCTT</t>
  </si>
  <si>
    <t xml:space="preserve">AAACAAGCCCCGCAAGAGCCAGGC</t>
  </si>
  <si>
    <t xml:space="preserve">GACGCGTGGCGTCGTGCTTC</t>
  </si>
  <si>
    <t xml:space="preserve">TAGTGACGCGTGGCGTCGTGCTTC</t>
  </si>
  <si>
    <t xml:space="preserve">AAACGAAGCACGACGCCACGCGTC</t>
  </si>
  <si>
    <t xml:space="preserve">PST_2131</t>
  </si>
  <si>
    <t xml:space="preserve">GCGGGAAACTGCGCCATCGC</t>
  </si>
  <si>
    <t xml:space="preserve">TAGTGCGGGAAACTGCGCCATCGC</t>
  </si>
  <si>
    <t xml:space="preserve">AAACGCGATGGCGCAGTTTCCCGC</t>
  </si>
  <si>
    <t xml:space="preserve">GGTATCGTCACGCGGCGTGC</t>
  </si>
  <si>
    <t xml:space="preserve">TAGTGGTATCGTCACGCGGCGTGC</t>
  </si>
  <si>
    <t xml:space="preserve">AAACGCACGCCGCGTGACGATACC</t>
  </si>
  <si>
    <t xml:space="preserve">CATCGGGCTCGGACGTGACC</t>
  </si>
  <si>
    <t xml:space="preserve">TAGTCATCGGGCTCGGACGTGACC</t>
  </si>
  <si>
    <t xml:space="preserve">AAACGGTCACGTCCGAGCCCGATG</t>
  </si>
  <si>
    <t xml:space="preserve">CCACTTCTTCCTGCGGCGTG</t>
  </si>
  <si>
    <t xml:space="preserve">TAGTCCACTTCTTCCTGCGGCGTG</t>
  </si>
  <si>
    <t xml:space="preserve">AAACCACGCCGCAGGAAGAAGTGG</t>
  </si>
  <si>
    <t xml:space="preserve">PST_2132</t>
  </si>
  <si>
    <t xml:space="preserve">CCATCCTGCACACCTACCTG</t>
  </si>
  <si>
    <t xml:space="preserve">TAGTCCATCCTGCACACCTACCTG</t>
  </si>
  <si>
    <t xml:space="preserve">AAACCAGGTAGGTGTGCAGGATGG</t>
  </si>
  <si>
    <t xml:space="preserve">AGTCACCTCCTTTGCTAGGG</t>
  </si>
  <si>
    <t xml:space="preserve">TAGTAGTCACCTCCTTTGCTAGGG</t>
  </si>
  <si>
    <t xml:space="preserve">AAACCCCTAGCAAAGGAGGTGACT</t>
  </si>
  <si>
    <t xml:space="preserve">GGAACGCCAGGGGTGCGCAG</t>
  </si>
  <si>
    <t xml:space="preserve">TAGTGGAACGCCAGGGGTGCGCAG</t>
  </si>
  <si>
    <t xml:space="preserve">AAACCTGCGCACCCCTGGCGTTCC</t>
  </si>
  <si>
    <t xml:space="preserve">CTGCTACGGTTGAAGGACGT</t>
  </si>
  <si>
    <t xml:space="preserve">TAGTCTGCTACGGTTGAAGGACGT</t>
  </si>
  <si>
    <t xml:space="preserve">AAACACGTCCTTCAACCGTAGCAG</t>
  </si>
  <si>
    <t xml:space="preserve">PST_2133</t>
  </si>
  <si>
    <t xml:space="preserve">GCCGAGGTGGCCGGGCAATC</t>
  </si>
  <si>
    <t xml:space="preserve">TAGTGCCGAGGTGGCCGGGCAATC</t>
  </si>
  <si>
    <t xml:space="preserve">AAACGATTGCCCGGCCACCTCGGC</t>
  </si>
  <si>
    <t xml:space="preserve">AAAAGAGGATGGGGAAGGCC</t>
  </si>
  <si>
    <t xml:space="preserve">TAGTAAAAGAGGATGGGGAAGGCC</t>
  </si>
  <si>
    <t xml:space="preserve">AAACGGCCTTCCCCATCCTCTTTT</t>
  </si>
  <si>
    <t xml:space="preserve">GGCCGTTTGCGGTCCCGCAA</t>
  </si>
  <si>
    <t xml:space="preserve">TAGTGGCCGTTTGCGGTCCCGCAA</t>
  </si>
  <si>
    <t xml:space="preserve">AAACTTGCGGGACCGCAAACGGCC</t>
  </si>
  <si>
    <t xml:space="preserve">CGGCTTCCGACGGACAGGCA</t>
  </si>
  <si>
    <t xml:space="preserve">TAGTCGGCTTCCGACGGACAGGCA</t>
  </si>
  <si>
    <t xml:space="preserve">AAACTGCCTGTCCGTCGGAAGCCG</t>
  </si>
  <si>
    <t xml:space="preserve">PST_2134</t>
  </si>
  <si>
    <t xml:space="preserve">CCGGTCTGTGCACTTTGCAT</t>
  </si>
  <si>
    <t xml:space="preserve">TAGTCCGGTCTGTGCACTTTGCAT</t>
  </si>
  <si>
    <t xml:space="preserve">AAACATGCAAAGTGCACAGACCGG</t>
  </si>
  <si>
    <t xml:space="preserve">ACTCGATGAGGCGTTCGGTA</t>
  </si>
  <si>
    <t xml:space="preserve">TAGTACTCGATGAGGCGTTCGGTA</t>
  </si>
  <si>
    <t xml:space="preserve">AAACTACCGAACGCCTCATCGAGT</t>
  </si>
  <si>
    <t xml:space="preserve">CTGCTTGTTCAGCATGGTCT</t>
  </si>
  <si>
    <t xml:space="preserve">TAGTCTGCTTGTTCAGCATGGTCT</t>
  </si>
  <si>
    <t xml:space="preserve">AAACAGACCATGCTGAACAAGCAG</t>
  </si>
  <si>
    <t xml:space="preserve">GGGGTAATGCTCGATACGGC</t>
  </si>
  <si>
    <t xml:space="preserve">TAGTGGGGTAATGCTCGATACGGC</t>
  </si>
  <si>
    <t xml:space="preserve">AAACGCCGTATCGAGCATTACCCC</t>
  </si>
  <si>
    <t xml:space="preserve">PST_2135</t>
  </si>
  <si>
    <t xml:space="preserve">GCGCTGGCTGGCTGATGTAC</t>
  </si>
  <si>
    <t xml:space="preserve">TAGTGCGCTGGCTGGCTGATGTAC</t>
  </si>
  <si>
    <t xml:space="preserve">AAACGTACATCAGCCAGCCAGCGC</t>
  </si>
  <si>
    <t xml:space="preserve">GAGGATCAGCACTACGAACA</t>
  </si>
  <si>
    <t xml:space="preserve">TAGTGAGGATCAGCACTACGAACA</t>
  </si>
  <si>
    <t xml:space="preserve">AAACTGTTCGTAGTGCTGATCCTC</t>
  </si>
  <si>
    <t xml:space="preserve">CGGTCAGCAGACGGCCGGAC</t>
  </si>
  <si>
    <t xml:space="preserve">TAGTCGGTCAGCAGACGGCCGGAC</t>
  </si>
  <si>
    <t xml:space="preserve">AAACGTCCGGCCGTCTGCTGACCG</t>
  </si>
  <si>
    <t xml:space="preserve">CGCCAGGCGCAGCATCAGAG</t>
  </si>
  <si>
    <t xml:space="preserve">TAGTCGCCAGGCGCAGCATCAGAG</t>
  </si>
  <si>
    <t xml:space="preserve">AAACCTCTGATGCTGCGCCTGGCG</t>
  </si>
  <si>
    <t xml:space="preserve">PST_2136</t>
  </si>
  <si>
    <t xml:space="preserve">GCTTGAGTTCCTCGCGCTGC</t>
  </si>
  <si>
    <t xml:space="preserve">TAGTGCTTGAGTTCCTCGCGCTGC</t>
  </si>
  <si>
    <t xml:space="preserve">AAACGCAGCGCGAGGAACTCAAGC</t>
  </si>
  <si>
    <t xml:space="preserve">GGCCATCAAACCGCAGGTAC</t>
  </si>
  <si>
    <t xml:space="preserve">TAGTGGCCATCAAACCGCAGGTAC</t>
  </si>
  <si>
    <t xml:space="preserve">AAACGTACCTGCGGTTTGATGGCC</t>
  </si>
  <si>
    <t xml:space="preserve">CGGGATGTCACCCAGCAGCG</t>
  </si>
  <si>
    <t xml:space="preserve">TAGTCGGGATGTCACCCAGCAGCG</t>
  </si>
  <si>
    <t xml:space="preserve">AAACCGCTGCTGGGTGACATCCCG</t>
  </si>
  <si>
    <t xml:space="preserve">TCGAGCACCTGGCCGCAGCC</t>
  </si>
  <si>
    <t xml:space="preserve">TAGTTCGAGCACCTGGCCGCAGCC</t>
  </si>
  <si>
    <t xml:space="preserve">AAACGGCTGCGGCCAGGTGCTCGA</t>
  </si>
  <si>
    <t xml:space="preserve">PST_2137</t>
  </si>
  <si>
    <t xml:space="preserve">glgA</t>
  </si>
  <si>
    <t xml:space="preserve">CCAGCGCTGGAACTCACAGC</t>
  </si>
  <si>
    <t xml:space="preserve">TAGTCCAGCGCTGGAACTCACAGC</t>
  </si>
  <si>
    <t xml:space="preserve">AAACGCTGTGAGTTCCAGCGCTGG</t>
  </si>
  <si>
    <t xml:space="preserve">GGAAACCAGACCCCGCATCG</t>
  </si>
  <si>
    <t xml:space="preserve">TAGTGGAAACCAGACCCCGCATCG</t>
  </si>
  <si>
    <t xml:space="preserve">AAACCGATGCGGGGTCTGGTTTCC</t>
  </si>
  <si>
    <t xml:space="preserve">TAGAGCTGCGCCGGCCCTAC</t>
  </si>
  <si>
    <t xml:space="preserve">TAGTTAGAGCTGCGCCGGCCCTAC</t>
  </si>
  <si>
    <t xml:space="preserve">AAACGTAGGGCCGGCGCAGCTCTA</t>
  </si>
  <si>
    <t xml:space="preserve">TTAGGAGCTGCCGAGAGGGC</t>
  </si>
  <si>
    <t xml:space="preserve">TAGTTTAGGAGCTGCCGAGAGGGC</t>
  </si>
  <si>
    <t xml:space="preserve">AAACGCCCTCTCGGCAGCTCCTAA</t>
  </si>
  <si>
    <t xml:space="preserve">PST_2138</t>
  </si>
  <si>
    <t xml:space="preserve">CGGACCGTGATGCGCAATAT</t>
  </si>
  <si>
    <t xml:space="preserve">TAGTCGGACCGTGATGCGCAATAT</t>
  </si>
  <si>
    <t xml:space="preserve">AAACATATTGCGCATCACGGTCCG</t>
  </si>
  <si>
    <t xml:space="preserve">GTCCCGCTATCCAGCAACTC</t>
  </si>
  <si>
    <t xml:space="preserve">TAGTGTCCCGCTATCCAGCAACTC</t>
  </si>
  <si>
    <t xml:space="preserve">AAACGAGTTGCTGGATAGCGGGAC</t>
  </si>
  <si>
    <t xml:space="preserve">TGCCCAGAGGCGGAAGCGGG</t>
  </si>
  <si>
    <t xml:space="preserve">TAGTTGCCCAGAGGCGGAAGCGGG</t>
  </si>
  <si>
    <t xml:space="preserve">AAACCCCGCTTCCGCCTCTGGGCA</t>
  </si>
  <si>
    <t xml:space="preserve">AGGCTGACGCTTCGCGCGTC</t>
  </si>
  <si>
    <t xml:space="preserve">TAGTAGGCTGACGCTTCGCGCGTC</t>
  </si>
  <si>
    <t xml:space="preserve">AAACGACGCGCGAAGCGTCAGCCT</t>
  </si>
  <si>
    <t xml:space="preserve">PST_2139</t>
  </si>
  <si>
    <t xml:space="preserve">malQ</t>
  </si>
  <si>
    <t xml:space="preserve">ACCCGGCAGCGTCAGCCAGG</t>
  </si>
  <si>
    <t xml:space="preserve">TAGTACCCGGCAGCGTCAGCCAGG</t>
  </si>
  <si>
    <t xml:space="preserve">AAACCCTGGCTGACGCTGCCGGGT</t>
  </si>
  <si>
    <t xml:space="preserve">GTCGGCGTCCACCCAGTCGA</t>
  </si>
  <si>
    <t xml:space="preserve">TAGTGTCGGCGTCCACCCAGTCGA</t>
  </si>
  <si>
    <t xml:space="preserve">AAACTCGACTGGGTGGACGCCGAC</t>
  </si>
  <si>
    <t xml:space="preserve">GCGGCTCCACCCGCTGCTGA</t>
  </si>
  <si>
    <t xml:space="preserve">TAGTGCGGCTCCACCCGCTGCTGA</t>
  </si>
  <si>
    <t xml:space="preserve">AAACTCAGCAGCGGGTGGAGCCGC</t>
  </si>
  <si>
    <t xml:space="preserve">CGGTATCTGCCTCGAGTCCG</t>
  </si>
  <si>
    <t xml:space="preserve">TAGTCGGTATCTGCCTCGAGTCCG</t>
  </si>
  <si>
    <t xml:space="preserve">AAACCGGACTCGAGGCAGATACCG</t>
  </si>
  <si>
    <t xml:space="preserve">PST_2140</t>
  </si>
  <si>
    <t xml:space="preserve">GTAGTCGCAGGGTCGCGGTA</t>
  </si>
  <si>
    <t xml:space="preserve">TAGTGTAGTCGCAGGGTCGCGGTA</t>
  </si>
  <si>
    <t xml:space="preserve">AAACTACCGCGACCCTGCGACTAC</t>
  </si>
  <si>
    <t xml:space="preserve">CGTGATCCAGAGTGAAGTCG</t>
  </si>
  <si>
    <t xml:space="preserve">TAGTCGTGATCCAGAGTGAAGTCG</t>
  </si>
  <si>
    <t xml:space="preserve">AAACCGACTTCACTCTGGATCACG</t>
  </si>
  <si>
    <t xml:space="preserve">AAAGTAATCCACCAGTGCGG</t>
  </si>
  <si>
    <t xml:space="preserve">TAGTAAAGTAATCCACCAGTGCGG</t>
  </si>
  <si>
    <t xml:space="preserve">AAACCCGCACTGGTGGATTACTTT</t>
  </si>
  <si>
    <t xml:space="preserve">GATGTGGCTGATGCCGAGTT</t>
  </si>
  <si>
    <t xml:space="preserve">TAGTGATGTGGCTGATGCCGAGTT</t>
  </si>
  <si>
    <t xml:space="preserve">AAACAACTCGGCATCAGCCACATC</t>
  </si>
  <si>
    <t xml:space="preserve">PST_2141</t>
  </si>
  <si>
    <t xml:space="preserve">AGATCTGGTAGGCGAGCTCG</t>
  </si>
  <si>
    <t xml:space="preserve">TAGTAGATCTGGTAGGCGAGCTCG</t>
  </si>
  <si>
    <t xml:space="preserve">AAACCGAGCTCGCCTACCAGATCT</t>
  </si>
  <si>
    <t xml:space="preserve">CTCGCCGTGCGGGCAGCCTT</t>
  </si>
  <si>
    <t xml:space="preserve">TAGTCTCGCCGTGCGGGCAGCCTT</t>
  </si>
  <si>
    <t xml:space="preserve">AAACAAGGCTGCCCGCACGGCGAG</t>
  </si>
  <si>
    <t xml:space="preserve">GGCCACGGGGGCCCCCTTTT</t>
  </si>
  <si>
    <t xml:space="preserve">TAGTGGCCACGGGGGCCCCCTTTT</t>
  </si>
  <si>
    <t xml:space="preserve">AAACAAAAGGGGGCCCCCGTGGCC</t>
  </si>
  <si>
    <t xml:space="preserve">GCGCGCGCGGGTCGCCGGTT</t>
  </si>
  <si>
    <t xml:space="preserve">TAGTGCGCGCGCGGGTCGCCGGTT</t>
  </si>
  <si>
    <t xml:space="preserve">AAACAACCGGCGACCCGCGCGCGC</t>
  </si>
  <si>
    <t xml:space="preserve">PST_2142</t>
  </si>
  <si>
    <t xml:space="preserve">glgX</t>
  </si>
  <si>
    <t xml:space="preserve">GTCATGACCTGTGGCGCGTG</t>
  </si>
  <si>
    <t xml:space="preserve">TAGTGTCATGACCTGTGGCGCGTG</t>
  </si>
  <si>
    <t xml:space="preserve">AAACCACGCGCCACAGGTCATGAC</t>
  </si>
  <si>
    <t xml:space="preserve">GCCCTCGCGAATCCTGGAAG</t>
  </si>
  <si>
    <t xml:space="preserve">TAGTGCCCTCGCGAATCCTGGAAG</t>
  </si>
  <si>
    <t xml:space="preserve">AAACCTTCCAGGATTCGCGAGGGC</t>
  </si>
  <si>
    <t xml:space="preserve">TCGCCCCGAGAGGGAAGGGC</t>
  </si>
  <si>
    <t xml:space="preserve">TAGTTCGCCCCGAGAGGGAAGGGC</t>
  </si>
  <si>
    <t xml:space="preserve">AAACGCCCTTCCCTCTCGGGGCGA</t>
  </si>
  <si>
    <t xml:space="preserve">ATTCACGCCCAAGCCGTCCC</t>
  </si>
  <si>
    <t xml:space="preserve">TAGTATTCACGCCCAAGCCGTCCC</t>
  </si>
  <si>
    <t xml:space="preserve">AAACGGGACGGCTTGGGCGTGAAT</t>
  </si>
  <si>
    <t xml:space="preserve">PST_2143</t>
  </si>
  <si>
    <t xml:space="preserve">AGCAGAAGGGGATAGATGAG</t>
  </si>
  <si>
    <t xml:space="preserve">TAGTAGCAGAAGGGGATAGATGAG</t>
  </si>
  <si>
    <t xml:space="preserve">AAACCTCATCTATCCCCTTCTGCT</t>
  </si>
  <si>
    <t xml:space="preserve">GAGGCGAAGCTGGGAGCCAG</t>
  </si>
  <si>
    <t xml:space="preserve">TAGTGAGGCGAAGCTGGGAGCCAG</t>
  </si>
  <si>
    <t xml:space="preserve">AAACCTGGCTCCCAGCTTCGCCTC</t>
  </si>
  <si>
    <t xml:space="preserve">GGTTGCTTTCGCTTGCTTGC</t>
  </si>
  <si>
    <t xml:space="preserve">TAGTGGTTGCTTTCGCTTGCTTGC</t>
  </si>
  <si>
    <t xml:space="preserve">AAACGCAAGCAAGCGAAAGCAACC</t>
  </si>
  <si>
    <t xml:space="preserve">CCGTACCGAGCCCGGTTTGT</t>
  </si>
  <si>
    <t xml:space="preserve">TAGTCCGTACCGAGCCCGGTTTGT</t>
  </si>
  <si>
    <t xml:space="preserve">AAACACAAACCGGGCTCGGTACGG</t>
  </si>
  <si>
    <t xml:space="preserve">PST_2144</t>
  </si>
  <si>
    <t xml:space="preserve">TCGGCTTTGTGATCGGTACA</t>
  </si>
  <si>
    <t xml:space="preserve">TAGTTCGGCTTTGTGATCGGTACA</t>
  </si>
  <si>
    <t xml:space="preserve">AAACTGTACCGATCACAAAGCCGA</t>
  </si>
  <si>
    <t xml:space="preserve">AGGCGCTTGATCAGGCGCGA</t>
  </si>
  <si>
    <t xml:space="preserve">TAGTAGGCGCTTGATCAGGCGCGA</t>
  </si>
  <si>
    <t xml:space="preserve">AAACTCGCGCCTGATCAAGCGCCT</t>
  </si>
  <si>
    <t xml:space="preserve">TGTGCCGCCAGTGATTGCAC</t>
  </si>
  <si>
    <t xml:space="preserve">TAGTTGTGCCGCCAGTGATTGCAC</t>
  </si>
  <si>
    <t xml:space="preserve">AAACGTGCAATCACTGGCGGCACA</t>
  </si>
  <si>
    <t xml:space="preserve">CCCTGCTCGTCCAGCTGCAC</t>
  </si>
  <si>
    <t xml:space="preserve">TAGTCCCTGCTCGTCCAGCTGCAC</t>
  </si>
  <si>
    <t xml:space="preserve">AAACGTGCAGCTGGACGAGCAGGG</t>
  </si>
  <si>
    <t xml:space="preserve">PST_2145</t>
  </si>
  <si>
    <t xml:space="preserve">GGCGCCCGACGAGCTGAAAG</t>
  </si>
  <si>
    <t xml:space="preserve">TAGTGGCGCCCGACGAGCTGAAAG</t>
  </si>
  <si>
    <t xml:space="preserve">AAACCTTTCAGCTCGTCGGGCGCC</t>
  </si>
  <si>
    <t xml:space="preserve">CGAACAGGGTCGGCATGGTC</t>
  </si>
  <si>
    <t xml:space="preserve">TAGTCGAACAGGGTCGGCATGGTC</t>
  </si>
  <si>
    <t xml:space="preserve">AAACGACCATGCCGACCCTGTTCG</t>
  </si>
  <si>
    <t xml:space="preserve">AAACAAGGGCCGGCACCGTG</t>
  </si>
  <si>
    <t xml:space="preserve">TAGTAAACAAGGGCCGGCACCGTG</t>
  </si>
  <si>
    <t xml:space="preserve">AAACCACGGTGCCGGCCCTTGTTT</t>
  </si>
  <si>
    <t xml:space="preserve">TGGCATTCCAGGCGGTCGGC</t>
  </si>
  <si>
    <t xml:space="preserve">TAGTTGGCATTCCAGGCGGTCGGC</t>
  </si>
  <si>
    <t xml:space="preserve">AAACGCCGACCGCCTGGAATGCCA</t>
  </si>
  <si>
    <t xml:space="preserve">PST_2146</t>
  </si>
  <si>
    <t xml:space="preserve">GCCGGTGATGCGATCGAGCA</t>
  </si>
  <si>
    <t xml:space="preserve">TAGTGCCGGTGATGCGATCGAGCA</t>
  </si>
  <si>
    <t xml:space="preserve">AAACTGCTCGATCGCATCACCGGC</t>
  </si>
  <si>
    <t xml:space="preserve">TGCCGAAAGGCTTCCAGCGC</t>
  </si>
  <si>
    <t xml:space="preserve">TAGTTGCCGAAAGGCTTCCAGCGC</t>
  </si>
  <si>
    <t xml:space="preserve">AAACGCGCTGGAAGCCTTTCGGCA</t>
  </si>
  <si>
    <t xml:space="preserve">CCATGGCCGGGGACATGTCC</t>
  </si>
  <si>
    <t xml:space="preserve">TAGTCCATGGCCGGGGACATGTCC</t>
  </si>
  <si>
    <t xml:space="preserve">AAACGGACATGTCCCCGGCCATGG</t>
  </si>
  <si>
    <t xml:space="preserve">CAGCGCATCCACGTGCTTGC</t>
  </si>
  <si>
    <t xml:space="preserve">TAGTCAGCGCATCCACGTGCTTGC</t>
  </si>
  <si>
    <t xml:space="preserve">AAACGCAAGCACGTGGATGCGCTG</t>
  </si>
  <si>
    <t xml:space="preserve">PST_2147</t>
  </si>
  <si>
    <t xml:space="preserve">GTGGTAGACAACAGCTTTCA</t>
  </si>
  <si>
    <t xml:space="preserve">TAGTGTGGTAGACAACAGCTTTCA</t>
  </si>
  <si>
    <t xml:space="preserve">AAACTGAAAGCTGTTGTCTACCAC</t>
  </si>
  <si>
    <t xml:space="preserve">TTCGAAACGGATATCGCCAA</t>
  </si>
  <si>
    <t xml:space="preserve">TAGTTTCGAAACGGATATCGCCAA</t>
  </si>
  <si>
    <t xml:space="preserve">AAACTTGGCGATATCCGTTTCGAA</t>
  </si>
  <si>
    <t xml:space="preserve">GGCGCCAGGATGCGTGGTTC</t>
  </si>
  <si>
    <t xml:space="preserve">TAGTGGCGCCAGGATGCGTGGTTC</t>
  </si>
  <si>
    <t xml:space="preserve">AAACGAACCACGCATCCTGGCGCC</t>
  </si>
  <si>
    <t xml:space="preserve">ATGCGCACAATGGCATCGGT</t>
  </si>
  <si>
    <t xml:space="preserve">TAGTATGCGCACAATGGCATCGGT</t>
  </si>
  <si>
    <t xml:space="preserve">AAACACCGATGCCATTGTGCGCAT</t>
  </si>
  <si>
    <t xml:space="preserve">PST_2148</t>
  </si>
  <si>
    <t xml:space="preserve">GCCGATATGGATACCCGCCA</t>
  </si>
  <si>
    <t xml:space="preserve">TAGTGCCGATATGGATACCCGCCA</t>
  </si>
  <si>
    <t xml:space="preserve">AAACTGGCGGGTATCCATATCGGC</t>
  </si>
  <si>
    <t xml:space="preserve">CCAGGGCGCGTAACGCCAAC</t>
  </si>
  <si>
    <t xml:space="preserve">TAGTCCAGGGCGCGTAACGCCAAC</t>
  </si>
  <si>
    <t xml:space="preserve">AAACGTTGGCGTTACGCGCCCTGG</t>
  </si>
  <si>
    <t xml:space="preserve">TTTTCTGCGTCAGCCCCTTG</t>
  </si>
  <si>
    <t xml:space="preserve">TAGTTTTTCTGCGTCAGCCCCTTG</t>
  </si>
  <si>
    <t xml:space="preserve">AAACCAAGGGGCTGACGCAGAAAA</t>
  </si>
  <si>
    <t xml:space="preserve">GATGCTGCTCACCGCCCGCG</t>
  </si>
  <si>
    <t xml:space="preserve">TAGTGATGCTGCTCACCGCCCGCG</t>
  </si>
  <si>
    <t xml:space="preserve">AAACCGCGGGCGGTGAGCAGCATC</t>
  </si>
  <si>
    <t xml:space="preserve">PST_2149</t>
  </si>
  <si>
    <t xml:space="preserve">GATGGGATGGTCTTTGTCCA</t>
  </si>
  <si>
    <t xml:space="preserve">TAGTGATGGGATGGTCTTTGTCCA</t>
  </si>
  <si>
    <t xml:space="preserve">AAACTGGACAAAGACCATCCCATC</t>
  </si>
  <si>
    <t xml:space="preserve">GGCCATGTGGGCATCGAGAT</t>
  </si>
  <si>
    <t xml:space="preserve">TAGTGGCCATGTGGGCATCGAGAT</t>
  </si>
  <si>
    <t xml:space="preserve">AAACATCTCGATGCCCACATGGCC</t>
  </si>
  <si>
    <t xml:space="preserve">GCGGATCGAATTGACCGCCG</t>
  </si>
  <si>
    <t xml:space="preserve">TAGTGCGGATCGAATTGACCGCCG</t>
  </si>
  <si>
    <t xml:space="preserve">AAACCGGCGGTCAATTCGATCCGC</t>
  </si>
  <si>
    <t xml:space="preserve">CCTTGTGGGTGTTCACCGTG</t>
  </si>
  <si>
    <t xml:space="preserve">TAGTCCTTGTGGGTGTTCACCGTG</t>
  </si>
  <si>
    <t xml:space="preserve">AAACCACGGTGAACACCCACAAGG</t>
  </si>
  <si>
    <t xml:space="preserve">PST_2150</t>
  </si>
  <si>
    <t xml:space="preserve">GGCGATTCCCGTCTCTCCAG</t>
  </si>
  <si>
    <t xml:space="preserve">TAGTGGCGATTCCCGTCTCTCCAG</t>
  </si>
  <si>
    <t xml:space="preserve">AAACCTGGAGAGACGGGAATCGCC</t>
  </si>
  <si>
    <t xml:space="preserve">CGCCGTTTTCCAGTAACTGA</t>
  </si>
  <si>
    <t xml:space="preserve">TAGTCGCCGTTTTCCAGTAACTGA</t>
  </si>
  <si>
    <t xml:space="preserve">AAACTCAGTTACTGGAAAACGGCG</t>
  </si>
  <si>
    <t xml:space="preserve">GCGATGACCTCGAACACTCG</t>
  </si>
  <si>
    <t xml:space="preserve">TAGTGCGATGACCTCGAACACTCG</t>
  </si>
  <si>
    <t xml:space="preserve">AAACCGAGTGTTCGAGGTCATCGC</t>
  </si>
  <si>
    <t xml:space="preserve">CAGCACCTCTTTCTTGGCCT</t>
  </si>
  <si>
    <t xml:space="preserve">TAGTCAGCACCTCTTTCTTGGCCT</t>
  </si>
  <si>
    <t xml:space="preserve">AAACAGGCCAAGAAAGAGGTGCTG</t>
  </si>
  <si>
    <t xml:space="preserve">PST_2151</t>
  </si>
  <si>
    <t xml:space="preserve">TCTGCCGGACCGGCAGGTCG</t>
  </si>
  <si>
    <t xml:space="preserve">TAGTTCTGCCGGACCGGCAGGTCG</t>
  </si>
  <si>
    <t xml:space="preserve">AAACCGACCTGCCGGTCCGGCAGA</t>
  </si>
  <si>
    <t xml:space="preserve">AGCAGACGAAGGTCACCGGA</t>
  </si>
  <si>
    <t xml:space="preserve">TAGTAGCAGACGAAGGTCACCGGA</t>
  </si>
  <si>
    <t xml:space="preserve">AAACTCCGGTGACCTTCGTCTGCT</t>
  </si>
  <si>
    <t xml:space="preserve">GGCGCTCAGGTTGAGATTGA</t>
  </si>
  <si>
    <t xml:space="preserve">TAGTGGCGCTCAGGTTGAGATTGA</t>
  </si>
  <si>
    <t xml:space="preserve">AAACTCAATCTCAACCTGAGCGCC</t>
  </si>
  <si>
    <t xml:space="preserve">CAGGGCGATGCCGCCCACCC</t>
  </si>
  <si>
    <t xml:space="preserve">TAGTCAGGGCGATGCCGCCCACCC</t>
  </si>
  <si>
    <t xml:space="preserve">AAACGGGTGGGCGGCATCGCCCTG</t>
  </si>
  <si>
    <t xml:space="preserve">PST_2152</t>
  </si>
  <si>
    <t xml:space="preserve">glgB</t>
  </si>
  <si>
    <t xml:space="preserve">CCCCTGGCGTGGTCAGAACC</t>
  </si>
  <si>
    <t xml:space="preserve">TAGTCCCCTGGCGTGGTCAGAACC</t>
  </si>
  <si>
    <t xml:space="preserve">AAACGGTTCTGACCACGCCAGGGG</t>
  </si>
  <si>
    <t xml:space="preserve">ATCGGTATCGCTGGGCATCA</t>
  </si>
  <si>
    <t xml:space="preserve">TAGTATCGGTATCGCTGGGCATCA</t>
  </si>
  <si>
    <t xml:space="preserve">AAACTGATGCCCAGCGATACCGAT</t>
  </si>
  <si>
    <t xml:space="preserve">GCCATGTTCGGCTCGTACCA</t>
  </si>
  <si>
    <t xml:space="preserve">TAGTGCCATGTTCGGCTCGTACCA</t>
  </si>
  <si>
    <t xml:space="preserve">AAACTGGTACGAGCCGAACATGGC</t>
  </si>
  <si>
    <t xml:space="preserve">TGCGGTCCGAGCACGGCGAA</t>
  </si>
  <si>
    <t xml:space="preserve">TAGTTGCGGTCCGAGCACGGCGAA</t>
  </si>
  <si>
    <t xml:space="preserve">AAACTTCGCCGTGCTCGGACCGCA</t>
  </si>
  <si>
    <t xml:space="preserve">PST_2153</t>
  </si>
  <si>
    <t xml:space="preserve">AGAAGGATTTCAGGTGCACC</t>
  </si>
  <si>
    <t xml:space="preserve">TAGTAGAAGGATTTCAGGTGCACC</t>
  </si>
  <si>
    <t xml:space="preserve">AAACGGTGCACCTGAAATCCTTCT</t>
  </si>
  <si>
    <t xml:space="preserve">GTCGCCAACGCCATCGTTGT</t>
  </si>
  <si>
    <t xml:space="preserve">TAGTGTCGCCAACGCCATCGTTGT</t>
  </si>
  <si>
    <t xml:space="preserve">AAACACAACGATGGCGTTGGCGAC</t>
  </si>
  <si>
    <t xml:space="preserve">GATGGTGTTCACGCCCAGAT</t>
  </si>
  <si>
    <t xml:space="preserve">TAGTGATGGTGTTCACGCCCAGAT</t>
  </si>
  <si>
    <t xml:space="preserve">AAACATCTGGGCGTGAACACCATC</t>
  </si>
  <si>
    <t xml:space="preserve">CGCCGCGGCGAGGGATAGAA</t>
  </si>
  <si>
    <t xml:space="preserve">TAGTCGCCGCGGCGAGGGATAGAA</t>
  </si>
  <si>
    <t xml:space="preserve">AAACTTCTATCCCTCGCCGCGGCG</t>
  </si>
  <si>
    <t xml:space="preserve">PST_2154</t>
  </si>
  <si>
    <t xml:space="preserve">CGAGGGTGAATCGTCGCGTT</t>
  </si>
  <si>
    <t xml:space="preserve">TAGTCGAGGGTGAATCGTCGCGTT</t>
  </si>
  <si>
    <t xml:space="preserve">AAACAACGCGACGATTCACCCTCG</t>
  </si>
  <si>
    <t xml:space="preserve">GGCGATGCGCGGCATCTGCA</t>
  </si>
  <si>
    <t xml:space="preserve">TAGTGGCGATGCGCGGCATCTGCA</t>
  </si>
  <si>
    <t xml:space="preserve">AAACTGCAGATGCCGCGCATCGCC</t>
  </si>
  <si>
    <t xml:space="preserve">CACCGGCAAGGTGGATTCGA</t>
  </si>
  <si>
    <t xml:space="preserve">TAGTCACCGGCAAGGTGGATTCGA</t>
  </si>
  <si>
    <t xml:space="preserve">AAACTCGAATCCACCTTGCCGGTG</t>
  </si>
  <si>
    <t xml:space="preserve">CTGGCCGATGATCGCCTTGG</t>
  </si>
  <si>
    <t xml:space="preserve">TAGTCTGGCCGATGATCGCCTTGG</t>
  </si>
  <si>
    <t xml:space="preserve">AAACCCAAGGCGATCATCGGCCAG</t>
  </si>
  <si>
    <t xml:space="preserve">PST_2155</t>
  </si>
  <si>
    <t xml:space="preserve">GACGCATCCAGAGGCGGCTC</t>
  </si>
  <si>
    <t xml:space="preserve">TAGTGACGCATCCAGAGGCGGCTC</t>
  </si>
  <si>
    <t xml:space="preserve">AAACGAGCCGCCTCTGGATGCGTC</t>
  </si>
  <si>
    <t xml:space="preserve">AAAAACCGCCATCCGCGGGT</t>
  </si>
  <si>
    <t xml:space="preserve">TAGTAAAAACCGCCATCCGCGGGT</t>
  </si>
  <si>
    <t xml:space="preserve">AAACACCCGCGGATGGCGGTTTTT</t>
  </si>
  <si>
    <t xml:space="preserve">CTTTCCCCAGCCCCTCGGCT</t>
  </si>
  <si>
    <t xml:space="preserve">TAGTCTTTCCCCAGCCCCTCGGCT</t>
  </si>
  <si>
    <t xml:space="preserve">AAACAGCCGAGGGGCTGGGGAAAG</t>
  </si>
  <si>
    <t xml:space="preserve">CGGACAGGCTGCCTGGCGGC</t>
  </si>
  <si>
    <t xml:space="preserve">TAGTCGGACAGGCTGCCTGGCGGC</t>
  </si>
  <si>
    <t xml:space="preserve">AAACGCCGCCAGGCAGCCTGTCCG</t>
  </si>
  <si>
    <t xml:space="preserve">PST_2156</t>
  </si>
  <si>
    <t xml:space="preserve">TGCCGAATTCGTGGCTCGCG</t>
  </si>
  <si>
    <t xml:space="preserve">TAGTTGCCGAATTCGTGGCTCGCG</t>
  </si>
  <si>
    <t xml:space="preserve">AAACCGCGAGCCACGAATTCGGCA</t>
  </si>
  <si>
    <t xml:space="preserve">GGCGGTTCCATGATGGTGGT</t>
  </si>
  <si>
    <t xml:space="preserve">TAGTGGCGGTTCCATGATGGTGGT</t>
  </si>
  <si>
    <t xml:space="preserve">AAACACCACCATCATGGAACCGCC</t>
  </si>
  <si>
    <t xml:space="preserve">TCGTCCGGCAGGACTACCTG</t>
  </si>
  <si>
    <t xml:space="preserve">TAGTTCGTCCGGCAGGACTACCTG</t>
  </si>
  <si>
    <t xml:space="preserve">AAACCAGGTAGTCCTGCCGGACGA</t>
  </si>
  <si>
    <t xml:space="preserve">GCGCACGGCGGCTGAACAAC</t>
  </si>
  <si>
    <t xml:space="preserve">TAGTGCGCACGGCGGCTGAACAAC</t>
  </si>
  <si>
    <t xml:space="preserve">AAACGTTGTTCAGCCGCCGTGCGC</t>
  </si>
  <si>
    <t xml:space="preserve">PST_2157</t>
  </si>
  <si>
    <t xml:space="preserve">fdnI-2</t>
  </si>
  <si>
    <t xml:space="preserve">CAGGATGCCCTTGCGTACGT</t>
  </si>
  <si>
    <t xml:space="preserve">TAGTCAGGATGCCCTTGCGTACGT</t>
  </si>
  <si>
    <t xml:space="preserve">AAACACGTACGCAAGGGCATCCTG</t>
  </si>
  <si>
    <t xml:space="preserve">AGTGATTGGCCCGCGCCCAG</t>
  </si>
  <si>
    <t xml:space="preserve">TAGTAGTGATTGGCCCGCGCCCAG</t>
  </si>
  <si>
    <t xml:space="preserve">AAACCTGGGCGCGGGCCAATCACT</t>
  </si>
  <si>
    <t xml:space="preserve">GAACAGCGCCAGTCCGCTCA</t>
  </si>
  <si>
    <t xml:space="preserve">TAGTGAACAGCGCCAGTCCGCTCA</t>
  </si>
  <si>
    <t xml:space="preserve">AAACTGAGCGGACTGGCGCTGTTC</t>
  </si>
  <si>
    <t xml:space="preserve">CGGTGAGGCCGAAGAACGCC</t>
  </si>
  <si>
    <t xml:space="preserve">TAGTCGGTGAGGCCGAAGAACGCC</t>
  </si>
  <si>
    <t xml:space="preserve">AAACGGCGTTCTTCGGCCTCACCG</t>
  </si>
  <si>
    <t xml:space="preserve">PST_2158</t>
  </si>
  <si>
    <t xml:space="preserve">fdnH-2</t>
  </si>
  <si>
    <t xml:space="preserve">TGATGTTCTGCAGGTTGATC</t>
  </si>
  <si>
    <t xml:space="preserve">TAGTTGATGTTCTGCAGGTTGATC</t>
  </si>
  <si>
    <t xml:space="preserve">AAACGATCAACCTGCAGAACATCA</t>
  </si>
  <si>
    <t xml:space="preserve">GATCTGCGGCGAAGGCTCGG</t>
  </si>
  <si>
    <t xml:space="preserve">TAGTGATCTGCGGCGAAGGCTCGG</t>
  </si>
  <si>
    <t xml:space="preserve">AAACCCGAGCCTTCGCCGCAGATC</t>
  </si>
  <si>
    <t xml:space="preserve">CCTTCTCCACGCCGCCGGAG</t>
  </si>
  <si>
    <t xml:space="preserve">TAGTCCTTCTCCACGCCGCCGGAG</t>
  </si>
  <si>
    <t xml:space="preserve">AAACCTCCGGCGGCGTGGAGAAGG</t>
  </si>
  <si>
    <t xml:space="preserve">TTCCATGCACGCCACCTGGC</t>
  </si>
  <si>
    <t xml:space="preserve">TAGTTTCCATGCACGCCACCTGGC</t>
  </si>
  <si>
    <t xml:space="preserve">AAACGCCAGGTGGCGTGCATGGAA</t>
  </si>
  <si>
    <t xml:space="preserve">PST_2159</t>
  </si>
  <si>
    <t xml:space="preserve">GTCGACCCAGCTGTTGGTCA</t>
  </si>
  <si>
    <t xml:space="preserve">TAGTGTCGACCCAGCTGTTGGTCA</t>
  </si>
  <si>
    <t xml:space="preserve">AAACTGACCAACAGCTGGGTCGAC</t>
  </si>
  <si>
    <t xml:space="preserve">ACAGGATGATGTTGGCATTG</t>
  </si>
  <si>
    <t xml:space="preserve">TAGTACAGGATGATGTTGGCATTG</t>
  </si>
  <si>
    <t xml:space="preserve">AAACCAATGCCAACATCATCCTGT</t>
  </si>
  <si>
    <t xml:space="preserve">TTCGGCCGAATTCCCGCCCA</t>
  </si>
  <si>
    <t xml:space="preserve">TAGTTTCGGCCGAATTCCCGCCCA</t>
  </si>
  <si>
    <t xml:space="preserve">AAACTGGGCGGGAATTCGGCCGAA</t>
  </si>
  <si>
    <t xml:space="preserve">ATGACCCAGCGGAAGCCCAC</t>
  </si>
  <si>
    <t xml:space="preserve">TAGTATGACCCAGCGGAAGCCCAC</t>
  </si>
  <si>
    <t xml:space="preserve">AAACGTGGGCTTCCGCTGGGTCAT</t>
  </si>
  <si>
    <t xml:space="preserve">PST_2160</t>
  </si>
  <si>
    <t xml:space="preserve">CGGGATACTCGTGCCGTCAT</t>
  </si>
  <si>
    <t xml:space="preserve">TAGTCGGGATACTCGTGCCGTCAT</t>
  </si>
  <si>
    <t xml:space="preserve">AAACATGACGGCACGAGTATCCCG</t>
  </si>
  <si>
    <t xml:space="preserve">CCAACTTGAGAAACTGCCGC</t>
  </si>
  <si>
    <t xml:space="preserve">TAGTCCAACTTGAGAAACTGCCGC</t>
  </si>
  <si>
    <t xml:space="preserve">AAACGCGGCAGTTTCTCAAGTTGG</t>
  </si>
  <si>
    <t xml:space="preserve">CATGCTGGAAGCGCCCAATC</t>
  </si>
  <si>
    <t xml:space="preserve">TAGTCATGCTGGAAGCGCCCAATC</t>
  </si>
  <si>
    <t xml:space="preserve">AAACGATTGGGCGCTTCCAGCATG</t>
  </si>
  <si>
    <t xml:space="preserve">CGAGGCCAGCGCCTCCTGCG</t>
  </si>
  <si>
    <t xml:space="preserve">TAGTCGAGGCCAGCGCCTCCTGCG</t>
  </si>
  <si>
    <t xml:space="preserve">AAACCGCAGGAGGCGCTGGCCTCG</t>
  </si>
  <si>
    <t xml:space="preserve">PST_2161</t>
  </si>
  <si>
    <t xml:space="preserve">GCGAGCGCTGTCCGTTCGCG</t>
  </si>
  <si>
    <t xml:space="preserve">TAGTGCGAGCGCTGTCCGTTCGCG</t>
  </si>
  <si>
    <t xml:space="preserve">AAACCGCGAACGGACAGCGCTCGC</t>
  </si>
  <si>
    <t xml:space="preserve">ATGCCGACACCGCCTACCAG</t>
  </si>
  <si>
    <t xml:space="preserve">TAGTATGCCGACACCGCCTACCAG</t>
  </si>
  <si>
    <t xml:space="preserve">AAACCTGGTAGGCGGTGTCGGCAT</t>
  </si>
  <si>
    <t xml:space="preserve">CCTCGTCGATCACCCGCTGA</t>
  </si>
  <si>
    <t xml:space="preserve">TAGTCCTCGTCGATCACCCGCTGA</t>
  </si>
  <si>
    <t xml:space="preserve">AAACTCAGCGGGTGATCGACGAGG</t>
  </si>
  <si>
    <t xml:space="preserve">CGCCAGCTTGGTGGTGCCGC</t>
  </si>
  <si>
    <t xml:space="preserve">TAGTCGCCAGCTTGGTGGTGCCGC</t>
  </si>
  <si>
    <t xml:space="preserve">AAACGCGGCACCACCAAGCTGGCG</t>
  </si>
  <si>
    <t xml:space="preserve">PST_2162</t>
  </si>
  <si>
    <t xml:space="preserve">GCGCCTTTCCAGATCGTGCG</t>
  </si>
  <si>
    <t xml:space="preserve">TAGTGCGCCTTTCCAGATCGTGCG</t>
  </si>
  <si>
    <t xml:space="preserve">AAACCGCACGATCTGGAAAGGCGC</t>
  </si>
  <si>
    <t xml:space="preserve">TGGCCGGCACCAGCGCCACC</t>
  </si>
  <si>
    <t xml:space="preserve">TAGTTGGCCGGCACCAGCGCCACC</t>
  </si>
  <si>
    <t xml:space="preserve">AAACGGTGGCGCTGGTGCCGGCCA</t>
  </si>
  <si>
    <t xml:space="preserve">ATCGATGCCCTGCCGTGTAG</t>
  </si>
  <si>
    <t xml:space="preserve">TAGTATCGATGCCCTGCCGTGTAG</t>
  </si>
  <si>
    <t xml:space="preserve">AAACCTACACGGCAGGGCATCGAT</t>
  </si>
  <si>
    <t xml:space="preserve">GCTGTCGATGTCCTCGCCAG</t>
  </si>
  <si>
    <t xml:space="preserve">TAGTGCTGTCGATGTCCTCGCCAG</t>
  </si>
  <si>
    <t xml:space="preserve">AAACCTGGCGAGGACATCGACAGC</t>
  </si>
  <si>
    <t xml:space="preserve">PST_2163</t>
  </si>
  <si>
    <t xml:space="preserve">GGTCTGATTGTCATCGGCCA</t>
  </si>
  <si>
    <t xml:space="preserve">TAGTGGTCTGATTGTCATCGGCCA</t>
  </si>
  <si>
    <t xml:space="preserve">AAACTGGCCGATGACAATCAGACC</t>
  </si>
  <si>
    <t xml:space="preserve">TGCCTGCTTCTGTGGGGGTA</t>
  </si>
  <si>
    <t xml:space="preserve">TAGTTGCCTGCTTCTGTGGGGGTA</t>
  </si>
  <si>
    <t xml:space="preserve">AAACTACCCCCACAGAAGCAGGCA</t>
  </si>
  <si>
    <t xml:space="preserve">TTCATCAGCCCTTCCTTGCC</t>
  </si>
  <si>
    <t xml:space="preserve">TAGTTTCATCAGCCCTTCCTTGCC</t>
  </si>
  <si>
    <t xml:space="preserve">AAACGGCAAGGAAGGGCTGATGAA</t>
  </si>
  <si>
    <t xml:space="preserve">CCCCGCGATATTGCGGCCGC</t>
  </si>
  <si>
    <t xml:space="preserve">TAGTCCCCGCGATATTGCGGCCGC</t>
  </si>
  <si>
    <t xml:space="preserve">AAACGCGGCCGCAATATCGCGGGG</t>
  </si>
  <si>
    <t xml:space="preserve">PST_2164</t>
  </si>
  <si>
    <t xml:space="preserve">CTGATGAAAACGGATGATGC</t>
  </si>
  <si>
    <t xml:space="preserve">TAGTCTGATGAAAACGGATGATGC</t>
  </si>
  <si>
    <t xml:space="preserve">AAACGCATCATCCGTTTTCATCAG</t>
  </si>
  <si>
    <t xml:space="preserve">CCTGACGCAATACGTCGGCC</t>
  </si>
  <si>
    <t xml:space="preserve">TAGTCCTGACGCAATACGTCGGCC</t>
  </si>
  <si>
    <t xml:space="preserve">AAACGGCCGACGTATTGCGTCAGG</t>
  </si>
  <si>
    <t xml:space="preserve">ACCTCGCCCGGGCCGGCAAC</t>
  </si>
  <si>
    <t xml:space="preserve">TAGTACCTCGCCCGGGCCGGCAAC</t>
  </si>
  <si>
    <t xml:space="preserve">AAACGTTGCCGGCCCGGGCGAGGT</t>
  </si>
  <si>
    <t xml:space="preserve">CGACGGCGCGCACGCCGATC</t>
  </si>
  <si>
    <t xml:space="preserve">TAGTCGACGGCGCGCACGCCGATC</t>
  </si>
  <si>
    <t xml:space="preserve">AAACGATCGGCGTGCGCGCCGTCG</t>
  </si>
  <si>
    <t xml:space="preserve">PST_2165</t>
  </si>
  <si>
    <t xml:space="preserve">mexT</t>
  </si>
  <si>
    <t xml:space="preserve">AAAGAGCTTCTCGGCGGCGC</t>
  </si>
  <si>
    <t xml:space="preserve">TAGTAAAGAGCTTCTCGGCGGCGC</t>
  </si>
  <si>
    <t xml:space="preserve">AAACGCGCCGCCGAGAAGCTCTTT</t>
  </si>
  <si>
    <t xml:space="preserve">GATCGTCGAACAGCGCGCGC</t>
  </si>
  <si>
    <t xml:space="preserve">TAGTGATCGTCGAACAGCGCGCGC</t>
  </si>
  <si>
    <t xml:space="preserve">AAACGCGCGCGCTGTTCGACGATC</t>
  </si>
  <si>
    <t xml:space="preserve">AGTGGGTTCCATGCTGCGAC</t>
  </si>
  <si>
    <t xml:space="preserve">TAGTAGTGGGTTCCATGCTGCGAC</t>
  </si>
  <si>
    <t xml:space="preserve">AAACGTCGCAGCATGGAACCCACT</t>
  </si>
  <si>
    <t xml:space="preserve">CAGCGCCGGCGACAACAGCT</t>
  </si>
  <si>
    <t xml:space="preserve">TAGTCAGCGCCGGCGACAACAGCT</t>
  </si>
  <si>
    <t xml:space="preserve">AAACAGCTGTTGTCGCCGGCGCTG</t>
  </si>
  <si>
    <t xml:space="preserve">PST_2166</t>
  </si>
  <si>
    <t xml:space="preserve">mexE</t>
  </si>
  <si>
    <t xml:space="preserve">GGCAATGAGGGGAAAACGCA</t>
  </si>
  <si>
    <t xml:space="preserve">TAGTGGCAATGAGGGGAAAACGCA</t>
  </si>
  <si>
    <t xml:space="preserve">AAACTGCGTTTTCCCCTCATTGCC</t>
  </si>
  <si>
    <t xml:space="preserve">CGGTGCCTTGCCGCAGGCGG</t>
  </si>
  <si>
    <t xml:space="preserve">TAGTCGGTGCCTTGCCGCAGGCGG</t>
  </si>
  <si>
    <t xml:space="preserve">AAACCCGCCTGCGGCAAGGCACCG</t>
  </si>
  <si>
    <t xml:space="preserve">ATGCCCGACTGGGTGGCCTC</t>
  </si>
  <si>
    <t xml:space="preserve">TAGTATGCCCGACTGGGTGGCCTC</t>
  </si>
  <si>
    <t xml:space="preserve">AAACGAGGCCACCCAGTCGGGCAT</t>
  </si>
  <si>
    <t xml:space="preserve">GCGACGCTGACGGCGGGCGG</t>
  </si>
  <si>
    <t xml:space="preserve">TAGTGCGACGCTGACGGCGGGCGG</t>
  </si>
  <si>
    <t xml:space="preserve">AAACCCGCCCGCCGTCAGCGTCGC</t>
  </si>
  <si>
    <t xml:space="preserve">PST_2169</t>
  </si>
  <si>
    <t xml:space="preserve">oprN</t>
  </si>
  <si>
    <t xml:space="preserve">GGTCAGGGCGAGCAGGGAAA</t>
  </si>
  <si>
    <t xml:space="preserve">TAGTGGTCAGGGCGAGCAGGGAAA</t>
  </si>
  <si>
    <t xml:space="preserve">AAACTTTCCCTGCTCGCCCTGACC</t>
  </si>
  <si>
    <t xml:space="preserve">GCCGACGGCGCAACCGGTGA</t>
  </si>
  <si>
    <t xml:space="preserve">TAGTGCCGACGGCGCAACCGGTGA</t>
  </si>
  <si>
    <t xml:space="preserve">AAACTCACCGGTTGCGCCGTCGGC</t>
  </si>
  <si>
    <t xml:space="preserve">GTTGCGGCGCGCGGTAATCC</t>
  </si>
  <si>
    <t xml:space="preserve">TAGTGTTGCGGCGCGCGGTAATCC</t>
  </si>
  <si>
    <t xml:space="preserve">AAACGGATTACCGCGCGCCGCAAC</t>
  </si>
  <si>
    <t xml:space="preserve">TGAAGCAGCCGCGCCGGTTC</t>
  </si>
  <si>
    <t xml:space="preserve">TAGTTGAAGCAGCCGCGCCGGTTC</t>
  </si>
  <si>
    <t xml:space="preserve">AAACGAACCGGCGCGGCTGCTTCA</t>
  </si>
  <si>
    <t xml:space="preserve">PST_2170</t>
  </si>
  <si>
    <t xml:space="preserve">GAAAGAGTGGTGCTGCCGAG</t>
  </si>
  <si>
    <t xml:space="preserve">TAGTGAAAGAGTGGTGCTGCCGAG</t>
  </si>
  <si>
    <t xml:space="preserve">AAACCTCGGCAGCACCACTCTTTC</t>
  </si>
  <si>
    <t xml:space="preserve">TGCTTCGCTCAAGAGCGAGG</t>
  </si>
  <si>
    <t xml:space="preserve">TAGTTGCTTCGCTCAAGAGCGAGG</t>
  </si>
  <si>
    <t xml:space="preserve">AAACCCTCGCTCTTGAGCGAAGCA</t>
  </si>
  <si>
    <t xml:space="preserve">GCTGCTGAGGCGTCCAGACA</t>
  </si>
  <si>
    <t xml:space="preserve">TAGTGCTGCTGAGGCGTCCAGACA</t>
  </si>
  <si>
    <t xml:space="preserve">AAACTGTCTGGACGCCTCAGCAGC</t>
  </si>
  <si>
    <t xml:space="preserve">GCGCCAGCCGGTGTATTCAT</t>
  </si>
  <si>
    <t xml:space="preserve">TAGTGCGCCAGCCGGTGTATTCAT</t>
  </si>
  <si>
    <t xml:space="preserve">AAACATGAATACACCGGCTGGCGC</t>
  </si>
  <si>
    <t xml:space="preserve">PST_2171</t>
  </si>
  <si>
    <t xml:space="preserve">GCAGCTGGCTGGACACGGAT</t>
  </si>
  <si>
    <t xml:space="preserve">TAGTGCAGCTGGCTGGACACGGAT</t>
  </si>
  <si>
    <t xml:space="preserve">AAACATCCGTGTCCAGCCAGCTGC</t>
  </si>
  <si>
    <t xml:space="preserve">CGGCCAGCAGGTTCCCGCCC</t>
  </si>
  <si>
    <t xml:space="preserve">TAGTCGGCCAGCAGGTTCCCGCCC</t>
  </si>
  <si>
    <t xml:space="preserve">AAACGGGCGGGAACCTGCTGGCCG</t>
  </si>
  <si>
    <t xml:space="preserve">GGCCGAGCCGAACAGATGCA</t>
  </si>
  <si>
    <t xml:space="preserve">TAGTGGCCGAGCCGAACAGATGCA</t>
  </si>
  <si>
    <t xml:space="preserve">AAACTGCATCTGTTCGGCTCGGCC</t>
  </si>
  <si>
    <t xml:space="preserve">GGGTTTCAGGCCACCGACAA</t>
  </si>
  <si>
    <t xml:space="preserve">TAGTGGGTTTCAGGCCACCGACAA</t>
  </si>
  <si>
    <t xml:space="preserve">AAACTTGTCGGTGGCCTGAAACCC</t>
  </si>
  <si>
    <t xml:space="preserve">PST_2172</t>
  </si>
  <si>
    <t xml:space="preserve">TAAGGCGGCGATCTGGTCAG</t>
  </si>
  <si>
    <t xml:space="preserve">TAGTTAAGGCGGCGATCTGGTCAG</t>
  </si>
  <si>
    <t xml:space="preserve">AAACCTGACCAGATCGCCGCCTTA</t>
  </si>
  <si>
    <t xml:space="preserve">TTGAGATCTTCACGGGTGCC</t>
  </si>
  <si>
    <t xml:space="preserve">TAGTTTGAGATCTTCACGGGTGCC</t>
  </si>
  <si>
    <t xml:space="preserve">AAACGGCACCCGTGAAGATCTCAA</t>
  </si>
  <si>
    <t xml:space="preserve">GAACATCTTGTTGCCCGCCA</t>
  </si>
  <si>
    <t xml:space="preserve">TAGTGAACATCTTGTTGCCCGCCA</t>
  </si>
  <si>
    <t xml:space="preserve">AAACTGGCGGGCAACAAGATGTTC</t>
  </si>
  <si>
    <t xml:space="preserve">CTCGCCAAGGAAATCGAGAA</t>
  </si>
  <si>
    <t xml:space="preserve">TAGTCTCGCCAAGGAAATCGAGAA</t>
  </si>
  <si>
    <t xml:space="preserve">AAACTTCTCGATTTCCTTGGCGAG</t>
  </si>
  <si>
    <t xml:space="preserve">PST_2173</t>
  </si>
  <si>
    <t xml:space="preserve">GACTCTTTATTCTGGTTGGT</t>
  </si>
  <si>
    <t xml:space="preserve">TAGTGACTCTTTATTCTGGTTGGT</t>
  </si>
  <si>
    <t xml:space="preserve">AAACACCAACCAGAATAAAGAGTC</t>
  </si>
  <si>
    <t xml:space="preserve">AGCCCGGCAAGGGTAATGAT</t>
  </si>
  <si>
    <t xml:space="preserve">TAGTAGCCCGGCAAGGGTAATGAT</t>
  </si>
  <si>
    <t xml:space="preserve">AAACATCATTACCCTTGCCGGGCT</t>
  </si>
  <si>
    <t xml:space="preserve">TGCCTGGGCGAAGGCGCTGG</t>
  </si>
  <si>
    <t xml:space="preserve">TAGTTGCCTGGGCGAAGGCGCTGG</t>
  </si>
  <si>
    <t xml:space="preserve">AAACCCAGCGCCTTCGCCCAGGCA</t>
  </si>
  <si>
    <t xml:space="preserve">CTTGCCCTTGGGGGTATCCT</t>
  </si>
  <si>
    <t xml:space="preserve">TAGTCTTGCCCTTGGGGGTATCCT</t>
  </si>
  <si>
    <t xml:space="preserve">AAACAGGATACCCCCAAGGGCAAG</t>
  </si>
  <si>
    <t xml:space="preserve">PST_2174</t>
  </si>
  <si>
    <t xml:space="preserve">CGTGCAGGCTGCCAGCGACA</t>
  </si>
  <si>
    <t xml:space="preserve">TAGTCGTGCAGGCTGCCAGCGACA</t>
  </si>
  <si>
    <t xml:space="preserve">AAACTGTCGCTGGCAGCCTGCACG</t>
  </si>
  <si>
    <t xml:space="preserve">AGATCCGGTCGCTGGTAGTC</t>
  </si>
  <si>
    <t xml:space="preserve">TAGTAGATCCGGTCGCTGGTAGTC</t>
  </si>
  <si>
    <t xml:space="preserve">AAACGACTACCAGCGACCGGATCT</t>
  </si>
  <si>
    <t xml:space="preserve">TGCTTGAATTCGCTGGCCAC</t>
  </si>
  <si>
    <t xml:space="preserve">TAGTTGCTTGAATTCGCTGGCCAC</t>
  </si>
  <si>
    <t xml:space="preserve">AAACGTGGCCAGCGAATTCAAGCA</t>
  </si>
  <si>
    <t xml:space="preserve">CGTGGCGGGTTTCCAGCCTT</t>
  </si>
  <si>
    <t xml:space="preserve">TAGTCGTGGCGGGTTTCCAGCCTT</t>
  </si>
  <si>
    <t xml:space="preserve">AAACAAGGCTGGAAACCCGCCACG</t>
  </si>
  <si>
    <t xml:space="preserve">PST_2175</t>
  </si>
  <si>
    <t xml:space="preserve">GGGCGATGAATGGGGCGGAA</t>
  </si>
  <si>
    <t xml:space="preserve">TAGTGGGCGATGAATGGGGCGGAA</t>
  </si>
  <si>
    <t xml:space="preserve">AAACTTCCGCCCCATTCATCGCCC</t>
  </si>
  <si>
    <t xml:space="preserve">CAGCATGGTCGCCACCGGGC</t>
  </si>
  <si>
    <t xml:space="preserve">TAGTCAGCATGGTCGCCACCGGGC</t>
  </si>
  <si>
    <t xml:space="preserve">AAACGCCCGGTGGCGACCATGCTG</t>
  </si>
  <si>
    <t xml:space="preserve">CACCCAGCAGCAGGATCGCC</t>
  </si>
  <si>
    <t xml:space="preserve">TAGTCACCCAGCAGCAGGATCGCC</t>
  </si>
  <si>
    <t xml:space="preserve">AAACGGCGATCCTGCTGCTGGGTG</t>
  </si>
  <si>
    <t xml:space="preserve">GCAGCGGCGACACCGGTAGC</t>
  </si>
  <si>
    <t xml:space="preserve">TAGTGCAGCGGCGACACCGGTAGC</t>
  </si>
  <si>
    <t xml:space="preserve">AAACGCTACCGGTGTCGCCGCTGC</t>
  </si>
  <si>
    <t xml:space="preserve">PST_2176</t>
  </si>
  <si>
    <t xml:space="preserve">CGGGCGCAGGATGAACAGGC</t>
  </si>
  <si>
    <t xml:space="preserve">TAGTCGGGCGCAGGATGAACAGGC</t>
  </si>
  <si>
    <t xml:space="preserve">AAACGCCTGTTCATCCTGCGCCCG</t>
  </si>
  <si>
    <t xml:space="preserve">ATGCTCAGCGTGGTCGCGAC</t>
  </si>
  <si>
    <t xml:space="preserve">TAGTATGCTCAGCGTGGTCGCGAC</t>
  </si>
  <si>
    <t xml:space="preserve">AAACGTCGCGACCACGCTGAGCAT</t>
  </si>
  <si>
    <t xml:space="preserve">AGGCGATCAAACCGGCCAGC</t>
  </si>
  <si>
    <t xml:space="preserve">TAGTAGGCGATCAAACCGGCCAGC</t>
  </si>
  <si>
    <t xml:space="preserve">AAACGCTGGCCGGTTTGATCGCCT</t>
  </si>
  <si>
    <t xml:space="preserve">AGCCACTGGCAGCAGCTTGT</t>
  </si>
  <si>
    <t xml:space="preserve">TAGTAGCCACTGGCAGCAGCTTGT</t>
  </si>
  <si>
    <t xml:space="preserve">AAACACAAGCTGCTGCCAGTGGCT</t>
  </si>
  <si>
    <t xml:space="preserve">PST_2177</t>
  </si>
  <si>
    <t xml:space="preserve">TGAACGGAGTTCGCTTGAAA</t>
  </si>
  <si>
    <t xml:space="preserve">TAGTTGAACGGAGTTCGCTTGAAA</t>
  </si>
  <si>
    <t xml:space="preserve">AAACTTTCAAGCGAACTCCGTTCA</t>
  </si>
  <si>
    <t xml:space="preserve">CGCGGTAATGGGATGCGTCT</t>
  </si>
  <si>
    <t xml:space="preserve">TAGTCGCGGTAATGGGATGCGTCT</t>
  </si>
  <si>
    <t xml:space="preserve">AAACAGACGCATCCCATTACCGCG</t>
  </si>
  <si>
    <t xml:space="preserve">CAGGAGCGCCCAGCGGAGGC</t>
  </si>
  <si>
    <t xml:space="preserve">TAGTCAGGAGCGCCCAGCGGAGGC</t>
  </si>
  <si>
    <t xml:space="preserve">AAACGCCTCCGCTGGGCGCTCCTG</t>
  </si>
  <si>
    <t xml:space="preserve">CTGCGATGGCAATGACGACG</t>
  </si>
  <si>
    <t xml:space="preserve">TAGTCTGCGATGGCAATGACGACG</t>
  </si>
  <si>
    <t xml:space="preserve">AAACCGTCGTCATTGCCATCGCAG</t>
  </si>
  <si>
    <t xml:space="preserve">PST_2178</t>
  </si>
  <si>
    <t xml:space="preserve">AAGAAAACCCAGAAGAAAAC</t>
  </si>
  <si>
    <t xml:space="preserve">TAGTAAGAAAACCCAGAAGAAAAC</t>
  </si>
  <si>
    <t xml:space="preserve">AAACGTTTTCTTCTGGGTTTTCTT</t>
  </si>
  <si>
    <t xml:space="preserve">CGAAAGAGCGGGCAATGAAC</t>
  </si>
  <si>
    <t xml:space="preserve">TAGTCGAAAGAGCGGGCAATGAAC</t>
  </si>
  <si>
    <t xml:space="preserve">AAACGTTCATTGCCCGCTCTTTCG</t>
  </si>
  <si>
    <t xml:space="preserve">TGAGATCCGCTTCCCAGCTG</t>
  </si>
  <si>
    <t xml:space="preserve">TAGTTGAGATCCGCTTCCCAGCTG</t>
  </si>
  <si>
    <t xml:space="preserve">AAACCAGCTGGGAAGCGGATCTCA</t>
  </si>
  <si>
    <t xml:space="preserve">AGTTCTCGAAGAACAGCGGC</t>
  </si>
  <si>
    <t xml:space="preserve">TAGTAGTTCTCGAAGAACAGCGGC</t>
  </si>
  <si>
    <t xml:space="preserve">AAACGCCGCTGTTCTTCGAGAACT</t>
  </si>
  <si>
    <t xml:space="preserve">PST_2179</t>
  </si>
  <si>
    <t xml:space="preserve">strU</t>
  </si>
  <si>
    <t xml:space="preserve">GATCAACCGGACGAAGCCGT</t>
  </si>
  <si>
    <t xml:space="preserve">TAGTGATCAACCGGACGAAGCCGT</t>
  </si>
  <si>
    <t xml:space="preserve">AAACACGGCTTCGTCCGGTTGATC</t>
  </si>
  <si>
    <t xml:space="preserve">TGGTCGGCGCGTGAGGACAC</t>
  </si>
  <si>
    <t xml:space="preserve">TAGTTGGTCGGCGCGTGAGGACAC</t>
  </si>
  <si>
    <t xml:space="preserve">AAACGTGTCCTCACGCGCCGACCA</t>
  </si>
  <si>
    <t xml:space="preserve">AAGTCGGTCATCGTCGAAAG</t>
  </si>
  <si>
    <t xml:space="preserve">TAGTAAGTCGGTCATCGTCGAAAG</t>
  </si>
  <si>
    <t xml:space="preserve">AAACCTTTCGACGATGACCGACTT</t>
  </si>
  <si>
    <t xml:space="preserve">TGGTAAGGACGTCCGCCAGC</t>
  </si>
  <si>
    <t xml:space="preserve">TAGTTGGTAAGGACGTCCGCCAGC</t>
  </si>
  <si>
    <t xml:space="preserve">AAACGCTGGCGGACGTCCTTACCA</t>
  </si>
  <si>
    <t xml:space="preserve">PST_2180</t>
  </si>
  <si>
    <t xml:space="preserve">GACGGTTTCGCTTGAACTGC</t>
  </si>
  <si>
    <t xml:space="preserve">TAGTGACGGTTTCGCTTGAACTGC</t>
  </si>
  <si>
    <t xml:space="preserve">AAACGCAGTTCAAGCGAAACCGTC</t>
  </si>
  <si>
    <t xml:space="preserve">CGGAAAGTAGTTGGCCACCT</t>
  </si>
  <si>
    <t xml:space="preserve">TAGTCGGAAAGTAGTTGGCCACCT</t>
  </si>
  <si>
    <t xml:space="preserve">AAACAGGTGGCCAACTACTTTCCG</t>
  </si>
  <si>
    <t xml:space="preserve">AATCCTGGGCACGGGCATGA</t>
  </si>
  <si>
    <t xml:space="preserve">TAGTAATCCTGGGCACGGGCATGA</t>
  </si>
  <si>
    <t xml:space="preserve">AAACTCATGCCCGTGCCCAGGATT</t>
  </si>
  <si>
    <t xml:space="preserve">CTGCCTAATTGCCATGTTTG</t>
  </si>
  <si>
    <t xml:space="preserve">TAGTCTGCCTAATTGCCATGTTTG</t>
  </si>
  <si>
    <t xml:space="preserve">AAACCAAACATGGCAATTAGGCAG</t>
  </si>
  <si>
    <t xml:space="preserve">PST_2181</t>
  </si>
  <si>
    <t xml:space="preserve">tpx</t>
  </si>
  <si>
    <t xml:space="preserve">CTGGACGGGGGTGCCTTTCA</t>
  </si>
  <si>
    <t xml:space="preserve">TAGTCTGGACGGGGGTGCCTTTCA</t>
  </si>
  <si>
    <t xml:space="preserve">AAACTGAAAGGCACCCCCGTCCAG</t>
  </si>
  <si>
    <t xml:space="preserve">GCCGGCCTGCGGAAACTCGC</t>
  </si>
  <si>
    <t xml:space="preserve">TAGTGCCGGCCTGCGGAAACTCGC</t>
  </si>
  <si>
    <t xml:space="preserve">AAACGCGAGTTTCCGCAGGCCGGC</t>
  </si>
  <si>
    <t xml:space="preserve">GGCGAAACGGCTTGGCCTGC</t>
  </si>
  <si>
    <t xml:space="preserve">TAGTGGCGAAACGGCTTGGCCTGC</t>
  </si>
  <si>
    <t xml:space="preserve">AAACGCAGGCCAAGCCGTTTCGCC</t>
  </si>
  <si>
    <t xml:space="preserve">CGGCGAGGTCGGCGCCTACC</t>
  </si>
  <si>
    <t xml:space="preserve">TAGTCGGCGAGGTCGGCGCCTACC</t>
  </si>
  <si>
    <t xml:space="preserve">AAACGGTAGGCGCCGACCTCGCCG</t>
  </si>
  <si>
    <t xml:space="preserve">PST_2182</t>
  </si>
  <si>
    <t xml:space="preserve">GGCCGTTAATGGTGTTGACG</t>
  </si>
  <si>
    <t xml:space="preserve">TAGTGGCCGTTAATGGTGTTGACG</t>
  </si>
  <si>
    <t xml:space="preserve">AAACCGTCAACACCATTAACGGCC</t>
  </si>
  <si>
    <t xml:space="preserve">ACATGGGCGGGCCCCAGACG</t>
  </si>
  <si>
    <t xml:space="preserve">TAGTACATGGGCGGGCCCCAGACG</t>
  </si>
  <si>
    <t xml:space="preserve">AAACCGTCTGGGGCCCGCCCATGT</t>
  </si>
  <si>
    <t xml:space="preserve">CCAGGCCGGTGCCAAGGATC</t>
  </si>
  <si>
    <t xml:space="preserve">TAGTCCAGGCCGGTGCCAAGGATC</t>
  </si>
  <si>
    <t xml:space="preserve">AAACGATCCTTGGCACCGGCCTGG</t>
  </si>
  <si>
    <t xml:space="preserve">CCGGTACCAATGCGGGTCAG</t>
  </si>
  <si>
    <t xml:space="preserve">TAGTCCGGTACCAATGCGGGTCAG</t>
  </si>
  <si>
    <t xml:space="preserve">AAACCTGACCCGCATTGGTACCGG</t>
  </si>
  <si>
    <t xml:space="preserve">PST_2183</t>
  </si>
  <si>
    <t xml:space="preserve">GATCATAACCAGCAGCAGCA</t>
  </si>
  <si>
    <t xml:space="preserve">TAGTGATCATAACCAGCAGCAGCA</t>
  </si>
  <si>
    <t xml:space="preserve">AAACTGCTGCTGCTGGTTATGATC</t>
  </si>
  <si>
    <t xml:space="preserve">TGGTGCCCAGCAGCGTGCCG</t>
  </si>
  <si>
    <t xml:space="preserve">TAGTTGGTGCCCAGCAGCGTGCCG</t>
  </si>
  <si>
    <t xml:space="preserve">AAACCGGCACGCTGCTGGGCACCA</t>
  </si>
  <si>
    <t xml:space="preserve">CAGCCAACGACTACCGCTCG</t>
  </si>
  <si>
    <t xml:space="preserve">TAGTCAGCCAACGACTACCGCTCG</t>
  </si>
  <si>
    <t xml:space="preserve">AAACCGAGCGGTAGTCGTTGGCTG</t>
  </si>
  <si>
    <t xml:space="preserve">AACGCTTCCACGTTGAGCCC</t>
  </si>
  <si>
    <t xml:space="preserve">TAGTAACGCTTCCACGTTGAGCCC</t>
  </si>
  <si>
    <t xml:space="preserve">AAACGGGCTCAACGTGGAAGCGTT</t>
  </si>
  <si>
    <t xml:space="preserve">PST_2184</t>
  </si>
  <si>
    <t xml:space="preserve">TCTTGCGGGGGGACGGGCAT</t>
  </si>
  <si>
    <t xml:space="preserve">TAGTTCTTGCGGGGGGACGGGCAT</t>
  </si>
  <si>
    <t xml:space="preserve">AAACATGCCCGTCCCCCCGCAAGA</t>
  </si>
  <si>
    <t xml:space="preserve">CGCGGGCCAGAGGGTGTGTA</t>
  </si>
  <si>
    <t xml:space="preserve">TAGTCGCGGGCCAGAGGGTGTGTA</t>
  </si>
  <si>
    <t xml:space="preserve">AAACTACACACCCTCTGGCCCGCG</t>
  </si>
  <si>
    <t xml:space="preserve">CAATGCTAGCACGGGCTGTC</t>
  </si>
  <si>
    <t xml:space="preserve">TAGTCAATGCTAGCACGGGCTGTC</t>
  </si>
  <si>
    <t xml:space="preserve">AAACGACAGCCCGTGCTAGCATTG</t>
  </si>
  <si>
    <t xml:space="preserve">GACTCGGTTCGTTTTACGCA</t>
  </si>
  <si>
    <t xml:space="preserve">TAGTGACTCGGTTCGTTTTACGCA</t>
  </si>
  <si>
    <t xml:space="preserve">AAACTGCGTAAAACGAACCGAGTC</t>
  </si>
  <si>
    <t xml:space="preserve">PST_2185</t>
  </si>
  <si>
    <t xml:space="preserve">GTGCGAACCTCGGCGGACAT</t>
  </si>
  <si>
    <t xml:space="preserve">TAGTGTGCGAACCTCGGCGGACAT</t>
  </si>
  <si>
    <t xml:space="preserve">AAACATGTCCGCCGAGGTTCGCAC</t>
  </si>
  <si>
    <t xml:space="preserve">ACAGCAGCGAACGGGTTTCG</t>
  </si>
  <si>
    <t xml:space="preserve">TAGTACAGCAGCGAACGGGTTTCG</t>
  </si>
  <si>
    <t xml:space="preserve">AAACCGAAACCCGTTCGCTGCTGT</t>
  </si>
  <si>
    <t xml:space="preserve">AGGCAAAGGTCGGTTCGTGG</t>
  </si>
  <si>
    <t xml:space="preserve">TAGTAGGCAAAGGTCGGTTCGTGG</t>
  </si>
  <si>
    <t xml:space="preserve">AAACCCACGAACCGACCTTTGCCT</t>
  </si>
  <si>
    <t xml:space="preserve">GCGGTCGGCCTCGAAGAGAT</t>
  </si>
  <si>
    <t xml:space="preserve">TAGTGCGGTCGGCCTCGAAGAGAT</t>
  </si>
  <si>
    <t xml:space="preserve">AAACATCTCTTCGAGGCCGACCGC</t>
  </si>
  <si>
    <t xml:space="preserve">PST_2186</t>
  </si>
  <si>
    <t xml:space="preserve">xthA</t>
  </si>
  <si>
    <t xml:space="preserve">CCGTAACTGATGGACTTGAA</t>
  </si>
  <si>
    <t xml:space="preserve">TAGTCCGTAACTGATGGACTTGAA</t>
  </si>
  <si>
    <t xml:space="preserve">AAACTTCAAGTCCATCAGTTACGG</t>
  </si>
  <si>
    <t xml:space="preserve">CTGTCGGCGCCGCGCATCAA</t>
  </si>
  <si>
    <t xml:space="preserve">TAGTCTGTCGGCGCCGCGCATCAA</t>
  </si>
  <si>
    <t xml:space="preserve">AAACTTGATGCGCGGCGCCGACAG</t>
  </si>
  <si>
    <t xml:space="preserve">TCATGAGAGTTCCATGGAAG</t>
  </si>
  <si>
    <t xml:space="preserve">TAGTTCATGAGAGTTCCATGGAAG</t>
  </si>
  <si>
    <t xml:space="preserve">AAACCTTCCATGGAACTCTCATGA</t>
  </si>
  <si>
    <t xml:space="preserve">CGCAGAAAGCTGGTGAGGTC</t>
  </si>
  <si>
    <t xml:space="preserve">TAGTCGCAGAAAGCTGGTGAGGTC</t>
  </si>
  <si>
    <t xml:space="preserve">AAACGACCTCACCAGCTTTCTGCG</t>
  </si>
  <si>
    <t xml:space="preserve">PST_2187</t>
  </si>
  <si>
    <t xml:space="preserve">AACCGTCCAGCAGCGAAACA</t>
  </si>
  <si>
    <t xml:space="preserve">TAGTAACCGTCCAGCAGCGAAACA</t>
  </si>
  <si>
    <t xml:space="preserve">AAACTGTTTCGCTGCTGGACGGTT</t>
  </si>
  <si>
    <t xml:space="preserve">GCTGCCACCGCCAGCAGCAG</t>
  </si>
  <si>
    <t xml:space="preserve">TAGTGCTGCCACCGCCAGCAGCAG</t>
  </si>
  <si>
    <t xml:space="preserve">AAACCTGCTGCTGGCGGTGGCAGC</t>
  </si>
  <si>
    <t xml:space="preserve">GAGGGCGCCGGTCGAGCTGC</t>
  </si>
  <si>
    <t xml:space="preserve">TAGTGAGGGCGCCGGTCGAGCTGC</t>
  </si>
  <si>
    <t xml:space="preserve">AAACGCAGCTCGACCGGCGCCCTC</t>
  </si>
  <si>
    <t xml:space="preserve">GCGGACCCGTCCGCCGGGAT</t>
  </si>
  <si>
    <t xml:space="preserve">TAGTGCGGACCCGTCCGCCGGGAT</t>
  </si>
  <si>
    <t xml:space="preserve">AAACATCCCGGCGGACGGGTCCGC</t>
  </si>
  <si>
    <t xml:space="preserve">PST_2188</t>
  </si>
  <si>
    <t xml:space="preserve">mtlZ</t>
  </si>
  <si>
    <t xml:space="preserve">AAAGCGCTTCACCACAGACG</t>
  </si>
  <si>
    <t xml:space="preserve">TAGTAAAGCGCTTCACCACAGACG</t>
  </si>
  <si>
    <t xml:space="preserve">AAACCGTCTGTGGTGAAGCGCTTT</t>
  </si>
  <si>
    <t xml:space="preserve">GGCGGTTGCCGCTGGCGCCT</t>
  </si>
  <si>
    <t xml:space="preserve">TAGTGGCGGTTGCCGCTGGCGCCT</t>
  </si>
  <si>
    <t xml:space="preserve">AAACAGGCGCCAGCGGCAACCGCC</t>
  </si>
  <si>
    <t xml:space="preserve">CGGCCACCGCTTCCAGATTC</t>
  </si>
  <si>
    <t xml:space="preserve">TAGTCGGCCACCGCTTCCAGATTC</t>
  </si>
  <si>
    <t xml:space="preserve">AAACGAATCTGGAAGCGGTGGCCG</t>
  </si>
  <si>
    <t xml:space="preserve">CACGTTATACGGCGAACCAC</t>
  </si>
  <si>
    <t xml:space="preserve">TAGTCACGTTATACGGCGAACCAC</t>
  </si>
  <si>
    <t xml:space="preserve">AAACGTGGTTCGCCGTATAACGTG</t>
  </si>
  <si>
    <t xml:space="preserve">PST_2189</t>
  </si>
  <si>
    <t xml:space="preserve">mltR</t>
  </si>
  <si>
    <t xml:space="preserve">CATGAGTTCGTAGGACGGGT</t>
  </si>
  <si>
    <t xml:space="preserve">TAGTCATGAGTTCGTAGGACGGGT</t>
  </si>
  <si>
    <t xml:space="preserve">AAACACCCGTCCTACGAACTCATG</t>
  </si>
  <si>
    <t xml:space="preserve">GGTAGATCAGTGAGTTGCCA</t>
  </si>
  <si>
    <t xml:space="preserve">TAGTGGTAGATCAGTGAGTTGCCA</t>
  </si>
  <si>
    <t xml:space="preserve">AAACTGGCAACTCACTGATCTACC</t>
  </si>
  <si>
    <t xml:space="preserve">GGCAGGGGAAACCGTGCTCG</t>
  </si>
  <si>
    <t xml:space="preserve">TAGTGGCAGGGGAAACCGTGCTCG</t>
  </si>
  <si>
    <t xml:space="preserve">AAACCGAGCACGGTTTCCCCTGCC</t>
  </si>
  <si>
    <t xml:space="preserve">GGTTGTGCCAGCGCACCAGA</t>
  </si>
  <si>
    <t xml:space="preserve">TAGTGGTTGTGCCAGCGCACCAGA</t>
  </si>
  <si>
    <t xml:space="preserve">AAACTCTGGTGCGCTGGCACAACC</t>
  </si>
  <si>
    <t xml:space="preserve">PST_2190</t>
  </si>
  <si>
    <t xml:space="preserve">AGGCGGTGCCGAGCAGCAAG</t>
  </si>
  <si>
    <t xml:space="preserve">TAGTAGGCGGTGCCGAGCAGCAAG</t>
  </si>
  <si>
    <t xml:space="preserve">AAACCTTGCTGCTCGGCACCGCCT</t>
  </si>
  <si>
    <t xml:space="preserve">CATGCCGAGCGAGGCGATGC</t>
  </si>
  <si>
    <t xml:space="preserve">TAGTCATGCCGAGCGAGGCGATGC</t>
  </si>
  <si>
    <t xml:space="preserve">AAACGCATCGCCTCGCTCGGCATG</t>
  </si>
  <si>
    <t xml:space="preserve">TGTTGACGGTGGCGACGGTG</t>
  </si>
  <si>
    <t xml:space="preserve">TAGTTGTTGACGGTGGCGACGGTG</t>
  </si>
  <si>
    <t xml:space="preserve">AAACCACCGTCGCCACCGTCAACA</t>
  </si>
  <si>
    <t xml:space="preserve">TCTTGGAGAGGCGCTGCATG</t>
  </si>
  <si>
    <t xml:space="preserve">TAGTTCTTGGAGAGGCGCTGCATG</t>
  </si>
  <si>
    <t xml:space="preserve">AAACCATGCAGCGCCTCTCCAAGA</t>
  </si>
  <si>
    <t xml:space="preserve">PST_2191</t>
  </si>
  <si>
    <t xml:space="preserve">CTTGGGCAAGGCAATCGTGG</t>
  </si>
  <si>
    <t xml:space="preserve">TAGTCTTGGGCAAGGCAATCGTGG</t>
  </si>
  <si>
    <t xml:space="preserve">AAACCCACGATTGCCTTGCCCAAG</t>
  </si>
  <si>
    <t xml:space="preserve">TGGTGATGCGTTGCTCGCAG</t>
  </si>
  <si>
    <t xml:space="preserve">TAGTTGGTGATGCGTTGCTCGCAG</t>
  </si>
  <si>
    <t xml:space="preserve">AAACCTGCGAGCAACGCATCACCA</t>
  </si>
  <si>
    <t xml:space="preserve">CGGCGGCGCTCGGCAGGTTG</t>
  </si>
  <si>
    <t xml:space="preserve">TAGTCGGCGGCGCTCGGCAGGTTG</t>
  </si>
  <si>
    <t xml:space="preserve">AAACCAACCTGCCGAGCGCCGCCG</t>
  </si>
  <si>
    <t xml:space="preserve">AGCTCGGGGCCAACCGCGGC</t>
  </si>
  <si>
    <t xml:space="preserve">TAGTAGCTCGGGGCCAACCGCGGC</t>
  </si>
  <si>
    <t xml:space="preserve">AAACGCCGCGGTTGGCCCCGAGCT</t>
  </si>
  <si>
    <t xml:space="preserve">PST_2192</t>
  </si>
  <si>
    <t xml:space="preserve">mtlG</t>
  </si>
  <si>
    <t xml:space="preserve">CTTTGTTTGAGCGTCAGCAT</t>
  </si>
  <si>
    <t xml:space="preserve">TAGTCTTTGTTTGAGCGTCAGCAT</t>
  </si>
  <si>
    <t xml:space="preserve">AAACATGCTGACGCTCAAACAAAG</t>
  </si>
  <si>
    <t xml:space="preserve">GCCCGACCACCAGGGTGTTG</t>
  </si>
  <si>
    <t xml:space="preserve">TAGTGCCCGACCACCAGGGTGTTG</t>
  </si>
  <si>
    <t xml:space="preserve">AAACCAACACCCTGGTGGTCGGGC</t>
  </si>
  <si>
    <t xml:space="preserve">CAGCAGCAGCGCCACGGCCC</t>
  </si>
  <si>
    <t xml:space="preserve">TAGTCAGCAGCAGCGCCACGGCCC</t>
  </si>
  <si>
    <t xml:space="preserve">AAACGGGCCGTGGCGCTGCTGCTG</t>
  </si>
  <si>
    <t xml:space="preserve">TCAGCAGCATCCAGAAGATC</t>
  </si>
  <si>
    <t xml:space="preserve">TAGTTCAGCAGCATCCAGAAGATC</t>
  </si>
  <si>
    <t xml:space="preserve">AAACGATCTTCTGGATGCTGCTGA</t>
  </si>
  <si>
    <t xml:space="preserve">PST_2193</t>
  </si>
  <si>
    <t xml:space="preserve">mtlK</t>
  </si>
  <si>
    <t xml:space="preserve">TCTTCAGGTTGTGGATCTTC</t>
  </si>
  <si>
    <t xml:space="preserve">TAGTTCTTCAGGTTGTGGATCTTC</t>
  </si>
  <si>
    <t xml:space="preserve">AAACGAAGATCCACAACCTGAAGA</t>
  </si>
  <si>
    <t xml:space="preserve">ATTCGCGGTCGCGGATGTCC</t>
  </si>
  <si>
    <t xml:space="preserve">TAGTATTCGCGGTCGCGGATGTCC</t>
  </si>
  <si>
    <t xml:space="preserve">AAACGGACATCCGCGACCGCGAAT</t>
  </si>
  <si>
    <t xml:space="preserve">CCTCCTCGAGCCCCGCGATC</t>
  </si>
  <si>
    <t xml:space="preserve">TAGTCCTCCTCGAGCCCCGCGATC</t>
  </si>
  <si>
    <t xml:space="preserve">AAACGATCGCGGGGCTCGAGGAGG</t>
  </si>
  <si>
    <t xml:space="preserve">GCGCTTGGCCGGGCTGACAT</t>
  </si>
  <si>
    <t xml:space="preserve">TAGTGCGCTTGGCCGGGCTGACAT</t>
  </si>
  <si>
    <t xml:space="preserve">AAACATGTCAGCCCGGCCAAGCGC</t>
  </si>
  <si>
    <t xml:space="preserve">PST_2194</t>
  </si>
  <si>
    <t xml:space="preserve">uxuB</t>
  </si>
  <si>
    <t xml:space="preserve">GAGGAGCTGGGCGCGACGTC</t>
  </si>
  <si>
    <t xml:space="preserve">TAGTGAGGAGCTGGGCGCGACGTC</t>
  </si>
  <si>
    <t xml:space="preserve">AAACGACGTCGCGCCCAGCTCCTC</t>
  </si>
  <si>
    <t xml:space="preserve">GGCGGGATCGCTGCCTTTAC</t>
  </si>
  <si>
    <t xml:space="preserve">TAGTGGCGGGATCGCTGCCTTTAC</t>
  </si>
  <si>
    <t xml:space="preserve">AAACGTAAAGGCAGCGATCCCGCC</t>
  </si>
  <si>
    <t xml:space="preserve">CTTGAATGTGGAAAAGCCGG</t>
  </si>
  <si>
    <t xml:space="preserve">TAGTCTTGAATGTGGAAAAGCCGG</t>
  </si>
  <si>
    <t xml:space="preserve">AAACCCGGCTTTTCCACATTCAAG</t>
  </si>
  <si>
    <t xml:space="preserve">ACTTCATCTCGGGCCTCGCT</t>
  </si>
  <si>
    <t xml:space="preserve">TAGTACTTCATCTCGGGCCTCGCT</t>
  </si>
  <si>
    <t xml:space="preserve">AAACAGCGAGGCCCGAGATGAAGT</t>
  </si>
  <si>
    <t xml:space="preserve">PST_2195</t>
  </si>
  <si>
    <t xml:space="preserve">xylB</t>
  </si>
  <si>
    <t xml:space="preserve">CAACAGCGCCTTGGTGCCCT</t>
  </si>
  <si>
    <t xml:space="preserve">TAGTCAACAGCGCCTTGGTGCCCT</t>
  </si>
  <si>
    <t xml:space="preserve">AAACAGGGCACCAAGGCGCTGTTG</t>
  </si>
  <si>
    <t xml:space="preserve">GCCGAGCACGCGTCCGCTGC</t>
  </si>
  <si>
    <t xml:space="preserve">TAGTGCCGAGCACGCGTCCGCTGC</t>
  </si>
  <si>
    <t xml:space="preserve">AAACGCAGCGGACGCGTGCTCGGC</t>
  </si>
  <si>
    <t xml:space="preserve">GATCGTGGCCGGCCGAGCCC</t>
  </si>
  <si>
    <t xml:space="preserve">TAGTGATCGTGGCCGGCCGAGCCC</t>
  </si>
  <si>
    <t xml:space="preserve">AAACGGGCTCGGCCGGCCACGATC</t>
  </si>
  <si>
    <t xml:space="preserve">TCCTGCTCGCGCCGGCCGTT</t>
  </si>
  <si>
    <t xml:space="preserve">TAGTTCCTGCTCGCGCCGGCCGTT</t>
  </si>
  <si>
    <t xml:space="preserve">AAACAACGGCCGGCGCGAGCAGGA</t>
  </si>
  <si>
    <t xml:space="preserve">PST_2197</t>
  </si>
  <si>
    <t xml:space="preserve">CGGCGAATTCCGATACACGC</t>
  </si>
  <si>
    <t xml:space="preserve">TAGTCGGCGAATTCCGATACACGC</t>
  </si>
  <si>
    <t xml:space="preserve">AAACGCGTGTATCGGAATTCGCCG</t>
  </si>
  <si>
    <t xml:space="preserve">ATTCATCACCGATATATGAT</t>
  </si>
  <si>
    <t xml:space="preserve">TAGTATTCATCACCGATATATGAT</t>
  </si>
  <si>
    <t xml:space="preserve">AAACATCATATATCGGTGATGAAT</t>
  </si>
  <si>
    <t xml:space="preserve">GTAGTTTTGAATGCTAGAGG</t>
  </si>
  <si>
    <t xml:space="preserve">TAGTGTAGTTTTGAATGCTAGAGG</t>
  </si>
  <si>
    <t xml:space="preserve">AAACCCTCTAGCATTCAAAACTAC</t>
  </si>
  <si>
    <t xml:space="preserve">ATGGGCAACAACCTTCTGGC</t>
  </si>
  <si>
    <t xml:space="preserve">TAGTATGGGCAACAACCTTCTGGC</t>
  </si>
  <si>
    <t xml:space="preserve">AAACGCCAGAAGGTTGTTGCCCAT</t>
  </si>
  <si>
    <t xml:space="preserve">PST_2196</t>
  </si>
  <si>
    <t xml:space="preserve">GATTCAGATCGACCTTGTTC</t>
  </si>
  <si>
    <t xml:space="preserve">TAGTGATTCAGATCGACCTTGTTC</t>
  </si>
  <si>
    <t xml:space="preserve">AAACGAACAAGGTCGATCTGAATC</t>
  </si>
  <si>
    <t xml:space="preserve">CAGGTTGGCCTCGGTGTAGA</t>
  </si>
  <si>
    <t xml:space="preserve">TAGTCAGGTTGGCCTCGGTGTAGA</t>
  </si>
  <si>
    <t xml:space="preserve">AAACTCTACACCGAGGCCAACCTG</t>
  </si>
  <si>
    <t xml:space="preserve">GGTGATGCCGACGATCTGCC</t>
  </si>
  <si>
    <t xml:space="preserve">TAGTGGTGATGCCGACGATCTGCC</t>
  </si>
  <si>
    <t xml:space="preserve">AAACGGCAGATCGTCGGCATCACC</t>
  </si>
  <si>
    <t xml:space="preserve">GGGCGTTGGAAACAGCGGGC</t>
  </si>
  <si>
    <t xml:space="preserve">TAGTGGGCGTTGGAAACAGCGGGC</t>
  </si>
  <si>
    <t xml:space="preserve">AAACGCCCGCTGTTTCCAACGCCC</t>
  </si>
  <si>
    <t xml:space="preserve">PST_2198</t>
  </si>
  <si>
    <t xml:space="preserve">gntR</t>
  </si>
  <si>
    <t xml:space="preserve">AGGCTGCGCGCCGCGGGGTG</t>
  </si>
  <si>
    <t xml:space="preserve">TAGTAGGCTGCGCGCCGCGGGGTG</t>
  </si>
  <si>
    <t xml:space="preserve">AAACCACCCCGCGGCGCGCAGCCT</t>
  </si>
  <si>
    <t xml:space="preserve">GATTGGAGCGCGAACTGGCC</t>
  </si>
  <si>
    <t xml:space="preserve">TAGTGATTGGAGCGCGAACTGGCC</t>
  </si>
  <si>
    <t xml:space="preserve">AAACGGCCAGTTCGCGCTCCAATC</t>
  </si>
  <si>
    <t xml:space="preserve">ACACGGCGTTGGACAGCGAG</t>
  </si>
  <si>
    <t xml:space="preserve">TAGTACACGGCGTTGGACAGCGAG</t>
  </si>
  <si>
    <t xml:space="preserve">AAACCTCGCTGTCCAACGCCGTGT</t>
  </si>
  <si>
    <t xml:space="preserve">CGGCATCAGCACGCGCTGGA</t>
  </si>
  <si>
    <t xml:space="preserve">TAGTCGGCATCAGCACGCGCTGGA</t>
  </si>
  <si>
    <t xml:space="preserve">AAACTCCAGCGCGTGCTGATGCCG</t>
  </si>
  <si>
    <t xml:space="preserve">PST_2199</t>
  </si>
  <si>
    <t xml:space="preserve">GCTGATGATGAGTCGTTTCA</t>
  </si>
  <si>
    <t xml:space="preserve">TAGTGCTGATGATGAGTCGTTTCA</t>
  </si>
  <si>
    <t xml:space="preserve">AAACTGAAACGACTCATCATCAGC</t>
  </si>
  <si>
    <t xml:space="preserve">GCCGAGCAATGCGGCGGTCA</t>
  </si>
  <si>
    <t xml:space="preserve">TAGTGCCGAGCAATGCGGCGGTCA</t>
  </si>
  <si>
    <t xml:space="preserve">AAACTGACCGCCGCATTGCTCGGC</t>
  </si>
  <si>
    <t xml:space="preserve">CGGCGGCGTGGACCTGGCCG</t>
  </si>
  <si>
    <t xml:space="preserve">TAGTCGGCGGCGTGGACCTGGCCG</t>
  </si>
  <si>
    <t xml:space="preserve">AAACCGGCCAGGTCCACGCCGCCG</t>
  </si>
  <si>
    <t xml:space="preserve">CATGCGCGGGCGGATGTCGT</t>
  </si>
  <si>
    <t xml:space="preserve">TAGTCATGCGCGGGCGGATGTCGT</t>
  </si>
  <si>
    <t xml:space="preserve">AAACACGACATCCGCCCGCGCATG</t>
  </si>
  <si>
    <t xml:space="preserve">PST_2200</t>
  </si>
  <si>
    <t xml:space="preserve">CGAAGAGAGGAAGACGACGA</t>
  </si>
  <si>
    <t xml:space="preserve">TAGTCGAAGAGAGGAAGACGACGA</t>
  </si>
  <si>
    <t xml:space="preserve">AAACTCGTCGTCTTCCTCTCTTCG</t>
  </si>
  <si>
    <t xml:space="preserve">AGCAGCAGTGCGAAGGCGAT</t>
  </si>
  <si>
    <t xml:space="preserve">TAGTAGCAGCAGTGCGAAGGCGAT</t>
  </si>
  <si>
    <t xml:space="preserve">AAACATCGCCTTCGCACTGCTGCT</t>
  </si>
  <si>
    <t xml:space="preserve">GTACCACATCAGCACCGAGC</t>
  </si>
  <si>
    <t xml:space="preserve">TAGTGTACCACATCAGCACCGAGC</t>
  </si>
  <si>
    <t xml:space="preserve">AAACGCTCGGTGCTGATGTGGTAC</t>
  </si>
  <si>
    <t xml:space="preserve">GCTGCACGTCCCAGAAATCC</t>
  </si>
  <si>
    <t xml:space="preserve">TAGTGCTGCACGTCCCAGAAATCC</t>
  </si>
  <si>
    <t xml:space="preserve">AAACGGATTTCTGGGACGTGCAGC</t>
  </si>
  <si>
    <t xml:space="preserve">PST_2201</t>
  </si>
  <si>
    <t xml:space="preserve">GGCGACGGCGTGGCTGGTAT</t>
  </si>
  <si>
    <t xml:space="preserve">TAGTGGCGACGGCGTGGCTGGTAT</t>
  </si>
  <si>
    <t xml:space="preserve">AAACATACCAGCCACGCCGTCGCC</t>
  </si>
  <si>
    <t xml:space="preserve">GTGCGGCAGGCCGAGCGCGT</t>
  </si>
  <si>
    <t xml:space="preserve">TAGTGTGCGGCAGGCCGAGCGCGT</t>
  </si>
  <si>
    <t xml:space="preserve">AAACACGCGCTCGGCCTGCCGCAC</t>
  </si>
  <si>
    <t xml:space="preserve">TACGCGCGACGTTTTCCGCA</t>
  </si>
  <si>
    <t xml:space="preserve">TAGTTACGCGCGACGTTTTCCGCA</t>
  </si>
  <si>
    <t xml:space="preserve">AAACTGCGGAAAACGTCGCGCGTA</t>
  </si>
  <si>
    <t xml:space="preserve">GGTATCGGACAACGGTGTAC</t>
  </si>
  <si>
    <t xml:space="preserve">TAGTGGTATCGGACAACGGTGTAC</t>
  </si>
  <si>
    <t xml:space="preserve">AAACGTACACCGTTGTCCGATACC</t>
  </si>
  <si>
    <t xml:space="preserve">PST_2202</t>
  </si>
  <si>
    <t xml:space="preserve">TGTTTGATAGCGCTAACATC</t>
  </si>
  <si>
    <t xml:space="preserve">TAGTTGTTTGATAGCGCTAACATC</t>
  </si>
  <si>
    <t xml:space="preserve">AAACGATGTTAGCGCTATCAAACA</t>
  </si>
  <si>
    <t xml:space="preserve">GTCTGGTCAAGCACGACGAG</t>
  </si>
  <si>
    <t xml:space="preserve">TAGTGTCTGGTCAAGCACGACGAG</t>
  </si>
  <si>
    <t xml:space="preserve">AAACCTCGTCGTGCTTGACCAGAC</t>
  </si>
  <si>
    <t xml:space="preserve">GCCGTTGTGCTGTCGGCACG</t>
  </si>
  <si>
    <t xml:space="preserve">TAGTGCCGTTGTGCTGTCGGCACG</t>
  </si>
  <si>
    <t xml:space="preserve">AAACCGTGCCGACAGCACAACGGC</t>
  </si>
  <si>
    <t xml:space="preserve">CGCCTTGCCGCGCTTGTCGA</t>
  </si>
  <si>
    <t xml:space="preserve">TAGTCGCCTTGCCGCGCTTGTCGA</t>
  </si>
  <si>
    <t xml:space="preserve">AAACTCGACAAGCGCGGCAAGGCG</t>
  </si>
  <si>
    <t xml:space="preserve">PST_2203</t>
  </si>
  <si>
    <t xml:space="preserve">ATGTGGCGGGCCATGGCTTT</t>
  </si>
  <si>
    <t xml:space="preserve">TAGTATGTGGCGGGCCATGGCTTT</t>
  </si>
  <si>
    <t xml:space="preserve">AAACAAAGCCATGGCCCGCCACAT</t>
  </si>
  <si>
    <t xml:space="preserve">CAGTTGCGCGGCTTCGGCTT</t>
  </si>
  <si>
    <t xml:space="preserve">TAGTCAGTTGCGCGGCTTCGGCTT</t>
  </si>
  <si>
    <t xml:space="preserve">AAACAAGCCGAAGCCGCGCAACTG</t>
  </si>
  <si>
    <t xml:space="preserve">CGAACGCCTCGCCGTTGGCC</t>
  </si>
  <si>
    <t xml:space="preserve">TAGTCGAACGCCTCGCCGTTGGCC</t>
  </si>
  <si>
    <t xml:space="preserve">AAACGGCCAACGGCGAGGCGTTCG</t>
  </si>
  <si>
    <t xml:space="preserve">CGGGCAGGTCGAATACTTGC</t>
  </si>
  <si>
    <t xml:space="preserve">TAGTCGGGCAGGTCGAATACTTGC</t>
  </si>
  <si>
    <t xml:space="preserve">AAACGCAAGTATTCGACCTGCCCG</t>
  </si>
  <si>
    <t xml:space="preserve">PST_2204</t>
  </si>
  <si>
    <t xml:space="preserve">GCCGGCCTCCATCCTTTCAT</t>
  </si>
  <si>
    <t xml:space="preserve">TAGTGCCGGCCTCCATCCTTTCAT</t>
  </si>
  <si>
    <t xml:space="preserve">AAACATGAAAGGATGGAGGCCGGC</t>
  </si>
  <si>
    <t xml:space="preserve">CCGAGCATAACCGCAGGTTA</t>
  </si>
  <si>
    <t xml:space="preserve">TAGTCCGAGCATAACCGCAGGTTA</t>
  </si>
  <si>
    <t xml:space="preserve">AAACTAACCTGCGGTTATGCTCGG</t>
  </si>
  <si>
    <t xml:space="preserve">ATATGACGCAGACGCATGTG</t>
  </si>
  <si>
    <t xml:space="preserve">TAGTATATGACGCAGACGCATGTG</t>
  </si>
  <si>
    <t xml:space="preserve">AAACCACATGCGTCTGCGTCATAT</t>
  </si>
  <si>
    <t xml:space="preserve">TGCCGGTTTGCAGAATCGCC</t>
  </si>
  <si>
    <t xml:space="preserve">TAGTTGCCGGTTTGCAGAATCGCC</t>
  </si>
  <si>
    <t xml:space="preserve">AAACGGCGATTCTGCAAACCGGCA</t>
  </si>
  <si>
    <t xml:space="preserve">PST_2205</t>
  </si>
  <si>
    <t xml:space="preserve">GCGCACCAGAGAATAAGCGG</t>
  </si>
  <si>
    <t xml:space="preserve">TAGTGCGCACCAGAGAATAAGCGG</t>
  </si>
  <si>
    <t xml:space="preserve">AAACCCGCTTATTCTCTGGTGCGC</t>
  </si>
  <si>
    <t xml:space="preserve">TCAGCTCGACCGAGTGCCCT</t>
  </si>
  <si>
    <t xml:space="preserve">TAGTTCAGCTCGACCGAGTGCCCT</t>
  </si>
  <si>
    <t xml:space="preserve">AAACAGGGCACTCGGTCGAGCTGA</t>
  </si>
  <si>
    <t xml:space="preserve">CTGGCCGCCGTTCGCGAAGC</t>
  </si>
  <si>
    <t xml:space="preserve">TAGTCTGGCCGCCGTTCGCGAAGC</t>
  </si>
  <si>
    <t xml:space="preserve">AAACGCTTCGCGAACGGCGGCCAG</t>
  </si>
  <si>
    <t xml:space="preserve">CGGCACGCCGGCATCGGCCA</t>
  </si>
  <si>
    <t xml:space="preserve">TAGTCGGCACGCCGGCATCGGCCA</t>
  </si>
  <si>
    <t xml:space="preserve">AAACTGGCCGATGCCGGCGTGCCG</t>
  </si>
  <si>
    <t xml:space="preserve">PST_2206</t>
  </si>
  <si>
    <t xml:space="preserve">GCTCCTGGGCGAGCGCGCCT</t>
  </si>
  <si>
    <t xml:space="preserve">TAGTGCTCCTGGGCGAGCGCGCCT</t>
  </si>
  <si>
    <t xml:space="preserve">AAACAGGCGCGCTCGCCCAGGAGC</t>
  </si>
  <si>
    <t xml:space="preserve">GTACACGCCGGTCTGGCCGC</t>
  </si>
  <si>
    <t xml:space="preserve">TAGTGTACACGCCGGTCTGGCCGC</t>
  </si>
  <si>
    <t xml:space="preserve">AAACGCGGCCAGACCGGCGTGTAC</t>
  </si>
  <si>
    <t xml:space="preserve">GCGGCACACCGACTGGCCGG</t>
  </si>
  <si>
    <t xml:space="preserve">TAGTGCGGCACACCGACTGGCCGG</t>
  </si>
  <si>
    <t xml:space="preserve">AAACCCGGCCAGTCGGTGTGCCGC</t>
  </si>
  <si>
    <t xml:space="preserve">CTTGATGGCCGGCTTCACCT</t>
  </si>
  <si>
    <t xml:space="preserve">TAGTCTTGATGGCCGGCTTCACCT</t>
  </si>
  <si>
    <t xml:space="preserve">AAACAGGTGAAGCCGGCCATCAAG</t>
  </si>
  <si>
    <t xml:space="preserve">PST_2209</t>
  </si>
  <si>
    <t xml:space="preserve">GGCGGCGTGCATCGCCGATC</t>
  </si>
  <si>
    <t xml:space="preserve">TAGTGGCGGCGTGCATCGCCGATC</t>
  </si>
  <si>
    <t xml:space="preserve">AAACGATCGGCGATGCACGCCGCC</t>
  </si>
  <si>
    <t xml:space="preserve">GACTTACCTATCAATGTATG</t>
  </si>
  <si>
    <t xml:space="preserve">TAGTGACTTACCTATCAATGTATG</t>
  </si>
  <si>
    <t xml:space="preserve">AAACCATACATTGATAGGTAAGTC</t>
  </si>
  <si>
    <t xml:space="preserve">GATGTTGGCGGTGGAAATCA</t>
  </si>
  <si>
    <t xml:space="preserve">TAGTGATGTTGGCGGTGGAAATCA</t>
  </si>
  <si>
    <t xml:space="preserve">AAACTGATTTCCACCGCCAACATC</t>
  </si>
  <si>
    <t xml:space="preserve">CGGCTTGGCACCGAACTGCA</t>
  </si>
  <si>
    <t xml:space="preserve">TAGTCGGCTTGGCACCGAACTGCA</t>
  </si>
  <si>
    <t xml:space="preserve">AAACTGCAGTTCGGTGCCAAGCCG</t>
  </si>
  <si>
    <t xml:space="preserve">PST_2210</t>
  </si>
  <si>
    <t xml:space="preserve">GCTGGAAACCGGAAGAAATT</t>
  </si>
  <si>
    <t xml:space="preserve">TAGTGCTGGAAACCGGAAGAAATT</t>
  </si>
  <si>
    <t xml:space="preserve">AAACAATTTCTTCCGGTTTCCAGC</t>
  </si>
  <si>
    <t xml:space="preserve">CGCCACGATGATCTGGTGAC</t>
  </si>
  <si>
    <t xml:space="preserve">TAGTCGCCACGATGATCTGGTGAC</t>
  </si>
  <si>
    <t xml:space="preserve">AAACGTCACCAGATCATCGTGGCG</t>
  </si>
  <si>
    <t xml:space="preserve">CAGCTGAATGATGATATTGA</t>
  </si>
  <si>
    <t xml:space="preserve">TAGTCAGCTGAATGATGATATTGA</t>
  </si>
  <si>
    <t xml:space="preserve">AAACTCAATATCATCATTCAGCTG</t>
  </si>
  <si>
    <t xml:space="preserve">GATACTCCCAGATCACCGCG</t>
  </si>
  <si>
    <t xml:space="preserve">TAGTGATACTCCCAGATCACCGCG</t>
  </si>
  <si>
    <t xml:space="preserve">AAACCGCGGTGATCTGGGAGTATC</t>
  </si>
  <si>
    <t xml:space="preserve">PST_2213</t>
  </si>
  <si>
    <t xml:space="preserve">TGCCAGAGGATGGTGCCGTG</t>
  </si>
  <si>
    <t xml:space="preserve">TAGTTGCCAGAGGATGGTGCCGTG</t>
  </si>
  <si>
    <t xml:space="preserve">AAACCACGGCACCATCCTCTGGCA</t>
  </si>
  <si>
    <t xml:space="preserve">ACCATGGTGCCGAGAGGAGA</t>
  </si>
  <si>
    <t xml:space="preserve">TAGTACCATGGTGCCGAGAGGAGA</t>
  </si>
  <si>
    <t xml:space="preserve">AAACTCTCCTCTCGGCACCATGGT</t>
  </si>
  <si>
    <t xml:space="preserve">GTCGTTCAGCTGGTGTGTTT</t>
  </si>
  <si>
    <t xml:space="preserve">TAGTGTCGTTCAGCTGGTGTGTTT</t>
  </si>
  <si>
    <t xml:space="preserve">AAACAAACACACCAGCTGAACGAC</t>
  </si>
  <si>
    <t xml:space="preserve">ACAACCTGTCGCGAATGGCG</t>
  </si>
  <si>
    <t xml:space="preserve">TAGTACAACCTGTCGCGAATGGCG</t>
  </si>
  <si>
    <t xml:space="preserve">AAACCGCCATTCGCGACAGGTTGT</t>
  </si>
  <si>
    <t xml:space="preserve">PST_2214</t>
  </si>
  <si>
    <t xml:space="preserve">ATACGCAGCGGGGTGTGCAT</t>
  </si>
  <si>
    <t xml:space="preserve">TAGTATACGCAGCGGGGTGTGCAT</t>
  </si>
  <si>
    <t xml:space="preserve">AAACATGCACACCCCGCTGCGTAT</t>
  </si>
  <si>
    <t xml:space="preserve">CGCACGGTCGGTGATCAAAA</t>
  </si>
  <si>
    <t xml:space="preserve">TAGTCGCACGGTCGGTGATCAAAA</t>
  </si>
  <si>
    <t xml:space="preserve">AAACTTTTGATCACCGACCGTGCG</t>
  </si>
  <si>
    <t xml:space="preserve">GTCCAGGCGACGCACTGGAA</t>
  </si>
  <si>
    <t xml:space="preserve">TAGTGTCCAGGCGACGCACTGGAA</t>
  </si>
  <si>
    <t xml:space="preserve">AAACTTCCAGTGCGTCGCCTGGAC</t>
  </si>
  <si>
    <t xml:space="preserve">CTGACTTCACCGTTACCTTC</t>
  </si>
  <si>
    <t xml:space="preserve">TAGTCTGACTTCACCGTTACCTTC</t>
  </si>
  <si>
    <t xml:space="preserve">AAACGAAGGTAACGGTGAAGTCAG</t>
  </si>
  <si>
    <t xml:space="preserve">PST_2215</t>
  </si>
  <si>
    <t xml:space="preserve">CTGATGTGATCGATCAGCCC</t>
  </si>
  <si>
    <t xml:space="preserve">TAGTCTGATGTGATCGATCAGCCC</t>
  </si>
  <si>
    <t xml:space="preserve">AAACGGGCTGATCGATCACATCAG</t>
  </si>
  <si>
    <t xml:space="preserve">CTTCGTAGGCCTCGCTCAGA</t>
  </si>
  <si>
    <t xml:space="preserve">TAGTCTTCGTAGGCCTCGCTCAGA</t>
  </si>
  <si>
    <t xml:space="preserve">AAACTCTGAGCGAGGCCTACGAAG</t>
  </si>
  <si>
    <t xml:space="preserve">CCGACCACAGAACCGACGGC</t>
  </si>
  <si>
    <t xml:space="preserve">TAGTCCGACCACAGAACCGACGGC</t>
  </si>
  <si>
    <t xml:space="preserve">AAACGCCGTCGGTTCTGTGGTCGG</t>
  </si>
  <si>
    <t xml:space="preserve">PST_2216</t>
  </si>
  <si>
    <t xml:space="preserve">CATGCGCTGCAGATCAAAGG</t>
  </si>
  <si>
    <t xml:space="preserve">TAGTCATGCGCTGCAGATCAAAGG</t>
  </si>
  <si>
    <t xml:space="preserve">AAACCCTTTGATCTGCAGCGCATG</t>
  </si>
  <si>
    <t xml:space="preserve">ACTTCCGCAACGAACATCAG</t>
  </si>
  <si>
    <t xml:space="preserve">TAGTACTTCCGCAACGAACATCAG</t>
  </si>
  <si>
    <t xml:space="preserve">AAACCTGATGTTCGTTGCGGAAGT</t>
  </si>
  <si>
    <t xml:space="preserve">GAAGACGAATACCGCGATAA</t>
  </si>
  <si>
    <t xml:space="preserve">TAGTGAAGACGAATACCGCGATAA</t>
  </si>
  <si>
    <t xml:space="preserve">AAACTTATCGCGGTATTCGTCTTC</t>
  </si>
  <si>
    <t xml:space="preserve">CTCGGCGTCCGCTCACCTTG</t>
  </si>
  <si>
    <t xml:space="preserve">TAGTCTCGGCGTCCGCTCACCTTG</t>
  </si>
  <si>
    <t xml:space="preserve">AAACCAAGGTGAGCGGACGCCGAG</t>
  </si>
  <si>
    <t xml:space="preserve">PST_2217</t>
  </si>
  <si>
    <t xml:space="preserve">AAGGTAGCCGGCGTCGCGCA</t>
  </si>
  <si>
    <t xml:space="preserve">TAGTAAGGTAGCCGGCGTCGCGCA</t>
  </si>
  <si>
    <t xml:space="preserve">AAACTGCGCGACGCCGGCTACCTT</t>
  </si>
  <si>
    <t xml:space="preserve">GTCTGCTCCTGCTGTTGATC</t>
  </si>
  <si>
    <t xml:space="preserve">TAGTGTCTGCTCCTGCTGTTGATC</t>
  </si>
  <si>
    <t xml:space="preserve">AAACGATCAACAGCAGGAGCAGAC</t>
  </si>
  <si>
    <t xml:space="preserve">CGATGAGTAGTCGCCAAGCA</t>
  </si>
  <si>
    <t xml:space="preserve">TAGTCGATGAGTAGTCGCCAAGCA</t>
  </si>
  <si>
    <t xml:space="preserve">AAACTGCTTGGCGACTACTCATCG</t>
  </si>
  <si>
    <t xml:space="preserve">CGTGCTTGCGCGCGGTTTCG</t>
  </si>
  <si>
    <t xml:space="preserve">TAGTCGTGCTTGCGCGCGGTTTCG</t>
  </si>
  <si>
    <t xml:space="preserve">AAACCGAAACCGCGCGCAAGCACG</t>
  </si>
  <si>
    <t xml:space="preserve">PST_2218</t>
  </si>
  <si>
    <t xml:space="preserve">AGACCTCGACGCGATAGTCG</t>
  </si>
  <si>
    <t xml:space="preserve">TAGTAGACCTCGACGCGATAGTCG</t>
  </si>
  <si>
    <t xml:space="preserve">AAACCGACTATCGCGTCGAGGTCT</t>
  </si>
  <si>
    <t xml:space="preserve">ACCGGAGCGATTCTCCATGA</t>
  </si>
  <si>
    <t xml:space="preserve">TAGTACCGGAGCGATTCTCCATGA</t>
  </si>
  <si>
    <t xml:space="preserve">AAACTCATGGAGAATCGCTCCGGT</t>
  </si>
  <si>
    <t xml:space="preserve">TCTGGCCGCGGGCCTTTTCG</t>
  </si>
  <si>
    <t xml:space="preserve">TAGTTCTGGCCGCGGGCCTTTTCG</t>
  </si>
  <si>
    <t xml:space="preserve">AAACCGAAAAGGCCCGCGGCCAGA</t>
  </si>
  <si>
    <t xml:space="preserve">CCTCATCCACTTCGGGAAAA</t>
  </si>
  <si>
    <t xml:space="preserve">TAGTCCTCATCCACTTCGGGAAAA</t>
  </si>
  <si>
    <t xml:space="preserve">AAACTTTTCCCGAAGTGGATGAGG</t>
  </si>
  <si>
    <t xml:space="preserve">PST_2219</t>
  </si>
  <si>
    <t xml:space="preserve">CAACAGGGAAATGGCAGACA</t>
  </si>
  <si>
    <t xml:space="preserve">TAGTCAACAGGGAAATGGCAGACA</t>
  </si>
  <si>
    <t xml:space="preserve">AAACTGTCTGCCATTTCCCTGTTG</t>
  </si>
  <si>
    <t xml:space="preserve">CAGCAGCTGCTTGCGCGCGA</t>
  </si>
  <si>
    <t xml:space="preserve">TAGTCAGCAGCTGCTTGCGCGCGA</t>
  </si>
  <si>
    <t xml:space="preserve">AAACTCGCGCGCAAGCAGCTGCTG</t>
  </si>
  <si>
    <t xml:space="preserve">ACGGTTACCGGCCAGCCGGC</t>
  </si>
  <si>
    <t xml:space="preserve">TAGTACGGTTACCGGCCAGCCGGC</t>
  </si>
  <si>
    <t xml:space="preserve">AAACGCCGGCTGGCCGGTAACCGT</t>
  </si>
  <si>
    <t xml:space="preserve">TCACGTCGACGCCACCCTGG</t>
  </si>
  <si>
    <t xml:space="preserve">TAGTTCACGTCGACGCCACCCTGG</t>
  </si>
  <si>
    <t xml:space="preserve">AAACCCAGGGTGGCGTCGACGTGA</t>
  </si>
  <si>
    <t xml:space="preserve">PST_2220</t>
  </si>
  <si>
    <t xml:space="preserve">TTGAGGTCGAGTCCACGCAT</t>
  </si>
  <si>
    <t xml:space="preserve">TAGTTTGAGGTCGAGTCCACGCAT</t>
  </si>
  <si>
    <t xml:space="preserve">AAACATGCGTGGACTCGACCTCAA</t>
  </si>
  <si>
    <t xml:space="preserve">GACGCAGCGGGTGATCGTTC</t>
  </si>
  <si>
    <t xml:space="preserve">TAGTGACGCAGCGGGTGATCGTTC</t>
  </si>
  <si>
    <t xml:space="preserve">AAACGAACGATCACCCGCTGCGTC</t>
  </si>
  <si>
    <t xml:space="preserve">GTATCGACCAGGCCTCGCAG</t>
  </si>
  <si>
    <t xml:space="preserve">TAGTGTATCGACCAGGCCTCGCAG</t>
  </si>
  <si>
    <t xml:space="preserve">AAACCTGCGAGGCCTGGTCGATAC</t>
  </si>
  <si>
    <t xml:space="preserve">CCGATCCATCGAAGCCAGAA</t>
  </si>
  <si>
    <t xml:space="preserve">TAGTCCGATCCATCGAAGCCAGAA</t>
  </si>
  <si>
    <t xml:space="preserve">AAACTTCTGGCTTCGATGGATCGG</t>
  </si>
  <si>
    <t xml:space="preserve">PST_2221</t>
  </si>
  <si>
    <t xml:space="preserve">yhgI</t>
  </si>
  <si>
    <t xml:space="preserve">GTAATGGTGATCGCGCTCAT</t>
  </si>
  <si>
    <t xml:space="preserve">TAGTGTAATGGTGATCGCGCTCAT</t>
  </si>
  <si>
    <t xml:space="preserve">AAACATGAGCGCGATCACCATTAC</t>
  </si>
  <si>
    <t xml:space="preserve">CAGATAATCGTGTGCAGCTT</t>
  </si>
  <si>
    <t xml:space="preserve">TAGTCAGATAATCGTGTGCAGCTT</t>
  </si>
  <si>
    <t xml:space="preserve">AAACAAGCTGCACACGATTATCTG</t>
  </si>
  <si>
    <t xml:space="preserve">GTTCTGCTTCGCGAGCAGGT</t>
  </si>
  <si>
    <t xml:space="preserve">TAGTGTTCTGCTTCGCGAGCAGGT</t>
  </si>
  <si>
    <t xml:space="preserve">AAACACCTGCTCGCGAAGCAGAAC</t>
  </si>
  <si>
    <t xml:space="preserve">GATGCGAATTCCGATGCCGG</t>
  </si>
  <si>
    <t xml:space="preserve">TAGTGATGCGAATTCCGATGCCGG</t>
  </si>
  <si>
    <t xml:space="preserve">AAACCCGGCATCGGAATTCGCATC</t>
  </si>
  <si>
    <t xml:space="preserve">PST_2222</t>
  </si>
  <si>
    <t xml:space="preserve">cti</t>
  </si>
  <si>
    <t xml:space="preserve">ACAGCCGAGCCAGAAACGGT</t>
  </si>
  <si>
    <t xml:space="preserve">TAGTACAGCCGAGCCAGAAACGGT</t>
  </si>
  <si>
    <t xml:space="preserve">AAACACCGTTTCTGGCTCGGCTGT</t>
  </si>
  <si>
    <t xml:space="preserve">GTGCAGCGCTGCCGATGAGC</t>
  </si>
  <si>
    <t xml:space="preserve">TAGTGTGCAGCGCTGCCGATGAGC</t>
  </si>
  <si>
    <t xml:space="preserve">AAACGCTCATCGGCAGCGCTGCAC</t>
  </si>
  <si>
    <t xml:space="preserve">GCGCTGATAGGAGAGGACTT</t>
  </si>
  <si>
    <t xml:space="preserve">TAGTGCGCTGATAGGAGAGGACTT</t>
  </si>
  <si>
    <t xml:space="preserve">AAACAAGTCCTCTCCTATCAGCGC</t>
  </si>
  <si>
    <t xml:space="preserve">ACTTGGCGGTGAAGATCGGT</t>
  </si>
  <si>
    <t xml:space="preserve">TAGTACTTGGCGGTGAAGATCGGT</t>
  </si>
  <si>
    <t xml:space="preserve">AAACACCGATCTTCACCGCCAAGT</t>
  </si>
  <si>
    <t xml:space="preserve">PST_2223</t>
  </si>
  <si>
    <t xml:space="preserve">metH</t>
  </si>
  <si>
    <t xml:space="preserve">CGGGCGTTGCGAGCGGACAT</t>
  </si>
  <si>
    <t xml:space="preserve">TAGTCGGGCGTTGCGAGCGGACAT</t>
  </si>
  <si>
    <t xml:space="preserve">AAACATGTCCGCTCGCAACGCCCG</t>
  </si>
  <si>
    <t xml:space="preserve">CGTGCTGGAGGGCCTGAAGT</t>
  </si>
  <si>
    <t xml:space="preserve">TAGTCGTGCTGGAGGGCCTGAAGT</t>
  </si>
  <si>
    <t xml:space="preserve">AAACACTTCAGGCCCTCCAGCACG</t>
  </si>
  <si>
    <t xml:space="preserve">CCATACCACCGTCGAGAATC</t>
  </si>
  <si>
    <t xml:space="preserve">TAGTCCATACCACCGTCGAGAATC</t>
  </si>
  <si>
    <t xml:space="preserve">AAACGATTCTCGACGGTGGTATGG</t>
  </si>
  <si>
    <t xml:space="preserve">CAGCTTGTAGCTCTGGATCA</t>
  </si>
  <si>
    <t xml:space="preserve">TAGTCAGCTTGTAGCTCTGGATCA</t>
  </si>
  <si>
    <t xml:space="preserve">AAACTGATCCAGAGCTACAAGCTG</t>
  </si>
  <si>
    <t xml:space="preserve">PST_2224</t>
  </si>
  <si>
    <t xml:space="preserve">CCAGGGTGTTTCCGATGACA</t>
  </si>
  <si>
    <t xml:space="preserve">TAGTCCAGGGTGTTTCCGATGACA</t>
  </si>
  <si>
    <t xml:space="preserve">AAACTGTCATCGGAAACACCCTGG</t>
  </si>
  <si>
    <t xml:space="preserve">GCCGTCGATGATCAGCATGT</t>
  </si>
  <si>
    <t xml:space="preserve">TAGTGCCGTCGATGATCAGCATGT</t>
  </si>
  <si>
    <t xml:space="preserve">AAACACATGCTGATCATCGACGGC</t>
  </si>
  <si>
    <t xml:space="preserve">GCGCGAACTGCCACGCGTGC</t>
  </si>
  <si>
    <t xml:space="preserve">TAGTGCGCGAACTGCCACGCGTGC</t>
  </si>
  <si>
    <t xml:space="preserve">AAACGCACGCGTGGCAGTTCGCGC</t>
  </si>
  <si>
    <t xml:space="preserve">TGCGTCGGCCTGATCCAGCA</t>
  </si>
  <si>
    <t xml:space="preserve">TAGTTGCGTCGGCCTGATCCAGCA</t>
  </si>
  <si>
    <t xml:space="preserve">AAACTGCTGGATCAGGCCGACGCA</t>
  </si>
  <si>
    <t xml:space="preserve">PST_2225</t>
  </si>
  <si>
    <t xml:space="preserve">CCCGCTGGAAGCCATAGGCC</t>
  </si>
  <si>
    <t xml:space="preserve">TAGTCCCGCTGGAAGCCATAGGCC</t>
  </si>
  <si>
    <t xml:space="preserve">AAACGGCCTATGGCTTCCAGCGGG</t>
  </si>
  <si>
    <t xml:space="preserve">TGTTCCGGCGAAGCCATCTT</t>
  </si>
  <si>
    <t xml:space="preserve">TAGTTGTTCCGGCGAAGCCATCTT</t>
  </si>
  <si>
    <t xml:space="preserve">AAACAAGATGGCTTCGCCGGAACA</t>
  </si>
  <si>
    <t xml:space="preserve">GGCCATTCCTTTCATGCTCG</t>
  </si>
  <si>
    <t xml:space="preserve">TAGTGGCCATTCCTTTCATGCTCG</t>
  </si>
  <si>
    <t xml:space="preserve">AAACCGAGCATGAAAGGAATGGCC</t>
  </si>
  <si>
    <t xml:space="preserve">CCGCTGGGCGGCGACGACGC</t>
  </si>
  <si>
    <t xml:space="preserve">TAGTCCGCTGGGCGGCGACGACGC</t>
  </si>
  <si>
    <t xml:space="preserve">AAACGCGTCGTCGCCGCCCAGCGG</t>
  </si>
  <si>
    <t xml:space="preserve">PST_2226</t>
  </si>
  <si>
    <t xml:space="preserve">GGCGATAACGCCCAGCAGCG</t>
  </si>
  <si>
    <t xml:space="preserve">TAGTGGCGATAACGCCCAGCAGCG</t>
  </si>
  <si>
    <t xml:space="preserve">AAACCGCTGCTGGGCGTTATCGCC</t>
  </si>
  <si>
    <t xml:space="preserve">CTGTCGCACGGTCAGCCAGA</t>
  </si>
  <si>
    <t xml:space="preserve">TAGTCTGTCGCACGGTCAGCCAGA</t>
  </si>
  <si>
    <t xml:space="preserve">AAACTCTGGCTGACCGTGCGACAG</t>
  </si>
  <si>
    <t xml:space="preserve">GACACCATGCCCAGCCCGAT</t>
  </si>
  <si>
    <t xml:space="preserve">TAGTGACACCATGCCCAGCCCGAT</t>
  </si>
  <si>
    <t xml:space="preserve">AAACATCGGGCTGGGCATGGTGTC</t>
  </si>
  <si>
    <t xml:space="preserve">CAGCACCTGGGAGTACAGCC</t>
  </si>
  <si>
    <t xml:space="preserve">TAGTCAGCACCTGGGAGTACAGCC</t>
  </si>
  <si>
    <t xml:space="preserve">AAACGGCTGTACTCCCAGGTGCTG</t>
  </si>
  <si>
    <t xml:space="preserve">PST_2227</t>
  </si>
  <si>
    <t xml:space="preserve">CTTGCCGGTGGATTCCGGTC</t>
  </si>
  <si>
    <t xml:space="preserve">TAGTCTTGCCGGTGGATTCCGGTC</t>
  </si>
  <si>
    <t xml:space="preserve">AAACGACCGGAATCCACCGGCAAG</t>
  </si>
  <si>
    <t xml:space="preserve">AAAGCGGCGTCGCAAGCGAT</t>
  </si>
  <si>
    <t xml:space="preserve">TAGTAAAGCGGCGTCGCAAGCGAT</t>
  </si>
  <si>
    <t xml:space="preserve">AAACATCGCTTGCGACGCCGCTTT</t>
  </si>
  <si>
    <t xml:space="preserve">GCACGTACTCGTCGACCACG</t>
  </si>
  <si>
    <t xml:space="preserve">TAGTGCACGTACTCGTCGACCACG</t>
  </si>
  <si>
    <t xml:space="preserve">AAACCGTGGTCGACGAGTACGTGC</t>
  </si>
  <si>
    <t xml:space="preserve">GCGGGCAATGGCCGGGACGT</t>
  </si>
  <si>
    <t xml:space="preserve">TAGTGCGGGCAATGGCCGGGACGT</t>
  </si>
  <si>
    <t xml:space="preserve">AAACACGTCCCGGCCATTGCCCGC</t>
  </si>
  <si>
    <t xml:space="preserve">PST_2228</t>
  </si>
  <si>
    <t xml:space="preserve">CTGATGGTGGGCGCATGGCT</t>
  </si>
  <si>
    <t xml:space="preserve">TAGTCTGATGGTGGGCGCATGGCT</t>
  </si>
  <si>
    <t xml:space="preserve">AAACAGCCATGCGCCCACCATCAG</t>
  </si>
  <si>
    <t xml:space="preserve">CGCCTGCGCGCGGATCGTCT</t>
  </si>
  <si>
    <t xml:space="preserve">TAGTCGCCTGCGCGCGGATCGTCT</t>
  </si>
  <si>
    <t xml:space="preserve">AAACAGACGATCCGCGCGCAGGCG</t>
  </si>
  <si>
    <t xml:space="preserve">GAGTGACACGCTTGCGCTCA</t>
  </si>
  <si>
    <t xml:space="preserve">TAGTGAGTGACACGCTTGCGCTCA</t>
  </si>
  <si>
    <t xml:space="preserve">AAACTGAGCGCAAGCGTGTCACTC</t>
  </si>
  <si>
    <t xml:space="preserve">CCCAGAGCAGCATGCCGAGA</t>
  </si>
  <si>
    <t xml:space="preserve">TAGTCCCAGAGCAGCATGCCGAGA</t>
  </si>
  <si>
    <t xml:space="preserve">AAACTCTCGGCATGCTGCTCTGGG</t>
  </si>
  <si>
    <t xml:space="preserve">PST_2229</t>
  </si>
  <si>
    <t xml:space="preserve">AACCGGCCTGCCGACGATCC</t>
  </si>
  <si>
    <t xml:space="preserve">TAGTAACCGGCCTGCCGACGATCC</t>
  </si>
  <si>
    <t xml:space="preserve">AAACGGATCGTCGGCAGGCCGGTT</t>
  </si>
  <si>
    <t xml:space="preserve">AACGATAGCATGCATACCGC</t>
  </si>
  <si>
    <t xml:space="preserve">TAGTAACGATAGCATGCATACCGC</t>
  </si>
  <si>
    <t xml:space="preserve">AAACGCGGTATGCATGCTATCGTT</t>
  </si>
  <si>
    <t xml:space="preserve">AACTGCTCCGACACGGTTTG</t>
  </si>
  <si>
    <t xml:space="preserve">TAGTAACTGCTCCGACACGGTTTG</t>
  </si>
  <si>
    <t xml:space="preserve">AAACCAAACCGTGTCGGAGCAGTT</t>
  </si>
  <si>
    <t xml:space="preserve">CTTCTTCAAGGTGCTCGCGC</t>
  </si>
  <si>
    <t xml:space="preserve">TAGTCTTCTTCAAGGTGCTCGCGC</t>
  </si>
  <si>
    <t xml:space="preserve">AAACGCGCGAGCACCTTGAAGAAG</t>
  </si>
  <si>
    <t xml:space="preserve">PST_2230</t>
  </si>
  <si>
    <t xml:space="preserve">TCGATGCGTTCACGGACGTA</t>
  </si>
  <si>
    <t xml:space="preserve">TAGTTCGATGCGTTCACGGACGTA</t>
  </si>
  <si>
    <t xml:space="preserve">AAACTACGTCCGTGAACGCATCGA</t>
  </si>
  <si>
    <t xml:space="preserve">CAACAGACCGAACACCGCAT</t>
  </si>
  <si>
    <t xml:space="preserve">TAGTCAACAGACCGAACACCGCAT</t>
  </si>
  <si>
    <t xml:space="preserve">AAACATGCGGTGTTCGGTCTGTTG</t>
  </si>
  <si>
    <t xml:space="preserve">GACGCCGGAAATGGGCATCC</t>
  </si>
  <si>
    <t xml:space="preserve">TAGTGACGCCGGAAATGGGCATCC</t>
  </si>
  <si>
    <t xml:space="preserve">AAACGGATGCCCATTTCCGGCGTC</t>
  </si>
  <si>
    <t xml:space="preserve">GAATGCCCCAGCGGGCCACC</t>
  </si>
  <si>
    <t xml:space="preserve">TAGTGAATGCCCCAGCGGGCCACC</t>
  </si>
  <si>
    <t xml:space="preserve">AAACGGTGGCCCGCTGGGGCATTC</t>
  </si>
  <si>
    <t xml:space="preserve">PST_2231</t>
  </si>
  <si>
    <t xml:space="preserve">TGGAAGTCGGGGATGCGCAT</t>
  </si>
  <si>
    <t xml:space="preserve">TAGTTGGAAGTCGGGGATGCGCAT</t>
  </si>
  <si>
    <t xml:space="preserve">AAACATGCGCATCCCCGACTTCCA</t>
  </si>
  <si>
    <t xml:space="preserve">CGATGTCGGCGAGGCGTTGC</t>
  </si>
  <si>
    <t xml:space="preserve">TAGTCGATGTCGGCGAGGCGTTGC</t>
  </si>
  <si>
    <t xml:space="preserve">AAACGCAACGCCTCGCCGACATCG</t>
  </si>
  <si>
    <t xml:space="preserve">CCGTCCGATATGACGGGGCT</t>
  </si>
  <si>
    <t xml:space="preserve">TAGTCCGTCCGATATGACGGGGCT</t>
  </si>
  <si>
    <t xml:space="preserve">AAACAGCCCCGTCATATCGGACGG</t>
  </si>
  <si>
    <t xml:space="preserve">GCAGGCCCTTGAGCCAGGCG</t>
  </si>
  <si>
    <t xml:space="preserve">TAGTGCAGGCCCTTGAGCCAGGCG</t>
  </si>
  <si>
    <t xml:space="preserve">AAACCGCCTGGCTCAAGGGCCTGC</t>
  </si>
  <si>
    <t xml:space="preserve">PST_2232</t>
  </si>
  <si>
    <t xml:space="preserve">GCCACGTTCGAGTTGTTCCA</t>
  </si>
  <si>
    <t xml:space="preserve">TAGTGCCACGTTCGAGTTGTTCCA</t>
  </si>
  <si>
    <t xml:space="preserve">AAACTGGAACAACTCGAACGTGGC</t>
  </si>
  <si>
    <t xml:space="preserve">AAGATCAAGGCGGCTGATGC</t>
  </si>
  <si>
    <t xml:space="preserve">TAGTAAGATCAAGGCGGCTGATGC</t>
  </si>
  <si>
    <t xml:space="preserve">AAACGCATCAGCCGCCTTGATCTT</t>
  </si>
  <si>
    <t xml:space="preserve">GGGAAAGGCGTCAAGGCCGG</t>
  </si>
  <si>
    <t xml:space="preserve">TAGTGGGAAAGGCGTCAAGGCCGG</t>
  </si>
  <si>
    <t xml:space="preserve">AAACCCGGCCTTGACGCCTTTCCC</t>
  </si>
  <si>
    <t xml:space="preserve">GCGAGGCCGAAGATCGCGTC</t>
  </si>
  <si>
    <t xml:space="preserve">TAGTGCGAGGCCGAAGATCGCGTC</t>
  </si>
  <si>
    <t xml:space="preserve">AAACGACGCGATCTTCGGCCTCGC</t>
  </si>
  <si>
    <t xml:space="preserve">PST_2233</t>
  </si>
  <si>
    <t xml:space="preserve">GTCCGCTTCGGGTGAGGTCA</t>
  </si>
  <si>
    <t xml:space="preserve">TAGTGTCCGCTTCGGGTGAGGTCA</t>
  </si>
  <si>
    <t xml:space="preserve">AAACTGACCTCACCCGAAGCGGAC</t>
  </si>
  <si>
    <t xml:space="preserve">GGCTTGGGATAGGGCGAGCG</t>
  </si>
  <si>
    <t xml:space="preserve">TAGTGGCTTGGGATAGGGCGAGCG</t>
  </si>
  <si>
    <t xml:space="preserve">AAACCGCTCGCCCTATCCCAAGCC</t>
  </si>
  <si>
    <t xml:space="preserve">TCCAGCGGAGTGTCGGCGTA</t>
  </si>
  <si>
    <t xml:space="preserve">TAGTTCCAGCGGAGTGTCGGCGTA</t>
  </si>
  <si>
    <t xml:space="preserve">AAACTACGCCGACACTCCGCTGGA</t>
  </si>
  <si>
    <t xml:space="preserve">GTCCACGAACGAAGGGGTCC</t>
  </si>
  <si>
    <t xml:space="preserve">TAGTGTCCACGAACGAAGGGGTCC</t>
  </si>
  <si>
    <t xml:space="preserve">AAACGGACCCCTTCGTTCGTGGAC</t>
  </si>
  <si>
    <t xml:space="preserve">PST_2234</t>
  </si>
  <si>
    <t xml:space="preserve">TTTTCATCCGTACTGACTGC</t>
  </si>
  <si>
    <t xml:space="preserve">TAGTTTTTCATCCGTACTGACTGC</t>
  </si>
  <si>
    <t xml:space="preserve">AAACGCAGTCAGTACGGATGAAAA</t>
  </si>
  <si>
    <t xml:space="preserve">CATGGGTCTTGCGGTGCCGC</t>
  </si>
  <si>
    <t xml:space="preserve">TAGTCATGGGTCTTGCGGTGCCGC</t>
  </si>
  <si>
    <t xml:space="preserve">AAACGCGGCACCGCAAGACCCATG</t>
  </si>
  <si>
    <t xml:space="preserve">GTCGCCGCAGGGTGTCGAAG</t>
  </si>
  <si>
    <t xml:space="preserve">TAGTGTCGCCGCAGGGTGTCGAAG</t>
  </si>
  <si>
    <t xml:space="preserve">AAACCTTCGACACCCTGCGGCGAC</t>
  </si>
  <si>
    <t xml:space="preserve">GATCGAACTCATCGAAAAGT</t>
  </si>
  <si>
    <t xml:space="preserve">TAGTGATCGAACTCATCGAAAAGT</t>
  </si>
  <si>
    <t xml:space="preserve">AAACACTTTTCGATGAGTTCGATC</t>
  </si>
  <si>
    <t xml:space="preserve">PST_2235</t>
  </si>
  <si>
    <t xml:space="preserve">CTTTTCCTGCTCGTCGTTCA</t>
  </si>
  <si>
    <t xml:space="preserve">TAGTCTTTTCCTGCTCGTCGTTCA</t>
  </si>
  <si>
    <t xml:space="preserve">AAACTGAACGACGAGCAGGAAAAG</t>
  </si>
  <si>
    <t xml:space="preserve">CGAGCATTTGCCGCAATGTC</t>
  </si>
  <si>
    <t xml:space="preserve">TAGTCGAGCATTTGCCGCAATGTC</t>
  </si>
  <si>
    <t xml:space="preserve">AAACGACATTGCGGCAAATGCTCG</t>
  </si>
  <si>
    <t xml:space="preserve">GCTTTGCACACCCAAGGCGG</t>
  </si>
  <si>
    <t xml:space="preserve">TAGTGCTTTGCACACCCAAGGCGG</t>
  </si>
  <si>
    <t xml:space="preserve">AAACCCGCCTTGGGTGTGCAAAGC</t>
  </si>
  <si>
    <t xml:space="preserve">CGTGGCTGAAGTCTCTTGCC</t>
  </si>
  <si>
    <t xml:space="preserve">TAGTCGTGGCTGAAGTCTCTTGCC</t>
  </si>
  <si>
    <t xml:space="preserve">AAACGGCAAGAGACTTCAGCCACG</t>
  </si>
  <si>
    <t xml:space="preserve">PST_2236</t>
  </si>
  <si>
    <t xml:space="preserve">cysI</t>
  </si>
  <si>
    <t xml:space="preserve">CGATGATGTGTTGGTCGTAC</t>
  </si>
  <si>
    <t xml:space="preserve">TAGTCGATGATGTGTTGGTCGTAC</t>
  </si>
  <si>
    <t xml:space="preserve">AAACGTACGACCAACACATCATCG</t>
  </si>
  <si>
    <t xml:space="preserve">GGAAGCGGCGGGTCTGGTCG</t>
  </si>
  <si>
    <t xml:space="preserve">TAGTGGAAGCGGCGGGTCTGGTCG</t>
  </si>
  <si>
    <t xml:space="preserve">AAACCGACCAGACCCGCCGCTTCC</t>
  </si>
  <si>
    <t xml:space="preserve">CATCAGCGAGTTCACCGGCC</t>
  </si>
  <si>
    <t xml:space="preserve">TAGTCATCAGCGAGTTCACCGGCC</t>
  </si>
  <si>
    <t xml:space="preserve">AAACGGCCGGTGAACTCGCTGATG</t>
  </si>
  <si>
    <t xml:space="preserve">CATTCTGCAGGCGCAGCGGG</t>
  </si>
  <si>
    <t xml:space="preserve">TAGTCATTCTGCAGGCGCAGCGGG</t>
  </si>
  <si>
    <t xml:space="preserve">AAACCCCGCTGCGCCTGCAGAATG</t>
  </si>
  <si>
    <t xml:space="preserve">PST_2237</t>
  </si>
  <si>
    <t xml:space="preserve">CTCCTTGGGGAGCAGGTGCC</t>
  </si>
  <si>
    <t xml:space="preserve">TAGTCTCCTTGGGGAGCAGGTGCC</t>
  </si>
  <si>
    <t xml:space="preserve">AAACGGCACCTGCTCCCCAAGGAG</t>
  </si>
  <si>
    <t xml:space="preserve">GCTATTGCACAGGTCGTCCA</t>
  </si>
  <si>
    <t xml:space="preserve">TAGTGCTATTGCACAGGTCGTCCA</t>
  </si>
  <si>
    <t xml:space="preserve">AAACTGGACGACCTGTGCAATAGC</t>
  </si>
  <si>
    <t xml:space="preserve">TGATCGAGCCACAGGTGCAG</t>
  </si>
  <si>
    <t xml:space="preserve">TAGTTGATCGAGCCACAGGTGCAG</t>
  </si>
  <si>
    <t xml:space="preserve">AAACCTGCACCTGTGGCTCGATCA</t>
  </si>
  <si>
    <t xml:space="preserve">CACACCCAGGCCACCGTCAC</t>
  </si>
  <si>
    <t xml:space="preserve">TAGTCACACCCAGGCCACCGTCAC</t>
  </si>
  <si>
    <t xml:space="preserve">AAACGTGACGGTGGCCTGGGTGTG</t>
  </si>
  <si>
    <t xml:space="preserve">PST_2238</t>
  </si>
  <si>
    <t xml:space="preserve">CGGTCGAGCATCCGAATTTC</t>
  </si>
  <si>
    <t xml:space="preserve">TAGTCGGTCGAGCATCCGAATTTC</t>
  </si>
  <si>
    <t xml:space="preserve">AAACGAAATTCGGATGCTCGACCG</t>
  </si>
  <si>
    <t xml:space="preserve">GACCGCTGCAGTGCCCGTGC</t>
  </si>
  <si>
    <t xml:space="preserve">TAGTGACCGCTGCAGTGCCCGTGC</t>
  </si>
  <si>
    <t xml:space="preserve">AAACGCACGGGCACTGCAGCGGTC</t>
  </si>
  <si>
    <t xml:space="preserve">AAGATCAAACAGATCGCTTC</t>
  </si>
  <si>
    <t xml:space="preserve">TAGTAAGATCAAACAGATCGCTTC</t>
  </si>
  <si>
    <t xml:space="preserve">AAACGAAGCGATCTGTTTGATCTT</t>
  </si>
  <si>
    <t xml:space="preserve">GAAATCGCTCATGAAAAAGC</t>
  </si>
  <si>
    <t xml:space="preserve">TAGTGAAATCGCTCATGAAAAAGC</t>
  </si>
  <si>
    <t xml:space="preserve">AAACGCTTTTTCATGAGCGATTTC</t>
  </si>
  <si>
    <t xml:space="preserve">PST_2239</t>
  </si>
  <si>
    <t xml:space="preserve">CGACTCGAAACGGCCACCTT</t>
  </si>
  <si>
    <t xml:space="preserve">TAGTCGACTCGAAACGGCCACCTT</t>
  </si>
  <si>
    <t xml:space="preserve">AAACAAGGTGGCCGTTTCGAGTCG</t>
  </si>
  <si>
    <t xml:space="preserve">ACCGGCGGGCAGCTCTTCGG</t>
  </si>
  <si>
    <t xml:space="preserve">TAGTACCGGCGGGCAGCTCTTCGG</t>
  </si>
  <si>
    <t xml:space="preserve">AAACCCGAAGAGCTGCCCGCCGGT</t>
  </si>
  <si>
    <t xml:space="preserve">TCAGCGAGGAATAACGCACC</t>
  </si>
  <si>
    <t xml:space="preserve">TAGTTCAGCGAGGAATAACGCACC</t>
  </si>
  <si>
    <t xml:space="preserve">AAACGGTGCGTTATTCCTCGCTGA</t>
  </si>
  <si>
    <t xml:space="preserve">GGTCACGCCACGATTGCCAC</t>
  </si>
  <si>
    <t xml:space="preserve">TAGTGGTCACGCCACGATTGCCAC</t>
  </si>
  <si>
    <t xml:space="preserve">AAACGTGGCAATCGTGGCGTGACC</t>
  </si>
  <si>
    <t xml:space="preserve">PST_2240</t>
  </si>
  <si>
    <t xml:space="preserve">TATCCCCCTCGATGAGTTTC</t>
  </si>
  <si>
    <t xml:space="preserve">TAGTTATCCCCCTCGATGAGTTTC</t>
  </si>
  <si>
    <t xml:space="preserve">AAACGAAACTCATCGAGGGGGATA</t>
  </si>
  <si>
    <t xml:space="preserve">GACGGTCTTGGCCAGGAAGC</t>
  </si>
  <si>
    <t xml:space="preserve">TAGTGACGGTCTTGGCCAGGAAGC</t>
  </si>
  <si>
    <t xml:space="preserve">AAACGCTTCCTGGCCAAGACCGTC</t>
  </si>
  <si>
    <t xml:space="preserve">TTTGCTGCGTCCGCGCCGCA</t>
  </si>
  <si>
    <t xml:space="preserve">TAGTTTTGCTGCGTCCGCGCCGCA</t>
  </si>
  <si>
    <t xml:space="preserve">AAACTGCGGCGCGGACGCAGCAAA</t>
  </si>
  <si>
    <t xml:space="preserve">TTTCCAGCACTGCCTGCTCC</t>
  </si>
  <si>
    <t xml:space="preserve">TAGTTTTCCAGCACTGCCTGCTCC</t>
  </si>
  <si>
    <t xml:space="preserve">AAACGGAGCAGGCAGTGCTGGAAA</t>
  </si>
  <si>
    <t xml:space="preserve">PST_2241</t>
  </si>
  <si>
    <t xml:space="preserve">GGACTGGCGATAACCCAGGG</t>
  </si>
  <si>
    <t xml:space="preserve">TAGTGGACTGGCGATAACCCAGGG</t>
  </si>
  <si>
    <t xml:space="preserve">AAACCCCTGGGTTATCGCCAGTCC</t>
  </si>
  <si>
    <t xml:space="preserve">CAGGTAATCGCCCAGCGCTT</t>
  </si>
  <si>
    <t xml:space="preserve">TAGTCAGGTAATCGCCCAGCGCTT</t>
  </si>
  <si>
    <t xml:space="preserve">AAACAAGCGCTGGGCGATTACCTG</t>
  </si>
  <si>
    <t xml:space="preserve">CGAGTTCGCCACTGAGGCAG</t>
  </si>
  <si>
    <t xml:space="preserve">TAGTCGAGTTCGCCACTGAGGCAG</t>
  </si>
  <si>
    <t xml:space="preserve">AAACCTGCCTCAGTGGCGAACTCG</t>
  </si>
  <si>
    <t xml:space="preserve">TCGCTCTGGCCGTGTCCTGC</t>
  </si>
  <si>
    <t xml:space="preserve">TAGTTCGCTCTGGCCGTGTCCTGC</t>
  </si>
  <si>
    <t xml:space="preserve">AAACGCAGGACACGGCCAGAGCGA</t>
  </si>
  <si>
    <t xml:space="preserve">PST_2242</t>
  </si>
  <si>
    <t xml:space="preserve">GCTTTGGGCCGCGTGGGGCT</t>
  </si>
  <si>
    <t xml:space="preserve">TAGTGCTTTGGGCCGCGTGGGGCT</t>
  </si>
  <si>
    <t xml:space="preserve">AAACAGCCCCACGCGGCCCAAAGC</t>
  </si>
  <si>
    <t xml:space="preserve">GGTTTCCTTTTTGCTCGTTA</t>
  </si>
  <si>
    <t xml:space="preserve">TAGTGGTTTCCTTTTTGCTCGTTA</t>
  </si>
  <si>
    <t xml:space="preserve">AAACTAACGAGCAAAAAGGAAACC</t>
  </si>
  <si>
    <t xml:space="preserve">TTCGGCGACGTTGCTCATGA</t>
  </si>
  <si>
    <t xml:space="preserve">TAGTTTCGGCGACGTTGCTCATGA</t>
  </si>
  <si>
    <t xml:space="preserve">AAACTCATGAGCAACGTCGCCGAA</t>
  </si>
  <si>
    <t xml:space="preserve">CTTCGACTGCATGCCTTTGA</t>
  </si>
  <si>
    <t xml:space="preserve">TAGTCTTCGACTGCATGCCTTTGA</t>
  </si>
  <si>
    <t xml:space="preserve">AAACTCAAAGGCATGCAGTCGAAG</t>
  </si>
  <si>
    <t xml:space="preserve">PST_2243</t>
  </si>
  <si>
    <t xml:space="preserve">TTCCTCACCCGTGCGGACAG</t>
  </si>
  <si>
    <t xml:space="preserve">TAGTTTCCTCACCCGTGCGGACAG</t>
  </si>
  <si>
    <t xml:space="preserve">AAACCTGTCCGCACGGGTGAGGAA</t>
  </si>
  <si>
    <t xml:space="preserve">TACTGGTCGATGACATCGGC</t>
  </si>
  <si>
    <t xml:space="preserve">TAGTTACTGGTCGATGACATCGGC</t>
  </si>
  <si>
    <t xml:space="preserve">AAACGCCGATGTCATCGACCAGTA</t>
  </si>
  <si>
    <t xml:space="preserve">GTCCCGGGATATGTGCCTTG</t>
  </si>
  <si>
    <t xml:space="preserve">TAGTGTCCCGGGATATGTGCCTTG</t>
  </si>
  <si>
    <t xml:space="preserve">AAACCAAGGCACATATCCCGGGAC</t>
  </si>
  <si>
    <t xml:space="preserve">CCGGGGAACTGGGAAATCTG</t>
  </si>
  <si>
    <t xml:space="preserve">TAGTCCGGGGAACTGGGAAATCTG</t>
  </si>
  <si>
    <t xml:space="preserve">AAACCAGATTTCCCAGTTCCCCGG</t>
  </si>
  <si>
    <t xml:space="preserve">PST_2244</t>
  </si>
  <si>
    <t xml:space="preserve">GAACAGGGTGGTCTTGGACA</t>
  </si>
  <si>
    <t xml:space="preserve">TAGTGAACAGGGTGGTCTTGGACA</t>
  </si>
  <si>
    <t xml:space="preserve">AAACTGTCCAAGACCACCCTGTTC</t>
  </si>
  <si>
    <t xml:space="preserve">GCGGCTGGCGCCGGAAACGA</t>
  </si>
  <si>
    <t xml:space="preserve">TAGTGCGGCTGGCGCCGGAAACGA</t>
  </si>
  <si>
    <t xml:space="preserve">AAACTCGTTTCCGGCGCCAGCCGC</t>
  </si>
  <si>
    <t xml:space="preserve">GATTACGTGGGCGCCTTGCT</t>
  </si>
  <si>
    <t xml:space="preserve">TAGTGATTACGTGGGCGCCTTGCT</t>
  </si>
  <si>
    <t xml:space="preserve">AAACAGCAAGGCGCCCACGTAATC</t>
  </si>
  <si>
    <t xml:space="preserve">GCAACCTTCGATCTTGCGGC</t>
  </si>
  <si>
    <t xml:space="preserve">TAGTGCAACCTTCGATCTTGCGGC</t>
  </si>
  <si>
    <t xml:space="preserve">AAACGCCGCAAGATCGAAGGTTGC</t>
  </si>
  <si>
    <t xml:space="preserve">PST_2245</t>
  </si>
  <si>
    <t xml:space="preserve">CGCCAGCACGACAAAACCAC</t>
  </si>
  <si>
    <t xml:space="preserve">TAGTCGCCAGCACGACAAAACCAC</t>
  </si>
  <si>
    <t xml:space="preserve">AAACGTGGTTTTGTCGTGCTGGCG</t>
  </si>
  <si>
    <t xml:space="preserve">GCCGATCAAGGCGATCAGAC</t>
  </si>
  <si>
    <t xml:space="preserve">TAGTGCCGATCAAGGCGATCAGAC</t>
  </si>
  <si>
    <t xml:space="preserve">AAACGTCTGATCGCCTTGATCGGC</t>
  </si>
  <si>
    <t xml:space="preserve">CTCAGGGGGAAGCGCTGTGT</t>
  </si>
  <si>
    <t xml:space="preserve">TAGTCTCAGGGGGAAGCGCTGTGT</t>
  </si>
  <si>
    <t xml:space="preserve">AAACACACAGCGCTTCCCCCTGAG</t>
  </si>
  <si>
    <t xml:space="preserve">TGGAACGTCAGCGTGACCAG</t>
  </si>
  <si>
    <t xml:space="preserve">TAGTTGGAACGTCAGCGTGACCAG</t>
  </si>
  <si>
    <t xml:space="preserve">AAACCTGGTCACGCTGACGTTCCA</t>
  </si>
  <si>
    <t xml:space="preserve">PST_2246</t>
  </si>
  <si>
    <t xml:space="preserve">AGCGCCAGCTCGAGGGCGAA</t>
  </si>
  <si>
    <t xml:space="preserve">TAGTAGCGCCAGCTCGAGGGCGAA</t>
  </si>
  <si>
    <t xml:space="preserve">AAACTTCGCCCTCGAGCTGGCGCT</t>
  </si>
  <si>
    <t xml:space="preserve">ACAGGATCGCCAGCGTGGAC</t>
  </si>
  <si>
    <t xml:space="preserve">TAGTACAGGATCGCCAGCGTGGAC</t>
  </si>
  <si>
    <t xml:space="preserve">AAACGTCCACGCTGGCGATCCTGT</t>
  </si>
  <si>
    <t xml:space="preserve">AAAGCCGGCAGTAAAGGCGA</t>
  </si>
  <si>
    <t xml:space="preserve">TAGTAAAGCCGGCAGTAAAGGCGA</t>
  </si>
  <si>
    <t xml:space="preserve">AAACTCGCCTTTACTGCCGGCTTT</t>
  </si>
  <si>
    <t xml:space="preserve">GGTCAACAGCCCGCCGCCAC</t>
  </si>
  <si>
    <t xml:space="preserve">TAGTGGTCAACAGCCCGCCGCCAC</t>
  </si>
  <si>
    <t xml:space="preserve">AAACGTGGCGGCGGGCTGTTGACC</t>
  </si>
  <si>
    <t xml:space="preserve">PST_2247</t>
  </si>
  <si>
    <t xml:space="preserve">GCAGCGCCGCTTGCCAGCGC</t>
  </si>
  <si>
    <t xml:space="preserve">TAGTGCAGCGCCGCTTGCCAGCGC</t>
  </si>
  <si>
    <t xml:space="preserve">AAACGCGCTGGCAAGCGGCGCTGC</t>
  </si>
  <si>
    <t xml:space="preserve">CCCAGCCCCCCGCCAGCGAG</t>
  </si>
  <si>
    <t xml:space="preserve">TAGTCCCAGCCCCCCGCCAGCGAG</t>
  </si>
  <si>
    <t xml:space="preserve">AAACCTCGCTGGCGGGGGGCTGGG</t>
  </si>
  <si>
    <t xml:space="preserve">CGTCGACCAGGAACTGTTGC</t>
  </si>
  <si>
    <t xml:space="preserve">TAGTCGTCGACCAGGAACTGTTGC</t>
  </si>
  <si>
    <t xml:space="preserve">AAACGCAACAGTTCCTGGTCGACG</t>
  </si>
  <si>
    <t xml:space="preserve">AGCCCCTGCTCGCTGAGCAG</t>
  </si>
  <si>
    <t xml:space="preserve">TAGTAGCCCCTGCTCGCTGAGCAG</t>
  </si>
  <si>
    <t xml:space="preserve">AAACCTGCTCAGCGAGCAGGGGCT</t>
  </si>
  <si>
    <t xml:space="preserve">PST_2248</t>
  </si>
  <si>
    <t xml:space="preserve">TAGTGGCGAACAGCTCATCC</t>
  </si>
  <si>
    <t xml:space="preserve">TAGTTAGTGGCGAACAGCTCATCC</t>
  </si>
  <si>
    <t xml:space="preserve">AAACGGATGAGCTGTTCGCCACTA</t>
  </si>
  <si>
    <t xml:space="preserve">GAAATGCTCAAGGCTCTGCT</t>
  </si>
  <si>
    <t xml:space="preserve">TAGTGAAATGCTCAAGGCTCTGCT</t>
  </si>
  <si>
    <t xml:space="preserve">AAACAGCAGAGCCTTGAGCATTTC</t>
  </si>
  <si>
    <t xml:space="preserve">TCTCGACGGCCTGCTGCAGA</t>
  </si>
  <si>
    <t xml:space="preserve">TAGTTCTCGACGGCCTGCTGCAGA</t>
  </si>
  <si>
    <t xml:space="preserve">AAACTCTGCAGCAGGCCGTCGAGA</t>
  </si>
  <si>
    <t xml:space="preserve">GCGTGCCGCGGACCTGTTTG</t>
  </si>
  <si>
    <t xml:space="preserve">TAGTGCGTGCCGCGGACCTGTTTG</t>
  </si>
  <si>
    <t xml:space="preserve">AAACCAAACAGGTCCGCGGCACGC</t>
  </si>
  <si>
    <t xml:space="preserve">PST_2249</t>
  </si>
  <si>
    <t xml:space="preserve">TACGCGGAAGGCTTTGTATT</t>
  </si>
  <si>
    <t xml:space="preserve">TAGTTACGCGGAAGGCTTTGTATT</t>
  </si>
  <si>
    <t xml:space="preserve">AAACAATACAAAGCCTTCCGCGTA</t>
  </si>
  <si>
    <t xml:space="preserve">GGGTCGGTTGATCACGACTC</t>
  </si>
  <si>
    <t xml:space="preserve">TAGTGGGTCGGTTGATCACGACTC</t>
  </si>
  <si>
    <t xml:space="preserve">AAACGAGTCGTGATCAACCGACCC</t>
  </si>
  <si>
    <t xml:space="preserve">TCCATCGCATTGATCTTCTC</t>
  </si>
  <si>
    <t xml:space="preserve">TAGTTCCATCGCATTGATCTTCTC</t>
  </si>
  <si>
    <t xml:space="preserve">AAACGAGAAGATCAATGCGATGGA</t>
  </si>
  <si>
    <t xml:space="preserve">GATGATTTCCGTCCAGAACG</t>
  </si>
  <si>
    <t xml:space="preserve">TAGTGATGATTTCCGTCCAGAACG</t>
  </si>
  <si>
    <t xml:space="preserve">AAACCGTTCTGGACGGAAATCATC</t>
  </si>
  <si>
    <t xml:space="preserve">PST_2250</t>
  </si>
  <si>
    <t xml:space="preserve">CGATGAGGATCGGGAATTTC</t>
  </si>
  <si>
    <t xml:space="preserve">TAGTCGATGAGGATCGGGAATTTC</t>
  </si>
  <si>
    <t xml:space="preserve">AAACGAAATTCCCGATCCTCATCG</t>
  </si>
  <si>
    <t xml:space="preserve">TGTCGGCCTTGATGTCGCGA</t>
  </si>
  <si>
    <t xml:space="preserve">TAGTTGTCGGCCTTGATGTCGCGA</t>
  </si>
  <si>
    <t xml:space="preserve">AAACTCGCGACATCAAGGCCGACA</t>
  </si>
  <si>
    <t xml:space="preserve">TCGCACGCGTTCGCCAGCAA</t>
  </si>
  <si>
    <t xml:space="preserve">TAGTTCGCACGCGTTCGCCAGCAA</t>
  </si>
  <si>
    <t xml:space="preserve">AAACTTGCTGGCGAACGCGTGCGA</t>
  </si>
  <si>
    <t xml:space="preserve">ACCGTCACGCTCCAACTCCG</t>
  </si>
  <si>
    <t xml:space="preserve">TAGTACCGTCACGCTCCAACTCCG</t>
  </si>
  <si>
    <t xml:space="preserve">AAACCGGAGTTGGAGCGTGACGGT</t>
  </si>
  <si>
    <t xml:space="preserve">PST_2251</t>
  </si>
  <si>
    <t xml:space="preserve">dnaQ</t>
  </si>
  <si>
    <t xml:space="preserve">GACTGGCATACCCGTGGTTT</t>
  </si>
  <si>
    <t xml:space="preserve">TAGTGACTGGCATACCCGTGGTTT</t>
  </si>
  <si>
    <t xml:space="preserve">AAACAAACCACGGGTATGCCAGTC</t>
  </si>
  <si>
    <t xml:space="preserve">AACCGATCTCGATGATCCGG</t>
  </si>
  <si>
    <t xml:space="preserve">TAGTAACCGATCTCGATGATCCGG</t>
  </si>
  <si>
    <t xml:space="preserve">AAACCCGGATCATCGAGATCGGTT</t>
  </si>
  <si>
    <t xml:space="preserve">GGTAGTGACGCCCGGTCAGG</t>
  </si>
  <si>
    <t xml:space="preserve">TAGTGGTAGTGACGCCCGGTCAGG</t>
  </si>
  <si>
    <t xml:space="preserve">AAACCCTGACCGGGCGTCACTACC</t>
  </si>
  <si>
    <t xml:space="preserve">GATCGGGCTGCAGATAGACA</t>
  </si>
  <si>
    <t xml:space="preserve">TAGTGATCGGGCTGCAGATAGACA</t>
  </si>
  <si>
    <t xml:space="preserve">AAACTGTCTATCTGCAGCCCGATC</t>
  </si>
  <si>
    <t xml:space="preserve">PST_2252</t>
  </si>
  <si>
    <t xml:space="preserve">rnhA</t>
  </si>
  <si>
    <t xml:space="preserve">ATTGCCCTTGCAGGCGCCAT</t>
  </si>
  <si>
    <t xml:space="preserve">TAGTATTGCCCTTGCAGGCGCCAT</t>
  </si>
  <si>
    <t xml:space="preserve">AAACATGGCGCCTGCAAGGGCAAT</t>
  </si>
  <si>
    <t xml:space="preserve">GCTCCCCAGCCACCGGGACC</t>
  </si>
  <si>
    <t xml:space="preserve">TAGTGCTCCCCAGCCACCGGGACC</t>
  </si>
  <si>
    <t xml:space="preserve">AAACGGTCCCGGTGGCTGGGGAGC</t>
  </si>
  <si>
    <t xml:space="preserve">ATGCGATTGTTGGTGGTGTC</t>
  </si>
  <si>
    <t xml:space="preserve">TAGTATGCGATTGTTGGTGGTGTC</t>
  </si>
  <si>
    <t xml:space="preserve">AAACGACACCACCAACAATCGCAT</t>
  </si>
  <si>
    <t xml:space="preserve">CAGCTCGGCGAGCGCGCGAA</t>
  </si>
  <si>
    <t xml:space="preserve">TAGTCAGCTCGGCGAGCGCGCGAA</t>
  </si>
  <si>
    <t xml:space="preserve">AAACTTCGCGCGCTCGCCGAGCTG</t>
  </si>
  <si>
    <t xml:space="preserve">PST_2253</t>
  </si>
  <si>
    <t xml:space="preserve">TGGTCGCTGGCGTGGTTGGA</t>
  </si>
  <si>
    <t xml:space="preserve">TAGTTGGTCGCTGGCGTGGTTGGA</t>
  </si>
  <si>
    <t xml:space="preserve">AAACTCCAACCACGCCAGCGACCA</t>
  </si>
  <si>
    <t xml:space="preserve">GGCTGATCATGGACAGCCAA</t>
  </si>
  <si>
    <t xml:space="preserve">TAGTGGCTGATCATGGACAGCCAA</t>
  </si>
  <si>
    <t xml:space="preserve">AAACTTGGCTGTCCATGATCAGCC</t>
  </si>
  <si>
    <t xml:space="preserve">CGGCGAACCAGTCGGACGCC</t>
  </si>
  <si>
    <t xml:space="preserve">TAGTCGGCGAACCAGTCGGACGCC</t>
  </si>
  <si>
    <t xml:space="preserve">AAACGGCGTCCGACTGGTTCGCCG</t>
  </si>
  <si>
    <t xml:space="preserve">CAGCTGCTGGCCCAAGGGGC</t>
  </si>
  <si>
    <t xml:space="preserve">TAGTCAGCTGCTGGCCCAAGGGGC</t>
  </si>
  <si>
    <t xml:space="preserve">AAACGCCCCTTGGGCCAGCAGCTG</t>
  </si>
  <si>
    <t xml:space="preserve">PST_2254</t>
  </si>
  <si>
    <t xml:space="preserve">gloB</t>
  </si>
  <si>
    <t xml:space="preserve">AGCGGGCTCTGGCAGTCCCA</t>
  </si>
  <si>
    <t xml:space="preserve">TAGTAGCGGGCTCTGGCAGTCCCA</t>
  </si>
  <si>
    <t xml:space="preserve">AAACTGGGACTGCCAGAGCCCGCT</t>
  </si>
  <si>
    <t xml:space="preserve">CTGCAACCCGCGCCGGAAAC</t>
  </si>
  <si>
    <t xml:space="preserve">TAGTCTGCAACCCGCGCCGGAAAC</t>
  </si>
  <si>
    <t xml:space="preserve">AAACGTTTCCGGCGCGGGTTGCAG</t>
  </si>
  <si>
    <t xml:space="preserve">TCCTAGGGGCTGTTCCCGCC</t>
  </si>
  <si>
    <t xml:space="preserve">TAGTTCCTAGGGGCTGTTCCCGCC</t>
  </si>
  <si>
    <t xml:space="preserve">AAACGGCGGGAACAGCCCCTAGGA</t>
  </si>
  <si>
    <t xml:space="preserve">GGTCGCCAAGCGGATCACAA</t>
  </si>
  <si>
    <t xml:space="preserve">TAGTGGTCGCCAAGCGGATCACAA</t>
  </si>
  <si>
    <t xml:space="preserve">AAACTTGTGATCCGCTTGGCGACC</t>
  </si>
  <si>
    <t xml:space="preserve">PST_2255</t>
  </si>
  <si>
    <t xml:space="preserve">mltD</t>
  </si>
  <si>
    <t xml:space="preserve">TTCTTGGGAGCTGGCGGCAT</t>
  </si>
  <si>
    <t xml:space="preserve">TAGTTTCTTGGGAGCTGGCGGCAT</t>
  </si>
  <si>
    <t xml:space="preserve">AAACATGCCGCCAGCTCCCAAGAA</t>
  </si>
  <si>
    <t xml:space="preserve">CTGCCAAGGCGTCCGTTTCG</t>
  </si>
  <si>
    <t xml:space="preserve">TAGTCTGCCAAGGCGTCCGTTTCG</t>
  </si>
  <si>
    <t xml:space="preserve">AAACCGAAACGGACGCCTTGGCAG</t>
  </si>
  <si>
    <t xml:space="preserve">GAGGGCCAACGCACGACCAG</t>
  </si>
  <si>
    <t xml:space="preserve">TAGTGAGGGCCAACGCACGACCAG</t>
  </si>
  <si>
    <t xml:space="preserve">AAACCTGGTCGTGCGTTGGCCCTC</t>
  </si>
  <si>
    <t xml:space="preserve">GCCGGCTAGGGCTACGCAAA</t>
  </si>
  <si>
    <t xml:space="preserve">TAGTGCCGGCTAGGGCTACGCAAA</t>
  </si>
  <si>
    <t xml:space="preserve">AAACTTTGCGTAGCCCTAGCCGGC</t>
  </si>
  <si>
    <t xml:space="preserve">PST_2257</t>
  </si>
  <si>
    <t xml:space="preserve">AGCCCGTAAGCGCCAAGGAT</t>
  </si>
  <si>
    <t xml:space="preserve">TAGTAGCCCGTAAGCGCCAAGGAT</t>
  </si>
  <si>
    <t xml:space="preserve">AAACATCCTTGGCGCTTACGGGCT</t>
  </si>
  <si>
    <t xml:space="preserve">CATACAAGCTGTTACTGTAC</t>
  </si>
  <si>
    <t xml:space="preserve">TAGTCATACAAGCTGTTACTGTAC</t>
  </si>
  <si>
    <t xml:space="preserve">AAACGTACAGTAACAGCTTGTATG</t>
  </si>
  <si>
    <t xml:space="preserve">GGCAGTTTGCCCGAGGTGAC</t>
  </si>
  <si>
    <t xml:space="preserve">TAGTGGCAGTTTGCCCGAGGTGAC</t>
  </si>
  <si>
    <t xml:space="preserve">AAACGTCACCTCGGGCAAACTGCC</t>
  </si>
  <si>
    <t xml:space="preserve">ATGCCATTACGGGAAATGGA</t>
  </si>
  <si>
    <t xml:space="preserve">TAGTATGCCATTACGGGAAATGGA</t>
  </si>
  <si>
    <t xml:space="preserve">AAACTCCATTTCCCGTAATGGCAT</t>
  </si>
  <si>
    <t xml:space="preserve">PST_2256</t>
  </si>
  <si>
    <t xml:space="preserve">ATAACCATGGCTTTCGCTGA</t>
  </si>
  <si>
    <t xml:space="preserve">TAGTATAACCATGGCTTTCGCTGA</t>
  </si>
  <si>
    <t xml:space="preserve">AAACTCAGCGAAAGCCATGGTTAT</t>
  </si>
  <si>
    <t xml:space="preserve">CGAAATGGGTAAAGGAGGCT</t>
  </si>
  <si>
    <t xml:space="preserve">TAGTCGAAATGGGTAAAGGAGGCT</t>
  </si>
  <si>
    <t xml:space="preserve">AAACAGCCTCCTTTACCCATTTCG</t>
  </si>
  <si>
    <t xml:space="preserve">GGCCGCCCTTGGGCGCGCGC</t>
  </si>
  <si>
    <t xml:space="preserve">TAGTGGCCGCCCTTGGGCGCGCGC</t>
  </si>
  <si>
    <t xml:space="preserve">AAACGCGCGCGCCCAAGGGCGGCC</t>
  </si>
  <si>
    <t xml:space="preserve">CTGACGCCATCAGCTTGATC</t>
  </si>
  <si>
    <t xml:space="preserve">TAGTCTGACGCCATCAGCTTGATC</t>
  </si>
  <si>
    <t xml:space="preserve">AAACGATCAAGCTGATGGCGTCAG</t>
  </si>
  <si>
    <t xml:space="preserve">PST_2258</t>
  </si>
  <si>
    <t xml:space="preserve">GGCCGGCGCGAAACAGCGAA</t>
  </si>
  <si>
    <t xml:space="preserve">TAGTGGCCGGCGCGAAACAGCGAA</t>
  </si>
  <si>
    <t xml:space="preserve">AAACTTCGCTGTTTCGCGCCGGCC</t>
  </si>
  <si>
    <t xml:space="preserve">CCATGCAGAGCAGACTCAGC</t>
  </si>
  <si>
    <t xml:space="preserve">TAGTCCATGCAGAGCAGACTCAGC</t>
  </si>
  <si>
    <t xml:space="preserve">AAACGCTGAGTCTGCTCTGCATGG</t>
  </si>
  <si>
    <t xml:space="preserve">GGCATGGCGGGGGGCGGCCT</t>
  </si>
  <si>
    <t xml:space="preserve">TAGTGGCATGGCGGGGGGCGGCCT</t>
  </si>
  <si>
    <t xml:space="preserve">AAACAGGCCGCCCCCCGCCATGCC</t>
  </si>
  <si>
    <t xml:space="preserve">CTTCTCGTCATACAGCGTCA</t>
  </si>
  <si>
    <t xml:space="preserve">TAGTCTTCTCGTCATACAGCGTCA</t>
  </si>
  <si>
    <t xml:space="preserve">AAACTGACGCTGTATGACGAGAAG</t>
  </si>
  <si>
    <t xml:space="preserve">PST_2259</t>
  </si>
  <si>
    <t xml:space="preserve">CAGCAGTCGGCGAATGATAT</t>
  </si>
  <si>
    <t xml:space="preserve">TAGTCAGCAGTCGGCGAATGATAT</t>
  </si>
  <si>
    <t xml:space="preserve">AAACATATCATTCGCCGACTGCTG</t>
  </si>
  <si>
    <t xml:space="preserve">AGCAGAATGCCGAACAGCGT</t>
  </si>
  <si>
    <t xml:space="preserve">TAGTAGCAGAATGCCGAACAGCGT</t>
  </si>
  <si>
    <t xml:space="preserve">AAACACGCTGTTCGGCATTCTGCT</t>
  </si>
  <si>
    <t xml:space="preserve">GCCTGTTCGACCGGGCCGCC</t>
  </si>
  <si>
    <t xml:space="preserve">TAGTGCCTGTTCGACCGGGCCGCC</t>
  </si>
  <si>
    <t xml:space="preserve">AAACGGCGGCCCGGTCGAACAGGC</t>
  </si>
  <si>
    <t xml:space="preserve">GCCTTCGAAGCCTTCCAGTT</t>
  </si>
  <si>
    <t xml:space="preserve">TAGTGCCTTCGAAGCCTTCCAGTT</t>
  </si>
  <si>
    <t xml:space="preserve">AAACAACTGGAAGGCTTCGAAGGC</t>
  </si>
  <si>
    <t xml:space="preserve">PST_2260</t>
  </si>
  <si>
    <t xml:space="preserve">CAGCCTGCGCTGATTGAGGG</t>
  </si>
  <si>
    <t xml:space="preserve">TAGTCAGCCTGCGCTGATTGAGGG</t>
  </si>
  <si>
    <t xml:space="preserve">AAACCCCTCAATCAGCGCAGGCTG</t>
  </si>
  <si>
    <t xml:space="preserve">CACCACGATCGGCTTGTCGT</t>
  </si>
  <si>
    <t xml:space="preserve">TAGTCACCACGATCGGCTTGTCGT</t>
  </si>
  <si>
    <t xml:space="preserve">AAACACGACAAGCCGATCGTGGTG</t>
  </si>
  <si>
    <t xml:space="preserve">CCGGGTAGCGCTTGAACACC</t>
  </si>
  <si>
    <t xml:space="preserve">TAGTCCGGGTAGCGCTTGAACACC</t>
  </si>
  <si>
    <t xml:space="preserve">AAACGGTGTTCAAGCGCTACCCGG</t>
  </si>
  <si>
    <t xml:space="preserve">TCTTGTAATTGGCCTGCAGC</t>
  </si>
  <si>
    <t xml:space="preserve">TAGTTCTTGTAATTGGCCTGCAGC</t>
  </si>
  <si>
    <t xml:space="preserve">AAACGCTGCAGGCCAATTACAAGA</t>
  </si>
  <si>
    <t xml:space="preserve">PST_2261</t>
  </si>
  <si>
    <t xml:space="preserve">GTTCTCGCCAATCGAAACTT</t>
  </si>
  <si>
    <t xml:space="preserve">TAGTGTTCTCGCCAATCGAAACTT</t>
  </si>
  <si>
    <t xml:space="preserve">AAACAAGTTTCGATTGGCGAGAAC</t>
  </si>
  <si>
    <t xml:space="preserve">CAAGGTCGCGGACCTCGACC</t>
  </si>
  <si>
    <t xml:space="preserve">TAGTCAAGGTCGCGGACCTCGACC</t>
  </si>
  <si>
    <t xml:space="preserve">AAACGGTCGAGGTCCGCGACCTTG</t>
  </si>
  <si>
    <t xml:space="preserve">CACGCGCTGGACCTGATCGC</t>
  </si>
  <si>
    <t xml:space="preserve">TAGTCACGCGCTGGACCTGATCGC</t>
  </si>
  <si>
    <t xml:space="preserve">AAACGCGATCAGGTCCAGCGCGTG</t>
  </si>
  <si>
    <t xml:space="preserve">GCGCCAGGGTTTCGCCCTTG</t>
  </si>
  <si>
    <t xml:space="preserve">TAGTGCGCCAGGGTTTCGCCCTTG</t>
  </si>
  <si>
    <t xml:space="preserve">AAACCAAGGGCGAAACCCTGGCGC</t>
  </si>
  <si>
    <t xml:space="preserve">PST_2262</t>
  </si>
  <si>
    <t xml:space="preserve">CGAGGCAATCGACAGTTTGC</t>
  </si>
  <si>
    <t xml:space="preserve">TAGTCGAGGCAATCGACAGTTTGC</t>
  </si>
  <si>
    <t xml:space="preserve">AAACGCAAACTGTCGATTGCCTCG</t>
  </si>
  <si>
    <t xml:space="preserve">ACCTTCGCGATGCATGGCGG</t>
  </si>
  <si>
    <t xml:space="preserve">TAGTACCTTCGCGATGCATGGCGG</t>
  </si>
  <si>
    <t xml:space="preserve">AAACCCGCCATGCATCGCGAAGGT</t>
  </si>
  <si>
    <t xml:space="preserve">CTTGAGCTTGTCGTTCTGGT</t>
  </si>
  <si>
    <t xml:space="preserve">TAGTCTTGAGCTTGTCGTTCTGGT</t>
  </si>
  <si>
    <t xml:space="preserve">AAACACCAGAACGACAAGCTCAAG</t>
  </si>
  <si>
    <t xml:space="preserve">CGGCGGCGAATTCCTCGACG</t>
  </si>
  <si>
    <t xml:space="preserve">TAGTCGGCGGCGAATTCCTCGACG</t>
  </si>
  <si>
    <t xml:space="preserve">AAACCGTCGAGGAATTCGCCGCCG</t>
  </si>
  <si>
    <t xml:space="preserve">PST_2263</t>
  </si>
  <si>
    <t xml:space="preserve">GATCGCCTTGCCGATACCAC</t>
  </si>
  <si>
    <t xml:space="preserve">TAGTGATCGCCTTGCCGATACCAC</t>
  </si>
  <si>
    <t xml:space="preserve">AAACGTGGTATCGGCAAGGCGATC</t>
  </si>
  <si>
    <t xml:space="preserve">GATGTCTTCGGCAATGACCT</t>
  </si>
  <si>
    <t xml:space="preserve">TAGTGATGTCTTCGGCAATGACCT</t>
  </si>
  <si>
    <t xml:space="preserve">AAACAGGTCATTGCCGAAGACATC</t>
  </si>
  <si>
    <t xml:space="preserve">GAGCGAGTTCCTCGACCGCC</t>
  </si>
  <si>
    <t xml:space="preserve">TAGTGAGCGAGTTCCTCGACCGCC</t>
  </si>
  <si>
    <t xml:space="preserve">AAACGGCGGTCGAGGAACTCGCTC</t>
  </si>
  <si>
    <t xml:space="preserve">GCCTGAAGCGGCACCAGCCC</t>
  </si>
  <si>
    <t xml:space="preserve">TAGTGCCTGAAGCGGCACCAGCCC</t>
  </si>
  <si>
    <t xml:space="preserve">AAACGGGCTGGTGCCGCTTCAGGC</t>
  </si>
  <si>
    <t xml:space="preserve">PST_2264</t>
  </si>
  <si>
    <t xml:space="preserve">AGCAAGCCAGCGAAAGTTCG</t>
  </si>
  <si>
    <t xml:space="preserve">TAGTAGCAAGCCAGCGAAAGTTCG</t>
  </si>
  <si>
    <t xml:space="preserve">AAACCGAACTTTCGCTGGCTTGCT</t>
  </si>
  <si>
    <t xml:space="preserve">GGTCCGCAGATGTCTGGATC</t>
  </si>
  <si>
    <t xml:space="preserve">TAGTGGTCCGCAGATGTCTGGATC</t>
  </si>
  <si>
    <t xml:space="preserve">AAACGATCCAGACATCTGCGGACC</t>
  </si>
  <si>
    <t xml:space="preserve">CCCACCATTGTGCGGTCCTG</t>
  </si>
  <si>
    <t xml:space="preserve">TAGTCCCACCATTGTGCGGTCCTG</t>
  </si>
  <si>
    <t xml:space="preserve">AAACCAGGACCGCACAATGGTGGG</t>
  </si>
  <si>
    <t xml:space="preserve">ACACGGAGCGAACCGCAGGG</t>
  </si>
  <si>
    <t xml:space="preserve">TAGTACACGGAGCGAACCGCAGGG</t>
  </si>
  <si>
    <t xml:space="preserve">AAACCCCTGCGGTTCGCTCCGTGT</t>
  </si>
  <si>
    <t xml:space="preserve">PST_2265</t>
  </si>
  <si>
    <t xml:space="preserve">GGGCTGGTAGGGGCCATCGA</t>
  </si>
  <si>
    <t xml:space="preserve">TAGTGGGCTGGTAGGGGCCATCGA</t>
  </si>
  <si>
    <t xml:space="preserve">AAACTCGATGGCCCCTACCAGCCC</t>
  </si>
  <si>
    <t xml:space="preserve">AGGAAAACCGTGCCCTCCCG</t>
  </si>
  <si>
    <t xml:space="preserve">TAGTAGGAAAACCGTGCCCTCCCG</t>
  </si>
  <si>
    <t xml:space="preserve">AAACCGGGAGGGCACGGTTTTCCT</t>
  </si>
  <si>
    <t xml:space="preserve">GCAATACGCCGCTGCAGGCC</t>
  </si>
  <si>
    <t xml:space="preserve">TAGTGCAATACGCCGCTGCAGGCC</t>
  </si>
  <si>
    <t xml:space="preserve">AAACGGCCTGCAGCGGCGTATTGC</t>
  </si>
  <si>
    <t xml:space="preserve">TACCGATTTTCCTCCTCCCT</t>
  </si>
  <si>
    <t xml:space="preserve">TAGTTACCGATTTTCCTCCTCCCT</t>
  </si>
  <si>
    <t xml:space="preserve">AAACAGGGAGGAGGAAAATCGGTA</t>
  </si>
  <si>
    <t xml:space="preserve">PST_2266</t>
  </si>
  <si>
    <t xml:space="preserve">GAGCAGGATCGGGTGAAACA</t>
  </si>
  <si>
    <t xml:space="preserve">TAGTGAGCAGGATCGGGTGAAACA</t>
  </si>
  <si>
    <t xml:space="preserve">AAACTGTTTCACCCGATCCTGCTC</t>
  </si>
  <si>
    <t xml:space="preserve">GGCGAGGGGCAGGAGGAGGA</t>
  </si>
  <si>
    <t xml:space="preserve">TAGTGGCGAGGGGCAGGAGGAGGA</t>
  </si>
  <si>
    <t xml:space="preserve">AAACTCCTCCTCCTGCCCCTCGCC</t>
  </si>
  <si>
    <t xml:space="preserve">CGGCTGGGCGGCATTGGCGC</t>
  </si>
  <si>
    <t xml:space="preserve">TAGTCGGCTGGGCGGCATTGGCGC</t>
  </si>
  <si>
    <t xml:space="preserve">AAACGCGCCAATGCCGCCCAGCCG</t>
  </si>
  <si>
    <t xml:space="preserve">TAATTGAGCCCCAGGCGGAT</t>
  </si>
  <si>
    <t xml:space="preserve">TAGTTAATTGAGCCCCAGGCGGAT</t>
  </si>
  <si>
    <t xml:space="preserve">AAACATCCGCCTGGGGCTCAATTA</t>
  </si>
  <si>
    <t xml:space="preserve">PST_2267</t>
  </si>
  <si>
    <t xml:space="preserve">ACGCGAAAATCAGAATGAAC</t>
  </si>
  <si>
    <t xml:space="preserve">TAGTACGCGAAAATCAGAATGAAC</t>
  </si>
  <si>
    <t xml:space="preserve">AAACGTTCATTCTGATTTTCGCGT</t>
  </si>
  <si>
    <t xml:space="preserve">CGAAGCTCGGCGTGCACGGA</t>
  </si>
  <si>
    <t xml:space="preserve">TAGTCGAAGCTCGGCGTGCACGGA</t>
  </si>
  <si>
    <t xml:space="preserve">AAACTCCGTGCACGCCGAGCTTCG</t>
  </si>
  <si>
    <t xml:space="preserve">ACGCCCTCAGCGAGCGGTTG</t>
  </si>
  <si>
    <t xml:space="preserve">TAGTACGCCCTCAGCGAGCGGTTG</t>
  </si>
  <si>
    <t xml:space="preserve">AAACCAACCGCTCGCTGAGGGCGT</t>
  </si>
  <si>
    <t xml:space="preserve">GCCATTGGCCTTGTCGAAGT</t>
  </si>
  <si>
    <t xml:space="preserve">TAGTGCCATTGGCCTTGTCGAAGT</t>
  </si>
  <si>
    <t xml:space="preserve">AAACACTTCGACAAGGCCAATGGC</t>
  </si>
  <si>
    <t xml:space="preserve">PST_2268</t>
  </si>
  <si>
    <t xml:space="preserve">CCGAGCCGGTCCTCCCAGCC</t>
  </si>
  <si>
    <t xml:space="preserve">TAGTCCGAGCCGGTCCTCCCAGCC</t>
  </si>
  <si>
    <t xml:space="preserve">AAACGGCTGGGAGGACCGGCTCGG</t>
  </si>
  <si>
    <t xml:space="preserve">GGGAGACCTGCAGGCGCAGG</t>
  </si>
  <si>
    <t xml:space="preserve">TAGTGGGAGACCTGCAGGCGCAGG</t>
  </si>
  <si>
    <t xml:space="preserve">AAACCCTGCGCCTGCAGGTCTCCC</t>
  </si>
  <si>
    <t xml:space="preserve">CAGTCCGTTATCCATGGGAT</t>
  </si>
  <si>
    <t xml:space="preserve">TAGTCAGTCCGTTATCCATGGGAT</t>
  </si>
  <si>
    <t xml:space="preserve">AAACATCCCATGGATAACGGACTG</t>
  </si>
  <si>
    <t xml:space="preserve">GCCTGGTTGAGGAAGAACTC</t>
  </si>
  <si>
    <t xml:space="preserve">TAGTGCCTGGTTGAGGAAGAACTC</t>
  </si>
  <si>
    <t xml:space="preserve">AAACGAGTTCTTCCTCAACCAGGC</t>
  </si>
  <si>
    <t xml:space="preserve">PST_2269</t>
  </si>
  <si>
    <t xml:space="preserve">ACAGCGTCAGCCACAGCGCG</t>
  </si>
  <si>
    <t xml:space="preserve">TAGTACAGCGTCAGCCACAGCGCG</t>
  </si>
  <si>
    <t xml:space="preserve">AAACCGCGCTGTGGCTGACGCTGT</t>
  </si>
  <si>
    <t xml:space="preserve">CGACTCGATGATGTCATCGA</t>
  </si>
  <si>
    <t xml:space="preserve">TAGTCGACTCGATGATGTCATCGA</t>
  </si>
  <si>
    <t xml:space="preserve">AAACTCGATGACATCATCGAGTCG</t>
  </si>
  <si>
    <t xml:space="preserve">CCTGCTGGTAGCTGTACGGG</t>
  </si>
  <si>
    <t xml:space="preserve">TAGTCCTGCTGGTAGCTGTACGGG</t>
  </si>
  <si>
    <t xml:space="preserve">AAACCCCGTACAGCTACCAGCAGG</t>
  </si>
  <si>
    <t xml:space="preserve">CGAAGTCGACGCCGCGCGGC</t>
  </si>
  <si>
    <t xml:space="preserve">TAGTCGAAGTCGACGCCGCGCGGC</t>
  </si>
  <si>
    <t xml:space="preserve">AAACGCCGCGCGGCGTCGACTTCG</t>
  </si>
  <si>
    <t xml:space="preserve">PST_2271</t>
  </si>
  <si>
    <t xml:space="preserve">exaB</t>
  </si>
  <si>
    <t xml:space="preserve">ATACCAGTCCGGAAACCCCG</t>
  </si>
  <si>
    <t xml:space="preserve">TAGTATACCAGTCCGGAAACCCCG</t>
  </si>
  <si>
    <t xml:space="preserve">AAACCGGGGTTTCCGGACTGGTAT</t>
  </si>
  <si>
    <t xml:space="preserve">CTGTGGCGTCACGTCGCCAT</t>
  </si>
  <si>
    <t xml:space="preserve">TAGTCTGTGGCGTCACGTCGCCAT</t>
  </si>
  <si>
    <t xml:space="preserve">AAACATGGCGACGTGACGCCACAG</t>
  </si>
  <si>
    <t xml:space="preserve">ACCCAGCGCCGGCAGGCCTT</t>
  </si>
  <si>
    <t xml:space="preserve">TAGTACCCAGCGCCGGCAGGCCTT</t>
  </si>
  <si>
    <t xml:space="preserve">AAACAAGGCCTGCCGGCGCTGGGT</t>
  </si>
  <si>
    <t xml:space="preserve">GCTCGCTCGGCGCGCGATAG</t>
  </si>
  <si>
    <t xml:space="preserve">TAGTGCTCGCTCGGCGCGCGATAG</t>
  </si>
  <si>
    <t xml:space="preserve">AAACCTATCGCGCGCCGAGCGAGC</t>
  </si>
  <si>
    <t xml:space="preserve">PST_2270</t>
  </si>
  <si>
    <t xml:space="preserve">ACAGGTTCTCGAATAGAGGG</t>
  </si>
  <si>
    <t xml:space="preserve">TAGTACAGGTTCTCGAATAGAGGG</t>
  </si>
  <si>
    <t xml:space="preserve">AAACCCCTCTATTCGAGAACCTGT</t>
  </si>
  <si>
    <t xml:space="preserve">ACCACCATGCGCTCCGATTG</t>
  </si>
  <si>
    <t xml:space="preserve">TAGTACCACCATGCGCTCCGATTG</t>
  </si>
  <si>
    <t xml:space="preserve">AAACCAATCGGAGCGCATGGTGGT</t>
  </si>
  <si>
    <t xml:space="preserve">ATTCTGCCGATCCGTCCGCG</t>
  </si>
  <si>
    <t xml:space="preserve">TAGTATTCTGCCGATCCGTCCGCG</t>
  </si>
  <si>
    <t xml:space="preserve">AAACCGCGGACGGATCGGCAGAAT</t>
  </si>
  <si>
    <t xml:space="preserve">GAGATGCAGGCATCCAAAGC</t>
  </si>
  <si>
    <t xml:space="preserve">TAGTGAGATGCAGGCATCCAAAGC</t>
  </si>
  <si>
    <t xml:space="preserve">AAACGCTTTGGATGCCTGCATCTC</t>
  </si>
  <si>
    <t xml:space="preserve">PST_2272</t>
  </si>
  <si>
    <t xml:space="preserve">AAACGGCAAGGGGTGTTCAT</t>
  </si>
  <si>
    <t xml:space="preserve">TAGTAAACGGCAAGGGGTGTTCAT</t>
  </si>
  <si>
    <t xml:space="preserve">AAACATGAACACCCCTTGCCGTTT</t>
  </si>
  <si>
    <t xml:space="preserve">GTCATCCGCGGCGAAGACCG</t>
  </si>
  <si>
    <t xml:space="preserve">TAGTGTCATCCGCGGCGAAGACCG</t>
  </si>
  <si>
    <t xml:space="preserve">AAACCGGTCTTCGCCGCGGATGAC</t>
  </si>
  <si>
    <t xml:space="preserve">CGCAGCCGTTGACGGTCAAG</t>
  </si>
  <si>
    <t xml:space="preserve">TAGTCGCAGCCGTTGACGGTCAAG</t>
  </si>
  <si>
    <t xml:space="preserve">AAACCTTGACCGTCAACGGCTGCG</t>
  </si>
  <si>
    <t xml:space="preserve">GCGTTGGCGCATTGGCTGTC</t>
  </si>
  <si>
    <t xml:space="preserve">TAGTGCGTTGGCGCATTGGCTGTC</t>
  </si>
  <si>
    <t xml:space="preserve">AAACGACAGCCAATGCGCCAACGC</t>
  </si>
  <si>
    <t xml:space="preserve">PST_2273</t>
  </si>
  <si>
    <t xml:space="preserve">ACTCAGCCAGTTCCCGTTTT</t>
  </si>
  <si>
    <t xml:space="preserve">TAGTACTCAGCCAGTTCCCGTTTT</t>
  </si>
  <si>
    <t xml:space="preserve">AAACAAAACGGGAACTGGCTGAGT</t>
  </si>
  <si>
    <t xml:space="preserve">ACAACGAGTTCTTGATCTGC</t>
  </si>
  <si>
    <t xml:space="preserve">TAGTACAACGAGTTCTTGATCTGC</t>
  </si>
  <si>
    <t xml:space="preserve">AAACGCAGATCAAGAACTCGTTGT</t>
  </si>
  <si>
    <t xml:space="preserve">GTCCTTGCGGGTCCAATTCG</t>
  </si>
  <si>
    <t xml:space="preserve">TAGTGTCCTTGCGGGTCCAATTCG</t>
  </si>
  <si>
    <t xml:space="preserve">AAACCGAATTGGACCCGCAAGGAC</t>
  </si>
  <si>
    <t xml:space="preserve">TGAACAGCTCGTTGGCGTGC</t>
  </si>
  <si>
    <t xml:space="preserve">TAGTTGAACAGCTCGTTGGCGTGC</t>
  </si>
  <si>
    <t xml:space="preserve">AAACGCACGCCAACGAGCTGTTCA</t>
  </si>
  <si>
    <t xml:space="preserve">PST_2274</t>
  </si>
  <si>
    <t xml:space="preserve">TCAAGCGCTGATCCTCCGCC</t>
  </si>
  <si>
    <t xml:space="preserve">TAGTTCAAGCGCTGATCCTCCGCC</t>
  </si>
  <si>
    <t xml:space="preserve">AAACGGCGGAGGATCAGCGCTTGA</t>
  </si>
  <si>
    <t xml:space="preserve">CGATGTGGATGATGGGCCTC</t>
  </si>
  <si>
    <t xml:space="preserve">TAGTCGATGTGGATGATGGGCCTC</t>
  </si>
  <si>
    <t xml:space="preserve">AAACGAGGCCCATCATCCACATCG</t>
  </si>
  <si>
    <t xml:space="preserve">TTCGGCAATCCGTGGAAGGC</t>
  </si>
  <si>
    <t xml:space="preserve">TAGTTTCGGCAATCCGTGGAAGGC</t>
  </si>
  <si>
    <t xml:space="preserve">AAACGCCTTCCACGGATTGCCGAA</t>
  </si>
  <si>
    <t xml:space="preserve">GGCGCTCGCAGGCATGACGA</t>
  </si>
  <si>
    <t xml:space="preserve">TAGTGGCGCTCGCAGGCATGACGA</t>
  </si>
  <si>
    <t xml:space="preserve">AAACTCGTCATGCCTGCGAGCGCC</t>
  </si>
  <si>
    <t xml:space="preserve">PST_2275</t>
  </si>
  <si>
    <t xml:space="preserve">TGCGCTCTGTGCGCGCTGCG</t>
  </si>
  <si>
    <t xml:space="preserve">TAGTTGCGCTCTGTGCGCGCTGCG</t>
  </si>
  <si>
    <t xml:space="preserve">AAACCGCAGCGCGCACAGAGCGCA</t>
  </si>
  <si>
    <t xml:space="preserve">CGGGTCCATCGTGGTATCGG</t>
  </si>
  <si>
    <t xml:space="preserve">TAGTCGGGTCCATCGTGGTATCGG</t>
  </si>
  <si>
    <t xml:space="preserve">AAACCCGATACCACGATGGACCCG</t>
  </si>
  <si>
    <t xml:space="preserve">CGTTGCCAGCGAATCACCAG</t>
  </si>
  <si>
    <t xml:space="preserve">TAGTCGTTGCCAGCGAATCACCAG</t>
  </si>
  <si>
    <t xml:space="preserve">AAACCTGGTGATTCGCTGGCAACG</t>
  </si>
  <si>
    <t xml:space="preserve">TCTGGCCGCTGTCATTGACC</t>
  </si>
  <si>
    <t xml:space="preserve">TAGTTCTGGCCGCTGTCATTGACC</t>
  </si>
  <si>
    <t xml:space="preserve">AAACGGTCAATGACAGCGGCCAGA</t>
  </si>
  <si>
    <t xml:space="preserve">PST_2276</t>
  </si>
  <si>
    <t xml:space="preserve">GCTGCGGCAGAGATACGACA</t>
  </si>
  <si>
    <t xml:space="preserve">TAGTGCTGCGGCAGAGATACGACA</t>
  </si>
  <si>
    <t xml:space="preserve">AAACTGTCGTATCTCTGCCGCAGC</t>
  </si>
  <si>
    <t xml:space="preserve">GGGACAGCAACGTGCGCCGG</t>
  </si>
  <si>
    <t xml:space="preserve">TAGTGGGACAGCAACGTGCGCCGG</t>
  </si>
  <si>
    <t xml:space="preserve">AAACCCGGCGCACGTTGCTGTCCC</t>
  </si>
  <si>
    <t xml:space="preserve">CAGGACGCTGGCGATGGCAA</t>
  </si>
  <si>
    <t xml:space="preserve">TAGTCAGGACGCTGGCGATGGCAA</t>
  </si>
  <si>
    <t xml:space="preserve">AAACTTGCCATCGCCAGCGTCCTG</t>
  </si>
  <si>
    <t xml:space="preserve">ACCAAGATCGAACGCTTCGT</t>
  </si>
  <si>
    <t xml:space="preserve">TAGTACCAAGATCGAACGCTTCGT</t>
  </si>
  <si>
    <t xml:space="preserve">AAACACGAAGCGTTCGATCTTGGT</t>
  </si>
  <si>
    <t xml:space="preserve">PST_2277</t>
  </si>
  <si>
    <t xml:space="preserve">AGCCCTGACGCACCACCGCA</t>
  </si>
  <si>
    <t xml:space="preserve">TAGTAGCCCTGACGCACCACCGCA</t>
  </si>
  <si>
    <t xml:space="preserve">AAACTGCGGTGGTGCGTCAGGGCT</t>
  </si>
  <si>
    <t xml:space="preserve">GACACTCACCTCGGGCAACA</t>
  </si>
  <si>
    <t xml:space="preserve">TAGTGACACTCACCTCGGGCAACA</t>
  </si>
  <si>
    <t xml:space="preserve">AAACTGTTGCCCGAGGTGAGTGTC</t>
  </si>
  <si>
    <t xml:space="preserve">CAGCGCCTGCTCGCCGCTTT</t>
  </si>
  <si>
    <t xml:space="preserve">TAGTCAGCGCCTGCTCGCCGCTTT</t>
  </si>
  <si>
    <t xml:space="preserve">AAACAAAGCGGCGAGCAGGCGCTG</t>
  </si>
  <si>
    <t xml:space="preserve">AGATCGAGCACGACCAGATT</t>
  </si>
  <si>
    <t xml:space="preserve">TAGTAGATCGAGCACGACCAGATT</t>
  </si>
  <si>
    <t xml:space="preserve">AAACAATCTGGTCGTGCTCGATCT</t>
  </si>
  <si>
    <t xml:space="preserve">PST_2278</t>
  </si>
  <si>
    <t xml:space="preserve">CAGGTTCAGTCGCCAGAGCG</t>
  </si>
  <si>
    <t xml:space="preserve">TAGTCAGGTTCAGTCGCCAGAGCG</t>
  </si>
  <si>
    <t xml:space="preserve">AAACCGCTCTGGCGACTGAACCTG</t>
  </si>
  <si>
    <t xml:space="preserve">CAGGCAGACCATCGCCACGA</t>
  </si>
  <si>
    <t xml:space="preserve">TAGTCAGGCAGACCATCGCCACGA</t>
  </si>
  <si>
    <t xml:space="preserve">AAACTCGTGGCGATGGTCTGCCTG</t>
  </si>
  <si>
    <t xml:space="preserve">GCTGCACGTCGTGGCTCGCC</t>
  </si>
  <si>
    <t xml:space="preserve">TAGTGCTGCACGTCGTGGCTCGCC</t>
  </si>
  <si>
    <t xml:space="preserve">AAACGGCGAGCCACGACGTGCAGC</t>
  </si>
  <si>
    <t xml:space="preserve">GTAGGCAACCACGGCCGCCG</t>
  </si>
  <si>
    <t xml:space="preserve">TAGTGTAGGCAACCACGGCCGCCG</t>
  </si>
  <si>
    <t xml:space="preserve">AAACCGGCGGCCGTGGTTGCCTAC</t>
  </si>
  <si>
    <t xml:space="preserve">PST_2279</t>
  </si>
  <si>
    <t xml:space="preserve">CAGCCACAGGTCTCGCGGGC</t>
  </si>
  <si>
    <t xml:space="preserve">TAGTCAGCCACAGGTCTCGCGGGC</t>
  </si>
  <si>
    <t xml:space="preserve">AAACGCCCGCGAGACCTGTGGCTG</t>
  </si>
  <si>
    <t xml:space="preserve">GGCCATTCGATTCAGCGCAA</t>
  </si>
  <si>
    <t xml:space="preserve">TAGTGGCCATTCGATTCAGCGCAA</t>
  </si>
  <si>
    <t xml:space="preserve">AAACTTGCGCTGAATCGAATGGCC</t>
  </si>
  <si>
    <t xml:space="preserve">GCATTGGAATCTGGGCCAGC</t>
  </si>
  <si>
    <t xml:space="preserve">TAGTGCATTGGAATCTGGGCCAGC</t>
  </si>
  <si>
    <t xml:space="preserve">AAACGCTGGCCCAGATTCCAATGC</t>
  </si>
  <si>
    <t xml:space="preserve">AGAGGTCGCCACGTGGAGCC</t>
  </si>
  <si>
    <t xml:space="preserve">TAGTAGAGGTCGCCACGTGGAGCC</t>
  </si>
  <si>
    <t xml:space="preserve">AAACGGCTCCACGTGGCGACCTCT</t>
  </si>
  <si>
    <t xml:space="preserve">PST_2280</t>
  </si>
  <si>
    <t xml:space="preserve">CGCTGCTGGATGGATTTGAG</t>
  </si>
  <si>
    <t xml:space="preserve">TAGTCGCTGCTGGATGGATTTGAG</t>
  </si>
  <si>
    <t xml:space="preserve">AAACCTCAAATCCATCCAGCAGCG</t>
  </si>
  <si>
    <t xml:space="preserve">AGATTCCCGCGGATATCAGC</t>
  </si>
  <si>
    <t xml:space="preserve">TAGTAGATTCCCGCGGATATCAGC</t>
  </si>
  <si>
    <t xml:space="preserve">AAACGCTGATATCCGCGGGAATCT</t>
  </si>
  <si>
    <t xml:space="preserve">CACCAGATGCTGGGTGGAAC</t>
  </si>
  <si>
    <t xml:space="preserve">TAGTCACCAGATGCTGGGTGGAAC</t>
  </si>
  <si>
    <t xml:space="preserve">AAACGTTCCACCCAGCATCTGGTG</t>
  </si>
  <si>
    <t xml:space="preserve">CTGTGCCTGCTGGCTGACAC</t>
  </si>
  <si>
    <t xml:space="preserve">TAGTCTGTGCCTGCTGGCTGACAC</t>
  </si>
  <si>
    <t xml:space="preserve">AAACGTGTCAGCCAGCAGGCACAG</t>
  </si>
  <si>
    <t xml:space="preserve">PST_2281</t>
  </si>
  <si>
    <t xml:space="preserve">CGTCGTAATACGTGGCGCAT</t>
  </si>
  <si>
    <t xml:space="preserve">TAGTCGTCGTAATACGTGGCGCAT</t>
  </si>
  <si>
    <t xml:space="preserve">AAACATGCGCCACGTATTACGACG</t>
  </si>
  <si>
    <t xml:space="preserve">GGCGAGGGCGGCCAGCAAAC</t>
  </si>
  <si>
    <t xml:space="preserve">TAGTGGCGAGGGCGGCCAGCAAAC</t>
  </si>
  <si>
    <t xml:space="preserve">AAACGTTTGCTGGCCGCCCTCGCC</t>
  </si>
  <si>
    <t xml:space="preserve">CAGAGCGAAGGGCGCGCAGC</t>
  </si>
  <si>
    <t xml:space="preserve">TAGTCAGAGCGAAGGGCGCGCAGC</t>
  </si>
  <si>
    <t xml:space="preserve">AAACGCTGCGCGCCCTTCGCTCTG</t>
  </si>
  <si>
    <t xml:space="preserve">ACGCACCTCAAGCTCGGCCC</t>
  </si>
  <si>
    <t xml:space="preserve">TAGTACGCACCTCAAGCTCGGCCC</t>
  </si>
  <si>
    <t xml:space="preserve">AAACGGGCCGAGCTTGAGGTGCGT</t>
  </si>
  <si>
    <t xml:space="preserve">PST_2282</t>
  </si>
  <si>
    <t xml:space="preserve">AAGCCAGCATGAGAAGTGCA</t>
  </si>
  <si>
    <t xml:space="preserve">TAGTAAGCCAGCATGAGAAGTGCA</t>
  </si>
  <si>
    <t xml:space="preserve">AAACTGCACTTCTCATGCTGGCTT</t>
  </si>
  <si>
    <t xml:space="preserve">GGTCTCGGCGCTTGCCAGGC</t>
  </si>
  <si>
    <t xml:space="preserve">TAGTGGTCTCGGCGCTTGCCAGGC</t>
  </si>
  <si>
    <t xml:space="preserve">AAACGCCTGGCAAGCGCCGAGACC</t>
  </si>
  <si>
    <t xml:space="preserve">GGACTCGTAGCTCAGATCGC</t>
  </si>
  <si>
    <t xml:space="preserve">TAGTGGACTCGTAGCTCAGATCGC</t>
  </si>
  <si>
    <t xml:space="preserve">AAACGCGATCTGAGCTACGAGTCC</t>
  </si>
  <si>
    <t xml:space="preserve">GCGCTTGTCACTGTCGATGT</t>
  </si>
  <si>
    <t xml:space="preserve">TAGTGCGCTTGTCACTGTCGATGT</t>
  </si>
  <si>
    <t xml:space="preserve">AAACACATCGACAGTGACAAGCGC</t>
  </si>
  <si>
    <t xml:space="preserve">PST_2283</t>
  </si>
  <si>
    <t xml:space="preserve">GCAGAGGCAAGGGCAGTTCT</t>
  </si>
  <si>
    <t xml:space="preserve">TAGTGCAGAGGCAAGGGCAGTTCT</t>
  </si>
  <si>
    <t xml:space="preserve">AAACAGAACTGCCCTTGCCTCTGC</t>
  </si>
  <si>
    <t xml:space="preserve">GGAGCCGCTGGCGAAGACCA</t>
  </si>
  <si>
    <t xml:space="preserve">TAGTGGAGCCGCTGGCGAAGACCA</t>
  </si>
  <si>
    <t xml:space="preserve">AAACTGGTCTTCGCCAGCGGCTCC</t>
  </si>
  <si>
    <t xml:space="preserve">ATAGGCGGTAGCCGCGGCCG</t>
  </si>
  <si>
    <t xml:space="preserve">TAGTATAGGCGGTAGCCGCGGCCG</t>
  </si>
  <si>
    <t xml:space="preserve">AAACCGGCCGCGGCTACCGCCTAT</t>
  </si>
  <si>
    <t xml:space="preserve">GATGCTGTCGTCCTTCTCGT</t>
  </si>
  <si>
    <t xml:space="preserve">TAGTGATGCTGTCGTCCTTCTCGT</t>
  </si>
  <si>
    <t xml:space="preserve">AAACACGAGAAGGACGACAGCATC</t>
  </si>
  <si>
    <t xml:space="preserve">PST_2284</t>
  </si>
  <si>
    <t xml:space="preserve">ACGTCGCGCGCCATAGGCGA</t>
  </si>
  <si>
    <t xml:space="preserve">TAGTACGTCGCGCGCCATAGGCGA</t>
  </si>
  <si>
    <t xml:space="preserve">AAACTCGCCTATGGCGCGCGACGT</t>
  </si>
  <si>
    <t xml:space="preserve">GGTGAATCTCCCTTTGGCGG</t>
  </si>
  <si>
    <t xml:space="preserve">TAGTGGTGAATCTCCCTTTGGCGG</t>
  </si>
  <si>
    <t xml:space="preserve">AAACCCGCCAAAGGGAGATTCACC</t>
  </si>
  <si>
    <t xml:space="preserve">GCCGTTCGGCCCCAGCAGTG</t>
  </si>
  <si>
    <t xml:space="preserve">TAGTGCCGTTCGGCCCCAGCAGTG</t>
  </si>
  <si>
    <t xml:space="preserve">AAACCACTGCTGGGGCCGAACGGC</t>
  </si>
  <si>
    <t xml:space="preserve">GTCGTACAGGCGCGTGAGCA</t>
  </si>
  <si>
    <t xml:space="preserve">TAGTGTCGTACAGGCGCGTGAGCA</t>
  </si>
  <si>
    <t xml:space="preserve">AAACTGCTCACGCGCCTGTACGAC</t>
  </si>
  <si>
    <t xml:space="preserve">PST_2285</t>
  </si>
  <si>
    <t xml:space="preserve">GCCGCGCAGGCATTCCCAAT</t>
  </si>
  <si>
    <t xml:space="preserve">TAGTGCCGCGCAGGCATTCCCAAT</t>
  </si>
  <si>
    <t xml:space="preserve">AAACATTGGGAATGCCTGCGCGGC</t>
  </si>
  <si>
    <t xml:space="preserve">CGAAACGCAGCAACTCACGC</t>
  </si>
  <si>
    <t xml:space="preserve">TAGTCGAAACGCAGCAACTCACGC</t>
  </si>
  <si>
    <t xml:space="preserve">AAACGCGTGAGTTGCTGCGTTTCG</t>
  </si>
  <si>
    <t xml:space="preserve">TGAGAAAGCGCGAGCGCTGC</t>
  </si>
  <si>
    <t xml:space="preserve">TAGTTGAGAAAGCGCGAGCGCTGC</t>
  </si>
  <si>
    <t xml:space="preserve">AAACGCAGCGCTCGCGCTTTCTCA</t>
  </si>
  <si>
    <t xml:space="preserve">ACACCACCAGCCAGAGTAGC</t>
  </si>
  <si>
    <t xml:space="preserve">TAGTACACCACCAGCCAGAGTAGC</t>
  </si>
  <si>
    <t xml:space="preserve">AAACGCTACTCTGGCTGGTGGTGT</t>
  </si>
  <si>
    <t xml:space="preserve">PST_2286</t>
  </si>
  <si>
    <t xml:space="preserve">GGCAGCGCGGCGATCAGCAA</t>
  </si>
  <si>
    <t xml:space="preserve">TAGTGGCAGCGCGGCGATCAGCAA</t>
  </si>
  <si>
    <t xml:space="preserve">AAACTTGCTGATCGCCGCGCTGCC</t>
  </si>
  <si>
    <t xml:space="preserve">GTCACGGACATGCCGAAACC</t>
  </si>
  <si>
    <t xml:space="preserve">TAGTGTCACGGACATGCCGAAACC</t>
  </si>
  <si>
    <t xml:space="preserve">AAACGGTTTCGGCATGTCCGTGAC</t>
  </si>
  <si>
    <t xml:space="preserve">GGCGAGCTGCTCTTCGGCCA</t>
  </si>
  <si>
    <t xml:space="preserve">TAGTGGCGAGCTGCTCTTCGGCCA</t>
  </si>
  <si>
    <t xml:space="preserve">AAACTGGCCGAAGAGCAGCTCGCC</t>
  </si>
  <si>
    <t xml:space="preserve">GTAACCCTCGGCAGAGAACA</t>
  </si>
  <si>
    <t xml:space="preserve">TAGTGTAACCCTCGGCAGAGAACA</t>
  </si>
  <si>
    <t xml:space="preserve">AAACTGTTCTCTGCCGAGGGTTAC</t>
  </si>
  <si>
    <t xml:space="preserve">PST_2287</t>
  </si>
  <si>
    <t xml:space="preserve">agmR</t>
  </si>
  <si>
    <t xml:space="preserve">CGCAATCAGGATCTTGTACA</t>
  </si>
  <si>
    <t xml:space="preserve">TAGTCGCAATCAGGATCTTGTACA</t>
  </si>
  <si>
    <t xml:space="preserve">AAACTGTACAAGATCCTGATTGCG</t>
  </si>
  <si>
    <t xml:space="preserve">TGGCTTCACGGAACAGCGGG</t>
  </si>
  <si>
    <t xml:space="preserve">TAGTTGGCTTCACGGAACAGCGGG</t>
  </si>
  <si>
    <t xml:space="preserve">AAACCCCGCTGTTCCGTGAAGCCA</t>
  </si>
  <si>
    <t xml:space="preserve">GTCGCGGATGACGTTATGGA</t>
  </si>
  <si>
    <t xml:space="preserve">TAGTGTCGCGGATGACGTTATGGA</t>
  </si>
  <si>
    <t xml:space="preserve">AAACTCCATAACGTCATCCGCGAC</t>
  </si>
  <si>
    <t xml:space="preserve">GTCTCGAGGATTTCGCGGTC</t>
  </si>
  <si>
    <t xml:space="preserve">TAGTGTCTCGAGGATTTCGCGGTC</t>
  </si>
  <si>
    <t xml:space="preserve">AAACGACCGCGAAATCCTCGAGAC</t>
  </si>
  <si>
    <t xml:space="preserve">PST_2288</t>
  </si>
  <si>
    <t xml:space="preserve">cysG</t>
  </si>
  <si>
    <t xml:space="preserve">TGGGAGGTCGTTTGAGGTAT</t>
  </si>
  <si>
    <t xml:space="preserve">TAGTTGGGAGGTCGTTTGAGGTAT</t>
  </si>
  <si>
    <t xml:space="preserve">AAACATACCTCAAACGACCTCCCA</t>
  </si>
  <si>
    <t xml:space="preserve">GGTATTCCATGGGCGAATCC</t>
  </si>
  <si>
    <t xml:space="preserve">TAGTGGTATTCCATGGGCGAATCC</t>
  </si>
  <si>
    <t xml:space="preserve">AAACGGATTCGCCCATGGAATACC</t>
  </si>
  <si>
    <t xml:space="preserve">TGAGGTTGTGGAACAGCGGG</t>
  </si>
  <si>
    <t xml:space="preserve">TAGTTGAGGTTGTGGAACAGCGGG</t>
  </si>
  <si>
    <t xml:space="preserve">AAACCCCGCTGTTCCACAACCTCA</t>
  </si>
  <si>
    <t xml:space="preserve">CGCCGACGATCAGCACCGTG</t>
  </si>
  <si>
    <t xml:space="preserve">TAGTCGCCGACGATCAGCACCGTG</t>
  </si>
  <si>
    <t xml:space="preserve">AAACCACGGTGCTGATCGTCGGCG</t>
  </si>
  <si>
    <t xml:space="preserve">PST_2289</t>
  </si>
  <si>
    <t xml:space="preserve">serS</t>
  </si>
  <si>
    <t xml:space="preserve">TACCAGTTTCGAATCAAGCA</t>
  </si>
  <si>
    <t xml:space="preserve">TAGTTACCAGTTTCGAATCAAGCA</t>
  </si>
  <si>
    <t xml:space="preserve">AAACTGCTTGATTCGAAACTGGTA</t>
  </si>
  <si>
    <t xml:space="preserve">GTAGCCACGGGTGGCCAGGC</t>
  </si>
  <si>
    <t xml:space="preserve">TAGTGTAGCCACGGGTGGCCAGGC</t>
  </si>
  <si>
    <t xml:space="preserve">AAACGCCTGGCCACCCGTGGCTAC</t>
  </si>
  <si>
    <t xml:space="preserve">CGATGCGCGCCACGTCCAGC</t>
  </si>
  <si>
    <t xml:space="preserve">TAGTCGATGCGCGCCACGTCCAGC</t>
  </si>
  <si>
    <t xml:space="preserve">AAACGCTGGACGTGGCGCGCATCG</t>
  </si>
  <si>
    <t xml:space="preserve">GGTCTGCACGGTCTTGCGCT</t>
  </si>
  <si>
    <t xml:space="preserve">TAGTGGTCTGCACGGTCTTGCGCT</t>
  </si>
  <si>
    <t xml:space="preserve">AAACAGCGCAAGACCGTGCAGACC</t>
  </si>
  <si>
    <t xml:space="preserve">PST_2290</t>
  </si>
  <si>
    <t xml:space="preserve">crcB</t>
  </si>
  <si>
    <t xml:space="preserve">AGGCGACGGCGAAAGCCATG</t>
  </si>
  <si>
    <t xml:space="preserve">TAGTAGGCGACGGCGAAAGCCATG</t>
  </si>
  <si>
    <t xml:space="preserve">AAACCATGGCTTTCGCCGTCGCCT</t>
  </si>
  <si>
    <t xml:space="preserve">GGTTCCGATCACGCCGCCGC</t>
  </si>
  <si>
    <t xml:space="preserve">TAGTGGTTCCGATCACGCCGCCGC</t>
  </si>
  <si>
    <t xml:space="preserve">AAACGCGGCGGCGTGATCGGAACC</t>
  </si>
  <si>
    <t xml:space="preserve">CGCGAGCGCAAAGCGCAGGA</t>
  </si>
  <si>
    <t xml:space="preserve">TAGTCGCGAGCGCAAAGCGCAGGA</t>
  </si>
  <si>
    <t xml:space="preserve">AAACTCCTGCGCTTTGCGCTCGCG</t>
  </si>
  <si>
    <t xml:space="preserve">CGGCCATTGGGCGCTGACCC</t>
  </si>
  <si>
    <t xml:space="preserve">TAGTCGGCCATTGGGCGCTGACCC</t>
  </si>
  <si>
    <t xml:space="preserve">AAACGGGTCAGCGCCCAATGGCCG</t>
  </si>
  <si>
    <t xml:space="preserve">PST_2291</t>
  </si>
  <si>
    <t xml:space="preserve">CGACGGGTTCGCGGCTGAAC</t>
  </si>
  <si>
    <t xml:space="preserve">TAGTCGACGGGTTCGCGGCTGAAC</t>
  </si>
  <si>
    <t xml:space="preserve">AAACGTTCAGCCGCGAACCCGTCG</t>
  </si>
  <si>
    <t xml:space="preserve">CAGACGCGCGGCAAGCGGCT</t>
  </si>
  <si>
    <t xml:space="preserve">TAGTCAGACGCGCGGCAAGCGGCT</t>
  </si>
  <si>
    <t xml:space="preserve">AAACAGCCGCTTGCCGCGCGTCTG</t>
  </si>
  <si>
    <t xml:space="preserve">CCCGACGTATTCGTCGAGGC</t>
  </si>
  <si>
    <t xml:space="preserve">TAGTCCCGACGTATTCGTCGAGGC</t>
  </si>
  <si>
    <t xml:space="preserve">AAACGCCTCGACGAATACGTCGGG</t>
  </si>
  <si>
    <t xml:space="preserve">CTCGCGCAACGGCTTGCCGC</t>
  </si>
  <si>
    <t xml:space="preserve">TAGTCTCGCGCAACGGCTTGCCGC</t>
  </si>
  <si>
    <t xml:space="preserve">AAACGCGGCAAGCCGTTGCGCGAG</t>
  </si>
  <si>
    <t xml:space="preserve">PST_2292</t>
  </si>
  <si>
    <t xml:space="preserve">lolA</t>
  </si>
  <si>
    <t xml:space="preserve">GGACAGATGCACACAGCAAA</t>
  </si>
  <si>
    <t xml:space="preserve">TAGTGGACAGATGCACACAGCAAA</t>
  </si>
  <si>
    <t xml:space="preserve">AAACTTTGCTGTGTGCATCTGTCC</t>
  </si>
  <si>
    <t xml:space="preserve">CCGGTGCCAGAGCGACCATC</t>
  </si>
  <si>
    <t xml:space="preserve">TAGTCCGGTGCCAGAGCGACCATC</t>
  </si>
  <si>
    <t xml:space="preserve">AAACGATGGTCGCTCTGGCACCGG</t>
  </si>
  <si>
    <t xml:space="preserve">TAGAAGCCGCCTGGTCGGCG</t>
  </si>
  <si>
    <t xml:space="preserve">TAGTTAGAAGCCGCCTGGTCGGCG</t>
  </si>
  <si>
    <t xml:space="preserve">AAACCGCCGACCAGGCGGCTTCTA</t>
  </si>
  <si>
    <t xml:space="preserve">GAGCAGGCCGGTCAGGCGTT</t>
  </si>
  <si>
    <t xml:space="preserve">TAGTGAGCAGGCCGGTCAGGCGTT</t>
  </si>
  <si>
    <t xml:space="preserve">AAACAACGCCTGACCGGCCTGCTC</t>
  </si>
  <si>
    <t xml:space="preserve">PST_2293</t>
  </si>
  <si>
    <t xml:space="preserve">ftsK</t>
  </si>
  <si>
    <t xml:space="preserve">ATTTCCCGGCGCGGCTCGAC</t>
  </si>
  <si>
    <t xml:space="preserve">TAGTATTTCCCGGCGCGGCTCGAC</t>
  </si>
  <si>
    <t xml:space="preserve">AAACGTCGAGCCGCGCCGGGAAAT</t>
  </si>
  <si>
    <t xml:space="preserve">TTGGGCTTTTGCCGATGCTT</t>
  </si>
  <si>
    <t xml:space="preserve">TAGTTTGGGCTTTTGCCGATGCTT</t>
  </si>
  <si>
    <t xml:space="preserve">AAACAAGCATCGGCAAAAGCCCAA</t>
  </si>
  <si>
    <t xml:space="preserve">ATGGCATGCGGGTTCCGCGG</t>
  </si>
  <si>
    <t xml:space="preserve">TAGTATGGCATGCGGGTTCCGCGG</t>
  </si>
  <si>
    <t xml:space="preserve">AAACCCGCGGAACCCGCATGCCAT</t>
  </si>
  <si>
    <t xml:space="preserve">CCAGAACCCCGGCATTGTAC</t>
  </si>
  <si>
    <t xml:space="preserve">TAGTCCAGAACCCCGGCATTGTAC</t>
  </si>
  <si>
    <t xml:space="preserve">AAACGTACAATGCCGGGGTTCTGG</t>
  </si>
  <si>
    <t xml:space="preserve">PST_2294</t>
  </si>
  <si>
    <t xml:space="preserve">trxB1</t>
  </si>
  <si>
    <t xml:space="preserve">AACCGGCCGGGCCCGAGCCG</t>
  </si>
  <si>
    <t xml:space="preserve">TAGTAACCGGCCGGGCCCGAGCCG</t>
  </si>
  <si>
    <t xml:space="preserve">AAACCGGCTCGGGCCCGGCCGGTT</t>
  </si>
  <si>
    <t xml:space="preserve">GCGGGCAGCGTATACCGCAG</t>
  </si>
  <si>
    <t xml:space="preserve">TAGTGCGGGCAGCGTATACCGCAG</t>
  </si>
  <si>
    <t xml:space="preserve">AAACCTGCGGTATACGCTGCCCGC</t>
  </si>
  <si>
    <t xml:space="preserve">GATCATCAGTGGCTTCAGGT</t>
  </si>
  <si>
    <t xml:space="preserve">TAGTGATCATCAGTGGCTTCAGGT</t>
  </si>
  <si>
    <t xml:space="preserve">AAACACCTGAAGCCACTGATGATC</t>
  </si>
  <si>
    <t xml:space="preserve">CTGGCCGCCGGGCTGGATGC</t>
  </si>
  <si>
    <t xml:space="preserve">TAGTCTGGCCGCCGGGCTGGATGC</t>
  </si>
  <si>
    <t xml:space="preserve">AAACGCATCCAGCCCGGCGGCCAG</t>
  </si>
  <si>
    <t xml:space="preserve">PST_2295</t>
  </si>
  <si>
    <t xml:space="preserve">aat</t>
  </si>
  <si>
    <t xml:space="preserve">GAGGTCGTCGCGCTTTAGCC</t>
  </si>
  <si>
    <t xml:space="preserve">TAGTGAGGTCGTCGCGCTTTAGCC</t>
  </si>
  <si>
    <t xml:space="preserve">AAACGGCTAAAGCGCGACGACCTC</t>
  </si>
  <si>
    <t xml:space="preserve">CGCAGAGCCGTTTCGAGGGG</t>
  </si>
  <si>
    <t xml:space="preserve">TAGTCGCAGAGCCGTTTCGAGGGG</t>
  </si>
  <si>
    <t xml:space="preserve">AAACCCCCTCGAAACGGCTCTGCG</t>
  </si>
  <si>
    <t xml:space="preserve">CCAGCGGCAAGCAGGCCGTT</t>
  </si>
  <si>
    <t xml:space="preserve">TAGTCCAGCGGCAAGCAGGCCGTT</t>
  </si>
  <si>
    <t xml:space="preserve">AAACAACGGCCTGCTTGCCGCTGG</t>
  </si>
  <si>
    <t xml:space="preserve">TAGGCAGCCAGGAGTCGCTC</t>
  </si>
  <si>
    <t xml:space="preserve">TAGTTAGGCAGCCAGGAGTCGCTC</t>
  </si>
  <si>
    <t xml:space="preserve">AAACGAGCGACTCCTGGCTGCCTA</t>
  </si>
  <si>
    <t xml:space="preserve">PST_2296</t>
  </si>
  <si>
    <t xml:space="preserve">GAGGCGAGCCAGTGAAGTCA</t>
  </si>
  <si>
    <t xml:space="preserve">TAGTGAGGCGAGCCAGTGAAGTCA</t>
  </si>
  <si>
    <t xml:space="preserve">AAACTGACTTCACTGGCTCGCCTC</t>
  </si>
  <si>
    <t xml:space="preserve">GCTGCAAGCGTGGGGCTGGG</t>
  </si>
  <si>
    <t xml:space="preserve">TAGTGCTGCAAGCGTGGGGCTGGG</t>
  </si>
  <si>
    <t xml:space="preserve">AAACCCCAGCCCCACGCTTGCAGC</t>
  </si>
  <si>
    <t xml:space="preserve">TGGTGGCCTGTTCGTCGGGC</t>
  </si>
  <si>
    <t xml:space="preserve">TAGTTGGTGGCCTGTTCGTCGGGC</t>
  </si>
  <si>
    <t xml:space="preserve">AAACGCCCGACGAACAGGCCACCA</t>
  </si>
  <si>
    <t xml:space="preserve">GCTTGGATCGAGGAACAAGG</t>
  </si>
  <si>
    <t xml:space="preserve">TAGTGCTTGGATCGAGGAACAAGG</t>
  </si>
  <si>
    <t xml:space="preserve">AAACCCTTGTTCCTCGATCCAAGC</t>
  </si>
  <si>
    <t xml:space="preserve">PST_2297</t>
  </si>
  <si>
    <t xml:space="preserve">infA</t>
  </si>
  <si>
    <t xml:space="preserve">GCGAAACATGGTGTTGGGCA</t>
  </si>
  <si>
    <t xml:space="preserve">TAGTGCGAAACATGGTGTTGGGCA</t>
  </si>
  <si>
    <t xml:space="preserve">AAACTGCCCAACACCATGTTTCGC</t>
  </si>
  <si>
    <t xml:space="preserve">GTAGTTCTTGCGCATCTTTC</t>
  </si>
  <si>
    <t xml:space="preserve">TAGTGTAGTTCTTGCGCATCTTTC</t>
  </si>
  <si>
    <t xml:space="preserve">AAACGAAAGATGCGCAAGAACTAC</t>
  </si>
  <si>
    <t xml:space="preserve">CCTTGTCACCGGTAAGAATC</t>
  </si>
  <si>
    <t xml:space="preserve">TAGTCCTTGTCACCGGTAAGAATC</t>
  </si>
  <si>
    <t xml:space="preserve">AAACGATTCTTACCGGTGACAAGG</t>
  </si>
  <si>
    <t xml:space="preserve">ACCCTTGCTCAGATCGTAGG</t>
  </si>
  <si>
    <t xml:space="preserve">TAGTACCCTTGCTCAGATCGTAGG</t>
  </si>
  <si>
    <t xml:space="preserve">AAACCCTACGATCTGAGCAAGGGT</t>
  </si>
  <si>
    <t xml:space="preserve">PST_2298</t>
  </si>
  <si>
    <t xml:space="preserve">clpA</t>
  </si>
  <si>
    <t xml:space="preserve">TCAGAGTGACTTCGAGCTCA</t>
  </si>
  <si>
    <t xml:space="preserve">TAGTTCAGAGTGACTTCGAGCTCA</t>
  </si>
  <si>
    <t xml:space="preserve">AAACTGAGCTCGAAGTCACTCTGA</t>
  </si>
  <si>
    <t xml:space="preserve">CGTCATGAACTCATGACGTT</t>
  </si>
  <si>
    <t xml:space="preserve">TAGTCGTCATGAACTCATGACGTT</t>
  </si>
  <si>
    <t xml:space="preserve">AAACAACGTCATGAGTTCATGACG</t>
  </si>
  <si>
    <t xml:space="preserve">TGTCCAGTAGGGCCAACAGG</t>
  </si>
  <si>
    <t xml:space="preserve">TAGTTGTCCAGTAGGGCCAACAGG</t>
  </si>
  <si>
    <t xml:space="preserve">AAACCCTGTTGGCCCTACTGGACA</t>
  </si>
  <si>
    <t xml:space="preserve">CGCCCCGCAGGCCCGCAGTA</t>
  </si>
  <si>
    <t xml:space="preserve">TAGTCGCCCCGCAGGCCCGCAGTA</t>
  </si>
  <si>
    <t xml:space="preserve">AAACTACTGCGGGCCTGCGGGGCG</t>
  </si>
  <si>
    <t xml:space="preserve">PST_2299</t>
  </si>
  <si>
    <t xml:space="preserve">AAGTGCCTACAAGGGCAAAC</t>
  </si>
  <si>
    <t xml:space="preserve">TAGTAAGTGCCTACAAGGGCAAAC</t>
  </si>
  <si>
    <t xml:space="preserve">AAACGTTTGCCCTTGTAGGCACTT</t>
  </si>
  <si>
    <t xml:space="preserve">CGCCTTGACTATCGGCAAAA</t>
  </si>
  <si>
    <t xml:space="preserve">TAGTCGCCTTGACTATCGGCAAAA</t>
  </si>
  <si>
    <t xml:space="preserve">AAACTTTTGCCGATAGTCAAGGCG</t>
  </si>
  <si>
    <t xml:space="preserve">GCGCGGGGGCCAGATAAATA</t>
  </si>
  <si>
    <t xml:space="preserve">TAGTGCGCGGGGGCCAGATAAATA</t>
  </si>
  <si>
    <t xml:space="preserve">AAACTATTTATCTGGCCCCCGCGC</t>
  </si>
  <si>
    <t xml:space="preserve">CGCATAACGGTTCTAGGTCG</t>
  </si>
  <si>
    <t xml:space="preserve">TAGTCGCATAACGGTTCTAGGTCG</t>
  </si>
  <si>
    <t xml:space="preserve">AAACCGACCTAGAACCGTTATGCG</t>
  </si>
  <si>
    <t xml:space="preserve">PST_2300</t>
  </si>
  <si>
    <t xml:space="preserve">cspD</t>
  </si>
  <si>
    <t xml:space="preserve">ATGCTGTTATCCCTCTGCAA</t>
  </si>
  <si>
    <t xml:space="preserve">TAGTATGCTGTTATCCCTCTGCAA</t>
  </si>
  <si>
    <t xml:space="preserve">AAACTTGCAGAGGGATAACAGCAT</t>
  </si>
  <si>
    <t xml:space="preserve">TACGATGAAGCCGTAGCCTT</t>
  </si>
  <si>
    <t xml:space="preserve">TAGTTACGATGAAGCCGTAGCCTT</t>
  </si>
  <si>
    <t xml:space="preserve">AAACAAGGCTACGGCTTCATCGTA</t>
  </si>
  <si>
    <t xml:space="preserve">CATCTGGATGGCCGAGTAGT</t>
  </si>
  <si>
    <t xml:space="preserve">TAGTCATCTGGATGGCCGAGTAGT</t>
  </si>
  <si>
    <t xml:space="preserve">AAACACTACTCGGCCATCCAGATG</t>
  </si>
  <si>
    <t xml:space="preserve">GGAGGCCTTTCGGACCCTGC</t>
  </si>
  <si>
    <t xml:space="preserve">TAGTGGAGGCCTTTCGGACCCTGC</t>
  </si>
  <si>
    <t xml:space="preserve">AAACGCAGGGTCCGAAAGGCCTCC</t>
  </si>
  <si>
    <t xml:space="preserve">PST_2301</t>
  </si>
  <si>
    <t xml:space="preserve">icd</t>
  </si>
  <si>
    <t xml:space="preserve">TGGCTGGCACCTGGATCTTT</t>
  </si>
  <si>
    <t xml:space="preserve">TAGTTGGCTGGCACCTGGATCTTT</t>
  </si>
  <si>
    <t xml:space="preserve">AAACAAAGATCCAGGTGCCAGCCA</t>
  </si>
  <si>
    <t xml:space="preserve">GACGGTGATTTTGTCACCGC</t>
  </si>
  <si>
    <t xml:space="preserve">TAGTGACGGTGATTTTGTCACCGC</t>
  </si>
  <si>
    <t xml:space="preserve">AAACGCGGTGACAAAATCACCGTC</t>
  </si>
  <si>
    <t xml:space="preserve">GGGAACGTTCAGGGTGTTAT</t>
  </si>
  <si>
    <t xml:space="preserve">TAGTGGGAACGTTCAGGGTGTTAT</t>
  </si>
  <si>
    <t xml:space="preserve">AAACATAACACCCTGAACGTTCCC</t>
  </si>
  <si>
    <t xml:space="preserve">TAAGGAATGATCGGATTGTC</t>
  </si>
  <si>
    <t xml:space="preserve">TAGTTAAGGAATGATCGGATTGTC</t>
  </si>
  <si>
    <t xml:space="preserve">AAACGACAATCCGATCATTCCTTA</t>
  </si>
  <si>
    <t xml:space="preserve">PST_2302</t>
  </si>
  <si>
    <t xml:space="preserve">idh</t>
  </si>
  <si>
    <t xml:space="preserve">ATAGATGATCTTCGAAGGGG</t>
  </si>
  <si>
    <t xml:space="preserve">TAGTATAGATGATCTTCGAAGGGG</t>
  </si>
  <si>
    <t xml:space="preserve">AAACCCCCTTCGAAGATCATCTAT</t>
  </si>
  <si>
    <t xml:space="preserve">TGCCAGGGCTGGAGCTTCGT</t>
  </si>
  <si>
    <t xml:space="preserve">TAGTTGCCAGGGCTGGAGCTTCGT</t>
  </si>
  <si>
    <t xml:space="preserve">AAACACGAAGCTCCAGCCCTGGCA</t>
  </si>
  <si>
    <t xml:space="preserve">TACAATGGGAAGAAGCGAAT</t>
  </si>
  <si>
    <t xml:space="preserve">TAGTTACAATGGGAAGAAGCGAAT</t>
  </si>
  <si>
    <t xml:space="preserve">AAACATTCGCTTCTTCCCATTGTA</t>
  </si>
  <si>
    <t xml:space="preserve">GATGTCAGCGGAGGCTGCGA</t>
  </si>
  <si>
    <t xml:space="preserve">TAGTGATGTCAGCGGAGGCTGCGA</t>
  </si>
  <si>
    <t xml:space="preserve">AAACTCGCAGCCTCCGCTGACATC</t>
  </si>
  <si>
    <t xml:space="preserve">PST_2303</t>
  </si>
  <si>
    <t xml:space="preserve">ATGTGGGGGTGCCAATCCAT</t>
  </si>
  <si>
    <t xml:space="preserve">TAGTATGTGGGGGTGCCAATCCAT</t>
  </si>
  <si>
    <t xml:space="preserve">AAACATGGATTGGCACCCCCACAT</t>
  </si>
  <si>
    <t xml:space="preserve">GTCTTCGATTACGGTAGCGA</t>
  </si>
  <si>
    <t xml:space="preserve">TAGTGTCTTCGATTACGGTAGCGA</t>
  </si>
  <si>
    <t xml:space="preserve">AAACTCGCTACCGTAATCGAAGAC</t>
  </si>
  <si>
    <t xml:space="preserve">CCACCAGGAGGAAGCGGCCC</t>
  </si>
  <si>
    <t xml:space="preserve">TAGTCCACCAGGAGGAAGCGGCCC</t>
  </si>
  <si>
    <t xml:space="preserve">AAACGGGCCGCTTCCTCCTGGTGG</t>
  </si>
  <si>
    <t xml:space="preserve">CGGGTTGGTTGAGCACCAGT</t>
  </si>
  <si>
    <t xml:space="preserve">TAGTCGGGTTGGTTGAGCACCAGT</t>
  </si>
  <si>
    <t xml:space="preserve">AAACACTGGTGCTCAACCAACCCG</t>
  </si>
  <si>
    <t xml:space="preserve">PST_2304</t>
  </si>
  <si>
    <t xml:space="preserve">trmU</t>
  </si>
  <si>
    <t xml:space="preserve">TGTTTTTTCCGGAGCGGAGA</t>
  </si>
  <si>
    <t xml:space="preserve">TAGTTGTTTTTTCCGGAGCGGAGA</t>
  </si>
  <si>
    <t xml:space="preserve">AAACTCTCCGCTCCGGAAAAAACA</t>
  </si>
  <si>
    <t xml:space="preserve">AACAGACGAGTCCACGCCGC</t>
  </si>
  <si>
    <t xml:space="preserve">TAGTAACAGACGAGTCCACGCCGC</t>
  </si>
  <si>
    <t xml:space="preserve">AAACGCGGCGTGGACTCGTCTGTT</t>
  </si>
  <si>
    <t xml:space="preserve">CTGCTCGAGCAGCAGGAGGG</t>
  </si>
  <si>
    <t xml:space="preserve">TAGTCTGCTCGAGCAGCAGGAGGG</t>
  </si>
  <si>
    <t xml:space="preserve">AAACCCCTCCTGCTGCTCGAGCAG</t>
  </si>
  <si>
    <t xml:space="preserve">CTTCCCAGTTCTTCATGAAC</t>
  </si>
  <si>
    <t xml:space="preserve">TAGTCTTCCCAGTTCTTCATGAAC</t>
  </si>
  <si>
    <t xml:space="preserve">AAACGTTCATGAAGAACTGGGAAG</t>
  </si>
  <si>
    <t xml:space="preserve">PST_2305</t>
  </si>
  <si>
    <t xml:space="preserve">GATGCGGTCGACCAGCGTGG</t>
  </si>
  <si>
    <t xml:space="preserve">TAGTGATGCGGTCGACCAGCGTGG</t>
  </si>
  <si>
    <t xml:space="preserve">AAACCCACGCTGGTCGACCGCATC</t>
  </si>
  <si>
    <t xml:space="preserve">GTTCGGCACCTGGCCGGTTC</t>
  </si>
  <si>
    <t xml:space="preserve">TAGTGTTCGGCACCTGGCCGGTTC</t>
  </si>
  <si>
    <t xml:space="preserve">AAACGAACCGGCCAGGTGCCGAAC</t>
  </si>
  <si>
    <t xml:space="preserve">ACCGAGCATGCAGCCGAGCG</t>
  </si>
  <si>
    <t xml:space="preserve">TAGTACCGAGCATGCAGCCGAGCG</t>
  </si>
  <si>
    <t xml:space="preserve">AAACCGCTCGGCTGCATGCTCGGT</t>
  </si>
  <si>
    <t xml:space="preserve">AGATTTCCAGTGTGGTCTGC</t>
  </si>
  <si>
    <t xml:space="preserve">TAGTAGATTTCCAGTGTGGTCTGC</t>
  </si>
  <si>
    <t xml:space="preserve">AAACGCAGACCACACTGGAAATCT</t>
  </si>
  <si>
    <t xml:space="preserve">PST_2306</t>
  </si>
  <si>
    <t xml:space="preserve">purB</t>
  </si>
  <si>
    <t xml:space="preserve">GAGGGCATTCTCGGACAGTC</t>
  </si>
  <si>
    <t xml:space="preserve">TAGTGAGGGCATTCTCGGACAGTC</t>
  </si>
  <si>
    <t xml:space="preserve">AAACGACTGTCCGAGAATGCCCTC</t>
  </si>
  <si>
    <t xml:space="preserve">GGGGGAAACCGCCGTGAGCG</t>
  </si>
  <si>
    <t xml:space="preserve">TAGTGGGGGAAACCGCCGTGAGCG</t>
  </si>
  <si>
    <t xml:space="preserve">AAACCGCTCACGGCGGTTTCCCCC</t>
  </si>
  <si>
    <t xml:space="preserve">CCGGCGTAGCGGCCATCGAC</t>
  </si>
  <si>
    <t xml:space="preserve">TAGTCCGGCGTAGCGGCCATCGAC</t>
  </si>
  <si>
    <t xml:space="preserve">AAACGTCGATGGCCGCTACGCCGG</t>
  </si>
  <si>
    <t xml:space="preserve">GAAGATCGGGCGCAGGGAGC</t>
  </si>
  <si>
    <t xml:space="preserve">TAGTGAAGATCGGGCGCAGGGAGC</t>
  </si>
  <si>
    <t xml:space="preserve">AAACGCTCCCTGCGCCCGATCTTC</t>
  </si>
  <si>
    <t xml:space="preserve">PST_2307</t>
  </si>
  <si>
    <t xml:space="preserve">ATGCCGCCCAGAATTTGAAG</t>
  </si>
  <si>
    <t xml:space="preserve">TAGTATGCCGCCCAGAATTTGAAG</t>
  </si>
  <si>
    <t xml:space="preserve">AAACCTTCAAATTCTGGGCGGCAT</t>
  </si>
  <si>
    <t xml:space="preserve">TCTTCTGCCAGTAATCGCGC</t>
  </si>
  <si>
    <t xml:space="preserve">TAGTTCTTCTGCCAGTAATCGCGC</t>
  </si>
  <si>
    <t xml:space="preserve">AAACGCGCGATTACTGGCAGAAGA</t>
  </si>
  <si>
    <t xml:space="preserve">ATGGCCTGGCGGATCAGCAG</t>
  </si>
  <si>
    <t xml:space="preserve">TAGTATGGCCTGGCGGATCAGCAG</t>
  </si>
  <si>
    <t xml:space="preserve">AAACCTGCTGATCCGCCAGGCCAT</t>
  </si>
  <si>
    <t xml:space="preserve">AGATCGGGCTCTGGAAACCC</t>
  </si>
  <si>
    <t xml:space="preserve">TAGTAGATCGGGCTCTGGAAACCC</t>
  </si>
  <si>
    <t xml:space="preserve">AAACGGGTTTCCAGAGCCCGATCT</t>
  </si>
  <si>
    <t xml:space="preserve">PST_2308</t>
  </si>
  <si>
    <t xml:space="preserve">CTCGCGGATGCGCCGCAGTT</t>
  </si>
  <si>
    <t xml:space="preserve">TAGTCTCGCGGATGCGCCGCAGTT</t>
  </si>
  <si>
    <t xml:space="preserve">AAACAACTGCGGCGCATCCGCGAG</t>
  </si>
  <si>
    <t xml:space="preserve">GGCCTGCTCGGCAATGAATA</t>
  </si>
  <si>
    <t xml:space="preserve">TAGTGGCCTGCTCGGCAATGAATA</t>
  </si>
  <si>
    <t xml:space="preserve">AAACTATTCATTGCCGAGCAGGCC</t>
  </si>
  <si>
    <t xml:space="preserve">CCACTCCTGCTCGGGCGGTA</t>
  </si>
  <si>
    <t xml:space="preserve">TAGTCCACTCCTGCTCGGGCGGTA</t>
  </si>
  <si>
    <t xml:space="preserve">AAACTACCGCCCGAGCAGGAGTGG</t>
  </si>
  <si>
    <t xml:space="preserve">GTGCACCGCGTCGGCATCGT</t>
  </si>
  <si>
    <t xml:space="preserve">TAGTGTGCACCGCGTCGGCATCGT</t>
  </si>
  <si>
    <t xml:space="preserve">AAACACGATGCCGACGCGGTGCAC</t>
  </si>
  <si>
    <t xml:space="preserve">PST_2309</t>
  </si>
  <si>
    <t xml:space="preserve">CTGTTCGGTTCGCTCCTTGG</t>
  </si>
  <si>
    <t xml:space="preserve">TAGTCTGTTCGGTTCGCTCCTTGG</t>
  </si>
  <si>
    <t xml:space="preserve">AAACCCAAGGAGCGAACCGAACAG</t>
  </si>
  <si>
    <t xml:space="preserve">AAAGTCGATAGCCGGCAGTT</t>
  </si>
  <si>
    <t xml:space="preserve">TAGTAAAGTCGATAGCCGGCAGTT</t>
  </si>
  <si>
    <t xml:space="preserve">AAACAACTGCCGGCTATCGACTTT</t>
  </si>
  <si>
    <t xml:space="preserve">GTGTACGGCGAAGCGCCCCG</t>
  </si>
  <si>
    <t xml:space="preserve">TAGTGTGTACGGCGAAGCGCCCCG</t>
  </si>
  <si>
    <t xml:space="preserve">AAACCGGGGCGCTTCGCCGTACAC</t>
  </si>
  <si>
    <t xml:space="preserve">GGCTCGGGAAGATCAGGAGG</t>
  </si>
  <si>
    <t xml:space="preserve">TAGTGGCTCGGGAAGATCAGGAGG</t>
  </si>
  <si>
    <t xml:space="preserve">AAACCCTCCTGATCTTCCCGAGCC</t>
  </si>
  <si>
    <t xml:space="preserve">PST_2310</t>
  </si>
  <si>
    <t xml:space="preserve">ACGGCCAGCAGCGTGATACG</t>
  </si>
  <si>
    <t xml:space="preserve">TAGTACGGCCAGCAGCGTGATACG</t>
  </si>
  <si>
    <t xml:space="preserve">AAACCGTATCACGCTGCTGGCCGT</t>
  </si>
  <si>
    <t xml:space="preserve">CGGTTGCCGCCTGCAGCGGC</t>
  </si>
  <si>
    <t xml:space="preserve">TAGTCGGTTGCCGCCTGCAGCGGC</t>
  </si>
  <si>
    <t xml:space="preserve">AAACGCCGCTGCAGGCGGCAACCG</t>
  </si>
  <si>
    <t xml:space="preserve">GTTGTTGAGCTGGATGACTT</t>
  </si>
  <si>
    <t xml:space="preserve">TAGTGTTGTTGAGCTGGATGACTT</t>
  </si>
  <si>
    <t xml:space="preserve">AAACAAGTCATCCAGCTCAACAAC</t>
  </si>
  <si>
    <t xml:space="preserve">GGAGCACTTCCTCGCCCATG</t>
  </si>
  <si>
    <t xml:space="preserve">TAGTGGAGCACTTCCTCGCCCATG</t>
  </si>
  <si>
    <t xml:space="preserve">AAACCATGGGCGAGGAAGTGCTCC</t>
  </si>
  <si>
    <t xml:space="preserve">PST_2311</t>
  </si>
  <si>
    <t xml:space="preserve">CAATCCTTCAAAAATAAGTG</t>
  </si>
  <si>
    <t xml:space="preserve">TAGTCAATCCTTCAAAAATAAGTG</t>
  </si>
  <si>
    <t xml:space="preserve">AAACCACTTATTTTTGAAGGATTG</t>
  </si>
  <si>
    <t xml:space="preserve">CTTGATGTCGTCTTGATATG</t>
  </si>
  <si>
    <t xml:space="preserve">TAGTCTTGATGTCGTCTTGATATG</t>
  </si>
  <si>
    <t xml:space="preserve">AAACCATATCAAGACGACATCAAG</t>
  </si>
  <si>
    <t xml:space="preserve">GCCGTATTGCTCTTTCAGGG</t>
  </si>
  <si>
    <t xml:space="preserve">TAGTGCCGTATTGCTCTTTCAGGG</t>
  </si>
  <si>
    <t xml:space="preserve">AAACCCCTGAAAGAGCAATACGGC</t>
  </si>
  <si>
    <t xml:space="preserve">GACGGACTCAGGGTTGATGG</t>
  </si>
  <si>
    <t xml:space="preserve">TAGTGACGGACTCAGGGTTGATGG</t>
  </si>
  <si>
    <t xml:space="preserve">AAACCCATCAACCCTGAGTCCGTC</t>
  </si>
  <si>
    <t xml:space="preserve">PST_2312</t>
  </si>
  <si>
    <t xml:space="preserve">GTCGTTGTTCTCAGTAATCA</t>
  </si>
  <si>
    <t xml:space="preserve">TAGTGTCGTTGTTCTCAGTAATCA</t>
  </si>
  <si>
    <t xml:space="preserve">AAACTGATTACTGAGAACAACGAC</t>
  </si>
  <si>
    <t xml:space="preserve">GGATTCGTCGAATGGTTACT</t>
  </si>
  <si>
    <t xml:space="preserve">TAGTGGATTCGTCGAATGGTTACT</t>
  </si>
  <si>
    <t xml:space="preserve">AAACAGTAACCATTCGACGAATCC</t>
  </si>
  <si>
    <t xml:space="preserve">GAAATCACATCCTGGATATG</t>
  </si>
  <si>
    <t xml:space="preserve">TAGTGAAATCACATCCTGGATATG</t>
  </si>
  <si>
    <t xml:space="preserve">AAACCATATCCAGGATGTGATTTC</t>
  </si>
  <si>
    <t xml:space="preserve">GAGCACTTTACGTCGGCCAA</t>
  </si>
  <si>
    <t xml:space="preserve">TAGTGAGCACTTTACGTCGGCCAA</t>
  </si>
  <si>
    <t xml:space="preserve">AAACTTGGCCGACGTAAAGTGCTC</t>
  </si>
  <si>
    <t xml:space="preserve">PST_2313</t>
  </si>
  <si>
    <t xml:space="preserve">CAGAATCCAGCCGAACGCCA</t>
  </si>
  <si>
    <t xml:space="preserve">TAGTCAGAATCCAGCCGAACGCCA</t>
  </si>
  <si>
    <t xml:space="preserve">AAACTGGCGTTCGGCTGGATTCTG</t>
  </si>
  <si>
    <t xml:space="preserve">CAGAAAACTGCTCCATAGAA</t>
  </si>
  <si>
    <t xml:space="preserve">TAGTCAGAAAACTGCTCCATAGAA</t>
  </si>
  <si>
    <t xml:space="preserve">AAACTTCTATGGAGCAGTTTTCTG</t>
  </si>
  <si>
    <t xml:space="preserve">CTGCAAGGGTGCAAAGATGA</t>
  </si>
  <si>
    <t xml:space="preserve">TAGTCTGCAAGGGTGCAAAGATGA</t>
  </si>
  <si>
    <t xml:space="preserve">AAACTCATCTTTGCACCCTTGCAG</t>
  </si>
  <si>
    <t xml:space="preserve">GTTGACTGAACCGCCGGTAA</t>
  </si>
  <si>
    <t xml:space="preserve">TAGTGTTGACTGAACCGCCGGTAA</t>
  </si>
  <si>
    <t xml:space="preserve">AAACTTACCGGCGGTTCAGTCAAC</t>
  </si>
  <si>
    <t xml:space="preserve">PST_2315</t>
  </si>
  <si>
    <t xml:space="preserve">CAGCTCACGCAGGTCGTCGT</t>
  </si>
  <si>
    <t xml:space="preserve">TAGTCAGCTCACGCAGGTCGTCGT</t>
  </si>
  <si>
    <t xml:space="preserve">AAACACGACGACCTGCGTGAGCTG</t>
  </si>
  <si>
    <t xml:space="preserve">PST_2316</t>
  </si>
  <si>
    <t xml:space="preserve">CGACCACGTGCACGCGGCAA</t>
  </si>
  <si>
    <t xml:space="preserve">TAGTCGACCACGTGCACGCGGCAA</t>
  </si>
  <si>
    <t xml:space="preserve">AAACTTGCCGCGTGCACGTGGTCG</t>
  </si>
  <si>
    <t xml:space="preserve">CAACCCACCGGCCATGGCCC</t>
  </si>
  <si>
    <t xml:space="preserve">TAGTCAACCCACCGGCCATGGCCC</t>
  </si>
  <si>
    <t xml:space="preserve">AAACGGGCCATGGCCGGTGGGTTG</t>
  </si>
  <si>
    <t xml:space="preserve">GGCCCTTGTTGAAAGCGGCG</t>
  </si>
  <si>
    <t xml:space="preserve">TAGTGGCCCTTGTTGAAAGCGGCG</t>
  </si>
  <si>
    <t xml:space="preserve">AAACCGCCGCTTTCAACAAGGGCC</t>
  </si>
  <si>
    <t xml:space="preserve">CCACTGTCGCTCCACCACCC</t>
  </si>
  <si>
    <t xml:space="preserve">TAGTCCACTGTCGCTCCACCACCC</t>
  </si>
  <si>
    <t xml:space="preserve">AAACGGGTGGTGGAGCGACAGTGG</t>
  </si>
  <si>
    <t xml:space="preserve">PST_2317</t>
  </si>
  <si>
    <t xml:space="preserve">CTTGCGGTACGTGCGGCAAA</t>
  </si>
  <si>
    <t xml:space="preserve">TAGTCTTGCGGTACGTGCGGCAAA</t>
  </si>
  <si>
    <t xml:space="preserve">AAACTTTGCCGCACGTACCGCAAG</t>
  </si>
  <si>
    <t xml:space="preserve">ACAAGGCAACACGGAAGGAG</t>
  </si>
  <si>
    <t xml:space="preserve">TAGTACAAGGCAACACGGAAGGAG</t>
  </si>
  <si>
    <t xml:space="preserve">AAACCTCCTTCCGTGTTGCCTTGT</t>
  </si>
  <si>
    <t xml:space="preserve">CAACCAGTATGTGGATCCAC</t>
  </si>
  <si>
    <t xml:space="preserve">TAGTCAACCAGTATGTGGATCCAC</t>
  </si>
  <si>
    <t xml:space="preserve">AAACGTGGATCCACATACTGGTTG</t>
  </si>
  <si>
    <t xml:space="preserve">CTCGTAGAGCGGTTTGAAGA</t>
  </si>
  <si>
    <t xml:space="preserve">TAGTCTCGTAGAGCGGTTTGAAGA</t>
  </si>
  <si>
    <t xml:space="preserve">AAACTCTTCAAACCGCTCTACGAG</t>
  </si>
  <si>
    <t xml:space="preserve">PST_2322</t>
  </si>
  <si>
    <t xml:space="preserve">CACTGCCTATATATAGGAGA</t>
  </si>
  <si>
    <t xml:space="preserve">TAGTCACTGCCTATATATAGGAGA</t>
  </si>
  <si>
    <t xml:space="preserve">AAACTCTCCTATATATAGGCAGTG</t>
  </si>
  <si>
    <t xml:space="preserve">GCTGGTTGCAGCAGGCGTCC</t>
  </si>
  <si>
    <t xml:space="preserve">TAGTGCTGGTTGCAGCAGGCGTCC</t>
  </si>
  <si>
    <t xml:space="preserve">AAACGGACGCCTGCTGCAACCAGC</t>
  </si>
  <si>
    <t xml:space="preserve">GGCTGGGGACGCTGGATTGA</t>
  </si>
  <si>
    <t xml:space="preserve">TAGTGGCTGGGGACGCTGGATTGA</t>
  </si>
  <si>
    <t xml:space="preserve">AAACTCAATCCAGCGTCCCCAGCC</t>
  </si>
  <si>
    <t xml:space="preserve">GAGAAGGTCGACTAGTGTAA</t>
  </si>
  <si>
    <t xml:space="preserve">TAGTGAGAAGGTCGACTAGTGTAA</t>
  </si>
  <si>
    <t xml:space="preserve">AAACTTACACTAGTCGACCTTCTC</t>
  </si>
  <si>
    <t xml:space="preserve">PST_2323</t>
  </si>
  <si>
    <t xml:space="preserve">ubiG</t>
  </si>
  <si>
    <t xml:space="preserve">AGCGTGGTCGACGTTGCTCA</t>
  </si>
  <si>
    <t xml:space="preserve">TAGTAGCGTGGTCGACGTTGCTCA</t>
  </si>
  <si>
    <t xml:space="preserve">AAACTGAGCAACGTCGACCACGCT</t>
  </si>
  <si>
    <t xml:space="preserve">ATGTGCAAGGGCTTCGAATT</t>
  </si>
  <si>
    <t xml:space="preserve">TAGTATGTGCAAGGGCTTCGAATT</t>
  </si>
  <si>
    <t xml:space="preserve">AAACAATTCGAAGCCCTTGCACAT</t>
  </si>
  <si>
    <t xml:space="preserve">AATGGATTGATCTCATGCAG</t>
  </si>
  <si>
    <t xml:space="preserve">TAGTAATGGATTGATCTCATGCAG</t>
  </si>
  <si>
    <t xml:space="preserve">AAACCTGCATGAGATCAATCCATT</t>
  </si>
  <si>
    <t xml:space="preserve">GATGTCGATGACTTTCTTTC</t>
  </si>
  <si>
    <t xml:space="preserve">TAGTGATGTCGATGACTTTCTTTC</t>
  </si>
  <si>
    <t xml:space="preserve">AAACGAAAGAAAGTCATCGACATC</t>
  </si>
  <si>
    <t xml:space="preserve">PST_2324</t>
  </si>
  <si>
    <t xml:space="preserve">gph-2</t>
  </si>
  <si>
    <t xml:space="preserve">TGTCGAACAGAACAGCGCGC</t>
  </si>
  <si>
    <t xml:space="preserve">TAGTTGTCGAACAGAACAGCGCGC</t>
  </si>
  <si>
    <t xml:space="preserve">AAACGCGCGCTGTTCTGTTCGACA</t>
  </si>
  <si>
    <t xml:space="preserve">ATCGGGAGCGGTATCGAGCA</t>
  </si>
  <si>
    <t xml:space="preserve">TAGTATCGGGAGCGGTATCGAGCA</t>
  </si>
  <si>
    <t xml:space="preserve">AAACTGCTCGATACCGCTCCCGAT</t>
  </si>
  <si>
    <t xml:space="preserve">AATCCGCATGGCCTGCGCCA</t>
  </si>
  <si>
    <t xml:space="preserve">TAGTAATCCGCATGGCCTGCGCCA</t>
  </si>
  <si>
    <t xml:space="preserve">AAACTGGCGCAGGCCATGCGGATT</t>
  </si>
  <si>
    <t xml:space="preserve">GTTGATCCGGCACAGGCTCC</t>
  </si>
  <si>
    <t xml:space="preserve">TAGTGTTGATCCGGCACAGGCTCC</t>
  </si>
  <si>
    <t xml:space="preserve">AAACGGAGCCTGTGCCGGATCAAC</t>
  </si>
  <si>
    <t xml:space="preserve">PST_2325</t>
  </si>
  <si>
    <t xml:space="preserve">CGGGCGGAATACTCGAACAT</t>
  </si>
  <si>
    <t xml:space="preserve">TAGTCGGGCGGAATACTCGAACAT</t>
  </si>
  <si>
    <t xml:space="preserve">AAACATGTTCGAGTATTCCGCCCG</t>
  </si>
  <si>
    <t xml:space="preserve">GCCCTGCGAGCAGGTCGGGG</t>
  </si>
  <si>
    <t xml:space="preserve">TAGTGCCCTGCGAGCAGGTCGGGG</t>
  </si>
  <si>
    <t xml:space="preserve">AAACCCCCGACCTGCTCGCAGGGC</t>
  </si>
  <si>
    <t xml:space="preserve">CCCGGCCAGCGCCGGTGACC</t>
  </si>
  <si>
    <t xml:space="preserve">TAGTCCCGGCCAGCGCCGGTGACC</t>
  </si>
  <si>
    <t xml:space="preserve">AAACGGTCACCGGCGCTGGCCGGG</t>
  </si>
  <si>
    <t xml:space="preserve">TCCGTGGGCCGCGTAGGCCT</t>
  </si>
  <si>
    <t xml:space="preserve">TAGTTCCGTGGGCCGCGTAGGCCT</t>
  </si>
  <si>
    <t xml:space="preserve">AAACAGGCCTACGCGGCCCACGGA</t>
  </si>
  <si>
    <t xml:space="preserve">PST_2326</t>
  </si>
  <si>
    <t xml:space="preserve">CGGGTGCAGATCTCGCCGTC</t>
  </si>
  <si>
    <t xml:space="preserve">TAGTCGGGTGCAGATCTCGCCGTC</t>
  </si>
  <si>
    <t xml:space="preserve">AAACGACGGCGAGATCTGCACCCG</t>
  </si>
  <si>
    <t xml:space="preserve">GGCGGCCTTCGGGGTCGTTA</t>
  </si>
  <si>
    <t xml:space="preserve">TAGTGGCGGCCTTCGGGGTCGTTA</t>
  </si>
  <si>
    <t xml:space="preserve">AAACTAACGACCCCGAAGGCCGCC</t>
  </si>
  <si>
    <t xml:space="preserve">GCAGGCGATCGAACACCGTA</t>
  </si>
  <si>
    <t xml:space="preserve">TAGTGCAGGCGATCGAACACCGTA</t>
  </si>
  <si>
    <t xml:space="preserve">AAACTACGGTGTTCGATCGCCTGC</t>
  </si>
  <si>
    <t xml:space="preserve">CAGCGGCCCTCCTTGGGACG</t>
  </si>
  <si>
    <t xml:space="preserve">TAGTCAGCGGCCCTCCTTGGGACG</t>
  </si>
  <si>
    <t xml:space="preserve">AAACCGTCCCAAGGAGGGCCGCTG</t>
  </si>
  <si>
    <t xml:space="preserve">PST_2327</t>
  </si>
  <si>
    <t xml:space="preserve">eda</t>
  </si>
  <si>
    <t xml:space="preserve">CAGGGCATTCTTCTGGTCCA</t>
  </si>
  <si>
    <t xml:space="preserve">TAGTCAGGGCATTCTTCTGGTCCA</t>
  </si>
  <si>
    <t xml:space="preserve">AAACTGGACCAGAAGAATGCCCTG</t>
  </si>
  <si>
    <t xml:space="preserve">TCGCTGCCAATGGTGATGAC</t>
  </si>
  <si>
    <t xml:space="preserve">TAGTTCGCTGCCAATGGTGATGAC</t>
  </si>
  <si>
    <t xml:space="preserve">AAACGTCATCACCATTGGCAGCGA</t>
  </si>
  <si>
    <t xml:space="preserve">ACAAGGCATCGGCGAGCGGC</t>
  </si>
  <si>
    <t xml:space="preserve">TAGTACAAGGCATCGGCGAGCGGC</t>
  </si>
  <si>
    <t xml:space="preserve">AAACGCCGCTCGCCGATGCCTTGT</t>
  </si>
  <si>
    <t xml:space="preserve">AGGTAATCTCCAGAGTACGC</t>
  </si>
  <si>
    <t xml:space="preserve">TAGTAGGTAATCTCCAGAGTACGC</t>
  </si>
  <si>
    <t xml:space="preserve">AAACGCGTACTCTGGAGATTACCT</t>
  </si>
  <si>
    <t xml:space="preserve">PST_2328</t>
  </si>
  <si>
    <t xml:space="preserve">CTATGGGCGATCACGCCCGT</t>
  </si>
  <si>
    <t xml:space="preserve">TAGTCTATGGGCGATCACGCCCGT</t>
  </si>
  <si>
    <t xml:space="preserve">AAACACGGGCGTGATCGCCCATAG</t>
  </si>
  <si>
    <t xml:space="preserve">CAGCGCCTTGGCGACGCTGT</t>
  </si>
  <si>
    <t xml:space="preserve">TAGTCAGCGCCTTGGCGACGCTGT</t>
  </si>
  <si>
    <t xml:space="preserve">AAACACAGCGTCGCCAAGGCGCTG</t>
  </si>
  <si>
    <t xml:space="preserve">CGCAACCGGGCTCCGCCCAC</t>
  </si>
  <si>
    <t xml:space="preserve">TAGTCGCAACCGGGCTCCGCCCAC</t>
  </si>
  <si>
    <t xml:space="preserve">AAACGTGGGCGGAGCCCGGTTGCG</t>
  </si>
  <si>
    <t xml:space="preserve">GTCCAGCTCTCGCCGGGACA</t>
  </si>
  <si>
    <t xml:space="preserve">TAGTGTCCAGCTCTCGCCGGGACA</t>
  </si>
  <si>
    <t xml:space="preserve">AAACTGTCCCGGCGAGAGCTGGAC</t>
  </si>
  <si>
    <t xml:space="preserve">PST_2329</t>
  </si>
  <si>
    <t xml:space="preserve">TCTACGGTGATGCCTGGCAT</t>
  </si>
  <si>
    <t xml:space="preserve">TAGTTCTACGGTGATGCCTGGCAT</t>
  </si>
  <si>
    <t xml:space="preserve">AAACATGCCAGGCATCACCGTAGA</t>
  </si>
  <si>
    <t xml:space="preserve">CCGAACAAGGAAAAAGTGGT</t>
  </si>
  <si>
    <t xml:space="preserve">TAGTCCGAACAAGGAAAAAGTGGT</t>
  </si>
  <si>
    <t xml:space="preserve">AAACACCACTTTTTCCTTGTTCGG</t>
  </si>
  <si>
    <t xml:space="preserve">GCGCAGCGCGAGATCGCCCA</t>
  </si>
  <si>
    <t xml:space="preserve">TAGTGCGCAGCGCGAGATCGCCCA</t>
  </si>
  <si>
    <t xml:space="preserve">AAACTGGGCGATCTCGCGCTGCGC</t>
  </si>
  <si>
    <t xml:space="preserve">CGATCCAGCTGGTAAAGCGC</t>
  </si>
  <si>
    <t xml:space="preserve">TAGTCGATCCAGCTGGTAAAGCGC</t>
  </si>
  <si>
    <t xml:space="preserve">AAACGCGCTTTACCAGCTGGATCG</t>
  </si>
  <si>
    <t xml:space="preserve">PST_2330</t>
  </si>
  <si>
    <t xml:space="preserve">ACGCAAGCGAGAGAGCGAAG</t>
  </si>
  <si>
    <t xml:space="preserve">TAGTACGCAAGCGAGAGAGCGAAG</t>
  </si>
  <si>
    <t xml:space="preserve">AAACCTTCGCTCTCTCGCTTGCGT</t>
  </si>
  <si>
    <t xml:space="preserve">CCAGCGAATATAGTCACGCA</t>
  </si>
  <si>
    <t xml:space="preserve">TAGTCCAGCGAATATAGTCACGCA</t>
  </si>
  <si>
    <t xml:space="preserve">AAACTGCGTGACTATATTCGCTGG</t>
  </si>
  <si>
    <t xml:space="preserve">ACAGCTGCTCCGCCTGAAAA</t>
  </si>
  <si>
    <t xml:space="preserve">TAGTACAGCTGCTCCGCCTGAAAA</t>
  </si>
  <si>
    <t xml:space="preserve">AAACTTTTCAGGCGGAGCAGCTGT</t>
  </si>
  <si>
    <t xml:space="preserve">CCCAGGCGTTGTCGGTGCCG</t>
  </si>
  <si>
    <t xml:space="preserve">TAGTCCCAGGCGTTGTCGGTGCCG</t>
  </si>
  <si>
    <t xml:space="preserve">AAACCGGCACCGACAACGCCTGGG</t>
  </si>
  <si>
    <t xml:space="preserve">PST_2331</t>
  </si>
  <si>
    <t xml:space="preserve">CTGAAGCATGGTCTGTGGCT</t>
  </si>
  <si>
    <t xml:space="preserve">TAGTCTGAAGCATGGTCTGTGGCT</t>
  </si>
  <si>
    <t xml:space="preserve">AAACAGCCACAGACCATGCTTCAG</t>
  </si>
  <si>
    <t xml:space="preserve">GCGTCGCCGGGTTATAGCTG</t>
  </si>
  <si>
    <t xml:space="preserve">TAGTGCGTCGCCGGGTTATAGCTG</t>
  </si>
  <si>
    <t xml:space="preserve">AAACCAGCTATAACCCGGCGACGC</t>
  </si>
  <si>
    <t xml:space="preserve">CACGTCGATGACCAGCAGGG</t>
  </si>
  <si>
    <t xml:space="preserve">TAGTCACGTCGATGACCAGCAGGG</t>
  </si>
  <si>
    <t xml:space="preserve">AAACCCCTGCTGGTCATCGACGTG</t>
  </si>
  <si>
    <t xml:space="preserve">GCAGGGCCAGAACGCCACTG</t>
  </si>
  <si>
    <t xml:space="preserve">TAGTGCAGGGCCAGAACGCCACTG</t>
  </si>
  <si>
    <t xml:space="preserve">AAACCAGTGGCGTTCTGGCCCTGC</t>
  </si>
  <si>
    <t xml:space="preserve">PST_2332</t>
  </si>
  <si>
    <t xml:space="preserve">AAATCGTCGTCGTCTTGCAT</t>
  </si>
  <si>
    <t xml:space="preserve">TAGTAAATCGTCGTCGTCTTGCAT</t>
  </si>
  <si>
    <t xml:space="preserve">AAACATGCAAGACGACGACGATTT</t>
  </si>
  <si>
    <t xml:space="preserve">GCGCACGGCCGATTGGAAGA</t>
  </si>
  <si>
    <t xml:space="preserve">TAGTGCGCACGGCCGATTGGAAGA</t>
  </si>
  <si>
    <t xml:space="preserve">AAACTCTTCCAATCGGCCGTGCGC</t>
  </si>
  <si>
    <t xml:space="preserve">TCGGCACGGTCATGGGTTAT</t>
  </si>
  <si>
    <t xml:space="preserve">TAGTTCGGCACGGTCATGGGTTAT</t>
  </si>
  <si>
    <t xml:space="preserve">AAACATAACCCATGACCGTGCCGA</t>
  </si>
  <si>
    <t xml:space="preserve">GCGGTTGCTGCGGACCTTGC</t>
  </si>
  <si>
    <t xml:space="preserve">TAGTGCGGTTGCTGCGGACCTTGC</t>
  </si>
  <si>
    <t xml:space="preserve">AAACGCAAGGTCCGCAGCAACCGC</t>
  </si>
  <si>
    <t xml:space="preserve">PST_2333</t>
  </si>
  <si>
    <t xml:space="preserve">folE2</t>
  </si>
  <si>
    <t xml:space="preserve">CGCGGTGTAGTGTTGTTCCA</t>
  </si>
  <si>
    <t xml:space="preserve">TAGTCGCGGTGTAGTGTTGTTCCA</t>
  </si>
  <si>
    <t xml:space="preserve">AAACTGGAACAACACTACACCGCG</t>
  </si>
  <si>
    <t xml:space="preserve">CGTCCTCGCCAAGTTGGCCA</t>
  </si>
  <si>
    <t xml:space="preserve">TAGTCGTCCTCGCCAAGTTGGCCA</t>
  </si>
  <si>
    <t xml:space="preserve">AAACTGGCCAACTTGGCGAGGACG</t>
  </si>
  <si>
    <t xml:space="preserve">GTGTGTCGAGCAGACCCTCG</t>
  </si>
  <si>
    <t xml:space="preserve">TAGTGTGTGTCGAGCAGACCCTCG</t>
  </si>
  <si>
    <t xml:space="preserve">AAACCGAGGGTCTGCTCGACACAC</t>
  </si>
  <si>
    <t xml:space="preserve">ATGGCTTTGGCGGCGCGTTT</t>
  </si>
  <si>
    <t xml:space="preserve">TAGTATGGCTTTGGCGGCGCGTTT</t>
  </si>
  <si>
    <t xml:space="preserve">AAACAAACGCGCCGCCAAAGCCAT</t>
  </si>
  <si>
    <t xml:space="preserve">PST_2334</t>
  </si>
  <si>
    <t xml:space="preserve">ATCGCCATAGACTTTCAACA</t>
  </si>
  <si>
    <t xml:space="preserve">TAGTATCGCCATAGACTTTCAACA</t>
  </si>
  <si>
    <t xml:space="preserve">AAACTGTTGAAAGTCTATGGCGAT</t>
  </si>
  <si>
    <t xml:space="preserve">ACTCGTACGGCTGGTCCAGC</t>
  </si>
  <si>
    <t xml:space="preserve">TAGTACTCGTACGGCTGGTCCAGC</t>
  </si>
  <si>
    <t xml:space="preserve">AAACGCTGGACCAGCCGTACGAGT</t>
  </si>
  <si>
    <t xml:space="preserve">CCGAGCGCGTCTCGCCTCGA</t>
  </si>
  <si>
    <t xml:space="preserve">TAGTCCGAGCGCGTCTCGCCTCGA</t>
  </si>
  <si>
    <t xml:space="preserve">AAACTCGAGGCGAGACGCGCTCGG</t>
  </si>
  <si>
    <t xml:space="preserve">AGCACCGGGATCTTGCCGTT</t>
  </si>
  <si>
    <t xml:space="preserve">TAGTAGCACCGGGATCTTGCCGTT</t>
  </si>
  <si>
    <t xml:space="preserve">AAACAACGGCAAGATCCCGGTGCT</t>
  </si>
  <si>
    <t xml:space="preserve">PST_2335</t>
  </si>
  <si>
    <t xml:space="preserve">CCATTTCCATACCAGGTGCG</t>
  </si>
  <si>
    <t xml:space="preserve">TAGTCCATTTCCATACCAGGTGCG</t>
  </si>
  <si>
    <t xml:space="preserve">AAACCGCACCTGGTATGGAAATGG</t>
  </si>
  <si>
    <t xml:space="preserve">GCGAGTAATACGTTCGGAGA</t>
  </si>
  <si>
    <t xml:space="preserve">TAGTGCGAGTAATACGTTCGGAGA</t>
  </si>
  <si>
    <t xml:space="preserve">AAACTCTCCGAACGTATTACTCGC</t>
  </si>
  <si>
    <t xml:space="preserve">CACGAATCAGGGAGCTTTTC</t>
  </si>
  <si>
    <t xml:space="preserve">TAGTCACGAATCAGGGAGCTTTTC</t>
  </si>
  <si>
    <t xml:space="preserve">AAACGAAAAGCTCCCTGATTCGTG</t>
  </si>
  <si>
    <t xml:space="preserve">CACCTCAGGACGCTGGGCTG</t>
  </si>
  <si>
    <t xml:space="preserve">TAGTCACCTCAGGACGCTGGGCTG</t>
  </si>
  <si>
    <t xml:space="preserve">AAACCAGCCCAGCGTCCTGAGGTG</t>
  </si>
  <si>
    <t xml:space="preserve">PST_2336</t>
  </si>
  <si>
    <t xml:space="preserve">ACGGCGCTTTTTTTTAGGTC</t>
  </si>
  <si>
    <t xml:space="preserve">TAGTACGGCGCTTTTTTTTAGGTC</t>
  </si>
  <si>
    <t xml:space="preserve">AAACGACCTAAAAAAAAGCGCCGT</t>
  </si>
  <si>
    <t xml:space="preserve">GAAAGAAACTTTCCATTATC</t>
  </si>
  <si>
    <t xml:space="preserve">TAGTGAAAGAAACTTTCCATTATC</t>
  </si>
  <si>
    <t xml:space="preserve">AAACGATAATGGAAAGTTTCTTTC</t>
  </si>
  <si>
    <t xml:space="preserve">CGACGGGCCAGCATCTCGTC</t>
  </si>
  <si>
    <t xml:space="preserve">TAGTCGACGGGCCAGCATCTCGTC</t>
  </si>
  <si>
    <t xml:space="preserve">AAACGACGAGATGCTGGCCCGTCG</t>
  </si>
  <si>
    <t xml:space="preserve">CAGGATGCGGTGATGCACGC</t>
  </si>
  <si>
    <t xml:space="preserve">TAGTCAGGATGCGGTGATGCACGC</t>
  </si>
  <si>
    <t xml:space="preserve">AAACGCGTGCATCACCGCATCCTG</t>
  </si>
  <si>
    <t xml:space="preserve">PST_2337</t>
  </si>
  <si>
    <t xml:space="preserve">rpsA</t>
  </si>
  <si>
    <t xml:space="preserve">CTCCACATTCCAGACAATGT</t>
  </si>
  <si>
    <t xml:space="preserve">TAGTCTCCACATTCCAGACAATGT</t>
  </si>
  <si>
    <t xml:space="preserve">AAACACATTGTCTGGAATGTGGAG</t>
  </si>
  <si>
    <t xml:space="preserve">TGTTGATTCCTGCTGTTTTC</t>
  </si>
  <si>
    <t xml:space="preserve">TAGTTGTTGATTCCTGCTGTTTTC</t>
  </si>
  <si>
    <t xml:space="preserve">AAACGAAAACAGCAGGAATCAACA</t>
  </si>
  <si>
    <t xml:space="preserve">GCTGCATGTCGAGGGATTTA</t>
  </si>
  <si>
    <t xml:space="preserve">TAGTGCTGCATGTCGAGGGATTTA</t>
  </si>
  <si>
    <t xml:space="preserve">AAACTAAATCCCTCGACATGCAGC</t>
  </si>
  <si>
    <t xml:space="preserve">GACCACGATGCCGGTGATGA</t>
  </si>
  <si>
    <t xml:space="preserve">TAGTGACCACGATGCCGGTGATGA</t>
  </si>
  <si>
    <t xml:space="preserve">AAACTCATCACCGGCATCGTGGTC</t>
  </si>
  <si>
    <t xml:space="preserve">PST_2338</t>
  </si>
  <si>
    <t xml:space="preserve">cmk</t>
  </si>
  <si>
    <t xml:space="preserve">TCGATGGTGATGACTGGTAC</t>
  </si>
  <si>
    <t xml:space="preserve">TAGTTCGATGGTGATGACTGGTAC</t>
  </si>
  <si>
    <t xml:space="preserve">AAACGTACCAGTCATCACCATCGA</t>
  </si>
  <si>
    <t xml:space="preserve">GCCCGCGAGCAGCGCAGCAA</t>
  </si>
  <si>
    <t xml:space="preserve">TAGTGCCCGCGAGCAGCGCAGCAA</t>
  </si>
  <si>
    <t xml:space="preserve">AAACTTGCTGCGCTGCTCGCGGGC</t>
  </si>
  <si>
    <t xml:space="preserve">CAGCAGACGGTACAGGGCGC</t>
  </si>
  <si>
    <t xml:space="preserve">TAGTCAGCAGACGGTACAGGGCGC</t>
  </si>
  <si>
    <t xml:space="preserve">AAACGCGCCCTGTACCGTCTGCTG</t>
  </si>
  <si>
    <t xml:space="preserve">CACCTTCAGGGCTTCCTCGT</t>
  </si>
  <si>
    <t xml:space="preserve">TAGTCACCTTCAGGGCTTCCTCGT</t>
  </si>
  <si>
    <t xml:space="preserve">AAACACGAGGAAGCCCTGAAGGTG</t>
  </si>
  <si>
    <t xml:space="preserve">PST_2339</t>
  </si>
  <si>
    <t xml:space="preserve">GACCGCCAGTTCACGCGAGC</t>
  </si>
  <si>
    <t xml:space="preserve">TAGTGACCGCCAGTTCACGCGAGC</t>
  </si>
  <si>
    <t xml:space="preserve">AAACGCTCGCGTGAACTGGCGGTC</t>
  </si>
  <si>
    <t xml:space="preserve">GCAGGCTTCGGCCAGCGTGT</t>
  </si>
  <si>
    <t xml:space="preserve">TAGTGCAGGCTTCGGCCAGCGTGT</t>
  </si>
  <si>
    <t xml:space="preserve">AAACACACGCTGGCCGAAGCCTGC</t>
  </si>
  <si>
    <t xml:space="preserve">GCTGAATAACGTCGGCGTCA</t>
  </si>
  <si>
    <t xml:space="preserve">TAGTGCTGAATAACGTCGGCGTCA</t>
  </si>
  <si>
    <t xml:space="preserve">AAACTGACGCCGACGTTATTCAGC</t>
  </si>
  <si>
    <t xml:space="preserve">TTCCAGGGCGAGGATGGGTG</t>
  </si>
  <si>
    <t xml:space="preserve">TAGTTTCCAGGGCGAGGATGGGTG</t>
  </si>
  <si>
    <t xml:space="preserve">AAACCACCCATCCTCGCCCTGGAA</t>
  </si>
  <si>
    <t xml:space="preserve">PST_2340</t>
  </si>
  <si>
    <t xml:space="preserve">hisC2</t>
  </si>
  <si>
    <t xml:space="preserve">ACCGGCTTGCCTGGTACGTA</t>
  </si>
  <si>
    <t xml:space="preserve">TAGTACCGGCTTGCCTGGTACGTA</t>
  </si>
  <si>
    <t xml:space="preserve">AAACTACGTACCAGGCAAGCCGGT</t>
  </si>
  <si>
    <t xml:space="preserve">CCAGCTTGACGATTCCGGCG</t>
  </si>
  <si>
    <t xml:space="preserve">TAGTCCAGCTTGACGATTCCGGCG</t>
  </si>
  <si>
    <t xml:space="preserve">AAACCGCCGGAATCGTCAAGCTGG</t>
  </si>
  <si>
    <t xml:space="preserve">CCCCAGAGGGTTCTCATTGC</t>
  </si>
  <si>
    <t xml:space="preserve">TAGTCCCCAGAGGGTTCTCATTGC</t>
  </si>
  <si>
    <t xml:space="preserve">AAACGCAATGAGAACCCTCTGGGG</t>
  </si>
  <si>
    <t xml:space="preserve">CGCTGCCAGCGCCTTCGGGC</t>
  </si>
  <si>
    <t xml:space="preserve">TAGTCGCTGCCAGCGCCTTCGGGC</t>
  </si>
  <si>
    <t xml:space="preserve">AAACGCCCGAAGGCGCTGGCAGCG</t>
  </si>
  <si>
    <t xml:space="preserve">PST_2341</t>
  </si>
  <si>
    <t xml:space="preserve">pheA</t>
  </si>
  <si>
    <t xml:space="preserve">CCGCAGCGCCTTCAGCTGAT</t>
  </si>
  <si>
    <t xml:space="preserve">TAGTCCGCAGCGCCTTCAGCTGAT</t>
  </si>
  <si>
    <t xml:space="preserve">AAACATCAGCTGAAGGCGCTGCGG</t>
  </si>
  <si>
    <t xml:space="preserve">AGCCACTTCCTGGGCACAGC</t>
  </si>
  <si>
    <t xml:space="preserve">TAGTAGCCACTTCCTGGGCACAGC</t>
  </si>
  <si>
    <t xml:space="preserve">AAACGCTGTGCCCAGGAAGTGGCT</t>
  </si>
  <si>
    <t xml:space="preserve">CTCGCCCTCGGCCAGCGCAG</t>
  </si>
  <si>
    <t xml:space="preserve">TAGTCTCGCCCTCGGCCAGCGCAG</t>
  </si>
  <si>
    <t xml:space="preserve">AAACCTGCGCTGGCCGAGGGCGAG</t>
  </si>
  <si>
    <t xml:space="preserve">CCCAGGCTTCGCGTTCCGGG</t>
  </si>
  <si>
    <t xml:space="preserve">TAGTCCCAGGCTTCGCGTTCCGGG</t>
  </si>
  <si>
    <t xml:space="preserve">AAACCCCGGAACGCGAAGCCTGGG</t>
  </si>
  <si>
    <t xml:space="preserve">PST_2342</t>
  </si>
  <si>
    <t xml:space="preserve">serC</t>
  </si>
  <si>
    <t xml:space="preserve">TGAATCCCGGGCTCGGCGGC</t>
  </si>
  <si>
    <t xml:space="preserve">TAGTTGAATCCCGGGCTCGGCGGC</t>
  </si>
  <si>
    <t xml:space="preserve">AAACGCCGCCGAGCCCGGGATTCA</t>
  </si>
  <si>
    <t xml:space="preserve">CGGACCGGCACAGAAGTTAA</t>
  </si>
  <si>
    <t xml:space="preserve">TAGTCGGACCGGCACAGAAGTTAA</t>
  </si>
  <si>
    <t xml:space="preserve">AAACTTAACTTCTGTGCCGGTCCG</t>
  </si>
  <si>
    <t xml:space="preserve">ACGGCTTCGGGAAGCGCAGC</t>
  </si>
  <si>
    <t xml:space="preserve">TAGTACGGCTTCGGGAAGCGCAGC</t>
  </si>
  <si>
    <t xml:space="preserve">AAACGCTGCGCTTCCCGAAGCCGT</t>
  </si>
  <si>
    <t xml:space="preserve">GCTCCGCCTGGGCGCGCTGT</t>
  </si>
  <si>
    <t xml:space="preserve">TAGTGCTCCGCCTGGGCGCGCTGT</t>
  </si>
  <si>
    <t xml:space="preserve">AAACACAGCGCGCCCAGGCGGAGC</t>
  </si>
  <si>
    <t xml:space="preserve">PST_2343</t>
  </si>
  <si>
    <t xml:space="preserve">gyrA</t>
  </si>
  <si>
    <t xml:space="preserve">GTCCTGCGATAAGCGCGGGA</t>
  </si>
  <si>
    <t xml:space="preserve">TAGTGTCCTGCGATAAGCGCGGGA</t>
  </si>
  <si>
    <t xml:space="preserve">AAACTCCCGCGCTTATCGCAGGAC</t>
  </si>
  <si>
    <t xml:space="preserve">CTGGTTCCTTATAGTCAGCA</t>
  </si>
  <si>
    <t xml:space="preserve">TAGTCTGGTTCCTTATAGTCAGCA</t>
  </si>
  <si>
    <t xml:space="preserve">AAACTGCTGACTATAAGGAACCAG</t>
  </si>
  <si>
    <t xml:space="preserve">TTCTTTGGCCAGTTCGCCCA</t>
  </si>
  <si>
    <t xml:space="preserve">TAGTTTCTTTGGCCAGTTCGCCCA</t>
  </si>
  <si>
    <t xml:space="preserve">AAACTGGGCGAACTGGCCAAAGAA</t>
  </si>
  <si>
    <t xml:space="preserve">CGTCTTCGATATTGACCGGG</t>
  </si>
  <si>
    <t xml:space="preserve">TAGTCGTCTTCGATATTGACCGGG</t>
  </si>
  <si>
    <t xml:space="preserve">AAACCCCGGTCAATATCGAAGACG</t>
  </si>
  <si>
    <t xml:space="preserve">PST_2345</t>
  </si>
  <si>
    <t xml:space="preserve">CGATCTGTCAGCAGACCCAC</t>
  </si>
  <si>
    <t xml:space="preserve">TAGTCGATCTGTCAGCAGACCCAC</t>
  </si>
  <si>
    <t xml:space="preserve">AAACGTGGGTCTGCTGACAGATCG</t>
  </si>
  <si>
    <t xml:space="preserve">TGGTTCTGGCTGTTTTCCCC</t>
  </si>
  <si>
    <t xml:space="preserve">TAGTTGGTTCTGGCTGTTTTCCCC</t>
  </si>
  <si>
    <t xml:space="preserve">AAACGGGGAAAACAGCCAGAACCA</t>
  </si>
  <si>
    <t xml:space="preserve">AAGCGACGGCTATTGATGCC</t>
  </si>
  <si>
    <t xml:space="preserve">TAGTAAGCGACGGCTATTGATGCC</t>
  </si>
  <si>
    <t xml:space="preserve">AAACGGCATCAATAGCCGTCGCTT</t>
  </si>
  <si>
    <t xml:space="preserve">ACAGTGAGGCCTCGCATCCC</t>
  </si>
  <si>
    <t xml:space="preserve">TAGTACAGTGAGGCCTCGCATCCC</t>
  </si>
  <si>
    <t xml:space="preserve">AAACGGGATGCGAGGCCTCACTGT</t>
  </si>
  <si>
    <t xml:space="preserve">PST_2344</t>
  </si>
  <si>
    <t xml:space="preserve">TATATAGATACAGTATTAGG</t>
  </si>
  <si>
    <t xml:space="preserve">TAGTTATATAGATACAGTATTAGG</t>
  </si>
  <si>
    <t xml:space="preserve">AAACCCTAATACTGTATCTATATA</t>
  </si>
  <si>
    <t xml:space="preserve">GACCACGGAAGACATGAGTA</t>
  </si>
  <si>
    <t xml:space="preserve">TAGTGACCACGGAAGACATGAGTA</t>
  </si>
  <si>
    <t xml:space="preserve">AAACTACTCATGTCTTCCGTGGTC</t>
  </si>
  <si>
    <t xml:space="preserve">AGCATCCAGCAGGCGGTCAA</t>
  </si>
  <si>
    <t xml:space="preserve">TAGTAGCATCCAGCAGGCGGTCAA</t>
  </si>
  <si>
    <t xml:space="preserve">AAACTTGACCGCCTGCTGGATGCT</t>
  </si>
  <si>
    <t xml:space="preserve">CGGACTGGCCACGCCAGATG</t>
  </si>
  <si>
    <t xml:space="preserve">TAGTCGGACTGGCCACGCCAGATG</t>
  </si>
  <si>
    <t xml:space="preserve">AAACCATCTGGCGTGGCCAGTCCG</t>
  </si>
  <si>
    <t xml:space="preserve">PST_2346</t>
  </si>
  <si>
    <t xml:space="preserve">CAGTTGCGGCAGTAGAATGC</t>
  </si>
  <si>
    <t xml:space="preserve">TAGTCAGTTGCGGCAGTAGAATGC</t>
  </si>
  <si>
    <t xml:space="preserve">AAACGCATTCTACTGCCGCAACTG</t>
  </si>
  <si>
    <t xml:space="preserve">GAGCAGAACCAGTGGTGCGG</t>
  </si>
  <si>
    <t xml:space="preserve">TAGTGAGCAGAACCAGTGGTGCGG</t>
  </si>
  <si>
    <t xml:space="preserve">AAACCCGCACCACTGGTTCTGCTC</t>
  </si>
  <si>
    <t xml:space="preserve">CACGCGGCGCTGTGGCGGGC</t>
  </si>
  <si>
    <t xml:space="preserve">TAGTCACGCGGCGCTGTGGCGGGC</t>
  </si>
  <si>
    <t xml:space="preserve">AAACGCCCGCCACAGCGCCGCGTG</t>
  </si>
  <si>
    <t xml:space="preserve">GAGGCCGAGCTTGCGGGCGG</t>
  </si>
  <si>
    <t xml:space="preserve">TAGTGAGGCCGAGCTTGCGGGCGG</t>
  </si>
  <si>
    <t xml:space="preserve">AAACCCGCCCGCAAGCTCGGCCTC</t>
  </si>
  <si>
    <t xml:space="preserve">PST_2347</t>
  </si>
  <si>
    <t xml:space="preserve">GCAGTGCAGCTCGGCGTATT</t>
  </si>
  <si>
    <t xml:space="preserve">TAGTGCAGTGCAGCTCGGCGTATT</t>
  </si>
  <si>
    <t xml:space="preserve">AAACAATACGCCGAGCTGCACTGC</t>
  </si>
  <si>
    <t xml:space="preserve">GCTGGAAGCTGAAGTTGGAC</t>
  </si>
  <si>
    <t xml:space="preserve">TAGTGCTGGAAGCTGAAGTTGGAC</t>
  </si>
  <si>
    <t xml:space="preserve">AAACGTCCAACTTCAGCTTCCAGC</t>
  </si>
  <si>
    <t xml:space="preserve">CTCGAAGAGTTCGCGCGCGC</t>
  </si>
  <si>
    <t xml:space="preserve">TAGTCTCGAAGAGTTCGCGCGCGC</t>
  </si>
  <si>
    <t xml:space="preserve">AAACGCGCGCGCGAACTCTTCGAG</t>
  </si>
  <si>
    <t xml:space="preserve">TCGCCAGAGCGTCATAGCCC</t>
  </si>
  <si>
    <t xml:space="preserve">TAGTTCGCCAGAGCGTCATAGCCC</t>
  </si>
  <si>
    <t xml:space="preserve">AAACGGGCTATGACGCTCTGGCGA</t>
  </si>
  <si>
    <t xml:space="preserve">PST_2348</t>
  </si>
  <si>
    <t xml:space="preserve">TTTGCGCTTGAGTGAAAACA</t>
  </si>
  <si>
    <t xml:space="preserve">TAGTTTTGCGCTTGAGTGAAAACA</t>
  </si>
  <si>
    <t xml:space="preserve">AAACTGTTTTCACTCAAGCGCAAA</t>
  </si>
  <si>
    <t xml:space="preserve">TCCAGGCTGCTTCAGCGTGC</t>
  </si>
  <si>
    <t xml:space="preserve">TAGTTCCAGGCTGCTTCAGCGTGC</t>
  </si>
  <si>
    <t xml:space="preserve">AAACGCACGCTGAAGCAGCCTGGA</t>
  </si>
  <si>
    <t xml:space="preserve">GCCGACAGGTTGCTTTCGTG</t>
  </si>
  <si>
    <t xml:space="preserve">TAGTGCCGACAGGTTGCTTTCGTG</t>
  </si>
  <si>
    <t xml:space="preserve">AAACCACGAAAGCAACCTGTCGGC</t>
  </si>
  <si>
    <t xml:space="preserve">GAAAAACTGCTCTTCCGACA</t>
  </si>
  <si>
    <t xml:space="preserve">TAGTGAAAAACTGCTCTTCCGACA</t>
  </si>
  <si>
    <t xml:space="preserve">AAACTGTCGGAAGAGCAGTTTTTC</t>
  </si>
  <si>
    <t xml:space="preserve">PST_2349</t>
  </si>
  <si>
    <t xml:space="preserve">GATATGGGCGCAGTGCTGAC</t>
  </si>
  <si>
    <t xml:space="preserve">TAGTGATATGGGCGCAGTGCTGAC</t>
  </si>
  <si>
    <t xml:space="preserve">AAACGTCAGCACTGCGCCCATATC</t>
  </si>
  <si>
    <t xml:space="preserve">GGCAATCTGAAGGTGCAGCA</t>
  </si>
  <si>
    <t xml:space="preserve">TAGTGGCAATCTGAAGGTGCAGCA</t>
  </si>
  <si>
    <t xml:space="preserve">AAACTGCTGCACCTTCAGATTGCC</t>
  </si>
  <si>
    <t xml:space="preserve">GGACGAATCATTACTGTAGA</t>
  </si>
  <si>
    <t xml:space="preserve">TAGTGGACGAATCATTACTGTAGA</t>
  </si>
  <si>
    <t xml:space="preserve">AAACTCTACAGTAATGATTCGTCC</t>
  </si>
  <si>
    <t xml:space="preserve">ATCGGGCAAGCTTCTGAACA</t>
  </si>
  <si>
    <t xml:space="preserve">TAGTATCGGGCAAGCTTCTGAACA</t>
  </si>
  <si>
    <t xml:space="preserve">AAACTGTTCAGAAGCTTGCCCGAT</t>
  </si>
  <si>
    <t xml:space="preserve">PST_2350</t>
  </si>
  <si>
    <t xml:space="preserve">ACGCAGGATCGCAAACGTCA</t>
  </si>
  <si>
    <t xml:space="preserve">TAGTACGCAGGATCGCAAACGTCA</t>
  </si>
  <si>
    <t xml:space="preserve">AAACTGACGTTTGCGATCCTGCGT</t>
  </si>
  <si>
    <t xml:space="preserve">TCAGACTGCCGAGCAGGAAA</t>
  </si>
  <si>
    <t xml:space="preserve">TAGTTCAGACTGCCGAGCAGGAAA</t>
  </si>
  <si>
    <t xml:space="preserve">AAACTTTCCTGCTCGGCAGTCTGA</t>
  </si>
  <si>
    <t xml:space="preserve">TGAACAGGCTTCCGAGCAGC</t>
  </si>
  <si>
    <t xml:space="preserve">TAGTTGAACAGGCTTCCGAGCAGC</t>
  </si>
  <si>
    <t xml:space="preserve">AAACGCTGCTCGGAAGCCTGTTCA</t>
  </si>
  <si>
    <t xml:space="preserve">AATAGATCGGCCGCGAATGC</t>
  </si>
  <si>
    <t xml:space="preserve">TAGTAATAGATCGGCCGCGAATGC</t>
  </si>
  <si>
    <t xml:space="preserve">AAACGCATTCGCGGCCGATCTATT</t>
  </si>
  <si>
    <t xml:space="preserve">PST_2351</t>
  </si>
  <si>
    <t xml:space="preserve">GGGAGTCCAGGACCAGCTGC</t>
  </si>
  <si>
    <t xml:space="preserve">TAGTGGGAGTCCAGGACCAGCTGC</t>
  </si>
  <si>
    <t xml:space="preserve">AAACGCAGCTGGTCCTGGACTCCC</t>
  </si>
  <si>
    <t xml:space="preserve">GCCCTTGAGCAGGAAGGGCA</t>
  </si>
  <si>
    <t xml:space="preserve">TAGTGCCCTTGAGCAGGAAGGGCA</t>
  </si>
  <si>
    <t xml:space="preserve">AAACTGCCCTTCCTGCTCAAGGGC</t>
  </si>
  <si>
    <t xml:space="preserve">CCCACTCAGGCTCAGCACCA</t>
  </si>
  <si>
    <t xml:space="preserve">TAGTCCCACTCAGGCTCAGCACCA</t>
  </si>
  <si>
    <t xml:space="preserve">AAACTGGTGCTGAGCCTGAGTGGG</t>
  </si>
  <si>
    <t xml:space="preserve">ACCCTCGCCAGCCACTGCAG</t>
  </si>
  <si>
    <t xml:space="preserve">TAGTACCCTCGCCAGCCACTGCAG</t>
  </si>
  <si>
    <t xml:space="preserve">AAACCTGCAGTGGCTGGCGAGGGT</t>
  </si>
  <si>
    <t xml:space="preserve">PST_2352</t>
  </si>
  <si>
    <t xml:space="preserve">GGATTTTCTCAGGTTGCGCA</t>
  </si>
  <si>
    <t xml:space="preserve">TAGTGGATTTTCTCAGGTTGCGCA</t>
  </si>
  <si>
    <t xml:space="preserve">AAACTGCGCAACCTGAGAAAATCC</t>
  </si>
  <si>
    <t xml:space="preserve">GAGCACCTCCTGGCCATTGA</t>
  </si>
  <si>
    <t xml:space="preserve">TAGTGAGCACCTCCTGGCCATTGA</t>
  </si>
  <si>
    <t xml:space="preserve">AAACTCAATGGCCAGGAGGTGCTC</t>
  </si>
  <si>
    <t xml:space="preserve">CCTCGCCGGGGGCGATGTCC</t>
  </si>
  <si>
    <t xml:space="preserve">TAGTCCTCGCCGGGGGCGATGTCC</t>
  </si>
  <si>
    <t xml:space="preserve">AAACGGACATCGCCCCCGGCGAGG</t>
  </si>
  <si>
    <t xml:space="preserve">GCAGGTTGAGGCAGCGCAGC</t>
  </si>
  <si>
    <t xml:space="preserve">TAGTGCAGGTTGAGGCAGCGCAGC</t>
  </si>
  <si>
    <t xml:space="preserve">AAACGCTGCGCTGCCTCAACCTGC</t>
  </si>
  <si>
    <t xml:space="preserve">PST_2353</t>
  </si>
  <si>
    <t xml:space="preserve">GGCAGAAGATGAACCAGACC</t>
  </si>
  <si>
    <t xml:space="preserve">TAGTGGCAGAAGATGAACCAGACC</t>
  </si>
  <si>
    <t xml:space="preserve">AAACGGTCTGGTTCATCTTCTGCC</t>
  </si>
  <si>
    <t xml:space="preserve">AGATGATCCCAGACGAGAGA</t>
  </si>
  <si>
    <t xml:space="preserve">TAGTAGATGATCCCAGACGAGAGA</t>
  </si>
  <si>
    <t xml:space="preserve">AAACTCTCTCGTCTGGGATCATCT</t>
  </si>
  <si>
    <t xml:space="preserve">CGATGGCTCAGCGGAGTACC</t>
  </si>
  <si>
    <t xml:space="preserve">TAGTCGATGGCTCAGCGGAGTACC</t>
  </si>
  <si>
    <t xml:space="preserve">AAACGGTACTCCGCTGAGCCATCG</t>
  </si>
  <si>
    <t xml:space="preserve">AGGCGGCGTTGAAGGGAAAA</t>
  </si>
  <si>
    <t xml:space="preserve">TAGTAGGCGGCGTTGAAGGGAAAA</t>
  </si>
  <si>
    <t xml:space="preserve">AAACTTTTCCCTTCAACGCCGCCT</t>
  </si>
  <si>
    <t xml:space="preserve">PST_2354</t>
  </si>
  <si>
    <t xml:space="preserve">TGCTGATAGGGAATGGAATT</t>
  </si>
  <si>
    <t xml:space="preserve">TAGTTGCTGATAGGGAATGGAATT</t>
  </si>
  <si>
    <t xml:space="preserve">AAACAATTCCATTCCCTATCAGCA</t>
  </si>
  <si>
    <t xml:space="preserve">CGGTATGTGCGCTGAAAGCC</t>
  </si>
  <si>
    <t xml:space="preserve">TAGTCGGTATGTGCGCTGAAAGCC</t>
  </si>
  <si>
    <t xml:space="preserve">AAACGGCTTTCAGCGCACATACCG</t>
  </si>
  <si>
    <t xml:space="preserve">CCAGGGTCAGGCGGCCTTGG</t>
  </si>
  <si>
    <t xml:space="preserve">TAGTCCAGGGTCAGGCGGCCTTGG</t>
  </si>
  <si>
    <t xml:space="preserve">AAACCCAAGGCCGCCTGACCCTGG</t>
  </si>
  <si>
    <t xml:space="preserve">CACCGGAAAAGGCTTCGAGG</t>
  </si>
  <si>
    <t xml:space="preserve">TAGTCACCGGAAAAGGCTTCGAGG</t>
  </si>
  <si>
    <t xml:space="preserve">AAACCCTCGAAGCCTTTTCCGGTG</t>
  </si>
  <si>
    <t xml:space="preserve">PST_2355</t>
  </si>
  <si>
    <t xml:space="preserve">ATACAGGGCGAGACGGTCGA</t>
  </si>
  <si>
    <t xml:space="preserve">TAGTATACAGGGCGAGACGGTCGA</t>
  </si>
  <si>
    <t xml:space="preserve">AAACTCGACCGTCTCGCCCTGTAT</t>
  </si>
  <si>
    <t xml:space="preserve">CACCCGTTGCCCCTGCTGCA</t>
  </si>
  <si>
    <t xml:space="preserve">TAGTCACCCGTTGCCCCTGCTGCA</t>
  </si>
  <si>
    <t xml:space="preserve">AAACTGCAGCAGGGGCAACGGGTG</t>
  </si>
  <si>
    <t xml:space="preserve">TCCAGGGACGATGCGTTGCG</t>
  </si>
  <si>
    <t xml:space="preserve">TAGTTCCAGGGACGATGCGTTGCG</t>
  </si>
  <si>
    <t xml:space="preserve">AAACCGCAACGCATCGTCCCTGGA</t>
  </si>
  <si>
    <t xml:space="preserve">TTCGCGCAGGGCGTTTGTAG</t>
  </si>
  <si>
    <t xml:space="preserve">TAGTTTCGCGCAGGGCGTTTGTAG</t>
  </si>
  <si>
    <t xml:space="preserve">AAACCTACAAACGCCCTGCGCGAA</t>
  </si>
  <si>
    <t xml:space="preserve">PST_2356</t>
  </si>
  <si>
    <t xml:space="preserve">kefC</t>
  </si>
  <si>
    <t xml:space="preserve">TTGTCCTGCGTTGCCTTCAG</t>
  </si>
  <si>
    <t xml:space="preserve">TAGTTTGTCCTGCGTTGCCTTCAG</t>
  </si>
  <si>
    <t xml:space="preserve">AAACCTGAAGGCAACGCAGGACAA</t>
  </si>
  <si>
    <t xml:space="preserve">CGGCACTGCCACCACGGCGG</t>
  </si>
  <si>
    <t xml:space="preserve">TAGTCGGCACTGCCACCACGGCGG</t>
  </si>
  <si>
    <t xml:space="preserve">AAACCCGCCGTGGTGGCAGTGCCG</t>
  </si>
  <si>
    <t xml:space="preserve">AACCCGATGCGTTTGAGCAG</t>
  </si>
  <si>
    <t xml:space="preserve">TAGTAACCCGATGCGTTTGAGCAG</t>
  </si>
  <si>
    <t xml:space="preserve">AAACCTGCTCAAACGCATCGGGTT</t>
  </si>
  <si>
    <t xml:space="preserve">TGGATCAGTTGCAGTCCGAA</t>
  </si>
  <si>
    <t xml:space="preserve">TAGTTGGATCAGTTGCAGTCCGAA</t>
  </si>
  <si>
    <t xml:space="preserve">AAACTTCGGACTGCAACTGATCCA</t>
  </si>
  <si>
    <t xml:space="preserve">PST_2357</t>
  </si>
  <si>
    <t xml:space="preserve">GAGTCGTTCAAGTGTCGTCC</t>
  </si>
  <si>
    <t xml:space="preserve">TAGTGAGTCGTTCAAGTGTCGTCC</t>
  </si>
  <si>
    <t xml:space="preserve">AAACGGACGACACTTGAACGACTC</t>
  </si>
  <si>
    <t xml:space="preserve">TCATCACCGCCCAGTCACGG</t>
  </si>
  <si>
    <t xml:space="preserve">TAGTTCATCACCGCCCAGTCACGG</t>
  </si>
  <si>
    <t xml:space="preserve">AAACCCGTGACTGGGCGGTGATGA</t>
  </si>
  <si>
    <t xml:space="preserve">CGCTGAAAGGATGATGGCGA</t>
  </si>
  <si>
    <t xml:space="preserve">TAGTCGCTGAAAGGATGATGGCGA</t>
  </si>
  <si>
    <t xml:space="preserve">AAACTCGCCATCATCCTTTCAGCG</t>
  </si>
  <si>
    <t xml:space="preserve">TCAGCTGCACCAGGGACACC</t>
  </si>
  <si>
    <t xml:space="preserve">TAGTTCAGCTGCACCAGGGACACC</t>
  </si>
  <si>
    <t xml:space="preserve">AAACGGTGTCCCTGGTGCAGCTGA</t>
  </si>
  <si>
    <t xml:space="preserve">PST_2358</t>
  </si>
  <si>
    <t xml:space="preserve">CACAGGGGTAGCAGTCGAAG</t>
  </si>
  <si>
    <t xml:space="preserve">TAGTCACAGGGGTAGCAGTCGAAG</t>
  </si>
  <si>
    <t xml:space="preserve">AAACCTTCGACTGCTACCCCTGTG</t>
  </si>
  <si>
    <t xml:space="preserve">GGCGAATGCCGAGTGCGATC</t>
  </si>
  <si>
    <t xml:space="preserve">TAGTGGCGAATGCCGAGTGCGATC</t>
  </si>
  <si>
    <t xml:space="preserve">AAACGATCGCACTCGGCATTCGCC</t>
  </si>
  <si>
    <t xml:space="preserve">AGAAATATCTGGGCTTCGTA</t>
  </si>
  <si>
    <t xml:space="preserve">TAGTAGAAATATCTGGGCTTCGTA</t>
  </si>
  <si>
    <t xml:space="preserve">AAACTACGAAGCCCAGATATTTCT</t>
  </si>
  <si>
    <t xml:space="preserve">GTACTTTACAAACTCTGCGC</t>
  </si>
  <si>
    <t xml:space="preserve">TAGTGTACTTTACAAACTCTGCGC</t>
  </si>
  <si>
    <t xml:space="preserve">AAACGCGCAGAGTTTGTAAAGTAC</t>
  </si>
  <si>
    <t xml:space="preserve">PST_2359</t>
  </si>
  <si>
    <t xml:space="preserve">GACGAAACCGCCGTGGGTAA</t>
  </si>
  <si>
    <t xml:space="preserve">TAGTGACGAAACCGCCGTGGGTAA</t>
  </si>
  <si>
    <t xml:space="preserve">AAACTTACCCACGGCGGTTTCGTC</t>
  </si>
  <si>
    <t xml:space="preserve">TTGAATTAAATAAGCGGCCC</t>
  </si>
  <si>
    <t xml:space="preserve">TAGTTTGAATTAAATAAGCGGCCC</t>
  </si>
  <si>
    <t xml:space="preserve">AAACGGGCCGCTTATTTAATTCAA</t>
  </si>
  <si>
    <t xml:space="preserve">AAGATGGTCTTGCCCGAACC</t>
  </si>
  <si>
    <t xml:space="preserve">TAGTAAGATGGTCTTGCCCGAACC</t>
  </si>
  <si>
    <t xml:space="preserve">AAACGGTTCGGGCAAGACCATCTT</t>
  </si>
  <si>
    <t xml:space="preserve">CCGTGTGATGGAAGGCGACC</t>
  </si>
  <si>
    <t xml:space="preserve">TAGTCCGTGTGATGGAAGGCGACC</t>
  </si>
  <si>
    <t xml:space="preserve">AAACGGTCGCCTTCCATCACACGG</t>
  </si>
  <si>
    <t xml:space="preserve">PST_2360</t>
  </si>
  <si>
    <t xml:space="preserve">GACTACCAAGACCGTTGTCA</t>
  </si>
  <si>
    <t xml:space="preserve">TAGTGACTACCAAGACCGTTGTCA</t>
  </si>
  <si>
    <t xml:space="preserve">AAACTGACAACGGTCTTGGTAGTC</t>
  </si>
  <si>
    <t xml:space="preserve">CGTCTTCAAGCGCAAGGGTC</t>
  </si>
  <si>
    <t xml:space="preserve">TAGTCGTCTTCAAGCGCAAGGGTC</t>
  </si>
  <si>
    <t xml:space="preserve">AAACGACCCTTGCGCTTGAAGACG</t>
  </si>
  <si>
    <t xml:space="preserve">CGATAGTCCTTCGCGATGCA</t>
  </si>
  <si>
    <t xml:space="preserve">TAGTCGATAGTCCTTCGCGATGCA</t>
  </si>
  <si>
    <t xml:space="preserve">AAACTGCATCGCGAAGGACTATCG</t>
  </si>
  <si>
    <t xml:space="preserve">AGCTCCAAGCCATTCATCAA</t>
  </si>
  <si>
    <t xml:space="preserve">TAGTAGCTCCAAGCCATTCATCAA</t>
  </si>
  <si>
    <t xml:space="preserve">AAACTTGATGAATGGCTTGGAGCT</t>
  </si>
  <si>
    <t xml:space="preserve">PST_2362</t>
  </si>
  <si>
    <t xml:space="preserve">TAGCGCTTGCCCGGAATGGC</t>
  </si>
  <si>
    <t xml:space="preserve">TAGTTAGCGCTTGCCCGGAATGGC</t>
  </si>
  <si>
    <t xml:space="preserve">AAACGCCATTCCGGGCAAGCGCTA</t>
  </si>
  <si>
    <t xml:space="preserve">GAGTTCGCTGACCTCACCAA</t>
  </si>
  <si>
    <t xml:space="preserve">TAGTGAGTTCGCTGACCTCACCAA</t>
  </si>
  <si>
    <t xml:space="preserve">AAACTTGGTGAGGTCAGCGAACTC</t>
  </si>
  <si>
    <t xml:space="preserve">TCCCAGTAACGCAGCACATG</t>
  </si>
  <si>
    <t xml:space="preserve">TAGTTCCCAGTAACGCAGCACATG</t>
  </si>
  <si>
    <t xml:space="preserve">AAACCATGTGCTGCGTTACTGGGA</t>
  </si>
  <si>
    <t xml:space="preserve">CGCTTCACCGGGTTCAGCTG</t>
  </si>
  <si>
    <t xml:space="preserve">TAGTCGCTTCACCGGGTTCAGCTG</t>
  </si>
  <si>
    <t xml:space="preserve">AAACCAGCTGAACCCGGTGAAGCG</t>
  </si>
  <si>
    <t xml:space="preserve">PST_2363</t>
  </si>
  <si>
    <t xml:space="preserve">ihfA</t>
  </si>
  <si>
    <t xml:space="preserve">AAACAGCTCGACCAGTTCCT</t>
  </si>
  <si>
    <t xml:space="preserve">TAGTAAACAGCTCGACCAGTTCCT</t>
  </si>
  <si>
    <t xml:space="preserve">AAACAGGAACTGGTCGAGCTGTTT</t>
  </si>
  <si>
    <t xml:space="preserve">CGTTGTGCTCGAGCGCCTGT</t>
  </si>
  <si>
    <t xml:space="preserve">TAGTCGTTGTGCTCGAGCGCCTGT</t>
  </si>
  <si>
    <t xml:space="preserve">AAACACAGGCGCTCGAGCACAACG</t>
  </si>
  <si>
    <t xml:space="preserve">CAGGTCGAAGTTGCCGAAGC</t>
  </si>
  <si>
    <t xml:space="preserve">TAGTCAGGTCGAAGTTGCCGAAGC</t>
  </si>
  <si>
    <t xml:space="preserve">AAACGCTTCGGCAACTTCGACCTG</t>
  </si>
  <si>
    <t xml:space="preserve">CCGTCTTCGGATTACGACCT</t>
  </si>
  <si>
    <t xml:space="preserve">TAGTCCGTCTTCGGATTACGACCT</t>
  </si>
  <si>
    <t xml:space="preserve">AAACAGGTCGTAATCCGAAGACGG</t>
  </si>
  <si>
    <t xml:space="preserve">PST_2364</t>
  </si>
  <si>
    <t xml:space="preserve">pheT</t>
  </si>
  <si>
    <t xml:space="preserve">GCTCCTCACGCGAAACCTGT</t>
  </si>
  <si>
    <t xml:space="preserve">TAGTGCTCCTCACGCGAAACCTGT</t>
  </si>
  <si>
    <t xml:space="preserve">AAACACAGGTTTCGCGTGAGGAGC</t>
  </si>
  <si>
    <t xml:space="preserve">AAGCCCGACCATGGACAGAC</t>
  </si>
  <si>
    <t xml:space="preserve">TAGTAAGCCCGACCATGGACAGAC</t>
  </si>
  <si>
    <t xml:space="preserve">AAACGTCTGTCCATGGTCGGGCTT</t>
  </si>
  <si>
    <t xml:space="preserve">ACTACCGGCAACCGGTGTCA</t>
  </si>
  <si>
    <t xml:space="preserve">TAGTACTACCGGCAACCGGTGTCA</t>
  </si>
  <si>
    <t xml:space="preserve">AAACTGACACCGGTTGCCGGTAGT</t>
  </si>
  <si>
    <t xml:space="preserve">ACCCTGAGCTTGTCGGCATC</t>
  </si>
  <si>
    <t xml:space="preserve">TAGTACCCTGAGCTTGTCGGCATC</t>
  </si>
  <si>
    <t xml:space="preserve">AAACGATGCCGACAAGCTCAGGGT</t>
  </si>
  <si>
    <t xml:space="preserve">PST_2365</t>
  </si>
  <si>
    <t xml:space="preserve">pheS</t>
  </si>
  <si>
    <t xml:space="preserve">TCCATGTACATAACCTCCAG</t>
  </si>
  <si>
    <t xml:space="preserve">TAGTTCCATGTACATAACCTCCAG</t>
  </si>
  <si>
    <t xml:space="preserve">AAACCTGGAGGTTATGTACATGGA</t>
  </si>
  <si>
    <t xml:space="preserve">GACGTCTTCACTTCGTTGCA</t>
  </si>
  <si>
    <t xml:space="preserve">TAGTGACGTCTTCACTTCGTTGCA</t>
  </si>
  <si>
    <t xml:space="preserve">AAACTGCAACGAAGTGAAGACGTC</t>
  </si>
  <si>
    <t xml:space="preserve">TCTTGCCCAGGTACTGAACC</t>
  </si>
  <si>
    <t xml:space="preserve">TAGTTCTTGCCCAGGTACTGAACC</t>
  </si>
  <si>
    <t xml:space="preserve">AAACGGTTCAGTACCTGGGCAAGA</t>
  </si>
  <si>
    <t xml:space="preserve">GCCAGCCTGTGGGCGCTCTT</t>
  </si>
  <si>
    <t xml:space="preserve">TAGTGCCAGCCTGTGGGCGCTCTT</t>
  </si>
  <si>
    <t xml:space="preserve">AAACAAGAGCGCCCACAGGCTGGC</t>
  </si>
  <si>
    <t xml:space="preserve">PST_2366</t>
  </si>
  <si>
    <t xml:space="preserve">rplT</t>
  </si>
  <si>
    <t xml:space="preserve">AATTTTCTTGTGACGGCGAC</t>
  </si>
  <si>
    <t xml:space="preserve">TAGTAATTTTCTTGTGACGGCGAC</t>
  </si>
  <si>
    <t xml:space="preserve">AAACGTCGCCGTCACAAGAAAATT</t>
  </si>
  <si>
    <t xml:space="preserve">ACGCGCACCGTAGTAGCCTT</t>
  </si>
  <si>
    <t xml:space="preserve">TAGTACGCGCACCGTAGTAGCCTT</t>
  </si>
  <si>
    <t xml:space="preserve">AAACAAGGCTACTACGGTGCGCGT</t>
  </si>
  <si>
    <t xml:space="preserve">TTACCGCCTGCTTGGCAACG</t>
  </si>
  <si>
    <t xml:space="preserve">TAGTTTACCGCCTGCTTGGCAACG</t>
  </si>
  <si>
    <t xml:space="preserve">AAACCGTTGCCAAGCAGGCGGTAA</t>
  </si>
  <si>
    <t xml:space="preserve">GGCGGTCACGGTAGGCGTAT</t>
  </si>
  <si>
    <t xml:space="preserve">TAGTGGCGGTCACGGTAGGCGTAT</t>
  </si>
  <si>
    <t xml:space="preserve">AAACATACGCCTACCGTGACCGCC</t>
  </si>
  <si>
    <t xml:space="preserve">PST_2367</t>
  </si>
  <si>
    <t xml:space="preserve">rpmI</t>
  </si>
  <si>
    <t xml:space="preserve">CCACTTTTGGTTTTCATCTT</t>
  </si>
  <si>
    <t xml:space="preserve">TAGTCCACTTTTGGTTTTCATCTT</t>
  </si>
  <si>
    <t xml:space="preserve">AAACAAGATGAAAACCAAAAGTGG</t>
  </si>
  <si>
    <t xml:space="preserve">TGGTCATCTTGGTCAGGATG</t>
  </si>
  <si>
    <t xml:space="preserve">TAGTTGGTCATCTTGGTCAGGATG</t>
  </si>
  <si>
    <t xml:space="preserve">AAACCATCCTGACCAAGATGACCA</t>
  </si>
  <si>
    <t xml:space="preserve">CAGCTGACGCTTACGCTTGG</t>
  </si>
  <si>
    <t xml:space="preserve">TAGTCAGCTGACGCTTACGCTTGG</t>
  </si>
  <si>
    <t xml:space="preserve">AAACCCAAGCGTAAGCGTCAGCTG</t>
  </si>
  <si>
    <t xml:space="preserve">TCCACTTTTGCAACGTCAGA</t>
  </si>
  <si>
    <t xml:space="preserve">TAGTTCCACTTTTGCAACGTCAGA</t>
  </si>
  <si>
    <t xml:space="preserve">AAACTCTGACGTTGCAAAAGTGGA</t>
  </si>
  <si>
    <t xml:space="preserve">PST_2368</t>
  </si>
  <si>
    <t xml:space="preserve">infC</t>
  </si>
  <si>
    <t xml:space="preserve">TTTTCGTTGATCGGTGCCTT</t>
  </si>
  <si>
    <t xml:space="preserve">TAGTTTTTCGTTGATCGGTGCCTT</t>
  </si>
  <si>
    <t xml:space="preserve">AAACAAGGCACCGATCAACGAAAA</t>
  </si>
  <si>
    <t xml:space="preserve">GATCAGGCGCACTTCGCGCG</t>
  </si>
  <si>
    <t xml:space="preserve">TAGTGATCAGGCGCACTTCGCGCG</t>
  </si>
  <si>
    <t xml:space="preserve">AAACCGCGCGAAGTGCGCCTGATC</t>
  </si>
  <si>
    <t xml:space="preserve">CAGATCCAGCTTTGCCTCTT</t>
  </si>
  <si>
    <t xml:space="preserve">TAGTCAGATCCAGCTTTGCCTCTT</t>
  </si>
  <si>
    <t xml:space="preserve">AAACAAGAGGCAAAGCTGGATCTG</t>
  </si>
  <si>
    <t xml:space="preserve">GACCGGGGGATTCGCATCAG</t>
  </si>
  <si>
    <t xml:space="preserve">TAGTGACCGGGGGATTCGCATCAG</t>
  </si>
  <si>
    <t xml:space="preserve">AAACCTGATGCGAATCCCCCGGTC</t>
  </si>
  <si>
    <t xml:space="preserve">PST_2369</t>
  </si>
  <si>
    <t xml:space="preserve">thrS</t>
  </si>
  <si>
    <t xml:space="preserve">GGGAAGAGTAATGGTGGGCA</t>
  </si>
  <si>
    <t xml:space="preserve">TAGTGGGAAGAGTAATGGTGGGCA</t>
  </si>
  <si>
    <t xml:space="preserve">AAACTGCCCACCATTACTCTTCCC</t>
  </si>
  <si>
    <t xml:space="preserve">AACGAACGCTGACTGCCATC</t>
  </si>
  <si>
    <t xml:space="preserve">TAGTAACGAACGCTGACTGCCATC</t>
  </si>
  <si>
    <t xml:space="preserve">AAACGATGGCAGTCAGCGTTCGTT</t>
  </si>
  <si>
    <t xml:space="preserve">GCAACCTCAGCCACGGTAAC</t>
  </si>
  <si>
    <t xml:space="preserve">TAGTGCAACCTCAGCCACGGTAAC</t>
  </si>
  <si>
    <t xml:space="preserve">AAACGTTACCGTGGCTGAGGTTGC</t>
  </si>
  <si>
    <t xml:space="preserve">CTTCGCAAGGCCGGCGCCAA</t>
  </si>
  <si>
    <t xml:space="preserve">TAGTCTTCGCAAGGCCGGCGCCAA</t>
  </si>
  <si>
    <t xml:space="preserve">AAACTTGGCGCCGGCCTTGCGAAG</t>
  </si>
  <si>
    <t xml:space="preserve">PST_2371</t>
  </si>
  <si>
    <t xml:space="preserve">GAAGCTGGATAGTCCTTGTG</t>
  </si>
  <si>
    <t xml:space="preserve">TAGTGAAGCTGGATAGTCCTTGTG</t>
  </si>
  <si>
    <t xml:space="preserve">AAACCACAAGGACTATCCAGCTTC</t>
  </si>
  <si>
    <t xml:space="preserve">ATTGGAGGTTGCAGCATAGT</t>
  </si>
  <si>
    <t xml:space="preserve">TAGTATTGGAGGTTGCAGCATAGT</t>
  </si>
  <si>
    <t xml:space="preserve">AAACACTATGCTGCAACCTCCAAT</t>
  </si>
  <si>
    <t xml:space="preserve">AGCTAGCGCGGGGCGAGATA</t>
  </si>
  <si>
    <t xml:space="preserve">TAGTAGCTAGCGCGGGGCGAGATA</t>
  </si>
  <si>
    <t xml:space="preserve">AAACTATCTCGCCCCGCGCTAGCT</t>
  </si>
  <si>
    <t xml:space="preserve">AGTGGACAGACCGGTGTAAC</t>
  </si>
  <si>
    <t xml:space="preserve">TAGTAGTGGACAGACCGGTGTAAC</t>
  </si>
  <si>
    <t xml:space="preserve">AAACGTTACACCGGTCTGTCCACT</t>
  </si>
  <si>
    <t xml:space="preserve">PST_2372</t>
  </si>
  <si>
    <t xml:space="preserve">ATACAAGCAGGGCTAACCGC</t>
  </si>
  <si>
    <t xml:space="preserve">TAGTATACAAGCAGGGCTAACCGC</t>
  </si>
  <si>
    <t xml:space="preserve">AAACGCGGTTAGCCCTGCTTGTAT</t>
  </si>
  <si>
    <t xml:space="preserve">TACGAGCACAGGCCCCGAGC</t>
  </si>
  <si>
    <t xml:space="preserve">TAGTTACGAGCACAGGCCCCGAGC</t>
  </si>
  <si>
    <t xml:space="preserve">AAACGCTCGGGGCCTGTGCTCGTA</t>
  </si>
  <si>
    <t xml:space="preserve">GGCCCGAACGGGGAGGTGCG</t>
  </si>
  <si>
    <t xml:space="preserve">TAGTGGCCCGAACGGGGAGGTGCG</t>
  </si>
  <si>
    <t xml:space="preserve">AAACCGCACCTCCCCGTTCGGGCC</t>
  </si>
  <si>
    <t xml:space="preserve">GAACGGTACATCAGCCAACT</t>
  </si>
  <si>
    <t xml:space="preserve">TAGTGAACGGTACATCAGCCAACT</t>
  </si>
  <si>
    <t xml:space="preserve">AAACAGTTGGCTGATGTACCGTTC</t>
  </si>
  <si>
    <t xml:space="preserve">PST_2373</t>
  </si>
  <si>
    <t xml:space="preserve">GATACGCTTGAGTAACGGGG</t>
  </si>
  <si>
    <t xml:space="preserve">TAGTGATACGCTTGAGTAACGGGG</t>
  </si>
  <si>
    <t xml:space="preserve">AAACCCCCGTTACTCAAGCGTATC</t>
  </si>
  <si>
    <t xml:space="preserve">GATATGCAAAGCAGCCAGTA</t>
  </si>
  <si>
    <t xml:space="preserve">TAGTGATATGCAAAGCAGCCAGTA</t>
  </si>
  <si>
    <t xml:space="preserve">AAACTACTGGCTGCTTTGCATATC</t>
  </si>
  <si>
    <t xml:space="preserve">TGGGAATCTGTGCCACCAAC</t>
  </si>
  <si>
    <t xml:space="preserve">TAGTTGGGAATCTGTGCCACCAAC</t>
  </si>
  <si>
    <t xml:space="preserve">AAACGTTGGTGGCACAGATTCCCA</t>
  </si>
  <si>
    <t xml:space="preserve">GATCATGGCAGCCTGCGCCA</t>
  </si>
  <si>
    <t xml:space="preserve">TAGTGATCATGGCAGCCTGCGCCA</t>
  </si>
  <si>
    <t xml:space="preserve">AAACTGGCGCAGGCTGCCATGATC</t>
  </si>
  <si>
    <t xml:space="preserve">PST_2374</t>
  </si>
  <si>
    <t xml:space="preserve">TCGATGCGAGAAAGCTGATT</t>
  </si>
  <si>
    <t xml:space="preserve">TAGTTCGATGCGAGAAAGCTGATT</t>
  </si>
  <si>
    <t xml:space="preserve">AAACAATCAGCTTTCTCGCATCGA</t>
  </si>
  <si>
    <t xml:space="preserve">CGCCCGGGGTTGCAGTGGTT</t>
  </si>
  <si>
    <t xml:space="preserve">TAGTCGCCCGGGGTTGCAGTGGTT</t>
  </si>
  <si>
    <t xml:space="preserve">AAACAACCACTGCAACCCCGGGCG</t>
  </si>
  <si>
    <t xml:space="preserve">TTGCTGGGTATTGGCTTGCT</t>
  </si>
  <si>
    <t xml:space="preserve">TAGTTTGCTGGGTATTGGCTTGCT</t>
  </si>
  <si>
    <t xml:space="preserve">AAACAGCAAGCCAATACCCAGCAA</t>
  </si>
  <si>
    <t xml:space="preserve">GGGTTGCGACCTTGCCGACA</t>
  </si>
  <si>
    <t xml:space="preserve">TAGTGGGTTGCGACCTTGCCGACA</t>
  </si>
  <si>
    <t xml:space="preserve">AAACTGTCGGCAAGGTCGCAACCC</t>
  </si>
  <si>
    <t xml:space="preserve">PST_2375</t>
  </si>
  <si>
    <t xml:space="preserve">GAGAATGATTCCGATCGCCT</t>
  </si>
  <si>
    <t xml:space="preserve">TAGTGAGAATGATTCCGATCGCCT</t>
  </si>
  <si>
    <t xml:space="preserve">AAACAGGCGATCGGAATCATTCTC</t>
  </si>
  <si>
    <t xml:space="preserve">ACGAATTCACCCTCATCCAT</t>
  </si>
  <si>
    <t xml:space="preserve">TAGTACGAATTCACCCTCATCCAT</t>
  </si>
  <si>
    <t xml:space="preserve">AAACATGGATGAGGGTGAATTCGT</t>
  </si>
  <si>
    <t xml:space="preserve">GGAAGAAGAACAACGGCATG</t>
  </si>
  <si>
    <t xml:space="preserve">TAGTGGAAGAAGAACAACGGCATG</t>
  </si>
  <si>
    <t xml:space="preserve">AAACCATGCCGTTGTTCTTCTTCC</t>
  </si>
  <si>
    <t xml:space="preserve">CGAAAAAAAACAAGCCGGAA</t>
  </si>
  <si>
    <t xml:space="preserve">TAGTCGAAAAAAAACAAGCCGGAA</t>
  </si>
  <si>
    <t xml:space="preserve">AAACTTCCGGCTTGTTTTTTTTCG</t>
  </si>
  <si>
    <t xml:space="preserve">PST_2376</t>
  </si>
  <si>
    <t xml:space="preserve">mobA</t>
  </si>
  <si>
    <t xml:space="preserve">TGGAAAGTTGAGTCGGTCAT</t>
  </si>
  <si>
    <t xml:space="preserve">TAGTTGGAAAGTTGAGTCGGTCAT</t>
  </si>
  <si>
    <t xml:space="preserve">AAACATGACCGACTCAACTTTCCA</t>
  </si>
  <si>
    <t xml:space="preserve">GAAGCAGAATGGAGCAGGAC</t>
  </si>
  <si>
    <t xml:space="preserve">TAGTGAAGCAGAATGGAGCAGGAC</t>
  </si>
  <si>
    <t xml:space="preserve">AAACGTCCTGCTCCATTCTGCTTC</t>
  </si>
  <si>
    <t xml:space="preserve">CATACGCTGCCCGCGGCCTC</t>
  </si>
  <si>
    <t xml:space="preserve">TAGTCATACGCTGCCCGCGGCCTC</t>
  </si>
  <si>
    <t xml:space="preserve">AAACGAGGCCGCGGGCAGCGTATG</t>
  </si>
  <si>
    <t xml:space="preserve">CATGCAGCCAGGCGATCAGT</t>
  </si>
  <si>
    <t xml:space="preserve">TAGTCATGCAGCCAGGCGATCAGT</t>
  </si>
  <si>
    <t xml:space="preserve">AAACACTGATCGCCTGGCTGCATG</t>
  </si>
  <si>
    <t xml:space="preserve">PST_2377</t>
  </si>
  <si>
    <t xml:space="preserve">CTGCGAGTAACGATAACCAT</t>
  </si>
  <si>
    <t xml:space="preserve">TAGTCTGCGAGTAACGATAACCAT</t>
  </si>
  <si>
    <t xml:space="preserve">AAACATGGTTATCGTTACTCGCAG</t>
  </si>
  <si>
    <t xml:space="preserve">CTCAGCGCAAGAATGAGGGC</t>
  </si>
  <si>
    <t xml:space="preserve">TAGTCTCAGCGCAAGAATGAGGGC</t>
  </si>
  <si>
    <t xml:space="preserve">AAACGCCCTCATTCTTGCGCTGAG</t>
  </si>
  <si>
    <t xml:space="preserve">AACGCTCGGATTGGCGCAAC</t>
  </si>
  <si>
    <t xml:space="preserve">TAGTAACGCTCGGATTGGCGCAAC</t>
  </si>
  <si>
    <t xml:space="preserve">AAACGTTGCGCCAATCCGAGCGTT</t>
  </si>
  <si>
    <t xml:space="preserve">GATCTCGCGACCGTCGTTCA</t>
  </si>
  <si>
    <t xml:space="preserve">TAGTGATCTCGCGACCGTCGTTCA</t>
  </si>
  <si>
    <t xml:space="preserve">AAACTGAACGACGGTCGCGAGATC</t>
  </si>
  <si>
    <t xml:space="preserve">PST_2379</t>
  </si>
  <si>
    <t xml:space="preserve">AAATTCTAGCAAGGCCGAGG</t>
  </si>
  <si>
    <t xml:space="preserve">TAGTAAATTCTAGCAAGGCCGAGG</t>
  </si>
  <si>
    <t xml:space="preserve">AAACCCTCGGCCTTGCTAGAATTT</t>
  </si>
  <si>
    <t xml:space="preserve">AGCTGGCATTCAGGCAACAT</t>
  </si>
  <si>
    <t xml:space="preserve">TAGTAGCTGGCATTCAGGCAACAT</t>
  </si>
  <si>
    <t xml:space="preserve">AAACATGTTGCCTGAATGCCAGCT</t>
  </si>
  <si>
    <t xml:space="preserve">CTTCTGCCTGCTCGCAGAGA</t>
  </si>
  <si>
    <t xml:space="preserve">TAGTCTTCTGCCTGCTCGCAGAGA</t>
  </si>
  <si>
    <t xml:space="preserve">AAACTCTCTGCGAGCAGGCAGAAG</t>
  </si>
  <si>
    <t xml:space="preserve">AACAGCCCATGCTCTACAAG</t>
  </si>
  <si>
    <t xml:space="preserve">TAGTAACAGCCCATGCTCTACAAG</t>
  </si>
  <si>
    <t xml:space="preserve">AAACCTTGTAGAGCATGGGCTGTT</t>
  </si>
  <si>
    <t xml:space="preserve">PST_2380</t>
  </si>
  <si>
    <t xml:space="preserve">GGCCACGCCCCGGGCGATGG</t>
  </si>
  <si>
    <t xml:space="preserve">TAGTGGCCACGCCCCGGGCGATGG</t>
  </si>
  <si>
    <t xml:space="preserve">AAACCCATCGCCCGGGGCGTGGCC</t>
  </si>
  <si>
    <t xml:space="preserve">TGTTGCTCCCAGAGTGGCGA</t>
  </si>
  <si>
    <t xml:space="preserve">TAGTTGTTGCTCCCAGAGTGGCGA</t>
  </si>
  <si>
    <t xml:space="preserve">AAACTCGCCACTCTGGGAGCAACA</t>
  </si>
  <si>
    <t xml:space="preserve">AGGCGGCTTGAGCCATGGTT</t>
  </si>
  <si>
    <t xml:space="preserve">TAGTAGGCGGCTTGAGCCATGGTT</t>
  </si>
  <si>
    <t xml:space="preserve">AAACAACCATGGCTCAAGCCGCCT</t>
  </si>
  <si>
    <t xml:space="preserve">AGCCTTGGTGTCTTCGATGA</t>
  </si>
  <si>
    <t xml:space="preserve">TAGTAGCCTTGGTGTCTTCGATGA</t>
  </si>
  <si>
    <t xml:space="preserve">AAACTCATCGAAGACACCAAGGCT</t>
  </si>
  <si>
    <t xml:space="preserve">PST_2381</t>
  </si>
  <si>
    <t xml:space="preserve">GCTGGTGCCGAAGGTGGATT</t>
  </si>
  <si>
    <t xml:space="preserve">TAGTGCTGGTGCCGAAGGTGGATT</t>
  </si>
  <si>
    <t xml:space="preserve">AAACAATCCACCTTCGGCACCAGC</t>
  </si>
  <si>
    <t xml:space="preserve">AGCGGGCCCCTCGGGGATCG</t>
  </si>
  <si>
    <t xml:space="preserve">TAGTAGCGGGCCCCTCGGGGATCG</t>
  </si>
  <si>
    <t xml:space="preserve">AAACCGATCCCCGAGGGGCCCGCT</t>
  </si>
  <si>
    <t xml:space="preserve">CGACGTGTCGATAAGGGGGC</t>
  </si>
  <si>
    <t xml:space="preserve">TAGTCGACGTGTCGATAAGGGGGC</t>
  </si>
  <si>
    <t xml:space="preserve">AAACGCCCCCTTATCGACACGTCG</t>
  </si>
  <si>
    <t xml:space="preserve">AGCCTGCAGGTTGCGACGAT</t>
  </si>
  <si>
    <t xml:space="preserve">TAGTAGCCTGCAGGTTGCGACGAT</t>
  </si>
  <si>
    <t xml:space="preserve">AAACATCGTCGCAACCTGCAGGCT</t>
  </si>
  <si>
    <t xml:space="preserve">PST_2382</t>
  </si>
  <si>
    <t xml:space="preserve">GGTCTGGGAGCTTCTGAGCC</t>
  </si>
  <si>
    <t xml:space="preserve">TAGTGGTCTGGGAGCTTCTGAGCC</t>
  </si>
  <si>
    <t xml:space="preserve">AAACGGCTCAGAAGCTCCCAGACC</t>
  </si>
  <si>
    <t xml:space="preserve">CCGCCCAGCTTTTTCAGCGA</t>
  </si>
  <si>
    <t xml:space="preserve">TAGTCCGCCCAGCTTTTTCAGCGA</t>
  </si>
  <si>
    <t xml:space="preserve">AAACTCGCTGAAAAAGCTGGGCGG</t>
  </si>
  <si>
    <t xml:space="preserve">GCTCCAAATGTCCTTGGAGC</t>
  </si>
  <si>
    <t xml:space="preserve">TAGTGCTCCAAATGTCCTTGGAGC</t>
  </si>
  <si>
    <t xml:space="preserve">AAACGCTCCAAGGACATTTGGAGC</t>
  </si>
  <si>
    <t xml:space="preserve">GAGAAAAAGCCGAAACGTCC</t>
  </si>
  <si>
    <t xml:space="preserve">TAGTGAGAAAAAGCCGAAACGTCC</t>
  </si>
  <si>
    <t xml:space="preserve">AAACGGACGTTTCGGCTTTTTCTC</t>
  </si>
  <si>
    <t xml:space="preserve">PST_2383</t>
  </si>
  <si>
    <t xml:space="preserve">AACTCGTTCGAGGTGCTCAG</t>
  </si>
  <si>
    <t xml:space="preserve">TAGTAACTCGTTCGAGGTGCTCAG</t>
  </si>
  <si>
    <t xml:space="preserve">AAACCTGAGCACCTCGAACGAGTT</t>
  </si>
  <si>
    <t xml:space="preserve">TTTCCATGCGAAGGCGCACC</t>
  </si>
  <si>
    <t xml:space="preserve">TAGTTTTCCATGCGAAGGCGCACC</t>
  </si>
  <si>
    <t xml:space="preserve">AAACGGTGCGCCTTCGCATGGAAA</t>
  </si>
  <si>
    <t xml:space="preserve">GTGCGTGGTAGAGCATCTGC</t>
  </si>
  <si>
    <t xml:space="preserve">TAGTGTGCGTGGTAGAGCATCTGC</t>
  </si>
  <si>
    <t xml:space="preserve">AAACGCAGATGCTCTACCACGCAC</t>
  </si>
  <si>
    <t xml:space="preserve">TGCTGAAGCGGATGGGAAAG</t>
  </si>
  <si>
    <t xml:space="preserve">TAGTTGCTGAAGCGGATGGGAAAG</t>
  </si>
  <si>
    <t xml:space="preserve">AAACCTTTCCCATCCGCTTCAGCA</t>
  </si>
  <si>
    <t xml:space="preserve">PST_2384</t>
  </si>
  <si>
    <t xml:space="preserve">GGACTTGCCGAGTCGTTCAC</t>
  </si>
  <si>
    <t xml:space="preserve">TAGTGGACTTGCCGAGTCGTTCAC</t>
  </si>
  <si>
    <t xml:space="preserve">AAACGTGAACGACTCGGCAAGTCC</t>
  </si>
  <si>
    <t xml:space="preserve">CAGCTCGTCGCTGCTATGAG</t>
  </si>
  <si>
    <t xml:space="preserve">TAGTCAGCTCGTCGCTGCTATGAG</t>
  </si>
  <si>
    <t xml:space="preserve">AAACCTCATAGCAGCGACGAGCTG</t>
  </si>
  <si>
    <t xml:space="preserve">GGTCATGATCCTTGTGGAAC</t>
  </si>
  <si>
    <t xml:space="preserve">TAGTGGTCATGATCCTTGTGGAAC</t>
  </si>
  <si>
    <t xml:space="preserve">AAACGTTCCACAAGGATCATGACC</t>
  </si>
  <si>
    <t xml:space="preserve">ACGCGCCGGAGAAAATGATA</t>
  </si>
  <si>
    <t xml:space="preserve">TAGTACGCGCCGGAGAAAATGATA</t>
  </si>
  <si>
    <t xml:space="preserve">AAACTATCATTTTCTCCGGCGCGT</t>
  </si>
  <si>
    <t xml:space="preserve">PST_2385</t>
  </si>
  <si>
    <t xml:space="preserve">CTGAACAGGCCCAGCAACAG</t>
  </si>
  <si>
    <t xml:space="preserve">TAGTCTGAACAGGCCCAGCAACAG</t>
  </si>
  <si>
    <t xml:space="preserve">AAACCTGTTGCTGGGCCTGTTCAG</t>
  </si>
  <si>
    <t xml:space="preserve">CCGTCGCCCAGAGAAAACCC</t>
  </si>
  <si>
    <t xml:space="preserve">TAGTCCGTCGCCCAGAGAAAACCC</t>
  </si>
  <si>
    <t xml:space="preserve">AAACGGGTTTTCTCTGGGCGACGG</t>
  </si>
  <si>
    <t xml:space="preserve">GCGGATTGGCCTTGGCGGCC</t>
  </si>
  <si>
    <t xml:space="preserve">TAGTGCGGATTGGCCTTGGCGGCC</t>
  </si>
  <si>
    <t xml:space="preserve">AAACGGCCGCCAAGGCCAATCCGC</t>
  </si>
  <si>
    <t xml:space="preserve">TGCCGGCGCCCAGTGCGATA</t>
  </si>
  <si>
    <t xml:space="preserve">TAGTTGCCGGCGCCCAGTGCGATA</t>
  </si>
  <si>
    <t xml:space="preserve">AAACTATCGCACTGGGCGCCGGCA</t>
  </si>
  <si>
    <t xml:space="preserve">PST_2386</t>
  </si>
  <si>
    <t xml:space="preserve">CGCGAACGATTGGTAGCCAT</t>
  </si>
  <si>
    <t xml:space="preserve">TAGTCGCGAACGATTGGTAGCCAT</t>
  </si>
  <si>
    <t xml:space="preserve">AAACATGGCTACCAATCGTTCGCG</t>
  </si>
  <si>
    <t xml:space="preserve">CACAGAGTTTCTTGCGCAGG</t>
  </si>
  <si>
    <t xml:space="preserve">TAGTCACAGAGTTTCTTGCGCAGG</t>
  </si>
  <si>
    <t xml:space="preserve">AAACCCTGCGCAAGAAACTCTGTG</t>
  </si>
  <si>
    <t xml:space="preserve">TGATCTCGAAGCCCAGCTCC</t>
  </si>
  <si>
    <t xml:space="preserve">TAGTTGATCTCGAAGCCCAGCTCC</t>
  </si>
  <si>
    <t xml:space="preserve">AAACGGAGCTGGGCTTCGAGATCA</t>
  </si>
  <si>
    <t xml:space="preserve">GCTTTCGATACCTTCGCGAT</t>
  </si>
  <si>
    <t xml:space="preserve">TAGTGCTTTCGATACCTTCGCGAT</t>
  </si>
  <si>
    <t xml:space="preserve">AAACATCGCGAAGGTATCGAAAGC</t>
  </si>
  <si>
    <t xml:space="preserve">PST_2387</t>
  </si>
  <si>
    <t xml:space="preserve">dacB</t>
  </si>
  <si>
    <t xml:space="preserve">CGGCCAGGGAGATACCACGA</t>
  </si>
  <si>
    <t xml:space="preserve">TAGTCGGCCAGGGAGATACCACGA</t>
  </si>
  <si>
    <t xml:space="preserve">AAACTCGTGGTATCTCCCTGGCCG</t>
  </si>
  <si>
    <t xml:space="preserve">CGCAATGGGAAAGGCCAGAA</t>
  </si>
  <si>
    <t xml:space="preserve">TAGTCGCAATGGGAAAGGCCAGAA</t>
  </si>
  <si>
    <t xml:space="preserve">AAACTTCTGGCCTTTCCCATTGCG</t>
  </si>
  <si>
    <t xml:space="preserve">TTCACGCCGGCCGCATGAAT</t>
  </si>
  <si>
    <t xml:space="preserve">TAGTTTCACGCCGGCCGCATGAAT</t>
  </si>
  <si>
    <t xml:space="preserve">AAACATTCATGCGGCCGGCGTGAA</t>
  </si>
  <si>
    <t xml:space="preserve">CCACACGCGCAGGCAGCGTC</t>
  </si>
  <si>
    <t xml:space="preserve">TAGTCCACACGCGCAGGCAGCGTC</t>
  </si>
  <si>
    <t xml:space="preserve">AAACGACGCTGCCTGCGCGTGTGG</t>
  </si>
  <si>
    <t xml:space="preserve">PST_2388</t>
  </si>
  <si>
    <t xml:space="preserve">CAGTTCATGGCGATCGGTCA</t>
  </si>
  <si>
    <t xml:space="preserve">TAGTCAGTTCATGGCGATCGGTCA</t>
  </si>
  <si>
    <t xml:space="preserve">AAACTGACCGATCGCCATGAACTG</t>
  </si>
  <si>
    <t xml:space="preserve">CGAGCCCCTTGGGGCAGGTC</t>
  </si>
  <si>
    <t xml:space="preserve">TAGTCGAGCCCCTTGGGGCAGGTC</t>
  </si>
  <si>
    <t xml:space="preserve">AAACGACCTGCCCCAAGGGGCTCG</t>
  </si>
  <si>
    <t xml:space="preserve">CGGTGGCCTCCTCAAGCAAA</t>
  </si>
  <si>
    <t xml:space="preserve">TAGTCGGTGGCCTCCTCAAGCAAA</t>
  </si>
  <si>
    <t xml:space="preserve">AAACTTTGCTTGAGGAGGCCACCG</t>
  </si>
  <si>
    <t xml:space="preserve">CCCCTCCTCCAGACCAAGCG</t>
  </si>
  <si>
    <t xml:space="preserve">TAGTCCCCTCCTCCAGACCAAGCG</t>
  </si>
  <si>
    <t xml:space="preserve">AAACCGCTTGGTCTGGAGGAGGGG</t>
  </si>
  <si>
    <t xml:space="preserve">PST_2389</t>
  </si>
  <si>
    <t xml:space="preserve">rmf</t>
  </si>
  <si>
    <t xml:space="preserve">TCACGCTTGAGTCTTCTCAT</t>
  </si>
  <si>
    <t xml:space="preserve">TAGTTCACGCTTGAGTCTTCTCAT</t>
  </si>
  <si>
    <t xml:space="preserve">AAACATGAGAAGACTCAAGCGTGA</t>
  </si>
  <si>
    <t xml:space="preserve">CGCAGAAATGCTCGTTCCAT</t>
  </si>
  <si>
    <t xml:space="preserve">TAGTCGCAGAAATGCTCGTTCCAT</t>
  </si>
  <si>
    <t xml:space="preserve">AAACATGGAACGAGCATTTCTGCG</t>
  </si>
  <si>
    <t xml:space="preserve">GGGGATGGGAGAAGGGACAG</t>
  </si>
  <si>
    <t xml:space="preserve">TAGTGGGGATGGGAGAAGGGACAG</t>
  </si>
  <si>
    <t xml:space="preserve">AAACCTGTCCCTTCTCCCATCCCC</t>
  </si>
  <si>
    <t xml:space="preserve">GATCCAGGCTTGGCGAACTT</t>
  </si>
  <si>
    <t xml:space="preserve">TAGTGATCCAGGCTTGGCGAACTT</t>
  </si>
  <si>
    <t xml:space="preserve">AAACAAGTTCGCCAAGCCTGGATC</t>
  </si>
  <si>
    <t xml:space="preserve">PST_2390</t>
  </si>
  <si>
    <t xml:space="preserve">pyrD</t>
  </si>
  <si>
    <t xml:space="preserve">TAACTTGAACAACAGCTGGC</t>
  </si>
  <si>
    <t xml:space="preserve">TAGTTAACTTGAACAACAGCTGGC</t>
  </si>
  <si>
    <t xml:space="preserve">AAACGCCAGCTGTTGTTCAAGTTA</t>
  </si>
  <si>
    <t xml:space="preserve">GAAAGTTCGTGGGAAGTTTC</t>
  </si>
  <si>
    <t xml:space="preserve">TAGTGAAAGTTCGTGGGAAGTTTC</t>
  </si>
  <si>
    <t xml:space="preserve">AAACGAAACTTCCCACGAACTTTC</t>
  </si>
  <si>
    <t xml:space="preserve">GCCCGCGCCAATCAGCTCGA</t>
  </si>
  <si>
    <t xml:space="preserve">TAGTGCCCGCGCCAATCAGCTCGA</t>
  </si>
  <si>
    <t xml:space="preserve">AAACTCGAGCTGATTGGCGCGGGC</t>
  </si>
  <si>
    <t xml:space="preserve">GCATCGCATTCAGCCCGAGA</t>
  </si>
  <si>
    <t xml:space="preserve">TAGTGCATCGCATTCAGCCCGAGA</t>
  </si>
  <si>
    <t xml:space="preserve">AAACTCTCGGGCTGAATGCGATGC</t>
  </si>
  <si>
    <t xml:space="preserve">PST_2392</t>
  </si>
  <si>
    <t xml:space="preserve">TACCGCTTTCATTCTTTCGG</t>
  </si>
  <si>
    <t xml:space="preserve">TAGTTACCGCTTTCATTCTTTCGG</t>
  </si>
  <si>
    <t xml:space="preserve">AAACCCGAAAGAATGAAAGCGGTA</t>
  </si>
  <si>
    <t xml:space="preserve">GGATGCGATTCGCATGGCCT</t>
  </si>
  <si>
    <t xml:space="preserve">TAGTGGATGCGATTCGCATGGCCT</t>
  </si>
  <si>
    <t xml:space="preserve">AAACAGGCCATGCGAATCGCATCC</t>
  </si>
  <si>
    <t xml:space="preserve">TGCCATCGCGGCTTCGGATC</t>
  </si>
  <si>
    <t xml:space="preserve">TAGTTGCCATCGCGGCTTCGGATC</t>
  </si>
  <si>
    <t xml:space="preserve">AAACGATCCGAAGCCGCGATGGCA</t>
  </si>
  <si>
    <t xml:space="preserve">GGCGCAGATGATGCGCAGGC</t>
  </si>
  <si>
    <t xml:space="preserve">TAGTGGCGCAGATGATGCGCAGGC</t>
  </si>
  <si>
    <t xml:space="preserve">AAACGCCTGCGCATCATCTGCGCC</t>
  </si>
  <si>
    <t xml:space="preserve">PST_2391</t>
  </si>
  <si>
    <t xml:space="preserve">TATCGCTGGGTAGATCACTG</t>
  </si>
  <si>
    <t xml:space="preserve">TAGTTATCGCTGGGTAGATCACTG</t>
  </si>
  <si>
    <t xml:space="preserve">AAACCAGTGATCTACCCAGCGATA</t>
  </si>
  <si>
    <t xml:space="preserve">CCAATCATGGCGTGTCGATG</t>
  </si>
  <si>
    <t xml:space="preserve">TAGTCCAATCATGGCGTGTCGATG</t>
  </si>
  <si>
    <t xml:space="preserve">AAACCATCGACACGCCATGATTGG</t>
  </si>
  <si>
    <t xml:space="preserve">GTTGCCACACGCACCAGGGG</t>
  </si>
  <si>
    <t xml:space="preserve">TAGTGTTGCCACACGCACCAGGGG</t>
  </si>
  <si>
    <t xml:space="preserve">AAACCCCCTGGTGCGTGTGGCAAC</t>
  </si>
  <si>
    <t xml:space="preserve">GACCTGTGGCATTTGCGCAC</t>
  </si>
  <si>
    <t xml:space="preserve">TAGTGACCTGTGGCATTTGCGCAC</t>
  </si>
  <si>
    <t xml:space="preserve">AAACGTGCGCAAATGCCACAGGTC</t>
  </si>
  <si>
    <t xml:space="preserve">PST_2393</t>
  </si>
  <si>
    <t xml:space="preserve">CTGCTGAAAGTCGGCCTTGC</t>
  </si>
  <si>
    <t xml:space="preserve">TAGTCTGCTGAAAGTCGGCCTTGC</t>
  </si>
  <si>
    <t xml:space="preserve">AAACGCAAGGCCGACTTTCAGCAG</t>
  </si>
  <si>
    <t xml:space="preserve">GATTTTCGGGTCTACGTGTT</t>
  </si>
  <si>
    <t xml:space="preserve">TAGTGATTTTCGGGTCTACGTGTT</t>
  </si>
  <si>
    <t xml:space="preserve">AAACAACACGTAGACCCGAAAATC</t>
  </si>
  <si>
    <t xml:space="preserve">CGAATAGATTAAGTTGGGGC</t>
  </si>
  <si>
    <t xml:space="preserve">TAGTCGAATAGATTAAGTTGGGGC</t>
  </si>
  <si>
    <t xml:space="preserve">AAACGCCCCAACTTAATCTATTCG</t>
  </si>
  <si>
    <t xml:space="preserve">GACGATGCCGAAGAACTGTT</t>
  </si>
  <si>
    <t xml:space="preserve">TAGTGACGATGCCGAAGAACTGTT</t>
  </si>
  <si>
    <t xml:space="preserve">AAACAACAGTTCTTCGGCATCGTC</t>
  </si>
  <si>
    <t xml:space="preserve">PST_2394</t>
  </si>
  <si>
    <t xml:space="preserve">GATGCCAGCGTGGCCGTCAT</t>
  </si>
  <si>
    <t xml:space="preserve">TAGTGATGCCAGCGTGGCCGTCAT</t>
  </si>
  <si>
    <t xml:space="preserve">AAACATGACGGCCACGCTGGCATC</t>
  </si>
  <si>
    <t xml:space="preserve">GGTTCTTCCTGGTGGGCGGC</t>
  </si>
  <si>
    <t xml:space="preserve">TAGTGGTTCTTCCTGGTGGGCGGC</t>
  </si>
  <si>
    <t xml:space="preserve">AAACGCCGCCCACCAGGAAGAACC</t>
  </si>
  <si>
    <t xml:space="preserve">TTCACGGTGGTCCATCGTTT</t>
  </si>
  <si>
    <t xml:space="preserve">TAGTTTCACGGTGGTCCATCGTTT</t>
  </si>
  <si>
    <t xml:space="preserve">AAACAAACGATGGACCACCGTGAA</t>
  </si>
  <si>
    <t xml:space="preserve">GGCCCAGGATCTGTGTGGAC</t>
  </si>
  <si>
    <t xml:space="preserve">TAGTGGCCCAGGATCTGTGTGGAC</t>
  </si>
  <si>
    <t xml:space="preserve">AAACGTCCACACAGATCCTGGGCC</t>
  </si>
  <si>
    <t xml:space="preserve">PST_2395</t>
  </si>
  <si>
    <t xml:space="preserve">TGCCCGGTGCCCGATGCCTG</t>
  </si>
  <si>
    <t xml:space="preserve">TAGTTGCCCGGTGCCCGATGCCTG</t>
  </si>
  <si>
    <t xml:space="preserve">AAACCAGGCATCGGGCACCGGGCA</t>
  </si>
  <si>
    <t xml:space="preserve">ACACCGTTGTCCTGTTCGGG</t>
  </si>
  <si>
    <t xml:space="preserve">TAGTACACCGTTGTCCTGTTCGGG</t>
  </si>
  <si>
    <t xml:space="preserve">AAACCCCGAACAGGACAACGGTGT</t>
  </si>
  <si>
    <t xml:space="preserve">TGAGTTCGGACAGGCTCACC</t>
  </si>
  <si>
    <t xml:space="preserve">TAGTTGAGTTCGGACAGGCTCACC</t>
  </si>
  <si>
    <t xml:space="preserve">AAACGGTGAGCCTGTCCGAACTCA</t>
  </si>
  <si>
    <t xml:space="preserve">ACAGCGGGACCTCGCGCACA</t>
  </si>
  <si>
    <t xml:space="preserve">TAGTACAGCGGGACCTCGCGCACA</t>
  </si>
  <si>
    <t xml:space="preserve">AAACTGTGCGCGAGGTCCCGCTGT</t>
  </si>
  <si>
    <t xml:space="preserve">PST_2396</t>
  </si>
  <si>
    <t xml:space="preserve">AGGGGAGCGAGCTGGTCGAG</t>
  </si>
  <si>
    <t xml:space="preserve">TAGTAGGGGAGCGAGCTGGTCGAG</t>
  </si>
  <si>
    <t xml:space="preserve">AAACCTCGACCAGCTCGCTCCCCT</t>
  </si>
  <si>
    <t xml:space="preserve">AGATGGGCTCCGGATCGATC</t>
  </si>
  <si>
    <t xml:space="preserve">TAGTAGATGGGCTCCGGATCGATC</t>
  </si>
  <si>
    <t xml:space="preserve">AAACGATCGATCCGGAGCCCATCT</t>
  </si>
  <si>
    <t xml:space="preserve">GCCGGGTGCCGGCGGCCACC</t>
  </si>
  <si>
    <t xml:space="preserve">TAGTGCCGGGTGCCGGCGGCCACC</t>
  </si>
  <si>
    <t xml:space="preserve">AAACGGTGGCCGCCGGCACCCGGC</t>
  </si>
  <si>
    <t xml:space="preserve">GCTTGCGTTTGACGAGTCGA</t>
  </si>
  <si>
    <t xml:space="preserve">TAGTGCTTGCGTTTGACGAGTCGA</t>
  </si>
  <si>
    <t xml:space="preserve">AAACTCGACTCGTCAAACGCAAGC</t>
  </si>
  <si>
    <t xml:space="preserve">PST_2397</t>
  </si>
  <si>
    <t xml:space="preserve">CAGCAGGAAGACCCAGGGCC</t>
  </si>
  <si>
    <t xml:space="preserve">TAGTCAGCAGGAAGACCCAGGGCC</t>
  </si>
  <si>
    <t xml:space="preserve">AAACGGCCCTGGGTCTTCCTGCTG</t>
  </si>
  <si>
    <t xml:space="preserve">AGCAACGCGCGCAGCAGCCA</t>
  </si>
  <si>
    <t xml:space="preserve">TAGTAGCAACGCGCGCAGCAGCCA</t>
  </si>
  <si>
    <t xml:space="preserve">AAACTGGCTGCTGCGCGCGTTGCT</t>
  </si>
  <si>
    <t xml:space="preserve">GCCTCGCCGCTATCGGCTGG</t>
  </si>
  <si>
    <t xml:space="preserve">TAGTGCCTCGCCGCTATCGGCTGG</t>
  </si>
  <si>
    <t xml:space="preserve">AAACCCAGCCGATAGCGGCGAGGC</t>
  </si>
  <si>
    <t xml:space="preserve">GAGGAAACTGACCTTGAGGG</t>
  </si>
  <si>
    <t xml:space="preserve">TAGTGAGGAAACTGACCTTGAGGG</t>
  </si>
  <si>
    <t xml:space="preserve">AAACCCCTCAAGGTCAGTTTCCTC</t>
  </si>
  <si>
    <t xml:space="preserve">PST_2398</t>
  </si>
  <si>
    <t xml:space="preserve">CACCAGGGGCGAAGCAGGTG</t>
  </si>
  <si>
    <t xml:space="preserve">TAGTCACCAGGGGCGAAGCAGGTG</t>
  </si>
  <si>
    <t xml:space="preserve">AAACCACCTGCTTCGCCCCTGGTG</t>
  </si>
  <si>
    <t xml:space="preserve">CCAGGCCAGCAGCGGCACGA</t>
  </si>
  <si>
    <t xml:space="preserve">TAGTCCAGGCCAGCAGCGGCACGA</t>
  </si>
  <si>
    <t xml:space="preserve">AAACTCGTGCCGCTGCTGGCCTGG</t>
  </si>
  <si>
    <t xml:space="preserve">CCTGCAGTTGCCGATGCCAG</t>
  </si>
  <si>
    <t xml:space="preserve">TAGTCCTGCAGTTGCCGATGCCAG</t>
  </si>
  <si>
    <t xml:space="preserve">AAACCTGGCATCGGCAACTGCAGG</t>
  </si>
  <si>
    <t xml:space="preserve">AAGGCCGCGTGAAAGGCTTC</t>
  </si>
  <si>
    <t xml:space="preserve">TAGTAAGGCCGCGTGAAAGGCTTC</t>
  </si>
  <si>
    <t xml:space="preserve">AAACGAAGCCTTTCACGCGGCCTT</t>
  </si>
  <si>
    <t xml:space="preserve">PST_2399</t>
  </si>
  <si>
    <t xml:space="preserve">AGAGCAGGAGAAAAGCCATC</t>
  </si>
  <si>
    <t xml:space="preserve">TAGTAGAGCAGGAGAAAAGCCATC</t>
  </si>
  <si>
    <t xml:space="preserve">AAACGATGGCTTTTCTCCTGCTCT</t>
  </si>
  <si>
    <t xml:space="preserve">ACGGGCGAACAGGCCGGCGG</t>
  </si>
  <si>
    <t xml:space="preserve">TAGTACGGGCGAACAGGCCGGCGG</t>
  </si>
  <si>
    <t xml:space="preserve">AAACCCGCCGGCCTGTTCGCCCGT</t>
  </si>
  <si>
    <t xml:space="preserve">GGGTTTCGTCGATGCTCAGC</t>
  </si>
  <si>
    <t xml:space="preserve">TAGTGGGTTTCGTCGATGCTCAGC</t>
  </si>
  <si>
    <t xml:space="preserve">AAACGCTGAGCATCGACGAAACCC</t>
  </si>
  <si>
    <t xml:space="preserve">GGCTTTCCAGGCTGAGTTCG</t>
  </si>
  <si>
    <t xml:space="preserve">TAGTGGCTTTCCAGGCTGAGTTCG</t>
  </si>
  <si>
    <t xml:space="preserve">AAACCGAACTCAGCCTGGAAAGCC</t>
  </si>
  <si>
    <t xml:space="preserve">PST_2400</t>
  </si>
  <si>
    <t xml:space="preserve">nasS</t>
  </si>
  <si>
    <t xml:space="preserve">TCGCCAGTGCCGCCGATAGA</t>
  </si>
  <si>
    <t xml:space="preserve">TAGTTCGCCAGTGCCGCCGATAGA</t>
  </si>
  <si>
    <t xml:space="preserve">AAACTCTATCGGCGGCACTGGCGA</t>
  </si>
  <si>
    <t xml:space="preserve">TGCATGCCGCGAGCGGTCAC</t>
  </si>
  <si>
    <t xml:space="preserve">TAGTTGCATGCCGCGAGCGGTCAC</t>
  </si>
  <si>
    <t xml:space="preserve">AAACGTGACCGCTCGCGGCATGCA</t>
  </si>
  <si>
    <t xml:space="preserve">GCCATATGCCAGCGAGAAAA</t>
  </si>
  <si>
    <t xml:space="preserve">TAGTGCCATATGCCAGCGAGAAAA</t>
  </si>
  <si>
    <t xml:space="preserve">AAACTTTTCTCGCTGGCATATGGC</t>
  </si>
  <si>
    <t xml:space="preserve">GGTGGCGCGGTGCGCAAGAT</t>
  </si>
  <si>
    <t xml:space="preserve">TAGTGGTGGCGCGGTGCGCAAGAT</t>
  </si>
  <si>
    <t xml:space="preserve">AAACATCTTGCGCACCGCGCCACC</t>
  </si>
  <si>
    <t xml:space="preserve">PST_2401</t>
  </si>
  <si>
    <t xml:space="preserve">nasT</t>
  </si>
  <si>
    <t xml:space="preserve">CAGGAGGATACGCAGCATGC</t>
  </si>
  <si>
    <t xml:space="preserve">TAGTCAGGAGGATACGCAGCATGC</t>
  </si>
  <si>
    <t xml:space="preserve">AAACGCATGCTGCGTATCCTCCTG</t>
  </si>
  <si>
    <t xml:space="preserve">CAGGCGGCCGATCTTCCGCG</t>
  </si>
  <si>
    <t xml:space="preserve">TAGTCAGGCGGCCGATCTTCCGCG</t>
  </si>
  <si>
    <t xml:space="preserve">AAACCGCGGAAGATCGGCCGCCTG</t>
  </si>
  <si>
    <t xml:space="preserve">TTCGTCGATGACCTCGAAGC</t>
  </si>
  <si>
    <t xml:space="preserve">TAGTTTCGTCGATGACCTCGAAGC</t>
  </si>
  <si>
    <t xml:space="preserve">AAACGCTTCGAGGTCATCGACGAA</t>
  </si>
  <si>
    <t xml:space="preserve">GCTCGGGCAGGTCGATGGTC</t>
  </si>
  <si>
    <t xml:space="preserve">TAGTGCTCGGGCAGGTCGATGGTC</t>
  </si>
  <si>
    <t xml:space="preserve">AAACGACCATCGACCTGCCCGAGC</t>
  </si>
  <si>
    <t xml:space="preserve">PST_2402</t>
  </si>
  <si>
    <t xml:space="preserve">GCGGCGTTTCTCGGCAGCCG</t>
  </si>
  <si>
    <t xml:space="preserve">TAGTGCGGCGTTTCTCGGCAGCCG</t>
  </si>
  <si>
    <t xml:space="preserve">AAACCGGCTGCCGAGAAACGCCGC</t>
  </si>
  <si>
    <t xml:space="preserve">AGTGCGATGCCACTAGGTTG</t>
  </si>
  <si>
    <t xml:space="preserve">TAGTAGTGCGATGCCACTAGGTTG</t>
  </si>
  <si>
    <t xml:space="preserve">AAACCAACCTAGTGGCATCGCACT</t>
  </si>
  <si>
    <t xml:space="preserve">GTTCCGCGCTTGACGCTCGC</t>
  </si>
  <si>
    <t xml:space="preserve">TAGTGTTCCGCGCTTGACGCTCGC</t>
  </si>
  <si>
    <t xml:space="preserve">AAACGCGAGCGTCAAGCGCGGAAC</t>
  </si>
  <si>
    <t xml:space="preserve">GGCCTATCCAGCCAAGCAAG</t>
  </si>
  <si>
    <t xml:space="preserve">TAGTGGCCTATCCAGCCAAGCAAG</t>
  </si>
  <si>
    <t xml:space="preserve">AAACCTTGCTTGGCTGGATAGGCC</t>
  </si>
  <si>
    <t xml:space="preserve">PST_2403</t>
  </si>
  <si>
    <t xml:space="preserve">CTTCCGGAAACTGAAGGTTG</t>
  </si>
  <si>
    <t xml:space="preserve">TAGTCTTCCGGAAACTGAAGGTTG</t>
  </si>
  <si>
    <t xml:space="preserve">AAACCAACCTTCAGTTTCCGGAAG</t>
  </si>
  <si>
    <t xml:space="preserve">GTTGGGTGGAAAAGCAGTAC</t>
  </si>
  <si>
    <t xml:space="preserve">TAGTGTTGGGTGGAAAAGCAGTAC</t>
  </si>
  <si>
    <t xml:space="preserve">AAACGTACTGCTTTTCCACCCAAC</t>
  </si>
  <si>
    <t xml:space="preserve">GTTGATATCGGTGATCCGCA</t>
  </si>
  <si>
    <t xml:space="preserve">TAGTGTTGATATCGGTGATCCGCA</t>
  </si>
  <si>
    <t xml:space="preserve">AAACTGCGGATCACCGATATCAAC</t>
  </si>
  <si>
    <t xml:space="preserve">CGAGTCGTTGGCCAGATGGT</t>
  </si>
  <si>
    <t xml:space="preserve">TAGTCGAGTCGTTGGCCAGATGGT</t>
  </si>
  <si>
    <t xml:space="preserve">AAACACCATCTGGCCAACGACTCG</t>
  </si>
  <si>
    <t xml:space="preserve">PST_2404</t>
  </si>
  <si>
    <t xml:space="preserve">AGGGTCAGGGTCGCAATCAG</t>
  </si>
  <si>
    <t xml:space="preserve">TAGTAGGGTCAGGGTCGCAATCAG</t>
  </si>
  <si>
    <t xml:space="preserve">AAACCTGATTGCGACCCTGACCCT</t>
  </si>
  <si>
    <t xml:space="preserve">AAAGGTCCATCGCCGGGTTG</t>
  </si>
  <si>
    <t xml:space="preserve">TAGTAAAGGTCCATCGCCGGGTTG</t>
  </si>
  <si>
    <t xml:space="preserve">AAACCAACCCGGCGATGGACCTTT</t>
  </si>
  <si>
    <t xml:space="preserve">CTGGGTATCGGTGACCCGGG</t>
  </si>
  <si>
    <t xml:space="preserve">TAGTCTGGGTATCGGTGACCCGGG</t>
  </si>
  <si>
    <t xml:space="preserve">AAACCCCGGGTCACCGATACCCAG</t>
  </si>
  <si>
    <t xml:space="preserve">CCACCGCCAGGGTCATGGCG</t>
  </si>
  <si>
    <t xml:space="preserve">TAGTCCACCGCCAGGGTCATGGCG</t>
  </si>
  <si>
    <t xml:space="preserve">AAACCGCCATGACCCTGGCGGTGG</t>
  </si>
  <si>
    <t xml:space="preserve">PST_2405</t>
  </si>
  <si>
    <t xml:space="preserve">TCGTATGGGCAGACCGCCGT</t>
  </si>
  <si>
    <t xml:space="preserve">TAGTTCGTATGGGCAGACCGCCGT</t>
  </si>
  <si>
    <t xml:space="preserve">AAACACGGCGGTCTGCCCATACGA</t>
  </si>
  <si>
    <t xml:space="preserve">CGCAGCACGCCTGCCGGAGC</t>
  </si>
  <si>
    <t xml:space="preserve">TAGTCGCAGCACGCCTGCCGGAGC</t>
  </si>
  <si>
    <t xml:space="preserve">AAACGCTCCGGCAGGCGTGCTGCG</t>
  </si>
  <si>
    <t xml:space="preserve">CGGCGAGGCGGAAAACAAAA</t>
  </si>
  <si>
    <t xml:space="preserve">TAGTCGGCGAGGCGGAAAACAAAA</t>
  </si>
  <si>
    <t xml:space="preserve">AAACTTTTGTTTTCCGCCTCGCCG</t>
  </si>
  <si>
    <t xml:space="preserve">GGCTGCTCGATCCGCCCCAT</t>
  </si>
  <si>
    <t xml:space="preserve">TAGTGGCTGCTCGATCCGCCCCAT</t>
  </si>
  <si>
    <t xml:space="preserve">AAACATGGGGCGGATCGAGCAGCC</t>
  </si>
  <si>
    <t xml:space="preserve">PST_2406</t>
  </si>
  <si>
    <t xml:space="preserve">nasA</t>
  </si>
  <si>
    <t xml:space="preserve">AAACAGGGTAGGCGCGTGGC</t>
  </si>
  <si>
    <t xml:space="preserve">TAGTAAACAGGGTAGGCGCGTGGC</t>
  </si>
  <si>
    <t xml:space="preserve">AAACGCCACGCGCCTACCCTGTTT</t>
  </si>
  <si>
    <t xml:space="preserve">CAGGTCGAAATAGAGAAAGG</t>
  </si>
  <si>
    <t xml:space="preserve">TAGTCAGGTCGAAATAGAGAAAGG</t>
  </si>
  <si>
    <t xml:space="preserve">AAACCCTTTCTCTATTTCGACCTG</t>
  </si>
  <si>
    <t xml:space="preserve">GCGGCGATCTGCACGCCGAG</t>
  </si>
  <si>
    <t xml:space="preserve">TAGTGCGGCGATCTGCACGCCGAG</t>
  </si>
  <si>
    <t xml:space="preserve">AAACCTCGGCGTGCAGATCGCCGC</t>
  </si>
  <si>
    <t xml:space="preserve">CTGGGTGGTCAGGCCCAGGT</t>
  </si>
  <si>
    <t xml:space="preserve">TAGTCTGGGTGGTCAGGCCCAGGT</t>
  </si>
  <si>
    <t xml:space="preserve">AAACACCTGGGCCTGACCACCCAG</t>
  </si>
  <si>
    <t xml:space="preserve">PST_2407</t>
  </si>
  <si>
    <t xml:space="preserve">ATAATCGCGCCCTGCGGCAT</t>
  </si>
  <si>
    <t xml:space="preserve">TAGTATAATCGCGCCCTGCGGCAT</t>
  </si>
  <si>
    <t xml:space="preserve">AAACATGCCGCAGGGCGCGATTAT</t>
  </si>
  <si>
    <t xml:space="preserve">TCTCGAAAGGCTCGGTACGG</t>
  </si>
  <si>
    <t xml:space="preserve">TAGTTCTCGAAAGGCTCGGTACGG</t>
  </si>
  <si>
    <t xml:space="preserve">AAACCCGTACCGAGCCTTTCGAGA</t>
  </si>
  <si>
    <t xml:space="preserve">TCGCCGTAACTCAATCGCAG</t>
  </si>
  <si>
    <t xml:space="preserve">TAGTTCGCCGTAACTCAATCGCAG</t>
  </si>
  <si>
    <t xml:space="preserve">AAACCTGCGATTGAGTTACGGCGA</t>
  </si>
  <si>
    <t xml:space="preserve">GTTTTCCGGCCGCGGGCCGG</t>
  </si>
  <si>
    <t xml:space="preserve">TAGTGTTTTCCGGCCGCGGGCCGG</t>
  </si>
  <si>
    <t xml:space="preserve">AAACCCGGCCCGCGGCCGGAAAAC</t>
  </si>
  <si>
    <t xml:space="preserve">PST_2408</t>
  </si>
  <si>
    <t xml:space="preserve">GGCCGCTGGTGATAGGGGCC</t>
  </si>
  <si>
    <t xml:space="preserve">TAGTGGCCGCTGGTGATAGGGGCC</t>
  </si>
  <si>
    <t xml:space="preserve">AAACGGCCCCTATCACCAGCGGCC</t>
  </si>
  <si>
    <t xml:space="preserve">TCTTGGGATTGCTGGGAGTG</t>
  </si>
  <si>
    <t xml:space="preserve">TAGTTCTTGGGATTGCTGGGAGTG</t>
  </si>
  <si>
    <t xml:space="preserve">AAACCACTCCCAGCAATCCCAAGA</t>
  </si>
  <si>
    <t xml:space="preserve">GCTGGTGAGAACCACCCAGG</t>
  </si>
  <si>
    <t xml:space="preserve">TAGTGCTGGTGAGAACCACCCAGG</t>
  </si>
  <si>
    <t xml:space="preserve">AAACCCTGGGTGGTTCTCACCAGC</t>
  </si>
  <si>
    <t xml:space="preserve">TCCAGGTAGCGCAACAAGGA</t>
  </si>
  <si>
    <t xml:space="preserve">TAGTTCCAGGTAGCGCAACAAGGA</t>
  </si>
  <si>
    <t xml:space="preserve">AAACTCCTTGTTGCGCTACCTGGA</t>
  </si>
  <si>
    <t xml:space="preserve">PST_2409</t>
  </si>
  <si>
    <t xml:space="preserve">CTCTTCGAGGGTTCGCACGC</t>
  </si>
  <si>
    <t xml:space="preserve">TAGTCTCTTCGAGGGTTCGCACGC</t>
  </si>
  <si>
    <t xml:space="preserve">AAACGCGTGCGAACCCTCGAAGAG</t>
  </si>
  <si>
    <t xml:space="preserve">CGTGATGTCGTAGAGCTCGT</t>
  </si>
  <si>
    <t xml:space="preserve">TAGTCGTGATGTCGTAGAGCTCGT</t>
  </si>
  <si>
    <t xml:space="preserve">AAACACGAGCTCTACGACATCACG</t>
  </si>
  <si>
    <t xml:space="preserve">GTTGTAGTTGGGATGCGGCT</t>
  </si>
  <si>
    <t xml:space="preserve">TAGTGTTGTAGTTGGGATGCGGCT</t>
  </si>
  <si>
    <t xml:space="preserve">AAACAGCCGCATCCCAACTACAAC</t>
  </si>
  <si>
    <t xml:space="preserve">GCACGGGGGAGAGCAGGATG</t>
  </si>
  <si>
    <t xml:space="preserve">TAGTGCACGGGGGAGAGCAGGATG</t>
  </si>
  <si>
    <t xml:space="preserve">AAACCATCCTGCTCTCCCCCGTGC</t>
  </si>
  <si>
    <t xml:space="preserve">PST_2410</t>
  </si>
  <si>
    <t xml:space="preserve">GCGACGATGCGCGAGCCGAG</t>
  </si>
  <si>
    <t xml:space="preserve">TAGTGCGACGATGCGCGAGCCGAG</t>
  </si>
  <si>
    <t xml:space="preserve">AAACCTCGGCTCGCGCATCGTCGC</t>
  </si>
  <si>
    <t xml:space="preserve">CGCAATGTCACCCTTGGGGC</t>
  </si>
  <si>
    <t xml:space="preserve">TAGTCGCAATGTCACCCTTGGGGC</t>
  </si>
  <si>
    <t xml:space="preserve">AAACGCCCCAAGGGTGACATTGCG</t>
  </si>
  <si>
    <t xml:space="preserve">AGACCTGATCGTCCGCGGTG</t>
  </si>
  <si>
    <t xml:space="preserve">TAGTAGACCTGATCGTCCGCGGTG</t>
  </si>
  <si>
    <t xml:space="preserve">AAACCACCGCGGACGATCAGGTCT</t>
  </si>
  <si>
    <t xml:space="preserve">GTGCGGGCAGCGATCGTCGA</t>
  </si>
  <si>
    <t xml:space="preserve">TAGTGTGCGGGCAGCGATCGTCGA</t>
  </si>
  <si>
    <t xml:space="preserve">AAACTCGACGATCGCTGCCCGCAC</t>
  </si>
  <si>
    <t xml:space="preserve">PST_2411</t>
  </si>
  <si>
    <t xml:space="preserve">CGAGGCGGTTGTCATACGCA</t>
  </si>
  <si>
    <t xml:space="preserve">TAGTCGAGGCGGTTGTCATACGCA</t>
  </si>
  <si>
    <t xml:space="preserve">AAACTGCGTATGACAACCGCCTCG</t>
  </si>
  <si>
    <t xml:space="preserve">GCCGACTCCGCAGTAGCAGC</t>
  </si>
  <si>
    <t xml:space="preserve">TAGTGCCGACTCCGCAGTAGCAGC</t>
  </si>
  <si>
    <t xml:space="preserve">AAACGCTGCTACTGCGGAGTCGGC</t>
  </si>
  <si>
    <t xml:space="preserve">TGGGGTCGCCGGCCACATCG</t>
  </si>
  <si>
    <t xml:space="preserve">TAGTTGGGGTCGCCGGCCACATCG</t>
  </si>
  <si>
    <t xml:space="preserve">AAACCGATGTGGCCGGCGACCCCA</t>
  </si>
  <si>
    <t xml:space="preserve">GCCGAGGTTGGCCGGATGGC</t>
  </si>
  <si>
    <t xml:space="preserve">TAGTGCCGAGGTTGGCCGGATGGC</t>
  </si>
  <si>
    <t xml:space="preserve">AAACGCCATCCGGCCAACCTCGGC</t>
  </si>
  <si>
    <t xml:space="preserve">PST_2412</t>
  </si>
  <si>
    <t xml:space="preserve">cobA</t>
  </si>
  <si>
    <t xml:space="preserve">GGGGTAATCCTCGTCTTGGT</t>
  </si>
  <si>
    <t xml:space="preserve">TAGTGGGGTAATCCTCGTCTTGGT</t>
  </si>
  <si>
    <t xml:space="preserve">AAACACCAAGACGAGGATTACCCC</t>
  </si>
  <si>
    <t xml:space="preserve">AGCCAGACTTTTGCGCTCAT</t>
  </si>
  <si>
    <t xml:space="preserve">TAGTAGCCAGACTTTTGCGCTCAT</t>
  </si>
  <si>
    <t xml:space="preserve">AAACATGAGCGCAAAAGTCTGGCT</t>
  </si>
  <si>
    <t xml:space="preserve">CAGCTCCGGGTCGCCAGGGC</t>
  </si>
  <si>
    <t xml:space="preserve">TAGTCAGCTCCGGGTCGCCAGGGC</t>
  </si>
  <si>
    <t xml:space="preserve">AAACGCCCTGGCGACCCGGAGCTG</t>
  </si>
  <si>
    <t xml:space="preserve">CAGTGCGCGTACGGCCTTGA</t>
  </si>
  <si>
    <t xml:space="preserve">TAGTCAGTGCGCGTACGGCCTTGA</t>
  </si>
  <si>
    <t xml:space="preserve">AAACTCAAGGCCGTACGCGCACTG</t>
  </si>
  <si>
    <t xml:space="preserve">PST_2413</t>
  </si>
  <si>
    <t xml:space="preserve">CGCCGGCTTCTGTTGGTGCT</t>
  </si>
  <si>
    <t xml:space="preserve">TAGTCGCCGGCTTCTGTTGGTGCT</t>
  </si>
  <si>
    <t xml:space="preserve">AAACAGCACCAACAGAAGCCGGCG</t>
  </si>
  <si>
    <t xml:space="preserve">TGTTGAAGATCAGGCGCTCG</t>
  </si>
  <si>
    <t xml:space="preserve">TAGTTGTTGAAGATCAGGCGCTCG</t>
  </si>
  <si>
    <t xml:space="preserve">AAACCGAGCGCCTGATCTTCAACA</t>
  </si>
  <si>
    <t xml:space="preserve">AGAGGACGACCACTGCCGGC</t>
  </si>
  <si>
    <t xml:space="preserve">TAGTAGAGGACGACCACTGCCGGC</t>
  </si>
  <si>
    <t xml:space="preserve">AAACGCCGGCAGTGGTCGTCCTCT</t>
  </si>
  <si>
    <t xml:space="preserve">CCTGGGCCGCCTGGTAGAAC</t>
  </si>
  <si>
    <t xml:space="preserve">TAGTCCTGGGCCGCCTGGTAGAAC</t>
  </si>
  <si>
    <t xml:space="preserve">AAACGTTCTACCAGGCGGCCCAGG</t>
  </si>
  <si>
    <t xml:space="preserve">PST_2414</t>
  </si>
  <si>
    <t xml:space="preserve">AATAGTGTGCGCCGCTGAAC</t>
  </si>
  <si>
    <t xml:space="preserve">TAGTAATAGTGTGCGCCGCTGAAC</t>
  </si>
  <si>
    <t xml:space="preserve">AAACGTTCAGCGGCGCACACTATT</t>
  </si>
  <si>
    <t xml:space="preserve">CCTCGCCTGGCATGGAACCA</t>
  </si>
  <si>
    <t xml:space="preserve">TAGTCCTCGCCTGGCATGGAACCA</t>
  </si>
  <si>
    <t xml:space="preserve">AAACTGGTTCCATGCCAGGCGAGG</t>
  </si>
  <si>
    <t xml:space="preserve">GCCGCATAGCGAGAGCATGC</t>
  </si>
  <si>
    <t xml:space="preserve">TAGTGCCGCATAGCGAGAGCATGC</t>
  </si>
  <si>
    <t xml:space="preserve">AAACGCATGCTCTCGCTATGCGGC</t>
  </si>
  <si>
    <t xml:space="preserve">CGACAGCAACAGGAGCGAAA</t>
  </si>
  <si>
    <t xml:space="preserve">TAGTCGACAGCAACAGGAGCGAAA</t>
  </si>
  <si>
    <t xml:space="preserve">AAACTTTCGCTCCTGTTGCTGTCG</t>
  </si>
  <si>
    <t xml:space="preserve">PST_2415</t>
  </si>
  <si>
    <t xml:space="preserve">pepN</t>
  </si>
  <si>
    <t xml:space="preserve">TTTCGGTTGTTCGGTGCGCA</t>
  </si>
  <si>
    <t xml:space="preserve">TAGTTTTCGGTTGTTCGGTGCGCA</t>
  </si>
  <si>
    <t xml:space="preserve">AAACTGCGCACCGAACAACCGAAA</t>
  </si>
  <si>
    <t xml:space="preserve">CAATCAGGTACTCGGGGGCC</t>
  </si>
  <si>
    <t xml:space="preserve">TAGTCAATCAGGTACTCGGGGGCC</t>
  </si>
  <si>
    <t xml:space="preserve">AAACGGCCCCCGAGTACCTGATTG</t>
  </si>
  <si>
    <t xml:space="preserve">GTACAGCTCGAAGGTCAGGT</t>
  </si>
  <si>
    <t xml:space="preserve">TAGTGTACAGCTCGAAGGTCAGGT</t>
  </si>
  <si>
    <t xml:space="preserve">AAACACCTGACCTTCGAGCTGTAC</t>
  </si>
  <si>
    <t xml:space="preserve">GTTGCGGCGCATCACCAACT</t>
  </si>
  <si>
    <t xml:space="preserve">TAGTGTTGCGGCGCATCACCAACT</t>
  </si>
  <si>
    <t xml:space="preserve">AAACAGTTGGTGATGCGCCGCAAC</t>
  </si>
  <si>
    <t xml:space="preserve">PST_2416</t>
  </si>
  <si>
    <t xml:space="preserve">AGGCGAAAGGCGTACTGCAC</t>
  </si>
  <si>
    <t xml:space="preserve">TAGTAGGCGAAAGGCGTACTGCAC</t>
  </si>
  <si>
    <t xml:space="preserve">AAACGTGCAGTACGCCTTTCGCCT</t>
  </si>
  <si>
    <t xml:space="preserve">CCGGCACCAGCCCTTCACCG</t>
  </si>
  <si>
    <t xml:space="preserve">TAGTCCGGCACCAGCCCTTCACCG</t>
  </si>
  <si>
    <t xml:space="preserve">AAACCGGTGAAGGGCTGGTGCCGG</t>
  </si>
  <si>
    <t xml:space="preserve">CGCAGTGTCCTGCCGATCAG</t>
  </si>
  <si>
    <t xml:space="preserve">TAGTCGCAGTGTCCTGCCGATCAG</t>
  </si>
  <si>
    <t xml:space="preserve">AAACCTGATCGGCAGGACACTGCG</t>
  </si>
  <si>
    <t xml:space="preserve">GGGTGCAGTGGATGGCGCCC</t>
  </si>
  <si>
    <t xml:space="preserve">TAGTGGGTGCAGTGGATGGCGCCC</t>
  </si>
  <si>
    <t xml:space="preserve">AAACGGGCGCCATCCACTGCACCC</t>
  </si>
  <si>
    <t xml:space="preserve">PST_2417</t>
  </si>
  <si>
    <t xml:space="preserve">GGTTTGGATAAAGGTCGACA</t>
  </si>
  <si>
    <t xml:space="preserve">TAGTGGTTTGGATAAAGGTCGACA</t>
  </si>
  <si>
    <t xml:space="preserve">AAACTGTCGACCTTTATCCAAACC</t>
  </si>
  <si>
    <t xml:space="preserve">TTCGGGGGTGATGCTTTCGG</t>
  </si>
  <si>
    <t xml:space="preserve">TAGTTTCGGGGGTGATGCTTTCGG</t>
  </si>
  <si>
    <t xml:space="preserve">AAACCCGAAAGCATCACCCCCGAA</t>
  </si>
  <si>
    <t xml:space="preserve">CCAGTTCGAGGGCCTGCTTG</t>
  </si>
  <si>
    <t xml:space="preserve">TAGTCCAGTTCGAGGGCCTGCTTG</t>
  </si>
  <si>
    <t xml:space="preserve">AAACCAAGCAGGCCCTCGAACTGG</t>
  </si>
  <si>
    <t xml:space="preserve">TCTGCTCGGGGGTCAGCTTA</t>
  </si>
  <si>
    <t xml:space="preserve">TAGTTCTGCTCGGGGGTCAGCTTA</t>
  </si>
  <si>
    <t xml:space="preserve">AAACTAAGCTGACCCCCGAGCAGA</t>
  </si>
  <si>
    <t xml:space="preserve">PST_2418</t>
  </si>
  <si>
    <t xml:space="preserve">TGAGGTCTTCCGACAGCGGC</t>
  </si>
  <si>
    <t xml:space="preserve">TAGTTGAGGTCTTCCGACAGCGGC</t>
  </si>
  <si>
    <t xml:space="preserve">AAACGCCGCTGTCGGAAGACCTCA</t>
  </si>
  <si>
    <t xml:space="preserve">CACCCGCAGGCGCCGCAACA</t>
  </si>
  <si>
    <t xml:space="preserve">TAGTCACCCGCAGGCGCCGCAACA</t>
  </si>
  <si>
    <t xml:space="preserve">AAACTGTTGCGGCGCCTGCGGGTG</t>
  </si>
  <si>
    <t xml:space="preserve">CCCTCCTCCGAGACCCGGCA</t>
  </si>
  <si>
    <t xml:space="preserve">TAGTCCCTCCTCCGAGACCCGGCA</t>
  </si>
  <si>
    <t xml:space="preserve">AAACTGCCGGGTCTCGGAGGAGGG</t>
  </si>
  <si>
    <t xml:space="preserve">TCGGCACCCGCAGCACCTGC</t>
  </si>
  <si>
    <t xml:space="preserve">TAGTTCGGCACCCGCAGCACCTGC</t>
  </si>
  <si>
    <t xml:space="preserve">AAACGCAGGTGCTGCGGGTGCCGA</t>
  </si>
  <si>
    <t xml:space="preserve">PST_2419</t>
  </si>
  <si>
    <t xml:space="preserve">ATCAGGTCGTAGCCACGCTC</t>
  </si>
  <si>
    <t xml:space="preserve">TAGTATCAGGTCGTAGCCACGCTC</t>
  </si>
  <si>
    <t xml:space="preserve">AAACGAGCGTGGCTACGACCTGAT</t>
  </si>
  <si>
    <t xml:space="preserve">CCAGCAGCCGCGCCAGCGCA</t>
  </si>
  <si>
    <t xml:space="preserve">TAGTCCAGCAGCCGCGCCAGCGCA</t>
  </si>
  <si>
    <t xml:space="preserve">AAACTGCGCTGGCGCGGCTGCTGG</t>
  </si>
  <si>
    <t xml:space="preserve">GACGCCAGACACCGCCCTGC</t>
  </si>
  <si>
    <t xml:space="preserve">TAGTGACGCCAGACACCGCCCTGC</t>
  </si>
  <si>
    <t xml:space="preserve">AAACGCAGGGCGGTGTCTGGCGTC</t>
  </si>
  <si>
    <t xml:space="preserve">AGGAAGATCACCTGCCGGCG</t>
  </si>
  <si>
    <t xml:space="preserve">TAGTAGGAAGATCACCTGCCGGCG</t>
  </si>
  <si>
    <t xml:space="preserve">AAACCGCCGGCAGGTGATCTTCCT</t>
  </si>
  <si>
    <t xml:space="preserve">PST_2420</t>
  </si>
  <si>
    <t xml:space="preserve">ppnK</t>
  </si>
  <si>
    <t xml:space="preserve">GCCGCCGCAGCGGATCGACG</t>
  </si>
  <si>
    <t xml:space="preserve">TAGTGCCGCCGCAGCGGATCGACG</t>
  </si>
  <si>
    <t xml:space="preserve">AAACCGTCGATCCGCTGCGGCGGC</t>
  </si>
  <si>
    <t xml:space="preserve">AACACCAACATGCACTTGCG</t>
  </si>
  <si>
    <t xml:space="preserve">TAGTAACACCAACATGCACTTGCG</t>
  </si>
  <si>
    <t xml:space="preserve">AAACCGCAAGTGCATGTTGGTGTT</t>
  </si>
  <si>
    <t xml:space="preserve">GTGTGGCTGGCAGAAGTTGC</t>
  </si>
  <si>
    <t xml:space="preserve">TAGTGTGTGGCTGGCAGAAGTTGC</t>
  </si>
  <si>
    <t xml:space="preserve">AAACGCAACTTCTGCCAGCCACAC</t>
  </si>
  <si>
    <t xml:space="preserve">ATTGCTCCATTGAAGTTCCC</t>
  </si>
  <si>
    <t xml:space="preserve">TAGTATTGCTCCATTGAAGTTCCC</t>
  </si>
  <si>
    <t xml:space="preserve">AAACGGGAACTTCAATGGAGCAAT</t>
  </si>
  <si>
    <t xml:space="preserve">PST_2421</t>
  </si>
  <si>
    <t xml:space="preserve">ACAGCTCGGCAAGACTGATA</t>
  </si>
  <si>
    <t xml:space="preserve">TAGTACAGCTCGGCAAGACTGATA</t>
  </si>
  <si>
    <t xml:space="preserve">AAACTATCAGTCTTGCCGAGCTGT</t>
  </si>
  <si>
    <t xml:space="preserve">CTGCGGATGGCGAAGGACGC</t>
  </si>
  <si>
    <t xml:space="preserve">TAGTCTGCGGATGGCGAAGGACGC</t>
  </si>
  <si>
    <t xml:space="preserve">AAACGCGTCCTTCGCCATCCGCAG</t>
  </si>
  <si>
    <t xml:space="preserve">GGGCGGCGACAGCAGCGTCC</t>
  </si>
  <si>
    <t xml:space="preserve">TAGTGGGCGGCGACAGCAGCGTCC</t>
  </si>
  <si>
    <t xml:space="preserve">AAACGGACGCTGCTGTCGCCGCCC</t>
  </si>
  <si>
    <t xml:space="preserve">GGAGGTGTTTCGCTCAGCAG</t>
  </si>
  <si>
    <t xml:space="preserve">TAGTGGAGGTGTTTCGCTCAGCAG</t>
  </si>
  <si>
    <t xml:space="preserve">AAACCTGCTGAGCGAAACACCTCC</t>
  </si>
  <si>
    <t xml:space="preserve">PST_2422</t>
  </si>
  <si>
    <t xml:space="preserve">GATGGGCGTTGGGCGTCGAT</t>
  </si>
  <si>
    <t xml:space="preserve">TAGTGATGGGCGTTGGGCGTCGAT</t>
  </si>
  <si>
    <t xml:space="preserve">AAACATCGACGCCCAACGCCCATC</t>
  </si>
  <si>
    <t xml:space="preserve">CCAGGCTCTCAGAGGCTCGC</t>
  </si>
  <si>
    <t xml:space="preserve">TAGTCCAGGCTCTCAGAGGCTCGC</t>
  </si>
  <si>
    <t xml:space="preserve">AAACGCGAGCCTCTGAGAGCCTGG</t>
  </si>
  <si>
    <t xml:space="preserve">GCCCCAGGCGCAGGAATATC</t>
  </si>
  <si>
    <t xml:space="preserve">TAGTGCCCCAGGCGCAGGAATATC</t>
  </si>
  <si>
    <t xml:space="preserve">AAACGATATTCCTGCGCCTGGGGC</t>
  </si>
  <si>
    <t xml:space="preserve">ATGCGCCACCGGGCCGCCAA</t>
  </si>
  <si>
    <t xml:space="preserve">TAGTATGCGCCACCGGGCCGCCAA</t>
  </si>
  <si>
    <t xml:space="preserve">AAACTTGGCGGCCCGGTGGCGCAT</t>
  </si>
  <si>
    <t xml:space="preserve">PST_2423</t>
  </si>
  <si>
    <t xml:space="preserve">CGCCAAGCGTGCCCAAGGCC</t>
  </si>
  <si>
    <t xml:space="preserve">TAGTCGCCAAGCGTGCCCAAGGCC</t>
  </si>
  <si>
    <t xml:space="preserve">AAACGGCCTTGGGCACGCTTGGCG</t>
  </si>
  <si>
    <t xml:space="preserve">CGAACAGCACACCCAGTACC</t>
  </si>
  <si>
    <t xml:space="preserve">TAGTCGAACAGCACACCCAGTACC</t>
  </si>
  <si>
    <t xml:space="preserve">AAACGGTACTGGGTGTGCTGTTCG</t>
  </si>
  <si>
    <t xml:space="preserve">CAGATGGCGAGCAGCACGTT</t>
  </si>
  <si>
    <t xml:space="preserve">TAGTCAGATGGCGAGCAGCACGTT</t>
  </si>
  <si>
    <t xml:space="preserve">AAACAACGTGCTGCTCGCCATCTG</t>
  </si>
  <si>
    <t xml:space="preserve">GCCAATCGATGCGATTGCGC</t>
  </si>
  <si>
    <t xml:space="preserve">TAGTGCCAATCGATGCGATTGCGC</t>
  </si>
  <si>
    <t xml:space="preserve">AAACGCGCAATCGCATCGATTGGC</t>
  </si>
  <si>
    <t xml:space="preserve">PST_2424</t>
  </si>
  <si>
    <t xml:space="preserve">GAAAGGGCGTCTGGCAGCAT</t>
  </si>
  <si>
    <t xml:space="preserve">TAGTGAAAGGGCGTCTGGCAGCAT</t>
  </si>
  <si>
    <t xml:space="preserve">AAACATGCTGCCAGACGCCCTTTC</t>
  </si>
  <si>
    <t xml:space="preserve">GATGAAGAGTTCGAGCTGAG</t>
  </si>
  <si>
    <t xml:space="preserve">TAGTGATGAAGAGTTCGAGCTGAG</t>
  </si>
  <si>
    <t xml:space="preserve">AAACCTCAGCTCGAACTCTTCATC</t>
  </si>
  <si>
    <t xml:space="preserve">GCCATGCCGGCGCGCGGCAG</t>
  </si>
  <si>
    <t xml:space="preserve">TAGTGCCATGCCGGCGCGCGGCAG</t>
  </si>
  <si>
    <t xml:space="preserve">AAACCTGCCGCGCGCCGGCATGGC</t>
  </si>
  <si>
    <t xml:space="preserve">GCGCCACGGCGGAGGGCGTC</t>
  </si>
  <si>
    <t xml:space="preserve">TAGTGCGCCACGGCGGAGGGCGTC</t>
  </si>
  <si>
    <t xml:space="preserve">AAACGACGCCCTCCGCCGTGGCGC</t>
  </si>
  <si>
    <t xml:space="preserve">PST_2425</t>
  </si>
  <si>
    <t xml:space="preserve">GCTGACATCCTCATGGAAGG</t>
  </si>
  <si>
    <t xml:space="preserve">TAGTGCTGACATCCTCATGGAAGG</t>
  </si>
  <si>
    <t xml:space="preserve">AAACCCTTCCATGAGGATGTCAGC</t>
  </si>
  <si>
    <t xml:space="preserve">CTCTTTCATCCGGCGCAGAA</t>
  </si>
  <si>
    <t xml:space="preserve">TAGTCTCTTTCATCCGGCGCAGAA</t>
  </si>
  <si>
    <t xml:space="preserve">AAACTTCTGCGCCGGATGAAAGAG</t>
  </si>
  <si>
    <t xml:space="preserve">GAACTCGATGGGATGCACGC</t>
  </si>
  <si>
    <t xml:space="preserve">TAGTGAACTCGATGGGATGCACGC</t>
  </si>
  <si>
    <t xml:space="preserve">AAACGCGTGCATCCCATCGAGTTC</t>
  </si>
  <si>
    <t xml:space="preserve">TCTGGGCGCGGTCCCGCTCG</t>
  </si>
  <si>
    <t xml:space="preserve">TAGTTCTGGGCGCGGTCCCGCTCG</t>
  </si>
  <si>
    <t xml:space="preserve">AAACCGAGCGGGACCGCGCCCAGA</t>
  </si>
  <si>
    <t xml:space="preserve">PST_2426</t>
  </si>
  <si>
    <t xml:space="preserve">speE</t>
  </si>
  <si>
    <t xml:space="preserve">GTTTCCTGAAAGTCGCTCAT</t>
  </si>
  <si>
    <t xml:space="preserve">TAGTGTTTCCTGAAAGTCGCTCAT</t>
  </si>
  <si>
    <t xml:space="preserve">AAACATGAGCGACTTTCAGGAAAC</t>
  </si>
  <si>
    <t xml:space="preserve">GATCACCAGATGCTGGCGTT</t>
  </si>
  <si>
    <t xml:space="preserve">TAGTGATCACCAGATGCTGGCGTT</t>
  </si>
  <si>
    <t xml:space="preserve">AAACAACGCCAGCATCTGGTGATC</t>
  </si>
  <si>
    <t xml:space="preserve">GGGCCATGACGCGGCCCATG</t>
  </si>
  <si>
    <t xml:space="preserve">TAGTGGGCCATGACGCGGCCCATG</t>
  </si>
  <si>
    <t xml:space="preserve">AAACCATGGGCCGCGTCATGGCCC</t>
  </si>
  <si>
    <t xml:space="preserve">GGTCTGGATCACGCCGTCGA</t>
  </si>
  <si>
    <t xml:space="preserve">TAGTGGTCTGGATCACGCCGTCGA</t>
  </si>
  <si>
    <t xml:space="preserve">AAACTCGACGGCGTGATCCAGACC</t>
  </si>
  <si>
    <t xml:space="preserve">PST_2427</t>
  </si>
  <si>
    <t xml:space="preserve">alkA</t>
  </si>
  <si>
    <t xml:space="preserve">GTAGGGCAGGTGGATGGTTT</t>
  </si>
  <si>
    <t xml:space="preserve">TAGTGTAGGGCAGGTGGATGGTTT</t>
  </si>
  <si>
    <t xml:space="preserve">AAACAAACCATCCACCTGCCCTAC</t>
  </si>
  <si>
    <t xml:space="preserve">GTTGCCAGTCCCAGGGTTCG</t>
  </si>
  <si>
    <t xml:space="preserve">TAGTGTTGCCAGTCCCAGGGTTCG</t>
  </si>
  <si>
    <t xml:space="preserve">AAACCGAACCCTGGGACTGGCAAC</t>
  </si>
  <si>
    <t xml:space="preserve">GACGCAGGGCGAAGTGGCGG</t>
  </si>
  <si>
    <t xml:space="preserve">TAGTGACGCAGGGCGAAGTGGCGG</t>
  </si>
  <si>
    <t xml:space="preserve">AAACCCGCCACTTCGCCCTGCGTC</t>
  </si>
  <si>
    <t xml:space="preserve">AGGTCCAGGCGCTCCACGCC</t>
  </si>
  <si>
    <t xml:space="preserve">TAGTAGGTCCAGGCGCTCCACGCC</t>
  </si>
  <si>
    <t xml:space="preserve">AAACGGCGTGGAGCGCCTGGACCT</t>
  </si>
  <si>
    <t xml:space="preserve">PST_2428</t>
  </si>
  <si>
    <t xml:space="preserve">AGAGCAGCGCGACGAGCGCC</t>
  </si>
  <si>
    <t xml:space="preserve">TAGTAGAGCAGCGCGACGAGCGCC</t>
  </si>
  <si>
    <t xml:space="preserve">AAACGGCGCTCGTCGCGCTGCTCT</t>
  </si>
  <si>
    <t xml:space="preserve">CACCATCTTCGGCCTGCAGC</t>
  </si>
  <si>
    <t xml:space="preserve">TAGTCACCATCTTCGGCCTGCAGC</t>
  </si>
  <si>
    <t xml:space="preserve">AAACGCTGCAGGCCGAAGATGGTG</t>
  </si>
  <si>
    <t xml:space="preserve">CCCTTCGCGTAACGCCTGCC</t>
  </si>
  <si>
    <t xml:space="preserve">TAGTCCCTTCGCGTAACGCCTGCC</t>
  </si>
  <si>
    <t xml:space="preserve">AAACGGCAGGCGTTACGCGAAGGG</t>
  </si>
  <si>
    <t xml:space="preserve">CCGGCGCATTCGCGTGGCGC</t>
  </si>
  <si>
    <t xml:space="preserve">TAGTCCGGCGCATTCGCGTGGCGC</t>
  </si>
  <si>
    <t xml:space="preserve">AAACGCGCCACGCGAATGCGCCGG</t>
  </si>
  <si>
    <t xml:space="preserve">PST_2429</t>
  </si>
  <si>
    <t xml:space="preserve">GGAGCGCTGAGGCTTTCCAT</t>
  </si>
  <si>
    <t xml:space="preserve">TAGTGGAGCGCTGAGGCTTTCCAT</t>
  </si>
  <si>
    <t xml:space="preserve">AAACATGGAAAGCCTCAGCGCTCC</t>
  </si>
  <si>
    <t xml:space="preserve">ACCAGCACCACCAGGGCCAA</t>
  </si>
  <si>
    <t xml:space="preserve">TAGTACCAGCACCACCAGGGCCAA</t>
  </si>
  <si>
    <t xml:space="preserve">AAACTTGGCCCTGGTGGTGCTGGT</t>
  </si>
  <si>
    <t xml:space="preserve">GCTGCGCCAGACATGCGCGA</t>
  </si>
  <si>
    <t xml:space="preserve">TAGTGCTGCGCCAGACATGCGCGA</t>
  </si>
  <si>
    <t xml:space="preserve">AAACTCGCGCATGTCTGGCGCAGC</t>
  </si>
  <si>
    <t xml:space="preserve">TTTTGCGACCAGCCTCGATG</t>
  </si>
  <si>
    <t xml:space="preserve">TAGTTTTTGCGACCAGCCTCGATG</t>
  </si>
  <si>
    <t xml:space="preserve">AAACCATCGAGGCTGGTCGCAAAA</t>
  </si>
  <si>
    <t xml:space="preserve">PST_2430</t>
  </si>
  <si>
    <t xml:space="preserve">CCGCCGAATGCATCTCCCAT</t>
  </si>
  <si>
    <t xml:space="preserve">TAGTCCGCCGAATGCATCTCCCAT</t>
  </si>
  <si>
    <t xml:space="preserve">AAACATGGGAGATGCATTCGGCGG</t>
  </si>
  <si>
    <t xml:space="preserve">TATCCAGTATCAGGATTAGC</t>
  </si>
  <si>
    <t xml:space="preserve">TAGTTATCCAGTATCAGGATTAGC</t>
  </si>
  <si>
    <t xml:space="preserve">AAACGCTAATCCTGATACTGGATA</t>
  </si>
  <si>
    <t xml:space="preserve">CCAGAGCACTTTCTTGCCGC</t>
  </si>
  <si>
    <t xml:space="preserve">TAGTCCAGAGCACTTTCTTGCCGC</t>
  </si>
  <si>
    <t xml:space="preserve">AAACGCGGCAAGAAAGTGCTCTGG</t>
  </si>
  <si>
    <t xml:space="preserve">TGATAAGACCGAGCACGGGC</t>
  </si>
  <si>
    <t xml:space="preserve">TAGTTGATAAGACCGAGCACGGGC</t>
  </si>
  <si>
    <t xml:space="preserve">AAACGCCCGTGCTCGGTCTTATCA</t>
  </si>
  <si>
    <t xml:space="preserve">PST_2431</t>
  </si>
  <si>
    <t xml:space="preserve">GGGATTCGTGATAGACACTG</t>
  </si>
  <si>
    <t xml:space="preserve">TAGTGGGATTCGTGATAGACACTG</t>
  </si>
  <si>
    <t xml:space="preserve">AAACCAGTGTCTATCACGAATCCC</t>
  </si>
  <si>
    <t xml:space="preserve">CTTGAGCGGCTGCTCGGGGC</t>
  </si>
  <si>
    <t xml:space="preserve">TAGTCTTGAGCGGCTGCTCGGGGC</t>
  </si>
  <si>
    <t xml:space="preserve">AAACGCCCCGAGCAGCCGCTCAAG</t>
  </si>
  <si>
    <t xml:space="preserve">CGATGTCCTCGAGATGGGTC</t>
  </si>
  <si>
    <t xml:space="preserve">TAGTCGATGTCCTCGAGATGGGTC</t>
  </si>
  <si>
    <t xml:space="preserve">AAACGACCCATCTCGAGGACATCG</t>
  </si>
  <si>
    <t xml:space="preserve">GCCGACCTCGGCCAGGGTCG</t>
  </si>
  <si>
    <t xml:space="preserve">TAGTGCCGACCTCGGCCAGGGTCG</t>
  </si>
  <si>
    <t xml:space="preserve">AAACCGACCCTGGCCGAGGTCGGC</t>
  </si>
  <si>
    <t xml:space="preserve">PST_2432</t>
  </si>
  <si>
    <t xml:space="preserve">GTAAGGGAGCGAAGCGGTCA</t>
  </si>
  <si>
    <t xml:space="preserve">TAGTGTAAGGGAGCGAAGCGGTCA</t>
  </si>
  <si>
    <t xml:space="preserve">AAACTGACCGCTTCGCTCCCTTAC</t>
  </si>
  <si>
    <t xml:space="preserve">AGAAGAAATAGAACCCGGAG</t>
  </si>
  <si>
    <t xml:space="preserve">TAGTAGAAGAAATAGAACCCGGAG</t>
  </si>
  <si>
    <t xml:space="preserve">AAACCTCCGGGTTCTATTTCTTCT</t>
  </si>
  <si>
    <t xml:space="preserve">GCGAAGTACAGGCCGAGAAA</t>
  </si>
  <si>
    <t xml:space="preserve">TAGTGCGAAGTACAGGCCGAGAAA</t>
  </si>
  <si>
    <t xml:space="preserve">AAACTTTCTCGGCCTGTACTTCGC</t>
  </si>
  <si>
    <t xml:space="preserve">CTCCGGCGAGAACCCCAGAT</t>
  </si>
  <si>
    <t xml:space="preserve">TAGTCTCCGGCGAGAACCCCAGAT</t>
  </si>
  <si>
    <t xml:space="preserve">AAACATCTGGGGTTCTCGCCGGAG</t>
  </si>
  <si>
    <t xml:space="preserve">PST_2433</t>
  </si>
  <si>
    <t xml:space="preserve">aroC</t>
  </si>
  <si>
    <t xml:space="preserve">CAGCTTGCCGTAGGTATTGC</t>
  </si>
  <si>
    <t xml:space="preserve">TAGTCAGCTTGCCGTAGGTATTGC</t>
  </si>
  <si>
    <t xml:space="preserve">AAACGCAATACCTACGGCAAGCTG</t>
  </si>
  <si>
    <t xml:space="preserve">GCTTTCGCCGGCAGTGGTGA</t>
  </si>
  <si>
    <t xml:space="preserve">TAGTGCTTTCGCCGGCAGTGGTGA</t>
  </si>
  <si>
    <t xml:space="preserve">AAACTCACCACTGCCGGCGAAAGC</t>
  </si>
  <si>
    <t xml:space="preserve">TGGCCACCAGCGCAGGCCCG</t>
  </si>
  <si>
    <t xml:space="preserve">TAGTTGGCCACCAGCGCAGGCCCG</t>
  </si>
  <si>
    <t xml:space="preserve">AAACCGGGCCTGCGCTGGTGGCCA</t>
  </si>
  <si>
    <t xml:space="preserve">GGGTGGGCAGCCATCGACGA</t>
  </si>
  <si>
    <t xml:space="preserve">TAGTGGGTGGGCAGCCATCGACGA</t>
  </si>
  <si>
    <t xml:space="preserve">AAACTCGTCGATGGCTGCCCACCC</t>
  </si>
  <si>
    <t xml:space="preserve">PST_2434</t>
  </si>
  <si>
    <t xml:space="preserve">TAGGATCAGCAGGGCACGCA</t>
  </si>
  <si>
    <t xml:space="preserve">TAGTTAGGATCAGCAGGGCACGCA</t>
  </si>
  <si>
    <t xml:space="preserve">AAACTGCGTGCCCTGCTGATCCTA</t>
  </si>
  <si>
    <t xml:space="preserve">ATGTACGAATGAGAGGGGCA</t>
  </si>
  <si>
    <t xml:space="preserve">TAGTATGTACGAATGAGAGGGGCA</t>
  </si>
  <si>
    <t xml:space="preserve">AAACTGCCCCTCTCATTCGTACAT</t>
  </si>
  <si>
    <t xml:space="preserve">GTTCAGCGTCTGCGTGAGCA</t>
  </si>
  <si>
    <t xml:space="preserve">TAGTGTTCAGCGTCTGCGTGAGCA</t>
  </si>
  <si>
    <t xml:space="preserve">AAACTGCTCACGCAGACGCTGAAC</t>
  </si>
  <si>
    <t xml:space="preserve">GCACGCCATGGCCGGTGTCG</t>
  </si>
  <si>
    <t xml:space="preserve">TAGTGCACGCCATGGCCGGTGTCG</t>
  </si>
  <si>
    <t xml:space="preserve">AAACCGACACCGGCCATGGCGTGC</t>
  </si>
  <si>
    <t xml:space="preserve">PST_2435</t>
  </si>
  <si>
    <t xml:space="preserve">GCTCTGGGTGATTTCGGTGT</t>
  </si>
  <si>
    <t xml:space="preserve">TAGTGCTCTGGGTGATTTCGGTGT</t>
  </si>
  <si>
    <t xml:space="preserve">AAACACACCGAAATCACCCAGAGC</t>
  </si>
  <si>
    <t xml:space="preserve">GGATGCTTCGGCGGCGCCGG</t>
  </si>
  <si>
    <t xml:space="preserve">TAGTGGATGCTTCGGCGGCGCCGG</t>
  </si>
  <si>
    <t xml:space="preserve">AAACCCGGCGCCGCCGAAGCATCC</t>
  </si>
  <si>
    <t xml:space="preserve">TCGGGGCGAAGTTCGGCCCA</t>
  </si>
  <si>
    <t xml:space="preserve">TAGTTCGGGGCGAAGTTCGGCCCA</t>
  </si>
  <si>
    <t xml:space="preserve">AAACTGGGCCGAACTTCGCCCCGA</t>
  </si>
  <si>
    <t xml:space="preserve">GTTCGGTGGGCAGCGGCGCC</t>
  </si>
  <si>
    <t xml:space="preserve">TAGTGTTCGGTGGGCAGCGGCGCC</t>
  </si>
  <si>
    <t xml:space="preserve">AAACGGCGCCGCTGCCCACCGAAC</t>
  </si>
  <si>
    <t xml:space="preserve">PST_2436</t>
  </si>
  <si>
    <t xml:space="preserve">AATGGCGCTGGCAACGCCCA</t>
  </si>
  <si>
    <t xml:space="preserve">TAGTAATGGCGCTGGCAACGCCCA</t>
  </si>
  <si>
    <t xml:space="preserve">AAACTGGGCGTTGCCAGCGCCATT</t>
  </si>
  <si>
    <t xml:space="preserve">TCCAGTGCATGGGCGCCCAA</t>
  </si>
  <si>
    <t xml:space="preserve">TAGTTCCAGTGCATGGGCGCCCAA</t>
  </si>
  <si>
    <t xml:space="preserve">AAACTTGGGCGCCCATGCACTGGA</t>
  </si>
  <si>
    <t xml:space="preserve">CGCGCCGGGCAACTGGAAGC</t>
  </si>
  <si>
    <t xml:space="preserve">TAGTCGCGCCGGGCAACTGGAAGC</t>
  </si>
  <si>
    <t xml:space="preserve">AAACGCTTCCAGTTGCCCGGCGCG</t>
  </si>
  <si>
    <t xml:space="preserve">TTACCCAGGCGGTACTTGGT</t>
  </si>
  <si>
    <t xml:space="preserve">TAGTTTACCCAGGCGGTACTTGGT</t>
  </si>
  <si>
    <t xml:space="preserve">AAACACCAAGTACCGCCTGGGTAA</t>
  </si>
  <si>
    <t xml:space="preserve">PST_2437</t>
  </si>
  <si>
    <t xml:space="preserve">gltK</t>
  </si>
  <si>
    <t xml:space="preserve">TTGAACGTTGCGCAGTTCCA</t>
  </si>
  <si>
    <t xml:space="preserve">TAGTTTGAACGTTGCGCAGTTCCA</t>
  </si>
  <si>
    <t xml:space="preserve">AAACTGGAACTGCGCAACGTTCAA</t>
  </si>
  <si>
    <t xml:space="preserve">GACGAGAATCAGGAACTCAC</t>
  </si>
  <si>
    <t xml:space="preserve">TAGTGACGAGAATCAGGAACTCAC</t>
  </si>
  <si>
    <t xml:space="preserve">AAACGTGAGTTCCTGATTCTCGTC</t>
  </si>
  <si>
    <t xml:space="preserve">GGCGATGCAGTTCATCAGGG</t>
  </si>
  <si>
    <t xml:space="preserve">TAGTGGCGATGCAGTTCATCAGGG</t>
  </si>
  <si>
    <t xml:space="preserve">AAACCCCTGATGAACTGCATCGCC</t>
  </si>
  <si>
    <t xml:space="preserve">GCCGGTGATGTTCTCCAGCC</t>
  </si>
  <si>
    <t xml:space="preserve">TAGTGCCGGTGATGTTCTCCAGCC</t>
  </si>
  <si>
    <t xml:space="preserve">AAACGGCTGGAGAACATCACCGGC</t>
  </si>
  <si>
    <t xml:space="preserve">PST_2438</t>
  </si>
  <si>
    <t xml:space="preserve">ACGCGCCCGAGCGTCAGGCG</t>
  </si>
  <si>
    <t xml:space="preserve">TAGTACGCGCCCGAGCGTCAGGCG</t>
  </si>
  <si>
    <t xml:space="preserve">AAACCGCCTGACGCTCGGGCGCGT</t>
  </si>
  <si>
    <t xml:space="preserve">CAGCAGCAGCGTAGCGTGGA</t>
  </si>
  <si>
    <t xml:space="preserve">TAGTCAGCAGCAGCGTAGCGTGGA</t>
  </si>
  <si>
    <t xml:space="preserve">AAACTCCACGCTACGCTGCTGCTG</t>
  </si>
  <si>
    <t xml:space="preserve">GATCAGCGGCACCAGGTAGA</t>
  </si>
  <si>
    <t xml:space="preserve">TAGTGATCAGCGGCACCAGGTAGA</t>
  </si>
  <si>
    <t xml:space="preserve">AAACTCTACCTGGTGCCGCTGATC</t>
  </si>
  <si>
    <t xml:space="preserve">GCCGGTACGGATGTCTTCCG</t>
  </si>
  <si>
    <t xml:space="preserve">TAGTGCCGGTACGGATGTCTTCCG</t>
  </si>
  <si>
    <t xml:space="preserve">AAACCGGAAGACATCCGTACCGGC</t>
  </si>
  <si>
    <t xml:space="preserve">PST_2439</t>
  </si>
  <si>
    <t xml:space="preserve">GGGAAGCGCGATGGAGCTCA</t>
  </si>
  <si>
    <t xml:space="preserve">TAGTGGGAAGCGCGATGGAGCTCA</t>
  </si>
  <si>
    <t xml:space="preserve">AAACTGAGCTCCATCGCGCTTCCC</t>
  </si>
  <si>
    <t xml:space="preserve">GAGACCTTGGCGGGCCTGGC</t>
  </si>
  <si>
    <t xml:space="preserve">TAGTGAGACCTTGGCGGGCCTGGC</t>
  </si>
  <si>
    <t xml:space="preserve">AAACGCCAGGCCCGCCAAGGTCTC</t>
  </si>
  <si>
    <t xml:space="preserve">CTTGGGCAGCCAGCGCTGCA</t>
  </si>
  <si>
    <t xml:space="preserve">TAGTCTTGGGCAGCCAGCGCTGCA</t>
  </si>
  <si>
    <t xml:space="preserve">AAACTGCAGCGCTGGCTGCCCAAG</t>
  </si>
  <si>
    <t xml:space="preserve">CGATCAGCATGCTCGGCGCC</t>
  </si>
  <si>
    <t xml:space="preserve">TAGTCGATCAGCATGCTCGGCGCC</t>
  </si>
  <si>
    <t xml:space="preserve">AAACGGCGCCGAGCATGCTGATCG</t>
  </si>
  <si>
    <t xml:space="preserve">PST_2440</t>
  </si>
  <si>
    <t xml:space="preserve">ATGCCCGGAAAAATGGACAC</t>
  </si>
  <si>
    <t xml:space="preserve">TAGTATGCCCGGAAAAATGGACAC</t>
  </si>
  <si>
    <t xml:space="preserve">AAACGTGTCCATTTTTCCGGGCAT</t>
  </si>
  <si>
    <t xml:space="preserve">AAGTCGTGGGTCGCTTGCGA</t>
  </si>
  <si>
    <t xml:space="preserve">TAGTAAGTCGTGGGTCGCTTGCGA</t>
  </si>
  <si>
    <t xml:space="preserve">AAACTCGCAAGCGACCCACGACTT</t>
  </si>
  <si>
    <t xml:space="preserve">ACGATGGATCGCATTCATGG</t>
  </si>
  <si>
    <t xml:space="preserve">TAGTACGATGGATCGCATTCATGG</t>
  </si>
  <si>
    <t xml:space="preserve">AAACCCATGAATGCGATCCATCGT</t>
  </si>
  <si>
    <t xml:space="preserve">CAATGGCAGGGCAAGGGAAA</t>
  </si>
  <si>
    <t xml:space="preserve">TAGTCAATGGCAGGGCAAGGGAAA</t>
  </si>
  <si>
    <t xml:space="preserve">AAACTTTCCCTTGCCCTGCCATTG</t>
  </si>
  <si>
    <t xml:space="preserve">PST_2441</t>
  </si>
  <si>
    <t xml:space="preserve">ATGCGTCCGAGCAGCGAGCG</t>
  </si>
  <si>
    <t xml:space="preserve">TAGTATGCGTCCGAGCAGCGAGCG</t>
  </si>
  <si>
    <t xml:space="preserve">AAACCGCTCGCTGCTCGGACGCAT</t>
  </si>
  <si>
    <t xml:space="preserve">GCGCCAGCAGCACCGCGAGC</t>
  </si>
  <si>
    <t xml:space="preserve">TAGTGCGCCAGCAGCACCGCGAGC</t>
  </si>
  <si>
    <t xml:space="preserve">AAACGCTCGCGGTGCTGCTGGCGC</t>
  </si>
  <si>
    <t xml:space="preserve">ACAACCAGATCAGGCTCGAC</t>
  </si>
  <si>
    <t xml:space="preserve">TAGTACAACCAGATCAGGCTCGAC</t>
  </si>
  <si>
    <t xml:space="preserve">AAACGTCGAGCCTGATCTGGTTGT</t>
  </si>
  <si>
    <t xml:space="preserve">CAGCAGCCCTTCCATCTGAC</t>
  </si>
  <si>
    <t xml:space="preserve">TAGTCAGCAGCCCTTCCATCTGAC</t>
  </si>
  <si>
    <t xml:space="preserve">AAACGTCAGATGGAAGGGCTGCTG</t>
  </si>
  <si>
    <t xml:space="preserve">PST_2442</t>
  </si>
  <si>
    <t xml:space="preserve">gltR</t>
  </si>
  <si>
    <t xml:space="preserve">GAAGGATGTTCTTACCTGCT</t>
  </si>
  <si>
    <t xml:space="preserve">TAGTGAAGGATGTTCTTACCTGCT</t>
  </si>
  <si>
    <t xml:space="preserve">AAACAGCAGGTAAGAACATCCTTC</t>
  </si>
  <si>
    <t xml:space="preserve">GATAGGTCTGCAGCAGTTCG</t>
  </si>
  <si>
    <t xml:space="preserve">TAGTGATAGGTCTGCAGCAGTTCG</t>
  </si>
  <si>
    <t xml:space="preserve">AAACCGAACTGCTGCAGACCTATC</t>
  </si>
  <si>
    <t xml:space="preserve">CGCGGACCTGAAAGCCCGAG</t>
  </si>
  <si>
    <t xml:space="preserve">TAGTCGCGGACCTGAAAGCCCGAG</t>
  </si>
  <si>
    <t xml:space="preserve">AAACCTCGGGCTTTCAGGTCCGCG</t>
  </si>
  <si>
    <t xml:space="preserve">CTGCGAAACTGCGCGCCGTC</t>
  </si>
  <si>
    <t xml:space="preserve">TAGTCTGCGAAACTGCGCGCCGTC</t>
  </si>
  <si>
    <t xml:space="preserve">AAACGACGGCGCGCAGTTTCGCAG</t>
  </si>
  <si>
    <t xml:space="preserve">PST_2443</t>
  </si>
  <si>
    <t xml:space="preserve">glk-1</t>
  </si>
  <si>
    <t xml:space="preserve">CCACAGCGCGAAGCGTGCAT</t>
  </si>
  <si>
    <t xml:space="preserve">TAGTCCACAGCGCGAAGCGTGCAT</t>
  </si>
  <si>
    <t xml:space="preserve">AAACATGCACGCTTCGCGCTGTGG</t>
  </si>
  <si>
    <t xml:space="preserve">GGACGCGCATGGTCTGCCGT</t>
  </si>
  <si>
    <t xml:space="preserve">TAGTGGACGCGCATGGTCTGCCGT</t>
  </si>
  <si>
    <t xml:space="preserve">AAACACGGCAGACCATGCGCGTCC</t>
  </si>
  <si>
    <t xml:space="preserve">TAGGCGCGGATTGCCAGCTC</t>
  </si>
  <si>
    <t xml:space="preserve">TAGTTAGGCGCGGATTGCCAGCTC</t>
  </si>
  <si>
    <t xml:space="preserve">AAACGAGCTGGCAATCCGCGCCTA</t>
  </si>
  <si>
    <t xml:space="preserve">ACTGCTTCCAGCGCATCCAG</t>
  </si>
  <si>
    <t xml:space="preserve">TAGTACTGCTTCCAGCGCATCCAG</t>
  </si>
  <si>
    <t xml:space="preserve">AAACCTGGATGCGCTGGAAGCAGT</t>
  </si>
  <si>
    <t xml:space="preserve">PST_2444</t>
  </si>
  <si>
    <t xml:space="preserve">CGGTGACTTCCAGAACTCGC</t>
  </si>
  <si>
    <t xml:space="preserve">TAGTCGGTGACTTCCAGAACTCGC</t>
  </si>
  <si>
    <t xml:space="preserve">AAACGCGAGTTCTGGAAGTCACCG</t>
  </si>
  <si>
    <t xml:space="preserve">GGTAACGCTCACGCGTCTTG</t>
  </si>
  <si>
    <t xml:space="preserve">TAGTGGTAACGCTCACGCGTCTTG</t>
  </si>
  <si>
    <t xml:space="preserve">AAACCAAGACGCGTGAGCGTTACC</t>
  </si>
  <si>
    <t xml:space="preserve">CAGCGGCGGCCATCATCGCG</t>
  </si>
  <si>
    <t xml:space="preserve">TAGTCAGCGGCGGCCATCATCGCG</t>
  </si>
  <si>
    <t xml:space="preserve">AAACCGCGATGATGGCCGCCGCTG</t>
  </si>
  <si>
    <t xml:space="preserve">GCCTCGCTGAGGGCCCTCGC</t>
  </si>
  <si>
    <t xml:space="preserve">TAGTGCCTCGCTGAGGGCCCTCGC</t>
  </si>
  <si>
    <t xml:space="preserve">AAACGCGAGGGCCCTCAGCGAGGC</t>
  </si>
  <si>
    <t xml:space="preserve">PST_2445</t>
  </si>
  <si>
    <t xml:space="preserve">CTTGGGATCGGACAGGTCCA</t>
  </si>
  <si>
    <t xml:space="preserve">TAGTCTTGGGATCGGACAGGTCCA</t>
  </si>
  <si>
    <t xml:space="preserve">AAACTGGACCTGTCCGATCCCAAG</t>
  </si>
  <si>
    <t xml:space="preserve">CTTGCCGGACGCGAGCAGAA</t>
  </si>
  <si>
    <t xml:space="preserve">TAGTCTTGCCGGACGCGAGCAGAA</t>
  </si>
  <si>
    <t xml:space="preserve">AAACTTCTGCTCGCGTCCGGCAAG</t>
  </si>
  <si>
    <t xml:space="preserve">CCGAGACGCTCCAGGGAGAG</t>
  </si>
  <si>
    <t xml:space="preserve">TAGTCCGAGACGCTCCAGGGAGAG</t>
  </si>
  <si>
    <t xml:space="preserve">AAACCTCTCCCTGGAGCGTCTCGG</t>
  </si>
  <si>
    <t xml:space="preserve">TTCTTCAGCTGCGCCGACGA</t>
  </si>
  <si>
    <t xml:space="preserve">TAGTTTCTTCAGCTGCGCCGACGA</t>
  </si>
  <si>
    <t xml:space="preserve">AAACTCGTCGGCGCAGCTGAAGAA</t>
  </si>
  <si>
    <t xml:space="preserve">PST_2446</t>
  </si>
  <si>
    <t xml:space="preserve">GGCGGTATGTACAGGTCCAG</t>
  </si>
  <si>
    <t xml:space="preserve">TAGTGGCGGTATGTACAGGTCCAG</t>
  </si>
  <si>
    <t xml:space="preserve">AAACCTGGACCTGTACATACCGCC</t>
  </si>
  <si>
    <t xml:space="preserve">AGAAAGACTTCCAGCGCATC</t>
  </si>
  <si>
    <t xml:space="preserve">TAGTAGAAAGACTTCCAGCGCATC</t>
  </si>
  <si>
    <t xml:space="preserve">AAACGATGCGCTGGAAGTCTTTCT</t>
  </si>
  <si>
    <t xml:space="preserve">GATAGAGCAGCAGGTCAAGT</t>
  </si>
  <si>
    <t xml:space="preserve">TAGTGATAGAGCAGCAGGTCAAGT</t>
  </si>
  <si>
    <t xml:space="preserve">AAACACTTGACCTGCTGCTCTATC</t>
  </si>
  <si>
    <t xml:space="preserve">TTTCCGCCACCGGGATGTCG</t>
  </si>
  <si>
    <t xml:space="preserve">TAGTTTTCCGCCACCGGGATGTCG</t>
  </si>
  <si>
    <t xml:space="preserve">AAACCGACATCCCGGTGGCGGAAA</t>
  </si>
  <si>
    <t xml:space="preserve">PST_2447</t>
  </si>
  <si>
    <t xml:space="preserve">CACACGCCGCTGTGAATCCA</t>
  </si>
  <si>
    <t xml:space="preserve">TAGTCACACGCCGCTGTGAATCCA</t>
  </si>
  <si>
    <t xml:space="preserve">AAACTGGATTCACAGCGGCGTGTG</t>
  </si>
  <si>
    <t xml:space="preserve">TCGGCCGCTGGGGCGCATAC</t>
  </si>
  <si>
    <t xml:space="preserve">TAGTTCGGCCGCTGGGGCGCATAC</t>
  </si>
  <si>
    <t xml:space="preserve">AAACGTATGCGCCCCAGCGGCCGA</t>
  </si>
  <si>
    <t xml:space="preserve">ATACGCCGTGGTAGTGGCCA</t>
  </si>
  <si>
    <t xml:space="preserve">TAGTATACGCCGTGGTAGTGGCCA</t>
  </si>
  <si>
    <t xml:space="preserve">AAACTGGCCACTACCACGGCGTAT</t>
  </si>
  <si>
    <t xml:space="preserve">GCCGGAACTCTCGTAGTCGG</t>
  </si>
  <si>
    <t xml:space="preserve">TAGTGCCGGAACTCTCGTAGTCGG</t>
  </si>
  <si>
    <t xml:space="preserve">AAACCCGACTACGAGAGTTCCGGC</t>
  </si>
  <si>
    <t xml:space="preserve">PST_2448</t>
  </si>
  <si>
    <t xml:space="preserve">ATCTGAAAGAACTGGCTCAT</t>
  </si>
  <si>
    <t xml:space="preserve">TAGTATCTGAAAGAACTGGCTCAT</t>
  </si>
  <si>
    <t xml:space="preserve">AAACATGAGCCAGTTCTTTCAGAT</t>
  </si>
  <si>
    <t xml:space="preserve">GCGGTTGCGGGTTGTCCGGA</t>
  </si>
  <si>
    <t xml:space="preserve">TAGTGCGGTTGCGGGTTGTCCGGA</t>
  </si>
  <si>
    <t xml:space="preserve">AAACTCCGGACAACCCGCAACCGC</t>
  </si>
  <si>
    <t xml:space="preserve">TCTCCACGGCCTGCTTGATC</t>
  </si>
  <si>
    <t xml:space="preserve">TAGTTCTCCACGGCCTGCTTGATC</t>
  </si>
  <si>
    <t xml:space="preserve">AAACGATCAAGCAGGCCGTGGAGA</t>
  </si>
  <si>
    <t xml:space="preserve">ACACCACCACCCCGCCCTTG</t>
  </si>
  <si>
    <t xml:space="preserve">TAGTACACCACCACCCCGCCCTTG</t>
  </si>
  <si>
    <t xml:space="preserve">AAACCAAGGGCGGGGTGGTGGTGT</t>
  </si>
  <si>
    <t xml:space="preserve">PST_2449</t>
  </si>
  <si>
    <t xml:space="preserve">CGCCATCGGAGGCAGTGCTG</t>
  </si>
  <si>
    <t xml:space="preserve">TAGTCGCCATCGGAGGCAGTGCTG</t>
  </si>
  <si>
    <t xml:space="preserve">AAACCAGCACTGCCTCCGATGGCG</t>
  </si>
  <si>
    <t xml:space="preserve">ATGGGCACGTTCCACCAGCT</t>
  </si>
  <si>
    <t xml:space="preserve">TAGTATGGGCACGTTCCACCAGCT</t>
  </si>
  <si>
    <t xml:space="preserve">AAACAGCTGGTGGAACGTGCCCAT</t>
  </si>
  <si>
    <t xml:space="preserve">GCCATCGACGGTGTCGTGGT</t>
  </si>
  <si>
    <t xml:space="preserve">TAGTGCCATCGACGGTGTCGTGGT</t>
  </si>
  <si>
    <t xml:space="preserve">AAACACCACGACACCGTCGATGGC</t>
  </si>
  <si>
    <t xml:space="preserve">CAGCCGCCCGAGCCTCGGCG</t>
  </si>
  <si>
    <t xml:space="preserve">TAGTCAGCCGCCCGAGCCTCGGCG</t>
  </si>
  <si>
    <t xml:space="preserve">AAACCGCCGAGGCTCGGGCGGCTG</t>
  </si>
  <si>
    <t xml:space="preserve">PST_2450</t>
  </si>
  <si>
    <t xml:space="preserve">GGCGATAACGGCGTACAGCA</t>
  </si>
  <si>
    <t xml:space="preserve">TAGTGGCGATAACGGCGTACAGCA</t>
  </si>
  <si>
    <t xml:space="preserve">AAACTGCTGTACGCCGTTATCGCC</t>
  </si>
  <si>
    <t xml:space="preserve">CAGGGAATTCGGTGCGTCGG</t>
  </si>
  <si>
    <t xml:space="preserve">TAGTCAGGGAATTCGGTGCGTCGG</t>
  </si>
  <si>
    <t xml:space="preserve">AAACCCGACGCACCGAATTCCCTG</t>
  </si>
  <si>
    <t xml:space="preserve">GGGCCGGGCGGGTGGCGAGG</t>
  </si>
  <si>
    <t xml:space="preserve">TAGTGGGCCGGGCGGGTGGCGAGG</t>
  </si>
  <si>
    <t xml:space="preserve">AAACCCTCGCCACCCGCCCGGCCC</t>
  </si>
  <si>
    <t xml:space="preserve">CTGCTCCAGGCGCGCCAGGT</t>
  </si>
  <si>
    <t xml:space="preserve">TAGTCTGCTCCAGGCGCGCCAGGT</t>
  </si>
  <si>
    <t xml:space="preserve">AAACACCTGGCGCGCCTGGAGCAG</t>
  </si>
  <si>
    <t xml:space="preserve">PST_2451</t>
  </si>
  <si>
    <t xml:space="preserve">GAAAGCGGTCGTTGACGCAT</t>
  </si>
  <si>
    <t xml:space="preserve">TAGTGAAAGCGGTCGTTGACGCAT</t>
  </si>
  <si>
    <t xml:space="preserve">AAACATGCGTCAACGACCGCTTTC</t>
  </si>
  <si>
    <t xml:space="preserve">GCAGGGTCAGGGCAAGCAGC</t>
  </si>
  <si>
    <t xml:space="preserve">TAGTGCAGGGTCAGGGCAAGCAGC</t>
  </si>
  <si>
    <t xml:space="preserve">AAACGCTGCTTGCCCTGACCCTGC</t>
  </si>
  <si>
    <t xml:space="preserve">TTCTTCAGCCTGCAGCGCAG</t>
  </si>
  <si>
    <t xml:space="preserve">TAGTTTCTTCAGCCTGCAGCGCAG</t>
  </si>
  <si>
    <t xml:space="preserve">AAACCTGCGCTGCAGGCTGAAGAA</t>
  </si>
  <si>
    <t xml:space="preserve">GCTTCGTCAACCGGCAGGGT</t>
  </si>
  <si>
    <t xml:space="preserve">TAGTGCTTCGTCAACCGGCAGGGT</t>
  </si>
  <si>
    <t xml:space="preserve">AAACACCCTGCCGGTTGACGAAGC</t>
  </si>
  <si>
    <t xml:space="preserve">PST_2452</t>
  </si>
  <si>
    <t xml:space="preserve">CTGCCCGTCATGGCAGGCAT</t>
  </si>
  <si>
    <t xml:space="preserve">TAGTCTGCCCGTCATGGCAGGCAT</t>
  </si>
  <si>
    <t xml:space="preserve">AAACATGCCTGCCATGACGGGCAG</t>
  </si>
  <si>
    <t xml:space="preserve">ACATCCAGTACTACCGCGGC</t>
  </si>
  <si>
    <t xml:space="preserve">TAGTACATCCAGTACTACCGCGGC</t>
  </si>
  <si>
    <t xml:space="preserve">AAACGCCGCGGTAGTACTGGATGT</t>
  </si>
  <si>
    <t xml:space="preserve">GCAGCTGCTTGAGCAGTTCA</t>
  </si>
  <si>
    <t xml:space="preserve">TAGTGCAGCTGCTTGAGCAGTTCA</t>
  </si>
  <si>
    <t xml:space="preserve">AAACTGAACTGCTCAAGCAGCTGC</t>
  </si>
  <si>
    <t xml:space="preserve">AGCATCAACACCGGGAGGTC</t>
  </si>
  <si>
    <t xml:space="preserve">TAGTAGCATCAACACCGGGAGGTC</t>
  </si>
  <si>
    <t xml:space="preserve">AAACGACCTCCCGGTGTTGATGCT</t>
  </si>
  <si>
    <t xml:space="preserve">PST_2453</t>
  </si>
  <si>
    <t xml:space="preserve">CAGGGCGGCTGCGAACACTA</t>
  </si>
  <si>
    <t xml:space="preserve">TAGTCAGGGCGGCTGCGAACACTA</t>
  </si>
  <si>
    <t xml:space="preserve">AAACTAGTGTTCGCAGCCGCCCTG</t>
  </si>
  <si>
    <t xml:space="preserve">GGCATGGCAAAGGCGAGGGT</t>
  </si>
  <si>
    <t xml:space="preserve">TAGTGGCATGGCAAAGGCGAGGGT</t>
  </si>
  <si>
    <t xml:space="preserve">AAACACCCTCGCCTTTGCCATGCC</t>
  </si>
  <si>
    <t xml:space="preserve">GGGCCGTCGTGCATGCCACC</t>
  </si>
  <si>
    <t xml:space="preserve">TAGTGGGCCGTCGTGCATGCCACC</t>
  </si>
  <si>
    <t xml:space="preserve">AAACGGTGGCATGCACGACGGCCC</t>
  </si>
  <si>
    <t xml:space="preserve">GGGCTCTTTTGCCGCCATGG</t>
  </si>
  <si>
    <t xml:space="preserve">TAGTGGGCTCTTTTGCCGCCATGG</t>
  </si>
  <si>
    <t xml:space="preserve">AAACCCATGGCGGCAAAAGAGCCC</t>
  </si>
  <si>
    <t xml:space="preserve">PST_2454</t>
  </si>
  <si>
    <t xml:space="preserve">CGCCAGAACAGTGATCGCAC</t>
  </si>
  <si>
    <t xml:space="preserve">TAGTCGCCAGAACAGTGATCGCAC</t>
  </si>
  <si>
    <t xml:space="preserve">AAACGTGCGATCACTGTTCTGGCG</t>
  </si>
  <si>
    <t xml:space="preserve">CAGGGCAATGGCCAGCCAGA</t>
  </si>
  <si>
    <t xml:space="preserve">TAGTCAGGGCAATGGCCAGCCAGA</t>
  </si>
  <si>
    <t xml:space="preserve">AAACTCTGGCTGGCCATTGCCCTG</t>
  </si>
  <si>
    <t xml:space="preserve">AGGCATCCTGGTTCAGTGCA</t>
  </si>
  <si>
    <t xml:space="preserve">TAGTAGGCATCCTGGTTCAGTGCA</t>
  </si>
  <si>
    <t xml:space="preserve">AAACTGCACTGAACCAGGATGCCT</t>
  </si>
  <si>
    <t xml:space="preserve">GGGATGCCGACCGAGAATCC</t>
  </si>
  <si>
    <t xml:space="preserve">TAGTGGGATGCCGACCGAGAATCC</t>
  </si>
  <si>
    <t xml:space="preserve">AAACGGATTCTCGGTCGGCATCCC</t>
  </si>
  <si>
    <t xml:space="preserve">PST_2455</t>
  </si>
  <si>
    <t xml:space="preserve">CAGTGGGGGCCGGCTCGCAC</t>
  </si>
  <si>
    <t xml:space="preserve">TAGTCAGTGGGGGCCGGCTCGCAC</t>
  </si>
  <si>
    <t xml:space="preserve">AAACGTGCGAGCCGGCCCCCACTG</t>
  </si>
  <si>
    <t xml:space="preserve">GAACATCAAGTCGAGTTGAT</t>
  </si>
  <si>
    <t xml:space="preserve">TAGTGAACATCAAGTCGAGTTGAT</t>
  </si>
  <si>
    <t xml:space="preserve">AAACATCAACTCGACTTGATGTTC</t>
  </si>
  <si>
    <t xml:space="preserve">CCGGAGCGCGCAGCCCGGCA</t>
  </si>
  <si>
    <t xml:space="preserve">TAGTCCGGAGCGCGCAGCCCGGCA</t>
  </si>
  <si>
    <t xml:space="preserve">AAACTGCCGGGCTGCGCGCTCCGG</t>
  </si>
  <si>
    <t xml:space="preserve">CGATGATGAGGAAGCGCCAC</t>
  </si>
  <si>
    <t xml:space="preserve">TAGTCGATGATGAGGAAGCGCCAC</t>
  </si>
  <si>
    <t xml:space="preserve">AAACGTGGCGCTTCCTCATCATCG</t>
  </si>
  <si>
    <t xml:space="preserve">PST_2456</t>
  </si>
  <si>
    <t xml:space="preserve">GCAGGGATTGTCGATGGACA</t>
  </si>
  <si>
    <t xml:space="preserve">TAGTGCAGGGATTGTCGATGGACA</t>
  </si>
  <si>
    <t xml:space="preserve">AAACTGTCCATCGACAATCCCTGC</t>
  </si>
  <si>
    <t xml:space="preserve">CGCAGCAGGCGCCGCACGTG</t>
  </si>
  <si>
    <t xml:space="preserve">TAGTCGCAGCAGGCGCCGCACGTG</t>
  </si>
  <si>
    <t xml:space="preserve">AAACCACGTGCGGCGCCTGCTGCG</t>
  </si>
  <si>
    <t xml:space="preserve">TACGCATTCGCCAAAATAGA</t>
  </si>
  <si>
    <t xml:space="preserve">TAGTTACGCATTCGCCAAAATAGA</t>
  </si>
  <si>
    <t xml:space="preserve">AAACTCTATTTTGGCGAATGCGTA</t>
  </si>
  <si>
    <t xml:space="preserve">ACCTGAACGGTCAGATGGTC</t>
  </si>
  <si>
    <t xml:space="preserve">TAGTACCTGAACGGTCAGATGGTC</t>
  </si>
  <si>
    <t xml:space="preserve">AAACGACCATCTGACCGTTCAGGT</t>
  </si>
  <si>
    <t xml:space="preserve">PST_2457</t>
  </si>
  <si>
    <t xml:space="preserve">trkH</t>
  </si>
  <si>
    <t xml:space="preserve">GGTGGCAGTAAACCGCTCGG</t>
  </si>
  <si>
    <t xml:space="preserve">TAGTGGTGGCAGTAAACCGCTCGG</t>
  </si>
  <si>
    <t xml:space="preserve">AAACCCGAGCGGTTTACTGCCACC</t>
  </si>
  <si>
    <t xml:space="preserve">CCGACATTCTACTCGCGTCG</t>
  </si>
  <si>
    <t xml:space="preserve">TAGTCCGACATTCTACTCGCGTCG</t>
  </si>
  <si>
    <t xml:space="preserve">AAACCGACGCGAGTAGAATGTCGG</t>
  </si>
  <si>
    <t xml:space="preserve">GCTCGGCACGGGTGAAAGAG</t>
  </si>
  <si>
    <t xml:space="preserve">TAGTGCTCGGCACGGGTGAAAGAG</t>
  </si>
  <si>
    <t xml:space="preserve">AAACCTCTTTCACCCGTGCCGAGC</t>
  </si>
  <si>
    <t xml:space="preserve">GGTCGGCAGGGCCATGTAGA</t>
  </si>
  <si>
    <t xml:space="preserve">TAGTGGTCGGCAGGGCCATGTAGA</t>
  </si>
  <si>
    <t xml:space="preserve">AAACTCTACATGGCCCTGCCGACC</t>
  </si>
  <si>
    <t xml:space="preserve">PST_2458</t>
  </si>
  <si>
    <t xml:space="preserve">CCCAGACCACTGGCAGCTCG</t>
  </si>
  <si>
    <t xml:space="preserve">TAGTCCCAGACCACTGGCAGCTCG</t>
  </si>
  <si>
    <t xml:space="preserve">AAACCGAGCTGCCAGTGGTCTGGG</t>
  </si>
  <si>
    <t xml:space="preserve">CTTGTTGCGCAGCGACCCTT</t>
  </si>
  <si>
    <t xml:space="preserve">TAGTCTTGTTGCGCAGCGACCCTT</t>
  </si>
  <si>
    <t xml:space="preserve">AAACAAGGGTCGCTGCGCAACAAG</t>
  </si>
  <si>
    <t xml:space="preserve">TCAACAATGCCGCCGGCACC</t>
  </si>
  <si>
    <t xml:space="preserve">TAGTTCAACAATGCCGCCGGCACC</t>
  </si>
  <si>
    <t xml:space="preserve">AAACGGTGCCGGCGGCATTGTTGA</t>
  </si>
  <si>
    <t xml:space="preserve">CGTGATTGCCCAAGGGGCGA</t>
  </si>
  <si>
    <t xml:space="preserve">TAGTCGTGATTGCCCAAGGGGCGA</t>
  </si>
  <si>
    <t xml:space="preserve">AAACTCGCCCCTTGGGCAATCACG</t>
  </si>
  <si>
    <t xml:space="preserve">PST_2459</t>
  </si>
  <si>
    <t xml:space="preserve">CTGTGCCCAGCTCGAGGATG</t>
  </si>
  <si>
    <t xml:space="preserve">TAGTCTGTGCCCAGCTCGAGGATG</t>
  </si>
  <si>
    <t xml:space="preserve">AAACCATCCTCGAGCTGGGCACAG</t>
  </si>
  <si>
    <t xml:space="preserve">GCCCGGCCGACTCCAGCGCC</t>
  </si>
  <si>
    <t xml:space="preserve">TAGTGCCCGGCCGACTCCAGCGCC</t>
  </si>
  <si>
    <t xml:space="preserve">AAACGGCGCTGGAGTCGGCCGGGC</t>
  </si>
  <si>
    <t xml:space="preserve">CGCATAGTCCAACCCGAGCT</t>
  </si>
  <si>
    <t xml:space="preserve">TAGTCGCATAGTCCAACCCGAGCT</t>
  </si>
  <si>
    <t xml:space="preserve">AAACAGCTCGGGTTGGACTATGCG</t>
  </si>
  <si>
    <t xml:space="preserve">CCTGCGCGAAACGCGCGTCG</t>
  </si>
  <si>
    <t xml:space="preserve">TAGTCCTGCGCGAAACGCGCGTCG</t>
  </si>
  <si>
    <t xml:space="preserve">AAACCGACGCGCGTTTCGCGCAGG</t>
  </si>
  <si>
    <t xml:space="preserve">PST_2460</t>
  </si>
  <si>
    <t xml:space="preserve">TTCGGCGGTTTGCGTACTCA</t>
  </si>
  <si>
    <t xml:space="preserve">TAGTTTCGGCGGTTTGCGTACTCA</t>
  </si>
  <si>
    <t xml:space="preserve">AAACTGAGTACGCAAACCGCCGAA</t>
  </si>
  <si>
    <t xml:space="preserve">CGGATAGAAATCGGCAAAGC</t>
  </si>
  <si>
    <t xml:space="preserve">TAGTCGGATAGAAATCGGCAAAGC</t>
  </si>
  <si>
    <t xml:space="preserve">AAACGCTTTGCCGATTTCTATCCG</t>
  </si>
  <si>
    <t xml:space="preserve">CTGTGCTCGGCCAGGTAGAA</t>
  </si>
  <si>
    <t xml:space="preserve">TAGTCTGTGCTCGGCCAGGTAGAA</t>
  </si>
  <si>
    <t xml:space="preserve">AAACTTCTACCTGGCCGAGCACAG</t>
  </si>
  <si>
    <t xml:space="preserve">AATGCAGACGGCGACAGGTC</t>
  </si>
  <si>
    <t xml:space="preserve">TAGTAATGCAGACGGCGACAGGTC</t>
  </si>
  <si>
    <t xml:space="preserve">AAACGACCTGTCGCCGTCTGCATT</t>
  </si>
  <si>
    <t xml:space="preserve">PST_2461</t>
  </si>
  <si>
    <t xml:space="preserve">ATTGCGGCGCTCAACCCTGG</t>
  </si>
  <si>
    <t xml:space="preserve">TAGTATTGCGGCGCTCAACCCTGG</t>
  </si>
  <si>
    <t xml:space="preserve">AAACCCAGGGTTGAGCGCCGCAAT</t>
  </si>
  <si>
    <t xml:space="preserve">CGCGCAACGGGCGAGTGGCG</t>
  </si>
  <si>
    <t xml:space="preserve">TAGTCGCGCAACGGGCGAGTGGCG</t>
  </si>
  <si>
    <t xml:space="preserve">AAACCGCCACTCGCCCGTTGCGCG</t>
  </si>
  <si>
    <t xml:space="preserve">GATCAGATAGGCGAGCACGC</t>
  </si>
  <si>
    <t xml:space="preserve">TAGTGATCAGATAGGCGAGCACGC</t>
  </si>
  <si>
    <t xml:space="preserve">AAACGCGTGCTCGCCTATCTGATC</t>
  </si>
  <si>
    <t xml:space="preserve">GGTACCAGCGGCAATGGTCG</t>
  </si>
  <si>
    <t xml:space="preserve">TAGTGGTACCAGCGGCAATGGTCG</t>
  </si>
  <si>
    <t xml:space="preserve">AAACCGACCATTGCCGCTGGTACC</t>
  </si>
  <si>
    <t xml:space="preserve">PST_2462</t>
  </si>
  <si>
    <t xml:space="preserve">CGGGCTCTGCGGACCGGACA</t>
  </si>
  <si>
    <t xml:space="preserve">TAGTCGGGCTCTGCGGACCGGACA</t>
  </si>
  <si>
    <t xml:space="preserve">AAACTGTCCGGTCCGCAGAGCCCG</t>
  </si>
  <si>
    <t xml:space="preserve">AGCATCGGCGATCTCGAAAG</t>
  </si>
  <si>
    <t xml:space="preserve">TAGTAGCATCGGCGATCTCGAAAG</t>
  </si>
  <si>
    <t xml:space="preserve">AAACCTTTCGAGATCGCCGATGCT</t>
  </si>
  <si>
    <t xml:space="preserve">TGTGGGCAATGAGGTCGTGC</t>
  </si>
  <si>
    <t xml:space="preserve">TAGTTGTGGGCAATGAGGTCGTGC</t>
  </si>
  <si>
    <t xml:space="preserve">AAACGCACGACCTCATTGCCCACA</t>
  </si>
  <si>
    <t xml:space="preserve">ACACCAGTTGCGGGTGGTCG</t>
  </si>
  <si>
    <t xml:space="preserve">TAGTACACCAGTTGCGGGTGGTCG</t>
  </si>
  <si>
    <t xml:space="preserve">AAACCGACCACCCGCAACTGGTGT</t>
  </si>
  <si>
    <t xml:space="preserve">PST_2463</t>
  </si>
  <si>
    <t xml:space="preserve">GTTTCCCGAGCACGCCGGAC</t>
  </si>
  <si>
    <t xml:space="preserve">TAGTGTTTCCCGAGCACGCCGGAC</t>
  </si>
  <si>
    <t xml:space="preserve">AAACGTCCGGCGTGCTCGGGAAAC</t>
  </si>
  <si>
    <t xml:space="preserve">GATGACCAGCGCCGAGCTCT</t>
  </si>
  <si>
    <t xml:space="preserve">TAGTGATGACCAGCGCCGAGCTCT</t>
  </si>
  <si>
    <t xml:space="preserve">AAACAGAGCTCGGCGCTGGTCATC</t>
  </si>
  <si>
    <t xml:space="preserve">GGCGAACAGCGCACGGCCAA</t>
  </si>
  <si>
    <t xml:space="preserve">TAGTGGCGAACAGCGCACGGCCAA</t>
  </si>
  <si>
    <t xml:space="preserve">AAACTTGGCCGTGCGCTGTTCGCC</t>
  </si>
  <si>
    <t xml:space="preserve">CACCAACAGCAGGGCAAGCA</t>
  </si>
  <si>
    <t xml:space="preserve">TAGTCACCAACAGCAGGGCAAGCA</t>
  </si>
  <si>
    <t xml:space="preserve">AAACTGCTTGCCCTGCTGTTGGTG</t>
  </si>
  <si>
    <t xml:space="preserve">PST_2464</t>
  </si>
  <si>
    <t xml:space="preserve">ATGATAATTTCAGGCTTGGC</t>
  </si>
  <si>
    <t xml:space="preserve">TAGTATGATAATTTCAGGCTTGGC</t>
  </si>
  <si>
    <t xml:space="preserve">AAACGCCAAGCCTGAAATTATCAT</t>
  </si>
  <si>
    <t xml:space="preserve">CCATTGGCACTGGGTGCAAT</t>
  </si>
  <si>
    <t xml:space="preserve">TAGTCCATTGGCACTGGGTGCAAT</t>
  </si>
  <si>
    <t xml:space="preserve">AAACATTGCACCCAGTGCCAATGG</t>
  </si>
  <si>
    <t xml:space="preserve">CAGCTCCTGAGCCAGCCAGG</t>
  </si>
  <si>
    <t xml:space="preserve">TAGTCAGCTCCTGAGCCAGCCAGG</t>
  </si>
  <si>
    <t xml:space="preserve">AAACCCTGGCTGGCTCAGGAGCTG</t>
  </si>
  <si>
    <t xml:space="preserve">CCGCCCCAGGTCGTCGGCAA</t>
  </si>
  <si>
    <t xml:space="preserve">TAGTCCGCCCCAGGTCGTCGGCAA</t>
  </si>
  <si>
    <t xml:space="preserve">AAACTTGCCGACGACCTGGGGCGG</t>
  </si>
  <si>
    <t xml:space="preserve">PST_2465</t>
  </si>
  <si>
    <t xml:space="preserve">GTCGAACCAGAGGTATGCAC</t>
  </si>
  <si>
    <t xml:space="preserve">TAGTGTCGAACCAGAGGTATGCAC</t>
  </si>
  <si>
    <t xml:space="preserve">AAACGTGCATACCTCTGGTTCGAC</t>
  </si>
  <si>
    <t xml:space="preserve">GAAAGCGAGCAGGCGAAACA</t>
  </si>
  <si>
    <t xml:space="preserve">TAGTGAAAGCGAGCAGGCGAAACA</t>
  </si>
  <si>
    <t xml:space="preserve">AAACTGTTTCGCCTGCTCGCTTTC</t>
  </si>
  <si>
    <t xml:space="preserve">GCAGGCAGACAACGAGGAGC</t>
  </si>
  <si>
    <t xml:space="preserve">TAGTGCAGGCAGACAACGAGGAGC</t>
  </si>
  <si>
    <t xml:space="preserve">AAACGCTCCTCGTTGTCTGCCTGC</t>
  </si>
  <si>
    <t xml:space="preserve">GCCGTTTCGGCAAAGGCAGC</t>
  </si>
  <si>
    <t xml:space="preserve">TAGTGCCGTTTCGGCAAAGGCAGC</t>
  </si>
  <si>
    <t xml:space="preserve">AAACGCTGCCTTTGCCGAAACGGC</t>
  </si>
  <si>
    <t xml:space="preserve">PST_2466</t>
  </si>
  <si>
    <t xml:space="preserve">CATGGCGAAGCGATGTTGCT</t>
  </si>
  <si>
    <t xml:space="preserve">TAGTCATGGCGAAGCGATGTTGCT</t>
  </si>
  <si>
    <t xml:space="preserve">AAACAGCAACATCGCTTCGCCATG</t>
  </si>
  <si>
    <t xml:space="preserve">GAGACAGGCCCAGATCGGCC</t>
  </si>
  <si>
    <t xml:space="preserve">TAGTGAGACAGGCCCAGATCGGCC</t>
  </si>
  <si>
    <t xml:space="preserve">AAACGGCCGATCTGGGCCTGTCTC</t>
  </si>
  <si>
    <t xml:space="preserve">GTTCGTGATCGAAACGGGCC</t>
  </si>
  <si>
    <t xml:space="preserve">TAGTGTTCGTGATCGAAACGGGCC</t>
  </si>
  <si>
    <t xml:space="preserve">AAACGGCCCGTTTCGATCACGAAC</t>
  </si>
  <si>
    <t xml:space="preserve">TGCGCCAGCTCGCGCTGGGT</t>
  </si>
  <si>
    <t xml:space="preserve">TAGTTGCGCCAGCTCGCGCTGGGT</t>
  </si>
  <si>
    <t xml:space="preserve">AAACACCCAGCGCGAGCTGGCGCA</t>
  </si>
  <si>
    <t xml:space="preserve">PST_2467</t>
  </si>
  <si>
    <t xml:space="preserve">recQ</t>
  </si>
  <si>
    <t xml:space="preserve">CTTTGAGGATGCGCTGTGCC</t>
  </si>
  <si>
    <t xml:space="preserve">TAGTCTTTGAGGATGCGCTGTGCC</t>
  </si>
  <si>
    <t xml:space="preserve">AAACGGCACAGCGCATCCTCAAAG</t>
  </si>
  <si>
    <t xml:space="preserve">CACGCTCGATGATCGCGCCC</t>
  </si>
  <si>
    <t xml:space="preserve">TAGTCACGCTCGATGATCGCGCCC</t>
  </si>
  <si>
    <t xml:space="preserve">AAACGGGCGCGATCATCGAGCGTG</t>
  </si>
  <si>
    <t xml:space="preserve">GCAGAGCGACTTGCCGCCGC</t>
  </si>
  <si>
    <t xml:space="preserve">TAGTGCAGAGCGACTTGCCGCCGC</t>
  </si>
  <si>
    <t xml:space="preserve">AAACGCGGCGGCAAGTCGCTCTGC</t>
  </si>
  <si>
    <t xml:space="preserve">AGCCCCTCGCGCAAGAGCGC</t>
  </si>
  <si>
    <t xml:space="preserve">TAGTAGCCCCTCGCGCAAGAGCGC</t>
  </si>
  <si>
    <t xml:space="preserve">AAACGCGCTCTTGCGCGAGGGGCT</t>
  </si>
  <si>
    <t xml:space="preserve">PST_2468</t>
  </si>
  <si>
    <t xml:space="preserve">AGTTGCTCGGCGAATGACAT</t>
  </si>
  <si>
    <t xml:space="preserve">TAGTAGTTGCTCGGCGAATGACAT</t>
  </si>
  <si>
    <t xml:space="preserve">AAACATGTCATTCGCCGAGCAACT</t>
  </si>
  <si>
    <t xml:space="preserve">ATCCAGGAAGACTTGCAGGC</t>
  </si>
  <si>
    <t xml:space="preserve">TAGTATCCAGGAAGACTTGCAGGC</t>
  </si>
  <si>
    <t xml:space="preserve">AAACGCCTGCAAGTCTTCCTGGAT</t>
  </si>
  <si>
    <t xml:space="preserve">CGCTGTCAGGTAGCCATGGG</t>
  </si>
  <si>
    <t xml:space="preserve">TAGTCGCTGTCAGGTAGCCATGGG</t>
  </si>
  <si>
    <t xml:space="preserve">AAACCCCATGGCTACCTGACAGCG</t>
  </si>
  <si>
    <t xml:space="preserve">GCATCGATCCACTCGCGCTC</t>
  </si>
  <si>
    <t xml:space="preserve">TAGTGCATCGATCCACTCGCGCTC</t>
  </si>
  <si>
    <t xml:space="preserve">AAACGAGCGCGAGTGGATCGATGC</t>
  </si>
  <si>
    <t xml:space="preserve">PST_2469</t>
  </si>
  <si>
    <t xml:space="preserve">GTGCTGCCGAATGTCGCGAT</t>
  </si>
  <si>
    <t xml:space="preserve">TAGTGTGCTGCCGAATGTCGCGAT</t>
  </si>
  <si>
    <t xml:space="preserve">AAACATCGCGACATTCGGCAGCAC</t>
  </si>
  <si>
    <t xml:space="preserve">TCATGCGGATGACCGGATTG</t>
  </si>
  <si>
    <t xml:space="preserve">TAGTTCATGCGGATGACCGGATTG</t>
  </si>
  <si>
    <t xml:space="preserve">AAACCAATCCGGTCATCCGCATGA</t>
  </si>
  <si>
    <t xml:space="preserve">GAGTGGTTGGCAGCACGGGC</t>
  </si>
  <si>
    <t xml:space="preserve">TAGTGAGTGGTTGGCAGCACGGGC</t>
  </si>
  <si>
    <t xml:space="preserve">AAACGCCCGTGCTGCCAACCACTC</t>
  </si>
  <si>
    <t xml:space="preserve">AGCAGGCGGCGGCCAGCAGC</t>
  </si>
  <si>
    <t xml:space="preserve">TAGTAGCAGGCGGCGGCCAGCAGC</t>
  </si>
  <si>
    <t xml:space="preserve">AAACGCTGCTGGCCGCCGCCTGCT</t>
  </si>
  <si>
    <t xml:space="preserve">PST_2470</t>
  </si>
  <si>
    <t xml:space="preserve">GGAGCAGCGTGGTCGGGACA</t>
  </si>
  <si>
    <t xml:space="preserve">TAGTGGAGCAGCGTGGTCGGGACA</t>
  </si>
  <si>
    <t xml:space="preserve">AAACTGTCCCGACCACGCTGCTCC</t>
  </si>
  <si>
    <t xml:space="preserve">CAGCGACGGGCGGTGGCAGC</t>
  </si>
  <si>
    <t xml:space="preserve">TAGTCAGCGACGGGCGGTGGCAGC</t>
  </si>
  <si>
    <t xml:space="preserve">AAACGCTGCCACCGCCCGTCGCTG</t>
  </si>
  <si>
    <t xml:space="preserve">GAGACGGAATCAATGCGCAC</t>
  </si>
  <si>
    <t xml:space="preserve">TAGTGAGACGGAATCAATGCGCAC</t>
  </si>
  <si>
    <t xml:space="preserve">AAACGTGCGCATTGATTCCGTCTC</t>
  </si>
  <si>
    <t xml:space="preserve">GCAGGATGACGATCTGCGTA</t>
  </si>
  <si>
    <t xml:space="preserve">TAGTGCAGGATGACGATCTGCGTA</t>
  </si>
  <si>
    <t xml:space="preserve">AAACTACGCAGATCGTCATCCTGC</t>
  </si>
  <si>
    <t xml:space="preserve">PST_2471</t>
  </si>
  <si>
    <t xml:space="preserve">gstA</t>
  </si>
  <si>
    <t xml:space="preserve">GGAATGGTTCAAGTGGTGGA</t>
  </si>
  <si>
    <t xml:space="preserve">TAGTGGAATGGTTCAAGTGGTGGA</t>
  </si>
  <si>
    <t xml:space="preserve">AAACTCCACCACTTGAACCATTCC</t>
  </si>
  <si>
    <t xml:space="preserve">CCAGAGCACGCGGTGCGAGC</t>
  </si>
  <si>
    <t xml:space="preserve">TAGTCCAGAGCACGCGGTGCGAGC</t>
  </si>
  <si>
    <t xml:space="preserve">AAACGCTCGCACCGCGTGCTCTGG</t>
  </si>
  <si>
    <t xml:space="preserve">GGCGGAGCGAGCATGGTTCT</t>
  </si>
  <si>
    <t xml:space="preserve">TAGTGGCGGAGCGAGCATGGTTCT</t>
  </si>
  <si>
    <t xml:space="preserve">AAACAGAACCATGCTCGCTCCGCC</t>
  </si>
  <si>
    <t xml:space="preserve">GGGTGAACGGCTTTCAGTTC</t>
  </si>
  <si>
    <t xml:space="preserve">TAGTGGGTGAACGGCTTTCAGTTC</t>
  </si>
  <si>
    <t xml:space="preserve">AAACGAACTGAAAGCCGTTCACCC</t>
  </si>
  <si>
    <t xml:space="preserve">PST_2472</t>
  </si>
  <si>
    <t xml:space="preserve">TTCATTGAGCCATGCTTTCA</t>
  </si>
  <si>
    <t xml:space="preserve">TAGTTTCATTGAGCCATGCTTTCA</t>
  </si>
  <si>
    <t xml:space="preserve">AAACTGAAAGCATGGCTCAATGAA</t>
  </si>
  <si>
    <t xml:space="preserve">GGGATGGGTTGCATACGAGG</t>
  </si>
  <si>
    <t xml:space="preserve">TAGTGGGATGGGTTGCATACGAGG</t>
  </si>
  <si>
    <t xml:space="preserve">AAACCCTCGTATGCAACCCATCCC</t>
  </si>
  <si>
    <t xml:space="preserve">GCTCGCGGCGGGCGCGCACA</t>
  </si>
  <si>
    <t xml:space="preserve">TAGTGCTCGCGGCGGGCGCGCACA</t>
  </si>
  <si>
    <t xml:space="preserve">AAACTGTGCGCGCCCGCCGCGAGC</t>
  </si>
  <si>
    <t xml:space="preserve">PST_2473</t>
  </si>
  <si>
    <t xml:space="preserve">aceK</t>
  </si>
  <si>
    <t xml:space="preserve">CACCATGATGCACCCACTGC</t>
  </si>
  <si>
    <t xml:space="preserve">TAGTCACCATGATGCACCCACTGC</t>
  </si>
  <si>
    <t xml:space="preserve">AAACGCAGTGGGTGCATCATGGTG</t>
  </si>
  <si>
    <t xml:space="preserve">AATCTGCCGCGCGATTTCCG</t>
  </si>
  <si>
    <t xml:space="preserve">TAGTAATCTGCCGCGCGATTTCCG</t>
  </si>
  <si>
    <t xml:space="preserve">AAACCGGAAATCGCGCGGCAGATT</t>
  </si>
  <si>
    <t xml:space="preserve">CTCGATAATCGTCGAAGCCG</t>
  </si>
  <si>
    <t xml:space="preserve">TAGTCTCGATAATCGTCGAAGCCG</t>
  </si>
  <si>
    <t xml:space="preserve">AAACCGGCTTCGACGATTATCGAG</t>
  </si>
  <si>
    <t xml:space="preserve">GCGCGCCTTCGGTGATCAGA</t>
  </si>
  <si>
    <t xml:space="preserve">TAGTGCGCGCCTTCGGTGATCAGA</t>
  </si>
  <si>
    <t xml:space="preserve">AAACTCTGATCACCGAAGGCGCGC</t>
  </si>
  <si>
    <t xml:space="preserve">PST_2474</t>
  </si>
  <si>
    <t xml:space="preserve">AAGCAGGTCAAGCGGTCGCA</t>
  </si>
  <si>
    <t xml:space="preserve">TAGTAAGCAGGTCAAGCGGTCGCA</t>
  </si>
  <si>
    <t xml:space="preserve">AAACTGCGACCGCTTGACCTGCTT</t>
  </si>
  <si>
    <t xml:space="preserve">AGATGGCGGCAAGGCCGAGC</t>
  </si>
  <si>
    <t xml:space="preserve">TAGTAGATGGCGGCAAGGCCGAGC</t>
  </si>
  <si>
    <t xml:space="preserve">AAACGCTCGGCCTTGCCGCCATCT</t>
  </si>
  <si>
    <t xml:space="preserve">GTACGGGTGCGATGATGCGC</t>
  </si>
  <si>
    <t xml:space="preserve">TAGTGTACGGGTGCGATGATGCGC</t>
  </si>
  <si>
    <t xml:space="preserve">AAACGCGCATCATCGCACCCGTAC</t>
  </si>
  <si>
    <t xml:space="preserve">GCGAAAGAAGGCGGTGGGAA</t>
  </si>
  <si>
    <t xml:space="preserve">TAGTGCGAAAGAAGGCGGTGGGAA</t>
  </si>
  <si>
    <t xml:space="preserve">AAACTTCCCACCGCCTTCTTTCGC</t>
  </si>
  <si>
    <t xml:space="preserve">PST_2476</t>
  </si>
  <si>
    <t xml:space="preserve">cysK</t>
  </si>
  <si>
    <t xml:space="preserve">GTGCATAACCTCGCACATCC</t>
  </si>
  <si>
    <t xml:space="preserve">TAGTGTGCATAACCTCGCACATCC</t>
  </si>
  <si>
    <t xml:space="preserve">AAACGGATGTGCGAGGTTATGCAC</t>
  </si>
  <si>
    <t xml:space="preserve">GAACTCATGCCTGCCGGCCG</t>
  </si>
  <si>
    <t xml:space="preserve">TAGTGAACTCATGCCTGCCGGCCG</t>
  </si>
  <si>
    <t xml:space="preserve">AAACCGGCCGGCAGGCATGAGTTC</t>
  </si>
  <si>
    <t xml:space="preserve">TCATGGGAAGGCCCTGTCCG</t>
  </si>
  <si>
    <t xml:space="preserve">TAGTTCATGGGAAGGCCCTGTCCG</t>
  </si>
  <si>
    <t xml:space="preserve">AAACCGGACAGGGCCTTCCCATGA</t>
  </si>
  <si>
    <t xml:space="preserve">GACCAGCGGGGTGTTGCCGA</t>
  </si>
  <si>
    <t xml:space="preserve">TAGTGACCAGCGGGGTGTTGCCGA</t>
  </si>
  <si>
    <t xml:space="preserve">AAACTCGGCAACACCCCGCTGGTC</t>
  </si>
  <si>
    <t xml:space="preserve">PST_2475</t>
  </si>
  <si>
    <t xml:space="preserve">GGATCCACAGGGGAAGCAGG</t>
  </si>
  <si>
    <t xml:space="preserve">TAGTGGATCCACAGGGGAAGCAGG</t>
  </si>
  <si>
    <t xml:space="preserve">AAACCCTGCTTCCCCTGTGGATCC</t>
  </si>
  <si>
    <t xml:space="preserve">GCAGCAGGCCGAGCGCTAGC</t>
  </si>
  <si>
    <t xml:space="preserve">TAGTGCAGCAGGCCGAGCGCTAGC</t>
  </si>
  <si>
    <t xml:space="preserve">AAACGCTAGCGCTCGGCCTGCTGC</t>
  </si>
  <si>
    <t xml:space="preserve">GCGGCAGGGCGAGATGCAGC</t>
  </si>
  <si>
    <t xml:space="preserve">TAGTGCGGCAGGGCGAGATGCAGC</t>
  </si>
  <si>
    <t xml:space="preserve">AAACGCTGCATCTCGCCCTGCCGC</t>
  </si>
  <si>
    <t xml:space="preserve">CGTTCAGGAAGTTGCGCACC</t>
  </si>
  <si>
    <t xml:space="preserve">TAGTCGTTCAGGAAGTTGCGCACC</t>
  </si>
  <si>
    <t xml:space="preserve">AAACGGTGCGCAACTTCCTGAACG</t>
  </si>
  <si>
    <t xml:space="preserve">PST_2477</t>
  </si>
  <si>
    <t xml:space="preserve">GTCGGTGGCGACGTAGGACT</t>
  </si>
  <si>
    <t xml:space="preserve">TAGTGTCGGTGGCGACGTAGGACT</t>
  </si>
  <si>
    <t xml:space="preserve">AAACAGTCCTACGTCGCCACCGAC</t>
  </si>
  <si>
    <t xml:space="preserve">CGGCGTTGACCGCGAGTTTC</t>
  </si>
  <si>
    <t xml:space="preserve">TAGTCGGCGTTGACCGCGAGTTTC</t>
  </si>
  <si>
    <t xml:space="preserve">AAACGAAACTCGCGGTCAACGCCG</t>
  </si>
  <si>
    <t xml:space="preserve">CAGCGGGCGCTGCAGGGTGA</t>
  </si>
  <si>
    <t xml:space="preserve">TAGTCAGCGGGCGCTGCAGGGTGA</t>
  </si>
  <si>
    <t xml:space="preserve">AAACTCACCCTGCAGCGCCCGCTG</t>
  </si>
  <si>
    <t xml:space="preserve">GAAGGATTCGGCCAGCTGCT</t>
  </si>
  <si>
    <t xml:space="preserve">TAGTGAAGGATTCGGCCAGCTGCT</t>
  </si>
  <si>
    <t xml:space="preserve">AAACAGCAGCTGGCCGAATCCTTC</t>
  </si>
  <si>
    <t xml:space="preserve">PST_2478</t>
  </si>
  <si>
    <t xml:space="preserve">ACTACCGGTATGCGTTTGCA</t>
  </si>
  <si>
    <t xml:space="preserve">TAGTACTACCGGTATGCGTTTGCA</t>
  </si>
  <si>
    <t xml:space="preserve">AAACTGCAAACGCATACCGGTAGT</t>
  </si>
  <si>
    <t xml:space="preserve">GATAGCGCACGACCCCGCAC</t>
  </si>
  <si>
    <t xml:space="preserve">TAGTGATAGCGCACGACCCCGCAC</t>
  </si>
  <si>
    <t xml:space="preserve">AAACGTGCGGGGTCGTGCGCTATC</t>
  </si>
  <si>
    <t xml:space="preserve">CAATGGGTCAGCGCGTCGAT</t>
  </si>
  <si>
    <t xml:space="preserve">TAGTCAATGGGTCAGCGCGTCGAT</t>
  </si>
  <si>
    <t xml:space="preserve">AAACATCGACGCGCTGACCCATTG</t>
  </si>
  <si>
    <t xml:space="preserve">CCTTGCGGCACATCTTGCAG</t>
  </si>
  <si>
    <t xml:space="preserve">TAGTCCTTGCGGCACATCTTGCAG</t>
  </si>
  <si>
    <t xml:space="preserve">AAACCTGCAAGATGTGCCGCAAGG</t>
  </si>
  <si>
    <t xml:space="preserve">PST_2479</t>
  </si>
  <si>
    <t xml:space="preserve">CGGCGCGCATCTCGTTGAAC</t>
  </si>
  <si>
    <t xml:space="preserve">TAGTCGGCGCGCATCTCGTTGAAC</t>
  </si>
  <si>
    <t xml:space="preserve">AAACGTTCAACGAGATGCGCGCCG</t>
  </si>
  <si>
    <t xml:space="preserve">CACCGATACCGGCACCTTGG</t>
  </si>
  <si>
    <t xml:space="preserve">TAGTCACCGATACCGGCACCTTGG</t>
  </si>
  <si>
    <t xml:space="preserve">AAACCCAAGGTGCCGGTATCGGTG</t>
  </si>
  <si>
    <t xml:space="preserve">CCATGTCGGCGAACACGACG</t>
  </si>
  <si>
    <t xml:space="preserve">TAGTCCATGTCGGCGAACACGACG</t>
  </si>
  <si>
    <t xml:space="preserve">AAACCGTCGTGTTCGCCGACATGG</t>
  </si>
  <si>
    <t xml:space="preserve">CCCGGTCGAACTTGTCGAAG</t>
  </si>
  <si>
    <t xml:space="preserve">TAGTCCCGGTCGAACTTGTCGAAG</t>
  </si>
  <si>
    <t xml:space="preserve">AAACCTTCGACAAGTTCGACCGGG</t>
  </si>
  <si>
    <t xml:space="preserve">PST_2480</t>
  </si>
  <si>
    <t xml:space="preserve">CAGCAGGCCGAAGGCGAACA</t>
  </si>
  <si>
    <t xml:space="preserve">TAGTCAGCAGGCCGAAGGCGAACA</t>
  </si>
  <si>
    <t xml:space="preserve">AAACTGTTCGCCTTCGGCCTGCTG</t>
  </si>
  <si>
    <t xml:space="preserve">CCTCGATGAATCCCGGCACC</t>
  </si>
  <si>
    <t xml:space="preserve">TAGTCCTCGATGAATCCCGGCACC</t>
  </si>
  <si>
    <t xml:space="preserve">AAACGGTGCCGGGATTCATCGAGG</t>
  </si>
  <si>
    <t xml:space="preserve">CGCCTCGACATGCTGCGCAT</t>
  </si>
  <si>
    <t xml:space="preserve">TAGTCGCCTCGACATGCTGCGCAT</t>
  </si>
  <si>
    <t xml:space="preserve">AAACATGCGCAGCATGTCGAGGCG</t>
  </si>
  <si>
    <t xml:space="preserve">GTCCTGATAATGCTGCACCA</t>
  </si>
  <si>
    <t xml:space="preserve">TAGTGTCCTGATAATGCTGCACCA</t>
  </si>
  <si>
    <t xml:space="preserve">AAACTGGTGCAGCATTATCAGGAC</t>
  </si>
  <si>
    <t xml:space="preserve">PST_2481</t>
  </si>
  <si>
    <t xml:space="preserve">CACGATATCGGTGGGCACGT</t>
  </si>
  <si>
    <t xml:space="preserve">TAGTCACGATATCGGTGGGCACGT</t>
  </si>
  <si>
    <t xml:space="preserve">AAACACGTGCCCACCGATATCGTG</t>
  </si>
  <si>
    <t xml:space="preserve">GCCGCCTCTCTGCATGAGGC</t>
  </si>
  <si>
    <t xml:space="preserve">TAGTGCCGCCTCTCTGCATGAGGC</t>
  </si>
  <si>
    <t xml:space="preserve">AAACGCCTCATGCAGAGAGGCGGC</t>
  </si>
  <si>
    <t xml:space="preserve">CCAGCCGTCCTTGTGCGGCC</t>
  </si>
  <si>
    <t xml:space="preserve">TAGTCCAGCCGTCCTTGTGCGGCC</t>
  </si>
  <si>
    <t xml:space="preserve">AAACGGCCGCACAAGGACGGCTGG</t>
  </si>
  <si>
    <t xml:space="preserve">CAGGCCGCGACCTTCATAGA</t>
  </si>
  <si>
    <t xml:space="preserve">TAGTCAGGCCGCGACCTTCATAGA</t>
  </si>
  <si>
    <t xml:space="preserve">AAACTCTATGAAGGTCGCGGCCTG</t>
  </si>
  <si>
    <t xml:space="preserve">PST_2482</t>
  </si>
  <si>
    <t xml:space="preserve">TTCTCGTACCTGCGGCGACG</t>
  </si>
  <si>
    <t xml:space="preserve">TAGTTTCTCGTACCTGCGGCGACG</t>
  </si>
  <si>
    <t xml:space="preserve">AAACCGTCGCCGCAGGTACGAGAA</t>
  </si>
  <si>
    <t xml:space="preserve">TCGGATTCGAACATCGGCAT</t>
  </si>
  <si>
    <t xml:space="preserve">TAGTTCGGATTCGAACATCGGCAT</t>
  </si>
  <si>
    <t xml:space="preserve">AAACATGCCGATGTTCGAATCCGA</t>
  </si>
  <si>
    <t xml:space="preserve">GGCTAGCCCGTACAGGGCCC</t>
  </si>
  <si>
    <t xml:space="preserve">TAGTGGCTAGCCCGTACAGGGCCC</t>
  </si>
  <si>
    <t xml:space="preserve">AAACGGGCCCTGTACGGGCTAGCC</t>
  </si>
  <si>
    <t xml:space="preserve">TCACCCGGAACCAGAACAAC</t>
  </si>
  <si>
    <t xml:space="preserve">TAGTTCACCCGGAACCAGAACAAC</t>
  </si>
  <si>
    <t xml:space="preserve">AAACGTTGTTCTGGTTCCGGGTGA</t>
  </si>
  <si>
    <t xml:space="preserve">PST_2483</t>
  </si>
  <si>
    <t xml:space="preserve">CAGTATGTGTTGGTAGGGCA</t>
  </si>
  <si>
    <t xml:space="preserve">TAGTCAGTATGTGTTGGTAGGGCA</t>
  </si>
  <si>
    <t xml:space="preserve">AAACTGCCCTACCAACACATACTG</t>
  </si>
  <si>
    <t xml:space="preserve">GCATTCTTCGGTCAGGTCGA</t>
  </si>
  <si>
    <t xml:space="preserve">TAGTGCATTCTTCGGTCAGGTCGA</t>
  </si>
  <si>
    <t xml:space="preserve">AAACTCGACCTGACCGAAGAATGC</t>
  </si>
  <si>
    <t xml:space="preserve">GCGCGCGAGCGACAACCGGA</t>
  </si>
  <si>
    <t xml:space="preserve">TAGTGCGCGCGAGCGACAACCGGA</t>
  </si>
  <si>
    <t xml:space="preserve">AAACTCCGGTTGTCGCTCGCGCGC</t>
  </si>
  <si>
    <t xml:space="preserve">CAGTTTGGCGTTGGAGGTGC</t>
  </si>
  <si>
    <t xml:space="preserve">TAGTCAGTTTGGCGTTGGAGGTGC</t>
  </si>
  <si>
    <t xml:space="preserve">AAACGCACCTCCAACGCCAAACTG</t>
  </si>
  <si>
    <t xml:space="preserve">PST_2484</t>
  </si>
  <si>
    <t xml:space="preserve">GTTCGTCATCCAGGGTGATG</t>
  </si>
  <si>
    <t xml:space="preserve">TAGTGTTCGTCATCCAGGGTGATG</t>
  </si>
  <si>
    <t xml:space="preserve">AAACCATCACCCTGGATGACGAAC</t>
  </si>
  <si>
    <t xml:space="preserve">AATCACGATCCAGCTCGATC</t>
  </si>
  <si>
    <t xml:space="preserve">TAGTAATCACGATCCAGCTCGATC</t>
  </si>
  <si>
    <t xml:space="preserve">AAACGATCGAGCTGGATCGTGATT</t>
  </si>
  <si>
    <t xml:space="preserve">GCGCCTGGGCGGCGGCCTCC</t>
  </si>
  <si>
    <t xml:space="preserve">TAGTGCGCCTGGGCGGCGGCCTCC</t>
  </si>
  <si>
    <t xml:space="preserve">AAACGGAGGCCGCCGCCCAGGCGC</t>
  </si>
  <si>
    <t xml:space="preserve">TGATCGAGGCGGGTCCATTT</t>
  </si>
  <si>
    <t xml:space="preserve">TAGTTGATCGAGGCGGGTCCATTT</t>
  </si>
  <si>
    <t xml:space="preserve">AAACAAATGGACCCGCCTCGATCA</t>
  </si>
  <si>
    <t xml:space="preserve">PST_2485</t>
  </si>
  <si>
    <t xml:space="preserve">GGTGAACTTGAGCAGGGTCA</t>
  </si>
  <si>
    <t xml:space="preserve">TAGTGGTGAACTTGAGCAGGGTCA</t>
  </si>
  <si>
    <t xml:space="preserve">AAACTGACCCTGCTCAAGTTCACC</t>
  </si>
  <si>
    <t xml:space="preserve">GCCGTAGGCGAGAGATACAT</t>
  </si>
  <si>
    <t xml:space="preserve">TAGTGCCGTAGGCGAGAGATACAT</t>
  </si>
  <si>
    <t xml:space="preserve">AAACATGTATCTCTCGCCTACGGC</t>
  </si>
  <si>
    <t xml:space="preserve">CACGCCATCCAGCAACGGCG</t>
  </si>
  <si>
    <t xml:space="preserve">TAGTCACGCCATCCAGCAACGGCG</t>
  </si>
  <si>
    <t xml:space="preserve">AAACCGCCGTTGCTGGATGGCGTG</t>
  </si>
  <si>
    <t xml:space="preserve">TGGATTTGCCCGTCCCGTTG</t>
  </si>
  <si>
    <t xml:space="preserve">TAGTTGGATTTGCCCGTCCCGTTG</t>
  </si>
  <si>
    <t xml:space="preserve">AAACCAACGGGACGGGCAAATCCA</t>
  </si>
  <si>
    <t xml:space="preserve">PST_2486</t>
  </si>
  <si>
    <t xml:space="preserve">CGTGCTGTACCGGGCGGCAC</t>
  </si>
  <si>
    <t xml:space="preserve">TAGTCGTGCTGTACCGGGCGGCAC</t>
  </si>
  <si>
    <t xml:space="preserve">AAACGTGCCGCCCGGTACAGCACG</t>
  </si>
  <si>
    <t xml:space="preserve">ACGGGGGGCGTTGAGATGAC</t>
  </si>
  <si>
    <t xml:space="preserve">TAGTACGGGGGGCGTTGAGATGAC</t>
  </si>
  <si>
    <t xml:space="preserve">AAACGTCATCTCAACGCCCCCCGT</t>
  </si>
  <si>
    <t xml:space="preserve">ACTGGAGAGTCGGCCGCGCA</t>
  </si>
  <si>
    <t xml:space="preserve">TAGTACTGGAGAGTCGGCCGCGCA</t>
  </si>
  <si>
    <t xml:space="preserve">AAACTGCGCGGCCGACTCTCCAGT</t>
  </si>
  <si>
    <t xml:space="preserve">GGCCAATGGCAGAAACGAAC</t>
  </si>
  <si>
    <t xml:space="preserve">TAGTGGCCAATGGCAGAAACGAAC</t>
  </si>
  <si>
    <t xml:space="preserve">AAACGTTCGTTTCTGCCATTGGCC</t>
  </si>
  <si>
    <t xml:space="preserve">PST_2487</t>
  </si>
  <si>
    <t xml:space="preserve">GAGAGGGAAGCGATAGAGCG</t>
  </si>
  <si>
    <t xml:space="preserve">TAGTGAGAGGGAAGCGATAGAGCG</t>
  </si>
  <si>
    <t xml:space="preserve">AAACCGCTCTATCGCTTCCCTCTC</t>
  </si>
  <si>
    <t xml:space="preserve">GAGCAGACCAAGCGAATCGC</t>
  </si>
  <si>
    <t xml:space="preserve">TAGTGAGCAGACCAAGCGAATCGC</t>
  </si>
  <si>
    <t xml:space="preserve">AAACGCGATTCGCTTGGTCTGCTC</t>
  </si>
  <si>
    <t xml:space="preserve">GAGAAAGCGCCCGGTGCCGG</t>
  </si>
  <si>
    <t xml:space="preserve">TAGTGAGAAAGCGCCCGGTGCCGG</t>
  </si>
  <si>
    <t xml:space="preserve">AAACCCGGCACCGGGCGCTTTCTC</t>
  </si>
  <si>
    <t xml:space="preserve">CATACGCGGCAGTACGCGCT</t>
  </si>
  <si>
    <t xml:space="preserve">TAGTCATACGCGGCAGTACGCGCT</t>
  </si>
  <si>
    <t xml:space="preserve">AAACAGCGCGTACTGCCGCGTATG</t>
  </si>
  <si>
    <t xml:space="preserve">PST_2488</t>
  </si>
  <si>
    <t xml:space="preserve">chev-2</t>
  </si>
  <si>
    <t xml:space="preserve">ATCGACTGAATCGAGAATGC</t>
  </si>
  <si>
    <t xml:space="preserve">TAGTATCGACTGAATCGAGAATGC</t>
  </si>
  <si>
    <t xml:space="preserve">AAACGCATTCTCGATTCAGTCGAT</t>
  </si>
  <si>
    <t xml:space="preserve">GCGATTCTGCCCCACGAGGC</t>
  </si>
  <si>
    <t xml:space="preserve">TAGTGCGATTCTGCCCCACGAGGC</t>
  </si>
  <si>
    <t xml:space="preserve">AAACGCCTCGTGGGGCAGAATCGC</t>
  </si>
  <si>
    <t xml:space="preserve">GCCGGAACATGAGAATTTCC</t>
  </si>
  <si>
    <t xml:space="preserve">TAGTGCCGGAACATGAGAATTTCC</t>
  </si>
  <si>
    <t xml:space="preserve">AAACGGAAATTCTCATGTTCCGGC</t>
  </si>
  <si>
    <t xml:space="preserve">CTGCACTTTGAAGACGTTGA</t>
  </si>
  <si>
    <t xml:space="preserve">TAGTCTGCACTTTGAAGACGTTGA</t>
  </si>
  <si>
    <t xml:space="preserve">AAACTCAACGTCTTCAAAGTGCAG</t>
  </si>
  <si>
    <t xml:space="preserve">PST_2489</t>
  </si>
  <si>
    <t xml:space="preserve">CAGCGCCTTGGCATCGCCCA</t>
  </si>
  <si>
    <t xml:space="preserve">TAGTCAGCGCCTTGGCATCGCCCA</t>
  </si>
  <si>
    <t xml:space="preserve">AAACTGGGCGATGCCAAGGCGCTG</t>
  </si>
  <si>
    <t xml:space="preserve">CTGCGCATCGCCTGGCTCCC</t>
  </si>
  <si>
    <t xml:space="preserve">TAGTCTGCGCATCGCCTGGCTCCC</t>
  </si>
  <si>
    <t xml:space="preserve">AAACGGGAGCCAGGCGATGCGCAG</t>
  </si>
  <si>
    <t xml:space="preserve">CCGCCACCGGCAATCAGGGT</t>
  </si>
  <si>
    <t xml:space="preserve">TAGTCCGCCACCGGCAATCAGGGT</t>
  </si>
  <si>
    <t xml:space="preserve">AAACACCCTGATTGCCGGTGGCGG</t>
  </si>
  <si>
    <t xml:space="preserve">TTGTATCTCCAGCATGGCCG</t>
  </si>
  <si>
    <t xml:space="preserve">TAGTTTGTATCTCCAGCATGGCCG</t>
  </si>
  <si>
    <t xml:space="preserve">AAACCGGCCATGCTGGAGATACAA</t>
  </si>
  <si>
    <t xml:space="preserve">PST_2490</t>
  </si>
  <si>
    <t xml:space="preserve">GGTGCGATACATCGAAGTTT</t>
  </si>
  <si>
    <t xml:space="preserve">TAGTGGTGCGATACATCGAAGTTT</t>
  </si>
  <si>
    <t xml:space="preserve">AAACAAACTTCGATGTATCGCACC</t>
  </si>
  <si>
    <t xml:space="preserve">AGGACGCGGATAATGACGGG</t>
  </si>
  <si>
    <t xml:space="preserve">TAGTAGGACGCGGATAATGACGGG</t>
  </si>
  <si>
    <t xml:space="preserve">AAACCCCGTCATTATCCGCGTCCT</t>
  </si>
  <si>
    <t xml:space="preserve">ATGAGCGTGGCGGGCTAAGC</t>
  </si>
  <si>
    <t xml:space="preserve">TAGTATGAGCGTGGCGGGCTAAGC</t>
  </si>
  <si>
    <t xml:space="preserve">AAACGCTTAGCCCGCCACGCTCAT</t>
  </si>
  <si>
    <t xml:space="preserve">TGTTTTGAAAGCGCTTTGAG</t>
  </si>
  <si>
    <t xml:space="preserve">TAGTTGTTTTGAAAGCGCTTTGAG</t>
  </si>
  <si>
    <t xml:space="preserve">AAACCTCAAAGCGCTTTCAAAACA</t>
  </si>
  <si>
    <t xml:space="preserve">PST_2491</t>
  </si>
  <si>
    <t xml:space="preserve">ACTCGGGTGAGCATATTCAA</t>
  </si>
  <si>
    <t xml:space="preserve">TAGTACTCGGGTGAGCATATTCAA</t>
  </si>
  <si>
    <t xml:space="preserve">AAACTTGAATATGCTCACCCGAGT</t>
  </si>
  <si>
    <t xml:space="preserve">GGATCAGGCGAATGCTGGCA</t>
  </si>
  <si>
    <t xml:space="preserve">TAGTGGATCAGGCGAATGCTGGCA</t>
  </si>
  <si>
    <t xml:space="preserve">AAACTGCCAGCATTCGCCTGATCC</t>
  </si>
  <si>
    <t xml:space="preserve">GCAGGATCGACGTGAGGCCG</t>
  </si>
  <si>
    <t xml:space="preserve">TAGTGCAGGATCGACGTGAGGCCG</t>
  </si>
  <si>
    <t xml:space="preserve">AAACCGGCCTCACGTCGATCCTGC</t>
  </si>
  <si>
    <t xml:space="preserve">AACGCCAGCAGGAGTAGTCC</t>
  </si>
  <si>
    <t xml:space="preserve">TAGTAACGCCAGCAGGAGTAGTCC</t>
  </si>
  <si>
    <t xml:space="preserve">AAACGGACTACTCCTGCTGGCGTT</t>
  </si>
  <si>
    <t xml:space="preserve">PST_2492</t>
  </si>
  <si>
    <t xml:space="preserve">ACGCTTCGGCGGTTGGGCTC</t>
  </si>
  <si>
    <t xml:space="preserve">TAGTACGCTTCGGCGGTTGGGCTC</t>
  </si>
  <si>
    <t xml:space="preserve">AAACGAGCCCAACCGCCGAAGCGT</t>
  </si>
  <si>
    <t xml:space="preserve">CCGAACTGATCGTCAGGCCC</t>
  </si>
  <si>
    <t xml:space="preserve">TAGTCCGAACTGATCGTCAGGCCC</t>
  </si>
  <si>
    <t xml:space="preserve">AAACGGGCCTGACGATCAGTTCGG</t>
  </si>
  <si>
    <t xml:space="preserve">CATGGGCGGTTTTGTCCATG</t>
  </si>
  <si>
    <t xml:space="preserve">TAGTCATGGGCGGTTTTGTCCATG</t>
  </si>
  <si>
    <t xml:space="preserve">AAACCATGGACAAAACCGCCCATG</t>
  </si>
  <si>
    <t xml:space="preserve">GGGCGGGGAGTTCCAGCCCG</t>
  </si>
  <si>
    <t xml:space="preserve">TAGTGGGCGGGGAGTTCCAGCCCG</t>
  </si>
  <si>
    <t xml:space="preserve">AAACCGGGCTGGAACTCCCCGCCC</t>
  </si>
  <si>
    <t xml:space="preserve">PST_2493</t>
  </si>
  <si>
    <t xml:space="preserve">TTCATAGATTGGGCGGGGCA</t>
  </si>
  <si>
    <t xml:space="preserve">TAGTTTCATAGATTGGGCGGGGCA</t>
  </si>
  <si>
    <t xml:space="preserve">AAACTGCCCCGCCCAATCTATGAA</t>
  </si>
  <si>
    <t xml:space="preserve">GTCGATGTCCTTGTCCTCTT</t>
  </si>
  <si>
    <t xml:space="preserve">TAGTGTCGATGTCCTTGTCCTCTT</t>
  </si>
  <si>
    <t xml:space="preserve">AAACAAGAGGACAAGGACATCGAC</t>
  </si>
  <si>
    <t xml:space="preserve">AGGTGTCAAAGAGGTGGGCC</t>
  </si>
  <si>
    <t xml:space="preserve">TAGTAGGTGTCAAAGAGGTGGGCC</t>
  </si>
  <si>
    <t xml:space="preserve">AAACGGCCCACCTCTTTGACACCT</t>
  </si>
  <si>
    <t xml:space="preserve">GAGCATGCGGTTGTTGATGA</t>
  </si>
  <si>
    <t xml:space="preserve">TAGTGAGCATGCGGTTGTTGATGA</t>
  </si>
  <si>
    <t xml:space="preserve">AAACTCATCAACAACCGCATGCTC</t>
  </si>
  <si>
    <t xml:space="preserve">PST_2494</t>
  </si>
  <si>
    <t xml:space="preserve">TGCAGGCCGGTTGGAGTGTC</t>
  </si>
  <si>
    <t xml:space="preserve">TAGTTGCAGGCCGGTTGGAGTGTC</t>
  </si>
  <si>
    <t xml:space="preserve">AAACGACACTCCAACCGGCCTGCA</t>
  </si>
  <si>
    <t xml:space="preserve">GGCCAGGGCCACTGCCAGTC</t>
  </si>
  <si>
    <t xml:space="preserve">TAGTGGCCAGGGCCACTGCCAGTC</t>
  </si>
  <si>
    <t xml:space="preserve">AAACGACTGGCAGTGGCCCTGGCC</t>
  </si>
  <si>
    <t xml:space="preserve">GCCGACAGCCGACAGCGCGG</t>
  </si>
  <si>
    <t xml:space="preserve">TAGTGCCGACAGCCGACAGCGCGG</t>
  </si>
  <si>
    <t xml:space="preserve">AAACCCGCGCTGTCGGCTGTCGGC</t>
  </si>
  <si>
    <t xml:space="preserve">GTCATTGACAGGCCAGTCGG</t>
  </si>
  <si>
    <t xml:space="preserve">TAGTGTCATTGACAGGCCAGTCGG</t>
  </si>
  <si>
    <t xml:space="preserve">AAACCCGACTGGCCTGTCAATGAC</t>
  </si>
  <si>
    <t xml:space="preserve">PST_2495</t>
  </si>
  <si>
    <t xml:space="preserve">CGCGCCAACCCCGAGGTTGC</t>
  </si>
  <si>
    <t xml:space="preserve">TAGTCGCGCCAACCCCGAGGTTGC</t>
  </si>
  <si>
    <t xml:space="preserve">AAACGCAACCTCGGGGTTGGCGCG</t>
  </si>
  <si>
    <t xml:space="preserve">GGTGATGCCACATTTGCGGG</t>
  </si>
  <si>
    <t xml:space="preserve">TAGTGGTGATGCCACATTTGCGGG</t>
  </si>
  <si>
    <t xml:space="preserve">AAACCCCGCAAATGTGGCATCACC</t>
  </si>
  <si>
    <t xml:space="preserve">GCCGATGATCAGGAACTCCG</t>
  </si>
  <si>
    <t xml:space="preserve">TAGTGCCGATGATCAGGAACTCCG</t>
  </si>
  <si>
    <t xml:space="preserve">AAACCGGAGTTCCTGATCATCGGC</t>
  </si>
  <si>
    <t xml:space="preserve">CGGGTAATCACAGGGGCCGG</t>
  </si>
  <si>
    <t xml:space="preserve">TAGTCGGGTAATCACAGGGGCCGG</t>
  </si>
  <si>
    <t xml:space="preserve">AAACCCGGCCCCTGTGATTACCCG</t>
  </si>
  <si>
    <t xml:space="preserve">PST_2496</t>
  </si>
  <si>
    <t xml:space="preserve">CAGCAGGGTGCCCAGCTGCA</t>
  </si>
  <si>
    <t xml:space="preserve">TAGTCAGCAGGGTGCCCAGCTGCA</t>
  </si>
  <si>
    <t xml:space="preserve">AAACTGCAGCTGGGCACCCTGCTG</t>
  </si>
  <si>
    <t xml:space="preserve">TCGGCCCCAGCGTGCGCGCG</t>
  </si>
  <si>
    <t xml:space="preserve">TAGTTCGGCCCCAGCGTGCGCGCG</t>
  </si>
  <si>
    <t xml:space="preserve">AAACCGCGCGCACGCTGGGGCCGA</t>
  </si>
  <si>
    <t xml:space="preserve">GGTCGACCAGGTGATGACGA</t>
  </si>
  <si>
    <t xml:space="preserve">TAGTGGTCGACCAGGTGATGACGA</t>
  </si>
  <si>
    <t xml:space="preserve">AAACTCGTCATCACCTGGTCGACC</t>
  </si>
  <si>
    <t xml:space="preserve">GTCGGTCACCAGGGCGACGA</t>
  </si>
  <si>
    <t xml:space="preserve">TAGTGTCGGTCACCAGGGCGACGA</t>
  </si>
  <si>
    <t xml:space="preserve">AAACTCGTCGCCCTGGTGACCGAC</t>
  </si>
  <si>
    <t xml:space="preserve">PST_2497</t>
  </si>
  <si>
    <t xml:space="preserve">ACATGCCGCAGCCACTGCAC</t>
  </si>
  <si>
    <t xml:space="preserve">TAGTACATGCCGCAGCCACTGCAC</t>
  </si>
  <si>
    <t xml:space="preserve">AAACGTGCAGTGGCTGCGGCATGT</t>
  </si>
  <si>
    <t xml:space="preserve">GATCTTGATGGCGTCGTCAT</t>
  </si>
  <si>
    <t xml:space="preserve">TAGTGATCTTGATGGCGTCGTCAT</t>
  </si>
  <si>
    <t xml:space="preserve">AAACATGACGACGCCATCAAGATC</t>
  </si>
  <si>
    <t xml:space="preserve">GATAGCCATCGCCGGTCAGA</t>
  </si>
  <si>
    <t xml:space="preserve">TAGTGATAGCCATCGCCGGTCAGA</t>
  </si>
  <si>
    <t xml:space="preserve">AAACTCTGACCGGCGATGGCTATC</t>
  </si>
  <si>
    <t xml:space="preserve">ACTGCGCATTGAGCACCGGG</t>
  </si>
  <si>
    <t xml:space="preserve">TAGTACTGCGCATTGAGCACCGGG</t>
  </si>
  <si>
    <t xml:space="preserve">AAACCCCGGTGCTCAATGCGCAGT</t>
  </si>
  <si>
    <t xml:space="preserve">PST_2498</t>
  </si>
  <si>
    <t xml:space="preserve">ACGATCGCCATGATCAGCAA</t>
  </si>
  <si>
    <t xml:space="preserve">TAGTACGATCGCCATGATCAGCAA</t>
  </si>
  <si>
    <t xml:space="preserve">AAACTTGCTGATCATGGCGATCGT</t>
  </si>
  <si>
    <t xml:space="preserve">GTGCGGGCTGTCCCCGAACA</t>
  </si>
  <si>
    <t xml:space="preserve">TAGTGTGCGGGCTGTCCCCGAACA</t>
  </si>
  <si>
    <t xml:space="preserve">AAACTGTTCGGGGACAGCCCGCAC</t>
  </si>
  <si>
    <t xml:space="preserve">TCAGACCCTTGATGCCGTAA</t>
  </si>
  <si>
    <t xml:space="preserve">TAGTTCAGACCCTTGATGCCGTAA</t>
  </si>
  <si>
    <t xml:space="preserve">AAACTTACGGCATCAAGGGTCTGA</t>
  </si>
  <si>
    <t xml:space="preserve">TGAAGATGATGCAGATGGCG</t>
  </si>
  <si>
    <t xml:space="preserve">TAGTTGAAGATGATGCAGATGGCG</t>
  </si>
  <si>
    <t xml:space="preserve">AAACCGCCATCTGCATCATCTTCA</t>
  </si>
  <si>
    <t xml:space="preserve">PST_2499</t>
  </si>
  <si>
    <t xml:space="preserve">CAGGCTCTCAACGCAACTGA</t>
  </si>
  <si>
    <t xml:space="preserve">TAGTCAGGCTCTCAACGCAACTGA</t>
  </si>
  <si>
    <t xml:space="preserve">AAACTCAGTTGCGTTGAGAGCCTG</t>
  </si>
  <si>
    <t xml:space="preserve">CCACCACATGGTTGAGAGCC</t>
  </si>
  <si>
    <t xml:space="preserve">TAGTCCACCACATGGTTGAGAGCC</t>
  </si>
  <si>
    <t xml:space="preserve">AAACGGCTCTCAACCATGTGGTGG</t>
  </si>
  <si>
    <t xml:space="preserve">CGCCACGACGGAGCCGTCCT</t>
  </si>
  <si>
    <t xml:space="preserve">TAGTCGCCACGACGGAGCCGTCCT</t>
  </si>
  <si>
    <t xml:space="preserve">AAACAGGACGGCTCCGTCGTGGCG</t>
  </si>
  <si>
    <t xml:space="preserve">GCGGCTGGGCTTCCAGCCAC</t>
  </si>
  <si>
    <t xml:space="preserve">TAGTGCGGCTGGGCTTCCAGCCAC</t>
  </si>
  <si>
    <t xml:space="preserve">AAACGTGGCTGGAAGCCCAGCCGC</t>
  </si>
  <si>
    <t xml:space="preserve">PST_2500</t>
  </si>
  <si>
    <t xml:space="preserve">AGAAATTCACACCGAACGCG</t>
  </si>
  <si>
    <t xml:space="preserve">TAGTAGAAATTCACACCGAACGCG</t>
  </si>
  <si>
    <t xml:space="preserve">AAACCGCGTTCGGTGTGAATTTCT</t>
  </si>
  <si>
    <t xml:space="preserve">CAGCAGCGACGCCTTGCTGC</t>
  </si>
  <si>
    <t xml:space="preserve">TAGTCAGCAGCGACGCCTTGCTGC</t>
  </si>
  <si>
    <t xml:space="preserve">AAACGCAGCAAGGCGTCGCTGCTG</t>
  </si>
  <si>
    <t xml:space="preserve">GGTGTCACGACGAACGAGTA</t>
  </si>
  <si>
    <t xml:space="preserve">TAGTGGTGTCACGACGAACGAGTA</t>
  </si>
  <si>
    <t xml:space="preserve">AAACTACTCGTTCGTCGTGACACC</t>
  </si>
  <si>
    <t xml:space="preserve">TGCGCGAGGTGATCGACGTT</t>
  </si>
  <si>
    <t xml:space="preserve">TAGTTGCGCGAGGTGATCGACGTT</t>
  </si>
  <si>
    <t xml:space="preserve">AAACAACGTCGATCACCTCGCGCA</t>
  </si>
  <si>
    <t xml:space="preserve">PST_2501</t>
  </si>
  <si>
    <t xml:space="preserve">TTTGTTCATCCTTGACGGAG</t>
  </si>
  <si>
    <t xml:space="preserve">TAGTTTTGTTCATCCTTGACGGAG</t>
  </si>
  <si>
    <t xml:space="preserve">AAACCTCCGTCAAGGATGAACAAA</t>
  </si>
  <si>
    <t xml:space="preserve">GAGTGCAATGAATGGTTTCA</t>
  </si>
  <si>
    <t xml:space="preserve">TAGTGAGTGCAATGAATGGTTTCA</t>
  </si>
  <si>
    <t xml:space="preserve">AAACTGAAACCATTCATTGCACTC</t>
  </si>
  <si>
    <t xml:space="preserve">ACAGCCCTGCAGTGTCAGAG</t>
  </si>
  <si>
    <t xml:space="preserve">TAGTACAGCCCTGCAGTGTCAGAG</t>
  </si>
  <si>
    <t xml:space="preserve">AAACCTCTGACACTGCAGGGCTGT</t>
  </si>
  <si>
    <t xml:space="preserve">GGGGTCAAGATACTGGCCGG</t>
  </si>
  <si>
    <t xml:space="preserve">TAGTGGGGTCAAGATACTGGCCGG</t>
  </si>
  <si>
    <t xml:space="preserve">AAACCCGGCCAGTATCTTGACCCC</t>
  </si>
  <si>
    <t xml:space="preserve">PST_2502</t>
  </si>
  <si>
    <t xml:space="preserve">GCGGAAGGACTTGGCCAGGC</t>
  </si>
  <si>
    <t xml:space="preserve">TAGTGCGGAAGGACTTGGCCAGGC</t>
  </si>
  <si>
    <t xml:space="preserve">AAACGCCTGGCCAAGTCCTTCCGC</t>
  </si>
  <si>
    <t xml:space="preserve">CGCTGCCATGTCGTCGGGAC</t>
  </si>
  <si>
    <t xml:space="preserve">TAGTCGCTGCCATGTCGTCGGGAC</t>
  </si>
  <si>
    <t xml:space="preserve">AAACGTCCCGACGACATGGCAGCG</t>
  </si>
  <si>
    <t xml:space="preserve">ATGCAATCCTCGACCAGCGC</t>
  </si>
  <si>
    <t xml:space="preserve">TAGTATGCAATCCTCGACCAGCGC</t>
  </si>
  <si>
    <t xml:space="preserve">AAACGCGCTGGTCGAGGATTGCAT</t>
  </si>
  <si>
    <t xml:space="preserve">CTGCGCACCCTCGTTGGAAC</t>
  </si>
  <si>
    <t xml:space="preserve">TAGTCTGCGCACCCTCGTTGGAAC</t>
  </si>
  <si>
    <t xml:space="preserve">AAACGTTCCAACGAGGGTGCGCAG</t>
  </si>
  <si>
    <t xml:space="preserve">PST_2503</t>
  </si>
  <si>
    <t xml:space="preserve">GTCGATGGCGTGACCAATTT</t>
  </si>
  <si>
    <t xml:space="preserve">TAGTGTCGATGGCGTGACCAATTT</t>
  </si>
  <si>
    <t xml:space="preserve">AAACAAATTGGTCACGCCATCGAC</t>
  </si>
  <si>
    <t xml:space="preserve">CGGCACTGCGGCATCGTAGG</t>
  </si>
  <si>
    <t xml:space="preserve">TAGTCGGCACTGCGGCATCGTAGG</t>
  </si>
  <si>
    <t xml:space="preserve">AAACCCTACGATGCCGCAGTGCCG</t>
  </si>
  <si>
    <t xml:space="preserve">AGGAGCGCCTCGCGCAGATC</t>
  </si>
  <si>
    <t xml:space="preserve">TAGTAGGAGCGCCTCGCGCAGATC</t>
  </si>
  <si>
    <t xml:space="preserve">AAACGATCTGCGCGAGGCGCTCCT</t>
  </si>
  <si>
    <t xml:space="preserve">TGAGCCGGTACTGCGCCTGC</t>
  </si>
  <si>
    <t xml:space="preserve">TAGTTGAGCCGGTACTGCGCCTGC</t>
  </si>
  <si>
    <t xml:space="preserve">AAACGCAGGCGCAGTACCGGCTCA</t>
  </si>
  <si>
    <t xml:space="preserve">PST_2504</t>
  </si>
  <si>
    <t xml:space="preserve">TGCAGCAGTGTGGGTAGGGC</t>
  </si>
  <si>
    <t xml:space="preserve">TAGTTGCAGCAGTGTGGGTAGGGC</t>
  </si>
  <si>
    <t xml:space="preserve">AAACGCCCTACCCACACTGCTGCA</t>
  </si>
  <si>
    <t xml:space="preserve">AAGGGCCAATGGTCCTGGGG</t>
  </si>
  <si>
    <t xml:space="preserve">TAGTAAGGGCCAATGGTCCTGGGG</t>
  </si>
  <si>
    <t xml:space="preserve">AAACCCCCAGGACCATTGGCCCTT</t>
  </si>
  <si>
    <t xml:space="preserve">CGAACACCGGGCAATGCCTC</t>
  </si>
  <si>
    <t xml:space="preserve">TAGTCGAACACCGGGCAATGCCTC</t>
  </si>
  <si>
    <t xml:space="preserve">AAACGAGGCATTGCCCGGTGTTCG</t>
  </si>
  <si>
    <t xml:space="preserve">GTCTTCGGGGTCGAGCAAGG</t>
  </si>
  <si>
    <t xml:space="preserve">TAGTGTCTTCGGGGTCGAGCAAGG</t>
  </si>
  <si>
    <t xml:space="preserve">AAACCCTTGCTCGACCCCGAAGAC</t>
  </si>
  <si>
    <t xml:space="preserve">PST_2505</t>
  </si>
  <si>
    <t xml:space="preserve">ATCGTGGTATGGATTGGCCA</t>
  </si>
  <si>
    <t xml:space="preserve">TAGTATCGTGGTATGGATTGGCCA</t>
  </si>
  <si>
    <t xml:space="preserve">AAACTGGCCAATCCATACCACGAT</t>
  </si>
  <si>
    <t xml:space="preserve">AAGCAGGATGCCACGCAGAT</t>
  </si>
  <si>
    <t xml:space="preserve">TAGTAAGCAGGATGCCACGCAGAT</t>
  </si>
  <si>
    <t xml:space="preserve">AAACATCTGCGTGGCATCCTGCTT</t>
  </si>
  <si>
    <t xml:space="preserve">AACCTGTTCGGCTTCGCCCA</t>
  </si>
  <si>
    <t xml:space="preserve">TAGTAACCTGTTCGGCTTCGCCCA</t>
  </si>
  <si>
    <t xml:space="preserve">AAACTGGGCGAAGCCGAACAGGTT</t>
  </si>
  <si>
    <t xml:space="preserve">AGCGTTCGAGGAACAGCGCG</t>
  </si>
  <si>
    <t xml:space="preserve">TAGTAGCGTTCGAGGAACAGCGCG</t>
  </si>
  <si>
    <t xml:space="preserve">AAACCGCGCTGTTCCTCGAACGCT</t>
  </si>
  <si>
    <t xml:space="preserve">PST_2506</t>
  </si>
  <si>
    <t xml:space="preserve">ihfB</t>
  </si>
  <si>
    <t xml:space="preserve">GATCAACTCCGACTTGGTCA</t>
  </si>
  <si>
    <t xml:space="preserve">TAGTGATCAACTCCGACTTGGTCA</t>
  </si>
  <si>
    <t xml:space="preserve">AAACTGACCAAGTCGGAGTTGATC</t>
  </si>
  <si>
    <t xml:space="preserve">GGATGAAAGCAGCCCCTGCT</t>
  </si>
  <si>
    <t xml:space="preserve">TAGTGGATGAAAGCAGCCCCTGCT</t>
  </si>
  <si>
    <t xml:space="preserve">AAACAGCAGGGGCTGCTTTCATCC</t>
  </si>
  <si>
    <t xml:space="preserve">GATGGCCAGCTCGACATCCT</t>
  </si>
  <si>
    <t xml:space="preserve">TAGTGATGGCCAGCTCGACATCCT</t>
  </si>
  <si>
    <t xml:space="preserve">AAACAGGATGTCGAGCTGGCCATC</t>
  </si>
  <si>
    <t xml:space="preserve">CTGAGCCATTTGCTCAAGCA</t>
  </si>
  <si>
    <t xml:space="preserve">TAGTCTGAGCCATTTGCTCAAGCA</t>
  </si>
  <si>
    <t xml:space="preserve">AAACTGCTTGAGCAAATGGCTCAG</t>
  </si>
  <si>
    <t xml:space="preserve">PST_2507</t>
  </si>
  <si>
    <t xml:space="preserve">CCGCCGATTTCCTGGGTCAT</t>
  </si>
  <si>
    <t xml:space="preserve">TAGTCCGCCGATTTCCTGGGTCAT</t>
  </si>
  <si>
    <t xml:space="preserve">AAACATGACCCAGGAAATCGGCGG</t>
  </si>
  <si>
    <t xml:space="preserve">AGCGGAGTGAATACCGAGTG</t>
  </si>
  <si>
    <t xml:space="preserve">TAGTAGCGGAGTGAATACCGAGTG</t>
  </si>
  <si>
    <t xml:space="preserve">AAACCACTCGGTATTCACTCCGCT</t>
  </si>
  <si>
    <t xml:space="preserve">TTCGTAGCCGACTGCGCTGA</t>
  </si>
  <si>
    <t xml:space="preserve">TAGTTTCGTAGCCGACTGCGCTGA</t>
  </si>
  <si>
    <t xml:space="preserve">AAACTCAGCGCAGTCGGCTACGAA</t>
  </si>
  <si>
    <t xml:space="preserve">GCCTGGGCCTGGATGGGGGA</t>
  </si>
  <si>
    <t xml:space="preserve">TAGTGCCTGGGCCTGGATGGGGGA</t>
  </si>
  <si>
    <t xml:space="preserve">AAACTCCCCCATCCAGGCCCAGGC</t>
  </si>
  <si>
    <t xml:space="preserve">PST_2508</t>
  </si>
  <si>
    <t xml:space="preserve">AGGCTTTGAAGCTGGGTCAC</t>
  </si>
  <si>
    <t xml:space="preserve">TAGTAGGCTTTGAAGCTGGGTCAC</t>
  </si>
  <si>
    <t xml:space="preserve">AAACGTGACCCAGCTTCAAAGCCT</t>
  </si>
  <si>
    <t xml:space="preserve">TAGGGGAAAGTTGCATTTGG</t>
  </si>
  <si>
    <t xml:space="preserve">TAGTTAGGGGAAAGTTGCATTTGG</t>
  </si>
  <si>
    <t xml:space="preserve">AAACCCAAATGCAACTTTCCCCTA</t>
  </si>
  <si>
    <t xml:space="preserve">TTGCCGGTGCGTCCCAGCCA</t>
  </si>
  <si>
    <t xml:space="preserve">TAGTTTGCCGGTGCGTCCCAGCCA</t>
  </si>
  <si>
    <t xml:space="preserve">AAACTGGCTGGGACGCACCGGCAA</t>
  </si>
  <si>
    <t xml:space="preserve">CACACCACGGTTCAACCAGC</t>
  </si>
  <si>
    <t xml:space="preserve">TAGTCACACCACGGTTCAACCAGC</t>
  </si>
  <si>
    <t xml:space="preserve">AAACGCTGGTTGAACCGTGGTGTG</t>
  </si>
  <si>
    <t xml:space="preserve">PST_2509</t>
  </si>
  <si>
    <t xml:space="preserve">AGTCACCGACCTCGAGCACA</t>
  </si>
  <si>
    <t xml:space="preserve">TAGTAGTCACCGACCTCGAGCACA</t>
  </si>
  <si>
    <t xml:space="preserve">AAACTGTGCTCGAGGTCGGTGACT</t>
  </si>
  <si>
    <t xml:space="preserve">CTGCGCCGAATTCGAGAAAG</t>
  </si>
  <si>
    <t xml:space="preserve">TAGTCTGCGCCGAATTCGAGAAAG</t>
  </si>
  <si>
    <t xml:space="preserve">AAACCTTTCTCGAATTCGGCGCAG</t>
  </si>
  <si>
    <t xml:space="preserve">ATATTCGAGCCAGGCGGGAT</t>
  </si>
  <si>
    <t xml:space="preserve">TAGTATATTCGAGCCAGGCGGGAT</t>
  </si>
  <si>
    <t xml:space="preserve">AAACATCCCGCCTGGCTCGAATAT</t>
  </si>
  <si>
    <t xml:space="preserve">CCCGCCGAGCAGCATGGCAC</t>
  </si>
  <si>
    <t xml:space="preserve">TAGTCCCGCCGAGCAGCATGGCAC</t>
  </si>
  <si>
    <t xml:space="preserve">AAACGTGCCATGCTGCTCGGCGGG</t>
  </si>
  <si>
    <t xml:space="preserve">PST_2510</t>
  </si>
  <si>
    <t xml:space="preserve">GGGGCTCCAGGCGTGGCTCA</t>
  </si>
  <si>
    <t xml:space="preserve">TAGTGGGGCTCCAGGCGTGGCTCA</t>
  </si>
  <si>
    <t xml:space="preserve">AAACTGAGCCACGCCTGGAGCCCC</t>
  </si>
  <si>
    <t xml:space="preserve">GGCTTGTTTCTCCAGCTGTC</t>
  </si>
  <si>
    <t xml:space="preserve">TAGTGGCTTGTTTCTCCAGCTGTC</t>
  </si>
  <si>
    <t xml:space="preserve">AAACGACAGCTGGAGAAACAAGCC</t>
  </si>
  <si>
    <t xml:space="preserve">TATTCGGGTTGCTGCTGAAT</t>
  </si>
  <si>
    <t xml:space="preserve">TAGTTATTCGGGTTGCTGCTGAAT</t>
  </si>
  <si>
    <t xml:space="preserve">AAACATTCAGCAGCAACCCGAATA</t>
  </si>
  <si>
    <t xml:space="preserve">CGCTTGAGGTGCTCGGCATC</t>
  </si>
  <si>
    <t xml:space="preserve">TAGTCGCTTGAGGTGCTCGGCATC</t>
  </si>
  <si>
    <t xml:space="preserve">AAACGATGCCGAGCACCTCAAGCG</t>
  </si>
  <si>
    <t xml:space="preserve">PST_2511</t>
  </si>
  <si>
    <t xml:space="preserve">ACGCGGCCAGTACGGCGCCC</t>
  </si>
  <si>
    <t xml:space="preserve">TAGTACGCGGCCAGTACGGCGCCC</t>
  </si>
  <si>
    <t xml:space="preserve">AAACGGGCGCCGTACTGGCCGCGT</t>
  </si>
  <si>
    <t xml:space="preserve">ACAGCAGTGGGCCCAGGATC</t>
  </si>
  <si>
    <t xml:space="preserve">TAGTACAGCAGTGGGCCCAGGATC</t>
  </si>
  <si>
    <t xml:space="preserve">AAACGATCCTGGGCCCACTGCTGT</t>
  </si>
  <si>
    <t xml:space="preserve">GGCCGCCGGGTGGGTCGGTC</t>
  </si>
  <si>
    <t xml:space="preserve">TAGTGGCCGCCGGGTGGGTCGGTC</t>
  </si>
  <si>
    <t xml:space="preserve">AAACGACCGACCCACCCGGCGGCC</t>
  </si>
  <si>
    <t xml:space="preserve">TCAGCCAGGCCTTTTCCGAA</t>
  </si>
  <si>
    <t xml:space="preserve">TAGTTCAGCCAGGCCTTTTCCGAA</t>
  </si>
  <si>
    <t xml:space="preserve">AAACTTCGGAAAAGGCCTGGCTGA</t>
  </si>
  <si>
    <t xml:space="preserve">PST_2512</t>
  </si>
  <si>
    <t xml:space="preserve">efp</t>
  </si>
  <si>
    <t xml:space="preserve">GCCGGCACGGAACTCTTGTG</t>
  </si>
  <si>
    <t xml:space="preserve">TAGTGCCGGCACGGAACTCTTGTG</t>
  </si>
  <si>
    <t xml:space="preserve">AAACCACAAGAGTTCCGTGCCGGC</t>
  </si>
  <si>
    <t xml:space="preserve">CGCCGTTGATGATGGCCACC</t>
  </si>
  <si>
    <t xml:space="preserve">TAGTCGCCGTTGATGATGGCCACC</t>
  </si>
  <si>
    <t xml:space="preserve">AAACGGTGGCCATCATCAACGGCG</t>
  </si>
  <si>
    <t xml:space="preserve">TCGGCTTTCTGGATGACCCA</t>
  </si>
  <si>
    <t xml:space="preserve">TAGTTCGGCTTTCTGGATGACCCA</t>
  </si>
  <si>
    <t xml:space="preserve">AAACTGGGTCATCCAGAAAGCCGA</t>
  </si>
  <si>
    <t xml:space="preserve">GACCACGGCACTGTTGCGGC</t>
  </si>
  <si>
    <t xml:space="preserve">TAGTGACCACGGCACTGTTGCGGC</t>
  </si>
  <si>
    <t xml:space="preserve">AAACGCCGCAACAGTGCCGTGGTC</t>
  </si>
  <si>
    <t xml:space="preserve">PST_2513</t>
  </si>
  <si>
    <t xml:space="preserve">CAGCTGACGGGCCAGGCGCC</t>
  </si>
  <si>
    <t xml:space="preserve">TAGTCAGCTGACGGGCCAGGCGCC</t>
  </si>
  <si>
    <t xml:space="preserve">AAACGGCGCCTGGCCCGTCAGCTG</t>
  </si>
  <si>
    <t xml:space="preserve">CCGCACCTGCTGGCCGTGCT</t>
  </si>
  <si>
    <t xml:space="preserve">TAGTCCGCACCTGCTGGCCGTGCT</t>
  </si>
  <si>
    <t xml:space="preserve">AAACAGCACGGCCAGCAGGTGCGG</t>
  </si>
  <si>
    <t xml:space="preserve">CGCCGGACACAGCCGGGCGA</t>
  </si>
  <si>
    <t xml:space="preserve">TAGTCGCCGGACACAGCCGGGCGA</t>
  </si>
  <si>
    <t xml:space="preserve">AAACTCGCCCGGCTGTGTCCGGCG</t>
  </si>
  <si>
    <t xml:space="preserve">CTGTTGATCAGCCTGCGCAC</t>
  </si>
  <si>
    <t xml:space="preserve">TAGTCTGTTGATCAGCCTGCGCAC</t>
  </si>
  <si>
    <t xml:space="preserve">AAACGTGCGCAGGCTGATCAACAG</t>
  </si>
  <si>
    <t xml:space="preserve">PST_2514</t>
  </si>
  <si>
    <t xml:space="preserve">ATGTCTGTTCGAGGATGAGC</t>
  </si>
  <si>
    <t xml:space="preserve">TAGTATGTCTGTTCGAGGATGAGC</t>
  </si>
  <si>
    <t xml:space="preserve">AAACGCTCATCCTCGAACAGACAT</t>
  </si>
  <si>
    <t xml:space="preserve">CGTCGAAAGCCTCTAGCCAA</t>
  </si>
  <si>
    <t xml:space="preserve">TAGTCGTCGAAAGCCTCTAGCCAA</t>
  </si>
  <si>
    <t xml:space="preserve">AAACTTGGCTAGAGGCTTTCGACG</t>
  </si>
  <si>
    <t xml:space="preserve">AACTGCCGAAACCGGCGACC</t>
  </si>
  <si>
    <t xml:space="preserve">TAGTAACTGCCGAAACCGGCGACC</t>
  </si>
  <si>
    <t xml:space="preserve">AAACGGTCGCCGGTTTCGGCAGTT</t>
  </si>
  <si>
    <t xml:space="preserve">GAATTGCGCTGAACAGCCCG</t>
  </si>
  <si>
    <t xml:space="preserve">TAGTGAATTGCGCTGAACAGCCCG</t>
  </si>
  <si>
    <t xml:space="preserve">AAACCGGGCTGTTCAGCGCAATTC</t>
  </si>
  <si>
    <t xml:space="preserve">PST_2515</t>
  </si>
  <si>
    <t xml:space="preserve">CCGGTTCCGATGATGGCGAT</t>
  </si>
  <si>
    <t xml:space="preserve">TAGTCCGGTTCCGATGATGGCGAT</t>
  </si>
  <si>
    <t xml:space="preserve">AAACATCGCCATCATCGGAACCGG</t>
  </si>
  <si>
    <t xml:space="preserve">ATCGTGAAGCGTGCGGGCGG</t>
  </si>
  <si>
    <t xml:space="preserve">TAGTATCGTGAAGCGTGCGGGCGG</t>
  </si>
  <si>
    <t xml:space="preserve">AAACCCGCCCGCACGCTTCACGAT</t>
  </si>
  <si>
    <t xml:space="preserve">AAAAAGGTGTACGGCCTGCC</t>
  </si>
  <si>
    <t xml:space="preserve">TAGTAAAAAGGTGTACGGCCTGCC</t>
  </si>
  <si>
    <t xml:space="preserve">AAACGGCAGGCCGTACACCTTTTT</t>
  </si>
  <si>
    <t xml:space="preserve">CCATGCGACCGCCGCTGCCG</t>
  </si>
  <si>
    <t xml:space="preserve">TAGTCCATGCGACCGCCGCTGCCG</t>
  </si>
  <si>
    <t xml:space="preserve">AAACCGGCAGCGGCGGTCGCATGG</t>
  </si>
  <si>
    <t xml:space="preserve">PST_2516</t>
  </si>
  <si>
    <t xml:space="preserve">ATCAGGGTGGAGGGGTTCAT</t>
  </si>
  <si>
    <t xml:space="preserve">TAGTATCAGGGTGGAGGGGTTCAT</t>
  </si>
  <si>
    <t xml:space="preserve">AAACATGAACCCCTCCACCCTGAT</t>
  </si>
  <si>
    <t xml:space="preserve">AAAGCAGGACGACCGCCAGC</t>
  </si>
  <si>
    <t xml:space="preserve">TAGTAAAGCAGGACGACCGCCAGC</t>
  </si>
  <si>
    <t xml:space="preserve">AAACGCTGGCGGTCGTCCTGCTTT</t>
  </si>
  <si>
    <t xml:space="preserve">GATGAAGAGCGCCGGTTCCT</t>
  </si>
  <si>
    <t xml:space="preserve">TAGTGATGAAGAGCGCCGGTTCCT</t>
  </si>
  <si>
    <t xml:space="preserve">AAACAGGAACCGGCGCTCTTCATC</t>
  </si>
  <si>
    <t xml:space="preserve">GCACGATGCCGAGGCTGGGC</t>
  </si>
  <si>
    <t xml:space="preserve">TAGTGCACGATGCCGAGGCTGGGC</t>
  </si>
  <si>
    <t xml:space="preserve">AAACGCCCAGCCTCGGCATCGTGC</t>
  </si>
  <si>
    <t xml:space="preserve">PST_2517</t>
  </si>
  <si>
    <t xml:space="preserve">GCGGGAGAAGCGGCTGCCCT</t>
  </si>
  <si>
    <t xml:space="preserve">TAGTGCGGGAGAAGCGGCTGCCCT</t>
  </si>
  <si>
    <t xml:space="preserve">AAACAGGGCAGCCGCTTCTCCCGC</t>
  </si>
  <si>
    <t xml:space="preserve">TCCTGCTCTTCTTCCCGCTG</t>
  </si>
  <si>
    <t xml:space="preserve">TAGTTCCTGCTCTTCTTCCCGCTG</t>
  </si>
  <si>
    <t xml:space="preserve">AAACCAGCGGGAAGAAGAGCAGGA</t>
  </si>
  <si>
    <t xml:space="preserve">ATCCAGATAGGTGATCAGCC</t>
  </si>
  <si>
    <t xml:space="preserve">TAGTATCCAGATAGGTGATCAGCC</t>
  </si>
  <si>
    <t xml:space="preserve">AAACGGCTGATCACCTATCTGGAT</t>
  </si>
  <si>
    <t xml:space="preserve">CTGCTCGCCGTCGCCCTTGC</t>
  </si>
  <si>
    <t xml:space="preserve">TAGTCTGCTCGCCGTCGCCCTTGC</t>
  </si>
  <si>
    <t xml:space="preserve">AAACGCAAGGGCGACGGCGAGCAG</t>
  </si>
  <si>
    <t xml:space="preserve">PST_2518</t>
  </si>
  <si>
    <t xml:space="preserve">GGCAGCAGGGCTCTGGACGG</t>
  </si>
  <si>
    <t xml:space="preserve">TAGTGGCAGCAGGGCTCTGGACGG</t>
  </si>
  <si>
    <t xml:space="preserve">AAACCCGTCCAGAGCCCTGCTGCC</t>
  </si>
  <si>
    <t xml:space="preserve">AAGCCAGGCGGAACGCAGGG</t>
  </si>
  <si>
    <t xml:space="preserve">TAGTAAGCCAGGCGGAACGCAGGG</t>
  </si>
  <si>
    <t xml:space="preserve">AAACCCCTGCGTTCCGCCTGGCTT</t>
  </si>
  <si>
    <t xml:space="preserve">GGTGATCCAGGGATTGGCCT</t>
  </si>
  <si>
    <t xml:space="preserve">TAGTGGTGATCCAGGGATTGGCCT</t>
  </si>
  <si>
    <t xml:space="preserve">AAACAGGCCAATCCCTGGATCACC</t>
  </si>
  <si>
    <t xml:space="preserve">TGCCGTTGCGGCCAGGCCGA</t>
  </si>
  <si>
    <t xml:space="preserve">TAGTTGCCGTTGCGGCCAGGCCGA</t>
  </si>
  <si>
    <t xml:space="preserve">AAACTCGGCCTGGCCGCAACGGCA</t>
  </si>
  <si>
    <t xml:space="preserve">PST_2519</t>
  </si>
  <si>
    <t xml:space="preserve">CGGCGGATGGATCTTACGGC</t>
  </si>
  <si>
    <t xml:space="preserve">TAGTCGGCGGATGGATCTTACGGC</t>
  </si>
  <si>
    <t xml:space="preserve">AAACGCCGTAAGATCCATCCGCCG</t>
  </si>
  <si>
    <t xml:space="preserve">CAATGGCCAGGATAACTAGA</t>
  </si>
  <si>
    <t xml:space="preserve">TAGTCAATGGCCAGGATAACTAGA</t>
  </si>
  <si>
    <t xml:space="preserve">AAACTCTAGTTATCCTGGCCATTG</t>
  </si>
  <si>
    <t xml:space="preserve">GGCGGTAGGCCGGCAGTTCC</t>
  </si>
  <si>
    <t xml:space="preserve">TAGTGGCGGTAGGCCGGCAGTTCC</t>
  </si>
  <si>
    <t xml:space="preserve">AAACGGAACTGCCGGCCTACCGCC</t>
  </si>
  <si>
    <t xml:space="preserve">GCACCAGTGGGCGAGCTTCC</t>
  </si>
  <si>
    <t xml:space="preserve">TAGTGCACCAGTGGGCGAGCTTCC</t>
  </si>
  <si>
    <t xml:space="preserve">AAACGGAAGCTCGCCCACTGGTGC</t>
  </si>
  <si>
    <t xml:space="preserve">PST_2520</t>
  </si>
  <si>
    <t xml:space="preserve">CGGTCCACAGCGAATCGGCC</t>
  </si>
  <si>
    <t xml:space="preserve">TAGTCGGTCCACAGCGAATCGGCC</t>
  </si>
  <si>
    <t xml:space="preserve">AAACGGCCGATTCGCTGTGGACCG</t>
  </si>
  <si>
    <t xml:space="preserve">GCGTAGGGCGATCTTCCATT</t>
  </si>
  <si>
    <t xml:space="preserve">TAGTGCGTAGGGCGATCTTCCATT</t>
  </si>
  <si>
    <t xml:space="preserve">AAACAATGGAAGATCGCCCTACGC</t>
  </si>
  <si>
    <t xml:space="preserve">TCTGCATGCGGTTGTCCAGC</t>
  </si>
  <si>
    <t xml:space="preserve">TAGTTCTGCATGCGGTTGTCCAGC</t>
  </si>
  <si>
    <t xml:space="preserve">AAACGCTGGACAACCGCATGCAGA</t>
  </si>
  <si>
    <t xml:space="preserve">CGAACCGACGGCGATGCCGA</t>
  </si>
  <si>
    <t xml:space="preserve">TAGTCGAACCGACGGCGATGCCGA</t>
  </si>
  <si>
    <t xml:space="preserve">AAACTCGGCATCGCCGTCGGTTCG</t>
  </si>
  <si>
    <t xml:space="preserve">PST_2521</t>
  </si>
  <si>
    <t xml:space="preserve">ACTTCCTCGGCAGGGGCCAT</t>
  </si>
  <si>
    <t xml:space="preserve">TAGTACTTCCTCGGCAGGGGCCAT</t>
  </si>
  <si>
    <t xml:space="preserve">AAACATGGCCCCTGCCGAGGAAGT</t>
  </si>
  <si>
    <t xml:space="preserve">AGGCCTTGCGCACCTGTTCC</t>
  </si>
  <si>
    <t xml:space="preserve">TAGTAGGCCTTGCGCACCTGTTCC</t>
  </si>
  <si>
    <t xml:space="preserve">AAACGGAACAGGTGCGCAAGGCCT</t>
  </si>
  <si>
    <t xml:space="preserve">CAGGGGTGTGCCGATGTTGA</t>
  </si>
  <si>
    <t xml:space="preserve">TAGTCAGGGGTGTGCCGATGTTGA</t>
  </si>
  <si>
    <t xml:space="preserve">AAACTCAACATCGGCACACCCCTG</t>
  </si>
  <si>
    <t xml:space="preserve">GTCGATGCCGTGCAGCACTT</t>
  </si>
  <si>
    <t xml:space="preserve">TAGTGTCGATGCCGTGCAGCACTT</t>
  </si>
  <si>
    <t xml:space="preserve">AAACAAGTGCTGCACGGCATCGAC</t>
  </si>
  <si>
    <t xml:space="preserve">PST_2522</t>
  </si>
  <si>
    <t xml:space="preserve">GGCTTCGACGTGGACATTCA</t>
  </si>
  <si>
    <t xml:space="preserve">TAGTGGCTTCGACGTGGACATTCA</t>
  </si>
  <si>
    <t xml:space="preserve">AAACTGAATGTCCACGTCGAAGCC</t>
  </si>
  <si>
    <t xml:space="preserve">AATGGTCGCGGGATCGAAGA</t>
  </si>
  <si>
    <t xml:space="preserve">TAGTAATGGTCGCGGGATCGAAGA</t>
  </si>
  <si>
    <t xml:space="preserve">AAACTCTTCGATCCCGCGACCATT</t>
  </si>
  <si>
    <t xml:space="preserve">GTCGCTGACCACGTAGCTGT</t>
  </si>
  <si>
    <t xml:space="preserve">TAGTGTCGCTGACCACGTAGCTGT</t>
  </si>
  <si>
    <t xml:space="preserve">AAACACAGCTACGTGGTCAGCGAC</t>
  </si>
  <si>
    <t xml:space="preserve">CCGCACACTGGCGCGTTTCC</t>
  </si>
  <si>
    <t xml:space="preserve">TAGTCCGCACACTGGCGCGTTTCC</t>
  </si>
  <si>
    <t xml:space="preserve">AAACGGAAACGCGCCAGTGTGCGG</t>
  </si>
  <si>
    <t xml:space="preserve">PST_2523</t>
  </si>
  <si>
    <t xml:space="preserve">GGCCGCGACGGAGAGAAAAG</t>
  </si>
  <si>
    <t xml:space="preserve">TAGTGGCCGCGACGGAGAGAAAAG</t>
  </si>
  <si>
    <t xml:space="preserve">AAACCTTTTCTCTCCGTCGCGGCC</t>
  </si>
  <si>
    <t xml:space="preserve">CATGTCGGCCGGTTGCAGCT</t>
  </si>
  <si>
    <t xml:space="preserve">TAGTCATGTCGGCCGGTTGCAGCT</t>
  </si>
  <si>
    <t xml:space="preserve">AAACAGCTGCAACCGGCCGACATG</t>
  </si>
  <si>
    <t xml:space="preserve">GACGCAGCGGAAGCCATTGC</t>
  </si>
  <si>
    <t xml:space="preserve">TAGTGACGCAGCGGAAGCCATTGC</t>
  </si>
  <si>
    <t xml:space="preserve">AAACGCAATGGCTTCCGCTGCGTC</t>
  </si>
  <si>
    <t xml:space="preserve">CCTCGCCCTCATTGTCCGGA</t>
  </si>
  <si>
    <t xml:space="preserve">TAGTCCTCGCCCTCATTGTCCGGA</t>
  </si>
  <si>
    <t xml:space="preserve">AAACTCCGGACAATGAGGGCGAGG</t>
  </si>
  <si>
    <t xml:space="preserve">PST_2524</t>
  </si>
  <si>
    <t xml:space="preserve">GCATGGGTAGATAGCGGGCC</t>
  </si>
  <si>
    <t xml:space="preserve">TAGTGCATGGGTAGATAGCGGGCC</t>
  </si>
  <si>
    <t xml:space="preserve">AAACGGCCCGCTATCTACCCATGC</t>
  </si>
  <si>
    <t xml:space="preserve">GGCCGCGCGATCGTAGTGCC</t>
  </si>
  <si>
    <t xml:space="preserve">TAGTGGCCGCGCGATCGTAGTGCC</t>
  </si>
  <si>
    <t xml:space="preserve">AAACGGCACTACGATCGCGCGGCC</t>
  </si>
  <si>
    <t xml:space="preserve">GGCCAGACTGTCCTTCGTCG</t>
  </si>
  <si>
    <t xml:space="preserve">TAGTGGCCAGACTGTCCTTCGTCG</t>
  </si>
  <si>
    <t xml:space="preserve">AAACCGACGAAGGACAGTCTGGCC</t>
  </si>
  <si>
    <t xml:space="preserve">CATCAATGTCACGATCAGTG</t>
  </si>
  <si>
    <t xml:space="preserve">TAGTCATCAATGTCACGATCAGTG</t>
  </si>
  <si>
    <t xml:space="preserve">AAACCACTGATCGTGACATTGATG</t>
  </si>
  <si>
    <t xml:space="preserve">PST_2525</t>
  </si>
  <si>
    <t xml:space="preserve">TATTTCCTGGATGTGGCGCC</t>
  </si>
  <si>
    <t xml:space="preserve">TAGTTATTTCCTGGATGTGGCGCC</t>
  </si>
  <si>
    <t xml:space="preserve">AAACGGCGCCACATCCAGGAAATA</t>
  </si>
  <si>
    <t xml:space="preserve">GCCGCCTCGGCGTCAGCGAG</t>
  </si>
  <si>
    <t xml:space="preserve">TAGTGCCGCCTCGGCGTCAGCGAG</t>
  </si>
  <si>
    <t xml:space="preserve">AAACCTCGCTGACGCCGAGGCGGC</t>
  </si>
  <si>
    <t xml:space="preserve">CGCGGTACTCGTCCGCCTCG</t>
  </si>
  <si>
    <t xml:space="preserve">TAGTCGCGGTACTCGTCCGCCTCG</t>
  </si>
  <si>
    <t xml:space="preserve">AAACCGAGGCGGACGAGTACCGCG</t>
  </si>
  <si>
    <t xml:space="preserve">TGTTCAGCGCACCATTTATA</t>
  </si>
  <si>
    <t xml:space="preserve">TAGTTGTTCAGCGCACCATTTATA</t>
  </si>
  <si>
    <t xml:space="preserve">AAACTATAAATGGTGCGCTGAACA</t>
  </si>
  <si>
    <t xml:space="preserve">PST_2526</t>
  </si>
  <si>
    <t xml:space="preserve">CATCCCGAACAGCAGCCCGG</t>
  </si>
  <si>
    <t xml:space="preserve">TAGTCATCCCGAACAGCAGCCCGG</t>
  </si>
  <si>
    <t xml:space="preserve">AAACCCGGGCTGCTGTTCGGGATG</t>
  </si>
  <si>
    <t xml:space="preserve">CCGGATTGGTCATGCCGGAG</t>
  </si>
  <si>
    <t xml:space="preserve">TAGTCCGGATTGGTCATGCCGGAG</t>
  </si>
  <si>
    <t xml:space="preserve">AAACCTCCGGCATGACCAATCCGG</t>
  </si>
  <si>
    <t xml:space="preserve">ATCGAGAAAACCGATGACCT</t>
  </si>
  <si>
    <t xml:space="preserve">TAGTATCGAGAAAACCGATGACCT</t>
  </si>
  <si>
    <t xml:space="preserve">AAACAGGTCATCGGTTTTCTCGAT</t>
  </si>
  <si>
    <t xml:space="preserve">CAGCGAGGGATCCCAGGCAC</t>
  </si>
  <si>
    <t xml:space="preserve">TAGTCAGCGAGGGATCCCAGGCAC</t>
  </si>
  <si>
    <t xml:space="preserve">AAACGTGCCTGGGATCCCTCGCTG</t>
  </si>
  <si>
    <t xml:space="preserve">PST_2527</t>
  </si>
  <si>
    <t xml:space="preserve">CCACCGGCCAGCGCCATCCA</t>
  </si>
  <si>
    <t xml:space="preserve">TAGTCCACCGGCCAGCGCCATCCA</t>
  </si>
  <si>
    <t xml:space="preserve">AAACTGGATGGCGCTGGCCGGTGG</t>
  </si>
  <si>
    <t xml:space="preserve">GGCCGGCAGCCGCGCCAATC</t>
  </si>
  <si>
    <t xml:space="preserve">TAGTGGCCGGCAGCCGCGCCAATC</t>
  </si>
  <si>
    <t xml:space="preserve">AAACGATTGGCGCGGCTGCCGGCC</t>
  </si>
  <si>
    <t xml:space="preserve">GCCCGTTGAGCACAACGAAC</t>
  </si>
  <si>
    <t xml:space="preserve">TAGTGCCCGTTGAGCACAACGAAC</t>
  </si>
  <si>
    <t xml:space="preserve">AAACGTTCGTTGTGCTCAACGGGC</t>
  </si>
  <si>
    <t xml:space="preserve">CGCAAGCAAACCGCTTATTC</t>
  </si>
  <si>
    <t xml:space="preserve">TAGTCGCAAGCAAACCGCTTATTC</t>
  </si>
  <si>
    <t xml:space="preserve">AAACGAATAAGCGGTTTGCTTGCG</t>
  </si>
  <si>
    <t xml:space="preserve">PST_2528</t>
  </si>
  <si>
    <t xml:space="preserve">AGCTGTTCGATGTCCAGCTC</t>
  </si>
  <si>
    <t xml:space="preserve">TAGTAGCTGTTCGATGTCCAGCTC</t>
  </si>
  <si>
    <t xml:space="preserve">AAACGAGCTGGACATCGAACAGCT</t>
  </si>
  <si>
    <t xml:space="preserve">GGCGCCGGCGGAAGCTGCAT</t>
  </si>
  <si>
    <t xml:space="preserve">TAGTGGCGCCGGCGGAAGCTGCAT</t>
  </si>
  <si>
    <t xml:space="preserve">AAACATGCAGCTTCCGCCGGCGCC</t>
  </si>
  <si>
    <t xml:space="preserve">GTTGGCCAGGGCCTTGAGCA</t>
  </si>
  <si>
    <t xml:space="preserve">TAGTGTTGGCCAGGGCCTTGAGCA</t>
  </si>
  <si>
    <t xml:space="preserve">AAACTGCTCAAGGCCCTGGCCAAC</t>
  </si>
  <si>
    <t xml:space="preserve">AGAGCAGCAGCAGGCGATCC</t>
  </si>
  <si>
    <t xml:space="preserve">TAGTAGAGCAGCAGCAGGCGATCC</t>
  </si>
  <si>
    <t xml:space="preserve">AAACGGATCGCCTGCTGCTGCTCT</t>
  </si>
  <si>
    <t xml:space="preserve">PST_2529</t>
  </si>
  <si>
    <t xml:space="preserve">CGGATTCAGCGGCAGTGGTC</t>
  </si>
  <si>
    <t xml:space="preserve">TAGTCGGATTCAGCGGCAGTGGTC</t>
  </si>
  <si>
    <t xml:space="preserve">AAACGACCACTGCCGCTGAATCCG</t>
  </si>
  <si>
    <t xml:space="preserve">CTGCTGAGTCTGCATTTCCG</t>
  </si>
  <si>
    <t xml:space="preserve">TAGTCTGCTGAGTCTGCATTTCCG</t>
  </si>
  <si>
    <t xml:space="preserve">AAACCGGAAATGCAGACTCAGCAG</t>
  </si>
  <si>
    <t xml:space="preserve">TCGCGCGAGCCGTTTCAGCA</t>
  </si>
  <si>
    <t xml:space="preserve">TAGTTCGCGCGAGCCGTTTCAGCA</t>
  </si>
  <si>
    <t xml:space="preserve">AAACTGCTGAAACGGCTCGCGCGA</t>
  </si>
  <si>
    <t xml:space="preserve">GTCCAACGCACTGCGCGCAG</t>
  </si>
  <si>
    <t xml:space="preserve">TAGTGTCCAACGCACTGCGCGCAG</t>
  </si>
  <si>
    <t xml:space="preserve">AAACCTGCGCGCAGTGCGTTGGAC</t>
  </si>
  <si>
    <t xml:space="preserve">PST_2531</t>
  </si>
  <si>
    <t xml:space="preserve">GGAAGTAAGATGTAGTTTCC</t>
  </si>
  <si>
    <t xml:space="preserve">TAGTGGAAGTAAGATGTAGTTTCC</t>
  </si>
  <si>
    <t xml:space="preserve">AAACGGAAACTACATCTTACTTCC</t>
  </si>
  <si>
    <t xml:space="preserve">CCAAACAGAGCGCTGCAAGC</t>
  </si>
  <si>
    <t xml:space="preserve">TAGTCCAAACAGAGCGCTGCAAGC</t>
  </si>
  <si>
    <t xml:space="preserve">AAACGCTTGCAGCGCTCTGTTTGG</t>
  </si>
  <si>
    <t xml:space="preserve">CTATGCTTGACGACCTTCGG</t>
  </si>
  <si>
    <t xml:space="preserve">TAGTCTATGCTTGACGACCTTCGG</t>
  </si>
  <si>
    <t xml:space="preserve">AAACCCGAAGGTCGTCAAGCATAG</t>
  </si>
  <si>
    <t xml:space="preserve">CGATAGCTCCAGCTGCCGCA</t>
  </si>
  <si>
    <t xml:space="preserve">TAGTCGATAGCTCCAGCTGCCGCA</t>
  </si>
  <si>
    <t xml:space="preserve">AAACTGCGGCAGCTGGAGCTATCG</t>
  </si>
  <si>
    <t xml:space="preserve">PST_2533</t>
  </si>
  <si>
    <t xml:space="preserve">GGAGAGGGGCACGCCGTACA</t>
  </si>
  <si>
    <t xml:space="preserve">TAGTGGAGAGGGGCACGCCGTACA</t>
  </si>
  <si>
    <t xml:space="preserve">AAACTGTACGGCGTGCCCCTCTCC</t>
  </si>
  <si>
    <t xml:space="preserve">CCGTACCTTGCGGACGAAGG</t>
  </si>
  <si>
    <t xml:space="preserve">TAGTCCGTACCTTGCGGACGAAGG</t>
  </si>
  <si>
    <t xml:space="preserve">AAACCCTTCGTCCGCAAGGTACGG</t>
  </si>
  <si>
    <t xml:space="preserve">AGTCGAGTCCCTTTTCCTGC</t>
  </si>
  <si>
    <t xml:space="preserve">TAGTAGTCGAGTCCCTTTTCCTGC</t>
  </si>
  <si>
    <t xml:space="preserve">AAACGCAGGAAAAGGGACTCGACT</t>
  </si>
  <si>
    <t xml:space="preserve">TACCAGTCTGGCGGGGTGAA</t>
  </si>
  <si>
    <t xml:space="preserve">TAGTTACCAGTCTGGCGGGGTGAA</t>
  </si>
  <si>
    <t xml:space="preserve">AAACTTCACCCCGCCAGACTGGTA</t>
  </si>
  <si>
    <t xml:space="preserve">PST_2534</t>
  </si>
  <si>
    <t xml:space="preserve">GCCTTCGGCACGCTGCAGGA</t>
  </si>
  <si>
    <t xml:space="preserve">TAGTGCCTTCGGCACGCTGCAGGA</t>
  </si>
  <si>
    <t xml:space="preserve">AAACTCCTGCAGCGTGCCGAAGGC</t>
  </si>
  <si>
    <t xml:space="preserve">ACGGCTCGATACGCGCCAAC</t>
  </si>
  <si>
    <t xml:space="preserve">TAGTACGGCTCGATACGCGCCAAC</t>
  </si>
  <si>
    <t xml:space="preserve">AAACGTTGGCGCGTATCGAGCCGT</t>
  </si>
  <si>
    <t xml:space="preserve">TCAATAACGGGCGGCTGCGC</t>
  </si>
  <si>
    <t xml:space="preserve">TAGTTCAATAACGGGCGGCTGCGC</t>
  </si>
  <si>
    <t xml:space="preserve">AAACGCGCAGCCGCCCGTTATTGA</t>
  </si>
  <si>
    <t xml:space="preserve">GCGGCGCCAGATAGCCGCTT</t>
  </si>
  <si>
    <t xml:space="preserve">TAGTGCGGCGCCAGATAGCCGCTT</t>
  </si>
  <si>
    <t xml:space="preserve">AAACAAGCGGCTATCTGGCGCCGC</t>
  </si>
  <si>
    <t xml:space="preserve">PST_2535</t>
  </si>
  <si>
    <t xml:space="preserve">ACGCAGGGAATATCTAACAG</t>
  </si>
  <si>
    <t xml:space="preserve">TAGTACGCAGGGAATATCTAACAG</t>
  </si>
  <si>
    <t xml:space="preserve">AAACCTGTTAGATATTCCCTGCGT</t>
  </si>
  <si>
    <t xml:space="preserve">CGTCTTGTGCTCGCCGTCGA</t>
  </si>
  <si>
    <t xml:space="preserve">TAGTCGTCTTGTGCTCGCCGTCGA</t>
  </si>
  <si>
    <t xml:space="preserve">AAACTCGACGGCGAGCACAAGACG</t>
  </si>
  <si>
    <t xml:space="preserve">CAGCACCTTGGCATCGAAAT</t>
  </si>
  <si>
    <t xml:space="preserve">TAGTCAGCACCTTGGCATCGAAAT</t>
  </si>
  <si>
    <t xml:space="preserve">AAACATTTCGATGCCAAGGTGCTG</t>
  </si>
  <si>
    <t xml:space="preserve">CGTGAAACCACATTGGCTGG</t>
  </si>
  <si>
    <t xml:space="preserve">TAGTCGTGAAACCACATTGGCTGG</t>
  </si>
  <si>
    <t xml:space="preserve">AAACCCAGCCAATGTGGTTTCACG</t>
  </si>
  <si>
    <t xml:space="preserve">PST_2536</t>
  </si>
  <si>
    <t xml:space="preserve">CTGTACCTTTTCCGGTGGTC</t>
  </si>
  <si>
    <t xml:space="preserve">TAGTCTGTACCTTTTCCGGTGGTC</t>
  </si>
  <si>
    <t xml:space="preserve">AAACGACCACCGGAAAAGGTACAG</t>
  </si>
  <si>
    <t xml:space="preserve">AACAGCACGCTATATAAAAA</t>
  </si>
  <si>
    <t xml:space="preserve">TAGTAACAGCACGCTATATAAAAA</t>
  </si>
  <si>
    <t xml:space="preserve">AAACTTTTTATATAGCGTGCTGTT</t>
  </si>
  <si>
    <t xml:space="preserve">ATGGCCACGACATGGCGCAC</t>
  </si>
  <si>
    <t xml:space="preserve">TAGTATGGCCACGACATGGCGCAC</t>
  </si>
  <si>
    <t xml:space="preserve">AAACGTGCGCCATGTCGTGGCCAT</t>
  </si>
  <si>
    <t xml:space="preserve">GTCCATCGGTAGCCTCCTCG</t>
  </si>
  <si>
    <t xml:space="preserve">TAGTGTCCATCGGTAGCCTCCTCG</t>
  </si>
  <si>
    <t xml:space="preserve">AAACCGAGGAGGCTACCGATGGAC</t>
  </si>
  <si>
    <t xml:space="preserve">PST_2537</t>
  </si>
  <si>
    <t xml:space="preserve">ACGGATGTCGTAACAGACAT</t>
  </si>
  <si>
    <t xml:space="preserve">TAGTACGGATGTCGTAACAGACAT</t>
  </si>
  <si>
    <t xml:space="preserve">AAACATGTCTGTTACGACATCCGT</t>
  </si>
  <si>
    <t xml:space="preserve">CGTTTGGCGTGCTTGAGCAC</t>
  </si>
  <si>
    <t xml:space="preserve">TAGTCGTTTGGCGTGCTTGAGCAC</t>
  </si>
  <si>
    <t xml:space="preserve">AAACGTGCTCAAGCACGCCAAACG</t>
  </si>
  <si>
    <t xml:space="preserve">TGCGATGGCCTTCCTCTTCC</t>
  </si>
  <si>
    <t xml:space="preserve">TAGTTGCGATGGCCTTCCTCTTCC</t>
  </si>
  <si>
    <t xml:space="preserve">AAACGGAAGAGGAAGGCCATCGCA</t>
  </si>
  <si>
    <t xml:space="preserve">GGTTGCCGATGTTCAGCTTG</t>
  </si>
  <si>
    <t xml:space="preserve">TAGTGGTTGCCGATGTTCAGCTTG</t>
  </si>
  <si>
    <t xml:space="preserve">AAACCAAGCTGAACATCGGCAACC</t>
  </si>
  <si>
    <t xml:space="preserve">PST_2538</t>
  </si>
  <si>
    <t xml:space="preserve">ACATACAGCGCGATCTTCCG</t>
  </si>
  <si>
    <t xml:space="preserve">TAGTACATACAGCGCGATCTTCCG</t>
  </si>
  <si>
    <t xml:space="preserve">AAACCGGAAGATCGCGCTGTATGT</t>
  </si>
  <si>
    <t xml:space="preserve">CCGGCTCTTCCCGGCCGATC</t>
  </si>
  <si>
    <t xml:space="preserve">TAGTCCGGCTCTTCCCGGCCGATC</t>
  </si>
  <si>
    <t xml:space="preserve">AAACGATCGGCCGGGAAGAGCCGG</t>
  </si>
  <si>
    <t xml:space="preserve">TCTGGTGGCGTTTGGAGGGC</t>
  </si>
  <si>
    <t xml:space="preserve">TAGTTCTGGTGGCGTTTGGAGGGC</t>
  </si>
  <si>
    <t xml:space="preserve">AAACGCCCTCCAAACGCCACCAGA</t>
  </si>
  <si>
    <t xml:space="preserve">CCAGCCAGAGCAGGGCGCCC</t>
  </si>
  <si>
    <t xml:space="preserve">TAGTCCAGCCAGAGCAGGGCGCCC</t>
  </si>
  <si>
    <t xml:space="preserve">AAACGGGCGCCCTGCTCTGGCTGG</t>
  </si>
  <si>
    <t xml:space="preserve">PST_2539</t>
  </si>
  <si>
    <t xml:space="preserve">htpX</t>
  </si>
  <si>
    <t xml:space="preserve">GGACCGCAAGGTTGGTGGCC</t>
  </si>
  <si>
    <t xml:space="preserve">TAGTGGACCGCAAGGTTGGTGGCC</t>
  </si>
  <si>
    <t xml:space="preserve">AAACGGCCACCAACCTTGCGGTCC</t>
  </si>
  <si>
    <t xml:space="preserve">GGGTGATGCTGGCGATGACC</t>
  </si>
  <si>
    <t xml:space="preserve">TAGTGGGTGATGCTGGCGATGACC</t>
  </si>
  <si>
    <t xml:space="preserve">AAACGGTCATCGCCAGCATCACCC</t>
  </si>
  <si>
    <t xml:space="preserve">ATCGACCCCGAGCAGCTTCA</t>
  </si>
  <si>
    <t xml:space="preserve">TAGTATCGACCCCGAGCAGCTTCA</t>
  </si>
  <si>
    <t xml:space="preserve">AAACTGAAGCTGCTCGGGGTCGAT</t>
  </si>
  <si>
    <t xml:space="preserve">CAGGCTGCCATAGTTCTGGC</t>
  </si>
  <si>
    <t xml:space="preserve">TAGTCAGGCTGCCATAGTTCTGGC</t>
  </si>
  <si>
    <t xml:space="preserve">AAACGCCAGAACTATGGCAGCCTG</t>
  </si>
  <si>
    <t xml:space="preserve">PST_2540</t>
  </si>
  <si>
    <t xml:space="preserve">GCATGGCGATTCCTTCTATG</t>
  </si>
  <si>
    <t xml:space="preserve">TAGTGCATGGCGATTCCTTCTATG</t>
  </si>
  <si>
    <t xml:space="preserve">AAACCATAGAAGGAATCGCCATGC</t>
  </si>
  <si>
    <t xml:space="preserve">CGCAGCAGACGAAGATGAGG</t>
  </si>
  <si>
    <t xml:space="preserve">TAGTCGCAGCAGACGAAGATGAGG</t>
  </si>
  <si>
    <t xml:space="preserve">AAACCCTCATCTTCGTCTGCTGCG</t>
  </si>
  <si>
    <t xml:space="preserve">GCAGCCAGTGAGGGCGAGCA</t>
  </si>
  <si>
    <t xml:space="preserve">TAGTGCAGCCAGTGAGGGCGAGCA</t>
  </si>
  <si>
    <t xml:space="preserve">AAACTGCTCGCCCTCACTGGCTGC</t>
  </si>
  <si>
    <t xml:space="preserve">TTGCGGAGTAATAGGCACTC</t>
  </si>
  <si>
    <t xml:space="preserve">TAGTTTGCGGAGTAATAGGCACTC</t>
  </si>
  <si>
    <t xml:space="preserve">AAACGAGTGCCTATTACTCCGCAA</t>
  </si>
  <si>
    <t xml:space="preserve">PST_2541</t>
  </si>
  <si>
    <t xml:space="preserve">AACGTTCTTGCCAGAAGTTC</t>
  </si>
  <si>
    <t xml:space="preserve">TAGTAACGTTCTTGCCAGAAGTTC</t>
  </si>
  <si>
    <t xml:space="preserve">AAACGAACTTCTGGCAAGAACGTT</t>
  </si>
  <si>
    <t xml:space="preserve">AGCCAGGATGCACGTCTTCG</t>
  </si>
  <si>
    <t xml:space="preserve">TAGTAGCCAGGATGCACGTCTTCG</t>
  </si>
  <si>
    <t xml:space="preserve">AAACCGAAGACGTGCATCCTGGCT</t>
  </si>
  <si>
    <t xml:space="preserve">AAGCCAGCCGCGGCCAGTGA</t>
  </si>
  <si>
    <t xml:space="preserve">TAGTAAGCCAGCCGCGGCCAGTGA</t>
  </si>
  <si>
    <t xml:space="preserve">AAACTCACTGGCCGCGGCTGGCTT</t>
  </si>
  <si>
    <t xml:space="preserve">ACCAGCACAGCTGCATCCTC</t>
  </si>
  <si>
    <t xml:space="preserve">TAGTACCAGCACAGCTGCATCCTC</t>
  </si>
  <si>
    <t xml:space="preserve">AAACGAGGATGCAGCTGTGCTGGT</t>
  </si>
  <si>
    <t xml:space="preserve">PST_2542</t>
  </si>
  <si>
    <t xml:space="preserve">fleR</t>
  </si>
  <si>
    <t xml:space="preserve">GAATCGAGGCTAGCAGCTCA</t>
  </si>
  <si>
    <t xml:space="preserve">TAGTGAATCGAGGCTAGCAGCTCA</t>
  </si>
  <si>
    <t xml:space="preserve">AAACTGAGCTGCTAGCCTCGATTC</t>
  </si>
  <si>
    <t xml:space="preserve">ATCAGCAGCACCGGAATCTG</t>
  </si>
  <si>
    <t xml:space="preserve">TAGTATCAGCAGCACCGGAATCTG</t>
  </si>
  <si>
    <t xml:space="preserve">AAACCAGATTCCGGTGCTGCTGAT</t>
  </si>
  <si>
    <t xml:space="preserve">CGCCTTCGCCACGGCGCCAA</t>
  </si>
  <si>
    <t xml:space="preserve">TAGTCGCCTTCGCCACGGCGCCAA</t>
  </si>
  <si>
    <t xml:space="preserve">AAACTTGGCGCCGTGGCGAAGGCG</t>
  </si>
  <si>
    <t xml:space="preserve">CGGGCTCGAAAGGCTTGACG</t>
  </si>
  <si>
    <t xml:space="preserve">TAGTCGGGCTCGAAAGGCTTGACG</t>
  </si>
  <si>
    <t xml:space="preserve">AAACCGTCAAGCCTTTCGAGCCCG</t>
  </si>
  <si>
    <t xml:space="preserve">PST_2543</t>
  </si>
  <si>
    <t xml:space="preserve">fleS</t>
  </si>
  <si>
    <t xml:space="preserve">AAAGGACGCTATGGACGGCC</t>
  </si>
  <si>
    <t xml:space="preserve">TAGTAAAGGACGCTATGGACGGCC</t>
  </si>
  <si>
    <t xml:space="preserve">AAACGGCCGTCCATAGCGTCCTTT</t>
  </si>
  <si>
    <t xml:space="preserve">GTGAGGTCCACCGCATCGGT</t>
  </si>
  <si>
    <t xml:space="preserve">TAGTGTGAGGTCCACCGCATCGGT</t>
  </si>
  <si>
    <t xml:space="preserve">AAACACCGATGCGGTGGACCTCAC</t>
  </si>
  <si>
    <t xml:space="preserve">CTCGGACTCGCCCAGCTGTC</t>
  </si>
  <si>
    <t xml:space="preserve">TAGTCTCGGACTCGCCCAGCTGTC</t>
  </si>
  <si>
    <t xml:space="preserve">AAACGACAGCTGGGCGAGTCCGAG</t>
  </si>
  <si>
    <t xml:space="preserve">CCGCCTCGGCGAGCTGGTCC</t>
  </si>
  <si>
    <t xml:space="preserve">TAGTCCGCCTCGGCGAGCTGGTCC</t>
  </si>
  <si>
    <t xml:space="preserve">AAACGGACCAGCTCGCCGAGGCGG</t>
  </si>
  <si>
    <t xml:space="preserve">PST_2544</t>
  </si>
  <si>
    <t xml:space="preserve">fleQ</t>
  </si>
  <si>
    <t xml:space="preserve">TTGTTTATAGGGCTCTTTAG</t>
  </si>
  <si>
    <t xml:space="preserve">TAGTTTGTTTATAGGGCTCTTTAG</t>
  </si>
  <si>
    <t xml:space="preserve">AAACCTAAAGAGCCCTATAAACAA</t>
  </si>
  <si>
    <t xml:space="preserve">ATCATCTATCAACAAAATCT</t>
  </si>
  <si>
    <t xml:space="preserve">TAGTATCATCTATCAACAAAATCT</t>
  </si>
  <si>
    <t xml:space="preserve">AAACAGATTTTGTTGATAGATGAT</t>
  </si>
  <si>
    <t xml:space="preserve">TGACCGTCAAATCCCGCCGA</t>
  </si>
  <si>
    <t xml:space="preserve">TAGTTGACCGTCAAATCCCGCCGA</t>
  </si>
  <si>
    <t xml:space="preserve">AAACTCGGCGGGATTTGACGGTCA</t>
  </si>
  <si>
    <t xml:space="preserve">AGCGTCCTGCCATTCACTGC</t>
  </si>
  <si>
    <t xml:space="preserve">TAGTAGCGTCCTGCCATTCACTGC</t>
  </si>
  <si>
    <t xml:space="preserve">AAACGCAGTGAATGGCAGGACGCT</t>
  </si>
  <si>
    <t xml:space="preserve">PST_2545</t>
  </si>
  <si>
    <t xml:space="preserve">GGTTTCTTCTAGGCGCTTGA</t>
  </si>
  <si>
    <t xml:space="preserve">TAGTGGTTTCTTCTAGGCGCTTGA</t>
  </si>
  <si>
    <t xml:space="preserve">AAACTCAAGCGCCTAGAAGAAACC</t>
  </si>
  <si>
    <t xml:space="preserve">CGCGTCGCGCAGTGCGGTGC</t>
  </si>
  <si>
    <t xml:space="preserve">TAGTCGCGTCGCGCAGTGCGGTGC</t>
  </si>
  <si>
    <t xml:space="preserve">AAACGCACCGCACTGCGCGACGCG</t>
  </si>
  <si>
    <t xml:space="preserve">CTCGCGGTCGAGCATGCCGA</t>
  </si>
  <si>
    <t xml:space="preserve">TAGTCTCGCGGTCGAGCATGCCGA</t>
  </si>
  <si>
    <t xml:space="preserve">AAACTCGGCATGCTCGACCGCGAG</t>
  </si>
  <si>
    <t xml:space="preserve">TCGCCTCATCGACAGCGCTG</t>
  </si>
  <si>
    <t xml:space="preserve">TAGTTCGCCTCATCGACAGCGCTG</t>
  </si>
  <si>
    <t xml:space="preserve">AAACCAGCGCTGTCGATGAGGCGA</t>
  </si>
  <si>
    <t xml:space="preserve">PST_2546</t>
  </si>
  <si>
    <t xml:space="preserve">ACGGGTTCGCTGTTGGCTTC</t>
  </si>
  <si>
    <t xml:space="preserve">TAGTACGGGTTCGCTGTTGGCTTC</t>
  </si>
  <si>
    <t xml:space="preserve">AAACGAAGCCAACAGCGAACCCGT</t>
  </si>
  <si>
    <t xml:space="preserve">GCCCGCAGAACAATCCGCGC</t>
  </si>
  <si>
    <t xml:space="preserve">TAGTGCCCGCAGAACAATCCGCGC</t>
  </si>
  <si>
    <t xml:space="preserve">AAACGCGCGGATTGTTCTGCGGGC</t>
  </si>
  <si>
    <t xml:space="preserve">CAGCGTCAGACCAATCAGCG</t>
  </si>
  <si>
    <t xml:space="preserve">TAGTCAGCGTCAGACCAATCAGCG</t>
  </si>
  <si>
    <t xml:space="preserve">AAACCGCTGATTGGTCTGACGCTG</t>
  </si>
  <si>
    <t xml:space="preserve">ATCGTACGGGTTCCCAGCAC</t>
  </si>
  <si>
    <t xml:space="preserve">TAGTATCGTACGGGTTCCCAGCAC</t>
  </si>
  <si>
    <t xml:space="preserve">AAACGTGCTGGGAACCCGTACGAT</t>
  </si>
  <si>
    <t xml:space="preserve">PST_2547</t>
  </si>
  <si>
    <t xml:space="preserve">cycH</t>
  </si>
  <si>
    <t xml:space="preserve">GCTGGCGGCTATCCAGAAAT</t>
  </si>
  <si>
    <t xml:space="preserve">TAGTGCTGGCGGCTATCCAGAAAT</t>
  </si>
  <si>
    <t xml:space="preserve">AAACATTTCTGGATAGCCGCCAGC</t>
  </si>
  <si>
    <t xml:space="preserve">CAGGATGGGGAGCAGCAGGA</t>
  </si>
  <si>
    <t xml:space="preserve">TAGTCAGGATGGGGAGCAGCAGGA</t>
  </si>
  <si>
    <t xml:space="preserve">AAACTCCTGCTGCTCCCCATCCTG</t>
  </si>
  <si>
    <t xml:space="preserve">CGTACGGTCTTCTTCGGCCT</t>
  </si>
  <si>
    <t xml:space="preserve">TAGTCGTACGGTCTTCTTCGGCCT</t>
  </si>
  <si>
    <t xml:space="preserve">AAACAGGCCGAAGAAGACCGTACG</t>
  </si>
  <si>
    <t xml:space="preserve">GCTGGGCGGTGAGTTCAGCC</t>
  </si>
  <si>
    <t xml:space="preserve">TAGTGCTGGGCGGTGAGTTCAGCC</t>
  </si>
  <si>
    <t xml:space="preserve">AAACGGCTGAACTCACCGCCCAGC</t>
  </si>
  <si>
    <t xml:space="preserve">PST_2548</t>
  </si>
  <si>
    <t xml:space="preserve">cycL</t>
  </si>
  <si>
    <t xml:space="preserve">ACAGCCCCAGCAGCGCAGCG</t>
  </si>
  <si>
    <t xml:space="preserve">TAGTACAGCCCCAGCAGCGCAGCG</t>
  </si>
  <si>
    <t xml:space="preserve">AAACCGCTGCGCTGCTGGGGCTGT</t>
  </si>
  <si>
    <t xml:space="preserve">CTGCCTGGGCCGTGGAAACC</t>
  </si>
  <si>
    <t xml:space="preserve">TAGTCTGCCTGGGCCGTGGAAACC</t>
  </si>
  <si>
    <t xml:space="preserve">AAACGGTTTCCACGGCCCAGGCAG</t>
  </si>
  <si>
    <t xml:space="preserve">GGCCTCATCGCGAAACTCGT</t>
  </si>
  <si>
    <t xml:space="preserve">TAGTGGCCTCATCGCGAAACTCGT</t>
  </si>
  <si>
    <t xml:space="preserve">AAACACGAGTTTCGCGATGAGGCC</t>
  </si>
  <si>
    <t xml:space="preserve">CGTCCGGTAGCGCTCGCGTT</t>
  </si>
  <si>
    <t xml:space="preserve">TAGTCGTCCGGTAGCGCTCGCGTT</t>
  </si>
  <si>
    <t xml:space="preserve">AAACAACGCGAGCGCTACCGGACG</t>
  </si>
  <si>
    <t xml:space="preserve">PST_2549</t>
  </si>
  <si>
    <t xml:space="preserve">ccmG</t>
  </si>
  <si>
    <t xml:space="preserve">ACCACCAGAAAGATCGCCAG</t>
  </si>
  <si>
    <t xml:space="preserve">TAGTACCACCAGAAAGATCGCCAG</t>
  </si>
  <si>
    <t xml:space="preserve">AAACCTGGCGATCTTTCTGGTGGT</t>
  </si>
  <si>
    <t xml:space="preserve">CGAGAAAAAGCCCCCGATAG</t>
  </si>
  <si>
    <t xml:space="preserve">TAGTCGAGAAAAAGCCCCCGATAG</t>
  </si>
  <si>
    <t xml:space="preserve">AAACCTATCGGGGGCTTTTTCTCG</t>
  </si>
  <si>
    <t xml:space="preserve">AGCGCCGAAGGCAGCTCGGA</t>
  </si>
  <si>
    <t xml:space="preserve">TAGTAGCGCCGAAGGCAGCTCGGA</t>
  </si>
  <si>
    <t xml:space="preserve">AAACTCCGAGCTGCCTTCGGCGCT</t>
  </si>
  <si>
    <t xml:space="preserve">GGCAGCGAGAACGCGGGCAG</t>
  </si>
  <si>
    <t xml:space="preserve">TAGTGGCAGCGAGAACGCGGGCAG</t>
  </si>
  <si>
    <t xml:space="preserve">AAACCTGCCCGCGTTCTCGCTGCC</t>
  </si>
  <si>
    <t xml:space="preserve">PST_2550</t>
  </si>
  <si>
    <t xml:space="preserve">ccmF</t>
  </si>
  <si>
    <t xml:space="preserve">ATTGCCAGATGGCCGAGCTC</t>
  </si>
  <si>
    <t xml:space="preserve">TAGTATTGCCAGATGGCCGAGCTC</t>
  </si>
  <si>
    <t xml:space="preserve">AAACGAGCTCGGCCATCTGGCAAT</t>
  </si>
  <si>
    <t xml:space="preserve">CTGGACCACGGCCAGGCACA</t>
  </si>
  <si>
    <t xml:space="preserve">TAGTCTGGACCACGGCCAGGCACA</t>
  </si>
  <si>
    <t xml:space="preserve">AAACTGTGCCTGGCCGTGGTCCAG</t>
  </si>
  <si>
    <t xml:space="preserve">GGCACCGATCAGCGGCAGCG</t>
  </si>
  <si>
    <t xml:space="preserve">TAGTGGCACCGATCAGCGGCAGCG</t>
  </si>
  <si>
    <t xml:space="preserve">AAACCGCTGCCGCTGATCGGTGCC</t>
  </si>
  <si>
    <t xml:space="preserve">CCATTGCCGGTCACCGCGCC</t>
  </si>
  <si>
    <t xml:space="preserve">TAGTCCATTGCCGGTCACCGCGCC</t>
  </si>
  <si>
    <t xml:space="preserve">AAACGGCGCGGTGACCGGCAATGG</t>
  </si>
  <si>
    <t xml:space="preserve">PST_2551</t>
  </si>
  <si>
    <t xml:space="preserve">ccmE</t>
  </si>
  <si>
    <t xml:space="preserve">AAAAGACGCTTCTTGCGCAC</t>
  </si>
  <si>
    <t xml:space="preserve">TAGTAAAAGACGCTTCTTGCGCAC</t>
  </si>
  <si>
    <t xml:space="preserve">AAACGTGCGCAAGAAGCGTCTTTT</t>
  </si>
  <si>
    <t xml:space="preserve">CGCCACGGCGATACCGACAC</t>
  </si>
  <si>
    <t xml:space="preserve">TAGTCGCCACGGCGATACCGACAC</t>
  </si>
  <si>
    <t xml:space="preserve">AAACGTGTCGGTATCGCCGTGGCG</t>
  </si>
  <si>
    <t xml:space="preserve">GTTGATGTTCTGCTGCAGGG</t>
  </si>
  <si>
    <t xml:space="preserve">TAGTGTTGATGTTCTGCTGCAGGG</t>
  </si>
  <si>
    <t xml:space="preserve">AAACCCCTGCAGCAGAACATCAAC</t>
  </si>
  <si>
    <t xml:space="preserve">TCTGGGACGGCGTGTAGAAC</t>
  </si>
  <si>
    <t xml:space="preserve">TAGTTCTGGGACGGCGTGTAGAAC</t>
  </si>
  <si>
    <t xml:space="preserve">AAACGTTCTACACGCCGTCCCAGA</t>
  </si>
  <si>
    <t xml:space="preserve">PST_2552</t>
  </si>
  <si>
    <t xml:space="preserve">ccmD</t>
  </si>
  <si>
    <t xml:space="preserve">ATTGCCCATGGCGATGAAAT</t>
  </si>
  <si>
    <t xml:space="preserve">TAGTATTGCCCATGGCGATGAAAT</t>
  </si>
  <si>
    <t xml:space="preserve">AAACATTTCATCGCCATGGGCAAT</t>
  </si>
  <si>
    <t xml:space="preserve">CGCCAGGCTGATGCCGTATG</t>
  </si>
  <si>
    <t xml:space="preserve">TAGTCGCCAGGCTGATGCCGTATG</t>
  </si>
  <si>
    <t xml:space="preserve">AAACCATACGGCATCAGCCTGGCG</t>
  </si>
  <si>
    <t xml:space="preserve">TAACGCCGACGCGCCAGTAC</t>
  </si>
  <si>
    <t xml:space="preserve">TAGTTAACGCCGACGCGCCAGTAC</t>
  </si>
  <si>
    <t xml:space="preserve">AAACGTACTGGCGCGTCGGCGTTA</t>
  </si>
  <si>
    <t xml:space="preserve">AACGACGCGCCTCATCTTGC</t>
  </si>
  <si>
    <t xml:space="preserve">TAGTAACGACGCGCCTCATCTTGC</t>
  </si>
  <si>
    <t xml:space="preserve">AAACGCAAGATGAGGCGCGTCGTT</t>
  </si>
  <si>
    <t xml:space="preserve">PST_2553</t>
  </si>
  <si>
    <t xml:space="preserve">ccmC</t>
  </si>
  <si>
    <t xml:space="preserve">TGAAACCATGTCCAGTTCAT</t>
  </si>
  <si>
    <t xml:space="preserve">TAGTTGAAACCATGTCCAGTTCAT</t>
  </si>
  <si>
    <t xml:space="preserve">AAACATGAACTGGACATGGTTTCA</t>
  </si>
  <si>
    <t xml:space="preserve">CTGATCTCGTAGAACCACTT</t>
  </si>
  <si>
    <t xml:space="preserve">TAGTCTGATCTCGTAGAACCACTT</t>
  </si>
  <si>
    <t xml:space="preserve">AAACAAGTGGTTCTACGAGATCAG</t>
  </si>
  <si>
    <t xml:space="preserve">ACGGCTGCCCAGGCCAGCCA</t>
  </si>
  <si>
    <t xml:space="preserve">TAGTACGGCTGCCCAGGCCAGCCA</t>
  </si>
  <si>
    <t xml:space="preserve">AAACTGGCTGGCCTGGGCAGCCGT</t>
  </si>
  <si>
    <t xml:space="preserve">AGTCCTCGGGAGCGAACGCC</t>
  </si>
  <si>
    <t xml:space="preserve">TAGTAGTCCTCGGGAGCGAACGCC</t>
  </si>
  <si>
    <t xml:space="preserve">AAACGGCGTTCGCTCCCGAGGACT</t>
  </si>
  <si>
    <t xml:space="preserve">PST_2554</t>
  </si>
  <si>
    <t xml:space="preserve">ccmB</t>
  </si>
  <si>
    <t xml:space="preserve">GGCGAGTCTCGCGCGCCAGT</t>
  </si>
  <si>
    <t xml:space="preserve">TAGTGGCGAGTCTCGCGCGCCAGT</t>
  </si>
  <si>
    <t xml:space="preserve">AAACACTGGCGCGCGAGACTCGCC</t>
  </si>
  <si>
    <t xml:space="preserve">CGGCTGGGCGGCGGAACAAC</t>
  </si>
  <si>
    <t xml:space="preserve">TAGTCGGCTGGGCGGCGGAACAAC</t>
  </si>
  <si>
    <t xml:space="preserve">AAACGTTGTTCCGCCGCCCAGCCG</t>
  </si>
  <si>
    <t xml:space="preserve">GACCAGCGGGTTGGCCAGTT</t>
  </si>
  <si>
    <t xml:space="preserve">TAGTGACCAGCGGGTTGGCCAGTT</t>
  </si>
  <si>
    <t xml:space="preserve">AAACAACTGGCCAACCCGCTGGTC</t>
  </si>
  <si>
    <t xml:space="preserve">AGGAAACAGCGCGATGACGA</t>
  </si>
  <si>
    <t xml:space="preserve">TAGTAGGAAACAGCGCGATGACGA</t>
  </si>
  <si>
    <t xml:space="preserve">AAACTCGTCATCGCGCTGTTTCCT</t>
  </si>
  <si>
    <t xml:space="preserve">PST_2555</t>
  </si>
  <si>
    <t xml:space="preserve">ccmA</t>
  </si>
  <si>
    <t xml:space="preserve">TTCGAGAAAGGGAGTTGACA</t>
  </si>
  <si>
    <t xml:space="preserve">TAGTTTCGAGAAAGGGAGTTGACA</t>
  </si>
  <si>
    <t xml:space="preserve">AAACTGTCAACTCCCTTTCTCGAA</t>
  </si>
  <si>
    <t xml:space="preserve">CAGCCGCCAATCCCGCTCGC</t>
  </si>
  <si>
    <t xml:space="preserve">TAGTCAGCCGCCAATCCCGCTCGC</t>
  </si>
  <si>
    <t xml:space="preserve">AAACGCGAGCGGGATTGGCGGCTG</t>
  </si>
  <si>
    <t xml:space="preserve">GCATCTCGCCGCGCTCGAGA</t>
  </si>
  <si>
    <t xml:space="preserve">TAGTGCATCTCGCCGCGCTCGAGA</t>
  </si>
  <si>
    <t xml:space="preserve">AAACTCTCGAGCGCGGCGAGATGC</t>
  </si>
  <si>
    <t xml:space="preserve">GGAAAGCAGGCGTAGCAGGC</t>
  </si>
  <si>
    <t xml:space="preserve">TAGTGGAAAGCAGGCGTAGCAGGC</t>
  </si>
  <si>
    <t xml:space="preserve">AAACGCCTGCTACGCCTGCTTTCC</t>
  </si>
  <si>
    <t xml:space="preserve">PST_2556</t>
  </si>
  <si>
    <t xml:space="preserve">GCTGCCAGCAGGTTCTGCAT</t>
  </si>
  <si>
    <t xml:space="preserve">TAGTGCTGCCAGCAGGTTCTGCAT</t>
  </si>
  <si>
    <t xml:space="preserve">AAACATGCAGAACCTGCTGGCAGC</t>
  </si>
  <si>
    <t xml:space="preserve">CTCCCGGATGCTGACCACTT</t>
  </si>
  <si>
    <t xml:space="preserve">TAGTCTCCCGGATGCTGACCACTT</t>
  </si>
  <si>
    <t xml:space="preserve">AAACAAGTGGTCAGCATCCGGGAG</t>
  </si>
  <si>
    <t xml:space="preserve">CACCAGGCGGAACGCTTCGG</t>
  </si>
  <si>
    <t xml:space="preserve">TAGTCACCAGGCGGAACGCTTCGG</t>
  </si>
  <si>
    <t xml:space="preserve">AAACCCGAAGCGTTCCGCCTGGTG</t>
  </si>
  <si>
    <t xml:space="preserve">GGCGTCCGCTGCCCATGGTC</t>
  </si>
  <si>
    <t xml:space="preserve">TAGTGGCGTCCGCTGCCCATGGTC</t>
  </si>
  <si>
    <t xml:space="preserve">AAACGACCATGGGCAGCGGACGCC</t>
  </si>
  <si>
    <t xml:space="preserve">PST_2557</t>
  </si>
  <si>
    <t xml:space="preserve">CTCAGGGCGATGGCTTGGCG</t>
  </si>
  <si>
    <t xml:space="preserve">TAGTCTCAGGGCGATGGCTTGGCG</t>
  </si>
  <si>
    <t xml:space="preserve">AAACCGCCAAGCCATCGCCCTGAG</t>
  </si>
  <si>
    <t xml:space="preserve">TCACCCTTGGCGCTGAGGCT</t>
  </si>
  <si>
    <t xml:space="preserve">TAGTTCACCCTTGGCGCTGAGGCT</t>
  </si>
  <si>
    <t xml:space="preserve">AAACAGCCTCAGCGCCAAGGGTGA</t>
  </si>
  <si>
    <t xml:space="preserve">AGCGATCGCAAGAATCGCCT</t>
  </si>
  <si>
    <t xml:space="preserve">TAGTAGCGATCGCAAGAATCGCCT</t>
  </si>
  <si>
    <t xml:space="preserve">AAACAGGCGATTCTTGCGATCGCT</t>
  </si>
  <si>
    <t xml:space="preserve">AGGTCGGCGTTCTCGTAGAT</t>
  </si>
  <si>
    <t xml:space="preserve">TAGTAGGTCGGCGTTCTCGTAGAT</t>
  </si>
  <si>
    <t xml:space="preserve">AAACATCTACGAGAACGCCGACCT</t>
  </si>
  <si>
    <t xml:space="preserve">PST_2558</t>
  </si>
  <si>
    <t xml:space="preserve">GTCGACATTGTCCGGGGCCT</t>
  </si>
  <si>
    <t xml:space="preserve">TAGTGTCGACATTGTCCGGGGCCT</t>
  </si>
  <si>
    <t xml:space="preserve">AAACAGGCCCCGGACAATGTCGAC</t>
  </si>
  <si>
    <t xml:space="preserve">CTTGGCCTGAAAGACGTTGA</t>
  </si>
  <si>
    <t xml:space="preserve">TAGTCTTGGCCTGAAAGACGTTGA</t>
  </si>
  <si>
    <t xml:space="preserve">AAACTCAACGTCTTTCAGGCCAAG</t>
  </si>
  <si>
    <t xml:space="preserve">ACAGCCATTCCCGATCAGCA</t>
  </si>
  <si>
    <t xml:space="preserve">TAGTACAGCCATTCCCGATCAGCA</t>
  </si>
  <si>
    <t xml:space="preserve">AAACTGCTGATCGGGAATGGCTGT</t>
  </si>
  <si>
    <t xml:space="preserve">ACTGGCTAGATCGAAATGTA</t>
  </si>
  <si>
    <t xml:space="preserve">TAGTACTGGCTAGATCGAAATGTA</t>
  </si>
  <si>
    <t xml:space="preserve">AAACTACATTTCGATCTAGCCAGT</t>
  </si>
  <si>
    <t xml:space="preserve">PST_2559</t>
  </si>
  <si>
    <t xml:space="preserve">CAGCAGTCCCAGACAGCAGA</t>
  </si>
  <si>
    <t xml:space="preserve">TAGTCAGCAGTCCCAGACAGCAGA</t>
  </si>
  <si>
    <t xml:space="preserve">AAACTCTGCTGTCTGGGACTGCTG</t>
  </si>
  <si>
    <t xml:space="preserve">GCTGCCGTCTGAGCAGCCAC</t>
  </si>
  <si>
    <t xml:space="preserve">TAGTGCTGCCGTCTGAGCAGCCAC</t>
  </si>
  <si>
    <t xml:space="preserve">AAACGTGGCTGCTCAGACGGCAGC</t>
  </si>
  <si>
    <t xml:space="preserve">CTTGATTCGCTTGTCCCTGC</t>
  </si>
  <si>
    <t xml:space="preserve">TAGTCTTGATTCGCTTGTCCCTGC</t>
  </si>
  <si>
    <t xml:space="preserve">AAACGCAGGGACAAGCGAATCAAG</t>
  </si>
  <si>
    <t xml:space="preserve">CCTCCAGATAGGCATCCAGA</t>
  </si>
  <si>
    <t xml:space="preserve">TAGTCCTCCAGATAGGCATCCAGA</t>
  </si>
  <si>
    <t xml:space="preserve">AAACTCTGGATGCCTATCTGGAGG</t>
  </si>
  <si>
    <t xml:space="preserve">PST_2560</t>
  </si>
  <si>
    <t xml:space="preserve">cheW-2</t>
  </si>
  <si>
    <t xml:space="preserve">CCATTGCAGAACAGGATCTT</t>
  </si>
  <si>
    <t xml:space="preserve">TAGTCCATTGCAGAACAGGATCTT</t>
  </si>
  <si>
    <t xml:space="preserve">AAACAAGATCCTGTTCTGCAATGG</t>
  </si>
  <si>
    <t xml:space="preserve">CGTCTCGTTGTCCAGACGGA</t>
  </si>
  <si>
    <t xml:space="preserve">TAGTCGTCTCGTTGTCCAGACGGA</t>
  </si>
  <si>
    <t xml:space="preserve">AAACTCCGTCTGGACAACGAGACG</t>
  </si>
  <si>
    <t xml:space="preserve">ACCCGGCACCGGAGCGATCT</t>
  </si>
  <si>
    <t xml:space="preserve">TAGTACCCGGCACCGGAGCGATCT</t>
  </si>
  <si>
    <t xml:space="preserve">AAACAGATCGCTCCGGTGCCGGGT</t>
  </si>
  <si>
    <t xml:space="preserve">ATGATGCCCAGCACATAGCT</t>
  </si>
  <si>
    <t xml:space="preserve">TAGTATGATGCCCAGCACATAGCT</t>
  </si>
  <si>
    <t xml:space="preserve">AAACAGCTATGTGCTGGGCATCAT</t>
  </si>
  <si>
    <t xml:space="preserve">PST_2561</t>
  </si>
  <si>
    <t xml:space="preserve">GGTGAGAACGGTGCGGTTCA</t>
  </si>
  <si>
    <t xml:space="preserve">TAGTGGTGAGAACGGTGCGGTTCA</t>
  </si>
  <si>
    <t xml:space="preserve">AAACTGAACCGCACCGTTCTCACC</t>
  </si>
  <si>
    <t xml:space="preserve">CGCCTGCTGGGATCGGGTTT</t>
  </si>
  <si>
    <t xml:space="preserve">TAGTCGCCTGCTGGGATCGGGTTT</t>
  </si>
  <si>
    <t xml:space="preserve">AAACAAACCCGATCCCAGCAGGCG</t>
  </si>
  <si>
    <t xml:space="preserve">GACCGAATCCGCCAGCTCGA</t>
  </si>
  <si>
    <t xml:space="preserve">TAGTGACCGAATCCGCCAGCTCGA</t>
  </si>
  <si>
    <t xml:space="preserve">AAACTCGAGCTGGCGGATTCGGTC</t>
  </si>
  <si>
    <t xml:space="preserve">CAGCTGCTCCTCGAGCACCG</t>
  </si>
  <si>
    <t xml:space="preserve">TAGTCAGCTGCTCCTCGAGCACCG</t>
  </si>
  <si>
    <t xml:space="preserve">AAACCGGTGCTCGAGGAGCAGCTG</t>
  </si>
  <si>
    <t xml:space="preserve">PST_2562</t>
  </si>
  <si>
    <t xml:space="preserve">GCCCACTCCACCCTTTTGAT</t>
  </si>
  <si>
    <t xml:space="preserve">TAGTGCCCACTCCACCCTTTTGAT</t>
  </si>
  <si>
    <t xml:space="preserve">AAACATCAAAAGGGTGGAGTGGGC</t>
  </si>
  <si>
    <t xml:space="preserve">TGCCAGCGCGACCGACGTGG</t>
  </si>
  <si>
    <t xml:space="preserve">TAGTTGCCAGCGCGACCGACGTGG</t>
  </si>
  <si>
    <t xml:space="preserve">AAACCCACGTCGGTCGCGCTGGCA</t>
  </si>
  <si>
    <t xml:space="preserve">CACGACCCGTTTACCGGAGT</t>
  </si>
  <si>
    <t xml:space="preserve">TAGTCACGACCCGTTTACCGGAGT</t>
  </si>
  <si>
    <t xml:space="preserve">AAACACTCCGGTAAACGGGTCGTG</t>
  </si>
  <si>
    <t xml:space="preserve">AGCTGGTCATCGAACCATGC</t>
  </si>
  <si>
    <t xml:space="preserve">TAGTAGCTGGTCATCGAACCATGC</t>
  </si>
  <si>
    <t xml:space="preserve">AAACGCATGGTTCGATGACCAGCT</t>
  </si>
  <si>
    <t xml:space="preserve">PST_2563</t>
  </si>
  <si>
    <t xml:space="preserve">motB</t>
  </si>
  <si>
    <t xml:space="preserve">CGGCGCTCTGCGTCTGGCCA</t>
  </si>
  <si>
    <t xml:space="preserve">TAGTCGGCGCTCTGCGTCTGGCCA</t>
  </si>
  <si>
    <t xml:space="preserve">AAACTGGCCAGACGCAGAGCGCCG</t>
  </si>
  <si>
    <t xml:space="preserve">TCGTGGTTCTCGTGCTCTTC</t>
  </si>
  <si>
    <t xml:space="preserve">TAGTTCGTGGTTCTCGTGCTCTTC</t>
  </si>
  <si>
    <t xml:space="preserve">AAACGAAGAGCACGAGAACCACGA</t>
  </si>
  <si>
    <t xml:space="preserve">CACGAAAAAGGCGAACAGCA</t>
  </si>
  <si>
    <t xml:space="preserve">TAGTCACGAAAAAGGCGAACAGCA</t>
  </si>
  <si>
    <t xml:space="preserve">AAACTGCTGTTCGCCTTTTTCGTG</t>
  </si>
  <si>
    <t xml:space="preserve">GCCTTCGTTGATCGAGGAAA</t>
  </si>
  <si>
    <t xml:space="preserve">TAGTGCCTTCGTTGATCGAGGAAA</t>
  </si>
  <si>
    <t xml:space="preserve">AAACTTTCCTCGATCAACGAAGGC</t>
  </si>
  <si>
    <t xml:space="preserve">PST_2564</t>
  </si>
  <si>
    <t xml:space="preserve">GCCCGCATGAACACCGCGAT</t>
  </si>
  <si>
    <t xml:space="preserve">TAGTGCCCGCATGAACACCGCGAT</t>
  </si>
  <si>
    <t xml:space="preserve">AAACATCGCGGTGTTCATGCGGGC</t>
  </si>
  <si>
    <t xml:space="preserve">GCGGCGGAAAGAAGATCCAG</t>
  </si>
  <si>
    <t xml:space="preserve">TAGTGCGGCGGAAAGAAGATCCAG</t>
  </si>
  <si>
    <t xml:space="preserve">AAACCTGGATCTTCTTTCCGCCGC</t>
  </si>
  <si>
    <t xml:space="preserve">GCGTGCCGTGTTGCTCCAGG</t>
  </si>
  <si>
    <t xml:space="preserve">TAGTGCGTGCCGTGTTGCTCCAGG</t>
  </si>
  <si>
    <t xml:space="preserve">AAACCCTGGAGCAACACGGCACGC</t>
  </si>
  <si>
    <t xml:space="preserve">CGGTCTCGGCGACGGGCTCG</t>
  </si>
  <si>
    <t xml:space="preserve">TAGTCGGTCTCGGCGACGGGCTCG</t>
  </si>
  <si>
    <t xml:space="preserve">AAACCGAGCCCGTCGCCGAGACCG</t>
  </si>
  <si>
    <t xml:space="preserve">PST_2565</t>
  </si>
  <si>
    <t xml:space="preserve">cheB</t>
  </si>
  <si>
    <t xml:space="preserve">AACCGGAATCGTCGACGACC</t>
  </si>
  <si>
    <t xml:space="preserve">TAGTAACCGGAATCGTCGACGACC</t>
  </si>
  <si>
    <t xml:space="preserve">AAACGGTCGTCGACGATTCCGGTT</t>
  </si>
  <si>
    <t xml:space="preserve">AAAGGATTTCCGAGACACGC</t>
  </si>
  <si>
    <t xml:space="preserve">TAGTAAAGGATTTCCGAGACACGC</t>
  </si>
  <si>
    <t xml:space="preserve">AAACGCGTGTCTCGGAAATCCTTT</t>
  </si>
  <si>
    <t xml:space="preserve">GACCTGGATATTGGGATCAG</t>
  </si>
  <si>
    <t xml:space="preserve">TAGTGACCTGGATATTGGGATCAG</t>
  </si>
  <si>
    <t xml:space="preserve">AAACCTGATCCCAATATCCAGGTC</t>
  </si>
  <si>
    <t xml:space="preserve">CGCCTCACGCCCGTTGGTGG</t>
  </si>
  <si>
    <t xml:space="preserve">TAGTCGCCTCACGCCCGTTGGTGG</t>
  </si>
  <si>
    <t xml:space="preserve">AAACCCACCAACGGGCGTGAGGCG</t>
  </si>
  <si>
    <t xml:space="preserve">PST_2566</t>
  </si>
  <si>
    <t xml:space="preserve">cheA</t>
  </si>
  <si>
    <t xml:space="preserve">GTCCTGGAGGATTTCTTCAT</t>
  </si>
  <si>
    <t xml:space="preserve">TAGTGTCCTGGAGGATTTCTTCAT</t>
  </si>
  <si>
    <t xml:space="preserve">AAACATGAAGAAATCCTCCAGGAC</t>
  </si>
  <si>
    <t xml:space="preserve">GAATCTCGCCGGCCTCTACC</t>
  </si>
  <si>
    <t xml:space="preserve">TAGTGAATCTCGCCGGCCTCTACC</t>
  </si>
  <si>
    <t xml:space="preserve">AAACGGTAGAGGCCGGCGAGATTC</t>
  </si>
  <si>
    <t xml:space="preserve">TTCCAGCTCCACGAGTTGCT</t>
  </si>
  <si>
    <t xml:space="preserve">TAGTTTCCAGCTCCACGAGTTGCT</t>
  </si>
  <si>
    <t xml:space="preserve">AAACAGCAACTCGTGGAGCTGGAA</t>
  </si>
  <si>
    <t xml:space="preserve">TGAGCAACGCCATGTCATCG</t>
  </si>
  <si>
    <t xml:space="preserve">TAGTTGAGCAACGCCATGTCATCG</t>
  </si>
  <si>
    <t xml:space="preserve">AAACCGATGACATGGCGTTGCTCA</t>
  </si>
  <si>
    <t xml:space="preserve">PST_2567</t>
  </si>
  <si>
    <t xml:space="preserve">cheZ</t>
  </si>
  <si>
    <t xml:space="preserve">CTTCGAACTCTGCCAGGCTT</t>
  </si>
  <si>
    <t xml:space="preserve">TAGTCTTCGAACTCTGCCAGGCTT</t>
  </si>
  <si>
    <t xml:space="preserve">AAACAAGCCTGGCAGAGTTCGAAG</t>
  </si>
  <si>
    <t xml:space="preserve">TTCAATCAGGCGGGGTGCAT</t>
  </si>
  <si>
    <t xml:space="preserve">TAGTTTCAATCAGGCGGGGTGCAT</t>
  </si>
  <si>
    <t xml:space="preserve">AAACATGCACCCCGCCTGATTGAA</t>
  </si>
  <si>
    <t xml:space="preserve">CATCGAAGCGGCCTTGCTGC</t>
  </si>
  <si>
    <t xml:space="preserve">TAGTCATCGAAGCGGCCTTGCTGC</t>
  </si>
  <si>
    <t xml:space="preserve">AAACGCAGCAAGGCCGCTTCGATG</t>
  </si>
  <si>
    <t xml:space="preserve">GTCCATCTCGAGCTTGACGA</t>
  </si>
  <si>
    <t xml:space="preserve">TAGTGTCCATCTCGAGCTTGACGA</t>
  </si>
  <si>
    <t xml:space="preserve">AAACTCGTCAAGCTCGAGATGGAC</t>
  </si>
  <si>
    <t xml:space="preserve">PST_2568</t>
  </si>
  <si>
    <t xml:space="preserve">cheY</t>
  </si>
  <si>
    <t xml:space="preserve">TCGAGAAGTCATCGACGATG</t>
  </si>
  <si>
    <t xml:space="preserve">TAGTTCGAGAAGTCATCGACGATG</t>
  </si>
  <si>
    <t xml:space="preserve">AAACCATCGTCGATGACTTCTCGA</t>
  </si>
  <si>
    <t xml:space="preserve">TGAACCCCAGATCACGCAAG</t>
  </si>
  <si>
    <t xml:space="preserve">TAGTTGAACCCCAGATCACGCAAG</t>
  </si>
  <si>
    <t xml:space="preserve">AAACCTTGCGTGATCTGGGGTTCA</t>
  </si>
  <si>
    <t xml:space="preserve">GGTGCCGTCGTCCGCCTCGG</t>
  </si>
  <si>
    <t xml:space="preserve">TAGTGGTGCCGTCGTCCGCCTCGG</t>
  </si>
  <si>
    <t xml:space="preserve">AAACCCGAGGCGGACGACGGCACC</t>
  </si>
  <si>
    <t xml:space="preserve">TTTCAGCATCGGCAGTGCGG</t>
  </si>
  <si>
    <t xml:space="preserve">TAGTTTTCAGCATCGGCAGTGCGG</t>
  </si>
  <si>
    <t xml:space="preserve">AAACCCGCACTGCCGATGCTGAAA</t>
  </si>
  <si>
    <t xml:space="preserve">PST_2569</t>
  </si>
  <si>
    <t xml:space="preserve">fliA</t>
  </si>
  <si>
    <t xml:space="preserve">GGGCGTACTGATCGATCAGG</t>
  </si>
  <si>
    <t xml:space="preserve">TAGTGGGCGTACTGATCGATCAGG</t>
  </si>
  <si>
    <t xml:space="preserve">AAACCCTGATCGATCAGTACGCCC</t>
  </si>
  <si>
    <t xml:space="preserve">AGCGATTCGCTTGACCAGCG</t>
  </si>
  <si>
    <t xml:space="preserve">TAGTAGCGATTCGCTTGACCAGCG</t>
  </si>
  <si>
    <t xml:space="preserve">AAACCGCTGGTCAAGCGAATCGCT</t>
  </si>
  <si>
    <t xml:space="preserve">TGGCGGGCAGACGCGCCAGC</t>
  </si>
  <si>
    <t xml:space="preserve">TAGTTGGCGGGCAGACGCGCCAGC</t>
  </si>
  <si>
    <t xml:space="preserve">AAACGCTGGCGCGTCTGCCCGCCA</t>
  </si>
  <si>
    <t xml:space="preserve">CAGATCGTCCACTTGCACGC</t>
  </si>
  <si>
    <t xml:space="preserve">TAGTCAGATCGTCCACTTGCACGC</t>
  </si>
  <si>
    <t xml:space="preserve">AAACGCGTGCAAGTGGACGATCTG</t>
  </si>
  <si>
    <t xml:space="preserve">PST_2570</t>
  </si>
  <si>
    <t xml:space="preserve">fleN</t>
  </si>
  <si>
    <t xml:space="preserve">GTCACCGCAATCACCTGTAC</t>
  </si>
  <si>
    <t xml:space="preserve">TAGTGTCACCGCAATCACCTGTAC</t>
  </si>
  <si>
    <t xml:space="preserve">AAACGTACAGGTGATTGCGGTGAC</t>
  </si>
  <si>
    <t xml:space="preserve">GCCGACGCCACCCTTGCCGC</t>
  </si>
  <si>
    <t xml:space="preserve">TAGTGCCGACGCCACCCTTGCCGC</t>
  </si>
  <si>
    <t xml:space="preserve">AAACGCGGCAAGGGTGGCGTCGGC</t>
  </si>
  <si>
    <t xml:space="preserve">CGCCAGATTGACCGACACGT</t>
  </si>
  <si>
    <t xml:space="preserve">TAGTCGCCAGATTGACCGACACGT</t>
  </si>
  <si>
    <t xml:space="preserve">AAACACGTGTCGGTCAATCTGGCG</t>
  </si>
  <si>
    <t xml:space="preserve">CACCACGCGCCGGCCAAGGT</t>
  </si>
  <si>
    <t xml:space="preserve">TAGTCACCACGCGCCGGCCAAGGT</t>
  </si>
  <si>
    <t xml:space="preserve">AAACACCTTGGCCGGCGCGTGGTG</t>
  </si>
  <si>
    <t xml:space="preserve">PST_2571</t>
  </si>
  <si>
    <t xml:space="preserve">flhF</t>
  </si>
  <si>
    <t xml:space="preserve">GAAGAAACGTTTGACCTGCA</t>
  </si>
  <si>
    <t xml:space="preserve">TAGTGAAGAAACGTTTGACCTGCA</t>
  </si>
  <si>
    <t xml:space="preserve">AAACTGCAGGTCAAACGTTTCTTC</t>
  </si>
  <si>
    <t xml:space="preserve">CATGGCGATGCGCATATCGG</t>
  </si>
  <si>
    <t xml:space="preserve">TAGTCATGGCGATGCGCATATCGG</t>
  </si>
  <si>
    <t xml:space="preserve">AAACCCGATATGCGCATCGCCATG</t>
  </si>
  <si>
    <t xml:space="preserve">ATTGCCGATGATCACGGCAT</t>
  </si>
  <si>
    <t xml:space="preserve">TAGTATTGCCGATGATCACGGCAT</t>
  </si>
  <si>
    <t xml:space="preserve">AAACATGCCGTGATCATCGGCAAT</t>
  </si>
  <si>
    <t xml:space="preserve">AGCCGTCAGCTCGACGCCGC</t>
  </si>
  <si>
    <t xml:space="preserve">TAGTAGCCGTCAGCTCGACGCCGC</t>
  </si>
  <si>
    <t xml:space="preserve">AAACGCGGCGTCGAGCTGACGGCT</t>
  </si>
  <si>
    <t xml:space="preserve">PST_2572</t>
  </si>
  <si>
    <t xml:space="preserve">flhA</t>
  </si>
  <si>
    <t xml:space="preserve">TCCAGCAGGAACGGCGGCAC</t>
  </si>
  <si>
    <t xml:space="preserve">TAGTTCCAGCAGGAACGGCGGCAC</t>
  </si>
  <si>
    <t xml:space="preserve">AAACGTGCCGCCGTTCCTGCTGGA</t>
  </si>
  <si>
    <t xml:space="preserve">GATCGACAGCGCGATGTTGA</t>
  </si>
  <si>
    <t xml:space="preserve">TAGTGATCGACAGCGCGATGTTGA</t>
  </si>
  <si>
    <t xml:space="preserve">AAACTCAACATCGCGCTGTCGATC</t>
  </si>
  <si>
    <t xml:space="preserve">GGGAACACGGCGAAATCCAG</t>
  </si>
  <si>
    <t xml:space="preserve">TAGTGGGAACACGGCGAAATCCAG</t>
  </si>
  <si>
    <t xml:space="preserve">AAACCTGGATTTCGCCGTGTTCCC</t>
  </si>
  <si>
    <t xml:space="preserve">TGGCGACCAGCAGAATCGTC</t>
  </si>
  <si>
    <t xml:space="preserve">TAGTTGGCGACCAGCAGAATCGTC</t>
  </si>
  <si>
    <t xml:space="preserve">AAACGACGATTCTGCTGGTCGCCA</t>
  </si>
  <si>
    <t xml:space="preserve">PST_2573</t>
  </si>
  <si>
    <t xml:space="preserve">sodC</t>
  </si>
  <si>
    <t xml:space="preserve">GGCGGCGAGGGCGGTGCAGC</t>
  </si>
  <si>
    <t xml:space="preserve">TAGTGGCGGCGAGGGCGGTGCAGC</t>
  </si>
  <si>
    <t xml:space="preserve">AAACGCTGCACCGCCCTCGCCGCC</t>
  </si>
  <si>
    <t xml:space="preserve">GACGCTCAGGGTTTCCGCCT</t>
  </si>
  <si>
    <t xml:space="preserve">TAGTGACGCTCAGGGTTTCCGCCT</t>
  </si>
  <si>
    <t xml:space="preserve">AAACAGGCGGAAACCCTGAGCGTC</t>
  </si>
  <si>
    <t xml:space="preserve">GCCAATGCCCTGGGCGGTGA</t>
  </si>
  <si>
    <t xml:space="preserve">TAGTGCCAATGCCCTGGGCGGTGA</t>
  </si>
  <si>
    <t xml:space="preserve">AAACTCACCGCCCAGGGCATTGGC</t>
  </si>
  <si>
    <t xml:space="preserve">CTCGATCTTTACGCTGCCCA</t>
  </si>
  <si>
    <t xml:space="preserve">TAGTCTCGATCTTTACGCTGCCCA</t>
  </si>
  <si>
    <t xml:space="preserve">AAACTGGGCAGCGTAAAGATCGAG</t>
  </si>
  <si>
    <t xml:space="preserve">PST_2574</t>
  </si>
  <si>
    <t xml:space="preserve">flhB</t>
  </si>
  <si>
    <t xml:space="preserve">TGTGGGTTCCTCGCTTTTGT</t>
  </si>
  <si>
    <t xml:space="preserve">TAGTTGTGGGTTCCTCGCTTTTGT</t>
  </si>
  <si>
    <t xml:space="preserve">AAACACAAAAGCGAGGAACCCACA</t>
  </si>
  <si>
    <t xml:space="preserve">CTTTCTCGCGGGATTCGCGC</t>
  </si>
  <si>
    <t xml:space="preserve">TAGTCTTTCTCGCGGGATTCGCGC</t>
  </si>
  <si>
    <t xml:space="preserve">AAACGCGCGAATCCCGCGAGAAAG</t>
  </si>
  <si>
    <t xml:space="preserve">CGCCACCGTACTGAGTTCGC</t>
  </si>
  <si>
    <t xml:space="preserve">TAGTCGCCACCGTACTGAGTTCGC</t>
  </si>
  <si>
    <t xml:space="preserve">AAACGCGAACTCAGTACGGTGGCG</t>
  </si>
  <si>
    <t xml:space="preserve">GGTTTGCGCCAGGCCGCCAC</t>
  </si>
  <si>
    <t xml:space="preserve">TAGTGGTTTGCGCCAGGCCGCCAC</t>
  </si>
  <si>
    <t xml:space="preserve">AAACGTGGCGGCCTGGCGCAAACC</t>
  </si>
  <si>
    <t xml:space="preserve">PST_2575</t>
  </si>
  <si>
    <t xml:space="preserve">fliR</t>
  </si>
  <si>
    <t xml:space="preserve">CGATGCGAAACAGCGGCAGG</t>
  </si>
  <si>
    <t xml:space="preserve">TAGTCGATGCGAAACAGCGGCAGG</t>
  </si>
  <si>
    <t xml:space="preserve">AAACCCTGCCGCTGTTTCGCATCG</t>
  </si>
  <si>
    <t xml:space="preserve">CGGCATGCTCATCAGCAACG</t>
  </si>
  <si>
    <t xml:space="preserve">TAGTCGGCATGCTCATCAGCAACG</t>
  </si>
  <si>
    <t xml:space="preserve">AAACCGTTGCTGATGAGCATGCCG</t>
  </si>
  <si>
    <t xml:space="preserve">ACCAGCTGGGTGCCAATCAG</t>
  </si>
  <si>
    <t xml:space="preserve">TAGTACCAGCTGGGTGCCAATCAG</t>
  </si>
  <si>
    <t xml:space="preserve">AAACCTGATTGGCACCCAGCTGGT</t>
  </si>
  <si>
    <t xml:space="preserve">AGATACAACCGCACGCGCAC</t>
  </si>
  <si>
    <t xml:space="preserve">TAGTAGATACAACCGCACGCGCAC</t>
  </si>
  <si>
    <t xml:space="preserve">AAACGTGCGCGTGCGGTTGTATCT</t>
  </si>
  <si>
    <t xml:space="preserve">PST_2576</t>
  </si>
  <si>
    <t xml:space="preserve">fliQ</t>
  </si>
  <si>
    <t xml:space="preserve">AACAGGTCCACCGCCACTTC</t>
  </si>
  <si>
    <t xml:space="preserve">TAGTAACAGGTCCACCGCCACTTC</t>
  </si>
  <si>
    <t xml:space="preserve">AAACGAAGTGGCGGTGGACCTGTT</t>
  </si>
  <si>
    <t xml:space="preserve">CGATCATCGCGGTCATCCAG</t>
  </si>
  <si>
    <t xml:space="preserve">TAGTCGATCATCGCGGTCATCCAG</t>
  </si>
  <si>
    <t xml:space="preserve">AAACCTGGATGACCGCGATGATCG</t>
  </si>
  <si>
    <t xml:space="preserve">ACCAGACCGACCAGCAGGCT</t>
  </si>
  <si>
    <t xml:space="preserve">TAGTACCAGACCGACCAGCAGGCT</t>
  </si>
  <si>
    <t xml:space="preserve">AAACAGCCTGCTGGTCGGTCTGGT</t>
  </si>
  <si>
    <t xml:space="preserve">CGTTGATCTGCGTCGCCGCT</t>
  </si>
  <si>
    <t xml:space="preserve">TAGTCGTTGATCTGCGTCGCCGCT</t>
  </si>
  <si>
    <t xml:space="preserve">AAACAGCGGCGACGCAGATCAACG</t>
  </si>
  <si>
    <t xml:space="preserve">PST_2577</t>
  </si>
  <si>
    <t xml:space="preserve">fliP</t>
  </si>
  <si>
    <t xml:space="preserve">TCATCAGCATGACGAACGCC</t>
  </si>
  <si>
    <t xml:space="preserve">TAGTTCATCAGCATGACGAACGCC</t>
  </si>
  <si>
    <t xml:space="preserve">AAACGGCGTTCGTCATGCTGATGA</t>
  </si>
  <si>
    <t xml:space="preserve">GATGATGATCCGGGTGAAGC</t>
  </si>
  <si>
    <t xml:space="preserve">TAGTGATGATGATCCGGGTGAAGC</t>
  </si>
  <si>
    <t xml:space="preserve">AAACGCTTCACCCGGATCATCATC</t>
  </si>
  <si>
    <t xml:space="preserve">CCGATGAGGATCTGGTTCGA</t>
  </si>
  <si>
    <t xml:space="preserve">TAGTCCGATGAGGATCTGGTTCGA</t>
  </si>
  <si>
    <t xml:space="preserve">AAACTCGAACCAGATCCTCATCGG</t>
  </si>
  <si>
    <t xml:space="preserve">ACAGCGTGAGGAACAGCGTC</t>
  </si>
  <si>
    <t xml:space="preserve">TAGTACAGCGTGAGGAACAGCGTC</t>
  </si>
  <si>
    <t xml:space="preserve">AAACGACGCTGTTCCTCACGCTGT</t>
  </si>
  <si>
    <t xml:space="preserve">PST_2578</t>
  </si>
  <si>
    <t xml:space="preserve">fliO</t>
  </si>
  <si>
    <t xml:space="preserve">CGAGCGCGGCCAGAATTGCC</t>
  </si>
  <si>
    <t xml:space="preserve">TAGTCGAGCGCGGCCAGAATTGCC</t>
  </si>
  <si>
    <t xml:space="preserve">AAACGGCAATTCTGGCCGCGCTCG</t>
  </si>
  <si>
    <t xml:space="preserve">GCCGGCTCCGCCGCCCACAC</t>
  </si>
  <si>
    <t xml:space="preserve">TAGTGCCGGCTCCGCCGCCCACAC</t>
  </si>
  <si>
    <t xml:space="preserve">AAACGTGTGGGCGGCGGAGCCGGC</t>
  </si>
  <si>
    <t xml:space="preserve">CTGTACACGGCGCAGCAGCC</t>
  </si>
  <si>
    <t xml:space="preserve">TAGTCTGTACACGGCGCAGCAGCC</t>
  </si>
  <si>
    <t xml:space="preserve">AAACGGCTGCTGCGCCGTGTACAG</t>
  </si>
  <si>
    <t xml:space="preserve">TTGATCACCTGGGCGCCACG</t>
  </si>
  <si>
    <t xml:space="preserve">TAGTTTGATCACCTGGGCGCCACG</t>
  </si>
  <si>
    <t xml:space="preserve">AAACCGTGGCGCCCAGGTGATCAA</t>
  </si>
  <si>
    <t xml:space="preserve">PST_2579</t>
  </si>
  <si>
    <t xml:space="preserve">fliN</t>
  </si>
  <si>
    <t xml:space="preserve">GCTCGAATTGAGTAAAGGGC</t>
  </si>
  <si>
    <t xml:space="preserve">TAGTGCTCGAATTGAGTAAAGGGC</t>
  </si>
  <si>
    <t xml:space="preserve">AAACGCCCTTTACTCAATTCGAGC</t>
  </si>
  <si>
    <t xml:space="preserve">TGCCATCGCTAATCCTCGAT</t>
  </si>
  <si>
    <t xml:space="preserve">TAGTTGCCATCGCTAATCCTCGAT</t>
  </si>
  <si>
    <t xml:space="preserve">AAACATCGAGGATTAGCGATGGCA</t>
  </si>
  <si>
    <t xml:space="preserve">TCGGCCAGCGCCTGTTCCTC</t>
  </si>
  <si>
    <t xml:space="preserve">TAGTTCGGCCAGCGCCTGTTCCTC</t>
  </si>
  <si>
    <t xml:space="preserve">AAACGAGGAACAGGCGCTGGCCGA</t>
  </si>
  <si>
    <t xml:space="preserve">GCCCGCCTCGGCCAGAGCCG</t>
  </si>
  <si>
    <t xml:space="preserve">TAGTGCCCGCCTCGGCCAGAGCCG</t>
  </si>
  <si>
    <t xml:space="preserve">AAACCGGCTCTGGCCGAGGCGGGC</t>
  </si>
  <si>
    <t xml:space="preserve">PST_2580</t>
  </si>
  <si>
    <t xml:space="preserve">fliM</t>
  </si>
  <si>
    <t xml:space="preserve">AGGTCTTGAACAGCCATCTG</t>
  </si>
  <si>
    <t xml:space="preserve">TAGTAGGTCTTGAACAGCCATCTG</t>
  </si>
  <si>
    <t xml:space="preserve">AAACCAGATGGCTGTTCAAGACCT</t>
  </si>
  <si>
    <t xml:space="preserve">CGATCTCGTCTTGCGAGAGC</t>
  </si>
  <si>
    <t xml:space="preserve">TAGTCGATCTCGTCTTGCGAGAGC</t>
  </si>
  <si>
    <t xml:space="preserve">AAACGCTCTCGCAAGACGAGATCG</t>
  </si>
  <si>
    <t xml:space="preserve">GACCGTCGTCGACCCCGTGC</t>
  </si>
  <si>
    <t xml:space="preserve">TAGTGACCGTCGTCGACCCCGTGC</t>
  </si>
  <si>
    <t xml:space="preserve">AAACGCACGGGGTCGACGACGGTC</t>
  </si>
  <si>
    <t xml:space="preserve">CCCCGGCTCGGAATCGCTTT</t>
  </si>
  <si>
    <t xml:space="preserve">TAGTCCCCGGCTCGGAATCGCTTT</t>
  </si>
  <si>
    <t xml:space="preserve">AAACAAAGCGATTCCGAGCCGGGG</t>
  </si>
  <si>
    <t xml:space="preserve">PST_2581</t>
  </si>
  <si>
    <t xml:space="preserve">fliL</t>
  </si>
  <si>
    <t xml:space="preserve">CCGGTGGGCGGCACCGCTGC</t>
  </si>
  <si>
    <t xml:space="preserve">TAGTCCGGTGGGCGGCACCGCTGC</t>
  </si>
  <si>
    <t xml:space="preserve">AAACGCAGCGGTGCCGCCCACCGG</t>
  </si>
  <si>
    <t xml:space="preserve">TTGCCCGCTGGCGCCGCATC</t>
  </si>
  <si>
    <t xml:space="preserve">TAGTTTGCCCGCTGGCGCCGCATC</t>
  </si>
  <si>
    <t xml:space="preserve">AAACGATGCGGCGCCAGCGGGCAA</t>
  </si>
  <si>
    <t xml:space="preserve">AAGTCCTACGGCCACCAACA</t>
  </si>
  <si>
    <t xml:space="preserve">TAGTAAGTCCTACGGCCACCAACA</t>
  </si>
  <si>
    <t xml:space="preserve">AAACTGTTGGTGGCCGTAGGACTT</t>
  </si>
  <si>
    <t xml:space="preserve">GAAGTACAGGGTGCCGCCCA</t>
  </si>
  <si>
    <t xml:space="preserve">TAGTGAAGTACAGGGTGCCGCCCA</t>
  </si>
  <si>
    <t xml:space="preserve">AAACTGGGCGGCACCCTGTACTTC</t>
  </si>
  <si>
    <t xml:space="preserve">PST_2582</t>
  </si>
  <si>
    <t xml:space="preserve">fliK</t>
  </si>
  <si>
    <t xml:space="preserve">GAGCAACAGGTCGGGGGAAA</t>
  </si>
  <si>
    <t xml:space="preserve">TAGTGAGCAACAGGTCGGGGGAAA</t>
  </si>
  <si>
    <t xml:space="preserve">AAACTTTCCCCCGACCTGTTGCTC</t>
  </si>
  <si>
    <t xml:space="preserve">GGGTCGCGCATCGACGGTCG</t>
  </si>
  <si>
    <t xml:space="preserve">TAGTGGGTCGCGCATCGACGGTCG</t>
  </si>
  <si>
    <t xml:space="preserve">AAACCGACCGTCGATGCGCGACCC</t>
  </si>
  <si>
    <t xml:space="preserve">GGCGCCTTGGCCGCGGCTTT</t>
  </si>
  <si>
    <t xml:space="preserve">TAGTGGCGCCTTGGCCGCGGCTTT</t>
  </si>
  <si>
    <t xml:space="preserve">AAACAAAGCCGCGGCCAAGGCGCC</t>
  </si>
  <si>
    <t xml:space="preserve">CGACCGTCGCGCGGCGTATC</t>
  </si>
  <si>
    <t xml:space="preserve">TAGTCGACCGTCGCGCGGCGTATC</t>
  </si>
  <si>
    <t xml:space="preserve">AAACGATACGCCGCGCGACGGTCG</t>
  </si>
  <si>
    <t xml:space="preserve">PST_2583</t>
  </si>
  <si>
    <t xml:space="preserve">GGCGCTGTCGAGATGAGCGT</t>
  </si>
  <si>
    <t xml:space="preserve">TAGTGGCGCTGTCGAGATGAGCGT</t>
  </si>
  <si>
    <t xml:space="preserve">AAACACGCTCATCTCGACAGCGCC</t>
  </si>
  <si>
    <t xml:space="preserve">ATCCTGCAGCGTGGCCAGCA</t>
  </si>
  <si>
    <t xml:space="preserve">TAGTATCCTGCAGCGTGGCCAGCA</t>
  </si>
  <si>
    <t xml:space="preserve">AAACTGCTGGCCACGCTGCAGGAT</t>
  </si>
  <si>
    <t xml:space="preserve">AGAAAGGTATCCAGCAGCGC</t>
  </si>
  <si>
    <t xml:space="preserve">TAGTAGAAAGGTATCCAGCAGCGC</t>
  </si>
  <si>
    <t xml:space="preserve">AAACGCGCTGCTGGATACCTTTCT</t>
  </si>
  <si>
    <t xml:space="preserve">CCGAACCCGCTCTTCGGAAT</t>
  </si>
  <si>
    <t xml:space="preserve">TAGTCCGAACCCGCTCTTCGGAAT</t>
  </si>
  <si>
    <t xml:space="preserve">AAACATTCCGAAGAGCGGGTTCGG</t>
  </si>
  <si>
    <t xml:space="preserve">PST_2584</t>
  </si>
  <si>
    <t xml:space="preserve">CGCTTCAAGACCATCGGCGG</t>
  </si>
  <si>
    <t xml:space="preserve">TAGTCGCTTCAAGACCATCGGCGG</t>
  </si>
  <si>
    <t xml:space="preserve">AAACCCGCCGATGGTCTTGAAGCG</t>
  </si>
  <si>
    <t xml:space="preserve">GCCTCGAAGCCATCCATCAG</t>
  </si>
  <si>
    <t xml:space="preserve">TAGTGCCTCGAAGCCATCCATCAG</t>
  </si>
  <si>
    <t xml:space="preserve">AAACCTGATGGATGGCTTCGAGGC</t>
  </si>
  <si>
    <t xml:space="preserve">GGCCAACTGTTTGATGCGCC</t>
  </si>
  <si>
    <t xml:space="preserve">TAGTGGCCAACTGTTTGATGCGCC</t>
  </si>
  <si>
    <t xml:space="preserve">AAACGGCGCATCAAACAGTTGGCC</t>
  </si>
  <si>
    <t xml:space="preserve">GATCGGCACCAGCTCATCGC</t>
  </si>
  <si>
    <t xml:space="preserve">TAGTGATCGGCACCAGCTCATCGC</t>
  </si>
  <si>
    <t xml:space="preserve">AAACGCGATGAGCTGGTGCCGATC</t>
  </si>
  <si>
    <t xml:space="preserve">PST_2585</t>
  </si>
  <si>
    <t xml:space="preserve">TGCCGAAGGCTGCGAGGTAA</t>
  </si>
  <si>
    <t xml:space="preserve">TAGTTGCCGAAGGCTGCGAGGTAA</t>
  </si>
  <si>
    <t xml:space="preserve">AAACTTACCTCGCAGCCTTCGGCA</t>
  </si>
  <si>
    <t xml:space="preserve">GAAGCGTCCGCTGATGGCTA</t>
  </si>
  <si>
    <t xml:space="preserve">TAGTGAAGCGTCCGCTGATGGCTA</t>
  </si>
  <si>
    <t xml:space="preserve">AAACTAGCCATCAGCGGACGCTTC</t>
  </si>
  <si>
    <t xml:space="preserve">ACGCTGGTAGGCGTCGCGGA</t>
  </si>
  <si>
    <t xml:space="preserve">TAGTACGCTGGTAGGCGTCGCGGA</t>
  </si>
  <si>
    <t xml:space="preserve">AAACTCCGCGACGCCTACCAGCGT</t>
  </si>
  <si>
    <t xml:space="preserve">GATTGACCACATAACGCTGC</t>
  </si>
  <si>
    <t xml:space="preserve">TAGTGATTGACCACATAACGCTGC</t>
  </si>
  <si>
    <t xml:space="preserve">AAACGCAGCGTTATGTGGTCAATC</t>
  </si>
  <si>
    <t xml:space="preserve">PST_2586</t>
  </si>
  <si>
    <t xml:space="preserve">fliJ</t>
  </si>
  <si>
    <t xml:space="preserve">CGCCAGGCGCGCCGCCCGAC</t>
  </si>
  <si>
    <t xml:space="preserve">TAGTCGCCAGGCGCGCCGCCCGAC</t>
  </si>
  <si>
    <t xml:space="preserve">AAACGTCGGGCGGCGCGCCTGGCG</t>
  </si>
  <si>
    <t xml:space="preserve">CGCTCGGCCATCTCGATGAC</t>
  </si>
  <si>
    <t xml:space="preserve">TAGTCGCTCGGCCATCTCGATGAC</t>
  </si>
  <si>
    <t xml:space="preserve">AAACGTCATCGAGATGGCCGAGCG</t>
  </si>
  <si>
    <t xml:space="preserve">CAACCGCGCGGCGTCGCGCT</t>
  </si>
  <si>
    <t xml:space="preserve">TAGTCAACCGCGCGGCGTCGCGCT</t>
  </si>
  <si>
    <t xml:space="preserve">AAACAGCGCGACGCCGCGCGGTTG</t>
  </si>
  <si>
    <t xml:space="preserve">GCCCTCGGCCTGCGTCAGCT</t>
  </si>
  <si>
    <t xml:space="preserve">TAGTGCCCTCGGCCTGCGTCAGCT</t>
  </si>
  <si>
    <t xml:space="preserve">AAACAGCTGACGCAGGCCGAGGGC</t>
  </si>
  <si>
    <t xml:space="preserve">PST_2587</t>
  </si>
  <si>
    <t xml:space="preserve">fliI</t>
  </si>
  <si>
    <t xml:space="preserve">TTCATAGGTTTCGAAACGTT</t>
  </si>
  <si>
    <t xml:space="preserve">TAGTTTCATAGGTTTCGAAACGTT</t>
  </si>
  <si>
    <t xml:space="preserve">AAACAACGTTTCGAAACCTATGAA</t>
  </si>
  <si>
    <t xml:space="preserve">CCCTCAAGCAGCGGTTGGCT</t>
  </si>
  <si>
    <t xml:space="preserve">TAGTCCCTCAAGCAGCGGTTGGCT</t>
  </si>
  <si>
    <t xml:space="preserve">AAACAGCCAACCGCTGCTTGAGGG</t>
  </si>
  <si>
    <t xml:space="preserve">GGCCGACCATGCGCAGCAGG</t>
  </si>
  <si>
    <t xml:space="preserve">TAGTGGCCGACCATGCGCAGCAGG</t>
  </si>
  <si>
    <t xml:space="preserve">AAACCCTGCTGCGCATGGTCGGCC</t>
  </si>
  <si>
    <t xml:space="preserve">GCCCCTCGGCCTCCAGTGTC</t>
  </si>
  <si>
    <t xml:space="preserve">TAGTGCCCCTCGGCCTCCAGTGTC</t>
  </si>
  <si>
    <t xml:space="preserve">AAACGACACTGGAGGCCGAGGGGC</t>
  </si>
  <si>
    <t xml:space="preserve">PST_2588</t>
  </si>
  <si>
    <t xml:space="preserve">fliH</t>
  </si>
  <si>
    <t xml:space="preserve">TCGCGCGAATGAGGTCGCTG</t>
  </si>
  <si>
    <t xml:space="preserve">TAGTTCGCGCGAATGAGGTCGCTG</t>
  </si>
  <si>
    <t xml:space="preserve">AAACCAGCGACCTCATTCGCGCGA</t>
  </si>
  <si>
    <t xml:space="preserve">GCAGCGACCAGCGATCGAAC</t>
  </si>
  <si>
    <t xml:space="preserve">TAGTGCAGCGACCAGCGATCGAAC</t>
  </si>
  <si>
    <t xml:space="preserve">AAACGTTCGATCGCTGGTCGCTGC</t>
  </si>
  <si>
    <t xml:space="preserve">TCGCCCTGCGGGTCGAAACT</t>
  </si>
  <si>
    <t xml:space="preserve">TAGTTCGCCCTGCGGGTCGAAACT</t>
  </si>
  <si>
    <t xml:space="preserve">AAACAGTTTCGACCCGCAGGGCGA</t>
  </si>
  <si>
    <t xml:space="preserve">TCCTCCACGCTGGGCGCTGA</t>
  </si>
  <si>
    <t xml:space="preserve">TAGTTCCTCCACGCTGGGCGCTGA</t>
  </si>
  <si>
    <t xml:space="preserve">AAACTCAGCGCCCAGCGTGGAGGA</t>
  </si>
  <si>
    <t xml:space="preserve">PST_2589</t>
  </si>
  <si>
    <t xml:space="preserve">fliG</t>
  </si>
  <si>
    <t xml:space="preserve">TCGACCTTGTTGAGCTTGGC</t>
  </si>
  <si>
    <t xml:space="preserve">TAGTTCGACCTTGTTGAGCTTGGC</t>
  </si>
  <si>
    <t xml:space="preserve">AAACGCCAAGCTCAACAAGGTCGA</t>
  </si>
  <si>
    <t xml:space="preserve">TCTCGCCCAGCGAGAGCAGC</t>
  </si>
  <si>
    <t xml:space="preserve">TAGTTCTCGCCCAGCGAGAGCAGC</t>
  </si>
  <si>
    <t xml:space="preserve">AAACGCTGCTCTCGCTGGGCGAGA</t>
  </si>
  <si>
    <t xml:space="preserve">GCGCAGCACCTGCGCCGCAT</t>
  </si>
  <si>
    <t xml:space="preserve">TAGTGCGCAGCACCTGCGCCGCAT</t>
  </si>
  <si>
    <t xml:space="preserve">AAACATGCGGCGCAGGTGCTGCGC</t>
  </si>
  <si>
    <t xml:space="preserve">GGACCTCTTTCGGACCGAGG</t>
  </si>
  <si>
    <t xml:space="preserve">TAGTGGACCTCTTTCGGACCGAGG</t>
  </si>
  <si>
    <t xml:space="preserve">AAACCCTCGGTCCGAAAGAGGTCC</t>
  </si>
  <si>
    <t xml:space="preserve">PST_2590</t>
  </si>
  <si>
    <t xml:space="preserve">fliF</t>
  </si>
  <si>
    <t xml:space="preserve">CCCTCGGGGGTTGCCGGCAC</t>
  </si>
  <si>
    <t xml:space="preserve">TAGTCCCTCGGGGGTTGCCGGCAC</t>
  </si>
  <si>
    <t xml:space="preserve">AAACGTGCCGGCAACCCCCGAGGG</t>
  </si>
  <si>
    <t xml:space="preserve">AAAGGTTTTCCAGGAACGAC</t>
  </si>
  <si>
    <t xml:space="preserve">TAGTAAAGGTTTTCCAGGAACGAC</t>
  </si>
  <si>
    <t xml:space="preserve">AAACGTCGTTCCTGGAAAACCTTT</t>
  </si>
  <si>
    <t xml:space="preserve">TGGCCGCCAGCCCGACCAAC</t>
  </si>
  <si>
    <t xml:space="preserve">TAGTTGGCCGCCAGCCCGACCAAC</t>
  </si>
  <si>
    <t xml:space="preserve">AAACGTTGGTCGGGCTGGCGGCCA</t>
  </si>
  <si>
    <t xml:space="preserve">GGCAAAACCCATCGCCACGC</t>
  </si>
  <si>
    <t xml:space="preserve">TAGTGGCAAAACCCATCGCCACGC</t>
  </si>
  <si>
    <t xml:space="preserve">AAACGCGTGGCGATGGGTTTTGCC</t>
  </si>
  <si>
    <t xml:space="preserve">PST_2591</t>
  </si>
  <si>
    <t xml:space="preserve">fliE</t>
  </si>
  <si>
    <t xml:space="preserve">CGCCATGGCATCGGTCTGCA</t>
  </si>
  <si>
    <t xml:space="preserve">TAGTCGCCATGGCATCGGTCTGCA</t>
  </si>
  <si>
    <t xml:space="preserve">AAACTGCAGACCGATGCCATGGCG</t>
  </si>
  <si>
    <t xml:space="preserve">CTGGGTCTGGACCTCCGGCT</t>
  </si>
  <si>
    <t xml:space="preserve">TAGTCTGGGTCTGGACCTCCGGCT</t>
  </si>
  <si>
    <t xml:space="preserve">AAACAGCCGGAGGTCCAGACCCAG</t>
  </si>
  <si>
    <t xml:space="preserve">CCGAGCATGTCGGAAAAGCT</t>
  </si>
  <si>
    <t xml:space="preserve">TAGTCCGAGCATGTCGGAAAAGCT</t>
  </si>
  <si>
    <t xml:space="preserve">AAACAGCTTTTCCGACATGCTCGG</t>
  </si>
  <si>
    <t xml:space="preserve">CGTGCACCTTGTTCACCGCC</t>
  </si>
  <si>
    <t xml:space="preserve">TAGTCGTGCACCTTGTTCACCGCC</t>
  </si>
  <si>
    <t xml:space="preserve">AAACGGCGGTGAACAAGGTGCACG</t>
  </si>
  <si>
    <t xml:space="preserve">PST_2592</t>
  </si>
  <si>
    <t xml:space="preserve">TTGGGCGTAACAGTCGGCAA</t>
  </si>
  <si>
    <t xml:space="preserve">TAGTTTGGGCGTAACAGTCGGCAA</t>
  </si>
  <si>
    <t xml:space="preserve">AAACTTGCCGACTGTTACGCCCAA</t>
  </si>
  <si>
    <t xml:space="preserve">CAGCGTCCCGGTACAGCCAA</t>
  </si>
  <si>
    <t xml:space="preserve">TAGTCAGCGTCCCGGTACAGCCAA</t>
  </si>
  <si>
    <t xml:space="preserve">AAACTTGGCTGTACCGGGACGCTG</t>
  </si>
  <si>
    <t xml:space="preserve">ACAAGCCTAGGGGGCTGCGC</t>
  </si>
  <si>
    <t xml:space="preserve">TAGTACAAGCCTAGGGGGCTGCGC</t>
  </si>
  <si>
    <t xml:space="preserve">AAACGCGCAGCCCCCTAGGCTTGT</t>
  </si>
  <si>
    <t xml:space="preserve">CCGACGGCTGCCGCGGCCTA</t>
  </si>
  <si>
    <t xml:space="preserve">TAGTCCGACGGCTGCCGCGGCCTA</t>
  </si>
  <si>
    <t xml:space="preserve">AAACTAGGCCGCGGCAGCCGTCGG</t>
  </si>
  <si>
    <t xml:space="preserve">PST_2593</t>
  </si>
  <si>
    <t xml:space="preserve">CGTCACCAGGGCGACCTGGC</t>
  </si>
  <si>
    <t xml:space="preserve">TAGTCGTCACCAGGGCGACCTGGC</t>
  </si>
  <si>
    <t xml:space="preserve">AAACGCCAGGTCGCCCTGGTGACG</t>
  </si>
  <si>
    <t xml:space="preserve">CGCCGTGGCGCGACCGATGC</t>
  </si>
  <si>
    <t xml:space="preserve">TAGTCGCCGTGGCGCGACCGATGC</t>
  </si>
  <si>
    <t xml:space="preserve">AAACGCATCGGTCGCGCCACGGCG</t>
  </si>
  <si>
    <t xml:space="preserve">TACCACCTTGAGCCCCTGCT</t>
  </si>
  <si>
    <t xml:space="preserve">TAGTTACCACCTTGAGCCCCTGCT</t>
  </si>
  <si>
    <t xml:space="preserve">AAACAGCAGGGGCTCAAGGTGGTA</t>
  </si>
  <si>
    <t xml:space="preserve">ACCCGCGGCGCGAATGGCCT</t>
  </si>
  <si>
    <t xml:space="preserve">TAGTACCCGCGGCGCGAATGGCCT</t>
  </si>
  <si>
    <t xml:space="preserve">AAACAGGCCATTCGCGCCGCGGGT</t>
  </si>
  <si>
    <t xml:space="preserve">PST_2594</t>
  </si>
  <si>
    <t xml:space="preserve">CAGGAATTGCTGGTTGAGCA</t>
  </si>
  <si>
    <t xml:space="preserve">TAGTCAGGAATTGCTGGTTGAGCA</t>
  </si>
  <si>
    <t xml:space="preserve">AAACTGCTCAACCAGCAATTCCTG</t>
  </si>
  <si>
    <t xml:space="preserve">TCGGTGCACCGACAGGTCGC</t>
  </si>
  <si>
    <t xml:space="preserve">TAGTTCGGTGCACCGACAGGTCGC</t>
  </si>
  <si>
    <t xml:space="preserve">AAACGCGACCTGTCGGTGCACCGA</t>
  </si>
  <si>
    <t xml:space="preserve">GACGAACTCGAAGGTCTCGC</t>
  </si>
  <si>
    <t xml:space="preserve">TAGTGACGAACTCGAAGGTCTCGC</t>
  </si>
  <si>
    <t xml:space="preserve">AAACGCGAGACCTTCGAGTTCGTC</t>
  </si>
  <si>
    <t xml:space="preserve">TTCGGTCCGGGCTCGCCCAG</t>
  </si>
  <si>
    <t xml:space="preserve">TAGTTTCGGTCCGGGCTCGCCCAG</t>
  </si>
  <si>
    <t xml:space="preserve">AAACCTGGGCGAGCCCGGACCGAA</t>
  </si>
  <si>
    <t xml:space="preserve">PST_2595</t>
  </si>
  <si>
    <t xml:space="preserve">pyrF</t>
  </si>
  <si>
    <t xml:space="preserve">TGTCATGGAATTTGAGGTCG</t>
  </si>
  <si>
    <t xml:space="preserve">TAGTTGTCATGGAATTTGAGGTCG</t>
  </si>
  <si>
    <t xml:space="preserve">AAACCGACCTCAAATTCCATGACA</t>
  </si>
  <si>
    <t xml:space="preserve">CCGCCATCGCCGTGGTGTTG</t>
  </si>
  <si>
    <t xml:space="preserve">TAGTCCGCCATCGCCGTGGTGTTG</t>
  </si>
  <si>
    <t xml:space="preserve">AAACCAACACCACGGCGATGGCGG</t>
  </si>
  <si>
    <t xml:space="preserve">CCACACACCCAGCTCGGCAG</t>
  </si>
  <si>
    <t xml:space="preserve">TAGTCCACACACCCAGCTCGGCAG</t>
  </si>
  <si>
    <t xml:space="preserve">AAACCTGCCGAGCTGGGTGTGTGG</t>
  </si>
  <si>
    <t xml:space="preserve">CGCCATCATCCGCAGGCCAC</t>
  </si>
  <si>
    <t xml:space="preserve">TAGTCGCCATCATCCGCAGGCCAC</t>
  </si>
  <si>
    <t xml:space="preserve">AAACGTGGCCTGCGGATGATGGCG</t>
  </si>
  <si>
    <t xml:space="preserve">PST_2596</t>
  </si>
  <si>
    <t xml:space="preserve">AGCCAGAAATACCAGGGCAT</t>
  </si>
  <si>
    <t xml:space="preserve">TAGTAGCCAGAAATACCAGGGCAT</t>
  </si>
  <si>
    <t xml:space="preserve">AAACATGCCCTGGTATTTCTGGCT</t>
  </si>
  <si>
    <t xml:space="preserve">GAGCGGAATTTTCCGGGCCG</t>
  </si>
  <si>
    <t xml:space="preserve">TAGTGAGCGGAATTTTCCGGGCCG</t>
  </si>
  <si>
    <t xml:space="preserve">AAACCGGCCCGGAAAATTCCGCTC</t>
  </si>
  <si>
    <t xml:space="preserve">AATACGCTTCTTCTGCTCGT</t>
  </si>
  <si>
    <t xml:space="preserve">TAGTAATACGCTTCTTCTGCTCGT</t>
  </si>
  <si>
    <t xml:space="preserve">AAACACGAGCAGAAGAAGCGTATT</t>
  </si>
  <si>
    <t xml:space="preserve">GTCGGCCTCGGCATTGCGCT</t>
  </si>
  <si>
    <t xml:space="preserve">TAGTGTCGGCCTCGGCATTGCGCT</t>
  </si>
  <si>
    <t xml:space="preserve">AAACAGCGCAATGCCGAGGCCGAC</t>
  </si>
  <si>
    <t xml:space="preserve">PST_2597</t>
  </si>
  <si>
    <t xml:space="preserve">GTCGGGCCGTCAACGGGGAG</t>
  </si>
  <si>
    <t xml:space="preserve">TAGTGTCGGGCCGTCAACGGGGAG</t>
  </si>
  <si>
    <t xml:space="preserve">AAACCTCCCCGTTGACGGCCCGAC</t>
  </si>
  <si>
    <t xml:space="preserve">GATCGCCTTGGCCTTCGGGT</t>
  </si>
  <si>
    <t xml:space="preserve">TAGTGATCGCCTTGGCCTTCGGGT</t>
  </si>
  <si>
    <t xml:space="preserve">AAACACCCGAAGGCCAAGGCGATC</t>
  </si>
  <si>
    <t xml:space="preserve">CATGCCGGGGAGAATGCGAC</t>
  </si>
  <si>
    <t xml:space="preserve">TAGTCATGCCGGGGAGAATGCGAC</t>
  </si>
  <si>
    <t xml:space="preserve">AAACGTCGCATTCTCCCCGGCATG</t>
  </si>
  <si>
    <t xml:space="preserve">GATATGAACGACCGCGAAAG</t>
  </si>
  <si>
    <t xml:space="preserve">TAGTGATATGAACGACCGCGAAAG</t>
  </si>
  <si>
    <t xml:space="preserve">AAACCTTTCGCGGTCGTTCATATC</t>
  </si>
  <si>
    <t xml:space="preserve">PST_2598</t>
  </si>
  <si>
    <t xml:space="preserve">AACAGGGGCGGCCTCGGCAT</t>
  </si>
  <si>
    <t xml:space="preserve">TAGTAACAGGGGCGGCCTCGGCAT</t>
  </si>
  <si>
    <t xml:space="preserve">AAACATGCCGAGGCCGCCCCTGTT</t>
  </si>
  <si>
    <t xml:space="preserve">GCGCTCGCATCCACCGAGCA</t>
  </si>
  <si>
    <t xml:space="preserve">TAGTGCGCTCGCATCCACCGAGCA</t>
  </si>
  <si>
    <t xml:space="preserve">AAACTGCTCGGTGGATGCGAGCGC</t>
  </si>
  <si>
    <t xml:space="preserve">GTTTCCCGTTCGGCATCCCG</t>
  </si>
  <si>
    <t xml:space="preserve">TAGTGTTTCCCGTTCGGCATCCCG</t>
  </si>
  <si>
    <t xml:space="preserve">AAACCGGGATGCCGAACGGGAAAC</t>
  </si>
  <si>
    <t xml:space="preserve">GCTGCCGGTTGCTGCGACTG</t>
  </si>
  <si>
    <t xml:space="preserve">TAGTGCTGCCGGTTGCTGCGACTG</t>
  </si>
  <si>
    <t xml:space="preserve">AAACCAGTCGCAGCAACCGGCAGC</t>
  </si>
  <si>
    <t xml:space="preserve">PST_2599</t>
  </si>
  <si>
    <t xml:space="preserve">GCGTTGATAGAGCAACAGAT</t>
  </si>
  <si>
    <t xml:space="preserve">TAGTGCGTTGATAGAGCAACAGAT</t>
  </si>
  <si>
    <t xml:space="preserve">AAACATCTGTTGCTCTATCAACGC</t>
  </si>
  <si>
    <t xml:space="preserve">GGATGTCCTCGGCGAGCTGC</t>
  </si>
  <si>
    <t xml:space="preserve">TAGTGGATGTCCTCGGCGAGCTGC</t>
  </si>
  <si>
    <t xml:space="preserve">AAACGCAGCTCGCCGAGGACATCC</t>
  </si>
  <si>
    <t xml:space="preserve">CAGGCCGATACACTCCGCGC</t>
  </si>
  <si>
    <t xml:space="preserve">TAGTCAGGCCGATACACTCCGCGC</t>
  </si>
  <si>
    <t xml:space="preserve">AAACGCGCGGAGTGTATCGGCCTG</t>
  </si>
  <si>
    <t xml:space="preserve">CGGCTCATCTTGCGCACCGA</t>
  </si>
  <si>
    <t xml:space="preserve">TAGTCGGCTCATCTTGCGCACCGA</t>
  </si>
  <si>
    <t xml:space="preserve">AAACTCGGTGCGCAAGATGAGCCG</t>
  </si>
  <si>
    <t xml:space="preserve">PST_2600</t>
  </si>
  <si>
    <t xml:space="preserve">GTGCGAGCGCGGCCATGACG</t>
  </si>
  <si>
    <t xml:space="preserve">TAGTGTGCGAGCGCGGCCATGACG</t>
  </si>
  <si>
    <t xml:space="preserve">AAACCGTCATGGCCGCGCTCGCAC</t>
  </si>
  <si>
    <t xml:space="preserve">AGTGTCCTGGCTCGAGCAGC</t>
  </si>
  <si>
    <t xml:space="preserve">TAGTAGTGTCCTGGCTCGAGCAGC</t>
  </si>
  <si>
    <t xml:space="preserve">AAACGCTGCTCGAGCCAGGACACT</t>
  </si>
  <si>
    <t xml:space="preserve">CTCCAGCGCGGCCGACGCCT</t>
  </si>
  <si>
    <t xml:space="preserve">TAGTCTCCAGCGCGGCCGACGCCT</t>
  </si>
  <si>
    <t xml:space="preserve">AAACAGGCGTCGGCCGCGCTGGAG</t>
  </si>
  <si>
    <t xml:space="preserve">AGCGCTCGCTGCAGGTCCTT</t>
  </si>
  <si>
    <t xml:space="preserve">TAGTAGCGCTCGCTGCAGGTCCTT</t>
  </si>
  <si>
    <t xml:space="preserve">AAACAAGGACCTGCAGCGAGCGCT</t>
  </si>
  <si>
    <t xml:space="preserve">PST_2601</t>
  </si>
  <si>
    <t xml:space="preserve">AGAAGGCCAGTGATGCGCTG</t>
  </si>
  <si>
    <t xml:space="preserve">TAGTAGAAGGCCAGTGATGCGCTG</t>
  </si>
  <si>
    <t xml:space="preserve">AAACCAGCGCATCACTGGCCTTCT</t>
  </si>
  <si>
    <t xml:space="preserve">TGCGGGATCGCTGGCACATC</t>
  </si>
  <si>
    <t xml:space="preserve">TAGTTGCGGGATCGCTGGCACATC</t>
  </si>
  <si>
    <t xml:space="preserve">AAACGATGTGCCAGCGATCCCGCA</t>
  </si>
  <si>
    <t xml:space="preserve">CTCAGCTGCAGCTGAGCGGT</t>
  </si>
  <si>
    <t xml:space="preserve">TAGTCTCAGCTGCAGCTGAGCGGT</t>
  </si>
  <si>
    <t xml:space="preserve">AAACACCGCTCAGCTGCAGCTGAG</t>
  </si>
  <si>
    <t xml:space="preserve">CATGGAGCGGGCCTGCGCCA</t>
  </si>
  <si>
    <t xml:space="preserve">TAGTCATGGAGCGGGCCTGCGCCA</t>
  </si>
  <si>
    <t xml:space="preserve">AAACTGGCGCAGGCCCGCTCCATG</t>
  </si>
  <si>
    <t xml:space="preserve">PST_2603</t>
  </si>
  <si>
    <t xml:space="preserve">TCCTCTTAGTGCGGTTGAGC</t>
  </si>
  <si>
    <t xml:space="preserve">TAGTTCCTCTTAGTGCGGTTGAGC</t>
  </si>
  <si>
    <t xml:space="preserve">AAACGCTCAACCGCACTAAGAGGA</t>
  </si>
  <si>
    <t xml:space="preserve">CAAGGCCGATTTCAACGCAA</t>
  </si>
  <si>
    <t xml:space="preserve">TAGTCAAGGCCGATTTCAACGCAA</t>
  </si>
  <si>
    <t xml:space="preserve">AAACTTGCGTTGAAATCGGCCTTG</t>
  </si>
  <si>
    <t xml:space="preserve">TGCCGTGAGCGGCGTCGCCA</t>
  </si>
  <si>
    <t xml:space="preserve">TAGTTGCCGTGAGCGGCGTCGCCA</t>
  </si>
  <si>
    <t xml:space="preserve">AAACTGGCGACGCCGCTCACGGCA</t>
  </si>
  <si>
    <t xml:space="preserve">CAGGCGATCACATTTTCCCG</t>
  </si>
  <si>
    <t xml:space="preserve">TAGTCAGGCGATCACATTTTCCCG</t>
  </si>
  <si>
    <t xml:space="preserve">AAACCGGGAAAATGTGATCGCCTG</t>
  </si>
  <si>
    <t xml:space="preserve">PST_2602</t>
  </si>
  <si>
    <t xml:space="preserve">AAAGAACCCGCTCATGTAGC</t>
  </si>
  <si>
    <t xml:space="preserve">TAGTAAAGAACCCGCTCATGTAGC</t>
  </si>
  <si>
    <t xml:space="preserve">AAACGCTACATGAGCGGGTTCTTT</t>
  </si>
  <si>
    <t xml:space="preserve">CGCGTCAAGGCGGACAACTC</t>
  </si>
  <si>
    <t xml:space="preserve">TAGTCGCGTCAAGGCGGACAACTC</t>
  </si>
  <si>
    <t xml:space="preserve">AAACGAGTTGTCCGCCTTGACGCG</t>
  </si>
  <si>
    <t xml:space="preserve">AGTGGTCGATTACAACGTCA</t>
  </si>
  <si>
    <t xml:space="preserve">TAGTAGTGGTCGATTACAACGTCA</t>
  </si>
  <si>
    <t xml:space="preserve">AAACTGACGTTGTAATCGACCACT</t>
  </si>
  <si>
    <t xml:space="preserve">PST_2606</t>
  </si>
  <si>
    <t xml:space="preserve">GCGGTTCGGCCGATTCTAAC</t>
  </si>
  <si>
    <t xml:space="preserve">TAGTGCGGTTCGGCCGATTCTAAC</t>
  </si>
  <si>
    <t xml:space="preserve">AAACGTTAGAATCGGCCGAACCGC</t>
  </si>
  <si>
    <t xml:space="preserve">TTGACCGCAGGCCGCAGACG</t>
  </si>
  <si>
    <t xml:space="preserve">TAGTTTGACCGCAGGCCGCAGACG</t>
  </si>
  <si>
    <t xml:space="preserve">AAACCGTCTGCGGCCTGCGGTCAA</t>
  </si>
  <si>
    <t xml:space="preserve">TCGATAGCCGCTGCCCTGTT</t>
  </si>
  <si>
    <t xml:space="preserve">TAGTTCGATAGCCGCTGCCCTGTT</t>
  </si>
  <si>
    <t xml:space="preserve">AAACAACAGGGCAGCGGCTATCGA</t>
  </si>
  <si>
    <t xml:space="preserve">CGAGCCTTGCTCGTGGCTTG</t>
  </si>
  <si>
    <t xml:space="preserve">TAGTCGAGCCTTGCTCGTGGCTTG</t>
  </si>
  <si>
    <t xml:space="preserve">AAACCAAGCCACGAGCAAGGCTCG</t>
  </si>
  <si>
    <t xml:space="preserve">PST_2607</t>
  </si>
  <si>
    <t xml:space="preserve">TGCGGATAGGCCTGCAGGGC</t>
  </si>
  <si>
    <t xml:space="preserve">TAGTTGCGGATAGGCCTGCAGGGC</t>
  </si>
  <si>
    <t xml:space="preserve">AAACGCCCTGCAGGCCTATCCGCA</t>
  </si>
  <si>
    <t xml:space="preserve">GGCTTTTTGCTTCAGGCGGC</t>
  </si>
  <si>
    <t xml:space="preserve">TAGTGGCTTTTTGCTTCAGGCGGC</t>
  </si>
  <si>
    <t xml:space="preserve">AAACGCCGCCTGAAGCAAAAAGCC</t>
  </si>
  <si>
    <t xml:space="preserve">GATTTCCTGACCAGCGTCGG</t>
  </si>
  <si>
    <t xml:space="preserve">TAGTGATTTCCTGACCAGCGTCGG</t>
  </si>
  <si>
    <t xml:space="preserve">AAACCCGACGCTGGTCAGGAAATC</t>
  </si>
  <si>
    <t xml:space="preserve">CAGGATATGGGCACCTACTT</t>
  </si>
  <si>
    <t xml:space="preserve">TAGTCAGGATATGGGCACCTACTT</t>
  </si>
  <si>
    <t xml:space="preserve">AAACAAGTAGGTGCCCATATCCTG</t>
  </si>
  <si>
    <t xml:space="preserve">PST_2608</t>
  </si>
  <si>
    <t xml:space="preserve">CTTCTCGCCCGCCGAGAGCT</t>
  </si>
  <si>
    <t xml:space="preserve">TAGTCTTCTCGCCCGCCGAGAGCT</t>
  </si>
  <si>
    <t xml:space="preserve">AAACAGCTCTCGGCGGGCGAGAAG</t>
  </si>
  <si>
    <t xml:space="preserve">GGGTTCCACAAATGCACCGG</t>
  </si>
  <si>
    <t xml:space="preserve">TAGTGGGTTCCACAAATGCACCGG</t>
  </si>
  <si>
    <t xml:space="preserve">AAACCCGGTGCATTTGTGGAACCC</t>
  </si>
  <si>
    <t xml:space="preserve">CGAGGTCGCCGCAGAATGGC</t>
  </si>
  <si>
    <t xml:space="preserve">TAGTCGAGGTCGCCGCAGAATGGC</t>
  </si>
  <si>
    <t xml:space="preserve">AAACGCCATTCTGCGGCGACCTCG</t>
  </si>
  <si>
    <t xml:space="preserve">AGGCGTGCCCTGGTAAAACC</t>
  </si>
  <si>
    <t xml:space="preserve">TAGTAGGCGTGCCCTGGTAAAACC</t>
  </si>
  <si>
    <t xml:space="preserve">AAACGGTTTTACCAGGGCACGCCT</t>
  </si>
  <si>
    <t xml:space="preserve">PST_2609</t>
  </si>
  <si>
    <t xml:space="preserve">ACGCCAGATCGGCCAGCCGA</t>
  </si>
  <si>
    <t xml:space="preserve">TAGTACGCCAGATCGGCCAGCCGA</t>
  </si>
  <si>
    <t xml:space="preserve">AAACTCGGCTGGCCGATCTGGCGT</t>
  </si>
  <si>
    <t xml:space="preserve">AGAGGCCGGTGTCGGAAAAC</t>
  </si>
  <si>
    <t xml:space="preserve">TAGTAGAGGCCGGTGTCGGAAAAC</t>
  </si>
  <si>
    <t xml:space="preserve">AAACGTTTTCCGACACCGGCCTCT</t>
  </si>
  <si>
    <t xml:space="preserve">CACGCTTAATAGAAAACGCA</t>
  </si>
  <si>
    <t xml:space="preserve">TAGTCACGCTTAATAGAAAACGCA</t>
  </si>
  <si>
    <t xml:space="preserve">AAACTGCGTTTTCTATTAAGCGTG</t>
  </si>
  <si>
    <t xml:space="preserve">GCAAGCAATGCCAGCAAACC</t>
  </si>
  <si>
    <t xml:space="preserve">TAGTGCAAGCAATGCCAGCAAACC</t>
  </si>
  <si>
    <t xml:space="preserve">AAACGGTTTGCTGGCATTGCTTGC</t>
  </si>
  <si>
    <t xml:space="preserve">PST_2610</t>
  </si>
  <si>
    <t xml:space="preserve">ACCGGCTCGATATAGCGGAC</t>
  </si>
  <si>
    <t xml:space="preserve">TAGTACCGGCTCGATATAGCGGAC</t>
  </si>
  <si>
    <t xml:space="preserve">AAACGTCCGCTATATCGAGCCGGT</t>
  </si>
  <si>
    <t xml:space="preserve">AATGCGCTTCGCTCGGCGGC</t>
  </si>
  <si>
    <t xml:space="preserve">TAGTAATGCGCTTCGCTCGGCGGC</t>
  </si>
  <si>
    <t xml:space="preserve">AAACGCCGCCGAGCGAAGCGCATT</t>
  </si>
  <si>
    <t xml:space="preserve">AACAGCCGTTGGTCACCGGC</t>
  </si>
  <si>
    <t xml:space="preserve">TAGTAACAGCCGTTGGTCACCGGC</t>
  </si>
  <si>
    <t xml:space="preserve">AAACGCCGGTGACCAACGGCTGTT</t>
  </si>
  <si>
    <t xml:space="preserve">GTACATCTCGCAGAACGTGC</t>
  </si>
  <si>
    <t xml:space="preserve">TAGTGTACATCTCGCAGAACGTGC</t>
  </si>
  <si>
    <t xml:space="preserve">AAACGCACGTTCTGCGAGATGTAC</t>
  </si>
  <si>
    <t xml:space="preserve">PST_2611</t>
  </si>
  <si>
    <t xml:space="preserve">TTACGGGGTTCATTCTGCAT</t>
  </si>
  <si>
    <t xml:space="preserve">TAGTTTACGGGGTTCATTCTGCAT</t>
  </si>
  <si>
    <t xml:space="preserve">AAACATGCAGAATGAACCCCGTAA</t>
  </si>
  <si>
    <t xml:space="preserve">GTTCGCGGCGACGAAATTCG</t>
  </si>
  <si>
    <t xml:space="preserve">TAGTGTTCGCGGCGACGAAATTCG</t>
  </si>
  <si>
    <t xml:space="preserve">AAACCGAATTTCGTCGCCGCGAAC</t>
  </si>
  <si>
    <t xml:space="preserve">AGAGCTGCAACGCGGTATCG</t>
  </si>
  <si>
    <t xml:space="preserve">TAGTAGAGCTGCAACGCGGTATCG</t>
  </si>
  <si>
    <t xml:space="preserve">AAACCGATACCGCGTTGCAGCTCT</t>
  </si>
  <si>
    <t xml:space="preserve">CCGTGACGCTATCCTCTCCC</t>
  </si>
  <si>
    <t xml:space="preserve">TAGTCCGTGACGCTATCCTCTCCC</t>
  </si>
  <si>
    <t xml:space="preserve">AAACGGGAGAGGATAGCGTCACGG</t>
  </si>
  <si>
    <t xml:space="preserve">PST_2612</t>
  </si>
  <si>
    <t xml:space="preserve">TCGTCATTTATGTGAATCAT</t>
  </si>
  <si>
    <t xml:space="preserve">TAGTTCGTCATTTATGTGAATCAT</t>
  </si>
  <si>
    <t xml:space="preserve">AAACATGATTCACATAAATGACGA</t>
  </si>
  <si>
    <t xml:space="preserve">TATCGCAAACCGACTATTTG</t>
  </si>
  <si>
    <t xml:space="preserve">TAGTTATCGCAAACCGACTATTTG</t>
  </si>
  <si>
    <t xml:space="preserve">AAACCAAATAGTCGGTTTGCGATA</t>
  </si>
  <si>
    <t xml:space="preserve">CTGGCGGCTCGCCGAGGCCA</t>
  </si>
  <si>
    <t xml:space="preserve">TAGTCTGGCGGCTCGCCGAGGCCA</t>
  </si>
  <si>
    <t xml:space="preserve">AAACTGGCCTCGGCGAGCCGCCAG</t>
  </si>
  <si>
    <t xml:space="preserve">CTGCTCGGCAAAGGCACTGA</t>
  </si>
  <si>
    <t xml:space="preserve">TAGTCTGCTCGGCAAAGGCACTGA</t>
  </si>
  <si>
    <t xml:space="preserve">AAACTCAGTGCCTTTGCCGAGCAG</t>
  </si>
  <si>
    <t xml:space="preserve">PST_2613</t>
  </si>
  <si>
    <t xml:space="preserve">aroP1</t>
  </si>
  <si>
    <t xml:space="preserve">CCCGGTGTGCAGCGTCTCAG</t>
  </si>
  <si>
    <t xml:space="preserve">TAGTCCCGGTGTGCAGCGTCTCAG</t>
  </si>
  <si>
    <t xml:space="preserve">AAACCTGAGACGCTGCACACCGGG</t>
  </si>
  <si>
    <t xml:space="preserve">TTTTTCAGGCCTCGTTGCAA</t>
  </si>
  <si>
    <t xml:space="preserve">TAGTTTTTTCAGGCCTCGTTGCAA</t>
  </si>
  <si>
    <t xml:space="preserve">AAACTTGCAACGAGGCCTGAAAAA</t>
  </si>
  <si>
    <t xml:space="preserve">GGGCAATCAGCTGGATATGG</t>
  </si>
  <si>
    <t xml:space="preserve">TAGTGGGCAATCAGCTGGATATGG</t>
  </si>
  <si>
    <t xml:space="preserve">AAACCCATATCCAGCTGATTGCCC</t>
  </si>
  <si>
    <t xml:space="preserve">GGTGCCGATCGCCCCGCCCA</t>
  </si>
  <si>
    <t xml:space="preserve">TAGTGGTGCCGATCGCCCCGCCCA</t>
  </si>
  <si>
    <t xml:space="preserve">AAACTGGGCGGGGCGATCGGCACC</t>
  </si>
  <si>
    <t xml:space="preserve">PST_2614</t>
  </si>
  <si>
    <t xml:space="preserve">ACAGTGGGAATCTACCAGCA</t>
  </si>
  <si>
    <t xml:space="preserve">TAGTACAGTGGGAATCTACCAGCA</t>
  </si>
  <si>
    <t xml:space="preserve">AAACTGCTGGTAGATTCCCACTGT</t>
  </si>
  <si>
    <t xml:space="preserve">CGGTCAGGTCGAGTCGGTCA</t>
  </si>
  <si>
    <t xml:space="preserve">TAGTCGGTCAGGTCGAGTCGGTCA</t>
  </si>
  <si>
    <t xml:space="preserve">AAACTGACCGACTCGACCTGACCG</t>
  </si>
  <si>
    <t xml:space="preserve">ATCGAGCGACCCGTCATGGG</t>
  </si>
  <si>
    <t xml:space="preserve">TAGTATCGAGCGACCCGTCATGGG</t>
  </si>
  <si>
    <t xml:space="preserve">AAACCCCATGACGGGTCGCTCGAT</t>
  </si>
  <si>
    <t xml:space="preserve">GTGTCCGACCCCTCGCGCTC</t>
  </si>
  <si>
    <t xml:space="preserve">TAGTGTGTCCGACCCCTCGCGCTC</t>
  </si>
  <si>
    <t xml:space="preserve">AAACGAGCGCGAGGGGTCGGACAC</t>
  </si>
  <si>
    <t xml:space="preserve">PST_2615</t>
  </si>
  <si>
    <t xml:space="preserve">pilZ</t>
  </si>
  <si>
    <t xml:space="preserve">GCGGACCAAGATTTGCTGGC</t>
  </si>
  <si>
    <t xml:space="preserve">TAGTGCGGACCAAGATTTGCTGGC</t>
  </si>
  <si>
    <t xml:space="preserve">AAACGCCAGCAAATCTTGGTCCGC</t>
  </si>
  <si>
    <t xml:space="preserve">TGTCCTTGATGGTCAGGGAC</t>
  </si>
  <si>
    <t xml:space="preserve">TAGTTGTCCTTGATGGTCAGGGAC</t>
  </si>
  <si>
    <t xml:space="preserve">AAACGTCCCTGACCATCAAGGACA</t>
  </si>
  <si>
    <t xml:space="preserve">CTTGATGAAGGGCATGAACG</t>
  </si>
  <si>
    <t xml:space="preserve">TAGTCTTGATGAAGGGCATGAACG</t>
  </si>
  <si>
    <t xml:space="preserve">AAACCGTTCATGCCCTTCATCAAG</t>
  </si>
  <si>
    <t xml:space="preserve">AGCTTGTAGCTCTTGTTGGT</t>
  </si>
  <si>
    <t xml:space="preserve">TAGTAGCTTGTAGCTCTTGTTGGT</t>
  </si>
  <si>
    <t xml:space="preserve">AAACACCAACAAGAGCTACAAGCT</t>
  </si>
  <si>
    <t xml:space="preserve">PST_2616</t>
  </si>
  <si>
    <t xml:space="preserve">holB</t>
  </si>
  <si>
    <t xml:space="preserve">CGCCAGAGATCGACCTGCCA</t>
  </si>
  <si>
    <t xml:space="preserve">TAGTCGCCAGAGATCGACCTGCCA</t>
  </si>
  <si>
    <t xml:space="preserve">AAACTGGCAGGTCGATCTCTGGCG</t>
  </si>
  <si>
    <t xml:space="preserve">GGCGGGCCCATGCAGCAGGT</t>
  </si>
  <si>
    <t xml:space="preserve">TAGTGGCGGGCCCATGCAGCAGGT</t>
  </si>
  <si>
    <t xml:space="preserve">AAACACCTGCTGCATGGGCCCGCC</t>
  </si>
  <si>
    <t xml:space="preserve">CAGCAGCCGTTTGCCGATGC</t>
  </si>
  <si>
    <t xml:space="preserve">TAGTCAGCAGCCGTTTGCCGATGC</t>
  </si>
  <si>
    <t xml:space="preserve">AAACGCATCGGCAAACGGCTGCTG</t>
  </si>
  <si>
    <t xml:space="preserve">CGCGGGCCTCGACCGGACGC</t>
  </si>
  <si>
    <t xml:space="preserve">TAGTCGCGGGCCTCGACCGGACGC</t>
  </si>
  <si>
    <t xml:space="preserve">AAACGCGTCCGGTCGAGGCCCGCG</t>
  </si>
  <si>
    <t xml:space="preserve">PST_2617</t>
  </si>
  <si>
    <t xml:space="preserve">tmk</t>
  </si>
  <si>
    <t xml:space="preserve">AGCGCCTTCGGGGCCTTCGA</t>
  </si>
  <si>
    <t xml:space="preserve">TAGTAGCGCCTTCGGGGCCTTCGA</t>
  </si>
  <si>
    <t xml:space="preserve">AAACTCGAAGGCCCCGAAGGCGCT</t>
  </si>
  <si>
    <t xml:space="preserve">GTGCCCGCAGGCGTTCGGCG</t>
  </si>
  <si>
    <t xml:space="preserve">TAGTGTGCCCGCAGGCGTTCGGCG</t>
  </si>
  <si>
    <t xml:space="preserve">AAACCGCCGAACGCCTGCGGGCAC</t>
  </si>
  <si>
    <t xml:space="preserve">TGGCGTGCCCCCGGGCTCTC</t>
  </si>
  <si>
    <t xml:space="preserve">TAGTTGGCGTGCCCCCGGGCTCTC</t>
  </si>
  <si>
    <t xml:space="preserve">AAACGAGAGCCCGGGGGCACGCCA</t>
  </si>
  <si>
    <t xml:space="preserve">TCACGAATGCGCTCGGCCAG</t>
  </si>
  <si>
    <t xml:space="preserve">TAGTTCACGAATGCGCTCGGCCAG</t>
  </si>
  <si>
    <t xml:space="preserve">AAACCTGGCCGAGCGCATTCGTGA</t>
  </si>
  <si>
    <t xml:space="preserve">PST_2618</t>
  </si>
  <si>
    <t xml:space="preserve">GCAGCAAGGCAAGAAGTTTA</t>
  </si>
  <si>
    <t xml:space="preserve">TAGTGCAGCAAGGCAAGAAGTTTA</t>
  </si>
  <si>
    <t xml:space="preserve">AAACTAAACTTCTTGCCTTGCTGC</t>
  </si>
  <si>
    <t xml:space="preserve">CAGCGCAGCATGCTGTTTCC</t>
  </si>
  <si>
    <t xml:space="preserve">TAGTCAGCGCAGCATGCTGTTTCC</t>
  </si>
  <si>
    <t xml:space="preserve">AAACGGAAACAGCATGCTGCGCTG</t>
  </si>
  <si>
    <t xml:space="preserve">GCCTCATCGGTGACAGCCAA</t>
  </si>
  <si>
    <t xml:space="preserve">TAGTGCCTCATCGGTGACAGCCAA</t>
  </si>
  <si>
    <t xml:space="preserve">AAACTTGGCTGTCACCGATGAGGC</t>
  </si>
  <si>
    <t xml:space="preserve">ACACCGCTGGGCGTATCGCC</t>
  </si>
  <si>
    <t xml:space="preserve">TAGTACACCGCTGGGCGTATCGCC</t>
  </si>
  <si>
    <t xml:space="preserve">AAACGGCGATACGCCCAGCGGTGT</t>
  </si>
  <si>
    <t xml:space="preserve">PST_2619</t>
  </si>
  <si>
    <t xml:space="preserve">pabC</t>
  </si>
  <si>
    <t xml:space="preserve">TGAACGGGCAGTCCATCGGC</t>
  </si>
  <si>
    <t xml:space="preserve">TAGTTGAACGGGCAGTCCATCGGC</t>
  </si>
  <si>
    <t xml:space="preserve">AAACGCCGATGGACTGCCCGTTCA</t>
  </si>
  <si>
    <t xml:space="preserve">TTCGAACAACCCGTCGCCAT</t>
  </si>
  <si>
    <t xml:space="preserve">TAGTTTCGAACAACCCGTCGCCAT</t>
  </si>
  <si>
    <t xml:space="preserve">AAACATGGCGACGGGTTGTTCGAA</t>
  </si>
  <si>
    <t xml:space="preserve">GCGCCCGGCCGCCCGTCACG</t>
  </si>
  <si>
    <t xml:space="preserve">TAGTGCGCCCGGCCGCCCGTCACG</t>
  </si>
  <si>
    <t xml:space="preserve">AAACCGTGACGGGCGGCCGGGCGC</t>
  </si>
  <si>
    <t xml:space="preserve">GGCGCTGCGCGCCTTCGGCC</t>
  </si>
  <si>
    <t xml:space="preserve">TAGTGGCGCTGCGCGCCTTCGGCC</t>
  </si>
  <si>
    <t xml:space="preserve">AAACGGCCGAAGGCGCGCAGCGCC</t>
  </si>
  <si>
    <t xml:space="preserve">PST_2620</t>
  </si>
  <si>
    <t xml:space="preserve">fabF</t>
  </si>
  <si>
    <t xml:space="preserve">CTTGGCACATCGTTACCCAG</t>
  </si>
  <si>
    <t xml:space="preserve">TAGTCTTGGCACATCGTTACCCAG</t>
  </si>
  <si>
    <t xml:space="preserve">AAACCTGGGTAACGATGTGCCAAG</t>
  </si>
  <si>
    <t xml:space="preserve">AAAGATCCATGTGCTCGATC</t>
  </si>
  <si>
    <t xml:space="preserve">TAGTAAAGATCCATGTGCTCGATC</t>
  </si>
  <si>
    <t xml:space="preserve">AAACGATCGAGCACATGGATCTTT</t>
  </si>
  <si>
    <t xml:space="preserve">CCCGCCAAAACGAGTGGAGT</t>
  </si>
  <si>
    <t xml:space="preserve">TAGTCCCGCCAAAACGAGTGGAGT</t>
  </si>
  <si>
    <t xml:space="preserve">AAACACTCCACTCGTTTTGGCGGG</t>
  </si>
  <si>
    <t xml:space="preserve">AGCTTGCGAGCTTCCTTCGC</t>
  </si>
  <si>
    <t xml:space="preserve">TAGTAGCTTGCGAGCTTCCTTCGC</t>
  </si>
  <si>
    <t xml:space="preserve">AAACGCGAAGGAAGCTCGCAAGCT</t>
  </si>
  <si>
    <t xml:space="preserve">PST_2621</t>
  </si>
  <si>
    <t xml:space="preserve">acpP</t>
  </si>
  <si>
    <t xml:space="preserve">TTTCTTGACGCGTTCTTCGA</t>
  </si>
  <si>
    <t xml:space="preserve">TAGTTTTCTTGACGCGTTCTTCGA</t>
  </si>
  <si>
    <t xml:space="preserve">AAACTCGAAGAACGCGTCAAGAAA</t>
  </si>
  <si>
    <t xml:space="preserve">TTCTTTAACGCCAAGTTGCT</t>
  </si>
  <si>
    <t xml:space="preserve">TAGTTTCTTTAACGCCAAGTTGCT</t>
  </si>
  <si>
    <t xml:space="preserve">AAACAGCAACTTGGCGTTAAAGAA</t>
  </si>
  <si>
    <t xml:space="preserve">TTCGACGAAGGAAGCGCTGT</t>
  </si>
  <si>
    <t xml:space="preserve">TAGTTTCGACGAAGGAAGCGCTGT</t>
  </si>
  <si>
    <t xml:space="preserve">AAACACAGCGCTTCCTTCGTCGAA</t>
  </si>
  <si>
    <t xml:space="preserve">TGTCAAGAGAGTCGGCACCC</t>
  </si>
  <si>
    <t xml:space="preserve">TAGTTGTCAAGAGAGTCGGCACCC</t>
  </si>
  <si>
    <t xml:space="preserve">AAACGGGTGCCGACTCTCTTGACA</t>
  </si>
  <si>
    <t xml:space="preserve">PST_2622</t>
  </si>
  <si>
    <t xml:space="preserve">CAATGGCCTGGCCGATCCCG</t>
  </si>
  <si>
    <t xml:space="preserve">TAGTCAATGGCCTGGCCGATCCCG</t>
  </si>
  <si>
    <t xml:space="preserve">AAACCGGGATCGGCCAGGCCATTG</t>
  </si>
  <si>
    <t xml:space="preserve">GCCCTGACGACCCAGCTCAA</t>
  </si>
  <si>
    <t xml:space="preserve">TAGTGCCCTGACGACCCAGCTCAA</t>
  </si>
  <si>
    <t xml:space="preserve">AAACTTGAGCTGGGTCGTCAGGGC</t>
  </si>
  <si>
    <t xml:space="preserve">ACGCTCAGCACCAGACGATG</t>
  </si>
  <si>
    <t xml:space="preserve">TAGTACGCTCAGCACCAGACGATG</t>
  </si>
  <si>
    <t xml:space="preserve">AAACCATCGTCTGGTGCTGAGCGT</t>
  </si>
  <si>
    <t xml:space="preserve">GCCGTTGTTCTTCAGCGTTT</t>
  </si>
  <si>
    <t xml:space="preserve">TAGTGCCGTTGTTCTTCAGCGTTT</t>
  </si>
  <si>
    <t xml:space="preserve">AAACAAACGCTGAAGAACAACGGC</t>
  </si>
  <si>
    <t xml:space="preserve">PST_2623</t>
  </si>
  <si>
    <t xml:space="preserve">AAAGACGAAAGCGAGTGATG</t>
  </si>
  <si>
    <t xml:space="preserve">TAGTAAAGACGAAAGCGAGTGATG</t>
  </si>
  <si>
    <t xml:space="preserve">AAACCATCACTCGCTTTCGTCTTT</t>
  </si>
  <si>
    <t xml:space="preserve">AGCGATTGCGAACCCTGACC</t>
  </si>
  <si>
    <t xml:space="preserve">TAGTAGCGATTGCGAACCCTGACC</t>
  </si>
  <si>
    <t xml:space="preserve">AAACGGTCAGGGTTCGCAATCGCT</t>
  </si>
  <si>
    <t xml:space="preserve">GTGCTGCTGAGCACCAAGCT</t>
  </si>
  <si>
    <t xml:space="preserve">TAGTGTGCTGCTGAGCACCAAGCT</t>
  </si>
  <si>
    <t xml:space="preserve">AAACAGCTTGGTGCTCAGCAGCAC</t>
  </si>
  <si>
    <t xml:space="preserve">CGCAGCGGACGCTTCGGCGA</t>
  </si>
  <si>
    <t xml:space="preserve">TAGTCGCAGCGGACGCTTCGGCGA</t>
  </si>
  <si>
    <t xml:space="preserve">AAACTCGCCGAAGCGTCCGCTGCG</t>
  </si>
  <si>
    <t xml:space="preserve">PST_2624</t>
  </si>
  <si>
    <t xml:space="preserve">plsX</t>
  </si>
  <si>
    <t xml:space="preserve">CTGGCCGGAACAATGCAGTG</t>
  </si>
  <si>
    <t xml:space="preserve">TAGTCTGGCCGGAACAATGCAGTG</t>
  </si>
  <si>
    <t xml:space="preserve">AAACCACTGCATTGTTCCGGCCAG</t>
  </si>
  <si>
    <t xml:space="preserve">GGTTTTCAGCCAGGCAGGAA</t>
  </si>
  <si>
    <t xml:space="preserve">TAGTGGTTTTCAGCCAGGCAGGAA</t>
  </si>
  <si>
    <t xml:space="preserve">AAACTTCCTGCCTGGCTGAAAACC</t>
  </si>
  <si>
    <t xml:space="preserve">CGAGGACCAGATGCAGCGAG</t>
  </si>
  <si>
    <t xml:space="preserve">TAGTCGAGGACCAGATGCAGCGAG</t>
  </si>
  <si>
    <t xml:space="preserve">AAACCTCGCTGCATCTGGTCCTCG</t>
  </si>
  <si>
    <t xml:space="preserve">GCTGTTCGAGTAGAGAGGAT</t>
  </si>
  <si>
    <t xml:space="preserve">TAGTGCTGTTCGAGTAGAGAGGAT</t>
  </si>
  <si>
    <t xml:space="preserve">AAACATCCTCTCTACTCGAACAGC</t>
  </si>
  <si>
    <t xml:space="preserve">PST_2625</t>
  </si>
  <si>
    <t xml:space="preserve">rpmF</t>
  </si>
  <si>
    <t xml:space="preserve">ACGCATGTCACGGGCGGAAC</t>
  </si>
  <si>
    <t xml:space="preserve">TAGTACGCATGTCACGGGCGGAAC</t>
  </si>
  <si>
    <t xml:space="preserve">AAACGTTCCGCCCGTGACATGCGT</t>
  </si>
  <si>
    <t xml:space="preserve">TTTTCCACGGACAGAGCGTT</t>
  </si>
  <si>
    <t xml:space="preserve">TAGTTTTTCCACGGACAGAGCGTT</t>
  </si>
  <si>
    <t xml:space="preserve">AAACAACGCTCTGTCCGTGGAAAA</t>
  </si>
  <si>
    <t xml:space="preserve">GTGACGCAGGTGAACTTCAC</t>
  </si>
  <si>
    <t xml:space="preserve">TAGTGTGACGCAGGTGAACTTCAC</t>
  </si>
  <si>
    <t xml:space="preserve">AAACGTGAAGTTCACCTGCGTCAC</t>
  </si>
  <si>
    <t xml:space="preserve">AGAAACCGTCCGGGGAAACG</t>
  </si>
  <si>
    <t xml:space="preserve">TAGTAGAAACCGTCCGGGGAAACG</t>
  </si>
  <si>
    <t xml:space="preserve">AAACCGTTTCCCCGGACGGTTTCT</t>
  </si>
  <si>
    <t xml:space="preserve">PST_2626</t>
  </si>
  <si>
    <t xml:space="preserve">GGATCTACGTGCGGAGGTAT</t>
  </si>
  <si>
    <t xml:space="preserve">TAGTGGATCTACGTGCGGAGGTAT</t>
  </si>
  <si>
    <t xml:space="preserve">AAACATACCTCCGCACGTAGATCC</t>
  </si>
  <si>
    <t xml:space="preserve">GCTCGGTCTGCGAGCTTGCG</t>
  </si>
  <si>
    <t xml:space="preserve">TAGTGCTCGGTCTGCGAGCTTGCG</t>
  </si>
  <si>
    <t xml:space="preserve">AAACCGCAAGCTCGCAGACCGAGC</t>
  </si>
  <si>
    <t xml:space="preserve">CTGCAGCGCACCCTCAAGAG</t>
  </si>
  <si>
    <t xml:space="preserve">TAGTCTGCAGCGCACCCTCAAGAG</t>
  </si>
  <si>
    <t xml:space="preserve">AAACCTCTTGAGGGTGCGCTGCAG</t>
  </si>
  <si>
    <t xml:space="preserve">CTGATCATCTTCGAGAGGAT</t>
  </si>
  <si>
    <t xml:space="preserve">TAGTCTGATCATCTTCGAGAGGAT</t>
  </si>
  <si>
    <t xml:space="preserve">AAACATCCTCTCGAAGATGATCAG</t>
  </si>
  <si>
    <t xml:space="preserve">PST_2627</t>
  </si>
  <si>
    <t xml:space="preserve">maf-1</t>
  </si>
  <si>
    <t xml:space="preserve">AGCTAGATGCGAGAAGCAGG</t>
  </si>
  <si>
    <t xml:space="preserve">TAGTAGCTAGATGCGAGAAGCAGG</t>
  </si>
  <si>
    <t xml:space="preserve">AAACCCTGCTTCTCGCATCTAGCT</t>
  </si>
  <si>
    <t xml:space="preserve">GCAGGCGGGACAGCAGTTCC</t>
  </si>
  <si>
    <t xml:space="preserve">TAGTGCAGGCGGGACAGCAGTTCC</t>
  </si>
  <si>
    <t xml:space="preserve">AAACGGAACTGCTGTCCCGCCTGC</t>
  </si>
  <si>
    <t xml:space="preserve">TCCGGTGCGCAGCTGGTGAA</t>
  </si>
  <si>
    <t xml:space="preserve">TAGTTCCGGTGCGCAGCTGGTGAA</t>
  </si>
  <si>
    <t xml:space="preserve">AAACTTCACCAGCTGCGCACCGGA</t>
  </si>
  <si>
    <t xml:space="preserve">TCGGCTGTCTCGTCTGGTAA</t>
  </si>
  <si>
    <t xml:space="preserve">TAGTTCGGCTGTCTCGTCTGGTAA</t>
  </si>
  <si>
    <t xml:space="preserve">AAACTTACCAGACGAGACAGCCGA</t>
  </si>
  <si>
    <t xml:space="preserve">PST_2628</t>
  </si>
  <si>
    <t xml:space="preserve">sppA</t>
  </si>
  <si>
    <t xml:space="preserve">TCGTCCTTGGACTCATCCAC</t>
  </si>
  <si>
    <t xml:space="preserve">TAGTTCGTCCTTGGACTCATCCAC</t>
  </si>
  <si>
    <t xml:space="preserve">AAACGTGGATGAGTCCAAGGACGA</t>
  </si>
  <si>
    <t xml:space="preserve">CTCCTGAACGCCCGCAAGCA</t>
  </si>
  <si>
    <t xml:space="preserve">TAGTCTCCTGAACGCCCGCAAGCA</t>
  </si>
  <si>
    <t xml:space="preserve">AAACTGCTTGCGGGCGTTCAGGAG</t>
  </si>
  <si>
    <t xml:space="preserve">CCTTTCCCTAGCTGCAGCGC</t>
  </si>
  <si>
    <t xml:space="preserve">TAGTCCTTTCCCTAGCTGCAGCGC</t>
  </si>
  <si>
    <t xml:space="preserve">AAACGCGCTGCAGCTAGGGAAAGG</t>
  </si>
  <si>
    <t xml:space="preserve">GCACGTTGATCACCGCGGTA</t>
  </si>
  <si>
    <t xml:space="preserve">TAGTGCACGTTGATCACCGCGGTA</t>
  </si>
  <si>
    <t xml:space="preserve">AAACTACCGCGGTGATCAACGTGC</t>
  </si>
  <si>
    <t xml:space="preserve">PST_2629</t>
  </si>
  <si>
    <t xml:space="preserve">ACGCCCGATCGAATCGACCA</t>
  </si>
  <si>
    <t xml:space="preserve">TAGTACGCCCGATCGAATCGACCA</t>
  </si>
  <si>
    <t xml:space="preserve">AAACTGGTCGATTCGATCGGGCGT</t>
  </si>
  <si>
    <t xml:space="preserve">CACAGGACCGAGCTGCAACA</t>
  </si>
  <si>
    <t xml:space="preserve">TAGTCACAGGACCGAGCTGCAACA</t>
  </si>
  <si>
    <t xml:space="preserve">AAACTGTTGCAGCTCGGTCCTGTG</t>
  </si>
  <si>
    <t xml:space="preserve">CCGTGTCGTCGACTTGCGGC</t>
  </si>
  <si>
    <t xml:space="preserve">TAGTCCGTGTCGTCGACTTGCGGC</t>
  </si>
  <si>
    <t xml:space="preserve">AAACGCCGCAAGTCGACGACACGG</t>
  </si>
  <si>
    <t xml:space="preserve">TACAGCACCTCGACGGCCTC</t>
  </si>
  <si>
    <t xml:space="preserve">TAGTTACAGCACCTCGACGGCCTC</t>
  </si>
  <si>
    <t xml:space="preserve">AAACGAGGCCGTCGAGGTGCTGTA</t>
  </si>
  <si>
    <t xml:space="preserve">PST_2630</t>
  </si>
  <si>
    <t xml:space="preserve">rluC</t>
  </si>
  <si>
    <t xml:space="preserve">CCGGCCTGTAGCTTGTACTC</t>
  </si>
  <si>
    <t xml:space="preserve">TAGTCCGGCCTGTAGCTTGTACTC</t>
  </si>
  <si>
    <t xml:space="preserve">AAACGAGTACAAGCTACAGGCCGG</t>
  </si>
  <si>
    <t xml:space="preserve">CGCTCGGCCAGACGCAACGG</t>
  </si>
  <si>
    <t xml:space="preserve">TAGTCGCTCGGCCAGACGCAACGG</t>
  </si>
  <si>
    <t xml:space="preserve">AAACCCGTTGCGTCTGGCCGAGCG</t>
  </si>
  <si>
    <t xml:space="preserve">AGCCCCTGAGCCAGCGGCTC</t>
  </si>
  <si>
    <t xml:space="preserve">TAGTAGCCCCTGAGCCAGCGGCTC</t>
  </si>
  <si>
    <t xml:space="preserve">AAACGAGCCGCTGGCTCAGGGGCT</t>
  </si>
  <si>
    <t xml:space="preserve">CGCCTTGTCCTCGTAGACGA</t>
  </si>
  <si>
    <t xml:space="preserve">TAGTCGCCTTGTCCTCGTAGACGA</t>
  </si>
  <si>
    <t xml:space="preserve">AAACTCGTCTACGAGGACAAGGCG</t>
  </si>
  <si>
    <t xml:space="preserve">PST_2631</t>
  </si>
  <si>
    <t xml:space="preserve">rne</t>
  </si>
  <si>
    <t xml:space="preserve">TGGCATCCGGAAACGGCGTT</t>
  </si>
  <si>
    <t xml:space="preserve">TAGTTGGCATCCGGAAACGGCGTT</t>
  </si>
  <si>
    <t xml:space="preserve">AAACAACGCCGTTTCCGGATGCCA</t>
  </si>
  <si>
    <t xml:space="preserve">TGTAGTACCGTCGGTTTCCG</t>
  </si>
  <si>
    <t xml:space="preserve">TAGTTGTAGTACCGTCGGTTTCCG</t>
  </si>
  <si>
    <t xml:space="preserve">AAACCGGAAACCGACGGTACTACA</t>
  </si>
  <si>
    <t xml:space="preserve">AGTGCGACACGCAACTCTTC</t>
  </si>
  <si>
    <t xml:space="preserve">TAGTAGTGCGACACGCAACTCTTC</t>
  </si>
  <si>
    <t xml:space="preserve">AAACGAAGAGTTGCGTGTCGCACT</t>
  </si>
  <si>
    <t xml:space="preserve">TGTCCAGATCAAACAGGCGT</t>
  </si>
  <si>
    <t xml:space="preserve">TAGTTGTCCAGATCAAACAGGCGT</t>
  </si>
  <si>
    <t xml:space="preserve">AAACACGCCTGTTTGATCTGGACA</t>
  </si>
  <si>
    <t xml:space="preserve">PST_2632</t>
  </si>
  <si>
    <t xml:space="preserve">murB</t>
  </si>
  <si>
    <t xml:space="preserve">AGCGGTTTGCTTCTATGGTG</t>
  </si>
  <si>
    <t xml:space="preserve">TAGTAGCGGTTTGCTTCTATGGTG</t>
  </si>
  <si>
    <t xml:space="preserve">AAACCACCATAGAAGCAAACCGCT</t>
  </si>
  <si>
    <t xml:space="preserve">AAAGGTGTTGAATGGCTTGA</t>
  </si>
  <si>
    <t xml:space="preserve">TAGTAAAGGTGTTGAATGGCTTGA</t>
  </si>
  <si>
    <t xml:space="preserve">AAACTCAAGCCATTCAACACCTTT</t>
  </si>
  <si>
    <t xml:space="preserve">ATATTGGGCACGCTGGTCTA</t>
  </si>
  <si>
    <t xml:space="preserve">TAGTATATTGGGCACGCTGGTCTA</t>
  </si>
  <si>
    <t xml:space="preserve">AAACTAGACCAGCGTGCCCAATAT</t>
  </si>
  <si>
    <t xml:space="preserve">ATCGGCATCACTGTGCGCCT</t>
  </si>
  <si>
    <t xml:space="preserve">TAGTATCGGCATCACTGTGCGCCT</t>
  </si>
  <si>
    <t xml:space="preserve">AAACAGGCGCACAGTGATGCCGAT</t>
  </si>
  <si>
    <t xml:space="preserve">PST_2633</t>
  </si>
  <si>
    <t xml:space="preserve">CACCCTCGGCCGTGGGCGAA</t>
  </si>
  <si>
    <t xml:space="preserve">TAGTCACCCTCGGCCGTGGGCGAA</t>
  </si>
  <si>
    <t xml:space="preserve">AAACTTCGCCCACGGCCGAGGGTG</t>
  </si>
  <si>
    <t xml:space="preserve">GGCCGGCCTGCTCGATCCGC</t>
  </si>
  <si>
    <t xml:space="preserve">TAGTGGCCGGCCTGCTCGATCCGC</t>
  </si>
  <si>
    <t xml:space="preserve">AAACGCGGATCGAGCAGGCCGGCC</t>
  </si>
  <si>
    <t xml:space="preserve">GACATGCCAGTCGCCGGTTC</t>
  </si>
  <si>
    <t xml:space="preserve">TAGTGACATGCCAGTCGCCGGTTC</t>
  </si>
  <si>
    <t xml:space="preserve">AAACGAACCGGCGACTGGCATGTC</t>
  </si>
  <si>
    <t xml:space="preserve">GCCTCGCACGCCCGCTTGTC</t>
  </si>
  <si>
    <t xml:space="preserve">TAGTGCCTCGCACGCCCGCTTGTC</t>
  </si>
  <si>
    <t xml:space="preserve">AAACGACAAGCGGGCGTGCGAGGC</t>
  </si>
  <si>
    <t xml:space="preserve">PST_2634</t>
  </si>
  <si>
    <t xml:space="preserve">kdsB</t>
  </si>
  <si>
    <t xml:space="preserve">GACGATGCGCTGATCATCGG</t>
  </si>
  <si>
    <t xml:space="preserve">TAGTGACGATGCGCTGATCATCGG</t>
  </si>
  <si>
    <t xml:space="preserve">AAACCCGATGATCAGCGCATCGTC</t>
  </si>
  <si>
    <t xml:space="preserve">CTCTGCGCCAAACGCTGTGC</t>
  </si>
  <si>
    <t xml:space="preserve">TAGTCTCTGCGCCAAACGCTGTGC</t>
  </si>
  <si>
    <t xml:space="preserve">AAACGCACAGCGTTTGGCGCAGAG</t>
  </si>
  <si>
    <t xml:space="preserve">GCCGGAGTTATGCTCTGCGC</t>
  </si>
  <si>
    <t xml:space="preserve">TAGTGCCGGAGTTATGCTCTGCGC</t>
  </si>
  <si>
    <t xml:space="preserve">AAACGCGCAGAGCATAACTCCGGC</t>
  </si>
  <si>
    <t xml:space="preserve">GGCCACCTCGGCCAAACGAT</t>
  </si>
  <si>
    <t xml:space="preserve">TAGTGGCCACCTCGGCCAAACGAT</t>
  </si>
  <si>
    <t xml:space="preserve">AAACATCGTTTGGCCGAGGTGGCC</t>
  </si>
  <si>
    <t xml:space="preserve">PST_2635</t>
  </si>
  <si>
    <t xml:space="preserve">GGCCAGAATGTCGAGCAGTT</t>
  </si>
  <si>
    <t xml:space="preserve">TAGTGGCCAGAATGTCGAGCAGTT</t>
  </si>
  <si>
    <t xml:space="preserve">AAACAACTGCTCGACATTCTGGCC</t>
  </si>
  <si>
    <t xml:space="preserve">CGGCCCCTTGCATAGTGGGC</t>
  </si>
  <si>
    <t xml:space="preserve">TAGTCGGCCCCTTGCATAGTGGGC</t>
  </si>
  <si>
    <t xml:space="preserve">AAACGCCCACTATGCAAGGGGCCG</t>
  </si>
  <si>
    <t xml:space="preserve">TTGTCCTCGGCGAGCTTCAA</t>
  </si>
  <si>
    <t xml:space="preserve">TAGTTTGTCCTCGGCGAGCTTCAA</t>
  </si>
  <si>
    <t xml:space="preserve">AAACTTGAAGCTCGCCGAGGACAA</t>
  </si>
  <si>
    <t xml:space="preserve">CACGGGAAAGGCCAGGCCAT</t>
  </si>
  <si>
    <t xml:space="preserve">TAGTCACGGGAAAGGCCAGGCCAT</t>
  </si>
  <si>
    <t xml:space="preserve">AAACATGGCCTGGCCTTTCCCGTG</t>
  </si>
  <si>
    <t xml:space="preserve">PST_2636</t>
  </si>
  <si>
    <t xml:space="preserve">lpxK</t>
  </si>
  <si>
    <t xml:space="preserve">ACGTTGCAGGCGCTCGGCGA</t>
  </si>
  <si>
    <t xml:space="preserve">TAGTACGTTGCAGGCGCTCGGCGA</t>
  </si>
  <si>
    <t xml:space="preserve">AAACTCGCCGAGCGCCTGCAACGT</t>
  </si>
  <si>
    <t xml:space="preserve">AGCCGGATGCCCCTGATACC</t>
  </si>
  <si>
    <t xml:space="preserve">TAGTAGCCGGATGCCCCTGATACC</t>
  </si>
  <si>
    <t xml:space="preserve">AAACGGTATCAGGGGCATCCGGCT</t>
  </si>
  <si>
    <t xml:space="preserve">TCGCCGGTACAGCAGCTCCA</t>
  </si>
  <si>
    <t xml:space="preserve">TAGTTCGCCGGTACAGCAGCTCCA</t>
  </si>
  <si>
    <t xml:space="preserve">AAACTGGAGCTGCTGTACCGGCGA</t>
  </si>
  <si>
    <t xml:space="preserve">TCGGATCTTCGAGGAAACGC</t>
  </si>
  <si>
    <t xml:space="preserve">TAGTTCGGATCTTCGAGGAAACGC</t>
  </si>
  <si>
    <t xml:space="preserve">AAACGCGTTTCCTCGAAGATCCGA</t>
  </si>
  <si>
    <t xml:space="preserve">PST_2637</t>
  </si>
  <si>
    <t xml:space="preserve">CGTTCTCCCGGGGTTTGCGA</t>
  </si>
  <si>
    <t xml:space="preserve">TAGTCGTTCTCCCGGGGTTTGCGA</t>
  </si>
  <si>
    <t xml:space="preserve">AAACTCGCAAACCCCGGGAGAACG</t>
  </si>
  <si>
    <t xml:space="preserve">ATGAACACCACGTCGATCAG</t>
  </si>
  <si>
    <t xml:space="preserve">TAGTATGAACACCACGTCGATCAG</t>
  </si>
  <si>
    <t xml:space="preserve">AAACCTGATCGACGTGGTGTTCAT</t>
  </si>
  <si>
    <t xml:space="preserve">TGACCACGAAGAACAGGAGC</t>
  </si>
  <si>
    <t xml:space="preserve">TAGTTGACCACGAAGAACAGGAGC</t>
  </si>
  <si>
    <t xml:space="preserve">AAACGCTCCTGTTCTTCGTGGTCA</t>
  </si>
  <si>
    <t xml:space="preserve">CGTTTCACGGGTGAAGGTGG</t>
  </si>
  <si>
    <t xml:space="preserve">TAGTCGTTTCACGGGTGAAGGTGG</t>
  </si>
  <si>
    <t xml:space="preserve">AAACCCACCTTCACCCGTGAAACG</t>
  </si>
  <si>
    <t xml:space="preserve">PST_2638</t>
  </si>
  <si>
    <t xml:space="preserve">GCGATGGAACACAGGATGAT</t>
  </si>
  <si>
    <t xml:space="preserve">TAGTGCGATGGAACACAGGATGAT</t>
  </si>
  <si>
    <t xml:space="preserve">AAACATCATCCTGTGTTCCATCGC</t>
  </si>
  <si>
    <t xml:space="preserve">GCGCTCGGCGATGATGCCGG</t>
  </si>
  <si>
    <t xml:space="preserve">TAGTGCGCTCGGCGATGATGCCGG</t>
  </si>
  <si>
    <t xml:space="preserve">AAACCCGGCATCATCGCCGAGCGC</t>
  </si>
  <si>
    <t xml:space="preserve">GGCTCGGACGCAGCGTCCAT</t>
  </si>
  <si>
    <t xml:space="preserve">TAGTGGCTCGGACGCAGCGTCCAT</t>
  </si>
  <si>
    <t xml:space="preserve">AAACATGGACGCTGCGTCCGAGCC</t>
  </si>
  <si>
    <t xml:space="preserve">GCAGGTGCGGAGGTGTGACA</t>
  </si>
  <si>
    <t xml:space="preserve">TAGTGCAGGTGCGGAGGTGTGACA</t>
  </si>
  <si>
    <t xml:space="preserve">AAACTGTCACACCTCCGCACCTGC</t>
  </si>
  <si>
    <t xml:space="preserve">PST_2639</t>
  </si>
  <si>
    <t xml:space="preserve">GCGTGGCAGGACCAGACCCG</t>
  </si>
  <si>
    <t xml:space="preserve">TAGTGCGTGGCAGGACCAGACCCG</t>
  </si>
  <si>
    <t xml:space="preserve">AAACCGGGTCTGGTCCTGCCACGC</t>
  </si>
  <si>
    <t xml:space="preserve">ACTGCGCGGGCAAGGCAGGA</t>
  </si>
  <si>
    <t xml:space="preserve">TAGTACTGCGCGGGCAAGGCAGGA</t>
  </si>
  <si>
    <t xml:space="preserve">AAACTCCTGCCTTGCCCGCGCAGT</t>
  </si>
  <si>
    <t xml:space="preserve">CCACCCAGCGGTGACGCAGC</t>
  </si>
  <si>
    <t xml:space="preserve">TAGTCCACCCAGCGGTGACGCAGC</t>
  </si>
  <si>
    <t xml:space="preserve">AAACGCTGCGTCACCGCTGGGTGG</t>
  </si>
  <si>
    <t xml:space="preserve">AAGCCCAGCAGAAACAAGCC</t>
  </si>
  <si>
    <t xml:space="preserve">TAGTAAGCCCAGCAGAAACAAGCC</t>
  </si>
  <si>
    <t xml:space="preserve">AAACGGCTTGTTTCTGCTGGGCTT</t>
  </si>
  <si>
    <t xml:space="preserve">PST_2640</t>
  </si>
  <si>
    <t xml:space="preserve">TAGCGTTTGAAAAAACGACG</t>
  </si>
  <si>
    <t xml:space="preserve">TAGTTAGCGTTTGAAAAAACGACG</t>
  </si>
  <si>
    <t xml:space="preserve">AAACCGTCGTTTTTTCAAACGCTA</t>
  </si>
  <si>
    <t xml:space="preserve">GTCTTGATGCGATCGGGGTG</t>
  </si>
  <si>
    <t xml:space="preserve">TAGTGTCTTGATGCGATCGGGGTG</t>
  </si>
  <si>
    <t xml:space="preserve">AAACCACCCCGATCGCATCAAGAC</t>
  </si>
  <si>
    <t xml:space="preserve">CAGCGCGCCGAGAAAACGCA</t>
  </si>
  <si>
    <t xml:space="preserve">TAGTCAGCGCGCCGAGAAAACGCA</t>
  </si>
  <si>
    <t xml:space="preserve">AAACTGCGTTTTCTCGGCGCGCTG</t>
  </si>
  <si>
    <t xml:space="preserve">CGATTGAGATGCCAGAGATT</t>
  </si>
  <si>
    <t xml:space="preserve">TAGTCGATTGAGATGCCAGAGATT</t>
  </si>
  <si>
    <t xml:space="preserve">AAACAATCTCTGGCATCTCAATCG</t>
  </si>
  <si>
    <t xml:space="preserve">PST_2641</t>
  </si>
  <si>
    <t xml:space="preserve">lolE</t>
  </si>
  <si>
    <t xml:space="preserve">GGAAGCCATTCATCACCGAC</t>
  </si>
  <si>
    <t xml:space="preserve">TAGTGGAAGCCATTCATCACCGAC</t>
  </si>
  <si>
    <t xml:space="preserve">AAACGTCGGTGATGAATGGCTTCC</t>
  </si>
  <si>
    <t xml:space="preserve">TCCGCGCGCTCATTTCACGC</t>
  </si>
  <si>
    <t xml:space="preserve">TAGTTCCGCGCGCTCATTTCACGC</t>
  </si>
  <si>
    <t xml:space="preserve">AAACGCGTGAAATGAGCGCGCGGA</t>
  </si>
  <si>
    <t xml:space="preserve">TCACCGATGACCGTCGCGTG</t>
  </si>
  <si>
    <t xml:space="preserve">TAGTTCACCGATGACCGTCGCGTG</t>
  </si>
  <si>
    <t xml:space="preserve">AAACCACGCGACGGTCATCGGTGA</t>
  </si>
  <si>
    <t xml:space="preserve">ACCGCCTGCCAGTCATCCAG</t>
  </si>
  <si>
    <t xml:space="preserve">TAGTACCGCCTGCCAGTCATCCAG</t>
  </si>
  <si>
    <t xml:space="preserve">AAACCTGGATGACTGGCAGGCGGT</t>
  </si>
  <si>
    <t xml:space="preserve">PST_2642</t>
  </si>
  <si>
    <t xml:space="preserve">CCTGCTCGTAGCGCTTGCCC</t>
  </si>
  <si>
    <t xml:space="preserve">TAGTCCTGCTCGTAGCGCTTGCCC</t>
  </si>
  <si>
    <t xml:space="preserve">AAACGGGCAAGCGCTACGAGCAGG</t>
  </si>
  <si>
    <t xml:space="preserve">ACAGGACCTCCACCGATTCG</t>
  </si>
  <si>
    <t xml:space="preserve">TAGTACAGGACCTCCACCGATTCG</t>
  </si>
  <si>
    <t xml:space="preserve">AAACCGAATCGGTGGAGGTCCTGT</t>
  </si>
  <si>
    <t xml:space="preserve">GAACAGTTCAAGTTGCAGCC</t>
  </si>
  <si>
    <t xml:space="preserve">TAGTGAACAGTTCAAGTTGCAGCC</t>
  </si>
  <si>
    <t xml:space="preserve">AAACGGCTGCAACTTGAACTGTTC</t>
  </si>
  <si>
    <t xml:space="preserve">CGATGGCCACGCGCTGCCCG</t>
  </si>
  <si>
    <t xml:space="preserve">TAGTCGATGGCCACGCGCTGCCCG</t>
  </si>
  <si>
    <t xml:space="preserve">AAACCGGGCAGCGCGTGGCCATCG</t>
  </si>
  <si>
    <t xml:space="preserve">PST_2644</t>
  </si>
  <si>
    <t xml:space="preserve">lolC</t>
  </si>
  <si>
    <t xml:space="preserve">GATCGACGGGTTCGCTGGCG</t>
  </si>
  <si>
    <t xml:space="preserve">TAGTGATCGACGGGTTCGCTGGCG</t>
  </si>
  <si>
    <t xml:space="preserve">AAACCGCCAGCGAACCCGTCGATC</t>
  </si>
  <si>
    <t xml:space="preserve">GCCCCGATGTACACGGACAG</t>
  </si>
  <si>
    <t xml:space="preserve">TAGTGCCCCGATGTACACGGACAG</t>
  </si>
  <si>
    <t xml:space="preserve">AAACCTGTCCGTGTACATCGGGGC</t>
  </si>
  <si>
    <t xml:space="preserve">GACGAAGAGACTGCGACGTC</t>
  </si>
  <si>
    <t xml:space="preserve">TAGTGACGAAGAGACTGCGACGTC</t>
  </si>
  <si>
    <t xml:space="preserve">AAACGACGTCGCAGTCTCTTCGTC</t>
  </si>
  <si>
    <t xml:space="preserve">CATGGATGTCAGGGAAATGA</t>
  </si>
  <si>
    <t xml:space="preserve">TAGTCATGGATGTCAGGGAAATGA</t>
  </si>
  <si>
    <t xml:space="preserve">AAACTCATTTCCCTGACATCCATG</t>
  </si>
  <si>
    <t xml:space="preserve">PST_2643</t>
  </si>
  <si>
    <t xml:space="preserve">CCAGAGTGTATCAGGCCCCG</t>
  </si>
  <si>
    <t xml:space="preserve">TAGTCCAGAGTGTATCAGGCCCCG</t>
  </si>
  <si>
    <t xml:space="preserve">AAACCGGGGCCTGATACACTCTGG</t>
  </si>
  <si>
    <t xml:space="preserve">CGATACCCGGGTAGCGTTGA</t>
  </si>
  <si>
    <t xml:space="preserve">TAGTCGATACCCGGGTAGCGTTGA</t>
  </si>
  <si>
    <t xml:space="preserve">AAACTCAACGCTACCCGGGTATCG</t>
  </si>
  <si>
    <t xml:space="preserve">TTCAGTGTCTTGTGTCGGCA</t>
  </si>
  <si>
    <t xml:space="preserve">TAGTTTCAGTGTCTTGTGTCGGCA</t>
  </si>
  <si>
    <t xml:space="preserve">AAACTGCCGACACAAGACACTGAA</t>
  </si>
  <si>
    <t xml:space="preserve">CCTCGATACGGTAGTATTCG</t>
  </si>
  <si>
    <t xml:space="preserve">TAGTCCTCGATACGGTAGTATTCG</t>
  </si>
  <si>
    <t xml:space="preserve">AAACCGAATACTACCGTATCGAGG</t>
  </si>
  <si>
    <t xml:space="preserve">PST_2645</t>
  </si>
  <si>
    <t xml:space="preserve">AGGGTCGCCAGGCGGCGCAT</t>
  </si>
  <si>
    <t xml:space="preserve">TAGTAGGGTCGCCAGGCGGCGCAT</t>
  </si>
  <si>
    <t xml:space="preserve">AAACATGCGCCGCCTGGCGACCCT</t>
  </si>
  <si>
    <t xml:space="preserve">TGAATGTCAGTGTGAACAGC</t>
  </si>
  <si>
    <t xml:space="preserve">TAGTTGAATGTCAGTGTGAACAGC</t>
  </si>
  <si>
    <t xml:space="preserve">AAACGCTGTTCACACTGACATTCA</t>
  </si>
  <si>
    <t xml:space="preserve">ATTTCTTCGGCGAACAGCGA</t>
  </si>
  <si>
    <t xml:space="preserve">TAGTATTTCTTCGGCGAACAGCGA</t>
  </si>
  <si>
    <t xml:space="preserve">AAACTCGCTGTTCGCCGAAGAAAT</t>
  </si>
  <si>
    <t xml:space="preserve">GGCTGGCCTTGCTGGCCGAC</t>
  </si>
  <si>
    <t xml:space="preserve">TAGTGGCTGGCCTTGCTGGCCGAC</t>
  </si>
  <si>
    <t xml:space="preserve">AAACGTCGGCCAGCAAGGCCAGCC</t>
  </si>
  <si>
    <t xml:space="preserve">PST_2646</t>
  </si>
  <si>
    <t xml:space="preserve">CTTCGCCCTTGGCGCCGCGG</t>
  </si>
  <si>
    <t xml:space="preserve">TAGTCTTCGCCCTTGGCGCCGCGG</t>
  </si>
  <si>
    <t xml:space="preserve">AAACCCGCGGCGCCAAGGGCGAAG</t>
  </si>
  <si>
    <t xml:space="preserve">AAGCTCGCCAGGGTGTTCTC</t>
  </si>
  <si>
    <t xml:space="preserve">TAGTAAGCTCGCCAGGGTGTTCTC</t>
  </si>
  <si>
    <t xml:space="preserve">AAACGAGAACACCCTGGCGAGCTT</t>
  </si>
  <si>
    <t xml:space="preserve">AGCGGCGTACGCCATGCTGC</t>
  </si>
  <si>
    <t xml:space="preserve">TAGTAGCGGCGTACGCCATGCTGC</t>
  </si>
  <si>
    <t xml:space="preserve">AAACGCAGCATGGCGTACGCCGCT</t>
  </si>
  <si>
    <t xml:space="preserve">CGCCATCGCGGGATAGGTGC</t>
  </si>
  <si>
    <t xml:space="preserve">TAGTCGCCATCGCGGGATAGGTGC</t>
  </si>
  <si>
    <t xml:space="preserve">AAACGCACCTATCCCGCGATGGCG</t>
  </si>
  <si>
    <t xml:space="preserve">PST_2647</t>
  </si>
  <si>
    <t xml:space="preserve">sthA</t>
  </si>
  <si>
    <t xml:space="preserve">ATCGCCGCGCCCTCCCCGGC</t>
  </si>
  <si>
    <t xml:space="preserve">TAGTATCGCCGCGCCCTCCCCGGC</t>
  </si>
  <si>
    <t xml:space="preserve">AAACGCCGGGGAGGGCGCGGCGAT</t>
  </si>
  <si>
    <t xml:space="preserve">GACCTTGCGTCCCGCCTTGA</t>
  </si>
  <si>
    <t xml:space="preserve">TAGTGACCTTGCGTCCCGCCTTGA</t>
  </si>
  <si>
    <t xml:space="preserve">AAACTCAAGGCGGGACGCAAGGTC</t>
  </si>
  <si>
    <t xml:space="preserve">CAGCGGACGGTTGTCTACCA</t>
  </si>
  <si>
    <t xml:space="preserve">TAGTCAGCGGACGGTTGTCTACCA</t>
  </si>
  <si>
    <t xml:space="preserve">AAACTGGTAGACAACCGTCCGCTG</t>
  </si>
  <si>
    <t xml:space="preserve">CCTTGGACGGGATGGTGCCC</t>
  </si>
  <si>
    <t xml:space="preserve">TAGTCCTTGGACGGGATGGTGCCC</t>
  </si>
  <si>
    <t xml:space="preserve">AAACGGGCACCATCCCGTCCAAGG</t>
  </si>
  <si>
    <t xml:space="preserve">PST_2648</t>
  </si>
  <si>
    <t xml:space="preserve">CACCAGGAAAACCAGTAACC</t>
  </si>
  <si>
    <t xml:space="preserve">TAGTCACCAGGAAAACCAGTAACC</t>
  </si>
  <si>
    <t xml:space="preserve">AAACGGTTACTGGTTTTCCTGGTG</t>
  </si>
  <si>
    <t xml:space="preserve">GCGCCCCATGATCACGCCGA</t>
  </si>
  <si>
    <t xml:space="preserve">TAGTGCGCCCCATGATCACGCCGA</t>
  </si>
  <si>
    <t xml:space="preserve">AAACTCGGCGTGATCATGGGGCGC</t>
  </si>
  <si>
    <t xml:space="preserve">CCACCGCACGACCCTGCGAT</t>
  </si>
  <si>
    <t xml:space="preserve">TAGTCCACCGCACGACCCTGCGAT</t>
  </si>
  <si>
    <t xml:space="preserve">AAACATCGCAGGGTCGTGCGGTGG</t>
  </si>
  <si>
    <t xml:space="preserve">TTCCTTCTCGATGCCCAGAT</t>
  </si>
  <si>
    <t xml:space="preserve">TAGTTTCCTTCTCGATGCCCAGAT</t>
  </si>
  <si>
    <t xml:space="preserve">AAACATCTGGGCATCGAGAAGGAA</t>
  </si>
  <si>
    <t xml:space="preserve">PST_2649</t>
  </si>
  <si>
    <t xml:space="preserve">CAATGGATCTGAGTGAAGCT</t>
  </si>
  <si>
    <t xml:space="preserve">TAGTCAATGGATCTGAGTGAAGCT</t>
  </si>
  <si>
    <t xml:space="preserve">AAACAGCTTCACTCAGATCCATTG</t>
  </si>
  <si>
    <t xml:space="preserve">GAGCGACAGCGATGACGGGC</t>
  </si>
  <si>
    <t xml:space="preserve">TAGTGAGCGACAGCGATGACGGGC</t>
  </si>
  <si>
    <t xml:space="preserve">AAACGCCCGTCATCGCTGTCGCTC</t>
  </si>
  <si>
    <t xml:space="preserve">CTGAAACAGACAGCCCGTCA</t>
  </si>
  <si>
    <t xml:space="preserve">TAGTCTGAAACAGACAGCCCGTCA</t>
  </si>
  <si>
    <t xml:space="preserve">AAACTGACGGGCTGTCTGTTTCAG</t>
  </si>
  <si>
    <t xml:space="preserve">GCCCATGGTCGGCCCGGTGA</t>
  </si>
  <si>
    <t xml:space="preserve">TAGTGCCCATGGTCGGCCCGGTGA</t>
  </si>
  <si>
    <t xml:space="preserve">AAACTCACCGGGCCGACCATGGGC</t>
  </si>
  <si>
    <t xml:space="preserve">PST_2650</t>
  </si>
  <si>
    <t xml:space="preserve">nqrF</t>
  </si>
  <si>
    <t xml:space="preserve">CGGTGAACATACCGATGGCG</t>
  </si>
  <si>
    <t xml:space="preserve">TAGTCGGTGAACATACCGATGGCG</t>
  </si>
  <si>
    <t xml:space="preserve">AAACCGCCATCGGTATGTTCACCG</t>
  </si>
  <si>
    <t xml:space="preserve">CACCAGCGCAAGCACGATGG</t>
  </si>
  <si>
    <t xml:space="preserve">TAGTCACCAGCGCAAGCACGATGG</t>
  </si>
  <si>
    <t xml:space="preserve">AAACCCATCGTGCTTGCGCTGGTG</t>
  </si>
  <si>
    <t xml:space="preserve">CCAGCTTGGCGCGCGCAGCC</t>
  </si>
  <si>
    <t xml:space="preserve">TAGTCCAGCTTGGCGCGCGCAGCC</t>
  </si>
  <si>
    <t xml:space="preserve">AAACGGCTGCGCGCGCCAAGCTGG</t>
  </si>
  <si>
    <t xml:space="preserve">TTCGATGGACACGTCGCCGC</t>
  </si>
  <si>
    <t xml:space="preserve">TAGTTTCGATGGACACGTCGCCGC</t>
  </si>
  <si>
    <t xml:space="preserve">AAACGCGGCGACGTGTCCATCGAA</t>
  </si>
  <si>
    <t xml:space="preserve">PST_2651</t>
  </si>
  <si>
    <t xml:space="preserve">nqrE</t>
  </si>
  <si>
    <t xml:space="preserve">TGAACACGGCGCGGACGAAC</t>
  </si>
  <si>
    <t xml:space="preserve">TAGTTGAACACGGCGCGGACGAAC</t>
  </si>
  <si>
    <t xml:space="preserve">AAACGTTCGTCCGCGCCGTGTTCA</t>
  </si>
  <si>
    <t xml:space="preserve">CATGCCGAGGAAGAACGCCA</t>
  </si>
  <si>
    <t xml:space="preserve">TAGTCATGCCGAGGAAGAACGCCA</t>
  </si>
  <si>
    <t xml:space="preserve">AAACTGGCGTTCTTCCTCGGCATG</t>
  </si>
  <si>
    <t xml:space="preserve">CTTCTTCGAGATCGCGATGA</t>
  </si>
  <si>
    <t xml:space="preserve">TAGTCTTCTTCGAGATCGCGATGA</t>
  </si>
  <si>
    <t xml:space="preserve">AAACTCATCGCGATCTCGAAGAAG</t>
  </si>
  <si>
    <t xml:space="preserve">CGCGATACCCAGACCGATGG</t>
  </si>
  <si>
    <t xml:space="preserve">TAGTCGCGATACCCAGACCGATGG</t>
  </si>
  <si>
    <t xml:space="preserve">AAACCCATCGGTCTGGGTATCGCG</t>
  </si>
  <si>
    <t xml:space="preserve">PST_2652</t>
  </si>
  <si>
    <t xml:space="preserve">nqrD</t>
  </si>
  <si>
    <t xml:space="preserve">AGCAGTACTTCTTTCACAGT</t>
  </si>
  <si>
    <t xml:space="preserve">TAGTAGCAGTACTTCTTTCACAGT</t>
  </si>
  <si>
    <t xml:space="preserve">AAACACTGTGAAAGAAGTACTGCT</t>
  </si>
  <si>
    <t xml:space="preserve">TGGGGTTGTTGTTGAAGATC</t>
  </si>
  <si>
    <t xml:space="preserve">TAGTTGGGGTTGTTGTTGAAGATC</t>
  </si>
  <si>
    <t xml:space="preserve">AAACGATCTTCAACAACAACCCCA</t>
  </si>
  <si>
    <t xml:space="preserve">AACAGATCCCGAGGATCTGC</t>
  </si>
  <si>
    <t xml:space="preserve">TAGTAACAGATCCCGAGGATCTGC</t>
  </si>
  <si>
    <t xml:space="preserve">AAACGCAGATCCTCGGGATCTGTT</t>
  </si>
  <si>
    <t xml:space="preserve">CAACGCGGTGTTGAGGTTGG</t>
  </si>
  <si>
    <t xml:space="preserve">TAGTCAACGCGGTGTTGAGGTTGG</t>
  </si>
  <si>
    <t xml:space="preserve">AAACCCAACCTCAACACCGCGTTG</t>
  </si>
  <si>
    <t xml:space="preserve">PST_2653</t>
  </si>
  <si>
    <t xml:space="preserve">nqrC</t>
  </si>
  <si>
    <t xml:space="preserve">TACCGTCAGCGTGCGAACGG</t>
  </si>
  <si>
    <t xml:space="preserve">TAGTTACCGTCAGCGTGCGAACGG</t>
  </si>
  <si>
    <t xml:space="preserve">AAACCCGTTCGCACGCTGACGGTA</t>
  </si>
  <si>
    <t xml:space="preserve">GCACACCAGGCAGACCAACA</t>
  </si>
  <si>
    <t xml:space="preserve">TAGTGCACACCAGGCAGACCAACA</t>
  </si>
  <si>
    <t xml:space="preserve">AAACTGTTGGTCTGCCTGGTGTGC</t>
  </si>
  <si>
    <t xml:space="preserve">GGCGGCACCGGCCACGAAGA</t>
  </si>
  <si>
    <t xml:space="preserve">TAGTGGCGGCACCGGCCACGAAGA</t>
  </si>
  <si>
    <t xml:space="preserve">AAACTCTTCGTGGCCGGTGCCGCC</t>
  </si>
  <si>
    <t xml:space="preserve">CTGGGTCGGACGCAATGCCA</t>
  </si>
  <si>
    <t xml:space="preserve">TAGTCTGGGTCGGACGCAATGCCA</t>
  </si>
  <si>
    <t xml:space="preserve">AAACTGGCATTGCGTCCGACCCAG</t>
  </si>
  <si>
    <t xml:space="preserve">PST_2654</t>
  </si>
  <si>
    <t xml:space="preserve">nqrB</t>
  </si>
  <si>
    <t xml:space="preserve">AGTGATGCTCGATCTTGTCG</t>
  </si>
  <si>
    <t xml:space="preserve">TAGTAGTGATGCTCGATCTTGTCG</t>
  </si>
  <si>
    <t xml:space="preserve">AAACCGACAAGATCGAGCATCACT</t>
  </si>
  <si>
    <t xml:space="preserve">GGGACGATAGAGGAAGGTGT</t>
  </si>
  <si>
    <t xml:space="preserve">TAGTGGGACGATAGAGGAAGGTGT</t>
  </si>
  <si>
    <t xml:space="preserve">AAACACACCTTCCTCTATCGTCCC</t>
  </si>
  <si>
    <t xml:space="preserve">GTGGTCTTGGTGACGCTACC</t>
  </si>
  <si>
    <t xml:space="preserve">TAGTGTGGTCTTGGTGACGCTACC</t>
  </si>
  <si>
    <t xml:space="preserve">AAACGGTAGCGTCACCAAGACCAC</t>
  </si>
  <si>
    <t xml:space="preserve">GATGCCGTCGCGCACGTGAG</t>
  </si>
  <si>
    <t xml:space="preserve">TAGTGATGCCGTCGCGCACGTGAG</t>
  </si>
  <si>
    <t xml:space="preserve">AAACCTCACGTGCGCGACGGCATC</t>
  </si>
  <si>
    <t xml:space="preserve">PST_2655</t>
  </si>
  <si>
    <t xml:space="preserve">nqrA</t>
  </si>
  <si>
    <t xml:space="preserve">TGCGTCGGCGCGCCGACTAT</t>
  </si>
  <si>
    <t xml:space="preserve">TAGTTGCGTCGGCGCGCCGACTAT</t>
  </si>
  <si>
    <t xml:space="preserve">AAACATAGTCGGCGCGCCGACGCA</t>
  </si>
  <si>
    <t xml:space="preserve">GACGCTGCGTACGGGCCTTC</t>
  </si>
  <si>
    <t xml:space="preserve">TAGTGACGCTGCGTACGGGCCTTC</t>
  </si>
  <si>
    <t xml:space="preserve">AAACGAAGGCCCGTACGCAGCGTC</t>
  </si>
  <si>
    <t xml:space="preserve">CACAGCCATGGTGGGCTTCA</t>
  </si>
  <si>
    <t xml:space="preserve">TAGTCACAGCCATGGTGGGCTTCA</t>
  </si>
  <si>
    <t xml:space="preserve">AAACTGAAGCCCACCATGGCTGTG</t>
  </si>
  <si>
    <t xml:space="preserve">CGGACTTCTTGTCGGAAAAA</t>
  </si>
  <si>
    <t xml:space="preserve">TAGTCGGACTTCTTGTCGGAAAAA</t>
  </si>
  <si>
    <t xml:space="preserve">AAACTTTTTCCGACAAGAAGTCCG</t>
  </si>
  <si>
    <t xml:space="preserve">PST_2656</t>
  </si>
  <si>
    <t xml:space="preserve">gap-2</t>
  </si>
  <si>
    <t xml:space="preserve">TGGTCGGGCTTCTGAGTCAC</t>
  </si>
  <si>
    <t xml:space="preserve">TAGTTGGTCGGGCTTCTGAGTCAC</t>
  </si>
  <si>
    <t xml:space="preserve">AAACGTGACTCAGAAGCCCGACCA</t>
  </si>
  <si>
    <t xml:space="preserve">CAATCCATTCACCAAGACAC</t>
  </si>
  <si>
    <t xml:space="preserve">TAGTCAATCCATTCACCAAGACAC</t>
  </si>
  <si>
    <t xml:space="preserve">AAACGTGTCTTGGTGAATGGATTG</t>
  </si>
  <si>
    <t xml:space="preserve">GCGGAATCATCGCTTCGGCG</t>
  </si>
  <si>
    <t xml:space="preserve">TAGTGCGGAATCATCGCTTCGGCG</t>
  </si>
  <si>
    <t xml:space="preserve">AAACCGCCGAAGCGATGATTCCGC</t>
  </si>
  <si>
    <t xml:space="preserve">CCGAACGGTTGATCAGGCCA</t>
  </si>
  <si>
    <t xml:space="preserve">TAGTCCGAACGGTTGATCAGGCCA</t>
  </si>
  <si>
    <t xml:space="preserve">AAACTGGCCTGATCAACCGTTCGG</t>
  </si>
  <si>
    <t xml:space="preserve">PST_2657</t>
  </si>
  <si>
    <t xml:space="preserve">mfd</t>
  </si>
  <si>
    <t xml:space="preserve">CAGAGGGGGAAGGCGCAAGA</t>
  </si>
  <si>
    <t xml:space="preserve">TAGTCAGAGGGGGAAGGCGCAAGA</t>
  </si>
  <si>
    <t xml:space="preserve">AAACTCTTGCGCCTTCCCCCTCTG</t>
  </si>
  <si>
    <t xml:space="preserve">TGTTGCTTGCCGCTGGCGGC</t>
  </si>
  <si>
    <t xml:space="preserve">TAGTTGTTGCTTGCCGCTGGCGGC</t>
  </si>
  <si>
    <t xml:space="preserve">AAACGCCGCCAGCGGCAAGCAACA</t>
  </si>
  <si>
    <t xml:space="preserve">GCCAGGCTCAGCGCGGCTCC</t>
  </si>
  <si>
    <t xml:space="preserve">TAGTGCCAGGCTCAGCGCGGCTCC</t>
  </si>
  <si>
    <t xml:space="preserve">AAACGGAGCCGCGCTGAGCCTGGC</t>
  </si>
  <si>
    <t xml:space="preserve">TTTGGCGTTGCTGGCTGCTT</t>
  </si>
  <si>
    <t xml:space="preserve">TAGTTTTGGCGTTGCTGGCTGCTT</t>
  </si>
  <si>
    <t xml:space="preserve">AAACAAGCAGCCAGCAACGCCAAA</t>
  </si>
  <si>
    <t xml:space="preserve">PST_2658</t>
  </si>
  <si>
    <t xml:space="preserve">AACAGGGCCAGATAGCGACG</t>
  </si>
  <si>
    <t xml:space="preserve">TAGTAACAGGGCCAGATAGCGACG</t>
  </si>
  <si>
    <t xml:space="preserve">AAACCGTCGCTATCTGGCCCTGTT</t>
  </si>
  <si>
    <t xml:space="preserve">AGCGCCTCGGCGTGCACCTG</t>
  </si>
  <si>
    <t xml:space="preserve">TAGTAGCGCCTCGGCGTGCACCTG</t>
  </si>
  <si>
    <t xml:space="preserve">AAACCAGGTGCACGCCGAGGCGCT</t>
  </si>
  <si>
    <t xml:space="preserve">GCGGCGTGGCGTGGCGGAAC</t>
  </si>
  <si>
    <t xml:space="preserve">TAGTGCGGCGTGGCGTGGCGGAAC</t>
  </si>
  <si>
    <t xml:space="preserve">AAACGTTCCGCCACGCCACGCCGC</t>
  </si>
  <si>
    <t xml:space="preserve">GTCGTAAGGCGCGTGCCGGC</t>
  </si>
  <si>
    <t xml:space="preserve">TAGTGTCGTAAGGCGCGTGCCGGC</t>
  </si>
  <si>
    <t xml:space="preserve">AAACGCCGGCACGCGCCTTACGAC</t>
  </si>
  <si>
    <t xml:space="preserve">PST_2659</t>
  </si>
  <si>
    <t xml:space="preserve">CGAAGGCAGTGCTGGGGCCA</t>
  </si>
  <si>
    <t xml:space="preserve">TAGTCGAAGGCAGTGCTGGGGCCA</t>
  </si>
  <si>
    <t xml:space="preserve">AAACTGGCCCCAGCACTGCCTTCG</t>
  </si>
  <si>
    <t xml:space="preserve">GATCGTCGATCCGCCGCTCC</t>
  </si>
  <si>
    <t xml:space="preserve">TAGTGATCGTCGATCCGCCGCTCC</t>
  </si>
  <si>
    <t xml:space="preserve">AAACGGAGCGGCGGATCGACGATC</t>
  </si>
  <si>
    <t xml:space="preserve">CCCAGGCTGAGCAGCGGCAC</t>
  </si>
  <si>
    <t xml:space="preserve">TAGTCCCAGGCTGAGCAGCGGCAC</t>
  </si>
  <si>
    <t xml:space="preserve">AAACGTGCCGCTGCTCAGCCTGGG</t>
  </si>
  <si>
    <t xml:space="preserve">GTTGGTAGTTGGTCGCCAGA</t>
  </si>
  <si>
    <t xml:space="preserve">TAGTGTTGGTAGTTGGTCGCCAGA</t>
  </si>
  <si>
    <t xml:space="preserve">AAACTCTGGCGACCAACTACCAAC</t>
  </si>
  <si>
    <t xml:space="preserve">PST_2660</t>
  </si>
  <si>
    <t xml:space="preserve">GCAATCTCGTAGAGGCTCAT</t>
  </si>
  <si>
    <t xml:space="preserve">TAGTGCAATCTCGTAGAGGCTCAT</t>
  </si>
  <si>
    <t xml:space="preserve">AAACATGAGCCTCTACGAGATTGC</t>
  </si>
  <si>
    <t xml:space="preserve">GGGGAGCAGCTGGCCGGAAA</t>
  </si>
  <si>
    <t xml:space="preserve">TAGTGGGGAGCAGCTGGCCGGAAA</t>
  </si>
  <si>
    <t xml:space="preserve">AAACTTTCCGGCCAGCTGCTCCCC</t>
  </si>
  <si>
    <t xml:space="preserve">ACCTGTTCGAGCTTCGCGCC</t>
  </si>
  <si>
    <t xml:space="preserve">TAGTACCTGTTCGAGCTTCGCGCC</t>
  </si>
  <si>
    <t xml:space="preserve">AAACGGCGCGAAGCTCGAACAGGT</t>
  </si>
  <si>
    <t xml:space="preserve">CTGGAACAGCCTGGTCAGGT</t>
  </si>
  <si>
    <t xml:space="preserve">TAGTCTGGAACAGCCTGGTCAGGT</t>
  </si>
  <si>
    <t xml:space="preserve">AAACACCTGACCAGGCTGTTCCAG</t>
  </si>
  <si>
    <t xml:space="preserve">PST_2661</t>
  </si>
  <si>
    <t xml:space="preserve">GCAATACAGCCCTTCGGGGC</t>
  </si>
  <si>
    <t xml:space="preserve">TAGTGCAATACAGCCCTTCGGGGC</t>
  </si>
  <si>
    <t xml:space="preserve">AAACGCCCCGAAGGGCTGTATTGC</t>
  </si>
  <si>
    <t xml:space="preserve">CGATATAGAAATCACCGGGC</t>
  </si>
  <si>
    <t xml:space="preserve">TAGTCGATATAGAAATCACCGGGC</t>
  </si>
  <si>
    <t xml:space="preserve">AAACGCCCGGTGATTTCTATATCG</t>
  </si>
  <si>
    <t xml:space="preserve">CGCGATCGACCGGCCGCCAG</t>
  </si>
  <si>
    <t xml:space="preserve">TAGTCGCGATCGACCGGCCGCCAG</t>
  </si>
  <si>
    <t xml:space="preserve">AAACCTGGCGGCCGGTCGATCGCG</t>
  </si>
  <si>
    <t xml:space="preserve">GCCATGGGCGTGGGTTATGA</t>
  </si>
  <si>
    <t xml:space="preserve">TAGTGCCATGGGCGTGGGTTATGA</t>
  </si>
  <si>
    <t xml:space="preserve">AAACTCATAACCCACGCCCATGGC</t>
  </si>
  <si>
    <t xml:space="preserve">PST_2662</t>
  </si>
  <si>
    <t xml:space="preserve">GCGACTGTAGAGCGTGGCGA</t>
  </si>
  <si>
    <t xml:space="preserve">TAGTGCGACTGTAGAGCGTGGCGA</t>
  </si>
  <si>
    <t xml:space="preserve">AAACTCGCCACGCTCTACAGTCGC</t>
  </si>
  <si>
    <t xml:space="preserve">TGCTCGACGTGGTGGCGTCC</t>
  </si>
  <si>
    <t xml:space="preserve">TAGTTGCTCGACGTGGTGGCGTCC</t>
  </si>
  <si>
    <t xml:space="preserve">AAACGGACGCCACCACGTCGAGCA</t>
  </si>
  <si>
    <t xml:space="preserve">GTCGCGCATCGCGGCCAGTT</t>
  </si>
  <si>
    <t xml:space="preserve">TAGTGTCGCGCATCGCGGCCAGTT</t>
  </si>
  <si>
    <t xml:space="preserve">AAACAACTGGCCGCGATGCGCGAC</t>
  </si>
  <si>
    <t xml:space="preserve">CCAGGCAGCGTCGGACGGAT</t>
  </si>
  <si>
    <t xml:space="preserve">TAGTCCAGGCAGCGTCGGACGGAT</t>
  </si>
  <si>
    <t xml:space="preserve">AAACATCCGTCCGACGCTGCCTGG</t>
  </si>
  <si>
    <t xml:space="preserve">PST_2663</t>
  </si>
  <si>
    <t xml:space="preserve">CGAGCGGCTGCCGGGTGCTT</t>
  </si>
  <si>
    <t xml:space="preserve">TAGTCGAGCGGCTGCCGGGTGCTT</t>
  </si>
  <si>
    <t xml:space="preserve">AAACAAGCACCCGGCAGCCGCTCG</t>
  </si>
  <si>
    <t xml:space="preserve">TCGGCTCGGCTCTTGGGAGG</t>
  </si>
  <si>
    <t xml:space="preserve">TAGTTCGGCTCGGCTCTTGGGAGG</t>
  </si>
  <si>
    <t xml:space="preserve">AAACCCTCCCAAGAGCCGAGCCGA</t>
  </si>
  <si>
    <t xml:space="preserve">GGGAGTGGGTCGTGATCGTG</t>
  </si>
  <si>
    <t xml:space="preserve">TAGTGGGAGTGGGTCGTGATCGTG</t>
  </si>
  <si>
    <t xml:space="preserve">AAACCACGATCACGACCCACTCCC</t>
  </si>
  <si>
    <t xml:space="preserve">CCCCCGGCCCCTCTTCTTGA</t>
  </si>
  <si>
    <t xml:space="preserve">TAGTCCCCCGGCCCCTCTTCTTGA</t>
  </si>
  <si>
    <t xml:space="preserve">AAACTCAAGAAGAGGGGCCGGGGG</t>
  </si>
  <si>
    <t xml:space="preserve">PST_2664</t>
  </si>
  <si>
    <t xml:space="preserve">GGCCTTGCCGAAATGGATGT</t>
  </si>
  <si>
    <t xml:space="preserve">TAGTGGCCTTGCCGAAATGGATGT</t>
  </si>
  <si>
    <t xml:space="preserve">AAACACATCCATTTCGGCAAGGCC</t>
  </si>
  <si>
    <t xml:space="preserve">GCCGAGGCGACGATAGGCTG</t>
  </si>
  <si>
    <t xml:space="preserve">TAGTGCCGAGGCGACGATAGGCTG</t>
  </si>
  <si>
    <t xml:space="preserve">AAACCAGCCTATCGTCGCCTCGGC</t>
  </si>
  <si>
    <t xml:space="preserve">TGGTGCCATGGGGCACAGGC</t>
  </si>
  <si>
    <t xml:space="preserve">TAGTTGGTGCCATGGGGCACAGGC</t>
  </si>
  <si>
    <t xml:space="preserve">AAACGCCTGTGCCCCATGGCACCA</t>
  </si>
  <si>
    <t xml:space="preserve">CTGGCGCAGGTTGGCATCGG</t>
  </si>
  <si>
    <t xml:space="preserve">TAGTCTGGCGCAGGTTGGCATCGG</t>
  </si>
  <si>
    <t xml:space="preserve">AAACCCGATGCCAACCTGCGCCAG</t>
  </si>
  <si>
    <t xml:space="preserve">PST_2665</t>
  </si>
  <si>
    <t xml:space="preserve">CGCAATGATCCAGGTCGTCA</t>
  </si>
  <si>
    <t xml:space="preserve">TAGTCGCAATGATCCAGGTCGTCA</t>
  </si>
  <si>
    <t xml:space="preserve">AAACTGACGACCTGGATCATTGCG</t>
  </si>
  <si>
    <t xml:space="preserve">CCGCATCGTCGATGTCGGGC</t>
  </si>
  <si>
    <t xml:space="preserve">TAGTCCGCATCGTCGATGTCGGGC</t>
  </si>
  <si>
    <t xml:space="preserve">AAACGCCCGACATCGACGATGCGG</t>
  </si>
  <si>
    <t xml:space="preserve">TCGTGCTCGCTTTCCTGATC</t>
  </si>
  <si>
    <t xml:space="preserve">TAGTTCGTGCTCGCTTTCCTGATC</t>
  </si>
  <si>
    <t xml:space="preserve">AAACGATCAGGAAAGCGAGCACGA</t>
  </si>
  <si>
    <t xml:space="preserve">CGGGAGTGTCCTCGAGATCG</t>
  </si>
  <si>
    <t xml:space="preserve">TAGTCGGGAGTGTCCTCGAGATCG</t>
  </si>
  <si>
    <t xml:space="preserve">AAACCGATCTCGAGGACACTCCCG</t>
  </si>
  <si>
    <t xml:space="preserve">PST_2666</t>
  </si>
  <si>
    <t xml:space="preserve">TGTGCACGGGAGGCGCTCAT</t>
  </si>
  <si>
    <t xml:space="preserve">TAGTTGTGCACGGGAGGCGCTCAT</t>
  </si>
  <si>
    <t xml:space="preserve">AAACATGAGCGCCTCCCGTGCACA</t>
  </si>
  <si>
    <t xml:space="preserve">CAGCTGATCCTCGGATGGCT</t>
  </si>
  <si>
    <t xml:space="preserve">TAGTCAGCTGATCCTCGGATGGCT</t>
  </si>
  <si>
    <t xml:space="preserve">AAACAGCCATCCGAGGATCAGCTG</t>
  </si>
  <si>
    <t xml:space="preserve">GTCCAGGGCGGGCAGGGGCT</t>
  </si>
  <si>
    <t xml:space="preserve">TAGTGTCCAGGGCGGGCAGGGGCT</t>
  </si>
  <si>
    <t xml:space="preserve">AAACAGCCCCTGCCCGCCCTGGAC</t>
  </si>
  <si>
    <t xml:space="preserve">TCGAAGGCGTCGGCGAAGCG</t>
  </si>
  <si>
    <t xml:space="preserve">TAGTTCGAAGGCGTCGGCGAAGCG</t>
  </si>
  <si>
    <t xml:space="preserve">AAACCGCTTCGCCGACGCCTTCGA</t>
  </si>
  <si>
    <t xml:space="preserve">PST_2667</t>
  </si>
  <si>
    <t xml:space="preserve">TTTGAGTAGCTGGTCACGGA</t>
  </si>
  <si>
    <t xml:space="preserve">TAGTTTTGAGTAGCTGGTCACGGA</t>
  </si>
  <si>
    <t xml:space="preserve">AAACTCCGTGACCAGCTACTCAAA</t>
  </si>
  <si>
    <t xml:space="preserve">CTGCTTTTCGTTGACCAGCC</t>
  </si>
  <si>
    <t xml:space="preserve">TAGTCTGCTTTTCGTTGACCAGCC</t>
  </si>
  <si>
    <t xml:space="preserve">AAACGGCTGGTCAACGAAAAGCAG</t>
  </si>
  <si>
    <t xml:space="preserve">CTGCTTCTGCTTCTGCTTGA</t>
  </si>
  <si>
    <t xml:space="preserve">TAGTCTGCTTCTGCTTCTGCTTGA</t>
  </si>
  <si>
    <t xml:space="preserve">AAACTCAAGCAGAAGCAGAAGCAG</t>
  </si>
  <si>
    <t xml:space="preserve">CGACCTGCCCCTTTTTCTCC</t>
  </si>
  <si>
    <t xml:space="preserve">TAGTCGACCTGCCCCTTTTTCTCC</t>
  </si>
  <si>
    <t xml:space="preserve">AAACGGAGAAAAAGGGGCAGGTCG</t>
  </si>
  <si>
    <t xml:space="preserve">PST_2668</t>
  </si>
  <si>
    <t xml:space="preserve">GTCGCCACTTTCGATGGCAT</t>
  </si>
  <si>
    <t xml:space="preserve">TAGTGTCGCCACTTTCGATGGCAT</t>
  </si>
  <si>
    <t xml:space="preserve">AAACATGCCATCGAAAGTGGCGAC</t>
  </si>
  <si>
    <t xml:space="preserve">AGCAGATCGCCCAGCTCGCC</t>
  </si>
  <si>
    <t xml:space="preserve">TAGTAGCAGATCGCCCAGCTCGCC</t>
  </si>
  <si>
    <t xml:space="preserve">AAACGGCGAGCTGGGCGATCTGCT</t>
  </si>
  <si>
    <t xml:space="preserve">ATTGGCTGTAGTAGACGACC</t>
  </si>
  <si>
    <t xml:space="preserve">TAGTATTGGCTGTAGTAGACGACC</t>
  </si>
  <si>
    <t xml:space="preserve">AAACGGTCGTCTACTACAGCCAAT</t>
  </si>
  <si>
    <t xml:space="preserve">GTCGAAGCGCCCCTCCTCCC</t>
  </si>
  <si>
    <t xml:space="preserve">TAGTGTCGAAGCGCCCCTCCTCCC</t>
  </si>
  <si>
    <t xml:space="preserve">AAACGGGAGGAGGGGCGCTTCGAC</t>
  </si>
  <si>
    <t xml:space="preserve">PST_2669</t>
  </si>
  <si>
    <t xml:space="preserve">relA</t>
  </si>
  <si>
    <t xml:space="preserve">ATGCTGCCGTCCGTATTGAT</t>
  </si>
  <si>
    <t xml:space="preserve">TAGTATGCTGCCGTCCGTATTGAT</t>
  </si>
  <si>
    <t xml:space="preserve">AAACATCAATACGGACGGCAGCAT</t>
  </si>
  <si>
    <t xml:space="preserve">CATGATCGAGCCAGCCATCC</t>
  </si>
  <si>
    <t xml:space="preserve">TAGTCATGATCGAGCCAGCCATCC</t>
  </si>
  <si>
    <t xml:space="preserve">AAACGGATGGCTGGCTCGATCATG</t>
  </si>
  <si>
    <t xml:space="preserve">GCGCCGCACGGTCGAGTGCC</t>
  </si>
  <si>
    <t xml:space="preserve">TAGTGCGCCGCACGGTCGAGTGCC</t>
  </si>
  <si>
    <t xml:space="preserve">AAACGGCACTCGACCGTGCGGCGC</t>
  </si>
  <si>
    <t xml:space="preserve">CGCTTCGCGGGCGAACTCGC</t>
  </si>
  <si>
    <t xml:space="preserve">TAGTCGCTTCGCGGGCGAACTCGC</t>
  </si>
  <si>
    <t xml:space="preserve">AAACGCGAGTTCGCCCGCGAAGCG</t>
  </si>
  <si>
    <t xml:space="preserve">PST_2670</t>
  </si>
  <si>
    <t xml:space="preserve">ygcA</t>
  </si>
  <si>
    <t xml:space="preserve">GCGCAGAGCGCCGCTACGTT</t>
  </si>
  <si>
    <t xml:space="preserve">TAGTGCGCAGAGCGCCGCTACGTT</t>
  </si>
  <si>
    <t xml:space="preserve">AAACAACGTAGCGGCGCTCTGCGC</t>
  </si>
  <si>
    <t xml:space="preserve">GGCTTGCGCTCGCCGCCGCT</t>
  </si>
  <si>
    <t xml:space="preserve">TAGTGGCTTGCGCTCGCCGCCGCT</t>
  </si>
  <si>
    <t xml:space="preserve">AAACAGCGGCGGCGAGCGCAAGCC</t>
  </si>
  <si>
    <t xml:space="preserve">TTCTTGCCAACCGGCACCTG</t>
  </si>
  <si>
    <t xml:space="preserve">TAGTTTCTTGCCAACCGGCACCTG</t>
  </si>
  <si>
    <t xml:space="preserve">AAACCAGGTGCCGGTTGGCAAGAA</t>
  </si>
  <si>
    <t xml:space="preserve">GGCGATGCCACGGCCGTCAT</t>
  </si>
  <si>
    <t xml:space="preserve">TAGTGGCGATGCCACGGCCGTCAT</t>
  </si>
  <si>
    <t xml:space="preserve">AAACATGACGGCCGTGGCATCGCC</t>
  </si>
  <si>
    <t xml:space="preserve">PST_2671</t>
  </si>
  <si>
    <t xml:space="preserve">cysM</t>
  </si>
  <si>
    <t xml:space="preserve">TCGACGACGGGCAGACGTAT</t>
  </si>
  <si>
    <t xml:space="preserve">TAGTTCGACGACGGGCAGACGTAT</t>
  </si>
  <si>
    <t xml:space="preserve">AAACATACGTCTGCCCGTCGTCGA</t>
  </si>
  <si>
    <t xml:space="preserve">TGAGAAGGTCGACATGATAC</t>
  </si>
  <si>
    <t xml:space="preserve">TAGTTGAGAAGGTCGACATGATAC</t>
  </si>
  <si>
    <t xml:space="preserve">AAACGTATCATGTCGACCTTCTCA</t>
  </si>
  <si>
    <t xml:space="preserve">TGTGTAGTCATGGCGTCGCA</t>
  </si>
  <si>
    <t xml:space="preserve">TAGTTGTGTAGTCATGGCGTCGCA</t>
  </si>
  <si>
    <t xml:space="preserve">AAACTGCGACGCCATGACTACACA</t>
  </si>
  <si>
    <t xml:space="preserve">CCGATGCAGTCGGCAATGGT</t>
  </si>
  <si>
    <t xml:space="preserve">TAGTCCGATGCAGTCGGCAATGGT</t>
  </si>
  <si>
    <t xml:space="preserve">AAACACCATTGCCGACTGCATCGG</t>
  </si>
  <si>
    <t xml:space="preserve">PST_2672</t>
  </si>
  <si>
    <t xml:space="preserve">GAAACGCCTCGGTCTGCTTT</t>
  </si>
  <si>
    <t xml:space="preserve">TAGTGAAACGCCTCGGTCTGCTTT</t>
  </si>
  <si>
    <t xml:space="preserve">AAACAAAGCAGACCGAGGCGTTTC</t>
  </si>
  <si>
    <t xml:space="preserve">CCTGCTCGAAGCTGCCGGTA</t>
  </si>
  <si>
    <t xml:space="preserve">TAGTCCTGCTCGAAGCTGCCGGTA</t>
  </si>
  <si>
    <t xml:space="preserve">AAACTACCGGCAGCTTCGAGCAGG</t>
  </si>
  <si>
    <t xml:space="preserve">TGGCCGGCGGGGTCAGGTGC</t>
  </si>
  <si>
    <t xml:space="preserve">TAGTTGGCCGGCGGGGTCAGGTGC</t>
  </si>
  <si>
    <t xml:space="preserve">AAACGCACCTGACCCCGCCGGCCA</t>
  </si>
  <si>
    <t xml:space="preserve">CGCGCGAACCCGCTGCGAGA</t>
  </si>
  <si>
    <t xml:space="preserve">TAGTCGCGCGAACCCGCTGCGAGA</t>
  </si>
  <si>
    <t xml:space="preserve">AAACTCTCGCAGCGGGTTCGCGCG</t>
  </si>
  <si>
    <t xml:space="preserve">PST_2673</t>
  </si>
  <si>
    <t xml:space="preserve">TGCCGAACAGGTCCATGCCG</t>
  </si>
  <si>
    <t xml:space="preserve">TAGTTGCCGAACAGGTCCATGCCG</t>
  </si>
  <si>
    <t xml:space="preserve">AAACCGGCATGGACCTGTTCGGCA</t>
  </si>
  <si>
    <t xml:space="preserve">GTGCCGTCACCGTGCCGAGC</t>
  </si>
  <si>
    <t xml:space="preserve">TAGTGTGCCGTCACCGTGCCGAGC</t>
  </si>
  <si>
    <t xml:space="preserve">AAACGCTCGGCACGGTGACGGCAC</t>
  </si>
  <si>
    <t xml:space="preserve">GGTGGGCGATCCAGCCGACC</t>
  </si>
  <si>
    <t xml:space="preserve">TAGTGGTGGGCGATCCAGCCGACC</t>
  </si>
  <si>
    <t xml:space="preserve">AAACGGTCGGCTGGATCGCCCACC</t>
  </si>
  <si>
    <t xml:space="preserve">TGGTGAAGGTGAGGTACTCC</t>
  </si>
  <si>
    <t xml:space="preserve">TAGTTGGTGAAGGTGAGGTACTCC</t>
  </si>
  <si>
    <t xml:space="preserve">AAACGGAGTACCTCACCTTCACCA</t>
  </si>
  <si>
    <t xml:space="preserve">PST_2674</t>
  </si>
  <si>
    <t xml:space="preserve">gacS</t>
  </si>
  <si>
    <t xml:space="preserve">ACCACTGCCAGCAGGGTGCT</t>
  </si>
  <si>
    <t xml:space="preserve">TAGTACCACTGCCAGCAGGGTGCT</t>
  </si>
  <si>
    <t xml:space="preserve">AAACAGCACCCTGCTGGCAGTGGT</t>
  </si>
  <si>
    <t xml:space="preserve">CAATTGCATCCAGGTGAAGT</t>
  </si>
  <si>
    <t xml:space="preserve">TAGTCAATTGCATCCAGGTGAAGT</t>
  </si>
  <si>
    <t xml:space="preserve">AAACACTTCACCTGGATGCAATTG</t>
  </si>
  <si>
    <t xml:space="preserve">GGCCACGCTCGTCGAGCTGG</t>
  </si>
  <si>
    <t xml:space="preserve">TAGTGGCCACGCTCGTCGAGCTGG</t>
  </si>
  <si>
    <t xml:space="preserve">AAACCCAGCTCGACGAGCGTGGCC</t>
  </si>
  <si>
    <t xml:space="preserve">CTAGCTGCTCGGCAATCAGT</t>
  </si>
  <si>
    <t xml:space="preserve">TAGTCTAGCTGCTCGGCAATCAGT</t>
  </si>
  <si>
    <t xml:space="preserve">AAACACTGATTGCCGAGCAGCTAG</t>
  </si>
  <si>
    <t xml:space="preserve">PST_2675</t>
  </si>
  <si>
    <t xml:space="preserve">GCTGGAAGGCGTCTTGGGCG</t>
  </si>
  <si>
    <t xml:space="preserve">TAGTGCTGGAAGGCGTCTTGGGCG</t>
  </si>
  <si>
    <t xml:space="preserve">AAACCGCCCAAGACGCCTTCCAGC</t>
  </si>
  <si>
    <t xml:space="preserve">GTTCTCGTCCCAGTCGAGTT</t>
  </si>
  <si>
    <t xml:space="preserve">TAGTGTTCTCGTCCCAGTCGAGTT</t>
  </si>
  <si>
    <t xml:space="preserve">AAACAACTCGACTGGGACGAGAAC</t>
  </si>
  <si>
    <t xml:space="preserve">CATAGTGGCGGGACTGCGGC</t>
  </si>
  <si>
    <t xml:space="preserve">TAGTCATAGTGGCGGGACTGCGGC</t>
  </si>
  <si>
    <t xml:space="preserve">AAACGCCGCAGTCCCGCCACTATG</t>
  </si>
  <si>
    <t xml:space="preserve">TCTCGGCCAGCCCGCTGGCG</t>
  </si>
  <si>
    <t xml:space="preserve">TAGTTCTCGGCCAGCCCGCTGGCG</t>
  </si>
  <si>
    <t xml:space="preserve">AAACCGCCAGCGGGCTGGCCGAGA</t>
  </si>
  <si>
    <t xml:space="preserve">PST_2676</t>
  </si>
  <si>
    <t xml:space="preserve">AGCAGAGACAGAGTTTTCAT</t>
  </si>
  <si>
    <t xml:space="preserve">TAGTAGCAGAGACAGAGTTTTCAT</t>
  </si>
  <si>
    <t xml:space="preserve">AAACATGAAAACTCTGTCTCTGCT</t>
  </si>
  <si>
    <t xml:space="preserve">AGGGGCCGCTTGGGTGCTGA</t>
  </si>
  <si>
    <t xml:space="preserve">TAGTAGGGGCCGCTTGGGTGCTGA</t>
  </si>
  <si>
    <t xml:space="preserve">AAACTCAGCACCCAAGCGGCCCCT</t>
  </si>
  <si>
    <t xml:space="preserve">AGTTGCTCCGGATCGGCCGC</t>
  </si>
  <si>
    <t xml:space="preserve">TAGTAGTTGCTCCGGATCGGCCGC</t>
  </si>
  <si>
    <t xml:space="preserve">AAACGCGGCCGATCCGGAGCAACT</t>
  </si>
  <si>
    <t xml:space="preserve">GAACGGGGCGATCAGGCCGA</t>
  </si>
  <si>
    <t xml:space="preserve">TAGTGAACGGGGCGATCAGGCCGA</t>
  </si>
  <si>
    <t xml:space="preserve">AAACTCGGCCTGATCGCCCCGTTC</t>
  </si>
  <si>
    <t xml:space="preserve">PST_2677</t>
  </si>
  <si>
    <t xml:space="preserve">TGAGCGCTCGTCTCCATCGT</t>
  </si>
  <si>
    <t xml:space="preserve">TAGTTGAGCGCTCGTCTCCATCGT</t>
  </si>
  <si>
    <t xml:space="preserve">AAACACGATGGAGACGAGCGCTCA</t>
  </si>
  <si>
    <t xml:space="preserve">GCAATGCGGAGAGTGGTATC</t>
  </si>
  <si>
    <t xml:space="preserve">TAGTGCAATGCGGAGAGTGGTATC</t>
  </si>
  <si>
    <t xml:space="preserve">AAACGATACCACTCTCCGCATTGC</t>
  </si>
  <si>
    <t xml:space="preserve">TCAGGCGCAAGCGGCCGAAA</t>
  </si>
  <si>
    <t xml:space="preserve">TAGTTCAGGCGCAAGCGGCCGAAA</t>
  </si>
  <si>
    <t xml:space="preserve">AAACTTTCGGCCGCTTGCGCCTGA</t>
  </si>
  <si>
    <t xml:space="preserve">CGAGCAGCAGTCCGAGGATC</t>
  </si>
  <si>
    <t xml:space="preserve">TAGTCGAGCAGCAGTCCGAGGATC</t>
  </si>
  <si>
    <t xml:space="preserve">AAACGATCCTCGGACTGCTGCTCG</t>
  </si>
  <si>
    <t xml:space="preserve">PST_2678</t>
  </si>
  <si>
    <t xml:space="preserve">CCGGCAATCCGAGCGGCTTC</t>
  </si>
  <si>
    <t xml:space="preserve">TAGTCCGGCAATCCGAGCGGCTTC</t>
  </si>
  <si>
    <t xml:space="preserve">AAACGAAGCCGCTCGGATTGCCGG</t>
  </si>
  <si>
    <t xml:space="preserve">CAGCCCTGCTTCAGCAACGC</t>
  </si>
  <si>
    <t xml:space="preserve">TAGTCAGCCCTGCTTCAGCAACGC</t>
  </si>
  <si>
    <t xml:space="preserve">AAACGCGTTGCTGAAGCAGGGCTG</t>
  </si>
  <si>
    <t xml:space="preserve">GAGCATCTCGTCGCTCAGAC</t>
  </si>
  <si>
    <t xml:space="preserve">TAGTGAGCATCTCGTCGCTCAGAC</t>
  </si>
  <si>
    <t xml:space="preserve">AAACGTCTGAGCGACGAGATGCTC</t>
  </si>
  <si>
    <t xml:space="preserve">ACTCGATGTCGGCACGACTG</t>
  </si>
  <si>
    <t xml:space="preserve">TAGTACTCGATGTCGGCACGACTG</t>
  </si>
  <si>
    <t xml:space="preserve">AAACCAGTCGTGCCGACATCGAGT</t>
  </si>
  <si>
    <t xml:space="preserve">PST_2679</t>
  </si>
  <si>
    <t xml:space="preserve">GCAGTTCGGTATCGATGTTC</t>
  </si>
  <si>
    <t xml:space="preserve">TAGTGCAGTTCGGTATCGATGTTC</t>
  </si>
  <si>
    <t xml:space="preserve">AAACGAACATCGATACCGAACTGC</t>
  </si>
  <si>
    <t xml:space="preserve">AAAGCCGCCGTGATCGACAA</t>
  </si>
  <si>
    <t xml:space="preserve">TAGTAAAGCCGCCGTGATCGACAA</t>
  </si>
  <si>
    <t xml:space="preserve">AAACTTGTCGATCACGGCGGCTTT</t>
  </si>
  <si>
    <t xml:space="preserve">GGTGCGGTTGACCGCGGCTG</t>
  </si>
  <si>
    <t xml:space="preserve">TAGTGGTGCGGTTGACCGCGGCTG</t>
  </si>
  <si>
    <t xml:space="preserve">AAACCAGCCGCGGTCAACCGCACC</t>
  </si>
  <si>
    <t xml:space="preserve">CTGCATGCTGATCGCCGACT</t>
  </si>
  <si>
    <t xml:space="preserve">TAGTCTGCATGCTGATCGCCGACT</t>
  </si>
  <si>
    <t xml:space="preserve">AAACAGTCGGCGATCAGCATGCAG</t>
  </si>
  <si>
    <t xml:space="preserve">PST_2680</t>
  </si>
  <si>
    <t xml:space="preserve">CAGATCCCAGTTGTAGCTCA</t>
  </si>
  <si>
    <t xml:space="preserve">TAGTCAGATCCCAGTTGTAGCTCA</t>
  </si>
  <si>
    <t xml:space="preserve">AAACTGAGCTACAACTGGGATCTG</t>
  </si>
  <si>
    <t xml:space="preserve">GGACTTCGTGCAGCAGGCGC</t>
  </si>
  <si>
    <t xml:space="preserve">TAGTGGACTTCGTGCAGCAGGCGC</t>
  </si>
  <si>
    <t xml:space="preserve">AAACGCGCCTGCTGCACGAAGTCC</t>
  </si>
  <si>
    <t xml:space="preserve">TTTGAAGGTGTCGTTGGCGC</t>
  </si>
  <si>
    <t xml:space="preserve">TAGTTTTGAAGGTGTCGTTGGCGC</t>
  </si>
  <si>
    <t xml:space="preserve">AAACGCGCCAACGACACCTTCAAA</t>
  </si>
  <si>
    <t xml:space="preserve">TGCTCTTCGGCGTAGCGACG</t>
  </si>
  <si>
    <t xml:space="preserve">TAGTTGCTCTTCGGCGTAGCGACG</t>
  </si>
  <si>
    <t xml:space="preserve">AAACCGTCGCTACGCCGAAGAGCA</t>
  </si>
  <si>
    <t xml:space="preserve">PST_2681</t>
  </si>
  <si>
    <t xml:space="preserve">GGTCATCGTCAGCAATTTCA</t>
  </si>
  <si>
    <t xml:space="preserve">TAGTGGTCATCGTCAGCAATTTCA</t>
  </si>
  <si>
    <t xml:space="preserve">AAACTGAAATTGCTGACGATGACC</t>
  </si>
  <si>
    <t xml:space="preserve">GGCCAGCAAGGCTGCGGTCA</t>
  </si>
  <si>
    <t xml:space="preserve">TAGTGGCCAGCAAGGCTGCGGTCA</t>
  </si>
  <si>
    <t xml:space="preserve">AAACTGACCGCAGCCTTGCTGGCC</t>
  </si>
  <si>
    <t xml:space="preserve">GGCCGCGTGCACGGCCGGGC</t>
  </si>
  <si>
    <t xml:space="preserve">TAGTGGCCGCGTGCACGGCCGGGC</t>
  </si>
  <si>
    <t xml:space="preserve">AAACGCCCGGCCGTGCACGCGGCC</t>
  </si>
  <si>
    <t xml:space="preserve">ATTCACCTCGTCGGTTGTGC</t>
  </si>
  <si>
    <t xml:space="preserve">TAGTATTCACCTCGTCGGTTGTGC</t>
  </si>
  <si>
    <t xml:space="preserve">AAACGCACAACCGACGAGGTGAAT</t>
  </si>
  <si>
    <t xml:space="preserve">PST_2682</t>
  </si>
  <si>
    <t xml:space="preserve">srmB</t>
  </si>
  <si>
    <t xml:space="preserve">GTCGAAAAAACGAATGGCAT</t>
  </si>
  <si>
    <t xml:space="preserve">TAGTGTCGAAAAAACGAATGGCAT</t>
  </si>
  <si>
    <t xml:space="preserve">AAACATGCCATTCGTTTTTTCGAC</t>
  </si>
  <si>
    <t xml:space="preserve">AAACAAGGGAGCTACCTCGG</t>
  </si>
  <si>
    <t xml:space="preserve">TAGTAAACAAGGGAGCTACCTCGG</t>
  </si>
  <si>
    <t xml:space="preserve">AAACCCGAGGTAGCTCCCTTGTTT</t>
  </si>
  <si>
    <t xml:space="preserve">GGCGTTCGTGCAGGGCGAAT</t>
  </si>
  <si>
    <t xml:space="preserve">TAGTGGCGTTCGTGCAGGGCGAAT</t>
  </si>
  <si>
    <t xml:space="preserve">AAACATTCGCCCTGCACGAACGCC</t>
  </si>
  <si>
    <t xml:space="preserve">GTTCGGCGACGGCCTTGAGC</t>
  </si>
  <si>
    <t xml:space="preserve">TAGTGTTCGGCGACGGCCTTGAGC</t>
  </si>
  <si>
    <t xml:space="preserve">AAACGCTCAAGGCCGTCGCCGAAC</t>
  </si>
  <si>
    <t xml:space="preserve">PST_2683</t>
  </si>
  <si>
    <t xml:space="preserve">GAGTGCCAGTGAAAGCGCGC</t>
  </si>
  <si>
    <t xml:space="preserve">TAGTGAGTGCCAGTGAAAGCGCGC</t>
  </si>
  <si>
    <t xml:space="preserve">AAACGCGCGCTTTCACTGGCACTC</t>
  </si>
  <si>
    <t xml:space="preserve">CTGTTGCCGGGGTGGTCGTT</t>
  </si>
  <si>
    <t xml:space="preserve">TAGTCTGTTGCCGGGGTGGTCGTT</t>
  </si>
  <si>
    <t xml:space="preserve">AAACAACGACCACCCCGGCAACAG</t>
  </si>
  <si>
    <t xml:space="preserve">TGACGATGGTACTGCTGCGC</t>
  </si>
  <si>
    <t xml:space="preserve">TAGTTGACGATGGTACTGCTGCGC</t>
  </si>
  <si>
    <t xml:space="preserve">AAACGCGCAGCAGTACCATCGTCA</t>
  </si>
  <si>
    <t xml:space="preserve">CGATGTCCACGGACGGGCCA</t>
  </si>
  <si>
    <t xml:space="preserve">TAGTCGATGTCCACGGACGGGCCA</t>
  </si>
  <si>
    <t xml:space="preserve">AAACTGGCCCGTCCGTGGACATCG</t>
  </si>
  <si>
    <t xml:space="preserve">PST_2684</t>
  </si>
  <si>
    <t xml:space="preserve">CGAAGTAGCTCGGCGGGCCA</t>
  </si>
  <si>
    <t xml:space="preserve">TAGTCGAAGTAGCTCGGCGGGCCA</t>
  </si>
  <si>
    <t xml:space="preserve">AAACTGGCCCGCCGAGCTACTTCG</t>
  </si>
  <si>
    <t xml:space="preserve">AATTCAAGCGCGACGTGATC</t>
  </si>
  <si>
    <t xml:space="preserve">TAGTAATTCAAGCGCGACGTGATC</t>
  </si>
  <si>
    <t xml:space="preserve">AAACGATCACGTCGCGCTTGAATT</t>
  </si>
  <si>
    <t xml:space="preserve">GCTGCAACCCGGTGAGCGCA</t>
  </si>
  <si>
    <t xml:space="preserve">TAGTGCTGCAACCCGGTGAGCGCA</t>
  </si>
  <si>
    <t xml:space="preserve">AAACTGCGCTCACCGGGTTGCAGC</t>
  </si>
  <si>
    <t xml:space="preserve">AGCACCGCGCACCCGACGCA</t>
  </si>
  <si>
    <t xml:space="preserve">TAGTAGCACCGCGCACCCGACGCA</t>
  </si>
  <si>
    <t xml:space="preserve">AAACTGCGTCGGGTGCGCGGTGCT</t>
  </si>
  <si>
    <t xml:space="preserve">PST_2685</t>
  </si>
  <si>
    <t xml:space="preserve">ppiA</t>
  </si>
  <si>
    <t xml:space="preserve">TTTCCTGATGTTGGGGAAAG</t>
  </si>
  <si>
    <t xml:space="preserve">TAGTTTTCCTGATGTTGGGGAAAG</t>
  </si>
  <si>
    <t xml:space="preserve">AAACCTTTCCCCAACATCAGGAAA</t>
  </si>
  <si>
    <t xml:space="preserve">GGCGATGCGTTTCAACATGA</t>
  </si>
  <si>
    <t xml:space="preserve">TAGTGGCGATGCGTTTCAACATGA</t>
  </si>
  <si>
    <t xml:space="preserve">AAACTCATGTTGAAACGCATCGCC</t>
  </si>
  <si>
    <t xml:space="preserve">CAGTACGGAACAGGCGGTGA</t>
  </si>
  <si>
    <t xml:space="preserve">TAGTCAGTACGGAACAGGCGGTGA</t>
  </si>
  <si>
    <t xml:space="preserve">AAACTCACCGCCTGTTCCGTACTG</t>
  </si>
  <si>
    <t xml:space="preserve">GAGGGTTTTCGGCAGCGAGC</t>
  </si>
  <si>
    <t xml:space="preserve">TAGTGAGGGTTTTCGGCAGCGAGC</t>
  </si>
  <si>
    <t xml:space="preserve">AAACGCTCGCTGCCGAAAACCCTC</t>
  </si>
  <si>
    <t xml:space="preserve">PST_2686</t>
  </si>
  <si>
    <t xml:space="preserve">TGTGTTCAGCGGGCTTTGCG</t>
  </si>
  <si>
    <t xml:space="preserve">TAGTTGTGTTCAGCGGGCTTTGCG</t>
  </si>
  <si>
    <t xml:space="preserve">AAACCGCAAAGCCCGCTGAACACA</t>
  </si>
  <si>
    <t xml:space="preserve">CCGCGCGTTCGGCGCTGAGC</t>
  </si>
  <si>
    <t xml:space="preserve">TAGTCCGCGCGTTCGGCGCTGAGC</t>
  </si>
  <si>
    <t xml:space="preserve">AAACGCTCAGCGCCGAACGCGCGG</t>
  </si>
  <si>
    <t xml:space="preserve">CAGCGATTCGCCGGCAACCT</t>
  </si>
  <si>
    <t xml:space="preserve">TAGTCAGCGATTCGCCGGCAACCT</t>
  </si>
  <si>
    <t xml:space="preserve">AAACAGGTTGCCGGCGAATCGCTG</t>
  </si>
  <si>
    <t xml:space="preserve">CTGCCGCTGTTCCGGGTCCG</t>
  </si>
  <si>
    <t xml:space="preserve">TAGTCTGCCGCTGTTCCGGGTCCG</t>
  </si>
  <si>
    <t xml:space="preserve">AAACCGGACCCGGAACAGCGGCAG</t>
  </si>
  <si>
    <t xml:space="preserve">PST_2687</t>
  </si>
  <si>
    <t xml:space="preserve">GTGCAGGGTCTGGATAGGCA</t>
  </si>
  <si>
    <t xml:space="preserve">TAGTGTGCAGGGTCTGGATAGGCA</t>
  </si>
  <si>
    <t xml:space="preserve">AAACTGCCTATCCAGACCCTGCAC</t>
  </si>
  <si>
    <t xml:space="preserve">TGGGATCGAGTTCGGCGAGG</t>
  </si>
  <si>
    <t xml:space="preserve">TAGTTGGGATCGAGTTCGGCGAGG</t>
  </si>
  <si>
    <t xml:space="preserve">AAACCCTCGCCGAACTCGATCCCA</t>
  </si>
  <si>
    <t xml:space="preserve">CAGCAGGGCGTCCCATTCGG</t>
  </si>
  <si>
    <t xml:space="preserve">TAGTCAGCAGGGCGTCCCATTCGG</t>
  </si>
  <si>
    <t xml:space="preserve">AAACCCGAATGGGACGCCCTGCTG</t>
  </si>
  <si>
    <t xml:space="preserve">ACACAGAAAGGGTTGCGAAT</t>
  </si>
  <si>
    <t xml:space="preserve">TAGTACACAGAAAGGGTTGCGAAT</t>
  </si>
  <si>
    <t xml:space="preserve">AAACATTCGCAACCCTTTCTGTGT</t>
  </si>
  <si>
    <t xml:space="preserve">PST_2688</t>
  </si>
  <si>
    <t xml:space="preserve">oprO</t>
  </si>
  <si>
    <t xml:space="preserve">CGAAACCGGCGAAGTGCTTA</t>
  </si>
  <si>
    <t xml:space="preserve">TAGTCGAAACCGGCGAAGTGCTTA</t>
  </si>
  <si>
    <t xml:space="preserve">AAACTAAGCACTTCGCCGGTTTCG</t>
  </si>
  <si>
    <t xml:space="preserve">AACGGCCAGAGCCAGGGCGC</t>
  </si>
  <si>
    <t xml:space="preserve">TAGTAACGGCCAGAGCCAGGGCGC</t>
  </si>
  <si>
    <t xml:space="preserve">AAACGCGCCCTGGCTCTGGCCGTT</t>
  </si>
  <si>
    <t xml:space="preserve">GGTACCGGCGAAAGCCTGGG</t>
  </si>
  <si>
    <t xml:space="preserve">TAGTGGTACCGGCGAAAGCCTGGG</t>
  </si>
  <si>
    <t xml:space="preserve">AAACCCCAGGCTTTCGCCGGTACC</t>
  </si>
  <si>
    <t xml:space="preserve">ATCGGCGCCGTCGGTGGTGA</t>
  </si>
  <si>
    <t xml:space="preserve">TAGTATCGGCGCCGTCGGTGGTGA</t>
  </si>
  <si>
    <t xml:space="preserve">AAACTCACCACCGACGGCGCCGAT</t>
  </si>
  <si>
    <t xml:space="preserve">PST_2689</t>
  </si>
  <si>
    <t xml:space="preserve">ACCGAGCCGCCCATACAGAC</t>
  </si>
  <si>
    <t xml:space="preserve">TAGTACCGAGCCGCCCATACAGAC</t>
  </si>
  <si>
    <t xml:space="preserve">AAACGTCTGTATGGGCGGCTCGGT</t>
  </si>
  <si>
    <t xml:space="preserve">GATGCCGACCACCGCCACAT</t>
  </si>
  <si>
    <t xml:space="preserve">TAGTGATGCCGACCACCGCCACAT</t>
  </si>
  <si>
    <t xml:space="preserve">AAACATGTGGCGGTGGTCGGCATC</t>
  </si>
  <si>
    <t xml:space="preserve">GCCGCTGCGTGCCAGCGCCT</t>
  </si>
  <si>
    <t xml:space="preserve">TAGTGCCGCTGCGTGCCAGCGCCT</t>
  </si>
  <si>
    <t xml:space="preserve">AAACAGGCGCTGGCACGCAGCGGC</t>
  </si>
  <si>
    <t xml:space="preserve">ACACATCGTCCAGGTCGAAC</t>
  </si>
  <si>
    <t xml:space="preserve">TAGTACACATCGTCCAGGTCGAAC</t>
  </si>
  <si>
    <t xml:space="preserve">AAACGTTCGACCTGGACGATGTGT</t>
  </si>
  <si>
    <t xml:space="preserve">PST_2690</t>
  </si>
  <si>
    <t xml:space="preserve">dapE</t>
  </si>
  <si>
    <t xml:space="preserve">GGTCGGGGAGAGGGCGGGGG</t>
  </si>
  <si>
    <t xml:space="preserve">TAGTGGTCGGGGAGAGGGCGGGGG</t>
  </si>
  <si>
    <t xml:space="preserve">AAACCCCCCGCCCTCTCCCCGACC</t>
  </si>
  <si>
    <t xml:space="preserve">CAGCTCGCAGGCCAGTTCGA</t>
  </si>
  <si>
    <t xml:space="preserve">TAGTCAGCTCGCAGGCCAGTTCGA</t>
  </si>
  <si>
    <t xml:space="preserve">AAACTCGAACTGGCCTGCGAGCTG</t>
  </si>
  <si>
    <t xml:space="preserve">CCAGCGGCGTCACGGAGGGG</t>
  </si>
  <si>
    <t xml:space="preserve">TAGTCCAGCGGCGTCACGGAGGGG</t>
  </si>
  <si>
    <t xml:space="preserve">AAACCCCCTCCGTGACGCCGCTGG</t>
  </si>
  <si>
    <t xml:space="preserve">GGCGCTGGCTCATCAGCTGC</t>
  </si>
  <si>
    <t xml:space="preserve">TAGTGGCGCTGGCTCATCAGCTGC</t>
  </si>
  <si>
    <t xml:space="preserve">AAACGCAGCTGATGAGCCAGCGCC</t>
  </si>
  <si>
    <t xml:space="preserve">PST_2691</t>
  </si>
  <si>
    <t xml:space="preserve">rrmA</t>
  </si>
  <si>
    <t xml:space="preserve">GAAACGGTGGTTGGCCGGGC</t>
  </si>
  <si>
    <t xml:space="preserve">TAGTGAAACGGTGGTTGGCCGGGC</t>
  </si>
  <si>
    <t xml:space="preserve">AAACGCCCGGCCAACCACCGTTTC</t>
  </si>
  <si>
    <t xml:space="preserve">GCAGCAGGTTCAGGTAGCCC</t>
  </si>
  <si>
    <t xml:space="preserve">TAGTGCAGCAGGTTCAGGTAGCCC</t>
  </si>
  <si>
    <t xml:space="preserve">AAACGGGCTACCTGAACCTGCTGC</t>
  </si>
  <si>
    <t xml:space="preserve">CGGCTGTTCTTGTGCTGCAC</t>
  </si>
  <si>
    <t xml:space="preserve">TAGTCGGCTGTTCTTGTGCTGCAC</t>
  </si>
  <si>
    <t xml:space="preserve">AAACGTGCAGCACAAGAACAGCCG</t>
  </si>
  <si>
    <t xml:space="preserve">CCTGGTTGTCGCCCGGATCG</t>
  </si>
  <si>
    <t xml:space="preserve">TAGTCCTGGTTGTCGCCCGGATCG</t>
  </si>
  <si>
    <t xml:space="preserve">AAACCGATCCGGGCGACAACCAGG</t>
  </si>
  <si>
    <t xml:space="preserve">PST_2692</t>
  </si>
  <si>
    <t xml:space="preserve">TCGATATCGGGTTGACGCAT</t>
  </si>
  <si>
    <t xml:space="preserve">TAGTTCGATATCGGGTTGACGCAT</t>
  </si>
  <si>
    <t xml:space="preserve">AAACATGCGTCAACCCGATATCGA</t>
  </si>
  <si>
    <t xml:space="preserve">CTTCCTGGCTGGCATCCCTG</t>
  </si>
  <si>
    <t xml:space="preserve">TAGTCTTCCTGGCTGGCATCCCTG</t>
  </si>
  <si>
    <t xml:space="preserve">AAACCAGGGATGCCAGCCAGGAAG</t>
  </si>
  <si>
    <t xml:space="preserve">CTCGGCCAGCCACTCGCCGA</t>
  </si>
  <si>
    <t xml:space="preserve">TAGTCTCGGCCAGCCACTCGCCGA</t>
  </si>
  <si>
    <t xml:space="preserve">AAACTCGGCGAGTGGCTGGCCGAG</t>
  </si>
  <si>
    <t xml:space="preserve">CCAGGCGGAACAGGGGCCGA</t>
  </si>
  <si>
    <t xml:space="preserve">TAGTCCAGGCGGAACAGGGGCCGA</t>
  </si>
  <si>
    <t xml:space="preserve">AAACTCGGCCCCTGTTCCGCCTGG</t>
  </si>
  <si>
    <t xml:space="preserve">PST_2693</t>
  </si>
  <si>
    <t xml:space="preserve">TCTGCCCTGCACGGCAACCA</t>
  </si>
  <si>
    <t xml:space="preserve">TAGTTCTGCCCTGCACGGCAACCA</t>
  </si>
  <si>
    <t xml:space="preserve">AAACTGGTTGCCGTGCAGGGCAGA</t>
  </si>
  <si>
    <t xml:space="preserve">CGTCGCCGGAGTATAAGCCA</t>
  </si>
  <si>
    <t xml:space="preserve">TAGTCGTCGCCGGAGTATAAGCCA</t>
  </si>
  <si>
    <t xml:space="preserve">AAACTGGCTTATACTCCGGCGACG</t>
  </si>
  <si>
    <t xml:space="preserve">TTTTGTTATTCCTCGGAAGA</t>
  </si>
  <si>
    <t xml:space="preserve">TAGTTTTTGTTATTCCTCGGAAGA</t>
  </si>
  <si>
    <t xml:space="preserve">AAACTCTTCCGAGGAATAACAAAA</t>
  </si>
  <si>
    <t xml:space="preserve">GTTGAACCACTTGACAGTCC</t>
  </si>
  <si>
    <t xml:space="preserve">TAGTGTTGAACCACTTGACAGTCC</t>
  </si>
  <si>
    <t xml:space="preserve">AAACGGACTGTCAAGTGGTTCAAC</t>
  </si>
  <si>
    <t xml:space="preserve">PST_2694</t>
  </si>
  <si>
    <t xml:space="preserve">GGAATAGATGACTCGTTTCA</t>
  </si>
  <si>
    <t xml:space="preserve">TAGTGGAATAGATGACTCGTTTCA</t>
  </si>
  <si>
    <t xml:space="preserve">AAACTGAAACGAGTCATCTATTCC</t>
  </si>
  <si>
    <t xml:space="preserve">CGGTCAGCCCGTTGAACAGC</t>
  </si>
  <si>
    <t xml:space="preserve">TAGTCGGTCAGCCCGTTGAACAGC</t>
  </si>
  <si>
    <t xml:space="preserve">AAACGCTGTTCAACGGGCTGACCG</t>
  </si>
  <si>
    <t xml:space="preserve">GGCATTGGTCAGCAGCGTGC</t>
  </si>
  <si>
    <t xml:space="preserve">TAGTGGCATTGGTCAGCAGCGTGC</t>
  </si>
  <si>
    <t xml:space="preserve">AAACGCACGCTGCTGACCAATGCC</t>
  </si>
  <si>
    <t xml:space="preserve">CTGCTCGGTCAGGTCCAGCC</t>
  </si>
  <si>
    <t xml:space="preserve">TAGTCTGCTCGGTCAGGTCCAGCC</t>
  </si>
  <si>
    <t xml:space="preserve">AAACGGCTGGACCTGACCGAGCAG</t>
  </si>
  <si>
    <t xml:space="preserve">PST_2695</t>
  </si>
  <si>
    <t xml:space="preserve">GCTTGAAGATGACCGGCAAC</t>
  </si>
  <si>
    <t xml:space="preserve">TAGTGCTTGAAGATGACCGGCAAC</t>
  </si>
  <si>
    <t xml:space="preserve">AAACGTTGCCGGTCATCTTCAAGC</t>
  </si>
  <si>
    <t xml:space="preserve">GAACACATAGGCGAGCGGCG</t>
  </si>
  <si>
    <t xml:space="preserve">TAGTGAACACATAGGCGAGCGGCG</t>
  </si>
  <si>
    <t xml:space="preserve">AAACCGCCGCTCGCCTATGTGTTC</t>
  </si>
  <si>
    <t xml:space="preserve">TGAATACCCCGGACAGCACC</t>
  </si>
  <si>
    <t xml:space="preserve">TAGTTGAATACCCCGGACAGCACC</t>
  </si>
  <si>
    <t xml:space="preserve">AAACGGTGCTGTCCGGGGTATTCA</t>
  </si>
  <si>
    <t xml:space="preserve">GTAGAAACCGCCCAGGTAGA</t>
  </si>
  <si>
    <t xml:space="preserve">TAGTGTAGAAACCGCCCAGGTAGA</t>
  </si>
  <si>
    <t xml:space="preserve">AAACTCTACCTGGGCGGTTTCTAC</t>
  </si>
  <si>
    <t xml:space="preserve">PST_2697</t>
  </si>
  <si>
    <t xml:space="preserve">GAACGACAGGTTGTCGACCG</t>
  </si>
  <si>
    <t xml:space="preserve">TAGTGAACGACAGGTTGTCGACCG</t>
  </si>
  <si>
    <t xml:space="preserve">AAACCGGTCGACAACCTGTCGTTC</t>
  </si>
  <si>
    <t xml:space="preserve">GCACCTCTCCGCGCTGGACC</t>
  </si>
  <si>
    <t xml:space="preserve">TAGTGCACCTCTCCGCGCTGGACC</t>
  </si>
  <si>
    <t xml:space="preserve">AAACGGTCCAGCGCGGAGAGGTGC</t>
  </si>
  <si>
    <t xml:space="preserve">TGCCGGCCCCATTGGGGCCG</t>
  </si>
  <si>
    <t xml:space="preserve">TAGTTGCCGGCCCCATTGGGGCCG</t>
  </si>
  <si>
    <t xml:space="preserve">AAACCGGCCCCAATGGGGCCGGCA</t>
  </si>
  <si>
    <t xml:space="preserve">GCCGGTCAGCATCTTCATCG</t>
  </si>
  <si>
    <t xml:space="preserve">TAGTGCCGGTCAGCATCTTCATCG</t>
  </si>
  <si>
    <t xml:space="preserve">AAACCGATGAAGATGCTGACCGGC</t>
  </si>
  <si>
    <t xml:space="preserve">PST_2696</t>
  </si>
  <si>
    <t xml:space="preserve">ACGCCAAGGCTTGTGCGCAC</t>
  </si>
  <si>
    <t xml:space="preserve">TAGTACGCCAAGGCTTGTGCGCAC</t>
  </si>
  <si>
    <t xml:space="preserve">AAACGTGCGCACAAGCCTTGGCGT</t>
  </si>
  <si>
    <t xml:space="preserve">GCCTGGCTCGGGTCGCGCGG</t>
  </si>
  <si>
    <t xml:space="preserve">TAGTGCCTGGCTCGGGTCGCGCGG</t>
  </si>
  <si>
    <t xml:space="preserve">AAACCCGCGCGACCCGAGCCAGGC</t>
  </si>
  <si>
    <t xml:space="preserve">GTTCCGCCGGCATTTTTGCA</t>
  </si>
  <si>
    <t xml:space="preserve">TAGTGTTCCGCCGGCATTTTTGCA</t>
  </si>
  <si>
    <t xml:space="preserve">AAACTGCAAAAATGCCGGCGGAAC</t>
  </si>
  <si>
    <t xml:space="preserve">AACGTTGCCGCCAAGCCGCG</t>
  </si>
  <si>
    <t xml:space="preserve">TAGTAACGTTGCCGCCAAGCCGCG</t>
  </si>
  <si>
    <t xml:space="preserve">AAACCGCGGCTTGGCGGCAACGTT</t>
  </si>
  <si>
    <t xml:space="preserve">PST_2698</t>
  </si>
  <si>
    <t xml:space="preserve">GTTTCGAATTCGATCGGGTT</t>
  </si>
  <si>
    <t xml:space="preserve">TAGTGTTTCGAATTCGATCGGGTT</t>
  </si>
  <si>
    <t xml:space="preserve">AAACAACCCGATCGAATTCGAAAC</t>
  </si>
  <si>
    <t xml:space="preserve">TTGCCGCATGAACAGGCGTT</t>
  </si>
  <si>
    <t xml:space="preserve">TAGTTTGCCGCATGAACAGGCGTT</t>
  </si>
  <si>
    <t xml:space="preserve">AAACAACGCCTGTTCATGCGGCAA</t>
  </si>
  <si>
    <t xml:space="preserve">CAAAGGGCGCCCGGTCGCTC</t>
  </si>
  <si>
    <t xml:space="preserve">TAGTCAAAGGGCGCCCGGTCGCTC</t>
  </si>
  <si>
    <t xml:space="preserve">AAACGAGCGACCGGGCGCCCTTTG</t>
  </si>
  <si>
    <t xml:space="preserve">CCGCGGGTCTGCGTTCAGTT</t>
  </si>
  <si>
    <t xml:space="preserve">TAGTCCGCGGGTCTGCGTTCAGTT</t>
  </si>
  <si>
    <t xml:space="preserve">AAACAACTGAACGCAGACCCGCGG</t>
  </si>
  <si>
    <t xml:space="preserve">PST_2699</t>
  </si>
  <si>
    <t xml:space="preserve">AACAGCGAGAGCAACAGGGC</t>
  </si>
  <si>
    <t xml:space="preserve">TAGTAACAGCGAGAGCAACAGGGC</t>
  </si>
  <si>
    <t xml:space="preserve">AAACGCCCTGTTGCTCTCGCTGTT</t>
  </si>
  <si>
    <t xml:space="preserve">TCCTCCGCATGGGCGAAGCC</t>
  </si>
  <si>
    <t xml:space="preserve">TAGTTCCTCCGCATGGGCGAAGCC</t>
  </si>
  <si>
    <t xml:space="preserve">AAACGGCTTCGCCCATGCGGAGGA</t>
  </si>
  <si>
    <t xml:space="preserve">CCCCGCGCGTTCGAACAGAC</t>
  </si>
  <si>
    <t xml:space="preserve">TAGTCCCCGCGCGTTCGAACAGAC</t>
  </si>
  <si>
    <t xml:space="preserve">AAACGTCTGTTCGAACGCGCGGGG</t>
  </si>
  <si>
    <t xml:space="preserve">GAAGCGCTGGCCCGTGGCGA</t>
  </si>
  <si>
    <t xml:space="preserve">TAGTGAAGCGCTGGCCCGTGGCGA</t>
  </si>
  <si>
    <t xml:space="preserve">AAACTCGCCACGGGCCAGCGCTTC</t>
  </si>
  <si>
    <t xml:space="preserve">PST_2700</t>
  </si>
  <si>
    <t xml:space="preserve">TTTGATCTCGTCGCTGCGCA</t>
  </si>
  <si>
    <t xml:space="preserve">TAGTTTTGATCTCGTCGCTGCGCA</t>
  </si>
  <si>
    <t xml:space="preserve">AAACTGCGCAGCGACGAGATCAAA</t>
  </si>
  <si>
    <t xml:space="preserve">CCAGCGCTCGTCGTAGCTGG</t>
  </si>
  <si>
    <t xml:space="preserve">TAGTCCAGCGCTCGTCGTAGCTGG</t>
  </si>
  <si>
    <t xml:space="preserve">AAACCCAGCTACGACGAGCGCTGG</t>
  </si>
  <si>
    <t xml:space="preserve">ATTGCGAATGGGCGCGGTTC</t>
  </si>
  <si>
    <t xml:space="preserve">TAGTATTGCGAATGGGCGCGGTTC</t>
  </si>
  <si>
    <t xml:space="preserve">AAACGAACCGCGCCCATTCGCAAT</t>
  </si>
  <si>
    <t xml:space="preserve">CGCCTCCAGAAGAAAATGCA</t>
  </si>
  <si>
    <t xml:space="preserve">TAGTCGCCTCCAGAAGAAAATGCA</t>
  </si>
  <si>
    <t xml:space="preserve">AAACTGCATTTTCTTCTGGAGGCG</t>
  </si>
  <si>
    <t xml:space="preserve">PST_2701</t>
  </si>
  <si>
    <t xml:space="preserve">CAGCGCCTGCACGACCGGCC</t>
  </si>
  <si>
    <t xml:space="preserve">TAGTCAGCGCCTGCACGACCGGCC</t>
  </si>
  <si>
    <t xml:space="preserve">AAACGGCCGGTCGTGCAGGCGCTG</t>
  </si>
  <si>
    <t xml:space="preserve">GATGAAAGCGCCGGCGAGAG</t>
  </si>
  <si>
    <t xml:space="preserve">TAGTGATGAAAGCGCCGGCGAGAG</t>
  </si>
  <si>
    <t xml:space="preserve">AAACCTCTCGCCGGCGCTTTCATC</t>
  </si>
  <si>
    <t xml:space="preserve">TCGGCCTGACCACTGGCCCA</t>
  </si>
  <si>
    <t xml:space="preserve">TAGTTCGGCCTGACCACTGGCCCA</t>
  </si>
  <si>
    <t xml:space="preserve">AAACTGGGCCAGTGGTCAGGCCGA</t>
  </si>
  <si>
    <t xml:space="preserve">TACAGGCCGTCGCCGTCCCA</t>
  </si>
  <si>
    <t xml:space="preserve">TAGTTACAGGCCGTCGCCGTCCCA</t>
  </si>
  <si>
    <t xml:space="preserve">AAACTGGGACGGCGACGGCCTGTA</t>
  </si>
  <si>
    <t xml:space="preserve">PST_2702</t>
  </si>
  <si>
    <t xml:space="preserve">AATGCTGGCCAGTTCTGGCG</t>
  </si>
  <si>
    <t xml:space="preserve">TAGTAATGCTGGCCAGTTCTGGCG</t>
  </si>
  <si>
    <t xml:space="preserve">AAACCGCCAGAACTGGCCAGCATT</t>
  </si>
  <si>
    <t xml:space="preserve">TGAGGCAGGCGATATAGGCG</t>
  </si>
  <si>
    <t xml:space="preserve">TAGTTGAGGCAGGCGATATAGGCG</t>
  </si>
  <si>
    <t xml:space="preserve">AAACCGCCTATATCGCCTGCCTCA</t>
  </si>
  <si>
    <t xml:space="preserve">TCCGAGCTCGGGCCAGTCCC</t>
  </si>
  <si>
    <t xml:space="preserve">TAGTTCCGAGCTCGGGCCAGTCCC</t>
  </si>
  <si>
    <t xml:space="preserve">AAACGGGACTGGCCCGAGCTCGGA</t>
  </si>
  <si>
    <t xml:space="preserve">GGTTGCCGTTATGCCGGACC</t>
  </si>
  <si>
    <t xml:space="preserve">TAGTGGTTGCCGTTATGCCGGACC</t>
  </si>
  <si>
    <t xml:space="preserve">AAACGGTCCGGCATAACGGCAACC</t>
  </si>
  <si>
    <t xml:space="preserve">PST_2703</t>
  </si>
  <si>
    <t xml:space="preserve">plsB</t>
  </si>
  <si>
    <t xml:space="preserve">AGGGGCGGAGCCCTCGAAGG</t>
  </si>
  <si>
    <t xml:space="preserve">TAGTAGGGGCGGAGCCCTCGAAGG</t>
  </si>
  <si>
    <t xml:space="preserve">AAACCCTTCGAGGGCTCCGCCCCT</t>
  </si>
  <si>
    <t xml:space="preserve">ACGGCGGATTCGACTGTGGA</t>
  </si>
  <si>
    <t xml:space="preserve">TAGTACGGCGGATTCGACTGTGGA</t>
  </si>
  <si>
    <t xml:space="preserve">AAACTCCACAGTCGAATCCGCCGT</t>
  </si>
  <si>
    <t xml:space="preserve">CAGACGGCGAACGGGGGAGC</t>
  </si>
  <si>
    <t xml:space="preserve">TAGTCAGACGGCGAACGGGGGAGC</t>
  </si>
  <si>
    <t xml:space="preserve">AAACGCTCCCCCGTTCGCCGTCTG</t>
  </si>
  <si>
    <t xml:space="preserve">GTACAGCACACGGCGCACCA</t>
  </si>
  <si>
    <t xml:space="preserve">TAGTGTACAGCACACGGCGCACCA</t>
  </si>
  <si>
    <t xml:space="preserve">AAACTGGTGCGCCGTGTGCTGTAC</t>
  </si>
  <si>
    <t xml:space="preserve">PST_2705</t>
  </si>
  <si>
    <t xml:space="preserve">ACACGCCCCATCTGCCAGCA</t>
  </si>
  <si>
    <t xml:space="preserve">TAGTACACGCCCCATCTGCCAGCA</t>
  </si>
  <si>
    <t xml:space="preserve">AAACTGCTGGCAGATGGGGCGTGT</t>
  </si>
  <si>
    <t xml:space="preserve">GCATCAACGTCAGTATCCAC</t>
  </si>
  <si>
    <t xml:space="preserve">TAGTGCATCAACGTCAGTATCCAC</t>
  </si>
  <si>
    <t xml:space="preserve">AAACGTGGATACTGACGTTGATGC</t>
  </si>
  <si>
    <t xml:space="preserve">CGCCTGGATGTCGCGCCGCC</t>
  </si>
  <si>
    <t xml:space="preserve">TAGTCGCCTGGATGTCGCGCCGCC</t>
  </si>
  <si>
    <t xml:space="preserve">AAACGGCGGCGCGACATCCAGGCG</t>
  </si>
  <si>
    <t xml:space="preserve">CCAGAACTGCGGGGGCACGA</t>
  </si>
  <si>
    <t xml:space="preserve">TAGTCCAGAACTGCGGGGGCACGA</t>
  </si>
  <si>
    <t xml:space="preserve">AAACTCGTGCCCCCGCAGTTCTGG</t>
  </si>
  <si>
    <t xml:space="preserve">PST_2704</t>
  </si>
  <si>
    <t xml:space="preserve">GGCCAGTCCGGCGACTAGCG</t>
  </si>
  <si>
    <t xml:space="preserve">TAGTGGCCAGTCCGGCGACTAGCG</t>
  </si>
  <si>
    <t xml:space="preserve">AAACCGCTAGTCGCCGGACTGGCC</t>
  </si>
  <si>
    <t xml:space="preserve">GGCGAAGGCGCTGACGGACA</t>
  </si>
  <si>
    <t xml:space="preserve">TAGTGGCGAAGGCGCTGACGGACA</t>
  </si>
  <si>
    <t xml:space="preserve">AAACTGTCCGTCAGCGCCTTCGCC</t>
  </si>
  <si>
    <t xml:space="preserve">GGTCAGGTCGGCGAGAGATA</t>
  </si>
  <si>
    <t xml:space="preserve">TAGTGGTCAGGTCGGCGAGAGATA</t>
  </si>
  <si>
    <t xml:space="preserve">AAACTATCTCTCGCCGACCTGACC</t>
  </si>
  <si>
    <t xml:space="preserve">GCCGGCGCTGGCGTCACTCT</t>
  </si>
  <si>
    <t xml:space="preserve">TAGTGCCGGCGCTGGCGTCACTCT</t>
  </si>
  <si>
    <t xml:space="preserve">AAACAGAGTGACGCCAGCGCCGGC</t>
  </si>
  <si>
    <t xml:space="preserve">PST_2706</t>
  </si>
  <si>
    <t xml:space="preserve">dsbG</t>
  </si>
  <si>
    <t xml:space="preserve">CCGGCCAGCAGGTAGGGTAA</t>
  </si>
  <si>
    <t xml:space="preserve">TAGTCCGGCCAGCAGGTAGGGTAA</t>
  </si>
  <si>
    <t xml:space="preserve">AAACTTACCCTACCTGCTGGCCGG</t>
  </si>
  <si>
    <t xml:space="preserve">GGGCCATGGGCAGGGCCAGC</t>
  </si>
  <si>
    <t xml:space="preserve">TAGTGGGCCATGGGCAGGGCCAGC</t>
  </si>
  <si>
    <t xml:space="preserve">AAACGCTGGCCCTGCCCATGGCCC</t>
  </si>
  <si>
    <t xml:space="preserve">CTCCGGCAATTCCTCGGCCT</t>
  </si>
  <si>
    <t xml:space="preserve">TAGTCTCCGGCAATTCCTCGGCCT</t>
  </si>
  <si>
    <t xml:space="preserve">AAACAGGCCGAGGAATTGCCGGAG</t>
  </si>
  <si>
    <t xml:space="preserve">CTCGGCGCCACGCGCCTCGA</t>
  </si>
  <si>
    <t xml:space="preserve">TAGTCTCGGCGCCACGCGCCTCGA</t>
  </si>
  <si>
    <t xml:space="preserve">AAACTCGAGGCGCGTGGCGCCGAG</t>
  </si>
  <si>
    <t xml:space="preserve">PST_2707</t>
  </si>
  <si>
    <t xml:space="preserve">TGGGGCACCGCCAGGGCCAG</t>
  </si>
  <si>
    <t xml:space="preserve">TAGTTGGGGCACCGCCAGGGCCAG</t>
  </si>
  <si>
    <t xml:space="preserve">AAACCTGGCCCTGGCGGTGCCCCA</t>
  </si>
  <si>
    <t xml:space="preserve">GGCTGCCCAGCAGCAATACA</t>
  </si>
  <si>
    <t xml:space="preserve">TAGTGGCTGCCCAGCAGCAATACA</t>
  </si>
  <si>
    <t xml:space="preserve">AAACTGTATTGCTGCTGGGCAGCC</t>
  </si>
  <si>
    <t xml:space="preserve">GCCGACCCACCAGCCGGTCA</t>
  </si>
  <si>
    <t xml:space="preserve">TAGTGCCGACCCACCAGCCGGTCA</t>
  </si>
  <si>
    <t xml:space="preserve">AAACTGACCGGCTGGTGGGTCGGC</t>
  </si>
  <si>
    <t xml:space="preserve">CCGGGTTGCGCTCGCTGCGG</t>
  </si>
  <si>
    <t xml:space="preserve">TAGTCCGGGTTGCGCTCGCTGCGG</t>
  </si>
  <si>
    <t xml:space="preserve">AAACCCGCAGCGAGCGCAACCCGG</t>
  </si>
  <si>
    <t xml:space="preserve">PST_2708</t>
  </si>
  <si>
    <t xml:space="preserve">dsbD-2</t>
  </si>
  <si>
    <t xml:space="preserve">CCGGCCGGCAGCGCCAATCC</t>
  </si>
  <si>
    <t xml:space="preserve">TAGTCCGGCCGGCAGCGCCAATCC</t>
  </si>
  <si>
    <t xml:space="preserve">AAACGGATTGGCGCTGCCGGCCGG</t>
  </si>
  <si>
    <t xml:space="preserve">AGCGCGAACGCCTCTTCCAC</t>
  </si>
  <si>
    <t xml:space="preserve">TAGTAGCGCGAACGCCTCTTCCAC</t>
  </si>
  <si>
    <t xml:space="preserve">AAACGTGGAAGAGGCGTTCGCGCT</t>
  </si>
  <si>
    <t xml:space="preserve">AGCGTCGCGCCGTTCTCCTG</t>
  </si>
  <si>
    <t xml:space="preserve">TAGTAGCGTCGCGCCGTTCTCCTG</t>
  </si>
  <si>
    <t xml:space="preserve">AAACCAGGAGAACGGCGCGACGCT</t>
  </si>
  <si>
    <t xml:space="preserve">TGCTGATAGAGGTAATAGCC</t>
  </si>
  <si>
    <t xml:space="preserve">TAGTTGCTGATAGAGGTAATAGCC</t>
  </si>
  <si>
    <t xml:space="preserve">AAACGGCTATTACCTCTATCAGCA</t>
  </si>
  <si>
    <t xml:space="preserve">PST_2709</t>
  </si>
  <si>
    <t xml:space="preserve">TCGGCAAGCAGCACGTGCAT</t>
  </si>
  <si>
    <t xml:space="preserve">TAGTTCGGCAAGCAGCACGTGCAT</t>
  </si>
  <si>
    <t xml:space="preserve">AAACATGCACGTGCTGCTTGCCGA</t>
  </si>
  <si>
    <t xml:space="preserve">GAGCCCGGCGACGATACCGC</t>
  </si>
  <si>
    <t xml:space="preserve">TAGTGAGCCCGGCGACGATACCGC</t>
  </si>
  <si>
    <t xml:space="preserve">AAACGCGGTATCGTCGCCGGGCTC</t>
  </si>
  <si>
    <t xml:space="preserve">ATGGTCGACGATCAGGCCCT</t>
  </si>
  <si>
    <t xml:space="preserve">TAGTATGGTCGACGATCAGGCCCT</t>
  </si>
  <si>
    <t xml:space="preserve">AAACAGGGCCTGATCGTCGACCAT</t>
  </si>
  <si>
    <t xml:space="preserve">TTCGGCAGCCGCCGCGGTCG</t>
  </si>
  <si>
    <t xml:space="preserve">TAGTTTCGGCAGCCGCCGCGGTCG</t>
  </si>
  <si>
    <t xml:space="preserve">AAACCGACCGCGGCGGCTGCCGAA</t>
  </si>
  <si>
    <t xml:space="preserve">PST_2710</t>
  </si>
  <si>
    <t xml:space="preserve">CGAGCATCAGGGTCAGGCGC</t>
  </si>
  <si>
    <t xml:space="preserve">TAGTCGAGCATCAGGGTCAGGCGC</t>
  </si>
  <si>
    <t xml:space="preserve">AAACGCGCCTGACCCTGATGCTCG</t>
  </si>
  <si>
    <t xml:space="preserve">CAATGCCCAGAGCAGCACGA</t>
  </si>
  <si>
    <t xml:space="preserve">TAGTCAATGCCCAGAGCAGCACGA</t>
  </si>
  <si>
    <t xml:space="preserve">AAACTCGTGCTGCTCTGGGCATTG</t>
  </si>
  <si>
    <t xml:space="preserve">GCGCAGATCGACCAGCATCC</t>
  </si>
  <si>
    <t xml:space="preserve">TAGTGCGCAGATCGACCAGCATCC</t>
  </si>
  <si>
    <t xml:space="preserve">AAACGGATGCTGGTCGATCTGCGC</t>
  </si>
  <si>
    <t xml:space="preserve">GGTCGAGCGAGAGCATCATC</t>
  </si>
  <si>
    <t xml:space="preserve">TAGTGGTCGAGCGAGAGCATCATC</t>
  </si>
  <si>
    <t xml:space="preserve">AAACGATGATGCTCTCGCTCGACC</t>
  </si>
  <si>
    <t xml:space="preserve">PST_2711</t>
  </si>
  <si>
    <t xml:space="preserve">TCACCGCGAGCATGAACATC</t>
  </si>
  <si>
    <t xml:space="preserve">TAGTTCACCGCGAGCATGAACATC</t>
  </si>
  <si>
    <t xml:space="preserve">AAACGATGTTCATGCTCGCGGTGA</t>
  </si>
  <si>
    <t xml:space="preserve">CTGGTGAAAGAGGTACCCCG</t>
  </si>
  <si>
    <t xml:space="preserve">TAGTCTGGTGAAAGAGGTACCCCG</t>
  </si>
  <si>
    <t xml:space="preserve">AAACCGGGGTACCTCTTTCACCAG</t>
  </si>
  <si>
    <t xml:space="preserve">GCTGGTCCAGCTCGTTGAAG</t>
  </si>
  <si>
    <t xml:space="preserve">TAGTGCTGGTCCAGCTCGTTGAAG</t>
  </si>
  <si>
    <t xml:space="preserve">AAACCTTCAACGAGCTGGACCAGC</t>
  </si>
  <si>
    <t xml:space="preserve">GGCGCGAAGCTTCTCGTGCA</t>
  </si>
  <si>
    <t xml:space="preserve">TAGTGGCGCGAAGCTTCTCGTGCA</t>
  </si>
  <si>
    <t xml:space="preserve">AAACTGCACGAGAAGCTTCGCGCC</t>
  </si>
  <si>
    <t xml:space="preserve">PST_2712</t>
  </si>
  <si>
    <t xml:space="preserve">GGTGGTGGACGGCGCAAGTG</t>
  </si>
  <si>
    <t xml:space="preserve">TAGTGGTGGTGGACGGCGCAAGTG</t>
  </si>
  <si>
    <t xml:space="preserve">AAACCACTTGCGCCGTCCACCACC</t>
  </si>
  <si>
    <t xml:space="preserve">GTTTCATGCGGATATTCCAT</t>
  </si>
  <si>
    <t xml:space="preserve">TAGTGTTTCATGCGGATATTCCAT</t>
  </si>
  <si>
    <t xml:space="preserve">AAACATGGAATATCCGCATGAAAC</t>
  </si>
  <si>
    <t xml:space="preserve">GCCGGTTTTCGGCTCGTCTT</t>
  </si>
  <si>
    <t xml:space="preserve">TAGTGCCGGTTTTCGGCTCGTCTT</t>
  </si>
  <si>
    <t xml:space="preserve">AAACAAGACGAGCCGAAAACCGGC</t>
  </si>
  <si>
    <t xml:space="preserve">GCTCAGCCCCTGCTGCAGGT</t>
  </si>
  <si>
    <t xml:space="preserve">TAGTGCTCAGCCCCTGCTGCAGGT</t>
  </si>
  <si>
    <t xml:space="preserve">AAACACCTGCAGCAGGGGCTGAGC</t>
  </si>
  <si>
    <t xml:space="preserve">PST_2713</t>
  </si>
  <si>
    <t xml:space="preserve">CTGAGTCGGATACTGTTCAT</t>
  </si>
  <si>
    <t xml:space="preserve">TAGTCTGAGTCGGATACTGTTCAT</t>
  </si>
  <si>
    <t xml:space="preserve">AAACATGAACAGTATCCGACTCAG</t>
  </si>
  <si>
    <t xml:space="preserve">GCAGCCACCGCAGCTCATGC</t>
  </si>
  <si>
    <t xml:space="preserve">TAGTGCAGCCACCGCAGCTCATGC</t>
  </si>
  <si>
    <t xml:space="preserve">AAACGCATGAGCTGCGGTGGCTGC</t>
  </si>
  <si>
    <t xml:space="preserve">GTCGATCCGAACCAGGCCGC</t>
  </si>
  <si>
    <t xml:space="preserve">TAGTGTCGATCCGAACCAGGCCGC</t>
  </si>
  <si>
    <t xml:space="preserve">AAACGCGGCCTGGTTCGGATCGAC</t>
  </si>
  <si>
    <t xml:space="preserve">TGCGATCAGGTTTGCGTCAT</t>
  </si>
  <si>
    <t xml:space="preserve">TAGTTGCGATCAGGTTTGCGTCAT</t>
  </si>
  <si>
    <t xml:space="preserve">AAACATGACGCAAACCTGATCGCA</t>
  </si>
  <si>
    <t xml:space="preserve">PST_2714</t>
  </si>
  <si>
    <t xml:space="preserve">GCGGCGAGTACGGTGAGATG</t>
  </si>
  <si>
    <t xml:space="preserve">TAGTGCGGCGAGTACGGTGAGATG</t>
  </si>
  <si>
    <t xml:space="preserve">AAACCATCTCACCGTACTCGCCGC</t>
  </si>
  <si>
    <t xml:space="preserve">CTCGGCGGCCTGAGCCGCCC</t>
  </si>
  <si>
    <t xml:space="preserve">TAGTCTCGGCGGCCTGAGCCGCCC</t>
  </si>
  <si>
    <t xml:space="preserve">AAACGGGCGGCTCAGGCCGCCGAG</t>
  </si>
  <si>
    <t xml:space="preserve">AGCAGCCGCAGTTGGCGTCC</t>
  </si>
  <si>
    <t xml:space="preserve">TAGTAGCAGCCGCAGTTGGCGTCC</t>
  </si>
  <si>
    <t xml:space="preserve">AAACGGACGCCAACTGCGGCTGCT</t>
  </si>
  <si>
    <t xml:space="preserve">GTCGCGCACCTCGAACCCAT</t>
  </si>
  <si>
    <t xml:space="preserve">TAGTGTCGCGCACCTCGAACCCAT</t>
  </si>
  <si>
    <t xml:space="preserve">AAACATGGGTTCGAGGTGCGCGAC</t>
  </si>
  <si>
    <t xml:space="preserve">PST_2715</t>
  </si>
  <si>
    <t xml:space="preserve">pcoA</t>
  </si>
  <si>
    <t xml:space="preserve">ATGCCGGCGAAGCTGAAGCC</t>
  </si>
  <si>
    <t xml:space="preserve">TAGTATGCCGGCGAAGCTGAAGCC</t>
  </si>
  <si>
    <t xml:space="preserve">AAACGGCTTCAGCTTCGCCGGCAT</t>
  </si>
  <si>
    <t xml:space="preserve">CGGTACTCGTACATGCCGTC</t>
  </si>
  <si>
    <t xml:space="preserve">TAGTCGGTACTCGTACATGCCGTC</t>
  </si>
  <si>
    <t xml:space="preserve">AAACGACGGCATGTACGAGTACCG</t>
  </si>
  <si>
    <t xml:space="preserve">CGCTCTGCTTGACCTTGAAG</t>
  </si>
  <si>
    <t xml:space="preserve">TAGTCGCTCTGCTTGACCTTGAAG</t>
  </si>
  <si>
    <t xml:space="preserve">AAACCTTCAAGGTCAAGCAGAGCG</t>
  </si>
  <si>
    <t xml:space="preserve">CGAGTGGCTGTGATACCAGT</t>
  </si>
  <si>
    <t xml:space="preserve">TAGTCGAGTGGCTGTGATACCAGT</t>
  </si>
  <si>
    <t xml:space="preserve">AAACACTGGTATCACAGCCACTCG</t>
  </si>
  <si>
    <t xml:space="preserve">PST_2716</t>
  </si>
  <si>
    <t xml:space="preserve">GTGTGCTTGAGGGTTTTCAT</t>
  </si>
  <si>
    <t xml:space="preserve">TAGTGTGTGCTTGAGGGTTTTCAT</t>
  </si>
  <si>
    <t xml:space="preserve">AAACATGAAAACCCTCAAGCACAC</t>
  </si>
  <si>
    <t xml:space="preserve">GGCCAGGCCGAGGGCGAGCA</t>
  </si>
  <si>
    <t xml:space="preserve">TAGTGGCCAGGCCGAGGGCGAGCA</t>
  </si>
  <si>
    <t xml:space="preserve">AAACTGCTCGCCCTCGGCCTGGCC</t>
  </si>
  <si>
    <t xml:space="preserve">CGCGTTCAGGCCGAGGGAGG</t>
  </si>
  <si>
    <t xml:space="preserve">TAGTCGCGTTCAGGCCGAGGGAGG</t>
  </si>
  <si>
    <t xml:space="preserve">AAACCCTCCCTCGGCCTGAACGCG</t>
  </si>
  <si>
    <t xml:space="preserve">CATGTTCGCTCTGCTGCGCC</t>
  </si>
  <si>
    <t xml:space="preserve">TAGTCATGTTCGCTCTGCTGCGCC</t>
  </si>
  <si>
    <t xml:space="preserve">AAACGGCGCAGCAGAGCGAACATG</t>
  </si>
  <si>
    <t xml:space="preserve">PST_2717</t>
  </si>
  <si>
    <t xml:space="preserve">pcoB</t>
  </si>
  <si>
    <t xml:space="preserve">CGCAGCGTGGCCGGCATGGC</t>
  </si>
  <si>
    <t xml:space="preserve">TAGTCGCAGCGTGGCCGGCATGGC</t>
  </si>
  <si>
    <t xml:space="preserve">AAACGCCATGCCGGCCACGCTGCG</t>
  </si>
  <si>
    <t xml:space="preserve">TCCCTGTGCTCGTGCGCTGC</t>
  </si>
  <si>
    <t xml:space="preserve">TAGTTCCCTGTGCTCGTGCGCTGC</t>
  </si>
  <si>
    <t xml:space="preserve">AAACGCAGCGCACGAGCACAGGGA</t>
  </si>
  <si>
    <t xml:space="preserve">GTGGTCCATGTGGCCGTGAT</t>
  </si>
  <si>
    <t xml:space="preserve">TAGTGTGGTCCATGTGGCCGTGAT</t>
  </si>
  <si>
    <t xml:space="preserve">AAACATCACGGCCACATGGACCAC</t>
  </si>
  <si>
    <t xml:space="preserve">TGCGCGGCTCCTGTCCCGGC</t>
  </si>
  <si>
    <t xml:space="preserve">TAGTTGCGCGGCTCCTGTCCCGGC</t>
  </si>
  <si>
    <t xml:space="preserve">AAACGCCGGGACAGGAGCCGCGCA</t>
  </si>
  <si>
    <t xml:space="preserve">PST_2718</t>
  </si>
  <si>
    <t xml:space="preserve">CACTCAGCGCCAGCGTCGCC</t>
  </si>
  <si>
    <t xml:space="preserve">TAGTCACTCAGCGCCAGCGTCGCC</t>
  </si>
  <si>
    <t xml:space="preserve">AAACGGCGACGCTGGCGCTGAGTG</t>
  </si>
  <si>
    <t xml:space="preserve">CGCGCCGGTCACCACCGCCA</t>
  </si>
  <si>
    <t xml:space="preserve">TAGTCGCGCCGGTCACCACCGCCA</t>
  </si>
  <si>
    <t xml:space="preserve">AAACTGGCGGTGGTGACCGGCGCG</t>
  </si>
  <si>
    <t xml:space="preserve">AGCGCCGACGTCGATGATGC</t>
  </si>
  <si>
    <t xml:space="preserve">TAGTAGCGCCGACGTCGATGATGC</t>
  </si>
  <si>
    <t xml:space="preserve">AAACGCATCATCGACGTCGGCGCT</t>
  </si>
  <si>
    <t xml:space="preserve">CATGCAGCGGTGCGCTGTGC</t>
  </si>
  <si>
    <t xml:space="preserve">TAGTCATGCAGCGGTGCGCTGTGC</t>
  </si>
  <si>
    <t xml:space="preserve">AAACGCACAGCGCACCGCTGCATG</t>
  </si>
  <si>
    <t xml:space="preserve">PST_2719</t>
  </si>
  <si>
    <t xml:space="preserve">ACGATCTCGAATAGCACCAC</t>
  </si>
  <si>
    <t xml:space="preserve">TAGTACGATCTCGAATAGCACCAC</t>
  </si>
  <si>
    <t xml:space="preserve">AAACGTGGTGCTATTCGAGATCGT</t>
  </si>
  <si>
    <t xml:space="preserve">CGGTAGGTTTCGGGGCTGCG</t>
  </si>
  <si>
    <t xml:space="preserve">TAGTCGGTAGGTTTCGGGGCTGCG</t>
  </si>
  <si>
    <t xml:space="preserve">AAACCGCAGCCCCGAAACCTACCG</t>
  </si>
  <si>
    <t xml:space="preserve">TGCTGCGGCGGGTCTCGCGA</t>
  </si>
  <si>
    <t xml:space="preserve">TAGTTGCTGCGGCGGGTCTCGCGA</t>
  </si>
  <si>
    <t xml:space="preserve">AAACTCGCGAGACCCGCCGCAGCA</t>
  </si>
  <si>
    <t xml:space="preserve">CATGGCCAGAATGGCGAAGG</t>
  </si>
  <si>
    <t xml:space="preserve">TAGTCATGGCCAGAATGGCGAAGG</t>
  </si>
  <si>
    <t xml:space="preserve">AAACCCTTCGCCATTCTGGCCATG</t>
  </si>
  <si>
    <t xml:space="preserve">PST_2720</t>
  </si>
  <si>
    <t xml:space="preserve">AGGTATCGCGAGGCGGCGCA</t>
  </si>
  <si>
    <t xml:space="preserve">TAGTAGGTATCGCGAGGCGGCGCA</t>
  </si>
  <si>
    <t xml:space="preserve">AAACTGCGCCGCCTCGCGATACCT</t>
  </si>
  <si>
    <t xml:space="preserve">TAGACCCGTTGCTGGTCGGC</t>
  </si>
  <si>
    <t xml:space="preserve">TAGTTAGACCCGTTGCTGGTCGGC</t>
  </si>
  <si>
    <t xml:space="preserve">AAACGCCGACCAGCAACGGGTCTA</t>
  </si>
  <si>
    <t xml:space="preserve">CGAGGTAGGGCACCACATCC</t>
  </si>
  <si>
    <t xml:space="preserve">TAGTCGAGGTAGGGCACCACATCC</t>
  </si>
  <si>
    <t xml:space="preserve">AAACGGATGTGGTGCCCTACCTCG</t>
  </si>
  <si>
    <t xml:space="preserve">CGAAAGCTTCGCGTGGCATG</t>
  </si>
  <si>
    <t xml:space="preserve">TAGTCGAAAGCTTCGCGTGGCATG</t>
  </si>
  <si>
    <t xml:space="preserve">AAACCATGCCACGCGAAGCTTTCG</t>
  </si>
  <si>
    <t xml:space="preserve">PST_2721</t>
  </si>
  <si>
    <t xml:space="preserve">CGTTGGCCATGGTTTCGATA</t>
  </si>
  <si>
    <t xml:space="preserve">TAGTCGTTGGCCATGGTTTCGATA</t>
  </si>
  <si>
    <t xml:space="preserve">AAACTATCGAAACCATGGCCAACG</t>
  </si>
  <si>
    <t xml:space="preserve">CTCGGCGCCGGGCACACGAC</t>
  </si>
  <si>
    <t xml:space="preserve">TAGTCTCGGCGCCGGGCACACGAC</t>
  </si>
  <si>
    <t xml:space="preserve">AAACGTCGTGTGCCCGGCGCCGAG</t>
  </si>
  <si>
    <t xml:space="preserve">GCATCTTCCGGCATGGTCTC</t>
  </si>
  <si>
    <t xml:space="preserve">TAGTGCATCTTCCGGCATGGTCTC</t>
  </si>
  <si>
    <t xml:space="preserve">AAACGAGACCATGCCGGAAGATGC</t>
  </si>
  <si>
    <t xml:space="preserve">CTTGCCGCCAGCGTTGCGGA</t>
  </si>
  <si>
    <t xml:space="preserve">TAGTCTTGCCGCCAGCGTTGCGGA</t>
  </si>
  <si>
    <t xml:space="preserve">AAACTCCGCAACGCTGGCGGCAAG</t>
  </si>
  <si>
    <t xml:space="preserve">PST_2722</t>
  </si>
  <si>
    <t xml:space="preserve">GCGTGGCCGAGTTCTGCATG</t>
  </si>
  <si>
    <t xml:space="preserve">TAGTGCGTGGCCGAGTTCTGCATG</t>
  </si>
  <si>
    <t xml:space="preserve">AAACCATGCAGAACTCGGCCACGC</t>
  </si>
  <si>
    <t xml:space="preserve">GGCGTTCAGCCAACCGTGCC</t>
  </si>
  <si>
    <t xml:space="preserve">TAGTGGCGTTCAGCCAACCGTGCC</t>
  </si>
  <si>
    <t xml:space="preserve">AAACGGCACGGTTGGCTGAACGCC</t>
  </si>
  <si>
    <t xml:space="preserve">GGCAAAGGAAAAGTGATGAC</t>
  </si>
  <si>
    <t xml:space="preserve">TAGTGGCAAAGGAAAAGTGATGAC</t>
  </si>
  <si>
    <t xml:space="preserve">AAACGTCATCACTTTTCCTTTGCC</t>
  </si>
  <si>
    <t xml:space="preserve">GCGCTGGGCATCGTGATACT</t>
  </si>
  <si>
    <t xml:space="preserve">TAGTGCGCTGGGCATCGTGATACT</t>
  </si>
  <si>
    <t xml:space="preserve">AAACAGTATCACGATGCCCAGCGC</t>
  </si>
  <si>
    <t xml:space="preserve">PST_2723</t>
  </si>
  <si>
    <t xml:space="preserve">CCAGCCCTTGATCACGCGTC</t>
  </si>
  <si>
    <t xml:space="preserve">TAGTCCAGCCCTTGATCACGCGTC</t>
  </si>
  <si>
    <t xml:space="preserve">AAACGACGCGTGATCAAGGGCTGG</t>
  </si>
  <si>
    <t xml:space="preserve">CGCCGACTTTCATTCCCATC</t>
  </si>
  <si>
    <t xml:space="preserve">TAGTCGCCGACTTTCATTCCCATC</t>
  </si>
  <si>
    <t xml:space="preserve">AAACGATGGGAATGAAAGTCGGCG</t>
  </si>
  <si>
    <t xml:space="preserve">TCGCCATAGCCCAGATGAGC</t>
  </si>
  <si>
    <t xml:space="preserve">TAGTTCGCCATAGCCCAGATGAGC</t>
  </si>
  <si>
    <t xml:space="preserve">AAACGCTCATCTGGGCTATGGCGA</t>
  </si>
  <si>
    <t xml:space="preserve">AAGTGAAGATCCGAATTCGG</t>
  </si>
  <si>
    <t xml:space="preserve">TAGTAAGTGAAGATCCGAATTCGG</t>
  </si>
  <si>
    <t xml:space="preserve">AAACCCGAATTCGGATCTTCACTT</t>
  </si>
  <si>
    <t xml:space="preserve">PST_2724</t>
  </si>
  <si>
    <t xml:space="preserve">mgoH</t>
  </si>
  <si>
    <t xml:space="preserve">CGCAATAGCCTTCAGCCATG</t>
  </si>
  <si>
    <t xml:space="preserve">TAGTCGCAATAGCCTTCAGCCATG</t>
  </si>
  <si>
    <t xml:space="preserve">AAACCATGGCTGAAGGCTATTGCG</t>
  </si>
  <si>
    <t xml:space="preserve">CCTCGACGTCGTTCAGCGCC</t>
  </si>
  <si>
    <t xml:space="preserve">TAGTCCTCGACGTCGTTCAGCGCC</t>
  </si>
  <si>
    <t xml:space="preserve">AAACGGCGCTGAACGACGTCGAGG</t>
  </si>
  <si>
    <t xml:space="preserve">AGGCCTGCCGGTATCTGGCC</t>
  </si>
  <si>
    <t xml:space="preserve">TAGTAGGCCTGCCGGTATCTGGCC</t>
  </si>
  <si>
    <t xml:space="preserve">AAACGGCCAGATACCGGCAGGCCT</t>
  </si>
  <si>
    <t xml:space="preserve">GAGCAGACCGCCCTGCTCCA</t>
  </si>
  <si>
    <t xml:space="preserve">TAGTGAGCAGACCGCCCTGCTCCA</t>
  </si>
  <si>
    <t xml:space="preserve">AAACTGGAGCAGGGCGGTCTGCTC</t>
  </si>
  <si>
    <t xml:space="preserve">PST_2725</t>
  </si>
  <si>
    <t xml:space="preserve">mgoG</t>
  </si>
  <si>
    <t xml:space="preserve">GCTGAACGCTAGCGCACTGC</t>
  </si>
  <si>
    <t xml:space="preserve">TAGTGCTGAACGCTAGCGCACTGC</t>
  </si>
  <si>
    <t xml:space="preserve">AAACGCAGTGCGCTAGCGTTCAGC</t>
  </si>
  <si>
    <t xml:space="preserve">CCTGCTTGGCCACATCATCC</t>
  </si>
  <si>
    <t xml:space="preserve">TAGTCCTGCTTGGCCACATCATCC</t>
  </si>
  <si>
    <t xml:space="preserve">AAACGGATGATGTGGCCAAGCAGG</t>
  </si>
  <si>
    <t xml:space="preserve">CGCCGGTTCCTCATAGCCGC</t>
  </si>
  <si>
    <t xml:space="preserve">TAGTCGCCGGTTCCTCATAGCCGC</t>
  </si>
  <si>
    <t xml:space="preserve">AAACGCGGCTATGAGGAACCGGCG</t>
  </si>
  <si>
    <t xml:space="preserve">TTCGGCGAAACTCTTCCGGC</t>
  </si>
  <si>
    <t xml:space="preserve">TAGTTTCGGCGAAACTCTTCCGGC</t>
  </si>
  <si>
    <t xml:space="preserve">AAACGCCGGAAGAGTTTCGCCGAA</t>
  </si>
  <si>
    <t xml:space="preserve">PST_2726</t>
  </si>
  <si>
    <t xml:space="preserve">bglX</t>
  </si>
  <si>
    <t xml:space="preserve">GCGCCGGCAAGCAGGACAAA</t>
  </si>
  <si>
    <t xml:space="preserve">TAGTGCGCCGGCAAGCAGGACAAA</t>
  </si>
  <si>
    <t xml:space="preserve">AAACTTTGTCCTGCTTGCCGGCGC</t>
  </si>
  <si>
    <t xml:space="preserve">GGCGGCGCCGCGCAGGCGAA</t>
  </si>
  <si>
    <t xml:space="preserve">TAGTGGCGGCGCCGCGCAGGCGAA</t>
  </si>
  <si>
    <t xml:space="preserve">AAACTTCGCCTGCGCGGCGCCGCC</t>
  </si>
  <si>
    <t xml:space="preserve">CGGTCGTCCAGCGGCAGGGC</t>
  </si>
  <si>
    <t xml:space="preserve">TAGTCGGTCGTCCAGCGGCAGGGC</t>
  </si>
  <si>
    <t xml:space="preserve">AAACGCCCTGCCGCTGGACGACCG</t>
  </si>
  <si>
    <t xml:space="preserve">GGGTCTCGATCAGTGCCTGT</t>
  </si>
  <si>
    <t xml:space="preserve">TAGTGGGTCTCGATCAGTGCCTGT</t>
  </si>
  <si>
    <t xml:space="preserve">AAACACAGGCACTGATCGAGACCC</t>
  </si>
  <si>
    <t xml:space="preserve">PST_2727</t>
  </si>
  <si>
    <t xml:space="preserve">CAGCGGTGAAAGCATCGACC</t>
  </si>
  <si>
    <t xml:space="preserve">TAGTCAGCGGTGAAAGCATCGACC</t>
  </si>
  <si>
    <t xml:space="preserve">AAACGGTCGATGCTTTCACCGCTG</t>
  </si>
  <si>
    <t xml:space="preserve">TCACCGCCGCGGGGTTGCCC</t>
  </si>
  <si>
    <t xml:space="preserve">TAGTTCACCGCCGCGGGGTTGCCC</t>
  </si>
  <si>
    <t xml:space="preserve">AAACGGGCAACCCCGCGGCGGTGA</t>
  </si>
  <si>
    <t xml:space="preserve">TCCGGCAGCCAGGCTTGCAA</t>
  </si>
  <si>
    <t xml:space="preserve">TAGTTCCGGCAGCCAGGCTTGCAA</t>
  </si>
  <si>
    <t xml:space="preserve">AAACTTGCAAGCCTGGCTGCCGGA</t>
  </si>
  <si>
    <t xml:space="preserve">CTCGGAAAGGTTGTTTTCGG</t>
  </si>
  <si>
    <t xml:space="preserve">TAGTCTCGGAAAGGTTGTTTTCGG</t>
  </si>
  <si>
    <t xml:space="preserve">AAACCCGAAAACAACCTTTCCGAG</t>
  </si>
  <si>
    <t xml:space="preserve">PST_2728</t>
  </si>
  <si>
    <t xml:space="preserve">GGCGGTGCGCCAATCGAATA</t>
  </si>
  <si>
    <t xml:space="preserve">TAGTGGCGGTGCGCCAATCGAATA</t>
  </si>
  <si>
    <t xml:space="preserve">AAACTATTCGATTGGCGCACCGCC</t>
  </si>
  <si>
    <t xml:space="preserve">ATGGACCACCACCGCCGCCC</t>
  </si>
  <si>
    <t xml:space="preserve">TAGTATGGACCACCACCGCCGCCC</t>
  </si>
  <si>
    <t xml:space="preserve">AAACGGGCGGCGGTGGTGGTCCAT</t>
  </si>
  <si>
    <t xml:space="preserve">GTCAGCGCCACGGCAAACAG</t>
  </si>
  <si>
    <t xml:space="preserve">TAGTGTCAGCGCCACGGCAAACAG</t>
  </si>
  <si>
    <t xml:space="preserve">AAACCTGTTTGCCGTGGCGCTGAC</t>
  </si>
  <si>
    <t xml:space="preserve">CGCCAGCTGAAAGGCGATCA</t>
  </si>
  <si>
    <t xml:space="preserve">TAGTCGCCAGCTGAAAGGCGATCA</t>
  </si>
  <si>
    <t xml:space="preserve">AAACTGATCGCCTTTCAGCTGGCG</t>
  </si>
  <si>
    <t xml:space="preserve">PST_2729</t>
  </si>
  <si>
    <t xml:space="preserve">GTCAGGCCTTGGAGAATCAT</t>
  </si>
  <si>
    <t xml:space="preserve">TAGTGTCAGGCCTTGGAGAATCAT</t>
  </si>
  <si>
    <t xml:space="preserve">AAACATGATTCTCCAAGGCCTGAC</t>
  </si>
  <si>
    <t xml:space="preserve">CAGCTGCAGCAGCACGAGCC</t>
  </si>
  <si>
    <t xml:space="preserve">TAGTCAGCTGCAGCAGCACGAGCC</t>
  </si>
  <si>
    <t xml:space="preserve">AAACGGCTCGTGCTGCTGCAGCTG</t>
  </si>
  <si>
    <t xml:space="preserve">ATGATCGGCCCCGGCAGTGC</t>
  </si>
  <si>
    <t xml:space="preserve">TAGTATGATCGGCCCCGGCAGTGC</t>
  </si>
  <si>
    <t xml:space="preserve">AAACGCACTGCCGGGGCCGATCAT</t>
  </si>
  <si>
    <t xml:space="preserve">CCAGAGACTCCGGAATGCTG</t>
  </si>
  <si>
    <t xml:space="preserve">TAGTCCAGAGACTCCGGAATGCTG</t>
  </si>
  <si>
    <t xml:space="preserve">AAACCAGCATTCCGGAGTCTCTGG</t>
  </si>
  <si>
    <t xml:space="preserve">PST_2730</t>
  </si>
  <si>
    <t xml:space="preserve">GCGGGTATGCGGTCGGTCAT</t>
  </si>
  <si>
    <t xml:space="preserve">TAGTGCGGGTATGCGGTCGGTCAT</t>
  </si>
  <si>
    <t xml:space="preserve">AAACATGACCGACCGCATACCCGC</t>
  </si>
  <si>
    <t xml:space="preserve">GATCGGCTGGCTGGGATCAA</t>
  </si>
  <si>
    <t xml:space="preserve">TAGTGATCGGCTGGCTGGGATCAA</t>
  </si>
  <si>
    <t xml:space="preserve">AAACTTGATCCCAGCCAGCCGATC</t>
  </si>
  <si>
    <t xml:space="preserve">CGCTCTGGGCGGGCGTCAGG</t>
  </si>
  <si>
    <t xml:space="preserve">TAGTCGCTCTGGGCGGGCGTCAGG</t>
  </si>
  <si>
    <t xml:space="preserve">AAACCCTGACGCCCGCCCAGAGCG</t>
  </si>
  <si>
    <t xml:space="preserve">CTGAAACTGCGCGTATGGAT</t>
  </si>
  <si>
    <t xml:space="preserve">TAGTCTGAAACTGCGCGTATGGAT</t>
  </si>
  <si>
    <t xml:space="preserve">AAACATCCATACGCGCAGTTTCAG</t>
  </si>
  <si>
    <t xml:space="preserve">PST_2731</t>
  </si>
  <si>
    <t xml:space="preserve">CGGGCCGTGGCGGTTGGGCA</t>
  </si>
  <si>
    <t xml:space="preserve">TAGTCGGGCCGTGGCGGTTGGGCA</t>
  </si>
  <si>
    <t xml:space="preserve">AAACTGCCCAACCGCCACGGCCCG</t>
  </si>
  <si>
    <t xml:space="preserve">TCGTAGCGCTTCATCGTGTC</t>
  </si>
  <si>
    <t xml:space="preserve">TAGTTCGTAGCGCTTCATCGTGTC</t>
  </si>
  <si>
    <t xml:space="preserve">AAACGACACGATGAAGCGCTACGA</t>
  </si>
  <si>
    <t xml:space="preserve">GATCAGTTCGGCAATCTCAT</t>
  </si>
  <si>
    <t xml:space="preserve">TAGTGATCAGTTCGGCAATCTCAT</t>
  </si>
  <si>
    <t xml:space="preserve">AAACATGAGATTGCCGAACTGATC</t>
  </si>
  <si>
    <t xml:space="preserve">CGAGGGCACCTTTTCCCCGG</t>
  </si>
  <si>
    <t xml:space="preserve">TAGTCGAGGGCACCTTTTCCCCGG</t>
  </si>
  <si>
    <t xml:space="preserve">AAACCCGGGGAAAAGGTGCCCTCG</t>
  </si>
  <si>
    <t xml:space="preserve">PST_2732</t>
  </si>
  <si>
    <t xml:space="preserve">TCGGCCATTGGGCACGGGCC</t>
  </si>
  <si>
    <t xml:space="preserve">TAGTTCGGCCATTGGGCACGGGCC</t>
  </si>
  <si>
    <t xml:space="preserve">AAACGGCCCGTGCCCAATGGCCGA</t>
  </si>
  <si>
    <t xml:space="preserve">GCAGCTATCTGTCTTCACGG</t>
  </si>
  <si>
    <t xml:space="preserve">TAGTGCAGCTATCTGTCTTCACGG</t>
  </si>
  <si>
    <t xml:space="preserve">AAACCCGTGAAGACAGATAGCTGC</t>
  </si>
  <si>
    <t xml:space="preserve">AGATCGACGACCCTTGCCAG</t>
  </si>
  <si>
    <t xml:space="preserve">TAGTAGATCGACGACCCTTGCCAG</t>
  </si>
  <si>
    <t xml:space="preserve">AAACCTGGCAAGGGTCGTCGATCT</t>
  </si>
  <si>
    <t xml:space="preserve">GATGCGTTCACACGCGGCGC</t>
  </si>
  <si>
    <t xml:space="preserve">TAGTGATGCGTTCACACGCGGCGC</t>
  </si>
  <si>
    <t xml:space="preserve">AAACGCGCCGCGTGTGAACGCATC</t>
  </si>
  <si>
    <t xml:space="preserve">PST_2733</t>
  </si>
  <si>
    <t xml:space="preserve">CACCTTATGTGCGTTCATGG</t>
  </si>
  <si>
    <t xml:space="preserve">TAGTCACCTTATGTGCGTTCATGG</t>
  </si>
  <si>
    <t xml:space="preserve">AAACCCATGAACGCACATAAGGTG</t>
  </si>
  <si>
    <t xml:space="preserve">ATAGCAATGCGCCGAGCCGC</t>
  </si>
  <si>
    <t xml:space="preserve">TAGTATAGCAATGCGCCGAGCCGC</t>
  </si>
  <si>
    <t xml:space="preserve">AAACGCGGCTCGGCGCATTGCTAT</t>
  </si>
  <si>
    <t xml:space="preserve">CAACCCATCCGCTACGGCGT</t>
  </si>
  <si>
    <t xml:space="preserve">TAGTCAACCCATCCGCTACGGCGT</t>
  </si>
  <si>
    <t xml:space="preserve">AAACACGCCGTAGCGGATGGGTTG</t>
  </si>
  <si>
    <t xml:space="preserve">GCCAACCGCCGCGGCGCAGC</t>
  </si>
  <si>
    <t xml:space="preserve">TAGTGCCAACCGCCGCGGCGCAGC</t>
  </si>
  <si>
    <t xml:space="preserve">AAACGCTGCGCCGCGGCGGTTGGC</t>
  </si>
  <si>
    <t xml:space="preserve">PST_2735</t>
  </si>
  <si>
    <t xml:space="preserve">CATAATGGTCGAACCGCAGG</t>
  </si>
  <si>
    <t xml:space="preserve">TAGTCATAATGGTCGAACCGCAGG</t>
  </si>
  <si>
    <t xml:space="preserve">AAACCCTGCGGTTCGACCATTATG</t>
  </si>
  <si>
    <t xml:space="preserve">CACCACGAACGAACGACAGC</t>
  </si>
  <si>
    <t xml:space="preserve">TAGTCACCACGAACGAACGACAGC</t>
  </si>
  <si>
    <t xml:space="preserve">AAACGCTGTCGTTCGTTCGTGGTG</t>
  </si>
  <si>
    <t xml:space="preserve">CCCTCTGCGATGGGTGTGAC</t>
  </si>
  <si>
    <t xml:space="preserve">TAGTCCCTCTGCGATGGGTGTGAC</t>
  </si>
  <si>
    <t xml:space="preserve">AAACGTCACACCCATCGCAGAGGG</t>
  </si>
  <si>
    <t xml:space="preserve">CGTCAGGTCATGGAGCTTCA</t>
  </si>
  <si>
    <t xml:space="preserve">TAGTCGTCAGGTCATGGAGCTTCA</t>
  </si>
  <si>
    <t xml:space="preserve">AAACTGAAGCTCCATGACCTGACG</t>
  </si>
  <si>
    <t xml:space="preserve">PST_2734</t>
  </si>
  <si>
    <t xml:space="preserve">TCTCTGCGGTGTTGAGCAGC</t>
  </si>
  <si>
    <t xml:space="preserve">TAGTTCTCTGCGGTGTTGAGCAGC</t>
  </si>
  <si>
    <t xml:space="preserve">AAACGCTGCTCAACACCGCAGAGA</t>
  </si>
  <si>
    <t xml:space="preserve">GGCCAGGATGCGGTCGATGC</t>
  </si>
  <si>
    <t xml:space="preserve">TAGTGGCCAGGATGCGGTCGATGC</t>
  </si>
  <si>
    <t xml:space="preserve">AAACGCATCGACCGCATCCTGGCC</t>
  </si>
  <si>
    <t xml:space="preserve">CATCTTGGCCACGCCGGACT</t>
  </si>
  <si>
    <t xml:space="preserve">TAGTCATCTTGGCCACGCCGGACT</t>
  </si>
  <si>
    <t xml:space="preserve">AAACAGTCCGGCGTGGCCAAGATG</t>
  </si>
  <si>
    <t xml:space="preserve">TGGACTTGAAGTGCTTGTAC</t>
  </si>
  <si>
    <t xml:space="preserve">TAGTTGGACTTGAAGTGCTTGTAC</t>
  </si>
  <si>
    <t xml:space="preserve">AAACGTACAAGCACTTCAAGTCCA</t>
  </si>
  <si>
    <t xml:space="preserve">PST_2736</t>
  </si>
  <si>
    <t xml:space="preserve">CCGGTTCTGCAGCGCCCAGG</t>
  </si>
  <si>
    <t xml:space="preserve">TAGTCCGGTTCTGCAGCGCCCAGG</t>
  </si>
  <si>
    <t xml:space="preserve">AAACCCTGGGCGCTGCAGAACCGG</t>
  </si>
  <si>
    <t xml:space="preserve">GTAGGACAGCGCACCGACGA</t>
  </si>
  <si>
    <t xml:space="preserve">TAGTGTAGGACAGCGCACCGACGA</t>
  </si>
  <si>
    <t xml:space="preserve">AAACTCGTCGGTGCGCTGTCCTAC</t>
  </si>
  <si>
    <t xml:space="preserve">TGGCCTTGAAGGTGAACGGC</t>
  </si>
  <si>
    <t xml:space="preserve">TAGTTGGCCTTGAAGGTGAACGGC</t>
  </si>
  <si>
    <t xml:space="preserve">AAACGCCGTTCACCTTCAAGGCCA</t>
  </si>
  <si>
    <t xml:space="preserve">CCACTGGGTCTGGATGACCA</t>
  </si>
  <si>
    <t xml:space="preserve">TAGTCCACTGGGTCTGGATGACCA</t>
  </si>
  <si>
    <t xml:space="preserve">AAACTGGTCATCCAGACCCAGTGG</t>
  </si>
  <si>
    <t xml:space="preserve">PST_2738</t>
  </si>
  <si>
    <t xml:space="preserve">ATTGGAATACTTATACTGCG</t>
  </si>
  <si>
    <t xml:space="preserve">TAGTATTGGAATACTTATACTGCG</t>
  </si>
  <si>
    <t xml:space="preserve">AAACCGCAGTATAAGTATTCCAAT</t>
  </si>
  <si>
    <t xml:space="preserve">AAGGTCTCTCTGTCGCGAAG</t>
  </si>
  <si>
    <t xml:space="preserve">TAGTAAGGTCTCTCTGTCGCGAAG</t>
  </si>
  <si>
    <t xml:space="preserve">AAACCTTCGCGACAGAGAGACCTT</t>
  </si>
  <si>
    <t xml:space="preserve">AGGCGAAGGACAGGACATGT</t>
  </si>
  <si>
    <t xml:space="preserve">TAGTAGGCGAAGGACAGGACATGT</t>
  </si>
  <si>
    <t xml:space="preserve">AAACACATGTCCTGTCCTTCGCCT</t>
  </si>
  <si>
    <t xml:space="preserve">GAGCGCTAAGCCAAGCACGG</t>
  </si>
  <si>
    <t xml:space="preserve">TAGTGAGCGCTAAGCCAAGCACGG</t>
  </si>
  <si>
    <t xml:space="preserve">AAACCCGTGCTTGGCTTAGCGCTC</t>
  </si>
  <si>
    <t xml:space="preserve">PST_2737</t>
  </si>
  <si>
    <t xml:space="preserve">GGGCGGCCGGGGCCGGGCGA</t>
  </si>
  <si>
    <t xml:space="preserve">TAGTGGGCGGCCGGGGCCGGGCGA</t>
  </si>
  <si>
    <t xml:space="preserve">AAACTCGCCCGGCCCCGGCCGCCC</t>
  </si>
  <si>
    <t xml:space="preserve">CGCGCTTGGCAGGGTCCTTC</t>
  </si>
  <si>
    <t xml:space="preserve">TAGTCGCGCTTGGCAGGGTCCTTC</t>
  </si>
  <si>
    <t xml:space="preserve">AAACGAAGGACCCTGCCAAGCGCG</t>
  </si>
  <si>
    <t xml:space="preserve">ACAAGACCTGCGCCGCAGCA</t>
  </si>
  <si>
    <t xml:space="preserve">TAGTACAAGACCTGCGCCGCAGCA</t>
  </si>
  <si>
    <t xml:space="preserve">AAACTGCTGCGGCGCAGGTCTTGT</t>
  </si>
  <si>
    <t xml:space="preserve">TGCCTTCGTAGCCGTTGCCG</t>
  </si>
  <si>
    <t xml:space="preserve">TAGTTGCCTTCGTAGCCGTTGCCG</t>
  </si>
  <si>
    <t xml:space="preserve">AAACCGGCAACGGCTACGAAGGCA</t>
  </si>
  <si>
    <t xml:space="preserve">PST_2739</t>
  </si>
  <si>
    <t xml:space="preserve">AGAGAATTGCTTGCGGACAT</t>
  </si>
  <si>
    <t xml:space="preserve">TAGTAGAGAATTGCTTGCGGACAT</t>
  </si>
  <si>
    <t xml:space="preserve">AAACATGTCCGCAAGCAATTCTCT</t>
  </si>
  <si>
    <t xml:space="preserve">GCGGCGAATGACGGCGCGAG</t>
  </si>
  <si>
    <t xml:space="preserve">TAGTGCGGCGAATGACGGCGCGAG</t>
  </si>
  <si>
    <t xml:space="preserve">AAACCTCGCGCCGTCATTCGCCGC</t>
  </si>
  <si>
    <t xml:space="preserve">AACCCAGGCGCTGCGCCCAT</t>
  </si>
  <si>
    <t xml:space="preserve">TAGTAACCCAGGCGCTGCGCCCAT</t>
  </si>
  <si>
    <t xml:space="preserve">AAACATGGGCGCAGCGCCTGGGTT</t>
  </si>
  <si>
    <t xml:space="preserve">TCGGCCTCGGCCAGCTCCTG</t>
  </si>
  <si>
    <t xml:space="preserve">TAGTTCGGCCTCGGCCAGCTCCTG</t>
  </si>
  <si>
    <t xml:space="preserve">AAACCAGGAGCTGGCCGAGGCCGA</t>
  </si>
  <si>
    <t xml:space="preserve">PST_2740</t>
  </si>
  <si>
    <t xml:space="preserve">AACAAGGAAGAATCGGCCGA</t>
  </si>
  <si>
    <t xml:space="preserve">TAGTAACAAGGAAGAATCGGCCGA</t>
  </si>
  <si>
    <t xml:space="preserve">AAACTCGGCCGATTCTTCCTTGTT</t>
  </si>
  <si>
    <t xml:space="preserve">CCGCACCGCCAGCACGAAGC</t>
  </si>
  <si>
    <t xml:space="preserve">TAGTCCGCACCGCCAGCACGAAGC</t>
  </si>
  <si>
    <t xml:space="preserve">AAACGCTTCGTGCTGGCGGTGCGG</t>
  </si>
  <si>
    <t xml:space="preserve">CCCAGGGATTCCAGCGCGGC</t>
  </si>
  <si>
    <t xml:space="preserve">TAGTCCCAGGGATTCCAGCGCGGC</t>
  </si>
  <si>
    <t xml:space="preserve">AAACGCCGCGCTGGAATCCCTGGG</t>
  </si>
  <si>
    <t xml:space="preserve">GGCGGCTCGCGAATATCCAG</t>
  </si>
  <si>
    <t xml:space="preserve">TAGTGGCGGCTCGCGAATATCCAG</t>
  </si>
  <si>
    <t xml:space="preserve">AAACCTGGATATTCGCGAGCCGCC</t>
  </si>
  <si>
    <t xml:space="preserve">PST_2741</t>
  </si>
  <si>
    <t xml:space="preserve">CGATGGCCAGGCATACAGCG</t>
  </si>
  <si>
    <t xml:space="preserve">TAGTCGATGGCCAGGCATACAGCG</t>
  </si>
  <si>
    <t xml:space="preserve">AAACCGCTGTATGCCTGGCCATCG</t>
  </si>
  <si>
    <t xml:space="preserve">GCATCTGGCTGGCCCAGCGC</t>
  </si>
  <si>
    <t xml:space="preserve">TAGTGCATCTGGCTGGCCCAGCGC</t>
  </si>
  <si>
    <t xml:space="preserve">AAACGCGCTGGGCCAGCCAGATGC</t>
  </si>
  <si>
    <t xml:space="preserve">GCGCAGAAGCGAAAGTCGTC</t>
  </si>
  <si>
    <t xml:space="preserve">TAGTGCGCAGAAGCGAAAGTCGTC</t>
  </si>
  <si>
    <t xml:space="preserve">AAACGACGACTTTCGCTTCTGCGC</t>
  </si>
  <si>
    <t xml:space="preserve">GCTGATTTCTCTGGGAAACT</t>
  </si>
  <si>
    <t xml:space="preserve">TAGTGCTGATTTCTCTGGGAAACT</t>
  </si>
  <si>
    <t xml:space="preserve">AAACAGTTTCCCAGAGAAATCAGC</t>
  </si>
  <si>
    <t xml:space="preserve">PST_2742</t>
  </si>
  <si>
    <t xml:space="preserve">AAGCTATCGACGCGCATCAT</t>
  </si>
  <si>
    <t xml:space="preserve">TAGTAAGCTATCGACGCGCATCAT</t>
  </si>
  <si>
    <t xml:space="preserve">AAACATGATGCGCGTCGATAGCTT</t>
  </si>
  <si>
    <t xml:space="preserve">GATCCGTTGCATAGGGGACA</t>
  </si>
  <si>
    <t xml:space="preserve">TAGTGATCCGTTGCATAGGGGACA</t>
  </si>
  <si>
    <t xml:space="preserve">AAACTGTCCCCTATGCAACGGATC</t>
  </si>
  <si>
    <t xml:space="preserve">GTCCGCCGCCCTGCCGGTAC</t>
  </si>
  <si>
    <t xml:space="preserve">TAGTGTCCGCCGCCCTGCCGGTAC</t>
  </si>
  <si>
    <t xml:space="preserve">AAACGTACCGGCAGGGCGGCGGAC</t>
  </si>
  <si>
    <t xml:space="preserve">CTGAGCCTGCGCCAAGCGCT</t>
  </si>
  <si>
    <t xml:space="preserve">TAGTCTGAGCCTGCGCCAAGCGCT</t>
  </si>
  <si>
    <t xml:space="preserve">AAACAGCGCTTGGCGCAGGCTCAG</t>
  </si>
  <si>
    <t xml:space="preserve">PST_2743</t>
  </si>
  <si>
    <t xml:space="preserve">ATTCTAACGTATTCACGCAC</t>
  </si>
  <si>
    <t xml:space="preserve">TAGTATTCTAACGTATTCACGCAC</t>
  </si>
  <si>
    <t xml:space="preserve">AAACGTGCGTGAATACGTTAGAAT</t>
  </si>
  <si>
    <t xml:space="preserve">GGCGTTCCGGTCGGTGAAAA</t>
  </si>
  <si>
    <t xml:space="preserve">TAGTGGCGTTCCGGTCGGTGAAAA</t>
  </si>
  <si>
    <t xml:space="preserve">AAACTTTTCACCGACCGGAACGCC</t>
  </si>
  <si>
    <t xml:space="preserve">GGCCAGCAGAGTGGTCATCA</t>
  </si>
  <si>
    <t xml:space="preserve">TAGTGGCCAGCAGAGTGGTCATCA</t>
  </si>
  <si>
    <t xml:space="preserve">AAACTGATGACCACTCTGCTGGCC</t>
  </si>
  <si>
    <t xml:space="preserve">GGCTTCGGTGGCGGTATCCA</t>
  </si>
  <si>
    <t xml:space="preserve">TAGTGGCTTCGGTGGCGGTATCCA</t>
  </si>
  <si>
    <t xml:space="preserve">AAACTGGATACCGCCACCGAAGCC</t>
  </si>
  <si>
    <t xml:space="preserve">PST_2744</t>
  </si>
  <si>
    <t xml:space="preserve">adk</t>
  </si>
  <si>
    <t xml:space="preserve">CGATACACAGCGCACCGGGG</t>
  </si>
  <si>
    <t xml:space="preserve">TAGTCGATACACAGCGCACCGGGG</t>
  </si>
  <si>
    <t xml:space="preserve">AAACCCCCGGTGCGCTGTGTATCG</t>
  </si>
  <si>
    <t xml:space="preserve">GTTTGCCGCCATGCGACAAA</t>
  </si>
  <si>
    <t xml:space="preserve">TAGTGTTTGCCGCCATGCGACAAA</t>
  </si>
  <si>
    <t xml:space="preserve">AAACTTTGTCGCATGGCGGCAAAC</t>
  </si>
  <si>
    <t xml:space="preserve">CGATGGCGAATCAAAAATTC</t>
  </si>
  <si>
    <t xml:space="preserve">TAGTCGATGGCGAATCAAAAATTC</t>
  </si>
  <si>
    <t xml:space="preserve">AAACGAATTTTTGATTCGCCATCG</t>
  </si>
  <si>
    <t xml:space="preserve">TGATTGCCAGCGGGCCGTTC</t>
  </si>
  <si>
    <t xml:space="preserve">TAGTTGATTGCCAGCGGGCCGTTC</t>
  </si>
  <si>
    <t xml:space="preserve">AAACGAACGGCCCGCTGGCAATCA</t>
  </si>
  <si>
    <t xml:space="preserve">PST_2745</t>
  </si>
  <si>
    <t xml:space="preserve">ppc</t>
  </si>
  <si>
    <t xml:space="preserve">ACTGATCGCCATGCTGCGCG</t>
  </si>
  <si>
    <t xml:space="preserve">TAGTACTGATCGCCATGCTGCGCG</t>
  </si>
  <si>
    <t xml:space="preserve">AAACCGCGCAGCATGGCGATCAGT</t>
  </si>
  <si>
    <t xml:space="preserve">GCGCAGCCTTGGCGCCCTTG</t>
  </si>
  <si>
    <t xml:space="preserve">TAGTGCGCAGCCTTGGCGCCCTTG</t>
  </si>
  <si>
    <t xml:space="preserve">AAACCAAGGGCGCCAAGGCTGCGC</t>
  </si>
  <si>
    <t xml:space="preserve">GTCGAGACTGTCGAGCGTTT</t>
  </si>
  <si>
    <t xml:space="preserve">TAGTGTCGAGACTGTCGAGCGTTT</t>
  </si>
  <si>
    <t xml:space="preserve">AAACAAACGCTCGACAGTCTCGAC</t>
  </si>
  <si>
    <t xml:space="preserve">TGGTTGAACGCCCGGGTCAT</t>
  </si>
  <si>
    <t xml:space="preserve">TAGTTGGTTGAACGCCCGGGTCAT</t>
  </si>
  <si>
    <t xml:space="preserve">AAACATGACCCGGGCGTTCAACCA</t>
  </si>
  <si>
    <t xml:space="preserve">PST_2746</t>
  </si>
  <si>
    <t xml:space="preserve">GACAAGCTCGGAAATTCTCA</t>
  </si>
  <si>
    <t xml:space="preserve">TAGTGACAAGCTCGGAAATTCTCA</t>
  </si>
  <si>
    <t xml:space="preserve">AAACTGAGAATTTCCGAGCTTGTC</t>
  </si>
  <si>
    <t xml:space="preserve">CCTTGGCGTCGCGTTCCCAA</t>
  </si>
  <si>
    <t xml:space="preserve">TAGTCCTTGGCGTCGCGTTCCCAA</t>
  </si>
  <si>
    <t xml:space="preserve">AAACTTGGGAACGCGACGCCAAGG</t>
  </si>
  <si>
    <t xml:space="preserve">TGTAGGTGGTATGGCTCATG</t>
  </si>
  <si>
    <t xml:space="preserve">TAGTTGTAGGTGGTATGGCTCATG</t>
  </si>
  <si>
    <t xml:space="preserve">AAACCATGAGCCATACCACCTACA</t>
  </si>
  <si>
    <t xml:space="preserve">CCGCGCTTTCGACATCCAGC</t>
  </si>
  <si>
    <t xml:space="preserve">TAGTCCGCGCTTTCGACATCCAGC</t>
  </si>
  <si>
    <t xml:space="preserve">AAACGCTGGATGTCGAAAGCGCGG</t>
  </si>
  <si>
    <t xml:space="preserve">PST_2747</t>
  </si>
  <si>
    <t xml:space="preserve">GGTTGCGACAGCTTTGTTCA</t>
  </si>
  <si>
    <t xml:space="preserve">TAGTGGTTGCGACAGCTTTGTTCA</t>
  </si>
  <si>
    <t xml:space="preserve">AAACTGAACAAAGCTGTCGCAACC</t>
  </si>
  <si>
    <t xml:space="preserve">TAGCTGGAATCTCGAAGCGT</t>
  </si>
  <si>
    <t xml:space="preserve">TAGTTAGCTGGAATCTCGAAGCGT</t>
  </si>
  <si>
    <t xml:space="preserve">AAACACGCTTCGAGATTCCAGCTA</t>
  </si>
  <si>
    <t xml:space="preserve">AGTGCGATGGCTGCAAGCTT</t>
  </si>
  <si>
    <t xml:space="preserve">TAGTAGTGCGATGGCTGCAAGCTT</t>
  </si>
  <si>
    <t xml:space="preserve">AAACAAGCTTGCAGCCATCGCACT</t>
  </si>
  <si>
    <t xml:space="preserve">CCGCACAGGCCGTCAGCAGC</t>
  </si>
  <si>
    <t xml:space="preserve">TAGTCCGCACAGGCCGTCAGCAGC</t>
  </si>
  <si>
    <t xml:space="preserve">AAACGCTGCTGACGGCCTGTGCGG</t>
  </si>
  <si>
    <t xml:space="preserve">PST_2748</t>
  </si>
  <si>
    <t xml:space="preserve">CAGAGCCAGAAGAGTCGGTA</t>
  </si>
  <si>
    <t xml:space="preserve">TAGTCAGAGCCAGAAGAGTCGGTA</t>
  </si>
  <si>
    <t xml:space="preserve">AAACTACCGACTCTTCTGGCTCTG</t>
  </si>
  <si>
    <t xml:space="preserve">GCTGGTTGGCGCAGGCCACC</t>
  </si>
  <si>
    <t xml:space="preserve">TAGTGCTGGTTGGCGCAGGCCACC</t>
  </si>
  <si>
    <t xml:space="preserve">AAACGGTGGCCTGCGCCAACCAGC</t>
  </si>
  <si>
    <t xml:space="preserve">GCGTCTTCGAGGTTCTGATT</t>
  </si>
  <si>
    <t xml:space="preserve">TAGTGCGTCTTCGAGGTTCTGATT</t>
  </si>
  <si>
    <t xml:space="preserve">AAACAATCAGAACCTCGAAGACGC</t>
  </si>
  <si>
    <t xml:space="preserve">GCGAGAGTCAGCCTGCAGTG</t>
  </si>
  <si>
    <t xml:space="preserve">TAGTGCGAGAGTCAGCCTGCAGTG</t>
  </si>
  <si>
    <t xml:space="preserve">AAACCACTGCAGGCTGACTCTCGC</t>
  </si>
  <si>
    <t xml:space="preserve">PST_2749</t>
  </si>
  <si>
    <t xml:space="preserve">GGACATGGACGATCTCATCA</t>
  </si>
  <si>
    <t xml:space="preserve">TAGTGGACATGGACGATCTCATCA</t>
  </si>
  <si>
    <t xml:space="preserve">AAACTGATGAGATCGTCCATGTCC</t>
  </si>
  <si>
    <t xml:space="preserve">GAGCGGAATGGGATTGCGTT</t>
  </si>
  <si>
    <t xml:space="preserve">TAGTGAGCGGAATGGGATTGCGTT</t>
  </si>
  <si>
    <t xml:space="preserve">AAACAACGCAATCCCATTCCGCTC</t>
  </si>
  <si>
    <t xml:space="preserve">GCCGACGACGCTGCCGATGG</t>
  </si>
  <si>
    <t xml:space="preserve">TAGTGCCGACGACGCTGCCGATGG</t>
  </si>
  <si>
    <t xml:space="preserve">AAACCCATCGGCAGCGTCGTCGGC</t>
  </si>
  <si>
    <t xml:space="preserve">ATAGCCGTAGTACGACAGCA</t>
  </si>
  <si>
    <t xml:space="preserve">TAGTATAGCCGTAGTACGACAGCA</t>
  </si>
  <si>
    <t xml:space="preserve">AAACTGCTGTCGTACTACGGCTAT</t>
  </si>
  <si>
    <t xml:space="preserve">PST_2750</t>
  </si>
  <si>
    <t xml:space="preserve">TTCGAGTTCGTGACTGGCCA</t>
  </si>
  <si>
    <t xml:space="preserve">TAGTTTCGAGTTCGTGACTGGCCA</t>
  </si>
  <si>
    <t xml:space="preserve">AAACTGGCCAGTCACGAACTCGAA</t>
  </si>
  <si>
    <t xml:space="preserve">CGCTCTGCGCGGACTGTCCG</t>
  </si>
  <si>
    <t xml:space="preserve">TAGTCGCTCTGCGCGGACTGTCCG</t>
  </si>
  <si>
    <t xml:space="preserve">AAACCGGACAGTCCGCGCAGAGCG</t>
  </si>
  <si>
    <t xml:space="preserve">TCGGCGATCACCGTCTCGCC</t>
  </si>
  <si>
    <t xml:space="preserve">TAGTTCGGCGATCACCGTCTCGCC</t>
  </si>
  <si>
    <t xml:space="preserve">AAACGGCGAGACGGTGATCGCCGA</t>
  </si>
  <si>
    <t xml:space="preserve">GGTCATGTAGTTCATCGCGC</t>
  </si>
  <si>
    <t xml:space="preserve">TAGTGGTCATGTAGTTCATCGCGC</t>
  </si>
  <si>
    <t xml:space="preserve">AAACGCGCGATGAACTACATGACC</t>
  </si>
  <si>
    <t xml:space="preserve">PST_2751</t>
  </si>
  <si>
    <t xml:space="preserve">GCCCGAACGGCACCACCACC</t>
  </si>
  <si>
    <t xml:space="preserve">TAGTGCCCGAACGGCACCACCACC</t>
  </si>
  <si>
    <t xml:space="preserve">AAACGGTGGTGGTGCCGTTCGGGC</t>
  </si>
  <si>
    <t xml:space="preserve">TGTCGTAGCGGCTGACCACC</t>
  </si>
  <si>
    <t xml:space="preserve">TAGTTGTCGTAGCGGCTGACCACC</t>
  </si>
  <si>
    <t xml:space="preserve">AAACGGTGGTCAGCCGCTACGACA</t>
  </si>
  <si>
    <t xml:space="preserve">GGGTGACCAGCGCGGTGATG</t>
  </si>
  <si>
    <t xml:space="preserve">TAGTGGGTGACCAGCGCGGTGATG</t>
  </si>
  <si>
    <t xml:space="preserve">AAACCATCACCGCGCTGGTCACCC</t>
  </si>
  <si>
    <t xml:space="preserve">GCCGAGCAGCATCATCCCAA</t>
  </si>
  <si>
    <t xml:space="preserve">TAGTGCCGAGCAGCATCATCCCAA</t>
  </si>
  <si>
    <t xml:space="preserve">AAACTTGGGATGATGCTGCTCGGC</t>
  </si>
  <si>
    <t xml:space="preserve">PST_2752</t>
  </si>
  <si>
    <t xml:space="preserve">TGGACCGGCGGGCAAAGACG</t>
  </si>
  <si>
    <t xml:space="preserve">TAGTTGGACCGGCGGGCAAAGACG</t>
  </si>
  <si>
    <t xml:space="preserve">AAACCGTCTTTGCCCGCCGGTCCA</t>
  </si>
  <si>
    <t xml:space="preserve">AAGGGTGCGGTCCAGCGGGC</t>
  </si>
  <si>
    <t xml:space="preserve">TAGTAAGGGTGCGGTCCAGCGGGC</t>
  </si>
  <si>
    <t xml:space="preserve">AAACGCCCGCTGGACCGCACCCTT</t>
  </si>
  <si>
    <t xml:space="preserve">CAGACCGATGACGAGGTTGT</t>
  </si>
  <si>
    <t xml:space="preserve">TAGTCAGACCGATGACGAGGTTGT</t>
  </si>
  <si>
    <t xml:space="preserve">AAACACAACCTCGTCATCGGTCTG</t>
  </si>
  <si>
    <t xml:space="preserve">GATCCAGAAGCCCCAGCAGA</t>
  </si>
  <si>
    <t xml:space="preserve">TAGTGATCCAGAAGCCCCAGCAGA</t>
  </si>
  <si>
    <t xml:space="preserve">AAACTCTGCTGGGGCTTCTGGATC</t>
  </si>
  <si>
    <t xml:space="preserve">PST_2753</t>
  </si>
  <si>
    <t xml:space="preserve">GATACTCGTCCAGATTGTTA</t>
  </si>
  <si>
    <t xml:space="preserve">TAGTGATACTCGTCCAGATTGTTA</t>
  </si>
  <si>
    <t xml:space="preserve">AAACTAACAATCTGGACGAGTATC</t>
  </si>
  <si>
    <t xml:space="preserve">GTCGGACAGCCCGCGTACGA</t>
  </si>
  <si>
    <t xml:space="preserve">TAGTGTCGGACAGCCCGCGTACGA</t>
  </si>
  <si>
    <t xml:space="preserve">AAACTCGTACGCGGGCTGTCCGAC</t>
  </si>
  <si>
    <t xml:space="preserve">GCGTCTGCGCCTCGACGATG</t>
  </si>
  <si>
    <t xml:space="preserve">TAGTGCGTCTGCGCCTCGACGATG</t>
  </si>
  <si>
    <t xml:space="preserve">AAACCATCGTCGAGGCGCAGACGC</t>
  </si>
  <si>
    <t xml:space="preserve">CCTTGGCGGCGAAGAACGCC</t>
  </si>
  <si>
    <t xml:space="preserve">TAGTCCTTGGCGGCGAAGAACGCC</t>
  </si>
  <si>
    <t xml:space="preserve">AAACGGCGTTCTTCGCCGCCAAGG</t>
  </si>
  <si>
    <t xml:space="preserve">PST_2754</t>
  </si>
  <si>
    <t xml:space="preserve">lysS</t>
  </si>
  <si>
    <t xml:space="preserve">GCAGCACCATGAACGGCCCG</t>
  </si>
  <si>
    <t xml:space="preserve">TAGTGCAGCACCATGAACGGCCCG</t>
  </si>
  <si>
    <t xml:space="preserve">AAACCGGGCCGTTCATGGTGCTGC</t>
  </si>
  <si>
    <t xml:space="preserve">TCTTGCGATCGACATAGACC</t>
  </si>
  <si>
    <t xml:space="preserve">TAGTTCTTGCGATCGACATAGACC</t>
  </si>
  <si>
    <t xml:space="preserve">AAACGGTCTATGTCGATCGCAAGA</t>
  </si>
  <si>
    <t xml:space="preserve">ACCGCCTCGACCTGCTCGGC</t>
  </si>
  <si>
    <t xml:space="preserve">TAGTACCGCCTCGACCTGCTCGGC</t>
  </si>
  <si>
    <t xml:space="preserve">AAACGCCGAGCAGGTCGAGGCGGT</t>
  </si>
  <si>
    <t xml:space="preserve">GGAGCGCGCCAGGGTGCCCT</t>
  </si>
  <si>
    <t xml:space="preserve">TAGTGGAGCGCGCCAGGGTGCCCT</t>
  </si>
  <si>
    <t xml:space="preserve">AAACAGGGCACCCTGGCGCGCTCC</t>
  </si>
  <si>
    <t xml:space="preserve">PST_2755</t>
  </si>
  <si>
    <t xml:space="preserve">TTCGGCCACGATGTCGTTCA</t>
  </si>
  <si>
    <t xml:space="preserve">TAGTTTCGGCCACGATGTCGTTCA</t>
  </si>
  <si>
    <t xml:space="preserve">AAACTGAACGACATCGTGGCCGAA</t>
  </si>
  <si>
    <t xml:space="preserve">GCTTCTCGAGAATTTCGCGC</t>
  </si>
  <si>
    <t xml:space="preserve">TAGTGCTTCTCGAGAATTTCGCGC</t>
  </si>
  <si>
    <t xml:space="preserve">AAACGCGCGAAATTCTCGAGAAGC</t>
  </si>
  <si>
    <t xml:space="preserve">TCTCGTGGCTGAACATGCGG</t>
  </si>
  <si>
    <t xml:space="preserve">TAGTTCTCGTGGCTGAACATGCGG</t>
  </si>
  <si>
    <t xml:space="preserve">AAACCCGCATGTTCAGCCACGAGA</t>
  </si>
  <si>
    <t xml:space="preserve">TATCGAGGTAGCAGTTGTTG</t>
  </si>
  <si>
    <t xml:space="preserve">TAGTTATCGAGGTAGCAGTTGTTG</t>
  </si>
  <si>
    <t xml:space="preserve">AAACCAACAACTGCTACCTCGATA</t>
  </si>
  <si>
    <t xml:space="preserve">PST_2756</t>
  </si>
  <si>
    <t xml:space="preserve">AGAAGGCCACTGGTTTTCAT</t>
  </si>
  <si>
    <t xml:space="preserve">TAGTAGAAGGCCACTGGTTTTCAT</t>
  </si>
  <si>
    <t xml:space="preserve">AAACATGAAAACCAGTGGCCTTCT</t>
  </si>
  <si>
    <t xml:space="preserve">CGGATTGCTGCTTCTGCAGC</t>
  </si>
  <si>
    <t xml:space="preserve">TAGTCGGATTGCTGCTTCTGCAGC</t>
  </si>
  <si>
    <t xml:space="preserve">AAACGCTGCAGAAGCAGCAATCCG</t>
  </si>
  <si>
    <t xml:space="preserve">TCACTCAAACCTCCACCGCC</t>
  </si>
  <si>
    <t xml:space="preserve">TAGTTCACTCAAACCTCCACCGCC</t>
  </si>
  <si>
    <t xml:space="preserve">AAACGGCGGTGGAGGTTTGAGTGA</t>
  </si>
  <si>
    <t xml:space="preserve">CGCCGCCGACACCGGAGAGC</t>
  </si>
  <si>
    <t xml:space="preserve">TAGTCGCCGCCGACACCGGAGAGC</t>
  </si>
  <si>
    <t xml:space="preserve">AAACGCTCTCCGGTGTCGGCGGCG</t>
  </si>
  <si>
    <t xml:space="preserve">PST_2757</t>
  </si>
  <si>
    <t xml:space="preserve">GCTGAGCGGCTGGAAGAGCT</t>
  </si>
  <si>
    <t xml:space="preserve">TAGTGCTGAGCGGCTGGAAGAGCT</t>
  </si>
  <si>
    <t xml:space="preserve">AAACAGCTCTTCCAGCCGCTCAGC</t>
  </si>
  <si>
    <t xml:space="preserve">TGGGCAAGGTGAGCTGGCGC</t>
  </si>
  <si>
    <t xml:space="preserve">TAGTTGGGCAAGGTGAGCTGGCGC</t>
  </si>
  <si>
    <t xml:space="preserve">AAACGCGCCAGCTCACCTTGCCCA</t>
  </si>
  <si>
    <t xml:space="preserve">CGGCGACACGGCGATGCGGT</t>
  </si>
  <si>
    <t xml:space="preserve">TAGTCGGCGACACGGCGATGCGGT</t>
  </si>
  <si>
    <t xml:space="preserve">AAACACCGCATCGCCGTGTCGCCG</t>
  </si>
  <si>
    <t xml:space="preserve">TTGGCCGAGTACTGGCACAT</t>
  </si>
  <si>
    <t xml:space="preserve">TAGTTTGGCCGAGTACTGGCACAT</t>
  </si>
  <si>
    <t xml:space="preserve">AAACATGTGCCAGTACTCGGCCAA</t>
  </si>
  <si>
    <t xml:space="preserve">PST_2758</t>
  </si>
  <si>
    <t xml:space="preserve">TATCGTCGGCCGGCATGCAT</t>
  </si>
  <si>
    <t xml:space="preserve">TAGTTATCGTCGGCCGGCATGCAT</t>
  </si>
  <si>
    <t xml:space="preserve">AAACATGCATGCCGGCCGACGATA</t>
  </si>
  <si>
    <t xml:space="preserve">AACAATCGAACGTTCCGCCG</t>
  </si>
  <si>
    <t xml:space="preserve">TAGTAACAATCGAACGTTCCGCCG</t>
  </si>
  <si>
    <t xml:space="preserve">AAACCGGCGGAACGTTCGATTGTT</t>
  </si>
  <si>
    <t xml:space="preserve">ACTCTAGGCGCCGCGGCCGC</t>
  </si>
  <si>
    <t xml:space="preserve">TAGTACTCTAGGCGCCGCGGCCGC</t>
  </si>
  <si>
    <t xml:space="preserve">AAACGCGGCCGCGGCGCCTAGAGT</t>
  </si>
  <si>
    <t xml:space="preserve">GCTCATTTCGGGTTCCCGCA</t>
  </si>
  <si>
    <t xml:space="preserve">TAGTGCTCATTTCGGGTTCCCGCA</t>
  </si>
  <si>
    <t xml:space="preserve">AAACTGCGGGAACCCGAAATGAGC</t>
  </si>
  <si>
    <t xml:space="preserve">PST_2759</t>
  </si>
  <si>
    <t xml:space="preserve">recJ</t>
  </si>
  <si>
    <t xml:space="preserve">ATGCCCTTGAGCTGCTTATA</t>
  </si>
  <si>
    <t xml:space="preserve">TAGTATGCCCTTGAGCTGCTTATA</t>
  </si>
  <si>
    <t xml:space="preserve">AAACTATAAGCAGCTCAAGGGCAT</t>
  </si>
  <si>
    <t xml:space="preserve">CTCGACCAGCAGCTCGACCG</t>
  </si>
  <si>
    <t xml:space="preserve">TAGTCTCGACCAGCAGCTCGACCG</t>
  </si>
  <si>
    <t xml:space="preserve">AAACCGGTCGAGCTGCTGGTCGAG</t>
  </si>
  <si>
    <t xml:space="preserve">CATCGAAATCGCCGACGAAC</t>
  </si>
  <si>
    <t xml:space="preserve">TAGTCATCGAAATCGCCGACGAAC</t>
  </si>
  <si>
    <t xml:space="preserve">AAACGTTCGTCGGCGATTTCGATG</t>
  </si>
  <si>
    <t xml:space="preserve">GGTGCTGGCCGTAGCGCCAT</t>
  </si>
  <si>
    <t xml:space="preserve">TAGTGGTGCTGGCCGTAGCGCCAT</t>
  </si>
  <si>
    <t xml:space="preserve">AAACATGGCGCTACGGCCAGCACC</t>
  </si>
  <si>
    <t xml:space="preserve">PST_2760</t>
  </si>
  <si>
    <t xml:space="preserve">ATTCATTTCCACCGTGCCGC</t>
  </si>
  <si>
    <t xml:space="preserve">TAGTATTCATTTCCACCGTGCCGC</t>
  </si>
  <si>
    <t xml:space="preserve">AAACGCGGCACGGTGGAAATGAAT</t>
  </si>
  <si>
    <t xml:space="preserve">TGGCCCGCCCCCGGCTGGTG</t>
  </si>
  <si>
    <t xml:space="preserve">TAGTTGGCCCGCCCCCGGCTGGTG</t>
  </si>
  <si>
    <t xml:space="preserve">AAACCACCAGCCGGGGGCGGGCCA</t>
  </si>
  <si>
    <t xml:space="preserve">GCAGATATCCGCCTGTCGCT</t>
  </si>
  <si>
    <t xml:space="preserve">TAGTGCAGATATCCGCCTGTCGCT</t>
  </si>
  <si>
    <t xml:space="preserve">AAACAGCGACAGGCGGATATCTGC</t>
  </si>
  <si>
    <t xml:space="preserve">TATCTTCCACGTTGAGCAGC</t>
  </si>
  <si>
    <t xml:space="preserve">TAGTTATCTTCCACGTTGAGCAGC</t>
  </si>
  <si>
    <t xml:space="preserve">AAACGCTGCTCAACGTGGAAGATA</t>
  </si>
  <si>
    <t xml:space="preserve">PST_2761</t>
  </si>
  <si>
    <t xml:space="preserve">ATATTGGCGCAGTCGATAAA</t>
  </si>
  <si>
    <t xml:space="preserve">TAGTATATTGGCGCAGTCGATAAA</t>
  </si>
  <si>
    <t xml:space="preserve">AAACTTTATCGACTGCGCCAATAT</t>
  </si>
  <si>
    <t xml:space="preserve">ATCGGAGGCATGGAAGCCAC</t>
  </si>
  <si>
    <t xml:space="preserve">TAGTATCGGAGGCATGGAAGCCAC</t>
  </si>
  <si>
    <t xml:space="preserve">AAACGTGGCTTCCATGCCTCCGAT</t>
  </si>
  <si>
    <t xml:space="preserve">ACGGTGCGCCGCATGATCTG</t>
  </si>
  <si>
    <t xml:space="preserve">TAGTACGGTGCGCCGCATGATCTG</t>
  </si>
  <si>
    <t xml:space="preserve">AAACCAGATCATGCGGCGCACCGT</t>
  </si>
  <si>
    <t xml:space="preserve">CGCCGATGCGCACGTCGTGC</t>
  </si>
  <si>
    <t xml:space="preserve">TAGTCGCCGATGCGCACGTCGTGC</t>
  </si>
  <si>
    <t xml:space="preserve">AAACGCACGACGTGCGCATCGGCG</t>
  </si>
  <si>
    <t xml:space="preserve">PST_2762</t>
  </si>
  <si>
    <t xml:space="preserve">GATCGAACAGGCGCAGCACC</t>
  </si>
  <si>
    <t xml:space="preserve">TAGTGATCGAACAGGCGCAGCACC</t>
  </si>
  <si>
    <t xml:space="preserve">AAACGGTGCTGCGCCTGTTCGATC</t>
  </si>
  <si>
    <t xml:space="preserve">ATCCCGCACACGCTGAGTGG</t>
  </si>
  <si>
    <t xml:space="preserve">TAGTATCCCGCACACGCTGAGTGG</t>
  </si>
  <si>
    <t xml:space="preserve">AAACCCACTCAGCGTGTGCGGGAT</t>
  </si>
  <si>
    <t xml:space="preserve">ACCAGCAGGGTCGTGTAGGA</t>
  </si>
  <si>
    <t xml:space="preserve">TAGTACCAGCAGGGTCGTGTAGGA</t>
  </si>
  <si>
    <t xml:space="preserve">AAACTCCTACACGACCCTGCTGGT</t>
  </si>
  <si>
    <t xml:space="preserve">GGTGATCGTCCAGTTGCGCC</t>
  </si>
  <si>
    <t xml:space="preserve">TAGTGGTGATCGTCCAGTTGCGCC</t>
  </si>
  <si>
    <t xml:space="preserve">AAACGGCGCAACTGGACGATCACC</t>
  </si>
  <si>
    <t xml:space="preserve">PST_2763</t>
  </si>
  <si>
    <t xml:space="preserve">CTGCAGAGTGGCCAGGGCTC</t>
  </si>
  <si>
    <t xml:space="preserve">TAGTCTGCAGAGTGGCCAGGGCTC</t>
  </si>
  <si>
    <t xml:space="preserve">AAACGAGCCCTGGCCACTCTGCAG</t>
  </si>
  <si>
    <t xml:space="preserve">GTGGCGAACGCCGCTGCGGC</t>
  </si>
  <si>
    <t xml:space="preserve">TAGTGTGGCGAACGCCGCTGCGGC</t>
  </si>
  <si>
    <t xml:space="preserve">AAACGCCGCAGCGGCGTTCGCCAC</t>
  </si>
  <si>
    <t xml:space="preserve">CCAGTCAACGGCACCGCCCT</t>
  </si>
  <si>
    <t xml:space="preserve">TAGTCCAGTCAACGGCACCGCCCT</t>
  </si>
  <si>
    <t xml:space="preserve">AAACAGGGCGGTGCCGTTGACTGG</t>
  </si>
  <si>
    <t xml:space="preserve">CAGCCAGTTGGCCCAGCCGT</t>
  </si>
  <si>
    <t xml:space="preserve">TAGTCAGCCAGTTGGCCCAGCCGT</t>
  </si>
  <si>
    <t xml:space="preserve">AAACACGGCTGGGCCAACTGGCTG</t>
  </si>
  <si>
    <t xml:space="preserve">PST_2764</t>
  </si>
  <si>
    <t xml:space="preserve">ACAGGTCTCGGTAGGCGGTC</t>
  </si>
  <si>
    <t xml:space="preserve">TAGTACAGGTCTCGGTAGGCGGTC</t>
  </si>
  <si>
    <t xml:space="preserve">AAACGACCGCCTACCGAGACCTGT</t>
  </si>
  <si>
    <t xml:space="preserve">CCGCTCGCGCAATGCCGCGG</t>
  </si>
  <si>
    <t xml:space="preserve">TAGTCCGCTCGCGCAATGCCGCGG</t>
  </si>
  <si>
    <t xml:space="preserve">AAACCCGCGGCATTGCGCGAGCGG</t>
  </si>
  <si>
    <t xml:space="preserve">TCGGGCCGTCGAATTCGCCC</t>
  </si>
  <si>
    <t xml:space="preserve">TAGTTCGGGCCGTCGAATTCGCCC</t>
  </si>
  <si>
    <t xml:space="preserve">AAACGGGCGAATTCGACGGCCCGA</t>
  </si>
  <si>
    <t xml:space="preserve">ATAGCCATTGGCCAGCCCGG</t>
  </si>
  <si>
    <t xml:space="preserve">TAGTATAGCCATTGGCCAGCCCGG</t>
  </si>
  <si>
    <t xml:space="preserve">AAACCCGGGCTGGCCAATGGCTAT</t>
  </si>
  <si>
    <t xml:space="preserve">PST_2765</t>
  </si>
  <si>
    <t xml:space="preserve">GCAGCCGTGCAGCGAGTGCC</t>
  </si>
  <si>
    <t xml:space="preserve">TAGTGCAGCCGTGCAGCGAGTGCC</t>
  </si>
  <si>
    <t xml:space="preserve">AAACGGCACTCGCTGCACGGCTGC</t>
  </si>
  <si>
    <t xml:space="preserve">TCTTGGCGTTGGGGCAGGTA</t>
  </si>
  <si>
    <t xml:space="preserve">TAGTTCTTGGCGTTGGGGCAGGTA</t>
  </si>
  <si>
    <t xml:space="preserve">AAACTACCTGCCCCAACGCCAAGA</t>
  </si>
  <si>
    <t xml:space="preserve">TCGGCTTGCGTAGGTTGCAT</t>
  </si>
  <si>
    <t xml:space="preserve">TAGTTCGGCTTGCGTAGGTTGCAT</t>
  </si>
  <si>
    <t xml:space="preserve">AAACATGCAACCTACGCAAGCCGA</t>
  </si>
  <si>
    <t xml:space="preserve">CACGTTGCGCTGGGAGGGTG</t>
  </si>
  <si>
    <t xml:space="preserve">TAGTCACGTTGCGCTGGGAGGGTG</t>
  </si>
  <si>
    <t xml:space="preserve">AAACCACCCTCCCAGCGCAACGTG</t>
  </si>
  <si>
    <t xml:space="preserve">PST_2766</t>
  </si>
  <si>
    <t xml:space="preserve">TTTGTAGGGTGTCGCTTGCA</t>
  </si>
  <si>
    <t xml:space="preserve">TAGTTTTGTAGGGTGTCGCTTGCA</t>
  </si>
  <si>
    <t xml:space="preserve">AAACTGCAAGCGACACCCTACAAA</t>
  </si>
  <si>
    <t xml:space="preserve">TTTCATAGACGCCACGGTCC</t>
  </si>
  <si>
    <t xml:space="preserve">TAGTTTTCATAGACGCCACGGTCC</t>
  </si>
  <si>
    <t xml:space="preserve">AAACGGACCGTGGCGTCTATGAAA</t>
  </si>
  <si>
    <t xml:space="preserve">GCCTGGCTACCGTGAAGCGC</t>
  </si>
  <si>
    <t xml:space="preserve">TAGTGCCTGGCTACCGTGAAGCGC</t>
  </si>
  <si>
    <t xml:space="preserve">AAACGCGCTTCACGGTAGCCAGGC</t>
  </si>
  <si>
    <t xml:space="preserve">GACGTTCCTCGGTTTCCGAG</t>
  </si>
  <si>
    <t xml:space="preserve">TAGTGACGTTCCTCGGTTTCCGAG</t>
  </si>
  <si>
    <t xml:space="preserve">AAACCTCGGAAACCGAGGAACGTC</t>
  </si>
  <si>
    <t xml:space="preserve">PST_2767</t>
  </si>
  <si>
    <t xml:space="preserve">ATATCCACCAGCGTCAGGGT</t>
  </si>
  <si>
    <t xml:space="preserve">TAGTATATCCACCAGCGTCAGGGT</t>
  </si>
  <si>
    <t xml:space="preserve">AAACACCCTGACGCTGGTGGATAT</t>
  </si>
  <si>
    <t xml:space="preserve">AGAACATCAGCACGCCAAGC</t>
  </si>
  <si>
    <t xml:space="preserve">TAGTAGAACATCAGCACGCCAAGC</t>
  </si>
  <si>
    <t xml:space="preserve">AAACGCTTGGCGTGCTGATGTTCT</t>
  </si>
  <si>
    <t xml:space="preserve">CCCGAACAGCAGCATCAGGC</t>
  </si>
  <si>
    <t xml:space="preserve">TAGTCCCGAACAGCAGCATCAGGC</t>
  </si>
  <si>
    <t xml:space="preserve">AAACGCCTGATGCTGCTGTTCGGG</t>
  </si>
  <si>
    <t xml:space="preserve">CGTCGATCCCCATTCCGCGC</t>
  </si>
  <si>
    <t xml:space="preserve">TAGTCGTCGATCCCCATTCCGCGC</t>
  </si>
  <si>
    <t xml:space="preserve">AAACGCGCGGAATGGGGATCGACG</t>
  </si>
  <si>
    <t xml:space="preserve">PST_2768</t>
  </si>
  <si>
    <t xml:space="preserve">AATCAGCCAGTTGCCACACC</t>
  </si>
  <si>
    <t xml:space="preserve">TAGTAATCAGCCAGTTGCCACACC</t>
  </si>
  <si>
    <t xml:space="preserve">AAACGGTGTGGCAACTGGCTGATT</t>
  </si>
  <si>
    <t xml:space="preserve">CTTGAAGGCCGGGCCCTGCC</t>
  </si>
  <si>
    <t xml:space="preserve">TAGTCTTGAAGGCCGGGCCCTGCC</t>
  </si>
  <si>
    <t xml:space="preserve">AAACGGCAGGGCCCGGCCTTCAAG</t>
  </si>
  <si>
    <t xml:space="preserve">CTACCCCGCGAGCTTTGTTC</t>
  </si>
  <si>
    <t xml:space="preserve">TAGTCTACCCCGCGAGCTTTGTTC</t>
  </si>
  <si>
    <t xml:space="preserve">AAACGAACAAAGCTCGCGGGGTAG</t>
  </si>
  <si>
    <t xml:space="preserve">GCAGAACGCCCAGGCGGCCC</t>
  </si>
  <si>
    <t xml:space="preserve">TAGTGCAGAACGCCCAGGCGGCCC</t>
  </si>
  <si>
    <t xml:space="preserve">AAACGGGCCGCCTGGGCGTTCTGC</t>
  </si>
  <si>
    <t xml:space="preserve">PST_2769</t>
  </si>
  <si>
    <t xml:space="preserve">bfrB</t>
  </si>
  <si>
    <t xml:space="preserve">TGGCTACCAGCTCGTTGCCG</t>
  </si>
  <si>
    <t xml:space="preserve">TAGTTGGCTACCAGCTCGTTGCCG</t>
  </si>
  <si>
    <t xml:space="preserve">AAACCGGCAACGAGCTGGTAGCCA</t>
  </si>
  <si>
    <t xml:space="preserve">ATGCAGGAAATACTGGTTGA</t>
  </si>
  <si>
    <t xml:space="preserve">TAGTATGCAGGAAATACTGGTTGA</t>
  </si>
  <si>
    <t xml:space="preserve">AAACTCAACCAGTATTTCCTGCAT</t>
  </si>
  <si>
    <t xml:space="preserve">GATGCGCTTGATCAGCTTGT</t>
  </si>
  <si>
    <t xml:space="preserve">TAGTGATGCGCTTGATCAGCTTGT</t>
  </si>
  <si>
    <t xml:space="preserve">AAACACAAGCTGATCAAGCGCATC</t>
  </si>
  <si>
    <t xml:space="preserve">TCGGCAGGCCTTCAAGGAAG</t>
  </si>
  <si>
    <t xml:space="preserve">TAGTTCGGCAGGCCTTCAAGGAAG</t>
  </si>
  <si>
    <t xml:space="preserve">AAACCTTCCTTGAAGGCCTGCCGA</t>
  </si>
  <si>
    <t xml:space="preserve">PST_2770</t>
  </si>
  <si>
    <t xml:space="preserve">fklB-2</t>
  </si>
  <si>
    <t xml:space="preserve">AGGCCGACCAGGGCAATCGC</t>
  </si>
  <si>
    <t xml:space="preserve">TAGTAGGCCGACCAGGGCAATCGC</t>
  </si>
  <si>
    <t xml:space="preserve">AAACGCGATTGCCCTGGTCGGCCT</t>
  </si>
  <si>
    <t xml:space="preserve">ACTGGTCTGCGAGTCGCAGC</t>
  </si>
  <si>
    <t xml:space="preserve">TAGTACTGGTCTGCGAGTCGCAGC</t>
  </si>
  <si>
    <t xml:space="preserve">AAACGCTGCGACTCGCAGACCAGT</t>
  </si>
  <si>
    <t xml:space="preserve">CCGTAGGACGCCTTCTGCGC</t>
  </si>
  <si>
    <t xml:space="preserve">TAGTCCGTAGGACGCCTTCTGCGC</t>
  </si>
  <si>
    <t xml:space="preserve">AAACGCGCAGAAGGCGTCCTACGG</t>
  </si>
  <si>
    <t xml:space="preserve">CAAGGCTCTTGCCCATGTTC</t>
  </si>
  <si>
    <t xml:space="preserve">TAGTCAAGGCTCTTGCCCATGTTC</t>
  </si>
  <si>
    <t xml:space="preserve">AAACGAACATGGGCAAGAGCCTTG</t>
  </si>
  <si>
    <t xml:space="preserve">PST_2773</t>
  </si>
  <si>
    <t xml:space="preserve">GTAGATCTCCGGGGAAACAA</t>
  </si>
  <si>
    <t xml:space="preserve">TAGTGTAGATCTCCGGGGAAACAA</t>
  </si>
  <si>
    <t xml:space="preserve">AAACTTGTTTCCCCGGAGATCTAC</t>
  </si>
  <si>
    <t xml:space="preserve">GATTGCGAAACCACATGGCG</t>
  </si>
  <si>
    <t xml:space="preserve">TAGTGATTGCGAAACCACATGGCG</t>
  </si>
  <si>
    <t xml:space="preserve">AAACCGCCATGTGGTTTCGCAATC</t>
  </si>
  <si>
    <t xml:space="preserve">GAGCGACGTTCTGGGTGAGA</t>
  </si>
  <si>
    <t xml:space="preserve">TAGTGAGCGACGTTCTGGGTGAGA</t>
  </si>
  <si>
    <t xml:space="preserve">AAACTCTCACCCAGAACGTCGCTC</t>
  </si>
  <si>
    <t xml:space="preserve">CAGTGCAGCTTCGAGAGTCT</t>
  </si>
  <si>
    <t xml:space="preserve">TAGTCAGTGCAGCTTCGAGAGTCT</t>
  </si>
  <si>
    <t xml:space="preserve">AAACAGACTCTCGAAGCTGCACTG</t>
  </si>
  <si>
    <t xml:space="preserve">PST_2774</t>
  </si>
  <si>
    <t xml:space="preserve">GGCGCCTGGGCACTTCCGAC</t>
  </si>
  <si>
    <t xml:space="preserve">TAGTGGCGCCTGGGCACTTCCGAC</t>
  </si>
  <si>
    <t xml:space="preserve">AAACGTCGGAAGTGCCCAGGCGCC</t>
  </si>
  <si>
    <t xml:space="preserve">AGCAGACGGAACTGCGAGCG</t>
  </si>
  <si>
    <t xml:space="preserve">TAGTAGCAGACGGAACTGCGAGCG</t>
  </si>
  <si>
    <t xml:space="preserve">AAACCGCTCGCAGTTCCGTCTGCT</t>
  </si>
  <si>
    <t xml:space="preserve">TACAGAAGAACGGCAGAAAC</t>
  </si>
  <si>
    <t xml:space="preserve">TAGTTACAGAAGAACGGCAGAAAC</t>
  </si>
  <si>
    <t xml:space="preserve">AAACGTTTCTGCCGTTCTTCTGTA</t>
  </si>
  <si>
    <t xml:space="preserve">GTTGAATGCGCCCAGCAGCT</t>
  </si>
  <si>
    <t xml:space="preserve">TAGTGTTGAATGCGCCCAGCAGCT</t>
  </si>
  <si>
    <t xml:space="preserve">AAACAGCTGCTGGGCGCATTCAAC</t>
  </si>
  <si>
    <t xml:space="preserve">PST_2775</t>
  </si>
  <si>
    <t xml:space="preserve">CATGCCGAGGATCAGCAGCC</t>
  </si>
  <si>
    <t xml:space="preserve">TAGTCATGCCGAGGATCAGCAGCC</t>
  </si>
  <si>
    <t xml:space="preserve">AAACGGCTGCTGATCCTCGGCATG</t>
  </si>
  <si>
    <t xml:space="preserve">GAAGCTGTAGCGGATCACGA</t>
  </si>
  <si>
    <t xml:space="preserve">TAGTGAAGCTGTAGCGGATCACGA</t>
  </si>
  <si>
    <t xml:space="preserve">AAACTCGTGATCCGCTACAGCTTC</t>
  </si>
  <si>
    <t xml:space="preserve">CGGAAAGCGCAGATCAGGCC</t>
  </si>
  <si>
    <t xml:space="preserve">TAGTCGGAAAGCGCAGATCAGGCC</t>
  </si>
  <si>
    <t xml:space="preserve">AAACGGCCTGATCTGCGCTTTCCG</t>
  </si>
  <si>
    <t xml:space="preserve">GTAATGCAGGCCCTGTTCGA</t>
  </si>
  <si>
    <t xml:space="preserve">TAGTGTAATGCAGGCCCTGTTCGA</t>
  </si>
  <si>
    <t xml:space="preserve">AAACTCGAACAGGGCCTGCATTAC</t>
  </si>
  <si>
    <t xml:space="preserve">PST_2776</t>
  </si>
  <si>
    <t xml:space="preserve">azlC</t>
  </si>
  <si>
    <t xml:space="preserve">AACTCTTGCGAGCGGGACAT</t>
  </si>
  <si>
    <t xml:space="preserve">TAGTAACTCTTGCGAGCGGGACAT</t>
  </si>
  <si>
    <t xml:space="preserve">AAACATGTCCCGCTCGCAAGAGTT</t>
  </si>
  <si>
    <t xml:space="preserve">GCAATATGTCACGGCAACCA</t>
  </si>
  <si>
    <t xml:space="preserve">TAGTGCAATATGTCACGGCAACCA</t>
  </si>
  <si>
    <t xml:space="preserve">AAACTGGTTGCCGTGACATATTGC</t>
  </si>
  <si>
    <t xml:space="preserve">GGGATCGCACCGAGGATCAA</t>
  </si>
  <si>
    <t xml:space="preserve">TAGTGGGATCGCACCGAGGATCAA</t>
  </si>
  <si>
    <t xml:space="preserve">AAACTTGATCCTCGGTGCGATCCC</t>
  </si>
  <si>
    <t xml:space="preserve">TGCCGAAGATGATGCCGAAC</t>
  </si>
  <si>
    <t xml:space="preserve">TAGTTGCCGAAGATGATGCCGAAC</t>
  </si>
  <si>
    <t xml:space="preserve">AAACGTTCGGCATCATCTTCGGCA</t>
  </si>
  <si>
    <t xml:space="preserve">PST_2777</t>
  </si>
  <si>
    <t xml:space="preserve">CGCTGAAGGGTTACCGGGCG</t>
  </si>
  <si>
    <t xml:space="preserve">TAGTCGCTGAAGGGTTACCGGGCG</t>
  </si>
  <si>
    <t xml:space="preserve">AAACCGCCCGGTAACCCTTCAGCG</t>
  </si>
  <si>
    <t xml:space="preserve">CCGCCTCCATCAGCGGCTCC</t>
  </si>
  <si>
    <t xml:space="preserve">TAGTCCGCCTCCATCAGCGGCTCC</t>
  </si>
  <si>
    <t xml:space="preserve">AAACGGAGCCGCTGATGGAGGCGG</t>
  </si>
  <si>
    <t xml:space="preserve">CTGCCAGCGCGACGAGTTCA</t>
  </si>
  <si>
    <t xml:space="preserve">TAGTCTGCCAGCGCGACGAGTTCA</t>
  </si>
  <si>
    <t xml:space="preserve">AAACTGAACTCGTCGCGCTGGCAG</t>
  </si>
  <si>
    <t xml:space="preserve">TCATGTAAACCAGCTCTGCA</t>
  </si>
  <si>
    <t xml:space="preserve">TAGTTCATGTAAACCAGCTCTGCA</t>
  </si>
  <si>
    <t xml:space="preserve">AAACTGCAGAGCTGGTTTACATGA</t>
  </si>
  <si>
    <t xml:space="preserve">PST_2778</t>
  </si>
  <si>
    <t xml:space="preserve">CGTGTGCAGGGTTGCGACCA</t>
  </si>
  <si>
    <t xml:space="preserve">TAGTCGTGTGCAGGGTTGCGACCA</t>
  </si>
  <si>
    <t xml:space="preserve">AAACTGGTCGCAACCCTGCACACG</t>
  </si>
  <si>
    <t xml:space="preserve">TTGGCGAAGTTTCGCAGCAA</t>
  </si>
  <si>
    <t xml:space="preserve">TAGTTTGGCGAAGTTTCGCAGCAA</t>
  </si>
  <si>
    <t xml:space="preserve">AAACTTGCTGCGAAACTTCGCCAA</t>
  </si>
  <si>
    <t xml:space="preserve">TCTGGCGACTCTTTAATTTG</t>
  </si>
  <si>
    <t xml:space="preserve">TAGTTCTGGCGACTCTTTAATTTG</t>
  </si>
  <si>
    <t xml:space="preserve">AAACCAAATTAAAGAGTCGCCAGA</t>
  </si>
  <si>
    <t xml:space="preserve">ATGGCTTCGGTTGGCCGGTA</t>
  </si>
  <si>
    <t xml:space="preserve">TAGTATGGCTTCGGTTGGCCGGTA</t>
  </si>
  <si>
    <t xml:space="preserve">AAACTACCGGCCAACCGAAGCCAT</t>
  </si>
  <si>
    <t xml:space="preserve">PST_2779</t>
  </si>
  <si>
    <t xml:space="preserve">CATATAGACGAGGGCGACCG</t>
  </si>
  <si>
    <t xml:space="preserve">TAGTCATATAGACGAGGGCGACCG</t>
  </si>
  <si>
    <t xml:space="preserve">AAACCGGTCGCCCTCGTCTATATG</t>
  </si>
  <si>
    <t xml:space="preserve">GAAGGCGATGGCGAACAGAA</t>
  </si>
  <si>
    <t xml:space="preserve">TAGTGAAGGCGATGGCGAACAGAA</t>
  </si>
  <si>
    <t xml:space="preserve">AAACTTCTGTTCGCCATCGCCTTC</t>
  </si>
  <si>
    <t xml:space="preserve">GCGACATGGAGGCGCTGTTA</t>
  </si>
  <si>
    <t xml:space="preserve">TAGTGCGACATGGAGGCGCTGTTA</t>
  </si>
  <si>
    <t xml:space="preserve">AAACTAACAGCGCCTCCATGTCGC</t>
  </si>
  <si>
    <t xml:space="preserve">TAGACCCAGGGCCGCAGGCG</t>
  </si>
  <si>
    <t xml:space="preserve">TAGTTAGACCCAGGGCCGCAGGCG</t>
  </si>
  <si>
    <t xml:space="preserve">AAACCGCCTGCGGCCCTGGGTCTA</t>
  </si>
  <si>
    <t xml:space="preserve">PST_2780</t>
  </si>
  <si>
    <t xml:space="preserve">GGCCCGCCAGGCCGAAGGTG</t>
  </si>
  <si>
    <t xml:space="preserve">TAGTGGCCCGCCAGGCCGAAGGTG</t>
  </si>
  <si>
    <t xml:space="preserve">AAACCACCTTCGGCCTGGCGGGCC</t>
  </si>
  <si>
    <t xml:space="preserve">CCGCAGCAAGACCGCCGAAC</t>
  </si>
  <si>
    <t xml:space="preserve">TAGTCCGCAGCAAGACCGCCGAAC</t>
  </si>
  <si>
    <t xml:space="preserve">AAACGTTCGGCGGTCTTGCTGCGG</t>
  </si>
  <si>
    <t xml:space="preserve">CCAGGCAAACGCGCCGAGAT</t>
  </si>
  <si>
    <t xml:space="preserve">TAGTCCAGGCAAACGCGCCGAGAT</t>
  </si>
  <si>
    <t xml:space="preserve">AAACATCTCGGCGCGTTTGCCTGG</t>
  </si>
  <si>
    <t xml:space="preserve">CCGCGCATCAATCAGGTAGC</t>
  </si>
  <si>
    <t xml:space="preserve">TAGTCCGCGCATCAATCAGGTAGC</t>
  </si>
  <si>
    <t xml:space="preserve">AAACGCTACCTGATTGATGCGCGG</t>
  </si>
  <si>
    <t xml:space="preserve">PST_2781</t>
  </si>
  <si>
    <t xml:space="preserve">CAATAGATGGTGGGGATCAA</t>
  </si>
  <si>
    <t xml:space="preserve">TAGTCAATAGATGGTGGGGATCAA</t>
  </si>
  <si>
    <t xml:space="preserve">AAACTTGATCCCCACCATCTATTG</t>
  </si>
  <si>
    <t xml:space="preserve">ACAGCCCTGCCAGGGCGACC</t>
  </si>
  <si>
    <t xml:space="preserve">TAGTACAGCCCTGCCAGGGCGACC</t>
  </si>
  <si>
    <t xml:space="preserve">AAACGGTCGCCCTGGCAGGGCTGT</t>
  </si>
  <si>
    <t xml:space="preserve">CCAGCCGGCGCTGGAGATAA</t>
  </si>
  <si>
    <t xml:space="preserve">TAGTCCAGCCGGCGCTGGAGATAA</t>
  </si>
  <si>
    <t xml:space="preserve">AAACTTATCTCCAGCGCCGGCTGG</t>
  </si>
  <si>
    <t xml:space="preserve">TTCTTCGAGCAGAGCCTGCT</t>
  </si>
  <si>
    <t xml:space="preserve">TAGTTTCTTCGAGCAGAGCCTGCT</t>
  </si>
  <si>
    <t xml:space="preserve">AAACAGCAGGCTCTGCTCGAAGAA</t>
  </si>
  <si>
    <t xml:space="preserve">PST_2782</t>
  </si>
  <si>
    <t xml:space="preserve">GTCGAGGTGGCAAATGAGGC</t>
  </si>
  <si>
    <t xml:space="preserve">TAGTGTCGAGGTGGCAAATGAGGC</t>
  </si>
  <si>
    <t xml:space="preserve">AAACGCCTCATTTGCCACCTCGAC</t>
  </si>
  <si>
    <t xml:space="preserve">CGCAAGGGCAGGCGCGCCGT</t>
  </si>
  <si>
    <t xml:space="preserve">TAGTCGCAAGGGCAGGCGCGCCGT</t>
  </si>
  <si>
    <t xml:space="preserve">AAACACGGCGCGCCTGCCCTTGCG</t>
  </si>
  <si>
    <t xml:space="preserve">CCTGGTTCCGGCCCAGGTGC</t>
  </si>
  <si>
    <t xml:space="preserve">TAGTCCTGGTTCCGGCCCAGGTGC</t>
  </si>
  <si>
    <t xml:space="preserve">AAACGCACCTGGGCCGGAACCAGG</t>
  </si>
  <si>
    <t xml:space="preserve">AGGCTGCTTGAGGAGGCGTC</t>
  </si>
  <si>
    <t xml:space="preserve">TAGTAGGCTGCTTGAGGAGGCGTC</t>
  </si>
  <si>
    <t xml:space="preserve">AAACGACGCCTCCTCAAGCAGCCT</t>
  </si>
  <si>
    <t xml:space="preserve">PST_2783</t>
  </si>
  <si>
    <t xml:space="preserve">AGAGTTGCTTCGAAGTTCAC</t>
  </si>
  <si>
    <t xml:space="preserve">TAGTAGAGTTGCTTCGAAGTTCAC</t>
  </si>
  <si>
    <t xml:space="preserve">AAACGTGAACTTCGAAGCAACTCT</t>
  </si>
  <si>
    <t xml:space="preserve">CGGGGCGACGTGCGCCAGCG</t>
  </si>
  <si>
    <t xml:space="preserve">TAGTCGGGGCGACGTGCGCCAGCG</t>
  </si>
  <si>
    <t xml:space="preserve">AAACCGCTGGCGCACGTCGCCCCG</t>
  </si>
  <si>
    <t xml:space="preserve">AGCATAGCCGTAGAACGGGC</t>
  </si>
  <si>
    <t xml:space="preserve">TAGTAGCATAGCCGTAGAACGGGC</t>
  </si>
  <si>
    <t xml:space="preserve">AAACGCCCGTTCTACGGCTATGCT</t>
  </si>
  <si>
    <t xml:space="preserve">TGGCTGCGTCCATAAAGCGA</t>
  </si>
  <si>
    <t xml:space="preserve">TAGTTGGCTGCGTCCATAAAGCGA</t>
  </si>
  <si>
    <t xml:space="preserve">AAACTCGCTTTATGGACGCAGCCA</t>
  </si>
  <si>
    <t xml:space="preserve">PST_2784</t>
  </si>
  <si>
    <t xml:space="preserve">CGTATGGCGCAACCGCATGG</t>
  </si>
  <si>
    <t xml:space="preserve">TAGTCGTATGGCGCAACCGCATGG</t>
  </si>
  <si>
    <t xml:space="preserve">AAACCCATGCGGTTGCGCCATACG</t>
  </si>
  <si>
    <t xml:space="preserve">CACCCGCGGTGTACAGGCGC</t>
  </si>
  <si>
    <t xml:space="preserve">TAGTCACCCGCGGTGTACAGGCGC</t>
  </si>
  <si>
    <t xml:space="preserve">AAACGCGCCTGTACACCGCGGGTG</t>
  </si>
  <si>
    <t xml:space="preserve">ATTGATCGGCTCGTTCGGCA</t>
  </si>
  <si>
    <t xml:space="preserve">TAGTATTGATCGGCTCGTTCGGCA</t>
  </si>
  <si>
    <t xml:space="preserve">AAACTGCCGAACGAGCCGATCAAT</t>
  </si>
  <si>
    <t xml:space="preserve">CGTGCTCGATCTTCACGTTC</t>
  </si>
  <si>
    <t xml:space="preserve">TAGTCGTGCTCGATCTTCACGTTC</t>
  </si>
  <si>
    <t xml:space="preserve">AAACGAACGTGAAGATCGAGCACG</t>
  </si>
  <si>
    <t xml:space="preserve">PST_2785</t>
  </si>
  <si>
    <t xml:space="preserve">GCGACCTCGGCGAGGAAAGT</t>
  </si>
  <si>
    <t xml:space="preserve">TAGTGCGACCTCGGCGAGGAAAGT</t>
  </si>
  <si>
    <t xml:space="preserve">AAACACTTTCCTCGCCGAGGTCGC</t>
  </si>
  <si>
    <t xml:space="preserve">GCGGCAACAGCAACTGGACA</t>
  </si>
  <si>
    <t xml:space="preserve">TAGTGCGGCAACAGCAACTGGACA</t>
  </si>
  <si>
    <t xml:space="preserve">AAACTGTCCAGTTGCTGTTGCCGC</t>
  </si>
  <si>
    <t xml:space="preserve">ACGGTGCGAAAGAGCGACCT</t>
  </si>
  <si>
    <t xml:space="preserve">TAGTACGGTGCGAAAGAGCGACCT</t>
  </si>
  <si>
    <t xml:space="preserve">AAACAGGTCGCTCTTTCGCACCGT</t>
  </si>
  <si>
    <t xml:space="preserve">GGCCGGCGCACGGCTGTAGG</t>
  </si>
  <si>
    <t xml:space="preserve">TAGTGGCCGGCGCACGGCTGTAGG</t>
  </si>
  <si>
    <t xml:space="preserve">AAACCCTACAGCCGTGCGCCGGCC</t>
  </si>
  <si>
    <t xml:space="preserve">PST_2786</t>
  </si>
  <si>
    <t xml:space="preserve">polB</t>
  </si>
  <si>
    <t xml:space="preserve">TCTCTCGCCAGTGGCGGGTC</t>
  </si>
  <si>
    <t xml:space="preserve">TAGTTCTCTCGCCAGTGGCGGGTC</t>
  </si>
  <si>
    <t xml:space="preserve">AAACGACCCGCCACTGGCGAGAGA</t>
  </si>
  <si>
    <t xml:space="preserve">AAACTCACCTCGGTACCCGC</t>
  </si>
  <si>
    <t xml:space="preserve">TAGTAAACTCACCTCGGTACCCGC</t>
  </si>
  <si>
    <t xml:space="preserve">AAACGCGGGTACCGAGGTGAGTTT</t>
  </si>
  <si>
    <t xml:space="preserve">CCGCCGCGGCCCGTTGTCGG</t>
  </si>
  <si>
    <t xml:space="preserve">TAGTCCGCCGCGGCCCGTTGTCGG</t>
  </si>
  <si>
    <t xml:space="preserve">AAACCCGACAACGGGCCGCGGCGG</t>
  </si>
  <si>
    <t xml:space="preserve">AAGGCGACCGAATGCCGGTA</t>
  </si>
  <si>
    <t xml:space="preserve">TAGTAAGGCGACCGAATGCCGGTA</t>
  </si>
  <si>
    <t xml:space="preserve">AAACTACCGGCATTCGGTCGCCTT</t>
  </si>
  <si>
    <t xml:space="preserve">PST_2788</t>
  </si>
  <si>
    <t xml:space="preserve">CAGGCTGAGGGCGGTGGGAG</t>
  </si>
  <si>
    <t xml:space="preserve">TAGTCAGGCTGAGGGCGGTGGGAG</t>
  </si>
  <si>
    <t xml:space="preserve">AAACCTCCCACCGCCCTCAGCCTG</t>
  </si>
  <si>
    <t xml:space="preserve">GTTTGTCGTCGATCTCGTAG</t>
  </si>
  <si>
    <t xml:space="preserve">TAGTGTTTGTCGTCGATCTCGTAG</t>
  </si>
  <si>
    <t xml:space="preserve">AAACCTACGAGATCGACGACAAAC</t>
  </si>
  <si>
    <t xml:space="preserve">GAAGGCCGACAGGCGGTCGG</t>
  </si>
  <si>
    <t xml:space="preserve">TAGTGAAGGCCGACAGGCGGTCGG</t>
  </si>
  <si>
    <t xml:space="preserve">AAACCCGACCGCCTGTCGGCCTTC</t>
  </si>
  <si>
    <t xml:space="preserve">TCTCCGGAATCGGCTCGGCA</t>
  </si>
  <si>
    <t xml:space="preserve">TAGTTCTCCGGAATCGGCTCGGCA</t>
  </si>
  <si>
    <t xml:space="preserve">AAACTGCCGAGCCGATTCCGGAGA</t>
  </si>
  <si>
    <t xml:space="preserve">PST_2789</t>
  </si>
  <si>
    <t xml:space="preserve">CAGGGCAAGGGTCGAGAGTC</t>
  </si>
  <si>
    <t xml:space="preserve">TAGTCAGGGCAAGGGTCGAGAGTC</t>
  </si>
  <si>
    <t xml:space="preserve">AAACGACTCTCGACCCTTGCCCTG</t>
  </si>
  <si>
    <t xml:space="preserve">CCACAGCCAGCCGCAGCCAC</t>
  </si>
  <si>
    <t xml:space="preserve">TAGTCCACAGCCAGCCGCAGCCAC</t>
  </si>
  <si>
    <t xml:space="preserve">AAACGTGGCTGCGGCTGGCTGTGG</t>
  </si>
  <si>
    <t xml:space="preserve">GGTAGTCACTGCCGCGGTCA</t>
  </si>
  <si>
    <t xml:space="preserve">TAGTGGTAGTCACTGCCGCGGTCA</t>
  </si>
  <si>
    <t xml:space="preserve">AAACTGACCGCGGCAGTGACTACC</t>
  </si>
  <si>
    <t xml:space="preserve">GAGCGGTCTGACGTGCCGAA</t>
  </si>
  <si>
    <t xml:space="preserve">TAGTGAGCGGTCTGACGTGCCGAA</t>
  </si>
  <si>
    <t xml:space="preserve">AAACTTCGGCACGTCAGACCGCTC</t>
  </si>
  <si>
    <t xml:space="preserve">PST_2790</t>
  </si>
  <si>
    <t xml:space="preserve">dapA</t>
  </si>
  <si>
    <t xml:space="preserve">AGACCGCCCTGCGCATCCAT</t>
  </si>
  <si>
    <t xml:space="preserve">TAGTAGACCGCCCTGCGCATCCAT</t>
  </si>
  <si>
    <t xml:space="preserve">AAACATGGATGCGCAGGGCGGTCT</t>
  </si>
  <si>
    <t xml:space="preserve">GGAAATCCACCAGCTTGCTC</t>
  </si>
  <si>
    <t xml:space="preserve">TAGTGGAAATCCACCAGCTTGCTC</t>
  </si>
  <si>
    <t xml:space="preserve">AAACGAGCAAGCTGGTGGATTTCC</t>
  </si>
  <si>
    <t xml:space="preserve">CATTGGTGCCTTCCTGCAAA</t>
  </si>
  <si>
    <t xml:space="preserve">TAGTCATTGGTGCCTTCCTGCAAA</t>
  </si>
  <si>
    <t xml:space="preserve">AAACTTTGCAGGAAGGCACCAATG</t>
  </si>
  <si>
    <t xml:space="preserve">CAAGGTGGCCGACTCACCGG</t>
  </si>
  <si>
    <t xml:space="preserve">TAGTCAAGGTGGCCGACTCACCGG</t>
  </si>
  <si>
    <t xml:space="preserve">AAACCCGGTGAGTCGGCCACCTTG</t>
  </si>
  <si>
    <t xml:space="preserve">PST_2791</t>
  </si>
  <si>
    <t xml:space="preserve">AGCACATTGGTCAGCTCCAT</t>
  </si>
  <si>
    <t xml:space="preserve">TAGTAGCACATTGGTCAGCTCCAT</t>
  </si>
  <si>
    <t xml:space="preserve">AAACATGGAGCTGACCAATGTGCT</t>
  </si>
  <si>
    <t xml:space="preserve">AGCGATTCTCGTTGGCGGCG</t>
  </si>
  <si>
    <t xml:space="preserve">TAGTAGCGATTCTCGTTGGCGGCG</t>
  </si>
  <si>
    <t xml:space="preserve">AAACCGCCGCCAACGAGAATCGCT</t>
  </si>
  <si>
    <t xml:space="preserve">TGCACTGGCCATGACGCGTC</t>
  </si>
  <si>
    <t xml:space="preserve">TAGTTGCACTGGCCATGACGCGTC</t>
  </si>
  <si>
    <t xml:space="preserve">AAACGACGCGTCATGGCCAGTGCA</t>
  </si>
  <si>
    <t xml:space="preserve">CGGCAGCGTGGTTTCCATCC</t>
  </si>
  <si>
    <t xml:space="preserve">TAGTCGGCAGCGTGGTTTCCATCC</t>
  </si>
  <si>
    <t xml:space="preserve">AAACGGATGGAAACCACGCTGCCG</t>
  </si>
  <si>
    <t xml:space="preserve">PST_2792</t>
  </si>
  <si>
    <t xml:space="preserve">bcp</t>
  </si>
  <si>
    <t xml:space="preserve">CCTGGAAGGGTGGAATCGGT</t>
  </si>
  <si>
    <t xml:space="preserve">TAGTCCTGGAAGGGTGGAATCGGT</t>
  </si>
  <si>
    <t xml:space="preserve">AAACACCGATTCCACCCTTCCAGG</t>
  </si>
  <si>
    <t xml:space="preserve">CGACTGGCCGCTGGTAGCCT</t>
  </si>
  <si>
    <t xml:space="preserve">TAGTCGACTGGCCGCTGGTAGCCT</t>
  </si>
  <si>
    <t xml:space="preserve">AAACAGGCTACCAGCGGCCAGTCG</t>
  </si>
  <si>
    <t xml:space="preserve">GCTTGCCGGCCAGCGACGCG</t>
  </si>
  <si>
    <t xml:space="preserve">TAGTGCTTGCCGGCCAGCGACGCG</t>
  </si>
  <si>
    <t xml:space="preserve">AAACCGCGTCGCTGGCCGGCAAGC</t>
  </si>
  <si>
    <t xml:space="preserve">CAGCCCGGTGTGTTGTCCTT</t>
  </si>
  <si>
    <t xml:space="preserve">TAGTCAGCCCGGTGTGTTGTCCTT</t>
  </si>
  <si>
    <t xml:space="preserve">AAACAAGGACAACACACCGGGCTG</t>
  </si>
  <si>
    <t xml:space="preserve">PST_2793</t>
  </si>
  <si>
    <t xml:space="preserve">AGCACCTGTTGCCAGAGCAG</t>
  </si>
  <si>
    <t xml:space="preserve">TAGTAGCACCTGTTGCCAGAGCAG</t>
  </si>
  <si>
    <t xml:space="preserve">AAACCTGCTCTGGCAACAGGTGCT</t>
  </si>
  <si>
    <t xml:space="preserve">TGCCACTCCACCAGCATGCG</t>
  </si>
  <si>
    <t xml:space="preserve">TAGTTGCCACTCCACCAGCATGCG</t>
  </si>
  <si>
    <t xml:space="preserve">AAACCGCATGCTGGTGGAGTGGCA</t>
  </si>
  <si>
    <t xml:space="preserve">ACCAGTTGCGGATAACGCTC</t>
  </si>
  <si>
    <t xml:space="preserve">TAGTACCAGTTGCGGATAACGCTC</t>
  </si>
  <si>
    <t xml:space="preserve">AAACGAGCGTTATCCGCAACTGGT</t>
  </si>
  <si>
    <t xml:space="preserve">GCCGCGCAGCACCTGCTCCT</t>
  </si>
  <si>
    <t xml:space="preserve">TAGTGCCGCGCAGCACCTGCTCCT</t>
  </si>
  <si>
    <t xml:space="preserve">AAACAGGAGCAGGTGCTGCGCGGC</t>
  </si>
  <si>
    <t xml:space="preserve">PST_2794</t>
  </si>
  <si>
    <t xml:space="preserve">TAGTGGTCGACCTTTACTCA</t>
  </si>
  <si>
    <t xml:space="preserve">TAGTTAGTGGTCGACCTTTACTCA</t>
  </si>
  <si>
    <t xml:space="preserve">AAACTGAGTAAAGGTCGACCACTA</t>
  </si>
  <si>
    <t xml:space="preserve">TCCAGCTCGGCATCGCACGC</t>
  </si>
  <si>
    <t xml:space="preserve">TAGTTCCAGCTCGGCATCGCACGC</t>
  </si>
  <si>
    <t xml:space="preserve">AAACGCGTGCGATGCCGAGCTGGA</t>
  </si>
  <si>
    <t xml:space="preserve">CATCGGGCAGTCGAGGCCGA</t>
  </si>
  <si>
    <t xml:space="preserve">TAGTCATCGGGCAGTCGAGGCCGA</t>
  </si>
  <si>
    <t xml:space="preserve">AAACTCGGCCTCGACTGCCCGATG</t>
  </si>
  <si>
    <t xml:space="preserve">TCCAGCTTGGCCTTGAGCAG</t>
  </si>
  <si>
    <t xml:space="preserve">TAGTTCCAGCTTGGCCTTGAGCAG</t>
  </si>
  <si>
    <t xml:space="preserve">AAACCTGCTCAAGGCCAAGCTGGA</t>
  </si>
  <si>
    <t xml:space="preserve">PST_2795</t>
  </si>
  <si>
    <t xml:space="preserve">AGGTGAGCGTGAGCAGGGCG</t>
  </si>
  <si>
    <t xml:space="preserve">TAGTAGGTGAGCGTGAGCAGGGCG</t>
  </si>
  <si>
    <t xml:space="preserve">AAACCGCCCTGCTCACGCTCACCT</t>
  </si>
  <si>
    <t xml:space="preserve">TGTCGGTTGCACAAGCAGGC</t>
  </si>
  <si>
    <t xml:space="preserve">TAGTTGTCGGTTGCACAAGCAGGC</t>
  </si>
  <si>
    <t xml:space="preserve">AAACGCCTGCTTGTGCAACCGACA</t>
  </si>
  <si>
    <t xml:space="preserve">GAGCTGGCGTCGCCGAGCGA</t>
  </si>
  <si>
    <t xml:space="preserve">TAGTGAGCTGGCGTCGCCGAGCGA</t>
  </si>
  <si>
    <t xml:space="preserve">AAACTCGCTCGGCGACGCCAGCTC</t>
  </si>
  <si>
    <t xml:space="preserve">CCGAGCACATGTTCCTGTTC</t>
  </si>
  <si>
    <t xml:space="preserve">TAGTCCGAGCACATGTTCCTGTTC</t>
  </si>
  <si>
    <t xml:space="preserve">AAACGAACAGGAACATGTGCTCGG</t>
  </si>
  <si>
    <t xml:space="preserve">PST_2796</t>
  </si>
  <si>
    <t xml:space="preserve">nadA</t>
  </si>
  <si>
    <t xml:space="preserve">GCGGGCGCCGGCGGTTTCTT</t>
  </si>
  <si>
    <t xml:space="preserve">TAGTGCGGGCGCCGGCGGTTTCTT</t>
  </si>
  <si>
    <t xml:space="preserve">AAACAAGAAACCGCCGGCGCCCGC</t>
  </si>
  <si>
    <t xml:space="preserve">CAGCCCCAAACGAAAACCGC</t>
  </si>
  <si>
    <t xml:space="preserve">TAGTCAGCCCCAAACGAAAACCGC</t>
  </si>
  <si>
    <t xml:space="preserve">AAACGCGGTTTTCGTTTGGGGCTG</t>
  </si>
  <si>
    <t xml:space="preserve">AAAGCATCGGACACAGAGGC</t>
  </si>
  <si>
    <t xml:space="preserve">TAGTAAAGCATCGGACACAGAGGC</t>
  </si>
  <si>
    <t xml:space="preserve">AAACGCCTCTGTGTCCGATGCTTT</t>
  </si>
  <si>
    <t xml:space="preserve">TAGCCGATGCATCGGCAAAA</t>
  </si>
  <si>
    <t xml:space="preserve">TAGTTAGCCGATGCATCGGCAAAA</t>
  </si>
  <si>
    <t xml:space="preserve">AAACTTTTGCCGATGCATCGGCTA</t>
  </si>
  <si>
    <t xml:space="preserve">PST_2797</t>
  </si>
  <si>
    <t xml:space="preserve">CATGACCTTGTTCTGCAGAG</t>
  </si>
  <si>
    <t xml:space="preserve">TAGTCATGACCTTGTTCTGCAGAG</t>
  </si>
  <si>
    <t xml:space="preserve">AAACCTCTGCAGAACAAGGTCATG</t>
  </si>
  <si>
    <t xml:space="preserve">AATAAGGGAAGCAGCCTCTT</t>
  </si>
  <si>
    <t xml:space="preserve">TAGTAATAAGGGAAGCAGCCTCTT</t>
  </si>
  <si>
    <t xml:space="preserve">AAACAAGAGGCTGCTTCCCTTATT</t>
  </si>
  <si>
    <t xml:space="preserve">GGTGAAGCCGCTCATGCCAA</t>
  </si>
  <si>
    <t xml:space="preserve">TAGTGGTGAAGCCGCTCATGCCAA</t>
  </si>
  <si>
    <t xml:space="preserve">AAACTTGGCATGAGCGGCTTCACC</t>
  </si>
  <si>
    <t xml:space="preserve">CGGCCTTGGCTTCGCCCGCG</t>
  </si>
  <si>
    <t xml:space="preserve">TAGTCGGCCTTGGCTTCGCCCGCG</t>
  </si>
  <si>
    <t xml:space="preserve">AAACCGCGGGCGAAGCCAAGGCCG</t>
  </si>
  <si>
    <t xml:space="preserve">PST_2799</t>
  </si>
  <si>
    <t xml:space="preserve">exsB</t>
  </si>
  <si>
    <t xml:space="preserve">GCGATACCTCAAAGGATGAC</t>
  </si>
  <si>
    <t xml:space="preserve">TAGTGCGATACCTCAAAGGATGAC</t>
  </si>
  <si>
    <t xml:space="preserve">AAACGTCATCCTTTGAGGTATCGC</t>
  </si>
  <si>
    <t xml:space="preserve">AATCAAGCCCACCGGACAGC</t>
  </si>
  <si>
    <t xml:space="preserve">TAGTAATCAAGCCCACCGGACAGC</t>
  </si>
  <si>
    <t xml:space="preserve">AAACGCTGTCCGGTGGGCTTGATT</t>
  </si>
  <si>
    <t xml:space="preserve">GTCACGCGCCATGGCCACGA</t>
  </si>
  <si>
    <t xml:space="preserve">TAGTGTCACGCGCCATGGCCACGA</t>
  </si>
  <si>
    <t xml:space="preserve">AAACTCGTGGCCATGGCGCGTGAC</t>
  </si>
  <si>
    <t xml:space="preserve">ATCGAAACTCATGGTGTAAC</t>
  </si>
  <si>
    <t xml:space="preserve">TAGTATCGAAACTCATGGTGTAAC</t>
  </si>
  <si>
    <t xml:space="preserve">AAACGTTACACCATGAGTTTCGAT</t>
  </si>
  <si>
    <t xml:space="preserve">PST_2800</t>
  </si>
  <si>
    <t xml:space="preserve">GAAGATCTCGGTAATTCGCA</t>
  </si>
  <si>
    <t xml:space="preserve">TAGTGAAGATCTCGGTAATTCGCA</t>
  </si>
  <si>
    <t xml:space="preserve">AAACTGCGAATTACCGAGATCTTC</t>
  </si>
  <si>
    <t xml:space="preserve">GAACACCGTGGGCAATCCAC</t>
  </si>
  <si>
    <t xml:space="preserve">TAGTGAACACCGTGGGCAATCCAC</t>
  </si>
  <si>
    <t xml:space="preserve">AAACGTGGATTGCCCACGGTGTTC</t>
  </si>
  <si>
    <t xml:space="preserve">AGCGCAGGGGACAGCCGGTG</t>
  </si>
  <si>
    <t xml:space="preserve">TAGTAGCGCAGGGGACAGCCGGTG</t>
  </si>
  <si>
    <t xml:space="preserve">AAACCACCGGCTGTCCCCTGCGCT</t>
  </si>
  <si>
    <t xml:space="preserve">TCCGCCGCTGAACGCATAGG</t>
  </si>
  <si>
    <t xml:space="preserve">TAGTTCCGCCGCTGAACGCATAGG</t>
  </si>
  <si>
    <t xml:space="preserve">AAACCCTATGCGTTCAGCGGCGGA</t>
  </si>
  <si>
    <t xml:space="preserve">PST_2801</t>
  </si>
  <si>
    <t xml:space="preserve">CTGTAAAAGTCAGAGCGTGG</t>
  </si>
  <si>
    <t xml:space="preserve">TAGTCTGTAAAAGTCAGAGCGTGG</t>
  </si>
  <si>
    <t xml:space="preserve">AAACCCACGCTCTGACTTTTACAG</t>
  </si>
  <si>
    <t xml:space="preserve">GAGCCACCGCCATCAGCGGC</t>
  </si>
  <si>
    <t xml:space="preserve">TAGTGAGCCACCGCCATCAGCGGC</t>
  </si>
  <si>
    <t xml:space="preserve">AAACGCCGCTGATGGCGGTGGCTC</t>
  </si>
  <si>
    <t xml:space="preserve">CCCTGTTCGTAATCCACAAC</t>
  </si>
  <si>
    <t xml:space="preserve">TAGTCCCTGTTCGTAATCCACAAC</t>
  </si>
  <si>
    <t xml:space="preserve">AAACGTTGTGGATTACGAACAGGG</t>
  </si>
  <si>
    <t xml:space="preserve">ATAACCGGAGCCGCCACTGG</t>
  </si>
  <si>
    <t xml:space="preserve">TAGTATAACCGGAGCCGCCACTGG</t>
  </si>
  <si>
    <t xml:space="preserve">AAACCCAGTGGCGGCTCCGGTTAT</t>
  </si>
  <si>
    <t xml:space="preserve">PST_2802</t>
  </si>
  <si>
    <t xml:space="preserve">oprL</t>
  </si>
  <si>
    <t xml:space="preserve">AGCCATGGCCAGAGCCAGAG</t>
  </si>
  <si>
    <t xml:space="preserve">TAGTAGCCATGGCCAGAGCCAGAG</t>
  </si>
  <si>
    <t xml:space="preserve">AAACCTCTGGCTCTGGCCATGGCT</t>
  </si>
  <si>
    <t xml:space="preserve">GCCCGAATCGTCGCCGCCTT</t>
  </si>
  <si>
    <t xml:space="preserve">TAGTGCCCGAATCGTCGCCGCCTT</t>
  </si>
  <si>
    <t xml:space="preserve">AAACAAGGCGGCGACGATTCGGGC</t>
  </si>
  <si>
    <t xml:space="preserve">TCAGCACCGTAACCGGCATT</t>
  </si>
  <si>
    <t xml:space="preserve">TAGTTCAGCACCGTAACCGGCATT</t>
  </si>
  <si>
    <t xml:space="preserve">AAACAATGCCGGTTACGGTGCTGA</t>
  </si>
  <si>
    <t xml:space="preserve">TTCGCTCATGCTGCCGTCGA</t>
  </si>
  <si>
    <t xml:space="preserve">TAGTTTCGCTCATGCTGCCGTCGA</t>
  </si>
  <si>
    <t xml:space="preserve">AAACTCGACGGCAGCATGAGCGAA</t>
  </si>
  <si>
    <t xml:space="preserve">PST_2803</t>
  </si>
  <si>
    <t xml:space="preserve">tolB</t>
  </si>
  <si>
    <t xml:space="preserve">CGCCATGTCCTCTGGAAGCA</t>
  </si>
  <si>
    <t xml:space="preserve">TAGTCGCCATGTCCTCTGGAAGCA</t>
  </si>
  <si>
    <t xml:space="preserve">AAACTGCTTCCAGAGGACATGGCG</t>
  </si>
  <si>
    <t xml:space="preserve">TGGAATCGGCTGGAAGATGC</t>
  </si>
  <si>
    <t xml:space="preserve">TAGTTGGAATCGGCTGGAAGATGC</t>
  </si>
  <si>
    <t xml:space="preserve">AAACGCATCTTCCAGCCGATTCCA</t>
  </si>
  <si>
    <t xml:space="preserve">ATGCTGATCATGTTCTGCCG</t>
  </si>
  <si>
    <t xml:space="preserve">TAGTATGCTGATCATGTTCTGCCG</t>
  </si>
  <si>
    <t xml:space="preserve">AAACCGGCAGAACATGATCAGCAT</t>
  </si>
  <si>
    <t xml:space="preserve">ATGATCTCGCTGCCACGGGT</t>
  </si>
  <si>
    <t xml:space="preserve">TAGTATGATCTCGCTGCCACGGGT</t>
  </si>
  <si>
    <t xml:space="preserve">AAACACCCGTGGCAGCGAGATCAT</t>
  </si>
  <si>
    <t xml:space="preserve">PST_2804</t>
  </si>
  <si>
    <t xml:space="preserve">tolA</t>
  </si>
  <si>
    <t xml:space="preserve">GGCCAGAAATAGCTCTGCGA</t>
  </si>
  <si>
    <t xml:space="preserve">TAGTGGCCAGAAATAGCTCTGCGA</t>
  </si>
  <si>
    <t xml:space="preserve">AAACTCGCAGAGCTATTTCTGGCC</t>
  </si>
  <si>
    <t xml:space="preserve">GTGCAGGCCGACCGCCAGCA</t>
  </si>
  <si>
    <t xml:space="preserve">TAGTGTGCAGGCCGACCGCCAGCA</t>
  </si>
  <si>
    <t xml:space="preserve">AAACTGCTGGCGGTCGGCCTGCAC</t>
  </si>
  <si>
    <t xml:space="preserve">TGGCGGCAGCTCGGGCGTCA</t>
  </si>
  <si>
    <t xml:space="preserve">TAGTTGGCGGCAGCTCGGGCGTCA</t>
  </si>
  <si>
    <t xml:space="preserve">AAACTGACGCCCGAGCTGCCGCCA</t>
  </si>
  <si>
    <t xml:space="preserve">GCCTGCACGATCGGCTTGGA</t>
  </si>
  <si>
    <t xml:space="preserve">TAGTGCCTGCACGATCGGCTTGGA</t>
  </si>
  <si>
    <t xml:space="preserve">AAACTCCAAGCCGATCGTGCAGGC</t>
  </si>
  <si>
    <t xml:space="preserve">PST_2805</t>
  </si>
  <si>
    <t xml:space="preserve">tolR</t>
  </si>
  <si>
    <t xml:space="preserve">TCTGTTGCGGATTCTGGCCA</t>
  </si>
  <si>
    <t xml:space="preserve">TAGTTCTGTTGCGGATTCTGGCCA</t>
  </si>
  <si>
    <t xml:space="preserve">AAACTGGCCAGAATCCGCAACAGA</t>
  </si>
  <si>
    <t xml:space="preserve">ACCACGTTCATCTCGGCGAC</t>
  </si>
  <si>
    <t xml:space="preserve">TAGTACCACGTTCATCTCGGCGAC</t>
  </si>
  <si>
    <t xml:space="preserve">AAACGTCGCCGAGATGAACGTGGT</t>
  </si>
  <si>
    <t xml:space="preserve">TTGACGCCCTGGTTGAGCAT</t>
  </si>
  <si>
    <t xml:space="preserve">TAGTTTGACGCCCTGGTTGAGCAT</t>
  </si>
  <si>
    <t xml:space="preserve">AAACATGCTCAACCAGGGCGTCAA</t>
  </si>
  <si>
    <t xml:space="preserve">CTTGTCGTTGTCCTGCGGCA</t>
  </si>
  <si>
    <t xml:space="preserve">TAGTCTTGTCGTTGTCCTGCGGCA</t>
  </si>
  <si>
    <t xml:space="preserve">AAACTGCCGCAGGACAACGACAAG</t>
  </si>
  <si>
    <t xml:space="preserve">PST_2806</t>
  </si>
  <si>
    <t xml:space="preserve">tolQ</t>
  </si>
  <si>
    <t xml:space="preserve">GTTGCTGATCAGGCTCCACA</t>
  </si>
  <si>
    <t xml:space="preserve">TAGTGTTGCTGATCAGGCTCCACA</t>
  </si>
  <si>
    <t xml:space="preserve">AAACTGTGGAGCCTGATCAGCAAC</t>
  </si>
  <si>
    <t xml:space="preserve">CTGGAAAATCAGGATCCATG</t>
  </si>
  <si>
    <t xml:space="preserve">TAGTCTGGAAAATCAGGATCCATG</t>
  </si>
  <si>
    <t xml:space="preserve">AAACCATGGATCCTGATTTTCCAG</t>
  </si>
  <si>
    <t xml:space="preserve">GAAGGCATCCAGCGACCGCT</t>
  </si>
  <si>
    <t xml:space="preserve">TAGTGAAGGCATCCAGCGACCGCT</t>
  </si>
  <si>
    <t xml:space="preserve">AAACAGCGGTCGCTGGATGCCTTC</t>
  </si>
  <si>
    <t xml:space="preserve">GCCCGCCTGGCGATACAGCT</t>
  </si>
  <si>
    <t xml:space="preserve">TAGTGCCCGCCTGGCGATACAGCT</t>
  </si>
  <si>
    <t xml:space="preserve">AAACAGCTGTATCGCCAGGCGGGC</t>
  </si>
  <si>
    <t xml:space="preserve">PST_2807</t>
  </si>
  <si>
    <t xml:space="preserve">TGCGCGCGCATACTAGTGCT</t>
  </si>
  <si>
    <t xml:space="preserve">TAGTTGCGCGCGCATACTAGTGCT</t>
  </si>
  <si>
    <t xml:space="preserve">AAACAGCACTAGTATGCGCGCGCA</t>
  </si>
  <si>
    <t xml:space="preserve">GTGGGTGAAGATTTCAGCTC</t>
  </si>
  <si>
    <t xml:space="preserve">TAGTGTGGGTGAAGATTTCAGCTC</t>
  </si>
  <si>
    <t xml:space="preserve">AAACGAGCTGAAATCTTCACCCAC</t>
  </si>
  <si>
    <t xml:space="preserve">CCTCGTAATAGACTCGACAG</t>
  </si>
  <si>
    <t xml:space="preserve">TAGTCCTCGTAATAGACTCGACAG</t>
  </si>
  <si>
    <t xml:space="preserve">AAACCTGTCGAGTCTATTACGAGG</t>
  </si>
  <si>
    <t xml:space="preserve">ATAGACGATGCCACCCGCAT</t>
  </si>
  <si>
    <t xml:space="preserve">TAGTATAGACGATGCCACCCGCAT</t>
  </si>
  <si>
    <t xml:space="preserve">AAACATGCGGGTGGCATCGTCTAT</t>
  </si>
  <si>
    <t xml:space="preserve">PST_2808</t>
  </si>
  <si>
    <t xml:space="preserve">ruvB</t>
  </si>
  <si>
    <t xml:space="preserve">GATACGATCCGCTTCGATCA</t>
  </si>
  <si>
    <t xml:space="preserve">TAGTGATACGATCCGCTTCGATCA</t>
  </si>
  <si>
    <t xml:space="preserve">AAACTGATCGAAGCGGATCGTATC</t>
  </si>
  <si>
    <t xml:space="preserve">CTCGTCGCGATCGCGACTGC</t>
  </si>
  <si>
    <t xml:space="preserve">TAGTCTCGTCGCGATCGCGACTGC</t>
  </si>
  <si>
    <t xml:space="preserve">AAACGCAGTCGCGATCGCGACGAG</t>
  </si>
  <si>
    <t xml:space="preserve">CGCGAGCTTCAGGGGGCGAA</t>
  </si>
  <si>
    <t xml:space="preserve">TAGTCGCGAGCTTCAGGGGGCGAA</t>
  </si>
  <si>
    <t xml:space="preserve">AAACTTCGCCCCCTGAAGCTCGCG</t>
  </si>
  <si>
    <t xml:space="preserve">TCTGCTCGCGCACAACCGGC</t>
  </si>
  <si>
    <t xml:space="preserve">TAGTTCTGCTCGCGCACAACCGGC</t>
  </si>
  <si>
    <t xml:space="preserve">AAACGCCGGTTGTGCGCGAGCAGA</t>
  </si>
  <si>
    <t xml:space="preserve">PST_2809</t>
  </si>
  <si>
    <t xml:space="preserve">ruvA</t>
  </si>
  <si>
    <t xml:space="preserve">ACGTCGAGAATCATGTGAGG</t>
  </si>
  <si>
    <t xml:space="preserve">TAGTACGTCGAGAATCATGTGAGG</t>
  </si>
  <si>
    <t xml:space="preserve">AAACCCTCACATGATTCTCGACGT</t>
  </si>
  <si>
    <t xml:space="preserve">AGGCGATAAAGCGTAGTCAT</t>
  </si>
  <si>
    <t xml:space="preserve">TAGTAGGCGATAAAGCGTAGTCAT</t>
  </si>
  <si>
    <t xml:space="preserve">AAACATGACTACGCTTTATCGCCT</t>
  </si>
  <si>
    <t xml:space="preserve">CCGGCTCGCCGACCGCTGGC</t>
  </si>
  <si>
    <t xml:space="preserve">TAGTCCGGCTCGCCGACCGCTGGC</t>
  </si>
  <si>
    <t xml:space="preserve">AAACGCCAGCGGTCGGCGAGCCGG</t>
  </si>
  <si>
    <t xml:space="preserve">GTCTTCACGCACCACCAGAT</t>
  </si>
  <si>
    <t xml:space="preserve">TAGTGTCTTCACGCACCACCAGAT</t>
  </si>
  <si>
    <t xml:space="preserve">AAACATCTGGTGGTGCGTGAAGAC</t>
  </si>
  <si>
    <t xml:space="preserve">PST_2810</t>
  </si>
  <si>
    <t xml:space="preserve">ruvC</t>
  </si>
  <si>
    <t xml:space="preserve">TAGCCGGTGATTCGAGAGCC</t>
  </si>
  <si>
    <t xml:space="preserve">TAGTTAGCCGGTGATTCGAGAGCC</t>
  </si>
  <si>
    <t xml:space="preserve">AAACGGCTCTCGAATCACCGGCTA</t>
  </si>
  <si>
    <t xml:space="preserve">CGCAACCACGACCGGTATCT</t>
  </si>
  <si>
    <t xml:space="preserve">TAGTCGCAACCACGACCGGTATCT</t>
  </si>
  <si>
    <t xml:space="preserve">AAACAGATACCGGTCGTGGTTGCG</t>
  </si>
  <si>
    <t xml:space="preserve">CTCCGACAGCTCGCCGCTGC</t>
  </si>
  <si>
    <t xml:space="preserve">TAGTCTCCGACAGCTCGCCGCTGC</t>
  </si>
  <si>
    <t xml:space="preserve">AAACGCAGCGGCGAGCTGTCGGAG</t>
  </si>
  <si>
    <t xml:space="preserve">TTCGCTGACGCCACTGAACA</t>
  </si>
  <si>
    <t xml:space="preserve">TAGTTTCGCTGACGCCACTGAACA</t>
  </si>
  <si>
    <t xml:space="preserve">AAACTGTTCAGTGGCGTCAGCGAA</t>
  </si>
  <si>
    <t xml:space="preserve">PST_2811</t>
  </si>
  <si>
    <t xml:space="preserve">CTCTTTGCGGTGCTTGATGT</t>
  </si>
  <si>
    <t xml:space="preserve">TAGTCTCTTTGCGGTGCTTGATGT</t>
  </si>
  <si>
    <t xml:space="preserve">AAACACATCAAGCACCGCAAAGAG</t>
  </si>
  <si>
    <t xml:space="preserve">TCTTGCCCCGCTTGGCGTCC</t>
  </si>
  <si>
    <t xml:space="preserve">TAGTTCTTGCCCCGCTTGGCGTCC</t>
  </si>
  <si>
    <t xml:space="preserve">AAACGGACGCCAAGCGGGGCAAGA</t>
  </si>
  <si>
    <t xml:space="preserve">TGGCCGCCACGGTCAGTTCG</t>
  </si>
  <si>
    <t xml:space="preserve">TAGTTGGCCGCCACGGTCAGTTCG</t>
  </si>
  <si>
    <t xml:space="preserve">AAACCGAACTGACCGTGGCGGCCA</t>
  </si>
  <si>
    <t xml:space="preserve">CGGGACACCGCCGCCATGCT</t>
  </si>
  <si>
    <t xml:space="preserve">TAGTCGGGACACCGCCGCCATGCT</t>
  </si>
  <si>
    <t xml:space="preserve">AAACAGCATGGCGGCGGTGTCCCG</t>
  </si>
  <si>
    <t xml:space="preserve">PST_2813</t>
  </si>
  <si>
    <t xml:space="preserve">aspS</t>
  </si>
  <si>
    <t xml:space="preserve">CCTTTGGCTGCTCGCGCAGG</t>
  </si>
  <si>
    <t xml:space="preserve">TAGTCCTTTGGCTGCTCGCGCAGG</t>
  </si>
  <si>
    <t xml:space="preserve">AAACCCTGCGCGAGCAGCCAAAGG</t>
  </si>
  <si>
    <t xml:space="preserve">PST_2812</t>
  </si>
  <si>
    <t xml:space="preserve">CAGGGCAGCAACGCTGCTGT</t>
  </si>
  <si>
    <t xml:space="preserve">TAGTCAGGGCAGCAACGCTGCTGT</t>
  </si>
  <si>
    <t xml:space="preserve">AAACACAGCAGCGTTGCTGCCCTG</t>
  </si>
  <si>
    <t xml:space="preserve">TACCACGCGCAGCATGCCGC</t>
  </si>
  <si>
    <t xml:space="preserve">TAGTTACCACGCGCAGCATGCCGC</t>
  </si>
  <si>
    <t xml:space="preserve">AAACGCGGCATGCTGCGCGTGGTA</t>
  </si>
  <si>
    <t xml:space="preserve">CATGTGCGATATGCCAAGTG</t>
  </si>
  <si>
    <t xml:space="preserve">TAGTCATGTGCGATATGCCAAGTG</t>
  </si>
  <si>
    <t xml:space="preserve">AAACCACTTGGCATATCGCACATG</t>
  </si>
  <si>
    <t xml:space="preserve">AGCTTGCATGCTGCATCTCC</t>
  </si>
  <si>
    <t xml:space="preserve">TAGTAGCTTGCATGCTGCATCTCC</t>
  </si>
  <si>
    <t xml:space="preserve">AAACGGAGATGCAGCATGCAAGCT</t>
  </si>
  <si>
    <t xml:space="preserve">PST_2814</t>
  </si>
  <si>
    <t xml:space="preserve">GATGGCTGCACGGTCCTGTT</t>
  </si>
  <si>
    <t xml:space="preserve">TAGTGATGGCTGCACGGTCCTGTT</t>
  </si>
  <si>
    <t xml:space="preserve">AAACAACAGGACCGTGCAGCCATC</t>
  </si>
  <si>
    <t xml:space="preserve">GAGCAGGCGAGACAAGCCCT</t>
  </si>
  <si>
    <t xml:space="preserve">TAGTGAGCAGGCGAGACAAGCCCT</t>
  </si>
  <si>
    <t xml:space="preserve">AAACAGGGCTTGTCTCGCCTGCTC</t>
  </si>
  <si>
    <t xml:space="preserve">CAGGTACAGGGTGTAGGTGT</t>
  </si>
  <si>
    <t xml:space="preserve">TAGTCAGGTACAGGGTGTAGGTGT</t>
  </si>
  <si>
    <t xml:space="preserve">AAACACACCTACACCCTGTACCTG</t>
  </si>
  <si>
    <t xml:space="preserve">CACGTTCCAGTGGAAGTTGT</t>
  </si>
  <si>
    <t xml:space="preserve">TAGTCACGTTCCAGTGGAAGTTGT</t>
  </si>
  <si>
    <t xml:space="preserve">AAACACAACTTCCACTGGAACGTG</t>
  </si>
  <si>
    <t xml:space="preserve">PST_2815</t>
  </si>
  <si>
    <t xml:space="preserve">TCGAGGAACCGCGCGCGTCT</t>
  </si>
  <si>
    <t xml:space="preserve">TAGTTCGAGGAACCGCGCGCGTCT</t>
  </si>
  <si>
    <t xml:space="preserve">AAACAGACGCGCGCGGTTCCTCGA</t>
  </si>
  <si>
    <t xml:space="preserve">TGGAAAACGTTCATCGGGCA</t>
  </si>
  <si>
    <t xml:space="preserve">TAGTTGGAAAACGTTCATCGGGCA</t>
  </si>
  <si>
    <t xml:space="preserve">AAACTGCCCGATGAACGTTTTCCA</t>
  </si>
  <si>
    <t xml:space="preserve">GCGGCAATGCCAAGGCTCGC</t>
  </si>
  <si>
    <t xml:space="preserve">TAGTGCGGCAATGCCAAGGCTCGC</t>
  </si>
  <si>
    <t xml:space="preserve">AAACGCGAGCCTTGGCATTGCCGC</t>
  </si>
  <si>
    <t xml:space="preserve">GATTTGATGACACGACAGAG</t>
  </si>
  <si>
    <t xml:space="preserve">TAGTGATTTGATGACACGACAGAG</t>
  </si>
  <si>
    <t xml:space="preserve">AAACCTCTGTCGTGTCATCAAATC</t>
  </si>
  <si>
    <t xml:space="preserve">PST_2816</t>
  </si>
  <si>
    <t xml:space="preserve">GAAATGCCAGACGCGTCTCC</t>
  </si>
  <si>
    <t xml:space="preserve">TAGTGAAATGCCAGACGCGTCTCC</t>
  </si>
  <si>
    <t xml:space="preserve">AAACGGAGACGCGTCTGGCATTTC</t>
  </si>
  <si>
    <t xml:space="preserve">TACATCGTTCAACGCCTGGA</t>
  </si>
  <si>
    <t xml:space="preserve">TAGTTACATCGTTCAACGCCTGGA</t>
  </si>
  <si>
    <t xml:space="preserve">AAACTCCAGGCGTTGAACGATGTA</t>
  </si>
  <si>
    <t xml:space="preserve">GCTTCGCCAGTGCGACCAGC</t>
  </si>
  <si>
    <t xml:space="preserve">TAGTGCTTCGCCAGTGCGACCAGC</t>
  </si>
  <si>
    <t xml:space="preserve">AAACGCTGGTCGCACTGGCGAAGC</t>
  </si>
  <si>
    <t xml:space="preserve">TGGCGGCGCCTCGTCCTCAT</t>
  </si>
  <si>
    <t xml:space="preserve">TAGTTGGCGGCGCCTCGTCCTCAT</t>
  </si>
  <si>
    <t xml:space="preserve">AAACATGAGGACGAGGCGCCGCCA</t>
  </si>
  <si>
    <t xml:space="preserve">PST_2817</t>
  </si>
  <si>
    <t xml:space="preserve">GCGGTGCAGAGGTGACATTT</t>
  </si>
  <si>
    <t xml:space="preserve">TAGTGCGGTGCAGAGGTGACATTT</t>
  </si>
  <si>
    <t xml:space="preserve">AAACAAATGTCACCTCTGCACCGC</t>
  </si>
  <si>
    <t xml:space="preserve">TGCCAAACCATGCACGACGA</t>
  </si>
  <si>
    <t xml:space="preserve">TAGTTGCCAAACCATGCACGACGA</t>
  </si>
  <si>
    <t xml:space="preserve">AAACTCGTCGTGCATGGTTTGGCA</t>
  </si>
  <si>
    <t xml:space="preserve">CGCAAGGAGCCAGGACAGTC</t>
  </si>
  <si>
    <t xml:space="preserve">TAGTCGCAAGGAGCCAGGACAGTC</t>
  </si>
  <si>
    <t xml:space="preserve">AAACGACTGTCCTGGCTCCTTGCG</t>
  </si>
  <si>
    <t xml:space="preserve">ACCTCCAGAACTGGCCGCGC</t>
  </si>
  <si>
    <t xml:space="preserve">TAGTACCTCCAGAACTGGCCGCGC</t>
  </si>
  <si>
    <t xml:space="preserve">AAACGCGCGGCCAGTTCTGGAGGT</t>
  </si>
  <si>
    <t xml:space="preserve">PST_2818</t>
  </si>
  <si>
    <t xml:space="preserve">oprQ</t>
  </si>
  <si>
    <t xml:space="preserve">GGTGCCCGCCGCTACGGCCA</t>
  </si>
  <si>
    <t xml:space="preserve">TAGTGGTGCCCGCCGCTACGGCCA</t>
  </si>
  <si>
    <t xml:space="preserve">AAACTGGCCGTAGCGGCGGGCACC</t>
  </si>
  <si>
    <t xml:space="preserve">GCTGGCCAATGCCATCTGGG</t>
  </si>
  <si>
    <t xml:space="preserve">TAGTGCTGGCCAATGCCATCTGGG</t>
  </si>
  <si>
    <t xml:space="preserve">AAACCCCAGATGGCATTGGCCAGC</t>
  </si>
  <si>
    <t xml:space="preserve">ATCCCTTGGACTCCGATTGC</t>
  </si>
  <si>
    <t xml:space="preserve">TAGTATCCCTTGGACTCCGATTGC</t>
  </si>
  <si>
    <t xml:space="preserve">AAACGCAATCGGAGTCCAAGGGAT</t>
  </si>
  <si>
    <t xml:space="preserve">TGTTACGCAGCAACAGATCA</t>
  </si>
  <si>
    <t xml:space="preserve">TAGTTGTTACGCAGCAACAGATCA</t>
  </si>
  <si>
    <t xml:space="preserve">AAACTGATCTGTTGCTGCGTAACA</t>
  </si>
  <si>
    <t xml:space="preserve">PST_2819</t>
  </si>
  <si>
    <t xml:space="preserve">proS</t>
  </si>
  <si>
    <t xml:space="preserve">GGTCGAGAGCAGGAACTGAC</t>
  </si>
  <si>
    <t xml:space="preserve">TAGTGGTCGAGAGCAGGAACTGAC</t>
  </si>
  <si>
    <t xml:space="preserve">AAACGTCAGTTCCTGCTCTCGACC</t>
  </si>
  <si>
    <t xml:space="preserve">ATCGGAAGGGGTTTCTTTGA</t>
  </si>
  <si>
    <t xml:space="preserve">TAGTATCGGAAGGGGTTTCTTTGA</t>
  </si>
  <si>
    <t xml:space="preserve">AAACTCAAAGAAACCCCTTCCGAT</t>
  </si>
  <si>
    <t xml:space="preserve">TTCCGGCACGCAGCATCAGC</t>
  </si>
  <si>
    <t xml:space="preserve">TAGTTTCCGGCACGCAGCATCAGC</t>
  </si>
  <si>
    <t xml:space="preserve">AAACGCTGATGCTGCGTGCCGGAA</t>
  </si>
  <si>
    <t xml:space="preserve">AGAGGCCGGACGCCAGCTTG</t>
  </si>
  <si>
    <t xml:space="preserve">TAGTAGAGGCCGGACGCCAGCTTG</t>
  </si>
  <si>
    <t xml:space="preserve">AAACCAAGCTGGCGTCCGGCCTCT</t>
  </si>
  <si>
    <t xml:space="preserve">PST_2820</t>
  </si>
  <si>
    <t xml:space="preserve">GACAAGATGTCGGTTGAGCA</t>
  </si>
  <si>
    <t xml:space="preserve">TAGTGACAAGATGTCGGTTGAGCA</t>
  </si>
  <si>
    <t xml:space="preserve">AAACTGCTCAACCGACATCTTGTC</t>
  </si>
  <si>
    <t xml:space="preserve">CGCCGCGCAGAGCGCGGCGC</t>
  </si>
  <si>
    <t xml:space="preserve">TAGTCGCCGCGCAGAGCGCGGCGC</t>
  </si>
  <si>
    <t xml:space="preserve">AAACGCGCCGCGCTCTGCGCGGCG</t>
  </si>
  <si>
    <t xml:space="preserve">GCTGCGCTGAGGCAGGTGAT</t>
  </si>
  <si>
    <t xml:space="preserve">TAGTGCTGCGCTGAGGCAGGTGAT</t>
  </si>
  <si>
    <t xml:space="preserve">AAACATCACCTGCCTCAGCGCAGC</t>
  </si>
  <si>
    <t xml:space="preserve">GTGGTCGAGCAGTTTGCGTT</t>
  </si>
  <si>
    <t xml:space="preserve">TAGTGTGGTCGAGCAGTTTGCGTT</t>
  </si>
  <si>
    <t xml:space="preserve">AAACAACGCAAACTGCTCGACCAC</t>
  </si>
  <si>
    <t xml:space="preserve">PST_2821</t>
  </si>
  <si>
    <t xml:space="preserve">TGGCGAATGTTGGCCGCCGC</t>
  </si>
  <si>
    <t xml:space="preserve">TAGTTGGCGAATGTTGGCCGCCGC</t>
  </si>
  <si>
    <t xml:space="preserve">AAACGCGGCGGCCAACATTCGCCA</t>
  </si>
  <si>
    <t xml:space="preserve">GCAGTTCCGGTTCCGGAGCC</t>
  </si>
  <si>
    <t xml:space="preserve">TAGTGCAGTTCCGGTTCCGGAGCC</t>
  </si>
  <si>
    <t xml:space="preserve">AAACGGCTCCGGAACCGGAACTGC</t>
  </si>
  <si>
    <t xml:space="preserve">ATCCTGAAAGCTGTCCGCCT</t>
  </si>
  <si>
    <t xml:space="preserve">TAGTATCCTGAAAGCTGTCCGCCT</t>
  </si>
  <si>
    <t xml:space="preserve">AAACAGGCGGACAGCTTTCAGGAT</t>
  </si>
  <si>
    <t xml:space="preserve">CATGTCTACCAGCCAGACCT</t>
  </si>
  <si>
    <t xml:space="preserve">TAGTCATGTCTACCAGCCAGACCT</t>
  </si>
  <si>
    <t xml:space="preserve">AAACAGGTCTGGCTGGTAGACATG</t>
  </si>
  <si>
    <t xml:space="preserve">PST_2823</t>
  </si>
  <si>
    <t xml:space="preserve">AAGGAGCGAAGCGAGCGGTC</t>
  </si>
  <si>
    <t xml:space="preserve">TAGTAAGGAGCGAAGCGAGCGGTC</t>
  </si>
  <si>
    <t xml:space="preserve">AAACGACCGCTCGCTTCGCTCCTT</t>
  </si>
  <si>
    <t xml:space="preserve">GCAGGCCGACAGGAACAGGC</t>
  </si>
  <si>
    <t xml:space="preserve">TAGTGCAGGCCGACAGGAACAGGC</t>
  </si>
  <si>
    <t xml:space="preserve">AAACGCCTGTTCCTGTCGGCCTGC</t>
  </si>
  <si>
    <t xml:space="preserve">ACGCCCCTGCAACTGCGCCG</t>
  </si>
  <si>
    <t xml:space="preserve">TAGTACGCCCCTGCAACTGCGCCG</t>
  </si>
  <si>
    <t xml:space="preserve">AAACCGGCGCAGTTGCAGGGGCGT</t>
  </si>
  <si>
    <t xml:space="preserve">TCGGCACGGCCCGCACCATT</t>
  </si>
  <si>
    <t xml:space="preserve">TAGTTCGGCACGGCCCGCACCATT</t>
  </si>
  <si>
    <t xml:space="preserve">AAACAATGGTGCGGGCCGTGCCGA</t>
  </si>
  <si>
    <t xml:space="preserve">PST_2822</t>
  </si>
  <si>
    <t xml:space="preserve">ATGCTCTGCCTTGTGTGTAG</t>
  </si>
  <si>
    <t xml:space="preserve">TAGTATGCTCTGCCTTGTGTGTAG</t>
  </si>
  <si>
    <t xml:space="preserve">AAACCTACACACAAGGCAGAGCAT</t>
  </si>
  <si>
    <t xml:space="preserve">TGCCCTTGCGGCGAGGGAGG</t>
  </si>
  <si>
    <t xml:space="preserve">TAGTTGCCCTTGCGGCGAGGGAGG</t>
  </si>
  <si>
    <t xml:space="preserve">AAACCCTCCCTCGCCGCAAGGGCA</t>
  </si>
  <si>
    <t xml:space="preserve">GTCAGGATATGGTGCGGTTG</t>
  </si>
  <si>
    <t xml:space="preserve">TAGTGTCAGGATATGGTGCGGTTG</t>
  </si>
  <si>
    <t xml:space="preserve">AAACCAACCGCACCATATCCTGAC</t>
  </si>
  <si>
    <t xml:space="preserve">CGGTAACTTGGCGCCTTCGG</t>
  </si>
  <si>
    <t xml:space="preserve">TAGTCGGTAACTTGGCGCCTTCGG</t>
  </si>
  <si>
    <t xml:space="preserve">AAACCCGAAGGCGCCAAGTTACCG</t>
  </si>
  <si>
    <t xml:space="preserve">PST_2825</t>
  </si>
  <si>
    <t xml:space="preserve">CACGGCGAACAACGTGGTGT</t>
  </si>
  <si>
    <t xml:space="preserve">TAGTCACGGCGAACAACGTGGTGT</t>
  </si>
  <si>
    <t xml:space="preserve">AAACACACCACGTTGTTCGCCGTG</t>
  </si>
  <si>
    <t xml:space="preserve">GCGAAGGTAACGGTCATCAT</t>
  </si>
  <si>
    <t xml:space="preserve">TAGTGCGAAGGTAACGGTCATCAT</t>
  </si>
  <si>
    <t xml:space="preserve">AAACATGATGACCGTTACCTTCGC</t>
  </si>
  <si>
    <t xml:space="preserve">TGCCGGGATCGCCGAGAGCA</t>
  </si>
  <si>
    <t xml:space="preserve">TAGTTGCCGGGATCGCCGAGAGCA</t>
  </si>
  <si>
    <t xml:space="preserve">AAACTGCTCTCGGCGATCCCGGCA</t>
  </si>
  <si>
    <t xml:space="preserve">TGAATGGTCGCCCCGGTGGA</t>
  </si>
  <si>
    <t xml:space="preserve">TAGTTGAATGGTCGCCCCGGTGGA</t>
  </si>
  <si>
    <t xml:space="preserve">AAACTCCACCGGGGCGACCATTCA</t>
  </si>
  <si>
    <t xml:space="preserve">PST_2824</t>
  </si>
  <si>
    <t xml:space="preserve">arsC-1</t>
  </si>
  <si>
    <t xml:space="preserve">AGTTCGGCCGTTTCCTGGTT</t>
  </si>
  <si>
    <t xml:space="preserve">TAGTAGTTCGGCCGTTTCCTGGTT</t>
  </si>
  <si>
    <t xml:space="preserve">AAACAACCAGGAAACGGCCGAACT</t>
  </si>
  <si>
    <t xml:space="preserve">CAACAGCCCAGTAAGGAGAA</t>
  </si>
  <si>
    <t xml:space="preserve">TAGTCAACAGCCCAGTAAGGAGAA</t>
  </si>
  <si>
    <t xml:space="preserve">AAACTTCTCCTTACTGGGCTGTTG</t>
  </si>
  <si>
    <t xml:space="preserve">CGTAAGCGCTGTCGCGCCAA</t>
  </si>
  <si>
    <t xml:space="preserve">TAGTCGTAAGCGCTGTCGCGCCAA</t>
  </si>
  <si>
    <t xml:space="preserve">AAACTTGGCGCGACAGCGCTTACG</t>
  </si>
  <si>
    <t xml:space="preserve">GGCACGCTTGTCTCGGGCTG</t>
  </si>
  <si>
    <t xml:space="preserve">TAGTGGCACGCTTGTCTCGGGCTG</t>
  </si>
  <si>
    <t xml:space="preserve">AAACCAGCCCGAGACAAGCGTGCC</t>
  </si>
  <si>
    <t xml:space="preserve">PST_2826</t>
  </si>
  <si>
    <t xml:space="preserve">TAGTAAAGCACCAGGATATA</t>
  </si>
  <si>
    <t xml:space="preserve">TAGTTAGTAAAGCACCAGGATATA</t>
  </si>
  <si>
    <t xml:space="preserve">AAACTATATCCTGGTGCTTTACTA</t>
  </si>
  <si>
    <t xml:space="preserve">TTTCGGAGGTGGCGCCGTGA</t>
  </si>
  <si>
    <t xml:space="preserve">TAGTTTTCGGAGGTGGCGCCGTGA</t>
  </si>
  <si>
    <t xml:space="preserve">AAACTCACGGCGCCACCTCCGAAA</t>
  </si>
  <si>
    <t xml:space="preserve">CACGCCGCGGGCAATCTGCC</t>
  </si>
  <si>
    <t xml:space="preserve">TAGTCACGCCGCGGGCAATCTGCC</t>
  </si>
  <si>
    <t xml:space="preserve">AAACGGCAGATTGCCCGCGGCGTG</t>
  </si>
  <si>
    <t xml:space="preserve">GCGCAGGCGTGCTTCCAGGC</t>
  </si>
  <si>
    <t xml:space="preserve">TAGTGCGCAGGCGTGCTTCCAGGC</t>
  </si>
  <si>
    <t xml:space="preserve">AAACGCCTGGAAGCACGCCTGCGC</t>
  </si>
  <si>
    <t xml:space="preserve">PST_2827</t>
  </si>
  <si>
    <t xml:space="preserve">AGCCACTCCAGCGGTGGCAA</t>
  </si>
  <si>
    <t xml:space="preserve">TAGTAGCCACTCCAGCGGTGGCAA</t>
  </si>
  <si>
    <t xml:space="preserve">AAACTTGCCACCGCTGGAGTGGCT</t>
  </si>
  <si>
    <t xml:space="preserve">CCGGCTGGATTTCACCCGGG</t>
  </si>
  <si>
    <t xml:space="preserve">TAGTCCGGCTGGATTTCACCCGGG</t>
  </si>
  <si>
    <t xml:space="preserve">AAACCCCGGGTGAAATCCAGCCGG</t>
  </si>
  <si>
    <t xml:space="preserve">CCAGGCCGAAGAAGCTGGCA</t>
  </si>
  <si>
    <t xml:space="preserve">TAGTCCAGGCCGAAGAAGCTGGCA</t>
  </si>
  <si>
    <t xml:space="preserve">AAACTGCCAGCTTCTTCGGCCTGG</t>
  </si>
  <si>
    <t xml:space="preserve">GGCGAATGCAAGGTTCCATA</t>
  </si>
  <si>
    <t xml:space="preserve">TAGTGGCGAATGCAAGGTTCCATA</t>
  </si>
  <si>
    <t xml:space="preserve">AAACTATGGAACCTTGCATTCGCC</t>
  </si>
  <si>
    <t xml:space="preserve">PST_2828</t>
  </si>
  <si>
    <t xml:space="preserve">CGGGTAGAAGTTGGCAAAGG</t>
  </si>
  <si>
    <t xml:space="preserve">TAGTCGGGTAGAAGTTGGCAAAGG</t>
  </si>
  <si>
    <t xml:space="preserve">AAACCCTTTGCCAACTTCTACCCG</t>
  </si>
  <si>
    <t xml:space="preserve">AGCGCCGCAGCATTGGCGCC</t>
  </si>
  <si>
    <t xml:space="preserve">TAGTAGCGCCGCAGCATTGGCGCC</t>
  </si>
  <si>
    <t xml:space="preserve">AAACGGCGCCAATGCTGCGGCGCT</t>
  </si>
  <si>
    <t xml:space="preserve">ACCCCGCGGCAGGCGAACAC</t>
  </si>
  <si>
    <t xml:space="preserve">TAGTACCCCGCGGCAGGCGAACAC</t>
  </si>
  <si>
    <t xml:space="preserve">AAACGTGTTCGCCTGCCGCGGGGT</t>
  </si>
  <si>
    <t xml:space="preserve">CCAGAGATAGATCAGCTCGT</t>
  </si>
  <si>
    <t xml:space="preserve">TAGTCCAGAGATAGATCAGCTCGT</t>
  </si>
  <si>
    <t xml:space="preserve">AAACACGAGCTGATCTATCTCTGG</t>
  </si>
  <si>
    <t xml:space="preserve">PST_2829</t>
  </si>
  <si>
    <t xml:space="preserve">CCAGCGGTTCGAATCATTCA</t>
  </si>
  <si>
    <t xml:space="preserve">TAGTCCAGCGGTTCGAATCATTCA</t>
  </si>
  <si>
    <t xml:space="preserve">AAACTGAATGATTCGAACCGCTGG</t>
  </si>
  <si>
    <t xml:space="preserve">CCAGCCAGGTGCACAGCAAC</t>
  </si>
  <si>
    <t xml:space="preserve">TAGTCCAGCCAGGTGCACAGCAAC</t>
  </si>
  <si>
    <t xml:space="preserve">AAACGTTGCTGTGCACCTGGCTGG</t>
  </si>
  <si>
    <t xml:space="preserve">CAGAAACGGCGTCAGGATGG</t>
  </si>
  <si>
    <t xml:space="preserve">TAGTCAGAAACGGCGTCAGGATGG</t>
  </si>
  <si>
    <t xml:space="preserve">AAACCCATCCTGACGCCGTTTCTG</t>
  </si>
  <si>
    <t xml:space="preserve">GACCAGCGGATCGCCCAGAT</t>
  </si>
  <si>
    <t xml:space="preserve">TAGTGACCAGCGGATCGCCCAGAT</t>
  </si>
  <si>
    <t xml:space="preserve">AAACATCTGGGCGATCCGCTGGTC</t>
  </si>
  <si>
    <t xml:space="preserve">PST_2830</t>
  </si>
  <si>
    <t xml:space="preserve">purM</t>
  </si>
  <si>
    <t xml:space="preserve">CTCAGGTCGTGCGGTGCGTT</t>
  </si>
  <si>
    <t xml:space="preserve">TAGTCTCAGGTCGTGCGGTGCGTT</t>
  </si>
  <si>
    <t xml:space="preserve">AAACAACGCACCGCACGACCTGAG</t>
  </si>
  <si>
    <t xml:space="preserve">ACAGGGCGCCGAAGCCGCCC</t>
  </si>
  <si>
    <t xml:space="preserve">TAGTACAGGGCGCCGAAGCCGCCC</t>
  </si>
  <si>
    <t xml:space="preserve">AAACGGGCGGCTTCGGCGCCCTGT</t>
  </si>
  <si>
    <t xml:space="preserve">CCGGCTGCTTGTAGCCCGCC</t>
  </si>
  <si>
    <t xml:space="preserve">TAGTCCGGCTGCTTGTAGCCCGCC</t>
  </si>
  <si>
    <t xml:space="preserve">AAACGGCGGGCTACAAGCAGCCGG</t>
  </si>
  <si>
    <t xml:space="preserve">GGTACCGACGCCGTCTGTGC</t>
  </si>
  <si>
    <t xml:space="preserve">TAGTGGTACCGACGCCGTCTGTGC</t>
  </si>
  <si>
    <t xml:space="preserve">AAACGCACAGACGGCGTCGGTACC</t>
  </si>
  <si>
    <t xml:space="preserve">PST_2831</t>
  </si>
  <si>
    <t xml:space="preserve">purN</t>
  </si>
  <si>
    <t xml:space="preserve">AATCAGCACCACTACGTTGC</t>
  </si>
  <si>
    <t xml:space="preserve">TAGTAATCAGCACCACTACGTTGC</t>
  </si>
  <si>
    <t xml:space="preserve">AAACGCAACGTAGTGGTGCTGATT</t>
  </si>
  <si>
    <t xml:space="preserve">CAGTGCCTGCAGGTTGCTGC</t>
  </si>
  <si>
    <t xml:space="preserve">TAGTCAGTGCCTGCAGGTTGCTGC</t>
  </si>
  <si>
    <t xml:space="preserve">AAACGCAGCAACCTGCAGGCACTG</t>
  </si>
  <si>
    <t xml:space="preserve">GCGCCGGGTTGCCTTCGTGC</t>
  </si>
  <si>
    <t xml:space="preserve">TAGTGCGCCGGGTTGCCTTCGTGC</t>
  </si>
  <si>
    <t xml:space="preserve">AAACGCACGAAGGCAACCCGGCGC</t>
  </si>
  <si>
    <t xml:space="preserve">ATCGACGCGGTTGGCAATCA</t>
  </si>
  <si>
    <t xml:space="preserve">TAGTATCGACGCGGTTGGCAATCA</t>
  </si>
  <si>
    <t xml:space="preserve">AAACTGATTGCCAACCGCGTCGAT</t>
  </si>
  <si>
    <t xml:space="preserve">PST_2832</t>
  </si>
  <si>
    <t xml:space="preserve">AAGCAGCAAGGCGCGACGCA</t>
  </si>
  <si>
    <t xml:space="preserve">TAGTAAGCAGCAAGGCGCGACGCA</t>
  </si>
  <si>
    <t xml:space="preserve">AAACTGCGTCGCGCCTTGCTGCTT</t>
  </si>
  <si>
    <t xml:space="preserve">CTGGACCGGAAGGGCCAGCA</t>
  </si>
  <si>
    <t xml:space="preserve">TAGTCTGGACCGGAAGGGCCAGCA</t>
  </si>
  <si>
    <t xml:space="preserve">AAACTGCTGGCCCTTCCGGTCCAG</t>
  </si>
  <si>
    <t xml:space="preserve">GGAGAAGGGCTTGAGCTCCA</t>
  </si>
  <si>
    <t xml:space="preserve">TAGTGGAGAAGGGCTTGAGCTCCA</t>
  </si>
  <si>
    <t xml:space="preserve">AAACTGGAGCTCAAGCCCTTCTCC</t>
  </si>
  <si>
    <t xml:space="preserve">CCAGTCGGCGGTGTAGCTGG</t>
  </si>
  <si>
    <t xml:space="preserve">TAGTCCAGTCGGCGGTGTAGCTGG</t>
  </si>
  <si>
    <t xml:space="preserve">AAACCCAGCTACACCGCCGACTGG</t>
  </si>
  <si>
    <t xml:space="preserve">PST_2833</t>
  </si>
  <si>
    <t xml:space="preserve">AGGGAGCGTGAAAGGGCCAT</t>
  </si>
  <si>
    <t xml:space="preserve">TAGTAGGGAGCGTGAAAGGGCCAT</t>
  </si>
  <si>
    <t xml:space="preserve">AAACATGGCCCTTTCACGCTCCCT</t>
  </si>
  <si>
    <t xml:space="preserve">GAAGGATTGGCAGCCGGCCA</t>
  </si>
  <si>
    <t xml:space="preserve">TAGTGAAGGATTGGCAGCCGGCCA</t>
  </si>
  <si>
    <t xml:space="preserve">AAACTGGCCGGCTGCCAATCCTTC</t>
  </si>
  <si>
    <t xml:space="preserve">CGCTCGGTGGCCACTCGCGA</t>
  </si>
  <si>
    <t xml:space="preserve">TAGTCGCTCGGTGGCCACTCGCGA</t>
  </si>
  <si>
    <t xml:space="preserve">AAACTCGCGAGTGGCCACCGAGCG</t>
  </si>
  <si>
    <t xml:space="preserve">CCTGGCGCAGCTCGCCTTGC</t>
  </si>
  <si>
    <t xml:space="preserve">TAGTCCTGGCGCAGCTCGCCTTGC</t>
  </si>
  <si>
    <t xml:space="preserve">AAACGCAAGGCGAGCTGCGCCAGG</t>
  </si>
  <si>
    <t xml:space="preserve">PST_2834</t>
  </si>
  <si>
    <t xml:space="preserve">GTAGGGATGCAGCAGATTCA</t>
  </si>
  <si>
    <t xml:space="preserve">TAGTGTAGGGATGCAGCAGATTCA</t>
  </si>
  <si>
    <t xml:space="preserve">AAACTGAATCTGCTGCATCCCTAC</t>
  </si>
  <si>
    <t xml:space="preserve">GCGTGCGCAGTTTCTCGAAC</t>
  </si>
  <si>
    <t xml:space="preserve">TAGTGCGTGCGCAGTTTCTCGAAC</t>
  </si>
  <si>
    <t xml:space="preserve">AAACGTTCGAGAAACTGCGCACGC</t>
  </si>
  <si>
    <t xml:space="preserve">GTCCGCAGGCGGTTGGACGC</t>
  </si>
  <si>
    <t xml:space="preserve">TAGTGTCCGCAGGCGGTTGGACGC</t>
  </si>
  <si>
    <t xml:space="preserve">AAACGCGTCCAACCGCCTGCGGAC</t>
  </si>
  <si>
    <t xml:space="preserve">TTCGCCGATCGACAGGGCGA</t>
  </si>
  <si>
    <t xml:space="preserve">TAGTTTCGCCGATCGACAGGGCGA</t>
  </si>
  <si>
    <t xml:space="preserve">AAACTCGCCCTGTCGATCGGCGAA</t>
  </si>
  <si>
    <t xml:space="preserve">PST_2835</t>
  </si>
  <si>
    <t xml:space="preserve">GGATGCTCGTCGCGCGGCTC</t>
  </si>
  <si>
    <t xml:space="preserve">TAGTGGATGCTCGTCGCGCGGCTC</t>
  </si>
  <si>
    <t xml:space="preserve">AAACGAGCCGCGCGACGAGCATCC</t>
  </si>
  <si>
    <t xml:space="preserve">TGCTCGGGAATGTCCGCACC</t>
  </si>
  <si>
    <t xml:space="preserve">TAGTTGCTCGGGAATGTCCGCACC</t>
  </si>
  <si>
    <t xml:space="preserve">AAACGGTGCGGACATTCCCGAGCA</t>
  </si>
  <si>
    <t xml:space="preserve">CGCAGCTTCTCCAGGTTCTC</t>
  </si>
  <si>
    <t xml:space="preserve">TAGTCGCAGCTTCTCCAGGTTCTC</t>
  </si>
  <si>
    <t xml:space="preserve">AAACGAGAACCTGGAGAAGCTGCG</t>
  </si>
  <si>
    <t xml:space="preserve">PST_2837</t>
  </si>
  <si>
    <t xml:space="preserve">GCCTCGAACGCATCTTCAGC</t>
  </si>
  <si>
    <t xml:space="preserve">TAGTGCCTCGAACGCATCTTCAGC</t>
  </si>
  <si>
    <t xml:space="preserve">AAACGCTGAAGATGCGTTCGAGGC</t>
  </si>
  <si>
    <t xml:space="preserve">GTCGCTGTCGCGCCGCTTGA</t>
  </si>
  <si>
    <t xml:space="preserve">TAGTGTCGCTGTCGCGCCGCTTGA</t>
  </si>
  <si>
    <t xml:space="preserve">AAACTCAAGCGGCGCGACAGCGAC</t>
  </si>
  <si>
    <t xml:space="preserve">CAGGTCATAGCGACGACCGT</t>
  </si>
  <si>
    <t xml:space="preserve">TAGTCAGGTCATAGCGACGACCGT</t>
  </si>
  <si>
    <t xml:space="preserve">AAACACGGTCGTCGCTATGACCTG</t>
  </si>
  <si>
    <t xml:space="preserve">AGTCAACGCGGCCTCGGCGA</t>
  </si>
  <si>
    <t xml:space="preserve">TAGTAGTCAACGCGGCCTCGGCGA</t>
  </si>
  <si>
    <t xml:space="preserve">AAACTCGCCGAGGCCGCGTTGACT</t>
  </si>
  <si>
    <t xml:space="preserve">PST_2836</t>
  </si>
  <si>
    <t xml:space="preserve">TGATGACAATCGCAACGGTG</t>
  </si>
  <si>
    <t xml:space="preserve">TAGTTGATGACAATCGCAACGGTG</t>
  </si>
  <si>
    <t xml:space="preserve">AAACCACCGTTGCGATTGTCATCA</t>
  </si>
  <si>
    <t xml:space="preserve">GGCGGTCTCGACCTTTTACG</t>
  </si>
  <si>
    <t xml:space="preserve">TAGTGGCGGTCTCGACCTTTTACG</t>
  </si>
  <si>
    <t xml:space="preserve">AAACCGTAAAAGGTCGAGACCGCC</t>
  </si>
  <si>
    <t xml:space="preserve">CCATGGGCATGACGTTCAGC</t>
  </si>
  <si>
    <t xml:space="preserve">TAGTCCATGGGCATGACGTTCAGC</t>
  </si>
  <si>
    <t xml:space="preserve">AAACGCTGAACGTCATGCCCATGG</t>
  </si>
  <si>
    <t xml:space="preserve">GCCCTCCGGATTGCGCGTAT</t>
  </si>
  <si>
    <t xml:space="preserve">TAGTGCCCTCCGGATTGCGCGTAT</t>
  </si>
  <si>
    <t xml:space="preserve">AAACATACGCGCAATCCGGAGGGC</t>
  </si>
  <si>
    <t xml:space="preserve">PST_2838</t>
  </si>
  <si>
    <t xml:space="preserve">CGCTGATCGGGTTCGGACAT</t>
  </si>
  <si>
    <t xml:space="preserve">TAGTCGCTGATCGGGTTCGGACAT</t>
  </si>
  <si>
    <t xml:space="preserve">AAACATGTCCGAACCCGATCAGCG</t>
  </si>
  <si>
    <t xml:space="preserve">CACAGGCTTTGATTCCGTAT</t>
  </si>
  <si>
    <t xml:space="preserve">TAGTCACAGGCTTTGATTCCGTAT</t>
  </si>
  <si>
    <t xml:space="preserve">AAACATACGGAATCAAAGCCTGTG</t>
  </si>
  <si>
    <t xml:space="preserve">CCAGGTACGGGCCTTTTTCA</t>
  </si>
  <si>
    <t xml:space="preserve">TAGTCCAGGTACGGGCCTTTTTCA</t>
  </si>
  <si>
    <t xml:space="preserve">AAACTGAAAAAGGCCCGTACCTGG</t>
  </si>
  <si>
    <t xml:space="preserve">CAGGCGGGCGCGGTCGATCC</t>
  </si>
  <si>
    <t xml:space="preserve">TAGTCAGGCGGGCGCGGTCGATCC</t>
  </si>
  <si>
    <t xml:space="preserve">AAACGGATCGACCGCGCCCGCCTG</t>
  </si>
  <si>
    <t xml:space="preserve">PST_2839</t>
  </si>
  <si>
    <t xml:space="preserve">dapD</t>
  </si>
  <si>
    <t xml:space="preserve">CTGAAGAGGGTTGCAGACAT</t>
  </si>
  <si>
    <t xml:space="preserve">TAGTCTGAAGAGGGTTGCAGACAT</t>
  </si>
  <si>
    <t xml:space="preserve">AAACATGTCTGCAACCCTCTTCAG</t>
  </si>
  <si>
    <t xml:space="preserve">GGGTGCCGACGCCAAAGGCG</t>
  </si>
  <si>
    <t xml:space="preserve">TAGTGGGTGCCGACGCCAAAGGCG</t>
  </si>
  <si>
    <t xml:space="preserve">AAACCGCCTTTGGCGTCGGCACCC</t>
  </si>
  <si>
    <t xml:space="preserve">CCAGTCGCCCTGGCGGTTCT</t>
  </si>
  <si>
    <t xml:space="preserve">TAGTCCAGTCGCCCTGGCGGTTCT</t>
  </si>
  <si>
    <t xml:space="preserve">AAACAGAACCGCCAGGGCGACTGG</t>
  </si>
  <si>
    <t xml:space="preserve">TCGCCGGCCGGTTGCAACAG</t>
  </si>
  <si>
    <t xml:space="preserve">TAGTTCGCCGGCCGGTTGCAACAG</t>
  </si>
  <si>
    <t xml:space="preserve">AAACCTGTTGCAACCGGCCGGCGA</t>
  </si>
  <si>
    <t xml:space="preserve">PST_2840</t>
  </si>
  <si>
    <t xml:space="preserve">csdA</t>
  </si>
  <si>
    <t xml:space="preserve">AGCGCGCCAGGGGGAGAACA</t>
  </si>
  <si>
    <t xml:space="preserve">TAGTAGCGCGCCAGGGGGAGAACA</t>
  </si>
  <si>
    <t xml:space="preserve">AAACTGTTCTCCCCCTGGCGCGCT</t>
  </si>
  <si>
    <t xml:space="preserve">CTTCGAGCACGGCCAGAGCG</t>
  </si>
  <si>
    <t xml:space="preserve">TAGTCTTCGAGCACGGCCAGAGCG</t>
  </si>
  <si>
    <t xml:space="preserve">AAACCGCTCTGGCCGTGCTCGAAG</t>
  </si>
  <si>
    <t xml:space="preserve">CGGCGCTGTCGAGGTAGGTC</t>
  </si>
  <si>
    <t xml:space="preserve">TAGTCGGCGCTGTCGAGGTAGGTC</t>
  </si>
  <si>
    <t xml:space="preserve">AAACGACCTACCTCGACAGCGCCG</t>
  </si>
  <si>
    <t xml:space="preserve">CTGCGGCTTCTGTGCCGTGG</t>
  </si>
  <si>
    <t xml:space="preserve">TAGTCTGCGGCTTCTGTGCCGTGG</t>
  </si>
  <si>
    <t xml:space="preserve">AAACCCACGGCACAGAAGCCGCAG</t>
  </si>
  <si>
    <t xml:space="preserve">PST_2841</t>
  </si>
  <si>
    <t xml:space="preserve">sufE</t>
  </si>
  <si>
    <t xml:space="preserve">AAGGCCTCTCGGGCGGCGTC</t>
  </si>
  <si>
    <t xml:space="preserve">TAGTAAGGCCTCTCGGGCGGCGTC</t>
  </si>
  <si>
    <t xml:space="preserve">AAACGACGCCGCCCGAGAGGCCTT</t>
  </si>
  <si>
    <t xml:space="preserve">CCAGCCAGGCGCCTGGGCGA</t>
  </si>
  <si>
    <t xml:space="preserve">TAGTCCAGCCAGGCGCCTGGGCGA</t>
  </si>
  <si>
    <t xml:space="preserve">AAACTCGCCCAGGCGCCTGGCTGG</t>
  </si>
  <si>
    <t xml:space="preserve">GTTCCCCCCACTGCATCAGC</t>
  </si>
  <si>
    <t xml:space="preserve">TAGTGTTCCCCCCACTGCATCAGC</t>
  </si>
  <si>
    <t xml:space="preserve">AAACGCTGATGCAGTGGGGGGAAC</t>
  </si>
  <si>
    <t xml:space="preserve">CTGCGTTCGCCATCGTTCAC</t>
  </si>
  <si>
    <t xml:space="preserve">TAGTCTGCGTTCGCCATCGTTCAC</t>
  </si>
  <si>
    <t xml:space="preserve">AAACGTGAACGATGGCGAACGCAG</t>
  </si>
  <si>
    <t xml:space="preserve">PST_2842</t>
  </si>
  <si>
    <t xml:space="preserve">GCTGGCAGGGGTATAAAGGC</t>
  </si>
  <si>
    <t xml:space="preserve">TAGTGCTGGCAGGGGTATAAAGGC</t>
  </si>
  <si>
    <t xml:space="preserve">AAACGCCTTTATACCCCTGCCAGC</t>
  </si>
  <si>
    <t xml:space="preserve">TGACTCCACCAGTTCGTCGT</t>
  </si>
  <si>
    <t xml:space="preserve">TAGTTGACTCCACCAGTTCGTCGT</t>
  </si>
  <si>
    <t xml:space="preserve">AAACACGACGAACTGGTGGAGTCA</t>
  </si>
  <si>
    <t xml:space="preserve">GCTGTTGAAGCGGTGCACGT</t>
  </si>
  <si>
    <t xml:space="preserve">TAGTGCTGTTGAAGCGGTGCACGT</t>
  </si>
  <si>
    <t xml:space="preserve">AAACACGTGCACCGCTTCAACAGC</t>
  </si>
  <si>
    <t xml:space="preserve">CTCACCGGCCTCGATGGCCG</t>
  </si>
  <si>
    <t xml:space="preserve">TAGTCTCACCGGCCTCGATGGCCG</t>
  </si>
  <si>
    <t xml:space="preserve">AAACCGGCCATCGAGGCCGGTGAG</t>
  </si>
  <si>
    <t xml:space="preserve">PST_2843</t>
  </si>
  <si>
    <t xml:space="preserve">GCCGATGGACATCGCCAGCA</t>
  </si>
  <si>
    <t xml:space="preserve">TAGTGCCGATGGACATCGCCAGCA</t>
  </si>
  <si>
    <t xml:space="preserve">AAACTGCTGGCGATGTCCATCGGC</t>
  </si>
  <si>
    <t xml:space="preserve">ATCATCCATCTTGATCTCGG</t>
  </si>
  <si>
    <t xml:space="preserve">TAGTATCATCCATCTTGATCTCGG</t>
  </si>
  <si>
    <t xml:space="preserve">AAACCCGAGATCAAGATGGATGAT</t>
  </si>
  <si>
    <t xml:space="preserve">TCCGGCTTTCTGCGTCAGCT</t>
  </si>
  <si>
    <t xml:space="preserve">TAGTTCCGGCTTTCTGCGTCAGCT</t>
  </si>
  <si>
    <t xml:space="preserve">AAACAGCTGACGCAGAAAGCCGGA</t>
  </si>
  <si>
    <t xml:space="preserve">CGGTTGGAAGTAGCTCTCAC</t>
  </si>
  <si>
    <t xml:space="preserve">TAGTCGGTTGGAAGTAGCTCTCAC</t>
  </si>
  <si>
    <t xml:space="preserve">AAACGTGAGAGCTACTTCCAACCG</t>
  </si>
  <si>
    <t xml:space="preserve">PST_2844</t>
  </si>
  <si>
    <t xml:space="preserve">ACCGGCCAGGGGCCAGTGAA</t>
  </si>
  <si>
    <t xml:space="preserve">TAGTACCGGCCAGGGGCCAGTGAA</t>
  </si>
  <si>
    <t xml:space="preserve">AAACTTCACTGGCCCCTGGCCGGT</t>
  </si>
  <si>
    <t xml:space="preserve">TGTATAAATCTTTTGCCCAT</t>
  </si>
  <si>
    <t xml:space="preserve">TAGTTGTATAAATCTTTTGCCCAT</t>
  </si>
  <si>
    <t xml:space="preserve">AAACATGGGCAAAAGATTTATACA</t>
  </si>
  <si>
    <t xml:space="preserve">ACACGCCATGGCTGCAGGGT</t>
  </si>
  <si>
    <t xml:space="preserve">TAGTACACGCCATGGCTGCAGGGT</t>
  </si>
  <si>
    <t xml:space="preserve">AAACACCCTGCAGCCATGGCGTGT</t>
  </si>
  <si>
    <t xml:space="preserve">CATCGCATCGGCGCCATGGC</t>
  </si>
  <si>
    <t xml:space="preserve">TAGTCATCGCATCGGCGCCATGGC</t>
  </si>
  <si>
    <t xml:space="preserve">AAACGCCATGGCGCCGATGCGATG</t>
  </si>
  <si>
    <t xml:space="preserve">PST_2845</t>
  </si>
  <si>
    <t xml:space="preserve">CTCGGCGAGTTGATCTTTCA</t>
  </si>
  <si>
    <t xml:space="preserve">TAGTCTCGGCGAGTTGATCTTTCA</t>
  </si>
  <si>
    <t xml:space="preserve">AAACTGAAAGATCAACTCGCCGAG</t>
  </si>
  <si>
    <t xml:space="preserve">TTCTTCATCGGTCATGCAAC</t>
  </si>
  <si>
    <t xml:space="preserve">TAGTTTCTTCATCGGTCATGCAAC</t>
  </si>
  <si>
    <t xml:space="preserve">AAACGTTGCATGACCGATGAAGAA</t>
  </si>
  <si>
    <t xml:space="preserve">CTGCGGATCGGCATAGGCCT</t>
  </si>
  <si>
    <t xml:space="preserve">TAGTCTGCGGATCGGCATAGGCCT</t>
  </si>
  <si>
    <t xml:space="preserve">AAACAGGCCTATGCCGATCCGCAG</t>
  </si>
  <si>
    <t xml:space="preserve">GTCCGGATTGGCCTCCAGAA</t>
  </si>
  <si>
    <t xml:space="preserve">TAGTGTCCGGATTGGCCTCCAGAA</t>
  </si>
  <si>
    <t xml:space="preserve">AAACTTCTGGAGGCCAATCCGGAC</t>
  </si>
  <si>
    <t xml:space="preserve">PST_2846</t>
  </si>
  <si>
    <t xml:space="preserve">TAAGGCACCGATACTGCCAC</t>
  </si>
  <si>
    <t xml:space="preserve">TAGTTAAGGCACCGATACTGCCAC</t>
  </si>
  <si>
    <t xml:space="preserve">AAACGTGGCAGTATCGGTGCCTTA</t>
  </si>
  <si>
    <t xml:space="preserve">GCTTCATCGTTCTGATGGCC</t>
  </si>
  <si>
    <t xml:space="preserve">TAGTGCTTCATCGTTCTGATGGCC</t>
  </si>
  <si>
    <t xml:space="preserve">AAACGGCCATCAGAACGATGAAGC</t>
  </si>
  <si>
    <t xml:space="preserve">ACCAGGCGTTCGAGGTCTTC</t>
  </si>
  <si>
    <t xml:space="preserve">TAGTACCAGGCGTTCGAGGTCTTC</t>
  </si>
  <si>
    <t xml:space="preserve">AAACGAAGACCTCGAACGCCTGGT</t>
  </si>
  <si>
    <t xml:space="preserve">CGCCCCTTGTACTTGCCATA</t>
  </si>
  <si>
    <t xml:space="preserve">TAGTCGCCCCTTGTACTTGCCATA</t>
  </si>
  <si>
    <t xml:space="preserve">AAACTATGGCAAGTACAAGGGGCG</t>
  </si>
  <si>
    <t xml:space="preserve">PST_2847</t>
  </si>
  <si>
    <t xml:space="preserve">GTGGCGTCATCCAGTTCTGC</t>
  </si>
  <si>
    <t xml:space="preserve">TAGTGTGGCGTCATCCAGTTCTGC</t>
  </si>
  <si>
    <t xml:space="preserve">AAACGCAGAACTGGATGACGCCAC</t>
  </si>
  <si>
    <t xml:space="preserve">TGCGGCATGAAACACATGCT</t>
  </si>
  <si>
    <t xml:space="preserve">TAGTTGCGGCATGAAACACATGCT</t>
  </si>
  <si>
    <t xml:space="preserve">AAACAGCATGTGTTTCATGCCGCA</t>
  </si>
  <si>
    <t xml:space="preserve">GCAGGTCCGCCGGCATGCCC</t>
  </si>
  <si>
    <t xml:space="preserve">TAGTGCAGGTCCGCCGGCATGCCC</t>
  </si>
  <si>
    <t xml:space="preserve">AAACGGGCATGCCGGCGGACCTGC</t>
  </si>
  <si>
    <t xml:space="preserve">CAGCATCAGCAGGCTGTCGC</t>
  </si>
  <si>
    <t xml:space="preserve">TAGTCAGCATCAGCAGGCTGTCGC</t>
  </si>
  <si>
    <t xml:space="preserve">AAACGCGACAGCCTGCTGATGCTG</t>
  </si>
  <si>
    <t xml:space="preserve">PST_2848</t>
  </si>
  <si>
    <t xml:space="preserve">CAGGTCGATGGCGGGTGTCA</t>
  </si>
  <si>
    <t xml:space="preserve">TAGTCAGGTCGATGGCGGGTGTCA</t>
  </si>
  <si>
    <t xml:space="preserve">AAACTGACACCCGCCATCGACCTG</t>
  </si>
  <si>
    <t xml:space="preserve">GTGCACACGATGCTCGGCGC</t>
  </si>
  <si>
    <t xml:space="preserve">TAGTGTGCACACGATGCTCGGCGC</t>
  </si>
  <si>
    <t xml:space="preserve">AAACGCGCCGAGCATCGTGTGCAC</t>
  </si>
  <si>
    <t xml:space="preserve">GACCATAGGAGGCGGACTTC</t>
  </si>
  <si>
    <t xml:space="preserve">TAGTGACCATAGGAGGCGGACTTC</t>
  </si>
  <si>
    <t xml:space="preserve">AAACGAAGTCCGCCTCCTATGGTC</t>
  </si>
  <si>
    <t xml:space="preserve">CTCGAGTCCCAGTTTCTCGG</t>
  </si>
  <si>
    <t xml:space="preserve">TAGTCTCGAGTCCCAGTTTCTCGG</t>
  </si>
  <si>
    <t xml:space="preserve">AAACCCGAGAAACTGGGACTCGAG</t>
  </si>
  <si>
    <t xml:space="preserve">PST_2849</t>
  </si>
  <si>
    <t xml:space="preserve">glpD-1</t>
  </si>
  <si>
    <t xml:space="preserve">GCAAGAAGAGGATGATTCAT</t>
  </si>
  <si>
    <t xml:space="preserve">TAGTGCAAGAAGAGGATGATTCAT</t>
  </si>
  <si>
    <t xml:space="preserve">AAACATGAATCATCCTCTTCTTGC</t>
  </si>
  <si>
    <t xml:space="preserve">AGGTCGTAGACTTCCGCGAG</t>
  </si>
  <si>
    <t xml:space="preserve">TAGTAGGTCGTAGACTTCCGCGAG</t>
  </si>
  <si>
    <t xml:space="preserve">AAACCTCGCGGAAGTCTACGACCT</t>
  </si>
  <si>
    <t xml:space="preserve">GTTGATGCCGCCGCCCACAA</t>
  </si>
  <si>
    <t xml:space="preserve">TAGTGTTGATGCCGCCGCCCACAA</t>
  </si>
  <si>
    <t xml:space="preserve">AAACTTGTGGGCGGCGGCATCAAC</t>
  </si>
  <si>
    <t xml:space="preserve">GACCGTCAGGCCACGACCTG</t>
  </si>
  <si>
    <t xml:space="preserve">TAGTGACCGTCAGGCCACGACCTG</t>
  </si>
  <si>
    <t xml:space="preserve">AAACCAGGTCGTGGCCTGACGGTC</t>
  </si>
  <si>
    <t xml:space="preserve">PST_2850</t>
  </si>
  <si>
    <t xml:space="preserve">metE</t>
  </si>
  <si>
    <t xml:space="preserve">CACCGATGCGTGGAAAGCCA</t>
  </si>
  <si>
    <t xml:space="preserve">TAGTCACCGATGCGTGGAAAGCCA</t>
  </si>
  <si>
    <t xml:space="preserve">AAACTGGCTTTCCACGCATCGGTG</t>
  </si>
  <si>
    <t xml:space="preserve">GCCTTTCCAGTACGCCTCGA</t>
  </si>
  <si>
    <t xml:space="preserve">TAGTGCCTTTCCAGTACGCCTCGA</t>
  </si>
  <si>
    <t xml:space="preserve">AAACTCGAGGCGTACTGGAAAGGC</t>
  </si>
  <si>
    <t xml:space="preserve">GCTGGCGACCGACCTGACGC</t>
  </si>
  <si>
    <t xml:space="preserve">TAGTGCTGGCGACCGACCTGACGC</t>
  </si>
  <si>
    <t xml:space="preserve">AAACGCGTCAGGTCGGTCGCCAGC</t>
  </si>
  <si>
    <t xml:space="preserve">CGTCGAGCTGGGCCTGCCAA</t>
  </si>
  <si>
    <t xml:space="preserve">TAGTCGTCGAGCTGGGCCTGCCAA</t>
  </si>
  <si>
    <t xml:space="preserve">AAACTTGGCAGGCCCAGCTCGACG</t>
  </si>
  <si>
    <t xml:space="preserve">PST_2851</t>
  </si>
  <si>
    <t xml:space="preserve">GGTGGTGTTTCGGAATTCAT</t>
  </si>
  <si>
    <t xml:space="preserve">TAGTGGTGGTGTTTCGGAATTCAT</t>
  </si>
  <si>
    <t xml:space="preserve">AAACATGAATTCCGAAACACCACC</t>
  </si>
  <si>
    <t xml:space="preserve">AGCAAGCGTTCGAGGTTCTG</t>
  </si>
  <si>
    <t xml:space="preserve">TAGTAGCAAGCGTTCGAGGTTCTG</t>
  </si>
  <si>
    <t xml:space="preserve">AAACCAGAACCTCGAACGCTTGCT</t>
  </si>
  <si>
    <t xml:space="preserve">TACCGGCTCACCCGGCTCCC</t>
  </si>
  <si>
    <t xml:space="preserve">TAGTTACCGGCTCACCCGGCTCCC</t>
  </si>
  <si>
    <t xml:space="preserve">AAACGGGAGCCGGGTGAGCCGGTA</t>
  </si>
  <si>
    <t xml:space="preserve">ACCGAAGCTGCGCTCATCGG</t>
  </si>
  <si>
    <t xml:space="preserve">TAGTACCGAAGCTGCGCTCATCGG</t>
  </si>
  <si>
    <t xml:space="preserve">AAACCCGATGAGCGCAGCTTCGGT</t>
  </si>
  <si>
    <t xml:space="preserve">PST_2852</t>
  </si>
  <si>
    <t xml:space="preserve">metR</t>
  </si>
  <si>
    <t xml:space="preserve">GTGCATGAAGCGTCTTCAGG</t>
  </si>
  <si>
    <t xml:space="preserve">TAGTGTGCATGAAGCGTCTTCAGG</t>
  </si>
  <si>
    <t xml:space="preserve">AAACCCTGAAGACGCTTCATGCAC</t>
  </si>
  <si>
    <t xml:space="preserve">GGCGGCTTCGACGAGACTGT</t>
  </si>
  <si>
    <t xml:space="preserve">TAGTGGCGGCTTCGACGAGACTGT</t>
  </si>
  <si>
    <t xml:space="preserve">AAACACAGTCTCGTCGAAGCCGCC</t>
  </si>
  <si>
    <t xml:space="preserve">GCGCCGACTGGGTCAGGTGC</t>
  </si>
  <si>
    <t xml:space="preserve">TAGTGCGCCGACTGGGTCAGGTGC</t>
  </si>
  <si>
    <t xml:space="preserve">AAACGCACCTGACCCAGTCGGCGC</t>
  </si>
  <si>
    <t xml:space="preserve">CTCCAGCTCCTTGAACTGAT</t>
  </si>
  <si>
    <t xml:space="preserve">TAGTCTCCAGCTCCTTGAACTGAT</t>
  </si>
  <si>
    <t xml:space="preserve">AAACATCAGTTCAAGGAGCTGGAG</t>
  </si>
  <si>
    <t xml:space="preserve">PST_2853</t>
  </si>
  <si>
    <t xml:space="preserve">GGCGCCGTGGAGATTTGCAT</t>
  </si>
  <si>
    <t xml:space="preserve">TAGTGGCGCCGTGGAGATTTGCAT</t>
  </si>
  <si>
    <t xml:space="preserve">AAACATGCAAATCTCCACGGCGCC</t>
  </si>
  <si>
    <t xml:space="preserve">ACCAATGCCACTGGAGGCGC</t>
  </si>
  <si>
    <t xml:space="preserve">TAGTACCAATGCCACTGGAGGCGC</t>
  </si>
  <si>
    <t xml:space="preserve">AAACGCGCCTCCAGTGGCATTGGT</t>
  </si>
  <si>
    <t xml:space="preserve">CCGTGCGAACGCCTGGGCCG</t>
  </si>
  <si>
    <t xml:space="preserve">TAGTCCGTGCGAACGCCTGGGCCG</t>
  </si>
  <si>
    <t xml:space="preserve">AAACCGGCCCAGGCGTTCGCACGG</t>
  </si>
  <si>
    <t xml:space="preserve">CATCACGCGCCGCCAGCACC</t>
  </si>
  <si>
    <t xml:space="preserve">TAGTCATCACGCGCCGCCAGCACC</t>
  </si>
  <si>
    <t xml:space="preserve">AAACGGTGCTGGCGGCGCGTGATG</t>
  </si>
  <si>
    <t xml:space="preserve">PST_2854</t>
  </si>
  <si>
    <t xml:space="preserve">CATCGCGATAGCGCAGGCAG</t>
  </si>
  <si>
    <t xml:space="preserve">TAGTCATCGCGATAGCGCAGGCAG</t>
  </si>
  <si>
    <t xml:space="preserve">AAACCTGCCTGCGCTATCGCGATG</t>
  </si>
  <si>
    <t xml:space="preserve">GCCCAGCCAATCGATGGCGG</t>
  </si>
  <si>
    <t xml:space="preserve">TAGTGCCCAGCCAATCGATGGCGG</t>
  </si>
  <si>
    <t xml:space="preserve">AAACCCGCCATCGATTGGCTGGGC</t>
  </si>
  <si>
    <t xml:space="preserve">GGCATTCGAAGCCGAAGGCC</t>
  </si>
  <si>
    <t xml:space="preserve">TAGTGGCATTCGAAGCCGAAGGCC</t>
  </si>
  <si>
    <t xml:space="preserve">AAACGGCCTTCGGCTTCGAATGCC</t>
  </si>
  <si>
    <t xml:space="preserve">GCTCATCGCGATACTGGCGT</t>
  </si>
  <si>
    <t xml:space="preserve">TAGTGCTCATCGCGATACTGGCGT</t>
  </si>
  <si>
    <t xml:space="preserve">AAACACGCCAGTATCGCGATGAGC</t>
  </si>
  <si>
    <t xml:space="preserve">PST_2855</t>
  </si>
  <si>
    <t xml:space="preserve">AAGAACACCATCCAGAAAAA</t>
  </si>
  <si>
    <t xml:space="preserve">TAGTAAGAACACCATCCAGAAAAA</t>
  </si>
  <si>
    <t xml:space="preserve">AAACTTTTTCTGGATGGTGTTCTT</t>
  </si>
  <si>
    <t xml:space="preserve">GCAGATCCGGGCCGGGCGAC</t>
  </si>
  <si>
    <t xml:space="preserve">TAGTGCAGATCCGGGCCGGGCGAC</t>
  </si>
  <si>
    <t xml:space="preserve">AAACGTCGCCCGGCCCGGATCTGC</t>
  </si>
  <si>
    <t xml:space="preserve">CCGGCCGCCGCTGAGCGTTC</t>
  </si>
  <si>
    <t xml:space="preserve">TAGTCCGGCCGCCGCTGAGCGTTC</t>
  </si>
  <si>
    <t xml:space="preserve">AAACGAACGCTCAGCGGCGGCCGG</t>
  </si>
  <si>
    <t xml:space="preserve">CCCGCTGCAAACGCCGCACG</t>
  </si>
  <si>
    <t xml:space="preserve">TAGTCCCGCTGCAAACGCCGCACG</t>
  </si>
  <si>
    <t xml:space="preserve">AAACCGTGCGGCGTTTGCAGCGGG</t>
  </si>
  <si>
    <t xml:space="preserve">PST_2856</t>
  </si>
  <si>
    <t xml:space="preserve">GGGGAGTTGGGCTGATAGGC</t>
  </si>
  <si>
    <t xml:space="preserve">TAGTGGGGAGTTGGGCTGATAGGC</t>
  </si>
  <si>
    <t xml:space="preserve">AAACGCCTATCAGCCCAACTCCCC</t>
  </si>
  <si>
    <t xml:space="preserve">CCGAAAGCAGCAGTACACGG</t>
  </si>
  <si>
    <t xml:space="preserve">TAGTCCGAAAGCAGCAGTACACGG</t>
  </si>
  <si>
    <t xml:space="preserve">AAACCCGTGTACTGCTGCTTTCGG</t>
  </si>
  <si>
    <t xml:space="preserve">GGTGCTGTTGAGCGAGCTGC</t>
  </si>
  <si>
    <t xml:space="preserve">TAGTGGTGCTGTTGAGCGAGCTGC</t>
  </si>
  <si>
    <t xml:space="preserve">AAACGCAGCTCGCTCAACAGCACC</t>
  </si>
  <si>
    <t xml:space="preserve">ATCGTACAGATGCTGCCGCA</t>
  </si>
  <si>
    <t xml:space="preserve">TAGTATCGTACAGATGCTGCCGCA</t>
  </si>
  <si>
    <t xml:space="preserve">AAACTGCGGCAGCATCTGTACGAT</t>
  </si>
  <si>
    <t xml:space="preserve">PST_2857</t>
  </si>
  <si>
    <t xml:space="preserve">CTTCGTCTGCCTGGGCCGTC</t>
  </si>
  <si>
    <t xml:space="preserve">TAGTCTTCGTCTGCCTGGGCCGTC</t>
  </si>
  <si>
    <t xml:space="preserve">AAACGACGGCCCAGGCAGACGAAG</t>
  </si>
  <si>
    <t xml:space="preserve">GGTGATGAAACCCTGCAGCT</t>
  </si>
  <si>
    <t xml:space="preserve">TAGTGGTGATGAAACCCTGCAGCT</t>
  </si>
  <si>
    <t xml:space="preserve">AAACAGCTGCAGGGTTTCATCACC</t>
  </si>
  <si>
    <t xml:space="preserve">GGAGCGGGAAATCGTGTTGT</t>
  </si>
  <si>
    <t xml:space="preserve">TAGTGGAGCGGGAAATCGTGTTGT</t>
  </si>
  <si>
    <t xml:space="preserve">AAACACAACACGATTTCCCGCTCC</t>
  </si>
  <si>
    <t xml:space="preserve">GCGCAGGTAGAACTCGTGAC</t>
  </si>
  <si>
    <t xml:space="preserve">TAGTGCGCAGGTAGAACTCGTGAC</t>
  </si>
  <si>
    <t xml:space="preserve">AAACGTCACGAGTTCTACCTGCGC</t>
  </si>
  <si>
    <t xml:space="preserve">PST_2858</t>
  </si>
  <si>
    <t xml:space="preserve">CCGAGGGGCTTGTGGGTGTG</t>
  </si>
  <si>
    <t xml:space="preserve">TAGTCCGAGGGGCTTGTGGGTGTG</t>
  </si>
  <si>
    <t xml:space="preserve">AAACCACACCCACAAGCCCCTCGG</t>
  </si>
  <si>
    <t xml:space="preserve">ATAGACCAGCTCGGTGGCGC</t>
  </si>
  <si>
    <t xml:space="preserve">TAGTATAGACCAGCTCGGTGGCGC</t>
  </si>
  <si>
    <t xml:space="preserve">AAACGCGCCACCGAGCTGGTCTAT</t>
  </si>
  <si>
    <t xml:space="preserve">ACCGAAGGAGGGATTGACCG</t>
  </si>
  <si>
    <t xml:space="preserve">TAGTACCGAAGGAGGGATTGACCG</t>
  </si>
  <si>
    <t xml:space="preserve">AAACCGGTCAATCCCTCCTTCGGT</t>
  </si>
  <si>
    <t xml:space="preserve">GCAGCCAGGCACCGTTGAGC</t>
  </si>
  <si>
    <t xml:space="preserve">TAGTGCAGCCAGGCACCGTTGAGC</t>
  </si>
  <si>
    <t xml:space="preserve">AAACGCTCAACGGTGCCTGGCTGC</t>
  </si>
  <si>
    <t xml:space="preserve">PST_2859</t>
  </si>
  <si>
    <t xml:space="preserve">csgG</t>
  </si>
  <si>
    <t xml:space="preserve">GGATGCTGGTCGGCAGGCAG</t>
  </si>
  <si>
    <t xml:space="preserve">TAGTGGATGCTGGTCGGCAGGCAG</t>
  </si>
  <si>
    <t xml:space="preserve">AAACCTGCCTGCCGACCAGCATCC</t>
  </si>
  <si>
    <t xml:space="preserve">GTGCGTGGGGTCAGCGTGGG</t>
  </si>
  <si>
    <t xml:space="preserve">TAGTGTGCGTGGGGTCAGCGTGGG</t>
  </si>
  <si>
    <t xml:space="preserve">AAACCCCACGCTGACCCCACGCAC</t>
  </si>
  <si>
    <t xml:space="preserve">CAGCAGATCCTGGTAGGTAG</t>
  </si>
  <si>
    <t xml:space="preserve">TAGTCAGCAGATCCTGGTAGGTAG</t>
  </si>
  <si>
    <t xml:space="preserve">AAACCTACCTACCAGGATCTGCTG</t>
  </si>
  <si>
    <t xml:space="preserve">ACCAGCGGGCCTTTCGGACG</t>
  </si>
  <si>
    <t xml:space="preserve">TAGTACCAGCGGGCCTTTCGGACG</t>
  </si>
  <si>
    <t xml:space="preserve">AAACCGTCCGAAAGGCCCGCTGGT</t>
  </si>
  <si>
    <t xml:space="preserve">PST_2860</t>
  </si>
  <si>
    <t xml:space="preserve">ATCCGTTGCGAGCGTTTCAT</t>
  </si>
  <si>
    <t xml:space="preserve">TAGTATCCGTTGCGAGCGTTTCAT</t>
  </si>
  <si>
    <t xml:space="preserve">AAACATGAAACGCTCGCAACGGAT</t>
  </si>
  <si>
    <t xml:space="preserve">GGAGAATCATGGGCAACAGC</t>
  </si>
  <si>
    <t xml:space="preserve">TAGTGGAGAATCATGGGCAACAGC</t>
  </si>
  <si>
    <t xml:space="preserve">AAACGCTGTTGCCCATGATTCTCC</t>
  </si>
  <si>
    <t xml:space="preserve">CATGGCCGTAAGCGGCCAGC</t>
  </si>
  <si>
    <t xml:space="preserve">TAGTCATGGCCGTAAGCGGCCAGC</t>
  </si>
  <si>
    <t xml:space="preserve">AAACGCTGGCCGCTTACGGCCATG</t>
  </si>
  <si>
    <t xml:space="preserve">ATCGCCCGGAATGGCGACCT</t>
  </si>
  <si>
    <t xml:space="preserve">TAGTATCGCCCGGAATGGCGACCT</t>
  </si>
  <si>
    <t xml:space="preserve">AAACAGGTCGCCATTCCGGGCGAT</t>
  </si>
  <si>
    <t xml:space="preserve">PST_2861</t>
  </si>
  <si>
    <t xml:space="preserve">GTCAGGATGGCTGCTACAAG</t>
  </si>
  <si>
    <t xml:space="preserve">TAGTGTCAGGATGGCTGCTACAAG</t>
  </si>
  <si>
    <t xml:space="preserve">AAACCTTGTAGCAGCCATCCTGAC</t>
  </si>
  <si>
    <t xml:space="preserve">GGCCGCGAAAGCCTGGGCAG</t>
  </si>
  <si>
    <t xml:space="preserve">TAGTGGCCGCGAAAGCCTGGGCAG</t>
  </si>
  <si>
    <t xml:space="preserve">AAACCTGCCCAGGCTTTCGCGGCC</t>
  </si>
  <si>
    <t xml:space="preserve">GTCCTGCTCGGAGGTGTTGT</t>
  </si>
  <si>
    <t xml:space="preserve">TAGTGTCCTGCTCGGAGGTGTTGT</t>
  </si>
  <si>
    <t xml:space="preserve">AAACACAACACCTCCGAGCAGGAC</t>
  </si>
  <si>
    <t xml:space="preserve">CGACATTGTTGATGCCCAGC</t>
  </si>
  <si>
    <t xml:space="preserve">TAGTCGACATTGTTGATGCCCAGC</t>
  </si>
  <si>
    <t xml:space="preserve">AAACGCTGGGCATCAACAATGTCG</t>
  </si>
  <si>
    <t xml:space="preserve">PST_2862</t>
  </si>
  <si>
    <t xml:space="preserve">CCGCGAGGGCTGCGGTGGTC</t>
  </si>
  <si>
    <t xml:space="preserve">TAGTCCGCGAGGGCTGCGGTGGTC</t>
  </si>
  <si>
    <t xml:space="preserve">AAACGACCACCGCAGCCCTCGCGG</t>
  </si>
  <si>
    <t xml:space="preserve">TTGGCTACTGAGGATGAACC</t>
  </si>
  <si>
    <t xml:space="preserve">TAGTTTGGCTACTGAGGATGAACC</t>
  </si>
  <si>
    <t xml:space="preserve">AAACGGTTCATCCTCAGTAGCCAA</t>
  </si>
  <si>
    <t xml:space="preserve">CCAGAGCATGGGGCTGGCCA</t>
  </si>
  <si>
    <t xml:space="preserve">TAGTCCAGAGCATGGGGCTGGCCA</t>
  </si>
  <si>
    <t xml:space="preserve">AAACTGGCCAGCCCCATGCTCTGG</t>
  </si>
  <si>
    <t xml:space="preserve">TCTTGCCGTAGAGGTAGGTA</t>
  </si>
  <si>
    <t xml:space="preserve">TAGTTCTTGCCGTAGAGGTAGGTA</t>
  </si>
  <si>
    <t xml:space="preserve">AAACTACCTACCTCTACGGCAAGA</t>
  </si>
  <si>
    <t xml:space="preserve">PST_2863</t>
  </si>
  <si>
    <t xml:space="preserve">CACGTTGGCCTTGGGCAGCC</t>
  </si>
  <si>
    <t xml:space="preserve">TAGTCACGTTGGCCTTGGGCAGCC</t>
  </si>
  <si>
    <t xml:space="preserve">AAACGGCTGCCCAAGGCCAACGTG</t>
  </si>
  <si>
    <t xml:space="preserve">AGGCGGTATCCCAGAGTTCG</t>
  </si>
  <si>
    <t xml:space="preserve">TAGTAGGCGGTATCCCAGAGTTCG</t>
  </si>
  <si>
    <t xml:space="preserve">AAACCGAACTCTGGGATACCGCCT</t>
  </si>
  <si>
    <t xml:space="preserve">GTCCACGGTGAGGTCGTCGA</t>
  </si>
  <si>
    <t xml:space="preserve">TAGTGTCCACGGTGAGGTCGTCGA</t>
  </si>
  <si>
    <t xml:space="preserve">AAACTCGACGACCTCACCGTGGAC</t>
  </si>
  <si>
    <t xml:space="preserve">TACTCGGCCAGGGCGGTGGC</t>
  </si>
  <si>
    <t xml:space="preserve">TAGTTACTCGGCCAGGGCGGTGGC</t>
  </si>
  <si>
    <t xml:space="preserve">AAACGCCACCGCCCTGGCCGAGTA</t>
  </si>
  <si>
    <t xml:space="preserve">PST_2864</t>
  </si>
  <si>
    <t xml:space="preserve">CGAGTGGATGCGCAGCTTGC</t>
  </si>
  <si>
    <t xml:space="preserve">TAGTCGAGTGGATGCGCAGCTTGC</t>
  </si>
  <si>
    <t xml:space="preserve">AAACGCAAGCTGCGCATCCACTCG</t>
  </si>
  <si>
    <t xml:space="preserve">ATGTCGAAATAATGGATGGC</t>
  </si>
  <si>
    <t xml:space="preserve">TAGTATGTCGAAATAATGGATGGC</t>
  </si>
  <si>
    <t xml:space="preserve">AAACGCCATCCATTATTTCGACAT</t>
  </si>
  <si>
    <t xml:space="preserve">CTTCGCGGATCGACTGGCAG</t>
  </si>
  <si>
    <t xml:space="preserve">TAGTCTTCGCGGATCGACTGGCAG</t>
  </si>
  <si>
    <t xml:space="preserve">AAACCTGCCAGTCGATCCGCGAAG</t>
  </si>
  <si>
    <t xml:space="preserve">GGCAACGTTGAGCCGGCGCG</t>
  </si>
  <si>
    <t xml:space="preserve">TAGTGGCAACGTTGAGCCGGCGCG</t>
  </si>
  <si>
    <t xml:space="preserve">AAACCGCGCCGGCTCAACGTTGCC</t>
  </si>
  <si>
    <t xml:space="preserve">PST_2865</t>
  </si>
  <si>
    <t xml:space="preserve">AGCCGGTACGGCGAGCAGAC</t>
  </si>
  <si>
    <t xml:space="preserve">TAGTAGCCGGTACGGCGAGCAGAC</t>
  </si>
  <si>
    <t xml:space="preserve">AAACGTCTGCTCGCCGTACCGGCT</t>
  </si>
  <si>
    <t xml:space="preserve">GGACGCGAGCGAGAAAAGCA</t>
  </si>
  <si>
    <t xml:space="preserve">TAGTGGACGCGAGCGAGAAAAGCA</t>
  </si>
  <si>
    <t xml:space="preserve">AAACTGCTTTTCTCGCTCGCGTCC</t>
  </si>
  <si>
    <t xml:space="preserve">GTCGGCGGCAAGACAGGAGT</t>
  </si>
  <si>
    <t xml:space="preserve">TAGTGTCGGCGGCAAGACAGGAGT</t>
  </si>
  <si>
    <t xml:space="preserve">AAACACTCCTGTCTTGCCGCCGAC</t>
  </si>
  <si>
    <t xml:space="preserve">GCGCTCCACCCAGCCCAGCG</t>
  </si>
  <si>
    <t xml:space="preserve">TAGTGCGCTCCACCCAGCCCAGCG</t>
  </si>
  <si>
    <t xml:space="preserve">AAACCGCTGGGCTGGGTGGAGCGC</t>
  </si>
  <si>
    <t xml:space="preserve">PST_2866</t>
  </si>
  <si>
    <t xml:space="preserve">CCGCGTGGCGTTTGCTTGGC</t>
  </si>
  <si>
    <t xml:space="preserve">TAGTCCGCGTGGCGTTTGCTTGGC</t>
  </si>
  <si>
    <t xml:space="preserve">AAACGCCAAGCAAACGCCACGCGG</t>
  </si>
  <si>
    <t xml:space="preserve">TCTAAACGGCGTAGCCGTCT</t>
  </si>
  <si>
    <t xml:space="preserve">TAGTTCTAAACGGCGTAGCCGTCT</t>
  </si>
  <si>
    <t xml:space="preserve">AAACAGACGGCTACGCCGTTTAGA</t>
  </si>
  <si>
    <t xml:space="preserve">GGGACGGGCATCTTGGCAGC</t>
  </si>
  <si>
    <t xml:space="preserve">TAGTGGGACGGGCATCTTGGCAGC</t>
  </si>
  <si>
    <t xml:space="preserve">AAACGCTGCCAAGATGCCCGTCCC</t>
  </si>
  <si>
    <t xml:space="preserve">GCGAGGGGGGCGGTGGTCAT</t>
  </si>
  <si>
    <t xml:space="preserve">TAGTGCGAGGGGGGCGGTGGTCAT</t>
  </si>
  <si>
    <t xml:space="preserve">AAACATGACCACCGCCCCCCTCGC</t>
  </si>
  <si>
    <t xml:space="preserve">PST_2867</t>
  </si>
  <si>
    <t xml:space="preserve">CAGCGCCTTGACACCCTCGA</t>
  </si>
  <si>
    <t xml:space="preserve">TAGTCAGCGCCTTGACACCCTCGA</t>
  </si>
  <si>
    <t xml:space="preserve">AAACTCGAGGGTGTCAAGGCGCTG</t>
  </si>
  <si>
    <t xml:space="preserve">GGTTCGGGATACGCCCGACA</t>
  </si>
  <si>
    <t xml:space="preserve">TAGTGGTTCGGGATACGCCCGACA</t>
  </si>
  <si>
    <t xml:space="preserve">AAACTGTCGGGCGTATCCCGAACC</t>
  </si>
  <si>
    <t xml:space="preserve">CGTCGAAGCCCGCTGCCAGC</t>
  </si>
  <si>
    <t xml:space="preserve">TAGTCGTCGAAGCCCGCTGCCAGC</t>
  </si>
  <si>
    <t xml:space="preserve">AAACGCTGGCAGCGGGCTTCGACG</t>
  </si>
  <si>
    <t xml:space="preserve">GACGGTTCGCTGCACAGGAT</t>
  </si>
  <si>
    <t xml:space="preserve">TAGTGACGGTTCGCTGCACAGGAT</t>
  </si>
  <si>
    <t xml:space="preserve">AAACATCCTGTGCAGCGAACCGTC</t>
  </si>
  <si>
    <t xml:space="preserve">PST_2868</t>
  </si>
  <si>
    <t xml:space="preserve">GGTGGCCAGCTGTCACGCAT</t>
  </si>
  <si>
    <t xml:space="preserve">TAGTGGTGGCCAGCTGTCACGCAT</t>
  </si>
  <si>
    <t xml:space="preserve">AAACATGCGTGACAGCTGGCCACC</t>
  </si>
  <si>
    <t xml:space="preserve">CTTCGCGCAGGCATGCTGCC</t>
  </si>
  <si>
    <t xml:space="preserve">TAGTCTTCGCGCAGGCATGCTGCC</t>
  </si>
  <si>
    <t xml:space="preserve">AAACGGCAGCATGCCTGCGCGAAG</t>
  </si>
  <si>
    <t xml:space="preserve">ACGTGAACTTGCACTGTAGC</t>
  </si>
  <si>
    <t xml:space="preserve">TAGTACGTGAACTTGCACTGTAGC</t>
  </si>
  <si>
    <t xml:space="preserve">AAACGCTACAGTGCAAGTTCACGT</t>
  </si>
  <si>
    <t xml:space="preserve">TGAGCATGGGCCCCTCGCTT</t>
  </si>
  <si>
    <t xml:space="preserve">TAGTTGAGCATGGGCCCCTCGCTT</t>
  </si>
  <si>
    <t xml:space="preserve">AAACAAGCGAGGGGCCCATGCTCA</t>
  </si>
  <si>
    <t xml:space="preserve">PST_2869</t>
  </si>
  <si>
    <t xml:space="preserve">GATTGCCGCCAGAGTGAACT</t>
  </si>
  <si>
    <t xml:space="preserve">TAGTGATTGCCGCCAGAGTGAACT</t>
  </si>
  <si>
    <t xml:space="preserve">AAACAGTTCACTCTGGCGGCAATC</t>
  </si>
  <si>
    <t xml:space="preserve">CAGAAGCGCACCGTAAGCCA</t>
  </si>
  <si>
    <t xml:space="preserve">TAGTCAGAAGCGCACCGTAAGCCA</t>
  </si>
  <si>
    <t xml:space="preserve">AAACTGGCTTACGGTGCGCTTCTG</t>
  </si>
  <si>
    <t xml:space="preserve">GGCGCTGTATTCATCGGGAG</t>
  </si>
  <si>
    <t xml:space="preserve">TAGTGGCGCTGTATTCATCGGGAG</t>
  </si>
  <si>
    <t xml:space="preserve">AAACCTCCCGATGAATACAGCGCC</t>
  </si>
  <si>
    <t xml:space="preserve">CAGGACCTGGGCGGCCACCT</t>
  </si>
  <si>
    <t xml:space="preserve">TAGTCAGGACCTGGGCGGCCACCT</t>
  </si>
  <si>
    <t xml:space="preserve">AAACAGGTGGCCGCCCAGGTCCTG</t>
  </si>
  <si>
    <t xml:space="preserve">PST_2871</t>
  </si>
  <si>
    <t xml:space="preserve">CAGACGATCCAGTGCCGCCC</t>
  </si>
  <si>
    <t xml:space="preserve">TAGTCAGACGATCCAGTGCCGCCC</t>
  </si>
  <si>
    <t xml:space="preserve">AAACGGGCGGCACTGGATCGTCTG</t>
  </si>
  <si>
    <t xml:space="preserve">AAAGCGCGTCCACCCTGCTA</t>
  </si>
  <si>
    <t xml:space="preserve">TAGTAAAGCGCGTCCACCCTGCTA</t>
  </si>
  <si>
    <t xml:space="preserve">AAACTAGCAGGGTGGACGCGCTTT</t>
  </si>
  <si>
    <t xml:space="preserve">CAGCATAGCCAATCCTGCAT</t>
  </si>
  <si>
    <t xml:space="preserve">TAGTCAGCATAGCCAATCCTGCAT</t>
  </si>
  <si>
    <t xml:space="preserve">AAACATGCAGGATTGGCTATGCTG</t>
  </si>
  <si>
    <t xml:space="preserve">CGAAGCCGCCCCGGGAATGG</t>
  </si>
  <si>
    <t xml:space="preserve">TAGTCGAAGCCGCCCCGGGAATGG</t>
  </si>
  <si>
    <t xml:space="preserve">AAACCCATTCCCGGGGCGGCTTCG</t>
  </si>
  <si>
    <t xml:space="preserve">PST_2870</t>
  </si>
  <si>
    <t xml:space="preserve">TGGCGGAGGCGTTGGAGCTC</t>
  </si>
  <si>
    <t xml:space="preserve">TAGTTGGCGGAGGCGTTGGAGCTC</t>
  </si>
  <si>
    <t xml:space="preserve">AAACGAGCTCCAACGCCTCCGCCA</t>
  </si>
  <si>
    <t xml:space="preserve">CCAGGCGCAGGGCTGTGGAA</t>
  </si>
  <si>
    <t xml:space="preserve">TAGTCCAGGCGCAGGGCTGTGGAA</t>
  </si>
  <si>
    <t xml:space="preserve">AAACTTCCACAGCCCTGCGCCTGG</t>
  </si>
  <si>
    <t xml:space="preserve">GACTTCGGCGAAGCAGGGTG</t>
  </si>
  <si>
    <t xml:space="preserve">TAGTGACTTCGGCGAAGCAGGGTG</t>
  </si>
  <si>
    <t xml:space="preserve">AAACCACCCTGCTTCGCCGAAGTC</t>
  </si>
  <si>
    <t xml:space="preserve">TCGCTCGGCGAGCTGGCTCT</t>
  </si>
  <si>
    <t xml:space="preserve">TAGTTCGCTCGGCGAGCTGGCTCT</t>
  </si>
  <si>
    <t xml:space="preserve">AAACAGAGCCAGCTCGCCGAGCGA</t>
  </si>
  <si>
    <t xml:space="preserve">PST_2872</t>
  </si>
  <si>
    <t xml:space="preserve">CGCCATTCAGCCGGTAGAAC</t>
  </si>
  <si>
    <t xml:space="preserve">TAGTCGCCATTCAGCCGGTAGAAC</t>
  </si>
  <si>
    <t xml:space="preserve">AAACGTTCTACCGGCTGAATGGCG</t>
  </si>
  <si>
    <t xml:space="preserve">TCCGCCCGCTCACGTAACGG</t>
  </si>
  <si>
    <t xml:space="preserve">TAGTTCCGCCCGCTCACGTAACGG</t>
  </si>
  <si>
    <t xml:space="preserve">AAACCCGTTACGTGAGCGGGCGGA</t>
  </si>
  <si>
    <t xml:space="preserve">CGGCAAAGACGCGGTCGATC</t>
  </si>
  <si>
    <t xml:space="preserve">TAGTCGGCAAAGACGCGGTCGATC</t>
  </si>
  <si>
    <t xml:space="preserve">AAACGATCGACCGCGTCTTTGCCG</t>
  </si>
  <si>
    <t xml:space="preserve">CGGTCGCCCCTCGGCCAACT</t>
  </si>
  <si>
    <t xml:space="preserve">TAGTCGGTCGCCCCTCGGCCAACT</t>
  </si>
  <si>
    <t xml:space="preserve">AAACAGTTGGCCGAGGGGCGACCG</t>
  </si>
  <si>
    <t xml:space="preserve">PST_2873</t>
  </si>
  <si>
    <t xml:space="preserve">ACGCGTCGTGTTCGAGATAT</t>
  </si>
  <si>
    <t xml:space="preserve">TAGTACGCGTCGTGTTCGAGATAT</t>
  </si>
  <si>
    <t xml:space="preserve">AAACATATCTCGAACACGACGCGT</t>
  </si>
  <si>
    <t xml:space="preserve">CGCAACCGCACCATGCAAAG</t>
  </si>
  <si>
    <t xml:space="preserve">TAGTCGCAACCGCACCATGCAAAG</t>
  </si>
  <si>
    <t xml:space="preserve">AAACCTTTGCATGGTGCGGTTGCG</t>
  </si>
  <si>
    <t xml:space="preserve">CATTGGTAAATCCGAGGCAA</t>
  </si>
  <si>
    <t xml:space="preserve">TAGTCATTGGTAAATCCGAGGCAA</t>
  </si>
  <si>
    <t xml:space="preserve">AAACTTGCCTCGGATTTACCAATG</t>
  </si>
  <si>
    <t xml:space="preserve">GACCAGACAGCACGTCACCA</t>
  </si>
  <si>
    <t xml:space="preserve">TAGTGACCAGACAGCACGTCACCA</t>
  </si>
  <si>
    <t xml:space="preserve">AAACTGGTGACGTGCTGTCTGGTC</t>
  </si>
  <si>
    <t xml:space="preserve">PST_2874</t>
  </si>
  <si>
    <t xml:space="preserve">GCTATCGACAGTTGCGCTCA</t>
  </si>
  <si>
    <t xml:space="preserve">TAGTGCTATCGACAGTTGCGCTCA</t>
  </si>
  <si>
    <t xml:space="preserve">AAACTGAGCGCAACTGTCGATAGC</t>
  </si>
  <si>
    <t xml:space="preserve">CGGTCCGGGCGGCGCCGCCC</t>
  </si>
  <si>
    <t xml:space="preserve">TAGTCGGTCCGGGCGGCGCCGCCC</t>
  </si>
  <si>
    <t xml:space="preserve">AAACGGGCGGCGCCGCCCGGACCG</t>
  </si>
  <si>
    <t xml:space="preserve">CACCTGTTGCCGTTCAGCTC</t>
  </si>
  <si>
    <t xml:space="preserve">TAGTCACCTGTTGCCGTTCAGCTC</t>
  </si>
  <si>
    <t xml:space="preserve">AAACGAGCTGAACGGCAACAGGTG</t>
  </si>
  <si>
    <t xml:space="preserve">GAACACCCCCAGCAGATAGC</t>
  </si>
  <si>
    <t xml:space="preserve">TAGTGAACACCCCCAGCAGATAGC</t>
  </si>
  <si>
    <t xml:space="preserve">AAACGCTATCTGCTGGGGGTGTTC</t>
  </si>
  <si>
    <t xml:space="preserve">PST_2875</t>
  </si>
  <si>
    <t xml:space="preserve">GAAAAACCTGGGTCAGCGCC</t>
  </si>
  <si>
    <t xml:space="preserve">TAGTGAAAAACCTGGGTCAGCGCC</t>
  </si>
  <si>
    <t xml:space="preserve">AAACGGCGCTGACCCAGGTTTTTC</t>
  </si>
  <si>
    <t xml:space="preserve">CGGCCGTGGTTTCGGCCGTG</t>
  </si>
  <si>
    <t xml:space="preserve">TAGTCGGCCGTGGTTTCGGCCGTG</t>
  </si>
  <si>
    <t xml:space="preserve">AAACCACGGCCGAAACCACGGCCG</t>
  </si>
  <si>
    <t xml:space="preserve">GTCCCAGCCATCGATGTCGT</t>
  </si>
  <si>
    <t xml:space="preserve">TAGTGTCCCAGCCATCGATGTCGT</t>
  </si>
  <si>
    <t xml:space="preserve">AAACACGACATCGATGGCTGGGAC</t>
  </si>
  <si>
    <t xml:space="preserve">CGATCAGCAGGACATGGGCC</t>
  </si>
  <si>
    <t xml:space="preserve">TAGTCGATCAGCAGGACATGGGCC</t>
  </si>
  <si>
    <t xml:space="preserve">AAACGGCCCATGTCCTGCTGATCG</t>
  </si>
  <si>
    <t xml:space="preserve">PST_2876</t>
  </si>
  <si>
    <t xml:space="preserve">GTCAGGGTGCGGCGGTAGCC</t>
  </si>
  <si>
    <t xml:space="preserve">TAGTGTCAGGGTGCGGCGGTAGCC</t>
  </si>
  <si>
    <t xml:space="preserve">AAACGGCTACCGCCGCACCCTGAC</t>
  </si>
  <si>
    <t xml:space="preserve">CAGTGGGTCGTCGATGCGCT</t>
  </si>
  <si>
    <t xml:space="preserve">TAGTCAGTGGGTCGTCGATGCGCT</t>
  </si>
  <si>
    <t xml:space="preserve">AAACAGCGCATCGACGACCCACTG</t>
  </si>
  <si>
    <t xml:space="preserve">CTGGTATGCCGCCAGCCGAG</t>
  </si>
  <si>
    <t xml:space="preserve">TAGTCTGGTATGCCGCCAGCCGAG</t>
  </si>
  <si>
    <t xml:space="preserve">AAACCTCGGCTGGCGGCATACCAG</t>
  </si>
  <si>
    <t xml:space="preserve">GGCCAGCTTGTCCAGCCGTG</t>
  </si>
  <si>
    <t xml:space="preserve">TAGTGGCCAGCTTGTCCAGCCGTG</t>
  </si>
  <si>
    <t xml:space="preserve">AAACCACGGCTGGACAAGCTGGCC</t>
  </si>
  <si>
    <t xml:space="preserve">PST_2877</t>
  </si>
  <si>
    <t xml:space="preserve">algI</t>
  </si>
  <si>
    <t xml:space="preserve">ATAGACAAGCAGCAGCGCAT</t>
  </si>
  <si>
    <t xml:space="preserve">TAGTATAGACAAGCAGCAGCGCAT</t>
  </si>
  <si>
    <t xml:space="preserve">AAACATGCGCTGCTGCTTGTCTAT</t>
  </si>
  <si>
    <t xml:space="preserve">CAGGGTGCTGAAGAGAAAGC</t>
  </si>
  <si>
    <t xml:space="preserve">TAGTCAGGGTGCTGAAGAGAAAGC</t>
  </si>
  <si>
    <t xml:space="preserve">AAACGCTTTCTCTTCAGCACCCTG</t>
  </si>
  <si>
    <t xml:space="preserve">GCGCCAGCCCAGTTCCAGCG</t>
  </si>
  <si>
    <t xml:space="preserve">TAGTGCGCCAGCCCAGTTCCAGCG</t>
  </si>
  <si>
    <t xml:space="preserve">AAACCGCTGGAACTGGGCTGGCGC</t>
  </si>
  <si>
    <t xml:space="preserve">AGAACGAAATGGCCAGCGGC</t>
  </si>
  <si>
    <t xml:space="preserve">TAGTAGAACGAAATGGCCAGCGGC</t>
  </si>
  <si>
    <t xml:space="preserve">AAACGCCGCTGGCCATTTCGTTCT</t>
  </si>
  <si>
    <t xml:space="preserve">PST_2879</t>
  </si>
  <si>
    <t xml:space="preserve">CAGCACCACCGGAAGAAAAC</t>
  </si>
  <si>
    <t xml:space="preserve">TAGTCAGCACCACCGGAAGAAAAC</t>
  </si>
  <si>
    <t xml:space="preserve">AAACGTTTTCTTCCGGTGGTGCTG</t>
  </si>
  <si>
    <t xml:space="preserve">CAACCGTTGTCGGCCCGATC</t>
  </si>
  <si>
    <t xml:space="preserve">TAGTCAACCGTTGTCGGCCCGATC</t>
  </si>
  <si>
    <t xml:space="preserve">AAACGATCGGGCCGACAACGGTTG</t>
  </si>
  <si>
    <t xml:space="preserve">CAGCGAGACGACCGTTAGCC</t>
  </si>
  <si>
    <t xml:space="preserve">TAGTCAGCGAGACGACCGTTAGCC</t>
  </si>
  <si>
    <t xml:space="preserve">AAACGGCTAACGGTCGTCTCGCTG</t>
  </si>
  <si>
    <t xml:space="preserve">ACCAGCAGCGGGACGTAGAC</t>
  </si>
  <si>
    <t xml:space="preserve">TAGTACCAGCAGCGGGACGTAGAC</t>
  </si>
  <si>
    <t xml:space="preserve">AAACGTCTACGTCCCGCTGCTGGT</t>
  </si>
  <si>
    <t xml:space="preserve">PST_2880</t>
  </si>
  <si>
    <t xml:space="preserve">CATCAAGTTCCGCTTTACCG</t>
  </si>
  <si>
    <t xml:space="preserve">TAGTCATCAAGTTCCGCTTTACCG</t>
  </si>
  <si>
    <t xml:space="preserve">AAACCGGTAAAGCGGAACTTGATG</t>
  </si>
  <si>
    <t xml:space="preserve">ACTGCATTCGCAACGGATCG</t>
  </si>
  <si>
    <t xml:space="preserve">TAGTACTGCATTCGCAACGGATCG</t>
  </si>
  <si>
    <t xml:space="preserve">AAACCGATCCGTTGCGAATGCAGT</t>
  </si>
  <si>
    <t xml:space="preserve">ATCTACGGCGGTGTACGCGG</t>
  </si>
  <si>
    <t xml:space="preserve">TAGTATCTACGGCGGTGTACGCGG</t>
  </si>
  <si>
    <t xml:space="preserve">AAACCCGCGTACACCGCCGTAGAT</t>
  </si>
  <si>
    <t xml:space="preserve">CGCCTCGACCTGTTCCTCCG</t>
  </si>
  <si>
    <t xml:space="preserve">TAGTCGCCTCGACCTGTTCCTCCG</t>
  </si>
  <si>
    <t xml:space="preserve">AAACCGGAGGAACAGGTCGAGGCG</t>
  </si>
  <si>
    <t xml:space="preserve">PST_2881</t>
  </si>
  <si>
    <t xml:space="preserve">ATCAGCGGCAGATCGATCAT</t>
  </si>
  <si>
    <t xml:space="preserve">TAGTATCAGCGGCAGATCGATCAT</t>
  </si>
  <si>
    <t xml:space="preserve">AAACATGATCGATCTGCCGCTGAT</t>
  </si>
  <si>
    <t xml:space="preserve">CAGGGACGCGGCTGCGATAA</t>
  </si>
  <si>
    <t xml:space="preserve">TAGTCAGGGACGCGGCTGCGATAA</t>
  </si>
  <si>
    <t xml:space="preserve">AAACTTATCGCAGCCGCGTCCCTG</t>
  </si>
  <si>
    <t xml:space="preserve">CGTGTCCACACCCGGCGTGA</t>
  </si>
  <si>
    <t xml:space="preserve">TAGTCGTGTCCACACCCGGCGTGA</t>
  </si>
  <si>
    <t xml:space="preserve">AAACTCACGCCGGGTGTGGACACG</t>
  </si>
  <si>
    <t xml:space="preserve">CGTGGCCGTCCGCAGCACGA</t>
  </si>
  <si>
    <t xml:space="preserve">TAGTCGTGGCCGTCCGCAGCACGA</t>
  </si>
  <si>
    <t xml:space="preserve">AAACTCGTGCTGCGGACGGCCACG</t>
  </si>
  <si>
    <t xml:space="preserve">PST_2882</t>
  </si>
  <si>
    <t xml:space="preserve">GCCGACGCTGTAGCCCTCGG</t>
  </si>
  <si>
    <t xml:space="preserve">TAGTGCCGACGCTGTAGCCCTCGG</t>
  </si>
  <si>
    <t xml:space="preserve">AAACCCGAGGGCTACAGCGTCGGC</t>
  </si>
  <si>
    <t xml:space="preserve">GGCTCGTCTGGTCAGTGCAA</t>
  </si>
  <si>
    <t xml:space="preserve">TAGTGGCTCGTCTGGTCAGTGCAA</t>
  </si>
  <si>
    <t xml:space="preserve">AAACTTGCACTGACCAGACGAGCC</t>
  </si>
  <si>
    <t xml:space="preserve">TCTCGTCGATGCGCTGTGCC</t>
  </si>
  <si>
    <t xml:space="preserve">TAGTTCTCGTCGATGCGCTGTGCC</t>
  </si>
  <si>
    <t xml:space="preserve">AAACGGCACAGCGCATCGACGAGA</t>
  </si>
  <si>
    <t xml:space="preserve">GCGGCGCTGAGGTTATCCAA</t>
  </si>
  <si>
    <t xml:space="preserve">TAGTGCGGCGCTGAGGTTATCCAA</t>
  </si>
  <si>
    <t xml:space="preserve">AAACTTGGATAACCTCAGCGCCGC</t>
  </si>
  <si>
    <t xml:space="preserve">PST_2883</t>
  </si>
  <si>
    <t xml:space="preserve">GGGAAATGACTGCAACGGCA</t>
  </si>
  <si>
    <t xml:space="preserve">TAGTGGGAAATGACTGCAACGGCA</t>
  </si>
  <si>
    <t xml:space="preserve">AAACTGCCGTTGCAGTCATTTCCC</t>
  </si>
  <si>
    <t xml:space="preserve">ACCAGCGCGCGAAATCCTGG</t>
  </si>
  <si>
    <t xml:space="preserve">TAGTACCAGCGCGCGAAATCCTGG</t>
  </si>
  <si>
    <t xml:space="preserve">AAACCCAGGATTTCGCGCGCTGGT</t>
  </si>
  <si>
    <t xml:space="preserve">CAGCGCCGCGCCGATGCTGC</t>
  </si>
  <si>
    <t xml:space="preserve">TAGTCAGCGCCGCGCCGATGCTGC</t>
  </si>
  <si>
    <t xml:space="preserve">AAACGCAGCATCGGCGCGGCGCTG</t>
  </si>
  <si>
    <t xml:space="preserve">GCAGCGCGGGTCGGCCTGCA</t>
  </si>
  <si>
    <t xml:space="preserve">TAGTGCAGCGCGGGTCGGCCTGCA</t>
  </si>
  <si>
    <t xml:space="preserve">AAACTGCAGGCCGACCCGCGCTGC</t>
  </si>
  <si>
    <t xml:space="preserve">PST_2884</t>
  </si>
  <si>
    <t xml:space="preserve">GAAGCGCGAGGTCAGGAACC</t>
  </si>
  <si>
    <t xml:space="preserve">TAGTGAAGCGCGAGGTCAGGAACC</t>
  </si>
  <si>
    <t xml:space="preserve">AAACGGTTCCTGACCTCGCGCTTC</t>
  </si>
  <si>
    <t xml:space="preserve">GGGCGCGTTCCATTGCCTCG</t>
  </si>
  <si>
    <t xml:space="preserve">TAGTGGGCGCGTTCCATTGCCTCG</t>
  </si>
  <si>
    <t xml:space="preserve">AAACCGAGGCAATGGAACGCGCCC</t>
  </si>
  <si>
    <t xml:space="preserve">ACCGCTTGTGCGGCTTTGAC</t>
  </si>
  <si>
    <t xml:space="preserve">TAGTACCGCTTGTGCGGCTTTGAC</t>
  </si>
  <si>
    <t xml:space="preserve">AAACGTCAAAGCCGCACAAGCGGT</t>
  </si>
  <si>
    <t xml:space="preserve">GGTCATGGCGAACCGGCACG</t>
  </si>
  <si>
    <t xml:space="preserve">TAGTGGTCATGGCGAACCGGCACG</t>
  </si>
  <si>
    <t xml:space="preserve">AAACCGTGCCGGTTCGCCATGACC</t>
  </si>
  <si>
    <t xml:space="preserve">PST_2885</t>
  </si>
  <si>
    <t xml:space="preserve">GAGATCAAGATCGTGGGTAT</t>
  </si>
  <si>
    <t xml:space="preserve">TAGTGAGATCAAGATCGTGGGTAT</t>
  </si>
  <si>
    <t xml:space="preserve">AAACATACCCACGATCTTGATCTC</t>
  </si>
  <si>
    <t xml:space="preserve">GCTGGGCTTCGTCATCCATG</t>
  </si>
  <si>
    <t xml:space="preserve">TAGTGCTGGGCTTCGTCATCCATG</t>
  </si>
  <si>
    <t xml:space="preserve">AAACCATGGATGACGAAGCCCAGC</t>
  </si>
  <si>
    <t xml:space="preserve">CGCCGCCGAGGATGTTGTCC</t>
  </si>
  <si>
    <t xml:space="preserve">TAGTCGCCGCCGAGGATGTTGTCC</t>
  </si>
  <si>
    <t xml:space="preserve">AAACGGACAACATCCTCGGCGGCG</t>
  </si>
  <si>
    <t xml:space="preserve">GATACATGCGGTTGGGGTCC</t>
  </si>
  <si>
    <t xml:space="preserve">TAGTGATACATGCGGTTGGGGTCC</t>
  </si>
  <si>
    <t xml:space="preserve">AAACGGACCCCAACCGCATGTATC</t>
  </si>
  <si>
    <t xml:space="preserve">PST_2886</t>
  </si>
  <si>
    <t xml:space="preserve">GGGCAAAGACGACTACGGTG</t>
  </si>
  <si>
    <t xml:space="preserve">TAGTGGGCAAAGACGACTACGGTG</t>
  </si>
  <si>
    <t xml:space="preserve">AAACCACCGTAGTCGTCTTTGCCC</t>
  </si>
  <si>
    <t xml:space="preserve">GGGGCCGTCCCGACCGATGG</t>
  </si>
  <si>
    <t xml:space="preserve">TAGTGGGGCCGTCCCGACCGATGG</t>
  </si>
  <si>
    <t xml:space="preserve">AAACCCATCGGTCGGGACGGCCCC</t>
  </si>
  <si>
    <t xml:space="preserve">TTGAGCAGCTCGGCCGAGGC</t>
  </si>
  <si>
    <t xml:space="preserve">TAGTTTGAGCAGCTCGGCCGAGGC</t>
  </si>
  <si>
    <t xml:space="preserve">AAACGCCTCGGCCGAGCTGCTCAA</t>
  </si>
  <si>
    <t xml:space="preserve">CCACGGCTTCCATGCCGCTG</t>
  </si>
  <si>
    <t xml:space="preserve">TAGTCCACGGCTTCCATGCCGCTG</t>
  </si>
  <si>
    <t xml:space="preserve">AAACCAGCGGCATGGAAGCCGTGG</t>
  </si>
  <si>
    <t xml:space="preserve">PST_2887</t>
  </si>
  <si>
    <t xml:space="preserve">GCGCAGGCTGCTCGATTGCA</t>
  </si>
  <si>
    <t xml:space="preserve">TAGTGCGCAGGCTGCTCGATTGCA</t>
  </si>
  <si>
    <t xml:space="preserve">AAACTGCAATCGAGCAGCCTGCGC</t>
  </si>
  <si>
    <t xml:space="preserve">CCTCCAGTATCTGCTGCTCG</t>
  </si>
  <si>
    <t xml:space="preserve">TAGTCCTCCAGTATCTGCTGCTCG</t>
  </si>
  <si>
    <t xml:space="preserve">AAACCGAGCAGCAGATACTGGAGG</t>
  </si>
  <si>
    <t xml:space="preserve">AACGCCTGCACCACCTCGGG</t>
  </si>
  <si>
    <t xml:space="preserve">TAGTAACGCCTGCACCACCTCGGG</t>
  </si>
  <si>
    <t xml:space="preserve">AAACCCCGAGGTGGTGCAGGCGTT</t>
  </si>
  <si>
    <t xml:space="preserve">GAAATGCCGGCCCAGCGAGT</t>
  </si>
  <si>
    <t xml:space="preserve">TAGTGAAATGCCGGCCCAGCGAGT</t>
  </si>
  <si>
    <t xml:space="preserve">AAACACTCGCTGGGCCGGCATTTC</t>
  </si>
  <si>
    <t xml:space="preserve">PST_2888</t>
  </si>
  <si>
    <t xml:space="preserve">CCTGGGGCACGGCGGCCGCC</t>
  </si>
  <si>
    <t xml:space="preserve">TAGTCCTGGGGCACGGCGGCCGCC</t>
  </si>
  <si>
    <t xml:space="preserve">AAACGGCGGCCGCCGTGCCCCAGG</t>
  </si>
  <si>
    <t xml:space="preserve">ACTGGGCAACGGCAGCTCGT</t>
  </si>
  <si>
    <t xml:space="preserve">TAGTACTGGGCAACGGCAGCTCGT</t>
  </si>
  <si>
    <t xml:space="preserve">AAACACGAGCTGCCGTTGCCCAGT</t>
  </si>
  <si>
    <t xml:space="preserve">TAATGCCAGAGAAACGCCAC</t>
  </si>
  <si>
    <t xml:space="preserve">TAGTTAATGCCAGAGAAACGCCAC</t>
  </si>
  <si>
    <t xml:space="preserve">AAACGTGGCGTTTCTCTGGCATTA</t>
  </si>
  <si>
    <t xml:space="preserve">AGCAGGCCGCCGAAATGCCA</t>
  </si>
  <si>
    <t xml:space="preserve">TAGTAGCAGGCCGCCGAAATGCCA</t>
  </si>
  <si>
    <t xml:space="preserve">AAACTGGCATTTCGGCGGCCTGCT</t>
  </si>
  <si>
    <t xml:space="preserve">PST_2889</t>
  </si>
  <si>
    <t xml:space="preserve">AACTCTTGAATACAGAGGGG</t>
  </si>
  <si>
    <t xml:space="preserve">TAGTAACTCTTGAATACAGAGGGG</t>
  </si>
  <si>
    <t xml:space="preserve">AAACCCCCTCTGTATTCAAGAGTT</t>
  </si>
  <si>
    <t xml:space="preserve">GGCGGCCGTCGCTGCGGCGA</t>
  </si>
  <si>
    <t xml:space="preserve">TAGTGGCGGCCGTCGCTGCGGCGA</t>
  </si>
  <si>
    <t xml:space="preserve">AAACTCGCCGCAGCGACGGCCGCC</t>
  </si>
  <si>
    <t xml:space="preserve">CATGGCCGGTCGCGGCGAGC</t>
  </si>
  <si>
    <t xml:space="preserve">TAGTCATGGCCGGTCGCGGCGAGC</t>
  </si>
  <si>
    <t xml:space="preserve">AAACGCTCGCCGCGACCGGCCATG</t>
  </si>
  <si>
    <t xml:space="preserve">CGTAGTCGTGCGCGGCCCAG</t>
  </si>
  <si>
    <t xml:space="preserve">TAGTCGTAGTCGTGCGCGGCCCAG</t>
  </si>
  <si>
    <t xml:space="preserve">AAACCTGGGCCGCGCACGACTACG</t>
  </si>
  <si>
    <t xml:space="preserve">PST_2890</t>
  </si>
  <si>
    <t xml:space="preserve">glf</t>
  </si>
  <si>
    <t xml:space="preserve">GTTCCGGGTTGCTGTCCTGC</t>
  </si>
  <si>
    <t xml:space="preserve">TAGTGTTCCGGGTTGCTGTCCTGC</t>
  </si>
  <si>
    <t xml:space="preserve">AAACGCAGGACAGCAACCCGGAAC</t>
  </si>
  <si>
    <t xml:space="preserve">CGCGTCTGCGCGCCTGTGGC</t>
  </si>
  <si>
    <t xml:space="preserve">TAGTCGCGTCTGCGCGCCTGTGGC</t>
  </si>
  <si>
    <t xml:space="preserve">AAACGCCACAGGCGCGCAGACGCG</t>
  </si>
  <si>
    <t xml:space="preserve">CAAAGCCGGCGCCGACGATG</t>
  </si>
  <si>
    <t xml:space="preserve">TAGTCAAAGCCGGCGCCGACGATG</t>
  </si>
  <si>
    <t xml:space="preserve">AAACCATCGTCGGCGCCGGCTTTG</t>
  </si>
  <si>
    <t xml:space="preserve">GCGCTCGGCAAGCACGCTGC</t>
  </si>
  <si>
    <t xml:space="preserve">TAGTGCGCTCGGCAAGCACGCTGC</t>
  </si>
  <si>
    <t xml:space="preserve">AAACGCAGCGTGCTTGCCGAGCGC</t>
  </si>
  <si>
    <t xml:space="preserve">PST_2891</t>
  </si>
  <si>
    <t xml:space="preserve">GATGTCGTATTGGAACGGGC</t>
  </si>
  <si>
    <t xml:space="preserve">TAGTGATGTCGTATTGGAACGGGC</t>
  </si>
  <si>
    <t xml:space="preserve">AAACGCCCGTTCCAATACGACATC</t>
  </si>
  <si>
    <t xml:space="preserve">CGGTACCTGCTGCGCGTTGC</t>
  </si>
  <si>
    <t xml:space="preserve">TAGTCGGTACCTGCTGCGCGTTGC</t>
  </si>
  <si>
    <t xml:space="preserve">AAACGCAACGCGCAGCAGGTACCG</t>
  </si>
  <si>
    <t xml:space="preserve">TCGTCGAAGACCACTTCGGC</t>
  </si>
  <si>
    <t xml:space="preserve">TAGTTCGTCGAAGACCACTTCGGC</t>
  </si>
  <si>
    <t xml:space="preserve">AAACGCCGAAGTGGTCTTCGACGA</t>
  </si>
  <si>
    <t xml:space="preserve">TGCGACAGACACAGCAGGGT</t>
  </si>
  <si>
    <t xml:space="preserve">TAGTTGCGACAGACACAGCAGGGT</t>
  </si>
  <si>
    <t xml:space="preserve">AAACACCCTGCTGTGTCTGTCGCA</t>
  </si>
  <si>
    <t xml:space="preserve">PST_2892</t>
  </si>
  <si>
    <t xml:space="preserve">galE</t>
  </si>
  <si>
    <t xml:space="preserve">CGCGTGTGAGCCGATGTAAC</t>
  </si>
  <si>
    <t xml:space="preserve">TAGTCGCGTGTGAGCCGATGTAAC</t>
  </si>
  <si>
    <t xml:space="preserve">AAACGTTACATCGGCTCACACGCG</t>
  </si>
  <si>
    <t xml:space="preserve">CAGTACCAGCACCTCATGCC</t>
  </si>
  <si>
    <t xml:space="preserve">TAGTCAGTACCAGCACCTCATGCC</t>
  </si>
  <si>
    <t xml:space="preserve">AAACGGCATGAGGTGCTGGTACTG</t>
  </si>
  <si>
    <t xml:space="preserve">CCAGCTGCGAGCTGTTGCAC</t>
  </si>
  <si>
    <t xml:space="preserve">TAGTCCAGCTGCGAGCTGTTGCAC</t>
  </si>
  <si>
    <t xml:space="preserve">AAACGTGCAACAGCTCGCAGCTGG</t>
  </si>
  <si>
    <t xml:space="preserve">GGCCGGCCAGTTGCTCCACG</t>
  </si>
  <si>
    <t xml:space="preserve">TAGTGGCCGGCCAGTTGCTCCACG</t>
  </si>
  <si>
    <t xml:space="preserve">AAACCGTGGAGCAACTGGCCGGCC</t>
  </si>
  <si>
    <t xml:space="preserve">PST_2893</t>
  </si>
  <si>
    <t xml:space="preserve">TGGCTGGGCCTGAGCGGTGA</t>
  </si>
  <si>
    <t xml:space="preserve">TAGTTGGCTGGGCCTGAGCGGTGA</t>
  </si>
  <si>
    <t xml:space="preserve">AAACTCACCGCTCAGGCCCAGCCA</t>
  </si>
  <si>
    <t xml:space="preserve">TCGATTCCATCGAACTCGAG</t>
  </si>
  <si>
    <t xml:space="preserve">TAGTTCGATTCCATCGAACTCGAG</t>
  </si>
  <si>
    <t xml:space="preserve">AAACCTCGAGTTCGATGGAATCGA</t>
  </si>
  <si>
    <t xml:space="preserve">TCCGCCACAGGGGATGTCCC</t>
  </si>
  <si>
    <t xml:space="preserve">TAGTTCCGCCACAGGGGATGTCCC</t>
  </si>
  <si>
    <t xml:space="preserve">AAACGGGACATCCCCTGTGGCGGA</t>
  </si>
  <si>
    <t xml:space="preserve">GCTGATGGTGTTGGCGTTGC</t>
  </si>
  <si>
    <t xml:space="preserve">TAGTGCTGATGGTGTTGGCGTTGC</t>
  </si>
  <si>
    <t xml:space="preserve">AAACGCAACGCCAACACCATCAGC</t>
  </si>
  <si>
    <t xml:space="preserve">PST_2894</t>
  </si>
  <si>
    <t xml:space="preserve">trpI</t>
  </si>
  <si>
    <t xml:space="preserve">GCTCGCAATGCGTTGAGAGG</t>
  </si>
  <si>
    <t xml:space="preserve">TAGTGCTCGCAATGCGTTGAGAGG</t>
  </si>
  <si>
    <t xml:space="preserve">AAACCCTCTCAACGCATTGCGAGC</t>
  </si>
  <si>
    <t xml:space="preserve">CAGCCGGGCGGCAGCCTCGA</t>
  </si>
  <si>
    <t xml:space="preserve">TAGTCAGCCGGGCGGCAGCCTCGA</t>
  </si>
  <si>
    <t xml:space="preserve">AAACTCGAGGCTGCCGCCCGGCTG</t>
  </si>
  <si>
    <t xml:space="preserve">CTGCCGACTGATCGCGCCGT</t>
  </si>
  <si>
    <t xml:space="preserve">TAGTCTGCCGACTGATCGCGCCGT</t>
  </si>
  <si>
    <t xml:space="preserve">AAACACGGCGCGATCAGTCGGCAG</t>
  </si>
  <si>
    <t xml:space="preserve">CGCGCCCTTCCTTGACGAAC</t>
  </si>
  <si>
    <t xml:space="preserve">TAGTCGCGCCCTTCCTTGACGAAC</t>
  </si>
  <si>
    <t xml:space="preserve">AAACGTTCGTCAAGGAAGGGCGCG</t>
  </si>
  <si>
    <t xml:space="preserve">PST_2895</t>
  </si>
  <si>
    <t xml:space="preserve">GTCAGGGCCGTTGCGGTATG</t>
  </si>
  <si>
    <t xml:space="preserve">TAGTGTCAGGGCCGTTGCGGTATG</t>
  </si>
  <si>
    <t xml:space="preserve">AAACCATACCGCAACGGCCCTGAC</t>
  </si>
  <si>
    <t xml:space="preserve">GAAGTGGCCGAACAGGCCCT</t>
  </si>
  <si>
    <t xml:space="preserve">TAGTGAAGTGGCCGAACAGGCCCT</t>
  </si>
  <si>
    <t xml:space="preserve">AAACAGGGCCTGTTCGGCCACTTC</t>
  </si>
  <si>
    <t xml:space="preserve">GATGAGCGGCATCAGCGTTT</t>
  </si>
  <si>
    <t xml:space="preserve">TAGTGATGAGCGGCATCAGCGTTT</t>
  </si>
  <si>
    <t xml:space="preserve">AAACAAACGCTGATGCCGCTCATC</t>
  </si>
  <si>
    <t xml:space="preserve">CTTGGCTTTTTCGTACTCGG</t>
  </si>
  <si>
    <t xml:space="preserve">TAGTCTTGGCTTTTTCGTACTCGG</t>
  </si>
  <si>
    <t xml:space="preserve">AAACCCGAGTACGAAAAAGCCAAG</t>
  </si>
  <si>
    <t xml:space="preserve">PST_2896</t>
  </si>
  <si>
    <t xml:space="preserve">trpA</t>
  </si>
  <si>
    <t xml:space="preserve">CGTCGAAGCGCGTCAGCAGG</t>
  </si>
  <si>
    <t xml:space="preserve">TAGTCGTCGAAGCGCGTCAGCAGG</t>
  </si>
  <si>
    <t xml:space="preserve">AAACCCTGCTGACGCGCTTCGACG</t>
  </si>
  <si>
    <t xml:space="preserve">TGAAGGTCACCAGTGCGGCG</t>
  </si>
  <si>
    <t xml:space="preserve">TAGTTGAAGGTCACCAGTGCGGCG</t>
  </si>
  <si>
    <t xml:space="preserve">AAACCGCCGCACTGGTGACCTTCA</t>
  </si>
  <si>
    <t xml:space="preserve">GGCGTAGTCCGGATCGCCGG</t>
  </si>
  <si>
    <t xml:space="preserve">TAGTGGCGTAGTCCGGATCGCCGG</t>
  </si>
  <si>
    <t xml:space="preserve">AAACCCGGCGATCCGGACTACGCC</t>
  </si>
  <si>
    <t xml:space="preserve">CTTGAGGATCTGCAGCGAGG</t>
  </si>
  <si>
    <t xml:space="preserve">TAGTCTTGAGGATCTGCAGCGAGG</t>
  </si>
  <si>
    <t xml:space="preserve">AAACCCTCGCTGCAGATCCTCAAG</t>
  </si>
  <si>
    <t xml:space="preserve">PST_2897</t>
  </si>
  <si>
    <t xml:space="preserve">GGCGCAAAGGGATTCGTTCA</t>
  </si>
  <si>
    <t xml:space="preserve">TAGTGGCGCAAAGGGATTCGTTCA</t>
  </si>
  <si>
    <t xml:space="preserve">AAACTGAACGAATCCCTTTGCGCC</t>
  </si>
  <si>
    <t xml:space="preserve">CGCGGCGGCTTCGAGATGGC</t>
  </si>
  <si>
    <t xml:space="preserve">TAGTCGCGGCGGCTTCGAGATGGC</t>
  </si>
  <si>
    <t xml:space="preserve">AAACGCCATCTCGAAGCCGCCGCG</t>
  </si>
  <si>
    <t xml:space="preserve">AGCCCGGCGATGTCGATCAG</t>
  </si>
  <si>
    <t xml:space="preserve">TAGTAGCCCGGCGATGTCGATCAG</t>
  </si>
  <si>
    <t xml:space="preserve">AAACCTGATCGACATCGCCGGGCT</t>
  </si>
  <si>
    <t xml:space="preserve">GCGGCGCGCTCGTCGAGATC</t>
  </si>
  <si>
    <t xml:space="preserve">TAGTGCGGCGCGCTCGTCGAGATC</t>
  </si>
  <si>
    <t xml:space="preserve">AAACGATCTCGACGAGCGCGCCGC</t>
  </si>
  <si>
    <t xml:space="preserve">PST_2898</t>
  </si>
  <si>
    <t xml:space="preserve">CGGCCCAGGCCCCGTGGATG</t>
  </si>
  <si>
    <t xml:space="preserve">TAGTCGGCCCAGGCCCCGTGGATG</t>
  </si>
  <si>
    <t xml:space="preserve">AAACCATCCACGGGGCCTGGGCCG</t>
  </si>
  <si>
    <t xml:space="preserve">CGAATCCCAGACCCAGCTAC</t>
  </si>
  <si>
    <t xml:space="preserve">TAGTCGAATCCCAGACCCAGCTAC</t>
  </si>
  <si>
    <t xml:space="preserve">AAACGTAGCTGGGTCTGGGATTCG</t>
  </si>
  <si>
    <t xml:space="preserve">GACCGCATGCGGTCGGTGGC</t>
  </si>
  <si>
    <t xml:space="preserve">TAGTGACCGCATGCGGTCGGTGGC</t>
  </si>
  <si>
    <t xml:space="preserve">AAACGCCACCGACCGCATGCGGTC</t>
  </si>
  <si>
    <t xml:space="preserve">GTGGCGTCGCTGCCGTTGCC</t>
  </si>
  <si>
    <t xml:space="preserve">TAGTGTGGCGTCGCTGCCGTTGCC</t>
  </si>
  <si>
    <t xml:space="preserve">AAACGGCAACGGCAGCGACGCCAC</t>
  </si>
  <si>
    <t xml:space="preserve">PST_2899</t>
  </si>
  <si>
    <t xml:space="preserve">GAGCAGGGTTCTGTTGAACA</t>
  </si>
  <si>
    <t xml:space="preserve">TAGTGAGCAGGGTTCTGTTGAACA</t>
  </si>
  <si>
    <t xml:space="preserve">AAACTGTTCAACAGAACCCTGCTC</t>
  </si>
  <si>
    <t xml:space="preserve">ATTGGCTGAACAGCGCGAGC</t>
  </si>
  <si>
    <t xml:space="preserve">TAGTATTGGCTGAACAGCGCGAGC</t>
  </si>
  <si>
    <t xml:space="preserve">AAACGCTCGCGCTGTTCAGCCAAT</t>
  </si>
  <si>
    <t xml:space="preserve">CACCTTGTCGGCGGCCAGAG</t>
  </si>
  <si>
    <t xml:space="preserve">TAGTCACCTTGTCGGCGGCCAGAG</t>
  </si>
  <si>
    <t xml:space="preserve">AAACCTCTGGCCGCCGACAAGGTG</t>
  </si>
  <si>
    <t xml:space="preserve">ATCGCCGCCTTGTCGCCGGC</t>
  </si>
  <si>
    <t xml:space="preserve">TAGTATCGCCGCCTTGTCGCCGGC</t>
  </si>
  <si>
    <t xml:space="preserve">AAACGCCGGCGACAAGGCGGCGAT</t>
  </si>
  <si>
    <t xml:space="preserve">PST_2900</t>
  </si>
  <si>
    <t xml:space="preserve">GGGCAGGACGGCAGCATTCA</t>
  </si>
  <si>
    <t xml:space="preserve">TAGTGGGCAGGACGGCAGCATTCA</t>
  </si>
  <si>
    <t xml:space="preserve">AAACTGAATGCTGCCGTCCTGCCC</t>
  </si>
  <si>
    <t xml:space="preserve">ATGTTGGGGCGCGGCGTGGT</t>
  </si>
  <si>
    <t xml:space="preserve">TAGTATGTTGGGGCGCGGCGTGGT</t>
  </si>
  <si>
    <t xml:space="preserve">AAACACCACGCCGCGCCCCAACAT</t>
  </si>
  <si>
    <t xml:space="preserve">CATCGGAGGAGGTGAAGACC</t>
  </si>
  <si>
    <t xml:space="preserve">TAGTCATCGGAGGAGGTGAAGACC</t>
  </si>
  <si>
    <t xml:space="preserve">AAACGGTCTTCACCTCCTCCGATG</t>
  </si>
  <si>
    <t xml:space="preserve">GTGGCGGCCGATGTCGAAAC</t>
  </si>
  <si>
    <t xml:space="preserve">TAGTGTGGCGGCCGATGTCGAAAC</t>
  </si>
  <si>
    <t xml:space="preserve">AAACGTTTCGACATCGGCCGCCAC</t>
  </si>
  <si>
    <t xml:space="preserve">PST_2901</t>
  </si>
  <si>
    <t xml:space="preserve">GTCTTCAGGCGATGTGTCCT</t>
  </si>
  <si>
    <t xml:space="preserve">TAGTGTCTTCAGGCGATGTGTCCT</t>
  </si>
  <si>
    <t xml:space="preserve">AAACAGGACACATCGCCTGAAGAC</t>
  </si>
  <si>
    <t xml:space="preserve">GAGCCAGGGCGCGAGGCGAT</t>
  </si>
  <si>
    <t xml:space="preserve">TAGTGAGCCAGGGCGCGAGGCGAT</t>
  </si>
  <si>
    <t xml:space="preserve">AAACATCGCCTCGCGCCCTGGCTC</t>
  </si>
  <si>
    <t xml:space="preserve">CCGCCTCCCAGACCAGCAGC</t>
  </si>
  <si>
    <t xml:space="preserve">TAGTCCGCCTCCCAGACCAGCAGC</t>
  </si>
  <si>
    <t xml:space="preserve">AAACGCTGCTGGTCTGGGAGGCGG</t>
  </si>
  <si>
    <t xml:space="preserve">CGGCAGCGTGAGCAGGCGGC</t>
  </si>
  <si>
    <t xml:space="preserve">TAGTCGGCAGCGTGAGCAGGCGGC</t>
  </si>
  <si>
    <t xml:space="preserve">AAACGCCGCCTGCTCACGCTGCCG</t>
  </si>
  <si>
    <t xml:space="preserve">PST_2902</t>
  </si>
  <si>
    <t xml:space="preserve">GGCGAGATCATCGAGAGGCA</t>
  </si>
  <si>
    <t xml:space="preserve">TAGTGGCGAGATCATCGAGAGGCA</t>
  </si>
  <si>
    <t xml:space="preserve">AAACTGCCTCTCGATGATCTCGCC</t>
  </si>
  <si>
    <t xml:space="preserve">GTCGAAGCTTTTGCGCAGCA</t>
  </si>
  <si>
    <t xml:space="preserve">TAGTGTCGAAGCTTTTGCGCAGCA</t>
  </si>
  <si>
    <t xml:space="preserve">AAACTGCTGCGCAAAAGCTTCGAC</t>
  </si>
  <si>
    <t xml:space="preserve">GGGTGCCGTTTTCCAGCGCG</t>
  </si>
  <si>
    <t xml:space="preserve">TAGTGGGTGCCGTTTTCCAGCGCG</t>
  </si>
  <si>
    <t xml:space="preserve">AAACCGCGCTGGAAAACGGCACCC</t>
  </si>
  <si>
    <t xml:space="preserve">CAGGATGGCGCCAAACGGAT</t>
  </si>
  <si>
    <t xml:space="preserve">TAGTCAGGATGGCGCCAAACGGAT</t>
  </si>
  <si>
    <t xml:space="preserve">AAACATCCGTTTGGCGCCATCCTG</t>
  </si>
  <si>
    <t xml:space="preserve">PST_2903</t>
  </si>
  <si>
    <t xml:space="preserve">TTGCCGGTGATGTTCGACAT</t>
  </si>
  <si>
    <t xml:space="preserve">TAGTTTGCCGGTGATGTTCGACAT</t>
  </si>
  <si>
    <t xml:space="preserve">AAACATGTCGAACATCACCGGCAA</t>
  </si>
  <si>
    <t xml:space="preserve">GGCTTCACCGATGCCGCTGC</t>
  </si>
  <si>
    <t xml:space="preserve">TAGTGGCTTCACCGATGCCGCTGC</t>
  </si>
  <si>
    <t xml:space="preserve">AAACGCAGCGGCATCGGTGAAGCC</t>
  </si>
  <si>
    <t xml:space="preserve">GGCCGCCAGCAGGCGGGCCG</t>
  </si>
  <si>
    <t xml:space="preserve">TAGTGGCCGCCAGCAGGCGGGCCG</t>
  </si>
  <si>
    <t xml:space="preserve">AAACCGGCCCGCCTGCTGGCGGCC</t>
  </si>
  <si>
    <t xml:space="preserve">CCAGCACGACGGTTGCGCCC</t>
  </si>
  <si>
    <t xml:space="preserve">TAGTCCAGCACGACGGTTGCGCCC</t>
  </si>
  <si>
    <t xml:space="preserve">AAACGGGCGCAACCGTCGTGCTGG</t>
  </si>
  <si>
    <t xml:space="preserve">PST_2904</t>
  </si>
  <si>
    <t xml:space="preserve">GTTGCTGGTATGAAGGCTCA</t>
  </si>
  <si>
    <t xml:space="preserve">TAGTGTTGCTGGTATGAAGGCTCA</t>
  </si>
  <si>
    <t xml:space="preserve">AAACTGAGCCTTCATACCAGCAAC</t>
  </si>
  <si>
    <t xml:space="preserve">GGCCAGGTATGCCGCGGCCA</t>
  </si>
  <si>
    <t xml:space="preserve">TAGTGGCCAGGTATGCCGCGGCCA</t>
  </si>
  <si>
    <t xml:space="preserve">AAACTGGCCGCGGCATACCTGGCC</t>
  </si>
  <si>
    <t xml:space="preserve">GTTGCCGGCGGCGTCCAGCG</t>
  </si>
  <si>
    <t xml:space="preserve">TAGTGTTGCCGGCGGCGTCCAGCG</t>
  </si>
  <si>
    <t xml:space="preserve">AAACCGCTGGACGCCGCCGGCAAC</t>
  </si>
  <si>
    <t xml:space="preserve">TGACCGCCATGCCACGCTCG</t>
  </si>
  <si>
    <t xml:space="preserve">TAGTTGACCGCCATGCCACGCTCG</t>
  </si>
  <si>
    <t xml:space="preserve">AAACCGAGCGTGGCATGGCGGTCA</t>
  </si>
  <si>
    <t xml:space="preserve">PST_2905</t>
  </si>
  <si>
    <t xml:space="preserve">CGGCGGAATGAAGGTCCAGT</t>
  </si>
  <si>
    <t xml:space="preserve">TAGTCGGCGGAATGAAGGTCCAGT</t>
  </si>
  <si>
    <t xml:space="preserve">AAACACTGGACCTTCATTCCGCCG</t>
  </si>
  <si>
    <t xml:space="preserve">ACGCTGGGCAATCGTTTCCT</t>
  </si>
  <si>
    <t xml:space="preserve">TAGTACGCTGGGCAATCGTTTCCT</t>
  </si>
  <si>
    <t xml:space="preserve">AAACAGGAAACGATTGCCCAGCGT</t>
  </si>
  <si>
    <t xml:space="preserve">ATCGATCAGCCGCGCCAGGG</t>
  </si>
  <si>
    <t xml:space="preserve">TAGTATCGATCAGCCGCGCCAGGG</t>
  </si>
  <si>
    <t xml:space="preserve">AAACCCCTGGCGCGGCTGATCGAT</t>
  </si>
  <si>
    <t xml:space="preserve">GCATGCCGTCGTCGCGCACG</t>
  </si>
  <si>
    <t xml:space="preserve">TAGTGCATGCCGTCGTCGCGCACG</t>
  </si>
  <si>
    <t xml:space="preserve">AAACCGTGCGCGACGACGGCATGC</t>
  </si>
  <si>
    <t xml:space="preserve">PST_2906</t>
  </si>
  <si>
    <t xml:space="preserve">ATCGACCTGTCGATCCAGCC</t>
  </si>
  <si>
    <t xml:space="preserve">TAGTATCGACCTGTCGATCCAGCC</t>
  </si>
  <si>
    <t xml:space="preserve">AAACGGCTGGATCGACAGGTCGAT</t>
  </si>
  <si>
    <t xml:space="preserve">CAAACAGTACCCAGGCTGCC</t>
  </si>
  <si>
    <t xml:space="preserve">TAGTCAAACAGTACCCAGGCTGCC</t>
  </si>
  <si>
    <t xml:space="preserve">AAACGGCAGCCTGGGTACTGTTTG</t>
  </si>
  <si>
    <t xml:space="preserve">ACCGCGCGCCTCCAGCTCTG</t>
  </si>
  <si>
    <t xml:space="preserve">TAGTACCGCGCGCCTCCAGCTCTG</t>
  </si>
  <si>
    <t xml:space="preserve">AAACCAGAGCTGGAGGCGCGCGGT</t>
  </si>
  <si>
    <t xml:space="preserve">CCTGGCCATGAAGAACCCAG</t>
  </si>
  <si>
    <t xml:space="preserve">TAGTCCTGGCCATGAAGAACCCAG</t>
  </si>
  <si>
    <t xml:space="preserve">AAACCTGGGTTCTTCATGGCCAGG</t>
  </si>
  <si>
    <t xml:space="preserve">PST_2907</t>
  </si>
  <si>
    <t xml:space="preserve">CGCGTTCGCGGGCCTGGGCC</t>
  </si>
  <si>
    <t xml:space="preserve">TAGTCGCGTTCGCGGGCCTGGGCC</t>
  </si>
  <si>
    <t xml:space="preserve">AAACGGCCCAGGCCCGCGAACGCG</t>
  </si>
  <si>
    <t xml:space="preserve">TCTCGAACAGCGAGAAGTGC</t>
  </si>
  <si>
    <t xml:space="preserve">TAGTTCTCGAACAGCGAGAAGTGC</t>
  </si>
  <si>
    <t xml:space="preserve">AAACGCACTTCTCGCTGTTCGAGA</t>
  </si>
  <si>
    <t xml:space="preserve">GGCCTTGGCGCCCAGCGCCA</t>
  </si>
  <si>
    <t xml:space="preserve">TAGTGGCCTTGGCGCCCAGCGCCA</t>
  </si>
  <si>
    <t xml:space="preserve">AAACTGGCGCTGGGCGCCAAGGCC</t>
  </si>
  <si>
    <t xml:space="preserve">CTCCAGCTGCTTCGGCGTAC</t>
  </si>
  <si>
    <t xml:space="preserve">TAGTCTCCAGCTGCTTCGGCGTAC</t>
  </si>
  <si>
    <t xml:space="preserve">AAACGTACGCCGAAGCAGCTGGAG</t>
  </si>
  <si>
    <t xml:space="preserve">PST_2908</t>
  </si>
  <si>
    <t xml:space="preserve">GCCCGTGAAGCCTCGCCACG</t>
  </si>
  <si>
    <t xml:space="preserve">TAGTGCCCGTGAAGCCTCGCCACG</t>
  </si>
  <si>
    <t xml:space="preserve">AAACCGTGGCGAGGCTTCACGGGC</t>
  </si>
  <si>
    <t xml:space="preserve">CAGCGGGGAGCACCAGAGCA</t>
  </si>
  <si>
    <t xml:space="preserve">TAGTCAGCGGGGAGCACCAGAGCA</t>
  </si>
  <si>
    <t xml:space="preserve">AAACTGCTCTGGTGCTCCCCGCTG</t>
  </si>
  <si>
    <t xml:space="preserve">CCAGCGGTGGATGGCCGAGC</t>
  </si>
  <si>
    <t xml:space="preserve">TAGTCCAGCGGTGGATGGCCGAGC</t>
  </si>
  <si>
    <t xml:space="preserve">AAACGCTCGGCCATCCACCGCTGG</t>
  </si>
  <si>
    <t xml:space="preserve">CGCCGTAGAGATCGCCGAGC</t>
  </si>
  <si>
    <t xml:space="preserve">TAGTCGCCGTAGAGATCGCCGAGC</t>
  </si>
  <si>
    <t xml:space="preserve">AAACGCTCGGCGATCTCTACGGCG</t>
  </si>
  <si>
    <t xml:space="preserve">PST_2909</t>
  </si>
  <si>
    <t xml:space="preserve">GTCAGCAGATCCATGTCCAT</t>
  </si>
  <si>
    <t xml:space="preserve">TAGTGTCAGCAGATCCATGTCCAT</t>
  </si>
  <si>
    <t xml:space="preserve">AAACATGGACATGGATCTGCTGAC</t>
  </si>
  <si>
    <t xml:space="preserve">GATCATGGCGTAGAAGATAT</t>
  </si>
  <si>
    <t xml:space="preserve">TAGTGATCATGGCGTAGAAGATAT</t>
  </si>
  <si>
    <t xml:space="preserve">AAACATATCTTCTACGCCATGATC</t>
  </si>
  <si>
    <t xml:space="preserve">GCAGCAGCGGCGTACCGGTG</t>
  </si>
  <si>
    <t xml:space="preserve">TAGTGCAGCAGCGGCGTACCGGTG</t>
  </si>
  <si>
    <t xml:space="preserve">AAACCACCGGTACGCCGCTGCTGC</t>
  </si>
  <si>
    <t xml:space="preserve">TCTCGCACACCAGCTCGCCG</t>
  </si>
  <si>
    <t xml:space="preserve">TAGTTCTCGCACACCAGCTCGCCG</t>
  </si>
  <si>
    <t xml:space="preserve">AAACCGGCGAGCTGGTGTGCGAGA</t>
  </si>
  <si>
    <t xml:space="preserve">PST_2910</t>
  </si>
  <si>
    <t xml:space="preserve">GCCGCGGCGATCAACGCCGC</t>
  </si>
  <si>
    <t xml:space="preserve">TAGTGCCGCGGCGATCAACGCCGC</t>
  </si>
  <si>
    <t xml:space="preserve">AAACGCGGCGTTGATCGCCGCGGC</t>
  </si>
  <si>
    <t xml:space="preserve">CCCCACCGACCAGCCGGCGA</t>
  </si>
  <si>
    <t xml:space="preserve">TAGTCCCCACCGACCAGCCGGCGA</t>
  </si>
  <si>
    <t xml:space="preserve">AAACTCGCCGGCTGGTCGGTGGGG</t>
  </si>
  <si>
    <t xml:space="preserve">CTTGACCGTCACCGTGCGGT</t>
  </si>
  <si>
    <t xml:space="preserve">TAGTCTTGACCGTCACCGTGCGGT</t>
  </si>
  <si>
    <t xml:space="preserve">AAACACCGCACGGTGACGGTCAAG</t>
  </si>
  <si>
    <t xml:space="preserve">TCTTCACGTCCATCTCCGCC</t>
  </si>
  <si>
    <t xml:space="preserve">TAGTTCTTCACGTCCATCTCCGCC</t>
  </si>
  <si>
    <t xml:space="preserve">AAACGGCGGAGATGGACGTGAAGA</t>
  </si>
  <si>
    <t xml:space="preserve">PST_2911</t>
  </si>
  <si>
    <t xml:space="preserve">ACGGCTTCTGCCGGGCGGCT</t>
  </si>
  <si>
    <t xml:space="preserve">TAGTACGGCTTCTGCCGGGCGGCT</t>
  </si>
  <si>
    <t xml:space="preserve">AAACAGCCGCCCGGCAGAAGCCGT</t>
  </si>
  <si>
    <t xml:space="preserve">GGCCGGCGTTTGTCTGCTAC</t>
  </si>
  <si>
    <t xml:space="preserve">TAGTGGCCGGCGTTTGTCTGCTAC</t>
  </si>
  <si>
    <t xml:space="preserve">AAACGTAGCAGACAAACGCCGGCC</t>
  </si>
  <si>
    <t xml:space="preserve">CCCCGGCCATGAAAACCCGC</t>
  </si>
  <si>
    <t xml:space="preserve">TAGTCCCCGGCCATGAAAACCCGC</t>
  </si>
  <si>
    <t xml:space="preserve">AAACGCGGGTTTTCATGGCCGGGG</t>
  </si>
  <si>
    <t xml:space="preserve">CTGCCATTTGGCGATGTCGC</t>
  </si>
  <si>
    <t xml:space="preserve">TAGTCTGCCATTTGGCGATGTCGC</t>
  </si>
  <si>
    <t xml:space="preserve">AAACGCGACATCGCCAAATGGCAG</t>
  </si>
  <si>
    <t xml:space="preserve">PST_2912</t>
  </si>
  <si>
    <t xml:space="preserve">CTGCAGGTTCAGGCTGGGCA</t>
  </si>
  <si>
    <t xml:space="preserve">TAGTCTGCAGGTTCAGGCTGGGCA</t>
  </si>
  <si>
    <t xml:space="preserve">AAACTGCCCAGCCTGAACCTGCAG</t>
  </si>
  <si>
    <t xml:space="preserve">GCCAGCCGATGGCCACACCC</t>
  </si>
  <si>
    <t xml:space="preserve">TAGTGCCAGCCGATGGCCACACCC</t>
  </si>
  <si>
    <t xml:space="preserve">AAACGGGTGTGGCCATCGGCTGGC</t>
  </si>
  <si>
    <t xml:space="preserve">CGCATCGGCCGGCAGCGTAC</t>
  </si>
  <si>
    <t xml:space="preserve">TAGTCGCATCGGCCGGCAGCGTAC</t>
  </si>
  <si>
    <t xml:space="preserve">AAACGTACGCTGCCGGCCGATGCG</t>
  </si>
  <si>
    <t xml:space="preserve">TAGAGCACGCCTTCGCGCAC</t>
  </si>
  <si>
    <t xml:space="preserve">TAGTTAGAGCACGCCTTCGCGCAC</t>
  </si>
  <si>
    <t xml:space="preserve">AAACGTGCGCGAAGGCGTGCTCTA</t>
  </si>
  <si>
    <t xml:space="preserve">PST_2913</t>
  </si>
  <si>
    <t xml:space="preserve">topB</t>
  </si>
  <si>
    <t xml:space="preserve">CAGCAGATGGCCGATGCACC</t>
  </si>
  <si>
    <t xml:space="preserve">TAGTCAGCAGATGGCCGATGCACC</t>
  </si>
  <si>
    <t xml:space="preserve">AAACGGTGCATCGGCCATCTGCTG</t>
  </si>
  <si>
    <t xml:space="preserve">GTCATAGGCGTCCGGCGGGG</t>
  </si>
  <si>
    <t xml:space="preserve">TAGTGTCATAGGCGTCCGGCGGGG</t>
  </si>
  <si>
    <t xml:space="preserve">AAACCCCCGCCGGACGCCTATGAC</t>
  </si>
  <si>
    <t xml:space="preserve">GCACCCAGCGCTTGTAGCGC</t>
  </si>
  <si>
    <t xml:space="preserve">TAGTGCACCCAGCGCTTGTAGCGC</t>
  </si>
  <si>
    <t xml:space="preserve">AAACGCGCTACAAGCGCTGGGTGC</t>
  </si>
  <si>
    <t xml:space="preserve">CTCCGGCACGATCGGCAGGT</t>
  </si>
  <si>
    <t xml:space="preserve">TAGTCTCCGGCACGATCGGCAGGT</t>
  </si>
  <si>
    <t xml:space="preserve">AAACACCTGCCGATCGTGCCGGAG</t>
  </si>
  <si>
    <t xml:space="preserve">PST_2914</t>
  </si>
  <si>
    <t xml:space="preserve">GGCGATGATCTGCTGCTGAA</t>
  </si>
  <si>
    <t xml:space="preserve">TAGTGGCGATGATCTGCTGCTGAA</t>
  </si>
  <si>
    <t xml:space="preserve">AAACTTCAGCAGCAGATCATCGCC</t>
  </si>
  <si>
    <t xml:space="preserve">CTCGCGGTCGGCTTCGAGGG</t>
  </si>
  <si>
    <t xml:space="preserve">TAGTCTCGCGGTCGGCTTCGAGGG</t>
  </si>
  <si>
    <t xml:space="preserve">AAACCCCTCGAAGCCGACCGCGAG</t>
  </si>
  <si>
    <t xml:space="preserve">GGTCGCGGCCAGTACGGCCT</t>
  </si>
  <si>
    <t xml:space="preserve">TAGTGGTCGCGGCCAGTACGGCCT</t>
  </si>
  <si>
    <t xml:space="preserve">AAACAGGCCGTACTGGCCGCGACC</t>
  </si>
  <si>
    <t xml:space="preserve">GGCATGGGTGGCAGCCTCGT</t>
  </si>
  <si>
    <t xml:space="preserve">TAGTGGCATGGGTGGCAGCCTCGT</t>
  </si>
  <si>
    <t xml:space="preserve">AAACACGAGGCTGCCACCCATGCC</t>
  </si>
  <si>
    <t xml:space="preserve">PST_2916</t>
  </si>
  <si>
    <t xml:space="preserve">GCCGTGGCGTCCTGGCGGAT</t>
  </si>
  <si>
    <t xml:space="preserve">TAGTGCCGTGGCGTCCTGGCGGAT</t>
  </si>
  <si>
    <t xml:space="preserve">AAACATCCGCCAGGACGCCACGGC</t>
  </si>
  <si>
    <t xml:space="preserve">GATTTTTGCTGCCCCGACGC</t>
  </si>
  <si>
    <t xml:space="preserve">TAGTGATTTTTGCTGCCCCGACGC</t>
  </si>
  <si>
    <t xml:space="preserve">AAACGCGTCGGGGCAGCAAAAATC</t>
  </si>
  <si>
    <t xml:space="preserve">CACGGCCGCCCGCCTCGCAC</t>
  </si>
  <si>
    <t xml:space="preserve">TAGTCACGGCCGCCCGCCTCGCAC</t>
  </si>
  <si>
    <t xml:space="preserve">AAACGTGCGAGGCGGGCGGCCGTG</t>
  </si>
  <si>
    <t xml:space="preserve">CGGCCGCAGCCCCCATGTGA</t>
  </si>
  <si>
    <t xml:space="preserve">TAGTCGGCCGCAGCCCCCATGTGA</t>
  </si>
  <si>
    <t xml:space="preserve">AAACTCACATGGGGGCTGCGGCCG</t>
  </si>
  <si>
    <t xml:space="preserve">PST_2915</t>
  </si>
  <si>
    <t xml:space="preserve">AAAGACGATCAGCTGTTCGC</t>
  </si>
  <si>
    <t xml:space="preserve">TAGTAAAGACGATCAGCTGTTCGC</t>
  </si>
  <si>
    <t xml:space="preserve">AAACGCGAACAGCTGATCGTCTTT</t>
  </si>
  <si>
    <t xml:space="preserve">GCAATGCCGCGAGGGCGACT</t>
  </si>
  <si>
    <t xml:space="preserve">TAGTGCAATGCCGCGAGGGCGACT</t>
  </si>
  <si>
    <t xml:space="preserve">AAACAGTCGCCCTCGCGGCATTGC</t>
  </si>
  <si>
    <t xml:space="preserve">CACCACGCCGGTCAGCGCGC</t>
  </si>
  <si>
    <t xml:space="preserve">TAGTCACCACGCCGGTCAGCGCGC</t>
  </si>
  <si>
    <t xml:space="preserve">AAACGCGCGCTGACCGGCGTGGTG</t>
  </si>
  <si>
    <t xml:space="preserve">CCGGCGAATACCTCCTCGGG</t>
  </si>
  <si>
    <t xml:space="preserve">TAGTCCGGCGAATACCTCCTCGGG</t>
  </si>
  <si>
    <t xml:space="preserve">AAACCCCGAGGAGGTATTCGCCGG</t>
  </si>
  <si>
    <t xml:space="preserve">PST_2917</t>
  </si>
  <si>
    <t xml:space="preserve">AAAATACGGAGGCGACCTCT</t>
  </si>
  <si>
    <t xml:space="preserve">TAGTAAAATACGGAGGCGACCTCT</t>
  </si>
  <si>
    <t xml:space="preserve">AAACAGAGGTCGCCTCCGTATTTT</t>
  </si>
  <si>
    <t xml:space="preserve">GATCGGAACGAGATGAGACT</t>
  </si>
  <si>
    <t xml:space="preserve">TAGTGATCGGAACGAGATGAGACT</t>
  </si>
  <si>
    <t xml:space="preserve">AAACAGTCTCATCTCGTTCCGATC</t>
  </si>
  <si>
    <t xml:space="preserve">CCGCTCGAGGCAGGGCTAAC</t>
  </si>
  <si>
    <t xml:space="preserve">TAGTCCGCTCGAGGCAGGGCTAAC</t>
  </si>
  <si>
    <t xml:space="preserve">AAACGTTAGCCCTGCCTCGAGCGG</t>
  </si>
  <si>
    <t xml:space="preserve">TACGAGATGCCTCTCGAAGC</t>
  </si>
  <si>
    <t xml:space="preserve">TAGTTACGAGATGCCTCTCGAAGC</t>
  </si>
  <si>
    <t xml:space="preserve">AAACGCTTCGAGAGGCATCTCGTA</t>
  </si>
  <si>
    <t xml:space="preserve">PST_2918</t>
  </si>
  <si>
    <t xml:space="preserve">TGCGGTGGCTGGCGCCGTCA</t>
  </si>
  <si>
    <t xml:space="preserve">TAGTTGCGGTGGCTGGCGCCGTCA</t>
  </si>
  <si>
    <t xml:space="preserve">AAACTGACGGCGCCAGCCACCGCA</t>
  </si>
  <si>
    <t xml:space="preserve">ACGGCTCGGGCGGAAAGGGG</t>
  </si>
  <si>
    <t xml:space="preserve">TAGTACGGCTCGGGCGGAAAGGGG</t>
  </si>
  <si>
    <t xml:space="preserve">AAACCCCCTTTCCGCCCGAGCCGT</t>
  </si>
  <si>
    <t xml:space="preserve">GGCAAAACCGCCCATGGCCA</t>
  </si>
  <si>
    <t xml:space="preserve">TAGTGGCAAAACCGCCCATGGCCA</t>
  </si>
  <si>
    <t xml:space="preserve">AAACTGGCCATGGGCGGTTTTGCC</t>
  </si>
  <si>
    <t xml:space="preserve">GCCCATGATGGCGAACTCGC</t>
  </si>
  <si>
    <t xml:space="preserve">TAGTGCCCATGATGGCGAACTCGC</t>
  </si>
  <si>
    <t xml:space="preserve">AAACGCGAGTTCGCCATCATGGGC</t>
  </si>
  <si>
    <t xml:space="preserve">PST_2919</t>
  </si>
  <si>
    <t xml:space="preserve">AACAGGAAGAAACGCTGCAA</t>
  </si>
  <si>
    <t xml:space="preserve">TAGTAACAGGAAGAAACGCTGCAA</t>
  </si>
  <si>
    <t xml:space="preserve">AAACTTGCAGCGTTTCTTCCTGTT</t>
  </si>
  <si>
    <t xml:space="preserve">CAGCAACAGGCAGAGCCGGC</t>
  </si>
  <si>
    <t xml:space="preserve">TAGTCAGCAACAGGCAGAGCCGGC</t>
  </si>
  <si>
    <t xml:space="preserve">AAACGCCGGCTCTGCCTGTTGCTG</t>
  </si>
  <si>
    <t xml:space="preserve">CGGCAGGCCAACGGCGATCA</t>
  </si>
  <si>
    <t xml:space="preserve">TAGTCGGCAGGCCAACGGCGATCA</t>
  </si>
  <si>
    <t xml:space="preserve">AAACTGATCGCCGTTGGCCTGCCG</t>
  </si>
  <si>
    <t xml:space="preserve">GCGAGCACCGAACAGCCGAC</t>
  </si>
  <si>
    <t xml:space="preserve">TAGTGCGAGCACCGAACAGCCGAC</t>
  </si>
  <si>
    <t xml:space="preserve">AAACGTCGGCTGTTCGGTGCTCGC</t>
  </si>
  <si>
    <t xml:space="preserve">PST_2920</t>
  </si>
  <si>
    <t xml:space="preserve">CGTTCGGCGGCATTCGATGT</t>
  </si>
  <si>
    <t xml:space="preserve">TAGTCGTTCGGCGGCATTCGATGT</t>
  </si>
  <si>
    <t xml:space="preserve">AAACACATCGAATGCCGCCGAACG</t>
  </si>
  <si>
    <t xml:space="preserve">GGCTGCCTTCAGTGCTCGCC</t>
  </si>
  <si>
    <t xml:space="preserve">TAGTGGCTGCCTTCAGTGCTCGCC</t>
  </si>
  <si>
    <t xml:space="preserve">AAACGGCGAGCACTGAAGGCAGCC</t>
  </si>
  <si>
    <t xml:space="preserve">GTCGCGCAATACCGCAGCGC</t>
  </si>
  <si>
    <t xml:space="preserve">TAGTGTCGCGCAATACCGCAGCGC</t>
  </si>
  <si>
    <t xml:space="preserve">AAACGCGCTGCGGTATTGCGCGAC</t>
  </si>
  <si>
    <t xml:space="preserve">AGGCCGGCTGATCCGGTAGT</t>
  </si>
  <si>
    <t xml:space="preserve">TAGTAGGCCGGCTGATCCGGTAGT</t>
  </si>
  <si>
    <t xml:space="preserve">AAACACTACCGGATCAGCCGGCCT</t>
  </si>
  <si>
    <t xml:space="preserve">PST_2921</t>
  </si>
  <si>
    <t xml:space="preserve">CTACGCGGTTGTGCCGAGTC</t>
  </si>
  <si>
    <t xml:space="preserve">TAGTCTACGCGGTTGTGCCGAGTC</t>
  </si>
  <si>
    <t xml:space="preserve">AAACGACTCGGCACAACCGCGTAG</t>
  </si>
  <si>
    <t xml:space="preserve">AGCGCCTGCCTGAAACTCAC</t>
  </si>
  <si>
    <t xml:space="preserve">TAGTAGCGCCTGCCTGAAACTCAC</t>
  </si>
  <si>
    <t xml:space="preserve">AAACGTGAGTTTCAGGCAGGCGCT</t>
  </si>
  <si>
    <t xml:space="preserve">TGATCGCGATCTGCCCGGCC</t>
  </si>
  <si>
    <t xml:space="preserve">TAGTTGATCGCGATCTGCCCGGCC</t>
  </si>
  <si>
    <t xml:space="preserve">AAACGGCCGGGCAGATCGCGATCA</t>
  </si>
  <si>
    <t xml:space="preserve">TGCGTGGAGAAAGCGCCGTT</t>
  </si>
  <si>
    <t xml:space="preserve">TAGTTGCGTGGAGAAAGCGCCGTT</t>
  </si>
  <si>
    <t xml:space="preserve">AAACAACGGCGCTTTCTCCACGCA</t>
  </si>
  <si>
    <t xml:space="preserve">PST_2922</t>
  </si>
  <si>
    <t xml:space="preserve">GGTGAGACAGCTCCGTACAT</t>
  </si>
  <si>
    <t xml:space="preserve">TAGTGGTGAGACAGCTCCGTACAT</t>
  </si>
  <si>
    <t xml:space="preserve">AAACATGTACGGAGCTGTCTCACC</t>
  </si>
  <si>
    <t xml:space="preserve">CACGGGGCGACTCCTCTGTT</t>
  </si>
  <si>
    <t xml:space="preserve">TAGTCACGGGGCGACTCCTCTGTT</t>
  </si>
  <si>
    <t xml:space="preserve">AAACAACAGAGGAGTCGCCCCGTG</t>
  </si>
  <si>
    <t xml:space="preserve">GGCAAGCGCCAGAGCGGACA</t>
  </si>
  <si>
    <t xml:space="preserve">TAGTGGCAAGCGCCAGAGCGGACA</t>
  </si>
  <si>
    <t xml:space="preserve">AAACTGTCCGCTCTGGCGCTTGCC</t>
  </si>
  <si>
    <t xml:space="preserve">CAGGCTCAGGGTTAGGCCGG</t>
  </si>
  <si>
    <t xml:space="preserve">TAGTCAGGCTCAGGGTTAGGCCGG</t>
  </si>
  <si>
    <t xml:space="preserve">AAACCCGGCCTAACCCTGAGCCTG</t>
  </si>
  <si>
    <t xml:space="preserve">PST_2923</t>
  </si>
  <si>
    <t xml:space="preserve">GCCGGCCTGCGGTTCCCTTG</t>
  </si>
  <si>
    <t xml:space="preserve">TAGTGCCGGCCTGCGGTTCCCTTG</t>
  </si>
  <si>
    <t xml:space="preserve">AAACCAAGGGAACCGCAGGCCGGC</t>
  </si>
  <si>
    <t xml:space="preserve">GACTGGTTCATGCCGACACG</t>
  </si>
  <si>
    <t xml:space="preserve">TAGTGACTGGTTCATGCCGACACG</t>
  </si>
  <si>
    <t xml:space="preserve">AAACCGTGTCGGCATGAACCAGTC</t>
  </si>
  <si>
    <t xml:space="preserve">AAATTGGCAAGTAAGGCAAC</t>
  </si>
  <si>
    <t xml:space="preserve">TAGTAAATTGGCAAGTAAGGCAAC</t>
  </si>
  <si>
    <t xml:space="preserve">AAACGTTGCCTTACTTGCCAATTT</t>
  </si>
  <si>
    <t xml:space="preserve">GCATGCCGGCGCCGAAGGCG</t>
  </si>
  <si>
    <t xml:space="preserve">TAGTGCATGCCGGCGCCGAAGGCG</t>
  </si>
  <si>
    <t xml:space="preserve">AAACCGCCTTCGGCGCCGGCATGC</t>
  </si>
  <si>
    <t xml:space="preserve">PST_2924</t>
  </si>
  <si>
    <t xml:space="preserve">AAGACAAGCAACGGGCGCAT</t>
  </si>
  <si>
    <t xml:space="preserve">TAGTAAGACAAGCAACGGGCGCAT</t>
  </si>
  <si>
    <t xml:space="preserve">AAACATGCGCCCGTTGCTTGTCTT</t>
  </si>
  <si>
    <t xml:space="preserve">GCCGGCCAGCGAAAGCAGTG</t>
  </si>
  <si>
    <t xml:space="preserve">TAGTGCCGGCCAGCGAAAGCAGTG</t>
  </si>
  <si>
    <t xml:space="preserve">AAACCACTGCTTTCGCTGGCCGGC</t>
  </si>
  <si>
    <t xml:space="preserve">GGCTCGATGTCCTCGGCATC</t>
  </si>
  <si>
    <t xml:space="preserve">TAGTGGCTCGATGTCCTCGGCATC</t>
  </si>
  <si>
    <t xml:space="preserve">AAACGATGCCGAGGACATCGAGCC</t>
  </si>
  <si>
    <t xml:space="preserve">AGTACCCGCTCGGCCGGCAC</t>
  </si>
  <si>
    <t xml:space="preserve">TAGTAGTACCCGCTCGGCCGGCAC</t>
  </si>
  <si>
    <t xml:space="preserve">AAACGTGCCGGCCGAGCGGGTACT</t>
  </si>
  <si>
    <t xml:space="preserve">PST_2925</t>
  </si>
  <si>
    <t xml:space="preserve">AGCGGGGTTGGTCGTCGTCC</t>
  </si>
  <si>
    <t xml:space="preserve">TAGTAGCGGGGTTGGTCGTCGTCC</t>
  </si>
  <si>
    <t xml:space="preserve">AAACGGACGACGACCAACCCCGCT</t>
  </si>
  <si>
    <t xml:space="preserve">GCGCGCTTCCAGGAAGGGCA</t>
  </si>
  <si>
    <t xml:space="preserve">TAGTGCGCGCTTCCAGGAAGGGCA</t>
  </si>
  <si>
    <t xml:space="preserve">AAACTGCCCTTCCTGGAAGCGCGC</t>
  </si>
  <si>
    <t xml:space="preserve">GACCTTGCGGCCATCGGCGA</t>
  </si>
  <si>
    <t xml:space="preserve">TAGTGACCTTGCGGCCATCGGCGA</t>
  </si>
  <si>
    <t xml:space="preserve">AAACTCGCCGATGGCCGCAAGGTC</t>
  </si>
  <si>
    <t xml:space="preserve">AAAGGTCTCGTGACAGTGCG</t>
  </si>
  <si>
    <t xml:space="preserve">TAGTAAAGGTCTCGTGACAGTGCG</t>
  </si>
  <si>
    <t xml:space="preserve">AAACCGCACTGTCACGAGACCTTT</t>
  </si>
  <si>
    <t xml:space="preserve">PST_2926</t>
  </si>
  <si>
    <t xml:space="preserve">GGAGGACGCCAGGGCGAAGG</t>
  </si>
  <si>
    <t xml:space="preserve">TAGTGGAGGACGCCAGGGCGAAGG</t>
  </si>
  <si>
    <t xml:space="preserve">AAACCCTTCGCCCTGGCGTCCTCC</t>
  </si>
  <si>
    <t xml:space="preserve">ATTGACTGGCCCGGGCGTGA</t>
  </si>
  <si>
    <t xml:space="preserve">TAGTATTGACTGGCCCGGGCGTGA</t>
  </si>
  <si>
    <t xml:space="preserve">AAACTCACGCCCGGGCCAGTCAAT</t>
  </si>
  <si>
    <t xml:space="preserve">GCCGGCGATGTGTCGGCCGC</t>
  </si>
  <si>
    <t xml:space="preserve">TAGTGCCGGCGATGTGTCGGCCGC</t>
  </si>
  <si>
    <t xml:space="preserve">AAACGCGGCCGACACATCGCCGGC</t>
  </si>
  <si>
    <t xml:space="preserve">CAGCAGGGTGAAACCGAGGG</t>
  </si>
  <si>
    <t xml:space="preserve">TAGTCAGCAGGGTGAAACCGAGGG</t>
  </si>
  <si>
    <t xml:space="preserve">AAACCCCTCGGTTTCACCCTGCTG</t>
  </si>
  <si>
    <t xml:space="preserve">PST_2927</t>
  </si>
  <si>
    <t xml:space="preserve">AAGCCGTGACGTTCGCGGCA</t>
  </si>
  <si>
    <t xml:space="preserve">TAGTAAGCCGTGACGTTCGCGGCA</t>
  </si>
  <si>
    <t xml:space="preserve">AAACTGCCGCGAACGTCACGGCTT</t>
  </si>
  <si>
    <t xml:space="preserve">GGCTCGGTATCGATTGGAGG</t>
  </si>
  <si>
    <t xml:space="preserve">TAGTGGCTCGGTATCGATTGGAGG</t>
  </si>
  <si>
    <t xml:space="preserve">AAACCCTCCAATCGATACCGAGCC</t>
  </si>
  <si>
    <t xml:space="preserve">CCTGCCTCGCTTGTCAGTGG</t>
  </si>
  <si>
    <t xml:space="preserve">TAGTCCTGCCTCGCTTGTCAGTGG</t>
  </si>
  <si>
    <t xml:space="preserve">AAACCCACTGACAAGCGAGGCAGG</t>
  </si>
  <si>
    <t xml:space="preserve">GAGTCGGTCATGGTCACGTC</t>
  </si>
  <si>
    <t xml:space="preserve">TAGTGAGTCGGTCATGGTCACGTC</t>
  </si>
  <si>
    <t xml:space="preserve">AAACGACGTGACCATGACCGACTC</t>
  </si>
  <si>
    <t xml:space="preserve">PST_2928</t>
  </si>
  <si>
    <t xml:space="preserve">CTGCACCGGCTTCGGACCAC</t>
  </si>
  <si>
    <t xml:space="preserve">TAGTCTGCACCGGCTTCGGACCAC</t>
  </si>
  <si>
    <t xml:space="preserve">AAACGTGGTCCGAAGCCGGTGCAG</t>
  </si>
  <si>
    <t xml:space="preserve">GCTGCGACGGGCGTGTTGTG</t>
  </si>
  <si>
    <t xml:space="preserve">TAGTGCTGCGACGGGCGTGTTGTG</t>
  </si>
  <si>
    <t xml:space="preserve">AAACCACAACACGCCCGTCGCAGC</t>
  </si>
  <si>
    <t xml:space="preserve">TACATTCGACGCTATCGGCT</t>
  </si>
  <si>
    <t xml:space="preserve">TAGTTACATTCGACGCTATCGGCT</t>
  </si>
  <si>
    <t xml:space="preserve">AAACAGCCGATAGCGTCGAATGTA</t>
  </si>
  <si>
    <t xml:space="preserve">GACCGAGCAGAAAGGATGGA</t>
  </si>
  <si>
    <t xml:space="preserve">TAGTGACCGAGCAGAAAGGATGGA</t>
  </si>
  <si>
    <t xml:space="preserve">AAACTCCATCCTTTCTGCTCGGTC</t>
  </si>
  <si>
    <t xml:space="preserve">PST_2929</t>
  </si>
  <si>
    <t xml:space="preserve">TTGTGGGGTGAGTGTCTGCA</t>
  </si>
  <si>
    <t xml:space="preserve">TAGTTTGTGGGGTGAGTGTCTGCA</t>
  </si>
  <si>
    <t xml:space="preserve">AAACTGCAGACACTCACCCCACAA</t>
  </si>
  <si>
    <t xml:space="preserve">GTTTTCGAGAATGGCCGCGC</t>
  </si>
  <si>
    <t xml:space="preserve">TAGTGTTTTCGAGAATGGCCGCGC</t>
  </si>
  <si>
    <t xml:space="preserve">AAACGCGCGGCCATTCTCGAAAAC</t>
  </si>
  <si>
    <t xml:space="preserve">GGGTGCATTCCAGAGCGTCC</t>
  </si>
  <si>
    <t xml:space="preserve">TAGTGGGTGCATTCCAGAGCGTCC</t>
  </si>
  <si>
    <t xml:space="preserve">AAACGGACGCTCTGGAATGCACCC</t>
  </si>
  <si>
    <t xml:space="preserve">ATATTCGTCGGGGCGGTAGA</t>
  </si>
  <si>
    <t xml:space="preserve">TAGTATATTCGTCGGGGCGGTAGA</t>
  </si>
  <si>
    <t xml:space="preserve">AAACTCTACCGCCCCGACGAATAT</t>
  </si>
  <si>
    <t xml:space="preserve">PST_2930</t>
  </si>
  <si>
    <t xml:space="preserve">CCGCGAAACCGGTGACTGCC</t>
  </si>
  <si>
    <t xml:space="preserve">TAGTCCGCGAAACCGGTGACTGCC</t>
  </si>
  <si>
    <t xml:space="preserve">AAACGGCAGTCACCGGTTTCGCGG</t>
  </si>
  <si>
    <t xml:space="preserve">CGCGACGATGTACAGCAGGG</t>
  </si>
  <si>
    <t xml:space="preserve">TAGTCGCGACGATGTACAGCAGGG</t>
  </si>
  <si>
    <t xml:space="preserve">AAACCCCTGCTGTACATCGTCGCG</t>
  </si>
  <si>
    <t xml:space="preserve">CGGGTGAACGGTCTCGAAAC</t>
  </si>
  <si>
    <t xml:space="preserve">TAGTCGGGTGAACGGTCTCGAAAC</t>
  </si>
  <si>
    <t xml:space="preserve">AAACGTTTCGAGACCGTTCACCCG</t>
  </si>
  <si>
    <t xml:space="preserve">GAGGCGACATAGCCCCAGGC</t>
  </si>
  <si>
    <t xml:space="preserve">TAGTGAGGCGACATAGCCCCAGGC</t>
  </si>
  <si>
    <t xml:space="preserve">AAACGCCTGGGGCTATGTCGCCTC</t>
  </si>
  <si>
    <t xml:space="preserve">PST_2931</t>
  </si>
  <si>
    <t xml:space="preserve">GGCCGGCGGCGGGGCCATTC</t>
  </si>
  <si>
    <t xml:space="preserve">TAGTGGCCGGCGGCGGGGCCATTC</t>
  </si>
  <si>
    <t xml:space="preserve">AAACGAATGGCCCCGCCGCCGGCC</t>
  </si>
  <si>
    <t xml:space="preserve">CGATCACACCGAGCACCGGG</t>
  </si>
  <si>
    <t xml:space="preserve">TAGTCGATCACACCGAGCACCGGG</t>
  </si>
  <si>
    <t xml:space="preserve">AAACCCCGGTGCTCGGTGTGATCG</t>
  </si>
  <si>
    <t xml:space="preserve">TGCGATCGCCGGCACACACC</t>
  </si>
  <si>
    <t xml:space="preserve">TAGTTGCGATCGCCGGCACACACC</t>
  </si>
  <si>
    <t xml:space="preserve">AAACGGTGTGTGCCGGCGATCGCA</t>
  </si>
  <si>
    <t xml:space="preserve">CGACACCGGAAGGCCCGAGC</t>
  </si>
  <si>
    <t xml:space="preserve">TAGTCGACACCGGAAGGCCCGAGC</t>
  </si>
  <si>
    <t xml:space="preserve">AAACGCTCGGGCCTTCCGGTGTCG</t>
  </si>
  <si>
    <t xml:space="preserve">PST_2932</t>
  </si>
  <si>
    <t xml:space="preserve">CAACGGCAGCGCCACCCAGC</t>
  </si>
  <si>
    <t xml:space="preserve">TAGTCAACGGCAGCGCCACCCAGC</t>
  </si>
  <si>
    <t xml:space="preserve">AAACGCTGGGTGGCGCTGCCGTTG</t>
  </si>
  <si>
    <t xml:space="preserve">CTGCACCACCAGTGCGATGC</t>
  </si>
  <si>
    <t xml:space="preserve">TAGTCTGCACCACCAGTGCGATGC</t>
  </si>
  <si>
    <t xml:space="preserve">AAACGCATCGCACTGGTGGTGCAG</t>
  </si>
  <si>
    <t xml:space="preserve">GCGGCGGGCGTGGGCAGCAA</t>
  </si>
  <si>
    <t xml:space="preserve">TAGTGCGGCGGGCGTGGGCAGCAA</t>
  </si>
  <si>
    <t xml:space="preserve">AAACTTGCTGCCCACGCCCGCCGC</t>
  </si>
  <si>
    <t xml:space="preserve">GCTCTGCAGCGCTTGCCAGA</t>
  </si>
  <si>
    <t xml:space="preserve">TAGTGCTCTGCAGCGCTTGCCAGA</t>
  </si>
  <si>
    <t xml:space="preserve">AAACTCTGGCAAGCGCTGCAGAGC</t>
  </si>
  <si>
    <t xml:space="preserve">PST_2933</t>
  </si>
  <si>
    <t xml:space="preserve">CGAACGAGGACGAGCGTGGG</t>
  </si>
  <si>
    <t xml:space="preserve">TAGTCGAACGAGGACGAGCGTGGG</t>
  </si>
  <si>
    <t xml:space="preserve">AAACCCCACGCTCGTCCTCGTTCG</t>
  </si>
  <si>
    <t xml:space="preserve">CGCTGAAGGCATGCTGTATA</t>
  </si>
  <si>
    <t xml:space="preserve">TAGTCGCTGAAGGCATGCTGTATA</t>
  </si>
  <si>
    <t xml:space="preserve">AAACTATACAGCATGCCTTCAGCG</t>
  </si>
  <si>
    <t xml:space="preserve">GCGGGCGCACCAGGGCAGCA</t>
  </si>
  <si>
    <t xml:space="preserve">TAGTGCGGGCGCACCAGGGCAGCA</t>
  </si>
  <si>
    <t xml:space="preserve">AAACTGCTGCCCTGGTGCGCCCGC</t>
  </si>
  <si>
    <t xml:space="preserve">GGTGAGCACCGGCAACGTCT</t>
  </si>
  <si>
    <t xml:space="preserve">TAGTGGTGAGCACCGGCAACGTCT</t>
  </si>
  <si>
    <t xml:space="preserve">AAACAGACGTTGCCGGTGCTCACC</t>
  </si>
  <si>
    <t xml:space="preserve">PST_2934</t>
  </si>
  <si>
    <t xml:space="preserve">TAGGTCGTGGTCAGGGACAC</t>
  </si>
  <si>
    <t xml:space="preserve">TAGTTAGGTCGTGGTCAGGGACAC</t>
  </si>
  <si>
    <t xml:space="preserve">AAACGTGTCCCTGACCACGACCTA</t>
  </si>
  <si>
    <t xml:space="preserve">ATCTGGGCGAAGATGTTCTG</t>
  </si>
  <si>
    <t xml:space="preserve">TAGTATCTGGGCGAAGATGTTCTG</t>
  </si>
  <si>
    <t xml:space="preserve">AAACCAGAACATCTTCGCCCAGAT</t>
  </si>
  <si>
    <t xml:space="preserve">CTCGTAGAGCTTGTAGCAGG</t>
  </si>
  <si>
    <t xml:space="preserve">TAGTCTCGTAGAGCTTGTAGCAGG</t>
  </si>
  <si>
    <t xml:space="preserve">AAACCCTGCTACAAGCTCTACGAG</t>
  </si>
  <si>
    <t xml:space="preserve">GCGTGTGGCCGAAGGACTGC</t>
  </si>
  <si>
    <t xml:space="preserve">TAGTGCGTGTGGCCGAAGGACTGC</t>
  </si>
  <si>
    <t xml:space="preserve">AAACGCAGTCCTTCGGCCACACGC</t>
  </si>
  <si>
    <t xml:space="preserve">PST_2935</t>
  </si>
  <si>
    <t xml:space="preserve">cpg2</t>
  </si>
  <si>
    <t xml:space="preserve">TAAGCTCAGAGCCTCGCCGT</t>
  </si>
  <si>
    <t xml:space="preserve">TAGTTAAGCTCAGAGCCTCGCCGT</t>
  </si>
  <si>
    <t xml:space="preserve">AAACACGGCGAGGCTCTGAGCTTA</t>
  </si>
  <si>
    <t xml:space="preserve">AGACCTCGGATCGCGGGGGG</t>
  </si>
  <si>
    <t xml:space="preserve">TAGTAGACCTCGGATCGCGGGGGG</t>
  </si>
  <si>
    <t xml:space="preserve">AAACCCCCCCGCGATCCGAGGTCT</t>
  </si>
  <si>
    <t xml:space="preserve">CGATGGCGCGGACGTGCATC</t>
  </si>
  <si>
    <t xml:space="preserve">TAGTCGATGGCGCGGACGTGCATC</t>
  </si>
  <si>
    <t xml:space="preserve">AAACGATGCACGTCCGCGCCATCG</t>
  </si>
  <si>
    <t xml:space="preserve">TGCGACTGCGGCGGCAAGCG</t>
  </si>
  <si>
    <t xml:space="preserve">TAGTTGCGACTGCGGCGGCAAGCG</t>
  </si>
  <si>
    <t xml:space="preserve">AAACCGCTTGCCGCCGCAGTCGCA</t>
  </si>
  <si>
    <t xml:space="preserve">PST_2936</t>
  </si>
  <si>
    <t xml:space="preserve">GACGAGCAGCTGTTCGATCC</t>
  </si>
  <si>
    <t xml:space="preserve">TAGTGACGAGCAGCTGTTCGATCC</t>
  </si>
  <si>
    <t xml:space="preserve">AAACGGATCGAACAGCTGCTCGTC</t>
  </si>
  <si>
    <t xml:space="preserve">GCCGGGGCGGGTGAAGGGCA</t>
  </si>
  <si>
    <t xml:space="preserve">TAGTGCCGGGGCGGGTGAAGGGCA</t>
  </si>
  <si>
    <t xml:space="preserve">AAACTGCCCTTCACCCGCCCCGGC</t>
  </si>
  <si>
    <t xml:space="preserve">GGCAGTGGGCTGCTTGGCGA</t>
  </si>
  <si>
    <t xml:space="preserve">TAGTGGCAGTGGGCTGCTTGGCGA</t>
  </si>
  <si>
    <t xml:space="preserve">AAACTCGCCAAGCAGCCCACTGCC</t>
  </si>
  <si>
    <t xml:space="preserve">CCTTCGCTGCCGACCGCCAC</t>
  </si>
  <si>
    <t xml:space="preserve">TAGTCCTTCGCTGCCGACCGCCAC</t>
  </si>
  <si>
    <t xml:space="preserve">AAACGTGGCGGTCGGCAGCGAAGG</t>
  </si>
  <si>
    <t xml:space="preserve">PST_2937</t>
  </si>
  <si>
    <t xml:space="preserve">GGGCGCAGAGGGTGGCGAGG</t>
  </si>
  <si>
    <t xml:space="preserve">TAGTGGGCGCAGAGGGTGGCGAGG</t>
  </si>
  <si>
    <t xml:space="preserve">AAACCCTCGCCACCCTCTGCGCCC</t>
  </si>
  <si>
    <t xml:space="preserve">CGGTGCAGGCGAACAGCGCC</t>
  </si>
  <si>
    <t xml:space="preserve">TAGTCGGTGCAGGCGAACAGCGCC</t>
  </si>
  <si>
    <t xml:space="preserve">AAACGGCGCTGTTCGCCTGCACCG</t>
  </si>
  <si>
    <t xml:space="preserve">TACCTCGACCTTGGCGTGGG</t>
  </si>
  <si>
    <t xml:space="preserve">TAGTTACCTCGACCTTGGCGTGGG</t>
  </si>
  <si>
    <t xml:space="preserve">AAACCCCACGCCAAGGTCGAGGTA</t>
  </si>
  <si>
    <t xml:space="preserve">CCCTGGTCCTCGTGCTCCAG</t>
  </si>
  <si>
    <t xml:space="preserve">TAGTCCCTGGTCCTCGTGCTCCAG</t>
  </si>
  <si>
    <t xml:space="preserve">AAACCTGGAGCACGAGGACCAGGG</t>
  </si>
  <si>
    <t xml:space="preserve">PST_2938</t>
  </si>
  <si>
    <t xml:space="preserve">CAGCCGTGGCAGGTACGGCT</t>
  </si>
  <si>
    <t xml:space="preserve">TAGTCAGCCGTGGCAGGTACGGCT</t>
  </si>
  <si>
    <t xml:space="preserve">AAACAGCCGTACCTGCCACGGCTG</t>
  </si>
  <si>
    <t xml:space="preserve">ATCAAGGTGGTTGCCAGCCA</t>
  </si>
  <si>
    <t xml:space="preserve">TAGTATCAAGGTGGTTGCCAGCCA</t>
  </si>
  <si>
    <t xml:space="preserve">AAACTGGCTGGCAACCACCTTGAT</t>
  </si>
  <si>
    <t xml:space="preserve">CAGATGCGCGGCCAGCACAA</t>
  </si>
  <si>
    <t xml:space="preserve">TAGTCAGATGCGCGGCCAGCACAA</t>
  </si>
  <si>
    <t xml:space="preserve">AAACTTGTGCTGGCCGCGCATCTG</t>
  </si>
  <si>
    <t xml:space="preserve">CAGCGGCAAGGGGTTGAAGC</t>
  </si>
  <si>
    <t xml:space="preserve">TAGTCAGCGGCAAGGGGTTGAAGC</t>
  </si>
  <si>
    <t xml:space="preserve">AAACGCTTCAACCCCTTGCCGCTG</t>
  </si>
  <si>
    <t xml:space="preserve">PST_2939</t>
  </si>
  <si>
    <t xml:space="preserve">ATCATCACCATGAAACGCAT</t>
  </si>
  <si>
    <t xml:space="preserve">TAGTATCATCACCATGAAACGCAT</t>
  </si>
  <si>
    <t xml:space="preserve">AAACATGCGTTTCATGGTGATGAT</t>
  </si>
  <si>
    <t xml:space="preserve">GCCGGCTTCGGTTTGCGGCG</t>
  </si>
  <si>
    <t xml:space="preserve">TAGTGCCGGCTTCGGTTTGCGGCG</t>
  </si>
  <si>
    <t xml:space="preserve">AAACCGCCGCAAACCGAAGCCGGC</t>
  </si>
  <si>
    <t xml:space="preserve">GCACGTCCTCGCCGGGCATC</t>
  </si>
  <si>
    <t xml:space="preserve">TAGTGCACGTCCTCGCCGGGCATC</t>
  </si>
  <si>
    <t xml:space="preserve">AAACGATGCCCGGCGAGGACGTGC</t>
  </si>
  <si>
    <t xml:space="preserve">TTCTTCGTTGTAGCGACCCA</t>
  </si>
  <si>
    <t xml:space="preserve">TAGTTTCTTCGTTGTAGCGACCCA</t>
  </si>
  <si>
    <t xml:space="preserve">AAACTGGGTCGCTACAACGAAGAA</t>
  </si>
  <si>
    <t xml:space="preserve">PST_2940</t>
  </si>
  <si>
    <t xml:space="preserve">GCCGTCATAGGTGAGGTAGG</t>
  </si>
  <si>
    <t xml:space="preserve">TAGTGCCGTCATAGGTGAGGTAGG</t>
  </si>
  <si>
    <t xml:space="preserve">AAACCCTACCTCACCTATGACGGC</t>
  </si>
  <si>
    <t xml:space="preserve">GTAGAAGGTGAAGGCCTCGC</t>
  </si>
  <si>
    <t xml:space="preserve">TAGTGTAGAAGGTGAAGGCCTCGC</t>
  </si>
  <si>
    <t xml:space="preserve">AAACGCGAGGCCTTCACCTTCTAC</t>
  </si>
  <si>
    <t xml:space="preserve">GGGTCCCGCCCAGTACCTGC</t>
  </si>
  <si>
    <t xml:space="preserve">TAGTGGGTCCCGCCCAGTACCTGC</t>
  </si>
  <si>
    <t xml:space="preserve">AAACGCAGGTACTGGGCGGGACCC</t>
  </si>
  <si>
    <t xml:space="preserve">GGCGAAGGTCATCAGCTCCA</t>
  </si>
  <si>
    <t xml:space="preserve">TAGTGGCGAAGGTCATCAGCTCCA</t>
  </si>
  <si>
    <t xml:space="preserve">AAACTGGAGCTGATGACCTTCGCC</t>
  </si>
  <si>
    <t xml:space="preserve">PST_2941</t>
  </si>
  <si>
    <t xml:space="preserve">GGGCGAGGTCAGGTCGGGGG</t>
  </si>
  <si>
    <t xml:space="preserve">TAGTGGGCGAGGTCAGGTCGGGGG</t>
  </si>
  <si>
    <t xml:space="preserve">AAACCCCCCGACCTGACCTCGCCC</t>
  </si>
  <si>
    <t xml:space="preserve">GATTGAAGGCGCGCCGCAAC</t>
  </si>
  <si>
    <t xml:space="preserve">TAGTGATTGAAGGCGCGCCGCAAC</t>
  </si>
  <si>
    <t xml:space="preserve">AAACGTTGCGGCGCGCCTTCAATC</t>
  </si>
  <si>
    <t xml:space="preserve">GCAGCATGAACAGAATCACC</t>
  </si>
  <si>
    <t xml:space="preserve">TAGTGCAGCATGAACAGAATCACC</t>
  </si>
  <si>
    <t xml:space="preserve">AAACGGTGATTCTGTTCATGCTGC</t>
  </si>
  <si>
    <t xml:space="preserve">GCAGAAAGGTTTCGCGGACA</t>
  </si>
  <si>
    <t xml:space="preserve">TAGTGCAGAAAGGTTTCGCGGACA</t>
  </si>
  <si>
    <t xml:space="preserve">AAACTGTCCGCGAAACCTTTCTGC</t>
  </si>
  <si>
    <t xml:space="preserve">PST_2942</t>
  </si>
  <si>
    <t xml:space="preserve">GATGGTCAACAGACCAATCA</t>
  </si>
  <si>
    <t xml:space="preserve">TAGTGATGGTCAACAGACCAATCA</t>
  </si>
  <si>
    <t xml:space="preserve">AAACTGATTGGTCTGTTGACCATC</t>
  </si>
  <si>
    <t xml:space="preserve">CTACGAGCAGCAGCACCACC</t>
  </si>
  <si>
    <t xml:space="preserve">TAGTCTACGAGCAGCAGCACCACC</t>
  </si>
  <si>
    <t xml:space="preserve">AAACGGTGGTGCTGCTGCTCGTAG</t>
  </si>
  <si>
    <t xml:space="preserve">ACGAGAATCAGCGGCAGAAT</t>
  </si>
  <si>
    <t xml:space="preserve">TAGTACGAGAATCAGCGGCAGAAT</t>
  </si>
  <si>
    <t xml:space="preserve">AAACATTCTGCCGCTGATTCTCGT</t>
  </si>
  <si>
    <t xml:space="preserve">GCCAGCAAAGCGCCCGCCAG</t>
  </si>
  <si>
    <t xml:space="preserve">TAGTGCCAGCAAAGCGCCCGCCAG</t>
  </si>
  <si>
    <t xml:space="preserve">AAACCTGGCGGGCGCTTTGCTGGC</t>
  </si>
  <si>
    <t xml:space="preserve">PST_2943</t>
  </si>
  <si>
    <t xml:space="preserve">CAATTCGGCCGGCCCGCAGC</t>
  </si>
  <si>
    <t xml:space="preserve">TAGTCAATTCGGCCGGCCCGCAGC</t>
  </si>
  <si>
    <t xml:space="preserve">AAACGCTGCGGGCCGGCCGAATTG</t>
  </si>
  <si>
    <t xml:space="preserve">CCGGGCCGTGCGGGGGCTTA</t>
  </si>
  <si>
    <t xml:space="preserve">TAGTCCGGGCCGTGCGGGGGCTTA</t>
  </si>
  <si>
    <t xml:space="preserve">AAACTAAGCCCCCGCACGGCCCGG</t>
  </si>
  <si>
    <t xml:space="preserve">GTGGCCGACGGTGCCGTGCA</t>
  </si>
  <si>
    <t xml:space="preserve">TAGTGTGGCCGACGGTGCCGTGCA</t>
  </si>
  <si>
    <t xml:space="preserve">AAACTGCACGGCACCGTCGGCCAC</t>
  </si>
  <si>
    <t xml:space="preserve">AAACATTCCGGGTGCCAGCA</t>
  </si>
  <si>
    <t xml:space="preserve">TAGTAAACATTCCGGGTGCCAGCA</t>
  </si>
  <si>
    <t xml:space="preserve">AAACTGCTGGCACCCGGAATGTTT</t>
  </si>
  <si>
    <t xml:space="preserve">PST_2944</t>
  </si>
  <si>
    <t xml:space="preserve">CCGAGAAAGAGCAGGTCCAC</t>
  </si>
  <si>
    <t xml:space="preserve">TAGTCCGAGAAAGAGCAGGTCCAC</t>
  </si>
  <si>
    <t xml:space="preserve">AAACGTGGACCTGCTCTTTCTCGG</t>
  </si>
  <si>
    <t xml:space="preserve">GCGGGTCGGGGTGCCGGACG</t>
  </si>
  <si>
    <t xml:space="preserve">TAGTGCGGGTCGGGGTGCCGGACG</t>
  </si>
  <si>
    <t xml:space="preserve">AAACCGTCCGGCACCCCGACCCGC</t>
  </si>
  <si>
    <t xml:space="preserve">GATCAGGTACCAGGCCTTGC</t>
  </si>
  <si>
    <t xml:space="preserve">TAGTGATCAGGTACCAGGCCTTGC</t>
  </si>
  <si>
    <t xml:space="preserve">AAACGCAAGGCCTGGTACCTGATC</t>
  </si>
  <si>
    <t xml:space="preserve">CGTGCGCAGCAGGCGATGCT</t>
  </si>
  <si>
    <t xml:space="preserve">TAGTCGTGCGCAGCAGGCGATGCT</t>
  </si>
  <si>
    <t xml:space="preserve">AAACAGCATCGCCTGCTGCGCACG</t>
  </si>
  <si>
    <t xml:space="preserve">PST_2945</t>
  </si>
  <si>
    <t xml:space="preserve">CTGGCAGTCAGACGTTCCAT</t>
  </si>
  <si>
    <t xml:space="preserve">TAGTCTGGCAGTCAGACGTTCCAT</t>
  </si>
  <si>
    <t xml:space="preserve">AAACATGGAACGTCTGACTGCCAG</t>
  </si>
  <si>
    <t xml:space="preserve">GTAGAGCTCGAGCAGTTCGG</t>
  </si>
  <si>
    <t xml:space="preserve">TAGTGTAGAGCTCGAGCAGTTCGG</t>
  </si>
  <si>
    <t xml:space="preserve">AAACCCGAACTGCTCGAGCTCTAC</t>
  </si>
  <si>
    <t xml:space="preserve">CGCGGTCGAGGAATTCGCGG</t>
  </si>
  <si>
    <t xml:space="preserve">TAGTCGCGGTCGAGGAATTCGCGG</t>
  </si>
  <si>
    <t xml:space="preserve">AAACCCGCGAATTCCTCGACCGCG</t>
  </si>
  <si>
    <t xml:space="preserve">GCTGCACAGGGTGAAGGCGG</t>
  </si>
  <si>
    <t xml:space="preserve">TAGTGCTGCACAGGGTGAAGGCGG</t>
  </si>
  <si>
    <t xml:space="preserve">AAACCCGCCTTCACCCTGTGCAGC</t>
  </si>
  <si>
    <t xml:space="preserve">PST_2946</t>
  </si>
  <si>
    <t xml:space="preserve">GAGCAGGGTGCTGATAGTCA</t>
  </si>
  <si>
    <t xml:space="preserve">TAGTGAGCAGGGTGCTGATAGTCA</t>
  </si>
  <si>
    <t xml:space="preserve">AAACTGACTATCAGCACCCTGCTC</t>
  </si>
  <si>
    <t xml:space="preserve">CGTCGATCCACAGATCGGTC</t>
  </si>
  <si>
    <t xml:space="preserve">TAGTCGTCGATCCACAGATCGGTC</t>
  </si>
  <si>
    <t xml:space="preserve">AAACGACCGATCTGTGGATCGACG</t>
  </si>
  <si>
    <t xml:space="preserve">GCGGACGAACATCCGGCCGT</t>
  </si>
  <si>
    <t xml:space="preserve">TAGTGCGGACGAACATCCGGCCGT</t>
  </si>
  <si>
    <t xml:space="preserve">AAACACGGCCGGATGTTCGTCCGC</t>
  </si>
  <si>
    <t xml:space="preserve">GGCGCAGCGCGTCGCGCTCC</t>
  </si>
  <si>
    <t xml:space="preserve">TAGTGGCGCAGCGCGTCGCGCTCC</t>
  </si>
  <si>
    <t xml:space="preserve">AAACGGAGCGCGACGCGCTGCGCC</t>
  </si>
  <si>
    <t xml:space="preserve">PST_2947</t>
  </si>
  <si>
    <t xml:space="preserve">GGGAATGACTGCATAGGCTT</t>
  </si>
  <si>
    <t xml:space="preserve">TAGTGGGAATGACTGCATAGGCTT</t>
  </si>
  <si>
    <t xml:space="preserve">AAACAAGCCTATGCAGTCATTCCC</t>
  </si>
  <si>
    <t xml:space="preserve">ATGTCGCGCAGCACGCCCTT</t>
  </si>
  <si>
    <t xml:space="preserve">TAGTATGTCGCGCAGCACGCCCTT</t>
  </si>
  <si>
    <t xml:space="preserve">AAACAAGGGCGTGCTGCGCGACAT</t>
  </si>
  <si>
    <t xml:space="preserve">GTCCCAGAAGGGCAGATGGC</t>
  </si>
  <si>
    <t xml:space="preserve">TAGTGTCCCAGAAGGGCAGATGGC</t>
  </si>
  <si>
    <t xml:space="preserve">AAACGCCATCTGCCCTTCTGGGAC</t>
  </si>
  <si>
    <t xml:space="preserve">GGCGAAGCCGGAAAGCGGAC</t>
  </si>
  <si>
    <t xml:space="preserve">TAGTGGCGAAGCCGGAAAGCGGAC</t>
  </si>
  <si>
    <t xml:space="preserve">AAACGTCCGCTTTCCGGCTTCGCC</t>
  </si>
  <si>
    <t xml:space="preserve">PST_2948</t>
  </si>
  <si>
    <t xml:space="preserve">ftsJ</t>
  </si>
  <si>
    <t xml:space="preserve">TTTCATGATAGAGCCAACCA</t>
  </si>
  <si>
    <t xml:space="preserve">TAGTTTTCATGATAGAGCCAACCA</t>
  </si>
  <si>
    <t xml:space="preserve">AAACTGGTTGGCTCTATCATGAAA</t>
  </si>
  <si>
    <t xml:space="preserve">CAGCCAACGACGGCTGCTTT</t>
  </si>
  <si>
    <t xml:space="preserve">TAGTCAGCCAACGACGGCTGCTTT</t>
  </si>
  <si>
    <t xml:space="preserve">AAACAAAGCAGCCGTCGTTGGCTG</t>
  </si>
  <si>
    <t xml:space="preserve">TTCTGCGCGCGTTTGACGAA</t>
  </si>
  <si>
    <t xml:space="preserve">TAGTTTCTGCGCGCGTTTGACGAA</t>
  </si>
  <si>
    <t xml:space="preserve">AAACTTCGTCAAACGCGCGCAGAA</t>
  </si>
  <si>
    <t xml:space="preserve">CAGCTCGATCAGCTTGTAGC</t>
  </si>
  <si>
    <t xml:space="preserve">TAGTCAGCTCGATCAGCTTGTAGC</t>
  </si>
  <si>
    <t xml:space="preserve">AAACGCTACAAGCTGATCGAGCTG</t>
  </si>
  <si>
    <t xml:space="preserve">PST_2949</t>
  </si>
  <si>
    <t xml:space="preserve">CTGGCCGGTGACTCCGGCAG</t>
  </si>
  <si>
    <t xml:space="preserve">TAGTCTGGCCGGTGACTCCGGCAG</t>
  </si>
  <si>
    <t xml:space="preserve">AAACCTGCCGGAGTCACCGGCCAG</t>
  </si>
  <si>
    <t xml:space="preserve">CAGTTCGGTGATGCGAATCA</t>
  </si>
  <si>
    <t xml:space="preserve">TAGTCAGTTCGGTGATGCGAATCA</t>
  </si>
  <si>
    <t xml:space="preserve">AAACTGATTCGCATCACCGAACTG</t>
  </si>
  <si>
    <t xml:space="preserve">GGCGGGATGATCGAGGGGCA</t>
  </si>
  <si>
    <t xml:space="preserve">TAGTGGCGGGATGATCGAGGGGCA</t>
  </si>
  <si>
    <t xml:space="preserve">AAACTGCCCCTCGATCATCCCGCC</t>
  </si>
  <si>
    <t xml:space="preserve">GATGGCCTCGCGCAGCGCAT</t>
  </si>
  <si>
    <t xml:space="preserve">TAGTGATGGCCTCGCGCAGCGCAT</t>
  </si>
  <si>
    <t xml:space="preserve">AAACATGCGCTGCGCGAGGCCATC</t>
  </si>
  <si>
    <t xml:space="preserve">PST_2950</t>
  </si>
  <si>
    <t xml:space="preserve">ACTCGGCCCGGTACTTTTTC</t>
  </si>
  <si>
    <t xml:space="preserve">TAGTACTCGGCCCGGTACTTTTTC</t>
  </si>
  <si>
    <t xml:space="preserve">AAACGAAAAAGTACCGGGCCGAGT</t>
  </si>
  <si>
    <t xml:space="preserve">CCTGCAGCAGCGGGTTGAGC</t>
  </si>
  <si>
    <t xml:space="preserve">TAGTCCTGCAGCAGCGGGTTGAGC</t>
  </si>
  <si>
    <t xml:space="preserve">AAACGCTCAACCCGCTGCTGCAGG</t>
  </si>
  <si>
    <t xml:space="preserve">CTGCCATTGTTCGTAGGCAT</t>
  </si>
  <si>
    <t xml:space="preserve">TAGTCTGCCATTGTTCGTAGGCAT</t>
  </si>
  <si>
    <t xml:space="preserve">AAACATGCCTACGAACAATGGCAG</t>
  </si>
  <si>
    <t xml:space="preserve">TGATCAGGTGGGTCTTGAAC</t>
  </si>
  <si>
    <t xml:space="preserve">TAGTTGATCAGGTGGGTCTTGAAC</t>
  </si>
  <si>
    <t xml:space="preserve">AAACGTTCAAGACCCACCTGATCA</t>
  </si>
  <si>
    <t xml:space="preserve">PST_2951</t>
  </si>
  <si>
    <t xml:space="preserve">CTGATCGACGGAACGCGAAG</t>
  </si>
  <si>
    <t xml:space="preserve">TAGTCTGATCGACGGAACGCGAAG</t>
  </si>
  <si>
    <t xml:space="preserve">AAACCTTCGCGTTCCGTCGATCAG</t>
  </si>
  <si>
    <t xml:space="preserve">TTCGCGGCCCGCTGATCGGG</t>
  </si>
  <si>
    <t xml:space="preserve">TAGTTTCGCGGCCCGCTGATCGGG</t>
  </si>
  <si>
    <t xml:space="preserve">AAACCCCGATCAGCGGGCCGCGAA</t>
  </si>
  <si>
    <t xml:space="preserve">ATGTCCCGCTGGCTGTGTTC</t>
  </si>
  <si>
    <t xml:space="preserve">TAGTATGTCCCGCTGGCTGTGTTC</t>
  </si>
  <si>
    <t xml:space="preserve">AAACGAACACAGCCAGCGGGACAT</t>
  </si>
  <si>
    <t xml:space="preserve">ACTGTTAACTCGCGCAAAGG</t>
  </si>
  <si>
    <t xml:space="preserve">TAGTACTGTTAACTCGCGCAAAGG</t>
  </si>
  <si>
    <t xml:space="preserve">AAACCCTTTGCGCGAGTTAACAGT</t>
  </si>
  <si>
    <t xml:space="preserve">PST_2952</t>
  </si>
  <si>
    <t xml:space="preserve">TTCTAGCATCCGATGCGTCA</t>
  </si>
  <si>
    <t xml:space="preserve">TAGTTTCTAGCATCCGATGCGTCA</t>
  </si>
  <si>
    <t xml:space="preserve">AAACTGACGCATCGGATGCTAGAA</t>
  </si>
  <si>
    <t xml:space="preserve">CGTTTGTGCAGGCGATAGCC</t>
  </si>
  <si>
    <t xml:space="preserve">TAGTCGTTTGTGCAGGCGATAGCC</t>
  </si>
  <si>
    <t xml:space="preserve">AAACGGCTATCGCCTGCACAAACG</t>
  </si>
  <si>
    <t xml:space="preserve">CCAGGGACAGCTGGGTGGCG</t>
  </si>
  <si>
    <t xml:space="preserve">TAGTCCAGGGACAGCTGGGTGGCG</t>
  </si>
  <si>
    <t xml:space="preserve">AAACCGCCACCCAGCTGTCCCTGG</t>
  </si>
  <si>
    <t xml:space="preserve">TTCGGTAAAGGCCGCATCCT</t>
  </si>
  <si>
    <t xml:space="preserve">TAGTTTCGGTAAAGGCCGCATCCT</t>
  </si>
  <si>
    <t xml:space="preserve">AAACAGGATGCGGCCTTTACCGAA</t>
  </si>
  <si>
    <t xml:space="preserve">PST_2953</t>
  </si>
  <si>
    <t xml:space="preserve">CGGCCAGCCAGACGGGGCTC</t>
  </si>
  <si>
    <t xml:space="preserve">TAGTCGGCCAGCCAGACGGGGCTC</t>
  </si>
  <si>
    <t xml:space="preserve">AAACGAGCCCCGTCTGGCTGGCCG</t>
  </si>
  <si>
    <t xml:space="preserve">GCCGAGGGTGAAACGTTCAT</t>
  </si>
  <si>
    <t xml:space="preserve">TAGTGCCGAGGGTGAAACGTTCAT</t>
  </si>
  <si>
    <t xml:space="preserve">AAACATGAACGTTTCACCCTCGGC</t>
  </si>
  <si>
    <t xml:space="preserve">GACCAGTTTGTTGCTGCGGT</t>
  </si>
  <si>
    <t xml:space="preserve">TAGTGACCAGTTTGTTGCTGCGGT</t>
  </si>
  <si>
    <t xml:space="preserve">AAACACCGCAGCAACAAACTGGTC</t>
  </si>
  <si>
    <t xml:space="preserve">GGCATGGAACGGTTCTATCC</t>
  </si>
  <si>
    <t xml:space="preserve">TAGTGGCATGGAACGGTTCTATCC</t>
  </si>
  <si>
    <t xml:space="preserve">AAACGGATAGAACCGTTCCATGCC</t>
  </si>
  <si>
    <t xml:space="preserve">PST_2954</t>
  </si>
  <si>
    <t xml:space="preserve">rarD-2</t>
  </si>
  <si>
    <t xml:space="preserve">CATGGCTCGATCCAGATGAA</t>
  </si>
  <si>
    <t xml:space="preserve">TAGTCATGGCTCGATCCAGATGAA</t>
  </si>
  <si>
    <t xml:space="preserve">AAACTTCATCTGGATCGAGCCATG</t>
  </si>
  <si>
    <t xml:space="preserve">CCACGCCCGGCAGGCTGTTG</t>
  </si>
  <si>
    <t xml:space="preserve">TAGTCCACGCCCGGCAGGCTGTTG</t>
  </si>
  <si>
    <t xml:space="preserve">AAACCAACAGCCTGCCGGGCGTGG</t>
  </si>
  <si>
    <t xml:space="preserve">CGCCGAGGCGCCGAGCGAAC</t>
  </si>
  <si>
    <t xml:space="preserve">TAGTCGCCGAGGCGCCGAGCGAAC</t>
  </si>
  <si>
    <t xml:space="preserve">AAACGTTCGCTCGGCGCCTCGGCG</t>
  </si>
  <si>
    <t xml:space="preserve">CGTGGTGTAGTAGTACAGCG</t>
  </si>
  <si>
    <t xml:space="preserve">TAGTCGTGGTGTAGTAGTACAGCG</t>
  </si>
  <si>
    <t xml:space="preserve">AAACCGCTGTACTACTACACCACG</t>
  </si>
  <si>
    <t xml:space="preserve">PST_2955</t>
  </si>
  <si>
    <t xml:space="preserve">hrpA</t>
  </si>
  <si>
    <t xml:space="preserve">GGCGAACCGGCGCGGTATTC</t>
  </si>
  <si>
    <t xml:space="preserve">TAGTGGCGAACCGGCGCGGTATTC</t>
  </si>
  <si>
    <t xml:space="preserve">AAACGAATACCGCGCCGGTTCGCC</t>
  </si>
  <si>
    <t xml:space="preserve">TAGGAAAAGGGGGACCGCGC</t>
  </si>
  <si>
    <t xml:space="preserve">TAGTTAGGAAAAGGGGGACCGCGC</t>
  </si>
  <si>
    <t xml:space="preserve">AAACGCGCGGTCCCCCTTTTCCTA</t>
  </si>
  <si>
    <t xml:space="preserve">GCGATTGTCGCAGATTTGCC</t>
  </si>
  <si>
    <t xml:space="preserve">TAGTGCGATTGTCGCAGATTTGCC</t>
  </si>
  <si>
    <t xml:space="preserve">AAACGGCAAATCTGCGACAATCGC</t>
  </si>
  <si>
    <t xml:space="preserve">GCCGTGGGCAATTTCGTGAA</t>
  </si>
  <si>
    <t xml:space="preserve">TAGTGCCGTGGGCAATTTCGTGAA</t>
  </si>
  <si>
    <t xml:space="preserve">AAACTTCACGAAATTGCCCACGGC</t>
  </si>
  <si>
    <t xml:space="preserve">PST_2956</t>
  </si>
  <si>
    <t xml:space="preserve">GCATTGTTTTTCTTGTGCAT</t>
  </si>
  <si>
    <t xml:space="preserve">TAGTGCATTGTTTTTCTTGTGCAT</t>
  </si>
  <si>
    <t xml:space="preserve">AAACATGCACAAGAAAAACAATGC</t>
  </si>
  <si>
    <t xml:space="preserve">CGCGGCAAGTGCCGCGCTGC</t>
  </si>
  <si>
    <t xml:space="preserve">TAGTCGCGGCAAGTGCCGCGCTGC</t>
  </si>
  <si>
    <t xml:space="preserve">AAACGCAGCGCGGCACTTGCCGCG</t>
  </si>
  <si>
    <t xml:space="preserve">AATTGAGCGGTATCGGCCTT</t>
  </si>
  <si>
    <t xml:space="preserve">TAGTAATTGAGCGGTATCGGCCTT</t>
  </si>
  <si>
    <t xml:space="preserve">AAACAAGGCCGATACCGCTCAATT</t>
  </si>
  <si>
    <t xml:space="preserve">AGCGCCGCATTCGGCTTGGC</t>
  </si>
  <si>
    <t xml:space="preserve">TAGTAGCGCCGCATTCGGCTTGGC</t>
  </si>
  <si>
    <t xml:space="preserve">AAACGCCAAGCCGAATGCGGCGCT</t>
  </si>
  <si>
    <t xml:space="preserve">PST_2957</t>
  </si>
  <si>
    <t xml:space="preserve">GAATGCCGCGCCTTGGCGAC</t>
  </si>
  <si>
    <t xml:space="preserve">TAGTGAATGCCGCGCCTTGGCGAC</t>
  </si>
  <si>
    <t xml:space="preserve">AAACGTCGCCAAGGCGCGGCATTC</t>
  </si>
  <si>
    <t xml:space="preserve">CGCTGAAGATCAAAGGCGTT</t>
  </si>
  <si>
    <t xml:space="preserve">TAGTCGCTGAAGATCAAAGGCGTT</t>
  </si>
  <si>
    <t xml:space="preserve">AAACAACGCCTTTGATCTTCAGCG</t>
  </si>
  <si>
    <t xml:space="preserve">ATTACCGTTGATCGGGATGA</t>
  </si>
  <si>
    <t xml:space="preserve">TAGTATTACCGTTGATCGGGATGA</t>
  </si>
  <si>
    <t xml:space="preserve">AAACTCATCCCGATCAACGGTAAT</t>
  </si>
  <si>
    <t xml:space="preserve">GTTCTGGCGCAACCGCCCAC</t>
  </si>
  <si>
    <t xml:space="preserve">TAGTGTTCTGGCGCAACCGCCCAC</t>
  </si>
  <si>
    <t xml:space="preserve">AAACGTGGGCGGTTGCGCCAGAAC</t>
  </si>
  <si>
    <t xml:space="preserve">PST_2958</t>
  </si>
  <si>
    <t xml:space="preserve">TCTGATCGATCCCTGTAGAA</t>
  </si>
  <si>
    <t xml:space="preserve">TAGTTCTGATCGATCCCTGTAGAA</t>
  </si>
  <si>
    <t xml:space="preserve">AAACTTCTACAGGGATCGATCAGA</t>
  </si>
  <si>
    <t xml:space="preserve">GGATGGCCAGCAGGAGAATC</t>
  </si>
  <si>
    <t xml:space="preserve">TAGTGGATGGCCAGCAGGAGAATC</t>
  </si>
  <si>
    <t xml:space="preserve">AAACGATTCTCCTGCTGGCCATCC</t>
  </si>
  <si>
    <t xml:space="preserve">ACACGGCAATGCCGCTTAGC</t>
  </si>
  <si>
    <t xml:space="preserve">TAGTACACGGCAATGCCGCTTAGC</t>
  </si>
  <si>
    <t xml:space="preserve">AAACGCTAAGCGGCATTGCCGTGT</t>
  </si>
  <si>
    <t xml:space="preserve">GTTCTTCCTGTTGCTCGGCG</t>
  </si>
  <si>
    <t xml:space="preserve">TAGTGTTCTTCCTGTTGCTCGGCG</t>
  </si>
  <si>
    <t xml:space="preserve">AAACCGCCGAGCAACAGGAAGAAC</t>
  </si>
  <si>
    <t xml:space="preserve">PST_2959</t>
  </si>
  <si>
    <t xml:space="preserve">CTTCGCCCGCAGACGTAAGG</t>
  </si>
  <si>
    <t xml:space="preserve">TAGTCTTCGCCCGCAGACGTAAGG</t>
  </si>
  <si>
    <t xml:space="preserve">AAACCCTTACGTCTGCGGGCGAAG</t>
  </si>
  <si>
    <t xml:space="preserve">GAATCGGGCCAAGCGCAAGC</t>
  </si>
  <si>
    <t xml:space="preserve">TAGTGAATCGGGCCAAGCGCAAGC</t>
  </si>
  <si>
    <t xml:space="preserve">AAACGCTTGCGCTTGGCCCGATTC</t>
  </si>
  <si>
    <t xml:space="preserve">CGAGACCCCGCTGAGTATCA</t>
  </si>
  <si>
    <t xml:space="preserve">TAGTCGAGACCCCGCTGAGTATCA</t>
  </si>
  <si>
    <t xml:space="preserve">AAACTGATACTCAGCGGGGTCTCG</t>
  </si>
  <si>
    <t xml:space="preserve">GGTCTGCGCCTCCTGCTGGT</t>
  </si>
  <si>
    <t xml:space="preserve">TAGTGGTCTGCGCCTCCTGCTGGT</t>
  </si>
  <si>
    <t xml:space="preserve">AAACACCAGCAGGAGGCGCAGACC</t>
  </si>
  <si>
    <t xml:space="preserve">PST_2960</t>
  </si>
  <si>
    <t xml:space="preserve">fadD1</t>
  </si>
  <si>
    <t xml:space="preserve">CTTATCCTTCCAGAAGTTAT</t>
  </si>
  <si>
    <t xml:space="preserve">TAGTCTTATCCTTCCAGAAGTTAT</t>
  </si>
  <si>
    <t xml:space="preserve">AAACATAACTTCTGGAAGGATAAG</t>
  </si>
  <si>
    <t xml:space="preserve">ATCTCGCTGGCGACCCCAAC</t>
  </si>
  <si>
    <t xml:space="preserve">TAGTATCTCGCTGGCGACCCCAAC</t>
  </si>
  <si>
    <t xml:space="preserve">AAACGTTGGGGTCGCCAGCGAGAT</t>
  </si>
  <si>
    <t xml:space="preserve">TGGATGTTCTGGTACTCGTC</t>
  </si>
  <si>
    <t xml:space="preserve">TAGTTGGATGTTCTGGTACTCGTC</t>
  </si>
  <si>
    <t xml:space="preserve">AAACGACGAGTACCAGAACATCCA</t>
  </si>
  <si>
    <t xml:space="preserve">ACGACTGTCTGAGCACAGCC</t>
  </si>
  <si>
    <t xml:space="preserve">TAGTACGACTGTCTGAGCACAGCC</t>
  </si>
  <si>
    <t xml:space="preserve">AAACGGCTGTGCTCAGACAGTCGT</t>
  </si>
  <si>
    <t xml:space="preserve">PST_2961</t>
  </si>
  <si>
    <t xml:space="preserve">CTCTGGCGAACTTAGCAGGT</t>
  </si>
  <si>
    <t xml:space="preserve">TAGTCTCTGGCGAACTTAGCAGGT</t>
  </si>
  <si>
    <t xml:space="preserve">AAACACCTGCTAAGTTCGCCAGAG</t>
  </si>
  <si>
    <t xml:space="preserve">GTGTCTGGCCCACGCACAGC</t>
  </si>
  <si>
    <t xml:space="preserve">TAGTGTGTCTGGCCCACGCACAGC</t>
  </si>
  <si>
    <t xml:space="preserve">AAACGCTGTGCGTGGGCCAGACAC</t>
  </si>
  <si>
    <t xml:space="preserve">AATTCAGGCTGCATTGTTAT</t>
  </si>
  <si>
    <t xml:space="preserve">TAGTAATTCAGGCTGCATTGTTAT</t>
  </si>
  <si>
    <t xml:space="preserve">AAACATAACAATGCAGCCTGAATT</t>
  </si>
  <si>
    <t xml:space="preserve">TGTCGTTGGGCACGCCGGCA</t>
  </si>
  <si>
    <t xml:space="preserve">TAGTTGTCGTTGGGCACGCCGGCA</t>
  </si>
  <si>
    <t xml:space="preserve">AAACTGCCGGCGTGCCCAACGACA</t>
  </si>
  <si>
    <t xml:space="preserve">PST_2962</t>
  </si>
  <si>
    <t xml:space="preserve">phaJ1</t>
  </si>
  <si>
    <t xml:space="preserve">CCGACCTCCAGGTCGGCGTA</t>
  </si>
  <si>
    <t xml:space="preserve">TAGTCCGACCTCCAGGTCGGCGTA</t>
  </si>
  <si>
    <t xml:space="preserve">AAACTACGCCGACCTGGAGGTCGG</t>
  </si>
  <si>
    <t xml:space="preserve">GTTGCGATCACCGGACATCG</t>
  </si>
  <si>
    <t xml:space="preserve">TAGTGTTGCGATCACCGGACATCG</t>
  </si>
  <si>
    <t xml:space="preserve">AAACCGATGTCCGGTGATCGCAAC</t>
  </si>
  <si>
    <t xml:space="preserve">ACTCGGCATCCAGGTGCACC</t>
  </si>
  <si>
    <t xml:space="preserve">TAGTACTCGGCATCCAGGTGCACC</t>
  </si>
  <si>
    <t xml:space="preserve">AAACGGTGCACCTGGATGCCGAGT</t>
  </si>
  <si>
    <t xml:space="preserve">CTCCTTGAACAGGGTACCGG</t>
  </si>
  <si>
    <t xml:space="preserve">TAGTCTCCTTGAACAGGGTACCGG</t>
  </si>
  <si>
    <t xml:space="preserve">AAACCCGGTACCCTGTTCAAGGAG</t>
  </si>
  <si>
    <t xml:space="preserve">PST_2963</t>
  </si>
  <si>
    <t xml:space="preserve">AAATGAAGAGGGCGCCGCTC</t>
  </si>
  <si>
    <t xml:space="preserve">TAGTAAATGAAGAGGGCGCCGCTC</t>
  </si>
  <si>
    <t xml:space="preserve">AAACGAGCGGCGCCCTCTTCATTT</t>
  </si>
  <si>
    <t xml:space="preserve">CGGCTCCCTGCCGACAGGCG</t>
  </si>
  <si>
    <t xml:space="preserve">TAGTCGGCTCCCTGCCGACAGGCG</t>
  </si>
  <si>
    <t xml:space="preserve">AAACCGCCTGTCGGCAGGGAGCCG</t>
  </si>
  <si>
    <t xml:space="preserve">GCCTGTCCCCCGTCCGGGGC</t>
  </si>
  <si>
    <t xml:space="preserve">TAGTGCCTGTCCCCCGTCCGGGGC</t>
  </si>
  <si>
    <t xml:space="preserve">AAACGCCCCGGACGGGGGACAGGC</t>
  </si>
  <si>
    <t xml:space="preserve">AGTGCACGGGGCGTAGCCAA</t>
  </si>
  <si>
    <t xml:space="preserve">TAGTAGTGCACGGGGCGTAGCCAA</t>
  </si>
  <si>
    <t xml:space="preserve">AAACTTGGCTACGCCCCGTGCACT</t>
  </si>
  <si>
    <t xml:space="preserve">PST_2964</t>
  </si>
  <si>
    <t xml:space="preserve">CTCCGAGGAAGGCGACCATC</t>
  </si>
  <si>
    <t xml:space="preserve">TAGTCTCCGAGGAAGGCGACCATC</t>
  </si>
  <si>
    <t xml:space="preserve">AAACGATGGTCGCCTTCCTCGGAG</t>
  </si>
  <si>
    <t xml:space="preserve">PST_2965</t>
  </si>
  <si>
    <t xml:space="preserve">TGAAGCGCGAATAGCGGCAT</t>
  </si>
  <si>
    <t xml:space="preserve">TAGTTGAAGCGCGAATAGCGGCAT</t>
  </si>
  <si>
    <t xml:space="preserve">AAACATGCCGCTATTCGCGCTTCA</t>
  </si>
  <si>
    <t xml:space="preserve">GGGTATCAGGAAGGAAACAG</t>
  </si>
  <si>
    <t xml:space="preserve">TAGTGGGTATCAGGAAGGAAACAG</t>
  </si>
  <si>
    <t xml:space="preserve">AAACCTGTTTCCTTCCTGATACCC</t>
  </si>
  <si>
    <t xml:space="preserve">TGATCCAGGTCAAGAAAACG</t>
  </si>
  <si>
    <t xml:space="preserve">TAGTTGATCCAGGTCAAGAAAACG</t>
  </si>
  <si>
    <t xml:space="preserve">AAACCGTTTTCTTGACCTGGATCA</t>
  </si>
  <si>
    <t xml:space="preserve">GGCCGCAAGATGCCGATCCC</t>
  </si>
  <si>
    <t xml:space="preserve">TAGTGGCCGCAAGATGCCGATCCC</t>
  </si>
  <si>
    <t xml:space="preserve">AAACGGGATCGGCATCTTGCGGCC</t>
  </si>
  <si>
    <t xml:space="preserve">PST_2966</t>
  </si>
  <si>
    <t xml:space="preserve">GTTCGGCGCTGAAATCGATC</t>
  </si>
  <si>
    <t xml:space="preserve">TAGTGTTCGGCGCTGAAATCGATC</t>
  </si>
  <si>
    <t xml:space="preserve">AAACGATCGATTTCAGCGCCGAAC</t>
  </si>
  <si>
    <t xml:space="preserve">GTTCAGGTCGTGAATGCGGC</t>
  </si>
  <si>
    <t xml:space="preserve">TAGTGTTCAGGTCGTGAATGCGGC</t>
  </si>
  <si>
    <t xml:space="preserve">AAACGCCGCATTCACGACCTGAAC</t>
  </si>
  <si>
    <t xml:space="preserve">AAGTGGCAGCACCTGCTCGA</t>
  </si>
  <si>
    <t xml:space="preserve">TAGTAAGTGGCAGCACCTGCTCGA</t>
  </si>
  <si>
    <t xml:space="preserve">AAACTCGAGCAGGTGCTGCCACTT</t>
  </si>
  <si>
    <t xml:space="preserve">GGCTTCTTGCCCTTCTTCTT</t>
  </si>
  <si>
    <t xml:space="preserve">TAGTGGCTTCTTGCCCTTCTTCTT</t>
  </si>
  <si>
    <t xml:space="preserve">AAACAAGAAGAAGGGCAAGAAGCC</t>
  </si>
  <si>
    <t xml:space="preserve">PST_2967</t>
  </si>
  <si>
    <t xml:space="preserve">ACATGGCGCGGGCCGCTCGC</t>
  </si>
  <si>
    <t xml:space="preserve">TAGTACATGGCGCGGGCCGCTCGC</t>
  </si>
  <si>
    <t xml:space="preserve">AAACGCGAGCGGCCCGCGCCATGT</t>
  </si>
  <si>
    <t xml:space="preserve">GCATCGGGCAGCTCGATCGA</t>
  </si>
  <si>
    <t xml:space="preserve">TAGTGCATCGGGCAGCTCGATCGA</t>
  </si>
  <si>
    <t xml:space="preserve">AAACTCGATCGAGCTGCCCGATGC</t>
  </si>
  <si>
    <t xml:space="preserve">CTCCTGCAGCCAGGCATCGG</t>
  </si>
  <si>
    <t xml:space="preserve">TAGTCTCCTGCAGCCAGGCATCGG</t>
  </si>
  <si>
    <t xml:space="preserve">AAACCCGATGCCTGGCTGCAGGAG</t>
  </si>
  <si>
    <t xml:space="preserve">CGTATCTCCGGCTGCGTCCA</t>
  </si>
  <si>
    <t xml:space="preserve">TAGTCGTATCTCCGGCTGCGTCCA</t>
  </si>
  <si>
    <t xml:space="preserve">AAACTGGACGCAGCCGGAGATACG</t>
  </si>
  <si>
    <t xml:space="preserve">PST_2968</t>
  </si>
  <si>
    <t xml:space="preserve">ATCACGCCGGTTGGAATGGG</t>
  </si>
  <si>
    <t xml:space="preserve">TAGTATCACGCCGGTTGGAATGGG</t>
  </si>
  <si>
    <t xml:space="preserve">AAACCCCATTCCAACCGGCGTGAT</t>
  </si>
  <si>
    <t xml:space="preserve">CTTGACCACGTCCTGCTGGG</t>
  </si>
  <si>
    <t xml:space="preserve">TAGTCTTGACCACGTCCTGCTGGG</t>
  </si>
  <si>
    <t xml:space="preserve">AAACCCCAGCAGGACGTGGTCAAG</t>
  </si>
  <si>
    <t xml:space="preserve">ACCGGCGCCACCTCGGGGCG</t>
  </si>
  <si>
    <t xml:space="preserve">TAGTACCGGCGCCACCTCGGGGCG</t>
  </si>
  <si>
    <t xml:space="preserve">AAACCGCCCCGAGGTGGCGCCGGT</t>
  </si>
  <si>
    <t xml:space="preserve">TCGTCGGAGCTCGCCTGTAC</t>
  </si>
  <si>
    <t xml:space="preserve">TAGTTCGTCGGAGCTCGCCTGTAC</t>
  </si>
  <si>
    <t xml:space="preserve">AAACGTACAGGCGAGCTCCGACGA</t>
  </si>
  <si>
    <t xml:space="preserve">PST_2969</t>
  </si>
  <si>
    <t xml:space="preserve">hepA</t>
  </si>
  <si>
    <t xml:space="preserve">TCGCTGATCCAGCGTTGCCC</t>
  </si>
  <si>
    <t xml:space="preserve">TAGTTCGCTGATCCAGCGTTGCCC</t>
  </si>
  <si>
    <t xml:space="preserve">AAACGGGCAACGCTGGATCAGCGA</t>
  </si>
  <si>
    <t xml:space="preserve">CCTGAGTGAGGATGGTTCCG</t>
  </si>
  <si>
    <t xml:space="preserve">TAGTCCTGAGTGAGGATGGTTCCG</t>
  </si>
  <si>
    <t xml:space="preserve">AAACCGGAACCATCCTCACTCAGG</t>
  </si>
  <si>
    <t xml:space="preserve">GCCGGTCGCCGGGTAAAGCA</t>
  </si>
  <si>
    <t xml:space="preserve">TAGTGCCGGTCGCCGGGTAAAGCA</t>
  </si>
  <si>
    <t xml:space="preserve">AAACTGCTTTACCCGGCGACCGGC</t>
  </si>
  <si>
    <t xml:space="preserve">ACTGCGCGTCGCATACTGGC</t>
  </si>
  <si>
    <t xml:space="preserve">TAGTACTGCGCGTCGCATACTGGC</t>
  </si>
  <si>
    <t xml:space="preserve">AAACGCCAGTATGCGACGCGCAGT</t>
  </si>
  <si>
    <t xml:space="preserve">PST_2970</t>
  </si>
  <si>
    <t xml:space="preserve">GCGAGTAGGTCGGATGCGAT</t>
  </si>
  <si>
    <t xml:space="preserve">TAGTGCGAGTAGGTCGGATGCGAT</t>
  </si>
  <si>
    <t xml:space="preserve">AAACATCGCATCCGACCTACTCGC</t>
  </si>
  <si>
    <t xml:space="preserve">CTTGTCGATGCGCTGCAGGG</t>
  </si>
  <si>
    <t xml:space="preserve">TAGTCTTGTCGATGCGCTGCAGGG</t>
  </si>
  <si>
    <t xml:space="preserve">AAACCCCTGCAGCGCATCGACAAG</t>
  </si>
  <si>
    <t xml:space="preserve">CCGCCTCGACCGTAAGCGCC</t>
  </si>
  <si>
    <t xml:space="preserve">TAGTCCGCCTCGACCGTAAGCGCC</t>
  </si>
  <si>
    <t xml:space="preserve">AAACGGCGCTTACGGTCGAGGCGG</t>
  </si>
  <si>
    <t xml:space="preserve">CTCGCGTACCAGCCGCAACA</t>
  </si>
  <si>
    <t xml:space="preserve">TAGTCTCGCGTACCAGCCGCAACA</t>
  </si>
  <si>
    <t xml:space="preserve">AAACTGTTGCGGCTGGTACGCGAG</t>
  </si>
  <si>
    <t xml:space="preserve">PST_2971</t>
  </si>
  <si>
    <t xml:space="preserve">yegD</t>
  </si>
  <si>
    <t xml:space="preserve">ACGGCCGCGCAGTGTAATGG</t>
  </si>
  <si>
    <t xml:space="preserve">TAGTACGGCCGCGCAGTGTAATGG</t>
  </si>
  <si>
    <t xml:space="preserve">AAACCCATTACACTGCGCGGCCGT</t>
  </si>
  <si>
    <t xml:space="preserve">TTGAACATGGTGTGGTCCGC</t>
  </si>
  <si>
    <t xml:space="preserve">TAGTTTGAACATGGTGTGGTCCGC</t>
  </si>
  <si>
    <t xml:space="preserve">AAACGCGGACCACACCATGTTCAA</t>
  </si>
  <si>
    <t xml:space="preserve">TCGATGCCGCAGGCGCAGGC</t>
  </si>
  <si>
    <t xml:space="preserve">TAGTTCGATGCCGCAGGCGCAGGC</t>
  </si>
  <si>
    <t xml:space="preserve">AAACGCCTGCGCCTGCGGCATCGA</t>
  </si>
  <si>
    <t xml:space="preserve">CCAGCCGACCGTGGAATTGG</t>
  </si>
  <si>
    <t xml:space="preserve">TAGTCCAGCCGACCGTGGAATTGG</t>
  </si>
  <si>
    <t xml:space="preserve">AAACCCAATTCCACGGTCGGCTGG</t>
  </si>
  <si>
    <t xml:space="preserve">PST_2972</t>
  </si>
  <si>
    <t xml:space="preserve">ATTCCGGCCGCAGACCAGCC</t>
  </si>
  <si>
    <t xml:space="preserve">TAGTATTCCGGCCGCAGACCAGCC</t>
  </si>
  <si>
    <t xml:space="preserve">AAACGGCTGGTCTGCGGCCGGAAT</t>
  </si>
  <si>
    <t xml:space="preserve">GGTGGAAGGCTGCATGACGT</t>
  </si>
  <si>
    <t xml:space="preserve">TAGTGGTGGAAGGCTGCATGACGT</t>
  </si>
  <si>
    <t xml:space="preserve">AAACACGTCATGCAGCCTTCCACC</t>
  </si>
  <si>
    <t xml:space="preserve">GCGCCAGGCGTTGGAAGCTT</t>
  </si>
  <si>
    <t xml:space="preserve">TAGTGCGCCAGGCGTTGGAAGCTT</t>
  </si>
  <si>
    <t xml:space="preserve">AAACAAGCTTCCAACGCCTGGCGC</t>
  </si>
  <si>
    <t xml:space="preserve">CTCGGCGATGATGGCCGGGA</t>
  </si>
  <si>
    <t xml:space="preserve">TAGTCTCGGCGATGATGGCCGGGA</t>
  </si>
  <si>
    <t xml:space="preserve">AAACTCCCGGCCATCATCGCCGAG</t>
  </si>
  <si>
    <t xml:space="preserve">PST_2973</t>
  </si>
  <si>
    <t xml:space="preserve">AGTGAACAGCAGCGAGAGGT</t>
  </si>
  <si>
    <t xml:space="preserve">TAGTAGTGAACAGCAGCGAGAGGT</t>
  </si>
  <si>
    <t xml:space="preserve">AAACACCTCTCGCTGCTGTTCACT</t>
  </si>
  <si>
    <t xml:space="preserve">GCGAGGATGCGCTCGACCAG</t>
  </si>
  <si>
    <t xml:space="preserve">TAGTGCGAGGATGCGCTCGACCAG</t>
  </si>
  <si>
    <t xml:space="preserve">AAACCTGGTCGAGCGCATCCTCGC</t>
  </si>
  <si>
    <t xml:space="preserve">ATCGAAGCCGGCGATGCGGG</t>
  </si>
  <si>
    <t xml:space="preserve">TAGTATCGAAGCCGGCGATGCGGG</t>
  </si>
  <si>
    <t xml:space="preserve">AAACCCCGCATCGCCGGCTTCGAT</t>
  </si>
  <si>
    <t xml:space="preserve">CCGGGACTTCGTAGGGGAAC</t>
  </si>
  <si>
    <t xml:space="preserve">TAGTCCGGGACTTCGTAGGGGAAC</t>
  </si>
  <si>
    <t xml:space="preserve">AAACGTTCCCCTACGAAGTCCCGG</t>
  </si>
  <si>
    <t xml:space="preserve">PST_2974</t>
  </si>
  <si>
    <t xml:space="preserve">GAAGGCAATGGTTGGCAGAT</t>
  </si>
  <si>
    <t xml:space="preserve">TAGTGAAGGCAATGGTTGGCAGAT</t>
  </si>
  <si>
    <t xml:space="preserve">AAACATCTGCCAACCATTGCCTTC</t>
  </si>
  <si>
    <t xml:space="preserve">GACACATCGGCAGGCCCATC</t>
  </si>
  <si>
    <t xml:space="preserve">TAGTGACACATCGGCAGGCCCATC</t>
  </si>
  <si>
    <t xml:space="preserve">AAACGATGGGCCTGCCGATGTGTC</t>
  </si>
  <si>
    <t xml:space="preserve">GACGATACCCGGCCGCCAGC</t>
  </si>
  <si>
    <t xml:space="preserve">TAGTGACGATACCCGGCCGCCAGC</t>
  </si>
  <si>
    <t xml:space="preserve">AAACGCTGGCGGCCGGGTATCGTC</t>
  </si>
  <si>
    <t xml:space="preserve">CGCCCAGATCGACCAGTGGC</t>
  </si>
  <si>
    <t xml:space="preserve">TAGTCGCCCAGATCGACCAGTGGC</t>
  </si>
  <si>
    <t xml:space="preserve">AAACGCCACTGGTCGATCTGGGCG</t>
  </si>
  <si>
    <t xml:space="preserve">PST_2975</t>
  </si>
  <si>
    <t xml:space="preserve">TAAGCCCCTGCACGATGGCC</t>
  </si>
  <si>
    <t xml:space="preserve">TAGTTAAGCCCCTGCACGATGGCC</t>
  </si>
  <si>
    <t xml:space="preserve">AAACGGCCATCGTGCAGGGGCTTA</t>
  </si>
  <si>
    <t xml:space="preserve">GCTCGATACCGGCAAGAACT</t>
  </si>
  <si>
    <t xml:space="preserve">TAGTGCTCGATACCGGCAAGAACT</t>
  </si>
  <si>
    <t xml:space="preserve">AAACAGTTCTTGCCGGTATCGAGC</t>
  </si>
  <si>
    <t xml:space="preserve">CGGGAAGAGGATCAGGTGAG</t>
  </si>
  <si>
    <t xml:space="preserve">TAGTCGGGAAGAGGATCAGGTGAG</t>
  </si>
  <si>
    <t xml:space="preserve">AAACCTCACCTGATCCTCTTCCCG</t>
  </si>
  <si>
    <t xml:space="preserve">TCGTCCCAGCCCACCAGGTG</t>
  </si>
  <si>
    <t xml:space="preserve">TAGTTCGTCCCAGCCCACCAGGTG</t>
  </si>
  <si>
    <t xml:space="preserve">AAACCACCTGGTGGGCTGGGACGA</t>
  </si>
  <si>
    <t xml:space="preserve">PST_2976</t>
  </si>
  <si>
    <t xml:space="preserve">GACGATCCGGCCAAACGCCG</t>
  </si>
  <si>
    <t xml:space="preserve">TAGTGACGATCCGGCCAAACGCCG</t>
  </si>
  <si>
    <t xml:space="preserve">AAACCGGCGTTTGGCCGGATCGTC</t>
  </si>
  <si>
    <t xml:space="preserve">ATCGATCTGCCACAAGGCTA</t>
  </si>
  <si>
    <t xml:space="preserve">TAGTATCGATCTGCCACAAGGCTA</t>
  </si>
  <si>
    <t xml:space="preserve">AAACTAGCCTTGTGGCAGATCGAT</t>
  </si>
  <si>
    <t xml:space="preserve">CGTCTGGCGGAGTTCGTGCT</t>
  </si>
  <si>
    <t xml:space="preserve">TAGTCGTCTGGCGGAGTTCGTGCT</t>
  </si>
  <si>
    <t xml:space="preserve">AAACAGCACGAACTCCGCCAGACG</t>
  </si>
  <si>
    <t xml:space="preserve">TGGCGAAAAGATGTTCACCC</t>
  </si>
  <si>
    <t xml:space="preserve">TAGTTGGCGAAAAGATGTTCACCC</t>
  </si>
  <si>
    <t xml:space="preserve">AAACGGGTGAACATCTTTTCGCCA</t>
  </si>
  <si>
    <t xml:space="preserve">PST_2977</t>
  </si>
  <si>
    <t xml:space="preserve">AAGGCCGGCGACGGCTGCCA</t>
  </si>
  <si>
    <t xml:space="preserve">TAGTAAGGCCGGCGACGGCTGCCA</t>
  </si>
  <si>
    <t xml:space="preserve">AAACTGGCAGCCGTCGCCGGCCTT</t>
  </si>
  <si>
    <t xml:space="preserve">AGTGGCAATGGACAAGGACA</t>
  </si>
  <si>
    <t xml:space="preserve">TAGTAGTGGCAATGGACAAGGACA</t>
  </si>
  <si>
    <t xml:space="preserve">AAACTGTCCTTGTCCATTGCCACT</t>
  </si>
  <si>
    <t xml:space="preserve">CCGCAGGGTTTCGGCGGCAT</t>
  </si>
  <si>
    <t xml:space="preserve">TAGTCCGCAGGGTTTCGGCGGCAT</t>
  </si>
  <si>
    <t xml:space="preserve">AAACATGCCGCCGAAACCCTGCGG</t>
  </si>
  <si>
    <t xml:space="preserve">GGTCGGGGCTTCGTCAGGAA</t>
  </si>
  <si>
    <t xml:space="preserve">TAGTGGTCGGGGCTTCGTCAGGAA</t>
  </si>
  <si>
    <t xml:space="preserve">AAACTTCCTGACGAAGCCCCGACC</t>
  </si>
  <si>
    <t xml:space="preserve">PST_2978</t>
  </si>
  <si>
    <t xml:space="preserve">GCTCGCCGGGTGCGACCTGC</t>
  </si>
  <si>
    <t xml:space="preserve">TAGTGCTCGCCGGGTGCGACCTGC</t>
  </si>
  <si>
    <t xml:space="preserve">AAACGCAGGTCGCACCCGGCGAGC</t>
  </si>
  <si>
    <t xml:space="preserve">AGCACCGGACGGGCCGATGA</t>
  </si>
  <si>
    <t xml:space="preserve">TAGTAGCACCGGACGGGCCGATGA</t>
  </si>
  <si>
    <t xml:space="preserve">AAACTCATCGGCCCGTCCGGTGCT</t>
  </si>
  <si>
    <t xml:space="preserve">GGCCAGCAATCGCAGCAGGG</t>
  </si>
  <si>
    <t xml:space="preserve">TAGTGGCCAGCAATCGCAGCAGGG</t>
  </si>
  <si>
    <t xml:space="preserve">AAACCCCTGCTGCGATTGCTGGCC</t>
  </si>
  <si>
    <t xml:space="preserve">AGCTCGACTTCGCCGCCGTC</t>
  </si>
  <si>
    <t xml:space="preserve">TAGTAGCTCGACTTCGCCGCCGTC</t>
  </si>
  <si>
    <t xml:space="preserve">AAACGACGGCGGCGAAGTCGAGCT</t>
  </si>
  <si>
    <t xml:space="preserve">PST_2979</t>
  </si>
  <si>
    <t xml:space="preserve">GGTCATGGCGAACGAGCGCG</t>
  </si>
  <si>
    <t xml:space="preserve">TAGTGGTCATGGCGAACGAGCGCG</t>
  </si>
  <si>
    <t xml:space="preserve">AAACCGCGCTCGTTCGCCATGACC</t>
  </si>
  <si>
    <t xml:space="preserve">GCAGGCGGGAGGTGGCGGCA</t>
  </si>
  <si>
    <t xml:space="preserve">TAGTGCAGGCGGGAGGTGGCGGCA</t>
  </si>
  <si>
    <t xml:space="preserve">AAACTGCCGCCACCTCCCGCCTGC</t>
  </si>
  <si>
    <t xml:space="preserve">AGCTCGCTCAACCGCAGGCC</t>
  </si>
  <si>
    <t xml:space="preserve">TAGTAGCTCGCTCAACCGCAGGCC</t>
  </si>
  <si>
    <t xml:space="preserve">AAACGGCCTGCGGTTGAGCGAGCT</t>
  </si>
  <si>
    <t xml:space="preserve">GGCCGAAACGAAGCTGCCCA</t>
  </si>
  <si>
    <t xml:space="preserve">TAGTGGCCGAAACGAAGCTGCCCA</t>
  </si>
  <si>
    <t xml:space="preserve">AAACTGGGCAGCTTCGTTTCGGCC</t>
  </si>
  <si>
    <t xml:space="preserve">PST_2980</t>
  </si>
  <si>
    <t xml:space="preserve">GCAGACCCAGCGGGATGAGC</t>
  </si>
  <si>
    <t xml:space="preserve">TAGTGCAGACCCAGCGGGATGAGC</t>
  </si>
  <si>
    <t xml:space="preserve">AAACGCTCATCCCGCTGGGTCTGC</t>
  </si>
  <si>
    <t xml:space="preserve">GAAGGCGAACGCCGCCATCA</t>
  </si>
  <si>
    <t xml:space="preserve">TAGTGAAGGCGAACGCCGCCATCA</t>
  </si>
  <si>
    <t xml:space="preserve">AAACTGATGGCGGCGTTCGCCTTC</t>
  </si>
  <si>
    <t xml:space="preserve">GCGCGGCGCTGTCAAGCTGC</t>
  </si>
  <si>
    <t xml:space="preserve">TAGTGCGCGGCGCTGTCAAGCTGC</t>
  </si>
  <si>
    <t xml:space="preserve">AAACGCAGCTTGACAGCGCCGCGC</t>
  </si>
  <si>
    <t xml:space="preserve">CCATCTGGGTCAGGCCGTCG</t>
  </si>
  <si>
    <t xml:space="preserve">TAGTCCATCTGGGTCAGGCCGTCG</t>
  </si>
  <si>
    <t xml:space="preserve">AAACCGACGGCCTGACCCAGATGG</t>
  </si>
  <si>
    <t xml:space="preserve">PST_2981</t>
  </si>
  <si>
    <t xml:space="preserve">GGACTCGTCCGTAACGAAAA</t>
  </si>
  <si>
    <t xml:space="preserve">TAGTGGACTCGTCCGTAACGAAAA</t>
  </si>
  <si>
    <t xml:space="preserve">AAACTTTTCGTTACGGACGAGTCC</t>
  </si>
  <si>
    <t xml:space="preserve">GTGCTTGCGTCGTCGGCCAT</t>
  </si>
  <si>
    <t xml:space="preserve">TAGTGTGCTTGCGTCGTCGGCCAT</t>
  </si>
  <si>
    <t xml:space="preserve">AAACATGGCCGACGACGCAAGCAC</t>
  </si>
  <si>
    <t xml:space="preserve">TGCGGTTTCGCCCAACAGCT</t>
  </si>
  <si>
    <t xml:space="preserve">TAGTTGCGGTTTCGCCCAACAGCT</t>
  </si>
  <si>
    <t xml:space="preserve">AAACAGCTGTTGGGCGAAACCGCA</t>
  </si>
  <si>
    <t xml:space="preserve">GAAAGGCTGCAGTTCCTGCC</t>
  </si>
  <si>
    <t xml:space="preserve">TAGTGAAAGGCTGCAGTTCCTGCC</t>
  </si>
  <si>
    <t xml:space="preserve">AAACGGCAGGAACTGCAGCCTTTC</t>
  </si>
  <si>
    <t xml:space="preserve">PST_2982</t>
  </si>
  <si>
    <t xml:space="preserve">braC</t>
  </si>
  <si>
    <t xml:space="preserve">AATTTTCGAAAGACGCTGGT</t>
  </si>
  <si>
    <t xml:space="preserve">TAGTAATTTTCGAAAGACGCTGGT</t>
  </si>
  <si>
    <t xml:space="preserve">AAACACCAGCGTCTTTCGAAAATT</t>
  </si>
  <si>
    <t xml:space="preserve">CGCCGGTCAGTGCCATTGCC</t>
  </si>
  <si>
    <t xml:space="preserve">TAGTCGCCGGTCAGTGCCATTGCC</t>
  </si>
  <si>
    <t xml:space="preserve">AAACGGCAATGGCACTGACCGGCG</t>
  </si>
  <si>
    <t xml:space="preserve">GTCGGCGGCCAGGCTGTAGC</t>
  </si>
  <si>
    <t xml:space="preserve">TAGTGTCGGCGGCCAGGCTGTAGC</t>
  </si>
  <si>
    <t xml:space="preserve">AAACGCTACAGCCTGGCCGCCGAC</t>
  </si>
  <si>
    <t xml:space="preserve">CCGGCCCTGCCAATCCGATG</t>
  </si>
  <si>
    <t xml:space="preserve">TAGTCCGGCCCTGCCAATCCGATG</t>
  </si>
  <si>
    <t xml:space="preserve">AAACCATCGGATTGGCAGGGCCGG</t>
  </si>
  <si>
    <t xml:space="preserve">PST_2983</t>
  </si>
  <si>
    <t xml:space="preserve">braD</t>
  </si>
  <si>
    <t xml:space="preserve">TGTAGGTAGTGGTAAAGCTC</t>
  </si>
  <si>
    <t xml:space="preserve">TAGTTGTAGGTAGTGGTAAAGCTC</t>
  </si>
  <si>
    <t xml:space="preserve">AAACGAGCTTTACCACTACCTACA</t>
  </si>
  <si>
    <t xml:space="preserve">CAGCGCGTAGGTGCTGCCAA</t>
  </si>
  <si>
    <t xml:space="preserve">TAGTCAGCGCGTAGGTGCTGCCAA</t>
  </si>
  <si>
    <t xml:space="preserve">AAACTTGGCAGCACCTACGCGCTG</t>
  </si>
  <si>
    <t xml:space="preserve">GTACACCATCGTGTAACCGA</t>
  </si>
  <si>
    <t xml:space="preserve">TAGTGTACACCATCGTGTAACCGA</t>
  </si>
  <si>
    <t xml:space="preserve">AAACTCGGTTACACGATGGTGTAC</t>
  </si>
  <si>
    <t xml:space="preserve">GATCATGTACACCTCGCCGT</t>
  </si>
  <si>
    <t xml:space="preserve">TAGTGATCATGTACACCTCGCCGT</t>
  </si>
  <si>
    <t xml:space="preserve">AAACACGGCGAGGTGTACATGATC</t>
  </si>
  <si>
    <t xml:space="preserve">PST_2984</t>
  </si>
  <si>
    <t xml:space="preserve">braE</t>
  </si>
  <si>
    <t xml:space="preserve">GAAAGCGATACGCAGATTGC</t>
  </si>
  <si>
    <t xml:space="preserve">TAGTGAAAGCGATACGCAGATTGC</t>
  </si>
  <si>
    <t xml:space="preserve">AAACGCAATCTGCGTATCGCTTTC</t>
  </si>
  <si>
    <t xml:space="preserve">GCCGAACACCGGCACCGCCA</t>
  </si>
  <si>
    <t xml:space="preserve">TAGTGCCGAACACCGGCACCGCCA</t>
  </si>
  <si>
    <t xml:space="preserve">AAACTGGCGGTGCCGGTGTTCGGC</t>
  </si>
  <si>
    <t xml:space="preserve">TACCGACGGTGGTGAGCTTC</t>
  </si>
  <si>
    <t xml:space="preserve">TAGTTACCGACGGTGGTGAGCTTC</t>
  </si>
  <si>
    <t xml:space="preserve">AAACGAAGCTCACCACCGTCGGTA</t>
  </si>
  <si>
    <t xml:space="preserve">CGGCGCCATGCACCTCGACG</t>
  </si>
  <si>
    <t xml:space="preserve">TAGTCGGCGCCATGCACCTCGACG</t>
  </si>
  <si>
    <t xml:space="preserve">AAACCGTCGAGGTGCATGGCGCCG</t>
  </si>
  <si>
    <t xml:space="preserve">PST_2985</t>
  </si>
  <si>
    <t xml:space="preserve">braF-1</t>
  </si>
  <si>
    <t xml:space="preserve">CGCGTACTTCCAGGATCGGG</t>
  </si>
  <si>
    <t xml:space="preserve">TAGTCGCGTACTTCCAGGATCGGG</t>
  </si>
  <si>
    <t xml:space="preserve">AAACCCCGATCCTGGAAGTACGCG</t>
  </si>
  <si>
    <t xml:space="preserve">CAGCAGGCCGCCGAAGCGCA</t>
  </si>
  <si>
    <t xml:space="preserve">TAGTCAGCAGGCCGCCGAAGCGCA</t>
  </si>
  <si>
    <t xml:space="preserve">AAACTGCGCTTCGGCGGCCTGCTG</t>
  </si>
  <si>
    <t xml:space="preserve">GGTCAGCGCCACCTCGTTGA</t>
  </si>
  <si>
    <t xml:space="preserve">TAGTGGTCAGCGCCACCTCGTTGA</t>
  </si>
  <si>
    <t xml:space="preserve">AAACTCAACGAGGTGGCGCTGACC</t>
  </si>
  <si>
    <t xml:space="preserve">AACCACCTGCTTGTCGTGTA</t>
  </si>
  <si>
    <t xml:space="preserve">TAGTAACCACCTGCTTGTCGTGTA</t>
  </si>
  <si>
    <t xml:space="preserve">AAACTACACGACAAGCAGGTGGTT</t>
  </si>
  <si>
    <t xml:space="preserve">PST_2986</t>
  </si>
  <si>
    <t xml:space="preserve">GGCCTGGATCTTGCCGTAGA</t>
  </si>
  <si>
    <t xml:space="preserve">TAGTGGCCTGGATCTTGCCGTAGA</t>
  </si>
  <si>
    <t xml:space="preserve">AAACTCTACGGCAAGATCCAGGCC</t>
  </si>
  <si>
    <t xml:space="preserve">CTGCACGTTGATGCCGTGCA</t>
  </si>
  <si>
    <t xml:space="preserve">TAGTCTGCACGTTGATGCCGTGCA</t>
  </si>
  <si>
    <t xml:space="preserve">AAACTGCACGGCATCAACGTGCAG</t>
  </si>
  <si>
    <t xml:space="preserve">CATCAGCAGGGTCGATTTGC</t>
  </si>
  <si>
    <t xml:space="preserve">TAGTCATCAGCAGGGTCGATTTGC</t>
  </si>
  <si>
    <t xml:space="preserve">AAACGCAAATCGACCCTGCTGATG</t>
  </si>
  <si>
    <t xml:space="preserve">CGCCTGCGGTGTGCCGCAGA</t>
  </si>
  <si>
    <t xml:space="preserve">TAGTCGCCTGCGGTGTGCCGCAGA</t>
  </si>
  <si>
    <t xml:space="preserve">AAACTCTGCGGCACACCGCAGGCG</t>
  </si>
  <si>
    <t xml:space="preserve">PST_2987</t>
  </si>
  <si>
    <t xml:space="preserve">TGAGCAGGCCGAGCAGGCAA</t>
  </si>
  <si>
    <t xml:space="preserve">TAGTTGAGCAGGCCGAGCAGGCAA</t>
  </si>
  <si>
    <t xml:space="preserve">AAACTTGCCTGCTCGGCCTGCTCA</t>
  </si>
  <si>
    <t xml:space="preserve">CGCGGCATTGGCGGTGACGC</t>
  </si>
  <si>
    <t xml:space="preserve">TAGTCGCGGCATTGGCGGTGACGC</t>
  </si>
  <si>
    <t xml:space="preserve">AAACGCGTCACCGCCAATGCCGCG</t>
  </si>
  <si>
    <t xml:space="preserve">TGCCGTCGGCAGCGGTGTAG</t>
  </si>
  <si>
    <t xml:space="preserve">TAGTTGCCGTCGGCAGCGGTGTAG</t>
  </si>
  <si>
    <t xml:space="preserve">AAACCTACACCGCTGCCGACGGCA</t>
  </si>
  <si>
    <t xml:space="preserve">GGCGTAGTAACCGATCATCT</t>
  </si>
  <si>
    <t xml:space="preserve">TAGTGGCGTAGTAACCGATCATCT</t>
  </si>
  <si>
    <t xml:space="preserve">AAACAGATGATCGGTTACTACGCC</t>
  </si>
  <si>
    <t xml:space="preserve">PST_2988</t>
  </si>
  <si>
    <t xml:space="preserve">GTCCGGGCGGGTTGATCAGA</t>
  </si>
  <si>
    <t xml:space="preserve">TAGTGTCCGGGCGGGTTGATCAGA</t>
  </si>
  <si>
    <t xml:space="preserve">AAACTCTGATCAACCCGCCCGGAC</t>
  </si>
  <si>
    <t xml:space="preserve">AAACACCGGCCCGCTGGCCA</t>
  </si>
  <si>
    <t xml:space="preserve">TAGTAAACACCGGCCCGCTGGCCA</t>
  </si>
  <si>
    <t xml:space="preserve">AAACTGGCCAGCGGGCCGGTGTTT</t>
  </si>
  <si>
    <t xml:space="preserve">CACAGGCGACCTGCCAGTTG</t>
  </si>
  <si>
    <t xml:space="preserve">TAGTCACAGGCGACCTGCCAGTTG</t>
  </si>
  <si>
    <t xml:space="preserve">AAACCAACTGGCAGGTCGCCTGTG</t>
  </si>
  <si>
    <t xml:space="preserve">CTCGCCGAGCCTGGCGTCGA</t>
  </si>
  <si>
    <t xml:space="preserve">TAGTCTCGCCGAGCCTGGCGTCGA</t>
  </si>
  <si>
    <t xml:space="preserve">AAACTCGACGCCAGGCTCGGCGAG</t>
  </si>
  <si>
    <t xml:space="preserve">PST_2989</t>
  </si>
  <si>
    <t xml:space="preserve">AGGCCGAGCGCTGCAACCAG</t>
  </si>
  <si>
    <t xml:space="preserve">TAGTAGGCCGAGCGCTGCAACCAG</t>
  </si>
  <si>
    <t xml:space="preserve">AAACCTGGTTGCAGCGCTCGGCCT</t>
  </si>
  <si>
    <t xml:space="preserve">GTTCTGTTGCGCAACCGACC</t>
  </si>
  <si>
    <t xml:space="preserve">TAGTGTTCTGTTGCGCAACCGACC</t>
  </si>
  <si>
    <t xml:space="preserve">AAACGGTCGGTTGCGCAACAGAAC</t>
  </si>
  <si>
    <t xml:space="preserve">ACGTCGCGTTGCAGTTCCAG</t>
  </si>
  <si>
    <t xml:space="preserve">TAGTACGTCGCGTTGCAGTTCCAG</t>
  </si>
  <si>
    <t xml:space="preserve">AAACCTGGAACTGCAACGCGACGT</t>
  </si>
  <si>
    <t xml:space="preserve">GCCAATCCACTCGGCGATAT</t>
  </si>
  <si>
    <t xml:space="preserve">TAGTGCCAATCCACTCGGCGATAT</t>
  </si>
  <si>
    <t xml:space="preserve">AAACATATCGCCGAGTGGATTGGC</t>
  </si>
  <si>
    <t xml:space="preserve">PST_2990</t>
  </si>
  <si>
    <t xml:space="preserve">dinP</t>
  </si>
  <si>
    <t xml:space="preserve">CACGAAACGGGGCACCGGCA</t>
  </si>
  <si>
    <t xml:space="preserve">TAGTCACGAAACGGGGCACCGGCA</t>
  </si>
  <si>
    <t xml:space="preserve">AAACTGCCGGTGCCCCGTTTCGTG</t>
  </si>
  <si>
    <t xml:space="preserve">TGATCTTGCGAAGGGCGGTC</t>
  </si>
  <si>
    <t xml:space="preserve">TAGTTGATCTTGCGAAGGGCGGTC</t>
  </si>
  <si>
    <t xml:space="preserve">AAACGACCGCCCTTCGCAAGATCA</t>
  </si>
  <si>
    <t xml:space="preserve">AGAAGCAGTCGCAATCGATA</t>
  </si>
  <si>
    <t xml:space="preserve">TAGTAGAAGCAGTCGCAATCGATA</t>
  </si>
  <si>
    <t xml:space="preserve">AAACTATCGATTGCGACTGCTTCT</t>
  </si>
  <si>
    <t xml:space="preserve">ATCGTCGCGCATCTCGATCG</t>
  </si>
  <si>
    <t xml:space="preserve">TAGTATCGTCGCGCATCTCGATCG</t>
  </si>
  <si>
    <t xml:space="preserve">AAACCGATCGAGATGCGCGACGAT</t>
  </si>
  <si>
    <t xml:space="preserve">PST_2991</t>
  </si>
  <si>
    <t xml:space="preserve">CGTCACATAGACCGCATTGT</t>
  </si>
  <si>
    <t xml:space="preserve">TAGTCGTCACATAGACCGCATTGT</t>
  </si>
  <si>
    <t xml:space="preserve">AAACACAATGCGGTCTATGTGACG</t>
  </si>
  <si>
    <t xml:space="preserve">GAGGCTCTGGGAGTGCTGCC</t>
  </si>
  <si>
    <t xml:space="preserve">TAGTGAGGCTCTGGGAGTGCTGCC</t>
  </si>
  <si>
    <t xml:space="preserve">AAACGGCAGCACTCCCAGAGCCTC</t>
  </si>
  <si>
    <t xml:space="preserve">GGTGATAGTCATCGATACCC</t>
  </si>
  <si>
    <t xml:space="preserve">TAGTGGTGATAGTCATCGATACCC</t>
  </si>
  <si>
    <t xml:space="preserve">AAACGGGTATCGATGACTATCACC</t>
  </si>
  <si>
    <t xml:space="preserve">CGGCCATGGCGCGGTCCAGG</t>
  </si>
  <si>
    <t xml:space="preserve">TAGTCGGCCATGGCGCGGTCCAGG</t>
  </si>
  <si>
    <t xml:space="preserve">AAACCCTGGACCGCGCCATGGCCG</t>
  </si>
  <si>
    <t xml:space="preserve">PST_2996</t>
  </si>
  <si>
    <t xml:space="preserve">gltX</t>
  </si>
  <si>
    <t xml:space="preserve">GCGGGTGCGAACCGTGGTCA</t>
  </si>
  <si>
    <t xml:space="preserve">TAGTGCGGGTGCGAACCGTGGTCA</t>
  </si>
  <si>
    <t xml:space="preserve">AAACTGACCACGGTTCGCACCCGC</t>
  </si>
  <si>
    <t xml:space="preserve">TGAGGATCACCGGTCGGAGA</t>
  </si>
  <si>
    <t xml:space="preserve">TAGTTGAGGATCACCGGTCGGAGA</t>
  </si>
  <si>
    <t xml:space="preserve">AAACTCTCCGACCGGTGATCCTCA</t>
  </si>
  <si>
    <t xml:space="preserve">GTTGAACAGCGCGATATAGG</t>
  </si>
  <si>
    <t xml:space="preserve">TAGTGTTGAACAGCGCGATATAGG</t>
  </si>
  <si>
    <t xml:space="preserve">AAACCCTATATCGCGCTGTTCAAC</t>
  </si>
  <si>
    <t xml:space="preserve">CGTGCTGACGGGCGAAGCAC</t>
  </si>
  <si>
    <t xml:space="preserve">TAGTCGTGCTGACGGGCGAAGCAC</t>
  </si>
  <si>
    <t xml:space="preserve">AAACGTGCTTCGCCCGTCAGCACG</t>
  </si>
  <si>
    <t xml:space="preserve">PST_2997</t>
  </si>
  <si>
    <t xml:space="preserve">uvrB</t>
  </si>
  <si>
    <t xml:space="preserve">ACGCGTGACCAGTTCGAACT</t>
  </si>
  <si>
    <t xml:space="preserve">TAGTACGCGTGACCAGTTCGAACT</t>
  </si>
  <si>
    <t xml:space="preserve">AAACAGTTCGAACTGGTCACGCGT</t>
  </si>
  <si>
    <t xml:space="preserve">TCTGCCGGATGGCCTCCGGC</t>
  </si>
  <si>
    <t xml:space="preserve">TAGTTCTGCCGGATGGCCTCCGGC</t>
  </si>
  <si>
    <t xml:space="preserve">AAACGCCGGAGGCCATCCGGCAGA</t>
  </si>
  <si>
    <t xml:space="preserve">CGGTCACACCAAGCAACGTC</t>
  </si>
  <si>
    <t xml:space="preserve">TAGTCGGTCACACCAAGCAACGTC</t>
  </si>
  <si>
    <t xml:space="preserve">AAACGACGTTGCTTGGTGTGACCG</t>
  </si>
  <si>
    <t xml:space="preserve">GATCACATTGGCGATGCTGA</t>
  </si>
  <si>
    <t xml:space="preserve">TAGTGATCACATTGGCGATGCTGA</t>
  </si>
  <si>
    <t xml:space="preserve">AAACTCAGCATCGCCAATGTGATC</t>
  </si>
  <si>
    <t xml:space="preserve">PST_2998</t>
  </si>
  <si>
    <t xml:space="preserve">aspC</t>
  </si>
  <si>
    <t xml:space="preserve">CAAACGGGGCGGTAGTATAG</t>
  </si>
  <si>
    <t xml:space="preserve">TAGTCAAACGGGGCGGTAGTATAG</t>
  </si>
  <si>
    <t xml:space="preserve">AAACCTATACTACCGCCCCGTTTG</t>
  </si>
  <si>
    <t xml:space="preserve">CACCCTCGCGTCGGCGCGCA</t>
  </si>
  <si>
    <t xml:space="preserve">TAGTCACCCTCGCGTCGGCGCGCA</t>
  </si>
  <si>
    <t xml:space="preserve">AAACTGCGCGCCGACGCGAGGGTG</t>
  </si>
  <si>
    <t xml:space="preserve">GTGAGGGGGCTCGAAAGAGA</t>
  </si>
  <si>
    <t xml:space="preserve">TAGTGTGAGGGGGCTCGAAAGAGA</t>
  </si>
  <si>
    <t xml:space="preserve">AAACTCTCTTTCGAGCCCCCTCAC</t>
  </si>
  <si>
    <t xml:space="preserve">GACAGCAGAGAACAAACTCA</t>
  </si>
  <si>
    <t xml:space="preserve">TAGTGACAGCAGAGAACAAACTCA</t>
  </si>
  <si>
    <t xml:space="preserve">AAACTGAGTTTGTTCTCTGCTGTC</t>
  </si>
  <si>
    <t xml:space="preserve">PST_3000</t>
  </si>
  <si>
    <t xml:space="preserve">TGACCGGCAAATGGCAACAA</t>
  </si>
  <si>
    <t xml:space="preserve">TAGTTGACCGGCAAATGGCAACAA</t>
  </si>
  <si>
    <t xml:space="preserve">AAACTTGTTGCCATTTGCCGGTCA</t>
  </si>
  <si>
    <t xml:space="preserve">TCGGAAGACTGATTGATGGT</t>
  </si>
  <si>
    <t xml:space="preserve">TAGTTCGGAAGACTGATTGATGGT</t>
  </si>
  <si>
    <t xml:space="preserve">AAACACCATCAATCAGTCTTCCGA</t>
  </si>
  <si>
    <t xml:space="preserve">CTCGCAAATAGGGCATACGG</t>
  </si>
  <si>
    <t xml:space="preserve">TAGTCTCGCAAATAGGGCATACGG</t>
  </si>
  <si>
    <t xml:space="preserve">AAACCCGTATGCCCTATTTGCGAG</t>
  </si>
  <si>
    <t xml:space="preserve">ACCGCCAACACGATCAGAAA</t>
  </si>
  <si>
    <t xml:space="preserve">TAGTACCGCCAACACGATCAGAAA</t>
  </si>
  <si>
    <t xml:space="preserve">AAACTTTCTGATCGTGTTGGCGGT</t>
  </si>
  <si>
    <t xml:space="preserve">PST_3002</t>
  </si>
  <si>
    <t xml:space="preserve">GATGGTTTCGATGATATCCA</t>
  </si>
  <si>
    <t xml:space="preserve">TAGTGATGGTTTCGATGATATCCA</t>
  </si>
  <si>
    <t xml:space="preserve">AAACTGGATATCATCGAAACCATC</t>
  </si>
  <si>
    <t xml:space="preserve">GTACAGCAGCACCGGGTTGT</t>
  </si>
  <si>
    <t xml:space="preserve">TAGTGTACAGCAGCACCGGGTTGT</t>
  </si>
  <si>
    <t xml:space="preserve">AAACACAACCCGGTGCTGCTGTAC</t>
  </si>
  <si>
    <t xml:space="preserve">AAGCCACACTGCGGCGCATT</t>
  </si>
  <si>
    <t xml:space="preserve">TAGTAAGCCACACTGCGGCGCATT</t>
  </si>
  <si>
    <t xml:space="preserve">AAACAATGCGCCGCAGTGTGGCTT</t>
  </si>
  <si>
    <t xml:space="preserve">TACCGCCTGGGTCGCGCGGG</t>
  </si>
  <si>
    <t xml:space="preserve">TAGTTACCGCCTGGGTCGCGCGGG</t>
  </si>
  <si>
    <t xml:space="preserve">AAACCCCGCGCGACCCAGGCGGTA</t>
  </si>
  <si>
    <t xml:space="preserve">PST_3003</t>
  </si>
  <si>
    <t xml:space="preserve">argF</t>
  </si>
  <si>
    <t xml:space="preserve">GATTCTTCAAGGGCTCGAAC</t>
  </si>
  <si>
    <t xml:space="preserve">TAGTGATTCTTCAAGGGCTCGAAC</t>
  </si>
  <si>
    <t xml:space="preserve">AAACGTTCGAGCCCTTGAAGAATC</t>
  </si>
  <si>
    <t xml:space="preserve">GGACAGTCGGGTGCGGGTCG</t>
  </si>
  <si>
    <t xml:space="preserve">TAGTGGACAGTCGGGTGCGGGTCG</t>
  </si>
  <si>
    <t xml:space="preserve">AAACCGACCCGCACCCGACTGTCC</t>
  </si>
  <si>
    <t xml:space="preserve">CTGGATCATGCCGGCTTCGA</t>
  </si>
  <si>
    <t xml:space="preserve">TAGTCTGGATCATGCCGGCTTCGA</t>
  </si>
  <si>
    <t xml:space="preserve">AAACTCGAAGCCGGCATGATCCAG</t>
  </si>
  <si>
    <t xml:space="preserve">GCGGGGAAAGGAAGATCGCC</t>
  </si>
  <si>
    <t xml:space="preserve">TAGTGCGGGGAAAGGAAGATCGCC</t>
  </si>
  <si>
    <t xml:space="preserve">AAACGGCGATCTTCCTTTCCCCGC</t>
  </si>
  <si>
    <t xml:space="preserve">PST_3004</t>
  </si>
  <si>
    <t xml:space="preserve">AGTTGTAGCAGCGGCAGTTC</t>
  </si>
  <si>
    <t xml:space="preserve">TAGTAGTTGTAGCAGCGGCAGTTC</t>
  </si>
  <si>
    <t xml:space="preserve">AAACGAACTGCCGCTGCTACAACT</t>
  </si>
  <si>
    <t xml:space="preserve">GCTCACCATAGCCGCAGGCC</t>
  </si>
  <si>
    <t xml:space="preserve">TAGTGCTCACCATAGCCGCAGGCC</t>
  </si>
  <si>
    <t xml:space="preserve">AAACGGCCTGCGGCTATGGTGAGC</t>
  </si>
  <si>
    <t xml:space="preserve">TGTCGCCGCGATTCAGGTGC</t>
  </si>
  <si>
    <t xml:space="preserve">TAGTTGTCGCCGCGATTCAGGTGC</t>
  </si>
  <si>
    <t xml:space="preserve">AAACGCACCTGAATCGCGGCGACA</t>
  </si>
  <si>
    <t xml:space="preserve">CGCAGCCGGATGGGCCCAAC</t>
  </si>
  <si>
    <t xml:space="preserve">TAGTCGCAGCCGGATGGGCCCAAC</t>
  </si>
  <si>
    <t xml:space="preserve">AAACGTTGGGCCCATCCGGCTGCG</t>
  </si>
  <si>
    <t xml:space="preserve">PST_3005</t>
  </si>
  <si>
    <t xml:space="preserve">cumB</t>
  </si>
  <si>
    <t xml:space="preserve">CACCGGCACTTCGCCCAATG</t>
  </si>
  <si>
    <t xml:space="preserve">TAGTCACCGGCACTTCGCCCAATG</t>
  </si>
  <si>
    <t xml:space="preserve">AAACCATTGGGCGAAGTGCCGGTG</t>
  </si>
  <si>
    <t xml:space="preserve">TGGGGTCGTGGCGCGAAATC</t>
  </si>
  <si>
    <t xml:space="preserve">TAGTTGGGGTCGTGGCGCGAAATC</t>
  </si>
  <si>
    <t xml:space="preserve">AAACGATTTCGCGCCACGACCCCA</t>
  </si>
  <si>
    <t xml:space="preserve">GACCATCTCTGCATGAGCAC</t>
  </si>
  <si>
    <t xml:space="preserve">TAGTGACCATCTCTGCATGAGCAC</t>
  </si>
  <si>
    <t xml:space="preserve">AAACGTGCTCATGCAGAGATGGTC</t>
  </si>
  <si>
    <t xml:space="preserve">CGCCTGCGCGGCAGCACGTA</t>
  </si>
  <si>
    <t xml:space="preserve">TAGTCGCCTGCGCGGCAGCACGTA</t>
  </si>
  <si>
    <t xml:space="preserve">AAACTACGTGCTGCCGCGCAGGCG</t>
  </si>
  <si>
    <t xml:space="preserve">PST_3006</t>
  </si>
  <si>
    <t xml:space="preserve">cumA</t>
  </si>
  <si>
    <t xml:space="preserve">GAGAAACTGTCTACGGGTAA</t>
  </si>
  <si>
    <t xml:space="preserve">TAGTGAGAAACTGTCTACGGGTAA</t>
  </si>
  <si>
    <t xml:space="preserve">AAACTTACCCGTAGACAGTTTCTC</t>
  </si>
  <si>
    <t xml:space="preserve">CAGGCCAACGACACCGAGGC</t>
  </si>
  <si>
    <t xml:space="preserve">TAGTCAGGCCAACGACACCGAGGC</t>
  </si>
  <si>
    <t xml:space="preserve">AAACGCCTCGGTGTCGTTGGCCTG</t>
  </si>
  <si>
    <t xml:space="preserve">CCAGTAGCGCACGCCACTGC</t>
  </si>
  <si>
    <t xml:space="preserve">TAGTCCAGTAGCGCACGCCACTGC</t>
  </si>
  <si>
    <t xml:space="preserve">AAACGCAGTGGCGTGCGCTACTGG</t>
  </si>
  <si>
    <t xml:space="preserve">CATGGGTGGTGACATCGACC</t>
  </si>
  <si>
    <t xml:space="preserve">TAGTCATGGGTGGTGACATCGACC</t>
  </si>
  <si>
    <t xml:space="preserve">AAACGGTCGATGTCACCACCCATG</t>
  </si>
  <si>
    <t xml:space="preserve">PST_3007</t>
  </si>
  <si>
    <t xml:space="preserve">guaA</t>
  </si>
  <si>
    <t xml:space="preserve">GTGGATGTCAGGATGAGACA</t>
  </si>
  <si>
    <t xml:space="preserve">TAGTGTGGATGTCAGGATGAGACA</t>
  </si>
  <si>
    <t xml:space="preserve">AAACTGTCTCATCCTGACATCCAC</t>
  </si>
  <si>
    <t xml:space="preserve">CGAAGTCGAGAATCAGAATG</t>
  </si>
  <si>
    <t xml:space="preserve">TAGTCGAAGTCGAGAATCAGAATG</t>
  </si>
  <si>
    <t xml:space="preserve">AAACCATTCTGATTCTCGACTTCG</t>
  </si>
  <si>
    <t xml:space="preserve">GGCGATCAGCTGGGTGTACT</t>
  </si>
  <si>
    <t xml:space="preserve">TAGTGGCGATCAGCTGGGTGTACT</t>
  </si>
  <si>
    <t xml:space="preserve">AAACAGTACACCCAGCTGATCGCC</t>
  </si>
  <si>
    <t xml:space="preserve">GCCGATCTCGCGCACGCGGC</t>
  </si>
  <si>
    <t xml:space="preserve">TAGTGCCGATCTCGCGCACGCGGC</t>
  </si>
  <si>
    <t xml:space="preserve">AAACGCCGCGTGCGCGAGATCGGC</t>
  </si>
  <si>
    <t xml:space="preserve">PST_3008</t>
  </si>
  <si>
    <t xml:space="preserve">guaB</t>
  </si>
  <si>
    <t xml:space="preserve">TTCTTGGCTGATACGCAGCA</t>
  </si>
  <si>
    <t xml:space="preserve">TAGTTTCTTGGCTGATACGCAGCA</t>
  </si>
  <si>
    <t xml:space="preserve">AAACTGCTGCGTATCAGCCAAGAA</t>
  </si>
  <si>
    <t xml:space="preserve">GAGAACGTCATCGAAAGTCA</t>
  </si>
  <si>
    <t xml:space="preserve">TAGTGAGAACGTCATCGAAAGTCA</t>
  </si>
  <si>
    <t xml:space="preserve">AAACTGACTTTCGATGACGTTCTC</t>
  </si>
  <si>
    <t xml:space="preserve">CCTCGGAATATCCCGGGATC</t>
  </si>
  <si>
    <t xml:space="preserve">TAGTCCTCGGAATATCCCGGGATC</t>
  </si>
  <si>
    <t xml:space="preserve">AAACGATCCCGGGATATTCCGAGG</t>
  </si>
  <si>
    <t xml:space="preserve">GTCTTGAGGCTGACATCCTT</t>
  </si>
  <si>
    <t xml:space="preserve">TAGTGTCTTGAGGCTGACATCCTT</t>
  </si>
  <si>
    <t xml:space="preserve">AAACAAGGATGTCAGCCTCAAGAC</t>
  </si>
  <si>
    <t xml:space="preserve">PST_3009</t>
  </si>
  <si>
    <t xml:space="preserve">GGTTTCCGCTTGGCCGCGCG</t>
  </si>
  <si>
    <t xml:space="preserve">TAGTGGTTTCCGCTTGGCCGCGCG</t>
  </si>
  <si>
    <t xml:space="preserve">AAACCGCGCGGCCAAGCGGAAACC</t>
  </si>
  <si>
    <t xml:space="preserve">GGACGGACGCCAAGCAGATT</t>
  </si>
  <si>
    <t xml:space="preserve">TAGTGGACGGACGCCAAGCAGATT</t>
  </si>
  <si>
    <t xml:space="preserve">AAACAATCTGCTTGGCGTCCGTCC</t>
  </si>
  <si>
    <t xml:space="preserve">GTAGGCTGGTCAAGGCCCGC</t>
  </si>
  <si>
    <t xml:space="preserve">TAGTGTAGGCTGGTCAAGGCCCGC</t>
  </si>
  <si>
    <t xml:space="preserve">AAACGCGGGCCTTGACCAGCCTAC</t>
  </si>
  <si>
    <t xml:space="preserve">TCGGAACCGGAGATGGAGAA</t>
  </si>
  <si>
    <t xml:space="preserve">TAGTTCGGAACCGGAGATGGAGAA</t>
  </si>
  <si>
    <t xml:space="preserve">AAACTTCTCCATCTCCGGTTCCGA</t>
  </si>
  <si>
    <t xml:space="preserve">PST_3010</t>
  </si>
  <si>
    <t xml:space="preserve">xseA</t>
  </si>
  <si>
    <t xml:space="preserve">CTGGAAGGGATCTTTGAGCA</t>
  </si>
  <si>
    <t xml:space="preserve">TAGTCTGGAAGGGATCTTTGAGCA</t>
  </si>
  <si>
    <t xml:space="preserve">AAACTGCTCAAAGATCCCTTCCAG</t>
  </si>
  <si>
    <t xml:space="preserve">GCACTTCGCGATCGAGATTG</t>
  </si>
  <si>
    <t xml:space="preserve">TAGTGCACTTCGCGATCGAGATTG</t>
  </si>
  <si>
    <t xml:space="preserve">AAACCAATCTCGATCGCGAAGTGC</t>
  </si>
  <si>
    <t xml:space="preserve">GCGACCGTTGAGCTGACTGA</t>
  </si>
  <si>
    <t xml:space="preserve">TAGTGCGACCGTTGAGCTGACTGA</t>
  </si>
  <si>
    <t xml:space="preserve">AAACTCAGTCAGCTCAACGGTCGC</t>
  </si>
  <si>
    <t xml:space="preserve">CACGTCCTCGAGCAACAGGC</t>
  </si>
  <si>
    <t xml:space="preserve">TAGTCACGTCCTCGAGCAACAGGC</t>
  </si>
  <si>
    <t xml:space="preserve">AAACGCCTGTTGCTCGAGGACGTG</t>
  </si>
  <si>
    <t xml:space="preserve">PST_3011</t>
  </si>
  <si>
    <t xml:space="preserve">CAGGGCGAAGACGCGAGACA</t>
  </si>
  <si>
    <t xml:space="preserve">TAGTCAGGGCGAAGACGCGAGACA</t>
  </si>
  <si>
    <t xml:space="preserve">AAACTGTCTCGCGTCTTCGCCCTG</t>
  </si>
  <si>
    <t xml:space="preserve">GGCAGGCAATGCGAGGGAGA</t>
  </si>
  <si>
    <t xml:space="preserve">TAGTGGCAGGCAATGCGAGGGAGA</t>
  </si>
  <si>
    <t xml:space="preserve">AAACTCTCCCTCGCATTGCCTGCC</t>
  </si>
  <si>
    <t xml:space="preserve">GGTGATGAAGCCCTCGGCCT</t>
  </si>
  <si>
    <t xml:space="preserve">TAGTGGTGATGAAGCCCTCGGCCT</t>
  </si>
  <si>
    <t xml:space="preserve">AAACAGGCCGAGGGCTTCATCACC</t>
  </si>
  <si>
    <t xml:space="preserve">CACCGGTTTGTTCAGCAGGC</t>
  </si>
  <si>
    <t xml:space="preserve">TAGTCACCGGTTTGTTCAGCAGGC</t>
  </si>
  <si>
    <t xml:space="preserve">AAACGCCTGCTGAACAAACCGGTG</t>
  </si>
  <si>
    <t xml:space="preserve">PST_3012</t>
  </si>
  <si>
    <t xml:space="preserve">TTGCAGCCAGGCGGTGTGTT</t>
  </si>
  <si>
    <t xml:space="preserve">TAGTTTGCAGCCAGGCGGTGTGTT</t>
  </si>
  <si>
    <t xml:space="preserve">AAACAACACACCGCCTGGCTGCAA</t>
  </si>
  <si>
    <t xml:space="preserve">TACCGGTACGCCGACCCGCT</t>
  </si>
  <si>
    <t xml:space="preserve">TAGTTACCGGTACGCCGACCCGCT</t>
  </si>
  <si>
    <t xml:space="preserve">AAACAGCGGGTCGGCGTACCGGTA</t>
  </si>
  <si>
    <t xml:space="preserve">GAGGCCCTTGCTGTACTGCT</t>
  </si>
  <si>
    <t xml:space="preserve">TAGTGAGGCCCTTGCTGTACTGCT</t>
  </si>
  <si>
    <t xml:space="preserve">AAACAGCAGTACAGCAAGGGCCTC</t>
  </si>
  <si>
    <t xml:space="preserve">CACGCAGCTCGGCGATCGTG</t>
  </si>
  <si>
    <t xml:space="preserve">TAGTCACGCAGCTCGGCGATCGTG</t>
  </si>
  <si>
    <t xml:space="preserve">AAACCACGATCGCCGAGCTGCGTG</t>
  </si>
  <si>
    <t xml:space="preserve">PST_3013</t>
  </si>
  <si>
    <t xml:space="preserve">CCGGCCAGGTCGTCGGACAT</t>
  </si>
  <si>
    <t xml:space="preserve">TAGTCCGGCCAGGTCGTCGGACAT</t>
  </si>
  <si>
    <t xml:space="preserve">AAACATGTCCGACGACCTGGCCGG</t>
  </si>
  <si>
    <t xml:space="preserve">CAGCGTCTGCAGTTCGGGGT</t>
  </si>
  <si>
    <t xml:space="preserve">TAGTCAGCGTCTGCAGTTCGGGGT</t>
  </si>
  <si>
    <t xml:space="preserve">AAACACCCCGAACTGCAGACGCTG</t>
  </si>
  <si>
    <t xml:space="preserve">GATCCAGTTGGACAGCCAGG</t>
  </si>
  <si>
    <t xml:space="preserve">TAGTGATCCAGTTGGACAGCCAGG</t>
  </si>
  <si>
    <t xml:space="preserve">AAACCCTGGCTGTCCAACTGGATC</t>
  </si>
  <si>
    <t xml:space="preserve">GGTGGTACAGGCCGCGGACG</t>
  </si>
  <si>
    <t xml:space="preserve">TAGTGGTGGTACAGGCCGCGGACG</t>
  </si>
  <si>
    <t xml:space="preserve">AAACCGTCCGCGGCCTGTACCACC</t>
  </si>
  <si>
    <t xml:space="preserve">PST_3014</t>
  </si>
  <si>
    <t xml:space="preserve">oprC</t>
  </si>
  <si>
    <t xml:space="preserve">GGTGATTGAACCGCCAAGGG</t>
  </si>
  <si>
    <t xml:space="preserve">TAGTGGTGATTGAACCGCCAAGGG</t>
  </si>
  <si>
    <t xml:space="preserve">AAACCCCTTGGCGGTTCAATCACC</t>
  </si>
  <si>
    <t xml:space="preserve">CATAGAACTTCCACTTCTGC</t>
  </si>
  <si>
    <t xml:space="preserve">TAGTCATAGAACTTCCACTTCTGC</t>
  </si>
  <si>
    <t xml:space="preserve">AAACGCAGAAGTGGAAGTTCTATG</t>
  </si>
  <si>
    <t xml:space="preserve">CGTACAGCCATGAGTAATGC</t>
  </si>
  <si>
    <t xml:space="preserve">TAGTCGTACAGCCATGAGTAATGC</t>
  </si>
  <si>
    <t xml:space="preserve">AAACGCATTACTCATGGCTGTACG</t>
  </si>
  <si>
    <t xml:space="preserve">GAATCGAAAAACGCTCGGAC</t>
  </si>
  <si>
    <t xml:space="preserve">TAGTGAATCGAAAAACGCTCGGAC</t>
  </si>
  <si>
    <t xml:space="preserve">AAACGTCCGAGCGTTTTTCGATTC</t>
  </si>
  <si>
    <t xml:space="preserve">PST_3015</t>
  </si>
  <si>
    <t xml:space="preserve">GAATCATCAGCATGGCGAAC</t>
  </si>
  <si>
    <t xml:space="preserve">TAGTGAATCATCAGCATGGCGAAC</t>
  </si>
  <si>
    <t xml:space="preserve">AAACGTTCGCCATGCTGATGATTC</t>
  </si>
  <si>
    <t xml:space="preserve">GATGGCGGAGAACAGCGGGC</t>
  </si>
  <si>
    <t xml:space="preserve">TAGTGATGGCGGAGAACAGCGGGC</t>
  </si>
  <si>
    <t xml:space="preserve">AAACGCCCGCTGTTCTCCGCCATC</t>
  </si>
  <si>
    <t xml:space="preserve">GTGTTGCACGCCCGCCTGGG</t>
  </si>
  <si>
    <t xml:space="preserve">TAGTGTGTTGCACGCCCGCCTGGG</t>
  </si>
  <si>
    <t xml:space="preserve">AAACCCCAGGCGGGCGTGCAACAC</t>
  </si>
  <si>
    <t xml:space="preserve">GTTGGTGTTCGGCGTGGTAA</t>
  </si>
  <si>
    <t xml:space="preserve">TAGTGTTGGTGTTCGGCGTGGTAA</t>
  </si>
  <si>
    <t xml:space="preserve">AAACTTACCACGCCGAACACCAAC</t>
  </si>
  <si>
    <t xml:space="preserve">PST_3016</t>
  </si>
  <si>
    <t xml:space="preserve">leuA</t>
  </si>
  <si>
    <t xml:space="preserve">TGGATTCTTGAGCATGGTCA</t>
  </si>
  <si>
    <t xml:space="preserve">TAGTTGGATTCTTGAGCATGGTCA</t>
  </si>
  <si>
    <t xml:space="preserve">AAACTGACCATGCTCAAGAATCCA</t>
  </si>
  <si>
    <t xml:space="preserve">AAGGCACGGTATTTATTCGA</t>
  </si>
  <si>
    <t xml:space="preserve">TAGTAAGGCACGGTATTTATTCGA</t>
  </si>
  <si>
    <t xml:space="preserve">AAACTCGAATAAATACCGTGCCTT</t>
  </si>
  <si>
    <t xml:space="preserve">GATCGGGAATGTCGATGGCC</t>
  </si>
  <si>
    <t xml:space="preserve">TAGTGATCGGGAATGTCGATGGCC</t>
  </si>
  <si>
    <t xml:space="preserve">AAACGGCCATCGACATTCCCGATC</t>
  </si>
  <si>
    <t xml:space="preserve">GGTGATGGCCTTCGACGGCC</t>
  </si>
  <si>
    <t xml:space="preserve">TAGTGGTGATGGCCTTCGACGGCC</t>
  </si>
  <si>
    <t xml:space="preserve">AAACGGCCGTCGAAGGCCATCACC</t>
  </si>
  <si>
    <t xml:space="preserve">PST_3017</t>
  </si>
  <si>
    <t xml:space="preserve">GGGCGGCGTAACCGAGGGTC</t>
  </si>
  <si>
    <t xml:space="preserve">TAGTGGGCGGCGTAACCGAGGGTC</t>
  </si>
  <si>
    <t xml:space="preserve">AAACGACCCTCGGTTACGCCGCCC</t>
  </si>
  <si>
    <t xml:space="preserve">GAGCGGGCTGTTCGGGTCGA</t>
  </si>
  <si>
    <t xml:space="preserve">TAGTGAGCGGGCTGTTCGGGTCGA</t>
  </si>
  <si>
    <t xml:space="preserve">AAACTCGACCCGAACAGCCCGCTC</t>
  </si>
  <si>
    <t xml:space="preserve">TCGCGGCGCGAAAACGAATA</t>
  </si>
  <si>
    <t xml:space="preserve">TAGTTCGCGGCGCGAAAACGAATA</t>
  </si>
  <si>
    <t xml:space="preserve">AAACTATTCGTTTTCGCGCCGCGA</t>
  </si>
  <si>
    <t xml:space="preserve">TGTCGATCTTCACGTCATTC</t>
  </si>
  <si>
    <t xml:space="preserve">TAGTTGTCGATCTTCACGTCATTC</t>
  </si>
  <si>
    <t xml:space="preserve">AAACGAATGACGTGAAGATCGACA</t>
  </si>
  <si>
    <t xml:space="preserve">PST_3018</t>
  </si>
  <si>
    <t xml:space="preserve">GAAGGAAAAGGCCCAGAGCA</t>
  </si>
  <si>
    <t xml:space="preserve">TAGTGAAGGAAAAGGCCCAGAGCA</t>
  </si>
  <si>
    <t xml:space="preserve">AAACTGCTCTGGGCCTTTTCCTTC</t>
  </si>
  <si>
    <t xml:space="preserve">CGGCCAGGTAAACGCCGATC</t>
  </si>
  <si>
    <t xml:space="preserve">TAGTCGGCCAGGTAAACGCCGATC</t>
  </si>
  <si>
    <t xml:space="preserve">AAACGATCGGCGTTTACCTGGCCG</t>
  </si>
  <si>
    <t xml:space="preserve">GAAATAGCTGTCCACCTGGC</t>
  </si>
  <si>
    <t xml:space="preserve">TAGTGAAATAGCTGTCCACCTGGC</t>
  </si>
  <si>
    <t xml:space="preserve">AAACGCCAGGTGGACAGCTATTTC</t>
  </si>
  <si>
    <t xml:space="preserve">GAGAACTACCCGCGTTAGCA</t>
  </si>
  <si>
    <t xml:space="preserve">TAGTGAGAACTACCCGCGTTAGCA</t>
  </si>
  <si>
    <t xml:space="preserve">AAACTGCTAACGCGGGTAGTTCTC</t>
  </si>
  <si>
    <t xml:space="preserve">PST_3019</t>
  </si>
  <si>
    <t xml:space="preserve">endA</t>
  </si>
  <si>
    <t xml:space="preserve">AAAGAGACTGAGGCGGCGCA</t>
  </si>
  <si>
    <t xml:space="preserve">TAGTAAAGAGACTGAGGCGGCGCA</t>
  </si>
  <si>
    <t xml:space="preserve">AAACTGCGCCGCCTCAGTCTCTTT</t>
  </si>
  <si>
    <t xml:space="preserve">AGTGTTGGTGCAGCAGAACA</t>
  </si>
  <si>
    <t xml:space="preserve">TAGTAGTGTTGGTGCAGCAGAACA</t>
  </si>
  <si>
    <t xml:space="preserve">AAACTGTTCTGCTGCACCAACACT</t>
  </si>
  <si>
    <t xml:space="preserve">GCGGAAGGTGCGAGGCGCGT</t>
  </si>
  <si>
    <t xml:space="preserve">TAGTGCGGAAGGTGCGAGGCGCGT</t>
  </si>
  <si>
    <t xml:space="preserve">AAACACGCGCCTCGCACCTTCCGC</t>
  </si>
  <si>
    <t xml:space="preserve">GATGGTCCAGGCCACCTTCT</t>
  </si>
  <si>
    <t xml:space="preserve">TAGTGATGGTCCAGGCCACCTTCT</t>
  </si>
  <si>
    <t xml:space="preserve">AAACAGAAGGTGGCCTGGACCATC</t>
  </si>
  <si>
    <t xml:space="preserve">PST_3020</t>
  </si>
  <si>
    <t xml:space="preserve">GCCAGCATGGCCCAACCAGC</t>
  </si>
  <si>
    <t xml:space="preserve">TAGTGCCAGCATGGCCCAACCAGC</t>
  </si>
  <si>
    <t xml:space="preserve">AAACGCTGGTTGGGCCATGCTGGC</t>
  </si>
  <si>
    <t xml:space="preserve">GCACGAGAGTGCCGAGCGTC</t>
  </si>
  <si>
    <t xml:space="preserve">TAGTGCACGAGAGTGCCGAGCGTC</t>
  </si>
  <si>
    <t xml:space="preserve">AAACGACGCTCGGCACTCTCGTGC</t>
  </si>
  <si>
    <t xml:space="preserve">ATCGTATGGCGCGATGGCCG</t>
  </si>
  <si>
    <t xml:space="preserve">TAGTATCGTATGGCGCGATGGCCG</t>
  </si>
  <si>
    <t xml:space="preserve">AAACCGGCCATCGCGCCATACGAT</t>
  </si>
  <si>
    <t xml:space="preserve">CGGTGCGACCTCCAGCAGCC</t>
  </si>
  <si>
    <t xml:space="preserve">TAGTCGGTGCGACCTCCAGCAGCC</t>
  </si>
  <si>
    <t xml:space="preserve">AAACGGCTGCTGGAGGTCGCACCG</t>
  </si>
  <si>
    <t xml:space="preserve">PST_3021</t>
  </si>
  <si>
    <t xml:space="preserve">GGCACCGATCCGATAGAGCA</t>
  </si>
  <si>
    <t xml:space="preserve">TAGTGGCACCGATCCGATAGAGCA</t>
  </si>
  <si>
    <t xml:space="preserve">AAACTGCTCTATCGGATCGGTGCC</t>
  </si>
  <si>
    <t xml:space="preserve">GTGCAACAGCAGCACGGCGT</t>
  </si>
  <si>
    <t xml:space="preserve">TAGTGTGCAACAGCAGCACGGCGT</t>
  </si>
  <si>
    <t xml:space="preserve">AAACACGCCGTGCTGCTGTTGCAC</t>
  </si>
  <si>
    <t xml:space="preserve">GCACGAAAAGGATGAAGCTC</t>
  </si>
  <si>
    <t xml:space="preserve">TAGTGCACGAAAAGGATGAAGCTC</t>
  </si>
  <si>
    <t xml:space="preserve">AAACGAGCTTCATCCTTTTCGTGC</t>
  </si>
  <si>
    <t xml:space="preserve">CAGCAGAAAACCGCGTCTCC</t>
  </si>
  <si>
    <t xml:space="preserve">TAGTCAGCAGAAAACCGCGTCTCC</t>
  </si>
  <si>
    <t xml:space="preserve">AAACGGAGACGCGGTTTTCTGCTG</t>
  </si>
  <si>
    <t xml:space="preserve">PST_3022</t>
  </si>
  <si>
    <t xml:space="preserve">GCCTGTTCCGGCTCCCTCCC</t>
  </si>
  <si>
    <t xml:space="preserve">TAGTGCCTGTTCCGGCTCCCTCCC</t>
  </si>
  <si>
    <t xml:space="preserve">AAACGGGAGGGAGCCGGAACAGGC</t>
  </si>
  <si>
    <t xml:space="preserve">CGGCTTGTAACGCGATGTGA</t>
  </si>
  <si>
    <t xml:space="preserve">TAGTCGGCTTGTAACGCGATGTGA</t>
  </si>
  <si>
    <t xml:space="preserve">AAACTCACATCGCGTTACAAGCCG</t>
  </si>
  <si>
    <t xml:space="preserve">GGGCGTTGTCCTCGAACCGC</t>
  </si>
  <si>
    <t xml:space="preserve">TAGTGGGCGTTGTCCTCGAACCGC</t>
  </si>
  <si>
    <t xml:space="preserve">AAACGCGGTTCGAGGACAACGCCC</t>
  </si>
  <si>
    <t xml:space="preserve">CCTCCCAGGCCGCGTGGCAT</t>
  </si>
  <si>
    <t xml:space="preserve">TAGTCCTCCCAGGCCGCGTGGCAT</t>
  </si>
  <si>
    <t xml:space="preserve">AAACATGCCACGCGGCCTGGGAGG</t>
  </si>
  <si>
    <t xml:space="preserve">PST_3023</t>
  </si>
  <si>
    <t xml:space="preserve">CGCTGTGCCGCGAGCGCATC</t>
  </si>
  <si>
    <t xml:space="preserve">TAGTCGCTGTGCCGCGAGCGCATC</t>
  </si>
  <si>
    <t xml:space="preserve">AAACGATGCGCTCGCGGCACAGCG</t>
  </si>
  <si>
    <t xml:space="preserve">CTACGCCATCGATCACCGAG</t>
  </si>
  <si>
    <t xml:space="preserve">TAGTCTACGCCATCGATCACCGAG</t>
  </si>
  <si>
    <t xml:space="preserve">AAACCTCGGTGATCGATGGCGTAG</t>
  </si>
  <si>
    <t xml:space="preserve">CACCACGACGCCGACCAGCA</t>
  </si>
  <si>
    <t xml:space="preserve">TAGTCACCACGACGCCGACCAGCA</t>
  </si>
  <si>
    <t xml:space="preserve">AAACTGCTGGTCGGCGTCGTGGTG</t>
  </si>
  <si>
    <t xml:space="preserve">CATGCTGGGCGACCAGGGGC</t>
  </si>
  <si>
    <t xml:space="preserve">TAGTCATGCTGGGCGACCAGGGGC</t>
  </si>
  <si>
    <t xml:space="preserve">AAACGCCCCTGGTCGCCCAGCATG</t>
  </si>
  <si>
    <t xml:space="preserve">PST_3024</t>
  </si>
  <si>
    <t xml:space="preserve">GGGCCAGTTCGAGATCGGGC</t>
  </si>
  <si>
    <t xml:space="preserve">TAGTGGGCCAGTTCGAGATCGGGC</t>
  </si>
  <si>
    <t xml:space="preserve">AAACGCCCGATCTCGAACTGGCCC</t>
  </si>
  <si>
    <t xml:space="preserve">GACCAGGGTGGTCTGGATCA</t>
  </si>
  <si>
    <t xml:space="preserve">TAGTGACCAGGGTGGTCTGGATCA</t>
  </si>
  <si>
    <t xml:space="preserve">AAACTGATCCAGACCACCCTGGTC</t>
  </si>
  <si>
    <t xml:space="preserve">GAAACGCTCGCGGTTGGCAT</t>
  </si>
  <si>
    <t xml:space="preserve">TAGTGAAACGCTCGCGGTTGGCAT</t>
  </si>
  <si>
    <t xml:space="preserve">AAACATGCCAACCGCGAGCGTTTC</t>
  </si>
  <si>
    <t xml:space="preserve">TCAGATCGGCACCGCGGGCC</t>
  </si>
  <si>
    <t xml:space="preserve">TAGTTCAGATCGGCACCGCGGGCC</t>
  </si>
  <si>
    <t xml:space="preserve">AAACGGCCCGCGGTGCCGATCTGA</t>
  </si>
  <si>
    <t xml:space="preserve">PST_3025</t>
  </si>
  <si>
    <t xml:space="preserve">GCCGACATTGGGCAATTTAC</t>
  </si>
  <si>
    <t xml:space="preserve">TAGTGCCGACATTGGGCAATTTAC</t>
  </si>
  <si>
    <t xml:space="preserve">AAACGTAAATTGCCCAATGTCGGC</t>
  </si>
  <si>
    <t xml:space="preserve">GGCAGCGAGCTGAGACATGG</t>
  </si>
  <si>
    <t xml:space="preserve">TAGTGGCAGCGAGCTGAGACATGG</t>
  </si>
  <si>
    <t xml:space="preserve">AAACCCATGTCTCAGCTCGCTGCC</t>
  </si>
  <si>
    <t xml:space="preserve">GAGATTCAAGGCACCGGTGT</t>
  </si>
  <si>
    <t xml:space="preserve">TAGTGAGATTCAAGGCACCGGTGT</t>
  </si>
  <si>
    <t xml:space="preserve">AAACACACCGGTGCCTTGAATCTC</t>
  </si>
  <si>
    <t xml:space="preserve">ATCGAAGTCGGGAAAGCCCT</t>
  </si>
  <si>
    <t xml:space="preserve">TAGTATCGAAGTCGGGAAAGCCCT</t>
  </si>
  <si>
    <t xml:space="preserve">AAACAGGGCTTTCCCGACTTCGAT</t>
  </si>
  <si>
    <t xml:space="preserve">PST_3026</t>
  </si>
  <si>
    <t xml:space="preserve">TCGTATCGGGTCGCGCTCAT</t>
  </si>
  <si>
    <t xml:space="preserve">TAGTTCGTATCGGGTCGCGCTCAT</t>
  </si>
  <si>
    <t xml:space="preserve">AAACATGAGCGCGACCCGATACGA</t>
  </si>
  <si>
    <t xml:space="preserve">AGTCTGAACAGGCCGTCGGC</t>
  </si>
  <si>
    <t xml:space="preserve">TAGTAGTCTGAACAGGCCGTCGGC</t>
  </si>
  <si>
    <t xml:space="preserve">AAACGCCGACGGCCTGTTCAGACT</t>
  </si>
  <si>
    <t xml:space="preserve">CTTGAGGGTCGATGACGGGT</t>
  </si>
  <si>
    <t xml:space="preserve">TAGTCTTGAGGGTCGATGACGGGT</t>
  </si>
  <si>
    <t xml:space="preserve">AAACACCCGTCATCGACCCTCAAG</t>
  </si>
  <si>
    <t xml:space="preserve">GCTGACGGAAAGGTTCGACA</t>
  </si>
  <si>
    <t xml:space="preserve">TAGTGCTGACGGAAAGGTTCGACA</t>
  </si>
  <si>
    <t xml:space="preserve">AAACTGTCGAACCTTTCCGTCAGC</t>
  </si>
  <si>
    <t xml:space="preserve">PST_3027</t>
  </si>
  <si>
    <t xml:space="preserve">engA</t>
  </si>
  <si>
    <t xml:space="preserve">CGACCCACCAGGGCGATTAC</t>
  </si>
  <si>
    <t xml:space="preserve">TAGTCGACCCACCAGGGCGATTAC</t>
  </si>
  <si>
    <t xml:space="preserve">AAACGTAATCGCCCTGGTGGGTCG</t>
  </si>
  <si>
    <t xml:space="preserve">GGGTGGATTTGCCGACATTC</t>
  </si>
  <si>
    <t xml:space="preserve">TAGTGGGTGGATTTGCCGACATTC</t>
  </si>
  <si>
    <t xml:space="preserve">AAACGAATGTCGGCAAATCCACCC</t>
  </si>
  <si>
    <t xml:space="preserve">CTTGGTCAGGCGATTGAACA</t>
  </si>
  <si>
    <t xml:space="preserve">TAGTCTTGGTCAGGCGATTGAACA</t>
  </si>
  <si>
    <t xml:space="preserve">AAACTGTTCAATCGCCTGACCAAG</t>
  </si>
  <si>
    <t xml:space="preserve">CCCGGCGTACTCGGCGACGA</t>
  </si>
  <si>
    <t xml:space="preserve">TAGTCCCGGCGTACTCGGCGACGA</t>
  </si>
  <si>
    <t xml:space="preserve">AAACTCGTCGCCGAGTACGCCGGG</t>
  </si>
  <si>
    <t xml:space="preserve">PST_3028</t>
  </si>
  <si>
    <t xml:space="preserve">GCTGCAGTCTTCCAGCGCAT</t>
  </si>
  <si>
    <t xml:space="preserve">TAGTGCTGCAGTCTTCCAGCGCAT</t>
  </si>
  <si>
    <t xml:space="preserve">AAACATGCGCTGGAAGACTGCAGC</t>
  </si>
  <si>
    <t xml:space="preserve">ACCTGCGGCCAGTACGGCCA</t>
  </si>
  <si>
    <t xml:space="preserve">TAGTACCTGCGGCCAGTACGGCCA</t>
  </si>
  <si>
    <t xml:space="preserve">AAACTGGCCGTACTGGCCGCAGGT</t>
  </si>
  <si>
    <t xml:space="preserve">CTCCGCCGGCTCTGGCTCTT</t>
  </si>
  <si>
    <t xml:space="preserve">TAGTCTCCGCCGGCTCTGGCTCTT</t>
  </si>
  <si>
    <t xml:space="preserve">AAACAAGAGCCAGAGCCGGCGGAG</t>
  </si>
  <si>
    <t xml:space="preserve">CGAGATCTCCGCATCGAACT</t>
  </si>
  <si>
    <t xml:space="preserve">TAGTCGAGATCTCCGCATCGAACT</t>
  </si>
  <si>
    <t xml:space="preserve">AAACAGTTCGATGCGGAGATCTCG</t>
  </si>
  <si>
    <t xml:space="preserve">PST_3029</t>
  </si>
  <si>
    <t xml:space="preserve">TTGTTCTTCTTCAGTACCCG</t>
  </si>
  <si>
    <t xml:space="preserve">TAGTTTGTTCTTCTTCAGTACCCG</t>
  </si>
  <si>
    <t xml:space="preserve">AAACCGGGTACTGAAGAAGAACAA</t>
  </si>
  <si>
    <t xml:space="preserve">ATCACGGCACCCAGCACAAG</t>
  </si>
  <si>
    <t xml:space="preserve">TAGTATCACGGCACCCAGCACAAG</t>
  </si>
  <si>
    <t xml:space="preserve">AAACCTTGTGCTGGGTGCCGTGAT</t>
  </si>
  <si>
    <t xml:space="preserve">CCAGCCGAACACCAACACCA</t>
  </si>
  <si>
    <t xml:space="preserve">TAGTCCAGCCGAACACCAACACCA</t>
  </si>
  <si>
    <t xml:space="preserve">AAACTGGTGTTGGTGTTCGGCTGG</t>
  </si>
  <si>
    <t xml:space="preserve">CAGTTGCTGATAAACCACCG</t>
  </si>
  <si>
    <t xml:space="preserve">TAGTCAGTTGCTGATAAACCACCG</t>
  </si>
  <si>
    <t xml:space="preserve">AAACCGGTGGTTTATCAGCAACTG</t>
  </si>
  <si>
    <t xml:space="preserve">PST_3030</t>
  </si>
  <si>
    <t xml:space="preserve">hisS</t>
  </si>
  <si>
    <t xml:space="preserve">GCTTGCAGGGACTTGCTCAA</t>
  </si>
  <si>
    <t xml:space="preserve">TAGTGCTTGCAGGGACTTGCTCAA</t>
  </si>
  <si>
    <t xml:space="preserve">AAACTTGAGCAAGTCCCTGCAAGC</t>
  </si>
  <si>
    <t xml:space="preserve">GATGTCATTCATGCCACGAA</t>
  </si>
  <si>
    <t xml:space="preserve">TAGTGATGTCATTCATGCCACGAA</t>
  </si>
  <si>
    <t xml:space="preserve">AAACTTCGTGGCATGAATGACATC</t>
  </si>
  <si>
    <t xml:space="preserve">AGGTCGGCGTCTGCGCAGGC</t>
  </si>
  <si>
    <t xml:space="preserve">TAGTAGGTCGGCGTCTGCGCAGGC</t>
  </si>
  <si>
    <t xml:space="preserve">AAACGCCTGCGCAGACGCCGACCT</t>
  </si>
  <si>
    <t xml:space="preserve">GGTGCTTTCCAGATAACGCC</t>
  </si>
  <si>
    <t xml:space="preserve">TAGTGGTGCTTTCCAGATAACGCC</t>
  </si>
  <si>
    <t xml:space="preserve">AAACGGCGTTATCTGGAAAGCACC</t>
  </si>
  <si>
    <t xml:space="preserve">PST_3031</t>
  </si>
  <si>
    <t xml:space="preserve">ispG</t>
  </si>
  <si>
    <t xml:space="preserve">GACGTCGCAGGTTTCGGTGT</t>
  </si>
  <si>
    <t xml:space="preserve">TAGTGACGTCGCAGGTTTCGGTGT</t>
  </si>
  <si>
    <t xml:space="preserve">AAACACACCGAAACCTGCGACGTC</t>
  </si>
  <si>
    <t xml:space="preserve">TGTCAGCGCCGGCATTGGCC</t>
  </si>
  <si>
    <t xml:space="preserve">TAGTTGTCAGCGCCGGCATTGGCC</t>
  </si>
  <si>
    <t xml:space="preserve">AAACGGCCAATGCCGGCGCTGACA</t>
  </si>
  <si>
    <t xml:space="preserve">GCCTCCGCAGCCTCCATGGA</t>
  </si>
  <si>
    <t xml:space="preserve">TAGTGCCTCCGCAGCCTCCATGGA</t>
  </si>
  <si>
    <t xml:space="preserve">AAACTCCATGGAGGCTGCGGAGGC</t>
  </si>
  <si>
    <t xml:space="preserve">GCGCTGCTTGATCCGGCCGA</t>
  </si>
  <si>
    <t xml:space="preserve">TAGTGCGCTGCTTGATCCGGCCGA</t>
  </si>
  <si>
    <t xml:space="preserve">AAACTCGGCCGGATCAAGCAGCGC</t>
  </si>
  <si>
    <t xml:space="preserve">PST_3032</t>
  </si>
  <si>
    <t xml:space="preserve">AGCCTGTTCTTGGTGCGGCG</t>
  </si>
  <si>
    <t xml:space="preserve">TAGTAGCCTGTTCTTGGTGCGGCG</t>
  </si>
  <si>
    <t xml:space="preserve">AAACCGCCGCACCAAGAACAGGCT</t>
  </si>
  <si>
    <t xml:space="preserve">TCCCCGGGGTTGTTGCCCAT</t>
  </si>
  <si>
    <t xml:space="preserve">TAGTTCCCCGGGGTTGTTGCCCAT</t>
  </si>
  <si>
    <t xml:space="preserve">AAACATGGGCAACAACCCCGGGGA</t>
  </si>
  <si>
    <t xml:space="preserve">GTGCAACCGCAGACAGCGTC</t>
  </si>
  <si>
    <t xml:space="preserve">TAGTGTGCAACCGCAGACAGCGTC</t>
  </si>
  <si>
    <t xml:space="preserve">AAACGACGCTGTCTGCGGTTGCAC</t>
  </si>
  <si>
    <t xml:space="preserve">GATGCGGGCGAGCGCCCGCT</t>
  </si>
  <si>
    <t xml:space="preserve">TAGTGATGCGGGCGAGCGCCCGCT</t>
  </si>
  <si>
    <t xml:space="preserve">AAACAGCGGGCGCTCGCCCGCATC</t>
  </si>
  <si>
    <t xml:space="preserve">PST_3033</t>
  </si>
  <si>
    <t xml:space="preserve">pilF</t>
  </si>
  <si>
    <t xml:space="preserve">CACGCAACCGGCCAACAGGC</t>
  </si>
  <si>
    <t xml:space="preserve">TAGTCACGCAACCGGCCAACAGGC</t>
  </si>
  <si>
    <t xml:space="preserve">AAACGCCTGTTGGCCGGTTGCGTG</t>
  </si>
  <si>
    <t xml:space="preserve">GTCGGTCTTCAGTGGATCGA</t>
  </si>
  <si>
    <t xml:space="preserve">TAGTGTCGGTCTTCAGTGGATCGA</t>
  </si>
  <si>
    <t xml:space="preserve">AAACTCGATCCACTGAAGACCGAC</t>
  </si>
  <si>
    <t xml:space="preserve">ACCGATACCCAACTGAATAT</t>
  </si>
  <si>
    <t xml:space="preserve">TAGTACCGATACCCAACTGAATAT</t>
  </si>
  <si>
    <t xml:space="preserve">AAACATATTCAGTTGGGTATCGGT</t>
  </si>
  <si>
    <t xml:space="preserve">CAGCGGCGTCTTCGCACGGG</t>
  </si>
  <si>
    <t xml:space="preserve">TAGTCAGCGGCGTCTTCGCACGGG</t>
  </si>
  <si>
    <t xml:space="preserve">AAACCCCGTGCGAAGACGCCGCTG</t>
  </si>
  <si>
    <t xml:space="preserve">PST_3034</t>
  </si>
  <si>
    <t xml:space="preserve">CGAAATCATCGACGCCGAAG</t>
  </si>
  <si>
    <t xml:space="preserve">TAGTCGAAATCATCGACGCCGAAG</t>
  </si>
  <si>
    <t xml:space="preserve">AAACCTTCGGCGTCGATGATTTCG</t>
  </si>
  <si>
    <t xml:space="preserve">GGCCTTGCCGAGATTGCTCA</t>
  </si>
  <si>
    <t xml:space="preserve">TAGTGGCCTTGCCGAGATTGCTCA</t>
  </si>
  <si>
    <t xml:space="preserve">AAACTGAGCAATCTCGGCAAGGCC</t>
  </si>
  <si>
    <t xml:space="preserve">CGGGCCGCGAATCTCGGCGC</t>
  </si>
  <si>
    <t xml:space="preserve">TAGTCGGGCCGCGAATCTCGGCGC</t>
  </si>
  <si>
    <t xml:space="preserve">AAACGCGCCGAGATTCGCGGCCCG</t>
  </si>
  <si>
    <t xml:space="preserve">ATGTCTTCACTGACGATCTC</t>
  </si>
  <si>
    <t xml:space="preserve">TAGTATGTCTTCACTGACGATCTC</t>
  </si>
  <si>
    <t xml:space="preserve">AAACGAGATCGTCAGTGAAGACAT</t>
  </si>
  <si>
    <t xml:space="preserve">PST_3035</t>
  </si>
  <si>
    <t xml:space="preserve">ndk</t>
  </si>
  <si>
    <t xml:space="preserve">GATGGAAAAGGTGCGTTGCA</t>
  </si>
  <si>
    <t xml:space="preserve">TAGTGATGGAAAAGGTGCGTTGCA</t>
  </si>
  <si>
    <t xml:space="preserve">AAACTGCAACGCACCTTTTCCATC</t>
  </si>
  <si>
    <t xml:space="preserve">ACGTTCTTGGCGACAGCGTC</t>
  </si>
  <si>
    <t xml:space="preserve">TAGTACGTTCTTGGCGACAGCGTC</t>
  </si>
  <si>
    <t xml:space="preserve">AAACGACGCTGTCGCCAAGAACGT</t>
  </si>
  <si>
    <t xml:space="preserve">GCCGGCCTTCTCGAAACGGG</t>
  </si>
  <si>
    <t xml:space="preserve">TAGTGCCGGCCTTCTCGAAACGGG</t>
  </si>
  <si>
    <t xml:space="preserve">AAACCCCGTTTCGAGAAGGCCGGC</t>
  </si>
  <si>
    <t xml:space="preserve">TCTTGGAAGCGACGACACGC</t>
  </si>
  <si>
    <t xml:space="preserve">TAGTTCTTGGAAGCGACGACACGC</t>
  </si>
  <si>
    <t xml:space="preserve">AAACGCGTGTCGTCGCTTCCAAGA</t>
  </si>
  <si>
    <t xml:space="preserve">PST_3036</t>
  </si>
  <si>
    <t xml:space="preserve">ATCGACATCGGCCTTGCGCT</t>
  </si>
  <si>
    <t xml:space="preserve">TAGTATCGACATCGGCCTTGCGCT</t>
  </si>
  <si>
    <t xml:space="preserve">AAACAGCGCAAGGCCGATGTCGAT</t>
  </si>
  <si>
    <t xml:space="preserve">TCGACGAAATTCACATAGCG</t>
  </si>
  <si>
    <t xml:space="preserve">TAGTTCGACGAAATTCACATAGCG</t>
  </si>
  <si>
    <t xml:space="preserve">AAACCGCTATGTGAATTTCGTCGA</t>
  </si>
  <si>
    <t xml:space="preserve">CCAGGCTCATCAGCGAAGTC</t>
  </si>
  <si>
    <t xml:space="preserve">TAGTCCAGGCTCATCAGCGAAGTC</t>
  </si>
  <si>
    <t xml:space="preserve">AAACGACTTCGCTGATGAGCCTGG</t>
  </si>
  <si>
    <t xml:space="preserve">TTCGATCCAGGCGGCCTGGA</t>
  </si>
  <si>
    <t xml:space="preserve">TAGTTTCGATCCAGGCGGCCTGGA</t>
  </si>
  <si>
    <t xml:space="preserve">AAACTCCAGGCCGCCTGGATCGAA</t>
  </si>
  <si>
    <t xml:space="preserve">PST_3037</t>
  </si>
  <si>
    <t xml:space="preserve">fdx2</t>
  </si>
  <si>
    <t xml:space="preserve">TTGGGCAGGAAAATGATCTG</t>
  </si>
  <si>
    <t xml:space="preserve">TAGTTTGGGCAGGAAAATGATCTG</t>
  </si>
  <si>
    <t xml:space="preserve">AAACCAGATCATTTTCCTGCCCAA</t>
  </si>
  <si>
    <t xml:space="preserve">GGCACCTTCGGGGCAATGAT</t>
  </si>
  <si>
    <t xml:space="preserve">TAGTGGCACCTTCGGGGCAATGAT</t>
  </si>
  <si>
    <t xml:space="preserve">AAACATCATTGCCCCGAAGGTGCC</t>
  </si>
  <si>
    <t xml:space="preserve">GCCGGTTTTCGCCTGGATCA</t>
  </si>
  <si>
    <t xml:space="preserve">TAGTGCCGGTTTTCGCCTGGATCA</t>
  </si>
  <si>
    <t xml:space="preserve">AAACTGATCCAGGCGAAAACCGGC</t>
  </si>
  <si>
    <t xml:space="preserve">ATCGATGCCGTTGCGCAACG</t>
  </si>
  <si>
    <t xml:space="preserve">TAGTATCGATGCCGTTGCGCAACG</t>
  </si>
  <si>
    <t xml:space="preserve">AAACCGTTGCGCAACGGCATCGAT</t>
  </si>
  <si>
    <t xml:space="preserve">PST_3038</t>
  </si>
  <si>
    <t xml:space="preserve">hscA</t>
  </si>
  <si>
    <t xml:space="preserve">GGGCTCGGCAATCTGAAGTA</t>
  </si>
  <si>
    <t xml:space="preserve">TAGTGGGCTCGGCAATCTGAAGTA</t>
  </si>
  <si>
    <t xml:space="preserve">AAACTACTTCAGATTGCCGAGCCC</t>
  </si>
  <si>
    <t xml:space="preserve">TGGGGCTGAGGGCTTTGTCC</t>
  </si>
  <si>
    <t xml:space="preserve">TAGTTGGGGCTGAGGGCTTTGTCC</t>
  </si>
  <si>
    <t xml:space="preserve">AAACGGACAAAGCCCTCAGCCCCA</t>
  </si>
  <si>
    <t xml:space="preserve">CGACAGCCAGGCGCCGCTGA</t>
  </si>
  <si>
    <t xml:space="preserve">TAGTCGACAGCCAGGCGCCGCTGA</t>
  </si>
  <si>
    <t xml:space="preserve">AAACTCAGCGGCGCCTGGCTGTCG</t>
  </si>
  <si>
    <t xml:space="preserve">CGAGGGAGTTGGTAGTGCCC</t>
  </si>
  <si>
    <t xml:space="preserve">TAGTCGAGGGAGTTGGTAGTGCCC</t>
  </si>
  <si>
    <t xml:space="preserve">AAACGGGCACTACCAACTCCCTCG</t>
  </si>
  <si>
    <t xml:space="preserve">PST_3039</t>
  </si>
  <si>
    <t xml:space="preserve">hscB</t>
  </si>
  <si>
    <t xml:space="preserve">AAAGTGACAGGGAGTACCCA</t>
  </si>
  <si>
    <t xml:space="preserve">TAGTAAAGTGACAGGGAGTACCCA</t>
  </si>
  <si>
    <t xml:space="preserve">AAACTGGGTACTCCCTGTCACTTT</t>
  </si>
  <si>
    <t xml:space="preserve">GCAAGGTCCAGCTCGAAGTC</t>
  </si>
  <si>
    <t xml:space="preserve">TAGTGCAAGGTCCAGCTCGAAGTC</t>
  </si>
  <si>
    <t xml:space="preserve">AAACGACTTCGAGCTGGACCTTGC</t>
  </si>
  <si>
    <t xml:space="preserve">CGCAAGCTCGCGATAGCGAT</t>
  </si>
  <si>
    <t xml:space="preserve">TAGTCGCAAGCTCGCGATAGCGAT</t>
  </si>
  <si>
    <t xml:space="preserve">AAACATCGCTATCGCGAGCTTGCG</t>
  </si>
  <si>
    <t xml:space="preserve">CGAAGCGATCCGGATGAACC</t>
  </si>
  <si>
    <t xml:space="preserve">TAGTCGAAGCGATCCGGATGAACC</t>
  </si>
  <si>
    <t xml:space="preserve">AAACGGTTCATCCGGATCGCTTCG</t>
  </si>
  <si>
    <t xml:space="preserve">PST_3040</t>
  </si>
  <si>
    <t xml:space="preserve">TCAAGGTAGACGAGGCTCTT</t>
  </si>
  <si>
    <t xml:space="preserve">TAGTTCAAGGTAGACGAGGCTCTT</t>
  </si>
  <si>
    <t xml:space="preserve">AAACAAGAGCCTCGTCTACCTTGA</t>
  </si>
  <si>
    <t xml:space="preserve">TTCGCGAACGAAGTCGAGCT</t>
  </si>
  <si>
    <t xml:space="preserve">TAGTTTCGCGAACGAAGTCGAGCT</t>
  </si>
  <si>
    <t xml:space="preserve">AAACAGCTCGACTTCGTTCGCGAA</t>
  </si>
  <si>
    <t xml:space="preserve">CGCATTCGCCACGAACGTTC</t>
  </si>
  <si>
    <t xml:space="preserve">TAGTCGCATTCGCCACGAACGTTC</t>
  </si>
  <si>
    <t xml:space="preserve">AAACGAACGTTCGTGGCGAATGCG</t>
  </si>
  <si>
    <t xml:space="preserve">PST_3041</t>
  </si>
  <si>
    <t xml:space="preserve">iscU</t>
  </si>
  <si>
    <t xml:space="preserve">GACCTTGTCGCTGTATGCCA</t>
  </si>
  <si>
    <t xml:space="preserve">TAGTGACCTTGTCGCTGTATGCCA</t>
  </si>
  <si>
    <t xml:space="preserve">AAACTGGCATACAGCGACAAGGTC</t>
  </si>
  <si>
    <t xml:space="preserve">CGTTGCGCGGATTTTCGTAG</t>
  </si>
  <si>
    <t xml:space="preserve">TAGTCGTTGCGCGGATTTTCGTAG</t>
  </si>
  <si>
    <t xml:space="preserve">AAACCTACGAAAATCCGCGCAACG</t>
  </si>
  <si>
    <t xml:space="preserve">GGTGCCGATGTTCGGATCTT</t>
  </si>
  <si>
    <t xml:space="preserve">TAGTGGTGCCGATGTTCGGATCTT</t>
  </si>
  <si>
    <t xml:space="preserve">AAACAAGATCCGAACATCGGCACC</t>
  </si>
  <si>
    <t xml:space="preserve">CGCATGACGTCGCCGCAGGC</t>
  </si>
  <si>
    <t xml:space="preserve">TAGTCGCATGACGTCGCCGCAGGC</t>
  </si>
  <si>
    <t xml:space="preserve">AAACGCCTGCGGCGACGTCATGCG</t>
  </si>
  <si>
    <t xml:space="preserve">PST_3042</t>
  </si>
  <si>
    <t xml:space="preserve">iscS</t>
  </si>
  <si>
    <t xml:space="preserve">GCGGAGTAGTCCAGGTAAAT</t>
  </si>
  <si>
    <t xml:space="preserve">TAGTGCGGAGTAGTCCAGGTAAAT</t>
  </si>
  <si>
    <t xml:space="preserve">AAACATTTACCTGGACTACTCCGC</t>
  </si>
  <si>
    <t xml:space="preserve">GACACGCGGGTCGACCGGCG</t>
  </si>
  <si>
    <t xml:space="preserve">TAGTGACACGCGGGTCGACCGGCG</t>
  </si>
  <si>
    <t xml:space="preserve">AAACCGCCGGTCGACCCGCGTGTC</t>
  </si>
  <si>
    <t xml:space="preserve">CAGGCATTCGATCATCTTTT</t>
  </si>
  <si>
    <t xml:space="preserve">TAGTCAGGCATTCGATCATCTTTT</t>
  </si>
  <si>
    <t xml:space="preserve">AAACAAAAGATGATCGAATGCCTG</t>
  </si>
  <si>
    <t xml:space="preserve">GTTGCCGAAATTGCCTTCGT</t>
  </si>
  <si>
    <t xml:space="preserve">TAGTGTTGCCGAAATTGCCTTCGT</t>
  </si>
  <si>
    <t xml:space="preserve">AAACACGAAGGCAATTTCGGCAAC</t>
  </si>
  <si>
    <t xml:space="preserve">PST_3043</t>
  </si>
  <si>
    <t xml:space="preserve">CTGCACCAAGCATTACGGTT</t>
  </si>
  <si>
    <t xml:space="preserve">TAGTCTGCACCAAGCATTACGGTT</t>
  </si>
  <si>
    <t xml:space="preserve">AAACAACCGTAATGCTTGGTGCAG</t>
  </si>
  <si>
    <t xml:space="preserve">CCTTTGGTGGTCAATCGCAT</t>
  </si>
  <si>
    <t xml:space="preserve">TAGTCCTTTGGTGGTCAATCGCAT</t>
  </si>
  <si>
    <t xml:space="preserve">AAACATGCGATTGACCACCAAAGG</t>
  </si>
  <si>
    <t xml:space="preserve">GCATGGCGGTAACGGCATAA</t>
  </si>
  <si>
    <t xml:space="preserve">TAGTGCATGGCGGTAACGGCATAA</t>
  </si>
  <si>
    <t xml:space="preserve">AAACTTATGCCGTTACCGCCATGC</t>
  </si>
  <si>
    <t xml:space="preserve">GAAATGTCGGCCAGGGAAAC</t>
  </si>
  <si>
    <t xml:space="preserve">TAGTGAAATGTCGGCCAGGGAAAC</t>
  </si>
  <si>
    <t xml:space="preserve">AAACGTTTCCCTGGCCGACATTTC</t>
  </si>
  <si>
    <t xml:space="preserve">PST_3044</t>
  </si>
  <si>
    <t xml:space="preserve">cysE2</t>
  </si>
  <si>
    <t xml:space="preserve">GATCGCGATGGAATACGCTT</t>
  </si>
  <si>
    <t xml:space="preserve">TAGTGATCGCGATGGAATACGCTT</t>
  </si>
  <si>
    <t xml:space="preserve">AAACAAGCGTATTCCATCGCGATC</t>
  </si>
  <si>
    <t xml:space="preserve">TCGAACGCGTTGCGGGCTGC</t>
  </si>
  <si>
    <t xml:space="preserve">TAGTTCGAACGCGTTGCGGGCTGC</t>
  </si>
  <si>
    <t xml:space="preserve">AAACGCAGCCCGCAACGCGTTCGA</t>
  </si>
  <si>
    <t xml:space="preserve">ATCCAGATGGCGTGCAGCCC</t>
  </si>
  <si>
    <t xml:space="preserve">TAGTATCCAGATGGCGTGCAGCCC</t>
  </si>
  <si>
    <t xml:space="preserve">AAACGGGCTGCACGCCATCTGGAT</t>
  </si>
  <si>
    <t xml:space="preserve">ACAGCCAATGGGAAAGTCGA</t>
  </si>
  <si>
    <t xml:space="preserve">TAGTACAGCCAATGGGAAAGTCGA</t>
  </si>
  <si>
    <t xml:space="preserve">AAACTCGACTTTCCCATTGGCTGT</t>
  </si>
  <si>
    <t xml:space="preserve">PST_3045</t>
  </si>
  <si>
    <t xml:space="preserve">AAAACCAGCGGAAAGCTTAC</t>
  </si>
  <si>
    <t xml:space="preserve">TAGTAAAACCAGCGGAAAGCTTAC</t>
  </si>
  <si>
    <t xml:space="preserve">AAACGTAAGCTTTCCGCTGGTTTT</t>
  </si>
  <si>
    <t xml:space="preserve">GCCGATGTTGCCGGCGTGGC</t>
  </si>
  <si>
    <t xml:space="preserve">TAGTGCCGATGTTGCCGGCGTGGC</t>
  </si>
  <si>
    <t xml:space="preserve">AAACGCCACGCCGGCAACATCGGC</t>
  </si>
  <si>
    <t xml:space="preserve">CGACAGGCCCATGTTCTTCA</t>
  </si>
  <si>
    <t xml:space="preserve">TAGTCGACAGGCCCATGTTCTTCA</t>
  </si>
  <si>
    <t xml:space="preserve">AAACTGAAGAACATGGGCCTGTCG</t>
  </si>
  <si>
    <t xml:space="preserve">TCCGGGCTCGGAAAGTCTTC</t>
  </si>
  <si>
    <t xml:space="preserve">TAGTTCCGGGCTCGGAAAGTCTTC</t>
  </si>
  <si>
    <t xml:space="preserve">AAACGAAGACTTTCCGAGCCCGGA</t>
  </si>
  <si>
    <t xml:space="preserve">PST_3046</t>
  </si>
  <si>
    <t xml:space="preserve">GATATTCAGCATGGGCTGCA</t>
  </si>
  <si>
    <t xml:space="preserve">TAGTGATATTCAGCATGGGCTGCA</t>
  </si>
  <si>
    <t xml:space="preserve">AAACTGCAGCCCATGCTGAATATC</t>
  </si>
  <si>
    <t xml:space="preserve">CAGTTCGCCGGCGCTGCGGG</t>
  </si>
  <si>
    <t xml:space="preserve">TAGTCAGTTCGCCGGCGCTGCGGG</t>
  </si>
  <si>
    <t xml:space="preserve">AAACCCCGCAGCGCCGGCGAACTG</t>
  </si>
  <si>
    <t xml:space="preserve">CATCCAGGCGATCGGTGGAA</t>
  </si>
  <si>
    <t xml:space="preserve">TAGTCATCCAGGCGATCGGTGGAA</t>
  </si>
  <si>
    <t xml:space="preserve">AAACTTCCACCGATCGCCTGGATG</t>
  </si>
  <si>
    <t xml:space="preserve">CTCGGCCGCCTTGTCGATCT</t>
  </si>
  <si>
    <t xml:space="preserve">TAGTCTCGGCCGCCTTGTCGATCT</t>
  </si>
  <si>
    <t xml:space="preserve">AAACAGATCGACAAGGCGGCCGAG</t>
  </si>
  <si>
    <t xml:space="preserve">PST_3047</t>
  </si>
  <si>
    <t xml:space="preserve">CCGCAGCCTTGGACCTCGCA</t>
  </si>
  <si>
    <t xml:space="preserve">TAGTCCGCAGCCTTGGACCTCGCA</t>
  </si>
  <si>
    <t xml:space="preserve">AAACTGCGAGGTCCAAGGCTGCGG</t>
  </si>
  <si>
    <t xml:space="preserve">CTGTGACATCCTCTTCCTTC</t>
  </si>
  <si>
    <t xml:space="preserve">TAGTCTGTGACATCCTCTTCCTTC</t>
  </si>
  <si>
    <t xml:space="preserve">AAACGAAGGAAGAGGATGTCACAG</t>
  </si>
  <si>
    <t xml:space="preserve">AAGTGCCGTACCGACCAACA</t>
  </si>
  <si>
    <t xml:space="preserve">TAGTAAGTGCCGTACCGACCAACA</t>
  </si>
  <si>
    <t xml:space="preserve">AAACTGTTGGTCGGTACGGCACTT</t>
  </si>
  <si>
    <t xml:space="preserve">AGCGAAAGCTCCACCAGCCG</t>
  </si>
  <si>
    <t xml:space="preserve">TAGTAGCGAAAGCTCCACCAGCCG</t>
  </si>
  <si>
    <t xml:space="preserve">AAACCGGCTGGTGGAGCTTTCGCT</t>
  </si>
  <si>
    <t xml:space="preserve">PST_3048</t>
  </si>
  <si>
    <t xml:space="preserve">secF</t>
  </si>
  <si>
    <t xml:space="preserve">TAAGGGCGAAGGCCACATGG</t>
  </si>
  <si>
    <t xml:space="preserve">TAGTTAAGGGCGAAGGCCACATGG</t>
  </si>
  <si>
    <t xml:space="preserve">AAACCCATGTGGCCTTCGCCCTTA</t>
  </si>
  <si>
    <t xml:space="preserve">CGAGGCGACCGTGAGCAGCA</t>
  </si>
  <si>
    <t xml:space="preserve">TAGTCGAGGCGACCGTGAGCAGCA</t>
  </si>
  <si>
    <t xml:space="preserve">AAACTGCTGCTCACGGTCGCCTCG</t>
  </si>
  <si>
    <t xml:space="preserve">AATTCAGCCCCTTGACCACC</t>
  </si>
  <si>
    <t xml:space="preserve">TAGTAATTCAGCCCCTTGACCACC</t>
  </si>
  <si>
    <t xml:space="preserve">AAACGGTGGTCAAGGGGCTGAATT</t>
  </si>
  <si>
    <t xml:space="preserve">CAACTCGATCAGCGTGCCGC</t>
  </si>
  <si>
    <t xml:space="preserve">TAGTCAACTCGATCAGCGTGCCGC</t>
  </si>
  <si>
    <t xml:space="preserve">AAACGCGGCACGCTGATCGAGTTG</t>
  </si>
  <si>
    <t xml:space="preserve">PST_3049</t>
  </si>
  <si>
    <t xml:space="preserve">secD</t>
  </si>
  <si>
    <t xml:space="preserve">CTGGCTTATGCGCTCGAGAT</t>
  </si>
  <si>
    <t xml:space="preserve">TAGTCTGGCTTATGCGCTCGAGAT</t>
  </si>
  <si>
    <t xml:space="preserve">AAACATCTCGAGCGCATAAGCCAG</t>
  </si>
  <si>
    <t xml:space="preserve">GCCCTGTTCGTCGAGCGAAG</t>
  </si>
  <si>
    <t xml:space="preserve">TAGTGCCCTGTTCGTCGAGCGAAG</t>
  </si>
  <si>
    <t xml:space="preserve">AAACCTTCGCTCGACGAACAGGGC</t>
  </si>
  <si>
    <t xml:space="preserve">CCAGACGCACGAGACCACCA</t>
  </si>
  <si>
    <t xml:space="preserve">TAGTCCAGACGCACGAGACCACCA</t>
  </si>
  <si>
    <t xml:space="preserve">AAACTGGTGGTCTCGTGCGTCTGG</t>
  </si>
  <si>
    <t xml:space="preserve">CGCCGAACGATATCTTTGGC</t>
  </si>
  <si>
    <t xml:space="preserve">TAGTCGCCGAACGATATCTTTGGC</t>
  </si>
  <si>
    <t xml:space="preserve">AAACGCCAAAGATATCGTTCGGCG</t>
  </si>
  <si>
    <t xml:space="preserve">PST_3050</t>
  </si>
  <si>
    <t xml:space="preserve">yajC</t>
  </si>
  <si>
    <t xml:space="preserve">GCCTCCTGGGCATAGGCGGC</t>
  </si>
  <si>
    <t xml:space="preserve">TAGTGCCTCCTGGGCATAGGCGGC</t>
  </si>
  <si>
    <t xml:space="preserve">AAACGCCGCCTATGCCCAGGAGGC</t>
  </si>
  <si>
    <t xml:space="preserve">ACCGGTGCCGGCAGGACCTG</t>
  </si>
  <si>
    <t xml:space="preserve">TAGTACCGGTGCCGGCAGGACCTG</t>
  </si>
  <si>
    <t xml:space="preserve">AAACCAGGTCCTGCCGGCACCGGT</t>
  </si>
  <si>
    <t xml:space="preserve">AGATGATCAGAAAACCGACC</t>
  </si>
  <si>
    <t xml:space="preserve">TAGTAGATGATCAGAAAACCGACC</t>
  </si>
  <si>
    <t xml:space="preserve">AAACGGTCGGTTTTCTGATCATCT</t>
  </si>
  <si>
    <t xml:space="preserve">TCCTTGGCCCGCTTGGCCTG</t>
  </si>
  <si>
    <t xml:space="preserve">TAGTTCCTTGGCCCGCTTGGCCTG</t>
  </si>
  <si>
    <t xml:space="preserve">AAACCAGGCCAAGCGGGCCAAGGA</t>
  </si>
  <si>
    <t xml:space="preserve">PST_3051</t>
  </si>
  <si>
    <t xml:space="preserve">tgt</t>
  </si>
  <si>
    <t xml:space="preserve">CGAAAGACATGTGGCAGGTA</t>
  </si>
  <si>
    <t xml:space="preserve">TAGTCGAAAGACATGTGGCAGGTA</t>
  </si>
  <si>
    <t xml:space="preserve">AAACTACCTGCCACATGTCTTTCG</t>
  </si>
  <si>
    <t xml:space="preserve">CCGACGCGCCTTGCCATCGG</t>
  </si>
  <si>
    <t xml:space="preserve">TAGTCCGACGCGCCTTGCCATCGG</t>
  </si>
  <si>
    <t xml:space="preserve">AAACCCGATGGCAAGGCGCGTCGG</t>
  </si>
  <si>
    <t xml:space="preserve">TTCCACGGTTCCACGAGGAA</t>
  </si>
  <si>
    <t xml:space="preserve">TAGTTTCCACGGTTCCACGAGGAA</t>
  </si>
  <si>
    <t xml:space="preserve">AAACTTCCTCGTGGAACCGTGGAA</t>
  </si>
  <si>
    <t xml:space="preserve">GTGCCCACCGGCATGAAGGC</t>
  </si>
  <si>
    <t xml:space="preserve">TAGTGTGCCCACCGGCATGAAGGC</t>
  </si>
  <si>
    <t xml:space="preserve">AAACGCCTTCATGCCGGTGGGCAC</t>
  </si>
  <si>
    <t xml:space="preserve">PST_3052</t>
  </si>
  <si>
    <t xml:space="preserve">queA</t>
  </si>
  <si>
    <t xml:space="preserve">GTTGCGGTGCGACATCTGCC</t>
  </si>
  <si>
    <t xml:space="preserve">TAGTGTTGCGGTGCGACATCTGCC</t>
  </si>
  <si>
    <t xml:space="preserve">AAACGGCAGATGTCGCACCGCAAC</t>
  </si>
  <si>
    <t xml:space="preserve">CCGCACGCAGTCCAGCAGGT</t>
  </si>
  <si>
    <t xml:space="preserve">TAGTCCGCACGCAGTCCAGCAGGT</t>
  </si>
  <si>
    <t xml:space="preserve">AAACACCTGCTGGACTGCGTGCGG</t>
  </si>
  <si>
    <t xml:space="preserve">TTGAAGACCATCAGATCACC</t>
  </si>
  <si>
    <t xml:space="preserve">TAGTTTGAAGACCATCAGATCACC</t>
  </si>
  <si>
    <t xml:space="preserve">AAACGGTGATCTGATGGTCTTCAA</t>
  </si>
  <si>
    <t xml:space="preserve">TTCTGGCCAAACAGCCGCGC</t>
  </si>
  <si>
    <t xml:space="preserve">TAGTTTCTGGCCAAACAGCCGCGC</t>
  </si>
  <si>
    <t xml:space="preserve">AAACGCGCGGCTGTTTGGCCAGAA</t>
  </si>
  <si>
    <t xml:space="preserve">PST_3054</t>
  </si>
  <si>
    <t xml:space="preserve">CTCGTCGTTAAACCACTTGA</t>
  </si>
  <si>
    <t xml:space="preserve">TAGTCTCGTCGTTAAACCACTTGA</t>
  </si>
  <si>
    <t xml:space="preserve">AAACTCAAGTGGTTTAACGACGAG</t>
  </si>
  <si>
    <t xml:space="preserve">AACAGATCCGGACCGCTCTC</t>
  </si>
  <si>
    <t xml:space="preserve">TAGTAACAGATCCGGACCGCTCTC</t>
  </si>
  <si>
    <t xml:space="preserve">AAACGAGAGCGGTCCGGATCTGTT</t>
  </si>
  <si>
    <t xml:space="preserve">AGCCGTTGCCTTCGATCGCG</t>
  </si>
  <si>
    <t xml:space="preserve">TAGTAGCCGTTGCCTTCGATCGCG</t>
  </si>
  <si>
    <t xml:space="preserve">AAACCGCGATCGAAGGCAACGGCT</t>
  </si>
  <si>
    <t xml:space="preserve">CGGCGATGAAGCTGACTTTC</t>
  </si>
  <si>
    <t xml:space="preserve">TAGTCGGCGATGAAGCTGACTTTC</t>
  </si>
  <si>
    <t xml:space="preserve">AAACGAAAGTCAGCTTCATCGCCG</t>
  </si>
  <si>
    <t xml:space="preserve">PST_3055</t>
  </si>
  <si>
    <t xml:space="preserve">CCTGCGGGCTCAGCAGATGT</t>
  </si>
  <si>
    <t xml:space="preserve">TAGTCCTGCGGGCTCAGCAGATGT</t>
  </si>
  <si>
    <t xml:space="preserve">AAACACATCTGCTGAGCCCGCAGG</t>
  </si>
  <si>
    <t xml:space="preserve">TCAGACCGGCGGCGGGGAAT</t>
  </si>
  <si>
    <t xml:space="preserve">TAGTTCAGACCGGCGGCGGGGAAT</t>
  </si>
  <si>
    <t xml:space="preserve">AAACATTCCCCGCCGCCGGTCTGA</t>
  </si>
  <si>
    <t xml:space="preserve">TCATCAGGGCGATGCAGAGC</t>
  </si>
  <si>
    <t xml:space="preserve">TAGTTCATCAGGGCGATGCAGAGC</t>
  </si>
  <si>
    <t xml:space="preserve">AAACGCTCTGCATCGCCCTGATGA</t>
  </si>
  <si>
    <t xml:space="preserve">CAGCACCTGTTGGTAGAACA</t>
  </si>
  <si>
    <t xml:space="preserve">TAGTCAGCACCTGTTGGTAGAACA</t>
  </si>
  <si>
    <t xml:space="preserve">AAACTGTTCTACCAACAGGTGCTG</t>
  </si>
  <si>
    <t xml:space="preserve">PST_3056</t>
  </si>
  <si>
    <t xml:space="preserve">TGAGGATGGCGAGAAAGACA</t>
  </si>
  <si>
    <t xml:space="preserve">TAGTTGAGGATGGCGAGAAAGACA</t>
  </si>
  <si>
    <t xml:space="preserve">AAACTGTCTTTCTCGCCATCCTCA</t>
  </si>
  <si>
    <t xml:space="preserve">CGCCCAGACCGTAGCTGCCC</t>
  </si>
  <si>
    <t xml:space="preserve">TAGTCGCCCAGACCGTAGCTGCCC</t>
  </si>
  <si>
    <t xml:space="preserve">AAACGGGCAGCTACGGTCTGGGCG</t>
  </si>
  <si>
    <t xml:space="preserve">GCCGGCGCGGCGAGGTCAGC</t>
  </si>
  <si>
    <t xml:space="preserve">TAGTGCCGGCGCGGCGAGGTCAGC</t>
  </si>
  <si>
    <t xml:space="preserve">AAACGCTGACCTCGCCGCGCCGGC</t>
  </si>
  <si>
    <t xml:space="preserve">CCAGCGTGCCGAGACCGATC</t>
  </si>
  <si>
    <t xml:space="preserve">TAGTCCAGCGTGCCGAGACCGATC</t>
  </si>
  <si>
    <t xml:space="preserve">AAACGATCGGTCTCGGCACGCTGG</t>
  </si>
  <si>
    <t xml:space="preserve">PST_3057</t>
  </si>
  <si>
    <t xml:space="preserve">TGACCAGCAGCTCTCGGGAC</t>
  </si>
  <si>
    <t xml:space="preserve">TAGTTGACCAGCAGCTCTCGGGAC</t>
  </si>
  <si>
    <t xml:space="preserve">AAACGTCCCGAGAGCTGCTGGTCA</t>
  </si>
  <si>
    <t xml:space="preserve">CACGGCACTGACCGCGCTCA</t>
  </si>
  <si>
    <t xml:space="preserve">TAGTCACGGCACTGACCGCGCTCA</t>
  </si>
  <si>
    <t xml:space="preserve">AAACTGAGCGCGGTCAGTGCCGTG</t>
  </si>
  <si>
    <t xml:space="preserve">GCGCCAGATACTTGATGAAG</t>
  </si>
  <si>
    <t xml:space="preserve">TAGTGCGCCAGATACTTGATGAAG</t>
  </si>
  <si>
    <t xml:space="preserve">AAACCTTCATCAAGTATCTGGCGC</t>
  </si>
  <si>
    <t xml:space="preserve">ATGATCAGCAACAGCACGCC</t>
  </si>
  <si>
    <t xml:space="preserve">TAGTATGATCAGCAACAGCACGCC</t>
  </si>
  <si>
    <t xml:space="preserve">AAACGGCGTGCTGTTGCTGATCAT</t>
  </si>
  <si>
    <t xml:space="preserve">PST_3058</t>
  </si>
  <si>
    <t xml:space="preserve">pepA</t>
  </si>
  <si>
    <t xml:space="preserve">GGTCTTCTGGGTGGAGGCTT</t>
  </si>
  <si>
    <t xml:space="preserve">TAGTGGTCTTCTGGGTGGAGGCTT</t>
  </si>
  <si>
    <t xml:space="preserve">AAACAAGCCTCCACCCAGAAGACC</t>
  </si>
  <si>
    <t xml:space="preserve">GAGCGGCAGGATCAGGGTGG</t>
  </si>
  <si>
    <t xml:space="preserve">TAGTGAGCGGCAGGATCAGGGTGG</t>
  </si>
  <si>
    <t xml:space="preserve">AAACCCACCCTGATCCTGCCGCTC</t>
  </si>
  <si>
    <t xml:space="preserve">TCTGTGCGACGCTGCCGAGC</t>
  </si>
  <si>
    <t xml:space="preserve">TAGTTCTGTGCGACGCTGCCGAGC</t>
  </si>
  <si>
    <t xml:space="preserve">AAACGCTCGGCAGCGTCGCACAGA</t>
  </si>
  <si>
    <t xml:space="preserve">AGTGCTGAGCGCGCCAGCGC</t>
  </si>
  <si>
    <t xml:space="preserve">TAGTAGTGCTGAGCGCGCCAGCGC</t>
  </si>
  <si>
    <t xml:space="preserve">AAACGCGCTGGCGCGCTCAGCACT</t>
  </si>
  <si>
    <t xml:space="preserve">PST_3059</t>
  </si>
  <si>
    <t xml:space="preserve">holC</t>
  </si>
  <si>
    <t xml:space="preserve">GTAGAACTCGATGCGTGTCA</t>
  </si>
  <si>
    <t xml:space="preserve">TAGTGTAGAACTCGATGCGTGTCA</t>
  </si>
  <si>
    <t xml:space="preserve">AAACTGACACGCATCGAGTTCTAC</t>
  </si>
  <si>
    <t xml:space="preserve">CCGCGCGCAGCCGCCCGAGC</t>
  </si>
  <si>
    <t xml:space="preserve">TAGTCCGCGCGCAGCCGCCCGAGC</t>
  </si>
  <si>
    <t xml:space="preserve">AAACGCTCGGGCGGCTGCGCGCGG</t>
  </si>
  <si>
    <t xml:space="preserve">GCCTTTGGCTGCCAGCTGGC</t>
  </si>
  <si>
    <t xml:space="preserve">TAGTGCCTTTGGCTGCCAGCTGGC</t>
  </si>
  <si>
    <t xml:space="preserve">AAACGCCAGCTGGCAGCCAAAGGC</t>
  </si>
  <si>
    <t xml:space="preserve">TGCAGCGGACGAATACCTGC</t>
  </si>
  <si>
    <t xml:space="preserve">TAGTTGCAGCGGACGAATACCTGC</t>
  </si>
  <si>
    <t xml:space="preserve">AAACGCAGGTATTCGTCCGCTGCA</t>
  </si>
  <si>
    <t xml:space="preserve">PST_3060</t>
  </si>
  <si>
    <t xml:space="preserve">TCATCTGCGTGGTTCCGGGC</t>
  </si>
  <si>
    <t xml:space="preserve">TAGTTCATCTGCGTGGTTCCGGGC</t>
  </si>
  <si>
    <t xml:space="preserve">AAACGCCCGGAACCACGCAGATGA</t>
  </si>
  <si>
    <t xml:space="preserve">GCGGGTTTGTTCGGGGCTTT</t>
  </si>
  <si>
    <t xml:space="preserve">TAGTGCGGGTTTGTTCGGGGCTTT</t>
  </si>
  <si>
    <t xml:space="preserve">AAACAAAGCCCCGAACAAACCCGC</t>
  </si>
  <si>
    <t xml:space="preserve">TTCGAGATCGTTCAGCAGTT</t>
  </si>
  <si>
    <t xml:space="preserve">TAGTTTCGAGATCGTTCAGCAGTT</t>
  </si>
  <si>
    <t xml:space="preserve">AAACAACTGCTGAACGATCTCGAA</t>
  </si>
  <si>
    <t xml:space="preserve">GTCGCCGAGCAGCGCGCGAA</t>
  </si>
  <si>
    <t xml:space="preserve">TAGTGTCGCCGAGCAGCGCGCGAA</t>
  </si>
  <si>
    <t xml:space="preserve">AAACTTCGCGCGCTGCTCGGCGAC</t>
  </si>
  <si>
    <t xml:space="preserve">PST_3061</t>
  </si>
  <si>
    <t xml:space="preserve">valS</t>
  </si>
  <si>
    <t xml:space="preserve">TGATTGCGTTGTTGAAGCCA</t>
  </si>
  <si>
    <t xml:space="preserve">TAGTTGATTGCGTTGTTGAAGCCA</t>
  </si>
  <si>
    <t xml:space="preserve">AAACTGGCTTCAACAACGCAATCA</t>
  </si>
  <si>
    <t xml:space="preserve">GGCCTTGCATGCGGCGCCAG</t>
  </si>
  <si>
    <t xml:space="preserve">TAGTGGCCTTGCATGCGGCGCCAG</t>
  </si>
  <si>
    <t xml:space="preserve">AAACCTGGCGCCGCATGCAAGGCC</t>
  </si>
  <si>
    <t xml:space="preserve">CTGGCTGCCACAGGGTGTTG</t>
  </si>
  <si>
    <t xml:space="preserve">TAGTCTGGCTGCCACAGGGTGTTG</t>
  </si>
  <si>
    <t xml:space="preserve">AAACCAACACCCTGTGGCAGCCAG</t>
  </si>
  <si>
    <t xml:space="preserve">CGTGGCGATACCGGCATGGT</t>
  </si>
  <si>
    <t xml:space="preserve">TAGTCGTGGCGATACCGGCATGGT</t>
  </si>
  <si>
    <t xml:space="preserve">AAACACCATGCCGGTATCGCCACG</t>
  </si>
  <si>
    <t xml:space="preserve">PST_3062</t>
  </si>
  <si>
    <t xml:space="preserve">ACAGCCATGAGTGCATACAT</t>
  </si>
  <si>
    <t xml:space="preserve">TAGTACAGCCATGAGTGCATACAT</t>
  </si>
  <si>
    <t xml:space="preserve">AAACATGTATGCACTCATGGCTGT</t>
  </si>
  <si>
    <t xml:space="preserve">GATCTTCAGGGGATGCTCGA</t>
  </si>
  <si>
    <t xml:space="preserve">TAGTGATCTTCAGGGGATGCTCGA</t>
  </si>
  <si>
    <t xml:space="preserve">AAACTCGAGCATCCCCTGAAGATC</t>
  </si>
  <si>
    <t xml:space="preserve">CGCGGTGAGAATCGCCGCAG</t>
  </si>
  <si>
    <t xml:space="preserve">TAGTCGCGGTGAGAATCGCCGCAG</t>
  </si>
  <si>
    <t xml:space="preserve">AAACCTGCGGCGATTCTCACCGCG</t>
  </si>
  <si>
    <t xml:space="preserve">ACCCAGTACCAGAATGGTCC</t>
  </si>
  <si>
    <t xml:space="preserve">TAGTACCCAGTACCAGAATGGTCC</t>
  </si>
  <si>
    <t xml:space="preserve">AAACGGACCATTCTGGTACTGGGT</t>
  </si>
  <si>
    <t xml:space="preserve">PST_3063</t>
  </si>
  <si>
    <t xml:space="preserve">TTTGGTCTTGCTGACGGTCA</t>
  </si>
  <si>
    <t xml:space="preserve">TAGTTTTGGTCTTGCTGACGGTCA</t>
  </si>
  <si>
    <t xml:space="preserve">AAACTGACCGTCAGCAAGACCAAA</t>
  </si>
  <si>
    <t xml:space="preserve">GTAGAGTCGGCGGTAGAAGC</t>
  </si>
  <si>
    <t xml:space="preserve">TAGTGTAGAGTCGGCGGTAGAAGC</t>
  </si>
  <si>
    <t xml:space="preserve">AAACGCTTCTACCGCCGACTCTAC</t>
  </si>
  <si>
    <t xml:space="preserve">CAACGCCGGGACGCTGCAGG</t>
  </si>
  <si>
    <t xml:space="preserve">TAGTCAACGCCGGGACGCTGCAGG</t>
  </si>
  <si>
    <t xml:space="preserve">AAACCCTGCAGCGTCCCGGCGTTG</t>
  </si>
  <si>
    <t xml:space="preserve">GGTGCGGCGCGGCATACCGG</t>
  </si>
  <si>
    <t xml:space="preserve">TAGTGGTGCGGCGCGGCATACCGG</t>
  </si>
  <si>
    <t xml:space="preserve">AAACCCGGTATGCCGCGCCGCACC</t>
  </si>
  <si>
    <t xml:space="preserve">PST_3064</t>
  </si>
  <si>
    <t xml:space="preserve">GTCGCCGATGACGAACAGTG</t>
  </si>
  <si>
    <t xml:space="preserve">TAGTGTCGCCGATGACGAACAGTG</t>
  </si>
  <si>
    <t xml:space="preserve">AAACCACTGTTCGTCATCGGCGAC</t>
  </si>
  <si>
    <t xml:space="preserve">AGGCGATGCCGGTGCGTACC</t>
  </si>
  <si>
    <t xml:space="preserve">TAGTAGGCGATGCCGGTGCGTACC</t>
  </si>
  <si>
    <t xml:space="preserve">AAACGGTACGCACCGGCATCGCCT</t>
  </si>
  <si>
    <t xml:space="preserve">CAGCCAGTCGCCCAGGCGGT</t>
  </si>
  <si>
    <t xml:space="preserve">TAGTCAGCCAGTCGCCCAGGCGGT</t>
  </si>
  <si>
    <t xml:space="preserve">AAACACCGCCTGGGCGACTGGCTG</t>
  </si>
  <si>
    <t xml:space="preserve">GCGCGTTTCGCTGCTGCCCG</t>
  </si>
  <si>
    <t xml:space="preserve">TAGTGCGCGTTTCGCTGCTGCCCG</t>
  </si>
  <si>
    <t xml:space="preserve">AAACCGGGCAGCAGCGAAACGCGC</t>
  </si>
  <si>
    <t xml:space="preserve">PST_3065</t>
  </si>
  <si>
    <t xml:space="preserve">GAATGAGGCCCCGAGCTTAA</t>
  </si>
  <si>
    <t xml:space="preserve">TAGTGAATGAGGCCCCGAGCTTAA</t>
  </si>
  <si>
    <t xml:space="preserve">AAACTTAAGCTCGGGGCCTCATTC</t>
  </si>
  <si>
    <t xml:space="preserve">CAGCGCGACGCGTTGAGGCA</t>
  </si>
  <si>
    <t xml:space="preserve">TAGTCAGCGCGACGCGTTGAGGCA</t>
  </si>
  <si>
    <t xml:space="preserve">AAACTGCCTCAACGCGTCGCGCTG</t>
  </si>
  <si>
    <t xml:space="preserve">ATGGCACCGGCCAGCAGGAC</t>
  </si>
  <si>
    <t xml:space="preserve">TAGTATGGCACCGGCCAGCAGGAC</t>
  </si>
  <si>
    <t xml:space="preserve">AAACGTCCTGCTGGCCGGTGCCAT</t>
  </si>
  <si>
    <t xml:space="preserve">ATACGAAGCGGCCAAGGCCG</t>
  </si>
  <si>
    <t xml:space="preserve">TAGTATACGAAGCGGCCAAGGCCG</t>
  </si>
  <si>
    <t xml:space="preserve">AAACCGGCCTTGGCCGCTTCGTAT</t>
  </si>
  <si>
    <t xml:space="preserve">PST_3066</t>
  </si>
  <si>
    <t xml:space="preserve">GACGAGGTTTTGCGTGGCAT</t>
  </si>
  <si>
    <t xml:space="preserve">TAGTGACGAGGTTTTGCGTGGCAT</t>
  </si>
  <si>
    <t xml:space="preserve">AAACATGCCACGCAAAACCTCGTC</t>
  </si>
  <si>
    <t xml:space="preserve">CGGCTCGGCAGGGCGCGGCT</t>
  </si>
  <si>
    <t xml:space="preserve">TAGTCGGCTCGGCAGGGCGCGGCT</t>
  </si>
  <si>
    <t xml:space="preserve">AAACAGCCGCGCCCTGCCGAGCCG</t>
  </si>
  <si>
    <t xml:space="preserve">CGTGGATGCAGCACGGCCTT</t>
  </si>
  <si>
    <t xml:space="preserve">TAGTCGTGGATGCAGCACGGCCTT</t>
  </si>
  <si>
    <t xml:space="preserve">AAACAAGGCCGTGCTGCATCCACG</t>
  </si>
  <si>
    <t xml:space="preserve">AGTCGTAGCGGCCGCTGTGG</t>
  </si>
  <si>
    <t xml:space="preserve">TAGTAGTCGTAGCGGCCGCTGTGG</t>
  </si>
  <si>
    <t xml:space="preserve">AAACCCACAGCGGCCGCTACGACT</t>
  </si>
  <si>
    <t xml:space="preserve">PST_3067</t>
  </si>
  <si>
    <t xml:space="preserve">AGTTCGGTGAGAGTGGACAT</t>
  </si>
  <si>
    <t xml:space="preserve">TAGTAGTTCGGTGAGAGTGGACAT</t>
  </si>
  <si>
    <t xml:space="preserve">AAACATGTCCACTCTCACCGAACT</t>
  </si>
  <si>
    <t xml:space="preserve">ATAGAGCTTGGCGATTTGCT</t>
  </si>
  <si>
    <t xml:space="preserve">TAGTATAGAGCTTGGCGATTTGCT</t>
  </si>
  <si>
    <t xml:space="preserve">AAACAGCAAATCGCCAAGCTCTAT</t>
  </si>
  <si>
    <t xml:space="preserve">CCGACGCGCTTGTCCTTCAG</t>
  </si>
  <si>
    <t xml:space="preserve">TAGTCCGACGCGCTTGTCCTTCAG</t>
  </si>
  <si>
    <t xml:space="preserve">AAACCTGAAGGACAAGCGCGTCGG</t>
  </si>
  <si>
    <t xml:space="preserve">CGGCCAGCTCGCCCACCACG</t>
  </si>
  <si>
    <t xml:space="preserve">TAGTCGGCCAGCTCGCCCACCACG</t>
  </si>
  <si>
    <t xml:space="preserve">AAACCGTGGTGGGCGAGCTGGCCG</t>
  </si>
  <si>
    <t xml:space="preserve">PST_3068</t>
  </si>
  <si>
    <t xml:space="preserve">CGAACCACCGGCGAGTATCC</t>
  </si>
  <si>
    <t xml:space="preserve">TAGTCGAACCACCGGCGAGTATCC</t>
  </si>
  <si>
    <t xml:space="preserve">AAACGGATACTCGCCGGTGGTTCG</t>
  </si>
  <si>
    <t xml:space="preserve">GTGCCGCACCCCGAGGGAAA</t>
  </si>
  <si>
    <t xml:space="preserve">TAGTGTGCCGCACCCCGAGGGAAA</t>
  </si>
  <si>
    <t xml:space="preserve">AAACTTTCCCTCGGGGTGCGGCAC</t>
  </si>
  <si>
    <t xml:space="preserve">CACTCATCGGCGGCAGGAAC</t>
  </si>
  <si>
    <t xml:space="preserve">TAGTCACTCATCGGCGGCAGGAAC</t>
  </si>
  <si>
    <t xml:space="preserve">AAACGTTCCTGCCGCCGATGAGTG</t>
  </si>
  <si>
    <t xml:space="preserve">GTTCTGCACGGCAATGGCGA</t>
  </si>
  <si>
    <t xml:space="preserve">TAGTGTTCTGCACGGCAATGGCGA</t>
  </si>
  <si>
    <t xml:space="preserve">AAACTCGCCATTGCCGTGCAGAAC</t>
  </si>
  <si>
    <t xml:space="preserve">PST_3069</t>
  </si>
  <si>
    <t xml:space="preserve">GACCGCCACATGCGCCGCTA</t>
  </si>
  <si>
    <t xml:space="preserve">TAGTGACCGCCACATGCGCCGCTA</t>
  </si>
  <si>
    <t xml:space="preserve">AAACTAGCGGCGCATGTGGCGGTC</t>
  </si>
  <si>
    <t xml:space="preserve">TTTGCAGATCCAGCCCGCTG</t>
  </si>
  <si>
    <t xml:space="preserve">TAGTTTTGCAGATCCAGCCCGCTG</t>
  </si>
  <si>
    <t xml:space="preserve">AAACCAGCGGGCTGGATCTGCAAA</t>
  </si>
  <si>
    <t xml:space="preserve">GCCGCTGAACGCGGTGCGAC</t>
  </si>
  <si>
    <t xml:space="preserve">TAGTGCCGCTGAACGCGGTGCGAC</t>
  </si>
  <si>
    <t xml:space="preserve">AAACGTCGCACCGCGTTCAGCGGC</t>
  </si>
  <si>
    <t xml:space="preserve">TGCGACGCAGCAGGTGCGGC</t>
  </si>
  <si>
    <t xml:space="preserve">TAGTTGCGACGCAGCAGGTGCGGC</t>
  </si>
  <si>
    <t xml:space="preserve">AAACGCCGCACCTGCTGCGTCGCA</t>
  </si>
  <si>
    <t xml:space="preserve">PST_3070</t>
  </si>
  <si>
    <t xml:space="preserve">GCGGACACGGATCAATGTCG</t>
  </si>
  <si>
    <t xml:space="preserve">TAGTGCGGACACGGATCAATGTCG</t>
  </si>
  <si>
    <t xml:space="preserve">AAACCGACATTGATCCGTGTCCGC</t>
  </si>
  <si>
    <t xml:space="preserve">GCGCTTGTCGGTTCTGCTCA</t>
  </si>
  <si>
    <t xml:space="preserve">TAGTGCGCTTGTCGGTTCTGCTCA</t>
  </si>
  <si>
    <t xml:space="preserve">AAACTGAGCAGAACCGACAAGCGC</t>
  </si>
  <si>
    <t xml:space="preserve">GGCAGTTTACCCGAGAGCAC</t>
  </si>
  <si>
    <t xml:space="preserve">TAGTGGCAGTTTACCCGAGAGCAC</t>
  </si>
  <si>
    <t xml:space="preserve">AAACGTGCTCTCGGGTAAACTGCC</t>
  </si>
  <si>
    <t xml:space="preserve">CGGGCTGAATGCAACAGGAG</t>
  </si>
  <si>
    <t xml:space="preserve">TAGTCGGGCTGAATGCAACAGGAG</t>
  </si>
  <si>
    <t xml:space="preserve">AAACCTCCTGTTGCATTCAGCCCG</t>
  </si>
  <si>
    <t xml:space="preserve">PST_3071</t>
  </si>
  <si>
    <t xml:space="preserve">CAGCAGGGCGTCCTGACGAT</t>
  </si>
  <si>
    <t xml:space="preserve">TAGTCAGCAGGGCGTCCTGACGAT</t>
  </si>
  <si>
    <t xml:space="preserve">AAACATCGTCAGGACGCCCTGCTG</t>
  </si>
  <si>
    <t xml:space="preserve">CTGCGCAGTCGGGGCCCTGC</t>
  </si>
  <si>
    <t xml:space="preserve">TAGTCTGCGCAGTCGGGGCCCTGC</t>
  </si>
  <si>
    <t xml:space="preserve">AAACGCAGGGCCCCGACTGCGCAG</t>
  </si>
  <si>
    <t xml:space="preserve">CATCCCGAGCGGGTCGAGGC</t>
  </si>
  <si>
    <t xml:space="preserve">TAGTCATCCCGAGCGGGTCGAGGC</t>
  </si>
  <si>
    <t xml:space="preserve">AAACGCCTCGACCCGCTCGGGATG</t>
  </si>
  <si>
    <t xml:space="preserve">AGTCGGTGCCTGGAAACCGA</t>
  </si>
  <si>
    <t xml:space="preserve">TAGTAGTCGGTGCCTGGAAACCGA</t>
  </si>
  <si>
    <t xml:space="preserve">AAACTCGGTTTCCAGGCACCGACT</t>
  </si>
  <si>
    <t xml:space="preserve">PST_3072</t>
  </si>
  <si>
    <t xml:space="preserve">CGGCAGCAGCCATAGCAACC</t>
  </si>
  <si>
    <t xml:space="preserve">TAGTCGGCAGCAGCCATAGCAACC</t>
  </si>
  <si>
    <t xml:space="preserve">AAACGGTTGCTATGGCTGCTGCCG</t>
  </si>
  <si>
    <t xml:space="preserve">TCCTGCGCCGGGGCCAGCAT</t>
  </si>
  <si>
    <t xml:space="preserve">TAGTTCCTGCGCCGGGGCCAGCAT</t>
  </si>
  <si>
    <t xml:space="preserve">AAACATGCTGGCCCCGGCGCAGGA</t>
  </si>
  <si>
    <t xml:space="preserve">ACCGCTTCCACCGACAGCTC</t>
  </si>
  <si>
    <t xml:space="preserve">TAGTACCGCTTCCACCGACAGCTC</t>
  </si>
  <si>
    <t xml:space="preserve">AAACGAGCTGTCGGTGGAAGCGGT</t>
  </si>
  <si>
    <t xml:space="preserve">GGTGAACTCGGCGTTGGCCA</t>
  </si>
  <si>
    <t xml:space="preserve">TAGTGGTGAACTCGGCGTTGGCCA</t>
  </si>
  <si>
    <t xml:space="preserve">AAACTGGCCAACGCCGAGTTCACC</t>
  </si>
  <si>
    <t xml:space="preserve">PST_3073</t>
  </si>
  <si>
    <t xml:space="preserve">CGGGATCATCACCGAACGCC</t>
  </si>
  <si>
    <t xml:space="preserve">TAGTCGGGATCATCACCGAACGCC</t>
  </si>
  <si>
    <t xml:space="preserve">AAACGGCGTTCGGTGATGATCCCG</t>
  </si>
  <si>
    <t xml:space="preserve">AGATCCGGCTTGGGCATGAC</t>
  </si>
  <si>
    <t xml:space="preserve">TAGTAGATCCGGCTTGGGCATGAC</t>
  </si>
  <si>
    <t xml:space="preserve">AAACGTCATGCCCAAGCCGGATCT</t>
  </si>
  <si>
    <t xml:space="preserve">CCGGTAGCCCCCGGTCAGCG</t>
  </si>
  <si>
    <t xml:space="preserve">TAGTCCGGTAGCCCCCGGTCAGCG</t>
  </si>
  <si>
    <t xml:space="preserve">AAACCGCTGACCGGGGGCTACCGG</t>
  </si>
  <si>
    <t xml:space="preserve">TCGGCGCCGACCTGCAACAC</t>
  </si>
  <si>
    <t xml:space="preserve">TAGTTCGGCGCCGACCTGCAACAC</t>
  </si>
  <si>
    <t xml:space="preserve">AAACGTGTTGCAGGTCGGCGCCGA</t>
  </si>
  <si>
    <t xml:space="preserve">PST_3074</t>
  </si>
  <si>
    <t xml:space="preserve">GGCGACGACAACGGCAGGGC</t>
  </si>
  <si>
    <t xml:space="preserve">TAGTGGCGACGACAACGGCAGGGC</t>
  </si>
  <si>
    <t xml:space="preserve">AAACGCCCTGCCGTTGTCGTCGCC</t>
  </si>
  <si>
    <t xml:space="preserve">GTCATGTTTGGCAACGATCT</t>
  </si>
  <si>
    <t xml:space="preserve">TAGTGTCATGTTTGGCAACGATCT</t>
  </si>
  <si>
    <t xml:space="preserve">AAACAGATCGTTGCCAAACATGAC</t>
  </si>
  <si>
    <t xml:space="preserve">CCAGGGTTTGGGCAGGACCT</t>
  </si>
  <si>
    <t xml:space="preserve">TAGTCCAGGGTTTGGGCAGGACCT</t>
  </si>
  <si>
    <t xml:space="preserve">AAACAGGTCCTGCCCAAACCCTGG</t>
  </si>
  <si>
    <t xml:space="preserve">CGCCATTGGCGGCACGCACC</t>
  </si>
  <si>
    <t xml:space="preserve">TAGTCGCCATTGGCGGCACGCACC</t>
  </si>
  <si>
    <t xml:space="preserve">AAACGGTGCGTGCCGCCAATGGCG</t>
  </si>
  <si>
    <t xml:space="preserve">PST_3075</t>
  </si>
  <si>
    <t xml:space="preserve">ATAGGTGGAAGGGCTGTTGC</t>
  </si>
  <si>
    <t xml:space="preserve">TAGTATAGGTGGAAGGGCTGTTGC</t>
  </si>
  <si>
    <t xml:space="preserve">AAACGCAACAGCCCTTCCACCTAT</t>
  </si>
  <si>
    <t xml:space="preserve">CGGCTTCGCCATTGCGATCC</t>
  </si>
  <si>
    <t xml:space="preserve">TAGTCGGCTTCGCCATTGCGATCC</t>
  </si>
  <si>
    <t xml:space="preserve">AAACGGATCGCAATGGCGAAGCCG</t>
  </si>
  <si>
    <t xml:space="preserve">GACCAGCTCGTACTCGAAGC</t>
  </si>
  <si>
    <t xml:space="preserve">TAGTGACCAGCTCGTACTCGAAGC</t>
  </si>
  <si>
    <t xml:space="preserve">AAACGCTTCGAGTACGAGCTGGTC</t>
  </si>
  <si>
    <t xml:space="preserve">CAGTTCGACGCCCAGGGTGC</t>
  </si>
  <si>
    <t xml:space="preserve">TAGTCAGTTCGACGCCCAGGGTGC</t>
  </si>
  <si>
    <t xml:space="preserve">AAACGCACCCTGGGCGTCGAACTG</t>
  </si>
  <si>
    <t xml:space="preserve">PST_3076</t>
  </si>
  <si>
    <t xml:space="preserve">TGGATCTGCTGTTCGGGCAT</t>
  </si>
  <si>
    <t xml:space="preserve">TAGTTGGATCTGCTGTTCGGGCAT</t>
  </si>
  <si>
    <t xml:space="preserve">AAACATGCCCGAACAGCAGATCCA</t>
  </si>
  <si>
    <t xml:space="preserve">GGGCGTGCCAGCGGGTCGAT</t>
  </si>
  <si>
    <t xml:space="preserve">TAGTGGGCGTGCCAGCGGGTCGAT</t>
  </si>
  <si>
    <t xml:space="preserve">AAACATCGACCCGCTGGCACGCCC</t>
  </si>
  <si>
    <t xml:space="preserve">CAAGGCCTCCTCGGCCTGAC</t>
  </si>
  <si>
    <t xml:space="preserve">TAGTCAAGGCCTCCTCGGCCTGAC</t>
  </si>
  <si>
    <t xml:space="preserve">AAACGTCAGGCCGAGGAGGCCTTG</t>
  </si>
  <si>
    <t xml:space="preserve">CTGCTCGTGCGTCAGGCCGG</t>
  </si>
  <si>
    <t xml:space="preserve">TAGTCTGCTCGTGCGTCAGGCCGG</t>
  </si>
  <si>
    <t xml:space="preserve">AAACCCGGCCTGACGCACGAGCAG</t>
  </si>
  <si>
    <t xml:space="preserve">PST_3077</t>
  </si>
  <si>
    <t xml:space="preserve">GCGCGCAGCGGGCCGGCGTG</t>
  </si>
  <si>
    <t xml:space="preserve">TAGTGCGCGCAGCGGGCCGGCGTG</t>
  </si>
  <si>
    <t xml:space="preserve">AAACCACGCCGGCCCGCTGCGCGC</t>
  </si>
  <si>
    <t xml:space="preserve">ACGTGGGCAAGAATAGCGCG</t>
  </si>
  <si>
    <t xml:space="preserve">TAGTACGTGGGCAAGAATAGCGCG</t>
  </si>
  <si>
    <t xml:space="preserve">AAACCGCGCTATTCTTGCCCACGT</t>
  </si>
  <si>
    <t xml:space="preserve">TTGGCATGGAGCAATCTCGA</t>
  </si>
  <si>
    <t xml:space="preserve">TAGTTTGGCATGGAGCAATCTCGA</t>
  </si>
  <si>
    <t xml:space="preserve">AAACTCGAGATTGCTCCATGCCAA</t>
  </si>
  <si>
    <t xml:space="preserve">CAGGCCGAGGCCCAGGCCGC</t>
  </si>
  <si>
    <t xml:space="preserve">TAGTCAGGCCGAGGCCCAGGCCGC</t>
  </si>
  <si>
    <t xml:space="preserve">AAACGCGGCCTGGGCCTCGGCCTG</t>
  </si>
  <si>
    <t xml:space="preserve">PST_3078</t>
  </si>
  <si>
    <t xml:space="preserve">atzB</t>
  </si>
  <si>
    <t xml:space="preserve">CCAGATACGGTCAGCAGGCA</t>
  </si>
  <si>
    <t xml:space="preserve">TAGTCCAGATACGGTCAGCAGGCA</t>
  </si>
  <si>
    <t xml:space="preserve">AAACTGCCTGCTGACCGTATCTGG</t>
  </si>
  <si>
    <t xml:space="preserve">TTGGCGGTGAACAGGGCAAG</t>
  </si>
  <si>
    <t xml:space="preserve">TAGTTTGGCGGTGAACAGGGCAAG</t>
  </si>
  <si>
    <t xml:space="preserve">AAACCTTGCCCTGTTCACCGCCAA</t>
  </si>
  <si>
    <t xml:space="preserve">CCAGCCCACCCAGGGCTTCC</t>
  </si>
  <si>
    <t xml:space="preserve">TAGTCCAGCCCACCCAGGGCTTCC</t>
  </si>
  <si>
    <t xml:space="preserve">AAACGGAAGCCCTGGGTGGGCTGG</t>
  </si>
  <si>
    <t xml:space="preserve">CAGCGCGGGCGAGGCCCCGG</t>
  </si>
  <si>
    <t xml:space="preserve">TAGTCAGCGCGGGCGAGGCCCCGG</t>
  </si>
  <si>
    <t xml:space="preserve">AAACCCGGGGCCTCGCCCGCGCTG</t>
  </si>
  <si>
    <t xml:space="preserve">PST_3079</t>
  </si>
  <si>
    <t xml:space="preserve">TTTGGTGCAAGCCTCGATCG</t>
  </si>
  <si>
    <t xml:space="preserve">TAGTTTTGGTGCAAGCCTCGATCG</t>
  </si>
  <si>
    <t xml:space="preserve">AAACCGATCGAGGCTTGCACCAAA</t>
  </si>
  <si>
    <t xml:space="preserve">GCTGGTGCGCCAGTAATCCA</t>
  </si>
  <si>
    <t xml:space="preserve">TAGTGCTGGTGCGCCAGTAATCCA</t>
  </si>
  <si>
    <t xml:space="preserve">AAACTGGATTACTGGCGCACCAGC</t>
  </si>
  <si>
    <t xml:space="preserve">GCCGATTCGACGCGACGCCG</t>
  </si>
  <si>
    <t xml:space="preserve">TAGTGCCGATTCGACGCGACGCCG</t>
  </si>
  <si>
    <t xml:space="preserve">AAACCGGCGTCGCGTCGAATCGGC</t>
  </si>
  <si>
    <t xml:space="preserve">ACCTTCGTTGTGCCGGATTG</t>
  </si>
  <si>
    <t xml:space="preserve">TAGTACCTTCGTTGTGCCGGATTG</t>
  </si>
  <si>
    <t xml:space="preserve">AAACCAATCCGGCACAACGAAGGT</t>
  </si>
  <si>
    <t xml:space="preserve">PST_3080</t>
  </si>
  <si>
    <t xml:space="preserve">GATGATGGGCAGTGCGTTCA</t>
  </si>
  <si>
    <t xml:space="preserve">TAGTGATGATGGGCAGTGCGTTCA</t>
  </si>
  <si>
    <t xml:space="preserve">AAACTGAACGCACTGCCCATCATC</t>
  </si>
  <si>
    <t xml:space="preserve">CTCGTCGGCGTTATAGAGCG</t>
  </si>
  <si>
    <t xml:space="preserve">TAGTCTCGTCGGCGTTATAGAGCG</t>
  </si>
  <si>
    <t xml:space="preserve">AAACCGCTCTATAACGCCGACGAG</t>
  </si>
  <si>
    <t xml:space="preserve">CTCGGCGACGGCCAGATGGC</t>
  </si>
  <si>
    <t xml:space="preserve">TAGTCTCGGCGACGGCCAGATGGC</t>
  </si>
  <si>
    <t xml:space="preserve">AAACGCCATCTGGCCGTCGCCGAG</t>
  </si>
  <si>
    <t xml:space="preserve">CTCGCGGCAGGCGCGGTCGA</t>
  </si>
  <si>
    <t xml:space="preserve">TAGTCTCGCGGCAGGCGCGGTCGA</t>
  </si>
  <si>
    <t xml:space="preserve">AAACTCGACCGCGCCTGCCGCGAG</t>
  </si>
  <si>
    <t xml:space="preserve">PST_3081</t>
  </si>
  <si>
    <t xml:space="preserve">xdhA</t>
  </si>
  <si>
    <t xml:space="preserve">AGTTGAGGGTGCGATAGCGC</t>
  </si>
  <si>
    <t xml:space="preserve">TAGTAGTTGAGGGTGCGATAGCGC</t>
  </si>
  <si>
    <t xml:space="preserve">AAACGCGCTATCGCACCCTCAACT</t>
  </si>
  <si>
    <t xml:space="preserve">GCAGGGCGGAGACGAAGGTC</t>
  </si>
  <si>
    <t xml:space="preserve">TAGTGCAGGGCGGAGACGAAGGTC</t>
  </si>
  <si>
    <t xml:space="preserve">AAACGACCTTCGTCTCCGCCCTGC</t>
  </si>
  <si>
    <t xml:space="preserve">GCAGCCGGCCCTGGTCCTTG</t>
  </si>
  <si>
    <t xml:space="preserve">TAGTGCAGCCGGCCCTGGTCCTTG</t>
  </si>
  <si>
    <t xml:space="preserve">AAACCAAGGACCAGGGCCGGCTGC</t>
  </si>
  <si>
    <t xml:space="preserve">AGAAGCCGCACTGCGAGCCG</t>
  </si>
  <si>
    <t xml:space="preserve">TAGTAGAAGCCGCACTGCGAGCCG</t>
  </si>
  <si>
    <t xml:space="preserve">AAACCGGCTCGCAGTGCGGCTTCT</t>
  </si>
  <si>
    <t xml:space="preserve">PST_3082</t>
  </si>
  <si>
    <t xml:space="preserve">xdhB</t>
  </si>
  <si>
    <t xml:space="preserve">CCTGAGTGCGGGTGGTTACG</t>
  </si>
  <si>
    <t xml:space="preserve">TAGTCCTGAGTGCGGGTGGTTACG</t>
  </si>
  <si>
    <t xml:space="preserve">AAACCGTAACCACCCGCACTCAGG</t>
  </si>
  <si>
    <t xml:space="preserve">TGCGACCGACGCCGGTGACC</t>
  </si>
  <si>
    <t xml:space="preserve">TAGTTGCGACCGACGCCGGTGACC</t>
  </si>
  <si>
    <t xml:space="preserve">AAACGGTCACCGGCGTCGGTCGCA</t>
  </si>
  <si>
    <t xml:space="preserve">GCCTCGCCCGAGACATGCTT</t>
  </si>
  <si>
    <t xml:space="preserve">TAGTGCCTCGCCCGAGACATGCTT</t>
  </si>
  <si>
    <t xml:space="preserve">AAACAAGCATGTCTCGGGCGAGGC</t>
  </si>
  <si>
    <t xml:space="preserve">GCTGATTGGGAAACTCCAGC</t>
  </si>
  <si>
    <t xml:space="preserve">TAGTGCTGATTGGGAAACTCCAGC</t>
  </si>
  <si>
    <t xml:space="preserve">AAACGCTGGAGTTTCCCAATCAGC</t>
  </si>
  <si>
    <t xml:space="preserve">PST_3083</t>
  </si>
  <si>
    <t xml:space="preserve">TGGTGTCGTACAGGCGCTCA</t>
  </si>
  <si>
    <t xml:space="preserve">TAGTTGGTGTCGTACAGGCGCTCA</t>
  </si>
  <si>
    <t xml:space="preserve">AAACTGAGCGCCTGTACGACACCA</t>
  </si>
  <si>
    <t xml:space="preserve">CTCCAGGTGGCCGCCGCCGA</t>
  </si>
  <si>
    <t xml:space="preserve">TAGTCTCCAGGTGGCCGCCGCCGA</t>
  </si>
  <si>
    <t xml:space="preserve">AAACTCGGCGGCGGCCACCTGGAG</t>
  </si>
  <si>
    <t xml:space="preserve">CATTTCACGGGCGATCTGCT</t>
  </si>
  <si>
    <t xml:space="preserve">TAGTCATTTCACGGGCGATCTGCT</t>
  </si>
  <si>
    <t xml:space="preserve">AAACAGCAGATCGCCCGTGAAATG</t>
  </si>
  <si>
    <t xml:space="preserve">AGCGCTCGAGGCGGGTGTCA</t>
  </si>
  <si>
    <t xml:space="preserve">TAGTAGCGCTCGAGGCGGGTGTCA</t>
  </si>
  <si>
    <t xml:space="preserve">AAACTGACACCCGCCTCGAGCGCT</t>
  </si>
  <si>
    <t xml:space="preserve">PST_3084</t>
  </si>
  <si>
    <t xml:space="preserve">guaD</t>
  </si>
  <si>
    <t xml:space="preserve">GTAGGCTTTGGTGCTTGGCA</t>
  </si>
  <si>
    <t xml:space="preserve">TAGTGTAGGCTTTGGTGCTTGGCA</t>
  </si>
  <si>
    <t xml:space="preserve">AAACTGCCAAGCACCAAAGCCTAC</t>
  </si>
  <si>
    <t xml:space="preserve">GGCAGTGGAGCAGGGCGGCA</t>
  </si>
  <si>
    <t xml:space="preserve">TAGTGGCAGTGGAGCAGGGCGGCA</t>
  </si>
  <si>
    <t xml:space="preserve">AAACTGCCGCCCTGCTCCACTGCC</t>
  </si>
  <si>
    <t xml:space="preserve">CCACTTCGCGCGGGTCGGCG</t>
  </si>
  <si>
    <t xml:space="preserve">TAGTCCACTTCGCGCGGGTCGGCG</t>
  </si>
  <si>
    <t xml:space="preserve">AAACCGCCGACCCGCGCGAAGTGG</t>
  </si>
  <si>
    <t xml:space="preserve">GCCGTCCTCGAAGTATTCAT</t>
  </si>
  <si>
    <t xml:space="preserve">TAGTGCCGTCCTCGAAGTATTCAT</t>
  </si>
  <si>
    <t xml:space="preserve">AAACATGAATACTTCGAGGACGGC</t>
  </si>
  <si>
    <t xml:space="preserve">PST_3085</t>
  </si>
  <si>
    <t xml:space="preserve">AGGATCAGGAAGACACCCAG</t>
  </si>
  <si>
    <t xml:space="preserve">TAGTAGGATCAGGAAGACACCCAG</t>
  </si>
  <si>
    <t xml:space="preserve">AAACCTGGGTGTCTTCCTGATCCT</t>
  </si>
  <si>
    <t xml:space="preserve">CGATCAGACTCATCCGCCGC</t>
  </si>
  <si>
    <t xml:space="preserve">TAGTCGATCAGACTCATCCGCCGC</t>
  </si>
  <si>
    <t xml:space="preserve">AAACGCGGCGGATGAGTCTGATCG</t>
  </si>
  <si>
    <t xml:space="preserve">CGGCAGGATGCCGTGGGCGA</t>
  </si>
  <si>
    <t xml:space="preserve">TAGTCGGCAGGATGCCGTGGGCGA</t>
  </si>
  <si>
    <t xml:space="preserve">AAACTCGCCCACGGCATCCTGCCG</t>
  </si>
  <si>
    <t xml:space="preserve">CAGAATGCCAGCGCCGCACC</t>
  </si>
  <si>
    <t xml:space="preserve">TAGTCAGAATGCCAGCGCCGCACC</t>
  </si>
  <si>
    <t xml:space="preserve">AAACGGTGCGGCGCTGGCATTCTG</t>
  </si>
  <si>
    <t xml:space="preserve">PST_3088</t>
  </si>
  <si>
    <t xml:space="preserve">GTCTTGTTCGGCTTCTTCAG</t>
  </si>
  <si>
    <t xml:space="preserve">TAGTGTCTTGTTCGGCTTCTTCAG</t>
  </si>
  <si>
    <t xml:space="preserve">AAACCTGAAGAAGCCGAACAAGAC</t>
  </si>
  <si>
    <t xml:space="preserve">CGTCCCGGTGCGAGTCTTGC</t>
  </si>
  <si>
    <t xml:space="preserve">TAGTCGTCCCGGTGCGAGTCTTGC</t>
  </si>
  <si>
    <t xml:space="preserve">AAACGCAAGACTCGCACCGGGACG</t>
  </si>
  <si>
    <t xml:space="preserve">GGCCAGGCGTTGTTCGAGGA</t>
  </si>
  <si>
    <t xml:space="preserve">TAGTGGCCAGGCGTTGTTCGAGGA</t>
  </si>
  <si>
    <t xml:space="preserve">AAACTCCTCGAACAACGCCTGGCC</t>
  </si>
  <si>
    <t xml:space="preserve">CCTCGCTGAGCTTGGTGCCA</t>
  </si>
  <si>
    <t xml:space="preserve">TAGTCCTCGCTGAGCTTGGTGCCA</t>
  </si>
  <si>
    <t xml:space="preserve">AAACTGGCACCAAGCTCAGCGAGG</t>
  </si>
  <si>
    <t xml:space="preserve">PST_3089</t>
  </si>
  <si>
    <t xml:space="preserve">CCAGCTCCCGTGACAAGCGA</t>
  </si>
  <si>
    <t xml:space="preserve">TAGTCCAGCTCCCGTGACAAGCGA</t>
  </si>
  <si>
    <t xml:space="preserve">AAACTCGCTTGTCACGGGAGCTGG</t>
  </si>
  <si>
    <t xml:space="preserve">GCGGCTTCACTGGCAGTCGT</t>
  </si>
  <si>
    <t xml:space="preserve">TAGTGCGGCTTCACTGGCAGTCGT</t>
  </si>
  <si>
    <t xml:space="preserve">AAACACGACTGCCAGTGAAGCCGC</t>
  </si>
  <si>
    <t xml:space="preserve">TCGCAAGTGAAGTGTCGGCA</t>
  </si>
  <si>
    <t xml:space="preserve">TAGTTCGCAAGTGAAGTGTCGGCA</t>
  </si>
  <si>
    <t xml:space="preserve">AAACTGCCGACACTTCACTTGCGA</t>
  </si>
  <si>
    <t xml:space="preserve">PST_3090</t>
  </si>
  <si>
    <t xml:space="preserve">CGTTCTTGTTGTCGATCACC</t>
  </si>
  <si>
    <t xml:space="preserve">TAGTCGTTCTTGTTGTCGATCACC</t>
  </si>
  <si>
    <t xml:space="preserve">AAACGGTGATCGACAACAAGAACG</t>
  </si>
  <si>
    <t xml:space="preserve">TGCGCTTGATGCTTTCCACT</t>
  </si>
  <si>
    <t xml:space="preserve">TAGTTGCGCTTGATGCTTTCCACT</t>
  </si>
  <si>
    <t xml:space="preserve">AAACAGTGGAAAGCATCAAGCGCA</t>
  </si>
  <si>
    <t xml:space="preserve">CGTTGCAAGGGTGCTGCCTG</t>
  </si>
  <si>
    <t xml:space="preserve">TAGTCGTTGCAAGGGTGCTGCCTG</t>
  </si>
  <si>
    <t xml:space="preserve">AAACCAGGCAGCACCCTTGCAACG</t>
  </si>
  <si>
    <t xml:space="preserve">CCGGTCCAGCCAGCCGGGGG</t>
  </si>
  <si>
    <t xml:space="preserve">TAGTCCGGTCCAGCCAGCCGGGGG</t>
  </si>
  <si>
    <t xml:space="preserve">AAACCCCCCGGCTGGCTGGACCGG</t>
  </si>
  <si>
    <t xml:space="preserve">PST_3091</t>
  </si>
  <si>
    <t xml:space="preserve">CGCACTCGTATACAACAACC</t>
  </si>
  <si>
    <t xml:space="preserve">TAGTCGCACTCGTATACAACAACC</t>
  </si>
  <si>
    <t xml:space="preserve">AAACGGTTGTTGTATACGAGTGCG</t>
  </si>
  <si>
    <t xml:space="preserve">GCGACAGCGGTCCGGGGATG</t>
  </si>
  <si>
    <t xml:space="preserve">TAGTGCGACAGCGGTCCGGGGATG</t>
  </si>
  <si>
    <t xml:space="preserve">AAACCATCCCCGGACCGCTGTCGC</t>
  </si>
  <si>
    <t xml:space="preserve">AGCGGCGCACTCCGTAGTTC</t>
  </si>
  <si>
    <t xml:space="preserve">TAGTAGCGGCGCACTCCGTAGTTC</t>
  </si>
  <si>
    <t xml:space="preserve">AAACGAACTACGGAGTGCGCCGCT</t>
  </si>
  <si>
    <t xml:space="preserve">GCCGCCGAGAAAGGCTGGCC</t>
  </si>
  <si>
    <t xml:space="preserve">TAGTGCCGCCGAGAAAGGCTGGCC</t>
  </si>
  <si>
    <t xml:space="preserve">AAACGGCCAGCCTTTCTCGGCGGC</t>
  </si>
  <si>
    <t xml:space="preserve">PST_3092</t>
  </si>
  <si>
    <t xml:space="preserve">TGTGTGGTCAAACGGCCCAC</t>
  </si>
  <si>
    <t xml:space="preserve">TAGTTGTGTGGTCAAACGGCCCAC</t>
  </si>
  <si>
    <t xml:space="preserve">AAACGTGGGCCGTTTGACCACACA</t>
  </si>
  <si>
    <t xml:space="preserve">GCTGCCCGGGCAACCGTGGG</t>
  </si>
  <si>
    <t xml:space="preserve">TAGTGCTGCCCGGGCAACCGTGGG</t>
  </si>
  <si>
    <t xml:space="preserve">AAACCCCACGGTTGCCCGGGCAGC</t>
  </si>
  <si>
    <t xml:space="preserve">CACGCATGGCGACCAGCGTC</t>
  </si>
  <si>
    <t xml:space="preserve">TAGTCACGCATGGCGACCAGCGTC</t>
  </si>
  <si>
    <t xml:space="preserve">AAACGACGCTGGTCGCCATGCGTG</t>
  </si>
  <si>
    <t xml:space="preserve">GTCGCAGCGGCCATCGGCGT</t>
  </si>
  <si>
    <t xml:space="preserve">TAGTGTCGCAGCGGCCATCGGCGT</t>
  </si>
  <si>
    <t xml:space="preserve">AAACACGCCGATGGCCGCTGCGAC</t>
  </si>
  <si>
    <t xml:space="preserve">PST_3093</t>
  </si>
  <si>
    <t xml:space="preserve">GTCGTGATGTAACGACCGGA</t>
  </si>
  <si>
    <t xml:space="preserve">TAGTGTCGTGATGTAACGACCGGA</t>
  </si>
  <si>
    <t xml:space="preserve">AAACTCCGGTCGTTACATCACGAC</t>
  </si>
  <si>
    <t xml:space="preserve">TGGGCTGCTTCCTGTGTGGC</t>
  </si>
  <si>
    <t xml:space="preserve">TAGTTGGGCTGCTTCCTGTGTGGC</t>
  </si>
  <si>
    <t xml:space="preserve">AAACGCCACACAGGAAGCAGCCCA</t>
  </si>
  <si>
    <t xml:space="preserve">CGTGGGTAGTCGGCGCTCAC</t>
  </si>
  <si>
    <t xml:space="preserve">TAGTCGTGGGTAGTCGGCGCTCAC</t>
  </si>
  <si>
    <t xml:space="preserve">AAACGTGAGCGCCGACTACCCACG</t>
  </si>
  <si>
    <t xml:space="preserve">TTGCGGATGGGGCGGGTTGC</t>
  </si>
  <si>
    <t xml:space="preserve">TAGTTTGCGGATGGGGCGGGTTGC</t>
  </si>
  <si>
    <t xml:space="preserve">AAACGCAACCCGCCCCATCCGCAA</t>
  </si>
  <si>
    <t xml:space="preserve">PST_3094</t>
  </si>
  <si>
    <t xml:space="preserve">GGGCTTGATCGTCTTGAACG</t>
  </si>
  <si>
    <t xml:space="preserve">TAGTGGGCTTGATCGTCTTGAACG</t>
  </si>
  <si>
    <t xml:space="preserve">AAACCGTTCAAGACGATCAAGCCC</t>
  </si>
  <si>
    <t xml:space="preserve">GCATCGCGGTCGAGGGTCGA</t>
  </si>
  <si>
    <t xml:space="preserve">TAGTGCATCGCGGTCGAGGGTCGA</t>
  </si>
  <si>
    <t xml:space="preserve">AAACTCGACCCTCGACCGCGATGC</t>
  </si>
  <si>
    <t xml:space="preserve">ATCGGCGAAGGCGGCGACGA</t>
  </si>
  <si>
    <t xml:space="preserve">TAGTATCGGCGAAGGCGGCGACGA</t>
  </si>
  <si>
    <t xml:space="preserve">AAACTCGTCGCCGCCTTCGCCGAT</t>
  </si>
  <si>
    <t xml:space="preserve">TAGACCGTCTCGGCGACCCA</t>
  </si>
  <si>
    <t xml:space="preserve">TAGTTAGACCGTCTCGGCGACCCA</t>
  </si>
  <si>
    <t xml:space="preserve">AAACTGGGTCGCCGAGACGGTCTA</t>
  </si>
  <si>
    <t xml:space="preserve">PST_3095</t>
  </si>
  <si>
    <t xml:space="preserve">alc</t>
  </si>
  <si>
    <t xml:space="preserve">GACGTATTTCTCGAAGGGTA</t>
  </si>
  <si>
    <t xml:space="preserve">TAGTGACGTATTTCTCGAAGGGTA</t>
  </si>
  <si>
    <t xml:space="preserve">AAACTACCCTTCGAGAAATACGTC</t>
  </si>
  <si>
    <t xml:space="preserve">TGCCCAGACGTGCGTCGGCC</t>
  </si>
  <si>
    <t xml:space="preserve">TAGTTGCCCAGACGTGCGTCGGCC</t>
  </si>
  <si>
    <t xml:space="preserve">AAACGGCCGACGCACGTCTGGGCA</t>
  </si>
  <si>
    <t xml:space="preserve">GTCGGTGACGGAAATGGCGC</t>
  </si>
  <si>
    <t xml:space="preserve">TAGTGTCGGTGACGGAAATGGCGC</t>
  </si>
  <si>
    <t xml:space="preserve">AAACGCGCCATTTCCGTCACCGAC</t>
  </si>
  <si>
    <t xml:space="preserve">CTGGAACAGCCGGTTGACGT</t>
  </si>
  <si>
    <t xml:space="preserve">TAGTCTGGAACAGCCGGTTGACGT</t>
  </si>
  <si>
    <t xml:space="preserve">AAACACGTCAACCGGCTGTTCCAG</t>
  </si>
  <si>
    <t xml:space="preserve">PST_3096</t>
  </si>
  <si>
    <t xml:space="preserve">allA</t>
  </si>
  <si>
    <t xml:space="preserve">CTCGATGGTCAGGGTGCGCA</t>
  </si>
  <si>
    <t xml:space="preserve">TAGTCTCGATGGTCAGGGTGCGCA</t>
  </si>
  <si>
    <t xml:space="preserve">AAACTGCGCACCCTGACCATCGAG</t>
  </si>
  <si>
    <t xml:space="preserve">GCGAAGGCTTCCTTGGTCAG</t>
  </si>
  <si>
    <t xml:space="preserve">TAGTGCGAAGGCTTCCTTGGTCAG</t>
  </si>
  <si>
    <t xml:space="preserve">AAACCTGACCAAGGAAGCCTTCGC</t>
  </si>
  <si>
    <t xml:space="preserve">CTCGATGACGTCGCCGAAGG</t>
  </si>
  <si>
    <t xml:space="preserve">TAGTCTCGATGACGTCGCCGAAGG</t>
  </si>
  <si>
    <t xml:space="preserve">AAACCCTTCGGCGACGTCATCGAG</t>
  </si>
  <si>
    <t xml:space="preserve">CATGAAGTAGTCGCTGCCTT</t>
  </si>
  <si>
    <t xml:space="preserve">TAGTCATGAAGTAGTCGCTGCCTT</t>
  </si>
  <si>
    <t xml:space="preserve">AAACAAGGCAGCGACTACTTCATG</t>
  </si>
  <si>
    <t xml:space="preserve">PST_3097</t>
  </si>
  <si>
    <t xml:space="preserve">AATTCCCAGGTTCAGCCATT</t>
  </si>
  <si>
    <t xml:space="preserve">TAGTAATTCCCAGGTTCAGCCATT</t>
  </si>
  <si>
    <t xml:space="preserve">AAACAATGGCTGAACCTGGGAATT</t>
  </si>
  <si>
    <t xml:space="preserve">ATAGAAGGAGGCACCGATCC</t>
  </si>
  <si>
    <t xml:space="preserve">TAGTATAGAAGGAGGCACCGATCC</t>
  </si>
  <si>
    <t xml:space="preserve">AAACGGATCGGTGCCTCCTTCTAT</t>
  </si>
  <si>
    <t xml:space="preserve">CGCGGGGGTTGCTGCGGTTG</t>
  </si>
  <si>
    <t xml:space="preserve">TAGTCGCGGGGGTTGCTGCGGTTG</t>
  </si>
  <si>
    <t xml:space="preserve">AAACCAACCGCAGCAACCCCCGCG</t>
  </si>
  <si>
    <t xml:space="preserve">CACCGCCATGGATGGCCCAC</t>
  </si>
  <si>
    <t xml:space="preserve">TAGTCACCGCCATGGATGGCCCAC</t>
  </si>
  <si>
    <t xml:space="preserve">AAACGTGGGCCATCCATGGCGGTG</t>
  </si>
  <si>
    <t xml:space="preserve">PST_3098</t>
  </si>
  <si>
    <t xml:space="preserve">CGAATGTTCGCTGGGGTGGG</t>
  </si>
  <si>
    <t xml:space="preserve">TAGTCGAATGTTCGCTGGGGTGGG</t>
  </si>
  <si>
    <t xml:space="preserve">AAACCCCACCCCAGCGAACATTCG</t>
  </si>
  <si>
    <t xml:space="preserve">GCCGGCAGGGTGTGCCAGTT</t>
  </si>
  <si>
    <t xml:space="preserve">TAGTGCCGGCAGGGTGTGCCAGTT</t>
  </si>
  <si>
    <t xml:space="preserve">AAACAACTGGCACACCCTGCCGGC</t>
  </si>
  <si>
    <t xml:space="preserve">CAACTGCGTTTCGACTTCGG</t>
  </si>
  <si>
    <t xml:space="preserve">TAGTCAACTGCGTTTCGACTTCGG</t>
  </si>
  <si>
    <t xml:space="preserve">AAACCCGAAGTCGAAACGCAGTTG</t>
  </si>
  <si>
    <t xml:space="preserve">CGCCGTCCGCCAGCCCGTCC</t>
  </si>
  <si>
    <t xml:space="preserve">TAGTCGCCGTCCGCCAGCCCGTCC</t>
  </si>
  <si>
    <t xml:space="preserve">AAACGGACGGGCTGGCGGACGGCG</t>
  </si>
  <si>
    <t xml:space="preserve">PST_3099</t>
  </si>
  <si>
    <t xml:space="preserve">CGGGGCAGTCTTGGAATGCA</t>
  </si>
  <si>
    <t xml:space="preserve">TAGTCGGGGCAGTCTTGGAATGCA</t>
  </si>
  <si>
    <t xml:space="preserve">AAACTGCATTCCAAGACTGCCCCG</t>
  </si>
  <si>
    <t xml:space="preserve">CCGGCGAGGGCGAGGCAGAG</t>
  </si>
  <si>
    <t xml:space="preserve">TAGTCCGGCGAGGGCGAGGCAGAG</t>
  </si>
  <si>
    <t xml:space="preserve">AAACCTCTGCCTCGCCCTCGCCGG</t>
  </si>
  <si>
    <t xml:space="preserve">CCATGGCCGGGGCGGCGAGC</t>
  </si>
  <si>
    <t xml:space="preserve">TAGTCCATGGCCGGGGCGGCGAGC</t>
  </si>
  <si>
    <t xml:space="preserve">AAACGCTCGCCGCCCCGGCCATGG</t>
  </si>
  <si>
    <t xml:space="preserve">CTGCCAGTGCAGCAGGTCGC</t>
  </si>
  <si>
    <t xml:space="preserve">TAGTCTGCCAGTGCAGCAGGTCGC</t>
  </si>
  <si>
    <t xml:space="preserve">AAACGCGACCTGCTGCACTGGCAG</t>
  </si>
  <si>
    <t xml:space="preserve">PST_3100</t>
  </si>
  <si>
    <t xml:space="preserve">GCTGCGCTTGAAGAACTGCA</t>
  </si>
  <si>
    <t xml:space="preserve">TAGTGCTGCGCTTGAAGAACTGCA</t>
  </si>
  <si>
    <t xml:space="preserve">AAACTGCAGTTCTTCAAGCGCAGC</t>
  </si>
  <si>
    <t xml:space="preserve">GCAGCGCCGCGCCCATGCTG</t>
  </si>
  <si>
    <t xml:space="preserve">TAGTGCAGCGCCGCGCCCATGCTG</t>
  </si>
  <si>
    <t xml:space="preserve">AAACCAGCATGGGCGCGGCGCTGC</t>
  </si>
  <si>
    <t xml:space="preserve">ACACCAGGATGACGATCAGC</t>
  </si>
  <si>
    <t xml:space="preserve">TAGTACACCAGGATGACGATCAGC</t>
  </si>
  <si>
    <t xml:space="preserve">AAACGCTGATCGTCATCCTGGTGT</t>
  </si>
  <si>
    <t xml:space="preserve">GGCGAGGCGCTCGACAGCCG</t>
  </si>
  <si>
    <t xml:space="preserve">TAGTGGCGAGGCGCTCGACAGCCG</t>
  </si>
  <si>
    <t xml:space="preserve">AAACCGGCTGTCGAGCGCCTCGCC</t>
  </si>
  <si>
    <t xml:space="preserve">PST_3101</t>
  </si>
  <si>
    <t xml:space="preserve">TCGGTTGCGCTCTCGAATGC</t>
  </si>
  <si>
    <t xml:space="preserve">TAGTTCGGTTGCGCTCTCGAATGC</t>
  </si>
  <si>
    <t xml:space="preserve">AAACGCATTCGAGAGCGCAACCGA</t>
  </si>
  <si>
    <t xml:space="preserve">ATTCCTCGCTGGCGGCTCGC</t>
  </si>
  <si>
    <t xml:space="preserve">TAGTATTCCTCGCTGGCGGCTCGC</t>
  </si>
  <si>
    <t xml:space="preserve">AAACGCGAGCCGCCAGCGAGGAAT</t>
  </si>
  <si>
    <t xml:space="preserve">GATGTCGCTGGTCTTGGTGG</t>
  </si>
  <si>
    <t xml:space="preserve">TAGTGATGTCGCTGGTCTTGGTGG</t>
  </si>
  <si>
    <t xml:space="preserve">AAACCCACCAAGACCAGCGACATC</t>
  </si>
  <si>
    <t xml:space="preserve">GGGCTTCGGCAGCCCGGCGC</t>
  </si>
  <si>
    <t xml:space="preserve">TAGTGGGCTTCGGCAGCCCGGCGC</t>
  </si>
  <si>
    <t xml:space="preserve">AAACGCGCCGGGCTGCCGAAGCCC</t>
  </si>
  <si>
    <t xml:space="preserve">PST_3102</t>
  </si>
  <si>
    <t xml:space="preserve">GGTACCGGGGCAAGGTATTC</t>
  </si>
  <si>
    <t xml:space="preserve">TAGTGGTACCGGGGCAAGGTATTC</t>
  </si>
  <si>
    <t xml:space="preserve">AAACGAATACCTTGCCCCGGTACC</t>
  </si>
  <si>
    <t xml:space="preserve">CGTTCGTGGGGTTCCCAGCG</t>
  </si>
  <si>
    <t xml:space="preserve">TAGTCGTTCGTGGGGTTCCCAGCG</t>
  </si>
  <si>
    <t xml:space="preserve">AAACCGCTGGGAACCCCACGAACG</t>
  </si>
  <si>
    <t xml:space="preserve">CCGGCGAGCCGGGCATGGAC</t>
  </si>
  <si>
    <t xml:space="preserve">TAGTCCGGCGAGCCGGGCATGGAC</t>
  </si>
  <si>
    <t xml:space="preserve">AAACGTCCATGCCCGGCTCGCCGG</t>
  </si>
  <si>
    <t xml:space="preserve">GCCGCGGCGGACTGTGCAGC</t>
  </si>
  <si>
    <t xml:space="preserve">TAGTGCCGCGGCGGACTGTGCAGC</t>
  </si>
  <si>
    <t xml:space="preserve">AAACGCTGCACAGTCCGCCGCGGC</t>
  </si>
  <si>
    <t xml:space="preserve">PST_3103</t>
  </si>
  <si>
    <t xml:space="preserve">GTCGGCGTGGTCTCGGCGTC</t>
  </si>
  <si>
    <t xml:space="preserve">TAGTGTCGGCGTGGTCTCGGCGTC</t>
  </si>
  <si>
    <t xml:space="preserve">AAACGACGCCGAGACCACGCCGAC</t>
  </si>
  <si>
    <t xml:space="preserve">CGGTGTGCCGCCGGCGTCCG</t>
  </si>
  <si>
    <t xml:space="preserve">TAGTCGGTGTGCCGCCGGCGTCCG</t>
  </si>
  <si>
    <t xml:space="preserve">AAACCGGACGCCGGCGGCACACCG</t>
  </si>
  <si>
    <t xml:space="preserve">ATCGTCTTGGGTGGCTCGGG</t>
  </si>
  <si>
    <t xml:space="preserve">TAGTATCGTCTTGGGTGGCTCGGG</t>
  </si>
  <si>
    <t xml:space="preserve">AAACCCCGAGCCACCCAAGACGAT</t>
  </si>
  <si>
    <t xml:space="preserve">TGATCGAGCGGCGGCTTGGC</t>
  </si>
  <si>
    <t xml:space="preserve">TAGTTGATCGAGCGGCGGCTTGGC</t>
  </si>
  <si>
    <t xml:space="preserve">AAACGCCAAGCCGCCGCTCGATCA</t>
  </si>
  <si>
    <t xml:space="preserve">PST_3105</t>
  </si>
  <si>
    <t xml:space="preserve">oprJ</t>
  </si>
  <si>
    <t xml:space="preserve">GTCCAGGCTCGGTATTAACC</t>
  </si>
  <si>
    <t xml:space="preserve">TAGTGTCCAGGCTCGGTATTAACC</t>
  </si>
  <si>
    <t xml:space="preserve">AAACGGTTAATACCGAGCCTGGAC</t>
  </si>
  <si>
    <t xml:space="preserve">GGCCAAGGGGGCCGAGGTCC</t>
  </si>
  <si>
    <t xml:space="preserve">TAGTGGCCAAGGGGGCCGAGGTCC</t>
  </si>
  <si>
    <t xml:space="preserve">AAACGGACCTCGGCCCCCTTGGCC</t>
  </si>
  <si>
    <t xml:space="preserve">GCGCGGCGGTGGTGCGGGTC</t>
  </si>
  <si>
    <t xml:space="preserve">TAGTGCGCGGCGGTGGTGCGGGTC</t>
  </si>
  <si>
    <t xml:space="preserve">AAACGACCCGCACCACCGCCGCGC</t>
  </si>
  <si>
    <t xml:space="preserve">TCGTAGGCGAACTGCAGGCC</t>
  </si>
  <si>
    <t xml:space="preserve">TAGTTCGTAGGCGAACTGCAGGCC</t>
  </si>
  <si>
    <t xml:space="preserve">AAACGGCCTGCAGTTCGCCTACGA</t>
  </si>
  <si>
    <t xml:space="preserve">PST_3106</t>
  </si>
  <si>
    <t xml:space="preserve">CTCTATCAGATCGTTGAGCA</t>
  </si>
  <si>
    <t xml:space="preserve">TAGTCTCTATCAGATCGTTGAGCA</t>
  </si>
  <si>
    <t xml:space="preserve">AAACTGCTCAACGATCTGATAGAG</t>
  </si>
  <si>
    <t xml:space="preserve">GCCCTTTTCCCCATCCTTGC</t>
  </si>
  <si>
    <t xml:space="preserve">TAGTGCCCTTTTCCCCATCCTTGC</t>
  </si>
  <si>
    <t xml:space="preserve">AAACGCAAGGATGGGGAAAAGGGC</t>
  </si>
  <si>
    <t xml:space="preserve">CTGCGGGTCGCGCAGATCCT</t>
  </si>
  <si>
    <t xml:space="preserve">TAGTCTGCGGGTCGCGCAGATCCT</t>
  </si>
  <si>
    <t xml:space="preserve">AAACAGGATCTGCGCGACCCGCAG</t>
  </si>
  <si>
    <t xml:space="preserve">ATCGCGCGAGCGCTGGTTCA</t>
  </si>
  <si>
    <t xml:space="preserve">TAGTATCGCGCGAGCGCTGGTTCA</t>
  </si>
  <si>
    <t xml:space="preserve">AAACTGAACCAGCGCTCGCGCGAT</t>
  </si>
  <si>
    <t xml:space="preserve">PST_3107</t>
  </si>
  <si>
    <t xml:space="preserve">AGGTCCTCAACGGCCGCAAC</t>
  </si>
  <si>
    <t xml:space="preserve">TAGTAGGTCCTCAACGGCCGCAAC</t>
  </si>
  <si>
    <t xml:space="preserve">AAACGTTGCGGCCGTTGAGGACCT</t>
  </si>
  <si>
    <t xml:space="preserve">GCACGGCAACCGGGTCAATC</t>
  </si>
  <si>
    <t xml:space="preserve">TAGTGCACGGCAACCGGGTCAATC</t>
  </si>
  <si>
    <t xml:space="preserve">AAACGATTGACCCGGTTGCCGTGC</t>
  </si>
  <si>
    <t xml:space="preserve">GGAGCCGATCGGCACATTGC</t>
  </si>
  <si>
    <t xml:space="preserve">TAGTGGAGCCGATCGGCACATTGC</t>
  </si>
  <si>
    <t xml:space="preserve">AAACGCAATGTGCCGATCGGCTCC</t>
  </si>
  <si>
    <t xml:space="preserve">ATGCAGCGCCTCGCACAGCA</t>
  </si>
  <si>
    <t xml:space="preserve">TAGTATGCAGCGCCTCGCACAGCA</t>
  </si>
  <si>
    <t xml:space="preserve">AAACTGCTGTGCGAGGCGCTGCAT</t>
  </si>
  <si>
    <t xml:space="preserve">PST_3108</t>
  </si>
  <si>
    <t xml:space="preserve">GATGTCGTCGATGGGGAAGT</t>
  </si>
  <si>
    <t xml:space="preserve">TAGTGATGTCGTCGATGGGGAAGT</t>
  </si>
  <si>
    <t xml:space="preserve">AAACACTTCCCCATCGACGACATC</t>
  </si>
  <si>
    <t xml:space="preserve">GTGCCAGATGGCGCCATAGC</t>
  </si>
  <si>
    <t xml:space="preserve">TAGTGTGCCAGATGGCGCCATAGC</t>
  </si>
  <si>
    <t xml:space="preserve">AAACGCTATGGCGCCATCTGGCAC</t>
  </si>
  <si>
    <t xml:space="preserve">GAGTATCGCTACGCCGTTCC</t>
  </si>
  <si>
    <t xml:space="preserve">TAGTGAGTATCGCTACGCCGTTCC</t>
  </si>
  <si>
    <t xml:space="preserve">AAACGGAACGGCGTAGCGATACTC</t>
  </si>
  <si>
    <t xml:space="preserve">CTCCAGCGGCTCGCTGTCAC</t>
  </si>
  <si>
    <t xml:space="preserve">TAGTCTCCAGCGGCTCGCTGTCAC</t>
  </si>
  <si>
    <t xml:space="preserve">AAACGTGACAGCGAGCCGCTGGAG</t>
  </si>
  <si>
    <t xml:space="preserve">PST_3109</t>
  </si>
  <si>
    <t xml:space="preserve">AGGCGCAGGCTGAGCGAGCG</t>
  </si>
  <si>
    <t xml:space="preserve">TAGTAGGCGCAGGCTGAGCGAGCG</t>
  </si>
  <si>
    <t xml:space="preserve">AAACCGCTCGCTCAGCCTGCGCCT</t>
  </si>
  <si>
    <t xml:space="preserve">CGAGGGCGAAGGCCAGTGCC</t>
  </si>
  <si>
    <t xml:space="preserve">TAGTCGAGGGCGAAGGCCAGTGCC</t>
  </si>
  <si>
    <t xml:space="preserve">AAACGGCACTGGCCTTCGCCCTCG</t>
  </si>
  <si>
    <t xml:space="preserve">GCGGTACAGGTAGAGGCCGA</t>
  </si>
  <si>
    <t xml:space="preserve">TAGTGCGGTACAGGTAGAGGCCGA</t>
  </si>
  <si>
    <t xml:space="preserve">AAACTCGGCCTCTACCTGTACCGC</t>
  </si>
  <si>
    <t xml:space="preserve">CTGGCGCAGCGCGTCGACGC</t>
  </si>
  <si>
    <t xml:space="preserve">TAGTCTGGCGCAGCGCGTCGACGC</t>
  </si>
  <si>
    <t xml:space="preserve">AAACGCGTCGACGCGCTGCGCCAG</t>
  </si>
  <si>
    <t xml:space="preserve">PST_3110</t>
  </si>
  <si>
    <t xml:space="preserve">irlR</t>
  </si>
  <si>
    <t xml:space="preserve">CAGCTGCCAGCCATCGAGCC</t>
  </si>
  <si>
    <t xml:space="preserve">TAGTCAGCTGCCAGCCATCGAGCC</t>
  </si>
  <si>
    <t xml:space="preserve">AAACGGCTCGATGGCTGGCAGCTG</t>
  </si>
  <si>
    <t xml:space="preserve">CCGGCGTGTGCGCCGAGCGC</t>
  </si>
  <si>
    <t xml:space="preserve">TAGTCCGGCGTGTGCGCCGAGCGC</t>
  </si>
  <si>
    <t xml:space="preserve">AAACGCGCTCGGCGCACACGCCGG</t>
  </si>
  <si>
    <t xml:space="preserve">CCACCGCATCGCGGGCGGTG</t>
  </si>
  <si>
    <t xml:space="preserve">TAGTCCACCGCATCGCGGGCGGTG</t>
  </si>
  <si>
    <t xml:space="preserve">AAACCACCGCCCGCGATGCGGTGG</t>
  </si>
  <si>
    <t xml:space="preserve">CCAGTTCCAGACCGCGCACC</t>
  </si>
  <si>
    <t xml:space="preserve">TAGTCCAGTTCCAGACCGCGCACC</t>
  </si>
  <si>
    <t xml:space="preserve">AAACGGTGCGCGGTCTGGAACTGG</t>
  </si>
  <si>
    <t xml:space="preserve">PST_3111</t>
  </si>
  <si>
    <t xml:space="preserve">GGCCAGCAGTGACAGTGTGG</t>
  </si>
  <si>
    <t xml:space="preserve">TAGTGGCCAGCAGTGACAGTGTGG</t>
  </si>
  <si>
    <t xml:space="preserve">AAACCCACACTGTCACTGCTGGCC</t>
  </si>
  <si>
    <t xml:space="preserve">GGCCGGGGTAAGCACTGCCA</t>
  </si>
  <si>
    <t xml:space="preserve">TAGTGGCCGGGGTAAGCACTGCCA</t>
  </si>
  <si>
    <t xml:space="preserve">AAACTGGCAGTGCTTACCCCGGCC</t>
  </si>
  <si>
    <t xml:space="preserve">CGTGGCGGCGTTGGCGCTCA</t>
  </si>
  <si>
    <t xml:space="preserve">TAGTCGTGGCGGCGTTGGCGCTCA</t>
  </si>
  <si>
    <t xml:space="preserve">AAACTGAGCGCCAACGCCGCCACG</t>
  </si>
  <si>
    <t xml:space="preserve">TTCTGCTGGGTGATCGGTGT</t>
  </si>
  <si>
    <t xml:space="preserve">TAGTTTCTGCTGGGTGATCGGTGT</t>
  </si>
  <si>
    <t xml:space="preserve">AAACACACCGATCACCCAGCAGAA</t>
  </si>
  <si>
    <t xml:space="preserve">PST_3112</t>
  </si>
  <si>
    <t xml:space="preserve">AATTGAACGTAGTGATTTCA</t>
  </si>
  <si>
    <t xml:space="preserve">TAGTAATTGAACGTAGTGATTTCA</t>
  </si>
  <si>
    <t xml:space="preserve">AAACTGAAATCACTACGTTCAATT</t>
  </si>
  <si>
    <t xml:space="preserve">GCCACTGAGCATCAAGCCGG</t>
  </si>
  <si>
    <t xml:space="preserve">TAGTGCCACTGAGCATCAAGCCGG</t>
  </si>
  <si>
    <t xml:space="preserve">AAACCCGGCTTGATGCTCAGTGGC</t>
  </si>
  <si>
    <t xml:space="preserve">CTGCGAGGGTGAGACCGGAC</t>
  </si>
  <si>
    <t xml:space="preserve">TAGTCTGCGAGGGTGAGACCGGAC</t>
  </si>
  <si>
    <t xml:space="preserve">AAACGTCCGGTCTCACCCTCGCAG</t>
  </si>
  <si>
    <t xml:space="preserve">TCAGCACGTGCACGCTGAGC</t>
  </si>
  <si>
    <t xml:space="preserve">TAGTTCAGCACGTGCACGCTGAGC</t>
  </si>
  <si>
    <t xml:space="preserve">AAACGCTCAGCGTGCACGTGCTGA</t>
  </si>
  <si>
    <t xml:space="preserve">PST_3113</t>
  </si>
  <si>
    <t xml:space="preserve">CACCAGCACGAAGCTGCGCA</t>
  </si>
  <si>
    <t xml:space="preserve">TAGTCACCAGCACGAAGCTGCGCA</t>
  </si>
  <si>
    <t xml:space="preserve">AAACTGCGCAGCTTCGTGCTGGTG</t>
  </si>
  <si>
    <t xml:space="preserve">GGCGGCGAAGCTGCCGCAGT</t>
  </si>
  <si>
    <t xml:space="preserve">TAGTGGCGGCGAAGCTGCCGCAGT</t>
  </si>
  <si>
    <t xml:space="preserve">AAACACTGCGGCAGCTTCGCCGCC</t>
  </si>
  <si>
    <t xml:space="preserve">GGTGACGTTCTCCTTGTGCG</t>
  </si>
  <si>
    <t xml:space="preserve">TAGTGGTGACGTTCTCCTTGTGCG</t>
  </si>
  <si>
    <t xml:space="preserve">AAACCGCACAAGGAGAACGTCACC</t>
  </si>
  <si>
    <t xml:space="preserve">CCGCCGCCCCATCACCACCG</t>
  </si>
  <si>
    <t xml:space="preserve">TAGTCCGCCGCCCCATCACCACCG</t>
  </si>
  <si>
    <t xml:space="preserve">AAACCGGTGGTGATGGGGCGGCGG</t>
  </si>
  <si>
    <t xml:space="preserve">PST_3114</t>
  </si>
  <si>
    <t xml:space="preserve">gcl</t>
  </si>
  <si>
    <t xml:space="preserve">GGCATCGATTGCTCTCATTC</t>
  </si>
  <si>
    <t xml:space="preserve">TAGTGGCATCGATTGCTCTCATTC</t>
  </si>
  <si>
    <t xml:space="preserve">AAACGAATGAGAGCAATCGATGCC</t>
  </si>
  <si>
    <t xml:space="preserve">CTTGCGCAACACCGCGACGG</t>
  </si>
  <si>
    <t xml:space="preserve">TAGTCTTGCGCAACACCGCGACGG</t>
  </si>
  <si>
    <t xml:space="preserve">AAACCCGTCGCGGTGTTGCGCAAG</t>
  </si>
  <si>
    <t xml:space="preserve">GGCTCCGGGGATGCCGAAGG</t>
  </si>
  <si>
    <t xml:space="preserve">TAGTGGCTCCGGGGATGCCGAAGG</t>
  </si>
  <si>
    <t xml:space="preserve">AAACCCTTCGGCATCCCCGGAGCC</t>
  </si>
  <si>
    <t xml:space="preserve">GGAATACAGCGGATTGATCG</t>
  </si>
  <si>
    <t xml:space="preserve">TAGTGGAATACAGCGGATTGATCG</t>
  </si>
  <si>
    <t xml:space="preserve">AAACCGATCAATCCGCTGTATTCC</t>
  </si>
  <si>
    <t xml:space="preserve">PST_3115</t>
  </si>
  <si>
    <t xml:space="preserve">GTTGGCGGCAAAGCGGGGCA</t>
  </si>
  <si>
    <t xml:space="preserve">TAGTGTTGGCGGCAAAGCGGGGCA</t>
  </si>
  <si>
    <t xml:space="preserve">AAACTGCCCCGCTTTGCCGCCAAC</t>
  </si>
  <si>
    <t xml:space="preserve">GTTCGGTGAACAGCATCGAC</t>
  </si>
  <si>
    <t xml:space="preserve">TAGTGTTCGGTGAACAGCATCGAC</t>
  </si>
  <si>
    <t xml:space="preserve">AAACGTCGATGCTGTTCACCGAAC</t>
  </si>
  <si>
    <t xml:space="preserve">CCTGGGCGGCAGCGGCGAAG</t>
  </si>
  <si>
    <t xml:space="preserve">TAGTCCTGGGCGGCAGCGGCGAAG</t>
  </si>
  <si>
    <t xml:space="preserve">AAACCTTCGCCGCTGCCGCCCAGG</t>
  </si>
  <si>
    <t xml:space="preserve">GTACTCGACACCGGAAAAGC</t>
  </si>
  <si>
    <t xml:space="preserve">TAGTGTACTCGACACCGGAAAAGC</t>
  </si>
  <si>
    <t xml:space="preserve">AAACGCTTTTCCGGTGTCGAGTAC</t>
  </si>
  <si>
    <t xml:space="preserve">PST_3116</t>
  </si>
  <si>
    <t xml:space="preserve">glxR</t>
  </si>
  <si>
    <t xml:space="preserve">CATGGGCTTGCCCATGATGC</t>
  </si>
  <si>
    <t xml:space="preserve">TAGTCATGGGCTTGCCCATGATGC</t>
  </si>
  <si>
    <t xml:space="preserve">AAACGCATCATGGGCAAGCCCATG</t>
  </si>
  <si>
    <t xml:space="preserve">TCTGGTGGCCGGCCTTCTGC</t>
  </si>
  <si>
    <t xml:space="preserve">TAGTTCTGGTGGCCGGCCTTCTGC</t>
  </si>
  <si>
    <t xml:space="preserve">AAACGCAGAAGGCCGGCCACCAGA</t>
  </si>
  <si>
    <t xml:space="preserve">CCTGGTCGTGGTGCTGGGAC</t>
  </si>
  <si>
    <t xml:space="preserve">TAGTCCTGGTCGTGGTGCTGGGAC</t>
  </si>
  <si>
    <t xml:space="preserve">AAACGTCCCAGCACCACGACCAGG</t>
  </si>
  <si>
    <t xml:space="preserve">CCGGCTTCGGTCAGTTCGGC</t>
  </si>
  <si>
    <t xml:space="preserve">TAGTCCGGCTTCGGTCAGTTCGGC</t>
  </si>
  <si>
    <t xml:space="preserve">AAACGCCGAACTGACCGAAGCCGG</t>
  </si>
  <si>
    <t xml:space="preserve">PST_3117</t>
  </si>
  <si>
    <t xml:space="preserve">GTCCCTGAAGGTGGGGTCGC</t>
  </si>
  <si>
    <t xml:space="preserve">TAGTGTCCCTGAAGGTGGGGTCGC</t>
  </si>
  <si>
    <t xml:space="preserve">AAACGCGACCCCACCTTCAGGGAC</t>
  </si>
  <si>
    <t xml:space="preserve">CGTTGCGATGACCCACCACC</t>
  </si>
  <si>
    <t xml:space="preserve">TAGTCGTTGCGATGACCCACCACC</t>
  </si>
  <si>
    <t xml:space="preserve">AAACGGTGGTGGGTCATCGCAACG</t>
  </si>
  <si>
    <t xml:space="preserve">CCCTTTGAGCGGCGCTGCGC</t>
  </si>
  <si>
    <t xml:space="preserve">TAGTCCCTTTGAGCGGCGCTGCGC</t>
  </si>
  <si>
    <t xml:space="preserve">AAACGCGCAGCGCCGCTCAAAGGG</t>
  </si>
  <si>
    <t xml:space="preserve">GACCTGACGCACCTCTGGCC</t>
  </si>
  <si>
    <t xml:space="preserve">TAGTGACCTGACGCACCTCTGGCC</t>
  </si>
  <si>
    <t xml:space="preserve">AAACGGCCAGAGGTGCGTCAGGTC</t>
  </si>
  <si>
    <t xml:space="preserve">PST_3118</t>
  </si>
  <si>
    <t xml:space="preserve">pykF</t>
  </si>
  <si>
    <t xml:space="preserve">GACCTTCTTGTCGTGTGTCA</t>
  </si>
  <si>
    <t xml:space="preserve">TAGTGACCTTCTTGTCGTGTGTCA</t>
  </si>
  <si>
    <t xml:space="preserve">AAACTGACACACGACAAGAAGGTC</t>
  </si>
  <si>
    <t xml:space="preserve">GCTGCGGGTGGCCGGGCCGA</t>
  </si>
  <si>
    <t xml:space="preserve">TAGTGCTGCGGGTGGCCGGGCCGA</t>
  </si>
  <si>
    <t xml:space="preserve">AAACTCGGCCCGGCCACCCGCAGC</t>
  </si>
  <si>
    <t xml:space="preserve">CAGGCGGAACAGGTTCACGC</t>
  </si>
  <si>
    <t xml:space="preserve">TAGTCAGGCGGAACAGGTTCACGC</t>
  </si>
  <si>
    <t xml:space="preserve">AAACGCGTGAACCTGTTCCGCCTG</t>
  </si>
  <si>
    <t xml:space="preserve">CGTGGTCGCTGTGCTCGCCG</t>
  </si>
  <si>
    <t xml:space="preserve">TAGTCGTGGTCGCTGTGCTCGCCG</t>
  </si>
  <si>
    <t xml:space="preserve">AAACCGGCGAGCACAGCGACCACG</t>
  </si>
  <si>
    <t xml:space="preserve">PST_3119</t>
  </si>
  <si>
    <t xml:space="preserve">GAGCAGTGCCGGGGCGCCAC</t>
  </si>
  <si>
    <t xml:space="preserve">TAGTGAGCAGTGCCGGGGCGCCAC</t>
  </si>
  <si>
    <t xml:space="preserve">AAACGTGGCGCCCCGGCACTGCTC</t>
  </si>
  <si>
    <t xml:space="preserve">AGCGACCAGCACGCCGCTCA</t>
  </si>
  <si>
    <t xml:space="preserve">TAGTAGCGACCAGCACGCCGCTCA</t>
  </si>
  <si>
    <t xml:space="preserve">AAACTGAGCGGCGTGCTGGTCGCT</t>
  </si>
  <si>
    <t xml:space="preserve">AGCCGAGCCAGGTGGCGCCT</t>
  </si>
  <si>
    <t xml:space="preserve">TAGTAGCCGAGCCAGGTGGCGCCT</t>
  </si>
  <si>
    <t xml:space="preserve">AAACAGGCGCCACCTGGCTCGGCT</t>
  </si>
  <si>
    <t xml:space="preserve">CCGTCGTCTCGATCAGCCGG</t>
  </si>
  <si>
    <t xml:space="preserve">TAGTCCGTCGTCTCGATCAGCCGG</t>
  </si>
  <si>
    <t xml:space="preserve">AAACCCGGCTGATCGAGACGACGG</t>
  </si>
  <si>
    <t xml:space="preserve">PST_3120</t>
  </si>
  <si>
    <t xml:space="preserve">GTCAAGGTGCACGCCGAGGG</t>
  </si>
  <si>
    <t xml:space="preserve">TAGTGTCAAGGTGCACGCCGAGGG</t>
  </si>
  <si>
    <t xml:space="preserve">AAACCCCTCGGCGTGCACCTTGAC</t>
  </si>
  <si>
    <t xml:space="preserve">CATGAAGTTGCGCACGGCGC</t>
  </si>
  <si>
    <t xml:space="preserve">TAGTCATGAAGTTGCGCACGGCGC</t>
  </si>
  <si>
    <t xml:space="preserve">AAACGCGCCGTGCGCAACTTCATG</t>
  </si>
  <si>
    <t xml:space="preserve">GGACATCCTCGACGAAACCC</t>
  </si>
  <si>
    <t xml:space="preserve">TAGTGGACATCCTCGACGAAACCC</t>
  </si>
  <si>
    <t xml:space="preserve">AAACGGGTTTCGTCGAGGATGTCC</t>
  </si>
  <si>
    <t xml:space="preserve">GCTCGAAGCGGCGAACCGGC</t>
  </si>
  <si>
    <t xml:space="preserve">TAGTGCTCGAAGCGGCGAACCGGC</t>
  </si>
  <si>
    <t xml:space="preserve">AAACGCCGGTTCGCCGCTTCGAGC</t>
  </si>
  <si>
    <t xml:space="preserve">PST_3121</t>
  </si>
  <si>
    <t xml:space="preserve">hmpA</t>
  </si>
  <si>
    <t xml:space="preserve">CAAGGTTTTCGGGGCGTTGC</t>
  </si>
  <si>
    <t xml:space="preserve">TAGTCAAGGTTTTCGGGGCGTTGC</t>
  </si>
  <si>
    <t xml:space="preserve">AAACGCAACGCCCCGAAAACCTTG</t>
  </si>
  <si>
    <t xml:space="preserve">CGTGGCGAACGTCATGCAGA</t>
  </si>
  <si>
    <t xml:space="preserve">TAGTCGTGGCGAACGTCATGCAGA</t>
  </si>
  <si>
    <t xml:space="preserve">AAACTCTGCATGACGTTCGCCACG</t>
  </si>
  <si>
    <t xml:space="preserve">CCTCTGGTGGGAAAAACCTA</t>
  </si>
  <si>
    <t xml:space="preserve">TAGTCCTCTGGTGGGAAAAACCTA</t>
  </si>
  <si>
    <t xml:space="preserve">AAACTAGGTTTTTCCCACCAGAGG</t>
  </si>
  <si>
    <t xml:space="preserve">CGGCACGGTGGCTTTGATAA</t>
  </si>
  <si>
    <t xml:space="preserve">TAGTCGGCACGGTGGCTTTGATAA</t>
  </si>
  <si>
    <t xml:space="preserve">AAACTTATCAAAGCCACCGTGCCG</t>
  </si>
  <si>
    <t xml:space="preserve">PST_3122</t>
  </si>
  <si>
    <t xml:space="preserve">CGGAAGCAACCGGGCTGGAA</t>
  </si>
  <si>
    <t xml:space="preserve">TAGTCGGAAGCAACCGGGCTGGAA</t>
  </si>
  <si>
    <t xml:space="preserve">AAACTTCCAGCCCGGTTGCTTCCG</t>
  </si>
  <si>
    <t xml:space="preserve">TGGCCATGAACCACAGGTTT</t>
  </si>
  <si>
    <t xml:space="preserve">TAGTTGGCCATGAACCACAGGTTT</t>
  </si>
  <si>
    <t xml:space="preserve">AAACAAACCTGTGGTTCATGGCCA</t>
  </si>
  <si>
    <t xml:space="preserve">GCCACCCACCATGAAGCTGT</t>
  </si>
  <si>
    <t xml:space="preserve">TAGTGCCACCCACCATGAAGCTGT</t>
  </si>
  <si>
    <t xml:space="preserve">AAACACAGCTTCATGGTGGGTGGC</t>
  </si>
  <si>
    <t xml:space="preserve">CAGCCGATGATCGAACAGAT</t>
  </si>
  <si>
    <t xml:space="preserve">TAGTCAGCCGATGATCGAACAGAT</t>
  </si>
  <si>
    <t xml:space="preserve">AAACATCTGTTCGATCATCGGCTG</t>
  </si>
  <si>
    <t xml:space="preserve">PST_3123</t>
  </si>
  <si>
    <t xml:space="preserve">CGATCGTTGGCGAAGTTGCC</t>
  </si>
  <si>
    <t xml:space="preserve">TAGTCGATCGTTGGCGAAGTTGCC</t>
  </si>
  <si>
    <t xml:space="preserve">AAACGGCAACTTCGCCAACGATCG</t>
  </si>
  <si>
    <t xml:space="preserve">ACCGCCCTTGCGGCCGGCTT</t>
  </si>
  <si>
    <t xml:space="preserve">TAGTACCGCCCTTGCGGCCGGCTT</t>
  </si>
  <si>
    <t xml:space="preserve">AAACAAGCCGGCCGCAAGGGCGGT</t>
  </si>
  <si>
    <t xml:space="preserve">GGAGGCCTTCTCGCGGTCAT</t>
  </si>
  <si>
    <t xml:space="preserve">TAGTGGAGGCCTTCTCGCGGTCAT</t>
  </si>
  <si>
    <t xml:space="preserve">AAACATGACCGCGAGAAGGCCTCC</t>
  </si>
  <si>
    <t xml:space="preserve">GCCACCCTTGCGGCCGGCCT</t>
  </si>
  <si>
    <t xml:space="preserve">TAGTGCCACCCTTGCGGCCGGCCT</t>
  </si>
  <si>
    <t xml:space="preserve">AAACAGGCCGGCCGCAAGGGTGGC</t>
  </si>
  <si>
    <t xml:space="preserve">PST_3124</t>
  </si>
  <si>
    <t xml:space="preserve">GGTTTTTGATATTAACGGGC</t>
  </si>
  <si>
    <t xml:space="preserve">TAGTGGTTTTTGATATTAACGGGC</t>
  </si>
  <si>
    <t xml:space="preserve">AAACGCCCGTTAATATCAAAAACC</t>
  </si>
  <si>
    <t xml:space="preserve">TCGTCACGTAGCGTTCGTTG</t>
  </si>
  <si>
    <t xml:space="preserve">TAGTTCGTCACGTAGCGTTCGTTG</t>
  </si>
  <si>
    <t xml:space="preserve">AAACCAACGAACGCTACGTGACGA</t>
  </si>
  <si>
    <t xml:space="preserve">TGTGCGGCCGTGCAGTTGGT</t>
  </si>
  <si>
    <t xml:space="preserve">TAGTTGTGCGGCCGTGCAGTTGGT</t>
  </si>
  <si>
    <t xml:space="preserve">AAACACCAACTGCACGGCCGCACA</t>
  </si>
  <si>
    <t xml:space="preserve">PST_3125</t>
  </si>
  <si>
    <t xml:space="preserve">pncB1</t>
  </si>
  <si>
    <t xml:space="preserve">TCCGAAAATGCGCTGCTCAT</t>
  </si>
  <si>
    <t xml:space="preserve">TAGTTCCGAAAATGCGCTGCTCAT</t>
  </si>
  <si>
    <t xml:space="preserve">AAACATGAGCAGCGCATTTTCGGA</t>
  </si>
  <si>
    <t xml:space="preserve">TGTAGAAGTCGGTATCCAGC</t>
  </si>
  <si>
    <t xml:space="preserve">TAGTTGTAGAAGTCGGTATCCAGC</t>
  </si>
  <si>
    <t xml:space="preserve">AAACGCTGGATACCGACTTCTACA</t>
  </si>
  <si>
    <t xml:space="preserve">ATGCAGGACCGCCTGCATCA</t>
  </si>
  <si>
    <t xml:space="preserve">TAGTATGCAGGACCGCCTGCATCA</t>
  </si>
  <si>
    <t xml:space="preserve">AAACTGATGCAGGCGGTCCTGCAT</t>
  </si>
  <si>
    <t xml:space="preserve">CCCATTCCACTTCCGCATTA</t>
  </si>
  <si>
    <t xml:space="preserve">TAGTCCCATTCCACTTCCGCATTA</t>
  </si>
  <si>
    <t xml:space="preserve">AAACTAATGCGGAAGTGGAATGGG</t>
  </si>
  <si>
    <t xml:space="preserve">PST_3126</t>
  </si>
  <si>
    <t xml:space="preserve">AGCAGCAAATCAAGGGGCGA</t>
  </si>
  <si>
    <t xml:space="preserve">TAGTAGCAGCAAATCAAGGGGCGA</t>
  </si>
  <si>
    <t xml:space="preserve">AAACTCGCCCCTTGATTTGCTGCT</t>
  </si>
  <si>
    <t xml:space="preserve">TGGGCAGCAGCGTTGTCAGG</t>
  </si>
  <si>
    <t xml:space="preserve">TAGTTGGGCAGCAGCGTTGTCAGG</t>
  </si>
  <si>
    <t xml:space="preserve">AAACCCTGACAACGCTGCTGCCCA</t>
  </si>
  <si>
    <t xml:space="preserve">TTCATTGGGCTTGAGTTCGC</t>
  </si>
  <si>
    <t xml:space="preserve">TAGTTTCATTGGGCTTGAGTTCGC</t>
  </si>
  <si>
    <t xml:space="preserve">AAACGCGAACTCAAGCCCAATGAA</t>
  </si>
  <si>
    <t xml:space="preserve">GGCGACCCGGCGTCAGCAGA</t>
  </si>
  <si>
    <t xml:space="preserve">TAGTGGCGACCCGGCGTCAGCAGA</t>
  </si>
  <si>
    <t xml:space="preserve">AAACTCTGCTGACGCCGGGTCGCC</t>
  </si>
  <si>
    <t xml:space="preserve">PST_3127</t>
  </si>
  <si>
    <t xml:space="preserve">GGCTTGAGAGCGCTTTGCAC</t>
  </si>
  <si>
    <t xml:space="preserve">TAGTGGCTTGAGAGCGCTTTGCAC</t>
  </si>
  <si>
    <t xml:space="preserve">AAACGTGCAAAGCGCTCTCAAGCC</t>
  </si>
  <si>
    <t xml:space="preserve">AGCAGAACGGCTGCCGCAAG</t>
  </si>
  <si>
    <t xml:space="preserve">TAGTAGCAGAACGGCTGCCGCAAG</t>
  </si>
  <si>
    <t xml:space="preserve">AAACCTTGCGGCAGCCGTTCTGCT</t>
  </si>
  <si>
    <t xml:space="preserve">AGTAGCGACGCTGGACACGC</t>
  </si>
  <si>
    <t xml:space="preserve">TAGTAGTAGCGACGCTGGACACGC</t>
  </si>
  <si>
    <t xml:space="preserve">AAACGCGTGTCCAGCGTCGCTACT</t>
  </si>
  <si>
    <t xml:space="preserve">CTGGCTGAACGGCCCGCTAT</t>
  </si>
  <si>
    <t xml:space="preserve">TAGTCTGGCTGAACGGCCCGCTAT</t>
  </si>
  <si>
    <t xml:space="preserve">AAACATAGCGGGCCGTTCAGCCAG</t>
  </si>
  <si>
    <t xml:space="preserve">PST_3128</t>
  </si>
  <si>
    <t xml:space="preserve">TCGTGAGCATCGTTGCGCAT</t>
  </si>
  <si>
    <t xml:space="preserve">TAGTTCGTGAGCATCGTTGCGCAT</t>
  </si>
  <si>
    <t xml:space="preserve">AAACATGCGCAACGATGCTCACGA</t>
  </si>
  <si>
    <t xml:space="preserve">CACGGCCTGCGGTCAGGCTG</t>
  </si>
  <si>
    <t xml:space="preserve">TAGTCACGGCCTGCGGTCAGGCTG</t>
  </si>
  <si>
    <t xml:space="preserve">AAACCAGCCTGACCGCAGGCCGTG</t>
  </si>
  <si>
    <t xml:space="preserve">GCGCCGGGTAGGGCTCCACA</t>
  </si>
  <si>
    <t xml:space="preserve">TAGTGCGCCGGGTAGGGCTCCACA</t>
  </si>
  <si>
    <t xml:space="preserve">AAACTGTGGAGCCCTACCCGGCGC</t>
  </si>
  <si>
    <t xml:space="preserve">TTGCGAATCGGCTCCAGATC</t>
  </si>
  <si>
    <t xml:space="preserve">TAGTTTGCGAATCGGCTCCAGATC</t>
  </si>
  <si>
    <t xml:space="preserve">AAACGATCTGGAGCCGATTCGCAA</t>
  </si>
  <si>
    <t xml:space="preserve">PST_3129</t>
  </si>
  <si>
    <t xml:space="preserve">CGTCGCGAAGTCTGCGACGC</t>
  </si>
  <si>
    <t xml:space="preserve">TAGTCGTCGCGAAGTCTGCGACGC</t>
  </si>
  <si>
    <t xml:space="preserve">AAACGCGTCGCAGACTTCGCGACG</t>
  </si>
  <si>
    <t xml:space="preserve">CGGCGTCCGGCTGGTTGAGG</t>
  </si>
  <si>
    <t xml:space="preserve">TAGTCGGCGTCCGGCTGGTTGAGG</t>
  </si>
  <si>
    <t xml:space="preserve">AAACCCTCAACCAGCCGGACGCCG</t>
  </si>
  <si>
    <t xml:space="preserve">GCCGGCAAGCATGGCGGTCA</t>
  </si>
  <si>
    <t xml:space="preserve">TAGTGCCGGCAAGCATGGCGGTCA</t>
  </si>
  <si>
    <t xml:space="preserve">AAACTGACCGCCATGCTTGCCGGC</t>
  </si>
  <si>
    <t xml:space="preserve">CGGTAGCTGGTCGCTGAAGG</t>
  </si>
  <si>
    <t xml:space="preserve">TAGTCGGTAGCTGGTCGCTGAAGG</t>
  </si>
  <si>
    <t xml:space="preserve">AAACCCTTCAGCGACCAGCTACCG</t>
  </si>
  <si>
    <t xml:space="preserve">PST_3130</t>
  </si>
  <si>
    <t xml:space="preserve">iciA</t>
  </si>
  <si>
    <t xml:space="preserve">GGCGTGTCACGCAGCAATAC</t>
  </si>
  <si>
    <t xml:space="preserve">TAGTGGCGTGTCACGCAGCAATAC</t>
  </si>
  <si>
    <t xml:space="preserve">AAACGTATTGCTGCGTGACACGCC</t>
  </si>
  <si>
    <t xml:space="preserve">CCCAGTTCGGTGGGCCTGGG</t>
  </si>
  <si>
    <t xml:space="preserve">TAGTCCCAGTTCGGTGGGCCTGGG</t>
  </si>
  <si>
    <t xml:space="preserve">AAACCCCAGGCCCACCGAACTGGG</t>
  </si>
  <si>
    <t xml:space="preserve">CCTGCTGCACATGGTTGAGC</t>
  </si>
  <si>
    <t xml:space="preserve">TAGTCCTGCTGCACATGGTTGAGC</t>
  </si>
  <si>
    <t xml:space="preserve">AAACGCTCAACCATGTGCAGCAGG</t>
  </si>
  <si>
    <t xml:space="preserve">GGCGGTTTTCATCCAGCGCC</t>
  </si>
  <si>
    <t xml:space="preserve">TAGTGGCGGTTTTCATCCAGCGCC</t>
  </si>
  <si>
    <t xml:space="preserve">AAACGGCGCTGGATGAAAACCGCC</t>
  </si>
  <si>
    <t xml:space="preserve">PST_3131</t>
  </si>
  <si>
    <t xml:space="preserve">GGCGAGCACGAAGGCGTTCT</t>
  </si>
  <si>
    <t xml:space="preserve">TAGTGGCGAGCACGAAGGCGTTCT</t>
  </si>
  <si>
    <t xml:space="preserve">AAACAGAACGCCTTCGTGCTCGCC</t>
  </si>
  <si>
    <t xml:space="preserve">GTGTTCGCGGCGCAGGCTCT</t>
  </si>
  <si>
    <t xml:space="preserve">TAGTGTGTTCGCGGCGCAGGCTCT</t>
  </si>
  <si>
    <t xml:space="preserve">AAACAGAGCCTGCGCCGCGAACAC</t>
  </si>
  <si>
    <t xml:space="preserve">ACAGCGCTGCTACCGGCAGG</t>
  </si>
  <si>
    <t xml:space="preserve">TAGTACAGCGCTGCTACCGGCAGG</t>
  </si>
  <si>
    <t xml:space="preserve">AAACCCTGCCGGTAGCAGCGCTGT</t>
  </si>
  <si>
    <t xml:space="preserve">ACACTCCGAGGCTGACCAAC</t>
  </si>
  <si>
    <t xml:space="preserve">TAGTACACTCCGAGGCTGACCAAC</t>
  </si>
  <si>
    <t xml:space="preserve">AAACGTTGGTCAGCCTCGGAGTGT</t>
  </si>
  <si>
    <t xml:space="preserve">PST_3132</t>
  </si>
  <si>
    <t xml:space="preserve">sodB</t>
  </si>
  <si>
    <t xml:space="preserve">TTCTTTTCGTAAGGCAGCGG</t>
  </si>
  <si>
    <t xml:space="preserve">TAGTTTCTTTTCGTAAGGCAGCGG</t>
  </si>
  <si>
    <t xml:space="preserve">AAACCCGCTGCCTTACGAAAAGAA</t>
  </si>
  <si>
    <t xml:space="preserve">GGCGGACATGTGCGGCTCGA</t>
  </si>
  <si>
    <t xml:space="preserve">TAGTGGCGGACATGTGCGGCTCGA</t>
  </si>
  <si>
    <t xml:space="preserve">AAACTCGAGCCGCACATGTCCGCC</t>
  </si>
  <si>
    <t xml:space="preserve">GTGATGGTAGTCGAGCGTCT</t>
  </si>
  <si>
    <t xml:space="preserve">TAGTGTGATGGTAGTCGAGCGTCT</t>
  </si>
  <si>
    <t xml:space="preserve">AAACAGACGCTCGACTACCATCAC</t>
  </si>
  <si>
    <t xml:space="preserve">GATTGGTCACGTAGGCAGCG</t>
  </si>
  <si>
    <t xml:space="preserve">TAGTGATTGGTCACGTAGGCAGCG</t>
  </si>
  <si>
    <t xml:space="preserve">AAACCGCTGCCTACGTGACCAATC</t>
  </si>
  <si>
    <t xml:space="preserve">PST_3133</t>
  </si>
  <si>
    <t xml:space="preserve">GATCAGCTGGCGCGTCTTGT</t>
  </si>
  <si>
    <t xml:space="preserve">TAGTGATCAGCTGGCGCGTCTTGT</t>
  </si>
  <si>
    <t xml:space="preserve">AAACACAAGACGCGCCAGCTGATC</t>
  </si>
  <si>
    <t xml:space="preserve">GCGCAGGATGCGCTGGGCAT</t>
  </si>
  <si>
    <t xml:space="preserve">TAGTGCGCAGGATGCGCTGGGCAT</t>
  </si>
  <si>
    <t xml:space="preserve">AAACATGCCCAGCGCATCCTGCGC</t>
  </si>
  <si>
    <t xml:space="preserve">CTGTAGATGGCCTGGGTGGA</t>
  </si>
  <si>
    <t xml:space="preserve">TAGTCTGTAGATGGCCTGGGTGGA</t>
  </si>
  <si>
    <t xml:space="preserve">AAACTCCACCCAGGCCATCTACAG</t>
  </si>
  <si>
    <t xml:space="preserve">GTGCACCCATTTCCCGATCC</t>
  </si>
  <si>
    <t xml:space="preserve">TAGTGTGCACCCATTTCCCGATCC</t>
  </si>
  <si>
    <t xml:space="preserve">AAACGGATCGGGAAATGGGTGCAC</t>
  </si>
  <si>
    <t xml:space="preserve">PST_3134</t>
  </si>
  <si>
    <t xml:space="preserve">AGCAGTACGAAGCGTTTCAT</t>
  </si>
  <si>
    <t xml:space="preserve">TAGTAGCAGTACGAAGCGTTTCAT</t>
  </si>
  <si>
    <t xml:space="preserve">AAACATGAAACGCTTCGTACTGCT</t>
  </si>
  <si>
    <t xml:space="preserve">GCCCCCGGCGGGAATGGCGG</t>
  </si>
  <si>
    <t xml:space="preserve">TAGTGCCCCCGGCGGGAATGGCGG</t>
  </si>
  <si>
    <t xml:space="preserve">AAACCCGCCATTCCCGCCGGGGGC</t>
  </si>
  <si>
    <t xml:space="preserve">GCCATATTCGAACAGACACA</t>
  </si>
  <si>
    <t xml:space="preserve">TAGTGCCATATTCGAACAGACACA</t>
  </si>
  <si>
    <t xml:space="preserve">AAACTGTGTCTGTTCGAATATGGC</t>
  </si>
  <si>
    <t xml:space="preserve">GCTGGTTGCCGTTGCCACCC</t>
  </si>
  <si>
    <t xml:space="preserve">TAGTGCTGGTTGCCGTTGCCACCC</t>
  </si>
  <si>
    <t xml:space="preserve">AAACGGGTGGCAACGGCAACCAGC</t>
  </si>
  <si>
    <t xml:space="preserve">PST_3135</t>
  </si>
  <si>
    <t xml:space="preserve">ACGTAAGTGAACAGCTGACC</t>
  </si>
  <si>
    <t xml:space="preserve">TAGTACGTAAGTGAACAGCTGACC</t>
  </si>
  <si>
    <t xml:space="preserve">AAACGGTCAGCTGTTCACTTACGT</t>
  </si>
  <si>
    <t xml:space="preserve">CGACGCAAAGGGCTGCAGCC</t>
  </si>
  <si>
    <t xml:space="preserve">TAGTCGACGCAAAGGGCTGCAGCC</t>
  </si>
  <si>
    <t xml:space="preserve">AAACGGCTGCAGCCCTTTGCGTCG</t>
  </si>
  <si>
    <t xml:space="preserve">ATGTCGGGGTGTCCAGCAGA</t>
  </si>
  <si>
    <t xml:space="preserve">TAGTATGTCGGGGTGTCCAGCAGA</t>
  </si>
  <si>
    <t xml:space="preserve">AAACTCTGCTGGACACCCCGACAT</t>
  </si>
  <si>
    <t xml:space="preserve">CGACCAGCTCGACATAGCCT</t>
  </si>
  <si>
    <t xml:space="preserve">TAGTCGACCAGCTCGACATAGCCT</t>
  </si>
  <si>
    <t xml:space="preserve">AAACAGGCTATGTCGAGCTGGTCG</t>
  </si>
  <si>
    <t xml:space="preserve">PST_3136</t>
  </si>
  <si>
    <t xml:space="preserve">TCACCCCATAGGCGGCGACG</t>
  </si>
  <si>
    <t xml:space="preserve">TAGTTCACCCCATAGGCGGCGACG</t>
  </si>
  <si>
    <t xml:space="preserve">AAACCGTCGCCGCCTATGGGGTGA</t>
  </si>
  <si>
    <t xml:space="preserve">GACGCACCAGACCGTTGTAG</t>
  </si>
  <si>
    <t xml:space="preserve">TAGTGACGCACCAGACCGTTGTAG</t>
  </si>
  <si>
    <t xml:space="preserve">AAACCTACAACGGTCTGGTGCGTC</t>
  </si>
  <si>
    <t xml:space="preserve">CAGCACGTCGATGTTCGCCC</t>
  </si>
  <si>
    <t xml:space="preserve">TAGTCAGCACGTCGATGTTCGCCC</t>
  </si>
  <si>
    <t xml:space="preserve">AAACGGGCGAACATCGACGTGCTG</t>
  </si>
  <si>
    <t xml:space="preserve">TGGGCAGTTCTTCATGGCGC</t>
  </si>
  <si>
    <t xml:space="preserve">TAGTTGGGCAGTTCTTCATGGCGC</t>
  </si>
  <si>
    <t xml:space="preserve">AAACGCGCCATGAAGAACTGCCCA</t>
  </si>
  <si>
    <t xml:space="preserve">PST_3137</t>
  </si>
  <si>
    <t xml:space="preserve">GCTGGCGGTTGCCCAGATGG</t>
  </si>
  <si>
    <t xml:space="preserve">TAGTGCTGGCGGTTGCCCAGATGG</t>
  </si>
  <si>
    <t xml:space="preserve">AAACCCATCTGGGCAACCGCCAGC</t>
  </si>
  <si>
    <t xml:space="preserve">GGGAGATGGCCACGGCGAGA</t>
  </si>
  <si>
    <t xml:space="preserve">TAGTGGGAGATGGCCACGGCGAGA</t>
  </si>
  <si>
    <t xml:space="preserve">AAACTCTCGCCGTGGCCATCTCCC</t>
  </si>
  <si>
    <t xml:space="preserve">GTCTTCACCGCAACCGGCGA</t>
  </si>
  <si>
    <t xml:space="preserve">TAGTGTCTTCACCGCAACCGGCGA</t>
  </si>
  <si>
    <t xml:space="preserve">AAACTCGCCGGTTGCGGTGAAGAC</t>
  </si>
  <si>
    <t xml:space="preserve">GGGGCCGCGGTCTGGTTCGT</t>
  </si>
  <si>
    <t xml:space="preserve">TAGTGGGGCCGCGGTCTGGTTCGT</t>
  </si>
  <si>
    <t xml:space="preserve">AAACACGAACCAGACCGCGGCCCC</t>
  </si>
  <si>
    <t xml:space="preserve">PST_3138</t>
  </si>
  <si>
    <t xml:space="preserve">CGGCGAAACGACGGGCGCAT</t>
  </si>
  <si>
    <t xml:space="preserve">TAGTCGGCGAAACGACGGGCGCAT</t>
  </si>
  <si>
    <t xml:space="preserve">AAACATGCGCCCGTCGTTTCGCCG</t>
  </si>
  <si>
    <t xml:space="preserve">CGGCCAGCAGCGGGAAGAAG</t>
  </si>
  <si>
    <t xml:space="preserve">TAGTCGGCCAGCAGCGGGAAGAAG</t>
  </si>
  <si>
    <t xml:space="preserve">AAACCTTCTTCCCGCTGCTGGCCG</t>
  </si>
  <si>
    <t xml:space="preserve">GCCGCAGGCAGCCAGAAACA</t>
  </si>
  <si>
    <t xml:space="preserve">TAGTGCCGCAGGCAGCCAGAAACA</t>
  </si>
  <si>
    <t xml:space="preserve">AAACTGTTTCTGGCTGCCTGCGGC</t>
  </si>
  <si>
    <t xml:space="preserve">GCTCGGCCTGCTCGAAGCGC</t>
  </si>
  <si>
    <t xml:space="preserve">TAGTGCTCGGCCTGCTCGAAGCGC</t>
  </si>
  <si>
    <t xml:space="preserve">AAACGCGCTTCGAGCAGGCCGAGC</t>
  </si>
  <si>
    <t xml:space="preserve">PST_3139</t>
  </si>
  <si>
    <t xml:space="preserve">CAGGGTGTTGGAACGAATCA</t>
  </si>
  <si>
    <t xml:space="preserve">TAGTCAGGGTGTTGGAACGAATCA</t>
  </si>
  <si>
    <t xml:space="preserve">AAACTGATTCGTTCCAACACCCTG</t>
  </si>
  <si>
    <t xml:space="preserve">GCAGGCGCTCAGCAGCAGGG</t>
  </si>
  <si>
    <t xml:space="preserve">TAGTGCAGGCGCTCAGCAGCAGGG</t>
  </si>
  <si>
    <t xml:space="preserve">AAACCCCTGCTGCTGAGCGCCTGC</t>
  </si>
  <si>
    <t xml:space="preserve">GTTTCGGCCTGCGGATCGGC</t>
  </si>
  <si>
    <t xml:space="preserve">TAGTGTTTCGGCCTGCGGATCGGC</t>
  </si>
  <si>
    <t xml:space="preserve">AAACGCCGATCCGCAGGCCGAAAC</t>
  </si>
  <si>
    <t xml:space="preserve">GCCATCGGTCAGCGCCTTGC</t>
  </si>
  <si>
    <t xml:space="preserve">TAGTGCCATCGGTCAGCGCCTTGC</t>
  </si>
  <si>
    <t xml:space="preserve">AAACGCAAGGCGCTGACCGATGGC</t>
  </si>
  <si>
    <t xml:space="preserve">PST_3140</t>
  </si>
  <si>
    <t xml:space="preserve">GGCGCCACCCAGACCGAGCA</t>
  </si>
  <si>
    <t xml:space="preserve">TAGTGGCGCCACCCAGACCGAGCA</t>
  </si>
  <si>
    <t xml:space="preserve">AAACTGCTCGGTCTGGGTGGCGCC</t>
  </si>
  <si>
    <t xml:space="preserve">GATACCACTTGCCGCGAGCA</t>
  </si>
  <si>
    <t xml:space="preserve">TAGTGATACCACTTGCCGCGAGCA</t>
  </si>
  <si>
    <t xml:space="preserve">AAACTGCTCGCGGCAAGTGGTATC</t>
  </si>
  <si>
    <t xml:space="preserve">GCCGCCCGCCATGACGGCTC</t>
  </si>
  <si>
    <t xml:space="preserve">TAGTGCCGCCCGCCATGACGGCTC</t>
  </si>
  <si>
    <t xml:space="preserve">AAACGAGCCGTCATGGCGGGCGGC</t>
  </si>
  <si>
    <t xml:space="preserve">TTGCGTGCGGAGAGCAGCAC</t>
  </si>
  <si>
    <t xml:space="preserve">TAGTTTGCGTGCGGAGAGCAGCAC</t>
  </si>
  <si>
    <t xml:space="preserve">AAACGTGCTGCTCTCCGCACGCAA</t>
  </si>
  <si>
    <t xml:space="preserve">PST_3141</t>
  </si>
  <si>
    <t xml:space="preserve">CGCAGGGACTTCTGGAGCAT</t>
  </si>
  <si>
    <t xml:space="preserve">TAGTCGCAGGGACTTCTGGAGCAT</t>
  </si>
  <si>
    <t xml:space="preserve">AAACATGCTCCAGAAGTCCCTGCG</t>
  </si>
  <si>
    <t xml:space="preserve">GGATGCAGCCGAGGGCGATG</t>
  </si>
  <si>
    <t xml:space="preserve">TAGTGGATGCAGCCGAGGGCGATG</t>
  </si>
  <si>
    <t xml:space="preserve">AAACCATCGCCCTCGGCTGCATCC</t>
  </si>
  <si>
    <t xml:space="preserve">CGATATCGCTGCTGAGCATG</t>
  </si>
  <si>
    <t xml:space="preserve">TAGTCGATATCGCTGCTGAGCATG</t>
  </si>
  <si>
    <t xml:space="preserve">AAACCATGCTCAGCAGCGATATCG</t>
  </si>
  <si>
    <t xml:space="preserve">CGTCGAGCAGCGTCTGGAAT</t>
  </si>
  <si>
    <t xml:space="preserve">TAGTCGTCGAGCAGCGTCTGGAAT</t>
  </si>
  <si>
    <t xml:space="preserve">AAACATTCCAGACGCTGCTCGACG</t>
  </si>
  <si>
    <t xml:space="preserve">PST_3142</t>
  </si>
  <si>
    <t xml:space="preserve">CGCCCAGCATAAACAGCATG</t>
  </si>
  <si>
    <t xml:space="preserve">TAGTCGCCCAGCATAAACAGCATG</t>
  </si>
  <si>
    <t xml:space="preserve">AAACCATGCTGTTTATGCTGGGCG</t>
  </si>
  <si>
    <t xml:space="preserve">AGTTGAACTTGAGTGCGGCA</t>
  </si>
  <si>
    <t xml:space="preserve">TAGTAGTTGAACTTGAGTGCGGCA</t>
  </si>
  <si>
    <t xml:space="preserve">AAACTGCCGCACTCAAGTTCAACT</t>
  </si>
  <si>
    <t xml:space="preserve">TCGACATCGATCGCCGGCTT</t>
  </si>
  <si>
    <t xml:space="preserve">TAGTTCGACATCGATCGCCGGCTT</t>
  </si>
  <si>
    <t xml:space="preserve">AAACAAGCCGGCGATCGATGTCGA</t>
  </si>
  <si>
    <t xml:space="preserve">GCTCTGCCAGTCCATGCGCC</t>
  </si>
  <si>
    <t xml:space="preserve">TAGTGCTCTGCCAGTCCATGCGCC</t>
  </si>
  <si>
    <t xml:space="preserve">AAACGGCGCATGGACTGGCAGAGC</t>
  </si>
  <si>
    <t xml:space="preserve">PST_3143</t>
  </si>
  <si>
    <t xml:space="preserve">GGCGTTCTGCTGGCTGACCG</t>
  </si>
  <si>
    <t xml:space="preserve">TAGTGGCGTTCTGCTGGCTGACCG</t>
  </si>
  <si>
    <t xml:space="preserve">AAACCGGTCAGCCAGCAGAACGCC</t>
  </si>
  <si>
    <t xml:space="preserve">CGCGTAGACCGAGATCACCG</t>
  </si>
  <si>
    <t xml:space="preserve">TAGTCGCGTAGACCGAGATCACCG</t>
  </si>
  <si>
    <t xml:space="preserve">AAACCGGTGATCTCGGTCTACGCG</t>
  </si>
  <si>
    <t xml:space="preserve">GGTGTAGAGGCGATCTGTGT</t>
  </si>
  <si>
    <t xml:space="preserve">TAGTGGTGTAGAGGCGATCTGTGT</t>
  </si>
  <si>
    <t xml:space="preserve">AAACACACAGATCGCCTCTACACC</t>
  </si>
  <si>
    <t xml:space="preserve">GTTGGCCTGGCTGAGCAGCT</t>
  </si>
  <si>
    <t xml:space="preserve">TAGTGTTGGCCTGGCTGAGCAGCT</t>
  </si>
  <si>
    <t xml:space="preserve">AAACAGCTGCTCAGCCAGGCCAAC</t>
  </si>
  <si>
    <t xml:space="preserve">PST_3144</t>
  </si>
  <si>
    <t xml:space="preserve">TCGAGCGATTTCCAGCTTCA</t>
  </si>
  <si>
    <t xml:space="preserve">TAGTTCGAGCGATTTCCAGCTTCA</t>
  </si>
  <si>
    <t xml:space="preserve">AAACTGAAGCTGGAAATCGCTCGA</t>
  </si>
  <si>
    <t xml:space="preserve">TCACTCCGAGCGCGCCGATG</t>
  </si>
  <si>
    <t xml:space="preserve">TAGTTCACTCCGAGCGCGCCGATG</t>
  </si>
  <si>
    <t xml:space="preserve">AAACCATCGGCGCGCTCGGAGTGA</t>
  </si>
  <si>
    <t xml:space="preserve">CCATGCCGCTACGCAAAGCG</t>
  </si>
  <si>
    <t xml:space="preserve">TAGTCCATGCCGCTACGCAAAGCG</t>
  </si>
  <si>
    <t xml:space="preserve">AAACCGCTTTGCGTAGCGGCATGG</t>
  </si>
  <si>
    <t xml:space="preserve">CTCTGCACCAGTGTCGCTCC</t>
  </si>
  <si>
    <t xml:space="preserve">TAGTCTCTGCACCAGTGTCGCTCC</t>
  </si>
  <si>
    <t xml:space="preserve">AAACGGAGCGACACTGGTGCAGAG</t>
  </si>
  <si>
    <t xml:space="preserve">PST_3145</t>
  </si>
  <si>
    <t xml:space="preserve">groEL</t>
  </si>
  <si>
    <t xml:space="preserve">GACCAGCATCTTCTTGCGTG</t>
  </si>
  <si>
    <t xml:space="preserve">TAGTGACCAGCATCTTCTTGCGTG</t>
  </si>
  <si>
    <t xml:space="preserve">AAACCACGCAAGAAGATGCTGGTC</t>
  </si>
  <si>
    <t xml:space="preserve">TCGCTTTTACCGCATCAGCC</t>
  </si>
  <si>
    <t xml:space="preserve">TAGTTCGCTTTTACCGCATCAGCC</t>
  </si>
  <si>
    <t xml:space="preserve">AAACGGCTGATGCGGTAAAAGCGA</t>
  </si>
  <si>
    <t xml:space="preserve">GTTGCGGCCTTTCGGGCCGA</t>
  </si>
  <si>
    <t xml:space="preserve">TAGTGTTGCGGCCTTTCGGGCCGA</t>
  </si>
  <si>
    <t xml:space="preserve">AAACTCGGCCCGAAAGGCCGCAAC</t>
  </si>
  <si>
    <t xml:space="preserve">ACGCCGTCCTTGGTGATGGT</t>
  </si>
  <si>
    <t xml:space="preserve">TAGTACGCCGTCCTTGGTGATGGT</t>
  </si>
  <si>
    <t xml:space="preserve">AAACACCATCACCAAGGACGGCGT</t>
  </si>
  <si>
    <t xml:space="preserve">PST_3146</t>
  </si>
  <si>
    <t xml:space="preserve">groES</t>
  </si>
  <si>
    <t xml:space="preserve">ATCACGACGCGGTCATGCAG</t>
  </si>
  <si>
    <t xml:space="preserve">TAGTATCACGACGCGGTCATGCAG</t>
  </si>
  <si>
    <t xml:space="preserve">AAACCTGCATGACCGCGTCGTGAT</t>
  </si>
  <si>
    <t xml:space="preserve">GACGATGCCGCCTGCGGTCT</t>
  </si>
  <si>
    <t xml:space="preserve">TAGTGACGATGCCGCCTGCGGTCT</t>
  </si>
  <si>
    <t xml:space="preserve">AAACAGACCGCAGGCGGCATCGTC</t>
  </si>
  <si>
    <t xml:space="preserve">TCTCGGCAGCGGAGCCCGGC</t>
  </si>
  <si>
    <t xml:space="preserve">TAGTTCTCGGCAGCGGAGCCCGGC</t>
  </si>
  <si>
    <t xml:space="preserve">AAACGCCGGGCTCCGCTGCCGAGA</t>
  </si>
  <si>
    <t xml:space="preserve">GCAACGACTTCGCCACGGTT</t>
  </si>
  <si>
    <t xml:space="preserve">TAGTGCAACGACTTCGCCACGGTT</t>
  </si>
  <si>
    <t xml:space="preserve">AAACAACCGTGGCGAAGTCGTTGC</t>
  </si>
  <si>
    <t xml:space="preserve">PST_3147</t>
  </si>
  <si>
    <t xml:space="preserve">TTCCAGTCCTCTGTAGATGG</t>
  </si>
  <si>
    <t xml:space="preserve">TAGTTTCCAGTCCTCTGTAGATGG</t>
  </si>
  <si>
    <t xml:space="preserve">AAACCCATCTACAGAGGACTGGAA</t>
  </si>
  <si>
    <t xml:space="preserve">TTCGCATCGATGGTCCTTGG</t>
  </si>
  <si>
    <t xml:space="preserve">TAGTTTCGCATCGATGGTCCTTGG</t>
  </si>
  <si>
    <t xml:space="preserve">AAACCCAAGGACCATCGATGCGAA</t>
  </si>
  <si>
    <t xml:space="preserve">AGTACGAACAGCTCGGCCAG</t>
  </si>
  <si>
    <t xml:space="preserve">TAGTAGTACGAACAGCTCGGCCAG</t>
  </si>
  <si>
    <t xml:space="preserve">AAACCTGGCCGAGCTGTTCGTACT</t>
  </si>
  <si>
    <t xml:space="preserve">GAGCACCAGCAGCAGGATGG</t>
  </si>
  <si>
    <t xml:space="preserve">TAGTGAGCACCAGCAGCAGGATGG</t>
  </si>
  <si>
    <t xml:space="preserve">AAACCCATCCTGCTGCTGGTGCTC</t>
  </si>
  <si>
    <t xml:space="preserve">PST_3148</t>
  </si>
  <si>
    <t xml:space="preserve">TCGGGCATGCTTGCGGGCTT</t>
  </si>
  <si>
    <t xml:space="preserve">TAGTTCGGGCATGCTTGCGGGCTT</t>
  </si>
  <si>
    <t xml:space="preserve">AAACAAGCCCGCAAGCATGCCCGA</t>
  </si>
  <si>
    <t xml:space="preserve">AATGGGTGGAGAGCACGCCG</t>
  </si>
  <si>
    <t xml:space="preserve">TAGTAATGGGTGGAGAGCACGCCG</t>
  </si>
  <si>
    <t xml:space="preserve">AAACCGGCGTGCTCTCCACCCATT</t>
  </si>
  <si>
    <t xml:space="preserve">CGGAAAGCCGGGCATGGCCT</t>
  </si>
  <si>
    <t xml:space="preserve">TAGTCGGAAAGCCGGGCATGGCCT</t>
  </si>
  <si>
    <t xml:space="preserve">AAACAGGCCATGCCCGGCTTTCCG</t>
  </si>
  <si>
    <t xml:space="preserve">TAGGGCACGACCGAGCCGAA</t>
  </si>
  <si>
    <t xml:space="preserve">TAGTTAGGGCACGACCGAGCCGAA</t>
  </si>
  <si>
    <t xml:space="preserve">AAACTTCGGCTCGGTCGTGCCCTA</t>
  </si>
  <si>
    <t xml:space="preserve">PST_3149</t>
  </si>
  <si>
    <t xml:space="preserve">GCCGAGGCCCTGGCCGCCGC</t>
  </si>
  <si>
    <t xml:space="preserve">TAGTGCCGAGGCCCTGGCCGCCGC</t>
  </si>
  <si>
    <t xml:space="preserve">AAACGCGGCGGCCAGGGCCTCGGC</t>
  </si>
  <si>
    <t xml:space="preserve">CCAGGTGCTCGGCCATGGCG</t>
  </si>
  <si>
    <t xml:space="preserve">TAGTCCAGGTGCTCGGCCATGGCG</t>
  </si>
  <si>
    <t xml:space="preserve">AAACCGCCATGGCCGAGCACCTGG</t>
  </si>
  <si>
    <t xml:space="preserve">GGTTGAGGTCCACCAGAGCC</t>
  </si>
  <si>
    <t xml:space="preserve">TAGTGGTTGAGGTCCACCAGAGCC</t>
  </si>
  <si>
    <t xml:space="preserve">AAACGGCTCTGGTGGACCTCAACC</t>
  </si>
  <si>
    <t xml:space="preserve">CGGCTTCGTCCAGACGGTCC</t>
  </si>
  <si>
    <t xml:space="preserve">TAGTCGGCTTCGTCCAGACGGTCC</t>
  </si>
  <si>
    <t xml:space="preserve">AAACGGACCGTCTGGACGAAGCCG</t>
  </si>
  <si>
    <t xml:space="preserve">PST_3150</t>
  </si>
  <si>
    <t xml:space="preserve">GGTCGCGCAAAGCAGGGTTC</t>
  </si>
  <si>
    <t xml:space="preserve">TAGTGGTCGCGCAAAGCAGGGTTC</t>
  </si>
  <si>
    <t xml:space="preserve">AAACGAACCCTGCTTTGCGCGACC</t>
  </si>
  <si>
    <t xml:space="preserve">AGGCAGGGCAACGGCGGAAA</t>
  </si>
  <si>
    <t xml:space="preserve">TAGTAGGCAGGGCAACGGCGGAAA</t>
  </si>
  <si>
    <t xml:space="preserve">AAACTTTCCGCCGTTGCCCTGCCT</t>
  </si>
  <si>
    <t xml:space="preserve">CACACGGTGTCGGCGAGCGA</t>
  </si>
  <si>
    <t xml:space="preserve">TAGTCACACGGTGTCGGCGAGCGA</t>
  </si>
  <si>
    <t xml:space="preserve">AAACTCGCTCGCCGACACCGTGTG</t>
  </si>
  <si>
    <t xml:space="preserve">GCACGCTGATCTTGCCGGTG</t>
  </si>
  <si>
    <t xml:space="preserve">TAGTGCACGCTGATCTTGCCGGTG</t>
  </si>
  <si>
    <t xml:space="preserve">AAACCACCGGCAAGATCAGCGTGC</t>
  </si>
  <si>
    <t xml:space="preserve">PST_3151</t>
  </si>
  <si>
    <t xml:space="preserve">ampG</t>
  </si>
  <si>
    <t xml:space="preserve">CGCATCGCGCCAGGTATCAC</t>
  </si>
  <si>
    <t xml:space="preserve">TAGTCGCATCGCGCCAGGTATCAC</t>
  </si>
  <si>
    <t xml:space="preserve">AAACGTGATACCTGGCGCGATGCG</t>
  </si>
  <si>
    <t xml:space="preserve">CGTGGCAGGACTGGCGTAGG</t>
  </si>
  <si>
    <t xml:space="preserve">TAGTCGTGGCAGGACTGGCGTAGG</t>
  </si>
  <si>
    <t xml:space="preserve">AAACCCTACGCCAGTCCTGCCACG</t>
  </si>
  <si>
    <t xml:space="preserve">TGCGAACCCCAGTAACAACA</t>
  </si>
  <si>
    <t xml:space="preserve">TAGTTGCGAACCCCAGTAACAACA</t>
  </si>
  <si>
    <t xml:space="preserve">AAACTGTTGTTACTGGGGTTCGCA</t>
  </si>
  <si>
    <t xml:space="preserve">CACCAGGACCGCCGGCAGAC</t>
  </si>
  <si>
    <t xml:space="preserve">TAGTCACCAGGACCGCCGGCAGAC</t>
  </si>
  <si>
    <t xml:space="preserve">AAACGTCTGCCGGCGGTCCTGGTG</t>
  </si>
  <si>
    <t xml:space="preserve">PST_3152</t>
  </si>
  <si>
    <t xml:space="preserve">ATAGTCGACGGAGAGGTCCA</t>
  </si>
  <si>
    <t xml:space="preserve">TAGTATAGTCGACGGAGAGGTCCA</t>
  </si>
  <si>
    <t xml:space="preserve">AAACTGGACCTCTCCGTCGACTAT</t>
  </si>
  <si>
    <t xml:space="preserve">CGCGACCGGCAGCCAGGCTT</t>
  </si>
  <si>
    <t xml:space="preserve">TAGTCGCGACCGGCAGCCAGGCTT</t>
  </si>
  <si>
    <t xml:space="preserve">AAACAAGCCTGGCTGCCGGTCGCG</t>
  </si>
  <si>
    <t xml:space="preserve">TCAGCAGTGCCAGCGTGACC</t>
  </si>
  <si>
    <t xml:space="preserve">TAGTTCAGCAGTGCCAGCGTGACC</t>
  </si>
  <si>
    <t xml:space="preserve">AAACGGTCACGCTGGCACTGCTGA</t>
  </si>
  <si>
    <t xml:space="preserve">CAGCCACCAGCCGAACAGGA</t>
  </si>
  <si>
    <t xml:space="preserve">TAGTCAGCCACCAGCCGAACAGGA</t>
  </si>
  <si>
    <t xml:space="preserve">AAACTCCTGTTCGGCTGGTGGCTG</t>
  </si>
  <si>
    <t xml:space="preserve">PST_3153</t>
  </si>
  <si>
    <t xml:space="preserve">ACCACGTCGAACGAGGGCAT</t>
  </si>
  <si>
    <t xml:space="preserve">TAGTACCACGTCGAACGAGGGCAT</t>
  </si>
  <si>
    <t xml:space="preserve">AAACATGCCCTCGTTCGACGTGGT</t>
  </si>
  <si>
    <t xml:space="preserve">GATCGCGTTGTCGATCGCGT</t>
  </si>
  <si>
    <t xml:space="preserve">TAGTGATCGCGTTGTCGATCGCGT</t>
  </si>
  <si>
    <t xml:space="preserve">AAACACGCGATCGACAACGCGATC</t>
  </si>
  <si>
    <t xml:space="preserve">CGAAGCTGCCTTTGCCGCGC</t>
  </si>
  <si>
    <t xml:space="preserve">TAGTCGAAGCTGCCTTTGCCGCGC</t>
  </si>
  <si>
    <t xml:space="preserve">AAACGCGCGGCAAAGGCAGCTTCG</t>
  </si>
  <si>
    <t xml:space="preserve">CTGCCGTCAGCTGCACGGTC</t>
  </si>
  <si>
    <t xml:space="preserve">TAGTCTGCCGTCAGCTGCACGGTC</t>
  </si>
  <si>
    <t xml:space="preserve">AAACGACCGTGCAGCTGACGGCAG</t>
  </si>
  <si>
    <t xml:space="preserve">PST_3154</t>
  </si>
  <si>
    <t xml:space="preserve">GCTCAGCTGGGGGTTGGGCA</t>
  </si>
  <si>
    <t xml:space="preserve">TAGTGCTCAGCTGGGGGTTGGGCA</t>
  </si>
  <si>
    <t xml:space="preserve">AAACTGCCCAACCCCCAGCTGAGC</t>
  </si>
  <si>
    <t xml:space="preserve">ATTTGGCATCGTCGACGACG</t>
  </si>
  <si>
    <t xml:space="preserve">TAGTATTTGGCATCGTCGACGACG</t>
  </si>
  <si>
    <t xml:space="preserve">AAACCGTCGTCGACGATGCCAAAT</t>
  </si>
  <si>
    <t xml:space="preserve">CGCGCGACCGATCATGACGC</t>
  </si>
  <si>
    <t xml:space="preserve">TAGTCGCGCGACCGATCATGACGC</t>
  </si>
  <si>
    <t xml:space="preserve">AAACGCGTCATGATCGGTCGCGCG</t>
  </si>
  <si>
    <t xml:space="preserve">GAAGCGTATGTCCTGATAGC</t>
  </si>
  <si>
    <t xml:space="preserve">TAGTGAAGCGTATGTCCTGATAGC</t>
  </si>
  <si>
    <t xml:space="preserve">AAACGCTATCAGGACATACGCTTC</t>
  </si>
  <si>
    <t xml:space="preserve">PST_3155</t>
  </si>
  <si>
    <t xml:space="preserve">panE-2</t>
  </si>
  <si>
    <t xml:space="preserve">GCCTGCGCCGAGAACGTGCC</t>
  </si>
  <si>
    <t xml:space="preserve">TAGTGCCTGCGCCGAGAACGTGCC</t>
  </si>
  <si>
    <t xml:space="preserve">AAACGGCACGTTCTCGGCGCAGGC</t>
  </si>
  <si>
    <t xml:space="preserve">TGGCCAGGCGGGTGGCCCAG</t>
  </si>
  <si>
    <t xml:space="preserve">TAGTTGGCCAGGCGGGTGGCCCAG</t>
  </si>
  <si>
    <t xml:space="preserve">AAACCTGGGCCACCCGCCTGGCCA</t>
  </si>
  <si>
    <t xml:space="preserve">ACGTACCGGCAGCCCCGCTC</t>
  </si>
  <si>
    <t xml:space="preserve">TAGTACGTACCGGCAGCCCCGCTC</t>
  </si>
  <si>
    <t xml:space="preserve">AAACGAGCGGGGCTGCCGGTACGT</t>
  </si>
  <si>
    <t xml:space="preserve">CGAGGCGTTCGGCCGAACGC</t>
  </si>
  <si>
    <t xml:space="preserve">TAGTCGAGGCGTTCGGCCGAACGC</t>
  </si>
  <si>
    <t xml:space="preserve">AAACGCGTTCGGCCGAACGCCTCG</t>
  </si>
  <si>
    <t xml:space="preserve">PST_3156</t>
  </si>
  <si>
    <t xml:space="preserve">GAGGCGCTGACGCAGCTTCA</t>
  </si>
  <si>
    <t xml:space="preserve">TAGTGAGGCGCTGACGCAGCTTCA</t>
  </si>
  <si>
    <t xml:space="preserve">AAACTGAAGCTGCGTCAGCGCCTC</t>
  </si>
  <si>
    <t xml:space="preserve">AGCAGCAGCTTGCGGCCGAC</t>
  </si>
  <si>
    <t xml:space="preserve">TAGTAGCAGCAGCTTGCGGCCGAC</t>
  </si>
  <si>
    <t xml:space="preserve">AAACGTCGGCCGCAAGCTGCTGCT</t>
  </si>
  <si>
    <t xml:space="preserve">CCAGCAGCACGGCGGCGAGC</t>
  </si>
  <si>
    <t xml:space="preserve">TAGTCCAGCAGCACGGCGGCGAGC</t>
  </si>
  <si>
    <t xml:space="preserve">AAACGCTCGCCGCCGTGCTGCTGG</t>
  </si>
  <si>
    <t xml:space="preserve">GGCACTGATGAAGGTGAGGT</t>
  </si>
  <si>
    <t xml:space="preserve">TAGTGGCACTGATGAAGGTGAGGT</t>
  </si>
  <si>
    <t xml:space="preserve">AAACACCTCACCTTCATCAGTGCC</t>
  </si>
  <si>
    <t xml:space="preserve">PST_3157</t>
  </si>
  <si>
    <t xml:space="preserve">CTTGGATAGTCGATTGCCCA</t>
  </si>
  <si>
    <t xml:space="preserve">TAGTCTTGGATAGTCGATTGCCCA</t>
  </si>
  <si>
    <t xml:space="preserve">AAACTGGGCAATCGACTATCCAAG</t>
  </si>
  <si>
    <t xml:space="preserve">TTTCGCCGCTGTCGCCGGTG</t>
  </si>
  <si>
    <t xml:space="preserve">TAGTTTTCGCCGCTGTCGCCGGTG</t>
  </si>
  <si>
    <t xml:space="preserve">AAACCACCGGCGACAGCGGCGAAA</t>
  </si>
  <si>
    <t xml:space="preserve">CCGACGGCCGTCGCCCAGGC</t>
  </si>
  <si>
    <t xml:space="preserve">TAGTCCGACGGCCGTCGCCCAGGC</t>
  </si>
  <si>
    <t xml:space="preserve">AAACGCCTGGGCGACGGCCGTCGG</t>
  </si>
  <si>
    <t xml:space="preserve">CTCGACGCGGGGGTGATCCT</t>
  </si>
  <si>
    <t xml:space="preserve">TAGTCTCGACGCGGGGGTGATCCT</t>
  </si>
  <si>
    <t xml:space="preserve">AAACAGGATCACCCCCGCGTCGAG</t>
  </si>
  <si>
    <t xml:space="preserve">PST_3158</t>
  </si>
  <si>
    <t xml:space="preserve">GTCGCGCCTGTTGATCCACG</t>
  </si>
  <si>
    <t xml:space="preserve">TAGTGTCGCGCCTGTTGATCCACG</t>
  </si>
  <si>
    <t xml:space="preserve">AAACCGTGGATCAACAGGCGCGAC</t>
  </si>
  <si>
    <t xml:space="preserve">GACGATGAAGGCTTCCCAGG</t>
  </si>
  <si>
    <t xml:space="preserve">TAGTGACGATGAAGGCTTCCCAGG</t>
  </si>
  <si>
    <t xml:space="preserve">AAACCCTGGGAAGCCTTCATCGTC</t>
  </si>
  <si>
    <t xml:space="preserve">CCAGGTTCACGCAGACCAGC</t>
  </si>
  <si>
    <t xml:space="preserve">TAGTCCAGGTTCACGCAGACCAGC</t>
  </si>
  <si>
    <t xml:space="preserve">AAACGCTGGTCTGCGTGAACCTGG</t>
  </si>
  <si>
    <t xml:space="preserve">TGACCGGCTGCAGCGCGAAC</t>
  </si>
  <si>
    <t xml:space="preserve">TAGTTGACCGGCTGCAGCGCGAAC</t>
  </si>
  <si>
    <t xml:space="preserve">AAACGTTCGCGCTGCAGCCGGTCA</t>
  </si>
  <si>
    <t xml:space="preserve">PST_3159</t>
  </si>
  <si>
    <t xml:space="preserve">ACGCCCGGCATTTTCGCTGG</t>
  </si>
  <si>
    <t xml:space="preserve">TAGTACGCCCGGCATTTTCGCTGG</t>
  </si>
  <si>
    <t xml:space="preserve">AAACCCAGCGAAAATGCCGGGCGT</t>
  </si>
  <si>
    <t xml:space="preserve">GCCCGGCAATGCCCCGCGCG</t>
  </si>
  <si>
    <t xml:space="preserve">TAGTGCCCGGCAATGCCCCGCGCG</t>
  </si>
  <si>
    <t xml:space="preserve">AAACCGCGCGGGGCATTGCCGGGC</t>
  </si>
  <si>
    <t xml:space="preserve">ATGCTGGGCGAGCAGATCAT</t>
  </si>
  <si>
    <t xml:space="preserve">TAGTATGCTGGGCGAGCAGATCAT</t>
  </si>
  <si>
    <t xml:space="preserve">AAACATGATCTGCTCGCCCAGCAT</t>
  </si>
  <si>
    <t xml:space="preserve">ATTGCTGCTGGGTCGATATG</t>
  </si>
  <si>
    <t xml:space="preserve">TAGTATTGCTGCTGGGTCGATATG</t>
  </si>
  <si>
    <t xml:space="preserve">AAACCATATCGACCCAGCAGCAAT</t>
  </si>
  <si>
    <t xml:space="preserve">PST_3160</t>
  </si>
  <si>
    <t xml:space="preserve">CCGCCGCATAAAAACAAAAG</t>
  </si>
  <si>
    <t xml:space="preserve">TAGTCCGCCGCATAAAAACAAAAG</t>
  </si>
  <si>
    <t xml:space="preserve">AAACCTTTTGTTTTTATGCGGCGG</t>
  </si>
  <si>
    <t xml:space="preserve">AGCACCCCTTCCAGCCGTTG</t>
  </si>
  <si>
    <t xml:space="preserve">TAGTAGCACCCCTTCCAGCCGTTG</t>
  </si>
  <si>
    <t xml:space="preserve">AAACCAACGGCTGGAAGGGGTGCT</t>
  </si>
  <si>
    <t xml:space="preserve">CGCAATGATCCTCGCCGATC</t>
  </si>
  <si>
    <t xml:space="preserve">TAGTCGCAATGATCCTCGCCGATC</t>
  </si>
  <si>
    <t xml:space="preserve">AAACGATCGGCGAGGATCATTGCG</t>
  </si>
  <si>
    <t xml:space="preserve">TGGGGCGGTAGCGCGGTAAT</t>
  </si>
  <si>
    <t xml:space="preserve">TAGTTGGGGCGGTAGCGCGGTAAT</t>
  </si>
  <si>
    <t xml:space="preserve">AAACATTACCGCGCTACCGCCCCA</t>
  </si>
  <si>
    <t xml:space="preserve">PST_3161</t>
  </si>
  <si>
    <t xml:space="preserve">ahpF-2</t>
  </si>
  <si>
    <t xml:space="preserve">CAGCAGGCTCAGCATTTCCT</t>
  </si>
  <si>
    <t xml:space="preserve">TAGTCAGCAGGCTCAGCATTTCCT</t>
  </si>
  <si>
    <t xml:space="preserve">AAACAGGAAATGCTGAGCCTGCTG</t>
  </si>
  <si>
    <t xml:space="preserve">CTGCTCGATCACCTCCGGCG</t>
  </si>
  <si>
    <t xml:space="preserve">TAGTCTGCTCGATCACCTCCGGCG</t>
  </si>
  <si>
    <t xml:space="preserve">AAACCGCCGGAGGTGATCGAGCAG</t>
  </si>
  <si>
    <t xml:space="preserve">ATGGCGACATGCTTGATGTT</t>
  </si>
  <si>
    <t xml:space="preserve">TAGTATGGCGACATGCTTGATGTT</t>
  </si>
  <si>
    <t xml:space="preserve">AAACAACATCAAGCATGTCGCCAT</t>
  </si>
  <si>
    <t xml:space="preserve">GGCGGGCTTCGACCTCGTCC</t>
  </si>
  <si>
    <t xml:space="preserve">TAGTGGCGGGCTTCGACCTCGTCC</t>
  </si>
  <si>
    <t xml:space="preserve">AAACGGACGAGGTCGAAGCCCGCC</t>
  </si>
  <si>
    <t xml:space="preserve">PST_3162</t>
  </si>
  <si>
    <t xml:space="preserve">ahpC</t>
  </si>
  <si>
    <t xml:space="preserve">TGGAAGGCATTGACTTTGAA</t>
  </si>
  <si>
    <t xml:space="preserve">TAGTTGGAAGGCATTGACTTTGAA</t>
  </si>
  <si>
    <t xml:space="preserve">AAACTTCAAAGTCAATGCCTTCCA</t>
  </si>
  <si>
    <t xml:space="preserve">CCTCGATGAACTTGCCATTG</t>
  </si>
  <si>
    <t xml:space="preserve">TAGTCCTCGATGAACTTGCCATTG</t>
  </si>
  <si>
    <t xml:space="preserve">AAACCAATGGCAAGTTCATCGAGG</t>
  </si>
  <si>
    <t xml:space="preserve">CTTGCCCTTCAGGGATTCTT</t>
  </si>
  <si>
    <t xml:space="preserve">TAGTCTTGCCCTTCAGGGATTCTT</t>
  </si>
  <si>
    <t xml:space="preserve">AAACAAGAATCCCTGAAGGGCAAG</t>
  </si>
  <si>
    <t xml:space="preserve">AGCCGGCATGAAGATCAGCA</t>
  </si>
  <si>
    <t xml:space="preserve">TAGTAGCCGGCATGAAGATCAGCA</t>
  </si>
  <si>
    <t xml:space="preserve">AAACTGCTGATCTTCATGCCGGCT</t>
  </si>
  <si>
    <t xml:space="preserve">PST_3163</t>
  </si>
  <si>
    <t xml:space="preserve">GAATGACGGCTGCGGCTACA</t>
  </si>
  <si>
    <t xml:space="preserve">TAGTGAATGACGGCTGCGGCTACA</t>
  </si>
  <si>
    <t xml:space="preserve">AAACTGTAGCCGCAGCCGTCATTC</t>
  </si>
  <si>
    <t xml:space="preserve">TGCGATAAGCACGCGCGCGT</t>
  </si>
  <si>
    <t xml:space="preserve">TAGTTGCGATAAGCACGCGCGCGT</t>
  </si>
  <si>
    <t xml:space="preserve">AAACACGCGCGCGTGCTTATCGCA</t>
  </si>
  <si>
    <t xml:space="preserve">CCACCCTGGTGCTTGTCGAG</t>
  </si>
  <si>
    <t xml:space="preserve">TAGTCCACCCTGGTGCTTGTCGAG</t>
  </si>
  <si>
    <t xml:space="preserve">AAACCTCGACAAGCACCAGGGTGG</t>
  </si>
  <si>
    <t xml:space="preserve">CAGCCTCGACCTTGCCGCCC</t>
  </si>
  <si>
    <t xml:space="preserve">TAGTCAGCCTCGACCTTGCCGCCC</t>
  </si>
  <si>
    <t xml:space="preserve">AAACGGGCGGCAAGGTCGAGGCTG</t>
  </si>
  <si>
    <t xml:space="preserve">PST_3164</t>
  </si>
  <si>
    <t xml:space="preserve">CAGGGCGGCGCGCAGCGACC</t>
  </si>
  <si>
    <t xml:space="preserve">TAGTCAGGGCGGCGCGCAGCGACC</t>
  </si>
  <si>
    <t xml:space="preserve">AAACGGTCGCTGCGCGCCGCCCTG</t>
  </si>
  <si>
    <t xml:space="preserve">AACCTGCGCGCACGCAGCGC</t>
  </si>
  <si>
    <t xml:space="preserve">TAGTAACCTGCGCGCACGCAGCGC</t>
  </si>
  <si>
    <t xml:space="preserve">AAACGCGCTGCGTGCGCGCAGGTT</t>
  </si>
  <si>
    <t xml:space="preserve">TCCGGCCGATAGAGCGAGAC</t>
  </si>
  <si>
    <t xml:space="preserve">TAGTTCCGGCCGATAGAGCGAGAC</t>
  </si>
  <si>
    <t xml:space="preserve">AAACGTCTCGCTCTATCGGCCGGA</t>
  </si>
  <si>
    <t xml:space="preserve">AGTAAGCCAGCAGCCGGGCT</t>
  </si>
  <si>
    <t xml:space="preserve">TAGTAGTAAGCCAGCAGCCGGGCT</t>
  </si>
  <si>
    <t xml:space="preserve">AAACAGCCCGGCTGCTGGCTTACT</t>
  </si>
  <si>
    <t xml:space="preserve">PST_3165</t>
  </si>
  <si>
    <t xml:space="preserve">argJ</t>
  </si>
  <si>
    <t xml:space="preserve">AGGACCAAGACCGACAGCCA</t>
  </si>
  <si>
    <t xml:space="preserve">TAGTAGGACCAAGACCGACAGCCA</t>
  </si>
  <si>
    <t xml:space="preserve">AAACTGGCTGTCGGTCTTGGTCCT</t>
  </si>
  <si>
    <t xml:space="preserve">ACCGGGTGCAGGGTAGGTAA</t>
  </si>
  <si>
    <t xml:space="preserve">TAGTACCGGGTGCAGGGTAGGTAA</t>
  </si>
  <si>
    <t xml:space="preserve">AAACTTACCTACCCTGCACCCGGT</t>
  </si>
  <si>
    <t xml:space="preserve">GCAATGCCGAGTTCGAAACC</t>
  </si>
  <si>
    <t xml:space="preserve">TAGTGCAATGCCGAGTTCGAAACC</t>
  </si>
  <si>
    <t xml:space="preserve">AAACGGTTTCGAACTCGGCATTGC</t>
  </si>
  <si>
    <t xml:space="preserve">ACGCCCCGGTCGCTTGATTC</t>
  </si>
  <si>
    <t xml:space="preserve">TAGTACGCCCCGGTCGCTTGATTC</t>
  </si>
  <si>
    <t xml:space="preserve">AAACGAATCAAGCGACCGGGGCGT</t>
  </si>
  <si>
    <t xml:space="preserve">PST_3166</t>
  </si>
  <si>
    <t xml:space="preserve">secA</t>
  </si>
  <si>
    <t xml:space="preserve">CCAAAGAGTTTCTTCAATAA</t>
  </si>
  <si>
    <t xml:space="preserve">TAGTCCAAAGAGTTTCTTCAATAA</t>
  </si>
  <si>
    <t xml:space="preserve">AAACTTATTGAAGAAACTCTTTGG</t>
  </si>
  <si>
    <t xml:space="preserve">CTGCTCTTCGAGTGCATTGA</t>
  </si>
  <si>
    <t xml:space="preserve">TAGTCTGCTCTTCGAGTGCATTGA</t>
  </si>
  <si>
    <t xml:space="preserve">AAACTCAATGCACTCGAAGAGCAG</t>
  </si>
  <si>
    <t xml:space="preserve">CTTGCTGCGCAGTTGCTCGT</t>
  </si>
  <si>
    <t xml:space="preserve">TAGTCTTGCTGCGCAGTTGCTCGT</t>
  </si>
  <si>
    <t xml:space="preserve">AAACACGAGCAACTGCGCAGCAAG</t>
  </si>
  <si>
    <t xml:space="preserve">GAGACGGGCCTTGAACTCTT</t>
  </si>
  <si>
    <t xml:space="preserve">TAGTGAGACGGGCCTTGAACTCTT</t>
  </si>
  <si>
    <t xml:space="preserve">AAACAAGAGTTCAAGGCCCGTCTC</t>
  </si>
  <si>
    <t xml:space="preserve">PST_3167</t>
  </si>
  <si>
    <t xml:space="preserve">GCGGGCTGGAGATGGGCGAA</t>
  </si>
  <si>
    <t xml:space="preserve">TAGTGCGGGCTGGAGATGGGCGAA</t>
  </si>
  <si>
    <t xml:space="preserve">AAACTTCGCCCATCTCCAGCCCGC</t>
  </si>
  <si>
    <t xml:space="preserve">ACTTCGCGCAACAGGGCCGC</t>
  </si>
  <si>
    <t xml:space="preserve">TAGTACTTCGCGCAACAGGGCCGC</t>
  </si>
  <si>
    <t xml:space="preserve">AAACGCGGCCCTGTTGCGCGAAGT</t>
  </si>
  <si>
    <t xml:space="preserve">TCGCCGAACAGCGCTCTGAG</t>
  </si>
  <si>
    <t xml:space="preserve">TAGTTCGCCGAACAGCGCTCTGAG</t>
  </si>
  <si>
    <t xml:space="preserve">AAACCTCAGAGCGCTGTTCGGCGA</t>
  </si>
  <si>
    <t xml:space="preserve">CCCGAGCGGCGGGCTGCAGC</t>
  </si>
  <si>
    <t xml:space="preserve">TAGTCCCGAGCGGCGGGCTGCAGC</t>
  </si>
  <si>
    <t xml:space="preserve">AAACGCTGCAGCCCGCCGCTCGGG</t>
  </si>
  <si>
    <t xml:space="preserve">PST_3168</t>
  </si>
  <si>
    <t xml:space="preserve">GAAAGTCCTCCGTAACGATG</t>
  </si>
  <si>
    <t xml:space="preserve">TAGTGAAAGTCCTCCGTAACGATG</t>
  </si>
  <si>
    <t xml:space="preserve">AAACCATCGTTACGGAGGACTTTC</t>
  </si>
  <si>
    <t xml:space="preserve">GCCGTGTACCGGCGAACAAG</t>
  </si>
  <si>
    <t xml:space="preserve">TAGTGCCGTGTACCGGCGAACAAG</t>
  </si>
  <si>
    <t xml:space="preserve">AAACCTTGTTCGCCGGTACACGGC</t>
  </si>
  <si>
    <t xml:space="preserve">TAGCAGCGCGCCAATCAACA</t>
  </si>
  <si>
    <t xml:space="preserve">TAGTTAGCAGCGCGCCAATCAACA</t>
  </si>
  <si>
    <t xml:space="preserve">AAACTGTTGATTGGCGCGCTGCTA</t>
  </si>
  <si>
    <t xml:space="preserve">TCAGCAGCACCAGCCAGGTG</t>
  </si>
  <si>
    <t xml:space="preserve">TAGTTCAGCAGCACCAGCCAGGTG</t>
  </si>
  <si>
    <t xml:space="preserve">AAACCACCTGGCTGGTGCTGCTGA</t>
  </si>
  <si>
    <t xml:space="preserve">PST_3169</t>
  </si>
  <si>
    <t xml:space="preserve">GCTGCGGTACACCACTTCGA</t>
  </si>
  <si>
    <t xml:space="preserve">TAGTGCTGCGGTACACCACTTCGA</t>
  </si>
  <si>
    <t xml:space="preserve">AAACTCGAAGTGGTGTACCGCAGC</t>
  </si>
  <si>
    <t xml:space="preserve">TATCCATGAACAAACGCTCC</t>
  </si>
  <si>
    <t xml:space="preserve">TAGTTATCCATGAACAAACGCTCC</t>
  </si>
  <si>
    <t xml:space="preserve">AAACGGAGCGTTTGTTCATGGATA</t>
  </si>
  <si>
    <t xml:space="preserve">CTTGTCGTGACGATCGGCTT</t>
  </si>
  <si>
    <t xml:space="preserve">TAGTCTTGTCGTGACGATCGGCTT</t>
  </si>
  <si>
    <t xml:space="preserve">AAACAAGCCGATCGTCACGACAAG</t>
  </si>
  <si>
    <t xml:space="preserve">CAGCACCGCCGCCAGCGCTT</t>
  </si>
  <si>
    <t xml:space="preserve">TAGTCAGCACCGCCGCCAGCGCTT</t>
  </si>
  <si>
    <t xml:space="preserve">AAACAAGCGCTGGCGGCGGTGCTG</t>
  </si>
  <si>
    <t xml:space="preserve">PST_3170</t>
  </si>
  <si>
    <t xml:space="preserve">ACATCGCTAATTTTCTGGAA</t>
  </si>
  <si>
    <t xml:space="preserve">TAGTACATCGCTAATTTTCTGGAA</t>
  </si>
  <si>
    <t xml:space="preserve">AAACTTCCAGAAAATTAGCGATGT</t>
  </si>
  <si>
    <t xml:space="preserve">CTGAAGTTGACGTTGTAGCG</t>
  </si>
  <si>
    <t xml:space="preserve">TAGTCTGAAGTTGACGTTGTAGCG</t>
  </si>
  <si>
    <t xml:space="preserve">AAACCGCTACAACGTCAACTTCAG</t>
  </si>
  <si>
    <t xml:space="preserve">GGTCACTCCACTGTTCGGCA</t>
  </si>
  <si>
    <t xml:space="preserve">TAGTGGTCACTCCACTGTTCGGCA</t>
  </si>
  <si>
    <t xml:space="preserve">AAACTGCCGAACAGTGGAGTGACC</t>
  </si>
  <si>
    <t xml:space="preserve">TAAGTCGCTGCAGTTGCTGT</t>
  </si>
  <si>
    <t xml:space="preserve">TAGTTAAGTCGCTGCAGTTGCTGT</t>
  </si>
  <si>
    <t xml:space="preserve">AAACACAGCAACTGCAGCGACTTA</t>
  </si>
  <si>
    <t xml:space="preserve">PST_3171</t>
  </si>
  <si>
    <t xml:space="preserve">AGGAATGAAGCGTACGGACA</t>
  </si>
  <si>
    <t xml:space="preserve">TAGTAGGAATGAAGCGTACGGACA</t>
  </si>
  <si>
    <t xml:space="preserve">AAACTGTCCGTACGCTTCATTCCT</t>
  </si>
  <si>
    <t xml:space="preserve">GCCTCTACACTTAGCGCATC</t>
  </si>
  <si>
    <t xml:space="preserve">TAGTGCCTCTACACTTAGCGCATC</t>
  </si>
  <si>
    <t xml:space="preserve">AAACGATGCGCTAAGTGTAGAGGC</t>
  </si>
  <si>
    <t xml:space="preserve">AATCGACGCGAGTTGCCCTG</t>
  </si>
  <si>
    <t xml:space="preserve">TAGTAATCGACGCGAGTTGCCCTG</t>
  </si>
  <si>
    <t xml:space="preserve">AAACCAGGGCAACTCGCGTCGATT</t>
  </si>
  <si>
    <t xml:space="preserve">ATATGTACAGGAGGCAAGCG</t>
  </si>
  <si>
    <t xml:space="preserve">TAGTATATGTACAGGAGGCAAGCG</t>
  </si>
  <si>
    <t xml:space="preserve">AAACCGCTTGCCTCCTGTACATAT</t>
  </si>
  <si>
    <t xml:space="preserve">PST_3172</t>
  </si>
  <si>
    <t xml:space="preserve">GGCTTCTTCGGGGGAAACCG</t>
  </si>
  <si>
    <t xml:space="preserve">TAGTGGCTTCTTCGGGGGAAACCG</t>
  </si>
  <si>
    <t xml:space="preserve">AAACCGGTTTCCCCCGAAGAAGCC</t>
  </si>
  <si>
    <t xml:space="preserve">GAGGGACGTTCCGAGCTTGG</t>
  </si>
  <si>
    <t xml:space="preserve">TAGTGAGGGACGTTCCGAGCTTGG</t>
  </si>
  <si>
    <t xml:space="preserve">AAACCCAAGCTCGGAACGTCCCTC</t>
  </si>
  <si>
    <t xml:space="preserve">CCAGCCTTCTCCGCACCCAG</t>
  </si>
  <si>
    <t xml:space="preserve">TAGTCCAGCCTTCTCCGCACCCAG</t>
  </si>
  <si>
    <t xml:space="preserve">AAACCTGGGTGCGGAGAAGGCTGG</t>
  </si>
  <si>
    <t xml:space="preserve">GCCACCGGTCCACTCCGGAA</t>
  </si>
  <si>
    <t xml:space="preserve">TAGTGCCACCGGTCCACTCCGGAA</t>
  </si>
  <si>
    <t xml:space="preserve">AAACTTCCGGAGTGGACCGGTGGC</t>
  </si>
  <si>
    <t xml:space="preserve">PST_3173</t>
  </si>
  <si>
    <t xml:space="preserve">CGAGAGCTAGGGACTTCGGC</t>
  </si>
  <si>
    <t xml:space="preserve">TAGTCGAGAGCTAGGGACTTCGGC</t>
  </si>
  <si>
    <t xml:space="preserve">AAACGCCGAAGTCCCTAGCTCTCG</t>
  </si>
  <si>
    <t xml:space="preserve">GGCGGCAGTGCCCAGCGCTA</t>
  </si>
  <si>
    <t xml:space="preserve">TAGTGGCGGCAGTGCCCAGCGCTA</t>
  </si>
  <si>
    <t xml:space="preserve">AAACTAGCGCTGGGCACTGCCGCC</t>
  </si>
  <si>
    <t xml:space="preserve">GAAGCTCACGGCGTAAGCCG</t>
  </si>
  <si>
    <t xml:space="preserve">TAGTGAAGCTCACGGCGTAAGCCG</t>
  </si>
  <si>
    <t xml:space="preserve">AAACCGGCTTACGCCGTGAGCTTC</t>
  </si>
  <si>
    <t xml:space="preserve">CATGGACCAGCTGGCACCGA</t>
  </si>
  <si>
    <t xml:space="preserve">TAGTCATGGACCAGCTGGCACCGA</t>
  </si>
  <si>
    <t xml:space="preserve">AAACTCGGTGCCAGCTGGTCCATG</t>
  </si>
  <si>
    <t xml:space="preserve">PST_3174</t>
  </si>
  <si>
    <t xml:space="preserve">hpt</t>
  </si>
  <si>
    <t xml:space="preserve">GCGGATATGTGCGAGATCGA</t>
  </si>
  <si>
    <t xml:space="preserve">TAGTGCGGATATGTGCGAGATCGA</t>
  </si>
  <si>
    <t xml:space="preserve">AAACTCGATCTCGCACATATCCGC</t>
  </si>
  <si>
    <t xml:space="preserve">AATCTGCCTCGGCCATGACT</t>
  </si>
  <si>
    <t xml:space="preserve">TAGTAATCTGCCTCGGCCATGACT</t>
  </si>
  <si>
    <t xml:space="preserve">AAACAGTCATGGCCGAGGCAGATT</t>
  </si>
  <si>
    <t xml:space="preserve">CGACTTGCTCTTCGGTGTAC</t>
  </si>
  <si>
    <t xml:space="preserve">TAGTCGACTTGCTCTTCGGTGTAC</t>
  </si>
  <si>
    <t xml:space="preserve">AAACGTACACCGAAGAGCAAGTCG</t>
  </si>
  <si>
    <t xml:space="preserve">ATTGATCGTTTCGGCAACCT</t>
  </si>
  <si>
    <t xml:space="preserve">TAGTATTGATCGTTTCGGCAACCT</t>
  </si>
  <si>
    <t xml:space="preserve">AAACAGGTTGCCGAAACGATCAAT</t>
  </si>
  <si>
    <t xml:space="preserve">PST_3175</t>
  </si>
  <si>
    <t xml:space="preserve">upp</t>
  </si>
  <si>
    <t xml:space="preserve">GGATGGCGGATCTCTCGAAT</t>
  </si>
  <si>
    <t xml:space="preserve">TAGTGGATGGCGGATCTCTCGAAT</t>
  </si>
  <si>
    <t xml:space="preserve">AAACATTCGAGAGATCCGCCATCC</t>
  </si>
  <si>
    <t xml:space="preserve">CCGAGCTTGTGACGGATCAG</t>
  </si>
  <si>
    <t xml:space="preserve">TAGTCCGAGCTTGTGACGGATCAG</t>
  </si>
  <si>
    <t xml:space="preserve">AAACCTGATCCGTCACAAGCTCGG</t>
  </si>
  <si>
    <t xml:space="preserve">TCTTGGTGCTGATATCGGCG</t>
  </si>
  <si>
    <t xml:space="preserve">TAGTTCTTGGTGCTGATATCGGCG</t>
  </si>
  <si>
    <t xml:space="preserve">AAACCGCCGATATCAGCACCAAGA</t>
  </si>
  <si>
    <t xml:space="preserve">CCACTTCCTGAGCCAGTTCG</t>
  </si>
  <si>
    <t xml:space="preserve">TAGTCCACTTCCTGAGCCAGTTCG</t>
  </si>
  <si>
    <t xml:space="preserve">AAACCGAACTGGCTCAGGAAGTGG</t>
  </si>
  <si>
    <t xml:space="preserve">PST_3176</t>
  </si>
  <si>
    <t xml:space="preserve">uraA</t>
  </si>
  <si>
    <t xml:space="preserve">GCCAGTACCTGTTGGCCAAG</t>
  </si>
  <si>
    <t xml:space="preserve">TAGTGCCAGTACCTGTTGGCCAAG</t>
  </si>
  <si>
    <t xml:space="preserve">AAACCTTGGCCAACAGGTACTGGC</t>
  </si>
  <si>
    <t xml:space="preserve">GACAAATAGCATCTGCGCCC</t>
  </si>
  <si>
    <t xml:space="preserve">TAGTGACAAATAGCATCTGCGCCC</t>
  </si>
  <si>
    <t xml:space="preserve">AAACGGGCGCAGATGCTATTTGTC</t>
  </si>
  <si>
    <t xml:space="preserve">CATCAGTACCAGTGCGCCGA</t>
  </si>
  <si>
    <t xml:space="preserve">TAGTCATCAGTACCAGTGCGCCGA</t>
  </si>
  <si>
    <t xml:space="preserve">AAACTCGGCGCACTGGTACTGATG</t>
  </si>
  <si>
    <t xml:space="preserve">GGGTCCATGCCGGTAATCAG</t>
  </si>
  <si>
    <t xml:space="preserve">TAGTGGGTCCATGCCGGTAATCAG</t>
  </si>
  <si>
    <t xml:space="preserve">AAACCTGATTACCGGCATGGACCC</t>
  </si>
  <si>
    <t xml:space="preserve">PST_3177</t>
  </si>
  <si>
    <t xml:space="preserve">GTCGAGTTGCTGATGAGGGA</t>
  </si>
  <si>
    <t xml:space="preserve">TAGTGTCGAGTTGCTGATGAGGGA</t>
  </si>
  <si>
    <t xml:space="preserve">AAACTCCCTCATCAGCAACTCGAC</t>
  </si>
  <si>
    <t xml:space="preserve">CGCGCAGGTAGCGCAGCTTA</t>
  </si>
  <si>
    <t xml:space="preserve">TAGTCGCGCAGGTAGCGCAGCTTA</t>
  </si>
  <si>
    <t xml:space="preserve">AAACTAAGCTGCGCTACCTGCGCG</t>
  </si>
  <si>
    <t xml:space="preserve">GACTTCAAGGCGGCAGCAGC</t>
  </si>
  <si>
    <t xml:space="preserve">TAGTGACTTCAAGGCGGCAGCAGC</t>
  </si>
  <si>
    <t xml:space="preserve">AAACGCTGCTGCCGCCTTGAAGTC</t>
  </si>
  <si>
    <t xml:space="preserve">CGCCGGTGTCGCTGAACAAC</t>
  </si>
  <si>
    <t xml:space="preserve">TAGTCGCCGGTGTCGCTGAACAAC</t>
  </si>
  <si>
    <t xml:space="preserve">AAACGTTGTTCAGCGACACCGGCG</t>
  </si>
  <si>
    <t xml:space="preserve">PST_3178</t>
  </si>
  <si>
    <t xml:space="preserve">TTGAGAAACCGCGCTGCGCT</t>
  </si>
  <si>
    <t xml:space="preserve">TAGTTTGAGAAACCGCGCTGCGCT</t>
  </si>
  <si>
    <t xml:space="preserve">AAACAGCGCAGCGCGGTTTCTCAA</t>
  </si>
  <si>
    <t xml:space="preserve">ACTGCATTTGTTTGGTTATT</t>
  </si>
  <si>
    <t xml:space="preserve">TAGTACTGCATTTGTTTGGTTATT</t>
  </si>
  <si>
    <t xml:space="preserve">AAACAATAACCAAACAAATGCAGT</t>
  </si>
  <si>
    <t xml:space="preserve">AGGGAGAACAGTTTTTTCAT</t>
  </si>
  <si>
    <t xml:space="preserve">TAGTAGGGAGAACAGTTTTTTCAT</t>
  </si>
  <si>
    <t xml:space="preserve">AAACATGAAAAAACTGTTCTCCCT</t>
  </si>
  <si>
    <t xml:space="preserve">AAAGTGCCGCTACTGCAGCT</t>
  </si>
  <si>
    <t xml:space="preserve">TAGTAAAGTGCCGCTACTGCAGCT</t>
  </si>
  <si>
    <t xml:space="preserve">AAACAGCTGCAGTAGCGGCACTTT</t>
  </si>
  <si>
    <t xml:space="preserve">PST_3179</t>
  </si>
  <si>
    <t xml:space="preserve">murI</t>
  </si>
  <si>
    <t xml:space="preserve">CACCGAGAGCCCGCCTACCC</t>
  </si>
  <si>
    <t xml:space="preserve">TAGTCACCGAGAGCCCGCCTACCC</t>
  </si>
  <si>
    <t xml:space="preserve">AAACGGGTAGGCGGGCTCTCGGTG</t>
  </si>
  <si>
    <t xml:space="preserve">ACTCATGCGGCAGGCGCTGC</t>
  </si>
  <si>
    <t xml:space="preserve">TAGTACTCATGCGGCAGGCGCTGC</t>
  </si>
  <si>
    <t xml:space="preserve">AAACGCAGCGCCTGCCGCATGAGT</t>
  </si>
  <si>
    <t xml:space="preserve">ATAGGGTACGTGAGCGCTGT</t>
  </si>
  <si>
    <t xml:space="preserve">TAGTATAGGGTACGTGAGCGCTGT</t>
  </si>
  <si>
    <t xml:space="preserve">AAACACAGCGCTCACGTACCCTAT</t>
  </si>
  <si>
    <t xml:space="preserve">AGCGCTCGCGGATGTATTCC</t>
  </si>
  <si>
    <t xml:space="preserve">TAGTAGCGCTCGCGGATGTATTCC</t>
  </si>
  <si>
    <t xml:space="preserve">AAACGGAATACATCCGCGAGCGCT</t>
  </si>
  <si>
    <t xml:space="preserve">PST_3180</t>
  </si>
  <si>
    <t xml:space="preserve">moeB</t>
  </si>
  <si>
    <t xml:space="preserve">CCTGCTTGAGCAGGATCTGC</t>
  </si>
  <si>
    <t xml:space="preserve">TAGTCCTGCTTGAGCAGGATCTGC</t>
  </si>
  <si>
    <t xml:space="preserve">AAACGCAGATCCTGCTCAAGCAGG</t>
  </si>
  <si>
    <t xml:space="preserve">GACTCTGTTTGAGGCGCAAC</t>
  </si>
  <si>
    <t xml:space="preserve">TAGTGACTCTGTTTGAGGCGCAAC</t>
  </si>
  <si>
    <t xml:space="preserve">AAACGTTGCGCCTCAAACAGAGTC</t>
  </si>
  <si>
    <t xml:space="preserve">GCCGCCAGATAGAGCGCTAC</t>
  </si>
  <si>
    <t xml:space="preserve">TAGTGCCGCCAGATAGAGCGCTAC</t>
  </si>
  <si>
    <t xml:space="preserve">AAACGTAGCGCTCTATCTGGCGGC</t>
  </si>
  <si>
    <t xml:space="preserve">GTGCAGCTCACCGACACCAG</t>
  </si>
  <si>
    <t xml:space="preserve">TAGTGTGCAGCTCACCGACACCAG</t>
  </si>
  <si>
    <t xml:space="preserve">AAACCTGGTGTCGGTGAGCTGCAC</t>
  </si>
  <si>
    <t xml:space="preserve">PST_3181</t>
  </si>
  <si>
    <t xml:space="preserve">hemK</t>
  </si>
  <si>
    <t xml:space="preserve">TGCAGCAGGGACTCGATGGT</t>
  </si>
  <si>
    <t xml:space="preserve">TAGTTGCAGCAGGGACTCGATGGT</t>
  </si>
  <si>
    <t xml:space="preserve">AAACACCATCGAGTCCCTGCTGCA</t>
  </si>
  <si>
    <t xml:space="preserve">GCTCGGCGAGTCCGGCAGAT</t>
  </si>
  <si>
    <t xml:space="preserve">TAGTGCTCGGCGAGTCCGGCAGAT</t>
  </si>
  <si>
    <t xml:space="preserve">AAACATCTGCCGGACTCGCCGAGC</t>
  </si>
  <si>
    <t xml:space="preserve">GGCGGCCGCGAGCAACCATT</t>
  </si>
  <si>
    <t xml:space="preserve">TAGTGGCGGCCGCGAGCAACCATT</t>
  </si>
  <si>
    <t xml:space="preserve">AAACAATGGTTGCTCGCGGCCGCC</t>
  </si>
  <si>
    <t xml:space="preserve">ATAGCTGGTCGACTTGTTCA</t>
  </si>
  <si>
    <t xml:space="preserve">TAGTATAGCTGGTCGACTTGTTCA</t>
  </si>
  <si>
    <t xml:space="preserve">AAACTGAACAAGTCGACCAGCTAT</t>
  </si>
  <si>
    <t xml:space="preserve">PST_3182</t>
  </si>
  <si>
    <t xml:space="preserve">GCTCTTCGAAACGGTCCTGC</t>
  </si>
  <si>
    <t xml:space="preserve">TAGTGCTCTTCGAAACGGTCCTGC</t>
  </si>
  <si>
    <t xml:space="preserve">AAACGCAGGACCGTTTCGAAGAGC</t>
  </si>
  <si>
    <t xml:space="preserve">TTCGGCGTCGCCGAGCAGTG</t>
  </si>
  <si>
    <t xml:space="preserve">TAGTTTCGGCGTCGCCGAGCAGTG</t>
  </si>
  <si>
    <t xml:space="preserve">AAACCACTGCTCGGCGACGCCGAA</t>
  </si>
  <si>
    <t xml:space="preserve">CGCGGGAATAGGCGCGAAAA</t>
  </si>
  <si>
    <t xml:space="preserve">TAGTCGCGGGAATAGGCGCGAAAA</t>
  </si>
  <si>
    <t xml:space="preserve">AAACTTTTCGCGCCTATTCCCGCG</t>
  </si>
  <si>
    <t xml:space="preserve">GACGATCACCGGCTCGACTT</t>
  </si>
  <si>
    <t xml:space="preserve">TAGTGACGATCACCGGCTCGACTT</t>
  </si>
  <si>
    <t xml:space="preserve">AAACAAGTCGAGCCGGTGATCGTC</t>
  </si>
  <si>
    <t xml:space="preserve">PST_3183</t>
  </si>
  <si>
    <t xml:space="preserve">hemA</t>
  </si>
  <si>
    <t xml:space="preserve">TGTGATTAATGCCAAGCGCG</t>
  </si>
  <si>
    <t xml:space="preserve">TAGTTGTGATTAATGCCAAGCGCG</t>
  </si>
  <si>
    <t xml:space="preserve">AAACCGCGCTTGGCATTAATCACA</t>
  </si>
  <si>
    <t xml:space="preserve">CTCGCGGACGTCCACCGAAG</t>
  </si>
  <si>
    <t xml:space="preserve">TAGTCTCGCGGACGTCCACCGAAG</t>
  </si>
  <si>
    <t xml:space="preserve">AAACCTTCGGTGGACGTCCGCGAG</t>
  </si>
  <si>
    <t xml:space="preserve">GACCATCTGGTCGGGCGTGA</t>
  </si>
  <si>
    <t xml:space="preserve">TAGTGACCATCTGGTCGGGCGTGA</t>
  </si>
  <si>
    <t xml:space="preserve">AAACTCACGCCCGACCAGATGGTC</t>
  </si>
  <si>
    <t xml:space="preserve">CACGCGGCACAGCTGCCGCA</t>
  </si>
  <si>
    <t xml:space="preserve">TAGTCACGCGGCACAGCTGCCGCA</t>
  </si>
  <si>
    <t xml:space="preserve">AAACTGCGGCAGCTGTGCCGCGTG</t>
  </si>
  <si>
    <t xml:space="preserve">PST_3184</t>
  </si>
  <si>
    <t xml:space="preserve">GCATGATGACACAAGCCGCA</t>
  </si>
  <si>
    <t xml:space="preserve">TAGTGCATGATGACACAAGCCGCA</t>
  </si>
  <si>
    <t xml:space="preserve">AAACTGCGGCTTGTGTCATCATGC</t>
  </si>
  <si>
    <t xml:space="preserve">ATACGGCTGGTAAGCGGTCG</t>
  </si>
  <si>
    <t xml:space="preserve">TAGTATACGGCTGGTAAGCGGTCG</t>
  </si>
  <si>
    <t xml:space="preserve">AAACCGACCGCTTACCAGCCGTAT</t>
  </si>
  <si>
    <t xml:space="preserve">TGCGGCAAGTCTTTTCATAG</t>
  </si>
  <si>
    <t xml:space="preserve">TAGTTGCGGCAAGTCTTTTCATAG</t>
  </si>
  <si>
    <t xml:space="preserve">AAACCTATGAAAAGACTTGCCGCA</t>
  </si>
  <si>
    <t xml:space="preserve">GCCGCCGAGTAATAGCAGGG</t>
  </si>
  <si>
    <t xml:space="preserve">TAGTGCCGCCGAGTAATAGCAGGG</t>
  </si>
  <si>
    <t xml:space="preserve">AAACCCCTGCTATTACTCGGCGGC</t>
  </si>
  <si>
    <t xml:space="preserve">PST_3185</t>
  </si>
  <si>
    <t xml:space="preserve">lolB</t>
  </si>
  <si>
    <t xml:space="preserve">AGGTTTTTCAACAGTGACAT</t>
  </si>
  <si>
    <t xml:space="preserve">TAGTAGGTTTTTCAACAGTGACAT</t>
  </si>
  <si>
    <t xml:space="preserve">AAACATGTCACTGTTGAAAAACCT</t>
  </si>
  <si>
    <t xml:space="preserve">GGGCCAGGCAGGGAGCAAGG</t>
  </si>
  <si>
    <t xml:space="preserve">TAGTGGGCCAGGCAGGGAGCAAGG</t>
  </si>
  <si>
    <t xml:space="preserve">AAACCCTTGCTCCCTGCCTGGCCC</t>
  </si>
  <si>
    <t xml:space="preserve">GGCACAGCCAGCAAGCAGGA</t>
  </si>
  <si>
    <t xml:space="preserve">TAGTGGCACAGCCAGCAAGCAGGA</t>
  </si>
  <si>
    <t xml:space="preserve">AAACTCCTGCTTGCTGGCTGTGCC</t>
  </si>
  <si>
    <t xml:space="preserve">CGATTCGTGTGGGCCCAGGG</t>
  </si>
  <si>
    <t xml:space="preserve">TAGTCGATTCGTGTGGGCCCAGGG</t>
  </si>
  <si>
    <t xml:space="preserve">AAACCCCTGGGCCCACACGAATCG</t>
  </si>
  <si>
    <t xml:space="preserve">PST_3186</t>
  </si>
  <si>
    <t xml:space="preserve">ispE</t>
  </si>
  <si>
    <t xml:space="preserve">AGATTGAGTTTGGCGGGCGC</t>
  </si>
  <si>
    <t xml:space="preserve">TAGTAGATTGAGTTTGGCGGGCGC</t>
  </si>
  <si>
    <t xml:space="preserve">AAACGCGCCCGCCAAACTCAATCT</t>
  </si>
  <si>
    <t xml:space="preserve">ACTCGTGGTAACCGTCGGCG</t>
  </si>
  <si>
    <t xml:space="preserve">TAGTACTCGTGGTAACCGTCGGCG</t>
  </si>
  <si>
    <t xml:space="preserve">AAACCGCCGACGGTTACCACGAGT</t>
  </si>
  <si>
    <t xml:space="preserve">CGTCACCATGGTCGAGAAAC</t>
  </si>
  <si>
    <t xml:space="preserve">TAGTCGTCACCATGGTCGAGAAAC</t>
  </si>
  <si>
    <t xml:space="preserve">AAACGTTTCTCGACCATGGTGACG</t>
  </si>
  <si>
    <t xml:space="preserve">GGATTTCGCCGTCTTCACGC</t>
  </si>
  <si>
    <t xml:space="preserve">TAGTGGATTTCGCCGTCTTCACGC</t>
  </si>
  <si>
    <t xml:space="preserve">AAACGCGTGAAGACGGCGAAATCC</t>
  </si>
  <si>
    <t xml:space="preserve">PST_3189</t>
  </si>
  <si>
    <t xml:space="preserve">prsA</t>
  </si>
  <si>
    <t xml:space="preserve">ACGCCGGGCCAGGTCGGGGT</t>
  </si>
  <si>
    <t xml:space="preserve">TAGTACGCCGGGCCAGGTCGGGGT</t>
  </si>
  <si>
    <t xml:space="preserve">AAACACCCCGACCTGGCCCGGCGT</t>
  </si>
  <si>
    <t xml:space="preserve">CGACGTAGGCATCACCGAGG</t>
  </si>
  <si>
    <t xml:space="preserve">TAGTCGACGTAGGCATCACCGAGG</t>
  </si>
  <si>
    <t xml:space="preserve">AAACCCTCGGTGATGCCTACGTCG</t>
  </si>
  <si>
    <t xml:space="preserve">CTCGACACTGATTTCGCCGT</t>
  </si>
  <si>
    <t xml:space="preserve">TAGTCTCGACACTGATTTCGCCGT</t>
  </si>
  <si>
    <t xml:space="preserve">AAACACGGCGAAATCAGTGTCGAG</t>
  </si>
  <si>
    <t xml:space="preserve">TCGTTGGTCGGAGCGCAGGT</t>
  </si>
  <si>
    <t xml:space="preserve">TAGTTCGTTGGTCGGAGCGCAGGT</t>
  </si>
  <si>
    <t xml:space="preserve">AAACACCTGCGCTCCGACCAACGA</t>
  </si>
  <si>
    <t xml:space="preserve">PST_3190</t>
  </si>
  <si>
    <t xml:space="preserve">ATTCAGAGTGAAATCGTTCA</t>
  </si>
  <si>
    <t xml:space="preserve">TAGTATTCAGAGTGAAATCGTTCA</t>
  </si>
  <si>
    <t xml:space="preserve">AAACTGAACGATTTCACTCTGAAT</t>
  </si>
  <si>
    <t xml:space="preserve">CCCCAGGTCGGAACGCACTT</t>
  </si>
  <si>
    <t xml:space="preserve">TAGTCCCCAGGTCGGAACGCACTT</t>
  </si>
  <si>
    <t xml:space="preserve">AAACAAGTGCGTTCCGACCTGGGG</t>
  </si>
  <si>
    <t xml:space="preserve">CGGCGTTACGACGCAGGCGG</t>
  </si>
  <si>
    <t xml:space="preserve">TAGTCGGCGTTACGACGCAGGCGG</t>
  </si>
  <si>
    <t xml:space="preserve">AAACCCGCCTGCGTCGTAACGCCG</t>
  </si>
  <si>
    <t xml:space="preserve">GATGACGGCCGGAACCAGGG</t>
  </si>
  <si>
    <t xml:space="preserve">TAGTGATGACGGCCGGAACCAGGG</t>
  </si>
  <si>
    <t xml:space="preserve">AAACCCCTGGTTCCGGCCGTCATC</t>
  </si>
  <si>
    <t xml:space="preserve">PST_3191</t>
  </si>
  <si>
    <t xml:space="preserve">pth</t>
  </si>
  <si>
    <t xml:space="preserve">CCGCCACCGCTTGACCGCTG</t>
  </si>
  <si>
    <t xml:space="preserve">TAGTCCGCCACCGCTTGACCGCTG</t>
  </si>
  <si>
    <t xml:space="preserve">AAACCAGCGGTCAAGCGGTGGCGG</t>
  </si>
  <si>
    <t xml:space="preserve">GGATAGACTCGGGGGGAATT</t>
  </si>
  <si>
    <t xml:space="preserve">TAGTGGATAGACTCGGGGGGAATT</t>
  </si>
  <si>
    <t xml:space="preserve">AAACAATTCCCCCCGAGTCTATCC</t>
  </si>
  <si>
    <t xml:space="preserve">CGAGTTCATCATGGGCGACC</t>
  </si>
  <si>
    <t xml:space="preserve">TAGTCGAGTTCATCATGGGCGACC</t>
  </si>
  <si>
    <t xml:space="preserve">AAACGGTCGCCCATGATGAACTCG</t>
  </si>
  <si>
    <t xml:space="preserve">TTGAGTTTGGCGACGCCGGG</t>
  </si>
  <si>
    <t xml:space="preserve">TAGTTTGAGTTTGGCGACGCCGGG</t>
  </si>
  <si>
    <t xml:space="preserve">AAACCCCGGCGTCGCCAAACTCAA</t>
  </si>
  <si>
    <t xml:space="preserve">PST_3192</t>
  </si>
  <si>
    <t xml:space="preserve">ychF</t>
  </si>
  <si>
    <t xml:space="preserve">GATGCCGCAGTTGAATCCCA</t>
  </si>
  <si>
    <t xml:space="preserve">TAGTGATGCCGCAGTTGAATCCCA</t>
  </si>
  <si>
    <t xml:space="preserve">AAACTGGGATTCAACTGCGGCATC</t>
  </si>
  <si>
    <t xml:space="preserve">GGTCAGGGCGTTGAACAGGG</t>
  </si>
  <si>
    <t xml:space="preserve">TAGTGGTCAGGGCGTTGAACAGGG</t>
  </si>
  <si>
    <t xml:space="preserve">AAACCCCTGTTCAACGCCCTGACC</t>
  </si>
  <si>
    <t xml:space="preserve">CTCAGCCGCGATGCCGGATT</t>
  </si>
  <si>
    <t xml:space="preserve">TAGTCTCAGCCGCGATGCCGGATT</t>
  </si>
  <si>
    <t xml:space="preserve">AAACAATCCGGCATCGCGGCTGAG</t>
  </si>
  <si>
    <t xml:space="preserve">TCGGCTCGATGGTACAGAAC</t>
  </si>
  <si>
    <t xml:space="preserve">TAGTTCGGCTCGATGGTACAGAAC</t>
  </si>
  <si>
    <t xml:space="preserve">AAACGTTCTGTACCATCGAGCCGA</t>
  </si>
  <si>
    <t xml:space="preserve">PST_3193</t>
  </si>
  <si>
    <t xml:space="preserve">GGCAAGCTATTGATTTCAAA</t>
  </si>
  <si>
    <t xml:space="preserve">TAGTGGCAAGCTATTGATTTCAAA</t>
  </si>
  <si>
    <t xml:space="preserve">AAACTTTGAAATCAATAGCTTGCC</t>
  </si>
  <si>
    <t xml:space="preserve">GCTCAGCAGACCGTATTGTT</t>
  </si>
  <si>
    <t xml:space="preserve">TAGTGCTCAGCAGACCGTATTGTT</t>
  </si>
  <si>
    <t xml:space="preserve">AAACAACAATACGGTCTGCTGAGC</t>
  </si>
  <si>
    <t xml:space="preserve">TTCAGAACTCGATGAACAAT</t>
  </si>
  <si>
    <t xml:space="preserve">TAGTTTCAGAACTCGATGAACAAT</t>
  </si>
  <si>
    <t xml:space="preserve">AAACATTGTTCATCGAGTTCTGAA</t>
  </si>
  <si>
    <t xml:space="preserve">TGCGGGGAAAAATACCCCCA</t>
  </si>
  <si>
    <t xml:space="preserve">TAGTTGCGGGGAAAAATACCCCCA</t>
  </si>
  <si>
    <t xml:space="preserve">AAACTGGGGGTATTTTTCCCCGCA</t>
  </si>
  <si>
    <t xml:space="preserve">PST_3194</t>
  </si>
  <si>
    <t xml:space="preserve">CTCGGGGGTAAGCGAGTGCA</t>
  </si>
  <si>
    <t xml:space="preserve">TAGTCTCGGGGGTAAGCGAGTGCA</t>
  </si>
  <si>
    <t xml:space="preserve">AAACTGCACTCGCTTACCCCCGAG</t>
  </si>
  <si>
    <t xml:space="preserve">CATCGAAGCGAAGCGCGGTG</t>
  </si>
  <si>
    <t xml:space="preserve">TAGTCATCGAAGCGAAGCGCGGTG</t>
  </si>
  <si>
    <t xml:space="preserve">AAACCACCGCGCTTCGCTTCGATG</t>
  </si>
  <si>
    <t xml:space="preserve">TGCGCGCAGTGTGGCGGCCT</t>
  </si>
  <si>
    <t xml:space="preserve">TAGTTGCGCGCAGTGTGGCGGCCT</t>
  </si>
  <si>
    <t xml:space="preserve">AAACAGGCCGCCACACTGCGCGCA</t>
  </si>
  <si>
    <t xml:space="preserve">GAGGGCTTCCGGAGACTGGG</t>
  </si>
  <si>
    <t xml:space="preserve">TAGTGAGGGCTTCCGGAGACTGGG</t>
  </si>
  <si>
    <t xml:space="preserve">AAACCCCAGTCTCCGGAAGCCCTC</t>
  </si>
  <si>
    <t xml:space="preserve">PST_3195</t>
  </si>
  <si>
    <t xml:space="preserve">TGCCGCGGCTGTGGTTGTCG</t>
  </si>
  <si>
    <t xml:space="preserve">TAGTTGCCGCGGCTGTGGTTGTCG</t>
  </si>
  <si>
    <t xml:space="preserve">AAACCGACAACCACAGCCGCGGCA</t>
  </si>
  <si>
    <t xml:space="preserve">CATTTTCTCGGCCAGGAAGT</t>
  </si>
  <si>
    <t xml:space="preserve">TAGTCATTTTCTCGGCCAGGAAGT</t>
  </si>
  <si>
    <t xml:space="preserve">AAACACTTCCTGGCCGAGAAAATG</t>
  </si>
  <si>
    <t xml:space="preserve">CACAGAGAGTTGGCTGCCTG</t>
  </si>
  <si>
    <t xml:space="preserve">TAGTCACAGAGAGTTGGCTGCCTG</t>
  </si>
  <si>
    <t xml:space="preserve">AAACCAGGCAGCCAACTCTCTGTG</t>
  </si>
  <si>
    <t xml:space="preserve">GTAGGCATAGATGGTGAAGT</t>
  </si>
  <si>
    <t xml:space="preserve">TAGTGTAGGCATAGATGGTGAAGT</t>
  </si>
  <si>
    <t xml:space="preserve">AAACACTTCACCATCTATGCCTAC</t>
  </si>
  <si>
    <t xml:space="preserve">PST_3196</t>
  </si>
  <si>
    <t xml:space="preserve">GCTGATTGCCTGCTTCAGGT</t>
  </si>
  <si>
    <t xml:space="preserve">TAGTGCTGATTGCCTGCTTCAGGT</t>
  </si>
  <si>
    <t xml:space="preserve">AAACACCTGAAGCAGGCAATCAGC</t>
  </si>
  <si>
    <t xml:space="preserve">GGGGCTGGGTGGCAAATGCC</t>
  </si>
  <si>
    <t xml:space="preserve">TAGTGGGGCTGGGTGGCAAATGCC</t>
  </si>
  <si>
    <t xml:space="preserve">AAACGGCATTTGCCACCCAGCCCC</t>
  </si>
  <si>
    <t xml:space="preserve">TGATAGCCCCGCTTGGCGAA</t>
  </si>
  <si>
    <t xml:space="preserve">TAGTTGATAGCCCCGCTTGGCGAA</t>
  </si>
  <si>
    <t xml:space="preserve">AAACTTCGCCAAGCGGGGCTATCA</t>
  </si>
  <si>
    <t xml:space="preserve">TGGGGTTTCCATGGCGCGGT</t>
  </si>
  <si>
    <t xml:space="preserve">TAGTTGGGGTTTCCATGGCGCGGT</t>
  </si>
  <si>
    <t xml:space="preserve">AAACACCGCGCCATGGAAACCCCA</t>
  </si>
  <si>
    <t xml:space="preserve">PST_3197</t>
  </si>
  <si>
    <t xml:space="preserve">CCCGTCAGTGTCTTGATCAT</t>
  </si>
  <si>
    <t xml:space="preserve">TAGTCCCGTCAGTGTCTTGATCAT</t>
  </si>
  <si>
    <t xml:space="preserve">AAACATGATCAAGACACTGACGGG</t>
  </si>
  <si>
    <t xml:space="preserve">CAGAAGGTGCTGGCAAATTG</t>
  </si>
  <si>
    <t xml:space="preserve">TAGTCAGAAGGTGCTGGCAAATTG</t>
  </si>
  <si>
    <t xml:space="preserve">AAACCAATTTGCCAGCACCTTCTG</t>
  </si>
  <si>
    <t xml:space="preserve">AGGAGCCAGGCAAACTGCTC</t>
  </si>
  <si>
    <t xml:space="preserve">TAGTAGGAGCCAGGCAAACTGCTC</t>
  </si>
  <si>
    <t xml:space="preserve">AAACGAGCAGTTTGCCTGGCTCCT</t>
  </si>
  <si>
    <t xml:space="preserve">CAGCGGAAGCCCCGGCACCG</t>
  </si>
  <si>
    <t xml:space="preserve">TAGTCAGCGGAAGCCCCGGCACCG</t>
  </si>
  <si>
    <t xml:space="preserve">AAACCGGTGCCGGGGCTTCCGCTG</t>
  </si>
  <si>
    <t xml:space="preserve">PST_3198</t>
  </si>
  <si>
    <t xml:space="preserve">CGGCAGTTTCGACGTACCAT</t>
  </si>
  <si>
    <t xml:space="preserve">TAGTCGGCAGTTTCGACGTACCAT</t>
  </si>
  <si>
    <t xml:space="preserve">AAACATGGTACGTCGAAACTGCCG</t>
  </si>
  <si>
    <t xml:space="preserve">TCTTCCAGCAAAGAGAAGGG</t>
  </si>
  <si>
    <t xml:space="preserve">TAGTTCTTCCAGCAAAGAGAAGGG</t>
  </si>
  <si>
    <t xml:space="preserve">AAACCCCTTCTCTTTGCTGGAAGA</t>
  </si>
  <si>
    <t xml:space="preserve">TCCGTATTGAAGGTCAGCAG</t>
  </si>
  <si>
    <t xml:space="preserve">TAGTTCCGTATTGAAGGTCAGCAG</t>
  </si>
  <si>
    <t xml:space="preserve">AAACCTGCTGACCTTCAATACGGA</t>
  </si>
  <si>
    <t xml:space="preserve">TGCTGAACAATCCCCCGCAA</t>
  </si>
  <si>
    <t xml:space="preserve">TAGTTGCTGAACAATCCCCCGCAA</t>
  </si>
  <si>
    <t xml:space="preserve">AAACTTGCGGGGGATTGTTCAGCA</t>
  </si>
  <si>
    <t xml:space="preserve">PST_3199</t>
  </si>
  <si>
    <t xml:space="preserve">GCAAAGCTGCCGCAGGGTAT</t>
  </si>
  <si>
    <t xml:space="preserve">TAGTGCAAAGCTGCCGCAGGGTAT</t>
  </si>
  <si>
    <t xml:space="preserve">AAACATACCCTGCGGCAGCTTTGC</t>
  </si>
  <si>
    <t xml:space="preserve">GGCTGCCGTCGCGGTTGCGG</t>
  </si>
  <si>
    <t xml:space="preserve">TAGTGGCTGCCGTCGCGGTTGCGG</t>
  </si>
  <si>
    <t xml:space="preserve">AAACCCGCAACCGCGACGGCAGCC</t>
  </si>
  <si>
    <t xml:space="preserve">TGCGGTCGGCCTGTGTGTTG</t>
  </si>
  <si>
    <t xml:space="preserve">TAGTTGCGGTCGGCCTGTGTGTTG</t>
  </si>
  <si>
    <t xml:space="preserve">AAACCAACACACAGGCCGACCGCA</t>
  </si>
  <si>
    <t xml:space="preserve">TGCCTTCATCTGCCGAAAGC</t>
  </si>
  <si>
    <t xml:space="preserve">TAGTTGCCTTCATCTGCCGAAAGC</t>
  </si>
  <si>
    <t xml:space="preserve">AAACGCTTTCGGCAGATGAAGGCA</t>
  </si>
  <si>
    <t xml:space="preserve">PST_3203</t>
  </si>
  <si>
    <t xml:space="preserve">GCACCGAACGGGTGAGCACC</t>
  </si>
  <si>
    <t xml:space="preserve">TAGTGCACCGAACGGGTGAGCACC</t>
  </si>
  <si>
    <t xml:space="preserve">AAACGGTGCTCACCCGTTCGGTGC</t>
  </si>
  <si>
    <t xml:space="preserve">CCGCAGCGGAGCGCAGCCGC</t>
  </si>
  <si>
    <t xml:space="preserve">TAGTCCGCAGCGGAGCGCAGCCGC</t>
  </si>
  <si>
    <t xml:space="preserve">AAACGCGGCTGCGCTCCGCTGCGG</t>
  </si>
  <si>
    <t xml:space="preserve">GCGTAGTGGGGGTCAATGGC</t>
  </si>
  <si>
    <t xml:space="preserve">TAGTGCGTAGTGGGGGTCAATGGC</t>
  </si>
  <si>
    <t xml:space="preserve">AAACGCCATTGACCCCCACTACGC</t>
  </si>
  <si>
    <t xml:space="preserve">GGAGAAGCGGCTCGGCATTG</t>
  </si>
  <si>
    <t xml:space="preserve">TAGTGGAGAAGCGGCTCGGCATTG</t>
  </si>
  <si>
    <t xml:space="preserve">AAACCAATGCCGAGCCGCTTCTCC</t>
  </si>
  <si>
    <t xml:space="preserve">PST_3204</t>
  </si>
  <si>
    <t xml:space="preserve">GCTGCGGCCTGCACGTTTGC</t>
  </si>
  <si>
    <t xml:space="preserve">TAGTGCTGCGGCCTGCACGTTTGC</t>
  </si>
  <si>
    <t xml:space="preserve">AAACGCAAACGTGCAGGCCGCAGC</t>
  </si>
  <si>
    <t xml:space="preserve">AACACCGGATACACCGCCAG</t>
  </si>
  <si>
    <t xml:space="preserve">TAGTAACACCGGATACACCGCCAG</t>
  </si>
  <si>
    <t xml:space="preserve">AAACCTGGCGGTGTATCCGGTGTT</t>
  </si>
  <si>
    <t xml:space="preserve">GCCCCGCGTAGCCCAGCAGC</t>
  </si>
  <si>
    <t xml:space="preserve">TAGTGCCCCGCGTAGCCCAGCAGC</t>
  </si>
  <si>
    <t xml:space="preserve">AAACGCTGCTGGGCTACGCGGGGC</t>
  </si>
  <si>
    <t xml:space="preserve">CGGTGGCGAAGAACGCCGCA</t>
  </si>
  <si>
    <t xml:space="preserve">TAGTCGGTGGCGAAGAACGCCGCA</t>
  </si>
  <si>
    <t xml:space="preserve">AAACTGCGGCGTTCTTCGCCACCG</t>
  </si>
  <si>
    <t xml:space="preserve">PST_3205</t>
  </si>
  <si>
    <t xml:space="preserve">TACGCCGAATACGAGAGTCA</t>
  </si>
  <si>
    <t xml:space="preserve">TAGTTACGCCGAATACGAGAGTCA</t>
  </si>
  <si>
    <t xml:space="preserve">AAACTGACTCTCGTATTCGGCGTA</t>
  </si>
  <si>
    <t xml:space="preserve">TGCCCGAGCAGCACGCTCAG</t>
  </si>
  <si>
    <t xml:space="preserve">TAGTTGCCCGAGCAGCACGCTCAG</t>
  </si>
  <si>
    <t xml:space="preserve">AAACCTGAGCGTGCTGCTCGGGCA</t>
  </si>
  <si>
    <t xml:space="preserve">CGAAGTTGATGATGCGCAGC</t>
  </si>
  <si>
    <t xml:space="preserve">TAGTCGAAGTTGATGATGCGCAGC</t>
  </si>
  <si>
    <t xml:space="preserve">AAACGCTGCGCATCATCAACTTCG</t>
  </si>
  <si>
    <t xml:space="preserve">TAGCATGTACTGCGCACCAT</t>
  </si>
  <si>
    <t xml:space="preserve">TAGTTAGCATGTACTGCGCACCAT</t>
  </si>
  <si>
    <t xml:space="preserve">AAACATGGTGCGCAGTACATGCTA</t>
  </si>
  <si>
    <t xml:space="preserve">PST_3206</t>
  </si>
  <si>
    <t xml:space="preserve">GTCCGGCTTGTTCAGGTCGT</t>
  </si>
  <si>
    <t xml:space="preserve">TAGTGTCCGGCTTGTTCAGGTCGT</t>
  </si>
  <si>
    <t xml:space="preserve">AAACACGACCTGAACAAGCCGGAC</t>
  </si>
  <si>
    <t xml:space="preserve">GATCCACTGGCGCACGGTGT</t>
  </si>
  <si>
    <t xml:space="preserve">TAGTGATCCACTGGCGCACGGTGT</t>
  </si>
  <si>
    <t xml:space="preserve">AAACACACCGTGCGCCAGTGGATC</t>
  </si>
  <si>
    <t xml:space="preserve">CACGGAGCTGGCGACCATGC</t>
  </si>
  <si>
    <t xml:space="preserve">TAGTCACGGAGCTGGCGACCATGC</t>
  </si>
  <si>
    <t xml:space="preserve">AAACGCATGGTCGCCAGCTCCGTG</t>
  </si>
  <si>
    <t xml:space="preserve">GTTGGTGATGCTGGACGCCG</t>
  </si>
  <si>
    <t xml:space="preserve">TAGTGTTGGTGATGCTGGACGCCG</t>
  </si>
  <si>
    <t xml:space="preserve">AAACCGGCGTCCAGCATCACCAAC</t>
  </si>
  <si>
    <t xml:space="preserve">PST_3207</t>
  </si>
  <si>
    <t xml:space="preserve">GCTGATCGCGATCCATGGGT</t>
  </si>
  <si>
    <t xml:space="preserve">TAGTGCTGATCGCGATCCATGGGT</t>
  </si>
  <si>
    <t xml:space="preserve">AAACACCCATGGATCGCGATCAGC</t>
  </si>
  <si>
    <t xml:space="preserve">ACTCGCCGTAAAAGGCATGC</t>
  </si>
  <si>
    <t xml:space="preserve">TAGTACTCGCCGTAAAAGGCATGC</t>
  </si>
  <si>
    <t xml:space="preserve">AAACGCATGCCTTTTACGGCGAGT</t>
  </si>
  <si>
    <t xml:space="preserve">CCACCAGATCGACACCGTGA</t>
  </si>
  <si>
    <t xml:space="preserve">TAGTCCACCAGATCGACACCGTGA</t>
  </si>
  <si>
    <t xml:space="preserve">AAACTCACGGTGTCGATCTGGTGG</t>
  </si>
  <si>
    <t xml:space="preserve">CATGATCGCCCGCAGCGTGG</t>
  </si>
  <si>
    <t xml:space="preserve">TAGTCATGATCGCCCGCAGCGTGG</t>
  </si>
  <si>
    <t xml:space="preserve">AAACCCACGCTGCGGGCGATCATG</t>
  </si>
  <si>
    <t xml:space="preserve">PST_3208</t>
  </si>
  <si>
    <t xml:space="preserve">braF-2</t>
  </si>
  <si>
    <t xml:space="preserve">AGCACGAACTCTGGTTCCAT</t>
  </si>
  <si>
    <t xml:space="preserve">TAGTAGCACGAACTCTGGTTCCAT</t>
  </si>
  <si>
    <t xml:space="preserve">AAACATGGAACCAGAGTTCGTGCT</t>
  </si>
  <si>
    <t xml:space="preserve">AGCCGCGGAATTCCTTGGTC</t>
  </si>
  <si>
    <t xml:space="preserve">TAGTAGCCGCGGAATTCCTTGGTC</t>
  </si>
  <si>
    <t xml:space="preserve">AAACGACCAAGGAATTCCGCGGCT</t>
  </si>
  <si>
    <t xml:space="preserve">CAGATCGACGGAATCCACCG</t>
  </si>
  <si>
    <t xml:space="preserve">TAGTCAGATCGACGGAATCCACCG</t>
  </si>
  <si>
    <t xml:space="preserve">AAACCGGTGGATTCCGTCGATCTG</t>
  </si>
  <si>
    <t xml:space="preserve">GCGCATGGATGTGACCCTGA</t>
  </si>
  <si>
    <t xml:space="preserve">TAGTGCGCATGGATGTGACCCTGA</t>
  </si>
  <si>
    <t xml:space="preserve">AAACTCAGGGTCACATCCATGCGC</t>
  </si>
  <si>
    <t xml:space="preserve">PST_3209</t>
  </si>
  <si>
    <t xml:space="preserve">GACAGGACGGTTCGGCTTGC</t>
  </si>
  <si>
    <t xml:space="preserve">TAGTGACAGGACGGTTCGGCTTGC</t>
  </si>
  <si>
    <t xml:space="preserve">AAACGCAAGCCGAACCGTCCTGTC</t>
  </si>
  <si>
    <t xml:space="preserve">GGCGATGGCCGCGATGCTGG</t>
  </si>
  <si>
    <t xml:space="preserve">TAGTGGCGATGGCCGCGATGCTGG</t>
  </si>
  <si>
    <t xml:space="preserve">AAACCCAGCATCGCGGCCATCGCC</t>
  </si>
  <si>
    <t xml:space="preserve">GGCCACGTTCGATGCACCGA</t>
  </si>
  <si>
    <t xml:space="preserve">TAGTGGCCACGTTCGATGCACCGA</t>
  </si>
  <si>
    <t xml:space="preserve">AAACTCGGTGCATCGAACGTGGCC</t>
  </si>
  <si>
    <t xml:space="preserve">GTCTTCGATAAAGGCGGCCG</t>
  </si>
  <si>
    <t xml:space="preserve">TAGTGTCTTCGATAAAGGCGGCCG</t>
  </si>
  <si>
    <t xml:space="preserve">AAACCGGCCGCCTTTATCGAAGAC</t>
  </si>
  <si>
    <t xml:space="preserve">PST_3210</t>
  </si>
  <si>
    <t xml:space="preserve">CTGAGTAGTAGGCAGCGCCA</t>
  </si>
  <si>
    <t xml:space="preserve">TAGTCTGAGTAGTAGGCAGCGCCA</t>
  </si>
  <si>
    <t xml:space="preserve">AAACTGGCGCTGCCTACTACTCAG</t>
  </si>
  <si>
    <t xml:space="preserve">GGCTGTCGGGCAGCGGGAAA</t>
  </si>
  <si>
    <t xml:space="preserve">TAGTGGCTGTCGGGCAGCGGGAAA</t>
  </si>
  <si>
    <t xml:space="preserve">AAACTTTCCCGCTGCCCGACAGCC</t>
  </si>
  <si>
    <t xml:space="preserve">GGTCGGCAGGCAGCGAGTCG</t>
  </si>
  <si>
    <t xml:space="preserve">TAGTGGTCGGCAGGCAGCGAGTCG</t>
  </si>
  <si>
    <t xml:space="preserve">AAACCGACTCGCTGCCTGCCGACC</t>
  </si>
  <si>
    <t xml:space="preserve">CGGCGAGAATCCGTTCGCGC</t>
  </si>
  <si>
    <t xml:space="preserve">TAGTCGGCGAGAATCCGTTCGCGC</t>
  </si>
  <si>
    <t xml:space="preserve">AAACGCGCGAACGGATTCTCGCCG</t>
  </si>
  <si>
    <t xml:space="preserve">PST_3211</t>
  </si>
  <si>
    <t xml:space="preserve">TGCGGTCCGCAGGTATAGCT</t>
  </si>
  <si>
    <t xml:space="preserve">TAGTTGCGGTCCGCAGGTATAGCT</t>
  </si>
  <si>
    <t xml:space="preserve">AAACAGCTATACCTGCGGACCGCA</t>
  </si>
  <si>
    <t xml:space="preserve">CCGATGGTCATGGGCAACAG</t>
  </si>
  <si>
    <t xml:space="preserve">TAGTCCGATGGTCATGGGCAACAG</t>
  </si>
  <si>
    <t xml:space="preserve">AAACCTGTTGCCCATGACCATCGG</t>
  </si>
  <si>
    <t xml:space="preserve">GGGGGAAACGCTCCACGGTA</t>
  </si>
  <si>
    <t xml:space="preserve">TAGTGGGGGAAACGCTCCACGGTA</t>
  </si>
  <si>
    <t xml:space="preserve">AAACTACCGTGGAGCGTTTCCCCC</t>
  </si>
  <si>
    <t xml:space="preserve">TACCACCAGGGCCTCACGCT</t>
  </si>
  <si>
    <t xml:space="preserve">TAGTTACCACCAGGGCCTCACGCT</t>
  </si>
  <si>
    <t xml:space="preserve">AAACAGCGTGAGGCCCTGGTGGTA</t>
  </si>
  <si>
    <t xml:space="preserve">PST_3212</t>
  </si>
  <si>
    <t xml:space="preserve">ATTCCTCGTCGATGACAGGC</t>
  </si>
  <si>
    <t xml:space="preserve">TAGTATTCCTCGTCGATGACAGGC</t>
  </si>
  <si>
    <t xml:space="preserve">AAACGCCTGTCATCGACGAGGAAT</t>
  </si>
  <si>
    <t xml:space="preserve">GGCGAAGCCGATACGGGGCA</t>
  </si>
  <si>
    <t xml:space="preserve">TAGTGGCGAAGCCGATACGGGGCA</t>
  </si>
  <si>
    <t xml:space="preserve">AAACTGCCCCGTATCGGCTTCGCC</t>
  </si>
  <si>
    <t xml:space="preserve">TTGCGGATGGCGATACATGC</t>
  </si>
  <si>
    <t xml:space="preserve">TAGTTTGCGGATGGCGATACATGC</t>
  </si>
  <si>
    <t xml:space="preserve">AAACGCATGTATCGCCATCCGCAA</t>
  </si>
  <si>
    <t xml:space="preserve">GCTCCAGCTCCTTCAGCGAG</t>
  </si>
  <si>
    <t xml:space="preserve">TAGTGCTCCAGCTCCTTCAGCGAG</t>
  </si>
  <si>
    <t xml:space="preserve">AAACCTCGCTGAAGGAGCTGGAGC</t>
  </si>
  <si>
    <t xml:space="preserve">PST_3213</t>
  </si>
  <si>
    <t xml:space="preserve">TTGAGGCTGGAGTAGTTCAT</t>
  </si>
  <si>
    <t xml:space="preserve">TAGTTTGAGGCTGGAGTAGTTCAT</t>
  </si>
  <si>
    <t xml:space="preserve">AAACATGAACTACTCCAGCCTCAA</t>
  </si>
  <si>
    <t xml:space="preserve">CATGTCGATGGTTTCACCGA</t>
  </si>
  <si>
    <t xml:space="preserve">TAGTCATGTCGATGGTTTCACCGA</t>
  </si>
  <si>
    <t xml:space="preserve">AAACTCGGTGAAACCATCGACATG</t>
  </si>
  <si>
    <t xml:space="preserve">TGGTCGATGGCCTCGGCGCG</t>
  </si>
  <si>
    <t xml:space="preserve">TAGTTGGTCGATGGCCTCGGCGCG</t>
  </si>
  <si>
    <t xml:space="preserve">AAACCGCGCCGAGGCCATCGACCA</t>
  </si>
  <si>
    <t xml:space="preserve">CGGCCGGGAACAGGTTGTCC</t>
  </si>
  <si>
    <t xml:space="preserve">TAGTCGGCCGGGAACAGGTTGTCC</t>
  </si>
  <si>
    <t xml:space="preserve">AAACGGACAACCTGTTCCCGGCCG</t>
  </si>
  <si>
    <t xml:space="preserve">PST_3214</t>
  </si>
  <si>
    <t xml:space="preserve">CTGGGTGTGCAGGATGGCCA</t>
  </si>
  <si>
    <t xml:space="preserve">TAGTCTGGGTGTGCAGGATGGCCA</t>
  </si>
  <si>
    <t xml:space="preserve">AAACTGGCCATCCTGCACACCCAG</t>
  </si>
  <si>
    <t xml:space="preserve">GGCGGCGAACTCTGGCGAAC</t>
  </si>
  <si>
    <t xml:space="preserve">TAGTGGCGGCGAACTCTGGCGAAC</t>
  </si>
  <si>
    <t xml:space="preserve">AAACGTTCGCCAGAGTTCGCCGCC</t>
  </si>
  <si>
    <t xml:space="preserve">TTCGAGCATCGCCGCGCTGT</t>
  </si>
  <si>
    <t xml:space="preserve">TAGTTTCGAGCATCGCCGCGCTGT</t>
  </si>
  <si>
    <t xml:space="preserve">AAACACAGCGCGGCGATGCTCGAA</t>
  </si>
  <si>
    <t xml:space="preserve">CACGGCCGAGCAGGGCGCGC</t>
  </si>
  <si>
    <t xml:space="preserve">TAGTCACGGCCGAGCAGGGCGCGC</t>
  </si>
  <si>
    <t xml:space="preserve">AAACGCGCGCCCTGCTCGGCCGTG</t>
  </si>
  <si>
    <t xml:space="preserve">PST_3215</t>
  </si>
  <si>
    <t xml:space="preserve">CAGTTCGATGGTCTGGAAAT</t>
  </si>
  <si>
    <t xml:space="preserve">TAGTCAGTTCGATGGTCTGGAAAT</t>
  </si>
  <si>
    <t xml:space="preserve">AAACATTTCCAGACCATCGAACTG</t>
  </si>
  <si>
    <t xml:space="preserve">CGCGCGGTTGAGCCAGAGGG</t>
  </si>
  <si>
    <t xml:space="preserve">TAGTCGCGCGGTTGAGCCAGAGGG</t>
  </si>
  <si>
    <t xml:space="preserve">AAACCCCTCTGGCTCAACCGCGCG</t>
  </si>
  <si>
    <t xml:space="preserve">GCCGATCACCTGGGCGTCGA</t>
  </si>
  <si>
    <t xml:space="preserve">TAGTGCCGATCACCTGGGCGTCGA</t>
  </si>
  <si>
    <t xml:space="preserve">AAACTCGACGCCCAGGTGATCGGC</t>
  </si>
  <si>
    <t xml:space="preserve">GCCCGCATCGTCCTGCACCT</t>
  </si>
  <si>
    <t xml:space="preserve">TAGTGCCCGCATCGTCCTGCACCT</t>
  </si>
  <si>
    <t xml:space="preserve">AAACAGGTGCAGGACGATGCGGGC</t>
  </si>
  <si>
    <t xml:space="preserve">PST_3216</t>
  </si>
  <si>
    <t xml:space="preserve">CGACCAGCAGGGTATCGATA</t>
  </si>
  <si>
    <t xml:space="preserve">TAGTCGACCAGCAGGGTATCGATA</t>
  </si>
  <si>
    <t xml:space="preserve">AAACTATCGATACCCTGCTGGTCG</t>
  </si>
  <si>
    <t xml:space="preserve">GGCGGTGCGCATCACGCGGC</t>
  </si>
  <si>
    <t xml:space="preserve">TAGTGGCGGTGCGCATCACGCGGC</t>
  </si>
  <si>
    <t xml:space="preserve">AAACGCCGCGTGATGCGCACCGCC</t>
  </si>
  <si>
    <t xml:space="preserve">CGCAACGGTGGTCAGGCCCA</t>
  </si>
  <si>
    <t xml:space="preserve">TAGTCGCAACGGTGGTCAGGCCCA</t>
  </si>
  <si>
    <t xml:space="preserve">AAACTGGGCCTGACCACCGTTGCG</t>
  </si>
  <si>
    <t xml:space="preserve">ATGGCGCGCGCTGGCGTCGA</t>
  </si>
  <si>
    <t xml:space="preserve">TAGTATGGCGCGCGCTGGCGTCGA</t>
  </si>
  <si>
    <t xml:space="preserve">AAACTCGACGCCAGCGCGCGCCAT</t>
  </si>
  <si>
    <t xml:space="preserve">PST_3217</t>
  </si>
  <si>
    <t xml:space="preserve">CCAGCCGGACCTGTTTGGGC</t>
  </si>
  <si>
    <t xml:space="preserve">TAGTCCAGCCGGACCTGTTTGGGC</t>
  </si>
  <si>
    <t xml:space="preserve">AAACGCCCAAACAGGTCCGGCTGG</t>
  </si>
  <si>
    <t xml:space="preserve">CGTTCTGCAGACCATCACGC</t>
  </si>
  <si>
    <t xml:space="preserve">TAGTCGTTCTGCAGACCATCACGC</t>
  </si>
  <si>
    <t xml:space="preserve">AAACGCGTGATGGTCTGCAGAACG</t>
  </si>
  <si>
    <t xml:space="preserve">ACCTTGTCCGCCACGCTGAT</t>
  </si>
  <si>
    <t xml:space="preserve">TAGTACCTTGTCCGCCACGCTGAT</t>
  </si>
  <si>
    <t xml:space="preserve">AAACATCAGCGTGGCGGACAAGGT</t>
  </si>
  <si>
    <t xml:space="preserve">AGGACAGCCCGGCGGCGCTC</t>
  </si>
  <si>
    <t xml:space="preserve">TAGTAGGACAGCCCGGCGGCGCTC</t>
  </si>
  <si>
    <t xml:space="preserve">AAACGAGCGCCGCCGGGCTGTCCT</t>
  </si>
  <si>
    <t xml:space="preserve">PST_3218</t>
  </si>
  <si>
    <t xml:space="preserve">TCCAGGGCGTGGGCGGCGTT</t>
  </si>
  <si>
    <t xml:space="preserve">TAGTTCCAGGGCGTGGGCGGCGTT</t>
  </si>
  <si>
    <t xml:space="preserve">AAACAACGCCGCCCACGCCCTGGA</t>
  </si>
  <si>
    <t xml:space="preserve">GCCGAAGCCGCCGACGGCGA</t>
  </si>
  <si>
    <t xml:space="preserve">TAGTGCCGAAGCCGCCGACGGCGA</t>
  </si>
  <si>
    <t xml:space="preserve">AAACTCGCCGTCGGCGGCTTCGGC</t>
  </si>
  <si>
    <t xml:space="preserve">GCTGCTCGGGGATGCCGCAC</t>
  </si>
  <si>
    <t xml:space="preserve">TAGTGCTGCTCGGGGATGCCGCAC</t>
  </si>
  <si>
    <t xml:space="preserve">AAACGTGCGGCATCCCCGAGCAGC</t>
  </si>
  <si>
    <t xml:space="preserve">CGTTGTTGCTGATGGCAGTC</t>
  </si>
  <si>
    <t xml:space="preserve">TAGTCGTTGTTGCTGATGGCAGTC</t>
  </si>
  <si>
    <t xml:space="preserve">AAACGACTGCCATCAGCAACAACG</t>
  </si>
  <si>
    <t xml:space="preserve">PST_3219</t>
  </si>
  <si>
    <t xml:space="preserve">CTGTTCACGTGTCCAGGCCA</t>
  </si>
  <si>
    <t xml:space="preserve">TAGTCTGTTCACGTGTCCAGGCCA</t>
  </si>
  <si>
    <t xml:space="preserve">AAACTGGCCTGGACACGTGAACAG</t>
  </si>
  <si>
    <t xml:space="preserve">GCCGTCCTGCAGCTCCTGGG</t>
  </si>
  <si>
    <t xml:space="preserve">TAGTGCCGTCCTGCAGCTCCTGGG</t>
  </si>
  <si>
    <t xml:space="preserve">AAACCCCAGGAGCTGCAGGACGGC</t>
  </si>
  <si>
    <t xml:space="preserve">GGGTAGGCAGGCCGATACCG</t>
  </si>
  <si>
    <t xml:space="preserve">TAGTGGGTAGGCAGGCCGATACCG</t>
  </si>
  <si>
    <t xml:space="preserve">AAACCGGTATCGGCCTGCCTACCC</t>
  </si>
  <si>
    <t xml:space="preserve">CGGGATGTAGTTGGCGACCA</t>
  </si>
  <si>
    <t xml:space="preserve">TAGTCGGGATGTAGTTGGCGACCA</t>
  </si>
  <si>
    <t xml:space="preserve">AAACTGGTCGCCAACTACATCCCG</t>
  </si>
  <si>
    <t xml:space="preserve">PST_3220</t>
  </si>
  <si>
    <t xml:space="preserve">GCACATTGGCCAGCGAGCCC</t>
  </si>
  <si>
    <t xml:space="preserve">TAGTGCACATTGGCCAGCGAGCCC</t>
  </si>
  <si>
    <t xml:space="preserve">AAACGGGCTCGCTGGCCAATGTGC</t>
  </si>
  <si>
    <t xml:space="preserve">GTGGCGCCCAGTTCGACTGC</t>
  </si>
  <si>
    <t xml:space="preserve">TAGTGTGGCGCCCAGTTCGACTGC</t>
  </si>
  <si>
    <t xml:space="preserve">AAACGCAGTCGAACTGGGCGCCAC</t>
  </si>
  <si>
    <t xml:space="preserve">TTCCAGCAGAGCGCGGATCA</t>
  </si>
  <si>
    <t xml:space="preserve">TAGTTTCCAGCAGAGCGCGGATCA</t>
  </si>
  <si>
    <t xml:space="preserve">AAACTGATCCGCGCTCTGCTGGAA</t>
  </si>
  <si>
    <t xml:space="preserve">GACCTGAGTCGGGTCGATGC</t>
  </si>
  <si>
    <t xml:space="preserve">TAGTGACCTGAGTCGGGTCGATGC</t>
  </si>
  <si>
    <t xml:space="preserve">AAACGCATCGACCCGACTCAGGTC</t>
  </si>
  <si>
    <t xml:space="preserve">PST_3221</t>
  </si>
  <si>
    <t xml:space="preserve">GGCCAGGTCGGAAATGCTGT</t>
  </si>
  <si>
    <t xml:space="preserve">TAGTGGCCAGGTCGGAAATGCTGT</t>
  </si>
  <si>
    <t xml:space="preserve">AAACACAGCATTTCCGACCTGGCC</t>
  </si>
  <si>
    <t xml:space="preserve">GGTGGTGATGTCCAGCTCGT</t>
  </si>
  <si>
    <t xml:space="preserve">TAGTGGTGGTGATGTCCAGCTCGT</t>
  </si>
  <si>
    <t xml:space="preserve">AAACACGAGCTGGACATCACCACC</t>
  </si>
  <si>
    <t xml:space="preserve">TTCATAGAAACGGATGGCGC</t>
  </si>
  <si>
    <t xml:space="preserve">TAGTTTCATAGAAACGGATGGCGC</t>
  </si>
  <si>
    <t xml:space="preserve">AAACGCGCCATCCGTTTCTATGAA</t>
  </si>
  <si>
    <t xml:space="preserve">CGCTCCTGGCCGCGGCGGGT</t>
  </si>
  <si>
    <t xml:space="preserve">TAGTCGCTCCTGGCCGCGGCGGGT</t>
  </si>
  <si>
    <t xml:space="preserve">AAACACCCGCCGCGGCCAGGAGCG</t>
  </si>
  <si>
    <t xml:space="preserve">PST_3222</t>
  </si>
  <si>
    <t xml:space="preserve">GATACGGGAAAGCTTGTTCT</t>
  </si>
  <si>
    <t xml:space="preserve">TAGTGATACGGGAAAGCTTGTTCT</t>
  </si>
  <si>
    <t xml:space="preserve">AAACAGAACAAGCTTTCCCGTATC</t>
  </si>
  <si>
    <t xml:space="preserve">GGTGGTGGCACCGATGGCGC</t>
  </si>
  <si>
    <t xml:space="preserve">TAGTGGTGGTGGCACCGATGGCGC</t>
  </si>
  <si>
    <t xml:space="preserve">AAACGCGCCATCGGTGCCACCACC</t>
  </si>
  <si>
    <t xml:space="preserve">TGAGCAGGCTGGCGCCGAGC</t>
  </si>
  <si>
    <t xml:space="preserve">TAGTTGAGCAGGCTGGCGCCGAGC</t>
  </si>
  <si>
    <t xml:space="preserve">AAACGCTCGGCGCCAGCCTGCTCA</t>
  </si>
  <si>
    <t xml:space="preserve">GCGGATCTTCTCCGCGGCAC</t>
  </si>
  <si>
    <t xml:space="preserve">TAGTGCGGATCTTCTCCGCGGCAC</t>
  </si>
  <si>
    <t xml:space="preserve">AAACGTGCCGCGGAGAAGATCCGC</t>
  </si>
  <si>
    <t xml:space="preserve">PST_3223</t>
  </si>
  <si>
    <t xml:space="preserve">AGAGACGGGCTTGAAGGACA</t>
  </si>
  <si>
    <t xml:space="preserve">TAGTAGAGACGGGCTTGAAGGACA</t>
  </si>
  <si>
    <t xml:space="preserve">AAACTGTCCTTCAAGCCCGTCTCT</t>
  </si>
  <si>
    <t xml:space="preserve">GCGTCGGGCGCTGGCGCATC</t>
  </si>
  <si>
    <t xml:space="preserve">TAGTGCGTCGGGCGCTGGCGCATC</t>
  </si>
  <si>
    <t xml:space="preserve">AAACGATGCGCCAGCGCCCGACGC</t>
  </si>
  <si>
    <t xml:space="preserve">GGCCGCGAAATACGGTTGTA</t>
  </si>
  <si>
    <t xml:space="preserve">TAGTGGCCGCGAAATACGGTTGTA</t>
  </si>
  <si>
    <t xml:space="preserve">AAACTACAACCGTATTTCGCGGCC</t>
  </si>
  <si>
    <t xml:space="preserve">GCGACCAGCAGGCGGTCCAG</t>
  </si>
  <si>
    <t xml:space="preserve">TAGTGCGACCAGCAGGCGGTCCAG</t>
  </si>
  <si>
    <t xml:space="preserve">AAACCTGGACCGCCTGCTGGTCGC</t>
  </si>
  <si>
    <t xml:space="preserve">PST_3224</t>
  </si>
  <si>
    <t xml:space="preserve">TGGCGAACATGGCGATGACG</t>
  </si>
  <si>
    <t xml:space="preserve">TAGTTGGCGAACATGGCGATGACG</t>
  </si>
  <si>
    <t xml:space="preserve">AAACCGTCATCGCCATGTTCGCCA</t>
  </si>
  <si>
    <t xml:space="preserve">CAGCAGCAGGCCCATGAAGC</t>
  </si>
  <si>
    <t xml:space="preserve">TAGTCAGCAGCAGGCCCATGAAGC</t>
  </si>
  <si>
    <t xml:space="preserve">AAACGCTTCATGGGCCTGCTGCTG</t>
  </si>
  <si>
    <t xml:space="preserve">CGGCCAGCGACCAGGCGACC</t>
  </si>
  <si>
    <t xml:space="preserve">TAGTCGGCCAGCGACCAGGCGACC</t>
  </si>
  <si>
    <t xml:space="preserve">AAACGGTCGCCTGGTCGCTGGCCG</t>
  </si>
  <si>
    <t xml:space="preserve">CACCAGCACATAGCCGAGCA</t>
  </si>
  <si>
    <t xml:space="preserve">TAGTCACCAGCACATAGCCGAGCA</t>
  </si>
  <si>
    <t xml:space="preserve">AAACTGCTCGGCTATGTGCTGGTG</t>
  </si>
  <si>
    <t xml:space="preserve">PST_3225</t>
  </si>
  <si>
    <t xml:space="preserve">TGCGTCGCGGGCAATGCTCA</t>
  </si>
  <si>
    <t xml:space="preserve">TAGTTGCGTCGCGGGCAATGCTCA</t>
  </si>
  <si>
    <t xml:space="preserve">AAACTGAGCATTGCCCGCGACGCA</t>
  </si>
  <si>
    <t xml:space="preserve">CCGGGGATACGCCGACGATC</t>
  </si>
  <si>
    <t xml:space="preserve">TAGTCCGGGGATACGCCGACGATC</t>
  </si>
  <si>
    <t xml:space="preserve">AAACGATCGTCGGCGTATCCCCGG</t>
  </si>
  <si>
    <t xml:space="preserve">ACAGAGGCATGGCCACGGCA</t>
  </si>
  <si>
    <t xml:space="preserve">TAGTACAGAGGCATGGCCACGGCA</t>
  </si>
  <si>
    <t xml:space="preserve">AAACTGCCGTGGCCATGCCTCTGT</t>
  </si>
  <si>
    <t xml:space="preserve">TGCCCTCACACTGCGCGTTG</t>
  </si>
  <si>
    <t xml:space="preserve">TAGTTGCCCTCACACTGCGCGTTG</t>
  </si>
  <si>
    <t xml:space="preserve">AAACCAACGCGCAGTGTGAGGGCA</t>
  </si>
  <si>
    <t xml:space="preserve">PST_3226</t>
  </si>
  <si>
    <t xml:space="preserve">CCACGCCATGCAGCAGCTTG</t>
  </si>
  <si>
    <t xml:space="preserve">TAGTCCACGCCATGCAGCAGCTTG</t>
  </si>
  <si>
    <t xml:space="preserve">AAACCAAGCTGCTGCATGGCGTGG</t>
  </si>
  <si>
    <t xml:space="preserve">AAAGGCCGGCAGCCCCATGC</t>
  </si>
  <si>
    <t xml:space="preserve">TAGTAAAGGCCGGCAGCCCCATGC</t>
  </si>
  <si>
    <t xml:space="preserve">AAACGCATGGGGCTGCCGGCCTTT</t>
  </si>
  <si>
    <t xml:space="preserve">TTCGCCCAGGAACACGCCAT</t>
  </si>
  <si>
    <t xml:space="preserve">TAGTTTCGCCCAGGAACACGCCAT</t>
  </si>
  <si>
    <t xml:space="preserve">AAACATGGCGTGTTCCTGGGCGAA</t>
  </si>
  <si>
    <t xml:space="preserve">AGACCGACGATCACCAGCAG</t>
  </si>
  <si>
    <t xml:space="preserve">TAGTAGACCGACGATCACCAGCAG</t>
  </si>
  <si>
    <t xml:space="preserve">AAACCTGCTGGTGATCGTCGGTCT</t>
  </si>
  <si>
    <t xml:space="preserve">PST_3227</t>
  </si>
  <si>
    <t xml:space="preserve">CGCACAAGCGAGTTGCAGGA</t>
  </si>
  <si>
    <t xml:space="preserve">TAGTCGCACAAGCGAGTTGCAGGA</t>
  </si>
  <si>
    <t xml:space="preserve">AAACTCCTGCAACTCGCTTGTGCG</t>
  </si>
  <si>
    <t xml:space="preserve">GGCGAGGGAGGCCAGAGGCA</t>
  </si>
  <si>
    <t xml:space="preserve">TAGTGGCGAGGGAGGCCAGAGGCA</t>
  </si>
  <si>
    <t xml:space="preserve">AAACTGCCTCTGGCCTCCCTCGCC</t>
  </si>
  <si>
    <t xml:space="preserve">ACTGACTGGCCAGCAGCGCC</t>
  </si>
  <si>
    <t xml:space="preserve">TAGTACTGACTGGCCAGCAGCGCC</t>
  </si>
  <si>
    <t xml:space="preserve">AAACGGCGCTGCTGGCCAGTCAGT</t>
  </si>
  <si>
    <t xml:space="preserve">GGGGCAGGTCGCCGCCTGGG</t>
  </si>
  <si>
    <t xml:space="preserve">TAGTGGGGCAGGTCGCCGCCTGGG</t>
  </si>
  <si>
    <t xml:space="preserve">AAACCCCAGGCGGCGACCTGCCCC</t>
  </si>
  <si>
    <t xml:space="preserve">PST_3228</t>
  </si>
  <si>
    <t xml:space="preserve">GTGCTCGATTTGCCCGTCCT</t>
  </si>
  <si>
    <t xml:space="preserve">TAGTGTGCTCGATTTGCCCGTCCT</t>
  </si>
  <si>
    <t xml:space="preserve">AAACAGGACGGGCAAATCGAGCAC</t>
  </si>
  <si>
    <t xml:space="preserve">GCAGCGCATTTTGTTCGCGA</t>
  </si>
  <si>
    <t xml:space="preserve">TAGTGCAGCGCATTTTGTTCGCGA</t>
  </si>
  <si>
    <t xml:space="preserve">AAACTCGCGAACAAAATGCGCTGC</t>
  </si>
  <si>
    <t xml:space="preserve">ATTTACGGCCGAACAGGCGC</t>
  </si>
  <si>
    <t xml:space="preserve">TAGTATTTACGGCCGAACAGGCGC</t>
  </si>
  <si>
    <t xml:space="preserve">AAACGCGCCTGTTCGGCCGTAAAT</t>
  </si>
  <si>
    <t xml:space="preserve">GTCGGGATCGGGGCTCTGCT</t>
  </si>
  <si>
    <t xml:space="preserve">TAGTGTCGGGATCGGGGCTCTGCT</t>
  </si>
  <si>
    <t xml:space="preserve">AAACAGCAGAGCCCCGATCCCGAC</t>
  </si>
  <si>
    <t xml:space="preserve">PST_3229</t>
  </si>
  <si>
    <t xml:space="preserve">ACTTTTTCGACCTTGGCATC</t>
  </si>
  <si>
    <t xml:space="preserve">TAGTACTTTTTCGACCTTGGCATC</t>
  </si>
  <si>
    <t xml:space="preserve">AAACGATGCCAAGGTCGAAAAAGT</t>
  </si>
  <si>
    <t xml:space="preserve">AGTCCACGGGTTGGGGGTAG</t>
  </si>
  <si>
    <t xml:space="preserve">TAGTAGTCCACGGGTTGGGGGTAG</t>
  </si>
  <si>
    <t xml:space="preserve">AAACCTACCCCCAACCCGTGGACT</t>
  </si>
  <si>
    <t xml:space="preserve">GATATCCAGTTCGACCAGAG</t>
  </si>
  <si>
    <t xml:space="preserve">TAGTGATATCCAGTTCGACCAGAG</t>
  </si>
  <si>
    <t xml:space="preserve">AAACCTCTGGTCGAACTGGATATC</t>
  </si>
  <si>
    <t xml:space="preserve">GAACAGCACTGGGTCGAACA</t>
  </si>
  <si>
    <t xml:space="preserve">TAGTGAACAGCACTGGGTCGAACA</t>
  </si>
  <si>
    <t xml:space="preserve">AAACTGTTCGACCCAGTGCTGTTC</t>
  </si>
  <si>
    <t xml:space="preserve">PST_3230</t>
  </si>
  <si>
    <t xml:space="preserve">CACCAAAAGCTATATATCGC</t>
  </si>
  <si>
    <t xml:space="preserve">TAGTCACCAAAAGCTATATATCGC</t>
  </si>
  <si>
    <t xml:space="preserve">AAACGCGATATATAGCTTTTGGTG</t>
  </si>
  <si>
    <t xml:space="preserve">ACCCAAGATTCAATATTTAC</t>
  </si>
  <si>
    <t xml:space="preserve">TAGTACCCAAGATTCAATATTTAC</t>
  </si>
  <si>
    <t xml:space="preserve">AAACGTAAATATTGAATCTTGGGT</t>
  </si>
  <si>
    <t xml:space="preserve">GAACGCCGCAAATCCTAGCT</t>
  </si>
  <si>
    <t xml:space="preserve">TAGTGAACGCCGCAAATCCTAGCT</t>
  </si>
  <si>
    <t xml:space="preserve">AAACAGCTAGGATTTGCGGCGTTC</t>
  </si>
  <si>
    <t xml:space="preserve">GCATCCCGAGACTGATATTG</t>
  </si>
  <si>
    <t xml:space="preserve">TAGTGCATCCCGAGACTGATATTG</t>
  </si>
  <si>
    <t xml:space="preserve">AAACCAATATCAGTCTCGGGATGC</t>
  </si>
  <si>
    <t xml:space="preserve">PST_3231</t>
  </si>
  <si>
    <t xml:space="preserve">TTTATCTGAGTGACATTCCT</t>
  </si>
  <si>
    <t xml:space="preserve">TAGTTTTATCTGAGTGACATTCCT</t>
  </si>
  <si>
    <t xml:space="preserve">AAACAGGAATGTCACTCAGATAAA</t>
  </si>
  <si>
    <t xml:space="preserve">GCCAAGTATGGATGACTTAG</t>
  </si>
  <si>
    <t xml:space="preserve">TAGTGCCAAGTATGGATGACTTAG</t>
  </si>
  <si>
    <t xml:space="preserve">AAACCTAAGTCATCCATACTTGGC</t>
  </si>
  <si>
    <t xml:space="preserve">ACTTAAAGTCGTCACCAGTT</t>
  </si>
  <si>
    <t xml:space="preserve">TAGTACTTAAAGTCGTCACCAGTT</t>
  </si>
  <si>
    <t xml:space="preserve">AAACAACTGGTGACGACTTTAAGT</t>
  </si>
  <si>
    <t xml:space="preserve">GACAGCCGAAAATGATCACT</t>
  </si>
  <si>
    <t xml:space="preserve">TAGTGACAGCCGAAAATGATCACT</t>
  </si>
  <si>
    <t xml:space="preserve">AAACAGTGATCATTTTCGGCTGTC</t>
  </si>
  <si>
    <t xml:space="preserve">PST_3233</t>
  </si>
  <si>
    <t xml:space="preserve">CGGCGAATGCCGGGGCGTGA</t>
  </si>
  <si>
    <t xml:space="preserve">TAGTCGGCGAATGCCGGGGCGTGA</t>
  </si>
  <si>
    <t xml:space="preserve">AAACTCACGCCCCGGCATTCGCCG</t>
  </si>
  <si>
    <t xml:space="preserve">GAGCACAGCGATGAGCAGAC</t>
  </si>
  <si>
    <t xml:space="preserve">TAGTGAGCACAGCGATGAGCAGAC</t>
  </si>
  <si>
    <t xml:space="preserve">AAACGTCTGCTCATCGCTGTGCTC</t>
  </si>
  <si>
    <t xml:space="preserve">CGGCGGGATCTGGTCATAGA</t>
  </si>
  <si>
    <t xml:space="preserve">TAGTCGGCGGGATCTGGTCATAGA</t>
  </si>
  <si>
    <t xml:space="preserve">AAACTCTATGACCAGATCCCGCCG</t>
  </si>
  <si>
    <t xml:space="preserve">CGCCAGAAGGACAGGCTCAG</t>
  </si>
  <si>
    <t xml:space="preserve">TAGTCGCCAGAAGGACAGGCTCAG</t>
  </si>
  <si>
    <t xml:space="preserve">AAACCTGAGCCTGTCCTTCTGGCG</t>
  </si>
  <si>
    <t xml:space="preserve">PST_3234</t>
  </si>
  <si>
    <t xml:space="preserve">CGGGCGTTGTTCTCGAACAG</t>
  </si>
  <si>
    <t xml:space="preserve">TAGTCGGGCGTTGTTCTCGAACAG</t>
  </si>
  <si>
    <t xml:space="preserve">AAACCTGTTCGAGAACAACGCCCG</t>
  </si>
  <si>
    <t xml:space="preserve">CCTTGATGGCCTCGGCCCAG</t>
  </si>
  <si>
    <t xml:space="preserve">TAGTCCTTGATGGCCTCGGCCCAG</t>
  </si>
  <si>
    <t xml:space="preserve">AAACCTGGGCCGAGGCCATCAAGG</t>
  </si>
  <si>
    <t xml:space="preserve">ACAGTTTCTCGAAGAAGGTG</t>
  </si>
  <si>
    <t xml:space="preserve">TAGTACAGTTTCTCGAAGAAGGTG</t>
  </si>
  <si>
    <t xml:space="preserve">AAACCACCTTCTTCGAGAAACTGT</t>
  </si>
  <si>
    <t xml:space="preserve">CAGCCGATCCACAGGTATTC</t>
  </si>
  <si>
    <t xml:space="preserve">TAGTCAGCCGATCCACAGGTATTC</t>
  </si>
  <si>
    <t xml:space="preserve">AAACGAATACCTGTGGATCGGCTG</t>
  </si>
  <si>
    <t xml:space="preserve">PST_3235</t>
  </si>
  <si>
    <t xml:space="preserve">AACCACTACTAAACGGCTCA</t>
  </si>
  <si>
    <t xml:space="preserve">TAGTAACCACTACTAAACGGCTCA</t>
  </si>
  <si>
    <t xml:space="preserve">AAACTGAGCCGTTTAGTAGTGGTT</t>
  </si>
  <si>
    <t xml:space="preserve">TTTGATTGGCGCCACGCGGT</t>
  </si>
  <si>
    <t xml:space="preserve">TAGTTTTGATTGGCGCCACGCGGT</t>
  </si>
  <si>
    <t xml:space="preserve">AAACACCGCGTGGCGCCAATCAAA</t>
  </si>
  <si>
    <t xml:space="preserve">CCTCCGGCGGCTACCTTGCC</t>
  </si>
  <si>
    <t xml:space="preserve">TAGTCCTCCGGCGGCTACCTTGCC</t>
  </si>
  <si>
    <t xml:space="preserve">AAACGGCAAGGTAGCCGCCGGAGG</t>
  </si>
  <si>
    <t xml:space="preserve">CAGCGCATCGTAGACACCGA</t>
  </si>
  <si>
    <t xml:space="preserve">TAGTCAGCGCATCGTAGACACCGA</t>
  </si>
  <si>
    <t xml:space="preserve">AAACTCGGTGTCTACGATGCGCTG</t>
  </si>
  <si>
    <t xml:space="preserve">PST_3236</t>
  </si>
  <si>
    <t xml:space="preserve">GCCGAGGCTCTGGCGCGGGT</t>
  </si>
  <si>
    <t xml:space="preserve">TAGTGCCGAGGCTCTGGCGCGGGT</t>
  </si>
  <si>
    <t xml:space="preserve">AAACACCCGCGCCAGAGCCTCGGC</t>
  </si>
  <si>
    <t xml:space="preserve">TCCGTCGACATCGAAGAAGA</t>
  </si>
  <si>
    <t xml:space="preserve">TAGTTCCGTCGACATCGAAGAAGA</t>
  </si>
  <si>
    <t xml:space="preserve">AAACTCTTCTTCGATGTCGACGGA</t>
  </si>
  <si>
    <t xml:space="preserve">ATGAAGACGAGTTCCGGTCG</t>
  </si>
  <si>
    <t xml:space="preserve">TAGTATGAAGACGAGTTCCGGTCG</t>
  </si>
  <si>
    <t xml:space="preserve">AAACCGACCGGAACTCGTCTTCAT</t>
  </si>
  <si>
    <t xml:space="preserve">AGGGCCGCGAGGGTGACCGG</t>
  </si>
  <si>
    <t xml:space="preserve">TAGTAGGGCCGCGAGGGTGACCGG</t>
  </si>
  <si>
    <t xml:space="preserve">AAACCCGGTCACCCTCGCGGCCCT</t>
  </si>
  <si>
    <t xml:space="preserve">PST_3237</t>
  </si>
  <si>
    <t xml:space="preserve">TCGATTTCCGTTGGGGTGTA</t>
  </si>
  <si>
    <t xml:space="preserve">TAGTTCGATTTCCGTTGGGGTGTA</t>
  </si>
  <si>
    <t xml:space="preserve">AAACTACACCCCAACGGAAATCGA</t>
  </si>
  <si>
    <t xml:space="preserve">GATGGAGCCCATGCGGTCTT</t>
  </si>
  <si>
    <t xml:space="preserve">TAGTGATGGAGCCCATGCGGTCTT</t>
  </si>
  <si>
    <t xml:space="preserve">AAACAAGACCGCATGGGCTCCATC</t>
  </si>
  <si>
    <t xml:space="preserve">TGCGGCCCTTGCGCTCGTCA</t>
  </si>
  <si>
    <t xml:space="preserve">TAGTTGCGGCCCTTGCGCTCGTCA</t>
  </si>
  <si>
    <t xml:space="preserve">AAACTGACGAGCGCAAGGGCCGCA</t>
  </si>
  <si>
    <t xml:space="preserve">TTGTCGGCCACCTCTTCACC</t>
  </si>
  <si>
    <t xml:space="preserve">TAGTTTGTCGGCCACCTCTTCACC</t>
  </si>
  <si>
    <t xml:space="preserve">AAACGGTGAAGAGGTGGCCGACAA</t>
  </si>
  <si>
    <t xml:space="preserve">PST_3238</t>
  </si>
  <si>
    <t xml:space="preserve">rimI</t>
  </si>
  <si>
    <t xml:space="preserve">TATCCGCCGCGGTCATCGGG</t>
  </si>
  <si>
    <t xml:space="preserve">TAGTTATCCGCCGCGGTCATCGGG</t>
  </si>
  <si>
    <t xml:space="preserve">AAACCCCGATGACCGCGGCGGATA</t>
  </si>
  <si>
    <t xml:space="preserve">CGCGTACTCGATCTTCAGTA</t>
  </si>
  <si>
    <t xml:space="preserve">TAGTCGCGTACTCGATCTTCAGTA</t>
  </si>
  <si>
    <t xml:space="preserve">AAACTACTGAAGATCGAGTACGCG</t>
  </si>
  <si>
    <t xml:space="preserve">GCGCGTCCAGGGGTGGCTGA</t>
  </si>
  <si>
    <t xml:space="preserve">TAGTGCGCGTCCAGGGGTGGCTGA</t>
  </si>
  <si>
    <t xml:space="preserve">AAACTCAGCCACCCCTGGACGCGC</t>
  </si>
  <si>
    <t xml:space="preserve">GAACATCACCCAGCACTCGT</t>
  </si>
  <si>
    <t xml:space="preserve">TAGTGAACATCACCCAGCACTCGT</t>
  </si>
  <si>
    <t xml:space="preserve">AAACACGAGTGCTGGGTGATGTTC</t>
  </si>
  <si>
    <t xml:space="preserve">PST_3239</t>
  </si>
  <si>
    <t xml:space="preserve">CAGCCAGCTGGCCACCTGCA</t>
  </si>
  <si>
    <t xml:space="preserve">TAGTCAGCCAGCTGGCCACCTGCA</t>
  </si>
  <si>
    <t xml:space="preserve">AAACTGCAGGTGGCCAGCTGGCTG</t>
  </si>
  <si>
    <t xml:space="preserve">GCGAAAGGCAGTTCGGTACG</t>
  </si>
  <si>
    <t xml:space="preserve">TAGTGCGAAAGGCAGTTCGGTACG</t>
  </si>
  <si>
    <t xml:space="preserve">AAACCGTACCGAACTGCCTTTCGC</t>
  </si>
  <si>
    <t xml:space="preserve">GCGACCGGCAACAGCAGCTC</t>
  </si>
  <si>
    <t xml:space="preserve">TAGTGCGACCGGCAACAGCAGCTC</t>
  </si>
  <si>
    <t xml:space="preserve">AAACGAGCTGCTGTTGCCGGTCGC</t>
  </si>
  <si>
    <t xml:space="preserve">GGCAATGTCCGGCTCCGCTT</t>
  </si>
  <si>
    <t xml:space="preserve">TAGTGGCAATGTCCGGCTCCGCTT</t>
  </si>
  <si>
    <t xml:space="preserve">AAACAAGCGGAGCCGGACATTGCC</t>
  </si>
  <si>
    <t xml:space="preserve">PST_3240</t>
  </si>
  <si>
    <t xml:space="preserve">ACGCGATCGTTGCTGCTCAT</t>
  </si>
  <si>
    <t xml:space="preserve">TAGTACGCGATCGTTGCTGCTCAT</t>
  </si>
  <si>
    <t xml:space="preserve">AAACATGAGCAGCAACGATCGCGT</t>
  </si>
  <si>
    <t xml:space="preserve">GGCTCTGCTCGCCGTCGCGC</t>
  </si>
  <si>
    <t xml:space="preserve">TAGTGGCTCTGCTCGCCGTCGCGC</t>
  </si>
  <si>
    <t xml:space="preserve">AAACGCGCGACGGCGAGCAGAGCC</t>
  </si>
  <si>
    <t xml:space="preserve">CACCGGTCATGGACGCGCCG</t>
  </si>
  <si>
    <t xml:space="preserve">TAGTCACCGGTCATGGACGCGCCG</t>
  </si>
  <si>
    <t xml:space="preserve">AAACCGGCGCGTCCATGACCGGTG</t>
  </si>
  <si>
    <t xml:space="preserve">GAAGTCGCCGGGGCTGGCGA</t>
  </si>
  <si>
    <t xml:space="preserve">TAGTGAAGTCGCCGGGGCTGGCGA</t>
  </si>
  <si>
    <t xml:space="preserve">AAACTCGCCAGCCCCGGCGACTTC</t>
  </si>
  <si>
    <t xml:space="preserve">PST_3241</t>
  </si>
  <si>
    <t xml:space="preserve">GTTGTGCTGCGCGCACTTGT</t>
  </si>
  <si>
    <t xml:space="preserve">TAGTGTTGTGCTGCGCGCACTTGT</t>
  </si>
  <si>
    <t xml:space="preserve">AAACACAAGTGCGCGCAGCACAAC</t>
  </si>
  <si>
    <t xml:space="preserve">GTCGATGATGGCCTGGCATT</t>
  </si>
  <si>
    <t xml:space="preserve">TAGTGTCGATGATGGCCTGGCATT</t>
  </si>
  <si>
    <t xml:space="preserve">AAACAATGCCAGGCCATCATCGAC</t>
  </si>
  <si>
    <t xml:space="preserve">GCTTCAGCCCGCCCTTGGCC</t>
  </si>
  <si>
    <t xml:space="preserve">TAGTGCTTCAGCCCGCCCTTGGCC</t>
  </si>
  <si>
    <t xml:space="preserve">AAACGGCCAAGGGCGGGCTGAAGC</t>
  </si>
  <si>
    <t xml:space="preserve">GCATAGGCCTTGATCTCGCC</t>
  </si>
  <si>
    <t xml:space="preserve">TAGTGCATAGGCCTTGATCTCGCC</t>
  </si>
  <si>
    <t xml:space="preserve">AAACGGCGAGATCAAGGCCTATGC</t>
  </si>
  <si>
    <t xml:space="preserve">PST_3242</t>
  </si>
  <si>
    <t xml:space="preserve">nspC</t>
  </si>
  <si>
    <t xml:space="preserve">TGTTTGTCGATGAGGTAATA</t>
  </si>
  <si>
    <t xml:space="preserve">TAGTTGTTTGTCGATGAGGTAATA</t>
  </si>
  <si>
    <t xml:space="preserve">AAACTATTACCTCATCGACAAACA</t>
  </si>
  <si>
    <t xml:space="preserve">GCCGGACTGCTCACGCACGT</t>
  </si>
  <si>
    <t xml:space="preserve">TAGTGCCGGACTGCTCACGCACGT</t>
  </si>
  <si>
    <t xml:space="preserve">AAACACGTGCGTGAGCAGTCCGGC</t>
  </si>
  <si>
    <t xml:space="preserve">GAGGTCGAACACCGACCAGG</t>
  </si>
  <si>
    <t xml:space="preserve">TAGTGAGGTCGAACACCGACCAGG</t>
  </si>
  <si>
    <t xml:space="preserve">AAACCCTGGTCGGTGTTCGACCTC</t>
  </si>
  <si>
    <t xml:space="preserve">CTCGTACAGCGATGACGAGG</t>
  </si>
  <si>
    <t xml:space="preserve">TAGTCTCGTACAGCGATGACGAGG</t>
  </si>
  <si>
    <t xml:space="preserve">AAACCCTCGTCATCGCTGTACGAG</t>
  </si>
  <si>
    <t xml:space="preserve">PST_3243</t>
  </si>
  <si>
    <t xml:space="preserve">AAGCGCCGATTGTACTGCAT</t>
  </si>
  <si>
    <t xml:space="preserve">TAGTAAGCGCCGATTGTACTGCAT</t>
  </si>
  <si>
    <t xml:space="preserve">AAACATGCAGTACAATCGGCGCTT</t>
  </si>
  <si>
    <t xml:space="preserve">GCGCTTGGGTTCGATCATCG</t>
  </si>
  <si>
    <t xml:space="preserve">TAGTGCGCTTGGGTTCGATCATCG</t>
  </si>
  <si>
    <t xml:space="preserve">AAACCGATGATCGAACCCAAGCGC</t>
  </si>
  <si>
    <t xml:space="preserve">CAACGTCCAGTGTTCGGCGA</t>
  </si>
  <si>
    <t xml:space="preserve">TAGTCAACGTCCAGTGTTCGGCGA</t>
  </si>
  <si>
    <t xml:space="preserve">AAACTCGCCGAACACTGGACGTTG</t>
  </si>
  <si>
    <t xml:space="preserve">GCGTCGAAACGCTCGCACAG</t>
  </si>
  <si>
    <t xml:space="preserve">TAGTGCGTCGAAACGCTCGCACAG</t>
  </si>
  <si>
    <t xml:space="preserve">AAACCTGTGCGAGCGTTTCGACGC</t>
  </si>
  <si>
    <t xml:space="preserve">PST_3244</t>
  </si>
  <si>
    <t xml:space="preserve">GCGGAAGATCGGCGCCAGCT</t>
  </si>
  <si>
    <t xml:space="preserve">TAGTGCGGAAGATCGGCGCCAGCT</t>
  </si>
  <si>
    <t xml:space="preserve">AAACAGCTGGCGCCGATCTTCCGC</t>
  </si>
  <si>
    <t xml:space="preserve">GCTCCGGCTCGCTGCGCGAC</t>
  </si>
  <si>
    <t xml:space="preserve">TAGTGCTCCGGCTCGCTGCGCGAC</t>
  </si>
  <si>
    <t xml:space="preserve">AAACGTCGCGCAGCGAGCCGGAGC</t>
  </si>
  <si>
    <t xml:space="preserve">ATGTTCGACAGCTGCGCGTA</t>
  </si>
  <si>
    <t xml:space="preserve">TAGTATGTTCGACAGCTGCGCGTA</t>
  </si>
  <si>
    <t xml:space="preserve">AAACTACGCGCAGCTGTCGAACAT</t>
  </si>
  <si>
    <t xml:space="preserve">CCTTGAACAGTGCGCGGTAC</t>
  </si>
  <si>
    <t xml:space="preserve">TAGTCCTTGAACAGTGCGCGGTAC</t>
  </si>
  <si>
    <t xml:space="preserve">AAACGTACCGCGCACTGTTCAAGG</t>
  </si>
  <si>
    <t xml:space="preserve">PST_3245</t>
  </si>
  <si>
    <t xml:space="preserve">GGCGAATGCCGTAGCGTTCC</t>
  </si>
  <si>
    <t xml:space="preserve">TAGTGGCGAATGCCGTAGCGTTCC</t>
  </si>
  <si>
    <t xml:space="preserve">AAACGGAACGCTACGGCATTCGCC</t>
  </si>
  <si>
    <t xml:space="preserve">CGGTGTTCAGCAGGGCGAAG</t>
  </si>
  <si>
    <t xml:space="preserve">TAGTCGGTGTTCAGCAGGGCGAAG</t>
  </si>
  <si>
    <t xml:space="preserve">AAACCTTCGCCCTGCTGAACACCG</t>
  </si>
  <si>
    <t xml:space="preserve">GATGCCGAGGCTGTAGCCGG</t>
  </si>
  <si>
    <t xml:space="preserve">TAGTGATGCCGAGGCTGTAGCCGG</t>
  </si>
  <si>
    <t xml:space="preserve">AAACCCGGCTACAGCCTCGGCATC</t>
  </si>
  <si>
    <t xml:space="preserve">CCGACAACGGGTTTTCCAGC</t>
  </si>
  <si>
    <t xml:space="preserve">TAGTCCGACAACGGGTTTTCCAGC</t>
  </si>
  <si>
    <t xml:space="preserve">AAACGCTGGAAAACCCGTTGTCGG</t>
  </si>
  <si>
    <t xml:space="preserve">PST_3246</t>
  </si>
  <si>
    <t xml:space="preserve">GACGAGTATTAGCTTGTGGC</t>
  </si>
  <si>
    <t xml:space="preserve">TAGTGACGAGTATTAGCTTGTGGC</t>
  </si>
  <si>
    <t xml:space="preserve">AAACGCCACAAGCTAATACTCGTC</t>
  </si>
  <si>
    <t xml:space="preserve">ATGGCCGACCAGCTGGATGC</t>
  </si>
  <si>
    <t xml:space="preserve">TAGTATGGCCGACCAGCTGGATGC</t>
  </si>
  <si>
    <t xml:space="preserve">AAACGCATCCAGCTGGTCGGCCAT</t>
  </si>
  <si>
    <t xml:space="preserve">CCAATCGCCAGTGCGATCAA</t>
  </si>
  <si>
    <t xml:space="preserve">TAGTCCAATCGCCAGTGCGATCAA</t>
  </si>
  <si>
    <t xml:space="preserve">AAACTTGATCGCACTGGCGATTGG</t>
  </si>
  <si>
    <t xml:space="preserve">ACGTTCACTATAGGCTTCCC</t>
  </si>
  <si>
    <t xml:space="preserve">TAGTACGTTCACTATAGGCTTCCC</t>
  </si>
  <si>
    <t xml:space="preserve">AAACGGGAAGCCTATAGTGAACGT</t>
  </si>
  <si>
    <t xml:space="preserve">PST_3247</t>
  </si>
  <si>
    <t xml:space="preserve">CTCATGGCAAACCATCAGCC</t>
  </si>
  <si>
    <t xml:space="preserve">TAGTCTCATGGCAAACCATCAGCC</t>
  </si>
  <si>
    <t xml:space="preserve">AAACGGCTGATGGTTTGCCATGAG</t>
  </si>
  <si>
    <t xml:space="preserve">GCAGCGTTGATGACGCTGAC</t>
  </si>
  <si>
    <t xml:space="preserve">TAGTGCAGCGTTGATGACGCTGAC</t>
  </si>
  <si>
    <t xml:space="preserve">AAACGTCAGCGTCATCAACGCTGC</t>
  </si>
  <si>
    <t xml:space="preserve">TATGCACGCGTGCACCGCAG</t>
  </si>
  <si>
    <t xml:space="preserve">TAGTTATGCACGCGTGCACCGCAG</t>
  </si>
  <si>
    <t xml:space="preserve">AAACCTGCGGTGCACGCGTGCATA</t>
  </si>
  <si>
    <t xml:space="preserve">CAGGTTCGAACGATACTGTT</t>
  </si>
  <si>
    <t xml:space="preserve">TAGTCAGGTTCGAACGATACTGTT</t>
  </si>
  <si>
    <t xml:space="preserve">AAACAACAGTATCGTTCGAACCTG</t>
  </si>
  <si>
    <t xml:space="preserve">PST_3248</t>
  </si>
  <si>
    <t xml:space="preserve">GTAGCAGCCGATTCCGGCAT</t>
  </si>
  <si>
    <t xml:space="preserve">TAGTGTAGCAGCCGATTCCGGCAT</t>
  </si>
  <si>
    <t xml:space="preserve">AAACATGCCGGAATCGGCTGCTAC</t>
  </si>
  <si>
    <t xml:space="preserve">AGCGGGACCTCTTCAAGCAC</t>
  </si>
  <si>
    <t xml:space="preserve">TAGTAGCGGGACCTCTTCAAGCAC</t>
  </si>
  <si>
    <t xml:space="preserve">AAACGTGCTTGAAGAGGTCCCGCT</t>
  </si>
  <si>
    <t xml:space="preserve">CAAATCACATTCGGGGCACG</t>
  </si>
  <si>
    <t xml:space="preserve">TAGTCAAATCACATTCGGGGCACG</t>
  </si>
  <si>
    <t xml:space="preserve">AAACCGTGCCCCGAATGTGATTTG</t>
  </si>
  <si>
    <t xml:space="preserve">ACCTGGCCGAGGCTGAGCTC</t>
  </si>
  <si>
    <t xml:space="preserve">TAGTACCTGGCCGAGGCTGAGCTC</t>
  </si>
  <si>
    <t xml:space="preserve">AAACGAGCTCAGCCTCGGCCAGGT</t>
  </si>
  <si>
    <t xml:space="preserve">PST_3253</t>
  </si>
  <si>
    <t xml:space="preserve">ATACTGCAATCCGCCACAAT</t>
  </si>
  <si>
    <t xml:space="preserve">TAGTATACTGCAATCCGCCACAAT</t>
  </si>
  <si>
    <t xml:space="preserve">AAACATTGTGGCGGATTGCAGTAT</t>
  </si>
  <si>
    <t xml:space="preserve">GCTAAATACAGCCAATACAA</t>
  </si>
  <si>
    <t xml:space="preserve">TAGTGCTAAATACAGCCAATACAA</t>
  </si>
  <si>
    <t xml:space="preserve">AAACTTGTATTGGCTGTATTTAGC</t>
  </si>
  <si>
    <t xml:space="preserve">ACCAGTACTTTTCCAGGATC</t>
  </si>
  <si>
    <t xml:space="preserve">TAGTACCAGTACTTTTCCAGGATC</t>
  </si>
  <si>
    <t xml:space="preserve">AAACGATCCTGGAAAAGTACTGGT</t>
  </si>
  <si>
    <t xml:space="preserve">TGCAAAGCGTCAAAAGCAGC</t>
  </si>
  <si>
    <t xml:space="preserve">TAGTTGCAAAGCGTCAAAAGCAGC</t>
  </si>
  <si>
    <t xml:space="preserve">AAACGCTGCTTTTGACGCTTTGCA</t>
  </si>
  <si>
    <t xml:space="preserve">PST_3254</t>
  </si>
  <si>
    <t xml:space="preserve">GCGGCAATCTTGATAAGCAT</t>
  </si>
  <si>
    <t xml:space="preserve">TAGTGCGGCAATCTTGATAAGCAT</t>
  </si>
  <si>
    <t xml:space="preserve">AAACATGCTTATCAAGATTGCCGC</t>
  </si>
  <si>
    <t xml:space="preserve">TGATTCACGACACTGGCCAG</t>
  </si>
  <si>
    <t xml:space="preserve">TAGTTGATTCACGACACTGGCCAG</t>
  </si>
  <si>
    <t xml:space="preserve">AAACCTGGCCAGTGTCGTGAATCA</t>
  </si>
  <si>
    <t xml:space="preserve">CGACTGAAGTAAGCCGCCTC</t>
  </si>
  <si>
    <t xml:space="preserve">TAGTCGACTGAAGTAAGCCGCCTC</t>
  </si>
  <si>
    <t xml:space="preserve">AAACGAGGCGGCTTACTTCAGTCG</t>
  </si>
  <si>
    <t xml:space="preserve">CCGCTCCAACGAGCACCTGT</t>
  </si>
  <si>
    <t xml:space="preserve">TAGTCCGCTCCAACGAGCACCTGT</t>
  </si>
  <si>
    <t xml:space="preserve">AAACACAGGTGCTCGTTGGAGCGG</t>
  </si>
  <si>
    <t xml:space="preserve">PST_3255</t>
  </si>
  <si>
    <t xml:space="preserve">pssA</t>
  </si>
  <si>
    <t xml:space="preserve">ACTGGCTTGTTTGGCTCTTC</t>
  </si>
  <si>
    <t xml:space="preserve">TAGTACTGGCTTGTTTGGCTCTTC</t>
  </si>
  <si>
    <t xml:space="preserve">AAACGAAGAGCCAAACAAGCCAGT</t>
  </si>
  <si>
    <t xml:space="preserve">TCGATCGGCAGAATGCTCTC</t>
  </si>
  <si>
    <t xml:space="preserve">TAGTTCGATCGGCAGAATGCTCTC</t>
  </si>
  <si>
    <t xml:space="preserve">AAACGAGAGCATTCTGCCGATCGA</t>
  </si>
  <si>
    <t xml:space="preserve">CCTTGCGGCCGTCAGGCTCC</t>
  </si>
  <si>
    <t xml:space="preserve">TAGTCCTTGCGGCCGTCAGGCTCC</t>
  </si>
  <si>
    <t xml:space="preserve">AAACGGAGCCTGACGGCCGCAAGG</t>
  </si>
  <si>
    <t xml:space="preserve">GCAGCAGGTAAATGCCACGA</t>
  </si>
  <si>
    <t xml:space="preserve">TAGTGCAGCAGGTAAATGCCACGA</t>
  </si>
  <si>
    <t xml:space="preserve">AAACTCGTGGCATTTACCTGCTGC</t>
  </si>
  <si>
    <t xml:space="preserve">PST_3256</t>
  </si>
  <si>
    <t xml:space="preserve">ilvC</t>
  </si>
  <si>
    <t xml:space="preserve">TCTTGCCCTGAATGATGGAG</t>
  </si>
  <si>
    <t xml:space="preserve">TAGTTCTTGCCCTGAATGATGGAG</t>
  </si>
  <si>
    <t xml:space="preserve">AAACCTCCATCATTCAGGGCAAGA</t>
  </si>
  <si>
    <t xml:space="preserve">CTGGGAGCCGTAACCGATGA</t>
  </si>
  <si>
    <t xml:space="preserve">TAGTCTGGGAGCCGTAACCGATGA</t>
  </si>
  <si>
    <t xml:space="preserve">AAACTCATCGGTTACGGCTCCCAG</t>
  </si>
  <si>
    <t xml:space="preserve">CGTCGACGCCGGAATCCTTC</t>
  </si>
  <si>
    <t xml:space="preserve">TAGTCGTCGACGCCGGAATCCTTC</t>
  </si>
  <si>
    <t xml:space="preserve">AAACGAAGGATTCCGGCGTCGACG</t>
  </si>
  <si>
    <t xml:space="preserve">CGAGCCCGGACGCAGGCCGA</t>
  </si>
  <si>
    <t xml:space="preserve">TAGTCGAGCCCGGACGCAGGCCGA</t>
  </si>
  <si>
    <t xml:space="preserve">AAACTCGGCCTGCGTCCGGGCTCG</t>
  </si>
  <si>
    <t xml:space="preserve">PST_3257</t>
  </si>
  <si>
    <t xml:space="preserve">ilvH</t>
  </si>
  <si>
    <t xml:space="preserve">CGGTTCGTTTTCCATCAGCA</t>
  </si>
  <si>
    <t xml:space="preserve">TAGTCGGTTCGTTTTCCATCAGCA</t>
  </si>
  <si>
    <t xml:space="preserve">AAACTGCTGATGGAAAACGAACCG</t>
  </si>
  <si>
    <t xml:space="preserve">ACCACACGAGACAATGCACC</t>
  </si>
  <si>
    <t xml:space="preserve">TAGTACCACACGAGACAATGCACC</t>
  </si>
  <si>
    <t xml:space="preserve">AAACGGTGCATTGTCTCGTGTGGT</t>
  </si>
  <si>
    <t xml:space="preserve">TGTAGTTGCGTTGCGAAAAC</t>
  </si>
  <si>
    <t xml:space="preserve">TAGTTGTAGTTGCGTTGCGAAAAC</t>
  </si>
  <si>
    <t xml:space="preserve">AAACGTTTTCGCAACGCAACTACA</t>
  </si>
  <si>
    <t xml:space="preserve">CCTCGGTCGGCGCCACGGTG</t>
  </si>
  <si>
    <t xml:space="preserve">TAGTCCTCGGTCGGCGCCACGGTG</t>
  </si>
  <si>
    <t xml:space="preserve">AAACCACCGTGGCGCCGACCGAGG</t>
  </si>
  <si>
    <t xml:space="preserve">PST_3258</t>
  </si>
  <si>
    <t xml:space="preserve">ilvI</t>
  </si>
  <si>
    <t xml:space="preserve">CGCCTTCGTCACGCAGAGAA</t>
  </si>
  <si>
    <t xml:space="preserve">TAGTCGCCTTCGTCACGCAGAGAA</t>
  </si>
  <si>
    <t xml:space="preserve">AAACTTCTCTGCGTGACGAAGGCG</t>
  </si>
  <si>
    <t xml:space="preserve">TATGCAGAACGGCACCGCCC</t>
  </si>
  <si>
    <t xml:space="preserve">TAGTTATGCAGAACGGCACCGCCC</t>
  </si>
  <si>
    <t xml:space="preserve">AAACGGGCGGTGCCGTTCTGCATA</t>
  </si>
  <si>
    <t xml:space="preserve">ACGAACCAGGATATGTTCGA</t>
  </si>
  <si>
    <t xml:space="preserve">TAGTACGAACCAGGATATGTTCGA</t>
  </si>
  <si>
    <t xml:space="preserve">AAACTCGAACATATCCTGGTTCGT</t>
  </si>
  <si>
    <t xml:space="preserve">CGCATAGCCATCGGCCATGT</t>
  </si>
  <si>
    <t xml:space="preserve">TAGTCGCATAGCCATCGGCCATGT</t>
  </si>
  <si>
    <t xml:space="preserve">AAACACATGGCCGATGGCTATGCG</t>
  </si>
  <si>
    <t xml:space="preserve">PST_3259</t>
  </si>
  <si>
    <t xml:space="preserve">ACCTTCATCGGGTCGGAAAA</t>
  </si>
  <si>
    <t xml:space="preserve">TAGTACCTTCATCGGGTCGGAAAA</t>
  </si>
  <si>
    <t xml:space="preserve">AAACTTTTCCGACCCGATGAAGGT</t>
  </si>
  <si>
    <t xml:space="preserve">TGCCACAAAGGGCCAGCATC</t>
  </si>
  <si>
    <t xml:space="preserve">TAGTTGCCACAAAGGGCCAGCATC</t>
  </si>
  <si>
    <t xml:space="preserve">AAACGATGCTGGCCCTTTGTGGCA</t>
  </si>
  <si>
    <t xml:space="preserve">TTTGTACACCTGGGCCGCCA</t>
  </si>
  <si>
    <t xml:space="preserve">TAGTTTTGTACACCTGGGCCGCCA</t>
  </si>
  <si>
    <t xml:space="preserve">AAACTGGCGGCCCAGGTGTACAAA</t>
  </si>
  <si>
    <t xml:space="preserve">GCCAAAATGCGTGACGCCCT</t>
  </si>
  <si>
    <t xml:space="preserve">TAGTGCCAAAATGCGTGACGCCCT</t>
  </si>
  <si>
    <t xml:space="preserve">AAACAGGGCGTCACGCATTTTGGC</t>
  </si>
  <si>
    <t xml:space="preserve">PST_3260</t>
  </si>
  <si>
    <t xml:space="preserve">GCTGCGCAATCTCCGGCAGC</t>
  </si>
  <si>
    <t xml:space="preserve">TAGTGCTGCGCAATCTCCGGCAGC</t>
  </si>
  <si>
    <t xml:space="preserve">AAACGCTGCCGGAGATTGCGCAGC</t>
  </si>
  <si>
    <t xml:space="preserve">CTGGCCAGAGCCTCTGGCGC</t>
  </si>
  <si>
    <t xml:space="preserve">TAGTCTGGCCAGAGCCTCTGGCGC</t>
  </si>
  <si>
    <t xml:space="preserve">AAACGCGCCAGAGGCTCTGGCCAG</t>
  </si>
  <si>
    <t xml:space="preserve">CGCAGCGTGTCGACGCAGAA</t>
  </si>
  <si>
    <t xml:space="preserve">TAGTCGCAGCGTGTCGACGCAGAA</t>
  </si>
  <si>
    <t xml:space="preserve">AAACTTCTGCGTCGACACGCTGCG</t>
  </si>
  <si>
    <t xml:space="preserve">CGATGGCCTTCATCCGCGGC</t>
  </si>
  <si>
    <t xml:space="preserve">TAGTCGATGGCCTTCATCCGCGGC</t>
  </si>
  <si>
    <t xml:space="preserve">AAACGCCGCGGATGAAGGCCATCG</t>
  </si>
  <si>
    <t xml:space="preserve">PST_3261</t>
  </si>
  <si>
    <t xml:space="preserve">CGACGACGGGTATCGAACGA</t>
  </si>
  <si>
    <t xml:space="preserve">TAGTCGACGACGGGTATCGAACGA</t>
  </si>
  <si>
    <t xml:space="preserve">AAACTCGTTCGATACCCGTCGTCG</t>
  </si>
  <si>
    <t xml:space="preserve">TTCCTCGGAAACAGGCGCGC</t>
  </si>
  <si>
    <t xml:space="preserve">TAGTTTCCTCGGAAACAGGCGCGC</t>
  </si>
  <si>
    <t xml:space="preserve">AAACGCGCGCCTGTTTCCGAGGAA</t>
  </si>
  <si>
    <t xml:space="preserve">CACGCGATAGGCCTGCCGCG</t>
  </si>
  <si>
    <t xml:space="preserve">TAGTCACGCGATAGGCCTGCCGCG</t>
  </si>
  <si>
    <t xml:space="preserve">AAACCGCGGCAGGCCTATCGCGTG</t>
  </si>
  <si>
    <t xml:space="preserve">TGGGCCGCGGCCGTGGCAGC</t>
  </si>
  <si>
    <t xml:space="preserve">TAGTTGGGCCGCGGCCGTGGCAGC</t>
  </si>
  <si>
    <t xml:space="preserve">AAACGCTGCCACGGCCGCGGCCCA</t>
  </si>
  <si>
    <t xml:space="preserve">PST_3262</t>
  </si>
  <si>
    <t xml:space="preserve">mrcB</t>
  </si>
  <si>
    <t xml:space="preserve">GGGGGAGCGAGGTTTAGTCA</t>
  </si>
  <si>
    <t xml:space="preserve">TAGTGGGGGAGCGAGGTTTAGTCA</t>
  </si>
  <si>
    <t xml:space="preserve">AAACTGACTAAACCTCGCTCCCCC</t>
  </si>
  <si>
    <t xml:space="preserve">CGGCGCTTGGAGCGATTTCG</t>
  </si>
  <si>
    <t xml:space="preserve">TAGTCGGCGCTTGGAGCGATTTCG</t>
  </si>
  <si>
    <t xml:space="preserve">AAACCGAAATCGCTCCAAGCGCCG</t>
  </si>
  <si>
    <t xml:space="preserve">AGGGGCGAGCACCACTGGAG</t>
  </si>
  <si>
    <t xml:space="preserve">TAGTAGGGGCGAGCACCACTGGAG</t>
  </si>
  <si>
    <t xml:space="preserve">AAACCTCCAGTGGTGCTCGCCCCT</t>
  </si>
  <si>
    <t xml:space="preserve">CTTGACCGCCCAGCCCAACC</t>
  </si>
  <si>
    <t xml:space="preserve">TAGTCTTGACCGCCCAGCCCAACC</t>
  </si>
  <si>
    <t xml:space="preserve">AAACGGTTGGGCTGGGCGGTCAAG</t>
  </si>
  <si>
    <t xml:space="preserve">PST_3263</t>
  </si>
  <si>
    <t xml:space="preserve">CCACACAGTCGTAAAGTCGC</t>
  </si>
  <si>
    <t xml:space="preserve">TAGTCCACACAGTCGTAAAGTCGC</t>
  </si>
  <si>
    <t xml:space="preserve">AAACGCGACTTTACGACTGTGTGG</t>
  </si>
  <si>
    <t xml:space="preserve">CTTGTCGAAGTTCTTGAACG</t>
  </si>
  <si>
    <t xml:space="preserve">TAGTCTTGTCGAAGTTCTTGAACG</t>
  </si>
  <si>
    <t xml:space="preserve">AAACCGTTCAAGAACTTCGACAAG</t>
  </si>
  <si>
    <t xml:space="preserve">GGCGATCAGTGCTTGGCTCA</t>
  </si>
  <si>
    <t xml:space="preserve">TAGTGGCGATCAGTGCTTGGCTCA</t>
  </si>
  <si>
    <t xml:space="preserve">AAACTGAGCCAAGCACTGATCGCC</t>
  </si>
  <si>
    <t xml:space="preserve">CAGGGCAGGATTCTGCAGGG</t>
  </si>
  <si>
    <t xml:space="preserve">TAGTCAGGGCAGGATTCTGCAGGG</t>
  </si>
  <si>
    <t xml:space="preserve">AAACCCCTGCAGAATCCTGCCCTG</t>
  </si>
  <si>
    <t xml:space="preserve">PST_3264</t>
  </si>
  <si>
    <t xml:space="preserve">CGGGGTTCGCTGGCAGGCAT</t>
  </si>
  <si>
    <t xml:space="preserve">TAGTCGGGGTTCGCTGGCAGGCAT</t>
  </si>
  <si>
    <t xml:space="preserve">AAACATGCCTGCCAGCGAACCCCG</t>
  </si>
  <si>
    <t xml:space="preserve">TGTCTCCGGCTCGGGAGAGG</t>
  </si>
  <si>
    <t xml:space="preserve">TAGTTGTCTCCGGCTCGGGAGAGG</t>
  </si>
  <si>
    <t xml:space="preserve">AAACCCTCTCCCGAGCCGGAGACA</t>
  </si>
  <si>
    <t xml:space="preserve">GGCGTAGTCATCGGAGCGGC</t>
  </si>
  <si>
    <t xml:space="preserve">TAGTGGCGTAGTCATCGGAGCGGC</t>
  </si>
  <si>
    <t xml:space="preserve">AAACGCCGCTCCGATGACTACGCC</t>
  </si>
  <si>
    <t xml:space="preserve">TGGGTAGGTCGGGCGATAAC</t>
  </si>
  <si>
    <t xml:space="preserve">TAGTTGGGTAGGTCGGGCGATAAC</t>
  </si>
  <si>
    <t xml:space="preserve">AAACGTTATCGCCCGACCTACCCA</t>
  </si>
  <si>
    <t xml:space="preserve">PST_3265</t>
  </si>
  <si>
    <t xml:space="preserve">CGAAAGCAGTTCGTCGTGCA</t>
  </si>
  <si>
    <t xml:space="preserve">TAGTCGAAAGCAGTTCGTCGTGCA</t>
  </si>
  <si>
    <t xml:space="preserve">AAACTGCACGACGAACTGCTTTCG</t>
  </si>
  <si>
    <t xml:space="preserve">CCGAGGTCTTGCCGAGATTG</t>
  </si>
  <si>
    <t xml:space="preserve">TAGTCCGAGGTCTTGCCGAGATTG</t>
  </si>
  <si>
    <t xml:space="preserve">AAACCAATCTCGGCAAGACCTCGG</t>
  </si>
  <si>
    <t xml:space="preserve">GGCGCAGATCCGCAGCAGTG</t>
  </si>
  <si>
    <t xml:space="preserve">TAGTGGCGCAGATCCGCAGCAGTG</t>
  </si>
  <si>
    <t xml:space="preserve">AAACCACTGCTGCGGATCTGCGCC</t>
  </si>
  <si>
    <t xml:space="preserve">AGGAGCTCACCGCACCCAGT</t>
  </si>
  <si>
    <t xml:space="preserve">TAGTAGGAGCTCACCGCACCCAGT</t>
  </si>
  <si>
    <t xml:space="preserve">AAACACTGGGTGCGGTGAGCTCCT</t>
  </si>
  <si>
    <t xml:space="preserve">PST_3266</t>
  </si>
  <si>
    <t xml:space="preserve">GGCGCACAATAGGCCTGGTC</t>
  </si>
  <si>
    <t xml:space="preserve">TAGTGGCGCACAATAGGCCTGGTC</t>
  </si>
  <si>
    <t xml:space="preserve">AAACGACCAGGCCTATTGTGCGCC</t>
  </si>
  <si>
    <t xml:space="preserve">GACGATTGGCAGGGTCACGT</t>
  </si>
  <si>
    <t xml:space="preserve">TAGTGACGATTGGCAGGGTCACGT</t>
  </si>
  <si>
    <t xml:space="preserve">AAACACGTGACCCTGCCAATCGTC</t>
  </si>
  <si>
    <t xml:space="preserve">CGGTAATCCTTGAACGAAAC</t>
  </si>
  <si>
    <t xml:space="preserve">TAGTCGGTAATCCTTGAACGAAAC</t>
  </si>
  <si>
    <t xml:space="preserve">AAACGTTTCGTTCAAGGATTACCG</t>
  </si>
  <si>
    <t xml:space="preserve">CTCCCCGAGTAAATACATGT</t>
  </si>
  <si>
    <t xml:space="preserve">TAGTCTCCCCGAGTAAATACATGT</t>
  </si>
  <si>
    <t xml:space="preserve">AAACACATGTATTTACTCGGGGAG</t>
  </si>
  <si>
    <t xml:space="preserve">PST_3267</t>
  </si>
  <si>
    <t xml:space="preserve">CCCTGCCACTCGGGCAGCGG</t>
  </si>
  <si>
    <t xml:space="preserve">TAGTCCCTGCCACTCGGGCAGCGG</t>
  </si>
  <si>
    <t xml:space="preserve">AAACCCGCTGCCCGAGTGGCAGGG</t>
  </si>
  <si>
    <t xml:space="preserve">TCGGCGTGGTCCCGGCCTTC</t>
  </si>
  <si>
    <t xml:space="preserve">TAGTTCGGCGTGGTCCCGGCCTTC</t>
  </si>
  <si>
    <t xml:space="preserve">AAACGAAGGCCGGGACCACGCCGA</t>
  </si>
  <si>
    <t xml:space="preserve">CATAGCGCAGATCGACGATA</t>
  </si>
  <si>
    <t xml:space="preserve">TAGTCATAGCGCAGATCGACGATA</t>
  </si>
  <si>
    <t xml:space="preserve">AAACTATCGTCGATCTGCGCTATG</t>
  </si>
  <si>
    <t xml:space="preserve">CCTGGCGACGAGCTGAGCCG</t>
  </si>
  <si>
    <t xml:space="preserve">TAGTCCTGGCGACGAGCTGAGCCG</t>
  </si>
  <si>
    <t xml:space="preserve">AAACCGGCTCAGCTCGTCGCCAGG</t>
  </si>
  <si>
    <t xml:space="preserve">PST_3268</t>
  </si>
  <si>
    <t xml:space="preserve">AACCCCATCCAGCGCCGTGA</t>
  </si>
  <si>
    <t xml:space="preserve">TAGTAACCCCATCCAGCGCCGTGA</t>
  </si>
  <si>
    <t xml:space="preserve">AAACTCACGGCGCTGGATGGGGTT</t>
  </si>
  <si>
    <t xml:space="preserve">TGCTCTTGCCCGCTCCGTTC</t>
  </si>
  <si>
    <t xml:space="preserve">TAGTTGCTCTTGCCCGCTCCGTTC</t>
  </si>
  <si>
    <t xml:space="preserve">AAACGAACGGAGCGGGCAAGAGCA</t>
  </si>
  <si>
    <t xml:space="preserve">GCCGGACAGAGCCTCCAGCA</t>
  </si>
  <si>
    <t xml:space="preserve">TAGTGCCGGACAGAGCCTCCAGCA</t>
  </si>
  <si>
    <t xml:space="preserve">AAACTGCTGGAGGCTCTGTCCGGC</t>
  </si>
  <si>
    <t xml:space="preserve">CAGCATGACCTGCCCTCTGG</t>
  </si>
  <si>
    <t xml:space="preserve">TAGTCAGCATGACCTGCCCTCTGG</t>
  </si>
  <si>
    <t xml:space="preserve">AAACCCAGAGGGCAGGTCATGCTG</t>
  </si>
  <si>
    <t xml:space="preserve">PST_3269</t>
  </si>
  <si>
    <t xml:space="preserve">GGGATAATCCTGACTCATGG</t>
  </si>
  <si>
    <t xml:space="preserve">TAGTGGGATAATCCTGACTCATGG</t>
  </si>
  <si>
    <t xml:space="preserve">AAACCCATGAGTCAGGATTATCCC</t>
  </si>
  <si>
    <t xml:space="preserve">TGCACATCATCGAATGCTGC</t>
  </si>
  <si>
    <t xml:space="preserve">TAGTTGCACATCATCGAATGCTGC</t>
  </si>
  <si>
    <t xml:space="preserve">AAACGCAGCATTCGATGATGTGCA</t>
  </si>
  <si>
    <t xml:space="preserve">CCAGCCCGGCGAAGATTATC</t>
  </si>
  <si>
    <t xml:space="preserve">TAGTCCAGCCCGGCGAAGATTATC</t>
  </si>
  <si>
    <t xml:space="preserve">AAACGATAATCTTCGCCGGGCTGG</t>
  </si>
  <si>
    <t xml:space="preserve">AGAATAAGAGCACGCTGCTG</t>
  </si>
  <si>
    <t xml:space="preserve">TAGTAGAATAAGAGCACGCTGCTG</t>
  </si>
  <si>
    <t xml:space="preserve">AAACCAGCAGCGTGCTCTTATTCT</t>
  </si>
  <si>
    <t xml:space="preserve">PST_3270</t>
  </si>
  <si>
    <t xml:space="preserve">GCTTTGCCCTTCGAGCAACT</t>
  </si>
  <si>
    <t xml:space="preserve">TAGTGCTTTGCCCTTCGAGCAACT</t>
  </si>
  <si>
    <t xml:space="preserve">AAACAGTTGCTCGAAGGGCAAAGC</t>
  </si>
  <si>
    <t xml:space="preserve">GATCACTTTCAACTCGCCGA</t>
  </si>
  <si>
    <t xml:space="preserve">TAGTGATCACTTTCAACTCGCCGA</t>
  </si>
  <si>
    <t xml:space="preserve">AAACTCGGCGAGTTGAAAGTGATC</t>
  </si>
  <si>
    <t xml:space="preserve">TGGCCGGCCCTCCCGGCGAA</t>
  </si>
  <si>
    <t xml:space="preserve">TAGTTGGCCGGCCCTCCCGGCGAA</t>
  </si>
  <si>
    <t xml:space="preserve">AAACTTCGCCGGGAGGGCCGGCCA</t>
  </si>
  <si>
    <t xml:space="preserve">CAGCGGTTTTCGTACAGATA</t>
  </si>
  <si>
    <t xml:space="preserve">TAGTCAGCGGTTTTCGTACAGATA</t>
  </si>
  <si>
    <t xml:space="preserve">AAACTATCTGTACGAAAACCGCTG</t>
  </si>
  <si>
    <t xml:space="preserve">PST_3271</t>
  </si>
  <si>
    <t xml:space="preserve">ATCTCACGGTAAAGCTGTGC</t>
  </si>
  <si>
    <t xml:space="preserve">TAGTATCTCACGGTAAAGCTGTGC</t>
  </si>
  <si>
    <t xml:space="preserve">AAACGCACAGCTTTACCGTGAGAT</t>
  </si>
  <si>
    <t xml:space="preserve">CAGGCTCAGGAGGCGAAGCA</t>
  </si>
  <si>
    <t xml:space="preserve">TAGTCAGGCTCAGGAGGCGAAGCA</t>
  </si>
  <si>
    <t xml:space="preserve">AAACTGCTTCGCCTCCTGAGCCTG</t>
  </si>
  <si>
    <t xml:space="preserve">TGGCGGGGAGCACGAATAGC</t>
  </si>
  <si>
    <t xml:space="preserve">TAGTTGGCGGGGAGCACGAATAGC</t>
  </si>
  <si>
    <t xml:space="preserve">AAACGCTATTCGTGCTCCCCGCCA</t>
  </si>
  <si>
    <t xml:space="preserve">GTTGTCGAACAGGCCGGCGT</t>
  </si>
  <si>
    <t xml:space="preserve">TAGTGTTGTCGAACAGGCCGGCGT</t>
  </si>
  <si>
    <t xml:space="preserve">AAACACGCCGGCCTGTTCGACAAC</t>
  </si>
  <si>
    <t xml:space="preserve">PST_3272</t>
  </si>
  <si>
    <t xml:space="preserve">aroQ</t>
  </si>
  <si>
    <t xml:space="preserve">AGGACCAGTAGGGTGGCCAT</t>
  </si>
  <si>
    <t xml:space="preserve">TAGTAGGACCAGTAGGGTGGCCAT</t>
  </si>
  <si>
    <t xml:space="preserve">AAACATGGCCACCCTACTGGTCCT</t>
  </si>
  <si>
    <t xml:space="preserve">GATTGAGATTGGGGCCGTGC</t>
  </si>
  <si>
    <t xml:space="preserve">TAGTGATTGAGATTGGGGCCGTGC</t>
  </si>
  <si>
    <t xml:space="preserve">AAACGCACGGCCCCAATCTCAATC</t>
  </si>
  <si>
    <t xml:space="preserve">GCCATAGACACCGGGCTCGC</t>
  </si>
  <si>
    <t xml:space="preserve">TAGTGCCATAGACACCGGGCTCGC</t>
  </si>
  <si>
    <t xml:space="preserve">AAACGCGAGCCCGGTGTCTATGGC</t>
  </si>
  <si>
    <t xml:space="preserve">CAGATGATGGCCCGCGGCAC</t>
  </si>
  <si>
    <t xml:space="preserve">TAGTCAGATGATGGCCCGCGGCAC</t>
  </si>
  <si>
    <t xml:space="preserve">AAACGTGCCGCGGGCCATCATCTG</t>
  </si>
  <si>
    <t xml:space="preserve">PST_3273</t>
  </si>
  <si>
    <t xml:space="preserve">accB</t>
  </si>
  <si>
    <t xml:space="preserve">GATTTCCAGTTCGTCGATAC</t>
  </si>
  <si>
    <t xml:space="preserve">TAGTGATTTCCAGTTCGTCGATAC</t>
  </si>
  <si>
    <t xml:space="preserve">AAACGTATCGACGAACTGGAAATC</t>
  </si>
  <si>
    <t xml:space="preserve">GTACCGACTCTTCACCCTCG</t>
  </si>
  <si>
    <t xml:space="preserve">TAGTGTACCGACTCTTCACCCTCG</t>
  </si>
  <si>
    <t xml:space="preserve">AAACCGAGGGTGAAGAGTCGGTAC</t>
  </si>
  <si>
    <t xml:space="preserve">TCGCGACCTGCTTGCTGTGA</t>
  </si>
  <si>
    <t xml:space="preserve">TAGTTCGCGACCTGCTTGCTGTGA</t>
  </si>
  <si>
    <t xml:space="preserve">AAACTCACAGCAAGCAGGTCGCGA</t>
  </si>
  <si>
    <t xml:space="preserve">GCCGGAGCCTGTGCGTAGAT</t>
  </si>
  <si>
    <t xml:space="preserve">TAGTGCCGGAGCCTGTGCGTAGAT</t>
  </si>
  <si>
    <t xml:space="preserve">AAACATCTACGCACAGGCTCCGGC</t>
  </si>
  <si>
    <t xml:space="preserve">PST_3274</t>
  </si>
  <si>
    <t xml:space="preserve">accC</t>
  </si>
  <si>
    <t xml:space="preserve">CACGAAGGGCGATCTCGCCG</t>
  </si>
  <si>
    <t xml:space="preserve">TAGTCACGAAGGGCGATCTCGCCG</t>
  </si>
  <si>
    <t xml:space="preserve">AAACCGGCGAGATCGCCCTTCGTG</t>
  </si>
  <si>
    <t xml:space="preserve">CCAGTTCCTTGCAGGCGCGC</t>
  </si>
  <si>
    <t xml:space="preserve">TAGTCCAGTTCCTTGCAGGCGCGC</t>
  </si>
  <si>
    <t xml:space="preserve">AAACGCGCGCCTGCAAGGAACTGG</t>
  </si>
  <si>
    <t xml:space="preserve">GGCAGTGGAGTGCACCGCCA</t>
  </si>
  <si>
    <t xml:space="preserve">TAGTGGCAGTGGAGTGCACCGCCA</t>
  </si>
  <si>
    <t xml:space="preserve">AAACTGGCGGTGCACTCCACTGCC</t>
  </si>
  <si>
    <t xml:space="preserve">CACATGCATCAGGTCACGGT</t>
  </si>
  <si>
    <t xml:space="preserve">TAGTCACATGCATCAGGTCACGGT</t>
  </si>
  <si>
    <t xml:space="preserve">AAACACCGTGACCTGATGCATGTG</t>
  </si>
  <si>
    <t xml:space="preserve">PST_3275</t>
  </si>
  <si>
    <t xml:space="preserve">prmA</t>
  </si>
  <si>
    <t xml:space="preserve">AGCGGGTGCGGCGGCCAGCG</t>
  </si>
  <si>
    <t xml:space="preserve">TAGTAGCGGGTGCGGCGGCCAGCG</t>
  </si>
  <si>
    <t xml:space="preserve">AAACCGCTGGCCGCCGCACCCGCT</t>
  </si>
  <si>
    <t xml:space="preserve">CGGAAAGCGGGCAAGCTTAC</t>
  </si>
  <si>
    <t xml:space="preserve">TAGTCGGAAAGCGGGCAAGCTTAC</t>
  </si>
  <si>
    <t xml:space="preserve">AAACGTAAGCTTGCCCGCTTTCCG</t>
  </si>
  <si>
    <t xml:space="preserve">AGGCCTCTCGAGTTGGGTCG</t>
  </si>
  <si>
    <t xml:space="preserve">TAGTAGGCCTCTCGAGTTGGGTCG</t>
  </si>
  <si>
    <t xml:space="preserve">AAACCGACCCAACTCGAGAGGCCT</t>
  </si>
  <si>
    <t xml:space="preserve">GATCTGCAGCCAGGACATGA</t>
  </si>
  <si>
    <t xml:space="preserve">TAGTGATCTGCAGCCAGGACATGA</t>
  </si>
  <si>
    <t xml:space="preserve">AAACTCATGTCCTGGCTGCAGATC</t>
  </si>
  <si>
    <t xml:space="preserve">PST_3276</t>
  </si>
  <si>
    <t xml:space="preserve">GGGGCACTGGGTGATGAAGC</t>
  </si>
  <si>
    <t xml:space="preserve">TAGTGGGGCACTGGGTGATGAAGC</t>
  </si>
  <si>
    <t xml:space="preserve">AAACGCTTCATCACCCAGTGCCCC</t>
  </si>
  <si>
    <t xml:space="preserve">CGAAAGCGGGTGCTGCAGTT</t>
  </si>
  <si>
    <t xml:space="preserve">TAGTCGAAAGCGGGTGCTGCAGTT</t>
  </si>
  <si>
    <t xml:space="preserve">AAACAACTGCAGCACCCGCTTTCG</t>
  </si>
  <si>
    <t xml:space="preserve">GGGCCGCGCGGAGCTGGCTG</t>
  </si>
  <si>
    <t xml:space="preserve">TAGTGGGCCGCGCGGAGCTGGCTG</t>
  </si>
  <si>
    <t xml:space="preserve">AAACCAGCCAGCTCCGCGCGGCCC</t>
  </si>
  <si>
    <t xml:space="preserve">GCCGCAGCGCACTGCTCCAT</t>
  </si>
  <si>
    <t xml:space="preserve">TAGTGCCGCAGCGCACTGCTCCAT</t>
  </si>
  <si>
    <t xml:space="preserve">AAACATGGAGCAGTGCGCTGCGGC</t>
  </si>
  <si>
    <t xml:space="preserve">PST_3277</t>
  </si>
  <si>
    <t xml:space="preserve">ACCGATTCGTCAAGGTGTAG</t>
  </si>
  <si>
    <t xml:space="preserve">TAGTACCGATTCGTCAAGGTGTAG</t>
  </si>
  <si>
    <t xml:space="preserve">AAACCTACACCTTGACGAATCGGT</t>
  </si>
  <si>
    <t xml:space="preserve">TGATCGGTCACGCCCGCCAT</t>
  </si>
  <si>
    <t xml:space="preserve">TAGTTGATCGGTCACGCCCGCCAT</t>
  </si>
  <si>
    <t xml:space="preserve">AAACATGGCGGGCGTGACCGATCA</t>
  </si>
  <si>
    <t xml:space="preserve">CGGCGGCACAACTGGCGGAA</t>
  </si>
  <si>
    <t xml:space="preserve">TAGTCGGCGGCACAACTGGCGGAA</t>
  </si>
  <si>
    <t xml:space="preserve">AAACTTCCGCCAGTTGTGCCGCCG</t>
  </si>
  <si>
    <t xml:space="preserve">CCTCCAGGGCCGCGCCGAAG</t>
  </si>
  <si>
    <t xml:space="preserve">TAGTCCTCCAGGGCCGCGCCGAAG</t>
  </si>
  <si>
    <t xml:space="preserve">AAACCTTCGGCGCGGCCCTGGAGG</t>
  </si>
  <si>
    <t xml:space="preserve">PST_3278</t>
  </si>
  <si>
    <t xml:space="preserve">fis</t>
  </si>
  <si>
    <t xml:space="preserve">GAGGTTCACGTTGTCACTCA</t>
  </si>
  <si>
    <t xml:space="preserve">TAGTGAGGTTCACGTTGTCACTCA</t>
  </si>
  <si>
    <t xml:space="preserve">AAACTGAGTGACAACGTGAACCTC</t>
  </si>
  <si>
    <t xml:space="preserve">CTGCTTCGCTCGGCGTGTTC</t>
  </si>
  <si>
    <t xml:space="preserve">TAGTCTGCTTCGCTCGGCGTGTTC</t>
  </si>
  <si>
    <t xml:space="preserve">AAACGAACACGCCGAGCGAAGCAG</t>
  </si>
  <si>
    <t xml:space="preserve">GACGTCGGCACCTTCGAGAC</t>
  </si>
  <si>
    <t xml:space="preserve">TAGTGACGTCGGCACCTTCGAGAC</t>
  </si>
  <si>
    <t xml:space="preserve">AAACGTCTCGAAGGTGCCGACGTC</t>
  </si>
  <si>
    <t xml:space="preserve">CCTCCACTTCGGAGAGCACG</t>
  </si>
  <si>
    <t xml:space="preserve">TAGTCCTCCACTTCGGAGAGCACG</t>
  </si>
  <si>
    <t xml:space="preserve">AAACCGTGCTCTCCGAAGTGGAGG</t>
  </si>
  <si>
    <t xml:space="preserve">PST_3279</t>
  </si>
  <si>
    <t xml:space="preserve">purH</t>
  </si>
  <si>
    <t xml:space="preserve">GGGAAGGCGGGTGGTTTGGT</t>
  </si>
  <si>
    <t xml:space="preserve">TAGTGGGAAGGCGGGTGGTTTGGT</t>
  </si>
  <si>
    <t xml:space="preserve">AAACACCAAACCACCCGCCTTCCC</t>
  </si>
  <si>
    <t xml:space="preserve">CTGATCAGCGCGCGGCGCAC</t>
  </si>
  <si>
    <t xml:space="preserve">TAGTCTGATCAGCGCGCGGCGCAC</t>
  </si>
  <si>
    <t xml:space="preserve">AAACGTGCGCCGCGCGCTGATCAG</t>
  </si>
  <si>
    <t xml:space="preserve">GTCGACGACGCCGGTCTTGT</t>
  </si>
  <si>
    <t xml:space="preserve">TAGTGTCGACGACGCCGGTCTTGT</t>
  </si>
  <si>
    <t xml:space="preserve">AAACACAAGACCGGCGTCGTCGAC</t>
  </si>
  <si>
    <t xml:space="preserve">GCCAAGGGCTTCGAGTTCAC</t>
  </si>
  <si>
    <t xml:space="preserve">TAGTGCCAAGGGCTTCGAGTTCAC</t>
  </si>
  <si>
    <t xml:space="preserve">AAACGTGAACTCGAAGCCCTTGGC</t>
  </si>
  <si>
    <t xml:space="preserve">PST_3280</t>
  </si>
  <si>
    <t xml:space="preserve">purD</t>
  </si>
  <si>
    <t xml:space="preserve">TCCAGGCCAGGGCATGCTCG</t>
  </si>
  <si>
    <t xml:space="preserve">TAGTTCCAGGCCAGGGCATGCTCG</t>
  </si>
  <si>
    <t xml:space="preserve">AAACCGAGCATGCCCTGGCCTGGA</t>
  </si>
  <si>
    <t xml:space="preserve">CGTATACTTTGGCAACGCGT</t>
  </si>
  <si>
    <t xml:space="preserve">TAGTCGTATACTTTGGCAACGCGT</t>
  </si>
  <si>
    <t xml:space="preserve">AAACACGCGTTGCCAAAGTATACG</t>
  </si>
  <si>
    <t xml:space="preserve">GGCGGTGCCTGCGTTGCCGG</t>
  </si>
  <si>
    <t xml:space="preserve">TAGTGGCGGTGCCTGCGTTGCCGG</t>
  </si>
  <si>
    <t xml:space="preserve">AAACCCGGCAACGCAGGCACCGCC</t>
  </si>
  <si>
    <t xml:space="preserve">GTTCTCGCACTTGGCTTCAG</t>
  </si>
  <si>
    <t xml:space="preserve">TAGTGTTCTCGCACTTGGCTTCAG</t>
  </si>
  <si>
    <t xml:space="preserve">AAACCTGAAGCCAAGTGCGAGAAC</t>
  </si>
  <si>
    <t xml:space="preserve">PST_3281</t>
  </si>
  <si>
    <t xml:space="preserve">TCCGTTCATGAGTGTGACGG</t>
  </si>
  <si>
    <t xml:space="preserve">TAGTTCCGTTCATGAGTGTGACGG</t>
  </si>
  <si>
    <t xml:space="preserve">AAACCCGTCACACTCATGAACGGA</t>
  </si>
  <si>
    <t xml:space="preserve">AGATGACAGCTATGGCAATC</t>
  </si>
  <si>
    <t xml:space="preserve">TAGTAGATGACAGCTATGGCAATC</t>
  </si>
  <si>
    <t xml:space="preserve">AAACGATTGCCATAGCTGTCATCT</t>
  </si>
  <si>
    <t xml:space="preserve">CCTGGGCCGACAGCGGGATC</t>
  </si>
  <si>
    <t xml:space="preserve">TAGTCCTGGGCCGACAGCGGGATC</t>
  </si>
  <si>
    <t xml:space="preserve">AAACGATCCCGCTGTCGGCCCAGG</t>
  </si>
  <si>
    <t xml:space="preserve">GGGGGCCGGCGAAGGGGCAA</t>
  </si>
  <si>
    <t xml:space="preserve">TAGTGGGGGCCGGCGAAGGGGCAA</t>
  </si>
  <si>
    <t xml:space="preserve">AAACTTGCCCCTTCGCCGGCCCCC</t>
  </si>
  <si>
    <t xml:space="preserve">PST_3282</t>
  </si>
  <si>
    <t xml:space="preserve">CTCTCCAGATGATCATCGCG</t>
  </si>
  <si>
    <t xml:space="preserve">TAGTCTCTCCAGATGATCATCGCG</t>
  </si>
  <si>
    <t xml:space="preserve">AAACCGCGATGATCATCTGGAGAG</t>
  </si>
  <si>
    <t xml:space="preserve">TGGCAGCGATCGCGGATGAA</t>
  </si>
  <si>
    <t xml:space="preserve">TAGTTGGCAGCGATCGCGGATGAA</t>
  </si>
  <si>
    <t xml:space="preserve">AAACTTCATCCGCGATCGCTGCCA</t>
  </si>
  <si>
    <t xml:space="preserve">AAACATTGCTGTGCAGGCGC</t>
  </si>
  <si>
    <t xml:space="preserve">TAGTAAACATTGCTGTGCAGGCGC</t>
  </si>
  <si>
    <t xml:space="preserve">AAACGCGCCTGCACAGCAATGTTT</t>
  </si>
  <si>
    <t xml:space="preserve">CTGCTCCCCGCTCAGGCAGA</t>
  </si>
  <si>
    <t xml:space="preserve">TAGTCTGCTCCCCGCTCAGGCAGA</t>
  </si>
  <si>
    <t xml:space="preserve">AAACTCTGCCTGAGCGGGGAGCAG</t>
  </si>
  <si>
    <t xml:space="preserve">PST_3283</t>
  </si>
  <si>
    <t xml:space="preserve">ACATCGCTCTTCTTCATCAT</t>
  </si>
  <si>
    <t xml:space="preserve">TAGTACATCGCTCTTCTTCATCAT</t>
  </si>
  <si>
    <t xml:space="preserve">AAACATGATGAAGAAGAGCGATGT</t>
  </si>
  <si>
    <t xml:space="preserve">CGAGACCCCAACGAGGGTCC</t>
  </si>
  <si>
    <t xml:space="preserve">TAGTCGAGACCCCAACGAGGGTCC</t>
  </si>
  <si>
    <t xml:space="preserve">AAACGGACCCTCGTTGGGGTCTCG</t>
  </si>
  <si>
    <t xml:space="preserve">CTCGTGGTACAGCAAGTAGC</t>
  </si>
  <si>
    <t xml:space="preserve">TAGTCTCGTGGTACAGCAAGTAGC</t>
  </si>
  <si>
    <t xml:space="preserve">AAACGCTACTTGCTGTACCACGAG</t>
  </si>
  <si>
    <t xml:space="preserve">TCGCAGGCTGTCGGCCAGCT</t>
  </si>
  <si>
    <t xml:space="preserve">TAGTTCGCAGGCTGTCGGCCAGCT</t>
  </si>
  <si>
    <t xml:space="preserve">AAACAGCTGGCCGACAGCCTGCGA</t>
  </si>
  <si>
    <t xml:space="preserve">PST_3284</t>
  </si>
  <si>
    <t xml:space="preserve">GGCGCGGGTATGGGCAGTTT</t>
  </si>
  <si>
    <t xml:space="preserve">TAGTGGCGCGGGTATGGGCAGTTT</t>
  </si>
  <si>
    <t xml:space="preserve">AAACAAACTGCCCATACCCGCGCC</t>
  </si>
  <si>
    <t xml:space="preserve">CAGCGGGCGCGGTTTATGTT</t>
  </si>
  <si>
    <t xml:space="preserve">TAGTCAGCGGGCGCGGTTTATGTT</t>
  </si>
  <si>
    <t xml:space="preserve">AAACAACATAAACCGCGCCCGCTG</t>
  </si>
  <si>
    <t xml:space="preserve">GGATCAGGATACTGACGGCC</t>
  </si>
  <si>
    <t xml:space="preserve">TAGTGGATCAGGATACTGACGGCC</t>
  </si>
  <si>
    <t xml:space="preserve">AAACGGCCGTCAGTATCCTGATCC</t>
  </si>
  <si>
    <t xml:space="preserve">GTTTCATCAGGATCAGCGAG</t>
  </si>
  <si>
    <t xml:space="preserve">TAGTGTTTCATCAGGATCAGCGAG</t>
  </si>
  <si>
    <t xml:space="preserve">AAACCTCGCTGATCCTGATGAAAC</t>
  </si>
  <si>
    <t xml:space="preserve">PST_3285</t>
  </si>
  <si>
    <t xml:space="preserve">TGATCAGACCGAAGATCGGC</t>
  </si>
  <si>
    <t xml:space="preserve">TAGTTGATCAGACCGAAGATCGGC</t>
  </si>
  <si>
    <t xml:space="preserve">AAACGCCGATCTTCGGTCTGATCA</t>
  </si>
  <si>
    <t xml:space="preserve">CAGCCCGGCAGCACCTTCAT</t>
  </si>
  <si>
    <t xml:space="preserve">TAGTCAGCCCGGCAGCACCTTCAT</t>
  </si>
  <si>
    <t xml:space="preserve">AAACATGAAGGTGCTGCCGGGCTG</t>
  </si>
  <si>
    <t xml:space="preserve">GAACAGCTTGAAGGTGACGC</t>
  </si>
  <si>
    <t xml:space="preserve">TAGTGAACAGCTTGAAGGTGACGC</t>
  </si>
  <si>
    <t xml:space="preserve">AAACGCGTCACCTTCAAGCTGTTC</t>
  </si>
  <si>
    <t xml:space="preserve">ATACCGGTGAACAACACCGC</t>
  </si>
  <si>
    <t xml:space="preserve">TAGTATACCGGTGAACAACACCGC</t>
  </si>
  <si>
    <t xml:space="preserve">AAACGCGGTGTTGTTCACCGGTAT</t>
  </si>
  <si>
    <t xml:space="preserve">PST_3286</t>
  </si>
  <si>
    <t xml:space="preserve">GGCCACCAGCACCGCAAACG</t>
  </si>
  <si>
    <t xml:space="preserve">TAGTGGCCACCAGCACCGCAAACG</t>
  </si>
  <si>
    <t xml:space="preserve">AAACCGTTTGCGGTGCTGGTGGCC</t>
  </si>
  <si>
    <t xml:space="preserve">CCACCAGCTCACGACCAACT</t>
  </si>
  <si>
    <t xml:space="preserve">TAGTCCACCAGCTCACGACCAACT</t>
  </si>
  <si>
    <t xml:space="preserve">AAACAGTTGGTCGTGAGCTGGTGG</t>
  </si>
  <si>
    <t xml:space="preserve">TGTCCAGCTGTGCCCGCGCC</t>
  </si>
  <si>
    <t xml:space="preserve">TAGTTGTCCAGCTGTGCCCGCGCC</t>
  </si>
  <si>
    <t xml:space="preserve">AAACGGCGCGGGCACAGCTGGACA</t>
  </si>
  <si>
    <t xml:space="preserve">GTCGGCCACTTGCTCAGGCT</t>
  </si>
  <si>
    <t xml:space="preserve">TAGTGTCGGCCACTTGCTCAGGCT</t>
  </si>
  <si>
    <t xml:space="preserve">AAACAGCCTGAGCAAGTGGCCGAC</t>
  </si>
  <si>
    <t xml:space="preserve">PST_3287</t>
  </si>
  <si>
    <t xml:space="preserve">sfsA</t>
  </si>
  <si>
    <t xml:space="preserve">TCGAGCCGGTGTTGGGACAG</t>
  </si>
  <si>
    <t xml:space="preserve">TAGTTCGAGCCGGTGTTGGGACAG</t>
  </si>
  <si>
    <t xml:space="preserve">AAACCTGTCCCAACACCGGCTCGA</t>
  </si>
  <si>
    <t xml:space="preserve">GTCGAGGATCGCTGCTGCGC</t>
  </si>
  <si>
    <t xml:space="preserve">TAGTGTCGAGGATCGCTGCTGCGC</t>
  </si>
  <si>
    <t xml:space="preserve">AAACGCGCAGCAGCGATCCTCGAC</t>
  </si>
  <si>
    <t xml:space="preserve">TCCACCAGCTCCCAGGTGCC</t>
  </si>
  <si>
    <t xml:space="preserve">TAGTTCCACCAGCTCCCAGGTGCC</t>
  </si>
  <si>
    <t xml:space="preserve">AAACGGCACCTGGGAGCTGGTGGA</t>
  </si>
  <si>
    <t xml:space="preserve">ACGCAGGCCAATCGCCCCTG</t>
  </si>
  <si>
    <t xml:space="preserve">TAGTACGCAGGCCAATCGCCCCTG</t>
  </si>
  <si>
    <t xml:space="preserve">AAACCAGGGGCGATTGGCCTGCGT</t>
  </si>
  <si>
    <t xml:space="preserve">PST_3288</t>
  </si>
  <si>
    <t xml:space="preserve">CAAAACGTGAATTCTACCCA</t>
  </si>
  <si>
    <t xml:space="preserve">TAGTCAAAACGTGAATTCTACCCA</t>
  </si>
  <si>
    <t xml:space="preserve">AAACTGGGTAGAATTCACGTTTTG</t>
  </si>
  <si>
    <t xml:space="preserve">ACTGCGTGCGCTGTACGACG</t>
  </si>
  <si>
    <t xml:space="preserve">TAGTACTGCGTGCGCTGTACGACG</t>
  </si>
  <si>
    <t xml:space="preserve">AAACCGTCGTACAGCGCACGCAGT</t>
  </si>
  <si>
    <t xml:space="preserve">AACAGCGCCATGACGTGGAA</t>
  </si>
  <si>
    <t xml:space="preserve">TAGTAACAGCGCCATGACGTGGAA</t>
  </si>
  <si>
    <t xml:space="preserve">AAACTTCCACGTCATGGCGCTGTT</t>
  </si>
  <si>
    <t xml:space="preserve">GCCTTGAACTTGGAGCTGAT</t>
  </si>
  <si>
    <t xml:space="preserve">TAGTGCCTTGAACTTGGAGCTGAT</t>
  </si>
  <si>
    <t xml:space="preserve">AAACATCAGCTCCAAGTTCAAGGC</t>
  </si>
  <si>
    <t xml:space="preserve">PST_3289</t>
  </si>
  <si>
    <t xml:space="preserve">dksA</t>
  </si>
  <si>
    <t xml:space="preserve">TGTTTCTTTGGTAATGGGCA</t>
  </si>
  <si>
    <t xml:space="preserve">TAGTTGTTTCTTTGGTAATGGGCA</t>
  </si>
  <si>
    <t xml:space="preserve">AAACTGCCCATTACCAAAGAAACA</t>
  </si>
  <si>
    <t xml:space="preserve">CGAATCAGTTGCTTGCTCGA</t>
  </si>
  <si>
    <t xml:space="preserve">TAGTCGAATCAGTTGCTTGCTCGA</t>
  </si>
  <si>
    <t xml:space="preserve">AAACTCGAGCAAGCAACTGATTCG</t>
  </si>
  <si>
    <t xml:space="preserve">GCTTTCCTTGTAGGGCTCGA</t>
  </si>
  <si>
    <t xml:space="preserve">TAGTGCTTTCCTTGTAGGGCTCGA</t>
  </si>
  <si>
    <t xml:space="preserve">AAACTCGAGCCCTACAAGGAAAGC</t>
  </si>
  <si>
    <t xml:space="preserve">CGCTCATGTATTCCTCGCCC</t>
  </si>
  <si>
    <t xml:space="preserve">TAGTCGCTCATGTATTCCTCGCCC</t>
  </si>
  <si>
    <t xml:space="preserve">AAACGGGCGAGGAATACATGAGCG</t>
  </si>
  <si>
    <t xml:space="preserve">PST_3290</t>
  </si>
  <si>
    <t xml:space="preserve">GGGCGGGGCGGAGGAGGACA</t>
  </si>
  <si>
    <t xml:space="preserve">TAGTGGGCGGGGCGGAGGAGGACA</t>
  </si>
  <si>
    <t xml:space="preserve">AAACTGTCCTCCTCCGCCCCGCCC</t>
  </si>
  <si>
    <t xml:space="preserve">CCGATGTAGCGTGCGGGCTG</t>
  </si>
  <si>
    <t xml:space="preserve">TAGTCCGATGTAGCGTGCGGGCTG</t>
  </si>
  <si>
    <t xml:space="preserve">AAACCAGCCCGCACGCTACATCGG</t>
  </si>
  <si>
    <t xml:space="preserve">TGCAGGTAGCCGCTGGGGGT</t>
  </si>
  <si>
    <t xml:space="preserve">TAGTTGCAGGTAGCCGCTGGGGGT</t>
  </si>
  <si>
    <t xml:space="preserve">AAACACCCCCAGCGGCTACCTGCA</t>
  </si>
  <si>
    <t xml:space="preserve">GGCGTCGAGATAGGAAGCGA</t>
  </si>
  <si>
    <t xml:space="preserve">TAGTGGCGTCGAGATAGGAAGCGA</t>
  </si>
  <si>
    <t xml:space="preserve">AAACTCGCTTCCTATCTCGACGCC</t>
  </si>
  <si>
    <t xml:space="preserve">PST_3291</t>
  </si>
  <si>
    <t xml:space="preserve">CCACCAGGAGCAGCACCAGT</t>
  </si>
  <si>
    <t xml:space="preserve">TAGTCCACCAGGAGCAGCACCAGT</t>
  </si>
  <si>
    <t xml:space="preserve">AAACACTGGTGCTGCTCCTGGTGG</t>
  </si>
  <si>
    <t xml:space="preserve">CCATGATGGCGGGGGAGAAC</t>
  </si>
  <si>
    <t xml:space="preserve">TAGTCCATGATGGCGGGGGAGAAC</t>
  </si>
  <si>
    <t xml:space="preserve">AAACGTTCTCCCCCGCCATCATGG</t>
  </si>
  <si>
    <t xml:space="preserve">GCCGATACCAGGCACCGTTG</t>
  </si>
  <si>
    <t xml:space="preserve">TAGTGCCGATACCAGGCACCGTTG</t>
  </si>
  <si>
    <t xml:space="preserve">AAACCAACGGTGCCTGGTATCGGC</t>
  </si>
  <si>
    <t xml:space="preserve">AGGATCAGCCACAGCAGATA</t>
  </si>
  <si>
    <t xml:space="preserve">TAGTAGGATCAGCCACAGCAGATA</t>
  </si>
  <si>
    <t xml:space="preserve">AAACTATCTGCTGTGGCTGATCCT</t>
  </si>
  <si>
    <t xml:space="preserve">PST_3292</t>
  </si>
  <si>
    <t xml:space="preserve">TGATCAGGATCAGGTGGCTC</t>
  </si>
  <si>
    <t xml:space="preserve">TAGTTGATCAGGATCAGGTGGCTC</t>
  </si>
  <si>
    <t xml:space="preserve">AAACGAGCCACCTGATCCTGATCA</t>
  </si>
  <si>
    <t xml:space="preserve">GAACAGCGTGAACAGGTAGG</t>
  </si>
  <si>
    <t xml:space="preserve">TAGTGAACAGCGTGAACAGGTAGG</t>
  </si>
  <si>
    <t xml:space="preserve">AAACCCTACCTGTTCACGCTGTTC</t>
  </si>
  <si>
    <t xml:space="preserve">CAGTCCGCGATCGCTGACCC</t>
  </si>
  <si>
    <t xml:space="preserve">TAGTCAGTCCGCGATCGCTGACCC</t>
  </si>
  <si>
    <t xml:space="preserve">AAACGGGTCAGCGATCGCGGACTG</t>
  </si>
  <si>
    <t xml:space="preserve">GGGTGGCGGATGATCCAGCG</t>
  </si>
  <si>
    <t xml:space="preserve">TAGTGGGTGGCGGATGATCCAGCG</t>
  </si>
  <si>
    <t xml:space="preserve">AAACCGCTGGATCATCCGCCACCC</t>
  </si>
  <si>
    <t xml:space="preserve">PST_3293</t>
  </si>
  <si>
    <t xml:space="preserve">CCGCAGGGCTGAGCGGATGA</t>
  </si>
  <si>
    <t xml:space="preserve">TAGTCCGCAGGGCTGAGCGGATGA</t>
  </si>
  <si>
    <t xml:space="preserve">AAACTCATCCGCTCAGCCCTGCGG</t>
  </si>
  <si>
    <t xml:space="preserve">CGTACTGGTTGCGTTCGAGG</t>
  </si>
  <si>
    <t xml:space="preserve">TAGTCGTACTGGTTGCGTTCGAGG</t>
  </si>
  <si>
    <t xml:space="preserve">AAACCCTCGAACGCAACCAGTACG</t>
  </si>
  <si>
    <t xml:space="preserve">TGACGATGAGGTCGAAACCC</t>
  </si>
  <si>
    <t xml:space="preserve">TAGTTGACGATGAGGTCGAAACCC</t>
  </si>
  <si>
    <t xml:space="preserve">AAACGGGTTTCGACCTCATCGTCA</t>
  </si>
  <si>
    <t xml:space="preserve">CGGGTGCGCCGGGCAGTCGC</t>
  </si>
  <si>
    <t xml:space="preserve">TAGTCGGGTGCGCCGGGCAGTCGC</t>
  </si>
  <si>
    <t xml:space="preserve">AAACGCGACTGCCCGGCGCACCCG</t>
  </si>
  <si>
    <t xml:space="preserve">PST_3294</t>
  </si>
  <si>
    <t xml:space="preserve">pcnB</t>
  </si>
  <si>
    <t xml:space="preserve">AACAGCTTTTTCAGCATGAG</t>
  </si>
  <si>
    <t xml:space="preserve">TAGTAACAGCTTTTTCAGCATGAG</t>
  </si>
  <si>
    <t xml:space="preserve">AAACCTCATGCTGAAAAAGCTGTT</t>
  </si>
  <si>
    <t xml:space="preserve">GCAGCGGAAGACGAAAAGAC</t>
  </si>
  <si>
    <t xml:space="preserve">TAGTGCAGCGGAAGACGAAAAGAC</t>
  </si>
  <si>
    <t xml:space="preserve">AAACGTCTTTTCGTCTTCCGCTGC</t>
  </si>
  <si>
    <t xml:space="preserve">TGCGACGGGGATGCGGGATG</t>
  </si>
  <si>
    <t xml:space="preserve">TAGTTGCGACGGGGATGCGGGATG</t>
  </si>
  <si>
    <t xml:space="preserve">AAACCATCCCGCATCCCCGTCGCA</t>
  </si>
  <si>
    <t xml:space="preserve">TGCCGGCTGGACAGAATTTC</t>
  </si>
  <si>
    <t xml:space="preserve">TAGTTGCCGGCTGGACAGAATTTC</t>
  </si>
  <si>
    <t xml:space="preserve">AAACGAAATTCTGTCCAGCCGGCA</t>
  </si>
  <si>
    <t xml:space="preserve">PST_3295</t>
  </si>
  <si>
    <t xml:space="preserve">folK</t>
  </si>
  <si>
    <t xml:space="preserve">GATCGGCCAGGTTGCTGCCC</t>
  </si>
  <si>
    <t xml:space="preserve">TAGTGATCGGCCAGGTTGCTGCCC</t>
  </si>
  <si>
    <t xml:space="preserve">AAACGGGCAGCAACCTGGCCGATC</t>
  </si>
  <si>
    <t xml:space="preserve">GCACCACGCAGCTGCTGCTG</t>
  </si>
  <si>
    <t xml:space="preserve">TAGTGCACCACGCAGCTGCTGCTG</t>
  </si>
  <si>
    <t xml:space="preserve">AAACCAGCAGCAGCTGCGTGGTGC</t>
  </si>
  <si>
    <t xml:space="preserve">CAGCTCGGCCAGAGCCTGCA</t>
  </si>
  <si>
    <t xml:space="preserve">TAGTCAGCTCGGCCAGAGCCTGCA</t>
  </si>
  <si>
    <t xml:space="preserve">AAACTGCAGGCTCTGGCCGAGCTG</t>
  </si>
  <si>
    <t xml:space="preserve">ACTGCAGCCAGCCTGCTACC</t>
  </si>
  <si>
    <t xml:space="preserve">TAGTACTGCAGCCAGCCTGCTACC</t>
  </si>
  <si>
    <t xml:space="preserve">AAACGGTAGCAGGCTGGCTGCAGT</t>
  </si>
  <si>
    <t xml:space="preserve">PST_3296</t>
  </si>
  <si>
    <t xml:space="preserve">panB</t>
  </si>
  <si>
    <t xml:space="preserve">GCGTGCTGTCGTGACCTTGC</t>
  </si>
  <si>
    <t xml:space="preserve">TAGTGCGTGCTGTCGTGACCTTGC</t>
  </si>
  <si>
    <t xml:space="preserve">AAACGCAAGGTCACGACAGCACGC</t>
  </si>
  <si>
    <t xml:space="preserve">GCCATGTCGGCGACGGTGAC</t>
  </si>
  <si>
    <t xml:space="preserve">TAGTGCCATGTCGGCGACGGTGAC</t>
  </si>
  <si>
    <t xml:space="preserve">AAACGTCACCGTCGCCGACATGGC</t>
  </si>
  <si>
    <t xml:space="preserve">CTTGACGCTGGCCGTGTGGT</t>
  </si>
  <si>
    <t xml:space="preserve">TAGTCTTGACGCTGGCCGTGTGGT</t>
  </si>
  <si>
    <t xml:space="preserve">AAACACCACACGGCCAGCGTCAAG</t>
  </si>
  <si>
    <t xml:space="preserve">CGGCGACGATCATCGCTCCG</t>
  </si>
  <si>
    <t xml:space="preserve">TAGTCGGCGACGATCATCGCTCCG</t>
  </si>
  <si>
    <t xml:space="preserve">AAACCGGAGCGATGATCGTCGCCG</t>
  </si>
  <si>
    <t xml:space="preserve">PST_3297</t>
  </si>
  <si>
    <t xml:space="preserve">panC</t>
  </si>
  <si>
    <t xml:space="preserve">GGCGACCGCGGCGCGCAGGT</t>
  </si>
  <si>
    <t xml:space="preserve">TAGTGGCGACCGCGGCGCGCAGGT</t>
  </si>
  <si>
    <t xml:space="preserve">AAACACCTGCGCGCCGCGGTCGCC</t>
  </si>
  <si>
    <t xml:space="preserve">TTTGCCTTCGCCGCGCGCGC</t>
  </si>
  <si>
    <t xml:space="preserve">TAGTTTTGCCTTCGCCGCGCGCGC</t>
  </si>
  <si>
    <t xml:space="preserve">AAACGCGCGCGCGGCGAAGGCAAA</t>
  </si>
  <si>
    <t xml:space="preserve">GCGTGGAGGTTGCCCATGGT</t>
  </si>
  <si>
    <t xml:space="preserve">TAGTGCGTGGAGGTTGCCCATGGT</t>
  </si>
  <si>
    <t xml:space="preserve">AAACACCATGGGCAACCTCCACGC</t>
  </si>
  <si>
    <t xml:space="preserve">CTTAACCAGCGCGATATGAC</t>
  </si>
  <si>
    <t xml:space="preserve">TAGTCTTAACCAGCGCGATATGAC</t>
  </si>
  <si>
    <t xml:space="preserve">AAACGTCATATCGCGCTGGTTAAG</t>
  </si>
  <si>
    <t xml:space="preserve">PST_3298</t>
  </si>
  <si>
    <t xml:space="preserve">CTTGAGCATGATGGCGTGCA</t>
  </si>
  <si>
    <t xml:space="preserve">TAGTCTTGAGCATGATGGCGTGCA</t>
  </si>
  <si>
    <t xml:space="preserve">AAACTGCACGCCATCATGCTCAAG</t>
  </si>
  <si>
    <t xml:space="preserve">TACCTGGGCGCGGTGCAGTT</t>
  </si>
  <si>
    <t xml:space="preserve">TAGTTACCTGGGCGCGGTGCAGTT</t>
  </si>
  <si>
    <t xml:space="preserve">AAACAACTGCACCGCGCCCAGGTA</t>
  </si>
  <si>
    <t xml:space="preserve">TTCATAGTCGAGCACCGAGT</t>
  </si>
  <si>
    <t xml:space="preserve">TAGTTTCATAGTCGAGCACCGAGT</t>
  </si>
  <si>
    <t xml:space="preserve">AAACACTCGGTGCTCGACTATGAA</t>
  </si>
  <si>
    <t xml:space="preserve">CCACTCGCCGTCGATGGCGC</t>
  </si>
  <si>
    <t xml:space="preserve">TAGTCCACTCGCCGTCGATGGCGC</t>
  </si>
  <si>
    <t xml:space="preserve">AAACGCGCCATCGACGGCGAGTGG</t>
  </si>
  <si>
    <t xml:space="preserve">PST_3299</t>
  </si>
  <si>
    <t xml:space="preserve">pgi-2</t>
  </si>
  <si>
    <t xml:space="preserve">CGGATGCTGGTAATAGCTCA</t>
  </si>
  <si>
    <t xml:space="preserve">TAGTCGGATGCTGGTAATAGCTCA</t>
  </si>
  <si>
    <t xml:space="preserve">AAACTGAGCTATTACCAGCATCCG</t>
  </si>
  <si>
    <t xml:space="preserve">GGCAGGCCGGTGACATCGAG</t>
  </si>
  <si>
    <t xml:space="preserve">TAGTGGCAGGCCGGTGACATCGAG</t>
  </si>
  <si>
    <t xml:space="preserve">AAACCTCGATGTCACCGGCCTGCC</t>
  </si>
  <si>
    <t xml:space="preserve">TCTTCCAGGGCCTTCCAGGA</t>
  </si>
  <si>
    <t xml:space="preserve">TAGTTCTTCCAGGGCCTTCCAGGA</t>
  </si>
  <si>
    <t xml:space="preserve">AAACTCCTGGAAGGCCCTGGAAGA</t>
  </si>
  <si>
    <t xml:space="preserve">TGAAGTGCTGCATGGCCAGG</t>
  </si>
  <si>
    <t xml:space="preserve">TAGTTGAAGTGCTGCATGGCCAGG</t>
  </si>
  <si>
    <t xml:space="preserve">AAACCCTGGCCATGCAGCACTTCA</t>
  </si>
  <si>
    <t xml:space="preserve">PST_3300</t>
  </si>
  <si>
    <t xml:space="preserve">AGGACGACGGATGAATTCCA</t>
  </si>
  <si>
    <t xml:space="preserve">TAGTAGGACGACGGATGAATTCCA</t>
  </si>
  <si>
    <t xml:space="preserve">AAACTGGAATTCATCCGTCGTCCT</t>
  </si>
  <si>
    <t xml:space="preserve">CTGAGCACGCGTGCTTCGAT</t>
  </si>
  <si>
    <t xml:space="preserve">TAGTCTGAGCACGCGTGCTTCGAT</t>
  </si>
  <si>
    <t xml:space="preserve">AAACATCGAAGCACGCGTGCTCAG</t>
  </si>
  <si>
    <t xml:space="preserve">CACCCCGCCGATGGCCAGGC</t>
  </si>
  <si>
    <t xml:space="preserve">TAGTCACCCCGCCGATGGCCAGGC</t>
  </si>
  <si>
    <t xml:space="preserve">AAACGCCTGGCCATCGGCGGGGTG</t>
  </si>
  <si>
    <t xml:space="preserve">AGAGCCCGGGGTCGCCCGGC</t>
  </si>
  <si>
    <t xml:space="preserve">TAGTAGAGCCCGGGGTCGCCCGGC</t>
  </si>
  <si>
    <t xml:space="preserve">AAACGCCGGGCGACCCCGGGCTCT</t>
  </si>
  <si>
    <t xml:space="preserve">PST_3301</t>
  </si>
  <si>
    <t xml:space="preserve">ACGCATCCGCTGCAAGCGTC</t>
  </si>
  <si>
    <t xml:space="preserve">TAGTACGCATCCGCTGCAAGCGTC</t>
  </si>
  <si>
    <t xml:space="preserve">AAACGACGCTTGCAGCGGATGCGT</t>
  </si>
  <si>
    <t xml:space="preserve">GCGCATCCATGGCCAGCTCA</t>
  </si>
  <si>
    <t xml:space="preserve">TAGTGCGCATCCATGGCCAGCTCA</t>
  </si>
  <si>
    <t xml:space="preserve">AAACTGAGCTGGCCATGGATGCGC</t>
  </si>
  <si>
    <t xml:space="preserve">TCGTTGTAGACGAGCTGCAG</t>
  </si>
  <si>
    <t xml:space="preserve">TAGTTCGTTGTAGACGAGCTGCAG</t>
  </si>
  <si>
    <t xml:space="preserve">AAACCTGCAGCTCGTCTACAACGA</t>
  </si>
  <si>
    <t xml:space="preserve">TGCGCGAGTTGCCCTGCGAG</t>
  </si>
  <si>
    <t xml:space="preserve">TAGTTGCGCGAGTTGCCCTGCGAG</t>
  </si>
  <si>
    <t xml:space="preserve">AAACCTCGCAGGGCAACTCGCGCA</t>
  </si>
  <si>
    <t xml:space="preserve">PST_3302</t>
  </si>
  <si>
    <t xml:space="preserve">GCAGGATCAGGAAGCCAAGC</t>
  </si>
  <si>
    <t xml:space="preserve">TAGTGCAGGATCAGGAAGCCAAGC</t>
  </si>
  <si>
    <t xml:space="preserve">AAACGCTTGGCTTCCTGATCCTGC</t>
  </si>
  <si>
    <t xml:space="preserve">GCGATGCGCTGGGCGATACC</t>
  </si>
  <si>
    <t xml:space="preserve">TAGTGCGATGCGCTGGGCGATACC</t>
  </si>
  <si>
    <t xml:space="preserve">AAACGGTATCGCCCAGCGCATCGC</t>
  </si>
  <si>
    <t xml:space="preserve">GTAGTTGGTCAGTTGCTGAT</t>
  </si>
  <si>
    <t xml:space="preserve">TAGTGTAGTTGGTCAGTTGCTGAT</t>
  </si>
  <si>
    <t xml:space="preserve">AAACATCAGCAACTGACCAACTAC</t>
  </si>
  <si>
    <t xml:space="preserve">CTGCAGGCTGGCCGGTACGG</t>
  </si>
  <si>
    <t xml:space="preserve">TAGTCTGCAGGCTGGCCGGTACGG</t>
  </si>
  <si>
    <t xml:space="preserve">AAACCCGTACCGGCCAGCCTGCAG</t>
  </si>
  <si>
    <t xml:space="preserve">PST_3303</t>
  </si>
  <si>
    <t xml:space="preserve">CAGCACCGAGGCGGTAGTAC</t>
  </si>
  <si>
    <t xml:space="preserve">TAGTCAGCACCGAGGCGGTAGTAC</t>
  </si>
  <si>
    <t xml:space="preserve">AAACGTACTACCGCCTCGGTGCTG</t>
  </si>
  <si>
    <t xml:space="preserve">TGTGTCGGCCTGGGCACTGG</t>
  </si>
  <si>
    <t xml:space="preserve">TAGTTGTGTCGGCCTGGGCACTGG</t>
  </si>
  <si>
    <t xml:space="preserve">AAACCCAGTGCCCAGGCCGACACA</t>
  </si>
  <si>
    <t xml:space="preserve">GGTCGCCGGTGGTGACCAAC</t>
  </si>
  <si>
    <t xml:space="preserve">TAGTGGTCGCCGGTGGTGACCAAC</t>
  </si>
  <si>
    <t xml:space="preserve">AAACGTTGGTCACCACCGGCGACC</t>
  </si>
  <si>
    <t xml:space="preserve">TGCGTTCGACCTCGAACGCG</t>
  </si>
  <si>
    <t xml:space="preserve">TAGTTGCGTTCGACCTCGAACGCG</t>
  </si>
  <si>
    <t xml:space="preserve">AAACCGCGTTCGAGGTCGAACGCA</t>
  </si>
  <si>
    <t xml:space="preserve">PST_3304</t>
  </si>
  <si>
    <t xml:space="preserve">GGCAATGCGCGACGATGCAT</t>
  </si>
  <si>
    <t xml:space="preserve">TAGTGGCAATGCGCGACGATGCAT</t>
  </si>
  <si>
    <t xml:space="preserve">AAACATGCATCGTCGCGCATTGCC</t>
  </si>
  <si>
    <t xml:space="preserve">AGCAACAGGCAGAGCAGCAG</t>
  </si>
  <si>
    <t xml:space="preserve">TAGTAGCAACAGGCAGAGCAGCAG</t>
  </si>
  <si>
    <t xml:space="preserve">AAACCTGCTGCTCTGCCTGTTGCT</t>
  </si>
  <si>
    <t xml:space="preserve">TTGAGGATGCCTGGGCATGC</t>
  </si>
  <si>
    <t xml:space="preserve">TAGTTTGAGGATGCCTGGGCATGC</t>
  </si>
  <si>
    <t xml:space="preserve">AAACGCATGCCCAGGCATCCTCAA</t>
  </si>
  <si>
    <t xml:space="preserve">CAGGCGGCTATTGCAGCGAT</t>
  </si>
  <si>
    <t xml:space="preserve">TAGTCAGGCGGCTATTGCAGCGAT</t>
  </si>
  <si>
    <t xml:space="preserve">AAACATCGCTGCAATAGCCGCCTG</t>
  </si>
  <si>
    <t xml:space="preserve">PST_3305</t>
  </si>
  <si>
    <t xml:space="preserve">GGCAATGGCGGCGGCGGTAA</t>
  </si>
  <si>
    <t xml:space="preserve">TAGTGGCAATGGCGGCGGCGGTAA</t>
  </si>
  <si>
    <t xml:space="preserve">AAACTTACCGCCGCCGCCATTGCC</t>
  </si>
  <si>
    <t xml:space="preserve">GAAAGGCAGGCTGAGAGCGG</t>
  </si>
  <si>
    <t xml:space="preserve">TAGTGAAAGGCAGGCTGAGAGCGG</t>
  </si>
  <si>
    <t xml:space="preserve">AAACCCGCTCTCAGCCTGCCTTTC</t>
  </si>
  <si>
    <t xml:space="preserve">CTTGTCGATTGCAGGCGTGT</t>
  </si>
  <si>
    <t xml:space="preserve">TAGTCTTGTCGATTGCAGGCGTGT</t>
  </si>
  <si>
    <t xml:space="preserve">AAACACACGCCTGCAATCGACAAG</t>
  </si>
  <si>
    <t xml:space="preserve">GGCAGCGAGCATGACGGTGT</t>
  </si>
  <si>
    <t xml:space="preserve">TAGTGGCAGCGAGCATGACGGTGT</t>
  </si>
  <si>
    <t xml:space="preserve">AAACACACCGTCATGCTCGCTGCC</t>
  </si>
  <si>
    <t xml:space="preserve">PST_3306</t>
  </si>
  <si>
    <t xml:space="preserve">pnp</t>
  </si>
  <si>
    <t xml:space="preserve">CTTCTTGATTACCGGATTCA</t>
  </si>
  <si>
    <t xml:space="preserve">TAGTCTTCTTGATTACCGGATTCA</t>
  </si>
  <si>
    <t xml:space="preserve">AAACTGAATCCGGTAATCAAGAAG</t>
  </si>
  <si>
    <t xml:space="preserve">GCGACCCGTCTCGAGGGTTA</t>
  </si>
  <si>
    <t xml:space="preserve">TAGTGCGACCCGTCTCGAGGGTTA</t>
  </si>
  <si>
    <t xml:space="preserve">AAACTAACCCTCGAGACGGGTCGC</t>
  </si>
  <si>
    <t xml:space="preserve">CACGGCGCCGGAGGCCTGGC</t>
  </si>
  <si>
    <t xml:space="preserve">TAGTCACGGCGCCGGAGGCCTGGC</t>
  </si>
  <si>
    <t xml:space="preserve">AAACGCCAGGCCTCCGGCGCCGTG</t>
  </si>
  <si>
    <t xml:space="preserve">CACGCTGACGTCGTCATCGA</t>
  </si>
  <si>
    <t xml:space="preserve">TAGTCACGCTGACGTCGTCATCGA</t>
  </si>
  <si>
    <t xml:space="preserve">AAACTCGATGACGACGTCAGCGTG</t>
  </si>
  <si>
    <t xml:space="preserve">PST_3307</t>
  </si>
  <si>
    <t xml:space="preserve">rpsO</t>
  </si>
  <si>
    <t xml:space="preserve">TTCTTCAACGCTCAGTGCCA</t>
  </si>
  <si>
    <t xml:space="preserve">TAGTTTCTTCAACGCTCAGTGCCA</t>
  </si>
  <si>
    <t xml:space="preserve">AAACTGGCACTGAGCGTTGAAGAA</t>
  </si>
  <si>
    <t xml:space="preserve">CTTGTACTCGTTAACGATCT</t>
  </si>
  <si>
    <t xml:space="preserve">TAGTCTTGTACTCGTTAACGATCT</t>
  </si>
  <si>
    <t xml:space="preserve">AAACAGATCGTTAACGAGTACAAG</t>
  </si>
  <si>
    <t xml:space="preserve">TACCTGCACTTCCGGAGAAC</t>
  </si>
  <si>
    <t xml:space="preserve">TAGTTACCTGCACTTCCGGAGAAC</t>
  </si>
  <si>
    <t xml:space="preserve">AAACGTTCTCCGGAAGTGCAGGTA</t>
  </si>
  <si>
    <t xml:space="preserve">GTTGATGTTGGCGGTCAGCA</t>
  </si>
  <si>
    <t xml:space="preserve">TAGTGTTGATGTTGGCGGTCAGCA</t>
  </si>
  <si>
    <t xml:space="preserve">AAACTGCTGACCGCCAACATCAAC</t>
  </si>
  <si>
    <t xml:space="preserve">PST_3308</t>
  </si>
  <si>
    <t xml:space="preserve">truB</t>
  </si>
  <si>
    <t xml:space="preserve">GCGACGTACACGCTTGACCT</t>
  </si>
  <si>
    <t xml:space="preserve">TAGTGCGACGTACACGCTTGACCT</t>
  </si>
  <si>
    <t xml:space="preserve">AAACAGGTCAAGCGTGTACGTCGC</t>
  </si>
  <si>
    <t xml:space="preserve">ACCCGCGCGGCTTGTCGAGC</t>
  </si>
  <si>
    <t xml:space="preserve">TAGTACCCGCGCGGCTTGTCGAGC</t>
  </si>
  <si>
    <t xml:space="preserve">AAACGCTCGACAAGCCGCGCGGGT</t>
  </si>
  <si>
    <t xml:space="preserve">CTTCTGCAACGCAGCGTTGG</t>
  </si>
  <si>
    <t xml:space="preserve">TAGTCTTCTGCAACGCAGCGTTGG</t>
  </si>
  <si>
    <t xml:space="preserve">AAACCCAACGCTGCGTTGCAGAAG</t>
  </si>
  <si>
    <t xml:space="preserve">ATGGATCGAGGCTGCCGGTA</t>
  </si>
  <si>
    <t xml:space="preserve">TAGTATGGATCGAGGCTGCCGGTA</t>
  </si>
  <si>
    <t xml:space="preserve">AAACTACCGGCAGCCTCGATCCAT</t>
  </si>
  <si>
    <t xml:space="preserve">PST_3309</t>
  </si>
  <si>
    <t xml:space="preserve">rbfA</t>
  </si>
  <si>
    <t xml:space="preserve">CTGGGTACGACTGAATTCTT</t>
  </si>
  <si>
    <t xml:space="preserve">TAGTCTGGGTACGACTGAATTCTT</t>
  </si>
  <si>
    <t xml:space="preserve">AAACAAGAATTCAGTCGTACCCAG</t>
  </si>
  <si>
    <t xml:space="preserve">GCGGATCCTTGATCTCACGC</t>
  </si>
  <si>
    <t xml:space="preserve">TAGTGCGGATCCTTGATCTCACGC</t>
  </si>
  <si>
    <t xml:space="preserve">AAACGCGTGAGATCAAGGATCCGC</t>
  </si>
  <si>
    <t xml:space="preserve">CGACCGCGGTGATGGTAATC</t>
  </si>
  <si>
    <t xml:space="preserve">TAGTCGACCGCGGTGATGGTAATC</t>
  </si>
  <si>
    <t xml:space="preserve">AAACGATTACCATCACCGCGGTCG</t>
  </si>
  <si>
    <t xml:space="preserve">GGTGATGAAGATCTTTGCAT</t>
  </si>
  <si>
    <t xml:space="preserve">TAGTGGTGATGAAGATCTTTGCAT</t>
  </si>
  <si>
    <t xml:space="preserve">AAACATGCAAAGATCTTCATCACC</t>
  </si>
  <si>
    <t xml:space="preserve">PST_3310</t>
  </si>
  <si>
    <t xml:space="preserve">infB</t>
  </si>
  <si>
    <t xml:space="preserve">GACCGGTGTGTCGACCACCT</t>
  </si>
  <si>
    <t xml:space="preserve">TAGTGACCGGTGTGTCGACCACCT</t>
  </si>
  <si>
    <t xml:space="preserve">AAACAGGTGGTCGACACACCGGTC</t>
  </si>
  <si>
    <t xml:space="preserve">GGTCACTACTTGCTCGGCGC</t>
  </si>
  <si>
    <t xml:space="preserve">TAGTGGTCACTACTTGCTCGGCGC</t>
  </si>
  <si>
    <t xml:space="preserve">AAACGCGCCGAGCAAGTAGTGACC</t>
  </si>
  <si>
    <t xml:space="preserve">CAGGGCCTGCTTCTCGTTAT</t>
  </si>
  <si>
    <t xml:space="preserve">TAGTCAGGGCCTGCTTCTCGTTAT</t>
  </si>
  <si>
    <t xml:space="preserve">AAACATAACGAGAAGCAGGCCCTG</t>
  </si>
  <si>
    <t xml:space="preserve">GCTCGTCCACCTTTGCCCCA</t>
  </si>
  <si>
    <t xml:space="preserve">TAGTGCTCGTCCACCTTTGCCCCA</t>
  </si>
  <si>
    <t xml:space="preserve">AAACTGGGGCAAAGGTGGACGAGC</t>
  </si>
  <si>
    <t xml:space="preserve">PST_3311</t>
  </si>
  <si>
    <t xml:space="preserve">nusA</t>
  </si>
  <si>
    <t xml:space="preserve">TGCCGGTACGCCCTTTTCAT</t>
  </si>
  <si>
    <t xml:space="preserve">TAGTTGCCGGTACGCCCTTTTCAT</t>
  </si>
  <si>
    <t xml:space="preserve">AAACATGAAAAGGGCGTACCGGCA</t>
  </si>
  <si>
    <t xml:space="preserve">GTAGCGCTTCTTGGTAGCCG</t>
  </si>
  <si>
    <t xml:space="preserve">TAGTGTAGCGCTTCTTGGTAGCCG</t>
  </si>
  <si>
    <t xml:space="preserve">AAACCGGCTACCAAGAAGCGCTAC</t>
  </si>
  <si>
    <t xml:space="preserve">AGGTTTCGTAGCTGCCGTTG</t>
  </si>
  <si>
    <t xml:space="preserve">TAGTAGGTTTCGTAGCTGCCGTTG</t>
  </si>
  <si>
    <t xml:space="preserve">AAACCAACGGCAGCTACGAAACCT</t>
  </si>
  <si>
    <t xml:space="preserve">GACGACCGTCCAACGACGGA</t>
  </si>
  <si>
    <t xml:space="preserve">TAGTGACGACCGTCCAACGACGGA</t>
  </si>
  <si>
    <t xml:space="preserve">AAACTCCGTCGTTGGACGGTCGTC</t>
  </si>
  <si>
    <t xml:space="preserve">PST_3312</t>
  </si>
  <si>
    <t xml:space="preserve">GCCTGTAAATGCCGGCGACC</t>
  </si>
  <si>
    <t xml:space="preserve">TAGTGCCTGTAAATGCCGGCGACC</t>
  </si>
  <si>
    <t xml:space="preserve">AAACGGTCGCCGGCATTTACAGGC</t>
  </si>
  <si>
    <t xml:space="preserve">ATGCTGTACAAATGAAAAAT</t>
  </si>
  <si>
    <t xml:space="preserve">TAGTATGCTGTACAAATGAAAAAT</t>
  </si>
  <si>
    <t xml:space="preserve">AAACATTTTTCATTTGTACAGCAT</t>
  </si>
  <si>
    <t xml:space="preserve">CTCAACCACCGGGGCCAACA</t>
  </si>
  <si>
    <t xml:space="preserve">TAGTCTCAACCACCGGGGCCAACA</t>
  </si>
  <si>
    <t xml:space="preserve">AAACTGTTGGCCCCGGTGGTTGAG</t>
  </si>
  <si>
    <t xml:space="preserve">CAGCAGTGAATGCCGCCCCT</t>
  </si>
  <si>
    <t xml:space="preserve">TAGTCAGCAGTGAATGCCGCCCCT</t>
  </si>
  <si>
    <t xml:space="preserve">AAACAGGGGCGGCATTCACTGCTG</t>
  </si>
  <si>
    <t xml:space="preserve">PST_3315</t>
  </si>
  <si>
    <t xml:space="preserve">secG</t>
  </si>
  <si>
    <t xml:space="preserve">TCAGAAAGGTAGCAGAACCT</t>
  </si>
  <si>
    <t xml:space="preserve">TAGTTCAGAAAGGTAGCAGAACCT</t>
  </si>
  <si>
    <t xml:space="preserve">AAACAGGTTCTGCTACCTTTCTGA</t>
  </si>
  <si>
    <t xml:space="preserve">GCTGGTCAGAAAAAAAACGC</t>
  </si>
  <si>
    <t xml:space="preserve">TAGTGCTGGTCAGAAAAAAAACGC</t>
  </si>
  <si>
    <t xml:space="preserve">AAACGCGTTTTTTTTCTGACCAGC</t>
  </si>
  <si>
    <t xml:space="preserve">TGGCAAAAAACGCCAGACCC</t>
  </si>
  <si>
    <t xml:space="preserve">TAGTTGGCAAAAAACGCCAGACCC</t>
  </si>
  <si>
    <t xml:space="preserve">AAACGGGTCTGGCGTTTTTTGCCA</t>
  </si>
  <si>
    <t xml:space="preserve">CAACTGATCAGCTTGCTGCT</t>
  </si>
  <si>
    <t xml:space="preserve">TAGTCAACTGATCAGCTTGCTGCT</t>
  </si>
  <si>
    <t xml:space="preserve">AAACAGCAGCAAGCTGATCAGTTG</t>
  </si>
  <si>
    <t xml:space="preserve">PST_3316</t>
  </si>
  <si>
    <t xml:space="preserve">tpiA</t>
  </si>
  <si>
    <t xml:space="preserve">TCCAGTTACCAGCTACCATG</t>
  </si>
  <si>
    <t xml:space="preserve">TAGTTCCAGTTACCAGCTACCATG</t>
  </si>
  <si>
    <t xml:space="preserve">AAACCATGGTAGCTGGTAACTGGA</t>
  </si>
  <si>
    <t xml:space="preserve">CAGCTCTGCGACGCTAGCGC</t>
  </si>
  <si>
    <t xml:space="preserve">TAGTCAGCTCTGCGACGCTAGCGC</t>
  </si>
  <si>
    <t xml:space="preserve">AAACGCGCTAGCGTCGCAGAGCTG</t>
  </si>
  <si>
    <t xml:space="preserve">ACCGCAATCTCAACCGCTGC</t>
  </si>
  <si>
    <t xml:space="preserve">TAGTACCGCAATCTCAACCGCTGC</t>
  </si>
  <si>
    <t xml:space="preserve">AAACGCAGCGGTTGAGATTGCGGT</t>
  </si>
  <si>
    <t xml:space="preserve">TGACTGACATGCACAAAGGA</t>
  </si>
  <si>
    <t xml:space="preserve">TAGTTGACTGACATGCACAAAGGA</t>
  </si>
  <si>
    <t xml:space="preserve">AAACTCCTTTGTGCATGTCAGTCA</t>
  </si>
  <si>
    <t xml:space="preserve">PST_3317</t>
  </si>
  <si>
    <t xml:space="preserve">glmM</t>
  </si>
  <si>
    <t xml:space="preserve">GCACTTGCCCTGCTTGCGGA</t>
  </si>
  <si>
    <t xml:space="preserve">TAGTGCACTTGCCCTGCTTGCGGA</t>
  </si>
  <si>
    <t xml:space="preserve">AAACTCCGCAAGCAGGGCAAGTGC</t>
  </si>
  <si>
    <t xml:space="preserve">TACGGGTGTCCTTGCCGATC</t>
  </si>
  <si>
    <t xml:space="preserve">TAGTTACGGGTGTCCTTGCCGATC</t>
  </si>
  <si>
    <t xml:space="preserve">AAACGATCGGCAAGGACACCCGTA</t>
  </si>
  <si>
    <t xml:space="preserve">CGGCCCCAGCAGCAACACAT</t>
  </si>
  <si>
    <t xml:space="preserve">TAGTCGGCCCCAGCAGCAACACAT</t>
  </si>
  <si>
    <t xml:space="preserve">AAACATGTGTTGCTGCTGGGGCCG</t>
  </si>
  <si>
    <t xml:space="preserve">GCAACCGCTGGCGTCGGCAT</t>
  </si>
  <si>
    <t xml:space="preserve">TAGTGCAACCGCTGGCGTCGGCAT</t>
  </si>
  <si>
    <t xml:space="preserve">AAACATGCCGACGCCAGCGGTTGC</t>
  </si>
  <si>
    <t xml:space="preserve">PST_3318</t>
  </si>
  <si>
    <t xml:space="preserve">folP</t>
  </si>
  <si>
    <t xml:space="preserve">CTGCCGCAGACCAGTCGAGC</t>
  </si>
  <si>
    <t xml:space="preserve">TAGTCTGCCGCAGACCAGTCGAGC</t>
  </si>
  <si>
    <t xml:space="preserve">AAACGCTCGACTGGTCTGCGGCAG</t>
  </si>
  <si>
    <t xml:space="preserve">ATGGGGACGGGAAAGATCGA</t>
  </si>
  <si>
    <t xml:space="preserve">TAGTATGGGGACGGGAAAGATCGA</t>
  </si>
  <si>
    <t xml:space="preserve">AAACTCGATCTTTCCCGTCCCCAT</t>
  </si>
  <si>
    <t xml:space="preserve">ACCATCGGAAAAGGAATCGG</t>
  </si>
  <si>
    <t xml:space="preserve">TAGTACCATCGGAAAAGGAATCGG</t>
  </si>
  <si>
    <t xml:space="preserve">AAACCCGATTCCTTTTCCGATGGT</t>
  </si>
  <si>
    <t xml:space="preserve">CCGCAATGCCGCATCGCGCT</t>
  </si>
  <si>
    <t xml:space="preserve">TAGTCCGCAATGCCGCATCGCGCT</t>
  </si>
  <si>
    <t xml:space="preserve">AAACAGCGCGATGCGGCATTGCGG</t>
  </si>
  <si>
    <t xml:space="preserve">PST_3319</t>
  </si>
  <si>
    <t xml:space="preserve">ftsH</t>
  </si>
  <si>
    <t xml:space="preserve">CGCAGGGCGAATGGTCTTGA</t>
  </si>
  <si>
    <t xml:space="preserve">TAGTCGCAGGGCGAATGGTCTTGA</t>
  </si>
  <si>
    <t xml:space="preserve">AAACTCAAGACCATTCGCCCTGCG</t>
  </si>
  <si>
    <t xml:space="preserve">CGCCGATCAGGCCGTTGTCC</t>
  </si>
  <si>
    <t xml:space="preserve">TAGTCGCCGATCAGGCCGTTGTCC</t>
  </si>
  <si>
    <t xml:space="preserve">AAACGGACAACGGCCTGATCGGCG</t>
  </si>
  <si>
    <t xml:space="preserve">GTCCAGATGCTCTGCTGCTC</t>
  </si>
  <si>
    <t xml:space="preserve">TAGTGTCCAGATGCTCTGCTGCTC</t>
  </si>
  <si>
    <t xml:space="preserve">AAACGAGCAGCAGAGCATCTGGAC</t>
  </si>
  <si>
    <t xml:space="preserve">GATCACCAGGATCGGGAAGC</t>
  </si>
  <si>
    <t xml:space="preserve">TAGTGATCACCAGGATCGGGAAGC</t>
  </si>
  <si>
    <t xml:space="preserve">AAACGCTTCCCGATCCTGGTGATC</t>
  </si>
  <si>
    <t xml:space="preserve">PST_3320</t>
  </si>
  <si>
    <t xml:space="preserve">GTACTGTTTCTTCTGCTCGT</t>
  </si>
  <si>
    <t xml:space="preserve">TAGTGTACTGTTTCTTCTGCTCGT</t>
  </si>
  <si>
    <t xml:space="preserve">AAACACGAGCAGAAGAAACAGTAC</t>
  </si>
  <si>
    <t xml:space="preserve">CGGTTTCAGATGATGGCCGA</t>
  </si>
  <si>
    <t xml:space="preserve">TAGTCGGTTTCAGATGATGGCCGA</t>
  </si>
  <si>
    <t xml:space="preserve">AAACTCGGCCATCATCTGAAACCG</t>
  </si>
  <si>
    <t xml:space="preserve">GCCTTCGGTCAGCCCGTTTT</t>
  </si>
  <si>
    <t xml:space="preserve">TAGTGCCTTCGGTCAGCCCGTTTT</t>
  </si>
  <si>
    <t xml:space="preserve">AAACAAAACGGGCTGACCGAAGGC</t>
  </si>
  <si>
    <t xml:space="preserve">GTTCAGGGCTCGCTCCAGTT</t>
  </si>
  <si>
    <t xml:space="preserve">TAGTGTTCAGGGCTCGCTCCAGTT</t>
  </si>
  <si>
    <t xml:space="preserve">AAACAACTGGAGCGAGCCCTGAAC</t>
  </si>
  <si>
    <t xml:space="preserve">PST_3321</t>
  </si>
  <si>
    <t xml:space="preserve">GTGATGAAGCCGGCGCGCGC</t>
  </si>
  <si>
    <t xml:space="preserve">TAGTGTGATGAAGCCGGCGCGCGC</t>
  </si>
  <si>
    <t xml:space="preserve">AAACGCGCGCGCCGGCTTCATCAC</t>
  </si>
  <si>
    <t xml:space="preserve">GAAGGTCTGGGTCAACTGCC</t>
  </si>
  <si>
    <t xml:space="preserve">TAGTGAAGGTCTGGGTCAACTGCC</t>
  </si>
  <si>
    <t xml:space="preserve">AAACGGCAGTTGACCCAGACCTTC</t>
  </si>
  <si>
    <t xml:space="preserve">CCAGAAACTGCAGCAACCAC</t>
  </si>
  <si>
    <t xml:space="preserve">TAGTCCAGAAACTGCAGCAACCAC</t>
  </si>
  <si>
    <t xml:space="preserve">AAACGTGGTTGCTGCAGTTTCTGG</t>
  </si>
  <si>
    <t xml:space="preserve">GTAGCGGTGCCAGGCCGATC</t>
  </si>
  <si>
    <t xml:space="preserve">TAGTGTAGCGGTGCCAGGCCGATC</t>
  </si>
  <si>
    <t xml:space="preserve">AAACGATCGGCCTGGCACCGCTAC</t>
  </si>
  <si>
    <t xml:space="preserve">PST_3322</t>
  </si>
  <si>
    <t xml:space="preserve">greA</t>
  </si>
  <si>
    <t xml:space="preserve">GAGCGCCCTGGATGGTCATG</t>
  </si>
  <si>
    <t xml:space="preserve">TAGTGAGCGCCCTGGATGGTCATG</t>
  </si>
  <si>
    <t xml:space="preserve">AAACCATGACCATCCAGGGCGCTC</t>
  </si>
  <si>
    <t xml:space="preserve">ATGTTTGAGCTCTTCTTCCA</t>
  </si>
  <si>
    <t xml:space="preserve">TAGTATGTTTGAGCTCTTCTTCCA</t>
  </si>
  <si>
    <t xml:space="preserve">AAACTGGAAGAAGAGCTCAAACAT</t>
  </si>
  <si>
    <t xml:space="preserve">GGTGATCTGCGGGCGCAGCA</t>
  </si>
  <si>
    <t xml:space="preserve">TAGTGGTGATCTGCGGGCGCAGCA</t>
  </si>
  <si>
    <t xml:space="preserve">AAACTGCTGCGCCCGCAGATCACC</t>
  </si>
  <si>
    <t xml:space="preserve">CACGCGCCTCGGCGATGGCC</t>
  </si>
  <si>
    <t xml:space="preserve">TAGTCACGCGCCTCGGCGATGGCC</t>
  </si>
  <si>
    <t xml:space="preserve">AAACGGCCATCGCCGAGGCGCGTG</t>
  </si>
  <si>
    <t xml:space="preserve">PST_3323</t>
  </si>
  <si>
    <t xml:space="preserve">carB</t>
  </si>
  <si>
    <t xml:space="preserve">CTTTTGATATCTGTACGTTT</t>
  </si>
  <si>
    <t xml:space="preserve">TAGTCTTTTGATATCTGTACGTTT</t>
  </si>
  <si>
    <t xml:space="preserve">AAACAAACGTACAGATATCAAAAG</t>
  </si>
  <si>
    <t xml:space="preserve">TGGGGCCAGCGCCGAGGATG</t>
  </si>
  <si>
    <t xml:space="preserve">TAGTTGGGGCCAGCGCCGAGGATG</t>
  </si>
  <si>
    <t xml:space="preserve">AAACCATCCTCGGCGCTGGCCCCA</t>
  </si>
  <si>
    <t xml:space="preserve">GCAGGCCTGGCCGATGACGA</t>
  </si>
  <si>
    <t xml:space="preserve">TAGTGCAGGCCTGGCCGATGACGA</t>
  </si>
  <si>
    <t xml:space="preserve">AAACTCGTCATCGGCCAGGCCTGC</t>
  </si>
  <si>
    <t xml:space="preserve">CGCCTTGCACGCCTGGGCAC</t>
  </si>
  <si>
    <t xml:space="preserve">TAGTCGCCTTGCACGCCTGGGCAC</t>
  </si>
  <si>
    <t xml:space="preserve">AAACGTGCCCAGGCGTGCAAGGCG</t>
  </si>
  <si>
    <t xml:space="preserve">PST_3324</t>
  </si>
  <si>
    <t xml:space="preserve">carA</t>
  </si>
  <si>
    <t xml:space="preserve">AGAATGGCTGGCGTAAGGGC</t>
  </si>
  <si>
    <t xml:space="preserve">TAGTAGAATGGCTGGCGTAAGGGC</t>
  </si>
  <si>
    <t xml:space="preserve">AAACGCCCTTACGCCAGCCATTCT</t>
  </si>
  <si>
    <t xml:space="preserve">GCCGCGAAAGATGCTGCCAT</t>
  </si>
  <si>
    <t xml:space="preserve">TAGTGCCGCGAAAGATGCTGCCAT</t>
  </si>
  <si>
    <t xml:space="preserve">AAACATGGCAGCATCTTTCGCGGC</t>
  </si>
  <si>
    <t xml:space="preserve">CTCACCAATGGTTTGCCCAT</t>
  </si>
  <si>
    <t xml:space="preserve">TAGTCTCACCAATGGTTTGCCCAT</t>
  </si>
  <si>
    <t xml:space="preserve">AAACATGGGCAAACCATTGGTGAG</t>
  </si>
  <si>
    <t xml:space="preserve">TTCCTGATAGCCGGTCATGG</t>
  </si>
  <si>
    <t xml:space="preserve">TAGTTTCCTGATAGCCGGTCATGG</t>
  </si>
  <si>
    <t xml:space="preserve">AAACCCATGACCGGCTATCAGGAA</t>
  </si>
  <si>
    <t xml:space="preserve">PST_3325</t>
  </si>
  <si>
    <t xml:space="preserve">dapB</t>
  </si>
  <si>
    <t xml:space="preserve">TGTCTTGCCCATGCGCCCGG</t>
  </si>
  <si>
    <t xml:space="preserve">TAGTTGTCTTGCCCATGCGCCCGG</t>
  </si>
  <si>
    <t xml:space="preserve">AAACCCGGGCGCATGGGCAAGACA</t>
  </si>
  <si>
    <t xml:space="preserve">ATCGATGGCCGCGGTCAGAC</t>
  </si>
  <si>
    <t xml:space="preserve">TAGTATCGATGGCCGCGGTCAGAC</t>
  </si>
  <si>
    <t xml:space="preserve">AAACGTCTGACCGCGGCCATCGAT</t>
  </si>
  <si>
    <t xml:space="preserve">GCGCCGACCAGGGTGCTGTC</t>
  </si>
  <si>
    <t xml:space="preserve">TAGTGCGCCGACCAGGGTGCTGTC</t>
  </si>
  <si>
    <t xml:space="preserve">AAACGACAGCACCCTGGTCGGCGC</t>
  </si>
  <si>
    <t xml:space="preserve">GGCTGCCAGCTCGCCCGCAT</t>
  </si>
  <si>
    <t xml:space="preserve">TAGTGGCTGCCAGCTCGCCCGCAT</t>
  </si>
  <si>
    <t xml:space="preserve">AAACATGCGGGCGAGCTGGCAGCC</t>
  </si>
  <si>
    <t xml:space="preserve">PST_3326</t>
  </si>
  <si>
    <t xml:space="preserve">dnaJ</t>
  </si>
  <si>
    <t xml:space="preserve">GCGGTCGGGGTGATGCTTCA</t>
  </si>
  <si>
    <t xml:space="preserve">TAGTGCGGTCGGGGTGATGCTTCA</t>
  </si>
  <si>
    <t xml:space="preserve">AAACTGAAGCATCACCCCGACCGC</t>
  </si>
  <si>
    <t xml:space="preserve">TCCTCCGCCGCCTTGTCACC</t>
  </si>
  <si>
    <t xml:space="preserve">TAGTTCCTCCGCCGCCTTGTCACC</t>
  </si>
  <si>
    <t xml:space="preserve">AAACGGTGACAAGGCGGCGGAGGA</t>
  </si>
  <si>
    <t xml:space="preserve">GGCCTCATTGGCCTCCTTGA</t>
  </si>
  <si>
    <t xml:space="preserve">TAGTGGCCTCATTGGCCTCCTTGA</t>
  </si>
  <si>
    <t xml:space="preserve">AAACTCAAGGAGGCCAATGAGGCC</t>
  </si>
  <si>
    <t xml:space="preserve">CGGGTCGGAAAGCACCTCGT</t>
  </si>
  <si>
    <t xml:space="preserve">TAGTCGGGTCGGAAAGCACCTCGT</t>
  </si>
  <si>
    <t xml:space="preserve">AAACACGAGGTGCTTTCCGACCCG</t>
  </si>
  <si>
    <t xml:space="preserve">PST_3327</t>
  </si>
  <si>
    <t xml:space="preserve">dnaK</t>
  </si>
  <si>
    <t xml:space="preserve">CACAGGAGTTGGTGGTCCCC</t>
  </si>
  <si>
    <t xml:space="preserve">TAGTCACAGGAGTTGGTGGTCCCC</t>
  </si>
  <si>
    <t xml:space="preserve">AAACGGGGACCACCAACTCCTGTG</t>
  </si>
  <si>
    <t xml:space="preserve">GACGTTGCCGTTTTCCATGA</t>
  </si>
  <si>
    <t xml:space="preserve">TAGTGACGTTGCCGTTTTCCATGA</t>
  </si>
  <si>
    <t xml:space="preserve">AAACTCATGGAAAACGGCAACGTC</t>
  </si>
  <si>
    <t xml:space="preserve">CGGCGTGGTGCGTCCGCCTT</t>
  </si>
  <si>
    <t xml:space="preserve">TAGTCGGCGTGGTGCGTCCGCCTT</t>
  </si>
  <si>
    <t xml:space="preserve">AAACAAGGCGGACGCACCACGCCG</t>
  </si>
  <si>
    <t xml:space="preserve">TTGGTGTAGGCGATGATGGA</t>
  </si>
  <si>
    <t xml:space="preserve">TAGTTTGGTGTAGGCGATGATGGA</t>
  </si>
  <si>
    <t xml:space="preserve">AAACTCCATCATCGCCTACACCAA</t>
  </si>
  <si>
    <t xml:space="preserve">PST_3328</t>
  </si>
  <si>
    <t xml:space="preserve">grpE</t>
  </si>
  <si>
    <t xml:space="preserve">AGGTTCTGCTCGTCGGCCAT</t>
  </si>
  <si>
    <t xml:space="preserve">TAGTAGGTTCTGCTCGTCGGCCAT</t>
  </si>
  <si>
    <t xml:space="preserve">AAACATGGCCGACGAGCAGAACCT</t>
  </si>
  <si>
    <t xml:space="preserve">TTTCCGGGTTCTGGTTATCC</t>
  </si>
  <si>
    <t xml:space="preserve">TAGTTTTCCGGGTTCTGGTTATCC</t>
  </si>
  <si>
    <t xml:space="preserve">AAACGGATAACCAGAACCCGGAAA</t>
  </si>
  <si>
    <t xml:space="preserve">ACGTCTGCTTGCGATTGCTC</t>
  </si>
  <si>
    <t xml:space="preserve">TAGTACGTCTGCTTGCGATTGCTC</t>
  </si>
  <si>
    <t xml:space="preserve">AAACGAGCAATCGCAAGCAGACGT</t>
  </si>
  <si>
    <t xml:space="preserve">CACGCGGGCTGCCAGATCCT</t>
  </si>
  <si>
    <t xml:space="preserve">TAGTCACGCGGGCTGCCAGATCCT</t>
  </si>
  <si>
    <t xml:space="preserve">AAACAGGATCTGGCAGCCCGCGTG</t>
  </si>
  <si>
    <t xml:space="preserve">PST_3329</t>
  </si>
  <si>
    <t xml:space="preserve">recN</t>
  </si>
  <si>
    <t xml:space="preserve">AACCGACAGATGAACCAGCA</t>
  </si>
  <si>
    <t xml:space="preserve">TAGTAACCGACAGATGAACCAGCA</t>
  </si>
  <si>
    <t xml:space="preserve">AAACTGCTGGTTCATCTGTCGGTT</t>
  </si>
  <si>
    <t xml:space="preserve">CGCGTTTCAGCTCGAGGTCC</t>
  </si>
  <si>
    <t xml:space="preserve">TAGTCGCGTTTCAGCTCGAGGTCC</t>
  </si>
  <si>
    <t xml:space="preserve">AAACGGACCTCGAGCTGAAACGCG</t>
  </si>
  <si>
    <t xml:space="preserve">CATGATCGATTTGCCCGCGC</t>
  </si>
  <si>
    <t xml:space="preserve">TAGTCATGATCGATTTGCCCGCGC</t>
  </si>
  <si>
    <t xml:space="preserve">AAACGCGCGGGCAAATCGATCATG</t>
  </si>
  <si>
    <t xml:space="preserve">GCTGTCGGCCCGGTCGCCGA</t>
  </si>
  <si>
    <t xml:space="preserve">TAGTGCTGTCGGCCCGGTCGCCGA</t>
  </si>
  <si>
    <t xml:space="preserve">AAACTCGGCGACCGGGCCGACAGC</t>
  </si>
  <si>
    <t xml:space="preserve">PST_3330</t>
  </si>
  <si>
    <t xml:space="preserve">fur</t>
  </si>
  <si>
    <t xml:space="preserve">TAGTTCGCTATTTTCAACCA</t>
  </si>
  <si>
    <t xml:space="preserve">TAGTTAGTTCGCTATTTTCAACCA</t>
  </si>
  <si>
    <t xml:space="preserve">AAACTGGTTGAAAATAGCGAACTA</t>
  </si>
  <si>
    <t xml:space="preserve">ATCTGCAGGATCTTGACCCG</t>
  </si>
  <si>
    <t xml:space="preserve">TAGTATCTGCAGGATCTTGACCCG</t>
  </si>
  <si>
    <t xml:space="preserve">AAACCGGGTCAAGATCCTGCAGAT</t>
  </si>
  <si>
    <t xml:space="preserve">CCTCGGCGCTCATGTGTCGA</t>
  </si>
  <si>
    <t xml:space="preserve">TAGTCCTCGGCGCTCATGTGTCGA</t>
  </si>
  <si>
    <t xml:space="preserve">AAACTCGACACATGAGCGCCGAGG</t>
  </si>
  <si>
    <t xml:space="preserve">CAGGCCGGCCGCCTCGAACT</t>
  </si>
  <si>
    <t xml:space="preserve">TAGTCAGGCCGGCCGCCTCGAACT</t>
  </si>
  <si>
    <t xml:space="preserve">AAACAGTTCGAGGCGGCCGGCCTG</t>
  </si>
  <si>
    <t xml:space="preserve">PST_3331</t>
  </si>
  <si>
    <t xml:space="preserve">omlA</t>
  </si>
  <si>
    <t xml:space="preserve">GATCATACCCGTATTGAAGG</t>
  </si>
  <si>
    <t xml:space="preserve">TAGTGATCATACCCGTATTGAAGG</t>
  </si>
  <si>
    <t xml:space="preserve">AAACCCTTCAATACGGGTATGATC</t>
  </si>
  <si>
    <t xml:space="preserve">TCTTGGCTGGGCAAAGAACC</t>
  </si>
  <si>
    <t xml:space="preserve">TAGTTCTTGGCTGGGCAAAGAACC</t>
  </si>
  <si>
    <t xml:space="preserve">AAACGGTTCTTTGCCCAGCCAAGA</t>
  </si>
  <si>
    <t xml:space="preserve">GCTTGGTGTTTTGCATCGGT</t>
  </si>
  <si>
    <t xml:space="preserve">TAGTGCTTGGTGTTTTGCATCGGT</t>
  </si>
  <si>
    <t xml:space="preserve">AAACACCGATGCAAAACACCAAGC</t>
  </si>
  <si>
    <t xml:space="preserve">CAGACCCACGAGGGTGAGGC</t>
  </si>
  <si>
    <t xml:space="preserve">TAGTCAGACCCACGAGGGTGAGGC</t>
  </si>
  <si>
    <t xml:space="preserve">AAACGCCTCACCCTCGTGGGTCTG</t>
  </si>
  <si>
    <t xml:space="preserve">PST_3332</t>
  </si>
  <si>
    <t xml:space="preserve">CAGCGCATAGACCACTTCGA</t>
  </si>
  <si>
    <t xml:space="preserve">TAGTCAGCGCATAGACCACTTCGA</t>
  </si>
  <si>
    <t xml:space="preserve">AAACTCGAAGTGGTCTATGCGCTG</t>
  </si>
  <si>
    <t xml:space="preserve">CTGCAGCAGCTTCTGCTTGT</t>
  </si>
  <si>
    <t xml:space="preserve">TAGTCTGCAGCAGCTTCTGCTTGT</t>
  </si>
  <si>
    <t xml:space="preserve">AAACACAAGCAGAAGCTGCTGCAG</t>
  </si>
  <si>
    <t xml:space="preserve">GACGGTAGTGCCGGCTGGCA</t>
  </si>
  <si>
    <t xml:space="preserve">TAGTGACGGTAGTGCCGGCTGGCA</t>
  </si>
  <si>
    <t xml:space="preserve">AAACTGCCAGCCGGCACTACCGTC</t>
  </si>
  <si>
    <t xml:space="preserve">CGGAACGCAGCGCGGCCTCG</t>
  </si>
  <si>
    <t xml:space="preserve">TAGTCGGAACGCAGCGCGGCCTCG</t>
  </si>
  <si>
    <t xml:space="preserve">AAACCGAGGCCGCGCTGCGTTCCG</t>
  </si>
  <si>
    <t xml:space="preserve">PST_3333</t>
  </si>
  <si>
    <t xml:space="preserve">CGCGGGGTAAGGCAGCAGCG</t>
  </si>
  <si>
    <t xml:space="preserve">TAGTCGCGGGGTAAGGCAGCAGCG</t>
  </si>
  <si>
    <t xml:space="preserve">AAACCGCTGCTGCCTTACCCCGCG</t>
  </si>
  <si>
    <t xml:space="preserve">GGGCAGGAACTGCGGATAAC</t>
  </si>
  <si>
    <t xml:space="preserve">TAGTGGGCAGGAACTGCGGATAAC</t>
  </si>
  <si>
    <t xml:space="preserve">AAACGTTATCCGCAGTTCCTGCCC</t>
  </si>
  <si>
    <t xml:space="preserve">ACCTCGGTCGCAGAGCACCA</t>
  </si>
  <si>
    <t xml:space="preserve">TAGTACCTCGGTCGCAGAGCACCA</t>
  </si>
  <si>
    <t xml:space="preserve">AAACTGGTGCTCTGCGACCGAGGT</t>
  </si>
  <si>
    <t xml:space="preserve">GTGCATCTCGGTCTCGCTGC</t>
  </si>
  <si>
    <t xml:space="preserve">TAGTGTGCATCTCGGTCTCGCTGC</t>
  </si>
  <si>
    <t xml:space="preserve">AAACGCAGCGAGACCGAGATGCAC</t>
  </si>
  <si>
    <t xml:space="preserve">PST_3334</t>
  </si>
  <si>
    <t xml:space="preserve">smpB</t>
  </si>
  <si>
    <t xml:space="preserve">TGCTTCTTCTGTTTGGCCAT</t>
  </si>
  <si>
    <t xml:space="preserve">TAGTTGCTTCTTCTGTTTGGCCAT</t>
  </si>
  <si>
    <t xml:space="preserve">AAACATGGCCAAACAGAAGAAGCA</t>
  </si>
  <si>
    <t xml:space="preserve">GTTCAGCGCGATGGTCCCGG</t>
  </si>
  <si>
    <t xml:space="preserve">TAGTGTTCAGCGCGATGGTCCCGG</t>
  </si>
  <si>
    <t xml:space="preserve">AAACCCGGGACCATCGCGCTGAAC</t>
  </si>
  <si>
    <t xml:space="preserve">CCAGCCGGCAAGGACGAGGC</t>
  </si>
  <si>
    <t xml:space="preserve">TAGTCCAGCCGGCAAGGACGAGGC</t>
  </si>
  <si>
    <t xml:space="preserve">AAACGCCTCGTCCTTGCCGGCTGG</t>
  </si>
  <si>
    <t xml:space="preserve">GTCCACCAGCTGCGCCTTGC</t>
  </si>
  <si>
    <t xml:space="preserve">TAGTGTCCACCAGCTGCGCCTTGC</t>
  </si>
  <si>
    <t xml:space="preserve">AAACGCAAGGCGCAGCTGGTGGAC</t>
  </si>
  <si>
    <t xml:space="preserve">PST_3335</t>
  </si>
  <si>
    <t xml:space="preserve">CAACTGCGCGACGATGTCGT</t>
  </si>
  <si>
    <t xml:space="preserve">TAGTCAACTGCGCGACGATGTCGT</t>
  </si>
  <si>
    <t xml:space="preserve">AAACACGACATCGTCGCGCAGTTG</t>
  </si>
  <si>
    <t xml:space="preserve">GAGGGTGCCCTCCAGAATCA</t>
  </si>
  <si>
    <t xml:space="preserve">TAGTGAGGGTGCCCTCCAGAATCA</t>
  </si>
  <si>
    <t xml:space="preserve">AAACTGATTCTGGAGGGCACCCTC</t>
  </si>
  <si>
    <t xml:space="preserve">TTCGGCCGGCAGTCGCTCAC</t>
  </si>
  <si>
    <t xml:space="preserve">TAGTTTCGGCCGGCAGTCGCTCAC</t>
  </si>
  <si>
    <t xml:space="preserve">AAACGTGAGCGACTGCCGGCCGAA</t>
  </si>
  <si>
    <t xml:space="preserve">CCGCGACACCCCGAAGCGCT</t>
  </si>
  <si>
    <t xml:space="preserve">TAGTCCGCGACACCCCGAAGCGCT</t>
  </si>
  <si>
    <t xml:space="preserve">AAACAGCGCTTCGGGGTGTCGCGG</t>
  </si>
  <si>
    <t xml:space="preserve">PST_3336</t>
  </si>
  <si>
    <t xml:space="preserve">GAAAAGTGCGAGCAGTCCGT</t>
  </si>
  <si>
    <t xml:space="preserve">TAGTGAAAAGTGCGAGCAGTCCGT</t>
  </si>
  <si>
    <t xml:space="preserve">AAACACGGACTGCTCGCACTTTTC</t>
  </si>
  <si>
    <t xml:space="preserve">ATCACGGCCGCGAGCAGAAT</t>
  </si>
  <si>
    <t xml:space="preserve">TAGTATCACGGCCGCGAGCAGAAT</t>
  </si>
  <si>
    <t xml:space="preserve">AAACATTCTGCTCGCGGCCGTGAT</t>
  </si>
  <si>
    <t xml:space="preserve">AGCGGCATGGCGCGGCTGGC</t>
  </si>
  <si>
    <t xml:space="preserve">TAGTAGCGGCATGGCGCGGCTGGC</t>
  </si>
  <si>
    <t xml:space="preserve">AAACGCCAGCCGCGCCATGCCGCT</t>
  </si>
  <si>
    <t xml:space="preserve">GGCCGATGGCCGCGGTGAAC</t>
  </si>
  <si>
    <t xml:space="preserve">TAGTGGCCGATGGCCGCGGTGAAC</t>
  </si>
  <si>
    <t xml:space="preserve">AAACGTTCACCGCGGCCATCGGCC</t>
  </si>
  <si>
    <t xml:space="preserve">PST_3337</t>
  </si>
  <si>
    <t xml:space="preserve">TTGTAGAAGAGTTCGCTCAT</t>
  </si>
  <si>
    <t xml:space="preserve">TAGTTTGTAGAAGAGTTCGCTCAT</t>
  </si>
  <si>
    <t xml:space="preserve">AAACATGAGCGAACTCTTCTACAA</t>
  </si>
  <si>
    <t xml:space="preserve">GACGCGGGTGGCGTTCGGCG</t>
  </si>
  <si>
    <t xml:space="preserve">TAGTGACGCGGGTGGCGTTCGGCG</t>
  </si>
  <si>
    <t xml:space="preserve">AAACCGCCGAACGCCACCCGCGTC</t>
  </si>
  <si>
    <t xml:space="preserve">TCGCGTGGCTTGGGCAGCGG</t>
  </si>
  <si>
    <t xml:space="preserve">TAGTTCGCGTGGCTTGGGCAGCGG</t>
  </si>
  <si>
    <t xml:space="preserve">AAACCCGCTGCCCAAGCCACGCGA</t>
  </si>
  <si>
    <t xml:space="preserve">TAGACCTGGCTCGGCTTGGC</t>
  </si>
  <si>
    <t xml:space="preserve">TAGTTAGACCTGGCTCGGCTTGGC</t>
  </si>
  <si>
    <t xml:space="preserve">AAACGCCAAGCCGAGCCAGGTCTA</t>
  </si>
  <si>
    <t xml:space="preserve">PST_3338</t>
  </si>
  <si>
    <t xml:space="preserve">GATCGCTGGGATGCGCTGTT</t>
  </si>
  <si>
    <t xml:space="preserve">TAGTGATCGCTGGGATGCGCTGTT</t>
  </si>
  <si>
    <t xml:space="preserve">AAACAACAGCGCATCCCAGCGATC</t>
  </si>
  <si>
    <t xml:space="preserve">GGTCACCGGCGTTCTCGATC</t>
  </si>
  <si>
    <t xml:space="preserve">TAGTGGTCACCGGCGTTCTCGATC</t>
  </si>
  <si>
    <t xml:space="preserve">AAACGATCGAGAACGCCGGTGACC</t>
  </si>
  <si>
    <t xml:space="preserve">GGGCGCGGGCGCGGAAGTCC</t>
  </si>
  <si>
    <t xml:space="preserve">TAGTGGGCGCGGGCGCGGAAGTCC</t>
  </si>
  <si>
    <t xml:space="preserve">AAACGGACTTCCGCGCCCGCGCCC</t>
  </si>
  <si>
    <t xml:space="preserve">GTCGTCCTTCAGGGACTTGC</t>
  </si>
  <si>
    <t xml:space="preserve">TAGTGTCGTCCTTCAGGGACTTGC</t>
  </si>
  <si>
    <t xml:space="preserve">AAACGCAAGTCCCTGAAGGACGAC</t>
  </si>
  <si>
    <t xml:space="preserve">PST_3339</t>
  </si>
  <si>
    <t xml:space="preserve">CTTGGCGAGGATATTGGCCT</t>
  </si>
  <si>
    <t xml:space="preserve">TAGTCTTGGCGAGGATATTGGCCT</t>
  </si>
  <si>
    <t xml:space="preserve">AAACAGGCCAATATCCTCGCCAAG</t>
  </si>
  <si>
    <t xml:space="preserve">CCACCGGCGTGGTGCCTTCC</t>
  </si>
  <si>
    <t xml:space="preserve">TAGTCCACCGGCGTGGTGCCTTCC</t>
  </si>
  <si>
    <t xml:space="preserve">AAACGGAAGGCACCACGCCGGTGG</t>
  </si>
  <si>
    <t xml:space="preserve">CGGCGCGTAGCTCCAGGGCT</t>
  </si>
  <si>
    <t xml:space="preserve">TAGTCGGCGCGTAGCTCCAGGGCT</t>
  </si>
  <si>
    <t xml:space="preserve">AAACAGCCCTGGAGCTACGCGCCG</t>
  </si>
  <si>
    <t xml:space="preserve">AGACGAGCGATACGCTGTTC</t>
  </si>
  <si>
    <t xml:space="preserve">TAGTAGACGAGCGATACGCTGTTC</t>
  </si>
  <si>
    <t xml:space="preserve">AAACGAACAGCGTATCGCTCGTCT</t>
  </si>
  <si>
    <t xml:space="preserve">PST_3340</t>
  </si>
  <si>
    <t xml:space="preserve">AGGCGCGCGTTCGAGTTGCG</t>
  </si>
  <si>
    <t xml:space="preserve">TAGTAGGCGCGCGTTCGAGTTGCG</t>
  </si>
  <si>
    <t xml:space="preserve">AAACCGCAACTCGAACGCGCGCCT</t>
  </si>
  <si>
    <t xml:space="preserve">CGGAGGAATGCGGCTGGCAA</t>
  </si>
  <si>
    <t xml:space="preserve">TAGTCGGAGGAATGCGGCTGGCAA</t>
  </si>
  <si>
    <t xml:space="preserve">AAACTTGCCAGCCGCATTCCTCCG</t>
  </si>
  <si>
    <t xml:space="preserve">GGATCAGGTGTTCGACTTCG</t>
  </si>
  <si>
    <t xml:space="preserve">TAGTGGATCAGGTGTTCGACTTCG</t>
  </si>
  <si>
    <t xml:space="preserve">AAACCGAAGTCGAACACCTGATCC</t>
  </si>
  <si>
    <t xml:space="preserve">CGTCGAAGCGCCGCTCGACC</t>
  </si>
  <si>
    <t xml:space="preserve">TAGTCGTCGAAGCGCCGCTCGACC</t>
  </si>
  <si>
    <t xml:space="preserve">AAACGGTCGAGCGGCGCTTCGACG</t>
  </si>
  <si>
    <t xml:space="preserve">PST_3341</t>
  </si>
  <si>
    <t xml:space="preserve">AGTCGAATCGAACCCGTCAG</t>
  </si>
  <si>
    <t xml:space="preserve">TAGTAGTCGAATCGAACCCGTCAG</t>
  </si>
  <si>
    <t xml:space="preserve">AAACCTGACGGGTTCGATTCGACT</t>
  </si>
  <si>
    <t xml:space="preserve">CCTGAGAACTGCTGAAACGG</t>
  </si>
  <si>
    <t xml:space="preserve">TAGTCCTGAGAACTGCTGAAACGG</t>
  </si>
  <si>
    <t xml:space="preserve">AAACCCGTTTCAGCAGTTCTCAGG</t>
  </si>
  <si>
    <t xml:space="preserve">TCCAGTCTTGTGGACTTCCC</t>
  </si>
  <si>
    <t xml:space="preserve">TAGTTCCAGTCTTGTGGACTTCCC</t>
  </si>
  <si>
    <t xml:space="preserve">AAACGGGAAGTCCACAAGACTGGA</t>
  </si>
  <si>
    <t xml:space="preserve">AGTGCATGAACTTTCATTGT</t>
  </si>
  <si>
    <t xml:space="preserve">TAGTAGTGCATGAACTTTCATTGT</t>
  </si>
  <si>
    <t xml:space="preserve">AAACACAATGAAAGTTCATGCACT</t>
  </si>
  <si>
    <t xml:space="preserve">PST_3343</t>
  </si>
  <si>
    <t xml:space="preserve">AGCGTGCCTGGATCCTGTGG</t>
  </si>
  <si>
    <t xml:space="preserve">TAGTAGCGTGCCTGGATCCTGTGG</t>
  </si>
  <si>
    <t xml:space="preserve">AAACCCACAGGATCCAGGCACGCT</t>
  </si>
  <si>
    <t xml:space="preserve">AGCTTGGCTTTCTGCGCGTC</t>
  </si>
  <si>
    <t xml:space="preserve">TAGTAGCTTGGCTTTCTGCGCGTC</t>
  </si>
  <si>
    <t xml:space="preserve">AAACGACGCGCAGAAAGCCAAGCT</t>
  </si>
  <si>
    <t xml:space="preserve">GACGGAGGGTTGCGTAAAGA</t>
  </si>
  <si>
    <t xml:space="preserve">TAGTGACGGAGGGTTGCGTAAAGA</t>
  </si>
  <si>
    <t xml:space="preserve">AAACTCTTTACGCAACCCTCCGTC</t>
  </si>
  <si>
    <t xml:space="preserve">CCTGCGTTTGAACCACGCGC</t>
  </si>
  <si>
    <t xml:space="preserve">TAGTCCTGCGTTTGAACCACGCGC</t>
  </si>
  <si>
    <t xml:space="preserve">AAACGCGCGTGGTTCAAACGCAGG</t>
  </si>
  <si>
    <t xml:space="preserve">PST_3344</t>
  </si>
  <si>
    <t xml:space="preserve">GTAAAAAGGAATGGAGAGGG</t>
  </si>
  <si>
    <t xml:space="preserve">TAGTGTAAAAAGGAATGGAGAGGG</t>
  </si>
  <si>
    <t xml:space="preserve">AAACCCCTCTCCATTCCTTTTTAC</t>
  </si>
  <si>
    <t xml:space="preserve">CGGGTTCGACGATAAGACTC</t>
  </si>
  <si>
    <t xml:space="preserve">TAGTCGGGTTCGACGATAAGACTC</t>
  </si>
  <si>
    <t xml:space="preserve">AAACGAGTCTTATCGTCGAACCCG</t>
  </si>
  <si>
    <t xml:space="preserve">TCGCAAGTGTTCTTCATGGC</t>
  </si>
  <si>
    <t xml:space="preserve">TAGTTCGCAAGTGTTCTTCATGGC</t>
  </si>
  <si>
    <t xml:space="preserve">AAACGCCATGAAGAACACTTGCGA</t>
  </si>
  <si>
    <t xml:space="preserve">GCAAAGGAGAAGACTGAAAG</t>
  </si>
  <si>
    <t xml:space="preserve">TAGTGCAAAGGAGAAGACTGAAAG</t>
  </si>
  <si>
    <t xml:space="preserve">AAACCTTTCAGTCTTCTCCTTTGC</t>
  </si>
  <si>
    <t xml:space="preserve">PST_3345</t>
  </si>
  <si>
    <t xml:space="preserve">AAAAGGCCGCAGATTGGCTG</t>
  </si>
  <si>
    <t xml:space="preserve">TAGTAAAAGGCCGCAGATTGGCTG</t>
  </si>
  <si>
    <t xml:space="preserve">AAACCAGCCAATCTGCGGCCTTTT</t>
  </si>
  <si>
    <t xml:space="preserve">CCCGGAGTTGCGTGAAAATT</t>
  </si>
  <si>
    <t xml:space="preserve">TAGTCCCGGAGTTGCGTGAAAATT</t>
  </si>
  <si>
    <t xml:space="preserve">AAACAATTTTCACGCAACTCCGGG</t>
  </si>
  <si>
    <t xml:space="preserve">GTGGACTGTGCTCAGCGATA</t>
  </si>
  <si>
    <t xml:space="preserve">TAGTGTGGACTGTGCTCAGCGATA</t>
  </si>
  <si>
    <t xml:space="preserve">AAACTATCGCTGAGCACAGTCCAC</t>
  </si>
  <si>
    <t xml:space="preserve">AGCGGATGCAAGTTCTTCGA</t>
  </si>
  <si>
    <t xml:space="preserve">TAGTAGCGGATGCAAGTTCTTCGA</t>
  </si>
  <si>
    <t xml:space="preserve">AAACTCGAAGAACTTGCATCCGCT</t>
  </si>
  <si>
    <t xml:space="preserve">PST_3348</t>
  </si>
  <si>
    <t xml:space="preserve">CAAATTGCGGAGTTTTTCCT</t>
  </si>
  <si>
    <t xml:space="preserve">TAGTCAAATTGCGGAGTTTTTCCT</t>
  </si>
  <si>
    <t xml:space="preserve">AAACAGGAAAAACTCCGCAATTTG</t>
  </si>
  <si>
    <t xml:space="preserve">ATATTGAAATAATTTCGCGC</t>
  </si>
  <si>
    <t xml:space="preserve">TAGTATATTGAAATAATTTCGCGC</t>
  </si>
  <si>
    <t xml:space="preserve">AAACGCGCGAAATTATTTCAATAT</t>
  </si>
  <si>
    <t xml:space="preserve">ATGCTGGTGCGGCTGGGCTG</t>
  </si>
  <si>
    <t xml:space="preserve">TAGTATGCTGGTGCGGCTGGGCTG</t>
  </si>
  <si>
    <t xml:space="preserve">AAACCAGCCCAGCCGCACCAGCAT</t>
  </si>
  <si>
    <t xml:space="preserve">AGGCGCTTGAGACGTCGGGG</t>
  </si>
  <si>
    <t xml:space="preserve">TAGTAGGCGCTTGAGACGTCGGGG</t>
  </si>
  <si>
    <t xml:space="preserve">AAACCCCCGACGTCTCAAGCGCCT</t>
  </si>
  <si>
    <t xml:space="preserve">PST_3349</t>
  </si>
  <si>
    <t xml:space="preserve">ACACCTCAACCGCAGGCACC</t>
  </si>
  <si>
    <t xml:space="preserve">TAGTACACCTCAACCGCAGGCACC</t>
  </si>
  <si>
    <t xml:space="preserve">AAACGGTGCCTGCGGTTGAGGTGT</t>
  </si>
  <si>
    <t xml:space="preserve">GTCTGGCACACCGGTAAGGT</t>
  </si>
  <si>
    <t xml:space="preserve">TAGTGTCTGGCACACCGGTAAGGT</t>
  </si>
  <si>
    <t xml:space="preserve">AAACACCTTACCGGTGTGCCAGAC</t>
  </si>
  <si>
    <t xml:space="preserve">TGCTGCGCAGTACCTCAGCG</t>
  </si>
  <si>
    <t xml:space="preserve">TAGTTGCTGCGCAGTACCTCAGCG</t>
  </si>
  <si>
    <t xml:space="preserve">AAACCGCTGAGGTACTGCGCAGCA</t>
  </si>
  <si>
    <t xml:space="preserve">CCCCAATGCCCACCCCGACC</t>
  </si>
  <si>
    <t xml:space="preserve">TAGTCCCCAATGCCCACCCCGACC</t>
  </si>
  <si>
    <t xml:space="preserve">AAACGGTCGGGGTGGGCATTGGGG</t>
  </si>
  <si>
    <t xml:space="preserve">PST_3350</t>
  </si>
  <si>
    <t xml:space="preserve">TCATGAAGAGCACTTTCATG</t>
  </si>
  <si>
    <t xml:space="preserve">TAGTTCATGAAGAGCACTTTCATG</t>
  </si>
  <si>
    <t xml:space="preserve">AAACCATGAAAGTGCTCTTCATGA</t>
  </si>
  <si>
    <t xml:space="preserve">GAGAAGCTCGACACGCCGAA</t>
  </si>
  <si>
    <t xml:space="preserve">TAGTGAGAAGCTCGACACGCCGAA</t>
  </si>
  <si>
    <t xml:space="preserve">AAACTTCGGCGTGTCGAGCTTCTC</t>
  </si>
  <si>
    <t xml:space="preserve">AGCCTTGATCTTGATGGGGG</t>
  </si>
  <si>
    <t xml:space="preserve">TAGTAGCCTTGATCTTGATGGGGG</t>
  </si>
  <si>
    <t xml:space="preserve">AAACCCCCCATCAAGATCAAGGCT</t>
  </si>
  <si>
    <t xml:space="preserve">ACCGCAAGGTGACGTGCATC</t>
  </si>
  <si>
    <t xml:space="preserve">TAGTACCGCAAGGTGACGTGCATC</t>
  </si>
  <si>
    <t xml:space="preserve">AAACGATGCACGTCACCTTGCGGT</t>
  </si>
  <si>
    <t xml:space="preserve">PST_3351</t>
  </si>
  <si>
    <t xml:space="preserve">AGGGAGAGGGGCTCCTGCCA</t>
  </si>
  <si>
    <t xml:space="preserve">TAGTAGGGAGAGGGGCTCCTGCCA</t>
  </si>
  <si>
    <t xml:space="preserve">AAACTGGCAGGAGCCCCTCTCCCT</t>
  </si>
  <si>
    <t xml:space="preserve">ACGTTGAGCCGTGGGATTCC</t>
  </si>
  <si>
    <t xml:space="preserve">TAGTACGTTGAGCCGTGGGATTCC</t>
  </si>
  <si>
    <t xml:space="preserve">AAACGGAATCCCACGGCTCAACGT</t>
  </si>
  <si>
    <t xml:space="preserve">CTGCGGCGAAACAGAGCCAG</t>
  </si>
  <si>
    <t xml:space="preserve">TAGTCTGCGGCGAAACAGAGCCAG</t>
  </si>
  <si>
    <t xml:space="preserve">AAACCTGGCTCTGTTTCGCCGCAG</t>
  </si>
  <si>
    <t xml:space="preserve">AGGAGCCATTTGGTGCCCGG</t>
  </si>
  <si>
    <t xml:space="preserve">TAGTAGGAGCCATTTGGTGCCCGG</t>
  </si>
  <si>
    <t xml:space="preserve">AAACCCGGGCACCAAATGGCTCCT</t>
  </si>
  <si>
    <t xml:space="preserve">PST_3352</t>
  </si>
  <si>
    <t xml:space="preserve">AACATAAGGGGTGACTGAGG</t>
  </si>
  <si>
    <t xml:space="preserve">TAGTAACATAAGGGGTGACTGAGG</t>
  </si>
  <si>
    <t xml:space="preserve">AAACCCTCAGTCACCCCTTATGTT</t>
  </si>
  <si>
    <t xml:space="preserve">ACGTACTTGCTCGCGTCGAA</t>
  </si>
  <si>
    <t xml:space="preserve">TAGTACGTACTTGCTCGCGTCGAA</t>
  </si>
  <si>
    <t xml:space="preserve">AAACTTCGACGCGAGCAAGTACGT</t>
  </si>
  <si>
    <t xml:space="preserve">GGAGGTAGCCCCAGTCTGAA</t>
  </si>
  <si>
    <t xml:space="preserve">TAGTGGAGGTAGCCCCAGTCTGAA</t>
  </si>
  <si>
    <t xml:space="preserve">AAACTTCAGACTGGGGCTACCTCC</t>
  </si>
  <si>
    <t xml:space="preserve">TGAGCTCAGGTATCTCTGAT</t>
  </si>
  <si>
    <t xml:space="preserve">TAGTTGAGCTCAGGTATCTCTGAT</t>
  </si>
  <si>
    <t xml:space="preserve">AAACATCAGAGATACCTGAGCTCA</t>
  </si>
  <si>
    <t xml:space="preserve">PST_3353</t>
  </si>
  <si>
    <t xml:space="preserve">TGCAATGGGGTGGTGGTCAT</t>
  </si>
  <si>
    <t xml:space="preserve">TAGTTGCAATGGGGTGGTGGTCAT</t>
  </si>
  <si>
    <t xml:space="preserve">AAACATGACCACCACCCCATTGCA</t>
  </si>
  <si>
    <t xml:space="preserve">CTCCAGCCAAGCTTGTACAC</t>
  </si>
  <si>
    <t xml:space="preserve">TAGTCTCCAGCCAAGCTTGTACAC</t>
  </si>
  <si>
    <t xml:space="preserve">AAACGTGTACAAGCTTGGCTGGAG</t>
  </si>
  <si>
    <t xml:space="preserve">CCATAGGCGTCAAGGGTGGC</t>
  </si>
  <si>
    <t xml:space="preserve">TAGTCCATAGGCGTCAAGGGTGGC</t>
  </si>
  <si>
    <t xml:space="preserve">AAACGCCACCCTTGACGCCTATGG</t>
  </si>
  <si>
    <t xml:space="preserve">ATAAGTAATGCGCAAGGGCA</t>
  </si>
  <si>
    <t xml:space="preserve">TAGTATAAGTAATGCGCAAGGGCA</t>
  </si>
  <si>
    <t xml:space="preserve">AAACTGCCCTTGCGCATTACTTAT</t>
  </si>
  <si>
    <t xml:space="preserve">PST_3354</t>
  </si>
  <si>
    <t xml:space="preserve">GTTGCAATCAATGAGGGCGA</t>
  </si>
  <si>
    <t xml:space="preserve">TAGTGTTGCAATCAATGAGGGCGA</t>
  </si>
  <si>
    <t xml:space="preserve">AAACTCGCCCTCATTGATTGCAAC</t>
  </si>
  <si>
    <t xml:space="preserve">TCGAAAGACACGCTCGCAGC</t>
  </si>
  <si>
    <t xml:space="preserve">TAGTTCGAAAGACACGCTCGCAGC</t>
  </si>
  <si>
    <t xml:space="preserve">AAACGCTGCGAGCGTGTCTTTCGA</t>
  </si>
  <si>
    <t xml:space="preserve">ATAGGCGTACGGCGCAAGTC</t>
  </si>
  <si>
    <t xml:space="preserve">TAGTATAGGCGTACGGCGCAAGTC</t>
  </si>
  <si>
    <t xml:space="preserve">AAACGACTTGCGCCGTACGCCTAT</t>
  </si>
  <si>
    <t xml:space="preserve">GATACCGAGCTGCTTTGCCT</t>
  </si>
  <si>
    <t xml:space="preserve">TAGTGATACCGAGCTGCTTTGCCT</t>
  </si>
  <si>
    <t xml:space="preserve">AAACAGGCAAAGCAGCTCGGTATC</t>
  </si>
  <si>
    <t xml:space="preserve">PST_3355</t>
  </si>
  <si>
    <t xml:space="preserve">rulA</t>
  </si>
  <si>
    <t xml:space="preserve">TCCCAACATATGGACGGGCA</t>
  </si>
  <si>
    <t xml:space="preserve">TAGTTCCCAACATATGGACGGGCA</t>
  </si>
  <si>
    <t xml:space="preserve">AAACTGCCCGTCCATATGTTGGGA</t>
  </si>
  <si>
    <t xml:space="preserve">GCAATTGTGGCGGGAGCAGC</t>
  </si>
  <si>
    <t xml:space="preserve">TAGTGCAATTGTGGCGGGAGCAGC</t>
  </si>
  <si>
    <t xml:space="preserve">AAACGCTGCTCCCGCCACAATTGC</t>
  </si>
  <si>
    <t xml:space="preserve">GGCACGCAGAAACTGAAAAA</t>
  </si>
  <si>
    <t xml:space="preserve">TAGTGGCACGCAGAAACTGAAAAA</t>
  </si>
  <si>
    <t xml:space="preserve">AAACTTTTTCAGTTTCTGCGTGCC</t>
  </si>
  <si>
    <t xml:space="preserve">GCTGGGCTCGGGAATCCGGC</t>
  </si>
  <si>
    <t xml:space="preserve">TAGTGCTGGGCTCGGGAATCCGGC</t>
  </si>
  <si>
    <t xml:space="preserve">AAACGCCGGATTCCCGAGCCCAGC</t>
  </si>
  <si>
    <t xml:space="preserve">PST_3356</t>
  </si>
  <si>
    <t xml:space="preserve">TGAGCGAAACGTCCACACAT</t>
  </si>
  <si>
    <t xml:space="preserve">TAGTTGAGCGAAACGTCCACACAT</t>
  </si>
  <si>
    <t xml:space="preserve">AAACATGTGTGGACGTTTCGCTCA</t>
  </si>
  <si>
    <t xml:space="preserve">CCAGGTACTCATAGGCGATT</t>
  </si>
  <si>
    <t xml:space="preserve">TAGTCCAGGTACTCATAGGCGATT</t>
  </si>
  <si>
    <t xml:space="preserve">AAACAATCGCCTATGAGTACCTGG</t>
  </si>
  <si>
    <t xml:space="preserve">ACGCTGCCACGCAATGGCAA</t>
  </si>
  <si>
    <t xml:space="preserve">TAGTACGCTGCCACGCAATGGCAA</t>
  </si>
  <si>
    <t xml:space="preserve">AAACTTGCCATTGCGTGGCAGCGT</t>
  </si>
  <si>
    <t xml:space="preserve">TTGTAGCGTCCGATTGGCTC</t>
  </si>
  <si>
    <t xml:space="preserve">TAGTTTGTAGCGTCCGATTGGCTC</t>
  </si>
  <si>
    <t xml:space="preserve">AAACGAGCCAATCGGACGCTACAA</t>
  </si>
  <si>
    <t xml:space="preserve">PST_3357</t>
  </si>
  <si>
    <t xml:space="preserve">CGCATGGCGCGACTCAAGGC</t>
  </si>
  <si>
    <t xml:space="preserve">TAGTCGCATGGCGCGACTCAAGGC</t>
  </si>
  <si>
    <t xml:space="preserve">AAACGCCTTGAGTCGCGCCATGCG</t>
  </si>
  <si>
    <t xml:space="preserve">GCGCGAGTAGCCTAACGCCG</t>
  </si>
  <si>
    <t xml:space="preserve">TAGTGCGCGAGTAGCCTAACGCCG</t>
  </si>
  <si>
    <t xml:space="preserve">AAACCGGCGTTAGGCTACTCGCGC</t>
  </si>
  <si>
    <t xml:space="preserve">CGTGGGGGCAACGCTGCGAG</t>
  </si>
  <si>
    <t xml:space="preserve">TAGTCGTGGGGGCAACGCTGCGAG</t>
  </si>
  <si>
    <t xml:space="preserve">AAACCTCGCAGCGTTGCCCCCACG</t>
  </si>
  <si>
    <t xml:space="preserve">CTGTCGATTTCTTCGAATCT</t>
  </si>
  <si>
    <t xml:space="preserve">TAGTCTGTCGATTTCTTCGAATCT</t>
  </si>
  <si>
    <t xml:space="preserve">AAACAGATTCGAAGAAATCGACAG</t>
  </si>
  <si>
    <t xml:space="preserve">PST_3358</t>
  </si>
  <si>
    <t xml:space="preserve">ATTAGGGATTGTCGTCTGGT</t>
  </si>
  <si>
    <t xml:space="preserve">TAGTATTAGGGATTGTCGTCTGGT</t>
  </si>
  <si>
    <t xml:space="preserve">AAACACCAGACGACAATCCCTAAT</t>
  </si>
  <si>
    <t xml:space="preserve">CGCCTCGGCCGCATCATAGA</t>
  </si>
  <si>
    <t xml:space="preserve">TAGTCGCCTCGGCCGCATCATAGA</t>
  </si>
  <si>
    <t xml:space="preserve">AAACTCTATGATGCGGCCGAGGCG</t>
  </si>
  <si>
    <t xml:space="preserve">GAATTCGCTCCACCTCATGG</t>
  </si>
  <si>
    <t xml:space="preserve">TAGTGAATTCGCTCCACCTCATGG</t>
  </si>
  <si>
    <t xml:space="preserve">AAACCCATGAGGTGGAGCGAATTC</t>
  </si>
  <si>
    <t xml:space="preserve">CACCACCTCATTGCGGAACG</t>
  </si>
  <si>
    <t xml:space="preserve">TAGTCACCACCTCATTGCGGAACG</t>
  </si>
  <si>
    <t xml:space="preserve">AAACCGTTCCGCAATGAGGTGGTG</t>
  </si>
  <si>
    <t xml:space="preserve">PST_3359</t>
  </si>
  <si>
    <t xml:space="preserve">ACTGCGGCAGTACGATGCAC</t>
  </si>
  <si>
    <t xml:space="preserve">TAGTACTGCGGCAGTACGATGCAC</t>
  </si>
  <si>
    <t xml:space="preserve">AAACGTGCATCGTACTGCCGCAGT</t>
  </si>
  <si>
    <t xml:space="preserve">GAAACACTCGACCATCGTTC</t>
  </si>
  <si>
    <t xml:space="preserve">TAGTGAAACACTCGACCATCGTTC</t>
  </si>
  <si>
    <t xml:space="preserve">AAACGAACGATGGTCGAGTGTTTC</t>
  </si>
  <si>
    <t xml:space="preserve">GCATAGCCAATGAGGCGTTC</t>
  </si>
  <si>
    <t xml:space="preserve">TAGTGCATAGCCAATGAGGCGTTC</t>
  </si>
  <si>
    <t xml:space="preserve">AAACGAACGCCTCATTGGCTATGC</t>
  </si>
  <si>
    <t xml:space="preserve">GGCGGATTGCACCGCATAGG</t>
  </si>
  <si>
    <t xml:space="preserve">TAGTGGCGGATTGCACCGCATAGG</t>
  </si>
  <si>
    <t xml:space="preserve">AAACCCTATGCGGTGCAATCCGCC</t>
  </si>
  <si>
    <t xml:space="preserve">PST_3360</t>
  </si>
  <si>
    <t xml:space="preserve">CACCGGCCGGACGATCAGGG</t>
  </si>
  <si>
    <t xml:space="preserve">TAGTCACCGGCCGGACGATCAGGG</t>
  </si>
  <si>
    <t xml:space="preserve">AAACCCCTGATCGTCCGGCCGGTG</t>
  </si>
  <si>
    <t xml:space="preserve">TGGAGGATGCGAATCGGTGT</t>
  </si>
  <si>
    <t xml:space="preserve">TAGTTGGAGGATGCGAATCGGTGT</t>
  </si>
  <si>
    <t xml:space="preserve">AAACACACCGATTCGCATCCTCCA</t>
  </si>
  <si>
    <t xml:space="preserve">TTAGCGTCGCGAATGACTGA</t>
  </si>
  <si>
    <t xml:space="preserve">TAGTTTAGCGTCGCGAATGACTGA</t>
  </si>
  <si>
    <t xml:space="preserve">AAACTCAGTCATTCGCGACGCTAA</t>
  </si>
  <si>
    <t xml:space="preserve">CGTTTCGCCTCCAAGATCTA</t>
  </si>
  <si>
    <t xml:space="preserve">TAGTCGTTTCGCCTCCAAGATCTA</t>
  </si>
  <si>
    <t xml:space="preserve">AAACTAGATCTTGGAGGCGAAACG</t>
  </si>
  <si>
    <t xml:space="preserve">PST_3361</t>
  </si>
  <si>
    <t xml:space="preserve">czcA</t>
  </si>
  <si>
    <t xml:space="preserve">CACCGACCATTCAATGATTT</t>
  </si>
  <si>
    <t xml:space="preserve">TAGTCACCGACCATTCAATGATTT</t>
  </si>
  <si>
    <t xml:space="preserve">AAACAAATCATTGAATGGTCGGTG</t>
  </si>
  <si>
    <t xml:space="preserve">TCAGCGTGGCGAGCAACACA</t>
  </si>
  <si>
    <t xml:space="preserve">TAGTTCAGCGTGGCGAGCAACACA</t>
  </si>
  <si>
    <t xml:space="preserve">AAACTGTGTTGCTCGCCACGCTGA</t>
  </si>
  <si>
    <t xml:space="preserve">TTTCATTACCGCGTAGATGC</t>
  </si>
  <si>
    <t xml:space="preserve">TAGTTTTCATTACCGCGTAGATGC</t>
  </si>
  <si>
    <t xml:space="preserve">AAACGCATCTACGCGGTAATGAAA</t>
  </si>
  <si>
    <t xml:space="preserve">GTCCGGCAGTGCGTCCAGTG</t>
  </si>
  <si>
    <t xml:space="preserve">TAGTGTCCGGCAGTGCGTCCAGTG</t>
  </si>
  <si>
    <t xml:space="preserve">AAACCACTGGACGCACTGCCGGAC</t>
  </si>
  <si>
    <t xml:space="preserve">PST_3362</t>
  </si>
  <si>
    <t xml:space="preserve">GCCGGCGATTGCCGTCGCAA</t>
  </si>
  <si>
    <t xml:space="preserve">TAGTGCCGGCGATTGCCGTCGCAA</t>
  </si>
  <si>
    <t xml:space="preserve">AAACTTGCGACGGCAATCGCCGGC</t>
  </si>
  <si>
    <t xml:space="preserve">GGTGCTTCCAGCTACCTCCG</t>
  </si>
  <si>
    <t xml:space="preserve">TAGTGGTGCTTCCAGCTACCTCCG</t>
  </si>
  <si>
    <t xml:space="preserve">AAACCGGAGGTAGCTGGAAGCACC</t>
  </si>
  <si>
    <t xml:space="preserve">AACCTTGCGCTCTTGTGGGG</t>
  </si>
  <si>
    <t xml:space="preserve">TAGTAACCTTGCGCTCTTGTGGGG</t>
  </si>
  <si>
    <t xml:space="preserve">AAACCCCCACAAGAGCGCAAGGTT</t>
  </si>
  <si>
    <t xml:space="preserve">CGGGCAGCCCCATGGGGTTG</t>
  </si>
  <si>
    <t xml:space="preserve">TAGTCGGGCAGCCCCATGGGGTTG</t>
  </si>
  <si>
    <t xml:space="preserve">AAACCAACCCCATGGGGCTGCCCG</t>
  </si>
  <si>
    <t xml:space="preserve">PST_3363</t>
  </si>
  <si>
    <t xml:space="preserve">CCCCAACTGCGGACGGGCAG</t>
  </si>
  <si>
    <t xml:space="preserve">TAGTCCCCAACTGCGGACGGGCAG</t>
  </si>
  <si>
    <t xml:space="preserve">AAACCTGCCCGTCCGCAGTTGGGG</t>
  </si>
  <si>
    <t xml:space="preserve">AGAGCAAGGCCTAGGATGAC</t>
  </si>
  <si>
    <t xml:space="preserve">TAGTAGAGCAAGGCCTAGGATGAC</t>
  </si>
  <si>
    <t xml:space="preserve">AAACGTCATCCTAGGCCTTGCTCT</t>
  </si>
  <si>
    <t xml:space="preserve">GCGCCAAGCTCGGCTGACCC</t>
  </si>
  <si>
    <t xml:space="preserve">TAGTGCGCCAAGCTCGGCTGACCC</t>
  </si>
  <si>
    <t xml:space="preserve">AAACGGGTCAGCCGAGCTTGGCGC</t>
  </si>
  <si>
    <t xml:space="preserve">GTCTAGCAGCGGAGGCAACG</t>
  </si>
  <si>
    <t xml:space="preserve">TAGTGTCTAGCAGCGGAGGCAACG</t>
  </si>
  <si>
    <t xml:space="preserve">AAACCGTTGCCTCCGCTGCTAGAC</t>
  </si>
  <si>
    <t xml:space="preserve">PST_3364</t>
  </si>
  <si>
    <t xml:space="preserve">GCGAGGGGTGTGCGTCGGTG</t>
  </si>
  <si>
    <t xml:space="preserve">TAGTGCGAGGGGTGTGCGTCGGTG</t>
  </si>
  <si>
    <t xml:space="preserve">AAACCACCGACGCACACCCCTCGC</t>
  </si>
  <si>
    <t xml:space="preserve">AGTATTCCCACGAAGCAAAT</t>
  </si>
  <si>
    <t xml:space="preserve">TAGTAGTATTCCCACGAAGCAAAT</t>
  </si>
  <si>
    <t xml:space="preserve">AAACATTTGCTTCGTGGGAATACT</t>
  </si>
  <si>
    <t xml:space="preserve">CAGCGAGCGTCGTCCCAGCG</t>
  </si>
  <si>
    <t xml:space="preserve">TAGTCAGCGAGCGTCGTCCCAGCG</t>
  </si>
  <si>
    <t xml:space="preserve">AAACCGCTGGGACGACGCTCGCTG</t>
  </si>
  <si>
    <t xml:space="preserve">CTGCCCCATGGCGCCTGGCA</t>
  </si>
  <si>
    <t xml:space="preserve">TAGTCTGCCCCATGGCGCCTGGCA</t>
  </si>
  <si>
    <t xml:space="preserve">AAACTGCCAGGCGCCATGGGGCAG</t>
  </si>
  <si>
    <t xml:space="preserve">PST_3365</t>
  </si>
  <si>
    <t xml:space="preserve">CATCGCCAGCGTGGCCAGGG</t>
  </si>
  <si>
    <t xml:space="preserve">TAGTCATCGCCAGCGTGGCCAGGG</t>
  </si>
  <si>
    <t xml:space="preserve">AAACCCCTGGCCACGCTGGCGATG</t>
  </si>
  <si>
    <t xml:space="preserve">ATCAGCAGCCGACTGAGCGC</t>
  </si>
  <si>
    <t xml:space="preserve">TAGTATCAGCAGCCGACTGAGCGC</t>
  </si>
  <si>
    <t xml:space="preserve">AAACGCGCTCAGTCGGCTGCTGAT</t>
  </si>
  <si>
    <t xml:space="preserve">TCTGGCGGATGGGCTGCGTG</t>
  </si>
  <si>
    <t xml:space="preserve">TAGTTCTGGCGGATGGGCTGCGTG</t>
  </si>
  <si>
    <t xml:space="preserve">AAACCACGCAGCCCATCCGCCAGA</t>
  </si>
  <si>
    <t xml:space="preserve">CTGCGCAGCCGTCGTGCCGC</t>
  </si>
  <si>
    <t xml:space="preserve">TAGTCTGCGCAGCCGTCGTGCCGC</t>
  </si>
  <si>
    <t xml:space="preserve">AAACGCGGCACGACGGCTGCGCAG</t>
  </si>
  <si>
    <t xml:space="preserve">PST_3366</t>
  </si>
  <si>
    <t xml:space="preserve">TGATTACGGTGTAGGTGAGC</t>
  </si>
  <si>
    <t xml:space="preserve">TAGTTGATTACGGTGTAGGTGAGC</t>
  </si>
  <si>
    <t xml:space="preserve">AAACGCTCACCTACACCGTAATCA</t>
  </si>
  <si>
    <t xml:space="preserve">CATGCTTCCTGGTGAATGCG</t>
  </si>
  <si>
    <t xml:space="preserve">TAGTCATGCTTCCTGGTGAATGCG</t>
  </si>
  <si>
    <t xml:space="preserve">AAACCGCATTCACCAGGAAGCATG</t>
  </si>
  <si>
    <t xml:space="preserve">CTTGTGCCCGCTATGGAGGA</t>
  </si>
  <si>
    <t xml:space="preserve">TAGTCTTGTGCCCGCTATGGAGGA</t>
  </si>
  <si>
    <t xml:space="preserve">AAACTCCTCCATAGCGGGCACAAG</t>
  </si>
  <si>
    <t xml:space="preserve">GCGCGACGCCGAGCGCACTC</t>
  </si>
  <si>
    <t xml:space="preserve">TAGTGCGCGACGCCGAGCGCACTC</t>
  </si>
  <si>
    <t xml:space="preserve">AAACGAGTGCGCTCGGCGTCGCGC</t>
  </si>
  <si>
    <t xml:space="preserve">PST_3367</t>
  </si>
  <si>
    <t xml:space="preserve">GGACCGCGAGCAGCGCGGCG</t>
  </si>
  <si>
    <t xml:space="preserve">TAGTGGACCGCGAGCAGCGCGGCG</t>
  </si>
  <si>
    <t xml:space="preserve">AAACCGCCGCGCTGCTCGCGGTCC</t>
  </si>
  <si>
    <t xml:space="preserve">CGACTGCCGACACCGGCGCC</t>
  </si>
  <si>
    <t xml:space="preserve">TAGTCGACTGCCGACACCGGCGCC</t>
  </si>
  <si>
    <t xml:space="preserve">AAACGGCGCCGGTGTCGGCAGTCG</t>
  </si>
  <si>
    <t xml:space="preserve">CGGCGCGCTGCATTTGCGGA</t>
  </si>
  <si>
    <t xml:space="preserve">TAGTCGGCGCGCTGCATTTGCGGA</t>
  </si>
  <si>
    <t xml:space="preserve">AAACTCCGCAAATGCAGCGCGCCG</t>
  </si>
  <si>
    <t xml:space="preserve">GGCCATGTTCTGCCACGTCG</t>
  </si>
  <si>
    <t xml:space="preserve">TAGTGGCCATGTTCTGCCACGTCG</t>
  </si>
  <si>
    <t xml:space="preserve">AAACCGACGTGGCAGAACATGGCC</t>
  </si>
  <si>
    <t xml:space="preserve">PST_3368</t>
  </si>
  <si>
    <t xml:space="preserve">TCGCTGCATGAGGTGCCTCA</t>
  </si>
  <si>
    <t xml:space="preserve">TAGTTCGCTGCATGAGGTGCCTCA</t>
  </si>
  <si>
    <t xml:space="preserve">AAACTGAGGCACCTCATGCAGCGA</t>
  </si>
  <si>
    <t xml:space="preserve">CCGGGAGCGATCCGTCAATG</t>
  </si>
  <si>
    <t xml:space="preserve">TAGTCCGGGAGCGATCCGTCAATG</t>
  </si>
  <si>
    <t xml:space="preserve">AAACCATTGACGGATCGCTCCCGG</t>
  </si>
  <si>
    <t xml:space="preserve">GTATGACATCGGCAGCAACG</t>
  </si>
  <si>
    <t xml:space="preserve">TAGTGTATGACATCGGCAGCAACG</t>
  </si>
  <si>
    <t xml:space="preserve">AAACCGTTGCTGCCGATGTCATAC</t>
  </si>
  <si>
    <t xml:space="preserve">ACTGCAACGTTTCGTAGCGA</t>
  </si>
  <si>
    <t xml:space="preserve">TAGTACTGCAACGTTTCGTAGCGA</t>
  </si>
  <si>
    <t xml:space="preserve">AAACTCGCTACGAAACGTTGCAGT</t>
  </si>
  <si>
    <t xml:space="preserve">PST_3369</t>
  </si>
  <si>
    <t xml:space="preserve">ATCTGAGCTACCCTCTGCCA</t>
  </si>
  <si>
    <t xml:space="preserve">TAGTATCTGAGCTACCCTCTGCCA</t>
  </si>
  <si>
    <t xml:space="preserve">AAACTGGCAGAGGGTAGCTCAGAT</t>
  </si>
  <si>
    <t xml:space="preserve">CGATAATGGACAACTTCGGG</t>
  </si>
  <si>
    <t xml:space="preserve">TAGTCGATAATGGACAACTTCGGG</t>
  </si>
  <si>
    <t xml:space="preserve">AAACCCCGAAGTTGTCCATTATCG</t>
  </si>
  <si>
    <t xml:space="preserve">TCGCGTGGTACGAATTACCT</t>
  </si>
  <si>
    <t xml:space="preserve">TAGTTCGCGTGGTACGAATTACCT</t>
  </si>
  <si>
    <t xml:space="preserve">AAACAGGTAATTCGTACCACGCGA</t>
  </si>
  <si>
    <t xml:space="preserve">CACATCGTTGCAGGTCATAT</t>
  </si>
  <si>
    <t xml:space="preserve">TAGTCACATCGTTGCAGGTCATAT</t>
  </si>
  <si>
    <t xml:space="preserve">AAACATATGACCTGCAACGATGTG</t>
  </si>
  <si>
    <t xml:space="preserve">PST_3370</t>
  </si>
  <si>
    <t xml:space="preserve">CCCCTTCATCAAGAGCCGAG</t>
  </si>
  <si>
    <t xml:space="preserve">TAGTCCCCTTCATCAAGAGCCGAG</t>
  </si>
  <si>
    <t xml:space="preserve">AAACCTCGGCTCTTGATGAAGGGG</t>
  </si>
  <si>
    <t xml:space="preserve">GCCGATGCTGTTCTCTGCTC</t>
  </si>
  <si>
    <t xml:space="preserve">TAGTGCCGATGCTGTTCTCTGCTC</t>
  </si>
  <si>
    <t xml:space="preserve">AAACGAGCAGAGAACAGCATCGGC</t>
  </si>
  <si>
    <t xml:space="preserve">GCATATCGAGAATACGCCCC</t>
  </si>
  <si>
    <t xml:space="preserve">TAGTGCATATCGAGAATACGCCCC</t>
  </si>
  <si>
    <t xml:space="preserve">AAACGGGGCGTATTCTCGATATGC</t>
  </si>
  <si>
    <t xml:space="preserve">TGAGCCGGGAAAGTCTGATG</t>
  </si>
  <si>
    <t xml:space="preserve">TAGTTGAGCCGGGAAAGTCTGATG</t>
  </si>
  <si>
    <t xml:space="preserve">AAACCATCAGACTTTCCCGGCTCA</t>
  </si>
  <si>
    <t xml:space="preserve">PST_3371</t>
  </si>
  <si>
    <t xml:space="preserve">TCACCAGTGCTTTACTAATT</t>
  </si>
  <si>
    <t xml:space="preserve">TAGTTCACCAGTGCTTTACTAATT</t>
  </si>
  <si>
    <t xml:space="preserve">AAACAATTAGTAAAGCACTGGTGA</t>
  </si>
  <si>
    <t xml:space="preserve">TTCTTGTTCCGTGCCGGCGA</t>
  </si>
  <si>
    <t xml:space="preserve">TAGTTTCTTGTTCCGTGCCGGCGA</t>
  </si>
  <si>
    <t xml:space="preserve">AAACTCGCCGGCACGGAACAAGAA</t>
  </si>
  <si>
    <t xml:space="preserve">TCAGCAGATCCAGCATTACT</t>
  </si>
  <si>
    <t xml:space="preserve">TAGTTCAGCAGATCCAGCATTACT</t>
  </si>
  <si>
    <t xml:space="preserve">AAACAGTAATGCTGGATCTGCTGA</t>
  </si>
  <si>
    <t xml:space="preserve">CGAACGCTCTTTATTCATAG</t>
  </si>
  <si>
    <t xml:space="preserve">TAGTCGAACGCTCTTTATTCATAG</t>
  </si>
  <si>
    <t xml:space="preserve">AAACCTATGAATAAAGAGCGTTCG</t>
  </si>
  <si>
    <t xml:space="preserve">PST_3372</t>
  </si>
  <si>
    <t xml:space="preserve">AGATGTAGCGGTTAGAACAA</t>
  </si>
  <si>
    <t xml:space="preserve">TAGTAGATGTAGCGGTTAGAACAA</t>
  </si>
  <si>
    <t xml:space="preserve">AAACTTGTTCTAACCGCTACATCT</t>
  </si>
  <si>
    <t xml:space="preserve">TTATTTGCAGCGATGAGAAA</t>
  </si>
  <si>
    <t xml:space="preserve">TAGTTTATTTGCAGCGATGAGAAA</t>
  </si>
  <si>
    <t xml:space="preserve">AAACTTTCTCATCGCTGCAAATAA</t>
  </si>
  <si>
    <t xml:space="preserve">ACAGTATGGTCGTGTCTCAT</t>
  </si>
  <si>
    <t xml:space="preserve">TAGTACAGTATGGTCGTGTCTCAT</t>
  </si>
  <si>
    <t xml:space="preserve">AAACATGAGACACGACCATACTGT</t>
  </si>
  <si>
    <t xml:space="preserve">GGTCACGCTTAGCACTTGCC</t>
  </si>
  <si>
    <t xml:space="preserve">TAGTGGTCACGCTTAGCACTTGCC</t>
  </si>
  <si>
    <t xml:space="preserve">AAACGGCAAGTGCTAAGCGTGACC</t>
  </si>
  <si>
    <t xml:space="preserve">PST_3373</t>
  </si>
  <si>
    <t xml:space="preserve">GTTACGCCAATGTAATTTTA</t>
  </si>
  <si>
    <t xml:space="preserve">TAGTGTTACGCCAATGTAATTTTA</t>
  </si>
  <si>
    <t xml:space="preserve">AAACTAAAATTACATTGGCGTAAC</t>
  </si>
  <si>
    <t xml:space="preserve">ACGTTTGTTGGCTGTCACTG</t>
  </si>
  <si>
    <t xml:space="preserve">TAGTACGTTTGTTGGCTGTCACTG</t>
  </si>
  <si>
    <t xml:space="preserve">AAACCAGTGACAGCCAACAAACGT</t>
  </si>
  <si>
    <t xml:space="preserve">GTTTCCAGTTTCCAAAGCGC</t>
  </si>
  <si>
    <t xml:space="preserve">TAGTGTTTCCAGTTTCCAAAGCGC</t>
  </si>
  <si>
    <t xml:space="preserve">AAACGCGCTTTGGAAACTGGAAAC</t>
  </si>
  <si>
    <t xml:space="preserve">ATTGCGATTTGTGGAAGATC</t>
  </si>
  <si>
    <t xml:space="preserve">TAGTATTGCGATTTGTGGAAGATC</t>
  </si>
  <si>
    <t xml:space="preserve">AAACGATCTTCCACAAATCGCAAT</t>
  </si>
  <si>
    <t xml:space="preserve">PST_3374</t>
  </si>
  <si>
    <t xml:space="preserve">GTACATGATGACGGTTGATG</t>
  </si>
  <si>
    <t xml:space="preserve">TAGTGTACATGATGACGGTTGATG</t>
  </si>
  <si>
    <t xml:space="preserve">AAACCATCAACCGTCATCATGTAC</t>
  </si>
  <si>
    <t xml:space="preserve">TACTAACGCCATCCAAGCAC</t>
  </si>
  <si>
    <t xml:space="preserve">TAGTTACTAACGCCATCCAAGCAC</t>
  </si>
  <si>
    <t xml:space="preserve">AAACGTGCTTGGATGGCGTTAGTA</t>
  </si>
  <si>
    <t xml:space="preserve">CTTGTACATATTGAGCATGA</t>
  </si>
  <si>
    <t xml:space="preserve">TAGTCTTGTACATATTGAGCATGA</t>
  </si>
  <si>
    <t xml:space="preserve">AAACTCATGCTCAATATGTACAAG</t>
  </si>
  <si>
    <t xml:space="preserve">GCGAATATCGCTATGTTCAT</t>
  </si>
  <si>
    <t xml:space="preserve">TAGTGCGAATATCGCTATGTTCAT</t>
  </si>
  <si>
    <t xml:space="preserve">AAACATGAACATAGCGATATTCGC</t>
  </si>
  <si>
    <t xml:space="preserve">PST_3375</t>
  </si>
  <si>
    <t xml:space="preserve">AAGCAACGGGGCACGTTTGG</t>
  </si>
  <si>
    <t xml:space="preserve">TAGTAAGCAACGGGGCACGTTTGG</t>
  </si>
  <si>
    <t xml:space="preserve">AAACCCAAACGTGCCCCGTTGCTT</t>
  </si>
  <si>
    <t xml:space="preserve">AACGCTCACACTCATGCGGA</t>
  </si>
  <si>
    <t xml:space="preserve">TAGTAACGCTCACACTCATGCGGA</t>
  </si>
  <si>
    <t xml:space="preserve">AAACTCCGCATGAGTGTGAGCGTT</t>
  </si>
  <si>
    <t xml:space="preserve">CAGCGACCATCATGGCGAGC</t>
  </si>
  <si>
    <t xml:space="preserve">TAGTCAGCGACCATCATGGCGAGC</t>
  </si>
  <si>
    <t xml:space="preserve">AAACGCTCGCCATGATGGTCGCTG</t>
  </si>
  <si>
    <t xml:space="preserve">GGAAGTAACTCCAGCACGAA</t>
  </si>
  <si>
    <t xml:space="preserve">TAGTGGAAGTAACTCCAGCACGAA</t>
  </si>
  <si>
    <t xml:space="preserve">AAACTTCGTGCTGGAGTTACTTCC</t>
  </si>
  <si>
    <t xml:space="preserve">PST_3380</t>
  </si>
  <si>
    <t xml:space="preserve">GACAGCGCCTGCTACCACCA</t>
  </si>
  <si>
    <t xml:space="preserve">TAGTGACAGCGCCTGCTACCACCA</t>
  </si>
  <si>
    <t xml:space="preserve">AAACTGGTGGTAGCAGGCGCTGTC</t>
  </si>
  <si>
    <t xml:space="preserve">GATCAAGCCGGAATAGGCTC</t>
  </si>
  <si>
    <t xml:space="preserve">TAGTGATCAAGCCGGAATAGGCTC</t>
  </si>
  <si>
    <t xml:space="preserve">AAACGAGCCTATTCCGGCTTGATC</t>
  </si>
  <si>
    <t xml:space="preserve">AAAGGAACGCATGCACGGCT</t>
  </si>
  <si>
    <t xml:space="preserve">TAGTAAAGGAACGCATGCACGGCT</t>
  </si>
  <si>
    <t xml:space="preserve">AAACAGCCGTGCATGCGTTCCTTT</t>
  </si>
  <si>
    <t xml:space="preserve">ATTGGGAATCTCAATGTCCT</t>
  </si>
  <si>
    <t xml:space="preserve">TAGTATTGGGAATCTCAATGTCCT</t>
  </si>
  <si>
    <t xml:space="preserve">AAACAGGACATTGAGATTCCCAAT</t>
  </si>
  <si>
    <t xml:space="preserve">PST_3381</t>
  </si>
  <si>
    <t xml:space="preserve">copB</t>
  </si>
  <si>
    <t xml:space="preserve">ACCGCCAGCGCAATGAGCGA</t>
  </si>
  <si>
    <t xml:space="preserve">TAGTACCGCCAGCGCAATGAGCGA</t>
  </si>
  <si>
    <t xml:space="preserve">AAACTCGCTCATTGCGCTGGCGGT</t>
  </si>
  <si>
    <t xml:space="preserve">ATCCATCTCTTCTGCGGCAA</t>
  </si>
  <si>
    <t xml:space="preserve">TAGTATCCATCTCTTCTGCGGCAA</t>
  </si>
  <si>
    <t xml:space="preserve">AAACTTGCCGCAGAAGAGATGGAT</t>
  </si>
  <si>
    <t xml:space="preserve">GGTCCATCGGCATGGAGCCG</t>
  </si>
  <si>
    <t xml:space="preserve">TAGTGGTCCATCGGCATGGAGCCG</t>
  </si>
  <si>
    <t xml:space="preserve">AAACCGGCTCCATGCCGATGGACC</t>
  </si>
  <si>
    <t xml:space="preserve">CCCCGTGGTTCATCTTGCTA</t>
  </si>
  <si>
    <t xml:space="preserve">TAGTCCCCGTGGTTCATCTTGCTA</t>
  </si>
  <si>
    <t xml:space="preserve">AAACTAGCAAGATGAACCACGGGG</t>
  </si>
  <si>
    <t xml:space="preserve">PST_3382</t>
  </si>
  <si>
    <t xml:space="preserve">GAACAGGTGGTTTCGTTTCG</t>
  </si>
  <si>
    <t xml:space="preserve">TAGTGAACAGGTGGTTTCGTTTCG</t>
  </si>
  <si>
    <t xml:space="preserve">AAACCGAAACGAAACCACCTGTTC</t>
  </si>
  <si>
    <t xml:space="preserve">AGCCAAAAGGCTCAACATTG</t>
  </si>
  <si>
    <t xml:space="preserve">TAGTAGCCAAAAGGCTCAACATTG</t>
  </si>
  <si>
    <t xml:space="preserve">AAACCAATGTTGAGCCTTTTGGCT</t>
  </si>
  <si>
    <t xml:space="preserve">CAGCGACACTGGGATATACA</t>
  </si>
  <si>
    <t xml:space="preserve">TAGTCAGCGACACTGGGATATACA</t>
  </si>
  <si>
    <t xml:space="preserve">AAACTGTATATCCCAGTGTCGCTG</t>
  </si>
  <si>
    <t xml:space="preserve">GTGATCGCTGTGATTTTCTT</t>
  </si>
  <si>
    <t xml:space="preserve">TAGTGTGATCGCTGTGATTTTCTT</t>
  </si>
  <si>
    <t xml:space="preserve">AAACAAGAAAATCACAGCGATCAC</t>
  </si>
  <si>
    <t xml:space="preserve">PST_3383</t>
  </si>
  <si>
    <t xml:space="preserve">copA</t>
  </si>
  <si>
    <t xml:space="preserve">GTGGTGAGCAATCCGGTCTC</t>
  </si>
  <si>
    <t xml:space="preserve">TAGTGTGGTGAGCAATCCGGTCTC</t>
  </si>
  <si>
    <t xml:space="preserve">AAACGAGACCGGATTGCTCACCAC</t>
  </si>
  <si>
    <t xml:space="preserve">TGTCCATTAATCAGATGAGC</t>
  </si>
  <si>
    <t xml:space="preserve">TAGTTGTCCATTAATCAGATGAGC</t>
  </si>
  <si>
    <t xml:space="preserve">AAACGCTCATCTGATTAATGGACA</t>
  </si>
  <si>
    <t xml:space="preserve">CTTGATGAAAGTGCGCCTTG</t>
  </si>
  <si>
    <t xml:space="preserve">TAGTCTTGATGAAAGTGCGCCTTG</t>
  </si>
  <si>
    <t xml:space="preserve">AAACCAAGGCGCACTTTCATCAAG</t>
  </si>
  <si>
    <t xml:space="preserve">GCCGCCGAGAATACTGGTGG</t>
  </si>
  <si>
    <t xml:space="preserve">TAGTGCCGCCGAGAATACTGGTGG</t>
  </si>
  <si>
    <t xml:space="preserve">AAACCCACCAGTATTCTCGGCGGC</t>
  </si>
  <si>
    <t xml:space="preserve">PST_3384</t>
  </si>
  <si>
    <t xml:space="preserve">CACAGCAAAAGGCGGAACAT</t>
  </si>
  <si>
    <t xml:space="preserve">TAGTCACAGCAAAAGGCGGAACAT</t>
  </si>
  <si>
    <t xml:space="preserve">AAACATGTTCCGCCTTTTGCTGTG</t>
  </si>
  <si>
    <t xml:space="preserve">GCAGTGGGATCAGTAAAAGC</t>
  </si>
  <si>
    <t xml:space="preserve">TAGTGCAGTGGGATCAGTAAAAGC</t>
  </si>
  <si>
    <t xml:space="preserve">AAACGCTTTTACTGATCCCACTGC</t>
  </si>
  <si>
    <t xml:space="preserve">TCAAAAATCCCAGCACTGAC</t>
  </si>
  <si>
    <t xml:space="preserve">TAGTTCAAAAATCCCAGCACTGAC</t>
  </si>
  <si>
    <t xml:space="preserve">AAACGTCAGTGCTGGGATTTTTGA</t>
  </si>
  <si>
    <t xml:space="preserve">AACAGGGCCGGCTGTGAGCG</t>
  </si>
  <si>
    <t xml:space="preserve">TAGTAACAGGGCCGGCTGTGAGCG</t>
  </si>
  <si>
    <t xml:space="preserve">AAACCGCTCACAGCCGGCCCTGTT</t>
  </si>
  <si>
    <t xml:space="preserve">PST_3385</t>
  </si>
  <si>
    <t xml:space="preserve">ACTTACCAGCAGCGCCGCAA</t>
  </si>
  <si>
    <t xml:space="preserve">TAGTACTTACCAGCAGCGCCGCAA</t>
  </si>
  <si>
    <t xml:space="preserve">AAACTTGCGGCGCTGCTGGTAAGT</t>
  </si>
  <si>
    <t xml:space="preserve">TGATCAAGGGTTCAGCGGCA</t>
  </si>
  <si>
    <t xml:space="preserve">TAGTTGATCAAGGGTTCAGCGGCA</t>
  </si>
  <si>
    <t xml:space="preserve">AAACTGCCGCTGAACCCTTGATCA</t>
  </si>
  <si>
    <t xml:space="preserve">AGCAACCACAGTTGGCGTCT</t>
  </si>
  <si>
    <t xml:space="preserve">TAGTAGCAACCACAGTTGGCGTCT</t>
  </si>
  <si>
    <t xml:space="preserve">AAACAGACGCCAACTGTGGTTGCT</t>
  </si>
  <si>
    <t xml:space="preserve">AAAGCCGTTGTCCTCCAGAT</t>
  </si>
  <si>
    <t xml:space="preserve">TAGTAAAGCCGTTGTCCTCCAGAT</t>
  </si>
  <si>
    <t xml:space="preserve">AAACATCTGGAGGACAACGGCTTT</t>
  </si>
  <si>
    <t xml:space="preserve">PST_3386</t>
  </si>
  <si>
    <t xml:space="preserve">GCCTTCGACGTTCAGTTCAA</t>
  </si>
  <si>
    <t xml:space="preserve">TAGTGCCTTCGACGTTCAGTTCAA</t>
  </si>
  <si>
    <t xml:space="preserve">AAACTTGAACTGAACGTCGAAGGC</t>
  </si>
  <si>
    <t xml:space="preserve">TTGCAAATCGACATCCACCT</t>
  </si>
  <si>
    <t xml:space="preserve">TAGTTTGCAAATCGACATCCACCT</t>
  </si>
  <si>
    <t xml:space="preserve">AAACAGGTGGATGTCGATTTGCAA</t>
  </si>
  <si>
    <t xml:space="preserve">GCCGCTAACCCGCACCCTGG</t>
  </si>
  <si>
    <t xml:space="preserve">TAGTGCCGCTAACCCGCACCCTGG</t>
  </si>
  <si>
    <t xml:space="preserve">AAACCCAGGGTGCGGGTTAGCGGC</t>
  </si>
  <si>
    <t xml:space="preserve">TCAGCACTTGGCTGTCGCTC</t>
  </si>
  <si>
    <t xml:space="preserve">TAGTTCAGCACTTGGCTGTCGCTC</t>
  </si>
  <si>
    <t xml:space="preserve">AAACGAGCGACAGCCAAGTGCTGA</t>
  </si>
  <si>
    <t xml:space="preserve">PST_3387</t>
  </si>
  <si>
    <t xml:space="preserve">CTGATGCCGGTCGTGGTTGC</t>
  </si>
  <si>
    <t xml:space="preserve">TAGTCTGATGCCGGTCGTGGTTGC</t>
  </si>
  <si>
    <t xml:space="preserve">AAACGCAACCACGACCGGCATCAG</t>
  </si>
  <si>
    <t xml:space="preserve">TACCGTTTTGATCGTGCGAA</t>
  </si>
  <si>
    <t xml:space="preserve">TAGTTACCGTTTTGATCGTGCGAA</t>
  </si>
  <si>
    <t xml:space="preserve">AAACTTCGCACGATCAAAACGGTA</t>
  </si>
  <si>
    <t xml:space="preserve">TGACCGCCATTCCACACACC</t>
  </si>
  <si>
    <t xml:space="preserve">TAGTTGACCGCCATTCCACACACC</t>
  </si>
  <si>
    <t xml:space="preserve">AAACGGTGTGTGGAATGGCGGTCA</t>
  </si>
  <si>
    <t xml:space="preserve">GTCTCGTGATGAGGACTATC</t>
  </si>
  <si>
    <t xml:space="preserve">TAGTGTCTCGTGATGAGGACTATC</t>
  </si>
  <si>
    <t xml:space="preserve">AAACGATAGTCCTCATCACGAGAC</t>
  </si>
  <si>
    <t xml:space="preserve">PST_3388</t>
  </si>
  <si>
    <t xml:space="preserve">ATGAAGATGGCGGTGATACA</t>
  </si>
  <si>
    <t xml:space="preserve">TAGTATGAAGATGGCGGTGATACA</t>
  </si>
  <si>
    <t xml:space="preserve">AAACTGTATCACCGCCATCTTCAT</t>
  </si>
  <si>
    <t xml:space="preserve">AGCATTAAGAGCGCTACGCC</t>
  </si>
  <si>
    <t xml:space="preserve">TAGTAGCATTAAGAGCGCTACGCC</t>
  </si>
  <si>
    <t xml:space="preserve">AAACGGCGTAGCGCTCTTAATGCT</t>
  </si>
  <si>
    <t xml:space="preserve">CAAAGCAGCAAGATTATGTA</t>
  </si>
  <si>
    <t xml:space="preserve">TAGTCAAAGCAGCAAGATTATGTA</t>
  </si>
  <si>
    <t xml:space="preserve">AAACTACATAATCTTGCTGCTTTG</t>
  </si>
  <si>
    <t xml:space="preserve">GACCAAACAAATGGAGCAAC</t>
  </si>
  <si>
    <t xml:space="preserve">TAGTGACCAAACAAATGGAGCAAC</t>
  </si>
  <si>
    <t xml:space="preserve">AAACGTTGCTCCATTTGTTTGGTC</t>
  </si>
  <si>
    <t xml:space="preserve">PST_3389</t>
  </si>
  <si>
    <t xml:space="preserve">TTTTGGTGATCTGATCAGGC</t>
  </si>
  <si>
    <t xml:space="preserve">TAGTTTTTGGTGATCTGATCAGGC</t>
  </si>
  <si>
    <t xml:space="preserve">AAACGCCTGATCAGATCACCAAAA</t>
  </si>
  <si>
    <t xml:space="preserve">TTGGCCTAATGGCGCCTCAA</t>
  </si>
  <si>
    <t xml:space="preserve">TAGTTTGGCCTAATGGCGCCTCAA</t>
  </si>
  <si>
    <t xml:space="preserve">AAACTTGAGGCGCCATTAGGCCAA</t>
  </si>
  <si>
    <t xml:space="preserve">TGCTAGCAGCTGGTTTTTCC</t>
  </si>
  <si>
    <t xml:space="preserve">TAGTTGCTAGCAGCTGGTTTTTCC</t>
  </si>
  <si>
    <t xml:space="preserve">AAACGGAAAAACCAGCTGCTAGCA</t>
  </si>
  <si>
    <t xml:space="preserve">PST_3390</t>
  </si>
  <si>
    <t xml:space="preserve">ACTCAGTGTGCAGGTTAACG</t>
  </si>
  <si>
    <t xml:space="preserve">TAGTACTCAGTGTGCAGGTTAACG</t>
  </si>
  <si>
    <t xml:space="preserve">AAACCGTTAACCTGCACACTGAGT</t>
  </si>
  <si>
    <t xml:space="preserve">AGCGACCAGTAATTTCATGC</t>
  </si>
  <si>
    <t xml:space="preserve">TAGTAGCGACCAGTAATTTCATGC</t>
  </si>
  <si>
    <t xml:space="preserve">AAACGCATGAAATTACTGGTCGCT</t>
  </si>
  <si>
    <t xml:space="preserve">TGCAGGTAAGAACCAGTTTT</t>
  </si>
  <si>
    <t xml:space="preserve">TAGTTGCAGGTAAGAACCAGTTTT</t>
  </si>
  <si>
    <t xml:space="preserve">AAACAAAACTGGTTCTTACCTGCA</t>
  </si>
  <si>
    <t xml:space="preserve">GTCGACGGTAAATCCAGCTT</t>
  </si>
  <si>
    <t xml:space="preserve">TAGTGTCGACGGTAAATCCAGCTT</t>
  </si>
  <si>
    <t xml:space="preserve">AAACAAGCTGGATTTACCGTCGAC</t>
  </si>
  <si>
    <t xml:space="preserve">PST_3391</t>
  </si>
  <si>
    <t xml:space="preserve">ATTGAAGCTCAGCCCAGCTA</t>
  </si>
  <si>
    <t xml:space="preserve">TAGTATTGAAGCTCAGCCCAGCTA</t>
  </si>
  <si>
    <t xml:space="preserve">AAACTAGCTGGGCTGAGCTTCAAT</t>
  </si>
  <si>
    <t xml:space="preserve">CCAACACTTCGAAGTGATGC</t>
  </si>
  <si>
    <t xml:space="preserve">TAGTCCAACACTTCGAAGTGATGC</t>
  </si>
  <si>
    <t xml:space="preserve">AAACGCATCACTTCGAAGTGTTGG</t>
  </si>
  <si>
    <t xml:space="preserve">CGATTCGAGCTTCTCCACCA</t>
  </si>
  <si>
    <t xml:space="preserve">TAGTCGATTCGAGCTTCTCCACCA</t>
  </si>
  <si>
    <t xml:space="preserve">AAACTGGTGGAGAAGCTCGAATCG</t>
  </si>
  <si>
    <t xml:space="preserve">TACGTTATTGAAAATTTTCT</t>
  </si>
  <si>
    <t xml:space="preserve">TAGTTACGTTATTGAAAATTTTCT</t>
  </si>
  <si>
    <t xml:space="preserve">AAACAGAAAATTTTCAATAACGTA</t>
  </si>
  <si>
    <t xml:space="preserve">PST_3392</t>
  </si>
  <si>
    <t xml:space="preserve">AGAGTGTGCCAAGCATCAGA</t>
  </si>
  <si>
    <t xml:space="preserve">TAGTAGAGTGTGCCAAGCATCAGA</t>
  </si>
  <si>
    <t xml:space="preserve">AAACTCTGATGCTTGGCACACTCT</t>
  </si>
  <si>
    <t xml:space="preserve">GCAAAAATTTGCCGAGCCTG</t>
  </si>
  <si>
    <t xml:space="preserve">TAGTGCAAAAATTTGCCGAGCCTG</t>
  </si>
  <si>
    <t xml:space="preserve">AAACCAGGCTCGGCAAATTTTTGC</t>
  </si>
  <si>
    <t xml:space="preserve">CATGAGTCGCCAGAGCGAGT</t>
  </si>
  <si>
    <t xml:space="preserve">TAGTCATGAGTCGCCAGAGCGAGT</t>
  </si>
  <si>
    <t xml:space="preserve">AAACACTCGCTCTGGCGACTCATG</t>
  </si>
  <si>
    <t xml:space="preserve">TTGTGCTGACATATGTGCTC</t>
  </si>
  <si>
    <t xml:space="preserve">TAGTTTGTGCTGACATATGTGCTC</t>
  </si>
  <si>
    <t xml:space="preserve">AAACGAGCACATATGTCAGCACAA</t>
  </si>
  <si>
    <t xml:space="preserve">PST_3393</t>
  </si>
  <si>
    <t xml:space="preserve">TTACGGCTATGTGCGTATTT</t>
  </si>
  <si>
    <t xml:space="preserve">TAGTTTACGGCTATGTGCGTATTT</t>
  </si>
  <si>
    <t xml:space="preserve">AAACAAATACGCACATAGCCGTAA</t>
  </si>
  <si>
    <t xml:space="preserve">AACCTCAGCCATTGCGAAGG</t>
  </si>
  <si>
    <t xml:space="preserve">TAGTAACCTCAGCCATTGCGAAGG</t>
  </si>
  <si>
    <t xml:space="preserve">AAACCCTTCGCAATGGCTGAGGTT</t>
  </si>
  <si>
    <t xml:space="preserve">AGAATACTATCTTCGCCCAT</t>
  </si>
  <si>
    <t xml:space="preserve">TAGTAGAATACTATCTTCGCCCAT</t>
  </si>
  <si>
    <t xml:space="preserve">AAACATGGGCGAAGATAGTATTCT</t>
  </si>
  <si>
    <t xml:space="preserve">TATGGCTGCGCACGATAGCT</t>
  </si>
  <si>
    <t xml:space="preserve">TAGTTATGGCTGCGCACGATAGCT</t>
  </si>
  <si>
    <t xml:space="preserve">AAACAGCTATCGTGCGCAGCCATA</t>
  </si>
  <si>
    <t xml:space="preserve">PST_3397</t>
  </si>
  <si>
    <t xml:space="preserve">GAGTATCCGCTTCTTGCTGC</t>
  </si>
  <si>
    <t xml:space="preserve">TAGTGAGTATCCGCTTCTTGCTGC</t>
  </si>
  <si>
    <t xml:space="preserve">AAACGCAGCAAGAAGCGGATACTC</t>
  </si>
  <si>
    <t xml:space="preserve">TGAGATTCTGTTGCGCTTGG</t>
  </si>
  <si>
    <t xml:space="preserve">TAGTTGAGATTCTGTTGCGCTTGG</t>
  </si>
  <si>
    <t xml:space="preserve">AAACCCAAGCGCAACAGAATCTCA</t>
  </si>
  <si>
    <t xml:space="preserve">CCCTAGAATAAATTGGCTCA</t>
  </si>
  <si>
    <t xml:space="preserve">TAGTCCCTAGAATAAATTGGCTCA</t>
  </si>
  <si>
    <t xml:space="preserve">AAACTGAGCCAATTTATTCTAGGG</t>
  </si>
  <si>
    <t xml:space="preserve">PST_3398</t>
  </si>
  <si>
    <t xml:space="preserve">GACGCCGGTGTAACCCGCGT</t>
  </si>
  <si>
    <t xml:space="preserve">TAGTGACGCCGGTGTAACCCGCGT</t>
  </si>
  <si>
    <t xml:space="preserve">AAACACGCGGGTTACACCGGCGTC</t>
  </si>
  <si>
    <t xml:space="preserve">CCTCCCGGCCTTCATGTTCC</t>
  </si>
  <si>
    <t xml:space="preserve">TAGTCCTCCCGGCCTTCATGTTCC</t>
  </si>
  <si>
    <t xml:space="preserve">AAACGGAACATGAAGGCCGGGAGG</t>
  </si>
  <si>
    <t xml:space="preserve">CTTCTTGTACGTACTGCGGC</t>
  </si>
  <si>
    <t xml:space="preserve">TAGTCTTCTTGTACGTACTGCGGC</t>
  </si>
  <si>
    <t xml:space="preserve">AAACGCCGCAGTACGTACAAGAAG</t>
  </si>
  <si>
    <t xml:space="preserve">CTGCATTCGTCAGCAAATGC</t>
  </si>
  <si>
    <t xml:space="preserve">TAGTCTGCATTCGTCAGCAAATGC</t>
  </si>
  <si>
    <t xml:space="preserve">AAACGCATTTGCTGACGAATGCAG</t>
  </si>
  <si>
    <t xml:space="preserve">PST_3400</t>
  </si>
  <si>
    <t xml:space="preserve">AGGGCAACCAAACCCGTCCA</t>
  </si>
  <si>
    <t xml:space="preserve">TAGTAGGGCAACCAAACCCGTCCA</t>
  </si>
  <si>
    <t xml:space="preserve">AAACTGGACGGGTTTGGTTGCCCT</t>
  </si>
  <si>
    <t xml:space="preserve">GGCAAACTGGCGCAGGATCG</t>
  </si>
  <si>
    <t xml:space="preserve">TAGTGGCAAACTGGCGCAGGATCG</t>
  </si>
  <si>
    <t xml:space="preserve">AAACCGATCCTGCGCCAGTTTGCC</t>
  </si>
  <si>
    <t xml:space="preserve">CTTGGCGTAACGACAAACCG</t>
  </si>
  <si>
    <t xml:space="preserve">TAGTCTTGGCGTAACGACAAACCG</t>
  </si>
  <si>
    <t xml:space="preserve">AAACCGGTTTGTCGTTACGCCAAG</t>
  </si>
  <si>
    <t xml:space="preserve">GCGCTTACCGTCCTGATTCT</t>
  </si>
  <si>
    <t xml:space="preserve">TAGTGCGCTTACCGTCCTGATTCT</t>
  </si>
  <si>
    <t xml:space="preserve">AAACAGAATCAGGACGGTAAGCGC</t>
  </si>
  <si>
    <t xml:space="preserve">PST_3401</t>
  </si>
  <si>
    <t xml:space="preserve">ATGCTATCTCCTTGGGCAGA</t>
  </si>
  <si>
    <t xml:space="preserve">TAGTATGCTATCTCCTTGGGCAGA</t>
  </si>
  <si>
    <t xml:space="preserve">AAACTCTGCCCAAGGAGATAGCAT</t>
  </si>
  <si>
    <t xml:space="preserve">GTGACGCTTTGATCCTCGGC</t>
  </si>
  <si>
    <t xml:space="preserve">TAGTGTGACGCTTTGATCCTCGGC</t>
  </si>
  <si>
    <t xml:space="preserve">AAACGCCGAGGATCAAAGCGTCAC</t>
  </si>
  <si>
    <t xml:space="preserve">GTCGACAGATATCGGGTTTT</t>
  </si>
  <si>
    <t xml:space="preserve">TAGTGTCGACAGATATCGGGTTTT</t>
  </si>
  <si>
    <t xml:space="preserve">AAACAAAACCCGATATCTGTCGAC</t>
  </si>
  <si>
    <t xml:space="preserve">TCTTGCTTCGTCGCGCCAAG</t>
  </si>
  <si>
    <t xml:space="preserve">TAGTTCTTGCTTCGTCGCGCCAAG</t>
  </si>
  <si>
    <t xml:space="preserve">AAACCTTGGCGCGACGAAGCAAGA</t>
  </si>
  <si>
    <t xml:space="preserve">PST_3403</t>
  </si>
  <si>
    <t xml:space="preserve">TTCCATCATTGAATCGCCCC</t>
  </si>
  <si>
    <t xml:space="preserve">TAGTTTCCATCATTGAATCGCCCC</t>
  </si>
  <si>
    <t xml:space="preserve">AAACGGGGCGATTCAATGATGGAA</t>
  </si>
  <si>
    <t xml:space="preserve">CAGAGCCCGGCCGACGATTG</t>
  </si>
  <si>
    <t xml:space="preserve">TAGTCAGAGCCCGGCCGACGATTG</t>
  </si>
  <si>
    <t xml:space="preserve">AAACCAATCGTCGGCCGGGCTCTG</t>
  </si>
  <si>
    <t xml:space="preserve">ATGCAGCAATCCGATAGAAA</t>
  </si>
  <si>
    <t xml:space="preserve">TAGTATGCAGCAATCCGATAGAAA</t>
  </si>
  <si>
    <t xml:space="preserve">AAACTTTCTATCGGATTGCTGCAT</t>
  </si>
  <si>
    <t xml:space="preserve">GCGTAAACCACGCCCAGCAC</t>
  </si>
  <si>
    <t xml:space="preserve">TAGTGCGTAAACCACGCCCAGCAC</t>
  </si>
  <si>
    <t xml:space="preserve">AAACGTGCTGGGCGTGGTTTACGC</t>
  </si>
  <si>
    <t xml:space="preserve">PST_3402</t>
  </si>
  <si>
    <t xml:space="preserve">GGCAACGCGCAAACCGCGCT</t>
  </si>
  <si>
    <t xml:space="preserve">TAGTGGCAACGCGCAAACCGCGCT</t>
  </si>
  <si>
    <t xml:space="preserve">AAACAGCGCGGTTTGCGCGTTGCC</t>
  </si>
  <si>
    <t xml:space="preserve">PST_3404</t>
  </si>
  <si>
    <t xml:space="preserve">ATCAGGAACAACACGAGCAC</t>
  </si>
  <si>
    <t xml:space="preserve">TAGTATCAGGAACAACACGAGCAC</t>
  </si>
  <si>
    <t xml:space="preserve">AAACGTGCTCGTGTTGTTCCTGAT</t>
  </si>
  <si>
    <t xml:space="preserve">GTTCTCACCTGCAAGCATGC</t>
  </si>
  <si>
    <t xml:space="preserve">TAGTGTTCTCACCTGCAAGCATGC</t>
  </si>
  <si>
    <t xml:space="preserve">AAACGCATGCTTGCAGGTGAGAAC</t>
  </si>
  <si>
    <t xml:space="preserve">CAGGGTGCCGAGGGCATGCG</t>
  </si>
  <si>
    <t xml:space="preserve">TAGTCAGGGTGCCGAGGGCATGCG</t>
  </si>
  <si>
    <t xml:space="preserve">AAACCGCATGCCCTCGGCACCCTG</t>
  </si>
  <si>
    <t xml:space="preserve">TTTGCAGGCCGCCGTCAAAA</t>
  </si>
  <si>
    <t xml:space="preserve">TAGTTTTGCAGGCCGCCGTCAAAA</t>
  </si>
  <si>
    <t xml:space="preserve">AAACTTTTGACGGCGGCCTGCAAA</t>
  </si>
  <si>
    <t xml:space="preserve">PST_3405</t>
  </si>
  <si>
    <t xml:space="preserve">GATCAATTGTCGAACCTCTA</t>
  </si>
  <si>
    <t xml:space="preserve">TAGTGATCAATTGTCGAACCTCTA</t>
  </si>
  <si>
    <t xml:space="preserve">AAACTAGAGGTTCGACAATTGATC</t>
  </si>
  <si>
    <t xml:space="preserve">AGACCCCAGCCCGAAACCAG</t>
  </si>
  <si>
    <t xml:space="preserve">TAGTAGACCCCAGCCCGAAACCAG</t>
  </si>
  <si>
    <t xml:space="preserve">AAACCTGGTTTCGGGCTGGGGTCT</t>
  </si>
  <si>
    <t xml:space="preserve">CCGAAGGTTCCAGGCACCCA</t>
  </si>
  <si>
    <t xml:space="preserve">TAGTCCGAAGGTTCCAGGCACCCA</t>
  </si>
  <si>
    <t xml:space="preserve">AAACTGGGTGCCTGGAACCTTCGG</t>
  </si>
  <si>
    <t xml:space="preserve">CCCCAGAGCCACCACGCCAG</t>
  </si>
  <si>
    <t xml:space="preserve">TAGTCCCCAGAGCCACCACGCCAG</t>
  </si>
  <si>
    <t xml:space="preserve">AAACCTGGCGTGGTGGCTCTGGGG</t>
  </si>
  <si>
    <t xml:space="preserve">PST_3406</t>
  </si>
  <si>
    <t xml:space="preserve">AATGCAAGGCCGCAGAGGGC</t>
  </si>
  <si>
    <t xml:space="preserve">TAGTAATGCAAGGCCGCAGAGGGC</t>
  </si>
  <si>
    <t xml:space="preserve">AAACGCCCTCTGCGGCCTTGCATT</t>
  </si>
  <si>
    <t xml:space="preserve">CGTTCGAGTTGCACGCGTAA</t>
  </si>
  <si>
    <t xml:space="preserve">TAGTCGTTCGAGTTGCACGCGTAA</t>
  </si>
  <si>
    <t xml:space="preserve">AAACTTACGCGTGCAACTCGAACG</t>
  </si>
  <si>
    <t xml:space="preserve">ATTTTTCAGCGATGCCAGGC</t>
  </si>
  <si>
    <t xml:space="preserve">TAGTATTTTTCAGCGATGCCAGGC</t>
  </si>
  <si>
    <t xml:space="preserve">AAACGCCTGGCATCGCTGAAAAAT</t>
  </si>
  <si>
    <t xml:space="preserve">GCCTGTAGCACTCATGAACC</t>
  </si>
  <si>
    <t xml:space="preserve">TAGTGCCTGTAGCACTCATGAACC</t>
  </si>
  <si>
    <t xml:space="preserve">AAACGGTTCATGAGTGCTACAGGC</t>
  </si>
  <si>
    <t xml:space="preserve">PST_3407</t>
  </si>
  <si>
    <t xml:space="preserve">GCAGGTAGCAGTGATGTTCA</t>
  </si>
  <si>
    <t xml:space="preserve">TAGTGCAGGTAGCAGTGATGTTCA</t>
  </si>
  <si>
    <t xml:space="preserve">AAACTGAACATCACTGCTACCTGC</t>
  </si>
  <si>
    <t xml:space="preserve">TCCTTTGTTCCAGGGCCGGC</t>
  </si>
  <si>
    <t xml:space="preserve">TAGTTCCTTTGTTCCAGGGCCGGC</t>
  </si>
  <si>
    <t xml:space="preserve">AAACGCCGGCCCTGGAACAAAGGA</t>
  </si>
  <si>
    <t xml:space="preserve">GATATCTCTCAGCCGGAGCG</t>
  </si>
  <si>
    <t xml:space="preserve">TAGTGATATCTCTCAGCCGGAGCG</t>
  </si>
  <si>
    <t xml:space="preserve">AAACCGCTCCGGCTGAGAGATATC</t>
  </si>
  <si>
    <t xml:space="preserve">AAGCTGAAGCCTTACTCGGA</t>
  </si>
  <si>
    <t xml:space="preserve">TAGTAAGCTGAAGCCTTACTCGGA</t>
  </si>
  <si>
    <t xml:space="preserve">AAACTCCGAGTAAGGCTTCAGCTT</t>
  </si>
  <si>
    <t xml:space="preserve">PST_3408</t>
  </si>
  <si>
    <t xml:space="preserve">CATAGATATGTCTGACGAAC</t>
  </si>
  <si>
    <t xml:space="preserve">TAGTCATAGATATGTCTGACGAAC</t>
  </si>
  <si>
    <t xml:space="preserve">AAACGTTCGTCAGACATATCTATG</t>
  </si>
  <si>
    <t xml:space="preserve">ACGCGGTTCCGAGGATTAAC</t>
  </si>
  <si>
    <t xml:space="preserve">TAGTACGCGGTTCCGAGGATTAAC</t>
  </si>
  <si>
    <t xml:space="preserve">AAACGTTAATCCTCGGAACCGCGT</t>
  </si>
  <si>
    <t xml:space="preserve">CGCAACACCCACTTTGGTGA</t>
  </si>
  <si>
    <t xml:space="preserve">TAGTCGCAACACCCACTTTGGTGA</t>
  </si>
  <si>
    <t xml:space="preserve">AAACTCACCAAAGTGGGTGTTGCG</t>
  </si>
  <si>
    <t xml:space="preserve">TACCCCAGGAATACGAAGGG</t>
  </si>
  <si>
    <t xml:space="preserve">TAGTTACCCCAGGAATACGAAGGG</t>
  </si>
  <si>
    <t xml:space="preserve">AAACCCCTTCGTATTCCTGGGGTA</t>
  </si>
  <si>
    <t xml:space="preserve">PST_3409</t>
  </si>
  <si>
    <t xml:space="preserve">CACTGCTGTGGCCAATGCCC</t>
  </si>
  <si>
    <t xml:space="preserve">TAGTCACTGCTGTGGCCAATGCCC</t>
  </si>
  <si>
    <t xml:space="preserve">AAACGGGCATTGGCCACAGCAGTG</t>
  </si>
  <si>
    <t xml:space="preserve">CGCTGGCGGCAAAGCGGCAG</t>
  </si>
  <si>
    <t xml:space="preserve">TAGTCGCTGGCGGCAAAGCGGCAG</t>
  </si>
  <si>
    <t xml:space="preserve">AAACCTGCCGCTTTGCCGCCAGCG</t>
  </si>
  <si>
    <t xml:space="preserve">CTGCTGCTCCAGCTCAGCAT</t>
  </si>
  <si>
    <t xml:space="preserve">TAGTCTGCTGCTCCAGCTCAGCAT</t>
  </si>
  <si>
    <t xml:space="preserve">AAACATGCTGAGCTGGAGCAGCAG</t>
  </si>
  <si>
    <t xml:space="preserve">CTGGGCACCGCCGGGGCTGG</t>
  </si>
  <si>
    <t xml:space="preserve">TAGTCTGGGCACCGCCGGGGCTGG</t>
  </si>
  <si>
    <t xml:space="preserve">AAACCCAGCCCCGGCGGTGCCCAG</t>
  </si>
  <si>
    <t xml:space="preserve">PST_3410</t>
  </si>
  <si>
    <t xml:space="preserve">ACTGGAGCTTGTCCAGGGTC</t>
  </si>
  <si>
    <t xml:space="preserve">TAGTACTGGAGCTTGTCCAGGGTC</t>
  </si>
  <si>
    <t xml:space="preserve">AAACGACCCTGGACAAGCTCCAGT</t>
  </si>
  <si>
    <t xml:space="preserve">GATTTTCAGTTGCTCGGCGA</t>
  </si>
  <si>
    <t xml:space="preserve">TAGTGATTTTCAGTTGCTCGGCGA</t>
  </si>
  <si>
    <t xml:space="preserve">AAACTCGCCGAGCAACTGAAAATC</t>
  </si>
  <si>
    <t xml:space="preserve">AGCTCAGGCTGCCGATGTCG</t>
  </si>
  <si>
    <t xml:space="preserve">TAGTAGCTCAGGCTGCCGATGTCG</t>
  </si>
  <si>
    <t xml:space="preserve">AAACCGACATCGGCAGCCTGAGCT</t>
  </si>
  <si>
    <t xml:space="preserve">GTAACCTGGCCTGACGCAGG</t>
  </si>
  <si>
    <t xml:space="preserve">TAGTGTAACCTGGCCTGACGCAGG</t>
  </si>
  <si>
    <t xml:space="preserve">AAACCCTGCGTCAGGCCAGGTTAC</t>
  </si>
  <si>
    <t xml:space="preserve">PST_3411</t>
  </si>
  <si>
    <t xml:space="preserve">CATCGAGTCGTACTTATGTG</t>
  </si>
  <si>
    <t xml:space="preserve">TAGTCATCGAGTCGTACTTATGTG</t>
  </si>
  <si>
    <t xml:space="preserve">AAACCACATAAGTACGACTCGATG</t>
  </si>
  <si>
    <t xml:space="preserve">AAAAAGGCATCCAGTAGCGC</t>
  </si>
  <si>
    <t xml:space="preserve">TAGTAAAAAGGCATCCAGTAGCGC</t>
  </si>
  <si>
    <t xml:space="preserve">AAACGCGCTACTGGATGCCTTTTT</t>
  </si>
  <si>
    <t xml:space="preserve">GGAATCCATTGGGGCCCATT</t>
  </si>
  <si>
    <t xml:space="preserve">TAGTGGAATCCATTGGGGCCCATT</t>
  </si>
  <si>
    <t xml:space="preserve">AAACAATGGGCCCCAATGGATTCC</t>
  </si>
  <si>
    <t xml:space="preserve">CAGAACTCCTTCCCAGAAGG</t>
  </si>
  <si>
    <t xml:space="preserve">TAGTCAGAACTCCTTCCCAGAAGG</t>
  </si>
  <si>
    <t xml:space="preserve">AAACCCTTCTGGGAAGGAGTTCTG</t>
  </si>
  <si>
    <t xml:space="preserve">PST_3412</t>
  </si>
  <si>
    <t xml:space="preserve">AGCACCCCAGAGCTCTGGAT</t>
  </si>
  <si>
    <t xml:space="preserve">TAGTAGCACCCCAGAGCTCTGGAT</t>
  </si>
  <si>
    <t xml:space="preserve">AAACATCCAGAGCTCTGGGGTGCT</t>
  </si>
  <si>
    <t xml:space="preserve">CAACCCCAGCGTGCTCAAAC</t>
  </si>
  <si>
    <t xml:space="preserve">TAGTCAACCCCAGCGTGCTCAAAC</t>
  </si>
  <si>
    <t xml:space="preserve">AAACGTTTGAGCACGCTGGGGTTG</t>
  </si>
  <si>
    <t xml:space="preserve">GCTCATGGGCGACCGACGCC</t>
  </si>
  <si>
    <t xml:space="preserve">TAGTGCTCATGGGCGACCGACGCC</t>
  </si>
  <si>
    <t xml:space="preserve">AAACGGCGTCGGTCGCCCATGAGC</t>
  </si>
  <si>
    <t xml:space="preserve">GGTGCTGCCACAGCTCTGTC</t>
  </si>
  <si>
    <t xml:space="preserve">TAGTGGTGCTGCCACAGCTCTGTC</t>
  </si>
  <si>
    <t xml:space="preserve">AAACGACAGAGCTGTGGCAGCACC</t>
  </si>
  <si>
    <t xml:space="preserve">PST_3413</t>
  </si>
  <si>
    <t xml:space="preserve">GCTCTGCGCCAGAAAGGGAG</t>
  </si>
  <si>
    <t xml:space="preserve">TAGTGCTCTGCGCCAGAAAGGGAG</t>
  </si>
  <si>
    <t xml:space="preserve">AAACCTCCCTTTCTGGCGCAGAGC</t>
  </si>
  <si>
    <t xml:space="preserve">ATCAGCTTCATGAGCGTTGC</t>
  </si>
  <si>
    <t xml:space="preserve">TAGTATCAGCTTCATGAGCGTTGC</t>
  </si>
  <si>
    <t xml:space="preserve">AAACGCAACGCTCATGAAGCTGAT</t>
  </si>
  <si>
    <t xml:space="preserve">TGGGCGAATTAAGTTTGACT</t>
  </si>
  <si>
    <t xml:space="preserve">TAGTTGGGCGAATTAAGTTTGACT</t>
  </si>
  <si>
    <t xml:space="preserve">AAACAGTCAAACTTAATTCGCCCA</t>
  </si>
  <si>
    <t xml:space="preserve">ACCTTTTGCTGTTTCCTGGA</t>
  </si>
  <si>
    <t xml:space="preserve">TAGTACCTTTTGCTGTTTCCTGGA</t>
  </si>
  <si>
    <t xml:space="preserve">AAACTCCAGGAAACAGCAAAAGGT</t>
  </si>
  <si>
    <t xml:space="preserve">PST_3414</t>
  </si>
  <si>
    <t xml:space="preserve">TTGGAGACGCTCTGGGGTAG</t>
  </si>
  <si>
    <t xml:space="preserve">TAGTTTGGAGACGCTCTGGGGTAG</t>
  </si>
  <si>
    <t xml:space="preserve">AAACCTACCCCAGAGCGTCTCCAA</t>
  </si>
  <si>
    <t xml:space="preserve">AGGAACGGCCCGGCATAACC</t>
  </si>
  <si>
    <t xml:space="preserve">TAGTAGGAACGGCCCGGCATAACC</t>
  </si>
  <si>
    <t xml:space="preserve">AAACGGTTATGCCGGGCCGTTCCT</t>
  </si>
  <si>
    <t xml:space="preserve">CGACATTGCGAGGCTTGCGC</t>
  </si>
  <si>
    <t xml:space="preserve">TAGTCGACATTGCGAGGCTTGCGC</t>
  </si>
  <si>
    <t xml:space="preserve">AAACGCGCAAGCCTCGCAATGTCG</t>
  </si>
  <si>
    <t xml:space="preserve">GCAACACGGCGTCATCGTAC</t>
  </si>
  <si>
    <t xml:space="preserve">TAGTGCAACACGGCGTCATCGTAC</t>
  </si>
  <si>
    <t xml:space="preserve">AAACGTACGATGACGCCGTGTTGC</t>
  </si>
  <si>
    <t xml:space="preserve">PST_3415</t>
  </si>
  <si>
    <t xml:space="preserve">GATGGCGACGCTCATCTATC</t>
  </si>
  <si>
    <t xml:space="preserve">TAGTGATGGCGACGCTCATCTATC</t>
  </si>
  <si>
    <t xml:space="preserve">AAACGATAGATGAGCGTCGCCATC</t>
  </si>
  <si>
    <t xml:space="preserve">TGCTGCATCAGTTGGCGGAA</t>
  </si>
  <si>
    <t xml:space="preserve">TAGTTGCTGCATCAGTTGGCGGAA</t>
  </si>
  <si>
    <t xml:space="preserve">AAACTTCCGCCAACTGATGCAGCA</t>
  </si>
  <si>
    <t xml:space="preserve">GTGTTCTGCCCTGAAGCCGC</t>
  </si>
  <si>
    <t xml:space="preserve">TAGTGTGTTCTGCCCTGAAGCCGC</t>
  </si>
  <si>
    <t xml:space="preserve">AAACGCGGCTTCAGGGCAGAACAC</t>
  </si>
  <si>
    <t xml:space="preserve">GTCCGTGCGTCATCCGGCCT</t>
  </si>
  <si>
    <t xml:space="preserve">TAGTGTCCGTGCGTCATCCGGCCT</t>
  </si>
  <si>
    <t xml:space="preserve">AAACAGGCCGGATGACGCACGGAC</t>
  </si>
  <si>
    <t xml:space="preserve">PST_3416</t>
  </si>
  <si>
    <t xml:space="preserve">ATCGCAGCCGCAGGGACCAT</t>
  </si>
  <si>
    <t xml:space="preserve">TAGTATCGCAGCCGCAGGGACCAT</t>
  </si>
  <si>
    <t xml:space="preserve">AAACATGGTCCCTGCGGCTGCGAT</t>
  </si>
  <si>
    <t xml:space="preserve">ATTTTGCACACCGGCATCGG</t>
  </si>
  <si>
    <t xml:space="preserve">TAGTATTTTGCACACCGGCATCGG</t>
  </si>
  <si>
    <t xml:space="preserve">AAACCCGATGCCGGTGTGCAAAAT</t>
  </si>
  <si>
    <t xml:space="preserve">GACCCATTGCCCCGTCGTAT</t>
  </si>
  <si>
    <t xml:space="preserve">TAGTGACCCATTGCCCCGTCGTAT</t>
  </si>
  <si>
    <t xml:space="preserve">AAACATACGACGGGGCAATGGGTC</t>
  </si>
  <si>
    <t xml:space="preserve">TGGACAATCCATCTTGGGCA</t>
  </si>
  <si>
    <t xml:space="preserve">TAGTTGGACAATCCATCTTGGGCA</t>
  </si>
  <si>
    <t xml:space="preserve">AAACTGCCCAAGATGGATTGTCCA</t>
  </si>
  <si>
    <t xml:space="preserve">PST_3417</t>
  </si>
  <si>
    <t xml:space="preserve">AGCCCTGCTGCTCATAGAAG</t>
  </si>
  <si>
    <t xml:space="preserve">TAGTAGCCCTGCTGCTCATAGAAG</t>
  </si>
  <si>
    <t xml:space="preserve">AAACCTTCTATGAGCAGCAGGGCT</t>
  </si>
  <si>
    <t xml:space="preserve">TTCGCCTGGCGATCAGGCGG</t>
  </si>
  <si>
    <t xml:space="preserve">TAGTTTCGCCTGGCGATCAGGCGG</t>
  </si>
  <si>
    <t xml:space="preserve">AAACCCGCCTGATCGCCAGGCGAA</t>
  </si>
  <si>
    <t xml:space="preserve">TAGCCGCTCGCCATGCTTCT</t>
  </si>
  <si>
    <t xml:space="preserve">TAGTTAGCCGCTCGCCATGCTTCT</t>
  </si>
  <si>
    <t xml:space="preserve">AAACAGAAGCATGGCGAGCGGCTA</t>
  </si>
  <si>
    <t xml:space="preserve">GATTCGGCAGCTCCGGATGA</t>
  </si>
  <si>
    <t xml:space="preserve">TAGTGATTCGGCAGCTCCGGATGA</t>
  </si>
  <si>
    <t xml:space="preserve">AAACTCATCCGGAGCTGCCGAATC</t>
  </si>
  <si>
    <t xml:space="preserve">PST_3418</t>
  </si>
  <si>
    <t xml:space="preserve">AATGGCCCGTTGGATGGCGG</t>
  </si>
  <si>
    <t xml:space="preserve">TAGTAATGGCCCGTTGGATGGCGG</t>
  </si>
  <si>
    <t xml:space="preserve">AAACCCGCCATCCAACGGGCCATT</t>
  </si>
  <si>
    <t xml:space="preserve">CAACGCGTTGGATAGCAGGT</t>
  </si>
  <si>
    <t xml:space="preserve">TAGTCAACGCGTTGGATAGCAGGT</t>
  </si>
  <si>
    <t xml:space="preserve">AAACACCTGCTATCCAACGCGTTG</t>
  </si>
  <si>
    <t xml:space="preserve">TTCGATAGTCGCGCCATGAT</t>
  </si>
  <si>
    <t xml:space="preserve">TAGTTTCGATAGTCGCGCCATGAT</t>
  </si>
  <si>
    <t xml:space="preserve">AAACATCATGGCGCGACTATCGAA</t>
  </si>
  <si>
    <t xml:space="preserve">AAAAGCGGTCGAACAGGTGC</t>
  </si>
  <si>
    <t xml:space="preserve">TAGTAAAAGCGGTCGAACAGGTGC</t>
  </si>
  <si>
    <t xml:space="preserve">AAACGCACCTGTTCGACCGCTTTT</t>
  </si>
  <si>
    <t xml:space="preserve">PST_3420</t>
  </si>
  <si>
    <t xml:space="preserve">ATGATCGATCTGCGAGAGCT</t>
  </si>
  <si>
    <t xml:space="preserve">TAGTATGATCGATCTGCGAGAGCT</t>
  </si>
  <si>
    <t xml:space="preserve">AAACAGCTCTCGCAGATCGATCAT</t>
  </si>
  <si>
    <t xml:space="preserve">TACGGGCTTTGGTGTCTTCT</t>
  </si>
  <si>
    <t xml:space="preserve">TAGTTACGGGCTTTGGTGTCTTCT</t>
  </si>
  <si>
    <t xml:space="preserve">AAACAGAAGACACCAAAGCCCGTA</t>
  </si>
  <si>
    <t xml:space="preserve">TCAGTGCGTGTTGCCAGGAG</t>
  </si>
  <si>
    <t xml:space="preserve">TAGTTCAGTGCGTGTTGCCAGGAG</t>
  </si>
  <si>
    <t xml:space="preserve">AAACCTCCTGGCAACACGCACTGA</t>
  </si>
  <si>
    <t xml:space="preserve">CGGTAATCGAAAGGTTGTCA</t>
  </si>
  <si>
    <t xml:space="preserve">TAGTCGGTAATCGAAAGGTTGTCA</t>
  </si>
  <si>
    <t xml:space="preserve">AAACTGACAACCTTTCGATTACCG</t>
  </si>
  <si>
    <t xml:space="preserve">PST_3421</t>
  </si>
  <si>
    <t xml:space="preserve">czrR-2</t>
  </si>
  <si>
    <t xml:space="preserve">GCAATGAGGTGCGCGGTAAG</t>
  </si>
  <si>
    <t xml:space="preserve">TAGTGCAATGAGGTGCGCGGTAAG</t>
  </si>
  <si>
    <t xml:space="preserve">AAACCTTACCGCGCACCTCATTGC</t>
  </si>
  <si>
    <t xml:space="preserve">ACTCGATGAGACCCTGCTGC</t>
  </si>
  <si>
    <t xml:space="preserve">TAGTACTCGATGAGACCCTGCTGC</t>
  </si>
  <si>
    <t xml:space="preserve">AAACGCAGCAGGGTCTCATCGAGT</t>
  </si>
  <si>
    <t xml:space="preserve">AGTCGTTCTGCAGTGCCAGG</t>
  </si>
  <si>
    <t xml:space="preserve">TAGTAGTCGTTCTGCAGTGCCAGG</t>
  </si>
  <si>
    <t xml:space="preserve">AAACCCTGGCACTGCAGAACGACT</t>
  </si>
  <si>
    <t xml:space="preserve">ACCTCCCACCCGTCCATGGT</t>
  </si>
  <si>
    <t xml:space="preserve">TAGTACCTCCCACCCGTCCATGGT</t>
  </si>
  <si>
    <t xml:space="preserve">AAACACCATGGACGGGTGGGAGGT</t>
  </si>
  <si>
    <t xml:space="preserve">PST_3422</t>
  </si>
  <si>
    <t xml:space="preserve">AAGGGCTGTAAGTGAAAGGG</t>
  </si>
  <si>
    <t xml:space="preserve">TAGTAAGGGCTGTAAGTGAAAGGG</t>
  </si>
  <si>
    <t xml:space="preserve">AAACCCCTTTCACTTACAGCCCTT</t>
  </si>
  <si>
    <t xml:space="preserve">TTCCGATTGGGCAAAGACCG</t>
  </si>
  <si>
    <t xml:space="preserve">TAGTTTCCGATTGGGCAAAGACCG</t>
  </si>
  <si>
    <t xml:space="preserve">AAACCGGTCTTTGCCCAATCGGAA</t>
  </si>
  <si>
    <t xml:space="preserve">TCCCACCGTCGCGAAAATCT</t>
  </si>
  <si>
    <t xml:space="preserve">TAGTTCCCACCGTCGCGAAAATCT</t>
  </si>
  <si>
    <t xml:space="preserve">AAACAGATTTTCGCGACGGTGGGA</t>
  </si>
  <si>
    <t xml:space="preserve">CTCAGAATAGCCATTGCCGG</t>
  </si>
  <si>
    <t xml:space="preserve">TAGTCTCAGAATAGCCATTGCCGG</t>
  </si>
  <si>
    <t xml:space="preserve">AAACCCGGCAATGGCTATTCTGAG</t>
  </si>
  <si>
    <t xml:space="preserve">PST_3423</t>
  </si>
  <si>
    <t xml:space="preserve">GCGTTCATACGCAAGGGACA</t>
  </si>
  <si>
    <t xml:space="preserve">TAGTGCGTTCATACGCAAGGGACA</t>
  </si>
  <si>
    <t xml:space="preserve">AAACTGTCCCTTGCGTATGAACGC</t>
  </si>
  <si>
    <t xml:space="preserve">ACCGCGCAGCGGAAAATTCT</t>
  </si>
  <si>
    <t xml:space="preserve">TAGTACCGCGCAGCGGAAAATTCT</t>
  </si>
  <si>
    <t xml:space="preserve">AAACAGAATTTTCCGCTGCGCGGT</t>
  </si>
  <si>
    <t xml:space="preserve">TCGGGATAACCCCAGCTTGG</t>
  </si>
  <si>
    <t xml:space="preserve">TAGTTCGGGATAACCCCAGCTTGG</t>
  </si>
  <si>
    <t xml:space="preserve">AAACCCAAGCTGGGGTTATCCCGA</t>
  </si>
  <si>
    <t xml:space="preserve">CCACCTCGAACCCTAATTCC</t>
  </si>
  <si>
    <t xml:space="preserve">TAGTCCACCTCGAACCCTAATTCC</t>
  </si>
  <si>
    <t xml:space="preserve">AAACGGAATTAGGGTTCGAGGTGG</t>
  </si>
  <si>
    <t xml:space="preserve">PST_3424</t>
  </si>
  <si>
    <t xml:space="preserve">GCCCTGTTTTACGCCAACGC</t>
  </si>
  <si>
    <t xml:space="preserve">TAGTGCCCTGTTTTACGCCAACGC</t>
  </si>
  <si>
    <t xml:space="preserve">AAACGCGTTGGCGTAAAACAGGGC</t>
  </si>
  <si>
    <t xml:space="preserve">GTGCTCAGCCTTGTTATCGC</t>
  </si>
  <si>
    <t xml:space="preserve">TAGTGTGCTCAGCCTTGTTATCGC</t>
  </si>
  <si>
    <t xml:space="preserve">AAACGCGATAACAAGGCTGAGCAC</t>
  </si>
  <si>
    <t xml:space="preserve">CTCATGCGCGTGGCCATCCT</t>
  </si>
  <si>
    <t xml:space="preserve">TAGTCTCATGCGCGTGGCCATCCT</t>
  </si>
  <si>
    <t xml:space="preserve">AAACAGGATGGCCACGCGCATGAG</t>
  </si>
  <si>
    <t xml:space="preserve">CATGACCGTCTTCGTCCCCA</t>
  </si>
  <si>
    <t xml:space="preserve">TAGTCATGACCGTCTTCGTCCCCA</t>
  </si>
  <si>
    <t xml:space="preserve">AAACTGGGGACGAAGACGGTCATG</t>
  </si>
  <si>
    <t xml:space="preserve">PST_3425</t>
  </si>
  <si>
    <t xml:space="preserve">ATGTCGGGCACAGCGTCGAT</t>
  </si>
  <si>
    <t xml:space="preserve">TAGTATGTCGGGCACAGCGTCGAT</t>
  </si>
  <si>
    <t xml:space="preserve">AAACATCGACGCTGTGCCCGACAT</t>
  </si>
  <si>
    <t xml:space="preserve">GTTAATTTGAACCTGTACAT</t>
  </si>
  <si>
    <t xml:space="preserve">TAGTGTTAATTTGAACCTGTACAT</t>
  </si>
  <si>
    <t xml:space="preserve">AAACATGTACAGGTTCAAATTAAC</t>
  </si>
  <si>
    <t xml:space="preserve">CGGCGACGCGCCTGGGACTG</t>
  </si>
  <si>
    <t xml:space="preserve">TAGTCGGCGACGCGCCTGGGACTG</t>
  </si>
  <si>
    <t xml:space="preserve">AAACCAGTCCCAGGCGCGTCGCCG</t>
  </si>
  <si>
    <t xml:space="preserve">ACGCGTTGCTCGGTTTCAAG</t>
  </si>
  <si>
    <t xml:space="preserve">TAGTACGCGTTGCTCGGTTTCAAG</t>
  </si>
  <si>
    <t xml:space="preserve">AAACCTTGAAACCGAGCAACGCGT</t>
  </si>
  <si>
    <t xml:space="preserve">PST_3426</t>
  </si>
  <si>
    <t xml:space="preserve">ATGCGCTGGTAACGACTGAC</t>
  </si>
  <si>
    <t xml:space="preserve">TAGTATGCGCTGGTAACGACTGAC</t>
  </si>
  <si>
    <t xml:space="preserve">AAACGTCAGTCGTTACCAGCGCAT</t>
  </si>
  <si>
    <t xml:space="preserve">GGGTTCACTGAAAGGATTTG</t>
  </si>
  <si>
    <t xml:space="preserve">TAGTGGGTTCACTGAAAGGATTTG</t>
  </si>
  <si>
    <t xml:space="preserve">AAACCAAATCCTTTCAGTGAACCC</t>
  </si>
  <si>
    <t xml:space="preserve">TATCCAATCGAAGCTTCGAA</t>
  </si>
  <si>
    <t xml:space="preserve">TAGTTATCCAATCGAAGCTTCGAA</t>
  </si>
  <si>
    <t xml:space="preserve">AAACTTCGAAGCTTCGATTGGATA</t>
  </si>
  <si>
    <t xml:space="preserve">PST_3427</t>
  </si>
  <si>
    <t xml:space="preserve">AGCTTTCAACAGATTCATAT</t>
  </si>
  <si>
    <t xml:space="preserve">TAGTAGCTTTCAACAGATTCATAT</t>
  </si>
  <si>
    <t xml:space="preserve">AAACATATGAATCTGTTGAAAGCT</t>
  </si>
  <si>
    <t xml:space="preserve">GTCTCCTGCATAGGATAATG</t>
  </si>
  <si>
    <t xml:space="preserve">TAGTGTCTCCTGCATAGGATAATG</t>
  </si>
  <si>
    <t xml:space="preserve">AAACCATTATCCTATGCAGGAGAC</t>
  </si>
  <si>
    <t xml:space="preserve">TATTTTTTCTTCACCAGACT</t>
  </si>
  <si>
    <t xml:space="preserve">TAGTTATTTTTTCTTCACCAGACT</t>
  </si>
  <si>
    <t xml:space="preserve">AAACAGTCTGGTGAAGAAAAAATA</t>
  </si>
  <si>
    <t xml:space="preserve">ATATTGCTCTGATCCGGGCG</t>
  </si>
  <si>
    <t xml:space="preserve">TAGTATATTGCTCTGATCCGGGCG</t>
  </si>
  <si>
    <t xml:space="preserve">AAACCGCCCGGATCAGAGCAATAT</t>
  </si>
  <si>
    <t xml:space="preserve">PST_3428</t>
  </si>
  <si>
    <t xml:space="preserve">TGGTTATGTTCGTGGCCCAT</t>
  </si>
  <si>
    <t xml:space="preserve">TAGTTGGTTATGTTCGTGGCCCAT</t>
  </si>
  <si>
    <t xml:space="preserve">AAACATGGGCCACGAACATAACCA</t>
  </si>
  <si>
    <t xml:space="preserve">CGCCTATAGCTTCGGTGTTA</t>
  </si>
  <si>
    <t xml:space="preserve">TAGTCGCCTATAGCTTCGGTGTTA</t>
  </si>
  <si>
    <t xml:space="preserve">AAACTAACACCGAAGCTATAGGCG</t>
  </si>
  <si>
    <t xml:space="preserve">TATTTGTGCCAGTGTTAATG</t>
  </si>
  <si>
    <t xml:space="preserve">TAGTTATTTGTGCCAGTGTTAATG</t>
  </si>
  <si>
    <t xml:space="preserve">AAACCATTAACACTGGCACAAATA</t>
  </si>
  <si>
    <t xml:space="preserve">CAGCGCAATAACCAGTGATG</t>
  </si>
  <si>
    <t xml:space="preserve">TAGTCAGCGCAATAACCAGTGATG</t>
  </si>
  <si>
    <t xml:space="preserve">AAACCATCACTGGTTATTGCGCTG</t>
  </si>
  <si>
    <t xml:space="preserve">PST_3430</t>
  </si>
  <si>
    <t xml:space="preserve">CTCTGAATCCCACCGTAAAG</t>
  </si>
  <si>
    <t xml:space="preserve">TAGTCTCTGAATCCCACCGTAAAG</t>
  </si>
  <si>
    <t xml:space="preserve">AAACCTTTACGGTGGGATTCAGAG</t>
  </si>
  <si>
    <t xml:space="preserve">TGTAGGGGTTTGGGGAGCAA</t>
  </si>
  <si>
    <t xml:space="preserve">TAGTTGTAGGGGTTTGGGGAGCAA</t>
  </si>
  <si>
    <t xml:space="preserve">AAACTTGCTCCCCAAACCCCTACA</t>
  </si>
  <si>
    <t xml:space="preserve">CTTCGGGTGCGATCTGGAAA</t>
  </si>
  <si>
    <t xml:space="preserve">TAGTCTTCGGGTGCGATCTGGAAA</t>
  </si>
  <si>
    <t xml:space="preserve">AAACTTTCCAGATCGCACCCGAAG</t>
  </si>
  <si>
    <t xml:space="preserve">TCCAGCGGCGGACGCGGGCG</t>
  </si>
  <si>
    <t xml:space="preserve">TAGTTCCAGCGGCGGACGCGGGCG</t>
  </si>
  <si>
    <t xml:space="preserve">AAACCGCCCGCGTCCGCCGCTGGA</t>
  </si>
  <si>
    <t xml:space="preserve">PST_3431</t>
  </si>
  <si>
    <t xml:space="preserve">CTTGCCAATGGTCAGCTCTG</t>
  </si>
  <si>
    <t xml:space="preserve">TAGTCTTGCCAATGGTCAGCTCTG</t>
  </si>
  <si>
    <t xml:space="preserve">AAACCAGAGCTGACCATTGGCAAG</t>
  </si>
  <si>
    <t xml:space="preserve">CGTCTCGACGTTCACCCCGG</t>
  </si>
  <si>
    <t xml:space="preserve">TAGTCGTCTCGACGTTCACCCCGG</t>
  </si>
  <si>
    <t xml:space="preserve">AAACCCGGGGTGAACGTCGAGACG</t>
  </si>
  <si>
    <t xml:space="preserve">GCCCGCGTCGCTGGTAGTAG</t>
  </si>
  <si>
    <t xml:space="preserve">TAGTGCCCGCGTCGCTGGTAGTAG</t>
  </si>
  <si>
    <t xml:space="preserve">AAACCTACTACCAGCGACGCGGGC</t>
  </si>
  <si>
    <t xml:space="preserve">TGGCCACCCAAGGGTTTGGC</t>
  </si>
  <si>
    <t xml:space="preserve">TAGTTGGCCACCCAAGGGTTTGGC</t>
  </si>
  <si>
    <t xml:space="preserve">AAACGCCAAACCCTTGGGTGGCCA</t>
  </si>
  <si>
    <t xml:space="preserve">PST_3432</t>
  </si>
  <si>
    <t xml:space="preserve">CGCGACCAGCGAGCCTTTCC</t>
  </si>
  <si>
    <t xml:space="preserve">TAGTCGCGACCAGCGAGCCTTTCC</t>
  </si>
  <si>
    <t xml:space="preserve">AAACGGAAAGGCTCGCTGGTCGCG</t>
  </si>
  <si>
    <t xml:space="preserve">GCACACCGACGCACCGATGG</t>
  </si>
  <si>
    <t xml:space="preserve">TAGTGCACACCGACGCACCGATGG</t>
  </si>
  <si>
    <t xml:space="preserve">AAACCCATCGGTGCGTCGGTGTGC</t>
  </si>
  <si>
    <t xml:space="preserve">CCGAGTGCCAACAGCACCAG</t>
  </si>
  <si>
    <t xml:space="preserve">TAGTCCGAGTGCCAACAGCACCAG</t>
  </si>
  <si>
    <t xml:space="preserve">AAACCTGGTGCTGTTGGCACTCGG</t>
  </si>
  <si>
    <t xml:space="preserve">GGGGCGTAGTGGCTCCATCA</t>
  </si>
  <si>
    <t xml:space="preserve">TAGTGGGGCGTAGTGGCTCCATCA</t>
  </si>
  <si>
    <t xml:space="preserve">AAACTGATGGAGCCACTACGCCCC</t>
  </si>
  <si>
    <t xml:space="preserve">PST_3433</t>
  </si>
  <si>
    <t xml:space="preserve">GGCGATCAGCAGTTTGCGCA</t>
  </si>
  <si>
    <t xml:space="preserve">TAGTGGCGATCAGCAGTTTGCGCA</t>
  </si>
  <si>
    <t xml:space="preserve">AAACTGCGCAAACTGCTGATCGCC</t>
  </si>
  <si>
    <t xml:space="preserve">GAAGGGCAAGGCGAAAAGCA</t>
  </si>
  <si>
    <t xml:space="preserve">TAGTGAAGGGCAAGGCGAAAAGCA</t>
  </si>
  <si>
    <t xml:space="preserve">AAACTGCTTTTCGCCTTGCCCTTC</t>
  </si>
  <si>
    <t xml:space="preserve">TCGAGCGTGACGGTTTTCGG</t>
  </si>
  <si>
    <t xml:space="preserve">TAGTTCGAGCGTGACGGTTTTCGG</t>
  </si>
  <si>
    <t xml:space="preserve">AAACCCGAAAACCGTCACGCTCGA</t>
  </si>
  <si>
    <t xml:space="preserve">AGCGACTTCTTGACCGTGAT</t>
  </si>
  <si>
    <t xml:space="preserve">TAGTAGCGACTTCTTGACCGTGAT</t>
  </si>
  <si>
    <t xml:space="preserve">AAACATCACGGTCAAGAAGTCGCT</t>
  </si>
  <si>
    <t xml:space="preserve">PST_3434</t>
  </si>
  <si>
    <t xml:space="preserve">CAGCACGGACTCAAGGACAA</t>
  </si>
  <si>
    <t xml:space="preserve">TAGTCAGCACGGACTCAAGGACAA</t>
  </si>
  <si>
    <t xml:space="preserve">AAACTTGTCCTTGAGTCCGTGCTG</t>
  </si>
  <si>
    <t xml:space="preserve">GCTTGGCGAAGCCGCAGCGC</t>
  </si>
  <si>
    <t xml:space="preserve">TAGTGCTTGGCGAAGCCGCAGCGC</t>
  </si>
  <si>
    <t xml:space="preserve">AAACGCGCTGCGGCTTCGCCAAGC</t>
  </si>
  <si>
    <t xml:space="preserve">GCGTCCGTGGGCATGGTTTC</t>
  </si>
  <si>
    <t xml:space="preserve">TAGTGCGTCCGTGGGCATGGTTTC</t>
  </si>
  <si>
    <t xml:space="preserve">AAACGAAACCATGCCCACGGACGC</t>
  </si>
  <si>
    <t xml:space="preserve">GCACTCGTAATAGAACTGGC</t>
  </si>
  <si>
    <t xml:space="preserve">TAGTGCACTCGTAATAGAACTGGC</t>
  </si>
  <si>
    <t xml:space="preserve">AAACGCCAGTTCTATTACGAGTGC</t>
  </si>
  <si>
    <t xml:space="preserve">PST_3435</t>
  </si>
  <si>
    <t xml:space="preserve">TCTTGAGTCAGAAAACCGAC</t>
  </si>
  <si>
    <t xml:space="preserve">TAGTTCTTGAGTCAGAAAACCGAC</t>
  </si>
  <si>
    <t xml:space="preserve">AAACGTCGGTTTTCTGACTCAAGA</t>
  </si>
  <si>
    <t xml:space="preserve">GGCTGGGCGAATCAACATAG</t>
  </si>
  <si>
    <t xml:space="preserve">TAGTGGCTGGGCGAATCAACATAG</t>
  </si>
  <si>
    <t xml:space="preserve">AAACCTATGTTGATTCGCCCAGCC</t>
  </si>
  <si>
    <t xml:space="preserve">AGTAACGTTCCAGCTCTTCA</t>
  </si>
  <si>
    <t xml:space="preserve">TAGTAGTAACGTTCCAGCTCTTCA</t>
  </si>
  <si>
    <t xml:space="preserve">AAACTGAAGAGCTGGAACGTTACT</t>
  </si>
  <si>
    <t xml:space="preserve">CACGGTCTTCATCGCTCAGG</t>
  </si>
  <si>
    <t xml:space="preserve">TAGTCACGGTCTTCATCGCTCAGG</t>
  </si>
  <si>
    <t xml:space="preserve">AAACCCTGAGCGATGAAGACCGTG</t>
  </si>
  <si>
    <t xml:space="preserve">PST_3436</t>
  </si>
  <si>
    <t xml:space="preserve">CAGGGCGCTGAACAGGATGT</t>
  </si>
  <si>
    <t xml:space="preserve">TAGTCAGGGCGCTGAACAGGATGT</t>
  </si>
  <si>
    <t xml:space="preserve">AAACACATCCTGTTCAGCGCCCTG</t>
  </si>
  <si>
    <t xml:space="preserve">ATCGCATCGGGCGCGCCATG</t>
  </si>
  <si>
    <t xml:space="preserve">TAGTATCGCATCGGGCGCGCCATG</t>
  </si>
  <si>
    <t xml:space="preserve">AAACCATGGCGCGCCCGATGCGAT</t>
  </si>
  <si>
    <t xml:space="preserve">AACGCGCCGCCCGCCAGGCA</t>
  </si>
  <si>
    <t xml:space="preserve">TAGTAACGCGCCGCCCGCCAGGCA</t>
  </si>
  <si>
    <t xml:space="preserve">AAACTGCCTGGCGGGCGGCGCGTT</t>
  </si>
  <si>
    <t xml:space="preserve">TTCATCGAGTTGCATCCGCG</t>
  </si>
  <si>
    <t xml:space="preserve">TAGTTTCATCGAGTTGCATCCGCG</t>
  </si>
  <si>
    <t xml:space="preserve">AAACCGCGGATGCAACTCGATGAA</t>
  </si>
  <si>
    <t xml:space="preserve">PST_3437</t>
  </si>
  <si>
    <t xml:space="preserve">GACGGCGACATTCCAGCGAA</t>
  </si>
  <si>
    <t xml:space="preserve">TAGTGACGGCGACATTCCAGCGAA</t>
  </si>
  <si>
    <t xml:space="preserve">AAACTTCGCTGGAATGTCGCCGTC</t>
  </si>
  <si>
    <t xml:space="preserve">CCGAAGCGACTGGTCGGTGT</t>
  </si>
  <si>
    <t xml:space="preserve">TAGTCCGAAGCGACTGGTCGGTGT</t>
  </si>
  <si>
    <t xml:space="preserve">AAACACACCGACCAGTCGCTTCGG</t>
  </si>
  <si>
    <t xml:space="preserve">CTTACGGCCGCCGCCCTGGC</t>
  </si>
  <si>
    <t xml:space="preserve">TAGTCTTACGGCCGCCGCCCTGGC</t>
  </si>
  <si>
    <t xml:space="preserve">AAACGCCAGGGCGGCGGCCGTAAG</t>
  </si>
  <si>
    <t xml:space="preserve">CTTCTTCGATGAAGCGCGAC</t>
  </si>
  <si>
    <t xml:space="preserve">TAGTCTTCTTCGATGAAGCGCGAC</t>
  </si>
  <si>
    <t xml:space="preserve">AAACGTCGCGCTTCATCGAAGAAG</t>
  </si>
  <si>
    <t xml:space="preserve">PST_3438</t>
  </si>
  <si>
    <t xml:space="preserve">ATTACTGGCCAAACTAATAT</t>
  </si>
  <si>
    <t xml:space="preserve">TAGTATTACTGGCCAAACTAATAT</t>
  </si>
  <si>
    <t xml:space="preserve">AAACATATTAGTTTGGCCAGTAAT</t>
  </si>
  <si>
    <t xml:space="preserve">ATAATCCGGGCGGTAATCAG</t>
  </si>
  <si>
    <t xml:space="preserve">TAGTATAATCCGGGCGGTAATCAG</t>
  </si>
  <si>
    <t xml:space="preserve">AAACCTGATTACCGCCCGGATTAT</t>
  </si>
  <si>
    <t xml:space="preserve">CAAACGCCAAAGCGTTACGT</t>
  </si>
  <si>
    <t xml:space="preserve">TAGTCAAACGCCAAAGCGTTACGT</t>
  </si>
  <si>
    <t xml:space="preserve">AAACACGTAACGCTTTGGCGTTTG</t>
  </si>
  <si>
    <t xml:space="preserve">GAGCGTACGATTGATTTCTT</t>
  </si>
  <si>
    <t xml:space="preserve">TAGTGAGCGTACGATTGATTTCTT</t>
  </si>
  <si>
    <t xml:space="preserve">AAACAAGAAATCAATCGTACGCTC</t>
  </si>
  <si>
    <t xml:space="preserve">PST_3439</t>
  </si>
  <si>
    <t xml:space="preserve">ATTTGCAATAATTGATTGTG</t>
  </si>
  <si>
    <t xml:space="preserve">TAGTATTTGCAATAATTGATTGTG</t>
  </si>
  <si>
    <t xml:space="preserve">AAACCACAATCAATTATTGCAAAT</t>
  </si>
  <si>
    <t xml:space="preserve">TTATATAAAAAATAATGCTC</t>
  </si>
  <si>
    <t xml:space="preserve">TAGTTTATATAAAAAATAATGCTC</t>
  </si>
  <si>
    <t xml:space="preserve">AAACGAGCATTATTTTTTATATAA</t>
  </si>
  <si>
    <t xml:space="preserve">TTTGCAATGTTTGGCTTTTG</t>
  </si>
  <si>
    <t xml:space="preserve">TAGTTTTGCAATGTTTGGCTTTTG</t>
  </si>
  <si>
    <t xml:space="preserve">AAACCAAAAGCCAAACATTGCAAA</t>
  </si>
  <si>
    <t xml:space="preserve">GTCCGGAATGCGATATAGAA</t>
  </si>
  <si>
    <t xml:space="preserve">TAGTGTCCGGAATGCGATATAGAA</t>
  </si>
  <si>
    <t xml:space="preserve">AAACTTCTATATCGCATTCCGGAC</t>
  </si>
  <si>
    <t xml:space="preserve">PST_3440</t>
  </si>
  <si>
    <t xml:space="preserve">GTACCGCAGCAAACGACTTT</t>
  </si>
  <si>
    <t xml:space="preserve">TAGTGTACCGCAGCAAACGACTTT</t>
  </si>
  <si>
    <t xml:space="preserve">AAACAAAGTCGTTTGCTGCGGTAC</t>
  </si>
  <si>
    <t xml:space="preserve">TACGGCCTGCTGGTGCGAAC</t>
  </si>
  <si>
    <t xml:space="preserve">TAGTTACGGCCTGCTGGTGCGAAC</t>
  </si>
  <si>
    <t xml:space="preserve">AAACGTTCGCACCAGCAGGCCGTA</t>
  </si>
  <si>
    <t xml:space="preserve">CTGGCGAAACTTGGCAACAA</t>
  </si>
  <si>
    <t xml:space="preserve">TAGTCTGGCGAAACTTGGCAACAA</t>
  </si>
  <si>
    <t xml:space="preserve">AAACTTGTTGCCAAGTTTCGCCAG</t>
  </si>
  <si>
    <t xml:space="preserve">AGTTGATGCCGCTGGCCATG</t>
  </si>
  <si>
    <t xml:space="preserve">TAGTAGTTGATGCCGCTGGCCATG</t>
  </si>
  <si>
    <t xml:space="preserve">AAACCATGGCCAGCGGCATCAACT</t>
  </si>
  <si>
    <t xml:space="preserve">PST_3441</t>
  </si>
  <si>
    <t xml:space="preserve">ACCTGCTGGGAAACGATCAG</t>
  </si>
  <si>
    <t xml:space="preserve">TAGTACCTGCTGGGAAACGATCAG</t>
  </si>
  <si>
    <t xml:space="preserve">AAACCTGATCGTTTCCCAGCAGGT</t>
  </si>
  <si>
    <t xml:space="preserve">TCAAAACCAGGAGTCGTAGA</t>
  </si>
  <si>
    <t xml:space="preserve">TAGTTCAAAACCAGGAGTCGTAGA</t>
  </si>
  <si>
    <t xml:space="preserve">AAACTCTACGACTCCTGGTTTTGA</t>
  </si>
  <si>
    <t xml:space="preserve">GGCAGTGGCAGCGTCAGATA</t>
  </si>
  <si>
    <t xml:space="preserve">TAGTGGCAGTGGCAGCGTCAGATA</t>
  </si>
  <si>
    <t xml:space="preserve">AAACTATCTGACGCTGCCACTGCC</t>
  </si>
  <si>
    <t xml:space="preserve">CCATTAAGCTGTTTACGAAA</t>
  </si>
  <si>
    <t xml:space="preserve">TAGTCCATTAAGCTGTTTACGAAA</t>
  </si>
  <si>
    <t xml:space="preserve">AAACTTTCGTAAACAGCTTAATGG</t>
  </si>
  <si>
    <t xml:space="preserve">PST_3442</t>
  </si>
  <si>
    <t xml:space="preserve">GGTAGATACCAGCCGCTGTT</t>
  </si>
  <si>
    <t xml:space="preserve">TAGTGGTAGATACCAGCCGCTGTT</t>
  </si>
  <si>
    <t xml:space="preserve">AAACAACAGCGGCTGGTATCTACC</t>
  </si>
  <si>
    <t xml:space="preserve">ACGTATTGCCGCTGTACCTG</t>
  </si>
  <si>
    <t xml:space="preserve">TAGTACGTATTGCCGCTGTACCTG</t>
  </si>
  <si>
    <t xml:space="preserve">AAACCAGGTACAGCGGCAATACGT</t>
  </si>
  <si>
    <t xml:space="preserve">TTAGCAGCGAGTCAAGCAGA</t>
  </si>
  <si>
    <t xml:space="preserve">TAGTTTAGCAGCGAGTCAAGCAGA</t>
  </si>
  <si>
    <t xml:space="preserve">AAACTCTGCTTGACTCGCTGCTAA</t>
  </si>
  <si>
    <t xml:space="preserve">AAAGGACTACGCCGCCAATT</t>
  </si>
  <si>
    <t xml:space="preserve">TAGTAAAGGACTACGCCGCCAATT</t>
  </si>
  <si>
    <t xml:space="preserve">AAACAATTGGCGGCGTAGTCCTTT</t>
  </si>
  <si>
    <t xml:space="preserve">PST_3443</t>
  </si>
  <si>
    <t xml:space="preserve">TTGAGGAAATGCCAAACAAC</t>
  </si>
  <si>
    <t xml:space="preserve">TAGTTTGAGGAAATGCCAAACAAC</t>
  </si>
  <si>
    <t xml:space="preserve">AAACGTTGTTTGGCATTTCCTCAA</t>
  </si>
  <si>
    <t xml:space="preserve">TCACCACTCTCTGCAGACAC</t>
  </si>
  <si>
    <t xml:space="preserve">TAGTTCACCACTCTCTGCAGACAC</t>
  </si>
  <si>
    <t xml:space="preserve">AAACGTGTCTGCAGAGAGTGGTGA</t>
  </si>
  <si>
    <t xml:space="preserve">AAGGACCACAAGCACCATCT</t>
  </si>
  <si>
    <t xml:space="preserve">TAGTAAGGACCACAAGCACCATCT</t>
  </si>
  <si>
    <t xml:space="preserve">AAACAGATGGTGCTTGTGGTCCTT</t>
  </si>
  <si>
    <t xml:space="preserve">GAGTAATCAGAGCGGAAAAC</t>
  </si>
  <si>
    <t xml:space="preserve">TAGTGAGTAATCAGAGCGGAAAAC</t>
  </si>
  <si>
    <t xml:space="preserve">AAACGTTTTCCGCTCTGATTACTC</t>
  </si>
  <si>
    <t xml:space="preserve">PST_3444</t>
  </si>
  <si>
    <t xml:space="preserve">CAGTCCAGCAAGCTCCTCAT</t>
  </si>
  <si>
    <t xml:space="preserve">TAGTCAGTCCAGCAAGCTCCTCAT</t>
  </si>
  <si>
    <t xml:space="preserve">AAACATGAGGAGCTTGCTGGACTG</t>
  </si>
  <si>
    <t xml:space="preserve">CTTTCGAACCGACGATCAAC</t>
  </si>
  <si>
    <t xml:space="preserve">TAGTCTTTCGAACCGACGATCAAC</t>
  </si>
  <si>
    <t xml:space="preserve">AAACGTTGATCGTCGGTTCGAAAG</t>
  </si>
  <si>
    <t xml:space="preserve">CAAATAGCGCTTCCCGCATC</t>
  </si>
  <si>
    <t xml:space="preserve">TAGTCAAATAGCGCTTCCCGCATC</t>
  </si>
  <si>
    <t xml:space="preserve">AAACGATGCGGGAAGCGCTATTTG</t>
  </si>
  <si>
    <t xml:space="preserve">GATCAGTGAATTTGCTTTCA</t>
  </si>
  <si>
    <t xml:space="preserve">TAGTGATCAGTGAATTTGCTTTCA</t>
  </si>
  <si>
    <t xml:space="preserve">AAACTGAAAGCAAATTCACTGATC</t>
  </si>
  <si>
    <t xml:space="preserve">PST_3445</t>
  </si>
  <si>
    <t xml:space="preserve">TGGCCCAGCGGTAACGCTGC</t>
  </si>
  <si>
    <t xml:space="preserve">TAGTTGGCCCAGCGGTAACGCTGC</t>
  </si>
  <si>
    <t xml:space="preserve">AAACGCAGCGTTACCGCTGGGCCA</t>
  </si>
  <si>
    <t xml:space="preserve">AAAACGGTCGTAGGCGCGGG</t>
  </si>
  <si>
    <t xml:space="preserve">TAGTAAAACGGTCGTAGGCGCGGG</t>
  </si>
  <si>
    <t xml:space="preserve">AAACCCCGCGCCTACGACCGTTTT</t>
  </si>
  <si>
    <t xml:space="preserve">TGCAAGGTATCGACCAGCTC</t>
  </si>
  <si>
    <t xml:space="preserve">TAGTTGCAAGGTATCGACCAGCTC</t>
  </si>
  <si>
    <t xml:space="preserve">AAACGAGCTGGTCGATACCTTGCA</t>
  </si>
  <si>
    <t xml:space="preserve">CAGCACACTGCCTACCTCAT</t>
  </si>
  <si>
    <t xml:space="preserve">TAGTCAGCACACTGCCTACCTCAT</t>
  </si>
  <si>
    <t xml:space="preserve">AAACATGAGGTAGGCAGTGTGCTG</t>
  </si>
  <si>
    <t xml:space="preserve">PST_3446</t>
  </si>
  <si>
    <t xml:space="preserve">CACGAAGCACCTTGATTACG</t>
  </si>
  <si>
    <t xml:space="preserve">TAGTCACGAAGCACCTTGATTACG</t>
  </si>
  <si>
    <t xml:space="preserve">AAACCGTAATCAAGGTGCTTCGTG</t>
  </si>
  <si>
    <t xml:space="preserve">CTGCGGACGCTCAAAATCCC</t>
  </si>
  <si>
    <t xml:space="preserve">TAGTCTGCGGACGCTCAAAATCCC</t>
  </si>
  <si>
    <t xml:space="preserve">AAACGGGATTTTGAGCGTCCGCAG</t>
  </si>
  <si>
    <t xml:space="preserve">GCGCAGCACTGCTTGCAGTG</t>
  </si>
  <si>
    <t xml:space="preserve">TAGTGCGCAGCACTGCTTGCAGTG</t>
  </si>
  <si>
    <t xml:space="preserve">AAACCACTGCAAGCAGTGCTGCGC</t>
  </si>
  <si>
    <t xml:space="preserve">GGCAACGCTGACAAACCAGG</t>
  </si>
  <si>
    <t xml:space="preserve">TAGTGGCAACGCTGACAAACCAGG</t>
  </si>
  <si>
    <t xml:space="preserve">AAACCCTGGTTTGTCAGCGTTGCC</t>
  </si>
  <si>
    <t xml:space="preserve">PST_3447</t>
  </si>
  <si>
    <t xml:space="preserve">CCGGCAATGGCAAAACTCAT</t>
  </si>
  <si>
    <t xml:space="preserve">TAGTCCGGCAATGGCAAAACTCAT</t>
  </si>
  <si>
    <t xml:space="preserve">AAACATGAGTTTTGCCATTGCCGG</t>
  </si>
  <si>
    <t xml:space="preserve">AGAACTCGTTGGCGTTGGTG</t>
  </si>
  <si>
    <t xml:space="preserve">TAGTAGAACTCGTTGGCGTTGGTG</t>
  </si>
  <si>
    <t xml:space="preserve">AAACCACCAACGCCAACGAGTTCT</t>
  </si>
  <si>
    <t xml:space="preserve">GGATCTCGTCCAGGTAGTGC</t>
  </si>
  <si>
    <t xml:space="preserve">TAGTGGATCTCGTCCAGGTAGTGC</t>
  </si>
  <si>
    <t xml:space="preserve">AAACGCACTACCTGGACGAGATCC</t>
  </si>
  <si>
    <t xml:space="preserve">GCGGCTTGAGGTCTTTTTCG</t>
  </si>
  <si>
    <t xml:space="preserve">TAGTGCGGCTTGAGGTCTTTTTCG</t>
  </si>
  <si>
    <t xml:space="preserve">AAACCGAAAAAGACCTCAAGCCGC</t>
  </si>
  <si>
    <t xml:space="preserve">PST_3448</t>
  </si>
  <si>
    <t xml:space="preserve">AGCGCCGGGGGCTGGGGCTT</t>
  </si>
  <si>
    <t xml:space="preserve">TAGTAGCGCCGGGGGCTGGGGCTT</t>
  </si>
  <si>
    <t xml:space="preserve">AAACAAGCCCCAGCCCCCGGCGCT</t>
  </si>
  <si>
    <t xml:space="preserve">GATTGCATTGGTCTGCATTC</t>
  </si>
  <si>
    <t xml:space="preserve">TAGTGATTGCATTGGTCTGCATTC</t>
  </si>
  <si>
    <t xml:space="preserve">AAACGAATGCAGACCAATGCAATC</t>
  </si>
  <si>
    <t xml:space="preserve">GGTTTCCGACACACCAATGC</t>
  </si>
  <si>
    <t xml:space="preserve">TAGTGGTTTCCGACACACCAATGC</t>
  </si>
  <si>
    <t xml:space="preserve">AAACGCATTGGTGTGTCGGAAACC</t>
  </si>
  <si>
    <t xml:space="preserve">CAGCGCGTGACGATTGCGCA</t>
  </si>
  <si>
    <t xml:space="preserve">TAGTCAGCGCGTGACGATTGCGCA</t>
  </si>
  <si>
    <t xml:space="preserve">AAACTGCGCAATCGTCACGCGCTG</t>
  </si>
  <si>
    <t xml:space="preserve">PST_3449</t>
  </si>
  <si>
    <t xml:space="preserve">TTTACGCCTCGTTGGCGTGA</t>
  </si>
  <si>
    <t xml:space="preserve">TAGTTTTACGCCTCGTTGGCGTGA</t>
  </si>
  <si>
    <t xml:space="preserve">AAACTCACGCCAACGAGGCGTAAA</t>
  </si>
  <si>
    <t xml:space="preserve">AAAAACACCTTGATCTGTTT</t>
  </si>
  <si>
    <t xml:space="preserve">TAGTAAAAACACCTTGATCTGTTT</t>
  </si>
  <si>
    <t xml:space="preserve">AAACAAACAGATCAAGGTGTTTTT</t>
  </si>
  <si>
    <t xml:space="preserve">TGCCACTTACCGTCACCATA</t>
  </si>
  <si>
    <t xml:space="preserve">TAGTTGCCACTTACCGTCACCATA</t>
  </si>
  <si>
    <t xml:space="preserve">AAACTATGGTGACGGTAAGTGGCA</t>
  </si>
  <si>
    <t xml:space="preserve">AACGTTGCGGGCTCCTGAGC</t>
  </si>
  <si>
    <t xml:space="preserve">TAGTAACGTTGCGGGCTCCTGAGC</t>
  </si>
  <si>
    <t xml:space="preserve">AAACGCTCAGGAGCCCGCAACGTT</t>
  </si>
  <si>
    <t xml:space="preserve">PST_3450</t>
  </si>
  <si>
    <t xml:space="preserve">CAGCAATGACCACCAGTAAT</t>
  </si>
  <si>
    <t xml:space="preserve">TAGTCAGCAATGACCACCAGTAAT</t>
  </si>
  <si>
    <t xml:space="preserve">AAACATTACTGGTGGTCATTGCTG</t>
  </si>
  <si>
    <t xml:space="preserve">TTGGCCCTGGCAACCCTGCA</t>
  </si>
  <si>
    <t xml:space="preserve">TAGTTTGGCCCTGGCAACCCTGCA</t>
  </si>
  <si>
    <t xml:space="preserve">AAACTGCAGGGTTGCCAGGGCCAA</t>
  </si>
  <si>
    <t xml:space="preserve">TTGCTCAACGTGAGCCTTTT</t>
  </si>
  <si>
    <t xml:space="preserve">TAGTTTGCTCAACGTGAGCCTTTT</t>
  </si>
  <si>
    <t xml:space="preserve">AAACAAAAGGCTCACGTTGAGCAA</t>
  </si>
  <si>
    <t xml:space="preserve">PST_3451</t>
  </si>
  <si>
    <t xml:space="preserve">TGTCCTTGGACGCTTGCTGA</t>
  </si>
  <si>
    <t xml:space="preserve">TAGTTGTCCTTGGACGCTTGCTGA</t>
  </si>
  <si>
    <t xml:space="preserve">AAACTCAGCAAGCGTCCAAGGACA</t>
  </si>
  <si>
    <t xml:space="preserve">CGGAGCGTGTTCATTGATAT</t>
  </si>
  <si>
    <t xml:space="preserve">TAGTCGGAGCGTGTTCATTGATAT</t>
  </si>
  <si>
    <t xml:space="preserve">AAACATATCAATGAACACGCTCCG</t>
  </si>
  <si>
    <t xml:space="preserve">TTGTCATATTCCAGGTTCTG</t>
  </si>
  <si>
    <t xml:space="preserve">TAGTTTGTCATATTCCAGGTTCTG</t>
  </si>
  <si>
    <t xml:space="preserve">AAACCAGAACCTGGAATATGACAA</t>
  </si>
  <si>
    <t xml:space="preserve">AGTGGAGCGAACTGCTTGCT</t>
  </si>
  <si>
    <t xml:space="preserve">TAGTAGTGGAGCGAACTGCTTGCT</t>
  </si>
  <si>
    <t xml:space="preserve">AAACAGCAAGCAGTTCGCTCCACT</t>
  </si>
  <si>
    <t xml:space="preserve">PST_3452</t>
  </si>
  <si>
    <t xml:space="preserve">TTTTCGATTAAGTGTATTGA</t>
  </si>
  <si>
    <t xml:space="preserve">TAGTTTTTCGATTAAGTGTATTGA</t>
  </si>
  <si>
    <t xml:space="preserve">AAACTCAATACACTTAATCGAAAA</t>
  </si>
  <si>
    <t xml:space="preserve">ATAATACCGCCGAAAAATGA</t>
  </si>
  <si>
    <t xml:space="preserve">TAGTATAATACCGCCGAAAAATGA</t>
  </si>
  <si>
    <t xml:space="preserve">AAACTCATTTTTCGGCGGTATTAT</t>
  </si>
  <si>
    <t xml:space="preserve">TGGGGGCGGTGCCTGTTATA</t>
  </si>
  <si>
    <t xml:space="preserve">TAGTTGGGGGCGGTGCCTGTTATA</t>
  </si>
  <si>
    <t xml:space="preserve">AAACTATAACAGGCACCGCCCCCA</t>
  </si>
  <si>
    <t xml:space="preserve">ACGGAATGTTATTTTTTCAT</t>
  </si>
  <si>
    <t xml:space="preserve">TAGTACGGAATGTTATTTTTTCAT</t>
  </si>
  <si>
    <t xml:space="preserve">AAACATGAAAAAATAACATTCCGT</t>
  </si>
  <si>
    <t xml:space="preserve">PST_3453</t>
  </si>
  <si>
    <t xml:space="preserve">TTCCTTGATGAGGCGATCCA</t>
  </si>
  <si>
    <t xml:space="preserve">TAGTTTCCTTGATGAGGCGATCCA</t>
  </si>
  <si>
    <t xml:space="preserve">AAACTGGATCGCCTCATCAAGGAA</t>
  </si>
  <si>
    <t xml:space="preserve">TTTCTTGCAGAAGAGATTCG</t>
  </si>
  <si>
    <t xml:space="preserve">TAGTTTTCTTGCAGAAGAGATTCG</t>
  </si>
  <si>
    <t xml:space="preserve">AAACCGAATCTCTTCTGCAAGAAA</t>
  </si>
  <si>
    <t xml:space="preserve">GCCCAGGCGCTTGGTGTTCG</t>
  </si>
  <si>
    <t xml:space="preserve">TAGTGCCCAGGCGCTTGGTGTTCG</t>
  </si>
  <si>
    <t xml:space="preserve">AAACCGAACACCAAGCGCCTGGGC</t>
  </si>
  <si>
    <t xml:space="preserve">CGGCGAGGCTGATAATTCGA</t>
  </si>
  <si>
    <t xml:space="preserve">TAGTCGGCGAGGCTGATAATTCGA</t>
  </si>
  <si>
    <t xml:space="preserve">AAACTCGAATTATCAGCCTCGCCG</t>
  </si>
  <si>
    <t xml:space="preserve">PST_3454</t>
  </si>
  <si>
    <t xml:space="preserve">TGATGCGTGGCCAGTACACC</t>
  </si>
  <si>
    <t xml:space="preserve">TAGTTGATGCGTGGCCAGTACACC</t>
  </si>
  <si>
    <t xml:space="preserve">AAACGGTGTACTGGCCACGCATCA</t>
  </si>
  <si>
    <t xml:space="preserve">TGGAGAGAAGCTTGTTTGCA</t>
  </si>
  <si>
    <t xml:space="preserve">TAGTTGGAGAGAAGCTTGTTTGCA</t>
  </si>
  <si>
    <t xml:space="preserve">AAACTGCAAACAAGCTTCTCTCCA</t>
  </si>
  <si>
    <t xml:space="preserve">AGGCCCGACAACGGATAGTC</t>
  </si>
  <si>
    <t xml:space="preserve">TAGTAGGCCCGACAACGGATAGTC</t>
  </si>
  <si>
    <t xml:space="preserve">AAACGACTATCCGTTGTCGGGCCT</t>
  </si>
  <si>
    <t xml:space="preserve">AATTCAAATCACTCAATCCA</t>
  </si>
  <si>
    <t xml:space="preserve">TAGTAATTCAAATCACTCAATCCA</t>
  </si>
  <si>
    <t xml:space="preserve">AAACTGGATTGAGTGATTTGAATT</t>
  </si>
  <si>
    <t xml:space="preserve">PST_3455</t>
  </si>
  <si>
    <t xml:space="preserve">GTGTGGGCCAGATTTGCGAG</t>
  </si>
  <si>
    <t xml:space="preserve">TAGTGTGTGGGCCAGATTTGCGAG</t>
  </si>
  <si>
    <t xml:space="preserve">AAACCTCGCAAATCTGGCCCACAC</t>
  </si>
  <si>
    <t xml:space="preserve">GAGCAAGCGGGCATGTGTCC</t>
  </si>
  <si>
    <t xml:space="preserve">TAGTGAGCAAGCGGGCATGTGTCC</t>
  </si>
  <si>
    <t xml:space="preserve">AAACGGACACATGCCCGCTTGCTC</t>
  </si>
  <si>
    <t xml:space="preserve">ATGCAGAGTACTGGGGAAAC</t>
  </si>
  <si>
    <t xml:space="preserve">TAGTATGCAGAGTACTGGGGAAAC</t>
  </si>
  <si>
    <t xml:space="preserve">AAACGTTTCCCCAGTACTCTGCAT</t>
  </si>
  <si>
    <t xml:space="preserve">CTCCTTAAAGCTGGGTTTTC</t>
  </si>
  <si>
    <t xml:space="preserve">TAGTCTCCTTAAAGCTGGGTTTTC</t>
  </si>
  <si>
    <t xml:space="preserve">AAACGAAAACCCAGCTTTAAGGAG</t>
  </si>
  <si>
    <t xml:space="preserve">PST_3456</t>
  </si>
  <si>
    <t xml:space="preserve">ATCATCGGCGTTATAGGCTT</t>
  </si>
  <si>
    <t xml:space="preserve">TAGTATCATCGGCGTTATAGGCTT</t>
  </si>
  <si>
    <t xml:space="preserve">AAACAAGCCTATAACGCCGATGAT</t>
  </si>
  <si>
    <t xml:space="preserve">AATGCGCTGCAGATTTGCGC</t>
  </si>
  <si>
    <t xml:space="preserve">TAGTAATGCGCTGCAGATTTGCGC</t>
  </si>
  <si>
    <t xml:space="preserve">AAACGCGCAAATCTGCAGCGCATT</t>
  </si>
  <si>
    <t xml:space="preserve">GCATCAAGCTGATGTCGTTT</t>
  </si>
  <si>
    <t xml:space="preserve">TAGTGCATCAAGCTGATGTCGTTT</t>
  </si>
  <si>
    <t xml:space="preserve">AAACAAACGACATCAGCTTGATGC</t>
  </si>
  <si>
    <t xml:space="preserve">CCCTAGGAAAATTTCGGTTG</t>
  </si>
  <si>
    <t xml:space="preserve">TAGTCCCTAGGAAAATTTCGGTTG</t>
  </si>
  <si>
    <t xml:space="preserve">AAACCAACCGAAATTTTCCTAGGG</t>
  </si>
  <si>
    <t xml:space="preserve">PST_3457</t>
  </si>
  <si>
    <t xml:space="preserve">GCGACTGGTGGCTGATGGCA</t>
  </si>
  <si>
    <t xml:space="preserve">TAGTGCGACTGGTGGCTGATGGCA</t>
  </si>
  <si>
    <t xml:space="preserve">AAACTGCCATCAGCCACCAGTCGC</t>
  </si>
  <si>
    <t xml:space="preserve">CTTGAGTAGCTCCCATTGGC</t>
  </si>
  <si>
    <t xml:space="preserve">TAGTCTTGAGTAGCTCCCATTGGC</t>
  </si>
  <si>
    <t xml:space="preserve">AAACGCCAATGGGAGCTACTCAAG</t>
  </si>
  <si>
    <t xml:space="preserve">GTGATCCCCGGACCCTTGGG</t>
  </si>
  <si>
    <t xml:space="preserve">TAGTGTGATCCCCGGACCCTTGGG</t>
  </si>
  <si>
    <t xml:space="preserve">AAACCCCAAGGGTCCGGGGATCAC</t>
  </si>
  <si>
    <t xml:space="preserve">GGTGCCCTGCGTCACAGAGT</t>
  </si>
  <si>
    <t xml:space="preserve">TAGTGGTGCCCTGCGTCACAGAGT</t>
  </si>
  <si>
    <t xml:space="preserve">AAACACTCTGTGACGCAGGGCACC</t>
  </si>
  <si>
    <t xml:space="preserve">PST_3458</t>
  </si>
  <si>
    <t xml:space="preserve">CTTGGCGTCGGGACGCATCA</t>
  </si>
  <si>
    <t xml:space="preserve">TAGTCTTGGCGTCGGGACGCATCA</t>
  </si>
  <si>
    <t xml:space="preserve">AAACTGATGCGTCCCGACGCCAAG</t>
  </si>
  <si>
    <t xml:space="preserve">AGCCAACGGGCTTGGGATAG</t>
  </si>
  <si>
    <t xml:space="preserve">TAGTAGCCAACGGGCTTGGGATAG</t>
  </si>
  <si>
    <t xml:space="preserve">AAACCTATCCCAAGCCCGTTGGCT</t>
  </si>
  <si>
    <t xml:space="preserve">GATATTCAGCTCGACCAGGG</t>
  </si>
  <si>
    <t xml:space="preserve">TAGTGATATTCAGCTCGACCAGGG</t>
  </si>
  <si>
    <t xml:space="preserve">AAACCCCTGGTCGAGCTGAATATC</t>
  </si>
  <si>
    <t xml:space="preserve">PST_3459</t>
  </si>
  <si>
    <t xml:space="preserve">CCATGAATTACCAGAGGCTC</t>
  </si>
  <si>
    <t xml:space="preserve">TAGTCCATGAATTACCAGAGGCTC</t>
  </si>
  <si>
    <t xml:space="preserve">AAACGAGCCTCTGGTAATTCATGG</t>
  </si>
  <si>
    <t xml:space="preserve">TCAATCTGTGCGAGAAATAG</t>
  </si>
  <si>
    <t xml:space="preserve">TAGTTCAATCTGTGCGAGAAATAG</t>
  </si>
  <si>
    <t xml:space="preserve">AAACCTATTTCTCGCACAGATTGA</t>
  </si>
  <si>
    <t xml:space="preserve">GACTGAGTCTTTTTGCTTAA</t>
  </si>
  <si>
    <t xml:space="preserve">TAGTGACTGAGTCTTTTTGCTTAA</t>
  </si>
  <si>
    <t xml:space="preserve">AAACTTAAGCAAAAAGACTCAGTC</t>
  </si>
  <si>
    <t xml:space="preserve">GATCGCGGCCAGTCGTTTAC</t>
  </si>
  <si>
    <t xml:space="preserve">TAGTGATCGCGGCCAGTCGTTTAC</t>
  </si>
  <si>
    <t xml:space="preserve">AAACGTAAACGACTGGCCGCGATC</t>
  </si>
  <si>
    <t xml:space="preserve">PST_3460</t>
  </si>
  <si>
    <t xml:space="preserve">GACTTCGAAGTTCGCGGCCA</t>
  </si>
  <si>
    <t xml:space="preserve">TAGTGACTTCGAAGTTCGCGGCCA</t>
  </si>
  <si>
    <t xml:space="preserve">AAACTGGCCGCGAACTTCGAAGTC</t>
  </si>
  <si>
    <t xml:space="preserve">CTGGTAACGATCGGTAAGGG</t>
  </si>
  <si>
    <t xml:space="preserve">TAGTCTGGTAACGATCGGTAAGGG</t>
  </si>
  <si>
    <t xml:space="preserve">AAACCCCTTACCGATCGTTACCAG</t>
  </si>
  <si>
    <t xml:space="preserve">ACGGACAGTCTCCGGCACCG</t>
  </si>
  <si>
    <t xml:space="preserve">TAGTACGGACAGTCTCCGGCACCG</t>
  </si>
  <si>
    <t xml:space="preserve">AAACCGGTGCCGGAGACTGTCCGT</t>
  </si>
  <si>
    <t xml:space="preserve">TACTTCTCCGCTGGGCCGAA</t>
  </si>
  <si>
    <t xml:space="preserve">TAGTTACTTCTCCGCTGGGCCGAA</t>
  </si>
  <si>
    <t xml:space="preserve">AAACTTCGGCCCAGCGGAGAAGTA</t>
  </si>
  <si>
    <t xml:space="preserve">PST_3461</t>
  </si>
  <si>
    <t xml:space="preserve">AGCGCTGGATTCGCGGTTCA</t>
  </si>
  <si>
    <t xml:space="preserve">TAGTAGCGCTGGATTCGCGGTTCA</t>
  </si>
  <si>
    <t xml:space="preserve">AAACTGAACCGCGAATCCAGCGCT</t>
  </si>
  <si>
    <t xml:space="preserve">GCGTAGGGAGGTCCAGCCCT</t>
  </si>
  <si>
    <t xml:space="preserve">TAGTGCGTAGGGAGGTCCAGCCCT</t>
  </si>
  <si>
    <t xml:space="preserve">AAACAGGGCTGGACCTCCCTACGC</t>
  </si>
  <si>
    <t xml:space="preserve">CGCAGGGATAGCACGCTCCT</t>
  </si>
  <si>
    <t xml:space="preserve">TAGTCGCAGGGATAGCACGCTCCT</t>
  </si>
  <si>
    <t xml:space="preserve">AAACAGGAGCGTGCTATCCCTGCG</t>
  </si>
  <si>
    <t xml:space="preserve">CGCGATGATGACATCCTGGT</t>
  </si>
  <si>
    <t xml:space="preserve">TAGTCGCGATGATGACATCCTGGT</t>
  </si>
  <si>
    <t xml:space="preserve">AAACACCAGGATGTCATCATCGCG</t>
  </si>
  <si>
    <t xml:space="preserve">PST_3462</t>
  </si>
  <si>
    <t xml:space="preserve">ACGCGGAACCGCTTTCCGCG</t>
  </si>
  <si>
    <t xml:space="preserve">TAGTACGCGGAACCGCTTTCCGCG</t>
  </si>
  <si>
    <t xml:space="preserve">AAACCGCGGAAAGCGGTTCCGCGT</t>
  </si>
  <si>
    <t xml:space="preserve">CATACTCACCGATCACTACG</t>
  </si>
  <si>
    <t xml:space="preserve">TAGTCATACTCACCGATCACTACG</t>
  </si>
  <si>
    <t xml:space="preserve">AAACCGTAGTGATCGGTGAGTATG</t>
  </si>
  <si>
    <t xml:space="preserve">CGATAGAGCGAACCAGGTTG</t>
  </si>
  <si>
    <t xml:space="preserve">TAGTCGATAGAGCGAACCAGGTTG</t>
  </si>
  <si>
    <t xml:space="preserve">AAACCAACCTGGTTCGCTCTATCG</t>
  </si>
  <si>
    <t xml:space="preserve">CGGGTTCAGATCGGCATGCA</t>
  </si>
  <si>
    <t xml:space="preserve">TAGTCGGGTTCAGATCGGCATGCA</t>
  </si>
  <si>
    <t xml:space="preserve">AAACTGCATGCCGATCTGAACCCG</t>
  </si>
  <si>
    <t xml:space="preserve">PST_3463</t>
  </si>
  <si>
    <t xml:space="preserve">AGCAAGCCCCCCAATCACTA</t>
  </si>
  <si>
    <t xml:space="preserve">TAGTAGCAAGCCCCCCAATCACTA</t>
  </si>
  <si>
    <t xml:space="preserve">AAACTAGTGATTGGGGGGCTTGCT</t>
  </si>
  <si>
    <t xml:space="preserve">AACCCATACACCCTTGGGAA</t>
  </si>
  <si>
    <t xml:space="preserve">TAGTAACCCATACACCCTTGGGAA</t>
  </si>
  <si>
    <t xml:space="preserve">AAACTTCCCAAGGGTGTATGGGTT</t>
  </si>
  <si>
    <t xml:space="preserve">CATGACTGACGGTTTGCTGA</t>
  </si>
  <si>
    <t xml:space="preserve">TAGTCATGACTGACGGTTTGCTGA</t>
  </si>
  <si>
    <t xml:space="preserve">AAACTCAGCAAACCGTCAGTCATG</t>
  </si>
  <si>
    <t xml:space="preserve">GAACGAGCTCCCCCTTGGGG</t>
  </si>
  <si>
    <t xml:space="preserve">TAGTGAACGAGCTCCCCCTTGGGG</t>
  </si>
  <si>
    <t xml:space="preserve">AAACCCCCAAGGGGGAGCTCGTTC</t>
  </si>
  <si>
    <t xml:space="preserve">PST_3464</t>
  </si>
  <si>
    <t xml:space="preserve">CCGCCTCGTTTAGGTCGGCA</t>
  </si>
  <si>
    <t xml:space="preserve">TAGTCCGCCTCGTTTAGGTCGGCA</t>
  </si>
  <si>
    <t xml:space="preserve">AAACTGCCGACCTAAACGAGGCGG</t>
  </si>
  <si>
    <t xml:space="preserve">CTCCAATACGTGAGCGTTCC</t>
  </si>
  <si>
    <t xml:space="preserve">TAGTCTCCAATACGTGAGCGTTCC</t>
  </si>
  <si>
    <t xml:space="preserve">AAACGGAACGCTCACGTATTGGAG</t>
  </si>
  <si>
    <t xml:space="preserve">TCGTCTCCATCTCGTCGCGC</t>
  </si>
  <si>
    <t xml:space="preserve">TAGTTCGTCTCCATCTCGTCGCGC</t>
  </si>
  <si>
    <t xml:space="preserve">AAACGCGCGACGAGATGGAGACGA</t>
  </si>
  <si>
    <t xml:space="preserve">GCGTGGGGCGAAGTAGCGGC</t>
  </si>
  <si>
    <t xml:space="preserve">TAGTGCGTGGGGCGAAGTAGCGGC</t>
  </si>
  <si>
    <t xml:space="preserve">AAACGCCGCTACTTCGCCCCACGC</t>
  </si>
  <si>
    <t xml:space="preserve">PST_3465</t>
  </si>
  <si>
    <t xml:space="preserve">ACCAGGCATTACCTCACCCG</t>
  </si>
  <si>
    <t xml:space="preserve">TAGTACCAGGCATTACCTCACCCG</t>
  </si>
  <si>
    <t xml:space="preserve">AAACCGGGTGAGGTAATGCCTGGT</t>
  </si>
  <si>
    <t xml:space="preserve">CAGTCACGCACAACACAGAA</t>
  </si>
  <si>
    <t xml:space="preserve">TAGTCAGTCACGCACAACACAGAA</t>
  </si>
  <si>
    <t xml:space="preserve">AAACTTCTGTGTTGTGCGTGACTG</t>
  </si>
  <si>
    <t xml:space="preserve">AACGTTTCTCGTATCGCGTC</t>
  </si>
  <si>
    <t xml:space="preserve">TAGTAACGTTTCTCGTATCGCGTC</t>
  </si>
  <si>
    <t xml:space="preserve">AAACGACGCGATACGAGAAACGTT</t>
  </si>
  <si>
    <t xml:space="preserve">CACCATCGCGGGCTGTTGCC</t>
  </si>
  <si>
    <t xml:space="preserve">TAGTCACCATCGCGGGCTGTTGCC</t>
  </si>
  <si>
    <t xml:space="preserve">AAACGGCAACAGCCCGCGATGGTG</t>
  </si>
  <si>
    <t xml:space="preserve">PST_3466</t>
  </si>
  <si>
    <t xml:space="preserve">CGCCCCACTACGCTCAGTAT</t>
  </si>
  <si>
    <t xml:space="preserve">TAGTCGCCCCACTACGCTCAGTAT</t>
  </si>
  <si>
    <t xml:space="preserve">AAACATACTGAGCGTAGTGGGGCG</t>
  </si>
  <si>
    <t xml:space="preserve">TATTCATCAATGCAAGCCTA</t>
  </si>
  <si>
    <t xml:space="preserve">TAGTTATTCATCAATGCAAGCCTA</t>
  </si>
  <si>
    <t xml:space="preserve">AAACTAGGCTTGCATTGATGAATA</t>
  </si>
  <si>
    <t xml:space="preserve">PST_3467</t>
  </si>
  <si>
    <t xml:space="preserve">CTCTTCTGGTGCATGAGTTC</t>
  </si>
  <si>
    <t xml:space="preserve">TAGTCTCTTCTGGTGCATGAGTTC</t>
  </si>
  <si>
    <t xml:space="preserve">AAACGAACTCATGCACCAGAAGAG</t>
  </si>
  <si>
    <t xml:space="preserve">CGCCCAGGGTAAGTCCGATA</t>
  </si>
  <si>
    <t xml:space="preserve">TAGTCGCCCAGGGTAAGTCCGATA</t>
  </si>
  <si>
    <t xml:space="preserve">AAACTATCGGACTTACCCTGGGCG</t>
  </si>
  <si>
    <t xml:space="preserve">GATCAGCCTCGCATCGTCCG</t>
  </si>
  <si>
    <t xml:space="preserve">TAGTGATCAGCCTCGCATCGTCCG</t>
  </si>
  <si>
    <t xml:space="preserve">AAACCGGACGATGCGAGGCTGATC</t>
  </si>
  <si>
    <t xml:space="preserve">AAAGAAGACTCCGAGCCGGT</t>
  </si>
  <si>
    <t xml:space="preserve">TAGTAAAGAAGACTCCGAGCCGGT</t>
  </si>
  <si>
    <t xml:space="preserve">AAACACCGGCTCGGAGTCTTCTTT</t>
  </si>
  <si>
    <t xml:space="preserve">PST_3468</t>
  </si>
  <si>
    <t xml:space="preserve">TCCTGAATCGAACTGAAAGC</t>
  </si>
  <si>
    <t xml:space="preserve">TAGTTCCTGAATCGAACTGAAAGC</t>
  </si>
  <si>
    <t xml:space="preserve">AAACGCTTTCAGTTCGATTCAGGA</t>
  </si>
  <si>
    <t xml:space="preserve">AATGGCGTGTCGGCTGGTCA</t>
  </si>
  <si>
    <t xml:space="preserve">TAGTAATGGCGTGTCGGCTGGTCA</t>
  </si>
  <si>
    <t xml:space="preserve">AAACTGACCAGCCGACACGCCATT</t>
  </si>
  <si>
    <t xml:space="preserve">GGCGCTGTGAAGGAGAGGCG</t>
  </si>
  <si>
    <t xml:space="preserve">TAGTGGCGCTGTGAAGGAGAGGCG</t>
  </si>
  <si>
    <t xml:space="preserve">AAACCGCCTCTCCTTCACAGCGCC</t>
  </si>
  <si>
    <t xml:space="preserve">CAATGAGCATCCGATCAAAT</t>
  </si>
  <si>
    <t xml:space="preserve">TAGTCAATGAGCATCCGATCAAAT</t>
  </si>
  <si>
    <t xml:space="preserve">AAACATTTGATCGGATGCTCATTG</t>
  </si>
  <si>
    <t xml:space="preserve">PST_3469</t>
  </si>
  <si>
    <t xml:space="preserve">ATCAAAAATGACGGCTTGTA</t>
  </si>
  <si>
    <t xml:space="preserve">TAGTATCAAAAATGACGGCTTGTA</t>
  </si>
  <si>
    <t xml:space="preserve">AAACTACAAGCCGTCATTTTTGAT</t>
  </si>
  <si>
    <t xml:space="preserve">ATCTTCATCAACTGTCGGTA</t>
  </si>
  <si>
    <t xml:space="preserve">TAGTATCTTCATCAACTGTCGGTA</t>
  </si>
  <si>
    <t xml:space="preserve">AAACTACCGACAGTTGATGAAGAT</t>
  </si>
  <si>
    <t xml:space="preserve">AAGACGCGTCGTCCGGGCGG</t>
  </si>
  <si>
    <t xml:space="preserve">TAGTAAGACGCGTCGTCCGGGCGG</t>
  </si>
  <si>
    <t xml:space="preserve">AAACCCGCCCGGACGACGCGTCTT</t>
  </si>
  <si>
    <t xml:space="preserve">ACGTTATCGCAGATTTCATC</t>
  </si>
  <si>
    <t xml:space="preserve">TAGTACGTTATCGCAGATTTCATC</t>
  </si>
  <si>
    <t xml:space="preserve">AAACGATGAAATCTGCGATAACGT</t>
  </si>
  <si>
    <t xml:space="preserve">PST_3474</t>
  </si>
  <si>
    <t xml:space="preserve">GTGAGCAATCCAACAAATCA</t>
  </si>
  <si>
    <t xml:space="preserve">TAGTGTGAGCAATCCAACAAATCA</t>
  </si>
  <si>
    <t xml:space="preserve">AAACTGATTTGTTGGATTGCTCAC</t>
  </si>
  <si>
    <t xml:space="preserve">GATGCTTGACAAGGCTCGAA</t>
  </si>
  <si>
    <t xml:space="preserve">TAGTGATGCTTGACAAGGCTCGAA</t>
  </si>
  <si>
    <t xml:space="preserve">AAACTTCGAGCCTTGTCAAGCATC</t>
  </si>
  <si>
    <t xml:space="preserve">GCAAAGCCACTCTCACAGAT</t>
  </si>
  <si>
    <t xml:space="preserve">TAGTGCAAAGCCACTCTCACAGAT</t>
  </si>
  <si>
    <t xml:space="preserve">AAACATCTGTGAGAGTGGCTTTGC</t>
  </si>
  <si>
    <t xml:space="preserve">GCCTAAACCCAACCGACTGC</t>
  </si>
  <si>
    <t xml:space="preserve">TAGTGCCTAAACCCAACCGACTGC</t>
  </si>
  <si>
    <t xml:space="preserve">AAACGCAGTCGGTTGGGTTTAGGC</t>
  </si>
  <si>
    <t xml:space="preserve">PST_3475</t>
  </si>
  <si>
    <t xml:space="preserve">AAAAAGCAGCAGCCGCCCAT</t>
  </si>
  <si>
    <t xml:space="preserve">TAGTAAAAAGCAGCAGCCGCCCAT</t>
  </si>
  <si>
    <t xml:space="preserve">AAACATGGGCGGCTGCTGCTTTTT</t>
  </si>
  <si>
    <t xml:space="preserve">CCAGCGGTCGCCCAGAACGG</t>
  </si>
  <si>
    <t xml:space="preserve">TAGTCCAGCGGTCGCCCAGAACGG</t>
  </si>
  <si>
    <t xml:space="preserve">AAACCCGTTCTGGGCGACCGCTGG</t>
  </si>
  <si>
    <t xml:space="preserve">GCGTCGGTGTAGCTTTCGCC</t>
  </si>
  <si>
    <t xml:space="preserve">TAGTGCGTCGGTGTAGCTTTCGCC</t>
  </si>
  <si>
    <t xml:space="preserve">AAACGGCGAAAGCTACACCGACGC</t>
  </si>
  <si>
    <t xml:space="preserve">GCCGATTGGACGTGTAAGGC</t>
  </si>
  <si>
    <t xml:space="preserve">TAGTGCCGATTGGACGTGTAAGGC</t>
  </si>
  <si>
    <t xml:space="preserve">AAACGCCTTACACGTCCAATCGGC</t>
  </si>
  <si>
    <t xml:space="preserve">PST_3476</t>
  </si>
  <si>
    <t xml:space="preserve">AGATATTCGAGGCTGGGCAT</t>
  </si>
  <si>
    <t xml:space="preserve">TAGTAGATATTCGAGGCTGGGCAT</t>
  </si>
  <si>
    <t xml:space="preserve">AAACATGCCCAGCCTCGAATATCT</t>
  </si>
  <si>
    <t xml:space="preserve">TATCAGCACGACGACCAGAC</t>
  </si>
  <si>
    <t xml:space="preserve">TAGTTATCAGCACGACGACCAGAC</t>
  </si>
  <si>
    <t xml:space="preserve">AAACGTCTGGTCGTCGTGCTGATA</t>
  </si>
  <si>
    <t xml:space="preserve">GTGTAGATCACACCCGCGCC</t>
  </si>
  <si>
    <t xml:space="preserve">TAGTGTGTAGATCACACCCGCGCC</t>
  </si>
  <si>
    <t xml:space="preserve">AAACGGCGCGGGTGTGATCTACAC</t>
  </si>
  <si>
    <t xml:space="preserve">GGCCAGCGCGGCCAGGATGC</t>
  </si>
  <si>
    <t xml:space="preserve">TAGTGGCCAGCGCGGCCAGGATGC</t>
  </si>
  <si>
    <t xml:space="preserve">AAACGCATCCTGGCCGCGCTGGCC</t>
  </si>
  <si>
    <t xml:space="preserve">PST_3477</t>
  </si>
  <si>
    <t xml:space="preserve">AGCGCAACGCTTGGAGCGCT</t>
  </si>
  <si>
    <t xml:space="preserve">TAGTAGCGCAACGCTTGGAGCGCT</t>
  </si>
  <si>
    <t xml:space="preserve">AAACAGCGCTCCAAGCGTTGCGCT</t>
  </si>
  <si>
    <t xml:space="preserve">CACGGCGCAAGGGTTCCTGA</t>
  </si>
  <si>
    <t xml:space="preserve">TAGTCACGGCGCAAGGGTTCCTGA</t>
  </si>
  <si>
    <t xml:space="preserve">AAACTCAGGAACCCTTGCGCCGTG</t>
  </si>
  <si>
    <t xml:space="preserve">AATGACCAGCCAAACCAGAC</t>
  </si>
  <si>
    <t xml:space="preserve">TAGTAATGACCAGCCAAACCAGAC</t>
  </si>
  <si>
    <t xml:space="preserve">AAACGTCTGGTTTGGCTGGTCATT</t>
  </si>
  <si>
    <t xml:space="preserve">CGCGAATGCCGGGGCTATAA</t>
  </si>
  <si>
    <t xml:space="preserve">TAGTCGCGAATGCCGGGGCTATAA</t>
  </si>
  <si>
    <t xml:space="preserve">AAACTTATAGCCCCGGCATTCGCG</t>
  </si>
  <si>
    <t xml:space="preserve">PST_3478</t>
  </si>
  <si>
    <t xml:space="preserve">malK-2</t>
  </si>
  <si>
    <t xml:space="preserve">GATGTCGCGCAGCGTGACAC</t>
  </si>
  <si>
    <t xml:space="preserve">TAGTGATGTCGCGCAGCGTGACAC</t>
  </si>
  <si>
    <t xml:space="preserve">AAACGTGTCACGCTGCGCGACATC</t>
  </si>
  <si>
    <t xml:space="preserve">AGGTCGATATGCCGGGTAAT</t>
  </si>
  <si>
    <t xml:space="preserve">TAGTAGGTCGATATGCCGGGTAAT</t>
  </si>
  <si>
    <t xml:space="preserve">AAACATTACCCGGCATATCGACCT</t>
  </si>
  <si>
    <t xml:space="preserve">ACTCACCGTCTTCGATATCC</t>
  </si>
  <si>
    <t xml:space="preserve">TAGTACTCACCGTCTTCGATATCC</t>
  </si>
  <si>
    <t xml:space="preserve">AAACGGATATCGAAGACGGTGAGT</t>
  </si>
  <si>
    <t xml:space="preserve">GGAGGTGATGTCCTCGAGCC</t>
  </si>
  <si>
    <t xml:space="preserve">TAGTGGAGGTGATGTCCTCGAGCC</t>
  </si>
  <si>
    <t xml:space="preserve">AAACGGCTCGAGGACATCACCTCC</t>
  </si>
  <si>
    <t xml:space="preserve">PST_3479</t>
  </si>
  <si>
    <t xml:space="preserve">GCCACTCTAGGTGCGGCAAG</t>
  </si>
  <si>
    <t xml:space="preserve">TAGTGCCACTCTAGGTGCGGCAAG</t>
  </si>
  <si>
    <t xml:space="preserve">AAACCTTGCCGCACCTAGAGTGGC</t>
  </si>
  <si>
    <t xml:space="preserve">CTTGAGTGAGCGTGAAGACG</t>
  </si>
  <si>
    <t xml:space="preserve">TAGTCTTGAGTGAGCGTGAAGACG</t>
  </si>
  <si>
    <t xml:space="preserve">AAACCGTCTTCACGCTCACTCAAG</t>
  </si>
  <si>
    <t xml:space="preserve">CCACCAGTTCTGAAGTTGCT</t>
  </si>
  <si>
    <t xml:space="preserve">TAGTCCACCAGTTCTGAAGTTGCT</t>
  </si>
  <si>
    <t xml:space="preserve">AAACAGCAACTTCAGAACTGGTGG</t>
  </si>
  <si>
    <t xml:space="preserve">TGCTGTCGAAGAAGCTGCGC</t>
  </si>
  <si>
    <t xml:space="preserve">TAGTTGCTGTCGAAGAAGCTGCGC</t>
  </si>
  <si>
    <t xml:space="preserve">AAACGCGCAGCTTCTTCGACAGCA</t>
  </si>
  <si>
    <t xml:space="preserve">PST_3480</t>
  </si>
  <si>
    <t xml:space="preserve">CTGTTTCTCACTCATCGCCA</t>
  </si>
  <si>
    <t xml:space="preserve">TAGTCTGTTTCTCACTCATCGCCA</t>
  </si>
  <si>
    <t xml:space="preserve">AAACTGGCGATGAGTGAGAAACAG</t>
  </si>
  <si>
    <t xml:space="preserve">GGATTTCCGGGTCGCCTGGG</t>
  </si>
  <si>
    <t xml:space="preserve">TAGTGGATTTCCGGGTCGCCTGGG</t>
  </si>
  <si>
    <t xml:space="preserve">AAACCCCAGGCGACCCGGAAATCC</t>
  </si>
  <si>
    <t xml:space="preserve">TGGCCGCGGCCTGGTCGGCG</t>
  </si>
  <si>
    <t xml:space="preserve">TAGTTGGCCGCGGCCTGGTCGGCG</t>
  </si>
  <si>
    <t xml:space="preserve">AAACCGCCGACCAGGCCGCGGCCA</t>
  </si>
  <si>
    <t xml:space="preserve">TGCGTTGTAGCGCACCATCC</t>
  </si>
  <si>
    <t xml:space="preserve">TAGTTGCGTTGTAGCGCACCATCC</t>
  </si>
  <si>
    <t xml:space="preserve">AAACGGATGGTGCGCTACAACGCA</t>
  </si>
  <si>
    <t xml:space="preserve">PST_3481</t>
  </si>
  <si>
    <t xml:space="preserve">ACGCCGACGCGGCGGACGAA</t>
  </si>
  <si>
    <t xml:space="preserve">TAGTACGCCGACGCGGCGGACGAA</t>
  </si>
  <si>
    <t xml:space="preserve">AAACTTCGTCCGCCGCGTCGGCGT</t>
  </si>
  <si>
    <t xml:space="preserve">ACGGTATATCCAGCAGATGC</t>
  </si>
  <si>
    <t xml:space="preserve">TAGTACGGTATATCCAGCAGATGC</t>
  </si>
  <si>
    <t xml:space="preserve">AAACGCATCTGCTGGATATACCGT</t>
  </si>
  <si>
    <t xml:space="preserve">CAGAACGCTGAGGGGCTCGT</t>
  </si>
  <si>
    <t xml:space="preserve">TAGTCAGAACGCTGAGGGGCTCGT</t>
  </si>
  <si>
    <t xml:space="preserve">AAACACGAGCCCCTCAGCGTTCTG</t>
  </si>
  <si>
    <t xml:space="preserve">AAGGCGGGCACTCGACCCAG</t>
  </si>
  <si>
    <t xml:space="preserve">TAGTAAGGCGGGCACTCGACCCAG</t>
  </si>
  <si>
    <t xml:space="preserve">AAACCTGGGTCGAGTGCCCGCCTT</t>
  </si>
  <si>
    <t xml:space="preserve">PST_3482</t>
  </si>
  <si>
    <t xml:space="preserve">AGGACGCGGGTCAGGCTCAT</t>
  </si>
  <si>
    <t xml:space="preserve">TAGTAGGACGCGGGTCAGGCTCAT</t>
  </si>
  <si>
    <t xml:space="preserve">AAACATGAGCCTGACCCGCGTCCT</t>
  </si>
  <si>
    <t xml:space="preserve">CCAGGACGGCGGCGAGAAAC</t>
  </si>
  <si>
    <t xml:space="preserve">TAGTCCAGGACGGCGGCGAGAAAC</t>
  </si>
  <si>
    <t xml:space="preserve">AAACGTTTCTCGCCGCCGTCCTGG</t>
  </si>
  <si>
    <t xml:space="preserve">GGCTGCTTGCCGTGCCTGCC</t>
  </si>
  <si>
    <t xml:space="preserve">TAGTGGCTGCTTGCCGTGCCTGCC</t>
  </si>
  <si>
    <t xml:space="preserve">AAACGGCAGGCACGGCAAGCAGCC</t>
  </si>
  <si>
    <t xml:space="preserve">CCACCGGGACGAACCCCGAG</t>
  </si>
  <si>
    <t xml:space="preserve">TAGTCCACCGGGACGAACCCCGAG</t>
  </si>
  <si>
    <t xml:space="preserve">AAACCTCGGGGTTCGTCCCGGTGG</t>
  </si>
  <si>
    <t xml:space="preserve">PST_3483</t>
  </si>
  <si>
    <t xml:space="preserve">CTTGTCATGACCTGGCGCAC</t>
  </si>
  <si>
    <t xml:space="preserve">TAGTCTTGTCATGACCTGGCGCAC</t>
  </si>
  <si>
    <t xml:space="preserve">AAACGTGCGCCAGGTCATGACAAG</t>
  </si>
  <si>
    <t xml:space="preserve">GGCATCGCGGCATTCATGGA</t>
  </si>
  <si>
    <t xml:space="preserve">TAGTGGCATCGCGGCATTCATGGA</t>
  </si>
  <si>
    <t xml:space="preserve">AAACTCCATGAATGCCGCGATGCC</t>
  </si>
  <si>
    <t xml:space="preserve">GGGATCAATGGCAGTAAAGG</t>
  </si>
  <si>
    <t xml:space="preserve">TAGTGGGATCAATGGCAGTAAAGG</t>
  </si>
  <si>
    <t xml:space="preserve">AAACCCTTTACTGCCATTGATCCC</t>
  </si>
  <si>
    <t xml:space="preserve">TGGGGATCGCCAGCTTGGTG</t>
  </si>
  <si>
    <t xml:space="preserve">TAGTTGGGGATCGCCAGCTTGGTG</t>
  </si>
  <si>
    <t xml:space="preserve">AAACCACCAAGCTGGCGATCCCCA</t>
  </si>
  <si>
    <t xml:space="preserve">PST_3484</t>
  </si>
  <si>
    <t xml:space="preserve">CGCGGATTTCGGTTGCACCA</t>
  </si>
  <si>
    <t xml:space="preserve">TAGTCGCGGATTTCGGTTGCACCA</t>
  </si>
  <si>
    <t xml:space="preserve">AAACTGGTGCAACCGAAATCCGCG</t>
  </si>
  <si>
    <t xml:space="preserve">CCGCATGGGTCGCCCAGAGC</t>
  </si>
  <si>
    <t xml:space="preserve">TAGTCCGCATGGGTCGCCCAGAGC</t>
  </si>
  <si>
    <t xml:space="preserve">AAACGCTCTGGGCGACCCATGCGG</t>
  </si>
  <si>
    <t xml:space="preserve">GAAGAGGATTGCCGCGACGA</t>
  </si>
  <si>
    <t xml:space="preserve">TAGTGAAGAGGATTGCCGCGACGA</t>
  </si>
  <si>
    <t xml:space="preserve">AAACTCGTCGCGGCAATCCTCTTC</t>
  </si>
  <si>
    <t xml:space="preserve">TCGACACCACCATCAGCAGC</t>
  </si>
  <si>
    <t xml:space="preserve">TAGTTCGACACCACCATCAGCAGC</t>
  </si>
  <si>
    <t xml:space="preserve">AAACGCTGCTGATGGTGGTGTCGA</t>
  </si>
  <si>
    <t xml:space="preserve">PST_3485</t>
  </si>
  <si>
    <t xml:space="preserve">CCGAGGCGGCGGCCGGCGAC</t>
  </si>
  <si>
    <t xml:space="preserve">TAGTCCGAGGCGGCGGCCGGCGAC</t>
  </si>
  <si>
    <t xml:space="preserve">AAACGTCGCCGGCCGCCGCCTCGG</t>
  </si>
  <si>
    <t xml:space="preserve">GAGAACGGAGCATAGTCCGC</t>
  </si>
  <si>
    <t xml:space="preserve">TAGTGAGAACGGAGCATAGTCCGC</t>
  </si>
  <si>
    <t xml:space="preserve">AAACGCGGACTATGCTCCGTTCTC</t>
  </si>
  <si>
    <t xml:space="preserve">GGCACGGGCATTCACGGGAG</t>
  </si>
  <si>
    <t xml:space="preserve">TAGTGGCACGGGCATTCACGGGAG</t>
  </si>
  <si>
    <t xml:space="preserve">AAACCTCCCGTGAATGCCCGTGCC</t>
  </si>
  <si>
    <t xml:space="preserve">CATGGCTGGGCTGGGCAACT</t>
  </si>
  <si>
    <t xml:space="preserve">TAGTCATGGCTGGGCTGGGCAACT</t>
  </si>
  <si>
    <t xml:space="preserve">AAACAGTTGCCCAGCCCAGCCATG</t>
  </si>
  <si>
    <t xml:space="preserve">PST_3486</t>
  </si>
  <si>
    <t xml:space="preserve">TAGATGTGGGGCGTAGGCAG</t>
  </si>
  <si>
    <t xml:space="preserve">TAGTTAGATGTGGGGCGTAGGCAG</t>
  </si>
  <si>
    <t xml:space="preserve">AAACCTGCCTACGCCCCACATCTA</t>
  </si>
  <si>
    <t xml:space="preserve">CTCCCCCTCCAGGAGGCGGA</t>
  </si>
  <si>
    <t xml:space="preserve">TAGTCTCCCCCTCCAGGAGGCGGA</t>
  </si>
  <si>
    <t xml:space="preserve">AAACTCCGCCTCCTGGAGGGGGAG</t>
  </si>
  <si>
    <t xml:space="preserve">TCTGACAGTCGTTCCATCCT</t>
  </si>
  <si>
    <t xml:space="preserve">TAGTTCTGACAGTCGTTCCATCCT</t>
  </si>
  <si>
    <t xml:space="preserve">AAACAGGATGGAACGACTGTCAGA</t>
  </si>
  <si>
    <t xml:space="preserve">TTCCACCCGCTGCCGGCCTT</t>
  </si>
  <si>
    <t xml:space="preserve">TAGTTTCCACCCGCTGCCGGCCTT</t>
  </si>
  <si>
    <t xml:space="preserve">AAACAAGGCCGGCAGCGGGTGGAA</t>
  </si>
  <si>
    <t xml:space="preserve">PST_3487</t>
  </si>
  <si>
    <t xml:space="preserve">CGACAGGGCGGGTAGGCGGT</t>
  </si>
  <si>
    <t xml:space="preserve">TAGTCGACAGGGCGGGTAGGCGGT</t>
  </si>
  <si>
    <t xml:space="preserve">AAACACCGCCTACCCGCCCTGTCG</t>
  </si>
  <si>
    <t xml:space="preserve">GGCCAGTACGGGCAGCGCTA</t>
  </si>
  <si>
    <t xml:space="preserve">TAGTGGCCAGTACGGGCAGCGCTA</t>
  </si>
  <si>
    <t xml:space="preserve">AAACTAGCGCTGCCCGTACTGGCC</t>
  </si>
  <si>
    <t xml:space="preserve">CCGGGCAGCCAGCTCGGGAT</t>
  </si>
  <si>
    <t xml:space="preserve">TAGTCCGGGCAGCCAGCTCGGGAT</t>
  </si>
  <si>
    <t xml:space="preserve">AAACATCCCGAGCTGGCTGCCCGG</t>
  </si>
  <si>
    <t xml:space="preserve">TCCAGTTCAACGGCAGCGGC</t>
  </si>
  <si>
    <t xml:space="preserve">TAGTTCCAGTTCAACGGCAGCGGC</t>
  </si>
  <si>
    <t xml:space="preserve">AAACGCCGCTGCCGTTGAACTGGA</t>
  </si>
  <si>
    <t xml:space="preserve">PST_3488</t>
  </si>
  <si>
    <t xml:space="preserve">TGCCGCTGCGGTCAGGGATG</t>
  </si>
  <si>
    <t xml:space="preserve">TAGTTGCCGCTGCGGTCAGGGATG</t>
  </si>
  <si>
    <t xml:space="preserve">AAACCATCCCTGACCGCAGCGGCA</t>
  </si>
  <si>
    <t xml:space="preserve">GCTGGCGAGAAAGGCCAGCT</t>
  </si>
  <si>
    <t xml:space="preserve">TAGTGCTGGCGAGAAAGGCCAGCT</t>
  </si>
  <si>
    <t xml:space="preserve">AAACAGCTGGCCTTTCTCGCCAGC</t>
  </si>
  <si>
    <t xml:space="preserve">CGCGCGGCCCAGGCGAAACT</t>
  </si>
  <si>
    <t xml:space="preserve">TAGTCGCGCGGCCCAGGCGAAACT</t>
  </si>
  <si>
    <t xml:space="preserve">AAACAGTTTCGCCTGGGCCGCGCG</t>
  </si>
  <si>
    <t xml:space="preserve">CCAGTTGTTCCGGTGGCAGC</t>
  </si>
  <si>
    <t xml:space="preserve">TAGTCCAGTTGTTCCGGTGGCAGC</t>
  </si>
  <si>
    <t xml:space="preserve">AAACGCTGCCACCGGAACAACTGG</t>
  </si>
  <si>
    <t xml:space="preserve">PST_3489</t>
  </si>
  <si>
    <t xml:space="preserve">GTGGCCAGGCCGAAGGCCCC</t>
  </si>
  <si>
    <t xml:space="preserve">TAGTGTGGCCAGGCCGAAGGCCCC</t>
  </si>
  <si>
    <t xml:space="preserve">AAACGGGGCCTTCGGCCTGGCCAC</t>
  </si>
  <si>
    <t xml:space="preserve">CTCCCCCGCCCAGTTGCAGG</t>
  </si>
  <si>
    <t xml:space="preserve">TAGTCTCCCCCGCCCAGTTGCAGG</t>
  </si>
  <si>
    <t xml:space="preserve">AAACCCTGCAACTGGGCGGGGGAG</t>
  </si>
  <si>
    <t xml:space="preserve">CAGGCTGCCCCTGCACGCCC</t>
  </si>
  <si>
    <t xml:space="preserve">TAGTCAGGCTGCCCCTGCACGCCC</t>
  </si>
  <si>
    <t xml:space="preserve">AAACGGGCGTGCAGGGGCAGCCTG</t>
  </si>
  <si>
    <t xml:space="preserve">ACGCCGGCCGGGTCTTCGAC</t>
  </si>
  <si>
    <t xml:space="preserve">TAGTACGCCGGCCGGGTCTTCGAC</t>
  </si>
  <si>
    <t xml:space="preserve">AAACGTCGAAGACCCGGCCGGCGT</t>
  </si>
  <si>
    <t xml:space="preserve">PST_3490</t>
  </si>
  <si>
    <t xml:space="preserve">AGCCTCGGGGATAGGAACGG</t>
  </si>
  <si>
    <t xml:space="preserve">TAGTAGCCTCGGGGATAGGAACGG</t>
  </si>
  <si>
    <t xml:space="preserve">AAACCCGTTCCTATCCCCGAGGCT</t>
  </si>
  <si>
    <t xml:space="preserve">CCAGGGGCGGCGCAGCTGGG</t>
  </si>
  <si>
    <t xml:space="preserve">TAGTCCAGGGGCGGCGCAGCTGGG</t>
  </si>
  <si>
    <t xml:space="preserve">AAACCCCAGCTGCGCCGCCCCTGG</t>
  </si>
  <si>
    <t xml:space="preserve">GCGCGGTGTGCTTCATGACG</t>
  </si>
  <si>
    <t xml:space="preserve">TAGTGCGCGGTGTGCTTCATGACG</t>
  </si>
  <si>
    <t xml:space="preserve">AAACCGTCATGAAGCACACCGCGC</t>
  </si>
  <si>
    <t xml:space="preserve">CGGGTTTTAGGACGAACAGG</t>
  </si>
  <si>
    <t xml:space="preserve">TAGTCGGGTTTTAGGACGAACAGG</t>
  </si>
  <si>
    <t xml:space="preserve">AAACCCTGTTCGTCCTAAAACCCG</t>
  </si>
  <si>
    <t xml:space="preserve">PST_3491</t>
  </si>
  <si>
    <t xml:space="preserve">CAACGGCGTTCAGCCAGTGC</t>
  </si>
  <si>
    <t xml:space="preserve">TAGTCAACGGCGTTCAGCCAGTGC</t>
  </si>
  <si>
    <t xml:space="preserve">AAACGCACTGGCTGAACGCCGTTG</t>
  </si>
  <si>
    <t xml:space="preserve">CACCGTCTGGACGGTGGGAG</t>
  </si>
  <si>
    <t xml:space="preserve">TAGTCACCGTCTGGACGGTGGGAG</t>
  </si>
  <si>
    <t xml:space="preserve">AAACCTCCCACCGTCCAGACGGTG</t>
  </si>
  <si>
    <t xml:space="preserve">CCTGCCAGAGTCGGGGCAAA</t>
  </si>
  <si>
    <t xml:space="preserve">TAGTCCTGCCAGAGTCGGGGCAAA</t>
  </si>
  <si>
    <t xml:space="preserve">AAACTTTGCCCCGACTCTGGCAGG</t>
  </si>
  <si>
    <t xml:space="preserve">GAGGATGCATGGTGCTTCTC</t>
  </si>
  <si>
    <t xml:space="preserve">TAGTGAGGATGCATGGTGCTTCTC</t>
  </si>
  <si>
    <t xml:space="preserve">AAACGAGAAGCACCATGCATCCTC</t>
  </si>
  <si>
    <t xml:space="preserve">PST_3492</t>
  </si>
  <si>
    <t xml:space="preserve">sugE</t>
  </si>
  <si>
    <t xml:space="preserve">CGCCCCGGGTCGTCCCGCGG</t>
  </si>
  <si>
    <t xml:space="preserve">TAGTCGCCCCGGGTCGTCCCGCGG</t>
  </si>
  <si>
    <t xml:space="preserve">AAACCCGCGGGACGACCCGGGGCG</t>
  </si>
  <si>
    <t xml:space="preserve">CGATGACTCCAGCAACGGCA</t>
  </si>
  <si>
    <t xml:space="preserve">TAGTCGATGACTCCAGCAACGGCA</t>
  </si>
  <si>
    <t xml:space="preserve">AAACTGCCGTTGCTGGAGTCATCG</t>
  </si>
  <si>
    <t xml:space="preserve">CCAGCCCACTTCGAGCAGGC</t>
  </si>
  <si>
    <t xml:space="preserve">TAGTCCAGCCCACTTCGAGCAGGC</t>
  </si>
  <si>
    <t xml:space="preserve">AAACGCCTGCTCGAAGTGGGCTGG</t>
  </si>
  <si>
    <t xml:space="preserve">TTCGGAAGCCTTGAGGCCAA</t>
  </si>
  <si>
    <t xml:space="preserve">TAGTTTCGGAAGCCTTGAGGCCAA</t>
  </si>
  <si>
    <t xml:space="preserve">AAACTTGGCCTCAAGGCTTCCGAA</t>
  </si>
  <si>
    <t xml:space="preserve">PST_3493</t>
  </si>
  <si>
    <t xml:space="preserve">CGGCTGGGCGAGCACGGGTG</t>
  </si>
  <si>
    <t xml:space="preserve">TAGTCGGCTGGGCGAGCACGGGTG</t>
  </si>
  <si>
    <t xml:space="preserve">AAACCACCCGTGCTCGCCCAGCCG</t>
  </si>
  <si>
    <t xml:space="preserve">CGCATCATGCCCAACAACAG</t>
  </si>
  <si>
    <t xml:space="preserve">TAGTCGCATCATGCCCAACAACAG</t>
  </si>
  <si>
    <t xml:space="preserve">AAACCTGTTGTTGGGCATGATGCG</t>
  </si>
  <si>
    <t xml:space="preserve">CCTGGGGCTCACCCAGCTCG</t>
  </si>
  <si>
    <t xml:space="preserve">TAGTCCTGGGGCTCACCCAGCTCG</t>
  </si>
  <si>
    <t xml:space="preserve">AAACCGAGCTGGGTGAGCCCCAGG</t>
  </si>
  <si>
    <t xml:space="preserve">CGCCGGCATAGATGTCGGCA</t>
  </si>
  <si>
    <t xml:space="preserve">TAGTCGCCGGCATAGATGTCGGCA</t>
  </si>
  <si>
    <t xml:space="preserve">AAACTGCCGACATCTATGCCGGCG</t>
  </si>
  <si>
    <t xml:space="preserve">PST_3494</t>
  </si>
  <si>
    <t xml:space="preserve">AAGCGGGCGCGCAGTAGTCA</t>
  </si>
  <si>
    <t xml:space="preserve">TAGTAAGCGGGCGCGCAGTAGTCA</t>
  </si>
  <si>
    <t xml:space="preserve">AAACTGACTACTGCGCGCCCGCTT</t>
  </si>
  <si>
    <t xml:space="preserve">ATCGAGACGGGGAAACAGGT</t>
  </si>
  <si>
    <t xml:space="preserve">TAGTATCGAGACGGGGAAACAGGT</t>
  </si>
  <si>
    <t xml:space="preserve">AAACACCTGTTTCCCCGTCTCGAT</t>
  </si>
  <si>
    <t xml:space="preserve">GCATCCGGCTGATAGGCAGC</t>
  </si>
  <si>
    <t xml:space="preserve">TAGTGCATCCGGCTGATAGGCAGC</t>
  </si>
  <si>
    <t xml:space="preserve">AAACGCTGCCTATCAGCCGGATGC</t>
  </si>
  <si>
    <t xml:space="preserve">AGATAGTCGCGCTGCTCGAC</t>
  </si>
  <si>
    <t xml:space="preserve">TAGTAGATAGTCGCGCTGCTCGAC</t>
  </si>
  <si>
    <t xml:space="preserve">AAACGTCGAGCAGCGCGACTATCT</t>
  </si>
  <si>
    <t xml:space="preserve">PST_3495</t>
  </si>
  <si>
    <t xml:space="preserve">eda-1</t>
  </si>
  <si>
    <t xml:space="preserve">CATGCTGACGGCGCGGGTTT</t>
  </si>
  <si>
    <t xml:space="preserve">TAGTCATGCTGACGGCGCGGGTTT</t>
  </si>
  <si>
    <t xml:space="preserve">AAACAAACCCGCGCCGTCAGCATG</t>
  </si>
  <si>
    <t xml:space="preserve">GTCGATCAGGGCGATCTTGT</t>
  </si>
  <si>
    <t xml:space="preserve">TAGTGTCGATCAGGGCGATCTTGT</t>
  </si>
  <si>
    <t xml:space="preserve">AAACACAAGATCGCCCTGATCGAC</t>
  </si>
  <si>
    <t xml:space="preserve">GCTCGATGGTGATCACCGGC</t>
  </si>
  <si>
    <t xml:space="preserve">TAGTGCTCGATGGTGATCACCGGC</t>
  </si>
  <si>
    <t xml:space="preserve">AAACGCCGGTGATCACCATCGAGC</t>
  </si>
  <si>
    <t xml:space="preserve">CCAGGGCGTCGGCCAACGGC</t>
  </si>
  <si>
    <t xml:space="preserve">TAGTCCAGGGCGTCGGCCAACGGC</t>
  </si>
  <si>
    <t xml:space="preserve">AAACGCCGTTGGCCGACGCCCTGG</t>
  </si>
  <si>
    <t xml:space="preserve">PST_3496</t>
  </si>
  <si>
    <t xml:space="preserve">CTGAAACCGAGGGTCTGCAC</t>
  </si>
  <si>
    <t xml:space="preserve">TAGTCTGAAACCGAGGGTCTGCAC</t>
  </si>
  <si>
    <t xml:space="preserve">AAACGTGCAGACCCTCGGTTTCAG</t>
  </si>
  <si>
    <t xml:space="preserve">CAGTTCGCCGGCCAGCTGGT</t>
  </si>
  <si>
    <t xml:space="preserve">TAGTCAGTTCGCCGGCCAGCTGGT</t>
  </si>
  <si>
    <t xml:space="preserve">AAACACCAGCTGGCCGGCGAACTG</t>
  </si>
  <si>
    <t xml:space="preserve">CTCGGCGATCGCACTGCGCA</t>
  </si>
  <si>
    <t xml:space="preserve">TAGTCTCGGCGATCGCACTGCGCA</t>
  </si>
  <si>
    <t xml:space="preserve">AAACTGCGCAGTGCGATCGCCGAG</t>
  </si>
  <si>
    <t xml:space="preserve">CGAAGAAGGCGATCGGGCTG</t>
  </si>
  <si>
    <t xml:space="preserve">TAGTCGAAGAAGGCGATCGGGCTG</t>
  </si>
  <si>
    <t xml:space="preserve">AAACCAGCCCGATCGCCTTCTTCG</t>
  </si>
  <si>
    <t xml:space="preserve">PST_3497</t>
  </si>
  <si>
    <t xml:space="preserve">GTGCAGGGTTCGACAGATAA</t>
  </si>
  <si>
    <t xml:space="preserve">TAGTGTGCAGGGTTCGACAGATAA</t>
  </si>
  <si>
    <t xml:space="preserve">AAACTTATCTGTCGAACCCTGCAC</t>
  </si>
  <si>
    <t xml:space="preserve">GAGGGCGCCGAACAGCGCCA</t>
  </si>
  <si>
    <t xml:space="preserve">TAGTGAGGGCGCCGAACAGCGCCA</t>
  </si>
  <si>
    <t xml:space="preserve">AAACTGGCGCTGTTCGGCGCCCTC</t>
  </si>
  <si>
    <t xml:space="preserve">CGGTCGAGCTGATAGAGCGC</t>
  </si>
  <si>
    <t xml:space="preserve">TAGTCGGTCGAGCTGATAGAGCGC</t>
  </si>
  <si>
    <t xml:space="preserve">AAACGCGCTCTATCAGCTCGACCG</t>
  </si>
  <si>
    <t xml:space="preserve">GGTGTCCGCCGGCAGCAGGC</t>
  </si>
  <si>
    <t xml:space="preserve">TAGTGGTGTCCGCCGGCAGCAGGC</t>
  </si>
  <si>
    <t xml:space="preserve">AAACGCCTGCTGCCGGCGGACACC</t>
  </si>
  <si>
    <t xml:space="preserve">PST_3498</t>
  </si>
  <si>
    <t xml:space="preserve">hexR</t>
  </si>
  <si>
    <t xml:space="preserve">AGGGTTGCGCAGGATGACTT</t>
  </si>
  <si>
    <t xml:space="preserve">TAGTAGGGTTGCGCAGGATGACTT</t>
  </si>
  <si>
    <t xml:space="preserve">AAACAAGTCATCCTGCGCAACCCT</t>
  </si>
  <si>
    <t xml:space="preserve">CTGAAGCGGGTGGCCTGCTG</t>
  </si>
  <si>
    <t xml:space="preserve">TAGTCTGAAGCGGGTGGCCTGCTG</t>
  </si>
  <si>
    <t xml:space="preserve">AAACCAGCAGGCCACCCGCTTCAG</t>
  </si>
  <si>
    <t xml:space="preserve">CTGTGCGGTCTGCGCCAGGG</t>
  </si>
  <si>
    <t xml:space="preserve">TAGTCTGTGCGGTCTGCGCCAGGG</t>
  </si>
  <si>
    <t xml:space="preserve">AAACCCCTGGCGCAGACCGCACAG</t>
  </si>
  <si>
    <t xml:space="preserve">CGGCAGAAGCGATTCACCGT</t>
  </si>
  <si>
    <t xml:space="preserve">TAGTCGGCAGAAGCGATTCACCGT</t>
  </si>
  <si>
    <t xml:space="preserve">AAACACGGTGAATCGCTTCTGCCG</t>
  </si>
  <si>
    <t xml:space="preserve">PST_3499</t>
  </si>
  <si>
    <t xml:space="preserve">glk-2</t>
  </si>
  <si>
    <t xml:space="preserve">CCAGAGCGCGAAGCGCGCGT</t>
  </si>
  <si>
    <t xml:space="preserve">TAGTCCAGAGCGCGAAGCGCGCGT</t>
  </si>
  <si>
    <t xml:space="preserve">AAACACGCGCGCTTCGCGCTCTGG</t>
  </si>
  <si>
    <t xml:space="preserve">CACGCGCACCGCTTCCAGCC</t>
  </si>
  <si>
    <t xml:space="preserve">TAGTCACGCGCACCGCTTCCAGCC</t>
  </si>
  <si>
    <t xml:space="preserve">AAACGGCTGGAAGCGGTGCGCGTG</t>
  </si>
  <si>
    <t xml:space="preserve">TAGTACTCGACCGCCAGCTC</t>
  </si>
  <si>
    <t xml:space="preserve">TAGTTAGTACTCGACCGCCAGCTC</t>
  </si>
  <si>
    <t xml:space="preserve">AAACGAGCTGGCGGTCGAGTACTA</t>
  </si>
  <si>
    <t xml:space="preserve">GCGCAAGACCGAGCGACGCC</t>
  </si>
  <si>
    <t xml:space="preserve">TAGTGCGCAAGACCGAGCGACGCC</t>
  </si>
  <si>
    <t xml:space="preserve">AAACGGCGTCGCTCGGTCTTGCGC</t>
  </si>
  <si>
    <t xml:space="preserve">PST_3500</t>
  </si>
  <si>
    <t xml:space="preserve">TCGGTGACTTCGACGACCCG</t>
  </si>
  <si>
    <t xml:space="preserve">TAGTTCGGTGACTTCGACGACCCG</t>
  </si>
  <si>
    <t xml:space="preserve">AAACCGGGTCGTCGAAGTCACCGA</t>
  </si>
  <si>
    <t xml:space="preserve">GATAGGCCTCGCGCGTCGGA</t>
  </si>
  <si>
    <t xml:space="preserve">TAGTGATAGGCCTCGCGCGTCGGA</t>
  </si>
  <si>
    <t xml:space="preserve">AAACTCCGACGCGCGAGGCCTATC</t>
  </si>
  <si>
    <t xml:space="preserve">GCTCGCGGCGGCGCGAATCA</t>
  </si>
  <si>
    <t xml:space="preserve">TAGTGCTCGCGGCGGCGCGAATCA</t>
  </si>
  <si>
    <t xml:space="preserve">AAACTGATTCGCGCCGCCGCGAGC</t>
  </si>
  <si>
    <t xml:space="preserve">GGCGCACTGCGCCGCGTTGC</t>
  </si>
  <si>
    <t xml:space="preserve">TAGTGGCGCACTGCGCCGCGTTGC</t>
  </si>
  <si>
    <t xml:space="preserve">AAACGCAACGCGGCGCAGTGCGCC</t>
  </si>
  <si>
    <t xml:space="preserve">PST_3501</t>
  </si>
  <si>
    <t xml:space="preserve">CAAATGCAGCGGGTTCCCGG</t>
  </si>
  <si>
    <t xml:space="preserve">TAGTCAAATGCAGCGGGTTCCCGG</t>
  </si>
  <si>
    <t xml:space="preserve">AAACCCGGGAACCCGCTGCATTTG</t>
  </si>
  <si>
    <t xml:space="preserve">TCGATAATGTTTACTTGAAC</t>
  </si>
  <si>
    <t xml:space="preserve">TAGTTCGATAATGTTTACTTGAAC</t>
  </si>
  <si>
    <t xml:space="preserve">AAACGTTCAAGTAAACATTATCGA</t>
  </si>
  <si>
    <t xml:space="preserve">GATATGTAGCCTTATACGAC</t>
  </si>
  <si>
    <t xml:space="preserve">TAGTGATATGTAGCCTTATACGAC</t>
  </si>
  <si>
    <t xml:space="preserve">AAACGTCGTATAAGGCTACATATC</t>
  </si>
  <si>
    <t xml:space="preserve">CTTCCATAACGGCAGAATGC</t>
  </si>
  <si>
    <t xml:space="preserve">TAGTCTTCCATAACGGCAGAATGC</t>
  </si>
  <si>
    <t xml:space="preserve">AAACGCATTCTGCCGTTATGGAAG</t>
  </si>
  <si>
    <t xml:space="preserve">PST_3502</t>
  </si>
  <si>
    <t xml:space="preserve">CGGGCATCGAGTGCTACGGG</t>
  </si>
  <si>
    <t xml:space="preserve">TAGTCGGGCATCGAGTGCTACGGG</t>
  </si>
  <si>
    <t xml:space="preserve">AAACCCCGTAGCACTCGATGCCCG</t>
  </si>
  <si>
    <t xml:space="preserve">ACGGCAGAATTCGCGCGGTG</t>
  </si>
  <si>
    <t xml:space="preserve">TAGTACGGCAGAATTCGCGCGGTG</t>
  </si>
  <si>
    <t xml:space="preserve">AAACCACCGCGCGAATTCTGCCGT</t>
  </si>
  <si>
    <t xml:space="preserve">CGTCTGCATGAAGAAGGCGA</t>
  </si>
  <si>
    <t xml:space="preserve">TAGTCGTCTGCATGAAGAAGGCGA</t>
  </si>
  <si>
    <t xml:space="preserve">AAACTCGCCTTCTTCATGCAGACG</t>
  </si>
  <si>
    <t xml:space="preserve">CGGCAGCGCGGTATTGAGAA</t>
  </si>
  <si>
    <t xml:space="preserve">TAGTCGGCAGCGCGGTATTGAGAA</t>
  </si>
  <si>
    <t xml:space="preserve">AAACTTCTCAATACCGCGCTGCCG</t>
  </si>
  <si>
    <t xml:space="preserve">PST_3503</t>
  </si>
  <si>
    <t xml:space="preserve">AGCGTGGCGGGGATGCGCAT</t>
  </si>
  <si>
    <t xml:space="preserve">TAGTAGCGTGGCGGGGATGCGCAT</t>
  </si>
  <si>
    <t xml:space="preserve">AAACATGCGCATCCCCGCCACGCT</t>
  </si>
  <si>
    <t xml:space="preserve">GGTGAGCAGCAGGGACGTGA</t>
  </si>
  <si>
    <t xml:space="preserve">TAGTGGTGAGCAGCAGGGACGTGA</t>
  </si>
  <si>
    <t xml:space="preserve">AAACTCACGTCCCTGCTGCTCACC</t>
  </si>
  <si>
    <t xml:space="preserve">ATTCCTTCGCCTGGGCGAGC</t>
  </si>
  <si>
    <t xml:space="preserve">TAGTATTCCTTCGCCTGGGCGAGC</t>
  </si>
  <si>
    <t xml:space="preserve">AAACGCTCGCCCAGGCGAAGGAAT</t>
  </si>
  <si>
    <t xml:space="preserve">CACTGCTGCGGTTCGCCGAT</t>
  </si>
  <si>
    <t xml:space="preserve">TAGTCACTGCTGCGGTTCGCCGAT</t>
  </si>
  <si>
    <t xml:space="preserve">AAACATCGGCGAACCGCAGCAGTG</t>
  </si>
  <si>
    <t xml:space="preserve">PST_3504</t>
  </si>
  <si>
    <t xml:space="preserve">CGAGCAGCGAACGCCCGGCG</t>
  </si>
  <si>
    <t xml:space="preserve">TAGTCGAGCAGCGAACGCCCGGCG</t>
  </si>
  <si>
    <t xml:space="preserve">AAACCGCCGGGCGTTCGCTGCTCG</t>
  </si>
  <si>
    <t xml:space="preserve">GCCCGCAAGCCCGGCCAGCA</t>
  </si>
  <si>
    <t xml:space="preserve">TAGTGCCCGCAAGCCCGGCCAGCA</t>
  </si>
  <si>
    <t xml:space="preserve">AAACTGCTGGCCGGGCTTGCGGGC</t>
  </si>
  <si>
    <t xml:space="preserve">TCGGCAGCGCGGCCTGCACC</t>
  </si>
  <si>
    <t xml:space="preserve">TAGTTCGGCAGCGCGGCCTGCACC</t>
  </si>
  <si>
    <t xml:space="preserve">AAACGGTGCAGGCCGCGCTGCCGA</t>
  </si>
  <si>
    <t xml:space="preserve">GTCGCGGATGGTCAACTCGT</t>
  </si>
  <si>
    <t xml:space="preserve">TAGTGTCGCGGATGGTCAACTCGT</t>
  </si>
  <si>
    <t xml:space="preserve">AAACACGAGTTGACCATCCGCGAC</t>
  </si>
  <si>
    <t xml:space="preserve">PST_3505</t>
  </si>
  <si>
    <t xml:space="preserve">ATGAACATGGATTGGCCCAT</t>
  </si>
  <si>
    <t xml:space="preserve">TAGTATGAACATGGATTGGCCCAT</t>
  </si>
  <si>
    <t xml:space="preserve">AAACATGGGCCAATCCATGTTCAT</t>
  </si>
  <si>
    <t xml:space="preserve">GCTGACGCAGCCAGGCATGC</t>
  </si>
  <si>
    <t xml:space="preserve">TAGTGCTGACGCAGCCAGGCATGC</t>
  </si>
  <si>
    <t xml:space="preserve">AAACGCATGCCTGGCTGCGTCAGC</t>
  </si>
  <si>
    <t xml:space="preserve">CGCAGGGCGTTGCCGGCACC</t>
  </si>
  <si>
    <t xml:space="preserve">TAGTCGCAGGGCGTTGCCGGCACC</t>
  </si>
  <si>
    <t xml:space="preserve">AAACGGTGCCGGCAACGCCCTGCG</t>
  </si>
  <si>
    <t xml:space="preserve">CACGCCCCAGCCCAGCGCGC</t>
  </si>
  <si>
    <t xml:space="preserve">TAGTCACGCCCCAGCCCAGCGCGC</t>
  </si>
  <si>
    <t xml:space="preserve">AAACGCGCGCTGGGCTGGGGCGTG</t>
  </si>
  <si>
    <t xml:space="preserve">PST_3506</t>
  </si>
  <si>
    <t xml:space="preserve">GTCGCGCCAGCCACGGCGCC</t>
  </si>
  <si>
    <t xml:space="preserve">TAGTGTCGCGCCAGCCACGGCGCC</t>
  </si>
  <si>
    <t xml:space="preserve">AAACGGCGCCGTGGCTGGCGCGAC</t>
  </si>
  <si>
    <t xml:space="preserve">TGCGGATGGCCTTCGCATGC</t>
  </si>
  <si>
    <t xml:space="preserve">TAGTTGCGGATGGCCTTCGCATGC</t>
  </si>
  <si>
    <t xml:space="preserve">AAACGCATGCGAAGGCCATCCGCA</t>
  </si>
  <si>
    <t xml:space="preserve">CGGGAATCACCAGCAGCGTC</t>
  </si>
  <si>
    <t xml:space="preserve">TAGTCGGGAATCACCAGCAGCGTC</t>
  </si>
  <si>
    <t xml:space="preserve">AAACGACGCTGCTGGTGATTCCCG</t>
  </si>
  <si>
    <t xml:space="preserve">CGGCGGCAGGTCGAGAAAGG</t>
  </si>
  <si>
    <t xml:space="preserve">TAGTCGGCGGCAGGTCGAGAAAGG</t>
  </si>
  <si>
    <t xml:space="preserve">AAACCCTTTCTCGACCTGCCGCCG</t>
  </si>
  <si>
    <t xml:space="preserve">PST_3507</t>
  </si>
  <si>
    <t xml:space="preserve">GACAGCGCCAGCCGCAGCCC</t>
  </si>
  <si>
    <t xml:space="preserve">TAGTGACAGCGCCAGCCGCAGCCC</t>
  </si>
  <si>
    <t xml:space="preserve">AAACGGGCTGCGGCTGGCGCTGTC</t>
  </si>
  <si>
    <t xml:space="preserve">CGGGAATCAGCTGCGGGTTG</t>
  </si>
  <si>
    <t xml:space="preserve">TAGTCGGGAATCAGCTGCGGGTTG</t>
  </si>
  <si>
    <t xml:space="preserve">AAACCAACCCGCAGCTGATTCCCG</t>
  </si>
  <si>
    <t xml:space="preserve">CTTTTCCTCGTTGCCACAGG</t>
  </si>
  <si>
    <t xml:space="preserve">TAGTCTTTTCCTCGTTGCCACAGG</t>
  </si>
  <si>
    <t xml:space="preserve">AAACCCTGTGGCAACGAGGAAAAG</t>
  </si>
  <si>
    <t xml:space="preserve">AACGCCAGAATCTCCGACCA</t>
  </si>
  <si>
    <t xml:space="preserve">TAGTAACGCCAGAATCTCCGACCA</t>
  </si>
  <si>
    <t xml:space="preserve">AAACTGGTCGGAGATTCTGGCGTT</t>
  </si>
  <si>
    <t xml:space="preserve">PST_3508</t>
  </si>
  <si>
    <t xml:space="preserve">CTGGGGCAGTTGGTTGGCTT</t>
  </si>
  <si>
    <t xml:space="preserve">TAGTCTGGGGCAGTTGGTTGGCTT</t>
  </si>
  <si>
    <t xml:space="preserve">AAACAAGCCAACCAACTGCCCCAG</t>
  </si>
  <si>
    <t xml:space="preserve">AGACTTCGCAACGCTGGCGC</t>
  </si>
  <si>
    <t xml:space="preserve">TAGTAGACTTCGCAACGCTGGCGC</t>
  </si>
  <si>
    <t xml:space="preserve">AAACGCGCCAGCGTTGCGAAGTCT</t>
  </si>
  <si>
    <t xml:space="preserve">GCGGTGATAGCCCATCACGC</t>
  </si>
  <si>
    <t xml:space="preserve">TAGTGCGGTGATAGCCCATCACGC</t>
  </si>
  <si>
    <t xml:space="preserve">AAACGCGTGATGGGCTATCACCGC</t>
  </si>
  <si>
    <t xml:space="preserve">CCGGATTGAATGCGGCGACC</t>
  </si>
  <si>
    <t xml:space="preserve">TAGTCCGGATTGAATGCGGCGACC</t>
  </si>
  <si>
    <t xml:space="preserve">AAACGGTCGCCGCATTCAATCCGG</t>
  </si>
  <si>
    <t xml:space="preserve">PST_3509</t>
  </si>
  <si>
    <t xml:space="preserve">TGGTTCACCTCTGCCTGTCT</t>
  </si>
  <si>
    <t xml:space="preserve">TAGTTGGTTCACCTCTGCCTGTCT</t>
  </si>
  <si>
    <t xml:space="preserve">AAACAGACAGGCAGAGGTGAACCA</t>
  </si>
  <si>
    <t xml:space="preserve">GCTTGCGCAGCGAGACCGGT</t>
  </si>
  <si>
    <t xml:space="preserve">TAGTGCTTGCGCAGCGAGACCGGT</t>
  </si>
  <si>
    <t xml:space="preserve">AAACACCGGTCTCGCTGCGCAAGC</t>
  </si>
  <si>
    <t xml:space="preserve">CCAACTCGAACGCCGCCAAG</t>
  </si>
  <si>
    <t xml:space="preserve">TAGTCCAACTCGAACGCCGCCAAG</t>
  </si>
  <si>
    <t xml:space="preserve">AAACCTTGGCGGCGTTCGAGTTGG</t>
  </si>
  <si>
    <t xml:space="preserve">GGCCGCCCCGGCCGCCGCAA</t>
  </si>
  <si>
    <t xml:space="preserve">TAGTGGCCGCCCCGGCCGCCGCAA</t>
  </si>
  <si>
    <t xml:space="preserve">AAACTTGCGGCGGCCGGGGCGGCC</t>
  </si>
  <si>
    <t xml:space="preserve">PST_3510</t>
  </si>
  <si>
    <t xml:space="preserve">dnrS</t>
  </si>
  <si>
    <t xml:space="preserve">CAGGGTCTTTTCGGTGAGCA</t>
  </si>
  <si>
    <t xml:space="preserve">TAGTCAGGGTCTTTTCGGTGAGCA</t>
  </si>
  <si>
    <t xml:space="preserve">AAACTGCTCACCGAAAAGACCCTG</t>
  </si>
  <si>
    <t xml:space="preserve">GCCGGCTGAACAGATGATGG</t>
  </si>
  <si>
    <t xml:space="preserve">TAGTGCCGGCTGAACAGATGATGG</t>
  </si>
  <si>
    <t xml:space="preserve">AAACCCATCATCTGTTCAGCCGGC</t>
  </si>
  <si>
    <t xml:space="preserve">ACCTCCTGCAGCGCGGCGTC</t>
  </si>
  <si>
    <t xml:space="preserve">TAGTACCTCCTGCAGCGCGGCGTC</t>
  </si>
  <si>
    <t xml:space="preserve">AAACGACGCCGCGCTGCAGGAGGT</t>
  </si>
  <si>
    <t xml:space="preserve">CTCCGGCCGGCAGGCGCTTG</t>
  </si>
  <si>
    <t xml:space="preserve">TAGTCTCCGGCCGGCAGGCGCTTG</t>
  </si>
  <si>
    <t xml:space="preserve">AAACCAAGCGCCTGCCGGCCGGAG</t>
  </si>
  <si>
    <t xml:space="preserve">PST_3511</t>
  </si>
  <si>
    <t xml:space="preserve">GACCAGGGGGATGGGGGTGA</t>
  </si>
  <si>
    <t xml:space="preserve">TAGTGACCAGGGGGATGGGGGTGA</t>
  </si>
  <si>
    <t xml:space="preserve">AAACTCACCCCCATCCCCCTGGTC</t>
  </si>
  <si>
    <t xml:space="preserve">GACGTTCGAGCAGCCGGAAC</t>
  </si>
  <si>
    <t xml:space="preserve">TAGTGACGTTCGAGCAGCCGGAAC</t>
  </si>
  <si>
    <t xml:space="preserve">AAACGTTCCGGCTGCTCGAACGTC</t>
  </si>
  <si>
    <t xml:space="preserve">GGCCAGCGTGTTGGCCAGCT</t>
  </si>
  <si>
    <t xml:space="preserve">TAGTGGCCAGCGTGTTGGCCAGCT</t>
  </si>
  <si>
    <t xml:space="preserve">AAACAGCTGGCCAACACGCTGGCC</t>
  </si>
  <si>
    <t xml:space="preserve">CCCGGCGCGGTCGAGGCGGA</t>
  </si>
  <si>
    <t xml:space="preserve">TAGTCCCGGCGCGGTCGAGGCGGA</t>
  </si>
  <si>
    <t xml:space="preserve">AAACTCCGCCTCGACCGCGCCGGG</t>
  </si>
  <si>
    <t xml:space="preserve">PST_3512</t>
  </si>
  <si>
    <t xml:space="preserve">GATCCCAGTAGAACAGCACC</t>
  </si>
  <si>
    <t xml:space="preserve">TAGTGATCCCAGTAGAACAGCACC</t>
  </si>
  <si>
    <t xml:space="preserve">AAACGGTGCTGTTCTACTGGGATC</t>
  </si>
  <si>
    <t xml:space="preserve">CGTAGAAATCCAGCGTCTGC</t>
  </si>
  <si>
    <t xml:space="preserve">TAGTCGTAGAAATCCAGCGTCTGC</t>
  </si>
  <si>
    <t xml:space="preserve">AAACGCAGACGCTGGATTTCTACG</t>
  </si>
  <si>
    <t xml:space="preserve">CCGAGGTAGATCACATCCAG</t>
  </si>
  <si>
    <t xml:space="preserve">TAGTCCGAGGTAGATCACATCCAG</t>
  </si>
  <si>
    <t xml:space="preserve">AAACCTGGATGTGATCTACCTCGG</t>
  </si>
  <si>
    <t xml:space="preserve">TAGCATCATGGCGCGGCGCT</t>
  </si>
  <si>
    <t xml:space="preserve">TAGTTAGCATCATGGCGCGGCGCT</t>
  </si>
  <si>
    <t xml:space="preserve">AAACAGCGCCGCGCCATGATGCTA</t>
  </si>
  <si>
    <t xml:space="preserve">PST_3513</t>
  </si>
  <si>
    <t xml:space="preserve">GGCTTCCTGCCGGGCAGACC</t>
  </si>
  <si>
    <t xml:space="preserve">TAGTGGCTTCCTGCCGGGCAGACC</t>
  </si>
  <si>
    <t xml:space="preserve">AAACGGTCTGCCCGGCAGGAAGCC</t>
  </si>
  <si>
    <t xml:space="preserve">CGGCGGCCTTGAGCGCGGGC</t>
  </si>
  <si>
    <t xml:space="preserve">TAGTCGGCGGCCTTGAGCGCGGGC</t>
  </si>
  <si>
    <t xml:space="preserve">AAACGCCCGCGCTCAAGGCCGCCG</t>
  </si>
  <si>
    <t xml:space="preserve">GGCATCGGCGCCCTGCTGGA</t>
  </si>
  <si>
    <t xml:space="preserve">TAGTGGCATCGGCGCCCTGCTGGA</t>
  </si>
  <si>
    <t xml:space="preserve">AAACTCCAGCAGGGCGCCGATGCC</t>
  </si>
  <si>
    <t xml:space="preserve">GTCGCGAAATCCGACGTAGA</t>
  </si>
  <si>
    <t xml:space="preserve">TAGTGTCGCGAAATCCGACGTAGA</t>
  </si>
  <si>
    <t xml:space="preserve">AAACTCTACGTCGGATTTCGCGAC</t>
  </si>
  <si>
    <t xml:space="preserve">PST_3514</t>
  </si>
  <si>
    <t xml:space="preserve">TCATTGTTGTCCAGGGCCAT</t>
  </si>
  <si>
    <t xml:space="preserve">TAGTTCATTGTTGTCCAGGGCCAT</t>
  </si>
  <si>
    <t xml:space="preserve">AAACATGGCCCTGGACAACAATGA</t>
  </si>
  <si>
    <t xml:space="preserve">GGCTTGCGCCTCGTTCAGCA</t>
  </si>
  <si>
    <t xml:space="preserve">TAGTGGCTTGCGCCTCGTTCAGCA</t>
  </si>
  <si>
    <t xml:space="preserve">AAACTGCTGAACGAGGCGCAAGCC</t>
  </si>
  <si>
    <t xml:space="preserve">CAGCGGGTTGTTCTCGCTGG</t>
  </si>
  <si>
    <t xml:space="preserve">TAGTCAGCGGGTTGTTCTCGCTGG</t>
  </si>
  <si>
    <t xml:space="preserve">AAACCCAGCGAGAACAACCCGCTG</t>
  </si>
  <si>
    <t xml:space="preserve">GGCTGGCGGCGAAGGCATCA</t>
  </si>
  <si>
    <t xml:space="preserve">TAGTGGCTGGCGGCGAAGGCATCA</t>
  </si>
  <si>
    <t xml:space="preserve">AAACTGATGCCTTCGCCGCCAGCC</t>
  </si>
  <si>
    <t xml:space="preserve">PST_3516</t>
  </si>
  <si>
    <t xml:space="preserve">norR</t>
  </si>
  <si>
    <t xml:space="preserve">GGGCAGTTCGGTGGTCAGGT</t>
  </si>
  <si>
    <t xml:space="preserve">TAGTGGGCAGTTCGGTGGTCAGGT</t>
  </si>
  <si>
    <t xml:space="preserve">AAACACCTGACCACCGAACTGCCC</t>
  </si>
  <si>
    <t xml:space="preserve">CGTTGCAGGCGCACGGCGTT</t>
  </si>
  <si>
    <t xml:space="preserve">TAGTCGTTGCAGGCGCACGGCGTT</t>
  </si>
  <si>
    <t xml:space="preserve">AAACAACGCCGTGCGCCTGCAACG</t>
  </si>
  <si>
    <t xml:space="preserve">GCTGGTGCAGGGTGTGCACG</t>
  </si>
  <si>
    <t xml:space="preserve">TAGTGCTGGTGCAGGGTGTGCACG</t>
  </si>
  <si>
    <t xml:space="preserve">AAACCGTGCACACCCTGCACCAGC</t>
  </si>
  <si>
    <t xml:space="preserve">CGACCGCCGCCAGCGGACGC</t>
  </si>
  <si>
    <t xml:space="preserve">TAGTCGACCGCCGCCAGCGGACGC</t>
  </si>
  <si>
    <t xml:space="preserve">AAACGCGTCCGCTGGCGGCGGTCG</t>
  </si>
  <si>
    <t xml:space="preserve">PST_3515</t>
  </si>
  <si>
    <t xml:space="preserve">dnrN</t>
  </si>
  <si>
    <t xml:space="preserve">AAATTTACCCGTGCAGGTTA</t>
  </si>
  <si>
    <t xml:space="preserve">TAGTAAATTTACCCGTGCAGGTTA</t>
  </si>
  <si>
    <t xml:space="preserve">AAACTAACCTGCACGGGTAAATTT</t>
  </si>
  <si>
    <t xml:space="preserve">AACAGGCGTGCCATCGCCGG</t>
  </si>
  <si>
    <t xml:space="preserve">TAGTAACAGGCGTGCCATCGCCGG</t>
  </si>
  <si>
    <t xml:space="preserve">AAACCCGGCGATGGCACGCCTGTT</t>
  </si>
  <si>
    <t xml:space="preserve">TGCCGAGGGTCTGGTCGATA</t>
  </si>
  <si>
    <t xml:space="preserve">TAGTTGCCGAGGGTCTGGTCGATA</t>
  </si>
  <si>
    <t xml:space="preserve">AAACTATCGACCAGACCCTCGGCA</t>
  </si>
  <si>
    <t xml:space="preserve">CTCCCGGCAGCGAGCAGGCG</t>
  </si>
  <si>
    <t xml:space="preserve">TAGTCTCCCGGCAGCGAGCAGGCG</t>
  </si>
  <si>
    <t xml:space="preserve">AAACCGCCTGCTCGCTGCCGGGAG</t>
  </si>
  <si>
    <t xml:space="preserve">PST_3517</t>
  </si>
  <si>
    <t xml:space="preserve">dnrO</t>
  </si>
  <si>
    <t xml:space="preserve">TGCCCCAGGCGAGCGGTTGC</t>
  </si>
  <si>
    <t xml:space="preserve">TAGTTGCCCCAGGCGAGCGGTTGC</t>
  </si>
  <si>
    <t xml:space="preserve">AAACGCAACCGCTCGCCTGGGGCA</t>
  </si>
  <si>
    <t xml:space="preserve">CACGGCGACGATGGAGGCCA</t>
  </si>
  <si>
    <t xml:space="preserve">TAGTCACGGCGACGATGGAGGCCA</t>
  </si>
  <si>
    <t xml:space="preserve">AAACTGGCCTCCATCGTCGCCGTG</t>
  </si>
  <si>
    <t xml:space="preserve">CATGCTGAGCGCGAAGCCGC</t>
  </si>
  <si>
    <t xml:space="preserve">TAGTCATGCTGAGCGCGAAGCCGC</t>
  </si>
  <si>
    <t xml:space="preserve">AAACGCGGCTTCGCGCTCAGCATG</t>
  </si>
  <si>
    <t xml:space="preserve">CATCGCCGCCTGCGCGGTAC</t>
  </si>
  <si>
    <t xml:space="preserve">TAGTCATCGCCGCCTGCGCGGTAC</t>
  </si>
  <si>
    <t xml:space="preserve">AAACGTACCGCGCAGGCGGCGATG</t>
  </si>
  <si>
    <t xml:space="preserve">PST_3518</t>
  </si>
  <si>
    <t xml:space="preserve">dnrD</t>
  </si>
  <si>
    <t xml:space="preserve">GGAGGATCTGGTGGTGTACG</t>
  </si>
  <si>
    <t xml:space="preserve">TAGTGGAGGATCTGGTGGTGTACG</t>
  </si>
  <si>
    <t xml:space="preserve">AAACCGTACACCACCAGATCCTCC</t>
  </si>
  <si>
    <t xml:space="preserve">GTTCGAACAGGTGATGGCTG</t>
  </si>
  <si>
    <t xml:space="preserve">TAGTGTTCGAACAGGTGATGGCTG</t>
  </si>
  <si>
    <t xml:space="preserve">AAACCAGCCATCACCTGTTCGAAC</t>
  </si>
  <si>
    <t xml:space="preserve">TCCATCTGCTCTTCGTTGAG</t>
  </si>
  <si>
    <t xml:space="preserve">TAGTTCCATCTGCTCTTCGTTGAG</t>
  </si>
  <si>
    <t xml:space="preserve">AAACCTCAACGAAGAGCAGATGGA</t>
  </si>
  <si>
    <t xml:space="preserve">GTCCAGGTTGAGCAGCTGGC</t>
  </si>
  <si>
    <t xml:space="preserve">TAGTGTCCAGGTTGAGCAGCTGGC</t>
  </si>
  <si>
    <t xml:space="preserve">AAACGCCAGCTGCTCAACCTGGAC</t>
  </si>
  <si>
    <t xml:space="preserve">PST_3519</t>
  </si>
  <si>
    <t xml:space="preserve">dnrP</t>
  </si>
  <si>
    <t xml:space="preserve">GCTCGCGCCGTCGACTTTGA</t>
  </si>
  <si>
    <t xml:space="preserve">TAGTGCTCGCGCCGTCGACTTTGA</t>
  </si>
  <si>
    <t xml:space="preserve">AAACTCAAAGTCGACGGCGCGAGC</t>
  </si>
  <si>
    <t xml:space="preserve">AGTACAGGCATTTGGGCATG</t>
  </si>
  <si>
    <t xml:space="preserve">TAGTAGTACAGGCATTTGGGCATG</t>
  </si>
  <si>
    <t xml:space="preserve">AAACCATGCCCAAATGCCTGTACT</t>
  </si>
  <si>
    <t xml:space="preserve">CCCCCGGCGGATTGTCTTGC</t>
  </si>
  <si>
    <t xml:space="preserve">TAGTCCCCCGGCGGATTGTCTTGC</t>
  </si>
  <si>
    <t xml:space="preserve">AAACGCAAGACAATCCGCCGGGGG</t>
  </si>
  <si>
    <t xml:space="preserve">CATGCCGCAGTTGCTGCATT</t>
  </si>
  <si>
    <t xml:space="preserve">TAGTCATGCCGCAGTTGCTGCATT</t>
  </si>
  <si>
    <t xml:space="preserve">AAACAATGCAGCAACTGCGGCATG</t>
  </si>
  <si>
    <t xml:space="preserve">PST_3520</t>
  </si>
  <si>
    <t xml:space="preserve">norD</t>
  </si>
  <si>
    <t xml:space="preserve">CTCTTCCACTTCGATGGTAA</t>
  </si>
  <si>
    <t xml:space="preserve">TAGTCTCTTCCACTTCGATGGTAA</t>
  </si>
  <si>
    <t xml:space="preserve">AAACTTACCATCGAAGTGGAAGAG</t>
  </si>
  <si>
    <t xml:space="preserve">TGGCGCGACGGGTGATGAAG</t>
  </si>
  <si>
    <t xml:space="preserve">TAGTTGGCGCGACGGGTGATGAAG</t>
  </si>
  <si>
    <t xml:space="preserve">AAACCTTCATCACCCGTCGCGCCA</t>
  </si>
  <si>
    <t xml:space="preserve">TGCCTCGGGAAAGTCCGGGC</t>
  </si>
  <si>
    <t xml:space="preserve">TAGTTGCCTCGGGAAAGTCCGGGC</t>
  </si>
  <si>
    <t xml:space="preserve">AAACGCCCGGACTTTCCCGAGGCA</t>
  </si>
  <si>
    <t xml:space="preserve">GCGCGGAACAGCAGCGACAG</t>
  </si>
  <si>
    <t xml:space="preserve">TAGTGCGCGGAACAGCAGCGACAG</t>
  </si>
  <si>
    <t xml:space="preserve">AAACCTGTCGCTGCTGTTCCGCGC</t>
  </si>
  <si>
    <t xml:space="preserve">PST_3521</t>
  </si>
  <si>
    <t xml:space="preserve">norB</t>
  </si>
  <si>
    <t xml:space="preserve">GCGATTGGAATTTGAGATGC</t>
  </si>
  <si>
    <t xml:space="preserve">TAGTGCGATTGGAATTTGAGATGC</t>
  </si>
  <si>
    <t xml:space="preserve">AAACGCATCTCAAATTCCAATCGC</t>
  </si>
  <si>
    <t xml:space="preserve">TGCAAACACGAAGTAGGGTT</t>
  </si>
  <si>
    <t xml:space="preserve">TAGTTGCAAACACGAAGTAGGGTT</t>
  </si>
  <si>
    <t xml:space="preserve">AAACAACCCTACTTCGTGTTTGCA</t>
  </si>
  <si>
    <t xml:space="preserve">AGAGGATCTGACCGACGAAC</t>
  </si>
  <si>
    <t xml:space="preserve">TAGTAGAGGATCTGACCGACGAAC</t>
  </si>
  <si>
    <t xml:space="preserve">AAACGTTCGTCGGTCAGATCCTCT</t>
  </si>
  <si>
    <t xml:space="preserve">TGAACGGCAGCAGCGGGAAC</t>
  </si>
  <si>
    <t xml:space="preserve">TAGTTGAACGGCAGCAGCGGGAAC</t>
  </si>
  <si>
    <t xml:space="preserve">AAACGTTCCCGCTGCTGCCGTTCA</t>
  </si>
  <si>
    <t xml:space="preserve">PST_3522</t>
  </si>
  <si>
    <t xml:space="preserve">norC</t>
  </si>
  <si>
    <t xml:space="preserve">TTTGGTGAAGGTCTCGGACA</t>
  </si>
  <si>
    <t xml:space="preserve">TAGTTTTGGTGAAGGTCTCGGACA</t>
  </si>
  <si>
    <t xml:space="preserve">AAACTGTCCGAGACCTTCACCAAA</t>
  </si>
  <si>
    <t xml:space="preserve">TCCTCCGAAGTAAATATTCC</t>
  </si>
  <si>
    <t xml:space="preserve">TAGTTCCTCCGAAGTAAATATTCC</t>
  </si>
  <si>
    <t xml:space="preserve">AAACGGAATATTTACTTCGGAGGA</t>
  </si>
  <si>
    <t xml:space="preserve">AAGTGAGGCCGAGGAATACC</t>
  </si>
  <si>
    <t xml:space="preserve">TAGTAAGTGAGGCCGAGGAATACC</t>
  </si>
  <si>
    <t xml:space="preserve">AAACGGTATTCCTCGGCCTCACTT</t>
  </si>
  <si>
    <t xml:space="preserve">CGGGGAAAGTCTGCTCTGTG</t>
  </si>
  <si>
    <t xml:space="preserve">TAGTCGGGGAAAGTCTGCTCTGTG</t>
  </si>
  <si>
    <t xml:space="preserve">AAACCACAGAGCAGACTTTCCCCG</t>
  </si>
  <si>
    <t xml:space="preserve">PST_3523</t>
  </si>
  <si>
    <t xml:space="preserve">nirH</t>
  </si>
  <si>
    <t xml:space="preserve">GCTCGACCAAGCGACGCACC</t>
  </si>
  <si>
    <t xml:space="preserve">TAGTGCTCGACCAAGCGACGCACC</t>
  </si>
  <si>
    <t xml:space="preserve">AAACGGTGCGTCGCTTGGTCGAGC</t>
  </si>
  <si>
    <t xml:space="preserve">CACCAGCGGCAGCCCGGCCT</t>
  </si>
  <si>
    <t xml:space="preserve">TAGTCACCAGCGGCAGCCCGGCCT</t>
  </si>
  <si>
    <t xml:space="preserve">AAACAGGCCGGGCTGCCGCTGGTG</t>
  </si>
  <si>
    <t xml:space="preserve">GGCGAGCCAGGCCCAGGGAT</t>
  </si>
  <si>
    <t xml:space="preserve">TAGTGGCGAGCCAGGCCCAGGGAT</t>
  </si>
  <si>
    <t xml:space="preserve">AAACATCCCTGGGCCTGGCTCGCC</t>
  </si>
  <si>
    <t xml:space="preserve">CACCTCGAGCCCCAGCTCGT</t>
  </si>
  <si>
    <t xml:space="preserve">TAGTCACCTCGAGCCCCAGCTCGT</t>
  </si>
  <si>
    <t xml:space="preserve">AAACACGAGCTGGGGCTCGAGGTG</t>
  </si>
  <si>
    <t xml:space="preserve">PST_3524</t>
  </si>
  <si>
    <t xml:space="preserve">nirG</t>
  </si>
  <si>
    <t xml:space="preserve">GCTGCAGGCGATTGACCAGC</t>
  </si>
  <si>
    <t xml:space="preserve">TAGTGCTGCAGGCGATTGACCAGC</t>
  </si>
  <si>
    <t xml:space="preserve">AAACGCTGGTCAATCGCCTGCAGC</t>
  </si>
  <si>
    <t xml:space="preserve">TCCCAGGGATGCCGCACCAG</t>
  </si>
  <si>
    <t xml:space="preserve">TAGTTCCCAGGGATGCCGCACCAG</t>
  </si>
  <si>
    <t xml:space="preserve">AAACCTGGTGCGGCATCCCTGGGA</t>
  </si>
  <si>
    <t xml:space="preserve">AGCCGAGCTGCCCAGCTCTT</t>
  </si>
  <si>
    <t xml:space="preserve">TAGTAGCCGAGCTGCCCAGCTCTT</t>
  </si>
  <si>
    <t xml:space="preserve">AAACAAGAGCTGGGCAGCTCGGCT</t>
  </si>
  <si>
    <t xml:space="preserve">ATCGAACATCGGCCCGAAAC</t>
  </si>
  <si>
    <t xml:space="preserve">TAGTATCGAACATCGGCCCGAAAC</t>
  </si>
  <si>
    <t xml:space="preserve">AAACGTTTCGGGCCGATGTTCGAT</t>
  </si>
  <si>
    <t xml:space="preserve">PST_3525</t>
  </si>
  <si>
    <t xml:space="preserve">nirL</t>
  </si>
  <si>
    <t xml:space="preserve">CGCCGCAGCTGCAATGCCCG</t>
  </si>
  <si>
    <t xml:space="preserve">TAGTCGCCGCAGCTGCAATGCCCG</t>
  </si>
  <si>
    <t xml:space="preserve">AAACCGGGCATTGCAGCTGCGGCG</t>
  </si>
  <si>
    <t xml:space="preserve">GCGGCAACCCGGTTTCCAGC</t>
  </si>
  <si>
    <t xml:space="preserve">TAGTGCGGCAACCCGGTTTCCAGC</t>
  </si>
  <si>
    <t xml:space="preserve">AAACGCTGGAAACCGGGTTGCCGC</t>
  </si>
  <si>
    <t xml:space="preserve">GGCCAGCTGACGGTACGGTC</t>
  </si>
  <si>
    <t xml:space="preserve">TAGTGGCCAGCTGACGGTACGGTC</t>
  </si>
  <si>
    <t xml:space="preserve">AAACGACCGTACCGTCAGCTGGCC</t>
  </si>
  <si>
    <t xml:space="preserve">CTCGCTGCAGCCGATCTGCT</t>
  </si>
  <si>
    <t xml:space="preserve">TAGTCTCGCTGCAGCCGATCTGCT</t>
  </si>
  <si>
    <t xml:space="preserve">AAACAGCAGATCGGCTGCAGCGAG</t>
  </si>
  <si>
    <t xml:space="preserve">PST_3526</t>
  </si>
  <si>
    <t xml:space="preserve">nirD</t>
  </si>
  <si>
    <t xml:space="preserve">GGTAGCGGTCGATCAGGCGG</t>
  </si>
  <si>
    <t xml:space="preserve">TAGTGGTAGCGGTCGATCAGGCGG</t>
  </si>
  <si>
    <t xml:space="preserve">AAACCCGCCTGATCGACCGCTACC</t>
  </si>
  <si>
    <t xml:space="preserve">CGGTAGGGTTCGGCGCACAG</t>
  </si>
  <si>
    <t xml:space="preserve">TAGTCGGTAGGGTTCGGCGCACAG</t>
  </si>
  <si>
    <t xml:space="preserve">AAACCTGTGCGCCGAACCCTACCG</t>
  </si>
  <si>
    <t xml:space="preserve">CGAGTTCTTCGGCCATGGCG</t>
  </si>
  <si>
    <t xml:space="preserve">TAGTCGAGTTCTTCGGCCATGGCG</t>
  </si>
  <si>
    <t xml:space="preserve">AAACCGCCATGGCCGAAGAACTCG</t>
  </si>
  <si>
    <t xml:space="preserve">CGCCTGCAAGCGCTCCAGGC</t>
  </si>
  <si>
    <t xml:space="preserve">TAGTCGCCTGCAAGCGCTCCAGGC</t>
  </si>
  <si>
    <t xml:space="preserve">AAACGCCTGGAGCGCTTGCAGGCG</t>
  </si>
  <si>
    <t xml:space="preserve">PST_3527</t>
  </si>
  <si>
    <t xml:space="preserve">nirF</t>
  </si>
  <si>
    <t xml:space="preserve">CAGCCGCGAACAGCAGGATC</t>
  </si>
  <si>
    <t xml:space="preserve">TAGTCAGCCGCGAACAGCAGGATC</t>
  </si>
  <si>
    <t xml:space="preserve">AAACGATCCTGCTGTTCGCGGCTG</t>
  </si>
  <si>
    <t xml:space="preserve">CGCACAGGCGCTGAGCATGG</t>
  </si>
  <si>
    <t xml:space="preserve">TAGTCGCACAGGCGCTGAGCATGG</t>
  </si>
  <si>
    <t xml:space="preserve">AAACCCATGCTCAGCGCCTGTGCG</t>
  </si>
  <si>
    <t xml:space="preserve">AGGTCACCGGTACCGCGCAG</t>
  </si>
  <si>
    <t xml:space="preserve">TAGTAGGTCACCGGTACCGCGCAG</t>
  </si>
  <si>
    <t xml:space="preserve">AAACCTGCGCGGTACCGGTGACCT</t>
  </si>
  <si>
    <t xml:space="preserve">GATGATCTGCAGGCTGCCGG</t>
  </si>
  <si>
    <t xml:space="preserve">TAGTGATGATCTGCAGGCTGCCGG</t>
  </si>
  <si>
    <t xml:space="preserve">AAACCCGGCAGCCTGCAGATCATC</t>
  </si>
  <si>
    <t xml:space="preserve">PST_3528</t>
  </si>
  <si>
    <t xml:space="preserve">nirC</t>
  </si>
  <si>
    <t xml:space="preserve">GGCGTGTCGGGCAACTGTCA</t>
  </si>
  <si>
    <t xml:space="preserve">TAGTGGCGTGTCGGGCAACTGTCA</t>
  </si>
  <si>
    <t xml:space="preserve">AAACTGACAGTTGCCCGACACGCC</t>
  </si>
  <si>
    <t xml:space="preserve">GGTCAGCCCCAGACGTTTTA</t>
  </si>
  <si>
    <t xml:space="preserve">TAGTGGTCAGCCCCAGACGTTTTA</t>
  </si>
  <si>
    <t xml:space="preserve">AAACTAAAACGTCTGGGGCTGACC</t>
  </si>
  <si>
    <t xml:space="preserve">AATCAGGAGGAAGGACGCCA</t>
  </si>
  <si>
    <t xml:space="preserve">TAGTAATCAGGAGGAAGGACGCCA</t>
  </si>
  <si>
    <t xml:space="preserve">AAACTGGCGTCCTTCCTCCTGATT</t>
  </si>
  <si>
    <t xml:space="preserve">GGAGCAGCGGCCAGCGCGAC</t>
  </si>
  <si>
    <t xml:space="preserve">TAGTGGAGCAGCGGCCAGCGCGAC</t>
  </si>
  <si>
    <t xml:space="preserve">AAACGTCGCGCTGGCCGCTGCTCC</t>
  </si>
  <si>
    <t xml:space="preserve">PST_3529</t>
  </si>
  <si>
    <t xml:space="preserve">nirM</t>
  </si>
  <si>
    <t xml:space="preserve">CCAGGGCGAGCATCGGGATA</t>
  </si>
  <si>
    <t xml:space="preserve">TAGTCCAGGGCGAGCATCGGGATA</t>
  </si>
  <si>
    <t xml:space="preserve">AAACTATCCCGATGCTCGCCCTGG</t>
  </si>
  <si>
    <t xml:space="preserve">CTGGGCCAGAGCCGGCTGCA</t>
  </si>
  <si>
    <t xml:space="preserve">TAGTCTGGGCCAGAGCCGGCTGCA</t>
  </si>
  <si>
    <t xml:space="preserve">AAACTGCAGCCGGCTCTGGCCCAG</t>
  </si>
  <si>
    <t xml:space="preserve">ATGCTGTGGCAGGCCGCGCA</t>
  </si>
  <si>
    <t xml:space="preserve">TAGTATGCTGTGGCAGGCCGCGCA</t>
  </si>
  <si>
    <t xml:space="preserve">AAACTGCGCGGCCTGCCACAGCAT</t>
  </si>
  <si>
    <t xml:space="preserve">GAACGCCGGACCGACCAGCT</t>
  </si>
  <si>
    <t xml:space="preserve">TAGTGAACGCCGGACCGACCAGCT</t>
  </si>
  <si>
    <t xml:space="preserve">AAACAGCTGGTCGGTCCGGCGTTC</t>
  </si>
  <si>
    <t xml:space="preserve">PST_3530</t>
  </si>
  <si>
    <t xml:space="preserve">nirB</t>
  </si>
  <si>
    <t xml:space="preserve">GCTCCAGTCGGCAGGCGCGG</t>
  </si>
  <si>
    <t xml:space="preserve">TAGTGCTCCAGTCGGCAGGCGCGG</t>
  </si>
  <si>
    <t xml:space="preserve">AAACCCGCGCCTGCCGACTGGAGC</t>
  </si>
  <si>
    <t xml:space="preserve">GAACAGGGTGACGTCGGTCG</t>
  </si>
  <si>
    <t xml:space="preserve">TAGTGAACAGGGTGACGTCGGTCG</t>
  </si>
  <si>
    <t xml:space="preserve">AAACCGACCGACGTCACCCTGTTC</t>
  </si>
  <si>
    <t xml:space="preserve">ACTCCACCGGCGACACACCG</t>
  </si>
  <si>
    <t xml:space="preserve">TAGTACTCCACCGGCGACACACCG</t>
  </si>
  <si>
    <t xml:space="preserve">AAACCGGTGTGTCGCCGGTGGAGT</t>
  </si>
  <si>
    <t xml:space="preserve">CCCGCCGTGCTCGGTGCCCT</t>
  </si>
  <si>
    <t xml:space="preserve">TAGTCCCGCCGTGCTCGGTGCCCT</t>
  </si>
  <si>
    <t xml:space="preserve">AAACAGGGCACCGAGCACGGCGGG</t>
  </si>
  <si>
    <t xml:space="preserve">PST_3531</t>
  </si>
  <si>
    <t xml:space="preserve">nirT</t>
  </si>
  <si>
    <t xml:space="preserve">GTTGCCGTCTTGATCGGTCA</t>
  </si>
  <si>
    <t xml:space="preserve">TAGTGTTGCCGTCTTGATCGGTCA</t>
  </si>
  <si>
    <t xml:space="preserve">AAACTGACCGATCAAGACGGCAAC</t>
  </si>
  <si>
    <t xml:space="preserve">TCGGCCGCCGCAGCAGTGCC</t>
  </si>
  <si>
    <t xml:space="preserve">TAGTTCGGCCGCCGCAGCAGTGCC</t>
  </si>
  <si>
    <t xml:space="preserve">AAACGGCACTGCTGCGGCGGCCGA</t>
  </si>
  <si>
    <t xml:space="preserve">GCAGAAGGTTTCGGTGTTGG</t>
  </si>
  <si>
    <t xml:space="preserve">TAGTGCAGAAGGTTTCGGTGTTGG</t>
  </si>
  <si>
    <t xml:space="preserve">AAACCCAACACCGAAACCTTCTGC</t>
  </si>
  <si>
    <t xml:space="preserve">GTTGTTGCCCATCTCGTGAC</t>
  </si>
  <si>
    <t xml:space="preserve">TAGTGTTGTTGCCCATCTCGTGAC</t>
  </si>
  <si>
    <t xml:space="preserve">AAACGTCACGAGATGGGCAACAAC</t>
  </si>
  <si>
    <t xml:space="preserve">PST_3532</t>
  </si>
  <si>
    <t xml:space="preserve">nirS</t>
  </si>
  <si>
    <t xml:space="preserve">GCGATCACGCCAGCCAGAAT</t>
  </si>
  <si>
    <t xml:space="preserve">TAGTGCGATCACGCCAGCCAGAAT</t>
  </si>
  <si>
    <t xml:space="preserve">AAACATTCTGGCTGGCGTGATCGC</t>
  </si>
  <si>
    <t xml:space="preserve">CAGACCTAGCAGCGAAAGGC</t>
  </si>
  <si>
    <t xml:space="preserve">TAGTCAGACCTAGCAGCGAAAGGC</t>
  </si>
  <si>
    <t xml:space="preserve">AAACGCCTTTCGCTGCTAGGTCTG</t>
  </si>
  <si>
    <t xml:space="preserve">TCATCTCTGGGGCGGCAGCC</t>
  </si>
  <si>
    <t xml:space="preserve">TAGTTCATCTCTGGGGCGGCAGCC</t>
  </si>
  <si>
    <t xml:space="preserve">AAACGGCTGCCGCCCCAGAGATGA</t>
  </si>
  <si>
    <t xml:space="preserve">GGCCGCCTCTTTCTCTTCGG</t>
  </si>
  <si>
    <t xml:space="preserve">TAGTGGCCGCCTCTTTCTCTTCGG</t>
  </si>
  <si>
    <t xml:space="preserve">AAACCCGAAGAGAAAGAGGCGGCC</t>
  </si>
  <si>
    <t xml:space="preserve">PST_3533</t>
  </si>
  <si>
    <t xml:space="preserve">nirQ</t>
  </si>
  <si>
    <t xml:space="preserve">GTCGGGCCCTTGATCAGCAC</t>
  </si>
  <si>
    <t xml:space="preserve">TAGTGTCGGGCCCTTGATCAGCAC</t>
  </si>
  <si>
    <t xml:space="preserve">AAACGTGCTGATCAAGGGCCCGAC</t>
  </si>
  <si>
    <t xml:space="preserve">GAAGCGCGTCTTGCCACAGC</t>
  </si>
  <si>
    <t xml:space="preserve">TAGTGAAGCGCGTCTTGCCACAGC</t>
  </si>
  <si>
    <t xml:space="preserve">AAACGCTGTGGCAAGACGCGCTTC</t>
  </si>
  <si>
    <t xml:space="preserve">TGTACAGCGGCAGATTCAGC</t>
  </si>
  <si>
    <t xml:space="preserve">TAGTTGTACAGCGGCAGATTCAGC</t>
  </si>
  <si>
    <t xml:space="preserve">AAACGCTGAATCTGCCGCTGTACA</t>
  </si>
  <si>
    <t xml:space="preserve">GAGGTCGTCATGGCAGGCCA</t>
  </si>
  <si>
    <t xml:space="preserve">TAGTGAGGTCGTCATGGCAGGCCA</t>
  </si>
  <si>
    <t xml:space="preserve">AAACTGGCCTGCCATGACGACCTC</t>
  </si>
  <si>
    <t xml:space="preserve">PST_3534</t>
  </si>
  <si>
    <t xml:space="preserve">nirO</t>
  </si>
  <si>
    <t xml:space="preserve">CGAACACGGTCAGCTCGGCG</t>
  </si>
  <si>
    <t xml:space="preserve">TAGTCGAACACGGTCAGCTCGGCG</t>
  </si>
  <si>
    <t xml:space="preserve">AAACCGCCGAGCTGACCGTGTTCG</t>
  </si>
  <si>
    <t xml:space="preserve">CGCGAACGCCAGGATCAGAA</t>
  </si>
  <si>
    <t xml:space="preserve">TAGTCGCGAACGCCAGGATCAGAA</t>
  </si>
  <si>
    <t xml:space="preserve">AAACTTCTGATCCTGGCGTTCGCG</t>
  </si>
  <si>
    <t xml:space="preserve">CGGCTTTCGCCGAACTGCTG</t>
  </si>
  <si>
    <t xml:space="preserve">TAGTCGGCTTTCGCCGAACTGCTG</t>
  </si>
  <si>
    <t xml:space="preserve">AAACCAGCAGTTCGGCGAAAGCCG</t>
  </si>
  <si>
    <t xml:space="preserve">TGGAGCTGTCCAGCGCCGCG</t>
  </si>
  <si>
    <t xml:space="preserve">TAGTTGGAGCTGTCCAGCGCCGCG</t>
  </si>
  <si>
    <t xml:space="preserve">AAACCGCGGCGCTGGACAGCTCCA</t>
  </si>
  <si>
    <t xml:space="preserve">PST_3535</t>
  </si>
  <si>
    <t xml:space="preserve">nirP</t>
  </si>
  <si>
    <t xml:space="preserve">GGCGACCAGGACCTTGGAAG</t>
  </si>
  <si>
    <t xml:space="preserve">TAGTGGCGACCAGGACCTTGGAAG</t>
  </si>
  <si>
    <t xml:space="preserve">AAACCTTCCAAGGTCCTGGTCGCC</t>
  </si>
  <si>
    <t xml:space="preserve">CACCGCCAGACCGAGCCAGC</t>
  </si>
  <si>
    <t xml:space="preserve">TAGTCACCGCCAGACCGAGCCAGC</t>
  </si>
  <si>
    <t xml:space="preserve">AAACGCTGGCTCGGTCTGGCGGTG</t>
  </si>
  <si>
    <t xml:space="preserve">GGCATTGCCCAGCACGACGG</t>
  </si>
  <si>
    <t xml:space="preserve">TAGTGGCATTGCCCAGCACGACGG</t>
  </si>
  <si>
    <t xml:space="preserve">AAACCCGTCGTGCTGGGCAATGCC</t>
  </si>
  <si>
    <t xml:space="preserve">TGCCAGCGCGAGGGTGGCAC</t>
  </si>
  <si>
    <t xml:space="preserve">TAGTTGCCAGCGCGAGGGTGGCAC</t>
  </si>
  <si>
    <t xml:space="preserve">AAACGTGCCACCCTCGCGCTGGCA</t>
  </si>
  <si>
    <t xml:space="preserve">PST_3536</t>
  </si>
  <si>
    <t xml:space="preserve">nirJ</t>
  </si>
  <si>
    <t xml:space="preserve">TAATGGCTGATTCTCAACAT</t>
  </si>
  <si>
    <t xml:space="preserve">TAGTTAATGGCTGATTCTCAACAT</t>
  </si>
  <si>
    <t xml:space="preserve">AAACATGTTGAGAATCAGCCATTA</t>
  </si>
  <si>
    <t xml:space="preserve">CGGCGTGGTCGGCTGGGCCA</t>
  </si>
  <si>
    <t xml:space="preserve">TAGTCGGCGTGGTCGGCTGGGCCA</t>
  </si>
  <si>
    <t xml:space="preserve">AAACTGGCCCAGCCGACCACGCCG</t>
  </si>
  <si>
    <t xml:space="preserve">ACACTGCGGGCGCCGAGCAC</t>
  </si>
  <si>
    <t xml:space="preserve">TAGTACACTGCGGGCGCCGAGCAC</t>
  </si>
  <si>
    <t xml:space="preserve">AAACGTGCTCGGCGCCCGCAGTGT</t>
  </si>
  <si>
    <t xml:space="preserve">GGTTCCAGATCACCACGGGT</t>
  </si>
  <si>
    <t xml:space="preserve">TAGTGGTTCCAGATCACCACGGGT</t>
  </si>
  <si>
    <t xml:space="preserve">AAACACCCGTGGTGATCTGGAACC</t>
  </si>
  <si>
    <t xml:space="preserve">PST_3537</t>
  </si>
  <si>
    <t xml:space="preserve">nirE</t>
  </si>
  <si>
    <t xml:space="preserve">AAGCGGGAAGTGTGAGTGGC</t>
  </si>
  <si>
    <t xml:space="preserve">TAGTAAGCGGGAAGTGTGAGTGGC</t>
  </si>
  <si>
    <t xml:space="preserve">AAACGCCACTCACACTTCCCGCTT</t>
  </si>
  <si>
    <t xml:space="preserve">GACTTCGCCGGGGGCGAACG</t>
  </si>
  <si>
    <t xml:space="preserve">TAGTGACTTCGCCGGGGGCGAACG</t>
  </si>
  <si>
    <t xml:space="preserve">AAACCGTTCGCCCCCGGCGAAGTC</t>
  </si>
  <si>
    <t xml:space="preserve">CAGACCGGGATCACCCGGGC</t>
  </si>
  <si>
    <t xml:space="preserve">TAGTCAGACCGGGATCACCCGGGC</t>
  </si>
  <si>
    <t xml:space="preserve">AAACGCCCGGGTGATCCCGGTCTG</t>
  </si>
  <si>
    <t xml:space="preserve">CAGCAGGCTCCAGGCACGCA</t>
  </si>
  <si>
    <t xml:space="preserve">TAGTCAGCAGGCTCCAGGCACGCA</t>
  </si>
  <si>
    <t xml:space="preserve">AAACTGCGTGCCTGGAGCCTGCTG</t>
  </si>
  <si>
    <t xml:space="preserve">PST_3538</t>
  </si>
  <si>
    <t xml:space="preserve">nirN</t>
  </si>
  <si>
    <t xml:space="preserve">GCGGCGGCCAGCAGCAGGGC</t>
  </si>
  <si>
    <t xml:space="preserve">TAGTGCGGCGGCCAGCAGCAGGGC</t>
  </si>
  <si>
    <t xml:space="preserve">AAACGCCCTGCTGCTGGCCGCCGC</t>
  </si>
  <si>
    <t xml:space="preserve">AGGGCGACGAAGGTGGCGGC</t>
  </si>
  <si>
    <t xml:space="preserve">TAGTAGGGCGACGAAGGTGGCGGC</t>
  </si>
  <si>
    <t xml:space="preserve">AAACGCCGCCACCTTCGTCGCCCT</t>
  </si>
  <si>
    <t xml:space="preserve">TGGCAGCACTGGCCATGTCG</t>
  </si>
  <si>
    <t xml:space="preserve">TAGTTGGCAGCACTGGCCATGTCG</t>
  </si>
  <si>
    <t xml:space="preserve">AAACCGACATGGCCAGTGCTGCCA</t>
  </si>
  <si>
    <t xml:space="preserve">GGCCTGGCTGTCGTCCGGCG</t>
  </si>
  <si>
    <t xml:space="preserve">TAGTGGCCTGGCTGTCGTCCGGCG</t>
  </si>
  <si>
    <t xml:space="preserve">AAACCGCCGGACGACAGCCAGGCC</t>
  </si>
  <si>
    <t xml:space="preserve">PST_3539</t>
  </si>
  <si>
    <t xml:space="preserve">nirY</t>
  </si>
  <si>
    <t xml:space="preserve">GTCATCGGTCAGCCGCGCCC</t>
  </si>
  <si>
    <t xml:space="preserve">TAGTGTCATCGGTCAGCCGCGCCC</t>
  </si>
  <si>
    <t xml:space="preserve">AAACGGGCGCGGCTGACCGATGAC</t>
  </si>
  <si>
    <t xml:space="preserve">CTGCACCAGCTGAGTGGCAT</t>
  </si>
  <si>
    <t xml:space="preserve">TAGTCTGCACCAGCTGAGTGGCAT</t>
  </si>
  <si>
    <t xml:space="preserve">AAACATGCCACTCAGCTGGTGCAG</t>
  </si>
  <si>
    <t xml:space="preserve">GTCGCGCCGCGCGGCTTCCC</t>
  </si>
  <si>
    <t xml:space="preserve">TAGTGTCGCGCCGCGCGGCTTCCC</t>
  </si>
  <si>
    <t xml:space="preserve">AAACGGGAAGCCGCGCGGCGCGAC</t>
  </si>
  <si>
    <t xml:space="preserve">CACCGCTCTGCGACAACGGC</t>
  </si>
  <si>
    <t xml:space="preserve">TAGTCACCGCTCTGCGACAACGGC</t>
  </si>
  <si>
    <t xml:space="preserve">AAACGCCGTTGTCGCAGAGCGGTG</t>
  </si>
  <si>
    <t xml:space="preserve">PST_3540</t>
  </si>
  <si>
    <t xml:space="preserve">TAGCCGCTGCAGAACACCAA</t>
  </si>
  <si>
    <t xml:space="preserve">TAGTTAGCCGCTGCAGAACACCAA</t>
  </si>
  <si>
    <t xml:space="preserve">AAACTTGGTGTTCTGCAGCGGCTA</t>
  </si>
  <si>
    <t xml:space="preserve">GGCCGGGCCCATGATCTGCA</t>
  </si>
  <si>
    <t xml:space="preserve">TAGTGGCCGGGCCCATGATCTGCA</t>
  </si>
  <si>
    <t xml:space="preserve">AAACTGCAGATCATGGGCCCGGCC</t>
  </si>
  <si>
    <t xml:space="preserve">TATCAGCACCGCCGAGGCGC</t>
  </si>
  <si>
    <t xml:space="preserve">TAGTTATCAGCACCGCCGAGGCGC</t>
  </si>
  <si>
    <t xml:space="preserve">AAACGCGCCTCGGCGGTGCTGATA</t>
  </si>
  <si>
    <t xml:space="preserve">CTGGGCGAACGGGCTGGACG</t>
  </si>
  <si>
    <t xml:space="preserve">TAGTCTGGGCGAACGGGCTGGACG</t>
  </si>
  <si>
    <t xml:space="preserve">AAACCGTCCAGCCCGTTCGCCCAG</t>
  </si>
  <si>
    <t xml:space="preserve">PST_3541</t>
  </si>
  <si>
    <t xml:space="preserve">AGTTGTAGGCAGTGGGTTCG</t>
  </si>
  <si>
    <t xml:space="preserve">TAGTAGTTGTAGGCAGTGGGTTCG</t>
  </si>
  <si>
    <t xml:space="preserve">AAACCGAACCCACTGCCTACAACT</t>
  </si>
  <si>
    <t xml:space="preserve">GGGTGAACTGACGCACCACG</t>
  </si>
  <si>
    <t xml:space="preserve">TAGTGGGTGAACTGACGCACCACG</t>
  </si>
  <si>
    <t xml:space="preserve">AAACCGTGGTGCGTCAGTTCACCC</t>
  </si>
  <si>
    <t xml:space="preserve">CCCCCGCAGCCGCCGAGTCA</t>
  </si>
  <si>
    <t xml:space="preserve">TAGTCCCCCGCAGCCGCCGAGTCA</t>
  </si>
  <si>
    <t xml:space="preserve">AAACTGACTCGGCGGCTGCGGGGG</t>
  </si>
  <si>
    <t xml:space="preserve">GCCAGAAGGGCGCGTTGATC</t>
  </si>
  <si>
    <t xml:space="preserve">TAGTGCCAGAAGGGCGCGTTGATC</t>
  </si>
  <si>
    <t xml:space="preserve">AAACGATCAACGCGCCCTTCTGGC</t>
  </si>
  <si>
    <t xml:space="preserve">PST_3542</t>
  </si>
  <si>
    <t xml:space="preserve">CGCTTGCTTTCGAACCACAT</t>
  </si>
  <si>
    <t xml:space="preserve">TAGTCGCTTGCTTTCGAACCACAT</t>
  </si>
  <si>
    <t xml:space="preserve">AAACATGTGGTTCGAAAGCAAGCG</t>
  </si>
  <si>
    <t xml:space="preserve">GCGCAGCGAGTTCGTCACGC</t>
  </si>
  <si>
    <t xml:space="preserve">TAGTGCGCAGCGAGTTCGTCACGC</t>
  </si>
  <si>
    <t xml:space="preserve">AAACGCGTGACGAACTCGCTGCGC</t>
  </si>
  <si>
    <t xml:space="preserve">CGCCGCCTGGGCGTCGCACC</t>
  </si>
  <si>
    <t xml:space="preserve">TAGTCGCCGCCTGGGCGTCGCACC</t>
  </si>
  <si>
    <t xml:space="preserve">AAACGGTGCGACGCCCAGGCGGCG</t>
  </si>
  <si>
    <t xml:space="preserve">GGCCAGCGACAGCTCCAGTG</t>
  </si>
  <si>
    <t xml:space="preserve">TAGTGGCCAGCGACAGCTCCAGTG</t>
  </si>
  <si>
    <t xml:space="preserve">AAACCACTGGAGCTGTCGCTGGCC</t>
  </si>
  <si>
    <t xml:space="preserve">PST_3543</t>
  </si>
  <si>
    <t xml:space="preserve">TGGCACCGGTGACCACGGCC</t>
  </si>
  <si>
    <t xml:space="preserve">TAGTTGGCACCGGTGACCACGGCC</t>
  </si>
  <si>
    <t xml:space="preserve">AAACGGCCGTGGTCACCGGTGCCA</t>
  </si>
  <si>
    <t xml:space="preserve">GGCCAGACCGATTCCGGAAC</t>
  </si>
  <si>
    <t xml:space="preserve">TAGTGGCCAGACCGATTCCGGAAC</t>
  </si>
  <si>
    <t xml:space="preserve">AAACGTTCCGGAATCGGTCTGGCC</t>
  </si>
  <si>
    <t xml:space="preserve">CTGCAGCAAGGCTGCGCACA</t>
  </si>
  <si>
    <t xml:space="preserve">TAGTCTGCAGCAAGGCTGCGCACA</t>
  </si>
  <si>
    <t xml:space="preserve">AAACTGTGCGCAGCCTTGCTGCAG</t>
  </si>
  <si>
    <t xml:space="preserve">TTCGGCATGGGTTTCCAGCA</t>
  </si>
  <si>
    <t xml:space="preserve">TAGTTTCGGCATGGGTTTCCAGCA</t>
  </si>
  <si>
    <t xml:space="preserve">AAACTGCTGGAAACCCATGCCGAA</t>
  </si>
  <si>
    <t xml:space="preserve">PST_3544</t>
  </si>
  <si>
    <t xml:space="preserve">TCGCCGATCGATAACTTGCA</t>
  </si>
  <si>
    <t xml:space="preserve">TAGTTCGCCGATCGATAACTTGCA</t>
  </si>
  <si>
    <t xml:space="preserve">AAACTGCAAGTTATCGATCGGCGA</t>
  </si>
  <si>
    <t xml:space="preserve">CCAGATGGGCGCGATACTCA</t>
  </si>
  <si>
    <t xml:space="preserve">TAGTCCAGATGGGCGCGATACTCA</t>
  </si>
  <si>
    <t xml:space="preserve">AAACTGAGTATCGCGCCCATCTGG</t>
  </si>
  <si>
    <t xml:space="preserve">CGCTGCCGGCGAGAAAGAAC</t>
  </si>
  <si>
    <t xml:space="preserve">TAGTCGCTGCCGGCGAGAAAGAAC</t>
  </si>
  <si>
    <t xml:space="preserve">AAACGTTCTTTCTCGCCGGCAGCG</t>
  </si>
  <si>
    <t xml:space="preserve">TCCAGGTCGCCACCCAGAGC</t>
  </si>
  <si>
    <t xml:space="preserve">TAGTTCCAGGTCGCCACCCAGAGC</t>
  </si>
  <si>
    <t xml:space="preserve">AAACGCTCTGGGTGGCGACCTGGA</t>
  </si>
  <si>
    <t xml:space="preserve">PST_3545</t>
  </si>
  <si>
    <t xml:space="preserve">tatA-1</t>
  </si>
  <si>
    <t xml:space="preserve">GCCCAGGCCACGCAGGCGCT</t>
  </si>
  <si>
    <t xml:space="preserve">TAGTGCCCAGGCCACGCAGGCGCT</t>
  </si>
  <si>
    <t xml:space="preserve">AAACAGCGCCTGCGTGGCCTGGGC</t>
  </si>
  <si>
    <t xml:space="preserve">GCTGATCGCGCTGCCCAGAT</t>
  </si>
  <si>
    <t xml:space="preserve">TAGTGCTGATCGCGCTGCCCAGAT</t>
  </si>
  <si>
    <t xml:space="preserve">AAACATCTGGGCAGCGCGATCAGC</t>
  </si>
  <si>
    <t xml:space="preserve">CGCCTTCGCTCACCGATTTG</t>
  </si>
  <si>
    <t xml:space="preserve">TAGTCGCCTTCGCTCACCGATTTG</t>
  </si>
  <si>
    <t xml:space="preserve">AAACCAAATCGGTGAGCGAAGGCG</t>
  </si>
  <si>
    <t xml:space="preserve">CACCGTTTCGGTATGGGCGG</t>
  </si>
  <si>
    <t xml:space="preserve">TAGTCACCGTTTCGGTATGGGCGG</t>
  </si>
  <si>
    <t xml:space="preserve">AAACCCGCCCATACCGAAACGGTG</t>
  </si>
  <si>
    <t xml:space="preserve">PST_3546</t>
  </si>
  <si>
    <t xml:space="preserve">nosL</t>
  </si>
  <si>
    <t xml:space="preserve">GATGCGATGCAAAGTGTTCA</t>
  </si>
  <si>
    <t xml:space="preserve">TAGTGATGCGATGCAAAGTGTTCA</t>
  </si>
  <si>
    <t xml:space="preserve">AAACTGAACACTTTGCATCGCATC</t>
  </si>
  <si>
    <t xml:space="preserve">CAGCAGAGCGAAGACGGCGC</t>
  </si>
  <si>
    <t xml:space="preserve">TAGTCAGCAGAGCGAAGACGGCGC</t>
  </si>
  <si>
    <t xml:space="preserve">AAACGCGCCGTCTTCGCTCTGCTG</t>
  </si>
  <si>
    <t xml:space="preserve">CCTGCTCGCCGCAGCCGGCC</t>
  </si>
  <si>
    <t xml:space="preserve">TAGTCCTGCTCGCCGCAGCCGGCC</t>
  </si>
  <si>
    <t xml:space="preserve">AAACGGCCGGCTGCGGCGAGCAGG</t>
  </si>
  <si>
    <t xml:space="preserve">CCACCGGCTCGAGCGATTGC</t>
  </si>
  <si>
    <t xml:space="preserve">TAGTCCACCGGCTCGAGCGATTGC</t>
  </si>
  <si>
    <t xml:space="preserve">AAACGCAATCGCTCGAGCCGGTGG</t>
  </si>
  <si>
    <t xml:space="preserve">PST_3547</t>
  </si>
  <si>
    <t xml:space="preserve">nosY</t>
  </si>
  <si>
    <t xml:space="preserve">TGCGCGCGATGTTCCAGACC</t>
  </si>
  <si>
    <t xml:space="preserve">TAGTTGCGCGCGATGTTCCAGACC</t>
  </si>
  <si>
    <t xml:space="preserve">AAACGGTCTGGAACATCGCGCGCA</t>
  </si>
  <si>
    <t xml:space="preserve">CGAGCAGCCAGCGATTGCGC</t>
  </si>
  <si>
    <t xml:space="preserve">TAGTCGAGCAGCCAGCGATTGCGC</t>
  </si>
  <si>
    <t xml:space="preserve">AAACGCGCAATCGCTGGCTGCTCG</t>
  </si>
  <si>
    <t xml:space="preserve">CACGGCGAACAGCAGGCTGA</t>
  </si>
  <si>
    <t xml:space="preserve">TAGTCACGGCGAACAGCAGGCTGA</t>
  </si>
  <si>
    <t xml:space="preserve">AAACTCAGCCTGCTGTTCGCCGTG</t>
  </si>
  <si>
    <t xml:space="preserve">GCCCAGCTGCCCGGAGGCCG</t>
  </si>
  <si>
    <t xml:space="preserve">TAGTGCCCAGCTGCCCGGAGGCCG</t>
  </si>
  <si>
    <t xml:space="preserve">AAACCGGCCTCCGGGCAGCTGGGC</t>
  </si>
  <si>
    <t xml:space="preserve">PST_3548</t>
  </si>
  <si>
    <t xml:space="preserve">nosF</t>
  </si>
  <si>
    <t xml:space="preserve">GCTTACGCCCTGGATCTCGA</t>
  </si>
  <si>
    <t xml:space="preserve">TAGTGCTTACGCCCTGGATCTCGA</t>
  </si>
  <si>
    <t xml:space="preserve">AAACTCGAGATCCAGGGCGTAAGC</t>
  </si>
  <si>
    <t xml:space="preserve">CGGTCATGCTGCCGTAACGC</t>
  </si>
  <si>
    <t xml:space="preserve">TAGTCGGTCATGCTGCCGTAACGC</t>
  </si>
  <si>
    <t xml:space="preserve">AAACGCGTTACGGCAGCATGACCG</t>
  </si>
  <si>
    <t xml:space="preserve">CAGGTTCAGATCGTGCAGCA</t>
  </si>
  <si>
    <t xml:space="preserve">TAGTCAGGTTCAGATCGTGCAGCA</t>
  </si>
  <si>
    <t xml:space="preserve">AAACTGCTGCACGATCTGAACCTG</t>
  </si>
  <si>
    <t xml:space="preserve">TTTCATGCTGGTGGTCTTGC</t>
  </si>
  <si>
    <t xml:space="preserve">TAGTTTTCATGCTGGTGGTCTTGC</t>
  </si>
  <si>
    <t xml:space="preserve">AAACGCAAGACCACCAGCATGAAA</t>
  </si>
  <si>
    <t xml:space="preserve">PST_3549</t>
  </si>
  <si>
    <t xml:space="preserve">nosD</t>
  </si>
  <si>
    <t xml:space="preserve">ACGCCAGCGCTGTTCGCCCA</t>
  </si>
  <si>
    <t xml:space="preserve">TAGTACGCCAGCGCTGTTCGCCCA</t>
  </si>
  <si>
    <t xml:space="preserve">AAACTGGGCGAACAGCGCTGGCGT</t>
  </si>
  <si>
    <t xml:space="preserve">GAACTGTCCGGCATATTCAC</t>
  </si>
  <si>
    <t xml:space="preserve">TAGTGAACTGTCCGGCATATTCAC</t>
  </si>
  <si>
    <t xml:space="preserve">AAACGTGAATATGCCGGACAGTTC</t>
  </si>
  <si>
    <t xml:space="preserve">GCTGCAGCGACTCGTCGATG</t>
  </si>
  <si>
    <t xml:space="preserve">TAGTGCTGCAGCGACTCGTCGATG</t>
  </si>
  <si>
    <t xml:space="preserve">AAACCATCGACGAGTCGCTGCAGC</t>
  </si>
  <si>
    <t xml:space="preserve">TGGGCATCGAGCACCGCGCC</t>
  </si>
  <si>
    <t xml:space="preserve">TAGTTGGGCATCGAGCACCGCGCC</t>
  </si>
  <si>
    <t xml:space="preserve">AAACGGCGCGGTGCTCGATGCCCA</t>
  </si>
  <si>
    <t xml:space="preserve">PST_3550</t>
  </si>
  <si>
    <t xml:space="preserve">nosZ</t>
  </si>
  <si>
    <t xml:space="preserve">TTCTTGCTCTTGTCGCTCAT</t>
  </si>
  <si>
    <t xml:space="preserve">TAGTTTCTTGCTCTTGTCGCTCAT</t>
  </si>
  <si>
    <t xml:space="preserve">AAACATGAGCGACAAGAGCAAGAA</t>
  </si>
  <si>
    <t xml:space="preserve">CGCCCTTCTCCAGCACCTCG</t>
  </si>
  <si>
    <t xml:space="preserve">TAGTCGCCCTTCTCCAGCACCTCG</t>
  </si>
  <si>
    <t xml:space="preserve">AAACCGAGGTGCTGGAGAAGGGCG</t>
  </si>
  <si>
    <t xml:space="preserve">TGGCGCCGAGGAAGTTACGA</t>
  </si>
  <si>
    <t xml:space="preserve">TAGTTGGCGCCGAGGAAGTTACGA</t>
  </si>
  <si>
    <t xml:space="preserve">AAACTCGTAACTTCCTCGGCGCCA</t>
  </si>
  <si>
    <t xml:space="preserve">GGCCGCGCCGGTCACCGCAC</t>
  </si>
  <si>
    <t xml:space="preserve">TAGTGGCCGCGCCGGTCACCGCAC</t>
  </si>
  <si>
    <t xml:space="preserve">AAACGTGCGGTGACCGGCGCGGCC</t>
  </si>
  <si>
    <t xml:space="preserve">PST_3551</t>
  </si>
  <si>
    <t xml:space="preserve">nosR</t>
  </si>
  <si>
    <t xml:space="preserve">GGCCAGCGACCAGATTTCAC</t>
  </si>
  <si>
    <t xml:space="preserve">TAGTGGCCAGCGACCAGATTTCAC</t>
  </si>
  <si>
    <t xml:space="preserve">AAACGTGAAATCTGGTCGCTGGCC</t>
  </si>
  <si>
    <t xml:space="preserve">GACCCAGGTACTGAACGTAC</t>
  </si>
  <si>
    <t xml:space="preserve">TAGTGACCCAGGTACTGAACGTAC</t>
  </si>
  <si>
    <t xml:space="preserve">AAACGTACGTTCAGTACCTGGGTC</t>
  </si>
  <si>
    <t xml:space="preserve">GCGACGATGCGCAGACGCTC</t>
  </si>
  <si>
    <t xml:space="preserve">TAGTGCGACGATGCGCAGACGCTC</t>
  </si>
  <si>
    <t xml:space="preserve">AAACGAGCGTCTGCGCATCGTCGC</t>
  </si>
  <si>
    <t xml:space="preserve">CTGCTCGGCTTCATATTCCC</t>
  </si>
  <si>
    <t xml:space="preserve">TAGTCTGCTCGGCTTCATATTCCC</t>
  </si>
  <si>
    <t xml:space="preserve">AAACGGGAATATGAAGCCGAGCAG</t>
  </si>
  <si>
    <t xml:space="preserve">PST_3552</t>
  </si>
  <si>
    <t xml:space="preserve">CGGGCTGTAGGCGAAGTTCA</t>
  </si>
  <si>
    <t xml:space="preserve">TAGTCGGGCTGTAGGCGAAGTTCA</t>
  </si>
  <si>
    <t xml:space="preserve">AAACTGAACTTCGCCTACAGCCCG</t>
  </si>
  <si>
    <t xml:space="preserve">TGCCGCAGGGCCTCCACACG</t>
  </si>
  <si>
    <t xml:space="preserve">TAGTTGCCGCAGGGCCTCCACACG</t>
  </si>
  <si>
    <t xml:space="preserve">AAACCGTGTGGAGGCCCTGCGGCA</t>
  </si>
  <si>
    <t xml:space="preserve">CACGATGTGGTCGTCCATGA</t>
  </si>
  <si>
    <t xml:space="preserve">TAGTCACGATGTGGTCGTCCATGA</t>
  </si>
  <si>
    <t xml:space="preserve">AAACTCATGGACGACCACATCGTG</t>
  </si>
  <si>
    <t xml:space="preserve">GCGTGCCAGGCGCCGATGCG</t>
  </si>
  <si>
    <t xml:space="preserve">TAGTGCGTGCCAGGCGCCGATGCG</t>
  </si>
  <si>
    <t xml:space="preserve">AAACCGCATCGGCGCCTGGCACGC</t>
  </si>
  <si>
    <t xml:space="preserve">PST_3553</t>
  </si>
  <si>
    <t xml:space="preserve">CAGATGCACCACATGCAGAA</t>
  </si>
  <si>
    <t xml:space="preserve">TAGTCAGATGCACCACATGCAGAA</t>
  </si>
  <si>
    <t xml:space="preserve">AAACTTCTGCATGTGGTGCATCTG</t>
  </si>
  <si>
    <t xml:space="preserve">CGTGCCGATGAAAAAGATCG</t>
  </si>
  <si>
    <t xml:space="preserve">TAGTCGTGCCGATGAAAAAGATCG</t>
  </si>
  <si>
    <t xml:space="preserve">AAACCGATCTTTTTCATCGGCACG</t>
  </si>
  <si>
    <t xml:space="preserve">TCTGCTGACGGATACGGCCG</t>
  </si>
  <si>
    <t xml:space="preserve">TAGTTCTGCTGACGGATACGGCCG</t>
  </si>
  <si>
    <t xml:space="preserve">AAACCGGCCGTATCCGTCAGCAGA</t>
  </si>
  <si>
    <t xml:space="preserve">CCTACGGCGCGCTCCACCAG</t>
  </si>
  <si>
    <t xml:space="preserve">TAGTCCTACGGCGCGCTCCACCAG</t>
  </si>
  <si>
    <t xml:space="preserve">AAACCTGGTGGAGCGCGCCGTAGG</t>
  </si>
  <si>
    <t xml:space="preserve">PST_3554</t>
  </si>
  <si>
    <t xml:space="preserve">CACTGGCCAGTCCGCTTGCC</t>
  </si>
  <si>
    <t xml:space="preserve">TAGTCACTGGCCAGTCCGCTTGCC</t>
  </si>
  <si>
    <t xml:space="preserve">AAACGGCAAGCGGACTGGCCAGTG</t>
  </si>
  <si>
    <t xml:space="preserve">CGAAGCCGCCACCGACGGCG</t>
  </si>
  <si>
    <t xml:space="preserve">TAGTCGAAGCCGCCACCGACGGCG</t>
  </si>
  <si>
    <t xml:space="preserve">AAACCGCCGTCGGTGGCGGCTTCG</t>
  </si>
  <si>
    <t xml:space="preserve">CCCGATCGGGCCGCCCGCTG</t>
  </si>
  <si>
    <t xml:space="preserve">TAGTCCCGATCGGGCCGCCCGCTG</t>
  </si>
  <si>
    <t xml:space="preserve">AAACCAGCGGGCGGCCCGATCGGG</t>
  </si>
  <si>
    <t xml:space="preserve">ATACAGCGTCTGCTCCAGCC</t>
  </si>
  <si>
    <t xml:space="preserve">TAGTATACAGCGTCTGCTCCAGCC</t>
  </si>
  <si>
    <t xml:space="preserve">AAACGGCTGGAGCAGACGCTGTAT</t>
  </si>
  <si>
    <t xml:space="preserve">PST_3555</t>
  </si>
  <si>
    <t xml:space="preserve">CGTGGCCTTGGCGGGTGCAT</t>
  </si>
  <si>
    <t xml:space="preserve">TAGTCGTGGCCTTGGCGGGTGCAT</t>
  </si>
  <si>
    <t xml:space="preserve">AAACATGCACCCGCCAAGGCCACG</t>
  </si>
  <si>
    <t xml:space="preserve">GCCGGTCGACCAGTATCCGG</t>
  </si>
  <si>
    <t xml:space="preserve">TAGTGCCGGTCGACCAGTATCCGG</t>
  </si>
  <si>
    <t xml:space="preserve">AAACCCGGATACTGGTCGACCGGC</t>
  </si>
  <si>
    <t xml:space="preserve">CCTTGACGATCGCAGCCCCG</t>
  </si>
  <si>
    <t xml:space="preserve">TAGTCCTTGACGATCGCAGCCCCG</t>
  </si>
  <si>
    <t xml:space="preserve">AAACCGGGGCTGCGATCGTCAAGG</t>
  </si>
  <si>
    <t xml:space="preserve">TGGCGCCAGATCCGCCAGCC</t>
  </si>
  <si>
    <t xml:space="preserve">TAGTTGGCGCCAGATCCGCCAGCC</t>
  </si>
  <si>
    <t xml:space="preserve">AAACGGCTGGCGGATCTGGCGCCA</t>
  </si>
  <si>
    <t xml:space="preserve">PST_3556</t>
  </si>
  <si>
    <t xml:space="preserve">GGGAGCACTCAACCAATACA</t>
  </si>
  <si>
    <t xml:space="preserve">TAGTGGGAGCACTCAACCAATACA</t>
  </si>
  <si>
    <t xml:space="preserve">AAACTGTATTGGTTGAGTGCTCCC</t>
  </si>
  <si>
    <t xml:space="preserve">CCGCCTTCGGCAGCCATCAC</t>
  </si>
  <si>
    <t xml:space="preserve">TAGTCCGCCTTCGGCAGCCATCAC</t>
  </si>
  <si>
    <t xml:space="preserve">AAACGTGATGGCTGCCGAAGGCGG</t>
  </si>
  <si>
    <t xml:space="preserve">GGTGTCGTCCGCCACAACGT</t>
  </si>
  <si>
    <t xml:space="preserve">TAGTGGTGTCGTCCGCCACAACGT</t>
  </si>
  <si>
    <t xml:space="preserve">AAACACGTTGTGGCGGACGACACC</t>
  </si>
  <si>
    <t xml:space="preserve">GGCGCGAACTTCGACATCGA</t>
  </si>
  <si>
    <t xml:space="preserve">TAGTGGCGCGAACTTCGACATCGA</t>
  </si>
  <si>
    <t xml:space="preserve">AAACTCGATGTCGAAGTTCGCGCC</t>
  </si>
  <si>
    <t xml:space="preserve">PST_3558</t>
  </si>
  <si>
    <t xml:space="preserve">CACGGGAAATAAGCCCGACA</t>
  </si>
  <si>
    <t xml:space="preserve">TAGTCACGGGAAATAAGCCCGACA</t>
  </si>
  <si>
    <t xml:space="preserve">AAACTGTCGGGCTTATTTCCCGTG</t>
  </si>
  <si>
    <t xml:space="preserve">AGGAGCAACAGCGCCGCACA</t>
  </si>
  <si>
    <t xml:space="preserve">TAGTAGGAGCAACAGCGCCGCACA</t>
  </si>
  <si>
    <t xml:space="preserve">AAACTGTGCGGCGCTGTTGCTCCT</t>
  </si>
  <si>
    <t xml:space="preserve">TCGCGGCCATTGGCGAAAGC</t>
  </si>
  <si>
    <t xml:space="preserve">TAGTTCGCGGCCATTGGCGAAAGC</t>
  </si>
  <si>
    <t xml:space="preserve">AAACGCTTTCGCCAATGGCCGCGA</t>
  </si>
  <si>
    <t xml:space="preserve">CTTGATGACGATGGGCTCGG</t>
  </si>
  <si>
    <t xml:space="preserve">TAGTCTTGATGACGATGGGCTCGG</t>
  </si>
  <si>
    <t xml:space="preserve">AAACCCGAGCCCATCGTCATCAAG</t>
  </si>
  <si>
    <t xml:space="preserve">PST_3557</t>
  </si>
  <si>
    <t xml:space="preserve">GTGCGGTTTTGAGAGCTGGT</t>
  </si>
  <si>
    <t xml:space="preserve">TAGTGTGCGGTTTTGAGAGCTGGT</t>
  </si>
  <si>
    <t xml:space="preserve">AAACACCAGCTCTCAAAACCGCAC</t>
  </si>
  <si>
    <t xml:space="preserve">AGAAAGTTCGGTCCGGCCGA</t>
  </si>
  <si>
    <t xml:space="preserve">TAGTAGAAAGTTCGGTCCGGCCGA</t>
  </si>
  <si>
    <t xml:space="preserve">AAACTCGGCCGGACCGAACTTTCT</t>
  </si>
  <si>
    <t xml:space="preserve">GGTGGTTGCCAGTAGAAGGG</t>
  </si>
  <si>
    <t xml:space="preserve">TAGTGGTGGTTGCCAGTAGAAGGG</t>
  </si>
  <si>
    <t xml:space="preserve">AAACCCCTTCTACTGGCAACCACC</t>
  </si>
  <si>
    <t xml:space="preserve">GCATGGCGTTGGCCGGTGGC</t>
  </si>
  <si>
    <t xml:space="preserve">TAGTGCATGGCGTTGGCCGGTGGC</t>
  </si>
  <si>
    <t xml:space="preserve">AAACGCCACCGGCCAACGCCATGC</t>
  </si>
  <si>
    <t xml:space="preserve">PST_3559</t>
  </si>
  <si>
    <t xml:space="preserve">sda-2</t>
  </si>
  <si>
    <t xml:space="preserve">TCGAAGACACTGAGGGACAT</t>
  </si>
  <si>
    <t xml:space="preserve">TAGTTCGAAGACACTGAGGGACAT</t>
  </si>
  <si>
    <t xml:space="preserve">AAACATGTCCCTCAGTGTCTTCGA</t>
  </si>
  <si>
    <t xml:space="preserve">GGCCGATACCGATCTTGAAC</t>
  </si>
  <si>
    <t xml:space="preserve">TAGTGGCCGATACCGATCTTGAAC</t>
  </si>
  <si>
    <t xml:space="preserve">AAACGTTCAAGATCGGTATCGGCC</t>
  </si>
  <si>
    <t xml:space="preserve">CCACCGTGTGCGAACTGGAC</t>
  </si>
  <si>
    <t xml:space="preserve">TAGTCCACCGTGTGCGAACTGGAC</t>
  </si>
  <si>
    <t xml:space="preserve">AAACGTCCAGTTCGCACACGGTGG</t>
  </si>
  <si>
    <t xml:space="preserve">GCCTTCGGCAAAGCGCAGGG</t>
  </si>
  <si>
    <t xml:space="preserve">TAGTGCCTTCGGCAAAGCGCAGGG</t>
  </si>
  <si>
    <t xml:space="preserve">AAACCCCTGCGCTTTGCCGAAGGC</t>
  </si>
  <si>
    <t xml:space="preserve">PST_3560</t>
  </si>
  <si>
    <t xml:space="preserve">GTGCTGCCGAACGGATGATA</t>
  </si>
  <si>
    <t xml:space="preserve">TAGTGTGCTGCCGAACGGATGATA</t>
  </si>
  <si>
    <t xml:space="preserve">AAACTATCATCCGTTCGGCAGCAC</t>
  </si>
  <si>
    <t xml:space="preserve">GCAGACAGCAGAACGAAGCA</t>
  </si>
  <si>
    <t xml:space="preserve">TAGTGCAGACAGCAGAACGAAGCA</t>
  </si>
  <si>
    <t xml:space="preserve">AAACTGCTTCGTTCTGCTGTCTGC</t>
  </si>
  <si>
    <t xml:space="preserve">TGGGACTTCCGGGCATTAAA</t>
  </si>
  <si>
    <t xml:space="preserve">TAGTTGGGACTTCCGGGCATTAAA</t>
  </si>
  <si>
    <t xml:space="preserve">AAACTTTAATGCCCGGAAGTCCCA</t>
  </si>
  <si>
    <t xml:space="preserve">CATCGAATCCTCGGGTGCAT</t>
  </si>
  <si>
    <t xml:space="preserve">TAGTCATCGAATCCTCGGGTGCAT</t>
  </si>
  <si>
    <t xml:space="preserve">AAACATGCACCCGAGGATTCGATG</t>
  </si>
  <si>
    <t xml:space="preserve">PST_3561</t>
  </si>
  <si>
    <t xml:space="preserve">phhR</t>
  </si>
  <si>
    <t xml:space="preserve">GCAGAGAATCTTGATACGCA</t>
  </si>
  <si>
    <t xml:space="preserve">TAGTGCAGAGAATCTTGATACGCA</t>
  </si>
  <si>
    <t xml:space="preserve">AAACTGCGTATCAAGATTCTCTGC</t>
  </si>
  <si>
    <t xml:space="preserve">GCAGAATGCCGACGCGGTTC</t>
  </si>
  <si>
    <t xml:space="preserve">TAGTGCAGAATGCCGACGCGGTTC</t>
  </si>
  <si>
    <t xml:space="preserve">AAACGAACCGCGTCGGCATTCTGC</t>
  </si>
  <si>
    <t xml:space="preserve">TGATGCCGTAGTCCACCAGC</t>
  </si>
  <si>
    <t xml:space="preserve">TAGTTGATGCCGTAGTCCACCAGC</t>
  </si>
  <si>
    <t xml:space="preserve">AAACGCTGGTGGACTACGGCATCA</t>
  </si>
  <si>
    <t xml:space="preserve">GCTCGCCGCCCACCTCGCCG</t>
  </si>
  <si>
    <t xml:space="preserve">TAGTGCTCGCCGCCCACCTCGCCG</t>
  </si>
  <si>
    <t xml:space="preserve">AAACCGGCGAGGTGGGCGGCGAGC</t>
  </si>
  <si>
    <t xml:space="preserve">PST_3562</t>
  </si>
  <si>
    <t xml:space="preserve">phhA</t>
  </si>
  <si>
    <t xml:space="preserve">TTCGCGGGCTACGTAGTGGG</t>
  </si>
  <si>
    <t xml:space="preserve">TAGTTTCGCGGGCTACGTAGTGGG</t>
  </si>
  <si>
    <t xml:space="preserve">AAACCCCACTACGTAGCCCGCGAA</t>
  </si>
  <si>
    <t xml:space="preserve">TGAATATGCCCCTGCGCGTC</t>
  </si>
  <si>
    <t xml:space="preserve">TAGTTGAATATGCCCCTGCGCGTC</t>
  </si>
  <si>
    <t xml:space="preserve">AAACGACGCGCAGGGGCATATTCA</t>
  </si>
  <si>
    <t xml:space="preserve">ACACCGCGTGCTCGGCGTCG</t>
  </si>
  <si>
    <t xml:space="preserve">TAGTACACCGCGTGCTCGGCGTCG</t>
  </si>
  <si>
    <t xml:space="preserve">AAACCGACGCCGAGCACGCGGTGT</t>
  </si>
  <si>
    <t xml:space="preserve">GCCGTCGAGGTATTCCTGGC</t>
  </si>
  <si>
    <t xml:space="preserve">TAGTGCCGTCGAGGTATTCCTGGC</t>
  </si>
  <si>
    <t xml:space="preserve">AAACGCCAGGAATACCTCGACGGC</t>
  </si>
  <si>
    <t xml:space="preserve">PST_3563</t>
  </si>
  <si>
    <t xml:space="preserve">phhB</t>
  </si>
  <si>
    <t xml:space="preserve">GGCTTGGGCGAGGGCGGTCA</t>
  </si>
  <si>
    <t xml:space="preserve">TAGTGGCTTGGGCGAGGGCGGTCA</t>
  </si>
  <si>
    <t xml:space="preserve">AAACTGACCGCCCTCGCCCAAGCC</t>
  </si>
  <si>
    <t xml:space="preserve">GGCGCGGCAGGCTTCGCATT</t>
  </si>
  <si>
    <t xml:space="preserve">TAGTGGCGCGGCAGGCTTCGCATT</t>
  </si>
  <si>
    <t xml:space="preserve">AAACAATGCGAAGCCTGCCGCGCC</t>
  </si>
  <si>
    <t xml:space="preserve">ATCGGACACCTTGGGTGCAT</t>
  </si>
  <si>
    <t xml:space="preserve">TAGTATCGGACACCTTGGGTGCAT</t>
  </si>
  <si>
    <t xml:space="preserve">AAACATGCACCCAAGGTGTCCGAT</t>
  </si>
  <si>
    <t xml:space="preserve">TGTTCCAGTCGGGGATTTCG</t>
  </si>
  <si>
    <t xml:space="preserve">TAGTTGTTCCAGTCGGGGATTTCG</t>
  </si>
  <si>
    <t xml:space="preserve">AAACCGAAATCCCCGACTGGAACA</t>
  </si>
  <si>
    <t xml:space="preserve">PST_3564</t>
  </si>
  <si>
    <t xml:space="preserve">phhC</t>
  </si>
  <si>
    <t xml:space="preserve">CGCCGGGCACGCGGGGAATC</t>
  </si>
  <si>
    <t xml:space="preserve">TAGTCGCCGGGCACGCGGGGAATC</t>
  </si>
  <si>
    <t xml:space="preserve">AAACGATTCCCCGCGTGCCCGGCG</t>
  </si>
  <si>
    <t xml:space="preserve">GGTCCATCAGGCCGAGGATC</t>
  </si>
  <si>
    <t xml:space="preserve">TAGTGGTCCATCAGGCCGAGGATC</t>
  </si>
  <si>
    <t xml:space="preserve">AAACGATCCTCGGCCTGATGGACC</t>
  </si>
  <si>
    <t xml:space="preserve">GGTTGGTGTCGGCGCGATAC</t>
  </si>
  <si>
    <t xml:space="preserve">TAGTGGTTGGTGTCGGCGCGATAC</t>
  </si>
  <si>
    <t xml:space="preserve">AAACGTATCGCGCCGACACCAACC</t>
  </si>
  <si>
    <t xml:space="preserve">CGCCGAGGTCGAGCTTGGCC</t>
  </si>
  <si>
    <t xml:space="preserve">TAGTCGCCGAGGTCGAGCTTGGCC</t>
  </si>
  <si>
    <t xml:space="preserve">AAACGGCCAAGCTCGACCTCGGCG</t>
  </si>
  <si>
    <t xml:space="preserve">PST_3565</t>
  </si>
  <si>
    <t xml:space="preserve">GTCGCCAGAAGCGGCGTCAC</t>
  </si>
  <si>
    <t xml:space="preserve">TAGTGTCGCCAGAAGCGGCGTCAC</t>
  </si>
  <si>
    <t xml:space="preserve">AAACGTGACGCCGCTTCTGGCGAC</t>
  </si>
  <si>
    <t xml:space="preserve">TCTCGCTCCGGCGCACCCGG</t>
  </si>
  <si>
    <t xml:space="preserve">TAGTTCTCGCTCCGGCGCACCCGG</t>
  </si>
  <si>
    <t xml:space="preserve">AAACCCGGGTGCGCCGGAGCGAGA</t>
  </si>
  <si>
    <t xml:space="preserve">TGCTGCGGCAGCCAGTCGCG</t>
  </si>
  <si>
    <t xml:space="preserve">TAGTTGCTGCGGCAGCCAGTCGCG</t>
  </si>
  <si>
    <t xml:space="preserve">AAACCGCGACTGGCTGCCGCAGCA</t>
  </si>
  <si>
    <t xml:space="preserve">AGCTTGCGGCGATACTGTGC</t>
  </si>
  <si>
    <t xml:space="preserve">TAGTAGCTTGCGGCGATACTGTGC</t>
  </si>
  <si>
    <t xml:space="preserve">AAACGCACAGTATCGCCGCAAGCT</t>
  </si>
  <si>
    <t xml:space="preserve">PST_3566</t>
  </si>
  <si>
    <t xml:space="preserve">cynS</t>
  </si>
  <si>
    <t xml:space="preserve">CTGTTCACGACTGCTGATCA</t>
  </si>
  <si>
    <t xml:space="preserve">TAGTCTGTTCACGACTGCTGATCA</t>
  </si>
  <si>
    <t xml:space="preserve">AAACTGATCAGCAGTCGTGAACAG</t>
  </si>
  <si>
    <t xml:space="preserve">CTTGGCGGCGACGATCATCT</t>
  </si>
  <si>
    <t xml:space="preserve">TAGTCTTGGCGGCGACGATCATCT</t>
  </si>
  <si>
    <t xml:space="preserve">AAACAGATGATCGTCGCCGCCAAG</t>
  </si>
  <si>
    <t xml:space="preserve">CGGCGACATGCGCCCACTTC</t>
  </si>
  <si>
    <t xml:space="preserve">TAGTCGGCGACATGCGCCCACTTC</t>
  </si>
  <si>
    <t xml:space="preserve">AAACGAAGTGGGCGCATGTCGCCG</t>
  </si>
  <si>
    <t xml:space="preserve">CTTGGACATACCGATGCTTT</t>
  </si>
  <si>
    <t xml:space="preserve">TAGTCTTGGACATACCGATGCTTT</t>
  </si>
  <si>
    <t xml:space="preserve">AAACAAAGCATCGGTATGTCCAAG</t>
  </si>
  <si>
    <t xml:space="preserve">PST_3567</t>
  </si>
  <si>
    <t xml:space="preserve">CGGGCCATCGGCGGCCAGGG</t>
  </si>
  <si>
    <t xml:space="preserve">TAGTCGGGCCATCGGCGGCCAGGG</t>
  </si>
  <si>
    <t xml:space="preserve">AAACCCCTGGCCGCCGATGGCCCG</t>
  </si>
  <si>
    <t xml:space="preserve">GTGTCCACAGCATCCGTCAG</t>
  </si>
  <si>
    <t xml:space="preserve">TAGTGTGTCCACAGCATCCGTCAG</t>
  </si>
  <si>
    <t xml:space="preserve">AAACCTGACGGATGCTGTGGACAC</t>
  </si>
  <si>
    <t xml:space="preserve">AACTGCTGCCGGACCGCCTC</t>
  </si>
  <si>
    <t xml:space="preserve">TAGTAACTGCTGCCGGACCGCCTC</t>
  </si>
  <si>
    <t xml:space="preserve">AAACGAGGCGGTCCGGCAGCAGTT</t>
  </si>
  <si>
    <t xml:space="preserve">CTCGTTATCGCCGAAGCGCG</t>
  </si>
  <si>
    <t xml:space="preserve">TAGTCTCGTTATCGCCGAAGCGCG</t>
  </si>
  <si>
    <t xml:space="preserve">AAACCGCGCTTCGGCGATAACGAG</t>
  </si>
  <si>
    <t xml:space="preserve">PST_3568</t>
  </si>
  <si>
    <t xml:space="preserve">katB</t>
  </si>
  <si>
    <t xml:space="preserve">CCAAAGGTCATACGGGACAT</t>
  </si>
  <si>
    <t xml:space="preserve">TAGTCCAAAGGTCATACGGGACAT</t>
  </si>
  <si>
    <t xml:space="preserve">AAACATGTCCCGTATGACCTTTGG</t>
  </si>
  <si>
    <t xml:space="preserve">CAGCGCAAGGCGCGCTGGCG</t>
  </si>
  <si>
    <t xml:space="preserve">TAGTCAGCGCAAGGCGCGCTGGCG</t>
  </si>
  <si>
    <t xml:space="preserve">AAACCGCCAGCGCGCCTTGCGCTG</t>
  </si>
  <si>
    <t xml:space="preserve">AGACAGCGCAAGGAGGCTCG</t>
  </si>
  <si>
    <t xml:space="preserve">TAGTAGACAGCGCAAGGAGGCTCG</t>
  </si>
  <si>
    <t xml:space="preserve">AAACCGAGCCTCCTTGCGCTGTCT</t>
  </si>
  <si>
    <t xml:space="preserve">ATTGTCGCGGGTCAGCGGGG</t>
  </si>
  <si>
    <t xml:space="preserve">TAGTATTGTCGCGGGTCAGCGGGG</t>
  </si>
  <si>
    <t xml:space="preserve">AAACCCCCGCTGACCCGCGACAAT</t>
  </si>
  <si>
    <t xml:space="preserve">PST_3569</t>
  </si>
  <si>
    <t xml:space="preserve">codB</t>
  </si>
  <si>
    <t xml:space="preserve">GGTATCGACGGGCTGTTTCA</t>
  </si>
  <si>
    <t xml:space="preserve">TAGTGGTATCGACGGGCTGTTTCA</t>
  </si>
  <si>
    <t xml:space="preserve">AAACTGAAACAGCCCGTCGATACC</t>
  </si>
  <si>
    <t xml:space="preserve">CACTTCGCTCAGGGGGTAGT</t>
  </si>
  <si>
    <t xml:space="preserve">TAGTCACTTCGCTCAGGGGGTAGT</t>
  </si>
  <si>
    <t xml:space="preserve">AAACACTACCCCCTGAGCGAAGTG</t>
  </si>
  <si>
    <t xml:space="preserve">AGCCCCTTGCGCGCGCCGGC</t>
  </si>
  <si>
    <t xml:space="preserve">TAGTAGCCCCTTGCGCGCGCCGGC</t>
  </si>
  <si>
    <t xml:space="preserve">AAACGCCGGCGCGCGCAAGGGGCT</t>
  </si>
  <si>
    <t xml:space="preserve">GCCGAACAGCAGGATGGAGG</t>
  </si>
  <si>
    <t xml:space="preserve">TAGTGCCGAACAGCAGGATGGAGG</t>
  </si>
  <si>
    <t xml:space="preserve">AAACCCTCCATCCTGCTGTTCGGC</t>
  </si>
  <si>
    <t xml:space="preserve">PST_3570</t>
  </si>
  <si>
    <t xml:space="preserve">codA</t>
  </si>
  <si>
    <t xml:space="preserve">GCGGGCGTTGAGGATGTTCA</t>
  </si>
  <si>
    <t xml:space="preserve">TAGTGCGGGCGTTGAGGATGTTCA</t>
  </si>
  <si>
    <t xml:space="preserve">AAACTGAACATCCTCAACGCCCGC</t>
  </si>
  <si>
    <t xml:space="preserve">AGAGGCCGCTGCGGCCGCGC</t>
  </si>
  <si>
    <t xml:space="preserve">TAGTAGAGGCCGCTGCGGCCGCGC</t>
  </si>
  <si>
    <t xml:space="preserve">AAACGCGCGGCCGCAGCGGCCTCT</t>
  </si>
  <si>
    <t xml:space="preserve">GCGCGCCGTCCAGTTCGATG</t>
  </si>
  <si>
    <t xml:space="preserve">TAGTGCGCGCCGTCCAGTTCGATG</t>
  </si>
  <si>
    <t xml:space="preserve">AAACCATCGAACTGGACGGCGCGC</t>
  </si>
  <si>
    <t xml:space="preserve">CGCCTGCTGCGCGCTGATGG</t>
  </si>
  <si>
    <t xml:space="preserve">TAGTCGCCTGCTGCGCGCTGATGG</t>
  </si>
  <si>
    <t xml:space="preserve">AAACCCATCAGCGCGCAGCAGGCG</t>
  </si>
  <si>
    <t xml:space="preserve">PST_3571</t>
  </si>
  <si>
    <t xml:space="preserve">CTGCTCGCGCCGCTGCTCGT</t>
  </si>
  <si>
    <t xml:space="preserve">TAGTCTGCTCGCGCCGCTGCTCGT</t>
  </si>
  <si>
    <t xml:space="preserve">AAACACGAGCAGCGGCGCGAGCAG</t>
  </si>
  <si>
    <t xml:space="preserve">CACAGAACACCGCGCGCTCC</t>
  </si>
  <si>
    <t xml:space="preserve">TAGTCACAGAACACCGCGCGCTCC</t>
  </si>
  <si>
    <t xml:space="preserve">AAACGGAGCGCGCGGTGTTCTGTG</t>
  </si>
  <si>
    <t xml:space="preserve">GCCGGTCTCACCGTGGCAGT</t>
  </si>
  <si>
    <t xml:space="preserve">TAGTGCCGGTCTCACCGTGGCAGT</t>
  </si>
  <si>
    <t xml:space="preserve">AAACACTGCCACGGTGAGACCGGC</t>
  </si>
  <si>
    <t xml:space="preserve">GATTCTGCCCAGCCAGATTG</t>
  </si>
  <si>
    <t xml:space="preserve">TAGTGATTCTGCCCAGCCAGATTG</t>
  </si>
  <si>
    <t xml:space="preserve">AAACCAATCTGGCTGGGCAGAATC</t>
  </si>
  <si>
    <t xml:space="preserve">PST_3572</t>
  </si>
  <si>
    <t xml:space="preserve">AGATAGGCCAGACAGACGGG</t>
  </si>
  <si>
    <t xml:space="preserve">TAGTAGATAGGCCAGACAGACGGG</t>
  </si>
  <si>
    <t xml:space="preserve">AAACCCCGTCTGTCTGGCCTATCT</t>
  </si>
  <si>
    <t xml:space="preserve">PST_3573</t>
  </si>
  <si>
    <t xml:space="preserve">CGGCGTCATCAGCACGGTCA</t>
  </si>
  <si>
    <t xml:space="preserve">TAGTCGGCGTCATCAGCACGGTCA</t>
  </si>
  <si>
    <t xml:space="preserve">AAACTGACCGTGCTGATGACGCCG</t>
  </si>
  <si>
    <t xml:space="preserve">CCGGAAAAATTGGCTTTGTC</t>
  </si>
  <si>
    <t xml:space="preserve">TAGTCCGGAAAAATTGGCTTTGTC</t>
  </si>
  <si>
    <t xml:space="preserve">AAACGACAAAGCCAATTTTTCCGG</t>
  </si>
  <si>
    <t xml:space="preserve">GTAACGGCTGGCGCAGGCAT</t>
  </si>
  <si>
    <t xml:space="preserve">TAGTGTAACGGCTGGCGCAGGCAT</t>
  </si>
  <si>
    <t xml:space="preserve">AAACATGCCTGCGCCAGCCGTTAC</t>
  </si>
  <si>
    <t xml:space="preserve">GAGGGTGACGACGTACTGCC</t>
  </si>
  <si>
    <t xml:space="preserve">TAGTGAGGGTGACGACGTACTGCC</t>
  </si>
  <si>
    <t xml:space="preserve">AAACGGCAGTACGTCGTCACCCTC</t>
  </si>
  <si>
    <t xml:space="preserve">PST_3574</t>
  </si>
  <si>
    <t xml:space="preserve">phnA</t>
  </si>
  <si>
    <t xml:space="preserve">GCAGGGGGGCAGCGCGCTCA</t>
  </si>
  <si>
    <t xml:space="preserve">TAGTGCAGGGGGGCAGCGCGCTCA</t>
  </si>
  <si>
    <t xml:space="preserve">AAACTGAGCGCGCTGCCCCCCTGC</t>
  </si>
  <si>
    <t xml:space="preserve">TGTATTCGGAGTTGCATTTG</t>
  </si>
  <si>
    <t xml:space="preserve">TAGTTGTATTCGGAGTTGCATTTG</t>
  </si>
  <si>
    <t xml:space="preserve">AAACCAAATGCAACTCCGAATACA</t>
  </si>
  <si>
    <t xml:space="preserve">CAGCATCTGGCCGTCTTCAT</t>
  </si>
  <si>
    <t xml:space="preserve">TAGTCAGCATCTGGCCGTCTTCAT</t>
  </si>
  <si>
    <t xml:space="preserve">AAACATGAAGACGGCCAGATGCTG</t>
  </si>
  <si>
    <t xml:space="preserve">GACCACTCATGGGCGCATTC</t>
  </si>
  <si>
    <t xml:space="preserve">TAGTGACCACTCATGGGCGCATTC</t>
  </si>
  <si>
    <t xml:space="preserve">AAACGAATGCGCCCATGAGTGGTC</t>
  </si>
  <si>
    <t xml:space="preserve">PST_3575</t>
  </si>
  <si>
    <t xml:space="preserve">CCCGGCCGCCCACCAGCGGC</t>
  </si>
  <si>
    <t xml:space="preserve">TAGTCCCGGCCGCCCACCAGCGGC</t>
  </si>
  <si>
    <t xml:space="preserve">AAACGCCGCTGGTGGGCGGCCGGG</t>
  </si>
  <si>
    <t xml:space="preserve">GGCATCCAGCCGCACATGTT</t>
  </si>
  <si>
    <t xml:space="preserve">TAGTGGCATCCAGCCGCACATGTT</t>
  </si>
  <si>
    <t xml:space="preserve">AAACAACATGTGCGGCTGGATGCC</t>
  </si>
  <si>
    <t xml:space="preserve">CGGCTGATCCAGCGTCAGCG</t>
  </si>
  <si>
    <t xml:space="preserve">TAGTCGGCTGATCCAGCGTCAGCG</t>
  </si>
  <si>
    <t xml:space="preserve">AAACCGCTGACGCTGGATCAGCCG</t>
  </si>
  <si>
    <t xml:space="preserve">GCCGGCCGCTGACGAATCGC</t>
  </si>
  <si>
    <t xml:space="preserve">TAGTGCCGGCCGCTGACGAATCGC</t>
  </si>
  <si>
    <t xml:space="preserve">AAACGCGATTCGTCAGCGGCCGGC</t>
  </si>
  <si>
    <t xml:space="preserve">PST_3576</t>
  </si>
  <si>
    <t xml:space="preserve">GACGCTGGCGACGCCGTACT</t>
  </si>
  <si>
    <t xml:space="preserve">TAGTGACGCTGGCGACGCCGTACT</t>
  </si>
  <si>
    <t xml:space="preserve">AAACAGTACGGCGTCGCCAGCGTC</t>
  </si>
  <si>
    <t xml:space="preserve">CCAGCTGCCGAGGTTGGGTT</t>
  </si>
  <si>
    <t xml:space="preserve">TAGTCCAGCTGCCGAGGTTGGGTT</t>
  </si>
  <si>
    <t xml:space="preserve">AAACAACCCAACCTCGGCAGCTGG</t>
  </si>
  <si>
    <t xml:space="preserve">AGGCGAACTGCTGGATCGGC</t>
  </si>
  <si>
    <t xml:space="preserve">TAGTAGGCGAACTGCTGGATCGGC</t>
  </si>
  <si>
    <t xml:space="preserve">AAACGCCGATCCAGCAGTTCGCCT</t>
  </si>
  <si>
    <t xml:space="preserve">GGCGTTCTTGCCGGAGGTGT</t>
  </si>
  <si>
    <t xml:space="preserve">TAGTGGCGTTCTTGCCGGAGGTGT</t>
  </si>
  <si>
    <t xml:space="preserve">AAACACACCTCCGGCAAGAACGCC</t>
  </si>
  <si>
    <t xml:space="preserve">PST_3577</t>
  </si>
  <si>
    <t xml:space="preserve">GGCAGCCAGCCATTCGCGTT</t>
  </si>
  <si>
    <t xml:space="preserve">TAGTGGCAGCCAGCCATTCGCGTT</t>
  </si>
  <si>
    <t xml:space="preserve">AAACAACGCGAATGGCTGGCTGCC</t>
  </si>
  <si>
    <t xml:space="preserve">ACAGATGCTGACCGAACGAT</t>
  </si>
  <si>
    <t xml:space="preserve">TAGTACAGATGCTGACCGAACGAT</t>
  </si>
  <si>
    <t xml:space="preserve">AAACATCGTTCGGTCAGCATCTGT</t>
  </si>
  <si>
    <t xml:space="preserve">TTTCGAACGGCAGCCAGTCG</t>
  </si>
  <si>
    <t xml:space="preserve">TAGTTTTCGAACGGCAGCCAGTCG</t>
  </si>
  <si>
    <t xml:space="preserve">AAACCGACTGGCTGCCGTTCGAAA</t>
  </si>
  <si>
    <t xml:space="preserve">CGCAACGAGCCGCAGCAGAT</t>
  </si>
  <si>
    <t xml:space="preserve">TAGTCGCAACGAGCCGCAGCAGAT</t>
  </si>
  <si>
    <t xml:space="preserve">AAACATCTGCTGCGGCTCGTTGCG</t>
  </si>
  <si>
    <t xml:space="preserve">PST_3578</t>
  </si>
  <si>
    <t xml:space="preserve">GAGTAGTAGCTGCTTGCTCA</t>
  </si>
  <si>
    <t xml:space="preserve">TAGTGAGTAGTAGCTGCTTGCTCA</t>
  </si>
  <si>
    <t xml:space="preserve">AAACTGAGCAAGCAGCTACTACTC</t>
  </si>
  <si>
    <t xml:space="preserve">CACGCAAATCGCCAGGCCGC</t>
  </si>
  <si>
    <t xml:space="preserve">TAGTCACGCAAATCGCCAGGCCGC</t>
  </si>
  <si>
    <t xml:space="preserve">AAACGCGGCCTGGCGATTTGCGTG</t>
  </si>
  <si>
    <t xml:space="preserve">TGGGTGATGATCTCTGGCTG</t>
  </si>
  <si>
    <t xml:space="preserve">TAGTTGGGTGATGATCTCTGGCTG</t>
  </si>
  <si>
    <t xml:space="preserve">AAACCAGCCAGAGATCATCACCCA</t>
  </si>
  <si>
    <t xml:space="preserve">CGACGTCCAGGCCGTTGAGG</t>
  </si>
  <si>
    <t xml:space="preserve">TAGTCGACGTCCAGGCCGTTGAGG</t>
  </si>
  <si>
    <t xml:space="preserve">AAACCCTCAACGGCCTGGACGTCG</t>
  </si>
  <si>
    <t xml:space="preserve">PST_3579</t>
  </si>
  <si>
    <t xml:space="preserve">CGGCGTGTTGCCGAGCCAGT</t>
  </si>
  <si>
    <t xml:space="preserve">TAGTCGGCGTGTTGCCGAGCCAGT</t>
  </si>
  <si>
    <t xml:space="preserve">AAACACTGGCTCGGCAACACGCCG</t>
  </si>
  <si>
    <t xml:space="preserve">GCGAAAGGCACGGCGAAGTC</t>
  </si>
  <si>
    <t xml:space="preserve">TAGTGCGAAAGGCACGGCGAAGTC</t>
  </si>
  <si>
    <t xml:space="preserve">AAACGACTTCGCCGTGCCTTTCGC</t>
  </si>
  <si>
    <t xml:space="preserve">GGATCAAGCCCAGCGCCGCG</t>
  </si>
  <si>
    <t xml:space="preserve">TAGTGGATCAAGCCCAGCGCCGCG</t>
  </si>
  <si>
    <t xml:space="preserve">AAACCGCGGCGCTGGGCTTGATCC</t>
  </si>
  <si>
    <t xml:space="preserve">GCACGCCAGCACGTTCGGTG</t>
  </si>
  <si>
    <t xml:space="preserve">TAGTGCACGCCAGCACGTTCGGTG</t>
  </si>
  <si>
    <t xml:space="preserve">AAACCACCGAACGTGCTGGCGTGC</t>
  </si>
  <si>
    <t xml:space="preserve">PST_3580</t>
  </si>
  <si>
    <t xml:space="preserve">GAGACCTGCTCGAGCATCAC</t>
  </si>
  <si>
    <t xml:space="preserve">TAGTGAGACCTGCTCGAGCATCAC</t>
  </si>
  <si>
    <t xml:space="preserve">AAACGTGATGCTCGAGCAGGTCTC</t>
  </si>
  <si>
    <t xml:space="preserve">CGGTGGCTTGGGCTGTTTCG</t>
  </si>
  <si>
    <t xml:space="preserve">TAGTCGGTGGCTTGGGCTGTTTCG</t>
  </si>
  <si>
    <t xml:space="preserve">AAACCGAAACAGCCCAAGCCACCG</t>
  </si>
  <si>
    <t xml:space="preserve">GCGTAGCGTCGCGACAAAAG</t>
  </si>
  <si>
    <t xml:space="preserve">TAGTGCGTAGCGTCGCGACAAAAG</t>
  </si>
  <si>
    <t xml:space="preserve">AAACCTTTTGTCGCGACGCTACGC</t>
  </si>
  <si>
    <t xml:space="preserve">AATGCCAGGCCAGTTGCTGG</t>
  </si>
  <si>
    <t xml:space="preserve">TAGTAATGCCAGGCCAGTTGCTGG</t>
  </si>
  <si>
    <t xml:space="preserve">AAACCCAGCAACTGGCCTGGCATT</t>
  </si>
  <si>
    <t xml:space="preserve">PST_3581</t>
  </si>
  <si>
    <t xml:space="preserve">CGGAAAGCTGGATCGCGTTG</t>
  </si>
  <si>
    <t xml:space="preserve">TAGTCGGAAAGCTGGATCGCGTTG</t>
  </si>
  <si>
    <t xml:space="preserve">AAACCAACGCGATCCAGCTTTCCG</t>
  </si>
  <si>
    <t xml:space="preserve">GTCGAACGACTTGCTGACCC</t>
  </si>
  <si>
    <t xml:space="preserve">TAGTGTCGAACGACTTGCTGACCC</t>
  </si>
  <si>
    <t xml:space="preserve">AAACGGGTCAGCAAGTCGTTCGAC</t>
  </si>
  <si>
    <t xml:space="preserve">GGTAAAGTCCGCCTGGGACA</t>
  </si>
  <si>
    <t xml:space="preserve">TAGTGGTAAAGTCCGCCTGGGACA</t>
  </si>
  <si>
    <t xml:space="preserve">AAACTGTCCCAGGCGGACTTTACC</t>
  </si>
  <si>
    <t xml:space="preserve">ATGGACCTCGCCCCACCTGG</t>
  </si>
  <si>
    <t xml:space="preserve">TAGTATGGACCTCGCCCCACCTGG</t>
  </si>
  <si>
    <t xml:space="preserve">AAACCCAGGTGGGGCGAGGTCCAT</t>
  </si>
  <si>
    <t xml:space="preserve">PST_3583</t>
  </si>
  <si>
    <t xml:space="preserve">TTTTGGGTCTTCCTGAGGGT</t>
  </si>
  <si>
    <t xml:space="preserve">TAGTTTTTGGGTCTTCCTGAGGGT</t>
  </si>
  <si>
    <t xml:space="preserve">AAACACCCTCAGGAAGACCCAAAA</t>
  </si>
  <si>
    <t xml:space="preserve">GAAAGCCACCGCCGCACACA</t>
  </si>
  <si>
    <t xml:space="preserve">TAGTGAAAGCCACCGCCGCACACA</t>
  </si>
  <si>
    <t xml:space="preserve">AAACTGTGTGCGGCGGTGGCTTTC</t>
  </si>
  <si>
    <t xml:space="preserve">CGACGCCAAGGGTGGCCGCC</t>
  </si>
  <si>
    <t xml:space="preserve">TAGTCGACGCCAAGGGTGGCCGCC</t>
  </si>
  <si>
    <t xml:space="preserve">AAACGGCGGCCACCCTTGGCGTCG</t>
  </si>
  <si>
    <t xml:space="preserve">GGTCAGCCCTTCCTGCGCCG</t>
  </si>
  <si>
    <t xml:space="preserve">TAGTGGTCAGCCCTTCCTGCGCCG</t>
  </si>
  <si>
    <t xml:space="preserve">AAACCGGCGCAGGAAGGGCTGACC</t>
  </si>
  <si>
    <t xml:space="preserve">PST_3584</t>
  </si>
  <si>
    <t xml:space="preserve">GGAACGTATTGCAGAGTCAT</t>
  </si>
  <si>
    <t xml:space="preserve">TAGTGGAACGTATTGCAGAGTCAT</t>
  </si>
  <si>
    <t xml:space="preserve">AAACATGACTCTGCAATACGTTCC</t>
  </si>
  <si>
    <t xml:space="preserve">TACGGCGCCAGGTCGATGAT</t>
  </si>
  <si>
    <t xml:space="preserve">TAGTTACGGCGCCAGGTCGATGAT</t>
  </si>
  <si>
    <t xml:space="preserve">AAACATCATCGACCTGGCGCCGTA</t>
  </si>
  <si>
    <t xml:space="preserve">CAGCTTGCCCTCCGGCGTGC</t>
  </si>
  <si>
    <t xml:space="preserve">TAGTCAGCTTGCCCTCCGGCGTGC</t>
  </si>
  <si>
    <t xml:space="preserve">AAACGCACGCCGGAGGGCAAGCTG</t>
  </si>
  <si>
    <t xml:space="preserve">ACAGGCCTGGTCCACGGCGC</t>
  </si>
  <si>
    <t xml:space="preserve">TAGTACAGGCCTGGTCCACGGCGC</t>
  </si>
  <si>
    <t xml:space="preserve">AAACGCGCCGTGGACCAGGCCTGT</t>
  </si>
  <si>
    <t xml:space="preserve">PST_3585</t>
  </si>
  <si>
    <t xml:space="preserve">GCTCGAACGACCGAATCGGG</t>
  </si>
  <si>
    <t xml:space="preserve">TAGTGCTCGAACGACCGAATCGGG</t>
  </si>
  <si>
    <t xml:space="preserve">AAACCCCGATTCGGTCGTTCGAGC</t>
  </si>
  <si>
    <t xml:space="preserve">CTCGCCAGCACCGCAGCACA</t>
  </si>
  <si>
    <t xml:space="preserve">TAGTCTCGCCAGCACCGCAGCACA</t>
  </si>
  <si>
    <t xml:space="preserve">AAACTGTGCTGCGGTGCTGGCGAG</t>
  </si>
  <si>
    <t xml:space="preserve">GCCAGGCGGGCGATGGCGCG</t>
  </si>
  <si>
    <t xml:space="preserve">TAGTGCCAGGCGGGCGATGGCGCG</t>
  </si>
  <si>
    <t xml:space="preserve">AAACCGCGCCATCGCCCGCCTGGC</t>
  </si>
  <si>
    <t xml:space="preserve">AAGGGCGCTGCGGGGCGAAT</t>
  </si>
  <si>
    <t xml:space="preserve">TAGTAAGGGCGCTGCGGGGCGAAT</t>
  </si>
  <si>
    <t xml:space="preserve">AAACATTCGCCCCGCAGCGCCCTT</t>
  </si>
  <si>
    <t xml:space="preserve">PST_3586</t>
  </si>
  <si>
    <t xml:space="preserve">GGGTGATAACGGTCACGGAG</t>
  </si>
  <si>
    <t xml:space="preserve">TAGTGGGTGATAACGGTCACGGAG</t>
  </si>
  <si>
    <t xml:space="preserve">AAACCTCCGTGACCGTTATCACCC</t>
  </si>
  <si>
    <t xml:space="preserve">CTGGGTGGTTTGCGTGCGGT</t>
  </si>
  <si>
    <t xml:space="preserve">TAGTCTGGGTGGTTTGCGTGCGGT</t>
  </si>
  <si>
    <t xml:space="preserve">AAACACCGCACGCAAACCACCCAG</t>
  </si>
  <si>
    <t xml:space="preserve">GTGGCGGGAGACGCTGTGGG</t>
  </si>
  <si>
    <t xml:space="preserve">TAGTGTGGCGGGAGACGCTGTGGG</t>
  </si>
  <si>
    <t xml:space="preserve">AAACCCCACAGCGTCTCCCGCCAC</t>
  </si>
  <si>
    <t xml:space="preserve">AGGGTCGCGTGCACGGGGTT</t>
  </si>
  <si>
    <t xml:space="preserve">TAGTAGGGTCGCGTGCACGGGGTT</t>
  </si>
  <si>
    <t xml:space="preserve">AAACAACCCCGTGCACGCGACCCT</t>
  </si>
  <si>
    <t xml:space="preserve">PST_3587</t>
  </si>
  <si>
    <t xml:space="preserve">CAGGGCAGCCATGGCCAGGG</t>
  </si>
  <si>
    <t xml:space="preserve">TAGTCAGGGCAGCCATGGCCAGGG</t>
  </si>
  <si>
    <t xml:space="preserve">AAACCCCTGGCCATGGCTGCCCTG</t>
  </si>
  <si>
    <t xml:space="preserve">GGGATCGGGTCCGTAATGCT</t>
  </si>
  <si>
    <t xml:space="preserve">TAGTGGGATCGGGTCCGTAATGCT</t>
  </si>
  <si>
    <t xml:space="preserve">AAACAGCATTACGGACCCGATCCC</t>
  </si>
  <si>
    <t xml:space="preserve">CGCTCCGGTTCGGGCAGCTT</t>
  </si>
  <si>
    <t xml:space="preserve">TAGTCGCTCCGGTTCGGGCAGCTT</t>
  </si>
  <si>
    <t xml:space="preserve">AAACAAGCTGCCCGAACCGGAGCG</t>
  </si>
  <si>
    <t xml:space="preserve">GGCTCGGCGATCTTCATGCT</t>
  </si>
  <si>
    <t xml:space="preserve">TAGTGGCTCGGCGATCTTCATGCT</t>
  </si>
  <si>
    <t xml:space="preserve">AAACAGCATGAAGATCGCCGAGCC</t>
  </si>
  <si>
    <t xml:space="preserve">PST_3588</t>
  </si>
  <si>
    <t xml:space="preserve">GGGCGATAAACACACTGATA</t>
  </si>
  <si>
    <t xml:space="preserve">TAGTGGGCGATAAACACACTGATA</t>
  </si>
  <si>
    <t xml:space="preserve">AAACTATCAGTGTGTTTATCGCCC</t>
  </si>
  <si>
    <t xml:space="preserve">ATACACATCGTCCGAAGCTC</t>
  </si>
  <si>
    <t xml:space="preserve">TAGTATACACATCGTCCGAAGCTC</t>
  </si>
  <si>
    <t xml:space="preserve">AAACGAGCTTCGGACGATGTGTAT</t>
  </si>
  <si>
    <t xml:space="preserve">GGGAAGATTGCGCGGATCGG</t>
  </si>
  <si>
    <t xml:space="preserve">TAGTGGGAAGATTGCGCGGATCGG</t>
  </si>
  <si>
    <t xml:space="preserve">AAACCCGATCCGCGCAATCTTCCC</t>
  </si>
  <si>
    <t xml:space="preserve">GCCAGCCCCGCCGCCCACAA</t>
  </si>
  <si>
    <t xml:space="preserve">TAGTGCCAGCCCCGCCGCCCACAA</t>
  </si>
  <si>
    <t xml:space="preserve">AAACTTGTGGGCGGCGGGGCTGGC</t>
  </si>
  <si>
    <t xml:space="preserve">PST_3589</t>
  </si>
  <si>
    <t xml:space="preserve">TGGTGGATGGAGCGGAGCAT</t>
  </si>
  <si>
    <t xml:space="preserve">TAGTTGGTGGATGGAGCGGAGCAT</t>
  </si>
  <si>
    <t xml:space="preserve">AAACATGCTCCGCTCCATCCACCA</t>
  </si>
  <si>
    <t xml:space="preserve">CGGAGCAGATGATCGCGGCA</t>
  </si>
  <si>
    <t xml:space="preserve">TAGTCGGAGCAGATGATCGCGGCA</t>
  </si>
  <si>
    <t xml:space="preserve">AAACTGCCGCGATCATCTGCTCCG</t>
  </si>
  <si>
    <t xml:space="preserve">GCGCTTCGACACGGCATAGT</t>
  </si>
  <si>
    <t xml:space="preserve">TAGTGCGCTTCGACACGGCATAGT</t>
  </si>
  <si>
    <t xml:space="preserve">AAACACTATGCCGTGTCGAAGCGC</t>
  </si>
  <si>
    <t xml:space="preserve">GGCGAGCACTGCTAGGCCGA</t>
  </si>
  <si>
    <t xml:space="preserve">TAGTGGCGAGCACTGCTAGGCCGA</t>
  </si>
  <si>
    <t xml:space="preserve">AAACTCGGCCTAGCAGTGCTCGCC</t>
  </si>
  <si>
    <t xml:space="preserve">PST_3590</t>
  </si>
  <si>
    <t xml:space="preserve">CGCCCGGCCAGCAGACCAGG</t>
  </si>
  <si>
    <t xml:space="preserve">TAGTCGCCCGGCCAGCAGACCAGG</t>
  </si>
  <si>
    <t xml:space="preserve">AAACCCTGGTCTGCTGGCCGGGCG</t>
  </si>
  <si>
    <t xml:space="preserve">CAGGAACTGCAGCCCTGAAC</t>
  </si>
  <si>
    <t xml:space="preserve">TAGTCAGGAACTGCAGCCCTGAAC</t>
  </si>
  <si>
    <t xml:space="preserve">AAACGTTCAGGGCTGCAGTTCCTG</t>
  </si>
  <si>
    <t xml:space="preserve">GCTCAGAGCTTCTGTGCCAT</t>
  </si>
  <si>
    <t xml:space="preserve">TAGTGCTCAGAGCTTCTGTGCCAT</t>
  </si>
  <si>
    <t xml:space="preserve">AAACATGGCACAGAAGCTCTGAGC</t>
  </si>
  <si>
    <t xml:space="preserve">CGCGCTGCCGGCGGCGCGGC</t>
  </si>
  <si>
    <t xml:space="preserve">TAGTCGCGCTGCCGGCGGCGCGGC</t>
  </si>
  <si>
    <t xml:space="preserve">AAACGCCGCGCCGCCGGCAGCGCG</t>
  </si>
  <si>
    <t xml:space="preserve">PST_3591</t>
  </si>
  <si>
    <t xml:space="preserve">GGCCTGGTAATTCATGCGCA</t>
  </si>
  <si>
    <t xml:space="preserve">TAGTGGCCTGGTAATTCATGCGCA</t>
  </si>
  <si>
    <t xml:space="preserve">AAACTGCGCATGAATTACCAGGCC</t>
  </si>
  <si>
    <t xml:space="preserve">CGTCATCACGTCGGGGGCGG</t>
  </si>
  <si>
    <t xml:space="preserve">TAGTCGTCATCACGTCGGGGGCGG</t>
  </si>
  <si>
    <t xml:space="preserve">AAACCCGCCCCCGACGTGATGACG</t>
  </si>
  <si>
    <t xml:space="preserve">GCGGCTCTGCCGTGCCAGGT</t>
  </si>
  <si>
    <t xml:space="preserve">TAGTGCGGCTCTGCCGTGCCAGGT</t>
  </si>
  <si>
    <t xml:space="preserve">AAACACCTGGCACGGCAGAGCCGC</t>
  </si>
  <si>
    <t xml:space="preserve">GCTTGTCGACGCCATTCTCG</t>
  </si>
  <si>
    <t xml:space="preserve">TAGTGCTTGTCGACGCCATTCTCG</t>
  </si>
  <si>
    <t xml:space="preserve">AAACCGAGAATGGCGTCGACAAGC</t>
  </si>
  <si>
    <t xml:space="preserve">PST_3592</t>
  </si>
  <si>
    <t xml:space="preserve">TGGGTTGCACATTCAAACCG</t>
  </si>
  <si>
    <t xml:space="preserve">TAGTTGGGTTGCACATTCAAACCG</t>
  </si>
  <si>
    <t xml:space="preserve">AAACCGGTTTGAATGTGCAACCCA</t>
  </si>
  <si>
    <t xml:space="preserve">AGCGCGGCGGCTGCGTAGCC</t>
  </si>
  <si>
    <t xml:space="preserve">TAGTAGCGCGGCGGCTGCGTAGCC</t>
  </si>
  <si>
    <t xml:space="preserve">AAACGGCTACGCAGCCGCCGCGCT</t>
  </si>
  <si>
    <t xml:space="preserve">GTCATGGCGAGGGCCGTAGG</t>
  </si>
  <si>
    <t xml:space="preserve">TAGTGTCATGGCGAGGGCCGTAGG</t>
  </si>
  <si>
    <t xml:space="preserve">AAACCCTACGGCCCTCGCCATGAC</t>
  </si>
  <si>
    <t xml:space="preserve">CAGACGTTCGTGCAGGGACT</t>
  </si>
  <si>
    <t xml:space="preserve">TAGTCAGACGTTCGTGCAGGGACT</t>
  </si>
  <si>
    <t xml:space="preserve">AAACAGTCCCTGCACGAACGTCTG</t>
  </si>
  <si>
    <t xml:space="preserve">PST_3593</t>
  </si>
  <si>
    <t xml:space="preserve">CATCGCGCCATGCGAACCTG</t>
  </si>
  <si>
    <t xml:space="preserve">TAGTCATCGCGCCATGCGAACCTG</t>
  </si>
  <si>
    <t xml:space="preserve">AAACCAGGTTCGCATGGCGCGATG</t>
  </si>
  <si>
    <t xml:space="preserve">ACGCCGCTGTCGCAATGACA</t>
  </si>
  <si>
    <t xml:space="preserve">TAGTACGCCGCTGTCGCAATGACA</t>
  </si>
  <si>
    <t xml:space="preserve">AAACTGTCATTGCGACAGCGGCGT</t>
  </si>
  <si>
    <t xml:space="preserve">GGTGCAGCTCTCGGAGTGGA</t>
  </si>
  <si>
    <t xml:space="preserve">TAGTGGTGCAGCTCTCGGAGTGGA</t>
  </si>
  <si>
    <t xml:space="preserve">AAACTCCACTCCGAGAGCTGCACC</t>
  </si>
  <si>
    <t xml:space="preserve">GACGGTGCGGGTGGCGTCCA</t>
  </si>
  <si>
    <t xml:space="preserve">TAGTGACGGTGCGGGTGGCGTCCA</t>
  </si>
  <si>
    <t xml:space="preserve">AAACTGGACGCCACCCGCACCGTC</t>
  </si>
  <si>
    <t xml:space="preserve">PST_3594</t>
  </si>
  <si>
    <t xml:space="preserve">ATGAACAGGCGCAGGACCTG</t>
  </si>
  <si>
    <t xml:space="preserve">TAGTATGAACAGGCGCAGGACCTG</t>
  </si>
  <si>
    <t xml:space="preserve">AAACCAGGTCCTGCGCCTGTTCAT</t>
  </si>
  <si>
    <t xml:space="preserve">ACAGGACCAGAACAGCGCCT</t>
  </si>
  <si>
    <t xml:space="preserve">TAGTACAGGACCAGAACAGCGCCT</t>
  </si>
  <si>
    <t xml:space="preserve">AAACAGGCGCTGTTCTGGTCCTGT</t>
  </si>
  <si>
    <t xml:space="preserve">GATGGCGGTGAAGATGATCC</t>
  </si>
  <si>
    <t xml:space="preserve">TAGTGATGGCGGTGAAGATGATCC</t>
  </si>
  <si>
    <t xml:space="preserve">AAACGGATCATCTTCACCGCCATC</t>
  </si>
  <si>
    <t xml:space="preserve">AGGGTGGCGAGACCGGCCGC</t>
  </si>
  <si>
    <t xml:space="preserve">TAGTAGGGTGGCGAGACCGGCCGC</t>
  </si>
  <si>
    <t xml:space="preserve">AAACGCGGCCGGTCTCGCCACCCT</t>
  </si>
  <si>
    <t xml:space="preserve">PST_3595</t>
  </si>
  <si>
    <t xml:space="preserve">GGCAGAAATCTCGGATTCAT</t>
  </si>
  <si>
    <t xml:space="preserve">TAGTGGCAGAAATCTCGGATTCAT</t>
  </si>
  <si>
    <t xml:space="preserve">AAACATGAATCCGAGATTTCTGCC</t>
  </si>
  <si>
    <t xml:space="preserve">TTCATTGCCATGTTTCGGCC</t>
  </si>
  <si>
    <t xml:space="preserve">TAGTTTCATTGCCATGTTTCGGCC</t>
  </si>
  <si>
    <t xml:space="preserve">AAACGGCCGAAACATGGCAATGAA</t>
  </si>
  <si>
    <t xml:space="preserve">GTGCTCGTGTACTCGTGGGT</t>
  </si>
  <si>
    <t xml:space="preserve">TAGTGTGCTCGTGTACTCGTGGGT</t>
  </si>
  <si>
    <t xml:space="preserve">AAACACCCACGAGTACACGAGCAC</t>
  </si>
  <si>
    <t xml:space="preserve">GGTTTCACGGTAGAAGGCGA</t>
  </si>
  <si>
    <t xml:space="preserve">TAGTGGTTTCACGGTAGAAGGCGA</t>
  </si>
  <si>
    <t xml:space="preserve">AAACTCGCCTTCTACCGTGAAACC</t>
  </si>
  <si>
    <t xml:space="preserve">PST_3596</t>
  </si>
  <si>
    <t xml:space="preserve">ACGGAGGGCTGATCGGTCAC</t>
  </si>
  <si>
    <t xml:space="preserve">TAGTACGGAGGGCTGATCGGTCAC</t>
  </si>
  <si>
    <t xml:space="preserve">AAACGTGACCGATCAGCCCTCCGT</t>
  </si>
  <si>
    <t xml:space="preserve">GCGGTGAGACGCTTGCGTGG</t>
  </si>
  <si>
    <t xml:space="preserve">TAGTGCGGTGAGACGCTTGCGTGG</t>
  </si>
  <si>
    <t xml:space="preserve">AAACCCACGCAAGCGTCTCACCGC</t>
  </si>
  <si>
    <t xml:space="preserve">TTTCGGACGGGGAGTCTTGC</t>
  </si>
  <si>
    <t xml:space="preserve">TAGTTTTCGGACGGGGAGTCTTGC</t>
  </si>
  <si>
    <t xml:space="preserve">AAACGCAAGACTCCCCGTCCGAAA</t>
  </si>
  <si>
    <t xml:space="preserve">GCTGACGCTCGGCTCGCGGA</t>
  </si>
  <si>
    <t xml:space="preserve">TAGTGCTGACGCTCGGCTCGCGGA</t>
  </si>
  <si>
    <t xml:space="preserve">AAACTCCGCGAGCCGAGCGTCAGC</t>
  </si>
  <si>
    <t xml:space="preserve">PST_3597</t>
  </si>
  <si>
    <t xml:space="preserve">ATGAAAACACCAACATCCAT</t>
  </si>
  <si>
    <t xml:space="preserve">TAGTATGAAAACACCAACATCCAT</t>
  </si>
  <si>
    <t xml:space="preserve">AAACATGGATGTTGGTGTTTTCAT</t>
  </si>
  <si>
    <t xml:space="preserve">AGCCAGCCGTTGTTGCCGAT</t>
  </si>
  <si>
    <t xml:space="preserve">TAGTAGCCAGCCGTTGTTGCCGAT</t>
  </si>
  <si>
    <t xml:space="preserve">AAACATCGGCAACAACGGCTGGCT</t>
  </si>
  <si>
    <t xml:space="preserve">CATGTACTGCGGCGCATTCT</t>
  </si>
  <si>
    <t xml:space="preserve">TAGTCATGTACTGCGGCGCATTCT</t>
  </si>
  <si>
    <t xml:space="preserve">AAACAGAATGCGCCGCAGTACATG</t>
  </si>
  <si>
    <t xml:space="preserve">GCTTTGTTCAGTTCGAAGGT</t>
  </si>
  <si>
    <t xml:space="preserve">TAGTGCTTTGTTCAGTTCGAAGGT</t>
  </si>
  <si>
    <t xml:space="preserve">AAACACCTTCGAACTGAACAAAGC</t>
  </si>
  <si>
    <t xml:space="preserve">PST_3598</t>
  </si>
  <si>
    <t xml:space="preserve">GTAGCCGGAGATCTGTTCGA</t>
  </si>
  <si>
    <t xml:space="preserve">TAGTGTAGCCGGAGATCTGTTCGA</t>
  </si>
  <si>
    <t xml:space="preserve">AAACTCGAACAGATCTCCGGCTAC</t>
  </si>
  <si>
    <t xml:space="preserve">CAGGTTCGTCCGTTGCGCTC</t>
  </si>
  <si>
    <t xml:space="preserve">TAGTCAGGTTCGTCCGTTGCGCTC</t>
  </si>
  <si>
    <t xml:space="preserve">AAACGAGCGCAACGGACGAACCTG</t>
  </si>
  <si>
    <t xml:space="preserve">GCCAGCGGCTCTGGTCGTGC</t>
  </si>
  <si>
    <t xml:space="preserve">TAGTGCCAGCGGCTCTGGTCGTGC</t>
  </si>
  <si>
    <t xml:space="preserve">AAACGCACGACCAGAGCCGCTGGC</t>
  </si>
  <si>
    <t xml:space="preserve">CATATCCACCACGATTAGCG</t>
  </si>
  <si>
    <t xml:space="preserve">TAGTCATATCCACCACGATTAGCG</t>
  </si>
  <si>
    <t xml:space="preserve">AAACCGCTAATCGTGGTGGATATG</t>
  </si>
  <si>
    <t xml:space="preserve">PST_3599</t>
  </si>
  <si>
    <t xml:space="preserve">CCTCTGCGGGCGCCGCGGTC</t>
  </si>
  <si>
    <t xml:space="preserve">TAGTCCTCTGCGGGCGCCGCGGTC</t>
  </si>
  <si>
    <t xml:space="preserve">AAACGACCGCGGCGCCCGCAGAGG</t>
  </si>
  <si>
    <t xml:space="preserve">GGCATTCAGGCGAACCCGGC</t>
  </si>
  <si>
    <t xml:space="preserve">TAGTGGCATTCAGGCGAACCCGGC</t>
  </si>
  <si>
    <t xml:space="preserve">AAACGCCGGGTTCGCCTGAATGCC</t>
  </si>
  <si>
    <t xml:space="preserve">CATGTCGTTGATTCCTTGCA</t>
  </si>
  <si>
    <t xml:space="preserve">TAGTCATGTCGTTGATTCCTTGCA</t>
  </si>
  <si>
    <t xml:space="preserve">AAACTGCAAGGAATCAACGACATG</t>
  </si>
  <si>
    <t xml:space="preserve">GCGGGGATGATGGATTGCTT</t>
  </si>
  <si>
    <t xml:space="preserve">TAGTGCGGGGATGATGGATTGCTT</t>
  </si>
  <si>
    <t xml:space="preserve">AAACAAGCAATCCATCATCCCCGC</t>
  </si>
  <si>
    <t xml:space="preserve">PST_3600</t>
  </si>
  <si>
    <t xml:space="preserve">AGCACCAGGGTCGGTGCATC</t>
  </si>
  <si>
    <t xml:space="preserve">TAGTAGCACCAGGGTCGGTGCATC</t>
  </si>
  <si>
    <t xml:space="preserve">AAACGATGCACCGACCCTGGTGCT</t>
  </si>
  <si>
    <t xml:space="preserve">AGAAGGCAGCGGCGCCGCCG</t>
  </si>
  <si>
    <t xml:space="preserve">TAGTAGAAGGCAGCGGCGCCGCCG</t>
  </si>
  <si>
    <t xml:space="preserve">AAACCGGCGGCGCCGCTGCCTTCT</t>
  </si>
  <si>
    <t xml:space="preserve">TGCGTCAGTGCCGGCAGCTG</t>
  </si>
  <si>
    <t xml:space="preserve">TAGTTGCGTCAGTGCCGGCAGCTG</t>
  </si>
  <si>
    <t xml:space="preserve">AAACCAGCTGCCGGCACTGACGCA</t>
  </si>
  <si>
    <t xml:space="preserve">CAGGTTCGCCGGGCTCTTGT</t>
  </si>
  <si>
    <t xml:space="preserve">TAGTCAGGTTCGCCGGGCTCTTGT</t>
  </si>
  <si>
    <t xml:space="preserve">AAACACAAGAGCCCGGCGAACCTG</t>
  </si>
  <si>
    <t xml:space="preserve">PST_3601</t>
  </si>
  <si>
    <t xml:space="preserve">GAGGGCATTCGAGTCGATGG</t>
  </si>
  <si>
    <t xml:space="preserve">TAGTGAGGGCATTCGAGTCGATGG</t>
  </si>
  <si>
    <t xml:space="preserve">AAACCCATCGACTCGAATGCCCTC</t>
  </si>
  <si>
    <t xml:space="preserve">CAACCAGGCGCTGTGGGTGC</t>
  </si>
  <si>
    <t xml:space="preserve">TAGTCAACCAGGCGCTGTGGGTGC</t>
  </si>
  <si>
    <t xml:space="preserve">AAACGCACCCACAGCGCCTGGTTG</t>
  </si>
  <si>
    <t xml:space="preserve">AGCTGTTCGAGCAGGGCATC</t>
  </si>
  <si>
    <t xml:space="preserve">TAGTAGCTGTTCGAGCAGGGCATC</t>
  </si>
  <si>
    <t xml:space="preserve">AAACGATGCCCTGCTCGAACAGCT</t>
  </si>
  <si>
    <t xml:space="preserve">TGACCGCGGTCGGACCGAGG</t>
  </si>
  <si>
    <t xml:space="preserve">TAGTTGACCGCGGTCGGACCGAGG</t>
  </si>
  <si>
    <t xml:space="preserve">AAACCCTCGGTCCGACCGCGGTCA</t>
  </si>
  <si>
    <t xml:space="preserve">PST_3602</t>
  </si>
  <si>
    <t xml:space="preserve">TTCGCATTGAGCCAGTTGCA</t>
  </si>
  <si>
    <t xml:space="preserve">TAGTTTCGCATTGAGCCAGTTGCA</t>
  </si>
  <si>
    <t xml:space="preserve">AAACTGCAACTGGCTCAATGCGAA</t>
  </si>
  <si>
    <t xml:space="preserve">TGGAGCGCTGAATTGACTGG</t>
  </si>
  <si>
    <t xml:space="preserve">TAGTTGGAGCGCTGAATTGACTGG</t>
  </si>
  <si>
    <t xml:space="preserve">AAACCCAGTCAATTCAGCGCTCCA</t>
  </si>
  <si>
    <t xml:space="preserve">CGATAATCCTCACGAATCAC</t>
  </si>
  <si>
    <t xml:space="preserve">TAGTCGATAATCCTCACGAATCAC</t>
  </si>
  <si>
    <t xml:space="preserve">AAACGTGATTCGTGAGGATTATCG</t>
  </si>
  <si>
    <t xml:space="preserve">TGATGTTGACCGCCGCGGCC</t>
  </si>
  <si>
    <t xml:space="preserve">TAGTTGATGTTGACCGCCGCGGCC</t>
  </si>
  <si>
    <t xml:space="preserve">AAACGGCCGCGGCGGTCAACATCA</t>
  </si>
  <si>
    <t xml:space="preserve">PST_3603</t>
  </si>
  <si>
    <t xml:space="preserve">GCGGAAGAAGGCCTGTTGTT</t>
  </si>
  <si>
    <t xml:space="preserve">TAGTGCGGAAGAAGGCCTGTTGTT</t>
  </si>
  <si>
    <t xml:space="preserve">AAACAACAACAGGCCTTCTTCCGC</t>
  </si>
  <si>
    <t xml:space="preserve">CGATGCGGCTCTGCAATTCT</t>
  </si>
  <si>
    <t xml:space="preserve">TAGTCGATGCGGCTCTGCAATTCT</t>
  </si>
  <si>
    <t xml:space="preserve">AAACAGAATTGCAGAGCCGCATCG</t>
  </si>
  <si>
    <t xml:space="preserve">GCGCAAGGCGTCGAATTCCT</t>
  </si>
  <si>
    <t xml:space="preserve">TAGTGCGCAAGGCGTCGAATTCCT</t>
  </si>
  <si>
    <t xml:space="preserve">AAACAGGAATTCGACGCCTTGCGC</t>
  </si>
  <si>
    <t xml:space="preserve">ATGTCGGCTGGATCGCTGCT</t>
  </si>
  <si>
    <t xml:space="preserve">TAGTATGTCGGCTGGATCGCTGCT</t>
  </si>
  <si>
    <t xml:space="preserve">AAACAGCAGCGATCCAGCCGACAT</t>
  </si>
  <si>
    <t xml:space="preserve">PST_3604</t>
  </si>
  <si>
    <t xml:space="preserve">GGTTACAGGGAGGCGGTTCA</t>
  </si>
  <si>
    <t xml:space="preserve">TAGTGGTTACAGGGAGGCGGTTCA</t>
  </si>
  <si>
    <t xml:space="preserve">AAACTGAACCGCCTCCCTGTAACC</t>
  </si>
  <si>
    <t xml:space="preserve">GCCGAGGAAGCCGGACAGGA</t>
  </si>
  <si>
    <t xml:space="preserve">TAGTGCCGAGGAAGCCGGACAGGA</t>
  </si>
  <si>
    <t xml:space="preserve">AAACTCCTGTCCGGCTTCCTCGGC</t>
  </si>
  <si>
    <t xml:space="preserve">TCTTCAGGATGTGGTTGAGC</t>
  </si>
  <si>
    <t xml:space="preserve">TAGTTCTTCAGGATGTGGTTGAGC</t>
  </si>
  <si>
    <t xml:space="preserve">AAACGCTCAACCACATCCTGAAGA</t>
  </si>
  <si>
    <t xml:space="preserve">CAGCCACGCGGCGGCCGTCG</t>
  </si>
  <si>
    <t xml:space="preserve">TAGTCAGCCACGCGGCGGCCGTCG</t>
  </si>
  <si>
    <t xml:space="preserve">AAACCGACGGCCGCCGCGTGGCTG</t>
  </si>
  <si>
    <t xml:space="preserve">PST_3605</t>
  </si>
  <si>
    <t xml:space="preserve">GCAGCTGGCGTGGCTGTGGA</t>
  </si>
  <si>
    <t xml:space="preserve">TAGTGCAGCTGGCGTGGCTGTGGA</t>
  </si>
  <si>
    <t xml:space="preserve">AAACTCCACAGCCACGCCAGCTGC</t>
  </si>
  <si>
    <t xml:space="preserve">AGCGTTTCGCCGAGTATTGC</t>
  </si>
  <si>
    <t xml:space="preserve">TAGTAGCGTTTCGCCGAGTATTGC</t>
  </si>
  <si>
    <t xml:space="preserve">AAACGCAATACTCGGCGAAACGCT</t>
  </si>
  <si>
    <t xml:space="preserve">GCTGGCGCTGCCATACGCTG</t>
  </si>
  <si>
    <t xml:space="preserve">TAGTGCTGGCGCTGCCATACGCTG</t>
  </si>
  <si>
    <t xml:space="preserve">AAACCAGCGTATGGCAGCGCCAGC</t>
  </si>
  <si>
    <t xml:space="preserve">GCGAACTCGACAATATGCAG</t>
  </si>
  <si>
    <t xml:space="preserve">TAGTGCGAACTCGACAATATGCAG</t>
  </si>
  <si>
    <t xml:space="preserve">AAACCTGCATATTGTCGAGTTCGC</t>
  </si>
  <si>
    <t xml:space="preserve">PST_3606</t>
  </si>
  <si>
    <t xml:space="preserve">CTGGTAACTGGAATTGAGCA</t>
  </si>
  <si>
    <t xml:space="preserve">TAGTCTGGTAACTGGAATTGAGCA</t>
  </si>
  <si>
    <t xml:space="preserve">AAACTGCTCAATTCCAGTTACCAG</t>
  </si>
  <si>
    <t xml:space="preserve">GGGCGCAATTGGAACAGGCC</t>
  </si>
  <si>
    <t xml:space="preserve">TAGTGGGCGCAATTGGAACAGGCC</t>
  </si>
  <si>
    <t xml:space="preserve">AAACGGCCTGTTCCAATTGCGCCC</t>
  </si>
  <si>
    <t xml:space="preserve">CGCGCAGGTCTCGCAGACCA</t>
  </si>
  <si>
    <t xml:space="preserve">TAGTCGCGCAGGTCTCGCAGACCA</t>
  </si>
  <si>
    <t xml:space="preserve">AAACTGGTCTGCGAGACCTGCGCG</t>
  </si>
  <si>
    <t xml:space="preserve">GTCGTCCTCGCGCAGGCAGG</t>
  </si>
  <si>
    <t xml:space="preserve">TAGTGTCGTCCTCGCGCAGGCAGG</t>
  </si>
  <si>
    <t xml:space="preserve">AAACCCTGCCTGCGCGAGGACGAC</t>
  </si>
  <si>
    <t xml:space="preserve">PST_3607</t>
  </si>
  <si>
    <t xml:space="preserve">AGCGGACAGGGTGAAAGGCA</t>
  </si>
  <si>
    <t xml:space="preserve">TAGTAGCGGACAGGGTGAAAGGCA</t>
  </si>
  <si>
    <t xml:space="preserve">AAACTGCCTTTCACCCTGTCCGCT</t>
  </si>
  <si>
    <t xml:space="preserve">ATGACTTCCAGCAATTCGCA</t>
  </si>
  <si>
    <t xml:space="preserve">TAGTATGACTTCCAGCAATTCGCA</t>
  </si>
  <si>
    <t xml:space="preserve">AAACTGCGAATTGCTGGAAGTCAT</t>
  </si>
  <si>
    <t xml:space="preserve">GTACGGCCTTGGCCAGGAAG</t>
  </si>
  <si>
    <t xml:space="preserve">TAGTGTACGGCCTTGGCCAGGAAG</t>
  </si>
  <si>
    <t xml:space="preserve">AAACCTTCCTGGCCAAGGCCGTAC</t>
  </si>
  <si>
    <t xml:space="preserve">GCTTCTTCCGGGCTTTGCAC</t>
  </si>
  <si>
    <t xml:space="preserve">TAGTGCTTCTTCCGGGCTTTGCAC</t>
  </si>
  <si>
    <t xml:space="preserve">AAACGTGCAAAGCCCGGAAGAAGC</t>
  </si>
  <si>
    <t xml:space="preserve">PST_3608</t>
  </si>
  <si>
    <t xml:space="preserve">add</t>
  </si>
  <si>
    <t xml:space="preserve">GGTGGAGTTCGGCCTTGGGC</t>
  </si>
  <si>
    <t xml:space="preserve">TAGTGGTGGAGTTCGGCCTTGGGC</t>
  </si>
  <si>
    <t xml:space="preserve">AAACGCCCAAGGCCGAACTCCACC</t>
  </si>
  <si>
    <t xml:space="preserve">CCAGCGAGCCCTCCAGGTGC</t>
  </si>
  <si>
    <t xml:space="preserve">TAGTCCAGCGAGCCCTCCAGGTGC</t>
  </si>
  <si>
    <t xml:space="preserve">AAACGCACCTGGAGGGCTCGCTGG</t>
  </si>
  <si>
    <t xml:space="preserve">GCCAGACGGAACATCAGTTC</t>
  </si>
  <si>
    <t xml:space="preserve">TAGTGCCAGACGGAACATCAGTTC</t>
  </si>
  <si>
    <t xml:space="preserve">AAACGAACTGATGTTCCGTCTGGC</t>
  </si>
  <si>
    <t xml:space="preserve">CAGGGCGATCTTGTTGCGCT</t>
  </si>
  <si>
    <t xml:space="preserve">TAGTCAGGGCGATCTTGTTGCGCT</t>
  </si>
  <si>
    <t xml:space="preserve">AAACAGCGCAACAAGATCGCCCTG</t>
  </si>
  <si>
    <t xml:space="preserve">PST_3609</t>
  </si>
  <si>
    <t xml:space="preserve">GGGGCGGACGAGAATGTGCA</t>
  </si>
  <si>
    <t xml:space="preserve">TAGTGGGGCGGACGAGAATGTGCA</t>
  </si>
  <si>
    <t xml:space="preserve">AAACTGCACATTCTCGTCCGCCCC</t>
  </si>
  <si>
    <t xml:space="preserve">CTGTCGGGGTGGGGCGTCAT</t>
  </si>
  <si>
    <t xml:space="preserve">TAGTCTGTCGGGGTGGGGCGTCAT</t>
  </si>
  <si>
    <t xml:space="preserve">AAACATGACGCCCCACCCCGACAG</t>
  </si>
  <si>
    <t xml:space="preserve">GCGATCCAGGCAGACCTGCC</t>
  </si>
  <si>
    <t xml:space="preserve">TAGTGCGATCCAGGCAGACCTGCC</t>
  </si>
  <si>
    <t xml:space="preserve">AAACGGCAGGTCTGCCTGGATCGC</t>
  </si>
  <si>
    <t xml:space="preserve">CGCTGCGAAAGGTGATGCGC</t>
  </si>
  <si>
    <t xml:space="preserve">TAGTCGCTGCGAAAGGTGATGCGC</t>
  </si>
  <si>
    <t xml:space="preserve">AAACGCGCATCACCTTTCGCAGCG</t>
  </si>
  <si>
    <t xml:space="preserve">PST_3610</t>
  </si>
  <si>
    <t xml:space="preserve">CCTCGGTGGGGCAATTGCAC</t>
  </si>
  <si>
    <t xml:space="preserve">TAGTCCTCGGTGGGGCAATTGCAC</t>
  </si>
  <si>
    <t xml:space="preserve">AAACGTGCAATTGCCCCACCGAGG</t>
  </si>
  <si>
    <t xml:space="preserve">CGAGGCCAATGCTTGGACCG</t>
  </si>
  <si>
    <t xml:space="preserve">TAGTCGAGGCCAATGCTTGGACCG</t>
  </si>
  <si>
    <t xml:space="preserve">AAACCGGTCCAAGCATTGGCCTCG</t>
  </si>
  <si>
    <t xml:space="preserve">AGGCTCGCAAAGCAGGAAAA</t>
  </si>
  <si>
    <t xml:space="preserve">TAGTAGGCTCGCAAAGCAGGAAAA</t>
  </si>
  <si>
    <t xml:space="preserve">AAACTTTTCCTGCTTTGCGAGCCT</t>
  </si>
  <si>
    <t xml:space="preserve">AGAATCCGCAAAGACATCAG</t>
  </si>
  <si>
    <t xml:space="preserve">TAGTAGAATCCGCAAAGACATCAG</t>
  </si>
  <si>
    <t xml:space="preserve">AAACCTGATGTCTTTGCGGATTCT</t>
  </si>
  <si>
    <t xml:space="preserve">PST_3611</t>
  </si>
  <si>
    <t xml:space="preserve">TTCTTCTTTGGTTCGGCGCA</t>
  </si>
  <si>
    <t xml:space="preserve">TAGTTTCTTCTTTGGTTCGGCGCA</t>
  </si>
  <si>
    <t xml:space="preserve">AAACTGCGCCGAACCAAAGAAGAA</t>
  </si>
  <si>
    <t xml:space="preserve">GATGGCGATGCGGGTCTTCT</t>
  </si>
  <si>
    <t xml:space="preserve">TAGTGATGGCGATGCGGGTCTTCT</t>
  </si>
  <si>
    <t xml:space="preserve">AAACAGAAGACCCGCATCGCCATC</t>
  </si>
  <si>
    <t xml:space="preserve">ACAGCCGCTCGGCGGAGGCG</t>
  </si>
  <si>
    <t xml:space="preserve">TAGTACAGCCGCTCGGCGGAGGCG</t>
  </si>
  <si>
    <t xml:space="preserve">AAACCGCCTCCGCCGAGCGGCTGT</t>
  </si>
  <si>
    <t xml:space="preserve">GATCTGATCGAGACTGGTGT</t>
  </si>
  <si>
    <t xml:space="preserve">TAGTGATCTGATCGAGACTGGTGT</t>
  </si>
  <si>
    <t xml:space="preserve">AAACACACCAGTCTCGATCAGATC</t>
  </si>
  <si>
    <t xml:space="preserve">PST_3612</t>
  </si>
  <si>
    <t xml:space="preserve">ATTCCGCTCACGTTGAATAC</t>
  </si>
  <si>
    <t xml:space="preserve">TAGTATTCCGCTCACGTTGAATAC</t>
  </si>
  <si>
    <t xml:space="preserve">AAACGTATTCAACGTGAGCGGAAT</t>
  </si>
  <si>
    <t xml:space="preserve">CGCGCGCTCGCAGTGGCTGC</t>
  </si>
  <si>
    <t xml:space="preserve">TAGTCGCGCGCTCGCAGTGGCTGC</t>
  </si>
  <si>
    <t xml:space="preserve">AAACGCAGCCACTGCGAGCGCGCG</t>
  </si>
  <si>
    <t xml:space="preserve">GTCCAGCGCCTTGATGGCCT</t>
  </si>
  <si>
    <t xml:space="preserve">TAGTGTCCAGCGCCTTGATGGCCT</t>
  </si>
  <si>
    <t xml:space="preserve">AAACAGGCCATCAAGGCGCTGGAC</t>
  </si>
  <si>
    <t xml:space="preserve">CGCCAGATCCACCTTCACCT</t>
  </si>
  <si>
    <t xml:space="preserve">TAGTCGCCAGATCCACCTTCACCT</t>
  </si>
  <si>
    <t xml:space="preserve">AAACAGGTGAAGGTGGATCTGGCG</t>
  </si>
  <si>
    <t xml:space="preserve">PST_3613</t>
  </si>
  <si>
    <t xml:space="preserve">CGTATGGGTGGCGCTGGACA</t>
  </si>
  <si>
    <t xml:space="preserve">TAGTCGTATGGGTGGCGCTGGACA</t>
  </si>
  <si>
    <t xml:space="preserve">AAACTGTCCAGCGCCACCCATACG</t>
  </si>
  <si>
    <t xml:space="preserve">GCGCAGGTCATACCGCTGAC</t>
  </si>
  <si>
    <t xml:space="preserve">TAGTGCGCAGGTCATACCGCTGAC</t>
  </si>
  <si>
    <t xml:space="preserve">AAACGTCAGCGGTATGACCTGCGC</t>
  </si>
  <si>
    <t xml:space="preserve">TTCGACGCGGCCGGCGCAGC</t>
  </si>
  <si>
    <t xml:space="preserve">TAGTTTCGACGCGGCCGGCGCAGC</t>
  </si>
  <si>
    <t xml:space="preserve">AAACGCTGCGCCGGCCGCGTCGAA</t>
  </si>
  <si>
    <t xml:space="preserve">ACGCTGGCGCTGGCCACGCC</t>
  </si>
  <si>
    <t xml:space="preserve">TAGTACGCTGGCGCTGGCCACGCC</t>
  </si>
  <si>
    <t xml:space="preserve">AAACGGCGTGGCCAGCGCCAGCGT</t>
  </si>
  <si>
    <t xml:space="preserve">PST_3614</t>
  </si>
  <si>
    <t xml:space="preserve">GGCTGCCTGACCGATGTTCA</t>
  </si>
  <si>
    <t xml:space="preserve">TAGTGGCTGCCTGACCGATGTTCA</t>
  </si>
  <si>
    <t xml:space="preserve">AAACTGAACATCGGTCAGGCAGCC</t>
  </si>
  <si>
    <t xml:space="preserve">CGCCGTAAGGCCGCTGTGCT</t>
  </si>
  <si>
    <t xml:space="preserve">TAGTCGCCGTAAGGCCGCTGTGCT</t>
  </si>
  <si>
    <t xml:space="preserve">AAACAGCACAGCGGCCTTACGGCG</t>
  </si>
  <si>
    <t xml:space="preserve">GACCGATGGATTCGTAGTAG</t>
  </si>
  <si>
    <t xml:space="preserve">TAGTGACCGATGGATTCGTAGTAG</t>
  </si>
  <si>
    <t xml:space="preserve">AAACCTACTACGAATCCATCGGTC</t>
  </si>
  <si>
    <t xml:space="preserve">CCATTGGCGCCACGCCCGGC</t>
  </si>
  <si>
    <t xml:space="preserve">TAGTCCATTGGCGCCACGCCCGGC</t>
  </si>
  <si>
    <t xml:space="preserve">AAACGCCGGGCGTGGCGCCAATGG</t>
  </si>
  <si>
    <t xml:space="preserve">PST_3615</t>
  </si>
  <si>
    <t xml:space="preserve">AGGGCGGCCGCTTCTGTCTT</t>
  </si>
  <si>
    <t xml:space="preserve">TAGTAGGGCGGCCGCTTCTGTCTT</t>
  </si>
  <si>
    <t xml:space="preserve">AAACAAGACAGAAGCGGCCGCCCT</t>
  </si>
  <si>
    <t xml:space="preserve">GTCGATGCGAGCGGGTACGC</t>
  </si>
  <si>
    <t xml:space="preserve">TAGTGTCGATGCGAGCGGGTACGC</t>
  </si>
  <si>
    <t xml:space="preserve">AAACGCGTACCCGCTCGCATCGAC</t>
  </si>
  <si>
    <t xml:space="preserve">ATTTGCAAACCAGTTATTCA</t>
  </si>
  <si>
    <t xml:space="preserve">TAGTATTTGCAAACCAGTTATTCA</t>
  </si>
  <si>
    <t xml:space="preserve">AAACTGAATAACTGGTTTGCAAAT</t>
  </si>
  <si>
    <t xml:space="preserve">CGAGGATGAAGGTGAGGGCC</t>
  </si>
  <si>
    <t xml:space="preserve">TAGTCGAGGATGAAGGTGAGGGCC</t>
  </si>
  <si>
    <t xml:space="preserve">AAACGGCCCTCACCTTCATCCTCG</t>
  </si>
  <si>
    <t xml:space="preserve">PST_3616</t>
  </si>
  <si>
    <t xml:space="preserve">bfrA</t>
  </si>
  <si>
    <t xml:space="preserve">ACTGATGCGCCTTGAACAGC</t>
  </si>
  <si>
    <t xml:space="preserve">TAGTACTGATGCGCCTTGAACAGC</t>
  </si>
  <si>
    <t xml:space="preserve">AAACGCTGTTCAAGGCGCATCAGT</t>
  </si>
  <si>
    <t xml:space="preserve">GATAGTCGATTACCGGTGCC</t>
  </si>
  <si>
    <t xml:space="preserve">TAGTGATAGTCGATTACCGGTGCC</t>
  </si>
  <si>
    <t xml:space="preserve">AAACGGCACCGGTAATCGACTATC</t>
  </si>
  <si>
    <t xml:space="preserve">CGGCGTACATCCGCGAGTGC</t>
  </si>
  <si>
    <t xml:space="preserve">TAGTCGGCGTACATCCGCGAGTGC</t>
  </si>
  <si>
    <t xml:space="preserve">AAACGCACTCGCGGATGTACGCCG</t>
  </si>
  <si>
    <t xml:space="preserve">GAGCTTGGTAAAGCCCCAAT</t>
  </si>
  <si>
    <t xml:space="preserve">TAGTGAGCTTGGTAAAGCCCCAAT</t>
  </si>
  <si>
    <t xml:space="preserve">AAACATTGGGGCTTTACCAAGCTC</t>
  </si>
  <si>
    <t xml:space="preserve">PST_3617</t>
  </si>
  <si>
    <t xml:space="preserve">AAAGCTGGCGTTGACGTCAT</t>
  </si>
  <si>
    <t xml:space="preserve">TAGTAAAGCTGGCGTTGACGTCAT</t>
  </si>
  <si>
    <t xml:space="preserve">AAACATGACGTCAACGCCAGCTTT</t>
  </si>
  <si>
    <t xml:space="preserve">TCAACCAGGCCTTGGACACT</t>
  </si>
  <si>
    <t xml:space="preserve">TAGTTCAACCAGGCCTTGGACACT</t>
  </si>
  <si>
    <t xml:space="preserve">AAACAGTGTCCAAGGCCTGGTTGA</t>
  </si>
  <si>
    <t xml:space="preserve">GAGGAACAACCGCCGAGCAG</t>
  </si>
  <si>
    <t xml:space="preserve">TAGTGAGGAACAACCGCCGAGCAG</t>
  </si>
  <si>
    <t xml:space="preserve">AAACCTGCTCGGCGGTTGTTCCTC</t>
  </si>
  <si>
    <t xml:space="preserve">TGGTGGCTCGGGCGCCGGCT</t>
  </si>
  <si>
    <t xml:space="preserve">TAGTTGGTGGCTCGGGCGCCGGCT</t>
  </si>
  <si>
    <t xml:space="preserve">AAACAGCCGGCGCCCGAGCCACCA</t>
  </si>
  <si>
    <t xml:space="preserve">PST_3618</t>
  </si>
  <si>
    <t xml:space="preserve">GCGTAACGGGCGAAATCCAT</t>
  </si>
  <si>
    <t xml:space="preserve">TAGTGCGTAACGGGCGAAATCCAT</t>
  </si>
  <si>
    <t xml:space="preserve">AAACATGGATTTCGCCCGTTACGC</t>
  </si>
  <si>
    <t xml:space="preserve">GATATTGACCGGCCGAGTGA</t>
  </si>
  <si>
    <t xml:space="preserve">TAGTGATATTGACCGGCCGAGTGA</t>
  </si>
  <si>
    <t xml:space="preserve">AAACTCACTCGGCCGGTCAATATC</t>
  </si>
  <si>
    <t xml:space="preserve">GAGGATGCCGCCGAGCAGGC</t>
  </si>
  <si>
    <t xml:space="preserve">TAGTGAGGATGCCGCCGAGCAGGC</t>
  </si>
  <si>
    <t xml:space="preserve">AAACGCCTGCTCGGCGGCATCCTC</t>
  </si>
  <si>
    <t xml:space="preserve">CAGGCGGCCGATCTCGAAGA</t>
  </si>
  <si>
    <t xml:space="preserve">TAGTCAGGCGGCCGATCTCGAAGA</t>
  </si>
  <si>
    <t xml:space="preserve">AAACTCTTCGAGATCGGCCGCCTG</t>
  </si>
  <si>
    <t xml:space="preserve">PST_3619</t>
  </si>
  <si>
    <t xml:space="preserve">CAGCGGAGCGGCCAGGGCCT</t>
  </si>
  <si>
    <t xml:space="preserve">TAGTCAGCGGAGCGGCCAGGGCCT</t>
  </si>
  <si>
    <t xml:space="preserve">AAACAGGCCCTGGCCGCTCCGCTG</t>
  </si>
  <si>
    <t xml:space="preserve">GGAGCAGGCACTCAGGGCCA</t>
  </si>
  <si>
    <t xml:space="preserve">TAGTGGAGCAGGCACTCAGGGCCA</t>
  </si>
  <si>
    <t xml:space="preserve">AAACTGGCCCTGAGTGCCTGCTCC</t>
  </si>
  <si>
    <t xml:space="preserve">CGCCGGGTGCTGCGGTGCGC</t>
  </si>
  <si>
    <t xml:space="preserve">TAGTCGCCGGGTGCTGCGGTGCGC</t>
  </si>
  <si>
    <t xml:space="preserve">AAACGCGCACCGCAGCACCCGGCG</t>
  </si>
  <si>
    <t xml:space="preserve">AACCAGGTATCCGGCAGTTG</t>
  </si>
  <si>
    <t xml:space="preserve">TAGTAACCAGGTATCCGGCAGTTG</t>
  </si>
  <si>
    <t xml:space="preserve">AAACCAACTGCCGGATACCTGGTT</t>
  </si>
  <si>
    <t xml:space="preserve">PST_3620</t>
  </si>
  <si>
    <t xml:space="preserve">TTTGAAAGCGCGCTTTGGAT</t>
  </si>
  <si>
    <t xml:space="preserve">TAGTTTTGAAAGCGCGCTTTGGAT</t>
  </si>
  <si>
    <t xml:space="preserve">AAACATCCAAAGCGCGCTTTCAAA</t>
  </si>
  <si>
    <t xml:space="preserve">AGGTTACGGCAATCACAAAC</t>
  </si>
  <si>
    <t xml:space="preserve">TAGTAGGTTACGGCAATCACAAAC</t>
  </si>
  <si>
    <t xml:space="preserve">AAACGTTTGTGATTGCCGTAACCT</t>
  </si>
  <si>
    <t xml:space="preserve">TCGGTCAGGGGCGGTGTTGC</t>
  </si>
  <si>
    <t xml:space="preserve">TAGTTCGGTCAGGGGCGGTGTTGC</t>
  </si>
  <si>
    <t xml:space="preserve">AAACGCAACACCGCCCCTGACCGA</t>
  </si>
  <si>
    <t xml:space="preserve">CGTTTTCATCAGCGGCTTGC</t>
  </si>
  <si>
    <t xml:space="preserve">TAGTCGTTTTCATCAGCGGCTTGC</t>
  </si>
  <si>
    <t xml:space="preserve">AAACGCAAGCCGCTGATGAAAACG</t>
  </si>
  <si>
    <t xml:space="preserve">PST_3621</t>
  </si>
  <si>
    <t xml:space="preserve">CGCACAGCGCCTGCCAGCAA</t>
  </si>
  <si>
    <t xml:space="preserve">TAGTCGCACAGCGCCTGCCAGCAA</t>
  </si>
  <si>
    <t xml:space="preserve">AAACTTGCTGGCAGGCGCTGTGCG</t>
  </si>
  <si>
    <t xml:space="preserve">GACGAAACGCCCATCGAAGG</t>
  </si>
  <si>
    <t xml:space="preserve">TAGTGACGAAACGCCCATCGAAGG</t>
  </si>
  <si>
    <t xml:space="preserve">AAACCCTTCGATGGGCGTTTCGTC</t>
  </si>
  <si>
    <t xml:space="preserve">GAAGATGCCGGTCGAGCGCA</t>
  </si>
  <si>
    <t xml:space="preserve">TAGTGAAGATGCCGGTCGAGCGCA</t>
  </si>
  <si>
    <t xml:space="preserve">AAACTGCGCTCGACCGGCATCTTC</t>
  </si>
  <si>
    <t xml:space="preserve">GGCGGGCCGGGCAGCTGGGC</t>
  </si>
  <si>
    <t xml:space="preserve">TAGTGGCGGGCCGGGCAGCTGGGC</t>
  </si>
  <si>
    <t xml:space="preserve">AAACGCCCAGCTGCCCGGCCCGCC</t>
  </si>
  <si>
    <t xml:space="preserve">PST_3622</t>
  </si>
  <si>
    <t xml:space="preserve">TGACGGCTTCCTGCGGTGGG</t>
  </si>
  <si>
    <t xml:space="preserve">TAGTTGACGGCTTCCTGCGGTGGG</t>
  </si>
  <si>
    <t xml:space="preserve">AAACCCCACCGCAGGAAGCCGTCA</t>
  </si>
  <si>
    <t xml:space="preserve">GATGCGGTAACGCTTCAGTT</t>
  </si>
  <si>
    <t xml:space="preserve">TAGTGATGCGGTAACGCTTCAGTT</t>
  </si>
  <si>
    <t xml:space="preserve">AAACAACTGAAGCGTTACCGCATC</t>
  </si>
  <si>
    <t xml:space="preserve">GCTCGCCATTGATGCGGTAG</t>
  </si>
  <si>
    <t xml:space="preserve">TAGTGCTCGCCATTGATGCGGTAG</t>
  </si>
  <si>
    <t xml:space="preserve">AAACCTACCGCATCAATGGCGAGC</t>
  </si>
  <si>
    <t xml:space="preserve">CGAGCTGATCAGCAGCGAAG</t>
  </si>
  <si>
    <t xml:space="preserve">TAGTCGAGCTGATCAGCAGCGAAG</t>
  </si>
  <si>
    <t xml:space="preserve">AAACCTTCGCTGCTGATCAGCTCG</t>
  </si>
  <si>
    <t xml:space="preserve">PST_3623</t>
  </si>
  <si>
    <t xml:space="preserve">GACACCGGCGTTCCGGGCGC</t>
  </si>
  <si>
    <t xml:space="preserve">TAGTGACACCGGCGTTCCGGGCGC</t>
  </si>
  <si>
    <t xml:space="preserve">AAACGCGCCCGGAACGCCGGTGTC</t>
  </si>
  <si>
    <t xml:space="preserve">CCAGACCCGCTGCCAGTTGG</t>
  </si>
  <si>
    <t xml:space="preserve">TAGTCCAGACCCGCTGCCAGTTGG</t>
  </si>
  <si>
    <t xml:space="preserve">AAACCCAACTGGCAGCGGGTCTGG</t>
  </si>
  <si>
    <t xml:space="preserve">ATGCACCGAAGGTTCGTCAC</t>
  </si>
  <si>
    <t xml:space="preserve">TAGTATGCACCGAAGGTTCGTCAC</t>
  </si>
  <si>
    <t xml:space="preserve">AAACGTGACGAACCTTCGGTGCAT</t>
  </si>
  <si>
    <t xml:space="preserve">CCTCGAGAAACACCGGATGC</t>
  </si>
  <si>
    <t xml:space="preserve">TAGTCCTCGAGAAACACCGGATGC</t>
  </si>
  <si>
    <t xml:space="preserve">AAACGCATCCGGTGTTTCTCGAGG</t>
  </si>
  <si>
    <t xml:space="preserve">PST_3624</t>
  </si>
  <si>
    <t xml:space="preserve">ACTTCATGCCGAAGCTCAGG</t>
  </si>
  <si>
    <t xml:space="preserve">TAGTACTTCATGCCGAAGCTCAGG</t>
  </si>
  <si>
    <t xml:space="preserve">AAACCCTGAGCTTCGGCATGAAGT</t>
  </si>
  <si>
    <t xml:space="preserve">GCAGCATGGGAACGAAGAAC</t>
  </si>
  <si>
    <t xml:space="preserve">TAGTGCAGCATGGGAACGAAGAAC</t>
  </si>
  <si>
    <t xml:space="preserve">AAACGTTCTTCGTTCCCATGCTGC</t>
  </si>
  <si>
    <t xml:space="preserve">CCCGGTACGACTCGCGCACC</t>
  </si>
  <si>
    <t xml:space="preserve">TAGTCCCGGTACGACTCGCGCACC</t>
  </si>
  <si>
    <t xml:space="preserve">AAACGGTGCGCGAGTCGTACCGGG</t>
  </si>
  <si>
    <t xml:space="preserve">CTCCGTTCGCGTGCCGACGA</t>
  </si>
  <si>
    <t xml:space="preserve">TAGTCTCCGTTCGCGTGCCGACGA</t>
  </si>
  <si>
    <t xml:space="preserve">AAACTCGTCGGCACGCGAACGGAG</t>
  </si>
  <si>
    <t xml:space="preserve">PST_3625</t>
  </si>
  <si>
    <t xml:space="preserve">TGTCCACCAGCAGCACGAGC</t>
  </si>
  <si>
    <t xml:space="preserve">TAGTTGTCCACCAGCAGCACGAGC</t>
  </si>
  <si>
    <t xml:space="preserve">AAACGCTCGTGCTGCTGGTGGACA</t>
  </si>
  <si>
    <t xml:space="preserve">CTGCAGGCGTGGTCGCCAGT</t>
  </si>
  <si>
    <t xml:space="preserve">TAGTCTGCAGGCGTGGTCGCCAGT</t>
  </si>
  <si>
    <t xml:space="preserve">AAACACTGGCGACCACGCCTGCAG</t>
  </si>
  <si>
    <t xml:space="preserve">GACGCAGCCTGGTCAGCCAG</t>
  </si>
  <si>
    <t xml:space="preserve">TAGTGACGCAGCCTGGTCAGCCAG</t>
  </si>
  <si>
    <t xml:space="preserve">AAACCTGGCTGACCAGGCTGCGTC</t>
  </si>
  <si>
    <t xml:space="preserve">CCGCAGGCGCGGATTGGCTT</t>
  </si>
  <si>
    <t xml:space="preserve">TAGTCCGCAGGCGCGGATTGGCTT</t>
  </si>
  <si>
    <t xml:space="preserve">AAACAAGCCAATCCGCGCCTGCGG</t>
  </si>
  <si>
    <t xml:space="preserve">PST_3626</t>
  </si>
  <si>
    <t xml:space="preserve">ampD</t>
  </si>
  <si>
    <t xml:space="preserve">ACCAGCCGGTGGCGGAATCC</t>
  </si>
  <si>
    <t xml:space="preserve">TAGTACCAGCCGGTGGCGGAATCC</t>
  </si>
  <si>
    <t xml:space="preserve">AAACGGATTCCGCCACCGGCTGGT</t>
  </si>
  <si>
    <t xml:space="preserve">AGGGGCAGTGGCGCACGCCA</t>
  </si>
  <si>
    <t xml:space="preserve">TAGTAGGGGCAGTGGCGCACGCCA</t>
  </si>
  <si>
    <t xml:space="preserve">AAACTGGCGTGCGCCACTGCCCCT</t>
  </si>
  <si>
    <t xml:space="preserve">GCGCTGATTGAAGTTCGGCG</t>
  </si>
  <si>
    <t xml:space="preserve">TAGTGCGCTGATTGAAGTTCGGCG</t>
  </si>
  <si>
    <t xml:space="preserve">AAACCGCCGAACTTCAATCAGCGC</t>
  </si>
  <si>
    <t xml:space="preserve">AGCAAGGAAATCTCGCCGGC</t>
  </si>
  <si>
    <t xml:space="preserve">TAGTAGCAAGGAAATCTCGCCGGC</t>
  </si>
  <si>
    <t xml:space="preserve">AAACGCCGGCGAGATTTCCTTGCT</t>
  </si>
  <si>
    <t xml:space="preserve">PST_3627</t>
  </si>
  <si>
    <t xml:space="preserve">CAGCGGGATAATGACTGATC</t>
  </si>
  <si>
    <t xml:space="preserve">TAGTCAGCGGGATAATGACTGATC</t>
  </si>
  <si>
    <t xml:space="preserve">AAACGATCAGTCATTATCCCGCTG</t>
  </si>
  <si>
    <t xml:space="preserve">GCCATCCCAGTCGCCGAACG</t>
  </si>
  <si>
    <t xml:space="preserve">TAGTGCCATCCCAGTCGCCGAACG</t>
  </si>
  <si>
    <t xml:space="preserve">AAACCGTTCGGCGACTGGGATGGC</t>
  </si>
  <si>
    <t xml:space="preserve">TGCATCGCTCGTGCCGCGGC</t>
  </si>
  <si>
    <t xml:space="preserve">TAGTTGCATCGCTCGTGCCGCGGC</t>
  </si>
  <si>
    <t xml:space="preserve">AAACGCCGCGGCACGAGCGATGCA</t>
  </si>
  <si>
    <t xml:space="preserve">CAGCGATCAGGCGCAGCGCT</t>
  </si>
  <si>
    <t xml:space="preserve">TAGTCAGCGATCAGGCGCAGCGCT</t>
  </si>
  <si>
    <t xml:space="preserve">AAACAGCGCTGCGCCTGATCGCTG</t>
  </si>
  <si>
    <t xml:space="preserve">PST_3628</t>
  </si>
  <si>
    <t xml:space="preserve">CGAGCTGGCGGCCGTAGCGC</t>
  </si>
  <si>
    <t xml:space="preserve">TAGTCGAGCTGGCGGCCGTAGCGC</t>
  </si>
  <si>
    <t xml:space="preserve">AAACGCGCTACGGCCGCCAGCTCG</t>
  </si>
  <si>
    <t xml:space="preserve">CGAATGCCGGTTTGAGGTCA</t>
  </si>
  <si>
    <t xml:space="preserve">TAGTCGAATGCCGGTTTGAGGTCA</t>
  </si>
  <si>
    <t xml:space="preserve">AAACTGACCTCAAACCGGCATTCG</t>
  </si>
  <si>
    <t xml:space="preserve">ACCGTCCGGGCTGACCAGGC</t>
  </si>
  <si>
    <t xml:space="preserve">TAGTACCGTCCGGGCTGACCAGGC</t>
  </si>
  <si>
    <t xml:space="preserve">AAACGCCTGGTCAGCCCGGACGGT</t>
  </si>
  <si>
    <t xml:space="preserve">TGTAATGGGTGTCCCACTGA</t>
  </si>
  <si>
    <t xml:space="preserve">TAGTTGTAATGGGTGTCCCACTGA</t>
  </si>
  <si>
    <t xml:space="preserve">AAACTCAGTGGGACACCCATTACA</t>
  </si>
  <si>
    <t xml:space="preserve">PST_3629</t>
  </si>
  <si>
    <t xml:space="preserve">ATAGCGCTCAAGAGGAGTCA</t>
  </si>
  <si>
    <t xml:space="preserve">TAGTATAGCGCTCAAGAGGAGTCA</t>
  </si>
  <si>
    <t xml:space="preserve">AAACTGACTCCTCTTGAGCGCTAT</t>
  </si>
  <si>
    <t xml:space="preserve">AAAGTCAGGACGTTTCAGGT</t>
  </si>
  <si>
    <t xml:space="preserve">TAGTAAAGTCAGGACGTTTCAGGT</t>
  </si>
  <si>
    <t xml:space="preserve">AAACACCTGAAACGTCCTGACTTT</t>
  </si>
  <si>
    <t xml:space="preserve">CGTTTTCCTGGGCGGCATCG</t>
  </si>
  <si>
    <t xml:space="preserve">TAGTCGTTTTCCTGGGCGGCATCG</t>
  </si>
  <si>
    <t xml:space="preserve">AAACCGATGCCGCCCAGGAAAACG</t>
  </si>
  <si>
    <t xml:space="preserve">GATCGTCGTACAGACGCTGC</t>
  </si>
  <si>
    <t xml:space="preserve">TAGTGATCGTCGTACAGACGCTGC</t>
  </si>
  <si>
    <t xml:space="preserve">AAACGCAGCGTCTGTACGACGATC</t>
  </si>
  <si>
    <t xml:space="preserve">PST_3630</t>
  </si>
  <si>
    <t xml:space="preserve">trpS</t>
  </si>
  <si>
    <t xml:space="preserve">GGTGATACCGGTCAGGATGC</t>
  </si>
  <si>
    <t xml:space="preserve">TAGTGGTGATACCGGTCAGGATGC</t>
  </si>
  <si>
    <t xml:space="preserve">AAACGCATCCTGACCGGTATCACC</t>
  </si>
  <si>
    <t xml:space="preserve">CAGATGCGGCGTACCGGTCG</t>
  </si>
  <si>
    <t xml:space="preserve">TAGTCAGATGCGGCGTACCGGTCG</t>
  </si>
  <si>
    <t xml:space="preserve">AAACCGACCGGTACGCCGCATCTG</t>
  </si>
  <si>
    <t xml:space="preserve">GATGGCCGGGCGGATCGCTC</t>
  </si>
  <si>
    <t xml:space="preserve">TAGTGATGGCCGGGCGGATCGCTC</t>
  </si>
  <si>
    <t xml:space="preserve">AAACGAGCGATCCGCCCGGCCATC</t>
  </si>
  <si>
    <t xml:space="preserve">CGGCCGCGTCGCGGCTGGCG</t>
  </si>
  <si>
    <t xml:space="preserve">TAGTCGGCCGCGTCGCGGCTGGCG</t>
  </si>
  <si>
    <t xml:space="preserve">AAACCGCCAGCCGCGACGCGGCCG</t>
  </si>
  <si>
    <t xml:space="preserve">PST_3631</t>
  </si>
  <si>
    <t xml:space="preserve">CAGGGGCCATCGATAGAGAG</t>
  </si>
  <si>
    <t xml:space="preserve">TAGTCAGGGGCCATCGATAGAGAG</t>
  </si>
  <si>
    <t xml:space="preserve">AAACCTCTCTATCGATGGCCCCTG</t>
  </si>
  <si>
    <t xml:space="preserve">AGCGCCAGGCCGCGGGCCTG</t>
  </si>
  <si>
    <t xml:space="preserve">TAGTAGCGCCAGGCCGCGGGCCTG</t>
  </si>
  <si>
    <t xml:space="preserve">AAACCAGGCCCGCGGCCTGGCGCT</t>
  </si>
  <si>
    <t xml:space="preserve">CGCCCTTGACCGGGTTCGGA</t>
  </si>
  <si>
    <t xml:space="preserve">TAGTCGCCCTTGACCGGGTTCGGA</t>
  </si>
  <si>
    <t xml:space="preserve">AAACTCCGAACCCGGTCAAGGGCG</t>
  </si>
  <si>
    <t xml:space="preserve">CGAGACCACCTTGTTCAGCA</t>
  </si>
  <si>
    <t xml:space="preserve">TAGTCGAGACCACCTTGTTCAGCA</t>
  </si>
  <si>
    <t xml:space="preserve">AAACTGCTGAACAAGGTGGTCTCG</t>
  </si>
  <si>
    <t xml:space="preserve">PST_3632</t>
  </si>
  <si>
    <t xml:space="preserve">GAGTCCTTCCTCTATATAAA</t>
  </si>
  <si>
    <t xml:space="preserve">TAGTGAGTCCTTCCTCTATATAAA</t>
  </si>
  <si>
    <t xml:space="preserve">AAACTTTATATAGAGGAAGGACTC</t>
  </si>
  <si>
    <t xml:space="preserve">CGGGAGCAACCAGGTCGCGA</t>
  </si>
  <si>
    <t xml:space="preserve">TAGTCGGGAGCAACCAGGTCGCGA</t>
  </si>
  <si>
    <t xml:space="preserve">AAACTCGCGACCTGGTTGCTCCCG</t>
  </si>
  <si>
    <t xml:space="preserve">CCGGCGATCAGGCCGACGAT</t>
  </si>
  <si>
    <t xml:space="preserve">TAGTCCGGCGATCAGGCCGACGAT</t>
  </si>
  <si>
    <t xml:space="preserve">AAACATCGTCGGCCTGATCGCCGG</t>
  </si>
  <si>
    <t xml:space="preserve">GCGCGCCACCAGATAACCGA</t>
  </si>
  <si>
    <t xml:space="preserve">TAGTGCGCGCCACCAGATAACCGA</t>
  </si>
  <si>
    <t xml:space="preserve">AAACTCGGTTATCTGGTGGCGCGC</t>
  </si>
  <si>
    <t xml:space="preserve">PST_3633</t>
  </si>
  <si>
    <t xml:space="preserve">nadC</t>
  </si>
  <si>
    <t xml:space="preserve">AGATCGGCAAGGCTGAGATT</t>
  </si>
  <si>
    <t xml:space="preserve">TAGTAGATCGGCAAGGCTGAGATT</t>
  </si>
  <si>
    <t xml:space="preserve">AAACAATCTCAGCCTTGCCGATCT</t>
  </si>
  <si>
    <t xml:space="preserve">TGCATTGGCATCAATTTCTG</t>
  </si>
  <si>
    <t xml:space="preserve">TAGTTGCATTGGCATCAATTTCTG</t>
  </si>
  <si>
    <t xml:space="preserve">AAACCAGAAATTGATGCCAATGCA</t>
  </si>
  <si>
    <t xml:space="preserve">CGACATCTTCGGCTAAGGCG</t>
  </si>
  <si>
    <t xml:space="preserve">TAGTCGACATCTTCGGCTAAGGCG</t>
  </si>
  <si>
    <t xml:space="preserve">AAACCGCCTTAGCCGAAGATGTCG</t>
  </si>
  <si>
    <t xml:space="preserve">CTCGGTTGGGATCAGCTGCG</t>
  </si>
  <si>
    <t xml:space="preserve">TAGTCTCGGTTGGGATCAGCTGCG</t>
  </si>
  <si>
    <t xml:space="preserve">AAACCGCAGCTGATCCCAACCGAG</t>
  </si>
  <si>
    <t xml:space="preserve">PST_3634</t>
  </si>
  <si>
    <t xml:space="preserve">CAGGTGCACCACTTTCGCAT</t>
  </si>
  <si>
    <t xml:space="preserve">TAGTCAGGTGCACCACTTTCGCAT</t>
  </si>
  <si>
    <t xml:space="preserve">AAACATGCGAAAGTGGTGCACCTG</t>
  </si>
  <si>
    <t xml:space="preserve">TGAAGACGGCTTGTGCTCAG</t>
  </si>
  <si>
    <t xml:space="preserve">TAGTTGAAGACGGCTTGTGCTCAG</t>
  </si>
  <si>
    <t xml:space="preserve">AAACCTGAGCACAAGCCGTCTTCA</t>
  </si>
  <si>
    <t xml:space="preserve">GCCACCGGAAGGCGGCCTGC</t>
  </si>
  <si>
    <t xml:space="preserve">TAGTGCCACCGGAAGGCGGCCTGC</t>
  </si>
  <si>
    <t xml:space="preserve">AAACGCAGGCCGCCTTCCGGTGGC</t>
  </si>
  <si>
    <t xml:space="preserve">GCAGCGCCTGACGCAGTTGC</t>
  </si>
  <si>
    <t xml:space="preserve">TAGTGCAGCGCCTGACGCAGTTGC</t>
  </si>
  <si>
    <t xml:space="preserve">AAACGCAACTGCGTCAGGCGCTGC</t>
  </si>
  <si>
    <t xml:space="preserve">PST_3635</t>
  </si>
  <si>
    <t xml:space="preserve">ndh</t>
  </si>
  <si>
    <t xml:space="preserve">ATTACGATTCGATGTGACAT</t>
  </si>
  <si>
    <t xml:space="preserve">TAGTATTACGATTCGATGTGACAT</t>
  </si>
  <si>
    <t xml:space="preserve">AAACATGTCACATCGAATCGTAAT</t>
  </si>
  <si>
    <t xml:space="preserve">CCAGGCGGGTAGCAAGCTCC</t>
  </si>
  <si>
    <t xml:space="preserve">TAGTCCAGGCGGGTAGCAAGCTCC</t>
  </si>
  <si>
    <t xml:space="preserve">AAACGGAGCTTGCTACCCGCCTGG</t>
  </si>
  <si>
    <t xml:space="preserve">GGCTTTGCCGCGCTTGCCCA</t>
  </si>
  <si>
    <t xml:space="preserve">TAGTGGCTTTGCCGCGCTTGCCCA</t>
  </si>
  <si>
    <t xml:space="preserve">AAACTGGGCAAGCGCGGCAAAGCC</t>
  </si>
  <si>
    <t xml:space="preserve">CGCGTCGACCAGGGTGACCC</t>
  </si>
  <si>
    <t xml:space="preserve">TAGTCGCGTCGACCAGGGTGACCC</t>
  </si>
  <si>
    <t xml:space="preserve">AAACGGGTCACCCTGGTCGACGCG</t>
  </si>
  <si>
    <t xml:space="preserve">PST_3636</t>
  </si>
  <si>
    <t xml:space="preserve">GCCGTTTAGTGCTTGCCAGA</t>
  </si>
  <si>
    <t xml:space="preserve">TAGTGCCGTTTAGTGCTTGCCAGA</t>
  </si>
  <si>
    <t xml:space="preserve">AAACTCTGGCAAGCACTAAACGGC</t>
  </si>
  <si>
    <t xml:space="preserve">GAAAAGCTGGATGTCCATAC</t>
  </si>
  <si>
    <t xml:space="preserve">TAGTGAAAAGCTGGATGTCCATAC</t>
  </si>
  <si>
    <t xml:space="preserve">AAACGTATGGACATCCAGCTTTTC</t>
  </si>
  <si>
    <t xml:space="preserve">ACCCACCATACAGGCTTGCT</t>
  </si>
  <si>
    <t xml:space="preserve">TAGTACCCACCATACAGGCTTGCT</t>
  </si>
  <si>
    <t xml:space="preserve">AAACAGCAAGCCTGTATGGTGGGT</t>
  </si>
  <si>
    <t xml:space="preserve">PST_3640</t>
  </si>
  <si>
    <t xml:space="preserve">clpB</t>
  </si>
  <si>
    <t xml:space="preserve">GGTCAATCGATCGATACGCA</t>
  </si>
  <si>
    <t xml:space="preserve">TAGTGGTCAATCGATCGATACGCA</t>
  </si>
  <si>
    <t xml:space="preserve">AAACTGCGTATCGATCGATTGACC</t>
  </si>
  <si>
    <t xml:space="preserve">GAGCGCAAGCTGAAGCTTGC</t>
  </si>
  <si>
    <t xml:space="preserve">TAGTGAGCGCAAGCTGAAGCTTGC</t>
  </si>
  <si>
    <t xml:space="preserve">AAACGCAAGCTTCAGCTTGCGCTC</t>
  </si>
  <si>
    <t xml:space="preserve">AACGGCAATGGATTGGGCAT</t>
  </si>
  <si>
    <t xml:space="preserve">TAGTAACGGCAATGGATTGGGCAT</t>
  </si>
  <si>
    <t xml:space="preserve">AAACATGCCCAATCCATTGCCGTT</t>
  </si>
  <si>
    <t xml:space="preserve">GCTCGATGGAAGGGTGATCC</t>
  </si>
  <si>
    <t xml:space="preserve">TAGTGCTCGATGGAAGGGTGATCC</t>
  </si>
  <si>
    <t xml:space="preserve">AAACGGATCACCCTTCCATCGAGC</t>
  </si>
  <si>
    <t xml:space="preserve">PST_3641</t>
  </si>
  <si>
    <t xml:space="preserve">GCGTGCCGGCGCTGGCCAGT</t>
  </si>
  <si>
    <t xml:space="preserve">TAGTGCGTGCCGGCGCTGGCCAGT</t>
  </si>
  <si>
    <t xml:space="preserve">AAACACTGGCCAGCGCCGGCACGC</t>
  </si>
  <si>
    <t xml:space="preserve">CCCCTGGCGGGTCGTCACGC</t>
  </si>
  <si>
    <t xml:space="preserve">TAGTCCCCTGGCGGGTCGTCACGC</t>
  </si>
  <si>
    <t xml:space="preserve">AAACGCGTGACGACCCGCCAGGGG</t>
  </si>
  <si>
    <t xml:space="preserve">CCGAGATTGAAACTGTCGAA</t>
  </si>
  <si>
    <t xml:space="preserve">TAGTCCGAGATTGAAACTGTCGAA</t>
  </si>
  <si>
    <t xml:space="preserve">AAACTTCGACAGTTTCAATCTCGG</t>
  </si>
  <si>
    <t xml:space="preserve">CGATTGCAGGCCACCGCAGC</t>
  </si>
  <si>
    <t xml:space="preserve">TAGTCGATTGCAGGCCACCGCAGC</t>
  </si>
  <si>
    <t xml:space="preserve">AAACGCTGCGGTGGCCTGCAATCG</t>
  </si>
  <si>
    <t xml:space="preserve">PST_3642</t>
  </si>
  <si>
    <t xml:space="preserve">rluD</t>
  </si>
  <si>
    <t xml:space="preserve">AATGGCCTGTTTGGAGATCG</t>
  </si>
  <si>
    <t xml:space="preserve">TAGTAATGGCCTGTTTGGAGATCG</t>
  </si>
  <si>
    <t xml:space="preserve">AAACCGATCTCCAAACAGGCCATT</t>
  </si>
  <si>
    <t xml:space="preserve">GGTCAAACGGCACCTCGGCA</t>
  </si>
  <si>
    <t xml:space="preserve">TAGTGGTCAAACGGCACCTCGGCA</t>
  </si>
  <si>
    <t xml:space="preserve">AAACTGCCGAGGTGCCGTTTGACC</t>
  </si>
  <si>
    <t xml:space="preserve">GATCGAGACGTTGCCCGCCT</t>
  </si>
  <si>
    <t xml:space="preserve">TAGTGATCGAGACGTTGCCCGCCT</t>
  </si>
  <si>
    <t xml:space="preserve">AAACAGGCGGGCAACGTCTCGATC</t>
  </si>
  <si>
    <t xml:space="preserve">GAGGCGCGAACGCGAGTGTT</t>
  </si>
  <si>
    <t xml:space="preserve">TAGTGAGGCGCGAACGCGAGTGTT</t>
  </si>
  <si>
    <t xml:space="preserve">AAACAACACTCGCGTTCGCGCCTC</t>
  </si>
  <si>
    <t xml:space="preserve">PST_3643</t>
  </si>
  <si>
    <t xml:space="preserve">comL</t>
  </si>
  <si>
    <t xml:space="preserve">AAGCGTGTAGCCGAAACCAA</t>
  </si>
  <si>
    <t xml:space="preserve">TAGTAAGCGTGTAGCCGAAACCAA</t>
  </si>
  <si>
    <t xml:space="preserve">AAACTTGGTTTCGGCTACACGCTT</t>
  </si>
  <si>
    <t xml:space="preserve">GATGGGCGCCCCGGTGCGCC</t>
  </si>
  <si>
    <t xml:space="preserve">TAGTGATGGGCGCCCCGGTGCGCC</t>
  </si>
  <si>
    <t xml:space="preserve">AAACGGCGCACCGGGGCGCCCATC</t>
  </si>
  <si>
    <t xml:space="preserve">TGACGGCTGGCTGTCTCGCG</t>
  </si>
  <si>
    <t xml:space="preserve">TAGTTGACGGCTGGCTGTCTCGCG</t>
  </si>
  <si>
    <t xml:space="preserve">AAACCGCGAGACAGCCAGCCGTCA</t>
  </si>
  <si>
    <t xml:space="preserve">CAGGTGTTTCACTTGCATGG</t>
  </si>
  <si>
    <t xml:space="preserve">TAGTCAGGTGTTTCACTTGCATGG</t>
  </si>
  <si>
    <t xml:space="preserve">AAACCCATGCAAGTGAAACACCTG</t>
  </si>
  <si>
    <t xml:space="preserve">PST_3644</t>
  </si>
  <si>
    <t xml:space="preserve">GCGCCGACGGTGACGAGCAC</t>
  </si>
  <si>
    <t xml:space="preserve">TAGTGCGCCGACGGTGACGAGCAC</t>
  </si>
  <si>
    <t xml:space="preserve">AAACGTGCTCGTCACCGTCGGCGC</t>
  </si>
  <si>
    <t xml:space="preserve">AGCCAGGGCTGGTCCTGGCC</t>
  </si>
  <si>
    <t xml:space="preserve">TAGTAGCCAGGGCTGGTCCTGGCC</t>
  </si>
  <si>
    <t xml:space="preserve">AAACGGCCAGGACCAGCCCTGGCT</t>
  </si>
  <si>
    <t xml:space="preserve">TATGCGTGGCGACCGGCCAC</t>
  </si>
  <si>
    <t xml:space="preserve">TAGTTATGCGTGGCGACCGGCCAC</t>
  </si>
  <si>
    <t xml:space="preserve">AAACGTGGCCGGTCGCCACGCATA</t>
  </si>
  <si>
    <t xml:space="preserve">GCGCCACAGCCAGAAGGCGG</t>
  </si>
  <si>
    <t xml:space="preserve">TAGTGCGCCACAGCCAGAAGGCGG</t>
  </si>
  <si>
    <t xml:space="preserve">AAACCCGCCTTCTGGCTGTGGCGC</t>
  </si>
  <si>
    <t xml:space="preserve">PST_3645</t>
  </si>
  <si>
    <t xml:space="preserve">pilS</t>
  </si>
  <si>
    <t xml:space="preserve">CCTGGTCGCCGAAGAAGGTG</t>
  </si>
  <si>
    <t xml:space="preserve">TAGTCCTGGTCGCCGAAGAAGGTG</t>
  </si>
  <si>
    <t xml:space="preserve">AAACCACCTTCTTCGGCGACCAGG</t>
  </si>
  <si>
    <t xml:space="preserve">GGTAGAGGTGATACAGGCGA</t>
  </si>
  <si>
    <t xml:space="preserve">TAGTGGTAGAGGTGATACAGGCGA</t>
  </si>
  <si>
    <t xml:space="preserve">AAACTCGCCTGTATCACCTCTACC</t>
  </si>
  <si>
    <t xml:space="preserve">GGGCGAGGCCAATGGTCAGG</t>
  </si>
  <si>
    <t xml:space="preserve">TAGTGGGCGAGGCCAATGGTCAGG</t>
  </si>
  <si>
    <t xml:space="preserve">AAACCCTGACCATTGGCCTCGCCC</t>
  </si>
  <si>
    <t xml:space="preserve">CGCTGCTGATCAGCAGCACC</t>
  </si>
  <si>
    <t xml:space="preserve">TAGTCGCTGCTGATCAGCAGCACC</t>
  </si>
  <si>
    <t xml:space="preserve">AAACGGTGCTGCTGATCAGCAGCG</t>
  </si>
  <si>
    <t xml:space="preserve">PST_3646</t>
  </si>
  <si>
    <t xml:space="preserve">pilR</t>
  </si>
  <si>
    <t xml:space="preserve">GGTGTCGCCTTCCGGGCGGC</t>
  </si>
  <si>
    <t xml:space="preserve">TAGTGGTGTCGCCTTCCGGGCGGC</t>
  </si>
  <si>
    <t xml:space="preserve">AAACGCCGCCCGGAAGGCGACACC</t>
  </si>
  <si>
    <t xml:space="preserve">CTTGCTCTGGTTCCTGAAGC</t>
  </si>
  <si>
    <t xml:space="preserve">TAGTCTTGCTCTGGTTCCTGAAGC</t>
  </si>
  <si>
    <t xml:space="preserve">AAACGCTTCAGGAACCAGAGCAAG</t>
  </si>
  <si>
    <t xml:space="preserve">GGCTTTCTGGCGCGCGGTCA</t>
  </si>
  <si>
    <t xml:space="preserve">TAGTGGCTTTCTGGCGCGCGGTCA</t>
  </si>
  <si>
    <t xml:space="preserve">AAACTGACCGCGCGCCAGAAAGCC</t>
  </si>
  <si>
    <t xml:space="preserve">CGGCTCGTCGTCGATGATCA</t>
  </si>
  <si>
    <t xml:space="preserve">TAGTCGGCTCGTCGTCGATGATCA</t>
  </si>
  <si>
    <t xml:space="preserve">AAACTGATCATCGACGACGAGCCG</t>
  </si>
  <si>
    <t xml:space="preserve">PST_3647</t>
  </si>
  <si>
    <t xml:space="preserve">CGATTCTTCCAATCCGACAT</t>
  </si>
  <si>
    <t xml:space="preserve">TAGTCGATTCTTCCAATCCGACAT</t>
  </si>
  <si>
    <t xml:space="preserve">AAACATGTCGGATTGGAAGAATCG</t>
  </si>
  <si>
    <t xml:space="preserve">CCGAGCCGTTGGAGCGGCCG</t>
  </si>
  <si>
    <t xml:space="preserve">TAGTCCGAGCCGTTGGAGCGGCCG</t>
  </si>
  <si>
    <t xml:space="preserve">AAACCGGCCGCTCCAACGGCTCGG</t>
  </si>
  <si>
    <t xml:space="preserve">TGCGCGTTGGCCAGCCGCTC</t>
  </si>
  <si>
    <t xml:space="preserve">TAGTTGCGCGTTGGCCAGCCGCTC</t>
  </si>
  <si>
    <t xml:space="preserve">AAACGAGCGGCTGGCCAACGCGCA</t>
  </si>
  <si>
    <t xml:space="preserve">CGGCAAGAATCAGCAGAAGC</t>
  </si>
  <si>
    <t xml:space="preserve">TAGTCGGCAAGAATCAGCAGAAGC</t>
  </si>
  <si>
    <t xml:space="preserve">AAACGCTTCTGCTGATTCTTGCCG</t>
  </si>
  <si>
    <t xml:space="preserve">PST_3648</t>
  </si>
  <si>
    <t xml:space="preserve">TGCCTGGTGGATGACCCGCT</t>
  </si>
  <si>
    <t xml:space="preserve">TAGTTGCCTGGTGGATGACCCGCT</t>
  </si>
  <si>
    <t xml:space="preserve">AAACAGCGGGTCATCCACCAGGCA</t>
  </si>
  <si>
    <t xml:space="preserve">TCGCTTCGGTCAACGCGGCA</t>
  </si>
  <si>
    <t xml:space="preserve">TAGTTCGCTTCGGTCAACGCGGCA</t>
  </si>
  <si>
    <t xml:space="preserve">AAACTGCCGCGTTGACCGAAGCGA</t>
  </si>
  <si>
    <t xml:space="preserve">CTCGGTCTGCTCGAAGCGAT</t>
  </si>
  <si>
    <t xml:space="preserve">TAGTCTCGGTCTGCTCGAAGCGAT</t>
  </si>
  <si>
    <t xml:space="preserve">AAACATCGCTTCGAGCAGACCGAG</t>
  </si>
  <si>
    <t xml:space="preserve">GGTTGTCGCGGATGTCGCTC</t>
  </si>
  <si>
    <t xml:space="preserve">TAGTGGTTGTCGCGGATGTCGCTC</t>
  </si>
  <si>
    <t xml:space="preserve">AAACGAGCGACATCCGCGACAACC</t>
  </si>
  <si>
    <t xml:space="preserve">PST_3649</t>
  </si>
  <si>
    <t xml:space="preserve">ctpL</t>
  </si>
  <si>
    <t xml:space="preserve">TGAGAGTGGTGAGCGACTTC</t>
  </si>
  <si>
    <t xml:space="preserve">TAGTTGAGAGTGGTGAGCGACTTC</t>
  </si>
  <si>
    <t xml:space="preserve">AAACGAAGTCGCTCACCACTCTCA</t>
  </si>
  <si>
    <t xml:space="preserve">ACACACCGCGATCAGCAGCA</t>
  </si>
  <si>
    <t xml:space="preserve">TAGTACACACCGCGATCAGCAGCA</t>
  </si>
  <si>
    <t xml:space="preserve">AAACTGCTGCTGATCGCGGTGTGT</t>
  </si>
  <si>
    <t xml:space="preserve">GGGGCGCTCCATGGCGCGCT</t>
  </si>
  <si>
    <t xml:space="preserve">TAGTGGGGCGCTCCATGGCGCGCT</t>
  </si>
  <si>
    <t xml:space="preserve">AAACAGCGCGCCATGGAGCGCCCC</t>
  </si>
  <si>
    <t xml:space="preserve">TAGCGCACCATCAGCAGGTA</t>
  </si>
  <si>
    <t xml:space="preserve">TAGTTAGCGCACCATCAGCAGGTA</t>
  </si>
  <si>
    <t xml:space="preserve">AAACTACCTGCTGATGGTGCGCTA</t>
  </si>
  <si>
    <t xml:space="preserve">PST_3650</t>
  </si>
  <si>
    <t xml:space="preserve">GAAGGACGGATGATCGACAT</t>
  </si>
  <si>
    <t xml:space="preserve">TAGTGAAGGACGGATGATCGACAT</t>
  </si>
  <si>
    <t xml:space="preserve">AAACATGTCGATCATCCGTCCTTC</t>
  </si>
  <si>
    <t xml:space="preserve">CTTTGCTCTGCCAGTCCGGC</t>
  </si>
  <si>
    <t xml:space="preserve">TAGTCTTTGCTCTGCCAGTCCGGC</t>
  </si>
  <si>
    <t xml:space="preserve">AAACGCCGGACTGGCAGAGCAAAG</t>
  </si>
  <si>
    <t xml:space="preserve">GCGACGCCGAAGAACAGATT</t>
  </si>
  <si>
    <t xml:space="preserve">TAGTGCGACGCCGAAGAACAGATT</t>
  </si>
  <si>
    <t xml:space="preserve">AAACAATCTGTTCTTCGGCGTCGC</t>
  </si>
  <si>
    <t xml:space="preserve">GATCATCGAGTCCATGTTGC</t>
  </si>
  <si>
    <t xml:space="preserve">TAGTGATCATCGAGTCCATGTTGC</t>
  </si>
  <si>
    <t xml:space="preserve">AAACGCAACATGGACTCGATGATC</t>
  </si>
  <si>
    <t xml:space="preserve">PST_3651</t>
  </si>
  <si>
    <t xml:space="preserve">dadX</t>
  </si>
  <si>
    <t xml:space="preserve">GTGGCAACCAGCGGACGCAT</t>
  </si>
  <si>
    <t xml:space="preserve">TAGTGTGGCAACCAGCGGACGCAT</t>
  </si>
  <si>
    <t xml:space="preserve">AAACATGCGTCCGCTGGTTGCCAC</t>
  </si>
  <si>
    <t xml:space="preserve">AGTTGTGACGAAGCGCGGTC</t>
  </si>
  <si>
    <t xml:space="preserve">TAGTAGTTGTGACGAAGCGCGGTC</t>
  </si>
  <si>
    <t xml:space="preserve">AAACGACCGCGCTTCGTCACAACT</t>
  </si>
  <si>
    <t xml:space="preserve">GTGCGCATTGTTTGGCGAGC</t>
  </si>
  <si>
    <t xml:space="preserve">TAGTGTGCGCATTGTTTGGCGAGC</t>
  </si>
  <si>
    <t xml:space="preserve">AAACGCTCGCCAAACAATGCGCAC</t>
  </si>
  <si>
    <t xml:space="preserve">ACGGCGAAGGCCTTTCGCTG</t>
  </si>
  <si>
    <t xml:space="preserve">TAGTACGGCGAAGGCCTTTCGCTG</t>
  </si>
  <si>
    <t xml:space="preserve">AAACCAGCGAAAGGCCTTCGCCGT</t>
  </si>
  <si>
    <t xml:space="preserve">PST_3652</t>
  </si>
  <si>
    <t xml:space="preserve">dnaB</t>
  </si>
  <si>
    <t xml:space="preserve">AGAAGTCGCCGTCGGATACC</t>
  </si>
  <si>
    <t xml:space="preserve">TAGTAGAAGTCGCCGTCGGATACC</t>
  </si>
  <si>
    <t xml:space="preserve">AAACGGTATCCGACGGCGACTTCT</t>
  </si>
  <si>
    <t xml:space="preserve">GGAAGATGAGGCGATGATCG</t>
  </si>
  <si>
    <t xml:space="preserve">TAGTGGAAGATGAGGCGATGATCG</t>
  </si>
  <si>
    <t xml:space="preserve">AAACCGATCATCGCCTCATCTTCC</t>
  </si>
  <si>
    <t xml:space="preserve">CGGCGAGTTGCGTTCGGCCA</t>
  </si>
  <si>
    <t xml:space="preserve">TAGTCGGCGAGTTGCGTTCGGCCA</t>
  </si>
  <si>
    <t xml:space="preserve">AAACTGGCCGAACGCAACTCGCCG</t>
  </si>
  <si>
    <t xml:space="preserve">GACAGGGTGACCACGTCGAA</t>
  </si>
  <si>
    <t xml:space="preserve">TAGTGACAGGGTGACCACGTCGAA</t>
  </si>
  <si>
    <t xml:space="preserve">AAACTTCGACGTGGTCACCCTGTC</t>
  </si>
  <si>
    <t xml:space="preserve">PST_3653</t>
  </si>
  <si>
    <t xml:space="preserve">rplI</t>
  </si>
  <si>
    <t xml:space="preserve">GTCGCCCAGGTTGCCCAGGT</t>
  </si>
  <si>
    <t xml:space="preserve">TAGTGTCGCCCAGGTTGCCCAGGT</t>
  </si>
  <si>
    <t xml:space="preserve">AAACACCTGGGCAACCTGGGCGAC</t>
  </si>
  <si>
    <t xml:space="preserve">CAGGTAGTTACGGCCGTAAC</t>
  </si>
  <si>
    <t xml:space="preserve">TAGTCAGGTAGTTACGGCCGTAAC</t>
  </si>
  <si>
    <t xml:space="preserve">AAACGTTACGGCCGTAACTACCTG</t>
  </si>
  <si>
    <t xml:space="preserve">GCAGCGGTAGCCTTGCCTTG</t>
  </si>
  <si>
    <t xml:space="preserve">TAGTGCAGCGGTAGCCTTGCCTTG</t>
  </si>
  <si>
    <t xml:space="preserve">AAACCAAGGCAAGGCTACCGCTGC</t>
  </si>
  <si>
    <t xml:space="preserve">TCGAACTCGGCGATGTTGGC</t>
  </si>
  <si>
    <t xml:space="preserve">TAGTTCGAACTCGGCGATGTTGGC</t>
  </si>
  <si>
    <t xml:space="preserve">AAACGCCAACATCGCCGAGTTCGA</t>
  </si>
  <si>
    <t xml:space="preserve">PST_3654</t>
  </si>
  <si>
    <t xml:space="preserve">GCGCATGATGAACTCAGCCA</t>
  </si>
  <si>
    <t xml:space="preserve">TAGTGCGCATGATGAACTCAGCCA</t>
  </si>
  <si>
    <t xml:space="preserve">AAACTGGCTGAGTTCATCATGCGC</t>
  </si>
  <si>
    <t xml:space="preserve">CCACGAAGATGGCCTGCATG</t>
  </si>
  <si>
    <t xml:space="preserve">TAGTCCACGAAGATGGCCTGCATG</t>
  </si>
  <si>
    <t xml:space="preserve">AAACCATGCAGGCCATCTTCGTGG</t>
  </si>
  <si>
    <t xml:space="preserve">CATGGGCAGTGCCGCAGCAC</t>
  </si>
  <si>
    <t xml:space="preserve">TAGTCATGGGCAGTGCCGCAGCAC</t>
  </si>
  <si>
    <t xml:space="preserve">AAACGTGCTGCGGCACTGCCCATG</t>
  </si>
  <si>
    <t xml:space="preserve">CAGCAGCACGAGACTGCCTG</t>
  </si>
  <si>
    <t xml:space="preserve">TAGTCAGCAGCACGAGACTGCCTG</t>
  </si>
  <si>
    <t xml:space="preserve">AAACCAGGCAGTCTCGTGCTGCTG</t>
  </si>
  <si>
    <t xml:space="preserve">PST_3655</t>
  </si>
  <si>
    <t xml:space="preserve">rpsR</t>
  </si>
  <si>
    <t xml:space="preserve">AGCGGCAGAACTTACGACGA</t>
  </si>
  <si>
    <t xml:space="preserve">TAGTAGCGGCAGAACTTACGACGA</t>
  </si>
  <si>
    <t xml:space="preserve">AAACTCGTCGTAAGTTCTGCCGCT</t>
  </si>
  <si>
    <t xml:space="preserve">GATCTCTTTCACGCCTTCGG</t>
  </si>
  <si>
    <t xml:space="preserve">TAGTGATCTCTTTCACGCCTTCGG</t>
  </si>
  <si>
    <t xml:space="preserve">AAACCCGAAGGCGTGAAAGAGATC</t>
  </si>
  <si>
    <t xml:space="preserve">CTCGGAGATGTAGGCCTTCA</t>
  </si>
  <si>
    <t xml:space="preserve">TAGTCTCGGAGATGTAGGCCTTCA</t>
  </si>
  <si>
    <t xml:space="preserve">AAACTGAAGGCCTACATCTCCGAG</t>
  </si>
  <si>
    <t xml:space="preserve">GCGGCTAGGAACGATCTTGC</t>
  </si>
  <si>
    <t xml:space="preserve">TAGTGCGGCTAGGAACGATCTTGC</t>
  </si>
  <si>
    <t xml:space="preserve">AAACGCAAGATCGTTCCTAGCCGC</t>
  </si>
  <si>
    <t xml:space="preserve">PST_3656</t>
  </si>
  <si>
    <t xml:space="preserve">rpsF</t>
  </si>
  <si>
    <t xml:space="preserve">CGACCTGCTCGCTCTGGTCC</t>
  </si>
  <si>
    <t xml:space="preserve">TAGTCGACCTGCTCGCTCTGGTCC</t>
  </si>
  <si>
    <t xml:space="preserve">AAACGGACCAGAGCGAGCAGGTCG</t>
  </si>
  <si>
    <t xml:space="preserve">ACCGTCTTCTTCGATCAGCT</t>
  </si>
  <si>
    <t xml:space="preserve">TAGTACCGTCTTCTTCGATCAGCT</t>
  </si>
  <si>
    <t xml:space="preserve">AAACAGCTGATCGAAGAAGACGGT</t>
  </si>
  <si>
    <t xml:space="preserve">GGCCCCAGTCTTCCAGACGA</t>
  </si>
  <si>
    <t xml:space="preserve">TAGTGGCCCCAGTCTTCCAGACGA</t>
  </si>
  <si>
    <t xml:space="preserve">AAACTCGTCTGGAAGACTGGGGCC</t>
  </si>
  <si>
    <t xml:space="preserve">TGGCATAAGCCAGCTGACGA</t>
  </si>
  <si>
    <t xml:space="preserve">TAGTTGGCATAAGCCAGCTGACGA</t>
  </si>
  <si>
    <t xml:space="preserve">AAACTCGTCAGCTGGCTTATGCCA</t>
  </si>
  <si>
    <t xml:space="preserve">PST_3657</t>
  </si>
  <si>
    <t xml:space="preserve">GGAACAGGCTTTCAAAAGAC</t>
  </si>
  <si>
    <t xml:space="preserve">TAGTGGAACAGGCTTTCAAAAGAC</t>
  </si>
  <si>
    <t xml:space="preserve">AAACGTCTTTTGAAAGCCTGTTCC</t>
  </si>
  <si>
    <t xml:space="preserve">TCGAGCAGAACATAGGCGTT</t>
  </si>
  <si>
    <t xml:space="preserve">TAGTTCGAGCAGAACATAGGCGTT</t>
  </si>
  <si>
    <t xml:space="preserve">AAACAACGCCTATGTTCTGCTCGA</t>
  </si>
  <si>
    <t xml:space="preserve">CATCCAGGATGACCAGATCG</t>
  </si>
  <si>
    <t xml:space="preserve">TAGTCATCCAGGATGACCAGATCG</t>
  </si>
  <si>
    <t xml:space="preserve">AAACCGATCTGGTCATCCTGGATG</t>
  </si>
  <si>
    <t xml:space="preserve">CAGGGCCAGGTAGGCCGCGT</t>
  </si>
  <si>
    <t xml:space="preserve">TAGTCAGGGCCAGGTAGGCCGCGT</t>
  </si>
  <si>
    <t xml:space="preserve">AAACACGCGGCCTACCTGGCCCTG</t>
  </si>
  <si>
    <t xml:space="preserve">PST_3658</t>
  </si>
  <si>
    <t xml:space="preserve">GCAACGCTTCCACGGCGTGC</t>
  </si>
  <si>
    <t xml:space="preserve">TAGTGCAACGCTTCCACGGCGTGC</t>
  </si>
  <si>
    <t xml:space="preserve">AAACGCACGCCGTGGAAGCGTTGC</t>
  </si>
  <si>
    <t xml:space="preserve">GCTTGACGCGCTTGGGATGA</t>
  </si>
  <si>
    <t xml:space="preserve">TAGTGCTTGACGCGCTTGGGATGA</t>
  </si>
  <si>
    <t xml:space="preserve">AAACTCATCCCAAGCGCGTCAAGC</t>
  </si>
  <si>
    <t xml:space="preserve">ACGCGGGTCGCCCCGGCCTT</t>
  </si>
  <si>
    <t xml:space="preserve">TAGTACGCGGGTCGCCCCGGCCTT</t>
  </si>
  <si>
    <t xml:space="preserve">AAACAAGGCCGGGGCGACCCGCGT</t>
  </si>
  <si>
    <t xml:space="preserve">GACACTGACCCGCGCCTGCG</t>
  </si>
  <si>
    <t xml:space="preserve">TAGTGACACTGACCCGCGCCTGCG</t>
  </si>
  <si>
    <t xml:space="preserve">AAACCGCAGGCGCGGGTCAGTGTC</t>
  </si>
  <si>
    <t xml:space="preserve">PST_3659</t>
  </si>
  <si>
    <t xml:space="preserve">vacB</t>
  </si>
  <si>
    <t xml:space="preserve">GGGATCGAGGGATTGCCAAT</t>
  </si>
  <si>
    <t xml:space="preserve">TAGTGGGATCGAGGGATTGCCAAT</t>
  </si>
  <si>
    <t xml:space="preserve">AAACATTGGCAATCCCTCGATCCC</t>
  </si>
  <si>
    <t xml:space="preserve">TCCGCTTCACGAGCGGCCTC</t>
  </si>
  <si>
    <t xml:space="preserve">TAGTTCCGCTTCACGAGCGGCCTC</t>
  </si>
  <si>
    <t xml:space="preserve">AAACGAGGCCGCTCGTGAAGCGGA</t>
  </si>
  <si>
    <t xml:space="preserve">TCAGCTCACGGCTGGGAATA</t>
  </si>
  <si>
    <t xml:space="preserve">TAGTTCAGCTCACGGCTGGGAATA</t>
  </si>
  <si>
    <t xml:space="preserve">AAACTATTCCCAGCCGTGAGCTGA</t>
  </si>
  <si>
    <t xml:space="preserve">ACCAGCTCTTCACGGGCAGC</t>
  </si>
  <si>
    <t xml:space="preserve">TAGTACCAGCTCTTCACGGGCAGC</t>
  </si>
  <si>
    <t xml:space="preserve">AAACGCTGCCCGTGAAGAGCTGGT</t>
  </si>
  <si>
    <t xml:space="preserve">PST_3661</t>
  </si>
  <si>
    <t xml:space="preserve">CGGCAAAATGGCAAAAAAGT</t>
  </si>
  <si>
    <t xml:space="preserve">TAGTCGGCAAAATGGCAAAAAAGT</t>
  </si>
  <si>
    <t xml:space="preserve">AAACACTTTTTTGCCATTTTGCCG</t>
  </si>
  <si>
    <t xml:space="preserve">CGACTTCGGCCGATGTGAAT</t>
  </si>
  <si>
    <t xml:space="preserve">TAGTCGACTTCGGCCGATGTGAAT</t>
  </si>
  <si>
    <t xml:space="preserve">AAACATTCACATCGGCCGAAGTCG</t>
  </si>
  <si>
    <t xml:space="preserve">ACCCGCATCATGCGTGTCTC</t>
  </si>
  <si>
    <t xml:space="preserve">TAGTACCCGCATCATGCGTGTCTC</t>
  </si>
  <si>
    <t xml:space="preserve">AAACGAGACACGCATGATGCGGGT</t>
  </si>
  <si>
    <t xml:space="preserve">PST_3663</t>
  </si>
  <si>
    <t xml:space="preserve">purA</t>
  </si>
  <si>
    <t xml:space="preserve">GACCGGCATTGTGGCCGCCC</t>
  </si>
  <si>
    <t xml:space="preserve">TAGTGACCGGCATTGTGGCCGCCC</t>
  </si>
  <si>
    <t xml:space="preserve">AAACGGGCGGCCACAATGCCGGTC</t>
  </si>
  <si>
    <t xml:space="preserve">CTTCTCACCGTCGATGACCA</t>
  </si>
  <si>
    <t xml:space="preserve">TAGTCTTCTCACCGTCGATGACCA</t>
  </si>
  <si>
    <t xml:space="preserve">AAACTGGTCATCGACGGTGAGAAG</t>
  </si>
  <si>
    <t xml:space="preserve">GCAGGATGCCGGACGGGATC</t>
  </si>
  <si>
    <t xml:space="preserve">TAGTGCAGGATGCCGGACGGGATC</t>
  </si>
  <si>
    <t xml:space="preserve">AAACGATCCCGTCCGGCATCCTGC</t>
  </si>
  <si>
    <t xml:space="preserve">CCACTACGCCATTGCCGATC</t>
  </si>
  <si>
    <t xml:space="preserve">TAGTCCACTACGCCATTGCCGATC</t>
  </si>
  <si>
    <t xml:space="preserve">AAACGATCGGCAATGGCGTAGTGG</t>
  </si>
  <si>
    <t xml:space="preserve">PST_3664</t>
  </si>
  <si>
    <t xml:space="preserve">TGCCATCTGGCAAGAGCCAG</t>
  </si>
  <si>
    <t xml:space="preserve">TAGTTGCCATCTGGCAAGAGCCAG</t>
  </si>
  <si>
    <t xml:space="preserve">AAACCTGGCTCTTGCCAGATGGCA</t>
  </si>
  <si>
    <t xml:space="preserve">TCGATACGCGCCGCCTCTGG</t>
  </si>
  <si>
    <t xml:space="preserve">TAGTTCGATACGCGCCGCCTCTGG</t>
  </si>
  <si>
    <t xml:space="preserve">AAACCCAGAGGCGGCGCGTATCGA</t>
  </si>
  <si>
    <t xml:space="preserve">CCAGCTCGTAGCCCCAGCGC</t>
  </si>
  <si>
    <t xml:space="preserve">TAGTCCAGCTCGTAGCCCCAGCGC</t>
  </si>
  <si>
    <t xml:space="preserve">AAACGCGCTGGGGCTACGAGCTGG</t>
  </si>
  <si>
    <t xml:space="preserve">CTCGAGGAATTCCACGTGCG</t>
  </si>
  <si>
    <t xml:space="preserve">TAGTCTCGAGGAATTCCACGTGCG</t>
  </si>
  <si>
    <t xml:space="preserve">AAACCGCACGTGGAATTCCTCGAG</t>
  </si>
  <si>
    <t xml:space="preserve">PST_3665</t>
  </si>
  <si>
    <t xml:space="preserve">hflC</t>
  </si>
  <si>
    <t xml:space="preserve">ACCGACGATCAGGGCGGTAA</t>
  </si>
  <si>
    <t xml:space="preserve">TAGTACCGACGATCAGGGCGGTAA</t>
  </si>
  <si>
    <t xml:space="preserve">AAACTTACCGCCCTGATCGTCGGT</t>
  </si>
  <si>
    <t xml:space="preserve">GAAGCTGTTCCACAGAACGA</t>
  </si>
  <si>
    <t xml:space="preserve">TAGTGAAGCTGTTCCACAGAACGA</t>
  </si>
  <si>
    <t xml:space="preserve">AAACTCGTTCTGTGGAACAGCTTC</t>
  </si>
  <si>
    <t xml:space="preserve">CAGCACGGCACGCTCGGTCT</t>
  </si>
  <si>
    <t xml:space="preserve">TAGTCAGCACGGCACGCTCGGTCT</t>
  </si>
  <si>
    <t xml:space="preserve">AAACAGACCGAGCGTGCCGTGCTG</t>
  </si>
  <si>
    <t xml:space="preserve">TCACGTCAGGCTCGACGATC</t>
  </si>
  <si>
    <t xml:space="preserve">TAGTTCACGTCAGGCTCGACGATC</t>
  </si>
  <si>
    <t xml:space="preserve">AAACGATCGTCGAGCCTGACGTGA</t>
  </si>
  <si>
    <t xml:space="preserve">PST_3666</t>
  </si>
  <si>
    <t xml:space="preserve">hflK</t>
  </si>
  <si>
    <t xml:space="preserve">TGGTTGTTCGAGTTGCCACC</t>
  </si>
  <si>
    <t xml:space="preserve">TAGTTGGTTGTTCGAGTTGCCACC</t>
  </si>
  <si>
    <t xml:space="preserve">AAACGGTGGCAACTCGAACAACCA</t>
  </si>
  <si>
    <t xml:space="preserve">CACCACTGCCCCAGGGATCC</t>
  </si>
  <si>
    <t xml:space="preserve">TAGTCACCACTGCCCCAGGGATCC</t>
  </si>
  <si>
    <t xml:space="preserve">AAACGGATCCCTGGGGCAGTGGTG</t>
  </si>
  <si>
    <t xml:space="preserve">GGTCGCCACCGCCGCCACGA</t>
  </si>
  <si>
    <t xml:space="preserve">TAGTGGTCGCCACCGCCGCCACGA</t>
  </si>
  <si>
    <t xml:space="preserve">AAACTCGTGGCGGCGGTGGCGACC</t>
  </si>
  <si>
    <t xml:space="preserve">CGAGATCCGGTGGCCCCTTC</t>
  </si>
  <si>
    <t xml:space="preserve">TAGTCGAGATCCGGTGGCCCCTTC</t>
  </si>
  <si>
    <t xml:space="preserve">AAACGAAGGGGCCACCGGATCTCG</t>
  </si>
  <si>
    <t xml:space="preserve">PST_3667</t>
  </si>
  <si>
    <t xml:space="preserve">hflX</t>
  </si>
  <si>
    <t xml:space="preserve">CCGCGGGATCCTGGCCGTCC</t>
  </si>
  <si>
    <t xml:space="preserve">TAGTCCGCGGGATCCTGGCCGTCC</t>
  </si>
  <si>
    <t xml:space="preserve">AAACGGACGGCCAGGATCCCGCGG</t>
  </si>
  <si>
    <t xml:space="preserve">CCAGCTCCTGGAACTCCTGA</t>
  </si>
  <si>
    <t xml:space="preserve">TAGTCCAGCTCCTGGAACTCCTGA</t>
  </si>
  <si>
    <t xml:space="preserve">AAACTCAGGAGTTCCAGGAGCTGG</t>
  </si>
  <si>
    <t xml:space="preserve">CTTGGCGGAGGGCTGGTGGC</t>
  </si>
  <si>
    <t xml:space="preserve">TAGTCTTGGCGGAGGGCTGGTGGC</t>
  </si>
  <si>
    <t xml:space="preserve">AAACGCCACCAGCCCTCCGCCAAG</t>
  </si>
  <si>
    <t xml:space="preserve">CGGCCTCGCCTTCCTTGACG</t>
  </si>
  <si>
    <t xml:space="preserve">TAGTCGGCCTCGCCTTCCTTGACG</t>
  </si>
  <si>
    <t xml:space="preserve">AAACCGTCAAGGAAGGCGAGGCCG</t>
  </si>
  <si>
    <t xml:space="preserve">PST_3668</t>
  </si>
  <si>
    <t xml:space="preserve">TACGCAGTGTGTTGAGGTAA</t>
  </si>
  <si>
    <t xml:space="preserve">TAGTTACGCAGTGTGTTGAGGTAA</t>
  </si>
  <si>
    <t xml:space="preserve">AAACTTACCTCAACACACTGCGTA</t>
  </si>
  <si>
    <t xml:space="preserve">TGACCAGATAGATGGAAACC</t>
  </si>
  <si>
    <t xml:space="preserve">TAGTTGACCAGATAGATGGAAACC</t>
  </si>
  <si>
    <t xml:space="preserve">AAACGGTTTCCATCTATCTGGTCA</t>
  </si>
  <si>
    <t xml:space="preserve">ATTGGTCGAAGGATTCGATC</t>
  </si>
  <si>
    <t xml:space="preserve">TAGTATTGGTCGAAGGATTCGATC</t>
  </si>
  <si>
    <t xml:space="preserve">AAACGATCGAATCCTTCGACCAAT</t>
  </si>
  <si>
    <t xml:space="preserve">GGCTTACGGTGTTTTTCAGA</t>
  </si>
  <si>
    <t xml:space="preserve">TAGTGGCTTACGGTGTTTTTCAGA</t>
  </si>
  <si>
    <t xml:space="preserve">AAACTCTGAAAAACACCGTAAGCC</t>
  </si>
  <si>
    <t xml:space="preserve">PST_3669</t>
  </si>
  <si>
    <t xml:space="preserve">miaA</t>
  </si>
  <si>
    <t xml:space="preserve">AAGACATCGGCGGGCTCGGC</t>
  </si>
  <si>
    <t xml:space="preserve">TAGTAAGACATCGGCGGGCTCGGC</t>
  </si>
  <si>
    <t xml:space="preserve">AAACGCCGAGCCCGCCGATGTCTT</t>
  </si>
  <si>
    <t xml:space="preserve">CCCATGAGAAAGATGGCGGG</t>
  </si>
  <si>
    <t xml:space="preserve">TAGTCCCATGAGAAAGATGGCGGG</t>
  </si>
  <si>
    <t xml:space="preserve">AAACCCCGCCATCTTTCTCATGGG</t>
  </si>
  <si>
    <t xml:space="preserve">TCAGTCTTGCCCGAGGCGGT</t>
  </si>
  <si>
    <t xml:space="preserve">TAGTTCAGTCTTGCCCGAGGCGGT</t>
  </si>
  <si>
    <t xml:space="preserve">AAACACCGCCTCGGGCAAGACTGA</t>
  </si>
  <si>
    <t xml:space="preserve">TCGACGCTGATCAGTTCGCA</t>
  </si>
  <si>
    <t xml:space="preserve">TAGTTCGACGCTGATCAGTTCGCA</t>
  </si>
  <si>
    <t xml:space="preserve">AAACTGCGAACTGATCAGCGTCGA</t>
  </si>
  <si>
    <t xml:space="preserve">PST_3670</t>
  </si>
  <si>
    <t xml:space="preserve">mutL</t>
  </si>
  <si>
    <t xml:space="preserve">GGGCTGAGCAGCTGGATGCG</t>
  </si>
  <si>
    <t xml:space="preserve">TAGTGGGCTGAGCAGCTGGATGCG</t>
  </si>
  <si>
    <t xml:space="preserve">AAACCGCATCCAGCTGCTCAGCCC</t>
  </si>
  <si>
    <t xml:space="preserve">CGATCTGGTTCGCCAGCCGC</t>
  </si>
  <si>
    <t xml:space="preserve">TAGTCGATCTGGTTCGCCAGCCGC</t>
  </si>
  <si>
    <t xml:space="preserve">AAACGCGGCTGGCGAACCAGATCG</t>
  </si>
  <si>
    <t xml:space="preserve">GCGTTCGACGACCTCGCCAG</t>
  </si>
  <si>
    <t xml:space="preserve">TAGTGCGTTCGACGACCTCGCCAG</t>
  </si>
  <si>
    <t xml:space="preserve">AAACCTGGCGAGGTCGTCGAACGC</t>
  </si>
  <si>
    <t xml:space="preserve">GCTCCTTGATCACCGAGGCA</t>
  </si>
  <si>
    <t xml:space="preserve">TAGTGCTCCTTGATCACCGAGGCA</t>
  </si>
  <si>
    <t xml:space="preserve">AAACTGCCTCGGTGATCAAGGAGC</t>
  </si>
  <si>
    <t xml:space="preserve">PST_3671</t>
  </si>
  <si>
    <t xml:space="preserve">amiB</t>
  </si>
  <si>
    <t xml:space="preserve">CAGCACTAGGCCAACAACCA</t>
  </si>
  <si>
    <t xml:space="preserve">TAGTCAGCACTAGGCCAACAACCA</t>
  </si>
  <si>
    <t xml:space="preserve">AAACTGGTTGTTGGCCTAGTGCTG</t>
  </si>
  <si>
    <t xml:space="preserve">GCACATCGCTGGCAGCAAAC</t>
  </si>
  <si>
    <t xml:space="preserve">TAGTGCACATCGCTGGCAGCAAAC</t>
  </si>
  <si>
    <t xml:space="preserve">AAACGTTTGCTGCCAGCGATGTGC</t>
  </si>
  <si>
    <t xml:space="preserve">AACACCAGGCGGGTGTTGTC</t>
  </si>
  <si>
    <t xml:space="preserve">TAGTAACACCAGGCGGGTGTTGTC</t>
  </si>
  <si>
    <t xml:space="preserve">AAACGACAACACCCGCCTGGTGTT</t>
  </si>
  <si>
    <t xml:space="preserve">TGTGTTCGACCGGCCCTGAC</t>
  </si>
  <si>
    <t xml:space="preserve">TAGTTGTGTTCGACCGGCCCTGAC</t>
  </si>
  <si>
    <t xml:space="preserve">AAACGTCAGGGCCGGTCGAACACA</t>
  </si>
  <si>
    <t xml:space="preserve">PST_3672</t>
  </si>
  <si>
    <t xml:space="preserve">GAGCATCGCCGCCTCGTCCC</t>
  </si>
  <si>
    <t xml:space="preserve">TAGTGAGCATCGCCGCCTCGTCCC</t>
  </si>
  <si>
    <t xml:space="preserve">AAACGGGACGAGGCGGCGATGCTC</t>
  </si>
  <si>
    <t xml:space="preserve">GCCCCGACCACCGGTCACCC</t>
  </si>
  <si>
    <t xml:space="preserve">TAGTGCCCCGACCACCGGTCACCC</t>
  </si>
  <si>
    <t xml:space="preserve">AAACGGGTGACCGGTGGTCGGGGC</t>
  </si>
  <si>
    <t xml:space="preserve">GCGTGACAGCGTGGTCTTGC</t>
  </si>
  <si>
    <t xml:space="preserve">TAGTGCGTGACAGCGTGGTCTTGC</t>
  </si>
  <si>
    <t xml:space="preserve">AAACGCAAGACCACGCTGTCACGC</t>
  </si>
  <si>
    <t xml:space="preserve">CGTGGCCGAAACCACGGATC</t>
  </si>
  <si>
    <t xml:space="preserve">TAGTCGTGGCCGAAACCACGGATC</t>
  </si>
  <si>
    <t xml:space="preserve">AAACGATCCGTGGTTTCGGCCACG</t>
  </si>
  <si>
    <t xml:space="preserve">PST_3673</t>
  </si>
  <si>
    <t xml:space="preserve">ACGGGCAGAGAATCGGTCAT</t>
  </si>
  <si>
    <t xml:space="preserve">TAGTACGGGCAGAGAATCGGTCAT</t>
  </si>
  <si>
    <t xml:space="preserve">AAACATGACCGATTCTCTGCCCGT</t>
  </si>
  <si>
    <t xml:space="preserve">CACCTGGGTGGCGTTGTACA</t>
  </si>
  <si>
    <t xml:space="preserve">TAGTCACCTGGGTGGCGTTGTACA</t>
  </si>
  <si>
    <t xml:space="preserve">AAACTGTACAACGCCACCCAGGTG</t>
  </si>
  <si>
    <t xml:space="preserve">CGGACGTACCGGCGGCAATC</t>
  </si>
  <si>
    <t xml:space="preserve">TAGTCGGACGTACCGGCGGCAATC</t>
  </si>
  <si>
    <t xml:space="preserve">AAACGATTGCCGCCGGTACGTCCG</t>
  </si>
  <si>
    <t xml:space="preserve">ACGCTGCATCAGTTCGAAAC</t>
  </si>
  <si>
    <t xml:space="preserve">TAGTACGCTGCATCAGTTCGAAAC</t>
  </si>
  <si>
    <t xml:space="preserve">AAACGTTTCGAACTGATGCAGCGT</t>
  </si>
  <si>
    <t xml:space="preserve">PST_3674</t>
  </si>
  <si>
    <t xml:space="preserve">GTGCTCGCCAAGGTCGACGC</t>
  </si>
  <si>
    <t xml:space="preserve">TAGTGTGCTCGCCAAGGTCGACGC</t>
  </si>
  <si>
    <t xml:space="preserve">AAACGCGTCGACCTTGGCGAGCAC</t>
  </si>
  <si>
    <t xml:space="preserve">CTGATAGCCCGCCTGGAGCC</t>
  </si>
  <si>
    <t xml:space="preserve">TAGTCTGATAGCCCGCCTGGAGCC</t>
  </si>
  <si>
    <t xml:space="preserve">AAACGGCTCCAGGCGGGCTATCAG</t>
  </si>
  <si>
    <t xml:space="preserve">CGAGCGCTTGCTGCCGTGGG</t>
  </si>
  <si>
    <t xml:space="preserve">TAGTCGAGCGCTTGCTGCCGTGGG</t>
  </si>
  <si>
    <t xml:space="preserve">AAACCCCACGGCAGCAAGCGCTCG</t>
  </si>
  <si>
    <t xml:space="preserve">GTACCGGGCACCAGTTCGTC</t>
  </si>
  <si>
    <t xml:space="preserve">TAGTGTACCGGGCACCAGTTCGTC</t>
  </si>
  <si>
    <t xml:space="preserve">AAACGACGAACTGGTGCCCGGTAC</t>
  </si>
  <si>
    <t xml:space="preserve">PST_3675</t>
  </si>
  <si>
    <t xml:space="preserve">ftsH-2</t>
  </si>
  <si>
    <t xml:space="preserve">ACTGGAGGCCGAGAAACACC</t>
  </si>
  <si>
    <t xml:space="preserve">TAGTACTGGAGGCCGAGAAACACC</t>
  </si>
  <si>
    <t xml:space="preserve">AAACGGTGTTTCTCGGCCTCCAGT</t>
  </si>
  <si>
    <t xml:space="preserve">CCTCCTGCTGCGCCGACAGC</t>
  </si>
  <si>
    <t xml:space="preserve">TAGTCCTCCTGCTGCGCCGACAGC</t>
  </si>
  <si>
    <t xml:space="preserve">AAACGCTGTCGGCGCAGCAGGAGG</t>
  </si>
  <si>
    <t xml:space="preserve">CTCGAACTCGCTGTAGGGGA</t>
  </si>
  <si>
    <t xml:space="preserve">TAGTCTCGAACTCGCTGTAGGGGA</t>
  </si>
  <si>
    <t xml:space="preserve">AAACTCCCCTACAGCGAGTTCGAG</t>
  </si>
  <si>
    <t xml:space="preserve">CTTCGATGCGCCCTTCCTTG</t>
  </si>
  <si>
    <t xml:space="preserve">TAGTCTTCGATGCGCCCTTCCTTG</t>
  </si>
  <si>
    <t xml:space="preserve">AAACCAAGGAAGGGCGCATCGAAG</t>
  </si>
  <si>
    <t xml:space="preserve">PST_3676</t>
  </si>
  <si>
    <t xml:space="preserve">CGCGTCCAGCGTGCGCACCG</t>
  </si>
  <si>
    <t xml:space="preserve">TAGTCGCGTCCAGCGTGCGCACCG</t>
  </si>
  <si>
    <t xml:space="preserve">AAACCGGTGCGCACGCTGGACGCG</t>
  </si>
  <si>
    <t xml:space="preserve">GATGATCGGCGCGCCGGGCT</t>
  </si>
  <si>
    <t xml:space="preserve">TAGTGATGATCGGCGCGCCGGGCT</t>
  </si>
  <si>
    <t xml:space="preserve">AAACAGCCCGGCGCGCCGATCATC</t>
  </si>
  <si>
    <t xml:space="preserve">GTACCAGTCCAGACGCGTGC</t>
  </si>
  <si>
    <t xml:space="preserve">TAGTGTACCAGTCCAGACGCGTGC</t>
  </si>
  <si>
    <t xml:space="preserve">AAACGCACGCGTCTGGACTGGTAC</t>
  </si>
  <si>
    <t xml:space="preserve">GCGGGCAGCAGCCACCGTTG</t>
  </si>
  <si>
    <t xml:space="preserve">TAGTGCGGGCAGCAGCCACCGTTG</t>
  </si>
  <si>
    <t xml:space="preserve">AAACCAACGGTGGCTGCTGCCCGC</t>
  </si>
  <si>
    <t xml:space="preserve">PST_3677</t>
  </si>
  <si>
    <t xml:space="preserve">ATGGCCAAGGTGATGCGTTC</t>
  </si>
  <si>
    <t xml:space="preserve">TAGTATGGCCAAGGTGATGCGTTC</t>
  </si>
  <si>
    <t xml:space="preserve">AAACGAACGCATCACCTTGGCCAT</t>
  </si>
  <si>
    <t xml:space="preserve">GTACTGCGCGCCGGAGGCGC</t>
  </si>
  <si>
    <t xml:space="preserve">TAGTGTACTGCGCGCCGGAGGCGC</t>
  </si>
  <si>
    <t xml:space="preserve">AAACGCGCCTCCGGCGCGCAGTAC</t>
  </si>
  <si>
    <t xml:space="preserve">CCTCGCGGTCTTCCTGGATC</t>
  </si>
  <si>
    <t xml:space="preserve">TAGTCCTCGCGGTCTTCCTGGATC</t>
  </si>
  <si>
    <t xml:space="preserve">AAACGATCCAGGAAGACCGCGAGG</t>
  </si>
  <si>
    <t xml:space="preserve">GTTGCGCGGCCTTGGAAATC</t>
  </si>
  <si>
    <t xml:space="preserve">TAGTGTTGCGCGGCCTTGGAAATC</t>
  </si>
  <si>
    <t xml:space="preserve">AAACGATTTCCAAGGCCGCGCAAC</t>
  </si>
  <si>
    <t xml:space="preserve">PST_3678</t>
  </si>
  <si>
    <t xml:space="preserve">mpl</t>
  </si>
  <si>
    <t xml:space="preserve">GCACAGGGTCCGCTGCGGGG</t>
  </si>
  <si>
    <t xml:space="preserve">TAGTGCACAGGGTCCGCTGCGGGG</t>
  </si>
  <si>
    <t xml:space="preserve">AAACCCCCGCAGCGGACCCTGTGC</t>
  </si>
  <si>
    <t xml:space="preserve">CATTCGACGCTGGAAAACTG</t>
  </si>
  <si>
    <t xml:space="preserve">TAGTCATTCGACGCTGGAAAACTG</t>
  </si>
  <si>
    <t xml:space="preserve">AAACCAGTTTTCCAGCGTCGAATG</t>
  </si>
  <si>
    <t xml:space="preserve">GGACGCCGCGCCAGACGGCA</t>
  </si>
  <si>
    <t xml:space="preserve">TAGTGGACGCCGCGCCAGACGGCA</t>
  </si>
  <si>
    <t xml:space="preserve">AAACTGCCGTCTGGCGCGGCGTCC</t>
  </si>
  <si>
    <t xml:space="preserve">TATGCATTGATGACCTCTGA</t>
  </si>
  <si>
    <t xml:space="preserve">TAGTTATGCATTGATGACCTCTGA</t>
  </si>
  <si>
    <t xml:space="preserve">AAACTCAGAGGTCATCAATGCATA</t>
  </si>
  <si>
    <t xml:space="preserve">PST_3679</t>
  </si>
  <si>
    <t xml:space="preserve">AGCGCCTTCGCTGCCGGGAT</t>
  </si>
  <si>
    <t xml:space="preserve">TAGTAGCGCCTTCGCTGCCGGGAT</t>
  </si>
  <si>
    <t xml:space="preserve">AAACATCCCGGCAGCGAAGGCGCT</t>
  </si>
  <si>
    <t xml:space="preserve">GTTGCCGTAGCGGGATTTGA</t>
  </si>
  <si>
    <t xml:space="preserve">TAGTGTTGCCGTAGCGGGATTTGA</t>
  </si>
  <si>
    <t xml:space="preserve">AAACTCAAATCCCGCTACGGCAAC</t>
  </si>
  <si>
    <t xml:space="preserve">GTGAAGTACTGACCGCCGGC</t>
  </si>
  <si>
    <t xml:space="preserve">TAGTGTGAAGTACTGACCGCCGGC</t>
  </si>
  <si>
    <t xml:space="preserve">AAACGCCGGCGGTCAGTACTTCAC</t>
  </si>
  <si>
    <t xml:space="preserve">ACCGTTGACCGGGGAAAGGT</t>
  </si>
  <si>
    <t xml:space="preserve">TAGTACCGTTGACCGGGGAAAGGT</t>
  </si>
  <si>
    <t xml:space="preserve">AAACACCTTTCCCCGGTCAACGGT</t>
  </si>
  <si>
    <t xml:space="preserve">PST_3680</t>
  </si>
  <si>
    <t xml:space="preserve">CTGCTGTGTTCGAGAGCCAT</t>
  </si>
  <si>
    <t xml:space="preserve">TAGTCTGCTGTGTTCGAGAGCCAT</t>
  </si>
  <si>
    <t xml:space="preserve">AAACATGGCTCTCGAACACAGCAG</t>
  </si>
  <si>
    <t xml:space="preserve">AAATCGATTGCGTGGTGCGG</t>
  </si>
  <si>
    <t xml:space="preserve">TAGTAAATCGATTGCGTGGTGCGG</t>
  </si>
  <si>
    <t xml:space="preserve">AAACCCGCACCACGCAATCGATTT</t>
  </si>
  <si>
    <t xml:space="preserve">CTGGAAATAGCTACTGCCAA</t>
  </si>
  <si>
    <t xml:space="preserve">TAGTCTGGAAATAGCTACTGCCAA</t>
  </si>
  <si>
    <t xml:space="preserve">AAACTTGGCAGTAGCTATTTCCAG</t>
  </si>
  <si>
    <t xml:space="preserve">GACCAGCAGCACCCAGCCGG</t>
  </si>
  <si>
    <t xml:space="preserve">TAGTGACCAGCAGCACCCAGCCGG</t>
  </si>
  <si>
    <t xml:space="preserve">AAACCCGGCTGGGTGCTGCTGGTC</t>
  </si>
  <si>
    <t xml:space="preserve">PST_3681</t>
  </si>
  <si>
    <t xml:space="preserve">eutB</t>
  </si>
  <si>
    <t xml:space="preserve">CACGCTGTGCGAGTACGTCA</t>
  </si>
  <si>
    <t xml:space="preserve">TAGTCACGCTGTGCGAGTACGTCA</t>
  </si>
  <si>
    <t xml:space="preserve">AAACTGACGTACTCGCACAGCGTG</t>
  </si>
  <si>
    <t xml:space="preserve">CAGATCGTCGAAGCGCCAGG</t>
  </si>
  <si>
    <t xml:space="preserve">TAGTCAGATCGTCGAAGCGCCAGG</t>
  </si>
  <si>
    <t xml:space="preserve">AAACCCTGGCGCTTCGACGATCTG</t>
  </si>
  <si>
    <t xml:space="preserve">GGATCGCGCCGGGCTGGCCT</t>
  </si>
  <si>
    <t xml:space="preserve">TAGTGGATCGCGCCGGGCTGGCCT</t>
  </si>
  <si>
    <t xml:space="preserve">AAACAGGCCAGCCCGGCGCGATCC</t>
  </si>
  <si>
    <t xml:space="preserve">GACCCCGGCGAGCAGGTCGC</t>
  </si>
  <si>
    <t xml:space="preserve">TAGTGACCCCGGCGAGCAGGTCGC</t>
  </si>
  <si>
    <t xml:space="preserve">AAACGCGACCTGCTCGCCGGGGTC</t>
  </si>
  <si>
    <t xml:space="preserve">PST_3682</t>
  </si>
  <si>
    <t xml:space="preserve">eutC</t>
  </si>
  <si>
    <t xml:space="preserve">GCTGCCAGGGATTGGGGATG</t>
  </si>
  <si>
    <t xml:space="preserve">TAGTGCTGCCAGGGATTGGGGATG</t>
  </si>
  <si>
    <t xml:space="preserve">AAACCATCCCCAATCCCTGGCAGC</t>
  </si>
  <si>
    <t xml:space="preserve">CGATGCGCGCCGGGGTCAGC</t>
  </si>
  <si>
    <t xml:space="preserve">TAGTCGATGCGCGCCGGGGTCAGC</t>
  </si>
  <si>
    <t xml:space="preserve">AAACGCTGACCCCGGCGCGCATCG</t>
  </si>
  <si>
    <t xml:space="preserve">ACTGGTGCCGGCACGGCCAA</t>
  </si>
  <si>
    <t xml:space="preserve">TAGTACTGGTGCCGGCACGGCCAA</t>
  </si>
  <si>
    <t xml:space="preserve">AAACTTGGCCGTGCCGGCACCAGT</t>
  </si>
  <si>
    <t xml:space="preserve">AAATCCAGTTGCGCCACCGT</t>
  </si>
  <si>
    <t xml:space="preserve">TAGTAAATCCAGTTGCGCCACCGT</t>
  </si>
  <si>
    <t xml:space="preserve">AAACACGGTGGCGCAACTGGATTT</t>
  </si>
  <si>
    <t xml:space="preserve">PST_3683</t>
  </si>
  <si>
    <t xml:space="preserve">GCGGCGCTTCTGATCCGGTG</t>
  </si>
  <si>
    <t xml:space="preserve">TAGTGCGGCGCTTCTGATCCGGTG</t>
  </si>
  <si>
    <t xml:space="preserve">AAACCACCGGATCAGAAGCGCCGC</t>
  </si>
  <si>
    <t xml:space="preserve">CGCCGATACCCTGCAGCAGT</t>
  </si>
  <si>
    <t xml:space="preserve">TAGTCGCCGATACCCTGCAGCAGT</t>
  </si>
  <si>
    <t xml:space="preserve">AAACACTGCTGCAGGGTATCGGCG</t>
  </si>
  <si>
    <t xml:space="preserve">CAGGACCGGCAGGGCGAGGC</t>
  </si>
  <si>
    <t xml:space="preserve">TAGTCAGGACCGGCAGGGCGAGGC</t>
  </si>
  <si>
    <t xml:space="preserve">AAACGCCTCGCCCTGCCGGTCCTG</t>
  </si>
  <si>
    <t xml:space="preserve">CGCGGCGATGATGGCGGGCG</t>
  </si>
  <si>
    <t xml:space="preserve">TAGTCGCGGCGATGATGGCGGGCG</t>
  </si>
  <si>
    <t xml:space="preserve">AAACCGCCCGCCATCATCGCCGCG</t>
  </si>
  <si>
    <t xml:space="preserve">PST_3684</t>
  </si>
  <si>
    <t xml:space="preserve">TGGGCGGTTCTGTTCACGCA</t>
  </si>
  <si>
    <t xml:space="preserve">TAGTTGGGCGGTTCTGTTCACGCA</t>
  </si>
  <si>
    <t xml:space="preserve">AAACTGCGTGAACAGAACCGCCCA</t>
  </si>
  <si>
    <t xml:space="preserve">TTGATCAGGGAAAGTCCCCC</t>
  </si>
  <si>
    <t xml:space="preserve">TAGTTTGATCAGGGAAAGTCCCCC</t>
  </si>
  <si>
    <t xml:space="preserve">AAACGGGGGACTTTCCCTGATCAA</t>
  </si>
  <si>
    <t xml:space="preserve">CGGGGTCGTACAAGCCCGGC</t>
  </si>
  <si>
    <t xml:space="preserve">TAGTCGGGGTCGTACAAGCCCGGC</t>
  </si>
  <si>
    <t xml:space="preserve">AAACGCCGGGCTTGTACGACCCCG</t>
  </si>
  <si>
    <t xml:space="preserve">ATGGGAATAGCCGTTCGGGG</t>
  </si>
  <si>
    <t xml:space="preserve">TAGTATGGGAATAGCCGTTCGGGG</t>
  </si>
  <si>
    <t xml:space="preserve">AAACCCCCGAACGGCTATTCCCAT</t>
  </si>
  <si>
    <t xml:space="preserve">PST_3685</t>
  </si>
  <si>
    <t xml:space="preserve">ACCAGCGGCAAGCCGGACCT</t>
  </si>
  <si>
    <t xml:space="preserve">TAGTACCAGCGGCAAGCCGGACCT</t>
  </si>
  <si>
    <t xml:space="preserve">AAACAGGTCCGGCTTGCCGCTGGT</t>
  </si>
  <si>
    <t xml:space="preserve">CGGGGCGCTCACCATAAGCG</t>
  </si>
  <si>
    <t xml:space="preserve">TAGTCGGGGCGCTCACCATAAGCG</t>
  </si>
  <si>
    <t xml:space="preserve">AAACCGCTTATGGTGAGCGCCCCG</t>
  </si>
  <si>
    <t xml:space="preserve">GGCTGATGTTTCCAGCGGGG</t>
  </si>
  <si>
    <t xml:space="preserve">TAGTGGCTGATGTTTCCAGCGGGG</t>
  </si>
  <si>
    <t xml:space="preserve">AAACCCCCGCTGGAAACATCAGCC</t>
  </si>
  <si>
    <t xml:space="preserve">CCAGGCGCGAAAGGACCACA</t>
  </si>
  <si>
    <t xml:space="preserve">TAGTCCAGGCGCGAAAGGACCACA</t>
  </si>
  <si>
    <t xml:space="preserve">AAACTGTGGTCCTTTCGCGCCTGG</t>
  </si>
  <si>
    <t xml:space="preserve">PST_3686</t>
  </si>
  <si>
    <t xml:space="preserve">ppa-1</t>
  </si>
  <si>
    <t xml:space="preserve">TCGGCAGGTCTTTGCCAGCC</t>
  </si>
  <si>
    <t xml:space="preserve">TAGTTCGGCAGGTCTTTGCCAGCC</t>
  </si>
  <si>
    <t xml:space="preserve">AAACGGCTGGCAAAGACCTGCCGA</t>
  </si>
  <si>
    <t xml:space="preserve">ATGGTTGGCCGGGATCTCGA</t>
  </si>
  <si>
    <t xml:space="preserve">TAGTATGGTTGGCCGGGATCTCGA</t>
  </si>
  <si>
    <t xml:space="preserve">AAACTCGAGATCCCGGCCAACCAT</t>
  </si>
  <si>
    <t xml:space="preserve">TGATCGATCTCGTACTTGAT</t>
  </si>
  <si>
    <t xml:space="preserve">TAGTTGATCGATCTCGTACTTGAT</t>
  </si>
  <si>
    <t xml:space="preserve">AAACATCAAGTACGAGATCGATCA</t>
  </si>
  <si>
    <t xml:space="preserve">GCGGTCGATGAACAGGCAGT</t>
  </si>
  <si>
    <t xml:space="preserve">TAGTGCGGTCGATGAACAGGCAGT</t>
  </si>
  <si>
    <t xml:space="preserve">AAACACTGCCTGTTCATCGACCGC</t>
  </si>
  <si>
    <t xml:space="preserve">PST_3687</t>
  </si>
  <si>
    <t xml:space="preserve">TCCAGCACGAACGCCCACAT</t>
  </si>
  <si>
    <t xml:space="preserve">TAGTTCCAGCACGAACGCCCACAT</t>
  </si>
  <si>
    <t xml:space="preserve">AAACATGTGGGCGTTCGTGCTGGA</t>
  </si>
  <si>
    <t xml:space="preserve">CACGTGGGCCTCGAAGGCGG</t>
  </si>
  <si>
    <t xml:space="preserve">TAGTCACGTGGGCCTCGAAGGCGG</t>
  </si>
  <si>
    <t xml:space="preserve">AAACCCGCCTTCGAGGCCCACGTG</t>
  </si>
  <si>
    <t xml:space="preserve">CACGATGTCCATCAGCCGGA</t>
  </si>
  <si>
    <t xml:space="preserve">TAGTCACGATGTCCATCAGCCGGA</t>
  </si>
  <si>
    <t xml:space="preserve">AAACTCCGGCTGATGGACATCGTG</t>
  </si>
  <si>
    <t xml:space="preserve">GGCCGAAGTCCATGTGCTCC</t>
  </si>
  <si>
    <t xml:space="preserve">TAGTGGCCGAAGTCCATGTGCTCC</t>
  </si>
  <si>
    <t xml:space="preserve">AAACGGAGCACATGGACTTCGGCC</t>
  </si>
  <si>
    <t xml:space="preserve">PST_3688</t>
  </si>
  <si>
    <t xml:space="preserve">TGGCCTGATTCCAGCCGGAA</t>
  </si>
  <si>
    <t xml:space="preserve">TAGTTGGCCTGATTCCAGCCGGAA</t>
  </si>
  <si>
    <t xml:space="preserve">AAACTTCCGGCTGGAATCAGGCCA</t>
  </si>
  <si>
    <t xml:space="preserve">GGTGCGCCAGCCAGTGGCGA</t>
  </si>
  <si>
    <t xml:space="preserve">TAGTGGTGCGCCAGCCAGTGGCGA</t>
  </si>
  <si>
    <t xml:space="preserve">AAACTCGCCACTGGCTGGCGCACC</t>
  </si>
  <si>
    <t xml:space="preserve">GGTCGTCCACGAACTTCTTC</t>
  </si>
  <si>
    <t xml:space="preserve">TAGTGGTCGTCCACGAACTTCTTC</t>
  </si>
  <si>
    <t xml:space="preserve">AAACGAAGAAGTTCGTGGACGACC</t>
  </si>
  <si>
    <t xml:space="preserve">GATGAGTACGCTGACCCGGC</t>
  </si>
  <si>
    <t xml:space="preserve">TAGTGATGAGTACGCTGACCCGGC</t>
  </si>
  <si>
    <t xml:space="preserve">AAACGCCGGGTCAGCGTACTCATC</t>
  </si>
  <si>
    <t xml:space="preserve">PST_3689</t>
  </si>
  <si>
    <t xml:space="preserve">AGGCGACAAACAACAGCAAG</t>
  </si>
  <si>
    <t xml:space="preserve">TAGTAGGCGACAAACAACAGCAAG</t>
  </si>
  <si>
    <t xml:space="preserve">AAACCTTGCTGTTGTTTGTCGCCT</t>
  </si>
  <si>
    <t xml:space="preserve">GGATCGAATCCGATTCGGGC</t>
  </si>
  <si>
    <t xml:space="preserve">TAGTGGATCGAATCCGATTCGGGC</t>
  </si>
  <si>
    <t xml:space="preserve">AAACGCCCGAATCGGATTCGATCC</t>
  </si>
  <si>
    <t xml:space="preserve">GCCAGCGGTTGCTGCCGATA</t>
  </si>
  <si>
    <t xml:space="preserve">TAGTGCCAGCGGTTGCTGCCGATA</t>
  </si>
  <si>
    <t xml:space="preserve">AAACTATCGGCAGCAACCGCTGGC</t>
  </si>
  <si>
    <t xml:space="preserve">AGATCGTCCGCCAGATAGAT</t>
  </si>
  <si>
    <t xml:space="preserve">TAGTAGATCGTCCGCCAGATAGAT</t>
  </si>
  <si>
    <t xml:space="preserve">AAACATCTATCTGGCGGACGATCT</t>
  </si>
  <si>
    <t xml:space="preserve">PST_3690</t>
  </si>
  <si>
    <t xml:space="preserve">GACCGAAGATGCCCAGCAGC</t>
  </si>
  <si>
    <t xml:space="preserve">TAGTGACCGAAGATGCCCAGCAGC</t>
  </si>
  <si>
    <t xml:space="preserve">AAACGCTGCTGGGCATCTTCGGTC</t>
  </si>
  <si>
    <t xml:space="preserve">ACGGGTCGGCAGGTGCCAGG</t>
  </si>
  <si>
    <t xml:space="preserve">TAGTACGGGTCGGCAGGTGCCAGG</t>
  </si>
  <si>
    <t xml:space="preserve">AAACCCTGGCACCTGCCGACCCGT</t>
  </si>
  <si>
    <t xml:space="preserve">GTGATTGCGCCAGCCGGCGA</t>
  </si>
  <si>
    <t xml:space="preserve">TAGTGTGATTGCGCCAGCCGGCGA</t>
  </si>
  <si>
    <t xml:space="preserve">AAACTCGCCGGCTGGCGCAATCAC</t>
  </si>
  <si>
    <t xml:space="preserve">CAGCAGGGCAAGATGCTGCG</t>
  </si>
  <si>
    <t xml:space="preserve">TAGTCAGCAGGGCAAGATGCTGCG</t>
  </si>
  <si>
    <t xml:space="preserve">AAACCGCAGCATCTTGCCCTGCTG</t>
  </si>
  <si>
    <t xml:space="preserve">PST_3691</t>
  </si>
  <si>
    <t xml:space="preserve">GTACGTCAGCGAGGCATAGC</t>
  </si>
  <si>
    <t xml:space="preserve">TAGTGTACGTCAGCGAGGCATAGC</t>
  </si>
  <si>
    <t xml:space="preserve">AAACGCTATGCCTCGCTGACGTAC</t>
  </si>
  <si>
    <t xml:space="preserve">GCAGCCCGCTGACGAATTCA</t>
  </si>
  <si>
    <t xml:space="preserve">TAGTGCAGCCCGCTGACGAATTCA</t>
  </si>
  <si>
    <t xml:space="preserve">AAACTGAATTCGTCAGCGGGCTGC</t>
  </si>
  <si>
    <t xml:space="preserve">GCTACCGATTGCTCGCTGTC</t>
  </si>
  <si>
    <t xml:space="preserve">TAGTGCTACCGATTGCTCGCTGTC</t>
  </si>
  <si>
    <t xml:space="preserve">AAACGACAGCGAGCAATCGGTAGC</t>
  </si>
  <si>
    <t xml:space="preserve">GGTGAGGATGCCCCGCACCA</t>
  </si>
  <si>
    <t xml:space="preserve">TAGTGGTGAGGATGCCCCGCACCA</t>
  </si>
  <si>
    <t xml:space="preserve">AAACTGGTGCGGGGCATCCTCACC</t>
  </si>
  <si>
    <t xml:space="preserve">PST_3692</t>
  </si>
  <si>
    <t xml:space="preserve">ATCTTGTTGTTGTTGCGCAT</t>
  </si>
  <si>
    <t xml:space="preserve">TAGTATCTTGTTGTTGTTGCGCAT</t>
  </si>
  <si>
    <t xml:space="preserve">AAACATGCGCAACAACAACAAGAT</t>
  </si>
  <si>
    <t xml:space="preserve">TAGCATTGCAGACAGGCATC</t>
  </si>
  <si>
    <t xml:space="preserve">TAGTTAGCATTGCAGACAGGCATC</t>
  </si>
  <si>
    <t xml:space="preserve">AAACGATGCCTGTCTGCAATGCTA</t>
  </si>
  <si>
    <t xml:space="preserve">CTACCAGCCGTTGGCGGTGA</t>
  </si>
  <si>
    <t xml:space="preserve">TAGTCTACCAGCCGTTGGCGGTGA</t>
  </si>
  <si>
    <t xml:space="preserve">AAACTCACCGCCAACGGCTGGTAG</t>
  </si>
  <si>
    <t xml:space="preserve">GCCGCCGAGGCGGGTCAGAT</t>
  </si>
  <si>
    <t xml:space="preserve">TAGTGCCGCCGAGGCGGGTCAGAT</t>
  </si>
  <si>
    <t xml:space="preserve">AAACATCTGACCCGCCTCGGCGGC</t>
  </si>
  <si>
    <t xml:space="preserve">PST_3693</t>
  </si>
  <si>
    <t xml:space="preserve">GTCCTGTTGCTTGGTCTTGT</t>
  </si>
  <si>
    <t xml:space="preserve">TAGTGTCCTGTTGCTTGGTCTTGT</t>
  </si>
  <si>
    <t xml:space="preserve">AAACACAAGACCAAGCAACAGGAC</t>
  </si>
  <si>
    <t xml:space="preserve">GGCCATCAGCTTGCGCCGGC</t>
  </si>
  <si>
    <t xml:space="preserve">TAGTGGCCATCAGCTTGCGCCGGC</t>
  </si>
  <si>
    <t xml:space="preserve">AAACGCCGGCGCAAGCTGATGGCC</t>
  </si>
  <si>
    <t xml:space="preserve">CGCCCGCTACGGCGGCGCCC</t>
  </si>
  <si>
    <t xml:space="preserve">TAGTCGCCCGCTACGGCGGCGCCC</t>
  </si>
  <si>
    <t xml:space="preserve">AAACGGGCGCCGCCGTAGCGGGCG</t>
  </si>
  <si>
    <t xml:space="preserve">GACGGTTTCGCTGTAGCCGG</t>
  </si>
  <si>
    <t xml:space="preserve">TAGTGACGGTTTCGCTGTAGCCGG</t>
  </si>
  <si>
    <t xml:space="preserve">AAACCCGGCTACAGCGAAACCGTC</t>
  </si>
  <si>
    <t xml:space="preserve">PST_3694</t>
  </si>
  <si>
    <t xml:space="preserve">CAGAAGCTCGACGATCTGCA</t>
  </si>
  <si>
    <t xml:space="preserve">TAGTCAGAAGCTCGACGATCTGCA</t>
  </si>
  <si>
    <t xml:space="preserve">AAACTGCAGATCGTCGAGCTTCTG</t>
  </si>
  <si>
    <t xml:space="preserve">AACCAGGCGGCTTCGTAGTC</t>
  </si>
  <si>
    <t xml:space="preserve">TAGTAACCAGGCGGCTTCGTAGTC</t>
  </si>
  <si>
    <t xml:space="preserve">AAACGACTACGAAGCCGCCTGGTT</t>
  </si>
  <si>
    <t xml:space="preserve">AAGAAGTACTGCACCGCCCA</t>
  </si>
  <si>
    <t xml:space="preserve">TAGTAAGAAGTACTGCACCGCCCA</t>
  </si>
  <si>
    <t xml:space="preserve">AAACTGGGCGGTGCAGTACTTCTT</t>
  </si>
  <si>
    <t xml:space="preserve">TGCAGTGAGCGCCGTGGTGG</t>
  </si>
  <si>
    <t xml:space="preserve">TAGTTGCAGTGAGCGCCGTGGTGG</t>
  </si>
  <si>
    <t xml:space="preserve">AAACCCACCACGGCGCTCACTGCA</t>
  </si>
  <si>
    <t xml:space="preserve">PST_3695</t>
  </si>
  <si>
    <t xml:space="preserve">CGTTTCATCAGATTTGCTCA</t>
  </si>
  <si>
    <t xml:space="preserve">TAGTCGTTTCATCAGATTTGCTCA</t>
  </si>
  <si>
    <t xml:space="preserve">AAACTGAGCAAATCTGATGAAACG</t>
  </si>
  <si>
    <t xml:space="preserve">CTTGAGCAGGCCGCGCCGGC</t>
  </si>
  <si>
    <t xml:space="preserve">TAGTCTTGAGCAGGCCGCGCCGGC</t>
  </si>
  <si>
    <t xml:space="preserve">AAACGCCGGCGCGGCCTGCTCAAG</t>
  </si>
  <si>
    <t xml:space="preserve">CCGCGGCACTCAGGCCCAGC</t>
  </si>
  <si>
    <t xml:space="preserve">TAGTCCGCGGCACTCAGGCCCAGC</t>
  </si>
  <si>
    <t xml:space="preserve">AAACGCTGGGCCTGAGTGCCGCGG</t>
  </si>
  <si>
    <t xml:space="preserve">CGGCGCCGGCCAGGGGCAGC</t>
  </si>
  <si>
    <t xml:space="preserve">TAGTCGGCGCCGGCCAGGGGCAGC</t>
  </si>
  <si>
    <t xml:space="preserve">AAACGCTGCCCCTGGCCGGCGCCG</t>
  </si>
  <si>
    <t xml:space="preserve">PST_3696</t>
  </si>
  <si>
    <t xml:space="preserve">GTGGCATGCCCAGGGCCAGC</t>
  </si>
  <si>
    <t xml:space="preserve">TAGTGTGGCATGCCCAGGGCCAGC</t>
  </si>
  <si>
    <t xml:space="preserve">AAACGCTGGCCCTGGGCATGCCAC</t>
  </si>
  <si>
    <t xml:space="preserve">ACCAGCCCACCAGCAGGGCC</t>
  </si>
  <si>
    <t xml:space="preserve">TAGTACCAGCCCACCAGCAGGGCC</t>
  </si>
  <si>
    <t xml:space="preserve">AAACGGCCCTGCTGGTGGGCTGGT</t>
  </si>
  <si>
    <t xml:space="preserve">TTGCGGCTCGGGATTGCAGG</t>
  </si>
  <si>
    <t xml:space="preserve">TAGTTTGCGGCTCGGGATTGCAGG</t>
  </si>
  <si>
    <t xml:space="preserve">AAACCCTGCAATCCCGAGCCGCAA</t>
  </si>
  <si>
    <t xml:space="preserve">CGAGGAGGCCTGCCAGCAGC</t>
  </si>
  <si>
    <t xml:space="preserve">TAGTCGAGGAGGCCTGCCAGCAGC</t>
  </si>
  <si>
    <t xml:space="preserve">AAACGCTGCTGGCAGGCCTCCTCG</t>
  </si>
  <si>
    <t xml:space="preserve">PST_3697</t>
  </si>
  <si>
    <t xml:space="preserve">CCCCCGGCCCCGCCAGCAAC</t>
  </si>
  <si>
    <t xml:space="preserve">TAGTCCCCCGGCCCCGCCAGCAAC</t>
  </si>
  <si>
    <t xml:space="preserve">AAACGTTGCTGGCGGGGCCGGGGG</t>
  </si>
  <si>
    <t xml:space="preserve">TCGCGGCCGCGCTCGGCCCG</t>
  </si>
  <si>
    <t xml:space="preserve">TAGTTCGCGGCCGCGCTCGGCCCG</t>
  </si>
  <si>
    <t xml:space="preserve">AAACCGGGCCGAGCGCGGCCGCGA</t>
  </si>
  <si>
    <t xml:space="preserve">CCGCGAAAACGGCCCGCTCC</t>
  </si>
  <si>
    <t xml:space="preserve">TAGTCCGCGAAAACGGCCCGCTCC</t>
  </si>
  <si>
    <t xml:space="preserve">AAACGGAGCGGGCCGTTTTCGCGG</t>
  </si>
  <si>
    <t xml:space="preserve">PST_3698</t>
  </si>
  <si>
    <t xml:space="preserve">GGGCGACGTAGCGCGGATGG</t>
  </si>
  <si>
    <t xml:space="preserve">TAGTGGGCGACGTAGCGCGGATGG</t>
  </si>
  <si>
    <t xml:space="preserve">AAACCCATCCGCGCTACGTCGCCC</t>
  </si>
  <si>
    <t xml:space="preserve">CACCACCGGGCAGTTGAGAT</t>
  </si>
  <si>
    <t xml:space="preserve">TAGTCACCACCGGGCAGTTGAGAT</t>
  </si>
  <si>
    <t xml:space="preserve">AAACATCTCAACTGCCCGGTGGTG</t>
  </si>
  <si>
    <t xml:space="preserve">GAGCGATGACACCAGCACTT</t>
  </si>
  <si>
    <t xml:space="preserve">TAGTGAGCGATGACACCAGCACTT</t>
  </si>
  <si>
    <t xml:space="preserve">AAACAAGTGCTGGTGTCATCGCTC</t>
  </si>
  <si>
    <t xml:space="preserve">CTGGTCCCAGGTGTCCAGCG</t>
  </si>
  <si>
    <t xml:space="preserve">TAGTCTGGTCCCAGGTGTCCAGCG</t>
  </si>
  <si>
    <t xml:space="preserve">AAACCGCTGGACACCTGGGACCAG</t>
  </si>
  <si>
    <t xml:space="preserve">PST_3699</t>
  </si>
  <si>
    <t xml:space="preserve">AGGCCAGGCCAAGGTTGAAC</t>
  </si>
  <si>
    <t xml:space="preserve">TAGTAGGCCAGGCCAAGGTTGAAC</t>
  </si>
  <si>
    <t xml:space="preserve">AAACGTTCAACCTTGGCCTGGCCT</t>
  </si>
  <si>
    <t xml:space="preserve">GTCCGTCGATGGGCTGTGCC</t>
  </si>
  <si>
    <t xml:space="preserve">TAGTGTCCGTCGATGGGCTGTGCC</t>
  </si>
  <si>
    <t xml:space="preserve">AAACGGCACAGCCCATCGACGGAC</t>
  </si>
  <si>
    <t xml:space="preserve">CCTCGGCGCGGTCGAGGAAC</t>
  </si>
  <si>
    <t xml:space="preserve">TAGTCCTCGGCGCGGTCGAGGAAC</t>
  </si>
  <si>
    <t xml:space="preserve">AAACGTTCCTCGACCGCGCCGAGG</t>
  </si>
  <si>
    <t xml:space="preserve">GCGCTGTCGAGCATCATGCC</t>
  </si>
  <si>
    <t xml:space="preserve">TAGTGCGCTGTCGAGCATCATGCC</t>
  </si>
  <si>
    <t xml:space="preserve">AAACGGCATGATGCTCGACAGCGC</t>
  </si>
  <si>
    <t xml:space="preserve">PST_3700</t>
  </si>
  <si>
    <t xml:space="preserve">GCGGGTAGAACGGCATCAGC</t>
  </si>
  <si>
    <t xml:space="preserve">TAGTGCGGGTAGAACGGCATCAGC</t>
  </si>
  <si>
    <t xml:space="preserve">AAACGCTGATGCCGTTCTACCCGC</t>
  </si>
  <si>
    <t xml:space="preserve">GCGCAACTCGCCGAAACGCT</t>
  </si>
  <si>
    <t xml:space="preserve">TAGTGCGCAACTCGCCGAAACGCT</t>
  </si>
  <si>
    <t xml:space="preserve">AAACAGCGTTTCGGCGAGTTGCGC</t>
  </si>
  <si>
    <t xml:space="preserve">CATCGCCACCAGGCACACCG</t>
  </si>
  <si>
    <t xml:space="preserve">TAGTCATCGCCACCAGGCACACCG</t>
  </si>
  <si>
    <t xml:space="preserve">AAACCGGTGTGCCTGGTGGCGATG</t>
  </si>
  <si>
    <t xml:space="preserve">CGTGCAAGGCGCACCCACAC</t>
  </si>
  <si>
    <t xml:space="preserve">TAGTCGTGCAAGGCGCACCCACAC</t>
  </si>
  <si>
    <t xml:space="preserve">AAACGTGTGGGTGCGCCTTGCACG</t>
  </si>
  <si>
    <t xml:space="preserve">PST_3701</t>
  </si>
  <si>
    <t xml:space="preserve">ACCATCCGCGCGGGAAAGAG</t>
  </si>
  <si>
    <t xml:space="preserve">TAGTACCATCCGCGCGGGAAAGAG</t>
  </si>
  <si>
    <t xml:space="preserve">AAACCTCTTTCCCGCGCGGATGGT</t>
  </si>
  <si>
    <t xml:space="preserve">CTGCAGTAGCGAACGAAGCG</t>
  </si>
  <si>
    <t xml:space="preserve">TAGTCTGCAGTAGCGAACGAAGCG</t>
  </si>
  <si>
    <t xml:space="preserve">AAACCGCTTCGTTCGCTACTGCAG</t>
  </si>
  <si>
    <t xml:space="preserve">CTGCACGGTCTCGAAATGCA</t>
  </si>
  <si>
    <t xml:space="preserve">TAGTCTGCACGGTCTCGAAATGCA</t>
  </si>
  <si>
    <t xml:space="preserve">AAACTGCATTTCGAGACCGTGCAG</t>
  </si>
  <si>
    <t xml:space="preserve">CCCAGAAGCGCGCGTAGTCG</t>
  </si>
  <si>
    <t xml:space="preserve">TAGTCCCAGAAGCGCGCGTAGTCG</t>
  </si>
  <si>
    <t xml:space="preserve">AAACCGACTACGCGCGCTTCTGGG</t>
  </si>
  <si>
    <t xml:space="preserve">PST_3702</t>
  </si>
  <si>
    <t xml:space="preserve">GGTCGCTGGTAGCGGTCGGC</t>
  </si>
  <si>
    <t xml:space="preserve">TAGTGGTCGCTGGTAGCGGTCGGC</t>
  </si>
  <si>
    <t xml:space="preserve">AAACGCCGACCGCTACCAGCGACC</t>
  </si>
  <si>
    <t xml:space="preserve">CTTGCAGATGGTCGGTGGCC</t>
  </si>
  <si>
    <t xml:space="preserve">TAGTCTTGCAGATGGTCGGTGGCC</t>
  </si>
  <si>
    <t xml:space="preserve">AAACGGCCACCGACCATCTGCAAG</t>
  </si>
  <si>
    <t xml:space="preserve">ATTGGCGCGGGCCCAGCGTT</t>
  </si>
  <si>
    <t xml:space="preserve">TAGTATTGGCGCGGGCCCAGCGTT</t>
  </si>
  <si>
    <t xml:space="preserve">AAACAACGCTGGGCCCGCGCCAAT</t>
  </si>
  <si>
    <t xml:space="preserve">CCAGCGCCTTTTTCAGCAGC</t>
  </si>
  <si>
    <t xml:space="preserve">TAGTCCAGCGCCTTTTTCAGCAGC</t>
  </si>
  <si>
    <t xml:space="preserve">AAACGCTGCTGAAAAAGGCGCTGG</t>
  </si>
  <si>
    <t xml:space="preserve">PST_3703</t>
  </si>
  <si>
    <t xml:space="preserve">CTGCCCAGCGCATCCGTGTC</t>
  </si>
  <si>
    <t xml:space="preserve">TAGTCTGCCCAGCGCATCCGTGTC</t>
  </si>
  <si>
    <t xml:space="preserve">AAACGACACGGATGCGCTGGGCAG</t>
  </si>
  <si>
    <t xml:space="preserve">CGCGACGCAGGCGCAGCAGC</t>
  </si>
  <si>
    <t xml:space="preserve">TAGTCGCGACGCAGGCGCAGCAGC</t>
  </si>
  <si>
    <t xml:space="preserve">AAACGCTGCTGCGCCTGCGTCGCG</t>
  </si>
  <si>
    <t xml:space="preserve">CCGACCCGGCCATCGAGGCC</t>
  </si>
  <si>
    <t xml:space="preserve">TAGTCCGACCCGGCCATCGAGGCC</t>
  </si>
  <si>
    <t xml:space="preserve">AAACGGCCTCGATGGCCGGGTCGG</t>
  </si>
  <si>
    <t xml:space="preserve">CAGCGTCAGCTCGTCGGCGC</t>
  </si>
  <si>
    <t xml:space="preserve">TAGTCAGCGTCAGCTCGTCGGCGC</t>
  </si>
  <si>
    <t xml:space="preserve">AAACGCGCCGACGAGCTGACGCTG</t>
  </si>
  <si>
    <t xml:space="preserve">PST_3704</t>
  </si>
  <si>
    <t xml:space="preserve">xseB</t>
  </si>
  <si>
    <t xml:space="preserve">AAACGCCGGTGGCAGCCACA</t>
  </si>
  <si>
    <t xml:space="preserve">TAGTAAACGCCGGTGGCAGCCACA</t>
  </si>
  <si>
    <t xml:space="preserve">AAACTGTGGCTGCCACCGGCGTTT</t>
  </si>
  <si>
    <t xml:space="preserve">GTCGGCGGCGAGTCGGAAAC</t>
  </si>
  <si>
    <t xml:space="preserve">TAGTGTCGGCGGCGAGTCGGAAAC</t>
  </si>
  <si>
    <t xml:space="preserve">AAACGTTTCCGACTCGCCGCCGAC</t>
  </si>
  <si>
    <t xml:space="preserve">GCTTTCTTGCGGGCCATGGC</t>
  </si>
  <si>
    <t xml:space="preserve">TAGTGCTTTCTTGCGGGCCATGGC</t>
  </si>
  <si>
    <t xml:space="preserve">AAACGCCATGGCCCGCAAGAAAGC</t>
  </si>
  <si>
    <t xml:space="preserve">CAGCTGTTGCAGCTCGGCAA</t>
  </si>
  <si>
    <t xml:space="preserve">TAGTCAGCTGTTGCAGCTCGGCAA</t>
  </si>
  <si>
    <t xml:space="preserve">AAACTTGCCGAGCTGCAACAGCTG</t>
  </si>
  <si>
    <t xml:space="preserve">PST_3705</t>
  </si>
  <si>
    <t xml:space="preserve">ispA</t>
  </si>
  <si>
    <t xml:space="preserve">CGCGCTGCTGACAGCCTTTC</t>
  </si>
  <si>
    <t xml:space="preserve">TAGTCGCGCTGCTGACAGCCTTTC</t>
  </si>
  <si>
    <t xml:space="preserve">AAACGAAAGGCTGTCAGCAGCGCG</t>
  </si>
  <si>
    <t xml:space="preserve">GCGGGACGAAGAGAGCTTCG</t>
  </si>
  <si>
    <t xml:space="preserve">TAGTGCGGGACGAAGAGAGCTTCG</t>
  </si>
  <si>
    <t xml:space="preserve">AAACCGAAGCTCTCTTCGTCCCGC</t>
  </si>
  <si>
    <t xml:space="preserve">AGCCGCTCGAGCTGCGGCAG</t>
  </si>
  <si>
    <t xml:space="preserve">TAGTAGCCGCTCGAGCTGCGGCAG</t>
  </si>
  <si>
    <t xml:space="preserve">AAACCTGCCGCAGCTCGAGCGGCT</t>
  </si>
  <si>
    <t xml:space="preserve">TCACGCTGTAGCGCATGGCC</t>
  </si>
  <si>
    <t xml:space="preserve">TAGTTCACGCTGTAGCGCATGGCC</t>
  </si>
  <si>
    <t xml:space="preserve">AAACGGCCATGCGCTACAGCGTGA</t>
  </si>
  <si>
    <t xml:space="preserve">PST_3706</t>
  </si>
  <si>
    <t xml:space="preserve">dxs</t>
  </si>
  <si>
    <t xml:space="preserve">GGAATCTCATGGAACGTCTT</t>
  </si>
  <si>
    <t xml:space="preserve">TAGTGGAATCTCATGGAACGTCTT</t>
  </si>
  <si>
    <t xml:space="preserve">AAACAAGACGTTCCATGAGATTCC</t>
  </si>
  <si>
    <t xml:space="preserve">GGCGTCGCGGGGCGCACCCG</t>
  </si>
  <si>
    <t xml:space="preserve">TAGTGGCGTCGCGGGGCGCACCCG</t>
  </si>
  <si>
    <t xml:space="preserve">AAACCGGGTGCGCCCCGCGACGCC</t>
  </si>
  <si>
    <t xml:space="preserve">GTCGCCGCTCGGTCAAGAAC</t>
  </si>
  <si>
    <t xml:space="preserve">TAGTGTCGCCGCTCGGTCAAGAAC</t>
  </si>
  <si>
    <t xml:space="preserve">AAACGTTCTTGACCGAGCGGCGAC</t>
  </si>
  <si>
    <t xml:space="preserve">CAGTCGGCGCAGCTGCTCGG</t>
  </si>
  <si>
    <t xml:space="preserve">TAGTCAGTCGGCGCAGCTGCTCGG</t>
  </si>
  <si>
    <t xml:space="preserve">AAACCCGAGCAGCTGCGCCGACTG</t>
  </si>
  <si>
    <t xml:space="preserve">PST_3707</t>
  </si>
  <si>
    <t xml:space="preserve">CCCGAAACGCTCCCTGACTG</t>
  </si>
  <si>
    <t xml:space="preserve">TAGTCCCGAAACGCTCCCTGACTG</t>
  </si>
  <si>
    <t xml:space="preserve">AAACCAGTCAGGGAGCGTTTCGGG</t>
  </si>
  <si>
    <t xml:space="preserve">CTCGCCCGCATCCGTTACAG</t>
  </si>
  <si>
    <t xml:space="preserve">TAGTCTCGCCCGCATCCGTTACAG</t>
  </si>
  <si>
    <t xml:space="preserve">AAACCTGTAACGGATGCGGGCGAG</t>
  </si>
  <si>
    <t xml:space="preserve">GAATGGACCGCCAGTATGGA</t>
  </si>
  <si>
    <t xml:space="preserve">TAGTGAATGGACCGCCAGTATGGA</t>
  </si>
  <si>
    <t xml:space="preserve">AAACTCCATACTGGCGGTCCATTC</t>
  </si>
  <si>
    <t xml:space="preserve">GGGCAATCTTCTTCACGCGG</t>
  </si>
  <si>
    <t xml:space="preserve">TAGTGGGCAATCTTCTTCACGCGG</t>
  </si>
  <si>
    <t xml:space="preserve">AAACCCGCGTGAAGAAGATTGCCC</t>
  </si>
  <si>
    <t xml:space="preserve">PST_3708</t>
  </si>
  <si>
    <t xml:space="preserve">AAACCAGGCGTCGCGCAGGA</t>
  </si>
  <si>
    <t xml:space="preserve">TAGTAAACCAGGCGTCGCGCAGGA</t>
  </si>
  <si>
    <t xml:space="preserve">AAACTCCTGCGCGACGCCTGGTTT</t>
  </si>
  <si>
    <t xml:space="preserve">GGACGATGGTCAGGAAGTGG</t>
  </si>
  <si>
    <t xml:space="preserve">TAGTGGACGATGGTCAGGAAGTGG</t>
  </si>
  <si>
    <t xml:space="preserve">AAACCCACTTCCTGACCATCGTCC</t>
  </si>
  <si>
    <t xml:space="preserve">GGATCAGCGGCAGGCAGAGC</t>
  </si>
  <si>
    <t xml:space="preserve">TAGTGGATCAGCGGCAGGCAGAGC</t>
  </si>
  <si>
    <t xml:space="preserve">AAACGCTCTGCCTGCCGCTGATCC</t>
  </si>
  <si>
    <t xml:space="preserve">GACGGGTCAGACTTTCCAGC</t>
  </si>
  <si>
    <t xml:space="preserve">TAGTGACGGGTCAGACTTTCCAGC</t>
  </si>
  <si>
    <t xml:space="preserve">AAACGCTGGAAAGTCTGACCCGTC</t>
  </si>
  <si>
    <t xml:space="preserve">PST_3709</t>
  </si>
  <si>
    <t xml:space="preserve">GCTGGGGTTCTGTTCGGCCA</t>
  </si>
  <si>
    <t xml:space="preserve">TAGTGCTGGGGTTCTGTTCGGCCA</t>
  </si>
  <si>
    <t xml:space="preserve">AAACTGGCCGAACAGAACCCCAGC</t>
  </si>
  <si>
    <t xml:space="preserve">TGCCCAGGGAAATGTGGGAA</t>
  </si>
  <si>
    <t xml:space="preserve">TAGTTGCCCAGGGAAATGTGGGAA</t>
  </si>
  <si>
    <t xml:space="preserve">AAACTTCCCACATTTCCCTGGGCA</t>
  </si>
  <si>
    <t xml:space="preserve">GGCGAGGACCTGGTCATAGA</t>
  </si>
  <si>
    <t xml:space="preserve">TAGTGGCGAGGACCTGGTCATAGA</t>
  </si>
  <si>
    <t xml:space="preserve">AAACTCTATGACCAGGTCCTCGCC</t>
  </si>
  <si>
    <t xml:space="preserve">GATGCGTTTGCAGCCGAGGG</t>
  </si>
  <si>
    <t xml:space="preserve">TAGTGATGCGTTTGCAGCCGAGGG</t>
  </si>
  <si>
    <t xml:space="preserve">AAACCCCTCGGCTGCAAACGCATC</t>
  </si>
  <si>
    <t xml:space="preserve">PST_3710</t>
  </si>
  <si>
    <t xml:space="preserve">GCCGATTCCTGCGCAGCCGC</t>
  </si>
  <si>
    <t xml:space="preserve">TAGTGCCGATTCCTGCGCAGCCGC</t>
  </si>
  <si>
    <t xml:space="preserve">AAACGCGGCTGCGCAGGAATCGGC</t>
  </si>
  <si>
    <t xml:space="preserve">CTGGGCCATACGCACCGCCA</t>
  </si>
  <si>
    <t xml:space="preserve">TAGTCTGGGCCATACGCACCGCCA</t>
  </si>
  <si>
    <t xml:space="preserve">AAACTGGCGGTGCGTATGGCCCAG</t>
  </si>
  <si>
    <t xml:space="preserve">CGCCTCGGCGTTGTGGTGAT</t>
  </si>
  <si>
    <t xml:space="preserve">TAGTCGCCTCGGCGTTGTGGTGAT</t>
  </si>
  <si>
    <t xml:space="preserve">AAACATCACCACAACGCCGAGGCG</t>
  </si>
  <si>
    <t xml:space="preserve">CGGGCTGCGATGGGTGATGC</t>
  </si>
  <si>
    <t xml:space="preserve">TAGTCGGGCTGCGATGGGTGATGC</t>
  </si>
  <si>
    <t xml:space="preserve">AAACGCATCACCCATCGCAGCCCG</t>
  </si>
  <si>
    <t xml:space="preserve">PST_3711</t>
  </si>
  <si>
    <t xml:space="preserve">GCGTTGCGCTGTTGTCCATG</t>
  </si>
  <si>
    <t xml:space="preserve">TAGTGCGTTGCGCTGTTGTCCATG</t>
  </si>
  <si>
    <t xml:space="preserve">AAACCATGGACAACAGCGCAACGC</t>
  </si>
  <si>
    <t xml:space="preserve">CTGGTCCGGCAAGCATGCGC</t>
  </si>
  <si>
    <t xml:space="preserve">TAGTCTGGTCCGGCAAGCATGCGC</t>
  </si>
  <si>
    <t xml:space="preserve">AAACGCGCATGCTTGCCGGACCAG</t>
  </si>
  <si>
    <t xml:space="preserve">GCTTTCAAGAGATCGATCAC</t>
  </si>
  <si>
    <t xml:space="preserve">TAGTGCTTTCAAGAGATCGATCAC</t>
  </si>
  <si>
    <t xml:space="preserve">AAACGTGATCGATCTCTTGAAAGC</t>
  </si>
  <si>
    <t xml:space="preserve">AGAGCAGGGCCACGGCCAGT</t>
  </si>
  <si>
    <t xml:space="preserve">TAGTAGAGCAGGGCCACGGCCAGT</t>
  </si>
  <si>
    <t xml:space="preserve">AAACACTGGCCGTGGCCCTGCTCT</t>
  </si>
  <si>
    <t xml:space="preserve">PST_3712</t>
  </si>
  <si>
    <t xml:space="preserve">CAGAACTTCGTCGATCGGTA</t>
  </si>
  <si>
    <t xml:space="preserve">TAGTCAGAACTTCGTCGATCGGTA</t>
  </si>
  <si>
    <t xml:space="preserve">AAACTACCGATCGACGAAGTTCTG</t>
  </si>
  <si>
    <t xml:space="preserve">CGTCGCGCTGCTGCAGGGCC</t>
  </si>
  <si>
    <t xml:space="preserve">TAGTCGTCGCGCTGCTGCAGGGCC</t>
  </si>
  <si>
    <t xml:space="preserve">AAACGGCCCTGCAGCAGCGCGACG</t>
  </si>
  <si>
    <t xml:space="preserve">GTGGTCTTGCCGGCGCCGGG</t>
  </si>
  <si>
    <t xml:space="preserve">TAGTGTGGTCTTGCCGGCGCCGGG</t>
  </si>
  <si>
    <t xml:space="preserve">AAACCCCGGCGCCGGCAAGACCAC</t>
  </si>
  <si>
    <t xml:space="preserve">GAGCAGCGCCAGCGGCACGC</t>
  </si>
  <si>
    <t xml:space="preserve">TAGTGAGCAGCGCCAGCGGCACGC</t>
  </si>
  <si>
    <t xml:space="preserve">AAACGCGTGCCGCTGGCGCTGCTC</t>
  </si>
  <si>
    <t xml:space="preserve">PST_3713</t>
  </si>
  <si>
    <t xml:space="preserve">AACGCGCCGAGCGCGGCGCG</t>
  </si>
  <si>
    <t xml:space="preserve">TAGTAACGCGCCGAGCGCGGCGCG</t>
  </si>
  <si>
    <t xml:space="preserve">AAACCGCGCCGCGCTCGGCGCGTT</t>
  </si>
  <si>
    <t xml:space="preserve">TCGCAGCAACGCAGAAGGAA</t>
  </si>
  <si>
    <t xml:space="preserve">TAGTTCGCAGCAACGCAGAAGGAA</t>
  </si>
  <si>
    <t xml:space="preserve">AAACTTCCTTCTGCGTTGCTGCGA</t>
  </si>
  <si>
    <t xml:space="preserve">CCCGGGCGGTGCGGCAAGGG</t>
  </si>
  <si>
    <t xml:space="preserve">TAGTCCCGGGCGGTGCGGCAAGGG</t>
  </si>
  <si>
    <t xml:space="preserve">AAACCCCTTGCCGCACCGCCCGGG</t>
  </si>
  <si>
    <t xml:space="preserve">CCACGCTGCATGCCCGGACC</t>
  </si>
  <si>
    <t xml:space="preserve">TAGTCCACGCTGCATGCCCGGACC</t>
  </si>
  <si>
    <t xml:space="preserve">AAACGGTCCGGGCATGCAGCGTGG</t>
  </si>
  <si>
    <t xml:space="preserve">PST_3714</t>
  </si>
  <si>
    <t xml:space="preserve">GCCGCCGATGATTCGGTTAC</t>
  </si>
  <si>
    <t xml:space="preserve">TAGTGCCGCCGATGATTCGGTTAC</t>
  </si>
  <si>
    <t xml:space="preserve">AAACGTAACCGAATCATCGGCGGC</t>
  </si>
  <si>
    <t xml:space="preserve">CAGCTGGGTGAACAGGGACG</t>
  </si>
  <si>
    <t xml:space="preserve">TAGTCAGCTGGGTGAACAGGGACG</t>
  </si>
  <si>
    <t xml:space="preserve">AAACCGTCCCTGTTCACCCAGCTG</t>
  </si>
  <si>
    <t xml:space="preserve">GTAGAACAGCGTGCCGCAGG</t>
  </si>
  <si>
    <t xml:space="preserve">TAGTGTAGAACAGCGTGCCGCAGG</t>
  </si>
  <si>
    <t xml:space="preserve">AAACCCTGCGGCACGCTGTTCTAC</t>
  </si>
  <si>
    <t xml:space="preserve">TCGATCTGCCCGCGGCGATC</t>
  </si>
  <si>
    <t xml:space="preserve">TAGTTCGATCTGCCCGCGGCGATC</t>
  </si>
  <si>
    <t xml:space="preserve">AAACGATCGCCGCGGGCAGATCGA</t>
  </si>
  <si>
    <t xml:space="preserve">PST_3715</t>
  </si>
  <si>
    <t xml:space="preserve">CCCGGCGCATGAGCCGGGCG</t>
  </si>
  <si>
    <t xml:space="preserve">TAGTCCCGGCGCATGAGCCGGGCG</t>
  </si>
  <si>
    <t xml:space="preserve">AAACCGCCCGGCTCATGCGCCGGG</t>
  </si>
  <si>
    <t xml:space="preserve">CGTCGCCAATGCCGCGGCGG</t>
  </si>
  <si>
    <t xml:space="preserve">TAGTCGTCGCCAATGCCGCGGCGG</t>
  </si>
  <si>
    <t xml:space="preserve">AAACCCGCCGCGGCATTGGCGACG</t>
  </si>
  <si>
    <t xml:space="preserve">CTTGCTCAGCGCCAGCAGGA</t>
  </si>
  <si>
    <t xml:space="preserve">TAGTCTTGCTCAGCGCCAGCAGGA</t>
  </si>
  <si>
    <t xml:space="preserve">AAACTCCTGCTGGCGCTGAGCAAG</t>
  </si>
  <si>
    <t xml:space="preserve">GCCGCTCAGCCACCAGGCGA</t>
  </si>
  <si>
    <t xml:space="preserve">TAGTGCCGCTCAGCCACCAGGCGA</t>
  </si>
  <si>
    <t xml:space="preserve">AAACTCGCCTGGTGGCTGAGCGGC</t>
  </si>
  <si>
    <t xml:space="preserve">PST_3716</t>
  </si>
  <si>
    <t xml:space="preserve">AGGGCTGTTGATTGCGCAAG</t>
  </si>
  <si>
    <t xml:space="preserve">TAGTAGGGCTGTTGATTGCGCAAG</t>
  </si>
  <si>
    <t xml:space="preserve">AAACCTTGCGCAATCAACAGCCCT</t>
  </si>
  <si>
    <t xml:space="preserve">TTGCGCGCGATGATGAATCC</t>
  </si>
  <si>
    <t xml:space="preserve">TAGTTTGCGCGCGATGATGAATCC</t>
  </si>
  <si>
    <t xml:space="preserve">AAACGGATTCATCATCGCGCGCAA</t>
  </si>
  <si>
    <t xml:space="preserve">TGGAGGGATGCCTTTGGGAT</t>
  </si>
  <si>
    <t xml:space="preserve">TAGTTGGAGGGATGCCTTTGGGAT</t>
  </si>
  <si>
    <t xml:space="preserve">AAACATCCCAAAGGCATCCCTCCA</t>
  </si>
  <si>
    <t xml:space="preserve">GTAGCGGTCGAGTTTGCTCA</t>
  </si>
  <si>
    <t xml:space="preserve">TAGTGTAGCGGTCGAGTTTGCTCA</t>
  </si>
  <si>
    <t xml:space="preserve">AAACTGAGCAAACTCGACCGCTAC</t>
  </si>
  <si>
    <t xml:space="preserve">PST_3717</t>
  </si>
  <si>
    <t xml:space="preserve">ACGCGGTTGGTGTCGTTCAT</t>
  </si>
  <si>
    <t xml:space="preserve">TAGTACGCGGTTGGTGTCGTTCAT</t>
  </si>
  <si>
    <t xml:space="preserve">AAACATGAACGACACCAACCGCGT</t>
  </si>
  <si>
    <t xml:space="preserve">AGAAGTCATCGAAGAAGCGG</t>
  </si>
  <si>
    <t xml:space="preserve">TAGTAGAAGTCATCGAAGAAGCGG</t>
  </si>
  <si>
    <t xml:space="preserve">AAACCCGCTTCTTCGATGACTTCT</t>
  </si>
  <si>
    <t xml:space="preserve">TGGCGAGCTGGCGAGAAAGG</t>
  </si>
  <si>
    <t xml:space="preserve">TAGTTGGCGAGCTGGCGAGAAAGG</t>
  </si>
  <si>
    <t xml:space="preserve">AAACCCTTTCTCGCCAGCTCGCCA</t>
  </si>
  <si>
    <t xml:space="preserve">GCGAACTTCTCCCGTATCGT</t>
  </si>
  <si>
    <t xml:space="preserve">TAGTGCGAACTTCTCCCGTATCGT</t>
  </si>
  <si>
    <t xml:space="preserve">AAACACGATACGGGAGAAGTTCGC</t>
  </si>
  <si>
    <t xml:space="preserve">PST_3718</t>
  </si>
  <si>
    <t xml:space="preserve">CCAGATGATGAAGGCCATGA</t>
  </si>
  <si>
    <t xml:space="preserve">TAGTCCAGATGATGAAGGCCATGA</t>
  </si>
  <si>
    <t xml:space="preserve">AAACTCATGGCCTTCATCATCTGG</t>
  </si>
  <si>
    <t xml:space="preserve">CGGCCTTCGACTTCTTAGCC</t>
  </si>
  <si>
    <t xml:space="preserve">TAGTCGGCCTTCGACTTCTTAGCC</t>
  </si>
  <si>
    <t xml:space="preserve">AAACGGCTAAGAAGTCGAAGGCCG</t>
  </si>
  <si>
    <t xml:space="preserve">GATGGCGGTGCCAAGGCGCC</t>
  </si>
  <si>
    <t xml:space="preserve">TAGTGATGGCGGTGCCAAGGCGCC</t>
  </si>
  <si>
    <t xml:space="preserve">AAACGGCGCCTTGGCACCGCCATC</t>
  </si>
  <si>
    <t xml:space="preserve">ACAGGCCGAGACCGAGGAAG</t>
  </si>
  <si>
    <t xml:space="preserve">TAGTACAGGCCGAGACCGAGGAAG</t>
  </si>
  <si>
    <t xml:space="preserve">AAACCTTCCTCGGTCTCGGCCTGT</t>
  </si>
  <si>
    <t xml:space="preserve">PST_3719</t>
  </si>
  <si>
    <t xml:space="preserve">AGAACGCGGTGGACGGGGCA</t>
  </si>
  <si>
    <t xml:space="preserve">TAGTAGAACGCGGTGGACGGGGCA</t>
  </si>
  <si>
    <t xml:space="preserve">AAACTGCCCCGTCCACCGCGTTCT</t>
  </si>
  <si>
    <t xml:space="preserve">CTGGCAGGCGATCGCGAGGA</t>
  </si>
  <si>
    <t xml:space="preserve">TAGTCTGGCAGGCGATCGCGAGGA</t>
  </si>
  <si>
    <t xml:space="preserve">AAACTCCTCGCGATCGCCTGCCAG</t>
  </si>
  <si>
    <t xml:space="preserve">TTGGCGACGCGCCGCGGCGC</t>
  </si>
  <si>
    <t xml:space="preserve">TAGTTTGGCGACGCGCCGCGGCGC</t>
  </si>
  <si>
    <t xml:space="preserve">AAACGCGCCGCGGCGCGTCGCCAA</t>
  </si>
  <si>
    <t xml:space="preserve">AACAGCCGCGGCTCGGCCGG</t>
  </si>
  <si>
    <t xml:space="preserve">TAGTAACAGCCGCGGCTCGGCCGG</t>
  </si>
  <si>
    <t xml:space="preserve">AAACCCGGCCGAGCCGCGGCTGTT</t>
  </si>
  <si>
    <t xml:space="preserve">PST_3720</t>
  </si>
  <si>
    <t xml:space="preserve">GGGTGGTCTTGATCAGAGGA</t>
  </si>
  <si>
    <t xml:space="preserve">TAGTGGGTGGTCTTGATCAGAGGA</t>
  </si>
  <si>
    <t xml:space="preserve">AAACTCCTCTGATCAAGACCACCC</t>
  </si>
  <si>
    <t xml:space="preserve">CATCAGGGCACTGGCGGCGA</t>
  </si>
  <si>
    <t xml:space="preserve">TAGTCATCAGGGCACTGGCGGCGA</t>
  </si>
  <si>
    <t xml:space="preserve">AAACTCGCCGCCAGTGCCCTGATG</t>
  </si>
  <si>
    <t xml:space="preserve">CGGCGGCCTGCAGGGTAAAA</t>
  </si>
  <si>
    <t xml:space="preserve">TAGTCGGCGGCCTGCAGGGTAAAA</t>
  </si>
  <si>
    <t xml:space="preserve">AAACTTTTACCCTGCAGGCCGCCG</t>
  </si>
  <si>
    <t xml:space="preserve">GATGCCGACCTTGATGGTTT</t>
  </si>
  <si>
    <t xml:space="preserve">TAGTGATGCCGACCTTGATGGTTT</t>
  </si>
  <si>
    <t xml:space="preserve">AAACAAACCATCAAGGTCGGCATC</t>
  </si>
  <si>
    <t xml:space="preserve">PST_3721</t>
  </si>
  <si>
    <t xml:space="preserve">CAGCAGCAATAATCGGTGCA</t>
  </si>
  <si>
    <t xml:space="preserve">TAGTCAGCAGCAATAATCGGTGCA</t>
  </si>
  <si>
    <t xml:space="preserve">AAACTGCACCGATTATTGCTGCTG</t>
  </si>
  <si>
    <t xml:space="preserve">CTGCCCAGGGCAGAACCAGC</t>
  </si>
  <si>
    <t xml:space="preserve">TAGTCTGCCCAGGGCAGAACCAGC</t>
  </si>
  <si>
    <t xml:space="preserve">AAACGCTGGTTCTGCCCTGGGCAG</t>
  </si>
  <si>
    <t xml:space="preserve">GTCGGCCGCGTCTCCGGCCT</t>
  </si>
  <si>
    <t xml:space="preserve">TAGTGTCGGCCGCGTCTCCGGCCT</t>
  </si>
  <si>
    <t xml:space="preserve">AAACAGGCCGGAGACGCGGCCGAC</t>
  </si>
  <si>
    <t xml:space="preserve">CTGTTTGGCCGGGCTGGCCT</t>
  </si>
  <si>
    <t xml:space="preserve">TAGTCTGTTTGGCCGGGCTGGCCT</t>
  </si>
  <si>
    <t xml:space="preserve">AAACAGGCCAGCCCGGCCAAACAG</t>
  </si>
  <si>
    <t xml:space="preserve">PST_3722</t>
  </si>
  <si>
    <t xml:space="preserve">CGGCGGTGAGGGTAAGTGGC</t>
  </si>
  <si>
    <t xml:space="preserve">TAGTCGGCGGTGAGGGTAAGTGGC</t>
  </si>
  <si>
    <t xml:space="preserve">AAACGCCACTTACCCTCACCGCCG</t>
  </si>
  <si>
    <t xml:space="preserve">TTTCGGCCCGGCTTTCTGCG</t>
  </si>
  <si>
    <t xml:space="preserve">TAGTTTTCGGCCCGGCTTTCTGCG</t>
  </si>
  <si>
    <t xml:space="preserve">AAACCGCAGAAAGCCGGGCCGAAA</t>
  </si>
  <si>
    <t xml:space="preserve">CAGGCCGAGGGCGATGACCG</t>
  </si>
  <si>
    <t xml:space="preserve">TAGTCAGGCCGAGGGCGATGACCG</t>
  </si>
  <si>
    <t xml:space="preserve">AAACCGGTCATCGCCCTCGGCCTG</t>
  </si>
  <si>
    <t xml:space="preserve">CAGCGGCATGGCGACGAGGA</t>
  </si>
  <si>
    <t xml:space="preserve">TAGTCAGCGGCATGGCGACGAGGA</t>
  </si>
  <si>
    <t xml:space="preserve">AAACTCCTCGTCGCCATGCCGCTG</t>
  </si>
  <si>
    <t xml:space="preserve">PST_3723</t>
  </si>
  <si>
    <t xml:space="preserve">GATGACGGCGCTGCAGGGTA</t>
  </si>
  <si>
    <t xml:space="preserve">TAGTGATGACGGCGCTGCAGGGTA</t>
  </si>
  <si>
    <t xml:space="preserve">AAACTACCCTGCAGCGCCGTCATC</t>
  </si>
  <si>
    <t xml:space="preserve">GGGTCAGGCCACCCCCGGTG</t>
  </si>
  <si>
    <t xml:space="preserve">TAGTGGGTCAGGCCACCCCCGGTG</t>
  </si>
  <si>
    <t xml:space="preserve">AAACCACCGGGGGTGGCCTGACCC</t>
  </si>
  <si>
    <t xml:space="preserve">GCCGAGGCCGATGGCATCGC</t>
  </si>
  <si>
    <t xml:space="preserve">TAGTGCCGAGGCCGATGGCATCGC</t>
  </si>
  <si>
    <t xml:space="preserve">AAACGCGATGCCATCGGCCTCGGC</t>
  </si>
  <si>
    <t xml:space="preserve">GCGTACGTCCAGGCCCTTCT</t>
  </si>
  <si>
    <t xml:space="preserve">TAGTGCGTACGTCCAGGCCCTTCT</t>
  </si>
  <si>
    <t xml:space="preserve">AAACAGAAGGGCCTGGACGTACGC</t>
  </si>
  <si>
    <t xml:space="preserve">PST_3724</t>
  </si>
  <si>
    <t xml:space="preserve">CGTAGTACTGGTGCAGTTGC</t>
  </si>
  <si>
    <t xml:space="preserve">TAGTCGTAGTACTGGTGCAGTTGC</t>
  </si>
  <si>
    <t xml:space="preserve">AAACGCAACTGCACCAGTACTACG</t>
  </si>
  <si>
    <t xml:space="preserve">ACGAGAGGCCGCGCAGGATA</t>
  </si>
  <si>
    <t xml:space="preserve">TAGTACGAGAGGCCGCGCAGGATA</t>
  </si>
  <si>
    <t xml:space="preserve">AAACTATCCTGCGCGGCCTCTCGT</t>
  </si>
  <si>
    <t xml:space="preserve">GCCGTTGCGTCCGAGCAGGC</t>
  </si>
  <si>
    <t xml:space="preserve">TAGTGCCGTTGCGTCCGAGCAGGC</t>
  </si>
  <si>
    <t xml:space="preserve">AAACGCCTGCTCGGACGCAACGGC</t>
  </si>
  <si>
    <t xml:space="preserve">CATCAGGCACTTGAGCAGGG</t>
  </si>
  <si>
    <t xml:space="preserve">TAGTCATCAGGCACTTGAGCAGGG</t>
  </si>
  <si>
    <t xml:space="preserve">AAACCCCTGCTCAAGTGCCTGATG</t>
  </si>
  <si>
    <t xml:space="preserve">PST_3725</t>
  </si>
  <si>
    <t xml:space="preserve">CCTGGCATGTTCGGTCGGGG</t>
  </si>
  <si>
    <t xml:space="preserve">TAGTCCTGGCATGTTCGGTCGGGG</t>
  </si>
  <si>
    <t xml:space="preserve">AAACCCCCGACCGAACATGCCAGG</t>
  </si>
  <si>
    <t xml:space="preserve">AGCCAGGACAGCCAGATCAG</t>
  </si>
  <si>
    <t xml:space="preserve">TAGTAGCCAGGACAGCCAGATCAG</t>
  </si>
  <si>
    <t xml:space="preserve">AAACCTGATCTGGCTGTCCTGGCT</t>
  </si>
  <si>
    <t xml:space="preserve">CAGGGCGAAGTGGCTGGCGT</t>
  </si>
  <si>
    <t xml:space="preserve">TAGTCAGGGCGAAGTGGCTGGCGT</t>
  </si>
  <si>
    <t xml:space="preserve">AAACACGCCAGCCACTTCGCCCTG</t>
  </si>
  <si>
    <t xml:space="preserve">GCAGCCAGGCCGGCTCGGCC</t>
  </si>
  <si>
    <t xml:space="preserve">TAGTGCAGCCAGGCCGGCTCGGCC</t>
  </si>
  <si>
    <t xml:space="preserve">AAACGGCCGAGCCGGCCTGGCTGC</t>
  </si>
  <si>
    <t xml:space="preserve">PST_3726</t>
  </si>
  <si>
    <t xml:space="preserve">ureD-2</t>
  </si>
  <si>
    <t xml:space="preserve">CGGTTCGCCATGCCCTTTCG</t>
  </si>
  <si>
    <t xml:space="preserve">TAGTCGGTTCGCCATGCCCTTTCG</t>
  </si>
  <si>
    <t xml:space="preserve">AAACCGAAAGGGCATGGCGAACCG</t>
  </si>
  <si>
    <t xml:space="preserve">CGGTGCGATCTGCTGCCGCC</t>
  </si>
  <si>
    <t xml:space="preserve">TAGTCGGTGCGATCTGCTGCCGCC</t>
  </si>
  <si>
    <t xml:space="preserve">AAACGGCGGCAGCAGATCGCACCG</t>
  </si>
  <si>
    <t xml:space="preserve">CCGTGGGATATGCACCGTTA</t>
  </si>
  <si>
    <t xml:space="preserve">TAGTCCGTGGGATATGCACCGTTA</t>
  </si>
  <si>
    <t xml:space="preserve">AAACTAACGGTGCATATCCCACGG</t>
  </si>
  <si>
    <t xml:space="preserve">GCGCAGCTTCGGGGCGTGCG</t>
  </si>
  <si>
    <t xml:space="preserve">TAGTGCGCAGCTTCGGGGCGTGCG</t>
  </si>
  <si>
    <t xml:space="preserve">AAACCGCACGCCCCGAAGCTGCGC</t>
  </si>
  <si>
    <t xml:space="preserve">PST_3727</t>
  </si>
  <si>
    <t xml:space="preserve">ureA</t>
  </si>
  <si>
    <t xml:space="preserve">AGCAGCTTGTCCTTCTCTCT</t>
  </si>
  <si>
    <t xml:space="preserve">TAGTAGCAGCTTGTCCTTCTCTCT</t>
  </si>
  <si>
    <t xml:space="preserve">AAACAGAGAGAAGGACAAGCTGCT</t>
  </si>
  <si>
    <t xml:space="preserve">CCAGCCGGCGCTCGGCCACC</t>
  </si>
  <si>
    <t xml:space="preserve">TAGTCCAGCCGGCGCTCGGCCACC</t>
  </si>
  <si>
    <t xml:space="preserve">AAACGGTGGCCGAGCGCCGGCTGG</t>
  </si>
  <si>
    <t xml:space="preserve">GTAGTTGAGCTTCACACCGC</t>
  </si>
  <si>
    <t xml:space="preserve">TAGTGTAGTTGAGCTTCACACCGC</t>
  </si>
  <si>
    <t xml:space="preserve">AAACGCGGTGTGAAGCTCAACTAC</t>
  </si>
  <si>
    <t xml:space="preserve">AGATGTAGGCCATGGCCTCC</t>
  </si>
  <si>
    <t xml:space="preserve">TAGTAGATGTAGGCCATGGCCTCC</t>
  </si>
  <si>
    <t xml:space="preserve">AAACGGAGGCCATGGCCTACATCT</t>
  </si>
  <si>
    <t xml:space="preserve">PST_3728</t>
  </si>
  <si>
    <t xml:space="preserve">ureB</t>
  </si>
  <si>
    <t xml:space="preserve">CTGGTATTCGCCGGGAATCA</t>
  </si>
  <si>
    <t xml:space="preserve">TAGTCTGGTATTCGCCGGGAATCA</t>
  </si>
  <si>
    <t xml:space="preserve">AAACTGATTCCCGGCGAATACCAG</t>
  </si>
  <si>
    <t xml:space="preserve">TGAGCTCGATGTCGCCGTCC</t>
  </si>
  <si>
    <t xml:space="preserve">TAGTTGAGCTCGATGTCGCCGTCC</t>
  </si>
  <si>
    <t xml:space="preserve">AAACGGACGGCGACATCGAGCTCA</t>
  </si>
  <si>
    <t xml:space="preserve">GAGGGTCAGGGTGCGGCGGC</t>
  </si>
  <si>
    <t xml:space="preserve">TAGTGAGGGTCAGGGTGCGGCGGC</t>
  </si>
  <si>
    <t xml:space="preserve">AAACGCCGCCGCACCCTGACCCTC</t>
  </si>
  <si>
    <t xml:space="preserve">AATCGGTCGGTCGCCGCTGT</t>
  </si>
  <si>
    <t xml:space="preserve">TAGTAATCGGTCGGTCGCCGCTGT</t>
  </si>
  <si>
    <t xml:space="preserve">AAACACAGCGGCGACCGACCGATT</t>
  </si>
  <si>
    <t xml:space="preserve">PST_3729</t>
  </si>
  <si>
    <t xml:space="preserve">ureC</t>
  </si>
  <si>
    <t xml:space="preserve">GTTCACGGTGGAAAAGCCTT</t>
  </si>
  <si>
    <t xml:space="preserve">TAGTGTTCACGGTGGAAAAGCCTT</t>
  </si>
  <si>
    <t xml:space="preserve">AAACAAGGCTTTTCCACCGTGAAC</t>
  </si>
  <si>
    <t xml:space="preserve">CCGTATCGTCTCGCGTAGGG</t>
  </si>
  <si>
    <t xml:space="preserve">TAGTCCGTATCGTCTCGCGTAGGG</t>
  </si>
  <si>
    <t xml:space="preserve">AAACCCCTACGCGAGACGATACGG</t>
  </si>
  <si>
    <t xml:space="preserve">CATGTCGGCATAGGCTTGGC</t>
  </si>
  <si>
    <t xml:space="preserve">TAGTCATGTCGGCATAGGCTTGGC</t>
  </si>
  <si>
    <t xml:space="preserve">AAACGCCAAGCCTATGCCGACATG</t>
  </si>
  <si>
    <t xml:space="preserve">GCACCTTGTCGCCAACGGTG</t>
  </si>
  <si>
    <t xml:space="preserve">TAGTGCACCTTGTCGCCAACGGTG</t>
  </si>
  <si>
    <t xml:space="preserve">AAACCACCGTTGGCGACAAGGTGC</t>
  </si>
  <si>
    <t xml:space="preserve">PST_3730</t>
  </si>
  <si>
    <t xml:space="preserve">GGTGAGCAGGTCGTCGAGGA</t>
  </si>
  <si>
    <t xml:space="preserve">TAGTGGTGAGCAGGTCGTCGAGGA</t>
  </si>
  <si>
    <t xml:space="preserve">AAACTCCTCGACGACCTGCTCACC</t>
  </si>
  <si>
    <t xml:space="preserve">CACCTGCAGGATGGCCGGGA</t>
  </si>
  <si>
    <t xml:space="preserve">TAGTCACCTGCAGGATGGCCGGGA</t>
  </si>
  <si>
    <t xml:space="preserve">AAACTCCCGGCCATCCTGCAGGTG</t>
  </si>
  <si>
    <t xml:space="preserve">CGCAGCGAAGCGCAGGCCGG</t>
  </si>
  <si>
    <t xml:space="preserve">TAGTCGCAGCGAAGCGCAGGCCGG</t>
  </si>
  <si>
    <t xml:space="preserve">AAACCCGGCCTGCGCTTCGCTGCG</t>
  </si>
  <si>
    <t xml:space="preserve">CCAGTTCGACTCGGTGACGC</t>
  </si>
  <si>
    <t xml:space="preserve">TAGTCCAGTTCGACTCGGTGACGC</t>
  </si>
  <si>
    <t xml:space="preserve">AAACGCGTCACCGAGTCGAACTGG</t>
  </si>
  <si>
    <t xml:space="preserve">PST_3731</t>
  </si>
  <si>
    <t xml:space="preserve">GACGGATGGCGCAACCCGAG</t>
  </si>
  <si>
    <t xml:space="preserve">TAGTGACGGATGGCGCAACCCGAG</t>
  </si>
  <si>
    <t xml:space="preserve">AAACCTCGGGTTGCGCCATCCGTC</t>
  </si>
  <si>
    <t xml:space="preserve">ACCGCCCATCGAATGACGCC</t>
  </si>
  <si>
    <t xml:space="preserve">TAGTACCGCCCATCGAATGACGCC</t>
  </si>
  <si>
    <t xml:space="preserve">AAACGGCGTCATTCGATGGGCGGT</t>
  </si>
  <si>
    <t xml:space="preserve">CGCCGGATGCTCACCCCGGG</t>
  </si>
  <si>
    <t xml:space="preserve">TAGTCGCCGGATGCTCACCCCGGG</t>
  </si>
  <si>
    <t xml:space="preserve">AAACCCCGGGGTGAGCATCCGGCG</t>
  </si>
  <si>
    <t xml:space="preserve">GGCTCGATGCTGTTCTGCGT</t>
  </si>
  <si>
    <t xml:space="preserve">TAGTGGCTCGATGCTGTTCTGCGT</t>
  </si>
  <si>
    <t xml:space="preserve">AAACACGCAGAACAGCATCGAGCC</t>
  </si>
  <si>
    <t xml:space="preserve">PST_3732</t>
  </si>
  <si>
    <t xml:space="preserve">AGGAGCAGGCTGGTTATGAT</t>
  </si>
  <si>
    <t xml:space="preserve">TAGTAGGAGCAGGCTGGTTATGAT</t>
  </si>
  <si>
    <t xml:space="preserve">AAACATCATAACCAGCCTGCTCCT</t>
  </si>
  <si>
    <t xml:space="preserve">CGCTGGCGCAGCCCGCTGCC</t>
  </si>
  <si>
    <t xml:space="preserve">TAGTCGCTGGCGCAGCCCGCTGCC</t>
  </si>
  <si>
    <t xml:space="preserve">AAACGGCAGCGGGCTGCGCCAGCG</t>
  </si>
  <si>
    <t xml:space="preserve">AGATCGCGTTCCAGCACCTG</t>
  </si>
  <si>
    <t xml:space="preserve">TAGTAGATCGCGTTCCAGCACCTG</t>
  </si>
  <si>
    <t xml:space="preserve">AAACCAGGTGCTGGAACGCGATCT</t>
  </si>
  <si>
    <t xml:space="preserve">GGTGCCCAGCTTGAGATCGA</t>
  </si>
  <si>
    <t xml:space="preserve">TAGTGGTGCCCAGCTTGAGATCGA</t>
  </si>
  <si>
    <t xml:space="preserve">AAACTCGATCTCAAGCTGGGCACC</t>
  </si>
  <si>
    <t xml:space="preserve">PST_3733</t>
  </si>
  <si>
    <t xml:space="preserve">bcpA</t>
  </si>
  <si>
    <t xml:space="preserve">AGGTCGTGATGAGAGAGTCG</t>
  </si>
  <si>
    <t xml:space="preserve">TAGTAGGTCGTGATGAGAGAGTCG</t>
  </si>
  <si>
    <t xml:space="preserve">AAACCGACTCTCTCATCACGACCT</t>
  </si>
  <si>
    <t xml:space="preserve">GCTCGCGAAAGTTGCGGCGC</t>
  </si>
  <si>
    <t xml:space="preserve">TAGTGCTCGCGAAAGTTGCGGCGC</t>
  </si>
  <si>
    <t xml:space="preserve">AAACGCGCCGCAACTTTCGCGAGC</t>
  </si>
  <si>
    <t xml:space="preserve">GGCGGTGTGGAAGCAGCGGT</t>
  </si>
  <si>
    <t xml:space="preserve">TAGTGGCGGTGTGGAAGCAGCGGT</t>
  </si>
  <si>
    <t xml:space="preserve">AAACACCGCTGCTTCCACACCGCC</t>
  </si>
  <si>
    <t xml:space="preserve">GGACATCGGATCGAACACCG</t>
  </si>
  <si>
    <t xml:space="preserve">TAGTGGACATCGGATCGAACACCG</t>
  </si>
  <si>
    <t xml:space="preserve">AAACCGGTGTTCGATCCGATGTCC</t>
  </si>
  <si>
    <t xml:space="preserve">PST_3734</t>
  </si>
  <si>
    <t xml:space="preserve">GGACGCCGTAGAGCGGGTGA</t>
  </si>
  <si>
    <t xml:space="preserve">TAGTGGACGCCGTAGAGCGGGTGA</t>
  </si>
  <si>
    <t xml:space="preserve">AAACTCACCCGCTCTACGGCGTCC</t>
  </si>
  <si>
    <t xml:space="preserve">GACCCGACAGCAATATCAGC</t>
  </si>
  <si>
    <t xml:space="preserve">TAGTGACCCGACAGCAATATCAGC</t>
  </si>
  <si>
    <t xml:space="preserve">AAACGCTGATATTGCTGTCGGGTC</t>
  </si>
  <si>
    <t xml:space="preserve">TTTGGCCAGCCCGTCATGAC</t>
  </si>
  <si>
    <t xml:space="preserve">TAGTTTTGGCCAGCCCGTCATGAC</t>
  </si>
  <si>
    <t xml:space="preserve">AAACGTCATGACGGGCTGGCCAAA</t>
  </si>
  <si>
    <t xml:space="preserve">AAACCGGGTAGATCTCCGAA</t>
  </si>
  <si>
    <t xml:space="preserve">TAGTAAACCGGGTAGATCTCCGAA</t>
  </si>
  <si>
    <t xml:space="preserve">AAACTTCGGAGATCTACCCGGTTT</t>
  </si>
  <si>
    <t xml:space="preserve">PST_3735</t>
  </si>
  <si>
    <t xml:space="preserve">CGCGCGGCTCGGCAAAAAGC</t>
  </si>
  <si>
    <t xml:space="preserve">TAGTCGCGCGGCTCGGCAAAAAGC</t>
  </si>
  <si>
    <t xml:space="preserve">AAACGCTTTTTGCCGAGCCGCGCG</t>
  </si>
  <si>
    <t xml:space="preserve">TGGTACATCACGACTACACT</t>
  </si>
  <si>
    <t xml:space="preserve">TAGTTGGTACATCACGACTACACT</t>
  </si>
  <si>
    <t xml:space="preserve">AAACAGTGTAGTCGTGATGTACCA</t>
  </si>
  <si>
    <t xml:space="preserve">GCTCCTGCATCGCTCTCAAC</t>
  </si>
  <si>
    <t xml:space="preserve">TAGTGCTCCTGCATCGCTCTCAAC</t>
  </si>
  <si>
    <t xml:space="preserve">AAACGTTGAGAGCGATGCAGGAGC</t>
  </si>
  <si>
    <t xml:space="preserve">CCTGGATCGCCAGGACGGCA</t>
  </si>
  <si>
    <t xml:space="preserve">TAGTCCTGGATCGCCAGGACGGCA</t>
  </si>
  <si>
    <t xml:space="preserve">AAACTGCCGTCCTGGCGATCCAGG</t>
  </si>
  <si>
    <t xml:space="preserve">PST_3736</t>
  </si>
  <si>
    <t xml:space="preserve">ureE</t>
  </si>
  <si>
    <t xml:space="preserve">GTTTCCGGAACAAGAGCAAG</t>
  </si>
  <si>
    <t xml:space="preserve">TAGTGTTTCCGGAACAAGAGCAAG</t>
  </si>
  <si>
    <t xml:space="preserve">AAACCTTGCTCTTGTTCCGGAAAC</t>
  </si>
  <si>
    <t xml:space="preserve">AGCATGTGCAGAGTTCCGGT</t>
  </si>
  <si>
    <t xml:space="preserve">TAGTAGCATGTGCAGAGTTCCGGT</t>
  </si>
  <si>
    <t xml:space="preserve">AAACACCGGAACTCTGCACATGCT</t>
  </si>
  <si>
    <t xml:space="preserve">TTCGGCCTGCCACTCGGGGC</t>
  </si>
  <si>
    <t xml:space="preserve">TAGTTTCGGCCTGCCACTCGGGGC</t>
  </si>
  <si>
    <t xml:space="preserve">AAACGCCCCGAGTGGCAGGCCGAA</t>
  </si>
  <si>
    <t xml:space="preserve">ACTCTTGCTGCGCGCGTCGT</t>
  </si>
  <si>
    <t xml:space="preserve">TAGTACTCTTGCTGCGCGCGTCGT</t>
  </si>
  <si>
    <t xml:space="preserve">AAACACGACGCGCGCAGCAAGAGT</t>
  </si>
  <si>
    <t xml:space="preserve">PST_3737</t>
  </si>
  <si>
    <t xml:space="preserve">ureF-2</t>
  </si>
  <si>
    <t xml:space="preserve">CGCTGTCCGGATCGTTCACC</t>
  </si>
  <si>
    <t xml:space="preserve">TAGTCGCTGTCCGGATCGTTCACC</t>
  </si>
  <si>
    <t xml:space="preserve">AAACGGTGAACGATCCGGACAGCG</t>
  </si>
  <si>
    <t xml:space="preserve">GCGGAGCCTCGAAGCGGGCG</t>
  </si>
  <si>
    <t xml:space="preserve">TAGTGCGGAGCCTCGAAGCGGGCG</t>
  </si>
  <si>
    <t xml:space="preserve">AAACCGCCCGCTTCGAGGCTCCGC</t>
  </si>
  <si>
    <t xml:space="preserve">CCGCTCGGCGGCTTCGCAAT</t>
  </si>
  <si>
    <t xml:space="preserve">TAGTCCGCTCGGCGGCTTCGCAAT</t>
  </si>
  <si>
    <t xml:space="preserve">AAACATTGCGAAGCCGCCGAGCGG</t>
  </si>
  <si>
    <t xml:space="preserve">GCGGCCAATTGCAACAGGCG</t>
  </si>
  <si>
    <t xml:space="preserve">TAGTGCGGCCAATTGCAACAGGCG</t>
  </si>
  <si>
    <t xml:space="preserve">AAACCGCCTGTTGCAATTGGCCGC</t>
  </si>
  <si>
    <t xml:space="preserve">PST_3738</t>
  </si>
  <si>
    <t xml:space="preserve">ureG</t>
  </si>
  <si>
    <t xml:space="preserve">CGCAGGGGTTGGGTGTTCAT</t>
  </si>
  <si>
    <t xml:space="preserve">TAGTCGCAGGGGTTGGGTGTTCAT</t>
  </si>
  <si>
    <t xml:space="preserve">AAACATGAACACCCAACCCCTGCG</t>
  </si>
  <si>
    <t xml:space="preserve">GCGGTCTTGCCGGAACCGAC</t>
  </si>
  <si>
    <t xml:space="preserve">TAGTGCGGTCTTGCCGGAACCGAC</t>
  </si>
  <si>
    <t xml:space="preserve">AAACGTCGGTTCCGGCAAGACCGC</t>
  </si>
  <si>
    <t xml:space="preserve">CTGGCACAGGGCGAGGGTCA</t>
  </si>
  <si>
    <t xml:space="preserve">TAGTCTGGCACAGGGCGAGGGTCA</t>
  </si>
  <si>
    <t xml:space="preserve">AAACTGACCCTCGCCCTGTGCCAG</t>
  </si>
  <si>
    <t xml:space="preserve">GAGGTTGTAGCGGTCGCGCA</t>
  </si>
  <si>
    <t xml:space="preserve">TAGTGAGGTTGTAGCGGTCGCGCA</t>
  </si>
  <si>
    <t xml:space="preserve">AAACTGCGCGACCGCTACAACCTC</t>
  </si>
  <si>
    <t xml:space="preserve">PST_3739</t>
  </si>
  <si>
    <t xml:space="preserve">ureJ</t>
  </si>
  <si>
    <t xml:space="preserve">TGGCGAGCAGTGGTTTGCGC</t>
  </si>
  <si>
    <t xml:space="preserve">TAGTTGGCGAGCAGTGGTTTGCGC</t>
  </si>
  <si>
    <t xml:space="preserve">AAACGCGCAAACCACTGCTCGCCA</t>
  </si>
  <si>
    <t xml:space="preserve">CGGGCTGAGCAGCAGGAGGG</t>
  </si>
  <si>
    <t xml:space="preserve">TAGTCGGGCTGAGCAGCAGGAGGG</t>
  </si>
  <si>
    <t xml:space="preserve">AAACCCCTCCTGCTGCTCAGCCCG</t>
  </si>
  <si>
    <t xml:space="preserve">GGGTGAGCCAAGGCCAGTGC</t>
  </si>
  <si>
    <t xml:space="preserve">TAGTGGGTGAGCCAAGGCCAGTGC</t>
  </si>
  <si>
    <t xml:space="preserve">AAACGCACTGGCCTTGGCTCACCC</t>
  </si>
  <si>
    <t xml:space="preserve">CGCCGGCATGGTCATGCCCG</t>
  </si>
  <si>
    <t xml:space="preserve">TAGTCGCCGGCATGGTCATGCCCG</t>
  </si>
  <si>
    <t xml:space="preserve">AAACCGGGCATGACCATGCCGGCG</t>
  </si>
  <si>
    <t xml:space="preserve">PST_3740</t>
  </si>
  <si>
    <t xml:space="preserve">AAAGCCGTGCGTAGAGTAGG</t>
  </si>
  <si>
    <t xml:space="preserve">TAGTAAAGCCGTGCGTAGAGTAGG</t>
  </si>
  <si>
    <t xml:space="preserve">AAACCCTACTCTACGCACGGCTTT</t>
  </si>
  <si>
    <t xml:space="preserve">AAATGCCTTCAGGGCCCAGT</t>
  </si>
  <si>
    <t xml:space="preserve">TAGTAAATGCCTTCAGGGCCCAGT</t>
  </si>
  <si>
    <t xml:space="preserve">AAACACTGGGCCCTGAAGGCATTT</t>
  </si>
  <si>
    <t xml:space="preserve">GCCATAGAGTGCGAGGACGA</t>
  </si>
  <si>
    <t xml:space="preserve">TAGTGCCATAGAGTGCGAGGACGA</t>
  </si>
  <si>
    <t xml:space="preserve">AAACTCGTCCTCGCACTCTATGGC</t>
  </si>
  <si>
    <t xml:space="preserve">CTCCCAGCGTCACCAGCCAG</t>
  </si>
  <si>
    <t xml:space="preserve">TAGTCTCCCAGCGTCACCAGCCAG</t>
  </si>
  <si>
    <t xml:space="preserve">AAACCTGGCTGGTGACGCTGGGAG</t>
  </si>
  <si>
    <t xml:space="preserve">PST_3741</t>
  </si>
  <si>
    <t xml:space="preserve">AGCGCGATCCAGAGGCGCAT</t>
  </si>
  <si>
    <t xml:space="preserve">TAGTAGCGCGATCCAGAGGCGCAT</t>
  </si>
  <si>
    <t xml:space="preserve">AAACATGCGCCTCTGGATCGCGCT</t>
  </si>
  <si>
    <t xml:space="preserve">GGGCAGGCTTAATGTCAGCG</t>
  </si>
  <si>
    <t xml:space="preserve">TAGTGGGCAGGCTTAATGTCAGCG</t>
  </si>
  <si>
    <t xml:space="preserve">AAACCGCTGACATTAAGCCTGCCC</t>
  </si>
  <si>
    <t xml:space="preserve">GCCTGGGCGTGGTGAATGTC</t>
  </si>
  <si>
    <t xml:space="preserve">TAGTGCCTGGGCGTGGTGAATGTC</t>
  </si>
  <si>
    <t xml:space="preserve">AAACGACATTCACCACGCCCAGGC</t>
  </si>
  <si>
    <t xml:space="preserve">CTGTCGCCCGTTCGGTGGTC</t>
  </si>
  <si>
    <t xml:space="preserve">TAGTCTGTCGCCCGTTCGGTGGTC</t>
  </si>
  <si>
    <t xml:space="preserve">AAACGACCACCGAACGGGCGACAG</t>
  </si>
  <si>
    <t xml:space="preserve">PST_3742</t>
  </si>
  <si>
    <t xml:space="preserve">amn</t>
  </si>
  <si>
    <t xml:space="preserve">ATGCGGAAAGTATCACCGGC</t>
  </si>
  <si>
    <t xml:space="preserve">TAGTATGCGGAAAGTATCACCGGC</t>
  </si>
  <si>
    <t xml:space="preserve">AAACGCCGGTGATACTTTCCGCAT</t>
  </si>
  <si>
    <t xml:space="preserve">CACTGCAGCTTCTGCGCTAG</t>
  </si>
  <si>
    <t xml:space="preserve">TAGTCACTGCAGCTTCTGCGCTAG</t>
  </si>
  <si>
    <t xml:space="preserve">AAACCTAGCGCAGAAGCTGCAGTG</t>
  </si>
  <si>
    <t xml:space="preserve">CGCGCGCGTGCAGTTCGGCA</t>
  </si>
  <si>
    <t xml:space="preserve">TAGTCGCGCGCGTGCAGTTCGGCA</t>
  </si>
  <si>
    <t xml:space="preserve">AAACTGCCGAACTGCACGCGCGCG</t>
  </si>
  <si>
    <t xml:space="preserve">CGCCTGGTTGAGCGCCGTGG</t>
  </si>
  <si>
    <t xml:space="preserve">TAGTCGCCTGGTTGAGCGCCGTGG</t>
  </si>
  <si>
    <t xml:space="preserve">AAACCCACGGCGCTCAACCAGGCG</t>
  </si>
  <si>
    <t xml:space="preserve">PST_3743</t>
  </si>
  <si>
    <t xml:space="preserve">CCCATACAATGATCCGACCT</t>
  </si>
  <si>
    <t xml:space="preserve">TAGTCCCATACAATGATCCGACCT</t>
  </si>
  <si>
    <t xml:space="preserve">AAACAGGTCGGATCATTGTATGGG</t>
  </si>
  <si>
    <t xml:space="preserve">ATTGCCTGCCATGCAATATA</t>
  </si>
  <si>
    <t xml:space="preserve">TAGTATTGCCTGCCATGCAATATA</t>
  </si>
  <si>
    <t xml:space="preserve">AAACTATATTGCATGGCAGGCAAT</t>
  </si>
  <si>
    <t xml:space="preserve">TGATCGTTATCGCTAAGCTT</t>
  </si>
  <si>
    <t xml:space="preserve">TAGTTGATCGTTATCGCTAAGCTT</t>
  </si>
  <si>
    <t xml:space="preserve">AAACAAGCTTAGCGATAACGATCA</t>
  </si>
  <si>
    <t xml:space="preserve">TCCACCAGCGCCAGGTAGCG</t>
  </si>
  <si>
    <t xml:space="preserve">TAGTTCCACCAGCGCCAGGTAGCG</t>
  </si>
  <si>
    <t xml:space="preserve">AAACCGCTACCTGGCGCTGGTGGA</t>
  </si>
  <si>
    <t xml:space="preserve">PST_3744</t>
  </si>
  <si>
    <t xml:space="preserve">GATGCCGTGATTGCCGCGGG</t>
  </si>
  <si>
    <t xml:space="preserve">TAGTGATGCCGTGATTGCCGCGGG</t>
  </si>
  <si>
    <t xml:space="preserve">AAACCCCGCGGCAATCACGGCATC</t>
  </si>
  <si>
    <t xml:space="preserve">CCTGTCGCGCGGCCATCGCC</t>
  </si>
  <si>
    <t xml:space="preserve">TAGTCCTGTCGCGCGGCCATCGCC</t>
  </si>
  <si>
    <t xml:space="preserve">AAACGGCGATGGCCGCGCGACAGG</t>
  </si>
  <si>
    <t xml:space="preserve">CAGAATCTTCAGCGGCACGC</t>
  </si>
  <si>
    <t xml:space="preserve">TAGTCAGAATCTTCAGCGGCACGC</t>
  </si>
  <si>
    <t xml:space="preserve">AAACGCGTGCCGCTGAAGATTCTG</t>
  </si>
  <si>
    <t xml:space="preserve">TTTTCCGTCGAGTTGCCCAG</t>
  </si>
  <si>
    <t xml:space="preserve">TAGTTTTTCCGTCGAGTTGCCCAG</t>
  </si>
  <si>
    <t xml:space="preserve">AAACCTGGGCAACTCGACGGAAAA</t>
  </si>
  <si>
    <t xml:space="preserve">PST_3745</t>
  </si>
  <si>
    <t xml:space="preserve">CAATCCGATTTGTCGGGGTT</t>
  </si>
  <si>
    <t xml:space="preserve">TAGTCAATCCGATTTGTCGGGGTT</t>
  </si>
  <si>
    <t xml:space="preserve">AAACAACCCCGACAAATCGGATTG</t>
  </si>
  <si>
    <t xml:space="preserve">GCTTCTAGATGCTCGCGCAA</t>
  </si>
  <si>
    <t xml:space="preserve">TAGTGCTTCTAGATGCTCGCGCAA</t>
  </si>
  <si>
    <t xml:space="preserve">AAACTTGCGCGAGCATCTAGAAGC</t>
  </si>
  <si>
    <t xml:space="preserve">AAACGCGGAGGCGTTTCGAG</t>
  </si>
  <si>
    <t xml:space="preserve">TAGTAAACGCGGAGGCGTTTCGAG</t>
  </si>
  <si>
    <t xml:space="preserve">AAACCTCGAAACGCCTCCGCGTTT</t>
  </si>
  <si>
    <t xml:space="preserve">CAGGTGGGCGAGAGTGTCGC</t>
  </si>
  <si>
    <t xml:space="preserve">TAGTCAGGTGGGCGAGAGTGTCGC</t>
  </si>
  <si>
    <t xml:space="preserve">AAACGCGACACTCTCGCCCACCTG</t>
  </si>
  <si>
    <t xml:space="preserve">PST_3746</t>
  </si>
  <si>
    <t xml:space="preserve">GACTTTCAAGCGAATTCCAT</t>
  </si>
  <si>
    <t xml:space="preserve">TAGTGACTTTCAAGCGAATTCCAT</t>
  </si>
  <si>
    <t xml:space="preserve">AAACATGGAATTCGCTTGAAAGTC</t>
  </si>
  <si>
    <t xml:space="preserve">CATCTCTGGGCGGGTGAAGC</t>
  </si>
  <si>
    <t xml:space="preserve">TAGTCATCTCTGGGCGGGTGAAGC</t>
  </si>
  <si>
    <t xml:space="preserve">AAACGCTTCACCCGCCCAGAGATG</t>
  </si>
  <si>
    <t xml:space="preserve">AACGCCACGCGCCGCGGAGG</t>
  </si>
  <si>
    <t xml:space="preserve">TAGTAACGCCACGCGCCGCGGAGG</t>
  </si>
  <si>
    <t xml:space="preserve">AAACCCTCCGCGGCGCGTGGCGTT</t>
  </si>
  <si>
    <t xml:space="preserve">AATCGCCGGTTTCCAATGAA</t>
  </si>
  <si>
    <t xml:space="preserve">TAGTAATCGCCGGTTTCCAATGAA</t>
  </si>
  <si>
    <t xml:space="preserve">AAACTTCATTGGAAACCGGCGATT</t>
  </si>
  <si>
    <t xml:space="preserve">PST_3747</t>
  </si>
  <si>
    <t xml:space="preserve">AGTAGTCGTTCAATGCCGAA</t>
  </si>
  <si>
    <t xml:space="preserve">TAGTAGTAGTCGTTCAATGCCGAA</t>
  </si>
  <si>
    <t xml:space="preserve">AAACTTCGGCATTGAACGACTACT</t>
  </si>
  <si>
    <t xml:space="preserve">TTTTCCTGGCTGTAGCCGAA</t>
  </si>
  <si>
    <t xml:space="preserve">TAGTTTTTCCTGGCTGTAGCCGAA</t>
  </si>
  <si>
    <t xml:space="preserve">AAACTTCGGCTACAGCCAGGAAAA</t>
  </si>
  <si>
    <t xml:space="preserve">ACATCAACCACCTCGCCATC</t>
  </si>
  <si>
    <t xml:space="preserve">TAGTACATCAACCACCTCGCCATC</t>
  </si>
  <si>
    <t xml:space="preserve">AAACGATGGCGAGGTGGTTGATGT</t>
  </si>
  <si>
    <t xml:space="preserve">TGGGCTTATTGCCGGCCACC</t>
  </si>
  <si>
    <t xml:space="preserve">TAGTTGGGCTTATTGCCGGCCACC</t>
  </si>
  <si>
    <t xml:space="preserve">AAACGGTGGCCGGCAATAAGCCCA</t>
  </si>
  <si>
    <t xml:space="preserve">PST_3748</t>
  </si>
  <si>
    <t xml:space="preserve">ACAGGTAGACGAATTCATAA</t>
  </si>
  <si>
    <t xml:space="preserve">TAGTACAGGTAGACGAATTCATAA</t>
  </si>
  <si>
    <t xml:space="preserve">AAACTTATGAATTCGTCTACCTGT</t>
  </si>
  <si>
    <t xml:space="preserve">GTCGCCGTTGGGGTTGCCGT</t>
  </si>
  <si>
    <t xml:space="preserve">TAGTGTCGCCGTTGGGGTTGCCGT</t>
  </si>
  <si>
    <t xml:space="preserve">AAACACGGCAACCCCAACGGCGAC</t>
  </si>
  <si>
    <t xml:space="preserve">GGGGCAGGTTGCCAGCGTCC</t>
  </si>
  <si>
    <t xml:space="preserve">TAGTGGGGCAGGTTGCCAGCGTCC</t>
  </si>
  <si>
    <t xml:space="preserve">AAACGGACGCTGGCAACCTGCCCC</t>
  </si>
  <si>
    <t xml:space="preserve">GTTGGTTTCCGGGTCGAGGC</t>
  </si>
  <si>
    <t xml:space="preserve">TAGTGTTGGTTTCCGGGTCGAGGC</t>
  </si>
  <si>
    <t xml:space="preserve">AAACGCCTCGACCCGGAAACCAAC</t>
  </si>
  <si>
    <t xml:space="preserve">PST_3749</t>
  </si>
  <si>
    <t xml:space="preserve">GCAGGGCGGAAATCGGGATG</t>
  </si>
  <si>
    <t xml:space="preserve">TAGTGCAGGGCGGAAATCGGGATG</t>
  </si>
  <si>
    <t xml:space="preserve">AAACCATCCCGATTTCCGCCCTGC</t>
  </si>
  <si>
    <t xml:space="preserve">CACATTGGCGTGGGCAGTAC</t>
  </si>
  <si>
    <t xml:space="preserve">TAGTCACATTGGCGTGGGCAGTAC</t>
  </si>
  <si>
    <t xml:space="preserve">AAACGTACTGCCCACGCCAATGTG</t>
  </si>
  <si>
    <t xml:space="preserve">CGGCCCAGAGCTGTTCGACA</t>
  </si>
  <si>
    <t xml:space="preserve">TAGTCGGCCCAGAGCTGTTCGACA</t>
  </si>
  <si>
    <t xml:space="preserve">AAACTGTCGAACAGCTCTGGGCCG</t>
  </si>
  <si>
    <t xml:space="preserve">CTCCGCGGTCTGGCGGTTCT</t>
  </si>
  <si>
    <t xml:space="preserve">TAGTCTCCGCGGTCTGGCGGTTCT</t>
  </si>
  <si>
    <t xml:space="preserve">AAACAGAACCGCCAGACCGCGGAG</t>
  </si>
  <si>
    <t xml:space="preserve">PST_3750</t>
  </si>
  <si>
    <t xml:space="preserve">GTATCCGACCGATGCAGACC</t>
  </si>
  <si>
    <t xml:space="preserve">TAGTGTATCCGACCGATGCAGACC</t>
  </si>
  <si>
    <t xml:space="preserve">AAACGGTCTGCATCGGTCGGATAC</t>
  </si>
  <si>
    <t xml:space="preserve">GCAGTAGCCCAGCAATGGCG</t>
  </si>
  <si>
    <t xml:space="preserve">TAGTGCAGTAGCCCAGCAATGGCG</t>
  </si>
  <si>
    <t xml:space="preserve">AAACCGCCATTGCTGGGCTACTGC</t>
  </si>
  <si>
    <t xml:space="preserve">ACAGACGCTGATGCCATGCT</t>
  </si>
  <si>
    <t xml:space="preserve">TAGTACAGACGCTGATGCCATGCT</t>
  </si>
  <si>
    <t xml:space="preserve">AAACAGCATGGCATCAGCGTCTGT</t>
  </si>
  <si>
    <t xml:space="preserve">GGAATTTCCCGTTGGGTGCG</t>
  </si>
  <si>
    <t xml:space="preserve">TAGTGGAATTTCCCGTTGGGTGCG</t>
  </si>
  <si>
    <t xml:space="preserve">AAACCGCACCCAACGGGAAATTCC</t>
  </si>
  <si>
    <t xml:space="preserve">PST_3751</t>
  </si>
  <si>
    <t xml:space="preserve">TGCTCACGTCATAGCTGACC</t>
  </si>
  <si>
    <t xml:space="preserve">TAGTTGCTCACGTCATAGCTGACC</t>
  </si>
  <si>
    <t xml:space="preserve">AAACGGTCAGCTATGACGTGAGCA</t>
  </si>
  <si>
    <t xml:space="preserve">ACGTAGGCGCTTGTCACCAC</t>
  </si>
  <si>
    <t xml:space="preserve">TAGTACGTAGGCGCTTGTCACCAC</t>
  </si>
  <si>
    <t xml:space="preserve">AAACGTGGTGACAAGCGCCTACGT</t>
  </si>
  <si>
    <t xml:space="preserve">AATCACGGCAGGCTTTGGAA</t>
  </si>
  <si>
    <t xml:space="preserve">TAGTAATCACGGCAGGCTTTGGAA</t>
  </si>
  <si>
    <t xml:space="preserve">AAACTTCCAAAGCCTGCCGTGATT</t>
  </si>
  <si>
    <t xml:space="preserve">TTTAAGGACGGTCCACTGAG</t>
  </si>
  <si>
    <t xml:space="preserve">TAGTTTTAAGGACGGTCCACTGAG</t>
  </si>
  <si>
    <t xml:space="preserve">AAACCTCAGTGGACCGTCCTTAAA</t>
  </si>
  <si>
    <t xml:space="preserve">PST_3752</t>
  </si>
  <si>
    <t xml:space="preserve">CCGTGTGCTGGCGGAGATAC</t>
  </si>
  <si>
    <t xml:space="preserve">TAGTCCGTGTGCTGGCGGAGATAC</t>
  </si>
  <si>
    <t xml:space="preserve">AAACGTATCTCCGCCAGCACACGG</t>
  </si>
  <si>
    <t xml:space="preserve">ATGGCATTCCTGGCGCAAAC</t>
  </si>
  <si>
    <t xml:space="preserve">TAGTATGGCATTCCTGGCGCAAAC</t>
  </si>
  <si>
    <t xml:space="preserve">AAACGTTTGCGCCAGGAATGCCAT</t>
  </si>
  <si>
    <t xml:space="preserve">CTCTGTTGTTGGCGATCAGG</t>
  </si>
  <si>
    <t xml:space="preserve">TAGTCTCTGTTGTTGGCGATCAGG</t>
  </si>
  <si>
    <t xml:space="preserve">AAACCCTGATCGCCAACAACAGAG</t>
  </si>
  <si>
    <t xml:space="preserve">GAGCGTGGATTGAAACCTTG</t>
  </si>
  <si>
    <t xml:space="preserve">TAGTGAGCGTGGATTGAAACCTTG</t>
  </si>
  <si>
    <t xml:space="preserve">AAACCAAGGTTTCAATCCACGCTC</t>
  </si>
  <si>
    <t xml:space="preserve">PST_3753</t>
  </si>
  <si>
    <t xml:space="preserve">CAGGCAGCCTTCTGCCTTGC</t>
  </si>
  <si>
    <t xml:space="preserve">TAGTCAGGCAGCCTTCTGCCTTGC</t>
  </si>
  <si>
    <t xml:space="preserve">AAACGCAAGGCAGAAGGCTGCCTG</t>
  </si>
  <si>
    <t xml:space="preserve">ACGGGAATTGCCTGCGGCGA</t>
  </si>
  <si>
    <t xml:space="preserve">TAGTACGGGAATTGCCTGCGGCGA</t>
  </si>
  <si>
    <t xml:space="preserve">AAACTCGCCGCAGGCAATTCCCGT</t>
  </si>
  <si>
    <t xml:space="preserve">GCGCGAGTATGGCGTTGCGC</t>
  </si>
  <si>
    <t xml:space="preserve">TAGTGCGCGAGTATGGCGTTGCGC</t>
  </si>
  <si>
    <t xml:space="preserve">AAACGCGCAACGCCATACTCGCGC</t>
  </si>
  <si>
    <t xml:space="preserve">AGGCGCACGCTGAGCCGGGC</t>
  </si>
  <si>
    <t xml:space="preserve">TAGTAGGCGCACGCTGAGCCGGGC</t>
  </si>
  <si>
    <t xml:space="preserve">AAACGCCCGGCTCAGCGTGCGCCT</t>
  </si>
  <si>
    <t xml:space="preserve">PST_3754</t>
  </si>
  <si>
    <t xml:space="preserve">GAAGCGAGGTATCGGCCAAA</t>
  </si>
  <si>
    <t xml:space="preserve">TAGTGAAGCGAGGTATCGGCCAAA</t>
  </si>
  <si>
    <t xml:space="preserve">AAACTTTGGCCGATACCTCGCTTC</t>
  </si>
  <si>
    <t xml:space="preserve">ATCAGCAGTGAAACACGCAG</t>
  </si>
  <si>
    <t xml:space="preserve">TAGTATCAGCAGTGAAACACGCAG</t>
  </si>
  <si>
    <t xml:space="preserve">AAACCTGCGTGTTTCACTGCTGAT</t>
  </si>
  <si>
    <t xml:space="preserve">CGAGCAACGGGCGGCGCGGT</t>
  </si>
  <si>
    <t xml:space="preserve">TAGTCGAGCAACGGGCGGCGCGGT</t>
  </si>
  <si>
    <t xml:space="preserve">AAACACCGCGCCGCCCGTTGCTCG</t>
  </si>
  <si>
    <t xml:space="preserve">CGGCTGTCAGCAAGCGTAGT</t>
  </si>
  <si>
    <t xml:space="preserve">TAGTCGGCTGTCAGCAAGCGTAGT</t>
  </si>
  <si>
    <t xml:space="preserve">AAACACTACGCTTGCTGACAGCCG</t>
  </si>
  <si>
    <t xml:space="preserve">PST_3755</t>
  </si>
  <si>
    <t xml:space="preserve">GCAGAACAGCCAGAAAGAAG</t>
  </si>
  <si>
    <t xml:space="preserve">TAGTGCAGAACAGCCAGAAAGAAG</t>
  </si>
  <si>
    <t xml:space="preserve">AAACCTTCTTTCTGGCTGTTCTGC</t>
  </si>
  <si>
    <t xml:space="preserve">TCGACGGCGGCGGCCAAGGC</t>
  </si>
  <si>
    <t xml:space="preserve">TAGTTCGACGGCGGCGGCCAAGGC</t>
  </si>
  <si>
    <t xml:space="preserve">AAACGCCTTGGCCGCCGCCGTCGA</t>
  </si>
  <si>
    <t xml:space="preserve">CTGCCCGAGCGGCAAATGAC</t>
  </si>
  <si>
    <t xml:space="preserve">TAGTCTGCCCGAGCGGCAAATGAC</t>
  </si>
  <si>
    <t xml:space="preserve">AAACGTCATTTGCCGCTCGGGCAG</t>
  </si>
  <si>
    <t xml:space="preserve">TCTATGCCGATCTCTCCGCG</t>
  </si>
  <si>
    <t xml:space="preserve">TAGTTCTATGCCGATCTCTCCGCG</t>
  </si>
  <si>
    <t xml:space="preserve">AAACCGCGGAGAGATCGGCATAGA</t>
  </si>
  <si>
    <t xml:space="preserve">PST_3756</t>
  </si>
  <si>
    <t xml:space="preserve">thiD</t>
  </si>
  <si>
    <t xml:space="preserve">CAAACCGCGCTGGCGGGACG</t>
  </si>
  <si>
    <t xml:space="preserve">TAGTCAAACCGCGCTGGCGGGACG</t>
  </si>
  <si>
    <t xml:space="preserve">AAACCGTCCCGCCAGCGCGGTTTG</t>
  </si>
  <si>
    <t xml:space="preserve">ACGGGAAGTGAAGTTTTTCA</t>
  </si>
  <si>
    <t xml:space="preserve">TAGTACGGGAAGTGAAGTTTTTCA</t>
  </si>
  <si>
    <t xml:space="preserve">AAACTGAAAAACTTCACTTCCCGT</t>
  </si>
  <si>
    <t xml:space="preserve">CCGGACAGGCAGAGGACGAC</t>
  </si>
  <si>
    <t xml:space="preserve">TAGTCCGGACAGGCAGAGGACGAC</t>
  </si>
  <si>
    <t xml:space="preserve">AAACGTCGTCCTCTGCCTGTCCGG</t>
  </si>
  <si>
    <t xml:space="preserve">CGGCGCCGCCACTGGGATCG</t>
  </si>
  <si>
    <t xml:space="preserve">TAGTCGGCGCCGCCACTGGGATCG</t>
  </si>
  <si>
    <t xml:space="preserve">AAACCGATCCCAGTGGCGGCGCCG</t>
  </si>
  <si>
    <t xml:space="preserve">PST_3757</t>
  </si>
  <si>
    <t xml:space="preserve">thiE</t>
  </si>
  <si>
    <t xml:space="preserve">TGGCGTACAGGCCGCGCAGG</t>
  </si>
  <si>
    <t xml:space="preserve">TAGTTGGCGTACAGGCCGCGCAGG</t>
  </si>
  <si>
    <t xml:space="preserve">AAACCCTGCGCGGCCTGTACGCCA</t>
  </si>
  <si>
    <t xml:space="preserve">CAGCAATTTGCTGTCGGTGA</t>
  </si>
  <si>
    <t xml:space="preserve">TAGTCAGCAATTTGCTGTCGGTGA</t>
  </si>
  <si>
    <t xml:space="preserve">AAACTCACCGACAGCAAATTGCTG</t>
  </si>
  <si>
    <t xml:space="preserve">ATAGGGCAGCAGGCGGCCAT</t>
  </si>
  <si>
    <t xml:space="preserve">TAGTATAGGGCAGCAGGCGGCCAT</t>
  </si>
  <si>
    <t xml:space="preserve">AAACATGGCCGCCTGCTGCCCTAT</t>
  </si>
  <si>
    <t xml:space="preserve">GTCTCGATATTGCAGCAGGC</t>
  </si>
  <si>
    <t xml:space="preserve">TAGTGTCTCGATATTGCAGCAGGC</t>
  </si>
  <si>
    <t xml:space="preserve">AAACGCCTGCTGCAATATCGAGAC</t>
  </si>
  <si>
    <t xml:space="preserve">PST_3758</t>
  </si>
  <si>
    <t xml:space="preserve">hemL</t>
  </si>
  <si>
    <t xml:space="preserve">GGCAAAGAGGGTTTCGGAAC</t>
  </si>
  <si>
    <t xml:space="preserve">TAGTGGCAAAGAGGGTTTCGGAAC</t>
  </si>
  <si>
    <t xml:space="preserve">AAACGTTCCGAAACCCTCTTTGCC</t>
  </si>
  <si>
    <t xml:space="preserve">GGGGATGTGGGTCTGGGCGC</t>
  </si>
  <si>
    <t xml:space="preserve">TAGTGGGGATGTGGGTCTGGGCGC</t>
  </si>
  <si>
    <t xml:space="preserve">AAACGCGCCCAGACCCACATCCCC</t>
  </si>
  <si>
    <t xml:space="preserve">AACCGGCGAGTTGACGCCGC</t>
  </si>
  <si>
    <t xml:space="preserve">TAGTAACCGGCGAGTTGACGCCGC</t>
  </si>
  <si>
    <t xml:space="preserve">AAACGCGGCGTCAACTCGCCGGTT</t>
  </si>
  <si>
    <t xml:space="preserve">GGTGCCGCCGACGCTGCGGA</t>
  </si>
  <si>
    <t xml:space="preserve">TAGTGGTGCCGCCGACGCTGCGGA</t>
  </si>
  <si>
    <t xml:space="preserve">AAACTCCGCAGCGTCGGCGGCACC</t>
  </si>
  <si>
    <t xml:space="preserve">PST_3759</t>
  </si>
  <si>
    <t xml:space="preserve">AGGGACTGCAGCAGTTCCAT</t>
  </si>
  <si>
    <t xml:space="preserve">TAGTAGGGACTGCAGCAGTTCCAT</t>
  </si>
  <si>
    <t xml:space="preserve">AAACATGGAACTGCTGCAGTCCCT</t>
  </si>
  <si>
    <t xml:space="preserve">CAGCGGCAAGCGTCAGCAGC</t>
  </si>
  <si>
    <t xml:space="preserve">TAGTCAGCGGCAAGCGTCAGCAGC</t>
  </si>
  <si>
    <t xml:space="preserve">AAACGCTGCTGACGCTTGCCGCTG</t>
  </si>
  <si>
    <t xml:space="preserve">GCGACCGATCTGGATCGCGC</t>
  </si>
  <si>
    <t xml:space="preserve">TAGTGCGACCGATCTGGATCGCGC</t>
  </si>
  <si>
    <t xml:space="preserve">AAACGCGCGATCCAGATCGGTCGC</t>
  </si>
  <si>
    <t xml:space="preserve">CGCTTCGTCGTAACGGCGCC</t>
  </si>
  <si>
    <t xml:space="preserve">TAGTCGCTTCGTCGTAACGGCGCC</t>
  </si>
  <si>
    <t xml:space="preserve">AAACGGCGCCGTTACGACGAAGCG</t>
  </si>
  <si>
    <t xml:space="preserve">PST_3760</t>
  </si>
  <si>
    <t xml:space="preserve">AAGACAGGATGCGGCCGGTG</t>
  </si>
  <si>
    <t xml:space="preserve">TAGTAAGACAGGATGCGGCCGGTG</t>
  </si>
  <si>
    <t xml:space="preserve">AAACCACCGGCCGCATCCTGTCTT</t>
  </si>
  <si>
    <t xml:space="preserve">CCGCCGGCCAGGGCCGTGAG</t>
  </si>
  <si>
    <t xml:space="preserve">TAGTCCGCCGGCCAGGGCCGTGAG</t>
  </si>
  <si>
    <t xml:space="preserve">AAACCTCACGGCCCTGGCCGGCGG</t>
  </si>
  <si>
    <t xml:space="preserve">GGCGGTCGCCGGGATCAGCA</t>
  </si>
  <si>
    <t xml:space="preserve">TAGTGGCGGTCGCCGGGATCAGCA</t>
  </si>
  <si>
    <t xml:space="preserve">AAACTGCTGATCCCGGCGACCGCC</t>
  </si>
  <si>
    <t xml:space="preserve">GAGCGTGTTGAGCGCGCAAC</t>
  </si>
  <si>
    <t xml:space="preserve">TAGTGAGCGTGTTGAGCGCGCAAC</t>
  </si>
  <si>
    <t xml:space="preserve">AAACGTTGCGCGCTCAACACGCTC</t>
  </si>
  <si>
    <t xml:space="preserve">PST_3761</t>
  </si>
  <si>
    <t xml:space="preserve">miaB</t>
  </si>
  <si>
    <t xml:space="preserve">CGGATTCTCGGTGATCTCCA</t>
  </si>
  <si>
    <t xml:space="preserve">TAGTCGGATTCTCGGTGATCTCCA</t>
  </si>
  <si>
    <t xml:space="preserve">AAACTGGAGATCACCGAGAATCCG</t>
  </si>
  <si>
    <t xml:space="preserve">AGGATCACGTCGGCTTCTGC</t>
  </si>
  <si>
    <t xml:space="preserve">TAGTAGGATCACGTCGGCTTCTGC</t>
  </si>
  <si>
    <t xml:space="preserve">AAACGCAGAAGCCGACGTGATCCT</t>
  </si>
  <si>
    <t xml:space="preserve">GGATCGAGCAGGTATTGAGC</t>
  </si>
  <si>
    <t xml:space="preserve">TAGTGGATCGAGCAGGTATTGAGC</t>
  </si>
  <si>
    <t xml:space="preserve">AAACGCTCAATACCTGCTCGATCC</t>
  </si>
  <si>
    <t xml:space="preserve">CCTTTTCCTGGGCCTTTTCG</t>
  </si>
  <si>
    <t xml:space="preserve">TAGTCCTTTTCCTGGGCCTTTTCG</t>
  </si>
  <si>
    <t xml:space="preserve">AAACCGAAAAGGCCCAGGAAAAGG</t>
  </si>
  <si>
    <t xml:space="preserve">PST_3762</t>
  </si>
  <si>
    <t xml:space="preserve">GGTTCTATGGGTGCGTTCAA</t>
  </si>
  <si>
    <t xml:space="preserve">TAGTGGTTCTATGGGTGCGTTCAA</t>
  </si>
  <si>
    <t xml:space="preserve">AAACTTGAACGCACCCATAGAACC</t>
  </si>
  <si>
    <t xml:space="preserve">GGTTCGAGGGTGAAACGATG</t>
  </si>
  <si>
    <t xml:space="preserve">TAGTGGTTCGAGGGTGAAACGATG</t>
  </si>
  <si>
    <t xml:space="preserve">AAACCATCGTTTCACCCTCGAACC</t>
  </si>
  <si>
    <t xml:space="preserve">GCGAAGCGACGGGCTTCAAA</t>
  </si>
  <si>
    <t xml:space="preserve">TAGTGCGAAGCGACGGGCTTCAAA</t>
  </si>
  <si>
    <t xml:space="preserve">AAACTTTGAAGCCCGTCGCTTCGC</t>
  </si>
  <si>
    <t xml:space="preserve">GTCGAACTGGCCGCAGAGGT</t>
  </si>
  <si>
    <t xml:space="preserve">TAGTGTCGAACTGGCCGCAGAGGT</t>
  </si>
  <si>
    <t xml:space="preserve">AAACACCTCTGCGGCCAGTTCGAC</t>
  </si>
  <si>
    <t xml:space="preserve">PST_3763</t>
  </si>
  <si>
    <t xml:space="preserve">CGCCAGTGCTGGCGCACTGC</t>
  </si>
  <si>
    <t xml:space="preserve">TAGTCGCCAGTGCTGGCGCACTGC</t>
  </si>
  <si>
    <t xml:space="preserve">AAACGCAGTGCGCCAGCACTGGCG</t>
  </si>
  <si>
    <t xml:space="preserve">CAGGTCCGCCGCAGCGGGCG</t>
  </si>
  <si>
    <t xml:space="preserve">TAGTCAGGTCCGCCGCAGCGGGCG</t>
  </si>
  <si>
    <t xml:space="preserve">AAACCGCCCGCTGCGGCGGACCTG</t>
  </si>
  <si>
    <t xml:space="preserve">GACCAGGCGAATGGTCAGCT</t>
  </si>
  <si>
    <t xml:space="preserve">TAGTGACCAGGCGAATGGTCAGCT</t>
  </si>
  <si>
    <t xml:space="preserve">AAACAGCTGACCATTCGCCTGGTC</t>
  </si>
  <si>
    <t xml:space="preserve">GCCAGGTGCGGTTGAGCTCG</t>
  </si>
  <si>
    <t xml:space="preserve">TAGTGCCAGGTGCGGTTGAGCTCG</t>
  </si>
  <si>
    <t xml:space="preserve">AAACCGAGCTCAACCGCACCTGGC</t>
  </si>
  <si>
    <t xml:space="preserve">PST_3764</t>
  </si>
  <si>
    <t xml:space="preserve">CTGGGTGATTCTTTCCAGCC</t>
  </si>
  <si>
    <t xml:space="preserve">TAGTCTGGGTGATTCTTTCCAGCC</t>
  </si>
  <si>
    <t xml:space="preserve">AAACGGCTGGAAAGAATCACCCAG</t>
  </si>
  <si>
    <t xml:space="preserve">CTGGCGATTCTTGGGTTCAT</t>
  </si>
  <si>
    <t xml:space="preserve">TAGTCTGGCGATTCTTGGGTTCAT</t>
  </si>
  <si>
    <t xml:space="preserve">AAACATGAACCCAAGAATCGCCAG</t>
  </si>
  <si>
    <t xml:space="preserve">TGTTCTGGTGGGCCTCGCGC</t>
  </si>
  <si>
    <t xml:space="preserve">TAGTTGTTCTGGTGGGCCTCGCGC</t>
  </si>
  <si>
    <t xml:space="preserve">AAACGCGCGAGGCCCACCAGAACA</t>
  </si>
  <si>
    <t xml:space="preserve">CTGGATGGCGCCTTCGACGA</t>
  </si>
  <si>
    <t xml:space="preserve">TAGTCTGGATGGCGCCTTCGACGA</t>
  </si>
  <si>
    <t xml:space="preserve">AAACTCGTCGAAGGCGCCATCCAG</t>
  </si>
  <si>
    <t xml:space="preserve">PST_3765</t>
  </si>
  <si>
    <t xml:space="preserve">cutE</t>
  </si>
  <si>
    <t xml:space="preserve">GGGATTGCGGCGCAGGCTAA</t>
  </si>
  <si>
    <t xml:space="preserve">TAGTGGGATTGCGGCGCAGGCTAA</t>
  </si>
  <si>
    <t xml:space="preserve">AAACTTAGCCTGCGCCGCAATCCC</t>
  </si>
  <si>
    <t xml:space="preserve">GCATGGGGTTTCCTTGGGCG</t>
  </si>
  <si>
    <t xml:space="preserve">TAGTGCATGGGGTTTCCTTGGGCG</t>
  </si>
  <si>
    <t xml:space="preserve">AAACCGCCCAAGGAAACCCCATGC</t>
  </si>
  <si>
    <t xml:space="preserve">GCAGATTGCCCGGCCAGCCG</t>
  </si>
  <si>
    <t xml:space="preserve">TAGTGCAGATTGCCCGGCCAGCCG</t>
  </si>
  <si>
    <t xml:space="preserve">AAACCGGCTGGCCGGGCAATCTGC</t>
  </si>
  <si>
    <t xml:space="preserve">AGAGAGCGTGGTCAGCGTGC</t>
  </si>
  <si>
    <t xml:space="preserve">TAGTAGAGAGCGTGGTCAGCGTGC</t>
  </si>
  <si>
    <t xml:space="preserve">AAACGCACGCTGACCACGCTCTCT</t>
  </si>
  <si>
    <t xml:space="preserve">PST_3766</t>
  </si>
  <si>
    <t xml:space="preserve">TGCTTGAAGAAATAACGAAT</t>
  </si>
  <si>
    <t xml:space="preserve">TAGTTGCTTGAAGAAATAACGAAT</t>
  </si>
  <si>
    <t xml:space="preserve">AAACATTCGTTATTTCTTCAAGCA</t>
  </si>
  <si>
    <t xml:space="preserve">AGAAGCAACAGCACACCTGG</t>
  </si>
  <si>
    <t xml:space="preserve">TAGTAGAAGCAACAGCACACCTGG</t>
  </si>
  <si>
    <t xml:space="preserve">AAACCCAGGTGTGCTGTTGCTTCT</t>
  </si>
  <si>
    <t xml:space="preserve">CCGCCAGCCTTGGCGAGCGG</t>
  </si>
  <si>
    <t xml:space="preserve">TAGTCCGCCAGCCTTGGCGAGCGG</t>
  </si>
  <si>
    <t xml:space="preserve">AAACCCGCTCGCCAAGGCTGGCGG</t>
  </si>
  <si>
    <t xml:space="preserve">CAGGCTCATCAGCCAGAGCC</t>
  </si>
  <si>
    <t xml:space="preserve">TAGTCAGGCTCATCAGCCAGAGCC</t>
  </si>
  <si>
    <t xml:space="preserve">AAACGGCTCTGGCTGATGAGCCTG</t>
  </si>
  <si>
    <t xml:space="preserve">PST_3767</t>
  </si>
  <si>
    <t xml:space="preserve">AGACTGCTGTCCTCCGCTCG</t>
  </si>
  <si>
    <t xml:space="preserve">TAGTAGACTGCTGTCCTCCGCTCG</t>
  </si>
  <si>
    <t xml:space="preserve">AAACCGAGCGGAGGACAGCAGTCT</t>
  </si>
  <si>
    <t xml:space="preserve">GCCGGCGACATCCGCCTCAC</t>
  </si>
  <si>
    <t xml:space="preserve">TAGTGCCGGCGACATCCGCCTCAC</t>
  </si>
  <si>
    <t xml:space="preserve">AAACGTGAGGCGGATGTCGCCGGC</t>
  </si>
  <si>
    <t xml:space="preserve">GATCAACTCGAACTCGGCGG</t>
  </si>
  <si>
    <t xml:space="preserve">TAGTGATCAACTCGAACTCGGCGG</t>
  </si>
  <si>
    <t xml:space="preserve">AAACCCGCCGAGTTCGAGTTGATC</t>
  </si>
  <si>
    <t xml:space="preserve">AATCGCGCTGCAGATAGGCA</t>
  </si>
  <si>
    <t xml:space="preserve">TAGTAATCGCGCTGCAGATAGGCA</t>
  </si>
  <si>
    <t xml:space="preserve">AAACTGCCTATCTGCAGCGCGATT</t>
  </si>
  <si>
    <t xml:space="preserve">PST_3768</t>
  </si>
  <si>
    <t xml:space="preserve">leuS</t>
  </si>
  <si>
    <t xml:space="preserve">GCGGGTGGCGGGCGGAGGCA</t>
  </si>
  <si>
    <t xml:space="preserve">TAGTGCGGGTGGCGGGCGGAGGCA</t>
  </si>
  <si>
    <t xml:space="preserve">AAACTGCCTCCGCCCGCCACCCGC</t>
  </si>
  <si>
    <t xml:space="preserve">GACCCTGTGCAAACGCGACC</t>
  </si>
  <si>
    <t xml:space="preserve">TAGTGACCCTGTGCAAACGCGACC</t>
  </si>
  <si>
    <t xml:space="preserve">AAACGGTCGCGTTTGCACAGGGTC</t>
  </si>
  <si>
    <t xml:space="preserve">GGCGCGGCAGGCAGGTCCGA</t>
  </si>
  <si>
    <t xml:space="preserve">TAGTGGCGCGGCAGGCAGGTCCGA</t>
  </si>
  <si>
    <t xml:space="preserve">AAACTCGGACCTGCCTGCCGCGCC</t>
  </si>
  <si>
    <t xml:space="preserve">CTCCGCGAATGCGCTGGCGC</t>
  </si>
  <si>
    <t xml:space="preserve">TAGTCTCCGCGAATGCGCTGGCGC</t>
  </si>
  <si>
    <t xml:space="preserve">AAACGCGCCAGCGCATTCGCGGAG</t>
  </si>
  <si>
    <t xml:space="preserve">PST_3769</t>
  </si>
  <si>
    <t xml:space="preserve">GCCGCGCAGCTGGAAACCGC</t>
  </si>
  <si>
    <t xml:space="preserve">TAGTGCCGCGCAGCTGGAAACCGC</t>
  </si>
  <si>
    <t xml:space="preserve">AAACGCGGTTTCCAGCTGCGCGGC</t>
  </si>
  <si>
    <t xml:space="preserve">GAGACCGAACTCCACATCAC</t>
  </si>
  <si>
    <t xml:space="preserve">TAGTGAGACCGAACTCCACATCAC</t>
  </si>
  <si>
    <t xml:space="preserve">AAACGTGATGTGGAGTTCGGTCTC</t>
  </si>
  <si>
    <t xml:space="preserve">CGTCTCGCCATAGCTGTTGC</t>
  </si>
  <si>
    <t xml:space="preserve">TAGTCGTCTCGCCATAGCTGTTGC</t>
  </si>
  <si>
    <t xml:space="preserve">AAACGCAACAGCTATGGCGAGACG</t>
  </si>
  <si>
    <t xml:space="preserve">GCAGCAGGCTCTCGAGCTGC</t>
  </si>
  <si>
    <t xml:space="preserve">TAGTGCAGCAGGCTCTCGAGCTGC</t>
  </si>
  <si>
    <t xml:space="preserve">AAACGCAGCTCGAGAGCCTGCTGC</t>
  </si>
  <si>
    <t xml:space="preserve">PST_3770</t>
  </si>
  <si>
    <t xml:space="preserve">holA</t>
  </si>
  <si>
    <t xml:space="preserve">TGGGCGGGGGAGAGCTTCAT</t>
  </si>
  <si>
    <t xml:space="preserve">TAGTTGGGCGGGGGAGAGCTTCAT</t>
  </si>
  <si>
    <t xml:space="preserve">AAACATGAAGCTCTCCCCCGCCCA</t>
  </si>
  <si>
    <t xml:space="preserve">CTTGCAGGTGCTTGCCGAGT</t>
  </si>
  <si>
    <t xml:space="preserve">TAGTCTTGCAGGTGCTTGCCGAGT</t>
  </si>
  <si>
    <t xml:space="preserve">AAACACTCGGCAAGCACCTGCAAG</t>
  </si>
  <si>
    <t xml:space="preserve">TCGCCACAGACCACGTAAAC</t>
  </si>
  <si>
    <t xml:space="preserve">TAGTTCGCCACAGACCACGTAAAC</t>
  </si>
  <si>
    <t xml:space="preserve">AAACGTTTACGTGGTCTGTGGCGA</t>
  </si>
  <si>
    <t xml:space="preserve">AGCAGCGCGAATCGCATCGC</t>
  </si>
  <si>
    <t xml:space="preserve">TAGTAGCAGCGCGAATCGCATCGC</t>
  </si>
  <si>
    <t xml:space="preserve">AAACGCGATGCGATTCGCGCTGCT</t>
  </si>
  <si>
    <t xml:space="preserve">PST_3771</t>
  </si>
  <si>
    <t xml:space="preserve">GCATCGGGCGAGGGCATCAT</t>
  </si>
  <si>
    <t xml:space="preserve">TAGTGCATCGGGCGAGGGCATCAT</t>
  </si>
  <si>
    <t xml:space="preserve">AAACATGATGCCCTCGCCCGATGC</t>
  </si>
  <si>
    <t xml:space="preserve">GATGTATCCCTCAGGTAGCC</t>
  </si>
  <si>
    <t xml:space="preserve">TAGTGATGTATCCCTCAGGTAGCC</t>
  </si>
  <si>
    <t xml:space="preserve">AAACGGCTACCTGAGGGATACATC</t>
  </si>
  <si>
    <t xml:space="preserve">ACCAGCCGTTTGGCCTTGTT</t>
  </si>
  <si>
    <t xml:space="preserve">TAGTACCAGCCGTTTGGCCTTGTT</t>
  </si>
  <si>
    <t xml:space="preserve">AAACAACAAGGCCAAACGGCTGGT</t>
  </si>
  <si>
    <t xml:space="preserve">TCCTGGCGCTGGCGGAACAG</t>
  </si>
  <si>
    <t xml:space="preserve">TAGTTCCTGGCGCTGGCGGAACAG</t>
  </si>
  <si>
    <t xml:space="preserve">AAACCTGTTCCGCCAGCGCCAGGA</t>
  </si>
  <si>
    <t xml:space="preserve">PST_3772</t>
  </si>
  <si>
    <t xml:space="preserve">CCACTCTCGAAAGGTGTCGT</t>
  </si>
  <si>
    <t xml:space="preserve">TAGTCCACTCTCGAAAGGTGTCGT</t>
  </si>
  <si>
    <t xml:space="preserve">AAACACGACACCTTTCGAGAGTGG</t>
  </si>
  <si>
    <t xml:space="preserve">CAGCAGCAGAACGGGAACGA</t>
  </si>
  <si>
    <t xml:space="preserve">TAGTCAGCAGCAGAACGGGAACGA</t>
  </si>
  <si>
    <t xml:space="preserve">AAACTCGTTCCCGTTCTGCTGCTG</t>
  </si>
  <si>
    <t xml:space="preserve">CACCAGGCTCATCGCCGAGG</t>
  </si>
  <si>
    <t xml:space="preserve">TAGTCACCAGGCTCATCGCCGAGG</t>
  </si>
  <si>
    <t xml:space="preserve">AAACCCTCGGCGATGAGCCTGGTG</t>
  </si>
  <si>
    <t xml:space="preserve">AGACTGCGCGAGGGGTTCGG</t>
  </si>
  <si>
    <t xml:space="preserve">TAGTAGACTGCGCGAGGGGTTCGG</t>
  </si>
  <si>
    <t xml:space="preserve">AAACCCGAACCCCTCGCGCAGTCT</t>
  </si>
  <si>
    <t xml:space="preserve">PST_3773</t>
  </si>
  <si>
    <t xml:space="preserve">GTGGCCCTCGGTTGGCCTCA</t>
  </si>
  <si>
    <t xml:space="preserve">TAGTGTGGCCCTCGGTTGGCCTCA</t>
  </si>
  <si>
    <t xml:space="preserve">AAACTGAGGCCAACCGAGGGCCAC</t>
  </si>
  <si>
    <t xml:space="preserve">TCAAGCAAGTCCTTCAACTG</t>
  </si>
  <si>
    <t xml:space="preserve">TAGTTCAAGCAAGTCCTTCAACTG</t>
  </si>
  <si>
    <t xml:space="preserve">AAACCAGTTGAAGGACTTGCTTGA</t>
  </si>
  <si>
    <t xml:space="preserve">CGCGTCGCACTCGACCTTTG</t>
  </si>
  <si>
    <t xml:space="preserve">TAGTCGCGTCGCACTCGACCTTTG</t>
  </si>
  <si>
    <t xml:space="preserve">AAACCAAAGGTCGAGTGCGACGCG</t>
  </si>
  <si>
    <t xml:space="preserve">CCAGACGCGTCACGACCAGG</t>
  </si>
  <si>
    <t xml:space="preserve">TAGTCCAGACGCGTCACGACCAGG</t>
  </si>
  <si>
    <t xml:space="preserve">AAACCCTGGTCGTGACGCGTCTGG</t>
  </si>
  <si>
    <t xml:space="preserve">PST_3774</t>
  </si>
  <si>
    <t xml:space="preserve">lipA</t>
  </si>
  <si>
    <t xml:space="preserve">CGCCAGCCTCAACCTTGGCC</t>
  </si>
  <si>
    <t xml:space="preserve">TAGTCGCCAGCCTCAACCTTGGCC</t>
  </si>
  <si>
    <t xml:space="preserve">AAACGGCCAAGGTTGAGGCTGGCG</t>
  </si>
  <si>
    <t xml:space="preserve">CGGAATCCGCGCGACCTTCT</t>
  </si>
  <si>
    <t xml:space="preserve">TAGTCGGAATCCGCGCGACCTTCT</t>
  </si>
  <si>
    <t xml:space="preserve">AAACAGAAGGTCGCGCGGATTCCG</t>
  </si>
  <si>
    <t xml:space="preserve">TCGGTGGGGATGATCTTCAC</t>
  </si>
  <si>
    <t xml:space="preserve">TAGTTCGGTGGGGATGATCTTCAC</t>
  </si>
  <si>
    <t xml:space="preserve">AAACGTGAAGATCATCCCCACCGA</t>
  </si>
  <si>
    <t xml:space="preserve">CGAATCCAGTCCGGCTTCTT</t>
  </si>
  <si>
    <t xml:space="preserve">TAGTCGAATCCAGTCCGGCTTCTT</t>
  </si>
  <si>
    <t xml:space="preserve">AAACAAGAAGCCGGACTGGATTCG</t>
  </si>
  <si>
    <t xml:space="preserve">PST_3775</t>
  </si>
  <si>
    <t xml:space="preserve">lipB</t>
  </si>
  <si>
    <t xml:space="preserve">CTCACGCACACCCACGTCGT</t>
  </si>
  <si>
    <t xml:space="preserve">TAGTCTCACGCACACCCACGTCGT</t>
  </si>
  <si>
    <t xml:space="preserve">AAACACGACGTGGGTGTGCGTGAG</t>
  </si>
  <si>
    <t xml:space="preserve">GAAATGCTGCATGGCCTGCC</t>
  </si>
  <si>
    <t xml:space="preserve">TAGTGAAATGCTGCATGGCCTGCC</t>
  </si>
  <si>
    <t xml:space="preserve">AAACGGCAGGCCATGCAGCATTTC</t>
  </si>
  <si>
    <t xml:space="preserve">ACTGTCGGCATCACGCGTAT</t>
  </si>
  <si>
    <t xml:space="preserve">TAGTACTGTCGGCATCACGCGTAT</t>
  </si>
  <si>
    <t xml:space="preserve">AAACATACGCGTGATGCCGACAGT</t>
  </si>
  <si>
    <t xml:space="preserve">TGGCCTTGCGTGAATACGGG</t>
  </si>
  <si>
    <t xml:space="preserve">TAGTTGGCCTTGCGTGAATACGGG</t>
  </si>
  <si>
    <t xml:space="preserve">AAACCCCGTATTCACGCAAGGCCA</t>
  </si>
  <si>
    <t xml:space="preserve">PST_3776</t>
  </si>
  <si>
    <t xml:space="preserve">ATCGTCTTGGCTATTGGTCA</t>
  </si>
  <si>
    <t xml:space="preserve">TAGTATCGTCTTGGCTATTGGTCA</t>
  </si>
  <si>
    <t xml:space="preserve">AAACTGACCAATAGCCAAGACGAT</t>
  </si>
  <si>
    <t xml:space="preserve">TCGCAGGGGAAGTCGATCTT</t>
  </si>
  <si>
    <t xml:space="preserve">TAGTTCGCAGGGGAAGTCGATCTT</t>
  </si>
  <si>
    <t xml:space="preserve">AAACAAGATCGACTTCCCCTGCGA</t>
  </si>
  <si>
    <t xml:space="preserve">GCCTCGCCGATCACCTTGAT</t>
  </si>
  <si>
    <t xml:space="preserve">TAGTGCCTCGCCGATCACCTTGAT</t>
  </si>
  <si>
    <t xml:space="preserve">AAACATCAAGGTGATCGGCGAGGC</t>
  </si>
  <si>
    <t xml:space="preserve">CACCTCGCGGAACCCCTCGC</t>
  </si>
  <si>
    <t xml:space="preserve">TAGTCACCTCGCGGAACCCCTCGC</t>
  </si>
  <si>
    <t xml:space="preserve">AAACGCGAGGGGTTCCGCGAGGTG</t>
  </si>
  <si>
    <t xml:space="preserve">PST_3777</t>
  </si>
  <si>
    <t xml:space="preserve">dacA</t>
  </si>
  <si>
    <t xml:space="preserve">AATGAAGCGTTGCACGAGGC</t>
  </si>
  <si>
    <t xml:space="preserve">TAGTAATGAAGCGTTGCACGAGGC</t>
  </si>
  <si>
    <t xml:space="preserve">AAACGCCTCGTGCAACGCTTCATT</t>
  </si>
  <si>
    <t xml:space="preserve">GAGCGACCGTCAGCAGAGTC</t>
  </si>
  <si>
    <t xml:space="preserve">TAGTGAGCGACCGTCAGCAGAGTC</t>
  </si>
  <si>
    <t xml:space="preserve">AAACGACTCTGCTGACGGTCGCTC</t>
  </si>
  <si>
    <t xml:space="preserve">ATCTGGGCCGCCCAGACGGT</t>
  </si>
  <si>
    <t xml:space="preserve">TAGTATCTGGGCCGCCCAGACGGT</t>
  </si>
  <si>
    <t xml:space="preserve">AAACACCGTCTGGGCGGCCCAGAT</t>
  </si>
  <si>
    <t xml:space="preserve">CCAGCTGCGGAGCCGACGGC</t>
  </si>
  <si>
    <t xml:space="preserve">TAGTCCAGCTGCGGAGCCGACGGC</t>
  </si>
  <si>
    <t xml:space="preserve">AAACGCCGTCGGCTCCGCAGCTGG</t>
  </si>
  <si>
    <t xml:space="preserve">PST_3778</t>
  </si>
  <si>
    <t xml:space="preserve">CGACCAGTCTTGTCCAGAGA</t>
  </si>
  <si>
    <t xml:space="preserve">TAGTCGACCAGTCTTGTCCAGAGA</t>
  </si>
  <si>
    <t xml:space="preserve">AAACTCTCTGGACAAGACTGGTCG</t>
  </si>
  <si>
    <t xml:space="preserve">CAGGGCTCCCGTCACGCCCA</t>
  </si>
  <si>
    <t xml:space="preserve">TAGTCAGGGCTCCCGTCACGCCCA</t>
  </si>
  <si>
    <t xml:space="preserve">AAACTGGGCGTGACGGGAGCCCTG</t>
  </si>
  <si>
    <t xml:space="preserve">GGAGCTCGGCGCCGGGGTCG</t>
  </si>
  <si>
    <t xml:space="preserve">TAGTGGAGCTCGGCGCCGGGGTCG</t>
  </si>
  <si>
    <t xml:space="preserve">AAACCGACCCCGGCGCCGAGCTCC</t>
  </si>
  <si>
    <t xml:space="preserve">GGTGGTGCTCTTGCTCGGCG</t>
  </si>
  <si>
    <t xml:space="preserve">TAGTGGTGGTGCTCTTGCTCGGCG</t>
  </si>
  <si>
    <t xml:space="preserve">AAACCGCCGAGCAAGAGCACCACC</t>
  </si>
  <si>
    <t xml:space="preserve">PST_3779</t>
  </si>
  <si>
    <t xml:space="preserve">mltB</t>
  </si>
  <si>
    <t xml:space="preserve">CACGCTCCCCAGCACAGCGC</t>
  </si>
  <si>
    <t xml:space="preserve">TAGTCACGCTCCCCAGCACAGCGC</t>
  </si>
  <si>
    <t xml:space="preserve">AAACGCGCTGTGCTGGGGAGCGTG</t>
  </si>
  <si>
    <t xml:space="preserve">GTGTAATCCGCGGCCTGCAG</t>
  </si>
  <si>
    <t xml:space="preserve">TAGTGTGTAATCCGCGGCCTGCAG</t>
  </si>
  <si>
    <t xml:space="preserve">AAACCTGCAGGCCGCGGATTACAC</t>
  </si>
  <si>
    <t xml:space="preserve">GAACTCGTCCACGTTGGCGC</t>
  </si>
  <si>
    <t xml:space="preserve">TAGTGAACTCGTCCACGTTGGCGC</t>
  </si>
  <si>
    <t xml:space="preserve">AAACGCGCCAACGTGGACGAGTTC</t>
  </si>
  <si>
    <t xml:space="preserve">GCTGGCGAAACCGTAGTCGC</t>
  </si>
  <si>
    <t xml:space="preserve">TAGTGCTGGCGAAACCGTAGTCGC</t>
  </si>
  <si>
    <t xml:space="preserve">AAACGCGACTACGGTTTCGCCAGC</t>
  </si>
  <si>
    <t xml:space="preserve">PST_3780</t>
  </si>
  <si>
    <t xml:space="preserve">rodA</t>
  </si>
  <si>
    <t xml:space="preserve">CGTCCTCACGGGACAGGGTA</t>
  </si>
  <si>
    <t xml:space="preserve">TAGTCGTCCTCACGGGACAGGGTA</t>
  </si>
  <si>
    <t xml:space="preserve">AAACTACCCTGTCCCGTGAGGACG</t>
  </si>
  <si>
    <t xml:space="preserve">GGCGCTGCAACAGGCTGGCG</t>
  </si>
  <si>
    <t xml:space="preserve">TAGTGGCGCTGCAACAGGCTGGCG</t>
  </si>
  <si>
    <t xml:space="preserve">AAACCGCCAGCCTGTTGCAGCGCC</t>
  </si>
  <si>
    <t xml:space="preserve">GCAACAGCCCGTCGATATGC</t>
  </si>
  <si>
    <t xml:space="preserve">TAGTGCAACAGCCCGTCGATATGC</t>
  </si>
  <si>
    <t xml:space="preserve">AAACGCATATCGACGGGCTGTTGC</t>
  </si>
  <si>
    <t xml:space="preserve">GAGGATGAACAGGCTGCCGG</t>
  </si>
  <si>
    <t xml:space="preserve">TAGTGAGGATGAACAGGCTGCCGG</t>
  </si>
  <si>
    <t xml:space="preserve">AAACCCGGCAGCCTGTTCATCCTC</t>
  </si>
  <si>
    <t xml:space="preserve">PST_3781</t>
  </si>
  <si>
    <t xml:space="preserve">mrdA-2</t>
  </si>
  <si>
    <t xml:space="preserve">TCCTTGAGCTGAATCGGTTG</t>
  </si>
  <si>
    <t xml:space="preserve">TAGTTCCTTGAGCTGAATCGGTTG</t>
  </si>
  <si>
    <t xml:space="preserve">AAACCAACCGATTCAGCTCAAGGA</t>
  </si>
  <si>
    <t xml:space="preserve">CACGCGTTGGCGCACCAGCA</t>
  </si>
  <si>
    <t xml:space="preserve">TAGTCACGCGTTGGCGCACCAGCA</t>
  </si>
  <si>
    <t xml:space="preserve">AAACTGCTGGTGCGCCAACGCGTG</t>
  </si>
  <si>
    <t xml:space="preserve">TCAGCAGCAGCACGAAAACG</t>
  </si>
  <si>
    <t xml:space="preserve">TAGTTCAGCAGCAGCACGAAAACG</t>
  </si>
  <si>
    <t xml:space="preserve">AAACCGTTTTCGTGCTGCTGCTGA</t>
  </si>
  <si>
    <t xml:space="preserve">GCTCGAACTGCACGACCTGC</t>
  </si>
  <si>
    <t xml:space="preserve">TAGTGCTCGAACTGCACGACCTGC</t>
  </si>
  <si>
    <t xml:space="preserve">AAACGCAGGTCGTGCAGTTCGAGC</t>
  </si>
  <si>
    <t xml:space="preserve">PST_3782</t>
  </si>
  <si>
    <t xml:space="preserve">CAGCCGTCCTCGACCCAGCG</t>
  </si>
  <si>
    <t xml:space="preserve">TAGTCAGCCGTCCTCGACCCAGCG</t>
  </si>
  <si>
    <t xml:space="preserve">AAACCGCTGGGTCGAGGACGGCTG</t>
  </si>
  <si>
    <t xml:space="preserve">CCAGCGGCAGCTCGGACGGC</t>
  </si>
  <si>
    <t xml:space="preserve">TAGTCCAGCGGCAGCTCGGACGGC</t>
  </si>
  <si>
    <t xml:space="preserve">AAACGCCGTCCGAGCTGCCGCTGG</t>
  </si>
  <si>
    <t xml:space="preserve">TCTTGCCACGGGTGTTGAGC</t>
  </si>
  <si>
    <t xml:space="preserve">TAGTTCTTGCCACGGGTGTTGAGC</t>
  </si>
  <si>
    <t xml:space="preserve">AAACGCTCAACACCCGTGGCAAGA</t>
  </si>
  <si>
    <t xml:space="preserve">CGGCTGGACCTTGCCCAGCA</t>
  </si>
  <si>
    <t xml:space="preserve">TAGTCGGCTGGACCTTGCCCAGCA</t>
  </si>
  <si>
    <t xml:space="preserve">AAACTGCTGGGCAAGGTCCAGCCG</t>
  </si>
  <si>
    <t xml:space="preserve">PST_3783</t>
  </si>
  <si>
    <t xml:space="preserve">CCAGGGCGGCGACCGCCAGC</t>
  </si>
  <si>
    <t xml:space="preserve">TAGTCCAGGGCGGCGACCGCCAGC</t>
  </si>
  <si>
    <t xml:space="preserve">AAACGCTGGCGGTCGCCGCCCTGG</t>
  </si>
  <si>
    <t xml:space="preserve">CATCGATGGTGGTGATGTCC</t>
  </si>
  <si>
    <t xml:space="preserve">TAGTCATCGATGGTGGTGATGTCC</t>
  </si>
  <si>
    <t xml:space="preserve">AAACGGACATCACCACCATCGATG</t>
  </si>
  <si>
    <t xml:space="preserve">GATCATGTAGTCGGTGACGC</t>
  </si>
  <si>
    <t xml:space="preserve">TAGTGATCATGTAGTCGGTGACGC</t>
  </si>
  <si>
    <t xml:space="preserve">AAACGCGTCACCGACTACATGATC</t>
  </si>
  <si>
    <t xml:space="preserve">CGGCCAGCGATTTGACGTGC</t>
  </si>
  <si>
    <t xml:space="preserve">TAGTCGGCCAGCGATTTGACGTGC</t>
  </si>
  <si>
    <t xml:space="preserve">AAACGCACGTCAAATCGCTGGCCG</t>
  </si>
  <si>
    <t xml:space="preserve">PST_3784</t>
  </si>
  <si>
    <t xml:space="preserve">nadD</t>
  </si>
  <si>
    <t xml:space="preserve">CGCAGGTGACCGATGTGCAC</t>
  </si>
  <si>
    <t xml:space="preserve">TAGTCGCAGGTGACCGATGTGCAC</t>
  </si>
  <si>
    <t xml:space="preserve">AAACGTGCACATCGGTCACCTGCG</t>
  </si>
  <si>
    <t xml:space="preserve">CTCGTCGAGCCCGAACATCT</t>
  </si>
  <si>
    <t xml:space="preserve">TAGTCTCGTCGAGCCCGAACATCT</t>
  </si>
  <si>
    <t xml:space="preserve">AAACAGATGTTCGGGCTCGACGAG</t>
  </si>
  <si>
    <t xml:space="preserve">CGGTGCGGCGGCCGCGCATT</t>
  </si>
  <si>
    <t xml:space="preserve">TAGTCGGTGCGGCGGCCGCGCATT</t>
  </si>
  <si>
    <t xml:space="preserve">AAACAATGCGCGGCCGCCGCACCG</t>
  </si>
  <si>
    <t xml:space="preserve">CCGAGCAGTTGGGCGTATCG</t>
  </si>
  <si>
    <t xml:space="preserve">TAGTCCGAGCAGTTGGGCGTATCG</t>
  </si>
  <si>
    <t xml:space="preserve">AAACCGATACGCCCAACTGCTCGG</t>
  </si>
  <si>
    <t xml:space="preserve">PST_3785</t>
  </si>
  <si>
    <t xml:space="preserve">proA</t>
  </si>
  <si>
    <t xml:space="preserve">GTCGAGTACTGACTCGGTCA</t>
  </si>
  <si>
    <t xml:space="preserve">TAGTGTCGAGTACTGACTCGGTCA</t>
  </si>
  <si>
    <t xml:space="preserve">AAACTGACCGAGTCAGTACTCGAC</t>
  </si>
  <si>
    <t xml:space="preserve">CCTCGCGCGCGGCGCGGCCC</t>
  </si>
  <si>
    <t xml:space="preserve">TAGTCCTCGCGCGCGGCGCGGCCC</t>
  </si>
  <si>
    <t xml:space="preserve">AAACGGGCCGCGCCGCGCGCGAGG</t>
  </si>
  <si>
    <t xml:space="preserve">GGCGCGCGCGAGCACCCGCG</t>
  </si>
  <si>
    <t xml:space="preserve">TAGTGGCGCGCGCGAGCACCCGCG</t>
  </si>
  <si>
    <t xml:space="preserve">AAACCGCGGGTGCTCGCGCGCGCC</t>
  </si>
  <si>
    <t xml:space="preserve">GCGGTTCTTCTGCGCCGTGC</t>
  </si>
  <si>
    <t xml:space="preserve">TAGTGCGGTTCTTCTGCGCCGTGC</t>
  </si>
  <si>
    <t xml:space="preserve">AAACGCACGGCGCAGAAGAACCGC</t>
  </si>
  <si>
    <t xml:space="preserve">PST_3786</t>
  </si>
  <si>
    <t xml:space="preserve">TGCGTACGCTGCCGTCGCGG</t>
  </si>
  <si>
    <t xml:space="preserve">TAGTTGCGTACGCTGCCGTCGCGG</t>
  </si>
  <si>
    <t xml:space="preserve">AAACCCGCGACGGCAGCGTACGCA</t>
  </si>
  <si>
    <t xml:space="preserve">CTCGGCAAAGCATACTCGTC</t>
  </si>
  <si>
    <t xml:space="preserve">TAGTCTCGGCAAAGCATACTCGTC</t>
  </si>
  <si>
    <t xml:space="preserve">AAACGACGAGTATGCTTTGCCGAG</t>
  </si>
  <si>
    <t xml:space="preserve">CGACCCGGCCAGAGGGCGCG</t>
  </si>
  <si>
    <t xml:space="preserve">TAGTCGACCCGGCCAGAGGGCGCG</t>
  </si>
  <si>
    <t xml:space="preserve">AAACCGCGCCCTCTGGCCGGGTCG</t>
  </si>
  <si>
    <t xml:space="preserve">TTCGAGCCATTGGCCCATGC</t>
  </si>
  <si>
    <t xml:space="preserve">TAGTTTCGAGCCATTGGCCCATGC</t>
  </si>
  <si>
    <t xml:space="preserve">AAACGCATGGGCCAATGGCTCGAA</t>
  </si>
  <si>
    <t xml:space="preserve">PST_3787</t>
  </si>
  <si>
    <t xml:space="preserve">ACGGTATCCAGCGGAAACAA</t>
  </si>
  <si>
    <t xml:space="preserve">TAGTACGGTATCCAGCGGAAACAA</t>
  </si>
  <si>
    <t xml:space="preserve">AAACTTGTTTCCGCTGGATACCGT</t>
  </si>
  <si>
    <t xml:space="preserve">GCAGATCAAGCATGCAACCG</t>
  </si>
  <si>
    <t xml:space="preserve">TAGTGCAGATCAAGCATGCAACCG</t>
  </si>
  <si>
    <t xml:space="preserve">AAACCGGTTGCATGCTTGATCTGC</t>
  </si>
  <si>
    <t xml:space="preserve">GGCACTGGCTGACCATGTCG</t>
  </si>
  <si>
    <t xml:space="preserve">TAGTGGCACTGGCTGACCATGTCG</t>
  </si>
  <si>
    <t xml:space="preserve">AAACCGACATGGTCAGCCAGTGCC</t>
  </si>
  <si>
    <t xml:space="preserve">CGAAGCCGTGGCCGGCCTTG</t>
  </si>
  <si>
    <t xml:space="preserve">TAGTCGAAGCCGTGGCCGGCCTTG</t>
  </si>
  <si>
    <t xml:space="preserve">AAACCAAGGCCGGCCACGGCTTCG</t>
  </si>
  <si>
    <t xml:space="preserve">PST_3788</t>
  </si>
  <si>
    <t xml:space="preserve">ATGATGAATGAGCGCCTGCC</t>
  </si>
  <si>
    <t xml:space="preserve">TAGTATGATGAATGAGCGCCTGCC</t>
  </si>
  <si>
    <t xml:space="preserve">AAACGGCAGGCGCTCATTCATCAT</t>
  </si>
  <si>
    <t xml:space="preserve">GTGATGCCGACGCCGAACAG</t>
  </si>
  <si>
    <t xml:space="preserve">TAGTGTGATGCCGACGCCGAACAG</t>
  </si>
  <si>
    <t xml:space="preserve">AAACCTGTTCGGCGTCGGCATCAC</t>
  </si>
  <si>
    <t xml:space="preserve">CGCCAGCTGGAATGCCGTCA</t>
  </si>
  <si>
    <t xml:space="preserve">TAGTCGCCAGCTGGAATGCCGTCA</t>
  </si>
  <si>
    <t xml:space="preserve">AAACTGACGGCATTCCAGCTGGCG</t>
  </si>
  <si>
    <t xml:space="preserve">CCAGCGCGTCTTCTCGTAGG</t>
  </si>
  <si>
    <t xml:space="preserve">TAGTCCAGCGCGTCTTCTCGTAGG</t>
  </si>
  <si>
    <t xml:space="preserve">AAACCCTACGAGAAGACGCGCTGG</t>
  </si>
  <si>
    <t xml:space="preserve">PST_3789</t>
  </si>
  <si>
    <t xml:space="preserve">GTCAGGCCTCTGAGCAGCAT</t>
  </si>
  <si>
    <t xml:space="preserve">TAGTGTCAGGCCTCTGAGCAGCAT</t>
  </si>
  <si>
    <t xml:space="preserve">AAACATGCTGCTCAGAGGCCTGAC</t>
  </si>
  <si>
    <t xml:space="preserve">CAGCTGGAACGCGACCAGCC</t>
  </si>
  <si>
    <t xml:space="preserve">TAGTCAGCTGGAACGCGACCAGCC</t>
  </si>
  <si>
    <t xml:space="preserve">AAACGGCTGGTCGCGTTCCAGCTG</t>
  </si>
  <si>
    <t xml:space="preserve">CAGCAGCAACACGTTGAGAA</t>
  </si>
  <si>
    <t xml:space="preserve">TAGTCAGCAGCAACACGTTGAGAA</t>
  </si>
  <si>
    <t xml:space="preserve">AAACTTCTCAACGTGTTGCTGCTG</t>
  </si>
  <si>
    <t xml:space="preserve">ATGATGGGTCCCGGCAGCAT</t>
  </si>
  <si>
    <t xml:space="preserve">TAGTATGATGGGTCCCGGCAGCAT</t>
  </si>
  <si>
    <t xml:space="preserve">AAACATGCTGCCGGGACCCATCAT</t>
  </si>
  <si>
    <t xml:space="preserve">PST_3790</t>
  </si>
  <si>
    <t xml:space="preserve">ACCAGCATCGGCAGCGCGAA</t>
  </si>
  <si>
    <t xml:space="preserve">TAGTACCAGCATCGGCAGCGCGAA</t>
  </si>
  <si>
    <t xml:space="preserve">AAACTTCGCGCTGCCGATGCTGGT</t>
  </si>
  <si>
    <t xml:space="preserve">ATCAGCACGGCGCGCAGCCC</t>
  </si>
  <si>
    <t xml:space="preserve">TAGTATCAGCACGGCGCGCAGCCC</t>
  </si>
  <si>
    <t xml:space="preserve">AAACGGGCTGCGCGCCGTGCTGAT</t>
  </si>
  <si>
    <t xml:space="preserve">CCGAAGCGCGTCCTGGCACC</t>
  </si>
  <si>
    <t xml:space="preserve">TAGTCCGAAGCGCGTCCTGGCACC</t>
  </si>
  <si>
    <t xml:space="preserve">AAACGGTGCCAGGACGCGCTTCGG</t>
  </si>
  <si>
    <t xml:space="preserve">GCATGGATGGCTGTAGGGAG</t>
  </si>
  <si>
    <t xml:space="preserve">TAGTGCATGGATGGCTGTAGGGAG</t>
  </si>
  <si>
    <t xml:space="preserve">AAACCTCCCTACAGCCATCCATGC</t>
  </si>
  <si>
    <t xml:space="preserve">PST_3791</t>
  </si>
  <si>
    <t xml:space="preserve">CGATCAACAGCAGGGGAACG</t>
  </si>
  <si>
    <t xml:space="preserve">TAGTCGATCAACAGCAGGGGAACG</t>
  </si>
  <si>
    <t xml:space="preserve">AAACCGTTCCCCTGCTGTTGATCG</t>
  </si>
  <si>
    <t xml:space="preserve">CCTCACCGCAGGCGGTGAGC</t>
  </si>
  <si>
    <t xml:space="preserve">TAGTCCTCACCGCAGGCGGTGAGC</t>
  </si>
  <si>
    <t xml:space="preserve">AAACGCTCACCGCCTGCGGTGAGG</t>
  </si>
  <si>
    <t xml:space="preserve">ACCGCATCGGCAGGGGTGAA</t>
  </si>
  <si>
    <t xml:space="preserve">TAGTACCGCATCGGCAGGGGTGAA</t>
  </si>
  <si>
    <t xml:space="preserve">AAACTTCACCCCTGCCGATGCGGT</t>
  </si>
  <si>
    <t xml:space="preserve">CCGCGGTAGCGGCCGCCGTC</t>
  </si>
  <si>
    <t xml:space="preserve">TAGTCCGCGGTAGCGGCCGCCGTC</t>
  </si>
  <si>
    <t xml:space="preserve">AAACGACGGCGGCCGCTACCGCGG</t>
  </si>
  <si>
    <t xml:space="preserve">PST_3792</t>
  </si>
  <si>
    <t xml:space="preserve">GCGCTGTGGCGTCAAATACA</t>
  </si>
  <si>
    <t xml:space="preserve">TAGTGCGCTGTGGCGTCAAATACA</t>
  </si>
  <si>
    <t xml:space="preserve">AAACTGTATTTGACGCCACAGCGC</t>
  </si>
  <si>
    <t xml:space="preserve">GCCAGTGAGTCCGGTGGCGC</t>
  </si>
  <si>
    <t xml:space="preserve">TAGTGCCAGTGAGTCCGGTGGCGC</t>
  </si>
  <si>
    <t xml:space="preserve">AAACGCGCCACCGGACTCACTGGC</t>
  </si>
  <si>
    <t xml:space="preserve">GCCAGCACGCGCTCGACGGT</t>
  </si>
  <si>
    <t xml:space="preserve">TAGTGCCAGCACGCGCTCGACGGT</t>
  </si>
  <si>
    <t xml:space="preserve">AAACACCGTCGAGCGCGTGCTGGC</t>
  </si>
  <si>
    <t xml:space="preserve">GCGGCCAGCGGCTTGCGCGT</t>
  </si>
  <si>
    <t xml:space="preserve">TAGTGCGGCCAGCGGCTTGCGCGT</t>
  </si>
  <si>
    <t xml:space="preserve">AAACACGCGCAAGCCGCTGGCCGC</t>
  </si>
  <si>
    <t xml:space="preserve">PST_3793</t>
  </si>
  <si>
    <t xml:space="preserve">orn</t>
  </si>
  <si>
    <t xml:space="preserve">CGATCCAGATCAGGTTCTGC</t>
  </si>
  <si>
    <t xml:space="preserve">TAGTCGATCCAGATCAGGTTCTGC</t>
  </si>
  <si>
    <t xml:space="preserve">AAACGCAGAACCTGATCTGGATCG</t>
  </si>
  <si>
    <t xml:space="preserve">GATCCAGACCGGTCATTTCC</t>
  </si>
  <si>
    <t xml:space="preserve">TAGTGATCCAGACCGGTCATTTCC</t>
  </si>
  <si>
    <t xml:space="preserve">AAACGGAAATGACCGGTCTGGATC</t>
  </si>
  <si>
    <t xml:space="preserve">TCGATGATGACGTCGTTGTC</t>
  </si>
  <si>
    <t xml:space="preserve">TAGTTCGATGATGACGTCGTTGTC</t>
  </si>
  <si>
    <t xml:space="preserve">AAACGACAACGACGTCATCATCGA</t>
  </si>
  <si>
    <t xml:space="preserve">CTGGCTGTCGGTGACGATGG</t>
  </si>
  <si>
    <t xml:space="preserve">TAGTCTGGCTGTCGGTGACGATGG</t>
  </si>
  <si>
    <t xml:space="preserve">AAACCCATCGTCACCGACAGCCAG</t>
  </si>
  <si>
    <t xml:space="preserve">PST_3794</t>
  </si>
  <si>
    <t xml:space="preserve">AGTGAGCGTGGTGGCGGACA</t>
  </si>
  <si>
    <t xml:space="preserve">TAGTAGTGAGCGTGGTGGCGGACA</t>
  </si>
  <si>
    <t xml:space="preserve">AAACTGTCCGCCACCACGCTCACT</t>
  </si>
  <si>
    <t xml:space="preserve">GCCAGCAGCGCGCGCAGGAC</t>
  </si>
  <si>
    <t xml:space="preserve">TAGTGCCAGCAGCGCGCGCAGGAC</t>
  </si>
  <si>
    <t xml:space="preserve">AAACGTCCTGCGCGCGCTGCTGGC</t>
  </si>
  <si>
    <t xml:space="preserve">AGCGACAGCAGCCAGACGAG</t>
  </si>
  <si>
    <t xml:space="preserve">TAGTAGCGACAGCAGCCAGACGAG</t>
  </si>
  <si>
    <t xml:space="preserve">AAACCTCGTCTGGCTGCTGTCGCT</t>
  </si>
  <si>
    <t xml:space="preserve">GCACGGCAAAGCCCCAGACC</t>
  </si>
  <si>
    <t xml:space="preserve">TAGTGCACGGCAAAGCCCCAGACC</t>
  </si>
  <si>
    <t xml:space="preserve">AAACGGTCTGGGGCTTTGCCGTGC</t>
  </si>
  <si>
    <t xml:space="preserve">PST_3795</t>
  </si>
  <si>
    <t xml:space="preserve">GGCTGTCTCGGAGTTTTGGT</t>
  </si>
  <si>
    <t xml:space="preserve">TAGTGGCTGTCTCGGAGTTTTGGT</t>
  </si>
  <si>
    <t xml:space="preserve">AAACACCAAAACTCCGAGACAGCC</t>
  </si>
  <si>
    <t xml:space="preserve">TGGCGTTTGGCCATGGGTTG</t>
  </si>
  <si>
    <t xml:space="preserve">TAGTTGGCGTTTGGCCATGGGTTG</t>
  </si>
  <si>
    <t xml:space="preserve">AAACCAACCCATGGCCAAACGCCA</t>
  </si>
  <si>
    <t xml:space="preserve">AGCTTTGCCGGCGGTTGAGT</t>
  </si>
  <si>
    <t xml:space="preserve">TAGTAGCTTTGCCGGCGGTTGAGT</t>
  </si>
  <si>
    <t xml:space="preserve">AAACACTCAACCGCCGGCAAAGCT</t>
  </si>
  <si>
    <t xml:space="preserve">CACGGGCGGCGCGCTCTTCC</t>
  </si>
  <si>
    <t xml:space="preserve">TAGTCACGGGCGGCGCGCTCTTCC</t>
  </si>
  <si>
    <t xml:space="preserve">AAACGGAAGAGCGCGCCGCCCGTG</t>
  </si>
  <si>
    <t xml:space="preserve">PST_3796</t>
  </si>
  <si>
    <t xml:space="preserve">GATCGGTTGGGTATTGTCCA</t>
  </si>
  <si>
    <t xml:space="preserve">TAGTGATCGGTTGGGTATTGTCCA</t>
  </si>
  <si>
    <t xml:space="preserve">AAACTGGACAATACCCAACCGATC</t>
  </si>
  <si>
    <t xml:space="preserve">CGCCGTGGCGAAGTCGGCGA</t>
  </si>
  <si>
    <t xml:space="preserve">TAGTCGCCGTGGCGAAGTCGGCGA</t>
  </si>
  <si>
    <t xml:space="preserve">AAACTCGCCGACTTCGCCACGGCG</t>
  </si>
  <si>
    <t xml:space="preserve">AACTCATCAGCCACATCACC</t>
  </si>
  <si>
    <t xml:space="preserve">TAGTAACTCATCAGCCACATCACC</t>
  </si>
  <si>
    <t xml:space="preserve">AAACGGTGATGTGGCTGATGAGTT</t>
  </si>
  <si>
    <t xml:space="preserve">GAGTTTCTTCTGTTCCGGCG</t>
  </si>
  <si>
    <t xml:space="preserve">TAGTGAGTTTCTTCTGTTCCGGCG</t>
  </si>
  <si>
    <t xml:space="preserve">AAACCGCCGGAACAGAAGAAACTC</t>
  </si>
  <si>
    <t xml:space="preserve">PST_3797</t>
  </si>
  <si>
    <t xml:space="preserve">motA</t>
  </si>
  <si>
    <t xml:space="preserve">ATGCCGATGATTTTGACCAT</t>
  </si>
  <si>
    <t xml:space="preserve">TAGTATGCCGATGATTTTGACCAT</t>
  </si>
  <si>
    <t xml:space="preserve">AAACATGGTCAAAATCATCGGCAT</t>
  </si>
  <si>
    <t xml:space="preserve">TACGAACCCGCCCAGCACGC</t>
  </si>
  <si>
    <t xml:space="preserve">TAGTTACGAACCCGCCCAGCACGC</t>
  </si>
  <si>
    <t xml:space="preserve">AAACGCGTGCTGGGCGGGTTCGTA</t>
  </si>
  <si>
    <t xml:space="preserve">TGATCATCACCTCGAAGGGA</t>
  </si>
  <si>
    <t xml:space="preserve">TAGTTGATCATCACCTCGAAGGGA</t>
  </si>
  <si>
    <t xml:space="preserve">AAACTCCCTTCGAGGTGATGATCA</t>
  </si>
  <si>
    <t xml:space="preserve">TGCTGCCCGGGTTGGCCTGC</t>
  </si>
  <si>
    <t xml:space="preserve">TAGTTGCTGCCCGGGTTGGCCTGC</t>
  </si>
  <si>
    <t xml:space="preserve">AAACGCAGGCCAACCCGGGCAGCA</t>
  </si>
  <si>
    <t xml:space="preserve">PST_3798</t>
  </si>
  <si>
    <t xml:space="preserve">CAGCGGGGGTGTGGTGGTCA</t>
  </si>
  <si>
    <t xml:space="preserve">TAGTCAGCGGGGGTGTGGTGGTCA</t>
  </si>
  <si>
    <t xml:space="preserve">AAACTGACCACCACACCCCCGCTG</t>
  </si>
  <si>
    <t xml:space="preserve">ATCCAGGCAGGTAGCGTACG</t>
  </si>
  <si>
    <t xml:space="preserve">TAGTATCCAGGCAGGTAGCGTACG</t>
  </si>
  <si>
    <t xml:space="preserve">AAACCGTACGCTACCTGCCTGGAT</t>
  </si>
  <si>
    <t xml:space="preserve">ACGGCGGCGAAGGCGGGCAG</t>
  </si>
  <si>
    <t xml:space="preserve">TAGTACGGCGGCGAAGGCGGGCAG</t>
  </si>
  <si>
    <t xml:space="preserve">AAACCTGCCCGCCTTCGCCGCCGT</t>
  </si>
  <si>
    <t xml:space="preserve">AATCTGCCGCATCGACTTGC</t>
  </si>
  <si>
    <t xml:space="preserve">TAGTAATCTGCCGCATCGACTTGC</t>
  </si>
  <si>
    <t xml:space="preserve">AAACGCAAGTCGATGCGGCAGATT</t>
  </si>
  <si>
    <t xml:space="preserve">PST_3799</t>
  </si>
  <si>
    <t xml:space="preserve">rhdA</t>
  </si>
  <si>
    <t xml:space="preserve">CAGATTGGAAAAGGCGGACA</t>
  </si>
  <si>
    <t xml:space="preserve">TAGTCAGATTGGAAAAGGCGGACA</t>
  </si>
  <si>
    <t xml:space="preserve">AAACTGTCCGCCTTTTCCAATCTG</t>
  </si>
  <si>
    <t xml:space="preserve">TCGGCGGGCTCGATCACCAG</t>
  </si>
  <si>
    <t xml:space="preserve">TAGTTCGGCGGGCTCGATCACCAG</t>
  </si>
  <si>
    <t xml:space="preserve">AAACCTGGTGATCGAGCCCGCCGA</t>
  </si>
  <si>
    <t xml:space="preserve">CTCGGGCGCATCGAGGCGGG</t>
  </si>
  <si>
    <t xml:space="preserve">TAGTCTCGGGCGCATCGAGGCGGG</t>
  </si>
  <si>
    <t xml:space="preserve">AAACCCCGCCTCGATGCGCCCGAG</t>
  </si>
  <si>
    <t xml:space="preserve">CAGCACTGGTCAGGTCGACC</t>
  </si>
  <si>
    <t xml:space="preserve">TAGTCAGCACTGGTCAGGTCGACC</t>
  </si>
  <si>
    <t xml:space="preserve">AAACGGTCGACCTGACCAGTGCTG</t>
  </si>
  <si>
    <t xml:space="preserve">PST_3800</t>
  </si>
  <si>
    <t xml:space="preserve">psd</t>
  </si>
  <si>
    <t xml:space="preserve">ACTGGCTGATGACGAACAGG</t>
  </si>
  <si>
    <t xml:space="preserve">TAGTACTGGCTGATGACGAACAGG</t>
  </si>
  <si>
    <t xml:space="preserve">AAACCCTGTTCGTCATCAGCCAGT</t>
  </si>
  <si>
    <t xml:space="preserve">AGGCGGGAAATCAGGTGATG</t>
  </si>
  <si>
    <t xml:space="preserve">TAGTAGGCGGGAAATCAGGTGATG</t>
  </si>
  <si>
    <t xml:space="preserve">AAACCATCACCTGATTTCCCGCCT</t>
  </si>
  <si>
    <t xml:space="preserve">ATTCGGCCAGGCAGCCGGCC</t>
  </si>
  <si>
    <t xml:space="preserve">TAGTATTCGGCCAGGCAGCCGGCC</t>
  </si>
  <si>
    <t xml:space="preserve">AAACGGCCGGCTGCCTGGCCGAAT</t>
  </si>
  <si>
    <t xml:space="preserve">TGTTCTTCACCCAGGGCAGG</t>
  </si>
  <si>
    <t xml:space="preserve">TAGTTGTTCTTCACCCAGGGCAGG</t>
  </si>
  <si>
    <t xml:space="preserve">AAACCCTGCCCTGGGTGAAGAACA</t>
  </si>
  <si>
    <t xml:space="preserve">PST_3801</t>
  </si>
  <si>
    <t xml:space="preserve">GTGCGCGCAACAGCAGATGA</t>
  </si>
  <si>
    <t xml:space="preserve">TAGTGTGCGCGCAACAGCAGATGA</t>
  </si>
  <si>
    <t xml:space="preserve">AAACTCATCTGCTGTTGCGCGCAC</t>
  </si>
  <si>
    <t xml:space="preserve">AGGGTCTGCCGAGTCGGTGC</t>
  </si>
  <si>
    <t xml:space="preserve">TAGTAGGGTCTGCCGAGTCGGTGC</t>
  </si>
  <si>
    <t xml:space="preserve">AAACGCACCGACTCGGCAGACCCT</t>
  </si>
  <si>
    <t xml:space="preserve">CGCTGGCGTCACAGAAGGAC</t>
  </si>
  <si>
    <t xml:space="preserve">TAGTCGCTGGCGTCACAGAAGGAC</t>
  </si>
  <si>
    <t xml:space="preserve">AAACGTCCTTCTGTGACGCCAGCG</t>
  </si>
  <si>
    <t xml:space="preserve">CGGCAGGCCGGCGAGCCAGC</t>
  </si>
  <si>
    <t xml:space="preserve">TAGTCGGCAGGCCGGCGAGCCAGC</t>
  </si>
  <si>
    <t xml:space="preserve">AAACGCTGGCTCGCCGGCCTGCCG</t>
  </si>
  <si>
    <t xml:space="preserve">PST_3802</t>
  </si>
  <si>
    <t xml:space="preserve">TCTGCGTCAGGGCTTCGGCC</t>
  </si>
  <si>
    <t xml:space="preserve">TAGTTCTGCGTCAGGGCTTCGGCC</t>
  </si>
  <si>
    <t xml:space="preserve">AAACGGCCGAAGCCCTGACGCAGA</t>
  </si>
  <si>
    <t xml:space="preserve">TGCATTGATCAGCAGGTCCC</t>
  </si>
  <si>
    <t xml:space="preserve">TAGTTGCATTGATCAGCAGGTCCC</t>
  </si>
  <si>
    <t xml:space="preserve">AAACGGGACCTGCTGATCAATGCA</t>
  </si>
  <si>
    <t xml:space="preserve">GGGTCGAGGTTCTCGCTTTG</t>
  </si>
  <si>
    <t xml:space="preserve">TAGTGGGTCGAGGTTCTCGCTTTG</t>
  </si>
  <si>
    <t xml:space="preserve">AAACCAAAGCGAGAACCTCGACCC</t>
  </si>
  <si>
    <t xml:space="preserve">TGGCGCCGATCGCCTCGCTG</t>
  </si>
  <si>
    <t xml:space="preserve">TAGTTGGCGCCGATCGCCTCGCTG</t>
  </si>
  <si>
    <t xml:space="preserve">AAACCAGCGAGGCGATCGGCGCCA</t>
  </si>
  <si>
    <t xml:space="preserve">PST_3803</t>
  </si>
  <si>
    <t xml:space="preserve">GGCGGCTTTCATCATGGCCA</t>
  </si>
  <si>
    <t xml:space="preserve">TAGTGGCGGCTTTCATCATGGCCA</t>
  </si>
  <si>
    <t xml:space="preserve">AAACTGGCCATGATGAAAGCCGCC</t>
  </si>
  <si>
    <t xml:space="preserve">GCGGCCCGGCTCGACGAACA</t>
  </si>
  <si>
    <t xml:space="preserve">TAGTGCGGCCCGGCTCGACGAACA</t>
  </si>
  <si>
    <t xml:space="preserve">AAACTGTTCGTCGAGCCGGGCCGC</t>
  </si>
  <si>
    <t xml:space="preserve">TTGGGACCAATCTCGGGGAT</t>
  </si>
  <si>
    <t xml:space="preserve">TAGTTTGGGACCAATCTCGGGGAT</t>
  </si>
  <si>
    <t xml:space="preserve">AAACATCCCCGAGATTGGTCCCAA</t>
  </si>
  <si>
    <t xml:space="preserve">GGTGCCGCAGATGGTGGTCG</t>
  </si>
  <si>
    <t xml:space="preserve">TAGTGGTGCCGCAGATGGTGGTCG</t>
  </si>
  <si>
    <t xml:space="preserve">AAACCGACCACCATCTGCGGCACC</t>
  </si>
  <si>
    <t xml:space="preserve">PST_3805</t>
  </si>
  <si>
    <t xml:space="preserve">serB</t>
  </si>
  <si>
    <t xml:space="preserve">GATCAGGACGATTTCGCGCA</t>
  </si>
  <si>
    <t xml:space="preserve">TAGTGATCAGGACGATTTCGCGCA</t>
  </si>
  <si>
    <t xml:space="preserve">AAACTGCGCGAAATCGTCCTGATC</t>
  </si>
  <si>
    <t xml:space="preserve">CAGGCCCGGGCGATCTTCAC</t>
  </si>
  <si>
    <t xml:space="preserve">TAGTCAGGCCCGGGCGATCTTCAC</t>
  </si>
  <si>
    <t xml:space="preserve">AAACGTGAAGATCGCCCGGGCCTG</t>
  </si>
  <si>
    <t xml:space="preserve">GAGCACGCCGGTAATGGCCG</t>
  </si>
  <si>
    <t xml:space="preserve">TAGTGAGCACGCCGGTAATGGCCG</t>
  </si>
  <si>
    <t xml:space="preserve">AAACCGGCCATTACCGGCGTGCTC</t>
  </si>
  <si>
    <t xml:space="preserve">GAGAATGTTCACGCCACCCT</t>
  </si>
  <si>
    <t xml:space="preserve">TAGTGAGAATGTTCACGCCACCCT</t>
  </si>
  <si>
    <t xml:space="preserve">AAACAGGGTGGCGTGAACATTCTC</t>
  </si>
  <si>
    <t xml:space="preserve">PST_3804</t>
  </si>
  <si>
    <t xml:space="preserve">TGCGCGTGCGGAGGCGGTGG</t>
  </si>
  <si>
    <t xml:space="preserve">TAGTTGCGCGTGCGGAGGCGGTGG</t>
  </si>
  <si>
    <t xml:space="preserve">AAACCCACCGCCTCCGCACGCGCA</t>
  </si>
  <si>
    <t xml:space="preserve">AAGCTGACGAATTGCGCCGC</t>
  </si>
  <si>
    <t xml:space="preserve">TAGTAAGCTGACGAATTGCGCCGC</t>
  </si>
  <si>
    <t xml:space="preserve">AAACGCGGCGCAATTCGTCAGCTT</t>
  </si>
  <si>
    <t xml:space="preserve">GGGGCGCTAAAGGTCTGCAA</t>
  </si>
  <si>
    <t xml:space="preserve">TAGTGGGGCGCTAAAGGTCTGCAA</t>
  </si>
  <si>
    <t xml:space="preserve">AAACTTGCAGACCTTTAGCGCCCC</t>
  </si>
  <si>
    <t xml:space="preserve">GCAGTATACGGATAGCGCGG</t>
  </si>
  <si>
    <t xml:space="preserve">TAGTGCAGTATACGGATAGCGCGG</t>
  </si>
  <si>
    <t xml:space="preserve">AAACCCGCGCTATCCGTATACTGC</t>
  </si>
  <si>
    <t xml:space="preserve">PST_3806</t>
  </si>
  <si>
    <t xml:space="preserve">CTGGCCAGCAACAACACAGT</t>
  </si>
  <si>
    <t xml:space="preserve">TAGTCTGGCCAGCAACAACACAGT</t>
  </si>
  <si>
    <t xml:space="preserve">AAACACTGTGTTGTTGCTGGCCAG</t>
  </si>
  <si>
    <t xml:space="preserve">GCAGACCGACACAGCCGGTC</t>
  </si>
  <si>
    <t xml:space="preserve">TAGTGCAGACCGACACAGCCGGTC</t>
  </si>
  <si>
    <t xml:space="preserve">AAACGACCGGCTGTGTCGGTCTGC</t>
  </si>
  <si>
    <t xml:space="preserve">TCCAGGCGATACATGGGTGC</t>
  </si>
  <si>
    <t xml:space="preserve">TAGTTCCAGGCGATACATGGGTGC</t>
  </si>
  <si>
    <t xml:space="preserve">AAACGCACCCATGTATCGCCTGGA</t>
  </si>
  <si>
    <t xml:space="preserve">GATCCGCTCCGGCACCTCGG</t>
  </si>
  <si>
    <t xml:space="preserve">TAGTGATCCGCTCCGGCACCTCGG</t>
  </si>
  <si>
    <t xml:space="preserve">AAACCCGAGGTGCCGGAGCGGATC</t>
  </si>
  <si>
    <t xml:space="preserve">PST_3807</t>
  </si>
  <si>
    <t xml:space="preserve">parC</t>
  </si>
  <si>
    <t xml:space="preserve">GCCGTCCAGGCTCAGGTCGA</t>
  </si>
  <si>
    <t xml:space="preserve">TAGTGCCGTCCAGGCTCAGGTCGA</t>
  </si>
  <si>
    <t xml:space="preserve">AAACTCGACCTGAGCCTGGACGGC</t>
  </si>
  <si>
    <t xml:space="preserve">CTGCTCGGTGAAGTCGGCGA</t>
  </si>
  <si>
    <t xml:space="preserve">TAGTCTGCTCGGTGAAGTCGGCGA</t>
  </si>
  <si>
    <t xml:space="preserve">AAACTCGCCGACTTCACCGAGCAG</t>
  </si>
  <si>
    <t xml:space="preserve">GTACATGGAATAGTTGAGGT</t>
  </si>
  <si>
    <t xml:space="preserve">TAGTGTACATGGAATAGTTGAGGT</t>
  </si>
  <si>
    <t xml:space="preserve">AAACACCTCAACTATTCCATGTAC</t>
  </si>
  <si>
    <t xml:space="preserve">TTGAGGCCGTCGCCGATATG</t>
  </si>
  <si>
    <t xml:space="preserve">TAGTTTGAGGCCGTCGCCGATATG</t>
  </si>
  <si>
    <t xml:space="preserve">AAACCATATCGGCGACGGCCTCAA</t>
  </si>
  <si>
    <t xml:space="preserve">PST_3808</t>
  </si>
  <si>
    <t xml:space="preserve">CAGGTACAGCCCGACGCCCC</t>
  </si>
  <si>
    <t xml:space="preserve">TAGTCAGGTACAGCCCGACGCCCC</t>
  </si>
  <si>
    <t xml:space="preserve">AAACGGGGCGTCGGGCTGTACCTG</t>
  </si>
  <si>
    <t xml:space="preserve">GTTGAGGCGATCTTCCTCCC</t>
  </si>
  <si>
    <t xml:space="preserve">TAGTGTTGAGGCGATCTTCCTCCC</t>
  </si>
  <si>
    <t xml:space="preserve">AAACGGGAGGAAGATCGCCTCAAC</t>
  </si>
  <si>
    <t xml:space="preserve">GGGATACCGGCTGGCGATTC</t>
  </si>
  <si>
    <t xml:space="preserve">TAGTGGGATACCGGCTGGCGATTC</t>
  </si>
  <si>
    <t xml:space="preserve">AAACGAATCGCCAGCCGGTATCCC</t>
  </si>
  <si>
    <t xml:space="preserve">GATCTGCTCGCCATGCAGCT</t>
  </si>
  <si>
    <t xml:space="preserve">TAGTGATCTGCTCGCCATGCAGCT</t>
  </si>
  <si>
    <t xml:space="preserve">AAACAGCTGCATGGCGAGCAGATC</t>
  </si>
  <si>
    <t xml:space="preserve">PST_3809</t>
  </si>
  <si>
    <t xml:space="preserve">TCAGCAGCGCCAGCCCACGG</t>
  </si>
  <si>
    <t xml:space="preserve">TAGTTCAGCAGCGCCAGCCCACGG</t>
  </si>
  <si>
    <t xml:space="preserve">AAACCCGTGGGCTGGCGCTGCTGA</t>
  </si>
  <si>
    <t xml:space="preserve">GCCGGTTCGTTGGCCCAGAG</t>
  </si>
  <si>
    <t xml:space="preserve">TAGTGCCGGTTCGTTGGCCCAGAG</t>
  </si>
  <si>
    <t xml:space="preserve">AAACCTCTGGGCCAACGAACCGGC</t>
  </si>
  <si>
    <t xml:space="preserve">TCGCTCAACAGCTTCAGCTC</t>
  </si>
  <si>
    <t xml:space="preserve">TAGTTCGCTCAACAGCTTCAGCTC</t>
  </si>
  <si>
    <t xml:space="preserve">AAACGAGCTGAAGCTGTTGAGCGA</t>
  </si>
  <si>
    <t xml:space="preserve">CCGCCGCTCATGCCCTGCAC</t>
  </si>
  <si>
    <t xml:space="preserve">TAGTCCGCCGCTCATGCCCTGCAC</t>
  </si>
  <si>
    <t xml:space="preserve">AAACGTGCAGGGCATGAGCGGCGG</t>
  </si>
  <si>
    <t xml:space="preserve">PST_3810</t>
  </si>
  <si>
    <t xml:space="preserve">parE</t>
  </si>
  <si>
    <t xml:space="preserve">CGAACCCGTTCGGGTCGCCT</t>
  </si>
  <si>
    <t xml:space="preserve">TAGTCGAACCCGTTCGGGTCGCCT</t>
  </si>
  <si>
    <t xml:space="preserve">AAACAGGCGACCCGAACGGGTTCG</t>
  </si>
  <si>
    <t xml:space="preserve">CTCCATCGCTGCAGTTCTCC</t>
  </si>
  <si>
    <t xml:space="preserve">TAGTCTCCATCGCTGCAGTTCTCC</t>
  </si>
  <si>
    <t xml:space="preserve">AAACGGAGAACTGCAGCGATGGAG</t>
  </si>
  <si>
    <t xml:space="preserve">GAAAAAACCAGCGCACCGGC</t>
  </si>
  <si>
    <t xml:space="preserve">TAGTGAAAAAACCAGCGCACCGGC</t>
  </si>
  <si>
    <t xml:space="preserve">AAACGCCGGTGCGCTGGTTTTTTC</t>
  </si>
  <si>
    <t xml:space="preserve">TCTGAACAATCAGCCGCTAA</t>
  </si>
  <si>
    <t xml:space="preserve">TAGTTCTGAACAATCAGCCGCTAA</t>
  </si>
  <si>
    <t xml:space="preserve">AAACTTAGCGGCTGATTGTTCAGA</t>
  </si>
  <si>
    <t xml:space="preserve">PST_3811</t>
  </si>
  <si>
    <t xml:space="preserve">GCTCTGCAAGCGACCCGCCC</t>
  </si>
  <si>
    <t xml:space="preserve">TAGTGCTCTGCAAGCGACCCGCCC</t>
  </si>
  <si>
    <t xml:space="preserve">AAACGGGCGGGTCGCTTGCAGAGC</t>
  </si>
  <si>
    <t xml:space="preserve">GAAAAAACCGCAAGGCTACT</t>
  </si>
  <si>
    <t xml:space="preserve">TAGTGAAAAAACCGCAAGGCTACT</t>
  </si>
  <si>
    <t xml:space="preserve">AAACAGTAGCCTTGCGGTTTTTTC</t>
  </si>
  <si>
    <t xml:space="preserve">CGAAGGCGGATAACTGGACA</t>
  </si>
  <si>
    <t xml:space="preserve">TAGTCGAAGGCGGATAACTGGACA</t>
  </si>
  <si>
    <t xml:space="preserve">AAACTGTCCAGTTATCCGCCTTCG</t>
  </si>
  <si>
    <t xml:space="preserve">TGTTGAGCCCGTGGATATAG</t>
  </si>
  <si>
    <t xml:space="preserve">TAGTTGTTGAGCCCGTGGATATAG</t>
  </si>
  <si>
    <t xml:space="preserve">AAACCTATATCCACGGGCTCAACA</t>
  </si>
  <si>
    <t xml:space="preserve">PST_3812</t>
  </si>
  <si>
    <t xml:space="preserve">GAATCTTCAACAGCAGTCAC</t>
  </si>
  <si>
    <t xml:space="preserve">TAGTGAATCTTCAACAGCAGTCAC</t>
  </si>
  <si>
    <t xml:space="preserve">AAACGTGACTGCTGTTGAAGATTC</t>
  </si>
  <si>
    <t xml:space="preserve">TTCGGCAAACAGATGGCTGT</t>
  </si>
  <si>
    <t xml:space="preserve">TAGTTTCGGCAAACAGATGGCTGT</t>
  </si>
  <si>
    <t xml:space="preserve">AAACACAGCCATCTGTTTGCCGAA</t>
  </si>
  <si>
    <t xml:space="preserve">CCAGGCTATCGCCGGTGTTC</t>
  </si>
  <si>
    <t xml:space="preserve">TAGTCCAGGCTATCGCCGGTGTTC</t>
  </si>
  <si>
    <t xml:space="preserve">AAACGAACACCGGCGATAGCCTGG</t>
  </si>
  <si>
    <t xml:space="preserve">GATGCGCGGCTGCTCGGCAA</t>
  </si>
  <si>
    <t xml:space="preserve">TAGTGATGCGCGGCTGCTCGGCAA</t>
  </si>
  <si>
    <t xml:space="preserve">AAACTTGCCGAGCAGCCGCGCATC</t>
  </si>
  <si>
    <t xml:space="preserve">PST_3813</t>
  </si>
  <si>
    <t xml:space="preserve">GCAGTTCGAGCAGATCGACT</t>
  </si>
  <si>
    <t xml:space="preserve">TAGTGCAGTTCGAGCAGATCGACT</t>
  </si>
  <si>
    <t xml:space="preserve">AAACAGTCGATCTGCTCGAACTGC</t>
  </si>
  <si>
    <t xml:space="preserve">TCGCAGGTAGTTGGCTTCGC</t>
  </si>
  <si>
    <t xml:space="preserve">TAGTTCGCAGGTAGTTGGCTTCGC</t>
  </si>
  <si>
    <t xml:space="preserve">AAACGCGAAGCCAACTACCTGCGA</t>
  </si>
  <si>
    <t xml:space="preserve">TCGCAACCGCTACGCATGCC</t>
  </si>
  <si>
    <t xml:space="preserve">TAGTTCGCAACCGCTACGCATGCC</t>
  </si>
  <si>
    <t xml:space="preserve">AAACGGCATGCGTAGCGGTTGCGA</t>
  </si>
  <si>
    <t xml:space="preserve">CGCCGAGCAGCAGGTCACCC</t>
  </si>
  <si>
    <t xml:space="preserve">TAGTCGCCGAGCAGCAGGTCACCC</t>
  </si>
  <si>
    <t xml:space="preserve">AAACGGGTGACCTGCTGCTCGGCG</t>
  </si>
  <si>
    <t xml:space="preserve">PST_3814</t>
  </si>
  <si>
    <t xml:space="preserve">GGTTTGAAGGTCTCGCTCAT</t>
  </si>
  <si>
    <t xml:space="preserve">TAGTGGTTTGAAGGTCTCGCTCAT</t>
  </si>
  <si>
    <t xml:space="preserve">AAACATGAGCGAGACCTTCAAACC</t>
  </si>
  <si>
    <t xml:space="preserve">ATCTGGACATCATCCGGACC</t>
  </si>
  <si>
    <t xml:space="preserve">TAGTATCTGGACATCATCCGGACC</t>
  </si>
  <si>
    <t xml:space="preserve">AAACGGTCCGGATGATGTCCAGAT</t>
  </si>
  <si>
    <t xml:space="preserve">TGAAGCATTGCTCTCGACGA</t>
  </si>
  <si>
    <t xml:space="preserve">TAGTTGAAGCATTGCTCTCGACGA</t>
  </si>
  <si>
    <t xml:space="preserve">AAACTCGTCGAGAGCAATGCTTCA</t>
  </si>
  <si>
    <t xml:space="preserve">CACTGAACTGACGGTGGCGC</t>
  </si>
  <si>
    <t xml:space="preserve">TAGTCACTGAACTGACGGTGGCGC</t>
  </si>
  <si>
    <t xml:space="preserve">AAACGCGCCACCGTCAGTTCAGTG</t>
  </si>
  <si>
    <t xml:space="preserve">PST_3815</t>
  </si>
  <si>
    <t xml:space="preserve">TCGGTTACGGTGGTCTGCAA</t>
  </si>
  <si>
    <t xml:space="preserve">TAGTTCGGTTACGGTGGTCTGCAA</t>
  </si>
  <si>
    <t xml:space="preserve">AAACTTGCAGACCACCGTAACCGA</t>
  </si>
  <si>
    <t xml:space="preserve">TCGTGAAGTTCGTGCGCACG</t>
  </si>
  <si>
    <t xml:space="preserve">TAGTTCGTGAAGTTCGTGCGCACG</t>
  </si>
  <si>
    <t xml:space="preserve">AAACCGTGCGCACGAACTTCACGA</t>
  </si>
  <si>
    <t xml:space="preserve">ATACATGGTTGGTCCAGGCA</t>
  </si>
  <si>
    <t xml:space="preserve">TAGTATACATGGTTGGTCCAGGCA</t>
  </si>
  <si>
    <t xml:space="preserve">AAACTGCCTGGACCAACCATGTAT</t>
  </si>
  <si>
    <t xml:space="preserve">AGATTGCGGATGGGTGCGGT</t>
  </si>
  <si>
    <t xml:space="preserve">TAGTAGATTGCGGATGGGTGCGGT</t>
  </si>
  <si>
    <t xml:space="preserve">AAACACCGCACCCATCCGCAATCT</t>
  </si>
  <si>
    <t xml:space="preserve">PST_3816</t>
  </si>
  <si>
    <t xml:space="preserve">thiC</t>
  </si>
  <si>
    <t xml:space="preserve">TTGTTGCTTTGCACGCTCAT</t>
  </si>
  <si>
    <t xml:space="preserve">TAGTTTGTTGCTTTGCACGCTCAT</t>
  </si>
  <si>
    <t xml:space="preserve">AAACATGAGCGTGCAAAGCAACAA</t>
  </si>
  <si>
    <t xml:space="preserve">GGACTGCTGGTCGACCTGGG</t>
  </si>
  <si>
    <t xml:space="preserve">TAGTGGACTGCTGGTCGACCTGGG</t>
  </si>
  <si>
    <t xml:space="preserve">AAACCCCAGGTCGACCAGCAGTCC</t>
  </si>
  <si>
    <t xml:space="preserve">CGAACGCGGGAAGGGTTGAA</t>
  </si>
  <si>
    <t xml:space="preserve">TAGTCGAACGCGGGAAGGGTTGAA</t>
  </si>
  <si>
    <t xml:space="preserve">AAACTTCAACCCTTCCCGCGTTCG</t>
  </si>
  <si>
    <t xml:space="preserve">GCATGGGTACGCGGATGTCC</t>
  </si>
  <si>
    <t xml:space="preserve">TAGTGCATGGGTACGCGGATGTCC</t>
  </si>
  <si>
    <t xml:space="preserve">AAACGGACATCCGCGTACCCATGC</t>
  </si>
  <si>
    <t xml:space="preserve">PST_3817</t>
  </si>
  <si>
    <t xml:space="preserve">CTGAATAGAACTGATGGGCA</t>
  </si>
  <si>
    <t xml:space="preserve">TAGTCTGAATAGAACTGATGGGCA</t>
  </si>
  <si>
    <t xml:space="preserve">AAACTGCCCATCAGTTCTATTCAG</t>
  </si>
  <si>
    <t xml:space="preserve">GGGAGTCTGCGCAGCATGTT</t>
  </si>
  <si>
    <t xml:space="preserve">TAGTGGGAGTCTGCGCAGCATGTT</t>
  </si>
  <si>
    <t xml:space="preserve">AAACAACATGCTGCGCAGACTCCC</t>
  </si>
  <si>
    <t xml:space="preserve">TGGCCACGGCGAGAGCCAGG</t>
  </si>
  <si>
    <t xml:space="preserve">TAGTTGGCCACGGCGAGAGCCAGG</t>
  </si>
  <si>
    <t xml:space="preserve">AAACCCTGGCTCTCGCCGTGGCCA</t>
  </si>
  <si>
    <t xml:space="preserve">GGCCCCTCCGGCAGTGAGGG</t>
  </si>
  <si>
    <t xml:space="preserve">TAGTGGCCCCTCCGGCAGTGAGGG</t>
  </si>
  <si>
    <t xml:space="preserve">AAACCCCTCACTGCCGGAGGGGCC</t>
  </si>
  <si>
    <t xml:space="preserve">PST_3818</t>
  </si>
  <si>
    <t xml:space="preserve">kdtA</t>
  </si>
  <si>
    <t xml:space="preserve">GTATAGAGGGTGCGATTCAT</t>
  </si>
  <si>
    <t xml:space="preserve">TAGTGTATAGAGGGTGCGATTCAT</t>
  </si>
  <si>
    <t xml:space="preserve">AAACATGAATCGCACCCTCTATAC</t>
  </si>
  <si>
    <t xml:space="preserve">CAGGCCGAGGTGAAACAACA</t>
  </si>
  <si>
    <t xml:space="preserve">TAGTCAGGCCGAGGTGAAACAACA</t>
  </si>
  <si>
    <t xml:space="preserve">AAACTGTTGTTTCACCTCGGCCTG</t>
  </si>
  <si>
    <t xml:space="preserve">AGCAGGCGCAGGAACACCAG</t>
  </si>
  <si>
    <t xml:space="preserve">TAGTAGCAGGCGCAGGAACACCAG</t>
  </si>
  <si>
    <t xml:space="preserve">AAACCTGGTGTTCCTGCGCCTGCT</t>
  </si>
  <si>
    <t xml:space="preserve">GGAGTAGGCCGGGGCGCGCC</t>
  </si>
  <si>
    <t xml:space="preserve">TAGTGGAGTAGGCCGGGGCGCGCC</t>
  </si>
  <si>
    <t xml:space="preserve">AAACGGCGCGCCCCGGCCTACTCC</t>
  </si>
  <si>
    <t xml:space="preserve">PST_3819</t>
  </si>
  <si>
    <t xml:space="preserve">GCGAGATCCTGATTATGGGC</t>
  </si>
  <si>
    <t xml:space="preserve">TAGTGCGAGATCCTGATTATGGGC</t>
  </si>
  <si>
    <t xml:space="preserve">AAACGCCCATAATCAGGATCTCGC</t>
  </si>
  <si>
    <t xml:space="preserve">CAGGTAAACATAGCCGGACA</t>
  </si>
  <si>
    <t xml:space="preserve">TAGTCAGGTAAACATAGCCGGACA</t>
  </si>
  <si>
    <t xml:space="preserve">AAACTGTCCGGCTATGTTTACCTG</t>
  </si>
  <si>
    <t xml:space="preserve">CGAGGTGGTGGCGACCACCT</t>
  </si>
  <si>
    <t xml:space="preserve">TAGTCGAGGTGGTGGCGACCACCT</t>
  </si>
  <si>
    <t xml:space="preserve">AAACAGGTGGTCGCCACCACCTCG</t>
  </si>
  <si>
    <t xml:space="preserve">TGGCAGCGGACGATTGAAGC</t>
  </si>
  <si>
    <t xml:space="preserve">TAGTTGGCAGCGGACGATTGAAGC</t>
  </si>
  <si>
    <t xml:space="preserve">AAACGCTTCAATCGTCCGCTGCCA</t>
  </si>
  <si>
    <t xml:space="preserve">PST_3820</t>
  </si>
  <si>
    <t xml:space="preserve">ACGTCGGTGCTGAGGGATTC</t>
  </si>
  <si>
    <t xml:space="preserve">TAGTACGTCGGTGCTGAGGGATTC</t>
  </si>
  <si>
    <t xml:space="preserve">AAACGAATCCCTCAGCACCGACGT</t>
  </si>
  <si>
    <t xml:space="preserve">CGACGCCGCCGCCAACGATC</t>
  </si>
  <si>
    <t xml:space="preserve">TAGTCGACGCCGCCGCCAACGATC</t>
  </si>
  <si>
    <t xml:space="preserve">AAACGATCGTTGGCGGCGGCGTCG</t>
  </si>
  <si>
    <t xml:space="preserve">GCGCGCGTTCAGCCAAAGGC</t>
  </si>
  <si>
    <t xml:space="preserve">TAGTGCGCGCGTTCAGCCAAAGGC</t>
  </si>
  <si>
    <t xml:space="preserve">AAACGCCTTTGGCTGAACGCGCGC</t>
  </si>
  <si>
    <t xml:space="preserve">TGGCAAAACCCAGTCGGCGC</t>
  </si>
  <si>
    <t xml:space="preserve">TAGTTGGCAAAACCCAGTCGGCGC</t>
  </si>
  <si>
    <t xml:space="preserve">AAACGCGCCGACTGGGTTTTGCCA</t>
  </si>
  <si>
    <t xml:space="preserve">PST_3821</t>
  </si>
  <si>
    <t xml:space="preserve">TTTTGCCCAGCGGGCGGTGC</t>
  </si>
  <si>
    <t xml:space="preserve">TAGTTTTTGCCCAGCGGGCGGTGC</t>
  </si>
  <si>
    <t xml:space="preserve">AAACGCACCGCCCGCTGGGCAAAA</t>
  </si>
  <si>
    <t xml:space="preserve">CAACGGCGAAATGCGCAGGC</t>
  </si>
  <si>
    <t xml:space="preserve">TAGTCAACGGCGAAATGCGCAGGC</t>
  </si>
  <si>
    <t xml:space="preserve">AAACGCCTGCGCATTTCGCCGTTG</t>
  </si>
  <si>
    <t xml:space="preserve">CGTTGGGGTACTTCACGCCC</t>
  </si>
  <si>
    <t xml:space="preserve">TAGTCGTTGGGGTACTTCACGCCC</t>
  </si>
  <si>
    <t xml:space="preserve">AAACGGGCGTGAAGTACCCCAACG</t>
  </si>
  <si>
    <t xml:space="preserve">GGCCTGGTCATCGTCGGGGA</t>
  </si>
  <si>
    <t xml:space="preserve">TAGTGGCCTGGTCATCGTCGGGGA</t>
  </si>
  <si>
    <t xml:space="preserve">AAACTCCCCGACGATGACCAGGCC</t>
  </si>
  <si>
    <t xml:space="preserve">PST_3822</t>
  </si>
  <si>
    <t xml:space="preserve">CTCTTGCGTACCAGAACGCG</t>
  </si>
  <si>
    <t xml:space="preserve">TAGTCTCTTGCGTACCAGAACGCG</t>
  </si>
  <si>
    <t xml:space="preserve">AAACCGCGTTCTGGTACGCAAGAG</t>
  </si>
  <si>
    <t xml:space="preserve">GCAGGGTCTTGAATGCGGCA</t>
  </si>
  <si>
    <t xml:space="preserve">TAGTGCAGGGTCTTGAATGCGGCA</t>
  </si>
  <si>
    <t xml:space="preserve">AAACTGCCGCATTCAAGACCCTGC</t>
  </si>
  <si>
    <t xml:space="preserve">TGGCCGGCCTCGACGTAGAG</t>
  </si>
  <si>
    <t xml:space="preserve">TAGTTGGCCGGCCTCGACGTAGAG</t>
  </si>
  <si>
    <t xml:space="preserve">AAACCTCTACGTCGAGGCCGGCCA</t>
  </si>
  <si>
    <t xml:space="preserve">TCTGGTAGCTCAGGCTGTCG</t>
  </si>
  <si>
    <t xml:space="preserve">TAGTTCTGGTAGCTCAGGCTGTCG</t>
  </si>
  <si>
    <t xml:space="preserve">AAACCGACAGCCTGAGCTACCAGA</t>
  </si>
  <si>
    <t xml:space="preserve">PST_3823</t>
  </si>
  <si>
    <t xml:space="preserve">AGCGGATACATGTCTGCTAC</t>
  </si>
  <si>
    <t xml:space="preserve">TAGTAGCGGATACATGTCTGCTAC</t>
  </si>
  <si>
    <t xml:space="preserve">AAACGTAGCAGACATGTATCCGCT</t>
  </si>
  <si>
    <t xml:space="preserve">GTGGTCTGTATGAATCTGTA</t>
  </si>
  <si>
    <t xml:space="preserve">TAGTGTGGTCTGTATGAATCTGTA</t>
  </si>
  <si>
    <t xml:space="preserve">AAACTACAGATTCATACAGACCAC</t>
  </si>
  <si>
    <t xml:space="preserve">TTGCTCGAAGGTCAGTTGCA</t>
  </si>
  <si>
    <t xml:space="preserve">TAGTTTGCTCGAAGGTCAGTTGCA</t>
  </si>
  <si>
    <t xml:space="preserve">AAACTGCAACTGACCTTCGAGCAA</t>
  </si>
  <si>
    <t xml:space="preserve">GGTGCCCTCCAGCCCCAACG</t>
  </si>
  <si>
    <t xml:space="preserve">TAGTGGTGCCCTCCAGCCCCAACG</t>
  </si>
  <si>
    <t xml:space="preserve">AAACCGTTGGGGCTGGAGGGCACC</t>
  </si>
  <si>
    <t xml:space="preserve">PST_3824</t>
  </si>
  <si>
    <t xml:space="preserve">TTGTCCAATGGTGATATCGC</t>
  </si>
  <si>
    <t xml:space="preserve">TAGTTTGTCCAATGGTGATATCGC</t>
  </si>
  <si>
    <t xml:space="preserve">AAACGCGATATCACCATTGGACAA</t>
  </si>
  <si>
    <t xml:space="preserve">TTCCTTGCGGAGCCTGCGGA</t>
  </si>
  <si>
    <t xml:space="preserve">TAGTTTCCTTGCGGAGCCTGCGGA</t>
  </si>
  <si>
    <t xml:space="preserve">AAACTCCGCAGGCTCCGCAAGGAA</t>
  </si>
  <si>
    <t xml:space="preserve">GGGCGAACCTGGCCTGCTGC</t>
  </si>
  <si>
    <t xml:space="preserve">TAGTGGGCGAACCTGGCCTGCTGC</t>
  </si>
  <si>
    <t xml:space="preserve">AAACGCAGCAGGCCAGGTTCGCCC</t>
  </si>
  <si>
    <t xml:space="preserve">CAGGGAGAGTTTGCACATCT</t>
  </si>
  <si>
    <t xml:space="preserve">TAGTCAGGGAGAGTTTGCACATCT</t>
  </si>
  <si>
    <t xml:space="preserve">AAACAGATGTGCAAACTCTCCCTG</t>
  </si>
  <si>
    <t xml:space="preserve">PST_3825</t>
  </si>
  <si>
    <t xml:space="preserve">rfaE</t>
  </si>
  <si>
    <t xml:space="preserve">CGGGGCATGGACAGCTTCAT</t>
  </si>
  <si>
    <t xml:space="preserve">TAGTCGGGGCATGGACAGCTTCAT</t>
  </si>
  <si>
    <t xml:space="preserve">AAACATGAAGCTGTCCATGCCCCG</t>
  </si>
  <si>
    <t xml:space="preserve">GAACAGGGGCTTGGTCGAAA</t>
  </si>
  <si>
    <t xml:space="preserve">TAGTGAACAGGGGCTTGGTCGAAA</t>
  </si>
  <si>
    <t xml:space="preserve">AAACTTTCGACCAAGCCCCTGTTC</t>
  </si>
  <si>
    <t xml:space="preserve">ACCACCGGCACCGGCGCCTC</t>
  </si>
  <si>
    <t xml:space="preserve">TAGTACCACCGGCACCGGCGCCTC</t>
  </si>
  <si>
    <t xml:space="preserve">AAACGAGGCGCCGGTGCCGGTGGT</t>
  </si>
  <si>
    <t xml:space="preserve">GCCACGTTGGCCGCGCCACC</t>
  </si>
  <si>
    <t xml:space="preserve">TAGTGCCACGTTGGCCGCGCCACC</t>
  </si>
  <si>
    <t xml:space="preserve">AAACGGTGGCGCGGCCAACGTGGC</t>
  </si>
  <si>
    <t xml:space="preserve">PST_3826</t>
  </si>
  <si>
    <t xml:space="preserve">GGATCTAGCAGGGGCTGGTG</t>
  </si>
  <si>
    <t xml:space="preserve">TAGTGGATCTAGCAGGGGCTGGTG</t>
  </si>
  <si>
    <t xml:space="preserve">AAACCACCAGCCCCTGCTAGATCC</t>
  </si>
  <si>
    <t xml:space="preserve">TTGAAGATCACGTCGAGCTT</t>
  </si>
  <si>
    <t xml:space="preserve">TAGTTTGAAGATCACGTCGAGCTT</t>
  </si>
  <si>
    <t xml:space="preserve">AAACAAGCTCGACGTGATCTTCAA</t>
  </si>
  <si>
    <t xml:space="preserve">GGCCAATAGGTCCGGCGCCT</t>
  </si>
  <si>
    <t xml:space="preserve">TAGTGGCCAATAGGTCCGGCGCCT</t>
  </si>
  <si>
    <t xml:space="preserve">AAACAGGCGCCGGACCTATTGGCC</t>
  </si>
  <si>
    <t xml:space="preserve">GCGCACCGCGTTGATCAGGT</t>
  </si>
  <si>
    <t xml:space="preserve">TAGTGCGCACCGCGTTGATCAGGT</t>
  </si>
  <si>
    <t xml:space="preserve">AAACACCTGATCAACGCGGTGCGC</t>
  </si>
  <si>
    <t xml:space="preserve">PST_3827</t>
  </si>
  <si>
    <t xml:space="preserve">TACCGGCAGACTGTTCCAGC</t>
  </si>
  <si>
    <t xml:space="preserve">TAGTTACCGGCAGACTGTTCCAGC</t>
  </si>
  <si>
    <t xml:space="preserve">AAACGCTGGAACAGTCTGCCGGTA</t>
  </si>
  <si>
    <t xml:space="preserve">CCTCATGGGCGATCCAGGCC</t>
  </si>
  <si>
    <t xml:space="preserve">TAGTCCTCATGGGCGATCCAGGCC</t>
  </si>
  <si>
    <t xml:space="preserve">AAACGGCCTGGATCGCCCATGAGG</t>
  </si>
  <si>
    <t xml:space="preserve">GAACAGATGGTCGGCGAGCC</t>
  </si>
  <si>
    <t xml:space="preserve">TAGTGAACAGATGGTCGGCGAGCC</t>
  </si>
  <si>
    <t xml:space="preserve">AAACGGCTCGCCGACCATCTGTTC</t>
  </si>
  <si>
    <t xml:space="preserve">GCATAGCGATAGTCCTCCCT</t>
  </si>
  <si>
    <t xml:space="preserve">TAGTGCATAGCGATAGTCCTCCCT</t>
  </si>
  <si>
    <t xml:space="preserve">AAACAGGGAGGACTATCGCTATGC</t>
  </si>
  <si>
    <t xml:space="preserve">PST_3828</t>
  </si>
  <si>
    <t xml:space="preserve">GTTCGCGCCAGGCACGCCAA</t>
  </si>
  <si>
    <t xml:space="preserve">TAGTGTTCGCGCCAGGCACGCCAA</t>
  </si>
  <si>
    <t xml:space="preserve">AAACTTGGCGTGCCTGGCGCGAAC</t>
  </si>
  <si>
    <t xml:space="preserve">CCAGATCTCGGCATAGGTGG</t>
  </si>
  <si>
    <t xml:space="preserve">TAGTCCAGATCTCGGCATAGGTGG</t>
  </si>
  <si>
    <t xml:space="preserve">AAACCCACCTATGCCGAGATCTGG</t>
  </si>
  <si>
    <t xml:space="preserve">CTCGACGACGTCAGGATGCG</t>
  </si>
  <si>
    <t xml:space="preserve">TAGTCTCGACGACGTCAGGATGCG</t>
  </si>
  <si>
    <t xml:space="preserve">AAACCGCATCCTGACGTCGTCGAG</t>
  </si>
  <si>
    <t xml:space="preserve">TCCCAGGCCAGATAGCGCAC</t>
  </si>
  <si>
    <t xml:space="preserve">TAGTTCCCAGGCCAGATAGCGCAC</t>
  </si>
  <si>
    <t xml:space="preserve">AAACGTGCGCTATCTGGCCTGGGA</t>
  </si>
  <si>
    <t xml:space="preserve">PST_3829</t>
  </si>
  <si>
    <t xml:space="preserve">AGCGCTCGATTTCTTCCTGC</t>
  </si>
  <si>
    <t xml:space="preserve">TAGTAGCGCTCGATTTCTTCCTGC</t>
  </si>
  <si>
    <t xml:space="preserve">AAACGCAGGAAGAAATCGAGCGCT</t>
  </si>
  <si>
    <t xml:space="preserve">CTCGACCCATTCACCCGGAA</t>
  </si>
  <si>
    <t xml:space="preserve">TAGTCTCGACCCATTCACCCGGAA</t>
  </si>
  <si>
    <t xml:space="preserve">AAACTTCCGGGTGAATGGGTCGAG</t>
  </si>
  <si>
    <t xml:space="preserve">CCGCCCCGCCGTTCATTCGG</t>
  </si>
  <si>
    <t xml:space="preserve">TAGTCCGCCCCGCCGTTCATTCGG</t>
  </si>
  <si>
    <t xml:space="preserve">AAACCCGAATGAACGGCGGGGCGG</t>
  </si>
  <si>
    <t xml:space="preserve">ATAAAGCAGCTGGCCATCAT</t>
  </si>
  <si>
    <t xml:space="preserve">TAGTATAAAGCAGCTGGCCATCAT</t>
  </si>
  <si>
    <t xml:space="preserve">AAACATGATGGCCAGCTGCTTTAT</t>
  </si>
  <si>
    <t xml:space="preserve">PST_3830</t>
  </si>
  <si>
    <t xml:space="preserve">msbA</t>
  </si>
  <si>
    <t xml:space="preserve">GCTGGATTGCTGGGTAGAAT</t>
  </si>
  <si>
    <t xml:space="preserve">TAGTGCTGGATTGCTGGGTAGAAT</t>
  </si>
  <si>
    <t xml:space="preserve">AAACATTCTACCCAGCAATCCAGC</t>
  </si>
  <si>
    <t xml:space="preserve">CAGCGAACAGTCCCCAGTAG</t>
  </si>
  <si>
    <t xml:space="preserve">TAGTCAGCGAACAGTCCCCAGTAG</t>
  </si>
  <si>
    <t xml:space="preserve">AAACCTACTGGGGACTGTTCGCTG</t>
  </si>
  <si>
    <t xml:space="preserve">CGAAAATCAGGAAGCCAAAC</t>
  </si>
  <si>
    <t xml:space="preserve">TAGTCGAAAATCAGGAAGCCAAAC</t>
  </si>
  <si>
    <t xml:space="preserve">AAACGTTTGGCTTCCTGATTTTCG</t>
  </si>
  <si>
    <t xml:space="preserve">GTAGCCGAGCATCGGCTGGG</t>
  </si>
  <si>
    <t xml:space="preserve">TAGTGTAGCCGAGCATCGGCTGGG</t>
  </si>
  <si>
    <t xml:space="preserve">AAACCCCAGCCGATGCTCGGCTAC</t>
  </si>
  <si>
    <t xml:space="preserve">PST_3831</t>
  </si>
  <si>
    <t xml:space="preserve">TGGCTAAGGCAATAACCTTC</t>
  </si>
  <si>
    <t xml:space="preserve">TAGTTGGCTAAGGCAATAACCTTC</t>
  </si>
  <si>
    <t xml:space="preserve">AAACGAAGGTTATTGCCTTAGCCA</t>
  </si>
  <si>
    <t xml:space="preserve">TATCTTTAAGAACAAGCCAT</t>
  </si>
  <si>
    <t xml:space="preserve">TAGTTATCTTTAAGAACAAGCCAT</t>
  </si>
  <si>
    <t xml:space="preserve">AAACATGGCTTGTTCTTAAAGATA</t>
  </si>
  <si>
    <t xml:space="preserve">GCCAAGGCTGACGACGAGTA</t>
  </si>
  <si>
    <t xml:space="preserve">TAGTGCCAAGGCTGACGACGAGTA</t>
  </si>
  <si>
    <t xml:space="preserve">AAACTACTCGTCGTCAGCCTTGGC</t>
  </si>
  <si>
    <t xml:space="preserve">TTGGCGAAACGCATGGCGGC</t>
  </si>
  <si>
    <t xml:space="preserve">TAGTTTGGCGAAACGCATGGCGGC</t>
  </si>
  <si>
    <t xml:space="preserve">AAACGCCGCCATGCGTTTCGCCAA</t>
  </si>
  <si>
    <t xml:space="preserve">PST_3832</t>
  </si>
  <si>
    <t xml:space="preserve">AATAGCGCTGCGTACACCCA</t>
  </si>
  <si>
    <t xml:space="preserve">TAGTAATAGCGCTGCGTACACCCA</t>
  </si>
  <si>
    <t xml:space="preserve">AAACTGGGTGTACGCAGCGCTATT</t>
  </si>
  <si>
    <t xml:space="preserve">ACAGCGGCAGGTAGAACGCT</t>
  </si>
  <si>
    <t xml:space="preserve">TAGTACAGCGGCAGGTAGAACGCT</t>
  </si>
  <si>
    <t xml:space="preserve">AAACAGCGTTCTACCTGCCGCTGT</t>
  </si>
  <si>
    <t xml:space="preserve">GAAGATATTATTGGTCGCTT</t>
  </si>
  <si>
    <t xml:space="preserve">TAGTGAAGATATTATTGGTCGCTT</t>
  </si>
  <si>
    <t xml:space="preserve">AAACAAGCGACCAATAATATCTTC</t>
  </si>
  <si>
    <t xml:space="preserve">ACCCCAGACAGGGTAAGGCC</t>
  </si>
  <si>
    <t xml:space="preserve">TAGTACCCCAGACAGGGTAAGGCC</t>
  </si>
  <si>
    <t xml:space="preserve">AAACGGCCTTACCCTGTCTGGGGT</t>
  </si>
  <si>
    <t xml:space="preserve">PST_3833</t>
  </si>
  <si>
    <t xml:space="preserve">GGTCGTTGCGCCCCTTGCCA</t>
  </si>
  <si>
    <t xml:space="preserve">TAGTGGTCGTTGCGCCCCTTGCCA</t>
  </si>
  <si>
    <t xml:space="preserve">AAACTGGCAAGGGGCGCAACGACC</t>
  </si>
  <si>
    <t xml:space="preserve">CACCAAAATTGCGCTGACCG</t>
  </si>
  <si>
    <t xml:space="preserve">TAGTCACCAAAATTGCGCTGACCG</t>
  </si>
  <si>
    <t xml:space="preserve">AAACCGGTCAGCGCAATTTTGGTG</t>
  </si>
  <si>
    <t xml:space="preserve">GCCAGCATTTCGACCAAAAG</t>
  </si>
  <si>
    <t xml:space="preserve">TAGTGCCAGCATTTCGACCAAAAG</t>
  </si>
  <si>
    <t xml:space="preserve">AAACCTTTTGGTCGAAATGCTGGC</t>
  </si>
  <si>
    <t xml:space="preserve">TCTATAGGCGCATAAACCAC</t>
  </si>
  <si>
    <t xml:space="preserve">TAGTTCTATAGGCGCATAAACCAC</t>
  </si>
  <si>
    <t xml:space="preserve">AAACGTGGTTTATGCGCCTATAGA</t>
  </si>
  <si>
    <t xml:space="preserve">PST_3834</t>
  </si>
  <si>
    <t xml:space="preserve">GTGATCCAGGGCACAACGAA</t>
  </si>
  <si>
    <t xml:space="preserve">TAGTGTGATCCAGGGCACAACGAA</t>
  </si>
  <si>
    <t xml:space="preserve">AAACTTCGTTGTGCCCTGGATCAC</t>
  </si>
  <si>
    <t xml:space="preserve">AGGCTGAACCGTTGTGCTGG</t>
  </si>
  <si>
    <t xml:space="preserve">TAGTAGGCTGAACCGTTGTGCTGG</t>
  </si>
  <si>
    <t xml:space="preserve">AAACCCAGCACAACGGTTCAGCCT</t>
  </si>
  <si>
    <t xml:space="preserve">GAAAATAACTATGCGGTCAT</t>
  </si>
  <si>
    <t xml:space="preserve">TAGTGAAAATAACTATGCGGTCAT</t>
  </si>
  <si>
    <t xml:space="preserve">AAACATGACCGCATAGTTATTTTC</t>
  </si>
  <si>
    <t xml:space="preserve">ACGTCGCAGCCTTTTCAGGC</t>
  </si>
  <si>
    <t xml:space="preserve">TAGTACGTCGCAGCCTTTTCAGGC</t>
  </si>
  <si>
    <t xml:space="preserve">AAACGCCTGAAAAGGCTGCGACGT</t>
  </si>
  <si>
    <t xml:space="preserve">PST_3835</t>
  </si>
  <si>
    <t xml:space="preserve">TAATATAGGGCGGATGGTCG</t>
  </si>
  <si>
    <t xml:space="preserve">TAGTTAATATAGGGCGGATGGTCG</t>
  </si>
  <si>
    <t xml:space="preserve">AAACCGACCATCCGCCCTATATTA</t>
  </si>
  <si>
    <t xml:space="preserve">GTTATGGTTGGCGGACAACT</t>
  </si>
  <si>
    <t xml:space="preserve">TAGTGTTATGGTTGGCGGACAACT</t>
  </si>
  <si>
    <t xml:space="preserve">AAACAGTTGTCCGCCAACCATAAC</t>
  </si>
  <si>
    <t xml:space="preserve">CGCCTCGACGATCTGCATCG</t>
  </si>
  <si>
    <t xml:space="preserve">TAGTCGCCTCGACGATCTGCATCG</t>
  </si>
  <si>
    <t xml:space="preserve">AAACCGATGCAGATCGTCGAGGCG</t>
  </si>
  <si>
    <t xml:space="preserve">CAGCTTGATCGCGTCGGCAC</t>
  </si>
  <si>
    <t xml:space="preserve">TAGTCAGCTTGATCGCGTCGGCAC</t>
  </si>
  <si>
    <t xml:space="preserve">AAACGTGCCGACGCGATCAAGCTG</t>
  </si>
  <si>
    <t xml:space="preserve">PST_3836</t>
  </si>
  <si>
    <t xml:space="preserve">AGCATCAGCTCTAGCTCTTT</t>
  </si>
  <si>
    <t xml:space="preserve">TAGTAGCATCAGCTCTAGCTCTTT</t>
  </si>
  <si>
    <t xml:space="preserve">AAACAAAGAGCTAGAGCTGATGCT</t>
  </si>
  <si>
    <t xml:space="preserve">TACATATTGGCTCGTACGCT</t>
  </si>
  <si>
    <t xml:space="preserve">TAGTTACATATTGGCTCGTACGCT</t>
  </si>
  <si>
    <t xml:space="preserve">AAACAGCGTACGAGCCAATATGTA</t>
  </si>
  <si>
    <t xml:space="preserve">ACTCATGCATGAAATATTTC</t>
  </si>
  <si>
    <t xml:space="preserve">TAGTACTCATGCATGAAATATTTC</t>
  </si>
  <si>
    <t xml:space="preserve">AAACGAAATATTTCATGCATGAGT</t>
  </si>
  <si>
    <t xml:space="preserve">GTAAATGCAACAATGCCTAG</t>
  </si>
  <si>
    <t xml:space="preserve">TAGTGTAAATGCAACAATGCCTAG</t>
  </si>
  <si>
    <t xml:space="preserve">AAACCTAGGCATTGTTGCATTTAC</t>
  </si>
  <si>
    <t xml:space="preserve">PST_3837</t>
  </si>
  <si>
    <t xml:space="preserve">AACGCGAATAGCAACCTTCA</t>
  </si>
  <si>
    <t xml:space="preserve">TAGTAACGCGAATAGCAACCTTCA</t>
  </si>
  <si>
    <t xml:space="preserve">AAACTGAAGGTTGCTATTCGCGTT</t>
  </si>
  <si>
    <t xml:space="preserve">CAGACAACGCATCACATGGC</t>
  </si>
  <si>
    <t xml:space="preserve">TAGTCAGACAACGCATCACATGGC</t>
  </si>
  <si>
    <t xml:space="preserve">AAACGCCATGTGATGCGTTGTCTG</t>
  </si>
  <si>
    <t xml:space="preserve">GGCAACGAGCGCATCGGCCA</t>
  </si>
  <si>
    <t xml:space="preserve">TAGTGGCAACGAGCGCATCGGCCA</t>
  </si>
  <si>
    <t xml:space="preserve">AAACTGGCCGATGCGCTCGTTGCC</t>
  </si>
  <si>
    <t xml:space="preserve">GAACGCGCATGCCGCACCGC</t>
  </si>
  <si>
    <t xml:space="preserve">TAGTGAACGCGCATGCCGCACCGC</t>
  </si>
  <si>
    <t xml:space="preserve">AAACGCGGTGCGGCATGCGCGTTC</t>
  </si>
  <si>
    <t xml:space="preserve">PST_3838</t>
  </si>
  <si>
    <t xml:space="preserve">CGTTTGCTGCCGCCGCGGGC</t>
  </si>
  <si>
    <t xml:space="preserve">TAGTCGTTTGCTGCCGCCGCGGGC</t>
  </si>
  <si>
    <t xml:space="preserve">AAACGCCCGCGGCGGCAGCAAACG</t>
  </si>
  <si>
    <t xml:space="preserve">ACGACTTGATGTTCTTACGC</t>
  </si>
  <si>
    <t xml:space="preserve">TAGTACGACTTGATGTTCTTACGC</t>
  </si>
  <si>
    <t xml:space="preserve">AAACGCGTAAGAACATCAAGTCGT</t>
  </si>
  <si>
    <t xml:space="preserve">TCGATCGAGCGGGCAATCAT</t>
  </si>
  <si>
    <t xml:space="preserve">TAGTTCGATCGAGCGGGCAATCAT</t>
  </si>
  <si>
    <t xml:space="preserve">AAACATGATTGCCCGCTCGATCGA</t>
  </si>
  <si>
    <t xml:space="preserve">CGTCGGTCGAGACGATGACC</t>
  </si>
  <si>
    <t xml:space="preserve">TAGTCGTCGGTCGAGACGATGACC</t>
  </si>
  <si>
    <t xml:space="preserve">AAACGGTCATCGTCTCGACCGACG</t>
  </si>
  <si>
    <t xml:space="preserve">PST_3839</t>
  </si>
  <si>
    <t xml:space="preserve">wbpE</t>
  </si>
  <si>
    <t xml:space="preserve">GTGATGTCCTGACGGCCGTA</t>
  </si>
  <si>
    <t xml:space="preserve">TAGTGTGATGTCCTGACGGCCGTA</t>
  </si>
  <si>
    <t xml:space="preserve">AAACTACGGCCGTCAGGACATCAC</t>
  </si>
  <si>
    <t xml:space="preserve">CACCGCGTCAATATCGGCTT</t>
  </si>
  <si>
    <t xml:space="preserve">TAGTCACCGCGTCAATATCGGCTT</t>
  </si>
  <si>
    <t xml:space="preserve">AAACAAGCCGATATTGACGCGGTG</t>
  </si>
  <si>
    <t xml:space="preserve">GCACCATCGGACCCTGGGTG</t>
  </si>
  <si>
    <t xml:space="preserve">TAGTGCACCATCGGACCCTGGGTG</t>
  </si>
  <si>
    <t xml:space="preserve">AAACCACCCAGGGTCCGATGGTGC</t>
  </si>
  <si>
    <t xml:space="preserve">AGCGCCGACATGCTCTGCCA</t>
  </si>
  <si>
    <t xml:space="preserve">TAGTAGCGCCGACATGCTCTGCCA</t>
  </si>
  <si>
    <t xml:space="preserve">AAACTGGCAGAGCATGTCGGCGCT</t>
  </si>
  <si>
    <t xml:space="preserve">PST_3840</t>
  </si>
  <si>
    <t xml:space="preserve">CTTGTCGCCCTCGAACCTCT</t>
  </si>
  <si>
    <t xml:space="preserve">TAGTCTTGTCGCCCTCGAACCTCT</t>
  </si>
  <si>
    <t xml:space="preserve">AAACAGAGGTTCGAGGGCGACAAG</t>
  </si>
  <si>
    <t xml:space="preserve">AGTCGACGCCATCCAGCGCA</t>
  </si>
  <si>
    <t xml:space="preserve">TAGTAGTCGACGCCATCCAGCGCA</t>
  </si>
  <si>
    <t xml:space="preserve">AAACTGCGCTGGATGGCGTCGACT</t>
  </si>
  <si>
    <t xml:space="preserve">TTCAGCGGTCGGCACGATCT</t>
  </si>
  <si>
    <t xml:space="preserve">TAGTTTCAGCGGTCGGCACGATCT</t>
  </si>
  <si>
    <t xml:space="preserve">AAACAGATCGTGCCGACCGCTGAA</t>
  </si>
  <si>
    <t xml:space="preserve">TGGTCTTGACGCACTCGAAG</t>
  </si>
  <si>
    <t xml:space="preserve">TAGTTGGTCTTGACGCACTCGAAG</t>
  </si>
  <si>
    <t xml:space="preserve">AAACCTTCGAGTGCGTCAAGACCA</t>
  </si>
  <si>
    <t xml:space="preserve">PST_3841</t>
  </si>
  <si>
    <t xml:space="preserve">GCGCCAGATGAGGGACGGCC</t>
  </si>
  <si>
    <t xml:space="preserve">TAGTGCGCCAGATGAGGGACGGCC</t>
  </si>
  <si>
    <t xml:space="preserve">AAACGGCCGTCCCTCATCTGGCGC</t>
  </si>
  <si>
    <t xml:space="preserve">AAATGTGCCAGGCAGCAATG</t>
  </si>
  <si>
    <t xml:space="preserve">TAGTAAATGTGCCAGGCAGCAATG</t>
  </si>
  <si>
    <t xml:space="preserve">AAACCATTGCTGCCTGGCACATTT</t>
  </si>
  <si>
    <t xml:space="preserve">CTTCAATGTAGTGCGACGAC</t>
  </si>
  <si>
    <t xml:space="preserve">TAGTCTTCAATGTAGTGCGACGAC</t>
  </si>
  <si>
    <t xml:space="preserve">AAACGTCGTCGCACTACATTGAAG</t>
  </si>
  <si>
    <t xml:space="preserve">TAGCGAGCCTGCTCAAGCTG</t>
  </si>
  <si>
    <t xml:space="preserve">TAGTTAGCGAGCCTGCTCAAGCTG</t>
  </si>
  <si>
    <t xml:space="preserve">AAACCAGCTTGAGCAGGCTCGCTA</t>
  </si>
  <si>
    <t xml:space="preserve">PST_3842</t>
  </si>
  <si>
    <t xml:space="preserve">CCGAGAATCGTCAATGCCAC</t>
  </si>
  <si>
    <t xml:space="preserve">TAGTCCGAGAATCGTCAATGCCAC</t>
  </si>
  <si>
    <t xml:space="preserve">AAACGTGGCATTGACGATTCTCGG</t>
  </si>
  <si>
    <t xml:space="preserve">CATGACTGAGGGCGCCGGAA</t>
  </si>
  <si>
    <t xml:space="preserve">TAGTCATGACTGAGGGCGCCGGAA</t>
  </si>
  <si>
    <t xml:space="preserve">AAACTTCCGGCGCCCTCAGTCATG</t>
  </si>
  <si>
    <t xml:space="preserve">TCGATGTACAGGGCGGCGGA</t>
  </si>
  <si>
    <t xml:space="preserve">TAGTTCGATGTACAGGGCGGCGGA</t>
  </si>
  <si>
    <t xml:space="preserve">AAACTCCGCCGCCCTGTACATCGA</t>
  </si>
  <si>
    <t xml:space="preserve">CACGAAACGCTCTTCTTCGA</t>
  </si>
  <si>
    <t xml:space="preserve">TAGTCACGAAACGCTCTTCTTCGA</t>
  </si>
  <si>
    <t xml:space="preserve">AAACTCGAAGAAGAGCGTTTCGTG</t>
  </si>
  <si>
    <t xml:space="preserve">PST_3843</t>
  </si>
  <si>
    <t xml:space="preserve">CGGCACGGGCGAGTTCCATC</t>
  </si>
  <si>
    <t xml:space="preserve">TAGTCGGCACGGGCGAGTTCCATC</t>
  </si>
  <si>
    <t xml:space="preserve">AAACGATGGAACTCGCCCGTGCCG</t>
  </si>
  <si>
    <t xml:space="preserve">CGGCAATTCCGGCGAGCGCC</t>
  </si>
  <si>
    <t xml:space="preserve">TAGTCGGCAATTCCGGCGAGCGCC</t>
  </si>
  <si>
    <t xml:space="preserve">AAACGGCGCTCGCCGGAATTGCCG</t>
  </si>
  <si>
    <t xml:space="preserve">GCGGGTAGCGTCACGGTCAA</t>
  </si>
  <si>
    <t xml:space="preserve">TAGTGCGGGTAGCGTCACGGTCAA</t>
  </si>
  <si>
    <t xml:space="preserve">AAACTTGACCGTGACGCTACCCGC</t>
  </si>
  <si>
    <t xml:space="preserve">TTGGCGCAGCGTCAGCTCAC</t>
  </si>
  <si>
    <t xml:space="preserve">TAGTTTGGCGCAGCGTCAGCTCAC</t>
  </si>
  <si>
    <t xml:space="preserve">AAACGTGAGCTGACGCTGCGCCAA</t>
  </si>
  <si>
    <t xml:space="preserve">PST_3844</t>
  </si>
  <si>
    <t xml:space="preserve">CAGCCGCCCCGCCCGGTATT</t>
  </si>
  <si>
    <t xml:space="preserve">TAGTCAGCCGCCCCGCCCGGTATT</t>
  </si>
  <si>
    <t xml:space="preserve">AAACAATACCGGGCGGGGCGGCTG</t>
  </si>
  <si>
    <t xml:space="preserve">AGGCCGCCTCGCCCAGGTCC</t>
  </si>
  <si>
    <t xml:space="preserve">TAGTAGGCCGCCTCGCCCAGGTCC</t>
  </si>
  <si>
    <t xml:space="preserve">AAACGGACCTGGGCGAGGCGGCCT</t>
  </si>
  <si>
    <t xml:space="preserve">GCTCTGCCGCTTCAGGTAAT</t>
  </si>
  <si>
    <t xml:space="preserve">TAGTGCTCTGCCGCTTCAGGTAAT</t>
  </si>
  <si>
    <t xml:space="preserve">AAACATTACCTGAAGCGGCAGAGC</t>
  </si>
  <si>
    <t xml:space="preserve">GGCGGCGCAAGGTATGGGTC</t>
  </si>
  <si>
    <t xml:space="preserve">TAGTGGCGGCGCAAGGTATGGGTC</t>
  </si>
  <si>
    <t xml:space="preserve">AAACGACCCATACCTTGCGCCGCC</t>
  </si>
  <si>
    <t xml:space="preserve">PST_3845</t>
  </si>
  <si>
    <t xml:space="preserve">GGCAAAGGCCTGGGCGGCGT</t>
  </si>
  <si>
    <t xml:space="preserve">TAGTGGCAAAGGCCTGGGCGGCGT</t>
  </si>
  <si>
    <t xml:space="preserve">AAACACGCCGCCCAGGCCTTTGCC</t>
  </si>
  <si>
    <t xml:space="preserve">CGCGAACACCGCGTCCAGGT</t>
  </si>
  <si>
    <t xml:space="preserve">TAGTCGCGAACACCGCGTCCAGGT</t>
  </si>
  <si>
    <t xml:space="preserve">AAACACCTGGACGCGGTGTTCGCG</t>
  </si>
  <si>
    <t xml:space="preserve">GACAGCGGGTCCCGCGCAAT</t>
  </si>
  <si>
    <t xml:space="preserve">TAGTGACAGCGGGTCCCGCGCAAT</t>
  </si>
  <si>
    <t xml:space="preserve">AAACATTGCGCGGGACCCGCTGTC</t>
  </si>
  <si>
    <t xml:space="preserve">GCAACCCACCGCACTCGACC</t>
  </si>
  <si>
    <t xml:space="preserve">TAGTGCAACCCACCGCACTCGACC</t>
  </si>
  <si>
    <t xml:space="preserve">AAACGGTCGAGTGCGGTGGGTTGC</t>
  </si>
  <si>
    <t xml:space="preserve">PST_3846</t>
  </si>
  <si>
    <t xml:space="preserve">waaP</t>
  </si>
  <si>
    <t xml:space="preserve">GCGGGTGCAACCCGCCGGCA</t>
  </si>
  <si>
    <t xml:space="preserve">TAGTGCGGGTGCAACCCGCCGGCA</t>
  </si>
  <si>
    <t xml:space="preserve">AAACTGCCGGCGGGTTGCACCCGC</t>
  </si>
  <si>
    <t xml:space="preserve">GCCTACGGTTTCCGTCCGTA</t>
  </si>
  <si>
    <t xml:space="preserve">TAGTGCCTACGGTTTCCGTCCGTA</t>
  </si>
  <si>
    <t xml:space="preserve">AAACTACGGACGGAAACCGTAGGC</t>
  </si>
  <si>
    <t xml:space="preserve">GGCGATGCTCTTGGGTGACC</t>
  </si>
  <si>
    <t xml:space="preserve">TAGTGGCGATGCTCTTGGGTGACC</t>
  </si>
  <si>
    <t xml:space="preserve">AAACGGTCACCCAAGAGCATCGCC</t>
  </si>
  <si>
    <t xml:space="preserve">CTCTGTAGGAGCCAGCGTGC</t>
  </si>
  <si>
    <t xml:space="preserve">TAGTCTCTGTAGGAGCCAGCGTGC</t>
  </si>
  <si>
    <t xml:space="preserve">AAACGCACGCTGGCTCCTACAGAG</t>
  </si>
  <si>
    <t xml:space="preserve">PST_3847</t>
  </si>
  <si>
    <t xml:space="preserve">waaG</t>
  </si>
  <si>
    <t xml:space="preserve">ACTTGTAGAGGACGAAAGCC</t>
  </si>
  <si>
    <t xml:space="preserve">TAGTACTTGTAGAGGACGAAAGCC</t>
  </si>
  <si>
    <t xml:space="preserve">AAACGGCTTTCGTCCTCTACAAGT</t>
  </si>
  <si>
    <t xml:space="preserve">CGCGCTGCAGTCCGCCGAAG</t>
  </si>
  <si>
    <t xml:space="preserve">TAGTCGCGCTGCAGTCCGCCGAAG</t>
  </si>
  <si>
    <t xml:space="preserve">AAACCTTCGGCGGACTGCAGCGCG</t>
  </si>
  <si>
    <t xml:space="preserve">GCCGCGGCGCTGGCACTCGA</t>
  </si>
  <si>
    <t xml:space="preserve">TAGTGCCGCGGCGCTGGCACTCGA</t>
  </si>
  <si>
    <t xml:space="preserve">AAACTCGAGTGCCAGCGCCGCGGC</t>
  </si>
  <si>
    <t xml:space="preserve">TCGCGTAGACGCGGATGGCA</t>
  </si>
  <si>
    <t xml:space="preserve">TAGTTCGCGTAGACGCGGATGGCA</t>
  </si>
  <si>
    <t xml:space="preserve">AAACTGCCATCCGCGTCTACGCGA</t>
  </si>
  <si>
    <t xml:space="preserve">PST_3848</t>
  </si>
  <si>
    <t xml:space="preserve">waaC</t>
  </si>
  <si>
    <t xml:space="preserve">CGCCAGCGGCGGATCGCCAC</t>
  </si>
  <si>
    <t xml:space="preserve">TAGTCGCCAGCGGCGGATCGCCAC</t>
  </si>
  <si>
    <t xml:space="preserve">AAACGTGGCGATCCGCCGCTGGCG</t>
  </si>
  <si>
    <t xml:space="preserve">CCGGAGCGCAGGGTCGCGAA</t>
  </si>
  <si>
    <t xml:space="preserve">TAGTCCGGAGCGCAGGGTCGCGAA</t>
  </si>
  <si>
    <t xml:space="preserve">AAACTTCGCGACCCTGCGCTCCGG</t>
  </si>
  <si>
    <t xml:space="preserve">GGTCGTACCGACCTTCGCGC</t>
  </si>
  <si>
    <t xml:space="preserve">TAGTGGTCGTACCGACCTTCGCGC</t>
  </si>
  <si>
    <t xml:space="preserve">AAACGCGCGAAGGTCGGTACGACC</t>
  </si>
  <si>
    <t xml:space="preserve">GCCCCTGGGCATCGATCACC</t>
  </si>
  <si>
    <t xml:space="preserve">TAGTGCCCCTGGGCATCGATCACC</t>
  </si>
  <si>
    <t xml:space="preserve">AAACGGTGATCGATGCCCAGGGGC</t>
  </si>
  <si>
    <t xml:space="preserve">PST_3849</t>
  </si>
  <si>
    <t xml:space="preserve">waaF</t>
  </si>
  <si>
    <t xml:space="preserve">CGGAGGCGACGCAGCGGCAT</t>
  </si>
  <si>
    <t xml:space="preserve">TAGTCGGAGGCGACGCAGCGGCAT</t>
  </si>
  <si>
    <t xml:space="preserve">AAACATGCCGCTGCGTCGCCTCCG</t>
  </si>
  <si>
    <t xml:space="preserve">TTGAGCGCAGCGAAGCCCAA</t>
  </si>
  <si>
    <t xml:space="preserve">TAGTTTGAGCGCAGCGAAGCCCAA</t>
  </si>
  <si>
    <t xml:space="preserve">AAACTTGGGCTTCGCTGCGCTCAA</t>
  </si>
  <si>
    <t xml:space="preserve">AAGCACGACATCGGTAGGTT</t>
  </si>
  <si>
    <t xml:space="preserve">TAGTAAGCACGACATCGGTAGGTT</t>
  </si>
  <si>
    <t xml:space="preserve">AAACAACCTACCGATGTCGTGCTT</t>
  </si>
  <si>
    <t xml:space="preserve">ACCATGTCGCCGACCCAGCT</t>
  </si>
  <si>
    <t xml:space="preserve">TAGTACCATGTCGCCGACCCAGCT</t>
  </si>
  <si>
    <t xml:space="preserve">AAACAGCTGGGTCGGCGACATGGT</t>
  </si>
  <si>
    <t xml:space="preserve">PST_3850</t>
  </si>
  <si>
    <t xml:space="preserve">ilvE</t>
  </si>
  <si>
    <t xml:space="preserve">CCAGATCACACCATCACGAT</t>
  </si>
  <si>
    <t xml:space="preserve">TAGTCCAGATCACACCATCACGAT</t>
  </si>
  <si>
    <t xml:space="preserve">AAACATCGTGATGGTGTGATCTGG</t>
  </si>
  <si>
    <t xml:space="preserve">GGTGTGGGTCAGCACATGGG</t>
  </si>
  <si>
    <t xml:space="preserve">TAGTGGTGTGGGTCAGCACATGGG</t>
  </si>
  <si>
    <t xml:space="preserve">AAACCCCATGTGCTGACCCACACC</t>
  </si>
  <si>
    <t xml:space="preserve">CACACCCATCCCGTAATGCA</t>
  </si>
  <si>
    <t xml:space="preserve">TAGTCACACCCATCCCGTAATGCA</t>
  </si>
  <si>
    <t xml:space="preserve">AAACTGCATTACGGGATGGGTGTG</t>
  </si>
  <si>
    <t xml:space="preserve">CGTGCCGGCCGGGGTGTTGT</t>
  </si>
  <si>
    <t xml:space="preserve">TAGTCGTGCCGGCCGGGGTGTTGT</t>
  </si>
  <si>
    <t xml:space="preserve">AAACACAACACCCCGGCCGGCACG</t>
  </si>
  <si>
    <t xml:space="preserve">PST_3851</t>
  </si>
  <si>
    <t xml:space="preserve">glnE</t>
  </si>
  <si>
    <t xml:space="preserve">GGAGGCAATGCAACCAGCGT</t>
  </si>
  <si>
    <t xml:space="preserve">TAGTGGAGGCAATGCAACCAGCGT</t>
  </si>
  <si>
    <t xml:space="preserve">AAACACGCTGGTTGCATTGCCTCC</t>
  </si>
  <si>
    <t xml:space="preserve">CTGACAAAAGGCAGGAGCGA</t>
  </si>
  <si>
    <t xml:space="preserve">TAGTCTGACAAAAGGCAGGAGCGA</t>
  </si>
  <si>
    <t xml:space="preserve">AAACTCGCTCCTGCCTTTTGTCAG</t>
  </si>
  <si>
    <t xml:space="preserve">GGCAGCGAGGAACGACTCTT</t>
  </si>
  <si>
    <t xml:space="preserve">TAGTGGCAGCGAGGAACGACTCTT</t>
  </si>
  <si>
    <t xml:space="preserve">AAACAAGAGTCGTTCCTCGCTGCC</t>
  </si>
  <si>
    <t xml:space="preserve">GGCGTCCGGCAGGCTGCCGG</t>
  </si>
  <si>
    <t xml:space="preserve">TAGTGGCGTCCGGCAGGCTGCCGG</t>
  </si>
  <si>
    <t xml:space="preserve">AAACCCGGCAGCCTGCCGGACGCC</t>
  </si>
  <si>
    <t xml:space="preserve">PST_3852</t>
  </si>
  <si>
    <t xml:space="preserve">aceE</t>
  </si>
  <si>
    <t xml:space="preserve">GACGGGATCGAGATCTTGCA</t>
  </si>
  <si>
    <t xml:space="preserve">TAGTGACGGGATCGAGATCTTGCA</t>
  </si>
  <si>
    <t xml:space="preserve">AAACTGCAAGATCTCGATCCCGTC</t>
  </si>
  <si>
    <t xml:space="preserve">GAGGGCGTCCAGCCATTCCT</t>
  </si>
  <si>
    <t xml:space="preserve">TAGTGAGGGCGTCCAGCCATTCCT</t>
  </si>
  <si>
    <t xml:space="preserve">AAACAGGAATGGCTGGACGCCCTC</t>
  </si>
  <si>
    <t xml:space="preserve">TTCACCCTCGCGGTCGAGGA</t>
  </si>
  <si>
    <t xml:space="preserve">TAGTTTCACCCTCGCGGTCGAGGA</t>
  </si>
  <si>
    <t xml:space="preserve">AAACTCCTCGACCGCGAGGGTGAA</t>
  </si>
  <si>
    <t xml:space="preserve">GGGTCATCAGGTAGTGAGCG</t>
  </si>
  <si>
    <t xml:space="preserve">TAGTGGGTCATCAGGTAGTGAGCG</t>
  </si>
  <si>
    <t xml:space="preserve">AAACCGCTCACTACCTGATGACCC</t>
  </si>
  <si>
    <t xml:space="preserve">PST_3853</t>
  </si>
  <si>
    <t xml:space="preserve">aceF</t>
  </si>
  <si>
    <t xml:space="preserve">GCCGATGTCGGGTACGCGTA</t>
  </si>
  <si>
    <t xml:space="preserve">TAGTGCCGATGTCGGGTACGCGTA</t>
  </si>
  <si>
    <t xml:space="preserve">AAACTACGCGTACCCGACATCGGC</t>
  </si>
  <si>
    <t xml:space="preserve">TGCTCTGGTCGGCTTCGATA</t>
  </si>
  <si>
    <t xml:space="preserve">TAGTTGCTCTGGTCGGCTTCGATA</t>
  </si>
  <si>
    <t xml:space="preserve">AAACTATCGAAGCCGACCAGAGCA</t>
  </si>
  <si>
    <t xml:space="preserve">CCTTGTCGGACTCGAGCGTC</t>
  </si>
  <si>
    <t xml:space="preserve">TAGTCCTTGTCGGACTCGAGCGTC</t>
  </si>
  <si>
    <t xml:space="preserve">AAACGACGCTCGAGTCCGACAAGG</t>
  </si>
  <si>
    <t xml:space="preserve">GGGCGCCGGGATTTCCATGC</t>
  </si>
  <si>
    <t xml:space="preserve">TAGTGGGCGCCGGGATTTCCATGC</t>
  </si>
  <si>
    <t xml:space="preserve">AAACGCATGGAAATCCCGGCGCCC</t>
  </si>
  <si>
    <t xml:space="preserve">PST_3854</t>
  </si>
  <si>
    <t xml:space="preserve">ACGGTTTCACTCGCCATCAG</t>
  </si>
  <si>
    <t xml:space="preserve">TAGTACGGTTTCACTCGCCATCAG</t>
  </si>
  <si>
    <t xml:space="preserve">AAACCTGATGGCGAGTGAAACCGT</t>
  </si>
  <si>
    <t xml:space="preserve">GAGATAGCGCGCCGACTCGT</t>
  </si>
  <si>
    <t xml:space="preserve">TAGTGAGATAGCGCGCCGACTCGT</t>
  </si>
  <si>
    <t xml:space="preserve">AAACACGAGTCGGCGCGCTATCTC</t>
  </si>
  <si>
    <t xml:space="preserve">CTTCACGATCGCTGTTGGTC</t>
  </si>
  <si>
    <t xml:space="preserve">TAGTCTTCACGATCGCTGTTGGTC</t>
  </si>
  <si>
    <t xml:space="preserve">AAACGACCAACAGCGATCGTGAAG</t>
  </si>
  <si>
    <t xml:space="preserve">ATAACCGGCGCGTAATGCAT</t>
  </si>
  <si>
    <t xml:space="preserve">TAGTATAACCGGCGCGTAATGCAT</t>
  </si>
  <si>
    <t xml:space="preserve">AAACATGCATTACGCGCCGGTTAT</t>
  </si>
  <si>
    <t xml:space="preserve">PST_3855</t>
  </si>
  <si>
    <t xml:space="preserve">CGCCAGACGACTGGCGGCAT</t>
  </si>
  <si>
    <t xml:space="preserve">TAGTCGCCAGACGACTGGCGGCAT</t>
  </si>
  <si>
    <t xml:space="preserve">AAACATGCCGCCAGTCGTCTGGCG</t>
  </si>
  <si>
    <t xml:space="preserve">TGGCAACTGCGTCACAACCT</t>
  </si>
  <si>
    <t xml:space="preserve">TAGTTGGCAACTGCGTCACAACCT</t>
  </si>
  <si>
    <t xml:space="preserve">AAACAGGTTGTGACGCAGTTGCCA</t>
  </si>
  <si>
    <t xml:space="preserve">ATGCCGAGCCGTGATGGCAC</t>
  </si>
  <si>
    <t xml:space="preserve">TAGTATGCCGAGCCGTGATGGCAC</t>
  </si>
  <si>
    <t xml:space="preserve">AAACGTGCCATCACGGCTCGGCAT</t>
  </si>
  <si>
    <t xml:space="preserve">ATGTCCAACTGGATTCGTTC</t>
  </si>
  <si>
    <t xml:space="preserve">TAGTATGTCCAACTGGATTCGTTC</t>
  </si>
  <si>
    <t xml:space="preserve">AAACGAACGAATCCAGTTGGACAT</t>
  </si>
  <si>
    <t xml:space="preserve">PST_3856</t>
  </si>
  <si>
    <t xml:space="preserve">msrA</t>
  </si>
  <si>
    <t xml:space="preserve">TAGGCTACAAAAAGGCAGGC</t>
  </si>
  <si>
    <t xml:space="preserve">TAGTTAGGCTACAAAAAGGCAGGC</t>
  </si>
  <si>
    <t xml:space="preserve">AAACGCCTGCCTTTTTGTAGCCTA</t>
  </si>
  <si>
    <t xml:space="preserve">TGCGGGCCTCGATCGGGGGA</t>
  </si>
  <si>
    <t xml:space="preserve">TAGTTGCGGGCCTCGATCGGGGGA</t>
  </si>
  <si>
    <t xml:space="preserve">AAACTCCCCCGATCGAGGCCCGCA</t>
  </si>
  <si>
    <t xml:space="preserve">GGCAGCGCCTGTTCTGCCGT</t>
  </si>
  <si>
    <t xml:space="preserve">TAGTGGCAGCGCCTGTTCTGCCGT</t>
  </si>
  <si>
    <t xml:space="preserve">AAACACGGCAGAACAGGCGCTGCC</t>
  </si>
  <si>
    <t xml:space="preserve">GGCATCGCCGTCGAGCGGCC</t>
  </si>
  <si>
    <t xml:space="preserve">TAGTGGCATCGCCGTCGAGCGGCC</t>
  </si>
  <si>
    <t xml:space="preserve">AAACGGCCGCTCGACGGCGATGCC</t>
  </si>
  <si>
    <t xml:space="preserve">PST_3857</t>
  </si>
  <si>
    <t xml:space="preserve">TGCTTGGCAAACGGCGGACT</t>
  </si>
  <si>
    <t xml:space="preserve">TAGTTGCTTGGCAAACGGCGGACT</t>
  </si>
  <si>
    <t xml:space="preserve">AAACAGTCCGCCGTTTGCCAAGCA</t>
  </si>
  <si>
    <t xml:space="preserve">PST_3858</t>
  </si>
  <si>
    <t xml:space="preserve">CGGCGCTTGGTAGTCAGCCA</t>
  </si>
  <si>
    <t xml:space="preserve">TAGTCGGCGCTTGGTAGTCAGCCA</t>
  </si>
  <si>
    <t xml:space="preserve">AAACTGGCTGACTACCAAGCGCCG</t>
  </si>
  <si>
    <t xml:space="preserve">ACAAAACGCATGTCGCGCAG</t>
  </si>
  <si>
    <t xml:space="preserve">TAGTACAAAACGCATGTCGCGCAG</t>
  </si>
  <si>
    <t xml:space="preserve">AAACCTGCGCGACATGCGTTTTGT</t>
  </si>
  <si>
    <t xml:space="preserve">GGCAGCGCCTGCCAGAGCTT</t>
  </si>
  <si>
    <t xml:space="preserve">TAGTGGCAGCGCCTGCCAGAGCTT</t>
  </si>
  <si>
    <t xml:space="preserve">AAACAAGCTCTGGCAGGCGCTGCC</t>
  </si>
  <si>
    <t xml:space="preserve">TCGACCACCTCGGCCAGGGC</t>
  </si>
  <si>
    <t xml:space="preserve">TAGTTCGACCACCTCGGCCAGGGC</t>
  </si>
  <si>
    <t xml:space="preserve">AAACGCCCTGGCCGAGGTGGTCGA</t>
  </si>
  <si>
    <t xml:space="preserve">PST_3859</t>
  </si>
  <si>
    <t xml:space="preserve">CCGAGCAGCAACAGTACCGT</t>
  </si>
  <si>
    <t xml:space="preserve">TAGTCCGAGCAGCAACAGTACCGT</t>
  </si>
  <si>
    <t xml:space="preserve">AAACACGGTACTGTTGCTGCTCGG</t>
  </si>
  <si>
    <t xml:space="preserve">GCAGGAACAGCTCGCGAATG</t>
  </si>
  <si>
    <t xml:space="preserve">TAGTGCAGGAACAGCTCGCGAATG</t>
  </si>
  <si>
    <t xml:space="preserve">AAACCATTCGCGAGCTGTTCCTGC</t>
  </si>
  <si>
    <t xml:space="preserve">AGTCGGCGTGAGTGTCGAGC</t>
  </si>
  <si>
    <t xml:space="preserve">TAGTAGTCGGCGTGAGTGTCGAGC</t>
  </si>
  <si>
    <t xml:space="preserve">AAACGCTCGACACTCACGCCGACT</t>
  </si>
  <si>
    <t xml:space="preserve">CCAGCAATCTGCCATGGGCC</t>
  </si>
  <si>
    <t xml:space="preserve">TAGTCCAGCAATCTGCCATGGGCC</t>
  </si>
  <si>
    <t xml:space="preserve">AAACGGCCCATGGCAGATTGCTGG</t>
  </si>
  <si>
    <t xml:space="preserve">PST_3860</t>
  </si>
  <si>
    <t xml:space="preserve">TTGCAGCTGACCGGCAAGTC</t>
  </si>
  <si>
    <t xml:space="preserve">TAGTTTGCAGCTGACCGGCAAGTC</t>
  </si>
  <si>
    <t xml:space="preserve">AAACGACTTGCCGGTCAGCTGCAA</t>
  </si>
  <si>
    <t xml:space="preserve">GGGCATAGCGTAAACCTCAG</t>
  </si>
  <si>
    <t xml:space="preserve">TAGTGGGCATAGCGTAAACCTCAG</t>
  </si>
  <si>
    <t xml:space="preserve">AAACCTGAGGTTTACGCTATGCCC</t>
  </si>
  <si>
    <t xml:space="preserve">CGCAAGGGGGCCTTGTAATC</t>
  </si>
  <si>
    <t xml:space="preserve">TAGTCGCAAGGGGGCCTTGTAATC</t>
  </si>
  <si>
    <t xml:space="preserve">AAACGATTACAAGGCCCCCTTGCG</t>
  </si>
  <si>
    <t xml:space="preserve">GCAGCTCGTCACGTACGAAA</t>
  </si>
  <si>
    <t xml:space="preserve">TAGTGCAGCTCGTCACGTACGAAA</t>
  </si>
  <si>
    <t xml:space="preserve">AAACTTTCGTACGTGACGAGCTGC</t>
  </si>
  <si>
    <t xml:space="preserve">PST_3861</t>
  </si>
  <si>
    <t xml:space="preserve">TCCGGCGCCCATGAGGCTGT</t>
  </si>
  <si>
    <t xml:space="preserve">TAGTTCCGGCGCCCATGAGGCTGT</t>
  </si>
  <si>
    <t xml:space="preserve">AAACACAGCCTCATGGGCGCCGGA</t>
  </si>
  <si>
    <t xml:space="preserve">GCGCTGCTGACCGTTCTGGA</t>
  </si>
  <si>
    <t xml:space="preserve">TAGTGCGCTGCTGACCGTTCTGGA</t>
  </si>
  <si>
    <t xml:space="preserve">AAACTCCAGAACGGTCAGCAGCGC</t>
  </si>
  <si>
    <t xml:space="preserve">GGCGGAGGCGATGCTGGATG</t>
  </si>
  <si>
    <t xml:space="preserve">TAGTGGCGGAGGCGATGCTGGATG</t>
  </si>
  <si>
    <t xml:space="preserve">AAACCATCCAGCATCGCCTCCGCC</t>
  </si>
  <si>
    <t xml:space="preserve">ATTGCCCAGCGCGGGCGCAC</t>
  </si>
  <si>
    <t xml:space="preserve">TAGTATTGCCCAGCGCGGGCGCAC</t>
  </si>
  <si>
    <t xml:space="preserve">AAACGTGCGCCCGCGCTGGGCAAT</t>
  </si>
  <si>
    <t xml:space="preserve">PST_3862</t>
  </si>
  <si>
    <t xml:space="preserve">bioD</t>
  </si>
  <si>
    <t xml:space="preserve">ATCGGTACCGGCGACGAAGA</t>
  </si>
  <si>
    <t xml:space="preserve">TAGTATCGGTACCGGCGACGAAGA</t>
  </si>
  <si>
    <t xml:space="preserve">AAACTCTTCGTCGCCGGTACCGAT</t>
  </si>
  <si>
    <t xml:space="preserve">CAGCAGGCCGGCGGAGATGG</t>
  </si>
  <si>
    <t xml:space="preserve">TAGTCAGCAGGCCGGCGGAGATGG</t>
  </si>
  <si>
    <t xml:space="preserve">AAACCCATCTCCGCCGGCCTGCTG</t>
  </si>
  <si>
    <t xml:space="preserve">GGACAACCCCTGTGAGCGCG</t>
  </si>
  <si>
    <t xml:space="preserve">TAGTGGACAACCCCTGTGAGCGCG</t>
  </si>
  <si>
    <t xml:space="preserve">AAACCGCGCTCACAGGGGTTGTCC</t>
  </si>
  <si>
    <t xml:space="preserve">GATCGGCTTGATCGCCGCGG</t>
  </si>
  <si>
    <t xml:space="preserve">TAGTGATCGGCTTGATCGCCGCGG</t>
  </si>
  <si>
    <t xml:space="preserve">AAACCCGCGGCGATCAAGCCGATC</t>
  </si>
  <si>
    <t xml:space="preserve">PST_3863</t>
  </si>
  <si>
    <t xml:space="preserve">bioC</t>
  </si>
  <si>
    <t xml:space="preserve">GCGCTTGTCCGGCAACACGG</t>
  </si>
  <si>
    <t xml:space="preserve">TAGTGCGCTTGTCCGGCAACACGG</t>
  </si>
  <si>
    <t xml:space="preserve">AAACCCGTGTTGCCGGACAAGCGC</t>
  </si>
  <si>
    <t xml:space="preserve">GGGAAAAGGACGCGGCGACC</t>
  </si>
  <si>
    <t xml:space="preserve">TAGTGGGAAAAGGACGCGGCGACC</t>
  </si>
  <si>
    <t xml:space="preserve">AAACGGTCGCCGCGTCCTTTTCCC</t>
  </si>
  <si>
    <t xml:space="preserve">GTCGTAGCTGGCCGCAGCAC</t>
  </si>
  <si>
    <t xml:space="preserve">TAGTGTCGTAGCTGGCCGCAGCAC</t>
  </si>
  <si>
    <t xml:space="preserve">AAACGTGCTGCGGCCAGCTACGAC</t>
  </si>
  <si>
    <t xml:space="preserve">GCCGACCTGTCGCTGCAGAG</t>
  </si>
  <si>
    <t xml:space="preserve">TAGTGCCGACCTGTCGCTGCAGAG</t>
  </si>
  <si>
    <t xml:space="preserve">AAACCTCTGCAGCGACAGGTCGGC</t>
  </si>
  <si>
    <t xml:space="preserve">PST_3864</t>
  </si>
  <si>
    <t xml:space="preserve">bioH</t>
  </si>
  <si>
    <t xml:space="preserve">AAAGGCCCAGCCCGGCAGCA</t>
  </si>
  <si>
    <t xml:space="preserve">TAGTAAAGGCCCAGCCCGGCAGCA</t>
  </si>
  <si>
    <t xml:space="preserve">AAACTGCTGCCGGGCTGGGCCTTT</t>
  </si>
  <si>
    <t xml:space="preserve">CCAGTGGTTCGAGGGCAGCG</t>
  </si>
  <si>
    <t xml:space="preserve">TAGTCCAGTGGTTCGAGGGCAGCG</t>
  </si>
  <si>
    <t xml:space="preserve">AAACCGCTGCCCTCGAACCACTGG</t>
  </si>
  <si>
    <t xml:space="preserve">TTCACGTTCGCGCAGCAGTT</t>
  </si>
  <si>
    <t xml:space="preserve">TAGTTTCACGTTCGCGCAGCAGTT</t>
  </si>
  <si>
    <t xml:space="preserve">AAACAACTGCTGCGCGAACGTGAA</t>
  </si>
  <si>
    <t xml:space="preserve">GCGATCTCGACCTGCAAACG</t>
  </si>
  <si>
    <t xml:space="preserve">TAGTGCGATCTCGACCTGCAAACG</t>
  </si>
  <si>
    <t xml:space="preserve">AAACCGTTTGCAGGTCGAGATCGC</t>
  </si>
  <si>
    <t xml:space="preserve">PST_3865</t>
  </si>
  <si>
    <t xml:space="preserve">bioF</t>
  </si>
  <si>
    <t xml:space="preserve">GGAAGCGAGATCGAATGTCA</t>
  </si>
  <si>
    <t xml:space="preserve">TAGTGGAAGCGAGATCGAATGTCA</t>
  </si>
  <si>
    <t xml:space="preserve">AAACTGACATTCGATCTCGCTTCC</t>
  </si>
  <si>
    <t xml:space="preserve">GGCACGACGGGCGGCGAGAC</t>
  </si>
  <si>
    <t xml:space="preserve">TAGTGGCACGACGGGCGGCGAGAC</t>
  </si>
  <si>
    <t xml:space="preserve">AAACGTCTCGCCGCCCGTCGTGCC</t>
  </si>
  <si>
    <t xml:space="preserve">ACGCCGGCGGTAGAGGTGCT</t>
  </si>
  <si>
    <t xml:space="preserve">TAGTACGCCGGCGGTAGAGGTGCT</t>
  </si>
  <si>
    <t xml:space="preserve">AAACAGCACCTCTACCGCCGGCGT</t>
  </si>
  <si>
    <t xml:space="preserve">CCTTGCGGACTCTGCAGCAG</t>
  </si>
  <si>
    <t xml:space="preserve">TAGTCCTTGCGGACTCTGCAGCAG</t>
  </si>
  <si>
    <t xml:space="preserve">AAACCTGCTGCAGAGTCCGCAAGG</t>
  </si>
  <si>
    <t xml:space="preserve">PST_3866</t>
  </si>
  <si>
    <t xml:space="preserve">bioB</t>
  </si>
  <si>
    <t xml:space="preserve">GAAGCGGAGGTGGCGCTCAT</t>
  </si>
  <si>
    <t xml:space="preserve">TAGTGAAGCGGAGGTGGCGCTCAT</t>
  </si>
  <si>
    <t xml:space="preserve">AAACATGAGCGCCACCTCCGCTTC</t>
  </si>
  <si>
    <t xml:space="preserve">GGACCAGTCGTGGCGGGTAA</t>
  </si>
  <si>
    <t xml:space="preserve">TAGTGGACCAGTCGTGGCGGGTAA</t>
  </si>
  <si>
    <t xml:space="preserve">AAACTTACCCGCCACGACTGGTCC</t>
  </si>
  <si>
    <t xml:space="preserve">GAGCGCCTTGACCTCGGCGA</t>
  </si>
  <si>
    <t xml:space="preserve">TAGTGAGCGCCTTGACCTCGGCGA</t>
  </si>
  <si>
    <t xml:space="preserve">AAACTCGCCGAGGTCAAGGCGCTC</t>
  </si>
  <si>
    <t xml:space="preserve">TGGAACAGCAGGTCGTTGAA</t>
  </si>
  <si>
    <t xml:space="preserve">TAGTTGGAACAGCAGGTCGTTGAA</t>
  </si>
  <si>
    <t xml:space="preserve">AAACTTCAACGACCTGCTGTTCCA</t>
  </si>
  <si>
    <t xml:space="preserve">PST_3867</t>
  </si>
  <si>
    <t xml:space="preserve">GCTCGTCGCAGAGCAGGCAG</t>
  </si>
  <si>
    <t xml:space="preserve">TAGTGCTCGTCGCAGAGCAGGCAG</t>
  </si>
  <si>
    <t xml:space="preserve">AAACCTGCCTGCTCTGCGACGAGC</t>
  </si>
  <si>
    <t xml:space="preserve">GCCTCGCAGGGGCTGCACAG</t>
  </si>
  <si>
    <t xml:space="preserve">TAGTGCCTCGCAGGGGCTGCACAG</t>
  </si>
  <si>
    <t xml:space="preserve">AAACCTGTGCAGCCCCTGCGAGGC</t>
  </si>
  <si>
    <t xml:space="preserve">GTGCACCGACCGTCGAGCCA</t>
  </si>
  <si>
    <t xml:space="preserve">TAGTGTGCACCGACCGTCGAGCCA</t>
  </si>
  <si>
    <t xml:space="preserve">AAACTGGCTCGACGGTCGGTGCAC</t>
  </si>
  <si>
    <t xml:space="preserve">CCAGCCCGCGGCTGGGCAGC</t>
  </si>
  <si>
    <t xml:space="preserve">TAGTCCAGCCCGCGGCTGGGCAGC</t>
  </si>
  <si>
    <t xml:space="preserve">AAACGCTGCCCAGCCGCGGGCTGG</t>
  </si>
  <si>
    <t xml:space="preserve">PST_3868</t>
  </si>
  <si>
    <t xml:space="preserve">CGTGAGTGTGTCGAAGGGAT</t>
  </si>
  <si>
    <t xml:space="preserve">TAGTCGTGAGTGTGTCGAAGGGAT</t>
  </si>
  <si>
    <t xml:space="preserve">AAACATCCCTTCGACACACTCACG</t>
  </si>
  <si>
    <t xml:space="preserve">ACGGCGTCGAGGACCAGGTC</t>
  </si>
  <si>
    <t xml:space="preserve">TAGTACGGCGTCGAGGACCAGGTC</t>
  </si>
  <si>
    <t xml:space="preserve">AAACGACCTGGTCCTCGACGCCGT</t>
  </si>
  <si>
    <t xml:space="preserve">CCAGCACGCGGGCATCGCTG</t>
  </si>
  <si>
    <t xml:space="preserve">TAGTCCAGCACGCGGGCATCGCTG</t>
  </si>
  <si>
    <t xml:space="preserve">AAACCAGCGATGCCCGCGTGCTGG</t>
  </si>
  <si>
    <t xml:space="preserve">CGATGCCCACCTGATAGACG</t>
  </si>
  <si>
    <t xml:space="preserve">TAGTCGATGCCCACCTGATAGACG</t>
  </si>
  <si>
    <t xml:space="preserve">AAACCGTCTATCAGGTGGGCATCG</t>
  </si>
  <si>
    <t xml:space="preserve">PST_3869</t>
  </si>
  <si>
    <t xml:space="preserve">TGCCGGCATGGAAGGCGTGG</t>
  </si>
  <si>
    <t xml:space="preserve">TAGTTGCCGGCATGGAAGGCGTGG</t>
  </si>
  <si>
    <t xml:space="preserve">AAACCCACGCCTTCCATGCCGGCA</t>
  </si>
  <si>
    <t xml:space="preserve">GGTGTTTGAGCACATCGGCG</t>
  </si>
  <si>
    <t xml:space="preserve">TAGTGGTGTTTGAGCACATCGGCG</t>
  </si>
  <si>
    <t xml:space="preserve">AAACCGCCGATGTGCTCAAACACC</t>
  </si>
  <si>
    <t xml:space="preserve">CGAAGATCCGGCTCAACACC</t>
  </si>
  <si>
    <t xml:space="preserve">TAGTCGAAGATCCGGCTCAACACC</t>
  </si>
  <si>
    <t xml:space="preserve">AAACGGTGTTGAGCCGGATCTTCG</t>
  </si>
  <si>
    <t xml:space="preserve">GCTGTCGAGGTAGGCGAACG</t>
  </si>
  <si>
    <t xml:space="preserve">TAGTGCTGTCGAGGTAGGCGAACG</t>
  </si>
  <si>
    <t xml:space="preserve">AAACCGTTCGCCTACCTCGACAGC</t>
  </si>
  <si>
    <t xml:space="preserve">PST_3870</t>
  </si>
  <si>
    <t xml:space="preserve">AAGAGATCGCGCAGGTTCAT</t>
  </si>
  <si>
    <t xml:space="preserve">TAGTAAGAGATCGCGCAGGTTCAT</t>
  </si>
  <si>
    <t xml:space="preserve">AAACATGAACCTGCGCGATCTCTT</t>
  </si>
  <si>
    <t xml:space="preserve">CCATGGGTGCCTGGATGATC</t>
  </si>
  <si>
    <t xml:space="preserve">TAGTCCATGGGTGCCTGGATGATC</t>
  </si>
  <si>
    <t xml:space="preserve">AAACGATCATCCAGGCACCCATGG</t>
  </si>
  <si>
    <t xml:space="preserve">CAGCAGGTGATTCTGCGCAC</t>
  </si>
  <si>
    <t xml:space="preserve">TAGTCAGCAGGTGATTCTGCGCAC</t>
  </si>
  <si>
    <t xml:space="preserve">AAACGTGCGCAGAATCACCTGCTG</t>
  </si>
  <si>
    <t xml:space="preserve">GCCGGCCTCGCACACCGCCG</t>
  </si>
  <si>
    <t xml:space="preserve">TAGTGCCGGCCTCGCACACCGCCG</t>
  </si>
  <si>
    <t xml:space="preserve">AAACCGGCGGTGTGCGAGGCCGGC</t>
  </si>
  <si>
    <t xml:space="preserve">PST_3871</t>
  </si>
  <si>
    <t xml:space="preserve">crtZ</t>
  </si>
  <si>
    <t xml:space="preserve">CGTATTGGTCAGTGGACTCA</t>
  </si>
  <si>
    <t xml:space="preserve">TAGTCGTATTGGTCAGTGGACTCA</t>
  </si>
  <si>
    <t xml:space="preserve">AAACTGAGTCCACTGACCAATACG</t>
  </si>
  <si>
    <t xml:space="preserve">GACTTCCATGCCGGCCAGGG</t>
  </si>
  <si>
    <t xml:space="preserve">TAGTGACTTCCATGCCGGCCAGGG</t>
  </si>
  <si>
    <t xml:space="preserve">AAACCCCTGGCCGGCATGGAAGTC</t>
  </si>
  <si>
    <t xml:space="preserve">ACCAGCCGTTGCGTGGCTCG</t>
  </si>
  <si>
    <t xml:space="preserve">TAGTACCAGCCGTTGCGTGGCTCG</t>
  </si>
  <si>
    <t xml:space="preserve">AAACCGAGCCACGCAACGGCTGGT</t>
  </si>
  <si>
    <t xml:space="preserve">CAGCGAACACCACCGCATAG</t>
  </si>
  <si>
    <t xml:space="preserve">TAGTCAGCGAACACCACCGCATAG</t>
  </si>
  <si>
    <t xml:space="preserve">AAACCTATGCGGTGGTGTTCGCTG</t>
  </si>
  <si>
    <t xml:space="preserve">PST_3872</t>
  </si>
  <si>
    <t xml:space="preserve">GCCGACATTGATCGCCTGAG</t>
  </si>
  <si>
    <t xml:space="preserve">TAGTGCCGACATTGATCGCCTGAG</t>
  </si>
  <si>
    <t xml:space="preserve">AAACCTCAGGCGATCAATGTCGGC</t>
  </si>
  <si>
    <t xml:space="preserve">CGCCGCCGCGGCGAAGCTCT</t>
  </si>
  <si>
    <t xml:space="preserve">TAGTCGCCGCCGCGGCGAAGCTCT</t>
  </si>
  <si>
    <t xml:space="preserve">AAACAGAGCTTCGCCGCGGCGGCG</t>
  </si>
  <si>
    <t xml:space="preserve">AGAGCATCACCGCGCTCTGG</t>
  </si>
  <si>
    <t xml:space="preserve">TAGTAGAGCATCACCGCGCTCTGG</t>
  </si>
  <si>
    <t xml:space="preserve">AAACCCAGAGCGCGGTGATGCTCT</t>
  </si>
  <si>
    <t xml:space="preserve">ATCGTCGCAATGACGGCACC</t>
  </si>
  <si>
    <t xml:space="preserve">TAGTATCGTCGCAATGACGGCACC</t>
  </si>
  <si>
    <t xml:space="preserve">AAACGGTGCCGTCATTGCGACGAT</t>
  </si>
  <si>
    <t xml:space="preserve">PST_3873</t>
  </si>
  <si>
    <t xml:space="preserve">GCCTCACACCGCCTGTTGCC</t>
  </si>
  <si>
    <t xml:space="preserve">TAGTGCCTCACACCGCCTGTTGCC</t>
  </si>
  <si>
    <t xml:space="preserve">AAACGGCAACAGGCGGTGTGAGGC</t>
  </si>
  <si>
    <t xml:space="preserve">CAACGCCAGCCCGCCGAAAC</t>
  </si>
  <si>
    <t xml:space="preserve">TAGTCAACGCCAGCCCGCCGAAAC</t>
  </si>
  <si>
    <t xml:space="preserve">AAACGTTTCGGCGGGCTGGCGTTG</t>
  </si>
  <si>
    <t xml:space="preserve">GGACGCCGGCGCGCTGCAGG</t>
  </si>
  <si>
    <t xml:space="preserve">TAGTGGACGCCGGCGCGCTGCAGG</t>
  </si>
  <si>
    <t xml:space="preserve">AAACCCTGCAGCGCGCCGGCGTCC</t>
  </si>
  <si>
    <t xml:space="preserve">GCTTCTCCAGCAGCGTCGTC</t>
  </si>
  <si>
    <t xml:space="preserve">TAGTGCTTCTCCAGCAGCGTCGTC</t>
  </si>
  <si>
    <t xml:space="preserve">AAACGACGACGCTGCTGGAGAAGC</t>
  </si>
  <si>
    <t xml:space="preserve">PST_3874</t>
  </si>
  <si>
    <t xml:space="preserve">TGGCCAGGCCACCGCCAACC</t>
  </si>
  <si>
    <t xml:space="preserve">TAGTTGGCCAGGCCACCGCCAACC</t>
  </si>
  <si>
    <t xml:space="preserve">AAACGGTTGGCGGTGGCCTGGCCA</t>
  </si>
  <si>
    <t xml:space="preserve">GCGCAGGGCCAGCAACCCGT</t>
  </si>
  <si>
    <t xml:space="preserve">TAGTGCGCAGGGCCAGCAACCCGT</t>
  </si>
  <si>
    <t xml:space="preserve">AAACACGGGTTGCTGGCCCTGCGC</t>
  </si>
  <si>
    <t xml:space="preserve">CGCGCAGCTCCGGCCGCTGC</t>
  </si>
  <si>
    <t xml:space="preserve">TAGTCGCGCAGCTCCGGCCGCTGC</t>
  </si>
  <si>
    <t xml:space="preserve">AAACGCAGCGGCCGGAGCTGCGCG</t>
  </si>
  <si>
    <t xml:space="preserve">CGAGGGTTTCGCCCTGCTCC</t>
  </si>
  <si>
    <t xml:space="preserve">TAGTCGAGGGTTTCGCCCTGCTCC</t>
  </si>
  <si>
    <t xml:space="preserve">AAACGGAGCAGGGCGAAACCCTCG</t>
  </si>
  <si>
    <t xml:space="preserve">PST_3875</t>
  </si>
  <si>
    <t xml:space="preserve">ATTGCCGCAAAATGTGTCAT</t>
  </si>
  <si>
    <t xml:space="preserve">TAGTATTGCCGCAAAATGTGTCAT</t>
  </si>
  <si>
    <t xml:space="preserve">AAACATGACACATTTTGCGGCAAT</t>
  </si>
  <si>
    <t xml:space="preserve">CGCAAATGGCTGAGGAAGGG</t>
  </si>
  <si>
    <t xml:space="preserve">TAGTCGCAAATGGCTGAGGAAGGG</t>
  </si>
  <si>
    <t xml:space="preserve">AAACCCCTTCCTCAGCCATTTGCG</t>
  </si>
  <si>
    <t xml:space="preserve">GCCATGTTGCTGCAGCTGCC</t>
  </si>
  <si>
    <t xml:space="preserve">TAGTGCCATGTTGCTGCAGCTGCC</t>
  </si>
  <si>
    <t xml:space="preserve">AAACGGCAGCTGCAGCAACATGGC</t>
  </si>
  <si>
    <t xml:space="preserve">GCTGGATAAAGGTCACACGG</t>
  </si>
  <si>
    <t xml:space="preserve">TAGTGCTGGATAAAGGTCACACGG</t>
  </si>
  <si>
    <t xml:space="preserve">AAACCCGTGTGACCTTTATCCAGC</t>
  </si>
  <si>
    <t xml:space="preserve">PST_3876</t>
  </si>
  <si>
    <t xml:space="preserve">GACCAGCGACTGCTTGCTCA</t>
  </si>
  <si>
    <t xml:space="preserve">TAGTGACCAGCGACTGCTTGCTCA</t>
  </si>
  <si>
    <t xml:space="preserve">AAACTGAGCAAGCAGTCGCTGGTC</t>
  </si>
  <si>
    <t xml:space="preserve">TGTCCAGATGATCGTTCTTG</t>
  </si>
  <si>
    <t xml:space="preserve">TAGTTGTCCAGATGATCGTTCTTG</t>
  </si>
  <si>
    <t xml:space="preserve">AAACCAAGAACGATCATCTGGACA</t>
  </si>
  <si>
    <t xml:space="preserve">CGATGGCGCGGGTGGGGTCG</t>
  </si>
  <si>
    <t xml:space="preserve">TAGTCGATGGCGCGGGTGGGGTCG</t>
  </si>
  <si>
    <t xml:space="preserve">AAACCGACCCCACCCGCGCCATCG</t>
  </si>
  <si>
    <t xml:space="preserve">GCCGAAACCGGTCCCTGTCG</t>
  </si>
  <si>
    <t xml:space="preserve">TAGTGCCGAAACCGGTCCCTGTCG</t>
  </si>
  <si>
    <t xml:space="preserve">AAACCGACAGGGACCGGTTTCGGC</t>
  </si>
  <si>
    <t xml:space="preserve">PST_3877</t>
  </si>
  <si>
    <t xml:space="preserve">ACTGGAGTTCTGCGTTTGCA</t>
  </si>
  <si>
    <t xml:space="preserve">TAGTACTGGAGTTCTGCGTTTGCA</t>
  </si>
  <si>
    <t xml:space="preserve">AAACTGCAAACGCAGAACTCCAGT</t>
  </si>
  <si>
    <t xml:space="preserve">GGTTGTCGCATTGCGGAAGC</t>
  </si>
  <si>
    <t xml:space="preserve">TAGTGGTTGTCGCATTGCGGAAGC</t>
  </si>
  <si>
    <t xml:space="preserve">AAACGCTTCCGCAATGCGACAACC</t>
  </si>
  <si>
    <t xml:space="preserve">CCTGTCGGCGCAGACGCAGC</t>
  </si>
  <si>
    <t xml:space="preserve">TAGTCCTGTCGGCGCAGACGCAGC</t>
  </si>
  <si>
    <t xml:space="preserve">AAACGCTGCGTCTGCGCCGACAGG</t>
  </si>
  <si>
    <t xml:space="preserve">GCTCCGATTCCGGAAATGGC</t>
  </si>
  <si>
    <t xml:space="preserve">TAGTGCTCCGATTCCGGAAATGGC</t>
  </si>
  <si>
    <t xml:space="preserve">AAACGCCATTTCCGGAATCGGAGC</t>
  </si>
  <si>
    <t xml:space="preserve">PST_3878</t>
  </si>
  <si>
    <t xml:space="preserve">GCAGAGCAGGGTCTCGGTCA</t>
  </si>
  <si>
    <t xml:space="preserve">TAGTGCAGAGCAGGGTCTCGGTCA</t>
  </si>
  <si>
    <t xml:space="preserve">AAACTGACCGAGACCCTGCTCTGC</t>
  </si>
  <si>
    <t xml:space="preserve">GTTCGAAGGCCAGGTTGCGC</t>
  </si>
  <si>
    <t xml:space="preserve">TAGTGTTCGAAGGCCAGGTTGCGC</t>
  </si>
  <si>
    <t xml:space="preserve">AAACGCGCAACCTGGCCTTCGAAC</t>
  </si>
  <si>
    <t xml:space="preserve">CTCGCGGCGCGTCAGGGCCT</t>
  </si>
  <si>
    <t xml:space="preserve">TAGTCTCGCGGCGCGTCAGGGCCT</t>
  </si>
  <si>
    <t xml:space="preserve">AAACAGGCCCTGACGCGCCGCGAG</t>
  </si>
  <si>
    <t xml:space="preserve">GAAGGTTTCGCGGCTGTGAT</t>
  </si>
  <si>
    <t xml:space="preserve">TAGTGAAGGTTTCGCGGCTGTGAT</t>
  </si>
  <si>
    <t xml:space="preserve">AAACATCACAGCCGCGAAACCTTC</t>
  </si>
  <si>
    <t xml:space="preserve">PST_3879</t>
  </si>
  <si>
    <t xml:space="preserve">AGGCACCGATGAAGAACAGG</t>
  </si>
  <si>
    <t xml:space="preserve">TAGTAGGCACCGATGAAGAACAGG</t>
  </si>
  <si>
    <t xml:space="preserve">AAACCCTGTTCTTCATCGGTGCCT</t>
  </si>
  <si>
    <t xml:space="preserve">GATGCTTGCAGCCACCAACA</t>
  </si>
  <si>
    <t xml:space="preserve">TAGTGATGCTTGCAGCCACCAACA</t>
  </si>
  <si>
    <t xml:space="preserve">AAACTGTTGGTGGCTGCAAGCATC</t>
  </si>
  <si>
    <t xml:space="preserve">GATTCGACAGCGAACTCATC</t>
  </si>
  <si>
    <t xml:space="preserve">TAGTGATTCGACAGCGAACTCATC</t>
  </si>
  <si>
    <t xml:space="preserve">AAACGATGAGTTCGCTGTCGAATC</t>
  </si>
  <si>
    <t xml:space="preserve">TGACCAGGATGGGTACGCCG</t>
  </si>
  <si>
    <t xml:space="preserve">TAGTTGACCAGGATGGGTACGCCG</t>
  </si>
  <si>
    <t xml:space="preserve">AAACCGGCGTACCCATCCTGGTCA</t>
  </si>
  <si>
    <t xml:space="preserve">PST_3880</t>
  </si>
  <si>
    <t xml:space="preserve">AGGTTGCGCAGAAGTGACAT</t>
  </si>
  <si>
    <t xml:space="preserve">TAGTAGGTTGCGCAGAAGTGACAT</t>
  </si>
  <si>
    <t xml:space="preserve">AAACATGTCACTTCTGCGCAACCT</t>
  </si>
  <si>
    <t xml:space="preserve">GGCAGATCGTCGAGAACAGC</t>
  </si>
  <si>
    <t xml:space="preserve">TAGTGGCAGATCGTCGAGAACAGC</t>
  </si>
  <si>
    <t xml:space="preserve">AAACGCTGTTCTCGACGATCTGCC</t>
  </si>
  <si>
    <t xml:space="preserve">CGTGCAGGGGAGCGACGAAC</t>
  </si>
  <si>
    <t xml:space="preserve">TAGTCGTGCAGGGGAGCGACGAAC</t>
  </si>
  <si>
    <t xml:space="preserve">AAACGTTCGTCGCTCCCCTGCACG</t>
  </si>
  <si>
    <t xml:space="preserve">AGTCAGGCTTTCCAGCGATT</t>
  </si>
  <si>
    <t xml:space="preserve">TAGTAGTCAGGCTTTCCAGCGATT</t>
  </si>
  <si>
    <t xml:space="preserve">AAACAATCGCTGGAAAGCCTGACT</t>
  </si>
  <si>
    <t xml:space="preserve">PST_3881</t>
  </si>
  <si>
    <t xml:space="preserve">GTCGAAATGGAGCTGGGTCA</t>
  </si>
  <si>
    <t xml:space="preserve">TAGTGTCGAAATGGAGCTGGGTCA</t>
  </si>
  <si>
    <t xml:space="preserve">AAACTGACCCAGCTCCATTTCGAC</t>
  </si>
  <si>
    <t xml:space="preserve">GGAAAAGGTATCGCCGAGAC</t>
  </si>
  <si>
    <t xml:space="preserve">TAGTGGAAAAGGTATCGCCGAGAC</t>
  </si>
  <si>
    <t xml:space="preserve">AAACGTCTCGGCGATACCTTTTCC</t>
  </si>
  <si>
    <t xml:space="preserve">CGGCTGCGGCGATACCTGGG</t>
  </si>
  <si>
    <t xml:space="preserve">TAGTCGGCTGCGGCGATACCTGGG</t>
  </si>
  <si>
    <t xml:space="preserve">AAACCCCAGGTATCGCCGCAGCCG</t>
  </si>
  <si>
    <t xml:space="preserve">ACCAGGCGCGGCGCTTCCAG</t>
  </si>
  <si>
    <t xml:space="preserve">TAGTACCAGGCGCGGCGCTTCCAG</t>
  </si>
  <si>
    <t xml:space="preserve">AAACCTGGAAGCGCCGCGCCTGGT</t>
  </si>
  <si>
    <t xml:space="preserve">PST_3882</t>
  </si>
  <si>
    <t xml:space="preserve">CTCGTCGGTACGGTCGGGCA</t>
  </si>
  <si>
    <t xml:space="preserve">TAGTCTCGTCGGTACGGTCGGGCA</t>
  </si>
  <si>
    <t xml:space="preserve">AAACTGCCCGACCGTACCGACGAG</t>
  </si>
  <si>
    <t xml:space="preserve">TCCAGAGCCAGCAGATTTTC</t>
  </si>
  <si>
    <t xml:space="preserve">TAGTTCCAGAGCCAGCAGATTTTC</t>
  </si>
  <si>
    <t xml:space="preserve">AAACGAAAATCTGCTGGCTCTGGA</t>
  </si>
  <si>
    <t xml:space="preserve">GCCTGGTGAATCCGTACGCC</t>
  </si>
  <si>
    <t xml:space="preserve">TAGTGCCTGGTGAATCCGTACGCC</t>
  </si>
  <si>
    <t xml:space="preserve">AAACGGCGTACGGATTCACCAGGC</t>
  </si>
  <si>
    <t xml:space="preserve">AAGCGCCTGCTCAGCCGACT</t>
  </si>
  <si>
    <t xml:space="preserve">TAGTAAGCGCCTGCTCAGCCGACT</t>
  </si>
  <si>
    <t xml:space="preserve">AAACAGTCGGCTGAGCAGGCGCTT</t>
  </si>
  <si>
    <t xml:space="preserve">PST_3883</t>
  </si>
  <si>
    <t xml:space="preserve">GTGGCCGGTAGCCGCTGGGC</t>
  </si>
  <si>
    <t xml:space="preserve">TAGTGTGGCCGGTAGCCGCTGGGC</t>
  </si>
  <si>
    <t xml:space="preserve">AAACGCCCAGCGGCTACCGGCCAC</t>
  </si>
  <si>
    <t xml:space="preserve">ATGTGCTGGACCACCAGAAT</t>
  </si>
  <si>
    <t xml:space="preserve">TAGTATGTGCTGGACCACCAGAAT</t>
  </si>
  <si>
    <t xml:space="preserve">AAACATTCTGGTGGTCCAGCACAT</t>
  </si>
  <si>
    <t xml:space="preserve">AGATGAGTGGGCCCGCTGGC</t>
  </si>
  <si>
    <t xml:space="preserve">TAGTAGATGAGTGGGCCCGCTGGC</t>
  </si>
  <si>
    <t xml:space="preserve">AAACGCCAGCGGGCCCACTCATCT</t>
  </si>
  <si>
    <t xml:space="preserve">CGTTCTGCGAGCGAAGATCT</t>
  </si>
  <si>
    <t xml:space="preserve">TAGTCGTTCTGCGAGCGAAGATCT</t>
  </si>
  <si>
    <t xml:space="preserve">AAACAGATCTTCGCTCGCAGAACG</t>
  </si>
  <si>
    <t xml:space="preserve">PST_3884</t>
  </si>
  <si>
    <t xml:space="preserve">TCGATCTCGACGTTACGGTC</t>
  </si>
  <si>
    <t xml:space="preserve">TAGTTCGATCTCGACGTTACGGTC</t>
  </si>
  <si>
    <t xml:space="preserve">AAACGACCGTAACGTCGAGATCGA</t>
  </si>
  <si>
    <t xml:space="preserve">GTAGCTGTACTTGAGGTAGA</t>
  </si>
  <si>
    <t xml:space="preserve">TAGTGTAGCTGTACTTGAGGTAGA</t>
  </si>
  <si>
    <t xml:space="preserve">AAACTCTACCTCAAGTACAGCTAC</t>
  </si>
  <si>
    <t xml:space="preserve">GCGAGGCGCTGGAGTAGTCG</t>
  </si>
  <si>
    <t xml:space="preserve">TAGTGCGAGGCGCTGGAGTAGTCG</t>
  </si>
  <si>
    <t xml:space="preserve">AAACCGACTACTCCAGCGCCTCGC</t>
  </si>
  <si>
    <t xml:space="preserve">TGAAGGCGTGCGGGTCGTAG</t>
  </si>
  <si>
    <t xml:space="preserve">TAGTTGAAGGCGTGCGGGTCGTAG</t>
  </si>
  <si>
    <t xml:space="preserve">AAACCTACGACCCGCACGCCTTCA</t>
  </si>
  <si>
    <t xml:space="preserve">PST_3885</t>
  </si>
  <si>
    <t xml:space="preserve">GAAATTGTTCTGATCGATGA</t>
  </si>
  <si>
    <t xml:space="preserve">TAGTGAAATTGTTCTGATCGATGA</t>
  </si>
  <si>
    <t xml:space="preserve">AAACTCATCGATCAGAACAATTTC</t>
  </si>
  <si>
    <t xml:space="preserve">GCACGGCCACGTTGCGATTG</t>
  </si>
  <si>
    <t xml:space="preserve">TAGTGCACGGCCACGTTGCGATTG</t>
  </si>
  <si>
    <t xml:space="preserve">AAACCAATCGCAACGTGGCCGTGC</t>
  </si>
  <si>
    <t xml:space="preserve">CTGAGGAAGCCGAAGCCCAG</t>
  </si>
  <si>
    <t xml:space="preserve">TAGTCTGAGGAAGCCGAAGCCCAG</t>
  </si>
  <si>
    <t xml:space="preserve">AAACCTGGGCTTCGGCTTCCTCAG</t>
  </si>
  <si>
    <t xml:space="preserve">GACGATGGCACTGAAGAAGA</t>
  </si>
  <si>
    <t xml:space="preserve">TAGTGACGATGGCACTGAAGAAGA</t>
  </si>
  <si>
    <t xml:space="preserve">AAACTCTTCTTCAGTGCCATCGTC</t>
  </si>
  <si>
    <t xml:space="preserve">PST_3886</t>
  </si>
  <si>
    <t xml:space="preserve">TCGCGAAGATGATGCGGATA</t>
  </si>
  <si>
    <t xml:space="preserve">TAGTTCGCGAAGATGATGCGGATA</t>
  </si>
  <si>
    <t xml:space="preserve">AAACTATCCGCATCATCTTCGCGA</t>
  </si>
  <si>
    <t xml:space="preserve">TGGAGAAAGACGCCAAGCGG</t>
  </si>
  <si>
    <t xml:space="preserve">TAGTTGGAGAAAGACGCCAAGCGG</t>
  </si>
  <si>
    <t xml:space="preserve">AAACCCGCTTGGCGTCTTTCTCCA</t>
  </si>
  <si>
    <t xml:space="preserve">AGGCACCGGCAAAACCGACC</t>
  </si>
  <si>
    <t xml:space="preserve">TAGTAGGCACCGGCAAAACCGACC</t>
  </si>
  <si>
    <t xml:space="preserve">AAACGGTCGGTTTTGCCGGTGCCT</t>
  </si>
  <si>
    <t xml:space="preserve">GAGCAGGATGTTCAGCCAGA</t>
  </si>
  <si>
    <t xml:space="preserve">TAGTGAGCAGGATGTTCAGCCAGA</t>
  </si>
  <si>
    <t xml:space="preserve">AAACTCTGGCTGAACATCCTGCTC</t>
  </si>
  <si>
    <t xml:space="preserve">PST_3887</t>
  </si>
  <si>
    <t xml:space="preserve">TTCTGGCATGGGAAGTCCTC</t>
  </si>
  <si>
    <t xml:space="preserve">TAGTTTCTGGCATGGGAAGTCCTC</t>
  </si>
  <si>
    <t xml:space="preserve">AAACGAGGACTTCCCATGCCAGAA</t>
  </si>
  <si>
    <t xml:space="preserve">GCGCCACAGATCACCGCGGT</t>
  </si>
  <si>
    <t xml:space="preserve">TAGTGCGCCACAGATCACCGCGGT</t>
  </si>
  <si>
    <t xml:space="preserve">AAACACCGCGGTGATCTGTGGCGC</t>
  </si>
  <si>
    <t xml:space="preserve">GCCGGCTCTGGCGAAGGCCT</t>
  </si>
  <si>
    <t xml:space="preserve">TAGTGCCGGCTCTGGCGAAGGCCT</t>
  </si>
  <si>
    <t xml:space="preserve">AAACAGGCCTTCGCCAGAGCCGGC</t>
  </si>
  <si>
    <t xml:space="preserve">CGCGCGCGATCAACGCGACG</t>
  </si>
  <si>
    <t xml:space="preserve">TAGTCGCGCGCGATCAACGCGACG</t>
  </si>
  <si>
    <t xml:space="preserve">AAACCGTCGCGTTGATCGCGCGCG</t>
  </si>
  <si>
    <t xml:space="preserve">PST_3888</t>
  </si>
  <si>
    <t xml:space="preserve">CGCTCCACCGCCCGGCTGCG</t>
  </si>
  <si>
    <t xml:space="preserve">TAGTCGCTCCACCGCCCGGCTGCG</t>
  </si>
  <si>
    <t xml:space="preserve">AAACCGCAGCCGGGCGGTGGAGCG</t>
  </si>
  <si>
    <t xml:space="preserve">GCCGAGCGCGGCCAGCGAAC</t>
  </si>
  <si>
    <t xml:space="preserve">TAGTGCCGAGCGCGGCCAGCGAAC</t>
  </si>
  <si>
    <t xml:space="preserve">AAACGTTCGCTGGCCGCGCTCGGC</t>
  </si>
  <si>
    <t xml:space="preserve">GATGTTGATCCAGGAAAGCA</t>
  </si>
  <si>
    <t xml:space="preserve">TAGTGATGTTGATCCAGGAAAGCA</t>
  </si>
  <si>
    <t xml:space="preserve">AAACTGCTTTCCTGGATCAACATC</t>
  </si>
  <si>
    <t xml:space="preserve">GTCGTGGTGCACGTTTACGG</t>
  </si>
  <si>
    <t xml:space="preserve">TAGTGTCGTGGTGCACGTTTACGG</t>
  </si>
  <si>
    <t xml:space="preserve">AAACCCGTAAACGTGCACCACGAC</t>
  </si>
  <si>
    <t xml:space="preserve">PST_3889</t>
  </si>
  <si>
    <t xml:space="preserve">TGCAGCCACAGTTCAGGTGA</t>
  </si>
  <si>
    <t xml:space="preserve">TAGTTGCAGCCACAGTTCAGGTGA</t>
  </si>
  <si>
    <t xml:space="preserve">AAACTCACCTGAACTGTGGCTGCA</t>
  </si>
  <si>
    <t xml:space="preserve">TCGAACAAGGCCCCGCCGAG</t>
  </si>
  <si>
    <t xml:space="preserve">TAGTTCGAACAAGGCCCCGCCGAG</t>
  </si>
  <si>
    <t xml:space="preserve">AAACCTCGGCGGGGCCTTGTTCGA</t>
  </si>
  <si>
    <t xml:space="preserve">GGCAGACCAGCTGCGCCGTC</t>
  </si>
  <si>
    <t xml:space="preserve">TAGTGGCAGACCAGCTGCGCCGTC</t>
  </si>
  <si>
    <t xml:space="preserve">AAACGACGGCGCAGCTGGTCTGCC</t>
  </si>
  <si>
    <t xml:space="preserve">CGGTTTCCAGCAGCAGGCAA</t>
  </si>
  <si>
    <t xml:space="preserve">TAGTCGGTTTCCAGCAGCAGGCAA</t>
  </si>
  <si>
    <t xml:space="preserve">AAACTTGCCTGCTGCTGGAAACCG</t>
  </si>
  <si>
    <t xml:space="preserve">PST_3890</t>
  </si>
  <si>
    <t xml:space="preserve">GCGGGCGGGATGGCGAGGCA</t>
  </si>
  <si>
    <t xml:space="preserve">TAGTGCGGGCGGGATGGCGAGGCA</t>
  </si>
  <si>
    <t xml:space="preserve">AAACTGCCTCGCCATCCCGCCCGC</t>
  </si>
  <si>
    <t xml:space="preserve">GACCGCGAGCGCGAACAGCA</t>
  </si>
  <si>
    <t xml:space="preserve">TAGTGACCGCGAGCGCGAACAGCA</t>
  </si>
  <si>
    <t xml:space="preserve">AAACTGCTGTTCGCGCTCGCGGTC</t>
  </si>
  <si>
    <t xml:space="preserve">GATCGGCGGCACTCGCGCTC</t>
  </si>
  <si>
    <t xml:space="preserve">TAGTGATCGGCGGCACTCGCGCTC</t>
  </si>
  <si>
    <t xml:space="preserve">AAACGAGCGCGAGTGCCGCCGATC</t>
  </si>
  <si>
    <t xml:space="preserve">TCGACCCGCAGCAGCGTCAC</t>
  </si>
  <si>
    <t xml:space="preserve">TAGTTCGACCCGCAGCAGCGTCAC</t>
  </si>
  <si>
    <t xml:space="preserve">AAACGTGACGCTGCTGCGGGTCGA</t>
  </si>
  <si>
    <t xml:space="preserve">PST_3891</t>
  </si>
  <si>
    <t xml:space="preserve">ACGCAGGATGCGGAACGCCG</t>
  </si>
  <si>
    <t xml:space="preserve">TAGTACGCAGGATGCGGAACGCCG</t>
  </si>
  <si>
    <t xml:space="preserve">AAACCGGCGTTCCGCATCCTGCGT</t>
  </si>
  <si>
    <t xml:space="preserve">GGGATGATCATGATCAGGCC</t>
  </si>
  <si>
    <t xml:space="preserve">TAGTGGGATGATCATGATCAGGCC</t>
  </si>
  <si>
    <t xml:space="preserve">AAACGGCCTGATCATGATCATCCC</t>
  </si>
  <si>
    <t xml:space="preserve">GCACCATCTGCTGCAGCCCG</t>
  </si>
  <si>
    <t xml:space="preserve">TAGTGCACCATCTGCTGCAGCCCG</t>
  </si>
  <si>
    <t xml:space="preserve">AAACCGGGCTGCAGCAGATGGTGC</t>
  </si>
  <si>
    <t xml:space="preserve">CGTCCAGCACCAGGGTGCGC</t>
  </si>
  <si>
    <t xml:space="preserve">TAGTCGTCCAGCACCAGGGTGCGC</t>
  </si>
  <si>
    <t xml:space="preserve">AAACGCGCACCCTGGTGCTGGACG</t>
  </si>
  <si>
    <t xml:space="preserve">PST_3892</t>
  </si>
  <si>
    <t xml:space="preserve">GGCAGGTGGAGCGTGGCGGA</t>
  </si>
  <si>
    <t xml:space="preserve">TAGTGGCAGGTGGAGCGTGGCGGA</t>
  </si>
  <si>
    <t xml:space="preserve">AAACTCCGCCACGCTCCACCTGCC</t>
  </si>
  <si>
    <t xml:space="preserve">AGCAGACGCAGCGGCTGCCA</t>
  </si>
  <si>
    <t xml:space="preserve">TAGTAGCAGACGCAGCGGCTGCCA</t>
  </si>
  <si>
    <t xml:space="preserve">AAACTGGCAGCCGCTGCGTCTGCT</t>
  </si>
  <si>
    <t xml:space="preserve">GCCCAGGGTTAGGGCGAGCA</t>
  </si>
  <si>
    <t xml:space="preserve">TAGTGCCCAGGGTTAGGGCGAGCA</t>
  </si>
  <si>
    <t xml:space="preserve">AAACTGCTCGCCCTAACCCTGGGC</t>
  </si>
  <si>
    <t xml:space="preserve">GCGCGGTGACAGTGCCGCGC</t>
  </si>
  <si>
    <t xml:space="preserve">TAGTGCGCGGTGACAGTGCCGCGC</t>
  </si>
  <si>
    <t xml:space="preserve">AAACGCGCGGCACTGTCACCGCGC</t>
  </si>
  <si>
    <t xml:space="preserve">PST_3893</t>
  </si>
  <si>
    <t xml:space="preserve">TGGCGTGGCGGTCGTCTGCA</t>
  </si>
  <si>
    <t xml:space="preserve">TAGTTGGCGTGGCGGTCGTCTGCA</t>
  </si>
  <si>
    <t xml:space="preserve">AAACTGCAGACGACCGCCACGCCA</t>
  </si>
  <si>
    <t xml:space="preserve">ACGGAGGTATGGCGCGGAAA</t>
  </si>
  <si>
    <t xml:space="preserve">TAGTACGGAGGTATGGCGCGGAAA</t>
  </si>
  <si>
    <t xml:space="preserve">AAACTTTCCGCGCCATACCTCCGT</t>
  </si>
  <si>
    <t xml:space="preserve">GGCAAAGGAGCTGGCCAGTG</t>
  </si>
  <si>
    <t xml:space="preserve">TAGTGGCAAAGGAGCTGGCCAGTG</t>
  </si>
  <si>
    <t xml:space="preserve">AAACCACTGGCCAGCTCCTTTGCC</t>
  </si>
  <si>
    <t xml:space="preserve">GCGTGCGGCAATATGATTGG</t>
  </si>
  <si>
    <t xml:space="preserve">TAGTGCGTGCGGCAATATGATTGG</t>
  </si>
  <si>
    <t xml:space="preserve">AAACCCAATCATATTGCCGCACGC</t>
  </si>
  <si>
    <t xml:space="preserve">PST_3894</t>
  </si>
  <si>
    <t xml:space="preserve">treA</t>
  </si>
  <si>
    <t xml:space="preserve">CGGCTGGCACGGCGGGATAT</t>
  </si>
  <si>
    <t xml:space="preserve">TAGTCGGCTGGCACGGCGGGATAT</t>
  </si>
  <si>
    <t xml:space="preserve">AAACATATCCCGCCGTGCCAGCCG</t>
  </si>
  <si>
    <t xml:space="preserve">GCGCTGGTGTCGTGGCTGAA</t>
  </si>
  <si>
    <t xml:space="preserve">TAGTGCGCTGGTGTCGTGGCTGAA</t>
  </si>
  <si>
    <t xml:space="preserve">AAACTTCAGCCACGACACCAGCGC</t>
  </si>
  <si>
    <t xml:space="preserve">GAGCGTGTCGGCCCGCGAGA</t>
  </si>
  <si>
    <t xml:space="preserve">TAGTGAGCGTGTCGGCCCGCGAGA</t>
  </si>
  <si>
    <t xml:space="preserve">AAACTCTCGCGGGCCGACACGCTC</t>
  </si>
  <si>
    <t xml:space="preserve">AGTTCCTGATAGCGCTCGGC</t>
  </si>
  <si>
    <t xml:space="preserve">TAGTAGTTCCTGATAGCGCTCGGC</t>
  </si>
  <si>
    <t xml:space="preserve">AAACGCCGAGCGCTATCAGGAACT</t>
  </si>
  <si>
    <t xml:space="preserve">PST_3895</t>
  </si>
  <si>
    <t xml:space="preserve">AATGCCGCGGCCGATGCCCT</t>
  </si>
  <si>
    <t xml:space="preserve">TAGTAATGCCGCGGCCGATGCCCT</t>
  </si>
  <si>
    <t xml:space="preserve">AAACAGGGCATCGGCCGCGGCATT</t>
  </si>
  <si>
    <t xml:space="preserve">TGTCGGCGCCCTCTTCAGCC</t>
  </si>
  <si>
    <t xml:space="preserve">TAGTTGTCGGCGCCCTCTTCAGCC</t>
  </si>
  <si>
    <t xml:space="preserve">AAACGGCTGAAGAGGGCGCCGACA</t>
  </si>
  <si>
    <t xml:space="preserve">GGGCCTGTTCGTCGTTCTCG</t>
  </si>
  <si>
    <t xml:space="preserve">TAGTGGGCCTGTTCGTCGTTCTCG</t>
  </si>
  <si>
    <t xml:space="preserve">AAACCGAGAACGACGAACAGGCCC</t>
  </si>
  <si>
    <t xml:space="preserve">GACCTGCTCGAGGCTCTCGC</t>
  </si>
  <si>
    <t xml:space="preserve">TAGTGACCTGCTCGAGGCTCTCGC</t>
  </si>
  <si>
    <t xml:space="preserve">AAACGCGAGAGCCTCGAGCAGGTC</t>
  </si>
  <si>
    <t xml:space="preserve">PST_3896</t>
  </si>
  <si>
    <t xml:space="preserve">rarD-1</t>
  </si>
  <si>
    <t xml:space="preserve">ATAACCCTTGCGCAGATTGG</t>
  </si>
  <si>
    <t xml:space="preserve">TAGTATAACCCTTGCGCAGATTGG</t>
  </si>
  <si>
    <t xml:space="preserve">AAACCCAATCTGCGCAAGGGTTAT</t>
  </si>
  <si>
    <t xml:space="preserve">CATGCCCCAGATGCTGAAGG</t>
  </si>
  <si>
    <t xml:space="preserve">TAGTCATGCCCCAGATGCTGAAGG</t>
  </si>
  <si>
    <t xml:space="preserve">AAACCCTTCAGCATCTGGGGCATG</t>
  </si>
  <si>
    <t xml:space="preserve">CGAGTGCCTTGAAGTAGAGC</t>
  </si>
  <si>
    <t xml:space="preserve">TAGTCGAGTGCCTTGAAGTAGAGC</t>
  </si>
  <si>
    <t xml:space="preserve">AAACGCTCTACTTCAAGGCACTCG</t>
  </si>
  <si>
    <t xml:space="preserve">GGCCGACCAGATCACGCGCT</t>
  </si>
  <si>
    <t xml:space="preserve">TAGTGGCCGACCAGATCACGCGCT</t>
  </si>
  <si>
    <t xml:space="preserve">AAACAGCGCGTGATCTGGTCGGCC</t>
  </si>
  <si>
    <t xml:space="preserve">PST_3897</t>
  </si>
  <si>
    <t xml:space="preserve">GGTGAGAACGAGGTGATCCA</t>
  </si>
  <si>
    <t xml:space="preserve">TAGTGGTGAGAACGAGGTGATCCA</t>
  </si>
  <si>
    <t xml:space="preserve">AAACTGGATCACCTCGTTCTCACC</t>
  </si>
  <si>
    <t xml:space="preserve">GGGCTGATCGTCGGCGATGA</t>
  </si>
  <si>
    <t xml:space="preserve">TAGTGGGCTGATCGTCGGCGATGA</t>
  </si>
  <si>
    <t xml:space="preserve">AAACTCATCGCCGACGATCAGCCC</t>
  </si>
  <si>
    <t xml:space="preserve">GGCCAGTCGTTCGACCAGAC</t>
  </si>
  <si>
    <t xml:space="preserve">TAGTGGCCAGTCGTTCGACCAGAC</t>
  </si>
  <si>
    <t xml:space="preserve">AAACGTCTGGTCGAACGACTGGCC</t>
  </si>
  <si>
    <t xml:space="preserve">GCCGTGATCGGCGATGCACT</t>
  </si>
  <si>
    <t xml:space="preserve">TAGTGCCGTGATCGGCGATGCACT</t>
  </si>
  <si>
    <t xml:space="preserve">AAACAGTGCATCGCCGATCACGGC</t>
  </si>
  <si>
    <t xml:space="preserve">PST_3898</t>
  </si>
  <si>
    <t xml:space="preserve">ACAGGACTTTGGCGACCTGC</t>
  </si>
  <si>
    <t xml:space="preserve">TAGTACAGGACTTTGGCGACCTGC</t>
  </si>
  <si>
    <t xml:space="preserve">AAACGCAGGTCGCCAAAGTCCTGT</t>
  </si>
  <si>
    <t xml:space="preserve">GCGGCATCGACGCCGGTACC</t>
  </si>
  <si>
    <t xml:space="preserve">TAGTGCGGCATCGACGCCGGTACC</t>
  </si>
  <si>
    <t xml:space="preserve">AAACGGTACCGGCGTCGATGCCGC</t>
  </si>
  <si>
    <t xml:space="preserve">GTCGGCGCCAGCCCAGAAGG</t>
  </si>
  <si>
    <t xml:space="preserve">TAGTGTCGGCGCCAGCCCAGAAGG</t>
  </si>
  <si>
    <t xml:space="preserve">AAACCCTTCTGGGCTGGCGCCGAC</t>
  </si>
  <si>
    <t xml:space="preserve">CTGGTGCCAGGCGTCGATCT</t>
  </si>
  <si>
    <t xml:space="preserve">TAGTCTGGTGCCAGGCGTCGATCT</t>
  </si>
  <si>
    <t xml:space="preserve">AAACAGATCGACGCCTGGCACCAG</t>
  </si>
  <si>
    <t xml:space="preserve">PST_3899</t>
  </si>
  <si>
    <t xml:space="preserve">CGGCTTCCATTTTTTGTTCA</t>
  </si>
  <si>
    <t xml:space="preserve">TAGTCGGCTTCCATTTTTTGTTCA</t>
  </si>
  <si>
    <t xml:space="preserve">AAACTGAACAAAAAATGGAAGCCG</t>
  </si>
  <si>
    <t xml:space="preserve">GCGTCAGGTGTGCTCATGGT</t>
  </si>
  <si>
    <t xml:space="preserve">TAGTGCGTCAGGTGTGCTCATGGT</t>
  </si>
  <si>
    <t xml:space="preserve">AAACACCATGAGCACACCTGACGC</t>
  </si>
  <si>
    <t xml:space="preserve">CGTCTTCCCAGCTTGGGCGA</t>
  </si>
  <si>
    <t xml:space="preserve">TAGTCGTCTTCCCAGCTTGGGCGA</t>
  </si>
  <si>
    <t xml:space="preserve">AAACTCGCCCAAGCTGGGAAGACG</t>
  </si>
  <si>
    <t xml:space="preserve">GCCGTGGATGTTCTGTAGTA</t>
  </si>
  <si>
    <t xml:space="preserve">TAGTGCCGTGGATGTTCTGTAGTA</t>
  </si>
  <si>
    <t xml:space="preserve">AAACTACTACAGAACATCCACGGC</t>
  </si>
  <si>
    <t xml:space="preserve">PST_3900</t>
  </si>
  <si>
    <t xml:space="preserve">GGGGCAACTTCGGACCGCGT</t>
  </si>
  <si>
    <t xml:space="preserve">TAGTGGGGCAACTTCGGACCGCGT</t>
  </si>
  <si>
    <t xml:space="preserve">AAACACGCGGTCCGAAGTTGCCCC</t>
  </si>
  <si>
    <t xml:space="preserve">AACGCGTTGCTGCTGCTCCG</t>
  </si>
  <si>
    <t xml:space="preserve">TAGTAACGCGTTGCTGCTGCTCCG</t>
  </si>
  <si>
    <t xml:space="preserve">AAACCGGAGCAGCAGCAACGCGTT</t>
  </si>
  <si>
    <t xml:space="preserve">CAGTTCCGGGCGCGGCAGCT</t>
  </si>
  <si>
    <t xml:space="preserve">TAGTCAGTTCCGGGCGCGGCAGCT</t>
  </si>
  <si>
    <t xml:space="preserve">AAACAGCTGCCGCGCCCGGAACTG</t>
  </si>
  <si>
    <t xml:space="preserve">TGGCGTAGCGGAACGGGCTG</t>
  </si>
  <si>
    <t xml:space="preserve">TAGTTGGCGTAGCGGAACGGGCTG</t>
  </si>
  <si>
    <t xml:space="preserve">AAACCAGCCCGTTCCGCTACGCCA</t>
  </si>
  <si>
    <t xml:space="preserve">PST_3901</t>
  </si>
  <si>
    <t xml:space="preserve">AATCCCCGCACCCGCCGTAC</t>
  </si>
  <si>
    <t xml:space="preserve">TAGTAATCCCCGCACCCGCCGTAC</t>
  </si>
  <si>
    <t xml:space="preserve">AAACGTACGGCGGGTGCGGGGATT</t>
  </si>
  <si>
    <t xml:space="preserve">CGGCAGGCGCTTGCGCATCA</t>
  </si>
  <si>
    <t xml:space="preserve">TAGTCGGCAGGCGCTTGCGCATCA</t>
  </si>
  <si>
    <t xml:space="preserve">AAACTGATGCGCAAGCGCCTGCCG</t>
  </si>
  <si>
    <t xml:space="preserve">CCTACCGGAATGATCCACTT</t>
  </si>
  <si>
    <t xml:space="preserve">TAGTCCTACCGGAATGATCCACTT</t>
  </si>
  <si>
    <t xml:space="preserve">AAACAAGTGGATCATTCCGGTAGG</t>
  </si>
  <si>
    <t xml:space="preserve">CCAGGTGTATTCGTAGTGGA</t>
  </si>
  <si>
    <t xml:space="preserve">TAGTCCAGGTGTATTCGTAGTGGA</t>
  </si>
  <si>
    <t xml:space="preserve">AAACTCCACTACGAATACACCTGG</t>
  </si>
  <si>
    <t xml:space="preserve">PST_3902</t>
  </si>
  <si>
    <t xml:space="preserve">GTTGATCCAATATTGGCTCA</t>
  </si>
  <si>
    <t xml:space="preserve">TAGTGTTGATCCAATATTGGCTCA</t>
  </si>
  <si>
    <t xml:space="preserve">AAACTGAGCCAATATTGGATCAAC</t>
  </si>
  <si>
    <t xml:space="preserve">CCCGATATAGAGCAGGAACG</t>
  </si>
  <si>
    <t xml:space="preserve">TAGTCCCGATATAGAGCAGGAACG</t>
  </si>
  <si>
    <t xml:space="preserve">AAACCGTTCCTGCTCTATATCGGG</t>
  </si>
  <si>
    <t xml:space="preserve">GTAGAATTCCTTAGTCGACC</t>
  </si>
  <si>
    <t xml:space="preserve">TAGTGTAGAATTCCTTAGTCGACC</t>
  </si>
  <si>
    <t xml:space="preserve">AAACGGTCGACTAAGGAATTCTAC</t>
  </si>
  <si>
    <t xml:space="preserve">TACAGGGTGAACGCCACCGC</t>
  </si>
  <si>
    <t xml:space="preserve">TAGTTACAGGGTGAACGCCACCGC</t>
  </si>
  <si>
    <t xml:space="preserve">AAACGCGGTGGCGTTCACCCTGTA</t>
  </si>
  <si>
    <t xml:space="preserve">PST_3903</t>
  </si>
  <si>
    <t xml:space="preserve">GCAGGTGCGGCGGGCTGACG</t>
  </si>
  <si>
    <t xml:space="preserve">TAGTGCAGGTGCGGCGGGCTGACG</t>
  </si>
  <si>
    <t xml:space="preserve">AAACCGTCAGCCCGCCGCACCTGC</t>
  </si>
  <si>
    <t xml:space="preserve">GCCGTAACCTTTGTGGCAGA</t>
  </si>
  <si>
    <t xml:space="preserve">TAGTGCCGTAACCTTTGTGGCAGA</t>
  </si>
  <si>
    <t xml:space="preserve">AAACTCTGCCACAAAGGTTACGGC</t>
  </si>
  <si>
    <t xml:space="preserve">CGCCGCAAAGCGTCCCGGGC</t>
  </si>
  <si>
    <t xml:space="preserve">TAGTCGCCGCAAAGCGTCCCGGGC</t>
  </si>
  <si>
    <t xml:space="preserve">AAACGCCCGGGACGCTTTGCGGCG</t>
  </si>
  <si>
    <t xml:space="preserve">ATGCTGAATTTAACAGGGCA</t>
  </si>
  <si>
    <t xml:space="preserve">TAGTATGCTGAATTTAACAGGGCA</t>
  </si>
  <si>
    <t xml:space="preserve">AAACTGCCCTGTTAAATTCAGCAT</t>
  </si>
  <si>
    <t xml:space="preserve">PST_3904</t>
  </si>
  <si>
    <t xml:space="preserve">GTAGCGCCAACAGCCCGGCA</t>
  </si>
  <si>
    <t xml:space="preserve">TAGTGTAGCGCCAACAGCCCGGCA</t>
  </si>
  <si>
    <t xml:space="preserve">AAACTGCCGGGCTGTTGGCGCTAC</t>
  </si>
  <si>
    <t xml:space="preserve">GTGGGTTCGGCCGCGAACGC</t>
  </si>
  <si>
    <t xml:space="preserve">TAGTGTGGGTTCGGCCGCGAACGC</t>
  </si>
  <si>
    <t xml:space="preserve">AAACGCGTTCGCGGCCGAACCCAC</t>
  </si>
  <si>
    <t xml:space="preserve">GTGCTCGTAGCGGCCATAAA</t>
  </si>
  <si>
    <t xml:space="preserve">TAGTGTGCTCGTAGCGGCCATAAA</t>
  </si>
  <si>
    <t xml:space="preserve">AAACTTTATGGCCGCTACGAGCAC</t>
  </si>
  <si>
    <t xml:space="preserve">CGGTATCCATCTTGGCGGGC</t>
  </si>
  <si>
    <t xml:space="preserve">TAGTCGGTATCCATCTTGGCGGGC</t>
  </si>
  <si>
    <t xml:space="preserve">AAACGCCCGCCAAGATGGATACCG</t>
  </si>
  <si>
    <t xml:space="preserve">PST_3905</t>
  </si>
  <si>
    <t xml:space="preserve">dbpA</t>
  </si>
  <si>
    <t xml:space="preserve">AGACTGAACCCAGCGGGGGG</t>
  </si>
  <si>
    <t xml:space="preserve">TAGTAGACTGAACCCAGCGGGGGG</t>
  </si>
  <si>
    <t xml:space="preserve">AAACCCCCCCGCTGGGTTCAGTCT</t>
  </si>
  <si>
    <t xml:space="preserve">GCCTGGTGAAACGTTTTGAA</t>
  </si>
  <si>
    <t xml:space="preserve">TAGTGCCTGGTGAAACGTTTTGAA</t>
  </si>
  <si>
    <t xml:space="preserve">AAACTTCAAAACGTTTCACCAGGC</t>
  </si>
  <si>
    <t xml:space="preserve">GCAGGAGCGTTCGGCGCGGT</t>
  </si>
  <si>
    <t xml:space="preserve">TAGTGCAGGAGCGTTCGGCGCGGT</t>
  </si>
  <si>
    <t xml:space="preserve">AAACACCGCGCCGAACGCTCCTGC</t>
  </si>
  <si>
    <t xml:space="preserve">TCTGCAGTCTATCAGGCTGC</t>
  </si>
  <si>
    <t xml:space="preserve">TAGTTCTGCAGTCTATCAGGCTGC</t>
  </si>
  <si>
    <t xml:space="preserve">AAACGCAGCCTGATAGACTGCAGA</t>
  </si>
  <si>
    <t xml:space="preserve">PST_3906</t>
  </si>
  <si>
    <t xml:space="preserve">TACGCTGTCACGGCCGCGGC</t>
  </si>
  <si>
    <t xml:space="preserve">TAGTTACGCTGTCACGGCCGCGGC</t>
  </si>
  <si>
    <t xml:space="preserve">AAACGCCGCGGCCGTGACAGCGTA</t>
  </si>
  <si>
    <t xml:space="preserve">CGGTTGGGGACGGGCAGATA</t>
  </si>
  <si>
    <t xml:space="preserve">TAGTCGGTTGGGGACGGGCAGATA</t>
  </si>
  <si>
    <t xml:space="preserve">AAACTATCTGCCCGTCCCCAACCG</t>
  </si>
  <si>
    <t xml:space="preserve">GGTTGCGGCATGGAGCGATC</t>
  </si>
  <si>
    <t xml:space="preserve">TAGTGGTTGCGGCATGGAGCGATC</t>
  </si>
  <si>
    <t xml:space="preserve">AAACGATCGCTCCATGCCGCAACC</t>
  </si>
  <si>
    <t xml:space="preserve">CGTAAGTACTGGCTGAGCGA</t>
  </si>
  <si>
    <t xml:space="preserve">TAGTCGTAAGTACTGGCTGAGCGA</t>
  </si>
  <si>
    <t xml:space="preserve">AAACTCGCTCAGCCAGTACTTACG</t>
  </si>
  <si>
    <t xml:space="preserve">PST_3907</t>
  </si>
  <si>
    <t xml:space="preserve">GGCCAGCCGAAGCACTTCGG</t>
  </si>
  <si>
    <t xml:space="preserve">TAGTGGCCAGCCGAAGCACTTCGG</t>
  </si>
  <si>
    <t xml:space="preserve">AAACCCGAAGTGCTTCGGCTGGCC</t>
  </si>
  <si>
    <t xml:space="preserve">ATAGGGCGGCCAGATGTTGC</t>
  </si>
  <si>
    <t xml:space="preserve">TAGTATAGGGCGGCCAGATGTTGC</t>
  </si>
  <si>
    <t xml:space="preserve">AAACGCAACATCTGGCCGCCCTAT</t>
  </si>
  <si>
    <t xml:space="preserve">CGGACAGCCCCTCGCCGGGC</t>
  </si>
  <si>
    <t xml:space="preserve">TAGTCGGACAGCCCCTCGCCGGGC</t>
  </si>
  <si>
    <t xml:space="preserve">AAACGCCCGGCGAGGGGCTGTCCG</t>
  </si>
  <si>
    <t xml:space="preserve">CGCGGTGCGGATCAGCTCGA</t>
  </si>
  <si>
    <t xml:space="preserve">TAGTCGCGGTGCGGATCAGCTCGA</t>
  </si>
  <si>
    <t xml:space="preserve">AAACTCGAGCTGATCCGCACCGCG</t>
  </si>
  <si>
    <t xml:space="preserve">PST_3908</t>
  </si>
  <si>
    <t xml:space="preserve">ACACATCAGGCCGGCGGCAC</t>
  </si>
  <si>
    <t xml:space="preserve">TAGTACACATCAGGCCGGCGGCAC</t>
  </si>
  <si>
    <t xml:space="preserve">AAACGTGCCGCCGGCCTGATGTGT</t>
  </si>
  <si>
    <t xml:space="preserve">CTGGCGGCCGCGCGCGGCGG</t>
  </si>
  <si>
    <t xml:space="preserve">TAGTCTGGCGGCCGCGCGCGGCGG</t>
  </si>
  <si>
    <t xml:space="preserve">AAACCCGCCGCGCGCGGCCGCCAG</t>
  </si>
  <si>
    <t xml:space="preserve">TCTTGCCCGCCTTGTTGGCG</t>
  </si>
  <si>
    <t xml:space="preserve">TAGTTCTTGCCCGCCTTGTTGGCG</t>
  </si>
  <si>
    <t xml:space="preserve">AAACCGCCAACAAGGCGGGCAAGA</t>
  </si>
  <si>
    <t xml:space="preserve">AGCGCCCGCCGCCGGACATG</t>
  </si>
  <si>
    <t xml:space="preserve">TAGTAGCGCCCGCCGCCGGACATG</t>
  </si>
  <si>
    <t xml:space="preserve">AAACCATGTCCGGCGGCGGGCGCT</t>
  </si>
  <si>
    <t xml:space="preserve">PST_3909</t>
  </si>
  <si>
    <t xml:space="preserve">CGAGCAACCCACCAGCGCCA</t>
  </si>
  <si>
    <t xml:space="preserve">TAGTCGAGCAACCCACCAGCGCCA</t>
  </si>
  <si>
    <t xml:space="preserve">AAACTGGCGCTGGTGGGTTGCTCG</t>
  </si>
  <si>
    <t xml:space="preserve">AGCGCAGACTCCTCGTCGTC</t>
  </si>
  <si>
    <t xml:space="preserve">TAGTAGCGCAGACTCCTCGTCGTC</t>
  </si>
  <si>
    <t xml:space="preserve">AAACGACGACGAGGAGTCTGCGCT</t>
  </si>
  <si>
    <t xml:space="preserve">TCTGGTATTCCTGCTGGTTG</t>
  </si>
  <si>
    <t xml:space="preserve">TAGTTCTGGTATTCCTGCTGGTTG</t>
  </si>
  <si>
    <t xml:space="preserve">AAACCAACCAGCAGGAATACCAGA</t>
  </si>
  <si>
    <t xml:space="preserve">CGGGCCGGCGGGATCGGTAG</t>
  </si>
  <si>
    <t xml:space="preserve">TAGTCGGGCCGGCGGGATCGGTAG</t>
  </si>
  <si>
    <t xml:space="preserve">AAACCTACCGATCCCGCCGGCCCG</t>
  </si>
  <si>
    <t xml:space="preserve">PST_3910</t>
  </si>
  <si>
    <t xml:space="preserve">CAGCAGATAGGTAAGACGCA</t>
  </si>
  <si>
    <t xml:space="preserve">TAGTCAGCAGATAGGTAAGACGCA</t>
  </si>
  <si>
    <t xml:space="preserve">AAACTGCGTCTTACCTATCTGCTG</t>
  </si>
  <si>
    <t xml:space="preserve">AGCAGAAGTCCGAGTACGGG</t>
  </si>
  <si>
    <t xml:space="preserve">TAGTAGCAGAAGTCCGAGTACGGG</t>
  </si>
  <si>
    <t xml:space="preserve">AAACCCCGTACTCGGACTTCTGCT</t>
  </si>
  <si>
    <t xml:space="preserve">CGCGGTCGCGGTCTTCGTCC</t>
  </si>
  <si>
    <t xml:space="preserve">TAGTCGCGGTCGCGGTCTTCGTCC</t>
  </si>
  <si>
    <t xml:space="preserve">AAACGGACGAAGACCGCGACCGCG</t>
  </si>
  <si>
    <t xml:space="preserve">GTGGTGGCCGGCGGCGGGGT</t>
  </si>
  <si>
    <t xml:space="preserve">TAGTGTGGTGGCCGGCGGCGGGGT</t>
  </si>
  <si>
    <t xml:space="preserve">AAACACCCCGCCGCCGGCCACCAC</t>
  </si>
  <si>
    <t xml:space="preserve">PST_3911</t>
  </si>
  <si>
    <t xml:space="preserve">TGCGGGTCAGGATCTGTTCG</t>
  </si>
  <si>
    <t xml:space="preserve">TAGTTGCGGGTCAGGATCTGTTCG</t>
  </si>
  <si>
    <t xml:space="preserve">AAACCGAACAGATCCTGACCCGCA</t>
  </si>
  <si>
    <t xml:space="preserve">GTTCAGGCGCAACGCGTCGC</t>
  </si>
  <si>
    <t xml:space="preserve">TAGTGTTCAGGCGCAACGCGTCGC</t>
  </si>
  <si>
    <t xml:space="preserve">AAACGCGACGCGTTGCGCCTGAAC</t>
  </si>
  <si>
    <t xml:space="preserve">CGTCCAGCTCGCCCGCGGCG</t>
  </si>
  <si>
    <t xml:space="preserve">TAGTCGTCCAGCTCGCCCGCGGCG</t>
  </si>
  <si>
    <t xml:space="preserve">AAACCGCCGCGGGCGAGCTGGACG</t>
  </si>
  <si>
    <t xml:space="preserve">TTCGTAGAGCTTGTCGATGA</t>
  </si>
  <si>
    <t xml:space="preserve">TAGTTTCGTAGAGCTTGTCGATGA</t>
  </si>
  <si>
    <t xml:space="preserve">AAACTCATCGACAAGCTCTACGAA</t>
  </si>
  <si>
    <t xml:space="preserve">PST_3912</t>
  </si>
  <si>
    <t xml:space="preserve">ATTCGGTCAGGCGCGTCAGC</t>
  </si>
  <si>
    <t xml:space="preserve">TAGTATTCGGTCAGGCGCGTCAGC</t>
  </si>
  <si>
    <t xml:space="preserve">AAACGCTGACGCGCCTGACCGAAT</t>
  </si>
  <si>
    <t xml:space="preserve">CGTCTTCACGGCGCGCTCGG</t>
  </si>
  <si>
    <t xml:space="preserve">TAGTCGTCTTCACGGCGCGCTCGG</t>
  </si>
  <si>
    <t xml:space="preserve">AAACCCGAGCGCGCCGTGAAGACG</t>
  </si>
  <si>
    <t xml:space="preserve">TTCCAGCTTGCTGAGCAGCT</t>
  </si>
  <si>
    <t xml:space="preserve">TAGTTTCCAGCTTGCTGAGCAGCT</t>
  </si>
  <si>
    <t xml:space="preserve">AAACAGCTGCTCAGCAAGCTGGAA</t>
  </si>
  <si>
    <t xml:space="preserve">CTCTTCCAGCTGGGTATGGA</t>
  </si>
  <si>
    <t xml:space="preserve">TAGTCTCTTCCAGCTGGGTATGGA</t>
  </si>
  <si>
    <t xml:space="preserve">AAACTCCATACCCAGCTGGAAGAG</t>
  </si>
  <si>
    <t xml:space="preserve">PST_3913</t>
  </si>
  <si>
    <t xml:space="preserve">AAAGTTCCAGCGAACATTAA</t>
  </si>
  <si>
    <t xml:space="preserve">TAGTAAAGTTCCAGCGAACATTAA</t>
  </si>
  <si>
    <t xml:space="preserve">AAACTTAATGTTCGCTGGAACTTT</t>
  </si>
  <si>
    <t xml:space="preserve">AGTAAGAAATTGTTGTGCAG</t>
  </si>
  <si>
    <t xml:space="preserve">TAGTAGTAAGAAATTGTTGTGCAG</t>
  </si>
  <si>
    <t xml:space="preserve">AAACCTGCACAACAATTTCTTACT</t>
  </si>
  <si>
    <t xml:space="preserve">CACTTCGAACTCAGGGAATG</t>
  </si>
  <si>
    <t xml:space="preserve">TAGTCACTTCGAACTCAGGGAATG</t>
  </si>
  <si>
    <t xml:space="preserve">AAACCATTCCCTGAGTTCGAAGTG</t>
  </si>
  <si>
    <t xml:space="preserve">GCCGCCATCGGGACGGGGCT</t>
  </si>
  <si>
    <t xml:space="preserve">TAGTGCCGCCATCGGGACGGGGCT</t>
  </si>
  <si>
    <t xml:space="preserve">AAACAGCCCCGTCCCGATGGCGGC</t>
  </si>
  <si>
    <t xml:space="preserve">PST_3914</t>
  </si>
  <si>
    <t xml:space="preserve">CGCGCGGTCCGGATCGCTCA</t>
  </si>
  <si>
    <t xml:space="preserve">TAGTCGCGCGGTCCGGATCGCTCA</t>
  </si>
  <si>
    <t xml:space="preserve">AAACTGAGCGATCCGGACCGCGCG</t>
  </si>
  <si>
    <t xml:space="preserve">ATTGAGGCGGTAATAGTCGA</t>
  </si>
  <si>
    <t xml:space="preserve">TAGTATTGAGGCGGTAATAGTCGA</t>
  </si>
  <si>
    <t xml:space="preserve">AAACTCGACTATTACCGCCTCAAT</t>
  </si>
  <si>
    <t xml:space="preserve">GGTGCCGTCGCGAAAAGCCT</t>
  </si>
  <si>
    <t xml:space="preserve">TAGTGGTGCCGTCGCGAAAAGCCT</t>
  </si>
  <si>
    <t xml:space="preserve">AAACAGGCTTTTCGCGACGGCACC</t>
  </si>
  <si>
    <t xml:space="preserve">CTGGCTGACGTCGTGGTCGC</t>
  </si>
  <si>
    <t xml:space="preserve">TAGTCTGGCTGACGTCGTGGTCGC</t>
  </si>
  <si>
    <t xml:space="preserve">AAACGCGACCACGACGTCAGCCAG</t>
  </si>
  <si>
    <t xml:space="preserve">PST_3915</t>
  </si>
  <si>
    <t xml:space="preserve">GAACGATTTTTGGCAGTGCG</t>
  </si>
  <si>
    <t xml:space="preserve">TAGTGAACGATTTTTGGCAGTGCG</t>
  </si>
  <si>
    <t xml:space="preserve">AAACCGCACTGCCAAAAATCGTTC</t>
  </si>
  <si>
    <t xml:space="preserve">GAGAGCAGGCTGAGGATATG</t>
  </si>
  <si>
    <t xml:space="preserve">TAGTGAGAGCAGGCTGAGGATATG</t>
  </si>
  <si>
    <t xml:space="preserve">AAACCATATCCTCAGCCTGCTCTC</t>
  </si>
  <si>
    <t xml:space="preserve">GCCAGGATCTCGAAAGCCTT</t>
  </si>
  <si>
    <t xml:space="preserve">TAGTGCCAGGATCTCGAAAGCCTT</t>
  </si>
  <si>
    <t xml:space="preserve">AAACAAGGCTTTCGAGATCCTGGC</t>
  </si>
  <si>
    <t xml:space="preserve">CAGCAGATCCAGATGCGGTT</t>
  </si>
  <si>
    <t xml:space="preserve">TAGTCAGCAGATCCAGATGCGGTT</t>
  </si>
  <si>
    <t xml:space="preserve">AAACAACCGCATCTGGATCTGCTG</t>
  </si>
  <si>
    <t xml:space="preserve">PST_3916</t>
  </si>
  <si>
    <t xml:space="preserve">fda</t>
  </si>
  <si>
    <t xml:space="preserve">CGGCGGCGTGGTCGAGCATC</t>
  </si>
  <si>
    <t xml:space="preserve">TAGTCGGCGGCGTGGTCGAGCATC</t>
  </si>
  <si>
    <t xml:space="preserve">AAACGATGCTCGACCACGCCGCCG</t>
  </si>
  <si>
    <t xml:space="preserve">CGGCACGCCGTAGCCGAACT</t>
  </si>
  <si>
    <t xml:space="preserve">TAGTCGGCACGCCGTAGCCGAACT</t>
  </si>
  <si>
    <t xml:space="preserve">AAACAGTTCGGCTACGGCGTGCCG</t>
  </si>
  <si>
    <t xml:space="preserve">AGGTTGTTGACGTTGAAGGC</t>
  </si>
  <si>
    <t xml:space="preserve">TAGTAGGTTGTTGACGTTGAAGGC</t>
  </si>
  <si>
    <t xml:space="preserve">AAACGCCTTCAACGTCAACAACCT</t>
  </si>
  <si>
    <t xml:space="preserve">CTTGTCGGCCGCTTCCATGA</t>
  </si>
  <si>
    <t xml:space="preserve">TAGTCTTGTCGGCCGCTTCCATGA</t>
  </si>
  <si>
    <t xml:space="preserve">AAACTCATGGAAGCGGCCGACAAG</t>
  </si>
  <si>
    <t xml:space="preserve">PST_3917</t>
  </si>
  <si>
    <t xml:space="preserve">AGCAGCGCGGCGAGCAGCAT</t>
  </si>
  <si>
    <t xml:space="preserve">TAGTAGCAGCGCGGCGAGCAGCAT</t>
  </si>
  <si>
    <t xml:space="preserve">AAACATGCTGCTCGCCGCGCTGCT</t>
  </si>
  <si>
    <t xml:space="preserve">CGTCCGGGCCGGACTGCCAG</t>
  </si>
  <si>
    <t xml:space="preserve">TAGTCGTCCGGGCCGGACTGCCAG</t>
  </si>
  <si>
    <t xml:space="preserve">AAACCTGGCAGTCCGGCCCGGACG</t>
  </si>
  <si>
    <t xml:space="preserve">TGGCACTTCCAGCGCACGAA</t>
  </si>
  <si>
    <t xml:space="preserve">TAGTTGGCACTTCCAGCGCACGAA</t>
  </si>
  <si>
    <t xml:space="preserve">AAACTTCGTGCGCTGGAAGTGCCA</t>
  </si>
  <si>
    <t xml:space="preserve">AGGCGATGTGCTGCTGGCTC</t>
  </si>
  <si>
    <t xml:space="preserve">TAGTAGGCGATGTGCTGCTGGCTC</t>
  </si>
  <si>
    <t xml:space="preserve">AAACGAGCCAGCAGCACATCGCCT</t>
  </si>
  <si>
    <t xml:space="preserve">PST_3918</t>
  </si>
  <si>
    <t xml:space="preserve">pgk</t>
  </si>
  <si>
    <t xml:space="preserve">GGTCATGTTGGTCTTCCTTA</t>
  </si>
  <si>
    <t xml:space="preserve">TAGTGGTCATGTTGGTCTTCCTTA</t>
  </si>
  <si>
    <t xml:space="preserve">AAACTAAGGAAGACCAACATGACC</t>
  </si>
  <si>
    <t xml:space="preserve">GAGATCGGTCATCTTCAAAA</t>
  </si>
  <si>
    <t xml:space="preserve">TAGTGAGATCGGTCATCTTCAAAA</t>
  </si>
  <si>
    <t xml:space="preserve">AAACTTTTGAAGATGACCGATCTC</t>
  </si>
  <si>
    <t xml:space="preserve">TCAGCACGCGCTTACCCTGG</t>
  </si>
  <si>
    <t xml:space="preserve">TAGTTCAGCACGCGCTTACCCTGG</t>
  </si>
  <si>
    <t xml:space="preserve">AAACCCAGGGTAAGCGCGTGCTGA</t>
  </si>
  <si>
    <t xml:space="preserve">CCGGCACGTTGAGGTCCTCG</t>
  </si>
  <si>
    <t xml:space="preserve">TAGTCCGGCACGTTGAGGTCCTCG</t>
  </si>
  <si>
    <t xml:space="preserve">AAACCGAGGACCTCAACGTGCCGG</t>
  </si>
  <si>
    <t xml:space="preserve">PST_3919</t>
  </si>
  <si>
    <t xml:space="preserve">epd</t>
  </si>
  <si>
    <t xml:space="preserve">TAGGGACGGGCGTTGGCCAT</t>
  </si>
  <si>
    <t xml:space="preserve">TAGTTAGGGACGGGCGTTGGCCAT</t>
  </si>
  <si>
    <t xml:space="preserve">AAACATGGCCAACGCCCGTCCCTA</t>
  </si>
  <si>
    <t xml:space="preserve">GCAGCACGCAACGGCCGATG</t>
  </si>
  <si>
    <t xml:space="preserve">TAGTGCAGCACGCAACGGCCGATG</t>
  </si>
  <si>
    <t xml:space="preserve">AAACCATCGGCCGTTGCGTGCTGC</t>
  </si>
  <si>
    <t xml:space="preserve">AACGAACTGAAAATCGAAGG</t>
  </si>
  <si>
    <t xml:space="preserve">TAGTAACGAACTGAAAATCGAAGG</t>
  </si>
  <si>
    <t xml:space="preserve">AAACCCTTCGATTTTCAGTTCGTT</t>
  </si>
  <si>
    <t xml:space="preserve">GTATTCCAGGCTGGCCATGT</t>
  </si>
  <si>
    <t xml:space="preserve">TAGTGTATTCCAGGCTGGCCATGT</t>
  </si>
  <si>
    <t xml:space="preserve">AAACACATGGCCAGCCTGGAATAC</t>
  </si>
  <si>
    <t xml:space="preserve">PST_3920</t>
  </si>
  <si>
    <t xml:space="preserve">tktA</t>
  </si>
  <si>
    <t xml:space="preserve">TTGGCTCGCTCACGACGGCT</t>
  </si>
  <si>
    <t xml:space="preserve">TAGTTTGGCTCGCTCACGACGGCT</t>
  </si>
  <si>
    <t xml:space="preserve">AAACAGCCGTCGTGAGCGAGCCAA</t>
  </si>
  <si>
    <t xml:space="preserve">ATCCATGCTGAGTGCGCGGA</t>
  </si>
  <si>
    <t xml:space="preserve">TAGTATCCATGCTGAGTGCGCGGA</t>
  </si>
  <si>
    <t xml:space="preserve">AAACTCCGCGCACTCAGCATGGAT</t>
  </si>
  <si>
    <t xml:space="preserve">GCCGCTGTTGGCTTTCTGCA</t>
  </si>
  <si>
    <t xml:space="preserve">TAGTGCCGCTGTTGGCTTTCTGCA</t>
  </si>
  <si>
    <t xml:space="preserve">AAACTGCAGAAAGCCAACAGCGGC</t>
  </si>
  <si>
    <t xml:space="preserve">TGCCCATGGGGGCACCGGGA</t>
  </si>
  <si>
    <t xml:space="preserve">TAGTTGCCCATGGGGGCACCGGGA</t>
  </si>
  <si>
    <t xml:space="preserve">AAACTCCCGGTGCCCCCATGGGCA</t>
  </si>
  <si>
    <t xml:space="preserve">PST_3921</t>
  </si>
  <si>
    <t xml:space="preserve">GCCCGCAGGGCATAGAGCGG</t>
  </si>
  <si>
    <t xml:space="preserve">TAGTGCCCGCAGGGCATAGAGCGG</t>
  </si>
  <si>
    <t xml:space="preserve">AAACCCGCTCTATGCCCTGCGGGC</t>
  </si>
  <si>
    <t xml:space="preserve">GAAACGCGCCGCCGCCTCGA</t>
  </si>
  <si>
    <t xml:space="preserve">TAGTGAAACGCGCCGCCGCCTCGA</t>
  </si>
  <si>
    <t xml:space="preserve">AAACTCGAGGCGGCGGCGCGTTTC</t>
  </si>
  <si>
    <t xml:space="preserve">TGAACAGGCTCTGCGCCGCC</t>
  </si>
  <si>
    <t xml:space="preserve">TAGTTGAACAGGCTCTGCGCCGCC</t>
  </si>
  <si>
    <t xml:space="preserve">AAACGGCGGCGCAGAGCCTGTTCA</t>
  </si>
  <si>
    <t xml:space="preserve">GACCGTGGCGTTCGAACAAC</t>
  </si>
  <si>
    <t xml:space="preserve">TAGTGACCGTGGCGTTCGAACAAC</t>
  </si>
  <si>
    <t xml:space="preserve">AAACGTTGTTCGAACGCCACGGTC</t>
  </si>
  <si>
    <t xml:space="preserve">PST_3922</t>
  </si>
  <si>
    <t xml:space="preserve">CAAGGCTCAAGGCCAATACC</t>
  </si>
  <si>
    <t xml:space="preserve">TAGTCAAGGCTCAAGGCCAATACC</t>
  </si>
  <si>
    <t xml:space="preserve">AAACGGTATTGGCCTTGAGCCTTG</t>
  </si>
  <si>
    <t xml:space="preserve">PST_3923</t>
  </si>
  <si>
    <t xml:space="preserve">TACACCTTGTGCCACCGCGT</t>
  </si>
  <si>
    <t xml:space="preserve">TAGTTACACCTTGTGCCACCGCGT</t>
  </si>
  <si>
    <t xml:space="preserve">AAACACGCGGTGGCACAAGGTGTA</t>
  </si>
  <si>
    <t xml:space="preserve">TGATCTGACCGATCTGCTCA</t>
  </si>
  <si>
    <t xml:space="preserve">TAGTTGATCTGACCGATCTGCTCA</t>
  </si>
  <si>
    <t xml:space="preserve">AAACTGAGCAGATCGGTCAGATCA</t>
  </si>
  <si>
    <t xml:space="preserve">CTTGCTTGTTGCCGAACAGG</t>
  </si>
  <si>
    <t xml:space="preserve">TAGTCTTGCTTGTTGCCGAACAGG</t>
  </si>
  <si>
    <t xml:space="preserve">AAACCCTGTTCGGCAACAAGCAAG</t>
  </si>
  <si>
    <t xml:space="preserve">TCGGCAGGTTTTCCAGCAGT</t>
  </si>
  <si>
    <t xml:space="preserve">TAGTTCGGCAGGTTTTCCAGCAGT</t>
  </si>
  <si>
    <t xml:space="preserve">AAACACTGCTGGAAAACCTGCCGA</t>
  </si>
  <si>
    <t xml:space="preserve">PST_3924</t>
  </si>
  <si>
    <t xml:space="preserve">GGCGGCAAAGGCGAGGTAGG</t>
  </si>
  <si>
    <t xml:space="preserve">TAGTGGCGGCAAAGGCGAGGTAGG</t>
  </si>
  <si>
    <t xml:space="preserve">AAACCCTACCTCGCCTTTGCCGCC</t>
  </si>
  <si>
    <t xml:space="preserve">GGCGATCAGCAGGGCTACGG</t>
  </si>
  <si>
    <t xml:space="preserve">TAGTGGCGATCAGCAGGGCTACGG</t>
  </si>
  <si>
    <t xml:space="preserve">AAACCCGTAGCCCTGCTGATCGCC</t>
  </si>
  <si>
    <t xml:space="preserve">GGCGACGACGGGGCCGGGCG</t>
  </si>
  <si>
    <t xml:space="preserve">TAGTGGCGACGACGGGGCCGGGCG</t>
  </si>
  <si>
    <t xml:space="preserve">AAACCGCCCGGCCCCGTCGTCGCC</t>
  </si>
  <si>
    <t xml:space="preserve">GGCGGGCGTCGGCCACCACC</t>
  </si>
  <si>
    <t xml:space="preserve">TAGTGGCGGGCGTCGGCCACCACC</t>
  </si>
  <si>
    <t xml:space="preserve">AAACGGTGGTGGCCGACGCCCGCC</t>
  </si>
  <si>
    <t xml:space="preserve">PST_3925</t>
  </si>
  <si>
    <t xml:space="preserve">TGGGGAAAGCGCAGGCTCAT</t>
  </si>
  <si>
    <t xml:space="preserve">TAGTTGGGGAAAGCGCAGGCTCAT</t>
  </si>
  <si>
    <t xml:space="preserve">AAACATGAGCCTGCGCTTTCCCCA</t>
  </si>
  <si>
    <t xml:space="preserve">CACTGGCGTCGTAACGGATC</t>
  </si>
  <si>
    <t xml:space="preserve">TAGTCACTGGCGTCGTAACGGATC</t>
  </si>
  <si>
    <t xml:space="preserve">AAACGATCCGTTACGACGCCAGTG</t>
  </si>
  <si>
    <t xml:space="preserve">CCTTGCACAGGGCGGCGAGC</t>
  </si>
  <si>
    <t xml:space="preserve">TAGTCCTTGCACAGGGCGGCGAGC</t>
  </si>
  <si>
    <t xml:space="preserve">AAACGCTCGCCGCCCTGTGCAAGG</t>
  </si>
  <si>
    <t xml:space="preserve">CCAGCACGCGCAGCACGTTC</t>
  </si>
  <si>
    <t xml:space="preserve">TAGTCCAGCACGCGCAGCACGTTC</t>
  </si>
  <si>
    <t xml:space="preserve">AAACGAACGTGCTGCGCGTGCTGG</t>
  </si>
  <si>
    <t xml:space="preserve">PST_3926</t>
  </si>
  <si>
    <t xml:space="preserve">metK</t>
  </si>
  <si>
    <t xml:space="preserve">CCCTTCGGATACGGACTCGG</t>
  </si>
  <si>
    <t xml:space="preserve">TAGTCCCTTCGGATACGGACTCGG</t>
  </si>
  <si>
    <t xml:space="preserve">AAACCCGAGTCCGTATCCGAAGGG</t>
  </si>
  <si>
    <t xml:space="preserve">ATCTGGTCGGCGATCTTGTC</t>
  </si>
  <si>
    <t xml:space="preserve">TAGTATCTGGTCGGCGATCTTGTC</t>
  </si>
  <si>
    <t xml:space="preserve">AAACGACAAGATCGCCGACCAGAT</t>
  </si>
  <si>
    <t xml:space="preserve">GATGGCGTCGAGCACCGCAT</t>
  </si>
  <si>
    <t xml:space="preserve">TAGTGATGGCGTCGAGCACCGCAT</t>
  </si>
  <si>
    <t xml:space="preserve">AAACATGCGGTGCTCGACGCCATC</t>
  </si>
  <si>
    <t xml:space="preserve">CACGCGGGCGTGCTTGTCCT</t>
  </si>
  <si>
    <t xml:space="preserve">TAGTCACGCGGGCGTGCTTGTCCT</t>
  </si>
  <si>
    <t xml:space="preserve">AAACAGGACAAGCACGCCCGCGTG</t>
  </si>
  <si>
    <t xml:space="preserve">PST_3927</t>
  </si>
  <si>
    <t xml:space="preserve">GAAGAGGTGGGAAATACGCA</t>
  </si>
  <si>
    <t xml:space="preserve">TAGTGAAGAGGTGGGAAATACGCA</t>
  </si>
  <si>
    <t xml:space="preserve">AAACTGCGTATTTCCCACCTCTTC</t>
  </si>
  <si>
    <t xml:space="preserve">GGCGCTCGAGAGGGCGAGCA</t>
  </si>
  <si>
    <t xml:space="preserve">TAGTGGCGCTCGAGAGGGCGAGCA</t>
  </si>
  <si>
    <t xml:space="preserve">AAACTGCTCGCCCTCTCGAGCGCC</t>
  </si>
  <si>
    <t xml:space="preserve">GCTGGTAGCCGCCTGCAGCG</t>
  </si>
  <si>
    <t xml:space="preserve">TAGTGCTGGTAGCCGCCTGCAGCG</t>
  </si>
  <si>
    <t xml:space="preserve">AAACCGCTGCAGGCGGCTACCAGC</t>
  </si>
  <si>
    <t xml:space="preserve">GTTCAGCTGTTGTTCGCATT</t>
  </si>
  <si>
    <t xml:space="preserve">TAGTGTTCAGCTGTTGTTCGCATT</t>
  </si>
  <si>
    <t xml:space="preserve">AAACAATGCGAACAACAGCTGAAC</t>
  </si>
  <si>
    <t xml:space="preserve">PST_3928</t>
  </si>
  <si>
    <t xml:space="preserve">GTTCGAACAGGTAGATCGCG</t>
  </si>
  <si>
    <t xml:space="preserve">TAGTGTTCGAACAGGTAGATCGCG</t>
  </si>
  <si>
    <t xml:space="preserve">AAACCGCGATCTACCTGTTCGAAC</t>
  </si>
  <si>
    <t xml:space="preserve">GCTCTGCAGCAGGGTGCGCC</t>
  </si>
  <si>
    <t xml:space="preserve">TAGTGCTCTGCAGCAGGGTGCGCC</t>
  </si>
  <si>
    <t xml:space="preserve">AAACGGCGCACCCTGCTGCAGAGC</t>
  </si>
  <si>
    <t xml:space="preserve">CGAGGTGGAGATCACCGGGG</t>
  </si>
  <si>
    <t xml:space="preserve">TAGTCGAGGTGGAGATCACCGGGG</t>
  </si>
  <si>
    <t xml:space="preserve">AAACCCCCGGTGATCTCCACCTCG</t>
  </si>
  <si>
    <t xml:space="preserve">GGCCTCCATGCGCGCGCCGA</t>
  </si>
  <si>
    <t xml:space="preserve">TAGTGGCCTCCATGCGCGCGCCGA</t>
  </si>
  <si>
    <t xml:space="preserve">AAACTCGGCGCGCGCATGGAGGCC</t>
  </si>
  <si>
    <t xml:space="preserve">PST_3929</t>
  </si>
  <si>
    <t xml:space="preserve">TGTGCTACTGACCACGGTCA</t>
  </si>
  <si>
    <t xml:space="preserve">TAGTTGTGCTACTGACCACGGTCA</t>
  </si>
  <si>
    <t xml:space="preserve">AAACTGACCGTGGTCAGTAGCACA</t>
  </si>
  <si>
    <t xml:space="preserve">TCCTCCCGTGTCGCCGATTT</t>
  </si>
  <si>
    <t xml:space="preserve">TAGTTCCTCCCGTGTCGCCGATTT</t>
  </si>
  <si>
    <t xml:space="preserve">AAACAAATCGGCGACACGGGAGGA</t>
  </si>
  <si>
    <t xml:space="preserve">CGTCTCTTCGAGGAATTGAG</t>
  </si>
  <si>
    <t xml:space="preserve">TAGTCGTCTCTTCGAGGAATTGAG</t>
  </si>
  <si>
    <t xml:space="preserve">AAACCTCAATTCCTCGAAGAGACG</t>
  </si>
  <si>
    <t xml:space="preserve">ATGGCGATCACTGGGTACAC</t>
  </si>
  <si>
    <t xml:space="preserve">TAGTATGGCGATCACTGGGTACAC</t>
  </si>
  <si>
    <t xml:space="preserve">AAACGTGTACCCAGTGATCGCCAT</t>
  </si>
  <si>
    <t xml:space="preserve">PST_3930</t>
  </si>
  <si>
    <t xml:space="preserve">TCCGACGAACAGCGCGACGT</t>
  </si>
  <si>
    <t xml:space="preserve">TAGTTCCGACGAACAGCGCGACGT</t>
  </si>
  <si>
    <t xml:space="preserve">AAACACGTCGCGCTGTTCGTCGGA</t>
  </si>
  <si>
    <t xml:space="preserve">CCTTGCGCAGCGGCCAGATC</t>
  </si>
  <si>
    <t xml:space="preserve">TAGTCCTTGCGCAGCGGCCAGATC</t>
  </si>
  <si>
    <t xml:space="preserve">AAACGATCTGGCCGCTGCGCAAGG</t>
  </si>
  <si>
    <t xml:space="preserve">TATCACCGCCACGCTCATCG</t>
  </si>
  <si>
    <t xml:space="preserve">TAGTTATCACCGCCACGCTCATCG</t>
  </si>
  <si>
    <t xml:space="preserve">AAACCGATGAGCGTGGCGGTGATA</t>
  </si>
  <si>
    <t xml:space="preserve">AAGAAGCGTTCGAAGCGCCG</t>
  </si>
  <si>
    <t xml:space="preserve">TAGTAAGAAGCGTTCGAAGCGCCG</t>
  </si>
  <si>
    <t xml:space="preserve">AAACCGGCGCTTCGAACGCTTCTT</t>
  </si>
  <si>
    <t xml:space="preserve">PST_3931</t>
  </si>
  <si>
    <t xml:space="preserve">ATGCCGGATTGTCGCCTGCC</t>
  </si>
  <si>
    <t xml:space="preserve">TAGTATGCCGGATTGTCGCCTGCC</t>
  </si>
  <si>
    <t xml:space="preserve">AAACGGCAGGCGACAATCCGGCAT</t>
  </si>
  <si>
    <t xml:space="preserve">GCGCGGCCCGCCGACGCCGG</t>
  </si>
  <si>
    <t xml:space="preserve">TAGTGCGCGGCCCGCCGACGCCGG</t>
  </si>
  <si>
    <t xml:space="preserve">AAACCCGGCGTCGGCGGGCCGCGC</t>
  </si>
  <si>
    <t xml:space="preserve">CATCCTTGCTCTGGTGACGG</t>
  </si>
  <si>
    <t xml:space="preserve">TAGTCATCCTTGCTCTGGTGACGG</t>
  </si>
  <si>
    <t xml:space="preserve">AAACCCGTCACCAGAGCAAGGATG</t>
  </si>
  <si>
    <t xml:space="preserve">TAGCGTGATCAGGCGTGGCA</t>
  </si>
  <si>
    <t xml:space="preserve">TAGTTAGCGTGATCAGGCGTGGCA</t>
  </si>
  <si>
    <t xml:space="preserve">AAACTGCCACGCCTGATCACGCTA</t>
  </si>
  <si>
    <t xml:space="preserve">PST_3932</t>
  </si>
  <si>
    <t xml:space="preserve">CAGGCGGTCAGCAGGGCAAT</t>
  </si>
  <si>
    <t xml:space="preserve">TAGTCAGGCGGTCAGCAGGGCAAT</t>
  </si>
  <si>
    <t xml:space="preserve">AAACATTGCCCTGCTGACCGCCTG</t>
  </si>
  <si>
    <t xml:space="preserve">GCGGAGCGGCGGCGAGCAGC</t>
  </si>
  <si>
    <t xml:space="preserve">TAGTGCGGAGCGGCGGCGAGCAGC</t>
  </si>
  <si>
    <t xml:space="preserve">AAACGCTGCTCGCCGCCGCTCCGC</t>
  </si>
  <si>
    <t xml:space="preserve">CTGTGCATGGCACTGAGGGT</t>
  </si>
  <si>
    <t xml:space="preserve">TAGTCTGTGCATGGCACTGAGGGT</t>
  </si>
  <si>
    <t xml:space="preserve">AAACACCCTCAGTGCCATGCACAG</t>
  </si>
  <si>
    <t xml:space="preserve">GCTGCAGCTTGTCGCCTTGC</t>
  </si>
  <si>
    <t xml:space="preserve">TAGTGCTGCAGCTTGTCGCCTTGC</t>
  </si>
  <si>
    <t xml:space="preserve">AAACGCAAGGCGACAAGCTGCAGC</t>
  </si>
  <si>
    <t xml:space="preserve">PST_3933</t>
  </si>
  <si>
    <t xml:space="preserve">CAGCAATCTCAACAACGTCA</t>
  </si>
  <si>
    <t xml:space="preserve">TAGTCAGCAATCTCAACAACGTCA</t>
  </si>
  <si>
    <t xml:space="preserve">AAACTGACGTTGTTGAGATTGCTG</t>
  </si>
  <si>
    <t xml:space="preserve">GCAGCGCGGCGAACAGGGGA</t>
  </si>
  <si>
    <t xml:space="preserve">TAGTGCAGCGCGGCGAACAGGGGA</t>
  </si>
  <si>
    <t xml:space="preserve">AAACTCCCCTGTTCGCCGCGCTGC</t>
  </si>
  <si>
    <t xml:space="preserve">GCTTGCCCAGCGGCGAGTCA</t>
  </si>
  <si>
    <t xml:space="preserve">TAGTGCTTGCCCAGCGGCGAGTCA</t>
  </si>
  <si>
    <t xml:space="preserve">AAACTGACTCGCCGCTGGGCAAGC</t>
  </si>
  <si>
    <t xml:space="preserve">CATGCCGCCGAGGTCTTCCT</t>
  </si>
  <si>
    <t xml:space="preserve">TAGTCATGCCGCCGAGGTCTTCCT</t>
  </si>
  <si>
    <t xml:space="preserve">AAACAGGAAGACCTCGGCGGCATG</t>
  </si>
  <si>
    <t xml:space="preserve">PST_3934</t>
  </si>
  <si>
    <t xml:space="preserve">AAGGCGAAGCATGGGGTTCA</t>
  </si>
  <si>
    <t xml:space="preserve">TAGTAAGGCGAAGCATGGGGTTCA</t>
  </si>
  <si>
    <t xml:space="preserve">AAACTGAACCCCATGCTTCGCCTT</t>
  </si>
  <si>
    <t xml:space="preserve">CGCACCCACCAGCAGGAAGG</t>
  </si>
  <si>
    <t xml:space="preserve">TAGTCGCACCCACCAGCAGGAAGG</t>
  </si>
  <si>
    <t xml:space="preserve">AAACCCTTCCTGCTGGTGGGTGCG</t>
  </si>
  <si>
    <t xml:space="preserve">AGGACTGCGCTGCGGCCGGC</t>
  </si>
  <si>
    <t xml:space="preserve">TAGTAGGACTGCGCTGCGGCCGGC</t>
  </si>
  <si>
    <t xml:space="preserve">AAACGCCGGCCGCAGCGCAGTCCT</t>
  </si>
  <si>
    <t xml:space="preserve">GGTTTCGCTGTGGACATAGC</t>
  </si>
  <si>
    <t xml:space="preserve">TAGTGGTTTCGCTGTGGACATAGC</t>
  </si>
  <si>
    <t xml:space="preserve">AAACGCTATGTCCACAGCGAAACC</t>
  </si>
  <si>
    <t xml:space="preserve">PST_3935</t>
  </si>
  <si>
    <t xml:space="preserve">sahH</t>
  </si>
  <si>
    <t xml:space="preserve">TTGAAGTCGGTGAAACCGGC</t>
  </si>
  <si>
    <t xml:space="preserve">TAGTTTGAAGTCGGTGAAACCGGC</t>
  </si>
  <si>
    <t xml:space="preserve">AAACGCCGGTTTCACCGACTTCAA</t>
  </si>
  <si>
    <t xml:space="preserve">CCAGGCGGCCAGGGAAATGT</t>
  </si>
  <si>
    <t xml:space="preserve">TAGTCCAGGCGGCCAGGGAAATGT</t>
  </si>
  <si>
    <t xml:space="preserve">AAACACATTTCCCTGGCCGCCTGG</t>
  </si>
  <si>
    <t xml:space="preserve">ATTCGGCGATGATGATCTCG</t>
  </si>
  <si>
    <t xml:space="preserve">TAGTATTCGGCGATGATGATCTCG</t>
  </si>
  <si>
    <t xml:space="preserve">AAACCGAGATCATCATCGCCGAAT</t>
  </si>
  <si>
    <t xml:space="preserve">CGGCGCAGGCCCATCAAGGC</t>
  </si>
  <si>
    <t xml:space="preserve">TAGTCGGCGCAGGCCCATCAAGGC</t>
  </si>
  <si>
    <t xml:space="preserve">AAACGCCTTGATGGGCCTGCGCCG</t>
  </si>
  <si>
    <t xml:space="preserve">PST_3936</t>
  </si>
  <si>
    <t xml:space="preserve">metF</t>
  </si>
  <si>
    <t xml:space="preserve">GATGGAAGGGCGATTTGAAG</t>
  </si>
  <si>
    <t xml:space="preserve">TAGTGATGGAAGGGCGATTTGAAG</t>
  </si>
  <si>
    <t xml:space="preserve">AAACCTTCAAATCGCCCTTCCATC</t>
  </si>
  <si>
    <t xml:space="preserve">GCCCGGCTTCGGTCTTGGTG</t>
  </si>
  <si>
    <t xml:space="preserve">TAGTGCCCGGCTTCGGTCTTGGTG</t>
  </si>
  <si>
    <t xml:space="preserve">AAACCACCAAGACCGAAGCCGGGC</t>
  </si>
  <si>
    <t xml:space="preserve">CGGGCTGGTAGCCCGCCAGC</t>
  </si>
  <si>
    <t xml:space="preserve">TAGTCGGGCTGGTAGCCCGCCAGC</t>
  </si>
  <si>
    <t xml:space="preserve">AAACGCTGGCGGGCTACCAGCCCG</t>
  </si>
  <si>
    <t xml:space="preserve">GTAGGTGCAGGAGAAGAAAT</t>
  </si>
  <si>
    <t xml:space="preserve">TAGTGTAGGTGCAGGAGAAGAAAT</t>
  </si>
  <si>
    <t xml:space="preserve">AAACATTTCTTCTCCTGCACCTAC</t>
  </si>
  <si>
    <t xml:space="preserve">PST_3937</t>
  </si>
  <si>
    <t xml:space="preserve">GGAGAGACCGAGGGAAGCAA</t>
  </si>
  <si>
    <t xml:space="preserve">TAGTGGAGAGACCGAGGGAAGCAA</t>
  </si>
  <si>
    <t xml:space="preserve">AAACTTGCTTCCCTCGGTCTCTCC</t>
  </si>
  <si>
    <t xml:space="preserve">ACCGGCGGCCTCGACGGCAC</t>
  </si>
  <si>
    <t xml:space="preserve">TAGTACCGGCGGCCTCGACGGCAC</t>
  </si>
  <si>
    <t xml:space="preserve">AAACGTGCCGTCGAGGCCGCCGGT</t>
  </si>
  <si>
    <t xml:space="preserve">CTGTTGCACGGGAGTAGGCT</t>
  </si>
  <si>
    <t xml:space="preserve">TAGTCTGTTGCACGGGAGTAGGCT</t>
  </si>
  <si>
    <t xml:space="preserve">AAACAGCCTACTCCCGTGCAACAG</t>
  </si>
  <si>
    <t xml:space="preserve">TCACGGCCTTGCAACACGGC</t>
  </si>
  <si>
    <t xml:space="preserve">TAGTTCACGGCCTTGCAACACGGC</t>
  </si>
  <si>
    <t xml:space="preserve">AAACGCCGTGTTGCAAGGCCGTGA</t>
  </si>
  <si>
    <t xml:space="preserve">PST_3938</t>
  </si>
  <si>
    <t xml:space="preserve">oprM</t>
  </si>
  <si>
    <t xml:space="preserve">GCATCCGGACGCTGATACTC</t>
  </si>
  <si>
    <t xml:space="preserve">TAGTGCATCCGGACGCTGATACTC</t>
  </si>
  <si>
    <t xml:space="preserve">AAACGAGTATCAGCGTCCGGATGC</t>
  </si>
  <si>
    <t xml:space="preserve">TGCGGCCAGTCGGCTGGTGC</t>
  </si>
  <si>
    <t xml:space="preserve">TAGTTGCGGCCAGTCGGCTGGTGC</t>
  </si>
  <si>
    <t xml:space="preserve">AAACGCACCAGCCGACTGGCCGCA</t>
  </si>
  <si>
    <t xml:space="preserve">CTCGGGGGATGCCTTCGAAT</t>
  </si>
  <si>
    <t xml:space="preserve">TAGTCTCGGGGGATGCCTTCGAAT</t>
  </si>
  <si>
    <t xml:space="preserve">AAACATTCGAAGGCATCCCCCGAG</t>
  </si>
  <si>
    <t xml:space="preserve">GAAGAACTGGCGCCAGCCAA</t>
  </si>
  <si>
    <t xml:space="preserve">TAGTGAAGAACTGGCGCCAGCCAA</t>
  </si>
  <si>
    <t xml:space="preserve">AAACTTGGCTGGCGCCAGTTCTTC</t>
  </si>
  <si>
    <t xml:space="preserve">PST_3939</t>
  </si>
  <si>
    <t xml:space="preserve">ttgB</t>
  </si>
  <si>
    <t xml:space="preserve">CGGCCGGTCGATGAAGAATC</t>
  </si>
  <si>
    <t xml:space="preserve">TAGTCGGCCGGTCGATGAAGAATC</t>
  </si>
  <si>
    <t xml:space="preserve">AAACGATTCTTCATCGACCGGCCG</t>
  </si>
  <si>
    <t xml:space="preserve">GCGATCACCCAGGCGAAGAT</t>
  </si>
  <si>
    <t xml:space="preserve">TAGTGCGATCACCCAGGCGAAGAT</t>
  </si>
  <si>
    <t xml:space="preserve">AAACATCTTCGCCTGGGTGATCGC</t>
  </si>
  <si>
    <t xml:space="preserve">CGCCGGCTAGCATGATCACC</t>
  </si>
  <si>
    <t xml:space="preserve">TAGTCGCCGGCTAGCATGATCACC</t>
  </si>
  <si>
    <t xml:space="preserve">AAACGGTGATCATGCTAGCCGGCG</t>
  </si>
  <si>
    <t xml:space="preserve">CGGCAAAGTTAGGATGGACA</t>
  </si>
  <si>
    <t xml:space="preserve">TAGTCGGCAAAGTTAGGATGGACA</t>
  </si>
  <si>
    <t xml:space="preserve">AAACTGTCCATCCTAACTTTGCCG</t>
  </si>
  <si>
    <t xml:space="preserve">PST_3940</t>
  </si>
  <si>
    <t xml:space="preserve">ttgA</t>
  </si>
  <si>
    <t xml:space="preserve">ACTGGCTGACTTGATTGGCA</t>
  </si>
  <si>
    <t xml:space="preserve">TAGTACTGGCTGACTTGATTGGCA</t>
  </si>
  <si>
    <t xml:space="preserve">AAACTGCCAATCAAGTCAGCCAGT</t>
  </si>
  <si>
    <t xml:space="preserve">CACGGCGAGAATGGACATCA</t>
  </si>
  <si>
    <t xml:space="preserve">TAGTCACGGCGAGAATGGACATCA</t>
  </si>
  <si>
    <t xml:space="preserve">AAACTGATGTCCATTCTCGCCGTG</t>
  </si>
  <si>
    <t xml:space="preserve">CTTCTTCCTGACAGCCGGCC</t>
  </si>
  <si>
    <t xml:space="preserve">TAGTCTTCTTCCTGACAGCCGGCC</t>
  </si>
  <si>
    <t xml:space="preserve">AAACGGCCGGCTGTCAGGAAGAAG</t>
  </si>
  <si>
    <t xml:space="preserve">GTGGGCTTCTGCTGCGCCGG</t>
  </si>
  <si>
    <t xml:space="preserve">TAGTGTGGGCTTCTGCTGCGCCGG</t>
  </si>
  <si>
    <t xml:space="preserve">AAACCCGGCGCAGCAGAAGCCCAC</t>
  </si>
  <si>
    <t xml:space="preserve">PST_3941</t>
  </si>
  <si>
    <t xml:space="preserve">CGTAATCGGCCGCGAATGCC</t>
  </si>
  <si>
    <t xml:space="preserve">TAGTCGTAATCGGCCGCGAATGCC</t>
  </si>
  <si>
    <t xml:space="preserve">AAACGGCATTCGCGGCCGATTACG</t>
  </si>
  <si>
    <t xml:space="preserve">ATGCTGGCCTTCCTTGTCGA</t>
  </si>
  <si>
    <t xml:space="preserve">TAGTATGCTGGCCTTCCTTGTCGA</t>
  </si>
  <si>
    <t xml:space="preserve">AAACTCGACAAGGAAGGCCAGCAT</t>
  </si>
  <si>
    <t xml:space="preserve">ACAGCCAGCTGTAACCGAGG</t>
  </si>
  <si>
    <t xml:space="preserve">TAGTACAGCCAGCTGTAACCGAGG</t>
  </si>
  <si>
    <t xml:space="preserve">AAACCCTCGGTTACAGCTGGCTGT</t>
  </si>
  <si>
    <t xml:space="preserve">GTCGCCGTCGAAGTCGTTGA</t>
  </si>
  <si>
    <t xml:space="preserve">TAGTGTCGCCGTCGAAGTCGTTGA</t>
  </si>
  <si>
    <t xml:space="preserve">AAACTCAACGACTTCGACGGCGAC</t>
  </si>
  <si>
    <t xml:space="preserve">PST_3942</t>
  </si>
  <si>
    <t xml:space="preserve">GGTCAGCCCGTAATGCGTCG</t>
  </si>
  <si>
    <t xml:space="preserve">TAGTGGTCAGCCCGTAATGCGTCG</t>
  </si>
  <si>
    <t xml:space="preserve">AAACCGACGCATTACGGGCTGACC</t>
  </si>
  <si>
    <t xml:space="preserve">CAGCCAGTGCAACACAATGC</t>
  </si>
  <si>
    <t xml:space="preserve">TAGTCAGCCAGTGCAACACAATGC</t>
  </si>
  <si>
    <t xml:space="preserve">AAACGCATTGTGTTGCACTGGCTG</t>
  </si>
  <si>
    <t xml:space="preserve">GAACAGACCGAATACCGCCA</t>
  </si>
  <si>
    <t xml:space="preserve">TAGTGAACAGACCGAATACCGCCA</t>
  </si>
  <si>
    <t xml:space="preserve">AAACTGGCGGTATTCGGTCTGTTC</t>
  </si>
  <si>
    <t xml:space="preserve">CCCGACCATCCAGAAACCCA</t>
  </si>
  <si>
    <t xml:space="preserve">TAGTCCCGACCATCCAGAAACCCA</t>
  </si>
  <si>
    <t xml:space="preserve">AAACTGGGTTTCTGGATGGTCGGG</t>
  </si>
  <si>
    <t xml:space="preserve">PST_3943</t>
  </si>
  <si>
    <t xml:space="preserve">AACGCGACCTCGCCGTACTC</t>
  </si>
  <si>
    <t xml:space="preserve">TAGTAACGCGACCTCGCCGTACTC</t>
  </si>
  <si>
    <t xml:space="preserve">AAACGAGTACGGCGAGGTCGCGTT</t>
  </si>
  <si>
    <t xml:space="preserve">GCTGCGCAACTCACCGCGCA</t>
  </si>
  <si>
    <t xml:space="preserve">TAGTGCTGCGCAACTCACCGCGCA</t>
  </si>
  <si>
    <t xml:space="preserve">AAACTGCGCGGTGAGTTGCGCAGC</t>
  </si>
  <si>
    <t xml:space="preserve">ACGCAACCGCCAGTTCTGCT</t>
  </si>
  <si>
    <t xml:space="preserve">TAGTACGCAACCGCCAGTTCTGCT</t>
  </si>
  <si>
    <t xml:space="preserve">AAACAGCAGAACTGGCGGTTGCGT</t>
  </si>
  <si>
    <t xml:space="preserve">AAGCCTAGCCGGTTACCTAT</t>
  </si>
  <si>
    <t xml:space="preserve">TAGTAAGCCTAGCCGGTTACCTAT</t>
  </si>
  <si>
    <t xml:space="preserve">AAACATAGGTAACCGGCTAGGCTT</t>
  </si>
  <si>
    <t xml:space="preserve">PST_3944</t>
  </si>
  <si>
    <t xml:space="preserve">bioA</t>
  </si>
  <si>
    <t xml:space="preserve">GCCGAAAACGTTGACCCACC</t>
  </si>
  <si>
    <t xml:space="preserve">TAGTGCCGAAAACGTTGACCCACC</t>
  </si>
  <si>
    <t xml:space="preserve">AAACGGTGGGTCAACGTTTTCGGC</t>
  </si>
  <si>
    <t xml:space="preserve">GATTGATGCGCGGATTGGCA</t>
  </si>
  <si>
    <t xml:space="preserve">TAGTGATTGATGCGCGGATTGGCA</t>
  </si>
  <si>
    <t xml:space="preserve">AAACTGCCAATCCGCGCATCAATC</t>
  </si>
  <si>
    <t xml:space="preserve">CGTGCTCGAGCTGGTCGACC</t>
  </si>
  <si>
    <t xml:space="preserve">TAGTCGTGCTCGAGCTGGTCGACC</t>
  </si>
  <si>
    <t xml:space="preserve">AAACGGTCGACCAGCTCGAGCACG</t>
  </si>
  <si>
    <t xml:space="preserve">CACCGGCTGATGGCTGAAGC</t>
  </si>
  <si>
    <t xml:space="preserve">TAGTCACCGGCTGATGGCTGAAGC</t>
  </si>
  <si>
    <t xml:space="preserve">AAACGCTTCAGCCATCAGCCGGTG</t>
  </si>
  <si>
    <t xml:space="preserve">PST_3945</t>
  </si>
  <si>
    <t xml:space="preserve">AAGAAGCGGGATAGGCGCAT</t>
  </si>
  <si>
    <t xml:space="preserve">TAGTAAGAAGCGGGATAGGCGCAT</t>
  </si>
  <si>
    <t xml:space="preserve">AAACATGCGCCTATCCCGCTTCTT</t>
  </si>
  <si>
    <t xml:space="preserve">ATGCTGGCCGAGGGAAAGAG</t>
  </si>
  <si>
    <t xml:space="preserve">TAGTATGCTGGCCGAGGGAAAGAG</t>
  </si>
  <si>
    <t xml:space="preserve">AAACCTCTTTCCCTCGGCCAGCAT</t>
  </si>
  <si>
    <t xml:space="preserve">ATGTAATGAGCCGATGCCTC</t>
  </si>
  <si>
    <t xml:space="preserve">TAGTATGTAATGAGCCGATGCCTC</t>
  </si>
  <si>
    <t xml:space="preserve">AAACGAGGCATCGGCTCATTACAT</t>
  </si>
  <si>
    <t xml:space="preserve">GCACCGCGCTGCCGGCCGAC</t>
  </si>
  <si>
    <t xml:space="preserve">TAGTGCACCGCGCTGCCGGCCGAC</t>
  </si>
  <si>
    <t xml:space="preserve">AAACGTCGGCCGGCAGCGCGGTGC</t>
  </si>
  <si>
    <t xml:space="preserve">PST_3946</t>
  </si>
  <si>
    <t xml:space="preserve">GCGGCATCAGCAGCCCGGTA</t>
  </si>
  <si>
    <t xml:space="preserve">TAGTGCGGCATCAGCAGCCCGGTA</t>
  </si>
  <si>
    <t xml:space="preserve">AAACTACCGGGCTGCTGATGCCGC</t>
  </si>
  <si>
    <t xml:space="preserve">AGCTCGGCAACCGCCACGTT</t>
  </si>
  <si>
    <t xml:space="preserve">TAGTAGCTCGGCAACCGCCACGTT</t>
  </si>
  <si>
    <t xml:space="preserve">AAACAACGTGGCGGTTGCCGAGCT</t>
  </si>
  <si>
    <t xml:space="preserve">ACCGCCTGTGGCGCACGGTA</t>
  </si>
  <si>
    <t xml:space="preserve">TAGTACCGCCTGTGGCGCACGGTA</t>
  </si>
  <si>
    <t xml:space="preserve">AAACTACCGTGCGCCACAGGCGGT</t>
  </si>
  <si>
    <t xml:space="preserve">ACCTGGCCGAGAAACCAGGC</t>
  </si>
  <si>
    <t xml:space="preserve">TAGTACCTGGCCGAGAAACCAGGC</t>
  </si>
  <si>
    <t xml:space="preserve">AAACGCCTGGTTTCTCGGCCAGGT</t>
  </si>
  <si>
    <t xml:space="preserve">PST_3947</t>
  </si>
  <si>
    <t xml:space="preserve">GGCGAGTACCGCAATACGGG</t>
  </si>
  <si>
    <t xml:space="preserve">TAGTGGCGAGTACCGCAATACGGG</t>
  </si>
  <si>
    <t xml:space="preserve">AAACCCCGTATTGCGGTACTCGCC</t>
  </si>
  <si>
    <t xml:space="preserve">GTGACGCTGCAGCGAGGTAT</t>
  </si>
  <si>
    <t xml:space="preserve">TAGTGTGACGCTGCAGCGAGGTAT</t>
  </si>
  <si>
    <t xml:space="preserve">AAACATACCTCGCTGCAGCGTCAC</t>
  </si>
  <si>
    <t xml:space="preserve">CACCACCTGATAGCCACTTC</t>
  </si>
  <si>
    <t xml:space="preserve">TAGTCACCACCTGATAGCCACTTC</t>
  </si>
  <si>
    <t xml:space="preserve">AAACGAAGTGGCTATCAGGTGGTG</t>
  </si>
  <si>
    <t xml:space="preserve">CGGCAGGTTCAAGACGCGCC</t>
  </si>
  <si>
    <t xml:space="preserve">TAGTCGGCAGGTTCAAGACGCGCC</t>
  </si>
  <si>
    <t xml:space="preserve">AAACGGCGCGTCTTGAACCTGCCG</t>
  </si>
  <si>
    <t xml:space="preserve">PST_3948</t>
  </si>
  <si>
    <t xml:space="preserve">CTCGCCTTTCACCCACTCCA</t>
  </si>
  <si>
    <t xml:space="preserve">TAGTCTCGCCTTTCACCCACTCCA</t>
  </si>
  <si>
    <t xml:space="preserve">AAACTGGAGTGGGTGAAAGGCGAG</t>
  </si>
  <si>
    <t xml:space="preserve">ACGCGCCTGCTTAAGCGTTT</t>
  </si>
  <si>
    <t xml:space="preserve">TAGTACGCGCCTGCTTAAGCGTTT</t>
  </si>
  <si>
    <t xml:space="preserve">AAACAAACGCTTAAGCAGGCGCGT</t>
  </si>
  <si>
    <t xml:space="preserve">CTCATCCGAGTCGAGTCCTG</t>
  </si>
  <si>
    <t xml:space="preserve">TAGTCTCATCCGAGTCGAGTCCTG</t>
  </si>
  <si>
    <t xml:space="preserve">AAACCAGGACTCGACTCGGATGAG</t>
  </si>
  <si>
    <t xml:space="preserve">GTACCTGATGCACATAGGTC</t>
  </si>
  <si>
    <t xml:space="preserve">TAGTGTACCTGATGCACATAGGTC</t>
  </si>
  <si>
    <t xml:space="preserve">AAACGACCTATGTGCATCAGGTAC</t>
  </si>
  <si>
    <t xml:space="preserve">PST_3949</t>
  </si>
  <si>
    <t xml:space="preserve">pilK</t>
  </si>
  <si>
    <t xml:space="preserve">TCCAATGCCCAGTCCAACCT</t>
  </si>
  <si>
    <t xml:space="preserve">TAGTTCCAATGCCCAGTCCAACCT</t>
  </si>
  <si>
    <t xml:space="preserve">AAACAGGTTGGACTGGGCATTGGA</t>
  </si>
  <si>
    <t xml:space="preserve">GCCGGCGACATATCGGCCAG</t>
  </si>
  <si>
    <t xml:space="preserve">TAGTGCCGGCGACATATCGGCCAG</t>
  </si>
  <si>
    <t xml:space="preserve">AAACCTGGCCGATATGTCGCCGGC</t>
  </si>
  <si>
    <t xml:space="preserve">CGAGAAGCGTCTGCCAATCA</t>
  </si>
  <si>
    <t xml:space="preserve">TAGTCGAGAAGCGTCTGCCAATCA</t>
  </si>
  <si>
    <t xml:space="preserve">AAACTGATTGGCAGACGCTTCTCG</t>
  </si>
  <si>
    <t xml:space="preserve">CTGCTCGCTGACGACCATGC</t>
  </si>
  <si>
    <t xml:space="preserve">TAGTCTGCTCGCTGACGACCATGC</t>
  </si>
  <si>
    <t xml:space="preserve">AAACGCATGGTCGTCAGCGAGCAG</t>
  </si>
  <si>
    <t xml:space="preserve">PST_3950</t>
  </si>
  <si>
    <t xml:space="preserve">pilJ</t>
  </si>
  <si>
    <t xml:space="preserve">GATCAGCACGATAAACAAAC</t>
  </si>
  <si>
    <t xml:space="preserve">TAGTGATCAGCACGATAAACAAAC</t>
  </si>
  <si>
    <t xml:space="preserve">AAACGTTTGTTTATCGTGCTGATC</t>
  </si>
  <si>
    <t xml:space="preserve">GGCGTCCTTGGCGATCTGCT</t>
  </si>
  <si>
    <t xml:space="preserve">TAGTGGCGTCCTTGGCGATCTGCT</t>
  </si>
  <si>
    <t xml:space="preserve">AAACAGCAGATCGCCAAGGACGCC</t>
  </si>
  <si>
    <t xml:space="preserve">TGTTCCCGTTGCCGCTTCCA</t>
  </si>
  <si>
    <t xml:space="preserve">TAGTTGTTCCCGTTGCCGCTTCCA</t>
  </si>
  <si>
    <t xml:space="preserve">AAACTGGAAGCGGCAACGGGAACA</t>
  </si>
  <si>
    <t xml:space="preserve">GTCGTTACGAGCCTGCTTCA</t>
  </si>
  <si>
    <t xml:space="preserve">TAGTGTCGTTACGAGCCTGCTTCA</t>
  </si>
  <si>
    <t xml:space="preserve">AAACTGAAGCAGGCTCGTAACGAC</t>
  </si>
  <si>
    <t xml:space="preserve">PST_3951</t>
  </si>
  <si>
    <t xml:space="preserve">pilI</t>
  </si>
  <si>
    <t xml:space="preserve">AGCTCCAGCAACTGCTGAAA</t>
  </si>
  <si>
    <t xml:space="preserve">TAGTAGCTCCAGCAACTGCTGAAA</t>
  </si>
  <si>
    <t xml:space="preserve">AAACTTTCAGCAGTTGCTGGAGCT</t>
  </si>
  <si>
    <t xml:space="preserve">GCAGACCGGCCGCATAGCTG</t>
  </si>
  <si>
    <t xml:space="preserve">TAGTGCAGACCGGCCGCATAGCTG</t>
  </si>
  <si>
    <t xml:space="preserve">AAACCAGCTATGCGGCCGGTCTGC</t>
  </si>
  <si>
    <t xml:space="preserve">TGTACGGCTTCCTGCTGCGA</t>
  </si>
  <si>
    <t xml:space="preserve">TAGTTGTACGGCTTCCTGCTGCGA</t>
  </si>
  <si>
    <t xml:space="preserve">AAACTCGCAGCAGGAAGCCGTACA</t>
  </si>
  <si>
    <t xml:space="preserve">CCGGAAACCGATCCCTCCCC</t>
  </si>
  <si>
    <t xml:space="preserve">TAGTCCGGAAACCGATCCCTCCCC</t>
  </si>
  <si>
    <t xml:space="preserve">AAACGGGGAGGGATCGGTTTCCGG</t>
  </si>
  <si>
    <t xml:space="preserve">PST_3952</t>
  </si>
  <si>
    <t xml:space="preserve">pilH</t>
  </si>
  <si>
    <t xml:space="preserve">GTGAGCTTGTACATTTCGGT</t>
  </si>
  <si>
    <t xml:space="preserve">TAGTGTGAGCTTGTACATTTCGGT</t>
  </si>
  <si>
    <t xml:space="preserve">AAACACCGAAATGTACAAGCTCAC</t>
  </si>
  <si>
    <t xml:space="preserve">ACCATGCTTCTCCAGCATGG</t>
  </si>
  <si>
    <t xml:space="preserve">TAGTACCATGCTTCTCCAGCATGG</t>
  </si>
  <si>
    <t xml:space="preserve">AAACCCATGCTGGAGAAGCATGGT</t>
  </si>
  <si>
    <t xml:space="preserve">TACGCCGTCGGCCCCATTCT</t>
  </si>
  <si>
    <t xml:space="preserve">TAGTTACGCCGTCGGCCCCATTCT</t>
  </si>
  <si>
    <t xml:space="preserve">AAACAGAATGGGGCCGACGGCGTA</t>
  </si>
  <si>
    <t xml:space="preserve">GCACGGCGTCCGGTTTTTCC</t>
  </si>
  <si>
    <t xml:space="preserve">TAGTGCACGGCGTCCGGTTTTTCC</t>
  </si>
  <si>
    <t xml:space="preserve">AAACGGAAAAACCGGACGCCGTGC</t>
  </si>
  <si>
    <t xml:space="preserve">PST_3953</t>
  </si>
  <si>
    <t xml:space="preserve">pilG</t>
  </si>
  <si>
    <t xml:space="preserve">GCAACCTACTTTCTTCAGCA</t>
  </si>
  <si>
    <t xml:space="preserve">TAGTGCAACCTACTTTCTTCAGCA</t>
  </si>
  <si>
    <t xml:space="preserve">AAACTGCTGAAGAAAGTAGGTTGC</t>
  </si>
  <si>
    <t xml:space="preserve">GGCATCGAAACCGTCCACTG</t>
  </si>
  <si>
    <t xml:space="preserve">TAGTGGCATCGAAACCGTCCACTG</t>
  </si>
  <si>
    <t xml:space="preserve">AAACCAGTGGACGGTTTCGATGCC</t>
  </si>
  <si>
    <t xml:space="preserve">AGTATCCGCAATCTTGGCGA</t>
  </si>
  <si>
    <t xml:space="preserve">TAGTAGTATCCGCAATCTTGGCGA</t>
  </si>
  <si>
    <t xml:space="preserve">AAACTCGCCAAGATTGCGGATACT</t>
  </si>
  <si>
    <t xml:space="preserve">ATATCGACAAAGATGATGCG</t>
  </si>
  <si>
    <t xml:space="preserve">TAGTATATCGACAAAGATGATGCG</t>
  </si>
  <si>
    <t xml:space="preserve">AAACCGCATCATCTTTGTCGATAT</t>
  </si>
  <si>
    <t xml:space="preserve">PST_3954</t>
  </si>
  <si>
    <t xml:space="preserve">gshB</t>
  </si>
  <si>
    <t xml:space="preserve">CATGATGATCCCGACGCGAA</t>
  </si>
  <si>
    <t xml:space="preserve">TAGTCATGATGATCCCGACGCGAA</t>
  </si>
  <si>
    <t xml:space="preserve">AAACTTCGCGTCGGGATCATCATG</t>
  </si>
  <si>
    <t xml:space="preserve">TGAAGGCGATCTGCGCGATA</t>
  </si>
  <si>
    <t xml:space="preserve">TAGTTGAAGGCGATCTGCGCGATA</t>
  </si>
  <si>
    <t xml:space="preserve">AAACTATCGCGCAGATCGCCTTCA</t>
  </si>
  <si>
    <t xml:space="preserve">CGCCTGGGCGGCCAGCAGCA</t>
  </si>
  <si>
    <t xml:space="preserve">TAGTCGCCTGGGCGGCCAGCAGCA</t>
  </si>
  <si>
    <t xml:space="preserve">AAACTGCTGCTGGCCGCCCAGGCG</t>
  </si>
  <si>
    <t xml:space="preserve">CCTGGTTGCCGAGCTGATAA</t>
  </si>
  <si>
    <t xml:space="preserve">TAGTCCTGGTTGCCGAGCTGATAA</t>
  </si>
  <si>
    <t xml:space="preserve">AAACTTATCAGCTCGGCAACCAGG</t>
  </si>
  <si>
    <t xml:space="preserve">PST_3955</t>
  </si>
  <si>
    <t xml:space="preserve">GCGTTCATCGCGTGTCGGGT</t>
  </si>
  <si>
    <t xml:space="preserve">TAGTGCGTTCATCGCGTGTCGGGT</t>
  </si>
  <si>
    <t xml:space="preserve">AAACACCCGACACGCGATGAACGC</t>
  </si>
  <si>
    <t xml:space="preserve">AGGCGCAGGATGGCGGATAG</t>
  </si>
  <si>
    <t xml:space="preserve">TAGTAGGCGCAGGATGGCGGATAG</t>
  </si>
  <si>
    <t xml:space="preserve">AAACCTATCCGCCATCCTGCGCCT</t>
  </si>
  <si>
    <t xml:space="preserve">GGGCGGACTCGGGTCGTTTC</t>
  </si>
  <si>
    <t xml:space="preserve">TAGTGGGCGGACTCGGGTCGTTTC</t>
  </si>
  <si>
    <t xml:space="preserve">AAACGAAACGACCCGAGTCCGCCC</t>
  </si>
  <si>
    <t xml:space="preserve">TGAAGCCGAGCCGGTCCGCG</t>
  </si>
  <si>
    <t xml:space="preserve">TAGTTGAAGCCGAGCCGGTCCGCG</t>
  </si>
  <si>
    <t xml:space="preserve">AAACCGCGGACCGGCTCGGCTTCA</t>
  </si>
  <si>
    <t xml:space="preserve">PST_3956</t>
  </si>
  <si>
    <t xml:space="preserve">algH</t>
  </si>
  <si>
    <t xml:space="preserve">ATGCTTGAGGTAGCTGGGCG</t>
  </si>
  <si>
    <t xml:space="preserve">TAGTATGCTTGAGGTAGCTGGGCG</t>
  </si>
  <si>
    <t xml:space="preserve">AAACCGCCCAGCTACCTCAAGCAT</t>
  </si>
  <si>
    <t xml:space="preserve">CGGATCGGCCATCTGCGGCA</t>
  </si>
  <si>
    <t xml:space="preserve">TAGTCGGATCGGCCATCTGCGGCA</t>
  </si>
  <si>
    <t xml:space="preserve">AAACTGCCGCAGATGGCCGATCCG</t>
  </si>
  <si>
    <t xml:space="preserve">ATCAGCGTCTGGGCAAAGTT</t>
  </si>
  <si>
    <t xml:space="preserve">TAGTATCAGCGTCTGGGCAAAGTT</t>
  </si>
  <si>
    <t xml:space="preserve">AAACAACTTTGCCCAGACGCTGAT</t>
  </si>
  <si>
    <t xml:space="preserve">CTTCCGGGCCGTGCTCGATC</t>
  </si>
  <si>
    <t xml:space="preserve">TAGTCTTCCGGGCCGTGCTCGATC</t>
  </si>
  <si>
    <t xml:space="preserve">AAACGATCGAGCACGGCCCGGAAG</t>
  </si>
  <si>
    <t xml:space="preserve">PST_3957</t>
  </si>
  <si>
    <t xml:space="preserve">TCGAAGCCGAGCAGCAGCCG</t>
  </si>
  <si>
    <t xml:space="preserve">TAGTTCGAAGCCGAGCAGCAGCCG</t>
  </si>
  <si>
    <t xml:space="preserve">AAACCGGCTGCTGCTCGGCTTCGA</t>
  </si>
  <si>
    <t xml:space="preserve">GACGGCGACGCCGATCTGCT</t>
  </si>
  <si>
    <t xml:space="preserve">TAGTGACGGCGACGCCGATCTGCT</t>
  </si>
  <si>
    <t xml:space="preserve">AAACAGCAGATCGGCGTCGCCGTC</t>
  </si>
  <si>
    <t xml:space="preserve">GGGCCTGGCCGGTCACGACC</t>
  </si>
  <si>
    <t xml:space="preserve">TAGTGGGCCTGGCCGGTCACGACC</t>
  </si>
  <si>
    <t xml:space="preserve">AAACGGTCGTGACCGGCCAGGCCC</t>
  </si>
  <si>
    <t xml:space="preserve">CTTGAGCACGCACAGCTCGC</t>
  </si>
  <si>
    <t xml:space="preserve">TAGTCTTGAGCACGCACAGCTCGC</t>
  </si>
  <si>
    <t xml:space="preserve">AAACGCGAGCTGTGCGTGCTCAAG</t>
  </si>
  <si>
    <t xml:space="preserve">PST_3958</t>
  </si>
  <si>
    <t xml:space="preserve">pyrR</t>
  </si>
  <si>
    <t xml:space="preserve">TCGGGATTTGGCAGGATCAT</t>
  </si>
  <si>
    <t xml:space="preserve">TAGTTCGGGATTTGGCAGGATCAT</t>
  </si>
  <si>
    <t xml:space="preserve">AAACATGATCCTGCCAAATCCCGA</t>
  </si>
  <si>
    <t xml:space="preserve">CTCCAGTGCCTCGGTCATCT</t>
  </si>
  <si>
    <t xml:space="preserve">TAGTCTCCAGTGCCTCGGTCATCT</t>
  </si>
  <si>
    <t xml:space="preserve">AAACAGATGACCGAGGCACTGGAG</t>
  </si>
  <si>
    <t xml:space="preserve">CGCGGATGTCGCGCTCGTTC</t>
  </si>
  <si>
    <t xml:space="preserve">TAGTCGCGGATGTCGCGCTCGTTC</t>
  </si>
  <si>
    <t xml:space="preserve">AAACGAACGAGCGCGACATCCGCG</t>
  </si>
  <si>
    <t xml:space="preserve">GTACGAATGCCGATGAAGCG</t>
  </si>
  <si>
    <t xml:space="preserve">TAGTGTACGAATGCCGATGAAGCG</t>
  </si>
  <si>
    <t xml:space="preserve">AAACCGCTTCATCGGCATTCGTAC</t>
  </si>
  <si>
    <t xml:space="preserve">PST_3959</t>
  </si>
  <si>
    <t xml:space="preserve">pyrB</t>
  </si>
  <si>
    <t xml:space="preserve">AGCGGGCGCTTGGCGTCAGT</t>
  </si>
  <si>
    <t xml:space="preserve">TAGTAGCGGGCGCTTGGCGTCAGT</t>
  </si>
  <si>
    <t xml:space="preserve">AAACACTGACGCCAAGCGCCCGCT</t>
  </si>
  <si>
    <t xml:space="preserve">GAAAATGGCGCAGCTGGCCT</t>
  </si>
  <si>
    <t xml:space="preserve">TAGTGAAAATGGCGCAGCTGGCCT</t>
  </si>
  <si>
    <t xml:space="preserve">AAACAGGCCAGCTGCGCCATTTTC</t>
  </si>
  <si>
    <t xml:space="preserve">CTCGCGGGGCAGGCCGTCGA</t>
  </si>
  <si>
    <t xml:space="preserve">TAGTCTCGCGGGGCAGGCCGTCGA</t>
  </si>
  <si>
    <t xml:space="preserve">AAACTCGACGGCCTGCCCCGCGAG</t>
  </si>
  <si>
    <t xml:space="preserve">GTCGGCGGTGTCCAGAATCT</t>
  </si>
  <si>
    <t xml:space="preserve">TAGTGTCGGCGGTGTCCAGAATCT</t>
  </si>
  <si>
    <t xml:space="preserve">AAACAGATTCTGGACACCGCCGAC</t>
  </si>
  <si>
    <t xml:space="preserve">PST_3960</t>
  </si>
  <si>
    <t xml:space="preserve">GGTCGATAACGCGCGCGCCG</t>
  </si>
  <si>
    <t xml:space="preserve">TAGTGGTCGATAACGCGCGCGCCG</t>
  </si>
  <si>
    <t xml:space="preserve">AAACCGGCGCGCGCGTTATCGACC</t>
  </si>
  <si>
    <t xml:space="preserve">CTTCGTCGCGCCCGCTGTTG</t>
  </si>
  <si>
    <t xml:space="preserve">TAGTCTTCGTCGCGCCCGCTGTTG</t>
  </si>
  <si>
    <t xml:space="preserve">AAACCAACAGCGGGCGCGACGAAG</t>
  </si>
  <si>
    <t xml:space="preserve">GCCATCCTGCAGGAAGATAT</t>
  </si>
  <si>
    <t xml:space="preserve">TAGTGCCATCCTGCAGGAAGATAT</t>
  </si>
  <si>
    <t xml:space="preserve">AAACATATCTTCCTGCAGGATGGC</t>
  </si>
  <si>
    <t xml:space="preserve">GCCGGCAGGAGCCTGGCCAA</t>
  </si>
  <si>
    <t xml:space="preserve">TAGTGCCGGCAGGAGCCTGGCCAA</t>
  </si>
  <si>
    <t xml:space="preserve">AAACTTGGCCAGGCTCCTGCCGGC</t>
  </si>
  <si>
    <t xml:space="preserve">PST_3961</t>
  </si>
  <si>
    <t xml:space="preserve">CGAGAAAGCCGAATATCCAC</t>
  </si>
  <si>
    <t xml:space="preserve">TAGTCGAGAAAGCCGAATATCCAC</t>
  </si>
  <si>
    <t xml:space="preserve">AAACGTGGATATTCGGCTTTCTCG</t>
  </si>
  <si>
    <t xml:space="preserve">CTTGCCGTAATAGAAGCGGT</t>
  </si>
  <si>
    <t xml:space="preserve">TAGTCTTGCCGTAATAGAAGCGGT</t>
  </si>
  <si>
    <t xml:space="preserve">AAACACCGCTTCTATTACGGCAAG</t>
  </si>
  <si>
    <t xml:space="preserve">AACCAGATGGTGCCGGTGAT</t>
  </si>
  <si>
    <t xml:space="preserve">TAGTAACCAGATGGTGCCGGTGAT</t>
  </si>
  <si>
    <t xml:space="preserve">AAACATCACCGGCACCATCTGGTT</t>
  </si>
  <si>
    <t xml:space="preserve">TGATCCAGCCGATGAAGAAC</t>
  </si>
  <si>
    <t xml:space="preserve">TAGTTGATCCAGCCGATGAAGAAC</t>
  </si>
  <si>
    <t xml:space="preserve">AAACGTTCTTCATCGGCTGGATCA</t>
  </si>
  <si>
    <t xml:space="preserve">PST_3962</t>
  </si>
  <si>
    <t xml:space="preserve">TTGTCGATCAGTTGCATGAC</t>
  </si>
  <si>
    <t xml:space="preserve">TAGTTTGTCGATCAGTTGCATGAC</t>
  </si>
  <si>
    <t xml:space="preserve">AAACGTCATGCAACTGATCGACAA</t>
  </si>
  <si>
    <t xml:space="preserve">AACGTCGTACTTGGCAGCGT</t>
  </si>
  <si>
    <t xml:space="preserve">TAGTAACGTCGTACTTGGCAGCGT</t>
  </si>
  <si>
    <t xml:space="preserve">AAACACGCTGCCAAGTACGACGTT</t>
  </si>
  <si>
    <t xml:space="preserve">TTGCCTTTGGACGAGCGCTT</t>
  </si>
  <si>
    <t xml:space="preserve">TAGTTTGCCTTTGGACGAGCGCTT</t>
  </si>
  <si>
    <t xml:space="preserve">AAACAAGCGCTCGTCCAAAGGCAA</t>
  </si>
  <si>
    <t xml:space="preserve">GCAGATGCCCATGCCATCGG</t>
  </si>
  <si>
    <t xml:space="preserve">TAGTGCAGATGCCCATGCCATCGG</t>
  </si>
  <si>
    <t xml:space="preserve">AAACCCGATGGCATGGGCATCTGC</t>
  </si>
  <si>
    <t xml:space="preserve">PST_3963</t>
  </si>
  <si>
    <t xml:space="preserve">GCGCCGCGTCTCGCCAGCCC</t>
  </si>
  <si>
    <t xml:space="preserve">TAGTGCGCCGCGTCTCGCCAGCCC</t>
  </si>
  <si>
    <t xml:space="preserve">AAACGGGCTGGCGAGACGCGGCGC</t>
  </si>
  <si>
    <t xml:space="preserve">CTTGCCCAGTTCACCTCATG</t>
  </si>
  <si>
    <t xml:space="preserve">TAGTCTTGCCCAGTTCACCTCATG</t>
  </si>
  <si>
    <t xml:space="preserve">AAACCATGAGGTGAACTGGGCAAG</t>
  </si>
  <si>
    <t xml:space="preserve">GTGGCTGCTGGCGCGGGCAT</t>
  </si>
  <si>
    <t xml:space="preserve">TAGTGTGGCTGCTGGCGCGGGCAT</t>
  </si>
  <si>
    <t xml:space="preserve">AAACATGCCCGCGCCAGCAGCCAC</t>
  </si>
  <si>
    <t xml:space="preserve">CGAGGAGCTGCCGAGGTACG</t>
  </si>
  <si>
    <t xml:space="preserve">TAGTCGAGGAGCTGCCGAGGTACG</t>
  </si>
  <si>
    <t xml:space="preserve">AAACCGTACCTCGGCAGCTCCTCG</t>
  </si>
  <si>
    <t xml:space="preserve">PST_3964</t>
  </si>
  <si>
    <t xml:space="preserve">pilU</t>
  </si>
  <si>
    <t xml:space="preserve">GACATGGGCGTCTTGCTCAC</t>
  </si>
  <si>
    <t xml:space="preserve">TAGTGACATGGGCGTCTTGCTCAC</t>
  </si>
  <si>
    <t xml:space="preserve">AAACGTGAGCAAGACGCCCATGTC</t>
  </si>
  <si>
    <t xml:space="preserve">ACGGTTTCCCGGGTCATCTC</t>
  </si>
  <si>
    <t xml:space="preserve">TAGTACGGTTTCCCGGGTCATCTC</t>
  </si>
  <si>
    <t xml:space="preserve">AAACGAGATGACCCGGGAAACCGT</t>
  </si>
  <si>
    <t xml:space="preserve">CGTGGTTCTCGGTGAACTCG</t>
  </si>
  <si>
    <t xml:space="preserve">TAGTCGTGGTTCTCGGTGAACTCG</t>
  </si>
  <si>
    <t xml:space="preserve">AAACCGAGTTCACCGAGAACCACG</t>
  </si>
  <si>
    <t xml:space="preserve">ACGGAAGCGGCCGATGCCGC</t>
  </si>
  <si>
    <t xml:space="preserve">TAGTACGGAAGCGGCCGATGCCGC</t>
  </si>
  <si>
    <t xml:space="preserve">AAACGCGGCATCGGCCGCTTCCGT</t>
  </si>
  <si>
    <t xml:space="preserve">PST_3965</t>
  </si>
  <si>
    <t xml:space="preserve">pilT</t>
  </si>
  <si>
    <t xml:space="preserve">AGCAGTTCAGTGATATCCAT</t>
  </si>
  <si>
    <t xml:space="preserve">TAGTAGCAGTTCAGTGATATCCAT</t>
  </si>
  <si>
    <t xml:space="preserve">AAACATGGATATCACTGAACTGCT</t>
  </si>
  <si>
    <t xml:space="preserve">CGCACCCTGCTTGGCGCTGA</t>
  </si>
  <si>
    <t xml:space="preserve">TAGTCGCACCCTGCTTGGCGCTGA</t>
  </si>
  <si>
    <t xml:space="preserve">AAACTCAGCGCCAAGCAGGGTGCG</t>
  </si>
  <si>
    <t xml:space="preserve">TCGGCGGCAGGCCGGCGGAA</t>
  </si>
  <si>
    <t xml:space="preserve">TAGTTCGGCGGCAGGCCGGCGGAA</t>
  </si>
  <si>
    <t xml:space="preserve">AAACTTCCGCCGGCCTGCCGCCGA</t>
  </si>
  <si>
    <t xml:space="preserve">ACCTGCTTGTGGTCCATGGC</t>
  </si>
  <si>
    <t xml:space="preserve">TAGTACCTGCTTGTGGTCCATGGC</t>
  </si>
  <si>
    <t xml:space="preserve">AAACGCCATGGACCACAAGCAGGT</t>
  </si>
  <si>
    <t xml:space="preserve">PST_3966</t>
  </si>
  <si>
    <t xml:space="preserve">TGCAATATTCTTCTCTATCG</t>
  </si>
  <si>
    <t xml:space="preserve">TAGTTGCAATATTCTTCTCTATCG</t>
  </si>
  <si>
    <t xml:space="preserve">AAACCGATAGAGAAGAATATTGCA</t>
  </si>
  <si>
    <t xml:space="preserve">CCACAGCTTGCGCCGCCTCA</t>
  </si>
  <si>
    <t xml:space="preserve">TAGTCCACAGCTTGCGCCGCCTCA</t>
  </si>
  <si>
    <t xml:space="preserve">AAACTGAGGCGGCGCAAGCTGTGG</t>
  </si>
  <si>
    <t xml:space="preserve">GGCCAGCAGGCCCACCGTGG</t>
  </si>
  <si>
    <t xml:space="preserve">TAGTGGCCAGCAGGCCCACCGTGG</t>
  </si>
  <si>
    <t xml:space="preserve">AAACCCACGGTGGGCCTGCTGGCC</t>
  </si>
  <si>
    <t xml:space="preserve">GGCTGGCTGGGTCTTGCTGA</t>
  </si>
  <si>
    <t xml:space="preserve">TAGTGGCTGGCTGGGTCTTGCTGA</t>
  </si>
  <si>
    <t xml:space="preserve">AAACTCAGCAAGACCCAGCCAGCC</t>
  </si>
  <si>
    <t xml:space="preserve">PST_3967</t>
  </si>
  <si>
    <t xml:space="preserve">proC</t>
  </si>
  <si>
    <t xml:space="preserve">ACGCAGCCCGCCGATCAGGC</t>
  </si>
  <si>
    <t xml:space="preserve">TAGTACGCAGCCCGCCGATCAGGC</t>
  </si>
  <si>
    <t xml:space="preserve">AAACGCCTGATCGGCGGGCTGCGT</t>
  </si>
  <si>
    <t xml:space="preserve">TGGCATCAGCGGCGATGCCC</t>
  </si>
  <si>
    <t xml:space="preserve">TAGTTGGCATCAGCGGCGATGCCC</t>
  </si>
  <si>
    <t xml:space="preserve">AAACGGGCATCGCCGCTGATGCCA</t>
  </si>
  <si>
    <t xml:space="preserve">ACCCGGGTCGCTGGCGCGGA</t>
  </si>
  <si>
    <t xml:space="preserve">TAGTACCCGGGTCGCTGGCGCGGA</t>
  </si>
  <si>
    <t xml:space="preserve">AAACTCCGCGCCAGCGACCCGGGT</t>
  </si>
  <si>
    <t xml:space="preserve">GCTGATTTTCGCGCGCTGTT</t>
  </si>
  <si>
    <t xml:space="preserve">TAGTGCTGATTTTCGCGCGCTGTT</t>
  </si>
  <si>
    <t xml:space="preserve">AAACAACAGCGCGCGAAAATCAGC</t>
  </si>
  <si>
    <t xml:space="preserve">PST_3968</t>
  </si>
  <si>
    <t xml:space="preserve">GATCAGGGCTTGCGAGAGTT</t>
  </si>
  <si>
    <t xml:space="preserve">TAGTGATCAGGGCTTGCGAGAGTT</t>
  </si>
  <si>
    <t xml:space="preserve">AAACAACTCTCGCAAGCCCTGATC</t>
  </si>
  <si>
    <t xml:space="preserve">TGCCCAGGGTCTGGATGACG</t>
  </si>
  <si>
    <t xml:space="preserve">TAGTTGCCCAGGGTCTGGATGACG</t>
  </si>
  <si>
    <t xml:space="preserve">AAACCGTCATCCAGACCCTGGGCA</t>
  </si>
  <si>
    <t xml:space="preserve">GCAGCACGATCAGCAGGTAA</t>
  </si>
  <si>
    <t xml:space="preserve">TAGTGCAGCACGATCAGCAGGTAA</t>
  </si>
  <si>
    <t xml:space="preserve">AAACTTACCTGCTGATCGTGCTGC</t>
  </si>
  <si>
    <t xml:space="preserve">AGTCGGCACGTACCAGCTGG</t>
  </si>
  <si>
    <t xml:space="preserve">TAGTAGTCGGCACGTACCAGCTGG</t>
  </si>
  <si>
    <t xml:space="preserve">AAACCCAGCTGGTACGTGCCGACT</t>
  </si>
  <si>
    <t xml:space="preserve">PST_3969</t>
  </si>
  <si>
    <t xml:space="preserve">ATCGCGCTTCCAGGTGACGT</t>
  </si>
  <si>
    <t xml:space="preserve">TAGTATCGCGCTTCCAGGTGACGT</t>
  </si>
  <si>
    <t xml:space="preserve">AAACACGTCACCTGGAAGCGCGAT</t>
  </si>
  <si>
    <t xml:space="preserve">CGCCAGCCAGCTGCGATAGC</t>
  </si>
  <si>
    <t xml:space="preserve">TAGTCGCCAGCCAGCTGCGATAGC</t>
  </si>
  <si>
    <t xml:space="preserve">AAACGCTATCGCAGCTGGCTGGCG</t>
  </si>
  <si>
    <t xml:space="preserve">CGACGGCCTCGCTGCTCAAT</t>
  </si>
  <si>
    <t xml:space="preserve">TAGTCGACGGCCTCGCTGCTCAAT</t>
  </si>
  <si>
    <t xml:space="preserve">AAACATTGAGCAGCGAGGCCGTCG</t>
  </si>
  <si>
    <t xml:space="preserve">GCACCCGTAGCGCACGTTCC</t>
  </si>
  <si>
    <t xml:space="preserve">TAGTGCACCCGTAGCGCACGTTCC</t>
  </si>
  <si>
    <t xml:space="preserve">AAACGGAACGTGCGCTACGGGTGC</t>
  </si>
  <si>
    <t xml:space="preserve">PST_3970</t>
  </si>
  <si>
    <t xml:space="preserve">metX</t>
  </si>
  <si>
    <t xml:space="preserve">GAATCGGCGGGAATTGCAGT</t>
  </si>
  <si>
    <t xml:space="preserve">TAGTGAATCGGCGGGAATTGCAGT</t>
  </si>
  <si>
    <t xml:space="preserve">AAACACTGCAATTCCCGCCGATTC</t>
  </si>
  <si>
    <t xml:space="preserve">CTGCGGACTCACCAGGCCAA</t>
  </si>
  <si>
    <t xml:space="preserve">TAGTCTGCGGACTCACCAGGCCAA</t>
  </si>
  <si>
    <t xml:space="preserve">AAACTTGGCCTGGTGAGTCCGCAG</t>
  </si>
  <si>
    <t xml:space="preserve">GCAGGCGAGTGTCAGTGGTT</t>
  </si>
  <si>
    <t xml:space="preserve">TAGTGCAGGCGAGTGTCAGTGGTT</t>
  </si>
  <si>
    <t xml:space="preserve">AAACAACCACTGACACTCGCCTGC</t>
  </si>
  <si>
    <t xml:space="preserve">GCTGGTAATCGGCCAGCGTG</t>
  </si>
  <si>
    <t xml:space="preserve">TAGTGCTGGTAATCGGCCAGCGTG</t>
  </si>
  <si>
    <t xml:space="preserve">AAACCACGCTGGCCGATTACCAGC</t>
  </si>
  <si>
    <t xml:space="preserve">PST_3971</t>
  </si>
  <si>
    <t xml:space="preserve">metW</t>
  </si>
  <si>
    <t xml:space="preserve">GTCTTGGATGATGTCCAGAT</t>
  </si>
  <si>
    <t xml:space="preserve">TAGTGTCTTGGATGATGTCCAGAT</t>
  </si>
  <si>
    <t xml:space="preserve">AAACATCTGGACATCATCCAAGAC</t>
  </si>
  <si>
    <t xml:space="preserve">CGAGGACTCGGCTGCCGGCC</t>
  </si>
  <si>
    <t xml:space="preserve">TAGTCGAGGACTCGGCTGCCGGCC</t>
  </si>
  <si>
    <t xml:space="preserve">AAACGGCCGGCAGCCGAGTCCTCG</t>
  </si>
  <si>
    <t xml:space="preserve">CTGCTTGTGGTCGCGCAGCC</t>
  </si>
  <si>
    <t xml:space="preserve">TAGTCTGCTTGTGGTCGCGCAGCC</t>
  </si>
  <si>
    <t xml:space="preserve">AAACGGCTGCGCGACCACAAGCAG</t>
  </si>
  <si>
    <t xml:space="preserve">TGTTGTCCGGGTCGATCTCC</t>
  </si>
  <si>
    <t xml:space="preserve">TAGTTGTTGTCCGGGTCGATCTCC</t>
  </si>
  <si>
    <t xml:space="preserve">AAACGGAGATCGACCCGGACAACA</t>
  </si>
  <si>
    <t xml:space="preserve">PST_3972</t>
  </si>
  <si>
    <t xml:space="preserve">CCGATCAGCATGCGTTTCAT</t>
  </si>
  <si>
    <t xml:space="preserve">TAGTCCGATCAGCATGCGTTTCAT</t>
  </si>
  <si>
    <t xml:space="preserve">AAACATGAAACGCATGCTGATCGG</t>
  </si>
  <si>
    <t xml:space="preserve">TGCCGGCAAGGTGAGCAGTG</t>
  </si>
  <si>
    <t xml:space="preserve">TAGTTGCCGGCAAGGTGAGCAGTG</t>
  </si>
  <si>
    <t xml:space="preserve">AAACCACTGCTCACCTTGCCGGCA</t>
  </si>
  <si>
    <t xml:space="preserve">GCCGACGCTGTGCTTGCGCT</t>
  </si>
  <si>
    <t xml:space="preserve">TAGTGCCGACGCTGTGCTTGCGCT</t>
  </si>
  <si>
    <t xml:space="preserve">AAACAGCGCAAGCACAGCGTCGGC</t>
  </si>
  <si>
    <t xml:space="preserve">CGGAATTGAAGGCGACGTAA</t>
  </si>
  <si>
    <t xml:space="preserve">TAGTCGGAATTGAAGGCGACGTAA</t>
  </si>
  <si>
    <t xml:space="preserve">AAACTTACGTCGCCTTCAATTCCG</t>
  </si>
  <si>
    <t xml:space="preserve">PST_3973</t>
  </si>
  <si>
    <t xml:space="preserve">GCCAGCACCAGTTCGGAAAA</t>
  </si>
  <si>
    <t xml:space="preserve">TAGTGCCAGCACCAGTTCGGAAAA</t>
  </si>
  <si>
    <t xml:space="preserve">AAACTTTTCCGAACTGGTGCTGGC</t>
  </si>
  <si>
    <t xml:space="preserve">GAGTTTGCCGGCGTTGTGAC</t>
  </si>
  <si>
    <t xml:space="preserve">TAGTGAGTTTGCCGGCGTTGTGAC</t>
  </si>
  <si>
    <t xml:space="preserve">AAACGTCACAACGCCGGCAAACTC</t>
  </si>
  <si>
    <t xml:space="preserve">GCGCACGGCGTCGCCGAGCA</t>
  </si>
  <si>
    <t xml:space="preserve">TAGTGCGCACGGCGTCGCCGAGCA</t>
  </si>
  <si>
    <t xml:space="preserve">AAACTGCTCGGCGACGCCGTGCGC</t>
  </si>
  <si>
    <t xml:space="preserve">TGCTGAACTCGGCCACCGAG</t>
  </si>
  <si>
    <t xml:space="preserve">TAGTTGCTGAACTCGGCCACCGAG</t>
  </si>
  <si>
    <t xml:space="preserve">AAACCTCGGTGGCCGAGTTCAGCA</t>
  </si>
  <si>
    <t xml:space="preserve">PST_3974</t>
  </si>
  <si>
    <t xml:space="preserve">GGTTGCCGGCGCGGGGCTTG</t>
  </si>
  <si>
    <t xml:space="preserve">TAGTGGTTGCCGGCGCGGGGCTTG</t>
  </si>
  <si>
    <t xml:space="preserve">AAACCAAGCCCCGCGCCGGCAACC</t>
  </si>
  <si>
    <t xml:space="preserve">CCAGAGGCGGCAGTTCGAAG</t>
  </si>
  <si>
    <t xml:space="preserve">TAGTCCAGAGGCGGCAGTTCGAAG</t>
  </si>
  <si>
    <t xml:space="preserve">AAACCTTCGAACTGCCGCCTCTGG</t>
  </si>
  <si>
    <t xml:space="preserve">TGCGCACGCACCAGGGGATA</t>
  </si>
  <si>
    <t xml:space="preserve">TAGTTGCGCACGCACCAGGGGATA</t>
  </si>
  <si>
    <t xml:space="preserve">AAACTATCCCCTGGTGCGTGCGCA</t>
  </si>
  <si>
    <t xml:space="preserve">GGGAGTTGAAGTCACAGTAC</t>
  </si>
  <si>
    <t xml:space="preserve">TAGTGGGAGTTGAAGTCACAGTAC</t>
  </si>
  <si>
    <t xml:space="preserve">AAACGTACTGTGACTTCAACTCCC</t>
  </si>
  <si>
    <t xml:space="preserve">PST_3975</t>
  </si>
  <si>
    <t xml:space="preserve">AGCGCGACAGCGTGACGATC</t>
  </si>
  <si>
    <t xml:space="preserve">TAGTAGCGCGACAGCGTGACGATC</t>
  </si>
  <si>
    <t xml:space="preserve">AAACGATCGTCACGCTGTCGCGCT</t>
  </si>
  <si>
    <t xml:space="preserve">AGATATCGGACAGGTGACTG</t>
  </si>
  <si>
    <t xml:space="preserve">TAGTAGATATCGGACAGGTGACTG</t>
  </si>
  <si>
    <t xml:space="preserve">AAACCAGTCACCTGTCCGATATCT</t>
  </si>
  <si>
    <t xml:space="preserve">GAGCGTTGCCATCAGCGCCA</t>
  </si>
  <si>
    <t xml:space="preserve">TAGTGAGCGTTGCCATCAGCGCCA</t>
  </si>
  <si>
    <t xml:space="preserve">AAACTGGCGCTGATGGCAACGCTC</t>
  </si>
  <si>
    <t xml:space="preserve">TGACCCAGGCGTTCAACGCC</t>
  </si>
  <si>
    <t xml:space="preserve">TAGTTGACCCAGGCGTTCAACGCC</t>
  </si>
  <si>
    <t xml:space="preserve">AAACGGCGTTGAACGCCTGGGTCA</t>
  </si>
  <si>
    <t xml:space="preserve">PST_3976</t>
  </si>
  <si>
    <t xml:space="preserve">CGGCTGATTTCCACATGTCC</t>
  </si>
  <si>
    <t xml:space="preserve">TAGTCGGCTGATTTCCACATGTCC</t>
  </si>
  <si>
    <t xml:space="preserve">AAACGGACATGTGGAAATCAGCCG</t>
  </si>
  <si>
    <t xml:space="preserve">GGCGCGCCTCGGTCGGCAGC</t>
  </si>
  <si>
    <t xml:space="preserve">TAGTGGCGCGCCTCGGTCGGCAGC</t>
  </si>
  <si>
    <t xml:space="preserve">AAACGCTGCCGACCGAGGCGCGCC</t>
  </si>
  <si>
    <t xml:space="preserve">CCAGGGTCAGGTGATAGCCG</t>
  </si>
  <si>
    <t xml:space="preserve">TAGTCCAGGGTCAGGTGATAGCCG</t>
  </si>
  <si>
    <t xml:space="preserve">AAACCGGCTATCACCTGACCCTGG</t>
  </si>
  <si>
    <t xml:space="preserve">CGCCCACTCCGGCCTCGGTT</t>
  </si>
  <si>
    <t xml:space="preserve">TAGTCGCCCACTCCGGCCTCGGTT</t>
  </si>
  <si>
    <t xml:space="preserve">AAACAACCGAGGCCGGAGTGGGCG</t>
  </si>
  <si>
    <t xml:space="preserve">PST_3977</t>
  </si>
  <si>
    <t xml:space="preserve">arcD-2</t>
  </si>
  <si>
    <t xml:space="preserve">TTTCAGTTGCTTCGAGGTCG</t>
  </si>
  <si>
    <t xml:space="preserve">TAGTTTTCAGTTGCTTCGAGGTCG</t>
  </si>
  <si>
    <t xml:space="preserve">AAACCGACCTCGAAGCAACTGAAA</t>
  </si>
  <si>
    <t xml:space="preserve">GCACTGGCCGCCATGTTCTG</t>
  </si>
  <si>
    <t xml:space="preserve">TAGTGCACTGGCCGCCATGTTCTG</t>
  </si>
  <si>
    <t xml:space="preserve">AAACCAGAACATGGCGGCCAGTGC</t>
  </si>
  <si>
    <t xml:space="preserve">GATCAGGATGGCGCCGGCGC</t>
  </si>
  <si>
    <t xml:space="preserve">TAGTGATCAGGATGGCGCCGGCGC</t>
  </si>
  <si>
    <t xml:space="preserve">AAACGCGCCGGCGCCATCCTGATC</t>
  </si>
  <si>
    <t xml:space="preserve">GGCCAGAGTCAGCATGCCCA</t>
  </si>
  <si>
    <t xml:space="preserve">TAGTGGCCAGAGTCAGCATGCCCA</t>
  </si>
  <si>
    <t xml:space="preserve">AAACTGGGCATGCTGACTCTGGCC</t>
  </si>
  <si>
    <t xml:space="preserve">PST_3978</t>
  </si>
  <si>
    <t xml:space="preserve">arcA-2</t>
  </si>
  <si>
    <t xml:space="preserve">TTTCGTTGGTTGCTGAGTCA</t>
  </si>
  <si>
    <t xml:space="preserve">TAGTTTTCGTTGGTTGCTGAGTCA</t>
  </si>
  <si>
    <t xml:space="preserve">AAACTGACTCAGCAACCAACGAAA</t>
  </si>
  <si>
    <t xml:space="preserve">GCAGCTTGCCCGCCTCGGAA</t>
  </si>
  <si>
    <t xml:space="preserve">TAGTGCAGCTTGCCCGCCTCGGAA</t>
  </si>
  <si>
    <t xml:space="preserve">AAACTTCCGAGGCGGGCAAGCTGC</t>
  </si>
  <si>
    <t xml:space="preserve">AGGCGCTGGTGGGCGAGGCC</t>
  </si>
  <si>
    <t xml:space="preserve">TAGTAGGCGCTGGTGGGCGAGGCC</t>
  </si>
  <si>
    <t xml:space="preserve">AAACGGCCTCGCCCACCAGCGCCT</t>
  </si>
  <si>
    <t xml:space="preserve">CGTCGCAGTTGCTCGGCGTC</t>
  </si>
  <si>
    <t xml:space="preserve">TAGTCGTCGCAGTTGCTCGGCGTC</t>
  </si>
  <si>
    <t xml:space="preserve">AAACGACGCCGAGCAACTGCGACG</t>
  </si>
  <si>
    <t xml:space="preserve">PST_3979</t>
  </si>
  <si>
    <t xml:space="preserve">arcB-2</t>
  </si>
  <si>
    <t xml:space="preserve">TTGTGAATGTTGAAGGCCAT</t>
  </si>
  <si>
    <t xml:space="preserve">TAGTTTGTGAATGTTGAAGGCCAT</t>
  </si>
  <si>
    <t xml:space="preserve">AAACATGGCCTTCAACATTCACAA</t>
  </si>
  <si>
    <t xml:space="preserve">ACTGCAGTTCGCGCTCGCTG</t>
  </si>
  <si>
    <t xml:space="preserve">TAGTACTGCAGTTCGCGCTCGCTG</t>
  </si>
  <si>
    <t xml:space="preserve">AAACCAGCGAGCGCGAACTGCAGT</t>
  </si>
  <si>
    <t xml:space="preserve">GGTCGCGGGAGAGATCGAGC</t>
  </si>
  <si>
    <t xml:space="preserve">TAGTGGTCGCGGGAGAGATCGAGC</t>
  </si>
  <si>
    <t xml:space="preserve">AAACGCTCGATCTCTCCCGCGACC</t>
  </si>
  <si>
    <t xml:space="preserve">CGCTGTACTTGGCGCGCTTG</t>
  </si>
  <si>
    <t xml:space="preserve">TAGTCGCTGTACTTGGCGCGCTTG</t>
  </si>
  <si>
    <t xml:space="preserve">AAACCAAGCGCGCCAAGTACAGCG</t>
  </si>
  <si>
    <t xml:space="preserve">PST_3980</t>
  </si>
  <si>
    <t xml:space="preserve">arcC-2</t>
  </si>
  <si>
    <t xml:space="preserve">CGGCTCCCCTCGGCGAAGCA</t>
  </si>
  <si>
    <t xml:space="preserve">TAGTCGGCTCCCCTCGGCGAAGCA</t>
  </si>
  <si>
    <t xml:space="preserve">AAACTGCTTCGCCGAGGGGAGCCG</t>
  </si>
  <si>
    <t xml:space="preserve">CGCTGATTCTCGGCGCTCAG</t>
  </si>
  <si>
    <t xml:space="preserve">TAGTCGCTGATTCTCGGCGCTCAG</t>
  </si>
  <si>
    <t xml:space="preserve">AAACCTGAGCGCCGAGAATCAGCG</t>
  </si>
  <si>
    <t xml:space="preserve">CGATCTGTGCGCAGGCCCGG</t>
  </si>
  <si>
    <t xml:space="preserve">TAGTCGATCTGTGCGCAGGCCCGG</t>
  </si>
  <si>
    <t xml:space="preserve">AAACCCGGGCCTGCGCACAGATCG</t>
  </si>
  <si>
    <t xml:space="preserve">CGACCTGCGGGCCGTTGCCG</t>
  </si>
  <si>
    <t xml:space="preserve">TAGTCGACCTGCGGGCCGTTGCCG</t>
  </si>
  <si>
    <t xml:space="preserve">AAACCGGCAACGGCCCGCAGGTCG</t>
  </si>
  <si>
    <t xml:space="preserve">PST_3981</t>
  </si>
  <si>
    <t xml:space="preserve">CTGTGCCTGCACAGCGGCAC</t>
  </si>
  <si>
    <t xml:space="preserve">TAGTCTGTGCCTGCACAGCGGCAC</t>
  </si>
  <si>
    <t xml:space="preserve">AAACGTGCCGCTGTGCAGGCACAG</t>
  </si>
  <si>
    <t xml:space="preserve">GGCCTGGGTGCTGTCCACCT</t>
  </si>
  <si>
    <t xml:space="preserve">TAGTGGCCTGGGTGCTGTCCACCT</t>
  </si>
  <si>
    <t xml:space="preserve">AAACAGGTGGACAGCACCCAGGCC</t>
  </si>
  <si>
    <t xml:space="preserve">CAGGTCCTGTCCCAACCGCG</t>
  </si>
  <si>
    <t xml:space="preserve">TAGTCAGGTCCTGTCCCAACCGCG</t>
  </si>
  <si>
    <t xml:space="preserve">AAACCGCGGTTGGGACAGGACCTG</t>
  </si>
  <si>
    <t xml:space="preserve">CCCGCCCGCTCCGCGCCCAG</t>
  </si>
  <si>
    <t xml:space="preserve">TAGTCCCGCCCGCTCCGCGCCCAG</t>
  </si>
  <si>
    <t xml:space="preserve">AAACCTGGGCGCGGAGCGGGCGGG</t>
  </si>
  <si>
    <t xml:space="preserve">PST_3982</t>
  </si>
  <si>
    <t xml:space="preserve">micA</t>
  </si>
  <si>
    <t xml:space="preserve">CGCGGGGTTCTGCTCAGTCA</t>
  </si>
  <si>
    <t xml:space="preserve">TAGTCGCGGGGTTCTGCTCAGTCA</t>
  </si>
  <si>
    <t xml:space="preserve">AAACTGACTGAGCAGAACCCCGCG</t>
  </si>
  <si>
    <t xml:space="preserve">AGGCGCGCTCTGTTGCTCTT</t>
  </si>
  <si>
    <t xml:space="preserve">TAGTAGGCGCGCTCTGTTGCTCTT</t>
  </si>
  <si>
    <t xml:space="preserve">AAACAAGAGCAACAGAGCGCGCCT</t>
  </si>
  <si>
    <t xml:space="preserve">AAACTCTTGATGGTGCGGCG</t>
  </si>
  <si>
    <t xml:space="preserve">TAGTAAACTCTTGATGGTGCGGCG</t>
  </si>
  <si>
    <t xml:space="preserve">AAACCGCCGCACCATCAAGAGTTT</t>
  </si>
  <si>
    <t xml:space="preserve">CTGGCCTTCGGTCATGCGCC</t>
  </si>
  <si>
    <t xml:space="preserve">TAGTCTGGCCTTCGGTCATGCGCC</t>
  </si>
  <si>
    <t xml:space="preserve">AAACGGCGCATGACCGAAGGCCAG</t>
  </si>
  <si>
    <t xml:space="preserve">PST_3983</t>
  </si>
  <si>
    <t xml:space="preserve">thiG</t>
  </si>
  <si>
    <t xml:space="preserve">GGCTTGTCGTTCGGAACTGG</t>
  </si>
  <si>
    <t xml:space="preserve">TAGTGGCTTGTCGTTCGGAACTGG</t>
  </si>
  <si>
    <t xml:space="preserve">AAACCCAGTTCCGAACGACAAGCC</t>
  </si>
  <si>
    <t xml:space="preserve">GTGCGACCGGCCAGGGTGAA</t>
  </si>
  <si>
    <t xml:space="preserve">TAGTGTGCGACCGGCCAGGGTGAA</t>
  </si>
  <si>
    <t xml:space="preserve">AAACTTCACCCTGGCCGGTCGCAC</t>
  </si>
  <si>
    <t xml:space="preserve">ACTTGCCGGTACCGACCAGC</t>
  </si>
  <si>
    <t xml:space="preserve">TAGTACTTGCCGGTACCGACCAGC</t>
  </si>
  <si>
    <t xml:space="preserve">AAACGCTGGTCGGTACCGGCAAGT</t>
  </si>
  <si>
    <t xml:space="preserve">CTCGGCACCCGAGGCCTCGA</t>
  </si>
  <si>
    <t xml:space="preserve">TAGTCTCGGCACCCGAGGCCTCGA</t>
  </si>
  <si>
    <t xml:space="preserve">AAACTCGAGGCCTCGGGTGCCGAG</t>
  </si>
  <si>
    <t xml:space="preserve">PST_3984</t>
  </si>
  <si>
    <t xml:space="preserve">thiS</t>
  </si>
  <si>
    <t xml:space="preserve">GCATTCTAGCCCGAACCACC</t>
  </si>
  <si>
    <t xml:space="preserve">TAGTGCATTCTAGCCCGAACCACC</t>
  </si>
  <si>
    <t xml:space="preserve">AAACGGTGGTTCGGGCTAGAATGC</t>
  </si>
  <si>
    <t xml:space="preserve">GCTGCCATTGCGAAAGGGGA</t>
  </si>
  <si>
    <t xml:space="preserve">TAGTGCTGCCATTGCGAAAGGGGA</t>
  </si>
  <si>
    <t xml:space="preserve">AAACTCCCCTTTCGCAATGGCAGC</t>
  </si>
  <si>
    <t xml:space="preserve">TGGCCGGCTGGCAGCTCGTA</t>
  </si>
  <si>
    <t xml:space="preserve">TAGTTGGCCGGCTGGCAGCTCGTA</t>
  </si>
  <si>
    <t xml:space="preserve">AAACTACGAGCTGCCAGCCGGCCA</t>
  </si>
  <si>
    <t xml:space="preserve">CCAGCAGGTCGGCCACCGTC</t>
  </si>
  <si>
    <t xml:space="preserve">TAGTCCAGCAGGTCGGCCACCGTC</t>
  </si>
  <si>
    <t xml:space="preserve">AAACGACGGTGGCCGACCTGCTGG</t>
  </si>
  <si>
    <t xml:space="preserve">PST_3985</t>
  </si>
  <si>
    <t xml:space="preserve">GCCGGTCAAACCGAACAGGG</t>
  </si>
  <si>
    <t xml:space="preserve">TAGTGCCGGTCAAACCGAACAGGG</t>
  </si>
  <si>
    <t xml:space="preserve">AAACCCCTGTTCGGTTTGACCGGC</t>
  </si>
  <si>
    <t xml:space="preserve">GCGCAAGCCGTGGGAGGCGA</t>
  </si>
  <si>
    <t xml:space="preserve">TAGTGCGCAAGCCGTGGGAGGCGA</t>
  </si>
  <si>
    <t xml:space="preserve">AAACTCGCCTCCCACGGCTTGCGC</t>
  </si>
  <si>
    <t xml:space="preserve">CGAGATGGGCGGCGCTCAGT</t>
  </si>
  <si>
    <t xml:space="preserve">TAGTCGAGATGGGCGGCGCTCAGT</t>
  </si>
  <si>
    <t xml:space="preserve">AAACACTGAGCGCCGCCCATCTCG</t>
  </si>
  <si>
    <t xml:space="preserve">GCTGGTACTGCACGCCGGTC</t>
  </si>
  <si>
    <t xml:space="preserve">TAGTGCTGGTACTGCACGCCGGTC</t>
  </si>
  <si>
    <t xml:space="preserve">AAACGACCGGCGTGCAGTACCAGC</t>
  </si>
  <si>
    <t xml:space="preserve">PST_3986</t>
  </si>
  <si>
    <t xml:space="preserve">mtgA</t>
  </si>
  <si>
    <t xml:space="preserve">CAGCAGCAGGTTTCGCAACA</t>
  </si>
  <si>
    <t xml:space="preserve">TAGTCAGCAGCAGGTTTCGCAACA</t>
  </si>
  <si>
    <t xml:space="preserve">AAACTGTTGCGAAACCTGCTGCTG</t>
  </si>
  <si>
    <t xml:space="preserve">GCCAGAGCAGCAGTTTGGAC</t>
  </si>
  <si>
    <t xml:space="preserve">TAGTGCCAGAGCAGCAGTTTGGAC</t>
  </si>
  <si>
    <t xml:space="preserve">AAACGTCCAAACTGCTGCTCTGGC</t>
  </si>
  <si>
    <t xml:space="preserve">CAGGACCAGCAGCACCGAAA</t>
  </si>
  <si>
    <t xml:space="preserve">TAGTCAGGACCAGCAGCACCGAAA</t>
  </si>
  <si>
    <t xml:space="preserve">AAACTTTCGGTGCTGCTGGTCCTG</t>
  </si>
  <si>
    <t xml:space="preserve">ATCAACGCGGTGAAGGGCGG</t>
  </si>
  <si>
    <t xml:space="preserve">TAGTATCAACGCGGTGAAGGGCGG</t>
  </si>
  <si>
    <t xml:space="preserve">AAACCCGCCCTTCACCGCGTTGAT</t>
  </si>
  <si>
    <t xml:space="preserve">PST_3987</t>
  </si>
  <si>
    <t xml:space="preserve">CAGGCTCAGCCGGACGAGAG</t>
  </si>
  <si>
    <t xml:space="preserve">TAGTCAGGCTCAGCCGGACGAGAG</t>
  </si>
  <si>
    <t xml:space="preserve">AAACCTCTCGTCCGGCTGAGCCTG</t>
  </si>
  <si>
    <t xml:space="preserve">GAAGGATCCACAGCATCGCC</t>
  </si>
  <si>
    <t xml:space="preserve">TAGTGAAGGATCCACAGCATCGCC</t>
  </si>
  <si>
    <t xml:space="preserve">AAACGGCGATGCTGTGGATCCTTC</t>
  </si>
  <si>
    <t xml:space="preserve">GCTCACCAGTTGGCCGAGCA</t>
  </si>
  <si>
    <t xml:space="preserve">TAGTGCTCACCAGTTGGCCGAGCA</t>
  </si>
  <si>
    <t xml:space="preserve">AAACTGCTCGGCCAACTGGTGAGC</t>
  </si>
  <si>
    <t xml:space="preserve">CCTTGCCCATCTGCCAGGCC</t>
  </si>
  <si>
    <t xml:space="preserve">TAGTCCTTGCCCATCTGCCAGGCC</t>
  </si>
  <si>
    <t xml:space="preserve">AAACGGCCTGGCAGATGGGCAAGG</t>
  </si>
  <si>
    <t xml:space="preserve">PST_3988</t>
  </si>
  <si>
    <t xml:space="preserve">CAGGCGCTTGCGGATCGCCT</t>
  </si>
  <si>
    <t xml:space="preserve">TAGTCAGGCGCTTGCGGATCGCCT</t>
  </si>
  <si>
    <t xml:space="preserve">AAACAGGCGATCCGCAAGCGCCTG</t>
  </si>
  <si>
    <t xml:space="preserve">CGCCGAGCAGGATCTGTTCA</t>
  </si>
  <si>
    <t xml:space="preserve">TAGTCGCCGAGCAGGATCTGTTCA</t>
  </si>
  <si>
    <t xml:space="preserve">AAACTGAACAGATCCTGCTCGGCG</t>
  </si>
  <si>
    <t xml:space="preserve">CCTGCTCCACCGCGTCGAAC</t>
  </si>
  <si>
    <t xml:space="preserve">TAGTCCTGCTCCACCGCGTCGAAC</t>
  </si>
  <si>
    <t xml:space="preserve">AAACGTTCGACGCGGTGGAGCAGG</t>
  </si>
  <si>
    <t xml:space="preserve">CGTACAGCCGCCATTGTTCG</t>
  </si>
  <si>
    <t xml:space="preserve">TAGTCGTACAGCCGCCATTGTTCG</t>
  </si>
  <si>
    <t xml:space="preserve">AAACCGAACAATGGCGGCTGTACG</t>
  </si>
  <si>
    <t xml:space="preserve">PST_3989</t>
  </si>
  <si>
    <t xml:space="preserve">rpoH</t>
  </si>
  <si>
    <t xml:space="preserve">CCCGGGACTAGCGCTTGAAC</t>
  </si>
  <si>
    <t xml:space="preserve">TAGTCCCGGGACTAGCGCTTGAAC</t>
  </si>
  <si>
    <t xml:space="preserve">AAACGTTCAAGCGCTAGTCCCGGG</t>
  </si>
  <si>
    <t xml:space="preserve">GCTGTTCACGGTCTGCACGT</t>
  </si>
  <si>
    <t xml:space="preserve">TAGTGCTGTTCACGGTCTGCACGT</t>
  </si>
  <si>
    <t xml:space="preserve">AAACACGTGCAGACCGTGAACAGC</t>
  </si>
  <si>
    <t xml:space="preserve">CTGATGATAGAAAAGGCGCT</t>
  </si>
  <si>
    <t xml:space="preserve">TAGTCTGATGATAGAAAAGGCGCT</t>
  </si>
  <si>
    <t xml:space="preserve">AAACAGCGCCTTTTCTATCATCAG</t>
  </si>
  <si>
    <t xml:space="preserve">CGATGTGAACGACGAAACGC</t>
  </si>
  <si>
    <t xml:space="preserve">TAGTCGATGTGAACGACGAAACGC</t>
  </si>
  <si>
    <t xml:space="preserve">AAACGCGTTTCGTCGTTCACATCG</t>
  </si>
  <si>
    <t xml:space="preserve">PST_3990</t>
  </si>
  <si>
    <t xml:space="preserve">ftsX</t>
  </si>
  <si>
    <t xml:space="preserve">GGCCGTGCTTGGATTGGTTT</t>
  </si>
  <si>
    <t xml:space="preserve">TAGTGGCCGTGCTTGGATTGGTTT</t>
  </si>
  <si>
    <t xml:space="preserve">AAACAAACCAATCCAAGCACGGCC</t>
  </si>
  <si>
    <t xml:space="preserve">CACCGAACCACCGACGCGCT</t>
  </si>
  <si>
    <t xml:space="preserve">TAGTCACCGAACCACCGACGCGCT</t>
  </si>
  <si>
    <t xml:space="preserve">AAACAGCGCGTCGGTGGTTCGGTG</t>
  </si>
  <si>
    <t xml:space="preserve">TCGTCGCCACGCGGCTGCTC</t>
  </si>
  <si>
    <t xml:space="preserve">TAGTTCGTCGCCACGCGGCTGCTC</t>
  </si>
  <si>
    <t xml:space="preserve">AAACGAGCAGCCGCGTGGCGACGA</t>
  </si>
  <si>
    <t xml:space="preserve">TGGAACAGCGTCTTGAAATC</t>
  </si>
  <si>
    <t xml:space="preserve">TAGTTGGAACAGCGTCTTGAAATC</t>
  </si>
  <si>
    <t xml:space="preserve">AAACGATTTCAAGACGCTGTTCCA</t>
  </si>
  <si>
    <t xml:space="preserve">PST_3991</t>
  </si>
  <si>
    <t xml:space="preserve">ftsE</t>
  </si>
  <si>
    <t xml:space="preserve">GTTTGCCGACCTGTTCGAAA</t>
  </si>
  <si>
    <t xml:space="preserve">TAGTGTTTGCCGACCTGTTCGAAA</t>
  </si>
  <si>
    <t xml:space="preserve">AAACTTTCGAACAGGTCGGCAAAC</t>
  </si>
  <si>
    <t xml:space="preserve">GCAGCCCGACGTGACCGTTG</t>
  </si>
  <si>
    <t xml:space="preserve">TAGTGCAGCCCGACGTGACCGTTG</t>
  </si>
  <si>
    <t xml:space="preserve">AAACCAACGGTCACGTCGGGCTGC</t>
  </si>
  <si>
    <t xml:space="preserve">CTCGCCACGCCTGACCTGGA</t>
  </si>
  <si>
    <t xml:space="preserve">TAGTCTCGCCACGCCTGACCTGGA</t>
  </si>
  <si>
    <t xml:space="preserve">AAACTCCAGGTCAGGCGTGGCGAG</t>
  </si>
  <si>
    <t xml:space="preserve">CGGAATGGCCGGTGACGAAG</t>
  </si>
  <si>
    <t xml:space="preserve">TAGTCGGAATGGCCGGTGACGAAG</t>
  </si>
  <si>
    <t xml:space="preserve">AAACCTTCGTCACCGGCCATTCCG</t>
  </si>
  <si>
    <t xml:space="preserve">PST_3992</t>
  </si>
  <si>
    <t xml:space="preserve">ftsY</t>
  </si>
  <si>
    <t xml:space="preserve">CGGCTTTGCCTGACCCGCGC</t>
  </si>
  <si>
    <t xml:space="preserve">TAGTCGGCTTTGCCTGACCCGCGC</t>
  </si>
  <si>
    <t xml:space="preserve">AAACGCGCGGGTCAGGCAAAGCCG</t>
  </si>
  <si>
    <t xml:space="preserve">AGCCGGCTGTACGGATACCC</t>
  </si>
  <si>
    <t xml:space="preserve">TAGTAGCCGGCTGTACGGATACCC</t>
  </si>
  <si>
    <t xml:space="preserve">AAACGGGTATCCGTACAGCCGGCT</t>
  </si>
  <si>
    <t xml:space="preserve">CCAAGCAGGTGCGCTAAGCG</t>
  </si>
  <si>
    <t xml:space="preserve">TAGTCCAAGCAGGTGCGCTAAGCG</t>
  </si>
  <si>
    <t xml:space="preserve">AAACCGCTTAGCGCACCTGCTTGG</t>
  </si>
  <si>
    <t xml:space="preserve">CAGGCTGCCGGCCTCAAAAT</t>
  </si>
  <si>
    <t xml:space="preserve">TAGTCAGGCTGCCGGCCTCAAAAT</t>
  </si>
  <si>
    <t xml:space="preserve">AAACATTTTGAGGCCGGCAGCCTG</t>
  </si>
  <si>
    <t xml:space="preserve">PST_3993</t>
  </si>
  <si>
    <t xml:space="preserve">GCGGCGCGGCGTAACGTCAG</t>
  </si>
  <si>
    <t xml:space="preserve">TAGTGCGGCGCGGCGTAACGTCAG</t>
  </si>
  <si>
    <t xml:space="preserve">AAACCTGACGTTACGCCGCGCCGC</t>
  </si>
  <si>
    <t xml:space="preserve">ATAGAGCGCTCCGAGCAGCA</t>
  </si>
  <si>
    <t xml:space="preserve">TAGTATAGAGCGCTCCGAGCAGCA</t>
  </si>
  <si>
    <t xml:space="preserve">AAACTGCTGCTCGGAGCGCTCTAT</t>
  </si>
  <si>
    <t xml:space="preserve">TTGTCTGCTGCAGCCACTAG</t>
  </si>
  <si>
    <t xml:space="preserve">TAGTTTGTCTGCTGCAGCCACTAG</t>
  </si>
  <si>
    <t xml:space="preserve">AAACCTAGTGGCTGCAGCAGACAA</t>
  </si>
  <si>
    <t xml:space="preserve">GGAAGAACTCGTGGGTCGGC</t>
  </si>
  <si>
    <t xml:space="preserve">TAGTGGAAGAACTCGTGGGTCGGC</t>
  </si>
  <si>
    <t xml:space="preserve">AAACGCCGACCCACGAGTTCTTCC</t>
  </si>
  <si>
    <t xml:space="preserve">PST_3994</t>
  </si>
  <si>
    <t xml:space="preserve">GCCGAGCAGGCCGTTGCGCA</t>
  </si>
  <si>
    <t xml:space="preserve">TAGTGCCGAGCAGGCCGTTGCGCA</t>
  </si>
  <si>
    <t xml:space="preserve">AAACTGCGCAACGGCCTGCTCGGC</t>
  </si>
  <si>
    <t xml:space="preserve">GCAGCCCGCCAGGCCGAAGC</t>
  </si>
  <si>
    <t xml:space="preserve">TAGTGCAGCCCGCCAGGCCGAAGC</t>
  </si>
  <si>
    <t xml:space="preserve">AAACGCTTCGGCCTGGCGGGCTGC</t>
  </si>
  <si>
    <t xml:space="preserve">GCCGGGGCGCGGCAGGGCGG</t>
  </si>
  <si>
    <t xml:space="preserve">TAGTGCCGGGGCGCGGCAGGGCGG</t>
  </si>
  <si>
    <t xml:space="preserve">AAACCCGCCCTGCCGCGCCCCGGC</t>
  </si>
  <si>
    <t xml:space="preserve">CGGGCCACGTCCTGTTTCAC</t>
  </si>
  <si>
    <t xml:space="preserve">TAGTCGGGCCACGTCCTGTTTCAC</t>
  </si>
  <si>
    <t xml:space="preserve">AAACGTGAAACAGGACGTGGCCCG</t>
  </si>
  <si>
    <t xml:space="preserve">PST_3995</t>
  </si>
  <si>
    <t xml:space="preserve">GCTGGGGCGAATGGGTGGAT</t>
  </si>
  <si>
    <t xml:space="preserve">TAGTGCTGGGGCGAATGGGTGGAT</t>
  </si>
  <si>
    <t xml:space="preserve">AAACATCCACCCATTCGCCCCAGC</t>
  </si>
  <si>
    <t xml:space="preserve">CAACTGGCCCTGGCCGCCAT</t>
  </si>
  <si>
    <t xml:space="preserve">TAGTCAACTGGCCCTGGCCGCCAT</t>
  </si>
  <si>
    <t xml:space="preserve">AAACATGGCGGCCAGGGCCAGTTG</t>
  </si>
  <si>
    <t xml:space="preserve">CGGCATCTGGGAAGCTGAAG</t>
  </si>
  <si>
    <t xml:space="preserve">TAGTCGGCATCTGGGAAGCTGAAG</t>
  </si>
  <si>
    <t xml:space="preserve">AAACCTTCAGCTTCCCAGATGCCG</t>
  </si>
  <si>
    <t xml:space="preserve">CGGCGTCGGCCGCAGGCCTT</t>
  </si>
  <si>
    <t xml:space="preserve">TAGTCGGCGTCGGCCGCAGGCCTT</t>
  </si>
  <si>
    <t xml:space="preserve">AAACAAGGCCTGCGGCCGACGCCG</t>
  </si>
  <si>
    <t xml:space="preserve">PST_3997</t>
  </si>
  <si>
    <t xml:space="preserve">AGGGGGTCAGGGTCATGGTT</t>
  </si>
  <si>
    <t xml:space="preserve">TAGTAGGGGGTCAGGGTCATGGTT</t>
  </si>
  <si>
    <t xml:space="preserve">AAACAACCATGACCCTGACCCCCT</t>
  </si>
  <si>
    <t xml:space="preserve">AGCCGCCAGCAGTTGGTCGA</t>
  </si>
  <si>
    <t xml:space="preserve">TAGTAGCCGCCAGCAGTTGGTCGA</t>
  </si>
  <si>
    <t xml:space="preserve">AAACTCGACCAACTGCTGGCGGCT</t>
  </si>
  <si>
    <t xml:space="preserve">AAGACGAACAGCAGGCGCTG</t>
  </si>
  <si>
    <t xml:space="preserve">TAGTAAGACGAACAGCAGGCGCTG</t>
  </si>
  <si>
    <t xml:space="preserve">AAACCAGCGCCTGCTGTTCGTCTT</t>
  </si>
  <si>
    <t xml:space="preserve">GGTGGCATCGGCAGGCAGTT</t>
  </si>
  <si>
    <t xml:space="preserve">TAGTGGTGGCATCGGCAGGCAGTT</t>
  </si>
  <si>
    <t xml:space="preserve">AAACAACTGCCTGCCGATGCCACC</t>
  </si>
  <si>
    <t xml:space="preserve">PST_3996</t>
  </si>
  <si>
    <t xml:space="preserve">CGGGCGGCGGCGTATGCCTT</t>
  </si>
  <si>
    <t xml:space="preserve">TAGTCGGGCGGCGGCGTATGCCTT</t>
  </si>
  <si>
    <t xml:space="preserve">AAACAAGGCATACGCCGCCGCCCG</t>
  </si>
  <si>
    <t xml:space="preserve">AGGGGCTGAATGGTGCTGGC</t>
  </si>
  <si>
    <t xml:space="preserve">TAGTAGGGGCTGAATGGTGCTGGC</t>
  </si>
  <si>
    <t xml:space="preserve">AAACGCCAGCACCATTCAGCCCCT</t>
  </si>
  <si>
    <t xml:space="preserve">GCGGAAGAAAAGCGCCATGC</t>
  </si>
  <si>
    <t xml:space="preserve">TAGTGCGGAAGAAAAGCGCCATGC</t>
  </si>
  <si>
    <t xml:space="preserve">AAACGCATGGCGCTTTTCTTCCGC</t>
  </si>
  <si>
    <t xml:space="preserve">CGCGACGTTAGAGCGCTGCC</t>
  </si>
  <si>
    <t xml:space="preserve">TAGTCGCGACGTTAGAGCGCTGCC</t>
  </si>
  <si>
    <t xml:space="preserve">AAACGGCAGCGCTCTAACGTCGCG</t>
  </si>
  <si>
    <t xml:space="preserve">PST_3998</t>
  </si>
  <si>
    <t xml:space="preserve">AACGGTACACGCCAGCGGCC</t>
  </si>
  <si>
    <t xml:space="preserve">TAGTAACGGTACACGCCAGCGGCC</t>
  </si>
  <si>
    <t xml:space="preserve">AAACGGCCGCTGGCGTGTACCGTT</t>
  </si>
  <si>
    <t xml:space="preserve">GTCTCGGCGATGGAGCGAAG</t>
  </si>
  <si>
    <t xml:space="preserve">TAGTGTCTCGGCGATGGAGCGAAG</t>
  </si>
  <si>
    <t xml:space="preserve">AAACCTTCGCTCCATCGCCGAGAC</t>
  </si>
  <si>
    <t xml:space="preserve">TCGGGGTGCCATGGGCGGCG</t>
  </si>
  <si>
    <t xml:space="preserve">TAGTTCGGGGTGCCATGGGCGGCG</t>
  </si>
  <si>
    <t xml:space="preserve">AAACCGCCGCCCATGGCACCCCGA</t>
  </si>
  <si>
    <t xml:space="preserve">GATGATGCGATCGCGGGTCT</t>
  </si>
  <si>
    <t xml:space="preserve">TAGTGATGATGCGATCGCGGGTCT</t>
  </si>
  <si>
    <t xml:space="preserve">AAACAGACCCGCGATCGCATCATC</t>
  </si>
  <si>
    <t xml:space="preserve">PST_3999</t>
  </si>
  <si>
    <t xml:space="preserve">ACGCTGAAACAGAGCCTCCA</t>
  </si>
  <si>
    <t xml:space="preserve">TAGTACGCTGAAACAGAGCCTCCA</t>
  </si>
  <si>
    <t xml:space="preserve">AAACTGGAGGCTCTGTTTCAGCGT</t>
  </si>
  <si>
    <t xml:space="preserve">AGGCATGGGCGCAGCGAGAA</t>
  </si>
  <si>
    <t xml:space="preserve">TAGTAGGCATGGGCGCAGCGAGAA</t>
  </si>
  <si>
    <t xml:space="preserve">AAACTTCTCGCTGCGCCCATGCCT</t>
  </si>
  <si>
    <t xml:space="preserve">CGCACGCGGTCTTCCTCCGA</t>
  </si>
  <si>
    <t xml:space="preserve">TAGTCGCACGCGGTCTTCCTCCGA</t>
  </si>
  <si>
    <t xml:space="preserve">AAACTCGGAGGAAGACCGCGTGCG</t>
  </si>
  <si>
    <t xml:space="preserve">CTCGATCAGTGCCGGCTGGT</t>
  </si>
  <si>
    <t xml:space="preserve">TAGTCTCGATCAGTGCCGGCTGGT</t>
  </si>
  <si>
    <t xml:space="preserve">AAACACCAGCCGGCACTGATCGAG</t>
  </si>
  <si>
    <t xml:space="preserve">PST_4000</t>
  </si>
  <si>
    <t xml:space="preserve">TTCATGGCGAGGTCGTGCAT</t>
  </si>
  <si>
    <t xml:space="preserve">TAGTTTCATGGCGAGGTCGTGCAT</t>
  </si>
  <si>
    <t xml:space="preserve">AAACATGCACGACCTCGCCATGAA</t>
  </si>
  <si>
    <t xml:space="preserve">CGACCTTGAGCAGGGTGCGG</t>
  </si>
  <si>
    <t xml:space="preserve">TAGTCGACCTTGAGCAGGGTGCGG</t>
  </si>
  <si>
    <t xml:space="preserve">AAACCCGCACCCTGCTCAAGGTCG</t>
  </si>
  <si>
    <t xml:space="preserve">CGAGCAGCCCGCCAGCGGCC</t>
  </si>
  <si>
    <t xml:space="preserve">TAGTCGAGCAGCCCGCCAGCGGCC</t>
  </si>
  <si>
    <t xml:space="preserve">AAACGGCCGCTGGCGGGCTGCTCG</t>
  </si>
  <si>
    <t xml:space="preserve">CGGCTGTCGCCCCGGCGCAG</t>
  </si>
  <si>
    <t xml:space="preserve">TAGTCGGCTGTCGCCCCGGCGCAG</t>
  </si>
  <si>
    <t xml:space="preserve">AAACCTGCGCCGGGGCGACAGCCG</t>
  </si>
  <si>
    <t xml:space="preserve">PST_4001</t>
  </si>
  <si>
    <t xml:space="preserve">GAAGAGATCGGGAACGGGCA</t>
  </si>
  <si>
    <t xml:space="preserve">TAGTGAAGAGATCGGGAACGGGCA</t>
  </si>
  <si>
    <t xml:space="preserve">AAACTGCCCGTTCCCGATCTCTTC</t>
  </si>
  <si>
    <t xml:space="preserve">CCAGCCACGGGCGAGGCCTT</t>
  </si>
  <si>
    <t xml:space="preserve">TAGTCCAGCCACGGGCGAGGCCTT</t>
  </si>
  <si>
    <t xml:space="preserve">AAACAAGGCCTCGCCCGTGGCTGG</t>
  </si>
  <si>
    <t xml:space="preserve">CAGGTGCGAGCCGTCATGGG</t>
  </si>
  <si>
    <t xml:space="preserve">TAGTCAGGTGCGAGCCGTCATGGG</t>
  </si>
  <si>
    <t xml:space="preserve">AAACCCCATGACGGCTCGCACCTG</t>
  </si>
  <si>
    <t xml:space="preserve">CGATATCGGCTTCCAGCGTC</t>
  </si>
  <si>
    <t xml:space="preserve">TAGTCGATATCGGCTTCCAGCGTC</t>
  </si>
  <si>
    <t xml:space="preserve">AAACGACGCTGGAAGCCGATATCG</t>
  </si>
  <si>
    <t xml:space="preserve">PST_4002</t>
  </si>
  <si>
    <t xml:space="preserve">coaD</t>
  </si>
  <si>
    <t xml:space="preserve">GTAAAGTCTGAATGGCCATG</t>
  </si>
  <si>
    <t xml:space="preserve">TAGTGTAAAGTCTGAATGGCCATG</t>
  </si>
  <si>
    <t xml:space="preserve">AAACCATGGCCATTCAGACTTTAC</t>
  </si>
  <si>
    <t xml:space="preserve">GGGTGTGGATGGTAGCGGCT</t>
  </si>
  <si>
    <t xml:space="preserve">TAGTGGGTGTGGATGGTAGCGGCT</t>
  </si>
  <si>
    <t xml:space="preserve">AAACAGCCGCTACCATCCACACCC</t>
  </si>
  <si>
    <t xml:space="preserve">GCGTCCTGACGCATGCGTGG</t>
  </si>
  <si>
    <t xml:space="preserve">TAGTGCGTCCTGACGCATGCGTGG</t>
  </si>
  <si>
    <t xml:space="preserve">AAACCCACGCATGCGTCAGGACGC</t>
  </si>
  <si>
    <t xml:space="preserve">ATACAACACTCGATTCATCG</t>
  </si>
  <si>
    <t xml:space="preserve">TAGTATACAACACTCGATTCATCG</t>
  </si>
  <si>
    <t xml:space="preserve">AAACCGATGAATCGAGTGTTGTAT</t>
  </si>
  <si>
    <t xml:space="preserve">PST_4003</t>
  </si>
  <si>
    <t xml:space="preserve">fdx1</t>
  </si>
  <si>
    <t xml:space="preserve">GCAGTCATCGGTGATTTTCA</t>
  </si>
  <si>
    <t xml:space="preserve">TAGTGCAGTCATCGGTGATTTTCA</t>
  </si>
  <si>
    <t xml:space="preserve">AAACTGAAAATCACCGATGACTGC</t>
  </si>
  <si>
    <t xml:space="preserve">ATGGCGCTGTTCGGGCACTC</t>
  </si>
  <si>
    <t xml:space="preserve">TAGTATGGCGCTGTTCGGGCACTC</t>
  </si>
  <si>
    <t xml:space="preserve">AAACGAGTGCCCGAACAGCGCCAT</t>
  </si>
  <si>
    <t xml:space="preserve">GACGTAGATCTCCTCGCCCT</t>
  </si>
  <si>
    <t xml:space="preserve">TAGTGACGTAGATCTCCTCGCCCT</t>
  </si>
  <si>
    <t xml:space="preserve">AAACAGGGCGAGGAGATCTACGTC</t>
  </si>
  <si>
    <t xml:space="preserve">CGCACTCGGTGCAGAGGTTG</t>
  </si>
  <si>
    <t xml:space="preserve">TAGTCGCACTCGGTGCAGAGGTTG</t>
  </si>
  <si>
    <t xml:space="preserve">AAACCAACCTCTGCACCGAGTGCG</t>
  </si>
  <si>
    <t xml:space="preserve">PST_4004</t>
  </si>
  <si>
    <t xml:space="preserve">AACAGGAGCCTCCGCCGGGT</t>
  </si>
  <si>
    <t xml:space="preserve">TAGTAACAGGAGCCTCCGCCGGGT</t>
  </si>
  <si>
    <t xml:space="preserve">AAACACCCGGCGGAGGCTCCTGTT</t>
  </si>
  <si>
    <t xml:space="preserve">GCAGGGCGGCGAACCAGCCG</t>
  </si>
  <si>
    <t xml:space="preserve">TAGTGCAGGGCGGCGAACCAGCCG</t>
  </si>
  <si>
    <t xml:space="preserve">AAACCGGCTGGTTCGCCGCCCTGC</t>
  </si>
  <si>
    <t xml:space="preserve">CGGGTTGGCCTGGACGCTGC</t>
  </si>
  <si>
    <t xml:space="preserve">TAGTCGGGTTGGCCTGGACGCTGC</t>
  </si>
  <si>
    <t xml:space="preserve">AAACGCAGCGTCCAGGCCAACCCG</t>
  </si>
  <si>
    <t xml:space="preserve">GCGACGGCACCATTGTCGAG</t>
  </si>
  <si>
    <t xml:space="preserve">TAGTGCGACGGCACCATTGTCGAG</t>
  </si>
  <si>
    <t xml:space="preserve">AAACCTCGACAATGGTGCCGTCGC</t>
  </si>
  <si>
    <t xml:space="preserve">PST_4005</t>
  </si>
  <si>
    <t xml:space="preserve">GCTGCTGGCCCAGAACGACC</t>
  </si>
  <si>
    <t xml:space="preserve">TAGTGCTGCTGGCCCAGAACGACC</t>
  </si>
  <si>
    <t xml:space="preserve">AAACGGTCGTTCTGGGCCAGCAGC</t>
  </si>
  <si>
    <t xml:space="preserve">CGAGGCACTGCATGCCGAAC</t>
  </si>
  <si>
    <t xml:space="preserve">TAGTCGAGGCACTGCATGCCGAAC</t>
  </si>
  <si>
    <t xml:space="preserve">AAACGTTCGGCATGCAGTGCCTCG</t>
  </si>
  <si>
    <t xml:space="preserve">TGCTGCCGGCCAGCTGCCGC</t>
  </si>
  <si>
    <t xml:space="preserve">TAGTTGCTGCCGGCCAGCTGCCGC</t>
  </si>
  <si>
    <t xml:space="preserve">AAACGCGGCAGCTGGCCGGCAGCA</t>
  </si>
  <si>
    <t xml:space="preserve">GAACGGGGTCGCGGTACTGC</t>
  </si>
  <si>
    <t xml:space="preserve">TAGTGAACGGGGTCGCGGTACTGC</t>
  </si>
  <si>
    <t xml:space="preserve">AAACGCAGTACCGCGACCCCGTTC</t>
  </si>
  <si>
    <t xml:space="preserve">PST_4006</t>
  </si>
  <si>
    <t xml:space="preserve">TCCTTCAGCTGTGCGAAACG</t>
  </si>
  <si>
    <t xml:space="preserve">TAGTTCCTTCAGCTGTGCGAAACG</t>
  </si>
  <si>
    <t xml:space="preserve">AAACCGTTTCGCACAGCTGAAGGA</t>
  </si>
  <si>
    <t xml:space="preserve">AGCGGAACAGATTCATGGTG</t>
  </si>
  <si>
    <t xml:space="preserve">TAGTAGCGGAACAGATTCATGGTG</t>
  </si>
  <si>
    <t xml:space="preserve">AAACCACCATGAATCTGTTCCGCT</t>
  </si>
  <si>
    <t xml:space="preserve">CAGAGCCAAGACAGCAGCGG</t>
  </si>
  <si>
    <t xml:space="preserve">TAGTCAGAGCCAAGACAGCAGCGG</t>
  </si>
  <si>
    <t xml:space="preserve">AAACCCGCTGCTGTCTTGGCTCTG</t>
  </si>
  <si>
    <t xml:space="preserve">CGGCATTGCCAGCAGGCCAG</t>
  </si>
  <si>
    <t xml:space="preserve">TAGTCGGCATTGCCAGCAGGCCAG</t>
  </si>
  <si>
    <t xml:space="preserve">AAACCTGGCCTGCTGGCAATGCCG</t>
  </si>
  <si>
    <t xml:space="preserve">PST_4007</t>
  </si>
  <si>
    <t xml:space="preserve">mutM</t>
  </si>
  <si>
    <t xml:space="preserve">GACTTCGGGAAGTTCGGGCA</t>
  </si>
  <si>
    <t xml:space="preserve">TAGTGACTTCGGGAAGTTCGGGCA</t>
  </si>
  <si>
    <t xml:space="preserve">AAACTGCCCGAACTTCCCGAAGTC</t>
  </si>
  <si>
    <t xml:space="preserve">CGGCTCGATGCCACGGCGGG</t>
  </si>
  <si>
    <t xml:space="preserve">TAGTCGGCTCGATGCCACGGCGGG</t>
  </si>
  <si>
    <t xml:space="preserve">AAACCCCGCCGTGGCATCGAGCCG</t>
  </si>
  <si>
    <t xml:space="preserve">ACGCGCTGGCCGACCAGATG</t>
  </si>
  <si>
    <t xml:space="preserve">TAGTACGCGCTGGCCGACCAGATG</t>
  </si>
  <si>
    <t xml:space="preserve">AAACCATCTGGTCGGCCAGCGCGT</t>
  </si>
  <si>
    <t xml:space="preserve">GCCGGTCACGCACCAGCACG</t>
  </si>
  <si>
    <t xml:space="preserve">TAGTGCCGGTCACGCACCAGCACG</t>
  </si>
  <si>
    <t xml:space="preserve">AAACCGTGCTGGTGCGTGACCGGC</t>
  </si>
  <si>
    <t xml:space="preserve">PST_4008</t>
  </si>
  <si>
    <t xml:space="preserve">GCGAACTTTGGCTGAGATGT</t>
  </si>
  <si>
    <t xml:space="preserve">TAGTGCGAACTTTGGCTGAGATGT</t>
  </si>
  <si>
    <t xml:space="preserve">AAACACATCTCAGCCAAAGTTCGC</t>
  </si>
  <si>
    <t xml:space="preserve">AAAGTGCTATCGGCAGGAAA</t>
  </si>
  <si>
    <t xml:space="preserve">TAGTAAAGTGCTATCGGCAGGAAA</t>
  </si>
  <si>
    <t xml:space="preserve">AAACTTTCCTGCCGATAGCACTTT</t>
  </si>
  <si>
    <t xml:space="preserve">GCGGGGCGCTCGGACAGGTA</t>
  </si>
  <si>
    <t xml:space="preserve">TAGTGCGGGGCGCTCGGACAGGTA</t>
  </si>
  <si>
    <t xml:space="preserve">AAACTACCTGTCCGAGCGCCCCGC</t>
  </si>
  <si>
    <t xml:space="preserve">GGCGGACAGTTCAACGGCCA</t>
  </si>
  <si>
    <t xml:space="preserve">TAGTGGCGGACAGTTCAACGGCCA</t>
  </si>
  <si>
    <t xml:space="preserve">AAACTGGCCGTTGAACTGTCCGCC</t>
  </si>
  <si>
    <t xml:space="preserve">PST_4009</t>
  </si>
  <si>
    <t xml:space="preserve">pfpI</t>
  </si>
  <si>
    <t xml:space="preserve">CCGTTGAGAGATTGGGACAT</t>
  </si>
  <si>
    <t xml:space="preserve">TAGTCCGTTGAGAGATTGGGACAT</t>
  </si>
  <si>
    <t xml:space="preserve">AAACATGTCCCAATCTCTCAACGG</t>
  </si>
  <si>
    <t xml:space="preserve">GAAACCGTCGGTCACCAGAA</t>
  </si>
  <si>
    <t xml:space="preserve">TAGTGAAACCGTCGGTCACCAGAA</t>
  </si>
  <si>
    <t xml:space="preserve">AAACTTCTGGTGACCGACGGTTTC</t>
  </si>
  <si>
    <t xml:space="preserve">TTCCAGCGCCTCCTTGGGTC</t>
  </si>
  <si>
    <t xml:space="preserve">TAGTTTCCAGCGCCTCCTTGGGTC</t>
  </si>
  <si>
    <t xml:space="preserve">AAACGACCCAAGGAGGCGCTGGAA</t>
  </si>
  <si>
    <t xml:space="preserve">CTTGGCGGAGATGATCTCGG</t>
  </si>
  <si>
    <t xml:space="preserve">TAGTCTTGGCGGAGATGATCTCGG</t>
  </si>
  <si>
    <t xml:space="preserve">AAACCCGAGATCATCTCCGCCAAG</t>
  </si>
  <si>
    <t xml:space="preserve">PST_4010</t>
  </si>
  <si>
    <t xml:space="preserve">CGCAGGCTGGGCAGGGTCAT</t>
  </si>
  <si>
    <t xml:space="preserve">TAGTCGCAGGCTGGGCAGGGTCAT</t>
  </si>
  <si>
    <t xml:space="preserve">AAACATGACCCTGCCCAGCCTGCG</t>
  </si>
  <si>
    <t xml:space="preserve">GCCCGCGCGCAGGCGGCGGT</t>
  </si>
  <si>
    <t xml:space="preserve">TAGTGCCCGCGCGCAGGCGGCGGT</t>
  </si>
  <si>
    <t xml:space="preserve">AAACACCGCCGCCTGCGCGCGGGC</t>
  </si>
  <si>
    <t xml:space="preserve">CGTTACTGTAGACCCACAGA</t>
  </si>
  <si>
    <t xml:space="preserve">TAGTCGTTACTGTAGACCCACAGA</t>
  </si>
  <si>
    <t xml:space="preserve">AAACTCTGTGGGTCTACAGTAACG</t>
  </si>
  <si>
    <t xml:space="preserve">GAAGCCGGCCAGCGGCGTGG</t>
  </si>
  <si>
    <t xml:space="preserve">TAGTGAAGCCGGCCAGCGGCGTGG</t>
  </si>
  <si>
    <t xml:space="preserve">AAACCCACGCCGCTGGCCGGCTTC</t>
  </si>
  <si>
    <t xml:space="preserve">PST_4011</t>
  </si>
  <si>
    <t xml:space="preserve">CGACCAGCGCCGTGGCACTC</t>
  </si>
  <si>
    <t xml:space="preserve">TAGTCGACCAGCGCCGTGGCACTC</t>
  </si>
  <si>
    <t xml:space="preserve">AAACGAGTGCCACGGCGCTGGTCG</t>
  </si>
  <si>
    <t xml:space="preserve">GGCGGTGGCGGAAACGGACA</t>
  </si>
  <si>
    <t xml:space="preserve">TAGTGGCGGTGGCGGAAACGGACA</t>
  </si>
  <si>
    <t xml:space="preserve">AAACTGTCCGTTTCCGCCACCGCC</t>
  </si>
  <si>
    <t xml:space="preserve">GGGCGTATCGGGCAGCGGAG</t>
  </si>
  <si>
    <t xml:space="preserve">TAGTGGGCGTATCGGGCAGCGGAG</t>
  </si>
  <si>
    <t xml:space="preserve">AAACCTCCGCTGCCCGATACGCCC</t>
  </si>
  <si>
    <t xml:space="preserve">ACCGACGGAAAGGGCGCGCC</t>
  </si>
  <si>
    <t xml:space="preserve">TAGTACCGACGGAAAGGGCGCGCC</t>
  </si>
  <si>
    <t xml:space="preserve">AAACGGCGCGCCCTTTCCGTCGGT</t>
  </si>
  <si>
    <t xml:space="preserve">PST_4012</t>
  </si>
  <si>
    <t xml:space="preserve">ilvD</t>
  </si>
  <si>
    <t xml:space="preserve">GAGGTTTTCGAACGGTAATC</t>
  </si>
  <si>
    <t xml:space="preserve">TAGTGAGGTTTTCGAACGGTAATC</t>
  </si>
  <si>
    <t xml:space="preserve">AAACGATTACCGTTCGAAAACCTC</t>
  </si>
  <si>
    <t xml:space="preserve">GGCCATGTTGCGGCCGTGCG</t>
  </si>
  <si>
    <t xml:space="preserve">TAGTGGCCATGTTGCGGCCGTGCG</t>
  </si>
  <si>
    <t xml:space="preserve">AAACCGCACGGCCGCAACATGGCC</t>
  </si>
  <si>
    <t xml:space="preserve">GCGCCACAGCGCCCGGGCAC</t>
  </si>
  <si>
    <t xml:space="preserve">TAGTGCGCCACAGCGCCCGGGCAC</t>
  </si>
  <si>
    <t xml:space="preserve">AAACGTGCCCGGGCGCTGTGGCGC</t>
  </si>
  <si>
    <t xml:space="preserve">GTCTTCGTCCTTCATGCCGG</t>
  </si>
  <si>
    <t xml:space="preserve">TAGTGTCTTCGTCCTTCATGCCGG</t>
  </si>
  <si>
    <t xml:space="preserve">AAACCCGGCATGAAGGACGAAGAC</t>
  </si>
  <si>
    <t xml:space="preserve">PST_4013</t>
  </si>
  <si>
    <t xml:space="preserve">AGTGTGCGGCCCGTCCGCAC</t>
  </si>
  <si>
    <t xml:space="preserve">TAGTAGTGTGCGGCCCGTCCGCAC</t>
  </si>
  <si>
    <t xml:space="preserve">AAACGTGCGGACGGGCCGCACACT</t>
  </si>
  <si>
    <t xml:space="preserve">ATACGCCGTCCGATCGCGGC</t>
  </si>
  <si>
    <t xml:space="preserve">TAGTATACGCCGTCCGATCGCGGC</t>
  </si>
  <si>
    <t xml:space="preserve">AAACGCCGCGATCGGACGGCGTAT</t>
  </si>
  <si>
    <t xml:space="preserve">TCCATGCAAGTTCCTTTTGC</t>
  </si>
  <si>
    <t xml:space="preserve">TAGTTCCATGCAAGTTCCTTTTGC</t>
  </si>
  <si>
    <t xml:space="preserve">AAACGCAAAAGGAACTTGCATGGA</t>
  </si>
  <si>
    <t xml:space="preserve">CAGATAGACTTTCAGCGGGC</t>
  </si>
  <si>
    <t xml:space="preserve">TAGTCAGATAGACTTTCAGCGGGC</t>
  </si>
  <si>
    <t xml:space="preserve">AAACGCCCGCTGAAAGTCTATCTG</t>
  </si>
  <si>
    <t xml:space="preserve">PST_4014</t>
  </si>
  <si>
    <t xml:space="preserve">CAGTATCAGCACCTCGCGAC</t>
  </si>
  <si>
    <t xml:space="preserve">TAGTCAGTATCAGCACCTCGCGAC</t>
  </si>
  <si>
    <t xml:space="preserve">AAACGTCGCGAGGTGCTGATACTG</t>
  </si>
  <si>
    <t xml:space="preserve">GGCGGTGCCAAAGGCAGCCT</t>
  </si>
  <si>
    <t xml:space="preserve">TAGTGGCGGTGCCAAAGGCAGCCT</t>
  </si>
  <si>
    <t xml:space="preserve">AAACAGGCTGCCTTTGGCACCGCC</t>
  </si>
  <si>
    <t xml:space="preserve">GACTTCGCTGTTGCGCGCGC</t>
  </si>
  <si>
    <t xml:space="preserve">TAGTGACTTCGCTGTTGCGCGCGC</t>
  </si>
  <si>
    <t xml:space="preserve">AAACGCGCGCGCAACAGCGAAGTC</t>
  </si>
  <si>
    <t xml:space="preserve">GCGGGTAGTAGATGCCGGCG</t>
  </si>
  <si>
    <t xml:space="preserve">TAGTGCGGGTAGTAGATGCCGGCG</t>
  </si>
  <si>
    <t xml:space="preserve">AAACCGCCGGCATCTACTACCCGC</t>
  </si>
  <si>
    <t xml:space="preserve">PST_4015</t>
  </si>
  <si>
    <t xml:space="preserve">GGCCGTGGGTGTCGGAGATC</t>
  </si>
  <si>
    <t xml:space="preserve">TAGTGGCCGTGGGTGTCGGAGATC</t>
  </si>
  <si>
    <t xml:space="preserve">AAACGATCTCCGACACCCACGGCC</t>
  </si>
  <si>
    <t xml:space="preserve">CCACCGCCTCGGGGCGGAGC</t>
  </si>
  <si>
    <t xml:space="preserve">TAGTCCACCGCCTCGGGGCGGAGC</t>
  </si>
  <si>
    <t xml:space="preserve">AAACGCTCCGCCCCGAGGCGGTGG</t>
  </si>
  <si>
    <t xml:space="preserve">CTGCGGTTTGCCGATATCGC</t>
  </si>
  <si>
    <t xml:space="preserve">TAGTCTGCGGTTTGCCGATATCGC</t>
  </si>
  <si>
    <t xml:space="preserve">AAACGCGATATCGGCAAACCGCAG</t>
  </si>
  <si>
    <t xml:space="preserve">TTGCCGCGGATCGCCTCCAG</t>
  </si>
  <si>
    <t xml:space="preserve">TAGTTTGCCGCGGATCGCCTCCAG</t>
  </si>
  <si>
    <t xml:space="preserve">AAACCTGGAGGCGATCCGCGGCAA</t>
  </si>
  <si>
    <t xml:space="preserve">PST_4016</t>
  </si>
  <si>
    <t xml:space="preserve">TCGGATTCGCGGGTTTGCAT</t>
  </si>
  <si>
    <t xml:space="preserve">TAGTTCGGATTCGCGGGTTTGCAT</t>
  </si>
  <si>
    <t xml:space="preserve">AAACATGCAAACCCGCGAATCCGA</t>
  </si>
  <si>
    <t xml:space="preserve">GCCGATACGCGCTCGGCTTG</t>
  </si>
  <si>
    <t xml:space="preserve">TAGTGCCGATACGCGCTCGGCTTG</t>
  </si>
  <si>
    <t xml:space="preserve">AAACCAAGCCGAGCGCGTATCGGC</t>
  </si>
  <si>
    <t xml:space="preserve">CCAGAGCGTCCTCCCACAAC</t>
  </si>
  <si>
    <t xml:space="preserve">TAGTCCAGAGCGTCCTCCCACAAC</t>
  </si>
  <si>
    <t xml:space="preserve">AAACGTTGTGGGAGGACGCTCTGG</t>
  </si>
  <si>
    <t xml:space="preserve">AAGGGCGACCAGCGCGGTGC</t>
  </si>
  <si>
    <t xml:space="preserve">TAGTAAGGGCGACCAGCGCGGTGC</t>
  </si>
  <si>
    <t xml:space="preserve">AAACGCACCGCGCTGGTCGCCCTT</t>
  </si>
  <si>
    <t xml:space="preserve">PST_4017</t>
  </si>
  <si>
    <t xml:space="preserve">folA</t>
  </si>
  <si>
    <t xml:space="preserve">CCACCGCTTCCCTTCGCCGC</t>
  </si>
  <si>
    <t xml:space="preserve">TAGTCCACCGCTTCCCTTCGCCGC</t>
  </si>
  <si>
    <t xml:space="preserve">AAACGCGGCGAAGGGAAGCGGTGG</t>
  </si>
  <si>
    <t xml:space="preserve">AAACCGAGGAGATGCCGAAA</t>
  </si>
  <si>
    <t xml:space="preserve">TAGTAAACCGAGGAGATGCCGAAA</t>
  </si>
  <si>
    <t xml:space="preserve">AAACTTTCGGCATCTCCTCGGTTT</t>
  </si>
  <si>
    <t xml:space="preserve">TCCGGTCATGCAAGTGGCGC</t>
  </si>
  <si>
    <t xml:space="preserve">TAGTTCCGGTCATGCAAGTGGCGC</t>
  </si>
  <si>
    <t xml:space="preserve">AAACGCGCCACTTGCATGACCGGA</t>
  </si>
  <si>
    <t xml:space="preserve">TAACCGTTTTGCAACGCAAG</t>
  </si>
  <si>
    <t xml:space="preserve">TAGTTAACCGTTTTGCAACGCAAG</t>
  </si>
  <si>
    <t xml:space="preserve">AAACCTTGCGTTGCAAAACGGTTA</t>
  </si>
  <si>
    <t xml:space="preserve">PST_4018</t>
  </si>
  <si>
    <t xml:space="preserve">glpQ</t>
  </si>
  <si>
    <t xml:space="preserve">GGCGCAGCGAAGCCGGAGAG</t>
  </si>
  <si>
    <t xml:space="preserve">TAGTGGCGCAGCGAAGCCGGAGAG</t>
  </si>
  <si>
    <t xml:space="preserve">AAACCTCTCCGGCTTCGCTGCGCC</t>
  </si>
  <si>
    <t xml:space="preserve">TGTTTCGCGGCGTGTTCATC</t>
  </si>
  <si>
    <t xml:space="preserve">TAGTTGTTTCGCGGCGTGTTCATC</t>
  </si>
  <si>
    <t xml:space="preserve">AAACGATGAACACGCCGCGAAACA</t>
  </si>
  <si>
    <t xml:space="preserve">TGGGCGATCACCAGCGGGGT</t>
  </si>
  <si>
    <t xml:space="preserve">TAGTTGGGCGATCACCAGCGGGGT</t>
  </si>
  <si>
    <t xml:space="preserve">AAACACCCCGCTGGTGATCGCCCA</t>
  </si>
  <si>
    <t xml:space="preserve">CATAGCCGCTGGCGCCGCGA</t>
  </si>
  <si>
    <t xml:space="preserve">TAGTCATAGCCGCTGGCGCCGCGA</t>
  </si>
  <si>
    <t xml:space="preserve">AAACTCGCGGCGCCAGCGGCTATG</t>
  </si>
  <si>
    <t xml:space="preserve">PST_4019</t>
  </si>
  <si>
    <t xml:space="preserve">GAGATCGGGAGAGGGGCGGA</t>
  </si>
  <si>
    <t xml:space="preserve">TAGTGAGATCGGGAGAGGGGCGGA</t>
  </si>
  <si>
    <t xml:space="preserve">AAACTCCGCCCCTCTCCCGATCTC</t>
  </si>
  <si>
    <t xml:space="preserve">GTCAGCCAGATTCGGTCGAG</t>
  </si>
  <si>
    <t xml:space="preserve">TAGTGTCAGCCAGATTCGGTCGAG</t>
  </si>
  <si>
    <t xml:space="preserve">AAACCTCGACCGAATCTGGCTGAC</t>
  </si>
  <si>
    <t xml:space="preserve">TTCGCGCAGGCGCACGGCTT</t>
  </si>
  <si>
    <t xml:space="preserve">TAGTTTCGCGCAGGCGCACGGCTT</t>
  </si>
  <si>
    <t xml:space="preserve">AAACAAGCCGTGCGCCTGCGCGAA</t>
  </si>
  <si>
    <t xml:space="preserve">CTCGTCGTCGTCCAGCGGCC</t>
  </si>
  <si>
    <t xml:space="preserve">TAGTCTCGTCGTCGTCCAGCGGCC</t>
  </si>
  <si>
    <t xml:space="preserve">AAACGGCCGCTGGACGACGACGAG</t>
  </si>
  <si>
    <t xml:space="preserve">PST_4020</t>
  </si>
  <si>
    <t xml:space="preserve">GACATTGGTATGGCCGACCA</t>
  </si>
  <si>
    <t xml:space="preserve">TAGTGACATTGGTATGGCCGACCA</t>
  </si>
  <si>
    <t xml:space="preserve">AAACTGGTCGGCCATACCAATGTC</t>
  </si>
  <si>
    <t xml:space="preserve">AGTCAGGGTGCGCAGCAGGG</t>
  </si>
  <si>
    <t xml:space="preserve">TAGTAGTCAGGGTGCGCAGCAGGG</t>
  </si>
  <si>
    <t xml:space="preserve">AAACCCCTGCTGCGCACCCTGACT</t>
  </si>
  <si>
    <t xml:space="preserve">CGTGGCGGGTGGTGCTCGGC</t>
  </si>
  <si>
    <t xml:space="preserve">TAGTCGTGGCGGGTGGTGCTCGGC</t>
  </si>
  <si>
    <t xml:space="preserve">AAACGCCGAGCACCACCCGCCACG</t>
  </si>
  <si>
    <t xml:space="preserve">GTGTCGTAAAGCTCCAGCAG</t>
  </si>
  <si>
    <t xml:space="preserve">TAGTGTGTCGTAAAGCTCCAGCAG</t>
  </si>
  <si>
    <t xml:space="preserve">AAACCTGCTGGAGCTTTACGACAC</t>
  </si>
  <si>
    <t xml:space="preserve">PST_4021</t>
  </si>
  <si>
    <t xml:space="preserve">TCGCCAGAAAACCCAGCACC</t>
  </si>
  <si>
    <t xml:space="preserve">TAGTTCGCCAGAAAACCCAGCACC</t>
  </si>
  <si>
    <t xml:space="preserve">AAACGGTGCTGGGTTTTCTGGCGA</t>
  </si>
  <si>
    <t xml:space="preserve">GGACAAAGGTCAGGCCGAAG</t>
  </si>
  <si>
    <t xml:space="preserve">TAGTGGACAAAGGTCAGGCCGAAG</t>
  </si>
  <si>
    <t xml:space="preserve">AAACCTTCGGCCTGACCTTTGTCC</t>
  </si>
  <si>
    <t xml:space="preserve">CGACCGGCGCCGCGCAGTTG</t>
  </si>
  <si>
    <t xml:space="preserve">TAGTCGACCGGCGCCGCGCAGTTG</t>
  </si>
  <si>
    <t xml:space="preserve">AAACCAACTGCGCGGCGCCGGTCG</t>
  </si>
  <si>
    <t xml:space="preserve">GCCAGCATCACCAGCCCCAG</t>
  </si>
  <si>
    <t xml:space="preserve">TAGTGCCAGCATCACCAGCCCCAG</t>
  </si>
  <si>
    <t xml:space="preserve">AAACCTGGGGCTGGTGATGCTGGC</t>
  </si>
  <si>
    <t xml:space="preserve">PST_4022</t>
  </si>
  <si>
    <t xml:space="preserve">CACGGCCATGTAGGGCAGCA</t>
  </si>
  <si>
    <t xml:space="preserve">TAGTCACGGCCATGTAGGGCAGCA</t>
  </si>
  <si>
    <t xml:space="preserve">AAACTGCTGCCCTACATGGCCGTG</t>
  </si>
  <si>
    <t xml:space="preserve">GCCCAGCAGGCGCGCGGCGC</t>
  </si>
  <si>
    <t xml:space="preserve">TAGTGCCCAGCAGGCGCGCGGCGC</t>
  </si>
  <si>
    <t xml:space="preserve">AAACGCGCCGCGCGCCTGCTGGGC</t>
  </si>
  <si>
    <t xml:space="preserve">ACCTGGCGGCTCACCGCCGA</t>
  </si>
  <si>
    <t xml:space="preserve">TAGTACCTGGCGGCTCACCGCCGA</t>
  </si>
  <si>
    <t xml:space="preserve">AAACTCGGCGGTGAGCCGCCAGGT</t>
  </si>
  <si>
    <t xml:space="preserve">TTCCAGTAGGCGCAGCGCCA</t>
  </si>
  <si>
    <t xml:space="preserve">TAGTTTCCAGTAGGCGCAGCGCCA</t>
  </si>
  <si>
    <t xml:space="preserve">AAACTGGCGCTGCGCCTACTGGAA</t>
  </si>
  <si>
    <t xml:space="preserve">PST_4023</t>
  </si>
  <si>
    <t xml:space="preserve">phoU</t>
  </si>
  <si>
    <t xml:space="preserve">CGAATCGGCCTGAATCAGCG</t>
  </si>
  <si>
    <t xml:space="preserve">TAGTCGAATCGGCCTGAATCAGCG</t>
  </si>
  <si>
    <t xml:space="preserve">AAACCGCTGATTCAGGCCGATTCG</t>
  </si>
  <si>
    <t xml:space="preserve">CCTCGCGCACCTGCTGGGCA</t>
  </si>
  <si>
    <t xml:space="preserve">TAGTCCTCGCGCACCTGCTGGGCA</t>
  </si>
  <si>
    <t xml:space="preserve">AAACTGCCCAGCAGGTGCGCGAGG</t>
  </si>
  <si>
    <t xml:space="preserve">CGTCGATGTTGCGCTCCATC</t>
  </si>
  <si>
    <t xml:space="preserve">TAGTCGTCGATGTTGCGCTCCATC</t>
  </si>
  <si>
    <t xml:space="preserve">AAACGATGGAGCGCAACATCGACG</t>
  </si>
  <si>
    <t xml:space="preserve">GGAGGCCGCCGGCTGACGGC</t>
  </si>
  <si>
    <t xml:space="preserve">TAGTGGAGGCCGCCGGCTGACGGC</t>
  </si>
  <si>
    <t xml:space="preserve">AAACGCCGTCAGCCGGCGGCCTCC</t>
  </si>
  <si>
    <t xml:space="preserve">PST_4024</t>
  </si>
  <si>
    <t xml:space="preserve">GATGTCGATCGAATGGGTGG</t>
  </si>
  <si>
    <t xml:space="preserve">TAGTGATGTCGATCGAATGGGTGG</t>
  </si>
  <si>
    <t xml:space="preserve">AAACCCACCCATTCGATCGACATC</t>
  </si>
  <si>
    <t xml:space="preserve">GCTGCGCTTGTCGCGGCCCA</t>
  </si>
  <si>
    <t xml:space="preserve">TAGTGCTGCGCTTGTCGCGGCCCA</t>
  </si>
  <si>
    <t xml:space="preserve">AAACTGGGCCGCGACAAGCGCAGC</t>
  </si>
  <si>
    <t xml:space="preserve">CCTGCTCGTTGGCCAGGCTC</t>
  </si>
  <si>
    <t xml:space="preserve">TAGTCCTGCTCGTTGGCCAGGCTC</t>
  </si>
  <si>
    <t xml:space="preserve">AAACGAGCCTGGCCAACGAGCAGG</t>
  </si>
  <si>
    <t xml:space="preserve">GCTGAGGTCGGGCACCTCGA</t>
  </si>
  <si>
    <t xml:space="preserve">TAGTGCTGAGGTCGGGCACCTCGA</t>
  </si>
  <si>
    <t xml:space="preserve">AAACTCGAGGTGCCCGACCTCAGC</t>
  </si>
  <si>
    <t xml:space="preserve">PST_4025</t>
  </si>
  <si>
    <t xml:space="preserve">GTTCAACGAATCCTTTTTCA</t>
  </si>
  <si>
    <t xml:space="preserve">TAGTGTTCAACGAATCCTTTTTCA</t>
  </si>
  <si>
    <t xml:space="preserve">AAACTGAAAAAGGATTCGTTGAAC</t>
  </si>
  <si>
    <t xml:space="preserve">CCGGCGTTCATCCAGATCCA</t>
  </si>
  <si>
    <t xml:space="preserve">TAGTCCGGCGTTCATCCAGATCCA</t>
  </si>
  <si>
    <t xml:space="preserve">AAACTGGATCTGGATGAACGCCGG</t>
  </si>
  <si>
    <t xml:space="preserve">CAGGGTCATGATCACGGCGA</t>
  </si>
  <si>
    <t xml:space="preserve">TAGTCAGGGTCATGATCACGGCGA</t>
  </si>
  <si>
    <t xml:space="preserve">AAACTCGCCGTGATCATGACCCTG</t>
  </si>
  <si>
    <t xml:space="preserve">GAAATGCGCCAGGCCACGCA</t>
  </si>
  <si>
    <t xml:space="preserve">TAGTGAAATGCGCCAGGCCACGCA</t>
  </si>
  <si>
    <t xml:space="preserve">AAACTGCGTGGCCTGGCGCATTTC</t>
  </si>
  <si>
    <t xml:space="preserve">PST_4026</t>
  </si>
  <si>
    <t xml:space="preserve">CCGTTGCACATCGTAATTCG</t>
  </si>
  <si>
    <t xml:space="preserve">TAGTCCGTTGCACATCGTAATTCG</t>
  </si>
  <si>
    <t xml:space="preserve">AAACCGAATTACGATGTGCAACGG</t>
  </si>
  <si>
    <t xml:space="preserve">CGCCGCTTGCGCTGCAGTGC</t>
  </si>
  <si>
    <t xml:space="preserve">TAGTCGCCGCTTGCGCTGCAGTGC</t>
  </si>
  <si>
    <t xml:space="preserve">AAACGCACTGCAGCGCAAGCGGCG</t>
  </si>
  <si>
    <t xml:space="preserve">ACACGTACCAGCGCGCCAGG</t>
  </si>
  <si>
    <t xml:space="preserve">TAGTACACGTACCAGCGCGCCAGG</t>
  </si>
  <si>
    <t xml:space="preserve">AAACCCTGGCGCGCTGGTACGTGT</t>
  </si>
  <si>
    <t xml:space="preserve">CAGCACGGCCAGGCCGCCGA</t>
  </si>
  <si>
    <t xml:space="preserve">TAGTCAGCACGGCCAGGCCGCCGA</t>
  </si>
  <si>
    <t xml:space="preserve">AAACTCGGCGGCCTGGCCGTGCTG</t>
  </si>
  <si>
    <t xml:space="preserve">PST_4027</t>
  </si>
  <si>
    <t xml:space="preserve">GCCAGCGGCTACGAAGGTGA</t>
  </si>
  <si>
    <t xml:space="preserve">TAGTGCCAGCGGCTACGAAGGTGA</t>
  </si>
  <si>
    <t xml:space="preserve">AAACTCACCTTCGTAGCCGCTGGC</t>
  </si>
  <si>
    <t xml:space="preserve">TACTGCAGCGACTGCGCTTG</t>
  </si>
  <si>
    <t xml:space="preserve">TAGTTACTGCAGCGACTGCGCTTG</t>
  </si>
  <si>
    <t xml:space="preserve">AAACCAAGCGCAGTCGCTGCAGTA</t>
  </si>
  <si>
    <t xml:space="preserve">TCTGGTAGCTCGGCAGTGCC</t>
  </si>
  <si>
    <t xml:space="preserve">TAGTTCTGGTAGCTCGGCAGTGCC</t>
  </si>
  <si>
    <t xml:space="preserve">AAACGGCACTGCCGAGCTACCAGA</t>
  </si>
  <si>
    <t xml:space="preserve">CAGGTTGCCGGAAACGCCAG</t>
  </si>
  <si>
    <t xml:space="preserve">TAGTCAGGTTGCCGGAAACGCCAG</t>
  </si>
  <si>
    <t xml:space="preserve">AAACCTGGCGTTTCCGGCAACCTG</t>
  </si>
  <si>
    <t xml:space="preserve">PST_4028</t>
  </si>
  <si>
    <t xml:space="preserve">CAGCGACCGCGCTGGGTCAA</t>
  </si>
  <si>
    <t xml:space="preserve">TAGTCAGCGACCGCGCTGGGTCAA</t>
  </si>
  <si>
    <t xml:space="preserve">AAACTTGACCCAGCGCGGTCGCTG</t>
  </si>
  <si>
    <t xml:space="preserve">GGCGACGGCGCCGAGTATAG</t>
  </si>
  <si>
    <t xml:space="preserve">TAGTGGCGACGGCGCCGAGTATAG</t>
  </si>
  <si>
    <t xml:space="preserve">AAACCTATACTCGGCGCCGTCGCC</t>
  </si>
  <si>
    <t xml:space="preserve">CGAAATGCCCGCGCTAGCGC</t>
  </si>
  <si>
    <t xml:space="preserve">TAGTCGAAATGCCCGCGCTAGCGC</t>
  </si>
  <si>
    <t xml:space="preserve">AAACGCGCTAGCGCGGGCATTTCG</t>
  </si>
  <si>
    <t xml:space="preserve">TCGCGGCGCGTTTGTTGTTC</t>
  </si>
  <si>
    <t xml:space="preserve">TAGTTCGCGGCGCGTTTGTTGTTC</t>
  </si>
  <si>
    <t xml:space="preserve">AAACGAACAACAAACGCGCCGCGA</t>
  </si>
  <si>
    <t xml:space="preserve">PST_4029</t>
  </si>
  <si>
    <t xml:space="preserve">TGGTCGATCATGGGTGACAT</t>
  </si>
  <si>
    <t xml:space="preserve">TAGTTGGTCGATCATGGGTGACAT</t>
  </si>
  <si>
    <t xml:space="preserve">AAACATGTCACCCATGATCGACCA</t>
  </si>
  <si>
    <t xml:space="preserve">GAAAATCCTCGGCAGAGGGA</t>
  </si>
  <si>
    <t xml:space="preserve">TAGTGAAAATCCTCGGCAGAGGGA</t>
  </si>
  <si>
    <t xml:space="preserve">AAACTCCCTCTGCCGAGGATTTTC</t>
  </si>
  <si>
    <t xml:space="preserve">GTGCAGCTGCCGGCCGTAGG</t>
  </si>
  <si>
    <t xml:space="preserve">TAGTGTGCAGCTGCCGGCCGTAGG</t>
  </si>
  <si>
    <t xml:space="preserve">AAACCCTACGGCCGGCAGCTGCAC</t>
  </si>
  <si>
    <t xml:space="preserve">CCAGCTCGGACTTGAAGCGC</t>
  </si>
  <si>
    <t xml:space="preserve">TAGTCCAGCTCGGACTTGAAGCGC</t>
  </si>
  <si>
    <t xml:space="preserve">AAACGCGCTTCAAGTCCGAGCTGG</t>
  </si>
  <si>
    <t xml:space="preserve">PST_4030</t>
  </si>
  <si>
    <t xml:space="preserve">TGTGGGTCGATCTTCGATGC</t>
  </si>
  <si>
    <t xml:space="preserve">TAGTTGTGGGTCGATCTTCGATGC</t>
  </si>
  <si>
    <t xml:space="preserve">AAACGCATCGAAGATCGACCCACA</t>
  </si>
  <si>
    <t xml:space="preserve">GGCCAGCAGAAGGGTGGTCA</t>
  </si>
  <si>
    <t xml:space="preserve">TAGTGGCCAGCAGAAGGGTGGTCA</t>
  </si>
  <si>
    <t xml:space="preserve">AAACTGACCACCCTTCTGCTGGCC</t>
  </si>
  <si>
    <t xml:space="preserve">CAGCGCGAACAGAGGCCAGA</t>
  </si>
  <si>
    <t xml:space="preserve">TAGTCAGCGCGAACAGAGGCCAGA</t>
  </si>
  <si>
    <t xml:space="preserve">AAACTCTGGCCTCTGTTCGCGCTG</t>
  </si>
  <si>
    <t xml:space="preserve">TGGGAAAGGCCCGCAGACGC</t>
  </si>
  <si>
    <t xml:space="preserve">TAGTTGGGAAAGGCCCGCAGACGC</t>
  </si>
  <si>
    <t xml:space="preserve">AAACGCGTCTGCGGGCCTTTCCCA</t>
  </si>
  <si>
    <t xml:space="preserve">PST_4031</t>
  </si>
  <si>
    <t xml:space="preserve">GGCTTTCGGCGAACGCGCAT</t>
  </si>
  <si>
    <t xml:space="preserve">TAGTGGCTTTCGGCGAACGCGCAT</t>
  </si>
  <si>
    <t xml:space="preserve">AAACATGCGCGTTCGCCGAAAGCC</t>
  </si>
  <si>
    <t xml:space="preserve">TTCATCGCGAGTCCTGGTAT</t>
  </si>
  <si>
    <t xml:space="preserve">TAGTTTCATCGCGAGTCCTGGTAT</t>
  </si>
  <si>
    <t xml:space="preserve">AAACATACCAGGACTCGCGATGAA</t>
  </si>
  <si>
    <t xml:space="preserve">GCCCCAGAGCAGAAGAAAGA</t>
  </si>
  <si>
    <t xml:space="preserve">TAGTGCCCCAGAGCAGAAGAAAGA</t>
  </si>
  <si>
    <t xml:space="preserve">AAACTCTTTCTTCTGCTCTGGGGC</t>
  </si>
  <si>
    <t xml:space="preserve">GCGCCGCGGTACTGATTGTC</t>
  </si>
  <si>
    <t xml:space="preserve">TAGTGCGCCGCGGTACTGATTGTC</t>
  </si>
  <si>
    <t xml:space="preserve">AAACGACAATCAGTACCGCGGCGC</t>
  </si>
  <si>
    <t xml:space="preserve">PST_4032</t>
  </si>
  <si>
    <t xml:space="preserve">recD</t>
  </si>
  <si>
    <t xml:space="preserve">AAGCGGGCCGAGGGGCAGAT</t>
  </si>
  <si>
    <t xml:space="preserve">TAGTAAGCGGGCCGAGGGGCAGAT</t>
  </si>
  <si>
    <t xml:space="preserve">AAACATCTGCCCCTCGGCCCGCTT</t>
  </si>
  <si>
    <t xml:space="preserve">GCGTTGCAGGCTGGCGACAA</t>
  </si>
  <si>
    <t xml:space="preserve">TAGTGCGTTGCAGGCTGGCGACAA</t>
  </si>
  <si>
    <t xml:space="preserve">AAACTTGTCGCCAGCCTGCAACGC</t>
  </si>
  <si>
    <t xml:space="preserve">CTTCGGGCGCCTGCGGTTCC</t>
  </si>
  <si>
    <t xml:space="preserve">TAGTCTTCGGGCGCCTGCGGTTCC</t>
  </si>
  <si>
    <t xml:space="preserve">AAACGGAACCGCAGGCGCCCGAAG</t>
  </si>
  <si>
    <t xml:space="preserve">CGCCTCACAGCACAGCGTGG</t>
  </si>
  <si>
    <t xml:space="preserve">TAGTCGCCTCACAGCACAGCGTGG</t>
  </si>
  <si>
    <t xml:space="preserve">AAACCCACGCTGTGCTGTGAGGCG</t>
  </si>
  <si>
    <t xml:space="preserve">PST_4033</t>
  </si>
  <si>
    <t xml:space="preserve">recB</t>
  </si>
  <si>
    <t xml:space="preserve">GTCGAGGAGGTCGAGTTTCA</t>
  </si>
  <si>
    <t xml:space="preserve">TAGTGTCGAGGAGGTCGAGTTTCA</t>
  </si>
  <si>
    <t xml:space="preserve">AAACTGAAACTCGACCTCCTCGAC</t>
  </si>
  <si>
    <t xml:space="preserve">ATCAGCGAGCGGCCGTCGAA</t>
  </si>
  <si>
    <t xml:space="preserve">TAGTATCAGCGAGCGGCCGTCGAA</t>
  </si>
  <si>
    <t xml:space="preserve">AAACTTCGACGGCCGCTCGCTGAT</t>
  </si>
  <si>
    <t xml:space="preserve">GGTGAGCGTCCAGGTCTTGC</t>
  </si>
  <si>
    <t xml:space="preserve">TAGTGGTGAGCGTCCAGGTCTTGC</t>
  </si>
  <si>
    <t xml:space="preserve">AAACGCAAGACCTGGACGCTCACC</t>
  </si>
  <si>
    <t xml:space="preserve">CAGCAGACGCGCATAGAGCG</t>
  </si>
  <si>
    <t xml:space="preserve">TAGTCAGCAGACGCGCATAGAGCG</t>
  </si>
  <si>
    <t xml:space="preserve">AAACCGCTCTATGCGCGTCTGCTG</t>
  </si>
  <si>
    <t xml:space="preserve">PST_4034</t>
  </si>
  <si>
    <t xml:space="preserve">recC</t>
  </si>
  <si>
    <t xml:space="preserve">GCGTGGTAGAGGCTGAGCAT</t>
  </si>
  <si>
    <t xml:space="preserve">TAGTGCGTGGTAGAGGCTGAGCAT</t>
  </si>
  <si>
    <t xml:space="preserve">AAACATGCTCAGCCTCTACCACGC</t>
  </si>
  <si>
    <t xml:space="preserve">GCCGAGGGTTTCGAGATCAG</t>
  </si>
  <si>
    <t xml:space="preserve">TAGTGCCGAGGGTTTCGAGATCAG</t>
  </si>
  <si>
    <t xml:space="preserve">AAACCTGATCTCGAAACCCTCGGC</t>
  </si>
  <si>
    <t xml:space="preserve">GAAGGGGTCGGCCAGCGGCT</t>
  </si>
  <si>
    <t xml:space="preserve">TAGTGAAGGGGTCGGCCAGCGGCT</t>
  </si>
  <si>
    <t xml:space="preserve">AAACAGCCGCTGGCCGACCCCTTC</t>
  </si>
  <si>
    <t xml:space="preserve">CTCGGCACCACCACCCGCGC</t>
  </si>
  <si>
    <t xml:space="preserve">TAGTCTCGGCACCACCACCCGCGC</t>
  </si>
  <si>
    <t xml:space="preserve">AAACGCGCGGGTGGTGGTGCCGAG</t>
  </si>
  <si>
    <t xml:space="preserve">PST_4035</t>
  </si>
  <si>
    <t xml:space="preserve">AAAGGACGAGCAGCGTCTTG</t>
  </si>
  <si>
    <t xml:space="preserve">TAGTAAAGGACGAGCAGCGTCTTG</t>
  </si>
  <si>
    <t xml:space="preserve">AAACCAAGACGCTGCTCGTCCTTT</t>
  </si>
  <si>
    <t xml:space="preserve">GGCGCCCAGGGTGGCGGAAA</t>
  </si>
  <si>
    <t xml:space="preserve">TAGTGGCGCCCAGGGTGGCGGAAA</t>
  </si>
  <si>
    <t xml:space="preserve">AAACTTTCCGCCACCCTGGGCGCC</t>
  </si>
  <si>
    <t xml:space="preserve">CTGGGCATGCAGCAGCGGCG</t>
  </si>
  <si>
    <t xml:space="preserve">TAGTCTGGGCATGCAGCAGCGGCG</t>
  </si>
  <si>
    <t xml:space="preserve">AAACCGCCGCTGCTGCATGCCCAG</t>
  </si>
  <si>
    <t xml:space="preserve">CGAGCCAAGGGTGCGTTGCG</t>
  </si>
  <si>
    <t xml:space="preserve">TAGTCGAGCCAAGGGTGCGTTGCG</t>
  </si>
  <si>
    <t xml:space="preserve">AAACCGCAACGCACCCTTGGCTCG</t>
  </si>
  <si>
    <t xml:space="preserve">PST_4036</t>
  </si>
  <si>
    <t xml:space="preserve">TGGACGACAGCAGGTGCAGC</t>
  </si>
  <si>
    <t xml:space="preserve">TAGTTGGACGACAGCAGGTGCAGC</t>
  </si>
  <si>
    <t xml:space="preserve">AAACGCTGCACCTGCTGTCGTCCA</t>
  </si>
  <si>
    <t xml:space="preserve">ACCCCAGACCAGCAGGGCAA</t>
  </si>
  <si>
    <t xml:space="preserve">TAGTACCCCAGACCAGCAGGGCAA</t>
  </si>
  <si>
    <t xml:space="preserve">AAACTTGCCCTGCTGGTCTGGGGT</t>
  </si>
  <si>
    <t xml:space="preserve">GCCATACACCCGCATGATCC</t>
  </si>
  <si>
    <t xml:space="preserve">TAGTGCCATACACCCGCATGATCC</t>
  </si>
  <si>
    <t xml:space="preserve">AAACGGATCATGCGGGTGTATGGC</t>
  </si>
  <si>
    <t xml:space="preserve">TCTGGCCGAGCATGCGCCGC</t>
  </si>
  <si>
    <t xml:space="preserve">TAGTTCTGGCCGAGCATGCGCCGC</t>
  </si>
  <si>
    <t xml:space="preserve">AAACGCGGCGCATGCTCGGCCAGA</t>
  </si>
  <si>
    <t xml:space="preserve">PST_4037</t>
  </si>
  <si>
    <t xml:space="preserve">CCCACCAGGCCGGCAGCCGC</t>
  </si>
  <si>
    <t xml:space="preserve">TAGTCCCACCAGGCCGGCAGCCGC</t>
  </si>
  <si>
    <t xml:space="preserve">AAACGCGGCTGCCGGCCTGGTGGG</t>
  </si>
  <si>
    <t xml:space="preserve">CCGCCGAACGCACCGATCAG</t>
  </si>
  <si>
    <t xml:space="preserve">TAGTCCGCCGAACGCACCGATCAG</t>
  </si>
  <si>
    <t xml:space="preserve">AAACCTGATCGGTGCGTTCGGCGG</t>
  </si>
  <si>
    <t xml:space="preserve">ACGGCAGCGGCCAGTTGGCC</t>
  </si>
  <si>
    <t xml:space="preserve">TAGTACGGCAGCGGCCAGTTGGCC</t>
  </si>
  <si>
    <t xml:space="preserve">AAACGGCCAACTGGCCGCTGCCGT</t>
  </si>
  <si>
    <t xml:space="preserve">TGCCCCACCTGCCGGCCGCG</t>
  </si>
  <si>
    <t xml:space="preserve">TAGTTGCCCCACCTGCCGGCCGCG</t>
  </si>
  <si>
    <t xml:space="preserve">AAACCGCGGCCGGCAGGTGGGGCA</t>
  </si>
  <si>
    <t xml:space="preserve">PST_4038</t>
  </si>
  <si>
    <t xml:space="preserve">CAGCAGGTTGGTCGGCCGGG</t>
  </si>
  <si>
    <t xml:space="preserve">TAGTCAGCAGGTTGGTCGGCCGGG</t>
  </si>
  <si>
    <t xml:space="preserve">AAACCCCGGCCGACCAACCTGCTG</t>
  </si>
  <si>
    <t xml:space="preserve">GCCGACGACGGTGCCGACGA</t>
  </si>
  <si>
    <t xml:space="preserve">TAGTGCCGACGACGGTGCCGACGA</t>
  </si>
  <si>
    <t xml:space="preserve">AAACTCGTCGGCACCGTCGTCGGC</t>
  </si>
  <si>
    <t xml:space="preserve">CCGTTGATCGGGCCGAGGCC</t>
  </si>
  <si>
    <t xml:space="preserve">TAGTCCGTTGATCGGGCCGAGGCC</t>
  </si>
  <si>
    <t xml:space="preserve">AAACGGCCTCGGCCCGATCAACGG</t>
  </si>
  <si>
    <t xml:space="preserve">AGGCCGAGGGCAAAGGCCAA</t>
  </si>
  <si>
    <t xml:space="preserve">TAGTAGGCCGAGGGCAAAGGCCAA</t>
  </si>
  <si>
    <t xml:space="preserve">AAACTTGGCCTTTGCCCTCGGCCT</t>
  </si>
  <si>
    <t xml:space="preserve">PST_4039</t>
  </si>
  <si>
    <t xml:space="preserve">GCAGGCGAGCAGCCACGCCG</t>
  </si>
  <si>
    <t xml:space="preserve">TAGTGCAGGCGAGCAGCCACGCCG</t>
  </si>
  <si>
    <t xml:space="preserve">AAACCGGCGTGGCTGCTCGCCTGC</t>
  </si>
  <si>
    <t xml:space="preserve">CCAGGCGAGCAGGGCGAGGC</t>
  </si>
  <si>
    <t xml:space="preserve">TAGTCCAGGCGAGCAGGGCGAGGC</t>
  </si>
  <si>
    <t xml:space="preserve">AAACGCCTCGCCCTGCTCGCCTGG</t>
  </si>
  <si>
    <t xml:space="preserve">CCGACCGGGTCGTAGGCGAA</t>
  </si>
  <si>
    <t xml:space="preserve">TAGTCCGACCGGGTCGTAGGCGAA</t>
  </si>
  <si>
    <t xml:space="preserve">AAACTTCGCCTACGACCCGGTCGG</t>
  </si>
  <si>
    <t xml:space="preserve">AGCAGCAGCGGATAGGCGCG</t>
  </si>
  <si>
    <t xml:space="preserve">TAGTAGCAGCAGCGGATAGGCGCG</t>
  </si>
  <si>
    <t xml:space="preserve">AAACCGCGCCTATCCGCTGCTGCT</t>
  </si>
  <si>
    <t xml:space="preserve">PST_4040</t>
  </si>
  <si>
    <t xml:space="preserve">CGGCTGAGTCTGGTTTTCAT</t>
  </si>
  <si>
    <t xml:space="preserve">TAGTCGGCTGAGTCTGGTTTTCAT</t>
  </si>
  <si>
    <t xml:space="preserve">AAACATGAAAACCAGACTCAGCCG</t>
  </si>
  <si>
    <t xml:space="preserve">AGGACGACAGCAGGGCGAAA</t>
  </si>
  <si>
    <t xml:space="preserve">TAGTAGGACGACAGCAGGGCGAAA</t>
  </si>
  <si>
    <t xml:space="preserve">AAACTTTCGCCCTGCTGTCGTCCT</t>
  </si>
  <si>
    <t xml:space="preserve">CTGGCTCGAGAGCAGCAGGC</t>
  </si>
  <si>
    <t xml:space="preserve">TAGTCTGGCTCGAGAGCAGCAGGC</t>
  </si>
  <si>
    <t xml:space="preserve">AAACGCCTGCTGCTCTCGAGCCAG</t>
  </si>
  <si>
    <t xml:space="preserve">GCACTCGGGGCGCTTGGGTT</t>
  </si>
  <si>
    <t xml:space="preserve">TAGTGCACTCGGGGCGCTTGGGTT</t>
  </si>
  <si>
    <t xml:space="preserve">AAACAACCCAAGCGCCCCGAGTGC</t>
  </si>
  <si>
    <t xml:space="preserve">PST_4041</t>
  </si>
  <si>
    <t xml:space="preserve">CGTCTGACGGCAGTCAGCAT</t>
  </si>
  <si>
    <t xml:space="preserve">TAGTCGTCTGACGGCAGTCAGCAT</t>
  </si>
  <si>
    <t xml:space="preserve">AAACATGCTGACTGCCGTCAGACG</t>
  </si>
  <si>
    <t xml:space="preserve">AGAGCGAGACGAGCAGGAGC</t>
  </si>
  <si>
    <t xml:space="preserve">TAGTAGAGCGAGACGAGCAGGAGC</t>
  </si>
  <si>
    <t xml:space="preserve">AAACGCTCCTGCTCGTCTCGCTCT</t>
  </si>
  <si>
    <t xml:space="preserve">GGCGAGCGGCGCCAGCGAGG</t>
  </si>
  <si>
    <t xml:space="preserve">TAGTGGCGAGCGGCGCCAGCGAGG</t>
  </si>
  <si>
    <t xml:space="preserve">AAACCCTCGCTGGCGCCGCTCGCC</t>
  </si>
  <si>
    <t xml:space="preserve">GTCTTCGATGAACGCGGCCT</t>
  </si>
  <si>
    <t xml:space="preserve">TAGTGTCTTCGATGAACGCGGCCT</t>
  </si>
  <si>
    <t xml:space="preserve">AAACAGGCCGCGTTCATCGAAGAC</t>
  </si>
  <si>
    <t xml:space="preserve">PST_4042</t>
  </si>
  <si>
    <t xml:space="preserve">tctD</t>
  </si>
  <si>
    <t xml:space="preserve">GTGGCTCGATCCACCTTGCG</t>
  </si>
  <si>
    <t xml:space="preserve">TAGTGTGGCTCGATCCACCTTGCG</t>
  </si>
  <si>
    <t xml:space="preserve">AAACCGCAAGGTGGATCGAGCCAC</t>
  </si>
  <si>
    <t xml:space="preserve">GACCCCATAGGATCGCTTAC</t>
  </si>
  <si>
    <t xml:space="preserve">TAGTGACCCCATAGGATCGCTTAC</t>
  </si>
  <si>
    <t xml:space="preserve">AAACGTAAGCGATCCTATGGGGTC</t>
  </si>
  <si>
    <t xml:space="preserve">GGCTTTCGACGCTGAAAGGC</t>
  </si>
  <si>
    <t xml:space="preserve">TAGTGGCTTTCGACGCTGAAAGGC</t>
  </si>
  <si>
    <t xml:space="preserve">AAACGCCTTTCAGCGTCGAAAGCC</t>
  </si>
  <si>
    <t xml:space="preserve">CAGACGGCAAGAGTCGCCGC</t>
  </si>
  <si>
    <t xml:space="preserve">TAGTCAGACGGCAAGAGTCGCCGC</t>
  </si>
  <si>
    <t xml:space="preserve">AAACGCGGCGACTCTTGCCGTCTG</t>
  </si>
  <si>
    <t xml:space="preserve">PST_4043</t>
  </si>
  <si>
    <t xml:space="preserve">CAGCCGGGCACGCAGGCTGC</t>
  </si>
  <si>
    <t xml:space="preserve">TAGTCAGCCGGGCACGCAGGCTGC</t>
  </si>
  <si>
    <t xml:space="preserve">AAACGCAGCCTGCGTGCCCGGCTG</t>
  </si>
  <si>
    <t xml:space="preserve">GCGCGAGCAGGATCGCCAGC</t>
  </si>
  <si>
    <t xml:space="preserve">TAGTGCGCGAGCAGGATCGCCAGC</t>
  </si>
  <si>
    <t xml:space="preserve">AAACGCTGGCGATCCTGCTCGCGC</t>
  </si>
  <si>
    <t xml:space="preserve">AGCGGCACGGCCGTTCCAGT</t>
  </si>
  <si>
    <t xml:space="preserve">TAGTAGCGGCACGGCCGTTCCAGT</t>
  </si>
  <si>
    <t xml:space="preserve">AAACACTGGAACGGCCGTGCCGCT</t>
  </si>
  <si>
    <t xml:space="preserve">GGTGCGGTCGTAGGCGGTAT</t>
  </si>
  <si>
    <t xml:space="preserve">TAGTGGTGCGGTCGTAGGCGGTAT</t>
  </si>
  <si>
    <t xml:space="preserve">AAACATACCGCCTACGACCGCACC</t>
  </si>
  <si>
    <t xml:space="preserve">PST_4044</t>
  </si>
  <si>
    <t xml:space="preserve">AGCAGGAGCAGACGTGTCAT</t>
  </si>
  <si>
    <t xml:space="preserve">TAGTAGCAGGAGCAGACGTGTCAT</t>
  </si>
  <si>
    <t xml:space="preserve">AAACATGACACGTCTGCTCCTGCT</t>
  </si>
  <si>
    <t xml:space="preserve">CGTAGGCGACAGCAGCAAGC</t>
  </si>
  <si>
    <t xml:space="preserve">TAGTCGTAGGCGACAGCAGCAAGC</t>
  </si>
  <si>
    <t xml:space="preserve">AAACGCTTGCTGCTGTCGCCTACG</t>
  </si>
  <si>
    <t xml:space="preserve">CGCCGAGCCGGCCGCGGTGG</t>
  </si>
  <si>
    <t xml:space="preserve">TAGTCGCCGAGCCGGCCGCGGTGG</t>
  </si>
  <si>
    <t xml:space="preserve">AAACCCACCGCGGCCGGCTCGGCG</t>
  </si>
  <si>
    <t xml:space="preserve">GGGTCGAGGCGCCGCGTGTC</t>
  </si>
  <si>
    <t xml:space="preserve">TAGTGGGTCGAGGCGCCGCGTGTC</t>
  </si>
  <si>
    <t xml:space="preserve">AAACGACACGCGGCGCCTCGACCC</t>
  </si>
  <si>
    <t xml:space="preserve">PST_4045</t>
  </si>
  <si>
    <t xml:space="preserve">CTTTGAGATCGGTGGTGGAC</t>
  </si>
  <si>
    <t xml:space="preserve">TAGTCTTTGAGATCGGTGGTGGAC</t>
  </si>
  <si>
    <t xml:space="preserve">AAACGTCCACCACCGATCTCAAAG</t>
  </si>
  <si>
    <t xml:space="preserve">GTCCGGGTTGGCGTAGGTGA</t>
  </si>
  <si>
    <t xml:space="preserve">TAGTGTCCGGGTTGGCGTAGGTGA</t>
  </si>
  <si>
    <t xml:space="preserve">AAACTCACCTACGCCAACCCGGAC</t>
  </si>
  <si>
    <t xml:space="preserve">CAGTTCGGCTTCGTCAAAGC</t>
  </si>
  <si>
    <t xml:space="preserve">TAGTCAGTTCGGCTTCGTCAAAGC</t>
  </si>
  <si>
    <t xml:space="preserve">AAACGCTTTGACGAAGCCGAACTG</t>
  </si>
  <si>
    <t xml:space="preserve">GGGTGACGGACCAGGTTATG</t>
  </si>
  <si>
    <t xml:space="preserve">TAGTGGGTGACGGACCAGGTTATG</t>
  </si>
  <si>
    <t xml:space="preserve">AAACCATAACCTGGTCCGTCACCC</t>
  </si>
  <si>
    <t xml:space="preserve">PST_4046</t>
  </si>
  <si>
    <t xml:space="preserve">AGGGCTTCTTCGGTCAGCAT</t>
  </si>
  <si>
    <t xml:space="preserve">TAGTAGGGCTTCTTCGGTCAGCAT</t>
  </si>
  <si>
    <t xml:space="preserve">AAACATGCTGACCGAAGAAGCCCT</t>
  </si>
  <si>
    <t xml:space="preserve">TGTCTTCCAGCGCGGTACGC</t>
  </si>
  <si>
    <t xml:space="preserve">TAGTTGTCTTCCAGCGCGGTACGC</t>
  </si>
  <si>
    <t xml:space="preserve">AAACGCGTACCGCGCTGGAAGACA</t>
  </si>
  <si>
    <t xml:space="preserve">GGTGCGTTCGAGCACCTGGA</t>
  </si>
  <si>
    <t xml:space="preserve">TAGTGGTGCGTTCGAGCACCTGGA</t>
  </si>
  <si>
    <t xml:space="preserve">AAACTCCAGGTGCTCGAACGCACC</t>
  </si>
  <si>
    <t xml:space="preserve">GCGGGACTTGAACGAGCGGC</t>
  </si>
  <si>
    <t xml:space="preserve">TAGTGCGGGACTTGAACGAGCGGC</t>
  </si>
  <si>
    <t xml:space="preserve">AAACGCCGCTCGTTCAAGTCCCGC</t>
  </si>
  <si>
    <t xml:space="preserve">PST_4047</t>
  </si>
  <si>
    <t xml:space="preserve">aer</t>
  </si>
  <si>
    <t xml:space="preserve">ACAGGCCCGTCGGTCCTGTC</t>
  </si>
  <si>
    <t xml:space="preserve">TAGTACAGGCCCGTCGGTCCTGTC</t>
  </si>
  <si>
    <t xml:space="preserve">AAACGACAGGACCGACGGGCCTGT</t>
  </si>
  <si>
    <t xml:space="preserve">TCCCTGCGGGTGATCCTTGA</t>
  </si>
  <si>
    <t xml:space="preserve">TAGTTCCCTGCGGGTGATCCTTGA</t>
  </si>
  <si>
    <t xml:space="preserve">AAACTCAAGGATCACCCGCAGGGA</t>
  </si>
  <si>
    <t xml:space="preserve">GTTTTTGTCGCGCGGAAAAC</t>
  </si>
  <si>
    <t xml:space="preserve">TAGTGTTTTTGTCGCGCGGAAAAC</t>
  </si>
  <si>
    <t xml:space="preserve">AAACGTTTTCCGCGCGACAAAAAC</t>
  </si>
  <si>
    <t xml:space="preserve">CCTGCCTCGGACGGCCCAAC</t>
  </si>
  <si>
    <t xml:space="preserve">TAGTCCTGCCTCGGACGGCCCAAC</t>
  </si>
  <si>
    <t xml:space="preserve">AAACGTTGGGCCGTCCGAGGCAGG</t>
  </si>
  <si>
    <t xml:space="preserve">PST_4048</t>
  </si>
  <si>
    <t xml:space="preserve">TGCCAAGGATTTGCCTTTCA</t>
  </si>
  <si>
    <t xml:space="preserve">TAGTTGCCAAGGATTTGCCTTTCA</t>
  </si>
  <si>
    <t xml:space="preserve">AAACTGAAAGGCAAATCCTTGGCA</t>
  </si>
  <si>
    <t xml:space="preserve">GCCGGTTCCCGCCAGAGCAG</t>
  </si>
  <si>
    <t xml:space="preserve">TAGTGCCGGTTCCCGCCAGAGCAG</t>
  </si>
  <si>
    <t xml:space="preserve">AAACCTGCTCTGGCGGGAACCGGC</t>
  </si>
  <si>
    <t xml:space="preserve">GCGCCTGTGCCACTGTGCTC</t>
  </si>
  <si>
    <t xml:space="preserve">TAGTGCGCCTGTGCCACTGTGCTC</t>
  </si>
  <si>
    <t xml:space="preserve">AAACGAGCACAGTGGCACAGGCGC</t>
  </si>
  <si>
    <t xml:space="preserve">CCCGGCCACGTAGTAAACGC</t>
  </si>
  <si>
    <t xml:space="preserve">TAGTCCCGGCCACGTAGTAAACGC</t>
  </si>
  <si>
    <t xml:space="preserve">AAACGCGTTTACTACGTGGCCGGG</t>
  </si>
  <si>
    <t xml:space="preserve">PST_4049</t>
  </si>
  <si>
    <t xml:space="preserve">GTCCTGGGCGATCAGTTCCT</t>
  </si>
  <si>
    <t xml:space="preserve">TAGTGTCCTGGGCGATCAGTTCCT</t>
  </si>
  <si>
    <t xml:space="preserve">AAACAGGAACTGATCGCCCAGGAC</t>
  </si>
  <si>
    <t xml:space="preserve">ACCGCGGCCATCGGCCCGGC</t>
  </si>
  <si>
    <t xml:space="preserve">TAGTACCGCGGCCATCGGCCCGGC</t>
  </si>
  <si>
    <t xml:space="preserve">AAACGCCGGGCCGATGGCCGCGGT</t>
  </si>
  <si>
    <t xml:space="preserve">CGACCAGAGCAGTGCGAGCC</t>
  </si>
  <si>
    <t xml:space="preserve">TAGTCGACCAGAGCAGTGCGAGCC</t>
  </si>
  <si>
    <t xml:space="preserve">AAACGGCTCGCACTGCTCTGGTCG</t>
  </si>
  <si>
    <t xml:space="preserve">GCGGCGAGGCGATCCACAGC</t>
  </si>
  <si>
    <t xml:space="preserve">TAGTGCGGCGAGGCGATCCACAGC</t>
  </si>
  <si>
    <t xml:space="preserve">AAACGCTGTGGATCGCCTCGCCGC</t>
  </si>
  <si>
    <t xml:space="preserve">PST_4050</t>
  </si>
  <si>
    <t xml:space="preserve">CCACAAAAAAGCCCAGCCAG</t>
  </si>
  <si>
    <t xml:space="preserve">TAGTCCACAAAAAAGCCCAGCCAG</t>
  </si>
  <si>
    <t xml:space="preserve">AAACCTGGCTGGGCTTTTTTGTGG</t>
  </si>
  <si>
    <t xml:space="preserve">GCGCCCCAGGGCAGCCAGCG</t>
  </si>
  <si>
    <t xml:space="preserve">TAGTGCGCCCCAGGGCAGCCAGCG</t>
  </si>
  <si>
    <t xml:space="preserve">AAACCGCTGGCTGCCCTGGGGCGC</t>
  </si>
  <si>
    <t xml:space="preserve">ACCAGCGCGGCGAACACCGC</t>
  </si>
  <si>
    <t xml:space="preserve">TAGTACCAGCGCGGCGAACACCGC</t>
  </si>
  <si>
    <t xml:space="preserve">AAACGCGGTGTTCGCCGCGCTGGT</t>
  </si>
  <si>
    <t xml:space="preserve">TTCCACGGCCAGCTTGGCCA</t>
  </si>
  <si>
    <t xml:space="preserve">TAGTTTCCACGGCCAGCTTGGCCA</t>
  </si>
  <si>
    <t xml:space="preserve">AAACTGGCCAAGCTGGCCGTGGAA</t>
  </si>
  <si>
    <t xml:space="preserve">PST_4051</t>
  </si>
  <si>
    <t xml:space="preserve">GCGTCGATAGCCGCCCGCAA</t>
  </si>
  <si>
    <t xml:space="preserve">TAGTGCGTCGATAGCCGCCCGCAA</t>
  </si>
  <si>
    <t xml:space="preserve">AAACTTGCGGGCGGCTATCGACGC</t>
  </si>
  <si>
    <t xml:space="preserve">CTGATCTTCGGCCGCGGCCG</t>
  </si>
  <si>
    <t xml:space="preserve">TAGTCTGATCTTCGGCCGCGGCCG</t>
  </si>
  <si>
    <t xml:space="preserve">AAACCGGCCGCGGCCGAAGATCAG</t>
  </si>
  <si>
    <t xml:space="preserve">GATCCTGTTCGTGGTCTTCC</t>
  </si>
  <si>
    <t xml:space="preserve">TAGTGATCCTGTTCGTGGTCTTCC</t>
  </si>
  <si>
    <t xml:space="preserve">AAACGGAAGACCACGAACAGGATC</t>
  </si>
  <si>
    <t xml:space="preserve">GGTATCGCAGGCACTGCTAC</t>
  </si>
  <si>
    <t xml:space="preserve">TAGTGGTATCGCAGGCACTGCTAC</t>
  </si>
  <si>
    <t xml:space="preserve">AAACGTAGCAGTGCCTGCGATACC</t>
  </si>
  <si>
    <t xml:space="preserve">PST_4052</t>
  </si>
  <si>
    <t xml:space="preserve">GCGCATGCGCCAGCTCAAAC</t>
  </si>
  <si>
    <t xml:space="preserve">TAGTGCGCATGCGCCAGCTCAAAC</t>
  </si>
  <si>
    <t xml:space="preserve">AAACGTTTGAGCTGGCGCATGCGC</t>
  </si>
  <si>
    <t xml:space="preserve">GCCGGATGTACGGGCTTTGT</t>
  </si>
  <si>
    <t xml:space="preserve">TAGTGCCGGATGTACGGGCTTTGT</t>
  </si>
  <si>
    <t xml:space="preserve">AAACACAAAGCCCGTACATCCGGC</t>
  </si>
  <si>
    <t xml:space="preserve">GGCTTTCGAAGACGCCGTGC</t>
  </si>
  <si>
    <t xml:space="preserve">TAGTGGCTTTCGAAGACGCCGTGC</t>
  </si>
  <si>
    <t xml:space="preserve">AAACGCACGGCGTCTTCGAAAGCC</t>
  </si>
  <si>
    <t xml:space="preserve">GACCGAAGCACACATCCTGG</t>
  </si>
  <si>
    <t xml:space="preserve">TAGTGACCGAAGCACACATCCTGG</t>
  </si>
  <si>
    <t xml:space="preserve">AAACCCAGGATGTGTGCTTCGGTC</t>
  </si>
  <si>
    <t xml:space="preserve">PST_4053</t>
  </si>
  <si>
    <t xml:space="preserve">algB</t>
  </si>
  <si>
    <t xml:space="preserve">GGCAGTAACGAAAGGTACGC</t>
  </si>
  <si>
    <t xml:space="preserve">TAGTGGCAGTAACGAAAGGTACGC</t>
  </si>
  <si>
    <t xml:space="preserve">AAACGCGTACCTTTCGTTACTGCC</t>
  </si>
  <si>
    <t xml:space="preserve">CCGTCATCACCGTATAGCCA</t>
  </si>
  <si>
    <t xml:space="preserve">TAGTCCGTCATCACCGTATAGCCA</t>
  </si>
  <si>
    <t xml:space="preserve">AAACTGGCTATACGGTGATGACGG</t>
  </si>
  <si>
    <t xml:space="preserve">CGCTTCGGCCTGCGCAGCGC</t>
  </si>
  <si>
    <t xml:space="preserve">TAGTCGCTTCGGCCTGCGCAGCGC</t>
  </si>
  <si>
    <t xml:space="preserve">AAACGCGCTGCGCAGGCCGAAGCG</t>
  </si>
  <si>
    <t xml:space="preserve">GATCGAACACCTGGCGTTGC</t>
  </si>
  <si>
    <t xml:space="preserve">TAGTGATCGAACACCTGGCGTTGC</t>
  </si>
  <si>
    <t xml:space="preserve">AAACGCAACGCCAGGTGTTCGATC</t>
  </si>
  <si>
    <t xml:space="preserve">PST_4054</t>
  </si>
  <si>
    <t xml:space="preserve">CGAGAACCCGAGGAAGAGTC</t>
  </si>
  <si>
    <t xml:space="preserve">TAGTCGAGAACCCGAGGAAGAGTC</t>
  </si>
  <si>
    <t xml:space="preserve">AAACGACTCTTCCTCGGGTTCTCG</t>
  </si>
  <si>
    <t xml:space="preserve">CGCCAGCAGCAGGCCCAGCA</t>
  </si>
  <si>
    <t xml:space="preserve">TAGTCGCCAGCAGCAGGCCCAGCA</t>
  </si>
  <si>
    <t xml:space="preserve">AAACTGCTGGGCCTGCTGCTGGCG</t>
  </si>
  <si>
    <t xml:space="preserve">GATCAGCTGCTCCTGGCTCT</t>
  </si>
  <si>
    <t xml:space="preserve">TAGTGATCAGCTGCTCCTGGCTCT</t>
  </si>
  <si>
    <t xml:space="preserve">AAACAGAGCCAGGAGCAGCTGATC</t>
  </si>
  <si>
    <t xml:space="preserve">CGATGATGCTGAAGTTGTCG</t>
  </si>
  <si>
    <t xml:space="preserve">TAGTCGATGATGCTGAAGTTGTCG</t>
  </si>
  <si>
    <t xml:space="preserve">AAACCGACAACTTCAGCATCATCG</t>
  </si>
  <si>
    <t xml:space="preserve">PST_4055</t>
  </si>
  <si>
    <t xml:space="preserve">TCGGGGCTGGGGTTCAGACT</t>
  </si>
  <si>
    <t xml:space="preserve">TAGTTCGGGGCTGGGGTTCAGACT</t>
  </si>
  <si>
    <t xml:space="preserve">AAACAGTCTGAACCCCAGCCCCGA</t>
  </si>
  <si>
    <t xml:space="preserve">GGGCATCGCCGCCACATAGT</t>
  </si>
  <si>
    <t xml:space="preserve">TAGTGGGCATCGCCGCCACATAGT</t>
  </si>
  <si>
    <t xml:space="preserve">AAACACTATGTGGCGGCGATGCCC</t>
  </si>
  <si>
    <t xml:space="preserve">ATCAGGATCGGCACGCCCGA</t>
  </si>
  <si>
    <t xml:space="preserve">TAGTATCAGGATCGGCACGCCCGA</t>
  </si>
  <si>
    <t xml:space="preserve">AAACTCGGGCGTGCCGATCCTGAT</t>
  </si>
  <si>
    <t xml:space="preserve">GCCTGGCGGGTAGGTGGCCT</t>
  </si>
  <si>
    <t xml:space="preserve">TAGTGCCTGGCGGGTAGGTGGCCT</t>
  </si>
  <si>
    <t xml:space="preserve">AAACAGGCCACCTACCCGCCAGGC</t>
  </si>
  <si>
    <t xml:space="preserve">PST_4056</t>
  </si>
  <si>
    <t xml:space="preserve">GTAGCGGAGAGCAATTTCAT</t>
  </si>
  <si>
    <t xml:space="preserve">TAGTGTAGCGGAGAGCAATTTCAT</t>
  </si>
  <si>
    <t xml:space="preserve">AAACATGAAATTGCTCTCCGCTAC</t>
  </si>
  <si>
    <t xml:space="preserve">GGCCAGCAGCAGAAGCAAGA</t>
  </si>
  <si>
    <t xml:space="preserve">TAGTGGCCAGCAGCAGAAGCAAGA</t>
  </si>
  <si>
    <t xml:space="preserve">AAACTCTTGCTTCTGCTGCTGGCC</t>
  </si>
  <si>
    <t xml:space="preserve">GCGTGGGCCGCTGGCACAGC</t>
  </si>
  <si>
    <t xml:space="preserve">TAGTGCGTGGGCCGCTGGCACAGC</t>
  </si>
  <si>
    <t xml:space="preserve">AAACGCTGTGCCAGCGGCCCACGC</t>
  </si>
  <si>
    <t xml:space="preserve">GTGGCCGATCGAGCTGTGGC</t>
  </si>
  <si>
    <t xml:space="preserve">TAGTGTGGCCGATCGAGCTGTGGC</t>
  </si>
  <si>
    <t xml:space="preserve">AAACGCCACAGCTCGATCGGCCAC</t>
  </si>
  <si>
    <t xml:space="preserve">PST_4057</t>
  </si>
  <si>
    <t xml:space="preserve">ATACTTTTCCTTCCAGCGTT</t>
  </si>
  <si>
    <t xml:space="preserve">TAGTATACTTTTCCTTCCAGCGTT</t>
  </si>
  <si>
    <t xml:space="preserve">AAACAACGCTGGAAGGAAAAGTAT</t>
  </si>
  <si>
    <t xml:space="preserve">GTCCAGCTGCTCCTGGCGCT</t>
  </si>
  <si>
    <t xml:space="preserve">TAGTGTCCAGCTGCTCCTGGCGCT</t>
  </si>
  <si>
    <t xml:space="preserve">AAACAGCGCCAGGAGCAGCTGGAC</t>
  </si>
  <si>
    <t xml:space="preserve">ATCGACGCGCTGCTCCCAGC</t>
  </si>
  <si>
    <t xml:space="preserve">TAGTATCGACGCGCTGCTCCCAGC</t>
  </si>
  <si>
    <t xml:space="preserve">AAACGCTGGGAGCAGCGCGTCGAT</t>
  </si>
  <si>
    <t xml:space="preserve">CCGCCAGGCTGCTGCGTACC</t>
  </si>
  <si>
    <t xml:space="preserve">TAGTCCGCCAGGCTGCTGCGTACC</t>
  </si>
  <si>
    <t xml:space="preserve">AAACGGTACGCAGCAGCCTGGCGG</t>
  </si>
  <si>
    <t xml:space="preserve">PST_4058</t>
  </si>
  <si>
    <t xml:space="preserve">CAAGGCGTGGGGCACTCCAA</t>
  </si>
  <si>
    <t xml:space="preserve">TAGTCAAGGCGTGGGGCACTCCAA</t>
  </si>
  <si>
    <t xml:space="preserve">AAACTTGGAGTGCCCCACGCCTTG</t>
  </si>
  <si>
    <t xml:space="preserve">GACCCGTGCCTTGCCGGGGC</t>
  </si>
  <si>
    <t xml:space="preserve">TAGTGACCCGTGCCTTGCCGGGGC</t>
  </si>
  <si>
    <t xml:space="preserve">AAACGCCCCGGCAAGGCACGGGTC</t>
  </si>
  <si>
    <t xml:space="preserve">CCGGTGCTGGCCAGGCAGTG</t>
  </si>
  <si>
    <t xml:space="preserve">TAGTCCGGTGCTGGCCAGGCAGTG</t>
  </si>
  <si>
    <t xml:space="preserve">AAACCACTGCCTGGCCAGCACCGG</t>
  </si>
  <si>
    <t xml:space="preserve">AGGCGCAGCCGGCCATCGGC</t>
  </si>
  <si>
    <t xml:space="preserve">TAGTAGGCGCAGCCGGCCATCGGC</t>
  </si>
  <si>
    <t xml:space="preserve">AAACGCCGATGGCCGGCTGCGCCT</t>
  </si>
  <si>
    <t xml:space="preserve">PST_4059</t>
  </si>
  <si>
    <t xml:space="preserve">dsbA</t>
  </si>
  <si>
    <t xml:space="preserve">TAGCAAGGACGGCAGTGAGT</t>
  </si>
  <si>
    <t xml:space="preserve">TAGTTAGCAAGGACGGCAGTGAGT</t>
  </si>
  <si>
    <t xml:space="preserve">AAACACTCACTGCCGTCCTTGCTA</t>
  </si>
  <si>
    <t xml:space="preserve">GGTCACCCCGCCGAACAGGC</t>
  </si>
  <si>
    <t xml:space="preserve">TAGTGGTCACCCCGCCGAACAGGC</t>
  </si>
  <si>
    <t xml:space="preserve">AAACGCCTGTTCGGCGGGGTGACC</t>
  </si>
  <si>
    <t xml:space="preserve">GGCCTGGAACTCCGCTGCCT</t>
  </si>
  <si>
    <t xml:space="preserve">TAGTGGCCTGGAACTCCGCTGCCT</t>
  </si>
  <si>
    <t xml:space="preserve">AAACAGGCAGCGGAGTTCCAGGCC</t>
  </si>
  <si>
    <t xml:space="preserve">CAGCTCGACATATTCCTTGC</t>
  </si>
  <si>
    <t xml:space="preserve">TAGTCAGCTCGACATATTCCTTGC</t>
  </si>
  <si>
    <t xml:space="preserve">AAACGCAAGGAATATGTCGAGCTG</t>
  </si>
  <si>
    <t xml:space="preserve">PST_4060</t>
  </si>
  <si>
    <t xml:space="preserve">GGCCATACCGGTGATGCCAA</t>
  </si>
  <si>
    <t xml:space="preserve">TAGTGGCCATACCGGTGATGCCAA</t>
  </si>
  <si>
    <t xml:space="preserve">AAACTTGGCATCACCGGTATGGCC</t>
  </si>
  <si>
    <t xml:space="preserve">TTCGGCGTCTCCAGCCGCGT</t>
  </si>
  <si>
    <t xml:space="preserve">TAGTTTCGGCGTCTCCAGCCGCGT</t>
  </si>
  <si>
    <t xml:space="preserve">AAACACGCGGCTGGAGACGCCGAA</t>
  </si>
  <si>
    <t xml:space="preserve">GTTGCCGTCCGCACCGTGGC</t>
  </si>
  <si>
    <t xml:space="preserve">TAGTGTTGCCGTCCGCACCGTGGC</t>
  </si>
  <si>
    <t xml:space="preserve">AAACGCCACGGTGCGGACGGCAAC</t>
  </si>
  <si>
    <t xml:space="preserve">GTTTCGGGAAGTTCGGCGCC</t>
  </si>
  <si>
    <t xml:space="preserve">TAGTGTTTCGGGAAGTTCGGCGCC</t>
  </si>
  <si>
    <t xml:space="preserve">AAACGGCGCCGAACTTCCCGAAAC</t>
  </si>
  <si>
    <t xml:space="preserve">PST_4061</t>
  </si>
  <si>
    <t xml:space="preserve">engB</t>
  </si>
  <si>
    <t xml:space="preserve">AGTGCACGCGGGTGCGGCAA</t>
  </si>
  <si>
    <t xml:space="preserve">TAGTAGTGCACGCGGGTGCGGCAA</t>
  </si>
  <si>
    <t xml:space="preserve">AAACTTGCCGCACCCGCGTGCACT</t>
  </si>
  <si>
    <t xml:space="preserve">TTTCGGTAGCATGGTCGTTC</t>
  </si>
  <si>
    <t xml:space="preserve">TAGTTTTCGGTAGCATGGTCGTTC</t>
  </si>
  <si>
    <t xml:space="preserve">AAACGAACGACCATGCTACCGAAA</t>
  </si>
  <si>
    <t xml:space="preserve">GTTGGCAAAGGCCGAGAATC</t>
  </si>
  <si>
    <t xml:space="preserve">TAGTGTTGGCAAAGGCCGAGAATC</t>
  </si>
  <si>
    <t xml:space="preserve">AAACGATTCTCGGCCTTTGCCAAC</t>
  </si>
  <si>
    <t xml:space="preserve">CTTGGCGGCGCTGATCATGA</t>
  </si>
  <si>
    <t xml:space="preserve">TAGTCTTGGCGGCGCTGATCATGA</t>
  </si>
  <si>
    <t xml:space="preserve">AAACTCATGATCAGCGCCGCCAAG</t>
  </si>
  <si>
    <t xml:space="preserve">PST_4062</t>
  </si>
  <si>
    <t xml:space="preserve">gcvP-2</t>
  </si>
  <si>
    <t xml:space="preserve">AAGGCTCGGCATATACGGCA</t>
  </si>
  <si>
    <t xml:space="preserve">TAGTAAGGCTCGGCATATACGGCA</t>
  </si>
  <si>
    <t xml:space="preserve">AAACTGCCGTATATGCCGAGCCTT</t>
  </si>
  <si>
    <t xml:space="preserve">GGCATCGGTTTGCTGGAGTT</t>
  </si>
  <si>
    <t xml:space="preserve">TAGTGGCATCGGTTTGCTGGAGTT</t>
  </si>
  <si>
    <t xml:space="preserve">AAACAACTCCAGCAAACCGATGCC</t>
  </si>
  <si>
    <t xml:space="preserve">CCTGATCCGGGCCGAGGTGA</t>
  </si>
  <si>
    <t xml:space="preserve">TAGTCCTGATCCGGGCCGAGGTGA</t>
  </si>
  <si>
    <t xml:space="preserve">AAACTCACCTCGGCCCGGATCAGG</t>
  </si>
  <si>
    <t xml:space="preserve">CCCTGCAGGCGGATCGCCGG</t>
  </si>
  <si>
    <t xml:space="preserve">TAGTCCCTGCAGGCGGATCGCCGG</t>
  </si>
  <si>
    <t xml:space="preserve">AAACCCGGCGATCCGCCTGCAGGG</t>
  </si>
  <si>
    <t xml:space="preserve">PST_4063</t>
  </si>
  <si>
    <t xml:space="preserve">gcvH1</t>
  </si>
  <si>
    <t xml:space="preserve">CGGCGTAACGCAGATCGCTG</t>
  </si>
  <si>
    <t xml:space="preserve">TAGTCGGCGTAACGCAGATCGCTG</t>
  </si>
  <si>
    <t xml:space="preserve">AAACCAGCGATCTGCGTTACGCCG</t>
  </si>
  <si>
    <t xml:space="preserve">ACGGGCCCACTCGTGGCTGG</t>
  </si>
  <si>
    <t xml:space="preserve">TAGTACGGGCCCACTCGTGGCTGG</t>
  </si>
  <si>
    <t xml:space="preserve">AAACCCAGCCACGAGTGGGCCCGT</t>
  </si>
  <si>
    <t xml:space="preserve">GGCGTGATCGGAGATGCCGA</t>
  </si>
  <si>
    <t xml:space="preserve">TAGTGGCGTGATCGGAGATGCCGA</t>
  </si>
  <si>
    <t xml:space="preserve">AAACTCGGCATCTCCGATCACGCC</t>
  </si>
  <si>
    <t xml:space="preserve">CACATCCCCCAGCGCCTCTT</t>
  </si>
  <si>
    <t xml:space="preserve">TAGTCACATCCCCCAGCGCCTCTT</t>
  </si>
  <si>
    <t xml:space="preserve">AAACAAGAGGCGCTGGGGGATGTG</t>
  </si>
  <si>
    <t xml:space="preserve">PST_4064</t>
  </si>
  <si>
    <t xml:space="preserve">gcvT1</t>
  </si>
  <si>
    <t xml:space="preserve">AGGGGAGTACGCTGACCCAT</t>
  </si>
  <si>
    <t xml:space="preserve">TAGTAGGGGAGTACGCTGACCCAT</t>
  </si>
  <si>
    <t xml:space="preserve">AAACATGGGTCAGCGTACTCCCCT</t>
  </si>
  <si>
    <t xml:space="preserve">GCGCAAGGTGCTGATCGTAG</t>
  </si>
  <si>
    <t xml:space="preserve">TAGTGCGCAAGGTGCTGATCGTAG</t>
  </si>
  <si>
    <t xml:space="preserve">AAACCTACGATCAGCACCTTGCGC</t>
  </si>
  <si>
    <t xml:space="preserve">GCCACCGAAGTCGACCATCT</t>
  </si>
  <si>
    <t xml:space="preserve">TAGTGCCACCGAAGTCGACCATCT</t>
  </si>
  <si>
    <t xml:space="preserve">AAACAGATGGTCGACTTCGGTGGC</t>
  </si>
  <si>
    <t xml:space="preserve">ACCTGGGAGCCGTAGTGCAG</t>
  </si>
  <si>
    <t xml:space="preserve">TAGTACCTGGGAGCCGTAGTGCAG</t>
  </si>
  <si>
    <t xml:space="preserve">AAACCTGCACTACGGCTCCCAGGT</t>
  </si>
  <si>
    <t xml:space="preserve">PST_4065</t>
  </si>
  <si>
    <t xml:space="preserve">CCAGCGGCGCTCGACGGGAT</t>
  </si>
  <si>
    <t xml:space="preserve">TAGTCCAGCGGCGCTCGACGGGAT</t>
  </si>
  <si>
    <t xml:space="preserve">AAACATCCCGTCGAGCGCCGCTGG</t>
  </si>
  <si>
    <t xml:space="preserve">GCCGCGACGGCGAATGAGAT</t>
  </si>
  <si>
    <t xml:space="preserve">TAGTGCCGCGACGGCGAATGAGAT</t>
  </si>
  <si>
    <t xml:space="preserve">AAACATCTCATTCGCCGTCGCGGC</t>
  </si>
  <si>
    <t xml:space="preserve">CTGAACAGCAGAATGCTCAG</t>
  </si>
  <si>
    <t xml:space="preserve">TAGTCTGAACAGCAGAATGCTCAG</t>
  </si>
  <si>
    <t xml:space="preserve">AAACCTGAGCATTCTGCTGTTCAG</t>
  </si>
  <si>
    <t xml:space="preserve">GCGGCATCTGCGTGTCCCAC</t>
  </si>
  <si>
    <t xml:space="preserve">TAGTGCGGCATCTGCGTGTCCCAC</t>
  </si>
  <si>
    <t xml:space="preserve">AAACGTGGGACACGCAGATGCCGC</t>
  </si>
  <si>
    <t xml:space="preserve">PST_4066</t>
  </si>
  <si>
    <t xml:space="preserve">AAAACCTTTGCTAGCCTGCA</t>
  </si>
  <si>
    <t xml:space="preserve">TAGTAAAACCTTTGCTAGCCTGCA</t>
  </si>
  <si>
    <t xml:space="preserve">AAACTGCAGGCTAGCAAAGGTTTT</t>
  </si>
  <si>
    <t xml:space="preserve">TAGCGCCGTCAGCGCCAGGG</t>
  </si>
  <si>
    <t xml:space="preserve">TAGTTAGCGCCGTCAGCGCCAGGG</t>
  </si>
  <si>
    <t xml:space="preserve">AAACCCCTGGCGCTGACGGCGCTA</t>
  </si>
  <si>
    <t xml:space="preserve">CCACTACTTCATCGGCAGCC</t>
  </si>
  <si>
    <t xml:space="preserve">TAGTCCACTACTTCATCGGCAGCC</t>
  </si>
  <si>
    <t xml:space="preserve">AAACGGCTGCCGATGAAGTAGTGG</t>
  </si>
  <si>
    <t xml:space="preserve">GATCAGCTCATCGATGCGCG</t>
  </si>
  <si>
    <t xml:space="preserve">TAGTGATCAGCTCATCGATGCGCG</t>
  </si>
  <si>
    <t xml:space="preserve">AAACCGCGCATCGATGAGCTGATC</t>
  </si>
  <si>
    <t xml:space="preserve">PST_4067</t>
  </si>
  <si>
    <t xml:space="preserve">ubiF</t>
  </si>
  <si>
    <t xml:space="preserve">GGCACCGACGATGATCAGAT</t>
  </si>
  <si>
    <t xml:space="preserve">TAGTGGCACCGACGATGATCAGAT</t>
  </si>
  <si>
    <t xml:space="preserve">AAACATCTGATCATCGTCGGTGCC</t>
  </si>
  <si>
    <t xml:space="preserve">CCCGCTGCCTTCGAGTGTTA</t>
  </si>
  <si>
    <t xml:space="preserve">TAGTCCCGCTGCCTTCGAGTGTTA</t>
  </si>
  <si>
    <t xml:space="preserve">AAACTAACACTCGAAGGCAGCGGG</t>
  </si>
  <si>
    <t xml:space="preserve">GCGGGCTCGCATCGAGCACC</t>
  </si>
  <si>
    <t xml:space="preserve">TAGTGCGGGCTCGCATCGAGCACC</t>
  </si>
  <si>
    <t xml:space="preserve">AAACGGTGCTCGATGCGAGCCCGC</t>
  </si>
  <si>
    <t xml:space="preserve">GCCTTGCGGGTCGAAATCGG</t>
  </si>
  <si>
    <t xml:space="preserve">TAGTGCCTTGCGGGTCGAAATCGG</t>
  </si>
  <si>
    <t xml:space="preserve">AAACCCGATTTCGACCCGCAAGGC</t>
  </si>
  <si>
    <t xml:space="preserve">PST_4068</t>
  </si>
  <si>
    <t xml:space="preserve">GGAAGCCCGCGGGTACGGCG</t>
  </si>
  <si>
    <t xml:space="preserve">TAGTGGAAGCCCGCGGGTACGGCG</t>
  </si>
  <si>
    <t xml:space="preserve">AAACCGCCGTACCCGCGGGCTTCC</t>
  </si>
  <si>
    <t xml:space="preserve">CCAGCCTGGACCCATCCATG</t>
  </si>
  <si>
    <t xml:space="preserve">TAGTCCAGCCTGGACCCATCCATG</t>
  </si>
  <si>
    <t xml:space="preserve">AAACCATGGATGGGTCCAGGCTGG</t>
  </si>
  <si>
    <t xml:space="preserve">GTACGGCGGGTAGAAGTTCA</t>
  </si>
  <si>
    <t xml:space="preserve">TAGTGTACGGCGGGTAGAAGTTCA</t>
  </si>
  <si>
    <t xml:space="preserve">AAACTGAACTTCTACCCGCCGTAC</t>
  </si>
  <si>
    <t xml:space="preserve">GATATGTCGCACCCGCACCC</t>
  </si>
  <si>
    <t xml:space="preserve">TAGTGATATGTCGCACCCGCACCC</t>
  </si>
  <si>
    <t xml:space="preserve">AAACGGGTGCGGGTGCGACATATC</t>
  </si>
  <si>
    <t xml:space="preserve">PST_4069</t>
  </si>
  <si>
    <t xml:space="preserve">ubiH</t>
  </si>
  <si>
    <t xml:space="preserve">GTCCGCCCCCGATGATCGCC</t>
  </si>
  <si>
    <t xml:space="preserve">TAGTGTCCGCCCCCGATGATCGCC</t>
  </si>
  <si>
    <t xml:space="preserve">AAACGGCGATCATCGGGGGCGGAC</t>
  </si>
  <si>
    <t xml:space="preserve">CCTCCTGCAAGGCCAGCGCA</t>
  </si>
  <si>
    <t xml:space="preserve">TAGTCCTCCTGCAAGGCCAGCGCA</t>
  </si>
  <si>
    <t xml:space="preserve">AAACTGCGCTGGCCTTGCAGGAGG</t>
  </si>
  <si>
    <t xml:space="preserve">GATACGCCAGCCACGCTCAC</t>
  </si>
  <si>
    <t xml:space="preserve">TAGTGATACGCCAGCCACGCTCAC</t>
  </si>
  <si>
    <t xml:space="preserve">AAACGTGAGCGTGGCTGGCGTATC</t>
  </si>
  <si>
    <t xml:space="preserve">GCTCGAACGGCTCGATCAGG</t>
  </si>
  <si>
    <t xml:space="preserve">TAGTGCTCGAACGGCTCGATCAGG</t>
  </si>
  <si>
    <t xml:space="preserve">AAACCCTGATCGAGCCGTTCGAGC</t>
  </si>
  <si>
    <t xml:space="preserve">PST_4070</t>
  </si>
  <si>
    <t xml:space="preserve">pepP</t>
  </si>
  <si>
    <t xml:space="preserve">GGCAGGATGGCGATGCTGTT</t>
  </si>
  <si>
    <t xml:space="preserve">TAGTGGCAGGATGGCGATGCTGTT</t>
  </si>
  <si>
    <t xml:space="preserve">AAACAACAGCATCGCCATCCTGCC</t>
  </si>
  <si>
    <t xml:space="preserve">CGGATGTACATCGGCGCCGC</t>
  </si>
  <si>
    <t xml:space="preserve">TAGTCGGATGTACATCGGCGCCGC</t>
  </si>
  <si>
    <t xml:space="preserve">AAACGCGGCGCCGATGTACATCCG</t>
  </si>
  <si>
    <t xml:space="preserve">CATGCTCGACATCGCGGTTG</t>
  </si>
  <si>
    <t xml:space="preserve">TAGTCATGCTCGACATCGCGGTTG</t>
  </si>
  <si>
    <t xml:space="preserve">AAACCAACCGCGATGTCGAGCATG</t>
  </si>
  <si>
    <t xml:space="preserve">ACTGGAAGTCGCTGTCCTGG</t>
  </si>
  <si>
    <t xml:space="preserve">TAGTACTGGAAGTCGCTGTCCTGG</t>
  </si>
  <si>
    <t xml:space="preserve">AAACCCAGGACAGCGACTTCCAGT</t>
  </si>
  <si>
    <t xml:space="preserve">PST_4071</t>
  </si>
  <si>
    <t xml:space="preserve">GGACATGGCGGCTAGGCGCA</t>
  </si>
  <si>
    <t xml:space="preserve">TAGTGGACATGGCGGCTAGGCGCA</t>
  </si>
  <si>
    <t xml:space="preserve">AAACTGCGCCTAGCCGCCATGTCC</t>
  </si>
  <si>
    <t xml:space="preserve">AGCATAAGGGGAGTTCTGAA</t>
  </si>
  <si>
    <t xml:space="preserve">TAGTAGCATAAGGGGAGTTCTGAA</t>
  </si>
  <si>
    <t xml:space="preserve">AAACTTCAGAACTCCCCTTATGCT</t>
  </si>
  <si>
    <t xml:space="preserve">TGGACTGCCTGCCAGAAGCG</t>
  </si>
  <si>
    <t xml:space="preserve">TAGTTGGACTGCCTGCCAGAAGCG</t>
  </si>
  <si>
    <t xml:space="preserve">AAACCGCTTCTGGCAGGCAGTCCA</t>
  </si>
  <si>
    <t xml:space="preserve">TCGGCCGGCGATACGCTTTG</t>
  </si>
  <si>
    <t xml:space="preserve">TAGTTCGGCCGGCGATACGCTTTG</t>
  </si>
  <si>
    <t xml:space="preserve">AAACCAAAGCGTATCGCCGGCCGA</t>
  </si>
  <si>
    <t xml:space="preserve">PST_4072</t>
  </si>
  <si>
    <t xml:space="preserve">TTCAGATCGGCGTCTTCCAT</t>
  </si>
  <si>
    <t xml:space="preserve">TAGTTTCAGATCGGCGTCTTCCAT</t>
  </si>
  <si>
    <t xml:space="preserve">AAACATGGAAGACGCCGATCTGAA</t>
  </si>
  <si>
    <t xml:space="preserve">AATCAGCTGCTCCAGCTTGG</t>
  </si>
  <si>
    <t xml:space="preserve">TAGTAATCAGCTGCTCCAGCTTGG</t>
  </si>
  <si>
    <t xml:space="preserve">AAACCCAAGCTGGAGCAGCTGATT</t>
  </si>
  <si>
    <t xml:space="preserve">GCTCGTTGGCCAGCAGCAGG</t>
  </si>
  <si>
    <t xml:space="preserve">TAGTGCTCGTTGGCCAGCAGCAGG</t>
  </si>
  <si>
    <t xml:space="preserve">AAACCCTGCTGCTGGCCAACGAGC</t>
  </si>
  <si>
    <t xml:space="preserve">ATGAGCGCGCTCTTCGCGCC</t>
  </si>
  <si>
    <t xml:space="preserve">TAGTATGAGCGCGCTCTTCGCGCC</t>
  </si>
  <si>
    <t xml:space="preserve">AAACGGCGCGAAGAGCGCGCTCAT</t>
  </si>
  <si>
    <t xml:space="preserve">PST_4073</t>
  </si>
  <si>
    <t xml:space="preserve">AGGCCTTCGGCTACGATCAT</t>
  </si>
  <si>
    <t xml:space="preserve">TAGTAGGCCTTCGGCTACGATCAT</t>
  </si>
  <si>
    <t xml:space="preserve">AAACATGATCGTAGCCGAAGGCCT</t>
  </si>
  <si>
    <t xml:space="preserve">GACGCAGCGCCGGGCGCGAG</t>
  </si>
  <si>
    <t xml:space="preserve">TAGTGACGCAGCGCCGGGCGCGAG</t>
  </si>
  <si>
    <t xml:space="preserve">AAACCTCGCGCCCGGCGCTGCGTC</t>
  </si>
  <si>
    <t xml:space="preserve">GAGAGAGTTGGCGCCGGGTC</t>
  </si>
  <si>
    <t xml:space="preserve">TAGTGAGAGAGTTGGCGCCGGGTC</t>
  </si>
  <si>
    <t xml:space="preserve">AAACGACCCGGCGCCAACTCTCTC</t>
  </si>
  <si>
    <t xml:space="preserve">GGCGGCGTGGCGTTGCTGGG</t>
  </si>
  <si>
    <t xml:space="preserve">TAGTGGCGGCGTGGCGTTGCTGGG</t>
  </si>
  <si>
    <t xml:space="preserve">AAACCCCAGCAACGCCACGCCGCC</t>
  </si>
  <si>
    <t xml:space="preserve">PST_4074</t>
  </si>
  <si>
    <t xml:space="preserve">ACCAGAATCCAGAGAATATC</t>
  </si>
  <si>
    <t xml:space="preserve">TAGTACCAGAATCCAGAGAATATC</t>
  </si>
  <si>
    <t xml:space="preserve">AAACGATATTCTCTGGATTCTGGT</t>
  </si>
  <si>
    <t xml:space="preserve">AGCCGGTAGTGACTACGCCC</t>
  </si>
  <si>
    <t xml:space="preserve">TAGTAGCCGGTAGTGACTACGCCC</t>
  </si>
  <si>
    <t xml:space="preserve">AAACGGGCGTAGTCACTACCGGCT</t>
  </si>
  <si>
    <t xml:space="preserve">CGCCGTCGTTGCGCTCCCAC</t>
  </si>
  <si>
    <t xml:space="preserve">TAGTCGCCGTCGTTGCGCTCCCAC</t>
  </si>
  <si>
    <t xml:space="preserve">AAACGTGGGAGCGCAACGACGGCG</t>
  </si>
  <si>
    <t xml:space="preserve">GATCACCGGGGCCATGCCCG</t>
  </si>
  <si>
    <t xml:space="preserve">TAGTGATCACCGGGGCCATGCCCG</t>
  </si>
  <si>
    <t xml:space="preserve">AAACCGGGCATGGCCCCGGTGATC</t>
  </si>
  <si>
    <t xml:space="preserve">PST_4075</t>
  </si>
  <si>
    <t xml:space="preserve">CACGCGCTGCGGCTCCAGAG</t>
  </si>
  <si>
    <t xml:space="preserve">TAGTCACGCGCTGCGGCTCCAGAG</t>
  </si>
  <si>
    <t xml:space="preserve">AAACCTCTGGAGCCGCAGCGCGTG</t>
  </si>
  <si>
    <t xml:space="preserve">AGAAAAACATCGAAAAAAGT</t>
  </si>
  <si>
    <t xml:space="preserve">TAGTAGAAAAACATCGAAAAAAGT</t>
  </si>
  <si>
    <t xml:space="preserve">AAACACTTTTTTCGATGTTTTTCT</t>
  </si>
  <si>
    <t xml:space="preserve">GAGCGGCTCCGGCAACTGCC</t>
  </si>
  <si>
    <t xml:space="preserve">TAGTGAGCGGCTCCGGCAACTGCC</t>
  </si>
  <si>
    <t xml:space="preserve">AAACGGCAGTTGCCGGAGCCGCTC</t>
  </si>
  <si>
    <t xml:space="preserve">GGACTCATCGGCCGACTCAT</t>
  </si>
  <si>
    <t xml:space="preserve">TAGTGGACTCATCGGCCGACTCAT</t>
  </si>
  <si>
    <t xml:space="preserve">AAACATGAGTCGGCCGATGAGTCC</t>
  </si>
  <si>
    <t xml:space="preserve">PST_4076</t>
  </si>
  <si>
    <t xml:space="preserve">TCTAGGAGCGCTACGTGGCG</t>
  </si>
  <si>
    <t xml:space="preserve">TAGTTCTAGGAGCGCTACGTGGCG</t>
  </si>
  <si>
    <t xml:space="preserve">AAACCGCCACGTAGCGCTCCTAGA</t>
  </si>
  <si>
    <t xml:space="preserve">TGGGATGGCTCGACTGCTCA</t>
  </si>
  <si>
    <t xml:space="preserve">TAGTTGGGATGGCTCGACTGCTCA</t>
  </si>
  <si>
    <t xml:space="preserve">AAACTGAGCAGTCGAGCCATCCCA</t>
  </si>
  <si>
    <t xml:space="preserve">CGGACGCTTGCCGCCCGACA</t>
  </si>
  <si>
    <t xml:space="preserve">TAGTCGGACGCTTGCCGCCCGACA</t>
  </si>
  <si>
    <t xml:space="preserve">AAACTGTCGGGCGGCAAGCGTCCG</t>
  </si>
  <si>
    <t xml:space="preserve">CTTTTCCTTGTTCGACTGGT</t>
  </si>
  <si>
    <t xml:space="preserve">TAGTCTTTTCCTTGTTCGACTGGT</t>
  </si>
  <si>
    <t xml:space="preserve">AAACACCAGTCGAACAAGGAAAAG</t>
  </si>
  <si>
    <t xml:space="preserve">PST_4077</t>
  </si>
  <si>
    <t xml:space="preserve">secB</t>
  </si>
  <si>
    <t xml:space="preserve">GCCGCCGTTGTTAGCTTGTT</t>
  </si>
  <si>
    <t xml:space="preserve">TAGTGCCGCCGTTGTTAGCTTGTT</t>
  </si>
  <si>
    <t xml:space="preserve">AAACAACAAGCTAACAACGGCGGC</t>
  </si>
  <si>
    <t xml:space="preserve">GCGGACGTAGATGCGCTGCA</t>
  </si>
  <si>
    <t xml:space="preserve">TAGTGCGGACGTAGATGCGCTGCA</t>
  </si>
  <si>
    <t xml:space="preserve">AAACTGCAGCGCATCTACGTCCGC</t>
  </si>
  <si>
    <t xml:space="preserve">TCTTCGGCGCTTCGAAGGAC</t>
  </si>
  <si>
    <t xml:space="preserve">TAGTTCTTCGGCGCTTCGAAGGAC</t>
  </si>
  <si>
    <t xml:space="preserve">AAACGTCCTTCGAAGCGCCGAAGA</t>
  </si>
  <si>
    <t xml:space="preserve">ATTCCTGACGGAAAATTTCC</t>
  </si>
  <si>
    <t xml:space="preserve">TAGTATTCCTGACGGAAAATTTCC</t>
  </si>
  <si>
    <t xml:space="preserve">AAACGGAAATTTTCCGTCAGGAAT</t>
  </si>
  <si>
    <t xml:space="preserve">PST_4078</t>
  </si>
  <si>
    <t xml:space="preserve">grx</t>
  </si>
  <si>
    <t xml:space="preserve">GTGGTATAGATGACGACGTT</t>
  </si>
  <si>
    <t xml:space="preserve">TAGTGTGGTATAGATGACGACGTT</t>
  </si>
  <si>
    <t xml:space="preserve">AAACAACGTCGTCATCTATACCAC</t>
  </si>
  <si>
    <t xml:space="preserve">GATGCAGAACGGGCACCAGG</t>
  </si>
  <si>
    <t xml:space="preserve">TAGTGATGCAGAACGGGCACCAGG</t>
  </si>
  <si>
    <t xml:space="preserve">AAACCCTGGTGCCCGTTCTGCATC</t>
  </si>
  <si>
    <t xml:space="preserve">ATCCACGGGAATTTCCTCGT</t>
  </si>
  <si>
    <t xml:space="preserve">TAGTATCCACGGGAATTTCCTCGT</t>
  </si>
  <si>
    <t xml:space="preserve">AAACACGAGGAAATTCCCGTGGAT</t>
  </si>
  <si>
    <t xml:space="preserve">CCATCTCGGCGCGCAGGGTC</t>
  </si>
  <si>
    <t xml:space="preserve">TAGTCCATCTCGGCGCGCAGGGTC</t>
  </si>
  <si>
    <t xml:space="preserve">AAACGACCCTGCGCGCCGAGATGG</t>
  </si>
  <si>
    <t xml:space="preserve">PST_4079</t>
  </si>
  <si>
    <t xml:space="preserve">GGTTAGAGACAAATTCAATC</t>
  </si>
  <si>
    <t xml:space="preserve">TAGTGGTTAGAGACAAATTCAATC</t>
  </si>
  <si>
    <t xml:space="preserve">AAACGATTGAATTTGTCTCTAACC</t>
  </si>
  <si>
    <t xml:space="preserve">ACAGGCTGCTGAGTACATAG</t>
  </si>
  <si>
    <t xml:space="preserve">TAGTACAGGCTGCTGAGTACATAG</t>
  </si>
  <si>
    <t xml:space="preserve">AAACCTATGTACTCAGCAGCCTGT</t>
  </si>
  <si>
    <t xml:space="preserve">GTGTCTCGGTGATGAACAGA</t>
  </si>
  <si>
    <t xml:space="preserve">TAGTGTGTCTCGGTGATGAACAGA</t>
  </si>
  <si>
    <t xml:space="preserve">AAACTCTGTTCATCACCGAGACAC</t>
  </si>
  <si>
    <t xml:space="preserve">CCGTCAGTTCGCGATTGCTC</t>
  </si>
  <si>
    <t xml:space="preserve">TAGTCCGTCAGTTCGCGATTGCTC</t>
  </si>
  <si>
    <t xml:space="preserve">AAACGAGCAATCGCGAACTGACGG</t>
  </si>
  <si>
    <t xml:space="preserve">PST_4080</t>
  </si>
  <si>
    <t xml:space="preserve">gpmA</t>
  </si>
  <si>
    <t xml:space="preserve">GGCGCGGCGGTAGGGGCGAC</t>
  </si>
  <si>
    <t xml:space="preserve">TAGTGGCGCGGCGGTAGGGGCGAC</t>
  </si>
  <si>
    <t xml:space="preserve">AAACGTCGCCCCTACCGCCGCGCC</t>
  </si>
  <si>
    <t xml:space="preserve">ATGATCAGTACCAGAGGTTT</t>
  </si>
  <si>
    <t xml:space="preserve">TAGTATGATCAGTACCAGAGGTTT</t>
  </si>
  <si>
    <t xml:space="preserve">AAACAAACCTCTGGTACTGATCAT</t>
  </si>
  <si>
    <t xml:space="preserve">CATAGATGGCATTGAAATCC</t>
  </si>
  <si>
    <t xml:space="preserve">TAGTCATAGATGGCATTGAAATCC</t>
  </si>
  <si>
    <t xml:space="preserve">AAACGGATTTCAATGCCATCTATG</t>
  </si>
  <si>
    <t xml:space="preserve">ATCGTAGACCGGCTTGCGCG</t>
  </si>
  <si>
    <t xml:space="preserve">TAGTATCGTAGACCGGCTTGCGCG</t>
  </si>
  <si>
    <t xml:space="preserve">AAACCGCGCAAGCCGGTCTACGAT</t>
  </si>
  <si>
    <t xml:space="preserve">PST_4081</t>
  </si>
  <si>
    <t xml:space="preserve">GCGGTCGATTTCCTGCTGCA</t>
  </si>
  <si>
    <t xml:space="preserve">TAGTGCGGTCGATTTCCTGCTGCA</t>
  </si>
  <si>
    <t xml:space="preserve">AAACTGCAGCAGGAAATCGACCGC</t>
  </si>
  <si>
    <t xml:space="preserve">GGGTGGTCTTCTCCTCGTTC</t>
  </si>
  <si>
    <t xml:space="preserve">TAGTGGGTGGTCTTCTCCTCGTTC</t>
  </si>
  <si>
    <t xml:space="preserve">AAACGAACGAGGAGAAGACCACCC</t>
  </si>
  <si>
    <t xml:space="preserve">TTCCAGGCGAGCACCTTCGA</t>
  </si>
  <si>
    <t xml:space="preserve">TAGTTTCCAGGCGAGCACCTTCGA</t>
  </si>
  <si>
    <t xml:space="preserve">AAACTCGAAGGTGCTCGCCTGGAA</t>
  </si>
  <si>
    <t xml:space="preserve">ACCGTTCTGATAGGCGGCGC</t>
  </si>
  <si>
    <t xml:space="preserve">TAGTACCGTTCTGATAGGCGGCGC</t>
  </si>
  <si>
    <t xml:space="preserve">AAACGCGCCGCCTATCAGAACGGT</t>
  </si>
  <si>
    <t xml:space="preserve">PST_4082</t>
  </si>
  <si>
    <t xml:space="preserve">ACGGGCGGGCGAAACGGCGC</t>
  </si>
  <si>
    <t xml:space="preserve">TAGTACGGGCGGGCGAAACGGCGC</t>
  </si>
  <si>
    <t xml:space="preserve">AAACGCGCCGTTTCGCCCGCCCGT</t>
  </si>
  <si>
    <t xml:space="preserve">CAGGATGGCCAGGGCGAGCG</t>
  </si>
  <si>
    <t xml:space="preserve">TAGTCAGGATGGCCAGGGCGAGCG</t>
  </si>
  <si>
    <t xml:space="preserve">AAACCGCTCGCCCTGGCCATCCTG</t>
  </si>
  <si>
    <t xml:space="preserve">CGCCGGAGGCTGCTGGGCCC</t>
  </si>
  <si>
    <t xml:space="preserve">TAGTCGCCGGAGGCTGCTGGGCCC</t>
  </si>
  <si>
    <t xml:space="preserve">AAACGGGCCCAGCAGCCTCCGGCG</t>
  </si>
  <si>
    <t xml:space="preserve">GGCAGCGGTGCCTTGGAACT</t>
  </si>
  <si>
    <t xml:space="preserve">TAGTGGCAGCGGTGCCTTGGAACT</t>
  </si>
  <si>
    <t xml:space="preserve">AAACAGTTCCAAGGCACCGCTGCC</t>
  </si>
  <si>
    <t xml:space="preserve">PST_4083</t>
  </si>
  <si>
    <t xml:space="preserve">GCCAGGCCGGCCGTCCAGCG</t>
  </si>
  <si>
    <t xml:space="preserve">TAGTGCCAGGCCGGCCGTCCAGCG</t>
  </si>
  <si>
    <t xml:space="preserve">AAACCGCTGGACGGCCGGCCTGGC</t>
  </si>
  <si>
    <t xml:space="preserve">CTGGCTGCCCGGCCAGCGCC</t>
  </si>
  <si>
    <t xml:space="preserve">TAGTCTGGCTGCCCGGCCAGCGCC</t>
  </si>
  <si>
    <t xml:space="preserve">AAACGGCGCTGGCCGGGCAGCCAG</t>
  </si>
  <si>
    <t xml:space="preserve">GGCGACGCGCCGGTCTGCAT</t>
  </si>
  <si>
    <t xml:space="preserve">TAGTGGCGACGCGCCGGTCTGCAT</t>
  </si>
  <si>
    <t xml:space="preserve">AAACATGCAGACCGGCGCGTCGCC</t>
  </si>
  <si>
    <t xml:space="preserve">CAGGGTCAGACTGGGCCGCG</t>
  </si>
  <si>
    <t xml:space="preserve">TAGTCAGGGTCAGACTGGGCCGCG</t>
  </si>
  <si>
    <t xml:space="preserve">AAACCGCGGCCCAGTCTGACCCTG</t>
  </si>
  <si>
    <t xml:space="preserve">PST_4084</t>
  </si>
  <si>
    <t xml:space="preserve">GGCTAGGATTCGTTTAAGCA</t>
  </si>
  <si>
    <t xml:space="preserve">TAGTGGCTAGGATTCGTTTAAGCA</t>
  </si>
  <si>
    <t xml:space="preserve">AAACTGCTTAAACGAATCCTAGCC</t>
  </si>
  <si>
    <t xml:space="preserve">GCAGAGCAGCAGCACGATGG</t>
  </si>
  <si>
    <t xml:space="preserve">TAGTGCAGAGCAGCAGCACGATGG</t>
  </si>
  <si>
    <t xml:space="preserve">AAACCCATCGTGCTGCTGCTCTGC</t>
  </si>
  <si>
    <t xml:space="preserve">AGTCGTCGGGCAGCTCGGCA</t>
  </si>
  <si>
    <t xml:space="preserve">TAGTAGTCGTCGGGCAGCTCGGCA</t>
  </si>
  <si>
    <t xml:space="preserve">AAACTGCCGAGCTGCCCGACGACT</t>
  </si>
  <si>
    <t xml:space="preserve">GTTGAAAGGTGGAAAGTTTT</t>
  </si>
  <si>
    <t xml:space="preserve">TAGTGTTGAAAGGTGGAAAGTTTT</t>
  </si>
  <si>
    <t xml:space="preserve">AAACAAAACTTTCCACCTTTCAAC</t>
  </si>
  <si>
    <t xml:space="preserve">PST_4085</t>
  </si>
  <si>
    <t xml:space="preserve">GCGTGTGCGGCGCACCCTGC</t>
  </si>
  <si>
    <t xml:space="preserve">TAGTGCGTGTGCGGCGCACCCTGC</t>
  </si>
  <si>
    <t xml:space="preserve">AAACGCAGGGTGCGCCGCACACGC</t>
  </si>
  <si>
    <t xml:space="preserve">GTGCGCCAGAACGGCGCGAG</t>
  </si>
  <si>
    <t xml:space="preserve">TAGTGTGCGCCAGAACGGCGCGAG</t>
  </si>
  <si>
    <t xml:space="preserve">AAACCTCGCGCCGTTCTGGCGCAC</t>
  </si>
  <si>
    <t xml:space="preserve">GTGGCTGACAAGGACACGAT</t>
  </si>
  <si>
    <t xml:space="preserve">TAGTGTGGCTGACAAGGACACGAT</t>
  </si>
  <si>
    <t xml:space="preserve">AAACATCGTGTCCTTGTCAGCCAC</t>
  </si>
  <si>
    <t xml:space="preserve">GCACCGCCGCGGTACTCGGG</t>
  </si>
  <si>
    <t xml:space="preserve">TAGTGCACCGCCGCGGTACTCGGG</t>
  </si>
  <si>
    <t xml:space="preserve">AAACCCCGAGTACCGCGGCGGTGC</t>
  </si>
  <si>
    <t xml:space="preserve">PST_4086</t>
  </si>
  <si>
    <t xml:space="preserve">CGCACTGGCAATGGAAGCTA</t>
  </si>
  <si>
    <t xml:space="preserve">TAGTCGCACTGGCAATGGAAGCTA</t>
  </si>
  <si>
    <t xml:space="preserve">AAACTAGCTTCCATTGCCAGTGCG</t>
  </si>
  <si>
    <t xml:space="preserve">GTCGATCTTCGCCGGGGCCT</t>
  </si>
  <si>
    <t xml:space="preserve">TAGTGTCGATCTTCGCCGGGGCCT</t>
  </si>
  <si>
    <t xml:space="preserve">AAACAGGCCCCGGCGAAGATCGAC</t>
  </si>
  <si>
    <t xml:space="preserve">GCGGAAAGTTCTCCGTCAGC</t>
  </si>
  <si>
    <t xml:space="preserve">TAGTGCGGAAAGTTCTCCGTCAGC</t>
  </si>
  <si>
    <t xml:space="preserve">AAACGCTGACGGAGAACTTTCCGC</t>
  </si>
  <si>
    <t xml:space="preserve">CCGTCGGCCGCCATGTTGTA</t>
  </si>
  <si>
    <t xml:space="preserve">TAGTCCGTCGGCCGCCATGTTGTA</t>
  </si>
  <si>
    <t xml:space="preserve">AAACTACAACATGGCGGCCGACGG</t>
  </si>
  <si>
    <t xml:space="preserve">PST_4087</t>
  </si>
  <si>
    <t xml:space="preserve">hisF1</t>
  </si>
  <si>
    <t xml:space="preserve">GGGAATGATGCGTTTGGCCA</t>
  </si>
  <si>
    <t xml:space="preserve">TAGTGGGAATGATGCGTTTGGCCA</t>
  </si>
  <si>
    <t xml:space="preserve">AAACTGGCCAAACGCATCATTCCC</t>
  </si>
  <si>
    <t xml:space="preserve">CCGTTGTCCACGTCGAGGCA</t>
  </si>
  <si>
    <t xml:space="preserve">TAGTCCGTTGTCCACGTCGAGGCA</t>
  </si>
  <si>
    <t xml:space="preserve">AAACTGCCTCGACGTGGACAACGG</t>
  </si>
  <si>
    <t xml:space="preserve">ACTGGACGCCCTTGACCACG</t>
  </si>
  <si>
    <t xml:space="preserve">TAGTACTGGACGCCCTTGACCACG</t>
  </si>
  <si>
    <t xml:space="preserve">AAACCGTGGTCAAGGGCGTCCAGT</t>
  </si>
  <si>
    <t xml:space="preserve">CCACCGGGTCACCGGCGTCG</t>
  </si>
  <si>
    <t xml:space="preserve">TAGTCCACCGGGTCACCGGCGTCG</t>
  </si>
  <si>
    <t xml:space="preserve">AAACCGACGCCGGTGACCCGGTGG</t>
  </si>
  <si>
    <t xml:space="preserve">PST_4088</t>
  </si>
  <si>
    <t xml:space="preserve">hisA</t>
  </si>
  <si>
    <t xml:space="preserve">GATAGCGGGGATAATCAGCA</t>
  </si>
  <si>
    <t xml:space="preserve">TAGTGATAGCGGGGATAATCAGCA</t>
  </si>
  <si>
    <t xml:space="preserve">AAACTGCTGATTATCCCCGCTATC</t>
  </si>
  <si>
    <t xml:space="preserve">GCCCTGGCGCAGACGTACGC</t>
  </si>
  <si>
    <t xml:space="preserve">TAGTGCCCTGGCGCAGACGTACGC</t>
  </si>
  <si>
    <t xml:space="preserve">AAACGCGTACGTCTGCGCCAGGGC</t>
  </si>
  <si>
    <t xml:space="preserve">ACACCGTGGCGTCGTCCATC</t>
  </si>
  <si>
    <t xml:space="preserve">TAGTACACCGTGGCGTCGTCCATC</t>
  </si>
  <si>
    <t xml:space="preserve">AAACGATGGACGACGCCACGGTGT</t>
  </si>
  <si>
    <t xml:space="preserve">AGCCATGGCCACCGGGTCAT</t>
  </si>
  <si>
    <t xml:space="preserve">TAGTAGCCATGGCCACCGGGTCAT</t>
  </si>
  <si>
    <t xml:space="preserve">AAACATGACCCGGTGGCCATGGCT</t>
  </si>
  <si>
    <t xml:space="preserve">PST_4089</t>
  </si>
  <si>
    <t xml:space="preserve">CCGGCGGCTTGAGCTTGGCC</t>
  </si>
  <si>
    <t xml:space="preserve">TAGTCCGGCGGCTTGAGCTTGGCC</t>
  </si>
  <si>
    <t xml:space="preserve">AAACGGCCAAGCTCAAGCCGCCGG</t>
  </si>
  <si>
    <t xml:space="preserve">CCTGAGCGGAATCCAGCGTC</t>
  </si>
  <si>
    <t xml:space="preserve">TAGTCCTGAGCGGAATCCAGCGTC</t>
  </si>
  <si>
    <t xml:space="preserve">AAACGACGCTGGATTCCGCTCAGG</t>
  </si>
  <si>
    <t xml:space="preserve">GTACAGCGGCGCGATTTCCC</t>
  </si>
  <si>
    <t xml:space="preserve">TAGTGTACAGCGGCGCGATTTCCC</t>
  </si>
  <si>
    <t xml:space="preserve">AAACGGGAAATCGCGCCGCTGTAC</t>
  </si>
  <si>
    <t xml:space="preserve">TCTCGAACCGCTCCTTCAGG</t>
  </si>
  <si>
    <t xml:space="preserve">TAGTTCTCGAACCGCTCCTTCAGG</t>
  </si>
  <si>
    <t xml:space="preserve">AAACCCTGAAGGAGCGGTTCGAGA</t>
  </si>
  <si>
    <t xml:space="preserve">PST_4090</t>
  </si>
  <si>
    <t xml:space="preserve">hisB</t>
  </si>
  <si>
    <t xml:space="preserve">CTCTACGTAAGCCGTACGTT</t>
  </si>
  <si>
    <t xml:space="preserve">TAGTCTCTACGTAAGCCGTACGTT</t>
  </si>
  <si>
    <t xml:space="preserve">AAACAACGTACGGCTTACGTAGAG</t>
  </si>
  <si>
    <t xml:space="preserve">GACCTTGACCTGGGTTTCCA</t>
  </si>
  <si>
    <t xml:space="preserve">TAGTGACCTTGACCTGGGTTTCCA</t>
  </si>
  <si>
    <t xml:space="preserve">AAACTGGAAACCCAGGTCAAGGTC</t>
  </si>
  <si>
    <t xml:space="preserve">GCCGGTGCCATCGAGATTGA</t>
  </si>
  <si>
    <t xml:space="preserve">TAGTGCCGGTGCCATCGAGATTGA</t>
  </si>
  <si>
    <t xml:space="preserve">AAACTCAATCTCGATGGCACCGGC</t>
  </si>
  <si>
    <t xml:space="preserve">CTCCAGGAAGGGCACGCCGA</t>
  </si>
  <si>
    <t xml:space="preserve">TAGTCTCCAGGAAGGGCACGCCGA</t>
  </si>
  <si>
    <t xml:space="preserve">AAACTCGGCGTGCCCTTCCTGGAG</t>
  </si>
  <si>
    <t xml:space="preserve">PST_4091</t>
  </si>
  <si>
    <t xml:space="preserve">nasR</t>
  </si>
  <si>
    <t xml:space="preserve">GGCATTTTCCGTCCGTGCAT</t>
  </si>
  <si>
    <t xml:space="preserve">TAGTGGCATTTTCCGTCCGTGCAT</t>
  </si>
  <si>
    <t xml:space="preserve">AAACATGCACGGACGGAAAATGCC</t>
  </si>
  <si>
    <t xml:space="preserve">AGCATGAAGCGCAGGGTCGC</t>
  </si>
  <si>
    <t xml:space="preserve">TAGTAGCATGAAGCGCAGGGTCGC</t>
  </si>
  <si>
    <t xml:space="preserve">AAACGCGACCCTGCGCTTCATGCT</t>
  </si>
  <si>
    <t xml:space="preserve">GAGCAGTTCGCTGCGCCGGG</t>
  </si>
  <si>
    <t xml:space="preserve">TAGTGAGCAGTTCGCTGCGCCGGG</t>
  </si>
  <si>
    <t xml:space="preserve">AAACCCCGGCGCAGCGAACTGCTC</t>
  </si>
  <si>
    <t xml:space="preserve">AGGTGCGGGTCAGATCCTCC</t>
  </si>
  <si>
    <t xml:space="preserve">TAGTAGGTGCGGGTCAGATCCTCC</t>
  </si>
  <si>
    <t xml:space="preserve">AAACGGAGGATCTGACCCGCACCT</t>
  </si>
  <si>
    <t xml:space="preserve">PST_4092</t>
  </si>
  <si>
    <t xml:space="preserve">nasF</t>
  </si>
  <si>
    <t xml:space="preserve">ATTGTTCGGCTTGTCGGTCA</t>
  </si>
  <si>
    <t xml:space="preserve">TAGTATTGTTCGGCTTGTCGGTCA</t>
  </si>
  <si>
    <t xml:space="preserve">AAACTGACCGACAAGCCGAACAAT</t>
  </si>
  <si>
    <t xml:space="preserve">CCAGGGTCAGGTCGCTGGGC</t>
  </si>
  <si>
    <t xml:space="preserve">TAGTCCAGGGTCAGGTCGCTGGGC</t>
  </si>
  <si>
    <t xml:space="preserve">AAACGCCCAGCGACCTGACCCTGG</t>
  </si>
  <si>
    <t xml:space="preserve">CTTGAGGAAGCTGCGGCGCG</t>
  </si>
  <si>
    <t xml:space="preserve">TAGTCTTGAGGAAGCTGCGGCGCG</t>
  </si>
  <si>
    <t xml:space="preserve">AAACCGCGCCGCAGCTTCCTCAAG</t>
  </si>
  <si>
    <t xml:space="preserve">GAACAGGGCGACCCCGCTGG</t>
  </si>
  <si>
    <t xml:space="preserve">TAGTGAACAGGGCGACCCCGCTGG</t>
  </si>
  <si>
    <t xml:space="preserve">AAACCCAGCGGGGTCGCCCTGTTC</t>
  </si>
  <si>
    <t xml:space="preserve">PST_4093</t>
  </si>
  <si>
    <t xml:space="preserve">nasE</t>
  </si>
  <si>
    <t xml:space="preserve">ACAGCTGCTGCACCGCGTAG</t>
  </si>
  <si>
    <t xml:space="preserve">TAGTACAGCTGCTGCACCGCGTAG</t>
  </si>
  <si>
    <t xml:space="preserve">AAACCTACGCGGTGCAGCAGCTGT</t>
  </si>
  <si>
    <t xml:space="preserve">ACCAGCAGGATGACCAGGGG</t>
  </si>
  <si>
    <t xml:space="preserve">TAGTACCAGCAGGATGACCAGGGG</t>
  </si>
  <si>
    <t xml:space="preserve">AAACCCCCTGGTCATCCTGCTGGT</t>
  </si>
  <si>
    <t xml:space="preserve">TGGCAGCGCGGCATCGGCAC</t>
  </si>
  <si>
    <t xml:space="preserve">TAGTTGGCAGCGCGGCATCGGCAC</t>
  </si>
  <si>
    <t xml:space="preserve">AAACGTGCCGATGCCGCGCTGCCA</t>
  </si>
  <si>
    <t xml:space="preserve">GCGATCACCTGCGAAGGCGG</t>
  </si>
  <si>
    <t xml:space="preserve">TAGTGCGATCACCTGCGAAGGCGG</t>
  </si>
  <si>
    <t xml:space="preserve">AAACCCGCCTTCGCAGGTGATCGC</t>
  </si>
  <si>
    <t xml:space="preserve">PST_4094</t>
  </si>
  <si>
    <t xml:space="preserve">nasD</t>
  </si>
  <si>
    <t xml:space="preserve">TTCGATGGAGAGATAGCTCA</t>
  </si>
  <si>
    <t xml:space="preserve">TAGTTTCGATGGAGAGATAGCTCA</t>
  </si>
  <si>
    <t xml:space="preserve">AAACTGAGCTATCTCTCCATCGAA</t>
  </si>
  <si>
    <t xml:space="preserve">CGCGCACGAAACTCTTGTCC</t>
  </si>
  <si>
    <t xml:space="preserve">TAGTCGCGCACGAAACTCTTGTCC</t>
  </si>
  <si>
    <t xml:space="preserve">AAACGGACAAGAGTTTCGTGCGCG</t>
  </si>
  <si>
    <t xml:space="preserve">CCTTGAGCACTTGCGAGGCG</t>
  </si>
  <si>
    <t xml:space="preserve">TAGTCCTTGAGCACTTGCGAGGCG</t>
  </si>
  <si>
    <t xml:space="preserve">AAACCGCCTCGCAAGTGCTCAAGG</t>
  </si>
  <si>
    <t xml:space="preserve">ACTCGCCCTTCGCGATGTTC</t>
  </si>
  <si>
    <t xml:space="preserve">TAGTACTCGCCCTTCGCGATGTTC</t>
  </si>
  <si>
    <t xml:space="preserve">AAACGAACATCGCGAAGGGCGAGT</t>
  </si>
  <si>
    <t xml:space="preserve">PST_4095</t>
  </si>
  <si>
    <t xml:space="preserve">GCGACGGCTGGGCGGAATGC</t>
  </si>
  <si>
    <t xml:space="preserve">TAGTGCGACGGCTGGGCGGAATGC</t>
  </si>
  <si>
    <t xml:space="preserve">AAACGCATTCCGCCCAGCCGTCGC</t>
  </si>
  <si>
    <t xml:space="preserve">GGATTCGACGTAGACGGGCA</t>
  </si>
  <si>
    <t xml:space="preserve">TAGTGGATTCGACGTAGACGGGCA</t>
  </si>
  <si>
    <t xml:space="preserve">AAACTGCCCGTCTACGTCGAATCC</t>
  </si>
  <si>
    <t xml:space="preserve">CTGCGGGCTGGGCTGGGTGA</t>
  </si>
  <si>
    <t xml:space="preserve">TAGTCTGCGGGCTGGGCTGGGTGA</t>
  </si>
  <si>
    <t xml:space="preserve">AAACTCACCCAGCCCAGCCCGCAG</t>
  </si>
  <si>
    <t xml:space="preserve">AGATTTTTGCCAGGTCGGTA</t>
  </si>
  <si>
    <t xml:space="preserve">TAGTAGATTTTTGCCAGGTCGGTA</t>
  </si>
  <si>
    <t xml:space="preserve">AAACTACCGACCTGGCAAAAATCT</t>
  </si>
  <si>
    <t xml:space="preserve">PST_4096</t>
  </si>
  <si>
    <t xml:space="preserve">GATTTTGCCGAGCGATTTCA</t>
  </si>
  <si>
    <t xml:space="preserve">TAGTGATTTTGCCGAGCGATTTCA</t>
  </si>
  <si>
    <t xml:space="preserve">AAACTGAAATCGCTCGGCAAAATC</t>
  </si>
  <si>
    <t xml:space="preserve">GTCCGAGAATGACCAGGCCC</t>
  </si>
  <si>
    <t xml:space="preserve">TAGTGTCCGAGAATGACCAGGCCC</t>
  </si>
  <si>
    <t xml:space="preserve">AAACGGGCCTGGTCATTCTCGGAC</t>
  </si>
  <si>
    <t xml:space="preserve">GGGCGAAGCCTGCCGCCACG</t>
  </si>
  <si>
    <t xml:space="preserve">TAGTGGGCGAAGCCTGCCGCCACG</t>
  </si>
  <si>
    <t xml:space="preserve">AAACCGTGGCGGCAGGCTTCGCCC</t>
  </si>
  <si>
    <t xml:space="preserve">GTCGTTGGGATCGAACAGGT</t>
  </si>
  <si>
    <t xml:space="preserve">TAGTGTCGTTGGGATCGAACAGGT</t>
  </si>
  <si>
    <t xml:space="preserve">AAACACCTGTTCGATCCCAACGAC</t>
  </si>
  <si>
    <t xml:space="preserve">PST_4097</t>
  </si>
  <si>
    <t xml:space="preserve">mutY</t>
  </si>
  <si>
    <t xml:space="preserve">ACCGCCGCGCCGAACTGCTC</t>
  </si>
  <si>
    <t xml:space="preserve">TAGTACCGCCGCGCCGAACTGCTC</t>
  </si>
  <si>
    <t xml:space="preserve">AAACGAGCAGTTCGGCGCGGCGGT</t>
  </si>
  <si>
    <t xml:space="preserve">CGTGGCGGTCGAACCAGTCG</t>
  </si>
  <si>
    <t xml:space="preserve">TAGTCGTGGCGGTCGAACCAGTCG</t>
  </si>
  <si>
    <t xml:space="preserve">AAACCGACTGGTTCGACCGCCACG</t>
  </si>
  <si>
    <t xml:space="preserve">TGATGTCCTGCTGCCAGGGC</t>
  </si>
  <si>
    <t xml:space="preserve">TAGTTGATGTCCTGCTGCCAGGGC</t>
  </si>
  <si>
    <t xml:space="preserve">AAACGCCCTGGCAGCAGGACATCA</t>
  </si>
  <si>
    <t xml:space="preserve">TCGGACACCCACACCCGGTA</t>
  </si>
  <si>
    <t xml:space="preserve">TAGTTCGGACACCCACACCCGGTA</t>
  </si>
  <si>
    <t xml:space="preserve">AAACTACCGGGTGTGGGTGTCCGA</t>
  </si>
  <si>
    <t xml:space="preserve">PST_4098</t>
  </si>
  <si>
    <t xml:space="preserve">CTTGCGGCAGTTCACGGTGC</t>
  </si>
  <si>
    <t xml:space="preserve">TAGTCTTGCGGCAGTTCACGGTGC</t>
  </si>
  <si>
    <t xml:space="preserve">AAACGCACCGTGAACTGCCGCAAG</t>
  </si>
  <si>
    <t xml:space="preserve">GCTCGAGGCCGGGGAGTTCC</t>
  </si>
  <si>
    <t xml:space="preserve">TAGTGCTCGAGGCCGGGGAGTTCC</t>
  </si>
  <si>
    <t xml:space="preserve">AAACGGAACTCCCCGGCCTCGAGC</t>
  </si>
  <si>
    <t xml:space="preserve">CTTTCTGGCCCGGGAACGGC</t>
  </si>
  <si>
    <t xml:space="preserve">TAGTCTTTCTGGCCCGGGAACGGC</t>
  </si>
  <si>
    <t xml:space="preserve">AAACGCCGTTCCCGGGCCAGAAAG</t>
  </si>
  <si>
    <t xml:space="preserve">CCAGTCGTCCCAGGCCTGCC</t>
  </si>
  <si>
    <t xml:space="preserve">TAGTCCAGTCGTCCCAGGCCTGCC</t>
  </si>
  <si>
    <t xml:space="preserve">AAACGGCAGGCCTGGGACGACTGG</t>
  </si>
  <si>
    <t xml:space="preserve">PST_4100</t>
  </si>
  <si>
    <t xml:space="preserve">GAGGGTAACAGGCTGATCAC</t>
  </si>
  <si>
    <t xml:space="preserve">TAGTGAGGGTAACAGGCTGATCAC</t>
  </si>
  <si>
    <t xml:space="preserve">AAACGTGATCAGCCTGTTACCCTC</t>
  </si>
  <si>
    <t xml:space="preserve">GCGATCGCTTCGGTTGGGGC</t>
  </si>
  <si>
    <t xml:space="preserve">TAGTGCGATCGCTTCGGTTGGGGC</t>
  </si>
  <si>
    <t xml:space="preserve">AAACGCCCCAACCGAAGCGATCGC</t>
  </si>
  <si>
    <t xml:space="preserve">GCGAGTACACAGCGCAGCAT</t>
  </si>
  <si>
    <t xml:space="preserve">TAGTGCGAGTACACAGCGCAGCAT</t>
  </si>
  <si>
    <t xml:space="preserve">AAACATGCTGCGCTGTGTACTCGC</t>
  </si>
  <si>
    <t xml:space="preserve">AAGGGCGGTGAGCAGCAGGG</t>
  </si>
  <si>
    <t xml:space="preserve">TAGTAAGGGCGGTGAGCAGCAGGG</t>
  </si>
  <si>
    <t xml:space="preserve">AAACCCCTGCTGCTCACCGCCCTT</t>
  </si>
  <si>
    <t xml:space="preserve">PST_4101</t>
  </si>
  <si>
    <t xml:space="preserve">ATGGCTGTCGCCGACTGCCA</t>
  </si>
  <si>
    <t xml:space="preserve">TAGTATGGCTGTCGCCGACTGCCA</t>
  </si>
  <si>
    <t xml:space="preserve">AAACTGGCAGTCGGCGACAGCCAT</t>
  </si>
  <si>
    <t xml:space="preserve">GGTGACGAAGCGCAGCTGTT</t>
  </si>
  <si>
    <t xml:space="preserve">TAGTGGTGACGAAGCGCAGCTGTT</t>
  </si>
  <si>
    <t xml:space="preserve">AAACAACAGCTGCGCTTCGTCACC</t>
  </si>
  <si>
    <t xml:space="preserve">GGTGAATGGCGGGAAGTCTT</t>
  </si>
  <si>
    <t xml:space="preserve">TAGTGGTGAATGGCGGGAAGTCTT</t>
  </si>
  <si>
    <t xml:space="preserve">AAACAAGACTTCCCGCCATTCACC</t>
  </si>
  <si>
    <t xml:space="preserve">AGTCTTATGCGTGGCTGCGT</t>
  </si>
  <si>
    <t xml:space="preserve">TAGTAGTCTTATGCGTGGCTGCGT</t>
  </si>
  <si>
    <t xml:space="preserve">AAACACGCAGCCACGCATAAGACT</t>
  </si>
  <si>
    <t xml:space="preserve">PST_4102</t>
  </si>
  <si>
    <t xml:space="preserve">AATTTCCTAGCGGCGTCCAT</t>
  </si>
  <si>
    <t xml:space="preserve">TAGTAATTTCCTAGCGGCGTCCAT</t>
  </si>
  <si>
    <t xml:space="preserve">AAACATGGACGCCGCTAGGAAATT</t>
  </si>
  <si>
    <t xml:space="preserve">GGAAACAGAATGATGGCCTT</t>
  </si>
  <si>
    <t xml:space="preserve">TAGTGGAAACAGAATGATGGCCTT</t>
  </si>
  <si>
    <t xml:space="preserve">AAACAAGGCCATCATTCTGTTTCC</t>
  </si>
  <si>
    <t xml:space="preserve">ACCACCGCAGGAATGAACAC</t>
  </si>
  <si>
    <t xml:space="preserve">TAGTACCACCGCAGGAATGAACAC</t>
  </si>
  <si>
    <t xml:space="preserve">AAACGTGTTCATTCCTGCGGTGGT</t>
  </si>
  <si>
    <t xml:space="preserve">CACCGAATCGAACAGCTCGC</t>
  </si>
  <si>
    <t xml:space="preserve">TAGTCACCGAATCGAACAGCTCGC</t>
  </si>
  <si>
    <t xml:space="preserve">AAACGCGAGCTGTTCGATTCGGTG</t>
  </si>
  <si>
    <t xml:space="preserve">PST_4103</t>
  </si>
  <si>
    <t xml:space="preserve">AAGCGAGGCGCACGGGCTGT</t>
  </si>
  <si>
    <t xml:space="preserve">TAGTAAGCGAGGCGCACGGGCTGT</t>
  </si>
  <si>
    <t xml:space="preserve">AAACACAGCCCGTGCGCCTCGCTT</t>
  </si>
  <si>
    <t xml:space="preserve">CGCAAACCTAGCATGCACCG</t>
  </si>
  <si>
    <t xml:space="preserve">TAGTCGCAAACCTAGCATGCACCG</t>
  </si>
  <si>
    <t xml:space="preserve">AAACCGGTGCATGCTAGGTTTGCG</t>
  </si>
  <si>
    <t xml:space="preserve">CCAGGGTCCGGATATTCTGT</t>
  </si>
  <si>
    <t xml:space="preserve">TAGTCCAGGGTCCGGATATTCTGT</t>
  </si>
  <si>
    <t xml:space="preserve">AAACACAGAATATCCGGACCCTGG</t>
  </si>
  <si>
    <t xml:space="preserve">GTCCTCTTTCAGACCGGCGA</t>
  </si>
  <si>
    <t xml:space="preserve">TAGTGTCCTCTTTCAGACCGGCGA</t>
  </si>
  <si>
    <t xml:space="preserve">AAACTCGCCGGTCTGAAAGAGGAC</t>
  </si>
  <si>
    <t xml:space="preserve">PST_4104</t>
  </si>
  <si>
    <t xml:space="preserve">GCGAGGCAGCAGCGGTCAGC</t>
  </si>
  <si>
    <t xml:space="preserve">TAGTGCGAGGCAGCAGCGGTCAGC</t>
  </si>
  <si>
    <t xml:space="preserve">AAACGCTGACCGCTGCTGCCTCGC</t>
  </si>
  <si>
    <t xml:space="preserve">TTTTTCCGCCGCGAATGCCT</t>
  </si>
  <si>
    <t xml:space="preserve">TAGTTTTTTCCGCCGCGAATGCCT</t>
  </si>
  <si>
    <t xml:space="preserve">AAACAGGCATTCGCGGCGGAAAAA</t>
  </si>
  <si>
    <t xml:space="preserve">GAAGGGTGGGTAGGCGCCTT</t>
  </si>
  <si>
    <t xml:space="preserve">TAGTGAAGGGTGGGTAGGCGCCTT</t>
  </si>
  <si>
    <t xml:space="preserve">AAACAAGGCGCCTACCCACCCTTC</t>
  </si>
  <si>
    <t xml:space="preserve">CATCTTGGCGCACAGCGCGT</t>
  </si>
  <si>
    <t xml:space="preserve">TAGTCATCTTGGCGCACAGCGCGT</t>
  </si>
  <si>
    <t xml:space="preserve">AAACACGCGCTGTGCGCCAAGATG</t>
  </si>
  <si>
    <t xml:space="preserve">PST_4105</t>
  </si>
  <si>
    <t xml:space="preserve">GGACCGAATCCGTGAAGGTC</t>
  </si>
  <si>
    <t xml:space="preserve">TAGTGGACCGAATCCGTGAAGGTC</t>
  </si>
  <si>
    <t xml:space="preserve">AAACGACCTTCACGGATTCGGTCC</t>
  </si>
  <si>
    <t xml:space="preserve">CATCCAGGTGCCGGCGAGCA</t>
  </si>
  <si>
    <t xml:space="preserve">TAGTCATCCAGGTGCCGGCGAGCA</t>
  </si>
  <si>
    <t xml:space="preserve">AAACTGCTCGCCGGCACCTGGATG</t>
  </si>
  <si>
    <t xml:space="preserve">GGAGGCGAGGGCCAGTTGGA</t>
  </si>
  <si>
    <t xml:space="preserve">TAGTGGAGGCGAGGGCCAGTTGGA</t>
  </si>
  <si>
    <t xml:space="preserve">AAACTCCAACTGGCCCTCGCCTCC</t>
  </si>
  <si>
    <t xml:space="preserve">TCTTGGCCAGCGCGCCGAGC</t>
  </si>
  <si>
    <t xml:space="preserve">TAGTTCTTGGCCAGCGCGCCGAGC</t>
  </si>
  <si>
    <t xml:space="preserve">AAACGCTCGGCGCGCTGGCCAAGA</t>
  </si>
  <si>
    <t xml:space="preserve">PST_4106</t>
  </si>
  <si>
    <t xml:space="preserve">CCATTTGATGAAGATTTCCC</t>
  </si>
  <si>
    <t xml:space="preserve">TAGTCCATTTGATGAAGATTTCCC</t>
  </si>
  <si>
    <t xml:space="preserve">AAACGGGAAATCTTCATCAAATGG</t>
  </si>
  <si>
    <t xml:space="preserve">CAGGCGCCGTCGATGAAGCT</t>
  </si>
  <si>
    <t xml:space="preserve">TAGTCAGGCGCCGTCGATGAAGCT</t>
  </si>
  <si>
    <t xml:space="preserve">AAACAGCTTCATCGACGGCGCCTG</t>
  </si>
  <si>
    <t xml:space="preserve">CGACACGCCGACCAGTTGCA</t>
  </si>
  <si>
    <t xml:space="preserve">TAGTCGACACGCCGACCAGTTGCA</t>
  </si>
  <si>
    <t xml:space="preserve">AAACTGCAACTGGTCGGCGTGTCG</t>
  </si>
  <si>
    <t xml:space="preserve">CGGTACGGCGAGGATCAGTC</t>
  </si>
  <si>
    <t xml:space="preserve">TAGTCGGTACGGCGAGGATCAGTC</t>
  </si>
  <si>
    <t xml:space="preserve">AAACGACTGATCCTCGCCGTACCG</t>
  </si>
  <si>
    <t xml:space="preserve">PST_4107</t>
  </si>
  <si>
    <t xml:space="preserve">CGTTGGATATCGACAGGCAT</t>
  </si>
  <si>
    <t xml:space="preserve">TAGTCGTTGGATATCGACAGGCAT</t>
  </si>
  <si>
    <t xml:space="preserve">AAACATGCCTGTCGATATCCAACG</t>
  </si>
  <si>
    <t xml:space="preserve">GTACTCGCCAGCAGGCGAGC</t>
  </si>
  <si>
    <t xml:space="preserve">TAGTGTACTCGCCAGCAGGCGAGC</t>
  </si>
  <si>
    <t xml:space="preserve">AAACGCTCGCCTGCTGGCGAGTAC</t>
  </si>
  <si>
    <t xml:space="preserve">TCAGCAGTTCGTCCTCACCG</t>
  </si>
  <si>
    <t xml:space="preserve">TAGTTCAGCAGTTCGTCCTCACCG</t>
  </si>
  <si>
    <t xml:space="preserve">AAACCGGTGAGGACGAACTGCTGA</t>
  </si>
  <si>
    <t xml:space="preserve">GAGGATCTGCGCGCCCTGTT</t>
  </si>
  <si>
    <t xml:space="preserve">TAGTGAGGATCTGCGCGCCCTGTT</t>
  </si>
  <si>
    <t xml:space="preserve">AAACAACAGGGCGCGCAGATCCTC</t>
  </si>
  <si>
    <t xml:space="preserve">PST_4108</t>
  </si>
  <si>
    <t xml:space="preserve">ATGGAATAGCGGCGATTGGC</t>
  </si>
  <si>
    <t xml:space="preserve">TAGTATGGAATAGCGGCGATTGGC</t>
  </si>
  <si>
    <t xml:space="preserve">AAACGCCAATCGCCGCTATTCCAT</t>
  </si>
  <si>
    <t xml:space="preserve">GGACCTGCCCGGAGTGTTCG</t>
  </si>
  <si>
    <t xml:space="preserve">TAGTGGACCTGCCCGGAGTGTTCG</t>
  </si>
  <si>
    <t xml:space="preserve">AAACCGAACACTCCGGGCAGGTCC</t>
  </si>
  <si>
    <t xml:space="preserve">CAAGCGAGGCCTGCTCCAGC</t>
  </si>
  <si>
    <t xml:space="preserve">TAGTCAAGCGAGGCCTGCTCCAGC</t>
  </si>
  <si>
    <t xml:space="preserve">AAACGCTGGAGCAGGCCTCGCTTG</t>
  </si>
  <si>
    <t xml:space="preserve">GCCGAAATAGGTTTCGTCAT</t>
  </si>
  <si>
    <t xml:space="preserve">TAGTGCCGAAATAGGTTTCGTCAT</t>
  </si>
  <si>
    <t xml:space="preserve">AAACATGACGAAACCTATTTCGGC</t>
  </si>
  <si>
    <t xml:space="preserve">PST_4109</t>
  </si>
  <si>
    <t xml:space="preserve">CAGCTCTTCGTCGATCTGCA</t>
  </si>
  <si>
    <t xml:space="preserve">TAGTCAGCTCTTCGTCGATCTGCA</t>
  </si>
  <si>
    <t xml:space="preserve">AAACTGCAGATCGACGAAGAGCTG</t>
  </si>
  <si>
    <t xml:space="preserve">AAACACTTCCAGCTTCTTCA</t>
  </si>
  <si>
    <t xml:space="preserve">TAGTAAACACTTCCAGCTTCTTCA</t>
  </si>
  <si>
    <t xml:space="preserve">AAACTGAAGAAGCTGGAAGTGTTT</t>
  </si>
  <si>
    <t xml:space="preserve">CAGATTGCCGCTGCGCATGA</t>
  </si>
  <si>
    <t xml:space="preserve">TAGTCAGATTGCCGCTGCGCATGA</t>
  </si>
  <si>
    <t xml:space="preserve">AAACTCATGCGCAGCGGCAATCTG</t>
  </si>
  <si>
    <t xml:space="preserve">GCTGGTGTTCAGCTCGACCG</t>
  </si>
  <si>
    <t xml:space="preserve">TAGTGCTGGTGTTCAGCTCGACCG</t>
  </si>
  <si>
    <t xml:space="preserve">AAACCGGTCGAGCTGAACACCAGC</t>
  </si>
  <si>
    <t xml:space="preserve">PST_4110</t>
  </si>
  <si>
    <t xml:space="preserve">CTTGGCCAGGGCATAGGCGG</t>
  </si>
  <si>
    <t xml:space="preserve">TAGTCTTGGCCAGGGCATAGGCGG</t>
  </si>
  <si>
    <t xml:space="preserve">AAACCCGCCTATGCCCTGGCCAAG</t>
  </si>
  <si>
    <t xml:space="preserve">GTAGCGGTGCTTTTCCAGCA</t>
  </si>
  <si>
    <t xml:space="preserve">TAGTGTAGCGGTGCTTTTCCAGCA</t>
  </si>
  <si>
    <t xml:space="preserve">AAACTGCTGGAAAAGCACCGCTAC</t>
  </si>
  <si>
    <t xml:space="preserve">ATTGGCGAACGAGGTCTCCA</t>
  </si>
  <si>
    <t xml:space="preserve">TAGTATTGGCGAACGAGGTCTCCA</t>
  </si>
  <si>
    <t xml:space="preserve">AAACTGGAGACCTCGTTCGCCAAT</t>
  </si>
  <si>
    <t xml:space="preserve">CGGCATTGGACGCCGACAGC</t>
  </si>
  <si>
    <t xml:space="preserve">TAGTCGGCATTGGACGCCGACAGC</t>
  </si>
  <si>
    <t xml:space="preserve">AAACGCTGTCGGCGTCCAATGCCG</t>
  </si>
  <si>
    <t xml:space="preserve">PST_4111</t>
  </si>
  <si>
    <t xml:space="preserve">CACTCTGCGCCCTGTCGCTG</t>
  </si>
  <si>
    <t xml:space="preserve">TAGTCACTCTGCGCCCTGTCGCTG</t>
  </si>
  <si>
    <t xml:space="preserve">AAACCAGCGACAGGGCGCAGAGTG</t>
  </si>
  <si>
    <t xml:space="preserve">GTTGGCCTCATCCAGCAGGC</t>
  </si>
  <si>
    <t xml:space="preserve">TAGTGTTGGCCTCATCCAGCAGGC</t>
  </si>
  <si>
    <t xml:space="preserve">AAACGCCTGCTGGATGAGGCCAAC</t>
  </si>
  <si>
    <t xml:space="preserve">TGACCTGCGCGTAGCGGATC</t>
  </si>
  <si>
    <t xml:space="preserve">TAGTTGACCTGCGCGTAGCGGATC</t>
  </si>
  <si>
    <t xml:space="preserve">AAACGATCCGCTACGCGCAGGTCA</t>
  </si>
  <si>
    <t xml:space="preserve">CGACATGCAGCGGATCGCCG</t>
  </si>
  <si>
    <t xml:space="preserve">TAGTCGACATGCAGCGGATCGCCG</t>
  </si>
  <si>
    <t xml:space="preserve">AAACCGGCGATCCGCTGCATGTCG</t>
  </si>
  <si>
    <t xml:space="preserve">PST_4112</t>
  </si>
  <si>
    <t xml:space="preserve">madM</t>
  </si>
  <si>
    <t xml:space="preserve">TTTCATGAGGGATTCGTACA</t>
  </si>
  <si>
    <t xml:space="preserve">TAGTTTTCATGAGGGATTCGTACA</t>
  </si>
  <si>
    <t xml:space="preserve">AAACTGTACGAATCCCTCATGAAA</t>
  </si>
  <si>
    <t xml:space="preserve">GCCGCTGATCAGGCCATAGC</t>
  </si>
  <si>
    <t xml:space="preserve">TAGTGCCGCTGATCAGGCCATAGC</t>
  </si>
  <si>
    <t xml:space="preserve">AAACGCTATGGCCTGATCAGCGGC</t>
  </si>
  <si>
    <t xml:space="preserve">CCACATGGTCGCGCCGATGA</t>
  </si>
  <si>
    <t xml:space="preserve">TAGTCCACATGGTCGCGCCGATGA</t>
  </si>
  <si>
    <t xml:space="preserve">AAACTCATCGGCGCGACCATGTGG</t>
  </si>
  <si>
    <t xml:space="preserve">GAGCTTGTCCGACAGCCAGT</t>
  </si>
  <si>
    <t xml:space="preserve">TAGTGAGCTTGTCCGACAGCCAGT</t>
  </si>
  <si>
    <t xml:space="preserve">AAACACTGGCTGTCGGACAAGCTC</t>
  </si>
  <si>
    <t xml:space="preserve">PST_4113</t>
  </si>
  <si>
    <t xml:space="preserve">madL</t>
  </si>
  <si>
    <t xml:space="preserve">GAGGGTACACAAGGCCAGGA</t>
  </si>
  <si>
    <t xml:space="preserve">TAGTGAGGGTACACAAGGCCAGGA</t>
  </si>
  <si>
    <t xml:space="preserve">AAACTCCTGGCCTTGTGTACCCTC</t>
  </si>
  <si>
    <t xml:space="preserve">CAACTCGCCGACGAAGATGC</t>
  </si>
  <si>
    <t xml:space="preserve">TAGTCAACTCGCCGACGAAGATGC</t>
  </si>
  <si>
    <t xml:space="preserve">AAACGCATCTTCGTCGGCGAGTTG</t>
  </si>
  <si>
    <t xml:space="preserve">CCCACGCCGCCGACGTTGGC</t>
  </si>
  <si>
    <t xml:space="preserve">TAGTCCCACGCCGCCGACGTTGGC</t>
  </si>
  <si>
    <t xml:space="preserve">AAACGCCAACGTCGGCGGCGTGGG</t>
  </si>
  <si>
    <t xml:space="preserve">TCTTCAGGTAGCTGCCGATG</t>
  </si>
  <si>
    <t xml:space="preserve">TAGTTCTTCAGGTAGCTGCCGATG</t>
  </si>
  <si>
    <t xml:space="preserve">AAACCATCGGCAGCTACCTGAAGA</t>
  </si>
  <si>
    <t xml:space="preserve">PST_4114</t>
  </si>
  <si>
    <t xml:space="preserve">CCTGACCGGGAAAGGCGAAC</t>
  </si>
  <si>
    <t xml:space="preserve">TAGTCCTGACCGGGAAAGGCGAAC</t>
  </si>
  <si>
    <t xml:space="preserve">AAACGTTCGCCTTTCCCGGTCAGG</t>
  </si>
  <si>
    <t xml:space="preserve">GGCAGCCGTTGCAACATGCC</t>
  </si>
  <si>
    <t xml:space="preserve">TAGTGGCAGCCGTTGCAACATGCC</t>
  </si>
  <si>
    <t xml:space="preserve">AAACGGCATGTTGCAACGGCTGCC</t>
  </si>
  <si>
    <t xml:space="preserve">GCAGCGACTTCCGGCGCCTC</t>
  </si>
  <si>
    <t xml:space="preserve">TAGTGCAGCGACTTCCGGCGCCTC</t>
  </si>
  <si>
    <t xml:space="preserve">AAACGAGGCGCCGGAAGTCGCTGC</t>
  </si>
  <si>
    <t xml:space="preserve">GCACGGCACTGGCCTCGGCC</t>
  </si>
  <si>
    <t xml:space="preserve">TAGTGCACGGCACTGGCCTCGGCC</t>
  </si>
  <si>
    <t xml:space="preserve">AAACGGCCGAGGCCAGTGCCGTGC</t>
  </si>
  <si>
    <t xml:space="preserve">PST_4115</t>
  </si>
  <si>
    <t xml:space="preserve">CAGAGCAGGTCGTGGGGGCG</t>
  </si>
  <si>
    <t xml:space="preserve">TAGTCAGAGCAGGTCGTGGGGGCG</t>
  </si>
  <si>
    <t xml:space="preserve">AAACCGCCCCCACGACCTGCTCTG</t>
  </si>
  <si>
    <t xml:space="preserve">GCATCGGCCGGCAACTGCTC</t>
  </si>
  <si>
    <t xml:space="preserve">TAGTGCATCGGCCGGCAACTGCTC</t>
  </si>
  <si>
    <t xml:space="preserve">AAACGAGCAGTTGCCGGCCGATGC</t>
  </si>
  <si>
    <t xml:space="preserve">GCACGGCCACCGCCCAGGCC</t>
  </si>
  <si>
    <t xml:space="preserve">TAGTGCACGGCCACCGCCCAGGCC</t>
  </si>
  <si>
    <t xml:space="preserve">AAACGGCCTGGGCGGTGGCCGTGC</t>
  </si>
  <si>
    <t xml:space="preserve">CACCACCACCGGCTGGCCAG</t>
  </si>
  <si>
    <t xml:space="preserve">TAGTCACCACCACCGGCTGGCCAG</t>
  </si>
  <si>
    <t xml:space="preserve">AAACCTGGCCAGCCGGTGGTGGTG</t>
  </si>
  <si>
    <t xml:space="preserve">PST_4116</t>
  </si>
  <si>
    <t xml:space="preserve">mdcE</t>
  </si>
  <si>
    <t xml:space="preserve">CTTGCAACCAGTTCAGTCCA</t>
  </si>
  <si>
    <t xml:space="preserve">TAGTCTTGCAACCAGTTCAGTCCA</t>
  </si>
  <si>
    <t xml:space="preserve">AAACTGGACTGAACTGGTTGCAAG</t>
  </si>
  <si>
    <t xml:space="preserve">CAGTGCCTGGCCTCCGGCCA</t>
  </si>
  <si>
    <t xml:space="preserve">TAGTCAGTGCCTGGCCTCCGGCCA</t>
  </si>
  <si>
    <t xml:space="preserve">AAACTGGCCGGAGGCCAGGCACTG</t>
  </si>
  <si>
    <t xml:space="preserve">TCGACCACCTTCACCGAGGC</t>
  </si>
  <si>
    <t xml:space="preserve">TAGTTCGACCACCTTCACCGAGGC</t>
  </si>
  <si>
    <t xml:space="preserve">AAACGCCTCGGTGAAGGTGGTCGA</t>
  </si>
  <si>
    <t xml:space="preserve">CACCACGGCGATATAGCGGG</t>
  </si>
  <si>
    <t xml:space="preserve">TAGTCACCACGGCGATATAGCGGG</t>
  </si>
  <si>
    <t xml:space="preserve">AAACCCCGCTATATCGCCGTGGTG</t>
  </si>
  <si>
    <t xml:space="preserve">PST_4117</t>
  </si>
  <si>
    <t xml:space="preserve">mdcD</t>
  </si>
  <si>
    <t xml:space="preserve">TAAACGGGCCACGGTGTTAG</t>
  </si>
  <si>
    <t xml:space="preserve">TAGTTAAACGGGCCACGGTGTTAG</t>
  </si>
  <si>
    <t xml:space="preserve">AAACCTAACACCGTGGCCCGTTTA</t>
  </si>
  <si>
    <t xml:space="preserve">CAGTGCGCGGGCACGCTGGC</t>
  </si>
  <si>
    <t xml:space="preserve">TAGTCAGTGCGCGGGCACGCTGGC</t>
  </si>
  <si>
    <t xml:space="preserve">AAACGCCAGCGTGCCCGCGCACTG</t>
  </si>
  <si>
    <t xml:space="preserve">CGAACGGATCGAGCAGTTCG</t>
  </si>
  <si>
    <t xml:space="preserve">TAGTCGAACGGATCGAGCAGTTCG</t>
  </si>
  <si>
    <t xml:space="preserve">AAACCGAACTGCTCGATCCGTTCG</t>
  </si>
  <si>
    <t xml:space="preserve">ATGCCCTGCTTCGGCAGCCA</t>
  </si>
  <si>
    <t xml:space="preserve">TAGTATGCCCTGCTTCGGCAGCCA</t>
  </si>
  <si>
    <t xml:space="preserve">AAACTGGCTGCCGAAGCAGGGCAT</t>
  </si>
  <si>
    <t xml:space="preserve">PST_4118</t>
  </si>
  <si>
    <t xml:space="preserve">mdcC</t>
  </si>
  <si>
    <t xml:space="preserve">GGCGGCGAATTCGAAAGACA</t>
  </si>
  <si>
    <t xml:space="preserve">TAGTGGCGGCGAATTCGAAAGACA</t>
  </si>
  <si>
    <t xml:space="preserve">AAACTGTCTTTCGAATTCGCCGCC</t>
  </si>
  <si>
    <t xml:space="preserve">CTTGCCGCGGGCGGGCTGCC</t>
  </si>
  <si>
    <t xml:space="preserve">TAGTCTTGCCGCGGGCGGGCTGCC</t>
  </si>
  <si>
    <t xml:space="preserve">AAACGGCAGCCCGCCCGCGGCAAG</t>
  </si>
  <si>
    <t xml:space="preserve">CGAGCCGACCACGCCGACCA</t>
  </si>
  <si>
    <t xml:space="preserve">TAGTCGAGCCGACCACGCCGACCA</t>
  </si>
  <si>
    <t xml:space="preserve">AAACTGGTCGGCGTGGTCGGCTCG</t>
  </si>
  <si>
    <t xml:space="preserve">GCCAGCTTGCCGGCCTGGCC</t>
  </si>
  <si>
    <t xml:space="preserve">TAGTGCCAGCTTGCCGGCCTGGCC</t>
  </si>
  <si>
    <t xml:space="preserve">AAACGGCCAGGCCGGCAAGCTGGC</t>
  </si>
  <si>
    <t xml:space="preserve">PST_4119</t>
  </si>
  <si>
    <t xml:space="preserve">mdcB</t>
  </si>
  <si>
    <t xml:space="preserve">GCCAGGCGCTCGGCCGCGGA</t>
  </si>
  <si>
    <t xml:space="preserve">TAGTGCCAGGCGCTCGGCCGCGGA</t>
  </si>
  <si>
    <t xml:space="preserve">AAACTCCGCGGCCGAGCGCCTGGC</t>
  </si>
  <si>
    <t xml:space="preserve">CAGCGCCTGCACCGCCAGAT</t>
  </si>
  <si>
    <t xml:space="preserve">TAGTCAGCGCCTGCACCGCCAGAT</t>
  </si>
  <si>
    <t xml:space="preserve">AAACATCTGGCGGTGCAGGCGCTG</t>
  </si>
  <si>
    <t xml:space="preserve">CCCCGGCTTGGGCGACAGGT</t>
  </si>
  <si>
    <t xml:space="preserve">TAGTCCCCGGCTTGGGCGACAGGT</t>
  </si>
  <si>
    <t xml:space="preserve">AAACACCTGTCGCCCAAGCCGGGG</t>
  </si>
  <si>
    <t xml:space="preserve">TGTGCGCGCCACTGCCGCGC</t>
  </si>
  <si>
    <t xml:space="preserve">TAGTTGTGCGCGCCACTGCCGCGC</t>
  </si>
  <si>
    <t xml:space="preserve">AAACGCGCGGCAGTGGCGCGCACA</t>
  </si>
  <si>
    <t xml:space="preserve">PST_4120</t>
  </si>
  <si>
    <t xml:space="preserve">mdcA</t>
  </si>
  <si>
    <t xml:space="preserve">TGGGGAGATTGTTGTTGTCA</t>
  </si>
  <si>
    <t xml:space="preserve">TAGTTGGGGAGATTGTTGTTGTCA</t>
  </si>
  <si>
    <t xml:space="preserve">AAACTGACAACAACAATCTCCCCA</t>
  </si>
  <si>
    <t xml:space="preserve">CGACGCGACCACTGTGGCGG</t>
  </si>
  <si>
    <t xml:space="preserve">TAGTCGACGCGACCACTGTGGCGG</t>
  </si>
  <si>
    <t xml:space="preserve">AAACCCGCCACAGTGGTCGCGTCG</t>
  </si>
  <si>
    <t xml:space="preserve">CTGCACCTGATCGAGACGAC</t>
  </si>
  <si>
    <t xml:space="preserve">TAGTCTGCACCTGATCGAGACGAC</t>
  </si>
  <si>
    <t xml:space="preserve">AAACGTCGTCTCGATCAGGTGCAG</t>
  </si>
  <si>
    <t xml:space="preserve">GCAGCACCACGCCATCGGCG</t>
  </si>
  <si>
    <t xml:space="preserve">TAGTGCAGCACCACGCCATCGGCG</t>
  </si>
  <si>
    <t xml:space="preserve">AAACCGCCGATGGCGTGGTGCTGC</t>
  </si>
  <si>
    <t xml:space="preserve">PST_4121</t>
  </si>
  <si>
    <t xml:space="preserve">TTGCTGCGCCAGGCAAAGCA</t>
  </si>
  <si>
    <t xml:space="preserve">TAGTTTGCTGCGCCAGGCAAAGCA</t>
  </si>
  <si>
    <t xml:space="preserve">AAACTGCTTTGCCTGGCGCAGCAA</t>
  </si>
  <si>
    <t xml:space="preserve">GTGACGGCGTCCAGCTTAGG</t>
  </si>
  <si>
    <t xml:space="preserve">TAGTGTGACGGCGTCCAGCTTAGG</t>
  </si>
  <si>
    <t xml:space="preserve">AAACCCTAAGCTGGACGCCGTCAC</t>
  </si>
  <si>
    <t xml:space="preserve">GTGTAGGCGACGCGGCACAG</t>
  </si>
  <si>
    <t xml:space="preserve">TAGTGTGTAGGCGACGCGGCACAG</t>
  </si>
  <si>
    <t xml:space="preserve">AAACCTGTGCCGCGTCGCCTACAC</t>
  </si>
  <si>
    <t xml:space="preserve">GGCACGGCCGAAGCCGGAGG</t>
  </si>
  <si>
    <t xml:space="preserve">TAGTGGCACGGCCGAAGCCGGAGG</t>
  </si>
  <si>
    <t xml:space="preserve">AAACCCTCCGGCTTCGGCCGTGCC</t>
  </si>
  <si>
    <t xml:space="preserve">PST_4122</t>
  </si>
  <si>
    <t xml:space="preserve">phnN</t>
  </si>
  <si>
    <t xml:space="preserve">GCCCGATCAGGTAGATCAAG</t>
  </si>
  <si>
    <t xml:space="preserve">TAGTGCCCGATCAGGTAGATCAAG</t>
  </si>
  <si>
    <t xml:space="preserve">AAACCTTGATCTACCTGATCGGGC</t>
  </si>
  <si>
    <t xml:space="preserve">CTGTCCTTGCCGGCACCGGA</t>
  </si>
  <si>
    <t xml:space="preserve">TAGTCTGTCCTTGCCGGCACCGGA</t>
  </si>
  <si>
    <t xml:space="preserve">AAACTCCGGTGCCGGCAAGGACAG</t>
  </si>
  <si>
    <t xml:space="preserve">ACTCGCGGGCGGCGTCCAGC</t>
  </si>
  <si>
    <t xml:space="preserve">TAGTACTCGCGGGCGGCGTCCAGC</t>
  </si>
  <si>
    <t xml:space="preserve">AAACGCTGGACGCCGCCCGCGAGT</t>
  </si>
  <si>
    <t xml:space="preserve">GTCGCGCGATGCGCACACCA</t>
  </si>
  <si>
    <t xml:space="preserve">TAGTGTCGCGCGATGCGCACACCA</t>
  </si>
  <si>
    <t xml:space="preserve">AAACTGGTGTGCGCATCGCGCGAC</t>
  </si>
  <si>
    <t xml:space="preserve">PST_4123</t>
  </si>
  <si>
    <t xml:space="preserve">CATGTCGATGCCCAGATCCT</t>
  </si>
  <si>
    <t xml:space="preserve">TAGTCATGTCGATGCCCAGATCCT</t>
  </si>
  <si>
    <t xml:space="preserve">AAACAGGATCTGGGCATCGACATG</t>
  </si>
  <si>
    <t xml:space="preserve">GCGCTTGCCGAACAGAAAGC</t>
  </si>
  <si>
    <t xml:space="preserve">TAGTGCGCTTGCCGAACAGAAAGC</t>
  </si>
  <si>
    <t xml:space="preserve">AAACGCTTTCTGTTCGGCAAGCGC</t>
  </si>
  <si>
    <t xml:space="preserve">GATGACGCGATACGCCTCGG</t>
  </si>
  <si>
    <t xml:space="preserve">TAGTGATGACGCGATACGCCTCGG</t>
  </si>
  <si>
    <t xml:space="preserve">AAACCCGAGGCGTATCGCGTCATC</t>
  </si>
  <si>
    <t xml:space="preserve">GCAGTTGCCCAGTTTTCGCG</t>
  </si>
  <si>
    <t xml:space="preserve">TAGTGCAGTTGCCCAGTTTTCGCG</t>
  </si>
  <si>
    <t xml:space="preserve">AAACCGCGAAAACTGGGCAACTGC</t>
  </si>
  <si>
    <t xml:space="preserve">PST_4124</t>
  </si>
  <si>
    <t xml:space="preserve">CAGGCGTTTGGTCAGTCTCA</t>
  </si>
  <si>
    <t xml:space="preserve">TAGTCAGGCGTTTGGTCAGTCTCA</t>
  </si>
  <si>
    <t xml:space="preserve">AAACTGAGACTGACCAAACGCCTG</t>
  </si>
  <si>
    <t xml:space="preserve">AGGCCGCAGCGGCAGCGAGC</t>
  </si>
  <si>
    <t xml:space="preserve">TAGTAGGCCGCAGCGGCAGCGAGC</t>
  </si>
  <si>
    <t xml:space="preserve">AAACGCTCGCTGCCGCTGCGGCCT</t>
  </si>
  <si>
    <t xml:space="preserve">GGCCGCGGTGCTGGCAGTGA</t>
  </si>
  <si>
    <t xml:space="preserve">TAGTGGCCGCGGTGCTGGCAGTGA</t>
  </si>
  <si>
    <t xml:space="preserve">AAACTCACTGCCAGCACCGCGGCC</t>
  </si>
  <si>
    <t xml:space="preserve">GATGAAGGTCGGCGCAGCGA</t>
  </si>
  <si>
    <t xml:space="preserve">TAGTGATGAAGGTCGGCGCAGCGA</t>
  </si>
  <si>
    <t xml:space="preserve">AAACTCGCTGCGCCGACCTTCATC</t>
  </si>
  <si>
    <t xml:space="preserve">PST_4125</t>
  </si>
  <si>
    <t xml:space="preserve">TGGGACTGGCGTGCAGCCCT</t>
  </si>
  <si>
    <t xml:space="preserve">TAGTTGGGACTGGCGTGCAGCCCT</t>
  </si>
  <si>
    <t xml:space="preserve">AAACAGGGCTGCACGCCAGTCCCA</t>
  </si>
  <si>
    <t xml:space="preserve">GCGACGTAGAACAGCGCCCT</t>
  </si>
  <si>
    <t xml:space="preserve">TAGTGCGACGTAGAACAGCGCCCT</t>
  </si>
  <si>
    <t xml:space="preserve">AAACAGGGCGCTGTTCTACGTCGC</t>
  </si>
  <si>
    <t xml:space="preserve">CTGATAGATGGAGAACAGCA</t>
  </si>
  <si>
    <t xml:space="preserve">TAGTCTGATAGATGGAGAACAGCA</t>
  </si>
  <si>
    <t xml:space="preserve">AAACTGCTGTTCTCCATCTATCAG</t>
  </si>
  <si>
    <t xml:space="preserve">GGACACCGGGTGAAAGGCGG</t>
  </si>
  <si>
    <t xml:space="preserve">TAGTGGACACCGGGTGAAAGGCGG</t>
  </si>
  <si>
    <t xml:space="preserve">AAACCCGCCTTTCACCCGGTGTCC</t>
  </si>
  <si>
    <t xml:space="preserve">PST_4126</t>
  </si>
  <si>
    <t xml:space="preserve">GAAGGCGGGGGTGGGCACTT</t>
  </si>
  <si>
    <t xml:space="preserve">TAGTGAAGGCGGGGGTGGGCACTT</t>
  </si>
  <si>
    <t xml:space="preserve">AAACAAGTGCCCACCCCCGCCTTC</t>
  </si>
  <si>
    <t xml:space="preserve">GATGGTGTGGTTCCACGCCA</t>
  </si>
  <si>
    <t xml:space="preserve">TAGTGATGGTGTGGTTCCACGCCA</t>
  </si>
  <si>
    <t xml:space="preserve">AAACTGGCGTGGAACCACACCATC</t>
  </si>
  <si>
    <t xml:space="preserve">CGCGGTAATCCTCTTCCCAG</t>
  </si>
  <si>
    <t xml:space="preserve">TAGTCGCGGTAATCCTCTTCCCAG</t>
  </si>
  <si>
    <t xml:space="preserve">AAACCTGGGAAGAGGATTACCGCG</t>
  </si>
  <si>
    <t xml:space="preserve">TCGCCGAGCAGCAGCCCGTC</t>
  </si>
  <si>
    <t xml:space="preserve">TAGTTCGCCGAGCAGCAGCCCGTC</t>
  </si>
  <si>
    <t xml:space="preserve">AAACGACGGGCTGCTGCTCGGCGA</t>
  </si>
  <si>
    <t xml:space="preserve">PST_4127</t>
  </si>
  <si>
    <t xml:space="preserve">TGAAAAACCAAAAGAAAAAG</t>
  </si>
  <si>
    <t xml:space="preserve">TAGTTGAAAAACCAAAAGAAAAAG</t>
  </si>
  <si>
    <t xml:space="preserve">AAACCTTTTTCTTTTGGTTTTTCA</t>
  </si>
  <si>
    <t xml:space="preserve">GCAGCATGTCGCTGATGAAA</t>
  </si>
  <si>
    <t xml:space="preserve">TAGTGCAGCATGTCGCTGATGAAA</t>
  </si>
  <si>
    <t xml:space="preserve">AAACTTTCATCAGCGACATGCTGC</t>
  </si>
  <si>
    <t xml:space="preserve">CAGGGCGAAACCAGGCCTTC</t>
  </si>
  <si>
    <t xml:space="preserve">TAGTCAGGGCGAAACCAGGCCTTC</t>
  </si>
  <si>
    <t xml:space="preserve">AAACGAAGGCCTGGTTTCGCCCTG</t>
  </si>
  <si>
    <t xml:space="preserve">PST_4128</t>
  </si>
  <si>
    <t xml:space="preserve">CATCTGCACGCCGGTGAAGT</t>
  </si>
  <si>
    <t xml:space="preserve">TAGTCATCTGCACGCCGGTGAAGT</t>
  </si>
  <si>
    <t xml:space="preserve">AAACACTTCACCGGCGTGCAGATG</t>
  </si>
  <si>
    <t xml:space="preserve">CAGGCGCTTGGTGTCCTTCG</t>
  </si>
  <si>
    <t xml:space="preserve">TAGTCAGGCGCTTGGTGTCCTTCG</t>
  </si>
  <si>
    <t xml:space="preserve">AAACCGAAGGACACCAAGCGCCTG</t>
  </si>
  <si>
    <t xml:space="preserve">CATCGCCCGGCACGTCCGGG</t>
  </si>
  <si>
    <t xml:space="preserve">TAGTCATCGCCCGGCACGTCCGGG</t>
  </si>
  <si>
    <t xml:space="preserve">AAACCCCGGACGTGCCGGGCGATG</t>
  </si>
  <si>
    <t xml:space="preserve">GTCGGCCTCGGCGGCCCGTT</t>
  </si>
  <si>
    <t xml:space="preserve">TAGTGTCGGCCTCGGCGGCCCGTT</t>
  </si>
  <si>
    <t xml:space="preserve">AAACAACGGGCCGCCGAGGCCGAC</t>
  </si>
  <si>
    <t xml:space="preserve">PST_4129</t>
  </si>
  <si>
    <t xml:space="preserve">AATTCCGGAAATGGTCTCCA</t>
  </si>
  <si>
    <t xml:space="preserve">TAGTAATTCCGGAAATGGTCTCCA</t>
  </si>
  <si>
    <t xml:space="preserve">AAACTGGAGACCATTTCCGGAATT</t>
  </si>
  <si>
    <t xml:space="preserve">GTGAACTTCTGCTTCTCTAG</t>
  </si>
  <si>
    <t xml:space="preserve">TAGTGTGAACTTCTGCTTCTCTAG</t>
  </si>
  <si>
    <t xml:space="preserve">AAACCTAGAGAAGCAGAAGTTCAC</t>
  </si>
  <si>
    <t xml:space="preserve">TCGTCATCGAGCTTGCTGAT</t>
  </si>
  <si>
    <t xml:space="preserve">TAGTTCGTCATCGAGCTTGCTGAT</t>
  </si>
  <si>
    <t xml:space="preserve">AAACATCAGCAAGCTCGATGACGA</t>
  </si>
  <si>
    <t xml:space="preserve">CATGAGGATGATGCGCACAC</t>
  </si>
  <si>
    <t xml:space="preserve">TAGTCATGAGGATGATGCGCACAC</t>
  </si>
  <si>
    <t xml:space="preserve">AAACGTGTGCGCATCATCCTCATG</t>
  </si>
  <si>
    <t xml:space="preserve">PST_4131</t>
  </si>
  <si>
    <t xml:space="preserve">CCCTCGCCGGCCATGATCAC</t>
  </si>
  <si>
    <t xml:space="preserve">TAGTCCCTCGCCGGCCATGATCAC</t>
  </si>
  <si>
    <t xml:space="preserve">AAACGTGATCATGGCCGGCGAGGG</t>
  </si>
  <si>
    <t xml:space="preserve">GTGCTGCCGATTGCAACCTG</t>
  </si>
  <si>
    <t xml:space="preserve">TAGTGTGCTGCCGATTGCAACCTG</t>
  </si>
  <si>
    <t xml:space="preserve">AAACCAGGTTGCAATCGGCAGCAC</t>
  </si>
  <si>
    <t xml:space="preserve">GTGCGTAGCGCACCCTACAA</t>
  </si>
  <si>
    <t xml:space="preserve">TAGTGTGCGTAGCGCACCCTACAA</t>
  </si>
  <si>
    <t xml:space="preserve">AAACTTGTAGGGTGCGCTACGCAC</t>
  </si>
  <si>
    <t xml:space="preserve">GTATCGCTCGGTGGTCGGGC</t>
  </si>
  <si>
    <t xml:space="preserve">TAGTGTATCGCTCGGTGGTCGGGC</t>
  </si>
  <si>
    <t xml:space="preserve">AAACGCCCGACCACCGAGCGATAC</t>
  </si>
  <si>
    <t xml:space="preserve">PST_4130</t>
  </si>
  <si>
    <t xml:space="preserve">TGGCGAGCAGAGTGACGAGA</t>
  </si>
  <si>
    <t xml:space="preserve">TAGTTGGCGAGCAGAGTGACGAGA</t>
  </si>
  <si>
    <t xml:space="preserve">AAACTCTCGTCACTCTGCTCGCCA</t>
  </si>
  <si>
    <t xml:space="preserve">TCCACATGGAGCAGCCGGCC</t>
  </si>
  <si>
    <t xml:space="preserve">TAGTTCCACATGGAGCAGCCGGCC</t>
  </si>
  <si>
    <t xml:space="preserve">AAACGGCCGGCTGCTCCATGTGGA</t>
  </si>
  <si>
    <t xml:space="preserve">GCCTGCTCGGGATCGGGCTT</t>
  </si>
  <si>
    <t xml:space="preserve">TAGTGCCTGCTCGGGATCGGGCTT</t>
  </si>
  <si>
    <t xml:space="preserve">AAACAAGCCCGATCCCGAGCAGGC</t>
  </si>
  <si>
    <t xml:space="preserve">GTTCGGGTTGAGCTCGATCC</t>
  </si>
  <si>
    <t xml:space="preserve">TAGTGTTCGGGTTGAGCTCGATCC</t>
  </si>
  <si>
    <t xml:space="preserve">AAACGGATCGAGCTCAACCCGAAC</t>
  </si>
  <si>
    <t xml:space="preserve">PST_4132</t>
  </si>
  <si>
    <t xml:space="preserve">GAGGGGGAGTGCGCGACGCA</t>
  </si>
  <si>
    <t xml:space="preserve">TAGTGAGGGGGAGTGCGCGACGCA</t>
  </si>
  <si>
    <t xml:space="preserve">AAACTGCGTCGCGCACTCCCCCTC</t>
  </si>
  <si>
    <t xml:space="preserve">CCGGCCAGGGCGAGAAGGGC</t>
  </si>
  <si>
    <t xml:space="preserve">TAGTCCGGCCAGGGCGAGAAGGGC</t>
  </si>
  <si>
    <t xml:space="preserve">AAACGCCCTTCTCGCCCTGGCCGG</t>
  </si>
  <si>
    <t xml:space="preserve">GTCGGGTTGCGGCAATGGCC</t>
  </si>
  <si>
    <t xml:space="preserve">TAGTGTCGGGTTGCGGCAATGGCC</t>
  </si>
  <si>
    <t xml:space="preserve">AAACGGCCATTGCCGCAACCCGAC</t>
  </si>
  <si>
    <t xml:space="preserve">TGTCGACCCAGGCCATGTTC</t>
  </si>
  <si>
    <t xml:space="preserve">TAGTTGTCGACCCAGGCCATGTTC</t>
  </si>
  <si>
    <t xml:space="preserve">AAACGAACATGGCCTGGGTCGACA</t>
  </si>
  <si>
    <t xml:space="preserve">PST_4133</t>
  </si>
  <si>
    <t xml:space="preserve">GTAGCCGATCAGCACGGCGG</t>
  </si>
  <si>
    <t xml:space="preserve">TAGTGTAGCCGATCAGCACGGCGG</t>
  </si>
  <si>
    <t xml:space="preserve">AAACCCGCCGTGCTGATCGGCTAC</t>
  </si>
  <si>
    <t xml:space="preserve">TGCGCGTGGTGTTGGCGGCC</t>
  </si>
  <si>
    <t xml:space="preserve">TAGTTGCGCGTGGTGTTGGCGGCC</t>
  </si>
  <si>
    <t xml:space="preserve">AAACGGCCGCCAACACCACGCGCA</t>
  </si>
  <si>
    <t xml:space="preserve">TCACCCCGCCGGCACCGAGG</t>
  </si>
  <si>
    <t xml:space="preserve">TAGTTCACCCCGCCGGCACCGAGG</t>
  </si>
  <si>
    <t xml:space="preserve">AAACCCTCGGTGCCGGCGGGGTGA</t>
  </si>
  <si>
    <t xml:space="preserve">ATCACCAGCGGCGCGTGATT</t>
  </si>
  <si>
    <t xml:space="preserve">TAGTATCACCAGCGGCGCGTGATT</t>
  </si>
  <si>
    <t xml:space="preserve">AAACAATCACGCGCCGCTGGTGAT</t>
  </si>
  <si>
    <t xml:space="preserve">PST_4134</t>
  </si>
  <si>
    <t xml:space="preserve">CAGCAGCAGGACGCCGAGTA</t>
  </si>
  <si>
    <t xml:space="preserve">TAGTCAGCAGCAGGACGCCGAGTA</t>
  </si>
  <si>
    <t xml:space="preserve">AAACTACTCGGCGTCCTGCTGCTG</t>
  </si>
  <si>
    <t xml:space="preserve">GGAAGGCCGAAGCGAGGGCG</t>
  </si>
  <si>
    <t xml:space="preserve">TAGTGGAAGGCCGAAGCGAGGGCG</t>
  </si>
  <si>
    <t xml:space="preserve">AAACCGCCCTCGCTTCGGCCTTCC</t>
  </si>
  <si>
    <t xml:space="preserve">TGGTGATTGGCAGCCAGCGC</t>
  </si>
  <si>
    <t xml:space="preserve">TAGTTGGTGATTGGCAGCCAGCGC</t>
  </si>
  <si>
    <t xml:space="preserve">AAACGCGCTGGCTGCCAATCACCA</t>
  </si>
  <si>
    <t xml:space="preserve">ACCGAGGTAGATCAGGGACG</t>
  </si>
  <si>
    <t xml:space="preserve">TAGTACCGAGGTAGATCAGGGACG</t>
  </si>
  <si>
    <t xml:space="preserve">AAACCGTCCCTGATCTACCTCGGT</t>
  </si>
  <si>
    <t xml:space="preserve">PST_4135</t>
  </si>
  <si>
    <t xml:space="preserve">GACGATTTCAACCTTCTTGT</t>
  </si>
  <si>
    <t xml:space="preserve">TAGTGACGATTTCAACCTTCTTGT</t>
  </si>
  <si>
    <t xml:space="preserve">AAACACAAGAAGGTTGAAATCGTC</t>
  </si>
  <si>
    <t xml:space="preserve">CTCGTCGACGCTGTTACGCG</t>
  </si>
  <si>
    <t xml:space="preserve">TAGTCTCGTCGACGCTGTTACGCG</t>
  </si>
  <si>
    <t xml:space="preserve">AAACCGCGTAACAGCGTCGACGAG</t>
  </si>
  <si>
    <t xml:space="preserve">CTGCAGCGATTTGGAGGCCT</t>
  </si>
  <si>
    <t xml:space="preserve">TAGTCTGCAGCGATTTGGAGGCCT</t>
  </si>
  <si>
    <t xml:space="preserve">AAACAGGCCTCCAAATCGCTGCAG</t>
  </si>
  <si>
    <t xml:space="preserve">TGCCGTTCTCGACATGGCCG</t>
  </si>
  <si>
    <t xml:space="preserve">TAGTTGCCGTTCTCGACATGGCCG</t>
  </si>
  <si>
    <t xml:space="preserve">AAACCGGCCATGTCGAGAACGGCA</t>
  </si>
  <si>
    <t xml:space="preserve">PST_4136</t>
  </si>
  <si>
    <t xml:space="preserve">TACGTAGGGGGTATCAGGCA</t>
  </si>
  <si>
    <t xml:space="preserve">TAGTTACGTAGGGGGTATCAGGCA</t>
  </si>
  <si>
    <t xml:space="preserve">AAACTGCCTGATACCCCCTACGTA</t>
  </si>
  <si>
    <t xml:space="preserve">TCGTGGGTCCAGACCTTCGG</t>
  </si>
  <si>
    <t xml:space="preserve">TAGTTCGTGGGTCCAGACCTTCGG</t>
  </si>
  <si>
    <t xml:space="preserve">AAACCCGAAGGTCTGGACCCACGA</t>
  </si>
  <si>
    <t xml:space="preserve">GGCGAACTTGCCGCCCGACG</t>
  </si>
  <si>
    <t xml:space="preserve">TAGTGGCGAACTTGCCGCCCGACG</t>
  </si>
  <si>
    <t xml:space="preserve">AAACCGTCGGGCGGCAAGTTCGCC</t>
  </si>
  <si>
    <t xml:space="preserve">GGCGGTCGGTGCGTTGATGC</t>
  </si>
  <si>
    <t xml:space="preserve">TAGTGGCGGTCGGTGCGTTGATGC</t>
  </si>
  <si>
    <t xml:space="preserve">AAACGCATCAACGCACCGACCGCC</t>
  </si>
  <si>
    <t xml:space="preserve">PST_4137</t>
  </si>
  <si>
    <t xml:space="preserve">ACCGCATGGATCTGCTCGCG</t>
  </si>
  <si>
    <t xml:space="preserve">TAGTACCGCATGGATCTGCTCGCG</t>
  </si>
  <si>
    <t xml:space="preserve">AAACCGCGAGCAGATCCATGCGGT</t>
  </si>
  <si>
    <t xml:space="preserve">GGCATGGATATCGGCGCTTT</t>
  </si>
  <si>
    <t xml:space="preserve">TAGTGGCATGGATATCGGCGCTTT</t>
  </si>
  <si>
    <t xml:space="preserve">AAACAAAGCGCCGATATCCATGCC</t>
  </si>
  <si>
    <t xml:space="preserve">GGTGCTGTAGGGTGCGTCGT</t>
  </si>
  <si>
    <t xml:space="preserve">TAGTGGTGCTGTAGGGTGCGTCGT</t>
  </si>
  <si>
    <t xml:space="preserve">AAACACGACGCACCCTACAGCACC</t>
  </si>
  <si>
    <t xml:space="preserve">GTCCACCGGGACGTCCGGGC</t>
  </si>
  <si>
    <t xml:space="preserve">TAGTGTCCACCGGGACGTCCGGGC</t>
  </si>
  <si>
    <t xml:space="preserve">AAACGCCCGGACGTCCCGGTGGAC</t>
  </si>
  <si>
    <t xml:space="preserve">PST_4138</t>
  </si>
  <si>
    <t xml:space="preserve">GGTGGTTCTCGGCGCAAGCA</t>
  </si>
  <si>
    <t xml:space="preserve">TAGTGGTGGTTCTCGGCGCAAGCA</t>
  </si>
  <si>
    <t xml:space="preserve">AAACTGCTTGCGCCGAGAACCACC</t>
  </si>
  <si>
    <t xml:space="preserve">TAGACAGAGCAGCAGGCAGA</t>
  </si>
  <si>
    <t xml:space="preserve">TAGTTAGACAGAGCAGCAGGCAGA</t>
  </si>
  <si>
    <t xml:space="preserve">AAACTCTGCCTGCTGCTCTGTCTA</t>
  </si>
  <si>
    <t xml:space="preserve">GGCCCAGGCAGTCGGGACGA</t>
  </si>
  <si>
    <t xml:space="preserve">TAGTGGCCCAGGCAGTCGGGACGA</t>
  </si>
  <si>
    <t xml:space="preserve">AAACTCGTCCCGACTGCCTGGGCC</t>
  </si>
  <si>
    <t xml:space="preserve">CTGCTCCATGGCAAGCCGGG</t>
  </si>
  <si>
    <t xml:space="preserve">TAGTCTGCTCCATGGCAAGCCGGG</t>
  </si>
  <si>
    <t xml:space="preserve">AAACCCCGGCTTGCCATGGAGCAG</t>
  </si>
  <si>
    <t xml:space="preserve">PST_4139</t>
  </si>
  <si>
    <t xml:space="preserve">CACCGCCCCGATCGCCAGCG</t>
  </si>
  <si>
    <t xml:space="preserve">TAGTCACCGCCCCGATCGCCAGCG</t>
  </si>
  <si>
    <t xml:space="preserve">AAACCGCTGGCGATCGGGGCGGTG</t>
  </si>
  <si>
    <t xml:space="preserve">AACGCCCGGCTGACCAGCGT</t>
  </si>
  <si>
    <t xml:space="preserve">TAGTAACGCCCGGCTGACCAGCGT</t>
  </si>
  <si>
    <t xml:space="preserve">AAACACGCTGGTCAGCCGGGCGTT</t>
  </si>
  <si>
    <t xml:space="preserve">CTGCGCGGCCTCCCCCGCCC</t>
  </si>
  <si>
    <t xml:space="preserve">TAGTCTGCGCGGCCTCCCCCGCCC</t>
  </si>
  <si>
    <t xml:space="preserve">AAACGGGCGGGGGAGGCCGCGCAG</t>
  </si>
  <si>
    <t xml:space="preserve">GGCCGCGAGCACTGGCAGGA</t>
  </si>
  <si>
    <t xml:space="preserve">TAGTGGCCGCGAGCACTGGCAGGA</t>
  </si>
  <si>
    <t xml:space="preserve">AAACTCCTGCCAGTGCTCGCGGCC</t>
  </si>
  <si>
    <t xml:space="preserve">PST_4140</t>
  </si>
  <si>
    <t xml:space="preserve">ushA</t>
  </si>
  <si>
    <t xml:space="preserve">GGCAAGGCCGATCAGGCCTG</t>
  </si>
  <si>
    <t xml:space="preserve">TAGTGGCAAGGCCGATCAGGCCTG</t>
  </si>
  <si>
    <t xml:space="preserve">AAACCAGGCCTGATCGGCCTTGCC</t>
  </si>
  <si>
    <t xml:space="preserve">GGTCTGGGCCAGCGTTGGGG</t>
  </si>
  <si>
    <t xml:space="preserve">TAGTGGTCTGGGCCAGCGTTGGGG</t>
  </si>
  <si>
    <t xml:space="preserve">AAACCCCCAACGCTGGCCCAGACC</t>
  </si>
  <si>
    <t xml:space="preserve">ACCGTGCTCGGGCTGATTCT</t>
  </si>
  <si>
    <t xml:space="preserve">TAGTACCGTGCTCGGGCTGATTCT</t>
  </si>
  <si>
    <t xml:space="preserve">AAACAGAATCAGCCCGAGCACGGT</t>
  </si>
  <si>
    <t xml:space="preserve">CTCGCGGTAGTCCTGCTCGG</t>
  </si>
  <si>
    <t xml:space="preserve">TAGTCTCGCGGTAGTCCTGCTCGG</t>
  </si>
  <si>
    <t xml:space="preserve">AAACCCGAGCAGGACTACCGCGAG</t>
  </si>
  <si>
    <t xml:space="preserve">PST_4141</t>
  </si>
  <si>
    <t xml:space="preserve">CTGACGCCCGCCGCTGCACC</t>
  </si>
  <si>
    <t xml:space="preserve">TAGTCTGACGCCCGCCGCTGCACC</t>
  </si>
  <si>
    <t xml:space="preserve">AAACGGTGCAGCGGCGGGCGTCAG</t>
  </si>
  <si>
    <t xml:space="preserve">GCCCGGTCGCGACCGTTGGC</t>
  </si>
  <si>
    <t xml:space="preserve">TAGTGCCCGGTCGCGACCGTTGGC</t>
  </si>
  <si>
    <t xml:space="preserve">AAACGCCAACGGTCGCGACCGGGC</t>
  </si>
  <si>
    <t xml:space="preserve">CACACACTCGACACCACCTT</t>
  </si>
  <si>
    <t xml:space="preserve">TAGTCACACACTCGACACCACCTT</t>
  </si>
  <si>
    <t xml:space="preserve">AAACAAGGTGGTGTCGAGTGTGTG</t>
  </si>
  <si>
    <t xml:space="preserve">CCCTCTGGTAAGCCAGGCGG</t>
  </si>
  <si>
    <t xml:space="preserve">TAGTCCCTCTGGTAAGCCAGGCGG</t>
  </si>
  <si>
    <t xml:space="preserve">AAACCCGCCTGGCTTACCAGAGGG</t>
  </si>
  <si>
    <t xml:space="preserve">PST_4142</t>
  </si>
  <si>
    <t xml:space="preserve">GCCGCAAGTAGGCTCGGGCC</t>
  </si>
  <si>
    <t xml:space="preserve">TAGTGCCGCAAGTAGGCTCGGGCC</t>
  </si>
  <si>
    <t xml:space="preserve">AAACGGCCCGAGCCTACTTGCGGC</t>
  </si>
  <si>
    <t xml:space="preserve">TGCGCCGAGTCGCCCAAGGT</t>
  </si>
  <si>
    <t xml:space="preserve">TAGTTGCGCCGAGTCGCCCAAGGT</t>
  </si>
  <si>
    <t xml:space="preserve">AAACACCTTGGGCGACTCGGCGCA</t>
  </si>
  <si>
    <t xml:space="preserve">GCAGTGTGGGAGGGTTCAGA</t>
  </si>
  <si>
    <t xml:space="preserve">TAGTGCAGTGTGGGAGGGTTCAGA</t>
  </si>
  <si>
    <t xml:space="preserve">AAACTCTGAACCCTCCCACACTGC</t>
  </si>
  <si>
    <t xml:space="preserve">GCTGTGGCTAGAGGTACGAG</t>
  </si>
  <si>
    <t xml:space="preserve">TAGTGCTGTGGCTAGAGGTACGAG</t>
  </si>
  <si>
    <t xml:space="preserve">AAACCTCGTACCTCTAGCCACAGC</t>
  </si>
  <si>
    <t xml:space="preserve">PST_4143</t>
  </si>
  <si>
    <t xml:space="preserve">CTTCAGCAAAGGAGGATGTC</t>
  </si>
  <si>
    <t xml:space="preserve">TAGTCTTCAGCAAAGGAGGATGTC</t>
  </si>
  <si>
    <t xml:space="preserve">AAACGACATCCTCCTTTGCTGAAG</t>
  </si>
  <si>
    <t xml:space="preserve">CTTACCGCTGCACTCGCCCT</t>
  </si>
  <si>
    <t xml:space="preserve">TAGTCTTACCGCTGCACTCGCCCT</t>
  </si>
  <si>
    <t xml:space="preserve">AAACAGGGCGAGTGCAGCGGTAAG</t>
  </si>
  <si>
    <t xml:space="preserve">TCCTCGGCAAGGCTCGCCGT</t>
  </si>
  <si>
    <t xml:space="preserve">TAGTTCCTCGGCAAGGCTCGCCGT</t>
  </si>
  <si>
    <t xml:space="preserve">AAACACGGCGAGCCTTGCCGAGGA</t>
  </si>
  <si>
    <t xml:space="preserve">CTCCCTGGCCGCAACAAGGT</t>
  </si>
  <si>
    <t xml:space="preserve">TAGTCTCCCTGGCCGCAACAAGGT</t>
  </si>
  <si>
    <t xml:space="preserve">AAACACCTTGTTGCGGCCAGGGAG</t>
  </si>
  <si>
    <t xml:space="preserve">PST_4144</t>
  </si>
  <si>
    <t xml:space="preserve">TCGAAACGGCGGAACAACAT</t>
  </si>
  <si>
    <t xml:space="preserve">TAGTTCGAAACGGCGGAACAACAT</t>
  </si>
  <si>
    <t xml:space="preserve">AAACATGTTGTTCCGCCGTTTCGA</t>
  </si>
  <si>
    <t xml:space="preserve">GGCGGCGCAACGTCCGGGCT</t>
  </si>
  <si>
    <t xml:space="preserve">TAGTGGCGGCGCAACGTCCGGGCT</t>
  </si>
  <si>
    <t xml:space="preserve">AAACAGCCCGGACGTTGCGCCGCC</t>
  </si>
  <si>
    <t xml:space="preserve">TAGAAGCGCAGCATTCCGGC</t>
  </si>
  <si>
    <t xml:space="preserve">TAGTTAGAAGCGCAGCATTCCGGC</t>
  </si>
  <si>
    <t xml:space="preserve">AAACGCCGGAATGCTGCGCTTCTA</t>
  </si>
  <si>
    <t xml:space="preserve">CCAGACCTGCTTCAGGTAGT</t>
  </si>
  <si>
    <t xml:space="preserve">TAGTCCAGACCTGCTTCAGGTAGT</t>
  </si>
  <si>
    <t xml:space="preserve">AAACACTACCTGAAGCAGGTCTGG</t>
  </si>
  <si>
    <t xml:space="preserve">PST_4145</t>
  </si>
  <si>
    <t xml:space="preserve">CGAGGTTTTCGGTAGTGCCC</t>
  </si>
  <si>
    <t xml:space="preserve">TAGTCGAGGTTTTCGGTAGTGCCC</t>
  </si>
  <si>
    <t xml:space="preserve">AAACGGGCACTACCGAAAACCTCG</t>
  </si>
  <si>
    <t xml:space="preserve">TGGGTTTTTTACTGCGTCCT</t>
  </si>
  <si>
    <t xml:space="preserve">TAGTTGGGTTTTTTACTGCGTCCT</t>
  </si>
  <si>
    <t xml:space="preserve">AAACAGGACGCAGTAAAAAACCCA</t>
  </si>
  <si>
    <t xml:space="preserve">AGGATCAGCCCTGTGGTATC</t>
  </si>
  <si>
    <t xml:space="preserve">TAGTAGGATCAGCCCTGTGGTATC</t>
  </si>
  <si>
    <t xml:space="preserve">AAACGATACCACAGGGCTGATCCT</t>
  </si>
  <si>
    <t xml:space="preserve">CTCGCGCGCCGCCGCCGGAG</t>
  </si>
  <si>
    <t xml:space="preserve">TAGTCTCGCGCGCCGCCGCCGGAG</t>
  </si>
  <si>
    <t xml:space="preserve">AAACCTCCGGCGGCGGCGCGCGAG</t>
  </si>
  <si>
    <t xml:space="preserve">PST_4146</t>
  </si>
  <si>
    <t xml:space="preserve">CATATCCGGCGCCAGCCGCG</t>
  </si>
  <si>
    <t xml:space="preserve">TAGTCATATCCGGCGCCAGCCGCG</t>
  </si>
  <si>
    <t xml:space="preserve">AAACCGCGGCTGGCGCCGGATATG</t>
  </si>
  <si>
    <t xml:space="preserve">AAGCGCACCTGAGTCGACAG</t>
  </si>
  <si>
    <t xml:space="preserve">TAGTAAGCGCACCTGAGTCGACAG</t>
  </si>
  <si>
    <t xml:space="preserve">AAACCTGTCGACTCAGGTGCGCTT</t>
  </si>
  <si>
    <t xml:space="preserve">GGCCTCCCTCGCCTGCACAC</t>
  </si>
  <si>
    <t xml:space="preserve">TAGTGGCCTCCCTCGCCTGCACAC</t>
  </si>
  <si>
    <t xml:space="preserve">AAACGTGTGCAGGCGAGGGAGGCC</t>
  </si>
  <si>
    <t xml:space="preserve">CTCGCCTCTCAGCCGGCAAA</t>
  </si>
  <si>
    <t xml:space="preserve">TAGTCTCGCCTCTCAGCCGGCAAA</t>
  </si>
  <si>
    <t xml:space="preserve">AAACTTTGCCGGCTGAGAGGCGAG</t>
  </si>
  <si>
    <t xml:space="preserve">PST_4147</t>
  </si>
  <si>
    <t xml:space="preserve">GCTACGCTCATCAATGCGGT</t>
  </si>
  <si>
    <t xml:space="preserve">TAGTGCTACGCTCATCAATGCGGT</t>
  </si>
  <si>
    <t xml:space="preserve">AAACACCGCATTGATGAGCGTAGC</t>
  </si>
  <si>
    <t xml:space="preserve">CAGCCCGTGCAAGGATTTCG</t>
  </si>
  <si>
    <t xml:space="preserve">TAGTCAGCCCGTGCAAGGATTTCG</t>
  </si>
  <si>
    <t xml:space="preserve">AAACCGAAATCCTTGCACGGGCTG</t>
  </si>
  <si>
    <t xml:space="preserve">CACCAACTGCATTTCAACCA</t>
  </si>
  <si>
    <t xml:space="preserve">TAGTCACCAACTGCATTTCAACCA</t>
  </si>
  <si>
    <t xml:space="preserve">AAACTGGTTGAAATGCAGTTGGTG</t>
  </si>
  <si>
    <t xml:space="preserve">AGAAACTTCTGCTCAAATTC</t>
  </si>
  <si>
    <t xml:space="preserve">TAGTAGAAACTTCTGCTCAAATTC</t>
  </si>
  <si>
    <t xml:space="preserve">AAACGAATTTGAGCAGAAGTTTCT</t>
  </si>
  <si>
    <t xml:space="preserve">PST_4148</t>
  </si>
  <si>
    <t xml:space="preserve">CAGCAACACCAGGCTGATAT</t>
  </si>
  <si>
    <t xml:space="preserve">TAGTCAGCAACACCAGGCTGATAT</t>
  </si>
  <si>
    <t xml:space="preserve">AAACATATCAGCCTGGTGTTGCTG</t>
  </si>
  <si>
    <t xml:space="preserve">ATTGAGCAGAATCGTCGCGA</t>
  </si>
  <si>
    <t xml:space="preserve">TAGTATTGAGCAGAATCGTCGCGA</t>
  </si>
  <si>
    <t xml:space="preserve">AAACTCGCGACGATTCTGCTCAAT</t>
  </si>
  <si>
    <t xml:space="preserve">CGCCAAGGCCAGCACCCCCT</t>
  </si>
  <si>
    <t xml:space="preserve">TAGTCGCCAAGGCCAGCACCCCCT</t>
  </si>
  <si>
    <t xml:space="preserve">AAACAGGGGGTGCTGGCCTTGGCG</t>
  </si>
  <si>
    <t xml:space="preserve">CCGCACGCTGGACCAGGTGA</t>
  </si>
  <si>
    <t xml:space="preserve">TAGTCCGCACGCTGGACCAGGTGA</t>
  </si>
  <si>
    <t xml:space="preserve">AAACTCACCTGGTCCAGCGTGCGG</t>
  </si>
  <si>
    <t xml:space="preserve">PST_4149</t>
  </si>
  <si>
    <t xml:space="preserve">CGAGGTTGGTTTTCATCGGT</t>
  </si>
  <si>
    <t xml:space="preserve">TAGTCGAGGTTGGTTTTCATCGGT</t>
  </si>
  <si>
    <t xml:space="preserve">AAACACCGATGAAAACCAACCTCG</t>
  </si>
  <si>
    <t xml:space="preserve">ACTGTCGACCACGCTGACAA</t>
  </si>
  <si>
    <t xml:space="preserve">TAGTACTGTCGACCACGCTGACAA</t>
  </si>
  <si>
    <t xml:space="preserve">AAACTTGTCAGCGTGGTCGACAGT</t>
  </si>
  <si>
    <t xml:space="preserve">GGCGGTCTGTTCCAGCTGCT</t>
  </si>
  <si>
    <t xml:space="preserve">TAGTGGCGGTCTGTTCCAGCTGCT</t>
  </si>
  <si>
    <t xml:space="preserve">AAACAGCAGCTGGAACAGACCGCC</t>
  </si>
  <si>
    <t xml:space="preserve">CAACGCCCGGCTAACGCCCG</t>
  </si>
  <si>
    <t xml:space="preserve">TAGTCAACGCCCGGCTAACGCCCG</t>
  </si>
  <si>
    <t xml:space="preserve">AAACCGGGCGTTAGCCGGGCGTTG</t>
  </si>
  <si>
    <t xml:space="preserve">PST_4150</t>
  </si>
  <si>
    <t xml:space="preserve">GGCGAGCGCGAGCTTTTTCA</t>
  </si>
  <si>
    <t xml:space="preserve">TAGTGGCGAGCGCGAGCTTTTTCA</t>
  </si>
  <si>
    <t xml:space="preserve">AAACTGAAAAAGCTCGCGCTCGCC</t>
  </si>
  <si>
    <t xml:space="preserve">AAGGGCCAGGGGTACGGCTA</t>
  </si>
  <si>
    <t xml:space="preserve">TAGTAAGGGCCAGGGGTACGGCTA</t>
  </si>
  <si>
    <t xml:space="preserve">AAACTAGCCGTACCCCTGGCCCTT</t>
  </si>
  <si>
    <t xml:space="preserve">GGTGCTGGTGTAGAAAGTGG</t>
  </si>
  <si>
    <t xml:space="preserve">TAGTGGTGCTGGTGTAGAAAGTGG</t>
  </si>
  <si>
    <t xml:space="preserve">AAACCCACTTTCTACACCAGCACC</t>
  </si>
  <si>
    <t xml:space="preserve">GCGGGCGGTCGATTCGACCT</t>
  </si>
  <si>
    <t xml:space="preserve">TAGTGCGGGCGGTCGATTCGACCT</t>
  </si>
  <si>
    <t xml:space="preserve">AAACAGGTCGAATCGACCGCCCGC</t>
  </si>
  <si>
    <t xml:space="preserve">PST_4151</t>
  </si>
  <si>
    <t xml:space="preserve">GATGCGTTCGTCGACGTTCA</t>
  </si>
  <si>
    <t xml:space="preserve">TAGTGATGCGTTCGTCGACGTTCA</t>
  </si>
  <si>
    <t xml:space="preserve">AAACTGAACGTCGACGAACGCATC</t>
  </si>
  <si>
    <t xml:space="preserve">ATATTTCATAGGCGCGCTGG</t>
  </si>
  <si>
    <t xml:space="preserve">TAGTATATTTCATAGGCGCGCTGG</t>
  </si>
  <si>
    <t xml:space="preserve">AAACCCAGCGCGCCTATGAAATAT</t>
  </si>
  <si>
    <t xml:space="preserve">CTGGCCTTCGGGGCGGCCCT</t>
  </si>
  <si>
    <t xml:space="preserve">TAGTCTGGCCTTCGGGGCGGCCCT</t>
  </si>
  <si>
    <t xml:space="preserve">AAACAGGGCCGCCCCGAAGGCCAG</t>
  </si>
  <si>
    <t xml:space="preserve">CCGGGCGCGCTGCCAGTGGT</t>
  </si>
  <si>
    <t xml:space="preserve">TAGTCCGGGCGCGCTGCCAGTGGT</t>
  </si>
  <si>
    <t xml:space="preserve">AAACACCACTGGCAGCGCGCCCGG</t>
  </si>
  <si>
    <t xml:space="preserve">PST_4152</t>
  </si>
  <si>
    <t xml:space="preserve">pgm</t>
  </si>
  <si>
    <t xml:space="preserve">GGCGTTGGGGGCGATGCTCA</t>
  </si>
  <si>
    <t xml:space="preserve">TAGTGGCGTTGGGGGCGATGCTCA</t>
  </si>
  <si>
    <t xml:space="preserve">AAACTGAGCATCGCCCCCAACGCC</t>
  </si>
  <si>
    <t xml:space="preserve">GTGCGGGTCGGGCAGGCGTC</t>
  </si>
  <si>
    <t xml:space="preserve">TAGTGTGCGGGTCGGGCAGGCGTC</t>
  </si>
  <si>
    <t xml:space="preserve">AAACGACGCCTGCCCGACCCGCAC</t>
  </si>
  <si>
    <t xml:space="preserve">CAGGCGCGGCAGATGAGTCA</t>
  </si>
  <si>
    <t xml:space="preserve">TAGTCAGGCGCGGCAGATGAGTCA</t>
  </si>
  <si>
    <t xml:space="preserve">AAACTGACTCATCTGCCGCGCCTG</t>
  </si>
  <si>
    <t xml:space="preserve">CCGGGTCGGACGGGTCCGGC</t>
  </si>
  <si>
    <t xml:space="preserve">TAGTCCGGGTCGGACGGGTCCGGC</t>
  </si>
  <si>
    <t xml:space="preserve">AAACGCCGGACCCGTCCGACCCGG</t>
  </si>
  <si>
    <t xml:space="preserve">PST_4153</t>
  </si>
  <si>
    <t xml:space="preserve">adhA</t>
  </si>
  <si>
    <t xml:space="preserve">GCCAATCTGTTCCAGCAACA</t>
  </si>
  <si>
    <t xml:space="preserve">TAGTGCCAATCTGTTCCAGCAACA</t>
  </si>
  <si>
    <t xml:space="preserve">AAACTGTTGCTGGAACAGATTGGC</t>
  </si>
  <si>
    <t xml:space="preserve">GCTCGCGCAGCTGCAAGGGT</t>
  </si>
  <si>
    <t xml:space="preserve">TAGTGCTCGCGCAGCTGCAAGGGT</t>
  </si>
  <si>
    <t xml:space="preserve">AAACACCCTTGCAGCTGCGCGAGC</t>
  </si>
  <si>
    <t xml:space="preserve">GCCAGGCCCCGGTTGCGGCA</t>
  </si>
  <si>
    <t xml:space="preserve">TAGTGCCAGGCCCCGGTTGCGGCA</t>
  </si>
  <si>
    <t xml:space="preserve">AAACTGCCGCAACCGGGGCCTGGC</t>
  </si>
  <si>
    <t xml:space="preserve">CACAGGCCAGCACCCGCACG</t>
  </si>
  <si>
    <t xml:space="preserve">TAGTCACAGGCCAGCACCCGCACG</t>
  </si>
  <si>
    <t xml:space="preserve">AAACCGTGCGGGTGCTGGCCTGTG</t>
  </si>
  <si>
    <t xml:space="preserve">PST_4154</t>
  </si>
  <si>
    <t xml:space="preserve">TGGAAGGGCGAAAGCGTCAT</t>
  </si>
  <si>
    <t xml:space="preserve">TAGTTGGAAGGGCGAAAGCGTCAT</t>
  </si>
  <si>
    <t xml:space="preserve">AAACATGACGCTTTCGCCCTTCCA</t>
  </si>
  <si>
    <t xml:space="preserve">CGTAAACGGGAATGGCGAGA</t>
  </si>
  <si>
    <t xml:space="preserve">TAGTCGTAAACGGGAATGGCGAGA</t>
  </si>
  <si>
    <t xml:space="preserve">AAACTCTCGCCATTCCCGTTTACG</t>
  </si>
  <si>
    <t xml:space="preserve">GCCGTAGAAGGCGCGGGCGG</t>
  </si>
  <si>
    <t xml:space="preserve">TAGTGCCGTAGAAGGCGCGGGCGG</t>
  </si>
  <si>
    <t xml:space="preserve">AAACCCGCCCGCGCCTTCTACGGC</t>
  </si>
  <si>
    <t xml:space="preserve">GTGATCGCTGCTGCGGCCCT</t>
  </si>
  <si>
    <t xml:space="preserve">TAGTGTGATCGCTGCTGCGGCCCT</t>
  </si>
  <si>
    <t xml:space="preserve">AAACAGGGCCGCAGCAGCGATCAC</t>
  </si>
  <si>
    <t xml:space="preserve">PST_4155</t>
  </si>
  <si>
    <t xml:space="preserve">CACATTGCCGATGACCACGG</t>
  </si>
  <si>
    <t xml:space="preserve">TAGTCACATTGCCGATGACCACGG</t>
  </si>
  <si>
    <t xml:space="preserve">AAACCCGTGGTCATCGGCAATGTG</t>
  </si>
  <si>
    <t xml:space="preserve">GAGCGGCCACACCGAGCTGT</t>
  </si>
  <si>
    <t xml:space="preserve">TAGTGAGCGGCCACACCGAGCTGT</t>
  </si>
  <si>
    <t xml:space="preserve">AAACACAGCTCGGTGTGGCCGCTC</t>
  </si>
  <si>
    <t xml:space="preserve">GGATGCGGTGCATGTCGCCG</t>
  </si>
  <si>
    <t xml:space="preserve">TAGTGGATGCGGTGCATGTCGCCG</t>
  </si>
  <si>
    <t xml:space="preserve">AAACCGGCGACATGCACCGCATCC</t>
  </si>
  <si>
    <t xml:space="preserve">TGCTCGAGCGCGCACCGATG</t>
  </si>
  <si>
    <t xml:space="preserve">TAGTTGCTCGAGCGCGCACCGATG</t>
  </si>
  <si>
    <t xml:space="preserve">AAACCATCGGTGCGCGCTCGAGCA</t>
  </si>
  <si>
    <t xml:space="preserve">PST_4156</t>
  </si>
  <si>
    <t xml:space="preserve">prlC</t>
  </si>
  <si>
    <t xml:space="preserve">TGCTCAGCCCGGGTCCGCAG</t>
  </si>
  <si>
    <t xml:space="preserve">TAGTTGCTCAGCCCGGGTCCGCAG</t>
  </si>
  <si>
    <t xml:space="preserve">AAACCTGCGGACCCGGGCTGAGCA</t>
  </si>
  <si>
    <t xml:space="preserve">GTTACTCTGACCACGGCGGG</t>
  </si>
  <si>
    <t xml:space="preserve">TAGTGTTACTCTGACCACGGCGGG</t>
  </si>
  <si>
    <t xml:space="preserve">AAACCCCGCCGTGGTCAGAGTAAC</t>
  </si>
  <si>
    <t xml:space="preserve">CATTTTCAACGCCGGTCGGC</t>
  </si>
  <si>
    <t xml:space="preserve">TAGTCATTTTCAACGCCGGTCGGC</t>
  </si>
  <si>
    <t xml:space="preserve">AAACGCCGACCGGCGTTGAAAATG</t>
  </si>
  <si>
    <t xml:space="preserve">TGGCAGGCAGATGTCCTAGA</t>
  </si>
  <si>
    <t xml:space="preserve">TAGTTGGCAGGCAGATGTCCTAGA</t>
  </si>
  <si>
    <t xml:space="preserve">AAACTCTAGGACATCTGCCTGCCA</t>
  </si>
  <si>
    <t xml:space="preserve">PST_4157</t>
  </si>
  <si>
    <t xml:space="preserve">CGGCCAGGTCACCGCAGGTC</t>
  </si>
  <si>
    <t xml:space="preserve">TAGTCGGCCAGGTCACCGCAGGTC</t>
  </si>
  <si>
    <t xml:space="preserve">AAACGACCTGCGGTGACCTGGCCG</t>
  </si>
  <si>
    <t xml:space="preserve">GAGGTTGCGAACACCATCGC</t>
  </si>
  <si>
    <t xml:space="preserve">TAGTGAGGTTGCGAACACCATCGC</t>
  </si>
  <si>
    <t xml:space="preserve">AAACGCGATGGTGTTCGCAACCTC</t>
  </si>
  <si>
    <t xml:space="preserve">CACCCGGTTCGCGGTCGGCC</t>
  </si>
  <si>
    <t xml:space="preserve">TAGTCACCCGGTTCGCGGTCGGCC</t>
  </si>
  <si>
    <t xml:space="preserve">AAACGGCCGACCGCGAACCGGGTG</t>
  </si>
  <si>
    <t xml:space="preserve">CCAGGTCATCGCGCAGCACC</t>
  </si>
  <si>
    <t xml:space="preserve">TAGTCCAGGTCATCGCGCAGCACC</t>
  </si>
  <si>
    <t xml:space="preserve">AAACGGTGCTGCGCGATGACCTGG</t>
  </si>
  <si>
    <t xml:space="preserve">PST_4158</t>
  </si>
  <si>
    <t xml:space="preserve">GAAGGAACCGGTGGGATGCA</t>
  </si>
  <si>
    <t xml:space="preserve">TAGTGAAGGAACCGGTGGGATGCA</t>
  </si>
  <si>
    <t xml:space="preserve">AAACTGCATCCCACCGGTTCCTTC</t>
  </si>
  <si>
    <t xml:space="preserve">CGAAGTTGTTTTCCCGGGTG</t>
  </si>
  <si>
    <t xml:space="preserve">TAGTCGAAGTTGTTTTCCCGGGTG</t>
  </si>
  <si>
    <t xml:space="preserve">AAACCACCCGGGAAAACAACTTCG</t>
  </si>
  <si>
    <t xml:space="preserve">GAGCAGCGGCGAAGAAGCGC</t>
  </si>
  <si>
    <t xml:space="preserve">TAGTGAGCAGCGGCGAAGAAGCGC</t>
  </si>
  <si>
    <t xml:space="preserve">AAACGCGCTTCTTCGCCGCTGCTC</t>
  </si>
  <si>
    <t xml:space="preserve">GCCGACCAGCGGGTAGCTAT</t>
  </si>
  <si>
    <t xml:space="preserve">TAGTGCCGACCAGCGGGTAGCTAT</t>
  </si>
  <si>
    <t xml:space="preserve">AAACATAGCTACCCGCTGGTCGGC</t>
  </si>
  <si>
    <t xml:space="preserve">PST_4159</t>
  </si>
  <si>
    <t xml:space="preserve">GGCGACCGATCCGGCAGTAC</t>
  </si>
  <si>
    <t xml:space="preserve">TAGTGGCGACCGATCCGGCAGTAC</t>
  </si>
  <si>
    <t xml:space="preserve">AAACGTACTGCCGGATCGGTCGCC</t>
  </si>
  <si>
    <t xml:space="preserve">AAGGATGATCAGGGCGCCTC</t>
  </si>
  <si>
    <t xml:space="preserve">TAGTAAGGATGATCAGGGCGCCTC</t>
  </si>
  <si>
    <t xml:space="preserve">AAACGAGGCGCCCTGATCATCCTT</t>
  </si>
  <si>
    <t xml:space="preserve">CTTCCCGAATTGGAGCCGGC</t>
  </si>
  <si>
    <t xml:space="preserve">TAGTCTTCCCGAATTGGAGCCGGC</t>
  </si>
  <si>
    <t xml:space="preserve">AAACGCCGGCTCCAATTCGGGAAG</t>
  </si>
  <si>
    <t xml:space="preserve">GGCTGATCGGGTGAACGCTG</t>
  </si>
  <si>
    <t xml:space="preserve">TAGTGGCTGATCGGGTGAACGCTG</t>
  </si>
  <si>
    <t xml:space="preserve">AAACCAGCGTTCACCCGATCAGCC</t>
  </si>
  <si>
    <t xml:space="preserve">PST_4160</t>
  </si>
  <si>
    <t xml:space="preserve">GCGGTGAATATTTCACGCAT</t>
  </si>
  <si>
    <t xml:space="preserve">TAGTGCGGTGAATATTTCACGCAT</t>
  </si>
  <si>
    <t xml:space="preserve">AAACATGCGTGAAATATTCACCGC</t>
  </si>
  <si>
    <t xml:space="preserve">TGCTTTGCTGGGCTCGACGC</t>
  </si>
  <si>
    <t xml:space="preserve">TAGTTGCTTTGCTGGGCTCGACGC</t>
  </si>
  <si>
    <t xml:space="preserve">AAACGCGTCGAGCCCAGCAAAGCA</t>
  </si>
  <si>
    <t xml:space="preserve">GGCATGCCGGCCGCCTTGGG</t>
  </si>
  <si>
    <t xml:space="preserve">TAGTGGCATGCCGGCCGCCTTGGG</t>
  </si>
  <si>
    <t xml:space="preserve">AAACCCCAAGGCGGCCGGCATGCC</t>
  </si>
  <si>
    <t xml:space="preserve">TTCGTCGGCACTCTCGTCTC</t>
  </si>
  <si>
    <t xml:space="preserve">TAGTTTCGTCGGCACTCTCGTCTC</t>
  </si>
  <si>
    <t xml:space="preserve">AAACGAGACGAGAGTGCCGACGAA</t>
  </si>
  <si>
    <t xml:space="preserve">PST_4161</t>
  </si>
  <si>
    <t xml:space="preserve">ACGGACGCCATCAGGTCGCG</t>
  </si>
  <si>
    <t xml:space="preserve">TAGTACGGACGCCATCAGGTCGCG</t>
  </si>
  <si>
    <t xml:space="preserve">AAACCGCGACCTGATGGCGTCCGT</t>
  </si>
  <si>
    <t xml:space="preserve">TGCACAGCGGCAGTGCCACC</t>
  </si>
  <si>
    <t xml:space="preserve">TAGTTGCACAGCGGCAGTGCCACC</t>
  </si>
  <si>
    <t xml:space="preserve">AAACGGTGGCACTGCCGCTGTGCA</t>
  </si>
  <si>
    <t xml:space="preserve">GGGCGGCAGGCCCGAAGCGA</t>
  </si>
  <si>
    <t xml:space="preserve">TAGTGGGCGGCAGGCCCGAAGCGA</t>
  </si>
  <si>
    <t xml:space="preserve">AAACTCGCTTCGGGCCTGCCGCCC</t>
  </si>
  <si>
    <t xml:space="preserve">CCGGTGATGACGCCCTTGGC</t>
  </si>
  <si>
    <t xml:space="preserve">TAGTCCGGTGATGACGCCCTTGGC</t>
  </si>
  <si>
    <t xml:space="preserve">AAACGCCAAGGGCGTCATCACCGG</t>
  </si>
  <si>
    <t xml:space="preserve">PST_4162</t>
  </si>
  <si>
    <t xml:space="preserve">ATCACCGTGACCGCCATGGC</t>
  </si>
  <si>
    <t xml:space="preserve">TAGTATCACCGTGACCGCCATGGC</t>
  </si>
  <si>
    <t xml:space="preserve">AAACGCCATGGCGGTCACGGTGAT</t>
  </si>
  <si>
    <t xml:space="preserve">CAGCGAGCCGATCAGCCAGG</t>
  </si>
  <si>
    <t xml:space="preserve">TAGTCAGCGAGCCGATCAGCCAGG</t>
  </si>
  <si>
    <t xml:space="preserve">AAACCCTGGCTGATCGGCTCGCTG</t>
  </si>
  <si>
    <t xml:space="preserve">AAGCCGACGAAGCGCCGGTC</t>
  </si>
  <si>
    <t xml:space="preserve">TAGTAAGCCGACGAAGCGCCGGTC</t>
  </si>
  <si>
    <t xml:space="preserve">AAACGACCGGCGCTTCGTCGGCTT</t>
  </si>
  <si>
    <t xml:space="preserve">CCCAGAGCAGGTTGCTCAGC</t>
  </si>
  <si>
    <t xml:space="preserve">TAGTCCCAGAGCAGGTTGCTCAGC</t>
  </si>
  <si>
    <t xml:space="preserve">AAACGCTGAGCAACCTGCTCTGGG</t>
  </si>
  <si>
    <t xml:space="preserve">PST_4163</t>
  </si>
  <si>
    <t xml:space="preserve">coxB</t>
  </si>
  <si>
    <t xml:space="preserve">CGTCCCAGGCCGCCTGGGCC</t>
  </si>
  <si>
    <t xml:space="preserve">TAGTCGTCCCAGGCCGCCTGGGCC</t>
  </si>
  <si>
    <t xml:space="preserve">AAACGGCCCAGGCGGCCTGGGACG</t>
  </si>
  <si>
    <t xml:space="preserve">CCGACTGACGTCGGTGGCGC</t>
  </si>
  <si>
    <t xml:space="preserve">TAGTCCGACTGACGTCGGTGGCGC</t>
  </si>
  <si>
    <t xml:space="preserve">AAACGCGCCACCGACGTCAGTCGG</t>
  </si>
  <si>
    <t xml:space="preserve">GACCACGCAGATCCAGAAGA</t>
  </si>
  <si>
    <t xml:space="preserve">TAGTGACCACGCAGATCCAGAAGA</t>
  </si>
  <si>
    <t xml:space="preserve">AAACTCTTCTGGATCTGCGTGGTC</t>
  </si>
  <si>
    <t xml:space="preserve">ATTGCTGACGCTTGGAGCGG</t>
  </si>
  <si>
    <t xml:space="preserve">TAGTATTGCTGACGCTTGGAGCGG</t>
  </si>
  <si>
    <t xml:space="preserve">AAACCCGCTCCAAGCGTCAGCAAT</t>
  </si>
  <si>
    <t xml:space="preserve">PST_4164</t>
  </si>
  <si>
    <t xml:space="preserve">coxA</t>
  </si>
  <si>
    <t xml:space="preserve">AGGCGCAGAAGCTGAACCAC</t>
  </si>
  <si>
    <t xml:space="preserve">TAGTAGGCGCAGAAGCTGAACCAC</t>
  </si>
  <si>
    <t xml:space="preserve">AAACGTGGTTCAGCTTCTGCGCCT</t>
  </si>
  <si>
    <t xml:space="preserve">CATCGAGCCGCCGAGCAGGA</t>
  </si>
  <si>
    <t xml:space="preserve">TAGTCATCGAGCCGCCGAGCAGGA</t>
  </si>
  <si>
    <t xml:space="preserve">AAACTCCTGCTCGGCGGCTCGATG</t>
  </si>
  <si>
    <t xml:space="preserve">CCGGCTGGAACAGCTCGGCG</t>
  </si>
  <si>
    <t xml:space="preserve">TAGTCCGGCTGGAACAGCTCGGCG</t>
  </si>
  <si>
    <t xml:space="preserve">AAACCGCCGAGCTGTTCCAGCCGG</t>
  </si>
  <si>
    <t xml:space="preserve">GTCATCTGGTTGAAGAATTC</t>
  </si>
  <si>
    <t xml:space="preserve">TAGTGTCATCTGGTTGAAGAATTC</t>
  </si>
  <si>
    <t xml:space="preserve">AAACGAATTCTTCAACCAGATGAC</t>
  </si>
  <si>
    <t xml:space="preserve">PST_4165</t>
  </si>
  <si>
    <t xml:space="preserve">ctaG</t>
  </si>
  <si>
    <t xml:space="preserve">AGTGGACAGGGCCTCGTTCA</t>
  </si>
  <si>
    <t xml:space="preserve">TAGTAGTGGACAGGGCCTCGTTCA</t>
  </si>
  <si>
    <t xml:space="preserve">AAACTGAACGAGGCCCTGTCCACT</t>
  </si>
  <si>
    <t xml:space="preserve">TCACGACGAACACCAGGCGG</t>
  </si>
  <si>
    <t xml:space="preserve">TAGTTCACGACGAACACCAGGCGG</t>
  </si>
  <si>
    <t xml:space="preserve">AAACCCGCCTGGTGTTCGTCGTGA</t>
  </si>
  <si>
    <t xml:space="preserve">CAGGAAGCCGAAGCCGAACA</t>
  </si>
  <si>
    <t xml:space="preserve">TAGTCAGGAAGCCGAAGCCGAACA</t>
  </si>
  <si>
    <t xml:space="preserve">AAACTGTTCGGCTTCGGCTTCCTG</t>
  </si>
  <si>
    <t xml:space="preserve">TGGCACATCACGTCGTAGAT</t>
  </si>
  <si>
    <t xml:space="preserve">TAGTTGGCACATCACGTCGTAGAT</t>
  </si>
  <si>
    <t xml:space="preserve">AAACATCTACGACGTGATGTGCCA</t>
  </si>
  <si>
    <t xml:space="preserve">PST_4166</t>
  </si>
  <si>
    <t xml:space="preserve">coIII</t>
  </si>
  <si>
    <t xml:space="preserve">ACTGCTCGTGGGTGGTCTGT</t>
  </si>
  <si>
    <t xml:space="preserve">TAGTACTGCTCGTGGGTGGTCTGT</t>
  </si>
  <si>
    <t xml:space="preserve">AAACACAGACCACCCACGAGCAGT</t>
  </si>
  <si>
    <t xml:space="preserve">ATCGGCCATTTGCTCTGATC</t>
  </si>
  <si>
    <t xml:space="preserve">TAGTATCGGCCATTTGCTCTGATC</t>
  </si>
  <si>
    <t xml:space="preserve">AAACGATCAGAGCAAATGGCCGAT</t>
  </si>
  <si>
    <t xml:space="preserve">GAAGGTGACCAGCAGGGCGA</t>
  </si>
  <si>
    <t xml:space="preserve">TAGTGAAGGTGACCAGCAGGGCGA</t>
  </si>
  <si>
    <t xml:space="preserve">AAACTCGCCCTGCTGGTCACCTTC</t>
  </si>
  <si>
    <t xml:space="preserve">GGTCGTTGAACCAGCTGCCC</t>
  </si>
  <si>
    <t xml:space="preserve">TAGTGGTCGTTGAACCAGCTGCCC</t>
  </si>
  <si>
    <t xml:space="preserve">AAACGGGCAGCTGGTTCAACGACC</t>
  </si>
  <si>
    <t xml:space="preserve">PST_4167</t>
  </si>
  <si>
    <t xml:space="preserve">ACTGAACAGACTGACCAGCG</t>
  </si>
  <si>
    <t xml:space="preserve">TAGTACTGAACAGACTGACCAGCG</t>
  </si>
  <si>
    <t xml:space="preserve">AAACCGCTGGTCAGTCTGTTCAGT</t>
  </si>
  <si>
    <t xml:space="preserve">TACGCCCCTCATCCCTGACC</t>
  </si>
  <si>
    <t xml:space="preserve">TAGTTACGCCCCTCATCCCTGACC</t>
  </si>
  <si>
    <t xml:space="preserve">AAACGGTCAGGGATGAGGGGCGTA</t>
  </si>
  <si>
    <t xml:space="preserve">CAGGGCCGTGATCACGCGGG</t>
  </si>
  <si>
    <t xml:space="preserve">TAGTCAGGGCCGTGATCACGCGGG</t>
  </si>
  <si>
    <t xml:space="preserve">AAACCCCGCGTGATCACGGCCCTG</t>
  </si>
  <si>
    <t xml:space="preserve">TCAGCGCGCTGAGGGTGACG</t>
  </si>
  <si>
    <t xml:space="preserve">TAGTTCAGCGCGCTGAGGGTGACG</t>
  </si>
  <si>
    <t xml:space="preserve">AAACCGTCACCCTCAGCGCGCTGA</t>
  </si>
  <si>
    <t xml:space="preserve">PST_4168</t>
  </si>
  <si>
    <t xml:space="preserve">CCCCGGCCTGAAGCCGCTCA</t>
  </si>
  <si>
    <t xml:space="preserve">TAGTCCCCGGCCTGAAGCCGCTCA</t>
  </si>
  <si>
    <t xml:space="preserve">AAACTGAGCGGCTTCAGGCCGGGG</t>
  </si>
  <si>
    <t xml:space="preserve">ATGGCCAGTACCAGCAGGGT</t>
  </si>
  <si>
    <t xml:space="preserve">TAGTATGGCCAGTACCAGCAGGGT</t>
  </si>
  <si>
    <t xml:space="preserve">AAACACCCTGCTGGTACTGGCCAT</t>
  </si>
  <si>
    <t xml:space="preserve">AAACCCAGCCACACCAGTAC</t>
  </si>
  <si>
    <t xml:space="preserve">TAGTAAACCCAGCCACACCAGTAC</t>
  </si>
  <si>
    <t xml:space="preserve">AAACGTACTGGTGTGGCTGGGTTT</t>
  </si>
  <si>
    <t xml:space="preserve">CGGCCTGCTGACGGGCTTGC</t>
  </si>
  <si>
    <t xml:space="preserve">TAGTCGGCCTGCTGACGGGCTTGC</t>
  </si>
  <si>
    <t xml:space="preserve">AAACGCAAGCCCGTCAGCAGGCCG</t>
  </si>
  <si>
    <t xml:space="preserve">PST_4169</t>
  </si>
  <si>
    <t xml:space="preserve">GCAGCAGTTGCAGCCGACCG</t>
  </si>
  <si>
    <t xml:space="preserve">TAGTGCAGCAGTTGCAGCCGACCG</t>
  </si>
  <si>
    <t xml:space="preserve">AAACCGGTCGGCTGCAACTGCTGC</t>
  </si>
  <si>
    <t xml:space="preserve">TGGCCGAAGCCAGCAGCATC</t>
  </si>
  <si>
    <t xml:space="preserve">TAGTTGGCCGAAGCCAGCAGCATC</t>
  </si>
  <si>
    <t xml:space="preserve">AAACGATGCTGCTGGCTTCGGCCA</t>
  </si>
  <si>
    <t xml:space="preserve">CCAGAAGCCGAAACGGTACA</t>
  </si>
  <si>
    <t xml:space="preserve">TAGTCCAGAAGCCGAAACGGTACA</t>
  </si>
  <si>
    <t xml:space="preserve">AAACTGTACCGTTTCGGCTTCTGG</t>
  </si>
  <si>
    <t xml:space="preserve">CCGTCATAGCTGCGGCTTTC</t>
  </si>
  <si>
    <t xml:space="preserve">TAGTCCGTCATAGCTGCGGCTTTC</t>
  </si>
  <si>
    <t xml:space="preserve">AAACGAAAGCCGCAGCTATGACGG</t>
  </si>
  <si>
    <t xml:space="preserve">PST_4170</t>
  </si>
  <si>
    <t xml:space="preserve">CGGTATCCGGGTCTGGCCAT</t>
  </si>
  <si>
    <t xml:space="preserve">TAGTCGGTATCCGGGTCTGGCCAT</t>
  </si>
  <si>
    <t xml:space="preserve">AAACATGGCCAGACCCGGATACCG</t>
  </si>
  <si>
    <t xml:space="preserve">CGGTGGCGATCAGGGCGAGG</t>
  </si>
  <si>
    <t xml:space="preserve">TAGTCGGTGGCGATCAGGGCGAGG</t>
  </si>
  <si>
    <t xml:space="preserve">AAACCCTCGCCCTGATCGCCACCG</t>
  </si>
  <si>
    <t xml:space="preserve">CACGACCACCACGGCCAGCG</t>
  </si>
  <si>
    <t xml:space="preserve">TAGTCACGACCACCACGGCCAGCG</t>
  </si>
  <si>
    <t xml:space="preserve">AAACCGCTGGCCGTGGTGGTCGTG</t>
  </si>
  <si>
    <t xml:space="preserve">GGCGTGGGTCAGCCGCGTGT</t>
  </si>
  <si>
    <t xml:space="preserve">TAGTGGCGTGGGTCAGCCGCGTGT</t>
  </si>
  <si>
    <t xml:space="preserve">AAACACACGCGGCTGACCCACGCC</t>
  </si>
  <si>
    <t xml:space="preserve">PST_4171</t>
  </si>
  <si>
    <t xml:space="preserve">cyoE-1</t>
  </si>
  <si>
    <t xml:space="preserve">TCGCTGAGTAGAGTCGCCAT</t>
  </si>
  <si>
    <t xml:space="preserve">TAGTTCGCTGAGTAGAGTCGCCAT</t>
  </si>
  <si>
    <t xml:space="preserve">AAACATGGCGACTCTACTCAGCGA</t>
  </si>
  <si>
    <t xml:space="preserve">CTCCAGGTAGTCGCGCCAGC</t>
  </si>
  <si>
    <t xml:space="preserve">TAGTCTCCAGGTAGTCGCGCCAGC</t>
  </si>
  <si>
    <t xml:space="preserve">AAACGCTGGCGCGACTACCTGGAG</t>
  </si>
  <si>
    <t xml:space="preserve">CAGCAGCACCACCTTCGGCT</t>
  </si>
  <si>
    <t xml:space="preserve">TAGTCAGCAGCACCACCTTCGGCT</t>
  </si>
  <si>
    <t xml:space="preserve">AAACAGCCGAAGGTGGTGCTGCTG</t>
  </si>
  <si>
    <t xml:space="preserve">GAGGAACATGCCCACCAGCG</t>
  </si>
  <si>
    <t xml:space="preserve">TAGTGAGGAACATGCCCACCAGCG</t>
  </si>
  <si>
    <t xml:space="preserve">AAACCGCTGGTGGGCATGTTCCTC</t>
  </si>
  <si>
    <t xml:space="preserve">PST_4172</t>
  </si>
  <si>
    <t xml:space="preserve">GAAGACGGTTTTCTGGATGC</t>
  </si>
  <si>
    <t xml:space="preserve">TAGTGAAGACGGTTTTCTGGATGC</t>
  </si>
  <si>
    <t xml:space="preserve">AAACGCATCCAGAAAACCGTCTTC</t>
  </si>
  <si>
    <t xml:space="preserve">CCAGCGCGATCAGCGCAACG</t>
  </si>
  <si>
    <t xml:space="preserve">TAGTCCAGCGCGATCAGCGCAACG</t>
  </si>
  <si>
    <t xml:space="preserve">AAACCGTTGCGCTGATCGCGCTGG</t>
  </si>
  <si>
    <t xml:space="preserve">GGGTGGGGTCGAGCTGGCGC</t>
  </si>
  <si>
    <t xml:space="preserve">TAGTGGGTGGGGTCGAGCTGGCGC</t>
  </si>
  <si>
    <t xml:space="preserve">AAACGCGCCAGCTCGACCCCACCC</t>
  </si>
  <si>
    <t xml:space="preserve">GATGCCGGCATCCAGCAGCT</t>
  </si>
  <si>
    <t xml:space="preserve">TAGTGATGCCGGCATCCAGCAGCT</t>
  </si>
  <si>
    <t xml:space="preserve">AAACAGCTGCTGGATGCCGGCATC</t>
  </si>
  <si>
    <t xml:space="preserve">PST_4173</t>
  </si>
  <si>
    <t xml:space="preserve">ACAAGAATCGAACGCATCGT</t>
  </si>
  <si>
    <t xml:space="preserve">TAGTACAAGAATCGAACGCATCGT</t>
  </si>
  <si>
    <t xml:space="preserve">AAACACGATGCGTTCGATTCTTGT</t>
  </si>
  <si>
    <t xml:space="preserve">CCAGGCCGATGTAGCGGTGC</t>
  </si>
  <si>
    <t xml:space="preserve">TAGTCCAGGCCGATGTAGCGGTGC</t>
  </si>
  <si>
    <t xml:space="preserve">AAACGCACCGCTACATCGGCCTGG</t>
  </si>
  <si>
    <t xml:space="preserve">GAGAAACAGGAAGATCGCCG</t>
  </si>
  <si>
    <t xml:space="preserve">TAGTGAGAAACAGGAAGATCGCCG</t>
  </si>
  <si>
    <t xml:space="preserve">AAACCGGCGATCTTCCTGTTTCTC</t>
  </si>
  <si>
    <t xml:space="preserve">CAGGATGCTGCCGGTAATGC</t>
  </si>
  <si>
    <t xml:space="preserve">TAGTCAGGATGCTGCCGGTAATGC</t>
  </si>
  <si>
    <t xml:space="preserve">AAACGCATTACCGGCAGCATCCTG</t>
  </si>
  <si>
    <t xml:space="preserve">PST_4174</t>
  </si>
  <si>
    <t xml:space="preserve">GGCAAGGCGGTCGAGCGCAT</t>
  </si>
  <si>
    <t xml:space="preserve">TAGTGGCAAGGCGGTCGAGCGCAT</t>
  </si>
  <si>
    <t xml:space="preserve">AAACATGCGCTCGACCGCCTTGCC</t>
  </si>
  <si>
    <t xml:space="preserve">CGGGAACGGTCGGGAAGGAA</t>
  </si>
  <si>
    <t xml:space="preserve">TAGTCGGGAACGGTCGGGAAGGAA</t>
  </si>
  <si>
    <t xml:space="preserve">AAACTTCCTTCCCGACCGTTCCCG</t>
  </si>
  <si>
    <t xml:space="preserve">GGATACCCAGCGCCAGGGCA</t>
  </si>
  <si>
    <t xml:space="preserve">TAGTGGATACCCAGCGCCAGGGCA</t>
  </si>
  <si>
    <t xml:space="preserve">AAACTGCCCTGGCGCTGGGTATCC</t>
  </si>
  <si>
    <t xml:space="preserve">GCAGGCACAGCAGCGCGGCG</t>
  </si>
  <si>
    <t xml:space="preserve">TAGTGCAGGCACAGCAGCGCGGCG</t>
  </si>
  <si>
    <t xml:space="preserve">AAACCGCCGCGCTGCTGTGCCTGC</t>
  </si>
  <si>
    <t xml:space="preserve">PST_4175</t>
  </si>
  <si>
    <t xml:space="preserve">CGGCAGCCTGCTGCAACACG</t>
  </si>
  <si>
    <t xml:space="preserve">TAGTCGGCAGCCTGCTGCAACACG</t>
  </si>
  <si>
    <t xml:space="preserve">AAACCGTGTTGCAGCAGGCTGCCG</t>
  </si>
  <si>
    <t xml:space="preserve">CTGCAGCAGGGCGAACCATT</t>
  </si>
  <si>
    <t xml:space="preserve">TAGTCTGCAGCAGGGCGAACCATT</t>
  </si>
  <si>
    <t xml:space="preserve">AAACAATGGTTCGCCCTGCTGCAG</t>
  </si>
  <si>
    <t xml:space="preserve">CTCGCTGGCGCTGACCGAGC</t>
  </si>
  <si>
    <t xml:space="preserve">TAGTCTCGCTGGCGCTGACCGAGC</t>
  </si>
  <si>
    <t xml:space="preserve">AAACGCTCGGTCAGCGCCAGCGAG</t>
  </si>
  <si>
    <t xml:space="preserve">CCAGCCATGCCGCCCACGCG</t>
  </si>
  <si>
    <t xml:space="preserve">TAGTCCAGCCATGCCGCCCACGCG</t>
  </si>
  <si>
    <t xml:space="preserve">AAACCGCGTGGGCGGCATGGCTGG</t>
  </si>
  <si>
    <t xml:space="preserve">PST_4176</t>
  </si>
  <si>
    <t xml:space="preserve">GCCAGCCATTCAACCAGCCG</t>
  </si>
  <si>
    <t xml:space="preserve">TAGTGCCAGCCATTCAACCAGCCG</t>
  </si>
  <si>
    <t xml:space="preserve">AAACCGGCTGGTTGAATGGCTGGC</t>
  </si>
  <si>
    <t xml:space="preserve">GCTGACTACAGCCGAGCTGA</t>
  </si>
  <si>
    <t xml:space="preserve">TAGTGCTGACTACAGCCGAGCTGA</t>
  </si>
  <si>
    <t xml:space="preserve">AAACTCAGCTCGGCTGTAGTCAGC</t>
  </si>
  <si>
    <t xml:space="preserve">GAAGGTGTCCTGCGCGAGGT</t>
  </si>
  <si>
    <t xml:space="preserve">TAGTGAAGGTGTCCTGCGCGAGGT</t>
  </si>
  <si>
    <t xml:space="preserve">AAACACCTCGCGCAGGACACCTTC</t>
  </si>
  <si>
    <t xml:space="preserve">GCAGATAGGCCCGGGGTTCG</t>
  </si>
  <si>
    <t xml:space="preserve">TAGTGCAGATAGGCCCGGGGTTCG</t>
  </si>
  <si>
    <t xml:space="preserve">AAACCGAACCCCGGGCCTATCTGC</t>
  </si>
  <si>
    <t xml:space="preserve">PST_4177</t>
  </si>
  <si>
    <t xml:space="preserve">CAGGCGCGGCAGATAGGTCA</t>
  </si>
  <si>
    <t xml:space="preserve">TAGTCAGGCGCGGCAGATAGGTCA</t>
  </si>
  <si>
    <t xml:space="preserve">AAACTGACCTATCTGCCGCGCCTG</t>
  </si>
  <si>
    <t xml:space="preserve">CAGCGACAGGAGGGAGAGGG</t>
  </si>
  <si>
    <t xml:space="preserve">TAGTCAGCGACAGGAGGGAGAGGG</t>
  </si>
  <si>
    <t xml:space="preserve">AAACCCCTCTCCCTCCTGTCGCTG</t>
  </si>
  <si>
    <t xml:space="preserve">ATCTTCGGTTGCGCATGCGC</t>
  </si>
  <si>
    <t xml:space="preserve">TAGTATCTTCGGTTGCGCATGCGC</t>
  </si>
  <si>
    <t xml:space="preserve">AAACGCGCATGCGCAACCGAAGAT</t>
  </si>
  <si>
    <t xml:space="preserve">TGAATTCCCACAGGCCGGGG</t>
  </si>
  <si>
    <t xml:space="preserve">TAGTTGAATTCCCACAGGCCGGGG</t>
  </si>
  <si>
    <t xml:space="preserve">AAACCCCCGGCCTGTGGGAATTCA</t>
  </si>
  <si>
    <t xml:space="preserve">PST_4178</t>
  </si>
  <si>
    <t xml:space="preserve">CACAGCAGGGTCAGCAAGAT</t>
  </si>
  <si>
    <t xml:space="preserve">TAGTCACAGCAGGGTCAGCAAGAT</t>
  </si>
  <si>
    <t xml:space="preserve">AAACATCTTGCTGACCCTGCTGTG</t>
  </si>
  <si>
    <t xml:space="preserve">GATGACGCAGGCTTCGGCCA</t>
  </si>
  <si>
    <t xml:space="preserve">TAGTGATGACGCAGGCTTCGGCCA</t>
  </si>
  <si>
    <t xml:space="preserve">AAACTGGCCGAAGCCTGCGTCATC</t>
  </si>
  <si>
    <t xml:space="preserve">CCACCCGATCGTCATGGCTG</t>
  </si>
  <si>
    <t xml:space="preserve">TAGTCCACCCGATCGTCATGGCTG</t>
  </si>
  <si>
    <t xml:space="preserve">AAACCAGCCATGACGATCGGGTGG</t>
  </si>
  <si>
    <t xml:space="preserve">TGGGTATGTTGCCGTTGGCC</t>
  </si>
  <si>
    <t xml:space="preserve">TAGTTGGGTATGTTGCCGTTGGCC</t>
  </si>
  <si>
    <t xml:space="preserve">AAACGGCCAACGGCAACATACCCA</t>
  </si>
  <si>
    <t xml:space="preserve">PST_4179</t>
  </si>
  <si>
    <t xml:space="preserve">CTGTTCGAGCATGGTGGCTA</t>
  </si>
  <si>
    <t xml:space="preserve">TAGTCTGTTCGAGCATGGTGGCTA</t>
  </si>
  <si>
    <t xml:space="preserve">AAACTAGCCACCATGCTCGAACAG</t>
  </si>
  <si>
    <t xml:space="preserve">GGCCGCCGACCAGATGAGTG</t>
  </si>
  <si>
    <t xml:space="preserve">TAGTGGCCGCCGACCAGATGAGTG</t>
  </si>
  <si>
    <t xml:space="preserve">AAACCACTCATCTGGTCGGCGGCC</t>
  </si>
  <si>
    <t xml:space="preserve">TGGTCTTGCCGGCGCCCAGC</t>
  </si>
  <si>
    <t xml:space="preserve">TAGTTGGTCTTGCCGGCGCCCAGC</t>
  </si>
  <si>
    <t xml:space="preserve">AAACGCTGGGCGCCGGCAAGACCA</t>
  </si>
  <si>
    <t xml:space="preserve">CAGCAGCTGGCGGATCAGGC</t>
  </si>
  <si>
    <t xml:space="preserve">TAGTCAGCAGCTGGCGGATCAGGC</t>
  </si>
  <si>
    <t xml:space="preserve">AAACGCCTGATCCGCCAGCTGCTG</t>
  </si>
  <si>
    <t xml:space="preserve">PST_4180</t>
  </si>
  <si>
    <t xml:space="preserve">CAGATTACCCAGCGTCAGCA</t>
  </si>
  <si>
    <t xml:space="preserve">TAGTCAGATTACCCAGCGTCAGCA</t>
  </si>
  <si>
    <t xml:space="preserve">AAACTGCTGACGCTGGGTAATCTG</t>
  </si>
  <si>
    <t xml:space="preserve">CGGCGGCCAGCAACATGAAC</t>
  </si>
  <si>
    <t xml:space="preserve">TAGTCGGCGGCCAGCAACATGAAC</t>
  </si>
  <si>
    <t xml:space="preserve">AAACGTTCATGTTGCTGGCCGCCG</t>
  </si>
  <si>
    <t xml:space="preserve">ATGCCAGAGCCAGGCGCCTG</t>
  </si>
  <si>
    <t xml:space="preserve">TAGTATGCCAGAGCCAGGCGCCTG</t>
  </si>
  <si>
    <t xml:space="preserve">AAACCAGGCGCCTGGCTCTGGCAT</t>
  </si>
  <si>
    <t xml:space="preserve">GGCACGCTCGCGAATGCCAT</t>
  </si>
  <si>
    <t xml:space="preserve">TAGTGGCACGCTCGCGAATGCCAT</t>
  </si>
  <si>
    <t xml:space="preserve">AAACATGGCATTCGCGAGCGTGCC</t>
  </si>
  <si>
    <t xml:space="preserve">PST_4181</t>
  </si>
  <si>
    <t xml:space="preserve">AGCTCCAGCGGCACCGGAAC</t>
  </si>
  <si>
    <t xml:space="preserve">TAGTAGCTCCAGCGGCACCGGAAC</t>
  </si>
  <si>
    <t xml:space="preserve">AAACGTTCCGGTGCCGCTGGAGCT</t>
  </si>
  <si>
    <t xml:space="preserve">TCCACCAGCAGATCGTCGTC</t>
  </si>
  <si>
    <t xml:space="preserve">TAGTTCCACCAGCAGATCGTCGTC</t>
  </si>
  <si>
    <t xml:space="preserve">AAACGACGACGATCTGCTGGTGGA</t>
  </si>
  <si>
    <t xml:space="preserve">AGGAATTCGCGCAGGCCGAA</t>
  </si>
  <si>
    <t xml:space="preserve">TAGTAGGAATTCGCGCAGGCCGAA</t>
  </si>
  <si>
    <t xml:space="preserve">AAACTTCGGCCTGCGCGAATTCCT</t>
  </si>
  <si>
    <t xml:space="preserve">TGACATCGCTGACCTGCAGG</t>
  </si>
  <si>
    <t xml:space="preserve">TAGTTGACATCGCTGACCTGCAGG</t>
  </si>
  <si>
    <t xml:space="preserve">AAACCCTGCAGGTCAGCGATGTCA</t>
  </si>
  <si>
    <t xml:space="preserve">PST_4182</t>
  </si>
  <si>
    <t xml:space="preserve">CTCGAGCAGGTCCTGGGCTT</t>
  </si>
  <si>
    <t xml:space="preserve">TAGTCTCGAGCAGGTCCTGGGCTT</t>
  </si>
  <si>
    <t xml:space="preserve">AAACAAGCCCAGGACCTGCTCGAG</t>
  </si>
  <si>
    <t xml:space="preserve">GGATGGGCTCATCGGCACAT</t>
  </si>
  <si>
    <t xml:space="preserve">TAGTGGATGGGCTCATCGGCACAT</t>
  </si>
  <si>
    <t xml:space="preserve">AAACATGTGCCGATGAGCCCATCC</t>
  </si>
  <si>
    <t xml:space="preserve">GCTGGATGCTGCCCGGAATA</t>
  </si>
  <si>
    <t xml:space="preserve">TAGTGCTGGATGCTGCCCGGAATA</t>
  </si>
  <si>
    <t xml:space="preserve">AAACTATTCCGGGCAGCATCCAGC</t>
  </si>
  <si>
    <t xml:space="preserve">ACCACCAGCAGGAAGCCGTG</t>
  </si>
  <si>
    <t xml:space="preserve">TAGTACCACCAGCAGGAAGCCGTG</t>
  </si>
  <si>
    <t xml:space="preserve">AAACCACGGCTTCCTGCTGGTGGT</t>
  </si>
  <si>
    <t xml:space="preserve">PST_4183</t>
  </si>
  <si>
    <t xml:space="preserve">TTGTCCTCCACCAGCAGTAT</t>
  </si>
  <si>
    <t xml:space="preserve">TAGTTTGTCCTCCACCAGCAGTAT</t>
  </si>
  <si>
    <t xml:space="preserve">AAACATACTGCTGGTGGAGGACAA</t>
  </si>
  <si>
    <t xml:space="preserve">GCGTCAGTTCCAGGTCGTGG</t>
  </si>
  <si>
    <t xml:space="preserve">TAGTGCGTCAGTTCCAGGTCGTGG</t>
  </si>
  <si>
    <t xml:space="preserve">AAACCCACGACCTGGAACTGACGC</t>
  </si>
  <si>
    <t xml:space="preserve">TGGCCAGCTGGCTGCGCTCC</t>
  </si>
  <si>
    <t xml:space="preserve">TAGTTGGCCAGCTGGCTGCGCTCC</t>
  </si>
  <si>
    <t xml:space="preserve">AAACGGAGCGCAGCCAGCTGGCCA</t>
  </si>
  <si>
    <t xml:space="preserve">TCGCATCACCACCACGTCGT</t>
  </si>
  <si>
    <t xml:space="preserve">TAGTTCGCATCACCACCACGTCGT</t>
  </si>
  <si>
    <t xml:space="preserve">AAACACGACGTGGTGGTGATGCGA</t>
  </si>
  <si>
    <t xml:space="preserve">PST_4184</t>
  </si>
  <si>
    <t xml:space="preserve">ACACTGATGTTCTTTGACGC</t>
  </si>
  <si>
    <t xml:space="preserve">TAGTACACTGATGTTCTTTGACGC</t>
  </si>
  <si>
    <t xml:space="preserve">AAACGCGTCAAAGAACATCAGTGT</t>
  </si>
  <si>
    <t xml:space="preserve">GCCGGCTGTCCTCGATGAAC</t>
  </si>
  <si>
    <t xml:space="preserve">TAGTGCCGGCTGTCCTCGATGAAC</t>
  </si>
  <si>
    <t xml:space="preserve">AAACGTTCATCGAGGACAGCCGGC</t>
  </si>
  <si>
    <t xml:space="preserve">ACTGCGCTCCAGCGCCAGCT</t>
  </si>
  <si>
    <t xml:space="preserve">TAGTACTGCGCTCCAGCGCCAGCT</t>
  </si>
  <si>
    <t xml:space="preserve">AAACAGCTGGCGCTGGAGCGCAGT</t>
  </si>
  <si>
    <t xml:space="preserve">GTAGACCAGCTCCGTCTGCA</t>
  </si>
  <si>
    <t xml:space="preserve">TAGTGTAGACCAGCTCCGTCTGCA</t>
  </si>
  <si>
    <t xml:space="preserve">AAACTGCAGACGGAGCTGGTCTAC</t>
  </si>
  <si>
    <t xml:space="preserve">PST_4185</t>
  </si>
  <si>
    <t xml:space="preserve">GCGGCGCCGTAGCCTGCCGC</t>
  </si>
  <si>
    <t xml:space="preserve">TAGTGCGGCGCCGTAGCCTGCCGC</t>
  </si>
  <si>
    <t xml:space="preserve">AAACGCGGCAGGCTACGGCGCCGC</t>
  </si>
  <si>
    <t xml:space="preserve">CTGCAGATCGAAGCCCGAGA</t>
  </si>
  <si>
    <t xml:space="preserve">TAGTCTGCAGATCGAAGCCCGAGA</t>
  </si>
  <si>
    <t xml:space="preserve">AAACTCTCGGGCTTCGATCTGCAG</t>
  </si>
  <si>
    <t xml:space="preserve">GAAAGCGGCGGTAATCGTCC</t>
  </si>
  <si>
    <t xml:space="preserve">TAGTGAAAGCGGCGGTAATCGTCC</t>
  </si>
  <si>
    <t xml:space="preserve">AAACGGACGATTACCGCCGCTTTC</t>
  </si>
  <si>
    <t xml:space="preserve">GGCGCAGAGCACCCGATAGT</t>
  </si>
  <si>
    <t xml:space="preserve">TAGTGGCGCAGAGCACCCGATAGT</t>
  </si>
  <si>
    <t xml:space="preserve">AAACACTATCGGGTGCTCTGCGCC</t>
  </si>
  <si>
    <t xml:space="preserve">PST_4186</t>
  </si>
  <si>
    <t xml:space="preserve">glmS</t>
  </si>
  <si>
    <t xml:space="preserve">AATTGCGGTGATGTTGCGTT</t>
  </si>
  <si>
    <t xml:space="preserve">TAGTAATTGCGGTGATGTTGCGTT</t>
  </si>
  <si>
    <t xml:space="preserve">AAACAACGCAACATCACCGCAATT</t>
  </si>
  <si>
    <t xml:space="preserve">CACGGTATTCCAGGCGCTTG</t>
  </si>
  <si>
    <t xml:space="preserve">TAGTCACGGTATTCCAGGCGCTTG</t>
  </si>
  <si>
    <t xml:space="preserve">AAACCAAGCGCCTGGAATACCGTG</t>
  </si>
  <si>
    <t xml:space="preserve">GTCGCTCAGCACGGCGACAC</t>
  </si>
  <si>
    <t xml:space="preserve">TAGTGTCGCTCAGCACGGCGACAC</t>
  </si>
  <si>
    <t xml:space="preserve">AAACGTGTCGCCGTGCTGAGCGAC</t>
  </si>
  <si>
    <t xml:space="preserve">CTGCTGAGCCGTTTCCAGTT</t>
  </si>
  <si>
    <t xml:space="preserve">TAGTCTGCTGAGCCGTTTCCAGTT</t>
  </si>
  <si>
    <t xml:space="preserve">AAACAACTGGAAACGGCTCAGCAG</t>
  </si>
  <si>
    <t xml:space="preserve">PST_4187</t>
  </si>
  <si>
    <t xml:space="preserve">AGGATGGCATGACGGCGTTG</t>
  </si>
  <si>
    <t xml:space="preserve">TAGTAGGATGGCATGACGGCGTTG</t>
  </si>
  <si>
    <t xml:space="preserve">AAACCAACGCCGTCATGCCATCCT</t>
  </si>
  <si>
    <t xml:space="preserve">CCTCGCCGCGCTCGTTGAGC</t>
  </si>
  <si>
    <t xml:space="preserve">TAGTCCTCGCCGCGCTCGTTGAGC</t>
  </si>
  <si>
    <t xml:space="preserve">AAACGCTCAACGAGCGCGGCGAGG</t>
  </si>
  <si>
    <t xml:space="preserve">GTCCTTGCGGATCGTGACCT</t>
  </si>
  <si>
    <t xml:space="preserve">TAGTGTCCTTGCGGATCGTGACCT</t>
  </si>
  <si>
    <t xml:space="preserve">AAACAGGTCACGATCCGCAAGGAC</t>
  </si>
  <si>
    <t xml:space="preserve">CGTTCTTTTCCAGAGCGGCG</t>
  </si>
  <si>
    <t xml:space="preserve">TAGTCGTTCTTTTCCAGAGCGGCG</t>
  </si>
  <si>
    <t xml:space="preserve">AAACCGCCGCTCTGGAAAAGAACG</t>
  </si>
  <si>
    <t xml:space="preserve">PST_4188</t>
  </si>
  <si>
    <t xml:space="preserve">CACCACGAAAGCGCCGTAGT</t>
  </si>
  <si>
    <t xml:space="preserve">TAGTCACCACGAAAGCGCCGTAGT</t>
  </si>
  <si>
    <t xml:space="preserve">AAACACTACGGCGCTTTCGTGGTG</t>
  </si>
  <si>
    <t xml:space="preserve">AATGGCGAGAAGGATGATGA</t>
  </si>
  <si>
    <t xml:space="preserve">TAGTAATGGCGAGAAGGATGATGA</t>
  </si>
  <si>
    <t xml:space="preserve">AAACTCATCATCCTTCTCGCCATT</t>
  </si>
  <si>
    <t xml:space="preserve">AGCGCGAGATTGCCCGGCCC</t>
  </si>
  <si>
    <t xml:space="preserve">TAGTAGCGCGAGATTGCCCGGCCC</t>
  </si>
  <si>
    <t xml:space="preserve">AAACGGGCCGGGCAATCTCGCGCT</t>
  </si>
  <si>
    <t xml:space="preserve">CGCCACCCTTGCCGGTCGAG</t>
  </si>
  <si>
    <t xml:space="preserve">TAGTCGCCACCCTTGCCGGTCGAG</t>
  </si>
  <si>
    <t xml:space="preserve">AAACCTCGACCGGCAAGGGTGGCG</t>
  </si>
  <si>
    <t xml:space="preserve">PST_4189</t>
  </si>
  <si>
    <t xml:space="preserve">glmU</t>
  </si>
  <si>
    <t xml:space="preserve">GGCGAGAATGACGATATCGA</t>
  </si>
  <si>
    <t xml:space="preserve">TAGTGGCGAGAATGACGATATCGA</t>
  </si>
  <si>
    <t xml:space="preserve">AAACTCGATATCGTCATTCTCGCC</t>
  </si>
  <si>
    <t xml:space="preserve">CATGCGGGTGCCCTGTCCGG</t>
  </si>
  <si>
    <t xml:space="preserve">TAGTCATGCGGGTGCCCTGTCCGG</t>
  </si>
  <si>
    <t xml:space="preserve">AAACCCGGACAGGGCACCCGCATG</t>
  </si>
  <si>
    <t xml:space="preserve">GCGACCGGATGCAGCACCTT</t>
  </si>
  <si>
    <t xml:space="preserve">TAGTGCGACCGGATGCAGCACCTT</t>
  </si>
  <si>
    <t xml:space="preserve">AAACAAGGTGCTGCATCCGGTCGC</t>
  </si>
  <si>
    <t xml:space="preserve">GTGGCCAAGCATGGACTGGC</t>
  </si>
  <si>
    <t xml:space="preserve">TAGTGTGGCCAAGCATGGACTGGC</t>
  </si>
  <si>
    <t xml:space="preserve">AAACGCCAGTCCATGCTTGGCCAC</t>
  </si>
  <si>
    <t xml:space="preserve">PST_4190</t>
  </si>
  <si>
    <t xml:space="preserve">atpC</t>
  </si>
  <si>
    <t xml:space="preserve">CCGCACTGACGATGTCGCAA</t>
  </si>
  <si>
    <t xml:space="preserve">TAGTCCGCACTGACGATGTCGCAA</t>
  </si>
  <si>
    <t xml:space="preserve">AAACTTGCGACATCGTCAGTGCGG</t>
  </si>
  <si>
    <t xml:space="preserve">GATGTCACCAAGGTTTCCGT</t>
  </si>
  <si>
    <t xml:space="preserve">TAGTGATGTCACCAAGGTTTCCGT</t>
  </si>
  <si>
    <t xml:space="preserve">AAACACGGAAACCTTGGTGACATC</t>
  </si>
  <si>
    <t xml:space="preserve">GCAGCGGCGCGTGACCCGGC</t>
  </si>
  <si>
    <t xml:space="preserve">TAGTGCAGCGGCGCGTGACCCGGC</t>
  </si>
  <si>
    <t xml:space="preserve">AAACGCCGGGTCACGCGCCGCTGC</t>
  </si>
  <si>
    <t xml:space="preserve">CACCGGACCGGGCTTGAGAT</t>
  </si>
  <si>
    <t xml:space="preserve">TAGTCACCGGACCGGGCTTGAGAT</t>
  </si>
  <si>
    <t xml:space="preserve">AAACATCTCAAGCCCGGTCCGGTG</t>
  </si>
  <si>
    <t xml:space="preserve">PST_4191</t>
  </si>
  <si>
    <t xml:space="preserve">atpD</t>
  </si>
  <si>
    <t xml:space="preserve">CGGAAATTCCACGTCGATAA</t>
  </si>
  <si>
    <t xml:space="preserve">TAGTCGGAAATTCCACGTCGATAA</t>
  </si>
  <si>
    <t xml:space="preserve">AAACTTATCGACGTGGAATTTCCG</t>
  </si>
  <si>
    <t xml:space="preserve">ACGTTCGGTACCAGATCGCG</t>
  </si>
  <si>
    <t xml:space="preserve">TAGTACGTTCGGTACCAGATCGCG</t>
  </si>
  <si>
    <t xml:space="preserve">AAACCGCGATCTGGTACCGAACGT</t>
  </si>
  <si>
    <t xml:space="preserve">CTGGACTTCCAGGGTGGTCT</t>
  </si>
  <si>
    <t xml:space="preserve">TAGTCTGGACTTCCAGGGTGGTCT</t>
  </si>
  <si>
    <t xml:space="preserve">AAACAGACCACCCTGGAAGTCCAG</t>
  </si>
  <si>
    <t xml:space="preserve">TCGAACCCATGGCGATGGTA</t>
  </si>
  <si>
    <t xml:space="preserve">TAGTTCGAACCCATGGCGATGGTA</t>
  </si>
  <si>
    <t xml:space="preserve">AAACTACCATCGCCATGGGTTCGA</t>
  </si>
  <si>
    <t xml:space="preserve">PST_4192</t>
  </si>
  <si>
    <t xml:space="preserve">atpG</t>
  </si>
  <si>
    <t xml:space="preserve">CGCCACCTTTTCCATGGCGC</t>
  </si>
  <si>
    <t xml:space="preserve">TAGTCGCCACCTTTTCCATGGCGC</t>
  </si>
  <si>
    <t xml:space="preserve">AAACGCGCCATGGAAAAGGTGGCG</t>
  </si>
  <si>
    <t xml:space="preserve">CCGCTCCGCATAAGGGCGGC</t>
  </si>
  <si>
    <t xml:space="preserve">TAGTCCGCTCCGCATAAGGGCGGC</t>
  </si>
  <si>
    <t xml:space="preserve">AAACGCCGCCCTTATGCGGAGCGG</t>
  </si>
  <si>
    <t xml:space="preserve">CCAGATGGCCGATTACCTGC</t>
  </si>
  <si>
    <t xml:space="preserve">TAGTCCAGATGGCCGATTACCTGC</t>
  </si>
  <si>
    <t xml:space="preserve">AAACGCAGGTAATCGGCCATCTGG</t>
  </si>
  <si>
    <t xml:space="preserve">ACGGTATTCCGGGTTGGCGT</t>
  </si>
  <si>
    <t xml:space="preserve">TAGTACGGTATTCCGGGTTGGCGT</t>
  </si>
  <si>
    <t xml:space="preserve">AAACACGCCAACCCGGAATACCGT</t>
  </si>
  <si>
    <t xml:space="preserve">PST_4193</t>
  </si>
  <si>
    <t xml:space="preserve">atpA</t>
  </si>
  <si>
    <t xml:space="preserve">ATGATTTCACTAATCTCGGA</t>
  </si>
  <si>
    <t xml:space="preserve">TAGTATGATTTCACTAATCTCGGA</t>
  </si>
  <si>
    <t xml:space="preserve">AAACTCCGAGATTAGTGAAATCAT</t>
  </si>
  <si>
    <t xml:space="preserve">GACGACGGTGCCCTCGTTAC</t>
  </si>
  <si>
    <t xml:space="preserve">TAGTGACGACGGTGCCCTCGTTAC</t>
  </si>
  <si>
    <t xml:space="preserve">AAACGTAACGAGGGCACCGTCGTC</t>
  </si>
  <si>
    <t xml:space="preserve">CATCTCGCCGTACATGACGT</t>
  </si>
  <si>
    <t xml:space="preserve">TAGTCATCTCGCCGTACATGACGT</t>
  </si>
  <si>
    <t xml:space="preserve">AAACACGTCATGTACGGCGAGATG</t>
  </si>
  <si>
    <t xml:space="preserve">CCATGCCGAAGATGCCGCCA</t>
  </si>
  <si>
    <t xml:space="preserve">TAGTCCATGCCGAAGATGCCGCCA</t>
  </si>
  <si>
    <t xml:space="preserve">AAACTGGCGGCATCTTCGGCATGG</t>
  </si>
  <si>
    <t xml:space="preserve">PST_4194</t>
  </si>
  <si>
    <t xml:space="preserve">atpH</t>
  </si>
  <si>
    <t xml:space="preserve">GTAAGGCCGAGCAAGCGTCT</t>
  </si>
  <si>
    <t xml:space="preserve">TAGTGTAAGGCCGAGCAAGCGTCT</t>
  </si>
  <si>
    <t xml:space="preserve">AAACAGACGCTTGCTCGGCCTTAC</t>
  </si>
  <si>
    <t xml:space="preserve">GGCGCTGGCAAACTCGAAAG</t>
  </si>
  <si>
    <t xml:space="preserve">TAGTGGCGCTGGCAAACTCGAAAG</t>
  </si>
  <si>
    <t xml:space="preserve">AAACCTTTCGAGTTTGCCAGCGCC</t>
  </si>
  <si>
    <t xml:space="preserve">CCAGGAATCGGTCTGTCCTG</t>
  </si>
  <si>
    <t xml:space="preserve">TAGTCCAGGAATCGGTCTGTCCTG</t>
  </si>
  <si>
    <t xml:space="preserve">AAACCAGGACAGACCGATTCCTGG</t>
  </si>
  <si>
    <t xml:space="preserve">CTTCAACAGCGACGGCGGCC</t>
  </si>
  <si>
    <t xml:space="preserve">TAGTCTTCAACAGCGACGGCGGCC</t>
  </si>
  <si>
    <t xml:space="preserve">AAACGGCCGCCGTCGCTGTTGAAG</t>
  </si>
  <si>
    <t xml:space="preserve">PST_4195</t>
  </si>
  <si>
    <t xml:space="preserve">atpF</t>
  </si>
  <si>
    <t xml:space="preserve">GAACCAGACGAAGATAGCGA</t>
  </si>
  <si>
    <t xml:space="preserve">TAGTGAACCAGACGAAGATAGCGA</t>
  </si>
  <si>
    <t xml:space="preserve">AAACTCGCTATCTTCGTCTGGTTC</t>
  </si>
  <si>
    <t xml:space="preserve">GCCATGGCTGCCGTGATTGG</t>
  </si>
  <si>
    <t xml:space="preserve">TAGTGCCATGGCTGCCGTGATTGG</t>
  </si>
  <si>
    <t xml:space="preserve">AAACCCAATCACGGCAGCCATGGC</t>
  </si>
  <si>
    <t xml:space="preserve">GTCCTTCGGCGATCTTCTTC</t>
  </si>
  <si>
    <t xml:space="preserve">TAGTGTCCTTCGGCGATCTTCTTC</t>
  </si>
  <si>
    <t xml:space="preserve">AAACGAAGAAGATCGCCGAAGGAC</t>
  </si>
  <si>
    <t xml:space="preserve">GTTTCAGGTCCTGCTGCGCA</t>
  </si>
  <si>
    <t xml:space="preserve">TAGTGTTTCAGGTCCTGCTGCGCA</t>
  </si>
  <si>
    <t xml:space="preserve">AAACTGCGCAGCAGGACCTGAAAC</t>
  </si>
  <si>
    <t xml:space="preserve">PST_4196</t>
  </si>
  <si>
    <t xml:space="preserve">atpE</t>
  </si>
  <si>
    <t xml:space="preserve">CAGACCGATCATGATAGAGG</t>
  </si>
  <si>
    <t xml:space="preserve">TAGTCAGACCGATCATGATAGAGG</t>
  </si>
  <si>
    <t xml:space="preserve">AAACCCTCTATCATGATCGGTCTG</t>
  </si>
  <si>
    <t xml:space="preserve">GAAGCCGATGCCGGTACCCA</t>
  </si>
  <si>
    <t xml:space="preserve">TAGTGAAGCCGATGCCGGTACCCA</t>
  </si>
  <si>
    <t xml:space="preserve">AAACTGGGTACCGGCATCGGCTTC</t>
  </si>
  <si>
    <t xml:space="preserve">CAGCAGTTTGCCACCCAGCA</t>
  </si>
  <si>
    <t xml:space="preserve">TAGTCAGCAGTTTGCCACCCAGCA</t>
  </si>
  <si>
    <t xml:space="preserve">AAACTGCTGGGTGGCAAACTGCTG</t>
  </si>
  <si>
    <t xml:space="preserve">CAGCTCGGGCTGACGAGCAG</t>
  </si>
  <si>
    <t xml:space="preserve">TAGTCAGCTCGGGCTGACGAGCAG</t>
  </si>
  <si>
    <t xml:space="preserve">AAACCTGCTCGTCAGCCCGAGCTG</t>
  </si>
  <si>
    <t xml:space="preserve">PST_4197</t>
  </si>
  <si>
    <t xml:space="preserve">atpB</t>
  </si>
  <si>
    <t xml:space="preserve">ATGCTGGATATATTCAGCGG</t>
  </si>
  <si>
    <t xml:space="preserve">TAGTATGCTGGATATATTCAGCGG</t>
  </si>
  <si>
    <t xml:space="preserve">AAACCCGCTGAATATATCCAGCAT</t>
  </si>
  <si>
    <t xml:space="preserve">TGCCGTAGGTGAGGTTTTGC</t>
  </si>
  <si>
    <t xml:space="preserve">TAGTTGCCGTAGGTGAGGTTTTGC</t>
  </si>
  <si>
    <t xml:space="preserve">AAACGCAAAACCTCACCTACGGCA</t>
  </si>
  <si>
    <t xml:space="preserve">TCAGCACGCTCGTAACCCGC</t>
  </si>
  <si>
    <t xml:space="preserve">TAGTTCAGCACGCTCGTAACCCGC</t>
  </si>
  <si>
    <t xml:space="preserve">AAACGCGGGTTACGAGCGTGCTGA</t>
  </si>
  <si>
    <t xml:space="preserve">CCAGGTGGCCTGATCGAGAA</t>
  </si>
  <si>
    <t xml:space="preserve">TAGTCCAGGTGGCCTGATCGAGAA</t>
  </si>
  <si>
    <t xml:space="preserve">AAACTTCTCGATCAGGCCACCTGG</t>
  </si>
  <si>
    <t xml:space="preserve">PST_4198</t>
  </si>
  <si>
    <t xml:space="preserve">atpI</t>
  </si>
  <si>
    <t xml:space="preserve">TACCAGGCCACATGACACAG</t>
  </si>
  <si>
    <t xml:space="preserve">TAGTTACCAGGCCACATGACACAG</t>
  </si>
  <si>
    <t xml:space="preserve">AAACCTGTGTCATGTGGCCTGGTA</t>
  </si>
  <si>
    <t xml:space="preserve">GCCGCAAAGCGCGGAGTAGC</t>
  </si>
  <si>
    <t xml:space="preserve">TAGTGCCGCAAAGCGCGGAGTAGC</t>
  </si>
  <si>
    <t xml:space="preserve">AAACGCTACTCCGCGCTTTGCGGC</t>
  </si>
  <si>
    <t xml:space="preserve">ACGTGCGCCAAAGTAACGAA</t>
  </si>
  <si>
    <t xml:space="preserve">TAGTACGTGCGCCAAAGTAACGAA</t>
  </si>
  <si>
    <t xml:space="preserve">AAACTTCGTTACTTTGGCGCACGT</t>
  </si>
  <si>
    <t xml:space="preserve">GAAGGACTGGATGATTGCCC</t>
  </si>
  <si>
    <t xml:space="preserve">TAGTGAAGGACTGGATGATTGCCC</t>
  </si>
  <si>
    <t xml:space="preserve">AAACGGGCAATCATCCAGTCCTTC</t>
  </si>
  <si>
    <t xml:space="preserve">PST_4199</t>
  </si>
  <si>
    <t xml:space="preserve">parB</t>
  </si>
  <si>
    <t xml:space="preserve">CCGTCCTAGACCTCTTTTCT</t>
  </si>
  <si>
    <t xml:space="preserve">TAGTCCGTCCTAGACCTCTTTTCT</t>
  </si>
  <si>
    <t xml:space="preserve">AAACAGAAAAGAGGTCTAGGACGG</t>
  </si>
  <si>
    <t xml:space="preserve">GACACTGGCGCCGCCGAGCA</t>
  </si>
  <si>
    <t xml:space="preserve">TAGTGACACTGGCGCCGCCGAGCA</t>
  </si>
  <si>
    <t xml:space="preserve">AAACTGCTCGGCGGCGCCAGTGTC</t>
  </si>
  <si>
    <t xml:space="preserve">CAGTTCGCGGGTGTCGACCT</t>
  </si>
  <si>
    <t xml:space="preserve">TAGTCAGTTCGCGGGTGTCGACCT</t>
  </si>
  <si>
    <t xml:space="preserve">AAACAGGTCGACACCCGCGAACTG</t>
  </si>
  <si>
    <t xml:space="preserve">CCGCGCTGAACCAGCTCCAG</t>
  </si>
  <si>
    <t xml:space="preserve">TAGTCCGCGCTGAACCAGCTCCAG</t>
  </si>
  <si>
    <t xml:space="preserve">AAACCTGGAGCTGGTTCAGCGCGG</t>
  </si>
  <si>
    <t xml:space="preserve">PST_4200</t>
  </si>
  <si>
    <t xml:space="preserve">AATGGCGAAGACTTTAGCCA</t>
  </si>
  <si>
    <t xml:space="preserve">TAGTAATGGCGAAGACTTTAGCCA</t>
  </si>
  <si>
    <t xml:space="preserve">AAACTGGCTAAAGTCTTCGCCATT</t>
  </si>
  <si>
    <t xml:space="preserve">GGCGACACCGCCTTTCTGGT</t>
  </si>
  <si>
    <t xml:space="preserve">TAGTGGCGACACCGCCTTTCTGGT</t>
  </si>
  <si>
    <t xml:space="preserve">AAACACCAGAAAGGCGGTGTCGCC</t>
  </si>
  <si>
    <t xml:space="preserve">ATTGATGCAGGTGGTGGTCT</t>
  </si>
  <si>
    <t xml:space="preserve">TAGTATTGATGCAGGTGGTGGTCT</t>
  </si>
  <si>
    <t xml:space="preserve">AAACAGACCACCACCTGCATCAAT</t>
  </si>
  <si>
    <t xml:space="preserve">GCGCGTGGCGACCAGCGAAG</t>
  </si>
  <si>
    <t xml:space="preserve">TAGTGCGCGTGGCGACCAGCGAAG</t>
  </si>
  <si>
    <t xml:space="preserve">AAACCTTCGCTGGTCGCCACGCGC</t>
  </si>
  <si>
    <t xml:space="preserve">PST_4201</t>
  </si>
  <si>
    <t xml:space="preserve">gidB</t>
  </si>
  <si>
    <t xml:space="preserve">GCGTACGAGTTCTTCCGCAT</t>
  </si>
  <si>
    <t xml:space="preserve">TAGTGCGTACGAGTTCTTCCGCAT</t>
  </si>
  <si>
    <t xml:space="preserve">AAACATGCGGAAGAACTCGTACGC</t>
  </si>
  <si>
    <t xml:space="preserve">CAGGGGAATGCCGAGCTGCC</t>
  </si>
  <si>
    <t xml:space="preserve">TAGTCAGGGGAATGCCGAGCTGCC</t>
  </si>
  <si>
    <t xml:space="preserve">AAACGGCAGCTCGGCATTCCCCTG</t>
  </si>
  <si>
    <t xml:space="preserve">AGGCCAGCAGCAGTCGTTGC</t>
  </si>
  <si>
    <t xml:space="preserve">TAGTAGGCCAGCAGCAGTCGTTGC</t>
  </si>
  <si>
    <t xml:space="preserve">AAACGCAACGACTGCTGCTGGCCT</t>
  </si>
  <si>
    <t xml:space="preserve">CTTGATCAGCAGCGCCAGGT</t>
  </si>
  <si>
    <t xml:space="preserve">TAGTCTTGATCAGCAGCGCCAGGT</t>
  </si>
  <si>
    <t xml:space="preserve">AAACACCTGGCGCTGCTGATCAAG</t>
  </si>
  <si>
    <t xml:space="preserve">PST_4202</t>
  </si>
  <si>
    <t xml:space="preserve">gidA</t>
  </si>
  <si>
    <t xml:space="preserve">CGATCACATCGAAACGGGAT</t>
  </si>
  <si>
    <t xml:space="preserve">TAGTCGATCACATCGAAACGGGAT</t>
  </si>
  <si>
    <t xml:space="preserve">AAACATCCCGTTTCGATGTGATCG</t>
  </si>
  <si>
    <t xml:space="preserve">GTGCCGCTTCGGTACCGGCA</t>
  </si>
  <si>
    <t xml:space="preserve">TAGTGTGCCGCTTCGGTACCGGCA</t>
  </si>
  <si>
    <t xml:space="preserve">AAACTGCCGGTACCGAAGCGGCAC</t>
  </si>
  <si>
    <t xml:space="preserve">CACATTGTGGGTGAGCAGCA</t>
  </si>
  <si>
    <t xml:space="preserve">TAGTCACATTGTGGGTGAGCAGCA</t>
  </si>
  <si>
    <t xml:space="preserve">AAACTGCTGCTCACCCACAATGTG</t>
  </si>
  <si>
    <t xml:space="preserve">GTTGCAGCTCATCTGGCCCA</t>
  </si>
  <si>
    <t xml:space="preserve">TAGTGTTGCAGCTCATCTGGCCCA</t>
  </si>
  <si>
    <t xml:space="preserve">AAACTGGGCCAGATGAGCTGCAAC</t>
  </si>
  <si>
    <t xml:space="preserve">PST_4203</t>
  </si>
  <si>
    <t xml:space="preserve">AGCGAACAGGAAGACCACGC</t>
  </si>
  <si>
    <t xml:space="preserve">TAGTAGCGAACAGGAAGACCACGC</t>
  </si>
  <si>
    <t xml:space="preserve">AAACGCGTGGTCTTCCTGTTCGCT</t>
  </si>
  <si>
    <t xml:space="preserve">AAAGCGCAGCAGCCCGAGCA</t>
  </si>
  <si>
    <t xml:space="preserve">TAGTAAAGCGCAGCAGCCCGAGCA</t>
  </si>
  <si>
    <t xml:space="preserve">AAACTGCTCGGGCTGCTGCGCTTT</t>
  </si>
  <si>
    <t xml:space="preserve">GTGAATGCGTTGCAGCGGGT</t>
  </si>
  <si>
    <t xml:space="preserve">TAGTGTGAATGCGTTGCAGCGGGT</t>
  </si>
  <si>
    <t xml:space="preserve">AAACACCCGCTGCAACGCATTCAC</t>
  </si>
  <si>
    <t xml:space="preserve">CACCGTGCCGGACTTGGTGG</t>
  </si>
  <si>
    <t xml:space="preserve">TAGTCACCGTGCCGGACTTGGTGG</t>
  </si>
  <si>
    <t xml:space="preserve">AAACCCACCAAGTCCGGCACGGTG</t>
  </si>
  <si>
    <t xml:space="preserve">PST_4204</t>
  </si>
  <si>
    <t xml:space="preserve">CGCCAGAGCGTCACTCCTAG</t>
  </si>
  <si>
    <t xml:space="preserve">TAGTCGCCAGAGCGTCACTCCTAG</t>
  </si>
  <si>
    <t xml:space="preserve">AAACCTAGGAGTGACGCTCTGGCG</t>
  </si>
  <si>
    <t xml:space="preserve">CACCCGATCGACCAGTGTGC</t>
  </si>
  <si>
    <t xml:space="preserve">TAGTCACCCGATCGACCAGTGTGC</t>
  </si>
  <si>
    <t xml:space="preserve">AAACGCACACTGGTCGATCGGGTG</t>
  </si>
  <si>
    <t xml:space="preserve">GGCGATGGCCACGCCCACGC</t>
  </si>
  <si>
    <t xml:space="preserve">TAGTGGCGATGGCCACGCCCACGC</t>
  </si>
  <si>
    <t xml:space="preserve">AAACGCGTGGGCGTGGCCATCGCC</t>
  </si>
  <si>
    <t xml:space="preserve">AAACTCACGGCGCCCGGTCA</t>
  </si>
  <si>
    <t xml:space="preserve">TAGTAAACTCACGGCGCCCGGTCA</t>
  </si>
  <si>
    <t xml:space="preserve">AAACTGACCGGGCGCCGTGAGTTT</t>
  </si>
  <si>
    <t xml:space="preserve">PST_4205</t>
  </si>
  <si>
    <t xml:space="preserve">CACCACACGACGCAGCAAGC</t>
  </si>
  <si>
    <t xml:space="preserve">TAGTCACCACACGACGCAGCAAGC</t>
  </si>
  <si>
    <t xml:space="preserve">AAACGCTTGCTGCGTCGTGTGGTG</t>
  </si>
  <si>
    <t xml:space="preserve">CGCGCGGGCCACCGTCACGG</t>
  </si>
  <si>
    <t xml:space="preserve">TAGTCGCGCGGGCCACCGTCACGG</t>
  </si>
  <si>
    <t xml:space="preserve">AAACCCGTGACGGTGGCCCGCGCG</t>
  </si>
  <si>
    <t xml:space="preserve">CATGCGCGGCTCCCGAGCGA</t>
  </si>
  <si>
    <t xml:space="preserve">TAGTCATGCGCGGCTCCCGAGCGA</t>
  </si>
  <si>
    <t xml:space="preserve">AAACTCGCTCGGGAGCCGCGCATG</t>
  </si>
  <si>
    <t xml:space="preserve">GGTTCGCAGCGCGATTGGCA</t>
  </si>
  <si>
    <t xml:space="preserve">TAGTGGTTCGCAGCGCGATTGGCA</t>
  </si>
  <si>
    <t xml:space="preserve">AAACTGCCAATCGCGCTGCGAACC</t>
  </si>
  <si>
    <t xml:space="preserve">PST_4206</t>
  </si>
  <si>
    <t xml:space="preserve">GGCAGCAGGACCGGCCAGAG</t>
  </si>
  <si>
    <t xml:space="preserve">TAGTGGCAGCAGGACCGGCCAGAG</t>
  </si>
  <si>
    <t xml:space="preserve">AAACCTCTGGCCGGTCCTGCTGCC</t>
  </si>
  <si>
    <t xml:space="preserve">GCCAGCCCAGCACCGAGAAT</t>
  </si>
  <si>
    <t xml:space="preserve">TAGTGCCAGCCCAGCACCGAGAAT</t>
  </si>
  <si>
    <t xml:space="preserve">AAACATTCTCGGTGCTGGGCTGGC</t>
  </si>
  <si>
    <t xml:space="preserve">GCGAGGACTTTTCCACAGGC</t>
  </si>
  <si>
    <t xml:space="preserve">TAGTGCGAGGACTTTTCCACAGGC</t>
  </si>
  <si>
    <t xml:space="preserve">AAACGCCTGTGGAAAAGTCCTCGC</t>
  </si>
  <si>
    <t xml:space="preserve">CAGGGCACTGACCAGACGCT</t>
  </si>
  <si>
    <t xml:space="preserve">TAGTCAGGGCACTGACCAGACGCT</t>
  </si>
  <si>
    <t xml:space="preserve">AAACAGCGTCTGGTCAGTGCCCTG</t>
  </si>
  <si>
    <t xml:space="preserve">PST_4207</t>
  </si>
  <si>
    <t xml:space="preserve">CAATGCTCAGTGCGAAGAGC</t>
  </si>
  <si>
    <t xml:space="preserve">TAGTCAATGCTCAGTGCGAAGAGC</t>
  </si>
  <si>
    <t xml:space="preserve">AAACGCTCTTCGCACTGAGCATTG</t>
  </si>
  <si>
    <t xml:space="preserve">GATGAGGTAGAGGCTGCAGC</t>
  </si>
  <si>
    <t xml:space="preserve">TAGTGATGAGGTAGAGGCTGCAGC</t>
  </si>
  <si>
    <t xml:space="preserve">AAACGCTGCAGCCTCTACCTCATC</t>
  </si>
  <si>
    <t xml:space="preserve">CACGGACGATGTGCCGCGAC</t>
  </si>
  <si>
    <t xml:space="preserve">TAGTCACGGACGATGTGCCGCGAC</t>
  </si>
  <si>
    <t xml:space="preserve">AAACGTCGCGGCACATCGTCCGTG</t>
  </si>
  <si>
    <t xml:space="preserve">GTTGATCGCCGCCGAGAGCA</t>
  </si>
  <si>
    <t xml:space="preserve">TAGTGTTGATCGCCGCCGAGAGCA</t>
  </si>
  <si>
    <t xml:space="preserve">AAACTGCTCTCGGCGGCGATCAAC</t>
  </si>
  <si>
    <t xml:space="preserve">PST_4208</t>
  </si>
  <si>
    <t xml:space="preserve">GAAGAGAATCCGCGAGAAGG</t>
  </si>
  <si>
    <t xml:space="preserve">TAGTGAAGAGAATCCGCGAGAAGG</t>
  </si>
  <si>
    <t xml:space="preserve">AAACCCTTCTCGCGGATTCTCTTC</t>
  </si>
  <si>
    <t xml:space="preserve">CACCCGGCTCGTTGTGTCCG</t>
  </si>
  <si>
    <t xml:space="preserve">TAGTCACCCGGCTCGTTGTGTCCG</t>
  </si>
  <si>
    <t xml:space="preserve">AAACCGGACACAACGAGCCGGGTG</t>
  </si>
  <si>
    <t xml:space="preserve">CAGGGTGGCGAAGCCGGCGG</t>
  </si>
  <si>
    <t xml:space="preserve">TAGTCAGGGTGGCGAAGCCGGCGG</t>
  </si>
  <si>
    <t xml:space="preserve">AAACCCGCCGGCTTCGCCACCCTG</t>
  </si>
  <si>
    <t xml:space="preserve">GCGCGCCACCTCGACCCCGC</t>
  </si>
  <si>
    <t xml:space="preserve">TAGTGCGCGCCACCTCGACCCCGC</t>
  </si>
  <si>
    <t xml:space="preserve">AAACGCGGGGTCGAGGTGGCGCGC</t>
  </si>
  <si>
    <t xml:space="preserve">PST_4209</t>
  </si>
  <si>
    <t xml:space="preserve">AACGAGCAGTGCAGCAAGCA</t>
  </si>
  <si>
    <t xml:space="preserve">TAGTAACGAGCAGTGCAGCAAGCA</t>
  </si>
  <si>
    <t xml:space="preserve">AAACTGCTTGCTGCACTGCTCGTT</t>
  </si>
  <si>
    <t xml:space="preserve">ACCTGGCGAGGATCGCTCCC</t>
  </si>
  <si>
    <t xml:space="preserve">TAGTACCTGGCGAGGATCGCTCCC</t>
  </si>
  <si>
    <t xml:space="preserve">AAACGGGAGCGATCCTCGCCAGGT</t>
  </si>
  <si>
    <t xml:space="preserve">ATCCTCCATAGGGATAGGTG</t>
  </si>
  <si>
    <t xml:space="preserve">TAGTATCCTCCATAGGGATAGGTG</t>
  </si>
  <si>
    <t xml:space="preserve">AAACCACCTATCCCTATGGAGGAT</t>
  </si>
  <si>
    <t xml:space="preserve">AAGTAGAGGAACAGGCCGGC</t>
  </si>
  <si>
    <t xml:space="preserve">TAGTAAGTAGAGGAACAGGCCGGC</t>
  </si>
  <si>
    <t xml:space="preserve">AAACGCCGGCCTGTTCCTCTACTT</t>
  </si>
  <si>
    <t xml:space="preserve">PST_4210</t>
  </si>
  <si>
    <t xml:space="preserve">trmE</t>
  </si>
  <si>
    <t xml:space="preserve">CGGCGATGGTGTCGCGAGCT</t>
  </si>
  <si>
    <t xml:space="preserve">TAGTCGGCGATGGTGTCGCGAGCT</t>
  </si>
  <si>
    <t xml:space="preserve">AAACAGCTCGCGACACCATCGCCG</t>
  </si>
  <si>
    <t xml:space="preserve">GCCGGGAGCGGTGGCGACGG</t>
  </si>
  <si>
    <t xml:space="preserve">TAGTGCCGGGAGCGGTGGCGACGG</t>
  </si>
  <si>
    <t xml:space="preserve">AAACCCGTCGCCACCGCTCCCGGC</t>
  </si>
  <si>
    <t xml:space="preserve">GGACGATTCCCACGCCTCCC</t>
  </si>
  <si>
    <t xml:space="preserve">TAGTGGACGATTCCCACGCCTCCC</t>
  </si>
  <si>
    <t xml:space="preserve">AAACGGGAGGCGTGGGAATCGTCC</t>
  </si>
  <si>
    <t xml:space="preserve">TGGCGCGAGGGCCGGATACA</t>
  </si>
  <si>
    <t xml:space="preserve">TAGTTGGCGCGAGGGCCGGATACA</t>
  </si>
  <si>
    <t xml:space="preserve">AAACTGTATCCGGCCCTCGCGCCA</t>
  </si>
  <si>
    <t xml:space="preserve">PST_4211</t>
  </si>
  <si>
    <t xml:space="preserve">yidC</t>
  </si>
  <si>
    <t xml:space="preserve">TATCGAGCGTTTGATATCCA</t>
  </si>
  <si>
    <t xml:space="preserve">TAGTTATCGAGCGTTTGATATCCA</t>
  </si>
  <si>
    <t xml:space="preserve">AAACTGGATATCAAACGCTCGATA</t>
  </si>
  <si>
    <t xml:space="preserve">CCATTGAAGAACCATCAGGT</t>
  </si>
  <si>
    <t xml:space="preserve">TAGTCCATTGAAGAACCATCAGGT</t>
  </si>
  <si>
    <t xml:space="preserve">AAACACCTGATGGTTCTTCAATGG</t>
  </si>
  <si>
    <t xml:space="preserve">TTGCGCGGTTTCGGTCGGCA</t>
  </si>
  <si>
    <t xml:space="preserve">TAGTTTGCGCGGTTTCGGTCGGCA</t>
  </si>
  <si>
    <t xml:space="preserve">AAACTGCCGACCGAAACCGCGCAA</t>
  </si>
  <si>
    <t xml:space="preserve">TCCGGCAGCGCCGGAGCGGC</t>
  </si>
  <si>
    <t xml:space="preserve">TAGTTCCGGCAGCGCCGGAGCGGC</t>
  </si>
  <si>
    <t xml:space="preserve">AAACGCCGCTCCGGCGCTGCCGGA</t>
  </si>
  <si>
    <t xml:space="preserve">PST_4212</t>
  </si>
  <si>
    <t xml:space="preserve">GTAGACCCGGATCGAAGCGA</t>
  </si>
  <si>
    <t xml:space="preserve">TAGTGTAGACCCGGATCGAAGCGA</t>
  </si>
  <si>
    <t xml:space="preserve">AAACTCGCTTCGATCCGGGTCTAC</t>
  </si>
  <si>
    <t xml:space="preserve">TCATGGGACTGATGGCGTAC</t>
  </si>
  <si>
    <t xml:space="preserve">TAGTTCATGGGACTGATGGCGTAC</t>
  </si>
  <si>
    <t xml:space="preserve">AAACGTACGCCATCAGTCCCATGA</t>
  </si>
  <si>
    <t xml:space="preserve">TGGATAGAAACGGCAGTGAC</t>
  </si>
  <si>
    <t xml:space="preserve">TAGTTGGATAGAAACGGCAGTGAC</t>
  </si>
  <si>
    <t xml:space="preserve">AAACGTCACTGCCGTTTCTATCCA</t>
  </si>
  <si>
    <t xml:space="preserve">AGCGCGTAGCAGGAGCAGCT</t>
  </si>
  <si>
    <t xml:space="preserve">TAGTAGCGCGTAGCAGGAGCAGCT</t>
  </si>
  <si>
    <t xml:space="preserve">AAACAGCTGCTCCTGCTACGCGCT</t>
  </si>
  <si>
    <t xml:space="preserve">PST_4213</t>
  </si>
  <si>
    <t xml:space="preserve">rnpA</t>
  </si>
  <si>
    <t xml:space="preserve">GAGTCAGCAGACGCTTTTCC</t>
  </si>
  <si>
    <t xml:space="preserve">TAGTGAGTCAGCAGACGCTTTTCC</t>
  </si>
  <si>
    <t xml:space="preserve">AAACGGAAAAGCGTCTGCTGACTC</t>
  </si>
  <si>
    <t xml:space="preserve">AAGACTGCCTTGAATTGGCG</t>
  </si>
  <si>
    <t xml:space="preserve">TAGTAAGACTGCCTTGAATTGGCG</t>
  </si>
  <si>
    <t xml:space="preserve">AAACCGCCAATTCAAGGCAGTCTT</t>
  </si>
  <si>
    <t xml:space="preserve">GCCAGGCACCTTACCGGAAG</t>
  </si>
  <si>
    <t xml:space="preserve">TAGTGCCAGGCACCTTACCGGAAG</t>
  </si>
  <si>
    <t xml:space="preserve">AAACCTTCCGGTAAGGTGCCTGGC</t>
  </si>
  <si>
    <t xml:space="preserve">CGATCACCAGCCCTAGGCGG</t>
  </si>
  <si>
    <t xml:space="preserve">TAGTCGATCACCAGCCCTAGGCGG</t>
  </si>
  <si>
    <t xml:space="preserve">AAACCCGCCTAGGGCTGGTGATCG</t>
  </si>
  <si>
    <t xml:space="preserve">PST_4214</t>
  </si>
  <si>
    <t xml:space="preserve">rpmH</t>
  </si>
  <si>
    <t xml:space="preserve">GGGTTGGAAAGTGCGTTTCA</t>
  </si>
  <si>
    <t xml:space="preserve">TAGTGGGTTGGAAAGTGCGTTTCA</t>
  </si>
  <si>
    <t xml:space="preserve">AAACTGAAACGCACTTTCCAACCC</t>
  </si>
  <si>
    <t xml:space="preserve">CGAGCGCGCTTGATGGTGCT</t>
  </si>
  <si>
    <t xml:space="preserve">TAGTCGAGCGCGCTTGATGGTGCT</t>
  </si>
  <si>
    <t xml:space="preserve">AAACAGCACCATCAAGCGCGCTCG</t>
  </si>
  <si>
    <t xml:space="preserve">CATGCGGGCACGGAAGCCAT</t>
  </si>
  <si>
    <t xml:space="preserve">TAGTCATGCGGGCACGGAAGCCAT</t>
  </si>
  <si>
    <t xml:space="preserve">AAACATGGCTTCCGTGCCCGCATG</t>
  </si>
  <si>
    <t xml:space="preserve">AACTTGACGACCGTTCTTGG</t>
  </si>
  <si>
    <t xml:space="preserve">TAGTAACTTGACGACCGTTCTTGG</t>
  </si>
  <si>
    <t xml:space="preserve">AAACCCAAGAACGGTCGTCAAGTT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</si>
</sst>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62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4" activeCellId="0" sqref="L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24"/>
    <col collapsed="false" customWidth="true" hidden="false" outlineLevel="0" max="2" min="2" style="0" width="8.38"/>
    <col collapsed="false" customWidth="true" hidden="false" outlineLevel="0" max="3" min="3" style="0" width="8.23"/>
    <col collapsed="false" customWidth="true" hidden="false" outlineLevel="0" max="4" min="4" style="0" width="9.77"/>
    <col collapsed="false" customWidth="true" hidden="false" outlineLevel="0" max="5" min="5" style="0" width="11.16"/>
    <col collapsed="false" customWidth="true" hidden="false" outlineLevel="0" max="6" min="6" style="0" width="13.52"/>
    <col collapsed="false" customWidth="true" hidden="false" outlineLevel="0" max="7" min="7" style="0" width="5.46"/>
    <col collapsed="false" customWidth="true" hidden="false" outlineLevel="0" max="8" min="8" style="0" width="6.43"/>
    <col collapsed="false" customWidth="true" hidden="false" outlineLevel="0" max="9" min="9" style="0" width="26.72"/>
    <col collapsed="false" customWidth="true" hidden="false" outlineLevel="0" max="10" min="10" style="0" width="31.44"/>
    <col collapsed="false" customWidth="true" hidden="false" outlineLevel="0" max="11" min="11" style="0" width="31.72"/>
    <col collapsed="false" customWidth="true" hidden="false" outlineLevel="0" max="12" min="12" style="0" width="14.7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n">
        <v>405</v>
      </c>
      <c r="C2" s="0" t="n">
        <v>425</v>
      </c>
      <c r="D2" s="0" t="s">
        <v>13</v>
      </c>
      <c r="E2" s="0" t="s">
        <v>14</v>
      </c>
      <c r="F2" s="0" t="s">
        <v>15</v>
      </c>
      <c r="G2" s="0" t="s">
        <v>16</v>
      </c>
      <c r="H2" s="0" t="n">
        <v>26</v>
      </c>
      <c r="I2" s="0" t="s">
        <v>17</v>
      </c>
      <c r="J2" s="0" t="s">
        <v>18</v>
      </c>
      <c r="K2" s="0" t="s">
        <v>19</v>
      </c>
      <c r="L2" s="0" t="str">
        <f aca="false">HYPERLINK("https://www.ncbi.nlm.nih.gov/nuccore/CP000304.1?report=graph&amp;tracks=[key:gene_model_track,Options:GeneOnly]&amp;mk=406:425|offset_26|00cc00,430:449|offset_50|444444,465:484|offset_85|444444,518:537|offset_138|444444&amp;v=205:737&amp;c=444444", "offset 26")</f>
        <v>offset 26</v>
      </c>
    </row>
    <row r="3" customFormat="false" ht="12.8" hidden="false" customHeight="false" outlineLevel="0" collapsed="false">
      <c r="A3" s="0" t="s">
        <v>12</v>
      </c>
      <c r="B3" s="0" t="n">
        <v>429</v>
      </c>
      <c r="C3" s="0" t="n">
        <v>449</v>
      </c>
      <c r="D3" s="0" t="s">
        <v>13</v>
      </c>
      <c r="E3" s="0" t="s">
        <v>14</v>
      </c>
      <c r="F3" s="0" t="s">
        <v>15</v>
      </c>
      <c r="G3" s="0" t="s">
        <v>16</v>
      </c>
      <c r="H3" s="0" t="n">
        <v>50</v>
      </c>
      <c r="I3" s="0" t="s">
        <v>20</v>
      </c>
      <c r="J3" s="0" t="s">
        <v>21</v>
      </c>
      <c r="K3" s="0" t="s">
        <v>22</v>
      </c>
      <c r="L3" s="0" t="str">
        <f aca="false">HYPERLINK("https://www.ncbi.nlm.nih.gov/nuccore/CP000304.1?report=graph&amp;tracks=[key:gene_model_track,Options:GeneOnly]&amp;mk=406:425|offset_26|444444,430:449|offset_50|00cc00,465:484|offset_85|444444,518:537|offset_138|444444&amp;v=205:737&amp;c=444444", "offset 50")</f>
        <v>offset 50</v>
      </c>
    </row>
    <row r="4" customFormat="false" ht="12.8" hidden="false" customHeight="false" outlineLevel="0" collapsed="false">
      <c r="A4" s="0" t="s">
        <v>12</v>
      </c>
      <c r="B4" s="0" t="n">
        <v>464</v>
      </c>
      <c r="C4" s="0" t="n">
        <v>484</v>
      </c>
      <c r="D4" s="0" t="s">
        <v>13</v>
      </c>
      <c r="E4" s="0" t="s">
        <v>14</v>
      </c>
      <c r="F4" s="0" t="s">
        <v>15</v>
      </c>
      <c r="G4" s="0" t="s">
        <v>16</v>
      </c>
      <c r="H4" s="0" t="n">
        <v>85</v>
      </c>
      <c r="I4" s="0" t="s">
        <v>23</v>
      </c>
      <c r="J4" s="0" t="s">
        <v>24</v>
      </c>
      <c r="K4" s="0" t="s">
        <v>25</v>
      </c>
      <c r="L4" s="0" t="str">
        <f aca="false">HYPERLINK("https://www.ncbi.nlm.nih.gov/nuccore/CP000304.1?report=graph&amp;tracks=[key:gene_model_track,Options:GeneOnly]&amp;mk=406:425|offset_26|444444,430:449|offset_50|444444,465:484|offset_85|00cc00,518:537|offset_138|444444&amp;v=205:737&amp;c=444444", "offset 85")</f>
        <v>offset 85</v>
      </c>
    </row>
    <row r="5" customFormat="false" ht="12.8" hidden="false" customHeight="false" outlineLevel="0" collapsed="false">
      <c r="A5" s="0" t="s">
        <v>12</v>
      </c>
      <c r="B5" s="0" t="n">
        <v>517</v>
      </c>
      <c r="C5" s="0" t="n">
        <v>537</v>
      </c>
      <c r="D5" s="0" t="s">
        <v>13</v>
      </c>
      <c r="E5" s="0" t="s">
        <v>14</v>
      </c>
      <c r="F5" s="0" t="s">
        <v>15</v>
      </c>
      <c r="G5" s="0" t="s">
        <v>26</v>
      </c>
      <c r="H5" s="0" t="n">
        <v>138</v>
      </c>
      <c r="I5" s="0" t="s">
        <v>27</v>
      </c>
      <c r="J5" s="0" t="s">
        <v>28</v>
      </c>
      <c r="K5" s="0" t="s">
        <v>29</v>
      </c>
      <c r="L5" s="0" t="str">
        <f aca="false">HYPERLINK("https://www.ncbi.nlm.nih.gov/nuccore/CP000304.1?report=graph&amp;tracks=[key:gene_model_track,Options:GeneOnly]&amp;mk=406:425|offset_26|444444,430:449|offset_50|444444,465:484|offset_85|444444,518:537|offset_138|00cc00&amp;v=205:737&amp;c=444444", "offset 138")</f>
        <v>offset 138</v>
      </c>
    </row>
    <row r="6" customFormat="false" ht="12.8" hidden="false" customHeight="false" outlineLevel="0" collapsed="false">
      <c r="A6" s="0" t="s">
        <v>12</v>
      </c>
      <c r="B6" s="0" t="n">
        <v>1958</v>
      </c>
      <c r="C6" s="0" t="n">
        <v>1978</v>
      </c>
      <c r="D6" s="0" t="s">
        <v>30</v>
      </c>
      <c r="E6" s="0" t="s">
        <v>31</v>
      </c>
      <c r="F6" s="0" t="s">
        <v>15</v>
      </c>
      <c r="G6" s="0" t="s">
        <v>32</v>
      </c>
      <c r="H6" s="0" t="n">
        <v>1</v>
      </c>
      <c r="I6" s="0" t="s">
        <v>33</v>
      </c>
      <c r="J6" s="0" t="s">
        <v>34</v>
      </c>
      <c r="K6" s="0" t="s">
        <v>35</v>
      </c>
      <c r="L6" s="0" t="str">
        <f aca="false">HYPERLINK("https://www.ncbi.nlm.nih.gov/nuccore/CP000304.1?report=graph&amp;tracks=[key:gene_model_track,Options:GeneOnly]&amp;mk=1959:1978|offset_1|00cc00,1986:2005|offset_28|444444,2029:2048|offset_71|444444,2052:2071|offset_94|444444&amp;v=1758:2271&amp;c=444444", "offset 1")</f>
        <v>offset 1</v>
      </c>
    </row>
    <row r="7" customFormat="false" ht="12.8" hidden="false" customHeight="false" outlineLevel="0" collapsed="false">
      <c r="A7" s="0" t="s">
        <v>12</v>
      </c>
      <c r="B7" s="0" t="n">
        <v>1985</v>
      </c>
      <c r="C7" s="0" t="n">
        <v>2005</v>
      </c>
      <c r="D7" s="0" t="s">
        <v>30</v>
      </c>
      <c r="E7" s="0" t="s">
        <v>31</v>
      </c>
      <c r="F7" s="0" t="s">
        <v>15</v>
      </c>
      <c r="G7" s="0" t="s">
        <v>36</v>
      </c>
      <c r="H7" s="0" t="n">
        <v>28</v>
      </c>
      <c r="I7" s="0" t="s">
        <v>37</v>
      </c>
      <c r="J7" s="0" t="s">
        <v>38</v>
      </c>
      <c r="K7" s="0" t="s">
        <v>39</v>
      </c>
      <c r="L7" s="0" t="str">
        <f aca="false">HYPERLINK("https://www.ncbi.nlm.nih.gov/nuccore/CP000304.1?report=graph&amp;tracks=[key:gene_model_track,Options:GeneOnly]&amp;mk=1959:1978|offset_1|444444,1986:2005|offset_28|00cc00,2029:2048|offset_71|444444,2052:2071|offset_94|444444&amp;v=1758:2271&amp;c=444444", "offset 28")</f>
        <v>offset 28</v>
      </c>
    </row>
    <row r="8" customFormat="false" ht="12.8" hidden="false" customHeight="false" outlineLevel="0" collapsed="false">
      <c r="A8" s="0" t="s">
        <v>12</v>
      </c>
      <c r="B8" s="0" t="n">
        <v>2028</v>
      </c>
      <c r="C8" s="0" t="n">
        <v>2048</v>
      </c>
      <c r="D8" s="0" t="s">
        <v>30</v>
      </c>
      <c r="E8" s="0" t="s">
        <v>31</v>
      </c>
      <c r="F8" s="0" t="s">
        <v>15</v>
      </c>
      <c r="G8" s="0" t="s">
        <v>16</v>
      </c>
      <c r="H8" s="0" t="n">
        <v>71</v>
      </c>
      <c r="I8" s="0" t="s">
        <v>40</v>
      </c>
      <c r="J8" s="0" t="s">
        <v>41</v>
      </c>
      <c r="K8" s="0" t="s">
        <v>42</v>
      </c>
      <c r="L8" s="0" t="str">
        <f aca="false">HYPERLINK("https://www.ncbi.nlm.nih.gov/nuccore/CP000304.1?report=graph&amp;tracks=[key:gene_model_track,Options:GeneOnly]&amp;mk=1959:1978|offset_1|444444,1986:2005|offset_28|444444,2029:2048|offset_71|00cc00,2052:2071|offset_94|444444&amp;v=1758:2271&amp;c=444444", "offset 71")</f>
        <v>offset 71</v>
      </c>
    </row>
    <row r="9" customFormat="false" ht="12.8" hidden="false" customHeight="false" outlineLevel="0" collapsed="false">
      <c r="A9" s="0" t="s">
        <v>12</v>
      </c>
      <c r="B9" s="0" t="n">
        <v>2051</v>
      </c>
      <c r="C9" s="0" t="n">
        <v>2071</v>
      </c>
      <c r="D9" s="0" t="s">
        <v>30</v>
      </c>
      <c r="E9" s="0" t="s">
        <v>31</v>
      </c>
      <c r="F9" s="0" t="s">
        <v>15</v>
      </c>
      <c r="G9" s="0" t="s">
        <v>32</v>
      </c>
      <c r="H9" s="0" t="n">
        <v>94</v>
      </c>
      <c r="I9" s="0" t="s">
        <v>43</v>
      </c>
      <c r="J9" s="0" t="s">
        <v>44</v>
      </c>
      <c r="K9" s="0" t="s">
        <v>45</v>
      </c>
      <c r="L9" s="0" t="str">
        <f aca="false">HYPERLINK("https://www.ncbi.nlm.nih.gov/nuccore/CP000304.1?report=graph&amp;tracks=[key:gene_model_track,Options:GeneOnly]&amp;mk=1959:1978|offset_1|444444,1986:2005|offset_28|444444,2029:2048|offset_71|444444,2052:2071|offset_94|00cc00&amp;v=1758:2271&amp;c=444444", "offset 94")</f>
        <v>offset 94</v>
      </c>
    </row>
    <row r="10" customFormat="false" ht="12.8" hidden="false" customHeight="false" outlineLevel="0" collapsed="false">
      <c r="A10" s="0" t="s">
        <v>12</v>
      </c>
      <c r="B10" s="0" t="n">
        <v>3077</v>
      </c>
      <c r="C10" s="0" t="n">
        <v>3097</v>
      </c>
      <c r="D10" s="0" t="s">
        <v>46</v>
      </c>
      <c r="E10" s="0" t="s">
        <v>47</v>
      </c>
      <c r="F10" s="0" t="s">
        <v>15</v>
      </c>
      <c r="G10" s="0" t="s">
        <v>36</v>
      </c>
      <c r="H10" s="0" t="n">
        <v>7</v>
      </c>
      <c r="I10" s="0" t="s">
        <v>48</v>
      </c>
      <c r="J10" s="0" t="s">
        <v>49</v>
      </c>
      <c r="K10" s="0" t="s">
        <v>50</v>
      </c>
      <c r="L10" s="0" t="str">
        <f aca="false">HYPERLINK("https://www.ncbi.nlm.nih.gov/nuccore/CP000304.1?report=graph&amp;tracks=[key:gene_model_track,Options:GeneOnly]&amp;mk=3078:3097|offset_7|00cc00,3099:3118|offset_28|444444,3119:3138|offset_48|444444,3139:3158|offset_68|444444&amp;v=2877:3358&amp;c=444444", "offset 7")</f>
        <v>offset 7</v>
      </c>
    </row>
    <row r="11" customFormat="false" ht="12.8" hidden="false" customHeight="false" outlineLevel="0" collapsed="false">
      <c r="A11" s="0" t="s">
        <v>12</v>
      </c>
      <c r="B11" s="0" t="n">
        <v>3098</v>
      </c>
      <c r="C11" s="0" t="n">
        <v>3118</v>
      </c>
      <c r="D11" s="0" t="s">
        <v>46</v>
      </c>
      <c r="E11" s="0" t="s">
        <v>47</v>
      </c>
      <c r="F11" s="0" t="s">
        <v>15</v>
      </c>
      <c r="G11" s="0" t="s">
        <v>16</v>
      </c>
      <c r="H11" s="0" t="n">
        <v>28</v>
      </c>
      <c r="I11" s="0" t="s">
        <v>51</v>
      </c>
      <c r="J11" s="0" t="s">
        <v>52</v>
      </c>
      <c r="K11" s="0" t="s">
        <v>53</v>
      </c>
      <c r="L11" s="0" t="str">
        <f aca="false">HYPERLINK("https://www.ncbi.nlm.nih.gov/nuccore/CP000304.1?report=graph&amp;tracks=[key:gene_model_track,Options:GeneOnly]&amp;mk=3078:3097|offset_7|444444,3099:3118|offset_28|00cc00,3119:3138|offset_48|444444,3139:3158|offset_68|444444&amp;v=2877:3358&amp;c=444444", "offset 28")</f>
        <v>offset 28</v>
      </c>
    </row>
    <row r="12" customFormat="false" ht="12.8" hidden="false" customHeight="false" outlineLevel="0" collapsed="false">
      <c r="A12" s="0" t="s">
        <v>12</v>
      </c>
      <c r="B12" s="0" t="n">
        <v>3118</v>
      </c>
      <c r="C12" s="0" t="n">
        <v>3138</v>
      </c>
      <c r="D12" s="0" t="s">
        <v>46</v>
      </c>
      <c r="E12" s="0" t="s">
        <v>47</v>
      </c>
      <c r="F12" s="0" t="s">
        <v>15</v>
      </c>
      <c r="G12" s="0" t="s">
        <v>16</v>
      </c>
      <c r="H12" s="0" t="n">
        <v>48</v>
      </c>
      <c r="I12" s="0" t="s">
        <v>54</v>
      </c>
      <c r="J12" s="0" t="s">
        <v>55</v>
      </c>
      <c r="K12" s="0" t="s">
        <v>56</v>
      </c>
      <c r="L12" s="0" t="str">
        <f aca="false">HYPERLINK("https://www.ncbi.nlm.nih.gov/nuccore/CP000304.1?report=graph&amp;tracks=[key:gene_model_track,Options:GeneOnly]&amp;mk=3078:3097|offset_7|444444,3099:3118|offset_28|444444,3119:3138|offset_48|00cc00,3139:3158|offset_68|444444&amp;v=2877:3358&amp;c=444444", "offset 48")</f>
        <v>offset 48</v>
      </c>
    </row>
    <row r="13" customFormat="false" ht="12.8" hidden="false" customHeight="false" outlineLevel="0" collapsed="false">
      <c r="A13" s="0" t="s">
        <v>12</v>
      </c>
      <c r="B13" s="0" t="n">
        <v>3138</v>
      </c>
      <c r="C13" s="0" t="n">
        <v>3158</v>
      </c>
      <c r="D13" s="0" t="s">
        <v>46</v>
      </c>
      <c r="E13" s="0" t="s">
        <v>47</v>
      </c>
      <c r="F13" s="0" t="s">
        <v>15</v>
      </c>
      <c r="G13" s="0" t="s">
        <v>36</v>
      </c>
      <c r="H13" s="0" t="n">
        <v>68</v>
      </c>
      <c r="I13" s="0" t="s">
        <v>57</v>
      </c>
      <c r="J13" s="0" t="s">
        <v>58</v>
      </c>
      <c r="K13" s="0" t="s">
        <v>59</v>
      </c>
      <c r="L13" s="0" t="str">
        <f aca="false">HYPERLINK("https://www.ncbi.nlm.nih.gov/nuccore/CP000304.1?report=graph&amp;tracks=[key:gene_model_track,Options:GeneOnly]&amp;mk=3078:3097|offset_7|444444,3099:3118|offset_28|444444,3119:3138|offset_48|444444,3139:3158|offset_68|00cc00&amp;v=2877:3358&amp;c=444444", "offset 68")</f>
        <v>offset 68</v>
      </c>
    </row>
    <row r="14" customFormat="false" ht="12.8" hidden="false" customHeight="false" outlineLevel="0" collapsed="false">
      <c r="A14" s="0" t="s">
        <v>12</v>
      </c>
      <c r="B14" s="0" t="n">
        <v>4193</v>
      </c>
      <c r="C14" s="0" t="n">
        <v>4213</v>
      </c>
      <c r="D14" s="0" t="s">
        <v>60</v>
      </c>
      <c r="E14" s="0" t="s">
        <v>61</v>
      </c>
      <c r="F14" s="0" t="s">
        <v>15</v>
      </c>
      <c r="G14" s="0" t="s">
        <v>32</v>
      </c>
      <c r="H14" s="0" t="n">
        <v>14</v>
      </c>
      <c r="I14" s="0" t="s">
        <v>62</v>
      </c>
      <c r="J14" s="0" t="s">
        <v>63</v>
      </c>
      <c r="K14" s="0" t="s">
        <v>64</v>
      </c>
      <c r="L14" s="0" t="str">
        <f aca="false">HYPERLINK("https://www.ncbi.nlm.nih.gov/nuccore/CP000304.1?report=graph&amp;tracks=[key:gene_model_track,Options:GeneOnly]&amp;mk=4194:4213|offset_14|00cc00,4241:4260|offset_61|444444,4277:4296|offset_97|444444,4299:4318|offset_119|444444&amp;v=3993:4518&amp;c=444444", "offset 14")</f>
        <v>offset 14</v>
      </c>
    </row>
    <row r="15" customFormat="false" ht="12.8" hidden="false" customHeight="false" outlineLevel="0" collapsed="false">
      <c r="A15" s="0" t="s">
        <v>12</v>
      </c>
      <c r="B15" s="0" t="n">
        <v>4240</v>
      </c>
      <c r="C15" s="0" t="n">
        <v>4260</v>
      </c>
      <c r="D15" s="0" t="s">
        <v>60</v>
      </c>
      <c r="E15" s="0" t="s">
        <v>61</v>
      </c>
      <c r="F15" s="0" t="s">
        <v>15</v>
      </c>
      <c r="G15" s="0" t="s">
        <v>16</v>
      </c>
      <c r="H15" s="0" t="n">
        <v>61</v>
      </c>
      <c r="I15" s="0" t="s">
        <v>65</v>
      </c>
      <c r="J15" s="0" t="s">
        <v>66</v>
      </c>
      <c r="K15" s="0" t="s">
        <v>67</v>
      </c>
      <c r="L15" s="0" t="str">
        <f aca="false">HYPERLINK("https://www.ncbi.nlm.nih.gov/nuccore/CP000304.1?report=graph&amp;tracks=[key:gene_model_track,Options:GeneOnly]&amp;mk=4194:4213|offset_14|444444,4241:4260|offset_61|00cc00,4277:4296|offset_97|444444,4299:4318|offset_119|444444&amp;v=3993:4518&amp;c=444444", "offset 61")</f>
        <v>offset 61</v>
      </c>
    </row>
    <row r="16" customFormat="false" ht="12.8" hidden="false" customHeight="false" outlineLevel="0" collapsed="false">
      <c r="A16" s="0" t="s">
        <v>12</v>
      </c>
      <c r="B16" s="0" t="n">
        <v>4276</v>
      </c>
      <c r="C16" s="0" t="n">
        <v>4296</v>
      </c>
      <c r="D16" s="0" t="s">
        <v>60</v>
      </c>
      <c r="E16" s="0" t="s">
        <v>61</v>
      </c>
      <c r="F16" s="0" t="s">
        <v>15</v>
      </c>
      <c r="G16" s="0" t="s">
        <v>16</v>
      </c>
      <c r="H16" s="0" t="n">
        <v>97</v>
      </c>
      <c r="I16" s="0" t="s">
        <v>68</v>
      </c>
      <c r="J16" s="0" t="s">
        <v>69</v>
      </c>
      <c r="K16" s="0" t="s">
        <v>70</v>
      </c>
      <c r="L16" s="0" t="str">
        <f aca="false">HYPERLINK("https://www.ncbi.nlm.nih.gov/nuccore/CP000304.1?report=graph&amp;tracks=[key:gene_model_track,Options:GeneOnly]&amp;mk=4194:4213|offset_14|444444,4241:4260|offset_61|444444,4277:4296|offset_97|00cc00,4299:4318|offset_119|444444&amp;v=3993:4518&amp;c=444444", "offset 97")</f>
        <v>offset 97</v>
      </c>
    </row>
    <row r="17" customFormat="false" ht="12.8" hidden="false" customHeight="false" outlineLevel="0" collapsed="false">
      <c r="A17" s="0" t="s">
        <v>12</v>
      </c>
      <c r="B17" s="0" t="n">
        <v>4298</v>
      </c>
      <c r="C17" s="0" t="n">
        <v>4318</v>
      </c>
      <c r="D17" s="0" t="s">
        <v>60</v>
      </c>
      <c r="E17" s="0" t="s">
        <v>61</v>
      </c>
      <c r="F17" s="0" t="s">
        <v>15</v>
      </c>
      <c r="G17" s="0" t="s">
        <v>32</v>
      </c>
      <c r="H17" s="0" t="n">
        <v>119</v>
      </c>
      <c r="I17" s="0" t="s">
        <v>71</v>
      </c>
      <c r="J17" s="0" t="s">
        <v>72</v>
      </c>
      <c r="K17" s="0" t="s">
        <v>73</v>
      </c>
      <c r="L17" s="0" t="str">
        <f aca="false">HYPERLINK("https://www.ncbi.nlm.nih.gov/nuccore/CP000304.1?report=graph&amp;tracks=[key:gene_model_track,Options:GeneOnly]&amp;mk=4194:4213|offset_14|444444,4241:4260|offset_61|444444,4277:4296|offset_97|444444,4299:4318|offset_119|00cc00&amp;v=3993:4518&amp;c=444444", "offset 119")</f>
        <v>offset 119</v>
      </c>
    </row>
    <row r="18" customFormat="false" ht="12.8" hidden="false" customHeight="false" outlineLevel="0" collapsed="false">
      <c r="A18" s="0" t="s">
        <v>12</v>
      </c>
      <c r="B18" s="0" t="n">
        <v>6797</v>
      </c>
      <c r="C18" s="0" t="n">
        <v>6817</v>
      </c>
      <c r="D18" s="0" t="s">
        <v>74</v>
      </c>
      <c r="E18" s="0" t="s">
        <v>75</v>
      </c>
      <c r="F18" s="0" t="s">
        <v>15</v>
      </c>
      <c r="G18" s="0" t="s">
        <v>32</v>
      </c>
      <c r="H18" s="0" t="n">
        <v>0</v>
      </c>
      <c r="I18" s="0" t="s">
        <v>76</v>
      </c>
      <c r="J18" s="0" t="s">
        <v>77</v>
      </c>
      <c r="K18" s="0" t="s">
        <v>78</v>
      </c>
      <c r="L18" s="0" t="str">
        <f aca="false">HYPERLINK("https://www.ncbi.nlm.nih.gov/nuccore/CP000304.1?report=graph&amp;tracks=[key:gene_model_track,Options:GeneOnly]&amp;mk=6798:6817|offset_0|00cc00,6898:6917|offset_100|444444,7108:7127|offset_310|444444,7138:7157|offset_340|444444&amp;v=6597:7357&amp;c=444444", "offset 0")</f>
        <v>offset 0</v>
      </c>
    </row>
    <row r="19" customFormat="false" ht="12.8" hidden="false" customHeight="false" outlineLevel="0" collapsed="false">
      <c r="A19" s="0" t="s">
        <v>12</v>
      </c>
      <c r="B19" s="0" t="n">
        <v>6897</v>
      </c>
      <c r="C19" s="0" t="n">
        <v>6917</v>
      </c>
      <c r="D19" s="0" t="s">
        <v>74</v>
      </c>
      <c r="E19" s="0" t="s">
        <v>75</v>
      </c>
      <c r="F19" s="0" t="s">
        <v>15</v>
      </c>
      <c r="G19" s="0" t="s">
        <v>36</v>
      </c>
      <c r="H19" s="0" t="n">
        <v>100</v>
      </c>
      <c r="I19" s="0" t="s">
        <v>79</v>
      </c>
      <c r="J19" s="0" t="s">
        <v>80</v>
      </c>
      <c r="K19" s="0" t="s">
        <v>81</v>
      </c>
      <c r="L19" s="0" t="str">
        <f aca="false">HYPERLINK("https://www.ncbi.nlm.nih.gov/nuccore/CP000304.1?report=graph&amp;tracks=[key:gene_model_track,Options:GeneOnly]&amp;mk=6798:6817|offset_0|444444,6898:6917|offset_100|00cc00,7108:7127|offset_310|444444,7138:7157|offset_340|444444&amp;v=6597:7357&amp;c=444444", "offset 100")</f>
        <v>offset 100</v>
      </c>
    </row>
    <row r="20" customFormat="false" ht="12.8" hidden="false" customHeight="false" outlineLevel="0" collapsed="false">
      <c r="A20" s="0" t="s">
        <v>12</v>
      </c>
      <c r="B20" s="0" t="n">
        <v>7107</v>
      </c>
      <c r="C20" s="0" t="n">
        <v>7127</v>
      </c>
      <c r="D20" s="0" t="s">
        <v>74</v>
      </c>
      <c r="E20" s="0" t="s">
        <v>75</v>
      </c>
      <c r="F20" s="0" t="s">
        <v>15</v>
      </c>
      <c r="G20" s="0" t="s">
        <v>16</v>
      </c>
      <c r="H20" s="0" t="n">
        <v>310</v>
      </c>
      <c r="I20" s="0" t="s">
        <v>82</v>
      </c>
      <c r="J20" s="0" t="s">
        <v>83</v>
      </c>
      <c r="K20" s="0" t="s">
        <v>84</v>
      </c>
      <c r="L20" s="0" t="str">
        <f aca="false">HYPERLINK("https://www.ncbi.nlm.nih.gov/nuccore/CP000304.1?report=graph&amp;tracks=[key:gene_model_track,Options:GeneOnly]&amp;mk=6798:6817|offset_0|444444,6898:6917|offset_100|444444,7108:7127|offset_310|00cc00,7138:7157|offset_340|444444&amp;v=6597:7357&amp;c=444444", "offset 310")</f>
        <v>offset 310</v>
      </c>
    </row>
    <row r="21" customFormat="false" ht="12.8" hidden="false" customHeight="false" outlineLevel="0" collapsed="false">
      <c r="A21" s="0" t="s">
        <v>12</v>
      </c>
      <c r="B21" s="0" t="n">
        <v>7137</v>
      </c>
      <c r="C21" s="0" t="n">
        <v>7157</v>
      </c>
      <c r="D21" s="0" t="s">
        <v>74</v>
      </c>
      <c r="E21" s="0" t="s">
        <v>75</v>
      </c>
      <c r="F21" s="0" t="s">
        <v>15</v>
      </c>
      <c r="G21" s="0" t="s">
        <v>36</v>
      </c>
      <c r="H21" s="0" t="n">
        <v>340</v>
      </c>
      <c r="I21" s="0" t="s">
        <v>85</v>
      </c>
      <c r="J21" s="0" t="s">
        <v>86</v>
      </c>
      <c r="K21" s="0" t="s">
        <v>87</v>
      </c>
      <c r="L21" s="0" t="str">
        <f aca="false">HYPERLINK("https://www.ncbi.nlm.nih.gov/nuccore/CP000304.1?report=graph&amp;tracks=[key:gene_model_track,Options:GeneOnly]&amp;mk=6798:6817|offset_0|444444,6898:6917|offset_100|444444,7108:7127|offset_310|444444,7138:7157|offset_340|00cc00&amp;v=6597:7357&amp;c=444444", "offset 340")</f>
        <v>offset 340</v>
      </c>
    </row>
    <row r="22" customFormat="false" ht="12.8" hidden="false" customHeight="false" outlineLevel="0" collapsed="false">
      <c r="A22" s="0" t="s">
        <v>12</v>
      </c>
      <c r="B22" s="0" t="n">
        <v>9784</v>
      </c>
      <c r="C22" s="0" t="n">
        <v>9804</v>
      </c>
      <c r="D22" s="0" t="s">
        <v>88</v>
      </c>
      <c r="E22" s="0" t="s">
        <v>89</v>
      </c>
      <c r="F22" s="0" t="s">
        <v>90</v>
      </c>
      <c r="G22" s="0" t="s">
        <v>26</v>
      </c>
      <c r="H22" s="0" t="n">
        <v>0</v>
      </c>
      <c r="I22" s="0" t="s">
        <v>91</v>
      </c>
      <c r="J22" s="0" t="s">
        <v>92</v>
      </c>
      <c r="K22" s="0" t="s">
        <v>93</v>
      </c>
      <c r="L22" s="0" t="str">
        <f aca="false">HYPERLINK("https://www.ncbi.nlm.nih.gov/nuccore/CP000304.1?report=graph&amp;tracks=[key:gene_model_track,Options:GeneOnly]&amp;mk=9785:9804|offset_0|00cc00,9765:9784|offset_20|444444,9738:9757|offset_47|444444,9718:9737|offset_67|444444&amp;v=9584:9937&amp;c=444444", "offset 0")</f>
        <v>offset 0</v>
      </c>
    </row>
    <row r="23" customFormat="false" ht="12.8" hidden="false" customHeight="false" outlineLevel="0" collapsed="false">
      <c r="A23" s="0" t="s">
        <v>12</v>
      </c>
      <c r="B23" s="0" t="n">
        <v>9764</v>
      </c>
      <c r="C23" s="0" t="n">
        <v>9784</v>
      </c>
      <c r="D23" s="0" t="s">
        <v>88</v>
      </c>
      <c r="E23" s="0" t="s">
        <v>89</v>
      </c>
      <c r="F23" s="0" t="s">
        <v>90</v>
      </c>
      <c r="G23" s="0" t="s">
        <v>32</v>
      </c>
      <c r="H23" s="0" t="n">
        <v>20</v>
      </c>
      <c r="I23" s="0" t="s">
        <v>94</v>
      </c>
      <c r="J23" s="0" t="s">
        <v>95</v>
      </c>
      <c r="K23" s="0" t="s">
        <v>96</v>
      </c>
      <c r="L23" s="0" t="str">
        <f aca="false">HYPERLINK("https://www.ncbi.nlm.nih.gov/nuccore/CP000304.1?report=graph&amp;tracks=[key:gene_model_track,Options:GeneOnly]&amp;mk=9785:9804|offset_0|444444,9765:9784|offset_20|00cc00,9738:9757|offset_47|444444,9718:9737|offset_67|444444&amp;v=9584:9937&amp;c=444444", "offset 20")</f>
        <v>offset 20</v>
      </c>
    </row>
    <row r="24" customFormat="false" ht="12.8" hidden="false" customHeight="false" outlineLevel="0" collapsed="false">
      <c r="A24" s="0" t="s">
        <v>12</v>
      </c>
      <c r="B24" s="0" t="n">
        <v>9737</v>
      </c>
      <c r="C24" s="0" t="n">
        <v>9757</v>
      </c>
      <c r="D24" s="0" t="s">
        <v>88</v>
      </c>
      <c r="E24" s="0" t="s">
        <v>89</v>
      </c>
      <c r="F24" s="0" t="s">
        <v>90</v>
      </c>
      <c r="G24" s="0" t="s">
        <v>26</v>
      </c>
      <c r="H24" s="0" t="n">
        <v>47</v>
      </c>
      <c r="I24" s="0" t="s">
        <v>97</v>
      </c>
      <c r="J24" s="0" t="s">
        <v>98</v>
      </c>
      <c r="K24" s="0" t="s">
        <v>99</v>
      </c>
      <c r="L24" s="0" t="str">
        <f aca="false">HYPERLINK("https://www.ncbi.nlm.nih.gov/nuccore/CP000304.1?report=graph&amp;tracks=[key:gene_model_track,Options:GeneOnly]&amp;mk=9785:9804|offset_0|444444,9765:9784|offset_20|444444,9738:9757|offset_47|00cc00,9718:9737|offset_67|444444&amp;v=9584:9937&amp;c=444444", "offset 47")</f>
        <v>offset 47</v>
      </c>
    </row>
    <row r="25" customFormat="false" ht="12.8" hidden="false" customHeight="false" outlineLevel="0" collapsed="false">
      <c r="A25" s="0" t="s">
        <v>12</v>
      </c>
      <c r="B25" s="0" t="n">
        <v>9717</v>
      </c>
      <c r="C25" s="0" t="n">
        <v>9737</v>
      </c>
      <c r="D25" s="0" t="s">
        <v>88</v>
      </c>
      <c r="E25" s="0" t="s">
        <v>89</v>
      </c>
      <c r="F25" s="0" t="s">
        <v>90</v>
      </c>
      <c r="G25" s="0" t="s">
        <v>16</v>
      </c>
      <c r="H25" s="0" t="n">
        <v>67</v>
      </c>
      <c r="I25" s="0" t="s">
        <v>100</v>
      </c>
      <c r="J25" s="0" t="s">
        <v>101</v>
      </c>
      <c r="K25" s="0" t="s">
        <v>102</v>
      </c>
      <c r="L25" s="0" t="str">
        <f aca="false">HYPERLINK("https://www.ncbi.nlm.nih.gov/nuccore/CP000304.1?report=graph&amp;tracks=[key:gene_model_track,Options:GeneOnly]&amp;mk=9785:9804|offset_0|444444,9765:9784|offset_20|444444,9738:9757|offset_47|444444,9718:9737|offset_67|00cc00&amp;v=9584:9937&amp;c=444444", "offset 67")</f>
        <v>offset 67</v>
      </c>
    </row>
    <row r="26" customFormat="false" ht="12.8" hidden="false" customHeight="false" outlineLevel="0" collapsed="false">
      <c r="A26" s="0" t="s">
        <v>12</v>
      </c>
      <c r="B26" s="0" t="n">
        <v>10573</v>
      </c>
      <c r="C26" s="0" t="n">
        <v>10593</v>
      </c>
      <c r="D26" s="0" t="s">
        <v>103</v>
      </c>
      <c r="E26" s="0" t="s">
        <v>89</v>
      </c>
      <c r="F26" s="0" t="s">
        <v>90</v>
      </c>
      <c r="G26" s="0" t="s">
        <v>26</v>
      </c>
      <c r="H26" s="0" t="n">
        <v>8</v>
      </c>
      <c r="I26" s="0" t="s">
        <v>104</v>
      </c>
      <c r="J26" s="0" t="s">
        <v>105</v>
      </c>
      <c r="K26" s="0" t="s">
        <v>106</v>
      </c>
      <c r="L26" s="0" t="str">
        <f aca="false">HYPERLINK("https://www.ncbi.nlm.nih.gov/nuccore/CP000304.1?report=graph&amp;tracks=[key:gene_model_track,Options:GeneOnly]&amp;mk=10574:10593|offset_8|00cc00,10530:10549|offset_52|444444,10508:10527|offset_74|444444,10486:10505|offset_96|444444&amp;v=10373:10705&amp;c=444444", "offset 8")</f>
        <v>offset 8</v>
      </c>
    </row>
    <row r="27" customFormat="false" ht="12.8" hidden="false" customHeight="false" outlineLevel="0" collapsed="false">
      <c r="A27" s="0" t="s">
        <v>12</v>
      </c>
      <c r="B27" s="0" t="n">
        <v>10529</v>
      </c>
      <c r="C27" s="0" t="n">
        <v>10549</v>
      </c>
      <c r="D27" s="0" t="s">
        <v>103</v>
      </c>
      <c r="E27" s="0" t="s">
        <v>89</v>
      </c>
      <c r="F27" s="0" t="s">
        <v>90</v>
      </c>
      <c r="G27" s="0" t="s">
        <v>26</v>
      </c>
      <c r="H27" s="0" t="n">
        <v>52</v>
      </c>
      <c r="I27" s="0" t="s">
        <v>107</v>
      </c>
      <c r="J27" s="0" t="s">
        <v>108</v>
      </c>
      <c r="K27" s="0" t="s">
        <v>109</v>
      </c>
      <c r="L27" s="0" t="str">
        <f aca="false">HYPERLINK("https://www.ncbi.nlm.nih.gov/nuccore/CP000304.1?report=graph&amp;tracks=[key:gene_model_track,Options:GeneOnly]&amp;mk=10574:10593|offset_8|444444,10530:10549|offset_52|00cc00,10508:10527|offset_74|444444,10486:10505|offset_96|444444&amp;v=10373:10705&amp;c=444444", "offset 52")</f>
        <v>offset 52</v>
      </c>
    </row>
    <row r="28" customFormat="false" ht="12.8" hidden="false" customHeight="false" outlineLevel="0" collapsed="false">
      <c r="A28" s="0" t="s">
        <v>12</v>
      </c>
      <c r="B28" s="0" t="n">
        <v>10507</v>
      </c>
      <c r="C28" s="0" t="n">
        <v>10527</v>
      </c>
      <c r="D28" s="0" t="s">
        <v>103</v>
      </c>
      <c r="E28" s="0" t="s">
        <v>89</v>
      </c>
      <c r="F28" s="0" t="s">
        <v>90</v>
      </c>
      <c r="G28" s="0" t="s">
        <v>26</v>
      </c>
      <c r="H28" s="0" t="n">
        <v>74</v>
      </c>
      <c r="I28" s="0" t="s">
        <v>110</v>
      </c>
      <c r="J28" s="0" t="s">
        <v>111</v>
      </c>
      <c r="K28" s="0" t="s">
        <v>112</v>
      </c>
      <c r="L28" s="0" t="str">
        <f aca="false">HYPERLINK("https://www.ncbi.nlm.nih.gov/nuccore/CP000304.1?report=graph&amp;tracks=[key:gene_model_track,Options:GeneOnly]&amp;mk=10574:10593|offset_8|444444,10530:10549|offset_52|444444,10508:10527|offset_74|00cc00,10486:10505|offset_96|444444&amp;v=10373:10705&amp;c=444444", "offset 74")</f>
        <v>offset 74</v>
      </c>
    </row>
    <row r="29" customFormat="false" ht="12.8" hidden="false" customHeight="false" outlineLevel="0" collapsed="false">
      <c r="A29" s="0" t="s">
        <v>12</v>
      </c>
      <c r="B29" s="0" t="n">
        <v>10485</v>
      </c>
      <c r="C29" s="0" t="n">
        <v>10505</v>
      </c>
      <c r="D29" s="0" t="s">
        <v>103</v>
      </c>
      <c r="E29" s="0" t="s">
        <v>89</v>
      </c>
      <c r="F29" s="0" t="s">
        <v>90</v>
      </c>
      <c r="G29" s="0" t="s">
        <v>36</v>
      </c>
      <c r="H29" s="0" t="n">
        <v>96</v>
      </c>
      <c r="I29" s="0" t="s">
        <v>113</v>
      </c>
      <c r="J29" s="0" t="s">
        <v>114</v>
      </c>
      <c r="K29" s="0" t="s">
        <v>115</v>
      </c>
      <c r="L29" s="0" t="str">
        <f aca="false">HYPERLINK("https://www.ncbi.nlm.nih.gov/nuccore/CP000304.1?report=graph&amp;tracks=[key:gene_model_track,Options:GeneOnly]&amp;mk=10574:10593|offset_8|444444,10530:10549|offset_52|444444,10508:10527|offset_74|444444,10486:10505|offset_96|00cc00&amp;v=10373:10705&amp;c=444444", "offset 96")</f>
        <v>offset 96</v>
      </c>
    </row>
    <row r="30" customFormat="false" ht="12.8" hidden="false" customHeight="false" outlineLevel="0" collapsed="false">
      <c r="A30" s="0" t="s">
        <v>12</v>
      </c>
      <c r="B30" s="0" t="n">
        <v>11120</v>
      </c>
      <c r="C30" s="0" t="n">
        <v>11140</v>
      </c>
      <c r="D30" s="0" t="s">
        <v>116</v>
      </c>
      <c r="E30" s="0" t="s">
        <v>89</v>
      </c>
      <c r="F30" s="0" t="s">
        <v>90</v>
      </c>
      <c r="G30" s="0" t="s">
        <v>36</v>
      </c>
      <c r="H30" s="0" t="n">
        <v>36</v>
      </c>
      <c r="I30" s="0" t="s">
        <v>117</v>
      </c>
      <c r="J30" s="0" t="s">
        <v>118</v>
      </c>
      <c r="K30" s="0" t="s">
        <v>119</v>
      </c>
      <c r="L30" s="0" t="str">
        <f aca="false">HYPERLINK("https://www.ncbi.nlm.nih.gov/nuccore/CP000304.1?report=graph&amp;tracks=[key:gene_model_track,Options:GeneOnly]&amp;mk=11121:11140|offset_36|00cc00,11098:11117|offset_59|444444,11072:11091|offset_85|444444,11037:11056|offset_120|444444&amp;v=10920:11256&amp;c=444444", "offset 36")</f>
        <v>offset 36</v>
      </c>
    </row>
    <row r="31" customFormat="false" ht="12.8" hidden="false" customHeight="false" outlineLevel="0" collapsed="false">
      <c r="A31" s="0" t="s">
        <v>12</v>
      </c>
      <c r="B31" s="0" t="n">
        <v>11097</v>
      </c>
      <c r="C31" s="0" t="n">
        <v>11117</v>
      </c>
      <c r="D31" s="0" t="s">
        <v>116</v>
      </c>
      <c r="E31" s="0" t="s">
        <v>89</v>
      </c>
      <c r="F31" s="0" t="s">
        <v>90</v>
      </c>
      <c r="G31" s="0" t="s">
        <v>16</v>
      </c>
      <c r="H31" s="0" t="n">
        <v>59</v>
      </c>
      <c r="I31" s="0" t="s">
        <v>120</v>
      </c>
      <c r="J31" s="0" t="s">
        <v>121</v>
      </c>
      <c r="K31" s="0" t="s">
        <v>122</v>
      </c>
      <c r="L31" s="0" t="str">
        <f aca="false">HYPERLINK("https://www.ncbi.nlm.nih.gov/nuccore/CP000304.1?report=graph&amp;tracks=[key:gene_model_track,Options:GeneOnly]&amp;mk=11121:11140|offset_36|444444,11098:11117|offset_59|00cc00,11072:11091|offset_85|444444,11037:11056|offset_120|444444&amp;v=10920:11256&amp;c=444444", "offset 59")</f>
        <v>offset 59</v>
      </c>
    </row>
    <row r="32" customFormat="false" ht="12.8" hidden="false" customHeight="false" outlineLevel="0" collapsed="false">
      <c r="A32" s="0" t="s">
        <v>12</v>
      </c>
      <c r="B32" s="0" t="n">
        <v>11071</v>
      </c>
      <c r="C32" s="0" t="n">
        <v>11091</v>
      </c>
      <c r="D32" s="0" t="s">
        <v>116</v>
      </c>
      <c r="E32" s="0" t="s">
        <v>89</v>
      </c>
      <c r="F32" s="0" t="s">
        <v>90</v>
      </c>
      <c r="G32" s="0" t="s">
        <v>16</v>
      </c>
      <c r="H32" s="0" t="n">
        <v>85</v>
      </c>
      <c r="I32" s="0" t="s">
        <v>123</v>
      </c>
      <c r="J32" s="0" t="s">
        <v>124</v>
      </c>
      <c r="K32" s="0" t="s">
        <v>125</v>
      </c>
      <c r="L32" s="0" t="str">
        <f aca="false">HYPERLINK("https://www.ncbi.nlm.nih.gov/nuccore/CP000304.1?report=graph&amp;tracks=[key:gene_model_track,Options:GeneOnly]&amp;mk=11121:11140|offset_36|444444,11098:11117|offset_59|444444,11072:11091|offset_85|00cc00,11037:11056|offset_120|444444&amp;v=10920:11256&amp;c=444444", "offset 85")</f>
        <v>offset 85</v>
      </c>
    </row>
    <row r="33" customFormat="false" ht="12.8" hidden="false" customHeight="false" outlineLevel="0" collapsed="false">
      <c r="A33" s="0" t="s">
        <v>12</v>
      </c>
      <c r="B33" s="0" t="n">
        <v>11036</v>
      </c>
      <c r="C33" s="0" t="n">
        <v>11056</v>
      </c>
      <c r="D33" s="0" t="s">
        <v>116</v>
      </c>
      <c r="E33" s="0" t="s">
        <v>89</v>
      </c>
      <c r="F33" s="0" t="s">
        <v>90</v>
      </c>
      <c r="G33" s="0" t="s">
        <v>36</v>
      </c>
      <c r="H33" s="0" t="n">
        <v>120</v>
      </c>
      <c r="I33" s="0" t="s">
        <v>126</v>
      </c>
      <c r="J33" s="0" t="s">
        <v>127</v>
      </c>
      <c r="K33" s="0" t="s">
        <v>128</v>
      </c>
      <c r="L33" s="0" t="str">
        <f aca="false">HYPERLINK("https://www.ncbi.nlm.nih.gov/nuccore/CP000304.1?report=graph&amp;tracks=[key:gene_model_track,Options:GeneOnly]&amp;mk=11121:11140|offset_36|444444,11098:11117|offset_59|444444,11072:11091|offset_85|444444,11037:11056|offset_120|00cc00&amp;v=10920:11256&amp;c=444444", "offset 120")</f>
        <v>offset 120</v>
      </c>
    </row>
    <row r="34" customFormat="false" ht="12.8" hidden="false" customHeight="false" outlineLevel="0" collapsed="false">
      <c r="A34" s="0" t="s">
        <v>12</v>
      </c>
      <c r="B34" s="0" t="n">
        <v>13159</v>
      </c>
      <c r="C34" s="0" t="n">
        <v>13179</v>
      </c>
      <c r="D34" s="0" t="s">
        <v>129</v>
      </c>
      <c r="E34" s="0" t="s">
        <v>130</v>
      </c>
      <c r="F34" s="0" t="s">
        <v>90</v>
      </c>
      <c r="G34" s="0" t="s">
        <v>26</v>
      </c>
      <c r="H34" s="0" t="n">
        <v>20</v>
      </c>
      <c r="I34" s="0" t="s">
        <v>131</v>
      </c>
      <c r="J34" s="0" t="s">
        <v>132</v>
      </c>
      <c r="K34" s="0" t="s">
        <v>133</v>
      </c>
      <c r="L34" s="0" t="str">
        <f aca="false">HYPERLINK("https://www.ncbi.nlm.nih.gov/nuccore/CP000304.1?report=graph&amp;tracks=[key:gene_model_track,Options:GeneOnly]&amp;mk=13160:13179|offset_20|00cc00,13132:13151|offset_48|444444,13107:13126|offset_73|444444,13065:13084|offset_115|444444&amp;v=12959:13284&amp;c=444444", "offset 20")</f>
        <v>offset 20</v>
      </c>
    </row>
    <row r="35" customFormat="false" ht="12.8" hidden="false" customHeight="false" outlineLevel="0" collapsed="false">
      <c r="A35" s="0" t="s">
        <v>12</v>
      </c>
      <c r="B35" s="0" t="n">
        <v>13131</v>
      </c>
      <c r="C35" s="0" t="n">
        <v>13151</v>
      </c>
      <c r="D35" s="0" t="s">
        <v>129</v>
      </c>
      <c r="E35" s="0" t="s">
        <v>130</v>
      </c>
      <c r="F35" s="0" t="s">
        <v>90</v>
      </c>
      <c r="G35" s="0" t="s">
        <v>32</v>
      </c>
      <c r="H35" s="0" t="n">
        <v>48</v>
      </c>
      <c r="I35" s="0" t="s">
        <v>134</v>
      </c>
      <c r="J35" s="0" t="s">
        <v>135</v>
      </c>
      <c r="K35" s="0" t="s">
        <v>136</v>
      </c>
      <c r="L35" s="0" t="str">
        <f aca="false">HYPERLINK("https://www.ncbi.nlm.nih.gov/nuccore/CP000304.1?report=graph&amp;tracks=[key:gene_model_track,Options:GeneOnly]&amp;mk=13160:13179|offset_20|444444,13132:13151|offset_48|00cc00,13107:13126|offset_73|444444,13065:13084|offset_115|444444&amp;v=12959:13284&amp;c=444444", "offset 48")</f>
        <v>offset 48</v>
      </c>
    </row>
    <row r="36" customFormat="false" ht="12.8" hidden="false" customHeight="false" outlineLevel="0" collapsed="false">
      <c r="A36" s="0" t="s">
        <v>12</v>
      </c>
      <c r="B36" s="0" t="n">
        <v>13106</v>
      </c>
      <c r="C36" s="0" t="n">
        <v>13126</v>
      </c>
      <c r="D36" s="0" t="s">
        <v>129</v>
      </c>
      <c r="E36" s="0" t="s">
        <v>130</v>
      </c>
      <c r="F36" s="0" t="s">
        <v>90</v>
      </c>
      <c r="G36" s="0" t="s">
        <v>16</v>
      </c>
      <c r="H36" s="0" t="n">
        <v>73</v>
      </c>
      <c r="I36" s="0" t="s">
        <v>137</v>
      </c>
      <c r="J36" s="0" t="s">
        <v>138</v>
      </c>
      <c r="K36" s="0" t="s">
        <v>139</v>
      </c>
      <c r="L36" s="0" t="str">
        <f aca="false">HYPERLINK("https://www.ncbi.nlm.nih.gov/nuccore/CP000304.1?report=graph&amp;tracks=[key:gene_model_track,Options:GeneOnly]&amp;mk=13160:13179|offset_20|444444,13132:13151|offset_48|444444,13107:13126|offset_73|00cc00,13065:13084|offset_115|444444&amp;v=12959:13284&amp;c=444444", "offset 73")</f>
        <v>offset 73</v>
      </c>
    </row>
    <row r="37" customFormat="false" ht="12.8" hidden="false" customHeight="false" outlineLevel="0" collapsed="false">
      <c r="A37" s="0" t="s">
        <v>12</v>
      </c>
      <c r="B37" s="0" t="n">
        <v>13064</v>
      </c>
      <c r="C37" s="0" t="n">
        <v>13084</v>
      </c>
      <c r="D37" s="0" t="s">
        <v>129</v>
      </c>
      <c r="E37" s="0" t="s">
        <v>130</v>
      </c>
      <c r="F37" s="0" t="s">
        <v>90</v>
      </c>
      <c r="G37" s="0" t="s">
        <v>16</v>
      </c>
      <c r="H37" s="0" t="n">
        <v>115</v>
      </c>
      <c r="I37" s="0" t="s">
        <v>140</v>
      </c>
      <c r="J37" s="0" t="s">
        <v>141</v>
      </c>
      <c r="K37" s="0" t="s">
        <v>142</v>
      </c>
      <c r="L37" s="0" t="str">
        <f aca="false">HYPERLINK("https://www.ncbi.nlm.nih.gov/nuccore/CP000304.1?report=graph&amp;tracks=[key:gene_model_track,Options:GeneOnly]&amp;mk=13160:13179|offset_20|444444,13132:13151|offset_48|444444,13107:13126|offset_73|444444,13065:13084|offset_115|00cc00&amp;v=12959:13284&amp;c=444444", "offset 115")</f>
        <v>offset 115</v>
      </c>
    </row>
    <row r="38" customFormat="false" ht="12.8" hidden="false" customHeight="false" outlineLevel="0" collapsed="false">
      <c r="A38" s="0" t="s">
        <v>12</v>
      </c>
      <c r="B38" s="0" t="n">
        <v>14034</v>
      </c>
      <c r="C38" s="0" t="n">
        <v>14054</v>
      </c>
      <c r="D38" s="0" t="s">
        <v>143</v>
      </c>
      <c r="E38" s="0" t="s">
        <v>144</v>
      </c>
      <c r="F38" s="0" t="s">
        <v>90</v>
      </c>
      <c r="G38" s="0" t="s">
        <v>26</v>
      </c>
      <c r="H38" s="0" t="n">
        <v>8</v>
      </c>
      <c r="I38" s="0" t="s">
        <v>145</v>
      </c>
      <c r="J38" s="0" t="s">
        <v>146</v>
      </c>
      <c r="K38" s="0" t="s">
        <v>147</v>
      </c>
      <c r="L38" s="0" t="str">
        <f aca="false">HYPERLINK("https://www.ncbi.nlm.nih.gov/nuccore/CP000304.1?report=graph&amp;tracks=[key:gene_model_track,Options:GeneOnly]&amp;mk=14035:14054|offset_8|00cc00,14006:14025|offset_37|444444,13985:14004|offset_58|444444,13965:13984|offset_78|444444&amp;v=13834:14184&amp;c=444444", "offset 8")</f>
        <v>offset 8</v>
      </c>
    </row>
    <row r="39" customFormat="false" ht="12.8" hidden="false" customHeight="false" outlineLevel="0" collapsed="false">
      <c r="A39" s="0" t="s">
        <v>12</v>
      </c>
      <c r="B39" s="0" t="n">
        <v>14005</v>
      </c>
      <c r="C39" s="0" t="n">
        <v>14025</v>
      </c>
      <c r="D39" s="0" t="s">
        <v>143</v>
      </c>
      <c r="E39" s="0" t="s">
        <v>144</v>
      </c>
      <c r="F39" s="0" t="s">
        <v>90</v>
      </c>
      <c r="G39" s="0" t="s">
        <v>16</v>
      </c>
      <c r="H39" s="0" t="n">
        <v>37</v>
      </c>
      <c r="I39" s="0" t="s">
        <v>148</v>
      </c>
      <c r="J39" s="0" t="s">
        <v>149</v>
      </c>
      <c r="K39" s="0" t="s">
        <v>150</v>
      </c>
      <c r="L39" s="0" t="str">
        <f aca="false">HYPERLINK("https://www.ncbi.nlm.nih.gov/nuccore/CP000304.1?report=graph&amp;tracks=[key:gene_model_track,Options:GeneOnly]&amp;mk=14035:14054|offset_8|444444,14006:14025|offset_37|00cc00,13985:14004|offset_58|444444,13965:13984|offset_78|444444&amp;v=13834:14184&amp;c=444444", "offset 37")</f>
        <v>offset 37</v>
      </c>
    </row>
    <row r="40" customFormat="false" ht="12.8" hidden="false" customHeight="false" outlineLevel="0" collapsed="false">
      <c r="A40" s="0" t="s">
        <v>12</v>
      </c>
      <c r="B40" s="0" t="n">
        <v>13984</v>
      </c>
      <c r="C40" s="0" t="n">
        <v>14004</v>
      </c>
      <c r="D40" s="0" t="s">
        <v>143</v>
      </c>
      <c r="E40" s="0" t="s">
        <v>144</v>
      </c>
      <c r="F40" s="0" t="s">
        <v>90</v>
      </c>
      <c r="G40" s="0" t="s">
        <v>26</v>
      </c>
      <c r="H40" s="0" t="n">
        <v>58</v>
      </c>
      <c r="I40" s="0" t="s">
        <v>151</v>
      </c>
      <c r="J40" s="0" t="s">
        <v>152</v>
      </c>
      <c r="K40" s="0" t="s">
        <v>153</v>
      </c>
      <c r="L40" s="0" t="str">
        <f aca="false">HYPERLINK("https://www.ncbi.nlm.nih.gov/nuccore/CP000304.1?report=graph&amp;tracks=[key:gene_model_track,Options:GeneOnly]&amp;mk=14035:14054|offset_8|444444,14006:14025|offset_37|444444,13985:14004|offset_58|00cc00,13965:13984|offset_78|444444&amp;v=13834:14184&amp;c=444444", "offset 58")</f>
        <v>offset 58</v>
      </c>
    </row>
    <row r="41" customFormat="false" ht="12.8" hidden="false" customHeight="false" outlineLevel="0" collapsed="false">
      <c r="A41" s="0" t="s">
        <v>12</v>
      </c>
      <c r="B41" s="0" t="n">
        <v>13964</v>
      </c>
      <c r="C41" s="0" t="n">
        <v>13984</v>
      </c>
      <c r="D41" s="0" t="s">
        <v>143</v>
      </c>
      <c r="E41" s="0" t="s">
        <v>144</v>
      </c>
      <c r="F41" s="0" t="s">
        <v>90</v>
      </c>
      <c r="G41" s="0" t="s">
        <v>36</v>
      </c>
      <c r="H41" s="0" t="n">
        <v>78</v>
      </c>
      <c r="I41" s="0" t="s">
        <v>154</v>
      </c>
      <c r="J41" s="0" t="s">
        <v>155</v>
      </c>
      <c r="K41" s="0" t="s">
        <v>156</v>
      </c>
      <c r="L41" s="0" t="str">
        <f aca="false">HYPERLINK("https://www.ncbi.nlm.nih.gov/nuccore/CP000304.1?report=graph&amp;tracks=[key:gene_model_track,Options:GeneOnly]&amp;mk=14035:14054|offset_8|444444,14006:14025|offset_37|444444,13985:14004|offset_58|444444,13965:13984|offset_78|00cc00&amp;v=13834:14184&amp;c=444444", "offset 78")</f>
        <v>offset 78</v>
      </c>
    </row>
    <row r="42" customFormat="false" ht="12.8" hidden="false" customHeight="false" outlineLevel="0" collapsed="false">
      <c r="A42" s="0" t="s">
        <v>12</v>
      </c>
      <c r="B42" s="0" t="n">
        <v>14266</v>
      </c>
      <c r="C42" s="0" t="n">
        <v>14286</v>
      </c>
      <c r="D42" s="0" t="s">
        <v>157</v>
      </c>
      <c r="E42" s="0" t="s">
        <v>158</v>
      </c>
      <c r="F42" s="0" t="s">
        <v>15</v>
      </c>
      <c r="G42" s="0" t="s">
        <v>26</v>
      </c>
      <c r="H42" s="0" t="n">
        <v>16</v>
      </c>
      <c r="I42" s="0" t="s">
        <v>159</v>
      </c>
      <c r="J42" s="0" t="s">
        <v>160</v>
      </c>
      <c r="K42" s="0" t="s">
        <v>161</v>
      </c>
      <c r="L42" s="0" t="str">
        <f aca="false">HYPERLINK("https://www.ncbi.nlm.nih.gov/nuccore/CP000304.1?report=graph&amp;tracks=[key:gene_model_track,Options:GeneOnly]&amp;mk=14267:14286|offset_16|00cc00,14301:14320|offset_50|444444,14327:14346|offset_76|444444,14355:14374|offset_104|444444&amp;v=14066:14574&amp;c=444444", "offset 16")</f>
        <v>offset 16</v>
      </c>
    </row>
    <row r="43" customFormat="false" ht="12.8" hidden="false" customHeight="false" outlineLevel="0" collapsed="false">
      <c r="A43" s="0" t="s">
        <v>12</v>
      </c>
      <c r="B43" s="0" t="n">
        <v>14300</v>
      </c>
      <c r="C43" s="0" t="n">
        <v>14320</v>
      </c>
      <c r="D43" s="0" t="s">
        <v>157</v>
      </c>
      <c r="E43" s="0" t="s">
        <v>158</v>
      </c>
      <c r="F43" s="0" t="s">
        <v>15</v>
      </c>
      <c r="G43" s="0" t="s">
        <v>32</v>
      </c>
      <c r="H43" s="0" t="n">
        <v>50</v>
      </c>
      <c r="I43" s="0" t="s">
        <v>162</v>
      </c>
      <c r="J43" s="0" t="s">
        <v>163</v>
      </c>
      <c r="K43" s="0" t="s">
        <v>164</v>
      </c>
      <c r="L43" s="0" t="str">
        <f aca="false">HYPERLINK("https://www.ncbi.nlm.nih.gov/nuccore/CP000304.1?report=graph&amp;tracks=[key:gene_model_track,Options:GeneOnly]&amp;mk=14267:14286|offset_16|444444,14301:14320|offset_50|00cc00,14327:14346|offset_76|444444,14355:14374|offset_104|444444&amp;v=14066:14574&amp;c=444444", "offset 50")</f>
        <v>offset 50</v>
      </c>
    </row>
    <row r="44" customFormat="false" ht="12.8" hidden="false" customHeight="false" outlineLevel="0" collapsed="false">
      <c r="A44" s="0" t="s">
        <v>12</v>
      </c>
      <c r="B44" s="0" t="n">
        <v>14326</v>
      </c>
      <c r="C44" s="0" t="n">
        <v>14346</v>
      </c>
      <c r="D44" s="0" t="s">
        <v>157</v>
      </c>
      <c r="E44" s="0" t="s">
        <v>158</v>
      </c>
      <c r="F44" s="0" t="s">
        <v>15</v>
      </c>
      <c r="G44" s="0" t="s">
        <v>36</v>
      </c>
      <c r="H44" s="0" t="n">
        <v>76</v>
      </c>
      <c r="I44" s="0" t="s">
        <v>165</v>
      </c>
      <c r="J44" s="0" t="s">
        <v>166</v>
      </c>
      <c r="K44" s="0" t="s">
        <v>167</v>
      </c>
      <c r="L44" s="0" t="str">
        <f aca="false">HYPERLINK("https://www.ncbi.nlm.nih.gov/nuccore/CP000304.1?report=graph&amp;tracks=[key:gene_model_track,Options:GeneOnly]&amp;mk=14267:14286|offset_16|444444,14301:14320|offset_50|444444,14327:14346|offset_76|00cc00,14355:14374|offset_104|444444&amp;v=14066:14574&amp;c=444444", "offset 76")</f>
        <v>offset 76</v>
      </c>
    </row>
    <row r="45" customFormat="false" ht="12.8" hidden="false" customHeight="false" outlineLevel="0" collapsed="false">
      <c r="A45" s="0" t="s">
        <v>12</v>
      </c>
      <c r="B45" s="0" t="n">
        <v>14354</v>
      </c>
      <c r="C45" s="0" t="n">
        <v>14374</v>
      </c>
      <c r="D45" s="0" t="s">
        <v>157</v>
      </c>
      <c r="E45" s="0" t="s">
        <v>158</v>
      </c>
      <c r="F45" s="0" t="s">
        <v>15</v>
      </c>
      <c r="G45" s="0" t="s">
        <v>26</v>
      </c>
      <c r="H45" s="0" t="n">
        <v>104</v>
      </c>
      <c r="I45" s="0" t="s">
        <v>168</v>
      </c>
      <c r="J45" s="0" t="s">
        <v>169</v>
      </c>
      <c r="K45" s="0" t="s">
        <v>170</v>
      </c>
      <c r="L45" s="0" t="str">
        <f aca="false">HYPERLINK("https://www.ncbi.nlm.nih.gov/nuccore/CP000304.1?report=graph&amp;tracks=[key:gene_model_track,Options:GeneOnly]&amp;mk=14267:14286|offset_16|444444,14301:14320|offset_50|444444,14327:14346|offset_76|444444,14355:14374|offset_104|00cc00&amp;v=14066:14574&amp;c=444444", "offset 104")</f>
        <v>offset 104</v>
      </c>
    </row>
    <row r="46" customFormat="false" ht="12.8" hidden="false" customHeight="false" outlineLevel="0" collapsed="false">
      <c r="A46" s="0" t="s">
        <v>12</v>
      </c>
      <c r="B46" s="0" t="n">
        <v>15024</v>
      </c>
      <c r="C46" s="0" t="n">
        <v>15044</v>
      </c>
      <c r="D46" s="0" t="s">
        <v>171</v>
      </c>
      <c r="E46" s="0" t="s">
        <v>89</v>
      </c>
      <c r="F46" s="0" t="s">
        <v>15</v>
      </c>
      <c r="G46" s="0" t="s">
        <v>16</v>
      </c>
      <c r="H46" s="0" t="n">
        <v>15</v>
      </c>
      <c r="I46" s="0" t="s">
        <v>172</v>
      </c>
      <c r="J46" s="0" t="s">
        <v>173</v>
      </c>
      <c r="K46" s="0" t="s">
        <v>174</v>
      </c>
      <c r="L46" s="0" t="str">
        <f aca="false">HYPERLINK("https://www.ncbi.nlm.nih.gov/nuccore/CP000304.1?report=graph&amp;tracks=[key:gene_model_track,Options:GeneOnly]&amp;mk=15025:15044|offset_15|00cc00,15057:15076|offset_47|444444,15086:15105|offset_76|444444,15128:15147|offset_118|444444&amp;v=14824:15347&amp;c=444444", "offset 15")</f>
        <v>offset 15</v>
      </c>
    </row>
    <row r="47" customFormat="false" ht="12.8" hidden="false" customHeight="false" outlineLevel="0" collapsed="false">
      <c r="A47" s="0" t="s">
        <v>12</v>
      </c>
      <c r="B47" s="0" t="n">
        <v>15056</v>
      </c>
      <c r="C47" s="0" t="n">
        <v>15076</v>
      </c>
      <c r="D47" s="0" t="s">
        <v>171</v>
      </c>
      <c r="E47" s="0" t="s">
        <v>89</v>
      </c>
      <c r="F47" s="0" t="s">
        <v>15</v>
      </c>
      <c r="G47" s="0" t="s">
        <v>26</v>
      </c>
      <c r="H47" s="0" t="n">
        <v>47</v>
      </c>
      <c r="I47" s="0" t="s">
        <v>175</v>
      </c>
      <c r="J47" s="0" t="s">
        <v>176</v>
      </c>
      <c r="K47" s="0" t="s">
        <v>177</v>
      </c>
      <c r="L47" s="0" t="str">
        <f aca="false">HYPERLINK("https://www.ncbi.nlm.nih.gov/nuccore/CP000304.1?report=graph&amp;tracks=[key:gene_model_track,Options:GeneOnly]&amp;mk=15025:15044|offset_15|444444,15057:15076|offset_47|00cc00,15086:15105|offset_76|444444,15128:15147|offset_118|444444&amp;v=14824:15347&amp;c=444444", "offset 47")</f>
        <v>offset 47</v>
      </c>
    </row>
    <row r="48" customFormat="false" ht="12.8" hidden="false" customHeight="false" outlineLevel="0" collapsed="false">
      <c r="A48" s="0" t="s">
        <v>12</v>
      </c>
      <c r="B48" s="0" t="n">
        <v>15085</v>
      </c>
      <c r="C48" s="0" t="n">
        <v>15105</v>
      </c>
      <c r="D48" s="0" t="s">
        <v>171</v>
      </c>
      <c r="E48" s="0" t="s">
        <v>89</v>
      </c>
      <c r="F48" s="0" t="s">
        <v>15</v>
      </c>
      <c r="G48" s="0" t="s">
        <v>16</v>
      </c>
      <c r="H48" s="0" t="n">
        <v>76</v>
      </c>
      <c r="I48" s="0" t="s">
        <v>178</v>
      </c>
      <c r="J48" s="0" t="s">
        <v>179</v>
      </c>
      <c r="K48" s="0" t="s">
        <v>180</v>
      </c>
      <c r="L48" s="0" t="str">
        <f aca="false">HYPERLINK("https://www.ncbi.nlm.nih.gov/nuccore/CP000304.1?report=graph&amp;tracks=[key:gene_model_track,Options:GeneOnly]&amp;mk=15025:15044|offset_15|444444,15057:15076|offset_47|444444,15086:15105|offset_76|00cc00,15128:15147|offset_118|444444&amp;v=14824:15347&amp;c=444444", "offset 76")</f>
        <v>offset 76</v>
      </c>
    </row>
    <row r="49" customFormat="false" ht="12.8" hidden="false" customHeight="false" outlineLevel="0" collapsed="false">
      <c r="A49" s="0" t="s">
        <v>12</v>
      </c>
      <c r="B49" s="0" t="n">
        <v>15127</v>
      </c>
      <c r="C49" s="0" t="n">
        <v>15147</v>
      </c>
      <c r="D49" s="0" t="s">
        <v>171</v>
      </c>
      <c r="E49" s="0" t="s">
        <v>89</v>
      </c>
      <c r="F49" s="0" t="s">
        <v>15</v>
      </c>
      <c r="G49" s="0" t="s">
        <v>16</v>
      </c>
      <c r="H49" s="0" t="n">
        <v>118</v>
      </c>
      <c r="I49" s="0" t="s">
        <v>181</v>
      </c>
      <c r="J49" s="0" t="s">
        <v>182</v>
      </c>
      <c r="K49" s="0" t="s">
        <v>183</v>
      </c>
      <c r="L49" s="0" t="str">
        <f aca="false">HYPERLINK("https://www.ncbi.nlm.nih.gov/nuccore/CP000304.1?report=graph&amp;tracks=[key:gene_model_track,Options:GeneOnly]&amp;mk=15025:15044|offset_15|444444,15057:15076|offset_47|444444,15086:15105|offset_76|444444,15128:15147|offset_118|00cc00&amp;v=14824:15347&amp;c=444444", "offset 118")</f>
        <v>offset 118</v>
      </c>
    </row>
    <row r="50" customFormat="false" ht="12.8" hidden="false" customHeight="false" outlineLevel="0" collapsed="false">
      <c r="A50" s="0" t="s">
        <v>12</v>
      </c>
      <c r="B50" s="0" t="n">
        <v>16476</v>
      </c>
      <c r="C50" s="0" t="n">
        <v>16496</v>
      </c>
      <c r="D50" s="0" t="s">
        <v>184</v>
      </c>
      <c r="E50" s="0" t="s">
        <v>89</v>
      </c>
      <c r="F50" s="0" t="s">
        <v>90</v>
      </c>
      <c r="G50" s="0" t="s">
        <v>32</v>
      </c>
      <c r="H50" s="0" t="n">
        <v>10</v>
      </c>
      <c r="I50" s="0" t="s">
        <v>185</v>
      </c>
      <c r="J50" s="0" t="s">
        <v>186</v>
      </c>
      <c r="K50" s="0" t="s">
        <v>187</v>
      </c>
      <c r="L50" s="0" t="str">
        <f aca="false">HYPERLINK("https://www.ncbi.nlm.nih.gov/nuccore/CP000304.1?report=graph&amp;tracks=[key:gene_model_track,Options:GeneOnly]&amp;mk=16477:16496|offset_10|00cc00,16434:16453|offset_53|444444,16406:16425|offset_81|444444,16355:16374|offset_132|444444&amp;v=16276:16574&amp;c=444444", "offset 10")</f>
        <v>offset 10</v>
      </c>
    </row>
    <row r="51" customFormat="false" ht="12.8" hidden="false" customHeight="false" outlineLevel="0" collapsed="false">
      <c r="A51" s="0" t="s">
        <v>12</v>
      </c>
      <c r="B51" s="0" t="n">
        <v>16433</v>
      </c>
      <c r="C51" s="0" t="n">
        <v>16453</v>
      </c>
      <c r="D51" s="0" t="s">
        <v>184</v>
      </c>
      <c r="E51" s="0" t="s">
        <v>89</v>
      </c>
      <c r="F51" s="0" t="s">
        <v>90</v>
      </c>
      <c r="G51" s="0" t="s">
        <v>36</v>
      </c>
      <c r="H51" s="0" t="n">
        <v>53</v>
      </c>
      <c r="I51" s="0" t="s">
        <v>188</v>
      </c>
      <c r="J51" s="0" t="s">
        <v>189</v>
      </c>
      <c r="K51" s="0" t="s">
        <v>190</v>
      </c>
      <c r="L51" s="0" t="str">
        <f aca="false">HYPERLINK("https://www.ncbi.nlm.nih.gov/nuccore/CP000304.1?report=graph&amp;tracks=[key:gene_model_track,Options:GeneOnly]&amp;mk=16477:16496|offset_10|444444,16434:16453|offset_53|00cc00,16406:16425|offset_81|444444,16355:16374|offset_132|444444&amp;v=16276:16574&amp;c=444444", "offset 53")</f>
        <v>offset 53</v>
      </c>
    </row>
    <row r="52" customFormat="false" ht="12.8" hidden="false" customHeight="false" outlineLevel="0" collapsed="false">
      <c r="A52" s="0" t="s">
        <v>12</v>
      </c>
      <c r="B52" s="0" t="n">
        <v>16405</v>
      </c>
      <c r="C52" s="0" t="n">
        <v>16425</v>
      </c>
      <c r="D52" s="0" t="s">
        <v>184</v>
      </c>
      <c r="E52" s="0" t="s">
        <v>89</v>
      </c>
      <c r="F52" s="0" t="s">
        <v>90</v>
      </c>
      <c r="G52" s="0" t="s">
        <v>16</v>
      </c>
      <c r="H52" s="0" t="n">
        <v>81</v>
      </c>
      <c r="I52" s="0" t="s">
        <v>191</v>
      </c>
      <c r="J52" s="0" t="s">
        <v>192</v>
      </c>
      <c r="K52" s="0" t="s">
        <v>193</v>
      </c>
      <c r="L52" s="0" t="str">
        <f aca="false">HYPERLINK("https://www.ncbi.nlm.nih.gov/nuccore/CP000304.1?report=graph&amp;tracks=[key:gene_model_track,Options:GeneOnly]&amp;mk=16477:16496|offset_10|444444,16434:16453|offset_53|444444,16406:16425|offset_81|00cc00,16355:16374|offset_132|444444&amp;v=16276:16574&amp;c=444444", "offset 81")</f>
        <v>offset 81</v>
      </c>
    </row>
    <row r="53" customFormat="false" ht="12.8" hidden="false" customHeight="false" outlineLevel="0" collapsed="false">
      <c r="A53" s="0" t="s">
        <v>12</v>
      </c>
      <c r="B53" s="0" t="n">
        <v>16354</v>
      </c>
      <c r="C53" s="0" t="n">
        <v>16374</v>
      </c>
      <c r="D53" s="0" t="s">
        <v>184</v>
      </c>
      <c r="E53" s="0" t="s">
        <v>89</v>
      </c>
      <c r="F53" s="0" t="s">
        <v>90</v>
      </c>
      <c r="G53" s="0" t="s">
        <v>16</v>
      </c>
      <c r="H53" s="0" t="n">
        <v>132</v>
      </c>
      <c r="I53" s="0" t="s">
        <v>194</v>
      </c>
      <c r="J53" s="0" t="s">
        <v>195</v>
      </c>
      <c r="K53" s="0" t="s">
        <v>196</v>
      </c>
      <c r="L53" s="0" t="str">
        <f aca="false">HYPERLINK("https://www.ncbi.nlm.nih.gov/nuccore/CP000304.1?report=graph&amp;tracks=[key:gene_model_track,Options:GeneOnly]&amp;mk=16477:16496|offset_10|444444,16434:16453|offset_53|444444,16406:16425|offset_81|444444,16355:16374|offset_132|00cc00&amp;v=16276:16574&amp;c=444444", "offset 132")</f>
        <v>offset 132</v>
      </c>
    </row>
    <row r="54" customFormat="false" ht="12.8" hidden="false" customHeight="false" outlineLevel="0" collapsed="false">
      <c r="A54" s="0" t="s">
        <v>12</v>
      </c>
      <c r="B54" s="0" t="n">
        <v>17377</v>
      </c>
      <c r="C54" s="0" t="n">
        <v>17397</v>
      </c>
      <c r="D54" s="0" t="s">
        <v>197</v>
      </c>
      <c r="E54" s="0" t="s">
        <v>89</v>
      </c>
      <c r="F54" s="0" t="s">
        <v>90</v>
      </c>
      <c r="G54" s="0" t="s">
        <v>16</v>
      </c>
      <c r="H54" s="0" t="n">
        <v>12</v>
      </c>
      <c r="I54" s="0" t="s">
        <v>198</v>
      </c>
      <c r="J54" s="0" t="s">
        <v>199</v>
      </c>
      <c r="K54" s="0" t="s">
        <v>200</v>
      </c>
      <c r="L54" s="0" t="str">
        <f aca="false">HYPERLINK("https://www.ncbi.nlm.nih.gov/nuccore/CP000304.1?report=graph&amp;tracks=[key:gene_model_track,Options:GeneOnly]&amp;mk=17378:17397|offset_12|00cc00,17344:17363|offset_46|444444,17318:17337|offset_72|444444,17293:17312|offset_97|444444&amp;v=17177:17512&amp;c=444444", "offset 12")</f>
        <v>offset 12</v>
      </c>
    </row>
    <row r="55" customFormat="false" ht="12.8" hidden="false" customHeight="false" outlineLevel="0" collapsed="false">
      <c r="A55" s="0" t="s">
        <v>12</v>
      </c>
      <c r="B55" s="0" t="n">
        <v>17343</v>
      </c>
      <c r="C55" s="0" t="n">
        <v>17363</v>
      </c>
      <c r="D55" s="0" t="s">
        <v>197</v>
      </c>
      <c r="E55" s="0" t="s">
        <v>89</v>
      </c>
      <c r="F55" s="0" t="s">
        <v>90</v>
      </c>
      <c r="G55" s="0" t="s">
        <v>32</v>
      </c>
      <c r="H55" s="0" t="n">
        <v>46</v>
      </c>
      <c r="I55" s="0" t="s">
        <v>201</v>
      </c>
      <c r="J55" s="0" t="s">
        <v>202</v>
      </c>
      <c r="K55" s="0" t="s">
        <v>203</v>
      </c>
      <c r="L55" s="0" t="str">
        <f aca="false">HYPERLINK("https://www.ncbi.nlm.nih.gov/nuccore/CP000304.1?report=graph&amp;tracks=[key:gene_model_track,Options:GeneOnly]&amp;mk=17378:17397|offset_12|444444,17344:17363|offset_46|00cc00,17318:17337|offset_72|444444,17293:17312|offset_97|444444&amp;v=17177:17512&amp;c=444444", "offset 46")</f>
        <v>offset 46</v>
      </c>
    </row>
    <row r="56" customFormat="false" ht="12.8" hidden="false" customHeight="false" outlineLevel="0" collapsed="false">
      <c r="A56" s="0" t="s">
        <v>12</v>
      </c>
      <c r="B56" s="0" t="n">
        <v>17317</v>
      </c>
      <c r="C56" s="0" t="n">
        <v>17337</v>
      </c>
      <c r="D56" s="0" t="s">
        <v>197</v>
      </c>
      <c r="E56" s="0" t="s">
        <v>89</v>
      </c>
      <c r="F56" s="0" t="s">
        <v>90</v>
      </c>
      <c r="G56" s="0" t="s">
        <v>16</v>
      </c>
      <c r="H56" s="0" t="n">
        <v>72</v>
      </c>
      <c r="I56" s="0" t="s">
        <v>204</v>
      </c>
      <c r="J56" s="0" t="s">
        <v>205</v>
      </c>
      <c r="K56" s="0" t="s">
        <v>206</v>
      </c>
      <c r="L56" s="0" t="str">
        <f aca="false">HYPERLINK("https://www.ncbi.nlm.nih.gov/nuccore/CP000304.1?report=graph&amp;tracks=[key:gene_model_track,Options:GeneOnly]&amp;mk=17378:17397|offset_12|444444,17344:17363|offset_46|444444,17318:17337|offset_72|00cc00,17293:17312|offset_97|444444&amp;v=17177:17512&amp;c=444444", "offset 72")</f>
        <v>offset 72</v>
      </c>
    </row>
    <row r="57" customFormat="false" ht="12.8" hidden="false" customHeight="false" outlineLevel="0" collapsed="false">
      <c r="A57" s="0" t="s">
        <v>12</v>
      </c>
      <c r="B57" s="0" t="n">
        <v>17292</v>
      </c>
      <c r="C57" s="0" t="n">
        <v>17312</v>
      </c>
      <c r="D57" s="0" t="s">
        <v>197</v>
      </c>
      <c r="E57" s="0" t="s">
        <v>89</v>
      </c>
      <c r="F57" s="0" t="s">
        <v>90</v>
      </c>
      <c r="G57" s="0" t="s">
        <v>32</v>
      </c>
      <c r="H57" s="0" t="n">
        <v>97</v>
      </c>
      <c r="I57" s="0" t="s">
        <v>207</v>
      </c>
      <c r="J57" s="0" t="s">
        <v>208</v>
      </c>
      <c r="K57" s="0" t="s">
        <v>209</v>
      </c>
      <c r="L57" s="0" t="str">
        <f aca="false">HYPERLINK("https://www.ncbi.nlm.nih.gov/nuccore/CP000304.1?report=graph&amp;tracks=[key:gene_model_track,Options:GeneOnly]&amp;mk=17378:17397|offset_12|444444,17344:17363|offset_46|444444,17318:17337|offset_72|444444,17293:17312|offset_97|00cc00&amp;v=17177:17512&amp;c=444444", "offset 97")</f>
        <v>offset 97</v>
      </c>
    </row>
    <row r="58" customFormat="false" ht="12.8" hidden="false" customHeight="false" outlineLevel="0" collapsed="false">
      <c r="A58" s="0" t="s">
        <v>12</v>
      </c>
      <c r="B58" s="0" t="n">
        <v>18017</v>
      </c>
      <c r="C58" s="0" t="n">
        <v>18037</v>
      </c>
      <c r="D58" s="0" t="s">
        <v>210</v>
      </c>
      <c r="E58" s="0" t="s">
        <v>89</v>
      </c>
      <c r="F58" s="0" t="s">
        <v>90</v>
      </c>
      <c r="G58" s="0" t="s">
        <v>36</v>
      </c>
      <c r="H58" s="0" t="n">
        <v>28</v>
      </c>
      <c r="I58" s="0" t="s">
        <v>211</v>
      </c>
      <c r="J58" s="0" t="s">
        <v>212</v>
      </c>
      <c r="K58" s="0" t="s">
        <v>213</v>
      </c>
      <c r="L58" s="0" t="str">
        <f aca="false">HYPERLINK("https://www.ncbi.nlm.nih.gov/nuccore/CP000304.1?report=graph&amp;tracks=[key:gene_model_track,Options:GeneOnly]&amp;mk=18018:18037|offset_28|00cc00,17949:17968|offset_97|444444,17919:17938|offset_127|444444,17897:17916|offset_149|444444&amp;v=17817:18116&amp;c=444444", "offset 28")</f>
        <v>offset 28</v>
      </c>
    </row>
    <row r="59" customFormat="false" ht="12.8" hidden="false" customHeight="false" outlineLevel="0" collapsed="false">
      <c r="A59" s="0" t="s">
        <v>12</v>
      </c>
      <c r="B59" s="0" t="n">
        <v>17948</v>
      </c>
      <c r="C59" s="0" t="n">
        <v>17968</v>
      </c>
      <c r="D59" s="0" t="s">
        <v>210</v>
      </c>
      <c r="E59" s="0" t="s">
        <v>89</v>
      </c>
      <c r="F59" s="0" t="s">
        <v>90</v>
      </c>
      <c r="G59" s="0" t="s">
        <v>32</v>
      </c>
      <c r="H59" s="0" t="n">
        <v>97</v>
      </c>
      <c r="I59" s="0" t="s">
        <v>214</v>
      </c>
      <c r="J59" s="0" t="s">
        <v>215</v>
      </c>
      <c r="K59" s="0" t="s">
        <v>216</v>
      </c>
      <c r="L59" s="0" t="str">
        <f aca="false">HYPERLINK("https://www.ncbi.nlm.nih.gov/nuccore/CP000304.1?report=graph&amp;tracks=[key:gene_model_track,Options:GeneOnly]&amp;mk=18018:18037|offset_28|444444,17949:17968|offset_97|00cc00,17919:17938|offset_127|444444,17897:17916|offset_149|444444&amp;v=17817:18116&amp;c=444444", "offset 97")</f>
        <v>offset 97</v>
      </c>
    </row>
    <row r="60" customFormat="false" ht="12.8" hidden="false" customHeight="false" outlineLevel="0" collapsed="false">
      <c r="A60" s="0" t="s">
        <v>12</v>
      </c>
      <c r="B60" s="0" t="n">
        <v>17918</v>
      </c>
      <c r="C60" s="0" t="n">
        <v>17938</v>
      </c>
      <c r="D60" s="0" t="s">
        <v>210</v>
      </c>
      <c r="E60" s="0" t="s">
        <v>89</v>
      </c>
      <c r="F60" s="0" t="s">
        <v>90</v>
      </c>
      <c r="G60" s="0" t="s">
        <v>32</v>
      </c>
      <c r="H60" s="0" t="n">
        <v>127</v>
      </c>
      <c r="I60" s="0" t="s">
        <v>217</v>
      </c>
      <c r="J60" s="0" t="s">
        <v>218</v>
      </c>
      <c r="K60" s="0" t="s">
        <v>219</v>
      </c>
      <c r="L60" s="0" t="str">
        <f aca="false">HYPERLINK("https://www.ncbi.nlm.nih.gov/nuccore/CP000304.1?report=graph&amp;tracks=[key:gene_model_track,Options:GeneOnly]&amp;mk=18018:18037|offset_28|444444,17949:17968|offset_97|444444,17919:17938|offset_127|00cc00,17897:17916|offset_149|444444&amp;v=17817:18116&amp;c=444444", "offset 127")</f>
        <v>offset 127</v>
      </c>
    </row>
    <row r="61" customFormat="false" ht="12.8" hidden="false" customHeight="false" outlineLevel="0" collapsed="false">
      <c r="A61" s="0" t="s">
        <v>12</v>
      </c>
      <c r="B61" s="0" t="n">
        <v>17896</v>
      </c>
      <c r="C61" s="0" t="n">
        <v>17916</v>
      </c>
      <c r="D61" s="0" t="s">
        <v>210</v>
      </c>
      <c r="E61" s="0" t="s">
        <v>89</v>
      </c>
      <c r="F61" s="0" t="s">
        <v>90</v>
      </c>
      <c r="G61" s="0" t="s">
        <v>16</v>
      </c>
      <c r="H61" s="0" t="n">
        <v>149</v>
      </c>
      <c r="I61" s="0" t="s">
        <v>220</v>
      </c>
      <c r="J61" s="0" t="s">
        <v>221</v>
      </c>
      <c r="K61" s="0" t="s">
        <v>222</v>
      </c>
      <c r="L61" s="0" t="str">
        <f aca="false">HYPERLINK("https://www.ncbi.nlm.nih.gov/nuccore/CP000304.1?report=graph&amp;tracks=[key:gene_model_track,Options:GeneOnly]&amp;mk=18018:18037|offset_28|444444,17949:17968|offset_97|444444,17919:17938|offset_127|444444,17897:17916|offset_149|00cc00&amp;v=17817:18116&amp;c=444444", "offset 149")</f>
        <v>offset 149</v>
      </c>
    </row>
    <row r="62" customFormat="false" ht="12.8" hidden="false" customHeight="false" outlineLevel="0" collapsed="false">
      <c r="A62" s="0" t="s">
        <v>12</v>
      </c>
      <c r="B62" s="0" t="n">
        <v>18735</v>
      </c>
      <c r="C62" s="0" t="n">
        <v>18755</v>
      </c>
      <c r="D62" s="0" t="s">
        <v>223</v>
      </c>
      <c r="E62" s="0" t="s">
        <v>89</v>
      </c>
      <c r="F62" s="0" t="s">
        <v>90</v>
      </c>
      <c r="G62" s="0" t="s">
        <v>26</v>
      </c>
      <c r="H62" s="0" t="n">
        <v>11</v>
      </c>
      <c r="I62" s="0" t="s">
        <v>224</v>
      </c>
      <c r="J62" s="0" t="s">
        <v>225</v>
      </c>
      <c r="K62" s="0" t="s">
        <v>226</v>
      </c>
      <c r="L62" s="0" t="str">
        <f aca="false">HYPERLINK("https://www.ncbi.nlm.nih.gov/nuccore/CP000304.1?report=graph&amp;tracks=[key:gene_model_track,Options:GeneOnly]&amp;mk=18736:18755|offset_11|00cc00,18714:18733|offset_33|444444,18685:18704|offset_62|444444,18665:18684|offset_82|444444&amp;v=18535:18884&amp;c=444444", "offset 11")</f>
        <v>offset 11</v>
      </c>
    </row>
    <row r="63" customFormat="false" ht="12.8" hidden="false" customHeight="false" outlineLevel="0" collapsed="false">
      <c r="A63" s="0" t="s">
        <v>12</v>
      </c>
      <c r="B63" s="0" t="n">
        <v>18713</v>
      </c>
      <c r="C63" s="0" t="n">
        <v>18733</v>
      </c>
      <c r="D63" s="0" t="s">
        <v>223</v>
      </c>
      <c r="E63" s="0" t="s">
        <v>89</v>
      </c>
      <c r="F63" s="0" t="s">
        <v>90</v>
      </c>
      <c r="G63" s="0" t="s">
        <v>16</v>
      </c>
      <c r="H63" s="0" t="n">
        <v>33</v>
      </c>
      <c r="I63" s="0" t="s">
        <v>227</v>
      </c>
      <c r="J63" s="0" t="s">
        <v>228</v>
      </c>
      <c r="K63" s="0" t="s">
        <v>229</v>
      </c>
      <c r="L63" s="0" t="str">
        <f aca="false">HYPERLINK("https://www.ncbi.nlm.nih.gov/nuccore/CP000304.1?report=graph&amp;tracks=[key:gene_model_track,Options:GeneOnly]&amp;mk=18736:18755|offset_11|444444,18714:18733|offset_33|00cc00,18685:18704|offset_62|444444,18665:18684|offset_82|444444&amp;v=18535:18884&amp;c=444444", "offset 33")</f>
        <v>offset 33</v>
      </c>
    </row>
    <row r="64" customFormat="false" ht="12.8" hidden="false" customHeight="false" outlineLevel="0" collapsed="false">
      <c r="A64" s="0" t="s">
        <v>12</v>
      </c>
      <c r="B64" s="0" t="n">
        <v>18684</v>
      </c>
      <c r="C64" s="0" t="n">
        <v>18704</v>
      </c>
      <c r="D64" s="0" t="s">
        <v>223</v>
      </c>
      <c r="E64" s="0" t="s">
        <v>89</v>
      </c>
      <c r="F64" s="0" t="s">
        <v>90</v>
      </c>
      <c r="G64" s="0" t="s">
        <v>36</v>
      </c>
      <c r="H64" s="0" t="n">
        <v>62</v>
      </c>
      <c r="I64" s="0" t="s">
        <v>230</v>
      </c>
      <c r="J64" s="0" t="s">
        <v>231</v>
      </c>
      <c r="K64" s="0" t="s">
        <v>232</v>
      </c>
      <c r="L64" s="0" t="str">
        <f aca="false">HYPERLINK("https://www.ncbi.nlm.nih.gov/nuccore/CP000304.1?report=graph&amp;tracks=[key:gene_model_track,Options:GeneOnly]&amp;mk=18736:18755|offset_11|444444,18714:18733|offset_33|444444,18685:18704|offset_62|00cc00,18665:18684|offset_82|444444&amp;v=18535:18884&amp;c=444444", "offset 62")</f>
        <v>offset 62</v>
      </c>
    </row>
    <row r="65" customFormat="false" ht="12.8" hidden="false" customHeight="false" outlineLevel="0" collapsed="false">
      <c r="A65" s="0" t="s">
        <v>12</v>
      </c>
      <c r="B65" s="0" t="n">
        <v>18664</v>
      </c>
      <c r="C65" s="0" t="n">
        <v>18684</v>
      </c>
      <c r="D65" s="0" t="s">
        <v>223</v>
      </c>
      <c r="E65" s="0" t="s">
        <v>89</v>
      </c>
      <c r="F65" s="0" t="s">
        <v>90</v>
      </c>
      <c r="G65" s="0" t="s">
        <v>26</v>
      </c>
      <c r="H65" s="0" t="n">
        <v>82</v>
      </c>
      <c r="I65" s="0" t="s">
        <v>233</v>
      </c>
      <c r="J65" s="0" t="s">
        <v>234</v>
      </c>
      <c r="K65" s="0" t="s">
        <v>235</v>
      </c>
      <c r="L65" s="0" t="str">
        <f aca="false">HYPERLINK("https://www.ncbi.nlm.nih.gov/nuccore/CP000304.1?report=graph&amp;tracks=[key:gene_model_track,Options:GeneOnly]&amp;mk=18736:18755|offset_11|444444,18714:18733|offset_33|444444,18685:18704|offset_62|444444,18665:18684|offset_82|00cc00&amp;v=18535:18884&amp;c=444444", "offset 82")</f>
        <v>offset 82</v>
      </c>
    </row>
    <row r="66" customFormat="false" ht="12.8" hidden="false" customHeight="false" outlineLevel="0" collapsed="false">
      <c r="A66" s="0" t="s">
        <v>12</v>
      </c>
      <c r="B66" s="0" t="n">
        <v>19678</v>
      </c>
      <c r="C66" s="0" t="n">
        <v>19698</v>
      </c>
      <c r="D66" s="0" t="s">
        <v>236</v>
      </c>
      <c r="E66" s="0" t="s">
        <v>89</v>
      </c>
      <c r="F66" s="0" t="s">
        <v>90</v>
      </c>
      <c r="G66" s="0" t="s">
        <v>32</v>
      </c>
      <c r="H66" s="0" t="n">
        <v>0</v>
      </c>
      <c r="I66" s="0" t="s">
        <v>237</v>
      </c>
      <c r="J66" s="0" t="s">
        <v>238</v>
      </c>
      <c r="K66" s="0" t="s">
        <v>239</v>
      </c>
      <c r="L66" s="0" t="str">
        <f aca="false">HYPERLINK("https://www.ncbi.nlm.nih.gov/nuccore/CP000304.1?report=graph&amp;tracks=[key:gene_model_track,Options:GeneOnly]&amp;mk=19679:19698|offset_0|00cc00,19650:19669|offset_29|444444,19630:19649|offset_49|444444,19600:19619|offset_79|444444&amp;v=19478:19819&amp;c=444444", "offset 0")</f>
        <v>offset 0</v>
      </c>
    </row>
    <row r="67" customFormat="false" ht="12.8" hidden="false" customHeight="false" outlineLevel="0" collapsed="false">
      <c r="A67" s="0" t="s">
        <v>12</v>
      </c>
      <c r="B67" s="0" t="n">
        <v>19649</v>
      </c>
      <c r="C67" s="0" t="n">
        <v>19669</v>
      </c>
      <c r="D67" s="0" t="s">
        <v>236</v>
      </c>
      <c r="E67" s="0" t="s">
        <v>89</v>
      </c>
      <c r="F67" s="0" t="s">
        <v>90</v>
      </c>
      <c r="G67" s="0" t="s">
        <v>36</v>
      </c>
      <c r="H67" s="0" t="n">
        <v>29</v>
      </c>
      <c r="I67" s="0" t="s">
        <v>240</v>
      </c>
      <c r="J67" s="0" t="s">
        <v>241</v>
      </c>
      <c r="K67" s="0" t="s">
        <v>242</v>
      </c>
      <c r="L67" s="0" t="str">
        <f aca="false">HYPERLINK("https://www.ncbi.nlm.nih.gov/nuccore/CP000304.1?report=graph&amp;tracks=[key:gene_model_track,Options:GeneOnly]&amp;mk=19679:19698|offset_0|444444,19650:19669|offset_29|00cc00,19630:19649|offset_49|444444,19600:19619|offset_79|444444&amp;v=19478:19819&amp;c=444444", "offset 29")</f>
        <v>offset 29</v>
      </c>
    </row>
    <row r="68" customFormat="false" ht="12.8" hidden="false" customHeight="false" outlineLevel="0" collapsed="false">
      <c r="A68" s="0" t="s">
        <v>12</v>
      </c>
      <c r="B68" s="0" t="n">
        <v>19629</v>
      </c>
      <c r="C68" s="0" t="n">
        <v>19649</v>
      </c>
      <c r="D68" s="0" t="s">
        <v>236</v>
      </c>
      <c r="E68" s="0" t="s">
        <v>89</v>
      </c>
      <c r="F68" s="0" t="s">
        <v>90</v>
      </c>
      <c r="G68" s="0" t="s">
        <v>26</v>
      </c>
      <c r="H68" s="0" t="n">
        <v>49</v>
      </c>
      <c r="I68" s="0" t="s">
        <v>243</v>
      </c>
      <c r="J68" s="0" t="s">
        <v>244</v>
      </c>
      <c r="K68" s="0" t="s">
        <v>245</v>
      </c>
      <c r="L68" s="0" t="str">
        <f aca="false">HYPERLINK("https://www.ncbi.nlm.nih.gov/nuccore/CP000304.1?report=graph&amp;tracks=[key:gene_model_track,Options:GeneOnly]&amp;mk=19679:19698|offset_0|444444,19650:19669|offset_29|444444,19630:19649|offset_49|00cc00,19600:19619|offset_79|444444&amp;v=19478:19819&amp;c=444444", "offset 49")</f>
        <v>offset 49</v>
      </c>
    </row>
    <row r="69" customFormat="false" ht="12.8" hidden="false" customHeight="false" outlineLevel="0" collapsed="false">
      <c r="A69" s="0" t="s">
        <v>12</v>
      </c>
      <c r="B69" s="0" t="n">
        <v>19599</v>
      </c>
      <c r="C69" s="0" t="n">
        <v>19619</v>
      </c>
      <c r="D69" s="0" t="s">
        <v>236</v>
      </c>
      <c r="E69" s="0" t="s">
        <v>89</v>
      </c>
      <c r="F69" s="0" t="s">
        <v>90</v>
      </c>
      <c r="G69" s="0" t="s">
        <v>32</v>
      </c>
      <c r="H69" s="0" t="n">
        <v>79</v>
      </c>
      <c r="I69" s="0" t="s">
        <v>246</v>
      </c>
      <c r="J69" s="0" t="s">
        <v>247</v>
      </c>
      <c r="K69" s="0" t="s">
        <v>248</v>
      </c>
      <c r="L69" s="0" t="str">
        <f aca="false">HYPERLINK("https://www.ncbi.nlm.nih.gov/nuccore/CP000304.1?report=graph&amp;tracks=[key:gene_model_track,Options:GeneOnly]&amp;mk=19679:19698|offset_0|444444,19650:19669|offset_29|444444,19630:19649|offset_49|444444,19600:19619|offset_79|00cc00&amp;v=19478:19819&amp;c=444444", "offset 79")</f>
        <v>offset 79</v>
      </c>
    </row>
    <row r="70" customFormat="false" ht="12.8" hidden="false" customHeight="false" outlineLevel="0" collapsed="false">
      <c r="A70" s="0" t="s">
        <v>12</v>
      </c>
      <c r="B70" s="0" t="n">
        <v>21366</v>
      </c>
      <c r="C70" s="0" t="n">
        <v>21386</v>
      </c>
      <c r="D70" s="0" t="s">
        <v>249</v>
      </c>
      <c r="E70" s="0" t="s">
        <v>250</v>
      </c>
      <c r="F70" s="0" t="s">
        <v>90</v>
      </c>
      <c r="G70" s="0" t="s">
        <v>16</v>
      </c>
      <c r="H70" s="0" t="n">
        <v>25</v>
      </c>
      <c r="I70" s="0" t="s">
        <v>251</v>
      </c>
      <c r="J70" s="0" t="s">
        <v>252</v>
      </c>
      <c r="K70" s="0" t="s">
        <v>253</v>
      </c>
      <c r="L70" s="0" t="str">
        <f aca="false">HYPERLINK("https://www.ncbi.nlm.nih.gov/nuccore/CP000304.1?report=graph&amp;tracks=[key:gene_model_track,Options:GeneOnly]&amp;mk=21367:21386|offset_25|00cc00,21343:21362|offset_49|444444,21322:21341|offset_70|444444,21298:21317|offset_94|444444&amp;v=21166:21517&amp;c=444444", "offset 25")</f>
        <v>offset 25</v>
      </c>
    </row>
    <row r="71" customFormat="false" ht="12.8" hidden="false" customHeight="false" outlineLevel="0" collapsed="false">
      <c r="A71" s="0" t="s">
        <v>12</v>
      </c>
      <c r="B71" s="0" t="n">
        <v>21342</v>
      </c>
      <c r="C71" s="0" t="n">
        <v>21362</v>
      </c>
      <c r="D71" s="0" t="s">
        <v>249</v>
      </c>
      <c r="E71" s="0" t="s">
        <v>250</v>
      </c>
      <c r="F71" s="0" t="s">
        <v>90</v>
      </c>
      <c r="G71" s="0" t="s">
        <v>16</v>
      </c>
      <c r="H71" s="0" t="n">
        <v>49</v>
      </c>
      <c r="I71" s="0" t="s">
        <v>254</v>
      </c>
      <c r="J71" s="0" t="s">
        <v>255</v>
      </c>
      <c r="K71" s="0" t="s">
        <v>256</v>
      </c>
      <c r="L71" s="0" t="str">
        <f aca="false">HYPERLINK("https://www.ncbi.nlm.nih.gov/nuccore/CP000304.1?report=graph&amp;tracks=[key:gene_model_track,Options:GeneOnly]&amp;mk=21367:21386|offset_25|444444,21343:21362|offset_49|00cc00,21322:21341|offset_70|444444,21298:21317|offset_94|444444&amp;v=21166:21517&amp;c=444444", "offset 49")</f>
        <v>offset 49</v>
      </c>
    </row>
    <row r="72" customFormat="false" ht="12.8" hidden="false" customHeight="false" outlineLevel="0" collapsed="false">
      <c r="A72" s="0" t="s">
        <v>12</v>
      </c>
      <c r="B72" s="0" t="n">
        <v>21321</v>
      </c>
      <c r="C72" s="0" t="n">
        <v>21341</v>
      </c>
      <c r="D72" s="0" t="s">
        <v>249</v>
      </c>
      <c r="E72" s="0" t="s">
        <v>250</v>
      </c>
      <c r="F72" s="0" t="s">
        <v>90</v>
      </c>
      <c r="G72" s="0" t="s">
        <v>32</v>
      </c>
      <c r="H72" s="0" t="n">
        <v>70</v>
      </c>
      <c r="I72" s="0" t="s">
        <v>257</v>
      </c>
      <c r="J72" s="0" t="s">
        <v>258</v>
      </c>
      <c r="K72" s="0" t="s">
        <v>259</v>
      </c>
      <c r="L72" s="0" t="str">
        <f aca="false">HYPERLINK("https://www.ncbi.nlm.nih.gov/nuccore/CP000304.1?report=graph&amp;tracks=[key:gene_model_track,Options:GeneOnly]&amp;mk=21367:21386|offset_25|444444,21343:21362|offset_49|444444,21322:21341|offset_70|00cc00,21298:21317|offset_94|444444&amp;v=21166:21517&amp;c=444444", "offset 70")</f>
        <v>offset 70</v>
      </c>
    </row>
    <row r="73" customFormat="false" ht="12.8" hidden="false" customHeight="false" outlineLevel="0" collapsed="false">
      <c r="A73" s="0" t="s">
        <v>12</v>
      </c>
      <c r="B73" s="0" t="n">
        <v>21297</v>
      </c>
      <c r="C73" s="0" t="n">
        <v>21317</v>
      </c>
      <c r="D73" s="0" t="s">
        <v>249</v>
      </c>
      <c r="E73" s="0" t="s">
        <v>250</v>
      </c>
      <c r="F73" s="0" t="s">
        <v>90</v>
      </c>
      <c r="G73" s="0" t="s">
        <v>16</v>
      </c>
      <c r="H73" s="0" t="n">
        <v>94</v>
      </c>
      <c r="I73" s="0" t="s">
        <v>260</v>
      </c>
      <c r="J73" s="0" t="s">
        <v>261</v>
      </c>
      <c r="K73" s="0" t="s">
        <v>262</v>
      </c>
      <c r="L73" s="0" t="str">
        <f aca="false">HYPERLINK("https://www.ncbi.nlm.nih.gov/nuccore/CP000304.1?report=graph&amp;tracks=[key:gene_model_track,Options:GeneOnly]&amp;mk=21367:21386|offset_25|444444,21343:21362|offset_49|444444,21322:21341|offset_70|444444,21298:21317|offset_94|00cc00&amp;v=21166:21517&amp;c=444444", "offset 94")</f>
        <v>offset 94</v>
      </c>
    </row>
    <row r="74" customFormat="false" ht="12.8" hidden="false" customHeight="false" outlineLevel="0" collapsed="false">
      <c r="A74" s="0" t="s">
        <v>12</v>
      </c>
      <c r="B74" s="0" t="n">
        <v>22779</v>
      </c>
      <c r="C74" s="0" t="n">
        <v>22799</v>
      </c>
      <c r="D74" s="0" t="s">
        <v>263</v>
      </c>
      <c r="E74" s="0" t="s">
        <v>264</v>
      </c>
      <c r="F74" s="0" t="s">
        <v>90</v>
      </c>
      <c r="G74" s="0" t="s">
        <v>16</v>
      </c>
      <c r="H74" s="0" t="n">
        <v>9</v>
      </c>
      <c r="I74" s="0" t="s">
        <v>265</v>
      </c>
      <c r="J74" s="0" t="s">
        <v>266</v>
      </c>
      <c r="K74" s="0" t="s">
        <v>267</v>
      </c>
      <c r="L74" s="0" t="str">
        <f aca="false">HYPERLINK("https://www.ncbi.nlm.nih.gov/nuccore/CP000304.1?report=graph&amp;tracks=[key:gene_model_track,Options:GeneOnly]&amp;mk=22780:22799|offset_9|00cc00,22711:22730|offset_78|444444,22686:22705|offset_103|444444,22656:22675|offset_133|444444&amp;v=22579:22875&amp;c=444444", "offset 9")</f>
        <v>offset 9</v>
      </c>
    </row>
    <row r="75" customFormat="false" ht="12.8" hidden="false" customHeight="false" outlineLevel="0" collapsed="false">
      <c r="A75" s="0" t="s">
        <v>12</v>
      </c>
      <c r="B75" s="0" t="n">
        <v>22710</v>
      </c>
      <c r="C75" s="0" t="n">
        <v>22730</v>
      </c>
      <c r="D75" s="0" t="s">
        <v>263</v>
      </c>
      <c r="E75" s="0" t="s">
        <v>264</v>
      </c>
      <c r="F75" s="0" t="s">
        <v>90</v>
      </c>
      <c r="G75" s="0" t="s">
        <v>36</v>
      </c>
      <c r="H75" s="0" t="n">
        <v>78</v>
      </c>
      <c r="I75" s="0" t="s">
        <v>268</v>
      </c>
      <c r="J75" s="0" t="s">
        <v>269</v>
      </c>
      <c r="K75" s="0" t="s">
        <v>270</v>
      </c>
      <c r="L75" s="0" t="str">
        <f aca="false">HYPERLINK("https://www.ncbi.nlm.nih.gov/nuccore/CP000304.1?report=graph&amp;tracks=[key:gene_model_track,Options:GeneOnly]&amp;mk=22780:22799|offset_9|444444,22711:22730|offset_78|00cc00,22686:22705|offset_103|444444,22656:22675|offset_133|444444&amp;v=22579:22875&amp;c=444444", "offset 78")</f>
        <v>offset 78</v>
      </c>
    </row>
    <row r="76" customFormat="false" ht="12.8" hidden="false" customHeight="false" outlineLevel="0" collapsed="false">
      <c r="A76" s="0" t="s">
        <v>12</v>
      </c>
      <c r="B76" s="0" t="n">
        <v>22685</v>
      </c>
      <c r="C76" s="0" t="n">
        <v>22705</v>
      </c>
      <c r="D76" s="0" t="s">
        <v>263</v>
      </c>
      <c r="E76" s="0" t="s">
        <v>264</v>
      </c>
      <c r="F76" s="0" t="s">
        <v>90</v>
      </c>
      <c r="G76" s="0" t="s">
        <v>36</v>
      </c>
      <c r="H76" s="0" t="n">
        <v>103</v>
      </c>
      <c r="I76" s="0" t="s">
        <v>271</v>
      </c>
      <c r="J76" s="0" t="s">
        <v>272</v>
      </c>
      <c r="K76" s="0" t="s">
        <v>273</v>
      </c>
      <c r="L76" s="0" t="str">
        <f aca="false">HYPERLINK("https://www.ncbi.nlm.nih.gov/nuccore/CP000304.1?report=graph&amp;tracks=[key:gene_model_track,Options:GeneOnly]&amp;mk=22780:22799|offset_9|444444,22711:22730|offset_78|444444,22686:22705|offset_103|00cc00,22656:22675|offset_133|444444&amp;v=22579:22875&amp;c=444444", "offset 103")</f>
        <v>offset 103</v>
      </c>
    </row>
    <row r="77" customFormat="false" ht="12.8" hidden="false" customHeight="false" outlineLevel="0" collapsed="false">
      <c r="A77" s="0" t="s">
        <v>12</v>
      </c>
      <c r="B77" s="0" t="n">
        <v>22655</v>
      </c>
      <c r="C77" s="0" t="n">
        <v>22675</v>
      </c>
      <c r="D77" s="0" t="s">
        <v>263</v>
      </c>
      <c r="E77" s="0" t="s">
        <v>264</v>
      </c>
      <c r="F77" s="0" t="s">
        <v>90</v>
      </c>
      <c r="G77" s="0" t="s">
        <v>26</v>
      </c>
      <c r="H77" s="0" t="n">
        <v>133</v>
      </c>
      <c r="I77" s="0" t="s">
        <v>274</v>
      </c>
      <c r="J77" s="0" t="s">
        <v>275</v>
      </c>
      <c r="K77" s="0" t="s">
        <v>276</v>
      </c>
      <c r="L77" s="0" t="str">
        <f aca="false">HYPERLINK("https://www.ncbi.nlm.nih.gov/nuccore/CP000304.1?report=graph&amp;tracks=[key:gene_model_track,Options:GeneOnly]&amp;mk=22780:22799|offset_9|444444,22711:22730|offset_78|444444,22686:22705|offset_103|444444,22656:22675|offset_133|00cc00&amp;v=22579:22875&amp;c=444444", "offset 133")</f>
        <v>offset 133</v>
      </c>
    </row>
    <row r="78" customFormat="false" ht="12.8" hidden="false" customHeight="false" outlineLevel="0" collapsed="false">
      <c r="A78" s="0" t="s">
        <v>12</v>
      </c>
      <c r="B78" s="0" t="n">
        <v>23729</v>
      </c>
      <c r="C78" s="0" t="n">
        <v>23749</v>
      </c>
      <c r="D78" s="0" t="s">
        <v>277</v>
      </c>
      <c r="E78" s="0" t="s">
        <v>278</v>
      </c>
      <c r="F78" s="0" t="s">
        <v>90</v>
      </c>
      <c r="G78" s="0" t="s">
        <v>36</v>
      </c>
      <c r="H78" s="0" t="n">
        <v>0</v>
      </c>
      <c r="I78" s="0" t="s">
        <v>279</v>
      </c>
      <c r="J78" s="0" t="s">
        <v>280</v>
      </c>
      <c r="K78" s="0" t="s">
        <v>281</v>
      </c>
      <c r="L78" s="0" t="str">
        <f aca="false">HYPERLINK("https://www.ncbi.nlm.nih.gov/nuccore/CP000304.1?report=graph&amp;tracks=[key:gene_model_track,Options:GeneOnly]&amp;mk=23730:23749|offset_0|00cc00,23699:23718|offset_31|444444,23678:23697|offset_52|444444,23624:23643|offset_106|444444&amp;v=23529:23843&amp;c=444444", "offset 0")</f>
        <v>offset 0</v>
      </c>
    </row>
    <row r="79" customFormat="false" ht="12.8" hidden="false" customHeight="false" outlineLevel="0" collapsed="false">
      <c r="A79" s="0" t="s">
        <v>12</v>
      </c>
      <c r="B79" s="0" t="n">
        <v>23698</v>
      </c>
      <c r="C79" s="0" t="n">
        <v>23718</v>
      </c>
      <c r="D79" s="0" t="s">
        <v>277</v>
      </c>
      <c r="E79" s="0" t="s">
        <v>278</v>
      </c>
      <c r="F79" s="0" t="s">
        <v>90</v>
      </c>
      <c r="G79" s="0" t="s">
        <v>16</v>
      </c>
      <c r="H79" s="0" t="n">
        <v>31</v>
      </c>
      <c r="I79" s="0" t="s">
        <v>282</v>
      </c>
      <c r="J79" s="0" t="s">
        <v>283</v>
      </c>
      <c r="K79" s="0" t="s">
        <v>284</v>
      </c>
      <c r="L79" s="0" t="str">
        <f aca="false">HYPERLINK("https://www.ncbi.nlm.nih.gov/nuccore/CP000304.1?report=graph&amp;tracks=[key:gene_model_track,Options:GeneOnly]&amp;mk=23730:23749|offset_0|444444,23699:23718|offset_31|00cc00,23678:23697|offset_52|444444,23624:23643|offset_106|444444&amp;v=23529:23843&amp;c=444444", "offset 31")</f>
        <v>offset 31</v>
      </c>
    </row>
    <row r="80" customFormat="false" ht="12.8" hidden="false" customHeight="false" outlineLevel="0" collapsed="false">
      <c r="A80" s="0" t="s">
        <v>12</v>
      </c>
      <c r="B80" s="0" t="n">
        <v>23677</v>
      </c>
      <c r="C80" s="0" t="n">
        <v>23697</v>
      </c>
      <c r="D80" s="0" t="s">
        <v>277</v>
      </c>
      <c r="E80" s="0" t="s">
        <v>278</v>
      </c>
      <c r="F80" s="0" t="s">
        <v>90</v>
      </c>
      <c r="G80" s="0" t="s">
        <v>36</v>
      </c>
      <c r="H80" s="0" t="n">
        <v>52</v>
      </c>
      <c r="I80" s="0" t="s">
        <v>285</v>
      </c>
      <c r="J80" s="0" t="s">
        <v>286</v>
      </c>
      <c r="K80" s="0" t="s">
        <v>287</v>
      </c>
      <c r="L80" s="0" t="str">
        <f aca="false">HYPERLINK("https://www.ncbi.nlm.nih.gov/nuccore/CP000304.1?report=graph&amp;tracks=[key:gene_model_track,Options:GeneOnly]&amp;mk=23730:23749|offset_0|444444,23699:23718|offset_31|444444,23678:23697|offset_52|00cc00,23624:23643|offset_106|444444&amp;v=23529:23843&amp;c=444444", "offset 52")</f>
        <v>offset 52</v>
      </c>
    </row>
    <row r="81" customFormat="false" ht="12.8" hidden="false" customHeight="false" outlineLevel="0" collapsed="false">
      <c r="A81" s="0" t="s">
        <v>12</v>
      </c>
      <c r="B81" s="0" t="n">
        <v>23623</v>
      </c>
      <c r="C81" s="0" t="n">
        <v>23643</v>
      </c>
      <c r="D81" s="0" t="s">
        <v>277</v>
      </c>
      <c r="E81" s="0" t="s">
        <v>278</v>
      </c>
      <c r="F81" s="0" t="s">
        <v>90</v>
      </c>
      <c r="G81" s="0" t="s">
        <v>36</v>
      </c>
      <c r="H81" s="0" t="n">
        <v>106</v>
      </c>
      <c r="I81" s="0" t="s">
        <v>288</v>
      </c>
      <c r="J81" s="0" t="s">
        <v>289</v>
      </c>
      <c r="K81" s="0" t="s">
        <v>290</v>
      </c>
      <c r="L81" s="0" t="str">
        <f aca="false">HYPERLINK("https://www.ncbi.nlm.nih.gov/nuccore/CP000304.1?report=graph&amp;tracks=[key:gene_model_track,Options:GeneOnly]&amp;mk=23730:23749|offset_0|444444,23699:23718|offset_31|444444,23678:23697|offset_52|444444,23624:23643|offset_106|00cc00&amp;v=23529:23843&amp;c=444444", "offset 106")</f>
        <v>offset 106</v>
      </c>
    </row>
    <row r="82" customFormat="false" ht="12.8" hidden="false" customHeight="false" outlineLevel="0" collapsed="false">
      <c r="A82" s="0" t="s">
        <v>12</v>
      </c>
      <c r="B82" s="0" t="n">
        <v>24281</v>
      </c>
      <c r="C82" s="0" t="n">
        <v>24301</v>
      </c>
      <c r="D82" s="0" t="s">
        <v>291</v>
      </c>
      <c r="E82" s="0" t="s">
        <v>292</v>
      </c>
      <c r="F82" s="0" t="s">
        <v>90</v>
      </c>
      <c r="G82" s="0" t="s">
        <v>32</v>
      </c>
      <c r="H82" s="0" t="n">
        <v>7</v>
      </c>
      <c r="I82" s="0" t="s">
        <v>293</v>
      </c>
      <c r="J82" s="0" t="s">
        <v>294</v>
      </c>
      <c r="K82" s="0" t="s">
        <v>295</v>
      </c>
      <c r="L82" s="0" t="str">
        <f aca="false">HYPERLINK("https://www.ncbi.nlm.nih.gov/nuccore/CP000304.1?report=graph&amp;tracks=[key:gene_model_track,Options:GeneOnly]&amp;mk=24282:24301|offset_7|00cc00,24259:24278|offset_30|444444,24234:24253|offset_55|444444,24174:24193|offset_115|444444&amp;v=24081:24393&amp;c=444444", "offset 7")</f>
        <v>offset 7</v>
      </c>
    </row>
    <row r="83" customFormat="false" ht="12.8" hidden="false" customHeight="false" outlineLevel="0" collapsed="false">
      <c r="A83" s="0" t="s">
        <v>12</v>
      </c>
      <c r="B83" s="0" t="n">
        <v>24258</v>
      </c>
      <c r="C83" s="0" t="n">
        <v>24278</v>
      </c>
      <c r="D83" s="0" t="s">
        <v>291</v>
      </c>
      <c r="E83" s="0" t="s">
        <v>292</v>
      </c>
      <c r="F83" s="0" t="s">
        <v>90</v>
      </c>
      <c r="G83" s="0" t="s">
        <v>36</v>
      </c>
      <c r="H83" s="0" t="n">
        <v>30</v>
      </c>
      <c r="I83" s="0" t="s">
        <v>296</v>
      </c>
      <c r="J83" s="0" t="s">
        <v>297</v>
      </c>
      <c r="K83" s="0" t="s">
        <v>298</v>
      </c>
      <c r="L83" s="0" t="str">
        <f aca="false">HYPERLINK("https://www.ncbi.nlm.nih.gov/nuccore/CP000304.1?report=graph&amp;tracks=[key:gene_model_track,Options:GeneOnly]&amp;mk=24282:24301|offset_7|444444,24259:24278|offset_30|00cc00,24234:24253|offset_55|444444,24174:24193|offset_115|444444&amp;v=24081:24393&amp;c=444444", "offset 30")</f>
        <v>offset 30</v>
      </c>
    </row>
    <row r="84" customFormat="false" ht="12.8" hidden="false" customHeight="false" outlineLevel="0" collapsed="false">
      <c r="A84" s="0" t="s">
        <v>12</v>
      </c>
      <c r="B84" s="0" t="n">
        <v>24233</v>
      </c>
      <c r="C84" s="0" t="n">
        <v>24253</v>
      </c>
      <c r="D84" s="0" t="s">
        <v>291</v>
      </c>
      <c r="E84" s="0" t="s">
        <v>292</v>
      </c>
      <c r="F84" s="0" t="s">
        <v>90</v>
      </c>
      <c r="G84" s="0" t="s">
        <v>32</v>
      </c>
      <c r="H84" s="0" t="n">
        <v>55</v>
      </c>
      <c r="I84" s="0" t="s">
        <v>299</v>
      </c>
      <c r="J84" s="0" t="s">
        <v>300</v>
      </c>
      <c r="K84" s="0" t="s">
        <v>301</v>
      </c>
      <c r="L84" s="0" t="str">
        <f aca="false">HYPERLINK("https://www.ncbi.nlm.nih.gov/nuccore/CP000304.1?report=graph&amp;tracks=[key:gene_model_track,Options:GeneOnly]&amp;mk=24282:24301|offset_7|444444,24259:24278|offset_30|444444,24234:24253|offset_55|00cc00,24174:24193|offset_115|444444&amp;v=24081:24393&amp;c=444444", "offset 55")</f>
        <v>offset 55</v>
      </c>
    </row>
    <row r="85" customFormat="false" ht="12.8" hidden="false" customHeight="false" outlineLevel="0" collapsed="false">
      <c r="A85" s="0" t="s">
        <v>12</v>
      </c>
      <c r="B85" s="0" t="n">
        <v>24173</v>
      </c>
      <c r="C85" s="0" t="n">
        <v>24193</v>
      </c>
      <c r="D85" s="0" t="s">
        <v>291</v>
      </c>
      <c r="E85" s="0" t="s">
        <v>292</v>
      </c>
      <c r="F85" s="0" t="s">
        <v>90</v>
      </c>
      <c r="G85" s="0" t="s">
        <v>32</v>
      </c>
      <c r="H85" s="0" t="n">
        <v>115</v>
      </c>
      <c r="I85" s="0" t="s">
        <v>302</v>
      </c>
      <c r="J85" s="0" t="s">
        <v>303</v>
      </c>
      <c r="K85" s="0" t="s">
        <v>304</v>
      </c>
      <c r="L85" s="0" t="str">
        <f aca="false">HYPERLINK("https://www.ncbi.nlm.nih.gov/nuccore/CP000304.1?report=graph&amp;tracks=[key:gene_model_track,Options:GeneOnly]&amp;mk=24282:24301|offset_7|444444,24259:24278|offset_30|444444,24234:24253|offset_55|444444,24174:24193|offset_115|00cc00&amp;v=24081:24393&amp;c=444444", "offset 115")</f>
        <v>offset 115</v>
      </c>
    </row>
    <row r="86" customFormat="false" ht="12.8" hidden="false" customHeight="false" outlineLevel="0" collapsed="false">
      <c r="A86" s="0" t="s">
        <v>12</v>
      </c>
      <c r="B86" s="0" t="n">
        <v>24362</v>
      </c>
      <c r="C86" s="0" t="n">
        <v>24382</v>
      </c>
      <c r="D86" s="0" t="s">
        <v>305</v>
      </c>
      <c r="E86" s="0" t="s">
        <v>89</v>
      </c>
      <c r="F86" s="0" t="s">
        <v>15</v>
      </c>
      <c r="G86" s="0" t="s">
        <v>16</v>
      </c>
      <c r="H86" s="0" t="n">
        <v>6</v>
      </c>
      <c r="I86" s="0" t="s">
        <v>306</v>
      </c>
      <c r="J86" s="0" t="s">
        <v>307</v>
      </c>
      <c r="K86" s="0" t="s">
        <v>308</v>
      </c>
      <c r="L86" s="0" t="str">
        <f aca="false">HYPERLINK("https://www.ncbi.nlm.nih.gov/nuccore/CP000304.1?report=graph&amp;tracks=[key:gene_model_track,Options:GeneOnly]&amp;mk=24363:24382|offset_6|00cc00,24390:24409|offset_33|444444,24455:24474|offset_98|444444,24514:24533|offset_157|444444&amp;v=24162:24733&amp;c=444444", "offset 6")</f>
        <v>offset 6</v>
      </c>
    </row>
    <row r="87" customFormat="false" ht="12.8" hidden="false" customHeight="false" outlineLevel="0" collapsed="false">
      <c r="A87" s="0" t="s">
        <v>12</v>
      </c>
      <c r="B87" s="0" t="n">
        <v>24389</v>
      </c>
      <c r="C87" s="0" t="n">
        <v>24409</v>
      </c>
      <c r="D87" s="0" t="s">
        <v>305</v>
      </c>
      <c r="E87" s="0" t="s">
        <v>89</v>
      </c>
      <c r="F87" s="0" t="s">
        <v>15</v>
      </c>
      <c r="G87" s="0" t="s">
        <v>16</v>
      </c>
      <c r="H87" s="0" t="n">
        <v>33</v>
      </c>
      <c r="I87" s="0" t="s">
        <v>309</v>
      </c>
      <c r="J87" s="0" t="s">
        <v>310</v>
      </c>
      <c r="K87" s="0" t="s">
        <v>311</v>
      </c>
      <c r="L87" s="0" t="str">
        <f aca="false">HYPERLINK("https://www.ncbi.nlm.nih.gov/nuccore/CP000304.1?report=graph&amp;tracks=[key:gene_model_track,Options:GeneOnly]&amp;mk=24363:24382|offset_6|444444,24390:24409|offset_33|00cc00,24455:24474|offset_98|444444,24514:24533|offset_157|444444&amp;v=24162:24733&amp;c=444444", "offset 33")</f>
        <v>offset 33</v>
      </c>
    </row>
    <row r="88" customFormat="false" ht="12.8" hidden="false" customHeight="false" outlineLevel="0" collapsed="false">
      <c r="A88" s="0" t="s">
        <v>12</v>
      </c>
      <c r="B88" s="0" t="n">
        <v>24454</v>
      </c>
      <c r="C88" s="0" t="n">
        <v>24474</v>
      </c>
      <c r="D88" s="0" t="s">
        <v>305</v>
      </c>
      <c r="E88" s="0" t="s">
        <v>89</v>
      </c>
      <c r="F88" s="0" t="s">
        <v>15</v>
      </c>
      <c r="G88" s="0" t="s">
        <v>32</v>
      </c>
      <c r="H88" s="0" t="n">
        <v>98</v>
      </c>
      <c r="I88" s="0" t="s">
        <v>312</v>
      </c>
      <c r="J88" s="0" t="s">
        <v>313</v>
      </c>
      <c r="K88" s="0" t="s">
        <v>314</v>
      </c>
      <c r="L88" s="0" t="str">
        <f aca="false">HYPERLINK("https://www.ncbi.nlm.nih.gov/nuccore/CP000304.1?report=graph&amp;tracks=[key:gene_model_track,Options:GeneOnly]&amp;mk=24363:24382|offset_6|444444,24390:24409|offset_33|444444,24455:24474|offset_98|00cc00,24514:24533|offset_157|444444&amp;v=24162:24733&amp;c=444444", "offset 98")</f>
        <v>offset 98</v>
      </c>
    </row>
    <row r="89" customFormat="false" ht="12.8" hidden="false" customHeight="false" outlineLevel="0" collapsed="false">
      <c r="A89" s="0" t="s">
        <v>12</v>
      </c>
      <c r="B89" s="0" t="n">
        <v>24513</v>
      </c>
      <c r="C89" s="0" t="n">
        <v>24533</v>
      </c>
      <c r="D89" s="0" t="s">
        <v>305</v>
      </c>
      <c r="E89" s="0" t="s">
        <v>89</v>
      </c>
      <c r="F89" s="0" t="s">
        <v>15</v>
      </c>
      <c r="G89" s="0" t="s">
        <v>16</v>
      </c>
      <c r="H89" s="0" t="n">
        <v>157</v>
      </c>
      <c r="I89" s="0" t="s">
        <v>315</v>
      </c>
      <c r="J89" s="0" t="s">
        <v>316</v>
      </c>
      <c r="K89" s="0" t="s">
        <v>317</v>
      </c>
      <c r="L89" s="0" t="str">
        <f aca="false">HYPERLINK("https://www.ncbi.nlm.nih.gov/nuccore/CP000304.1?report=graph&amp;tracks=[key:gene_model_track,Options:GeneOnly]&amp;mk=24363:24382|offset_6|444444,24390:24409|offset_33|444444,24455:24474|offset_98|444444,24514:24533|offset_157|00cc00&amp;v=24162:24733&amp;c=444444", "offset 157")</f>
        <v>offset 157</v>
      </c>
    </row>
    <row r="90" customFormat="false" ht="12.8" hidden="false" customHeight="false" outlineLevel="0" collapsed="false">
      <c r="A90" s="0" t="s">
        <v>12</v>
      </c>
      <c r="B90" s="0" t="n">
        <v>25568</v>
      </c>
      <c r="C90" s="0" t="n">
        <v>25588</v>
      </c>
      <c r="D90" s="0" t="s">
        <v>318</v>
      </c>
      <c r="E90" s="0" t="s">
        <v>89</v>
      </c>
      <c r="F90" s="0" t="s">
        <v>15</v>
      </c>
      <c r="G90" s="0" t="s">
        <v>32</v>
      </c>
      <c r="H90" s="0" t="n">
        <v>1</v>
      </c>
      <c r="I90" s="0" t="s">
        <v>319</v>
      </c>
      <c r="J90" s="0" t="s">
        <v>320</v>
      </c>
      <c r="K90" s="0" t="s">
        <v>321</v>
      </c>
      <c r="L90" s="0" t="str">
        <f aca="false">HYPERLINK("https://www.ncbi.nlm.nih.gov/nuccore/CP000304.1?report=graph&amp;tracks=[key:gene_model_track,Options:GeneOnly]&amp;mk=25569:25588|offset_1|00cc00,25590:25609|offset_22|444444,25625:25644|offset_57|444444,25645:25664|offset_77|444444&amp;v=25368:25864&amp;c=444444", "offset 1")</f>
        <v>offset 1</v>
      </c>
    </row>
    <row r="91" customFormat="false" ht="12.8" hidden="false" customHeight="false" outlineLevel="0" collapsed="false">
      <c r="A91" s="0" t="s">
        <v>12</v>
      </c>
      <c r="B91" s="0" t="n">
        <v>25589</v>
      </c>
      <c r="C91" s="0" t="n">
        <v>25609</v>
      </c>
      <c r="D91" s="0" t="s">
        <v>318</v>
      </c>
      <c r="E91" s="0" t="s">
        <v>89</v>
      </c>
      <c r="F91" s="0" t="s">
        <v>15</v>
      </c>
      <c r="G91" s="0" t="s">
        <v>16</v>
      </c>
      <c r="H91" s="0" t="n">
        <v>22</v>
      </c>
      <c r="I91" s="0" t="s">
        <v>322</v>
      </c>
      <c r="J91" s="0" t="s">
        <v>323</v>
      </c>
      <c r="K91" s="0" t="s">
        <v>324</v>
      </c>
      <c r="L91" s="0" t="str">
        <f aca="false">HYPERLINK("https://www.ncbi.nlm.nih.gov/nuccore/CP000304.1?report=graph&amp;tracks=[key:gene_model_track,Options:GeneOnly]&amp;mk=25569:25588|offset_1|444444,25590:25609|offset_22|00cc00,25625:25644|offset_57|444444,25645:25664|offset_77|444444&amp;v=25368:25864&amp;c=444444", "offset 22")</f>
        <v>offset 22</v>
      </c>
    </row>
    <row r="92" customFormat="false" ht="12.8" hidden="false" customHeight="false" outlineLevel="0" collapsed="false">
      <c r="A92" s="0" t="s">
        <v>12</v>
      </c>
      <c r="B92" s="0" t="n">
        <v>25624</v>
      </c>
      <c r="C92" s="0" t="n">
        <v>25644</v>
      </c>
      <c r="D92" s="0" t="s">
        <v>318</v>
      </c>
      <c r="E92" s="0" t="s">
        <v>89</v>
      </c>
      <c r="F92" s="0" t="s">
        <v>15</v>
      </c>
      <c r="G92" s="0" t="s">
        <v>16</v>
      </c>
      <c r="H92" s="0" t="n">
        <v>57</v>
      </c>
      <c r="I92" s="0" t="s">
        <v>325</v>
      </c>
      <c r="J92" s="0" t="s">
        <v>326</v>
      </c>
      <c r="K92" s="0" t="s">
        <v>327</v>
      </c>
      <c r="L92" s="0" t="str">
        <f aca="false">HYPERLINK("https://www.ncbi.nlm.nih.gov/nuccore/CP000304.1?report=graph&amp;tracks=[key:gene_model_track,Options:GeneOnly]&amp;mk=25569:25588|offset_1|444444,25590:25609|offset_22|444444,25625:25644|offset_57|00cc00,25645:25664|offset_77|444444&amp;v=25368:25864&amp;c=444444", "offset 57")</f>
        <v>offset 57</v>
      </c>
    </row>
    <row r="93" customFormat="false" ht="12.8" hidden="false" customHeight="false" outlineLevel="0" collapsed="false">
      <c r="A93" s="0" t="s">
        <v>12</v>
      </c>
      <c r="B93" s="0" t="n">
        <v>25644</v>
      </c>
      <c r="C93" s="0" t="n">
        <v>25664</v>
      </c>
      <c r="D93" s="0" t="s">
        <v>318</v>
      </c>
      <c r="E93" s="0" t="s">
        <v>89</v>
      </c>
      <c r="F93" s="0" t="s">
        <v>15</v>
      </c>
      <c r="G93" s="0" t="s">
        <v>26</v>
      </c>
      <c r="H93" s="0" t="n">
        <v>77</v>
      </c>
      <c r="I93" s="0" t="s">
        <v>328</v>
      </c>
      <c r="J93" s="0" t="s">
        <v>329</v>
      </c>
      <c r="K93" s="0" t="s">
        <v>330</v>
      </c>
      <c r="L93" s="0" t="str">
        <f aca="false">HYPERLINK("https://www.ncbi.nlm.nih.gov/nuccore/CP000304.1?report=graph&amp;tracks=[key:gene_model_track,Options:GeneOnly]&amp;mk=25569:25588|offset_1|444444,25590:25609|offset_22|444444,25625:25644|offset_57|444444,25645:25664|offset_77|00cc00&amp;v=25368:25864&amp;c=444444", "offset 77")</f>
        <v>offset 77</v>
      </c>
    </row>
    <row r="94" customFormat="false" ht="12.8" hidden="false" customHeight="false" outlineLevel="0" collapsed="false">
      <c r="A94" s="0" t="s">
        <v>12</v>
      </c>
      <c r="B94" s="0" t="n">
        <v>26846</v>
      </c>
      <c r="C94" s="0" t="n">
        <v>26866</v>
      </c>
      <c r="D94" s="0" t="s">
        <v>331</v>
      </c>
      <c r="E94" s="0" t="s">
        <v>89</v>
      </c>
      <c r="F94" s="0" t="s">
        <v>15</v>
      </c>
      <c r="G94" s="0" t="s">
        <v>16</v>
      </c>
      <c r="H94" s="0" t="n">
        <v>44</v>
      </c>
      <c r="I94" s="0" t="s">
        <v>332</v>
      </c>
      <c r="J94" s="0" t="s">
        <v>333</v>
      </c>
      <c r="K94" s="0" t="s">
        <v>334</v>
      </c>
      <c r="L94" s="0" t="str">
        <f aca="false">HYPERLINK("https://www.ncbi.nlm.nih.gov/nuccore/CP000304.1?report=graph&amp;tracks=[key:gene_model_track,Options:GeneOnly]&amp;mk=26847:26866|offset_44|00cc00,26867:26886|offset_64|444444,26904:26923|offset_101|444444,26931:26950|offset_128|444444&amp;v=26646:27150&amp;c=444444", "offset 44")</f>
        <v>offset 44</v>
      </c>
    </row>
    <row r="95" customFormat="false" ht="12.8" hidden="false" customHeight="false" outlineLevel="0" collapsed="false">
      <c r="A95" s="0" t="s">
        <v>12</v>
      </c>
      <c r="B95" s="0" t="n">
        <v>26866</v>
      </c>
      <c r="C95" s="0" t="n">
        <v>26886</v>
      </c>
      <c r="D95" s="0" t="s">
        <v>331</v>
      </c>
      <c r="E95" s="0" t="s">
        <v>89</v>
      </c>
      <c r="F95" s="0" t="s">
        <v>15</v>
      </c>
      <c r="G95" s="0" t="s">
        <v>26</v>
      </c>
      <c r="H95" s="0" t="n">
        <v>64</v>
      </c>
      <c r="I95" s="0" t="s">
        <v>335</v>
      </c>
      <c r="J95" s="0" t="s">
        <v>336</v>
      </c>
      <c r="K95" s="0" t="s">
        <v>337</v>
      </c>
      <c r="L95" s="0" t="str">
        <f aca="false">HYPERLINK("https://www.ncbi.nlm.nih.gov/nuccore/CP000304.1?report=graph&amp;tracks=[key:gene_model_track,Options:GeneOnly]&amp;mk=26847:26866|offset_44|444444,26867:26886|offset_64|00cc00,26904:26923|offset_101|444444,26931:26950|offset_128|444444&amp;v=26646:27150&amp;c=444444", "offset 64")</f>
        <v>offset 64</v>
      </c>
    </row>
    <row r="96" customFormat="false" ht="12.8" hidden="false" customHeight="false" outlineLevel="0" collapsed="false">
      <c r="A96" s="0" t="s">
        <v>12</v>
      </c>
      <c r="B96" s="0" t="n">
        <v>26903</v>
      </c>
      <c r="C96" s="0" t="n">
        <v>26923</v>
      </c>
      <c r="D96" s="0" t="s">
        <v>331</v>
      </c>
      <c r="E96" s="0" t="s">
        <v>89</v>
      </c>
      <c r="F96" s="0" t="s">
        <v>15</v>
      </c>
      <c r="G96" s="0" t="s">
        <v>36</v>
      </c>
      <c r="H96" s="0" t="n">
        <v>101</v>
      </c>
      <c r="I96" s="0" t="s">
        <v>338</v>
      </c>
      <c r="J96" s="0" t="s">
        <v>339</v>
      </c>
      <c r="K96" s="0" t="s">
        <v>340</v>
      </c>
      <c r="L96" s="0" t="str">
        <f aca="false">HYPERLINK("https://www.ncbi.nlm.nih.gov/nuccore/CP000304.1?report=graph&amp;tracks=[key:gene_model_track,Options:GeneOnly]&amp;mk=26847:26866|offset_44|444444,26867:26886|offset_64|444444,26904:26923|offset_101|00cc00,26931:26950|offset_128|444444&amp;v=26646:27150&amp;c=444444", "offset 101")</f>
        <v>offset 101</v>
      </c>
    </row>
    <row r="97" customFormat="false" ht="12.8" hidden="false" customHeight="false" outlineLevel="0" collapsed="false">
      <c r="A97" s="0" t="s">
        <v>12</v>
      </c>
      <c r="B97" s="0" t="n">
        <v>26930</v>
      </c>
      <c r="C97" s="0" t="n">
        <v>26950</v>
      </c>
      <c r="D97" s="0" t="s">
        <v>331</v>
      </c>
      <c r="E97" s="0" t="s">
        <v>89</v>
      </c>
      <c r="F97" s="0" t="s">
        <v>15</v>
      </c>
      <c r="G97" s="0" t="s">
        <v>26</v>
      </c>
      <c r="H97" s="0" t="n">
        <v>128</v>
      </c>
      <c r="I97" s="0" t="s">
        <v>341</v>
      </c>
      <c r="J97" s="0" t="s">
        <v>342</v>
      </c>
      <c r="K97" s="0" t="s">
        <v>343</v>
      </c>
      <c r="L97" s="0" t="str">
        <f aca="false">HYPERLINK("https://www.ncbi.nlm.nih.gov/nuccore/CP000304.1?report=graph&amp;tracks=[key:gene_model_track,Options:GeneOnly]&amp;mk=26847:26866|offset_44|444444,26867:26886|offset_64|444444,26904:26923|offset_101|444444,26931:26950|offset_128|00cc00&amp;v=26646:27150&amp;c=444444", "offset 128")</f>
        <v>offset 128</v>
      </c>
    </row>
    <row r="98" customFormat="false" ht="12.8" hidden="false" customHeight="false" outlineLevel="0" collapsed="false">
      <c r="A98" s="0" t="s">
        <v>12</v>
      </c>
      <c r="B98" s="0" t="n">
        <v>28128</v>
      </c>
      <c r="C98" s="0" t="n">
        <v>28148</v>
      </c>
      <c r="D98" s="0" t="s">
        <v>344</v>
      </c>
      <c r="E98" s="0" t="s">
        <v>345</v>
      </c>
      <c r="F98" s="0" t="s">
        <v>90</v>
      </c>
      <c r="G98" s="0" t="s">
        <v>36</v>
      </c>
      <c r="H98" s="0" t="n">
        <v>18</v>
      </c>
      <c r="I98" s="0" t="s">
        <v>346</v>
      </c>
      <c r="J98" s="0" t="s">
        <v>347</v>
      </c>
      <c r="K98" s="0" t="s">
        <v>348</v>
      </c>
      <c r="L98" s="0" t="str">
        <f aca="false">HYPERLINK("https://www.ncbi.nlm.nih.gov/nuccore/CP000304.1?report=graph&amp;tracks=[key:gene_model_track,Options:GeneOnly]&amp;mk=28129:28148|offset_18|00cc00,28107:28126|offset_40|444444,28066:28085|offset_81|444444,28042:28061|offset_105|444444&amp;v=27928:28261&amp;c=444444", "offset 18")</f>
        <v>offset 18</v>
      </c>
    </row>
    <row r="99" customFormat="false" ht="12.8" hidden="false" customHeight="false" outlineLevel="0" collapsed="false">
      <c r="A99" s="0" t="s">
        <v>12</v>
      </c>
      <c r="B99" s="0" t="n">
        <v>28106</v>
      </c>
      <c r="C99" s="0" t="n">
        <v>28126</v>
      </c>
      <c r="D99" s="0" t="s">
        <v>344</v>
      </c>
      <c r="E99" s="0" t="s">
        <v>345</v>
      </c>
      <c r="F99" s="0" t="s">
        <v>90</v>
      </c>
      <c r="G99" s="0" t="s">
        <v>32</v>
      </c>
      <c r="H99" s="0" t="n">
        <v>40</v>
      </c>
      <c r="I99" s="0" t="s">
        <v>349</v>
      </c>
      <c r="J99" s="0" t="s">
        <v>350</v>
      </c>
      <c r="K99" s="0" t="s">
        <v>351</v>
      </c>
      <c r="L99" s="0" t="str">
        <f aca="false">HYPERLINK("https://www.ncbi.nlm.nih.gov/nuccore/CP000304.1?report=graph&amp;tracks=[key:gene_model_track,Options:GeneOnly]&amp;mk=28129:28148|offset_18|444444,28107:28126|offset_40|00cc00,28066:28085|offset_81|444444,28042:28061|offset_105|444444&amp;v=27928:28261&amp;c=444444", "offset 40")</f>
        <v>offset 40</v>
      </c>
    </row>
    <row r="100" customFormat="false" ht="12.8" hidden="false" customHeight="false" outlineLevel="0" collapsed="false">
      <c r="A100" s="0" t="s">
        <v>12</v>
      </c>
      <c r="B100" s="0" t="n">
        <v>28065</v>
      </c>
      <c r="C100" s="0" t="n">
        <v>28085</v>
      </c>
      <c r="D100" s="0" t="s">
        <v>344</v>
      </c>
      <c r="E100" s="0" t="s">
        <v>345</v>
      </c>
      <c r="F100" s="0" t="s">
        <v>90</v>
      </c>
      <c r="G100" s="0" t="s">
        <v>16</v>
      </c>
      <c r="H100" s="0" t="n">
        <v>81</v>
      </c>
      <c r="I100" s="0" t="s">
        <v>352</v>
      </c>
      <c r="J100" s="0" t="s">
        <v>353</v>
      </c>
      <c r="K100" s="0" t="s">
        <v>354</v>
      </c>
      <c r="L100" s="0" t="str">
        <f aca="false">HYPERLINK("https://www.ncbi.nlm.nih.gov/nuccore/CP000304.1?report=graph&amp;tracks=[key:gene_model_track,Options:GeneOnly]&amp;mk=28129:28148|offset_18|444444,28107:28126|offset_40|444444,28066:28085|offset_81|00cc00,28042:28061|offset_105|444444&amp;v=27928:28261&amp;c=444444", "offset 81")</f>
        <v>offset 81</v>
      </c>
    </row>
    <row r="101" customFormat="false" ht="12.8" hidden="false" customHeight="false" outlineLevel="0" collapsed="false">
      <c r="A101" s="0" t="s">
        <v>12</v>
      </c>
      <c r="B101" s="0" t="n">
        <v>28041</v>
      </c>
      <c r="C101" s="0" t="n">
        <v>28061</v>
      </c>
      <c r="D101" s="0" t="s">
        <v>344</v>
      </c>
      <c r="E101" s="0" t="s">
        <v>345</v>
      </c>
      <c r="F101" s="0" t="s">
        <v>90</v>
      </c>
      <c r="G101" s="0" t="s">
        <v>16</v>
      </c>
      <c r="H101" s="0" t="n">
        <v>105</v>
      </c>
      <c r="I101" s="0" t="s">
        <v>355</v>
      </c>
      <c r="J101" s="0" t="s">
        <v>356</v>
      </c>
      <c r="K101" s="0" t="s">
        <v>357</v>
      </c>
      <c r="L101" s="0" t="str">
        <f aca="false">HYPERLINK("https://www.ncbi.nlm.nih.gov/nuccore/CP000304.1?report=graph&amp;tracks=[key:gene_model_track,Options:GeneOnly]&amp;mk=28129:28148|offset_18|444444,28107:28126|offset_40|444444,28066:28085|offset_81|444444,28042:28061|offset_105|00cc00&amp;v=27928:28261&amp;c=444444", "offset 105")</f>
        <v>offset 105</v>
      </c>
    </row>
    <row r="102" customFormat="false" ht="12.8" hidden="false" customHeight="false" outlineLevel="0" collapsed="false">
      <c r="A102" s="0" t="s">
        <v>12</v>
      </c>
      <c r="B102" s="0" t="n">
        <v>28559</v>
      </c>
      <c r="C102" s="0" t="n">
        <v>28579</v>
      </c>
      <c r="D102" s="0" t="s">
        <v>358</v>
      </c>
      <c r="E102" s="0" t="s">
        <v>359</v>
      </c>
      <c r="F102" s="0" t="s">
        <v>15</v>
      </c>
      <c r="G102" s="0" t="s">
        <v>16</v>
      </c>
      <c r="H102" s="0" t="n">
        <v>16</v>
      </c>
      <c r="I102" s="0" t="s">
        <v>360</v>
      </c>
      <c r="J102" s="0" t="s">
        <v>361</v>
      </c>
      <c r="K102" s="0" t="s">
        <v>362</v>
      </c>
      <c r="L102" s="0" t="str">
        <f aca="false">HYPERLINK("https://www.ncbi.nlm.nih.gov/nuccore/CP000304.1?report=graph&amp;tracks=[key:gene_model_track,Options:GeneOnly]&amp;mk=28560:28579|offset_16|00cc00,28608:28627|offset_64|444444,28635:28654|offset_91|444444,28664:28683|offset_120|444444&amp;v=28359:28883&amp;c=444444", "offset 16")</f>
        <v>offset 16</v>
      </c>
    </row>
    <row r="103" customFormat="false" ht="12.8" hidden="false" customHeight="false" outlineLevel="0" collapsed="false">
      <c r="A103" s="0" t="s">
        <v>12</v>
      </c>
      <c r="B103" s="0" t="n">
        <v>28607</v>
      </c>
      <c r="C103" s="0" t="n">
        <v>28627</v>
      </c>
      <c r="D103" s="0" t="s">
        <v>358</v>
      </c>
      <c r="E103" s="0" t="s">
        <v>359</v>
      </c>
      <c r="F103" s="0" t="s">
        <v>15</v>
      </c>
      <c r="G103" s="0" t="s">
        <v>16</v>
      </c>
      <c r="H103" s="0" t="n">
        <v>64</v>
      </c>
      <c r="I103" s="0" t="s">
        <v>363</v>
      </c>
      <c r="J103" s="0" t="s">
        <v>364</v>
      </c>
      <c r="K103" s="0" t="s">
        <v>365</v>
      </c>
      <c r="L103" s="0" t="str">
        <f aca="false">HYPERLINK("https://www.ncbi.nlm.nih.gov/nuccore/CP000304.1?report=graph&amp;tracks=[key:gene_model_track,Options:GeneOnly]&amp;mk=28560:28579|offset_16|444444,28608:28627|offset_64|00cc00,28635:28654|offset_91|444444,28664:28683|offset_120|444444&amp;v=28359:28883&amp;c=444444", "offset 64")</f>
        <v>offset 64</v>
      </c>
    </row>
    <row r="104" customFormat="false" ht="12.8" hidden="false" customHeight="false" outlineLevel="0" collapsed="false">
      <c r="A104" s="0" t="s">
        <v>12</v>
      </c>
      <c r="B104" s="0" t="n">
        <v>28634</v>
      </c>
      <c r="C104" s="0" t="n">
        <v>28654</v>
      </c>
      <c r="D104" s="0" t="s">
        <v>358</v>
      </c>
      <c r="E104" s="0" t="s">
        <v>359</v>
      </c>
      <c r="F104" s="0" t="s">
        <v>15</v>
      </c>
      <c r="G104" s="0" t="s">
        <v>36</v>
      </c>
      <c r="H104" s="0" t="n">
        <v>91</v>
      </c>
      <c r="I104" s="0" t="s">
        <v>366</v>
      </c>
      <c r="J104" s="0" t="s">
        <v>367</v>
      </c>
      <c r="K104" s="0" t="s">
        <v>368</v>
      </c>
      <c r="L104" s="0" t="str">
        <f aca="false">HYPERLINK("https://www.ncbi.nlm.nih.gov/nuccore/CP000304.1?report=graph&amp;tracks=[key:gene_model_track,Options:GeneOnly]&amp;mk=28560:28579|offset_16|444444,28608:28627|offset_64|444444,28635:28654|offset_91|00cc00,28664:28683|offset_120|444444&amp;v=28359:28883&amp;c=444444", "offset 91")</f>
        <v>offset 91</v>
      </c>
    </row>
    <row r="105" customFormat="false" ht="12.8" hidden="false" customHeight="false" outlineLevel="0" collapsed="false">
      <c r="A105" s="0" t="s">
        <v>12</v>
      </c>
      <c r="B105" s="0" t="n">
        <v>28663</v>
      </c>
      <c r="C105" s="0" t="n">
        <v>28683</v>
      </c>
      <c r="D105" s="0" t="s">
        <v>358</v>
      </c>
      <c r="E105" s="0" t="s">
        <v>359</v>
      </c>
      <c r="F105" s="0" t="s">
        <v>15</v>
      </c>
      <c r="G105" s="0" t="s">
        <v>26</v>
      </c>
      <c r="H105" s="0" t="n">
        <v>120</v>
      </c>
      <c r="I105" s="0" t="s">
        <v>369</v>
      </c>
      <c r="J105" s="0" t="s">
        <v>370</v>
      </c>
      <c r="K105" s="0" t="s">
        <v>371</v>
      </c>
      <c r="L105" s="0" t="str">
        <f aca="false">HYPERLINK("https://www.ncbi.nlm.nih.gov/nuccore/CP000304.1?report=graph&amp;tracks=[key:gene_model_track,Options:GeneOnly]&amp;mk=28560:28579|offset_16|444444,28608:28627|offset_64|444444,28635:28654|offset_91|444444,28664:28683|offset_120|00cc00&amp;v=28359:28883&amp;c=444444", "offset 120")</f>
        <v>offset 120</v>
      </c>
    </row>
    <row r="106" customFormat="false" ht="12.8" hidden="false" customHeight="false" outlineLevel="0" collapsed="false">
      <c r="A106" s="0" t="s">
        <v>12</v>
      </c>
      <c r="B106" s="0" t="n">
        <v>29562</v>
      </c>
      <c r="C106" s="0" t="n">
        <v>29582</v>
      </c>
      <c r="D106" s="0" t="s">
        <v>372</v>
      </c>
      <c r="E106" s="0" t="s">
        <v>373</v>
      </c>
      <c r="F106" s="0" t="s">
        <v>15</v>
      </c>
      <c r="G106" s="0" t="s">
        <v>16</v>
      </c>
      <c r="H106" s="0" t="n">
        <v>26</v>
      </c>
      <c r="I106" s="0" t="s">
        <v>374</v>
      </c>
      <c r="J106" s="0" t="s">
        <v>375</v>
      </c>
      <c r="K106" s="0" t="s">
        <v>376</v>
      </c>
      <c r="L106" s="0" t="str">
        <f aca="false">HYPERLINK("https://www.ncbi.nlm.nih.gov/nuccore/CP000304.1?report=graph&amp;tracks=[key:gene_model_track,Options:GeneOnly]&amp;mk=29563:29582|offset_26|00cc00,29584:29603|offset_47|444444,29606:29625|offset_69|444444,29628:29647|offset_91|444444&amp;v=29362:29847&amp;c=444444", "offset 26")</f>
        <v>offset 26</v>
      </c>
    </row>
    <row r="107" customFormat="false" ht="12.8" hidden="false" customHeight="false" outlineLevel="0" collapsed="false">
      <c r="A107" s="0" t="s">
        <v>12</v>
      </c>
      <c r="B107" s="0" t="n">
        <v>29583</v>
      </c>
      <c r="C107" s="0" t="n">
        <v>29603</v>
      </c>
      <c r="D107" s="0" t="s">
        <v>372</v>
      </c>
      <c r="E107" s="0" t="s">
        <v>373</v>
      </c>
      <c r="F107" s="0" t="s">
        <v>15</v>
      </c>
      <c r="G107" s="0" t="s">
        <v>36</v>
      </c>
      <c r="H107" s="0" t="n">
        <v>47</v>
      </c>
      <c r="I107" s="0" t="s">
        <v>377</v>
      </c>
      <c r="J107" s="0" t="s">
        <v>378</v>
      </c>
      <c r="K107" s="0" t="s">
        <v>379</v>
      </c>
      <c r="L107" s="0" t="str">
        <f aca="false">HYPERLINK("https://www.ncbi.nlm.nih.gov/nuccore/CP000304.1?report=graph&amp;tracks=[key:gene_model_track,Options:GeneOnly]&amp;mk=29563:29582|offset_26|444444,29584:29603|offset_47|00cc00,29606:29625|offset_69|444444,29628:29647|offset_91|444444&amp;v=29362:29847&amp;c=444444", "offset 47")</f>
        <v>offset 47</v>
      </c>
    </row>
    <row r="108" customFormat="false" ht="12.8" hidden="false" customHeight="false" outlineLevel="0" collapsed="false">
      <c r="A108" s="0" t="s">
        <v>12</v>
      </c>
      <c r="B108" s="0" t="n">
        <v>29605</v>
      </c>
      <c r="C108" s="0" t="n">
        <v>29625</v>
      </c>
      <c r="D108" s="0" t="s">
        <v>372</v>
      </c>
      <c r="E108" s="0" t="s">
        <v>373</v>
      </c>
      <c r="F108" s="0" t="s">
        <v>15</v>
      </c>
      <c r="G108" s="0" t="s">
        <v>16</v>
      </c>
      <c r="H108" s="0" t="n">
        <v>69</v>
      </c>
      <c r="I108" s="0" t="s">
        <v>380</v>
      </c>
      <c r="J108" s="0" t="s">
        <v>381</v>
      </c>
      <c r="K108" s="0" t="s">
        <v>382</v>
      </c>
      <c r="L108" s="0" t="str">
        <f aca="false">HYPERLINK("https://www.ncbi.nlm.nih.gov/nuccore/CP000304.1?report=graph&amp;tracks=[key:gene_model_track,Options:GeneOnly]&amp;mk=29563:29582|offset_26|444444,29584:29603|offset_47|444444,29606:29625|offset_69|00cc00,29628:29647|offset_91|444444&amp;v=29362:29847&amp;c=444444", "offset 69")</f>
        <v>offset 69</v>
      </c>
    </row>
    <row r="109" customFormat="false" ht="12.8" hidden="false" customHeight="false" outlineLevel="0" collapsed="false">
      <c r="A109" s="0" t="s">
        <v>12</v>
      </c>
      <c r="B109" s="0" t="n">
        <v>29627</v>
      </c>
      <c r="C109" s="0" t="n">
        <v>29647</v>
      </c>
      <c r="D109" s="0" t="s">
        <v>372</v>
      </c>
      <c r="E109" s="0" t="s">
        <v>373</v>
      </c>
      <c r="F109" s="0" t="s">
        <v>15</v>
      </c>
      <c r="G109" s="0" t="s">
        <v>16</v>
      </c>
      <c r="H109" s="0" t="n">
        <v>91</v>
      </c>
      <c r="I109" s="0" t="s">
        <v>383</v>
      </c>
      <c r="J109" s="0" t="s">
        <v>384</v>
      </c>
      <c r="K109" s="0" t="s">
        <v>385</v>
      </c>
      <c r="L109" s="0" t="str">
        <f aca="false">HYPERLINK("https://www.ncbi.nlm.nih.gov/nuccore/CP000304.1?report=graph&amp;tracks=[key:gene_model_track,Options:GeneOnly]&amp;mk=29563:29582|offset_26|444444,29584:29603|offset_47|444444,29606:29625|offset_69|444444,29628:29647|offset_91|00cc00&amp;v=29362:29847&amp;c=444444", "offset 91")</f>
        <v>offset 91</v>
      </c>
    </row>
    <row r="110" customFormat="false" ht="12.8" hidden="false" customHeight="false" outlineLevel="0" collapsed="false">
      <c r="A110" s="0" t="s">
        <v>12</v>
      </c>
      <c r="B110" s="0" t="n">
        <v>30944</v>
      </c>
      <c r="C110" s="0" t="n">
        <v>30964</v>
      </c>
      <c r="D110" s="0" t="s">
        <v>386</v>
      </c>
      <c r="E110" s="0" t="s">
        <v>89</v>
      </c>
      <c r="F110" s="0" t="s">
        <v>90</v>
      </c>
      <c r="G110" s="0" t="s">
        <v>16</v>
      </c>
      <c r="H110" s="0" t="n">
        <v>1</v>
      </c>
      <c r="I110" s="0" t="s">
        <v>387</v>
      </c>
      <c r="J110" s="0" t="s">
        <v>388</v>
      </c>
      <c r="K110" s="0" t="s">
        <v>389</v>
      </c>
      <c r="L110" s="0" t="str">
        <f aca="false">HYPERLINK("https://www.ncbi.nlm.nih.gov/nuccore/CP000304.1?report=graph&amp;tracks=[key:gene_model_track,Options:GeneOnly]&amp;mk=30945:30964|offset_1|00cc00,30909:30928|offset_37|444444,30878:30897|offset_68|444444,30815:30834|offset_131|444444&amp;v=30744:31034&amp;c=444444", "offset 1")</f>
        <v>offset 1</v>
      </c>
    </row>
    <row r="111" customFormat="false" ht="12.8" hidden="false" customHeight="false" outlineLevel="0" collapsed="false">
      <c r="A111" s="0" t="s">
        <v>12</v>
      </c>
      <c r="B111" s="0" t="n">
        <v>30908</v>
      </c>
      <c r="C111" s="0" t="n">
        <v>30928</v>
      </c>
      <c r="D111" s="0" t="s">
        <v>386</v>
      </c>
      <c r="E111" s="0" t="s">
        <v>89</v>
      </c>
      <c r="F111" s="0" t="s">
        <v>90</v>
      </c>
      <c r="G111" s="0" t="s">
        <v>36</v>
      </c>
      <c r="H111" s="0" t="n">
        <v>37</v>
      </c>
      <c r="I111" s="0" t="s">
        <v>390</v>
      </c>
      <c r="J111" s="0" t="s">
        <v>391</v>
      </c>
      <c r="K111" s="0" t="s">
        <v>392</v>
      </c>
      <c r="L111" s="0" t="str">
        <f aca="false">HYPERLINK("https://www.ncbi.nlm.nih.gov/nuccore/CP000304.1?report=graph&amp;tracks=[key:gene_model_track,Options:GeneOnly]&amp;mk=30945:30964|offset_1|444444,30909:30928|offset_37|00cc00,30878:30897|offset_68|444444,30815:30834|offset_131|444444&amp;v=30744:31034&amp;c=444444", "offset 37")</f>
        <v>offset 37</v>
      </c>
    </row>
    <row r="112" customFormat="false" ht="12.8" hidden="false" customHeight="false" outlineLevel="0" collapsed="false">
      <c r="A112" s="0" t="s">
        <v>12</v>
      </c>
      <c r="B112" s="0" t="n">
        <v>30877</v>
      </c>
      <c r="C112" s="0" t="n">
        <v>30897</v>
      </c>
      <c r="D112" s="0" t="s">
        <v>386</v>
      </c>
      <c r="E112" s="0" t="s">
        <v>89</v>
      </c>
      <c r="F112" s="0" t="s">
        <v>90</v>
      </c>
      <c r="G112" s="0" t="s">
        <v>36</v>
      </c>
      <c r="H112" s="0" t="n">
        <v>68</v>
      </c>
      <c r="I112" s="0" t="s">
        <v>393</v>
      </c>
      <c r="J112" s="0" t="s">
        <v>394</v>
      </c>
      <c r="K112" s="0" t="s">
        <v>395</v>
      </c>
      <c r="L112" s="0" t="str">
        <f aca="false">HYPERLINK("https://www.ncbi.nlm.nih.gov/nuccore/CP000304.1?report=graph&amp;tracks=[key:gene_model_track,Options:GeneOnly]&amp;mk=30945:30964|offset_1|444444,30909:30928|offset_37|444444,30878:30897|offset_68|00cc00,30815:30834|offset_131|444444&amp;v=30744:31034&amp;c=444444", "offset 68")</f>
        <v>offset 68</v>
      </c>
    </row>
    <row r="113" customFormat="false" ht="12.8" hidden="false" customHeight="false" outlineLevel="0" collapsed="false">
      <c r="A113" s="0" t="s">
        <v>12</v>
      </c>
      <c r="B113" s="0" t="n">
        <v>30814</v>
      </c>
      <c r="C113" s="0" t="n">
        <v>30834</v>
      </c>
      <c r="D113" s="0" t="s">
        <v>386</v>
      </c>
      <c r="E113" s="0" t="s">
        <v>89</v>
      </c>
      <c r="F113" s="0" t="s">
        <v>90</v>
      </c>
      <c r="G113" s="0" t="s">
        <v>32</v>
      </c>
      <c r="H113" s="0" t="n">
        <v>131</v>
      </c>
      <c r="I113" s="0" t="s">
        <v>396</v>
      </c>
      <c r="J113" s="0" t="s">
        <v>397</v>
      </c>
      <c r="K113" s="0" t="s">
        <v>398</v>
      </c>
      <c r="L113" s="0" t="str">
        <f aca="false">HYPERLINK("https://www.ncbi.nlm.nih.gov/nuccore/CP000304.1?report=graph&amp;tracks=[key:gene_model_track,Options:GeneOnly]&amp;mk=30945:30964|offset_1|444444,30909:30928|offset_37|444444,30878:30897|offset_68|444444,30815:30834|offset_131|00cc00&amp;v=30744:31034&amp;c=444444", "offset 131")</f>
        <v>offset 131</v>
      </c>
    </row>
    <row r="114" customFormat="false" ht="12.8" hidden="false" customHeight="false" outlineLevel="0" collapsed="false">
      <c r="A114" s="0" t="s">
        <v>12</v>
      </c>
      <c r="B114" s="0" t="n">
        <v>31361</v>
      </c>
      <c r="C114" s="0" t="n">
        <v>31381</v>
      </c>
      <c r="D114" s="0" t="s">
        <v>399</v>
      </c>
      <c r="E114" s="0" t="s">
        <v>89</v>
      </c>
      <c r="F114" s="0" t="s">
        <v>90</v>
      </c>
      <c r="G114" s="0" t="s">
        <v>32</v>
      </c>
      <c r="H114" s="0" t="n">
        <v>1</v>
      </c>
      <c r="I114" s="0" t="s">
        <v>400</v>
      </c>
      <c r="J114" s="0" t="s">
        <v>401</v>
      </c>
      <c r="K114" s="0" t="s">
        <v>402</v>
      </c>
      <c r="L114" s="0" t="str">
        <f aca="false">HYPERLINK("https://www.ncbi.nlm.nih.gov/nuccore/CP000304.1?report=graph&amp;tracks=[key:gene_model_track,Options:GeneOnly]&amp;mk=31362:31381|offset_1|00cc00,31341:31360|offset_22|444444,31307:31326|offset_56|444444,31272:31291|offset_91|444444&amp;v=31161:31491&amp;c=444444", "offset 1")</f>
        <v>offset 1</v>
      </c>
    </row>
    <row r="115" customFormat="false" ht="12.8" hidden="false" customHeight="false" outlineLevel="0" collapsed="false">
      <c r="A115" s="0" t="s">
        <v>12</v>
      </c>
      <c r="B115" s="0" t="n">
        <v>31340</v>
      </c>
      <c r="C115" s="0" t="n">
        <v>31360</v>
      </c>
      <c r="D115" s="0" t="s">
        <v>399</v>
      </c>
      <c r="E115" s="0" t="s">
        <v>89</v>
      </c>
      <c r="F115" s="0" t="s">
        <v>90</v>
      </c>
      <c r="G115" s="0" t="s">
        <v>32</v>
      </c>
      <c r="H115" s="0" t="n">
        <v>22</v>
      </c>
      <c r="I115" s="0" t="s">
        <v>403</v>
      </c>
      <c r="J115" s="0" t="s">
        <v>404</v>
      </c>
      <c r="K115" s="0" t="s">
        <v>405</v>
      </c>
      <c r="L115" s="0" t="str">
        <f aca="false">HYPERLINK("https://www.ncbi.nlm.nih.gov/nuccore/CP000304.1?report=graph&amp;tracks=[key:gene_model_track,Options:GeneOnly]&amp;mk=31362:31381|offset_1|444444,31341:31360|offset_22|00cc00,31307:31326|offset_56|444444,31272:31291|offset_91|444444&amp;v=31161:31491&amp;c=444444", "offset 22")</f>
        <v>offset 22</v>
      </c>
    </row>
    <row r="116" customFormat="false" ht="12.8" hidden="false" customHeight="false" outlineLevel="0" collapsed="false">
      <c r="A116" s="0" t="s">
        <v>12</v>
      </c>
      <c r="B116" s="0" t="n">
        <v>31306</v>
      </c>
      <c r="C116" s="0" t="n">
        <v>31326</v>
      </c>
      <c r="D116" s="0" t="s">
        <v>399</v>
      </c>
      <c r="E116" s="0" t="s">
        <v>89</v>
      </c>
      <c r="F116" s="0" t="s">
        <v>90</v>
      </c>
      <c r="G116" s="0" t="s">
        <v>26</v>
      </c>
      <c r="H116" s="0" t="n">
        <v>56</v>
      </c>
      <c r="I116" s="0" t="s">
        <v>406</v>
      </c>
      <c r="J116" s="0" t="s">
        <v>407</v>
      </c>
      <c r="K116" s="0" t="s">
        <v>408</v>
      </c>
      <c r="L116" s="0" t="str">
        <f aca="false">HYPERLINK("https://www.ncbi.nlm.nih.gov/nuccore/CP000304.1?report=graph&amp;tracks=[key:gene_model_track,Options:GeneOnly]&amp;mk=31362:31381|offset_1|444444,31341:31360|offset_22|444444,31307:31326|offset_56|00cc00,31272:31291|offset_91|444444&amp;v=31161:31491&amp;c=444444", "offset 56")</f>
        <v>offset 56</v>
      </c>
    </row>
    <row r="117" customFormat="false" ht="12.8" hidden="false" customHeight="false" outlineLevel="0" collapsed="false">
      <c r="A117" s="0" t="s">
        <v>12</v>
      </c>
      <c r="B117" s="0" t="n">
        <v>31271</v>
      </c>
      <c r="C117" s="0" t="n">
        <v>31291</v>
      </c>
      <c r="D117" s="0" t="s">
        <v>399</v>
      </c>
      <c r="E117" s="0" t="s">
        <v>89</v>
      </c>
      <c r="F117" s="0" t="s">
        <v>90</v>
      </c>
      <c r="G117" s="0" t="s">
        <v>16</v>
      </c>
      <c r="H117" s="0" t="n">
        <v>91</v>
      </c>
      <c r="I117" s="0" t="s">
        <v>409</v>
      </c>
      <c r="J117" s="0" t="s">
        <v>410</v>
      </c>
      <c r="K117" s="0" t="s">
        <v>411</v>
      </c>
      <c r="L117" s="0" t="str">
        <f aca="false">HYPERLINK("https://www.ncbi.nlm.nih.gov/nuccore/CP000304.1?report=graph&amp;tracks=[key:gene_model_track,Options:GeneOnly]&amp;mk=31362:31381|offset_1|444444,31341:31360|offset_22|444444,31307:31326|offset_56|444444,31272:31291|offset_91|00cc00&amp;v=31161:31491&amp;c=444444", "offset 91")</f>
        <v>offset 91</v>
      </c>
    </row>
    <row r="118" customFormat="false" ht="12.8" hidden="false" customHeight="false" outlineLevel="0" collapsed="false">
      <c r="A118" s="0" t="s">
        <v>12</v>
      </c>
      <c r="B118" s="0" t="n">
        <v>31420</v>
      </c>
      <c r="C118" s="0" t="n">
        <v>31440</v>
      </c>
      <c r="D118" s="0" t="s">
        <v>412</v>
      </c>
      <c r="E118" s="0" t="s">
        <v>413</v>
      </c>
      <c r="F118" s="0" t="s">
        <v>15</v>
      </c>
      <c r="G118" s="0" t="s">
        <v>36</v>
      </c>
      <c r="H118" s="0" t="n">
        <v>13</v>
      </c>
      <c r="I118" s="0" t="s">
        <v>414</v>
      </c>
      <c r="J118" s="0" t="s">
        <v>415</v>
      </c>
      <c r="K118" s="0" t="s">
        <v>416</v>
      </c>
      <c r="L118" s="0" t="str">
        <f aca="false">HYPERLINK("https://www.ncbi.nlm.nih.gov/nuccore/CP000304.1?report=graph&amp;tracks=[key:gene_model_track,Options:GeneOnly]&amp;mk=31421:31440|offset_13|00cc00,31445:31464|offset_37|444444,31465:31484|offset_57|444444,31490:31509|offset_82|444444&amp;v=31220:31709&amp;c=444444", "offset 13")</f>
        <v>offset 13</v>
      </c>
    </row>
    <row r="119" customFormat="false" ht="12.8" hidden="false" customHeight="false" outlineLevel="0" collapsed="false">
      <c r="A119" s="0" t="s">
        <v>12</v>
      </c>
      <c r="B119" s="0" t="n">
        <v>31444</v>
      </c>
      <c r="C119" s="0" t="n">
        <v>31464</v>
      </c>
      <c r="D119" s="0" t="s">
        <v>412</v>
      </c>
      <c r="E119" s="0" t="s">
        <v>413</v>
      </c>
      <c r="F119" s="0" t="s">
        <v>15</v>
      </c>
      <c r="G119" s="0" t="s">
        <v>32</v>
      </c>
      <c r="H119" s="0" t="n">
        <v>37</v>
      </c>
      <c r="I119" s="0" t="s">
        <v>417</v>
      </c>
      <c r="J119" s="0" t="s">
        <v>418</v>
      </c>
      <c r="K119" s="0" t="s">
        <v>419</v>
      </c>
      <c r="L119" s="0" t="str">
        <f aca="false">HYPERLINK("https://www.ncbi.nlm.nih.gov/nuccore/CP000304.1?report=graph&amp;tracks=[key:gene_model_track,Options:GeneOnly]&amp;mk=31421:31440|offset_13|444444,31445:31464|offset_37|00cc00,31465:31484|offset_57|444444,31490:31509|offset_82|444444&amp;v=31220:31709&amp;c=444444", "offset 37")</f>
        <v>offset 37</v>
      </c>
    </row>
    <row r="120" customFormat="false" ht="12.8" hidden="false" customHeight="false" outlineLevel="0" collapsed="false">
      <c r="A120" s="0" t="s">
        <v>12</v>
      </c>
      <c r="B120" s="0" t="n">
        <v>31464</v>
      </c>
      <c r="C120" s="0" t="n">
        <v>31484</v>
      </c>
      <c r="D120" s="0" t="s">
        <v>412</v>
      </c>
      <c r="E120" s="0" t="s">
        <v>413</v>
      </c>
      <c r="F120" s="0" t="s">
        <v>15</v>
      </c>
      <c r="G120" s="0" t="s">
        <v>16</v>
      </c>
      <c r="H120" s="0" t="n">
        <v>57</v>
      </c>
      <c r="I120" s="0" t="s">
        <v>420</v>
      </c>
      <c r="J120" s="0" t="s">
        <v>421</v>
      </c>
      <c r="K120" s="0" t="s">
        <v>422</v>
      </c>
      <c r="L120" s="0" t="str">
        <f aca="false">HYPERLINK("https://www.ncbi.nlm.nih.gov/nuccore/CP000304.1?report=graph&amp;tracks=[key:gene_model_track,Options:GeneOnly]&amp;mk=31421:31440|offset_13|444444,31445:31464|offset_37|444444,31465:31484|offset_57|00cc00,31490:31509|offset_82|444444&amp;v=31220:31709&amp;c=444444", "offset 57")</f>
        <v>offset 57</v>
      </c>
    </row>
    <row r="121" customFormat="false" ht="12.8" hidden="false" customHeight="false" outlineLevel="0" collapsed="false">
      <c r="A121" s="0" t="s">
        <v>12</v>
      </c>
      <c r="B121" s="0" t="n">
        <v>31489</v>
      </c>
      <c r="C121" s="0" t="n">
        <v>31509</v>
      </c>
      <c r="D121" s="0" t="s">
        <v>412</v>
      </c>
      <c r="E121" s="0" t="s">
        <v>413</v>
      </c>
      <c r="F121" s="0" t="s">
        <v>15</v>
      </c>
      <c r="G121" s="0" t="s">
        <v>16</v>
      </c>
      <c r="H121" s="0" t="n">
        <v>82</v>
      </c>
      <c r="I121" s="0" t="s">
        <v>423</v>
      </c>
      <c r="J121" s="0" t="s">
        <v>424</v>
      </c>
      <c r="K121" s="0" t="s">
        <v>425</v>
      </c>
      <c r="L121" s="0" t="str">
        <f aca="false">HYPERLINK("https://www.ncbi.nlm.nih.gov/nuccore/CP000304.1?report=graph&amp;tracks=[key:gene_model_track,Options:GeneOnly]&amp;mk=31421:31440|offset_13|444444,31445:31464|offset_37|444444,31465:31484|offset_57|444444,31490:31509|offset_82|00cc00&amp;v=31220:31709&amp;c=444444", "offset 82")</f>
        <v>offset 82</v>
      </c>
    </row>
    <row r="122" customFormat="false" ht="12.8" hidden="false" customHeight="false" outlineLevel="0" collapsed="false">
      <c r="A122" s="0" t="s">
        <v>12</v>
      </c>
      <c r="B122" s="0" t="n">
        <v>33159</v>
      </c>
      <c r="C122" s="0" t="n">
        <v>33179</v>
      </c>
      <c r="D122" s="0" t="s">
        <v>426</v>
      </c>
      <c r="E122" s="0" t="s">
        <v>89</v>
      </c>
      <c r="F122" s="0" t="s">
        <v>15</v>
      </c>
      <c r="G122" s="0" t="s">
        <v>32</v>
      </c>
      <c r="H122" s="0" t="n">
        <v>6</v>
      </c>
      <c r="I122" s="0" t="s">
        <v>427</v>
      </c>
      <c r="J122" s="0" t="s">
        <v>428</v>
      </c>
      <c r="K122" s="0" t="s">
        <v>429</v>
      </c>
      <c r="L122" s="0" t="str">
        <f aca="false">HYPERLINK("https://www.ncbi.nlm.nih.gov/nuccore/CP000304.1?report=graph&amp;tracks=[key:gene_model_track,Options:GeneOnly]&amp;mk=33160:33179|offset_6|00cc00,33180:33199|offset_26|444444,33208:33227|offset_54|444444,33267:33286|offset_113|444444&amp;v=32959:33486&amp;c=444444", "offset 6")</f>
        <v>offset 6</v>
      </c>
    </row>
    <row r="123" customFormat="false" ht="12.8" hidden="false" customHeight="false" outlineLevel="0" collapsed="false">
      <c r="A123" s="0" t="s">
        <v>12</v>
      </c>
      <c r="B123" s="0" t="n">
        <v>33179</v>
      </c>
      <c r="C123" s="0" t="n">
        <v>33199</v>
      </c>
      <c r="D123" s="0" t="s">
        <v>426</v>
      </c>
      <c r="E123" s="0" t="s">
        <v>89</v>
      </c>
      <c r="F123" s="0" t="s">
        <v>15</v>
      </c>
      <c r="G123" s="0" t="s">
        <v>26</v>
      </c>
      <c r="H123" s="0" t="n">
        <v>26</v>
      </c>
      <c r="I123" s="0" t="s">
        <v>430</v>
      </c>
      <c r="J123" s="0" t="s">
        <v>431</v>
      </c>
      <c r="K123" s="0" t="s">
        <v>432</v>
      </c>
      <c r="L123" s="0" t="str">
        <f aca="false">HYPERLINK("https://www.ncbi.nlm.nih.gov/nuccore/CP000304.1?report=graph&amp;tracks=[key:gene_model_track,Options:GeneOnly]&amp;mk=33160:33179|offset_6|444444,33180:33199|offset_26|00cc00,33208:33227|offset_54|444444,33267:33286|offset_113|444444&amp;v=32959:33486&amp;c=444444", "offset 26")</f>
        <v>offset 26</v>
      </c>
    </row>
    <row r="124" customFormat="false" ht="12.8" hidden="false" customHeight="false" outlineLevel="0" collapsed="false">
      <c r="A124" s="0" t="s">
        <v>12</v>
      </c>
      <c r="B124" s="0" t="n">
        <v>33207</v>
      </c>
      <c r="C124" s="0" t="n">
        <v>33227</v>
      </c>
      <c r="D124" s="0" t="s">
        <v>426</v>
      </c>
      <c r="E124" s="0" t="s">
        <v>89</v>
      </c>
      <c r="F124" s="0" t="s">
        <v>15</v>
      </c>
      <c r="G124" s="0" t="s">
        <v>26</v>
      </c>
      <c r="H124" s="0" t="n">
        <v>54</v>
      </c>
      <c r="I124" s="0" t="s">
        <v>433</v>
      </c>
      <c r="J124" s="0" t="s">
        <v>434</v>
      </c>
      <c r="K124" s="0" t="s">
        <v>435</v>
      </c>
      <c r="L124" s="0" t="str">
        <f aca="false">HYPERLINK("https://www.ncbi.nlm.nih.gov/nuccore/CP000304.1?report=graph&amp;tracks=[key:gene_model_track,Options:GeneOnly]&amp;mk=33160:33179|offset_6|444444,33180:33199|offset_26|444444,33208:33227|offset_54|00cc00,33267:33286|offset_113|444444&amp;v=32959:33486&amp;c=444444", "offset 54")</f>
        <v>offset 54</v>
      </c>
    </row>
    <row r="125" customFormat="false" ht="12.8" hidden="false" customHeight="false" outlineLevel="0" collapsed="false">
      <c r="A125" s="0" t="s">
        <v>12</v>
      </c>
      <c r="B125" s="0" t="n">
        <v>33266</v>
      </c>
      <c r="C125" s="0" t="n">
        <v>33286</v>
      </c>
      <c r="D125" s="0" t="s">
        <v>426</v>
      </c>
      <c r="E125" s="0" t="s">
        <v>89</v>
      </c>
      <c r="F125" s="0" t="s">
        <v>15</v>
      </c>
      <c r="G125" s="0" t="s">
        <v>32</v>
      </c>
      <c r="H125" s="0" t="n">
        <v>113</v>
      </c>
      <c r="I125" s="0" t="s">
        <v>436</v>
      </c>
      <c r="J125" s="0" t="s">
        <v>437</v>
      </c>
      <c r="K125" s="0" t="s">
        <v>438</v>
      </c>
      <c r="L125" s="0" t="str">
        <f aca="false">HYPERLINK("https://www.ncbi.nlm.nih.gov/nuccore/CP000304.1?report=graph&amp;tracks=[key:gene_model_track,Options:GeneOnly]&amp;mk=33160:33179|offset_6|444444,33180:33199|offset_26|444444,33208:33227|offset_54|444444,33267:33286|offset_113|00cc00&amp;v=32959:33486&amp;c=444444", "offset 113")</f>
        <v>offset 113</v>
      </c>
    </row>
    <row r="126" customFormat="false" ht="12.8" hidden="false" customHeight="false" outlineLevel="0" collapsed="false">
      <c r="A126" s="0" t="s">
        <v>12</v>
      </c>
      <c r="B126" s="0" t="n">
        <v>35307</v>
      </c>
      <c r="C126" s="0" t="n">
        <v>35327</v>
      </c>
      <c r="D126" s="0" t="s">
        <v>439</v>
      </c>
      <c r="E126" s="0" t="s">
        <v>89</v>
      </c>
      <c r="F126" s="0" t="s">
        <v>15</v>
      </c>
      <c r="G126" s="0" t="s">
        <v>16</v>
      </c>
      <c r="H126" s="0" t="n">
        <v>82</v>
      </c>
      <c r="I126" s="0" t="s">
        <v>440</v>
      </c>
      <c r="J126" s="0" t="s">
        <v>441</v>
      </c>
      <c r="K126" s="0" t="s">
        <v>442</v>
      </c>
      <c r="L126" s="0" t="str">
        <f aca="false">HYPERLINK("https://www.ncbi.nlm.nih.gov/nuccore/CP000304.1?report=graph&amp;tracks=[key:gene_model_track,Options:GeneOnly]&amp;mk=35308:35327|offset_82|00cc00,35330:35349|offset_104|444444,35356:35375|offset_130|444444,35377:35396|offset_151|444444&amp;v=35107:35596&amp;c=444444", "offset 82")</f>
        <v>offset 82</v>
      </c>
    </row>
    <row r="127" customFormat="false" ht="12.8" hidden="false" customHeight="false" outlineLevel="0" collapsed="false">
      <c r="A127" s="0" t="s">
        <v>12</v>
      </c>
      <c r="B127" s="0" t="n">
        <v>35329</v>
      </c>
      <c r="C127" s="0" t="n">
        <v>35349</v>
      </c>
      <c r="D127" s="0" t="s">
        <v>439</v>
      </c>
      <c r="E127" s="0" t="s">
        <v>89</v>
      </c>
      <c r="F127" s="0" t="s">
        <v>15</v>
      </c>
      <c r="G127" s="0" t="s">
        <v>26</v>
      </c>
      <c r="H127" s="0" t="n">
        <v>104</v>
      </c>
      <c r="I127" s="0" t="s">
        <v>443</v>
      </c>
      <c r="J127" s="0" t="s">
        <v>444</v>
      </c>
      <c r="K127" s="0" t="s">
        <v>445</v>
      </c>
      <c r="L127" s="0" t="str">
        <f aca="false">HYPERLINK("https://www.ncbi.nlm.nih.gov/nuccore/CP000304.1?report=graph&amp;tracks=[key:gene_model_track,Options:GeneOnly]&amp;mk=35308:35327|offset_82|444444,35330:35349|offset_104|00cc00,35356:35375|offset_130|444444,35377:35396|offset_151|444444&amp;v=35107:35596&amp;c=444444", "offset 104")</f>
        <v>offset 104</v>
      </c>
    </row>
    <row r="128" customFormat="false" ht="12.8" hidden="false" customHeight="false" outlineLevel="0" collapsed="false">
      <c r="A128" s="0" t="s">
        <v>12</v>
      </c>
      <c r="B128" s="0" t="n">
        <v>35355</v>
      </c>
      <c r="C128" s="0" t="n">
        <v>35375</v>
      </c>
      <c r="D128" s="0" t="s">
        <v>439</v>
      </c>
      <c r="E128" s="0" t="s">
        <v>89</v>
      </c>
      <c r="F128" s="0" t="s">
        <v>15</v>
      </c>
      <c r="G128" s="0" t="s">
        <v>36</v>
      </c>
      <c r="H128" s="0" t="n">
        <v>130</v>
      </c>
      <c r="I128" s="0" t="s">
        <v>446</v>
      </c>
      <c r="J128" s="0" t="s">
        <v>447</v>
      </c>
      <c r="K128" s="0" t="s">
        <v>448</v>
      </c>
      <c r="L128" s="0" t="str">
        <f aca="false">HYPERLINK("https://www.ncbi.nlm.nih.gov/nuccore/CP000304.1?report=graph&amp;tracks=[key:gene_model_track,Options:GeneOnly]&amp;mk=35308:35327|offset_82|444444,35330:35349|offset_104|444444,35356:35375|offset_130|00cc00,35377:35396|offset_151|444444&amp;v=35107:35596&amp;c=444444", "offset 130")</f>
        <v>offset 130</v>
      </c>
    </row>
    <row r="129" customFormat="false" ht="12.8" hidden="false" customHeight="false" outlineLevel="0" collapsed="false">
      <c r="A129" s="0" t="s">
        <v>12</v>
      </c>
      <c r="B129" s="0" t="n">
        <v>35376</v>
      </c>
      <c r="C129" s="0" t="n">
        <v>35396</v>
      </c>
      <c r="D129" s="0" t="s">
        <v>439</v>
      </c>
      <c r="E129" s="0" t="s">
        <v>89</v>
      </c>
      <c r="F129" s="0" t="s">
        <v>15</v>
      </c>
      <c r="G129" s="0" t="s">
        <v>26</v>
      </c>
      <c r="H129" s="0" t="n">
        <v>151</v>
      </c>
      <c r="I129" s="0" t="s">
        <v>449</v>
      </c>
      <c r="J129" s="0" t="s">
        <v>450</v>
      </c>
      <c r="K129" s="0" t="s">
        <v>451</v>
      </c>
      <c r="L129" s="0" t="str">
        <f aca="false">HYPERLINK("https://www.ncbi.nlm.nih.gov/nuccore/CP000304.1?report=graph&amp;tracks=[key:gene_model_track,Options:GeneOnly]&amp;mk=35308:35327|offset_82|444444,35330:35349|offset_104|444444,35356:35375|offset_130|444444,35377:35396|offset_151|00cc00&amp;v=35107:35596&amp;c=444444", "offset 151")</f>
        <v>offset 151</v>
      </c>
    </row>
    <row r="130" customFormat="false" ht="12.8" hidden="false" customHeight="false" outlineLevel="0" collapsed="false">
      <c r="A130" s="0" t="s">
        <v>12</v>
      </c>
      <c r="B130" s="0" t="n">
        <v>38478</v>
      </c>
      <c r="C130" s="0" t="n">
        <v>38498</v>
      </c>
      <c r="D130" s="0" t="s">
        <v>452</v>
      </c>
      <c r="E130" s="0" t="s">
        <v>89</v>
      </c>
      <c r="F130" s="0" t="s">
        <v>90</v>
      </c>
      <c r="G130" s="0" t="s">
        <v>26</v>
      </c>
      <c r="H130" s="0" t="n">
        <v>11</v>
      </c>
      <c r="I130" s="0" t="s">
        <v>453</v>
      </c>
      <c r="J130" s="0" t="s">
        <v>454</v>
      </c>
      <c r="K130" s="0" t="s">
        <v>455</v>
      </c>
      <c r="L130" s="0" t="str">
        <f aca="false">HYPERLINK("https://www.ncbi.nlm.nih.gov/nuccore/CP000304.1?report=graph&amp;tracks=[key:gene_model_track,Options:GeneOnly]&amp;mk=38479:38498|offset_11|00cc00,38397:38416|offset_93|444444,38354:38373|offset_136|444444,38326:38345|offset_164|444444&amp;v=38278:38545&amp;c=444444", "offset 11")</f>
        <v>offset 11</v>
      </c>
    </row>
    <row r="131" customFormat="false" ht="12.8" hidden="false" customHeight="false" outlineLevel="0" collapsed="false">
      <c r="A131" s="0" t="s">
        <v>12</v>
      </c>
      <c r="B131" s="0" t="n">
        <v>38396</v>
      </c>
      <c r="C131" s="0" t="n">
        <v>38416</v>
      </c>
      <c r="D131" s="0" t="s">
        <v>452</v>
      </c>
      <c r="E131" s="0" t="s">
        <v>89</v>
      </c>
      <c r="F131" s="0" t="s">
        <v>90</v>
      </c>
      <c r="G131" s="0" t="s">
        <v>32</v>
      </c>
      <c r="H131" s="0" t="n">
        <v>93</v>
      </c>
      <c r="I131" s="0" t="s">
        <v>456</v>
      </c>
      <c r="J131" s="0" t="s">
        <v>457</v>
      </c>
      <c r="K131" s="0" t="s">
        <v>458</v>
      </c>
      <c r="L131" s="0" t="str">
        <f aca="false">HYPERLINK("https://www.ncbi.nlm.nih.gov/nuccore/CP000304.1?report=graph&amp;tracks=[key:gene_model_track,Options:GeneOnly]&amp;mk=38479:38498|offset_11|444444,38397:38416|offset_93|00cc00,38354:38373|offset_136|444444,38326:38345|offset_164|444444&amp;v=38278:38545&amp;c=444444", "offset 93")</f>
        <v>offset 93</v>
      </c>
    </row>
    <row r="132" customFormat="false" ht="12.8" hidden="false" customHeight="false" outlineLevel="0" collapsed="false">
      <c r="A132" s="0" t="s">
        <v>12</v>
      </c>
      <c r="B132" s="0" t="n">
        <v>38353</v>
      </c>
      <c r="C132" s="0" t="n">
        <v>38373</v>
      </c>
      <c r="D132" s="0" t="s">
        <v>452</v>
      </c>
      <c r="E132" s="0" t="s">
        <v>89</v>
      </c>
      <c r="F132" s="0" t="s">
        <v>90</v>
      </c>
      <c r="G132" s="0" t="s">
        <v>16</v>
      </c>
      <c r="H132" s="0" t="n">
        <v>136</v>
      </c>
      <c r="I132" s="0" t="s">
        <v>459</v>
      </c>
      <c r="J132" s="0" t="s">
        <v>460</v>
      </c>
      <c r="K132" s="0" t="s">
        <v>461</v>
      </c>
      <c r="L132" s="0" t="str">
        <f aca="false">HYPERLINK("https://www.ncbi.nlm.nih.gov/nuccore/CP000304.1?report=graph&amp;tracks=[key:gene_model_track,Options:GeneOnly]&amp;mk=38479:38498|offset_11|444444,38397:38416|offset_93|444444,38354:38373|offset_136|00cc00,38326:38345|offset_164|444444&amp;v=38278:38545&amp;c=444444", "offset 136")</f>
        <v>offset 136</v>
      </c>
    </row>
    <row r="133" customFormat="false" ht="12.8" hidden="false" customHeight="false" outlineLevel="0" collapsed="false">
      <c r="A133" s="0" t="s">
        <v>12</v>
      </c>
      <c r="B133" s="0" t="n">
        <v>38325</v>
      </c>
      <c r="C133" s="0" t="n">
        <v>38345</v>
      </c>
      <c r="D133" s="0" t="s">
        <v>452</v>
      </c>
      <c r="E133" s="0" t="s">
        <v>89</v>
      </c>
      <c r="F133" s="0" t="s">
        <v>90</v>
      </c>
      <c r="G133" s="0" t="s">
        <v>26</v>
      </c>
      <c r="H133" s="0" t="n">
        <v>164</v>
      </c>
      <c r="I133" s="0" t="s">
        <v>462</v>
      </c>
      <c r="J133" s="0" t="s">
        <v>463</v>
      </c>
      <c r="K133" s="0" t="s">
        <v>464</v>
      </c>
      <c r="L133" s="0" t="str">
        <f aca="false">HYPERLINK("https://www.ncbi.nlm.nih.gov/nuccore/CP000304.1?report=graph&amp;tracks=[key:gene_model_track,Options:GeneOnly]&amp;mk=38479:38498|offset_11|444444,38397:38416|offset_93|444444,38354:38373|offset_136|444444,38326:38345|offset_164|00cc00&amp;v=38278:38545&amp;c=444444", "offset 164")</f>
        <v>offset 164</v>
      </c>
    </row>
    <row r="134" customFormat="false" ht="12.8" hidden="false" customHeight="false" outlineLevel="0" collapsed="false">
      <c r="A134" s="0" t="s">
        <v>12</v>
      </c>
      <c r="B134" s="0" t="n">
        <v>38673</v>
      </c>
      <c r="C134" s="0" t="n">
        <v>38693</v>
      </c>
      <c r="D134" s="0" t="s">
        <v>465</v>
      </c>
      <c r="E134" s="0" t="s">
        <v>89</v>
      </c>
      <c r="F134" s="0" t="s">
        <v>15</v>
      </c>
      <c r="G134" s="0" t="s">
        <v>16</v>
      </c>
      <c r="H134" s="0" t="n">
        <v>0</v>
      </c>
      <c r="I134" s="0" t="s">
        <v>466</v>
      </c>
      <c r="J134" s="0" t="s">
        <v>467</v>
      </c>
      <c r="K134" s="0" t="s">
        <v>468</v>
      </c>
      <c r="L134" s="0" t="str">
        <f aca="false">HYPERLINK("https://www.ncbi.nlm.nih.gov/nuccore/CP000304.1?report=graph&amp;tracks=[key:gene_model_track,Options:GeneOnly]&amp;mk=38674:38693|offset_0|00cc00,38718:38737|offset_44|444444,38738:38757|offset_64|444444,38762:38781|offset_88|444444&amp;v=38473:38981&amp;c=444444", "offset 0")</f>
        <v>offset 0</v>
      </c>
    </row>
    <row r="135" customFormat="false" ht="12.8" hidden="false" customHeight="false" outlineLevel="0" collapsed="false">
      <c r="A135" s="0" t="s">
        <v>12</v>
      </c>
      <c r="B135" s="0" t="n">
        <v>38717</v>
      </c>
      <c r="C135" s="0" t="n">
        <v>38737</v>
      </c>
      <c r="D135" s="0" t="s">
        <v>465</v>
      </c>
      <c r="E135" s="0" t="s">
        <v>89</v>
      </c>
      <c r="F135" s="0" t="s">
        <v>15</v>
      </c>
      <c r="G135" s="0" t="s">
        <v>32</v>
      </c>
      <c r="H135" s="0" t="n">
        <v>44</v>
      </c>
      <c r="I135" s="0" t="s">
        <v>469</v>
      </c>
      <c r="J135" s="0" t="s">
        <v>470</v>
      </c>
      <c r="K135" s="0" t="s">
        <v>471</v>
      </c>
      <c r="L135" s="0" t="str">
        <f aca="false">HYPERLINK("https://www.ncbi.nlm.nih.gov/nuccore/CP000304.1?report=graph&amp;tracks=[key:gene_model_track,Options:GeneOnly]&amp;mk=38674:38693|offset_0|444444,38718:38737|offset_44|00cc00,38738:38757|offset_64|444444,38762:38781|offset_88|444444&amp;v=38473:38981&amp;c=444444", "offset 44")</f>
        <v>offset 44</v>
      </c>
    </row>
    <row r="136" customFormat="false" ht="12.8" hidden="false" customHeight="false" outlineLevel="0" collapsed="false">
      <c r="A136" s="0" t="s">
        <v>12</v>
      </c>
      <c r="B136" s="0" t="n">
        <v>38737</v>
      </c>
      <c r="C136" s="0" t="n">
        <v>38757</v>
      </c>
      <c r="D136" s="0" t="s">
        <v>465</v>
      </c>
      <c r="E136" s="0" t="s">
        <v>89</v>
      </c>
      <c r="F136" s="0" t="s">
        <v>15</v>
      </c>
      <c r="G136" s="0" t="s">
        <v>36</v>
      </c>
      <c r="H136" s="0" t="n">
        <v>64</v>
      </c>
      <c r="I136" s="0" t="s">
        <v>472</v>
      </c>
      <c r="J136" s="0" t="s">
        <v>473</v>
      </c>
      <c r="K136" s="0" t="s">
        <v>474</v>
      </c>
      <c r="L136" s="0" t="str">
        <f aca="false">HYPERLINK("https://www.ncbi.nlm.nih.gov/nuccore/CP000304.1?report=graph&amp;tracks=[key:gene_model_track,Options:GeneOnly]&amp;mk=38674:38693|offset_0|444444,38718:38737|offset_44|444444,38738:38757|offset_64|00cc00,38762:38781|offset_88|444444&amp;v=38473:38981&amp;c=444444", "offset 64")</f>
        <v>offset 64</v>
      </c>
    </row>
    <row r="137" customFormat="false" ht="12.8" hidden="false" customHeight="false" outlineLevel="0" collapsed="false">
      <c r="A137" s="0" t="s">
        <v>12</v>
      </c>
      <c r="B137" s="0" t="n">
        <v>38761</v>
      </c>
      <c r="C137" s="0" t="n">
        <v>38781</v>
      </c>
      <c r="D137" s="0" t="s">
        <v>465</v>
      </c>
      <c r="E137" s="0" t="s">
        <v>89</v>
      </c>
      <c r="F137" s="0" t="s">
        <v>15</v>
      </c>
      <c r="G137" s="0" t="s">
        <v>16</v>
      </c>
      <c r="H137" s="0" t="n">
        <v>88</v>
      </c>
      <c r="I137" s="0" t="s">
        <v>475</v>
      </c>
      <c r="J137" s="0" t="s">
        <v>476</v>
      </c>
      <c r="K137" s="0" t="s">
        <v>477</v>
      </c>
      <c r="L137" s="0" t="str">
        <f aca="false">HYPERLINK("https://www.ncbi.nlm.nih.gov/nuccore/CP000304.1?report=graph&amp;tracks=[key:gene_model_track,Options:GeneOnly]&amp;mk=38674:38693|offset_0|444444,38718:38737|offset_44|444444,38738:38757|offset_64|444444,38762:38781|offset_88|00cc00&amp;v=38473:38981&amp;c=444444", "offset 88")</f>
        <v>offset 88</v>
      </c>
    </row>
    <row r="138" customFormat="false" ht="12.8" hidden="false" customHeight="false" outlineLevel="0" collapsed="false">
      <c r="A138" s="0" t="s">
        <v>12</v>
      </c>
      <c r="B138" s="0" t="n">
        <v>40826</v>
      </c>
      <c r="C138" s="0" t="n">
        <v>40846</v>
      </c>
      <c r="D138" s="0" t="s">
        <v>478</v>
      </c>
      <c r="E138" s="0" t="s">
        <v>89</v>
      </c>
      <c r="F138" s="0" t="s">
        <v>15</v>
      </c>
      <c r="G138" s="0" t="s">
        <v>36</v>
      </c>
      <c r="H138" s="0" t="n">
        <v>0</v>
      </c>
      <c r="I138" s="0" t="s">
        <v>479</v>
      </c>
      <c r="J138" s="0" t="s">
        <v>480</v>
      </c>
      <c r="K138" s="0" t="s">
        <v>481</v>
      </c>
      <c r="L138" s="0" t="str">
        <f aca="false">HYPERLINK("https://www.ncbi.nlm.nih.gov/nuccore/CP000304.1?report=graph&amp;tracks=[key:gene_model_track,Options:GeneOnly]&amp;mk=40827:40846|offset_0|00cc00,40853:40872|offset_26|444444,40882:40901|offset_55|444444,40903:40922|offset_76|444444&amp;v=40626:41122&amp;c=444444", "offset 0")</f>
        <v>offset 0</v>
      </c>
    </row>
    <row r="139" customFormat="false" ht="12.8" hidden="false" customHeight="false" outlineLevel="0" collapsed="false">
      <c r="A139" s="0" t="s">
        <v>12</v>
      </c>
      <c r="B139" s="0" t="n">
        <v>40852</v>
      </c>
      <c r="C139" s="0" t="n">
        <v>40872</v>
      </c>
      <c r="D139" s="0" t="s">
        <v>478</v>
      </c>
      <c r="E139" s="0" t="s">
        <v>89</v>
      </c>
      <c r="F139" s="0" t="s">
        <v>15</v>
      </c>
      <c r="G139" s="0" t="s">
        <v>26</v>
      </c>
      <c r="H139" s="0" t="n">
        <v>26</v>
      </c>
      <c r="I139" s="0" t="s">
        <v>482</v>
      </c>
      <c r="J139" s="0" t="s">
        <v>483</v>
      </c>
      <c r="K139" s="0" t="s">
        <v>484</v>
      </c>
      <c r="L139" s="0" t="str">
        <f aca="false">HYPERLINK("https://www.ncbi.nlm.nih.gov/nuccore/CP000304.1?report=graph&amp;tracks=[key:gene_model_track,Options:GeneOnly]&amp;mk=40827:40846|offset_0|444444,40853:40872|offset_26|00cc00,40882:40901|offset_55|444444,40903:40922|offset_76|444444&amp;v=40626:41122&amp;c=444444", "offset 26")</f>
        <v>offset 26</v>
      </c>
    </row>
    <row r="140" customFormat="false" ht="12.8" hidden="false" customHeight="false" outlineLevel="0" collapsed="false">
      <c r="A140" s="0" t="s">
        <v>12</v>
      </c>
      <c r="B140" s="0" t="n">
        <v>40881</v>
      </c>
      <c r="C140" s="0" t="n">
        <v>40901</v>
      </c>
      <c r="D140" s="0" t="s">
        <v>478</v>
      </c>
      <c r="E140" s="0" t="s">
        <v>89</v>
      </c>
      <c r="F140" s="0" t="s">
        <v>15</v>
      </c>
      <c r="G140" s="0" t="s">
        <v>36</v>
      </c>
      <c r="H140" s="0" t="n">
        <v>55</v>
      </c>
      <c r="I140" s="0" t="s">
        <v>485</v>
      </c>
      <c r="J140" s="0" t="s">
        <v>486</v>
      </c>
      <c r="K140" s="0" t="s">
        <v>487</v>
      </c>
      <c r="L140" s="0" t="str">
        <f aca="false">HYPERLINK("https://www.ncbi.nlm.nih.gov/nuccore/CP000304.1?report=graph&amp;tracks=[key:gene_model_track,Options:GeneOnly]&amp;mk=40827:40846|offset_0|444444,40853:40872|offset_26|444444,40882:40901|offset_55|00cc00,40903:40922|offset_76|444444&amp;v=40626:41122&amp;c=444444", "offset 55")</f>
        <v>offset 55</v>
      </c>
    </row>
    <row r="141" customFormat="false" ht="12.8" hidden="false" customHeight="false" outlineLevel="0" collapsed="false">
      <c r="A141" s="0" t="s">
        <v>12</v>
      </c>
      <c r="B141" s="0" t="n">
        <v>40902</v>
      </c>
      <c r="C141" s="0" t="n">
        <v>40922</v>
      </c>
      <c r="D141" s="0" t="s">
        <v>478</v>
      </c>
      <c r="E141" s="0" t="s">
        <v>89</v>
      </c>
      <c r="F141" s="0" t="s">
        <v>15</v>
      </c>
      <c r="G141" s="0" t="s">
        <v>26</v>
      </c>
      <c r="H141" s="0" t="n">
        <v>76</v>
      </c>
      <c r="I141" s="0" t="s">
        <v>488</v>
      </c>
      <c r="J141" s="0" t="s">
        <v>489</v>
      </c>
      <c r="K141" s="0" t="s">
        <v>490</v>
      </c>
      <c r="L141" s="0" t="str">
        <f aca="false">HYPERLINK("https://www.ncbi.nlm.nih.gov/nuccore/CP000304.1?report=graph&amp;tracks=[key:gene_model_track,Options:GeneOnly]&amp;mk=40827:40846|offset_0|444444,40853:40872|offset_26|444444,40882:40901|offset_55|444444,40903:40922|offset_76|00cc00&amp;v=40626:41122&amp;c=444444", "offset 76")</f>
        <v>offset 76</v>
      </c>
    </row>
    <row r="142" customFormat="false" ht="12.8" hidden="false" customHeight="false" outlineLevel="0" collapsed="false">
      <c r="A142" s="0" t="s">
        <v>12</v>
      </c>
      <c r="B142" s="0" t="n">
        <v>42274</v>
      </c>
      <c r="C142" s="0" t="n">
        <v>42294</v>
      </c>
      <c r="D142" s="0" t="s">
        <v>491</v>
      </c>
      <c r="E142" s="0" t="s">
        <v>492</v>
      </c>
      <c r="F142" s="0" t="s">
        <v>90</v>
      </c>
      <c r="G142" s="0" t="s">
        <v>26</v>
      </c>
      <c r="H142" s="0" t="n">
        <v>23</v>
      </c>
      <c r="I142" s="0" t="s">
        <v>493</v>
      </c>
      <c r="J142" s="0" t="s">
        <v>494</v>
      </c>
      <c r="K142" s="0" t="s">
        <v>495</v>
      </c>
      <c r="L142" s="0" t="str">
        <f aca="false">HYPERLINK("https://www.ncbi.nlm.nih.gov/nuccore/CP000304.1?report=graph&amp;tracks=[key:gene_model_track,Options:GeneOnly]&amp;mk=42275:42294|offset_23|00cc00,42252:42271|offset_46|444444,42222:42241|offset_76|444444,42201:42220|offset_97|444444&amp;v=42074:42420&amp;c=444444", "offset 23")</f>
        <v>offset 23</v>
      </c>
    </row>
    <row r="143" customFormat="false" ht="12.8" hidden="false" customHeight="false" outlineLevel="0" collapsed="false">
      <c r="A143" s="0" t="s">
        <v>12</v>
      </c>
      <c r="B143" s="0" t="n">
        <v>42251</v>
      </c>
      <c r="C143" s="0" t="n">
        <v>42271</v>
      </c>
      <c r="D143" s="0" t="s">
        <v>491</v>
      </c>
      <c r="E143" s="0" t="s">
        <v>492</v>
      </c>
      <c r="F143" s="0" t="s">
        <v>90</v>
      </c>
      <c r="G143" s="0" t="s">
        <v>16</v>
      </c>
      <c r="H143" s="0" t="n">
        <v>46</v>
      </c>
      <c r="I143" s="0" t="s">
        <v>496</v>
      </c>
      <c r="J143" s="0" t="s">
        <v>497</v>
      </c>
      <c r="K143" s="0" t="s">
        <v>498</v>
      </c>
      <c r="L143" s="0" t="str">
        <f aca="false">HYPERLINK("https://www.ncbi.nlm.nih.gov/nuccore/CP000304.1?report=graph&amp;tracks=[key:gene_model_track,Options:GeneOnly]&amp;mk=42275:42294|offset_23|444444,42252:42271|offset_46|00cc00,42222:42241|offset_76|444444,42201:42220|offset_97|444444&amp;v=42074:42420&amp;c=444444", "offset 46")</f>
        <v>offset 46</v>
      </c>
    </row>
    <row r="144" customFormat="false" ht="12.8" hidden="false" customHeight="false" outlineLevel="0" collapsed="false">
      <c r="A144" s="0" t="s">
        <v>12</v>
      </c>
      <c r="B144" s="0" t="n">
        <v>42221</v>
      </c>
      <c r="C144" s="0" t="n">
        <v>42241</v>
      </c>
      <c r="D144" s="0" t="s">
        <v>491</v>
      </c>
      <c r="E144" s="0" t="s">
        <v>492</v>
      </c>
      <c r="F144" s="0" t="s">
        <v>90</v>
      </c>
      <c r="G144" s="0" t="s">
        <v>16</v>
      </c>
      <c r="H144" s="0" t="n">
        <v>76</v>
      </c>
      <c r="I144" s="0" t="s">
        <v>499</v>
      </c>
      <c r="J144" s="0" t="s">
        <v>500</v>
      </c>
      <c r="K144" s="0" t="s">
        <v>501</v>
      </c>
      <c r="L144" s="0" t="str">
        <f aca="false">HYPERLINK("https://www.ncbi.nlm.nih.gov/nuccore/CP000304.1?report=graph&amp;tracks=[key:gene_model_track,Options:GeneOnly]&amp;mk=42275:42294|offset_23|444444,42252:42271|offset_46|444444,42222:42241|offset_76|00cc00,42201:42220|offset_97|444444&amp;v=42074:42420&amp;c=444444", "offset 76")</f>
        <v>offset 76</v>
      </c>
    </row>
    <row r="145" customFormat="false" ht="12.8" hidden="false" customHeight="false" outlineLevel="0" collapsed="false">
      <c r="A145" s="0" t="s">
        <v>12</v>
      </c>
      <c r="B145" s="0" t="n">
        <v>42200</v>
      </c>
      <c r="C145" s="0" t="n">
        <v>42220</v>
      </c>
      <c r="D145" s="0" t="s">
        <v>491</v>
      </c>
      <c r="E145" s="0" t="s">
        <v>492</v>
      </c>
      <c r="F145" s="0" t="s">
        <v>90</v>
      </c>
      <c r="G145" s="0" t="s">
        <v>16</v>
      </c>
      <c r="H145" s="0" t="n">
        <v>97</v>
      </c>
      <c r="I145" s="0" t="s">
        <v>502</v>
      </c>
      <c r="J145" s="0" t="s">
        <v>503</v>
      </c>
      <c r="K145" s="0" t="s">
        <v>504</v>
      </c>
      <c r="L145" s="0" t="str">
        <f aca="false">HYPERLINK("https://www.ncbi.nlm.nih.gov/nuccore/CP000304.1?report=graph&amp;tracks=[key:gene_model_track,Options:GeneOnly]&amp;mk=42275:42294|offset_23|444444,42252:42271|offset_46|444444,42222:42241|offset_76|444444,42201:42220|offset_97|00cc00&amp;v=42074:42420&amp;c=444444", "offset 97")</f>
        <v>offset 97</v>
      </c>
    </row>
    <row r="146" customFormat="false" ht="12.8" hidden="false" customHeight="false" outlineLevel="0" collapsed="false">
      <c r="A146" s="0" t="s">
        <v>12</v>
      </c>
      <c r="B146" s="0" t="n">
        <v>43023</v>
      </c>
      <c r="C146" s="0" t="n">
        <v>43043</v>
      </c>
      <c r="D146" s="0" t="s">
        <v>505</v>
      </c>
      <c r="E146" s="0" t="s">
        <v>506</v>
      </c>
      <c r="F146" s="0" t="s">
        <v>90</v>
      </c>
      <c r="G146" s="0" t="s">
        <v>26</v>
      </c>
      <c r="H146" s="0" t="n">
        <v>10</v>
      </c>
      <c r="I146" s="0" t="s">
        <v>507</v>
      </c>
      <c r="J146" s="0" t="s">
        <v>508</v>
      </c>
      <c r="K146" s="0" t="s">
        <v>509</v>
      </c>
      <c r="L146" s="0" t="str">
        <f aca="false">HYPERLINK("https://www.ncbi.nlm.nih.gov/nuccore/CP000304.1?report=graph&amp;tracks=[key:gene_model_track,Options:GeneOnly]&amp;mk=43024:43043|offset_10|00cc00,42911:42930|offset_123|444444,42891:42910|offset_143|444444,42857:42876|offset_177|444444&amp;v=42823:43076&amp;c=444444", "offset 10")</f>
        <v>offset 10</v>
      </c>
    </row>
    <row r="147" customFormat="false" ht="12.8" hidden="false" customHeight="false" outlineLevel="0" collapsed="false">
      <c r="A147" s="0" t="s">
        <v>12</v>
      </c>
      <c r="B147" s="0" t="n">
        <v>42910</v>
      </c>
      <c r="C147" s="0" t="n">
        <v>42930</v>
      </c>
      <c r="D147" s="0" t="s">
        <v>505</v>
      </c>
      <c r="E147" s="0" t="s">
        <v>506</v>
      </c>
      <c r="F147" s="0" t="s">
        <v>90</v>
      </c>
      <c r="G147" s="0" t="s">
        <v>16</v>
      </c>
      <c r="H147" s="0" t="n">
        <v>123</v>
      </c>
      <c r="I147" s="0" t="s">
        <v>510</v>
      </c>
      <c r="J147" s="0" t="s">
        <v>511</v>
      </c>
      <c r="K147" s="0" t="s">
        <v>512</v>
      </c>
      <c r="L147" s="0" t="str">
        <f aca="false">HYPERLINK("https://www.ncbi.nlm.nih.gov/nuccore/CP000304.1?report=graph&amp;tracks=[key:gene_model_track,Options:GeneOnly]&amp;mk=43024:43043|offset_10|444444,42911:42930|offset_123|00cc00,42891:42910|offset_143|444444,42857:42876|offset_177|444444&amp;v=42823:43076&amp;c=444444", "offset 123")</f>
        <v>offset 123</v>
      </c>
    </row>
    <row r="148" customFormat="false" ht="12.8" hidden="false" customHeight="false" outlineLevel="0" collapsed="false">
      <c r="A148" s="0" t="s">
        <v>12</v>
      </c>
      <c r="B148" s="0" t="n">
        <v>42890</v>
      </c>
      <c r="C148" s="0" t="n">
        <v>42910</v>
      </c>
      <c r="D148" s="0" t="s">
        <v>505</v>
      </c>
      <c r="E148" s="0" t="s">
        <v>506</v>
      </c>
      <c r="F148" s="0" t="s">
        <v>90</v>
      </c>
      <c r="G148" s="0" t="s">
        <v>26</v>
      </c>
      <c r="H148" s="0" t="n">
        <v>143</v>
      </c>
      <c r="I148" s="0" t="s">
        <v>513</v>
      </c>
      <c r="J148" s="0" t="s">
        <v>514</v>
      </c>
      <c r="K148" s="0" t="s">
        <v>515</v>
      </c>
      <c r="L148" s="0" t="str">
        <f aca="false">HYPERLINK("https://www.ncbi.nlm.nih.gov/nuccore/CP000304.1?report=graph&amp;tracks=[key:gene_model_track,Options:GeneOnly]&amp;mk=43024:43043|offset_10|444444,42911:42930|offset_123|444444,42891:42910|offset_143|00cc00,42857:42876|offset_177|444444&amp;v=42823:43076&amp;c=444444", "offset 143")</f>
        <v>offset 143</v>
      </c>
    </row>
    <row r="149" customFormat="false" ht="12.8" hidden="false" customHeight="false" outlineLevel="0" collapsed="false">
      <c r="A149" s="0" t="s">
        <v>12</v>
      </c>
      <c r="B149" s="0" t="n">
        <v>42856</v>
      </c>
      <c r="C149" s="0" t="n">
        <v>42876</v>
      </c>
      <c r="D149" s="0" t="s">
        <v>505</v>
      </c>
      <c r="E149" s="0" t="s">
        <v>506</v>
      </c>
      <c r="F149" s="0" t="s">
        <v>90</v>
      </c>
      <c r="G149" s="0" t="s">
        <v>16</v>
      </c>
      <c r="H149" s="0" t="n">
        <v>177</v>
      </c>
      <c r="I149" s="0" t="s">
        <v>516</v>
      </c>
      <c r="J149" s="0" t="s">
        <v>517</v>
      </c>
      <c r="K149" s="0" t="s">
        <v>518</v>
      </c>
      <c r="L149" s="0" t="str">
        <f aca="false">HYPERLINK("https://www.ncbi.nlm.nih.gov/nuccore/CP000304.1?report=graph&amp;tracks=[key:gene_model_track,Options:GeneOnly]&amp;mk=43024:43043|offset_10|444444,42911:42930|offset_123|444444,42891:42910|offset_143|444444,42857:42876|offset_177|00cc00&amp;v=42823:43076&amp;c=444444", "offset 177")</f>
        <v>offset 177</v>
      </c>
    </row>
    <row r="150" customFormat="false" ht="12.8" hidden="false" customHeight="false" outlineLevel="0" collapsed="false">
      <c r="A150" s="0" t="s">
        <v>12</v>
      </c>
      <c r="B150" s="0" t="n">
        <v>44091</v>
      </c>
      <c r="C150" s="0" t="n">
        <v>44111</v>
      </c>
      <c r="D150" s="0" t="s">
        <v>519</v>
      </c>
      <c r="E150" s="0" t="s">
        <v>520</v>
      </c>
      <c r="F150" s="0" t="s">
        <v>90</v>
      </c>
      <c r="G150" s="0" t="s">
        <v>16</v>
      </c>
      <c r="H150" s="0" t="n">
        <v>6</v>
      </c>
      <c r="I150" s="0" t="s">
        <v>521</v>
      </c>
      <c r="J150" s="0" t="s">
        <v>522</v>
      </c>
      <c r="K150" s="0" t="s">
        <v>523</v>
      </c>
      <c r="L150" s="0" t="str">
        <f aca="false">HYPERLINK("https://www.ncbi.nlm.nih.gov/nuccore/CP000304.1?report=graph&amp;tracks=[key:gene_model_track,Options:GeneOnly]&amp;mk=44092:44111|offset_6|00cc00,44072:44091|offset_26|444444,44041:44060|offset_57|444444,44018:44037|offset_80|444444&amp;v=43891:44237&amp;c=444444", "offset 6")</f>
        <v>offset 6</v>
      </c>
    </row>
    <row r="151" customFormat="false" ht="12.8" hidden="false" customHeight="false" outlineLevel="0" collapsed="false">
      <c r="A151" s="0" t="s">
        <v>12</v>
      </c>
      <c r="B151" s="0" t="n">
        <v>44071</v>
      </c>
      <c r="C151" s="0" t="n">
        <v>44091</v>
      </c>
      <c r="D151" s="0" t="s">
        <v>519</v>
      </c>
      <c r="E151" s="0" t="s">
        <v>520</v>
      </c>
      <c r="F151" s="0" t="s">
        <v>90</v>
      </c>
      <c r="G151" s="0" t="s">
        <v>16</v>
      </c>
      <c r="H151" s="0" t="n">
        <v>26</v>
      </c>
      <c r="I151" s="0" t="s">
        <v>524</v>
      </c>
      <c r="J151" s="0" t="s">
        <v>525</v>
      </c>
      <c r="K151" s="0" t="s">
        <v>526</v>
      </c>
      <c r="L151" s="0" t="str">
        <f aca="false">HYPERLINK("https://www.ncbi.nlm.nih.gov/nuccore/CP000304.1?report=graph&amp;tracks=[key:gene_model_track,Options:GeneOnly]&amp;mk=44092:44111|offset_6|444444,44072:44091|offset_26|00cc00,44041:44060|offset_57|444444,44018:44037|offset_80|444444&amp;v=43891:44237&amp;c=444444", "offset 26")</f>
        <v>offset 26</v>
      </c>
    </row>
    <row r="152" customFormat="false" ht="12.8" hidden="false" customHeight="false" outlineLevel="0" collapsed="false">
      <c r="A152" s="0" t="s">
        <v>12</v>
      </c>
      <c r="B152" s="0" t="n">
        <v>44040</v>
      </c>
      <c r="C152" s="0" t="n">
        <v>44060</v>
      </c>
      <c r="D152" s="0" t="s">
        <v>519</v>
      </c>
      <c r="E152" s="0" t="s">
        <v>520</v>
      </c>
      <c r="F152" s="0" t="s">
        <v>90</v>
      </c>
      <c r="G152" s="0" t="s">
        <v>36</v>
      </c>
      <c r="H152" s="0" t="n">
        <v>57</v>
      </c>
      <c r="I152" s="0" t="s">
        <v>527</v>
      </c>
      <c r="J152" s="0" t="s">
        <v>528</v>
      </c>
      <c r="K152" s="0" t="s">
        <v>529</v>
      </c>
      <c r="L152" s="0" t="str">
        <f aca="false">HYPERLINK("https://www.ncbi.nlm.nih.gov/nuccore/CP000304.1?report=graph&amp;tracks=[key:gene_model_track,Options:GeneOnly]&amp;mk=44092:44111|offset_6|444444,44072:44091|offset_26|444444,44041:44060|offset_57|00cc00,44018:44037|offset_80|444444&amp;v=43891:44237&amp;c=444444", "offset 57")</f>
        <v>offset 57</v>
      </c>
    </row>
    <row r="153" customFormat="false" ht="12.8" hidden="false" customHeight="false" outlineLevel="0" collapsed="false">
      <c r="A153" s="0" t="s">
        <v>12</v>
      </c>
      <c r="B153" s="0" t="n">
        <v>44017</v>
      </c>
      <c r="C153" s="0" t="n">
        <v>44037</v>
      </c>
      <c r="D153" s="0" t="s">
        <v>519</v>
      </c>
      <c r="E153" s="0" t="s">
        <v>520</v>
      </c>
      <c r="F153" s="0" t="s">
        <v>90</v>
      </c>
      <c r="G153" s="0" t="s">
        <v>32</v>
      </c>
      <c r="H153" s="0" t="n">
        <v>80</v>
      </c>
      <c r="I153" s="0" t="s">
        <v>530</v>
      </c>
      <c r="J153" s="0" t="s">
        <v>531</v>
      </c>
      <c r="K153" s="0" t="s">
        <v>532</v>
      </c>
      <c r="L153" s="0" t="str">
        <f aca="false">HYPERLINK("https://www.ncbi.nlm.nih.gov/nuccore/CP000304.1?report=graph&amp;tracks=[key:gene_model_track,Options:GeneOnly]&amp;mk=44092:44111|offset_6|444444,44072:44091|offset_26|444444,44041:44060|offset_57|444444,44018:44037|offset_80|00cc00&amp;v=43891:44237&amp;c=444444", "offset 80")</f>
        <v>offset 80</v>
      </c>
    </row>
    <row r="154" customFormat="false" ht="12.8" hidden="false" customHeight="false" outlineLevel="0" collapsed="false">
      <c r="A154" s="0" t="s">
        <v>12</v>
      </c>
      <c r="B154" s="0" t="n">
        <v>44325</v>
      </c>
      <c r="C154" s="0" t="n">
        <v>44345</v>
      </c>
      <c r="D154" s="0" t="s">
        <v>533</v>
      </c>
      <c r="E154" s="0" t="s">
        <v>534</v>
      </c>
      <c r="F154" s="0" t="s">
        <v>15</v>
      </c>
      <c r="G154" s="0" t="s">
        <v>32</v>
      </c>
      <c r="H154" s="0" t="n">
        <v>1</v>
      </c>
      <c r="I154" s="0" t="s">
        <v>535</v>
      </c>
      <c r="J154" s="0" t="s">
        <v>536</v>
      </c>
      <c r="K154" s="0" t="s">
        <v>537</v>
      </c>
      <c r="L154" s="0" t="str">
        <f aca="false">HYPERLINK("https://www.ncbi.nlm.nih.gov/nuccore/CP000304.1?report=graph&amp;tracks=[key:gene_model_track,Options:GeneOnly]&amp;mk=44326:44345|offset_1|00cc00,44362:44381|offset_37|444444,44386:44405|offset_61|444444,44408:44427|offset_83|444444&amp;v=44125:44627&amp;c=444444", "offset 1")</f>
        <v>offset 1</v>
      </c>
    </row>
    <row r="155" customFormat="false" ht="12.8" hidden="false" customHeight="false" outlineLevel="0" collapsed="false">
      <c r="A155" s="0" t="s">
        <v>12</v>
      </c>
      <c r="B155" s="0" t="n">
        <v>44361</v>
      </c>
      <c r="C155" s="0" t="n">
        <v>44381</v>
      </c>
      <c r="D155" s="0" t="s">
        <v>533</v>
      </c>
      <c r="E155" s="0" t="s">
        <v>534</v>
      </c>
      <c r="F155" s="0" t="s">
        <v>15</v>
      </c>
      <c r="G155" s="0" t="s">
        <v>16</v>
      </c>
      <c r="H155" s="0" t="n">
        <v>37</v>
      </c>
      <c r="I155" s="0" t="s">
        <v>538</v>
      </c>
      <c r="J155" s="0" t="s">
        <v>539</v>
      </c>
      <c r="K155" s="0" t="s">
        <v>540</v>
      </c>
      <c r="L155" s="0" t="str">
        <f aca="false">HYPERLINK("https://www.ncbi.nlm.nih.gov/nuccore/CP000304.1?report=graph&amp;tracks=[key:gene_model_track,Options:GeneOnly]&amp;mk=44326:44345|offset_1|444444,44362:44381|offset_37|00cc00,44386:44405|offset_61|444444,44408:44427|offset_83|444444&amp;v=44125:44627&amp;c=444444", "offset 37")</f>
        <v>offset 37</v>
      </c>
    </row>
    <row r="156" customFormat="false" ht="12.8" hidden="false" customHeight="false" outlineLevel="0" collapsed="false">
      <c r="A156" s="0" t="s">
        <v>12</v>
      </c>
      <c r="B156" s="0" t="n">
        <v>44385</v>
      </c>
      <c r="C156" s="0" t="n">
        <v>44405</v>
      </c>
      <c r="D156" s="0" t="s">
        <v>533</v>
      </c>
      <c r="E156" s="0" t="s">
        <v>534</v>
      </c>
      <c r="F156" s="0" t="s">
        <v>15</v>
      </c>
      <c r="G156" s="0" t="s">
        <v>32</v>
      </c>
      <c r="H156" s="0" t="n">
        <v>61</v>
      </c>
      <c r="I156" s="0" t="s">
        <v>541</v>
      </c>
      <c r="J156" s="0" t="s">
        <v>542</v>
      </c>
      <c r="K156" s="0" t="s">
        <v>543</v>
      </c>
      <c r="L156" s="0" t="str">
        <f aca="false">HYPERLINK("https://www.ncbi.nlm.nih.gov/nuccore/CP000304.1?report=graph&amp;tracks=[key:gene_model_track,Options:GeneOnly]&amp;mk=44326:44345|offset_1|444444,44362:44381|offset_37|444444,44386:44405|offset_61|00cc00,44408:44427|offset_83|444444&amp;v=44125:44627&amp;c=444444", "offset 61")</f>
        <v>offset 61</v>
      </c>
    </row>
    <row r="157" customFormat="false" ht="12.8" hidden="false" customHeight="false" outlineLevel="0" collapsed="false">
      <c r="A157" s="0" t="s">
        <v>12</v>
      </c>
      <c r="B157" s="0" t="n">
        <v>44407</v>
      </c>
      <c r="C157" s="0" t="n">
        <v>44427</v>
      </c>
      <c r="D157" s="0" t="s">
        <v>533</v>
      </c>
      <c r="E157" s="0" t="s">
        <v>534</v>
      </c>
      <c r="F157" s="0" t="s">
        <v>15</v>
      </c>
      <c r="G157" s="0" t="s">
        <v>32</v>
      </c>
      <c r="H157" s="0" t="n">
        <v>83</v>
      </c>
      <c r="I157" s="0" t="s">
        <v>544</v>
      </c>
      <c r="J157" s="0" t="s">
        <v>545</v>
      </c>
      <c r="K157" s="0" t="s">
        <v>546</v>
      </c>
      <c r="L157" s="0" t="str">
        <f aca="false">HYPERLINK("https://www.ncbi.nlm.nih.gov/nuccore/CP000304.1?report=graph&amp;tracks=[key:gene_model_track,Options:GeneOnly]&amp;mk=44326:44345|offset_1|444444,44362:44381|offset_37|444444,44386:44405|offset_61|444444,44408:44427|offset_83|00cc00&amp;v=44125:44627&amp;c=444444", "offset 83")</f>
        <v>offset 83</v>
      </c>
    </row>
    <row r="158" customFormat="false" ht="12.8" hidden="false" customHeight="false" outlineLevel="0" collapsed="false">
      <c r="A158" s="0" t="s">
        <v>12</v>
      </c>
      <c r="B158" s="0" t="n">
        <v>47075</v>
      </c>
      <c r="C158" s="0" t="n">
        <v>47095</v>
      </c>
      <c r="D158" s="0" t="s">
        <v>547</v>
      </c>
      <c r="E158" s="0" t="s">
        <v>89</v>
      </c>
      <c r="F158" s="0" t="s">
        <v>90</v>
      </c>
      <c r="G158" s="0" t="s">
        <v>16</v>
      </c>
      <c r="H158" s="0" t="n">
        <v>7</v>
      </c>
      <c r="I158" s="0" t="s">
        <v>548</v>
      </c>
      <c r="J158" s="0" t="s">
        <v>549</v>
      </c>
      <c r="K158" s="0" t="s">
        <v>550</v>
      </c>
      <c r="L158" s="0" t="str">
        <f aca="false">HYPERLINK("https://www.ncbi.nlm.nih.gov/nuccore/CP000304.1?report=graph&amp;tracks=[key:gene_model_track,Options:GeneOnly]&amp;mk=47076:47095|offset_7|00cc00,47051:47070|offset_32|444444,47013:47032|offset_70|444444,46975:46994|offset_108|444444&amp;v=46875:47194&amp;c=444444", "offset 7")</f>
        <v>offset 7</v>
      </c>
    </row>
    <row r="159" customFormat="false" ht="12.8" hidden="false" customHeight="false" outlineLevel="0" collapsed="false">
      <c r="A159" s="0" t="s">
        <v>12</v>
      </c>
      <c r="B159" s="0" t="n">
        <v>47050</v>
      </c>
      <c r="C159" s="0" t="n">
        <v>47070</v>
      </c>
      <c r="D159" s="0" t="s">
        <v>547</v>
      </c>
      <c r="E159" s="0" t="s">
        <v>89</v>
      </c>
      <c r="F159" s="0" t="s">
        <v>90</v>
      </c>
      <c r="G159" s="0" t="s">
        <v>36</v>
      </c>
      <c r="H159" s="0" t="n">
        <v>32</v>
      </c>
      <c r="I159" s="0" t="s">
        <v>551</v>
      </c>
      <c r="J159" s="0" t="s">
        <v>552</v>
      </c>
      <c r="K159" s="0" t="s">
        <v>553</v>
      </c>
      <c r="L159" s="0" t="str">
        <f aca="false">HYPERLINK("https://www.ncbi.nlm.nih.gov/nuccore/CP000304.1?report=graph&amp;tracks=[key:gene_model_track,Options:GeneOnly]&amp;mk=47076:47095|offset_7|444444,47051:47070|offset_32|00cc00,47013:47032|offset_70|444444,46975:46994|offset_108|444444&amp;v=46875:47194&amp;c=444444", "offset 32")</f>
        <v>offset 32</v>
      </c>
    </row>
    <row r="160" customFormat="false" ht="12.8" hidden="false" customHeight="false" outlineLevel="0" collapsed="false">
      <c r="A160" s="0" t="s">
        <v>12</v>
      </c>
      <c r="B160" s="0" t="n">
        <v>47012</v>
      </c>
      <c r="C160" s="0" t="n">
        <v>47032</v>
      </c>
      <c r="D160" s="0" t="s">
        <v>547</v>
      </c>
      <c r="E160" s="0" t="s">
        <v>89</v>
      </c>
      <c r="F160" s="0" t="s">
        <v>90</v>
      </c>
      <c r="G160" s="0" t="s">
        <v>16</v>
      </c>
      <c r="H160" s="0" t="n">
        <v>70</v>
      </c>
      <c r="I160" s="0" t="s">
        <v>554</v>
      </c>
      <c r="J160" s="0" t="s">
        <v>555</v>
      </c>
      <c r="K160" s="0" t="s">
        <v>556</v>
      </c>
      <c r="L160" s="0" t="str">
        <f aca="false">HYPERLINK("https://www.ncbi.nlm.nih.gov/nuccore/CP000304.1?report=graph&amp;tracks=[key:gene_model_track,Options:GeneOnly]&amp;mk=47076:47095|offset_7|444444,47051:47070|offset_32|444444,47013:47032|offset_70|00cc00,46975:46994|offset_108|444444&amp;v=46875:47194&amp;c=444444", "offset 70")</f>
        <v>offset 70</v>
      </c>
    </row>
    <row r="161" customFormat="false" ht="12.8" hidden="false" customHeight="false" outlineLevel="0" collapsed="false">
      <c r="A161" s="0" t="s">
        <v>12</v>
      </c>
      <c r="B161" s="0" t="n">
        <v>46974</v>
      </c>
      <c r="C161" s="0" t="n">
        <v>46994</v>
      </c>
      <c r="D161" s="0" t="s">
        <v>547</v>
      </c>
      <c r="E161" s="0" t="s">
        <v>89</v>
      </c>
      <c r="F161" s="0" t="s">
        <v>90</v>
      </c>
      <c r="G161" s="0" t="s">
        <v>36</v>
      </c>
      <c r="H161" s="0" t="n">
        <v>108</v>
      </c>
      <c r="I161" s="0" t="s">
        <v>557</v>
      </c>
      <c r="J161" s="0" t="s">
        <v>558</v>
      </c>
      <c r="K161" s="0" t="s">
        <v>559</v>
      </c>
      <c r="L161" s="0" t="str">
        <f aca="false">HYPERLINK("https://www.ncbi.nlm.nih.gov/nuccore/CP000304.1?report=graph&amp;tracks=[key:gene_model_track,Options:GeneOnly]&amp;mk=47076:47095|offset_7|444444,47051:47070|offset_32|444444,47013:47032|offset_70|444444,46975:46994|offset_108|00cc00&amp;v=46875:47194&amp;c=444444", "offset 108")</f>
        <v>offset 108</v>
      </c>
    </row>
    <row r="162" customFormat="false" ht="12.8" hidden="false" customHeight="false" outlineLevel="0" collapsed="false">
      <c r="A162" s="0" t="s">
        <v>12</v>
      </c>
      <c r="B162" s="0" t="n">
        <v>47861</v>
      </c>
      <c r="C162" s="0" t="n">
        <v>47881</v>
      </c>
      <c r="D162" s="0" t="s">
        <v>560</v>
      </c>
      <c r="E162" s="0" t="s">
        <v>89</v>
      </c>
      <c r="F162" s="0" t="s">
        <v>90</v>
      </c>
      <c r="G162" s="0" t="s">
        <v>36</v>
      </c>
      <c r="H162" s="0" t="n">
        <v>6</v>
      </c>
      <c r="I162" s="0" t="s">
        <v>561</v>
      </c>
      <c r="J162" s="0" t="s">
        <v>562</v>
      </c>
      <c r="K162" s="0" t="s">
        <v>563</v>
      </c>
      <c r="L162" s="0" t="str">
        <f aca="false">HYPERLINK("https://www.ncbi.nlm.nih.gov/nuccore/CP000304.1?report=graph&amp;tracks=[key:gene_model_track,Options:GeneOnly]&amp;mk=47862:47881|offset_6|00cc00,47834:47853|offset_34|444444,47810:47829|offset_58|444444,47771:47790|offset_97|444444&amp;v=47661:47990&amp;c=444444", "offset 6")</f>
        <v>offset 6</v>
      </c>
    </row>
    <row r="163" customFormat="false" ht="12.8" hidden="false" customHeight="false" outlineLevel="0" collapsed="false">
      <c r="A163" s="0" t="s">
        <v>12</v>
      </c>
      <c r="B163" s="0" t="n">
        <v>47833</v>
      </c>
      <c r="C163" s="0" t="n">
        <v>47853</v>
      </c>
      <c r="D163" s="0" t="s">
        <v>560</v>
      </c>
      <c r="E163" s="0" t="s">
        <v>89</v>
      </c>
      <c r="F163" s="0" t="s">
        <v>90</v>
      </c>
      <c r="G163" s="0" t="s">
        <v>16</v>
      </c>
      <c r="H163" s="0" t="n">
        <v>34</v>
      </c>
      <c r="I163" s="0" t="s">
        <v>564</v>
      </c>
      <c r="J163" s="0" t="s">
        <v>565</v>
      </c>
      <c r="K163" s="0" t="s">
        <v>566</v>
      </c>
      <c r="L163" s="0" t="str">
        <f aca="false">HYPERLINK("https://www.ncbi.nlm.nih.gov/nuccore/CP000304.1?report=graph&amp;tracks=[key:gene_model_track,Options:GeneOnly]&amp;mk=47862:47881|offset_6|444444,47834:47853|offset_34|00cc00,47810:47829|offset_58|444444,47771:47790|offset_97|444444&amp;v=47661:47990&amp;c=444444", "offset 34")</f>
        <v>offset 34</v>
      </c>
    </row>
    <row r="164" customFormat="false" ht="12.8" hidden="false" customHeight="false" outlineLevel="0" collapsed="false">
      <c r="A164" s="0" t="s">
        <v>12</v>
      </c>
      <c r="B164" s="0" t="n">
        <v>47809</v>
      </c>
      <c r="C164" s="0" t="n">
        <v>47829</v>
      </c>
      <c r="D164" s="0" t="s">
        <v>560</v>
      </c>
      <c r="E164" s="0" t="s">
        <v>89</v>
      </c>
      <c r="F164" s="0" t="s">
        <v>90</v>
      </c>
      <c r="G164" s="0" t="s">
        <v>16</v>
      </c>
      <c r="H164" s="0" t="n">
        <v>58</v>
      </c>
      <c r="I164" s="0" t="s">
        <v>567</v>
      </c>
      <c r="J164" s="0" t="s">
        <v>568</v>
      </c>
      <c r="K164" s="0" t="s">
        <v>569</v>
      </c>
      <c r="L164" s="0" t="str">
        <f aca="false">HYPERLINK("https://www.ncbi.nlm.nih.gov/nuccore/CP000304.1?report=graph&amp;tracks=[key:gene_model_track,Options:GeneOnly]&amp;mk=47862:47881|offset_6|444444,47834:47853|offset_34|444444,47810:47829|offset_58|00cc00,47771:47790|offset_97|444444&amp;v=47661:47990&amp;c=444444", "offset 58")</f>
        <v>offset 58</v>
      </c>
    </row>
    <row r="165" customFormat="false" ht="12.8" hidden="false" customHeight="false" outlineLevel="0" collapsed="false">
      <c r="A165" s="0" t="s">
        <v>12</v>
      </c>
      <c r="B165" s="0" t="n">
        <v>47770</v>
      </c>
      <c r="C165" s="0" t="n">
        <v>47790</v>
      </c>
      <c r="D165" s="0" t="s">
        <v>560</v>
      </c>
      <c r="E165" s="0" t="s">
        <v>89</v>
      </c>
      <c r="F165" s="0" t="s">
        <v>90</v>
      </c>
      <c r="G165" s="0" t="s">
        <v>26</v>
      </c>
      <c r="H165" s="0" t="n">
        <v>97</v>
      </c>
      <c r="I165" s="0" t="s">
        <v>570</v>
      </c>
      <c r="J165" s="0" t="s">
        <v>571</v>
      </c>
      <c r="K165" s="0" t="s">
        <v>572</v>
      </c>
      <c r="L165" s="0" t="str">
        <f aca="false">HYPERLINK("https://www.ncbi.nlm.nih.gov/nuccore/CP000304.1?report=graph&amp;tracks=[key:gene_model_track,Options:GeneOnly]&amp;mk=47862:47881|offset_6|444444,47834:47853|offset_34|444444,47810:47829|offset_58|444444,47771:47790|offset_97|00cc00&amp;v=47661:47990&amp;c=444444", "offset 97")</f>
        <v>offset 97</v>
      </c>
    </row>
    <row r="166" customFormat="false" ht="12.8" hidden="false" customHeight="false" outlineLevel="0" collapsed="false">
      <c r="A166" s="0" t="s">
        <v>12</v>
      </c>
      <c r="B166" s="0" t="n">
        <v>48503</v>
      </c>
      <c r="C166" s="0" t="n">
        <v>48523</v>
      </c>
      <c r="D166" s="0" t="s">
        <v>573</v>
      </c>
      <c r="E166" s="0" t="s">
        <v>574</v>
      </c>
      <c r="F166" s="0" t="s">
        <v>90</v>
      </c>
      <c r="G166" s="0" t="s">
        <v>32</v>
      </c>
      <c r="H166" s="0" t="n">
        <v>55</v>
      </c>
      <c r="I166" s="0" t="s">
        <v>575</v>
      </c>
      <c r="J166" s="0" t="s">
        <v>576</v>
      </c>
      <c r="K166" s="0" t="s">
        <v>577</v>
      </c>
      <c r="L166" s="0" t="str">
        <f aca="false">HYPERLINK("https://www.ncbi.nlm.nih.gov/nuccore/CP000304.1?report=graph&amp;tracks=[key:gene_model_track,Options:GeneOnly]&amp;mk=48504:48523|offset_55|00cc00,48479:48498|offset_80|444444,48458:48477|offset_101|444444,48418:48437|offset_141|444444&amp;v=48303:48637&amp;c=444444", "offset 55")</f>
        <v>offset 55</v>
      </c>
    </row>
    <row r="167" customFormat="false" ht="12.8" hidden="false" customHeight="false" outlineLevel="0" collapsed="false">
      <c r="A167" s="0" t="s">
        <v>12</v>
      </c>
      <c r="B167" s="0" t="n">
        <v>48478</v>
      </c>
      <c r="C167" s="0" t="n">
        <v>48498</v>
      </c>
      <c r="D167" s="0" t="s">
        <v>573</v>
      </c>
      <c r="E167" s="0" t="s">
        <v>574</v>
      </c>
      <c r="F167" s="0" t="s">
        <v>90</v>
      </c>
      <c r="G167" s="0" t="s">
        <v>26</v>
      </c>
      <c r="H167" s="0" t="n">
        <v>80</v>
      </c>
      <c r="I167" s="0" t="s">
        <v>578</v>
      </c>
      <c r="J167" s="0" t="s">
        <v>579</v>
      </c>
      <c r="K167" s="0" t="s">
        <v>580</v>
      </c>
      <c r="L167" s="0" t="str">
        <f aca="false">HYPERLINK("https://www.ncbi.nlm.nih.gov/nuccore/CP000304.1?report=graph&amp;tracks=[key:gene_model_track,Options:GeneOnly]&amp;mk=48504:48523|offset_55|444444,48479:48498|offset_80|00cc00,48458:48477|offset_101|444444,48418:48437|offset_141|444444&amp;v=48303:48637&amp;c=444444", "offset 80")</f>
        <v>offset 80</v>
      </c>
    </row>
    <row r="168" customFormat="false" ht="12.8" hidden="false" customHeight="false" outlineLevel="0" collapsed="false">
      <c r="A168" s="0" t="s">
        <v>12</v>
      </c>
      <c r="B168" s="0" t="n">
        <v>48457</v>
      </c>
      <c r="C168" s="0" t="n">
        <v>48477</v>
      </c>
      <c r="D168" s="0" t="s">
        <v>573</v>
      </c>
      <c r="E168" s="0" t="s">
        <v>574</v>
      </c>
      <c r="F168" s="0" t="s">
        <v>90</v>
      </c>
      <c r="G168" s="0" t="s">
        <v>32</v>
      </c>
      <c r="H168" s="0" t="n">
        <v>101</v>
      </c>
      <c r="I168" s="0" t="s">
        <v>581</v>
      </c>
      <c r="J168" s="0" t="s">
        <v>582</v>
      </c>
      <c r="K168" s="0" t="s">
        <v>583</v>
      </c>
      <c r="L168" s="0" t="str">
        <f aca="false">HYPERLINK("https://www.ncbi.nlm.nih.gov/nuccore/CP000304.1?report=graph&amp;tracks=[key:gene_model_track,Options:GeneOnly]&amp;mk=48504:48523|offset_55|444444,48479:48498|offset_80|444444,48458:48477|offset_101|00cc00,48418:48437|offset_141|444444&amp;v=48303:48637&amp;c=444444", "offset 101")</f>
        <v>offset 101</v>
      </c>
    </row>
    <row r="169" customFormat="false" ht="12.8" hidden="false" customHeight="false" outlineLevel="0" collapsed="false">
      <c r="A169" s="0" t="s">
        <v>12</v>
      </c>
      <c r="B169" s="0" t="n">
        <v>48417</v>
      </c>
      <c r="C169" s="0" t="n">
        <v>48437</v>
      </c>
      <c r="D169" s="0" t="s">
        <v>573</v>
      </c>
      <c r="E169" s="0" t="s">
        <v>574</v>
      </c>
      <c r="F169" s="0" t="s">
        <v>90</v>
      </c>
      <c r="G169" s="0" t="s">
        <v>16</v>
      </c>
      <c r="H169" s="0" t="n">
        <v>141</v>
      </c>
      <c r="I169" s="0" t="s">
        <v>584</v>
      </c>
      <c r="J169" s="0" t="s">
        <v>585</v>
      </c>
      <c r="K169" s="0" t="s">
        <v>586</v>
      </c>
      <c r="L169" s="0" t="str">
        <f aca="false">HYPERLINK("https://www.ncbi.nlm.nih.gov/nuccore/CP000304.1?report=graph&amp;tracks=[key:gene_model_track,Options:GeneOnly]&amp;mk=48504:48523|offset_55|444444,48479:48498|offset_80|444444,48458:48477|offset_101|444444,48418:48437|offset_141|00cc00&amp;v=48303:48637&amp;c=444444", "offset 141")</f>
        <v>offset 141</v>
      </c>
    </row>
    <row r="170" customFormat="false" ht="12.8" hidden="false" customHeight="false" outlineLevel="0" collapsed="false">
      <c r="A170" s="0" t="s">
        <v>12</v>
      </c>
      <c r="B170" s="0" t="n">
        <v>49121</v>
      </c>
      <c r="C170" s="0" t="n">
        <v>49141</v>
      </c>
      <c r="D170" s="0" t="s">
        <v>587</v>
      </c>
      <c r="E170" s="0" t="s">
        <v>588</v>
      </c>
      <c r="F170" s="0" t="s">
        <v>90</v>
      </c>
      <c r="G170" s="0" t="s">
        <v>36</v>
      </c>
      <c r="H170" s="0" t="n">
        <v>0</v>
      </c>
      <c r="I170" s="0" t="s">
        <v>589</v>
      </c>
      <c r="J170" s="0" t="s">
        <v>590</v>
      </c>
      <c r="K170" s="0" t="s">
        <v>591</v>
      </c>
      <c r="L170" s="0" t="str">
        <f aca="false">HYPERLINK("https://www.ncbi.nlm.nih.gov/nuccore/CP000304.1?report=graph&amp;tracks=[key:gene_model_track,Options:GeneOnly]&amp;mk=49122:49141|offset_0|00cc00,49100:49119|offset_22|444444,49078:49097|offset_44|444444,49055:49074|offset_67|444444&amp;v=48921:49274&amp;c=444444", "offset 0")</f>
        <v>offset 0</v>
      </c>
    </row>
    <row r="171" customFormat="false" ht="12.8" hidden="false" customHeight="false" outlineLevel="0" collapsed="false">
      <c r="A171" s="0" t="s">
        <v>12</v>
      </c>
      <c r="B171" s="0" t="n">
        <v>49099</v>
      </c>
      <c r="C171" s="0" t="n">
        <v>49119</v>
      </c>
      <c r="D171" s="0" t="s">
        <v>587</v>
      </c>
      <c r="E171" s="0" t="s">
        <v>588</v>
      </c>
      <c r="F171" s="0" t="s">
        <v>90</v>
      </c>
      <c r="G171" s="0" t="s">
        <v>26</v>
      </c>
      <c r="H171" s="0" t="n">
        <v>22</v>
      </c>
      <c r="I171" s="0" t="s">
        <v>592</v>
      </c>
      <c r="J171" s="0" t="s">
        <v>593</v>
      </c>
      <c r="K171" s="0" t="s">
        <v>594</v>
      </c>
      <c r="L171" s="0" t="str">
        <f aca="false">HYPERLINK("https://www.ncbi.nlm.nih.gov/nuccore/CP000304.1?report=graph&amp;tracks=[key:gene_model_track,Options:GeneOnly]&amp;mk=49122:49141|offset_0|444444,49100:49119|offset_22|00cc00,49078:49097|offset_44|444444,49055:49074|offset_67|444444&amp;v=48921:49274&amp;c=444444", "offset 22")</f>
        <v>offset 22</v>
      </c>
    </row>
    <row r="172" customFormat="false" ht="12.8" hidden="false" customHeight="false" outlineLevel="0" collapsed="false">
      <c r="A172" s="0" t="s">
        <v>12</v>
      </c>
      <c r="B172" s="0" t="n">
        <v>49077</v>
      </c>
      <c r="C172" s="0" t="n">
        <v>49097</v>
      </c>
      <c r="D172" s="0" t="s">
        <v>587</v>
      </c>
      <c r="E172" s="0" t="s">
        <v>588</v>
      </c>
      <c r="F172" s="0" t="s">
        <v>90</v>
      </c>
      <c r="G172" s="0" t="s">
        <v>32</v>
      </c>
      <c r="H172" s="0" t="n">
        <v>44</v>
      </c>
      <c r="I172" s="0" t="s">
        <v>595</v>
      </c>
      <c r="J172" s="0" t="s">
        <v>596</v>
      </c>
      <c r="K172" s="0" t="s">
        <v>597</v>
      </c>
      <c r="L172" s="0" t="str">
        <f aca="false">HYPERLINK("https://www.ncbi.nlm.nih.gov/nuccore/CP000304.1?report=graph&amp;tracks=[key:gene_model_track,Options:GeneOnly]&amp;mk=49122:49141|offset_0|444444,49100:49119|offset_22|444444,49078:49097|offset_44|00cc00,49055:49074|offset_67|444444&amp;v=48921:49274&amp;c=444444", "offset 44")</f>
        <v>offset 44</v>
      </c>
    </row>
    <row r="173" customFormat="false" ht="12.8" hidden="false" customHeight="false" outlineLevel="0" collapsed="false">
      <c r="A173" s="0" t="s">
        <v>12</v>
      </c>
      <c r="B173" s="0" t="n">
        <v>49054</v>
      </c>
      <c r="C173" s="0" t="n">
        <v>49074</v>
      </c>
      <c r="D173" s="0" t="s">
        <v>587</v>
      </c>
      <c r="E173" s="0" t="s">
        <v>588</v>
      </c>
      <c r="F173" s="0" t="s">
        <v>90</v>
      </c>
      <c r="G173" s="0" t="s">
        <v>16</v>
      </c>
      <c r="H173" s="0" t="n">
        <v>67</v>
      </c>
      <c r="I173" s="0" t="s">
        <v>598</v>
      </c>
      <c r="J173" s="0" t="s">
        <v>599</v>
      </c>
      <c r="K173" s="0" t="s">
        <v>600</v>
      </c>
      <c r="L173" s="0" t="str">
        <f aca="false">HYPERLINK("https://www.ncbi.nlm.nih.gov/nuccore/CP000304.1?report=graph&amp;tracks=[key:gene_model_track,Options:GeneOnly]&amp;mk=49122:49141|offset_0|444444,49100:49119|offset_22|444444,49078:49097|offset_44|444444,49055:49074|offset_67|00cc00&amp;v=48921:49274&amp;c=444444", "offset 67")</f>
        <v>offset 67</v>
      </c>
    </row>
    <row r="174" customFormat="false" ht="12.8" hidden="false" customHeight="false" outlineLevel="0" collapsed="false">
      <c r="A174" s="0" t="s">
        <v>12</v>
      </c>
      <c r="B174" s="0" t="n">
        <v>49205</v>
      </c>
      <c r="C174" s="0" t="n">
        <v>49225</v>
      </c>
      <c r="D174" s="0" t="s">
        <v>601</v>
      </c>
      <c r="E174" s="0" t="s">
        <v>602</v>
      </c>
      <c r="F174" s="0" t="s">
        <v>15</v>
      </c>
      <c r="G174" s="0" t="s">
        <v>36</v>
      </c>
      <c r="H174" s="0" t="n">
        <v>6</v>
      </c>
      <c r="I174" s="0" t="s">
        <v>603</v>
      </c>
      <c r="J174" s="0" t="s">
        <v>604</v>
      </c>
      <c r="K174" s="0" t="s">
        <v>605</v>
      </c>
      <c r="L174" s="0" t="str">
        <f aca="false">HYPERLINK("https://www.ncbi.nlm.nih.gov/nuccore/CP000304.1?report=graph&amp;tracks=[key:gene_model_track,Options:GeneOnly]&amp;mk=49206:49225|offset_6|00cc00,49226:49245|offset_26|444444,49252:49271|offset_52|444444,49273:49292|offset_73|444444&amp;v=49005:49492&amp;c=444444", "offset 6")</f>
        <v>offset 6</v>
      </c>
    </row>
    <row r="175" customFormat="false" ht="12.8" hidden="false" customHeight="false" outlineLevel="0" collapsed="false">
      <c r="A175" s="0" t="s">
        <v>12</v>
      </c>
      <c r="B175" s="0" t="n">
        <v>49225</v>
      </c>
      <c r="C175" s="0" t="n">
        <v>49245</v>
      </c>
      <c r="D175" s="0" t="s">
        <v>601</v>
      </c>
      <c r="E175" s="0" t="s">
        <v>602</v>
      </c>
      <c r="F175" s="0" t="s">
        <v>15</v>
      </c>
      <c r="G175" s="0" t="s">
        <v>26</v>
      </c>
      <c r="H175" s="0" t="n">
        <v>26</v>
      </c>
      <c r="I175" s="0" t="s">
        <v>606</v>
      </c>
      <c r="J175" s="0" t="s">
        <v>607</v>
      </c>
      <c r="K175" s="0" t="s">
        <v>608</v>
      </c>
      <c r="L175" s="0" t="str">
        <f aca="false">HYPERLINK("https://www.ncbi.nlm.nih.gov/nuccore/CP000304.1?report=graph&amp;tracks=[key:gene_model_track,Options:GeneOnly]&amp;mk=49206:49225|offset_6|444444,49226:49245|offset_26|00cc00,49252:49271|offset_52|444444,49273:49292|offset_73|444444&amp;v=49005:49492&amp;c=444444", "offset 26")</f>
        <v>offset 26</v>
      </c>
    </row>
    <row r="176" customFormat="false" ht="12.8" hidden="false" customHeight="false" outlineLevel="0" collapsed="false">
      <c r="A176" s="0" t="s">
        <v>12</v>
      </c>
      <c r="B176" s="0" t="n">
        <v>49251</v>
      </c>
      <c r="C176" s="0" t="n">
        <v>49271</v>
      </c>
      <c r="D176" s="0" t="s">
        <v>601</v>
      </c>
      <c r="E176" s="0" t="s">
        <v>602</v>
      </c>
      <c r="F176" s="0" t="s">
        <v>15</v>
      </c>
      <c r="G176" s="0" t="s">
        <v>16</v>
      </c>
      <c r="H176" s="0" t="n">
        <v>52</v>
      </c>
      <c r="I176" s="0" t="s">
        <v>609</v>
      </c>
      <c r="J176" s="0" t="s">
        <v>610</v>
      </c>
      <c r="K176" s="0" t="s">
        <v>611</v>
      </c>
      <c r="L176" s="0" t="str">
        <f aca="false">HYPERLINK("https://www.ncbi.nlm.nih.gov/nuccore/CP000304.1?report=graph&amp;tracks=[key:gene_model_track,Options:GeneOnly]&amp;mk=49206:49225|offset_6|444444,49226:49245|offset_26|444444,49252:49271|offset_52|00cc00,49273:49292|offset_73|444444&amp;v=49005:49492&amp;c=444444", "offset 52")</f>
        <v>offset 52</v>
      </c>
    </row>
    <row r="177" customFormat="false" ht="12.8" hidden="false" customHeight="false" outlineLevel="0" collapsed="false">
      <c r="A177" s="0" t="s">
        <v>12</v>
      </c>
      <c r="B177" s="0" t="n">
        <v>49272</v>
      </c>
      <c r="C177" s="0" t="n">
        <v>49292</v>
      </c>
      <c r="D177" s="0" t="s">
        <v>601</v>
      </c>
      <c r="E177" s="0" t="s">
        <v>602</v>
      </c>
      <c r="F177" s="0" t="s">
        <v>15</v>
      </c>
      <c r="G177" s="0" t="s">
        <v>16</v>
      </c>
      <c r="H177" s="0" t="n">
        <v>73</v>
      </c>
      <c r="I177" s="0" t="s">
        <v>612</v>
      </c>
      <c r="J177" s="0" t="s">
        <v>613</v>
      </c>
      <c r="K177" s="0" t="s">
        <v>614</v>
      </c>
      <c r="L177" s="0" t="str">
        <f aca="false">HYPERLINK("https://www.ncbi.nlm.nih.gov/nuccore/CP000304.1?report=graph&amp;tracks=[key:gene_model_track,Options:GeneOnly]&amp;mk=49206:49225|offset_6|444444,49226:49245|offset_26|444444,49252:49271|offset_52|444444,49273:49292|offset_73|00cc00&amp;v=49005:49492&amp;c=444444", "offset 73")</f>
        <v>offset 73</v>
      </c>
    </row>
    <row r="178" customFormat="false" ht="12.8" hidden="false" customHeight="false" outlineLevel="0" collapsed="false">
      <c r="A178" s="0" t="s">
        <v>12</v>
      </c>
      <c r="B178" s="0" t="n">
        <v>51630</v>
      </c>
      <c r="C178" s="0" t="n">
        <v>51650</v>
      </c>
      <c r="D178" s="0" t="s">
        <v>615</v>
      </c>
      <c r="E178" s="0" t="s">
        <v>89</v>
      </c>
      <c r="F178" s="0" t="s">
        <v>90</v>
      </c>
      <c r="G178" s="0" t="s">
        <v>36</v>
      </c>
      <c r="H178" s="0" t="n">
        <v>0</v>
      </c>
      <c r="I178" s="0" t="s">
        <v>616</v>
      </c>
      <c r="J178" s="0" t="s">
        <v>617</v>
      </c>
      <c r="K178" s="0" t="s">
        <v>618</v>
      </c>
      <c r="L178" s="0" t="str">
        <f aca="false">HYPERLINK("https://www.ncbi.nlm.nih.gov/nuccore/CP000304.1?report=graph&amp;tracks=[key:gene_model_track,Options:GeneOnly]&amp;mk=51631:51650|offset_0|00cc00,51609:51628|offset_22|444444,51586:51605|offset_45|444444,51558:51577|offset_73|444444&amp;v=51430:51777&amp;c=444444", "offset 0")</f>
        <v>offset 0</v>
      </c>
    </row>
    <row r="179" customFormat="false" ht="12.8" hidden="false" customHeight="false" outlineLevel="0" collapsed="false">
      <c r="A179" s="0" t="s">
        <v>12</v>
      </c>
      <c r="B179" s="0" t="n">
        <v>51608</v>
      </c>
      <c r="C179" s="0" t="n">
        <v>51628</v>
      </c>
      <c r="D179" s="0" t="s">
        <v>615</v>
      </c>
      <c r="E179" s="0" t="s">
        <v>89</v>
      </c>
      <c r="F179" s="0" t="s">
        <v>90</v>
      </c>
      <c r="G179" s="0" t="s">
        <v>26</v>
      </c>
      <c r="H179" s="0" t="n">
        <v>22</v>
      </c>
      <c r="I179" s="0" t="s">
        <v>619</v>
      </c>
      <c r="J179" s="0" t="s">
        <v>620</v>
      </c>
      <c r="K179" s="0" t="s">
        <v>621</v>
      </c>
      <c r="L179" s="0" t="str">
        <f aca="false">HYPERLINK("https://www.ncbi.nlm.nih.gov/nuccore/CP000304.1?report=graph&amp;tracks=[key:gene_model_track,Options:GeneOnly]&amp;mk=51631:51650|offset_0|444444,51609:51628|offset_22|00cc00,51586:51605|offset_45|444444,51558:51577|offset_73|444444&amp;v=51430:51777&amp;c=444444", "offset 22")</f>
        <v>offset 22</v>
      </c>
    </row>
    <row r="180" customFormat="false" ht="12.8" hidden="false" customHeight="false" outlineLevel="0" collapsed="false">
      <c r="A180" s="0" t="s">
        <v>12</v>
      </c>
      <c r="B180" s="0" t="n">
        <v>51585</v>
      </c>
      <c r="C180" s="0" t="n">
        <v>51605</v>
      </c>
      <c r="D180" s="0" t="s">
        <v>615</v>
      </c>
      <c r="E180" s="0" t="s">
        <v>89</v>
      </c>
      <c r="F180" s="0" t="s">
        <v>90</v>
      </c>
      <c r="G180" s="0" t="s">
        <v>36</v>
      </c>
      <c r="H180" s="0" t="n">
        <v>45</v>
      </c>
      <c r="I180" s="0" t="s">
        <v>622</v>
      </c>
      <c r="J180" s="0" t="s">
        <v>623</v>
      </c>
      <c r="K180" s="0" t="s">
        <v>624</v>
      </c>
      <c r="L180" s="0" t="str">
        <f aca="false">HYPERLINK("https://www.ncbi.nlm.nih.gov/nuccore/CP000304.1?report=graph&amp;tracks=[key:gene_model_track,Options:GeneOnly]&amp;mk=51631:51650|offset_0|444444,51609:51628|offset_22|444444,51586:51605|offset_45|00cc00,51558:51577|offset_73|444444&amp;v=51430:51777&amp;c=444444", "offset 45")</f>
        <v>offset 45</v>
      </c>
    </row>
    <row r="181" customFormat="false" ht="12.8" hidden="false" customHeight="false" outlineLevel="0" collapsed="false">
      <c r="A181" s="0" t="s">
        <v>12</v>
      </c>
      <c r="B181" s="0" t="n">
        <v>51557</v>
      </c>
      <c r="C181" s="0" t="n">
        <v>51577</v>
      </c>
      <c r="D181" s="0" t="s">
        <v>615</v>
      </c>
      <c r="E181" s="0" t="s">
        <v>89</v>
      </c>
      <c r="F181" s="0" t="s">
        <v>90</v>
      </c>
      <c r="G181" s="0" t="s">
        <v>32</v>
      </c>
      <c r="H181" s="0" t="n">
        <v>73</v>
      </c>
      <c r="I181" s="0" t="s">
        <v>625</v>
      </c>
      <c r="J181" s="0" t="s">
        <v>626</v>
      </c>
      <c r="K181" s="0" t="s">
        <v>627</v>
      </c>
      <c r="L181" s="0" t="str">
        <f aca="false">HYPERLINK("https://www.ncbi.nlm.nih.gov/nuccore/CP000304.1?report=graph&amp;tracks=[key:gene_model_track,Options:GeneOnly]&amp;mk=51631:51650|offset_0|444444,51609:51628|offset_22|444444,51586:51605|offset_45|444444,51558:51577|offset_73|00cc00&amp;v=51430:51777&amp;c=444444", "offset 73")</f>
        <v>offset 73</v>
      </c>
    </row>
    <row r="182" customFormat="false" ht="12.8" hidden="false" customHeight="false" outlineLevel="0" collapsed="false">
      <c r="A182" s="0" t="s">
        <v>12</v>
      </c>
      <c r="B182" s="0" t="n">
        <v>51806</v>
      </c>
      <c r="C182" s="0" t="n">
        <v>51826</v>
      </c>
      <c r="D182" s="0" t="s">
        <v>628</v>
      </c>
      <c r="E182" s="0" t="s">
        <v>89</v>
      </c>
      <c r="F182" s="0" t="s">
        <v>90</v>
      </c>
      <c r="G182" s="0" t="s">
        <v>26</v>
      </c>
      <c r="H182" s="0" t="n">
        <v>1510</v>
      </c>
      <c r="I182" s="0" t="s">
        <v>629</v>
      </c>
      <c r="J182" s="0" t="s">
        <v>630</v>
      </c>
      <c r="K182" s="0" t="s">
        <v>631</v>
      </c>
      <c r="L182" s="0" t="str">
        <f aca="false">HYPERLINK("https://www.ncbi.nlm.nih.gov/nuccore/CP000304.1?report=graph&amp;tracks=[key:gene_model_track,Options:GeneOnly]&amp;mk=51807:51826|offset_1510|00cc00&amp;v=51606:52026&amp;c=444444", "offset 1510")</f>
        <v>offset 1510</v>
      </c>
    </row>
    <row r="183" customFormat="false" ht="12.8" hidden="false" customHeight="false" outlineLevel="0" collapsed="false">
      <c r="A183" s="0" t="s">
        <v>12</v>
      </c>
      <c r="B183" s="0" t="n">
        <v>54778</v>
      </c>
      <c r="C183" s="0" t="n">
        <v>54798</v>
      </c>
      <c r="D183" s="0" t="s">
        <v>632</v>
      </c>
      <c r="E183" s="0" t="s">
        <v>89</v>
      </c>
      <c r="F183" s="0" t="s">
        <v>90</v>
      </c>
      <c r="G183" s="0" t="s">
        <v>26</v>
      </c>
      <c r="H183" s="0" t="n">
        <v>37</v>
      </c>
      <c r="I183" s="0" t="s">
        <v>633</v>
      </c>
      <c r="J183" s="0" t="s">
        <v>634</v>
      </c>
      <c r="K183" s="0" t="s">
        <v>635</v>
      </c>
      <c r="L183" s="0" t="str">
        <f aca="false">HYPERLINK("https://www.ncbi.nlm.nih.gov/nuccore/CP000304.1?report=graph&amp;tracks=[key:gene_model_track,Options:GeneOnly]&amp;mk=54779:54798|offset_37|00cc00,54730:54749|offset_86|444444,54697:54716|offset_119|444444,54666:54685|offset_150|444444&amp;v=54578:54885&amp;c=444444", "offset 37")</f>
        <v>offset 37</v>
      </c>
    </row>
    <row r="184" customFormat="false" ht="12.8" hidden="false" customHeight="false" outlineLevel="0" collapsed="false">
      <c r="A184" s="0" t="s">
        <v>12</v>
      </c>
      <c r="B184" s="0" t="n">
        <v>54729</v>
      </c>
      <c r="C184" s="0" t="n">
        <v>54749</v>
      </c>
      <c r="D184" s="0" t="s">
        <v>632</v>
      </c>
      <c r="E184" s="0" t="s">
        <v>89</v>
      </c>
      <c r="F184" s="0" t="s">
        <v>90</v>
      </c>
      <c r="G184" s="0" t="s">
        <v>26</v>
      </c>
      <c r="H184" s="0" t="n">
        <v>86</v>
      </c>
      <c r="I184" s="0" t="s">
        <v>636</v>
      </c>
      <c r="J184" s="0" t="s">
        <v>637</v>
      </c>
      <c r="K184" s="0" t="s">
        <v>638</v>
      </c>
      <c r="L184" s="0" t="str">
        <f aca="false">HYPERLINK("https://www.ncbi.nlm.nih.gov/nuccore/CP000304.1?report=graph&amp;tracks=[key:gene_model_track,Options:GeneOnly]&amp;mk=54779:54798|offset_37|444444,54730:54749|offset_86|00cc00,54697:54716|offset_119|444444,54666:54685|offset_150|444444&amp;v=54578:54885&amp;c=444444", "offset 86")</f>
        <v>offset 86</v>
      </c>
    </row>
    <row r="185" customFormat="false" ht="12.8" hidden="false" customHeight="false" outlineLevel="0" collapsed="false">
      <c r="A185" s="0" t="s">
        <v>12</v>
      </c>
      <c r="B185" s="0" t="n">
        <v>54696</v>
      </c>
      <c r="C185" s="0" t="n">
        <v>54716</v>
      </c>
      <c r="D185" s="0" t="s">
        <v>632</v>
      </c>
      <c r="E185" s="0" t="s">
        <v>89</v>
      </c>
      <c r="F185" s="0" t="s">
        <v>90</v>
      </c>
      <c r="G185" s="0" t="s">
        <v>16</v>
      </c>
      <c r="H185" s="0" t="n">
        <v>119</v>
      </c>
      <c r="I185" s="0" t="s">
        <v>639</v>
      </c>
      <c r="J185" s="0" t="s">
        <v>640</v>
      </c>
      <c r="K185" s="0" t="s">
        <v>641</v>
      </c>
      <c r="L185" s="0" t="str">
        <f aca="false">HYPERLINK("https://www.ncbi.nlm.nih.gov/nuccore/CP000304.1?report=graph&amp;tracks=[key:gene_model_track,Options:GeneOnly]&amp;mk=54779:54798|offset_37|444444,54730:54749|offset_86|444444,54697:54716|offset_119|00cc00,54666:54685|offset_150|444444&amp;v=54578:54885&amp;c=444444", "offset 119")</f>
        <v>offset 119</v>
      </c>
    </row>
    <row r="186" customFormat="false" ht="12.8" hidden="false" customHeight="false" outlineLevel="0" collapsed="false">
      <c r="A186" s="0" t="s">
        <v>12</v>
      </c>
      <c r="B186" s="0" t="n">
        <v>54665</v>
      </c>
      <c r="C186" s="0" t="n">
        <v>54685</v>
      </c>
      <c r="D186" s="0" t="s">
        <v>632</v>
      </c>
      <c r="E186" s="0" t="s">
        <v>89</v>
      </c>
      <c r="F186" s="0" t="s">
        <v>90</v>
      </c>
      <c r="G186" s="0" t="s">
        <v>26</v>
      </c>
      <c r="H186" s="0" t="n">
        <v>150</v>
      </c>
      <c r="I186" s="0" t="s">
        <v>642</v>
      </c>
      <c r="J186" s="0" t="s">
        <v>643</v>
      </c>
      <c r="K186" s="0" t="s">
        <v>644</v>
      </c>
      <c r="L186" s="0" t="str">
        <f aca="false">HYPERLINK("https://www.ncbi.nlm.nih.gov/nuccore/CP000304.1?report=graph&amp;tracks=[key:gene_model_track,Options:GeneOnly]&amp;mk=54779:54798|offset_37|444444,54730:54749|offset_86|444444,54697:54716|offset_119|444444,54666:54685|offset_150|00cc00&amp;v=54578:54885&amp;c=444444", "offset 150")</f>
        <v>offset 150</v>
      </c>
    </row>
    <row r="187" customFormat="false" ht="12.8" hidden="false" customHeight="false" outlineLevel="0" collapsed="false">
      <c r="A187" s="0" t="s">
        <v>12</v>
      </c>
      <c r="B187" s="0" t="n">
        <v>55821</v>
      </c>
      <c r="C187" s="0" t="n">
        <v>55841</v>
      </c>
      <c r="D187" s="0" t="s">
        <v>645</v>
      </c>
      <c r="E187" s="0" t="s">
        <v>89</v>
      </c>
      <c r="F187" s="0" t="s">
        <v>90</v>
      </c>
      <c r="G187" s="0" t="s">
        <v>26</v>
      </c>
      <c r="H187" s="0" t="n">
        <v>28</v>
      </c>
      <c r="I187" s="0" t="s">
        <v>646</v>
      </c>
      <c r="J187" s="0" t="s">
        <v>647</v>
      </c>
      <c r="K187" s="0" t="s">
        <v>648</v>
      </c>
      <c r="L187" s="0" t="str">
        <f aca="false">HYPERLINK("https://www.ncbi.nlm.nih.gov/nuccore/CP000304.1?report=graph&amp;tracks=[key:gene_model_track,Options:GeneOnly]&amp;mk=55822:55841|offset_28|00cc00,55755:55774|offset_95|444444,55713:55732|offset_137|444444,55692:55711|offset_158|444444&amp;v=55621:55911&amp;c=444444", "offset 28")</f>
        <v>offset 28</v>
      </c>
    </row>
    <row r="188" customFormat="false" ht="12.8" hidden="false" customHeight="false" outlineLevel="0" collapsed="false">
      <c r="A188" s="0" t="s">
        <v>12</v>
      </c>
      <c r="B188" s="0" t="n">
        <v>55754</v>
      </c>
      <c r="C188" s="0" t="n">
        <v>55774</v>
      </c>
      <c r="D188" s="0" t="s">
        <v>645</v>
      </c>
      <c r="E188" s="0" t="s">
        <v>89</v>
      </c>
      <c r="F188" s="0" t="s">
        <v>90</v>
      </c>
      <c r="G188" s="0" t="s">
        <v>16</v>
      </c>
      <c r="H188" s="0" t="n">
        <v>95</v>
      </c>
      <c r="I188" s="0" t="s">
        <v>649</v>
      </c>
      <c r="J188" s="0" t="s">
        <v>650</v>
      </c>
      <c r="K188" s="0" t="s">
        <v>651</v>
      </c>
      <c r="L188" s="0" t="str">
        <f aca="false">HYPERLINK("https://www.ncbi.nlm.nih.gov/nuccore/CP000304.1?report=graph&amp;tracks=[key:gene_model_track,Options:GeneOnly]&amp;mk=55822:55841|offset_28|444444,55755:55774|offset_95|00cc00,55713:55732|offset_137|444444,55692:55711|offset_158|444444&amp;v=55621:55911&amp;c=444444", "offset 95")</f>
        <v>offset 95</v>
      </c>
    </row>
    <row r="189" customFormat="false" ht="12.8" hidden="false" customHeight="false" outlineLevel="0" collapsed="false">
      <c r="A189" s="0" t="s">
        <v>12</v>
      </c>
      <c r="B189" s="0" t="n">
        <v>55712</v>
      </c>
      <c r="C189" s="0" t="n">
        <v>55732</v>
      </c>
      <c r="D189" s="0" t="s">
        <v>645</v>
      </c>
      <c r="E189" s="0" t="s">
        <v>89</v>
      </c>
      <c r="F189" s="0" t="s">
        <v>90</v>
      </c>
      <c r="G189" s="0" t="s">
        <v>36</v>
      </c>
      <c r="H189" s="0" t="n">
        <v>137</v>
      </c>
      <c r="I189" s="0" t="s">
        <v>652</v>
      </c>
      <c r="J189" s="0" t="s">
        <v>653</v>
      </c>
      <c r="K189" s="0" t="s">
        <v>654</v>
      </c>
      <c r="L189" s="0" t="str">
        <f aca="false">HYPERLINK("https://www.ncbi.nlm.nih.gov/nuccore/CP000304.1?report=graph&amp;tracks=[key:gene_model_track,Options:GeneOnly]&amp;mk=55822:55841|offset_28|444444,55755:55774|offset_95|444444,55713:55732|offset_137|00cc00,55692:55711|offset_158|444444&amp;v=55621:55911&amp;c=444444", "offset 137")</f>
        <v>offset 137</v>
      </c>
    </row>
    <row r="190" customFormat="false" ht="12.8" hidden="false" customHeight="false" outlineLevel="0" collapsed="false">
      <c r="A190" s="0" t="s">
        <v>12</v>
      </c>
      <c r="B190" s="0" t="n">
        <v>55691</v>
      </c>
      <c r="C190" s="0" t="n">
        <v>55711</v>
      </c>
      <c r="D190" s="0" t="s">
        <v>645</v>
      </c>
      <c r="E190" s="0" t="s">
        <v>89</v>
      </c>
      <c r="F190" s="0" t="s">
        <v>90</v>
      </c>
      <c r="G190" s="0" t="s">
        <v>26</v>
      </c>
      <c r="H190" s="0" t="n">
        <v>158</v>
      </c>
      <c r="I190" s="0" t="s">
        <v>655</v>
      </c>
      <c r="J190" s="0" t="s">
        <v>656</v>
      </c>
      <c r="K190" s="0" t="s">
        <v>657</v>
      </c>
      <c r="L190" s="0" t="str">
        <f aca="false">HYPERLINK("https://www.ncbi.nlm.nih.gov/nuccore/CP000304.1?report=graph&amp;tracks=[key:gene_model_track,Options:GeneOnly]&amp;mk=55822:55841|offset_28|444444,55755:55774|offset_95|444444,55713:55732|offset_137|444444,55692:55711|offset_158|00cc00&amp;v=55621:55911&amp;c=444444", "offset 158")</f>
        <v>offset 158</v>
      </c>
    </row>
    <row r="191" customFormat="false" ht="12.8" hidden="false" customHeight="false" outlineLevel="0" collapsed="false">
      <c r="A191" s="0" t="s">
        <v>12</v>
      </c>
      <c r="B191" s="0" t="n">
        <v>57435</v>
      </c>
      <c r="C191" s="0" t="n">
        <v>57455</v>
      </c>
      <c r="D191" s="0" t="s">
        <v>658</v>
      </c>
      <c r="E191" s="0" t="s">
        <v>89</v>
      </c>
      <c r="F191" s="0" t="s">
        <v>90</v>
      </c>
      <c r="G191" s="0" t="s">
        <v>16</v>
      </c>
      <c r="H191" s="0" t="n">
        <v>13</v>
      </c>
      <c r="I191" s="0" t="s">
        <v>659</v>
      </c>
      <c r="J191" s="0" t="s">
        <v>660</v>
      </c>
      <c r="K191" s="0" t="s">
        <v>661</v>
      </c>
      <c r="L191" s="0" t="str">
        <f aca="false">HYPERLINK("https://www.ncbi.nlm.nih.gov/nuccore/CP000304.1?report=graph&amp;tracks=[key:gene_model_track,Options:GeneOnly]&amp;mk=57436:57455|offset_13|00cc00,57391:57410|offset_58|444444,57363:57382|offset_86|444444,57340:57359|offset_109|444444&amp;v=57235:57559&amp;c=444444", "offset 13")</f>
        <v>offset 13</v>
      </c>
    </row>
    <row r="192" customFormat="false" ht="12.8" hidden="false" customHeight="false" outlineLevel="0" collapsed="false">
      <c r="A192" s="0" t="s">
        <v>12</v>
      </c>
      <c r="B192" s="0" t="n">
        <v>57390</v>
      </c>
      <c r="C192" s="0" t="n">
        <v>57410</v>
      </c>
      <c r="D192" s="0" t="s">
        <v>658</v>
      </c>
      <c r="E192" s="0" t="s">
        <v>89</v>
      </c>
      <c r="F192" s="0" t="s">
        <v>90</v>
      </c>
      <c r="G192" s="0" t="s">
        <v>26</v>
      </c>
      <c r="H192" s="0" t="n">
        <v>58</v>
      </c>
      <c r="I192" s="0" t="s">
        <v>662</v>
      </c>
      <c r="J192" s="0" t="s">
        <v>663</v>
      </c>
      <c r="K192" s="0" t="s">
        <v>664</v>
      </c>
      <c r="L192" s="0" t="str">
        <f aca="false">HYPERLINK("https://www.ncbi.nlm.nih.gov/nuccore/CP000304.1?report=graph&amp;tracks=[key:gene_model_track,Options:GeneOnly]&amp;mk=57436:57455|offset_13|444444,57391:57410|offset_58|00cc00,57363:57382|offset_86|444444,57340:57359|offset_109|444444&amp;v=57235:57559&amp;c=444444", "offset 58")</f>
        <v>offset 58</v>
      </c>
    </row>
    <row r="193" customFormat="false" ht="12.8" hidden="false" customHeight="false" outlineLevel="0" collapsed="false">
      <c r="A193" s="0" t="s">
        <v>12</v>
      </c>
      <c r="B193" s="0" t="n">
        <v>57362</v>
      </c>
      <c r="C193" s="0" t="n">
        <v>57382</v>
      </c>
      <c r="D193" s="0" t="s">
        <v>658</v>
      </c>
      <c r="E193" s="0" t="s">
        <v>89</v>
      </c>
      <c r="F193" s="0" t="s">
        <v>90</v>
      </c>
      <c r="G193" s="0" t="s">
        <v>32</v>
      </c>
      <c r="H193" s="0" t="n">
        <v>86</v>
      </c>
      <c r="I193" s="0" t="s">
        <v>665</v>
      </c>
      <c r="J193" s="0" t="s">
        <v>666</v>
      </c>
      <c r="K193" s="0" t="s">
        <v>667</v>
      </c>
      <c r="L193" s="0" t="str">
        <f aca="false">HYPERLINK("https://www.ncbi.nlm.nih.gov/nuccore/CP000304.1?report=graph&amp;tracks=[key:gene_model_track,Options:GeneOnly]&amp;mk=57436:57455|offset_13|444444,57391:57410|offset_58|444444,57363:57382|offset_86|00cc00,57340:57359|offset_109|444444&amp;v=57235:57559&amp;c=444444", "offset 86")</f>
        <v>offset 86</v>
      </c>
    </row>
    <row r="194" customFormat="false" ht="12.8" hidden="false" customHeight="false" outlineLevel="0" collapsed="false">
      <c r="A194" s="0" t="s">
        <v>12</v>
      </c>
      <c r="B194" s="0" t="n">
        <v>57339</v>
      </c>
      <c r="C194" s="0" t="n">
        <v>57359</v>
      </c>
      <c r="D194" s="0" t="s">
        <v>658</v>
      </c>
      <c r="E194" s="0" t="s">
        <v>89</v>
      </c>
      <c r="F194" s="0" t="s">
        <v>90</v>
      </c>
      <c r="G194" s="0" t="s">
        <v>16</v>
      </c>
      <c r="H194" s="0" t="n">
        <v>109</v>
      </c>
      <c r="I194" s="0" t="s">
        <v>668</v>
      </c>
      <c r="J194" s="0" t="s">
        <v>669</v>
      </c>
      <c r="K194" s="0" t="s">
        <v>670</v>
      </c>
      <c r="L194" s="0" t="str">
        <f aca="false">HYPERLINK("https://www.ncbi.nlm.nih.gov/nuccore/CP000304.1?report=graph&amp;tracks=[key:gene_model_track,Options:GeneOnly]&amp;mk=57436:57455|offset_13|444444,57391:57410|offset_58|444444,57363:57382|offset_86|444444,57340:57359|offset_109|00cc00&amp;v=57235:57559&amp;c=444444", "offset 109")</f>
        <v>offset 109</v>
      </c>
    </row>
    <row r="195" customFormat="false" ht="12.8" hidden="false" customHeight="false" outlineLevel="0" collapsed="false">
      <c r="A195" s="0" t="s">
        <v>12</v>
      </c>
      <c r="B195" s="0" t="n">
        <v>60350</v>
      </c>
      <c r="C195" s="0" t="n">
        <v>60370</v>
      </c>
      <c r="D195" s="0" t="s">
        <v>671</v>
      </c>
      <c r="E195" s="0" t="s">
        <v>89</v>
      </c>
      <c r="F195" s="0" t="s">
        <v>90</v>
      </c>
      <c r="G195" s="0" t="s">
        <v>32</v>
      </c>
      <c r="H195" s="0" t="n">
        <v>1</v>
      </c>
      <c r="I195" s="0" t="s">
        <v>672</v>
      </c>
      <c r="J195" s="0" t="s">
        <v>673</v>
      </c>
      <c r="K195" s="0" t="s">
        <v>674</v>
      </c>
      <c r="L195" s="0" t="str">
        <f aca="false">HYPERLINK("https://www.ncbi.nlm.nih.gov/nuccore/CP000304.1?report=graph&amp;tracks=[key:gene_model_track,Options:GeneOnly]&amp;mk=60351:60370|offset_1|00cc00,60324:60343|offset_28|444444,60255:60274|offset_97|444444,60228:60247|offset_124|444444&amp;v=60150:60447&amp;c=444444", "offset 1")</f>
        <v>offset 1</v>
      </c>
    </row>
    <row r="196" customFormat="false" ht="12.8" hidden="false" customHeight="false" outlineLevel="0" collapsed="false">
      <c r="A196" s="0" t="s">
        <v>12</v>
      </c>
      <c r="B196" s="0" t="n">
        <v>60323</v>
      </c>
      <c r="C196" s="0" t="n">
        <v>60343</v>
      </c>
      <c r="D196" s="0" t="s">
        <v>671</v>
      </c>
      <c r="E196" s="0" t="s">
        <v>89</v>
      </c>
      <c r="F196" s="0" t="s">
        <v>90</v>
      </c>
      <c r="G196" s="0" t="s">
        <v>16</v>
      </c>
      <c r="H196" s="0" t="n">
        <v>28</v>
      </c>
      <c r="I196" s="0" t="s">
        <v>675</v>
      </c>
      <c r="J196" s="0" t="s">
        <v>676</v>
      </c>
      <c r="K196" s="0" t="s">
        <v>677</v>
      </c>
      <c r="L196" s="0" t="str">
        <f aca="false">HYPERLINK("https://www.ncbi.nlm.nih.gov/nuccore/CP000304.1?report=graph&amp;tracks=[key:gene_model_track,Options:GeneOnly]&amp;mk=60351:60370|offset_1|444444,60324:60343|offset_28|00cc00,60255:60274|offset_97|444444,60228:60247|offset_124|444444&amp;v=60150:60447&amp;c=444444", "offset 28")</f>
        <v>offset 28</v>
      </c>
    </row>
    <row r="197" customFormat="false" ht="12.8" hidden="false" customHeight="false" outlineLevel="0" collapsed="false">
      <c r="A197" s="0" t="s">
        <v>12</v>
      </c>
      <c r="B197" s="0" t="n">
        <v>60254</v>
      </c>
      <c r="C197" s="0" t="n">
        <v>60274</v>
      </c>
      <c r="D197" s="0" t="s">
        <v>671</v>
      </c>
      <c r="E197" s="0" t="s">
        <v>89</v>
      </c>
      <c r="F197" s="0" t="s">
        <v>90</v>
      </c>
      <c r="G197" s="0" t="s">
        <v>16</v>
      </c>
      <c r="H197" s="0" t="n">
        <v>97</v>
      </c>
      <c r="I197" s="0" t="s">
        <v>678</v>
      </c>
      <c r="J197" s="0" t="s">
        <v>679</v>
      </c>
      <c r="K197" s="0" t="s">
        <v>680</v>
      </c>
      <c r="L197" s="0" t="str">
        <f aca="false">HYPERLINK("https://www.ncbi.nlm.nih.gov/nuccore/CP000304.1?report=graph&amp;tracks=[key:gene_model_track,Options:GeneOnly]&amp;mk=60351:60370|offset_1|444444,60324:60343|offset_28|444444,60255:60274|offset_97|00cc00,60228:60247|offset_124|444444&amp;v=60150:60447&amp;c=444444", "offset 97")</f>
        <v>offset 97</v>
      </c>
    </row>
    <row r="198" customFormat="false" ht="12.8" hidden="false" customHeight="false" outlineLevel="0" collapsed="false">
      <c r="A198" s="0" t="s">
        <v>12</v>
      </c>
      <c r="B198" s="0" t="n">
        <v>60227</v>
      </c>
      <c r="C198" s="0" t="n">
        <v>60247</v>
      </c>
      <c r="D198" s="0" t="s">
        <v>671</v>
      </c>
      <c r="E198" s="0" t="s">
        <v>89</v>
      </c>
      <c r="F198" s="0" t="s">
        <v>90</v>
      </c>
      <c r="G198" s="0" t="s">
        <v>36</v>
      </c>
      <c r="H198" s="0" t="n">
        <v>124</v>
      </c>
      <c r="I198" s="0" t="s">
        <v>681</v>
      </c>
      <c r="J198" s="0" t="s">
        <v>682</v>
      </c>
      <c r="K198" s="0" t="s">
        <v>683</v>
      </c>
      <c r="L198" s="0" t="str">
        <f aca="false">HYPERLINK("https://www.ncbi.nlm.nih.gov/nuccore/CP000304.1?report=graph&amp;tracks=[key:gene_model_track,Options:GeneOnly]&amp;mk=60351:60370|offset_1|444444,60324:60343|offset_28|444444,60255:60274|offset_97|444444,60228:60247|offset_124|00cc00&amp;v=60150:60447&amp;c=444444", "offset 124")</f>
        <v>offset 124</v>
      </c>
    </row>
    <row r="199" customFormat="false" ht="12.8" hidden="false" customHeight="false" outlineLevel="0" collapsed="false">
      <c r="A199" s="0" t="s">
        <v>12</v>
      </c>
      <c r="B199" s="0" t="n">
        <v>62073</v>
      </c>
      <c r="C199" s="0" t="n">
        <v>62093</v>
      </c>
      <c r="D199" s="0" t="s">
        <v>684</v>
      </c>
      <c r="E199" s="0" t="s">
        <v>89</v>
      </c>
      <c r="F199" s="0" t="s">
        <v>90</v>
      </c>
      <c r="G199" s="0" t="s">
        <v>36</v>
      </c>
      <c r="H199" s="0" t="n">
        <v>16</v>
      </c>
      <c r="I199" s="0" t="s">
        <v>685</v>
      </c>
      <c r="J199" s="0" t="s">
        <v>686</v>
      </c>
      <c r="K199" s="0" t="s">
        <v>687</v>
      </c>
      <c r="L199" s="0" t="str">
        <f aca="false">HYPERLINK("https://www.ncbi.nlm.nih.gov/nuccore/CP000304.1?report=graph&amp;tracks=[key:gene_model_track,Options:GeneOnly]&amp;mk=62074:62093|offset_16|00cc00,62047:62066|offset_43|444444,62019:62038|offset_71|444444,61984:62003|offset_106|444444&amp;v=61873:62203&amp;c=444444", "offset 16")</f>
        <v>offset 16</v>
      </c>
    </row>
    <row r="200" customFormat="false" ht="12.8" hidden="false" customHeight="false" outlineLevel="0" collapsed="false">
      <c r="A200" s="0" t="s">
        <v>12</v>
      </c>
      <c r="B200" s="0" t="n">
        <v>62046</v>
      </c>
      <c r="C200" s="0" t="n">
        <v>62066</v>
      </c>
      <c r="D200" s="0" t="s">
        <v>684</v>
      </c>
      <c r="E200" s="0" t="s">
        <v>89</v>
      </c>
      <c r="F200" s="0" t="s">
        <v>90</v>
      </c>
      <c r="G200" s="0" t="s">
        <v>36</v>
      </c>
      <c r="H200" s="0" t="n">
        <v>43</v>
      </c>
      <c r="I200" s="0" t="s">
        <v>688</v>
      </c>
      <c r="J200" s="0" t="s">
        <v>689</v>
      </c>
      <c r="K200" s="0" t="s">
        <v>690</v>
      </c>
      <c r="L200" s="0" t="str">
        <f aca="false">HYPERLINK("https://www.ncbi.nlm.nih.gov/nuccore/CP000304.1?report=graph&amp;tracks=[key:gene_model_track,Options:GeneOnly]&amp;mk=62074:62093|offset_16|444444,62047:62066|offset_43|00cc00,62019:62038|offset_71|444444,61984:62003|offset_106|444444&amp;v=61873:62203&amp;c=444444", "offset 43")</f>
        <v>offset 43</v>
      </c>
    </row>
    <row r="201" customFormat="false" ht="12.8" hidden="false" customHeight="false" outlineLevel="0" collapsed="false">
      <c r="A201" s="0" t="s">
        <v>12</v>
      </c>
      <c r="B201" s="0" t="n">
        <v>62018</v>
      </c>
      <c r="C201" s="0" t="n">
        <v>62038</v>
      </c>
      <c r="D201" s="0" t="s">
        <v>684</v>
      </c>
      <c r="E201" s="0" t="s">
        <v>89</v>
      </c>
      <c r="F201" s="0" t="s">
        <v>90</v>
      </c>
      <c r="G201" s="0" t="s">
        <v>26</v>
      </c>
      <c r="H201" s="0" t="n">
        <v>71</v>
      </c>
      <c r="I201" s="0" t="s">
        <v>691</v>
      </c>
      <c r="J201" s="0" t="s">
        <v>692</v>
      </c>
      <c r="K201" s="0" t="s">
        <v>693</v>
      </c>
      <c r="L201" s="0" t="str">
        <f aca="false">HYPERLINK("https://www.ncbi.nlm.nih.gov/nuccore/CP000304.1?report=graph&amp;tracks=[key:gene_model_track,Options:GeneOnly]&amp;mk=62074:62093|offset_16|444444,62047:62066|offset_43|444444,62019:62038|offset_71|00cc00,61984:62003|offset_106|444444&amp;v=61873:62203&amp;c=444444", "offset 71")</f>
        <v>offset 71</v>
      </c>
    </row>
    <row r="202" customFormat="false" ht="12.8" hidden="false" customHeight="false" outlineLevel="0" collapsed="false">
      <c r="A202" s="0" t="s">
        <v>12</v>
      </c>
      <c r="B202" s="0" t="n">
        <v>61983</v>
      </c>
      <c r="C202" s="0" t="n">
        <v>62003</v>
      </c>
      <c r="D202" s="0" t="s">
        <v>684</v>
      </c>
      <c r="E202" s="0" t="s">
        <v>89</v>
      </c>
      <c r="F202" s="0" t="s">
        <v>90</v>
      </c>
      <c r="G202" s="0" t="s">
        <v>36</v>
      </c>
      <c r="H202" s="0" t="n">
        <v>106</v>
      </c>
      <c r="I202" s="0" t="s">
        <v>694</v>
      </c>
      <c r="J202" s="0" t="s">
        <v>695</v>
      </c>
      <c r="K202" s="0" t="s">
        <v>696</v>
      </c>
      <c r="L202" s="0" t="str">
        <f aca="false">HYPERLINK("https://www.ncbi.nlm.nih.gov/nuccore/CP000304.1?report=graph&amp;tracks=[key:gene_model_track,Options:GeneOnly]&amp;mk=62074:62093|offset_16|444444,62047:62066|offset_43|444444,62019:62038|offset_71|444444,61984:62003|offset_106|00cc00&amp;v=61873:62203&amp;c=444444", "offset 106")</f>
        <v>offset 106</v>
      </c>
    </row>
    <row r="203" customFormat="false" ht="12.8" hidden="false" customHeight="false" outlineLevel="0" collapsed="false">
      <c r="A203" s="0" t="s">
        <v>12</v>
      </c>
      <c r="B203" s="0" t="n">
        <v>62445</v>
      </c>
      <c r="C203" s="0" t="n">
        <v>62465</v>
      </c>
      <c r="D203" s="0" t="s">
        <v>697</v>
      </c>
      <c r="E203" s="0" t="s">
        <v>698</v>
      </c>
      <c r="F203" s="0" t="s">
        <v>90</v>
      </c>
      <c r="G203" s="0" t="s">
        <v>26</v>
      </c>
      <c r="H203" s="0" t="n">
        <v>26</v>
      </c>
      <c r="I203" s="0" t="s">
        <v>699</v>
      </c>
      <c r="J203" s="0" t="s">
        <v>700</v>
      </c>
      <c r="K203" s="0" t="s">
        <v>701</v>
      </c>
      <c r="L203" s="0" t="str">
        <f aca="false">HYPERLINK("https://www.ncbi.nlm.nih.gov/nuccore/CP000304.1?report=graph&amp;tracks=[key:gene_model_track,Options:GeneOnly]&amp;mk=62446:62465|offset_26|00cc00,62423:62442|offset_49|444444,62399:62418|offset_73|444444,62361:62380|offset_111|444444&amp;v=62245:62580&amp;c=444444", "offset 26")</f>
        <v>offset 26</v>
      </c>
    </row>
    <row r="204" customFormat="false" ht="12.8" hidden="false" customHeight="false" outlineLevel="0" collapsed="false">
      <c r="A204" s="0" t="s">
        <v>12</v>
      </c>
      <c r="B204" s="0" t="n">
        <v>62422</v>
      </c>
      <c r="C204" s="0" t="n">
        <v>62442</v>
      </c>
      <c r="D204" s="0" t="s">
        <v>697</v>
      </c>
      <c r="E204" s="0" t="s">
        <v>698</v>
      </c>
      <c r="F204" s="0" t="s">
        <v>90</v>
      </c>
      <c r="G204" s="0" t="s">
        <v>32</v>
      </c>
      <c r="H204" s="0" t="n">
        <v>49</v>
      </c>
      <c r="I204" s="0" t="s">
        <v>702</v>
      </c>
      <c r="J204" s="0" t="s">
        <v>703</v>
      </c>
      <c r="K204" s="0" t="s">
        <v>704</v>
      </c>
      <c r="L204" s="0" t="str">
        <f aca="false">HYPERLINK("https://www.ncbi.nlm.nih.gov/nuccore/CP000304.1?report=graph&amp;tracks=[key:gene_model_track,Options:GeneOnly]&amp;mk=62446:62465|offset_26|444444,62423:62442|offset_49|00cc00,62399:62418|offset_73|444444,62361:62380|offset_111|444444&amp;v=62245:62580&amp;c=444444", "offset 49")</f>
        <v>offset 49</v>
      </c>
    </row>
    <row r="205" customFormat="false" ht="12.8" hidden="false" customHeight="false" outlineLevel="0" collapsed="false">
      <c r="A205" s="0" t="s">
        <v>12</v>
      </c>
      <c r="B205" s="0" t="n">
        <v>62398</v>
      </c>
      <c r="C205" s="0" t="n">
        <v>62418</v>
      </c>
      <c r="D205" s="0" t="s">
        <v>697</v>
      </c>
      <c r="E205" s="0" t="s">
        <v>698</v>
      </c>
      <c r="F205" s="0" t="s">
        <v>90</v>
      </c>
      <c r="G205" s="0" t="s">
        <v>36</v>
      </c>
      <c r="H205" s="0" t="n">
        <v>73</v>
      </c>
      <c r="I205" s="0" t="s">
        <v>705</v>
      </c>
      <c r="J205" s="0" t="s">
        <v>706</v>
      </c>
      <c r="K205" s="0" t="s">
        <v>707</v>
      </c>
      <c r="L205" s="0" t="str">
        <f aca="false">HYPERLINK("https://www.ncbi.nlm.nih.gov/nuccore/CP000304.1?report=graph&amp;tracks=[key:gene_model_track,Options:GeneOnly]&amp;mk=62446:62465|offset_26|444444,62423:62442|offset_49|444444,62399:62418|offset_73|00cc00,62361:62380|offset_111|444444&amp;v=62245:62580&amp;c=444444", "offset 73")</f>
        <v>offset 73</v>
      </c>
    </row>
    <row r="206" customFormat="false" ht="12.8" hidden="false" customHeight="false" outlineLevel="0" collapsed="false">
      <c r="A206" s="0" t="s">
        <v>12</v>
      </c>
      <c r="B206" s="0" t="n">
        <v>62360</v>
      </c>
      <c r="C206" s="0" t="n">
        <v>62380</v>
      </c>
      <c r="D206" s="0" t="s">
        <v>697</v>
      </c>
      <c r="E206" s="0" t="s">
        <v>698</v>
      </c>
      <c r="F206" s="0" t="s">
        <v>90</v>
      </c>
      <c r="G206" s="0" t="s">
        <v>16</v>
      </c>
      <c r="H206" s="0" t="n">
        <v>111</v>
      </c>
      <c r="I206" s="0" t="s">
        <v>708</v>
      </c>
      <c r="J206" s="0" t="s">
        <v>709</v>
      </c>
      <c r="K206" s="0" t="s">
        <v>710</v>
      </c>
      <c r="L206" s="0" t="str">
        <f aca="false">HYPERLINK("https://www.ncbi.nlm.nih.gov/nuccore/CP000304.1?report=graph&amp;tracks=[key:gene_model_track,Options:GeneOnly]&amp;mk=62446:62465|offset_26|444444,62423:62442|offset_49|444444,62399:62418|offset_73|444444,62361:62380|offset_111|00cc00&amp;v=62245:62580&amp;c=444444", "offset 111")</f>
        <v>offset 111</v>
      </c>
    </row>
    <row r="207" customFormat="false" ht="12.8" hidden="false" customHeight="false" outlineLevel="0" collapsed="false">
      <c r="A207" s="0" t="s">
        <v>12</v>
      </c>
      <c r="B207" s="0" t="n">
        <v>64849</v>
      </c>
      <c r="C207" s="0" t="n">
        <v>64869</v>
      </c>
      <c r="D207" s="0" t="s">
        <v>711</v>
      </c>
      <c r="E207" s="0" t="s">
        <v>89</v>
      </c>
      <c r="F207" s="0" t="s">
        <v>90</v>
      </c>
      <c r="G207" s="0" t="s">
        <v>16</v>
      </c>
      <c r="H207" s="0" t="n">
        <v>0</v>
      </c>
      <c r="I207" s="0" t="s">
        <v>712</v>
      </c>
      <c r="J207" s="0" t="s">
        <v>713</v>
      </c>
      <c r="K207" s="0" t="s">
        <v>714</v>
      </c>
      <c r="L207" s="0" t="str">
        <f aca="false">HYPERLINK("https://www.ncbi.nlm.nih.gov/nuccore/CP000304.1?report=graph&amp;tracks=[key:gene_model_track,Options:GeneOnly]&amp;mk=64850:64869|offset_0|00cc00,64829:64848|offset_21|444444,64804:64823|offset_46|444444,64775:64794|offset_75|444444&amp;v=64649:64994&amp;c=444444", "offset 0")</f>
        <v>offset 0</v>
      </c>
    </row>
    <row r="208" customFormat="false" ht="12.8" hidden="false" customHeight="false" outlineLevel="0" collapsed="false">
      <c r="A208" s="0" t="s">
        <v>12</v>
      </c>
      <c r="B208" s="0" t="n">
        <v>64828</v>
      </c>
      <c r="C208" s="0" t="n">
        <v>64848</v>
      </c>
      <c r="D208" s="0" t="s">
        <v>711</v>
      </c>
      <c r="E208" s="0" t="s">
        <v>89</v>
      </c>
      <c r="F208" s="0" t="s">
        <v>90</v>
      </c>
      <c r="G208" s="0" t="s">
        <v>32</v>
      </c>
      <c r="H208" s="0" t="n">
        <v>21</v>
      </c>
      <c r="I208" s="0" t="s">
        <v>715</v>
      </c>
      <c r="J208" s="0" t="s">
        <v>716</v>
      </c>
      <c r="K208" s="0" t="s">
        <v>717</v>
      </c>
      <c r="L208" s="0" t="str">
        <f aca="false">HYPERLINK("https://www.ncbi.nlm.nih.gov/nuccore/CP000304.1?report=graph&amp;tracks=[key:gene_model_track,Options:GeneOnly]&amp;mk=64850:64869|offset_0|444444,64829:64848|offset_21|00cc00,64804:64823|offset_46|444444,64775:64794|offset_75|444444&amp;v=64649:64994&amp;c=444444", "offset 21")</f>
        <v>offset 21</v>
      </c>
    </row>
    <row r="209" customFormat="false" ht="12.8" hidden="false" customHeight="false" outlineLevel="0" collapsed="false">
      <c r="A209" s="0" t="s">
        <v>12</v>
      </c>
      <c r="B209" s="0" t="n">
        <v>64803</v>
      </c>
      <c r="C209" s="0" t="n">
        <v>64823</v>
      </c>
      <c r="D209" s="0" t="s">
        <v>711</v>
      </c>
      <c r="E209" s="0" t="s">
        <v>89</v>
      </c>
      <c r="F209" s="0" t="s">
        <v>90</v>
      </c>
      <c r="G209" s="0" t="s">
        <v>36</v>
      </c>
      <c r="H209" s="0" t="n">
        <v>46</v>
      </c>
      <c r="I209" s="0" t="s">
        <v>718</v>
      </c>
      <c r="J209" s="0" t="s">
        <v>719</v>
      </c>
      <c r="K209" s="0" t="s">
        <v>720</v>
      </c>
      <c r="L209" s="0" t="str">
        <f aca="false">HYPERLINK("https://www.ncbi.nlm.nih.gov/nuccore/CP000304.1?report=graph&amp;tracks=[key:gene_model_track,Options:GeneOnly]&amp;mk=64850:64869|offset_0|444444,64829:64848|offset_21|444444,64804:64823|offset_46|00cc00,64775:64794|offset_75|444444&amp;v=64649:64994&amp;c=444444", "offset 46")</f>
        <v>offset 46</v>
      </c>
    </row>
    <row r="210" customFormat="false" ht="12.8" hidden="false" customHeight="false" outlineLevel="0" collapsed="false">
      <c r="A210" s="0" t="s">
        <v>12</v>
      </c>
      <c r="B210" s="0" t="n">
        <v>64774</v>
      </c>
      <c r="C210" s="0" t="n">
        <v>64794</v>
      </c>
      <c r="D210" s="0" t="s">
        <v>711</v>
      </c>
      <c r="E210" s="0" t="s">
        <v>89</v>
      </c>
      <c r="F210" s="0" t="s">
        <v>90</v>
      </c>
      <c r="G210" s="0" t="s">
        <v>36</v>
      </c>
      <c r="H210" s="0" t="n">
        <v>75</v>
      </c>
      <c r="I210" s="0" t="s">
        <v>721</v>
      </c>
      <c r="J210" s="0" t="s">
        <v>722</v>
      </c>
      <c r="K210" s="0" t="s">
        <v>723</v>
      </c>
      <c r="L210" s="0" t="str">
        <f aca="false">HYPERLINK("https://www.ncbi.nlm.nih.gov/nuccore/CP000304.1?report=graph&amp;tracks=[key:gene_model_track,Options:GeneOnly]&amp;mk=64850:64869|offset_0|444444,64829:64848|offset_21|444444,64804:64823|offset_46|444444,64775:64794|offset_75|00cc00&amp;v=64649:64994&amp;c=444444", "offset 75")</f>
        <v>offset 75</v>
      </c>
    </row>
    <row r="211" customFormat="false" ht="12.8" hidden="false" customHeight="false" outlineLevel="0" collapsed="false">
      <c r="A211" s="0" t="s">
        <v>12</v>
      </c>
      <c r="B211" s="0" t="n">
        <v>65319</v>
      </c>
      <c r="C211" s="0" t="n">
        <v>65339</v>
      </c>
      <c r="D211" s="0" t="s">
        <v>724</v>
      </c>
      <c r="E211" s="0" t="s">
        <v>89</v>
      </c>
      <c r="F211" s="0" t="s">
        <v>90</v>
      </c>
      <c r="G211" s="0" t="s">
        <v>26</v>
      </c>
      <c r="H211" s="0" t="n">
        <v>23</v>
      </c>
      <c r="I211" s="0" t="s">
        <v>725</v>
      </c>
      <c r="J211" s="0" t="s">
        <v>726</v>
      </c>
      <c r="K211" s="0" t="s">
        <v>727</v>
      </c>
      <c r="L211" s="0" t="str">
        <f aca="false">HYPERLINK("https://www.ncbi.nlm.nih.gov/nuccore/CP000304.1?report=graph&amp;tracks=[key:gene_model_track,Options:GeneOnly]&amp;mk=65320:65339|offset_23|00cc00,65293:65312|offset_50|444444,65264:65283|offset_79|444444,65240:65259|offset_103|444444&amp;v=65119:65459&amp;c=444444", "offset 23")</f>
        <v>offset 23</v>
      </c>
    </row>
    <row r="212" customFormat="false" ht="12.8" hidden="false" customHeight="false" outlineLevel="0" collapsed="false">
      <c r="A212" s="0" t="s">
        <v>12</v>
      </c>
      <c r="B212" s="0" t="n">
        <v>65292</v>
      </c>
      <c r="C212" s="0" t="n">
        <v>65312</v>
      </c>
      <c r="D212" s="0" t="s">
        <v>724</v>
      </c>
      <c r="E212" s="0" t="s">
        <v>89</v>
      </c>
      <c r="F212" s="0" t="s">
        <v>90</v>
      </c>
      <c r="G212" s="0" t="s">
        <v>32</v>
      </c>
      <c r="H212" s="0" t="n">
        <v>50</v>
      </c>
      <c r="I212" s="0" t="s">
        <v>728</v>
      </c>
      <c r="J212" s="0" t="s">
        <v>729</v>
      </c>
      <c r="K212" s="0" t="s">
        <v>730</v>
      </c>
      <c r="L212" s="0" t="str">
        <f aca="false">HYPERLINK("https://www.ncbi.nlm.nih.gov/nuccore/CP000304.1?report=graph&amp;tracks=[key:gene_model_track,Options:GeneOnly]&amp;mk=65320:65339|offset_23|444444,65293:65312|offset_50|00cc00,65264:65283|offset_79|444444,65240:65259|offset_103|444444&amp;v=65119:65459&amp;c=444444", "offset 50")</f>
        <v>offset 50</v>
      </c>
    </row>
    <row r="213" customFormat="false" ht="12.8" hidden="false" customHeight="false" outlineLevel="0" collapsed="false">
      <c r="A213" s="0" t="s">
        <v>12</v>
      </c>
      <c r="B213" s="0" t="n">
        <v>65263</v>
      </c>
      <c r="C213" s="0" t="n">
        <v>65283</v>
      </c>
      <c r="D213" s="0" t="s">
        <v>724</v>
      </c>
      <c r="E213" s="0" t="s">
        <v>89</v>
      </c>
      <c r="F213" s="0" t="s">
        <v>90</v>
      </c>
      <c r="G213" s="0" t="s">
        <v>32</v>
      </c>
      <c r="H213" s="0" t="n">
        <v>79</v>
      </c>
      <c r="I213" s="0" t="s">
        <v>731</v>
      </c>
      <c r="J213" s="0" t="s">
        <v>732</v>
      </c>
      <c r="K213" s="0" t="s">
        <v>733</v>
      </c>
      <c r="L213" s="0" t="str">
        <f aca="false">HYPERLINK("https://www.ncbi.nlm.nih.gov/nuccore/CP000304.1?report=graph&amp;tracks=[key:gene_model_track,Options:GeneOnly]&amp;mk=65320:65339|offset_23|444444,65293:65312|offset_50|444444,65264:65283|offset_79|00cc00,65240:65259|offset_103|444444&amp;v=65119:65459&amp;c=444444", "offset 79")</f>
        <v>offset 79</v>
      </c>
    </row>
    <row r="214" customFormat="false" ht="12.8" hidden="false" customHeight="false" outlineLevel="0" collapsed="false">
      <c r="A214" s="0" t="s">
        <v>12</v>
      </c>
      <c r="B214" s="0" t="n">
        <v>65239</v>
      </c>
      <c r="C214" s="0" t="n">
        <v>65259</v>
      </c>
      <c r="D214" s="0" t="s">
        <v>724</v>
      </c>
      <c r="E214" s="0" t="s">
        <v>89</v>
      </c>
      <c r="F214" s="0" t="s">
        <v>90</v>
      </c>
      <c r="G214" s="0" t="s">
        <v>26</v>
      </c>
      <c r="H214" s="0" t="n">
        <v>103</v>
      </c>
      <c r="I214" s="0" t="s">
        <v>734</v>
      </c>
      <c r="J214" s="0" t="s">
        <v>735</v>
      </c>
      <c r="K214" s="0" t="s">
        <v>736</v>
      </c>
      <c r="L214" s="0" t="str">
        <f aca="false">HYPERLINK("https://www.ncbi.nlm.nih.gov/nuccore/CP000304.1?report=graph&amp;tracks=[key:gene_model_track,Options:GeneOnly]&amp;mk=65320:65339|offset_23|444444,65293:65312|offset_50|444444,65264:65283|offset_79|444444,65240:65259|offset_103|00cc00&amp;v=65119:65459&amp;c=444444", "offset 103")</f>
        <v>offset 103</v>
      </c>
    </row>
    <row r="215" customFormat="false" ht="12.8" hidden="false" customHeight="false" outlineLevel="0" collapsed="false">
      <c r="A215" s="0" t="s">
        <v>12</v>
      </c>
      <c r="B215" s="0" t="n">
        <v>68424</v>
      </c>
      <c r="C215" s="0" t="n">
        <v>68444</v>
      </c>
      <c r="D215" s="0" t="s">
        <v>737</v>
      </c>
      <c r="E215" s="0" t="s">
        <v>89</v>
      </c>
      <c r="F215" s="0" t="s">
        <v>90</v>
      </c>
      <c r="G215" s="0" t="s">
        <v>36</v>
      </c>
      <c r="H215" s="0" t="n">
        <v>6</v>
      </c>
      <c r="I215" s="0" t="s">
        <v>738</v>
      </c>
      <c r="J215" s="0" t="s">
        <v>739</v>
      </c>
      <c r="K215" s="0" t="s">
        <v>740</v>
      </c>
      <c r="L215" s="0" t="str">
        <f aca="false">HYPERLINK("https://www.ncbi.nlm.nih.gov/nuccore/CP000304.1?report=graph&amp;tracks=[key:gene_model_track,Options:GeneOnly]&amp;mk=68425:68444|offset_6|00cc00,68403:68422|offset_28|444444,68378:68397|offset_53|444444,68343:68362|offset_88|444444&amp;v=68224:68562&amp;c=444444", "offset 6")</f>
        <v>offset 6</v>
      </c>
    </row>
    <row r="216" customFormat="false" ht="12.8" hidden="false" customHeight="false" outlineLevel="0" collapsed="false">
      <c r="A216" s="0" t="s">
        <v>12</v>
      </c>
      <c r="B216" s="0" t="n">
        <v>68402</v>
      </c>
      <c r="C216" s="0" t="n">
        <v>68422</v>
      </c>
      <c r="D216" s="0" t="s">
        <v>737</v>
      </c>
      <c r="E216" s="0" t="s">
        <v>89</v>
      </c>
      <c r="F216" s="0" t="s">
        <v>90</v>
      </c>
      <c r="G216" s="0" t="s">
        <v>26</v>
      </c>
      <c r="H216" s="0" t="n">
        <v>28</v>
      </c>
      <c r="I216" s="0" t="s">
        <v>741</v>
      </c>
      <c r="J216" s="0" t="s">
        <v>742</v>
      </c>
      <c r="K216" s="0" t="s">
        <v>743</v>
      </c>
      <c r="L216" s="0" t="str">
        <f aca="false">HYPERLINK("https://www.ncbi.nlm.nih.gov/nuccore/CP000304.1?report=graph&amp;tracks=[key:gene_model_track,Options:GeneOnly]&amp;mk=68425:68444|offset_6|444444,68403:68422|offset_28|00cc00,68378:68397|offset_53|444444,68343:68362|offset_88|444444&amp;v=68224:68562&amp;c=444444", "offset 28")</f>
        <v>offset 28</v>
      </c>
    </row>
    <row r="217" customFormat="false" ht="12.8" hidden="false" customHeight="false" outlineLevel="0" collapsed="false">
      <c r="A217" s="0" t="s">
        <v>12</v>
      </c>
      <c r="B217" s="0" t="n">
        <v>68377</v>
      </c>
      <c r="C217" s="0" t="n">
        <v>68397</v>
      </c>
      <c r="D217" s="0" t="s">
        <v>737</v>
      </c>
      <c r="E217" s="0" t="s">
        <v>89</v>
      </c>
      <c r="F217" s="0" t="s">
        <v>90</v>
      </c>
      <c r="G217" s="0" t="s">
        <v>26</v>
      </c>
      <c r="H217" s="0" t="n">
        <v>53</v>
      </c>
      <c r="I217" s="0" t="s">
        <v>744</v>
      </c>
      <c r="J217" s="0" t="s">
        <v>745</v>
      </c>
      <c r="K217" s="0" t="s">
        <v>746</v>
      </c>
      <c r="L217" s="0" t="str">
        <f aca="false">HYPERLINK("https://www.ncbi.nlm.nih.gov/nuccore/CP000304.1?report=graph&amp;tracks=[key:gene_model_track,Options:GeneOnly]&amp;mk=68425:68444|offset_6|444444,68403:68422|offset_28|444444,68378:68397|offset_53|00cc00,68343:68362|offset_88|444444&amp;v=68224:68562&amp;c=444444", "offset 53")</f>
        <v>offset 53</v>
      </c>
    </row>
    <row r="218" customFormat="false" ht="12.8" hidden="false" customHeight="false" outlineLevel="0" collapsed="false">
      <c r="A218" s="0" t="s">
        <v>12</v>
      </c>
      <c r="B218" s="0" t="n">
        <v>68342</v>
      </c>
      <c r="C218" s="0" t="n">
        <v>68362</v>
      </c>
      <c r="D218" s="0" t="s">
        <v>737</v>
      </c>
      <c r="E218" s="0" t="s">
        <v>89</v>
      </c>
      <c r="F218" s="0" t="s">
        <v>90</v>
      </c>
      <c r="G218" s="0" t="s">
        <v>16</v>
      </c>
      <c r="H218" s="0" t="n">
        <v>88</v>
      </c>
      <c r="I218" s="0" t="s">
        <v>747</v>
      </c>
      <c r="J218" s="0" t="s">
        <v>748</v>
      </c>
      <c r="K218" s="0" t="s">
        <v>749</v>
      </c>
      <c r="L218" s="0" t="str">
        <f aca="false">HYPERLINK("https://www.ncbi.nlm.nih.gov/nuccore/CP000304.1?report=graph&amp;tracks=[key:gene_model_track,Options:GeneOnly]&amp;mk=68425:68444|offset_6|444444,68403:68422|offset_28|444444,68378:68397|offset_53|444444,68343:68362|offset_88|00cc00&amp;v=68224:68562&amp;c=444444", "offset 88")</f>
        <v>offset 88</v>
      </c>
    </row>
    <row r="219" customFormat="false" ht="12.8" hidden="false" customHeight="false" outlineLevel="0" collapsed="false">
      <c r="A219" s="0" t="s">
        <v>12</v>
      </c>
      <c r="B219" s="0" t="n">
        <v>68687</v>
      </c>
      <c r="C219" s="0" t="n">
        <v>68707</v>
      </c>
      <c r="D219" s="0" t="s">
        <v>750</v>
      </c>
      <c r="E219" s="0" t="s">
        <v>89</v>
      </c>
      <c r="F219" s="0" t="s">
        <v>15</v>
      </c>
      <c r="G219" s="0" t="s">
        <v>36</v>
      </c>
      <c r="H219" s="0" t="n">
        <v>11</v>
      </c>
      <c r="I219" s="0" t="s">
        <v>751</v>
      </c>
      <c r="J219" s="0" t="s">
        <v>752</v>
      </c>
      <c r="K219" s="0" t="s">
        <v>753</v>
      </c>
      <c r="L219" s="0" t="str">
        <f aca="false">HYPERLINK("https://www.ncbi.nlm.nih.gov/nuccore/CP000304.1?report=graph&amp;tracks=[key:gene_model_track,Options:GeneOnly]&amp;mk=68688:68707|offset_11|00cc00,68708:68727|offset_31|444444,68747:68766|offset_70|444444,68771:68790|offset_94|444444&amp;v=68487:68990&amp;c=444444", "offset 11")</f>
        <v>offset 11</v>
      </c>
    </row>
    <row r="220" customFormat="false" ht="12.8" hidden="false" customHeight="false" outlineLevel="0" collapsed="false">
      <c r="A220" s="0" t="s">
        <v>12</v>
      </c>
      <c r="B220" s="0" t="n">
        <v>68707</v>
      </c>
      <c r="C220" s="0" t="n">
        <v>68727</v>
      </c>
      <c r="D220" s="0" t="s">
        <v>750</v>
      </c>
      <c r="E220" s="0" t="s">
        <v>89</v>
      </c>
      <c r="F220" s="0" t="s">
        <v>15</v>
      </c>
      <c r="G220" s="0" t="s">
        <v>16</v>
      </c>
      <c r="H220" s="0" t="n">
        <v>31</v>
      </c>
      <c r="I220" s="0" t="s">
        <v>754</v>
      </c>
      <c r="J220" s="0" t="s">
        <v>755</v>
      </c>
      <c r="K220" s="0" t="s">
        <v>756</v>
      </c>
      <c r="L220" s="0" t="str">
        <f aca="false">HYPERLINK("https://www.ncbi.nlm.nih.gov/nuccore/CP000304.1?report=graph&amp;tracks=[key:gene_model_track,Options:GeneOnly]&amp;mk=68688:68707|offset_11|444444,68708:68727|offset_31|00cc00,68747:68766|offset_70|444444,68771:68790|offset_94|444444&amp;v=68487:68990&amp;c=444444", "offset 31")</f>
        <v>offset 31</v>
      </c>
    </row>
    <row r="221" customFormat="false" ht="12.8" hidden="false" customHeight="false" outlineLevel="0" collapsed="false">
      <c r="A221" s="0" t="s">
        <v>12</v>
      </c>
      <c r="B221" s="0" t="n">
        <v>68746</v>
      </c>
      <c r="C221" s="0" t="n">
        <v>68766</v>
      </c>
      <c r="D221" s="0" t="s">
        <v>750</v>
      </c>
      <c r="E221" s="0" t="s">
        <v>89</v>
      </c>
      <c r="F221" s="0" t="s">
        <v>15</v>
      </c>
      <c r="G221" s="0" t="s">
        <v>32</v>
      </c>
      <c r="H221" s="0" t="n">
        <v>70</v>
      </c>
      <c r="I221" s="0" t="s">
        <v>757</v>
      </c>
      <c r="J221" s="0" t="s">
        <v>758</v>
      </c>
      <c r="K221" s="0" t="s">
        <v>759</v>
      </c>
      <c r="L221" s="0" t="str">
        <f aca="false">HYPERLINK("https://www.ncbi.nlm.nih.gov/nuccore/CP000304.1?report=graph&amp;tracks=[key:gene_model_track,Options:GeneOnly]&amp;mk=68688:68707|offset_11|444444,68708:68727|offset_31|444444,68747:68766|offset_70|00cc00,68771:68790|offset_94|444444&amp;v=68487:68990&amp;c=444444", "offset 70")</f>
        <v>offset 70</v>
      </c>
    </row>
    <row r="222" customFormat="false" ht="12.8" hidden="false" customHeight="false" outlineLevel="0" collapsed="false">
      <c r="A222" s="0" t="s">
        <v>12</v>
      </c>
      <c r="B222" s="0" t="n">
        <v>68770</v>
      </c>
      <c r="C222" s="0" t="n">
        <v>68790</v>
      </c>
      <c r="D222" s="0" t="s">
        <v>750</v>
      </c>
      <c r="E222" s="0" t="s">
        <v>89</v>
      </c>
      <c r="F222" s="0" t="s">
        <v>15</v>
      </c>
      <c r="G222" s="0" t="s">
        <v>32</v>
      </c>
      <c r="H222" s="0" t="n">
        <v>94</v>
      </c>
      <c r="I222" s="0" t="s">
        <v>760</v>
      </c>
      <c r="J222" s="0" t="s">
        <v>761</v>
      </c>
      <c r="K222" s="0" t="s">
        <v>762</v>
      </c>
      <c r="L222" s="0" t="str">
        <f aca="false">HYPERLINK("https://www.ncbi.nlm.nih.gov/nuccore/CP000304.1?report=graph&amp;tracks=[key:gene_model_track,Options:GeneOnly]&amp;mk=68688:68707|offset_11|444444,68708:68727|offset_31|444444,68747:68766|offset_70|444444,68771:68790|offset_94|00cc00&amp;v=68487:68990&amp;c=444444", "offset 94")</f>
        <v>offset 94</v>
      </c>
    </row>
    <row r="223" customFormat="false" ht="12.8" hidden="false" customHeight="false" outlineLevel="0" collapsed="false">
      <c r="A223" s="0" t="s">
        <v>12</v>
      </c>
      <c r="B223" s="0" t="n">
        <v>70219</v>
      </c>
      <c r="C223" s="0" t="n">
        <v>70239</v>
      </c>
      <c r="D223" s="0" t="s">
        <v>763</v>
      </c>
      <c r="E223" s="0" t="s">
        <v>89</v>
      </c>
      <c r="F223" s="0" t="s">
        <v>15</v>
      </c>
      <c r="G223" s="0" t="s">
        <v>36</v>
      </c>
      <c r="H223" s="0" t="n">
        <v>17</v>
      </c>
      <c r="I223" s="0" t="s">
        <v>764</v>
      </c>
      <c r="J223" s="0" t="s">
        <v>765</v>
      </c>
      <c r="K223" s="0" t="s">
        <v>766</v>
      </c>
      <c r="L223" s="0" t="str">
        <f aca="false">HYPERLINK("https://www.ncbi.nlm.nih.gov/nuccore/CP000304.1?report=graph&amp;tracks=[key:gene_model_track,Options:GeneOnly]&amp;mk=70220:70239|offset_17|00cc00,70244:70263|offset_41|444444,70267:70286|offset_64|444444,70298:70317|offset_95|444444&amp;v=70019:70517&amp;c=444444", "offset 17")</f>
        <v>offset 17</v>
      </c>
    </row>
    <row r="224" customFormat="false" ht="12.8" hidden="false" customHeight="false" outlineLevel="0" collapsed="false">
      <c r="A224" s="0" t="s">
        <v>12</v>
      </c>
      <c r="B224" s="0" t="n">
        <v>70243</v>
      </c>
      <c r="C224" s="0" t="n">
        <v>70263</v>
      </c>
      <c r="D224" s="0" t="s">
        <v>763</v>
      </c>
      <c r="E224" s="0" t="s">
        <v>89</v>
      </c>
      <c r="F224" s="0" t="s">
        <v>15</v>
      </c>
      <c r="G224" s="0" t="s">
        <v>16</v>
      </c>
      <c r="H224" s="0" t="n">
        <v>41</v>
      </c>
      <c r="I224" s="0" t="s">
        <v>767</v>
      </c>
      <c r="J224" s="0" t="s">
        <v>768</v>
      </c>
      <c r="K224" s="0" t="s">
        <v>769</v>
      </c>
      <c r="L224" s="0" t="str">
        <f aca="false">HYPERLINK("https://www.ncbi.nlm.nih.gov/nuccore/CP000304.1?report=graph&amp;tracks=[key:gene_model_track,Options:GeneOnly]&amp;mk=70220:70239|offset_17|444444,70244:70263|offset_41|00cc00,70267:70286|offset_64|444444,70298:70317|offset_95|444444&amp;v=70019:70517&amp;c=444444", "offset 41")</f>
        <v>offset 41</v>
      </c>
    </row>
    <row r="225" customFormat="false" ht="12.8" hidden="false" customHeight="false" outlineLevel="0" collapsed="false">
      <c r="A225" s="0" t="s">
        <v>12</v>
      </c>
      <c r="B225" s="0" t="n">
        <v>70266</v>
      </c>
      <c r="C225" s="0" t="n">
        <v>70286</v>
      </c>
      <c r="D225" s="0" t="s">
        <v>763</v>
      </c>
      <c r="E225" s="0" t="s">
        <v>89</v>
      </c>
      <c r="F225" s="0" t="s">
        <v>15</v>
      </c>
      <c r="G225" s="0" t="s">
        <v>16</v>
      </c>
      <c r="H225" s="0" t="n">
        <v>64</v>
      </c>
      <c r="I225" s="0" t="s">
        <v>770</v>
      </c>
      <c r="J225" s="0" t="s">
        <v>771</v>
      </c>
      <c r="K225" s="0" t="s">
        <v>772</v>
      </c>
      <c r="L225" s="0" t="str">
        <f aca="false">HYPERLINK("https://www.ncbi.nlm.nih.gov/nuccore/CP000304.1?report=graph&amp;tracks=[key:gene_model_track,Options:GeneOnly]&amp;mk=70220:70239|offset_17|444444,70244:70263|offset_41|444444,70267:70286|offset_64|00cc00,70298:70317|offset_95|444444&amp;v=70019:70517&amp;c=444444", "offset 64")</f>
        <v>offset 64</v>
      </c>
    </row>
    <row r="226" customFormat="false" ht="12.8" hidden="false" customHeight="false" outlineLevel="0" collapsed="false">
      <c r="A226" s="0" t="s">
        <v>12</v>
      </c>
      <c r="B226" s="0" t="n">
        <v>70297</v>
      </c>
      <c r="C226" s="0" t="n">
        <v>70317</v>
      </c>
      <c r="D226" s="0" t="s">
        <v>763</v>
      </c>
      <c r="E226" s="0" t="s">
        <v>89</v>
      </c>
      <c r="F226" s="0" t="s">
        <v>15</v>
      </c>
      <c r="G226" s="0" t="s">
        <v>36</v>
      </c>
      <c r="H226" s="0" t="n">
        <v>95</v>
      </c>
      <c r="I226" s="0" t="s">
        <v>773</v>
      </c>
      <c r="J226" s="0" t="s">
        <v>774</v>
      </c>
      <c r="K226" s="0" t="s">
        <v>775</v>
      </c>
      <c r="L226" s="0" t="str">
        <f aca="false">HYPERLINK("https://www.ncbi.nlm.nih.gov/nuccore/CP000304.1?report=graph&amp;tracks=[key:gene_model_track,Options:GeneOnly]&amp;mk=70220:70239|offset_17|444444,70244:70263|offset_41|444444,70267:70286|offset_64|444444,70298:70317|offset_95|00cc00&amp;v=70019:70517&amp;c=444444", "offset 95")</f>
        <v>offset 95</v>
      </c>
    </row>
    <row r="227" customFormat="false" ht="12.8" hidden="false" customHeight="false" outlineLevel="0" collapsed="false">
      <c r="A227" s="0" t="s">
        <v>12</v>
      </c>
      <c r="B227" s="0" t="n">
        <v>71418</v>
      </c>
      <c r="C227" s="0" t="n">
        <v>71438</v>
      </c>
      <c r="D227" s="0" t="s">
        <v>776</v>
      </c>
      <c r="E227" s="0" t="s">
        <v>89</v>
      </c>
      <c r="F227" s="0" t="s">
        <v>90</v>
      </c>
      <c r="G227" s="0" t="s">
        <v>16</v>
      </c>
      <c r="H227" s="0" t="n">
        <v>0</v>
      </c>
      <c r="I227" s="0" t="s">
        <v>777</v>
      </c>
      <c r="J227" s="0" t="s">
        <v>778</v>
      </c>
      <c r="K227" s="0" t="s">
        <v>779</v>
      </c>
      <c r="L227" s="0" t="str">
        <f aca="false">HYPERLINK("https://www.ncbi.nlm.nih.gov/nuccore/CP000304.1?report=graph&amp;tracks=[key:gene_model_track,Options:GeneOnly]&amp;mk=71419:71438|offset_0|00cc00,71399:71418|offset_20|444444,71345:71364|offset_74|444444,71313:71332|offset_106|444444&amp;v=71218:71532&amp;c=444444", "offset 0")</f>
        <v>offset 0</v>
      </c>
    </row>
    <row r="228" customFormat="false" ht="12.8" hidden="false" customHeight="false" outlineLevel="0" collapsed="false">
      <c r="A228" s="0" t="s">
        <v>12</v>
      </c>
      <c r="B228" s="0" t="n">
        <v>71398</v>
      </c>
      <c r="C228" s="0" t="n">
        <v>71418</v>
      </c>
      <c r="D228" s="0" t="s">
        <v>776</v>
      </c>
      <c r="E228" s="0" t="s">
        <v>89</v>
      </c>
      <c r="F228" s="0" t="s">
        <v>90</v>
      </c>
      <c r="G228" s="0" t="s">
        <v>26</v>
      </c>
      <c r="H228" s="0" t="n">
        <v>20</v>
      </c>
      <c r="I228" s="0" t="s">
        <v>780</v>
      </c>
      <c r="J228" s="0" t="s">
        <v>781</v>
      </c>
      <c r="K228" s="0" t="s">
        <v>782</v>
      </c>
      <c r="L228" s="0" t="str">
        <f aca="false">HYPERLINK("https://www.ncbi.nlm.nih.gov/nuccore/CP000304.1?report=graph&amp;tracks=[key:gene_model_track,Options:GeneOnly]&amp;mk=71419:71438|offset_0|444444,71399:71418|offset_20|00cc00,71345:71364|offset_74|444444,71313:71332|offset_106|444444&amp;v=71218:71532&amp;c=444444", "offset 20")</f>
        <v>offset 20</v>
      </c>
    </row>
    <row r="229" customFormat="false" ht="12.8" hidden="false" customHeight="false" outlineLevel="0" collapsed="false">
      <c r="A229" s="0" t="s">
        <v>12</v>
      </c>
      <c r="B229" s="0" t="n">
        <v>71344</v>
      </c>
      <c r="C229" s="0" t="n">
        <v>71364</v>
      </c>
      <c r="D229" s="0" t="s">
        <v>776</v>
      </c>
      <c r="E229" s="0" t="s">
        <v>89</v>
      </c>
      <c r="F229" s="0" t="s">
        <v>90</v>
      </c>
      <c r="G229" s="0" t="s">
        <v>26</v>
      </c>
      <c r="H229" s="0" t="n">
        <v>74</v>
      </c>
      <c r="I229" s="0" t="s">
        <v>783</v>
      </c>
      <c r="J229" s="0" t="s">
        <v>784</v>
      </c>
      <c r="K229" s="0" t="s">
        <v>785</v>
      </c>
      <c r="L229" s="0" t="str">
        <f aca="false">HYPERLINK("https://www.ncbi.nlm.nih.gov/nuccore/CP000304.1?report=graph&amp;tracks=[key:gene_model_track,Options:GeneOnly]&amp;mk=71419:71438|offset_0|444444,71399:71418|offset_20|444444,71345:71364|offset_74|00cc00,71313:71332|offset_106|444444&amp;v=71218:71532&amp;c=444444", "offset 74")</f>
        <v>offset 74</v>
      </c>
    </row>
    <row r="230" customFormat="false" ht="12.8" hidden="false" customHeight="false" outlineLevel="0" collapsed="false">
      <c r="A230" s="0" t="s">
        <v>12</v>
      </c>
      <c r="B230" s="0" t="n">
        <v>71312</v>
      </c>
      <c r="C230" s="0" t="n">
        <v>71332</v>
      </c>
      <c r="D230" s="0" t="s">
        <v>776</v>
      </c>
      <c r="E230" s="0" t="s">
        <v>89</v>
      </c>
      <c r="F230" s="0" t="s">
        <v>90</v>
      </c>
      <c r="G230" s="0" t="s">
        <v>16</v>
      </c>
      <c r="H230" s="0" t="n">
        <v>106</v>
      </c>
      <c r="I230" s="0" t="s">
        <v>786</v>
      </c>
      <c r="J230" s="0" t="s">
        <v>787</v>
      </c>
      <c r="K230" s="0" t="s">
        <v>788</v>
      </c>
      <c r="L230" s="0" t="str">
        <f aca="false">HYPERLINK("https://www.ncbi.nlm.nih.gov/nuccore/CP000304.1?report=graph&amp;tracks=[key:gene_model_track,Options:GeneOnly]&amp;mk=71419:71438|offset_0|444444,71399:71418|offset_20|444444,71345:71364|offset_74|444444,71313:71332|offset_106|00cc00&amp;v=71218:71532&amp;c=444444", "offset 106")</f>
        <v>offset 106</v>
      </c>
    </row>
    <row r="231" customFormat="false" ht="12.8" hidden="false" customHeight="false" outlineLevel="0" collapsed="false">
      <c r="A231" s="0" t="s">
        <v>12</v>
      </c>
      <c r="B231" s="0" t="n">
        <v>72570</v>
      </c>
      <c r="C231" s="0" t="n">
        <v>72590</v>
      </c>
      <c r="D231" s="0" t="s">
        <v>789</v>
      </c>
      <c r="E231" s="0" t="s">
        <v>89</v>
      </c>
      <c r="F231" s="0" t="s">
        <v>90</v>
      </c>
      <c r="G231" s="0" t="s">
        <v>32</v>
      </c>
      <c r="H231" s="0" t="n">
        <v>1</v>
      </c>
      <c r="I231" s="0" t="s">
        <v>790</v>
      </c>
      <c r="J231" s="0" t="s">
        <v>791</v>
      </c>
      <c r="K231" s="0" t="s">
        <v>792</v>
      </c>
      <c r="L231" s="0" t="str">
        <f aca="false">HYPERLINK("https://www.ncbi.nlm.nih.gov/nuccore/CP000304.1?report=graph&amp;tracks=[key:gene_model_track,Options:GeneOnly]&amp;mk=72571:72590|offset_1|00cc00,72550:72569|offset_22|444444,72524:72543|offset_48|444444,72501:72520|offset_71|444444&amp;v=72370:72720&amp;c=444444", "offset 1")</f>
        <v>offset 1</v>
      </c>
    </row>
    <row r="232" customFormat="false" ht="12.8" hidden="false" customHeight="false" outlineLevel="0" collapsed="false">
      <c r="A232" s="0" t="s">
        <v>12</v>
      </c>
      <c r="B232" s="0" t="n">
        <v>72549</v>
      </c>
      <c r="C232" s="0" t="n">
        <v>72569</v>
      </c>
      <c r="D232" s="0" t="s">
        <v>789</v>
      </c>
      <c r="E232" s="0" t="s">
        <v>89</v>
      </c>
      <c r="F232" s="0" t="s">
        <v>90</v>
      </c>
      <c r="G232" s="0" t="s">
        <v>36</v>
      </c>
      <c r="H232" s="0" t="n">
        <v>22</v>
      </c>
      <c r="I232" s="0" t="s">
        <v>793</v>
      </c>
      <c r="J232" s="0" t="s">
        <v>794</v>
      </c>
      <c r="K232" s="0" t="s">
        <v>795</v>
      </c>
      <c r="L232" s="0" t="str">
        <f aca="false">HYPERLINK("https://www.ncbi.nlm.nih.gov/nuccore/CP000304.1?report=graph&amp;tracks=[key:gene_model_track,Options:GeneOnly]&amp;mk=72571:72590|offset_1|444444,72550:72569|offset_22|00cc00,72524:72543|offset_48|444444,72501:72520|offset_71|444444&amp;v=72370:72720&amp;c=444444", "offset 22")</f>
        <v>offset 22</v>
      </c>
    </row>
    <row r="233" customFormat="false" ht="12.8" hidden="false" customHeight="false" outlineLevel="0" collapsed="false">
      <c r="A233" s="0" t="s">
        <v>12</v>
      </c>
      <c r="B233" s="0" t="n">
        <v>72523</v>
      </c>
      <c r="C233" s="0" t="n">
        <v>72543</v>
      </c>
      <c r="D233" s="0" t="s">
        <v>789</v>
      </c>
      <c r="E233" s="0" t="s">
        <v>89</v>
      </c>
      <c r="F233" s="0" t="s">
        <v>90</v>
      </c>
      <c r="G233" s="0" t="s">
        <v>36</v>
      </c>
      <c r="H233" s="0" t="n">
        <v>48</v>
      </c>
      <c r="I233" s="0" t="s">
        <v>796</v>
      </c>
      <c r="J233" s="0" t="s">
        <v>797</v>
      </c>
      <c r="K233" s="0" t="s">
        <v>798</v>
      </c>
      <c r="L233" s="0" t="str">
        <f aca="false">HYPERLINK("https://www.ncbi.nlm.nih.gov/nuccore/CP000304.1?report=graph&amp;tracks=[key:gene_model_track,Options:GeneOnly]&amp;mk=72571:72590|offset_1|444444,72550:72569|offset_22|444444,72524:72543|offset_48|00cc00,72501:72520|offset_71|444444&amp;v=72370:72720&amp;c=444444", "offset 48")</f>
        <v>offset 48</v>
      </c>
    </row>
    <row r="234" customFormat="false" ht="12.8" hidden="false" customHeight="false" outlineLevel="0" collapsed="false">
      <c r="A234" s="0" t="s">
        <v>12</v>
      </c>
      <c r="B234" s="0" t="n">
        <v>72500</v>
      </c>
      <c r="C234" s="0" t="n">
        <v>72520</v>
      </c>
      <c r="D234" s="0" t="s">
        <v>789</v>
      </c>
      <c r="E234" s="0" t="s">
        <v>89</v>
      </c>
      <c r="F234" s="0" t="s">
        <v>90</v>
      </c>
      <c r="G234" s="0" t="s">
        <v>32</v>
      </c>
      <c r="H234" s="0" t="n">
        <v>71</v>
      </c>
      <c r="I234" s="0" t="s">
        <v>799</v>
      </c>
      <c r="J234" s="0" t="s">
        <v>800</v>
      </c>
      <c r="K234" s="0" t="s">
        <v>801</v>
      </c>
      <c r="L234" s="0" t="str">
        <f aca="false">HYPERLINK("https://www.ncbi.nlm.nih.gov/nuccore/CP000304.1?report=graph&amp;tracks=[key:gene_model_track,Options:GeneOnly]&amp;mk=72571:72590|offset_1|444444,72550:72569|offset_22|444444,72524:72543|offset_48|444444,72501:72520|offset_71|00cc00&amp;v=72370:72720&amp;c=444444", "offset 71")</f>
        <v>offset 71</v>
      </c>
    </row>
    <row r="235" customFormat="false" ht="12.8" hidden="false" customHeight="false" outlineLevel="0" collapsed="false">
      <c r="A235" s="0" t="s">
        <v>12</v>
      </c>
      <c r="B235" s="0" t="n">
        <v>73552</v>
      </c>
      <c r="C235" s="0" t="n">
        <v>73572</v>
      </c>
      <c r="D235" s="0" t="s">
        <v>802</v>
      </c>
      <c r="E235" s="0" t="s">
        <v>89</v>
      </c>
      <c r="F235" s="0" t="s">
        <v>90</v>
      </c>
      <c r="G235" s="0" t="s">
        <v>32</v>
      </c>
      <c r="H235" s="0" t="n">
        <v>1</v>
      </c>
      <c r="I235" s="0" t="s">
        <v>803</v>
      </c>
      <c r="J235" s="0" t="s">
        <v>804</v>
      </c>
      <c r="K235" s="0" t="s">
        <v>805</v>
      </c>
      <c r="L235" s="0" t="str">
        <f aca="false">HYPERLINK("https://www.ncbi.nlm.nih.gov/nuccore/CP000304.1?report=graph&amp;tracks=[key:gene_model_track,Options:GeneOnly]&amp;mk=73553:73572|offset_1|00cc00,73529:73548|offset_25|444444,73498:73517|offset_56|444444,73478:73497|offset_76|444444&amp;v=73352:73697&amp;c=444444", "offset 1")</f>
        <v>offset 1</v>
      </c>
    </row>
    <row r="236" customFormat="false" ht="12.8" hidden="false" customHeight="false" outlineLevel="0" collapsed="false">
      <c r="A236" s="0" t="s">
        <v>12</v>
      </c>
      <c r="B236" s="0" t="n">
        <v>73528</v>
      </c>
      <c r="C236" s="0" t="n">
        <v>73548</v>
      </c>
      <c r="D236" s="0" t="s">
        <v>802</v>
      </c>
      <c r="E236" s="0" t="s">
        <v>89</v>
      </c>
      <c r="F236" s="0" t="s">
        <v>90</v>
      </c>
      <c r="G236" s="0" t="s">
        <v>16</v>
      </c>
      <c r="H236" s="0" t="n">
        <v>25</v>
      </c>
      <c r="I236" s="0" t="s">
        <v>806</v>
      </c>
      <c r="J236" s="0" t="s">
        <v>807</v>
      </c>
      <c r="K236" s="0" t="s">
        <v>808</v>
      </c>
      <c r="L236" s="0" t="str">
        <f aca="false">HYPERLINK("https://www.ncbi.nlm.nih.gov/nuccore/CP000304.1?report=graph&amp;tracks=[key:gene_model_track,Options:GeneOnly]&amp;mk=73553:73572|offset_1|444444,73529:73548|offset_25|00cc00,73498:73517|offset_56|444444,73478:73497|offset_76|444444&amp;v=73352:73697&amp;c=444444", "offset 25")</f>
        <v>offset 25</v>
      </c>
    </row>
    <row r="237" customFormat="false" ht="12.8" hidden="false" customHeight="false" outlineLevel="0" collapsed="false">
      <c r="A237" s="0" t="s">
        <v>12</v>
      </c>
      <c r="B237" s="0" t="n">
        <v>73497</v>
      </c>
      <c r="C237" s="0" t="n">
        <v>73517</v>
      </c>
      <c r="D237" s="0" t="s">
        <v>802</v>
      </c>
      <c r="E237" s="0" t="s">
        <v>89</v>
      </c>
      <c r="F237" s="0" t="s">
        <v>90</v>
      </c>
      <c r="G237" s="0" t="s">
        <v>32</v>
      </c>
      <c r="H237" s="0" t="n">
        <v>56</v>
      </c>
      <c r="I237" s="0" t="s">
        <v>809</v>
      </c>
      <c r="J237" s="0" t="s">
        <v>810</v>
      </c>
      <c r="K237" s="0" t="s">
        <v>811</v>
      </c>
      <c r="L237" s="0" t="str">
        <f aca="false">HYPERLINK("https://www.ncbi.nlm.nih.gov/nuccore/CP000304.1?report=graph&amp;tracks=[key:gene_model_track,Options:GeneOnly]&amp;mk=73553:73572|offset_1|444444,73529:73548|offset_25|444444,73498:73517|offset_56|00cc00,73478:73497|offset_76|444444&amp;v=73352:73697&amp;c=444444", "offset 56")</f>
        <v>offset 56</v>
      </c>
    </row>
    <row r="238" customFormat="false" ht="12.8" hidden="false" customHeight="false" outlineLevel="0" collapsed="false">
      <c r="A238" s="0" t="s">
        <v>12</v>
      </c>
      <c r="B238" s="0" t="n">
        <v>73477</v>
      </c>
      <c r="C238" s="0" t="n">
        <v>73497</v>
      </c>
      <c r="D238" s="0" t="s">
        <v>802</v>
      </c>
      <c r="E238" s="0" t="s">
        <v>89</v>
      </c>
      <c r="F238" s="0" t="s">
        <v>90</v>
      </c>
      <c r="G238" s="0" t="s">
        <v>16</v>
      </c>
      <c r="H238" s="0" t="n">
        <v>76</v>
      </c>
      <c r="I238" s="0" t="s">
        <v>812</v>
      </c>
      <c r="J238" s="0" t="s">
        <v>813</v>
      </c>
      <c r="K238" s="0" t="s">
        <v>814</v>
      </c>
      <c r="L238" s="0" t="str">
        <f aca="false">HYPERLINK("https://www.ncbi.nlm.nih.gov/nuccore/CP000304.1?report=graph&amp;tracks=[key:gene_model_track,Options:GeneOnly]&amp;mk=73553:73572|offset_1|444444,73529:73548|offset_25|444444,73498:73517|offset_56|444444,73478:73497|offset_76|00cc00&amp;v=73352:73697&amp;c=444444", "offset 76")</f>
        <v>offset 76</v>
      </c>
    </row>
    <row r="239" customFormat="false" ht="12.8" hidden="false" customHeight="false" outlineLevel="0" collapsed="false">
      <c r="A239" s="0" t="s">
        <v>12</v>
      </c>
      <c r="B239" s="0" t="n">
        <v>74328</v>
      </c>
      <c r="C239" s="0" t="n">
        <v>74348</v>
      </c>
      <c r="D239" s="0" t="s">
        <v>815</v>
      </c>
      <c r="E239" s="0" t="s">
        <v>89</v>
      </c>
      <c r="F239" s="0" t="s">
        <v>90</v>
      </c>
      <c r="G239" s="0" t="s">
        <v>16</v>
      </c>
      <c r="H239" s="0" t="n">
        <v>0</v>
      </c>
      <c r="I239" s="0" t="s">
        <v>816</v>
      </c>
      <c r="J239" s="0" t="s">
        <v>817</v>
      </c>
      <c r="K239" s="0" t="s">
        <v>818</v>
      </c>
      <c r="L239" s="0" t="str">
        <f aca="false">HYPERLINK("https://www.ncbi.nlm.nih.gov/nuccore/CP000304.1?report=graph&amp;tracks=[key:gene_model_track,Options:GeneOnly]&amp;mk=74329:74348|offset_0|00cc00,74304:74323|offset_25|444444,74283:74302|offset_46|444444,74255:74274|offset_74|444444&amp;v=74128:74474&amp;c=444444", "offset 0")</f>
        <v>offset 0</v>
      </c>
    </row>
    <row r="240" customFormat="false" ht="12.8" hidden="false" customHeight="false" outlineLevel="0" collapsed="false">
      <c r="A240" s="0" t="s">
        <v>12</v>
      </c>
      <c r="B240" s="0" t="n">
        <v>74303</v>
      </c>
      <c r="C240" s="0" t="n">
        <v>74323</v>
      </c>
      <c r="D240" s="0" t="s">
        <v>815</v>
      </c>
      <c r="E240" s="0" t="s">
        <v>89</v>
      </c>
      <c r="F240" s="0" t="s">
        <v>90</v>
      </c>
      <c r="G240" s="0" t="s">
        <v>16</v>
      </c>
      <c r="H240" s="0" t="n">
        <v>25</v>
      </c>
      <c r="I240" s="0" t="s">
        <v>819</v>
      </c>
      <c r="J240" s="0" t="s">
        <v>820</v>
      </c>
      <c r="K240" s="0" t="s">
        <v>821</v>
      </c>
      <c r="L240" s="0" t="str">
        <f aca="false">HYPERLINK("https://www.ncbi.nlm.nih.gov/nuccore/CP000304.1?report=graph&amp;tracks=[key:gene_model_track,Options:GeneOnly]&amp;mk=74329:74348|offset_0|444444,74304:74323|offset_25|00cc00,74283:74302|offset_46|444444,74255:74274|offset_74|444444&amp;v=74128:74474&amp;c=444444", "offset 25")</f>
        <v>offset 25</v>
      </c>
    </row>
    <row r="241" customFormat="false" ht="12.8" hidden="false" customHeight="false" outlineLevel="0" collapsed="false">
      <c r="A241" s="0" t="s">
        <v>12</v>
      </c>
      <c r="B241" s="0" t="n">
        <v>74282</v>
      </c>
      <c r="C241" s="0" t="n">
        <v>74302</v>
      </c>
      <c r="D241" s="0" t="s">
        <v>815</v>
      </c>
      <c r="E241" s="0" t="s">
        <v>89</v>
      </c>
      <c r="F241" s="0" t="s">
        <v>90</v>
      </c>
      <c r="G241" s="0" t="s">
        <v>32</v>
      </c>
      <c r="H241" s="0" t="n">
        <v>46</v>
      </c>
      <c r="I241" s="0" t="s">
        <v>822</v>
      </c>
      <c r="J241" s="0" t="s">
        <v>823</v>
      </c>
      <c r="K241" s="0" t="s">
        <v>824</v>
      </c>
      <c r="L241" s="0" t="str">
        <f aca="false">HYPERLINK("https://www.ncbi.nlm.nih.gov/nuccore/CP000304.1?report=graph&amp;tracks=[key:gene_model_track,Options:GeneOnly]&amp;mk=74329:74348|offset_0|444444,74304:74323|offset_25|444444,74283:74302|offset_46|00cc00,74255:74274|offset_74|444444&amp;v=74128:74474&amp;c=444444", "offset 46")</f>
        <v>offset 46</v>
      </c>
    </row>
    <row r="242" customFormat="false" ht="12.8" hidden="false" customHeight="false" outlineLevel="0" collapsed="false">
      <c r="A242" s="0" t="s">
        <v>12</v>
      </c>
      <c r="B242" s="0" t="n">
        <v>74254</v>
      </c>
      <c r="C242" s="0" t="n">
        <v>74274</v>
      </c>
      <c r="D242" s="0" t="s">
        <v>815</v>
      </c>
      <c r="E242" s="0" t="s">
        <v>89</v>
      </c>
      <c r="F242" s="0" t="s">
        <v>90</v>
      </c>
      <c r="G242" s="0" t="s">
        <v>26</v>
      </c>
      <c r="H242" s="0" t="n">
        <v>74</v>
      </c>
      <c r="I242" s="0" t="s">
        <v>825</v>
      </c>
      <c r="J242" s="0" t="s">
        <v>826</v>
      </c>
      <c r="K242" s="0" t="s">
        <v>827</v>
      </c>
      <c r="L242" s="0" t="str">
        <f aca="false">HYPERLINK("https://www.ncbi.nlm.nih.gov/nuccore/CP000304.1?report=graph&amp;tracks=[key:gene_model_track,Options:GeneOnly]&amp;mk=74329:74348|offset_0|444444,74304:74323|offset_25|444444,74283:74302|offset_46|444444,74255:74274|offset_74|00cc00&amp;v=74128:74474&amp;c=444444", "offset 74")</f>
        <v>offset 74</v>
      </c>
    </row>
    <row r="243" customFormat="false" ht="12.8" hidden="false" customHeight="false" outlineLevel="0" collapsed="false">
      <c r="A243" s="0" t="s">
        <v>12</v>
      </c>
      <c r="B243" s="0" t="n">
        <v>75769</v>
      </c>
      <c r="C243" s="0" t="n">
        <v>75789</v>
      </c>
      <c r="D243" s="0" t="s">
        <v>828</v>
      </c>
      <c r="E243" s="0" t="s">
        <v>89</v>
      </c>
      <c r="F243" s="0" t="s">
        <v>90</v>
      </c>
      <c r="G243" s="0" t="s">
        <v>36</v>
      </c>
      <c r="H243" s="0" t="n">
        <v>7</v>
      </c>
      <c r="I243" s="0" t="s">
        <v>829</v>
      </c>
      <c r="J243" s="0" t="s">
        <v>830</v>
      </c>
      <c r="K243" s="0" t="s">
        <v>831</v>
      </c>
      <c r="L243" s="0" t="str">
        <f aca="false">HYPERLINK("https://www.ncbi.nlm.nih.gov/nuccore/CP000304.1?report=graph&amp;tracks=[key:gene_model_track,Options:GeneOnly]&amp;mk=75770:75789|offset_7|00cc00,75717:75736|offset_60|444444,75644:75663|offset_133|444444,75610:75629|offset_167|444444&amp;v=75569:75829&amp;c=444444", "offset 7")</f>
        <v>offset 7</v>
      </c>
    </row>
    <row r="244" customFormat="false" ht="12.8" hidden="false" customHeight="false" outlineLevel="0" collapsed="false">
      <c r="A244" s="0" t="s">
        <v>12</v>
      </c>
      <c r="B244" s="0" t="n">
        <v>75716</v>
      </c>
      <c r="C244" s="0" t="n">
        <v>75736</v>
      </c>
      <c r="D244" s="0" t="s">
        <v>828</v>
      </c>
      <c r="E244" s="0" t="s">
        <v>89</v>
      </c>
      <c r="F244" s="0" t="s">
        <v>90</v>
      </c>
      <c r="G244" s="0" t="s">
        <v>16</v>
      </c>
      <c r="H244" s="0" t="n">
        <v>60</v>
      </c>
      <c r="I244" s="0" t="s">
        <v>832</v>
      </c>
      <c r="J244" s="0" t="s">
        <v>833</v>
      </c>
      <c r="K244" s="0" t="s">
        <v>834</v>
      </c>
      <c r="L244" s="0" t="str">
        <f aca="false">HYPERLINK("https://www.ncbi.nlm.nih.gov/nuccore/CP000304.1?report=graph&amp;tracks=[key:gene_model_track,Options:GeneOnly]&amp;mk=75770:75789|offset_7|444444,75717:75736|offset_60|00cc00,75644:75663|offset_133|444444,75610:75629|offset_167|444444&amp;v=75569:75829&amp;c=444444", "offset 60")</f>
        <v>offset 60</v>
      </c>
    </row>
    <row r="245" customFormat="false" ht="12.8" hidden="false" customHeight="false" outlineLevel="0" collapsed="false">
      <c r="A245" s="0" t="s">
        <v>12</v>
      </c>
      <c r="B245" s="0" t="n">
        <v>75643</v>
      </c>
      <c r="C245" s="0" t="n">
        <v>75663</v>
      </c>
      <c r="D245" s="0" t="s">
        <v>828</v>
      </c>
      <c r="E245" s="0" t="s">
        <v>89</v>
      </c>
      <c r="F245" s="0" t="s">
        <v>90</v>
      </c>
      <c r="G245" s="0" t="s">
        <v>32</v>
      </c>
      <c r="H245" s="0" t="n">
        <v>133</v>
      </c>
      <c r="I245" s="0" t="s">
        <v>835</v>
      </c>
      <c r="J245" s="0" t="s">
        <v>836</v>
      </c>
      <c r="K245" s="0" t="s">
        <v>837</v>
      </c>
      <c r="L245" s="0" t="str">
        <f aca="false">HYPERLINK("https://www.ncbi.nlm.nih.gov/nuccore/CP000304.1?report=graph&amp;tracks=[key:gene_model_track,Options:GeneOnly]&amp;mk=75770:75789|offset_7|444444,75717:75736|offset_60|444444,75644:75663|offset_133|00cc00,75610:75629|offset_167|444444&amp;v=75569:75829&amp;c=444444", "offset 133")</f>
        <v>offset 133</v>
      </c>
    </row>
    <row r="246" customFormat="false" ht="12.8" hidden="false" customHeight="false" outlineLevel="0" collapsed="false">
      <c r="A246" s="0" t="s">
        <v>12</v>
      </c>
      <c r="B246" s="0" t="n">
        <v>75609</v>
      </c>
      <c r="C246" s="0" t="n">
        <v>75629</v>
      </c>
      <c r="D246" s="0" t="s">
        <v>828</v>
      </c>
      <c r="E246" s="0" t="s">
        <v>89</v>
      </c>
      <c r="F246" s="0" t="s">
        <v>90</v>
      </c>
      <c r="G246" s="0" t="s">
        <v>26</v>
      </c>
      <c r="H246" s="0" t="n">
        <v>167</v>
      </c>
      <c r="I246" s="0" t="s">
        <v>838</v>
      </c>
      <c r="J246" s="0" t="s">
        <v>839</v>
      </c>
      <c r="K246" s="0" t="s">
        <v>840</v>
      </c>
      <c r="L246" s="0" t="str">
        <f aca="false">HYPERLINK("https://www.ncbi.nlm.nih.gov/nuccore/CP000304.1?report=graph&amp;tracks=[key:gene_model_track,Options:GeneOnly]&amp;mk=75770:75789|offset_7|444444,75717:75736|offset_60|444444,75644:75663|offset_133|444444,75610:75629|offset_167|00cc00&amp;v=75569:75829&amp;c=444444", "offset 167")</f>
        <v>offset 167</v>
      </c>
    </row>
    <row r="247" customFormat="false" ht="12.8" hidden="false" customHeight="false" outlineLevel="0" collapsed="false">
      <c r="A247" s="0" t="s">
        <v>12</v>
      </c>
      <c r="B247" s="0" t="n">
        <v>76036</v>
      </c>
      <c r="C247" s="0" t="n">
        <v>76056</v>
      </c>
      <c r="D247" s="0" t="s">
        <v>841</v>
      </c>
      <c r="E247" s="0" t="s">
        <v>89</v>
      </c>
      <c r="F247" s="0" t="s">
        <v>15</v>
      </c>
      <c r="G247" s="0" t="s">
        <v>36</v>
      </c>
      <c r="H247" s="0" t="n">
        <v>0</v>
      </c>
      <c r="I247" s="0" t="s">
        <v>842</v>
      </c>
      <c r="J247" s="0" t="s">
        <v>843</v>
      </c>
      <c r="K247" s="0" t="s">
        <v>844</v>
      </c>
      <c r="L247" s="0" t="str">
        <f aca="false">HYPERLINK("https://www.ncbi.nlm.nih.gov/nuccore/CP000304.1?report=graph&amp;tracks=[key:gene_model_track,Options:GeneOnly]&amp;mk=76037:76056|offset_0|00cc00,76071:76090|offset_34|444444,76093:76112|offset_56|444444,76123:76142|offset_86|444444&amp;v=75836:76342&amp;c=444444", "offset 0")</f>
        <v>offset 0</v>
      </c>
    </row>
    <row r="248" customFormat="false" ht="12.8" hidden="false" customHeight="false" outlineLevel="0" collapsed="false">
      <c r="A248" s="0" t="s">
        <v>12</v>
      </c>
      <c r="B248" s="0" t="n">
        <v>76070</v>
      </c>
      <c r="C248" s="0" t="n">
        <v>76090</v>
      </c>
      <c r="D248" s="0" t="s">
        <v>841</v>
      </c>
      <c r="E248" s="0" t="s">
        <v>89</v>
      </c>
      <c r="F248" s="0" t="s">
        <v>15</v>
      </c>
      <c r="G248" s="0" t="s">
        <v>26</v>
      </c>
      <c r="H248" s="0" t="n">
        <v>34</v>
      </c>
      <c r="I248" s="0" t="s">
        <v>845</v>
      </c>
      <c r="J248" s="0" t="s">
        <v>846</v>
      </c>
      <c r="K248" s="0" t="s">
        <v>847</v>
      </c>
      <c r="L248" s="0" t="str">
        <f aca="false">HYPERLINK("https://www.ncbi.nlm.nih.gov/nuccore/CP000304.1?report=graph&amp;tracks=[key:gene_model_track,Options:GeneOnly]&amp;mk=76037:76056|offset_0|444444,76071:76090|offset_34|00cc00,76093:76112|offset_56|444444,76123:76142|offset_86|444444&amp;v=75836:76342&amp;c=444444", "offset 34")</f>
        <v>offset 34</v>
      </c>
    </row>
    <row r="249" customFormat="false" ht="12.8" hidden="false" customHeight="false" outlineLevel="0" collapsed="false">
      <c r="A249" s="0" t="s">
        <v>12</v>
      </c>
      <c r="B249" s="0" t="n">
        <v>76092</v>
      </c>
      <c r="C249" s="0" t="n">
        <v>76112</v>
      </c>
      <c r="D249" s="0" t="s">
        <v>841</v>
      </c>
      <c r="E249" s="0" t="s">
        <v>89</v>
      </c>
      <c r="F249" s="0" t="s">
        <v>15</v>
      </c>
      <c r="G249" s="0" t="s">
        <v>32</v>
      </c>
      <c r="H249" s="0" t="n">
        <v>56</v>
      </c>
      <c r="I249" s="0" t="s">
        <v>848</v>
      </c>
      <c r="J249" s="0" t="s">
        <v>849</v>
      </c>
      <c r="K249" s="0" t="s">
        <v>850</v>
      </c>
      <c r="L249" s="0" t="str">
        <f aca="false">HYPERLINK("https://www.ncbi.nlm.nih.gov/nuccore/CP000304.1?report=graph&amp;tracks=[key:gene_model_track,Options:GeneOnly]&amp;mk=76037:76056|offset_0|444444,76071:76090|offset_34|444444,76093:76112|offset_56|00cc00,76123:76142|offset_86|444444&amp;v=75836:76342&amp;c=444444", "offset 56")</f>
        <v>offset 56</v>
      </c>
    </row>
    <row r="250" customFormat="false" ht="12.8" hidden="false" customHeight="false" outlineLevel="0" collapsed="false">
      <c r="A250" s="0" t="s">
        <v>12</v>
      </c>
      <c r="B250" s="0" t="n">
        <v>76122</v>
      </c>
      <c r="C250" s="0" t="n">
        <v>76142</v>
      </c>
      <c r="D250" s="0" t="s">
        <v>841</v>
      </c>
      <c r="E250" s="0" t="s">
        <v>89</v>
      </c>
      <c r="F250" s="0" t="s">
        <v>15</v>
      </c>
      <c r="G250" s="0" t="s">
        <v>26</v>
      </c>
      <c r="H250" s="0" t="n">
        <v>86</v>
      </c>
      <c r="I250" s="0" t="s">
        <v>851</v>
      </c>
      <c r="J250" s="0" t="s">
        <v>852</v>
      </c>
      <c r="K250" s="0" t="s">
        <v>853</v>
      </c>
      <c r="L250" s="0" t="str">
        <f aca="false">HYPERLINK("https://www.ncbi.nlm.nih.gov/nuccore/CP000304.1?report=graph&amp;tracks=[key:gene_model_track,Options:GeneOnly]&amp;mk=76037:76056|offset_0|444444,76071:76090|offset_34|444444,76093:76112|offset_56|444444,76123:76142|offset_86|00cc00&amp;v=75836:76342&amp;c=444444", "offset 86")</f>
        <v>offset 86</v>
      </c>
    </row>
    <row r="251" customFormat="false" ht="12.8" hidden="false" customHeight="false" outlineLevel="0" collapsed="false">
      <c r="A251" s="0" t="s">
        <v>12</v>
      </c>
      <c r="B251" s="0" t="n">
        <v>76836</v>
      </c>
      <c r="C251" s="0" t="n">
        <v>76856</v>
      </c>
      <c r="D251" s="0" t="s">
        <v>854</v>
      </c>
      <c r="E251" s="0" t="s">
        <v>89</v>
      </c>
      <c r="F251" s="0" t="s">
        <v>15</v>
      </c>
      <c r="G251" s="0" t="s">
        <v>32</v>
      </c>
      <c r="H251" s="0" t="n">
        <v>11</v>
      </c>
      <c r="I251" s="0" t="s">
        <v>855</v>
      </c>
      <c r="J251" s="0" t="s">
        <v>856</v>
      </c>
      <c r="K251" s="0" t="s">
        <v>857</v>
      </c>
      <c r="L251" s="0" t="str">
        <f aca="false">HYPERLINK("https://www.ncbi.nlm.nih.gov/nuccore/CP000304.1?report=graph&amp;tracks=[key:gene_model_track,Options:GeneOnly]&amp;mk=76837:76856|offset_11|00cc00,76881:76900|offset_55|444444,76906:76925|offset_80|444444,76937:76956|offset_111|444444&amp;v=76636:77156&amp;c=444444", "offset 11")</f>
        <v>offset 11</v>
      </c>
    </row>
    <row r="252" customFormat="false" ht="12.8" hidden="false" customHeight="false" outlineLevel="0" collapsed="false">
      <c r="A252" s="0" t="s">
        <v>12</v>
      </c>
      <c r="B252" s="0" t="n">
        <v>76880</v>
      </c>
      <c r="C252" s="0" t="n">
        <v>76900</v>
      </c>
      <c r="D252" s="0" t="s">
        <v>854</v>
      </c>
      <c r="E252" s="0" t="s">
        <v>89</v>
      </c>
      <c r="F252" s="0" t="s">
        <v>15</v>
      </c>
      <c r="G252" s="0" t="s">
        <v>16</v>
      </c>
      <c r="H252" s="0" t="n">
        <v>55</v>
      </c>
      <c r="I252" s="0" t="s">
        <v>858</v>
      </c>
      <c r="J252" s="0" t="s">
        <v>859</v>
      </c>
      <c r="K252" s="0" t="s">
        <v>860</v>
      </c>
      <c r="L252" s="0" t="str">
        <f aca="false">HYPERLINK("https://www.ncbi.nlm.nih.gov/nuccore/CP000304.1?report=graph&amp;tracks=[key:gene_model_track,Options:GeneOnly]&amp;mk=76837:76856|offset_11|444444,76881:76900|offset_55|00cc00,76906:76925|offset_80|444444,76937:76956|offset_111|444444&amp;v=76636:77156&amp;c=444444", "offset 55")</f>
        <v>offset 55</v>
      </c>
    </row>
    <row r="253" customFormat="false" ht="12.8" hidden="false" customHeight="false" outlineLevel="0" collapsed="false">
      <c r="A253" s="0" t="s">
        <v>12</v>
      </c>
      <c r="B253" s="0" t="n">
        <v>76905</v>
      </c>
      <c r="C253" s="0" t="n">
        <v>76925</v>
      </c>
      <c r="D253" s="0" t="s">
        <v>854</v>
      </c>
      <c r="E253" s="0" t="s">
        <v>89</v>
      </c>
      <c r="F253" s="0" t="s">
        <v>15</v>
      </c>
      <c r="G253" s="0" t="s">
        <v>26</v>
      </c>
      <c r="H253" s="0" t="n">
        <v>80</v>
      </c>
      <c r="I253" s="0" t="s">
        <v>861</v>
      </c>
      <c r="J253" s="0" t="s">
        <v>862</v>
      </c>
      <c r="K253" s="0" t="s">
        <v>863</v>
      </c>
      <c r="L253" s="0" t="str">
        <f aca="false">HYPERLINK("https://www.ncbi.nlm.nih.gov/nuccore/CP000304.1?report=graph&amp;tracks=[key:gene_model_track,Options:GeneOnly]&amp;mk=76837:76856|offset_11|444444,76881:76900|offset_55|444444,76906:76925|offset_80|00cc00,76937:76956|offset_111|444444&amp;v=76636:77156&amp;c=444444", "offset 80")</f>
        <v>offset 80</v>
      </c>
    </row>
    <row r="254" customFormat="false" ht="12.8" hidden="false" customHeight="false" outlineLevel="0" collapsed="false">
      <c r="A254" s="0" t="s">
        <v>12</v>
      </c>
      <c r="B254" s="0" t="n">
        <v>76936</v>
      </c>
      <c r="C254" s="0" t="n">
        <v>76956</v>
      </c>
      <c r="D254" s="0" t="s">
        <v>854</v>
      </c>
      <c r="E254" s="0" t="s">
        <v>89</v>
      </c>
      <c r="F254" s="0" t="s">
        <v>15</v>
      </c>
      <c r="G254" s="0" t="s">
        <v>16</v>
      </c>
      <c r="H254" s="0" t="n">
        <v>111</v>
      </c>
      <c r="I254" s="0" t="s">
        <v>864</v>
      </c>
      <c r="J254" s="0" t="s">
        <v>865</v>
      </c>
      <c r="K254" s="0" t="s">
        <v>866</v>
      </c>
      <c r="L254" s="0" t="str">
        <f aca="false">HYPERLINK("https://www.ncbi.nlm.nih.gov/nuccore/CP000304.1?report=graph&amp;tracks=[key:gene_model_track,Options:GeneOnly]&amp;mk=76837:76856|offset_11|444444,76881:76900|offset_55|444444,76906:76925|offset_80|444444,76937:76956|offset_111|00cc00&amp;v=76636:77156&amp;c=444444", "offset 111")</f>
        <v>offset 111</v>
      </c>
    </row>
    <row r="255" customFormat="false" ht="12.8" hidden="false" customHeight="false" outlineLevel="0" collapsed="false">
      <c r="A255" s="0" t="s">
        <v>12</v>
      </c>
      <c r="B255" s="0" t="n">
        <v>78270</v>
      </c>
      <c r="C255" s="0" t="n">
        <v>78290</v>
      </c>
      <c r="D255" s="0" t="s">
        <v>867</v>
      </c>
      <c r="E255" s="0" t="s">
        <v>89</v>
      </c>
      <c r="F255" s="0" t="s">
        <v>15</v>
      </c>
      <c r="G255" s="0" t="s">
        <v>36</v>
      </c>
      <c r="H255" s="0" t="n">
        <v>19</v>
      </c>
      <c r="I255" s="0" t="s">
        <v>868</v>
      </c>
      <c r="J255" s="0" t="s">
        <v>869</v>
      </c>
      <c r="K255" s="0" t="s">
        <v>870</v>
      </c>
      <c r="L255" s="0" t="str">
        <f aca="false">HYPERLINK("https://www.ncbi.nlm.nih.gov/nuccore/CP000304.1?report=graph&amp;tracks=[key:gene_model_track,Options:GeneOnly]&amp;mk=78271:78290|offset_19|00cc00,78293:78312|offset_41|444444,78313:78332|offset_61|444444,78340:78359|offset_88|444444&amp;v=78070:78559&amp;c=444444", "offset 19")</f>
        <v>offset 19</v>
      </c>
    </row>
    <row r="256" customFormat="false" ht="12.8" hidden="false" customHeight="false" outlineLevel="0" collapsed="false">
      <c r="A256" s="0" t="s">
        <v>12</v>
      </c>
      <c r="B256" s="0" t="n">
        <v>78292</v>
      </c>
      <c r="C256" s="0" t="n">
        <v>78312</v>
      </c>
      <c r="D256" s="0" t="s">
        <v>867</v>
      </c>
      <c r="E256" s="0" t="s">
        <v>89</v>
      </c>
      <c r="F256" s="0" t="s">
        <v>15</v>
      </c>
      <c r="G256" s="0" t="s">
        <v>16</v>
      </c>
      <c r="H256" s="0" t="n">
        <v>41</v>
      </c>
      <c r="I256" s="0" t="s">
        <v>871</v>
      </c>
      <c r="J256" s="0" t="s">
        <v>872</v>
      </c>
      <c r="K256" s="0" t="s">
        <v>873</v>
      </c>
      <c r="L256" s="0" t="str">
        <f aca="false">HYPERLINK("https://www.ncbi.nlm.nih.gov/nuccore/CP000304.1?report=graph&amp;tracks=[key:gene_model_track,Options:GeneOnly]&amp;mk=78271:78290|offset_19|444444,78293:78312|offset_41|00cc00,78313:78332|offset_61|444444,78340:78359|offset_88|444444&amp;v=78070:78559&amp;c=444444", "offset 41")</f>
        <v>offset 41</v>
      </c>
    </row>
    <row r="257" customFormat="false" ht="12.8" hidden="false" customHeight="false" outlineLevel="0" collapsed="false">
      <c r="A257" s="0" t="s">
        <v>12</v>
      </c>
      <c r="B257" s="0" t="n">
        <v>78312</v>
      </c>
      <c r="C257" s="0" t="n">
        <v>78332</v>
      </c>
      <c r="D257" s="0" t="s">
        <v>867</v>
      </c>
      <c r="E257" s="0" t="s">
        <v>89</v>
      </c>
      <c r="F257" s="0" t="s">
        <v>15</v>
      </c>
      <c r="G257" s="0" t="s">
        <v>26</v>
      </c>
      <c r="H257" s="0" t="n">
        <v>61</v>
      </c>
      <c r="I257" s="0" t="s">
        <v>874</v>
      </c>
      <c r="J257" s="0" t="s">
        <v>875</v>
      </c>
      <c r="K257" s="0" t="s">
        <v>876</v>
      </c>
      <c r="L257" s="0" t="str">
        <f aca="false">HYPERLINK("https://www.ncbi.nlm.nih.gov/nuccore/CP000304.1?report=graph&amp;tracks=[key:gene_model_track,Options:GeneOnly]&amp;mk=78271:78290|offset_19|444444,78293:78312|offset_41|444444,78313:78332|offset_61|00cc00,78340:78359|offset_88|444444&amp;v=78070:78559&amp;c=444444", "offset 61")</f>
        <v>offset 61</v>
      </c>
    </row>
    <row r="258" customFormat="false" ht="12.8" hidden="false" customHeight="false" outlineLevel="0" collapsed="false">
      <c r="A258" s="0" t="s">
        <v>12</v>
      </c>
      <c r="B258" s="0" t="n">
        <v>78339</v>
      </c>
      <c r="C258" s="0" t="n">
        <v>78359</v>
      </c>
      <c r="D258" s="0" t="s">
        <v>867</v>
      </c>
      <c r="E258" s="0" t="s">
        <v>89</v>
      </c>
      <c r="F258" s="0" t="s">
        <v>15</v>
      </c>
      <c r="G258" s="0" t="s">
        <v>32</v>
      </c>
      <c r="H258" s="0" t="n">
        <v>88</v>
      </c>
      <c r="I258" s="0" t="s">
        <v>877</v>
      </c>
      <c r="J258" s="0" t="s">
        <v>878</v>
      </c>
      <c r="K258" s="0" t="s">
        <v>879</v>
      </c>
      <c r="L258" s="0" t="str">
        <f aca="false">HYPERLINK("https://www.ncbi.nlm.nih.gov/nuccore/CP000304.1?report=graph&amp;tracks=[key:gene_model_track,Options:GeneOnly]&amp;mk=78271:78290|offset_19|444444,78293:78312|offset_41|444444,78313:78332|offset_61|444444,78340:78359|offset_88|00cc00&amp;v=78070:78559&amp;c=444444", "offset 88")</f>
        <v>offset 88</v>
      </c>
    </row>
    <row r="259" customFormat="false" ht="12.8" hidden="false" customHeight="false" outlineLevel="0" collapsed="false">
      <c r="A259" s="0" t="s">
        <v>12</v>
      </c>
      <c r="B259" s="0" t="n">
        <v>79835</v>
      </c>
      <c r="C259" s="0" t="n">
        <v>79855</v>
      </c>
      <c r="D259" s="0" t="s">
        <v>880</v>
      </c>
      <c r="E259" s="0" t="s">
        <v>881</v>
      </c>
      <c r="F259" s="0" t="s">
        <v>15</v>
      </c>
      <c r="G259" s="0" t="s">
        <v>36</v>
      </c>
      <c r="H259" s="0" t="n">
        <v>9</v>
      </c>
      <c r="I259" s="0" t="s">
        <v>882</v>
      </c>
      <c r="J259" s="0" t="s">
        <v>883</v>
      </c>
      <c r="K259" s="0" t="s">
        <v>884</v>
      </c>
      <c r="L259" s="0" t="str">
        <f aca="false">HYPERLINK("https://www.ncbi.nlm.nih.gov/nuccore/CP000304.1?report=graph&amp;tracks=[key:gene_model_track,Options:GeneOnly]&amp;mk=79836:79855|offset_9|00cc00,79858:79877|offset_31|444444,79882:79901|offset_55|444444,79930:79949|offset_103|444444&amp;v=79635:80149&amp;c=444444", "offset 9")</f>
        <v>offset 9</v>
      </c>
    </row>
    <row r="260" customFormat="false" ht="12.8" hidden="false" customHeight="false" outlineLevel="0" collapsed="false">
      <c r="A260" s="0" t="s">
        <v>12</v>
      </c>
      <c r="B260" s="0" t="n">
        <v>79857</v>
      </c>
      <c r="C260" s="0" t="n">
        <v>79877</v>
      </c>
      <c r="D260" s="0" t="s">
        <v>880</v>
      </c>
      <c r="E260" s="0" t="s">
        <v>881</v>
      </c>
      <c r="F260" s="0" t="s">
        <v>15</v>
      </c>
      <c r="G260" s="0" t="s">
        <v>32</v>
      </c>
      <c r="H260" s="0" t="n">
        <v>31</v>
      </c>
      <c r="I260" s="0" t="s">
        <v>885</v>
      </c>
      <c r="J260" s="0" t="s">
        <v>886</v>
      </c>
      <c r="K260" s="0" t="s">
        <v>887</v>
      </c>
      <c r="L260" s="0" t="str">
        <f aca="false">HYPERLINK("https://www.ncbi.nlm.nih.gov/nuccore/CP000304.1?report=graph&amp;tracks=[key:gene_model_track,Options:GeneOnly]&amp;mk=79836:79855|offset_9|444444,79858:79877|offset_31|00cc00,79882:79901|offset_55|444444,79930:79949|offset_103|444444&amp;v=79635:80149&amp;c=444444", "offset 31")</f>
        <v>offset 31</v>
      </c>
    </row>
    <row r="261" customFormat="false" ht="12.8" hidden="false" customHeight="false" outlineLevel="0" collapsed="false">
      <c r="A261" s="0" t="s">
        <v>12</v>
      </c>
      <c r="B261" s="0" t="n">
        <v>79881</v>
      </c>
      <c r="C261" s="0" t="n">
        <v>79901</v>
      </c>
      <c r="D261" s="0" t="s">
        <v>880</v>
      </c>
      <c r="E261" s="0" t="s">
        <v>881</v>
      </c>
      <c r="F261" s="0" t="s">
        <v>15</v>
      </c>
      <c r="G261" s="0" t="s">
        <v>16</v>
      </c>
      <c r="H261" s="0" t="n">
        <v>55</v>
      </c>
      <c r="I261" s="0" t="s">
        <v>888</v>
      </c>
      <c r="J261" s="0" t="s">
        <v>889</v>
      </c>
      <c r="K261" s="0" t="s">
        <v>890</v>
      </c>
      <c r="L261" s="0" t="str">
        <f aca="false">HYPERLINK("https://www.ncbi.nlm.nih.gov/nuccore/CP000304.1?report=graph&amp;tracks=[key:gene_model_track,Options:GeneOnly]&amp;mk=79836:79855|offset_9|444444,79858:79877|offset_31|444444,79882:79901|offset_55|00cc00,79930:79949|offset_103|444444&amp;v=79635:80149&amp;c=444444", "offset 55")</f>
        <v>offset 55</v>
      </c>
    </row>
    <row r="262" customFormat="false" ht="12.8" hidden="false" customHeight="false" outlineLevel="0" collapsed="false">
      <c r="A262" s="0" t="s">
        <v>12</v>
      </c>
      <c r="B262" s="0" t="n">
        <v>79929</v>
      </c>
      <c r="C262" s="0" t="n">
        <v>79949</v>
      </c>
      <c r="D262" s="0" t="s">
        <v>880</v>
      </c>
      <c r="E262" s="0" t="s">
        <v>881</v>
      </c>
      <c r="F262" s="0" t="s">
        <v>15</v>
      </c>
      <c r="G262" s="0" t="s">
        <v>16</v>
      </c>
      <c r="H262" s="0" t="n">
        <v>103</v>
      </c>
      <c r="I262" s="0" t="s">
        <v>891</v>
      </c>
      <c r="J262" s="0" t="s">
        <v>892</v>
      </c>
      <c r="K262" s="0" t="s">
        <v>893</v>
      </c>
      <c r="L262" s="0" t="str">
        <f aca="false">HYPERLINK("https://www.ncbi.nlm.nih.gov/nuccore/CP000304.1?report=graph&amp;tracks=[key:gene_model_track,Options:GeneOnly]&amp;mk=79836:79855|offset_9|444444,79858:79877|offset_31|444444,79882:79901|offset_55|444444,79930:79949|offset_103|00cc00&amp;v=79635:80149&amp;c=444444", "offset 103")</f>
        <v>offset 103</v>
      </c>
    </row>
    <row r="263" customFormat="false" ht="12.8" hidden="false" customHeight="false" outlineLevel="0" collapsed="false">
      <c r="A263" s="0" t="s">
        <v>12</v>
      </c>
      <c r="B263" s="0" t="n">
        <v>81201</v>
      </c>
      <c r="C263" s="0" t="n">
        <v>81221</v>
      </c>
      <c r="D263" s="0" t="s">
        <v>894</v>
      </c>
      <c r="E263" s="0" t="s">
        <v>895</v>
      </c>
      <c r="F263" s="0" t="s">
        <v>15</v>
      </c>
      <c r="G263" s="0" t="s">
        <v>36</v>
      </c>
      <c r="H263" s="0" t="n">
        <v>0</v>
      </c>
      <c r="I263" s="0" t="s">
        <v>896</v>
      </c>
      <c r="J263" s="0" t="s">
        <v>897</v>
      </c>
      <c r="K263" s="0" t="s">
        <v>898</v>
      </c>
      <c r="L263" s="0" t="str">
        <f aca="false">HYPERLINK("https://www.ncbi.nlm.nih.gov/nuccore/CP000304.1?report=graph&amp;tracks=[key:gene_model_track,Options:GeneOnly]&amp;mk=81202:81221|offset_0|00cc00,81242:81261|offset_40|444444,81263:81282|offset_61|444444,81341:81360|offset_139|444444&amp;v=81001:81560&amp;c=444444", "offset 0")</f>
        <v>offset 0</v>
      </c>
    </row>
    <row r="264" customFormat="false" ht="12.8" hidden="false" customHeight="false" outlineLevel="0" collapsed="false">
      <c r="A264" s="0" t="s">
        <v>12</v>
      </c>
      <c r="B264" s="0" t="n">
        <v>81241</v>
      </c>
      <c r="C264" s="0" t="n">
        <v>81261</v>
      </c>
      <c r="D264" s="0" t="s">
        <v>894</v>
      </c>
      <c r="E264" s="0" t="s">
        <v>895</v>
      </c>
      <c r="F264" s="0" t="s">
        <v>15</v>
      </c>
      <c r="G264" s="0" t="s">
        <v>16</v>
      </c>
      <c r="H264" s="0" t="n">
        <v>40</v>
      </c>
      <c r="I264" s="0" t="s">
        <v>899</v>
      </c>
      <c r="J264" s="0" t="s">
        <v>900</v>
      </c>
      <c r="K264" s="0" t="s">
        <v>901</v>
      </c>
      <c r="L264" s="0" t="str">
        <f aca="false">HYPERLINK("https://www.ncbi.nlm.nih.gov/nuccore/CP000304.1?report=graph&amp;tracks=[key:gene_model_track,Options:GeneOnly]&amp;mk=81202:81221|offset_0|444444,81242:81261|offset_40|00cc00,81263:81282|offset_61|444444,81341:81360|offset_139|444444&amp;v=81001:81560&amp;c=444444", "offset 40")</f>
        <v>offset 40</v>
      </c>
    </row>
    <row r="265" customFormat="false" ht="12.8" hidden="false" customHeight="false" outlineLevel="0" collapsed="false">
      <c r="A265" s="0" t="s">
        <v>12</v>
      </c>
      <c r="B265" s="0" t="n">
        <v>81262</v>
      </c>
      <c r="C265" s="0" t="n">
        <v>81282</v>
      </c>
      <c r="D265" s="0" t="s">
        <v>894</v>
      </c>
      <c r="E265" s="0" t="s">
        <v>895</v>
      </c>
      <c r="F265" s="0" t="s">
        <v>15</v>
      </c>
      <c r="G265" s="0" t="s">
        <v>36</v>
      </c>
      <c r="H265" s="0" t="n">
        <v>61</v>
      </c>
      <c r="I265" s="0" t="s">
        <v>902</v>
      </c>
      <c r="J265" s="0" t="s">
        <v>903</v>
      </c>
      <c r="K265" s="0" t="s">
        <v>904</v>
      </c>
      <c r="L265" s="0" t="str">
        <f aca="false">HYPERLINK("https://www.ncbi.nlm.nih.gov/nuccore/CP000304.1?report=graph&amp;tracks=[key:gene_model_track,Options:GeneOnly]&amp;mk=81202:81221|offset_0|444444,81242:81261|offset_40|444444,81263:81282|offset_61|00cc00,81341:81360|offset_139|444444&amp;v=81001:81560&amp;c=444444", "offset 61")</f>
        <v>offset 61</v>
      </c>
    </row>
    <row r="266" customFormat="false" ht="12.8" hidden="false" customHeight="false" outlineLevel="0" collapsed="false">
      <c r="A266" s="0" t="s">
        <v>12</v>
      </c>
      <c r="B266" s="0" t="n">
        <v>81340</v>
      </c>
      <c r="C266" s="0" t="n">
        <v>81360</v>
      </c>
      <c r="D266" s="0" t="s">
        <v>894</v>
      </c>
      <c r="E266" s="0" t="s">
        <v>895</v>
      </c>
      <c r="F266" s="0" t="s">
        <v>15</v>
      </c>
      <c r="G266" s="0" t="s">
        <v>16</v>
      </c>
      <c r="H266" s="0" t="n">
        <v>139</v>
      </c>
      <c r="I266" s="0" t="s">
        <v>905</v>
      </c>
      <c r="J266" s="0" t="s">
        <v>906</v>
      </c>
      <c r="K266" s="0" t="s">
        <v>907</v>
      </c>
      <c r="L266" s="0" t="str">
        <f aca="false">HYPERLINK("https://www.ncbi.nlm.nih.gov/nuccore/CP000304.1?report=graph&amp;tracks=[key:gene_model_track,Options:GeneOnly]&amp;mk=81202:81221|offset_0|444444,81242:81261|offset_40|444444,81263:81282|offset_61|444444,81341:81360|offset_139|00cc00&amp;v=81001:81560&amp;c=444444", "offset 139")</f>
        <v>offset 139</v>
      </c>
    </row>
    <row r="267" customFormat="false" ht="12.8" hidden="false" customHeight="false" outlineLevel="0" collapsed="false">
      <c r="A267" s="0" t="s">
        <v>12</v>
      </c>
      <c r="B267" s="0" t="n">
        <v>82441</v>
      </c>
      <c r="C267" s="0" t="n">
        <v>82461</v>
      </c>
      <c r="D267" s="0" t="s">
        <v>908</v>
      </c>
      <c r="E267" s="0" t="s">
        <v>909</v>
      </c>
      <c r="F267" s="0" t="s">
        <v>15</v>
      </c>
      <c r="G267" s="0" t="s">
        <v>16</v>
      </c>
      <c r="H267" s="0" t="n">
        <v>7</v>
      </c>
      <c r="I267" s="0" t="s">
        <v>910</v>
      </c>
      <c r="J267" s="0" t="s">
        <v>911</v>
      </c>
      <c r="K267" s="0" t="s">
        <v>912</v>
      </c>
      <c r="L267" s="0" t="str">
        <f aca="false">HYPERLINK("https://www.ncbi.nlm.nih.gov/nuccore/CP000304.1?report=graph&amp;tracks=[key:gene_model_track,Options:GeneOnly]&amp;mk=82442:82461|offset_7|00cc00,82469:82488|offset_34|444444,82523:82542|offset_88|444444,82657:82676|offset_222|444444&amp;v=82241:82876&amp;c=444444", "offset 7")</f>
        <v>offset 7</v>
      </c>
    </row>
    <row r="268" customFormat="false" ht="12.8" hidden="false" customHeight="false" outlineLevel="0" collapsed="false">
      <c r="A268" s="0" t="s">
        <v>12</v>
      </c>
      <c r="B268" s="0" t="n">
        <v>82468</v>
      </c>
      <c r="C268" s="0" t="n">
        <v>82488</v>
      </c>
      <c r="D268" s="0" t="s">
        <v>908</v>
      </c>
      <c r="E268" s="0" t="s">
        <v>909</v>
      </c>
      <c r="F268" s="0" t="s">
        <v>15</v>
      </c>
      <c r="G268" s="0" t="s">
        <v>36</v>
      </c>
      <c r="H268" s="0" t="n">
        <v>34</v>
      </c>
      <c r="I268" s="0" t="s">
        <v>913</v>
      </c>
      <c r="J268" s="0" t="s">
        <v>914</v>
      </c>
      <c r="K268" s="0" t="s">
        <v>915</v>
      </c>
      <c r="L268" s="0" t="str">
        <f aca="false">HYPERLINK("https://www.ncbi.nlm.nih.gov/nuccore/CP000304.1?report=graph&amp;tracks=[key:gene_model_track,Options:GeneOnly]&amp;mk=82442:82461|offset_7|444444,82469:82488|offset_34|00cc00,82523:82542|offset_88|444444,82657:82676|offset_222|444444&amp;v=82241:82876&amp;c=444444", "offset 34")</f>
        <v>offset 34</v>
      </c>
    </row>
    <row r="269" customFormat="false" ht="12.8" hidden="false" customHeight="false" outlineLevel="0" collapsed="false">
      <c r="A269" s="0" t="s">
        <v>12</v>
      </c>
      <c r="B269" s="0" t="n">
        <v>82522</v>
      </c>
      <c r="C269" s="0" t="n">
        <v>82542</v>
      </c>
      <c r="D269" s="0" t="s">
        <v>908</v>
      </c>
      <c r="E269" s="0" t="s">
        <v>909</v>
      </c>
      <c r="F269" s="0" t="s">
        <v>15</v>
      </c>
      <c r="G269" s="0" t="s">
        <v>32</v>
      </c>
      <c r="H269" s="0" t="n">
        <v>88</v>
      </c>
      <c r="I269" s="0" t="s">
        <v>916</v>
      </c>
      <c r="J269" s="0" t="s">
        <v>917</v>
      </c>
      <c r="K269" s="0" t="s">
        <v>918</v>
      </c>
      <c r="L269" s="0" t="str">
        <f aca="false">HYPERLINK("https://www.ncbi.nlm.nih.gov/nuccore/CP000304.1?report=graph&amp;tracks=[key:gene_model_track,Options:GeneOnly]&amp;mk=82442:82461|offset_7|444444,82469:82488|offset_34|444444,82523:82542|offset_88|00cc00,82657:82676|offset_222|444444&amp;v=82241:82876&amp;c=444444", "offset 88")</f>
        <v>offset 88</v>
      </c>
    </row>
    <row r="270" customFormat="false" ht="12.8" hidden="false" customHeight="false" outlineLevel="0" collapsed="false">
      <c r="A270" s="0" t="s">
        <v>12</v>
      </c>
      <c r="B270" s="0" t="n">
        <v>82656</v>
      </c>
      <c r="C270" s="0" t="n">
        <v>82676</v>
      </c>
      <c r="D270" s="0" t="s">
        <v>908</v>
      </c>
      <c r="E270" s="0" t="s">
        <v>909</v>
      </c>
      <c r="F270" s="0" t="s">
        <v>15</v>
      </c>
      <c r="G270" s="0" t="s">
        <v>36</v>
      </c>
      <c r="H270" s="0" t="n">
        <v>222</v>
      </c>
      <c r="I270" s="0" t="s">
        <v>919</v>
      </c>
      <c r="J270" s="0" t="s">
        <v>920</v>
      </c>
      <c r="K270" s="0" t="s">
        <v>921</v>
      </c>
      <c r="L270" s="0" t="str">
        <f aca="false">HYPERLINK("https://www.ncbi.nlm.nih.gov/nuccore/CP000304.1?report=graph&amp;tracks=[key:gene_model_track,Options:GeneOnly]&amp;mk=82442:82461|offset_7|444444,82469:82488|offset_34|444444,82523:82542|offset_88|444444,82657:82676|offset_222|00cc00&amp;v=82241:82876&amp;c=444444", "offset 222")</f>
        <v>offset 222</v>
      </c>
    </row>
    <row r="271" customFormat="false" ht="12.8" hidden="false" customHeight="false" outlineLevel="0" collapsed="false">
      <c r="A271" s="0" t="s">
        <v>12</v>
      </c>
      <c r="B271" s="0" t="n">
        <v>83590</v>
      </c>
      <c r="C271" s="0" t="n">
        <v>83610</v>
      </c>
      <c r="D271" s="0" t="s">
        <v>922</v>
      </c>
      <c r="E271" s="0" t="s">
        <v>923</v>
      </c>
      <c r="F271" s="0" t="s">
        <v>15</v>
      </c>
      <c r="G271" s="0" t="s">
        <v>16</v>
      </c>
      <c r="H271" s="0" t="n">
        <v>8</v>
      </c>
      <c r="I271" s="0" t="s">
        <v>924</v>
      </c>
      <c r="J271" s="0" t="s">
        <v>925</v>
      </c>
      <c r="K271" s="0" t="s">
        <v>926</v>
      </c>
      <c r="L271" s="0" t="str">
        <f aca="false">HYPERLINK("https://www.ncbi.nlm.nih.gov/nuccore/CP000304.1?report=graph&amp;tracks=[key:gene_model_track,Options:GeneOnly]&amp;mk=83591:83610|offset_8|00cc00,83615:83634|offset_32|444444,83635:83654|offset_52|444444,83667:83686|offset_84|444444&amp;v=83390:83886&amp;c=444444", "offset 8")</f>
        <v>offset 8</v>
      </c>
    </row>
    <row r="272" customFormat="false" ht="12.8" hidden="false" customHeight="false" outlineLevel="0" collapsed="false">
      <c r="A272" s="0" t="s">
        <v>12</v>
      </c>
      <c r="B272" s="0" t="n">
        <v>83614</v>
      </c>
      <c r="C272" s="0" t="n">
        <v>83634</v>
      </c>
      <c r="D272" s="0" t="s">
        <v>922</v>
      </c>
      <c r="E272" s="0" t="s">
        <v>923</v>
      </c>
      <c r="F272" s="0" t="s">
        <v>15</v>
      </c>
      <c r="G272" s="0" t="s">
        <v>16</v>
      </c>
      <c r="H272" s="0" t="n">
        <v>32</v>
      </c>
      <c r="I272" s="0" t="s">
        <v>927</v>
      </c>
      <c r="J272" s="0" t="s">
        <v>928</v>
      </c>
      <c r="K272" s="0" t="s">
        <v>929</v>
      </c>
      <c r="L272" s="0" t="str">
        <f aca="false">HYPERLINK("https://www.ncbi.nlm.nih.gov/nuccore/CP000304.1?report=graph&amp;tracks=[key:gene_model_track,Options:GeneOnly]&amp;mk=83591:83610|offset_8|444444,83615:83634|offset_32|00cc00,83635:83654|offset_52|444444,83667:83686|offset_84|444444&amp;v=83390:83886&amp;c=444444", "offset 32")</f>
        <v>offset 32</v>
      </c>
    </row>
    <row r="273" customFormat="false" ht="12.8" hidden="false" customHeight="false" outlineLevel="0" collapsed="false">
      <c r="A273" s="0" t="s">
        <v>12</v>
      </c>
      <c r="B273" s="0" t="n">
        <v>83634</v>
      </c>
      <c r="C273" s="0" t="n">
        <v>83654</v>
      </c>
      <c r="D273" s="0" t="s">
        <v>922</v>
      </c>
      <c r="E273" s="0" t="s">
        <v>923</v>
      </c>
      <c r="F273" s="0" t="s">
        <v>15</v>
      </c>
      <c r="G273" s="0" t="s">
        <v>26</v>
      </c>
      <c r="H273" s="0" t="n">
        <v>52</v>
      </c>
      <c r="I273" s="0" t="s">
        <v>930</v>
      </c>
      <c r="J273" s="0" t="s">
        <v>931</v>
      </c>
      <c r="K273" s="0" t="s">
        <v>932</v>
      </c>
      <c r="L273" s="0" t="str">
        <f aca="false">HYPERLINK("https://www.ncbi.nlm.nih.gov/nuccore/CP000304.1?report=graph&amp;tracks=[key:gene_model_track,Options:GeneOnly]&amp;mk=83591:83610|offset_8|444444,83615:83634|offset_32|444444,83635:83654|offset_52|00cc00,83667:83686|offset_84|444444&amp;v=83390:83886&amp;c=444444", "offset 52")</f>
        <v>offset 52</v>
      </c>
    </row>
    <row r="274" customFormat="false" ht="12.8" hidden="false" customHeight="false" outlineLevel="0" collapsed="false">
      <c r="A274" s="0" t="s">
        <v>12</v>
      </c>
      <c r="B274" s="0" t="n">
        <v>83666</v>
      </c>
      <c r="C274" s="0" t="n">
        <v>83686</v>
      </c>
      <c r="D274" s="0" t="s">
        <v>922</v>
      </c>
      <c r="E274" s="0" t="s">
        <v>923</v>
      </c>
      <c r="F274" s="0" t="s">
        <v>15</v>
      </c>
      <c r="G274" s="0" t="s">
        <v>16</v>
      </c>
      <c r="H274" s="0" t="n">
        <v>84</v>
      </c>
      <c r="I274" s="0" t="s">
        <v>933</v>
      </c>
      <c r="J274" s="0" t="s">
        <v>934</v>
      </c>
      <c r="K274" s="0" t="s">
        <v>935</v>
      </c>
      <c r="L274" s="0" t="str">
        <f aca="false">HYPERLINK("https://www.ncbi.nlm.nih.gov/nuccore/CP000304.1?report=graph&amp;tracks=[key:gene_model_track,Options:GeneOnly]&amp;mk=83591:83610|offset_8|444444,83615:83634|offset_32|444444,83635:83654|offset_52|444444,83667:83686|offset_84|00cc00&amp;v=83390:83886&amp;c=444444", "offset 84")</f>
        <v>offset 84</v>
      </c>
    </row>
    <row r="275" customFormat="false" ht="12.8" hidden="false" customHeight="false" outlineLevel="0" collapsed="false">
      <c r="A275" s="0" t="s">
        <v>12</v>
      </c>
      <c r="B275" s="0" t="n">
        <v>84501</v>
      </c>
      <c r="C275" s="0" t="n">
        <v>84521</v>
      </c>
      <c r="D275" s="0" t="s">
        <v>936</v>
      </c>
      <c r="E275" s="0" t="s">
        <v>937</v>
      </c>
      <c r="F275" s="0" t="s">
        <v>15</v>
      </c>
      <c r="G275" s="0" t="s">
        <v>26</v>
      </c>
      <c r="H275" s="0" t="n">
        <v>26</v>
      </c>
      <c r="I275" s="0" t="s">
        <v>938</v>
      </c>
      <c r="J275" s="0" t="s">
        <v>939</v>
      </c>
      <c r="K275" s="0" t="s">
        <v>940</v>
      </c>
      <c r="L275" s="0" t="str">
        <f aca="false">HYPERLINK("https://www.ncbi.nlm.nih.gov/nuccore/CP000304.1?report=graph&amp;tracks=[key:gene_model_track,Options:GeneOnly]&amp;mk=84502:84521|offset_26|00cc00,84535:84554|offset_59|444444,84573:84592|offset_97|444444,84621:84640|offset_145|444444&amp;v=84301:84840&amp;c=444444", "offset 26")</f>
        <v>offset 26</v>
      </c>
    </row>
    <row r="276" customFormat="false" ht="12.8" hidden="false" customHeight="false" outlineLevel="0" collapsed="false">
      <c r="A276" s="0" t="s">
        <v>12</v>
      </c>
      <c r="B276" s="0" t="n">
        <v>84534</v>
      </c>
      <c r="C276" s="0" t="n">
        <v>84554</v>
      </c>
      <c r="D276" s="0" t="s">
        <v>936</v>
      </c>
      <c r="E276" s="0" t="s">
        <v>937</v>
      </c>
      <c r="F276" s="0" t="s">
        <v>15</v>
      </c>
      <c r="G276" s="0" t="s">
        <v>26</v>
      </c>
      <c r="H276" s="0" t="n">
        <v>59</v>
      </c>
      <c r="I276" s="0" t="s">
        <v>941</v>
      </c>
      <c r="J276" s="0" t="s">
        <v>942</v>
      </c>
      <c r="K276" s="0" t="s">
        <v>943</v>
      </c>
      <c r="L276" s="0" t="str">
        <f aca="false">HYPERLINK("https://www.ncbi.nlm.nih.gov/nuccore/CP000304.1?report=graph&amp;tracks=[key:gene_model_track,Options:GeneOnly]&amp;mk=84502:84521|offset_26|444444,84535:84554|offset_59|00cc00,84573:84592|offset_97|444444,84621:84640|offset_145|444444&amp;v=84301:84840&amp;c=444444", "offset 59")</f>
        <v>offset 59</v>
      </c>
    </row>
    <row r="277" customFormat="false" ht="12.8" hidden="false" customHeight="false" outlineLevel="0" collapsed="false">
      <c r="A277" s="0" t="s">
        <v>12</v>
      </c>
      <c r="B277" s="0" t="n">
        <v>84572</v>
      </c>
      <c r="C277" s="0" t="n">
        <v>84592</v>
      </c>
      <c r="D277" s="0" t="s">
        <v>936</v>
      </c>
      <c r="E277" s="0" t="s">
        <v>937</v>
      </c>
      <c r="F277" s="0" t="s">
        <v>15</v>
      </c>
      <c r="G277" s="0" t="s">
        <v>26</v>
      </c>
      <c r="H277" s="0" t="n">
        <v>97</v>
      </c>
      <c r="I277" s="0" t="s">
        <v>944</v>
      </c>
      <c r="J277" s="0" t="s">
        <v>945</v>
      </c>
      <c r="K277" s="0" t="s">
        <v>946</v>
      </c>
      <c r="L277" s="0" t="str">
        <f aca="false">HYPERLINK("https://www.ncbi.nlm.nih.gov/nuccore/CP000304.1?report=graph&amp;tracks=[key:gene_model_track,Options:GeneOnly]&amp;mk=84502:84521|offset_26|444444,84535:84554|offset_59|444444,84573:84592|offset_97|00cc00,84621:84640|offset_145|444444&amp;v=84301:84840&amp;c=444444", "offset 97")</f>
        <v>offset 97</v>
      </c>
    </row>
    <row r="278" customFormat="false" ht="12.8" hidden="false" customHeight="false" outlineLevel="0" collapsed="false">
      <c r="A278" s="0" t="s">
        <v>12</v>
      </c>
      <c r="B278" s="0" t="n">
        <v>84620</v>
      </c>
      <c r="C278" s="0" t="n">
        <v>84640</v>
      </c>
      <c r="D278" s="0" t="s">
        <v>936</v>
      </c>
      <c r="E278" s="0" t="s">
        <v>937</v>
      </c>
      <c r="F278" s="0" t="s">
        <v>15</v>
      </c>
      <c r="G278" s="0" t="s">
        <v>16</v>
      </c>
      <c r="H278" s="0" t="n">
        <v>145</v>
      </c>
      <c r="I278" s="0" t="s">
        <v>947</v>
      </c>
      <c r="J278" s="0" t="s">
        <v>948</v>
      </c>
      <c r="K278" s="0" t="s">
        <v>949</v>
      </c>
      <c r="L278" s="0" t="str">
        <f aca="false">HYPERLINK("https://www.ncbi.nlm.nih.gov/nuccore/CP000304.1?report=graph&amp;tracks=[key:gene_model_track,Options:GeneOnly]&amp;mk=84502:84521|offset_26|444444,84535:84554|offset_59|444444,84573:84592|offset_97|444444,84621:84640|offset_145|00cc00&amp;v=84301:84840&amp;c=444444", "offset 145")</f>
        <v>offset 145</v>
      </c>
    </row>
    <row r="279" customFormat="false" ht="12.8" hidden="false" customHeight="false" outlineLevel="0" collapsed="false">
      <c r="A279" s="0" t="s">
        <v>12</v>
      </c>
      <c r="B279" s="0" t="n">
        <v>86069</v>
      </c>
      <c r="C279" s="0" t="n">
        <v>86089</v>
      </c>
      <c r="D279" s="0" t="s">
        <v>950</v>
      </c>
      <c r="E279" s="0" t="s">
        <v>89</v>
      </c>
      <c r="F279" s="0" t="s">
        <v>90</v>
      </c>
      <c r="G279" s="0" t="s">
        <v>16</v>
      </c>
      <c r="H279" s="0" t="n">
        <v>36</v>
      </c>
      <c r="I279" s="0" t="s">
        <v>951</v>
      </c>
      <c r="J279" s="0" t="s">
        <v>952</v>
      </c>
      <c r="K279" s="0" t="s">
        <v>953</v>
      </c>
      <c r="L279" s="0" t="str">
        <f aca="false">HYPERLINK("https://www.ncbi.nlm.nih.gov/nuccore/CP000304.1?report=graph&amp;tracks=[key:gene_model_track,Options:GeneOnly]&amp;mk=86070:86089|offset_36|00cc00,86028:86047|offset_78|444444,85990:86009|offset_116|444444,85970:85989|offset_136|444444&amp;v=85869:86189&amp;c=444444", "offset 36")</f>
        <v>offset 36</v>
      </c>
    </row>
    <row r="280" customFormat="false" ht="12.8" hidden="false" customHeight="false" outlineLevel="0" collapsed="false">
      <c r="A280" s="0" t="s">
        <v>12</v>
      </c>
      <c r="B280" s="0" t="n">
        <v>86027</v>
      </c>
      <c r="C280" s="0" t="n">
        <v>86047</v>
      </c>
      <c r="D280" s="0" t="s">
        <v>950</v>
      </c>
      <c r="E280" s="0" t="s">
        <v>89</v>
      </c>
      <c r="F280" s="0" t="s">
        <v>90</v>
      </c>
      <c r="G280" s="0" t="s">
        <v>36</v>
      </c>
      <c r="H280" s="0" t="n">
        <v>78</v>
      </c>
      <c r="I280" s="0" t="s">
        <v>954</v>
      </c>
      <c r="J280" s="0" t="s">
        <v>955</v>
      </c>
      <c r="K280" s="0" t="s">
        <v>956</v>
      </c>
      <c r="L280" s="0" t="str">
        <f aca="false">HYPERLINK("https://www.ncbi.nlm.nih.gov/nuccore/CP000304.1?report=graph&amp;tracks=[key:gene_model_track,Options:GeneOnly]&amp;mk=86070:86089|offset_36|444444,86028:86047|offset_78|00cc00,85990:86009|offset_116|444444,85970:85989|offset_136|444444&amp;v=85869:86189&amp;c=444444", "offset 78")</f>
        <v>offset 78</v>
      </c>
    </row>
    <row r="281" customFormat="false" ht="12.8" hidden="false" customHeight="false" outlineLevel="0" collapsed="false">
      <c r="A281" s="0" t="s">
        <v>12</v>
      </c>
      <c r="B281" s="0" t="n">
        <v>85989</v>
      </c>
      <c r="C281" s="0" t="n">
        <v>86009</v>
      </c>
      <c r="D281" s="0" t="s">
        <v>950</v>
      </c>
      <c r="E281" s="0" t="s">
        <v>89</v>
      </c>
      <c r="F281" s="0" t="s">
        <v>90</v>
      </c>
      <c r="G281" s="0" t="s">
        <v>26</v>
      </c>
      <c r="H281" s="0" t="n">
        <v>116</v>
      </c>
      <c r="I281" s="0" t="s">
        <v>957</v>
      </c>
      <c r="J281" s="0" t="s">
        <v>958</v>
      </c>
      <c r="K281" s="0" t="s">
        <v>959</v>
      </c>
      <c r="L281" s="0" t="str">
        <f aca="false">HYPERLINK("https://www.ncbi.nlm.nih.gov/nuccore/CP000304.1?report=graph&amp;tracks=[key:gene_model_track,Options:GeneOnly]&amp;mk=86070:86089|offset_36|444444,86028:86047|offset_78|444444,85990:86009|offset_116|00cc00,85970:85989|offset_136|444444&amp;v=85869:86189&amp;c=444444", "offset 116")</f>
        <v>offset 116</v>
      </c>
    </row>
    <row r="282" customFormat="false" ht="12.8" hidden="false" customHeight="false" outlineLevel="0" collapsed="false">
      <c r="A282" s="0" t="s">
        <v>12</v>
      </c>
      <c r="B282" s="0" t="n">
        <v>85969</v>
      </c>
      <c r="C282" s="0" t="n">
        <v>85989</v>
      </c>
      <c r="D282" s="0" t="s">
        <v>950</v>
      </c>
      <c r="E282" s="0" t="s">
        <v>89</v>
      </c>
      <c r="F282" s="0" t="s">
        <v>90</v>
      </c>
      <c r="G282" s="0" t="s">
        <v>36</v>
      </c>
      <c r="H282" s="0" t="n">
        <v>136</v>
      </c>
      <c r="I282" s="0" t="s">
        <v>960</v>
      </c>
      <c r="J282" s="0" t="s">
        <v>961</v>
      </c>
      <c r="K282" s="0" t="s">
        <v>962</v>
      </c>
      <c r="L282" s="0" t="str">
        <f aca="false">HYPERLINK("https://www.ncbi.nlm.nih.gov/nuccore/CP000304.1?report=graph&amp;tracks=[key:gene_model_track,Options:GeneOnly]&amp;mk=86070:86089|offset_36|444444,86028:86047|offset_78|444444,85990:86009|offset_116|444444,85970:85989|offset_136|00cc00&amp;v=85869:86189&amp;c=444444", "offset 136")</f>
        <v>offset 136</v>
      </c>
    </row>
    <row r="283" customFormat="false" ht="12.8" hidden="false" customHeight="false" outlineLevel="0" collapsed="false">
      <c r="A283" s="0" t="s">
        <v>12</v>
      </c>
      <c r="B283" s="0" t="n">
        <v>86134</v>
      </c>
      <c r="C283" s="0" t="n">
        <v>86154</v>
      </c>
      <c r="D283" s="0" t="s">
        <v>963</v>
      </c>
      <c r="E283" s="0" t="s">
        <v>89</v>
      </c>
      <c r="F283" s="0" t="s">
        <v>15</v>
      </c>
      <c r="G283" s="0" t="s">
        <v>32</v>
      </c>
      <c r="H283" s="0" t="n">
        <v>17</v>
      </c>
      <c r="I283" s="0" t="s">
        <v>964</v>
      </c>
      <c r="J283" s="0" t="s">
        <v>965</v>
      </c>
      <c r="K283" s="0" t="s">
        <v>966</v>
      </c>
      <c r="L283" s="0" t="str">
        <f aca="false">HYPERLINK("https://www.ncbi.nlm.nih.gov/nuccore/CP000304.1?report=graph&amp;tracks=[key:gene_model_track,Options:GeneOnly]&amp;mk=86135:86154|offset_17|00cc00,86159:86178|offset_41|444444,86179:86198|offset_61|444444,86215:86234|offset_97|444444&amp;v=85934:86434&amp;c=444444", "offset 17")</f>
        <v>offset 17</v>
      </c>
    </row>
    <row r="284" customFormat="false" ht="12.8" hidden="false" customHeight="false" outlineLevel="0" collapsed="false">
      <c r="A284" s="0" t="s">
        <v>12</v>
      </c>
      <c r="B284" s="0" t="n">
        <v>86158</v>
      </c>
      <c r="C284" s="0" t="n">
        <v>86178</v>
      </c>
      <c r="D284" s="0" t="s">
        <v>963</v>
      </c>
      <c r="E284" s="0" t="s">
        <v>89</v>
      </c>
      <c r="F284" s="0" t="s">
        <v>15</v>
      </c>
      <c r="G284" s="0" t="s">
        <v>26</v>
      </c>
      <c r="H284" s="0" t="n">
        <v>41</v>
      </c>
      <c r="I284" s="0" t="s">
        <v>967</v>
      </c>
      <c r="J284" s="0" t="s">
        <v>968</v>
      </c>
      <c r="K284" s="0" t="s">
        <v>969</v>
      </c>
      <c r="L284" s="0" t="str">
        <f aca="false">HYPERLINK("https://www.ncbi.nlm.nih.gov/nuccore/CP000304.1?report=graph&amp;tracks=[key:gene_model_track,Options:GeneOnly]&amp;mk=86135:86154|offset_17|444444,86159:86178|offset_41|00cc00,86179:86198|offset_61|444444,86215:86234|offset_97|444444&amp;v=85934:86434&amp;c=444444", "offset 41")</f>
        <v>offset 41</v>
      </c>
    </row>
    <row r="285" customFormat="false" ht="12.8" hidden="false" customHeight="false" outlineLevel="0" collapsed="false">
      <c r="A285" s="0" t="s">
        <v>12</v>
      </c>
      <c r="B285" s="0" t="n">
        <v>86178</v>
      </c>
      <c r="C285" s="0" t="n">
        <v>86198</v>
      </c>
      <c r="D285" s="0" t="s">
        <v>963</v>
      </c>
      <c r="E285" s="0" t="s">
        <v>89</v>
      </c>
      <c r="F285" s="0" t="s">
        <v>15</v>
      </c>
      <c r="G285" s="0" t="s">
        <v>32</v>
      </c>
      <c r="H285" s="0" t="n">
        <v>61</v>
      </c>
      <c r="I285" s="0" t="s">
        <v>970</v>
      </c>
      <c r="J285" s="0" t="s">
        <v>971</v>
      </c>
      <c r="K285" s="0" t="s">
        <v>972</v>
      </c>
      <c r="L285" s="0" t="str">
        <f aca="false">HYPERLINK("https://www.ncbi.nlm.nih.gov/nuccore/CP000304.1?report=graph&amp;tracks=[key:gene_model_track,Options:GeneOnly]&amp;mk=86135:86154|offset_17|444444,86159:86178|offset_41|444444,86179:86198|offset_61|00cc00,86215:86234|offset_97|444444&amp;v=85934:86434&amp;c=444444", "offset 61")</f>
        <v>offset 61</v>
      </c>
    </row>
    <row r="286" customFormat="false" ht="12.8" hidden="false" customHeight="false" outlineLevel="0" collapsed="false">
      <c r="A286" s="0" t="s">
        <v>12</v>
      </c>
      <c r="B286" s="0" t="n">
        <v>86214</v>
      </c>
      <c r="C286" s="0" t="n">
        <v>86234</v>
      </c>
      <c r="D286" s="0" t="s">
        <v>963</v>
      </c>
      <c r="E286" s="0" t="s">
        <v>89</v>
      </c>
      <c r="F286" s="0" t="s">
        <v>15</v>
      </c>
      <c r="G286" s="0" t="s">
        <v>26</v>
      </c>
      <c r="H286" s="0" t="n">
        <v>97</v>
      </c>
      <c r="I286" s="0" t="s">
        <v>973</v>
      </c>
      <c r="J286" s="0" t="s">
        <v>974</v>
      </c>
      <c r="K286" s="0" t="s">
        <v>975</v>
      </c>
      <c r="L286" s="0" t="str">
        <f aca="false">HYPERLINK("https://www.ncbi.nlm.nih.gov/nuccore/CP000304.1?report=graph&amp;tracks=[key:gene_model_track,Options:GeneOnly]&amp;mk=86135:86154|offset_17|444444,86159:86178|offset_41|444444,86179:86198|offset_61|444444,86215:86234|offset_97|00cc00&amp;v=85934:86434&amp;c=444444", "offset 97")</f>
        <v>offset 97</v>
      </c>
    </row>
    <row r="287" customFormat="false" ht="12.8" hidden="false" customHeight="false" outlineLevel="0" collapsed="false">
      <c r="A287" s="0" t="s">
        <v>12</v>
      </c>
      <c r="B287" s="0" t="n">
        <v>87813</v>
      </c>
      <c r="C287" s="0" t="n">
        <v>87833</v>
      </c>
      <c r="D287" s="0" t="s">
        <v>976</v>
      </c>
      <c r="E287" s="0" t="s">
        <v>89</v>
      </c>
      <c r="F287" s="0" t="s">
        <v>90</v>
      </c>
      <c r="G287" s="0" t="s">
        <v>32</v>
      </c>
      <c r="H287" s="0" t="n">
        <v>1</v>
      </c>
      <c r="I287" s="0" t="s">
        <v>977</v>
      </c>
      <c r="J287" s="0" t="s">
        <v>978</v>
      </c>
      <c r="K287" s="0" t="s">
        <v>979</v>
      </c>
      <c r="L287" s="0" t="str">
        <f aca="false">HYPERLINK("https://www.ncbi.nlm.nih.gov/nuccore/CP000304.1?report=graph&amp;tracks=[key:gene_model_track,Options:GeneOnly]&amp;mk=87814:87833|offset_1|00cc00,87781:87800|offset_34|444444,87760:87779|offset_55|444444,87733:87752|offset_82|444444&amp;v=87613:87952&amp;c=444444", "offset 1")</f>
        <v>offset 1</v>
      </c>
    </row>
    <row r="288" customFormat="false" ht="12.8" hidden="false" customHeight="false" outlineLevel="0" collapsed="false">
      <c r="A288" s="0" t="s">
        <v>12</v>
      </c>
      <c r="B288" s="0" t="n">
        <v>87780</v>
      </c>
      <c r="C288" s="0" t="n">
        <v>87800</v>
      </c>
      <c r="D288" s="0" t="s">
        <v>976</v>
      </c>
      <c r="E288" s="0" t="s">
        <v>89</v>
      </c>
      <c r="F288" s="0" t="s">
        <v>90</v>
      </c>
      <c r="G288" s="0" t="s">
        <v>26</v>
      </c>
      <c r="H288" s="0" t="n">
        <v>34</v>
      </c>
      <c r="I288" s="0" t="s">
        <v>980</v>
      </c>
      <c r="J288" s="0" t="s">
        <v>981</v>
      </c>
      <c r="K288" s="0" t="s">
        <v>982</v>
      </c>
      <c r="L288" s="0" t="str">
        <f aca="false">HYPERLINK("https://www.ncbi.nlm.nih.gov/nuccore/CP000304.1?report=graph&amp;tracks=[key:gene_model_track,Options:GeneOnly]&amp;mk=87814:87833|offset_1|444444,87781:87800|offset_34|00cc00,87760:87779|offset_55|444444,87733:87752|offset_82|444444&amp;v=87613:87952&amp;c=444444", "offset 34")</f>
        <v>offset 34</v>
      </c>
    </row>
    <row r="289" customFormat="false" ht="12.8" hidden="false" customHeight="false" outlineLevel="0" collapsed="false">
      <c r="A289" s="0" t="s">
        <v>12</v>
      </c>
      <c r="B289" s="0" t="n">
        <v>87759</v>
      </c>
      <c r="C289" s="0" t="n">
        <v>87779</v>
      </c>
      <c r="D289" s="0" t="s">
        <v>976</v>
      </c>
      <c r="E289" s="0" t="s">
        <v>89</v>
      </c>
      <c r="F289" s="0" t="s">
        <v>90</v>
      </c>
      <c r="G289" s="0" t="s">
        <v>16</v>
      </c>
      <c r="H289" s="0" t="n">
        <v>55</v>
      </c>
      <c r="I289" s="0" t="s">
        <v>983</v>
      </c>
      <c r="J289" s="0" t="s">
        <v>984</v>
      </c>
      <c r="K289" s="0" t="s">
        <v>985</v>
      </c>
      <c r="L289" s="0" t="str">
        <f aca="false">HYPERLINK("https://www.ncbi.nlm.nih.gov/nuccore/CP000304.1?report=graph&amp;tracks=[key:gene_model_track,Options:GeneOnly]&amp;mk=87814:87833|offset_1|444444,87781:87800|offset_34|444444,87760:87779|offset_55|00cc00,87733:87752|offset_82|444444&amp;v=87613:87952&amp;c=444444", "offset 55")</f>
        <v>offset 55</v>
      </c>
    </row>
    <row r="290" customFormat="false" ht="12.8" hidden="false" customHeight="false" outlineLevel="0" collapsed="false">
      <c r="A290" s="0" t="s">
        <v>12</v>
      </c>
      <c r="B290" s="0" t="n">
        <v>87732</v>
      </c>
      <c r="C290" s="0" t="n">
        <v>87752</v>
      </c>
      <c r="D290" s="0" t="s">
        <v>976</v>
      </c>
      <c r="E290" s="0" t="s">
        <v>89</v>
      </c>
      <c r="F290" s="0" t="s">
        <v>90</v>
      </c>
      <c r="G290" s="0" t="s">
        <v>16</v>
      </c>
      <c r="H290" s="0" t="n">
        <v>82</v>
      </c>
      <c r="I290" s="0" t="s">
        <v>986</v>
      </c>
      <c r="J290" s="0" t="s">
        <v>987</v>
      </c>
      <c r="K290" s="0" t="s">
        <v>988</v>
      </c>
      <c r="L290" s="0" t="str">
        <f aca="false">HYPERLINK("https://www.ncbi.nlm.nih.gov/nuccore/CP000304.1?report=graph&amp;tracks=[key:gene_model_track,Options:GeneOnly]&amp;mk=87814:87833|offset_1|444444,87781:87800|offset_34|444444,87760:87779|offset_55|444444,87733:87752|offset_82|00cc00&amp;v=87613:87952&amp;c=444444", "offset 82")</f>
        <v>offset 82</v>
      </c>
    </row>
    <row r="291" customFormat="false" ht="12.8" hidden="false" customHeight="false" outlineLevel="0" collapsed="false">
      <c r="A291" s="0" t="s">
        <v>12</v>
      </c>
      <c r="B291" s="0" t="n">
        <v>88072</v>
      </c>
      <c r="C291" s="0" t="n">
        <v>88092</v>
      </c>
      <c r="D291" s="0" t="s">
        <v>989</v>
      </c>
      <c r="E291" s="0" t="s">
        <v>89</v>
      </c>
      <c r="F291" s="0" t="s">
        <v>15</v>
      </c>
      <c r="G291" s="0" t="s">
        <v>32</v>
      </c>
      <c r="H291" s="0" t="n">
        <v>8</v>
      </c>
      <c r="I291" s="0" t="s">
        <v>990</v>
      </c>
      <c r="J291" s="0" t="s">
        <v>991</v>
      </c>
      <c r="K291" s="0" t="s">
        <v>992</v>
      </c>
      <c r="L291" s="0" t="str">
        <f aca="false">HYPERLINK("https://www.ncbi.nlm.nih.gov/nuccore/CP000304.1?report=graph&amp;tracks=[key:gene_model_track,Options:GeneOnly]&amp;mk=88073:88092|offset_8|00cc00,88094:88113|offset_29|444444,88125:88144|offset_60|444444,88151:88170|offset_86|444444&amp;v=87872:88370&amp;c=444444", "offset 8")</f>
        <v>offset 8</v>
      </c>
    </row>
    <row r="292" customFormat="false" ht="12.8" hidden="false" customHeight="false" outlineLevel="0" collapsed="false">
      <c r="A292" s="0" t="s">
        <v>12</v>
      </c>
      <c r="B292" s="0" t="n">
        <v>88093</v>
      </c>
      <c r="C292" s="0" t="n">
        <v>88113</v>
      </c>
      <c r="D292" s="0" t="s">
        <v>989</v>
      </c>
      <c r="E292" s="0" t="s">
        <v>89</v>
      </c>
      <c r="F292" s="0" t="s">
        <v>15</v>
      </c>
      <c r="G292" s="0" t="s">
        <v>16</v>
      </c>
      <c r="H292" s="0" t="n">
        <v>29</v>
      </c>
      <c r="I292" s="0" t="s">
        <v>993</v>
      </c>
      <c r="J292" s="0" t="s">
        <v>994</v>
      </c>
      <c r="K292" s="0" t="s">
        <v>995</v>
      </c>
      <c r="L292" s="0" t="str">
        <f aca="false">HYPERLINK("https://www.ncbi.nlm.nih.gov/nuccore/CP000304.1?report=graph&amp;tracks=[key:gene_model_track,Options:GeneOnly]&amp;mk=88073:88092|offset_8|444444,88094:88113|offset_29|00cc00,88125:88144|offset_60|444444,88151:88170|offset_86|444444&amp;v=87872:88370&amp;c=444444", "offset 29")</f>
        <v>offset 29</v>
      </c>
    </row>
    <row r="293" customFormat="false" ht="12.8" hidden="false" customHeight="false" outlineLevel="0" collapsed="false">
      <c r="A293" s="0" t="s">
        <v>12</v>
      </c>
      <c r="B293" s="0" t="n">
        <v>88124</v>
      </c>
      <c r="C293" s="0" t="n">
        <v>88144</v>
      </c>
      <c r="D293" s="0" t="s">
        <v>989</v>
      </c>
      <c r="E293" s="0" t="s">
        <v>89</v>
      </c>
      <c r="F293" s="0" t="s">
        <v>15</v>
      </c>
      <c r="G293" s="0" t="s">
        <v>36</v>
      </c>
      <c r="H293" s="0" t="n">
        <v>60</v>
      </c>
      <c r="I293" s="0" t="s">
        <v>996</v>
      </c>
      <c r="J293" s="0" t="s">
        <v>997</v>
      </c>
      <c r="K293" s="0" t="s">
        <v>998</v>
      </c>
      <c r="L293" s="0" t="str">
        <f aca="false">HYPERLINK("https://www.ncbi.nlm.nih.gov/nuccore/CP000304.1?report=graph&amp;tracks=[key:gene_model_track,Options:GeneOnly]&amp;mk=88073:88092|offset_8|444444,88094:88113|offset_29|444444,88125:88144|offset_60|00cc00,88151:88170|offset_86|444444&amp;v=87872:88370&amp;c=444444", "offset 60")</f>
        <v>offset 60</v>
      </c>
    </row>
    <row r="294" customFormat="false" ht="12.8" hidden="false" customHeight="false" outlineLevel="0" collapsed="false">
      <c r="A294" s="0" t="s">
        <v>12</v>
      </c>
      <c r="B294" s="0" t="n">
        <v>88150</v>
      </c>
      <c r="C294" s="0" t="n">
        <v>88170</v>
      </c>
      <c r="D294" s="0" t="s">
        <v>989</v>
      </c>
      <c r="E294" s="0" t="s">
        <v>89</v>
      </c>
      <c r="F294" s="0" t="s">
        <v>15</v>
      </c>
      <c r="G294" s="0" t="s">
        <v>32</v>
      </c>
      <c r="H294" s="0" t="n">
        <v>86</v>
      </c>
      <c r="I294" s="0" t="s">
        <v>999</v>
      </c>
      <c r="J294" s="0" t="s">
        <v>1000</v>
      </c>
      <c r="K294" s="0" t="s">
        <v>1001</v>
      </c>
      <c r="L294" s="0" t="str">
        <f aca="false">HYPERLINK("https://www.ncbi.nlm.nih.gov/nuccore/CP000304.1?report=graph&amp;tracks=[key:gene_model_track,Options:GeneOnly]&amp;mk=88073:88092|offset_8|444444,88094:88113|offset_29|444444,88125:88144|offset_60|444444,88151:88170|offset_86|00cc00&amp;v=87872:88370&amp;c=444444", "offset 86")</f>
        <v>offset 86</v>
      </c>
    </row>
    <row r="295" customFormat="false" ht="12.8" hidden="false" customHeight="false" outlineLevel="0" collapsed="false">
      <c r="A295" s="0" t="s">
        <v>12</v>
      </c>
      <c r="B295" s="0" t="n">
        <v>89934</v>
      </c>
      <c r="C295" s="0" t="n">
        <v>89954</v>
      </c>
      <c r="D295" s="0" t="s">
        <v>1002</v>
      </c>
      <c r="E295" s="0" t="s">
        <v>1003</v>
      </c>
      <c r="F295" s="0" t="s">
        <v>90</v>
      </c>
      <c r="G295" s="0" t="s">
        <v>32</v>
      </c>
      <c r="H295" s="0" t="n">
        <v>7</v>
      </c>
      <c r="I295" s="0" t="s">
        <v>1004</v>
      </c>
      <c r="J295" s="0" t="s">
        <v>1005</v>
      </c>
      <c r="K295" s="0" t="s">
        <v>1006</v>
      </c>
      <c r="L295" s="0" t="str">
        <f aca="false">HYPERLINK("https://www.ncbi.nlm.nih.gov/nuccore/CP000304.1?report=graph&amp;tracks=[key:gene_model_track,Options:GeneOnly]&amp;mk=89935:89954|offset_7|00cc00,89914:89933|offset_28|444444,89885:89904|offset_57|444444,89860:89879|offset_82|444444&amp;v=89734:90079&amp;c=444444", "offset 7")</f>
        <v>offset 7</v>
      </c>
    </row>
    <row r="296" customFormat="false" ht="12.8" hidden="false" customHeight="false" outlineLevel="0" collapsed="false">
      <c r="A296" s="0" t="s">
        <v>12</v>
      </c>
      <c r="B296" s="0" t="n">
        <v>89913</v>
      </c>
      <c r="C296" s="0" t="n">
        <v>89933</v>
      </c>
      <c r="D296" s="0" t="s">
        <v>1002</v>
      </c>
      <c r="E296" s="0" t="s">
        <v>1003</v>
      </c>
      <c r="F296" s="0" t="s">
        <v>90</v>
      </c>
      <c r="G296" s="0" t="s">
        <v>36</v>
      </c>
      <c r="H296" s="0" t="n">
        <v>28</v>
      </c>
      <c r="I296" s="0" t="s">
        <v>1007</v>
      </c>
      <c r="J296" s="0" t="s">
        <v>1008</v>
      </c>
      <c r="K296" s="0" t="s">
        <v>1009</v>
      </c>
      <c r="L296" s="0" t="str">
        <f aca="false">HYPERLINK("https://www.ncbi.nlm.nih.gov/nuccore/CP000304.1?report=graph&amp;tracks=[key:gene_model_track,Options:GeneOnly]&amp;mk=89935:89954|offset_7|444444,89914:89933|offset_28|00cc00,89885:89904|offset_57|444444,89860:89879|offset_82|444444&amp;v=89734:90079&amp;c=444444", "offset 28")</f>
        <v>offset 28</v>
      </c>
    </row>
    <row r="297" customFormat="false" ht="12.8" hidden="false" customHeight="false" outlineLevel="0" collapsed="false">
      <c r="A297" s="0" t="s">
        <v>12</v>
      </c>
      <c r="B297" s="0" t="n">
        <v>89884</v>
      </c>
      <c r="C297" s="0" t="n">
        <v>89904</v>
      </c>
      <c r="D297" s="0" t="s">
        <v>1002</v>
      </c>
      <c r="E297" s="0" t="s">
        <v>1003</v>
      </c>
      <c r="F297" s="0" t="s">
        <v>90</v>
      </c>
      <c r="G297" s="0" t="s">
        <v>16</v>
      </c>
      <c r="H297" s="0" t="n">
        <v>57</v>
      </c>
      <c r="I297" s="0" t="s">
        <v>1010</v>
      </c>
      <c r="J297" s="0" t="s">
        <v>1011</v>
      </c>
      <c r="K297" s="0" t="s">
        <v>1012</v>
      </c>
      <c r="L297" s="0" t="str">
        <f aca="false">HYPERLINK("https://www.ncbi.nlm.nih.gov/nuccore/CP000304.1?report=graph&amp;tracks=[key:gene_model_track,Options:GeneOnly]&amp;mk=89935:89954|offset_7|444444,89914:89933|offset_28|444444,89885:89904|offset_57|00cc00,89860:89879|offset_82|444444&amp;v=89734:90079&amp;c=444444", "offset 57")</f>
        <v>offset 57</v>
      </c>
    </row>
    <row r="298" customFormat="false" ht="12.8" hidden="false" customHeight="false" outlineLevel="0" collapsed="false">
      <c r="A298" s="0" t="s">
        <v>12</v>
      </c>
      <c r="B298" s="0" t="n">
        <v>89859</v>
      </c>
      <c r="C298" s="0" t="n">
        <v>89879</v>
      </c>
      <c r="D298" s="0" t="s">
        <v>1002</v>
      </c>
      <c r="E298" s="0" t="s">
        <v>1003</v>
      </c>
      <c r="F298" s="0" t="s">
        <v>90</v>
      </c>
      <c r="G298" s="0" t="s">
        <v>16</v>
      </c>
      <c r="H298" s="0" t="n">
        <v>82</v>
      </c>
      <c r="I298" s="0" t="s">
        <v>1013</v>
      </c>
      <c r="J298" s="0" t="s">
        <v>1014</v>
      </c>
      <c r="K298" s="0" t="s">
        <v>1015</v>
      </c>
      <c r="L298" s="0" t="str">
        <f aca="false">HYPERLINK("https://www.ncbi.nlm.nih.gov/nuccore/CP000304.1?report=graph&amp;tracks=[key:gene_model_track,Options:GeneOnly]&amp;mk=89935:89954|offset_7|444444,89914:89933|offset_28|444444,89885:89904|offset_57|444444,89860:89879|offset_82|00cc00&amp;v=89734:90079&amp;c=444444", "offset 82")</f>
        <v>offset 82</v>
      </c>
    </row>
    <row r="299" customFormat="false" ht="12.8" hidden="false" customHeight="false" outlineLevel="0" collapsed="false">
      <c r="A299" s="0" t="s">
        <v>12</v>
      </c>
      <c r="B299" s="0" t="n">
        <v>90566</v>
      </c>
      <c r="C299" s="0" t="n">
        <v>90586</v>
      </c>
      <c r="D299" s="0" t="s">
        <v>1016</v>
      </c>
      <c r="E299" s="0" t="s">
        <v>1017</v>
      </c>
      <c r="F299" s="0" t="s">
        <v>90</v>
      </c>
      <c r="G299" s="0" t="s">
        <v>32</v>
      </c>
      <c r="H299" s="0" t="n">
        <v>1</v>
      </c>
      <c r="I299" s="0" t="s">
        <v>1018</v>
      </c>
      <c r="J299" s="0" t="s">
        <v>1019</v>
      </c>
      <c r="K299" s="0" t="s">
        <v>1020</v>
      </c>
      <c r="L299" s="0" t="str">
        <f aca="false">HYPERLINK("https://www.ncbi.nlm.nih.gov/nuccore/CP000304.1?report=graph&amp;tracks=[key:gene_model_track,Options:GeneOnly]&amp;mk=90567:90586|offset_1|00cc00,90539:90558|offset_29|444444,90516:90535|offset_52|444444,90486:90505|offset_82|444444&amp;v=90366:90705&amp;c=444444", "offset 1")</f>
        <v>offset 1</v>
      </c>
    </row>
    <row r="300" customFormat="false" ht="12.8" hidden="false" customHeight="false" outlineLevel="0" collapsed="false">
      <c r="A300" s="0" t="s">
        <v>12</v>
      </c>
      <c r="B300" s="0" t="n">
        <v>90538</v>
      </c>
      <c r="C300" s="0" t="n">
        <v>90558</v>
      </c>
      <c r="D300" s="0" t="s">
        <v>1016</v>
      </c>
      <c r="E300" s="0" t="s">
        <v>1017</v>
      </c>
      <c r="F300" s="0" t="s">
        <v>90</v>
      </c>
      <c r="G300" s="0" t="s">
        <v>32</v>
      </c>
      <c r="H300" s="0" t="n">
        <v>29</v>
      </c>
      <c r="I300" s="0" t="s">
        <v>1021</v>
      </c>
      <c r="J300" s="0" t="s">
        <v>1022</v>
      </c>
      <c r="K300" s="0" t="s">
        <v>1023</v>
      </c>
      <c r="L300" s="0" t="str">
        <f aca="false">HYPERLINK("https://www.ncbi.nlm.nih.gov/nuccore/CP000304.1?report=graph&amp;tracks=[key:gene_model_track,Options:GeneOnly]&amp;mk=90567:90586|offset_1|444444,90539:90558|offset_29|00cc00,90516:90535|offset_52|444444,90486:90505|offset_82|444444&amp;v=90366:90705&amp;c=444444", "offset 29")</f>
        <v>offset 29</v>
      </c>
    </row>
    <row r="301" customFormat="false" ht="12.8" hidden="false" customHeight="false" outlineLevel="0" collapsed="false">
      <c r="A301" s="0" t="s">
        <v>12</v>
      </c>
      <c r="B301" s="0" t="n">
        <v>90515</v>
      </c>
      <c r="C301" s="0" t="n">
        <v>90535</v>
      </c>
      <c r="D301" s="0" t="s">
        <v>1016</v>
      </c>
      <c r="E301" s="0" t="s">
        <v>1017</v>
      </c>
      <c r="F301" s="0" t="s">
        <v>90</v>
      </c>
      <c r="G301" s="0" t="s">
        <v>26</v>
      </c>
      <c r="H301" s="0" t="n">
        <v>52</v>
      </c>
      <c r="I301" s="0" t="s">
        <v>1024</v>
      </c>
      <c r="J301" s="0" t="s">
        <v>1025</v>
      </c>
      <c r="K301" s="0" t="s">
        <v>1026</v>
      </c>
      <c r="L301" s="0" t="str">
        <f aca="false">HYPERLINK("https://www.ncbi.nlm.nih.gov/nuccore/CP000304.1?report=graph&amp;tracks=[key:gene_model_track,Options:GeneOnly]&amp;mk=90567:90586|offset_1|444444,90539:90558|offset_29|444444,90516:90535|offset_52|00cc00,90486:90505|offset_82|444444&amp;v=90366:90705&amp;c=444444", "offset 52")</f>
        <v>offset 52</v>
      </c>
    </row>
    <row r="302" customFormat="false" ht="12.8" hidden="false" customHeight="false" outlineLevel="0" collapsed="false">
      <c r="A302" s="0" t="s">
        <v>12</v>
      </c>
      <c r="B302" s="0" t="n">
        <v>90485</v>
      </c>
      <c r="C302" s="0" t="n">
        <v>90505</v>
      </c>
      <c r="D302" s="0" t="s">
        <v>1016</v>
      </c>
      <c r="E302" s="0" t="s">
        <v>1017</v>
      </c>
      <c r="F302" s="0" t="s">
        <v>90</v>
      </c>
      <c r="G302" s="0" t="s">
        <v>26</v>
      </c>
      <c r="H302" s="0" t="n">
        <v>82</v>
      </c>
      <c r="I302" s="0" t="s">
        <v>1027</v>
      </c>
      <c r="J302" s="0" t="s">
        <v>1028</v>
      </c>
      <c r="K302" s="0" t="s">
        <v>1029</v>
      </c>
      <c r="L302" s="0" t="str">
        <f aca="false">HYPERLINK("https://www.ncbi.nlm.nih.gov/nuccore/CP000304.1?report=graph&amp;tracks=[key:gene_model_track,Options:GeneOnly]&amp;mk=90567:90586|offset_1|444444,90539:90558|offset_29|444444,90516:90535|offset_52|444444,90486:90505|offset_82|00cc00&amp;v=90366:90705&amp;c=444444", "offset 82")</f>
        <v>offset 82</v>
      </c>
    </row>
    <row r="303" customFormat="false" ht="12.8" hidden="false" customHeight="false" outlineLevel="0" collapsed="false">
      <c r="A303" s="0" t="s">
        <v>12</v>
      </c>
      <c r="B303" s="0" t="n">
        <v>91903</v>
      </c>
      <c r="C303" s="0" t="n">
        <v>91923</v>
      </c>
      <c r="D303" s="0" t="s">
        <v>1030</v>
      </c>
      <c r="E303" s="0" t="s">
        <v>1031</v>
      </c>
      <c r="F303" s="0" t="s">
        <v>90</v>
      </c>
      <c r="G303" s="0" t="s">
        <v>32</v>
      </c>
      <c r="H303" s="0" t="n">
        <v>0</v>
      </c>
      <c r="I303" s="0" t="s">
        <v>1032</v>
      </c>
      <c r="J303" s="0" t="s">
        <v>1033</v>
      </c>
      <c r="K303" s="0" t="s">
        <v>1034</v>
      </c>
      <c r="L303" s="0" t="str">
        <f aca="false">HYPERLINK("https://www.ncbi.nlm.nih.gov/nuccore/CP000304.1?report=graph&amp;tracks=[key:gene_model_track,Options:GeneOnly]&amp;mk=91904:91923|offset_0|00cc00,91871:91890|offset_33|444444,91851:91870|offset_53|444444,91792:91811|offset_112|444444&amp;v=91703:92011&amp;c=444444", "offset 0")</f>
        <v>offset 0</v>
      </c>
    </row>
    <row r="304" customFormat="false" ht="12.8" hidden="false" customHeight="false" outlineLevel="0" collapsed="false">
      <c r="A304" s="0" t="s">
        <v>12</v>
      </c>
      <c r="B304" s="0" t="n">
        <v>91870</v>
      </c>
      <c r="C304" s="0" t="n">
        <v>91890</v>
      </c>
      <c r="D304" s="0" t="s">
        <v>1030</v>
      </c>
      <c r="E304" s="0" t="s">
        <v>1031</v>
      </c>
      <c r="F304" s="0" t="s">
        <v>90</v>
      </c>
      <c r="G304" s="0" t="s">
        <v>16</v>
      </c>
      <c r="H304" s="0" t="n">
        <v>33</v>
      </c>
      <c r="I304" s="0" t="s">
        <v>1035</v>
      </c>
      <c r="J304" s="0" t="s">
        <v>1036</v>
      </c>
      <c r="K304" s="0" t="s">
        <v>1037</v>
      </c>
      <c r="L304" s="0" t="str">
        <f aca="false">HYPERLINK("https://www.ncbi.nlm.nih.gov/nuccore/CP000304.1?report=graph&amp;tracks=[key:gene_model_track,Options:GeneOnly]&amp;mk=91904:91923|offset_0|444444,91871:91890|offset_33|00cc00,91851:91870|offset_53|444444,91792:91811|offset_112|444444&amp;v=91703:92011&amp;c=444444", "offset 33")</f>
        <v>offset 33</v>
      </c>
    </row>
    <row r="305" customFormat="false" ht="12.8" hidden="false" customHeight="false" outlineLevel="0" collapsed="false">
      <c r="A305" s="0" t="s">
        <v>12</v>
      </c>
      <c r="B305" s="0" t="n">
        <v>91850</v>
      </c>
      <c r="C305" s="0" t="n">
        <v>91870</v>
      </c>
      <c r="D305" s="0" t="s">
        <v>1030</v>
      </c>
      <c r="E305" s="0" t="s">
        <v>1031</v>
      </c>
      <c r="F305" s="0" t="s">
        <v>90</v>
      </c>
      <c r="G305" s="0" t="s">
        <v>32</v>
      </c>
      <c r="H305" s="0" t="n">
        <v>53</v>
      </c>
      <c r="I305" s="0" t="s">
        <v>1038</v>
      </c>
      <c r="J305" s="0" t="s">
        <v>1039</v>
      </c>
      <c r="K305" s="0" t="s">
        <v>1040</v>
      </c>
      <c r="L305" s="0" t="str">
        <f aca="false">HYPERLINK("https://www.ncbi.nlm.nih.gov/nuccore/CP000304.1?report=graph&amp;tracks=[key:gene_model_track,Options:GeneOnly]&amp;mk=91904:91923|offset_0|444444,91871:91890|offset_33|444444,91851:91870|offset_53|00cc00,91792:91811|offset_112|444444&amp;v=91703:92011&amp;c=444444", "offset 53")</f>
        <v>offset 53</v>
      </c>
    </row>
    <row r="306" customFormat="false" ht="12.8" hidden="false" customHeight="false" outlineLevel="0" collapsed="false">
      <c r="A306" s="0" t="s">
        <v>12</v>
      </c>
      <c r="B306" s="0" t="n">
        <v>91791</v>
      </c>
      <c r="C306" s="0" t="n">
        <v>91811</v>
      </c>
      <c r="D306" s="0" t="s">
        <v>1030</v>
      </c>
      <c r="E306" s="0" t="s">
        <v>1031</v>
      </c>
      <c r="F306" s="0" t="s">
        <v>90</v>
      </c>
      <c r="G306" s="0" t="s">
        <v>36</v>
      </c>
      <c r="H306" s="0" t="n">
        <v>112</v>
      </c>
      <c r="I306" s="0" t="s">
        <v>1041</v>
      </c>
      <c r="J306" s="0" t="s">
        <v>1042</v>
      </c>
      <c r="K306" s="0" t="s">
        <v>1043</v>
      </c>
      <c r="L306" s="0" t="str">
        <f aca="false">HYPERLINK("https://www.ncbi.nlm.nih.gov/nuccore/CP000304.1?report=graph&amp;tracks=[key:gene_model_track,Options:GeneOnly]&amp;mk=91904:91923|offset_0|444444,91871:91890|offset_33|444444,91851:91870|offset_53|444444,91792:91811|offset_112|00cc00&amp;v=91703:92011&amp;c=444444", "offset 112")</f>
        <v>offset 112</v>
      </c>
    </row>
    <row r="307" customFormat="false" ht="12.8" hidden="false" customHeight="false" outlineLevel="0" collapsed="false">
      <c r="A307" s="0" t="s">
        <v>12</v>
      </c>
      <c r="B307" s="0" t="n">
        <v>93552</v>
      </c>
      <c r="C307" s="0" t="n">
        <v>93572</v>
      </c>
      <c r="D307" s="0" t="s">
        <v>1044</v>
      </c>
      <c r="E307" s="0" t="s">
        <v>1045</v>
      </c>
      <c r="F307" s="0" t="s">
        <v>90</v>
      </c>
      <c r="G307" s="0" t="s">
        <v>36</v>
      </c>
      <c r="H307" s="0" t="n">
        <v>16</v>
      </c>
      <c r="I307" s="0" t="s">
        <v>1046</v>
      </c>
      <c r="J307" s="0" t="s">
        <v>1047</v>
      </c>
      <c r="K307" s="0" t="s">
        <v>1048</v>
      </c>
      <c r="L307" s="0" t="str">
        <f aca="false">HYPERLINK("https://www.ncbi.nlm.nih.gov/nuccore/CP000304.1?report=graph&amp;tracks=[key:gene_model_track,Options:GeneOnly]&amp;mk=93553:93572|offset_16|00cc00,93509:93528|offset_60|444444,93486:93505|offset_83|444444,93454:93473|offset_115|444444&amp;v=93352:93673&amp;c=444444", "offset 16")</f>
        <v>offset 16</v>
      </c>
    </row>
    <row r="308" customFormat="false" ht="12.8" hidden="false" customHeight="false" outlineLevel="0" collapsed="false">
      <c r="A308" s="0" t="s">
        <v>12</v>
      </c>
      <c r="B308" s="0" t="n">
        <v>93508</v>
      </c>
      <c r="C308" s="0" t="n">
        <v>93528</v>
      </c>
      <c r="D308" s="0" t="s">
        <v>1044</v>
      </c>
      <c r="E308" s="0" t="s">
        <v>1045</v>
      </c>
      <c r="F308" s="0" t="s">
        <v>90</v>
      </c>
      <c r="G308" s="0" t="s">
        <v>16</v>
      </c>
      <c r="H308" s="0" t="n">
        <v>60</v>
      </c>
      <c r="I308" s="0" t="s">
        <v>1049</v>
      </c>
      <c r="J308" s="0" t="s">
        <v>1050</v>
      </c>
      <c r="K308" s="0" t="s">
        <v>1051</v>
      </c>
      <c r="L308" s="0" t="str">
        <f aca="false">HYPERLINK("https://www.ncbi.nlm.nih.gov/nuccore/CP000304.1?report=graph&amp;tracks=[key:gene_model_track,Options:GeneOnly]&amp;mk=93553:93572|offset_16|444444,93509:93528|offset_60|00cc00,93486:93505|offset_83|444444,93454:93473|offset_115|444444&amp;v=93352:93673&amp;c=444444", "offset 60")</f>
        <v>offset 60</v>
      </c>
    </row>
    <row r="309" customFormat="false" ht="12.8" hidden="false" customHeight="false" outlineLevel="0" collapsed="false">
      <c r="A309" s="0" t="s">
        <v>12</v>
      </c>
      <c r="B309" s="0" t="n">
        <v>93485</v>
      </c>
      <c r="C309" s="0" t="n">
        <v>93505</v>
      </c>
      <c r="D309" s="0" t="s">
        <v>1044</v>
      </c>
      <c r="E309" s="0" t="s">
        <v>1045</v>
      </c>
      <c r="F309" s="0" t="s">
        <v>90</v>
      </c>
      <c r="G309" s="0" t="s">
        <v>32</v>
      </c>
      <c r="H309" s="0" t="n">
        <v>83</v>
      </c>
      <c r="I309" s="0" t="s">
        <v>1052</v>
      </c>
      <c r="J309" s="0" t="s">
        <v>1053</v>
      </c>
      <c r="K309" s="0" t="s">
        <v>1054</v>
      </c>
      <c r="L309" s="0" t="str">
        <f aca="false">HYPERLINK("https://www.ncbi.nlm.nih.gov/nuccore/CP000304.1?report=graph&amp;tracks=[key:gene_model_track,Options:GeneOnly]&amp;mk=93553:93572|offset_16|444444,93509:93528|offset_60|444444,93486:93505|offset_83|00cc00,93454:93473|offset_115|444444&amp;v=93352:93673&amp;c=444444", "offset 83")</f>
        <v>offset 83</v>
      </c>
    </row>
    <row r="310" customFormat="false" ht="12.8" hidden="false" customHeight="false" outlineLevel="0" collapsed="false">
      <c r="A310" s="0" t="s">
        <v>12</v>
      </c>
      <c r="B310" s="0" t="n">
        <v>93453</v>
      </c>
      <c r="C310" s="0" t="n">
        <v>93473</v>
      </c>
      <c r="D310" s="0" t="s">
        <v>1044</v>
      </c>
      <c r="E310" s="0" t="s">
        <v>1045</v>
      </c>
      <c r="F310" s="0" t="s">
        <v>90</v>
      </c>
      <c r="G310" s="0" t="s">
        <v>32</v>
      </c>
      <c r="H310" s="0" t="n">
        <v>115</v>
      </c>
      <c r="I310" s="0" t="s">
        <v>1055</v>
      </c>
      <c r="J310" s="0" t="s">
        <v>1056</v>
      </c>
      <c r="K310" s="0" t="s">
        <v>1057</v>
      </c>
      <c r="L310" s="0" t="str">
        <f aca="false">HYPERLINK("https://www.ncbi.nlm.nih.gov/nuccore/CP000304.1?report=graph&amp;tracks=[key:gene_model_track,Options:GeneOnly]&amp;mk=93553:93572|offset_16|444444,93509:93528|offset_60|444444,93486:93505|offset_83|444444,93454:93473|offset_115|00cc00&amp;v=93352:93673&amp;c=444444", "offset 115")</f>
        <v>offset 115</v>
      </c>
    </row>
    <row r="311" customFormat="false" ht="12.8" hidden="false" customHeight="false" outlineLevel="0" collapsed="false">
      <c r="A311" s="0" t="s">
        <v>12</v>
      </c>
      <c r="B311" s="0" t="n">
        <v>95363</v>
      </c>
      <c r="C311" s="0" t="n">
        <v>95383</v>
      </c>
      <c r="D311" s="0" t="s">
        <v>1058</v>
      </c>
      <c r="E311" s="0" t="s">
        <v>1059</v>
      </c>
      <c r="F311" s="0" t="s">
        <v>90</v>
      </c>
      <c r="G311" s="0" t="s">
        <v>16</v>
      </c>
      <c r="H311" s="0" t="n">
        <v>7</v>
      </c>
      <c r="I311" s="0" t="s">
        <v>1060</v>
      </c>
      <c r="J311" s="0" t="s">
        <v>1061</v>
      </c>
      <c r="K311" s="0" t="s">
        <v>1062</v>
      </c>
      <c r="L311" s="0" t="str">
        <f aca="false">HYPERLINK("https://www.ncbi.nlm.nih.gov/nuccore/CP000304.1?report=graph&amp;tracks=[key:gene_model_track,Options:GeneOnly]&amp;mk=95364:95383|offset_7|00cc00,95342:95361|offset_29|444444,95322:95341|offset_49|444444,95299:95318|offset_72|444444&amp;v=95163:95518&amp;c=444444", "offset 7")</f>
        <v>offset 7</v>
      </c>
    </row>
    <row r="312" customFormat="false" ht="12.8" hidden="false" customHeight="false" outlineLevel="0" collapsed="false">
      <c r="A312" s="0" t="s">
        <v>12</v>
      </c>
      <c r="B312" s="0" t="n">
        <v>95341</v>
      </c>
      <c r="C312" s="0" t="n">
        <v>95361</v>
      </c>
      <c r="D312" s="0" t="s">
        <v>1058</v>
      </c>
      <c r="E312" s="0" t="s">
        <v>1059</v>
      </c>
      <c r="F312" s="0" t="s">
        <v>90</v>
      </c>
      <c r="G312" s="0" t="s">
        <v>36</v>
      </c>
      <c r="H312" s="0" t="n">
        <v>29</v>
      </c>
      <c r="I312" s="0" t="s">
        <v>1063</v>
      </c>
      <c r="J312" s="0" t="s">
        <v>1064</v>
      </c>
      <c r="K312" s="0" t="s">
        <v>1065</v>
      </c>
      <c r="L312" s="0" t="str">
        <f aca="false">HYPERLINK("https://www.ncbi.nlm.nih.gov/nuccore/CP000304.1?report=graph&amp;tracks=[key:gene_model_track,Options:GeneOnly]&amp;mk=95364:95383|offset_7|444444,95342:95361|offset_29|00cc00,95322:95341|offset_49|444444,95299:95318|offset_72|444444&amp;v=95163:95518&amp;c=444444", "offset 29")</f>
        <v>offset 29</v>
      </c>
    </row>
    <row r="313" customFormat="false" ht="12.8" hidden="false" customHeight="false" outlineLevel="0" collapsed="false">
      <c r="A313" s="0" t="s">
        <v>12</v>
      </c>
      <c r="B313" s="0" t="n">
        <v>95321</v>
      </c>
      <c r="C313" s="0" t="n">
        <v>95341</v>
      </c>
      <c r="D313" s="0" t="s">
        <v>1058</v>
      </c>
      <c r="E313" s="0" t="s">
        <v>1059</v>
      </c>
      <c r="F313" s="0" t="s">
        <v>90</v>
      </c>
      <c r="G313" s="0" t="s">
        <v>36</v>
      </c>
      <c r="H313" s="0" t="n">
        <v>49</v>
      </c>
      <c r="I313" s="0" t="s">
        <v>1066</v>
      </c>
      <c r="J313" s="0" t="s">
        <v>1067</v>
      </c>
      <c r="K313" s="0" t="s">
        <v>1068</v>
      </c>
      <c r="L313" s="0" t="str">
        <f aca="false">HYPERLINK("https://www.ncbi.nlm.nih.gov/nuccore/CP000304.1?report=graph&amp;tracks=[key:gene_model_track,Options:GeneOnly]&amp;mk=95364:95383|offset_7|444444,95342:95361|offset_29|444444,95322:95341|offset_49|00cc00,95299:95318|offset_72|444444&amp;v=95163:95518&amp;c=444444", "offset 49")</f>
        <v>offset 49</v>
      </c>
    </row>
    <row r="314" customFormat="false" ht="12.8" hidden="false" customHeight="false" outlineLevel="0" collapsed="false">
      <c r="A314" s="0" t="s">
        <v>12</v>
      </c>
      <c r="B314" s="0" t="n">
        <v>95298</v>
      </c>
      <c r="C314" s="0" t="n">
        <v>95318</v>
      </c>
      <c r="D314" s="0" t="s">
        <v>1058</v>
      </c>
      <c r="E314" s="0" t="s">
        <v>1059</v>
      </c>
      <c r="F314" s="0" t="s">
        <v>90</v>
      </c>
      <c r="G314" s="0" t="s">
        <v>32</v>
      </c>
      <c r="H314" s="0" t="n">
        <v>72</v>
      </c>
      <c r="I314" s="0" t="s">
        <v>1069</v>
      </c>
      <c r="J314" s="0" t="s">
        <v>1070</v>
      </c>
      <c r="K314" s="0" t="s">
        <v>1071</v>
      </c>
      <c r="L314" s="0" t="str">
        <f aca="false">HYPERLINK("https://www.ncbi.nlm.nih.gov/nuccore/CP000304.1?report=graph&amp;tracks=[key:gene_model_track,Options:GeneOnly]&amp;mk=95364:95383|offset_7|444444,95342:95361|offset_29|444444,95322:95341|offset_49|444444,95299:95318|offset_72|00cc00&amp;v=95163:95518&amp;c=444444", "offset 72")</f>
        <v>offset 72</v>
      </c>
    </row>
    <row r="315" customFormat="false" ht="12.8" hidden="false" customHeight="false" outlineLevel="0" collapsed="false">
      <c r="A315" s="0" t="s">
        <v>12</v>
      </c>
      <c r="B315" s="0" t="n">
        <v>96379</v>
      </c>
      <c r="C315" s="0" t="n">
        <v>96399</v>
      </c>
      <c r="D315" s="0" t="s">
        <v>1072</v>
      </c>
      <c r="E315" s="0" t="s">
        <v>89</v>
      </c>
      <c r="F315" s="0" t="s">
        <v>90</v>
      </c>
      <c r="G315" s="0" t="s">
        <v>26</v>
      </c>
      <c r="H315" s="0" t="n">
        <v>11</v>
      </c>
      <c r="I315" s="0" t="s">
        <v>1073</v>
      </c>
      <c r="J315" s="0" t="s">
        <v>1074</v>
      </c>
      <c r="K315" s="0" t="s">
        <v>1075</v>
      </c>
      <c r="L315" s="0" t="str">
        <f aca="false">HYPERLINK("https://www.ncbi.nlm.nih.gov/nuccore/CP000304.1?report=graph&amp;tracks=[key:gene_model_track,Options:GeneOnly]&amp;mk=96380:96399|offset_11|00cc00,96351:96370|offset_40|444444,96321:96340|offset_70|444444,96284:96303|offset_107|444444&amp;v=96179:96503&amp;c=444444", "offset 11")</f>
        <v>offset 11</v>
      </c>
    </row>
    <row r="316" customFormat="false" ht="12.8" hidden="false" customHeight="false" outlineLevel="0" collapsed="false">
      <c r="A316" s="0" t="s">
        <v>12</v>
      </c>
      <c r="B316" s="0" t="n">
        <v>96350</v>
      </c>
      <c r="C316" s="0" t="n">
        <v>96370</v>
      </c>
      <c r="D316" s="0" t="s">
        <v>1072</v>
      </c>
      <c r="E316" s="0" t="s">
        <v>89</v>
      </c>
      <c r="F316" s="0" t="s">
        <v>90</v>
      </c>
      <c r="G316" s="0" t="s">
        <v>36</v>
      </c>
      <c r="H316" s="0" t="n">
        <v>40</v>
      </c>
      <c r="I316" s="0" t="s">
        <v>1076</v>
      </c>
      <c r="J316" s="0" t="s">
        <v>1077</v>
      </c>
      <c r="K316" s="0" t="s">
        <v>1078</v>
      </c>
      <c r="L316" s="0" t="str">
        <f aca="false">HYPERLINK("https://www.ncbi.nlm.nih.gov/nuccore/CP000304.1?report=graph&amp;tracks=[key:gene_model_track,Options:GeneOnly]&amp;mk=96380:96399|offset_11|444444,96351:96370|offset_40|00cc00,96321:96340|offset_70|444444,96284:96303|offset_107|444444&amp;v=96179:96503&amp;c=444444", "offset 40")</f>
        <v>offset 40</v>
      </c>
    </row>
    <row r="317" customFormat="false" ht="12.8" hidden="false" customHeight="false" outlineLevel="0" collapsed="false">
      <c r="A317" s="0" t="s">
        <v>12</v>
      </c>
      <c r="B317" s="0" t="n">
        <v>96320</v>
      </c>
      <c r="C317" s="0" t="n">
        <v>96340</v>
      </c>
      <c r="D317" s="0" t="s">
        <v>1072</v>
      </c>
      <c r="E317" s="0" t="s">
        <v>89</v>
      </c>
      <c r="F317" s="0" t="s">
        <v>90</v>
      </c>
      <c r="G317" s="0" t="s">
        <v>16</v>
      </c>
      <c r="H317" s="0" t="n">
        <v>70</v>
      </c>
      <c r="I317" s="0" t="s">
        <v>1079</v>
      </c>
      <c r="J317" s="0" t="s">
        <v>1080</v>
      </c>
      <c r="K317" s="0" t="s">
        <v>1081</v>
      </c>
      <c r="L317" s="0" t="str">
        <f aca="false">HYPERLINK("https://www.ncbi.nlm.nih.gov/nuccore/CP000304.1?report=graph&amp;tracks=[key:gene_model_track,Options:GeneOnly]&amp;mk=96380:96399|offset_11|444444,96351:96370|offset_40|444444,96321:96340|offset_70|00cc00,96284:96303|offset_107|444444&amp;v=96179:96503&amp;c=444444", "offset 70")</f>
        <v>offset 70</v>
      </c>
    </row>
    <row r="318" customFormat="false" ht="12.8" hidden="false" customHeight="false" outlineLevel="0" collapsed="false">
      <c r="A318" s="0" t="s">
        <v>12</v>
      </c>
      <c r="B318" s="0" t="n">
        <v>96283</v>
      </c>
      <c r="C318" s="0" t="n">
        <v>96303</v>
      </c>
      <c r="D318" s="0" t="s">
        <v>1072</v>
      </c>
      <c r="E318" s="0" t="s">
        <v>89</v>
      </c>
      <c r="F318" s="0" t="s">
        <v>90</v>
      </c>
      <c r="G318" s="0" t="s">
        <v>26</v>
      </c>
      <c r="H318" s="0" t="n">
        <v>107</v>
      </c>
      <c r="I318" s="0" t="s">
        <v>1082</v>
      </c>
      <c r="J318" s="0" t="s">
        <v>1083</v>
      </c>
      <c r="K318" s="0" t="s">
        <v>1084</v>
      </c>
      <c r="L318" s="0" t="str">
        <f aca="false">HYPERLINK("https://www.ncbi.nlm.nih.gov/nuccore/CP000304.1?report=graph&amp;tracks=[key:gene_model_track,Options:GeneOnly]&amp;mk=96380:96399|offset_11|444444,96351:96370|offset_40|444444,96321:96340|offset_70|444444,96284:96303|offset_107|00cc00&amp;v=96179:96503&amp;c=444444", "offset 107")</f>
        <v>offset 107</v>
      </c>
    </row>
    <row r="319" customFormat="false" ht="12.8" hidden="false" customHeight="false" outlineLevel="0" collapsed="false">
      <c r="A319" s="0" t="s">
        <v>12</v>
      </c>
      <c r="B319" s="0" t="n">
        <v>96913</v>
      </c>
      <c r="C319" s="0" t="n">
        <v>96933</v>
      </c>
      <c r="D319" s="0" t="s">
        <v>1085</v>
      </c>
      <c r="E319" s="0" t="s">
        <v>89</v>
      </c>
      <c r="F319" s="0" t="s">
        <v>90</v>
      </c>
      <c r="G319" s="0" t="s">
        <v>32</v>
      </c>
      <c r="H319" s="0" t="n">
        <v>19</v>
      </c>
      <c r="I319" s="0" t="s">
        <v>1086</v>
      </c>
      <c r="J319" s="0" t="s">
        <v>1087</v>
      </c>
      <c r="K319" s="0" t="s">
        <v>1088</v>
      </c>
      <c r="L319" s="0" t="str">
        <f aca="false">HYPERLINK("https://www.ncbi.nlm.nih.gov/nuccore/CP000304.1?report=graph&amp;tracks=[key:gene_model_track,Options:GeneOnly]&amp;mk=96914:96933|offset_19|00cc00,96885:96904|offset_48|444444,96833:96852|offset_100|444444,96793:96812|offset_140|444444&amp;v=96713:97012&amp;c=444444", "offset 19")</f>
        <v>offset 19</v>
      </c>
    </row>
    <row r="320" customFormat="false" ht="12.8" hidden="false" customHeight="false" outlineLevel="0" collapsed="false">
      <c r="A320" s="0" t="s">
        <v>12</v>
      </c>
      <c r="B320" s="0" t="n">
        <v>96884</v>
      </c>
      <c r="C320" s="0" t="n">
        <v>96904</v>
      </c>
      <c r="D320" s="0" t="s">
        <v>1085</v>
      </c>
      <c r="E320" s="0" t="s">
        <v>89</v>
      </c>
      <c r="F320" s="0" t="s">
        <v>90</v>
      </c>
      <c r="G320" s="0" t="s">
        <v>36</v>
      </c>
      <c r="H320" s="0" t="n">
        <v>48</v>
      </c>
      <c r="I320" s="0" t="s">
        <v>1089</v>
      </c>
      <c r="J320" s="0" t="s">
        <v>1090</v>
      </c>
      <c r="K320" s="0" t="s">
        <v>1091</v>
      </c>
      <c r="L320" s="0" t="str">
        <f aca="false">HYPERLINK("https://www.ncbi.nlm.nih.gov/nuccore/CP000304.1?report=graph&amp;tracks=[key:gene_model_track,Options:GeneOnly]&amp;mk=96914:96933|offset_19|444444,96885:96904|offset_48|00cc00,96833:96852|offset_100|444444,96793:96812|offset_140|444444&amp;v=96713:97012&amp;c=444444", "offset 48")</f>
        <v>offset 48</v>
      </c>
    </row>
    <row r="321" customFormat="false" ht="12.8" hidden="false" customHeight="false" outlineLevel="0" collapsed="false">
      <c r="A321" s="0" t="s">
        <v>12</v>
      </c>
      <c r="B321" s="0" t="n">
        <v>96832</v>
      </c>
      <c r="C321" s="0" t="n">
        <v>96852</v>
      </c>
      <c r="D321" s="0" t="s">
        <v>1085</v>
      </c>
      <c r="E321" s="0" t="s">
        <v>89</v>
      </c>
      <c r="F321" s="0" t="s">
        <v>90</v>
      </c>
      <c r="G321" s="0" t="s">
        <v>16</v>
      </c>
      <c r="H321" s="0" t="n">
        <v>100</v>
      </c>
      <c r="I321" s="0" t="s">
        <v>1092</v>
      </c>
      <c r="J321" s="0" t="s">
        <v>1093</v>
      </c>
      <c r="K321" s="0" t="s">
        <v>1094</v>
      </c>
      <c r="L321" s="0" t="str">
        <f aca="false">HYPERLINK("https://www.ncbi.nlm.nih.gov/nuccore/CP000304.1?report=graph&amp;tracks=[key:gene_model_track,Options:GeneOnly]&amp;mk=96914:96933|offset_19|444444,96885:96904|offset_48|444444,96833:96852|offset_100|00cc00,96793:96812|offset_140|444444&amp;v=96713:97012&amp;c=444444", "offset 100")</f>
        <v>offset 100</v>
      </c>
    </row>
    <row r="322" customFormat="false" ht="12.8" hidden="false" customHeight="false" outlineLevel="0" collapsed="false">
      <c r="A322" s="0" t="s">
        <v>12</v>
      </c>
      <c r="B322" s="0" t="n">
        <v>96792</v>
      </c>
      <c r="C322" s="0" t="n">
        <v>96812</v>
      </c>
      <c r="D322" s="0" t="s">
        <v>1085</v>
      </c>
      <c r="E322" s="0" t="s">
        <v>89</v>
      </c>
      <c r="F322" s="0" t="s">
        <v>90</v>
      </c>
      <c r="G322" s="0" t="s">
        <v>32</v>
      </c>
      <c r="H322" s="0" t="n">
        <v>140</v>
      </c>
      <c r="I322" s="0" t="s">
        <v>1095</v>
      </c>
      <c r="J322" s="0" t="s">
        <v>1096</v>
      </c>
      <c r="K322" s="0" t="s">
        <v>1097</v>
      </c>
      <c r="L322" s="0" t="str">
        <f aca="false">HYPERLINK("https://www.ncbi.nlm.nih.gov/nuccore/CP000304.1?report=graph&amp;tracks=[key:gene_model_track,Options:GeneOnly]&amp;mk=96914:96933|offset_19|444444,96885:96904|offset_48|444444,96833:96852|offset_100|444444,96793:96812|offset_140|00cc00&amp;v=96713:97012&amp;c=444444", "offset 140")</f>
        <v>offset 140</v>
      </c>
    </row>
    <row r="323" customFormat="false" ht="12.8" hidden="false" customHeight="false" outlineLevel="0" collapsed="false">
      <c r="A323" s="0" t="s">
        <v>12</v>
      </c>
      <c r="B323" s="0" t="n">
        <v>97784</v>
      </c>
      <c r="C323" s="0" t="n">
        <v>97804</v>
      </c>
      <c r="D323" s="0" t="s">
        <v>1098</v>
      </c>
      <c r="E323" s="0" t="s">
        <v>89</v>
      </c>
      <c r="F323" s="0" t="s">
        <v>90</v>
      </c>
      <c r="G323" s="0" t="s">
        <v>26</v>
      </c>
      <c r="H323" s="0" t="n">
        <v>17</v>
      </c>
      <c r="I323" s="0" t="s">
        <v>1099</v>
      </c>
      <c r="J323" s="0" t="s">
        <v>1100</v>
      </c>
      <c r="K323" s="0" t="s">
        <v>1101</v>
      </c>
      <c r="L323" s="0" t="str">
        <f aca="false">HYPERLINK("https://www.ncbi.nlm.nih.gov/nuccore/CP000304.1?report=graph&amp;tracks=[key:gene_model_track,Options:GeneOnly]&amp;mk=97785:97804|offset_17|00cc00,97765:97784|offset_37|444444,97735:97754|offset_67|444444,97706:97725|offset_96|444444&amp;v=97584:97925&amp;c=444444", "offset 17")</f>
        <v>offset 17</v>
      </c>
    </row>
    <row r="324" customFormat="false" ht="12.8" hidden="false" customHeight="false" outlineLevel="0" collapsed="false">
      <c r="A324" s="0" t="s">
        <v>12</v>
      </c>
      <c r="B324" s="0" t="n">
        <v>97764</v>
      </c>
      <c r="C324" s="0" t="n">
        <v>97784</v>
      </c>
      <c r="D324" s="0" t="s">
        <v>1098</v>
      </c>
      <c r="E324" s="0" t="s">
        <v>89</v>
      </c>
      <c r="F324" s="0" t="s">
        <v>90</v>
      </c>
      <c r="G324" s="0" t="s">
        <v>36</v>
      </c>
      <c r="H324" s="0" t="n">
        <v>37</v>
      </c>
      <c r="I324" s="0" t="s">
        <v>1102</v>
      </c>
      <c r="J324" s="0" t="s">
        <v>1103</v>
      </c>
      <c r="K324" s="0" t="s">
        <v>1104</v>
      </c>
      <c r="L324" s="0" t="str">
        <f aca="false">HYPERLINK("https://www.ncbi.nlm.nih.gov/nuccore/CP000304.1?report=graph&amp;tracks=[key:gene_model_track,Options:GeneOnly]&amp;mk=97785:97804|offset_17|444444,97765:97784|offset_37|00cc00,97735:97754|offset_67|444444,97706:97725|offset_96|444444&amp;v=97584:97925&amp;c=444444", "offset 37")</f>
        <v>offset 37</v>
      </c>
    </row>
    <row r="325" customFormat="false" ht="12.8" hidden="false" customHeight="false" outlineLevel="0" collapsed="false">
      <c r="A325" s="0" t="s">
        <v>12</v>
      </c>
      <c r="B325" s="0" t="n">
        <v>97734</v>
      </c>
      <c r="C325" s="0" t="n">
        <v>97754</v>
      </c>
      <c r="D325" s="0" t="s">
        <v>1098</v>
      </c>
      <c r="E325" s="0" t="s">
        <v>89</v>
      </c>
      <c r="F325" s="0" t="s">
        <v>90</v>
      </c>
      <c r="G325" s="0" t="s">
        <v>32</v>
      </c>
      <c r="H325" s="0" t="n">
        <v>67</v>
      </c>
      <c r="I325" s="0" t="s">
        <v>1105</v>
      </c>
      <c r="J325" s="0" t="s">
        <v>1106</v>
      </c>
      <c r="K325" s="0" t="s">
        <v>1107</v>
      </c>
      <c r="L325" s="0" t="str">
        <f aca="false">HYPERLINK("https://www.ncbi.nlm.nih.gov/nuccore/CP000304.1?report=graph&amp;tracks=[key:gene_model_track,Options:GeneOnly]&amp;mk=97785:97804|offset_17|444444,97765:97784|offset_37|444444,97735:97754|offset_67|00cc00,97706:97725|offset_96|444444&amp;v=97584:97925&amp;c=444444", "offset 67")</f>
        <v>offset 67</v>
      </c>
    </row>
    <row r="326" customFormat="false" ht="12.8" hidden="false" customHeight="false" outlineLevel="0" collapsed="false">
      <c r="A326" s="0" t="s">
        <v>12</v>
      </c>
      <c r="B326" s="0" t="n">
        <v>97705</v>
      </c>
      <c r="C326" s="0" t="n">
        <v>97725</v>
      </c>
      <c r="D326" s="0" t="s">
        <v>1098</v>
      </c>
      <c r="E326" s="0" t="s">
        <v>89</v>
      </c>
      <c r="F326" s="0" t="s">
        <v>90</v>
      </c>
      <c r="G326" s="0" t="s">
        <v>16</v>
      </c>
      <c r="H326" s="0" t="n">
        <v>96</v>
      </c>
      <c r="I326" s="0" t="s">
        <v>1108</v>
      </c>
      <c r="J326" s="0" t="s">
        <v>1109</v>
      </c>
      <c r="K326" s="0" t="s">
        <v>1110</v>
      </c>
      <c r="L326" s="0" t="str">
        <f aca="false">HYPERLINK("https://www.ncbi.nlm.nih.gov/nuccore/CP000304.1?report=graph&amp;tracks=[key:gene_model_track,Options:GeneOnly]&amp;mk=97785:97804|offset_17|444444,97765:97784|offset_37|444444,97735:97754|offset_67|444444,97706:97725|offset_96|00cc00&amp;v=97584:97925&amp;c=444444", "offset 96")</f>
        <v>offset 96</v>
      </c>
    </row>
    <row r="327" customFormat="false" ht="12.8" hidden="false" customHeight="false" outlineLevel="0" collapsed="false">
      <c r="A327" s="0" t="s">
        <v>12</v>
      </c>
      <c r="B327" s="0" t="n">
        <v>98762</v>
      </c>
      <c r="C327" s="0" t="n">
        <v>98782</v>
      </c>
      <c r="D327" s="0" t="s">
        <v>1111</v>
      </c>
      <c r="E327" s="0" t="s">
        <v>1112</v>
      </c>
      <c r="F327" s="0" t="s">
        <v>90</v>
      </c>
      <c r="G327" s="0" t="s">
        <v>26</v>
      </c>
      <c r="H327" s="0" t="n">
        <v>25</v>
      </c>
      <c r="I327" s="0" t="s">
        <v>1113</v>
      </c>
      <c r="J327" s="0" t="s">
        <v>1114</v>
      </c>
      <c r="K327" s="0" t="s">
        <v>1115</v>
      </c>
      <c r="L327" s="0" t="str">
        <f aca="false">HYPERLINK("https://www.ncbi.nlm.nih.gov/nuccore/CP000304.1?report=graph&amp;tracks=[key:gene_model_track,Options:GeneOnly]&amp;mk=98763:98782|offset_25|00cc00,98736:98755|offset_52|444444,98705:98724|offset_83|444444,98651:98670|offset_137|444444&amp;v=98562:98870&amp;c=444444", "offset 25")</f>
        <v>offset 25</v>
      </c>
    </row>
    <row r="328" customFormat="false" ht="12.8" hidden="false" customHeight="false" outlineLevel="0" collapsed="false">
      <c r="A328" s="0" t="s">
        <v>12</v>
      </c>
      <c r="B328" s="0" t="n">
        <v>98735</v>
      </c>
      <c r="C328" s="0" t="n">
        <v>98755</v>
      </c>
      <c r="D328" s="0" t="s">
        <v>1111</v>
      </c>
      <c r="E328" s="0" t="s">
        <v>1112</v>
      </c>
      <c r="F328" s="0" t="s">
        <v>90</v>
      </c>
      <c r="G328" s="0" t="s">
        <v>32</v>
      </c>
      <c r="H328" s="0" t="n">
        <v>52</v>
      </c>
      <c r="I328" s="0" t="s">
        <v>1116</v>
      </c>
      <c r="J328" s="0" t="s">
        <v>1117</v>
      </c>
      <c r="K328" s="0" t="s">
        <v>1118</v>
      </c>
      <c r="L328" s="0" t="str">
        <f aca="false">HYPERLINK("https://www.ncbi.nlm.nih.gov/nuccore/CP000304.1?report=graph&amp;tracks=[key:gene_model_track,Options:GeneOnly]&amp;mk=98763:98782|offset_25|444444,98736:98755|offset_52|00cc00,98705:98724|offset_83|444444,98651:98670|offset_137|444444&amp;v=98562:98870&amp;c=444444", "offset 52")</f>
        <v>offset 52</v>
      </c>
    </row>
    <row r="329" customFormat="false" ht="12.8" hidden="false" customHeight="false" outlineLevel="0" collapsed="false">
      <c r="A329" s="0" t="s">
        <v>12</v>
      </c>
      <c r="B329" s="0" t="n">
        <v>98704</v>
      </c>
      <c r="C329" s="0" t="n">
        <v>98724</v>
      </c>
      <c r="D329" s="0" t="s">
        <v>1111</v>
      </c>
      <c r="E329" s="0" t="s">
        <v>1112</v>
      </c>
      <c r="F329" s="0" t="s">
        <v>90</v>
      </c>
      <c r="G329" s="0" t="s">
        <v>26</v>
      </c>
      <c r="H329" s="0" t="n">
        <v>83</v>
      </c>
      <c r="I329" s="0" t="s">
        <v>1119</v>
      </c>
      <c r="J329" s="0" t="s">
        <v>1120</v>
      </c>
      <c r="K329" s="0" t="s">
        <v>1121</v>
      </c>
      <c r="L329" s="0" t="str">
        <f aca="false">HYPERLINK("https://www.ncbi.nlm.nih.gov/nuccore/CP000304.1?report=graph&amp;tracks=[key:gene_model_track,Options:GeneOnly]&amp;mk=98763:98782|offset_25|444444,98736:98755|offset_52|444444,98705:98724|offset_83|00cc00,98651:98670|offset_137|444444&amp;v=98562:98870&amp;c=444444", "offset 83")</f>
        <v>offset 83</v>
      </c>
    </row>
    <row r="330" customFormat="false" ht="12.8" hidden="false" customHeight="false" outlineLevel="0" collapsed="false">
      <c r="A330" s="0" t="s">
        <v>12</v>
      </c>
      <c r="B330" s="0" t="n">
        <v>98650</v>
      </c>
      <c r="C330" s="0" t="n">
        <v>98670</v>
      </c>
      <c r="D330" s="0" t="s">
        <v>1111</v>
      </c>
      <c r="E330" s="0" t="s">
        <v>1112</v>
      </c>
      <c r="F330" s="0" t="s">
        <v>90</v>
      </c>
      <c r="G330" s="0" t="s">
        <v>32</v>
      </c>
      <c r="H330" s="0" t="n">
        <v>137</v>
      </c>
      <c r="I330" s="0" t="s">
        <v>1122</v>
      </c>
      <c r="J330" s="0" t="s">
        <v>1123</v>
      </c>
      <c r="K330" s="0" t="s">
        <v>1124</v>
      </c>
      <c r="L330" s="0" t="str">
        <f aca="false">HYPERLINK("https://www.ncbi.nlm.nih.gov/nuccore/CP000304.1?report=graph&amp;tracks=[key:gene_model_track,Options:GeneOnly]&amp;mk=98763:98782|offset_25|444444,98736:98755|offset_52|444444,98705:98724|offset_83|444444,98651:98670|offset_137|00cc00&amp;v=98562:98870&amp;c=444444", "offset 137")</f>
        <v>offset 137</v>
      </c>
    </row>
    <row r="331" customFormat="false" ht="12.8" hidden="false" customHeight="false" outlineLevel="0" collapsed="false">
      <c r="A331" s="0" t="s">
        <v>12</v>
      </c>
      <c r="B331" s="0" t="n">
        <v>100154</v>
      </c>
      <c r="C331" s="0" t="n">
        <v>100174</v>
      </c>
      <c r="D331" s="0" t="s">
        <v>1125</v>
      </c>
      <c r="E331" s="0" t="s">
        <v>89</v>
      </c>
      <c r="F331" s="0" t="s">
        <v>90</v>
      </c>
      <c r="G331" s="0" t="s">
        <v>32</v>
      </c>
      <c r="H331" s="0" t="n">
        <v>26</v>
      </c>
      <c r="I331" s="0" t="s">
        <v>1126</v>
      </c>
      <c r="J331" s="0" t="s">
        <v>1127</v>
      </c>
      <c r="K331" s="0" t="s">
        <v>1128</v>
      </c>
      <c r="L331" s="0" t="str">
        <f aca="false">HYPERLINK("https://www.ncbi.nlm.nih.gov/nuccore/CP000304.1?report=graph&amp;tracks=[key:gene_model_track,Options:GeneOnly]&amp;mk=100155:100174|offset_26|00cc00,100128:100147|offset_53|444444,100087:100106|offset_94|444444,100060:100079|offset_121|444444&amp;v=99954:100279&amp;c=444444", "offset 26")</f>
        <v>offset 26</v>
      </c>
    </row>
    <row r="332" customFormat="false" ht="12.8" hidden="false" customHeight="false" outlineLevel="0" collapsed="false">
      <c r="A332" s="0" t="s">
        <v>12</v>
      </c>
      <c r="B332" s="0" t="n">
        <v>100127</v>
      </c>
      <c r="C332" s="0" t="n">
        <v>100147</v>
      </c>
      <c r="D332" s="0" t="s">
        <v>1125</v>
      </c>
      <c r="E332" s="0" t="s">
        <v>89</v>
      </c>
      <c r="F332" s="0" t="s">
        <v>90</v>
      </c>
      <c r="G332" s="0" t="s">
        <v>26</v>
      </c>
      <c r="H332" s="0" t="n">
        <v>53</v>
      </c>
      <c r="I332" s="0" t="s">
        <v>1129</v>
      </c>
      <c r="J332" s="0" t="s">
        <v>1130</v>
      </c>
      <c r="K332" s="0" t="s">
        <v>1131</v>
      </c>
      <c r="L332" s="0" t="str">
        <f aca="false">HYPERLINK("https://www.ncbi.nlm.nih.gov/nuccore/CP000304.1?report=graph&amp;tracks=[key:gene_model_track,Options:GeneOnly]&amp;mk=100155:100174|offset_26|444444,100128:100147|offset_53|00cc00,100087:100106|offset_94|444444,100060:100079|offset_121|444444&amp;v=99954:100279&amp;c=444444", "offset 53")</f>
        <v>offset 53</v>
      </c>
    </row>
    <row r="333" customFormat="false" ht="12.8" hidden="false" customHeight="false" outlineLevel="0" collapsed="false">
      <c r="A333" s="0" t="s">
        <v>12</v>
      </c>
      <c r="B333" s="0" t="n">
        <v>100086</v>
      </c>
      <c r="C333" s="0" t="n">
        <v>100106</v>
      </c>
      <c r="D333" s="0" t="s">
        <v>1125</v>
      </c>
      <c r="E333" s="0" t="s">
        <v>89</v>
      </c>
      <c r="F333" s="0" t="s">
        <v>90</v>
      </c>
      <c r="G333" s="0" t="s">
        <v>26</v>
      </c>
      <c r="H333" s="0" t="n">
        <v>94</v>
      </c>
      <c r="I333" s="0" t="s">
        <v>1132</v>
      </c>
      <c r="J333" s="0" t="s">
        <v>1133</v>
      </c>
      <c r="K333" s="0" t="s">
        <v>1134</v>
      </c>
      <c r="L333" s="0" t="str">
        <f aca="false">HYPERLINK("https://www.ncbi.nlm.nih.gov/nuccore/CP000304.1?report=graph&amp;tracks=[key:gene_model_track,Options:GeneOnly]&amp;mk=100155:100174|offset_26|444444,100128:100147|offset_53|444444,100087:100106|offset_94|00cc00,100060:100079|offset_121|444444&amp;v=99954:100279&amp;c=444444", "offset 94")</f>
        <v>offset 94</v>
      </c>
    </row>
    <row r="334" customFormat="false" ht="12.8" hidden="false" customHeight="false" outlineLevel="0" collapsed="false">
      <c r="A334" s="0" t="s">
        <v>12</v>
      </c>
      <c r="B334" s="0" t="n">
        <v>100059</v>
      </c>
      <c r="C334" s="0" t="n">
        <v>100079</v>
      </c>
      <c r="D334" s="0" t="s">
        <v>1125</v>
      </c>
      <c r="E334" s="0" t="s">
        <v>89</v>
      </c>
      <c r="F334" s="0" t="s">
        <v>90</v>
      </c>
      <c r="G334" s="0" t="s">
        <v>32</v>
      </c>
      <c r="H334" s="0" t="n">
        <v>121</v>
      </c>
      <c r="I334" s="0" t="s">
        <v>1135</v>
      </c>
      <c r="J334" s="0" t="s">
        <v>1136</v>
      </c>
      <c r="K334" s="0" t="s">
        <v>1137</v>
      </c>
      <c r="L334" s="0" t="str">
        <f aca="false">HYPERLINK("https://www.ncbi.nlm.nih.gov/nuccore/CP000304.1?report=graph&amp;tracks=[key:gene_model_track,Options:GeneOnly]&amp;mk=100155:100174|offset_26|444444,100128:100147|offset_53|444444,100087:100106|offset_94|444444,100060:100079|offset_121|00cc00&amp;v=99954:100279&amp;c=444444", "offset 121")</f>
        <v>offset 121</v>
      </c>
    </row>
    <row r="335" customFormat="false" ht="12.8" hidden="false" customHeight="false" outlineLevel="0" collapsed="false">
      <c r="A335" s="0" t="s">
        <v>12</v>
      </c>
      <c r="B335" s="0" t="n">
        <v>102912</v>
      </c>
      <c r="C335" s="0" t="n">
        <v>102932</v>
      </c>
      <c r="D335" s="0" t="s">
        <v>1138</v>
      </c>
      <c r="E335" s="0" t="s">
        <v>89</v>
      </c>
      <c r="F335" s="0" t="s">
        <v>90</v>
      </c>
      <c r="G335" s="0" t="s">
        <v>36</v>
      </c>
      <c r="H335" s="0" t="n">
        <v>41</v>
      </c>
      <c r="I335" s="0" t="s">
        <v>1139</v>
      </c>
      <c r="J335" s="0" t="s">
        <v>1140</v>
      </c>
      <c r="K335" s="0" t="s">
        <v>1141</v>
      </c>
      <c r="L335" s="0" t="str">
        <f aca="false">HYPERLINK("https://www.ncbi.nlm.nih.gov/nuccore/CP000304.1?report=graph&amp;tracks=[key:gene_model_track,Options:GeneOnly]&amp;mk=102913:102932|offset_41|00cc00,102893:102912|offset_61|444444,102857:102876|offset_97|444444,102835:102854|offset_119|444444&amp;v=102712:103054&amp;c=444444", "offset 41")</f>
        <v>offset 41</v>
      </c>
    </row>
    <row r="336" customFormat="false" ht="12.8" hidden="false" customHeight="false" outlineLevel="0" collapsed="false">
      <c r="A336" s="0" t="s">
        <v>12</v>
      </c>
      <c r="B336" s="0" t="n">
        <v>102892</v>
      </c>
      <c r="C336" s="0" t="n">
        <v>102912</v>
      </c>
      <c r="D336" s="0" t="s">
        <v>1138</v>
      </c>
      <c r="E336" s="0" t="s">
        <v>89</v>
      </c>
      <c r="F336" s="0" t="s">
        <v>90</v>
      </c>
      <c r="G336" s="0" t="s">
        <v>16</v>
      </c>
      <c r="H336" s="0" t="n">
        <v>61</v>
      </c>
      <c r="I336" s="0" t="s">
        <v>1142</v>
      </c>
      <c r="J336" s="0" t="s">
        <v>1143</v>
      </c>
      <c r="K336" s="0" t="s">
        <v>1144</v>
      </c>
      <c r="L336" s="0" t="str">
        <f aca="false">HYPERLINK("https://www.ncbi.nlm.nih.gov/nuccore/CP000304.1?report=graph&amp;tracks=[key:gene_model_track,Options:GeneOnly]&amp;mk=102913:102932|offset_41|444444,102893:102912|offset_61|00cc00,102857:102876|offset_97|444444,102835:102854|offset_119|444444&amp;v=102712:103054&amp;c=444444", "offset 61")</f>
        <v>offset 61</v>
      </c>
    </row>
    <row r="337" customFormat="false" ht="12.8" hidden="false" customHeight="false" outlineLevel="0" collapsed="false">
      <c r="A337" s="0" t="s">
        <v>12</v>
      </c>
      <c r="B337" s="0" t="n">
        <v>102856</v>
      </c>
      <c r="C337" s="0" t="n">
        <v>102876</v>
      </c>
      <c r="D337" s="0" t="s">
        <v>1138</v>
      </c>
      <c r="E337" s="0" t="s">
        <v>89</v>
      </c>
      <c r="F337" s="0" t="s">
        <v>90</v>
      </c>
      <c r="G337" s="0" t="s">
        <v>36</v>
      </c>
      <c r="H337" s="0" t="n">
        <v>97</v>
      </c>
      <c r="I337" s="0" t="s">
        <v>1145</v>
      </c>
      <c r="J337" s="0" t="s">
        <v>1146</v>
      </c>
      <c r="K337" s="0" t="s">
        <v>1147</v>
      </c>
      <c r="L337" s="0" t="str">
        <f aca="false">HYPERLINK("https://www.ncbi.nlm.nih.gov/nuccore/CP000304.1?report=graph&amp;tracks=[key:gene_model_track,Options:GeneOnly]&amp;mk=102913:102932|offset_41|444444,102893:102912|offset_61|444444,102857:102876|offset_97|00cc00,102835:102854|offset_119|444444&amp;v=102712:103054&amp;c=444444", "offset 97")</f>
        <v>offset 97</v>
      </c>
    </row>
    <row r="338" customFormat="false" ht="12.8" hidden="false" customHeight="false" outlineLevel="0" collapsed="false">
      <c r="A338" s="0" t="s">
        <v>12</v>
      </c>
      <c r="B338" s="0" t="n">
        <v>102834</v>
      </c>
      <c r="C338" s="0" t="n">
        <v>102854</v>
      </c>
      <c r="D338" s="0" t="s">
        <v>1138</v>
      </c>
      <c r="E338" s="0" t="s">
        <v>89</v>
      </c>
      <c r="F338" s="0" t="s">
        <v>90</v>
      </c>
      <c r="G338" s="0" t="s">
        <v>26</v>
      </c>
      <c r="H338" s="0" t="n">
        <v>119</v>
      </c>
      <c r="I338" s="0" t="s">
        <v>1148</v>
      </c>
      <c r="J338" s="0" t="s">
        <v>1149</v>
      </c>
      <c r="K338" s="0" t="s">
        <v>1150</v>
      </c>
      <c r="L338" s="0" t="str">
        <f aca="false">HYPERLINK("https://www.ncbi.nlm.nih.gov/nuccore/CP000304.1?report=graph&amp;tracks=[key:gene_model_track,Options:GeneOnly]&amp;mk=102913:102932|offset_41|444444,102893:102912|offset_61|444444,102857:102876|offset_97|444444,102835:102854|offset_119|00cc00&amp;v=102712:103054&amp;c=444444", "offset 119")</f>
        <v>offset 119</v>
      </c>
    </row>
    <row r="339" customFormat="false" ht="12.8" hidden="false" customHeight="false" outlineLevel="0" collapsed="false">
      <c r="A339" s="0" t="s">
        <v>12</v>
      </c>
      <c r="B339" s="0" t="n">
        <v>104020</v>
      </c>
      <c r="C339" s="0" t="n">
        <v>104040</v>
      </c>
      <c r="D339" s="0" t="s">
        <v>1151</v>
      </c>
      <c r="E339" s="0" t="s">
        <v>89</v>
      </c>
      <c r="F339" s="0" t="s">
        <v>90</v>
      </c>
      <c r="G339" s="0" t="s">
        <v>32</v>
      </c>
      <c r="H339" s="0" t="n">
        <v>6</v>
      </c>
      <c r="I339" s="0" t="s">
        <v>1152</v>
      </c>
      <c r="J339" s="0" t="s">
        <v>1153</v>
      </c>
      <c r="K339" s="0" t="s">
        <v>1154</v>
      </c>
      <c r="L339" s="0" t="str">
        <f aca="false">HYPERLINK("https://www.ncbi.nlm.nih.gov/nuccore/CP000304.1?report=graph&amp;tracks=[key:gene_model_track,Options:GeneOnly]&amp;mk=104021:104040|offset_6|00cc00,103994:104013|offset_33|444444,103969:103988|offset_58|444444,103915:103934|offset_112|444444&amp;v=103820:104134&amp;c=444444", "offset 6")</f>
        <v>offset 6</v>
      </c>
    </row>
    <row r="340" customFormat="false" ht="12.8" hidden="false" customHeight="false" outlineLevel="0" collapsed="false">
      <c r="A340" s="0" t="s">
        <v>12</v>
      </c>
      <c r="B340" s="0" t="n">
        <v>103993</v>
      </c>
      <c r="C340" s="0" t="n">
        <v>104013</v>
      </c>
      <c r="D340" s="0" t="s">
        <v>1151</v>
      </c>
      <c r="E340" s="0" t="s">
        <v>89</v>
      </c>
      <c r="F340" s="0" t="s">
        <v>90</v>
      </c>
      <c r="G340" s="0" t="s">
        <v>36</v>
      </c>
      <c r="H340" s="0" t="n">
        <v>33</v>
      </c>
      <c r="I340" s="0" t="s">
        <v>1155</v>
      </c>
      <c r="J340" s="0" t="s">
        <v>1156</v>
      </c>
      <c r="K340" s="0" t="s">
        <v>1157</v>
      </c>
      <c r="L340" s="0" t="str">
        <f aca="false">HYPERLINK("https://www.ncbi.nlm.nih.gov/nuccore/CP000304.1?report=graph&amp;tracks=[key:gene_model_track,Options:GeneOnly]&amp;mk=104021:104040|offset_6|444444,103994:104013|offset_33|00cc00,103969:103988|offset_58|444444,103915:103934|offset_112|444444&amp;v=103820:104134&amp;c=444444", "offset 33")</f>
        <v>offset 33</v>
      </c>
    </row>
    <row r="341" customFormat="false" ht="12.8" hidden="false" customHeight="false" outlineLevel="0" collapsed="false">
      <c r="A341" s="0" t="s">
        <v>12</v>
      </c>
      <c r="B341" s="0" t="n">
        <v>103968</v>
      </c>
      <c r="C341" s="0" t="n">
        <v>103988</v>
      </c>
      <c r="D341" s="0" t="s">
        <v>1151</v>
      </c>
      <c r="E341" s="0" t="s">
        <v>89</v>
      </c>
      <c r="F341" s="0" t="s">
        <v>90</v>
      </c>
      <c r="G341" s="0" t="s">
        <v>36</v>
      </c>
      <c r="H341" s="0" t="n">
        <v>58</v>
      </c>
      <c r="I341" s="0" t="s">
        <v>1158</v>
      </c>
      <c r="J341" s="0" t="s">
        <v>1159</v>
      </c>
      <c r="K341" s="0" t="s">
        <v>1160</v>
      </c>
      <c r="L341" s="0" t="str">
        <f aca="false">HYPERLINK("https://www.ncbi.nlm.nih.gov/nuccore/CP000304.1?report=graph&amp;tracks=[key:gene_model_track,Options:GeneOnly]&amp;mk=104021:104040|offset_6|444444,103994:104013|offset_33|444444,103969:103988|offset_58|00cc00,103915:103934|offset_112|444444&amp;v=103820:104134&amp;c=444444", "offset 58")</f>
        <v>offset 58</v>
      </c>
    </row>
    <row r="342" customFormat="false" ht="12.8" hidden="false" customHeight="false" outlineLevel="0" collapsed="false">
      <c r="A342" s="0" t="s">
        <v>12</v>
      </c>
      <c r="B342" s="0" t="n">
        <v>103914</v>
      </c>
      <c r="C342" s="0" t="n">
        <v>103934</v>
      </c>
      <c r="D342" s="0" t="s">
        <v>1151</v>
      </c>
      <c r="E342" s="0" t="s">
        <v>89</v>
      </c>
      <c r="F342" s="0" t="s">
        <v>90</v>
      </c>
      <c r="G342" s="0" t="s">
        <v>26</v>
      </c>
      <c r="H342" s="0" t="n">
        <v>112</v>
      </c>
      <c r="I342" s="0" t="s">
        <v>1161</v>
      </c>
      <c r="J342" s="0" t="s">
        <v>1162</v>
      </c>
      <c r="K342" s="0" t="s">
        <v>1163</v>
      </c>
      <c r="L342" s="0" t="str">
        <f aca="false">HYPERLINK("https://www.ncbi.nlm.nih.gov/nuccore/CP000304.1?report=graph&amp;tracks=[key:gene_model_track,Options:GeneOnly]&amp;mk=104021:104040|offset_6|444444,103994:104013|offset_33|444444,103969:103988|offset_58|444444,103915:103934|offset_112|00cc00&amp;v=103820:104134&amp;c=444444", "offset 112")</f>
        <v>offset 112</v>
      </c>
    </row>
    <row r="343" customFormat="false" ht="12.8" hidden="false" customHeight="false" outlineLevel="0" collapsed="false">
      <c r="A343" s="0" t="s">
        <v>12</v>
      </c>
      <c r="B343" s="0" t="n">
        <v>104724</v>
      </c>
      <c r="C343" s="0" t="n">
        <v>104744</v>
      </c>
      <c r="D343" s="0" t="s">
        <v>1164</v>
      </c>
      <c r="E343" s="0" t="s">
        <v>89</v>
      </c>
      <c r="F343" s="0" t="s">
        <v>90</v>
      </c>
      <c r="G343" s="0" t="s">
        <v>16</v>
      </c>
      <c r="H343" s="0" t="n">
        <v>8</v>
      </c>
      <c r="I343" s="0" t="s">
        <v>1165</v>
      </c>
      <c r="J343" s="0" t="s">
        <v>1166</v>
      </c>
      <c r="K343" s="0" t="s">
        <v>1167</v>
      </c>
      <c r="L343" s="0" t="str">
        <f aca="false">HYPERLINK("https://www.ncbi.nlm.nih.gov/nuccore/CP000304.1?report=graph&amp;tracks=[key:gene_model_track,Options:GeneOnly]&amp;mk=104725:104744|offset_8|00cc00,104705:104724|offset_28|444444,104655:104674|offset_78|444444,104629:104648|offset_104|444444&amp;v=104524:104848&amp;c=444444", "offset 8")</f>
        <v>offset 8</v>
      </c>
    </row>
    <row r="344" customFormat="false" ht="12.8" hidden="false" customHeight="false" outlineLevel="0" collapsed="false">
      <c r="A344" s="0" t="s">
        <v>12</v>
      </c>
      <c r="B344" s="0" t="n">
        <v>104704</v>
      </c>
      <c r="C344" s="0" t="n">
        <v>104724</v>
      </c>
      <c r="D344" s="0" t="s">
        <v>1164</v>
      </c>
      <c r="E344" s="0" t="s">
        <v>89</v>
      </c>
      <c r="F344" s="0" t="s">
        <v>90</v>
      </c>
      <c r="G344" s="0" t="s">
        <v>36</v>
      </c>
      <c r="H344" s="0" t="n">
        <v>28</v>
      </c>
      <c r="I344" s="0" t="s">
        <v>1168</v>
      </c>
      <c r="J344" s="0" t="s">
        <v>1169</v>
      </c>
      <c r="K344" s="0" t="s">
        <v>1170</v>
      </c>
      <c r="L344" s="0" t="str">
        <f aca="false">HYPERLINK("https://www.ncbi.nlm.nih.gov/nuccore/CP000304.1?report=graph&amp;tracks=[key:gene_model_track,Options:GeneOnly]&amp;mk=104725:104744|offset_8|444444,104705:104724|offset_28|00cc00,104655:104674|offset_78|444444,104629:104648|offset_104|444444&amp;v=104524:104848&amp;c=444444", "offset 28")</f>
        <v>offset 28</v>
      </c>
    </row>
    <row r="345" customFormat="false" ht="12.8" hidden="false" customHeight="false" outlineLevel="0" collapsed="false">
      <c r="A345" s="0" t="s">
        <v>12</v>
      </c>
      <c r="B345" s="0" t="n">
        <v>104654</v>
      </c>
      <c r="C345" s="0" t="n">
        <v>104674</v>
      </c>
      <c r="D345" s="0" t="s">
        <v>1164</v>
      </c>
      <c r="E345" s="0" t="s">
        <v>89</v>
      </c>
      <c r="F345" s="0" t="s">
        <v>90</v>
      </c>
      <c r="G345" s="0" t="s">
        <v>36</v>
      </c>
      <c r="H345" s="0" t="n">
        <v>78</v>
      </c>
      <c r="I345" s="0" t="s">
        <v>1171</v>
      </c>
      <c r="J345" s="0" t="s">
        <v>1172</v>
      </c>
      <c r="K345" s="0" t="s">
        <v>1173</v>
      </c>
      <c r="L345" s="0" t="str">
        <f aca="false">HYPERLINK("https://www.ncbi.nlm.nih.gov/nuccore/CP000304.1?report=graph&amp;tracks=[key:gene_model_track,Options:GeneOnly]&amp;mk=104725:104744|offset_8|444444,104705:104724|offset_28|444444,104655:104674|offset_78|00cc00,104629:104648|offset_104|444444&amp;v=104524:104848&amp;c=444444", "offset 78")</f>
        <v>offset 78</v>
      </c>
    </row>
    <row r="346" customFormat="false" ht="12.8" hidden="false" customHeight="false" outlineLevel="0" collapsed="false">
      <c r="A346" s="0" t="s">
        <v>12</v>
      </c>
      <c r="B346" s="0" t="n">
        <v>104628</v>
      </c>
      <c r="C346" s="0" t="n">
        <v>104648</v>
      </c>
      <c r="D346" s="0" t="s">
        <v>1164</v>
      </c>
      <c r="E346" s="0" t="s">
        <v>89</v>
      </c>
      <c r="F346" s="0" t="s">
        <v>90</v>
      </c>
      <c r="G346" s="0" t="s">
        <v>26</v>
      </c>
      <c r="H346" s="0" t="n">
        <v>104</v>
      </c>
      <c r="I346" s="0" t="s">
        <v>1174</v>
      </c>
      <c r="J346" s="0" t="s">
        <v>1175</v>
      </c>
      <c r="K346" s="0" t="s">
        <v>1176</v>
      </c>
      <c r="L346" s="0" t="str">
        <f aca="false">HYPERLINK("https://www.ncbi.nlm.nih.gov/nuccore/CP000304.1?report=graph&amp;tracks=[key:gene_model_track,Options:GeneOnly]&amp;mk=104725:104744|offset_8|444444,104705:104724|offset_28|444444,104655:104674|offset_78|444444,104629:104648|offset_104|00cc00&amp;v=104524:104848&amp;c=444444", "offset 104")</f>
        <v>offset 104</v>
      </c>
    </row>
    <row r="347" customFormat="false" ht="12.8" hidden="false" customHeight="false" outlineLevel="0" collapsed="false">
      <c r="A347" s="0" t="s">
        <v>12</v>
      </c>
      <c r="B347" s="0" t="n">
        <v>105657</v>
      </c>
      <c r="C347" s="0" t="n">
        <v>105677</v>
      </c>
      <c r="D347" s="0" t="s">
        <v>1177</v>
      </c>
      <c r="E347" s="0" t="s">
        <v>89</v>
      </c>
      <c r="F347" s="0" t="s">
        <v>90</v>
      </c>
      <c r="G347" s="0" t="s">
        <v>36</v>
      </c>
      <c r="H347" s="0" t="n">
        <v>10</v>
      </c>
      <c r="I347" s="0" t="s">
        <v>1178</v>
      </c>
      <c r="J347" s="0" t="s">
        <v>1179</v>
      </c>
      <c r="K347" s="0" t="s">
        <v>1180</v>
      </c>
      <c r="L347" s="0" t="str">
        <f aca="false">HYPERLINK("https://www.ncbi.nlm.nih.gov/nuccore/CP000304.1?report=graph&amp;tracks=[key:gene_model_track,Options:GeneOnly]&amp;mk=105658:105677|offset_10|00cc00,105633:105652|offset_35|444444,105511:105530|offset_157|444444,105438:105457|offset_230|444444&amp;v=105457:105657&amp;c=444444", "offset 10")</f>
        <v>offset 10</v>
      </c>
    </row>
    <row r="348" customFormat="false" ht="12.8" hidden="false" customHeight="false" outlineLevel="0" collapsed="false">
      <c r="A348" s="0" t="s">
        <v>12</v>
      </c>
      <c r="B348" s="0" t="n">
        <v>105632</v>
      </c>
      <c r="C348" s="0" t="n">
        <v>105652</v>
      </c>
      <c r="D348" s="0" t="s">
        <v>1177</v>
      </c>
      <c r="E348" s="0" t="s">
        <v>89</v>
      </c>
      <c r="F348" s="0" t="s">
        <v>90</v>
      </c>
      <c r="G348" s="0" t="s">
        <v>26</v>
      </c>
      <c r="H348" s="0" t="n">
        <v>35</v>
      </c>
      <c r="I348" s="0" t="s">
        <v>1181</v>
      </c>
      <c r="J348" s="0" t="s">
        <v>1182</v>
      </c>
      <c r="K348" s="0" t="s">
        <v>1183</v>
      </c>
      <c r="L348" s="0" t="str">
        <f aca="false">HYPERLINK("https://www.ncbi.nlm.nih.gov/nuccore/CP000304.1?report=graph&amp;tracks=[key:gene_model_track,Options:GeneOnly]&amp;mk=105658:105677|offset_10|444444,105633:105652|offset_35|00cc00,105511:105530|offset_157|444444,105438:105457|offset_230|444444&amp;v=105457:105657&amp;c=444444", "offset 35")</f>
        <v>offset 35</v>
      </c>
    </row>
    <row r="349" customFormat="false" ht="12.8" hidden="false" customHeight="false" outlineLevel="0" collapsed="false">
      <c r="A349" s="0" t="s">
        <v>12</v>
      </c>
      <c r="B349" s="0" t="n">
        <v>105510</v>
      </c>
      <c r="C349" s="0" t="n">
        <v>105530</v>
      </c>
      <c r="D349" s="0" t="s">
        <v>1177</v>
      </c>
      <c r="E349" s="0" t="s">
        <v>89</v>
      </c>
      <c r="F349" s="0" t="s">
        <v>90</v>
      </c>
      <c r="G349" s="0" t="s">
        <v>32</v>
      </c>
      <c r="H349" s="0" t="n">
        <v>157</v>
      </c>
      <c r="I349" s="0" t="s">
        <v>1184</v>
      </c>
      <c r="J349" s="0" t="s">
        <v>1185</v>
      </c>
      <c r="K349" s="0" t="s">
        <v>1186</v>
      </c>
      <c r="L349" s="0" t="str">
        <f aca="false">HYPERLINK("https://www.ncbi.nlm.nih.gov/nuccore/CP000304.1?report=graph&amp;tracks=[key:gene_model_track,Options:GeneOnly]&amp;mk=105658:105677|offset_10|444444,105633:105652|offset_35|444444,105511:105530|offset_157|00cc00,105438:105457|offset_230|444444&amp;v=105457:105657&amp;c=444444", "offset 157")</f>
        <v>offset 157</v>
      </c>
    </row>
    <row r="350" customFormat="false" ht="12.8" hidden="false" customHeight="false" outlineLevel="0" collapsed="false">
      <c r="A350" s="0" t="s">
        <v>12</v>
      </c>
      <c r="B350" s="0" t="n">
        <v>105437</v>
      </c>
      <c r="C350" s="0" t="n">
        <v>105457</v>
      </c>
      <c r="D350" s="0" t="s">
        <v>1177</v>
      </c>
      <c r="E350" s="0" t="s">
        <v>89</v>
      </c>
      <c r="F350" s="0" t="s">
        <v>90</v>
      </c>
      <c r="G350" s="0" t="s">
        <v>36</v>
      </c>
      <c r="H350" s="0" t="n">
        <v>230</v>
      </c>
      <c r="I350" s="0" t="s">
        <v>1187</v>
      </c>
      <c r="J350" s="0" t="s">
        <v>1188</v>
      </c>
      <c r="K350" s="0" t="s">
        <v>1189</v>
      </c>
      <c r="L350" s="0" t="str">
        <f aca="false">HYPERLINK("https://www.ncbi.nlm.nih.gov/nuccore/CP000304.1?report=graph&amp;tracks=[key:gene_model_track,Options:GeneOnly]&amp;mk=105658:105677|offset_10|444444,105633:105652|offset_35|444444,105511:105530|offset_157|444444,105438:105457|offset_230|00cc00&amp;v=105457:105657&amp;c=444444", "offset 230")</f>
        <v>offset 230</v>
      </c>
    </row>
    <row r="351" customFormat="false" ht="12.8" hidden="false" customHeight="false" outlineLevel="0" collapsed="false">
      <c r="A351" s="0" t="s">
        <v>12</v>
      </c>
      <c r="B351" s="0" t="n">
        <v>106390</v>
      </c>
      <c r="C351" s="0" t="n">
        <v>106410</v>
      </c>
      <c r="D351" s="0" t="s">
        <v>1190</v>
      </c>
      <c r="E351" s="0" t="s">
        <v>89</v>
      </c>
      <c r="F351" s="0" t="s">
        <v>90</v>
      </c>
      <c r="G351" s="0" t="s">
        <v>16</v>
      </c>
      <c r="H351" s="0" t="n">
        <v>64</v>
      </c>
      <c r="I351" s="0" t="s">
        <v>1191</v>
      </c>
      <c r="J351" s="0" t="s">
        <v>1192</v>
      </c>
      <c r="K351" s="0" t="s">
        <v>1193</v>
      </c>
      <c r="L351" s="0" t="str">
        <f aca="false">HYPERLINK("https://www.ncbi.nlm.nih.gov/nuccore/CP000304.1?report=graph&amp;tracks=[key:gene_model_track,Options:GeneOnly]&amp;mk=106391:106410|offset_64|00cc00,106348:106367|offset_107|444444,106322:106341|offset_133|444444,106288:106307|offset_167|444444&amp;v=106190:106507&amp;c=444444", "offset 64")</f>
        <v>offset 64</v>
      </c>
    </row>
    <row r="352" customFormat="false" ht="12.8" hidden="false" customHeight="false" outlineLevel="0" collapsed="false">
      <c r="A352" s="0" t="s">
        <v>12</v>
      </c>
      <c r="B352" s="0" t="n">
        <v>106347</v>
      </c>
      <c r="C352" s="0" t="n">
        <v>106367</v>
      </c>
      <c r="D352" s="0" t="s">
        <v>1190</v>
      </c>
      <c r="E352" s="0" t="s">
        <v>89</v>
      </c>
      <c r="F352" s="0" t="s">
        <v>90</v>
      </c>
      <c r="G352" s="0" t="s">
        <v>26</v>
      </c>
      <c r="H352" s="0" t="n">
        <v>107</v>
      </c>
      <c r="I352" s="0" t="s">
        <v>1194</v>
      </c>
      <c r="J352" s="0" t="s">
        <v>1195</v>
      </c>
      <c r="K352" s="0" t="s">
        <v>1196</v>
      </c>
      <c r="L352" s="0" t="str">
        <f aca="false">HYPERLINK("https://www.ncbi.nlm.nih.gov/nuccore/CP000304.1?report=graph&amp;tracks=[key:gene_model_track,Options:GeneOnly]&amp;mk=106391:106410|offset_64|444444,106348:106367|offset_107|00cc00,106322:106341|offset_133|444444,106288:106307|offset_167|444444&amp;v=106190:106507&amp;c=444444", "offset 107")</f>
        <v>offset 107</v>
      </c>
    </row>
    <row r="353" customFormat="false" ht="12.8" hidden="false" customHeight="false" outlineLevel="0" collapsed="false">
      <c r="A353" s="0" t="s">
        <v>12</v>
      </c>
      <c r="B353" s="0" t="n">
        <v>106321</v>
      </c>
      <c r="C353" s="0" t="n">
        <v>106341</v>
      </c>
      <c r="D353" s="0" t="s">
        <v>1190</v>
      </c>
      <c r="E353" s="0" t="s">
        <v>89</v>
      </c>
      <c r="F353" s="0" t="s">
        <v>90</v>
      </c>
      <c r="G353" s="0" t="s">
        <v>16</v>
      </c>
      <c r="H353" s="0" t="n">
        <v>133</v>
      </c>
      <c r="I353" s="0" t="s">
        <v>1197</v>
      </c>
      <c r="J353" s="0" t="s">
        <v>1198</v>
      </c>
      <c r="K353" s="0" t="s">
        <v>1199</v>
      </c>
      <c r="L353" s="0" t="str">
        <f aca="false">HYPERLINK("https://www.ncbi.nlm.nih.gov/nuccore/CP000304.1?report=graph&amp;tracks=[key:gene_model_track,Options:GeneOnly]&amp;mk=106391:106410|offset_64|444444,106348:106367|offset_107|444444,106322:106341|offset_133|00cc00,106288:106307|offset_167|444444&amp;v=106190:106507&amp;c=444444", "offset 133")</f>
        <v>offset 133</v>
      </c>
    </row>
    <row r="354" customFormat="false" ht="12.8" hidden="false" customHeight="false" outlineLevel="0" collapsed="false">
      <c r="A354" s="0" t="s">
        <v>12</v>
      </c>
      <c r="B354" s="0" t="n">
        <v>106287</v>
      </c>
      <c r="C354" s="0" t="n">
        <v>106307</v>
      </c>
      <c r="D354" s="0" t="s">
        <v>1190</v>
      </c>
      <c r="E354" s="0" t="s">
        <v>89</v>
      </c>
      <c r="F354" s="0" t="s">
        <v>90</v>
      </c>
      <c r="G354" s="0" t="s">
        <v>26</v>
      </c>
      <c r="H354" s="0" t="n">
        <v>167</v>
      </c>
      <c r="I354" s="0" t="s">
        <v>1200</v>
      </c>
      <c r="J354" s="0" t="s">
        <v>1201</v>
      </c>
      <c r="K354" s="0" t="s">
        <v>1202</v>
      </c>
      <c r="L354" s="0" t="str">
        <f aca="false">HYPERLINK("https://www.ncbi.nlm.nih.gov/nuccore/CP000304.1?report=graph&amp;tracks=[key:gene_model_track,Options:GeneOnly]&amp;mk=106391:106410|offset_64|444444,106348:106367|offset_107|444444,106322:106341|offset_133|444444,106288:106307|offset_167|00cc00&amp;v=106190:106507&amp;c=444444", "offset 167")</f>
        <v>offset 167</v>
      </c>
    </row>
    <row r="355" customFormat="false" ht="12.8" hidden="false" customHeight="false" outlineLevel="0" collapsed="false">
      <c r="A355" s="0" t="s">
        <v>12</v>
      </c>
      <c r="B355" s="0" t="n">
        <v>107539</v>
      </c>
      <c r="C355" s="0" t="n">
        <v>107559</v>
      </c>
      <c r="D355" s="0" t="s">
        <v>1203</v>
      </c>
      <c r="E355" s="0" t="s">
        <v>89</v>
      </c>
      <c r="F355" s="0" t="s">
        <v>90</v>
      </c>
      <c r="G355" s="0" t="s">
        <v>16</v>
      </c>
      <c r="H355" s="0" t="n">
        <v>0</v>
      </c>
      <c r="I355" s="0" t="s">
        <v>1204</v>
      </c>
      <c r="J355" s="0" t="s">
        <v>1205</v>
      </c>
      <c r="K355" s="0" t="s">
        <v>1206</v>
      </c>
      <c r="L355" s="0" t="str">
        <f aca="false">HYPERLINK("https://www.ncbi.nlm.nih.gov/nuccore/CP000304.1?report=graph&amp;tracks=[key:gene_model_track,Options:GeneOnly]&amp;mk=107540:107559|offset_0|00cc00,107509:107528|offset_31|444444,107484:107503|offset_56|444444,107373:107392|offset_167|444444&amp;v=107339:107592&amp;c=444444", "offset 0")</f>
        <v>offset 0</v>
      </c>
    </row>
    <row r="356" customFormat="false" ht="12.8" hidden="false" customHeight="false" outlineLevel="0" collapsed="false">
      <c r="A356" s="0" t="s">
        <v>12</v>
      </c>
      <c r="B356" s="0" t="n">
        <v>107508</v>
      </c>
      <c r="C356" s="0" t="n">
        <v>107528</v>
      </c>
      <c r="D356" s="0" t="s">
        <v>1203</v>
      </c>
      <c r="E356" s="0" t="s">
        <v>89</v>
      </c>
      <c r="F356" s="0" t="s">
        <v>90</v>
      </c>
      <c r="G356" s="0" t="s">
        <v>36</v>
      </c>
      <c r="H356" s="0" t="n">
        <v>31</v>
      </c>
      <c r="I356" s="0" t="s">
        <v>1207</v>
      </c>
      <c r="J356" s="0" t="s">
        <v>1208</v>
      </c>
      <c r="K356" s="0" t="s">
        <v>1209</v>
      </c>
      <c r="L356" s="0" t="str">
        <f aca="false">HYPERLINK("https://www.ncbi.nlm.nih.gov/nuccore/CP000304.1?report=graph&amp;tracks=[key:gene_model_track,Options:GeneOnly]&amp;mk=107540:107559|offset_0|444444,107509:107528|offset_31|00cc00,107484:107503|offset_56|444444,107373:107392|offset_167|444444&amp;v=107339:107592&amp;c=444444", "offset 31")</f>
        <v>offset 31</v>
      </c>
    </row>
    <row r="357" customFormat="false" ht="12.8" hidden="false" customHeight="false" outlineLevel="0" collapsed="false">
      <c r="A357" s="0" t="s">
        <v>12</v>
      </c>
      <c r="B357" s="0" t="n">
        <v>107483</v>
      </c>
      <c r="C357" s="0" t="n">
        <v>107503</v>
      </c>
      <c r="D357" s="0" t="s">
        <v>1203</v>
      </c>
      <c r="E357" s="0" t="s">
        <v>89</v>
      </c>
      <c r="F357" s="0" t="s">
        <v>90</v>
      </c>
      <c r="G357" s="0" t="s">
        <v>16</v>
      </c>
      <c r="H357" s="0" t="n">
        <v>56</v>
      </c>
      <c r="I357" s="0" t="s">
        <v>1210</v>
      </c>
      <c r="J357" s="0" t="s">
        <v>1211</v>
      </c>
      <c r="K357" s="0" t="s">
        <v>1212</v>
      </c>
      <c r="L357" s="0" t="str">
        <f aca="false">HYPERLINK("https://www.ncbi.nlm.nih.gov/nuccore/CP000304.1?report=graph&amp;tracks=[key:gene_model_track,Options:GeneOnly]&amp;mk=107540:107559|offset_0|444444,107509:107528|offset_31|444444,107484:107503|offset_56|00cc00,107373:107392|offset_167|444444&amp;v=107339:107592&amp;c=444444", "offset 56")</f>
        <v>offset 56</v>
      </c>
    </row>
    <row r="358" customFormat="false" ht="12.8" hidden="false" customHeight="false" outlineLevel="0" collapsed="false">
      <c r="A358" s="0" t="s">
        <v>12</v>
      </c>
      <c r="B358" s="0" t="n">
        <v>107372</v>
      </c>
      <c r="C358" s="0" t="n">
        <v>107392</v>
      </c>
      <c r="D358" s="0" t="s">
        <v>1203</v>
      </c>
      <c r="E358" s="0" t="s">
        <v>89</v>
      </c>
      <c r="F358" s="0" t="s">
        <v>90</v>
      </c>
      <c r="G358" s="0" t="s">
        <v>36</v>
      </c>
      <c r="H358" s="0" t="n">
        <v>167</v>
      </c>
      <c r="I358" s="0" t="s">
        <v>1213</v>
      </c>
      <c r="J358" s="0" t="s">
        <v>1214</v>
      </c>
      <c r="K358" s="0" t="s">
        <v>1215</v>
      </c>
      <c r="L358" s="0" t="str">
        <f aca="false">HYPERLINK("https://www.ncbi.nlm.nih.gov/nuccore/CP000304.1?report=graph&amp;tracks=[key:gene_model_track,Options:GeneOnly]&amp;mk=107540:107559|offset_0|444444,107509:107528|offset_31|444444,107484:107503|offset_56|444444,107373:107392|offset_167|00cc00&amp;v=107339:107592&amp;c=444444", "offset 167")</f>
        <v>offset 167</v>
      </c>
    </row>
    <row r="359" customFormat="false" ht="12.8" hidden="false" customHeight="false" outlineLevel="0" collapsed="false">
      <c r="A359" s="0" t="s">
        <v>12</v>
      </c>
      <c r="B359" s="0" t="n">
        <v>108848</v>
      </c>
      <c r="C359" s="0" t="n">
        <v>108868</v>
      </c>
      <c r="D359" s="0" t="s">
        <v>1216</v>
      </c>
      <c r="E359" s="0" t="s">
        <v>89</v>
      </c>
      <c r="F359" s="0" t="s">
        <v>90</v>
      </c>
      <c r="G359" s="0" t="s">
        <v>16</v>
      </c>
      <c r="H359" s="0" t="n">
        <v>32</v>
      </c>
      <c r="I359" s="0" t="s">
        <v>1217</v>
      </c>
      <c r="J359" s="0" t="s">
        <v>1218</v>
      </c>
      <c r="K359" s="0" t="s">
        <v>1219</v>
      </c>
      <c r="L359" s="0" t="str">
        <f aca="false">HYPERLINK("https://www.ncbi.nlm.nih.gov/nuccore/CP000304.1?report=graph&amp;tracks=[key:gene_model_track,Options:GeneOnly]&amp;mk=108849:108868|offset_32|00cc00,108823:108842|offset_58|444444,108787:108806|offset_94|444444,108765:108784|offset_116|444444&amp;v=108648:108984&amp;c=444444", "offset 32")</f>
        <v>offset 32</v>
      </c>
    </row>
    <row r="360" customFormat="false" ht="12.8" hidden="false" customHeight="false" outlineLevel="0" collapsed="false">
      <c r="A360" s="0" t="s">
        <v>12</v>
      </c>
      <c r="B360" s="0" t="n">
        <v>108822</v>
      </c>
      <c r="C360" s="0" t="n">
        <v>108842</v>
      </c>
      <c r="D360" s="0" t="s">
        <v>1216</v>
      </c>
      <c r="E360" s="0" t="s">
        <v>89</v>
      </c>
      <c r="F360" s="0" t="s">
        <v>90</v>
      </c>
      <c r="G360" s="0" t="s">
        <v>32</v>
      </c>
      <c r="H360" s="0" t="n">
        <v>58</v>
      </c>
      <c r="I360" s="0" t="s">
        <v>1220</v>
      </c>
      <c r="J360" s="0" t="s">
        <v>1221</v>
      </c>
      <c r="K360" s="0" t="s">
        <v>1222</v>
      </c>
      <c r="L360" s="0" t="str">
        <f aca="false">HYPERLINK("https://www.ncbi.nlm.nih.gov/nuccore/CP000304.1?report=graph&amp;tracks=[key:gene_model_track,Options:GeneOnly]&amp;mk=108849:108868|offset_32|444444,108823:108842|offset_58|00cc00,108787:108806|offset_94|444444,108765:108784|offset_116|444444&amp;v=108648:108984&amp;c=444444", "offset 58")</f>
        <v>offset 58</v>
      </c>
    </row>
    <row r="361" customFormat="false" ht="12.8" hidden="false" customHeight="false" outlineLevel="0" collapsed="false">
      <c r="A361" s="0" t="s">
        <v>12</v>
      </c>
      <c r="B361" s="0" t="n">
        <v>108786</v>
      </c>
      <c r="C361" s="0" t="n">
        <v>108806</v>
      </c>
      <c r="D361" s="0" t="s">
        <v>1216</v>
      </c>
      <c r="E361" s="0" t="s">
        <v>89</v>
      </c>
      <c r="F361" s="0" t="s">
        <v>90</v>
      </c>
      <c r="G361" s="0" t="s">
        <v>16</v>
      </c>
      <c r="H361" s="0" t="n">
        <v>94</v>
      </c>
      <c r="I361" s="0" t="s">
        <v>1223</v>
      </c>
      <c r="J361" s="0" t="s">
        <v>1224</v>
      </c>
      <c r="K361" s="0" t="s">
        <v>1225</v>
      </c>
      <c r="L361" s="0" t="str">
        <f aca="false">HYPERLINK("https://www.ncbi.nlm.nih.gov/nuccore/CP000304.1?report=graph&amp;tracks=[key:gene_model_track,Options:GeneOnly]&amp;mk=108849:108868|offset_32|444444,108823:108842|offset_58|444444,108787:108806|offset_94|00cc00,108765:108784|offset_116|444444&amp;v=108648:108984&amp;c=444444", "offset 94")</f>
        <v>offset 94</v>
      </c>
    </row>
    <row r="362" customFormat="false" ht="12.8" hidden="false" customHeight="false" outlineLevel="0" collapsed="false">
      <c r="A362" s="0" t="s">
        <v>12</v>
      </c>
      <c r="B362" s="0" t="n">
        <v>108764</v>
      </c>
      <c r="C362" s="0" t="n">
        <v>108784</v>
      </c>
      <c r="D362" s="0" t="s">
        <v>1216</v>
      </c>
      <c r="E362" s="0" t="s">
        <v>89</v>
      </c>
      <c r="F362" s="0" t="s">
        <v>90</v>
      </c>
      <c r="G362" s="0" t="s">
        <v>32</v>
      </c>
      <c r="H362" s="0" t="n">
        <v>116</v>
      </c>
      <c r="I362" s="0" t="s">
        <v>1226</v>
      </c>
      <c r="J362" s="0" t="s">
        <v>1227</v>
      </c>
      <c r="K362" s="0" t="s">
        <v>1228</v>
      </c>
      <c r="L362" s="0" t="str">
        <f aca="false">HYPERLINK("https://www.ncbi.nlm.nih.gov/nuccore/CP000304.1?report=graph&amp;tracks=[key:gene_model_track,Options:GeneOnly]&amp;mk=108849:108868|offset_32|444444,108823:108842|offset_58|444444,108787:108806|offset_94|444444,108765:108784|offset_116|00cc00&amp;v=108648:108984&amp;c=444444", "offset 116")</f>
        <v>offset 116</v>
      </c>
    </row>
    <row r="363" customFormat="false" ht="12.8" hidden="false" customHeight="false" outlineLevel="0" collapsed="false">
      <c r="A363" s="0" t="s">
        <v>12</v>
      </c>
      <c r="B363" s="0" t="n">
        <v>110779</v>
      </c>
      <c r="C363" s="0" t="n">
        <v>110799</v>
      </c>
      <c r="D363" s="0" t="s">
        <v>1229</v>
      </c>
      <c r="E363" s="0" t="s">
        <v>89</v>
      </c>
      <c r="F363" s="0" t="s">
        <v>90</v>
      </c>
      <c r="G363" s="0" t="s">
        <v>16</v>
      </c>
      <c r="H363" s="0" t="n">
        <v>0</v>
      </c>
      <c r="I363" s="0" t="s">
        <v>1230</v>
      </c>
      <c r="J363" s="0" t="s">
        <v>1231</v>
      </c>
      <c r="K363" s="0" t="s">
        <v>1232</v>
      </c>
      <c r="L363" s="0" t="str">
        <f aca="false">HYPERLINK("https://www.ncbi.nlm.nih.gov/nuccore/CP000304.1?report=graph&amp;tracks=[key:gene_model_track,Options:GeneOnly]&amp;mk=110780:110799|offset_0|00cc00,110758:110777|offset_22|444444,110725:110744|offset_55|444444,110698:110717|offset_82|444444&amp;v=110579:110917&amp;c=444444", "offset 0")</f>
        <v>offset 0</v>
      </c>
    </row>
    <row r="364" customFormat="false" ht="12.8" hidden="false" customHeight="false" outlineLevel="0" collapsed="false">
      <c r="A364" s="0" t="s">
        <v>12</v>
      </c>
      <c r="B364" s="0" t="n">
        <v>110757</v>
      </c>
      <c r="C364" s="0" t="n">
        <v>110777</v>
      </c>
      <c r="D364" s="0" t="s">
        <v>1229</v>
      </c>
      <c r="E364" s="0" t="s">
        <v>89</v>
      </c>
      <c r="F364" s="0" t="s">
        <v>90</v>
      </c>
      <c r="G364" s="0" t="s">
        <v>36</v>
      </c>
      <c r="H364" s="0" t="n">
        <v>22</v>
      </c>
      <c r="I364" s="0" t="s">
        <v>1233</v>
      </c>
      <c r="J364" s="0" t="s">
        <v>1234</v>
      </c>
      <c r="K364" s="0" t="s">
        <v>1235</v>
      </c>
      <c r="L364" s="0" t="str">
        <f aca="false">HYPERLINK("https://www.ncbi.nlm.nih.gov/nuccore/CP000304.1?report=graph&amp;tracks=[key:gene_model_track,Options:GeneOnly]&amp;mk=110780:110799|offset_0|444444,110758:110777|offset_22|00cc00,110725:110744|offset_55|444444,110698:110717|offset_82|444444&amp;v=110579:110917&amp;c=444444", "offset 22")</f>
        <v>offset 22</v>
      </c>
    </row>
    <row r="365" customFormat="false" ht="12.8" hidden="false" customHeight="false" outlineLevel="0" collapsed="false">
      <c r="A365" s="0" t="s">
        <v>12</v>
      </c>
      <c r="B365" s="0" t="n">
        <v>110724</v>
      </c>
      <c r="C365" s="0" t="n">
        <v>110744</v>
      </c>
      <c r="D365" s="0" t="s">
        <v>1229</v>
      </c>
      <c r="E365" s="0" t="s">
        <v>89</v>
      </c>
      <c r="F365" s="0" t="s">
        <v>90</v>
      </c>
      <c r="G365" s="0" t="s">
        <v>16</v>
      </c>
      <c r="H365" s="0" t="n">
        <v>55</v>
      </c>
      <c r="I365" s="0" t="s">
        <v>1236</v>
      </c>
      <c r="J365" s="0" t="s">
        <v>1237</v>
      </c>
      <c r="K365" s="0" t="s">
        <v>1238</v>
      </c>
      <c r="L365" s="0" t="str">
        <f aca="false">HYPERLINK("https://www.ncbi.nlm.nih.gov/nuccore/CP000304.1?report=graph&amp;tracks=[key:gene_model_track,Options:GeneOnly]&amp;mk=110780:110799|offset_0|444444,110758:110777|offset_22|444444,110725:110744|offset_55|00cc00,110698:110717|offset_82|444444&amp;v=110579:110917&amp;c=444444", "offset 55")</f>
        <v>offset 55</v>
      </c>
    </row>
    <row r="366" customFormat="false" ht="12.8" hidden="false" customHeight="false" outlineLevel="0" collapsed="false">
      <c r="A366" s="0" t="s">
        <v>12</v>
      </c>
      <c r="B366" s="0" t="n">
        <v>110697</v>
      </c>
      <c r="C366" s="0" t="n">
        <v>110717</v>
      </c>
      <c r="D366" s="0" t="s">
        <v>1229</v>
      </c>
      <c r="E366" s="0" t="s">
        <v>89</v>
      </c>
      <c r="F366" s="0" t="s">
        <v>90</v>
      </c>
      <c r="G366" s="0" t="s">
        <v>26</v>
      </c>
      <c r="H366" s="0" t="n">
        <v>82</v>
      </c>
      <c r="I366" s="0" t="s">
        <v>1239</v>
      </c>
      <c r="J366" s="0" t="s">
        <v>1240</v>
      </c>
      <c r="K366" s="0" t="s">
        <v>1241</v>
      </c>
      <c r="L366" s="0" t="str">
        <f aca="false">HYPERLINK("https://www.ncbi.nlm.nih.gov/nuccore/CP000304.1?report=graph&amp;tracks=[key:gene_model_track,Options:GeneOnly]&amp;mk=110780:110799|offset_0|444444,110758:110777|offset_22|444444,110725:110744|offset_55|444444,110698:110717|offset_82|00cc00&amp;v=110579:110917&amp;c=444444", "offset 82")</f>
        <v>offset 82</v>
      </c>
    </row>
    <row r="367" customFormat="false" ht="12.8" hidden="false" customHeight="false" outlineLevel="0" collapsed="false">
      <c r="A367" s="0" t="s">
        <v>12</v>
      </c>
      <c r="B367" s="0" t="n">
        <v>111354</v>
      </c>
      <c r="C367" s="0" t="n">
        <v>111374</v>
      </c>
      <c r="D367" s="0" t="s">
        <v>1242</v>
      </c>
      <c r="E367" s="0" t="s">
        <v>89</v>
      </c>
      <c r="F367" s="0" t="s">
        <v>15</v>
      </c>
      <c r="G367" s="0" t="s">
        <v>32</v>
      </c>
      <c r="H367" s="0" t="n">
        <v>11</v>
      </c>
      <c r="I367" s="0" t="s">
        <v>1243</v>
      </c>
      <c r="J367" s="0" t="s">
        <v>1244</v>
      </c>
      <c r="K367" s="0" t="s">
        <v>1245</v>
      </c>
      <c r="L367" s="0" t="str">
        <f aca="false">HYPERLINK("https://www.ncbi.nlm.nih.gov/nuccore/CP000304.1?report=graph&amp;tracks=[key:gene_model_track,Options:GeneOnly]&amp;mk=111355:111374|offset_11|00cc00,111377:111396|offset_33|444444,111405:111424|offset_61|444444,111458:111477|offset_114|444444&amp;v=111154:111677&amp;c=444444", "offset 11")</f>
        <v>offset 11</v>
      </c>
    </row>
    <row r="368" customFormat="false" ht="12.8" hidden="false" customHeight="false" outlineLevel="0" collapsed="false">
      <c r="A368" s="0" t="s">
        <v>12</v>
      </c>
      <c r="B368" s="0" t="n">
        <v>111376</v>
      </c>
      <c r="C368" s="0" t="n">
        <v>111396</v>
      </c>
      <c r="D368" s="0" t="s">
        <v>1242</v>
      </c>
      <c r="E368" s="0" t="s">
        <v>89</v>
      </c>
      <c r="F368" s="0" t="s">
        <v>15</v>
      </c>
      <c r="G368" s="0" t="s">
        <v>16</v>
      </c>
      <c r="H368" s="0" t="n">
        <v>33</v>
      </c>
      <c r="I368" s="0" t="s">
        <v>1246</v>
      </c>
      <c r="J368" s="0" t="s">
        <v>1247</v>
      </c>
      <c r="K368" s="0" t="s">
        <v>1248</v>
      </c>
      <c r="L368" s="0" t="str">
        <f aca="false">HYPERLINK("https://www.ncbi.nlm.nih.gov/nuccore/CP000304.1?report=graph&amp;tracks=[key:gene_model_track,Options:GeneOnly]&amp;mk=111355:111374|offset_11|444444,111377:111396|offset_33|00cc00,111405:111424|offset_61|444444,111458:111477|offset_114|444444&amp;v=111154:111677&amp;c=444444", "offset 33")</f>
        <v>offset 33</v>
      </c>
    </row>
    <row r="369" customFormat="false" ht="12.8" hidden="false" customHeight="false" outlineLevel="0" collapsed="false">
      <c r="A369" s="0" t="s">
        <v>12</v>
      </c>
      <c r="B369" s="0" t="n">
        <v>111404</v>
      </c>
      <c r="C369" s="0" t="n">
        <v>111424</v>
      </c>
      <c r="D369" s="0" t="s">
        <v>1242</v>
      </c>
      <c r="E369" s="0" t="s">
        <v>89</v>
      </c>
      <c r="F369" s="0" t="s">
        <v>15</v>
      </c>
      <c r="G369" s="0" t="s">
        <v>16</v>
      </c>
      <c r="H369" s="0" t="n">
        <v>61</v>
      </c>
      <c r="I369" s="0" t="s">
        <v>1249</v>
      </c>
      <c r="J369" s="0" t="s">
        <v>1250</v>
      </c>
      <c r="K369" s="0" t="s">
        <v>1251</v>
      </c>
      <c r="L369" s="0" t="str">
        <f aca="false">HYPERLINK("https://www.ncbi.nlm.nih.gov/nuccore/CP000304.1?report=graph&amp;tracks=[key:gene_model_track,Options:GeneOnly]&amp;mk=111355:111374|offset_11|444444,111377:111396|offset_33|444444,111405:111424|offset_61|00cc00,111458:111477|offset_114|444444&amp;v=111154:111677&amp;c=444444", "offset 61")</f>
        <v>offset 61</v>
      </c>
    </row>
    <row r="370" customFormat="false" ht="12.8" hidden="false" customHeight="false" outlineLevel="0" collapsed="false">
      <c r="A370" s="0" t="s">
        <v>12</v>
      </c>
      <c r="B370" s="0" t="n">
        <v>111457</v>
      </c>
      <c r="C370" s="0" t="n">
        <v>111477</v>
      </c>
      <c r="D370" s="0" t="s">
        <v>1242</v>
      </c>
      <c r="E370" s="0" t="s">
        <v>89</v>
      </c>
      <c r="F370" s="0" t="s">
        <v>15</v>
      </c>
      <c r="G370" s="0" t="s">
        <v>36</v>
      </c>
      <c r="H370" s="0" t="n">
        <v>114</v>
      </c>
      <c r="I370" s="0" t="s">
        <v>1252</v>
      </c>
      <c r="J370" s="0" t="s">
        <v>1253</v>
      </c>
      <c r="K370" s="0" t="s">
        <v>1254</v>
      </c>
      <c r="L370" s="0" t="str">
        <f aca="false">HYPERLINK("https://www.ncbi.nlm.nih.gov/nuccore/CP000304.1?report=graph&amp;tracks=[key:gene_model_track,Options:GeneOnly]&amp;mk=111355:111374|offset_11|444444,111377:111396|offset_33|444444,111405:111424|offset_61|444444,111458:111477|offset_114|00cc00&amp;v=111154:111677&amp;c=444444", "offset 114")</f>
        <v>offset 114</v>
      </c>
    </row>
    <row r="371" customFormat="false" ht="12.8" hidden="false" customHeight="false" outlineLevel="0" collapsed="false">
      <c r="A371" s="0" t="s">
        <v>12</v>
      </c>
      <c r="B371" s="0" t="n">
        <v>112550</v>
      </c>
      <c r="C371" s="0" t="n">
        <v>112570</v>
      </c>
      <c r="D371" s="0" t="s">
        <v>1255</v>
      </c>
      <c r="E371" s="0" t="s">
        <v>1256</v>
      </c>
      <c r="F371" s="0" t="s">
        <v>15</v>
      </c>
      <c r="G371" s="0" t="s">
        <v>26</v>
      </c>
      <c r="H371" s="0" t="n">
        <v>496</v>
      </c>
      <c r="I371" s="0" t="s">
        <v>1257</v>
      </c>
      <c r="J371" s="0" t="s">
        <v>1258</v>
      </c>
      <c r="K371" s="0" t="s">
        <v>1259</v>
      </c>
      <c r="L371" s="0" t="str">
        <f aca="false">HYPERLINK("https://www.ncbi.nlm.nih.gov/nuccore/CP000304.1?report=graph&amp;tracks=[key:gene_model_track,Options:GeneOnly]&amp;mk=112551:112570|offset_496|00cc00,112583:112602|offset_528|444444,112603:112622|offset_548|444444,112643:112662|offset_588|444444&amp;v=112350:112862&amp;c=444444", "offset 496")</f>
        <v>offset 496</v>
      </c>
    </row>
    <row r="372" customFormat="false" ht="12.8" hidden="false" customHeight="false" outlineLevel="0" collapsed="false">
      <c r="A372" s="0" t="s">
        <v>12</v>
      </c>
      <c r="B372" s="0" t="n">
        <v>112582</v>
      </c>
      <c r="C372" s="0" t="n">
        <v>112602</v>
      </c>
      <c r="D372" s="0" t="s">
        <v>1255</v>
      </c>
      <c r="E372" s="0" t="s">
        <v>1256</v>
      </c>
      <c r="F372" s="0" t="s">
        <v>15</v>
      </c>
      <c r="G372" s="0" t="s">
        <v>16</v>
      </c>
      <c r="H372" s="0" t="n">
        <v>528</v>
      </c>
      <c r="I372" s="0" t="s">
        <v>1260</v>
      </c>
      <c r="J372" s="0" t="s">
        <v>1261</v>
      </c>
      <c r="K372" s="0" t="s">
        <v>1262</v>
      </c>
      <c r="L372" s="0" t="str">
        <f aca="false">HYPERLINK("https://www.ncbi.nlm.nih.gov/nuccore/CP000304.1?report=graph&amp;tracks=[key:gene_model_track,Options:GeneOnly]&amp;mk=112551:112570|offset_496|444444,112583:112602|offset_528|00cc00,112603:112622|offset_548|444444,112643:112662|offset_588|444444&amp;v=112350:112862&amp;c=444444", "offset 528")</f>
        <v>offset 528</v>
      </c>
    </row>
    <row r="373" customFormat="false" ht="12.8" hidden="false" customHeight="false" outlineLevel="0" collapsed="false">
      <c r="A373" s="0" t="s">
        <v>12</v>
      </c>
      <c r="B373" s="0" t="n">
        <v>112602</v>
      </c>
      <c r="C373" s="0" t="n">
        <v>112622</v>
      </c>
      <c r="D373" s="0" t="s">
        <v>1255</v>
      </c>
      <c r="E373" s="0" t="s">
        <v>1256</v>
      </c>
      <c r="F373" s="0" t="s">
        <v>15</v>
      </c>
      <c r="G373" s="0" t="s">
        <v>36</v>
      </c>
      <c r="H373" s="0" t="n">
        <v>548</v>
      </c>
      <c r="I373" s="0" t="s">
        <v>1263</v>
      </c>
      <c r="J373" s="0" t="s">
        <v>1264</v>
      </c>
      <c r="K373" s="0" t="s">
        <v>1265</v>
      </c>
      <c r="L373" s="0" t="str">
        <f aca="false">HYPERLINK("https://www.ncbi.nlm.nih.gov/nuccore/CP000304.1?report=graph&amp;tracks=[key:gene_model_track,Options:GeneOnly]&amp;mk=112551:112570|offset_496|444444,112583:112602|offset_528|444444,112603:112622|offset_548|00cc00,112643:112662|offset_588|444444&amp;v=112350:112862&amp;c=444444", "offset 548")</f>
        <v>offset 548</v>
      </c>
    </row>
    <row r="374" customFormat="false" ht="12.8" hidden="false" customHeight="false" outlineLevel="0" collapsed="false">
      <c r="A374" s="0" t="s">
        <v>12</v>
      </c>
      <c r="B374" s="0" t="n">
        <v>112642</v>
      </c>
      <c r="C374" s="0" t="n">
        <v>112662</v>
      </c>
      <c r="D374" s="0" t="s">
        <v>1255</v>
      </c>
      <c r="E374" s="0" t="s">
        <v>1256</v>
      </c>
      <c r="F374" s="0" t="s">
        <v>15</v>
      </c>
      <c r="G374" s="0" t="s">
        <v>16</v>
      </c>
      <c r="H374" s="0" t="n">
        <v>588</v>
      </c>
      <c r="I374" s="0" t="s">
        <v>1266</v>
      </c>
      <c r="J374" s="0" t="s">
        <v>1267</v>
      </c>
      <c r="K374" s="0" t="s">
        <v>1268</v>
      </c>
      <c r="L374" s="0" t="str">
        <f aca="false">HYPERLINK("https://www.ncbi.nlm.nih.gov/nuccore/CP000304.1?report=graph&amp;tracks=[key:gene_model_track,Options:GeneOnly]&amp;mk=112551:112570|offset_496|444444,112583:112602|offset_528|444444,112603:112622|offset_548|444444,112643:112662|offset_588|00cc00&amp;v=112350:112862&amp;c=444444", "offset 588")</f>
        <v>offset 588</v>
      </c>
    </row>
    <row r="375" customFormat="false" ht="12.8" hidden="false" customHeight="false" outlineLevel="0" collapsed="false">
      <c r="A375" s="0" t="s">
        <v>12</v>
      </c>
      <c r="B375" s="0" t="n">
        <v>114454</v>
      </c>
      <c r="C375" s="0" t="n">
        <v>114474</v>
      </c>
      <c r="D375" s="0" t="s">
        <v>1269</v>
      </c>
      <c r="E375" s="0" t="s">
        <v>89</v>
      </c>
      <c r="F375" s="0" t="s">
        <v>15</v>
      </c>
      <c r="G375" s="0" t="s">
        <v>36</v>
      </c>
      <c r="H375" s="0" t="n">
        <v>16</v>
      </c>
      <c r="I375" s="0" t="s">
        <v>1270</v>
      </c>
      <c r="J375" s="0" t="s">
        <v>1271</v>
      </c>
      <c r="K375" s="0" t="s">
        <v>1272</v>
      </c>
      <c r="L375" s="0" t="str">
        <f aca="false">HYPERLINK("https://www.ncbi.nlm.nih.gov/nuccore/CP000304.1?report=graph&amp;tracks=[key:gene_model_track,Options:GeneOnly]&amp;mk=114455:114474|offset_16|00cc00,114479:114498|offset_40|444444,114504:114523|offset_65|444444,114535:114554|offset_96|444444&amp;v=114254:114754&amp;c=444444", "offset 16")</f>
        <v>offset 16</v>
      </c>
    </row>
    <row r="376" customFormat="false" ht="12.8" hidden="false" customHeight="false" outlineLevel="0" collapsed="false">
      <c r="A376" s="0" t="s">
        <v>12</v>
      </c>
      <c r="B376" s="0" t="n">
        <v>114478</v>
      </c>
      <c r="C376" s="0" t="n">
        <v>114498</v>
      </c>
      <c r="D376" s="0" t="s">
        <v>1269</v>
      </c>
      <c r="E376" s="0" t="s">
        <v>89</v>
      </c>
      <c r="F376" s="0" t="s">
        <v>15</v>
      </c>
      <c r="G376" s="0" t="s">
        <v>26</v>
      </c>
      <c r="H376" s="0" t="n">
        <v>40</v>
      </c>
      <c r="I376" s="0" t="s">
        <v>1273</v>
      </c>
      <c r="J376" s="0" t="s">
        <v>1274</v>
      </c>
      <c r="K376" s="0" t="s">
        <v>1275</v>
      </c>
      <c r="L376" s="0" t="str">
        <f aca="false">HYPERLINK("https://www.ncbi.nlm.nih.gov/nuccore/CP000304.1?report=graph&amp;tracks=[key:gene_model_track,Options:GeneOnly]&amp;mk=114455:114474|offset_16|444444,114479:114498|offset_40|00cc00,114504:114523|offset_65|444444,114535:114554|offset_96|444444&amp;v=114254:114754&amp;c=444444", "offset 40")</f>
        <v>offset 40</v>
      </c>
    </row>
    <row r="377" customFormat="false" ht="12.8" hidden="false" customHeight="false" outlineLevel="0" collapsed="false">
      <c r="A377" s="0" t="s">
        <v>12</v>
      </c>
      <c r="B377" s="0" t="n">
        <v>114503</v>
      </c>
      <c r="C377" s="0" t="n">
        <v>114523</v>
      </c>
      <c r="D377" s="0" t="s">
        <v>1269</v>
      </c>
      <c r="E377" s="0" t="s">
        <v>89</v>
      </c>
      <c r="F377" s="0" t="s">
        <v>15</v>
      </c>
      <c r="G377" s="0" t="s">
        <v>32</v>
      </c>
      <c r="H377" s="0" t="n">
        <v>65</v>
      </c>
      <c r="I377" s="0" t="s">
        <v>1276</v>
      </c>
      <c r="J377" s="0" t="s">
        <v>1277</v>
      </c>
      <c r="K377" s="0" t="s">
        <v>1278</v>
      </c>
      <c r="L377" s="0" t="str">
        <f aca="false">HYPERLINK("https://www.ncbi.nlm.nih.gov/nuccore/CP000304.1?report=graph&amp;tracks=[key:gene_model_track,Options:GeneOnly]&amp;mk=114455:114474|offset_16|444444,114479:114498|offset_40|444444,114504:114523|offset_65|00cc00,114535:114554|offset_96|444444&amp;v=114254:114754&amp;c=444444", "offset 65")</f>
        <v>offset 65</v>
      </c>
    </row>
    <row r="378" customFormat="false" ht="12.8" hidden="false" customHeight="false" outlineLevel="0" collapsed="false">
      <c r="A378" s="0" t="s">
        <v>12</v>
      </c>
      <c r="B378" s="0" t="n">
        <v>114534</v>
      </c>
      <c r="C378" s="0" t="n">
        <v>114554</v>
      </c>
      <c r="D378" s="0" t="s">
        <v>1269</v>
      </c>
      <c r="E378" s="0" t="s">
        <v>89</v>
      </c>
      <c r="F378" s="0" t="s">
        <v>15</v>
      </c>
      <c r="G378" s="0" t="s">
        <v>36</v>
      </c>
      <c r="H378" s="0" t="n">
        <v>96</v>
      </c>
      <c r="I378" s="0" t="s">
        <v>1279</v>
      </c>
      <c r="J378" s="0" t="s">
        <v>1280</v>
      </c>
      <c r="K378" s="0" t="s">
        <v>1281</v>
      </c>
      <c r="L378" s="0" t="str">
        <f aca="false">HYPERLINK("https://www.ncbi.nlm.nih.gov/nuccore/CP000304.1?report=graph&amp;tracks=[key:gene_model_track,Options:GeneOnly]&amp;mk=114455:114474|offset_16|444444,114479:114498|offset_40|444444,114504:114523|offset_65|444444,114535:114554|offset_96|00cc00&amp;v=114254:114754&amp;c=444444", "offset 96")</f>
        <v>offset 96</v>
      </c>
    </row>
    <row r="379" customFormat="false" ht="12.8" hidden="false" customHeight="false" outlineLevel="0" collapsed="false">
      <c r="A379" s="0" t="s">
        <v>12</v>
      </c>
      <c r="B379" s="0" t="n">
        <v>115895</v>
      </c>
      <c r="C379" s="0" t="n">
        <v>115915</v>
      </c>
      <c r="D379" s="0" t="s">
        <v>1282</v>
      </c>
      <c r="E379" s="0" t="s">
        <v>89</v>
      </c>
      <c r="F379" s="0" t="s">
        <v>15</v>
      </c>
      <c r="G379" s="0" t="s">
        <v>16</v>
      </c>
      <c r="H379" s="0" t="n">
        <v>29</v>
      </c>
      <c r="I379" s="0" t="s">
        <v>1283</v>
      </c>
      <c r="J379" s="0" t="s">
        <v>1284</v>
      </c>
      <c r="K379" s="0" t="s">
        <v>1285</v>
      </c>
      <c r="L379" s="0" t="str">
        <f aca="false">HYPERLINK("https://www.ncbi.nlm.nih.gov/nuccore/CP000304.1?report=graph&amp;tracks=[key:gene_model_track,Options:GeneOnly]&amp;mk=115896:115915|offset_29|00cc00,115917:115936|offset_50|444444,115943:115962|offset_76|444444,115968:115987|offset_101|444444&amp;v=115695:116187&amp;c=444444", "offset 29")</f>
        <v>offset 29</v>
      </c>
    </row>
    <row r="380" customFormat="false" ht="12.8" hidden="false" customHeight="false" outlineLevel="0" collapsed="false">
      <c r="A380" s="0" t="s">
        <v>12</v>
      </c>
      <c r="B380" s="0" t="n">
        <v>115916</v>
      </c>
      <c r="C380" s="0" t="n">
        <v>115936</v>
      </c>
      <c r="D380" s="0" t="s">
        <v>1282</v>
      </c>
      <c r="E380" s="0" t="s">
        <v>89</v>
      </c>
      <c r="F380" s="0" t="s">
        <v>15</v>
      </c>
      <c r="G380" s="0" t="s">
        <v>26</v>
      </c>
      <c r="H380" s="0" t="n">
        <v>50</v>
      </c>
      <c r="I380" s="0" t="s">
        <v>1286</v>
      </c>
      <c r="J380" s="0" t="s">
        <v>1287</v>
      </c>
      <c r="K380" s="0" t="s">
        <v>1288</v>
      </c>
      <c r="L380" s="0" t="str">
        <f aca="false">HYPERLINK("https://www.ncbi.nlm.nih.gov/nuccore/CP000304.1?report=graph&amp;tracks=[key:gene_model_track,Options:GeneOnly]&amp;mk=115896:115915|offset_29|444444,115917:115936|offset_50|00cc00,115943:115962|offset_76|444444,115968:115987|offset_101|444444&amp;v=115695:116187&amp;c=444444", "offset 50")</f>
        <v>offset 50</v>
      </c>
    </row>
    <row r="381" customFormat="false" ht="12.8" hidden="false" customHeight="false" outlineLevel="0" collapsed="false">
      <c r="A381" s="0" t="s">
        <v>12</v>
      </c>
      <c r="B381" s="0" t="n">
        <v>115942</v>
      </c>
      <c r="C381" s="0" t="n">
        <v>115962</v>
      </c>
      <c r="D381" s="0" t="s">
        <v>1282</v>
      </c>
      <c r="E381" s="0" t="s">
        <v>89</v>
      </c>
      <c r="F381" s="0" t="s">
        <v>15</v>
      </c>
      <c r="G381" s="0" t="s">
        <v>36</v>
      </c>
      <c r="H381" s="0" t="n">
        <v>76</v>
      </c>
      <c r="I381" s="0" t="s">
        <v>1289</v>
      </c>
      <c r="J381" s="0" t="s">
        <v>1290</v>
      </c>
      <c r="K381" s="0" t="s">
        <v>1291</v>
      </c>
      <c r="L381" s="0" t="str">
        <f aca="false">HYPERLINK("https://www.ncbi.nlm.nih.gov/nuccore/CP000304.1?report=graph&amp;tracks=[key:gene_model_track,Options:GeneOnly]&amp;mk=115896:115915|offset_29|444444,115917:115936|offset_50|444444,115943:115962|offset_76|00cc00,115968:115987|offset_101|444444&amp;v=115695:116187&amp;c=444444", "offset 76")</f>
        <v>offset 76</v>
      </c>
    </row>
    <row r="382" customFormat="false" ht="12.8" hidden="false" customHeight="false" outlineLevel="0" collapsed="false">
      <c r="A382" s="0" t="s">
        <v>12</v>
      </c>
      <c r="B382" s="0" t="n">
        <v>115967</v>
      </c>
      <c r="C382" s="0" t="n">
        <v>115987</v>
      </c>
      <c r="D382" s="0" t="s">
        <v>1282</v>
      </c>
      <c r="E382" s="0" t="s">
        <v>89</v>
      </c>
      <c r="F382" s="0" t="s">
        <v>15</v>
      </c>
      <c r="G382" s="0" t="s">
        <v>26</v>
      </c>
      <c r="H382" s="0" t="n">
        <v>101</v>
      </c>
      <c r="I382" s="0" t="s">
        <v>1292</v>
      </c>
      <c r="J382" s="0" t="s">
        <v>1293</v>
      </c>
      <c r="K382" s="0" t="s">
        <v>1294</v>
      </c>
      <c r="L382" s="0" t="str">
        <f aca="false">HYPERLINK("https://www.ncbi.nlm.nih.gov/nuccore/CP000304.1?report=graph&amp;tracks=[key:gene_model_track,Options:GeneOnly]&amp;mk=115896:115915|offset_29|444444,115917:115936|offset_50|444444,115943:115962|offset_76|444444,115968:115987|offset_101|00cc00&amp;v=115695:116187&amp;c=444444", "offset 101")</f>
        <v>offset 101</v>
      </c>
    </row>
    <row r="383" customFormat="false" ht="12.8" hidden="false" customHeight="false" outlineLevel="0" collapsed="false">
      <c r="A383" s="0" t="s">
        <v>12</v>
      </c>
      <c r="B383" s="0" t="n">
        <v>118015</v>
      </c>
      <c r="C383" s="0" t="n">
        <v>118035</v>
      </c>
      <c r="D383" s="0" t="s">
        <v>1295</v>
      </c>
      <c r="E383" s="0" t="s">
        <v>89</v>
      </c>
      <c r="F383" s="0" t="s">
        <v>15</v>
      </c>
      <c r="G383" s="0" t="s">
        <v>36</v>
      </c>
      <c r="H383" s="0" t="n">
        <v>0</v>
      </c>
      <c r="I383" s="0" t="s">
        <v>1296</v>
      </c>
      <c r="J383" s="0" t="s">
        <v>1297</v>
      </c>
      <c r="K383" s="0" t="s">
        <v>1298</v>
      </c>
      <c r="L383" s="0" t="str">
        <f aca="false">HYPERLINK("https://www.ncbi.nlm.nih.gov/nuccore/CP000304.1?report=graph&amp;tracks=[key:gene_model_track,Options:GeneOnly]&amp;mk=118016:118035|offset_0|00cc00,118038:118057|offset_22|444444,118071:118090|offset_55|444444,118091:118110|offset_75|444444&amp;v=117815:118310&amp;c=444444", "offset 0")</f>
        <v>offset 0</v>
      </c>
    </row>
    <row r="384" customFormat="false" ht="12.8" hidden="false" customHeight="false" outlineLevel="0" collapsed="false">
      <c r="A384" s="0" t="s">
        <v>12</v>
      </c>
      <c r="B384" s="0" t="n">
        <v>118037</v>
      </c>
      <c r="C384" s="0" t="n">
        <v>118057</v>
      </c>
      <c r="D384" s="0" t="s">
        <v>1295</v>
      </c>
      <c r="E384" s="0" t="s">
        <v>89</v>
      </c>
      <c r="F384" s="0" t="s">
        <v>15</v>
      </c>
      <c r="G384" s="0" t="s">
        <v>16</v>
      </c>
      <c r="H384" s="0" t="n">
        <v>22</v>
      </c>
      <c r="I384" s="0" t="s">
        <v>1299</v>
      </c>
      <c r="J384" s="0" t="s">
        <v>1300</v>
      </c>
      <c r="K384" s="0" t="s">
        <v>1301</v>
      </c>
      <c r="L384" s="0" t="str">
        <f aca="false">HYPERLINK("https://www.ncbi.nlm.nih.gov/nuccore/CP000304.1?report=graph&amp;tracks=[key:gene_model_track,Options:GeneOnly]&amp;mk=118016:118035|offset_0|444444,118038:118057|offset_22|00cc00,118071:118090|offset_55|444444,118091:118110|offset_75|444444&amp;v=117815:118310&amp;c=444444", "offset 22")</f>
        <v>offset 22</v>
      </c>
    </row>
    <row r="385" customFormat="false" ht="12.8" hidden="false" customHeight="false" outlineLevel="0" collapsed="false">
      <c r="A385" s="0" t="s">
        <v>12</v>
      </c>
      <c r="B385" s="0" t="n">
        <v>118070</v>
      </c>
      <c r="C385" s="0" t="n">
        <v>118090</v>
      </c>
      <c r="D385" s="0" t="s">
        <v>1295</v>
      </c>
      <c r="E385" s="0" t="s">
        <v>89</v>
      </c>
      <c r="F385" s="0" t="s">
        <v>15</v>
      </c>
      <c r="G385" s="0" t="s">
        <v>26</v>
      </c>
      <c r="H385" s="0" t="n">
        <v>55</v>
      </c>
      <c r="I385" s="0" t="s">
        <v>1302</v>
      </c>
      <c r="J385" s="0" t="s">
        <v>1303</v>
      </c>
      <c r="K385" s="0" t="s">
        <v>1304</v>
      </c>
      <c r="L385" s="0" t="str">
        <f aca="false">HYPERLINK("https://www.ncbi.nlm.nih.gov/nuccore/CP000304.1?report=graph&amp;tracks=[key:gene_model_track,Options:GeneOnly]&amp;mk=118016:118035|offset_0|444444,118038:118057|offset_22|444444,118071:118090|offset_55|00cc00,118091:118110|offset_75|444444&amp;v=117815:118310&amp;c=444444", "offset 55")</f>
        <v>offset 55</v>
      </c>
    </row>
    <row r="386" customFormat="false" ht="12.8" hidden="false" customHeight="false" outlineLevel="0" collapsed="false">
      <c r="A386" s="0" t="s">
        <v>12</v>
      </c>
      <c r="B386" s="0" t="n">
        <v>118090</v>
      </c>
      <c r="C386" s="0" t="n">
        <v>118110</v>
      </c>
      <c r="D386" s="0" t="s">
        <v>1295</v>
      </c>
      <c r="E386" s="0" t="s">
        <v>89</v>
      </c>
      <c r="F386" s="0" t="s">
        <v>15</v>
      </c>
      <c r="G386" s="0" t="s">
        <v>16</v>
      </c>
      <c r="H386" s="0" t="n">
        <v>75</v>
      </c>
      <c r="I386" s="0" t="s">
        <v>1305</v>
      </c>
      <c r="J386" s="0" t="s">
        <v>1306</v>
      </c>
      <c r="K386" s="0" t="s">
        <v>1307</v>
      </c>
      <c r="L386" s="0" t="str">
        <f aca="false">HYPERLINK("https://www.ncbi.nlm.nih.gov/nuccore/CP000304.1?report=graph&amp;tracks=[key:gene_model_track,Options:GeneOnly]&amp;mk=118016:118035|offset_0|444444,118038:118057|offset_22|444444,118071:118090|offset_55|444444,118091:118110|offset_75|00cc00&amp;v=117815:118310&amp;c=444444", "offset 75")</f>
        <v>offset 75</v>
      </c>
    </row>
    <row r="387" customFormat="false" ht="12.8" hidden="false" customHeight="false" outlineLevel="0" collapsed="false">
      <c r="A387" s="0" t="s">
        <v>12</v>
      </c>
      <c r="B387" s="0" t="n">
        <v>119225</v>
      </c>
      <c r="C387" s="0" t="n">
        <v>119245</v>
      </c>
      <c r="D387" s="0" t="s">
        <v>1308</v>
      </c>
      <c r="E387" s="0" t="s">
        <v>89</v>
      </c>
      <c r="F387" s="0" t="s">
        <v>15</v>
      </c>
      <c r="G387" s="0" t="s">
        <v>32</v>
      </c>
      <c r="H387" s="0" t="n">
        <v>1</v>
      </c>
      <c r="I387" s="0" t="s">
        <v>1309</v>
      </c>
      <c r="J387" s="0" t="s">
        <v>1310</v>
      </c>
      <c r="K387" s="0" t="s">
        <v>1311</v>
      </c>
      <c r="L387" s="0" t="str">
        <f aca="false">HYPERLINK("https://www.ncbi.nlm.nih.gov/nuccore/CP000304.1?report=graph&amp;tracks=[key:gene_model_track,Options:GeneOnly]&amp;mk=119226:119245|offset_1|00cc00,119271:119290|offset_46|444444,119295:119314|offset_70|444444,119331:119350|offset_106|444444&amp;v=119025:119550&amp;c=444444", "offset 1")</f>
        <v>offset 1</v>
      </c>
    </row>
    <row r="388" customFormat="false" ht="12.8" hidden="false" customHeight="false" outlineLevel="0" collapsed="false">
      <c r="A388" s="0" t="s">
        <v>12</v>
      </c>
      <c r="B388" s="0" t="n">
        <v>119270</v>
      </c>
      <c r="C388" s="0" t="n">
        <v>119290</v>
      </c>
      <c r="D388" s="0" t="s">
        <v>1308</v>
      </c>
      <c r="E388" s="0" t="s">
        <v>89</v>
      </c>
      <c r="F388" s="0" t="s">
        <v>15</v>
      </c>
      <c r="G388" s="0" t="s">
        <v>16</v>
      </c>
      <c r="H388" s="0" t="n">
        <v>46</v>
      </c>
      <c r="I388" s="0" t="s">
        <v>1312</v>
      </c>
      <c r="J388" s="0" t="s">
        <v>1313</v>
      </c>
      <c r="K388" s="0" t="s">
        <v>1314</v>
      </c>
      <c r="L388" s="0" t="str">
        <f aca="false">HYPERLINK("https://www.ncbi.nlm.nih.gov/nuccore/CP000304.1?report=graph&amp;tracks=[key:gene_model_track,Options:GeneOnly]&amp;mk=119226:119245|offset_1|444444,119271:119290|offset_46|00cc00,119295:119314|offset_70|444444,119331:119350|offset_106|444444&amp;v=119025:119550&amp;c=444444", "offset 46")</f>
        <v>offset 46</v>
      </c>
    </row>
    <row r="389" customFormat="false" ht="12.8" hidden="false" customHeight="false" outlineLevel="0" collapsed="false">
      <c r="A389" s="0" t="s">
        <v>12</v>
      </c>
      <c r="B389" s="0" t="n">
        <v>119294</v>
      </c>
      <c r="C389" s="0" t="n">
        <v>119314</v>
      </c>
      <c r="D389" s="0" t="s">
        <v>1308</v>
      </c>
      <c r="E389" s="0" t="s">
        <v>89</v>
      </c>
      <c r="F389" s="0" t="s">
        <v>15</v>
      </c>
      <c r="G389" s="0" t="s">
        <v>26</v>
      </c>
      <c r="H389" s="0" t="n">
        <v>70</v>
      </c>
      <c r="I389" s="0" t="s">
        <v>1315</v>
      </c>
      <c r="J389" s="0" t="s">
        <v>1316</v>
      </c>
      <c r="K389" s="0" t="s">
        <v>1317</v>
      </c>
      <c r="L389" s="0" t="str">
        <f aca="false">HYPERLINK("https://www.ncbi.nlm.nih.gov/nuccore/CP000304.1?report=graph&amp;tracks=[key:gene_model_track,Options:GeneOnly]&amp;mk=119226:119245|offset_1|444444,119271:119290|offset_46|444444,119295:119314|offset_70|00cc00,119331:119350|offset_106|444444&amp;v=119025:119550&amp;c=444444", "offset 70")</f>
        <v>offset 70</v>
      </c>
    </row>
    <row r="390" customFormat="false" ht="12.8" hidden="false" customHeight="false" outlineLevel="0" collapsed="false">
      <c r="A390" s="0" t="s">
        <v>12</v>
      </c>
      <c r="B390" s="0" t="n">
        <v>119330</v>
      </c>
      <c r="C390" s="0" t="n">
        <v>119350</v>
      </c>
      <c r="D390" s="0" t="s">
        <v>1308</v>
      </c>
      <c r="E390" s="0" t="s">
        <v>89</v>
      </c>
      <c r="F390" s="0" t="s">
        <v>15</v>
      </c>
      <c r="G390" s="0" t="s">
        <v>16</v>
      </c>
      <c r="H390" s="0" t="n">
        <v>106</v>
      </c>
      <c r="I390" s="0" t="s">
        <v>1318</v>
      </c>
      <c r="J390" s="0" t="s">
        <v>1319</v>
      </c>
      <c r="K390" s="0" t="s">
        <v>1320</v>
      </c>
      <c r="L390" s="0" t="str">
        <f aca="false">HYPERLINK("https://www.ncbi.nlm.nih.gov/nuccore/CP000304.1?report=graph&amp;tracks=[key:gene_model_track,Options:GeneOnly]&amp;mk=119226:119245|offset_1|444444,119271:119290|offset_46|444444,119295:119314|offset_70|444444,119331:119350|offset_106|00cc00&amp;v=119025:119550&amp;c=444444", "offset 106")</f>
        <v>offset 106</v>
      </c>
    </row>
    <row r="391" customFormat="false" ht="12.8" hidden="false" customHeight="false" outlineLevel="0" collapsed="false">
      <c r="A391" s="0" t="s">
        <v>12</v>
      </c>
      <c r="B391" s="0" t="n">
        <v>121842</v>
      </c>
      <c r="C391" s="0" t="n">
        <v>121862</v>
      </c>
      <c r="D391" s="0" t="s">
        <v>1321</v>
      </c>
      <c r="E391" s="0" t="s">
        <v>89</v>
      </c>
      <c r="F391" s="0" t="s">
        <v>90</v>
      </c>
      <c r="G391" s="0" t="s">
        <v>36</v>
      </c>
      <c r="H391" s="0" t="n">
        <v>27</v>
      </c>
      <c r="I391" s="0" t="s">
        <v>1322</v>
      </c>
      <c r="J391" s="0" t="s">
        <v>1323</v>
      </c>
      <c r="K391" s="0" t="s">
        <v>1324</v>
      </c>
      <c r="L391" s="0" t="str">
        <f aca="false">HYPERLINK("https://www.ncbi.nlm.nih.gov/nuccore/CP000304.1?report=graph&amp;tracks=[key:gene_model_track,Options:GeneOnly]&amp;mk=121843:121862|offset_27|00cc00,121808:121827|offset_62|444444,121785:121804|offset_85|444444,121760:121779|offset_110|444444&amp;v=121642:121979&amp;c=444444", "offset 27")</f>
        <v>offset 27</v>
      </c>
    </row>
    <row r="392" customFormat="false" ht="12.8" hidden="false" customHeight="false" outlineLevel="0" collapsed="false">
      <c r="A392" s="0" t="s">
        <v>12</v>
      </c>
      <c r="B392" s="0" t="n">
        <v>121807</v>
      </c>
      <c r="C392" s="0" t="n">
        <v>121827</v>
      </c>
      <c r="D392" s="0" t="s">
        <v>1321</v>
      </c>
      <c r="E392" s="0" t="s">
        <v>89</v>
      </c>
      <c r="F392" s="0" t="s">
        <v>90</v>
      </c>
      <c r="G392" s="0" t="s">
        <v>26</v>
      </c>
      <c r="H392" s="0" t="n">
        <v>62</v>
      </c>
      <c r="I392" s="0" t="s">
        <v>1325</v>
      </c>
      <c r="J392" s="0" t="s">
        <v>1326</v>
      </c>
      <c r="K392" s="0" t="s">
        <v>1327</v>
      </c>
      <c r="L392" s="0" t="str">
        <f aca="false">HYPERLINK("https://www.ncbi.nlm.nih.gov/nuccore/CP000304.1?report=graph&amp;tracks=[key:gene_model_track,Options:GeneOnly]&amp;mk=121843:121862|offset_27|444444,121808:121827|offset_62|00cc00,121785:121804|offset_85|444444,121760:121779|offset_110|444444&amp;v=121642:121979&amp;c=444444", "offset 62")</f>
        <v>offset 62</v>
      </c>
    </row>
    <row r="393" customFormat="false" ht="12.8" hidden="false" customHeight="false" outlineLevel="0" collapsed="false">
      <c r="A393" s="0" t="s">
        <v>12</v>
      </c>
      <c r="B393" s="0" t="n">
        <v>121784</v>
      </c>
      <c r="C393" s="0" t="n">
        <v>121804</v>
      </c>
      <c r="D393" s="0" t="s">
        <v>1321</v>
      </c>
      <c r="E393" s="0" t="s">
        <v>89</v>
      </c>
      <c r="F393" s="0" t="s">
        <v>90</v>
      </c>
      <c r="G393" s="0" t="s">
        <v>26</v>
      </c>
      <c r="H393" s="0" t="n">
        <v>85</v>
      </c>
      <c r="I393" s="0" t="s">
        <v>1328</v>
      </c>
      <c r="J393" s="0" t="s">
        <v>1329</v>
      </c>
      <c r="K393" s="0" t="s">
        <v>1330</v>
      </c>
      <c r="L393" s="0" t="str">
        <f aca="false">HYPERLINK("https://www.ncbi.nlm.nih.gov/nuccore/CP000304.1?report=graph&amp;tracks=[key:gene_model_track,Options:GeneOnly]&amp;mk=121843:121862|offset_27|444444,121808:121827|offset_62|444444,121785:121804|offset_85|00cc00,121760:121779|offset_110|444444&amp;v=121642:121979&amp;c=444444", "offset 85")</f>
        <v>offset 85</v>
      </c>
    </row>
    <row r="394" customFormat="false" ht="12.8" hidden="false" customHeight="false" outlineLevel="0" collapsed="false">
      <c r="A394" s="0" t="s">
        <v>12</v>
      </c>
      <c r="B394" s="0" t="n">
        <v>121759</v>
      </c>
      <c r="C394" s="0" t="n">
        <v>121779</v>
      </c>
      <c r="D394" s="0" t="s">
        <v>1321</v>
      </c>
      <c r="E394" s="0" t="s">
        <v>89</v>
      </c>
      <c r="F394" s="0" t="s">
        <v>90</v>
      </c>
      <c r="G394" s="0" t="s">
        <v>26</v>
      </c>
      <c r="H394" s="0" t="n">
        <v>110</v>
      </c>
      <c r="I394" s="0" t="s">
        <v>1331</v>
      </c>
      <c r="J394" s="0" t="s">
        <v>1332</v>
      </c>
      <c r="K394" s="0" t="s">
        <v>1333</v>
      </c>
      <c r="L394" s="0" t="str">
        <f aca="false">HYPERLINK("https://www.ncbi.nlm.nih.gov/nuccore/CP000304.1?report=graph&amp;tracks=[key:gene_model_track,Options:GeneOnly]&amp;mk=121843:121862|offset_27|444444,121808:121827|offset_62|444444,121785:121804|offset_85|444444,121760:121779|offset_110|00cc00&amp;v=121642:121979&amp;c=444444", "offset 110")</f>
        <v>offset 110</v>
      </c>
    </row>
    <row r="395" customFormat="false" ht="12.8" hidden="false" customHeight="false" outlineLevel="0" collapsed="false">
      <c r="A395" s="0" t="s">
        <v>12</v>
      </c>
      <c r="B395" s="0" t="n">
        <v>122766</v>
      </c>
      <c r="C395" s="0" t="n">
        <v>122786</v>
      </c>
      <c r="D395" s="0" t="s">
        <v>1334</v>
      </c>
      <c r="E395" s="0" t="s">
        <v>89</v>
      </c>
      <c r="F395" s="0" t="s">
        <v>90</v>
      </c>
      <c r="G395" s="0" t="s">
        <v>16</v>
      </c>
      <c r="H395" s="0" t="n">
        <v>12</v>
      </c>
      <c r="I395" s="0" t="s">
        <v>1335</v>
      </c>
      <c r="J395" s="0" t="s">
        <v>1336</v>
      </c>
      <c r="K395" s="0" t="s">
        <v>1337</v>
      </c>
      <c r="L395" s="0" t="str">
        <f aca="false">HYPERLINK("https://www.ncbi.nlm.nih.gov/nuccore/CP000304.1?report=graph&amp;tracks=[key:gene_model_track,Options:GeneOnly]&amp;mk=122767:122786|offset_12|00cc00,122742:122761|offset_37|444444,122717:122736|offset_62|444444,122696:122715|offset_83|444444&amp;v=122566:122915&amp;c=444444", "offset 12")</f>
        <v>offset 12</v>
      </c>
    </row>
    <row r="396" customFormat="false" ht="12.8" hidden="false" customHeight="false" outlineLevel="0" collapsed="false">
      <c r="A396" s="0" t="s">
        <v>12</v>
      </c>
      <c r="B396" s="0" t="n">
        <v>122741</v>
      </c>
      <c r="C396" s="0" t="n">
        <v>122761</v>
      </c>
      <c r="D396" s="0" t="s">
        <v>1334</v>
      </c>
      <c r="E396" s="0" t="s">
        <v>89</v>
      </c>
      <c r="F396" s="0" t="s">
        <v>90</v>
      </c>
      <c r="G396" s="0" t="s">
        <v>32</v>
      </c>
      <c r="H396" s="0" t="n">
        <v>37</v>
      </c>
      <c r="I396" s="0" t="s">
        <v>1338</v>
      </c>
      <c r="J396" s="0" t="s">
        <v>1339</v>
      </c>
      <c r="K396" s="0" t="s">
        <v>1340</v>
      </c>
      <c r="L396" s="0" t="str">
        <f aca="false">HYPERLINK("https://www.ncbi.nlm.nih.gov/nuccore/CP000304.1?report=graph&amp;tracks=[key:gene_model_track,Options:GeneOnly]&amp;mk=122767:122786|offset_12|444444,122742:122761|offset_37|00cc00,122717:122736|offset_62|444444,122696:122715|offset_83|444444&amp;v=122566:122915&amp;c=444444", "offset 37")</f>
        <v>offset 37</v>
      </c>
    </row>
    <row r="397" customFormat="false" ht="12.8" hidden="false" customHeight="false" outlineLevel="0" collapsed="false">
      <c r="A397" s="0" t="s">
        <v>12</v>
      </c>
      <c r="B397" s="0" t="n">
        <v>122716</v>
      </c>
      <c r="C397" s="0" t="n">
        <v>122736</v>
      </c>
      <c r="D397" s="0" t="s">
        <v>1334</v>
      </c>
      <c r="E397" s="0" t="s">
        <v>89</v>
      </c>
      <c r="F397" s="0" t="s">
        <v>90</v>
      </c>
      <c r="G397" s="0" t="s">
        <v>26</v>
      </c>
      <c r="H397" s="0" t="n">
        <v>62</v>
      </c>
      <c r="I397" s="0" t="s">
        <v>1341</v>
      </c>
      <c r="J397" s="0" t="s">
        <v>1342</v>
      </c>
      <c r="K397" s="0" t="s">
        <v>1343</v>
      </c>
      <c r="L397" s="0" t="str">
        <f aca="false">HYPERLINK("https://www.ncbi.nlm.nih.gov/nuccore/CP000304.1?report=graph&amp;tracks=[key:gene_model_track,Options:GeneOnly]&amp;mk=122767:122786|offset_12|444444,122742:122761|offset_37|444444,122717:122736|offset_62|00cc00,122696:122715|offset_83|444444&amp;v=122566:122915&amp;c=444444", "offset 62")</f>
        <v>offset 62</v>
      </c>
    </row>
    <row r="398" customFormat="false" ht="12.8" hidden="false" customHeight="false" outlineLevel="0" collapsed="false">
      <c r="A398" s="0" t="s">
        <v>12</v>
      </c>
      <c r="B398" s="0" t="n">
        <v>122695</v>
      </c>
      <c r="C398" s="0" t="n">
        <v>122715</v>
      </c>
      <c r="D398" s="0" t="s">
        <v>1334</v>
      </c>
      <c r="E398" s="0" t="s">
        <v>89</v>
      </c>
      <c r="F398" s="0" t="s">
        <v>90</v>
      </c>
      <c r="G398" s="0" t="s">
        <v>26</v>
      </c>
      <c r="H398" s="0" t="n">
        <v>83</v>
      </c>
      <c r="I398" s="0" t="s">
        <v>1344</v>
      </c>
      <c r="J398" s="0" t="s">
        <v>1345</v>
      </c>
      <c r="K398" s="0" t="s">
        <v>1346</v>
      </c>
      <c r="L398" s="0" t="str">
        <f aca="false">HYPERLINK("https://www.ncbi.nlm.nih.gov/nuccore/CP000304.1?report=graph&amp;tracks=[key:gene_model_track,Options:GeneOnly]&amp;mk=122767:122786|offset_12|444444,122742:122761|offset_37|444444,122717:122736|offset_62|444444,122696:122715|offset_83|00cc00&amp;v=122566:122915&amp;c=444444", "offset 83")</f>
        <v>offset 83</v>
      </c>
    </row>
    <row r="399" customFormat="false" ht="12.8" hidden="false" customHeight="false" outlineLevel="0" collapsed="false">
      <c r="A399" s="0" t="s">
        <v>12</v>
      </c>
      <c r="B399" s="0" t="n">
        <v>123020</v>
      </c>
      <c r="C399" s="0" t="n">
        <v>123040</v>
      </c>
      <c r="D399" s="0" t="s">
        <v>1347</v>
      </c>
      <c r="E399" s="0" t="s">
        <v>89</v>
      </c>
      <c r="F399" s="0" t="s">
        <v>15</v>
      </c>
      <c r="G399" s="0" t="s">
        <v>36</v>
      </c>
      <c r="H399" s="0" t="n">
        <v>7</v>
      </c>
      <c r="I399" s="0" t="s">
        <v>1348</v>
      </c>
      <c r="J399" s="0" t="s">
        <v>1349</v>
      </c>
      <c r="K399" s="0" t="s">
        <v>1350</v>
      </c>
      <c r="L399" s="0" t="str">
        <f aca="false">HYPERLINK("https://www.ncbi.nlm.nih.gov/nuccore/CP000304.1?report=graph&amp;tracks=[key:gene_model_track,Options:GeneOnly]&amp;mk=123021:123040|offset_7|00cc00,123046:123065|offset_32|444444,123072:123091|offset_58|444444,123096:123115|offset_82|444444&amp;v=122820:123315&amp;c=444444", "offset 7")</f>
        <v>offset 7</v>
      </c>
    </row>
    <row r="400" customFormat="false" ht="12.8" hidden="false" customHeight="false" outlineLevel="0" collapsed="false">
      <c r="A400" s="0" t="s">
        <v>12</v>
      </c>
      <c r="B400" s="0" t="n">
        <v>123045</v>
      </c>
      <c r="C400" s="0" t="n">
        <v>123065</v>
      </c>
      <c r="D400" s="0" t="s">
        <v>1347</v>
      </c>
      <c r="E400" s="0" t="s">
        <v>89</v>
      </c>
      <c r="F400" s="0" t="s">
        <v>15</v>
      </c>
      <c r="G400" s="0" t="s">
        <v>26</v>
      </c>
      <c r="H400" s="0" t="n">
        <v>32</v>
      </c>
      <c r="I400" s="0" t="s">
        <v>1351</v>
      </c>
      <c r="J400" s="0" t="s">
        <v>1352</v>
      </c>
      <c r="K400" s="0" t="s">
        <v>1353</v>
      </c>
      <c r="L400" s="0" t="str">
        <f aca="false">HYPERLINK("https://www.ncbi.nlm.nih.gov/nuccore/CP000304.1?report=graph&amp;tracks=[key:gene_model_track,Options:GeneOnly]&amp;mk=123021:123040|offset_7|444444,123046:123065|offset_32|00cc00,123072:123091|offset_58|444444,123096:123115|offset_82|444444&amp;v=122820:123315&amp;c=444444", "offset 32")</f>
        <v>offset 32</v>
      </c>
    </row>
    <row r="401" customFormat="false" ht="12.8" hidden="false" customHeight="false" outlineLevel="0" collapsed="false">
      <c r="A401" s="0" t="s">
        <v>12</v>
      </c>
      <c r="B401" s="0" t="n">
        <v>123071</v>
      </c>
      <c r="C401" s="0" t="n">
        <v>123091</v>
      </c>
      <c r="D401" s="0" t="s">
        <v>1347</v>
      </c>
      <c r="E401" s="0" t="s">
        <v>89</v>
      </c>
      <c r="F401" s="0" t="s">
        <v>15</v>
      </c>
      <c r="G401" s="0" t="s">
        <v>16</v>
      </c>
      <c r="H401" s="0" t="n">
        <v>58</v>
      </c>
      <c r="I401" s="0" t="s">
        <v>1354</v>
      </c>
      <c r="J401" s="0" t="s">
        <v>1355</v>
      </c>
      <c r="K401" s="0" t="s">
        <v>1356</v>
      </c>
      <c r="L401" s="0" t="str">
        <f aca="false">HYPERLINK("https://www.ncbi.nlm.nih.gov/nuccore/CP000304.1?report=graph&amp;tracks=[key:gene_model_track,Options:GeneOnly]&amp;mk=123021:123040|offset_7|444444,123046:123065|offset_32|444444,123072:123091|offset_58|00cc00,123096:123115|offset_82|444444&amp;v=122820:123315&amp;c=444444", "offset 58")</f>
        <v>offset 58</v>
      </c>
    </row>
    <row r="402" customFormat="false" ht="12.8" hidden="false" customHeight="false" outlineLevel="0" collapsed="false">
      <c r="A402" s="0" t="s">
        <v>12</v>
      </c>
      <c r="B402" s="0" t="n">
        <v>123095</v>
      </c>
      <c r="C402" s="0" t="n">
        <v>123115</v>
      </c>
      <c r="D402" s="0" t="s">
        <v>1347</v>
      </c>
      <c r="E402" s="0" t="s">
        <v>89</v>
      </c>
      <c r="F402" s="0" t="s">
        <v>15</v>
      </c>
      <c r="G402" s="0" t="s">
        <v>32</v>
      </c>
      <c r="H402" s="0" t="n">
        <v>82</v>
      </c>
      <c r="I402" s="0" t="s">
        <v>1357</v>
      </c>
      <c r="J402" s="0" t="s">
        <v>1358</v>
      </c>
      <c r="K402" s="0" t="s">
        <v>1359</v>
      </c>
      <c r="L402" s="0" t="str">
        <f aca="false">HYPERLINK("https://www.ncbi.nlm.nih.gov/nuccore/CP000304.1?report=graph&amp;tracks=[key:gene_model_track,Options:GeneOnly]&amp;mk=123021:123040|offset_7|444444,123046:123065|offset_32|444444,123072:123091|offset_58|444444,123096:123115|offset_82|00cc00&amp;v=122820:123315&amp;c=444444", "offset 82")</f>
        <v>offset 82</v>
      </c>
    </row>
    <row r="403" customFormat="false" ht="12.8" hidden="false" customHeight="false" outlineLevel="0" collapsed="false">
      <c r="A403" s="0" t="s">
        <v>12</v>
      </c>
      <c r="B403" s="0" t="n">
        <v>124446</v>
      </c>
      <c r="C403" s="0" t="n">
        <v>124466</v>
      </c>
      <c r="D403" s="0" t="s">
        <v>1360</v>
      </c>
      <c r="E403" s="0" t="s">
        <v>89</v>
      </c>
      <c r="F403" s="0" t="s">
        <v>90</v>
      </c>
      <c r="G403" s="0" t="s">
        <v>32</v>
      </c>
      <c r="H403" s="0" t="n">
        <v>0</v>
      </c>
      <c r="I403" s="0" t="s">
        <v>1361</v>
      </c>
      <c r="J403" s="0" t="s">
        <v>1362</v>
      </c>
      <c r="K403" s="0" t="s">
        <v>1363</v>
      </c>
      <c r="L403" s="0" t="str">
        <f aca="false">HYPERLINK("https://www.ncbi.nlm.nih.gov/nuccore/CP000304.1?report=graph&amp;tracks=[key:gene_model_track,Options:GeneOnly]&amp;mk=124447:124466|offset_0|00cc00,124403:124422|offset_44|444444,124377:124396|offset_70|444444,124347:124366|offset_100|444444&amp;v=124246:124566&amp;c=444444", "offset 0")</f>
        <v>offset 0</v>
      </c>
    </row>
    <row r="404" customFormat="false" ht="12.8" hidden="false" customHeight="false" outlineLevel="0" collapsed="false">
      <c r="A404" s="0" t="s">
        <v>12</v>
      </c>
      <c r="B404" s="0" t="n">
        <v>124402</v>
      </c>
      <c r="C404" s="0" t="n">
        <v>124422</v>
      </c>
      <c r="D404" s="0" t="s">
        <v>1360</v>
      </c>
      <c r="E404" s="0" t="s">
        <v>89</v>
      </c>
      <c r="F404" s="0" t="s">
        <v>90</v>
      </c>
      <c r="G404" s="0" t="s">
        <v>32</v>
      </c>
      <c r="H404" s="0" t="n">
        <v>44</v>
      </c>
      <c r="I404" s="0" t="s">
        <v>1364</v>
      </c>
      <c r="J404" s="0" t="s">
        <v>1365</v>
      </c>
      <c r="K404" s="0" t="s">
        <v>1366</v>
      </c>
      <c r="L404" s="0" t="str">
        <f aca="false">HYPERLINK("https://www.ncbi.nlm.nih.gov/nuccore/CP000304.1?report=graph&amp;tracks=[key:gene_model_track,Options:GeneOnly]&amp;mk=124447:124466|offset_0|444444,124403:124422|offset_44|00cc00,124377:124396|offset_70|444444,124347:124366|offset_100|444444&amp;v=124246:124566&amp;c=444444", "offset 44")</f>
        <v>offset 44</v>
      </c>
    </row>
    <row r="405" customFormat="false" ht="12.8" hidden="false" customHeight="false" outlineLevel="0" collapsed="false">
      <c r="A405" s="0" t="s">
        <v>12</v>
      </c>
      <c r="B405" s="0" t="n">
        <v>124376</v>
      </c>
      <c r="C405" s="0" t="n">
        <v>124396</v>
      </c>
      <c r="D405" s="0" t="s">
        <v>1360</v>
      </c>
      <c r="E405" s="0" t="s">
        <v>89</v>
      </c>
      <c r="F405" s="0" t="s">
        <v>90</v>
      </c>
      <c r="G405" s="0" t="s">
        <v>16</v>
      </c>
      <c r="H405" s="0" t="n">
        <v>70</v>
      </c>
      <c r="I405" s="0" t="s">
        <v>1367</v>
      </c>
      <c r="J405" s="0" t="s">
        <v>1368</v>
      </c>
      <c r="K405" s="0" t="s">
        <v>1369</v>
      </c>
      <c r="L405" s="0" t="str">
        <f aca="false">HYPERLINK("https://www.ncbi.nlm.nih.gov/nuccore/CP000304.1?report=graph&amp;tracks=[key:gene_model_track,Options:GeneOnly]&amp;mk=124447:124466|offset_0|444444,124403:124422|offset_44|444444,124377:124396|offset_70|00cc00,124347:124366|offset_100|444444&amp;v=124246:124566&amp;c=444444", "offset 70")</f>
        <v>offset 70</v>
      </c>
    </row>
    <row r="406" customFormat="false" ht="12.8" hidden="false" customHeight="false" outlineLevel="0" collapsed="false">
      <c r="A406" s="0" t="s">
        <v>12</v>
      </c>
      <c r="B406" s="0" t="n">
        <v>124346</v>
      </c>
      <c r="C406" s="0" t="n">
        <v>124366</v>
      </c>
      <c r="D406" s="0" t="s">
        <v>1360</v>
      </c>
      <c r="E406" s="0" t="s">
        <v>89</v>
      </c>
      <c r="F406" s="0" t="s">
        <v>90</v>
      </c>
      <c r="G406" s="0" t="s">
        <v>16</v>
      </c>
      <c r="H406" s="0" t="n">
        <v>100</v>
      </c>
      <c r="I406" s="0" t="s">
        <v>1370</v>
      </c>
      <c r="J406" s="0" t="s">
        <v>1371</v>
      </c>
      <c r="K406" s="0" t="s">
        <v>1372</v>
      </c>
      <c r="L406" s="0" t="str">
        <f aca="false">HYPERLINK("https://www.ncbi.nlm.nih.gov/nuccore/CP000304.1?report=graph&amp;tracks=[key:gene_model_track,Options:GeneOnly]&amp;mk=124447:124466|offset_0|444444,124403:124422|offset_44|444444,124377:124396|offset_70|444444,124347:124366|offset_100|00cc00&amp;v=124246:124566&amp;c=444444", "offset 100")</f>
        <v>offset 100</v>
      </c>
    </row>
    <row r="407" customFormat="false" ht="12.8" hidden="false" customHeight="false" outlineLevel="0" collapsed="false">
      <c r="A407" s="0" t="s">
        <v>12</v>
      </c>
      <c r="B407" s="0" t="n">
        <v>124567</v>
      </c>
      <c r="C407" s="0" t="n">
        <v>124587</v>
      </c>
      <c r="D407" s="0" t="s">
        <v>1373</v>
      </c>
      <c r="E407" s="0" t="s">
        <v>89</v>
      </c>
      <c r="F407" s="0" t="s">
        <v>15</v>
      </c>
      <c r="G407" s="0" t="s">
        <v>16</v>
      </c>
      <c r="H407" s="0" t="n">
        <v>7</v>
      </c>
      <c r="I407" s="0" t="s">
        <v>1374</v>
      </c>
      <c r="J407" s="0" t="s">
        <v>1375</v>
      </c>
      <c r="K407" s="0" t="s">
        <v>1376</v>
      </c>
      <c r="L407" s="0" t="str">
        <f aca="false">HYPERLINK("https://www.ncbi.nlm.nih.gov/nuccore/CP000304.1?report=graph&amp;tracks=[key:gene_model_track,Options:GeneOnly]&amp;mk=124568:124587|offset_7|00cc00,124592:124611|offset_31|444444,124626:124645|offset_65|444444,124646:124665|offset_85|444444&amp;v=124367:124865&amp;c=444444", "offset 7")</f>
        <v>offset 7</v>
      </c>
    </row>
    <row r="408" customFormat="false" ht="12.8" hidden="false" customHeight="false" outlineLevel="0" collapsed="false">
      <c r="A408" s="0" t="s">
        <v>12</v>
      </c>
      <c r="B408" s="0" t="n">
        <v>124591</v>
      </c>
      <c r="C408" s="0" t="n">
        <v>124611</v>
      </c>
      <c r="D408" s="0" t="s">
        <v>1373</v>
      </c>
      <c r="E408" s="0" t="s">
        <v>89</v>
      </c>
      <c r="F408" s="0" t="s">
        <v>15</v>
      </c>
      <c r="G408" s="0" t="s">
        <v>16</v>
      </c>
      <c r="H408" s="0" t="n">
        <v>31</v>
      </c>
      <c r="I408" s="0" t="s">
        <v>1377</v>
      </c>
      <c r="J408" s="0" t="s">
        <v>1378</v>
      </c>
      <c r="K408" s="0" t="s">
        <v>1379</v>
      </c>
      <c r="L408" s="0" t="str">
        <f aca="false">HYPERLINK("https://www.ncbi.nlm.nih.gov/nuccore/CP000304.1?report=graph&amp;tracks=[key:gene_model_track,Options:GeneOnly]&amp;mk=124568:124587|offset_7|444444,124592:124611|offset_31|00cc00,124626:124645|offset_65|444444,124646:124665|offset_85|444444&amp;v=124367:124865&amp;c=444444", "offset 31")</f>
        <v>offset 31</v>
      </c>
    </row>
    <row r="409" customFormat="false" ht="12.8" hidden="false" customHeight="false" outlineLevel="0" collapsed="false">
      <c r="A409" s="0" t="s">
        <v>12</v>
      </c>
      <c r="B409" s="0" t="n">
        <v>124625</v>
      </c>
      <c r="C409" s="0" t="n">
        <v>124645</v>
      </c>
      <c r="D409" s="0" t="s">
        <v>1373</v>
      </c>
      <c r="E409" s="0" t="s">
        <v>89</v>
      </c>
      <c r="F409" s="0" t="s">
        <v>15</v>
      </c>
      <c r="G409" s="0" t="s">
        <v>32</v>
      </c>
      <c r="H409" s="0" t="n">
        <v>65</v>
      </c>
      <c r="I409" s="0" t="s">
        <v>1380</v>
      </c>
      <c r="J409" s="0" t="s">
        <v>1381</v>
      </c>
      <c r="K409" s="0" t="s">
        <v>1382</v>
      </c>
      <c r="L409" s="0" t="str">
        <f aca="false">HYPERLINK("https://www.ncbi.nlm.nih.gov/nuccore/CP000304.1?report=graph&amp;tracks=[key:gene_model_track,Options:GeneOnly]&amp;mk=124568:124587|offset_7|444444,124592:124611|offset_31|444444,124626:124645|offset_65|00cc00,124646:124665|offset_85|444444&amp;v=124367:124865&amp;c=444444", "offset 65")</f>
        <v>offset 65</v>
      </c>
    </row>
    <row r="410" customFormat="false" ht="12.8" hidden="false" customHeight="false" outlineLevel="0" collapsed="false">
      <c r="A410" s="0" t="s">
        <v>12</v>
      </c>
      <c r="B410" s="0" t="n">
        <v>124645</v>
      </c>
      <c r="C410" s="0" t="n">
        <v>124665</v>
      </c>
      <c r="D410" s="0" t="s">
        <v>1373</v>
      </c>
      <c r="E410" s="0" t="s">
        <v>89</v>
      </c>
      <c r="F410" s="0" t="s">
        <v>15</v>
      </c>
      <c r="G410" s="0" t="s">
        <v>26</v>
      </c>
      <c r="H410" s="0" t="n">
        <v>85</v>
      </c>
      <c r="I410" s="0" t="s">
        <v>1383</v>
      </c>
      <c r="J410" s="0" t="s">
        <v>1384</v>
      </c>
      <c r="K410" s="0" t="s">
        <v>1385</v>
      </c>
      <c r="L410" s="0" t="str">
        <f aca="false">HYPERLINK("https://www.ncbi.nlm.nih.gov/nuccore/CP000304.1?report=graph&amp;tracks=[key:gene_model_track,Options:GeneOnly]&amp;mk=124568:124587|offset_7|444444,124592:124611|offset_31|444444,124626:124645|offset_65|444444,124646:124665|offset_85|00cc00&amp;v=124367:124865&amp;c=444444", "offset 85")</f>
        <v>offset 85</v>
      </c>
    </row>
    <row r="411" customFormat="false" ht="12.8" hidden="false" customHeight="false" outlineLevel="0" collapsed="false">
      <c r="A411" s="0" t="s">
        <v>12</v>
      </c>
      <c r="B411" s="0" t="n">
        <v>126501</v>
      </c>
      <c r="C411" s="0" t="n">
        <v>126521</v>
      </c>
      <c r="D411" s="0" t="s">
        <v>1386</v>
      </c>
      <c r="E411" s="0" t="s">
        <v>1387</v>
      </c>
      <c r="F411" s="0" t="s">
        <v>15</v>
      </c>
      <c r="G411" s="0" t="s">
        <v>16</v>
      </c>
      <c r="H411" s="0" t="n">
        <v>25</v>
      </c>
      <c r="I411" s="0" t="s">
        <v>1388</v>
      </c>
      <c r="J411" s="0" t="s">
        <v>1389</v>
      </c>
      <c r="K411" s="0" t="s">
        <v>1390</v>
      </c>
      <c r="L411" s="0" t="str">
        <f aca="false">HYPERLINK("https://www.ncbi.nlm.nih.gov/nuccore/CP000304.1?report=graph&amp;tracks=[key:gene_model_track,Options:GeneOnly]&amp;mk=126502:126521|offset_25|00cc00,126535:126554|offset_58|444444,126566:126585|offset_89|444444,126604:126623|offset_127|444444&amp;v=126301:126823&amp;c=444444", "offset 25")</f>
        <v>offset 25</v>
      </c>
    </row>
    <row r="412" customFormat="false" ht="12.8" hidden="false" customHeight="false" outlineLevel="0" collapsed="false">
      <c r="A412" s="0" t="s">
        <v>12</v>
      </c>
      <c r="B412" s="0" t="n">
        <v>126534</v>
      </c>
      <c r="C412" s="0" t="n">
        <v>126554</v>
      </c>
      <c r="D412" s="0" t="s">
        <v>1386</v>
      </c>
      <c r="E412" s="0" t="s">
        <v>1387</v>
      </c>
      <c r="F412" s="0" t="s">
        <v>15</v>
      </c>
      <c r="G412" s="0" t="s">
        <v>36</v>
      </c>
      <c r="H412" s="0" t="n">
        <v>58</v>
      </c>
      <c r="I412" s="0" t="s">
        <v>1391</v>
      </c>
      <c r="J412" s="0" t="s">
        <v>1392</v>
      </c>
      <c r="K412" s="0" t="s">
        <v>1393</v>
      </c>
      <c r="L412" s="0" t="str">
        <f aca="false">HYPERLINK("https://www.ncbi.nlm.nih.gov/nuccore/CP000304.1?report=graph&amp;tracks=[key:gene_model_track,Options:GeneOnly]&amp;mk=126502:126521|offset_25|444444,126535:126554|offset_58|00cc00,126566:126585|offset_89|444444,126604:126623|offset_127|444444&amp;v=126301:126823&amp;c=444444", "offset 58")</f>
        <v>offset 58</v>
      </c>
    </row>
    <row r="413" customFormat="false" ht="12.8" hidden="false" customHeight="false" outlineLevel="0" collapsed="false">
      <c r="A413" s="0" t="s">
        <v>12</v>
      </c>
      <c r="B413" s="0" t="n">
        <v>126565</v>
      </c>
      <c r="C413" s="0" t="n">
        <v>126585</v>
      </c>
      <c r="D413" s="0" t="s">
        <v>1386</v>
      </c>
      <c r="E413" s="0" t="s">
        <v>1387</v>
      </c>
      <c r="F413" s="0" t="s">
        <v>15</v>
      </c>
      <c r="G413" s="0" t="s">
        <v>26</v>
      </c>
      <c r="H413" s="0" t="n">
        <v>89</v>
      </c>
      <c r="I413" s="0" t="s">
        <v>1394</v>
      </c>
      <c r="J413" s="0" t="s">
        <v>1395</v>
      </c>
      <c r="K413" s="0" t="s">
        <v>1396</v>
      </c>
      <c r="L413" s="0" t="str">
        <f aca="false">HYPERLINK("https://www.ncbi.nlm.nih.gov/nuccore/CP000304.1?report=graph&amp;tracks=[key:gene_model_track,Options:GeneOnly]&amp;mk=126502:126521|offset_25|444444,126535:126554|offset_58|444444,126566:126585|offset_89|00cc00,126604:126623|offset_127|444444&amp;v=126301:126823&amp;c=444444", "offset 89")</f>
        <v>offset 89</v>
      </c>
    </row>
    <row r="414" customFormat="false" ht="12.8" hidden="false" customHeight="false" outlineLevel="0" collapsed="false">
      <c r="A414" s="0" t="s">
        <v>12</v>
      </c>
      <c r="B414" s="0" t="n">
        <v>126603</v>
      </c>
      <c r="C414" s="0" t="n">
        <v>126623</v>
      </c>
      <c r="D414" s="0" t="s">
        <v>1386</v>
      </c>
      <c r="E414" s="0" t="s">
        <v>1387</v>
      </c>
      <c r="F414" s="0" t="s">
        <v>15</v>
      </c>
      <c r="G414" s="0" t="s">
        <v>16</v>
      </c>
      <c r="H414" s="0" t="n">
        <v>127</v>
      </c>
      <c r="I414" s="0" t="s">
        <v>1397</v>
      </c>
      <c r="J414" s="0" t="s">
        <v>1398</v>
      </c>
      <c r="K414" s="0" t="s">
        <v>1399</v>
      </c>
      <c r="L414" s="0" t="str">
        <f aca="false">HYPERLINK("https://www.ncbi.nlm.nih.gov/nuccore/CP000304.1?report=graph&amp;tracks=[key:gene_model_track,Options:GeneOnly]&amp;mk=126502:126521|offset_25|444444,126535:126554|offset_58|444444,126566:126585|offset_89|444444,126604:126623|offset_127|00cc00&amp;v=126301:126823&amp;c=444444", "offset 127")</f>
        <v>offset 127</v>
      </c>
    </row>
    <row r="415" customFormat="false" ht="12.8" hidden="false" customHeight="false" outlineLevel="0" collapsed="false">
      <c r="A415" s="0" t="s">
        <v>12</v>
      </c>
      <c r="B415" s="0" t="n">
        <v>126735</v>
      </c>
      <c r="C415" s="0" t="n">
        <v>126755</v>
      </c>
      <c r="D415" s="0" t="s">
        <v>1400</v>
      </c>
      <c r="E415" s="0" t="s">
        <v>1401</v>
      </c>
      <c r="F415" s="0" t="s">
        <v>15</v>
      </c>
      <c r="G415" s="0" t="s">
        <v>26</v>
      </c>
      <c r="H415" s="0" t="n">
        <v>11</v>
      </c>
      <c r="I415" s="0" t="s">
        <v>1402</v>
      </c>
      <c r="J415" s="0" t="s">
        <v>1403</v>
      </c>
      <c r="K415" s="0" t="s">
        <v>1404</v>
      </c>
      <c r="L415" s="0" t="str">
        <f aca="false">HYPERLINK("https://www.ncbi.nlm.nih.gov/nuccore/CP000304.1?report=graph&amp;tracks=[key:gene_model_track,Options:GeneOnly]&amp;mk=126736:126755|offset_11|00cc00,126759:126778|offset_34|444444,126780:126799|offset_55|444444,126801:126820|offset_76|444444&amp;v=126535:127020&amp;c=444444", "offset 11")</f>
        <v>offset 11</v>
      </c>
    </row>
    <row r="416" customFormat="false" ht="12.8" hidden="false" customHeight="false" outlineLevel="0" collapsed="false">
      <c r="A416" s="0" t="s">
        <v>12</v>
      </c>
      <c r="B416" s="0" t="n">
        <v>126758</v>
      </c>
      <c r="C416" s="0" t="n">
        <v>126778</v>
      </c>
      <c r="D416" s="0" t="s">
        <v>1400</v>
      </c>
      <c r="E416" s="0" t="s">
        <v>1401</v>
      </c>
      <c r="F416" s="0" t="s">
        <v>15</v>
      </c>
      <c r="G416" s="0" t="s">
        <v>16</v>
      </c>
      <c r="H416" s="0" t="n">
        <v>34</v>
      </c>
      <c r="I416" s="0" t="s">
        <v>1405</v>
      </c>
      <c r="J416" s="0" t="s">
        <v>1406</v>
      </c>
      <c r="K416" s="0" t="s">
        <v>1407</v>
      </c>
      <c r="L416" s="0" t="str">
        <f aca="false">HYPERLINK("https://www.ncbi.nlm.nih.gov/nuccore/CP000304.1?report=graph&amp;tracks=[key:gene_model_track,Options:GeneOnly]&amp;mk=126736:126755|offset_11|444444,126759:126778|offset_34|00cc00,126780:126799|offset_55|444444,126801:126820|offset_76|444444&amp;v=126535:127020&amp;c=444444", "offset 34")</f>
        <v>offset 34</v>
      </c>
    </row>
    <row r="417" customFormat="false" ht="12.8" hidden="false" customHeight="false" outlineLevel="0" collapsed="false">
      <c r="A417" s="0" t="s">
        <v>12</v>
      </c>
      <c r="B417" s="0" t="n">
        <v>126779</v>
      </c>
      <c r="C417" s="0" t="n">
        <v>126799</v>
      </c>
      <c r="D417" s="0" t="s">
        <v>1400</v>
      </c>
      <c r="E417" s="0" t="s">
        <v>1401</v>
      </c>
      <c r="F417" s="0" t="s">
        <v>15</v>
      </c>
      <c r="G417" s="0" t="s">
        <v>32</v>
      </c>
      <c r="H417" s="0" t="n">
        <v>55</v>
      </c>
      <c r="I417" s="0" t="s">
        <v>1408</v>
      </c>
      <c r="J417" s="0" t="s">
        <v>1409</v>
      </c>
      <c r="K417" s="0" t="s">
        <v>1410</v>
      </c>
      <c r="L417" s="0" t="str">
        <f aca="false">HYPERLINK("https://www.ncbi.nlm.nih.gov/nuccore/CP000304.1?report=graph&amp;tracks=[key:gene_model_track,Options:GeneOnly]&amp;mk=126736:126755|offset_11|444444,126759:126778|offset_34|444444,126780:126799|offset_55|00cc00,126801:126820|offset_76|444444&amp;v=126535:127020&amp;c=444444", "offset 55")</f>
        <v>offset 55</v>
      </c>
    </row>
    <row r="418" customFormat="false" ht="12.8" hidden="false" customHeight="false" outlineLevel="0" collapsed="false">
      <c r="A418" s="0" t="s">
        <v>12</v>
      </c>
      <c r="B418" s="0" t="n">
        <v>126800</v>
      </c>
      <c r="C418" s="0" t="n">
        <v>126820</v>
      </c>
      <c r="D418" s="0" t="s">
        <v>1400</v>
      </c>
      <c r="E418" s="0" t="s">
        <v>1401</v>
      </c>
      <c r="F418" s="0" t="s">
        <v>15</v>
      </c>
      <c r="G418" s="0" t="s">
        <v>32</v>
      </c>
      <c r="H418" s="0" t="n">
        <v>76</v>
      </c>
      <c r="I418" s="0" t="s">
        <v>1411</v>
      </c>
      <c r="J418" s="0" t="s">
        <v>1412</v>
      </c>
      <c r="K418" s="0" t="s">
        <v>1413</v>
      </c>
      <c r="L418" s="0" t="str">
        <f aca="false">HYPERLINK("https://www.ncbi.nlm.nih.gov/nuccore/CP000304.1?report=graph&amp;tracks=[key:gene_model_track,Options:GeneOnly]&amp;mk=126736:126755|offset_11|444444,126759:126778|offset_34|444444,126780:126799|offset_55|444444,126801:126820|offset_76|00cc00&amp;v=126535:127020&amp;c=444444", "offset 76")</f>
        <v>offset 76</v>
      </c>
    </row>
    <row r="419" customFormat="false" ht="12.8" hidden="false" customHeight="false" outlineLevel="0" collapsed="false">
      <c r="A419" s="0" t="s">
        <v>12</v>
      </c>
      <c r="B419" s="0" t="n">
        <v>126996</v>
      </c>
      <c r="C419" s="0" t="n">
        <v>127016</v>
      </c>
      <c r="D419" s="0" t="s">
        <v>1414</v>
      </c>
      <c r="E419" s="0" t="s">
        <v>89</v>
      </c>
      <c r="F419" s="0" t="s">
        <v>15</v>
      </c>
      <c r="G419" s="0" t="s">
        <v>36</v>
      </c>
      <c r="H419" s="0" t="n">
        <v>22</v>
      </c>
      <c r="I419" s="0" t="s">
        <v>1415</v>
      </c>
      <c r="J419" s="0" t="s">
        <v>1416</v>
      </c>
      <c r="K419" s="0" t="s">
        <v>1417</v>
      </c>
      <c r="L419" s="0" t="str">
        <f aca="false">HYPERLINK("https://www.ncbi.nlm.nih.gov/nuccore/CP000304.1?report=graph&amp;tracks=[key:gene_model_track,Options:GeneOnly]&amp;mk=126997:127016|offset_22|00cc00,127027:127046|offset_52|444444,127083:127102|offset_108|444444,127111:127130|offset_136|444444&amp;v=126796:127330&amp;c=444444", "offset 22")</f>
        <v>offset 22</v>
      </c>
    </row>
    <row r="420" customFormat="false" ht="12.8" hidden="false" customHeight="false" outlineLevel="0" collapsed="false">
      <c r="A420" s="0" t="s">
        <v>12</v>
      </c>
      <c r="B420" s="0" t="n">
        <v>127026</v>
      </c>
      <c r="C420" s="0" t="n">
        <v>127046</v>
      </c>
      <c r="D420" s="0" t="s">
        <v>1414</v>
      </c>
      <c r="E420" s="0" t="s">
        <v>89</v>
      </c>
      <c r="F420" s="0" t="s">
        <v>15</v>
      </c>
      <c r="G420" s="0" t="s">
        <v>36</v>
      </c>
      <c r="H420" s="0" t="n">
        <v>52</v>
      </c>
      <c r="I420" s="0" t="s">
        <v>1418</v>
      </c>
      <c r="J420" s="0" t="s">
        <v>1419</v>
      </c>
      <c r="K420" s="0" t="s">
        <v>1420</v>
      </c>
      <c r="L420" s="0" t="str">
        <f aca="false">HYPERLINK("https://www.ncbi.nlm.nih.gov/nuccore/CP000304.1?report=graph&amp;tracks=[key:gene_model_track,Options:GeneOnly]&amp;mk=126997:127016|offset_22|444444,127027:127046|offset_52|00cc00,127083:127102|offset_108|444444,127111:127130|offset_136|444444&amp;v=126796:127330&amp;c=444444", "offset 52")</f>
        <v>offset 52</v>
      </c>
    </row>
    <row r="421" customFormat="false" ht="12.8" hidden="false" customHeight="false" outlineLevel="0" collapsed="false">
      <c r="A421" s="0" t="s">
        <v>12</v>
      </c>
      <c r="B421" s="0" t="n">
        <v>127082</v>
      </c>
      <c r="C421" s="0" t="n">
        <v>127102</v>
      </c>
      <c r="D421" s="0" t="s">
        <v>1414</v>
      </c>
      <c r="E421" s="0" t="s">
        <v>89</v>
      </c>
      <c r="F421" s="0" t="s">
        <v>15</v>
      </c>
      <c r="G421" s="0" t="s">
        <v>36</v>
      </c>
      <c r="H421" s="0" t="n">
        <v>108</v>
      </c>
      <c r="I421" s="0" t="s">
        <v>1421</v>
      </c>
      <c r="J421" s="0" t="s">
        <v>1422</v>
      </c>
      <c r="K421" s="0" t="s">
        <v>1423</v>
      </c>
      <c r="L421" s="0" t="str">
        <f aca="false">HYPERLINK("https://www.ncbi.nlm.nih.gov/nuccore/CP000304.1?report=graph&amp;tracks=[key:gene_model_track,Options:GeneOnly]&amp;mk=126997:127016|offset_22|444444,127027:127046|offset_52|444444,127083:127102|offset_108|00cc00,127111:127130|offset_136|444444&amp;v=126796:127330&amp;c=444444", "offset 108")</f>
        <v>offset 108</v>
      </c>
    </row>
    <row r="422" customFormat="false" ht="12.8" hidden="false" customHeight="false" outlineLevel="0" collapsed="false">
      <c r="A422" s="0" t="s">
        <v>12</v>
      </c>
      <c r="B422" s="0" t="n">
        <v>127110</v>
      </c>
      <c r="C422" s="0" t="n">
        <v>127130</v>
      </c>
      <c r="D422" s="0" t="s">
        <v>1414</v>
      </c>
      <c r="E422" s="0" t="s">
        <v>89</v>
      </c>
      <c r="F422" s="0" t="s">
        <v>15</v>
      </c>
      <c r="G422" s="0" t="s">
        <v>32</v>
      </c>
      <c r="H422" s="0" t="n">
        <v>136</v>
      </c>
      <c r="I422" s="0" t="s">
        <v>1424</v>
      </c>
      <c r="J422" s="0" t="s">
        <v>1425</v>
      </c>
      <c r="K422" s="0" t="s">
        <v>1426</v>
      </c>
      <c r="L422" s="0" t="str">
        <f aca="false">HYPERLINK("https://www.ncbi.nlm.nih.gov/nuccore/CP000304.1?report=graph&amp;tracks=[key:gene_model_track,Options:GeneOnly]&amp;mk=126997:127016|offset_22|444444,127027:127046|offset_52|444444,127083:127102|offset_108|444444,127111:127130|offset_136|00cc00&amp;v=126796:127330&amp;c=444444", "offset 136")</f>
        <v>offset 136</v>
      </c>
    </row>
    <row r="423" customFormat="false" ht="12.8" hidden="false" customHeight="false" outlineLevel="0" collapsed="false">
      <c r="A423" s="0" t="s">
        <v>12</v>
      </c>
      <c r="B423" s="0" t="n">
        <v>129277</v>
      </c>
      <c r="C423" s="0" t="n">
        <v>129297</v>
      </c>
      <c r="D423" s="0" t="s">
        <v>1427</v>
      </c>
      <c r="E423" s="0" t="s">
        <v>89</v>
      </c>
      <c r="F423" s="0" t="s">
        <v>15</v>
      </c>
      <c r="G423" s="0" t="s">
        <v>16</v>
      </c>
      <c r="H423" s="0" t="n">
        <v>7</v>
      </c>
      <c r="I423" s="0" t="s">
        <v>1428</v>
      </c>
      <c r="J423" s="0" t="s">
        <v>1429</v>
      </c>
      <c r="K423" s="0" t="s">
        <v>1430</v>
      </c>
      <c r="L423" s="0" t="str">
        <f aca="false">HYPERLINK("https://www.ncbi.nlm.nih.gov/nuccore/CP000304.1?report=graph&amp;tracks=[key:gene_model_track,Options:GeneOnly]&amp;mk=129278:129297|offset_7|00cc00,129326:129345|offset_55|444444,129350:129369|offset_79|444444,129380:129399|offset_109|444444&amp;v=129077:129599&amp;c=444444", "offset 7")</f>
        <v>offset 7</v>
      </c>
    </row>
    <row r="424" customFormat="false" ht="12.8" hidden="false" customHeight="false" outlineLevel="0" collapsed="false">
      <c r="A424" s="0" t="s">
        <v>12</v>
      </c>
      <c r="B424" s="0" t="n">
        <v>129325</v>
      </c>
      <c r="C424" s="0" t="n">
        <v>129345</v>
      </c>
      <c r="D424" s="0" t="s">
        <v>1427</v>
      </c>
      <c r="E424" s="0" t="s">
        <v>89</v>
      </c>
      <c r="F424" s="0" t="s">
        <v>15</v>
      </c>
      <c r="G424" s="0" t="s">
        <v>36</v>
      </c>
      <c r="H424" s="0" t="n">
        <v>55</v>
      </c>
      <c r="I424" s="0" t="s">
        <v>1431</v>
      </c>
      <c r="J424" s="0" t="s">
        <v>1432</v>
      </c>
      <c r="K424" s="0" t="s">
        <v>1433</v>
      </c>
      <c r="L424" s="0" t="str">
        <f aca="false">HYPERLINK("https://www.ncbi.nlm.nih.gov/nuccore/CP000304.1?report=graph&amp;tracks=[key:gene_model_track,Options:GeneOnly]&amp;mk=129278:129297|offset_7|444444,129326:129345|offset_55|00cc00,129350:129369|offset_79|444444,129380:129399|offset_109|444444&amp;v=129077:129599&amp;c=444444", "offset 55")</f>
        <v>offset 55</v>
      </c>
    </row>
    <row r="425" customFormat="false" ht="12.8" hidden="false" customHeight="false" outlineLevel="0" collapsed="false">
      <c r="A425" s="0" t="s">
        <v>12</v>
      </c>
      <c r="B425" s="0" t="n">
        <v>129349</v>
      </c>
      <c r="C425" s="0" t="n">
        <v>129369</v>
      </c>
      <c r="D425" s="0" t="s">
        <v>1427</v>
      </c>
      <c r="E425" s="0" t="s">
        <v>89</v>
      </c>
      <c r="F425" s="0" t="s">
        <v>15</v>
      </c>
      <c r="G425" s="0" t="s">
        <v>32</v>
      </c>
      <c r="H425" s="0" t="n">
        <v>79</v>
      </c>
      <c r="I425" s="0" t="s">
        <v>1434</v>
      </c>
      <c r="J425" s="0" t="s">
        <v>1435</v>
      </c>
      <c r="K425" s="0" t="s">
        <v>1436</v>
      </c>
      <c r="L425" s="0" t="str">
        <f aca="false">HYPERLINK("https://www.ncbi.nlm.nih.gov/nuccore/CP000304.1?report=graph&amp;tracks=[key:gene_model_track,Options:GeneOnly]&amp;mk=129278:129297|offset_7|444444,129326:129345|offset_55|444444,129350:129369|offset_79|00cc00,129380:129399|offset_109|444444&amp;v=129077:129599&amp;c=444444", "offset 79")</f>
        <v>offset 79</v>
      </c>
    </row>
    <row r="426" customFormat="false" ht="12.8" hidden="false" customHeight="false" outlineLevel="0" collapsed="false">
      <c r="A426" s="0" t="s">
        <v>12</v>
      </c>
      <c r="B426" s="0" t="n">
        <v>129379</v>
      </c>
      <c r="C426" s="0" t="n">
        <v>129399</v>
      </c>
      <c r="D426" s="0" t="s">
        <v>1427</v>
      </c>
      <c r="E426" s="0" t="s">
        <v>89</v>
      </c>
      <c r="F426" s="0" t="s">
        <v>15</v>
      </c>
      <c r="G426" s="0" t="s">
        <v>16</v>
      </c>
      <c r="H426" s="0" t="n">
        <v>109</v>
      </c>
      <c r="I426" s="0" t="s">
        <v>1437</v>
      </c>
      <c r="J426" s="0" t="s">
        <v>1438</v>
      </c>
      <c r="K426" s="0" t="s">
        <v>1439</v>
      </c>
      <c r="L426" s="0" t="str">
        <f aca="false">HYPERLINK("https://www.ncbi.nlm.nih.gov/nuccore/CP000304.1?report=graph&amp;tracks=[key:gene_model_track,Options:GeneOnly]&amp;mk=129278:129297|offset_7|444444,129326:129345|offset_55|444444,129350:129369|offset_79|444444,129380:129399|offset_109|00cc00&amp;v=129077:129599&amp;c=444444", "offset 109")</f>
        <v>offset 109</v>
      </c>
    </row>
    <row r="427" customFormat="false" ht="12.8" hidden="false" customHeight="false" outlineLevel="0" collapsed="false">
      <c r="A427" s="0" t="s">
        <v>12</v>
      </c>
      <c r="B427" s="0" t="n">
        <v>131588</v>
      </c>
      <c r="C427" s="0" t="n">
        <v>131608</v>
      </c>
      <c r="D427" s="0" t="s">
        <v>1440</v>
      </c>
      <c r="E427" s="0" t="s">
        <v>89</v>
      </c>
      <c r="F427" s="0" t="s">
        <v>90</v>
      </c>
      <c r="G427" s="0" t="s">
        <v>32</v>
      </c>
      <c r="H427" s="0" t="n">
        <v>12</v>
      </c>
      <c r="I427" s="0" t="s">
        <v>1441</v>
      </c>
      <c r="J427" s="0" t="s">
        <v>1442</v>
      </c>
      <c r="K427" s="0" t="s">
        <v>1443</v>
      </c>
      <c r="L427" s="0" t="str">
        <f aca="false">HYPERLINK("https://www.ncbi.nlm.nih.gov/nuccore/CP000304.1?report=graph&amp;tracks=[key:gene_model_track,Options:GeneOnly]&amp;mk=131589:131608|offset_12|00cc00,131569:131588|offset_32|444444,131543:131562|offset_58|444444,131520:131539|offset_81|444444&amp;v=131388:131739&amp;c=444444", "offset 12")</f>
        <v>offset 12</v>
      </c>
    </row>
    <row r="428" customFormat="false" ht="12.8" hidden="false" customHeight="false" outlineLevel="0" collapsed="false">
      <c r="A428" s="0" t="s">
        <v>12</v>
      </c>
      <c r="B428" s="0" t="n">
        <v>131568</v>
      </c>
      <c r="C428" s="0" t="n">
        <v>131588</v>
      </c>
      <c r="D428" s="0" t="s">
        <v>1440</v>
      </c>
      <c r="E428" s="0" t="s">
        <v>89</v>
      </c>
      <c r="F428" s="0" t="s">
        <v>90</v>
      </c>
      <c r="G428" s="0" t="s">
        <v>16</v>
      </c>
      <c r="H428" s="0" t="n">
        <v>32</v>
      </c>
      <c r="I428" s="0" t="s">
        <v>1444</v>
      </c>
      <c r="J428" s="0" t="s">
        <v>1445</v>
      </c>
      <c r="K428" s="0" t="s">
        <v>1446</v>
      </c>
      <c r="L428" s="0" t="str">
        <f aca="false">HYPERLINK("https://www.ncbi.nlm.nih.gov/nuccore/CP000304.1?report=graph&amp;tracks=[key:gene_model_track,Options:GeneOnly]&amp;mk=131589:131608|offset_12|444444,131569:131588|offset_32|00cc00,131543:131562|offset_58|444444,131520:131539|offset_81|444444&amp;v=131388:131739&amp;c=444444", "offset 32")</f>
        <v>offset 32</v>
      </c>
    </row>
    <row r="429" customFormat="false" ht="12.8" hidden="false" customHeight="false" outlineLevel="0" collapsed="false">
      <c r="A429" s="0" t="s">
        <v>12</v>
      </c>
      <c r="B429" s="0" t="n">
        <v>131542</v>
      </c>
      <c r="C429" s="0" t="n">
        <v>131562</v>
      </c>
      <c r="D429" s="0" t="s">
        <v>1440</v>
      </c>
      <c r="E429" s="0" t="s">
        <v>89</v>
      </c>
      <c r="F429" s="0" t="s">
        <v>90</v>
      </c>
      <c r="G429" s="0" t="s">
        <v>26</v>
      </c>
      <c r="H429" s="0" t="n">
        <v>58</v>
      </c>
      <c r="I429" s="0" t="s">
        <v>1447</v>
      </c>
      <c r="J429" s="0" t="s">
        <v>1448</v>
      </c>
      <c r="K429" s="0" t="s">
        <v>1449</v>
      </c>
      <c r="L429" s="0" t="str">
        <f aca="false">HYPERLINK("https://www.ncbi.nlm.nih.gov/nuccore/CP000304.1?report=graph&amp;tracks=[key:gene_model_track,Options:GeneOnly]&amp;mk=131589:131608|offset_12|444444,131569:131588|offset_32|444444,131543:131562|offset_58|00cc00,131520:131539|offset_81|444444&amp;v=131388:131739&amp;c=444444", "offset 58")</f>
        <v>offset 58</v>
      </c>
    </row>
    <row r="430" customFormat="false" ht="12.8" hidden="false" customHeight="false" outlineLevel="0" collapsed="false">
      <c r="A430" s="0" t="s">
        <v>12</v>
      </c>
      <c r="B430" s="0" t="n">
        <v>131519</v>
      </c>
      <c r="C430" s="0" t="n">
        <v>131539</v>
      </c>
      <c r="D430" s="0" t="s">
        <v>1440</v>
      </c>
      <c r="E430" s="0" t="s">
        <v>89</v>
      </c>
      <c r="F430" s="0" t="s">
        <v>90</v>
      </c>
      <c r="G430" s="0" t="s">
        <v>16</v>
      </c>
      <c r="H430" s="0" t="n">
        <v>81</v>
      </c>
      <c r="I430" s="0" t="s">
        <v>1450</v>
      </c>
      <c r="J430" s="0" t="s">
        <v>1451</v>
      </c>
      <c r="K430" s="0" t="s">
        <v>1452</v>
      </c>
      <c r="L430" s="0" t="str">
        <f aca="false">HYPERLINK("https://www.ncbi.nlm.nih.gov/nuccore/CP000304.1?report=graph&amp;tracks=[key:gene_model_track,Options:GeneOnly]&amp;mk=131589:131608|offset_12|444444,131569:131588|offset_32|444444,131543:131562|offset_58|444444,131520:131539|offset_81|00cc00&amp;v=131388:131739&amp;c=444444", "offset 81")</f>
        <v>offset 81</v>
      </c>
    </row>
    <row r="431" customFormat="false" ht="12.8" hidden="false" customHeight="false" outlineLevel="0" collapsed="false">
      <c r="A431" s="0" t="s">
        <v>12</v>
      </c>
      <c r="B431" s="0" t="n">
        <v>132585</v>
      </c>
      <c r="C431" s="0" t="n">
        <v>132605</v>
      </c>
      <c r="D431" s="0" t="s">
        <v>1453</v>
      </c>
      <c r="E431" s="0" t="s">
        <v>1454</v>
      </c>
      <c r="F431" s="0" t="s">
        <v>90</v>
      </c>
      <c r="G431" s="0" t="s">
        <v>36</v>
      </c>
      <c r="H431" s="0" t="n">
        <v>18</v>
      </c>
      <c r="I431" s="0" t="s">
        <v>1455</v>
      </c>
      <c r="J431" s="0" t="s">
        <v>1456</v>
      </c>
      <c r="K431" s="0" t="s">
        <v>1457</v>
      </c>
      <c r="L431" s="0" t="str">
        <f aca="false">HYPERLINK("https://www.ncbi.nlm.nih.gov/nuccore/CP000304.1?report=graph&amp;tracks=[key:gene_model_track,Options:GeneOnly]&amp;mk=132586:132605|offset_18|00cc00,132561:132580|offset_43|444444,132521:132540|offset_83|444444,132476:132495|offset_128|444444&amp;v=132385:132695&amp;c=444444", "offset 18")</f>
        <v>offset 18</v>
      </c>
    </row>
    <row r="432" customFormat="false" ht="12.8" hidden="false" customHeight="false" outlineLevel="0" collapsed="false">
      <c r="A432" s="0" t="s">
        <v>12</v>
      </c>
      <c r="B432" s="0" t="n">
        <v>132560</v>
      </c>
      <c r="C432" s="0" t="n">
        <v>132580</v>
      </c>
      <c r="D432" s="0" t="s">
        <v>1453</v>
      </c>
      <c r="E432" s="0" t="s">
        <v>1454</v>
      </c>
      <c r="F432" s="0" t="s">
        <v>90</v>
      </c>
      <c r="G432" s="0" t="s">
        <v>26</v>
      </c>
      <c r="H432" s="0" t="n">
        <v>43</v>
      </c>
      <c r="I432" s="0" t="s">
        <v>1458</v>
      </c>
      <c r="J432" s="0" t="s">
        <v>1459</v>
      </c>
      <c r="K432" s="0" t="s">
        <v>1460</v>
      </c>
      <c r="L432" s="0" t="str">
        <f aca="false">HYPERLINK("https://www.ncbi.nlm.nih.gov/nuccore/CP000304.1?report=graph&amp;tracks=[key:gene_model_track,Options:GeneOnly]&amp;mk=132586:132605|offset_18|444444,132561:132580|offset_43|00cc00,132521:132540|offset_83|444444,132476:132495|offset_128|444444&amp;v=132385:132695&amp;c=444444", "offset 43")</f>
        <v>offset 43</v>
      </c>
    </row>
    <row r="433" customFormat="false" ht="12.8" hidden="false" customHeight="false" outlineLevel="0" collapsed="false">
      <c r="A433" s="0" t="s">
        <v>12</v>
      </c>
      <c r="B433" s="0" t="n">
        <v>132520</v>
      </c>
      <c r="C433" s="0" t="n">
        <v>132540</v>
      </c>
      <c r="D433" s="0" t="s">
        <v>1453</v>
      </c>
      <c r="E433" s="0" t="s">
        <v>1454</v>
      </c>
      <c r="F433" s="0" t="s">
        <v>90</v>
      </c>
      <c r="G433" s="0" t="s">
        <v>32</v>
      </c>
      <c r="H433" s="0" t="n">
        <v>83</v>
      </c>
      <c r="I433" s="0" t="s">
        <v>1461</v>
      </c>
      <c r="J433" s="0" t="s">
        <v>1462</v>
      </c>
      <c r="K433" s="0" t="s">
        <v>1463</v>
      </c>
      <c r="L433" s="0" t="str">
        <f aca="false">HYPERLINK("https://www.ncbi.nlm.nih.gov/nuccore/CP000304.1?report=graph&amp;tracks=[key:gene_model_track,Options:GeneOnly]&amp;mk=132586:132605|offset_18|444444,132561:132580|offset_43|444444,132521:132540|offset_83|00cc00,132476:132495|offset_128|444444&amp;v=132385:132695&amp;c=444444", "offset 83")</f>
        <v>offset 83</v>
      </c>
    </row>
    <row r="434" customFormat="false" ht="12.8" hidden="false" customHeight="false" outlineLevel="0" collapsed="false">
      <c r="A434" s="0" t="s">
        <v>12</v>
      </c>
      <c r="B434" s="0" t="n">
        <v>132475</v>
      </c>
      <c r="C434" s="0" t="n">
        <v>132495</v>
      </c>
      <c r="D434" s="0" t="s">
        <v>1453</v>
      </c>
      <c r="E434" s="0" t="s">
        <v>1454</v>
      </c>
      <c r="F434" s="0" t="s">
        <v>90</v>
      </c>
      <c r="G434" s="0" t="s">
        <v>26</v>
      </c>
      <c r="H434" s="0" t="n">
        <v>128</v>
      </c>
      <c r="I434" s="0" t="s">
        <v>1464</v>
      </c>
      <c r="J434" s="0" t="s">
        <v>1465</v>
      </c>
      <c r="K434" s="0" t="s">
        <v>1466</v>
      </c>
      <c r="L434" s="0" t="str">
        <f aca="false">HYPERLINK("https://www.ncbi.nlm.nih.gov/nuccore/CP000304.1?report=graph&amp;tracks=[key:gene_model_track,Options:GeneOnly]&amp;mk=132586:132605|offset_18|444444,132561:132580|offset_43|444444,132521:132540|offset_83|444444,132476:132495|offset_128|00cc00&amp;v=132385:132695&amp;c=444444", "offset 128")</f>
        <v>offset 128</v>
      </c>
    </row>
    <row r="435" customFormat="false" ht="12.8" hidden="false" customHeight="false" outlineLevel="0" collapsed="false">
      <c r="A435" s="0" t="s">
        <v>12</v>
      </c>
      <c r="B435" s="0" t="n">
        <v>132911</v>
      </c>
      <c r="C435" s="0" t="n">
        <v>132931</v>
      </c>
      <c r="D435" s="0" t="s">
        <v>1467</v>
      </c>
      <c r="E435" s="0" t="s">
        <v>89</v>
      </c>
      <c r="F435" s="0" t="s">
        <v>90</v>
      </c>
      <c r="G435" s="0" t="s">
        <v>32</v>
      </c>
      <c r="H435" s="0" t="n">
        <v>40</v>
      </c>
      <c r="I435" s="0" t="s">
        <v>1468</v>
      </c>
      <c r="J435" s="0" t="s">
        <v>1469</v>
      </c>
      <c r="K435" s="0" t="s">
        <v>1470</v>
      </c>
      <c r="L435" s="0" t="str">
        <f aca="false">HYPERLINK("https://www.ncbi.nlm.nih.gov/nuccore/CP000304.1?report=graph&amp;tracks=[key:gene_model_track,Options:GeneOnly]&amp;mk=132912:132931|offset_40|00cc00,132882:132901|offset_70|444444,132862:132881|offset_90|444444,132823:132842|offset_129|444444&amp;v=132711:133042&amp;c=444444", "offset 40")</f>
        <v>offset 40</v>
      </c>
    </row>
    <row r="436" customFormat="false" ht="12.8" hidden="false" customHeight="false" outlineLevel="0" collapsed="false">
      <c r="A436" s="0" t="s">
        <v>12</v>
      </c>
      <c r="B436" s="0" t="n">
        <v>132881</v>
      </c>
      <c r="C436" s="0" t="n">
        <v>132901</v>
      </c>
      <c r="D436" s="0" t="s">
        <v>1467</v>
      </c>
      <c r="E436" s="0" t="s">
        <v>89</v>
      </c>
      <c r="F436" s="0" t="s">
        <v>90</v>
      </c>
      <c r="G436" s="0" t="s">
        <v>32</v>
      </c>
      <c r="H436" s="0" t="n">
        <v>70</v>
      </c>
      <c r="I436" s="0" t="s">
        <v>1471</v>
      </c>
      <c r="J436" s="0" t="s">
        <v>1472</v>
      </c>
      <c r="K436" s="0" t="s">
        <v>1473</v>
      </c>
      <c r="L436" s="0" t="str">
        <f aca="false">HYPERLINK("https://www.ncbi.nlm.nih.gov/nuccore/CP000304.1?report=graph&amp;tracks=[key:gene_model_track,Options:GeneOnly]&amp;mk=132912:132931|offset_40|444444,132882:132901|offset_70|00cc00,132862:132881|offset_90|444444,132823:132842|offset_129|444444&amp;v=132711:133042&amp;c=444444", "offset 70")</f>
        <v>offset 70</v>
      </c>
    </row>
    <row r="437" customFormat="false" ht="12.8" hidden="false" customHeight="false" outlineLevel="0" collapsed="false">
      <c r="A437" s="0" t="s">
        <v>12</v>
      </c>
      <c r="B437" s="0" t="n">
        <v>132861</v>
      </c>
      <c r="C437" s="0" t="n">
        <v>132881</v>
      </c>
      <c r="D437" s="0" t="s">
        <v>1467</v>
      </c>
      <c r="E437" s="0" t="s">
        <v>89</v>
      </c>
      <c r="F437" s="0" t="s">
        <v>90</v>
      </c>
      <c r="G437" s="0" t="s">
        <v>26</v>
      </c>
      <c r="H437" s="0" t="n">
        <v>90</v>
      </c>
      <c r="I437" s="0" t="s">
        <v>1474</v>
      </c>
      <c r="J437" s="0" t="s">
        <v>1475</v>
      </c>
      <c r="K437" s="0" t="s">
        <v>1476</v>
      </c>
      <c r="L437" s="0" t="str">
        <f aca="false">HYPERLINK("https://www.ncbi.nlm.nih.gov/nuccore/CP000304.1?report=graph&amp;tracks=[key:gene_model_track,Options:GeneOnly]&amp;mk=132912:132931|offset_40|444444,132882:132901|offset_70|444444,132862:132881|offset_90|00cc00,132823:132842|offset_129|444444&amp;v=132711:133042&amp;c=444444", "offset 90")</f>
        <v>offset 90</v>
      </c>
    </row>
    <row r="438" customFormat="false" ht="12.8" hidden="false" customHeight="false" outlineLevel="0" collapsed="false">
      <c r="A438" s="0" t="s">
        <v>12</v>
      </c>
      <c r="B438" s="0" t="n">
        <v>132822</v>
      </c>
      <c r="C438" s="0" t="n">
        <v>132842</v>
      </c>
      <c r="D438" s="0" t="s">
        <v>1467</v>
      </c>
      <c r="E438" s="0" t="s">
        <v>89</v>
      </c>
      <c r="F438" s="0" t="s">
        <v>90</v>
      </c>
      <c r="G438" s="0" t="s">
        <v>16</v>
      </c>
      <c r="H438" s="0" t="n">
        <v>129</v>
      </c>
      <c r="I438" s="0" t="s">
        <v>1477</v>
      </c>
      <c r="J438" s="0" t="s">
        <v>1478</v>
      </c>
      <c r="K438" s="0" t="s">
        <v>1479</v>
      </c>
      <c r="L438" s="0" t="str">
        <f aca="false">HYPERLINK("https://www.ncbi.nlm.nih.gov/nuccore/CP000304.1?report=graph&amp;tracks=[key:gene_model_track,Options:GeneOnly]&amp;mk=132912:132931|offset_40|444444,132882:132901|offset_70|444444,132862:132881|offset_90|444444,132823:132842|offset_129|00cc00&amp;v=132711:133042&amp;c=444444", "offset 129")</f>
        <v>offset 129</v>
      </c>
    </row>
    <row r="439" customFormat="false" ht="12.8" hidden="false" customHeight="false" outlineLevel="0" collapsed="false">
      <c r="A439" s="0" t="s">
        <v>12</v>
      </c>
      <c r="B439" s="0" t="n">
        <v>132981</v>
      </c>
      <c r="C439" s="0" t="n">
        <v>133001</v>
      </c>
      <c r="D439" s="0" t="s">
        <v>1480</v>
      </c>
      <c r="E439" s="0" t="s">
        <v>1481</v>
      </c>
      <c r="F439" s="0" t="s">
        <v>15</v>
      </c>
      <c r="G439" s="0" t="s">
        <v>16</v>
      </c>
      <c r="H439" s="0" t="n">
        <v>24</v>
      </c>
      <c r="I439" s="0" t="s">
        <v>1482</v>
      </c>
      <c r="J439" s="0" t="s">
        <v>1483</v>
      </c>
      <c r="K439" s="0" t="s">
        <v>1484</v>
      </c>
      <c r="L439" s="0" t="str">
        <f aca="false">HYPERLINK("https://www.ncbi.nlm.nih.gov/nuccore/CP000304.1?report=graph&amp;tracks=[key:gene_model_track,Options:GeneOnly]&amp;mk=132982:133001|offset_24|00cc00,133006:133025|offset_48|444444,133026:133045|offset_68|444444,133049:133068|offset_91|444444&amp;v=132781:133268&amp;c=444444", "offset 24")</f>
        <v>offset 24</v>
      </c>
    </row>
    <row r="440" customFormat="false" ht="12.8" hidden="false" customHeight="false" outlineLevel="0" collapsed="false">
      <c r="A440" s="0" t="s">
        <v>12</v>
      </c>
      <c r="B440" s="0" t="n">
        <v>133005</v>
      </c>
      <c r="C440" s="0" t="n">
        <v>133025</v>
      </c>
      <c r="D440" s="0" t="s">
        <v>1480</v>
      </c>
      <c r="E440" s="0" t="s">
        <v>1481</v>
      </c>
      <c r="F440" s="0" t="s">
        <v>15</v>
      </c>
      <c r="G440" s="0" t="s">
        <v>16</v>
      </c>
      <c r="H440" s="0" t="n">
        <v>48</v>
      </c>
      <c r="I440" s="0" t="s">
        <v>1485</v>
      </c>
      <c r="J440" s="0" t="s">
        <v>1486</v>
      </c>
      <c r="K440" s="0" t="s">
        <v>1487</v>
      </c>
      <c r="L440" s="0" t="str">
        <f aca="false">HYPERLINK("https://www.ncbi.nlm.nih.gov/nuccore/CP000304.1?report=graph&amp;tracks=[key:gene_model_track,Options:GeneOnly]&amp;mk=132982:133001|offset_24|444444,133006:133025|offset_48|00cc00,133026:133045|offset_68|444444,133049:133068|offset_91|444444&amp;v=132781:133268&amp;c=444444", "offset 48")</f>
        <v>offset 48</v>
      </c>
    </row>
    <row r="441" customFormat="false" ht="12.8" hidden="false" customHeight="false" outlineLevel="0" collapsed="false">
      <c r="A441" s="0" t="s">
        <v>12</v>
      </c>
      <c r="B441" s="0" t="n">
        <v>133025</v>
      </c>
      <c r="C441" s="0" t="n">
        <v>133045</v>
      </c>
      <c r="D441" s="0" t="s">
        <v>1480</v>
      </c>
      <c r="E441" s="0" t="s">
        <v>1481</v>
      </c>
      <c r="F441" s="0" t="s">
        <v>15</v>
      </c>
      <c r="G441" s="0" t="s">
        <v>26</v>
      </c>
      <c r="H441" s="0" t="n">
        <v>68</v>
      </c>
      <c r="I441" s="0" t="s">
        <v>1488</v>
      </c>
      <c r="J441" s="0" t="s">
        <v>1489</v>
      </c>
      <c r="K441" s="0" t="s">
        <v>1490</v>
      </c>
      <c r="L441" s="0" t="str">
        <f aca="false">HYPERLINK("https://www.ncbi.nlm.nih.gov/nuccore/CP000304.1?report=graph&amp;tracks=[key:gene_model_track,Options:GeneOnly]&amp;mk=132982:133001|offset_24|444444,133006:133025|offset_48|444444,133026:133045|offset_68|00cc00,133049:133068|offset_91|444444&amp;v=132781:133268&amp;c=444444", "offset 68")</f>
        <v>offset 68</v>
      </c>
    </row>
    <row r="442" customFormat="false" ht="12.8" hidden="false" customHeight="false" outlineLevel="0" collapsed="false">
      <c r="A442" s="0" t="s">
        <v>12</v>
      </c>
      <c r="B442" s="0" t="n">
        <v>133048</v>
      </c>
      <c r="C442" s="0" t="n">
        <v>133068</v>
      </c>
      <c r="D442" s="0" t="s">
        <v>1480</v>
      </c>
      <c r="E442" s="0" t="s">
        <v>1481</v>
      </c>
      <c r="F442" s="0" t="s">
        <v>15</v>
      </c>
      <c r="G442" s="0" t="s">
        <v>26</v>
      </c>
      <c r="H442" s="0" t="n">
        <v>91</v>
      </c>
      <c r="I442" s="0" t="s">
        <v>1491</v>
      </c>
      <c r="J442" s="0" t="s">
        <v>1492</v>
      </c>
      <c r="K442" s="0" t="s">
        <v>1493</v>
      </c>
      <c r="L442" s="0" t="str">
        <f aca="false">HYPERLINK("https://www.ncbi.nlm.nih.gov/nuccore/CP000304.1?report=graph&amp;tracks=[key:gene_model_track,Options:GeneOnly]&amp;mk=132982:133001|offset_24|444444,133006:133025|offset_48|444444,133026:133045|offset_68|444444,133049:133068|offset_91|00cc00&amp;v=132781:133268&amp;c=444444", "offset 91")</f>
        <v>offset 91</v>
      </c>
    </row>
    <row r="443" customFormat="false" ht="12.8" hidden="false" customHeight="false" outlineLevel="0" collapsed="false">
      <c r="A443" s="0" t="s">
        <v>12</v>
      </c>
      <c r="B443" s="0" t="n">
        <v>137962</v>
      </c>
      <c r="C443" s="0" t="n">
        <v>137982</v>
      </c>
      <c r="D443" s="0" t="s">
        <v>1494</v>
      </c>
      <c r="E443" s="0" t="s">
        <v>89</v>
      </c>
      <c r="F443" s="0" t="s">
        <v>90</v>
      </c>
      <c r="G443" s="0" t="s">
        <v>36</v>
      </c>
      <c r="H443" s="0" t="n">
        <v>7</v>
      </c>
      <c r="I443" s="0" t="s">
        <v>1495</v>
      </c>
      <c r="J443" s="0" t="s">
        <v>1496</v>
      </c>
      <c r="K443" s="0" t="s">
        <v>1497</v>
      </c>
      <c r="L443" s="0" t="str">
        <f aca="false">HYPERLINK("https://www.ncbi.nlm.nih.gov/nuccore/CP000304.1?report=graph&amp;tracks=[key:gene_model_track,Options:GeneOnly]&amp;mk=137963:137982|offset_7|00cc00,137926:137945|offset_44|444444,137893:137912|offset_77|444444,137825:137844|offset_145|444444&amp;v=137762:138044&amp;c=444444", "offset 7")</f>
        <v>offset 7</v>
      </c>
    </row>
    <row r="444" customFormat="false" ht="12.8" hidden="false" customHeight="false" outlineLevel="0" collapsed="false">
      <c r="A444" s="0" t="s">
        <v>12</v>
      </c>
      <c r="B444" s="0" t="n">
        <v>137925</v>
      </c>
      <c r="C444" s="0" t="n">
        <v>137945</v>
      </c>
      <c r="D444" s="0" t="s">
        <v>1494</v>
      </c>
      <c r="E444" s="0" t="s">
        <v>89</v>
      </c>
      <c r="F444" s="0" t="s">
        <v>90</v>
      </c>
      <c r="G444" s="0" t="s">
        <v>26</v>
      </c>
      <c r="H444" s="0" t="n">
        <v>44</v>
      </c>
      <c r="I444" s="0" t="s">
        <v>1498</v>
      </c>
      <c r="J444" s="0" t="s">
        <v>1499</v>
      </c>
      <c r="K444" s="0" t="s">
        <v>1500</v>
      </c>
      <c r="L444" s="0" t="str">
        <f aca="false">HYPERLINK("https://www.ncbi.nlm.nih.gov/nuccore/CP000304.1?report=graph&amp;tracks=[key:gene_model_track,Options:GeneOnly]&amp;mk=137963:137982|offset_7|444444,137926:137945|offset_44|00cc00,137893:137912|offset_77|444444,137825:137844|offset_145|444444&amp;v=137762:138044&amp;c=444444", "offset 44")</f>
        <v>offset 44</v>
      </c>
    </row>
    <row r="445" customFormat="false" ht="12.8" hidden="false" customHeight="false" outlineLevel="0" collapsed="false">
      <c r="A445" s="0" t="s">
        <v>12</v>
      </c>
      <c r="B445" s="0" t="n">
        <v>137892</v>
      </c>
      <c r="C445" s="0" t="n">
        <v>137912</v>
      </c>
      <c r="D445" s="0" t="s">
        <v>1494</v>
      </c>
      <c r="E445" s="0" t="s">
        <v>89</v>
      </c>
      <c r="F445" s="0" t="s">
        <v>90</v>
      </c>
      <c r="G445" s="0" t="s">
        <v>26</v>
      </c>
      <c r="H445" s="0" t="n">
        <v>77</v>
      </c>
      <c r="I445" s="0" t="s">
        <v>1501</v>
      </c>
      <c r="J445" s="0" t="s">
        <v>1502</v>
      </c>
      <c r="K445" s="0" t="s">
        <v>1503</v>
      </c>
      <c r="L445" s="0" t="str">
        <f aca="false">HYPERLINK("https://www.ncbi.nlm.nih.gov/nuccore/CP000304.1?report=graph&amp;tracks=[key:gene_model_track,Options:GeneOnly]&amp;mk=137963:137982|offset_7|444444,137926:137945|offset_44|444444,137893:137912|offset_77|00cc00,137825:137844|offset_145|444444&amp;v=137762:138044&amp;c=444444", "offset 77")</f>
        <v>offset 77</v>
      </c>
    </row>
    <row r="446" customFormat="false" ht="12.8" hidden="false" customHeight="false" outlineLevel="0" collapsed="false">
      <c r="A446" s="0" t="s">
        <v>12</v>
      </c>
      <c r="B446" s="0" t="n">
        <v>137824</v>
      </c>
      <c r="C446" s="0" t="n">
        <v>137844</v>
      </c>
      <c r="D446" s="0" t="s">
        <v>1494</v>
      </c>
      <c r="E446" s="0" t="s">
        <v>89</v>
      </c>
      <c r="F446" s="0" t="s">
        <v>90</v>
      </c>
      <c r="G446" s="0" t="s">
        <v>32</v>
      </c>
      <c r="H446" s="0" t="n">
        <v>145</v>
      </c>
      <c r="I446" s="0" t="s">
        <v>1504</v>
      </c>
      <c r="J446" s="0" t="s">
        <v>1505</v>
      </c>
      <c r="K446" s="0" t="s">
        <v>1506</v>
      </c>
      <c r="L446" s="0" t="str">
        <f aca="false">HYPERLINK("https://www.ncbi.nlm.nih.gov/nuccore/CP000304.1?report=graph&amp;tracks=[key:gene_model_track,Options:GeneOnly]&amp;mk=137963:137982|offset_7|444444,137926:137945|offset_44|444444,137893:137912|offset_77|444444,137825:137844|offset_145|00cc00&amp;v=137762:138044&amp;c=444444", "offset 145")</f>
        <v>offset 145</v>
      </c>
    </row>
    <row r="447" customFormat="false" ht="12.8" hidden="false" customHeight="false" outlineLevel="0" collapsed="false">
      <c r="A447" s="0" t="s">
        <v>12</v>
      </c>
      <c r="B447" s="0" t="n">
        <v>138313</v>
      </c>
      <c r="C447" s="0" t="n">
        <v>138333</v>
      </c>
      <c r="D447" s="0" t="s">
        <v>1507</v>
      </c>
      <c r="E447" s="0" t="s">
        <v>89</v>
      </c>
      <c r="F447" s="0" t="s">
        <v>90</v>
      </c>
      <c r="G447" s="0" t="s">
        <v>16</v>
      </c>
      <c r="H447" s="0" t="n">
        <v>0</v>
      </c>
      <c r="I447" s="0" t="s">
        <v>1508</v>
      </c>
      <c r="J447" s="0" t="s">
        <v>1509</v>
      </c>
      <c r="K447" s="0" t="s">
        <v>1510</v>
      </c>
      <c r="L447" s="0" t="str">
        <f aca="false">HYPERLINK("https://www.ncbi.nlm.nih.gov/nuccore/CP000304.1?report=graph&amp;tracks=[key:gene_model_track,Options:GeneOnly]&amp;mk=138314:138333|offset_0|00cc00,138265:138284|offset_49|444444,138241:138260|offset_73|444444,138217:138236|offset_97|444444&amp;v=138113:138436&amp;c=444444", "offset 0")</f>
        <v>offset 0</v>
      </c>
    </row>
    <row r="448" customFormat="false" ht="12.8" hidden="false" customHeight="false" outlineLevel="0" collapsed="false">
      <c r="A448" s="0" t="s">
        <v>12</v>
      </c>
      <c r="B448" s="0" t="n">
        <v>138264</v>
      </c>
      <c r="C448" s="0" t="n">
        <v>138284</v>
      </c>
      <c r="D448" s="0" t="s">
        <v>1507</v>
      </c>
      <c r="E448" s="0" t="s">
        <v>89</v>
      </c>
      <c r="F448" s="0" t="s">
        <v>90</v>
      </c>
      <c r="G448" s="0" t="s">
        <v>16</v>
      </c>
      <c r="H448" s="0" t="n">
        <v>49</v>
      </c>
      <c r="I448" s="0" t="s">
        <v>1511</v>
      </c>
      <c r="J448" s="0" t="s">
        <v>1512</v>
      </c>
      <c r="K448" s="0" t="s">
        <v>1513</v>
      </c>
      <c r="L448" s="0" t="str">
        <f aca="false">HYPERLINK("https://www.ncbi.nlm.nih.gov/nuccore/CP000304.1?report=graph&amp;tracks=[key:gene_model_track,Options:GeneOnly]&amp;mk=138314:138333|offset_0|444444,138265:138284|offset_49|00cc00,138241:138260|offset_73|444444,138217:138236|offset_97|444444&amp;v=138113:138436&amp;c=444444", "offset 49")</f>
        <v>offset 49</v>
      </c>
    </row>
    <row r="449" customFormat="false" ht="12.8" hidden="false" customHeight="false" outlineLevel="0" collapsed="false">
      <c r="A449" s="0" t="s">
        <v>12</v>
      </c>
      <c r="B449" s="0" t="n">
        <v>138240</v>
      </c>
      <c r="C449" s="0" t="n">
        <v>138260</v>
      </c>
      <c r="D449" s="0" t="s">
        <v>1507</v>
      </c>
      <c r="E449" s="0" t="s">
        <v>89</v>
      </c>
      <c r="F449" s="0" t="s">
        <v>90</v>
      </c>
      <c r="G449" s="0" t="s">
        <v>16</v>
      </c>
      <c r="H449" s="0" t="n">
        <v>73</v>
      </c>
      <c r="I449" s="0" t="s">
        <v>1514</v>
      </c>
      <c r="J449" s="0" t="s">
        <v>1515</v>
      </c>
      <c r="K449" s="0" t="s">
        <v>1516</v>
      </c>
      <c r="L449" s="0" t="str">
        <f aca="false">HYPERLINK("https://www.ncbi.nlm.nih.gov/nuccore/CP000304.1?report=graph&amp;tracks=[key:gene_model_track,Options:GeneOnly]&amp;mk=138314:138333|offset_0|444444,138265:138284|offset_49|444444,138241:138260|offset_73|00cc00,138217:138236|offset_97|444444&amp;v=138113:138436&amp;c=444444", "offset 73")</f>
        <v>offset 73</v>
      </c>
    </row>
    <row r="450" customFormat="false" ht="12.8" hidden="false" customHeight="false" outlineLevel="0" collapsed="false">
      <c r="A450" s="0" t="s">
        <v>12</v>
      </c>
      <c r="B450" s="0" t="n">
        <v>138216</v>
      </c>
      <c r="C450" s="0" t="n">
        <v>138236</v>
      </c>
      <c r="D450" s="0" t="s">
        <v>1507</v>
      </c>
      <c r="E450" s="0" t="s">
        <v>89</v>
      </c>
      <c r="F450" s="0" t="s">
        <v>90</v>
      </c>
      <c r="G450" s="0" t="s">
        <v>36</v>
      </c>
      <c r="H450" s="0" t="n">
        <v>97</v>
      </c>
      <c r="I450" s="0" t="s">
        <v>1517</v>
      </c>
      <c r="J450" s="0" t="s">
        <v>1518</v>
      </c>
      <c r="K450" s="0" t="s">
        <v>1519</v>
      </c>
      <c r="L450" s="0" t="str">
        <f aca="false">HYPERLINK("https://www.ncbi.nlm.nih.gov/nuccore/CP000304.1?report=graph&amp;tracks=[key:gene_model_track,Options:GeneOnly]&amp;mk=138314:138333|offset_0|444444,138265:138284|offset_49|444444,138241:138260|offset_73|444444,138217:138236|offset_97|00cc00&amp;v=138113:138436&amp;c=444444", "offset 97")</f>
        <v>offset 97</v>
      </c>
    </row>
    <row r="451" customFormat="false" ht="12.8" hidden="false" customHeight="false" outlineLevel="0" collapsed="false">
      <c r="A451" s="0" t="s">
        <v>12</v>
      </c>
      <c r="B451" s="0" t="n">
        <v>138625</v>
      </c>
      <c r="C451" s="0" t="n">
        <v>138645</v>
      </c>
      <c r="D451" s="0" t="s">
        <v>1520</v>
      </c>
      <c r="E451" s="0" t="s">
        <v>89</v>
      </c>
      <c r="F451" s="0" t="s">
        <v>90</v>
      </c>
      <c r="G451" s="0" t="s">
        <v>36</v>
      </c>
      <c r="H451" s="0" t="n">
        <v>0</v>
      </c>
      <c r="I451" s="0" t="s">
        <v>1521</v>
      </c>
      <c r="J451" s="0" t="s">
        <v>1522</v>
      </c>
      <c r="K451" s="0" t="s">
        <v>1523</v>
      </c>
      <c r="L451" s="0" t="str">
        <f aca="false">HYPERLINK("https://www.ncbi.nlm.nih.gov/nuccore/CP000304.1?report=graph&amp;tracks=[key:gene_model_track,Options:GeneOnly]&amp;mk=138626:138645|offset_0|00cc00,138604:138623|offset_22|444444,138580:138599|offset_46|444444,138547:138566|offset_79|444444&amp;v=138425:138766&amp;c=444444", "offset 0")</f>
        <v>offset 0</v>
      </c>
    </row>
    <row r="452" customFormat="false" ht="12.8" hidden="false" customHeight="false" outlineLevel="0" collapsed="false">
      <c r="A452" s="0" t="s">
        <v>12</v>
      </c>
      <c r="B452" s="0" t="n">
        <v>138603</v>
      </c>
      <c r="C452" s="0" t="n">
        <v>138623</v>
      </c>
      <c r="D452" s="0" t="s">
        <v>1520</v>
      </c>
      <c r="E452" s="0" t="s">
        <v>89</v>
      </c>
      <c r="F452" s="0" t="s">
        <v>90</v>
      </c>
      <c r="G452" s="0" t="s">
        <v>36</v>
      </c>
      <c r="H452" s="0" t="n">
        <v>22</v>
      </c>
      <c r="I452" s="0" t="s">
        <v>1524</v>
      </c>
      <c r="J452" s="0" t="s">
        <v>1525</v>
      </c>
      <c r="K452" s="0" t="s">
        <v>1526</v>
      </c>
      <c r="L452" s="0" t="str">
        <f aca="false">HYPERLINK("https://www.ncbi.nlm.nih.gov/nuccore/CP000304.1?report=graph&amp;tracks=[key:gene_model_track,Options:GeneOnly]&amp;mk=138626:138645|offset_0|444444,138604:138623|offset_22|00cc00,138580:138599|offset_46|444444,138547:138566|offset_79|444444&amp;v=138425:138766&amp;c=444444", "offset 22")</f>
        <v>offset 22</v>
      </c>
    </row>
    <row r="453" customFormat="false" ht="12.8" hidden="false" customHeight="false" outlineLevel="0" collapsed="false">
      <c r="A453" s="0" t="s">
        <v>12</v>
      </c>
      <c r="B453" s="0" t="n">
        <v>138579</v>
      </c>
      <c r="C453" s="0" t="n">
        <v>138599</v>
      </c>
      <c r="D453" s="0" t="s">
        <v>1520</v>
      </c>
      <c r="E453" s="0" t="s">
        <v>89</v>
      </c>
      <c r="F453" s="0" t="s">
        <v>90</v>
      </c>
      <c r="G453" s="0" t="s">
        <v>16</v>
      </c>
      <c r="H453" s="0" t="n">
        <v>46</v>
      </c>
      <c r="I453" s="0" t="s">
        <v>1527</v>
      </c>
      <c r="J453" s="0" t="s">
        <v>1528</v>
      </c>
      <c r="K453" s="0" t="s">
        <v>1529</v>
      </c>
      <c r="L453" s="0" t="str">
        <f aca="false">HYPERLINK("https://www.ncbi.nlm.nih.gov/nuccore/CP000304.1?report=graph&amp;tracks=[key:gene_model_track,Options:GeneOnly]&amp;mk=138626:138645|offset_0|444444,138604:138623|offset_22|444444,138580:138599|offset_46|00cc00,138547:138566|offset_79|444444&amp;v=138425:138766&amp;c=444444", "offset 46")</f>
        <v>offset 46</v>
      </c>
    </row>
    <row r="454" customFormat="false" ht="12.8" hidden="false" customHeight="false" outlineLevel="0" collapsed="false">
      <c r="A454" s="0" t="s">
        <v>12</v>
      </c>
      <c r="B454" s="0" t="n">
        <v>138546</v>
      </c>
      <c r="C454" s="0" t="n">
        <v>138566</v>
      </c>
      <c r="D454" s="0" t="s">
        <v>1520</v>
      </c>
      <c r="E454" s="0" t="s">
        <v>89</v>
      </c>
      <c r="F454" s="0" t="s">
        <v>90</v>
      </c>
      <c r="G454" s="0" t="s">
        <v>16</v>
      </c>
      <c r="H454" s="0" t="n">
        <v>79</v>
      </c>
      <c r="I454" s="0" t="s">
        <v>1530</v>
      </c>
      <c r="J454" s="0" t="s">
        <v>1531</v>
      </c>
      <c r="K454" s="0" t="s">
        <v>1532</v>
      </c>
      <c r="L454" s="0" t="str">
        <f aca="false">HYPERLINK("https://www.ncbi.nlm.nih.gov/nuccore/CP000304.1?report=graph&amp;tracks=[key:gene_model_track,Options:GeneOnly]&amp;mk=138626:138645|offset_0|444444,138604:138623|offset_22|444444,138580:138599|offset_46|444444,138547:138566|offset_79|00cc00&amp;v=138425:138766&amp;c=444444", "offset 79")</f>
        <v>offset 79</v>
      </c>
    </row>
    <row r="455" customFormat="false" ht="12.8" hidden="false" customHeight="false" outlineLevel="0" collapsed="false">
      <c r="A455" s="0" t="s">
        <v>12</v>
      </c>
      <c r="B455" s="0" t="n">
        <v>139050</v>
      </c>
      <c r="C455" s="0" t="n">
        <v>139070</v>
      </c>
      <c r="D455" s="0" t="s">
        <v>1533</v>
      </c>
      <c r="E455" s="0" t="s">
        <v>89</v>
      </c>
      <c r="F455" s="0" t="s">
        <v>90</v>
      </c>
      <c r="G455" s="0" t="s">
        <v>32</v>
      </c>
      <c r="H455" s="0" t="n">
        <v>1</v>
      </c>
      <c r="I455" s="0" t="s">
        <v>1534</v>
      </c>
      <c r="J455" s="0" t="s">
        <v>1535</v>
      </c>
      <c r="K455" s="0" t="s">
        <v>1536</v>
      </c>
      <c r="L455" s="0" t="str">
        <f aca="false">HYPERLINK("https://www.ncbi.nlm.nih.gov/nuccore/CP000304.1?report=graph&amp;tracks=[key:gene_model_track,Options:GeneOnly]&amp;mk=139051:139070|offset_1|00cc00,139031:139050|offset_21|444444,138985:139004|offset_67|444444,138948:138967|offset_104|444444&amp;v=138850:139167&amp;c=444444", "offset 1")</f>
        <v>offset 1</v>
      </c>
    </row>
    <row r="456" customFormat="false" ht="12.8" hidden="false" customHeight="false" outlineLevel="0" collapsed="false">
      <c r="A456" s="0" t="s">
        <v>12</v>
      </c>
      <c r="B456" s="0" t="n">
        <v>139030</v>
      </c>
      <c r="C456" s="0" t="n">
        <v>139050</v>
      </c>
      <c r="D456" s="0" t="s">
        <v>1533</v>
      </c>
      <c r="E456" s="0" t="s">
        <v>89</v>
      </c>
      <c r="F456" s="0" t="s">
        <v>90</v>
      </c>
      <c r="G456" s="0" t="s">
        <v>36</v>
      </c>
      <c r="H456" s="0" t="n">
        <v>21</v>
      </c>
      <c r="I456" s="0" t="s">
        <v>1537</v>
      </c>
      <c r="J456" s="0" t="s">
        <v>1538</v>
      </c>
      <c r="K456" s="0" t="s">
        <v>1539</v>
      </c>
      <c r="L456" s="0" t="str">
        <f aca="false">HYPERLINK("https://www.ncbi.nlm.nih.gov/nuccore/CP000304.1?report=graph&amp;tracks=[key:gene_model_track,Options:GeneOnly]&amp;mk=139051:139070|offset_1|444444,139031:139050|offset_21|00cc00,138985:139004|offset_67|444444,138948:138967|offset_104|444444&amp;v=138850:139167&amp;c=444444", "offset 21")</f>
        <v>offset 21</v>
      </c>
    </row>
    <row r="457" customFormat="false" ht="12.8" hidden="false" customHeight="false" outlineLevel="0" collapsed="false">
      <c r="A457" s="0" t="s">
        <v>12</v>
      </c>
      <c r="B457" s="0" t="n">
        <v>138984</v>
      </c>
      <c r="C457" s="0" t="n">
        <v>139004</v>
      </c>
      <c r="D457" s="0" t="s">
        <v>1533</v>
      </c>
      <c r="E457" s="0" t="s">
        <v>89</v>
      </c>
      <c r="F457" s="0" t="s">
        <v>90</v>
      </c>
      <c r="G457" s="0" t="s">
        <v>32</v>
      </c>
      <c r="H457" s="0" t="n">
        <v>67</v>
      </c>
      <c r="I457" s="0" t="s">
        <v>1540</v>
      </c>
      <c r="J457" s="0" t="s">
        <v>1541</v>
      </c>
      <c r="K457" s="0" t="s">
        <v>1542</v>
      </c>
      <c r="L457" s="0" t="str">
        <f aca="false">HYPERLINK("https://www.ncbi.nlm.nih.gov/nuccore/CP000304.1?report=graph&amp;tracks=[key:gene_model_track,Options:GeneOnly]&amp;mk=139051:139070|offset_1|444444,139031:139050|offset_21|444444,138985:139004|offset_67|00cc00,138948:138967|offset_104|444444&amp;v=138850:139167&amp;c=444444", "offset 67")</f>
        <v>offset 67</v>
      </c>
    </row>
    <row r="458" customFormat="false" ht="12.8" hidden="false" customHeight="false" outlineLevel="0" collapsed="false">
      <c r="A458" s="0" t="s">
        <v>12</v>
      </c>
      <c r="B458" s="0" t="n">
        <v>138947</v>
      </c>
      <c r="C458" s="0" t="n">
        <v>138967</v>
      </c>
      <c r="D458" s="0" t="s">
        <v>1533</v>
      </c>
      <c r="E458" s="0" t="s">
        <v>89</v>
      </c>
      <c r="F458" s="0" t="s">
        <v>90</v>
      </c>
      <c r="G458" s="0" t="s">
        <v>26</v>
      </c>
      <c r="H458" s="0" t="n">
        <v>104</v>
      </c>
      <c r="I458" s="0" t="s">
        <v>1543</v>
      </c>
      <c r="J458" s="0" t="s">
        <v>1544</v>
      </c>
      <c r="K458" s="0" t="s">
        <v>1545</v>
      </c>
      <c r="L458" s="0" t="str">
        <f aca="false">HYPERLINK("https://www.ncbi.nlm.nih.gov/nuccore/CP000304.1?report=graph&amp;tracks=[key:gene_model_track,Options:GeneOnly]&amp;mk=139051:139070|offset_1|444444,139031:139050|offset_21|444444,138985:139004|offset_67|444444,138948:138967|offset_104|00cc00&amp;v=138850:139167&amp;c=444444", "offset 104")</f>
        <v>offset 104</v>
      </c>
    </row>
    <row r="459" customFormat="false" ht="12.8" hidden="false" customHeight="false" outlineLevel="0" collapsed="false">
      <c r="A459" s="0" t="s">
        <v>12</v>
      </c>
      <c r="B459" s="0" t="n">
        <v>140282</v>
      </c>
      <c r="C459" s="0" t="n">
        <v>140302</v>
      </c>
      <c r="D459" s="0" t="s">
        <v>1546</v>
      </c>
      <c r="E459" s="0" t="s">
        <v>89</v>
      </c>
      <c r="F459" s="0" t="s">
        <v>90</v>
      </c>
      <c r="G459" s="0" t="s">
        <v>36</v>
      </c>
      <c r="H459" s="0" t="n">
        <v>31</v>
      </c>
      <c r="I459" s="0" t="s">
        <v>1547</v>
      </c>
      <c r="J459" s="0" t="s">
        <v>1548</v>
      </c>
      <c r="K459" s="0" t="s">
        <v>1549</v>
      </c>
      <c r="L459" s="0" t="str">
        <f aca="false">HYPERLINK("https://www.ncbi.nlm.nih.gov/nuccore/CP000304.1?report=graph&amp;tracks=[key:gene_model_track,Options:GeneOnly]&amp;mk=140283:140302|offset_31|00cc00,140251:140270|offset_63|444444,140223:140242|offset_91|444444,140200:140219|offset_114|444444&amp;v=140082:140419&amp;c=444444", "offset 31")</f>
        <v>offset 31</v>
      </c>
    </row>
    <row r="460" customFormat="false" ht="12.8" hidden="false" customHeight="false" outlineLevel="0" collapsed="false">
      <c r="A460" s="0" t="s">
        <v>12</v>
      </c>
      <c r="B460" s="0" t="n">
        <v>140250</v>
      </c>
      <c r="C460" s="0" t="n">
        <v>140270</v>
      </c>
      <c r="D460" s="0" t="s">
        <v>1546</v>
      </c>
      <c r="E460" s="0" t="s">
        <v>89</v>
      </c>
      <c r="F460" s="0" t="s">
        <v>90</v>
      </c>
      <c r="G460" s="0" t="s">
        <v>16</v>
      </c>
      <c r="H460" s="0" t="n">
        <v>63</v>
      </c>
      <c r="I460" s="0" t="s">
        <v>1550</v>
      </c>
      <c r="J460" s="0" t="s">
        <v>1551</v>
      </c>
      <c r="K460" s="0" t="s">
        <v>1552</v>
      </c>
      <c r="L460" s="0" t="str">
        <f aca="false">HYPERLINK("https://www.ncbi.nlm.nih.gov/nuccore/CP000304.1?report=graph&amp;tracks=[key:gene_model_track,Options:GeneOnly]&amp;mk=140283:140302|offset_31|444444,140251:140270|offset_63|00cc00,140223:140242|offset_91|444444,140200:140219|offset_114|444444&amp;v=140082:140419&amp;c=444444", "offset 63")</f>
        <v>offset 63</v>
      </c>
    </row>
    <row r="461" customFormat="false" ht="12.8" hidden="false" customHeight="false" outlineLevel="0" collapsed="false">
      <c r="A461" s="0" t="s">
        <v>12</v>
      </c>
      <c r="B461" s="0" t="n">
        <v>140222</v>
      </c>
      <c r="C461" s="0" t="n">
        <v>140242</v>
      </c>
      <c r="D461" s="0" t="s">
        <v>1546</v>
      </c>
      <c r="E461" s="0" t="s">
        <v>89</v>
      </c>
      <c r="F461" s="0" t="s">
        <v>90</v>
      </c>
      <c r="G461" s="0" t="s">
        <v>36</v>
      </c>
      <c r="H461" s="0" t="n">
        <v>91</v>
      </c>
      <c r="I461" s="0" t="s">
        <v>1553</v>
      </c>
      <c r="J461" s="0" t="s">
        <v>1554</v>
      </c>
      <c r="K461" s="0" t="s">
        <v>1555</v>
      </c>
      <c r="L461" s="0" t="str">
        <f aca="false">HYPERLINK("https://www.ncbi.nlm.nih.gov/nuccore/CP000304.1?report=graph&amp;tracks=[key:gene_model_track,Options:GeneOnly]&amp;mk=140283:140302|offset_31|444444,140251:140270|offset_63|444444,140223:140242|offset_91|00cc00,140200:140219|offset_114|444444&amp;v=140082:140419&amp;c=444444", "offset 91")</f>
        <v>offset 91</v>
      </c>
    </row>
    <row r="462" customFormat="false" ht="12.8" hidden="false" customHeight="false" outlineLevel="0" collapsed="false">
      <c r="A462" s="0" t="s">
        <v>12</v>
      </c>
      <c r="B462" s="0" t="n">
        <v>140199</v>
      </c>
      <c r="C462" s="0" t="n">
        <v>140219</v>
      </c>
      <c r="D462" s="0" t="s">
        <v>1546</v>
      </c>
      <c r="E462" s="0" t="s">
        <v>89</v>
      </c>
      <c r="F462" s="0" t="s">
        <v>90</v>
      </c>
      <c r="G462" s="0" t="s">
        <v>16</v>
      </c>
      <c r="H462" s="0" t="n">
        <v>114</v>
      </c>
      <c r="I462" s="0" t="s">
        <v>1556</v>
      </c>
      <c r="J462" s="0" t="s">
        <v>1557</v>
      </c>
      <c r="K462" s="0" t="s">
        <v>1558</v>
      </c>
      <c r="L462" s="0" t="str">
        <f aca="false">HYPERLINK("https://www.ncbi.nlm.nih.gov/nuccore/CP000304.1?report=graph&amp;tracks=[key:gene_model_track,Options:GeneOnly]&amp;mk=140283:140302|offset_31|444444,140251:140270|offset_63|444444,140223:140242|offset_91|444444,140200:140219|offset_114|00cc00&amp;v=140082:140419&amp;c=444444", "offset 114")</f>
        <v>offset 114</v>
      </c>
    </row>
    <row r="463" customFormat="false" ht="12.8" hidden="false" customHeight="false" outlineLevel="0" collapsed="false">
      <c r="A463" s="0" t="s">
        <v>12</v>
      </c>
      <c r="B463" s="0" t="n">
        <v>140421</v>
      </c>
      <c r="C463" s="0" t="n">
        <v>140441</v>
      </c>
      <c r="D463" s="0" t="s">
        <v>1559</v>
      </c>
      <c r="E463" s="0" t="s">
        <v>89</v>
      </c>
      <c r="F463" s="0" t="s">
        <v>15</v>
      </c>
      <c r="G463" s="0" t="s">
        <v>36</v>
      </c>
      <c r="H463" s="0" t="n">
        <v>0</v>
      </c>
      <c r="I463" s="0" t="s">
        <v>1560</v>
      </c>
      <c r="J463" s="0" t="s">
        <v>1561</v>
      </c>
      <c r="K463" s="0" t="s">
        <v>1562</v>
      </c>
      <c r="L463" s="0" t="str">
        <f aca="false">HYPERLINK("https://www.ncbi.nlm.nih.gov/nuccore/CP000304.1?report=graph&amp;tracks=[key:gene_model_track,Options:GeneOnly]&amp;mk=140422:140441|offset_0|00cc00,140446:140465|offset_24|444444,140489:140508|offset_67|444444,140540:140559|offset_118|444444&amp;v=140221:140759&amp;c=444444", "offset 0")</f>
        <v>offset 0</v>
      </c>
    </row>
    <row r="464" customFormat="false" ht="12.8" hidden="false" customHeight="false" outlineLevel="0" collapsed="false">
      <c r="A464" s="0" t="s">
        <v>12</v>
      </c>
      <c r="B464" s="0" t="n">
        <v>140445</v>
      </c>
      <c r="C464" s="0" t="n">
        <v>140465</v>
      </c>
      <c r="D464" s="0" t="s">
        <v>1559</v>
      </c>
      <c r="E464" s="0" t="s">
        <v>89</v>
      </c>
      <c r="F464" s="0" t="s">
        <v>15</v>
      </c>
      <c r="G464" s="0" t="s">
        <v>16</v>
      </c>
      <c r="H464" s="0" t="n">
        <v>24</v>
      </c>
      <c r="I464" s="0" t="s">
        <v>1563</v>
      </c>
      <c r="J464" s="0" t="s">
        <v>1564</v>
      </c>
      <c r="K464" s="0" t="s">
        <v>1565</v>
      </c>
      <c r="L464" s="0" t="str">
        <f aca="false">HYPERLINK("https://www.ncbi.nlm.nih.gov/nuccore/CP000304.1?report=graph&amp;tracks=[key:gene_model_track,Options:GeneOnly]&amp;mk=140422:140441|offset_0|444444,140446:140465|offset_24|00cc00,140489:140508|offset_67|444444,140540:140559|offset_118|444444&amp;v=140221:140759&amp;c=444444", "offset 24")</f>
        <v>offset 24</v>
      </c>
    </row>
    <row r="465" customFormat="false" ht="12.8" hidden="false" customHeight="false" outlineLevel="0" collapsed="false">
      <c r="A465" s="0" t="s">
        <v>12</v>
      </c>
      <c r="B465" s="0" t="n">
        <v>140488</v>
      </c>
      <c r="C465" s="0" t="n">
        <v>140508</v>
      </c>
      <c r="D465" s="0" t="s">
        <v>1559</v>
      </c>
      <c r="E465" s="0" t="s">
        <v>89</v>
      </c>
      <c r="F465" s="0" t="s">
        <v>15</v>
      </c>
      <c r="G465" s="0" t="s">
        <v>32</v>
      </c>
      <c r="H465" s="0" t="n">
        <v>67</v>
      </c>
      <c r="I465" s="0" t="s">
        <v>1566</v>
      </c>
      <c r="J465" s="0" t="s">
        <v>1567</v>
      </c>
      <c r="K465" s="0" t="s">
        <v>1568</v>
      </c>
      <c r="L465" s="0" t="str">
        <f aca="false">HYPERLINK("https://www.ncbi.nlm.nih.gov/nuccore/CP000304.1?report=graph&amp;tracks=[key:gene_model_track,Options:GeneOnly]&amp;mk=140422:140441|offset_0|444444,140446:140465|offset_24|444444,140489:140508|offset_67|00cc00,140540:140559|offset_118|444444&amp;v=140221:140759&amp;c=444444", "offset 67")</f>
        <v>offset 67</v>
      </c>
    </row>
    <row r="466" customFormat="false" ht="12.8" hidden="false" customHeight="false" outlineLevel="0" collapsed="false">
      <c r="A466" s="0" t="s">
        <v>12</v>
      </c>
      <c r="B466" s="0" t="n">
        <v>140539</v>
      </c>
      <c r="C466" s="0" t="n">
        <v>140559</v>
      </c>
      <c r="D466" s="0" t="s">
        <v>1559</v>
      </c>
      <c r="E466" s="0" t="s">
        <v>89</v>
      </c>
      <c r="F466" s="0" t="s">
        <v>15</v>
      </c>
      <c r="G466" s="0" t="s">
        <v>32</v>
      </c>
      <c r="H466" s="0" t="n">
        <v>118</v>
      </c>
      <c r="I466" s="0" t="s">
        <v>1569</v>
      </c>
      <c r="J466" s="0" t="s">
        <v>1570</v>
      </c>
      <c r="K466" s="0" t="s">
        <v>1571</v>
      </c>
      <c r="L466" s="0" t="str">
        <f aca="false">HYPERLINK("https://www.ncbi.nlm.nih.gov/nuccore/CP000304.1?report=graph&amp;tracks=[key:gene_model_track,Options:GeneOnly]&amp;mk=140422:140441|offset_0|444444,140446:140465|offset_24|444444,140489:140508|offset_67|444444,140540:140559|offset_118|00cc00&amp;v=140221:140759&amp;c=444444", "offset 118")</f>
        <v>offset 118</v>
      </c>
    </row>
    <row r="467" customFormat="false" ht="12.8" hidden="false" customHeight="false" outlineLevel="0" collapsed="false">
      <c r="A467" s="0" t="s">
        <v>12</v>
      </c>
      <c r="B467" s="0" t="n">
        <v>141532</v>
      </c>
      <c r="C467" s="0" t="n">
        <v>141552</v>
      </c>
      <c r="D467" s="0" t="s">
        <v>1572</v>
      </c>
      <c r="E467" s="0" t="s">
        <v>89</v>
      </c>
      <c r="F467" s="0" t="s">
        <v>15</v>
      </c>
      <c r="G467" s="0" t="s">
        <v>36</v>
      </c>
      <c r="H467" s="0" t="n">
        <v>0</v>
      </c>
      <c r="I467" s="0" t="s">
        <v>1573</v>
      </c>
      <c r="J467" s="0" t="s">
        <v>1574</v>
      </c>
      <c r="K467" s="0" t="s">
        <v>1575</v>
      </c>
      <c r="L467" s="0" t="str">
        <f aca="false">HYPERLINK("https://www.ncbi.nlm.nih.gov/nuccore/CP000304.1?report=graph&amp;tracks=[key:gene_model_track,Options:GeneOnly]&amp;mk=141533:141552|offset_0|00cc00,141570:141589|offset_37|444444,141610:141629|offset_77|444444,141639:141658|offset_106|444444&amp;v=141332:141858&amp;c=444444", "offset 0")</f>
        <v>offset 0</v>
      </c>
    </row>
    <row r="468" customFormat="false" ht="12.8" hidden="false" customHeight="false" outlineLevel="0" collapsed="false">
      <c r="A468" s="0" t="s">
        <v>12</v>
      </c>
      <c r="B468" s="0" t="n">
        <v>141569</v>
      </c>
      <c r="C468" s="0" t="n">
        <v>141589</v>
      </c>
      <c r="D468" s="0" t="s">
        <v>1572</v>
      </c>
      <c r="E468" s="0" t="s">
        <v>89</v>
      </c>
      <c r="F468" s="0" t="s">
        <v>15</v>
      </c>
      <c r="G468" s="0" t="s">
        <v>26</v>
      </c>
      <c r="H468" s="0" t="n">
        <v>37</v>
      </c>
      <c r="I468" s="0" t="s">
        <v>1576</v>
      </c>
      <c r="J468" s="0" t="s">
        <v>1577</v>
      </c>
      <c r="K468" s="0" t="s">
        <v>1578</v>
      </c>
      <c r="L468" s="0" t="str">
        <f aca="false">HYPERLINK("https://www.ncbi.nlm.nih.gov/nuccore/CP000304.1?report=graph&amp;tracks=[key:gene_model_track,Options:GeneOnly]&amp;mk=141533:141552|offset_0|444444,141570:141589|offset_37|00cc00,141610:141629|offset_77|444444,141639:141658|offset_106|444444&amp;v=141332:141858&amp;c=444444", "offset 37")</f>
        <v>offset 37</v>
      </c>
    </row>
    <row r="469" customFormat="false" ht="12.8" hidden="false" customHeight="false" outlineLevel="0" collapsed="false">
      <c r="A469" s="0" t="s">
        <v>12</v>
      </c>
      <c r="B469" s="0" t="n">
        <v>141609</v>
      </c>
      <c r="C469" s="0" t="n">
        <v>141629</v>
      </c>
      <c r="D469" s="0" t="s">
        <v>1572</v>
      </c>
      <c r="E469" s="0" t="s">
        <v>89</v>
      </c>
      <c r="F469" s="0" t="s">
        <v>15</v>
      </c>
      <c r="G469" s="0" t="s">
        <v>32</v>
      </c>
      <c r="H469" s="0" t="n">
        <v>77</v>
      </c>
      <c r="I469" s="0" t="s">
        <v>1579</v>
      </c>
      <c r="J469" s="0" t="s">
        <v>1580</v>
      </c>
      <c r="K469" s="0" t="s">
        <v>1581</v>
      </c>
      <c r="L469" s="0" t="str">
        <f aca="false">HYPERLINK("https://www.ncbi.nlm.nih.gov/nuccore/CP000304.1?report=graph&amp;tracks=[key:gene_model_track,Options:GeneOnly]&amp;mk=141533:141552|offset_0|444444,141570:141589|offset_37|444444,141610:141629|offset_77|00cc00,141639:141658|offset_106|444444&amp;v=141332:141858&amp;c=444444", "offset 77")</f>
        <v>offset 77</v>
      </c>
    </row>
    <row r="470" customFormat="false" ht="12.8" hidden="false" customHeight="false" outlineLevel="0" collapsed="false">
      <c r="A470" s="0" t="s">
        <v>12</v>
      </c>
      <c r="B470" s="0" t="n">
        <v>141638</v>
      </c>
      <c r="C470" s="0" t="n">
        <v>141658</v>
      </c>
      <c r="D470" s="0" t="s">
        <v>1572</v>
      </c>
      <c r="E470" s="0" t="s">
        <v>89</v>
      </c>
      <c r="F470" s="0" t="s">
        <v>15</v>
      </c>
      <c r="G470" s="0" t="s">
        <v>16</v>
      </c>
      <c r="H470" s="0" t="n">
        <v>106</v>
      </c>
      <c r="I470" s="0" t="s">
        <v>1582</v>
      </c>
      <c r="J470" s="0" t="s">
        <v>1583</v>
      </c>
      <c r="K470" s="0" t="s">
        <v>1584</v>
      </c>
      <c r="L470" s="0" t="str">
        <f aca="false">HYPERLINK("https://www.ncbi.nlm.nih.gov/nuccore/CP000304.1?report=graph&amp;tracks=[key:gene_model_track,Options:GeneOnly]&amp;mk=141533:141552|offset_0|444444,141570:141589|offset_37|444444,141610:141629|offset_77|444444,141639:141658|offset_106|00cc00&amp;v=141332:141858&amp;c=444444", "offset 106")</f>
        <v>offset 106</v>
      </c>
    </row>
    <row r="471" customFormat="false" ht="12.8" hidden="false" customHeight="false" outlineLevel="0" collapsed="false">
      <c r="A471" s="0" t="s">
        <v>12</v>
      </c>
      <c r="B471" s="0" t="n">
        <v>143595</v>
      </c>
      <c r="C471" s="0" t="n">
        <v>143615</v>
      </c>
      <c r="D471" s="0" t="s">
        <v>1585</v>
      </c>
      <c r="E471" s="0" t="s">
        <v>1586</v>
      </c>
      <c r="F471" s="0" t="s">
        <v>90</v>
      </c>
      <c r="G471" s="0" t="s">
        <v>26</v>
      </c>
      <c r="H471" s="0" t="n">
        <v>8</v>
      </c>
      <c r="I471" s="0" t="s">
        <v>1587</v>
      </c>
      <c r="J471" s="0" t="s">
        <v>1588</v>
      </c>
      <c r="K471" s="0" t="s">
        <v>1589</v>
      </c>
      <c r="L471" s="0" t="str">
        <f aca="false">HYPERLINK("https://www.ncbi.nlm.nih.gov/nuccore/CP000304.1?report=graph&amp;tracks=[key:gene_model_track,Options:GeneOnly]&amp;mk=143596:143615|offset_8|00cc00,143570:143589|offset_34|444444,143539:143558|offset_65|444444,143468:143487|offset_136|444444&amp;v=143395:143687&amp;c=444444", "offset 8")</f>
        <v>offset 8</v>
      </c>
    </row>
    <row r="472" customFormat="false" ht="12.8" hidden="false" customHeight="false" outlineLevel="0" collapsed="false">
      <c r="A472" s="0" t="s">
        <v>12</v>
      </c>
      <c r="B472" s="0" t="n">
        <v>143569</v>
      </c>
      <c r="C472" s="0" t="n">
        <v>143589</v>
      </c>
      <c r="D472" s="0" t="s">
        <v>1585</v>
      </c>
      <c r="E472" s="0" t="s">
        <v>1586</v>
      </c>
      <c r="F472" s="0" t="s">
        <v>90</v>
      </c>
      <c r="G472" s="0" t="s">
        <v>26</v>
      </c>
      <c r="H472" s="0" t="n">
        <v>34</v>
      </c>
      <c r="I472" s="0" t="s">
        <v>1590</v>
      </c>
      <c r="J472" s="0" t="s">
        <v>1591</v>
      </c>
      <c r="K472" s="0" t="s">
        <v>1592</v>
      </c>
      <c r="L472" s="0" t="str">
        <f aca="false">HYPERLINK("https://www.ncbi.nlm.nih.gov/nuccore/CP000304.1?report=graph&amp;tracks=[key:gene_model_track,Options:GeneOnly]&amp;mk=143596:143615|offset_8|444444,143570:143589|offset_34|00cc00,143539:143558|offset_65|444444,143468:143487|offset_136|444444&amp;v=143395:143687&amp;c=444444", "offset 34")</f>
        <v>offset 34</v>
      </c>
    </row>
    <row r="473" customFormat="false" ht="12.8" hidden="false" customHeight="false" outlineLevel="0" collapsed="false">
      <c r="A473" s="0" t="s">
        <v>12</v>
      </c>
      <c r="B473" s="0" t="n">
        <v>143538</v>
      </c>
      <c r="C473" s="0" t="n">
        <v>143558</v>
      </c>
      <c r="D473" s="0" t="s">
        <v>1585</v>
      </c>
      <c r="E473" s="0" t="s">
        <v>1586</v>
      </c>
      <c r="F473" s="0" t="s">
        <v>90</v>
      </c>
      <c r="G473" s="0" t="s">
        <v>26</v>
      </c>
      <c r="H473" s="0" t="n">
        <v>65</v>
      </c>
      <c r="I473" s="0" t="s">
        <v>1593</v>
      </c>
      <c r="J473" s="0" t="s">
        <v>1594</v>
      </c>
      <c r="K473" s="0" t="s">
        <v>1595</v>
      </c>
      <c r="L473" s="0" t="str">
        <f aca="false">HYPERLINK("https://www.ncbi.nlm.nih.gov/nuccore/CP000304.1?report=graph&amp;tracks=[key:gene_model_track,Options:GeneOnly]&amp;mk=143596:143615|offset_8|444444,143570:143589|offset_34|444444,143539:143558|offset_65|00cc00,143468:143487|offset_136|444444&amp;v=143395:143687&amp;c=444444", "offset 65")</f>
        <v>offset 65</v>
      </c>
    </row>
    <row r="474" customFormat="false" ht="12.8" hidden="false" customHeight="false" outlineLevel="0" collapsed="false">
      <c r="A474" s="0" t="s">
        <v>12</v>
      </c>
      <c r="B474" s="0" t="n">
        <v>143467</v>
      </c>
      <c r="C474" s="0" t="n">
        <v>143487</v>
      </c>
      <c r="D474" s="0" t="s">
        <v>1585</v>
      </c>
      <c r="E474" s="0" t="s">
        <v>1586</v>
      </c>
      <c r="F474" s="0" t="s">
        <v>90</v>
      </c>
      <c r="G474" s="0" t="s">
        <v>32</v>
      </c>
      <c r="H474" s="0" t="n">
        <v>136</v>
      </c>
      <c r="I474" s="0" t="s">
        <v>1596</v>
      </c>
      <c r="J474" s="0" t="s">
        <v>1597</v>
      </c>
      <c r="K474" s="0" t="s">
        <v>1598</v>
      </c>
      <c r="L474" s="0" t="str">
        <f aca="false">HYPERLINK("https://www.ncbi.nlm.nih.gov/nuccore/CP000304.1?report=graph&amp;tracks=[key:gene_model_track,Options:GeneOnly]&amp;mk=143596:143615|offset_8|444444,143570:143589|offset_34|444444,143539:143558|offset_65|444444,143468:143487|offset_136|00cc00&amp;v=143395:143687&amp;c=444444", "offset 136")</f>
        <v>offset 136</v>
      </c>
    </row>
    <row r="475" customFormat="false" ht="12.8" hidden="false" customHeight="false" outlineLevel="0" collapsed="false">
      <c r="A475" s="0" t="s">
        <v>12</v>
      </c>
      <c r="B475" s="0" t="n">
        <v>143898</v>
      </c>
      <c r="C475" s="0" t="n">
        <v>143918</v>
      </c>
      <c r="D475" s="0" t="s">
        <v>1599</v>
      </c>
      <c r="E475" s="0" t="s">
        <v>1600</v>
      </c>
      <c r="F475" s="0" t="s">
        <v>90</v>
      </c>
      <c r="G475" s="0" t="s">
        <v>26</v>
      </c>
      <c r="H475" s="0" t="n">
        <v>32</v>
      </c>
      <c r="I475" s="0" t="s">
        <v>1601</v>
      </c>
      <c r="J475" s="0" t="s">
        <v>1602</v>
      </c>
      <c r="K475" s="0" t="s">
        <v>1603</v>
      </c>
      <c r="L475" s="0" t="str">
        <f aca="false">HYPERLINK("https://www.ncbi.nlm.nih.gov/nuccore/CP000304.1?report=graph&amp;tracks=[key:gene_model_track,Options:GeneOnly]&amp;mk=143899:143918|offset_32|00cc00,143863:143882|offset_68|444444,143843:143862|offset_88|444444,143810:143829|offset_121|444444&amp;v=143698:144029&amp;c=444444", "offset 32")</f>
        <v>offset 32</v>
      </c>
    </row>
    <row r="476" customFormat="false" ht="12.8" hidden="false" customHeight="false" outlineLevel="0" collapsed="false">
      <c r="A476" s="0" t="s">
        <v>12</v>
      </c>
      <c r="B476" s="0" t="n">
        <v>143862</v>
      </c>
      <c r="C476" s="0" t="n">
        <v>143882</v>
      </c>
      <c r="D476" s="0" t="s">
        <v>1599</v>
      </c>
      <c r="E476" s="0" t="s">
        <v>1600</v>
      </c>
      <c r="F476" s="0" t="s">
        <v>90</v>
      </c>
      <c r="G476" s="0" t="s">
        <v>32</v>
      </c>
      <c r="H476" s="0" t="n">
        <v>68</v>
      </c>
      <c r="I476" s="0" t="s">
        <v>1604</v>
      </c>
      <c r="J476" s="0" t="s">
        <v>1605</v>
      </c>
      <c r="K476" s="0" t="s">
        <v>1606</v>
      </c>
      <c r="L476" s="0" t="str">
        <f aca="false">HYPERLINK("https://www.ncbi.nlm.nih.gov/nuccore/CP000304.1?report=graph&amp;tracks=[key:gene_model_track,Options:GeneOnly]&amp;mk=143899:143918|offset_32|444444,143863:143882|offset_68|00cc00,143843:143862|offset_88|444444,143810:143829|offset_121|444444&amp;v=143698:144029&amp;c=444444", "offset 68")</f>
        <v>offset 68</v>
      </c>
    </row>
    <row r="477" customFormat="false" ht="12.8" hidden="false" customHeight="false" outlineLevel="0" collapsed="false">
      <c r="A477" s="0" t="s">
        <v>12</v>
      </c>
      <c r="B477" s="0" t="n">
        <v>143842</v>
      </c>
      <c r="C477" s="0" t="n">
        <v>143862</v>
      </c>
      <c r="D477" s="0" t="s">
        <v>1599</v>
      </c>
      <c r="E477" s="0" t="s">
        <v>1600</v>
      </c>
      <c r="F477" s="0" t="s">
        <v>90</v>
      </c>
      <c r="G477" s="0" t="s">
        <v>36</v>
      </c>
      <c r="H477" s="0" t="n">
        <v>88</v>
      </c>
      <c r="I477" s="0" t="s">
        <v>1607</v>
      </c>
      <c r="J477" s="0" t="s">
        <v>1608</v>
      </c>
      <c r="K477" s="0" t="s">
        <v>1609</v>
      </c>
      <c r="L477" s="0" t="str">
        <f aca="false">HYPERLINK("https://www.ncbi.nlm.nih.gov/nuccore/CP000304.1?report=graph&amp;tracks=[key:gene_model_track,Options:GeneOnly]&amp;mk=143899:143918|offset_32|444444,143863:143882|offset_68|444444,143843:143862|offset_88|00cc00,143810:143829|offset_121|444444&amp;v=143698:144029&amp;c=444444", "offset 88")</f>
        <v>offset 88</v>
      </c>
    </row>
    <row r="478" customFormat="false" ht="12.8" hidden="false" customHeight="false" outlineLevel="0" collapsed="false">
      <c r="A478" s="0" t="s">
        <v>12</v>
      </c>
      <c r="B478" s="0" t="n">
        <v>143809</v>
      </c>
      <c r="C478" s="0" t="n">
        <v>143829</v>
      </c>
      <c r="D478" s="0" t="s">
        <v>1599</v>
      </c>
      <c r="E478" s="0" t="s">
        <v>1600</v>
      </c>
      <c r="F478" s="0" t="s">
        <v>90</v>
      </c>
      <c r="G478" s="0" t="s">
        <v>32</v>
      </c>
      <c r="H478" s="0" t="n">
        <v>121</v>
      </c>
      <c r="I478" s="0" t="s">
        <v>1610</v>
      </c>
      <c r="J478" s="0" t="s">
        <v>1611</v>
      </c>
      <c r="K478" s="0" t="s">
        <v>1612</v>
      </c>
      <c r="L478" s="0" t="str">
        <f aca="false">HYPERLINK("https://www.ncbi.nlm.nih.gov/nuccore/CP000304.1?report=graph&amp;tracks=[key:gene_model_track,Options:GeneOnly]&amp;mk=143899:143918|offset_32|444444,143863:143882|offset_68|444444,143843:143862|offset_88|444444,143810:143829|offset_121|00cc00&amp;v=143698:144029&amp;c=444444", "offset 121")</f>
        <v>offset 121</v>
      </c>
    </row>
    <row r="479" customFormat="false" ht="12.8" hidden="false" customHeight="false" outlineLevel="0" collapsed="false">
      <c r="A479" s="0" t="s">
        <v>12</v>
      </c>
      <c r="B479" s="0" t="n">
        <v>145047</v>
      </c>
      <c r="C479" s="0" t="n">
        <v>145067</v>
      </c>
      <c r="D479" s="0" t="s">
        <v>1613</v>
      </c>
      <c r="E479" s="0" t="s">
        <v>1614</v>
      </c>
      <c r="F479" s="0" t="s">
        <v>90</v>
      </c>
      <c r="G479" s="0" t="s">
        <v>26</v>
      </c>
      <c r="H479" s="0" t="n">
        <v>18</v>
      </c>
      <c r="I479" s="0" t="s">
        <v>1615</v>
      </c>
      <c r="J479" s="0" t="s">
        <v>1616</v>
      </c>
      <c r="K479" s="0" t="s">
        <v>1617</v>
      </c>
      <c r="L479" s="0" t="str">
        <f aca="false">HYPERLINK("https://www.ncbi.nlm.nih.gov/nuccore/CP000304.1?report=graph&amp;tracks=[key:gene_model_track,Options:GeneOnly]&amp;mk=145048:145067|offset_18|00cc00,145014:145033|offset_52|444444,144980:144999|offset_86|444444,144948:144967|offset_118|444444&amp;v=144847:145167&amp;c=444444", "offset 18")</f>
        <v>offset 18</v>
      </c>
    </row>
    <row r="480" customFormat="false" ht="12.8" hidden="false" customHeight="false" outlineLevel="0" collapsed="false">
      <c r="A480" s="0" t="s">
        <v>12</v>
      </c>
      <c r="B480" s="0" t="n">
        <v>145013</v>
      </c>
      <c r="C480" s="0" t="n">
        <v>145033</v>
      </c>
      <c r="D480" s="0" t="s">
        <v>1613</v>
      </c>
      <c r="E480" s="0" t="s">
        <v>1614</v>
      </c>
      <c r="F480" s="0" t="s">
        <v>90</v>
      </c>
      <c r="G480" s="0" t="s">
        <v>16</v>
      </c>
      <c r="H480" s="0" t="n">
        <v>52</v>
      </c>
      <c r="I480" s="0" t="s">
        <v>1618</v>
      </c>
      <c r="J480" s="0" t="s">
        <v>1619</v>
      </c>
      <c r="K480" s="0" t="s">
        <v>1620</v>
      </c>
      <c r="L480" s="0" t="str">
        <f aca="false">HYPERLINK("https://www.ncbi.nlm.nih.gov/nuccore/CP000304.1?report=graph&amp;tracks=[key:gene_model_track,Options:GeneOnly]&amp;mk=145048:145067|offset_18|444444,145014:145033|offset_52|00cc00,144980:144999|offset_86|444444,144948:144967|offset_118|444444&amp;v=144847:145167&amp;c=444444", "offset 52")</f>
        <v>offset 52</v>
      </c>
    </row>
    <row r="481" customFormat="false" ht="12.8" hidden="false" customHeight="false" outlineLevel="0" collapsed="false">
      <c r="A481" s="0" t="s">
        <v>12</v>
      </c>
      <c r="B481" s="0" t="n">
        <v>144979</v>
      </c>
      <c r="C481" s="0" t="n">
        <v>144999</v>
      </c>
      <c r="D481" s="0" t="s">
        <v>1613</v>
      </c>
      <c r="E481" s="0" t="s">
        <v>1614</v>
      </c>
      <c r="F481" s="0" t="s">
        <v>90</v>
      </c>
      <c r="G481" s="0" t="s">
        <v>32</v>
      </c>
      <c r="H481" s="0" t="n">
        <v>86</v>
      </c>
      <c r="I481" s="0" t="s">
        <v>1621</v>
      </c>
      <c r="J481" s="0" t="s">
        <v>1622</v>
      </c>
      <c r="K481" s="0" t="s">
        <v>1623</v>
      </c>
      <c r="L481" s="0" t="str">
        <f aca="false">HYPERLINK("https://www.ncbi.nlm.nih.gov/nuccore/CP000304.1?report=graph&amp;tracks=[key:gene_model_track,Options:GeneOnly]&amp;mk=145048:145067|offset_18|444444,145014:145033|offset_52|444444,144980:144999|offset_86|00cc00,144948:144967|offset_118|444444&amp;v=144847:145167&amp;c=444444", "offset 86")</f>
        <v>offset 86</v>
      </c>
    </row>
    <row r="482" customFormat="false" ht="12.8" hidden="false" customHeight="false" outlineLevel="0" collapsed="false">
      <c r="A482" s="0" t="s">
        <v>12</v>
      </c>
      <c r="B482" s="0" t="n">
        <v>144947</v>
      </c>
      <c r="C482" s="0" t="n">
        <v>144967</v>
      </c>
      <c r="D482" s="0" t="s">
        <v>1613</v>
      </c>
      <c r="E482" s="0" t="s">
        <v>1614</v>
      </c>
      <c r="F482" s="0" t="s">
        <v>90</v>
      </c>
      <c r="G482" s="0" t="s">
        <v>16</v>
      </c>
      <c r="H482" s="0" t="n">
        <v>118</v>
      </c>
      <c r="I482" s="0" t="s">
        <v>1624</v>
      </c>
      <c r="J482" s="0" t="s">
        <v>1625</v>
      </c>
      <c r="K482" s="0" t="s">
        <v>1626</v>
      </c>
      <c r="L482" s="0" t="str">
        <f aca="false">HYPERLINK("https://www.ncbi.nlm.nih.gov/nuccore/CP000304.1?report=graph&amp;tracks=[key:gene_model_track,Options:GeneOnly]&amp;mk=145048:145067|offset_18|444444,145014:145033|offset_52|444444,144980:144999|offset_86|444444,144948:144967|offset_118|00cc00&amp;v=144847:145167&amp;c=444444", "offset 118")</f>
        <v>offset 118</v>
      </c>
    </row>
    <row r="483" customFormat="false" ht="12.8" hidden="false" customHeight="false" outlineLevel="0" collapsed="false">
      <c r="A483" s="0" t="s">
        <v>12</v>
      </c>
      <c r="B483" s="0" t="n">
        <v>145412</v>
      </c>
      <c r="C483" s="0" t="n">
        <v>145432</v>
      </c>
      <c r="D483" s="0" t="s">
        <v>1627</v>
      </c>
      <c r="E483" s="0" t="s">
        <v>1628</v>
      </c>
      <c r="F483" s="0" t="s">
        <v>15</v>
      </c>
      <c r="G483" s="0" t="s">
        <v>32</v>
      </c>
      <c r="H483" s="0" t="n">
        <v>15</v>
      </c>
      <c r="I483" s="0" t="s">
        <v>1629</v>
      </c>
      <c r="J483" s="0" t="s">
        <v>1630</v>
      </c>
      <c r="K483" s="0" t="s">
        <v>1631</v>
      </c>
      <c r="L483" s="0" t="str">
        <f aca="false">HYPERLINK("https://www.ncbi.nlm.nih.gov/nuccore/CP000304.1?report=graph&amp;tracks=[key:gene_model_track,Options:GeneOnly]&amp;mk=145413:145432|offset_15|00cc00,145440:145459|offset_42|444444,145462:145481|offset_64|444444,145512:145531|offset_114|444444&amp;v=145212:145731&amp;c=444444", "offset 15")</f>
        <v>offset 15</v>
      </c>
    </row>
    <row r="484" customFormat="false" ht="12.8" hidden="false" customHeight="false" outlineLevel="0" collapsed="false">
      <c r="A484" s="0" t="s">
        <v>12</v>
      </c>
      <c r="B484" s="0" t="n">
        <v>145439</v>
      </c>
      <c r="C484" s="0" t="n">
        <v>145459</v>
      </c>
      <c r="D484" s="0" t="s">
        <v>1627</v>
      </c>
      <c r="E484" s="0" t="s">
        <v>1628</v>
      </c>
      <c r="F484" s="0" t="s">
        <v>15</v>
      </c>
      <c r="G484" s="0" t="s">
        <v>16</v>
      </c>
      <c r="H484" s="0" t="n">
        <v>42</v>
      </c>
      <c r="I484" s="0" t="s">
        <v>1632</v>
      </c>
      <c r="J484" s="0" t="s">
        <v>1633</v>
      </c>
      <c r="K484" s="0" t="s">
        <v>1634</v>
      </c>
      <c r="L484" s="0" t="str">
        <f aca="false">HYPERLINK("https://www.ncbi.nlm.nih.gov/nuccore/CP000304.1?report=graph&amp;tracks=[key:gene_model_track,Options:GeneOnly]&amp;mk=145413:145432|offset_15|444444,145440:145459|offset_42|00cc00,145462:145481|offset_64|444444,145512:145531|offset_114|444444&amp;v=145212:145731&amp;c=444444", "offset 42")</f>
        <v>offset 42</v>
      </c>
    </row>
    <row r="485" customFormat="false" ht="12.8" hidden="false" customHeight="false" outlineLevel="0" collapsed="false">
      <c r="A485" s="0" t="s">
        <v>12</v>
      </c>
      <c r="B485" s="0" t="n">
        <v>145461</v>
      </c>
      <c r="C485" s="0" t="n">
        <v>145481</v>
      </c>
      <c r="D485" s="0" t="s">
        <v>1627</v>
      </c>
      <c r="E485" s="0" t="s">
        <v>1628</v>
      </c>
      <c r="F485" s="0" t="s">
        <v>15</v>
      </c>
      <c r="G485" s="0" t="s">
        <v>16</v>
      </c>
      <c r="H485" s="0" t="n">
        <v>64</v>
      </c>
      <c r="I485" s="0" t="s">
        <v>1635</v>
      </c>
      <c r="J485" s="0" t="s">
        <v>1636</v>
      </c>
      <c r="K485" s="0" t="s">
        <v>1637</v>
      </c>
      <c r="L485" s="0" t="str">
        <f aca="false">HYPERLINK("https://www.ncbi.nlm.nih.gov/nuccore/CP000304.1?report=graph&amp;tracks=[key:gene_model_track,Options:GeneOnly]&amp;mk=145413:145432|offset_15|444444,145440:145459|offset_42|444444,145462:145481|offset_64|00cc00,145512:145531|offset_114|444444&amp;v=145212:145731&amp;c=444444", "offset 64")</f>
        <v>offset 64</v>
      </c>
    </row>
    <row r="486" customFormat="false" ht="12.8" hidden="false" customHeight="false" outlineLevel="0" collapsed="false">
      <c r="A486" s="0" t="s">
        <v>12</v>
      </c>
      <c r="B486" s="0" t="n">
        <v>145511</v>
      </c>
      <c r="C486" s="0" t="n">
        <v>145531</v>
      </c>
      <c r="D486" s="0" t="s">
        <v>1627</v>
      </c>
      <c r="E486" s="0" t="s">
        <v>1628</v>
      </c>
      <c r="F486" s="0" t="s">
        <v>15</v>
      </c>
      <c r="G486" s="0" t="s">
        <v>32</v>
      </c>
      <c r="H486" s="0" t="n">
        <v>114</v>
      </c>
      <c r="I486" s="0" t="s">
        <v>1638</v>
      </c>
      <c r="J486" s="0" t="s">
        <v>1639</v>
      </c>
      <c r="K486" s="0" t="s">
        <v>1640</v>
      </c>
      <c r="L486" s="0" t="str">
        <f aca="false">HYPERLINK("https://www.ncbi.nlm.nih.gov/nuccore/CP000304.1?report=graph&amp;tracks=[key:gene_model_track,Options:GeneOnly]&amp;mk=145413:145432|offset_15|444444,145440:145459|offset_42|444444,145462:145481|offset_64|444444,145512:145531|offset_114|00cc00&amp;v=145212:145731&amp;c=444444", "offset 114")</f>
        <v>offset 114</v>
      </c>
    </row>
    <row r="487" customFormat="false" ht="12.8" hidden="false" customHeight="false" outlineLevel="0" collapsed="false">
      <c r="A487" s="0" t="s">
        <v>12</v>
      </c>
      <c r="B487" s="0" t="n">
        <v>147279</v>
      </c>
      <c r="C487" s="0" t="n">
        <v>147299</v>
      </c>
      <c r="D487" s="0" t="s">
        <v>1641</v>
      </c>
      <c r="E487" s="0" t="s">
        <v>1642</v>
      </c>
      <c r="F487" s="0" t="s">
        <v>15</v>
      </c>
      <c r="G487" s="0" t="s">
        <v>26</v>
      </c>
      <c r="H487" s="0" t="n">
        <v>10</v>
      </c>
      <c r="I487" s="0" t="s">
        <v>1643</v>
      </c>
      <c r="J487" s="0" t="s">
        <v>1644</v>
      </c>
      <c r="K487" s="0" t="s">
        <v>1645</v>
      </c>
      <c r="L487" s="0" t="str">
        <f aca="false">HYPERLINK("https://www.ncbi.nlm.nih.gov/nuccore/CP000304.1?report=graph&amp;tracks=[key:gene_model_track,Options:GeneOnly]&amp;mk=147280:147299|offset_10|00cc00,147302:147321|offset_32|444444,147326:147345|offset_56|444444,147387:147406|offset_117|444444&amp;v=147079:147606&amp;c=444444", "offset 10")</f>
        <v>offset 10</v>
      </c>
    </row>
    <row r="488" customFormat="false" ht="12.8" hidden="false" customHeight="false" outlineLevel="0" collapsed="false">
      <c r="A488" s="0" t="s">
        <v>12</v>
      </c>
      <c r="B488" s="0" t="n">
        <v>147301</v>
      </c>
      <c r="C488" s="0" t="n">
        <v>147321</v>
      </c>
      <c r="D488" s="0" t="s">
        <v>1641</v>
      </c>
      <c r="E488" s="0" t="s">
        <v>1642</v>
      </c>
      <c r="F488" s="0" t="s">
        <v>15</v>
      </c>
      <c r="G488" s="0" t="s">
        <v>36</v>
      </c>
      <c r="H488" s="0" t="n">
        <v>32</v>
      </c>
      <c r="I488" s="0" t="s">
        <v>1646</v>
      </c>
      <c r="J488" s="0" t="s">
        <v>1647</v>
      </c>
      <c r="K488" s="0" t="s">
        <v>1648</v>
      </c>
      <c r="L488" s="0" t="str">
        <f aca="false">HYPERLINK("https://www.ncbi.nlm.nih.gov/nuccore/CP000304.1?report=graph&amp;tracks=[key:gene_model_track,Options:GeneOnly]&amp;mk=147280:147299|offset_10|444444,147302:147321|offset_32|00cc00,147326:147345|offset_56|444444,147387:147406|offset_117|444444&amp;v=147079:147606&amp;c=444444", "offset 32")</f>
        <v>offset 32</v>
      </c>
    </row>
    <row r="489" customFormat="false" ht="12.8" hidden="false" customHeight="false" outlineLevel="0" collapsed="false">
      <c r="A489" s="0" t="s">
        <v>12</v>
      </c>
      <c r="B489" s="0" t="n">
        <v>147325</v>
      </c>
      <c r="C489" s="0" t="n">
        <v>147345</v>
      </c>
      <c r="D489" s="0" t="s">
        <v>1641</v>
      </c>
      <c r="E489" s="0" t="s">
        <v>1642</v>
      </c>
      <c r="F489" s="0" t="s">
        <v>15</v>
      </c>
      <c r="G489" s="0" t="s">
        <v>26</v>
      </c>
      <c r="H489" s="0" t="n">
        <v>56</v>
      </c>
      <c r="I489" s="0" t="s">
        <v>1649</v>
      </c>
      <c r="J489" s="0" t="s">
        <v>1650</v>
      </c>
      <c r="K489" s="0" t="s">
        <v>1651</v>
      </c>
      <c r="L489" s="0" t="str">
        <f aca="false">HYPERLINK("https://www.ncbi.nlm.nih.gov/nuccore/CP000304.1?report=graph&amp;tracks=[key:gene_model_track,Options:GeneOnly]&amp;mk=147280:147299|offset_10|444444,147302:147321|offset_32|444444,147326:147345|offset_56|00cc00,147387:147406|offset_117|444444&amp;v=147079:147606&amp;c=444444", "offset 56")</f>
        <v>offset 56</v>
      </c>
    </row>
    <row r="490" customFormat="false" ht="12.8" hidden="false" customHeight="false" outlineLevel="0" collapsed="false">
      <c r="A490" s="0" t="s">
        <v>12</v>
      </c>
      <c r="B490" s="0" t="n">
        <v>147386</v>
      </c>
      <c r="C490" s="0" t="n">
        <v>147406</v>
      </c>
      <c r="D490" s="0" t="s">
        <v>1641</v>
      </c>
      <c r="E490" s="0" t="s">
        <v>1642</v>
      </c>
      <c r="F490" s="0" t="s">
        <v>15</v>
      </c>
      <c r="G490" s="0" t="s">
        <v>16</v>
      </c>
      <c r="H490" s="0" t="n">
        <v>117</v>
      </c>
      <c r="I490" s="0" t="s">
        <v>1652</v>
      </c>
      <c r="J490" s="0" t="s">
        <v>1653</v>
      </c>
      <c r="K490" s="0" t="s">
        <v>1654</v>
      </c>
      <c r="L490" s="0" t="str">
        <f aca="false">HYPERLINK("https://www.ncbi.nlm.nih.gov/nuccore/CP000304.1?report=graph&amp;tracks=[key:gene_model_track,Options:GeneOnly]&amp;mk=147280:147299|offset_10|444444,147302:147321|offset_32|444444,147326:147345|offset_56|444444,147387:147406|offset_117|00cc00&amp;v=147079:147606&amp;c=444444", "offset 117")</f>
        <v>offset 117</v>
      </c>
    </row>
    <row r="491" customFormat="false" ht="12.8" hidden="false" customHeight="false" outlineLevel="0" collapsed="false">
      <c r="A491" s="0" t="s">
        <v>12</v>
      </c>
      <c r="B491" s="0" t="n">
        <v>148490</v>
      </c>
      <c r="C491" s="0" t="n">
        <v>148510</v>
      </c>
      <c r="D491" s="0" t="s">
        <v>1655</v>
      </c>
      <c r="E491" s="0" t="s">
        <v>1656</v>
      </c>
      <c r="F491" s="0" t="s">
        <v>15</v>
      </c>
      <c r="G491" s="0" t="s">
        <v>32</v>
      </c>
      <c r="H491" s="0" t="n">
        <v>1</v>
      </c>
      <c r="I491" s="0" t="s">
        <v>1657</v>
      </c>
      <c r="J491" s="0" t="s">
        <v>1658</v>
      </c>
      <c r="K491" s="0" t="s">
        <v>1659</v>
      </c>
      <c r="L491" s="0" t="str">
        <f aca="false">HYPERLINK("https://www.ncbi.nlm.nih.gov/nuccore/CP000304.1?report=graph&amp;tracks=[key:gene_model_track,Options:GeneOnly]&amp;mk=148491:148510|offset_1|00cc00,148513:148532|offset_23|444444,148533:148552|offset_43|444444,148564:148583|offset_74|444444&amp;v=148290:148783&amp;c=444444", "offset 1")</f>
        <v>offset 1</v>
      </c>
    </row>
    <row r="492" customFormat="false" ht="12.8" hidden="false" customHeight="false" outlineLevel="0" collapsed="false">
      <c r="A492" s="0" t="s">
        <v>12</v>
      </c>
      <c r="B492" s="0" t="n">
        <v>148512</v>
      </c>
      <c r="C492" s="0" t="n">
        <v>148532</v>
      </c>
      <c r="D492" s="0" t="s">
        <v>1655</v>
      </c>
      <c r="E492" s="0" t="s">
        <v>1656</v>
      </c>
      <c r="F492" s="0" t="s">
        <v>15</v>
      </c>
      <c r="G492" s="0" t="s">
        <v>16</v>
      </c>
      <c r="H492" s="0" t="n">
        <v>23</v>
      </c>
      <c r="I492" s="0" t="s">
        <v>1660</v>
      </c>
      <c r="J492" s="0" t="s">
        <v>1661</v>
      </c>
      <c r="K492" s="0" t="s">
        <v>1662</v>
      </c>
      <c r="L492" s="0" t="str">
        <f aca="false">HYPERLINK("https://www.ncbi.nlm.nih.gov/nuccore/CP000304.1?report=graph&amp;tracks=[key:gene_model_track,Options:GeneOnly]&amp;mk=148491:148510|offset_1|444444,148513:148532|offset_23|00cc00,148533:148552|offset_43|444444,148564:148583|offset_74|444444&amp;v=148290:148783&amp;c=444444", "offset 23")</f>
        <v>offset 23</v>
      </c>
    </row>
    <row r="493" customFormat="false" ht="12.8" hidden="false" customHeight="false" outlineLevel="0" collapsed="false">
      <c r="A493" s="0" t="s">
        <v>12</v>
      </c>
      <c r="B493" s="0" t="n">
        <v>148532</v>
      </c>
      <c r="C493" s="0" t="n">
        <v>148552</v>
      </c>
      <c r="D493" s="0" t="s">
        <v>1655</v>
      </c>
      <c r="E493" s="0" t="s">
        <v>1656</v>
      </c>
      <c r="F493" s="0" t="s">
        <v>15</v>
      </c>
      <c r="G493" s="0" t="s">
        <v>36</v>
      </c>
      <c r="H493" s="0" t="n">
        <v>43</v>
      </c>
      <c r="I493" s="0" t="s">
        <v>1663</v>
      </c>
      <c r="J493" s="0" t="s">
        <v>1664</v>
      </c>
      <c r="K493" s="0" t="s">
        <v>1665</v>
      </c>
      <c r="L493" s="0" t="str">
        <f aca="false">HYPERLINK("https://www.ncbi.nlm.nih.gov/nuccore/CP000304.1?report=graph&amp;tracks=[key:gene_model_track,Options:GeneOnly]&amp;mk=148491:148510|offset_1|444444,148513:148532|offset_23|444444,148533:148552|offset_43|00cc00,148564:148583|offset_74|444444&amp;v=148290:148783&amp;c=444444", "offset 43")</f>
        <v>offset 43</v>
      </c>
    </row>
    <row r="494" customFormat="false" ht="12.8" hidden="false" customHeight="false" outlineLevel="0" collapsed="false">
      <c r="A494" s="0" t="s">
        <v>12</v>
      </c>
      <c r="B494" s="0" t="n">
        <v>148563</v>
      </c>
      <c r="C494" s="0" t="n">
        <v>148583</v>
      </c>
      <c r="D494" s="0" t="s">
        <v>1655</v>
      </c>
      <c r="E494" s="0" t="s">
        <v>1656</v>
      </c>
      <c r="F494" s="0" t="s">
        <v>15</v>
      </c>
      <c r="G494" s="0" t="s">
        <v>26</v>
      </c>
      <c r="H494" s="0" t="n">
        <v>74</v>
      </c>
      <c r="I494" s="0" t="s">
        <v>1666</v>
      </c>
      <c r="J494" s="0" t="s">
        <v>1667</v>
      </c>
      <c r="K494" s="0" t="s">
        <v>1668</v>
      </c>
      <c r="L494" s="0" t="str">
        <f aca="false">HYPERLINK("https://www.ncbi.nlm.nih.gov/nuccore/CP000304.1?report=graph&amp;tracks=[key:gene_model_track,Options:GeneOnly]&amp;mk=148491:148510|offset_1|444444,148513:148532|offset_23|444444,148533:148552|offset_43|444444,148564:148583|offset_74|00cc00&amp;v=148290:148783&amp;c=444444", "offset 74")</f>
        <v>offset 74</v>
      </c>
    </row>
    <row r="495" customFormat="false" ht="12.8" hidden="false" customHeight="false" outlineLevel="0" collapsed="false">
      <c r="A495" s="0" t="s">
        <v>12</v>
      </c>
      <c r="B495" s="0" t="n">
        <v>148949</v>
      </c>
      <c r="C495" s="0" t="n">
        <v>148969</v>
      </c>
      <c r="D495" s="0" t="s">
        <v>1669</v>
      </c>
      <c r="E495" s="0" t="s">
        <v>1670</v>
      </c>
      <c r="F495" s="0" t="s">
        <v>15</v>
      </c>
      <c r="G495" s="0" t="s">
        <v>36</v>
      </c>
      <c r="H495" s="0" t="n">
        <v>16</v>
      </c>
      <c r="I495" s="0" t="s">
        <v>1671</v>
      </c>
      <c r="J495" s="0" t="s">
        <v>1672</v>
      </c>
      <c r="K495" s="0" t="s">
        <v>1673</v>
      </c>
      <c r="L495" s="0" t="str">
        <f aca="false">HYPERLINK("https://www.ncbi.nlm.nih.gov/nuccore/CP000304.1?report=graph&amp;tracks=[key:gene_model_track,Options:GeneOnly]&amp;mk=148950:148969|offset_16|00cc00,148990:149009|offset_56|444444,149037:149056|offset_103|444444,149122:149141|offset_188|444444&amp;v=148749:149341&amp;c=444444", "offset 16")</f>
        <v>offset 16</v>
      </c>
    </row>
    <row r="496" customFormat="false" ht="12.8" hidden="false" customHeight="false" outlineLevel="0" collapsed="false">
      <c r="A496" s="0" t="s">
        <v>12</v>
      </c>
      <c r="B496" s="0" t="n">
        <v>148989</v>
      </c>
      <c r="C496" s="0" t="n">
        <v>149009</v>
      </c>
      <c r="D496" s="0" t="s">
        <v>1669</v>
      </c>
      <c r="E496" s="0" t="s">
        <v>1670</v>
      </c>
      <c r="F496" s="0" t="s">
        <v>15</v>
      </c>
      <c r="G496" s="0" t="s">
        <v>26</v>
      </c>
      <c r="H496" s="0" t="n">
        <v>56</v>
      </c>
      <c r="I496" s="0" t="s">
        <v>1674</v>
      </c>
      <c r="J496" s="0" t="s">
        <v>1675</v>
      </c>
      <c r="K496" s="0" t="s">
        <v>1676</v>
      </c>
      <c r="L496" s="0" t="str">
        <f aca="false">HYPERLINK("https://www.ncbi.nlm.nih.gov/nuccore/CP000304.1?report=graph&amp;tracks=[key:gene_model_track,Options:GeneOnly]&amp;mk=148950:148969|offset_16|444444,148990:149009|offset_56|00cc00,149037:149056|offset_103|444444,149122:149141|offset_188|444444&amp;v=148749:149341&amp;c=444444", "offset 56")</f>
        <v>offset 56</v>
      </c>
    </row>
    <row r="497" customFormat="false" ht="12.8" hidden="false" customHeight="false" outlineLevel="0" collapsed="false">
      <c r="A497" s="0" t="s">
        <v>12</v>
      </c>
      <c r="B497" s="0" t="n">
        <v>149036</v>
      </c>
      <c r="C497" s="0" t="n">
        <v>149056</v>
      </c>
      <c r="D497" s="0" t="s">
        <v>1669</v>
      </c>
      <c r="E497" s="0" t="s">
        <v>1670</v>
      </c>
      <c r="F497" s="0" t="s">
        <v>15</v>
      </c>
      <c r="G497" s="0" t="s">
        <v>32</v>
      </c>
      <c r="H497" s="0" t="n">
        <v>103</v>
      </c>
      <c r="I497" s="0" t="s">
        <v>1677</v>
      </c>
      <c r="J497" s="0" t="s">
        <v>1678</v>
      </c>
      <c r="K497" s="0" t="s">
        <v>1679</v>
      </c>
      <c r="L497" s="0" t="str">
        <f aca="false">HYPERLINK("https://www.ncbi.nlm.nih.gov/nuccore/CP000304.1?report=graph&amp;tracks=[key:gene_model_track,Options:GeneOnly]&amp;mk=148950:148969|offset_16|444444,148990:149009|offset_56|444444,149037:149056|offset_103|00cc00,149122:149141|offset_188|444444&amp;v=148749:149341&amp;c=444444", "offset 103")</f>
        <v>offset 103</v>
      </c>
    </row>
    <row r="498" customFormat="false" ht="12.8" hidden="false" customHeight="false" outlineLevel="0" collapsed="false">
      <c r="A498" s="0" t="s">
        <v>12</v>
      </c>
      <c r="B498" s="0" t="n">
        <v>149121</v>
      </c>
      <c r="C498" s="0" t="n">
        <v>149141</v>
      </c>
      <c r="D498" s="0" t="s">
        <v>1669</v>
      </c>
      <c r="E498" s="0" t="s">
        <v>1670</v>
      </c>
      <c r="F498" s="0" t="s">
        <v>15</v>
      </c>
      <c r="G498" s="0" t="s">
        <v>16</v>
      </c>
      <c r="H498" s="0" t="n">
        <v>188</v>
      </c>
      <c r="I498" s="0" t="s">
        <v>1680</v>
      </c>
      <c r="J498" s="0" t="s">
        <v>1681</v>
      </c>
      <c r="K498" s="0" t="s">
        <v>1682</v>
      </c>
      <c r="L498" s="0" t="str">
        <f aca="false">HYPERLINK("https://www.ncbi.nlm.nih.gov/nuccore/CP000304.1?report=graph&amp;tracks=[key:gene_model_track,Options:GeneOnly]&amp;mk=148950:148969|offset_16|444444,148990:149009|offset_56|444444,149037:149056|offset_103|444444,149122:149141|offset_188|00cc00&amp;v=148749:149341&amp;c=444444", "offset 188")</f>
        <v>offset 188</v>
      </c>
    </row>
    <row r="499" customFormat="false" ht="12.8" hidden="false" customHeight="false" outlineLevel="0" collapsed="false">
      <c r="A499" s="0" t="s">
        <v>12</v>
      </c>
      <c r="B499" s="0" t="n">
        <v>149518</v>
      </c>
      <c r="C499" s="0" t="n">
        <v>149538</v>
      </c>
      <c r="D499" s="0" t="s">
        <v>1683</v>
      </c>
      <c r="E499" s="0" t="s">
        <v>1684</v>
      </c>
      <c r="F499" s="0" t="s">
        <v>15</v>
      </c>
      <c r="G499" s="0" t="s">
        <v>32</v>
      </c>
      <c r="H499" s="0" t="n">
        <v>19</v>
      </c>
      <c r="I499" s="0" t="s">
        <v>1685</v>
      </c>
      <c r="J499" s="0" t="s">
        <v>1686</v>
      </c>
      <c r="K499" s="0" t="s">
        <v>1687</v>
      </c>
      <c r="L499" s="0" t="str">
        <f aca="false">HYPERLINK("https://www.ncbi.nlm.nih.gov/nuccore/CP000304.1?report=graph&amp;tracks=[key:gene_model_track,Options:GeneOnly]&amp;mk=149519:149538|offset_19|00cc00,149540:149559|offset_40|444444,149576:149595|offset_76|444444,149600:149619|offset_100|444444&amp;v=149318:149819&amp;c=444444", "offset 19")</f>
        <v>offset 19</v>
      </c>
    </row>
    <row r="500" customFormat="false" ht="12.8" hidden="false" customHeight="false" outlineLevel="0" collapsed="false">
      <c r="A500" s="0" t="s">
        <v>12</v>
      </c>
      <c r="B500" s="0" t="n">
        <v>149539</v>
      </c>
      <c r="C500" s="0" t="n">
        <v>149559</v>
      </c>
      <c r="D500" s="0" t="s">
        <v>1683</v>
      </c>
      <c r="E500" s="0" t="s">
        <v>1684</v>
      </c>
      <c r="F500" s="0" t="s">
        <v>15</v>
      </c>
      <c r="G500" s="0" t="s">
        <v>26</v>
      </c>
      <c r="H500" s="0" t="n">
        <v>40</v>
      </c>
      <c r="I500" s="0" t="s">
        <v>1688</v>
      </c>
      <c r="J500" s="0" t="s">
        <v>1689</v>
      </c>
      <c r="K500" s="0" t="s">
        <v>1690</v>
      </c>
      <c r="L500" s="0" t="str">
        <f aca="false">HYPERLINK("https://www.ncbi.nlm.nih.gov/nuccore/CP000304.1?report=graph&amp;tracks=[key:gene_model_track,Options:GeneOnly]&amp;mk=149519:149538|offset_19|444444,149540:149559|offset_40|00cc00,149576:149595|offset_76|444444,149600:149619|offset_100|444444&amp;v=149318:149819&amp;c=444444", "offset 40")</f>
        <v>offset 40</v>
      </c>
    </row>
    <row r="501" customFormat="false" ht="12.8" hidden="false" customHeight="false" outlineLevel="0" collapsed="false">
      <c r="A501" s="0" t="s">
        <v>12</v>
      </c>
      <c r="B501" s="0" t="n">
        <v>149575</v>
      </c>
      <c r="C501" s="0" t="n">
        <v>149595</v>
      </c>
      <c r="D501" s="0" t="s">
        <v>1683</v>
      </c>
      <c r="E501" s="0" t="s">
        <v>1684</v>
      </c>
      <c r="F501" s="0" t="s">
        <v>15</v>
      </c>
      <c r="G501" s="0" t="s">
        <v>32</v>
      </c>
      <c r="H501" s="0" t="n">
        <v>76</v>
      </c>
      <c r="I501" s="0" t="s">
        <v>1691</v>
      </c>
      <c r="J501" s="0" t="s">
        <v>1692</v>
      </c>
      <c r="K501" s="0" t="s">
        <v>1693</v>
      </c>
      <c r="L501" s="0" t="str">
        <f aca="false">HYPERLINK("https://www.ncbi.nlm.nih.gov/nuccore/CP000304.1?report=graph&amp;tracks=[key:gene_model_track,Options:GeneOnly]&amp;mk=149519:149538|offset_19|444444,149540:149559|offset_40|444444,149576:149595|offset_76|00cc00,149600:149619|offset_100|444444&amp;v=149318:149819&amp;c=444444", "offset 76")</f>
        <v>offset 76</v>
      </c>
    </row>
    <row r="502" customFormat="false" ht="12.8" hidden="false" customHeight="false" outlineLevel="0" collapsed="false">
      <c r="A502" s="0" t="s">
        <v>12</v>
      </c>
      <c r="B502" s="0" t="n">
        <v>149599</v>
      </c>
      <c r="C502" s="0" t="n">
        <v>149619</v>
      </c>
      <c r="D502" s="0" t="s">
        <v>1683</v>
      </c>
      <c r="E502" s="0" t="s">
        <v>1684</v>
      </c>
      <c r="F502" s="0" t="s">
        <v>15</v>
      </c>
      <c r="G502" s="0" t="s">
        <v>16</v>
      </c>
      <c r="H502" s="0" t="n">
        <v>100</v>
      </c>
      <c r="I502" s="0" t="s">
        <v>1694</v>
      </c>
      <c r="J502" s="0" t="s">
        <v>1695</v>
      </c>
      <c r="K502" s="0" t="s">
        <v>1696</v>
      </c>
      <c r="L502" s="0" t="str">
        <f aca="false">HYPERLINK("https://www.ncbi.nlm.nih.gov/nuccore/CP000304.1?report=graph&amp;tracks=[key:gene_model_track,Options:GeneOnly]&amp;mk=149519:149538|offset_19|444444,149540:149559|offset_40|444444,149576:149595|offset_76|444444,149600:149619|offset_100|00cc00&amp;v=149318:149819&amp;c=444444", "offset 100")</f>
        <v>offset 100</v>
      </c>
    </row>
    <row r="503" customFormat="false" ht="12.8" hidden="false" customHeight="false" outlineLevel="0" collapsed="false">
      <c r="A503" s="0" t="s">
        <v>12</v>
      </c>
      <c r="B503" s="0" t="n">
        <v>149937</v>
      </c>
      <c r="C503" s="0" t="n">
        <v>149957</v>
      </c>
      <c r="D503" s="0" t="s">
        <v>1697</v>
      </c>
      <c r="E503" s="0" t="s">
        <v>1698</v>
      </c>
      <c r="F503" s="0" t="s">
        <v>15</v>
      </c>
      <c r="G503" s="0" t="s">
        <v>16</v>
      </c>
      <c r="H503" s="0" t="n">
        <v>22</v>
      </c>
      <c r="I503" s="0" t="s">
        <v>1699</v>
      </c>
      <c r="J503" s="0" t="s">
        <v>1700</v>
      </c>
      <c r="K503" s="0" t="s">
        <v>1701</v>
      </c>
      <c r="L503" s="0" t="str">
        <f aca="false">HYPERLINK("https://www.ncbi.nlm.nih.gov/nuccore/CP000304.1?report=graph&amp;tracks=[key:gene_model_track,Options:GeneOnly]&amp;mk=149938:149957|offset_22|00cc00,149974:149993|offset_58|444444,149999:150018|offset_83|444444,150046:150065|offset_130|444444&amp;v=149737:150265&amp;c=444444", "offset 22")</f>
        <v>offset 22</v>
      </c>
    </row>
    <row r="504" customFormat="false" ht="12.8" hidden="false" customHeight="false" outlineLevel="0" collapsed="false">
      <c r="A504" s="0" t="s">
        <v>12</v>
      </c>
      <c r="B504" s="0" t="n">
        <v>149973</v>
      </c>
      <c r="C504" s="0" t="n">
        <v>149993</v>
      </c>
      <c r="D504" s="0" t="s">
        <v>1697</v>
      </c>
      <c r="E504" s="0" t="s">
        <v>1698</v>
      </c>
      <c r="F504" s="0" t="s">
        <v>15</v>
      </c>
      <c r="G504" s="0" t="s">
        <v>32</v>
      </c>
      <c r="H504" s="0" t="n">
        <v>58</v>
      </c>
      <c r="I504" s="0" t="s">
        <v>1702</v>
      </c>
      <c r="J504" s="0" t="s">
        <v>1703</v>
      </c>
      <c r="K504" s="0" t="s">
        <v>1704</v>
      </c>
      <c r="L504" s="0" t="str">
        <f aca="false">HYPERLINK("https://www.ncbi.nlm.nih.gov/nuccore/CP000304.1?report=graph&amp;tracks=[key:gene_model_track,Options:GeneOnly]&amp;mk=149938:149957|offset_22|444444,149974:149993|offset_58|00cc00,149999:150018|offset_83|444444,150046:150065|offset_130|444444&amp;v=149737:150265&amp;c=444444", "offset 58")</f>
        <v>offset 58</v>
      </c>
    </row>
    <row r="505" customFormat="false" ht="12.8" hidden="false" customHeight="false" outlineLevel="0" collapsed="false">
      <c r="A505" s="0" t="s">
        <v>12</v>
      </c>
      <c r="B505" s="0" t="n">
        <v>149998</v>
      </c>
      <c r="C505" s="0" t="n">
        <v>150018</v>
      </c>
      <c r="D505" s="0" t="s">
        <v>1697</v>
      </c>
      <c r="E505" s="0" t="s">
        <v>1698</v>
      </c>
      <c r="F505" s="0" t="s">
        <v>15</v>
      </c>
      <c r="G505" s="0" t="s">
        <v>26</v>
      </c>
      <c r="H505" s="0" t="n">
        <v>83</v>
      </c>
      <c r="I505" s="0" t="s">
        <v>1705</v>
      </c>
      <c r="J505" s="0" t="s">
        <v>1706</v>
      </c>
      <c r="K505" s="0" t="s">
        <v>1707</v>
      </c>
      <c r="L505" s="0" t="str">
        <f aca="false">HYPERLINK("https://www.ncbi.nlm.nih.gov/nuccore/CP000304.1?report=graph&amp;tracks=[key:gene_model_track,Options:GeneOnly]&amp;mk=149938:149957|offset_22|444444,149974:149993|offset_58|444444,149999:150018|offset_83|00cc00,150046:150065|offset_130|444444&amp;v=149737:150265&amp;c=444444", "offset 83")</f>
        <v>offset 83</v>
      </c>
    </row>
    <row r="506" customFormat="false" ht="12.8" hidden="false" customHeight="false" outlineLevel="0" collapsed="false">
      <c r="A506" s="0" t="s">
        <v>12</v>
      </c>
      <c r="B506" s="0" t="n">
        <v>150045</v>
      </c>
      <c r="C506" s="0" t="n">
        <v>150065</v>
      </c>
      <c r="D506" s="0" t="s">
        <v>1697</v>
      </c>
      <c r="E506" s="0" t="s">
        <v>1698</v>
      </c>
      <c r="F506" s="0" t="s">
        <v>15</v>
      </c>
      <c r="G506" s="0" t="s">
        <v>16</v>
      </c>
      <c r="H506" s="0" t="n">
        <v>130</v>
      </c>
      <c r="I506" s="0" t="s">
        <v>1708</v>
      </c>
      <c r="J506" s="0" t="s">
        <v>1709</v>
      </c>
      <c r="K506" s="0" t="s">
        <v>1710</v>
      </c>
      <c r="L506" s="0" t="str">
        <f aca="false">HYPERLINK("https://www.ncbi.nlm.nih.gov/nuccore/CP000304.1?report=graph&amp;tracks=[key:gene_model_track,Options:GeneOnly]&amp;mk=149938:149957|offset_22|444444,149974:149993|offset_58|444444,149999:150018|offset_83|444444,150046:150065|offset_130|00cc00&amp;v=149737:150265&amp;c=444444", "offset 130")</f>
        <v>offset 130</v>
      </c>
    </row>
    <row r="507" customFormat="false" ht="12.8" hidden="false" customHeight="false" outlineLevel="0" collapsed="false">
      <c r="A507" s="0" t="s">
        <v>12</v>
      </c>
      <c r="B507" s="0" t="n">
        <v>150659</v>
      </c>
      <c r="C507" s="0" t="n">
        <v>150679</v>
      </c>
      <c r="D507" s="0" t="s">
        <v>1711</v>
      </c>
      <c r="E507" s="0" t="s">
        <v>1712</v>
      </c>
      <c r="F507" s="0" t="s">
        <v>15</v>
      </c>
      <c r="G507" s="0" t="s">
        <v>16</v>
      </c>
      <c r="H507" s="0" t="n">
        <v>34</v>
      </c>
      <c r="I507" s="0" t="s">
        <v>1713</v>
      </c>
      <c r="J507" s="0" t="s">
        <v>1714</v>
      </c>
      <c r="K507" s="0" t="s">
        <v>1715</v>
      </c>
      <c r="L507" s="0" t="str">
        <f aca="false">HYPERLINK("https://www.ncbi.nlm.nih.gov/nuccore/CP000304.1?report=graph&amp;tracks=[key:gene_model_track,Options:GeneOnly]&amp;mk=150660:150679|offset_34|00cc00,150715:150734|offset_89|444444,150735:150754|offset_109|444444,150760:150779|offset_134|444444&amp;v=150459:150979&amp;c=444444", "offset 34")</f>
        <v>offset 34</v>
      </c>
    </row>
    <row r="508" customFormat="false" ht="12.8" hidden="false" customHeight="false" outlineLevel="0" collapsed="false">
      <c r="A508" s="0" t="s">
        <v>12</v>
      </c>
      <c r="B508" s="0" t="n">
        <v>150714</v>
      </c>
      <c r="C508" s="0" t="n">
        <v>150734</v>
      </c>
      <c r="D508" s="0" t="s">
        <v>1711</v>
      </c>
      <c r="E508" s="0" t="s">
        <v>1712</v>
      </c>
      <c r="F508" s="0" t="s">
        <v>15</v>
      </c>
      <c r="G508" s="0" t="s">
        <v>32</v>
      </c>
      <c r="H508" s="0" t="n">
        <v>89</v>
      </c>
      <c r="I508" s="0" t="s">
        <v>1716</v>
      </c>
      <c r="J508" s="0" t="s">
        <v>1717</v>
      </c>
      <c r="K508" s="0" t="s">
        <v>1718</v>
      </c>
      <c r="L508" s="0" t="str">
        <f aca="false">HYPERLINK("https://www.ncbi.nlm.nih.gov/nuccore/CP000304.1?report=graph&amp;tracks=[key:gene_model_track,Options:GeneOnly]&amp;mk=150660:150679|offset_34|444444,150715:150734|offset_89|00cc00,150735:150754|offset_109|444444,150760:150779|offset_134|444444&amp;v=150459:150979&amp;c=444444", "offset 89")</f>
        <v>offset 89</v>
      </c>
    </row>
    <row r="509" customFormat="false" ht="12.8" hidden="false" customHeight="false" outlineLevel="0" collapsed="false">
      <c r="A509" s="0" t="s">
        <v>12</v>
      </c>
      <c r="B509" s="0" t="n">
        <v>150734</v>
      </c>
      <c r="C509" s="0" t="n">
        <v>150754</v>
      </c>
      <c r="D509" s="0" t="s">
        <v>1711</v>
      </c>
      <c r="E509" s="0" t="s">
        <v>1712</v>
      </c>
      <c r="F509" s="0" t="s">
        <v>15</v>
      </c>
      <c r="G509" s="0" t="s">
        <v>32</v>
      </c>
      <c r="H509" s="0" t="n">
        <v>109</v>
      </c>
      <c r="I509" s="0" t="s">
        <v>1719</v>
      </c>
      <c r="J509" s="0" t="s">
        <v>1720</v>
      </c>
      <c r="K509" s="0" t="s">
        <v>1721</v>
      </c>
      <c r="L509" s="0" t="str">
        <f aca="false">HYPERLINK("https://www.ncbi.nlm.nih.gov/nuccore/CP000304.1?report=graph&amp;tracks=[key:gene_model_track,Options:GeneOnly]&amp;mk=150660:150679|offset_34|444444,150715:150734|offset_89|444444,150735:150754|offset_109|00cc00,150760:150779|offset_134|444444&amp;v=150459:150979&amp;c=444444", "offset 109")</f>
        <v>offset 109</v>
      </c>
    </row>
    <row r="510" customFormat="false" ht="12.8" hidden="false" customHeight="false" outlineLevel="0" collapsed="false">
      <c r="A510" s="0" t="s">
        <v>12</v>
      </c>
      <c r="B510" s="0" t="n">
        <v>150759</v>
      </c>
      <c r="C510" s="0" t="n">
        <v>150779</v>
      </c>
      <c r="D510" s="0" t="s">
        <v>1711</v>
      </c>
      <c r="E510" s="0" t="s">
        <v>1712</v>
      </c>
      <c r="F510" s="0" t="s">
        <v>15</v>
      </c>
      <c r="G510" s="0" t="s">
        <v>32</v>
      </c>
      <c r="H510" s="0" t="n">
        <v>134</v>
      </c>
      <c r="I510" s="0" t="s">
        <v>1722</v>
      </c>
      <c r="J510" s="0" t="s">
        <v>1723</v>
      </c>
      <c r="K510" s="0" t="s">
        <v>1724</v>
      </c>
      <c r="L510" s="0" t="str">
        <f aca="false">HYPERLINK("https://www.ncbi.nlm.nih.gov/nuccore/CP000304.1?report=graph&amp;tracks=[key:gene_model_track,Options:GeneOnly]&amp;mk=150660:150679|offset_34|444444,150715:150734|offset_89|444444,150735:150754|offset_109|444444,150760:150779|offset_134|00cc00&amp;v=150459:150979&amp;c=444444", "offset 134")</f>
        <v>offset 134</v>
      </c>
    </row>
    <row r="511" customFormat="false" ht="12.8" hidden="false" customHeight="false" outlineLevel="0" collapsed="false">
      <c r="A511" s="0" t="s">
        <v>12</v>
      </c>
      <c r="B511" s="0" t="n">
        <v>151843</v>
      </c>
      <c r="C511" s="0" t="n">
        <v>151863</v>
      </c>
      <c r="D511" s="0" t="s">
        <v>1725</v>
      </c>
      <c r="E511" s="0" t="s">
        <v>1726</v>
      </c>
      <c r="F511" s="0" t="s">
        <v>15</v>
      </c>
      <c r="G511" s="0" t="s">
        <v>16</v>
      </c>
      <c r="H511" s="0" t="n">
        <v>28</v>
      </c>
      <c r="I511" s="0" t="s">
        <v>1727</v>
      </c>
      <c r="J511" s="0" t="s">
        <v>1728</v>
      </c>
      <c r="K511" s="0" t="s">
        <v>1729</v>
      </c>
      <c r="L511" s="0" t="str">
        <f aca="false">HYPERLINK("https://www.ncbi.nlm.nih.gov/nuccore/CP000304.1?report=graph&amp;tracks=[key:gene_model_track,Options:GeneOnly]&amp;mk=151844:151863|offset_28|00cc00,151886:151905|offset_70|444444,151914:151933|offset_98|444444,151935:151954|offset_119|444444&amp;v=151643:152154&amp;c=444444", "offset 28")</f>
        <v>offset 28</v>
      </c>
    </row>
    <row r="512" customFormat="false" ht="12.8" hidden="false" customHeight="false" outlineLevel="0" collapsed="false">
      <c r="A512" s="0" t="s">
        <v>12</v>
      </c>
      <c r="B512" s="0" t="n">
        <v>151885</v>
      </c>
      <c r="C512" s="0" t="n">
        <v>151905</v>
      </c>
      <c r="D512" s="0" t="s">
        <v>1725</v>
      </c>
      <c r="E512" s="0" t="s">
        <v>1726</v>
      </c>
      <c r="F512" s="0" t="s">
        <v>15</v>
      </c>
      <c r="G512" s="0" t="s">
        <v>16</v>
      </c>
      <c r="H512" s="0" t="n">
        <v>70</v>
      </c>
      <c r="I512" s="0" t="s">
        <v>1730</v>
      </c>
      <c r="J512" s="0" t="s">
        <v>1731</v>
      </c>
      <c r="K512" s="0" t="s">
        <v>1732</v>
      </c>
      <c r="L512" s="0" t="str">
        <f aca="false">HYPERLINK("https://www.ncbi.nlm.nih.gov/nuccore/CP000304.1?report=graph&amp;tracks=[key:gene_model_track,Options:GeneOnly]&amp;mk=151844:151863|offset_28|444444,151886:151905|offset_70|00cc00,151914:151933|offset_98|444444,151935:151954|offset_119|444444&amp;v=151643:152154&amp;c=444444", "offset 70")</f>
        <v>offset 70</v>
      </c>
    </row>
    <row r="513" customFormat="false" ht="12.8" hidden="false" customHeight="false" outlineLevel="0" collapsed="false">
      <c r="A513" s="0" t="s">
        <v>12</v>
      </c>
      <c r="B513" s="0" t="n">
        <v>151913</v>
      </c>
      <c r="C513" s="0" t="n">
        <v>151933</v>
      </c>
      <c r="D513" s="0" t="s">
        <v>1725</v>
      </c>
      <c r="E513" s="0" t="s">
        <v>1726</v>
      </c>
      <c r="F513" s="0" t="s">
        <v>15</v>
      </c>
      <c r="G513" s="0" t="s">
        <v>32</v>
      </c>
      <c r="H513" s="0" t="n">
        <v>98</v>
      </c>
      <c r="I513" s="0" t="s">
        <v>1733</v>
      </c>
      <c r="J513" s="0" t="s">
        <v>1734</v>
      </c>
      <c r="K513" s="0" t="s">
        <v>1735</v>
      </c>
      <c r="L513" s="0" t="str">
        <f aca="false">HYPERLINK("https://www.ncbi.nlm.nih.gov/nuccore/CP000304.1?report=graph&amp;tracks=[key:gene_model_track,Options:GeneOnly]&amp;mk=151844:151863|offset_28|444444,151886:151905|offset_70|444444,151914:151933|offset_98|00cc00,151935:151954|offset_119|444444&amp;v=151643:152154&amp;c=444444", "offset 98")</f>
        <v>offset 98</v>
      </c>
    </row>
    <row r="514" customFormat="false" ht="12.8" hidden="false" customHeight="false" outlineLevel="0" collapsed="false">
      <c r="A514" s="0" t="s">
        <v>12</v>
      </c>
      <c r="B514" s="0" t="n">
        <v>151934</v>
      </c>
      <c r="C514" s="0" t="n">
        <v>151954</v>
      </c>
      <c r="D514" s="0" t="s">
        <v>1725</v>
      </c>
      <c r="E514" s="0" t="s">
        <v>1726</v>
      </c>
      <c r="F514" s="0" t="s">
        <v>15</v>
      </c>
      <c r="G514" s="0" t="s">
        <v>16</v>
      </c>
      <c r="H514" s="0" t="n">
        <v>119</v>
      </c>
      <c r="I514" s="0" t="s">
        <v>1736</v>
      </c>
      <c r="J514" s="0" t="s">
        <v>1737</v>
      </c>
      <c r="K514" s="0" t="s">
        <v>1738</v>
      </c>
      <c r="L514" s="0" t="str">
        <f aca="false">HYPERLINK("https://www.ncbi.nlm.nih.gov/nuccore/CP000304.1?report=graph&amp;tracks=[key:gene_model_track,Options:GeneOnly]&amp;mk=151844:151863|offset_28|444444,151886:151905|offset_70|444444,151914:151933|offset_98|444444,151935:151954|offset_119|00cc00&amp;v=151643:152154&amp;c=444444", "offset 119")</f>
        <v>offset 119</v>
      </c>
    </row>
    <row r="515" customFormat="false" ht="12.8" hidden="false" customHeight="false" outlineLevel="0" collapsed="false">
      <c r="A515" s="0" t="s">
        <v>12</v>
      </c>
      <c r="B515" s="0" t="n">
        <v>152775</v>
      </c>
      <c r="C515" s="0" t="n">
        <v>152795</v>
      </c>
      <c r="D515" s="0" t="s">
        <v>1739</v>
      </c>
      <c r="E515" s="0" t="s">
        <v>1740</v>
      </c>
      <c r="F515" s="0" t="s">
        <v>15</v>
      </c>
      <c r="G515" s="0" t="s">
        <v>16</v>
      </c>
      <c r="H515" s="0" t="n">
        <v>25</v>
      </c>
      <c r="I515" s="0" t="s">
        <v>1741</v>
      </c>
      <c r="J515" s="0" t="s">
        <v>1742</v>
      </c>
      <c r="K515" s="0" t="s">
        <v>1743</v>
      </c>
      <c r="L515" s="0" t="str">
        <f aca="false">HYPERLINK("https://www.ncbi.nlm.nih.gov/nuccore/CP000304.1?report=graph&amp;tracks=[key:gene_model_track,Options:GeneOnly]&amp;mk=152776:152795|offset_25|00cc00,152796:152815|offset_45|444444,152819:152838|offset_68|444444,152839:152858|offset_88|444444&amp;v=152575:153058&amp;c=444444", "offset 25")</f>
        <v>offset 25</v>
      </c>
    </row>
    <row r="516" customFormat="false" ht="12.8" hidden="false" customHeight="false" outlineLevel="0" collapsed="false">
      <c r="A516" s="0" t="s">
        <v>12</v>
      </c>
      <c r="B516" s="0" t="n">
        <v>152795</v>
      </c>
      <c r="C516" s="0" t="n">
        <v>152815</v>
      </c>
      <c r="D516" s="0" t="s">
        <v>1739</v>
      </c>
      <c r="E516" s="0" t="s">
        <v>1740</v>
      </c>
      <c r="F516" s="0" t="s">
        <v>15</v>
      </c>
      <c r="G516" s="0" t="s">
        <v>16</v>
      </c>
      <c r="H516" s="0" t="n">
        <v>45</v>
      </c>
      <c r="I516" s="0" t="s">
        <v>1744</v>
      </c>
      <c r="J516" s="0" t="s">
        <v>1745</v>
      </c>
      <c r="K516" s="0" t="s">
        <v>1746</v>
      </c>
      <c r="L516" s="0" t="str">
        <f aca="false">HYPERLINK("https://www.ncbi.nlm.nih.gov/nuccore/CP000304.1?report=graph&amp;tracks=[key:gene_model_track,Options:GeneOnly]&amp;mk=152776:152795|offset_25|444444,152796:152815|offset_45|00cc00,152819:152838|offset_68|444444,152839:152858|offset_88|444444&amp;v=152575:153058&amp;c=444444", "offset 45")</f>
        <v>offset 45</v>
      </c>
    </row>
    <row r="517" customFormat="false" ht="12.8" hidden="false" customHeight="false" outlineLevel="0" collapsed="false">
      <c r="A517" s="0" t="s">
        <v>12</v>
      </c>
      <c r="B517" s="0" t="n">
        <v>152818</v>
      </c>
      <c r="C517" s="0" t="n">
        <v>152838</v>
      </c>
      <c r="D517" s="0" t="s">
        <v>1739</v>
      </c>
      <c r="E517" s="0" t="s">
        <v>1740</v>
      </c>
      <c r="F517" s="0" t="s">
        <v>15</v>
      </c>
      <c r="G517" s="0" t="s">
        <v>26</v>
      </c>
      <c r="H517" s="0" t="n">
        <v>68</v>
      </c>
      <c r="I517" s="0" t="s">
        <v>1747</v>
      </c>
      <c r="J517" s="0" t="s">
        <v>1748</v>
      </c>
      <c r="K517" s="0" t="s">
        <v>1749</v>
      </c>
      <c r="L517" s="0" t="str">
        <f aca="false">HYPERLINK("https://www.ncbi.nlm.nih.gov/nuccore/CP000304.1?report=graph&amp;tracks=[key:gene_model_track,Options:GeneOnly]&amp;mk=152776:152795|offset_25|444444,152796:152815|offset_45|444444,152819:152838|offset_68|00cc00,152839:152858|offset_88|444444&amp;v=152575:153058&amp;c=444444", "offset 68")</f>
        <v>offset 68</v>
      </c>
    </row>
    <row r="518" customFormat="false" ht="12.8" hidden="false" customHeight="false" outlineLevel="0" collapsed="false">
      <c r="A518" s="0" t="s">
        <v>12</v>
      </c>
      <c r="B518" s="0" t="n">
        <v>152838</v>
      </c>
      <c r="C518" s="0" t="n">
        <v>152858</v>
      </c>
      <c r="D518" s="0" t="s">
        <v>1739</v>
      </c>
      <c r="E518" s="0" t="s">
        <v>1740</v>
      </c>
      <c r="F518" s="0" t="s">
        <v>15</v>
      </c>
      <c r="G518" s="0" t="s">
        <v>26</v>
      </c>
      <c r="H518" s="0" t="n">
        <v>88</v>
      </c>
      <c r="I518" s="0" t="s">
        <v>1750</v>
      </c>
      <c r="J518" s="0" t="s">
        <v>1751</v>
      </c>
      <c r="K518" s="0" t="s">
        <v>1752</v>
      </c>
      <c r="L518" s="0" t="str">
        <f aca="false">HYPERLINK("https://www.ncbi.nlm.nih.gov/nuccore/CP000304.1?report=graph&amp;tracks=[key:gene_model_track,Options:GeneOnly]&amp;mk=152776:152795|offset_25|444444,152796:152815|offset_45|444444,152819:152838|offset_68|444444,152839:152858|offset_88|00cc00&amp;v=152575:153058&amp;c=444444", "offset 88")</f>
        <v>offset 88</v>
      </c>
    </row>
    <row r="519" customFormat="false" ht="12.8" hidden="false" customHeight="false" outlineLevel="0" collapsed="false">
      <c r="A519" s="0" t="s">
        <v>12</v>
      </c>
      <c r="B519" s="0" t="n">
        <v>154665</v>
      </c>
      <c r="C519" s="0" t="n">
        <v>154685</v>
      </c>
      <c r="D519" s="0" t="s">
        <v>1753</v>
      </c>
      <c r="E519" s="0" t="s">
        <v>89</v>
      </c>
      <c r="F519" s="0" t="s">
        <v>90</v>
      </c>
      <c r="G519" s="0" t="s">
        <v>16</v>
      </c>
      <c r="H519" s="0" t="n">
        <v>22</v>
      </c>
      <c r="I519" s="0" t="s">
        <v>1754</v>
      </c>
      <c r="J519" s="0" t="s">
        <v>1755</v>
      </c>
      <c r="K519" s="0" t="s">
        <v>1756</v>
      </c>
      <c r="L519" s="0" t="str">
        <f aca="false">HYPERLINK("https://www.ncbi.nlm.nih.gov/nuccore/CP000304.1?report=graph&amp;tracks=[key:gene_model_track,Options:GeneOnly]&amp;mk=154666:154685|offset_22|00cc00,154645:154664|offset_43|444444,154617:154636|offset_71|444444,154596:154615|offset_92|444444&amp;v=154465:154815&amp;c=444444", "offset 22")</f>
        <v>offset 22</v>
      </c>
    </row>
    <row r="520" customFormat="false" ht="12.8" hidden="false" customHeight="false" outlineLevel="0" collapsed="false">
      <c r="A520" s="0" t="s">
        <v>12</v>
      </c>
      <c r="B520" s="0" t="n">
        <v>154644</v>
      </c>
      <c r="C520" s="0" t="n">
        <v>154664</v>
      </c>
      <c r="D520" s="0" t="s">
        <v>1753</v>
      </c>
      <c r="E520" s="0" t="s">
        <v>89</v>
      </c>
      <c r="F520" s="0" t="s">
        <v>90</v>
      </c>
      <c r="G520" s="0" t="s">
        <v>36</v>
      </c>
      <c r="H520" s="0" t="n">
        <v>43</v>
      </c>
      <c r="I520" s="0" t="s">
        <v>1757</v>
      </c>
      <c r="J520" s="0" t="s">
        <v>1758</v>
      </c>
      <c r="K520" s="0" t="s">
        <v>1759</v>
      </c>
      <c r="L520" s="0" t="str">
        <f aca="false">HYPERLINK("https://www.ncbi.nlm.nih.gov/nuccore/CP000304.1?report=graph&amp;tracks=[key:gene_model_track,Options:GeneOnly]&amp;mk=154666:154685|offset_22|444444,154645:154664|offset_43|00cc00,154617:154636|offset_71|444444,154596:154615|offset_92|444444&amp;v=154465:154815&amp;c=444444", "offset 43")</f>
        <v>offset 43</v>
      </c>
    </row>
    <row r="521" customFormat="false" ht="12.8" hidden="false" customHeight="false" outlineLevel="0" collapsed="false">
      <c r="A521" s="0" t="s">
        <v>12</v>
      </c>
      <c r="B521" s="0" t="n">
        <v>154616</v>
      </c>
      <c r="C521" s="0" t="n">
        <v>154636</v>
      </c>
      <c r="D521" s="0" t="s">
        <v>1753</v>
      </c>
      <c r="E521" s="0" t="s">
        <v>89</v>
      </c>
      <c r="F521" s="0" t="s">
        <v>90</v>
      </c>
      <c r="G521" s="0" t="s">
        <v>26</v>
      </c>
      <c r="H521" s="0" t="n">
        <v>71</v>
      </c>
      <c r="I521" s="0" t="s">
        <v>1760</v>
      </c>
      <c r="J521" s="0" t="s">
        <v>1761</v>
      </c>
      <c r="K521" s="0" t="s">
        <v>1762</v>
      </c>
      <c r="L521" s="0" t="str">
        <f aca="false">HYPERLINK("https://www.ncbi.nlm.nih.gov/nuccore/CP000304.1?report=graph&amp;tracks=[key:gene_model_track,Options:GeneOnly]&amp;mk=154666:154685|offset_22|444444,154645:154664|offset_43|444444,154617:154636|offset_71|00cc00,154596:154615|offset_92|444444&amp;v=154465:154815&amp;c=444444", "offset 71")</f>
        <v>offset 71</v>
      </c>
    </row>
    <row r="522" customFormat="false" ht="12.8" hidden="false" customHeight="false" outlineLevel="0" collapsed="false">
      <c r="A522" s="0" t="s">
        <v>12</v>
      </c>
      <c r="B522" s="0" t="n">
        <v>154595</v>
      </c>
      <c r="C522" s="0" t="n">
        <v>154615</v>
      </c>
      <c r="D522" s="0" t="s">
        <v>1753</v>
      </c>
      <c r="E522" s="0" t="s">
        <v>89</v>
      </c>
      <c r="F522" s="0" t="s">
        <v>90</v>
      </c>
      <c r="G522" s="0" t="s">
        <v>32</v>
      </c>
      <c r="H522" s="0" t="n">
        <v>92</v>
      </c>
      <c r="I522" s="0" t="s">
        <v>1763</v>
      </c>
      <c r="J522" s="0" t="s">
        <v>1764</v>
      </c>
      <c r="K522" s="0" t="s">
        <v>1765</v>
      </c>
      <c r="L522" s="0" t="str">
        <f aca="false">HYPERLINK("https://www.ncbi.nlm.nih.gov/nuccore/CP000304.1?report=graph&amp;tracks=[key:gene_model_track,Options:GeneOnly]&amp;mk=154666:154685|offset_22|444444,154645:154664|offset_43|444444,154617:154636|offset_71|444444,154596:154615|offset_92|00cc00&amp;v=154465:154815&amp;c=444444", "offset 92")</f>
        <v>offset 92</v>
      </c>
    </row>
    <row r="523" customFormat="false" ht="12.8" hidden="false" customHeight="false" outlineLevel="0" collapsed="false">
      <c r="A523" s="0" t="s">
        <v>12</v>
      </c>
      <c r="B523" s="0" t="n">
        <v>156834</v>
      </c>
      <c r="C523" s="0" t="n">
        <v>156854</v>
      </c>
      <c r="D523" s="0" t="s">
        <v>1766</v>
      </c>
      <c r="E523" s="0" t="s">
        <v>1767</v>
      </c>
      <c r="F523" s="0" t="s">
        <v>90</v>
      </c>
      <c r="G523" s="0" t="s">
        <v>32</v>
      </c>
      <c r="H523" s="0" t="n">
        <v>1</v>
      </c>
      <c r="I523" s="0" t="s">
        <v>1768</v>
      </c>
      <c r="J523" s="0" t="s">
        <v>1769</v>
      </c>
      <c r="K523" s="0" t="s">
        <v>1770</v>
      </c>
      <c r="L523" s="0" t="str">
        <f aca="false">HYPERLINK("https://www.ncbi.nlm.nih.gov/nuccore/CP000304.1?report=graph&amp;tracks=[key:gene_model_track,Options:GeneOnly]&amp;mk=156835:156854|offset_1|00cc00,156812:156831|offset_24|444444,156784:156803|offset_52|444444,156763:156782|offset_73|444444&amp;v=156634:156982&amp;c=444444", "offset 1")</f>
        <v>offset 1</v>
      </c>
    </row>
    <row r="524" customFormat="false" ht="12.8" hidden="false" customHeight="false" outlineLevel="0" collapsed="false">
      <c r="A524" s="0" t="s">
        <v>12</v>
      </c>
      <c r="B524" s="0" t="n">
        <v>156811</v>
      </c>
      <c r="C524" s="0" t="n">
        <v>156831</v>
      </c>
      <c r="D524" s="0" t="s">
        <v>1766</v>
      </c>
      <c r="E524" s="0" t="s">
        <v>1767</v>
      </c>
      <c r="F524" s="0" t="s">
        <v>90</v>
      </c>
      <c r="G524" s="0" t="s">
        <v>16</v>
      </c>
      <c r="H524" s="0" t="n">
        <v>24</v>
      </c>
      <c r="I524" s="0" t="s">
        <v>1771</v>
      </c>
      <c r="J524" s="0" t="s">
        <v>1772</v>
      </c>
      <c r="K524" s="0" t="s">
        <v>1773</v>
      </c>
      <c r="L524" s="0" t="str">
        <f aca="false">HYPERLINK("https://www.ncbi.nlm.nih.gov/nuccore/CP000304.1?report=graph&amp;tracks=[key:gene_model_track,Options:GeneOnly]&amp;mk=156835:156854|offset_1|444444,156812:156831|offset_24|00cc00,156784:156803|offset_52|444444,156763:156782|offset_73|444444&amp;v=156634:156982&amp;c=444444", "offset 24")</f>
        <v>offset 24</v>
      </c>
    </row>
    <row r="525" customFormat="false" ht="12.8" hidden="false" customHeight="false" outlineLevel="0" collapsed="false">
      <c r="A525" s="0" t="s">
        <v>12</v>
      </c>
      <c r="B525" s="0" t="n">
        <v>156783</v>
      </c>
      <c r="C525" s="0" t="n">
        <v>156803</v>
      </c>
      <c r="D525" s="0" t="s">
        <v>1766</v>
      </c>
      <c r="E525" s="0" t="s">
        <v>1767</v>
      </c>
      <c r="F525" s="0" t="s">
        <v>90</v>
      </c>
      <c r="G525" s="0" t="s">
        <v>16</v>
      </c>
      <c r="H525" s="0" t="n">
        <v>52</v>
      </c>
      <c r="I525" s="0" t="s">
        <v>1774</v>
      </c>
      <c r="J525" s="0" t="s">
        <v>1775</v>
      </c>
      <c r="K525" s="0" t="s">
        <v>1776</v>
      </c>
      <c r="L525" s="0" t="str">
        <f aca="false">HYPERLINK("https://www.ncbi.nlm.nih.gov/nuccore/CP000304.1?report=graph&amp;tracks=[key:gene_model_track,Options:GeneOnly]&amp;mk=156835:156854|offset_1|444444,156812:156831|offset_24|444444,156784:156803|offset_52|00cc00,156763:156782|offset_73|444444&amp;v=156634:156982&amp;c=444444", "offset 52")</f>
        <v>offset 52</v>
      </c>
    </row>
    <row r="526" customFormat="false" ht="12.8" hidden="false" customHeight="false" outlineLevel="0" collapsed="false">
      <c r="A526" s="0" t="s">
        <v>12</v>
      </c>
      <c r="B526" s="0" t="n">
        <v>156762</v>
      </c>
      <c r="C526" s="0" t="n">
        <v>156782</v>
      </c>
      <c r="D526" s="0" t="s">
        <v>1766</v>
      </c>
      <c r="E526" s="0" t="s">
        <v>1767</v>
      </c>
      <c r="F526" s="0" t="s">
        <v>90</v>
      </c>
      <c r="G526" s="0" t="s">
        <v>32</v>
      </c>
      <c r="H526" s="0" t="n">
        <v>73</v>
      </c>
      <c r="I526" s="0" t="s">
        <v>1777</v>
      </c>
      <c r="J526" s="0" t="s">
        <v>1778</v>
      </c>
      <c r="K526" s="0" t="s">
        <v>1779</v>
      </c>
      <c r="L526" s="0" t="str">
        <f aca="false">HYPERLINK("https://www.ncbi.nlm.nih.gov/nuccore/CP000304.1?report=graph&amp;tracks=[key:gene_model_track,Options:GeneOnly]&amp;mk=156835:156854|offset_1|444444,156812:156831|offset_24|444444,156784:156803|offset_52|444444,156763:156782|offset_73|00cc00&amp;v=156634:156982&amp;c=444444", "offset 73")</f>
        <v>offset 73</v>
      </c>
    </row>
    <row r="527" customFormat="false" ht="12.8" hidden="false" customHeight="false" outlineLevel="0" collapsed="false">
      <c r="A527" s="0" t="s">
        <v>12</v>
      </c>
      <c r="B527" s="0" t="n">
        <v>157747</v>
      </c>
      <c r="C527" s="0" t="n">
        <v>157767</v>
      </c>
      <c r="D527" s="0" t="s">
        <v>1780</v>
      </c>
      <c r="E527" s="0" t="s">
        <v>89</v>
      </c>
      <c r="F527" s="0" t="s">
        <v>90</v>
      </c>
      <c r="G527" s="0" t="s">
        <v>16</v>
      </c>
      <c r="H527" s="0" t="n">
        <v>22</v>
      </c>
      <c r="I527" s="0" t="s">
        <v>1781</v>
      </c>
      <c r="J527" s="0" t="s">
        <v>1782</v>
      </c>
      <c r="K527" s="0" t="s">
        <v>1783</v>
      </c>
      <c r="L527" s="0" t="str">
        <f aca="false">HYPERLINK("https://www.ncbi.nlm.nih.gov/nuccore/CP000304.1?report=graph&amp;tracks=[key:gene_model_track,Options:GeneOnly]&amp;mk=157748:157767|offset_22|00cc00,157726:157745|offset_44|444444,157702:157721|offset_68|444444,157671:157690|offset_99|444444&amp;v=157547:157890&amp;c=444444", "offset 22")</f>
        <v>offset 22</v>
      </c>
    </row>
    <row r="528" customFormat="false" ht="12.8" hidden="false" customHeight="false" outlineLevel="0" collapsed="false">
      <c r="A528" s="0" t="s">
        <v>12</v>
      </c>
      <c r="B528" s="0" t="n">
        <v>157725</v>
      </c>
      <c r="C528" s="0" t="n">
        <v>157745</v>
      </c>
      <c r="D528" s="0" t="s">
        <v>1780</v>
      </c>
      <c r="E528" s="0" t="s">
        <v>89</v>
      </c>
      <c r="F528" s="0" t="s">
        <v>90</v>
      </c>
      <c r="G528" s="0" t="s">
        <v>26</v>
      </c>
      <c r="H528" s="0" t="n">
        <v>44</v>
      </c>
      <c r="I528" s="0" t="s">
        <v>1784</v>
      </c>
      <c r="J528" s="0" t="s">
        <v>1785</v>
      </c>
      <c r="K528" s="0" t="s">
        <v>1786</v>
      </c>
      <c r="L528" s="0" t="str">
        <f aca="false">HYPERLINK("https://www.ncbi.nlm.nih.gov/nuccore/CP000304.1?report=graph&amp;tracks=[key:gene_model_track,Options:GeneOnly]&amp;mk=157748:157767|offset_22|444444,157726:157745|offset_44|00cc00,157702:157721|offset_68|444444,157671:157690|offset_99|444444&amp;v=157547:157890&amp;c=444444", "offset 44")</f>
        <v>offset 44</v>
      </c>
    </row>
    <row r="529" customFormat="false" ht="12.8" hidden="false" customHeight="false" outlineLevel="0" collapsed="false">
      <c r="A529" s="0" t="s">
        <v>12</v>
      </c>
      <c r="B529" s="0" t="n">
        <v>157701</v>
      </c>
      <c r="C529" s="0" t="n">
        <v>157721</v>
      </c>
      <c r="D529" s="0" t="s">
        <v>1780</v>
      </c>
      <c r="E529" s="0" t="s">
        <v>89</v>
      </c>
      <c r="F529" s="0" t="s">
        <v>90</v>
      </c>
      <c r="G529" s="0" t="s">
        <v>16</v>
      </c>
      <c r="H529" s="0" t="n">
        <v>68</v>
      </c>
      <c r="I529" s="0" t="s">
        <v>1787</v>
      </c>
      <c r="J529" s="0" t="s">
        <v>1788</v>
      </c>
      <c r="K529" s="0" t="s">
        <v>1789</v>
      </c>
      <c r="L529" s="0" t="str">
        <f aca="false">HYPERLINK("https://www.ncbi.nlm.nih.gov/nuccore/CP000304.1?report=graph&amp;tracks=[key:gene_model_track,Options:GeneOnly]&amp;mk=157748:157767|offset_22|444444,157726:157745|offset_44|444444,157702:157721|offset_68|00cc00,157671:157690|offset_99|444444&amp;v=157547:157890&amp;c=444444", "offset 68")</f>
        <v>offset 68</v>
      </c>
    </row>
    <row r="530" customFormat="false" ht="12.8" hidden="false" customHeight="false" outlineLevel="0" collapsed="false">
      <c r="A530" s="0" t="s">
        <v>12</v>
      </c>
      <c r="B530" s="0" t="n">
        <v>157670</v>
      </c>
      <c r="C530" s="0" t="n">
        <v>157690</v>
      </c>
      <c r="D530" s="0" t="s">
        <v>1780</v>
      </c>
      <c r="E530" s="0" t="s">
        <v>89</v>
      </c>
      <c r="F530" s="0" t="s">
        <v>90</v>
      </c>
      <c r="G530" s="0" t="s">
        <v>16</v>
      </c>
      <c r="H530" s="0" t="n">
        <v>99</v>
      </c>
      <c r="I530" s="0" t="s">
        <v>1790</v>
      </c>
      <c r="J530" s="0" t="s">
        <v>1791</v>
      </c>
      <c r="K530" s="0" t="s">
        <v>1792</v>
      </c>
      <c r="L530" s="0" t="str">
        <f aca="false">HYPERLINK("https://www.ncbi.nlm.nih.gov/nuccore/CP000304.1?report=graph&amp;tracks=[key:gene_model_track,Options:GeneOnly]&amp;mk=157748:157767|offset_22|444444,157726:157745|offset_44|444444,157702:157721|offset_68|444444,157671:157690|offset_99|00cc00&amp;v=157547:157890&amp;c=444444", "offset 99")</f>
        <v>offset 99</v>
      </c>
    </row>
    <row r="531" customFormat="false" ht="12.8" hidden="false" customHeight="false" outlineLevel="0" collapsed="false">
      <c r="A531" s="0" t="s">
        <v>12</v>
      </c>
      <c r="B531" s="0" t="n">
        <v>157925</v>
      </c>
      <c r="C531" s="0" t="n">
        <v>157945</v>
      </c>
      <c r="D531" s="0" t="s">
        <v>1793</v>
      </c>
      <c r="E531" s="0" t="s">
        <v>89</v>
      </c>
      <c r="F531" s="0" t="s">
        <v>15</v>
      </c>
      <c r="G531" s="0" t="s">
        <v>26</v>
      </c>
      <c r="H531" s="0" t="n">
        <v>14</v>
      </c>
      <c r="I531" s="0" t="s">
        <v>1794</v>
      </c>
      <c r="J531" s="0" t="s">
        <v>1795</v>
      </c>
      <c r="K531" s="0" t="s">
        <v>1796</v>
      </c>
      <c r="L531" s="0" t="str">
        <f aca="false">HYPERLINK("https://www.ncbi.nlm.nih.gov/nuccore/CP000304.1?report=graph&amp;tracks=[key:gene_model_track,Options:GeneOnly]&amp;mk=157926:157945|offset_14|00cc00,157986:158005|offset_74|444444,158027:158046|offset_115|444444,158050:158069|offset_138|444444&amp;v=157725:158269&amp;c=444444", "offset 14")</f>
        <v>offset 14</v>
      </c>
    </row>
    <row r="532" customFormat="false" ht="12.8" hidden="false" customHeight="false" outlineLevel="0" collapsed="false">
      <c r="A532" s="0" t="s">
        <v>12</v>
      </c>
      <c r="B532" s="0" t="n">
        <v>157985</v>
      </c>
      <c r="C532" s="0" t="n">
        <v>158005</v>
      </c>
      <c r="D532" s="0" t="s">
        <v>1793</v>
      </c>
      <c r="E532" s="0" t="s">
        <v>89</v>
      </c>
      <c r="F532" s="0" t="s">
        <v>15</v>
      </c>
      <c r="G532" s="0" t="s">
        <v>16</v>
      </c>
      <c r="H532" s="0" t="n">
        <v>74</v>
      </c>
      <c r="I532" s="0" t="s">
        <v>1797</v>
      </c>
      <c r="J532" s="0" t="s">
        <v>1798</v>
      </c>
      <c r="K532" s="0" t="s">
        <v>1799</v>
      </c>
      <c r="L532" s="0" t="str">
        <f aca="false">HYPERLINK("https://www.ncbi.nlm.nih.gov/nuccore/CP000304.1?report=graph&amp;tracks=[key:gene_model_track,Options:GeneOnly]&amp;mk=157926:157945|offset_14|444444,157986:158005|offset_74|00cc00,158027:158046|offset_115|444444,158050:158069|offset_138|444444&amp;v=157725:158269&amp;c=444444", "offset 74")</f>
        <v>offset 74</v>
      </c>
    </row>
    <row r="533" customFormat="false" ht="12.8" hidden="false" customHeight="false" outlineLevel="0" collapsed="false">
      <c r="A533" s="0" t="s">
        <v>12</v>
      </c>
      <c r="B533" s="0" t="n">
        <v>158026</v>
      </c>
      <c r="C533" s="0" t="n">
        <v>158046</v>
      </c>
      <c r="D533" s="0" t="s">
        <v>1793</v>
      </c>
      <c r="E533" s="0" t="s">
        <v>89</v>
      </c>
      <c r="F533" s="0" t="s">
        <v>15</v>
      </c>
      <c r="G533" s="0" t="s">
        <v>16</v>
      </c>
      <c r="H533" s="0" t="n">
        <v>115</v>
      </c>
      <c r="I533" s="0" t="s">
        <v>1800</v>
      </c>
      <c r="J533" s="0" t="s">
        <v>1801</v>
      </c>
      <c r="K533" s="0" t="s">
        <v>1802</v>
      </c>
      <c r="L533" s="0" t="str">
        <f aca="false">HYPERLINK("https://www.ncbi.nlm.nih.gov/nuccore/CP000304.1?report=graph&amp;tracks=[key:gene_model_track,Options:GeneOnly]&amp;mk=157926:157945|offset_14|444444,157986:158005|offset_74|444444,158027:158046|offset_115|00cc00,158050:158069|offset_138|444444&amp;v=157725:158269&amp;c=444444", "offset 115")</f>
        <v>offset 115</v>
      </c>
    </row>
    <row r="534" customFormat="false" ht="12.8" hidden="false" customHeight="false" outlineLevel="0" collapsed="false">
      <c r="A534" s="0" t="s">
        <v>12</v>
      </c>
      <c r="B534" s="0" t="n">
        <v>158049</v>
      </c>
      <c r="C534" s="0" t="n">
        <v>158069</v>
      </c>
      <c r="D534" s="0" t="s">
        <v>1793</v>
      </c>
      <c r="E534" s="0" t="s">
        <v>89</v>
      </c>
      <c r="F534" s="0" t="s">
        <v>15</v>
      </c>
      <c r="G534" s="0" t="s">
        <v>16</v>
      </c>
      <c r="H534" s="0" t="n">
        <v>138</v>
      </c>
      <c r="I534" s="0" t="s">
        <v>1803</v>
      </c>
      <c r="J534" s="0" t="s">
        <v>1804</v>
      </c>
      <c r="K534" s="0" t="s">
        <v>1805</v>
      </c>
      <c r="L534" s="0" t="str">
        <f aca="false">HYPERLINK("https://www.ncbi.nlm.nih.gov/nuccore/CP000304.1?report=graph&amp;tracks=[key:gene_model_track,Options:GeneOnly]&amp;mk=157926:157945|offset_14|444444,157986:158005|offset_74|444444,158027:158046|offset_115|444444,158050:158069|offset_138|00cc00&amp;v=157725:158269&amp;c=444444", "offset 138")</f>
        <v>offset 138</v>
      </c>
    </row>
    <row r="535" customFormat="false" ht="12.8" hidden="false" customHeight="false" outlineLevel="0" collapsed="false">
      <c r="A535" s="0" t="s">
        <v>12</v>
      </c>
      <c r="B535" s="0" t="n">
        <v>158956</v>
      </c>
      <c r="C535" s="0" t="n">
        <v>158976</v>
      </c>
      <c r="D535" s="0" t="s">
        <v>1806</v>
      </c>
      <c r="E535" s="0" t="s">
        <v>89</v>
      </c>
      <c r="F535" s="0" t="s">
        <v>15</v>
      </c>
      <c r="G535" s="0" t="s">
        <v>32</v>
      </c>
      <c r="H535" s="0" t="n">
        <v>1</v>
      </c>
      <c r="I535" s="0" t="s">
        <v>1807</v>
      </c>
      <c r="J535" s="0" t="s">
        <v>1808</v>
      </c>
      <c r="K535" s="0" t="s">
        <v>1809</v>
      </c>
      <c r="L535" s="0" t="str">
        <f aca="false">HYPERLINK("https://www.ncbi.nlm.nih.gov/nuccore/CP000304.1?report=graph&amp;tracks=[key:gene_model_track,Options:GeneOnly]&amp;mk=158957:158976|offset_1|00cc00,158994:159013|offset_38|444444,159014:159033|offset_58|444444,159034:159053|offset_78|444444&amp;v=158756:159253&amp;c=444444", "offset 1")</f>
        <v>offset 1</v>
      </c>
    </row>
    <row r="536" customFormat="false" ht="12.8" hidden="false" customHeight="false" outlineLevel="0" collapsed="false">
      <c r="A536" s="0" t="s">
        <v>12</v>
      </c>
      <c r="B536" s="0" t="n">
        <v>158993</v>
      </c>
      <c r="C536" s="0" t="n">
        <v>159013</v>
      </c>
      <c r="D536" s="0" t="s">
        <v>1806</v>
      </c>
      <c r="E536" s="0" t="s">
        <v>89</v>
      </c>
      <c r="F536" s="0" t="s">
        <v>15</v>
      </c>
      <c r="G536" s="0" t="s">
        <v>16</v>
      </c>
      <c r="H536" s="0" t="n">
        <v>38</v>
      </c>
      <c r="I536" s="0" t="s">
        <v>1810</v>
      </c>
      <c r="J536" s="0" t="s">
        <v>1811</v>
      </c>
      <c r="K536" s="0" t="s">
        <v>1812</v>
      </c>
      <c r="L536" s="0" t="str">
        <f aca="false">HYPERLINK("https://www.ncbi.nlm.nih.gov/nuccore/CP000304.1?report=graph&amp;tracks=[key:gene_model_track,Options:GeneOnly]&amp;mk=158957:158976|offset_1|444444,158994:159013|offset_38|00cc00,159014:159033|offset_58|444444,159034:159053|offset_78|444444&amp;v=158756:159253&amp;c=444444", "offset 38")</f>
        <v>offset 38</v>
      </c>
    </row>
    <row r="537" customFormat="false" ht="12.8" hidden="false" customHeight="false" outlineLevel="0" collapsed="false">
      <c r="A537" s="0" t="s">
        <v>12</v>
      </c>
      <c r="B537" s="0" t="n">
        <v>159013</v>
      </c>
      <c r="C537" s="0" t="n">
        <v>159033</v>
      </c>
      <c r="D537" s="0" t="s">
        <v>1806</v>
      </c>
      <c r="E537" s="0" t="s">
        <v>89</v>
      </c>
      <c r="F537" s="0" t="s">
        <v>15</v>
      </c>
      <c r="G537" s="0" t="s">
        <v>16</v>
      </c>
      <c r="H537" s="0" t="n">
        <v>58</v>
      </c>
      <c r="I537" s="0" t="s">
        <v>1813</v>
      </c>
      <c r="J537" s="0" t="s">
        <v>1814</v>
      </c>
      <c r="K537" s="0" t="s">
        <v>1815</v>
      </c>
      <c r="L537" s="0" t="str">
        <f aca="false">HYPERLINK("https://www.ncbi.nlm.nih.gov/nuccore/CP000304.1?report=graph&amp;tracks=[key:gene_model_track,Options:GeneOnly]&amp;mk=158957:158976|offset_1|444444,158994:159013|offset_38|444444,159014:159033|offset_58|00cc00,159034:159053|offset_78|444444&amp;v=158756:159253&amp;c=444444", "offset 58")</f>
        <v>offset 58</v>
      </c>
    </row>
    <row r="538" customFormat="false" ht="12.8" hidden="false" customHeight="false" outlineLevel="0" collapsed="false">
      <c r="A538" s="0" t="s">
        <v>12</v>
      </c>
      <c r="B538" s="0" t="n">
        <v>159033</v>
      </c>
      <c r="C538" s="0" t="n">
        <v>159053</v>
      </c>
      <c r="D538" s="0" t="s">
        <v>1806</v>
      </c>
      <c r="E538" s="0" t="s">
        <v>89</v>
      </c>
      <c r="F538" s="0" t="s">
        <v>15</v>
      </c>
      <c r="G538" s="0" t="s">
        <v>16</v>
      </c>
      <c r="H538" s="0" t="n">
        <v>78</v>
      </c>
      <c r="I538" s="0" t="s">
        <v>1816</v>
      </c>
      <c r="J538" s="0" t="s">
        <v>1817</v>
      </c>
      <c r="K538" s="0" t="s">
        <v>1818</v>
      </c>
      <c r="L538" s="0" t="str">
        <f aca="false">HYPERLINK("https://www.ncbi.nlm.nih.gov/nuccore/CP000304.1?report=graph&amp;tracks=[key:gene_model_track,Options:GeneOnly]&amp;mk=158957:158976|offset_1|444444,158994:159013|offset_38|444444,159014:159033|offset_58|444444,159034:159053|offset_78|00cc00&amp;v=158756:159253&amp;c=444444", "offset 78")</f>
        <v>offset 78</v>
      </c>
    </row>
    <row r="539" customFormat="false" ht="12.8" hidden="false" customHeight="false" outlineLevel="0" collapsed="false">
      <c r="A539" s="0" t="s">
        <v>12</v>
      </c>
      <c r="B539" s="0" t="n">
        <v>160199</v>
      </c>
      <c r="C539" s="0" t="n">
        <v>160219</v>
      </c>
      <c r="D539" s="0" t="s">
        <v>1819</v>
      </c>
      <c r="E539" s="0" t="s">
        <v>89</v>
      </c>
      <c r="F539" s="0" t="s">
        <v>15</v>
      </c>
      <c r="G539" s="0" t="s">
        <v>32</v>
      </c>
      <c r="H539" s="0" t="n">
        <v>12</v>
      </c>
      <c r="I539" s="0" t="s">
        <v>1820</v>
      </c>
      <c r="J539" s="0" t="s">
        <v>1821</v>
      </c>
      <c r="K539" s="0" t="s">
        <v>1822</v>
      </c>
      <c r="L539" s="0" t="str">
        <f aca="false">HYPERLINK("https://www.ncbi.nlm.nih.gov/nuccore/CP000304.1?report=graph&amp;tracks=[key:gene_model_track,Options:GeneOnly]&amp;mk=160200:160219|offset_12|00cc00,160223:160242|offset_35|444444,160283:160302|offset_95|444444,160326:160345|offset_138|444444&amp;v=159999:160545&amp;c=444444", "offset 12")</f>
        <v>offset 12</v>
      </c>
    </row>
    <row r="540" customFormat="false" ht="12.8" hidden="false" customHeight="false" outlineLevel="0" collapsed="false">
      <c r="A540" s="0" t="s">
        <v>12</v>
      </c>
      <c r="B540" s="0" t="n">
        <v>160222</v>
      </c>
      <c r="C540" s="0" t="n">
        <v>160242</v>
      </c>
      <c r="D540" s="0" t="s">
        <v>1819</v>
      </c>
      <c r="E540" s="0" t="s">
        <v>89</v>
      </c>
      <c r="F540" s="0" t="s">
        <v>15</v>
      </c>
      <c r="G540" s="0" t="s">
        <v>32</v>
      </c>
      <c r="H540" s="0" t="n">
        <v>35</v>
      </c>
      <c r="I540" s="0" t="s">
        <v>1823</v>
      </c>
      <c r="J540" s="0" t="s">
        <v>1824</v>
      </c>
      <c r="K540" s="0" t="s">
        <v>1825</v>
      </c>
      <c r="L540" s="0" t="str">
        <f aca="false">HYPERLINK("https://www.ncbi.nlm.nih.gov/nuccore/CP000304.1?report=graph&amp;tracks=[key:gene_model_track,Options:GeneOnly]&amp;mk=160200:160219|offset_12|444444,160223:160242|offset_35|00cc00,160283:160302|offset_95|444444,160326:160345|offset_138|444444&amp;v=159999:160545&amp;c=444444", "offset 35")</f>
        <v>offset 35</v>
      </c>
    </row>
    <row r="541" customFormat="false" ht="12.8" hidden="false" customHeight="false" outlineLevel="0" collapsed="false">
      <c r="A541" s="0" t="s">
        <v>12</v>
      </c>
      <c r="B541" s="0" t="n">
        <v>160282</v>
      </c>
      <c r="C541" s="0" t="n">
        <v>160302</v>
      </c>
      <c r="D541" s="0" t="s">
        <v>1819</v>
      </c>
      <c r="E541" s="0" t="s">
        <v>89</v>
      </c>
      <c r="F541" s="0" t="s">
        <v>15</v>
      </c>
      <c r="G541" s="0" t="s">
        <v>32</v>
      </c>
      <c r="H541" s="0" t="n">
        <v>95</v>
      </c>
      <c r="I541" s="0" t="s">
        <v>1826</v>
      </c>
      <c r="J541" s="0" t="s">
        <v>1827</v>
      </c>
      <c r="K541" s="0" t="s">
        <v>1828</v>
      </c>
      <c r="L541" s="0" t="str">
        <f aca="false">HYPERLINK("https://www.ncbi.nlm.nih.gov/nuccore/CP000304.1?report=graph&amp;tracks=[key:gene_model_track,Options:GeneOnly]&amp;mk=160200:160219|offset_12|444444,160223:160242|offset_35|444444,160283:160302|offset_95|00cc00,160326:160345|offset_138|444444&amp;v=159999:160545&amp;c=444444", "offset 95")</f>
        <v>offset 95</v>
      </c>
    </row>
    <row r="542" customFormat="false" ht="12.8" hidden="false" customHeight="false" outlineLevel="0" collapsed="false">
      <c r="A542" s="0" t="s">
        <v>12</v>
      </c>
      <c r="B542" s="0" t="n">
        <v>160325</v>
      </c>
      <c r="C542" s="0" t="n">
        <v>160345</v>
      </c>
      <c r="D542" s="0" t="s">
        <v>1819</v>
      </c>
      <c r="E542" s="0" t="s">
        <v>89</v>
      </c>
      <c r="F542" s="0" t="s">
        <v>15</v>
      </c>
      <c r="G542" s="0" t="s">
        <v>36</v>
      </c>
      <c r="H542" s="0" t="n">
        <v>138</v>
      </c>
      <c r="I542" s="0" t="s">
        <v>1829</v>
      </c>
      <c r="J542" s="0" t="s">
        <v>1830</v>
      </c>
      <c r="K542" s="0" t="s">
        <v>1831</v>
      </c>
      <c r="L542" s="0" t="str">
        <f aca="false">HYPERLINK("https://www.ncbi.nlm.nih.gov/nuccore/CP000304.1?report=graph&amp;tracks=[key:gene_model_track,Options:GeneOnly]&amp;mk=160200:160219|offset_12|444444,160223:160242|offset_35|444444,160283:160302|offset_95|444444,160326:160345|offset_138|00cc00&amp;v=159999:160545&amp;c=444444", "offset 138")</f>
        <v>offset 138</v>
      </c>
    </row>
    <row r="543" customFormat="false" ht="12.8" hidden="false" customHeight="false" outlineLevel="0" collapsed="false">
      <c r="A543" s="0" t="s">
        <v>12</v>
      </c>
      <c r="B543" s="0" t="n">
        <v>160824</v>
      </c>
      <c r="C543" s="0" t="n">
        <v>160844</v>
      </c>
      <c r="D543" s="0" t="s">
        <v>1832</v>
      </c>
      <c r="E543" s="0" t="s">
        <v>89</v>
      </c>
      <c r="F543" s="0" t="s">
        <v>15</v>
      </c>
      <c r="G543" s="0" t="s">
        <v>36</v>
      </c>
      <c r="H543" s="0" t="n">
        <v>0</v>
      </c>
      <c r="I543" s="0" t="s">
        <v>1833</v>
      </c>
      <c r="J543" s="0" t="s">
        <v>1834</v>
      </c>
      <c r="K543" s="0" t="s">
        <v>1835</v>
      </c>
      <c r="L543" s="0" t="str">
        <f aca="false">HYPERLINK("https://www.ncbi.nlm.nih.gov/nuccore/CP000304.1?report=graph&amp;tracks=[key:gene_model_track,Options:GeneOnly]&amp;mk=160825:160844|offset_0|00cc00,160851:160870|offset_26|444444,160872:160891|offset_47|444444,160893:160912|offset_68|444444&amp;v=160624:161112&amp;c=444444", "offset 0")</f>
        <v>offset 0</v>
      </c>
    </row>
    <row r="544" customFormat="false" ht="12.8" hidden="false" customHeight="false" outlineLevel="0" collapsed="false">
      <c r="A544" s="0" t="s">
        <v>12</v>
      </c>
      <c r="B544" s="0" t="n">
        <v>160850</v>
      </c>
      <c r="C544" s="0" t="n">
        <v>160870</v>
      </c>
      <c r="D544" s="0" t="s">
        <v>1832</v>
      </c>
      <c r="E544" s="0" t="s">
        <v>89</v>
      </c>
      <c r="F544" s="0" t="s">
        <v>15</v>
      </c>
      <c r="G544" s="0" t="s">
        <v>26</v>
      </c>
      <c r="H544" s="0" t="n">
        <v>26</v>
      </c>
      <c r="I544" s="0" t="s">
        <v>1836</v>
      </c>
      <c r="J544" s="0" t="s">
        <v>1837</v>
      </c>
      <c r="K544" s="0" t="s">
        <v>1838</v>
      </c>
      <c r="L544" s="0" t="str">
        <f aca="false">HYPERLINK("https://www.ncbi.nlm.nih.gov/nuccore/CP000304.1?report=graph&amp;tracks=[key:gene_model_track,Options:GeneOnly]&amp;mk=160825:160844|offset_0|444444,160851:160870|offset_26|00cc00,160872:160891|offset_47|444444,160893:160912|offset_68|444444&amp;v=160624:161112&amp;c=444444", "offset 26")</f>
        <v>offset 26</v>
      </c>
    </row>
    <row r="545" customFormat="false" ht="12.8" hidden="false" customHeight="false" outlineLevel="0" collapsed="false">
      <c r="A545" s="0" t="s">
        <v>12</v>
      </c>
      <c r="B545" s="0" t="n">
        <v>160871</v>
      </c>
      <c r="C545" s="0" t="n">
        <v>160891</v>
      </c>
      <c r="D545" s="0" t="s">
        <v>1832</v>
      </c>
      <c r="E545" s="0" t="s">
        <v>89</v>
      </c>
      <c r="F545" s="0" t="s">
        <v>15</v>
      </c>
      <c r="G545" s="0" t="s">
        <v>26</v>
      </c>
      <c r="H545" s="0" t="n">
        <v>47</v>
      </c>
      <c r="I545" s="0" t="s">
        <v>1839</v>
      </c>
      <c r="J545" s="0" t="s">
        <v>1840</v>
      </c>
      <c r="K545" s="0" t="s">
        <v>1841</v>
      </c>
      <c r="L545" s="0" t="str">
        <f aca="false">HYPERLINK("https://www.ncbi.nlm.nih.gov/nuccore/CP000304.1?report=graph&amp;tracks=[key:gene_model_track,Options:GeneOnly]&amp;mk=160825:160844|offset_0|444444,160851:160870|offset_26|444444,160872:160891|offset_47|00cc00,160893:160912|offset_68|444444&amp;v=160624:161112&amp;c=444444", "offset 47")</f>
        <v>offset 47</v>
      </c>
    </row>
    <row r="546" customFormat="false" ht="12.8" hidden="false" customHeight="false" outlineLevel="0" collapsed="false">
      <c r="A546" s="0" t="s">
        <v>12</v>
      </c>
      <c r="B546" s="0" t="n">
        <v>160892</v>
      </c>
      <c r="C546" s="0" t="n">
        <v>160912</v>
      </c>
      <c r="D546" s="0" t="s">
        <v>1832</v>
      </c>
      <c r="E546" s="0" t="s">
        <v>89</v>
      </c>
      <c r="F546" s="0" t="s">
        <v>15</v>
      </c>
      <c r="G546" s="0" t="s">
        <v>16</v>
      </c>
      <c r="H546" s="0" t="n">
        <v>68</v>
      </c>
      <c r="I546" s="0" t="s">
        <v>1842</v>
      </c>
      <c r="J546" s="0" t="s">
        <v>1843</v>
      </c>
      <c r="K546" s="0" t="s">
        <v>1844</v>
      </c>
      <c r="L546" s="0" t="str">
        <f aca="false">HYPERLINK("https://www.ncbi.nlm.nih.gov/nuccore/CP000304.1?report=graph&amp;tracks=[key:gene_model_track,Options:GeneOnly]&amp;mk=160825:160844|offset_0|444444,160851:160870|offset_26|444444,160872:160891|offset_47|444444,160893:160912|offset_68|00cc00&amp;v=160624:161112&amp;c=444444", "offset 68")</f>
        <v>offset 68</v>
      </c>
    </row>
    <row r="547" customFormat="false" ht="12.8" hidden="false" customHeight="false" outlineLevel="0" collapsed="false">
      <c r="A547" s="0" t="s">
        <v>12</v>
      </c>
      <c r="B547" s="0" t="n">
        <v>162754</v>
      </c>
      <c r="C547" s="0" t="n">
        <v>162774</v>
      </c>
      <c r="D547" s="0" t="s">
        <v>1845</v>
      </c>
      <c r="E547" s="0" t="s">
        <v>89</v>
      </c>
      <c r="F547" s="0" t="s">
        <v>90</v>
      </c>
      <c r="G547" s="0" t="s">
        <v>32</v>
      </c>
      <c r="H547" s="0" t="n">
        <v>1</v>
      </c>
      <c r="I547" s="0" t="s">
        <v>1846</v>
      </c>
      <c r="J547" s="0" t="s">
        <v>1847</v>
      </c>
      <c r="K547" s="0" t="s">
        <v>1848</v>
      </c>
      <c r="L547" s="0" t="str">
        <f aca="false">HYPERLINK("https://www.ncbi.nlm.nih.gov/nuccore/CP000304.1?report=graph&amp;tracks=[key:gene_model_track,Options:GeneOnly]&amp;mk=162755:162774|offset_1|00cc00,162730:162749|offset_26|444444,162704:162723|offset_52|444444,162672:162691|offset_84|444444&amp;v=162554:162891&amp;c=444444", "offset 1")</f>
        <v>offset 1</v>
      </c>
    </row>
    <row r="548" customFormat="false" ht="12.8" hidden="false" customHeight="false" outlineLevel="0" collapsed="false">
      <c r="A548" s="0" t="s">
        <v>12</v>
      </c>
      <c r="B548" s="0" t="n">
        <v>162729</v>
      </c>
      <c r="C548" s="0" t="n">
        <v>162749</v>
      </c>
      <c r="D548" s="0" t="s">
        <v>1845</v>
      </c>
      <c r="E548" s="0" t="s">
        <v>89</v>
      </c>
      <c r="F548" s="0" t="s">
        <v>90</v>
      </c>
      <c r="G548" s="0" t="s">
        <v>16</v>
      </c>
      <c r="H548" s="0" t="n">
        <v>26</v>
      </c>
      <c r="I548" s="0" t="s">
        <v>1849</v>
      </c>
      <c r="J548" s="0" t="s">
        <v>1850</v>
      </c>
      <c r="K548" s="0" t="s">
        <v>1851</v>
      </c>
      <c r="L548" s="0" t="str">
        <f aca="false">HYPERLINK("https://www.ncbi.nlm.nih.gov/nuccore/CP000304.1?report=graph&amp;tracks=[key:gene_model_track,Options:GeneOnly]&amp;mk=162755:162774|offset_1|444444,162730:162749|offset_26|00cc00,162704:162723|offset_52|444444,162672:162691|offset_84|444444&amp;v=162554:162891&amp;c=444444", "offset 26")</f>
        <v>offset 26</v>
      </c>
    </row>
    <row r="549" customFormat="false" ht="12.8" hidden="false" customHeight="false" outlineLevel="0" collapsed="false">
      <c r="A549" s="0" t="s">
        <v>12</v>
      </c>
      <c r="B549" s="0" t="n">
        <v>162703</v>
      </c>
      <c r="C549" s="0" t="n">
        <v>162723</v>
      </c>
      <c r="D549" s="0" t="s">
        <v>1845</v>
      </c>
      <c r="E549" s="0" t="s">
        <v>89</v>
      </c>
      <c r="F549" s="0" t="s">
        <v>90</v>
      </c>
      <c r="G549" s="0" t="s">
        <v>36</v>
      </c>
      <c r="H549" s="0" t="n">
        <v>52</v>
      </c>
      <c r="I549" s="0" t="s">
        <v>1852</v>
      </c>
      <c r="J549" s="0" t="s">
        <v>1853</v>
      </c>
      <c r="K549" s="0" t="s">
        <v>1854</v>
      </c>
      <c r="L549" s="0" t="str">
        <f aca="false">HYPERLINK("https://www.ncbi.nlm.nih.gov/nuccore/CP000304.1?report=graph&amp;tracks=[key:gene_model_track,Options:GeneOnly]&amp;mk=162755:162774|offset_1|444444,162730:162749|offset_26|444444,162704:162723|offset_52|00cc00,162672:162691|offset_84|444444&amp;v=162554:162891&amp;c=444444", "offset 52")</f>
        <v>offset 52</v>
      </c>
    </row>
    <row r="550" customFormat="false" ht="12.8" hidden="false" customHeight="false" outlineLevel="0" collapsed="false">
      <c r="A550" s="0" t="s">
        <v>12</v>
      </c>
      <c r="B550" s="0" t="n">
        <v>162671</v>
      </c>
      <c r="C550" s="0" t="n">
        <v>162691</v>
      </c>
      <c r="D550" s="0" t="s">
        <v>1845</v>
      </c>
      <c r="E550" s="0" t="s">
        <v>89</v>
      </c>
      <c r="F550" s="0" t="s">
        <v>90</v>
      </c>
      <c r="G550" s="0" t="s">
        <v>36</v>
      </c>
      <c r="H550" s="0" t="n">
        <v>84</v>
      </c>
      <c r="I550" s="0" t="s">
        <v>1855</v>
      </c>
      <c r="J550" s="0" t="s">
        <v>1856</v>
      </c>
      <c r="K550" s="0" t="s">
        <v>1857</v>
      </c>
      <c r="L550" s="0" t="str">
        <f aca="false">HYPERLINK("https://www.ncbi.nlm.nih.gov/nuccore/CP000304.1?report=graph&amp;tracks=[key:gene_model_track,Options:GeneOnly]&amp;mk=162755:162774|offset_1|444444,162730:162749|offset_26|444444,162704:162723|offset_52|444444,162672:162691|offset_84|00cc00&amp;v=162554:162891&amp;c=444444", "offset 84")</f>
        <v>offset 84</v>
      </c>
    </row>
    <row r="551" customFormat="false" ht="12.8" hidden="false" customHeight="false" outlineLevel="0" collapsed="false">
      <c r="A551" s="0" t="s">
        <v>12</v>
      </c>
      <c r="B551" s="0" t="n">
        <v>164184</v>
      </c>
      <c r="C551" s="0" t="n">
        <v>164204</v>
      </c>
      <c r="D551" s="0" t="s">
        <v>1858</v>
      </c>
      <c r="E551" s="0" t="s">
        <v>89</v>
      </c>
      <c r="F551" s="0" t="s">
        <v>90</v>
      </c>
      <c r="G551" s="0" t="s">
        <v>36</v>
      </c>
      <c r="H551" s="0" t="n">
        <v>16</v>
      </c>
      <c r="I551" s="0" t="s">
        <v>1859</v>
      </c>
      <c r="J551" s="0" t="s">
        <v>1860</v>
      </c>
      <c r="K551" s="0" t="s">
        <v>1861</v>
      </c>
      <c r="L551" s="0" t="str">
        <f aca="false">HYPERLINK("https://www.ncbi.nlm.nih.gov/nuccore/CP000304.1?report=graph&amp;tracks=[key:gene_model_track,Options:GeneOnly]&amp;mk=164185:164204|offset_16|00cc00,164165:164184|offset_36|444444,164138:164157|offset_63|444444,164116:164135|offset_85|444444&amp;v=163984:164335&amp;c=444444", "offset 16")</f>
        <v>offset 16</v>
      </c>
    </row>
    <row r="552" customFormat="false" ht="12.8" hidden="false" customHeight="false" outlineLevel="0" collapsed="false">
      <c r="A552" s="0" t="s">
        <v>12</v>
      </c>
      <c r="B552" s="0" t="n">
        <v>164164</v>
      </c>
      <c r="C552" s="0" t="n">
        <v>164184</v>
      </c>
      <c r="D552" s="0" t="s">
        <v>1858</v>
      </c>
      <c r="E552" s="0" t="s">
        <v>89</v>
      </c>
      <c r="F552" s="0" t="s">
        <v>90</v>
      </c>
      <c r="G552" s="0" t="s">
        <v>26</v>
      </c>
      <c r="H552" s="0" t="n">
        <v>36</v>
      </c>
      <c r="I552" s="0" t="s">
        <v>1862</v>
      </c>
      <c r="J552" s="0" t="s">
        <v>1863</v>
      </c>
      <c r="K552" s="0" t="s">
        <v>1864</v>
      </c>
      <c r="L552" s="0" t="str">
        <f aca="false">HYPERLINK("https://www.ncbi.nlm.nih.gov/nuccore/CP000304.1?report=graph&amp;tracks=[key:gene_model_track,Options:GeneOnly]&amp;mk=164185:164204|offset_16|444444,164165:164184|offset_36|00cc00,164138:164157|offset_63|444444,164116:164135|offset_85|444444&amp;v=163984:164335&amp;c=444444", "offset 36")</f>
        <v>offset 36</v>
      </c>
    </row>
    <row r="553" customFormat="false" ht="12.8" hidden="false" customHeight="false" outlineLevel="0" collapsed="false">
      <c r="A553" s="0" t="s">
        <v>12</v>
      </c>
      <c r="B553" s="0" t="n">
        <v>164137</v>
      </c>
      <c r="C553" s="0" t="n">
        <v>164157</v>
      </c>
      <c r="D553" s="0" t="s">
        <v>1858</v>
      </c>
      <c r="E553" s="0" t="s">
        <v>89</v>
      </c>
      <c r="F553" s="0" t="s">
        <v>90</v>
      </c>
      <c r="G553" s="0" t="s">
        <v>16</v>
      </c>
      <c r="H553" s="0" t="n">
        <v>63</v>
      </c>
      <c r="I553" s="0" t="s">
        <v>1865</v>
      </c>
      <c r="J553" s="0" t="s">
        <v>1866</v>
      </c>
      <c r="K553" s="0" t="s">
        <v>1867</v>
      </c>
      <c r="L553" s="0" t="str">
        <f aca="false">HYPERLINK("https://www.ncbi.nlm.nih.gov/nuccore/CP000304.1?report=graph&amp;tracks=[key:gene_model_track,Options:GeneOnly]&amp;mk=164185:164204|offset_16|444444,164165:164184|offset_36|444444,164138:164157|offset_63|00cc00,164116:164135|offset_85|444444&amp;v=163984:164335&amp;c=444444", "offset 63")</f>
        <v>offset 63</v>
      </c>
    </row>
    <row r="554" customFormat="false" ht="12.8" hidden="false" customHeight="false" outlineLevel="0" collapsed="false">
      <c r="A554" s="0" t="s">
        <v>12</v>
      </c>
      <c r="B554" s="0" t="n">
        <v>164115</v>
      </c>
      <c r="C554" s="0" t="n">
        <v>164135</v>
      </c>
      <c r="D554" s="0" t="s">
        <v>1858</v>
      </c>
      <c r="E554" s="0" t="s">
        <v>89</v>
      </c>
      <c r="F554" s="0" t="s">
        <v>90</v>
      </c>
      <c r="G554" s="0" t="s">
        <v>36</v>
      </c>
      <c r="H554" s="0" t="n">
        <v>85</v>
      </c>
      <c r="I554" s="0" t="s">
        <v>1868</v>
      </c>
      <c r="J554" s="0" t="s">
        <v>1869</v>
      </c>
      <c r="K554" s="0" t="s">
        <v>1870</v>
      </c>
      <c r="L554" s="0" t="str">
        <f aca="false">HYPERLINK("https://www.ncbi.nlm.nih.gov/nuccore/CP000304.1?report=graph&amp;tracks=[key:gene_model_track,Options:GeneOnly]&amp;mk=164185:164204|offset_16|444444,164165:164184|offset_36|444444,164138:164157|offset_63|444444,164116:164135|offset_85|00cc00&amp;v=163984:164335&amp;c=444444", "offset 85")</f>
        <v>offset 85</v>
      </c>
    </row>
    <row r="555" customFormat="false" ht="12.8" hidden="false" customHeight="false" outlineLevel="0" collapsed="false">
      <c r="A555" s="0" t="s">
        <v>12</v>
      </c>
      <c r="B555" s="0" t="n">
        <v>165882</v>
      </c>
      <c r="C555" s="0" t="n">
        <v>165902</v>
      </c>
      <c r="D555" s="0" t="s">
        <v>1871</v>
      </c>
      <c r="E555" s="0" t="s">
        <v>89</v>
      </c>
      <c r="F555" s="0" t="s">
        <v>90</v>
      </c>
      <c r="G555" s="0" t="s">
        <v>36</v>
      </c>
      <c r="H555" s="0" t="n">
        <v>30</v>
      </c>
      <c r="I555" s="0" t="s">
        <v>1872</v>
      </c>
      <c r="J555" s="0" t="s">
        <v>1873</v>
      </c>
      <c r="K555" s="0" t="s">
        <v>1874</v>
      </c>
      <c r="L555" s="0" t="str">
        <f aca="false">HYPERLINK("https://www.ncbi.nlm.nih.gov/nuccore/CP000304.1?report=graph&amp;tracks=[key:gene_model_track,Options:GeneOnly]&amp;mk=165883:165902|offset_30|00cc00,165849:165868|offset_64|444444,165825:165844|offset_88|444444,165797:165816|offset_116|444444&amp;v=165682:166016&amp;c=444444", "offset 30")</f>
        <v>offset 30</v>
      </c>
    </row>
    <row r="556" customFormat="false" ht="12.8" hidden="false" customHeight="false" outlineLevel="0" collapsed="false">
      <c r="A556" s="0" t="s">
        <v>12</v>
      </c>
      <c r="B556" s="0" t="n">
        <v>165848</v>
      </c>
      <c r="C556" s="0" t="n">
        <v>165868</v>
      </c>
      <c r="D556" s="0" t="s">
        <v>1871</v>
      </c>
      <c r="E556" s="0" t="s">
        <v>89</v>
      </c>
      <c r="F556" s="0" t="s">
        <v>90</v>
      </c>
      <c r="G556" s="0" t="s">
        <v>16</v>
      </c>
      <c r="H556" s="0" t="n">
        <v>64</v>
      </c>
      <c r="I556" s="0" t="s">
        <v>1875</v>
      </c>
      <c r="J556" s="0" t="s">
        <v>1876</v>
      </c>
      <c r="K556" s="0" t="s">
        <v>1877</v>
      </c>
      <c r="L556" s="0" t="str">
        <f aca="false">HYPERLINK("https://www.ncbi.nlm.nih.gov/nuccore/CP000304.1?report=graph&amp;tracks=[key:gene_model_track,Options:GeneOnly]&amp;mk=165883:165902|offset_30|444444,165849:165868|offset_64|00cc00,165825:165844|offset_88|444444,165797:165816|offset_116|444444&amp;v=165682:166016&amp;c=444444", "offset 64")</f>
        <v>offset 64</v>
      </c>
    </row>
    <row r="557" customFormat="false" ht="12.8" hidden="false" customHeight="false" outlineLevel="0" collapsed="false">
      <c r="A557" s="0" t="s">
        <v>12</v>
      </c>
      <c r="B557" s="0" t="n">
        <v>165824</v>
      </c>
      <c r="C557" s="0" t="n">
        <v>165844</v>
      </c>
      <c r="D557" s="0" t="s">
        <v>1871</v>
      </c>
      <c r="E557" s="0" t="s">
        <v>89</v>
      </c>
      <c r="F557" s="0" t="s">
        <v>90</v>
      </c>
      <c r="G557" s="0" t="s">
        <v>36</v>
      </c>
      <c r="H557" s="0" t="n">
        <v>88</v>
      </c>
      <c r="I557" s="0" t="s">
        <v>1878</v>
      </c>
      <c r="J557" s="0" t="s">
        <v>1879</v>
      </c>
      <c r="K557" s="0" t="s">
        <v>1880</v>
      </c>
      <c r="L557" s="0" t="str">
        <f aca="false">HYPERLINK("https://www.ncbi.nlm.nih.gov/nuccore/CP000304.1?report=graph&amp;tracks=[key:gene_model_track,Options:GeneOnly]&amp;mk=165883:165902|offset_30|444444,165849:165868|offset_64|444444,165825:165844|offset_88|00cc00,165797:165816|offset_116|444444&amp;v=165682:166016&amp;c=444444", "offset 88")</f>
        <v>offset 88</v>
      </c>
    </row>
    <row r="558" customFormat="false" ht="12.8" hidden="false" customHeight="false" outlineLevel="0" collapsed="false">
      <c r="A558" s="0" t="s">
        <v>12</v>
      </c>
      <c r="B558" s="0" t="n">
        <v>165796</v>
      </c>
      <c r="C558" s="0" t="n">
        <v>165816</v>
      </c>
      <c r="D558" s="0" t="s">
        <v>1871</v>
      </c>
      <c r="E558" s="0" t="s">
        <v>89</v>
      </c>
      <c r="F558" s="0" t="s">
        <v>90</v>
      </c>
      <c r="G558" s="0" t="s">
        <v>26</v>
      </c>
      <c r="H558" s="0" t="n">
        <v>116</v>
      </c>
      <c r="I558" s="0" t="s">
        <v>1881</v>
      </c>
      <c r="J558" s="0" t="s">
        <v>1882</v>
      </c>
      <c r="K558" s="0" t="s">
        <v>1883</v>
      </c>
      <c r="L558" s="0" t="str">
        <f aca="false">HYPERLINK("https://www.ncbi.nlm.nih.gov/nuccore/CP000304.1?report=graph&amp;tracks=[key:gene_model_track,Options:GeneOnly]&amp;mk=165883:165902|offset_30|444444,165849:165868|offset_64|444444,165825:165844|offset_88|444444,165797:165816|offset_116|00cc00&amp;v=165682:166016&amp;c=444444", "offset 116")</f>
        <v>offset 116</v>
      </c>
    </row>
    <row r="559" customFormat="false" ht="12.8" hidden="false" customHeight="false" outlineLevel="0" collapsed="false">
      <c r="A559" s="0" t="s">
        <v>12</v>
      </c>
      <c r="B559" s="0" t="n">
        <v>165966</v>
      </c>
      <c r="C559" s="0" t="n">
        <v>165986</v>
      </c>
      <c r="D559" s="0" t="s">
        <v>1884</v>
      </c>
      <c r="E559" s="0" t="s">
        <v>89</v>
      </c>
      <c r="F559" s="0" t="s">
        <v>15</v>
      </c>
      <c r="G559" s="0" t="s">
        <v>36</v>
      </c>
      <c r="H559" s="0" t="n">
        <v>11</v>
      </c>
      <c r="I559" s="0" t="s">
        <v>1885</v>
      </c>
      <c r="J559" s="0" t="s">
        <v>1886</v>
      </c>
      <c r="K559" s="0" t="s">
        <v>1887</v>
      </c>
      <c r="L559" s="0" t="str">
        <f aca="false">HYPERLINK("https://www.ncbi.nlm.nih.gov/nuccore/CP000304.1?report=graph&amp;tracks=[key:gene_model_track,Options:GeneOnly]&amp;mk=165967:165986|offset_11|00cc00,165999:166018|offset_43|444444,166035:166054|offset_79|444444,166069:166088|offset_113|444444&amp;v=165766:166288&amp;c=444444", "offset 11")</f>
        <v>offset 11</v>
      </c>
    </row>
    <row r="560" customFormat="false" ht="12.8" hidden="false" customHeight="false" outlineLevel="0" collapsed="false">
      <c r="A560" s="0" t="s">
        <v>12</v>
      </c>
      <c r="B560" s="0" t="n">
        <v>165998</v>
      </c>
      <c r="C560" s="0" t="n">
        <v>166018</v>
      </c>
      <c r="D560" s="0" t="s">
        <v>1884</v>
      </c>
      <c r="E560" s="0" t="s">
        <v>89</v>
      </c>
      <c r="F560" s="0" t="s">
        <v>15</v>
      </c>
      <c r="G560" s="0" t="s">
        <v>16</v>
      </c>
      <c r="H560" s="0" t="n">
        <v>43</v>
      </c>
      <c r="I560" s="0" t="s">
        <v>1888</v>
      </c>
      <c r="J560" s="0" t="s">
        <v>1889</v>
      </c>
      <c r="K560" s="0" t="s">
        <v>1890</v>
      </c>
      <c r="L560" s="0" t="str">
        <f aca="false">HYPERLINK("https://www.ncbi.nlm.nih.gov/nuccore/CP000304.1?report=graph&amp;tracks=[key:gene_model_track,Options:GeneOnly]&amp;mk=165967:165986|offset_11|444444,165999:166018|offset_43|00cc00,166035:166054|offset_79|444444,166069:166088|offset_113|444444&amp;v=165766:166288&amp;c=444444", "offset 43")</f>
        <v>offset 43</v>
      </c>
    </row>
    <row r="561" customFormat="false" ht="12.8" hidden="false" customHeight="false" outlineLevel="0" collapsed="false">
      <c r="A561" s="0" t="s">
        <v>12</v>
      </c>
      <c r="B561" s="0" t="n">
        <v>166034</v>
      </c>
      <c r="C561" s="0" t="n">
        <v>166054</v>
      </c>
      <c r="D561" s="0" t="s">
        <v>1884</v>
      </c>
      <c r="E561" s="0" t="s">
        <v>89</v>
      </c>
      <c r="F561" s="0" t="s">
        <v>15</v>
      </c>
      <c r="G561" s="0" t="s">
        <v>16</v>
      </c>
      <c r="H561" s="0" t="n">
        <v>79</v>
      </c>
      <c r="I561" s="0" t="s">
        <v>1891</v>
      </c>
      <c r="J561" s="0" t="s">
        <v>1892</v>
      </c>
      <c r="K561" s="0" t="s">
        <v>1893</v>
      </c>
      <c r="L561" s="0" t="str">
        <f aca="false">HYPERLINK("https://www.ncbi.nlm.nih.gov/nuccore/CP000304.1?report=graph&amp;tracks=[key:gene_model_track,Options:GeneOnly]&amp;mk=165967:165986|offset_11|444444,165999:166018|offset_43|444444,166035:166054|offset_79|00cc00,166069:166088|offset_113|444444&amp;v=165766:166288&amp;c=444444", "offset 79")</f>
        <v>offset 79</v>
      </c>
    </row>
    <row r="562" customFormat="false" ht="12.8" hidden="false" customHeight="false" outlineLevel="0" collapsed="false">
      <c r="A562" s="0" t="s">
        <v>12</v>
      </c>
      <c r="B562" s="0" t="n">
        <v>166068</v>
      </c>
      <c r="C562" s="0" t="n">
        <v>166088</v>
      </c>
      <c r="D562" s="0" t="s">
        <v>1884</v>
      </c>
      <c r="E562" s="0" t="s">
        <v>89</v>
      </c>
      <c r="F562" s="0" t="s">
        <v>15</v>
      </c>
      <c r="G562" s="0" t="s">
        <v>32</v>
      </c>
      <c r="H562" s="0" t="n">
        <v>113</v>
      </c>
      <c r="I562" s="0" t="s">
        <v>1894</v>
      </c>
      <c r="J562" s="0" t="s">
        <v>1895</v>
      </c>
      <c r="K562" s="0" t="s">
        <v>1896</v>
      </c>
      <c r="L562" s="0" t="str">
        <f aca="false">HYPERLINK("https://www.ncbi.nlm.nih.gov/nuccore/CP000304.1?report=graph&amp;tracks=[key:gene_model_track,Options:GeneOnly]&amp;mk=165967:165986|offset_11|444444,165999:166018|offset_43|444444,166035:166054|offset_79|444444,166069:166088|offset_113|00cc00&amp;v=165766:166288&amp;c=444444", "offset 113")</f>
        <v>offset 113</v>
      </c>
    </row>
    <row r="563" customFormat="false" ht="12.8" hidden="false" customHeight="false" outlineLevel="0" collapsed="false">
      <c r="A563" s="0" t="s">
        <v>12</v>
      </c>
      <c r="B563" s="0" t="n">
        <v>167225</v>
      </c>
      <c r="C563" s="0" t="n">
        <v>167245</v>
      </c>
      <c r="D563" s="0" t="s">
        <v>1897</v>
      </c>
      <c r="E563" s="0" t="s">
        <v>89</v>
      </c>
      <c r="F563" s="0" t="s">
        <v>15</v>
      </c>
      <c r="G563" s="0" t="s">
        <v>26</v>
      </c>
      <c r="H563" s="0" t="n">
        <v>11</v>
      </c>
      <c r="I563" s="0" t="s">
        <v>1898</v>
      </c>
      <c r="J563" s="0" t="s">
        <v>1899</v>
      </c>
      <c r="K563" s="0" t="s">
        <v>1900</v>
      </c>
      <c r="L563" s="0" t="str">
        <f aca="false">HYPERLINK("https://www.ncbi.nlm.nih.gov/nuccore/CP000304.1?report=graph&amp;tracks=[key:gene_model_track,Options:GeneOnly]&amp;mk=167226:167245|offset_11|00cc00,167271:167290|offset_56|444444,167310:167329|offset_95|444444,167333:167352|offset_118|444444&amp;v=167025:167552&amp;c=444444", "offset 11")</f>
        <v>offset 11</v>
      </c>
    </row>
    <row r="564" customFormat="false" ht="12.8" hidden="false" customHeight="false" outlineLevel="0" collapsed="false">
      <c r="A564" s="0" t="s">
        <v>12</v>
      </c>
      <c r="B564" s="0" t="n">
        <v>167270</v>
      </c>
      <c r="C564" s="0" t="n">
        <v>167290</v>
      </c>
      <c r="D564" s="0" t="s">
        <v>1897</v>
      </c>
      <c r="E564" s="0" t="s">
        <v>89</v>
      </c>
      <c r="F564" s="0" t="s">
        <v>15</v>
      </c>
      <c r="G564" s="0" t="s">
        <v>26</v>
      </c>
      <c r="H564" s="0" t="n">
        <v>56</v>
      </c>
      <c r="I564" s="0" t="s">
        <v>1901</v>
      </c>
      <c r="J564" s="0" t="s">
        <v>1902</v>
      </c>
      <c r="K564" s="0" t="s">
        <v>1903</v>
      </c>
      <c r="L564" s="0" t="str">
        <f aca="false">HYPERLINK("https://www.ncbi.nlm.nih.gov/nuccore/CP000304.1?report=graph&amp;tracks=[key:gene_model_track,Options:GeneOnly]&amp;mk=167226:167245|offset_11|444444,167271:167290|offset_56|00cc00,167310:167329|offset_95|444444,167333:167352|offset_118|444444&amp;v=167025:167552&amp;c=444444", "offset 56")</f>
        <v>offset 56</v>
      </c>
    </row>
    <row r="565" customFormat="false" ht="12.8" hidden="false" customHeight="false" outlineLevel="0" collapsed="false">
      <c r="A565" s="0" t="s">
        <v>12</v>
      </c>
      <c r="B565" s="0" t="n">
        <v>167309</v>
      </c>
      <c r="C565" s="0" t="n">
        <v>167329</v>
      </c>
      <c r="D565" s="0" t="s">
        <v>1897</v>
      </c>
      <c r="E565" s="0" t="s">
        <v>89</v>
      </c>
      <c r="F565" s="0" t="s">
        <v>15</v>
      </c>
      <c r="G565" s="0" t="s">
        <v>26</v>
      </c>
      <c r="H565" s="0" t="n">
        <v>95</v>
      </c>
      <c r="I565" s="0" t="s">
        <v>1904</v>
      </c>
      <c r="J565" s="0" t="s">
        <v>1905</v>
      </c>
      <c r="K565" s="0" t="s">
        <v>1906</v>
      </c>
      <c r="L565" s="0" t="str">
        <f aca="false">HYPERLINK("https://www.ncbi.nlm.nih.gov/nuccore/CP000304.1?report=graph&amp;tracks=[key:gene_model_track,Options:GeneOnly]&amp;mk=167226:167245|offset_11|444444,167271:167290|offset_56|444444,167310:167329|offset_95|00cc00,167333:167352|offset_118|444444&amp;v=167025:167552&amp;c=444444", "offset 95")</f>
        <v>offset 95</v>
      </c>
    </row>
    <row r="566" customFormat="false" ht="12.8" hidden="false" customHeight="false" outlineLevel="0" collapsed="false">
      <c r="A566" s="0" t="s">
        <v>12</v>
      </c>
      <c r="B566" s="0" t="n">
        <v>167332</v>
      </c>
      <c r="C566" s="0" t="n">
        <v>167352</v>
      </c>
      <c r="D566" s="0" t="s">
        <v>1897</v>
      </c>
      <c r="E566" s="0" t="s">
        <v>89</v>
      </c>
      <c r="F566" s="0" t="s">
        <v>15</v>
      </c>
      <c r="G566" s="0" t="s">
        <v>16</v>
      </c>
      <c r="H566" s="0" t="n">
        <v>118</v>
      </c>
      <c r="I566" s="0" t="s">
        <v>1907</v>
      </c>
      <c r="J566" s="0" t="s">
        <v>1908</v>
      </c>
      <c r="K566" s="0" t="s">
        <v>1909</v>
      </c>
      <c r="L566" s="0" t="str">
        <f aca="false">HYPERLINK("https://www.ncbi.nlm.nih.gov/nuccore/CP000304.1?report=graph&amp;tracks=[key:gene_model_track,Options:GeneOnly]&amp;mk=167226:167245|offset_11|444444,167271:167290|offset_56|444444,167310:167329|offset_95|444444,167333:167352|offset_118|00cc00&amp;v=167025:167552&amp;c=444444", "offset 118")</f>
        <v>offset 118</v>
      </c>
    </row>
    <row r="567" customFormat="false" ht="12.8" hidden="false" customHeight="false" outlineLevel="0" collapsed="false">
      <c r="A567" s="0" t="s">
        <v>12</v>
      </c>
      <c r="B567" s="0" t="n">
        <v>171127</v>
      </c>
      <c r="C567" s="0" t="n">
        <v>171147</v>
      </c>
      <c r="D567" s="0" t="s">
        <v>1910</v>
      </c>
      <c r="E567" s="0" t="s">
        <v>89</v>
      </c>
      <c r="F567" s="0" t="s">
        <v>90</v>
      </c>
      <c r="G567" s="0" t="s">
        <v>36</v>
      </c>
      <c r="H567" s="0" t="n">
        <v>6</v>
      </c>
      <c r="I567" s="0" t="s">
        <v>1911</v>
      </c>
      <c r="J567" s="0" t="s">
        <v>1912</v>
      </c>
      <c r="K567" s="0" t="s">
        <v>1913</v>
      </c>
      <c r="L567" s="0" t="str">
        <f aca="false">HYPERLINK("https://www.ncbi.nlm.nih.gov/nuccore/CP000304.1?report=graph&amp;tracks=[key:gene_model_track,Options:GeneOnly]&amp;mk=171128:171147|offset_6|00cc00,171107:171126|offset_27|444444,171073:171092|offset_61|444444,171040:171059|offset_94|444444&amp;v=170927:171259&amp;c=444444", "offset 6")</f>
        <v>offset 6</v>
      </c>
    </row>
    <row r="568" customFormat="false" ht="12.8" hidden="false" customHeight="false" outlineLevel="0" collapsed="false">
      <c r="A568" s="0" t="s">
        <v>12</v>
      </c>
      <c r="B568" s="0" t="n">
        <v>171106</v>
      </c>
      <c r="C568" s="0" t="n">
        <v>171126</v>
      </c>
      <c r="D568" s="0" t="s">
        <v>1910</v>
      </c>
      <c r="E568" s="0" t="s">
        <v>89</v>
      </c>
      <c r="F568" s="0" t="s">
        <v>90</v>
      </c>
      <c r="G568" s="0" t="s">
        <v>16</v>
      </c>
      <c r="H568" s="0" t="n">
        <v>27</v>
      </c>
      <c r="I568" s="0" t="s">
        <v>1914</v>
      </c>
      <c r="J568" s="0" t="s">
        <v>1915</v>
      </c>
      <c r="K568" s="0" t="s">
        <v>1916</v>
      </c>
      <c r="L568" s="0" t="str">
        <f aca="false">HYPERLINK("https://www.ncbi.nlm.nih.gov/nuccore/CP000304.1?report=graph&amp;tracks=[key:gene_model_track,Options:GeneOnly]&amp;mk=171128:171147|offset_6|444444,171107:171126|offset_27|00cc00,171073:171092|offset_61|444444,171040:171059|offset_94|444444&amp;v=170927:171259&amp;c=444444", "offset 27")</f>
        <v>offset 27</v>
      </c>
    </row>
    <row r="569" customFormat="false" ht="12.8" hidden="false" customHeight="false" outlineLevel="0" collapsed="false">
      <c r="A569" s="0" t="s">
        <v>12</v>
      </c>
      <c r="B569" s="0" t="n">
        <v>171072</v>
      </c>
      <c r="C569" s="0" t="n">
        <v>171092</v>
      </c>
      <c r="D569" s="0" t="s">
        <v>1910</v>
      </c>
      <c r="E569" s="0" t="s">
        <v>89</v>
      </c>
      <c r="F569" s="0" t="s">
        <v>90</v>
      </c>
      <c r="G569" s="0" t="s">
        <v>26</v>
      </c>
      <c r="H569" s="0" t="n">
        <v>61</v>
      </c>
      <c r="I569" s="0" t="s">
        <v>1917</v>
      </c>
      <c r="J569" s="0" t="s">
        <v>1918</v>
      </c>
      <c r="K569" s="0" t="s">
        <v>1919</v>
      </c>
      <c r="L569" s="0" t="str">
        <f aca="false">HYPERLINK("https://www.ncbi.nlm.nih.gov/nuccore/CP000304.1?report=graph&amp;tracks=[key:gene_model_track,Options:GeneOnly]&amp;mk=171128:171147|offset_6|444444,171107:171126|offset_27|444444,171073:171092|offset_61|00cc00,171040:171059|offset_94|444444&amp;v=170927:171259&amp;c=444444", "offset 61")</f>
        <v>offset 61</v>
      </c>
    </row>
    <row r="570" customFormat="false" ht="12.8" hidden="false" customHeight="false" outlineLevel="0" collapsed="false">
      <c r="A570" s="0" t="s">
        <v>12</v>
      </c>
      <c r="B570" s="0" t="n">
        <v>171039</v>
      </c>
      <c r="C570" s="0" t="n">
        <v>171059</v>
      </c>
      <c r="D570" s="0" t="s">
        <v>1910</v>
      </c>
      <c r="E570" s="0" t="s">
        <v>89</v>
      </c>
      <c r="F570" s="0" t="s">
        <v>90</v>
      </c>
      <c r="G570" s="0" t="s">
        <v>16</v>
      </c>
      <c r="H570" s="0" t="n">
        <v>94</v>
      </c>
      <c r="I570" s="0" t="s">
        <v>1920</v>
      </c>
      <c r="J570" s="0" t="s">
        <v>1921</v>
      </c>
      <c r="K570" s="0" t="s">
        <v>1922</v>
      </c>
      <c r="L570" s="0" t="str">
        <f aca="false">HYPERLINK("https://www.ncbi.nlm.nih.gov/nuccore/CP000304.1?report=graph&amp;tracks=[key:gene_model_track,Options:GeneOnly]&amp;mk=171128:171147|offset_6|444444,171107:171126|offset_27|444444,171073:171092|offset_61|444444,171040:171059|offset_94|00cc00&amp;v=170927:171259&amp;c=444444", "offset 94")</f>
        <v>offset 94</v>
      </c>
    </row>
    <row r="571" customFormat="false" ht="12.8" hidden="false" customHeight="false" outlineLevel="0" collapsed="false">
      <c r="A571" s="0" t="s">
        <v>12</v>
      </c>
      <c r="B571" s="0" t="n">
        <v>173548</v>
      </c>
      <c r="C571" s="0" t="n">
        <v>173568</v>
      </c>
      <c r="D571" s="0" t="s">
        <v>1923</v>
      </c>
      <c r="E571" s="0" t="s">
        <v>89</v>
      </c>
      <c r="F571" s="0" t="s">
        <v>90</v>
      </c>
      <c r="G571" s="0" t="s">
        <v>16</v>
      </c>
      <c r="H571" s="0" t="n">
        <v>23</v>
      </c>
      <c r="I571" s="0" t="s">
        <v>1924</v>
      </c>
      <c r="J571" s="0" t="s">
        <v>1925</v>
      </c>
      <c r="K571" s="0" t="s">
        <v>1926</v>
      </c>
      <c r="L571" s="0" t="str">
        <f aca="false">HYPERLINK("https://www.ncbi.nlm.nih.gov/nuccore/CP000304.1?report=graph&amp;tracks=[key:gene_model_track,Options:GeneOnly]&amp;mk=173549:173568|offset_23|00cc00,173529:173548|offset_43|444444,173509:173528|offset_63|444444,173477:173496|offset_95|444444&amp;v=173348:173696&amp;c=444444", "offset 23")</f>
        <v>offset 23</v>
      </c>
    </row>
    <row r="572" customFormat="false" ht="12.8" hidden="false" customHeight="false" outlineLevel="0" collapsed="false">
      <c r="A572" s="0" t="s">
        <v>12</v>
      </c>
      <c r="B572" s="0" t="n">
        <v>173528</v>
      </c>
      <c r="C572" s="0" t="n">
        <v>173548</v>
      </c>
      <c r="D572" s="0" t="s">
        <v>1923</v>
      </c>
      <c r="E572" s="0" t="s">
        <v>89</v>
      </c>
      <c r="F572" s="0" t="s">
        <v>90</v>
      </c>
      <c r="G572" s="0" t="s">
        <v>36</v>
      </c>
      <c r="H572" s="0" t="n">
        <v>43</v>
      </c>
      <c r="I572" s="0" t="s">
        <v>1927</v>
      </c>
      <c r="J572" s="0" t="s">
        <v>1928</v>
      </c>
      <c r="K572" s="0" t="s">
        <v>1929</v>
      </c>
      <c r="L572" s="0" t="str">
        <f aca="false">HYPERLINK("https://www.ncbi.nlm.nih.gov/nuccore/CP000304.1?report=graph&amp;tracks=[key:gene_model_track,Options:GeneOnly]&amp;mk=173549:173568|offset_23|444444,173529:173548|offset_43|00cc00,173509:173528|offset_63|444444,173477:173496|offset_95|444444&amp;v=173348:173696&amp;c=444444", "offset 43")</f>
        <v>offset 43</v>
      </c>
    </row>
    <row r="573" customFormat="false" ht="12.8" hidden="false" customHeight="false" outlineLevel="0" collapsed="false">
      <c r="A573" s="0" t="s">
        <v>12</v>
      </c>
      <c r="B573" s="0" t="n">
        <v>173508</v>
      </c>
      <c r="C573" s="0" t="n">
        <v>173528</v>
      </c>
      <c r="D573" s="0" t="s">
        <v>1923</v>
      </c>
      <c r="E573" s="0" t="s">
        <v>89</v>
      </c>
      <c r="F573" s="0" t="s">
        <v>90</v>
      </c>
      <c r="G573" s="0" t="s">
        <v>16</v>
      </c>
      <c r="H573" s="0" t="n">
        <v>63</v>
      </c>
      <c r="I573" s="0" t="s">
        <v>1930</v>
      </c>
      <c r="J573" s="0" t="s">
        <v>1931</v>
      </c>
      <c r="K573" s="0" t="s">
        <v>1932</v>
      </c>
      <c r="L573" s="0" t="str">
        <f aca="false">HYPERLINK("https://www.ncbi.nlm.nih.gov/nuccore/CP000304.1?report=graph&amp;tracks=[key:gene_model_track,Options:GeneOnly]&amp;mk=173549:173568|offset_23|444444,173529:173548|offset_43|444444,173509:173528|offset_63|00cc00,173477:173496|offset_95|444444&amp;v=173348:173696&amp;c=444444", "offset 63")</f>
        <v>offset 63</v>
      </c>
    </row>
    <row r="574" customFormat="false" ht="12.8" hidden="false" customHeight="false" outlineLevel="0" collapsed="false">
      <c r="A574" s="0" t="s">
        <v>12</v>
      </c>
      <c r="B574" s="0" t="n">
        <v>173476</v>
      </c>
      <c r="C574" s="0" t="n">
        <v>173496</v>
      </c>
      <c r="D574" s="0" t="s">
        <v>1923</v>
      </c>
      <c r="E574" s="0" t="s">
        <v>89</v>
      </c>
      <c r="F574" s="0" t="s">
        <v>90</v>
      </c>
      <c r="G574" s="0" t="s">
        <v>36</v>
      </c>
      <c r="H574" s="0" t="n">
        <v>95</v>
      </c>
      <c r="I574" s="0" t="s">
        <v>1933</v>
      </c>
      <c r="J574" s="0" t="s">
        <v>1934</v>
      </c>
      <c r="K574" s="0" t="s">
        <v>1935</v>
      </c>
      <c r="L574" s="0" t="str">
        <f aca="false">HYPERLINK("https://www.ncbi.nlm.nih.gov/nuccore/CP000304.1?report=graph&amp;tracks=[key:gene_model_track,Options:GeneOnly]&amp;mk=173549:173568|offset_23|444444,173529:173548|offset_43|444444,173509:173528|offset_63|444444,173477:173496|offset_95|00cc00&amp;v=173348:173696&amp;c=444444", "offset 95")</f>
        <v>offset 95</v>
      </c>
    </row>
    <row r="575" customFormat="false" ht="12.8" hidden="false" customHeight="false" outlineLevel="0" collapsed="false">
      <c r="A575" s="0" t="s">
        <v>12</v>
      </c>
      <c r="B575" s="0" t="n">
        <v>173828</v>
      </c>
      <c r="C575" s="0" t="n">
        <v>173848</v>
      </c>
      <c r="D575" s="0" t="s">
        <v>1936</v>
      </c>
      <c r="E575" s="0" t="s">
        <v>89</v>
      </c>
      <c r="F575" s="0" t="s">
        <v>15</v>
      </c>
      <c r="G575" s="0" t="s">
        <v>36</v>
      </c>
      <c r="H575" s="0" t="n">
        <v>16</v>
      </c>
      <c r="I575" s="0" t="s">
        <v>1937</v>
      </c>
      <c r="J575" s="0" t="s">
        <v>1938</v>
      </c>
      <c r="K575" s="0" t="s">
        <v>1939</v>
      </c>
      <c r="L575" s="0" t="str">
        <f aca="false">HYPERLINK("https://www.ncbi.nlm.nih.gov/nuccore/CP000304.1?report=graph&amp;tracks=[key:gene_model_track,Options:GeneOnly]&amp;mk=173829:173848|offset_16|00cc00,173880:173899|offset_67|444444,173902:173921|offset_89|444444,173924:173943|offset_111|444444&amp;v=173628:174143&amp;c=444444", "offset 16")</f>
        <v>offset 16</v>
      </c>
    </row>
    <row r="576" customFormat="false" ht="12.8" hidden="false" customHeight="false" outlineLevel="0" collapsed="false">
      <c r="A576" s="0" t="s">
        <v>12</v>
      </c>
      <c r="B576" s="0" t="n">
        <v>173879</v>
      </c>
      <c r="C576" s="0" t="n">
        <v>173899</v>
      </c>
      <c r="D576" s="0" t="s">
        <v>1936</v>
      </c>
      <c r="E576" s="0" t="s">
        <v>89</v>
      </c>
      <c r="F576" s="0" t="s">
        <v>15</v>
      </c>
      <c r="G576" s="0" t="s">
        <v>32</v>
      </c>
      <c r="H576" s="0" t="n">
        <v>67</v>
      </c>
      <c r="I576" s="0" t="s">
        <v>1940</v>
      </c>
      <c r="J576" s="0" t="s">
        <v>1941</v>
      </c>
      <c r="K576" s="0" t="s">
        <v>1942</v>
      </c>
      <c r="L576" s="0" t="str">
        <f aca="false">HYPERLINK("https://www.ncbi.nlm.nih.gov/nuccore/CP000304.1?report=graph&amp;tracks=[key:gene_model_track,Options:GeneOnly]&amp;mk=173829:173848|offset_16|444444,173880:173899|offset_67|00cc00,173902:173921|offset_89|444444,173924:173943|offset_111|444444&amp;v=173628:174143&amp;c=444444", "offset 67")</f>
        <v>offset 67</v>
      </c>
    </row>
    <row r="577" customFormat="false" ht="12.8" hidden="false" customHeight="false" outlineLevel="0" collapsed="false">
      <c r="A577" s="0" t="s">
        <v>12</v>
      </c>
      <c r="B577" s="0" t="n">
        <v>173901</v>
      </c>
      <c r="C577" s="0" t="n">
        <v>173921</v>
      </c>
      <c r="D577" s="0" t="s">
        <v>1936</v>
      </c>
      <c r="E577" s="0" t="s">
        <v>89</v>
      </c>
      <c r="F577" s="0" t="s">
        <v>15</v>
      </c>
      <c r="G577" s="0" t="s">
        <v>16</v>
      </c>
      <c r="H577" s="0" t="n">
        <v>89</v>
      </c>
      <c r="I577" s="0" t="s">
        <v>1943</v>
      </c>
      <c r="J577" s="0" t="s">
        <v>1944</v>
      </c>
      <c r="K577" s="0" t="s">
        <v>1945</v>
      </c>
      <c r="L577" s="0" t="str">
        <f aca="false">HYPERLINK("https://www.ncbi.nlm.nih.gov/nuccore/CP000304.1?report=graph&amp;tracks=[key:gene_model_track,Options:GeneOnly]&amp;mk=173829:173848|offset_16|444444,173880:173899|offset_67|444444,173902:173921|offset_89|00cc00,173924:173943|offset_111|444444&amp;v=173628:174143&amp;c=444444", "offset 89")</f>
        <v>offset 89</v>
      </c>
    </row>
    <row r="578" customFormat="false" ht="12.8" hidden="false" customHeight="false" outlineLevel="0" collapsed="false">
      <c r="A578" s="0" t="s">
        <v>12</v>
      </c>
      <c r="B578" s="0" t="n">
        <v>173923</v>
      </c>
      <c r="C578" s="0" t="n">
        <v>173943</v>
      </c>
      <c r="D578" s="0" t="s">
        <v>1936</v>
      </c>
      <c r="E578" s="0" t="s">
        <v>89</v>
      </c>
      <c r="F578" s="0" t="s">
        <v>15</v>
      </c>
      <c r="G578" s="0" t="s">
        <v>16</v>
      </c>
      <c r="H578" s="0" t="n">
        <v>111</v>
      </c>
      <c r="I578" s="0" t="s">
        <v>1946</v>
      </c>
      <c r="J578" s="0" t="s">
        <v>1947</v>
      </c>
      <c r="K578" s="0" t="s">
        <v>1948</v>
      </c>
      <c r="L578" s="0" t="str">
        <f aca="false">HYPERLINK("https://www.ncbi.nlm.nih.gov/nuccore/CP000304.1?report=graph&amp;tracks=[key:gene_model_track,Options:GeneOnly]&amp;mk=173829:173848|offset_16|444444,173880:173899|offset_67|444444,173902:173921|offset_89|444444,173924:173943|offset_111|00cc00&amp;v=173628:174143&amp;c=444444", "offset 111")</f>
        <v>offset 111</v>
      </c>
    </row>
    <row r="579" customFormat="false" ht="12.8" hidden="false" customHeight="false" outlineLevel="0" collapsed="false">
      <c r="A579" s="0" t="s">
        <v>12</v>
      </c>
      <c r="B579" s="0" t="n">
        <v>174370</v>
      </c>
      <c r="C579" s="0" t="n">
        <v>174390</v>
      </c>
      <c r="D579" s="0" t="s">
        <v>1949</v>
      </c>
      <c r="E579" s="0" t="s">
        <v>89</v>
      </c>
      <c r="F579" s="0" t="s">
        <v>15</v>
      </c>
      <c r="G579" s="0" t="s">
        <v>26</v>
      </c>
      <c r="H579" s="0" t="n">
        <v>11</v>
      </c>
      <c r="I579" s="0" t="s">
        <v>1950</v>
      </c>
      <c r="J579" s="0" t="s">
        <v>1951</v>
      </c>
      <c r="K579" s="0" t="s">
        <v>1952</v>
      </c>
      <c r="L579" s="0" t="str">
        <f aca="false">HYPERLINK("https://www.ncbi.nlm.nih.gov/nuccore/CP000304.1?report=graph&amp;tracks=[key:gene_model_track,Options:GeneOnly]&amp;mk=174371:174390|offset_11|00cc00,174415:174434|offset_55|444444,174449:174468|offset_89|444444,174475:174494|offset_115|444444&amp;v=174170:174694&amp;c=444444", "offset 11")</f>
        <v>offset 11</v>
      </c>
    </row>
    <row r="580" customFormat="false" ht="12.8" hidden="false" customHeight="false" outlineLevel="0" collapsed="false">
      <c r="A580" s="0" t="s">
        <v>12</v>
      </c>
      <c r="B580" s="0" t="n">
        <v>174414</v>
      </c>
      <c r="C580" s="0" t="n">
        <v>174434</v>
      </c>
      <c r="D580" s="0" t="s">
        <v>1949</v>
      </c>
      <c r="E580" s="0" t="s">
        <v>89</v>
      </c>
      <c r="F580" s="0" t="s">
        <v>15</v>
      </c>
      <c r="G580" s="0" t="s">
        <v>16</v>
      </c>
      <c r="H580" s="0" t="n">
        <v>55</v>
      </c>
      <c r="I580" s="0" t="s">
        <v>1953</v>
      </c>
      <c r="J580" s="0" t="s">
        <v>1954</v>
      </c>
      <c r="K580" s="0" t="s">
        <v>1955</v>
      </c>
      <c r="L580" s="0" t="str">
        <f aca="false">HYPERLINK("https://www.ncbi.nlm.nih.gov/nuccore/CP000304.1?report=graph&amp;tracks=[key:gene_model_track,Options:GeneOnly]&amp;mk=174371:174390|offset_11|444444,174415:174434|offset_55|00cc00,174449:174468|offset_89|444444,174475:174494|offset_115|444444&amp;v=174170:174694&amp;c=444444", "offset 55")</f>
        <v>offset 55</v>
      </c>
    </row>
    <row r="581" customFormat="false" ht="12.8" hidden="false" customHeight="false" outlineLevel="0" collapsed="false">
      <c r="A581" s="0" t="s">
        <v>12</v>
      </c>
      <c r="B581" s="0" t="n">
        <v>174448</v>
      </c>
      <c r="C581" s="0" t="n">
        <v>174468</v>
      </c>
      <c r="D581" s="0" t="s">
        <v>1949</v>
      </c>
      <c r="E581" s="0" t="s">
        <v>89</v>
      </c>
      <c r="F581" s="0" t="s">
        <v>15</v>
      </c>
      <c r="G581" s="0" t="s">
        <v>26</v>
      </c>
      <c r="H581" s="0" t="n">
        <v>89</v>
      </c>
      <c r="I581" s="0" t="s">
        <v>1956</v>
      </c>
      <c r="J581" s="0" t="s">
        <v>1957</v>
      </c>
      <c r="K581" s="0" t="s">
        <v>1958</v>
      </c>
      <c r="L581" s="0" t="str">
        <f aca="false">HYPERLINK("https://www.ncbi.nlm.nih.gov/nuccore/CP000304.1?report=graph&amp;tracks=[key:gene_model_track,Options:GeneOnly]&amp;mk=174371:174390|offset_11|444444,174415:174434|offset_55|444444,174449:174468|offset_89|00cc00,174475:174494|offset_115|444444&amp;v=174170:174694&amp;c=444444", "offset 89")</f>
        <v>offset 89</v>
      </c>
    </row>
    <row r="582" customFormat="false" ht="12.8" hidden="false" customHeight="false" outlineLevel="0" collapsed="false">
      <c r="A582" s="0" t="s">
        <v>12</v>
      </c>
      <c r="B582" s="0" t="n">
        <v>174474</v>
      </c>
      <c r="C582" s="0" t="n">
        <v>174494</v>
      </c>
      <c r="D582" s="0" t="s">
        <v>1949</v>
      </c>
      <c r="E582" s="0" t="s">
        <v>89</v>
      </c>
      <c r="F582" s="0" t="s">
        <v>15</v>
      </c>
      <c r="G582" s="0" t="s">
        <v>32</v>
      </c>
      <c r="H582" s="0" t="n">
        <v>115</v>
      </c>
      <c r="I582" s="0" t="s">
        <v>1959</v>
      </c>
      <c r="J582" s="0" t="s">
        <v>1960</v>
      </c>
      <c r="K582" s="0" t="s">
        <v>1961</v>
      </c>
      <c r="L582" s="0" t="str">
        <f aca="false">HYPERLINK("https://www.ncbi.nlm.nih.gov/nuccore/CP000304.1?report=graph&amp;tracks=[key:gene_model_track,Options:GeneOnly]&amp;mk=174371:174390|offset_11|444444,174415:174434|offset_55|444444,174449:174468|offset_89|444444,174475:174494|offset_115|00cc00&amp;v=174170:174694&amp;c=444444", "offset 115")</f>
        <v>offset 115</v>
      </c>
    </row>
    <row r="583" customFormat="false" ht="12.8" hidden="false" customHeight="false" outlineLevel="0" collapsed="false">
      <c r="A583" s="0" t="s">
        <v>12</v>
      </c>
      <c r="B583" s="0" t="n">
        <v>174724</v>
      </c>
      <c r="C583" s="0" t="n">
        <v>174744</v>
      </c>
      <c r="D583" s="0" t="s">
        <v>1962</v>
      </c>
      <c r="E583" s="0" t="s">
        <v>89</v>
      </c>
      <c r="F583" s="0" t="s">
        <v>15</v>
      </c>
      <c r="G583" s="0" t="s">
        <v>16</v>
      </c>
      <c r="H583" s="0" t="n">
        <v>6</v>
      </c>
      <c r="I583" s="0" t="s">
        <v>1963</v>
      </c>
      <c r="J583" s="0" t="s">
        <v>1964</v>
      </c>
      <c r="K583" s="0" t="s">
        <v>1965</v>
      </c>
      <c r="L583" s="0" t="str">
        <f aca="false">HYPERLINK("https://www.ncbi.nlm.nih.gov/nuccore/CP000304.1?report=graph&amp;tracks=[key:gene_model_track,Options:GeneOnly]&amp;mk=174725:174744|offset_6|00cc00,174772:174791|offset_53|444444,174795:174814|offset_76|444444,174831:174850|offset_112|444444&amp;v=174524:175050&amp;c=444444", "offset 6")</f>
        <v>offset 6</v>
      </c>
    </row>
    <row r="584" customFormat="false" ht="12.8" hidden="false" customHeight="false" outlineLevel="0" collapsed="false">
      <c r="A584" s="0" t="s">
        <v>12</v>
      </c>
      <c r="B584" s="0" t="n">
        <v>174771</v>
      </c>
      <c r="C584" s="0" t="n">
        <v>174791</v>
      </c>
      <c r="D584" s="0" t="s">
        <v>1962</v>
      </c>
      <c r="E584" s="0" t="s">
        <v>89</v>
      </c>
      <c r="F584" s="0" t="s">
        <v>15</v>
      </c>
      <c r="G584" s="0" t="s">
        <v>16</v>
      </c>
      <c r="H584" s="0" t="n">
        <v>53</v>
      </c>
      <c r="I584" s="0" t="s">
        <v>1966</v>
      </c>
      <c r="J584" s="0" t="s">
        <v>1967</v>
      </c>
      <c r="K584" s="0" t="s">
        <v>1968</v>
      </c>
      <c r="L584" s="0" t="str">
        <f aca="false">HYPERLINK("https://www.ncbi.nlm.nih.gov/nuccore/CP000304.1?report=graph&amp;tracks=[key:gene_model_track,Options:GeneOnly]&amp;mk=174725:174744|offset_6|444444,174772:174791|offset_53|00cc00,174795:174814|offset_76|444444,174831:174850|offset_112|444444&amp;v=174524:175050&amp;c=444444", "offset 53")</f>
        <v>offset 53</v>
      </c>
    </row>
    <row r="585" customFormat="false" ht="12.8" hidden="false" customHeight="false" outlineLevel="0" collapsed="false">
      <c r="A585" s="0" t="s">
        <v>12</v>
      </c>
      <c r="B585" s="0" t="n">
        <v>174794</v>
      </c>
      <c r="C585" s="0" t="n">
        <v>174814</v>
      </c>
      <c r="D585" s="0" t="s">
        <v>1962</v>
      </c>
      <c r="E585" s="0" t="s">
        <v>89</v>
      </c>
      <c r="F585" s="0" t="s">
        <v>15</v>
      </c>
      <c r="G585" s="0" t="s">
        <v>32</v>
      </c>
      <c r="H585" s="0" t="n">
        <v>76</v>
      </c>
      <c r="I585" s="0" t="s">
        <v>1969</v>
      </c>
      <c r="J585" s="0" t="s">
        <v>1970</v>
      </c>
      <c r="K585" s="0" t="s">
        <v>1971</v>
      </c>
      <c r="L585" s="0" t="str">
        <f aca="false">HYPERLINK("https://www.ncbi.nlm.nih.gov/nuccore/CP000304.1?report=graph&amp;tracks=[key:gene_model_track,Options:GeneOnly]&amp;mk=174725:174744|offset_6|444444,174772:174791|offset_53|444444,174795:174814|offset_76|00cc00,174831:174850|offset_112|444444&amp;v=174524:175050&amp;c=444444", "offset 76")</f>
        <v>offset 76</v>
      </c>
    </row>
    <row r="586" customFormat="false" ht="12.8" hidden="false" customHeight="false" outlineLevel="0" collapsed="false">
      <c r="A586" s="0" t="s">
        <v>12</v>
      </c>
      <c r="B586" s="0" t="n">
        <v>174830</v>
      </c>
      <c r="C586" s="0" t="n">
        <v>174850</v>
      </c>
      <c r="D586" s="0" t="s">
        <v>1962</v>
      </c>
      <c r="E586" s="0" t="s">
        <v>89</v>
      </c>
      <c r="F586" s="0" t="s">
        <v>15</v>
      </c>
      <c r="G586" s="0" t="s">
        <v>16</v>
      </c>
      <c r="H586" s="0" t="n">
        <v>112</v>
      </c>
      <c r="I586" s="0" t="s">
        <v>1972</v>
      </c>
      <c r="J586" s="0" t="s">
        <v>1973</v>
      </c>
      <c r="K586" s="0" t="s">
        <v>1974</v>
      </c>
      <c r="L586" s="0" t="str">
        <f aca="false">HYPERLINK("https://www.ncbi.nlm.nih.gov/nuccore/CP000304.1?report=graph&amp;tracks=[key:gene_model_track,Options:GeneOnly]&amp;mk=174725:174744|offset_6|444444,174772:174791|offset_53|444444,174795:174814|offset_76|444444,174831:174850|offset_112|00cc00&amp;v=174524:175050&amp;c=444444", "offset 112")</f>
        <v>offset 112</v>
      </c>
    </row>
    <row r="587" customFormat="false" ht="12.8" hidden="false" customHeight="false" outlineLevel="0" collapsed="false">
      <c r="A587" s="0" t="s">
        <v>12</v>
      </c>
      <c r="B587" s="0" t="n">
        <v>177452</v>
      </c>
      <c r="C587" s="0" t="n">
        <v>177472</v>
      </c>
      <c r="D587" s="0" t="s">
        <v>1975</v>
      </c>
      <c r="E587" s="0" t="s">
        <v>89</v>
      </c>
      <c r="F587" s="0" t="s">
        <v>90</v>
      </c>
      <c r="G587" s="0" t="s">
        <v>16</v>
      </c>
      <c r="H587" s="0" t="n">
        <v>44</v>
      </c>
      <c r="I587" s="0" t="s">
        <v>1976</v>
      </c>
      <c r="J587" s="0" t="s">
        <v>1977</v>
      </c>
      <c r="K587" s="0" t="s">
        <v>1978</v>
      </c>
      <c r="L587" s="0" t="str">
        <f aca="false">HYPERLINK("https://www.ncbi.nlm.nih.gov/nuccore/CP000304.1?report=graph&amp;tracks=[key:gene_model_track,Options:GeneOnly]&amp;mk=177453:177472|offset_44|00cc00,177421:177440|offset_76|444444,177396:177415|offset_101|444444,177356:177375|offset_141|444444&amp;v=177252:177575&amp;c=444444", "offset 44")</f>
        <v>offset 44</v>
      </c>
    </row>
    <row r="588" customFormat="false" ht="12.8" hidden="false" customHeight="false" outlineLevel="0" collapsed="false">
      <c r="A588" s="0" t="s">
        <v>12</v>
      </c>
      <c r="B588" s="0" t="n">
        <v>177420</v>
      </c>
      <c r="C588" s="0" t="n">
        <v>177440</v>
      </c>
      <c r="D588" s="0" t="s">
        <v>1975</v>
      </c>
      <c r="E588" s="0" t="s">
        <v>89</v>
      </c>
      <c r="F588" s="0" t="s">
        <v>90</v>
      </c>
      <c r="G588" s="0" t="s">
        <v>16</v>
      </c>
      <c r="H588" s="0" t="n">
        <v>76</v>
      </c>
      <c r="I588" s="0" t="s">
        <v>1979</v>
      </c>
      <c r="J588" s="0" t="s">
        <v>1980</v>
      </c>
      <c r="K588" s="0" t="s">
        <v>1981</v>
      </c>
      <c r="L588" s="0" t="str">
        <f aca="false">HYPERLINK("https://www.ncbi.nlm.nih.gov/nuccore/CP000304.1?report=graph&amp;tracks=[key:gene_model_track,Options:GeneOnly]&amp;mk=177453:177472|offset_44|444444,177421:177440|offset_76|00cc00,177396:177415|offset_101|444444,177356:177375|offset_141|444444&amp;v=177252:177575&amp;c=444444", "offset 76")</f>
        <v>offset 76</v>
      </c>
    </row>
    <row r="589" customFormat="false" ht="12.8" hidden="false" customHeight="false" outlineLevel="0" collapsed="false">
      <c r="A589" s="0" t="s">
        <v>12</v>
      </c>
      <c r="B589" s="0" t="n">
        <v>177395</v>
      </c>
      <c r="C589" s="0" t="n">
        <v>177415</v>
      </c>
      <c r="D589" s="0" t="s">
        <v>1975</v>
      </c>
      <c r="E589" s="0" t="s">
        <v>89</v>
      </c>
      <c r="F589" s="0" t="s">
        <v>90</v>
      </c>
      <c r="G589" s="0" t="s">
        <v>16</v>
      </c>
      <c r="H589" s="0" t="n">
        <v>101</v>
      </c>
      <c r="I589" s="0" t="s">
        <v>1982</v>
      </c>
      <c r="J589" s="0" t="s">
        <v>1983</v>
      </c>
      <c r="K589" s="0" t="s">
        <v>1984</v>
      </c>
      <c r="L589" s="0" t="str">
        <f aca="false">HYPERLINK("https://www.ncbi.nlm.nih.gov/nuccore/CP000304.1?report=graph&amp;tracks=[key:gene_model_track,Options:GeneOnly]&amp;mk=177453:177472|offset_44|444444,177421:177440|offset_76|444444,177396:177415|offset_101|00cc00,177356:177375|offset_141|444444&amp;v=177252:177575&amp;c=444444", "offset 101")</f>
        <v>offset 101</v>
      </c>
    </row>
    <row r="590" customFormat="false" ht="12.8" hidden="false" customHeight="false" outlineLevel="0" collapsed="false">
      <c r="A590" s="0" t="s">
        <v>12</v>
      </c>
      <c r="B590" s="0" t="n">
        <v>177355</v>
      </c>
      <c r="C590" s="0" t="n">
        <v>177375</v>
      </c>
      <c r="D590" s="0" t="s">
        <v>1975</v>
      </c>
      <c r="E590" s="0" t="s">
        <v>89</v>
      </c>
      <c r="F590" s="0" t="s">
        <v>90</v>
      </c>
      <c r="G590" s="0" t="s">
        <v>36</v>
      </c>
      <c r="H590" s="0" t="n">
        <v>141</v>
      </c>
      <c r="I590" s="0" t="s">
        <v>1985</v>
      </c>
      <c r="J590" s="0" t="s">
        <v>1986</v>
      </c>
      <c r="K590" s="0" t="s">
        <v>1987</v>
      </c>
      <c r="L590" s="0" t="str">
        <f aca="false">HYPERLINK("https://www.ncbi.nlm.nih.gov/nuccore/CP000304.1?report=graph&amp;tracks=[key:gene_model_track,Options:GeneOnly]&amp;mk=177453:177472|offset_44|444444,177421:177440|offset_76|444444,177396:177415|offset_101|444444,177356:177375|offset_141|00cc00&amp;v=177252:177575&amp;c=444444", "offset 141")</f>
        <v>offset 141</v>
      </c>
    </row>
    <row r="591" customFormat="false" ht="12.8" hidden="false" customHeight="false" outlineLevel="0" collapsed="false">
      <c r="A591" s="0" t="s">
        <v>12</v>
      </c>
      <c r="B591" s="0" t="n">
        <v>179394</v>
      </c>
      <c r="C591" s="0" t="n">
        <v>179414</v>
      </c>
      <c r="D591" s="0" t="s">
        <v>1988</v>
      </c>
      <c r="E591" s="0" t="s">
        <v>89</v>
      </c>
      <c r="F591" s="0" t="s">
        <v>90</v>
      </c>
      <c r="G591" s="0" t="s">
        <v>26</v>
      </c>
      <c r="H591" s="0" t="n">
        <v>17</v>
      </c>
      <c r="I591" s="0" t="s">
        <v>1989</v>
      </c>
      <c r="J591" s="0" t="s">
        <v>1990</v>
      </c>
      <c r="K591" s="0" t="s">
        <v>1991</v>
      </c>
      <c r="L591" s="0" t="str">
        <f aca="false">HYPERLINK("https://www.ncbi.nlm.nih.gov/nuccore/CP000304.1?report=graph&amp;tracks=[key:gene_model_track,Options:GeneOnly]&amp;mk=179395:179414|offset_17|00cc00,179360:179379|offset_52|444444,179339:179358|offset_73|444444,179319:179338|offset_93|444444&amp;v=179194:179538&amp;c=444444", "offset 17")</f>
        <v>offset 17</v>
      </c>
    </row>
    <row r="592" customFormat="false" ht="12.8" hidden="false" customHeight="false" outlineLevel="0" collapsed="false">
      <c r="A592" s="0" t="s">
        <v>12</v>
      </c>
      <c r="B592" s="0" t="n">
        <v>179359</v>
      </c>
      <c r="C592" s="0" t="n">
        <v>179379</v>
      </c>
      <c r="D592" s="0" t="s">
        <v>1988</v>
      </c>
      <c r="E592" s="0" t="s">
        <v>89</v>
      </c>
      <c r="F592" s="0" t="s">
        <v>90</v>
      </c>
      <c r="G592" s="0" t="s">
        <v>16</v>
      </c>
      <c r="H592" s="0" t="n">
        <v>52</v>
      </c>
      <c r="I592" s="0" t="s">
        <v>1992</v>
      </c>
      <c r="J592" s="0" t="s">
        <v>1993</v>
      </c>
      <c r="K592" s="0" t="s">
        <v>1994</v>
      </c>
      <c r="L592" s="0" t="str">
        <f aca="false">HYPERLINK("https://www.ncbi.nlm.nih.gov/nuccore/CP000304.1?report=graph&amp;tracks=[key:gene_model_track,Options:GeneOnly]&amp;mk=179395:179414|offset_17|444444,179360:179379|offset_52|00cc00,179339:179358|offset_73|444444,179319:179338|offset_93|444444&amp;v=179194:179538&amp;c=444444", "offset 52")</f>
        <v>offset 52</v>
      </c>
    </row>
    <row r="593" customFormat="false" ht="12.8" hidden="false" customHeight="false" outlineLevel="0" collapsed="false">
      <c r="A593" s="0" t="s">
        <v>12</v>
      </c>
      <c r="B593" s="0" t="n">
        <v>179338</v>
      </c>
      <c r="C593" s="0" t="n">
        <v>179358</v>
      </c>
      <c r="D593" s="0" t="s">
        <v>1988</v>
      </c>
      <c r="E593" s="0" t="s">
        <v>89</v>
      </c>
      <c r="F593" s="0" t="s">
        <v>90</v>
      </c>
      <c r="G593" s="0" t="s">
        <v>16</v>
      </c>
      <c r="H593" s="0" t="n">
        <v>73</v>
      </c>
      <c r="I593" s="0" t="s">
        <v>1995</v>
      </c>
      <c r="J593" s="0" t="s">
        <v>1996</v>
      </c>
      <c r="K593" s="0" t="s">
        <v>1997</v>
      </c>
      <c r="L593" s="0" t="str">
        <f aca="false">HYPERLINK("https://www.ncbi.nlm.nih.gov/nuccore/CP000304.1?report=graph&amp;tracks=[key:gene_model_track,Options:GeneOnly]&amp;mk=179395:179414|offset_17|444444,179360:179379|offset_52|444444,179339:179358|offset_73|00cc00,179319:179338|offset_93|444444&amp;v=179194:179538&amp;c=444444", "offset 73")</f>
        <v>offset 73</v>
      </c>
    </row>
    <row r="594" customFormat="false" ht="12.8" hidden="false" customHeight="false" outlineLevel="0" collapsed="false">
      <c r="A594" s="0" t="s">
        <v>12</v>
      </c>
      <c r="B594" s="0" t="n">
        <v>179318</v>
      </c>
      <c r="C594" s="0" t="n">
        <v>179338</v>
      </c>
      <c r="D594" s="0" t="s">
        <v>1988</v>
      </c>
      <c r="E594" s="0" t="s">
        <v>89</v>
      </c>
      <c r="F594" s="0" t="s">
        <v>90</v>
      </c>
      <c r="G594" s="0" t="s">
        <v>32</v>
      </c>
      <c r="H594" s="0" t="n">
        <v>93</v>
      </c>
      <c r="I594" s="0" t="s">
        <v>1998</v>
      </c>
      <c r="J594" s="0" t="s">
        <v>1999</v>
      </c>
      <c r="K594" s="0" t="s">
        <v>2000</v>
      </c>
      <c r="L594" s="0" t="str">
        <f aca="false">HYPERLINK("https://www.ncbi.nlm.nih.gov/nuccore/CP000304.1?report=graph&amp;tracks=[key:gene_model_track,Options:GeneOnly]&amp;mk=179395:179414|offset_17|444444,179360:179379|offset_52|444444,179339:179358|offset_73|444444,179319:179338|offset_93|00cc00&amp;v=179194:179538&amp;c=444444", "offset 93")</f>
        <v>offset 93</v>
      </c>
    </row>
    <row r="595" customFormat="false" ht="12.8" hidden="false" customHeight="false" outlineLevel="0" collapsed="false">
      <c r="A595" s="0" t="s">
        <v>12</v>
      </c>
      <c r="B595" s="0" t="n">
        <v>179454</v>
      </c>
      <c r="C595" s="0" t="n">
        <v>179474</v>
      </c>
      <c r="D595" s="0" t="s">
        <v>2001</v>
      </c>
      <c r="E595" s="0" t="s">
        <v>89</v>
      </c>
      <c r="F595" s="0" t="s">
        <v>15</v>
      </c>
      <c r="G595" s="0" t="s">
        <v>32</v>
      </c>
      <c r="H595" s="0" t="n">
        <v>33</v>
      </c>
      <c r="I595" s="0" t="s">
        <v>2002</v>
      </c>
      <c r="J595" s="0" t="s">
        <v>2003</v>
      </c>
      <c r="K595" s="0" t="s">
        <v>2004</v>
      </c>
      <c r="L595" s="0" t="str">
        <f aca="false">HYPERLINK("https://www.ncbi.nlm.nih.gov/nuccore/CP000304.1?report=graph&amp;tracks=[key:gene_model_track,Options:GeneOnly]&amp;mk=179455:179474|offset_33|00cc00,179490:179509|offset_68|444444,179510:179529|offset_88|444444,179538:179557|offset_116|444444&amp;v=179254:179757&amp;c=444444", "offset 33")</f>
        <v>offset 33</v>
      </c>
    </row>
    <row r="596" customFormat="false" ht="12.8" hidden="false" customHeight="false" outlineLevel="0" collapsed="false">
      <c r="A596" s="0" t="s">
        <v>12</v>
      </c>
      <c r="B596" s="0" t="n">
        <v>179489</v>
      </c>
      <c r="C596" s="0" t="n">
        <v>179509</v>
      </c>
      <c r="D596" s="0" t="s">
        <v>2001</v>
      </c>
      <c r="E596" s="0" t="s">
        <v>89</v>
      </c>
      <c r="F596" s="0" t="s">
        <v>15</v>
      </c>
      <c r="G596" s="0" t="s">
        <v>32</v>
      </c>
      <c r="H596" s="0" t="n">
        <v>68</v>
      </c>
      <c r="I596" s="0" t="s">
        <v>2005</v>
      </c>
      <c r="J596" s="0" t="s">
        <v>2006</v>
      </c>
      <c r="K596" s="0" t="s">
        <v>2007</v>
      </c>
      <c r="L596" s="0" t="str">
        <f aca="false">HYPERLINK("https://www.ncbi.nlm.nih.gov/nuccore/CP000304.1?report=graph&amp;tracks=[key:gene_model_track,Options:GeneOnly]&amp;mk=179455:179474|offset_33|444444,179490:179509|offset_68|00cc00,179510:179529|offset_88|444444,179538:179557|offset_116|444444&amp;v=179254:179757&amp;c=444444", "offset 68")</f>
        <v>offset 68</v>
      </c>
    </row>
    <row r="597" customFormat="false" ht="12.8" hidden="false" customHeight="false" outlineLevel="0" collapsed="false">
      <c r="A597" s="0" t="s">
        <v>12</v>
      </c>
      <c r="B597" s="0" t="n">
        <v>179509</v>
      </c>
      <c r="C597" s="0" t="n">
        <v>179529</v>
      </c>
      <c r="D597" s="0" t="s">
        <v>2001</v>
      </c>
      <c r="E597" s="0" t="s">
        <v>89</v>
      </c>
      <c r="F597" s="0" t="s">
        <v>15</v>
      </c>
      <c r="G597" s="0" t="s">
        <v>16</v>
      </c>
      <c r="H597" s="0" t="n">
        <v>88</v>
      </c>
      <c r="I597" s="0" t="s">
        <v>2008</v>
      </c>
      <c r="J597" s="0" t="s">
        <v>2009</v>
      </c>
      <c r="K597" s="0" t="s">
        <v>2010</v>
      </c>
      <c r="L597" s="0" t="str">
        <f aca="false">HYPERLINK("https://www.ncbi.nlm.nih.gov/nuccore/CP000304.1?report=graph&amp;tracks=[key:gene_model_track,Options:GeneOnly]&amp;mk=179455:179474|offset_33|444444,179490:179509|offset_68|444444,179510:179529|offset_88|00cc00,179538:179557|offset_116|444444&amp;v=179254:179757&amp;c=444444", "offset 88")</f>
        <v>offset 88</v>
      </c>
    </row>
    <row r="598" customFormat="false" ht="12.8" hidden="false" customHeight="false" outlineLevel="0" collapsed="false">
      <c r="A598" s="0" t="s">
        <v>12</v>
      </c>
      <c r="B598" s="0" t="n">
        <v>179537</v>
      </c>
      <c r="C598" s="0" t="n">
        <v>179557</v>
      </c>
      <c r="D598" s="0" t="s">
        <v>2001</v>
      </c>
      <c r="E598" s="0" t="s">
        <v>89</v>
      </c>
      <c r="F598" s="0" t="s">
        <v>15</v>
      </c>
      <c r="G598" s="0" t="s">
        <v>32</v>
      </c>
      <c r="H598" s="0" t="n">
        <v>116</v>
      </c>
      <c r="I598" s="0" t="s">
        <v>2011</v>
      </c>
      <c r="J598" s="0" t="s">
        <v>2012</v>
      </c>
      <c r="K598" s="0" t="s">
        <v>2013</v>
      </c>
      <c r="L598" s="0" t="str">
        <f aca="false">HYPERLINK("https://www.ncbi.nlm.nih.gov/nuccore/CP000304.1?report=graph&amp;tracks=[key:gene_model_track,Options:GeneOnly]&amp;mk=179455:179474|offset_33|444444,179490:179509|offset_68|444444,179510:179529|offset_88|444444,179538:179557|offset_116|00cc00&amp;v=179254:179757&amp;c=444444", "offset 116")</f>
        <v>offset 116</v>
      </c>
    </row>
    <row r="599" customFormat="false" ht="12.8" hidden="false" customHeight="false" outlineLevel="0" collapsed="false">
      <c r="A599" s="0" t="s">
        <v>12</v>
      </c>
      <c r="B599" s="0" t="n">
        <v>181020</v>
      </c>
      <c r="C599" s="0" t="n">
        <v>181040</v>
      </c>
      <c r="D599" s="0" t="s">
        <v>2014</v>
      </c>
      <c r="E599" s="0" t="s">
        <v>89</v>
      </c>
      <c r="F599" s="0" t="s">
        <v>15</v>
      </c>
      <c r="G599" s="0" t="s">
        <v>16</v>
      </c>
      <c r="H599" s="0" t="n">
        <v>0</v>
      </c>
      <c r="I599" s="0" t="s">
        <v>2015</v>
      </c>
      <c r="J599" s="0" t="s">
        <v>2016</v>
      </c>
      <c r="K599" s="0" t="s">
        <v>2017</v>
      </c>
      <c r="L599" s="0" t="str">
        <f aca="false">HYPERLINK("https://www.ncbi.nlm.nih.gov/nuccore/CP000304.1?report=graph&amp;tracks=[key:gene_model_track,Options:GeneOnly]&amp;mk=181021:181040|offset_0|00cc00,181055:181074|offset_34|444444,181079:181098|offset_58|444444,181127:181146|offset_106|444444&amp;v=180820:181346&amp;c=444444", "offset 0")</f>
        <v>offset 0</v>
      </c>
    </row>
    <row r="600" customFormat="false" ht="12.8" hidden="false" customHeight="false" outlineLevel="0" collapsed="false">
      <c r="A600" s="0" t="s">
        <v>12</v>
      </c>
      <c r="B600" s="0" t="n">
        <v>181054</v>
      </c>
      <c r="C600" s="0" t="n">
        <v>181074</v>
      </c>
      <c r="D600" s="0" t="s">
        <v>2014</v>
      </c>
      <c r="E600" s="0" t="s">
        <v>89</v>
      </c>
      <c r="F600" s="0" t="s">
        <v>15</v>
      </c>
      <c r="G600" s="0" t="s">
        <v>32</v>
      </c>
      <c r="H600" s="0" t="n">
        <v>34</v>
      </c>
      <c r="I600" s="0" t="s">
        <v>2018</v>
      </c>
      <c r="J600" s="0" t="s">
        <v>2019</v>
      </c>
      <c r="K600" s="0" t="s">
        <v>2020</v>
      </c>
      <c r="L600" s="0" t="str">
        <f aca="false">HYPERLINK("https://www.ncbi.nlm.nih.gov/nuccore/CP000304.1?report=graph&amp;tracks=[key:gene_model_track,Options:GeneOnly]&amp;mk=181021:181040|offset_0|444444,181055:181074|offset_34|00cc00,181079:181098|offset_58|444444,181127:181146|offset_106|444444&amp;v=180820:181346&amp;c=444444", "offset 34")</f>
        <v>offset 34</v>
      </c>
    </row>
    <row r="601" customFormat="false" ht="12.8" hidden="false" customHeight="false" outlineLevel="0" collapsed="false">
      <c r="A601" s="0" t="s">
        <v>12</v>
      </c>
      <c r="B601" s="0" t="n">
        <v>181078</v>
      </c>
      <c r="C601" s="0" t="n">
        <v>181098</v>
      </c>
      <c r="D601" s="0" t="s">
        <v>2014</v>
      </c>
      <c r="E601" s="0" t="s">
        <v>89</v>
      </c>
      <c r="F601" s="0" t="s">
        <v>15</v>
      </c>
      <c r="G601" s="0" t="s">
        <v>16</v>
      </c>
      <c r="H601" s="0" t="n">
        <v>58</v>
      </c>
      <c r="I601" s="0" t="s">
        <v>2021</v>
      </c>
      <c r="J601" s="0" t="s">
        <v>2022</v>
      </c>
      <c r="K601" s="0" t="s">
        <v>2023</v>
      </c>
      <c r="L601" s="0" t="str">
        <f aca="false">HYPERLINK("https://www.ncbi.nlm.nih.gov/nuccore/CP000304.1?report=graph&amp;tracks=[key:gene_model_track,Options:GeneOnly]&amp;mk=181021:181040|offset_0|444444,181055:181074|offset_34|444444,181079:181098|offset_58|00cc00,181127:181146|offset_106|444444&amp;v=180820:181346&amp;c=444444", "offset 58")</f>
        <v>offset 58</v>
      </c>
    </row>
    <row r="602" customFormat="false" ht="12.8" hidden="false" customHeight="false" outlineLevel="0" collapsed="false">
      <c r="A602" s="0" t="s">
        <v>12</v>
      </c>
      <c r="B602" s="0" t="n">
        <v>181126</v>
      </c>
      <c r="C602" s="0" t="n">
        <v>181146</v>
      </c>
      <c r="D602" s="0" t="s">
        <v>2014</v>
      </c>
      <c r="E602" s="0" t="s">
        <v>89</v>
      </c>
      <c r="F602" s="0" t="s">
        <v>15</v>
      </c>
      <c r="G602" s="0" t="s">
        <v>32</v>
      </c>
      <c r="H602" s="0" t="n">
        <v>106</v>
      </c>
      <c r="I602" s="0" t="s">
        <v>2024</v>
      </c>
      <c r="J602" s="0" t="s">
        <v>2025</v>
      </c>
      <c r="K602" s="0" t="s">
        <v>2026</v>
      </c>
      <c r="L602" s="0" t="str">
        <f aca="false">HYPERLINK("https://www.ncbi.nlm.nih.gov/nuccore/CP000304.1?report=graph&amp;tracks=[key:gene_model_track,Options:GeneOnly]&amp;mk=181021:181040|offset_0|444444,181055:181074|offset_34|444444,181079:181098|offset_58|444444,181127:181146|offset_106|00cc00&amp;v=180820:181346&amp;c=444444", "offset 106")</f>
        <v>offset 106</v>
      </c>
    </row>
    <row r="603" customFormat="false" ht="12.8" hidden="false" customHeight="false" outlineLevel="0" collapsed="false">
      <c r="A603" s="0" t="s">
        <v>12</v>
      </c>
      <c r="B603" s="0" t="n">
        <v>182529</v>
      </c>
      <c r="C603" s="0" t="n">
        <v>182549</v>
      </c>
      <c r="D603" s="0" t="s">
        <v>2027</v>
      </c>
      <c r="E603" s="0" t="s">
        <v>89</v>
      </c>
      <c r="F603" s="0" t="s">
        <v>15</v>
      </c>
      <c r="G603" s="0" t="s">
        <v>36</v>
      </c>
      <c r="H603" s="0" t="n">
        <v>7</v>
      </c>
      <c r="I603" s="0" t="s">
        <v>2028</v>
      </c>
      <c r="J603" s="0" t="s">
        <v>2029</v>
      </c>
      <c r="K603" s="0" t="s">
        <v>2030</v>
      </c>
      <c r="L603" s="0" t="str">
        <f aca="false">HYPERLINK("https://www.ncbi.nlm.nih.gov/nuccore/CP000304.1?report=graph&amp;tracks=[key:gene_model_track,Options:GeneOnly]&amp;mk=182530:182549|offset_7|00cc00,182557:182576|offset_34|444444,182587:182606|offset_64|444444,182616:182635|offset_93|444444&amp;v=182329:182835&amp;c=444444", "offset 7")</f>
        <v>offset 7</v>
      </c>
    </row>
    <row r="604" customFormat="false" ht="12.8" hidden="false" customHeight="false" outlineLevel="0" collapsed="false">
      <c r="A604" s="0" t="s">
        <v>12</v>
      </c>
      <c r="B604" s="0" t="n">
        <v>182556</v>
      </c>
      <c r="C604" s="0" t="n">
        <v>182576</v>
      </c>
      <c r="D604" s="0" t="s">
        <v>2027</v>
      </c>
      <c r="E604" s="0" t="s">
        <v>89</v>
      </c>
      <c r="F604" s="0" t="s">
        <v>15</v>
      </c>
      <c r="G604" s="0" t="s">
        <v>36</v>
      </c>
      <c r="H604" s="0" t="n">
        <v>34</v>
      </c>
      <c r="I604" s="0" t="s">
        <v>2031</v>
      </c>
      <c r="J604" s="0" t="s">
        <v>2032</v>
      </c>
      <c r="K604" s="0" t="s">
        <v>2033</v>
      </c>
      <c r="L604" s="0" t="str">
        <f aca="false">HYPERLINK("https://www.ncbi.nlm.nih.gov/nuccore/CP000304.1?report=graph&amp;tracks=[key:gene_model_track,Options:GeneOnly]&amp;mk=182530:182549|offset_7|444444,182557:182576|offset_34|00cc00,182587:182606|offset_64|444444,182616:182635|offset_93|444444&amp;v=182329:182835&amp;c=444444", "offset 34")</f>
        <v>offset 34</v>
      </c>
    </row>
    <row r="605" customFormat="false" ht="12.8" hidden="false" customHeight="false" outlineLevel="0" collapsed="false">
      <c r="A605" s="0" t="s">
        <v>12</v>
      </c>
      <c r="B605" s="0" t="n">
        <v>182586</v>
      </c>
      <c r="C605" s="0" t="n">
        <v>182606</v>
      </c>
      <c r="D605" s="0" t="s">
        <v>2027</v>
      </c>
      <c r="E605" s="0" t="s">
        <v>89</v>
      </c>
      <c r="F605" s="0" t="s">
        <v>15</v>
      </c>
      <c r="G605" s="0" t="s">
        <v>16</v>
      </c>
      <c r="H605" s="0" t="n">
        <v>64</v>
      </c>
      <c r="I605" s="0" t="s">
        <v>2034</v>
      </c>
      <c r="J605" s="0" t="s">
        <v>2035</v>
      </c>
      <c r="K605" s="0" t="s">
        <v>2036</v>
      </c>
      <c r="L605" s="0" t="str">
        <f aca="false">HYPERLINK("https://www.ncbi.nlm.nih.gov/nuccore/CP000304.1?report=graph&amp;tracks=[key:gene_model_track,Options:GeneOnly]&amp;mk=182530:182549|offset_7|444444,182557:182576|offset_34|444444,182587:182606|offset_64|00cc00,182616:182635|offset_93|444444&amp;v=182329:182835&amp;c=444444", "offset 64")</f>
        <v>offset 64</v>
      </c>
    </row>
    <row r="606" customFormat="false" ht="12.8" hidden="false" customHeight="false" outlineLevel="0" collapsed="false">
      <c r="A606" s="0" t="s">
        <v>12</v>
      </c>
      <c r="B606" s="0" t="n">
        <v>182615</v>
      </c>
      <c r="C606" s="0" t="n">
        <v>182635</v>
      </c>
      <c r="D606" s="0" t="s">
        <v>2027</v>
      </c>
      <c r="E606" s="0" t="s">
        <v>89</v>
      </c>
      <c r="F606" s="0" t="s">
        <v>15</v>
      </c>
      <c r="G606" s="0" t="s">
        <v>16</v>
      </c>
      <c r="H606" s="0" t="n">
        <v>93</v>
      </c>
      <c r="I606" s="0" t="s">
        <v>2037</v>
      </c>
      <c r="J606" s="0" t="s">
        <v>2038</v>
      </c>
      <c r="K606" s="0" t="s">
        <v>2039</v>
      </c>
      <c r="L606" s="0" t="str">
        <f aca="false">HYPERLINK("https://www.ncbi.nlm.nih.gov/nuccore/CP000304.1?report=graph&amp;tracks=[key:gene_model_track,Options:GeneOnly]&amp;mk=182530:182549|offset_7|444444,182557:182576|offset_34|444444,182587:182606|offset_64|444444,182616:182635|offset_93|00cc00&amp;v=182329:182835&amp;c=444444", "offset 93")</f>
        <v>offset 93</v>
      </c>
    </row>
    <row r="607" customFormat="false" ht="12.8" hidden="false" customHeight="false" outlineLevel="0" collapsed="false">
      <c r="A607" s="0" t="s">
        <v>12</v>
      </c>
      <c r="B607" s="0" t="n">
        <v>184546</v>
      </c>
      <c r="C607" s="0" t="n">
        <v>184566</v>
      </c>
      <c r="D607" s="0" t="s">
        <v>2040</v>
      </c>
      <c r="E607" s="0" t="s">
        <v>89</v>
      </c>
      <c r="F607" s="0" t="s">
        <v>90</v>
      </c>
      <c r="G607" s="0" t="s">
        <v>16</v>
      </c>
      <c r="H607" s="0" t="n">
        <v>21</v>
      </c>
      <c r="I607" s="0" t="s">
        <v>2041</v>
      </c>
      <c r="J607" s="0" t="s">
        <v>2042</v>
      </c>
      <c r="K607" s="0" t="s">
        <v>2043</v>
      </c>
      <c r="L607" s="0" t="str">
        <f aca="false">HYPERLINK("https://www.ncbi.nlm.nih.gov/nuccore/CP000304.1?report=graph&amp;tracks=[key:gene_model_track,Options:GeneOnly]&amp;mk=184547:184566|offset_21|00cc00,184523:184542|offset_45|444444,184477:184496|offset_91|444444,184446:184465|offset_122|444444&amp;v=184346:184665&amp;c=444444", "offset 21")</f>
        <v>offset 21</v>
      </c>
    </row>
    <row r="608" customFormat="false" ht="12.8" hidden="false" customHeight="false" outlineLevel="0" collapsed="false">
      <c r="A608" s="0" t="s">
        <v>12</v>
      </c>
      <c r="B608" s="0" t="n">
        <v>184522</v>
      </c>
      <c r="C608" s="0" t="n">
        <v>184542</v>
      </c>
      <c r="D608" s="0" t="s">
        <v>2040</v>
      </c>
      <c r="E608" s="0" t="s">
        <v>89</v>
      </c>
      <c r="F608" s="0" t="s">
        <v>90</v>
      </c>
      <c r="G608" s="0" t="s">
        <v>16</v>
      </c>
      <c r="H608" s="0" t="n">
        <v>45</v>
      </c>
      <c r="I608" s="0" t="s">
        <v>2044</v>
      </c>
      <c r="J608" s="0" t="s">
        <v>2045</v>
      </c>
      <c r="K608" s="0" t="s">
        <v>2046</v>
      </c>
      <c r="L608" s="0" t="str">
        <f aca="false">HYPERLINK("https://www.ncbi.nlm.nih.gov/nuccore/CP000304.1?report=graph&amp;tracks=[key:gene_model_track,Options:GeneOnly]&amp;mk=184547:184566|offset_21|444444,184523:184542|offset_45|00cc00,184477:184496|offset_91|444444,184446:184465|offset_122|444444&amp;v=184346:184665&amp;c=444444", "offset 45")</f>
        <v>offset 45</v>
      </c>
    </row>
    <row r="609" customFormat="false" ht="12.8" hidden="false" customHeight="false" outlineLevel="0" collapsed="false">
      <c r="A609" s="0" t="s">
        <v>12</v>
      </c>
      <c r="B609" s="0" t="n">
        <v>184476</v>
      </c>
      <c r="C609" s="0" t="n">
        <v>184496</v>
      </c>
      <c r="D609" s="0" t="s">
        <v>2040</v>
      </c>
      <c r="E609" s="0" t="s">
        <v>89</v>
      </c>
      <c r="F609" s="0" t="s">
        <v>90</v>
      </c>
      <c r="G609" s="0" t="s">
        <v>16</v>
      </c>
      <c r="H609" s="0" t="n">
        <v>91</v>
      </c>
      <c r="I609" s="0" t="s">
        <v>2047</v>
      </c>
      <c r="J609" s="0" t="s">
        <v>2048</v>
      </c>
      <c r="K609" s="0" t="s">
        <v>2049</v>
      </c>
      <c r="L609" s="0" t="str">
        <f aca="false">HYPERLINK("https://www.ncbi.nlm.nih.gov/nuccore/CP000304.1?report=graph&amp;tracks=[key:gene_model_track,Options:GeneOnly]&amp;mk=184547:184566|offset_21|444444,184523:184542|offset_45|444444,184477:184496|offset_91|00cc00,184446:184465|offset_122|444444&amp;v=184346:184665&amp;c=444444", "offset 91")</f>
        <v>offset 91</v>
      </c>
    </row>
    <row r="610" customFormat="false" ht="12.8" hidden="false" customHeight="false" outlineLevel="0" collapsed="false">
      <c r="A610" s="0" t="s">
        <v>12</v>
      </c>
      <c r="B610" s="0" t="n">
        <v>184445</v>
      </c>
      <c r="C610" s="0" t="n">
        <v>184465</v>
      </c>
      <c r="D610" s="0" t="s">
        <v>2040</v>
      </c>
      <c r="E610" s="0" t="s">
        <v>89</v>
      </c>
      <c r="F610" s="0" t="s">
        <v>90</v>
      </c>
      <c r="G610" s="0" t="s">
        <v>36</v>
      </c>
      <c r="H610" s="0" t="n">
        <v>122</v>
      </c>
      <c r="I610" s="0" t="s">
        <v>2050</v>
      </c>
      <c r="J610" s="0" t="s">
        <v>2051</v>
      </c>
      <c r="K610" s="0" t="s">
        <v>2052</v>
      </c>
      <c r="L610" s="0" t="str">
        <f aca="false">HYPERLINK("https://www.ncbi.nlm.nih.gov/nuccore/CP000304.1?report=graph&amp;tracks=[key:gene_model_track,Options:GeneOnly]&amp;mk=184547:184566|offset_21|444444,184523:184542|offset_45|444444,184477:184496|offset_91|444444,184446:184465|offset_122|00cc00&amp;v=184346:184665&amp;c=444444", "offset 122")</f>
        <v>offset 122</v>
      </c>
    </row>
    <row r="611" customFormat="false" ht="12.8" hidden="false" customHeight="false" outlineLevel="0" collapsed="false">
      <c r="A611" s="0" t="s">
        <v>12</v>
      </c>
      <c r="B611" s="0" t="n">
        <v>184753</v>
      </c>
      <c r="C611" s="0" t="n">
        <v>184773</v>
      </c>
      <c r="D611" s="0" t="s">
        <v>2053</v>
      </c>
      <c r="E611" s="0" t="s">
        <v>89</v>
      </c>
      <c r="F611" s="0" t="s">
        <v>15</v>
      </c>
      <c r="G611" s="0" t="s">
        <v>16</v>
      </c>
      <c r="H611" s="0" t="n">
        <v>12</v>
      </c>
      <c r="I611" s="0" t="s">
        <v>2054</v>
      </c>
      <c r="J611" s="0" t="s">
        <v>2055</v>
      </c>
      <c r="K611" s="0" t="s">
        <v>2056</v>
      </c>
      <c r="L611" s="0" t="str">
        <f aca="false">HYPERLINK("https://www.ncbi.nlm.nih.gov/nuccore/CP000304.1?report=graph&amp;tracks=[key:gene_model_track,Options:GeneOnly]&amp;mk=184754:184773|offset_12|00cc00,184792:184811|offset_50|444444,184815:184834|offset_73|444444,184845:184864|offset_103|444444&amp;v=184553:185064&amp;c=444444", "offset 12")</f>
        <v>offset 12</v>
      </c>
    </row>
    <row r="612" customFormat="false" ht="12.8" hidden="false" customHeight="false" outlineLevel="0" collapsed="false">
      <c r="A612" s="0" t="s">
        <v>12</v>
      </c>
      <c r="B612" s="0" t="n">
        <v>184791</v>
      </c>
      <c r="C612" s="0" t="n">
        <v>184811</v>
      </c>
      <c r="D612" s="0" t="s">
        <v>2053</v>
      </c>
      <c r="E612" s="0" t="s">
        <v>89</v>
      </c>
      <c r="F612" s="0" t="s">
        <v>15</v>
      </c>
      <c r="G612" s="0" t="s">
        <v>36</v>
      </c>
      <c r="H612" s="0" t="n">
        <v>50</v>
      </c>
      <c r="I612" s="0" t="s">
        <v>2057</v>
      </c>
      <c r="J612" s="0" t="s">
        <v>2058</v>
      </c>
      <c r="K612" s="0" t="s">
        <v>2059</v>
      </c>
      <c r="L612" s="0" t="str">
        <f aca="false">HYPERLINK("https://www.ncbi.nlm.nih.gov/nuccore/CP000304.1?report=graph&amp;tracks=[key:gene_model_track,Options:GeneOnly]&amp;mk=184754:184773|offset_12|444444,184792:184811|offset_50|00cc00,184815:184834|offset_73|444444,184845:184864|offset_103|444444&amp;v=184553:185064&amp;c=444444", "offset 50")</f>
        <v>offset 50</v>
      </c>
    </row>
    <row r="613" customFormat="false" ht="12.8" hidden="false" customHeight="false" outlineLevel="0" collapsed="false">
      <c r="A613" s="0" t="s">
        <v>12</v>
      </c>
      <c r="B613" s="0" t="n">
        <v>184814</v>
      </c>
      <c r="C613" s="0" t="n">
        <v>184834</v>
      </c>
      <c r="D613" s="0" t="s">
        <v>2053</v>
      </c>
      <c r="E613" s="0" t="s">
        <v>89</v>
      </c>
      <c r="F613" s="0" t="s">
        <v>15</v>
      </c>
      <c r="G613" s="0" t="s">
        <v>16</v>
      </c>
      <c r="H613" s="0" t="n">
        <v>73</v>
      </c>
      <c r="I613" s="0" t="s">
        <v>2060</v>
      </c>
      <c r="J613" s="0" t="s">
        <v>2061</v>
      </c>
      <c r="K613" s="0" t="s">
        <v>2062</v>
      </c>
      <c r="L613" s="0" t="str">
        <f aca="false">HYPERLINK("https://www.ncbi.nlm.nih.gov/nuccore/CP000304.1?report=graph&amp;tracks=[key:gene_model_track,Options:GeneOnly]&amp;mk=184754:184773|offset_12|444444,184792:184811|offset_50|444444,184815:184834|offset_73|00cc00,184845:184864|offset_103|444444&amp;v=184553:185064&amp;c=444444", "offset 73")</f>
        <v>offset 73</v>
      </c>
    </row>
    <row r="614" customFormat="false" ht="12.8" hidden="false" customHeight="false" outlineLevel="0" collapsed="false">
      <c r="A614" s="0" t="s">
        <v>12</v>
      </c>
      <c r="B614" s="0" t="n">
        <v>184844</v>
      </c>
      <c r="C614" s="0" t="n">
        <v>184864</v>
      </c>
      <c r="D614" s="0" t="s">
        <v>2053</v>
      </c>
      <c r="E614" s="0" t="s">
        <v>89</v>
      </c>
      <c r="F614" s="0" t="s">
        <v>15</v>
      </c>
      <c r="G614" s="0" t="s">
        <v>26</v>
      </c>
      <c r="H614" s="0" t="n">
        <v>103</v>
      </c>
      <c r="I614" s="0" t="s">
        <v>2063</v>
      </c>
      <c r="J614" s="0" t="s">
        <v>2064</v>
      </c>
      <c r="K614" s="0" t="s">
        <v>2065</v>
      </c>
      <c r="L614" s="0" t="str">
        <f aca="false">HYPERLINK("https://www.ncbi.nlm.nih.gov/nuccore/CP000304.1?report=graph&amp;tracks=[key:gene_model_track,Options:GeneOnly]&amp;mk=184754:184773|offset_12|444444,184792:184811|offset_50|444444,184815:184834|offset_73|444444,184845:184864|offset_103|00cc00&amp;v=184553:185064&amp;c=444444", "offset 103")</f>
        <v>offset 103</v>
      </c>
    </row>
    <row r="615" customFormat="false" ht="12.8" hidden="false" customHeight="false" outlineLevel="0" collapsed="false">
      <c r="A615" s="0" t="s">
        <v>12</v>
      </c>
      <c r="B615" s="0" t="n">
        <v>185129</v>
      </c>
      <c r="C615" s="0" t="n">
        <v>185149</v>
      </c>
      <c r="D615" s="0" t="s">
        <v>2066</v>
      </c>
      <c r="E615" s="0" t="s">
        <v>89</v>
      </c>
      <c r="F615" s="0" t="s">
        <v>15</v>
      </c>
      <c r="G615" s="0" t="s">
        <v>26</v>
      </c>
      <c r="H615" s="0" t="n">
        <v>17</v>
      </c>
      <c r="I615" s="0" t="s">
        <v>2067</v>
      </c>
      <c r="J615" s="0" t="s">
        <v>2068</v>
      </c>
      <c r="K615" s="0" t="s">
        <v>2069</v>
      </c>
      <c r="L615" s="0" t="str">
        <f aca="false">HYPERLINK("https://www.ncbi.nlm.nih.gov/nuccore/CP000304.1?report=graph&amp;tracks=[key:gene_model_track,Options:GeneOnly]&amp;mk=185130:185149|offset_17|00cc00,185159:185178|offset_46|444444,185207:185226|offset_94|444444,185255:185274|offset_142|444444&amp;v=184929:185474&amp;c=444444", "offset 17")</f>
        <v>offset 17</v>
      </c>
    </row>
    <row r="616" customFormat="false" ht="12.8" hidden="false" customHeight="false" outlineLevel="0" collapsed="false">
      <c r="A616" s="0" t="s">
        <v>12</v>
      </c>
      <c r="B616" s="0" t="n">
        <v>185158</v>
      </c>
      <c r="C616" s="0" t="n">
        <v>185178</v>
      </c>
      <c r="D616" s="0" t="s">
        <v>2066</v>
      </c>
      <c r="E616" s="0" t="s">
        <v>89</v>
      </c>
      <c r="F616" s="0" t="s">
        <v>15</v>
      </c>
      <c r="G616" s="0" t="s">
        <v>36</v>
      </c>
      <c r="H616" s="0" t="n">
        <v>46</v>
      </c>
      <c r="I616" s="0" t="s">
        <v>2070</v>
      </c>
      <c r="J616" s="0" t="s">
        <v>2071</v>
      </c>
      <c r="K616" s="0" t="s">
        <v>2072</v>
      </c>
      <c r="L616" s="0" t="str">
        <f aca="false">HYPERLINK("https://www.ncbi.nlm.nih.gov/nuccore/CP000304.1?report=graph&amp;tracks=[key:gene_model_track,Options:GeneOnly]&amp;mk=185130:185149|offset_17|444444,185159:185178|offset_46|00cc00,185207:185226|offset_94|444444,185255:185274|offset_142|444444&amp;v=184929:185474&amp;c=444444", "offset 46")</f>
        <v>offset 46</v>
      </c>
    </row>
    <row r="617" customFormat="false" ht="12.8" hidden="false" customHeight="false" outlineLevel="0" collapsed="false">
      <c r="A617" s="0" t="s">
        <v>12</v>
      </c>
      <c r="B617" s="0" t="n">
        <v>185206</v>
      </c>
      <c r="C617" s="0" t="n">
        <v>185226</v>
      </c>
      <c r="D617" s="0" t="s">
        <v>2066</v>
      </c>
      <c r="E617" s="0" t="s">
        <v>89</v>
      </c>
      <c r="F617" s="0" t="s">
        <v>15</v>
      </c>
      <c r="G617" s="0" t="s">
        <v>36</v>
      </c>
      <c r="H617" s="0" t="n">
        <v>94</v>
      </c>
      <c r="I617" s="0" t="s">
        <v>2073</v>
      </c>
      <c r="J617" s="0" t="s">
        <v>2074</v>
      </c>
      <c r="K617" s="0" t="s">
        <v>2075</v>
      </c>
      <c r="L617" s="0" t="str">
        <f aca="false">HYPERLINK("https://www.ncbi.nlm.nih.gov/nuccore/CP000304.1?report=graph&amp;tracks=[key:gene_model_track,Options:GeneOnly]&amp;mk=185130:185149|offset_17|444444,185159:185178|offset_46|444444,185207:185226|offset_94|00cc00,185255:185274|offset_142|444444&amp;v=184929:185474&amp;c=444444", "offset 94")</f>
        <v>offset 94</v>
      </c>
    </row>
    <row r="618" customFormat="false" ht="12.8" hidden="false" customHeight="false" outlineLevel="0" collapsed="false">
      <c r="A618" s="0" t="s">
        <v>12</v>
      </c>
      <c r="B618" s="0" t="n">
        <v>185254</v>
      </c>
      <c r="C618" s="0" t="n">
        <v>185274</v>
      </c>
      <c r="D618" s="0" t="s">
        <v>2066</v>
      </c>
      <c r="E618" s="0" t="s">
        <v>89</v>
      </c>
      <c r="F618" s="0" t="s">
        <v>15</v>
      </c>
      <c r="G618" s="0" t="s">
        <v>26</v>
      </c>
      <c r="H618" s="0" t="n">
        <v>142</v>
      </c>
      <c r="I618" s="0" t="s">
        <v>2076</v>
      </c>
      <c r="J618" s="0" t="s">
        <v>2077</v>
      </c>
      <c r="K618" s="0" t="s">
        <v>2078</v>
      </c>
      <c r="L618" s="0" t="str">
        <f aca="false">HYPERLINK("https://www.ncbi.nlm.nih.gov/nuccore/CP000304.1?report=graph&amp;tracks=[key:gene_model_track,Options:GeneOnly]&amp;mk=185130:185149|offset_17|444444,185159:185178|offset_46|444444,185207:185226|offset_94|444444,185255:185274|offset_142|00cc00&amp;v=184929:185474&amp;c=444444", "offset 142")</f>
        <v>offset 142</v>
      </c>
    </row>
    <row r="619" customFormat="false" ht="12.8" hidden="false" customHeight="false" outlineLevel="0" collapsed="false">
      <c r="A619" s="0" t="s">
        <v>12</v>
      </c>
      <c r="B619" s="0" t="n">
        <v>186138</v>
      </c>
      <c r="C619" s="0" t="n">
        <v>186158</v>
      </c>
      <c r="D619" s="0" t="s">
        <v>2079</v>
      </c>
      <c r="E619" s="0" t="s">
        <v>89</v>
      </c>
      <c r="F619" s="0" t="s">
        <v>90</v>
      </c>
      <c r="G619" s="0" t="s">
        <v>16</v>
      </c>
      <c r="H619" s="0" t="n">
        <v>7</v>
      </c>
      <c r="I619" s="0" t="s">
        <v>2080</v>
      </c>
      <c r="J619" s="0" t="s">
        <v>2081</v>
      </c>
      <c r="K619" s="0" t="s">
        <v>2082</v>
      </c>
      <c r="L619" s="0" t="str">
        <f aca="false">HYPERLINK("https://www.ncbi.nlm.nih.gov/nuccore/CP000304.1?report=graph&amp;tracks=[key:gene_model_track,Options:GeneOnly]&amp;mk=186139:186158|offset_7|00cc00,186119:186138|offset_27|444444,186095:186114|offset_51|444444,186075:186094|offset_71|444444&amp;v=185938:186294&amp;c=444444", "offset 7")</f>
        <v>offset 7</v>
      </c>
    </row>
    <row r="620" customFormat="false" ht="12.8" hidden="false" customHeight="false" outlineLevel="0" collapsed="false">
      <c r="A620" s="0" t="s">
        <v>12</v>
      </c>
      <c r="B620" s="0" t="n">
        <v>186118</v>
      </c>
      <c r="C620" s="0" t="n">
        <v>186138</v>
      </c>
      <c r="D620" s="0" t="s">
        <v>2079</v>
      </c>
      <c r="E620" s="0" t="s">
        <v>89</v>
      </c>
      <c r="F620" s="0" t="s">
        <v>90</v>
      </c>
      <c r="G620" s="0" t="s">
        <v>26</v>
      </c>
      <c r="H620" s="0" t="n">
        <v>27</v>
      </c>
      <c r="I620" s="0" t="s">
        <v>2083</v>
      </c>
      <c r="J620" s="0" t="s">
        <v>2084</v>
      </c>
      <c r="K620" s="0" t="s">
        <v>2085</v>
      </c>
      <c r="L620" s="0" t="str">
        <f aca="false">HYPERLINK("https://www.ncbi.nlm.nih.gov/nuccore/CP000304.1?report=graph&amp;tracks=[key:gene_model_track,Options:GeneOnly]&amp;mk=186139:186158|offset_7|444444,186119:186138|offset_27|00cc00,186095:186114|offset_51|444444,186075:186094|offset_71|444444&amp;v=185938:186294&amp;c=444444", "offset 27")</f>
        <v>offset 27</v>
      </c>
    </row>
    <row r="621" customFormat="false" ht="12.8" hidden="false" customHeight="false" outlineLevel="0" collapsed="false">
      <c r="A621" s="0" t="s">
        <v>12</v>
      </c>
      <c r="B621" s="0" t="n">
        <v>186094</v>
      </c>
      <c r="C621" s="0" t="n">
        <v>186114</v>
      </c>
      <c r="D621" s="0" t="s">
        <v>2079</v>
      </c>
      <c r="E621" s="0" t="s">
        <v>89</v>
      </c>
      <c r="F621" s="0" t="s">
        <v>90</v>
      </c>
      <c r="G621" s="0" t="s">
        <v>26</v>
      </c>
      <c r="H621" s="0" t="n">
        <v>51</v>
      </c>
      <c r="I621" s="0" t="s">
        <v>2086</v>
      </c>
      <c r="J621" s="0" t="s">
        <v>2087</v>
      </c>
      <c r="K621" s="0" t="s">
        <v>2088</v>
      </c>
      <c r="L621" s="0" t="str">
        <f aca="false">HYPERLINK("https://www.ncbi.nlm.nih.gov/nuccore/CP000304.1?report=graph&amp;tracks=[key:gene_model_track,Options:GeneOnly]&amp;mk=186139:186158|offset_7|444444,186119:186138|offset_27|444444,186095:186114|offset_51|00cc00,186075:186094|offset_71|444444&amp;v=185938:186294&amp;c=444444", "offset 51")</f>
        <v>offset 51</v>
      </c>
    </row>
    <row r="622" customFormat="false" ht="12.8" hidden="false" customHeight="false" outlineLevel="0" collapsed="false">
      <c r="A622" s="0" t="s">
        <v>12</v>
      </c>
      <c r="B622" s="0" t="n">
        <v>186074</v>
      </c>
      <c r="C622" s="0" t="n">
        <v>186094</v>
      </c>
      <c r="D622" s="0" t="s">
        <v>2079</v>
      </c>
      <c r="E622" s="0" t="s">
        <v>89</v>
      </c>
      <c r="F622" s="0" t="s">
        <v>90</v>
      </c>
      <c r="G622" s="0" t="s">
        <v>32</v>
      </c>
      <c r="H622" s="0" t="n">
        <v>71</v>
      </c>
      <c r="I622" s="0" t="s">
        <v>2089</v>
      </c>
      <c r="J622" s="0" t="s">
        <v>2090</v>
      </c>
      <c r="K622" s="0" t="s">
        <v>2091</v>
      </c>
      <c r="L622" s="0" t="str">
        <f aca="false">HYPERLINK("https://www.ncbi.nlm.nih.gov/nuccore/CP000304.1?report=graph&amp;tracks=[key:gene_model_track,Options:GeneOnly]&amp;mk=186139:186158|offset_7|444444,186119:186138|offset_27|444444,186095:186114|offset_51|444444,186075:186094|offset_71|00cc00&amp;v=185938:186294&amp;c=444444", "offset 71")</f>
        <v>offset 71</v>
      </c>
    </row>
    <row r="623" customFormat="false" ht="12.8" hidden="false" customHeight="false" outlineLevel="0" collapsed="false">
      <c r="A623" s="0" t="s">
        <v>12</v>
      </c>
      <c r="B623" s="0" t="n">
        <v>186289</v>
      </c>
      <c r="C623" s="0" t="n">
        <v>186309</v>
      </c>
      <c r="D623" s="0" t="s">
        <v>2092</v>
      </c>
      <c r="E623" s="0" t="s">
        <v>89</v>
      </c>
      <c r="F623" s="0" t="s">
        <v>15</v>
      </c>
      <c r="G623" s="0" t="s">
        <v>32</v>
      </c>
      <c r="H623" s="0" t="n">
        <v>1</v>
      </c>
      <c r="I623" s="0" t="s">
        <v>2093</v>
      </c>
      <c r="J623" s="0" t="s">
        <v>2094</v>
      </c>
      <c r="K623" s="0" t="s">
        <v>2095</v>
      </c>
      <c r="L623" s="0" t="str">
        <f aca="false">HYPERLINK("https://www.ncbi.nlm.nih.gov/nuccore/CP000304.1?report=graph&amp;tracks=[key:gene_model_track,Options:GeneOnly]&amp;mk=186290:186309|offset_1|00cc00,186341:186360|offset_52|444444,186363:186382|offset_74|444444,186386:186405|offset_97|444444&amp;v=186089:186605&amp;c=444444", "offset 1")</f>
        <v>offset 1</v>
      </c>
    </row>
    <row r="624" customFormat="false" ht="12.8" hidden="false" customHeight="false" outlineLevel="0" collapsed="false">
      <c r="A624" s="0" t="s">
        <v>12</v>
      </c>
      <c r="B624" s="0" t="n">
        <v>186340</v>
      </c>
      <c r="C624" s="0" t="n">
        <v>186360</v>
      </c>
      <c r="D624" s="0" t="s">
        <v>2092</v>
      </c>
      <c r="E624" s="0" t="s">
        <v>89</v>
      </c>
      <c r="F624" s="0" t="s">
        <v>15</v>
      </c>
      <c r="G624" s="0" t="s">
        <v>16</v>
      </c>
      <c r="H624" s="0" t="n">
        <v>52</v>
      </c>
      <c r="I624" s="0" t="s">
        <v>2096</v>
      </c>
      <c r="J624" s="0" t="s">
        <v>2097</v>
      </c>
      <c r="K624" s="0" t="s">
        <v>2098</v>
      </c>
      <c r="L624" s="0" t="str">
        <f aca="false">HYPERLINK("https://www.ncbi.nlm.nih.gov/nuccore/CP000304.1?report=graph&amp;tracks=[key:gene_model_track,Options:GeneOnly]&amp;mk=186290:186309|offset_1|444444,186341:186360|offset_52|00cc00,186363:186382|offset_74|444444,186386:186405|offset_97|444444&amp;v=186089:186605&amp;c=444444", "offset 52")</f>
        <v>offset 52</v>
      </c>
    </row>
    <row r="625" customFormat="false" ht="12.8" hidden="false" customHeight="false" outlineLevel="0" collapsed="false">
      <c r="A625" s="0" t="s">
        <v>12</v>
      </c>
      <c r="B625" s="0" t="n">
        <v>186362</v>
      </c>
      <c r="C625" s="0" t="n">
        <v>186382</v>
      </c>
      <c r="D625" s="0" t="s">
        <v>2092</v>
      </c>
      <c r="E625" s="0" t="s">
        <v>89</v>
      </c>
      <c r="F625" s="0" t="s">
        <v>15</v>
      </c>
      <c r="G625" s="0" t="s">
        <v>32</v>
      </c>
      <c r="H625" s="0" t="n">
        <v>74</v>
      </c>
      <c r="I625" s="0" t="s">
        <v>2099</v>
      </c>
      <c r="J625" s="0" t="s">
        <v>2100</v>
      </c>
      <c r="K625" s="0" t="s">
        <v>2101</v>
      </c>
      <c r="L625" s="0" t="str">
        <f aca="false">HYPERLINK("https://www.ncbi.nlm.nih.gov/nuccore/CP000304.1?report=graph&amp;tracks=[key:gene_model_track,Options:GeneOnly]&amp;mk=186290:186309|offset_1|444444,186341:186360|offset_52|444444,186363:186382|offset_74|00cc00,186386:186405|offset_97|444444&amp;v=186089:186605&amp;c=444444", "offset 74")</f>
        <v>offset 74</v>
      </c>
    </row>
    <row r="626" customFormat="false" ht="12.8" hidden="false" customHeight="false" outlineLevel="0" collapsed="false">
      <c r="A626" s="0" t="s">
        <v>12</v>
      </c>
      <c r="B626" s="0" t="n">
        <v>186385</v>
      </c>
      <c r="C626" s="0" t="n">
        <v>186405</v>
      </c>
      <c r="D626" s="0" t="s">
        <v>2092</v>
      </c>
      <c r="E626" s="0" t="s">
        <v>89</v>
      </c>
      <c r="F626" s="0" t="s">
        <v>15</v>
      </c>
      <c r="G626" s="0" t="s">
        <v>16</v>
      </c>
      <c r="H626" s="0" t="n">
        <v>97</v>
      </c>
      <c r="I626" s="0" t="s">
        <v>2102</v>
      </c>
      <c r="J626" s="0" t="s">
        <v>2103</v>
      </c>
      <c r="K626" s="0" t="s">
        <v>2104</v>
      </c>
      <c r="L626" s="0" t="str">
        <f aca="false">HYPERLINK("https://www.ncbi.nlm.nih.gov/nuccore/CP000304.1?report=graph&amp;tracks=[key:gene_model_track,Options:GeneOnly]&amp;mk=186290:186309|offset_1|444444,186341:186360|offset_52|444444,186363:186382|offset_74|444444,186386:186405|offset_97|00cc00&amp;v=186089:186605&amp;c=444444", "offset 97")</f>
        <v>offset 97</v>
      </c>
    </row>
    <row r="627" customFormat="false" ht="12.8" hidden="false" customHeight="false" outlineLevel="0" collapsed="false">
      <c r="A627" s="0" t="s">
        <v>12</v>
      </c>
      <c r="B627" s="0" t="n">
        <v>189202</v>
      </c>
      <c r="C627" s="0" t="n">
        <v>189222</v>
      </c>
      <c r="D627" s="0" t="s">
        <v>2105</v>
      </c>
      <c r="E627" s="0" t="s">
        <v>2106</v>
      </c>
      <c r="F627" s="0" t="s">
        <v>90</v>
      </c>
      <c r="G627" s="0" t="s">
        <v>16</v>
      </c>
      <c r="H627" s="0" t="n">
        <v>16</v>
      </c>
      <c r="I627" s="0" t="s">
        <v>2107</v>
      </c>
      <c r="J627" s="0" t="s">
        <v>2108</v>
      </c>
      <c r="K627" s="0" t="s">
        <v>2109</v>
      </c>
      <c r="L627" s="0" t="str">
        <f aca="false">HYPERLINK("https://www.ncbi.nlm.nih.gov/nuccore/CP000304.1?report=graph&amp;tracks=[key:gene_model_track,Options:GeneOnly]&amp;mk=189203:189222|offset_16|00cc00,189176:189195|offset_43|444444,189155:189174|offset_64|444444,189107:189126|offset_112|444444&amp;v=189002:189326&amp;c=444444", "offset 16")</f>
        <v>offset 16</v>
      </c>
    </row>
    <row r="628" customFormat="false" ht="12.8" hidden="false" customHeight="false" outlineLevel="0" collapsed="false">
      <c r="A628" s="0" t="s">
        <v>12</v>
      </c>
      <c r="B628" s="0" t="n">
        <v>189175</v>
      </c>
      <c r="C628" s="0" t="n">
        <v>189195</v>
      </c>
      <c r="D628" s="0" t="s">
        <v>2105</v>
      </c>
      <c r="E628" s="0" t="s">
        <v>2106</v>
      </c>
      <c r="F628" s="0" t="s">
        <v>90</v>
      </c>
      <c r="G628" s="0" t="s">
        <v>16</v>
      </c>
      <c r="H628" s="0" t="n">
        <v>43</v>
      </c>
      <c r="I628" s="0" t="s">
        <v>2110</v>
      </c>
      <c r="J628" s="0" t="s">
        <v>2111</v>
      </c>
      <c r="K628" s="0" t="s">
        <v>2112</v>
      </c>
      <c r="L628" s="0" t="str">
        <f aca="false">HYPERLINK("https://www.ncbi.nlm.nih.gov/nuccore/CP000304.1?report=graph&amp;tracks=[key:gene_model_track,Options:GeneOnly]&amp;mk=189203:189222|offset_16|444444,189176:189195|offset_43|00cc00,189155:189174|offset_64|444444,189107:189126|offset_112|444444&amp;v=189002:189326&amp;c=444444", "offset 43")</f>
        <v>offset 43</v>
      </c>
    </row>
    <row r="629" customFormat="false" ht="12.8" hidden="false" customHeight="false" outlineLevel="0" collapsed="false">
      <c r="A629" s="0" t="s">
        <v>12</v>
      </c>
      <c r="B629" s="0" t="n">
        <v>189154</v>
      </c>
      <c r="C629" s="0" t="n">
        <v>189174</v>
      </c>
      <c r="D629" s="0" t="s">
        <v>2105</v>
      </c>
      <c r="E629" s="0" t="s">
        <v>2106</v>
      </c>
      <c r="F629" s="0" t="s">
        <v>90</v>
      </c>
      <c r="G629" s="0" t="s">
        <v>16</v>
      </c>
      <c r="H629" s="0" t="n">
        <v>64</v>
      </c>
      <c r="I629" s="0" t="s">
        <v>2113</v>
      </c>
      <c r="J629" s="0" t="s">
        <v>2114</v>
      </c>
      <c r="K629" s="0" t="s">
        <v>2115</v>
      </c>
      <c r="L629" s="0" t="str">
        <f aca="false">HYPERLINK("https://www.ncbi.nlm.nih.gov/nuccore/CP000304.1?report=graph&amp;tracks=[key:gene_model_track,Options:GeneOnly]&amp;mk=189203:189222|offset_16|444444,189176:189195|offset_43|444444,189155:189174|offset_64|00cc00,189107:189126|offset_112|444444&amp;v=189002:189326&amp;c=444444", "offset 64")</f>
        <v>offset 64</v>
      </c>
    </row>
    <row r="630" customFormat="false" ht="12.8" hidden="false" customHeight="false" outlineLevel="0" collapsed="false">
      <c r="A630" s="0" t="s">
        <v>12</v>
      </c>
      <c r="B630" s="0" t="n">
        <v>189106</v>
      </c>
      <c r="C630" s="0" t="n">
        <v>189126</v>
      </c>
      <c r="D630" s="0" t="s">
        <v>2105</v>
      </c>
      <c r="E630" s="0" t="s">
        <v>2106</v>
      </c>
      <c r="F630" s="0" t="s">
        <v>90</v>
      </c>
      <c r="G630" s="0" t="s">
        <v>32</v>
      </c>
      <c r="H630" s="0" t="n">
        <v>112</v>
      </c>
      <c r="I630" s="0" t="s">
        <v>2116</v>
      </c>
      <c r="J630" s="0" t="s">
        <v>2117</v>
      </c>
      <c r="K630" s="0" t="s">
        <v>2118</v>
      </c>
      <c r="L630" s="0" t="str">
        <f aca="false">HYPERLINK("https://www.ncbi.nlm.nih.gov/nuccore/CP000304.1?report=graph&amp;tracks=[key:gene_model_track,Options:GeneOnly]&amp;mk=189203:189222|offset_16|444444,189176:189195|offset_43|444444,189155:189174|offset_64|444444,189107:189126|offset_112|00cc00&amp;v=189002:189326&amp;c=444444", "offset 112")</f>
        <v>offset 112</v>
      </c>
    </row>
    <row r="631" customFormat="false" ht="12.8" hidden="false" customHeight="false" outlineLevel="0" collapsed="false">
      <c r="A631" s="0" t="s">
        <v>12</v>
      </c>
      <c r="B631" s="0" t="n">
        <v>190603</v>
      </c>
      <c r="C631" s="0" t="n">
        <v>190623</v>
      </c>
      <c r="D631" s="0" t="s">
        <v>2119</v>
      </c>
      <c r="E631" s="0" t="s">
        <v>2120</v>
      </c>
      <c r="F631" s="0" t="s">
        <v>90</v>
      </c>
      <c r="G631" s="0" t="s">
        <v>36</v>
      </c>
      <c r="H631" s="0" t="n">
        <v>21</v>
      </c>
      <c r="I631" s="0" t="s">
        <v>2121</v>
      </c>
      <c r="J631" s="0" t="s">
        <v>2122</v>
      </c>
      <c r="K631" s="0" t="s">
        <v>2123</v>
      </c>
      <c r="L631" s="0" t="str">
        <f aca="false">HYPERLINK("https://www.ncbi.nlm.nih.gov/nuccore/CP000304.1?report=graph&amp;tracks=[key:gene_model_track,Options:GeneOnly]&amp;mk=190604:190623|offset_21|00cc00,190578:190597|offset_47|444444,190493:190512|offset_132|444444,190471:190490|offset_154|444444&amp;v=190403:190690&amp;c=444444", "offset 21")</f>
        <v>offset 21</v>
      </c>
    </row>
    <row r="632" customFormat="false" ht="12.8" hidden="false" customHeight="false" outlineLevel="0" collapsed="false">
      <c r="A632" s="0" t="s">
        <v>12</v>
      </c>
      <c r="B632" s="0" t="n">
        <v>190577</v>
      </c>
      <c r="C632" s="0" t="n">
        <v>190597</v>
      </c>
      <c r="D632" s="0" t="s">
        <v>2119</v>
      </c>
      <c r="E632" s="0" t="s">
        <v>2120</v>
      </c>
      <c r="F632" s="0" t="s">
        <v>90</v>
      </c>
      <c r="G632" s="0" t="s">
        <v>36</v>
      </c>
      <c r="H632" s="0" t="n">
        <v>47</v>
      </c>
      <c r="I632" s="0" t="s">
        <v>2124</v>
      </c>
      <c r="J632" s="0" t="s">
        <v>2125</v>
      </c>
      <c r="K632" s="0" t="s">
        <v>2126</v>
      </c>
      <c r="L632" s="0" t="str">
        <f aca="false">HYPERLINK("https://www.ncbi.nlm.nih.gov/nuccore/CP000304.1?report=graph&amp;tracks=[key:gene_model_track,Options:GeneOnly]&amp;mk=190604:190623|offset_21|444444,190578:190597|offset_47|00cc00,190493:190512|offset_132|444444,190471:190490|offset_154|444444&amp;v=190403:190690&amp;c=444444", "offset 47")</f>
        <v>offset 47</v>
      </c>
    </row>
    <row r="633" customFormat="false" ht="12.8" hidden="false" customHeight="false" outlineLevel="0" collapsed="false">
      <c r="A633" s="0" t="s">
        <v>12</v>
      </c>
      <c r="B633" s="0" t="n">
        <v>190492</v>
      </c>
      <c r="C633" s="0" t="n">
        <v>190512</v>
      </c>
      <c r="D633" s="0" t="s">
        <v>2119</v>
      </c>
      <c r="E633" s="0" t="s">
        <v>2120</v>
      </c>
      <c r="F633" s="0" t="s">
        <v>90</v>
      </c>
      <c r="G633" s="0" t="s">
        <v>16</v>
      </c>
      <c r="H633" s="0" t="n">
        <v>132</v>
      </c>
      <c r="I633" s="0" t="s">
        <v>2127</v>
      </c>
      <c r="J633" s="0" t="s">
        <v>2128</v>
      </c>
      <c r="K633" s="0" t="s">
        <v>2129</v>
      </c>
      <c r="L633" s="0" t="str">
        <f aca="false">HYPERLINK("https://www.ncbi.nlm.nih.gov/nuccore/CP000304.1?report=graph&amp;tracks=[key:gene_model_track,Options:GeneOnly]&amp;mk=190604:190623|offset_21|444444,190578:190597|offset_47|444444,190493:190512|offset_132|00cc00,190471:190490|offset_154|444444&amp;v=190403:190690&amp;c=444444", "offset 132")</f>
        <v>offset 132</v>
      </c>
    </row>
    <row r="634" customFormat="false" ht="12.8" hidden="false" customHeight="false" outlineLevel="0" collapsed="false">
      <c r="A634" s="0" t="s">
        <v>12</v>
      </c>
      <c r="B634" s="0" t="n">
        <v>190470</v>
      </c>
      <c r="C634" s="0" t="n">
        <v>190490</v>
      </c>
      <c r="D634" s="0" t="s">
        <v>2119</v>
      </c>
      <c r="E634" s="0" t="s">
        <v>2120</v>
      </c>
      <c r="F634" s="0" t="s">
        <v>90</v>
      </c>
      <c r="G634" s="0" t="s">
        <v>16</v>
      </c>
      <c r="H634" s="0" t="n">
        <v>154</v>
      </c>
      <c r="I634" s="0" t="s">
        <v>2130</v>
      </c>
      <c r="J634" s="0" t="s">
        <v>2131</v>
      </c>
      <c r="K634" s="0" t="s">
        <v>2132</v>
      </c>
      <c r="L634" s="0" t="str">
        <f aca="false">HYPERLINK("https://www.ncbi.nlm.nih.gov/nuccore/CP000304.1?report=graph&amp;tracks=[key:gene_model_track,Options:GeneOnly]&amp;mk=190604:190623|offset_21|444444,190578:190597|offset_47|444444,190493:190512|offset_132|444444,190471:190490|offset_154|00cc00&amp;v=190403:190690&amp;c=444444", "offset 154")</f>
        <v>offset 154</v>
      </c>
    </row>
    <row r="635" customFormat="false" ht="12.8" hidden="false" customHeight="false" outlineLevel="0" collapsed="false">
      <c r="A635" s="0" t="s">
        <v>12</v>
      </c>
      <c r="B635" s="0" t="n">
        <v>191525</v>
      </c>
      <c r="C635" s="0" t="n">
        <v>191545</v>
      </c>
      <c r="D635" s="0" t="s">
        <v>2133</v>
      </c>
      <c r="E635" s="0" t="s">
        <v>89</v>
      </c>
      <c r="F635" s="0" t="s">
        <v>90</v>
      </c>
      <c r="G635" s="0" t="s">
        <v>32</v>
      </c>
      <c r="H635" s="0" t="n">
        <v>13</v>
      </c>
      <c r="I635" s="0" t="s">
        <v>2134</v>
      </c>
      <c r="J635" s="0" t="s">
        <v>2135</v>
      </c>
      <c r="K635" s="0" t="s">
        <v>2136</v>
      </c>
      <c r="L635" s="0" t="str">
        <f aca="false">HYPERLINK("https://www.ncbi.nlm.nih.gov/nuccore/CP000304.1?report=graph&amp;tracks=[key:gene_model_track,Options:GeneOnly]&amp;mk=191526:191545|offset_13|00cc00,191499:191518|offset_40|444444,191475:191494|offset_64|444444,191448:191467|offset_91|444444&amp;v=191325:191667&amp;c=444444", "offset 13")</f>
        <v>offset 13</v>
      </c>
    </row>
    <row r="636" customFormat="false" ht="12.8" hidden="false" customHeight="false" outlineLevel="0" collapsed="false">
      <c r="A636" s="0" t="s">
        <v>12</v>
      </c>
      <c r="B636" s="0" t="n">
        <v>191498</v>
      </c>
      <c r="C636" s="0" t="n">
        <v>191518</v>
      </c>
      <c r="D636" s="0" t="s">
        <v>2133</v>
      </c>
      <c r="E636" s="0" t="s">
        <v>89</v>
      </c>
      <c r="F636" s="0" t="s">
        <v>90</v>
      </c>
      <c r="G636" s="0" t="s">
        <v>16</v>
      </c>
      <c r="H636" s="0" t="n">
        <v>40</v>
      </c>
      <c r="I636" s="0" t="s">
        <v>2137</v>
      </c>
      <c r="J636" s="0" t="s">
        <v>2138</v>
      </c>
      <c r="K636" s="0" t="s">
        <v>2139</v>
      </c>
      <c r="L636" s="0" t="str">
        <f aca="false">HYPERLINK("https://www.ncbi.nlm.nih.gov/nuccore/CP000304.1?report=graph&amp;tracks=[key:gene_model_track,Options:GeneOnly]&amp;mk=191526:191545|offset_13|444444,191499:191518|offset_40|00cc00,191475:191494|offset_64|444444,191448:191467|offset_91|444444&amp;v=191325:191667&amp;c=444444", "offset 40")</f>
        <v>offset 40</v>
      </c>
    </row>
    <row r="637" customFormat="false" ht="12.8" hidden="false" customHeight="false" outlineLevel="0" collapsed="false">
      <c r="A637" s="0" t="s">
        <v>12</v>
      </c>
      <c r="B637" s="0" t="n">
        <v>191474</v>
      </c>
      <c r="C637" s="0" t="n">
        <v>191494</v>
      </c>
      <c r="D637" s="0" t="s">
        <v>2133</v>
      </c>
      <c r="E637" s="0" t="s">
        <v>89</v>
      </c>
      <c r="F637" s="0" t="s">
        <v>90</v>
      </c>
      <c r="G637" s="0" t="s">
        <v>32</v>
      </c>
      <c r="H637" s="0" t="n">
        <v>64</v>
      </c>
      <c r="I637" s="0" t="s">
        <v>2140</v>
      </c>
      <c r="J637" s="0" t="s">
        <v>2141</v>
      </c>
      <c r="K637" s="0" t="s">
        <v>2142</v>
      </c>
      <c r="L637" s="0" t="str">
        <f aca="false">HYPERLINK("https://www.ncbi.nlm.nih.gov/nuccore/CP000304.1?report=graph&amp;tracks=[key:gene_model_track,Options:GeneOnly]&amp;mk=191526:191545|offset_13|444444,191499:191518|offset_40|444444,191475:191494|offset_64|00cc00,191448:191467|offset_91|444444&amp;v=191325:191667&amp;c=444444", "offset 64")</f>
        <v>offset 64</v>
      </c>
    </row>
    <row r="638" customFormat="false" ht="12.8" hidden="false" customHeight="false" outlineLevel="0" collapsed="false">
      <c r="A638" s="0" t="s">
        <v>12</v>
      </c>
      <c r="B638" s="0" t="n">
        <v>191447</v>
      </c>
      <c r="C638" s="0" t="n">
        <v>191467</v>
      </c>
      <c r="D638" s="0" t="s">
        <v>2133</v>
      </c>
      <c r="E638" s="0" t="s">
        <v>89</v>
      </c>
      <c r="F638" s="0" t="s">
        <v>90</v>
      </c>
      <c r="G638" s="0" t="s">
        <v>36</v>
      </c>
      <c r="H638" s="0" t="n">
        <v>91</v>
      </c>
      <c r="I638" s="0" t="s">
        <v>2143</v>
      </c>
      <c r="J638" s="0" t="s">
        <v>2144</v>
      </c>
      <c r="K638" s="0" t="s">
        <v>2145</v>
      </c>
      <c r="L638" s="0" t="str">
        <f aca="false">HYPERLINK("https://www.ncbi.nlm.nih.gov/nuccore/CP000304.1?report=graph&amp;tracks=[key:gene_model_track,Options:GeneOnly]&amp;mk=191526:191545|offset_13|444444,191499:191518|offset_40|444444,191475:191494|offset_64|444444,191448:191467|offset_91|00cc00&amp;v=191325:191667&amp;c=444444", "offset 91")</f>
        <v>offset 91</v>
      </c>
    </row>
    <row r="639" customFormat="false" ht="12.8" hidden="false" customHeight="false" outlineLevel="0" collapsed="false">
      <c r="A639" s="0" t="s">
        <v>12</v>
      </c>
      <c r="B639" s="0" t="n">
        <v>192256</v>
      </c>
      <c r="C639" s="0" t="n">
        <v>192276</v>
      </c>
      <c r="D639" s="0" t="s">
        <v>2146</v>
      </c>
      <c r="E639" s="0" t="s">
        <v>2147</v>
      </c>
      <c r="F639" s="0" t="s">
        <v>90</v>
      </c>
      <c r="G639" s="0" t="s">
        <v>36</v>
      </c>
      <c r="H639" s="0" t="n">
        <v>32</v>
      </c>
      <c r="I639" s="0" t="s">
        <v>2148</v>
      </c>
      <c r="J639" s="0" t="s">
        <v>2149</v>
      </c>
      <c r="K639" s="0" t="s">
        <v>2150</v>
      </c>
      <c r="L639" s="0" t="str">
        <f aca="false">HYPERLINK("https://www.ncbi.nlm.nih.gov/nuccore/CP000304.1?report=graph&amp;tracks=[key:gene_model_track,Options:GeneOnly]&amp;mk=192257:192276|offset_32|00cc00,192198:192217|offset_91|444444,192178:192197|offset_111|444444,192138:192157|offset_151|444444&amp;v=192056:192357&amp;c=444444", "offset 32")</f>
        <v>offset 32</v>
      </c>
    </row>
    <row r="640" customFormat="false" ht="12.8" hidden="false" customHeight="false" outlineLevel="0" collapsed="false">
      <c r="A640" s="0" t="s">
        <v>12</v>
      </c>
      <c r="B640" s="0" t="n">
        <v>192197</v>
      </c>
      <c r="C640" s="0" t="n">
        <v>192217</v>
      </c>
      <c r="D640" s="0" t="s">
        <v>2146</v>
      </c>
      <c r="E640" s="0" t="s">
        <v>2147</v>
      </c>
      <c r="F640" s="0" t="s">
        <v>90</v>
      </c>
      <c r="G640" s="0" t="s">
        <v>16</v>
      </c>
      <c r="H640" s="0" t="n">
        <v>91</v>
      </c>
      <c r="I640" s="0" t="s">
        <v>2151</v>
      </c>
      <c r="J640" s="0" t="s">
        <v>2152</v>
      </c>
      <c r="K640" s="0" t="s">
        <v>2153</v>
      </c>
      <c r="L640" s="0" t="str">
        <f aca="false">HYPERLINK("https://www.ncbi.nlm.nih.gov/nuccore/CP000304.1?report=graph&amp;tracks=[key:gene_model_track,Options:GeneOnly]&amp;mk=192257:192276|offset_32|444444,192198:192217|offset_91|00cc00,192178:192197|offset_111|444444,192138:192157|offset_151|444444&amp;v=192056:192357&amp;c=444444", "offset 91")</f>
        <v>offset 91</v>
      </c>
    </row>
    <row r="641" customFormat="false" ht="12.8" hidden="false" customHeight="false" outlineLevel="0" collapsed="false">
      <c r="A641" s="0" t="s">
        <v>12</v>
      </c>
      <c r="B641" s="0" t="n">
        <v>192177</v>
      </c>
      <c r="C641" s="0" t="n">
        <v>192197</v>
      </c>
      <c r="D641" s="0" t="s">
        <v>2146</v>
      </c>
      <c r="E641" s="0" t="s">
        <v>2147</v>
      </c>
      <c r="F641" s="0" t="s">
        <v>90</v>
      </c>
      <c r="G641" s="0" t="s">
        <v>16</v>
      </c>
      <c r="H641" s="0" t="n">
        <v>111</v>
      </c>
      <c r="I641" s="0" t="s">
        <v>2154</v>
      </c>
      <c r="J641" s="0" t="s">
        <v>2155</v>
      </c>
      <c r="K641" s="0" t="s">
        <v>2156</v>
      </c>
      <c r="L641" s="0" t="str">
        <f aca="false">HYPERLINK("https://www.ncbi.nlm.nih.gov/nuccore/CP000304.1?report=graph&amp;tracks=[key:gene_model_track,Options:GeneOnly]&amp;mk=192257:192276|offset_32|444444,192198:192217|offset_91|444444,192178:192197|offset_111|00cc00,192138:192157|offset_151|444444&amp;v=192056:192357&amp;c=444444", "offset 111")</f>
        <v>offset 111</v>
      </c>
    </row>
    <row r="642" customFormat="false" ht="12.8" hidden="false" customHeight="false" outlineLevel="0" collapsed="false">
      <c r="A642" s="0" t="s">
        <v>12</v>
      </c>
      <c r="B642" s="0" t="n">
        <v>192137</v>
      </c>
      <c r="C642" s="0" t="n">
        <v>192157</v>
      </c>
      <c r="D642" s="0" t="s">
        <v>2146</v>
      </c>
      <c r="E642" s="0" t="s">
        <v>2147</v>
      </c>
      <c r="F642" s="0" t="s">
        <v>90</v>
      </c>
      <c r="G642" s="0" t="s">
        <v>26</v>
      </c>
      <c r="H642" s="0" t="n">
        <v>151</v>
      </c>
      <c r="I642" s="0" t="s">
        <v>2157</v>
      </c>
      <c r="J642" s="0" t="s">
        <v>2158</v>
      </c>
      <c r="K642" s="0" t="s">
        <v>2159</v>
      </c>
      <c r="L642" s="0" t="str">
        <f aca="false">HYPERLINK("https://www.ncbi.nlm.nih.gov/nuccore/CP000304.1?report=graph&amp;tracks=[key:gene_model_track,Options:GeneOnly]&amp;mk=192257:192276|offset_32|444444,192198:192217|offset_91|444444,192178:192197|offset_111|444444,192138:192157|offset_151|00cc00&amp;v=192056:192357&amp;c=444444", "offset 151")</f>
        <v>offset 151</v>
      </c>
    </row>
    <row r="643" customFormat="false" ht="12.8" hidden="false" customHeight="false" outlineLevel="0" collapsed="false">
      <c r="A643" s="0" t="s">
        <v>12</v>
      </c>
      <c r="B643" s="0" t="n">
        <v>193255</v>
      </c>
      <c r="C643" s="0" t="n">
        <v>193275</v>
      </c>
      <c r="D643" s="0" t="s">
        <v>2160</v>
      </c>
      <c r="E643" s="0" t="s">
        <v>2161</v>
      </c>
      <c r="F643" s="0" t="s">
        <v>90</v>
      </c>
      <c r="G643" s="0" t="s">
        <v>16</v>
      </c>
      <c r="H643" s="0" t="n">
        <v>26</v>
      </c>
      <c r="I643" s="0" t="s">
        <v>2162</v>
      </c>
      <c r="J643" s="0" t="s">
        <v>2163</v>
      </c>
      <c r="K643" s="0" t="s">
        <v>2164</v>
      </c>
      <c r="L643" s="0" t="str">
        <f aca="false">HYPERLINK("https://www.ncbi.nlm.nih.gov/nuccore/CP000304.1?report=graph&amp;tracks=[key:gene_model_track,Options:GeneOnly]&amp;mk=193256:193275|offset_26|00cc00,193231:193250|offset_51|444444,193188:193207|offset_94|444444,193164:193183|offset_118|444444&amp;v=193055:193383&amp;c=444444", "offset 26")</f>
        <v>offset 26</v>
      </c>
    </row>
    <row r="644" customFormat="false" ht="12.8" hidden="false" customHeight="false" outlineLevel="0" collapsed="false">
      <c r="A644" s="0" t="s">
        <v>12</v>
      </c>
      <c r="B644" s="0" t="n">
        <v>193230</v>
      </c>
      <c r="C644" s="0" t="n">
        <v>193250</v>
      </c>
      <c r="D644" s="0" t="s">
        <v>2160</v>
      </c>
      <c r="E644" s="0" t="s">
        <v>2161</v>
      </c>
      <c r="F644" s="0" t="s">
        <v>90</v>
      </c>
      <c r="G644" s="0" t="s">
        <v>16</v>
      </c>
      <c r="H644" s="0" t="n">
        <v>51</v>
      </c>
      <c r="I644" s="0" t="s">
        <v>2165</v>
      </c>
      <c r="J644" s="0" t="s">
        <v>2166</v>
      </c>
      <c r="K644" s="0" t="s">
        <v>2167</v>
      </c>
      <c r="L644" s="0" t="str">
        <f aca="false">HYPERLINK("https://www.ncbi.nlm.nih.gov/nuccore/CP000304.1?report=graph&amp;tracks=[key:gene_model_track,Options:GeneOnly]&amp;mk=193256:193275|offset_26|444444,193231:193250|offset_51|00cc00,193188:193207|offset_94|444444,193164:193183|offset_118|444444&amp;v=193055:193383&amp;c=444444", "offset 51")</f>
        <v>offset 51</v>
      </c>
    </row>
    <row r="645" customFormat="false" ht="12.8" hidden="false" customHeight="false" outlineLevel="0" collapsed="false">
      <c r="A645" s="0" t="s">
        <v>12</v>
      </c>
      <c r="B645" s="0" t="n">
        <v>193187</v>
      </c>
      <c r="C645" s="0" t="n">
        <v>193207</v>
      </c>
      <c r="D645" s="0" t="s">
        <v>2160</v>
      </c>
      <c r="E645" s="0" t="s">
        <v>2161</v>
      </c>
      <c r="F645" s="0" t="s">
        <v>90</v>
      </c>
      <c r="G645" s="0" t="s">
        <v>26</v>
      </c>
      <c r="H645" s="0" t="n">
        <v>94</v>
      </c>
      <c r="I645" s="0" t="s">
        <v>2168</v>
      </c>
      <c r="J645" s="0" t="s">
        <v>2169</v>
      </c>
      <c r="K645" s="0" t="s">
        <v>2170</v>
      </c>
      <c r="L645" s="0" t="str">
        <f aca="false">HYPERLINK("https://www.ncbi.nlm.nih.gov/nuccore/CP000304.1?report=graph&amp;tracks=[key:gene_model_track,Options:GeneOnly]&amp;mk=193256:193275|offset_26|444444,193231:193250|offset_51|444444,193188:193207|offset_94|00cc00,193164:193183|offset_118|444444&amp;v=193055:193383&amp;c=444444", "offset 94")</f>
        <v>offset 94</v>
      </c>
    </row>
    <row r="646" customFormat="false" ht="12.8" hidden="false" customHeight="false" outlineLevel="0" collapsed="false">
      <c r="A646" s="0" t="s">
        <v>12</v>
      </c>
      <c r="B646" s="0" t="n">
        <v>193163</v>
      </c>
      <c r="C646" s="0" t="n">
        <v>193183</v>
      </c>
      <c r="D646" s="0" t="s">
        <v>2160</v>
      </c>
      <c r="E646" s="0" t="s">
        <v>2161</v>
      </c>
      <c r="F646" s="0" t="s">
        <v>90</v>
      </c>
      <c r="G646" s="0" t="s">
        <v>26</v>
      </c>
      <c r="H646" s="0" t="n">
        <v>118</v>
      </c>
      <c r="I646" s="0" t="s">
        <v>2171</v>
      </c>
      <c r="J646" s="0" t="s">
        <v>2172</v>
      </c>
      <c r="K646" s="0" t="s">
        <v>2173</v>
      </c>
      <c r="L646" s="0" t="str">
        <f aca="false">HYPERLINK("https://www.ncbi.nlm.nih.gov/nuccore/CP000304.1?report=graph&amp;tracks=[key:gene_model_track,Options:GeneOnly]&amp;mk=193256:193275|offset_26|444444,193231:193250|offset_51|444444,193188:193207|offset_94|444444,193164:193183|offset_118|00cc00&amp;v=193055:193383&amp;c=444444", "offset 118")</f>
        <v>offset 118</v>
      </c>
    </row>
    <row r="647" customFormat="false" ht="12.8" hidden="false" customHeight="false" outlineLevel="0" collapsed="false">
      <c r="A647" s="0" t="s">
        <v>12</v>
      </c>
      <c r="B647" s="0" t="n">
        <v>195715</v>
      </c>
      <c r="C647" s="0" t="n">
        <v>195735</v>
      </c>
      <c r="D647" s="0" t="s">
        <v>2174</v>
      </c>
      <c r="E647" s="0" t="s">
        <v>89</v>
      </c>
      <c r="F647" s="0" t="s">
        <v>90</v>
      </c>
      <c r="G647" s="0" t="s">
        <v>32</v>
      </c>
      <c r="H647" s="0" t="n">
        <v>1</v>
      </c>
      <c r="I647" s="0" t="s">
        <v>2175</v>
      </c>
      <c r="J647" s="0" t="s">
        <v>2176</v>
      </c>
      <c r="K647" s="0" t="s">
        <v>2177</v>
      </c>
      <c r="L647" s="0" t="str">
        <f aca="false">HYPERLINK("https://www.ncbi.nlm.nih.gov/nuccore/CP000304.1?report=graph&amp;tracks=[key:gene_model_track,Options:GeneOnly]&amp;mk=195716:195735|offset_1|00cc00,195691:195710|offset_26|444444,195653:195672|offset_64|444444,195617:195636|offset_100|444444&amp;v=195515:195836&amp;c=444444", "offset 1")</f>
        <v>offset 1</v>
      </c>
    </row>
    <row r="648" customFormat="false" ht="12.8" hidden="false" customHeight="false" outlineLevel="0" collapsed="false">
      <c r="A648" s="0" t="s">
        <v>12</v>
      </c>
      <c r="B648" s="0" t="n">
        <v>195690</v>
      </c>
      <c r="C648" s="0" t="n">
        <v>195710</v>
      </c>
      <c r="D648" s="0" t="s">
        <v>2174</v>
      </c>
      <c r="E648" s="0" t="s">
        <v>89</v>
      </c>
      <c r="F648" s="0" t="s">
        <v>90</v>
      </c>
      <c r="G648" s="0" t="s">
        <v>32</v>
      </c>
      <c r="H648" s="0" t="n">
        <v>26</v>
      </c>
      <c r="I648" s="0" t="s">
        <v>2178</v>
      </c>
      <c r="J648" s="0" t="s">
        <v>2179</v>
      </c>
      <c r="K648" s="0" t="s">
        <v>2180</v>
      </c>
      <c r="L648" s="0" t="str">
        <f aca="false">HYPERLINK("https://www.ncbi.nlm.nih.gov/nuccore/CP000304.1?report=graph&amp;tracks=[key:gene_model_track,Options:GeneOnly]&amp;mk=195716:195735|offset_1|444444,195691:195710|offset_26|00cc00,195653:195672|offset_64|444444,195617:195636|offset_100|444444&amp;v=195515:195836&amp;c=444444", "offset 26")</f>
        <v>offset 26</v>
      </c>
    </row>
    <row r="649" customFormat="false" ht="12.8" hidden="false" customHeight="false" outlineLevel="0" collapsed="false">
      <c r="A649" s="0" t="s">
        <v>12</v>
      </c>
      <c r="B649" s="0" t="n">
        <v>195652</v>
      </c>
      <c r="C649" s="0" t="n">
        <v>195672</v>
      </c>
      <c r="D649" s="0" t="s">
        <v>2174</v>
      </c>
      <c r="E649" s="0" t="s">
        <v>89</v>
      </c>
      <c r="F649" s="0" t="s">
        <v>90</v>
      </c>
      <c r="G649" s="0" t="s">
        <v>16</v>
      </c>
      <c r="H649" s="0" t="n">
        <v>64</v>
      </c>
      <c r="I649" s="0" t="s">
        <v>2181</v>
      </c>
      <c r="J649" s="0" t="s">
        <v>2182</v>
      </c>
      <c r="K649" s="0" t="s">
        <v>2183</v>
      </c>
      <c r="L649" s="0" t="str">
        <f aca="false">HYPERLINK("https://www.ncbi.nlm.nih.gov/nuccore/CP000304.1?report=graph&amp;tracks=[key:gene_model_track,Options:GeneOnly]&amp;mk=195716:195735|offset_1|444444,195691:195710|offset_26|444444,195653:195672|offset_64|00cc00,195617:195636|offset_100|444444&amp;v=195515:195836&amp;c=444444", "offset 64")</f>
        <v>offset 64</v>
      </c>
    </row>
    <row r="650" customFormat="false" ht="12.8" hidden="false" customHeight="false" outlineLevel="0" collapsed="false">
      <c r="A650" s="0" t="s">
        <v>12</v>
      </c>
      <c r="B650" s="0" t="n">
        <v>195616</v>
      </c>
      <c r="C650" s="0" t="n">
        <v>195636</v>
      </c>
      <c r="D650" s="0" t="s">
        <v>2174</v>
      </c>
      <c r="E650" s="0" t="s">
        <v>89</v>
      </c>
      <c r="F650" s="0" t="s">
        <v>90</v>
      </c>
      <c r="G650" s="0" t="s">
        <v>16</v>
      </c>
      <c r="H650" s="0" t="n">
        <v>100</v>
      </c>
      <c r="I650" s="0" t="s">
        <v>2184</v>
      </c>
      <c r="J650" s="0" t="s">
        <v>2185</v>
      </c>
      <c r="K650" s="0" t="s">
        <v>2186</v>
      </c>
      <c r="L650" s="0" t="str">
        <f aca="false">HYPERLINK("https://www.ncbi.nlm.nih.gov/nuccore/CP000304.1?report=graph&amp;tracks=[key:gene_model_track,Options:GeneOnly]&amp;mk=195716:195735|offset_1|444444,195691:195710|offset_26|444444,195653:195672|offset_64|444444,195617:195636|offset_100|00cc00&amp;v=195515:195836&amp;c=444444", "offset 100")</f>
        <v>offset 100</v>
      </c>
    </row>
    <row r="651" customFormat="false" ht="12.8" hidden="false" customHeight="false" outlineLevel="0" collapsed="false">
      <c r="A651" s="0" t="s">
        <v>12</v>
      </c>
      <c r="B651" s="0" t="n">
        <v>196355</v>
      </c>
      <c r="C651" s="0" t="n">
        <v>196375</v>
      </c>
      <c r="D651" s="0" t="s">
        <v>2187</v>
      </c>
      <c r="E651" s="0" t="s">
        <v>89</v>
      </c>
      <c r="F651" s="0" t="s">
        <v>90</v>
      </c>
      <c r="G651" s="0" t="s">
        <v>16</v>
      </c>
      <c r="H651" s="0" t="n">
        <v>0</v>
      </c>
      <c r="I651" s="0" t="s">
        <v>2188</v>
      </c>
      <c r="J651" s="0" t="s">
        <v>2189</v>
      </c>
      <c r="K651" s="0" t="s">
        <v>2190</v>
      </c>
      <c r="L651" s="0" t="str">
        <f aca="false">HYPERLINK("https://www.ncbi.nlm.nih.gov/nuccore/CP000304.1?report=graph&amp;tracks=[key:gene_model_track,Options:GeneOnly]&amp;mk=196356:196375|offset_0|00cc00,196309:196328|offset_47|444444,196274:196293|offset_82|444444,196246:196265|offset_110|444444&amp;v=196155:196465&amp;c=444444", "offset 0")</f>
        <v>offset 0</v>
      </c>
    </row>
    <row r="652" customFormat="false" ht="12.8" hidden="false" customHeight="false" outlineLevel="0" collapsed="false">
      <c r="A652" s="0" t="s">
        <v>12</v>
      </c>
      <c r="B652" s="0" t="n">
        <v>196308</v>
      </c>
      <c r="C652" s="0" t="n">
        <v>196328</v>
      </c>
      <c r="D652" s="0" t="s">
        <v>2187</v>
      </c>
      <c r="E652" s="0" t="s">
        <v>89</v>
      </c>
      <c r="F652" s="0" t="s">
        <v>90</v>
      </c>
      <c r="G652" s="0" t="s">
        <v>26</v>
      </c>
      <c r="H652" s="0" t="n">
        <v>47</v>
      </c>
      <c r="I652" s="0" t="s">
        <v>2191</v>
      </c>
      <c r="J652" s="0" t="s">
        <v>2192</v>
      </c>
      <c r="K652" s="0" t="s">
        <v>2193</v>
      </c>
      <c r="L652" s="0" t="str">
        <f aca="false">HYPERLINK("https://www.ncbi.nlm.nih.gov/nuccore/CP000304.1?report=graph&amp;tracks=[key:gene_model_track,Options:GeneOnly]&amp;mk=196356:196375|offset_0|444444,196309:196328|offset_47|00cc00,196274:196293|offset_82|444444,196246:196265|offset_110|444444&amp;v=196155:196465&amp;c=444444", "offset 47")</f>
        <v>offset 47</v>
      </c>
    </row>
    <row r="653" customFormat="false" ht="12.8" hidden="false" customHeight="false" outlineLevel="0" collapsed="false">
      <c r="A653" s="0" t="s">
        <v>12</v>
      </c>
      <c r="B653" s="0" t="n">
        <v>196273</v>
      </c>
      <c r="C653" s="0" t="n">
        <v>196293</v>
      </c>
      <c r="D653" s="0" t="s">
        <v>2187</v>
      </c>
      <c r="E653" s="0" t="s">
        <v>89</v>
      </c>
      <c r="F653" s="0" t="s">
        <v>90</v>
      </c>
      <c r="G653" s="0" t="s">
        <v>36</v>
      </c>
      <c r="H653" s="0" t="n">
        <v>82</v>
      </c>
      <c r="I653" s="0" t="s">
        <v>2194</v>
      </c>
      <c r="J653" s="0" t="s">
        <v>2195</v>
      </c>
      <c r="K653" s="0" t="s">
        <v>2196</v>
      </c>
      <c r="L653" s="0" t="str">
        <f aca="false">HYPERLINK("https://www.ncbi.nlm.nih.gov/nuccore/CP000304.1?report=graph&amp;tracks=[key:gene_model_track,Options:GeneOnly]&amp;mk=196356:196375|offset_0|444444,196309:196328|offset_47|444444,196274:196293|offset_82|00cc00,196246:196265|offset_110|444444&amp;v=196155:196465&amp;c=444444", "offset 82")</f>
        <v>offset 82</v>
      </c>
    </row>
    <row r="654" customFormat="false" ht="12.8" hidden="false" customHeight="false" outlineLevel="0" collapsed="false">
      <c r="A654" s="0" t="s">
        <v>12</v>
      </c>
      <c r="B654" s="0" t="n">
        <v>196245</v>
      </c>
      <c r="C654" s="0" t="n">
        <v>196265</v>
      </c>
      <c r="D654" s="0" t="s">
        <v>2187</v>
      </c>
      <c r="E654" s="0" t="s">
        <v>89</v>
      </c>
      <c r="F654" s="0" t="s">
        <v>90</v>
      </c>
      <c r="G654" s="0" t="s">
        <v>16</v>
      </c>
      <c r="H654" s="0" t="n">
        <v>110</v>
      </c>
      <c r="I654" s="0" t="s">
        <v>2197</v>
      </c>
      <c r="J654" s="0" t="s">
        <v>2198</v>
      </c>
      <c r="K654" s="0" t="s">
        <v>2199</v>
      </c>
      <c r="L654" s="0" t="str">
        <f aca="false">HYPERLINK("https://www.ncbi.nlm.nih.gov/nuccore/CP000304.1?report=graph&amp;tracks=[key:gene_model_track,Options:GeneOnly]&amp;mk=196356:196375|offset_0|444444,196309:196328|offset_47|444444,196274:196293|offset_82|444444,196246:196265|offset_110|00cc00&amp;v=196155:196465&amp;c=444444", "offset 110")</f>
        <v>offset 110</v>
      </c>
    </row>
    <row r="655" customFormat="false" ht="12.8" hidden="false" customHeight="false" outlineLevel="0" collapsed="false">
      <c r="A655" s="0" t="s">
        <v>12</v>
      </c>
      <c r="B655" s="0" t="n">
        <v>197336</v>
      </c>
      <c r="C655" s="0" t="n">
        <v>197356</v>
      </c>
      <c r="D655" s="0" t="s">
        <v>2200</v>
      </c>
      <c r="E655" s="0" t="s">
        <v>89</v>
      </c>
      <c r="F655" s="0" t="s">
        <v>90</v>
      </c>
      <c r="G655" s="0" t="s">
        <v>16</v>
      </c>
      <c r="H655" s="0" t="n">
        <v>7</v>
      </c>
      <c r="I655" s="0" t="s">
        <v>2201</v>
      </c>
      <c r="J655" s="0" t="s">
        <v>2202</v>
      </c>
      <c r="K655" s="0" t="s">
        <v>2203</v>
      </c>
      <c r="L655" s="0" t="str">
        <f aca="false">HYPERLINK("https://www.ncbi.nlm.nih.gov/nuccore/CP000304.1?report=graph&amp;tracks=[key:gene_model_track,Options:GeneOnly]&amp;mk=197337:197356|offset_7|00cc00,197306:197325|offset_38|444444,197280:197299|offset_64|444444,197222:197241|offset_122|444444&amp;v=197136:197441&amp;c=444444", "offset 7")</f>
        <v>offset 7</v>
      </c>
    </row>
    <row r="656" customFormat="false" ht="12.8" hidden="false" customHeight="false" outlineLevel="0" collapsed="false">
      <c r="A656" s="0" t="s">
        <v>12</v>
      </c>
      <c r="B656" s="0" t="n">
        <v>197305</v>
      </c>
      <c r="C656" s="0" t="n">
        <v>197325</v>
      </c>
      <c r="D656" s="0" t="s">
        <v>2200</v>
      </c>
      <c r="E656" s="0" t="s">
        <v>89</v>
      </c>
      <c r="F656" s="0" t="s">
        <v>90</v>
      </c>
      <c r="G656" s="0" t="s">
        <v>36</v>
      </c>
      <c r="H656" s="0" t="n">
        <v>38</v>
      </c>
      <c r="I656" s="0" t="s">
        <v>2204</v>
      </c>
      <c r="J656" s="0" t="s">
        <v>2205</v>
      </c>
      <c r="K656" s="0" t="s">
        <v>2206</v>
      </c>
      <c r="L656" s="0" t="str">
        <f aca="false">HYPERLINK("https://www.ncbi.nlm.nih.gov/nuccore/CP000304.1?report=graph&amp;tracks=[key:gene_model_track,Options:GeneOnly]&amp;mk=197337:197356|offset_7|444444,197306:197325|offset_38|00cc00,197280:197299|offset_64|444444,197222:197241|offset_122|444444&amp;v=197136:197441&amp;c=444444", "offset 38")</f>
        <v>offset 38</v>
      </c>
    </row>
    <row r="657" customFormat="false" ht="12.8" hidden="false" customHeight="false" outlineLevel="0" collapsed="false">
      <c r="A657" s="0" t="s">
        <v>12</v>
      </c>
      <c r="B657" s="0" t="n">
        <v>197279</v>
      </c>
      <c r="C657" s="0" t="n">
        <v>197299</v>
      </c>
      <c r="D657" s="0" t="s">
        <v>2200</v>
      </c>
      <c r="E657" s="0" t="s">
        <v>89</v>
      </c>
      <c r="F657" s="0" t="s">
        <v>90</v>
      </c>
      <c r="G657" s="0" t="s">
        <v>16</v>
      </c>
      <c r="H657" s="0" t="n">
        <v>64</v>
      </c>
      <c r="I657" s="0" t="s">
        <v>2207</v>
      </c>
      <c r="J657" s="0" t="s">
        <v>2208</v>
      </c>
      <c r="K657" s="0" t="s">
        <v>2209</v>
      </c>
      <c r="L657" s="0" t="str">
        <f aca="false">HYPERLINK("https://www.ncbi.nlm.nih.gov/nuccore/CP000304.1?report=graph&amp;tracks=[key:gene_model_track,Options:GeneOnly]&amp;mk=197337:197356|offset_7|444444,197306:197325|offset_38|444444,197280:197299|offset_64|00cc00,197222:197241|offset_122|444444&amp;v=197136:197441&amp;c=444444", "offset 64")</f>
        <v>offset 64</v>
      </c>
    </row>
    <row r="658" customFormat="false" ht="12.8" hidden="false" customHeight="false" outlineLevel="0" collapsed="false">
      <c r="A658" s="0" t="s">
        <v>12</v>
      </c>
      <c r="B658" s="0" t="n">
        <v>197221</v>
      </c>
      <c r="C658" s="0" t="n">
        <v>197241</v>
      </c>
      <c r="D658" s="0" t="s">
        <v>2200</v>
      </c>
      <c r="E658" s="0" t="s">
        <v>89</v>
      </c>
      <c r="F658" s="0" t="s">
        <v>90</v>
      </c>
      <c r="G658" s="0" t="s">
        <v>26</v>
      </c>
      <c r="H658" s="0" t="n">
        <v>122</v>
      </c>
      <c r="I658" s="0" t="s">
        <v>2210</v>
      </c>
      <c r="J658" s="0" t="s">
        <v>2211</v>
      </c>
      <c r="K658" s="0" t="s">
        <v>2212</v>
      </c>
      <c r="L658" s="0" t="str">
        <f aca="false">HYPERLINK("https://www.ncbi.nlm.nih.gov/nuccore/CP000304.1?report=graph&amp;tracks=[key:gene_model_track,Options:GeneOnly]&amp;mk=197337:197356|offset_7|444444,197306:197325|offset_38|444444,197280:197299|offset_64|444444,197222:197241|offset_122|00cc00&amp;v=197136:197441&amp;c=444444", "offset 122")</f>
        <v>offset 122</v>
      </c>
    </row>
    <row r="659" customFormat="false" ht="12.8" hidden="false" customHeight="false" outlineLevel="0" collapsed="false">
      <c r="A659" s="0" t="s">
        <v>12</v>
      </c>
      <c r="B659" s="0" t="n">
        <v>197483</v>
      </c>
      <c r="C659" s="0" t="n">
        <v>197503</v>
      </c>
      <c r="D659" s="0" t="s">
        <v>2213</v>
      </c>
      <c r="E659" s="0" t="s">
        <v>2214</v>
      </c>
      <c r="F659" s="0" t="s">
        <v>15</v>
      </c>
      <c r="G659" s="0" t="s">
        <v>32</v>
      </c>
      <c r="H659" s="0" t="n">
        <v>1</v>
      </c>
      <c r="I659" s="0" t="s">
        <v>2215</v>
      </c>
      <c r="J659" s="0" t="s">
        <v>2216</v>
      </c>
      <c r="K659" s="0" t="s">
        <v>2217</v>
      </c>
      <c r="L659" s="0" t="str">
        <f aca="false">HYPERLINK("https://www.ncbi.nlm.nih.gov/nuccore/CP000304.1?report=graph&amp;tracks=[key:gene_model_track,Options:GeneOnly]&amp;mk=197484:197503|offset_1|00cc00,197511:197530|offset_28|444444,197536:197555|offset_53|444444,197563:197582|offset_80|444444&amp;v=197283:197782&amp;c=444444", "offset 1")</f>
        <v>offset 1</v>
      </c>
    </row>
    <row r="660" customFormat="false" ht="12.8" hidden="false" customHeight="false" outlineLevel="0" collapsed="false">
      <c r="A660" s="0" t="s">
        <v>12</v>
      </c>
      <c r="B660" s="0" t="n">
        <v>197510</v>
      </c>
      <c r="C660" s="0" t="n">
        <v>197530</v>
      </c>
      <c r="D660" s="0" t="s">
        <v>2213</v>
      </c>
      <c r="E660" s="0" t="s">
        <v>2214</v>
      </c>
      <c r="F660" s="0" t="s">
        <v>15</v>
      </c>
      <c r="G660" s="0" t="s">
        <v>16</v>
      </c>
      <c r="H660" s="0" t="n">
        <v>28</v>
      </c>
      <c r="I660" s="0" t="s">
        <v>2218</v>
      </c>
      <c r="J660" s="0" t="s">
        <v>2219</v>
      </c>
      <c r="K660" s="0" t="s">
        <v>2220</v>
      </c>
      <c r="L660" s="0" t="str">
        <f aca="false">HYPERLINK("https://www.ncbi.nlm.nih.gov/nuccore/CP000304.1?report=graph&amp;tracks=[key:gene_model_track,Options:GeneOnly]&amp;mk=197484:197503|offset_1|444444,197511:197530|offset_28|00cc00,197536:197555|offset_53|444444,197563:197582|offset_80|444444&amp;v=197283:197782&amp;c=444444", "offset 28")</f>
        <v>offset 28</v>
      </c>
    </row>
    <row r="661" customFormat="false" ht="12.8" hidden="false" customHeight="false" outlineLevel="0" collapsed="false">
      <c r="A661" s="0" t="s">
        <v>12</v>
      </c>
      <c r="B661" s="0" t="n">
        <v>197535</v>
      </c>
      <c r="C661" s="0" t="n">
        <v>197555</v>
      </c>
      <c r="D661" s="0" t="s">
        <v>2213</v>
      </c>
      <c r="E661" s="0" t="s">
        <v>2214</v>
      </c>
      <c r="F661" s="0" t="s">
        <v>15</v>
      </c>
      <c r="G661" s="0" t="s">
        <v>16</v>
      </c>
      <c r="H661" s="0" t="n">
        <v>53</v>
      </c>
      <c r="I661" s="0" t="s">
        <v>2221</v>
      </c>
      <c r="J661" s="0" t="s">
        <v>2222</v>
      </c>
      <c r="K661" s="0" t="s">
        <v>2223</v>
      </c>
      <c r="L661" s="0" t="str">
        <f aca="false">HYPERLINK("https://www.ncbi.nlm.nih.gov/nuccore/CP000304.1?report=graph&amp;tracks=[key:gene_model_track,Options:GeneOnly]&amp;mk=197484:197503|offset_1|444444,197511:197530|offset_28|444444,197536:197555|offset_53|00cc00,197563:197582|offset_80|444444&amp;v=197283:197782&amp;c=444444", "offset 53")</f>
        <v>offset 53</v>
      </c>
    </row>
    <row r="662" customFormat="false" ht="12.8" hidden="false" customHeight="false" outlineLevel="0" collapsed="false">
      <c r="A662" s="0" t="s">
        <v>12</v>
      </c>
      <c r="B662" s="0" t="n">
        <v>197562</v>
      </c>
      <c r="C662" s="0" t="n">
        <v>197582</v>
      </c>
      <c r="D662" s="0" t="s">
        <v>2213</v>
      </c>
      <c r="E662" s="0" t="s">
        <v>2214</v>
      </c>
      <c r="F662" s="0" t="s">
        <v>15</v>
      </c>
      <c r="G662" s="0" t="s">
        <v>32</v>
      </c>
      <c r="H662" s="0" t="n">
        <v>80</v>
      </c>
      <c r="I662" s="0" t="s">
        <v>2224</v>
      </c>
      <c r="J662" s="0" t="s">
        <v>2225</v>
      </c>
      <c r="K662" s="0" t="s">
        <v>2226</v>
      </c>
      <c r="L662" s="0" t="str">
        <f aca="false">HYPERLINK("https://www.ncbi.nlm.nih.gov/nuccore/CP000304.1?report=graph&amp;tracks=[key:gene_model_track,Options:GeneOnly]&amp;mk=197484:197503|offset_1|444444,197511:197530|offset_28|444444,197536:197555|offset_53|444444,197563:197582|offset_80|00cc00&amp;v=197283:197782&amp;c=444444", "offset 80")</f>
        <v>offset 80</v>
      </c>
    </row>
    <row r="663" customFormat="false" ht="12.8" hidden="false" customHeight="false" outlineLevel="0" collapsed="false">
      <c r="A663" s="0" t="s">
        <v>12</v>
      </c>
      <c r="B663" s="0" t="n">
        <v>197950</v>
      </c>
      <c r="C663" s="0" t="n">
        <v>197970</v>
      </c>
      <c r="D663" s="0" t="s">
        <v>2227</v>
      </c>
      <c r="E663" s="0" t="s">
        <v>89</v>
      </c>
      <c r="F663" s="0" t="s">
        <v>15</v>
      </c>
      <c r="G663" s="0" t="s">
        <v>32</v>
      </c>
      <c r="H663" s="0" t="n">
        <v>1</v>
      </c>
      <c r="I663" s="0" t="s">
        <v>2228</v>
      </c>
      <c r="J663" s="0" t="s">
        <v>2229</v>
      </c>
      <c r="K663" s="0" t="s">
        <v>2230</v>
      </c>
      <c r="L663" s="0" t="str">
        <f aca="false">HYPERLINK("https://www.ncbi.nlm.nih.gov/nuccore/CP000304.1?report=graph&amp;tracks=[key:gene_model_track,Options:GeneOnly]&amp;mk=197951:197970|offset_1|00cc00,197972:197991|offset_22|444444,197993:198012|offset_43|444444,198017:198036|offset_67|444444&amp;v=197750:198236&amp;c=444444", "offset 1")</f>
        <v>offset 1</v>
      </c>
    </row>
    <row r="664" customFormat="false" ht="12.8" hidden="false" customHeight="false" outlineLevel="0" collapsed="false">
      <c r="A664" s="0" t="s">
        <v>12</v>
      </c>
      <c r="B664" s="0" t="n">
        <v>197971</v>
      </c>
      <c r="C664" s="0" t="n">
        <v>197991</v>
      </c>
      <c r="D664" s="0" t="s">
        <v>2227</v>
      </c>
      <c r="E664" s="0" t="s">
        <v>89</v>
      </c>
      <c r="F664" s="0" t="s">
        <v>15</v>
      </c>
      <c r="G664" s="0" t="s">
        <v>26</v>
      </c>
      <c r="H664" s="0" t="n">
        <v>22</v>
      </c>
      <c r="I664" s="0" t="s">
        <v>2231</v>
      </c>
      <c r="J664" s="0" t="s">
        <v>2232</v>
      </c>
      <c r="K664" s="0" t="s">
        <v>2233</v>
      </c>
      <c r="L664" s="0" t="str">
        <f aca="false">HYPERLINK("https://www.ncbi.nlm.nih.gov/nuccore/CP000304.1?report=graph&amp;tracks=[key:gene_model_track,Options:GeneOnly]&amp;mk=197951:197970|offset_1|444444,197972:197991|offset_22|00cc00,197993:198012|offset_43|444444,198017:198036|offset_67|444444&amp;v=197750:198236&amp;c=444444", "offset 22")</f>
        <v>offset 22</v>
      </c>
    </row>
    <row r="665" customFormat="false" ht="12.8" hidden="false" customHeight="false" outlineLevel="0" collapsed="false">
      <c r="A665" s="0" t="s">
        <v>12</v>
      </c>
      <c r="B665" s="0" t="n">
        <v>197992</v>
      </c>
      <c r="C665" s="0" t="n">
        <v>198012</v>
      </c>
      <c r="D665" s="0" t="s">
        <v>2227</v>
      </c>
      <c r="E665" s="0" t="s">
        <v>89</v>
      </c>
      <c r="F665" s="0" t="s">
        <v>15</v>
      </c>
      <c r="G665" s="0" t="s">
        <v>32</v>
      </c>
      <c r="H665" s="0" t="n">
        <v>43</v>
      </c>
      <c r="I665" s="0" t="s">
        <v>2234</v>
      </c>
      <c r="J665" s="0" t="s">
        <v>2235</v>
      </c>
      <c r="K665" s="0" t="s">
        <v>2236</v>
      </c>
      <c r="L665" s="0" t="str">
        <f aca="false">HYPERLINK("https://www.ncbi.nlm.nih.gov/nuccore/CP000304.1?report=graph&amp;tracks=[key:gene_model_track,Options:GeneOnly]&amp;mk=197951:197970|offset_1|444444,197972:197991|offset_22|444444,197993:198012|offset_43|00cc00,198017:198036|offset_67|444444&amp;v=197750:198236&amp;c=444444", "offset 43")</f>
        <v>offset 43</v>
      </c>
    </row>
    <row r="666" customFormat="false" ht="12.8" hidden="false" customHeight="false" outlineLevel="0" collapsed="false">
      <c r="A666" s="0" t="s">
        <v>12</v>
      </c>
      <c r="B666" s="0" t="n">
        <v>198016</v>
      </c>
      <c r="C666" s="0" t="n">
        <v>198036</v>
      </c>
      <c r="D666" s="0" t="s">
        <v>2227</v>
      </c>
      <c r="E666" s="0" t="s">
        <v>89</v>
      </c>
      <c r="F666" s="0" t="s">
        <v>15</v>
      </c>
      <c r="G666" s="0" t="s">
        <v>16</v>
      </c>
      <c r="H666" s="0" t="n">
        <v>67</v>
      </c>
      <c r="I666" s="0" t="s">
        <v>2237</v>
      </c>
      <c r="J666" s="0" t="s">
        <v>2238</v>
      </c>
      <c r="K666" s="0" t="s">
        <v>2239</v>
      </c>
      <c r="L666" s="0" t="str">
        <f aca="false">HYPERLINK("https://www.ncbi.nlm.nih.gov/nuccore/CP000304.1?report=graph&amp;tracks=[key:gene_model_track,Options:GeneOnly]&amp;mk=197951:197970|offset_1|444444,197972:197991|offset_22|444444,197993:198012|offset_43|444444,198017:198036|offset_67|00cc00&amp;v=197750:198236&amp;c=444444", "offset 67")</f>
        <v>offset 67</v>
      </c>
    </row>
    <row r="667" customFormat="false" ht="12.8" hidden="false" customHeight="false" outlineLevel="0" collapsed="false">
      <c r="A667" s="0" t="s">
        <v>12</v>
      </c>
      <c r="B667" s="0" t="n">
        <v>199810</v>
      </c>
      <c r="C667" s="0" t="n">
        <v>199830</v>
      </c>
      <c r="D667" s="0" t="s">
        <v>2240</v>
      </c>
      <c r="E667" s="0" t="s">
        <v>89</v>
      </c>
      <c r="F667" s="0" t="s">
        <v>90</v>
      </c>
      <c r="G667" s="0" t="s">
        <v>26</v>
      </c>
      <c r="H667" s="0" t="n">
        <v>44</v>
      </c>
      <c r="I667" s="0" t="s">
        <v>2241</v>
      </c>
      <c r="J667" s="0" t="s">
        <v>2242</v>
      </c>
      <c r="K667" s="0" t="s">
        <v>2243</v>
      </c>
      <c r="L667" s="0" t="str">
        <f aca="false">HYPERLINK("https://www.ncbi.nlm.nih.gov/nuccore/CP000304.1?report=graph&amp;tracks=[key:gene_model_track,Options:GeneOnly]&amp;mk=199811:199830|offset_44|00cc00,199791:199810|offset_64|444444,199747:199766|offset_108|444444,199723:199742|offset_132|444444&amp;v=199610:199942&amp;c=444444", "offset 44")</f>
        <v>offset 44</v>
      </c>
    </row>
    <row r="668" customFormat="false" ht="12.8" hidden="false" customHeight="false" outlineLevel="0" collapsed="false">
      <c r="A668" s="0" t="s">
        <v>12</v>
      </c>
      <c r="B668" s="0" t="n">
        <v>199790</v>
      </c>
      <c r="C668" s="0" t="n">
        <v>199810</v>
      </c>
      <c r="D668" s="0" t="s">
        <v>2240</v>
      </c>
      <c r="E668" s="0" t="s">
        <v>89</v>
      </c>
      <c r="F668" s="0" t="s">
        <v>90</v>
      </c>
      <c r="G668" s="0" t="s">
        <v>36</v>
      </c>
      <c r="H668" s="0" t="n">
        <v>64</v>
      </c>
      <c r="I668" s="0" t="s">
        <v>2244</v>
      </c>
      <c r="J668" s="0" t="s">
        <v>2245</v>
      </c>
      <c r="K668" s="0" t="s">
        <v>2246</v>
      </c>
      <c r="L668" s="0" t="str">
        <f aca="false">HYPERLINK("https://www.ncbi.nlm.nih.gov/nuccore/CP000304.1?report=graph&amp;tracks=[key:gene_model_track,Options:GeneOnly]&amp;mk=199811:199830|offset_44|444444,199791:199810|offset_64|00cc00,199747:199766|offset_108|444444,199723:199742|offset_132|444444&amp;v=199610:199942&amp;c=444444", "offset 64")</f>
        <v>offset 64</v>
      </c>
    </row>
    <row r="669" customFormat="false" ht="12.8" hidden="false" customHeight="false" outlineLevel="0" collapsed="false">
      <c r="A669" s="0" t="s">
        <v>12</v>
      </c>
      <c r="B669" s="0" t="n">
        <v>199746</v>
      </c>
      <c r="C669" s="0" t="n">
        <v>199766</v>
      </c>
      <c r="D669" s="0" t="s">
        <v>2240</v>
      </c>
      <c r="E669" s="0" t="s">
        <v>89</v>
      </c>
      <c r="F669" s="0" t="s">
        <v>90</v>
      </c>
      <c r="G669" s="0" t="s">
        <v>16</v>
      </c>
      <c r="H669" s="0" t="n">
        <v>108</v>
      </c>
      <c r="I669" s="0" t="s">
        <v>2247</v>
      </c>
      <c r="J669" s="0" t="s">
        <v>2248</v>
      </c>
      <c r="K669" s="0" t="s">
        <v>2249</v>
      </c>
      <c r="L669" s="0" t="str">
        <f aca="false">HYPERLINK("https://www.ncbi.nlm.nih.gov/nuccore/CP000304.1?report=graph&amp;tracks=[key:gene_model_track,Options:GeneOnly]&amp;mk=199811:199830|offset_44|444444,199791:199810|offset_64|444444,199747:199766|offset_108|00cc00,199723:199742|offset_132|444444&amp;v=199610:199942&amp;c=444444", "offset 108")</f>
        <v>offset 108</v>
      </c>
    </row>
    <row r="670" customFormat="false" ht="12.8" hidden="false" customHeight="false" outlineLevel="0" collapsed="false">
      <c r="A670" s="0" t="s">
        <v>12</v>
      </c>
      <c r="B670" s="0" t="n">
        <v>199722</v>
      </c>
      <c r="C670" s="0" t="n">
        <v>199742</v>
      </c>
      <c r="D670" s="0" t="s">
        <v>2240</v>
      </c>
      <c r="E670" s="0" t="s">
        <v>89</v>
      </c>
      <c r="F670" s="0" t="s">
        <v>90</v>
      </c>
      <c r="G670" s="0" t="s">
        <v>36</v>
      </c>
      <c r="H670" s="0" t="n">
        <v>132</v>
      </c>
      <c r="I670" s="0" t="s">
        <v>2250</v>
      </c>
      <c r="J670" s="0" t="s">
        <v>2251</v>
      </c>
      <c r="K670" s="0" t="s">
        <v>2252</v>
      </c>
      <c r="L670" s="0" t="str">
        <f aca="false">HYPERLINK("https://www.ncbi.nlm.nih.gov/nuccore/CP000304.1?report=graph&amp;tracks=[key:gene_model_track,Options:GeneOnly]&amp;mk=199811:199830|offset_44|444444,199791:199810|offset_64|444444,199747:199766|offset_108|444444,199723:199742|offset_132|00cc00&amp;v=199610:199942&amp;c=444444", "offset 132")</f>
        <v>offset 132</v>
      </c>
    </row>
    <row r="671" customFormat="false" ht="12.8" hidden="false" customHeight="false" outlineLevel="0" collapsed="false">
      <c r="A671" s="0" t="s">
        <v>12</v>
      </c>
      <c r="B671" s="0" t="n">
        <v>201195</v>
      </c>
      <c r="C671" s="0" t="n">
        <v>201215</v>
      </c>
      <c r="D671" s="0" t="s">
        <v>2253</v>
      </c>
      <c r="E671" s="0" t="s">
        <v>89</v>
      </c>
      <c r="F671" s="0" t="s">
        <v>90</v>
      </c>
      <c r="G671" s="0" t="s">
        <v>36</v>
      </c>
      <c r="H671" s="0" t="n">
        <v>35</v>
      </c>
      <c r="I671" s="0" t="s">
        <v>2254</v>
      </c>
      <c r="J671" s="0" t="s">
        <v>2255</v>
      </c>
      <c r="K671" s="0" t="s">
        <v>2256</v>
      </c>
      <c r="L671" s="0" t="str">
        <f aca="false">HYPERLINK("https://www.ncbi.nlm.nih.gov/nuccore/CP000304.1?report=graph&amp;tracks=[key:gene_model_track,Options:GeneOnly]&amp;mk=201196:201215|offset_35|00cc00,201174:201193|offset_57|444444,201148:201167|offset_83|444444,201113:201132|offset_118|444444&amp;v=200995:201332&amp;c=444444", "offset 35")</f>
        <v>offset 35</v>
      </c>
    </row>
    <row r="672" customFormat="false" ht="12.8" hidden="false" customHeight="false" outlineLevel="0" collapsed="false">
      <c r="A672" s="0" t="s">
        <v>12</v>
      </c>
      <c r="B672" s="0" t="n">
        <v>201173</v>
      </c>
      <c r="C672" s="0" t="n">
        <v>201193</v>
      </c>
      <c r="D672" s="0" t="s">
        <v>2253</v>
      </c>
      <c r="E672" s="0" t="s">
        <v>89</v>
      </c>
      <c r="F672" s="0" t="s">
        <v>90</v>
      </c>
      <c r="G672" s="0" t="s">
        <v>26</v>
      </c>
      <c r="H672" s="0" t="n">
        <v>57</v>
      </c>
      <c r="I672" s="0" t="s">
        <v>2257</v>
      </c>
      <c r="J672" s="0" t="s">
        <v>2258</v>
      </c>
      <c r="K672" s="0" t="s">
        <v>2259</v>
      </c>
      <c r="L672" s="0" t="str">
        <f aca="false">HYPERLINK("https://www.ncbi.nlm.nih.gov/nuccore/CP000304.1?report=graph&amp;tracks=[key:gene_model_track,Options:GeneOnly]&amp;mk=201196:201215|offset_35|444444,201174:201193|offset_57|00cc00,201148:201167|offset_83|444444,201113:201132|offset_118|444444&amp;v=200995:201332&amp;c=444444", "offset 57")</f>
        <v>offset 57</v>
      </c>
    </row>
    <row r="673" customFormat="false" ht="12.8" hidden="false" customHeight="false" outlineLevel="0" collapsed="false">
      <c r="A673" s="0" t="s">
        <v>12</v>
      </c>
      <c r="B673" s="0" t="n">
        <v>201147</v>
      </c>
      <c r="C673" s="0" t="n">
        <v>201167</v>
      </c>
      <c r="D673" s="0" t="s">
        <v>2253</v>
      </c>
      <c r="E673" s="0" t="s">
        <v>89</v>
      </c>
      <c r="F673" s="0" t="s">
        <v>90</v>
      </c>
      <c r="G673" s="0" t="s">
        <v>16</v>
      </c>
      <c r="H673" s="0" t="n">
        <v>83</v>
      </c>
      <c r="I673" s="0" t="s">
        <v>2260</v>
      </c>
      <c r="J673" s="0" t="s">
        <v>2261</v>
      </c>
      <c r="K673" s="0" t="s">
        <v>2262</v>
      </c>
      <c r="L673" s="0" t="str">
        <f aca="false">HYPERLINK("https://www.ncbi.nlm.nih.gov/nuccore/CP000304.1?report=graph&amp;tracks=[key:gene_model_track,Options:GeneOnly]&amp;mk=201196:201215|offset_35|444444,201174:201193|offset_57|444444,201148:201167|offset_83|00cc00,201113:201132|offset_118|444444&amp;v=200995:201332&amp;c=444444", "offset 83")</f>
        <v>offset 83</v>
      </c>
    </row>
    <row r="674" customFormat="false" ht="12.8" hidden="false" customHeight="false" outlineLevel="0" collapsed="false">
      <c r="A674" s="0" t="s">
        <v>12</v>
      </c>
      <c r="B674" s="0" t="n">
        <v>201112</v>
      </c>
      <c r="C674" s="0" t="n">
        <v>201132</v>
      </c>
      <c r="D674" s="0" t="s">
        <v>2253</v>
      </c>
      <c r="E674" s="0" t="s">
        <v>89</v>
      </c>
      <c r="F674" s="0" t="s">
        <v>90</v>
      </c>
      <c r="G674" s="0" t="s">
        <v>16</v>
      </c>
      <c r="H674" s="0" t="n">
        <v>118</v>
      </c>
      <c r="I674" s="0" t="s">
        <v>2263</v>
      </c>
      <c r="J674" s="0" t="s">
        <v>2264</v>
      </c>
      <c r="K674" s="0" t="s">
        <v>2265</v>
      </c>
      <c r="L674" s="0" t="str">
        <f aca="false">HYPERLINK("https://www.ncbi.nlm.nih.gov/nuccore/CP000304.1?report=graph&amp;tracks=[key:gene_model_track,Options:GeneOnly]&amp;mk=201196:201215|offset_35|444444,201174:201193|offset_57|444444,201148:201167|offset_83|444444,201113:201132|offset_118|00cc00&amp;v=200995:201332&amp;c=444444", "offset 118")</f>
        <v>offset 118</v>
      </c>
    </row>
    <row r="675" customFormat="false" ht="12.8" hidden="false" customHeight="false" outlineLevel="0" collapsed="false">
      <c r="A675" s="0" t="s">
        <v>12</v>
      </c>
      <c r="B675" s="0" t="n">
        <v>203387</v>
      </c>
      <c r="C675" s="0" t="n">
        <v>203407</v>
      </c>
      <c r="D675" s="0" t="s">
        <v>2266</v>
      </c>
      <c r="E675" s="0" t="s">
        <v>2267</v>
      </c>
      <c r="F675" s="0" t="s">
        <v>90</v>
      </c>
      <c r="G675" s="0" t="s">
        <v>36</v>
      </c>
      <c r="H675" s="0" t="n">
        <v>19</v>
      </c>
      <c r="I675" s="0" t="s">
        <v>2268</v>
      </c>
      <c r="J675" s="0" t="s">
        <v>2269</v>
      </c>
      <c r="K675" s="0" t="s">
        <v>2270</v>
      </c>
      <c r="L675" s="0" t="str">
        <f aca="false">HYPERLINK("https://www.ncbi.nlm.nih.gov/nuccore/CP000304.1?report=graph&amp;tracks=[key:gene_model_track,Options:GeneOnly]&amp;mk=203388:203407|offset_19|00cc00,203354:203373|offset_53|444444,203330:203349|offset_77|444444,203307:203326|offset_100|444444&amp;v=203187:203526&amp;c=444444", "offset 19")</f>
        <v>offset 19</v>
      </c>
    </row>
    <row r="676" customFormat="false" ht="12.8" hidden="false" customHeight="false" outlineLevel="0" collapsed="false">
      <c r="A676" s="0" t="s">
        <v>12</v>
      </c>
      <c r="B676" s="0" t="n">
        <v>203353</v>
      </c>
      <c r="C676" s="0" t="n">
        <v>203373</v>
      </c>
      <c r="D676" s="0" t="s">
        <v>2266</v>
      </c>
      <c r="E676" s="0" t="s">
        <v>2267</v>
      </c>
      <c r="F676" s="0" t="s">
        <v>90</v>
      </c>
      <c r="G676" s="0" t="s">
        <v>32</v>
      </c>
      <c r="H676" s="0" t="n">
        <v>53</v>
      </c>
      <c r="I676" s="0" t="s">
        <v>2271</v>
      </c>
      <c r="J676" s="0" t="s">
        <v>2272</v>
      </c>
      <c r="K676" s="0" t="s">
        <v>2273</v>
      </c>
      <c r="L676" s="0" t="str">
        <f aca="false">HYPERLINK("https://www.ncbi.nlm.nih.gov/nuccore/CP000304.1?report=graph&amp;tracks=[key:gene_model_track,Options:GeneOnly]&amp;mk=203388:203407|offset_19|444444,203354:203373|offset_53|00cc00,203330:203349|offset_77|444444,203307:203326|offset_100|444444&amp;v=203187:203526&amp;c=444444", "offset 53")</f>
        <v>offset 53</v>
      </c>
    </row>
    <row r="677" customFormat="false" ht="12.8" hidden="false" customHeight="false" outlineLevel="0" collapsed="false">
      <c r="A677" s="0" t="s">
        <v>12</v>
      </c>
      <c r="B677" s="0" t="n">
        <v>203329</v>
      </c>
      <c r="C677" s="0" t="n">
        <v>203349</v>
      </c>
      <c r="D677" s="0" t="s">
        <v>2266</v>
      </c>
      <c r="E677" s="0" t="s">
        <v>2267</v>
      </c>
      <c r="F677" s="0" t="s">
        <v>90</v>
      </c>
      <c r="G677" s="0" t="s">
        <v>16</v>
      </c>
      <c r="H677" s="0" t="n">
        <v>77</v>
      </c>
      <c r="I677" s="0" t="s">
        <v>2274</v>
      </c>
      <c r="J677" s="0" t="s">
        <v>2275</v>
      </c>
      <c r="K677" s="0" t="s">
        <v>2276</v>
      </c>
      <c r="L677" s="0" t="str">
        <f aca="false">HYPERLINK("https://www.ncbi.nlm.nih.gov/nuccore/CP000304.1?report=graph&amp;tracks=[key:gene_model_track,Options:GeneOnly]&amp;mk=203388:203407|offset_19|444444,203354:203373|offset_53|444444,203330:203349|offset_77|00cc00,203307:203326|offset_100|444444&amp;v=203187:203526&amp;c=444444", "offset 77")</f>
        <v>offset 77</v>
      </c>
    </row>
    <row r="678" customFormat="false" ht="12.8" hidden="false" customHeight="false" outlineLevel="0" collapsed="false">
      <c r="A678" s="0" t="s">
        <v>12</v>
      </c>
      <c r="B678" s="0" t="n">
        <v>203306</v>
      </c>
      <c r="C678" s="0" t="n">
        <v>203326</v>
      </c>
      <c r="D678" s="0" t="s">
        <v>2266</v>
      </c>
      <c r="E678" s="0" t="s">
        <v>2267</v>
      </c>
      <c r="F678" s="0" t="s">
        <v>90</v>
      </c>
      <c r="G678" s="0" t="s">
        <v>16</v>
      </c>
      <c r="H678" s="0" t="n">
        <v>100</v>
      </c>
      <c r="I678" s="0" t="s">
        <v>2277</v>
      </c>
      <c r="J678" s="0" t="s">
        <v>2278</v>
      </c>
      <c r="K678" s="0" t="s">
        <v>2279</v>
      </c>
      <c r="L678" s="0" t="str">
        <f aca="false">HYPERLINK("https://www.ncbi.nlm.nih.gov/nuccore/CP000304.1?report=graph&amp;tracks=[key:gene_model_track,Options:GeneOnly]&amp;mk=203388:203407|offset_19|444444,203354:203373|offset_53|444444,203330:203349|offset_77|444444,203307:203326|offset_100|00cc00&amp;v=203187:203526&amp;c=444444", "offset 100")</f>
        <v>offset 100</v>
      </c>
    </row>
    <row r="679" customFormat="false" ht="12.8" hidden="false" customHeight="false" outlineLevel="0" collapsed="false">
      <c r="A679" s="0" t="s">
        <v>12</v>
      </c>
      <c r="B679" s="0" t="n">
        <v>203741</v>
      </c>
      <c r="C679" s="0" t="n">
        <v>203761</v>
      </c>
      <c r="D679" s="0" t="s">
        <v>2280</v>
      </c>
      <c r="E679" s="0" t="s">
        <v>89</v>
      </c>
      <c r="F679" s="0" t="s">
        <v>15</v>
      </c>
      <c r="G679" s="0" t="s">
        <v>36</v>
      </c>
      <c r="H679" s="0" t="n">
        <v>9</v>
      </c>
      <c r="I679" s="0" t="s">
        <v>2281</v>
      </c>
      <c r="J679" s="0" t="s">
        <v>2282</v>
      </c>
      <c r="K679" s="0" t="s">
        <v>2283</v>
      </c>
      <c r="L679" s="0" t="str">
        <f aca="false">HYPERLINK("https://www.ncbi.nlm.nih.gov/nuccore/CP000304.1?report=graph&amp;tracks=[key:gene_model_track,Options:GeneOnly]&amp;mk=203742:203761|offset_9|00cc00,203796:203815|offset_63|444444,203903:203922|offset_170|444444,203945:203964|offset_212|444444&amp;v=203541:204164&amp;c=444444", "offset 9")</f>
        <v>offset 9</v>
      </c>
    </row>
    <row r="680" customFormat="false" ht="12.8" hidden="false" customHeight="false" outlineLevel="0" collapsed="false">
      <c r="A680" s="0" t="s">
        <v>12</v>
      </c>
      <c r="B680" s="0" t="n">
        <v>203795</v>
      </c>
      <c r="C680" s="0" t="n">
        <v>203815</v>
      </c>
      <c r="D680" s="0" t="s">
        <v>2280</v>
      </c>
      <c r="E680" s="0" t="s">
        <v>89</v>
      </c>
      <c r="F680" s="0" t="s">
        <v>15</v>
      </c>
      <c r="G680" s="0" t="s">
        <v>16</v>
      </c>
      <c r="H680" s="0" t="n">
        <v>63</v>
      </c>
      <c r="I680" s="0" t="s">
        <v>2284</v>
      </c>
      <c r="J680" s="0" t="s">
        <v>2285</v>
      </c>
      <c r="K680" s="0" t="s">
        <v>2286</v>
      </c>
      <c r="L680" s="0" t="str">
        <f aca="false">HYPERLINK("https://www.ncbi.nlm.nih.gov/nuccore/CP000304.1?report=graph&amp;tracks=[key:gene_model_track,Options:GeneOnly]&amp;mk=203742:203761|offset_9|444444,203796:203815|offset_63|00cc00,203903:203922|offset_170|444444,203945:203964|offset_212|444444&amp;v=203541:204164&amp;c=444444", "offset 63")</f>
        <v>offset 63</v>
      </c>
    </row>
    <row r="681" customFormat="false" ht="12.8" hidden="false" customHeight="false" outlineLevel="0" collapsed="false">
      <c r="A681" s="0" t="s">
        <v>12</v>
      </c>
      <c r="B681" s="0" t="n">
        <v>203902</v>
      </c>
      <c r="C681" s="0" t="n">
        <v>203922</v>
      </c>
      <c r="D681" s="0" t="s">
        <v>2280</v>
      </c>
      <c r="E681" s="0" t="s">
        <v>89</v>
      </c>
      <c r="F681" s="0" t="s">
        <v>15</v>
      </c>
      <c r="G681" s="0" t="s">
        <v>26</v>
      </c>
      <c r="H681" s="0" t="n">
        <v>170</v>
      </c>
      <c r="I681" s="0" t="s">
        <v>2287</v>
      </c>
      <c r="J681" s="0" t="s">
        <v>2288</v>
      </c>
      <c r="K681" s="0" t="s">
        <v>2289</v>
      </c>
      <c r="L681" s="0" t="str">
        <f aca="false">HYPERLINK("https://www.ncbi.nlm.nih.gov/nuccore/CP000304.1?report=graph&amp;tracks=[key:gene_model_track,Options:GeneOnly]&amp;mk=203742:203761|offset_9|444444,203796:203815|offset_63|444444,203903:203922|offset_170|00cc00,203945:203964|offset_212|444444&amp;v=203541:204164&amp;c=444444", "offset 170")</f>
        <v>offset 170</v>
      </c>
    </row>
    <row r="682" customFormat="false" ht="12.8" hidden="false" customHeight="false" outlineLevel="0" collapsed="false">
      <c r="A682" s="0" t="s">
        <v>12</v>
      </c>
      <c r="B682" s="0" t="n">
        <v>203944</v>
      </c>
      <c r="C682" s="0" t="n">
        <v>203964</v>
      </c>
      <c r="D682" s="0" t="s">
        <v>2280</v>
      </c>
      <c r="E682" s="0" t="s">
        <v>89</v>
      </c>
      <c r="F682" s="0" t="s">
        <v>15</v>
      </c>
      <c r="G682" s="0" t="s">
        <v>36</v>
      </c>
      <c r="H682" s="0" t="n">
        <v>212</v>
      </c>
      <c r="I682" s="0" t="s">
        <v>2290</v>
      </c>
      <c r="J682" s="0" t="s">
        <v>2291</v>
      </c>
      <c r="K682" s="0" t="s">
        <v>2292</v>
      </c>
      <c r="L682" s="0" t="str">
        <f aca="false">HYPERLINK("https://www.ncbi.nlm.nih.gov/nuccore/CP000304.1?report=graph&amp;tracks=[key:gene_model_track,Options:GeneOnly]&amp;mk=203742:203761|offset_9|444444,203796:203815|offset_63|444444,203903:203922|offset_170|444444,203945:203964|offset_212|00cc00&amp;v=203541:204164&amp;c=444444", "offset 212")</f>
        <v>offset 212</v>
      </c>
    </row>
    <row r="683" customFormat="false" ht="12.8" hidden="false" customHeight="false" outlineLevel="0" collapsed="false">
      <c r="A683" s="0" t="s">
        <v>12</v>
      </c>
      <c r="B683" s="0" t="n">
        <v>207963</v>
      </c>
      <c r="C683" s="0" t="n">
        <v>207983</v>
      </c>
      <c r="D683" s="0" t="s">
        <v>2293</v>
      </c>
      <c r="E683" s="0" t="s">
        <v>89</v>
      </c>
      <c r="F683" s="0" t="s">
        <v>90</v>
      </c>
      <c r="G683" s="0" t="s">
        <v>16</v>
      </c>
      <c r="H683" s="0" t="n">
        <v>30</v>
      </c>
      <c r="I683" s="0" t="s">
        <v>2294</v>
      </c>
      <c r="J683" s="0" t="s">
        <v>2295</v>
      </c>
      <c r="K683" s="0" t="s">
        <v>2296</v>
      </c>
      <c r="L683" s="0" t="str">
        <f aca="false">HYPERLINK("https://www.ncbi.nlm.nih.gov/nuccore/CP000304.1?report=graph&amp;tracks=[key:gene_model_track,Options:GeneOnly]&amp;mk=207964:207983|offset_30|00cc00,207943:207962|offset_51|444444,207918:207937|offset_76|444444,207896:207915|offset_98|444444&amp;v=207763:208115&amp;c=444444", "offset 30")</f>
        <v>offset 30</v>
      </c>
    </row>
    <row r="684" customFormat="false" ht="12.8" hidden="false" customHeight="false" outlineLevel="0" collapsed="false">
      <c r="A684" s="0" t="s">
        <v>12</v>
      </c>
      <c r="B684" s="0" t="n">
        <v>207942</v>
      </c>
      <c r="C684" s="0" t="n">
        <v>207962</v>
      </c>
      <c r="D684" s="0" t="s">
        <v>2293</v>
      </c>
      <c r="E684" s="0" t="s">
        <v>89</v>
      </c>
      <c r="F684" s="0" t="s">
        <v>90</v>
      </c>
      <c r="G684" s="0" t="s">
        <v>16</v>
      </c>
      <c r="H684" s="0" t="n">
        <v>51</v>
      </c>
      <c r="I684" s="0" t="s">
        <v>2297</v>
      </c>
      <c r="J684" s="0" t="s">
        <v>2298</v>
      </c>
      <c r="K684" s="0" t="s">
        <v>2299</v>
      </c>
      <c r="L684" s="0" t="str">
        <f aca="false">HYPERLINK("https://www.ncbi.nlm.nih.gov/nuccore/CP000304.1?report=graph&amp;tracks=[key:gene_model_track,Options:GeneOnly]&amp;mk=207964:207983|offset_30|444444,207943:207962|offset_51|00cc00,207918:207937|offset_76|444444,207896:207915|offset_98|444444&amp;v=207763:208115&amp;c=444444", "offset 51")</f>
        <v>offset 51</v>
      </c>
    </row>
    <row r="685" customFormat="false" ht="12.8" hidden="false" customHeight="false" outlineLevel="0" collapsed="false">
      <c r="A685" s="0" t="s">
        <v>12</v>
      </c>
      <c r="B685" s="0" t="n">
        <v>207917</v>
      </c>
      <c r="C685" s="0" t="n">
        <v>207937</v>
      </c>
      <c r="D685" s="0" t="s">
        <v>2293</v>
      </c>
      <c r="E685" s="0" t="s">
        <v>89</v>
      </c>
      <c r="F685" s="0" t="s">
        <v>90</v>
      </c>
      <c r="G685" s="0" t="s">
        <v>36</v>
      </c>
      <c r="H685" s="0" t="n">
        <v>76</v>
      </c>
      <c r="I685" s="0" t="s">
        <v>2300</v>
      </c>
      <c r="J685" s="0" t="s">
        <v>2301</v>
      </c>
      <c r="K685" s="0" t="s">
        <v>2302</v>
      </c>
      <c r="L685" s="0" t="str">
        <f aca="false">HYPERLINK("https://www.ncbi.nlm.nih.gov/nuccore/CP000304.1?report=graph&amp;tracks=[key:gene_model_track,Options:GeneOnly]&amp;mk=207964:207983|offset_30|444444,207943:207962|offset_51|444444,207918:207937|offset_76|00cc00,207896:207915|offset_98|444444&amp;v=207763:208115&amp;c=444444", "offset 76")</f>
        <v>offset 76</v>
      </c>
    </row>
    <row r="686" customFormat="false" ht="12.8" hidden="false" customHeight="false" outlineLevel="0" collapsed="false">
      <c r="A686" s="0" t="s">
        <v>12</v>
      </c>
      <c r="B686" s="0" t="n">
        <v>207895</v>
      </c>
      <c r="C686" s="0" t="n">
        <v>207915</v>
      </c>
      <c r="D686" s="0" t="s">
        <v>2293</v>
      </c>
      <c r="E686" s="0" t="s">
        <v>89</v>
      </c>
      <c r="F686" s="0" t="s">
        <v>90</v>
      </c>
      <c r="G686" s="0" t="s">
        <v>16</v>
      </c>
      <c r="H686" s="0" t="n">
        <v>98</v>
      </c>
      <c r="I686" s="0" t="s">
        <v>2303</v>
      </c>
      <c r="J686" s="0" t="s">
        <v>2304</v>
      </c>
      <c r="K686" s="0" t="s">
        <v>2305</v>
      </c>
      <c r="L686" s="0" t="str">
        <f aca="false">HYPERLINK("https://www.ncbi.nlm.nih.gov/nuccore/CP000304.1?report=graph&amp;tracks=[key:gene_model_track,Options:GeneOnly]&amp;mk=207964:207983|offset_30|444444,207943:207962|offset_51|444444,207918:207937|offset_76|444444,207896:207915|offset_98|00cc00&amp;v=207763:208115&amp;c=444444", "offset 98")</f>
        <v>offset 98</v>
      </c>
    </row>
    <row r="687" customFormat="false" ht="12.8" hidden="false" customHeight="false" outlineLevel="0" collapsed="false">
      <c r="A687" s="0" t="s">
        <v>12</v>
      </c>
      <c r="B687" s="0" t="n">
        <v>208253</v>
      </c>
      <c r="C687" s="0" t="n">
        <v>208273</v>
      </c>
      <c r="D687" s="0" t="s">
        <v>2306</v>
      </c>
      <c r="E687" s="0" t="s">
        <v>89</v>
      </c>
      <c r="F687" s="0" t="s">
        <v>90</v>
      </c>
      <c r="G687" s="0" t="s">
        <v>32</v>
      </c>
      <c r="H687" s="0" t="n">
        <v>1</v>
      </c>
      <c r="I687" s="0" t="s">
        <v>2307</v>
      </c>
      <c r="J687" s="0" t="s">
        <v>2308</v>
      </c>
      <c r="K687" s="0" t="s">
        <v>2309</v>
      </c>
      <c r="L687" s="0" t="str">
        <f aca="false">HYPERLINK("https://www.ncbi.nlm.nih.gov/nuccore/CP000304.1?report=graph&amp;tracks=[key:gene_model_track,Options:GeneOnly]&amp;mk=208254:208273|offset_1|00cc00,208224:208243|offset_31|444444,208200:208219|offset_55|444444,208169:208188|offset_86|444444&amp;v=208053:208388&amp;c=444444", "offset 1")</f>
        <v>offset 1</v>
      </c>
    </row>
    <row r="688" customFormat="false" ht="12.8" hidden="false" customHeight="false" outlineLevel="0" collapsed="false">
      <c r="A688" s="0" t="s">
        <v>12</v>
      </c>
      <c r="B688" s="0" t="n">
        <v>208223</v>
      </c>
      <c r="C688" s="0" t="n">
        <v>208243</v>
      </c>
      <c r="D688" s="0" t="s">
        <v>2306</v>
      </c>
      <c r="E688" s="0" t="s">
        <v>89</v>
      </c>
      <c r="F688" s="0" t="s">
        <v>90</v>
      </c>
      <c r="G688" s="0" t="s">
        <v>36</v>
      </c>
      <c r="H688" s="0" t="n">
        <v>31</v>
      </c>
      <c r="I688" s="0" t="s">
        <v>2310</v>
      </c>
      <c r="J688" s="0" t="s">
        <v>2311</v>
      </c>
      <c r="K688" s="0" t="s">
        <v>2312</v>
      </c>
      <c r="L688" s="0" t="str">
        <f aca="false">HYPERLINK("https://www.ncbi.nlm.nih.gov/nuccore/CP000304.1?report=graph&amp;tracks=[key:gene_model_track,Options:GeneOnly]&amp;mk=208254:208273|offset_1|444444,208224:208243|offset_31|00cc00,208200:208219|offset_55|444444,208169:208188|offset_86|444444&amp;v=208053:208388&amp;c=444444", "offset 31")</f>
        <v>offset 31</v>
      </c>
    </row>
    <row r="689" customFormat="false" ht="12.8" hidden="false" customHeight="false" outlineLevel="0" collapsed="false">
      <c r="A689" s="0" t="s">
        <v>12</v>
      </c>
      <c r="B689" s="0" t="n">
        <v>208199</v>
      </c>
      <c r="C689" s="0" t="n">
        <v>208219</v>
      </c>
      <c r="D689" s="0" t="s">
        <v>2306</v>
      </c>
      <c r="E689" s="0" t="s">
        <v>89</v>
      </c>
      <c r="F689" s="0" t="s">
        <v>90</v>
      </c>
      <c r="G689" s="0" t="s">
        <v>26</v>
      </c>
      <c r="H689" s="0" t="n">
        <v>55</v>
      </c>
      <c r="I689" s="0" t="s">
        <v>2313</v>
      </c>
      <c r="J689" s="0" t="s">
        <v>2314</v>
      </c>
      <c r="K689" s="0" t="s">
        <v>2315</v>
      </c>
      <c r="L689" s="0" t="str">
        <f aca="false">HYPERLINK("https://www.ncbi.nlm.nih.gov/nuccore/CP000304.1?report=graph&amp;tracks=[key:gene_model_track,Options:GeneOnly]&amp;mk=208254:208273|offset_1|444444,208224:208243|offset_31|444444,208200:208219|offset_55|00cc00,208169:208188|offset_86|444444&amp;v=208053:208388&amp;c=444444", "offset 55")</f>
        <v>offset 55</v>
      </c>
    </row>
    <row r="690" customFormat="false" ht="12.8" hidden="false" customHeight="false" outlineLevel="0" collapsed="false">
      <c r="A690" s="0" t="s">
        <v>12</v>
      </c>
      <c r="B690" s="0" t="n">
        <v>208168</v>
      </c>
      <c r="C690" s="0" t="n">
        <v>208188</v>
      </c>
      <c r="D690" s="0" t="s">
        <v>2306</v>
      </c>
      <c r="E690" s="0" t="s">
        <v>89</v>
      </c>
      <c r="F690" s="0" t="s">
        <v>90</v>
      </c>
      <c r="G690" s="0" t="s">
        <v>26</v>
      </c>
      <c r="H690" s="0" t="n">
        <v>86</v>
      </c>
      <c r="I690" s="0" t="s">
        <v>2316</v>
      </c>
      <c r="J690" s="0" t="s">
        <v>2317</v>
      </c>
      <c r="K690" s="0" t="s">
        <v>2318</v>
      </c>
      <c r="L690" s="0" t="str">
        <f aca="false">HYPERLINK("https://www.ncbi.nlm.nih.gov/nuccore/CP000304.1?report=graph&amp;tracks=[key:gene_model_track,Options:GeneOnly]&amp;mk=208254:208273|offset_1|444444,208224:208243|offset_31|444444,208200:208219|offset_55|444444,208169:208188|offset_86|00cc00&amp;v=208053:208388&amp;c=444444", "offset 86")</f>
        <v>offset 86</v>
      </c>
    </row>
    <row r="691" customFormat="false" ht="12.8" hidden="false" customHeight="false" outlineLevel="0" collapsed="false">
      <c r="A691" s="0" t="s">
        <v>12</v>
      </c>
      <c r="B691" s="0" t="n">
        <v>209730</v>
      </c>
      <c r="C691" s="0" t="n">
        <v>209750</v>
      </c>
      <c r="D691" s="0" t="s">
        <v>2319</v>
      </c>
      <c r="E691" s="0" t="s">
        <v>89</v>
      </c>
      <c r="F691" s="0" t="s">
        <v>90</v>
      </c>
      <c r="G691" s="0" t="s">
        <v>32</v>
      </c>
      <c r="H691" s="0" t="n">
        <v>7</v>
      </c>
      <c r="I691" s="0" t="s">
        <v>2320</v>
      </c>
      <c r="J691" s="0" t="s">
        <v>2321</v>
      </c>
      <c r="K691" s="0" t="s">
        <v>2322</v>
      </c>
      <c r="L691" s="0" t="str">
        <f aca="false">HYPERLINK("https://www.ncbi.nlm.nih.gov/nuccore/CP000304.1?report=graph&amp;tracks=[key:gene_model_track,Options:GeneOnly]&amp;mk=209731:209750|offset_7|00cc00,209704:209723|offset_34|444444,209674:209693|offset_64|444444,209653:209672|offset_85|444444&amp;v=209530:209872&amp;c=444444", "offset 7")</f>
        <v>offset 7</v>
      </c>
    </row>
    <row r="692" customFormat="false" ht="12.8" hidden="false" customHeight="false" outlineLevel="0" collapsed="false">
      <c r="A692" s="0" t="s">
        <v>12</v>
      </c>
      <c r="B692" s="0" t="n">
        <v>209703</v>
      </c>
      <c r="C692" s="0" t="n">
        <v>209723</v>
      </c>
      <c r="D692" s="0" t="s">
        <v>2319</v>
      </c>
      <c r="E692" s="0" t="s">
        <v>89</v>
      </c>
      <c r="F692" s="0" t="s">
        <v>90</v>
      </c>
      <c r="G692" s="0" t="s">
        <v>16</v>
      </c>
      <c r="H692" s="0" t="n">
        <v>34</v>
      </c>
      <c r="I692" s="0" t="s">
        <v>2323</v>
      </c>
      <c r="J692" s="0" t="s">
        <v>2324</v>
      </c>
      <c r="K692" s="0" t="s">
        <v>2325</v>
      </c>
      <c r="L692" s="0" t="str">
        <f aca="false">HYPERLINK("https://www.ncbi.nlm.nih.gov/nuccore/CP000304.1?report=graph&amp;tracks=[key:gene_model_track,Options:GeneOnly]&amp;mk=209731:209750|offset_7|444444,209704:209723|offset_34|00cc00,209674:209693|offset_64|444444,209653:209672|offset_85|444444&amp;v=209530:209872&amp;c=444444", "offset 34")</f>
        <v>offset 34</v>
      </c>
    </row>
    <row r="693" customFormat="false" ht="12.8" hidden="false" customHeight="false" outlineLevel="0" collapsed="false">
      <c r="A693" s="0" t="s">
        <v>12</v>
      </c>
      <c r="B693" s="0" t="n">
        <v>209673</v>
      </c>
      <c r="C693" s="0" t="n">
        <v>209693</v>
      </c>
      <c r="D693" s="0" t="s">
        <v>2319</v>
      </c>
      <c r="E693" s="0" t="s">
        <v>89</v>
      </c>
      <c r="F693" s="0" t="s">
        <v>90</v>
      </c>
      <c r="G693" s="0" t="s">
        <v>16</v>
      </c>
      <c r="H693" s="0" t="n">
        <v>64</v>
      </c>
      <c r="I693" s="0" t="s">
        <v>2326</v>
      </c>
      <c r="J693" s="0" t="s">
        <v>2327</v>
      </c>
      <c r="K693" s="0" t="s">
        <v>2328</v>
      </c>
      <c r="L693" s="0" t="str">
        <f aca="false">HYPERLINK("https://www.ncbi.nlm.nih.gov/nuccore/CP000304.1?report=graph&amp;tracks=[key:gene_model_track,Options:GeneOnly]&amp;mk=209731:209750|offset_7|444444,209704:209723|offset_34|444444,209674:209693|offset_64|00cc00,209653:209672|offset_85|444444&amp;v=209530:209872&amp;c=444444", "offset 64")</f>
        <v>offset 64</v>
      </c>
    </row>
    <row r="694" customFormat="false" ht="12.8" hidden="false" customHeight="false" outlineLevel="0" collapsed="false">
      <c r="A694" s="0" t="s">
        <v>12</v>
      </c>
      <c r="B694" s="0" t="n">
        <v>209652</v>
      </c>
      <c r="C694" s="0" t="n">
        <v>209672</v>
      </c>
      <c r="D694" s="0" t="s">
        <v>2319</v>
      </c>
      <c r="E694" s="0" t="s">
        <v>89</v>
      </c>
      <c r="F694" s="0" t="s">
        <v>90</v>
      </c>
      <c r="G694" s="0" t="s">
        <v>26</v>
      </c>
      <c r="H694" s="0" t="n">
        <v>85</v>
      </c>
      <c r="I694" s="0" t="s">
        <v>2329</v>
      </c>
      <c r="J694" s="0" t="s">
        <v>2330</v>
      </c>
      <c r="K694" s="0" t="s">
        <v>2331</v>
      </c>
      <c r="L694" s="0" t="str">
        <f aca="false">HYPERLINK("https://www.ncbi.nlm.nih.gov/nuccore/CP000304.1?report=graph&amp;tracks=[key:gene_model_track,Options:GeneOnly]&amp;mk=209731:209750|offset_7|444444,209704:209723|offset_34|444444,209674:209693|offset_64|444444,209653:209672|offset_85|00cc00&amp;v=209530:209872&amp;c=444444", "offset 85")</f>
        <v>offset 85</v>
      </c>
    </row>
    <row r="695" customFormat="false" ht="12.8" hidden="false" customHeight="false" outlineLevel="0" collapsed="false">
      <c r="A695" s="0" t="s">
        <v>12</v>
      </c>
      <c r="B695" s="0" t="n">
        <v>210930</v>
      </c>
      <c r="C695" s="0" t="n">
        <v>210950</v>
      </c>
      <c r="D695" s="0" t="s">
        <v>2332</v>
      </c>
      <c r="E695" s="0" t="s">
        <v>89</v>
      </c>
      <c r="F695" s="0" t="s">
        <v>90</v>
      </c>
      <c r="G695" s="0" t="s">
        <v>26</v>
      </c>
      <c r="H695" s="0" t="n">
        <v>0</v>
      </c>
      <c r="I695" s="0" t="s">
        <v>2333</v>
      </c>
      <c r="J695" s="0" t="s">
        <v>2334</v>
      </c>
      <c r="K695" s="0" t="s">
        <v>2335</v>
      </c>
      <c r="L695" s="0" t="str">
        <f aca="false">HYPERLINK("https://www.ncbi.nlm.nih.gov/nuccore/CP000304.1?report=graph&amp;tracks=[key:gene_model_track,Options:GeneOnly]&amp;mk=210931:210950|offset_0|00cc00,210910:210929|offset_21|444444,210889:210908|offset_42|444444,210865:210884|offset_66|444444&amp;v=210730:211084&amp;c=444444", "offset 0")</f>
        <v>offset 0</v>
      </c>
    </row>
    <row r="696" customFormat="false" ht="12.8" hidden="false" customHeight="false" outlineLevel="0" collapsed="false">
      <c r="A696" s="0" t="s">
        <v>12</v>
      </c>
      <c r="B696" s="0" t="n">
        <v>210909</v>
      </c>
      <c r="C696" s="0" t="n">
        <v>210929</v>
      </c>
      <c r="D696" s="0" t="s">
        <v>2332</v>
      </c>
      <c r="E696" s="0" t="s">
        <v>89</v>
      </c>
      <c r="F696" s="0" t="s">
        <v>90</v>
      </c>
      <c r="G696" s="0" t="s">
        <v>36</v>
      </c>
      <c r="H696" s="0" t="n">
        <v>21</v>
      </c>
      <c r="I696" s="0" t="s">
        <v>2336</v>
      </c>
      <c r="J696" s="0" t="s">
        <v>2337</v>
      </c>
      <c r="K696" s="0" t="s">
        <v>2338</v>
      </c>
      <c r="L696" s="0" t="str">
        <f aca="false">HYPERLINK("https://www.ncbi.nlm.nih.gov/nuccore/CP000304.1?report=graph&amp;tracks=[key:gene_model_track,Options:GeneOnly]&amp;mk=210931:210950|offset_0|444444,210910:210929|offset_21|00cc00,210889:210908|offset_42|444444,210865:210884|offset_66|444444&amp;v=210730:211084&amp;c=444444", "offset 21")</f>
        <v>offset 21</v>
      </c>
    </row>
    <row r="697" customFormat="false" ht="12.8" hidden="false" customHeight="false" outlineLevel="0" collapsed="false">
      <c r="A697" s="0" t="s">
        <v>12</v>
      </c>
      <c r="B697" s="0" t="n">
        <v>210888</v>
      </c>
      <c r="C697" s="0" t="n">
        <v>210908</v>
      </c>
      <c r="D697" s="0" t="s">
        <v>2332</v>
      </c>
      <c r="E697" s="0" t="s">
        <v>89</v>
      </c>
      <c r="F697" s="0" t="s">
        <v>90</v>
      </c>
      <c r="G697" s="0" t="s">
        <v>36</v>
      </c>
      <c r="H697" s="0" t="n">
        <v>42</v>
      </c>
      <c r="I697" s="0" t="s">
        <v>2339</v>
      </c>
      <c r="J697" s="0" t="s">
        <v>2340</v>
      </c>
      <c r="K697" s="0" t="s">
        <v>2341</v>
      </c>
      <c r="L697" s="0" t="str">
        <f aca="false">HYPERLINK("https://www.ncbi.nlm.nih.gov/nuccore/CP000304.1?report=graph&amp;tracks=[key:gene_model_track,Options:GeneOnly]&amp;mk=210931:210950|offset_0|444444,210910:210929|offset_21|444444,210889:210908|offset_42|00cc00,210865:210884|offset_66|444444&amp;v=210730:211084&amp;c=444444", "offset 42")</f>
        <v>offset 42</v>
      </c>
    </row>
    <row r="698" customFormat="false" ht="12.8" hidden="false" customHeight="false" outlineLevel="0" collapsed="false">
      <c r="A698" s="0" t="s">
        <v>12</v>
      </c>
      <c r="B698" s="0" t="n">
        <v>210864</v>
      </c>
      <c r="C698" s="0" t="n">
        <v>210884</v>
      </c>
      <c r="D698" s="0" t="s">
        <v>2332</v>
      </c>
      <c r="E698" s="0" t="s">
        <v>89</v>
      </c>
      <c r="F698" s="0" t="s">
        <v>90</v>
      </c>
      <c r="G698" s="0" t="s">
        <v>16</v>
      </c>
      <c r="H698" s="0" t="n">
        <v>66</v>
      </c>
      <c r="I698" s="0" t="s">
        <v>2342</v>
      </c>
      <c r="J698" s="0" t="s">
        <v>2343</v>
      </c>
      <c r="K698" s="0" t="s">
        <v>2344</v>
      </c>
      <c r="L698" s="0" t="str">
        <f aca="false">HYPERLINK("https://www.ncbi.nlm.nih.gov/nuccore/CP000304.1?report=graph&amp;tracks=[key:gene_model_track,Options:GeneOnly]&amp;mk=210931:210950|offset_0|444444,210910:210929|offset_21|444444,210889:210908|offset_42|444444,210865:210884|offset_66|00cc00&amp;v=210730:211084&amp;c=444444", "offset 66")</f>
        <v>offset 66</v>
      </c>
    </row>
    <row r="699" customFormat="false" ht="12.8" hidden="false" customHeight="false" outlineLevel="0" collapsed="false">
      <c r="A699" s="0" t="s">
        <v>12</v>
      </c>
      <c r="B699" s="0" t="n">
        <v>211285</v>
      </c>
      <c r="C699" s="0" t="n">
        <v>211305</v>
      </c>
      <c r="D699" s="0" t="s">
        <v>2345</v>
      </c>
      <c r="E699" s="0" t="s">
        <v>2346</v>
      </c>
      <c r="F699" s="0" t="s">
        <v>90</v>
      </c>
      <c r="G699" s="0" t="s">
        <v>26</v>
      </c>
      <c r="H699" s="0" t="n">
        <v>34</v>
      </c>
      <c r="I699" s="0" t="s">
        <v>2347</v>
      </c>
      <c r="J699" s="0" t="s">
        <v>2348</v>
      </c>
      <c r="K699" s="0" t="s">
        <v>2349</v>
      </c>
      <c r="L699" s="0" t="str">
        <f aca="false">HYPERLINK("https://www.ncbi.nlm.nih.gov/nuccore/CP000304.1?report=graph&amp;tracks=[key:gene_model_track,Options:GeneOnly]&amp;mk=211286:211305|offset_34|00cc00,211243:211262|offset_77|444444,211184:211203|offset_136|444444,211152:211171|offset_168|444444&amp;v=211085:211371&amp;c=444444", "offset 34")</f>
        <v>offset 34</v>
      </c>
    </row>
    <row r="700" customFormat="false" ht="12.8" hidden="false" customHeight="false" outlineLevel="0" collapsed="false">
      <c r="A700" s="0" t="s">
        <v>12</v>
      </c>
      <c r="B700" s="0" t="n">
        <v>211242</v>
      </c>
      <c r="C700" s="0" t="n">
        <v>211262</v>
      </c>
      <c r="D700" s="0" t="s">
        <v>2345</v>
      </c>
      <c r="E700" s="0" t="s">
        <v>2346</v>
      </c>
      <c r="F700" s="0" t="s">
        <v>90</v>
      </c>
      <c r="G700" s="0" t="s">
        <v>32</v>
      </c>
      <c r="H700" s="0" t="n">
        <v>77</v>
      </c>
      <c r="I700" s="0" t="s">
        <v>2350</v>
      </c>
      <c r="J700" s="0" t="s">
        <v>2351</v>
      </c>
      <c r="K700" s="0" t="s">
        <v>2352</v>
      </c>
      <c r="L700" s="0" t="str">
        <f aca="false">HYPERLINK("https://www.ncbi.nlm.nih.gov/nuccore/CP000304.1?report=graph&amp;tracks=[key:gene_model_track,Options:GeneOnly]&amp;mk=211286:211305|offset_34|444444,211243:211262|offset_77|00cc00,211184:211203|offset_136|444444,211152:211171|offset_168|444444&amp;v=211085:211371&amp;c=444444", "offset 77")</f>
        <v>offset 77</v>
      </c>
    </row>
    <row r="701" customFormat="false" ht="12.8" hidden="false" customHeight="false" outlineLevel="0" collapsed="false">
      <c r="A701" s="0" t="s">
        <v>12</v>
      </c>
      <c r="B701" s="0" t="n">
        <v>211183</v>
      </c>
      <c r="C701" s="0" t="n">
        <v>211203</v>
      </c>
      <c r="D701" s="0" t="s">
        <v>2345</v>
      </c>
      <c r="E701" s="0" t="s">
        <v>2346</v>
      </c>
      <c r="F701" s="0" t="s">
        <v>90</v>
      </c>
      <c r="G701" s="0" t="s">
        <v>32</v>
      </c>
      <c r="H701" s="0" t="n">
        <v>136</v>
      </c>
      <c r="I701" s="0" t="s">
        <v>2353</v>
      </c>
      <c r="J701" s="0" t="s">
        <v>2354</v>
      </c>
      <c r="K701" s="0" t="s">
        <v>2355</v>
      </c>
      <c r="L701" s="0" t="str">
        <f aca="false">HYPERLINK("https://www.ncbi.nlm.nih.gov/nuccore/CP000304.1?report=graph&amp;tracks=[key:gene_model_track,Options:GeneOnly]&amp;mk=211286:211305|offset_34|444444,211243:211262|offset_77|444444,211184:211203|offset_136|00cc00,211152:211171|offset_168|444444&amp;v=211085:211371&amp;c=444444", "offset 136")</f>
        <v>offset 136</v>
      </c>
    </row>
    <row r="702" customFormat="false" ht="12.8" hidden="false" customHeight="false" outlineLevel="0" collapsed="false">
      <c r="A702" s="0" t="s">
        <v>12</v>
      </c>
      <c r="B702" s="0" t="n">
        <v>211151</v>
      </c>
      <c r="C702" s="0" t="n">
        <v>211171</v>
      </c>
      <c r="D702" s="0" t="s">
        <v>2345</v>
      </c>
      <c r="E702" s="0" t="s">
        <v>2346</v>
      </c>
      <c r="F702" s="0" t="s">
        <v>90</v>
      </c>
      <c r="G702" s="0" t="s">
        <v>16</v>
      </c>
      <c r="H702" s="0" t="n">
        <v>168</v>
      </c>
      <c r="I702" s="0" t="s">
        <v>2356</v>
      </c>
      <c r="J702" s="0" t="s">
        <v>2357</v>
      </c>
      <c r="K702" s="0" t="s">
        <v>2358</v>
      </c>
      <c r="L702" s="0" t="str">
        <f aca="false">HYPERLINK("https://www.ncbi.nlm.nih.gov/nuccore/CP000304.1?report=graph&amp;tracks=[key:gene_model_track,Options:GeneOnly]&amp;mk=211286:211305|offset_34|444444,211243:211262|offset_77|444444,211184:211203|offset_136|444444,211152:211171|offset_168|00cc00&amp;v=211085:211371&amp;c=444444", "offset 168")</f>
        <v>offset 168</v>
      </c>
    </row>
    <row r="703" customFormat="false" ht="12.8" hidden="false" customHeight="false" outlineLevel="0" collapsed="false">
      <c r="A703" s="0" t="s">
        <v>12</v>
      </c>
      <c r="B703" s="0" t="n">
        <v>212660</v>
      </c>
      <c r="C703" s="0" t="n">
        <v>212680</v>
      </c>
      <c r="D703" s="0" t="s">
        <v>2359</v>
      </c>
      <c r="E703" s="0" t="s">
        <v>2360</v>
      </c>
      <c r="F703" s="0" t="s">
        <v>90</v>
      </c>
      <c r="G703" s="0" t="s">
        <v>32</v>
      </c>
      <c r="H703" s="0" t="n">
        <v>28</v>
      </c>
      <c r="I703" s="0" t="s">
        <v>2361</v>
      </c>
      <c r="J703" s="0" t="s">
        <v>2362</v>
      </c>
      <c r="K703" s="0" t="s">
        <v>2363</v>
      </c>
      <c r="L703" s="0" t="str">
        <f aca="false">HYPERLINK("https://www.ncbi.nlm.nih.gov/nuccore/CP000304.1?report=graph&amp;tracks=[key:gene_model_track,Options:GeneOnly]&amp;mk=212661:212680|offset_28|00cc00,212637:212656|offset_52|444444,212613:212632|offset_76|444444,212564:212583|offset_125|444444&amp;v=212460:212783&amp;c=444444", "offset 28")</f>
        <v>offset 28</v>
      </c>
    </row>
    <row r="704" customFormat="false" ht="12.8" hidden="false" customHeight="false" outlineLevel="0" collapsed="false">
      <c r="A704" s="0" t="s">
        <v>12</v>
      </c>
      <c r="B704" s="0" t="n">
        <v>212636</v>
      </c>
      <c r="C704" s="0" t="n">
        <v>212656</v>
      </c>
      <c r="D704" s="0" t="s">
        <v>2359</v>
      </c>
      <c r="E704" s="0" t="s">
        <v>2360</v>
      </c>
      <c r="F704" s="0" t="s">
        <v>90</v>
      </c>
      <c r="G704" s="0" t="s">
        <v>26</v>
      </c>
      <c r="H704" s="0" t="n">
        <v>52</v>
      </c>
      <c r="I704" s="0" t="s">
        <v>2364</v>
      </c>
      <c r="J704" s="0" t="s">
        <v>2365</v>
      </c>
      <c r="K704" s="0" t="s">
        <v>2366</v>
      </c>
      <c r="L704" s="0" t="str">
        <f aca="false">HYPERLINK("https://www.ncbi.nlm.nih.gov/nuccore/CP000304.1?report=graph&amp;tracks=[key:gene_model_track,Options:GeneOnly]&amp;mk=212661:212680|offset_28|444444,212637:212656|offset_52|00cc00,212613:212632|offset_76|444444,212564:212583|offset_125|444444&amp;v=212460:212783&amp;c=444444", "offset 52")</f>
        <v>offset 52</v>
      </c>
    </row>
    <row r="705" customFormat="false" ht="12.8" hidden="false" customHeight="false" outlineLevel="0" collapsed="false">
      <c r="A705" s="0" t="s">
        <v>12</v>
      </c>
      <c r="B705" s="0" t="n">
        <v>212612</v>
      </c>
      <c r="C705" s="0" t="n">
        <v>212632</v>
      </c>
      <c r="D705" s="0" t="s">
        <v>2359</v>
      </c>
      <c r="E705" s="0" t="s">
        <v>2360</v>
      </c>
      <c r="F705" s="0" t="s">
        <v>90</v>
      </c>
      <c r="G705" s="0" t="s">
        <v>36</v>
      </c>
      <c r="H705" s="0" t="n">
        <v>76</v>
      </c>
      <c r="I705" s="0" t="s">
        <v>2367</v>
      </c>
      <c r="J705" s="0" t="s">
        <v>2368</v>
      </c>
      <c r="K705" s="0" t="s">
        <v>2369</v>
      </c>
      <c r="L705" s="0" t="str">
        <f aca="false">HYPERLINK("https://www.ncbi.nlm.nih.gov/nuccore/CP000304.1?report=graph&amp;tracks=[key:gene_model_track,Options:GeneOnly]&amp;mk=212661:212680|offset_28|444444,212637:212656|offset_52|444444,212613:212632|offset_76|00cc00,212564:212583|offset_125|444444&amp;v=212460:212783&amp;c=444444", "offset 76")</f>
        <v>offset 76</v>
      </c>
    </row>
    <row r="706" customFormat="false" ht="12.8" hidden="false" customHeight="false" outlineLevel="0" collapsed="false">
      <c r="A706" s="0" t="s">
        <v>12</v>
      </c>
      <c r="B706" s="0" t="n">
        <v>212563</v>
      </c>
      <c r="C706" s="0" t="n">
        <v>212583</v>
      </c>
      <c r="D706" s="0" t="s">
        <v>2359</v>
      </c>
      <c r="E706" s="0" t="s">
        <v>2360</v>
      </c>
      <c r="F706" s="0" t="s">
        <v>90</v>
      </c>
      <c r="G706" s="0" t="s">
        <v>26</v>
      </c>
      <c r="H706" s="0" t="n">
        <v>125</v>
      </c>
      <c r="I706" s="0" t="s">
        <v>2370</v>
      </c>
      <c r="J706" s="0" t="s">
        <v>2371</v>
      </c>
      <c r="K706" s="0" t="s">
        <v>2372</v>
      </c>
      <c r="L706" s="0" t="str">
        <f aca="false">HYPERLINK("https://www.ncbi.nlm.nih.gov/nuccore/CP000304.1?report=graph&amp;tracks=[key:gene_model_track,Options:GeneOnly]&amp;mk=212661:212680|offset_28|444444,212637:212656|offset_52|444444,212613:212632|offset_76|444444,212564:212583|offset_125|00cc00&amp;v=212460:212783&amp;c=444444", "offset 125")</f>
        <v>offset 125</v>
      </c>
    </row>
    <row r="707" customFormat="false" ht="12.8" hidden="false" customHeight="false" outlineLevel="0" collapsed="false">
      <c r="A707" s="0" t="s">
        <v>12</v>
      </c>
      <c r="B707" s="0" t="n">
        <v>213260</v>
      </c>
      <c r="C707" s="0" t="n">
        <v>213280</v>
      </c>
      <c r="D707" s="0" t="s">
        <v>2373</v>
      </c>
      <c r="E707" s="0" t="s">
        <v>2374</v>
      </c>
      <c r="F707" s="0" t="s">
        <v>90</v>
      </c>
      <c r="G707" s="0" t="s">
        <v>26</v>
      </c>
      <c r="H707" s="0" t="n">
        <v>6</v>
      </c>
      <c r="I707" s="0" t="s">
        <v>2375</v>
      </c>
      <c r="J707" s="0" t="s">
        <v>2376</v>
      </c>
      <c r="K707" s="0" t="s">
        <v>2377</v>
      </c>
      <c r="L707" s="0" t="str">
        <f aca="false">HYPERLINK("https://www.ncbi.nlm.nih.gov/nuccore/CP000304.1?report=graph&amp;tracks=[key:gene_model_track,Options:GeneOnly]&amp;mk=213261:213280|offset_6|00cc00,213232:213251|offset_35|444444,213208:213227|offset_59|444444,213187:213206|offset_80|444444&amp;v=213060:213406&amp;c=444444", "offset 6")</f>
        <v>offset 6</v>
      </c>
    </row>
    <row r="708" customFormat="false" ht="12.8" hidden="false" customHeight="false" outlineLevel="0" collapsed="false">
      <c r="A708" s="0" t="s">
        <v>12</v>
      </c>
      <c r="B708" s="0" t="n">
        <v>213231</v>
      </c>
      <c r="C708" s="0" t="n">
        <v>213251</v>
      </c>
      <c r="D708" s="0" t="s">
        <v>2373</v>
      </c>
      <c r="E708" s="0" t="s">
        <v>2374</v>
      </c>
      <c r="F708" s="0" t="s">
        <v>90</v>
      </c>
      <c r="G708" s="0" t="s">
        <v>36</v>
      </c>
      <c r="H708" s="0" t="n">
        <v>35</v>
      </c>
      <c r="I708" s="0" t="s">
        <v>2378</v>
      </c>
      <c r="J708" s="0" t="s">
        <v>2379</v>
      </c>
      <c r="K708" s="0" t="s">
        <v>2380</v>
      </c>
      <c r="L708" s="0" t="str">
        <f aca="false">HYPERLINK("https://www.ncbi.nlm.nih.gov/nuccore/CP000304.1?report=graph&amp;tracks=[key:gene_model_track,Options:GeneOnly]&amp;mk=213261:213280|offset_6|444444,213232:213251|offset_35|00cc00,213208:213227|offset_59|444444,213187:213206|offset_80|444444&amp;v=213060:213406&amp;c=444444", "offset 35")</f>
        <v>offset 35</v>
      </c>
    </row>
    <row r="709" customFormat="false" ht="12.8" hidden="false" customHeight="false" outlineLevel="0" collapsed="false">
      <c r="A709" s="0" t="s">
        <v>12</v>
      </c>
      <c r="B709" s="0" t="n">
        <v>213207</v>
      </c>
      <c r="C709" s="0" t="n">
        <v>213227</v>
      </c>
      <c r="D709" s="0" t="s">
        <v>2373</v>
      </c>
      <c r="E709" s="0" t="s">
        <v>2374</v>
      </c>
      <c r="F709" s="0" t="s">
        <v>90</v>
      </c>
      <c r="G709" s="0" t="s">
        <v>36</v>
      </c>
      <c r="H709" s="0" t="n">
        <v>59</v>
      </c>
      <c r="I709" s="0" t="s">
        <v>2381</v>
      </c>
      <c r="J709" s="0" t="s">
        <v>2382</v>
      </c>
      <c r="K709" s="0" t="s">
        <v>2383</v>
      </c>
      <c r="L709" s="0" t="str">
        <f aca="false">HYPERLINK("https://www.ncbi.nlm.nih.gov/nuccore/CP000304.1?report=graph&amp;tracks=[key:gene_model_track,Options:GeneOnly]&amp;mk=213261:213280|offset_6|444444,213232:213251|offset_35|444444,213208:213227|offset_59|00cc00,213187:213206|offset_80|444444&amp;v=213060:213406&amp;c=444444", "offset 59")</f>
        <v>offset 59</v>
      </c>
    </row>
    <row r="710" customFormat="false" ht="12.8" hidden="false" customHeight="false" outlineLevel="0" collapsed="false">
      <c r="A710" s="0" t="s">
        <v>12</v>
      </c>
      <c r="B710" s="0" t="n">
        <v>213186</v>
      </c>
      <c r="C710" s="0" t="n">
        <v>213206</v>
      </c>
      <c r="D710" s="0" t="s">
        <v>2373</v>
      </c>
      <c r="E710" s="0" t="s">
        <v>2374</v>
      </c>
      <c r="F710" s="0" t="s">
        <v>90</v>
      </c>
      <c r="G710" s="0" t="s">
        <v>36</v>
      </c>
      <c r="H710" s="0" t="n">
        <v>80</v>
      </c>
      <c r="I710" s="0" t="s">
        <v>2384</v>
      </c>
      <c r="J710" s="0" t="s">
        <v>2385</v>
      </c>
      <c r="K710" s="0" t="s">
        <v>2386</v>
      </c>
      <c r="L710" s="0" t="str">
        <f aca="false">HYPERLINK("https://www.ncbi.nlm.nih.gov/nuccore/CP000304.1?report=graph&amp;tracks=[key:gene_model_track,Options:GeneOnly]&amp;mk=213261:213280|offset_6|444444,213232:213251|offset_35|444444,213208:213227|offset_59|444444,213187:213206|offset_80|00cc00&amp;v=213060:213406&amp;c=444444", "offset 80")</f>
        <v>offset 80</v>
      </c>
    </row>
    <row r="711" customFormat="false" ht="12.8" hidden="false" customHeight="false" outlineLevel="0" collapsed="false">
      <c r="A711" s="0" t="s">
        <v>12</v>
      </c>
      <c r="B711" s="0" t="n">
        <v>215239</v>
      </c>
      <c r="C711" s="0" t="n">
        <v>215259</v>
      </c>
      <c r="D711" s="0" t="s">
        <v>2387</v>
      </c>
      <c r="E711" s="0" t="s">
        <v>2388</v>
      </c>
      <c r="F711" s="0" t="s">
        <v>90</v>
      </c>
      <c r="G711" s="0" t="s">
        <v>16</v>
      </c>
      <c r="H711" s="0" t="n">
        <v>40</v>
      </c>
      <c r="I711" s="0" t="s">
        <v>2389</v>
      </c>
      <c r="J711" s="0" t="s">
        <v>2390</v>
      </c>
      <c r="K711" s="0" t="s">
        <v>2391</v>
      </c>
      <c r="L711" s="0" t="str">
        <f aca="false">HYPERLINK("https://www.ncbi.nlm.nih.gov/nuccore/CP000304.1?report=graph&amp;tracks=[key:gene_model_track,Options:GeneOnly]&amp;mk=215240:215259|offset_40|00cc00,215211:215230|offset_69|444444,215191:215210|offset_89|444444,215171:215190|offset_109|444444&amp;v=215039:215390&amp;c=444444", "offset 40")</f>
        <v>offset 40</v>
      </c>
    </row>
    <row r="712" customFormat="false" ht="12.8" hidden="false" customHeight="false" outlineLevel="0" collapsed="false">
      <c r="A712" s="0" t="s">
        <v>12</v>
      </c>
      <c r="B712" s="0" t="n">
        <v>215210</v>
      </c>
      <c r="C712" s="0" t="n">
        <v>215230</v>
      </c>
      <c r="D712" s="0" t="s">
        <v>2387</v>
      </c>
      <c r="E712" s="0" t="s">
        <v>2388</v>
      </c>
      <c r="F712" s="0" t="s">
        <v>90</v>
      </c>
      <c r="G712" s="0" t="s">
        <v>16</v>
      </c>
      <c r="H712" s="0" t="n">
        <v>69</v>
      </c>
      <c r="I712" s="0" t="s">
        <v>2392</v>
      </c>
      <c r="J712" s="0" t="s">
        <v>2393</v>
      </c>
      <c r="K712" s="0" t="s">
        <v>2394</v>
      </c>
      <c r="L712" s="0" t="str">
        <f aca="false">HYPERLINK("https://www.ncbi.nlm.nih.gov/nuccore/CP000304.1?report=graph&amp;tracks=[key:gene_model_track,Options:GeneOnly]&amp;mk=215240:215259|offset_40|444444,215211:215230|offset_69|00cc00,215191:215210|offset_89|444444,215171:215190|offset_109|444444&amp;v=215039:215390&amp;c=444444", "offset 69")</f>
        <v>offset 69</v>
      </c>
    </row>
    <row r="713" customFormat="false" ht="12.8" hidden="false" customHeight="false" outlineLevel="0" collapsed="false">
      <c r="A713" s="0" t="s">
        <v>12</v>
      </c>
      <c r="B713" s="0" t="n">
        <v>215190</v>
      </c>
      <c r="C713" s="0" t="n">
        <v>215210</v>
      </c>
      <c r="D713" s="0" t="s">
        <v>2387</v>
      </c>
      <c r="E713" s="0" t="s">
        <v>2388</v>
      </c>
      <c r="F713" s="0" t="s">
        <v>90</v>
      </c>
      <c r="G713" s="0" t="s">
        <v>16</v>
      </c>
      <c r="H713" s="0" t="n">
        <v>89</v>
      </c>
      <c r="I713" s="0" t="s">
        <v>2395</v>
      </c>
      <c r="J713" s="0" t="s">
        <v>2396</v>
      </c>
      <c r="K713" s="0" t="s">
        <v>2397</v>
      </c>
      <c r="L713" s="0" t="str">
        <f aca="false">HYPERLINK("https://www.ncbi.nlm.nih.gov/nuccore/CP000304.1?report=graph&amp;tracks=[key:gene_model_track,Options:GeneOnly]&amp;mk=215240:215259|offset_40|444444,215211:215230|offset_69|444444,215191:215210|offset_89|00cc00,215171:215190|offset_109|444444&amp;v=215039:215390&amp;c=444444", "offset 89")</f>
        <v>offset 89</v>
      </c>
    </row>
    <row r="714" customFormat="false" ht="12.8" hidden="false" customHeight="false" outlineLevel="0" collapsed="false">
      <c r="A714" s="0" t="s">
        <v>12</v>
      </c>
      <c r="B714" s="0" t="n">
        <v>215170</v>
      </c>
      <c r="C714" s="0" t="n">
        <v>215190</v>
      </c>
      <c r="D714" s="0" t="s">
        <v>2387</v>
      </c>
      <c r="E714" s="0" t="s">
        <v>2388</v>
      </c>
      <c r="F714" s="0" t="s">
        <v>90</v>
      </c>
      <c r="G714" s="0" t="s">
        <v>16</v>
      </c>
      <c r="H714" s="0" t="n">
        <v>109</v>
      </c>
      <c r="I714" s="0" t="s">
        <v>2398</v>
      </c>
      <c r="J714" s="0" t="s">
        <v>2399</v>
      </c>
      <c r="K714" s="0" t="s">
        <v>2400</v>
      </c>
      <c r="L714" s="0" t="str">
        <f aca="false">HYPERLINK("https://www.ncbi.nlm.nih.gov/nuccore/CP000304.1?report=graph&amp;tracks=[key:gene_model_track,Options:GeneOnly]&amp;mk=215240:215259|offset_40|444444,215211:215230|offset_69|444444,215191:215210|offset_89|444444,215171:215190|offset_109|00cc00&amp;v=215039:215390&amp;c=444444", "offset 109")</f>
        <v>offset 109</v>
      </c>
    </row>
    <row r="715" customFormat="false" ht="12.8" hidden="false" customHeight="false" outlineLevel="0" collapsed="false">
      <c r="A715" s="0" t="s">
        <v>12</v>
      </c>
      <c r="B715" s="0" t="n">
        <v>215555</v>
      </c>
      <c r="C715" s="0" t="n">
        <v>215575</v>
      </c>
      <c r="D715" s="0" t="s">
        <v>2401</v>
      </c>
      <c r="E715" s="0" t="s">
        <v>89</v>
      </c>
      <c r="F715" s="0" t="s">
        <v>15</v>
      </c>
      <c r="G715" s="0" t="s">
        <v>16</v>
      </c>
      <c r="H715" s="0" t="n">
        <v>19</v>
      </c>
      <c r="I715" s="0" t="s">
        <v>2402</v>
      </c>
      <c r="J715" s="0" t="s">
        <v>2403</v>
      </c>
      <c r="K715" s="0" t="s">
        <v>2404</v>
      </c>
      <c r="L715" s="0" t="str">
        <f aca="false">HYPERLINK("https://www.ncbi.nlm.nih.gov/nuccore/CP000304.1?report=graph&amp;tracks=[key:gene_model_track,Options:GeneOnly]&amp;mk=215556:215575|offset_19|00cc00,215588:215607|offset_51|444444,215613:215632|offset_76|444444,215638:215657|offset_101|444444&amp;v=215355:215857&amp;c=444444", "offset 19")</f>
        <v>offset 19</v>
      </c>
    </row>
    <row r="716" customFormat="false" ht="12.8" hidden="false" customHeight="false" outlineLevel="0" collapsed="false">
      <c r="A716" s="0" t="s">
        <v>12</v>
      </c>
      <c r="B716" s="0" t="n">
        <v>215587</v>
      </c>
      <c r="C716" s="0" t="n">
        <v>215607</v>
      </c>
      <c r="D716" s="0" t="s">
        <v>2401</v>
      </c>
      <c r="E716" s="0" t="s">
        <v>89</v>
      </c>
      <c r="F716" s="0" t="s">
        <v>15</v>
      </c>
      <c r="G716" s="0" t="s">
        <v>16</v>
      </c>
      <c r="H716" s="0" t="n">
        <v>51</v>
      </c>
      <c r="I716" s="0" t="s">
        <v>2405</v>
      </c>
      <c r="J716" s="0" t="s">
        <v>2406</v>
      </c>
      <c r="K716" s="0" t="s">
        <v>2407</v>
      </c>
      <c r="L716" s="0" t="str">
        <f aca="false">HYPERLINK("https://www.ncbi.nlm.nih.gov/nuccore/CP000304.1?report=graph&amp;tracks=[key:gene_model_track,Options:GeneOnly]&amp;mk=215556:215575|offset_19|444444,215588:215607|offset_51|00cc00,215613:215632|offset_76|444444,215638:215657|offset_101|444444&amp;v=215355:215857&amp;c=444444", "offset 51")</f>
        <v>offset 51</v>
      </c>
    </row>
    <row r="717" customFormat="false" ht="12.8" hidden="false" customHeight="false" outlineLevel="0" collapsed="false">
      <c r="A717" s="0" t="s">
        <v>12</v>
      </c>
      <c r="B717" s="0" t="n">
        <v>215612</v>
      </c>
      <c r="C717" s="0" t="n">
        <v>215632</v>
      </c>
      <c r="D717" s="0" t="s">
        <v>2401</v>
      </c>
      <c r="E717" s="0" t="s">
        <v>89</v>
      </c>
      <c r="F717" s="0" t="s">
        <v>15</v>
      </c>
      <c r="G717" s="0" t="s">
        <v>32</v>
      </c>
      <c r="H717" s="0" t="n">
        <v>76</v>
      </c>
      <c r="I717" s="0" t="s">
        <v>2408</v>
      </c>
      <c r="J717" s="0" t="s">
        <v>2409</v>
      </c>
      <c r="K717" s="0" t="s">
        <v>2410</v>
      </c>
      <c r="L717" s="0" t="str">
        <f aca="false">HYPERLINK("https://www.ncbi.nlm.nih.gov/nuccore/CP000304.1?report=graph&amp;tracks=[key:gene_model_track,Options:GeneOnly]&amp;mk=215556:215575|offset_19|444444,215588:215607|offset_51|444444,215613:215632|offset_76|00cc00,215638:215657|offset_101|444444&amp;v=215355:215857&amp;c=444444", "offset 76")</f>
        <v>offset 76</v>
      </c>
    </row>
    <row r="718" customFormat="false" ht="12.8" hidden="false" customHeight="false" outlineLevel="0" collapsed="false">
      <c r="A718" s="0" t="s">
        <v>12</v>
      </c>
      <c r="B718" s="0" t="n">
        <v>215637</v>
      </c>
      <c r="C718" s="0" t="n">
        <v>215657</v>
      </c>
      <c r="D718" s="0" t="s">
        <v>2401</v>
      </c>
      <c r="E718" s="0" t="s">
        <v>89</v>
      </c>
      <c r="F718" s="0" t="s">
        <v>15</v>
      </c>
      <c r="G718" s="0" t="s">
        <v>26</v>
      </c>
      <c r="H718" s="0" t="n">
        <v>101</v>
      </c>
      <c r="I718" s="0" t="s">
        <v>2411</v>
      </c>
      <c r="J718" s="0" t="s">
        <v>2412</v>
      </c>
      <c r="K718" s="0" t="s">
        <v>2413</v>
      </c>
      <c r="L718" s="0" t="str">
        <f aca="false">HYPERLINK("https://www.ncbi.nlm.nih.gov/nuccore/CP000304.1?report=graph&amp;tracks=[key:gene_model_track,Options:GeneOnly]&amp;mk=215556:215575|offset_19|444444,215588:215607|offset_51|444444,215613:215632|offset_76|444444,215638:215657|offset_101|00cc00&amp;v=215355:215857&amp;c=444444", "offset 101")</f>
        <v>offset 101</v>
      </c>
    </row>
    <row r="719" customFormat="false" ht="12.8" hidden="false" customHeight="false" outlineLevel="0" collapsed="false">
      <c r="A719" s="0" t="s">
        <v>12</v>
      </c>
      <c r="B719" s="0" t="n">
        <v>216404</v>
      </c>
      <c r="C719" s="0" t="n">
        <v>216424</v>
      </c>
      <c r="D719" s="0" t="s">
        <v>2414</v>
      </c>
      <c r="E719" s="0" t="s">
        <v>89</v>
      </c>
      <c r="F719" s="0" t="s">
        <v>15</v>
      </c>
      <c r="G719" s="0" t="s">
        <v>36</v>
      </c>
      <c r="H719" s="0" t="n">
        <v>0</v>
      </c>
      <c r="I719" s="0" t="s">
        <v>2415</v>
      </c>
      <c r="J719" s="0" t="s">
        <v>2416</v>
      </c>
      <c r="K719" s="0" t="s">
        <v>2417</v>
      </c>
      <c r="L719" s="0" t="str">
        <f aca="false">HYPERLINK("https://www.ncbi.nlm.nih.gov/nuccore/CP000304.1?report=graph&amp;tracks=[key:gene_model_track,Options:GeneOnly]&amp;mk=216405:216424|offset_0|00cc00,216430:216449|offset_25|444444,216455:216474|offset_50|444444,216476:216495|offset_71|444444&amp;v=216204:216695&amp;c=444444", "offset 0")</f>
        <v>offset 0</v>
      </c>
    </row>
    <row r="720" customFormat="false" ht="12.8" hidden="false" customHeight="false" outlineLevel="0" collapsed="false">
      <c r="A720" s="0" t="s">
        <v>12</v>
      </c>
      <c r="B720" s="0" t="n">
        <v>216429</v>
      </c>
      <c r="C720" s="0" t="n">
        <v>216449</v>
      </c>
      <c r="D720" s="0" t="s">
        <v>2414</v>
      </c>
      <c r="E720" s="0" t="s">
        <v>89</v>
      </c>
      <c r="F720" s="0" t="s">
        <v>15</v>
      </c>
      <c r="G720" s="0" t="s">
        <v>16</v>
      </c>
      <c r="H720" s="0" t="n">
        <v>25</v>
      </c>
      <c r="I720" s="0" t="s">
        <v>2418</v>
      </c>
      <c r="J720" s="0" t="s">
        <v>2419</v>
      </c>
      <c r="K720" s="0" t="s">
        <v>2420</v>
      </c>
      <c r="L720" s="0" t="str">
        <f aca="false">HYPERLINK("https://www.ncbi.nlm.nih.gov/nuccore/CP000304.1?report=graph&amp;tracks=[key:gene_model_track,Options:GeneOnly]&amp;mk=216405:216424|offset_0|444444,216430:216449|offset_25|00cc00,216455:216474|offset_50|444444,216476:216495|offset_71|444444&amp;v=216204:216695&amp;c=444444", "offset 25")</f>
        <v>offset 25</v>
      </c>
    </row>
    <row r="721" customFormat="false" ht="12.8" hidden="false" customHeight="false" outlineLevel="0" collapsed="false">
      <c r="A721" s="0" t="s">
        <v>12</v>
      </c>
      <c r="B721" s="0" t="n">
        <v>216454</v>
      </c>
      <c r="C721" s="0" t="n">
        <v>216474</v>
      </c>
      <c r="D721" s="0" t="s">
        <v>2414</v>
      </c>
      <c r="E721" s="0" t="s">
        <v>89</v>
      </c>
      <c r="F721" s="0" t="s">
        <v>15</v>
      </c>
      <c r="G721" s="0" t="s">
        <v>16</v>
      </c>
      <c r="H721" s="0" t="n">
        <v>50</v>
      </c>
      <c r="I721" s="0" t="s">
        <v>2421</v>
      </c>
      <c r="J721" s="0" t="s">
        <v>2422</v>
      </c>
      <c r="K721" s="0" t="s">
        <v>2423</v>
      </c>
      <c r="L721" s="0" t="str">
        <f aca="false">HYPERLINK("https://www.ncbi.nlm.nih.gov/nuccore/CP000304.1?report=graph&amp;tracks=[key:gene_model_track,Options:GeneOnly]&amp;mk=216405:216424|offset_0|444444,216430:216449|offset_25|444444,216455:216474|offset_50|00cc00,216476:216495|offset_71|444444&amp;v=216204:216695&amp;c=444444", "offset 50")</f>
        <v>offset 50</v>
      </c>
    </row>
    <row r="722" customFormat="false" ht="12.8" hidden="false" customHeight="false" outlineLevel="0" collapsed="false">
      <c r="A722" s="0" t="s">
        <v>12</v>
      </c>
      <c r="B722" s="0" t="n">
        <v>216475</v>
      </c>
      <c r="C722" s="0" t="n">
        <v>216495</v>
      </c>
      <c r="D722" s="0" t="s">
        <v>2414</v>
      </c>
      <c r="E722" s="0" t="s">
        <v>89</v>
      </c>
      <c r="F722" s="0" t="s">
        <v>15</v>
      </c>
      <c r="G722" s="0" t="s">
        <v>16</v>
      </c>
      <c r="H722" s="0" t="n">
        <v>71</v>
      </c>
      <c r="I722" s="0" t="s">
        <v>2424</v>
      </c>
      <c r="J722" s="0" t="s">
        <v>2425</v>
      </c>
      <c r="K722" s="0" t="s">
        <v>2426</v>
      </c>
      <c r="L722" s="0" t="str">
        <f aca="false">HYPERLINK("https://www.ncbi.nlm.nih.gov/nuccore/CP000304.1?report=graph&amp;tracks=[key:gene_model_track,Options:GeneOnly]&amp;mk=216405:216424|offset_0|444444,216430:216449|offset_25|444444,216455:216474|offset_50|444444,216476:216495|offset_71|00cc00&amp;v=216204:216695&amp;c=444444", "offset 71")</f>
        <v>offset 71</v>
      </c>
    </row>
    <row r="723" customFormat="false" ht="12.8" hidden="false" customHeight="false" outlineLevel="0" collapsed="false">
      <c r="A723" s="0" t="s">
        <v>12</v>
      </c>
      <c r="B723" s="0" t="n">
        <v>217395</v>
      </c>
      <c r="C723" s="0" t="n">
        <v>217415</v>
      </c>
      <c r="D723" s="0" t="s">
        <v>2427</v>
      </c>
      <c r="E723" s="0" t="s">
        <v>89</v>
      </c>
      <c r="F723" s="0" t="s">
        <v>90</v>
      </c>
      <c r="G723" s="0" t="s">
        <v>36</v>
      </c>
      <c r="H723" s="0" t="n">
        <v>13</v>
      </c>
      <c r="I723" s="0" t="s">
        <v>2428</v>
      </c>
      <c r="J723" s="0" t="s">
        <v>2429</v>
      </c>
      <c r="K723" s="0" t="s">
        <v>2430</v>
      </c>
      <c r="L723" s="0" t="str">
        <f aca="false">HYPERLINK("https://www.ncbi.nlm.nih.gov/nuccore/CP000304.1?report=graph&amp;tracks=[key:gene_model_track,Options:GeneOnly]&amp;mk=217396:217415|offset_13|00cc00,217371:217390|offset_38|444444,217347:217366|offset_62|444444,217311:217330|offset_98|444444&amp;v=217195:217530&amp;c=444444", "offset 13")</f>
        <v>offset 13</v>
      </c>
    </row>
    <row r="724" customFormat="false" ht="12.8" hidden="false" customHeight="false" outlineLevel="0" collapsed="false">
      <c r="A724" s="0" t="s">
        <v>12</v>
      </c>
      <c r="B724" s="0" t="n">
        <v>217370</v>
      </c>
      <c r="C724" s="0" t="n">
        <v>217390</v>
      </c>
      <c r="D724" s="0" t="s">
        <v>2427</v>
      </c>
      <c r="E724" s="0" t="s">
        <v>89</v>
      </c>
      <c r="F724" s="0" t="s">
        <v>90</v>
      </c>
      <c r="G724" s="0" t="s">
        <v>16</v>
      </c>
      <c r="H724" s="0" t="n">
        <v>38</v>
      </c>
      <c r="I724" s="0" t="s">
        <v>2431</v>
      </c>
      <c r="J724" s="0" t="s">
        <v>2432</v>
      </c>
      <c r="K724" s="0" t="s">
        <v>2433</v>
      </c>
      <c r="L724" s="0" t="str">
        <f aca="false">HYPERLINK("https://www.ncbi.nlm.nih.gov/nuccore/CP000304.1?report=graph&amp;tracks=[key:gene_model_track,Options:GeneOnly]&amp;mk=217396:217415|offset_13|444444,217371:217390|offset_38|00cc00,217347:217366|offset_62|444444,217311:217330|offset_98|444444&amp;v=217195:217530&amp;c=444444", "offset 38")</f>
        <v>offset 38</v>
      </c>
    </row>
    <row r="725" customFormat="false" ht="12.8" hidden="false" customHeight="false" outlineLevel="0" collapsed="false">
      <c r="A725" s="0" t="s">
        <v>12</v>
      </c>
      <c r="B725" s="0" t="n">
        <v>217346</v>
      </c>
      <c r="C725" s="0" t="n">
        <v>217366</v>
      </c>
      <c r="D725" s="0" t="s">
        <v>2427</v>
      </c>
      <c r="E725" s="0" t="s">
        <v>89</v>
      </c>
      <c r="F725" s="0" t="s">
        <v>90</v>
      </c>
      <c r="G725" s="0" t="s">
        <v>32</v>
      </c>
      <c r="H725" s="0" t="n">
        <v>62</v>
      </c>
      <c r="I725" s="0" t="s">
        <v>2434</v>
      </c>
      <c r="J725" s="0" t="s">
        <v>2435</v>
      </c>
      <c r="K725" s="0" t="s">
        <v>2436</v>
      </c>
      <c r="L725" s="0" t="str">
        <f aca="false">HYPERLINK("https://www.ncbi.nlm.nih.gov/nuccore/CP000304.1?report=graph&amp;tracks=[key:gene_model_track,Options:GeneOnly]&amp;mk=217396:217415|offset_13|444444,217371:217390|offset_38|444444,217347:217366|offset_62|00cc00,217311:217330|offset_98|444444&amp;v=217195:217530&amp;c=444444", "offset 62")</f>
        <v>offset 62</v>
      </c>
    </row>
    <row r="726" customFormat="false" ht="12.8" hidden="false" customHeight="false" outlineLevel="0" collapsed="false">
      <c r="A726" s="0" t="s">
        <v>12</v>
      </c>
      <c r="B726" s="0" t="n">
        <v>217310</v>
      </c>
      <c r="C726" s="0" t="n">
        <v>217330</v>
      </c>
      <c r="D726" s="0" t="s">
        <v>2427</v>
      </c>
      <c r="E726" s="0" t="s">
        <v>89</v>
      </c>
      <c r="F726" s="0" t="s">
        <v>90</v>
      </c>
      <c r="G726" s="0" t="s">
        <v>26</v>
      </c>
      <c r="H726" s="0" t="n">
        <v>98</v>
      </c>
      <c r="I726" s="0" t="s">
        <v>2437</v>
      </c>
      <c r="J726" s="0" t="s">
        <v>2438</v>
      </c>
      <c r="K726" s="0" t="s">
        <v>2439</v>
      </c>
      <c r="L726" s="0" t="str">
        <f aca="false">HYPERLINK("https://www.ncbi.nlm.nih.gov/nuccore/CP000304.1?report=graph&amp;tracks=[key:gene_model_track,Options:GeneOnly]&amp;mk=217396:217415|offset_13|444444,217371:217390|offset_38|444444,217347:217366|offset_62|444444,217311:217330|offset_98|00cc00&amp;v=217195:217530&amp;c=444444", "offset 98")</f>
        <v>offset 98</v>
      </c>
    </row>
    <row r="727" customFormat="false" ht="12.8" hidden="false" customHeight="false" outlineLevel="0" collapsed="false">
      <c r="A727" s="0" t="s">
        <v>12</v>
      </c>
      <c r="B727" s="0" t="n">
        <v>217531</v>
      </c>
      <c r="C727" s="0" t="n">
        <v>217551</v>
      </c>
      <c r="D727" s="0" t="s">
        <v>2440</v>
      </c>
      <c r="E727" s="0" t="s">
        <v>2441</v>
      </c>
      <c r="F727" s="0" t="s">
        <v>15</v>
      </c>
      <c r="G727" s="0" t="s">
        <v>32</v>
      </c>
      <c r="H727" s="0" t="n">
        <v>33</v>
      </c>
      <c r="I727" s="0" t="s">
        <v>2442</v>
      </c>
      <c r="J727" s="0" t="s">
        <v>2443</v>
      </c>
      <c r="K727" s="0" t="s">
        <v>2444</v>
      </c>
      <c r="L727" s="0" t="str">
        <f aca="false">HYPERLINK("https://www.ncbi.nlm.nih.gov/nuccore/CP000304.1?report=graph&amp;tracks=[key:gene_model_track,Options:GeneOnly]&amp;mk=217532:217551|offset_33|00cc00,217567:217586|offset_68|444444,217607:217626|offset_108|444444,217635:217654|offset_136|444444&amp;v=217331:217854&amp;c=444444", "offset 33")</f>
        <v>offset 33</v>
      </c>
    </row>
    <row r="728" customFormat="false" ht="12.8" hidden="false" customHeight="false" outlineLevel="0" collapsed="false">
      <c r="A728" s="0" t="s">
        <v>12</v>
      </c>
      <c r="B728" s="0" t="n">
        <v>217566</v>
      </c>
      <c r="C728" s="0" t="n">
        <v>217586</v>
      </c>
      <c r="D728" s="0" t="s">
        <v>2440</v>
      </c>
      <c r="E728" s="0" t="s">
        <v>2441</v>
      </c>
      <c r="F728" s="0" t="s">
        <v>15</v>
      </c>
      <c r="G728" s="0" t="s">
        <v>26</v>
      </c>
      <c r="H728" s="0" t="n">
        <v>68</v>
      </c>
      <c r="I728" s="0" t="s">
        <v>2445</v>
      </c>
      <c r="J728" s="0" t="s">
        <v>2446</v>
      </c>
      <c r="K728" s="0" t="s">
        <v>2447</v>
      </c>
      <c r="L728" s="0" t="str">
        <f aca="false">HYPERLINK("https://www.ncbi.nlm.nih.gov/nuccore/CP000304.1?report=graph&amp;tracks=[key:gene_model_track,Options:GeneOnly]&amp;mk=217532:217551|offset_33|444444,217567:217586|offset_68|00cc00,217607:217626|offset_108|444444,217635:217654|offset_136|444444&amp;v=217331:217854&amp;c=444444", "offset 68")</f>
        <v>offset 68</v>
      </c>
    </row>
    <row r="729" customFormat="false" ht="12.8" hidden="false" customHeight="false" outlineLevel="0" collapsed="false">
      <c r="A729" s="0" t="s">
        <v>12</v>
      </c>
      <c r="B729" s="0" t="n">
        <v>217606</v>
      </c>
      <c r="C729" s="0" t="n">
        <v>217626</v>
      </c>
      <c r="D729" s="0" t="s">
        <v>2440</v>
      </c>
      <c r="E729" s="0" t="s">
        <v>2441</v>
      </c>
      <c r="F729" s="0" t="s">
        <v>15</v>
      </c>
      <c r="G729" s="0" t="s">
        <v>26</v>
      </c>
      <c r="H729" s="0" t="n">
        <v>108</v>
      </c>
      <c r="I729" s="0" t="s">
        <v>2448</v>
      </c>
      <c r="J729" s="0" t="s">
        <v>2449</v>
      </c>
      <c r="K729" s="0" t="s">
        <v>2450</v>
      </c>
      <c r="L729" s="0" t="str">
        <f aca="false">HYPERLINK("https://www.ncbi.nlm.nih.gov/nuccore/CP000304.1?report=graph&amp;tracks=[key:gene_model_track,Options:GeneOnly]&amp;mk=217532:217551|offset_33|444444,217567:217586|offset_68|444444,217607:217626|offset_108|00cc00,217635:217654|offset_136|444444&amp;v=217331:217854&amp;c=444444", "offset 108")</f>
        <v>offset 108</v>
      </c>
    </row>
    <row r="730" customFormat="false" ht="12.8" hidden="false" customHeight="false" outlineLevel="0" collapsed="false">
      <c r="A730" s="0" t="s">
        <v>12</v>
      </c>
      <c r="B730" s="0" t="n">
        <v>217634</v>
      </c>
      <c r="C730" s="0" t="n">
        <v>217654</v>
      </c>
      <c r="D730" s="0" t="s">
        <v>2440</v>
      </c>
      <c r="E730" s="0" t="s">
        <v>2441</v>
      </c>
      <c r="F730" s="0" t="s">
        <v>15</v>
      </c>
      <c r="G730" s="0" t="s">
        <v>36</v>
      </c>
      <c r="H730" s="0" t="n">
        <v>136</v>
      </c>
      <c r="I730" s="0" t="s">
        <v>2451</v>
      </c>
      <c r="J730" s="0" t="s">
        <v>2452</v>
      </c>
      <c r="K730" s="0" t="s">
        <v>2453</v>
      </c>
      <c r="L730" s="0" t="str">
        <f aca="false">HYPERLINK("https://www.ncbi.nlm.nih.gov/nuccore/CP000304.1?report=graph&amp;tracks=[key:gene_model_track,Options:GeneOnly]&amp;mk=217532:217551|offset_33|444444,217567:217586|offset_68|444444,217607:217626|offset_108|444444,217635:217654|offset_136|00cc00&amp;v=217331:217854&amp;c=444444", "offset 136")</f>
        <v>offset 136</v>
      </c>
    </row>
    <row r="731" customFormat="false" ht="12.8" hidden="false" customHeight="false" outlineLevel="0" collapsed="false">
      <c r="A731" s="0" t="s">
        <v>12</v>
      </c>
      <c r="B731" s="0" t="n">
        <v>219186</v>
      </c>
      <c r="C731" s="0" t="n">
        <v>219206</v>
      </c>
      <c r="D731" s="0" t="s">
        <v>2454</v>
      </c>
      <c r="E731" s="0" t="s">
        <v>2455</v>
      </c>
      <c r="F731" s="0" t="s">
        <v>15</v>
      </c>
      <c r="G731" s="0" t="s">
        <v>32</v>
      </c>
      <c r="H731" s="0" t="n">
        <v>1</v>
      </c>
      <c r="I731" s="0" t="s">
        <v>2456</v>
      </c>
      <c r="J731" s="0" t="s">
        <v>2457</v>
      </c>
      <c r="K731" s="0" t="s">
        <v>2458</v>
      </c>
      <c r="L731" s="0" t="str">
        <f aca="false">HYPERLINK("https://www.ncbi.nlm.nih.gov/nuccore/CP000304.1?report=graph&amp;tracks=[key:gene_model_track,Options:GeneOnly]&amp;mk=219187:219206|offset_1|00cc00,219211:219230|offset_25|444444,219239:219258|offset_53|444444,219259:219278|offset_73|444444&amp;v=218986:219478&amp;c=444444", "offset 1")</f>
        <v>offset 1</v>
      </c>
    </row>
    <row r="732" customFormat="false" ht="12.8" hidden="false" customHeight="false" outlineLevel="0" collapsed="false">
      <c r="A732" s="0" t="s">
        <v>12</v>
      </c>
      <c r="B732" s="0" t="n">
        <v>219210</v>
      </c>
      <c r="C732" s="0" t="n">
        <v>219230</v>
      </c>
      <c r="D732" s="0" t="s">
        <v>2454</v>
      </c>
      <c r="E732" s="0" t="s">
        <v>2455</v>
      </c>
      <c r="F732" s="0" t="s">
        <v>15</v>
      </c>
      <c r="G732" s="0" t="s">
        <v>16</v>
      </c>
      <c r="H732" s="0" t="n">
        <v>25</v>
      </c>
      <c r="I732" s="0" t="s">
        <v>2459</v>
      </c>
      <c r="J732" s="0" t="s">
        <v>2460</v>
      </c>
      <c r="K732" s="0" t="s">
        <v>2461</v>
      </c>
      <c r="L732" s="0" t="str">
        <f aca="false">HYPERLINK("https://www.ncbi.nlm.nih.gov/nuccore/CP000304.1?report=graph&amp;tracks=[key:gene_model_track,Options:GeneOnly]&amp;mk=219187:219206|offset_1|444444,219211:219230|offset_25|00cc00,219239:219258|offset_53|444444,219259:219278|offset_73|444444&amp;v=218986:219478&amp;c=444444", "offset 25")</f>
        <v>offset 25</v>
      </c>
    </row>
    <row r="733" customFormat="false" ht="12.8" hidden="false" customHeight="false" outlineLevel="0" collapsed="false">
      <c r="A733" s="0" t="s">
        <v>12</v>
      </c>
      <c r="B733" s="0" t="n">
        <v>219238</v>
      </c>
      <c r="C733" s="0" t="n">
        <v>219258</v>
      </c>
      <c r="D733" s="0" t="s">
        <v>2454</v>
      </c>
      <c r="E733" s="0" t="s">
        <v>2455</v>
      </c>
      <c r="F733" s="0" t="s">
        <v>15</v>
      </c>
      <c r="G733" s="0" t="s">
        <v>32</v>
      </c>
      <c r="H733" s="0" t="n">
        <v>53</v>
      </c>
      <c r="I733" s="0" t="s">
        <v>2462</v>
      </c>
      <c r="J733" s="0" t="s">
        <v>2463</v>
      </c>
      <c r="K733" s="0" t="s">
        <v>2464</v>
      </c>
      <c r="L733" s="0" t="str">
        <f aca="false">HYPERLINK("https://www.ncbi.nlm.nih.gov/nuccore/CP000304.1?report=graph&amp;tracks=[key:gene_model_track,Options:GeneOnly]&amp;mk=219187:219206|offset_1|444444,219211:219230|offset_25|444444,219239:219258|offset_53|00cc00,219259:219278|offset_73|444444&amp;v=218986:219478&amp;c=444444", "offset 53")</f>
        <v>offset 53</v>
      </c>
    </row>
    <row r="734" customFormat="false" ht="12.8" hidden="false" customHeight="false" outlineLevel="0" collapsed="false">
      <c r="A734" s="0" t="s">
        <v>12</v>
      </c>
      <c r="B734" s="0" t="n">
        <v>219258</v>
      </c>
      <c r="C734" s="0" t="n">
        <v>219278</v>
      </c>
      <c r="D734" s="0" t="s">
        <v>2454</v>
      </c>
      <c r="E734" s="0" t="s">
        <v>2455</v>
      </c>
      <c r="F734" s="0" t="s">
        <v>15</v>
      </c>
      <c r="G734" s="0" t="s">
        <v>36</v>
      </c>
      <c r="H734" s="0" t="n">
        <v>73</v>
      </c>
      <c r="I734" s="0" t="s">
        <v>2465</v>
      </c>
      <c r="J734" s="0" t="s">
        <v>2466</v>
      </c>
      <c r="K734" s="0" t="s">
        <v>2467</v>
      </c>
      <c r="L734" s="0" t="str">
        <f aca="false">HYPERLINK("https://www.ncbi.nlm.nih.gov/nuccore/CP000304.1?report=graph&amp;tracks=[key:gene_model_track,Options:GeneOnly]&amp;mk=219187:219206|offset_1|444444,219211:219230|offset_25|444444,219239:219258|offset_53|444444,219259:219278|offset_73|00cc00&amp;v=218986:219478&amp;c=444444", "offset 73")</f>
        <v>offset 73</v>
      </c>
    </row>
    <row r="735" customFormat="false" ht="12.8" hidden="false" customHeight="false" outlineLevel="0" collapsed="false">
      <c r="A735" s="0" t="s">
        <v>12</v>
      </c>
      <c r="B735" s="0" t="n">
        <v>221200</v>
      </c>
      <c r="C735" s="0" t="n">
        <v>221220</v>
      </c>
      <c r="D735" s="0" t="s">
        <v>2468</v>
      </c>
      <c r="E735" s="0" t="s">
        <v>89</v>
      </c>
      <c r="F735" s="0" t="s">
        <v>15</v>
      </c>
      <c r="G735" s="0" t="s">
        <v>36</v>
      </c>
      <c r="H735" s="0" t="n">
        <v>14</v>
      </c>
      <c r="I735" s="0" t="s">
        <v>2469</v>
      </c>
      <c r="J735" s="0" t="s">
        <v>2470</v>
      </c>
      <c r="K735" s="0" t="s">
        <v>2471</v>
      </c>
      <c r="L735" s="0" t="str">
        <f aca="false">HYPERLINK("https://www.ncbi.nlm.nih.gov/nuccore/CP000304.1?report=graph&amp;tracks=[key:gene_model_track,Options:GeneOnly]&amp;mk=221201:221220|offset_14|00cc00,221228:221247|offset_41|444444,221265:221284|offset_78|444444,221338:221357|offset_151|444444&amp;v=221000:221557&amp;c=444444", "offset 14")</f>
        <v>offset 14</v>
      </c>
    </row>
    <row r="736" customFormat="false" ht="12.8" hidden="false" customHeight="false" outlineLevel="0" collapsed="false">
      <c r="A736" s="0" t="s">
        <v>12</v>
      </c>
      <c r="B736" s="0" t="n">
        <v>221227</v>
      </c>
      <c r="C736" s="0" t="n">
        <v>221247</v>
      </c>
      <c r="D736" s="0" t="s">
        <v>2468</v>
      </c>
      <c r="E736" s="0" t="s">
        <v>89</v>
      </c>
      <c r="F736" s="0" t="s">
        <v>15</v>
      </c>
      <c r="G736" s="0" t="s">
        <v>26</v>
      </c>
      <c r="H736" s="0" t="n">
        <v>41</v>
      </c>
      <c r="I736" s="0" t="s">
        <v>2472</v>
      </c>
      <c r="J736" s="0" t="s">
        <v>2473</v>
      </c>
      <c r="K736" s="0" t="s">
        <v>2474</v>
      </c>
      <c r="L736" s="0" t="str">
        <f aca="false">HYPERLINK("https://www.ncbi.nlm.nih.gov/nuccore/CP000304.1?report=graph&amp;tracks=[key:gene_model_track,Options:GeneOnly]&amp;mk=221201:221220|offset_14|444444,221228:221247|offset_41|00cc00,221265:221284|offset_78|444444,221338:221357|offset_151|444444&amp;v=221000:221557&amp;c=444444", "offset 41")</f>
        <v>offset 41</v>
      </c>
    </row>
    <row r="737" customFormat="false" ht="12.8" hidden="false" customHeight="false" outlineLevel="0" collapsed="false">
      <c r="A737" s="0" t="s">
        <v>12</v>
      </c>
      <c r="B737" s="0" t="n">
        <v>221264</v>
      </c>
      <c r="C737" s="0" t="n">
        <v>221284</v>
      </c>
      <c r="D737" s="0" t="s">
        <v>2468</v>
      </c>
      <c r="E737" s="0" t="s">
        <v>89</v>
      </c>
      <c r="F737" s="0" t="s">
        <v>15</v>
      </c>
      <c r="G737" s="0" t="s">
        <v>32</v>
      </c>
      <c r="H737" s="0" t="n">
        <v>78</v>
      </c>
      <c r="I737" s="0" t="s">
        <v>2475</v>
      </c>
      <c r="J737" s="0" t="s">
        <v>2476</v>
      </c>
      <c r="K737" s="0" t="s">
        <v>2477</v>
      </c>
      <c r="L737" s="0" t="str">
        <f aca="false">HYPERLINK("https://www.ncbi.nlm.nih.gov/nuccore/CP000304.1?report=graph&amp;tracks=[key:gene_model_track,Options:GeneOnly]&amp;mk=221201:221220|offset_14|444444,221228:221247|offset_41|444444,221265:221284|offset_78|00cc00,221338:221357|offset_151|444444&amp;v=221000:221557&amp;c=444444", "offset 78")</f>
        <v>offset 78</v>
      </c>
    </row>
    <row r="738" customFormat="false" ht="12.8" hidden="false" customHeight="false" outlineLevel="0" collapsed="false">
      <c r="A738" s="0" t="s">
        <v>12</v>
      </c>
      <c r="B738" s="0" t="n">
        <v>221337</v>
      </c>
      <c r="C738" s="0" t="n">
        <v>221357</v>
      </c>
      <c r="D738" s="0" t="s">
        <v>2468</v>
      </c>
      <c r="E738" s="0" t="s">
        <v>89</v>
      </c>
      <c r="F738" s="0" t="s">
        <v>15</v>
      </c>
      <c r="G738" s="0" t="s">
        <v>16</v>
      </c>
      <c r="H738" s="0" t="n">
        <v>151</v>
      </c>
      <c r="I738" s="0" t="s">
        <v>2478</v>
      </c>
      <c r="J738" s="0" t="s">
        <v>2479</v>
      </c>
      <c r="K738" s="0" t="s">
        <v>2480</v>
      </c>
      <c r="L738" s="0" t="str">
        <f aca="false">HYPERLINK("https://www.ncbi.nlm.nih.gov/nuccore/CP000304.1?report=graph&amp;tracks=[key:gene_model_track,Options:GeneOnly]&amp;mk=221201:221220|offset_14|444444,221228:221247|offset_41|444444,221265:221284|offset_78|444444,221338:221357|offset_151|00cc00&amp;v=221000:221557&amp;c=444444", "offset 151")</f>
        <v>offset 151</v>
      </c>
    </row>
    <row r="739" customFormat="false" ht="12.8" hidden="false" customHeight="false" outlineLevel="0" collapsed="false">
      <c r="A739" s="0" t="s">
        <v>12</v>
      </c>
      <c r="B739" s="0" t="n">
        <v>222146</v>
      </c>
      <c r="C739" s="0" t="n">
        <v>222166</v>
      </c>
      <c r="D739" s="0" t="s">
        <v>2481</v>
      </c>
      <c r="E739" s="0" t="s">
        <v>89</v>
      </c>
      <c r="F739" s="0" t="s">
        <v>15</v>
      </c>
      <c r="G739" s="0" t="s">
        <v>16</v>
      </c>
      <c r="H739" s="0" t="n">
        <v>17</v>
      </c>
      <c r="I739" s="0" t="s">
        <v>2482</v>
      </c>
      <c r="J739" s="0" t="s">
        <v>2483</v>
      </c>
      <c r="K739" s="0" t="s">
        <v>2484</v>
      </c>
      <c r="L739" s="0" t="str">
        <f aca="false">HYPERLINK("https://www.ncbi.nlm.nih.gov/nuccore/CP000304.1?report=graph&amp;tracks=[key:gene_model_track,Options:GeneOnly]&amp;mk=222147:222166|offset_17|00cc00,222200:222219|offset_70|444444,222223:222242|offset_93|444444,222245:222264|offset_115|444444&amp;v=221946:222464&amp;c=444444", "offset 17")</f>
        <v>offset 17</v>
      </c>
    </row>
    <row r="740" customFormat="false" ht="12.8" hidden="false" customHeight="false" outlineLevel="0" collapsed="false">
      <c r="A740" s="0" t="s">
        <v>12</v>
      </c>
      <c r="B740" s="0" t="n">
        <v>222199</v>
      </c>
      <c r="C740" s="0" t="n">
        <v>222219</v>
      </c>
      <c r="D740" s="0" t="s">
        <v>2481</v>
      </c>
      <c r="E740" s="0" t="s">
        <v>89</v>
      </c>
      <c r="F740" s="0" t="s">
        <v>15</v>
      </c>
      <c r="G740" s="0" t="s">
        <v>16</v>
      </c>
      <c r="H740" s="0" t="n">
        <v>70</v>
      </c>
      <c r="I740" s="0" t="s">
        <v>2485</v>
      </c>
      <c r="J740" s="0" t="s">
        <v>2486</v>
      </c>
      <c r="K740" s="0" t="s">
        <v>2487</v>
      </c>
      <c r="L740" s="0" t="str">
        <f aca="false">HYPERLINK("https://www.ncbi.nlm.nih.gov/nuccore/CP000304.1?report=graph&amp;tracks=[key:gene_model_track,Options:GeneOnly]&amp;mk=222147:222166|offset_17|444444,222200:222219|offset_70|00cc00,222223:222242|offset_93|444444,222245:222264|offset_115|444444&amp;v=221946:222464&amp;c=444444", "offset 70")</f>
        <v>offset 70</v>
      </c>
    </row>
    <row r="741" customFormat="false" ht="12.8" hidden="false" customHeight="false" outlineLevel="0" collapsed="false">
      <c r="A741" s="0" t="s">
        <v>12</v>
      </c>
      <c r="B741" s="0" t="n">
        <v>222222</v>
      </c>
      <c r="C741" s="0" t="n">
        <v>222242</v>
      </c>
      <c r="D741" s="0" t="s">
        <v>2481</v>
      </c>
      <c r="E741" s="0" t="s">
        <v>89</v>
      </c>
      <c r="F741" s="0" t="s">
        <v>15</v>
      </c>
      <c r="G741" s="0" t="s">
        <v>26</v>
      </c>
      <c r="H741" s="0" t="n">
        <v>93</v>
      </c>
      <c r="I741" s="0" t="s">
        <v>2488</v>
      </c>
      <c r="J741" s="0" t="s">
        <v>2489</v>
      </c>
      <c r="K741" s="0" t="s">
        <v>2490</v>
      </c>
      <c r="L741" s="0" t="str">
        <f aca="false">HYPERLINK("https://www.ncbi.nlm.nih.gov/nuccore/CP000304.1?report=graph&amp;tracks=[key:gene_model_track,Options:GeneOnly]&amp;mk=222147:222166|offset_17|444444,222200:222219|offset_70|444444,222223:222242|offset_93|00cc00,222245:222264|offset_115|444444&amp;v=221946:222464&amp;c=444444", "offset 93")</f>
        <v>offset 93</v>
      </c>
    </row>
    <row r="742" customFormat="false" ht="12.8" hidden="false" customHeight="false" outlineLevel="0" collapsed="false">
      <c r="A742" s="0" t="s">
        <v>12</v>
      </c>
      <c r="B742" s="0" t="n">
        <v>222244</v>
      </c>
      <c r="C742" s="0" t="n">
        <v>222264</v>
      </c>
      <c r="D742" s="0" t="s">
        <v>2481</v>
      </c>
      <c r="E742" s="0" t="s">
        <v>89</v>
      </c>
      <c r="F742" s="0" t="s">
        <v>15</v>
      </c>
      <c r="G742" s="0" t="s">
        <v>36</v>
      </c>
      <c r="H742" s="0" t="n">
        <v>115</v>
      </c>
      <c r="I742" s="0" t="s">
        <v>2491</v>
      </c>
      <c r="J742" s="0" t="s">
        <v>2492</v>
      </c>
      <c r="K742" s="0" t="s">
        <v>2493</v>
      </c>
      <c r="L742" s="0" t="str">
        <f aca="false">HYPERLINK("https://www.ncbi.nlm.nih.gov/nuccore/CP000304.1?report=graph&amp;tracks=[key:gene_model_track,Options:GeneOnly]&amp;mk=222147:222166|offset_17|444444,222200:222219|offset_70|444444,222223:222242|offset_93|444444,222245:222264|offset_115|00cc00&amp;v=221946:222464&amp;c=444444", "offset 115")</f>
        <v>offset 115</v>
      </c>
    </row>
    <row r="743" customFormat="false" ht="12.8" hidden="false" customHeight="false" outlineLevel="0" collapsed="false">
      <c r="A743" s="0" t="s">
        <v>12</v>
      </c>
      <c r="B743" s="0" t="n">
        <v>222497</v>
      </c>
      <c r="C743" s="0" t="n">
        <v>222517</v>
      </c>
      <c r="D743" s="0" t="s">
        <v>2494</v>
      </c>
      <c r="E743" s="0" t="s">
        <v>89</v>
      </c>
      <c r="F743" s="0" t="s">
        <v>15</v>
      </c>
      <c r="G743" s="0" t="s">
        <v>16</v>
      </c>
      <c r="H743" s="0" t="n">
        <v>0</v>
      </c>
      <c r="I743" s="0" t="s">
        <v>2495</v>
      </c>
      <c r="J743" s="0" t="s">
        <v>2496</v>
      </c>
      <c r="K743" s="0" t="s">
        <v>2497</v>
      </c>
      <c r="L743" s="0" t="str">
        <f aca="false">HYPERLINK("https://www.ncbi.nlm.nih.gov/nuccore/CP000304.1?report=graph&amp;tracks=[key:gene_model_track,Options:GeneOnly]&amp;mk=222498:222517|offset_0|00cc00,222540:222559|offset_42|444444,222565:222584|offset_67|444444,222586:222605|offset_88|444444&amp;v=222297:222805&amp;c=444444", "offset 0")</f>
        <v>offset 0</v>
      </c>
    </row>
    <row r="744" customFormat="false" ht="12.8" hidden="false" customHeight="false" outlineLevel="0" collapsed="false">
      <c r="A744" s="0" t="s">
        <v>12</v>
      </c>
      <c r="B744" s="0" t="n">
        <v>222539</v>
      </c>
      <c r="C744" s="0" t="n">
        <v>222559</v>
      </c>
      <c r="D744" s="0" t="s">
        <v>2494</v>
      </c>
      <c r="E744" s="0" t="s">
        <v>89</v>
      </c>
      <c r="F744" s="0" t="s">
        <v>15</v>
      </c>
      <c r="G744" s="0" t="s">
        <v>16</v>
      </c>
      <c r="H744" s="0" t="n">
        <v>42</v>
      </c>
      <c r="I744" s="0" t="s">
        <v>2498</v>
      </c>
      <c r="J744" s="0" t="s">
        <v>2499</v>
      </c>
      <c r="K744" s="0" t="s">
        <v>2500</v>
      </c>
      <c r="L744" s="0" t="str">
        <f aca="false">HYPERLINK("https://www.ncbi.nlm.nih.gov/nuccore/CP000304.1?report=graph&amp;tracks=[key:gene_model_track,Options:GeneOnly]&amp;mk=222498:222517|offset_0|444444,222540:222559|offset_42|00cc00,222565:222584|offset_67|444444,222586:222605|offset_88|444444&amp;v=222297:222805&amp;c=444444", "offset 42")</f>
        <v>offset 42</v>
      </c>
    </row>
    <row r="745" customFormat="false" ht="12.8" hidden="false" customHeight="false" outlineLevel="0" collapsed="false">
      <c r="A745" s="0" t="s">
        <v>12</v>
      </c>
      <c r="B745" s="0" t="n">
        <v>222564</v>
      </c>
      <c r="C745" s="0" t="n">
        <v>222584</v>
      </c>
      <c r="D745" s="0" t="s">
        <v>2494</v>
      </c>
      <c r="E745" s="0" t="s">
        <v>89</v>
      </c>
      <c r="F745" s="0" t="s">
        <v>15</v>
      </c>
      <c r="G745" s="0" t="s">
        <v>16</v>
      </c>
      <c r="H745" s="0" t="n">
        <v>67</v>
      </c>
      <c r="I745" s="0" t="s">
        <v>2501</v>
      </c>
      <c r="J745" s="0" t="s">
        <v>2502</v>
      </c>
      <c r="K745" s="0" t="s">
        <v>2503</v>
      </c>
      <c r="L745" s="0" t="str">
        <f aca="false">HYPERLINK("https://www.ncbi.nlm.nih.gov/nuccore/CP000304.1?report=graph&amp;tracks=[key:gene_model_track,Options:GeneOnly]&amp;mk=222498:222517|offset_0|444444,222540:222559|offset_42|444444,222565:222584|offset_67|00cc00,222586:222605|offset_88|444444&amp;v=222297:222805&amp;c=444444", "offset 67")</f>
        <v>offset 67</v>
      </c>
    </row>
    <row r="746" customFormat="false" ht="12.8" hidden="false" customHeight="false" outlineLevel="0" collapsed="false">
      <c r="A746" s="0" t="s">
        <v>12</v>
      </c>
      <c r="B746" s="0" t="n">
        <v>222585</v>
      </c>
      <c r="C746" s="0" t="n">
        <v>222605</v>
      </c>
      <c r="D746" s="0" t="s">
        <v>2494</v>
      </c>
      <c r="E746" s="0" t="s">
        <v>89</v>
      </c>
      <c r="F746" s="0" t="s">
        <v>15</v>
      </c>
      <c r="G746" s="0" t="s">
        <v>16</v>
      </c>
      <c r="H746" s="0" t="n">
        <v>88</v>
      </c>
      <c r="I746" s="0" t="s">
        <v>2504</v>
      </c>
      <c r="J746" s="0" t="s">
        <v>2505</v>
      </c>
      <c r="K746" s="0" t="s">
        <v>2506</v>
      </c>
      <c r="L746" s="0" t="str">
        <f aca="false">HYPERLINK("https://www.ncbi.nlm.nih.gov/nuccore/CP000304.1?report=graph&amp;tracks=[key:gene_model_track,Options:GeneOnly]&amp;mk=222498:222517|offset_0|444444,222540:222559|offset_42|444444,222565:222584|offset_67|444444,222586:222605|offset_88|00cc00&amp;v=222297:222805&amp;c=444444", "offset 88")</f>
        <v>offset 88</v>
      </c>
    </row>
    <row r="747" customFormat="false" ht="12.8" hidden="false" customHeight="false" outlineLevel="0" collapsed="false">
      <c r="A747" s="0" t="s">
        <v>12</v>
      </c>
      <c r="B747" s="0" t="n">
        <v>223478</v>
      </c>
      <c r="C747" s="0" t="n">
        <v>223498</v>
      </c>
      <c r="D747" s="0" t="s">
        <v>2507</v>
      </c>
      <c r="E747" s="0" t="s">
        <v>89</v>
      </c>
      <c r="F747" s="0" t="s">
        <v>15</v>
      </c>
      <c r="G747" s="0" t="s">
        <v>16</v>
      </c>
      <c r="H747" s="0" t="n">
        <v>28</v>
      </c>
      <c r="I747" s="0" t="s">
        <v>2508</v>
      </c>
      <c r="J747" s="0" t="s">
        <v>2509</v>
      </c>
      <c r="K747" s="0" t="s">
        <v>2510</v>
      </c>
      <c r="L747" s="0" t="str">
        <f aca="false">HYPERLINK("https://www.ncbi.nlm.nih.gov/nuccore/CP000304.1?report=graph&amp;tracks=[key:gene_model_track,Options:GeneOnly]&amp;mk=223479:223498|offset_28|00cc00,223525:223544|offset_74|444444,223572:223591|offset_121|444444,223605:223624|offset_154|444444&amp;v=223278:223824&amp;c=444444", "offset 28")</f>
        <v>offset 28</v>
      </c>
    </row>
    <row r="748" customFormat="false" ht="12.8" hidden="false" customHeight="false" outlineLevel="0" collapsed="false">
      <c r="A748" s="0" t="s">
        <v>12</v>
      </c>
      <c r="B748" s="0" t="n">
        <v>223524</v>
      </c>
      <c r="C748" s="0" t="n">
        <v>223544</v>
      </c>
      <c r="D748" s="0" t="s">
        <v>2507</v>
      </c>
      <c r="E748" s="0" t="s">
        <v>89</v>
      </c>
      <c r="F748" s="0" t="s">
        <v>15</v>
      </c>
      <c r="G748" s="0" t="s">
        <v>16</v>
      </c>
      <c r="H748" s="0" t="n">
        <v>74</v>
      </c>
      <c r="I748" s="0" t="s">
        <v>2511</v>
      </c>
      <c r="J748" s="0" t="s">
        <v>2512</v>
      </c>
      <c r="K748" s="0" t="s">
        <v>2513</v>
      </c>
      <c r="L748" s="0" t="str">
        <f aca="false">HYPERLINK("https://www.ncbi.nlm.nih.gov/nuccore/CP000304.1?report=graph&amp;tracks=[key:gene_model_track,Options:GeneOnly]&amp;mk=223479:223498|offset_28|444444,223525:223544|offset_74|00cc00,223572:223591|offset_121|444444,223605:223624|offset_154|444444&amp;v=223278:223824&amp;c=444444", "offset 74")</f>
        <v>offset 74</v>
      </c>
    </row>
    <row r="749" customFormat="false" ht="12.8" hidden="false" customHeight="false" outlineLevel="0" collapsed="false">
      <c r="A749" s="0" t="s">
        <v>12</v>
      </c>
      <c r="B749" s="0" t="n">
        <v>223571</v>
      </c>
      <c r="C749" s="0" t="n">
        <v>223591</v>
      </c>
      <c r="D749" s="0" t="s">
        <v>2507</v>
      </c>
      <c r="E749" s="0" t="s">
        <v>89</v>
      </c>
      <c r="F749" s="0" t="s">
        <v>15</v>
      </c>
      <c r="G749" s="0" t="s">
        <v>26</v>
      </c>
      <c r="H749" s="0" t="n">
        <v>121</v>
      </c>
      <c r="I749" s="0" t="s">
        <v>2514</v>
      </c>
      <c r="J749" s="0" t="s">
        <v>2515</v>
      </c>
      <c r="K749" s="0" t="s">
        <v>2516</v>
      </c>
      <c r="L749" s="0" t="str">
        <f aca="false">HYPERLINK("https://www.ncbi.nlm.nih.gov/nuccore/CP000304.1?report=graph&amp;tracks=[key:gene_model_track,Options:GeneOnly]&amp;mk=223479:223498|offset_28|444444,223525:223544|offset_74|444444,223572:223591|offset_121|00cc00,223605:223624|offset_154|444444&amp;v=223278:223824&amp;c=444444", "offset 121")</f>
        <v>offset 121</v>
      </c>
    </row>
    <row r="750" customFormat="false" ht="12.8" hidden="false" customHeight="false" outlineLevel="0" collapsed="false">
      <c r="A750" s="0" t="s">
        <v>12</v>
      </c>
      <c r="B750" s="0" t="n">
        <v>223604</v>
      </c>
      <c r="C750" s="0" t="n">
        <v>223624</v>
      </c>
      <c r="D750" s="0" t="s">
        <v>2507</v>
      </c>
      <c r="E750" s="0" t="s">
        <v>89</v>
      </c>
      <c r="F750" s="0" t="s">
        <v>15</v>
      </c>
      <c r="G750" s="0" t="s">
        <v>26</v>
      </c>
      <c r="H750" s="0" t="n">
        <v>154</v>
      </c>
      <c r="I750" s="0" t="s">
        <v>2517</v>
      </c>
      <c r="J750" s="0" t="s">
        <v>2518</v>
      </c>
      <c r="K750" s="0" t="s">
        <v>2519</v>
      </c>
      <c r="L750" s="0" t="str">
        <f aca="false">HYPERLINK("https://www.ncbi.nlm.nih.gov/nuccore/CP000304.1?report=graph&amp;tracks=[key:gene_model_track,Options:GeneOnly]&amp;mk=223479:223498|offset_28|444444,223525:223544|offset_74|444444,223572:223591|offset_121|444444,223605:223624|offset_154|00cc00&amp;v=223278:223824&amp;c=444444", "offset 154")</f>
        <v>offset 154</v>
      </c>
    </row>
    <row r="751" customFormat="false" ht="12.8" hidden="false" customHeight="false" outlineLevel="0" collapsed="false">
      <c r="A751" s="0" t="s">
        <v>12</v>
      </c>
      <c r="B751" s="0" t="n">
        <v>224942</v>
      </c>
      <c r="C751" s="0" t="n">
        <v>224962</v>
      </c>
      <c r="D751" s="0" t="s">
        <v>2520</v>
      </c>
      <c r="E751" s="0" t="s">
        <v>89</v>
      </c>
      <c r="F751" s="0" t="s">
        <v>90</v>
      </c>
      <c r="G751" s="0" t="s">
        <v>32</v>
      </c>
      <c r="H751" s="0" t="n">
        <v>1</v>
      </c>
      <c r="I751" s="0" t="s">
        <v>2521</v>
      </c>
      <c r="J751" s="0" t="s">
        <v>2522</v>
      </c>
      <c r="K751" s="0" t="s">
        <v>2523</v>
      </c>
      <c r="L751" s="0" t="str">
        <f aca="false">HYPERLINK("https://www.ncbi.nlm.nih.gov/nuccore/CP000304.1?report=graph&amp;tracks=[key:gene_model_track,Options:GeneOnly]&amp;mk=224943:224962|offset_1|00cc00,224922:224941|offset_22|444444,224874:224893|offset_70|444444,224854:224873|offset_90|444444&amp;v=224742:225073&amp;c=444444", "offset 1")</f>
        <v>offset 1</v>
      </c>
    </row>
    <row r="752" customFormat="false" ht="12.8" hidden="false" customHeight="false" outlineLevel="0" collapsed="false">
      <c r="A752" s="0" t="s">
        <v>12</v>
      </c>
      <c r="B752" s="0" t="n">
        <v>224921</v>
      </c>
      <c r="C752" s="0" t="n">
        <v>224941</v>
      </c>
      <c r="D752" s="0" t="s">
        <v>2520</v>
      </c>
      <c r="E752" s="0" t="s">
        <v>89</v>
      </c>
      <c r="F752" s="0" t="s">
        <v>90</v>
      </c>
      <c r="G752" s="0" t="s">
        <v>36</v>
      </c>
      <c r="H752" s="0" t="n">
        <v>22</v>
      </c>
      <c r="I752" s="0" t="s">
        <v>2524</v>
      </c>
      <c r="J752" s="0" t="s">
        <v>2525</v>
      </c>
      <c r="K752" s="0" t="s">
        <v>2526</v>
      </c>
      <c r="L752" s="0" t="str">
        <f aca="false">HYPERLINK("https://www.ncbi.nlm.nih.gov/nuccore/CP000304.1?report=graph&amp;tracks=[key:gene_model_track,Options:GeneOnly]&amp;mk=224943:224962|offset_1|444444,224922:224941|offset_22|00cc00,224874:224893|offset_70|444444,224854:224873|offset_90|444444&amp;v=224742:225073&amp;c=444444", "offset 22")</f>
        <v>offset 22</v>
      </c>
    </row>
    <row r="753" customFormat="false" ht="12.8" hidden="false" customHeight="false" outlineLevel="0" collapsed="false">
      <c r="A753" s="0" t="s">
        <v>12</v>
      </c>
      <c r="B753" s="0" t="n">
        <v>224873</v>
      </c>
      <c r="C753" s="0" t="n">
        <v>224893</v>
      </c>
      <c r="D753" s="0" t="s">
        <v>2520</v>
      </c>
      <c r="E753" s="0" t="s">
        <v>89</v>
      </c>
      <c r="F753" s="0" t="s">
        <v>90</v>
      </c>
      <c r="G753" s="0" t="s">
        <v>16</v>
      </c>
      <c r="H753" s="0" t="n">
        <v>70</v>
      </c>
      <c r="I753" s="0" t="s">
        <v>2527</v>
      </c>
      <c r="J753" s="0" t="s">
        <v>2528</v>
      </c>
      <c r="K753" s="0" t="s">
        <v>2529</v>
      </c>
      <c r="L753" s="0" t="str">
        <f aca="false">HYPERLINK("https://www.ncbi.nlm.nih.gov/nuccore/CP000304.1?report=graph&amp;tracks=[key:gene_model_track,Options:GeneOnly]&amp;mk=224943:224962|offset_1|444444,224922:224941|offset_22|444444,224874:224893|offset_70|00cc00,224854:224873|offset_90|444444&amp;v=224742:225073&amp;c=444444", "offset 70")</f>
        <v>offset 70</v>
      </c>
    </row>
    <row r="754" customFormat="false" ht="12.8" hidden="false" customHeight="false" outlineLevel="0" collapsed="false">
      <c r="A754" s="0" t="s">
        <v>12</v>
      </c>
      <c r="B754" s="0" t="n">
        <v>224853</v>
      </c>
      <c r="C754" s="0" t="n">
        <v>224873</v>
      </c>
      <c r="D754" s="0" t="s">
        <v>2520</v>
      </c>
      <c r="E754" s="0" t="s">
        <v>89</v>
      </c>
      <c r="F754" s="0" t="s">
        <v>90</v>
      </c>
      <c r="G754" s="0" t="s">
        <v>16</v>
      </c>
      <c r="H754" s="0" t="n">
        <v>90</v>
      </c>
      <c r="I754" s="0" t="s">
        <v>2530</v>
      </c>
      <c r="J754" s="0" t="s">
        <v>2531</v>
      </c>
      <c r="K754" s="0" t="s">
        <v>2532</v>
      </c>
      <c r="L754" s="0" t="str">
        <f aca="false">HYPERLINK("https://www.ncbi.nlm.nih.gov/nuccore/CP000304.1?report=graph&amp;tracks=[key:gene_model_track,Options:GeneOnly]&amp;mk=224943:224962|offset_1|444444,224922:224941|offset_22|444444,224874:224893|offset_70|444444,224854:224873|offset_90|00cc00&amp;v=224742:225073&amp;c=444444", "offset 90")</f>
        <v>offset 90</v>
      </c>
    </row>
    <row r="755" customFormat="false" ht="12.8" hidden="false" customHeight="false" outlineLevel="0" collapsed="false">
      <c r="A755" s="0" t="s">
        <v>12</v>
      </c>
      <c r="B755" s="0" t="n">
        <v>226160</v>
      </c>
      <c r="C755" s="0" t="n">
        <v>226180</v>
      </c>
      <c r="D755" s="0" t="s">
        <v>2533</v>
      </c>
      <c r="E755" s="0" t="s">
        <v>2534</v>
      </c>
      <c r="F755" s="0" t="s">
        <v>90</v>
      </c>
      <c r="G755" s="0" t="s">
        <v>16</v>
      </c>
      <c r="H755" s="0" t="n">
        <v>41</v>
      </c>
      <c r="I755" s="0" t="s">
        <v>2535</v>
      </c>
      <c r="J755" s="0" t="s">
        <v>2536</v>
      </c>
      <c r="K755" s="0" t="s">
        <v>2537</v>
      </c>
      <c r="L755" s="0" t="str">
        <f aca="false">HYPERLINK("https://www.ncbi.nlm.nih.gov/nuccore/CP000304.1?report=graph&amp;tracks=[key:gene_model_track,Options:GeneOnly]&amp;mk=226161:226180|offset_41|00cc00,226139:226158|offset_63|444444,226106:226125|offset_96|444444,226086:226105|offset_116|444444&amp;v=225960:226305&amp;c=444444", "offset 41")</f>
        <v>offset 41</v>
      </c>
    </row>
    <row r="756" customFormat="false" ht="12.8" hidden="false" customHeight="false" outlineLevel="0" collapsed="false">
      <c r="A756" s="0" t="s">
        <v>12</v>
      </c>
      <c r="B756" s="0" t="n">
        <v>226138</v>
      </c>
      <c r="C756" s="0" t="n">
        <v>226158</v>
      </c>
      <c r="D756" s="0" t="s">
        <v>2533</v>
      </c>
      <c r="E756" s="0" t="s">
        <v>2534</v>
      </c>
      <c r="F756" s="0" t="s">
        <v>90</v>
      </c>
      <c r="G756" s="0" t="s">
        <v>36</v>
      </c>
      <c r="H756" s="0" t="n">
        <v>63</v>
      </c>
      <c r="I756" s="0" t="s">
        <v>2538</v>
      </c>
      <c r="J756" s="0" t="s">
        <v>2539</v>
      </c>
      <c r="K756" s="0" t="s">
        <v>2540</v>
      </c>
      <c r="L756" s="0" t="str">
        <f aca="false">HYPERLINK("https://www.ncbi.nlm.nih.gov/nuccore/CP000304.1?report=graph&amp;tracks=[key:gene_model_track,Options:GeneOnly]&amp;mk=226161:226180|offset_41|444444,226139:226158|offset_63|00cc00,226106:226125|offset_96|444444,226086:226105|offset_116|444444&amp;v=225960:226305&amp;c=444444", "offset 63")</f>
        <v>offset 63</v>
      </c>
    </row>
    <row r="757" customFormat="false" ht="12.8" hidden="false" customHeight="false" outlineLevel="0" collapsed="false">
      <c r="A757" s="0" t="s">
        <v>12</v>
      </c>
      <c r="B757" s="0" t="n">
        <v>226105</v>
      </c>
      <c r="C757" s="0" t="n">
        <v>226125</v>
      </c>
      <c r="D757" s="0" t="s">
        <v>2533</v>
      </c>
      <c r="E757" s="0" t="s">
        <v>2534</v>
      </c>
      <c r="F757" s="0" t="s">
        <v>90</v>
      </c>
      <c r="G757" s="0" t="s">
        <v>32</v>
      </c>
      <c r="H757" s="0" t="n">
        <v>96</v>
      </c>
      <c r="I757" s="0" t="s">
        <v>2541</v>
      </c>
      <c r="J757" s="0" t="s">
        <v>2542</v>
      </c>
      <c r="K757" s="0" t="s">
        <v>2543</v>
      </c>
      <c r="L757" s="0" t="str">
        <f aca="false">HYPERLINK("https://www.ncbi.nlm.nih.gov/nuccore/CP000304.1?report=graph&amp;tracks=[key:gene_model_track,Options:GeneOnly]&amp;mk=226161:226180|offset_41|444444,226139:226158|offset_63|444444,226106:226125|offset_96|00cc00,226086:226105|offset_116|444444&amp;v=225960:226305&amp;c=444444", "offset 96")</f>
        <v>offset 96</v>
      </c>
    </row>
    <row r="758" customFormat="false" ht="12.8" hidden="false" customHeight="false" outlineLevel="0" collapsed="false">
      <c r="A758" s="0" t="s">
        <v>12</v>
      </c>
      <c r="B758" s="0" t="n">
        <v>226085</v>
      </c>
      <c r="C758" s="0" t="n">
        <v>226105</v>
      </c>
      <c r="D758" s="0" t="s">
        <v>2533</v>
      </c>
      <c r="E758" s="0" t="s">
        <v>2534</v>
      </c>
      <c r="F758" s="0" t="s">
        <v>90</v>
      </c>
      <c r="G758" s="0" t="s">
        <v>36</v>
      </c>
      <c r="H758" s="0" t="n">
        <v>116</v>
      </c>
      <c r="I758" s="0" t="s">
        <v>2544</v>
      </c>
      <c r="J758" s="0" t="s">
        <v>2545</v>
      </c>
      <c r="K758" s="0" t="s">
        <v>2546</v>
      </c>
      <c r="L758" s="0" t="str">
        <f aca="false">HYPERLINK("https://www.ncbi.nlm.nih.gov/nuccore/CP000304.1?report=graph&amp;tracks=[key:gene_model_track,Options:GeneOnly]&amp;mk=226161:226180|offset_41|444444,226139:226158|offset_63|444444,226106:226125|offset_96|444444,226086:226105|offset_116|00cc00&amp;v=225960:226305&amp;c=444444", "offset 116")</f>
        <v>offset 116</v>
      </c>
    </row>
    <row r="759" customFormat="false" ht="12.8" hidden="false" customHeight="false" outlineLevel="0" collapsed="false">
      <c r="A759" s="0" t="s">
        <v>12</v>
      </c>
      <c r="B759" s="0" t="n">
        <v>227584</v>
      </c>
      <c r="C759" s="0" t="n">
        <v>227604</v>
      </c>
      <c r="D759" s="0" t="s">
        <v>2547</v>
      </c>
      <c r="E759" s="0" t="s">
        <v>89</v>
      </c>
      <c r="F759" s="0" t="s">
        <v>90</v>
      </c>
      <c r="G759" s="0" t="s">
        <v>32</v>
      </c>
      <c r="H759" s="0" t="n">
        <v>1</v>
      </c>
      <c r="I759" s="0" t="s">
        <v>2548</v>
      </c>
      <c r="J759" s="0" t="s">
        <v>2549</v>
      </c>
      <c r="K759" s="0" t="s">
        <v>2550</v>
      </c>
      <c r="L759" s="0" t="str">
        <f aca="false">HYPERLINK("https://www.ncbi.nlm.nih.gov/nuccore/CP000304.1?report=graph&amp;tracks=[key:gene_model_track,Options:GeneOnly]&amp;mk=227585:227604|offset_1|00cc00,227563:227582|offset_23|444444,227507:227526|offset_79|444444,227482:227501|offset_104|444444&amp;v=227384:227701&amp;c=444444", "offset 1")</f>
        <v>offset 1</v>
      </c>
    </row>
    <row r="760" customFormat="false" ht="12.8" hidden="false" customHeight="false" outlineLevel="0" collapsed="false">
      <c r="A760" s="0" t="s">
        <v>12</v>
      </c>
      <c r="B760" s="0" t="n">
        <v>227562</v>
      </c>
      <c r="C760" s="0" t="n">
        <v>227582</v>
      </c>
      <c r="D760" s="0" t="s">
        <v>2547</v>
      </c>
      <c r="E760" s="0" t="s">
        <v>89</v>
      </c>
      <c r="F760" s="0" t="s">
        <v>90</v>
      </c>
      <c r="G760" s="0" t="s">
        <v>26</v>
      </c>
      <c r="H760" s="0" t="n">
        <v>23</v>
      </c>
      <c r="I760" s="0" t="s">
        <v>2551</v>
      </c>
      <c r="J760" s="0" t="s">
        <v>2552</v>
      </c>
      <c r="K760" s="0" t="s">
        <v>2553</v>
      </c>
      <c r="L760" s="0" t="str">
        <f aca="false">HYPERLINK("https://www.ncbi.nlm.nih.gov/nuccore/CP000304.1?report=graph&amp;tracks=[key:gene_model_track,Options:GeneOnly]&amp;mk=227585:227604|offset_1|444444,227563:227582|offset_23|00cc00,227507:227526|offset_79|444444,227482:227501|offset_104|444444&amp;v=227384:227701&amp;c=444444", "offset 23")</f>
        <v>offset 23</v>
      </c>
    </row>
    <row r="761" customFormat="false" ht="12.8" hidden="false" customHeight="false" outlineLevel="0" collapsed="false">
      <c r="A761" s="0" t="s">
        <v>12</v>
      </c>
      <c r="B761" s="0" t="n">
        <v>227506</v>
      </c>
      <c r="C761" s="0" t="n">
        <v>227526</v>
      </c>
      <c r="D761" s="0" t="s">
        <v>2547</v>
      </c>
      <c r="E761" s="0" t="s">
        <v>89</v>
      </c>
      <c r="F761" s="0" t="s">
        <v>90</v>
      </c>
      <c r="G761" s="0" t="s">
        <v>32</v>
      </c>
      <c r="H761" s="0" t="n">
        <v>79</v>
      </c>
      <c r="I761" s="0" t="s">
        <v>2554</v>
      </c>
      <c r="J761" s="0" t="s">
        <v>2555</v>
      </c>
      <c r="K761" s="0" t="s">
        <v>2556</v>
      </c>
      <c r="L761" s="0" t="str">
        <f aca="false">HYPERLINK("https://www.ncbi.nlm.nih.gov/nuccore/CP000304.1?report=graph&amp;tracks=[key:gene_model_track,Options:GeneOnly]&amp;mk=227585:227604|offset_1|444444,227563:227582|offset_23|444444,227507:227526|offset_79|00cc00,227482:227501|offset_104|444444&amp;v=227384:227701&amp;c=444444", "offset 79")</f>
        <v>offset 79</v>
      </c>
    </row>
    <row r="762" customFormat="false" ht="12.8" hidden="false" customHeight="false" outlineLevel="0" collapsed="false">
      <c r="A762" s="0" t="s">
        <v>12</v>
      </c>
      <c r="B762" s="0" t="n">
        <v>227481</v>
      </c>
      <c r="C762" s="0" t="n">
        <v>227501</v>
      </c>
      <c r="D762" s="0" t="s">
        <v>2547</v>
      </c>
      <c r="E762" s="0" t="s">
        <v>89</v>
      </c>
      <c r="F762" s="0" t="s">
        <v>90</v>
      </c>
      <c r="G762" s="0" t="s">
        <v>16</v>
      </c>
      <c r="H762" s="0" t="n">
        <v>104</v>
      </c>
      <c r="I762" s="0" t="s">
        <v>2557</v>
      </c>
      <c r="J762" s="0" t="s">
        <v>2558</v>
      </c>
      <c r="K762" s="0" t="s">
        <v>2559</v>
      </c>
      <c r="L762" s="0" t="str">
        <f aca="false">HYPERLINK("https://www.ncbi.nlm.nih.gov/nuccore/CP000304.1?report=graph&amp;tracks=[key:gene_model_track,Options:GeneOnly]&amp;mk=227585:227604|offset_1|444444,227563:227582|offset_23|444444,227507:227526|offset_79|444444,227482:227501|offset_104|00cc00&amp;v=227384:227701&amp;c=444444", "offset 104")</f>
        <v>offset 104</v>
      </c>
    </row>
    <row r="763" customFormat="false" ht="12.8" hidden="false" customHeight="false" outlineLevel="0" collapsed="false">
      <c r="A763" s="0" t="s">
        <v>12</v>
      </c>
      <c r="B763" s="0" t="n">
        <v>227776</v>
      </c>
      <c r="C763" s="0" t="n">
        <v>227796</v>
      </c>
      <c r="D763" s="0" t="s">
        <v>2560</v>
      </c>
      <c r="E763" s="0" t="s">
        <v>89</v>
      </c>
      <c r="F763" s="0" t="s">
        <v>15</v>
      </c>
      <c r="G763" s="0" t="s">
        <v>26</v>
      </c>
      <c r="H763" s="0" t="n">
        <v>0</v>
      </c>
      <c r="I763" s="0" t="s">
        <v>2561</v>
      </c>
      <c r="J763" s="0" t="s">
        <v>2562</v>
      </c>
      <c r="K763" s="0" t="s">
        <v>2563</v>
      </c>
      <c r="L763" s="0" t="str">
        <f aca="false">HYPERLINK("https://www.ncbi.nlm.nih.gov/nuccore/CP000304.1?report=graph&amp;tracks=[key:gene_model_track,Options:GeneOnly]&amp;mk=227777:227796|offset_0|00cc00,227821:227840|offset_44|444444,227859:227878|offset_82|444444,227887:227906|offset_110|444444&amp;v=227576:228106&amp;c=444444", "offset 0")</f>
        <v>offset 0</v>
      </c>
    </row>
    <row r="764" customFormat="false" ht="12.8" hidden="false" customHeight="false" outlineLevel="0" collapsed="false">
      <c r="A764" s="0" t="s">
        <v>12</v>
      </c>
      <c r="B764" s="0" t="n">
        <v>227820</v>
      </c>
      <c r="C764" s="0" t="n">
        <v>227840</v>
      </c>
      <c r="D764" s="0" t="s">
        <v>2560</v>
      </c>
      <c r="E764" s="0" t="s">
        <v>89</v>
      </c>
      <c r="F764" s="0" t="s">
        <v>15</v>
      </c>
      <c r="G764" s="0" t="s">
        <v>32</v>
      </c>
      <c r="H764" s="0" t="n">
        <v>44</v>
      </c>
      <c r="I764" s="0" t="s">
        <v>2564</v>
      </c>
      <c r="J764" s="0" t="s">
        <v>2565</v>
      </c>
      <c r="K764" s="0" t="s">
        <v>2566</v>
      </c>
      <c r="L764" s="0" t="str">
        <f aca="false">HYPERLINK("https://www.ncbi.nlm.nih.gov/nuccore/CP000304.1?report=graph&amp;tracks=[key:gene_model_track,Options:GeneOnly]&amp;mk=227777:227796|offset_0|444444,227821:227840|offset_44|00cc00,227859:227878|offset_82|444444,227887:227906|offset_110|444444&amp;v=227576:228106&amp;c=444444", "offset 44")</f>
        <v>offset 44</v>
      </c>
    </row>
    <row r="765" customFormat="false" ht="12.8" hidden="false" customHeight="false" outlineLevel="0" collapsed="false">
      <c r="A765" s="0" t="s">
        <v>12</v>
      </c>
      <c r="B765" s="0" t="n">
        <v>227858</v>
      </c>
      <c r="C765" s="0" t="n">
        <v>227878</v>
      </c>
      <c r="D765" s="0" t="s">
        <v>2560</v>
      </c>
      <c r="E765" s="0" t="s">
        <v>89</v>
      </c>
      <c r="F765" s="0" t="s">
        <v>15</v>
      </c>
      <c r="G765" s="0" t="s">
        <v>32</v>
      </c>
      <c r="H765" s="0" t="n">
        <v>82</v>
      </c>
      <c r="I765" s="0" t="s">
        <v>2567</v>
      </c>
      <c r="J765" s="0" t="s">
        <v>2568</v>
      </c>
      <c r="K765" s="0" t="s">
        <v>2569</v>
      </c>
      <c r="L765" s="0" t="str">
        <f aca="false">HYPERLINK("https://www.ncbi.nlm.nih.gov/nuccore/CP000304.1?report=graph&amp;tracks=[key:gene_model_track,Options:GeneOnly]&amp;mk=227777:227796|offset_0|444444,227821:227840|offset_44|444444,227859:227878|offset_82|00cc00,227887:227906|offset_110|444444&amp;v=227576:228106&amp;c=444444", "offset 82")</f>
        <v>offset 82</v>
      </c>
    </row>
    <row r="766" customFormat="false" ht="12.8" hidden="false" customHeight="false" outlineLevel="0" collapsed="false">
      <c r="A766" s="0" t="s">
        <v>12</v>
      </c>
      <c r="B766" s="0" t="n">
        <v>227886</v>
      </c>
      <c r="C766" s="0" t="n">
        <v>227906</v>
      </c>
      <c r="D766" s="0" t="s">
        <v>2560</v>
      </c>
      <c r="E766" s="0" t="s">
        <v>89</v>
      </c>
      <c r="F766" s="0" t="s">
        <v>15</v>
      </c>
      <c r="G766" s="0" t="s">
        <v>26</v>
      </c>
      <c r="H766" s="0" t="n">
        <v>110</v>
      </c>
      <c r="I766" s="0" t="s">
        <v>2570</v>
      </c>
      <c r="J766" s="0" t="s">
        <v>2571</v>
      </c>
      <c r="K766" s="0" t="s">
        <v>2572</v>
      </c>
      <c r="L766" s="0" t="str">
        <f aca="false">HYPERLINK("https://www.ncbi.nlm.nih.gov/nuccore/CP000304.1?report=graph&amp;tracks=[key:gene_model_track,Options:GeneOnly]&amp;mk=227777:227796|offset_0|444444,227821:227840|offset_44|444444,227859:227878|offset_82|444444,227887:227906|offset_110|00cc00&amp;v=227576:228106&amp;c=444444", "offset 110")</f>
        <v>offset 110</v>
      </c>
    </row>
    <row r="767" customFormat="false" ht="12.8" hidden="false" customHeight="false" outlineLevel="0" collapsed="false">
      <c r="A767" s="0" t="s">
        <v>12</v>
      </c>
      <c r="B767" s="0" t="n">
        <v>229888</v>
      </c>
      <c r="C767" s="0" t="n">
        <v>229908</v>
      </c>
      <c r="D767" s="0" t="s">
        <v>2573</v>
      </c>
      <c r="E767" s="0" t="s">
        <v>89</v>
      </c>
      <c r="F767" s="0" t="s">
        <v>90</v>
      </c>
      <c r="G767" s="0" t="s">
        <v>16</v>
      </c>
      <c r="H767" s="0" t="n">
        <v>15</v>
      </c>
      <c r="I767" s="0" t="s">
        <v>2574</v>
      </c>
      <c r="J767" s="0" t="s">
        <v>2575</v>
      </c>
      <c r="K767" s="0" t="s">
        <v>2576</v>
      </c>
      <c r="L767" s="0" t="str">
        <f aca="false">HYPERLINK("https://www.ncbi.nlm.nih.gov/nuccore/CP000304.1?report=graph&amp;tracks=[key:gene_model_track,Options:GeneOnly]&amp;mk=229889:229908|offset_15|00cc00,229847:229866|offset_57|444444,229827:229846|offset_77|444444,229800:229819|offset_104|444444&amp;v=229688:230019&amp;c=444444", "offset 15")</f>
        <v>offset 15</v>
      </c>
    </row>
    <row r="768" customFormat="false" ht="12.8" hidden="false" customHeight="false" outlineLevel="0" collapsed="false">
      <c r="A768" s="0" t="s">
        <v>12</v>
      </c>
      <c r="B768" s="0" t="n">
        <v>229846</v>
      </c>
      <c r="C768" s="0" t="n">
        <v>229866</v>
      </c>
      <c r="D768" s="0" t="s">
        <v>2573</v>
      </c>
      <c r="E768" s="0" t="s">
        <v>89</v>
      </c>
      <c r="F768" s="0" t="s">
        <v>90</v>
      </c>
      <c r="G768" s="0" t="s">
        <v>36</v>
      </c>
      <c r="H768" s="0" t="n">
        <v>57</v>
      </c>
      <c r="I768" s="0" t="s">
        <v>2577</v>
      </c>
      <c r="J768" s="0" t="s">
        <v>2578</v>
      </c>
      <c r="K768" s="0" t="s">
        <v>2579</v>
      </c>
      <c r="L768" s="0" t="str">
        <f aca="false">HYPERLINK("https://www.ncbi.nlm.nih.gov/nuccore/CP000304.1?report=graph&amp;tracks=[key:gene_model_track,Options:GeneOnly]&amp;mk=229889:229908|offset_15|444444,229847:229866|offset_57|00cc00,229827:229846|offset_77|444444,229800:229819|offset_104|444444&amp;v=229688:230019&amp;c=444444", "offset 57")</f>
        <v>offset 57</v>
      </c>
    </row>
    <row r="769" customFormat="false" ht="12.8" hidden="false" customHeight="false" outlineLevel="0" collapsed="false">
      <c r="A769" s="0" t="s">
        <v>12</v>
      </c>
      <c r="B769" s="0" t="n">
        <v>229826</v>
      </c>
      <c r="C769" s="0" t="n">
        <v>229846</v>
      </c>
      <c r="D769" s="0" t="s">
        <v>2573</v>
      </c>
      <c r="E769" s="0" t="s">
        <v>89</v>
      </c>
      <c r="F769" s="0" t="s">
        <v>90</v>
      </c>
      <c r="G769" s="0" t="s">
        <v>26</v>
      </c>
      <c r="H769" s="0" t="n">
        <v>77</v>
      </c>
      <c r="I769" s="0" t="s">
        <v>2580</v>
      </c>
      <c r="J769" s="0" t="s">
        <v>2581</v>
      </c>
      <c r="K769" s="0" t="s">
        <v>2582</v>
      </c>
      <c r="L769" s="0" t="str">
        <f aca="false">HYPERLINK("https://www.ncbi.nlm.nih.gov/nuccore/CP000304.1?report=graph&amp;tracks=[key:gene_model_track,Options:GeneOnly]&amp;mk=229889:229908|offset_15|444444,229847:229866|offset_57|444444,229827:229846|offset_77|00cc00,229800:229819|offset_104|444444&amp;v=229688:230019&amp;c=444444", "offset 77")</f>
        <v>offset 77</v>
      </c>
    </row>
    <row r="770" customFormat="false" ht="12.8" hidden="false" customHeight="false" outlineLevel="0" collapsed="false">
      <c r="A770" s="0" t="s">
        <v>12</v>
      </c>
      <c r="B770" s="0" t="n">
        <v>229799</v>
      </c>
      <c r="C770" s="0" t="n">
        <v>229819</v>
      </c>
      <c r="D770" s="0" t="s">
        <v>2573</v>
      </c>
      <c r="E770" s="0" t="s">
        <v>89</v>
      </c>
      <c r="F770" s="0" t="s">
        <v>90</v>
      </c>
      <c r="G770" s="0" t="s">
        <v>16</v>
      </c>
      <c r="H770" s="0" t="n">
        <v>104</v>
      </c>
      <c r="I770" s="0" t="s">
        <v>2583</v>
      </c>
      <c r="J770" s="0" t="s">
        <v>2584</v>
      </c>
      <c r="K770" s="0" t="s">
        <v>2585</v>
      </c>
      <c r="L770" s="0" t="str">
        <f aca="false">HYPERLINK("https://www.ncbi.nlm.nih.gov/nuccore/CP000304.1?report=graph&amp;tracks=[key:gene_model_track,Options:GeneOnly]&amp;mk=229889:229908|offset_15|444444,229847:229866|offset_57|444444,229827:229846|offset_77|444444,229800:229819|offset_104|00cc00&amp;v=229688:230019&amp;c=444444", "offset 104")</f>
        <v>offset 104</v>
      </c>
    </row>
    <row r="771" customFormat="false" ht="12.8" hidden="false" customHeight="false" outlineLevel="0" collapsed="false">
      <c r="A771" s="0" t="s">
        <v>12</v>
      </c>
      <c r="B771" s="0" t="n">
        <v>231355</v>
      </c>
      <c r="C771" s="0" t="n">
        <v>231375</v>
      </c>
      <c r="D771" s="0" t="s">
        <v>2586</v>
      </c>
      <c r="E771" s="0" t="s">
        <v>2587</v>
      </c>
      <c r="F771" s="0" t="s">
        <v>90</v>
      </c>
      <c r="G771" s="0" t="s">
        <v>16</v>
      </c>
      <c r="H771" s="0" t="n">
        <v>7</v>
      </c>
      <c r="I771" s="0" t="s">
        <v>2588</v>
      </c>
      <c r="J771" s="0" t="s">
        <v>2589</v>
      </c>
      <c r="K771" s="0" t="s">
        <v>2590</v>
      </c>
      <c r="L771" s="0" t="str">
        <f aca="false">HYPERLINK("https://www.ncbi.nlm.nih.gov/nuccore/CP000304.1?report=graph&amp;tracks=[key:gene_model_track,Options:GeneOnly]&amp;mk=231356:231375|offset_7|00cc00,231325:231344|offset_38|444444,231303:231322|offset_60|444444,231280:231299|offset_83|444444&amp;v=231155:231499&amp;c=444444", "offset 7")</f>
        <v>offset 7</v>
      </c>
    </row>
    <row r="772" customFormat="false" ht="12.8" hidden="false" customHeight="false" outlineLevel="0" collapsed="false">
      <c r="A772" s="0" t="s">
        <v>12</v>
      </c>
      <c r="B772" s="0" t="n">
        <v>231324</v>
      </c>
      <c r="C772" s="0" t="n">
        <v>231344</v>
      </c>
      <c r="D772" s="0" t="s">
        <v>2586</v>
      </c>
      <c r="E772" s="0" t="s">
        <v>2587</v>
      </c>
      <c r="F772" s="0" t="s">
        <v>90</v>
      </c>
      <c r="G772" s="0" t="s">
        <v>26</v>
      </c>
      <c r="H772" s="0" t="n">
        <v>38</v>
      </c>
      <c r="I772" s="0" t="s">
        <v>2591</v>
      </c>
      <c r="J772" s="0" t="s">
        <v>2592</v>
      </c>
      <c r="K772" s="0" t="s">
        <v>2593</v>
      </c>
      <c r="L772" s="0" t="str">
        <f aca="false">HYPERLINK("https://www.ncbi.nlm.nih.gov/nuccore/CP000304.1?report=graph&amp;tracks=[key:gene_model_track,Options:GeneOnly]&amp;mk=231356:231375|offset_7|444444,231325:231344|offset_38|00cc00,231303:231322|offset_60|444444,231280:231299|offset_83|444444&amp;v=231155:231499&amp;c=444444", "offset 38")</f>
        <v>offset 38</v>
      </c>
    </row>
    <row r="773" customFormat="false" ht="12.8" hidden="false" customHeight="false" outlineLevel="0" collapsed="false">
      <c r="A773" s="0" t="s">
        <v>12</v>
      </c>
      <c r="B773" s="0" t="n">
        <v>231302</v>
      </c>
      <c r="C773" s="0" t="n">
        <v>231322</v>
      </c>
      <c r="D773" s="0" t="s">
        <v>2586</v>
      </c>
      <c r="E773" s="0" t="s">
        <v>2587</v>
      </c>
      <c r="F773" s="0" t="s">
        <v>90</v>
      </c>
      <c r="G773" s="0" t="s">
        <v>26</v>
      </c>
      <c r="H773" s="0" t="n">
        <v>60</v>
      </c>
      <c r="I773" s="0" t="s">
        <v>2594</v>
      </c>
      <c r="J773" s="0" t="s">
        <v>2595</v>
      </c>
      <c r="K773" s="0" t="s">
        <v>2596</v>
      </c>
      <c r="L773" s="0" t="str">
        <f aca="false">HYPERLINK("https://www.ncbi.nlm.nih.gov/nuccore/CP000304.1?report=graph&amp;tracks=[key:gene_model_track,Options:GeneOnly]&amp;mk=231356:231375|offset_7|444444,231325:231344|offset_38|444444,231303:231322|offset_60|00cc00,231280:231299|offset_83|444444&amp;v=231155:231499&amp;c=444444", "offset 60")</f>
        <v>offset 60</v>
      </c>
    </row>
    <row r="774" customFormat="false" ht="12.8" hidden="false" customHeight="false" outlineLevel="0" collapsed="false">
      <c r="A774" s="0" t="s">
        <v>12</v>
      </c>
      <c r="B774" s="0" t="n">
        <v>231279</v>
      </c>
      <c r="C774" s="0" t="n">
        <v>231299</v>
      </c>
      <c r="D774" s="0" t="s">
        <v>2586</v>
      </c>
      <c r="E774" s="0" t="s">
        <v>2587</v>
      </c>
      <c r="F774" s="0" t="s">
        <v>90</v>
      </c>
      <c r="G774" s="0" t="s">
        <v>32</v>
      </c>
      <c r="H774" s="0" t="n">
        <v>83</v>
      </c>
      <c r="I774" s="0" t="s">
        <v>2597</v>
      </c>
      <c r="J774" s="0" t="s">
        <v>2598</v>
      </c>
      <c r="K774" s="0" t="s">
        <v>2599</v>
      </c>
      <c r="L774" s="0" t="str">
        <f aca="false">HYPERLINK("https://www.ncbi.nlm.nih.gov/nuccore/CP000304.1?report=graph&amp;tracks=[key:gene_model_track,Options:GeneOnly]&amp;mk=231356:231375|offset_7|444444,231325:231344|offset_38|444444,231303:231322|offset_60|444444,231280:231299|offset_83|00cc00&amp;v=231155:231499&amp;c=444444", "offset 83")</f>
        <v>offset 83</v>
      </c>
    </row>
    <row r="775" customFormat="false" ht="12.8" hidden="false" customHeight="false" outlineLevel="0" collapsed="false">
      <c r="A775" s="0" t="s">
        <v>12</v>
      </c>
      <c r="B775" s="0" t="n">
        <v>231560</v>
      </c>
      <c r="C775" s="0" t="n">
        <v>231580</v>
      </c>
      <c r="D775" s="0" t="s">
        <v>2600</v>
      </c>
      <c r="E775" s="0" t="s">
        <v>89</v>
      </c>
      <c r="F775" s="0" t="s">
        <v>15</v>
      </c>
      <c r="G775" s="0" t="s">
        <v>32</v>
      </c>
      <c r="H775" s="0" t="n">
        <v>16</v>
      </c>
      <c r="I775" s="0" t="s">
        <v>2601</v>
      </c>
      <c r="J775" s="0" t="s">
        <v>2602</v>
      </c>
      <c r="K775" s="0" t="s">
        <v>2603</v>
      </c>
      <c r="L775" s="0" t="str">
        <f aca="false">HYPERLINK("https://www.ncbi.nlm.nih.gov/nuccore/CP000304.1?report=graph&amp;tracks=[key:gene_model_track,Options:GeneOnly]&amp;mk=231561:231580|offset_16|00cc00,231586:231605|offset_41|444444,231625:231644|offset_80|444444,231661:231680|offset_116|444444&amp;v=231360:231880&amp;c=444444", "offset 16")</f>
        <v>offset 16</v>
      </c>
    </row>
    <row r="776" customFormat="false" ht="12.8" hidden="false" customHeight="false" outlineLevel="0" collapsed="false">
      <c r="A776" s="0" t="s">
        <v>12</v>
      </c>
      <c r="B776" s="0" t="n">
        <v>231585</v>
      </c>
      <c r="C776" s="0" t="n">
        <v>231605</v>
      </c>
      <c r="D776" s="0" t="s">
        <v>2600</v>
      </c>
      <c r="E776" s="0" t="s">
        <v>89</v>
      </c>
      <c r="F776" s="0" t="s">
        <v>15</v>
      </c>
      <c r="G776" s="0" t="s">
        <v>26</v>
      </c>
      <c r="H776" s="0" t="n">
        <v>41</v>
      </c>
      <c r="I776" s="0" t="s">
        <v>2604</v>
      </c>
      <c r="J776" s="0" t="s">
        <v>2605</v>
      </c>
      <c r="K776" s="0" t="s">
        <v>2606</v>
      </c>
      <c r="L776" s="0" t="str">
        <f aca="false">HYPERLINK("https://www.ncbi.nlm.nih.gov/nuccore/CP000304.1?report=graph&amp;tracks=[key:gene_model_track,Options:GeneOnly]&amp;mk=231561:231580|offset_16|444444,231586:231605|offset_41|00cc00,231625:231644|offset_80|444444,231661:231680|offset_116|444444&amp;v=231360:231880&amp;c=444444", "offset 41")</f>
        <v>offset 41</v>
      </c>
    </row>
    <row r="777" customFormat="false" ht="12.8" hidden="false" customHeight="false" outlineLevel="0" collapsed="false">
      <c r="A777" s="0" t="s">
        <v>12</v>
      </c>
      <c r="B777" s="0" t="n">
        <v>231624</v>
      </c>
      <c r="C777" s="0" t="n">
        <v>231644</v>
      </c>
      <c r="D777" s="0" t="s">
        <v>2600</v>
      </c>
      <c r="E777" s="0" t="s">
        <v>89</v>
      </c>
      <c r="F777" s="0" t="s">
        <v>15</v>
      </c>
      <c r="G777" s="0" t="s">
        <v>16</v>
      </c>
      <c r="H777" s="0" t="n">
        <v>80</v>
      </c>
      <c r="I777" s="0" t="s">
        <v>2607</v>
      </c>
      <c r="J777" s="0" t="s">
        <v>2608</v>
      </c>
      <c r="K777" s="0" t="s">
        <v>2609</v>
      </c>
      <c r="L777" s="0" t="str">
        <f aca="false">HYPERLINK("https://www.ncbi.nlm.nih.gov/nuccore/CP000304.1?report=graph&amp;tracks=[key:gene_model_track,Options:GeneOnly]&amp;mk=231561:231580|offset_16|444444,231586:231605|offset_41|444444,231625:231644|offset_80|00cc00,231661:231680|offset_116|444444&amp;v=231360:231880&amp;c=444444", "offset 80")</f>
        <v>offset 80</v>
      </c>
    </row>
    <row r="778" customFormat="false" ht="12.8" hidden="false" customHeight="false" outlineLevel="0" collapsed="false">
      <c r="A778" s="0" t="s">
        <v>12</v>
      </c>
      <c r="B778" s="0" t="n">
        <v>231660</v>
      </c>
      <c r="C778" s="0" t="n">
        <v>231680</v>
      </c>
      <c r="D778" s="0" t="s">
        <v>2600</v>
      </c>
      <c r="E778" s="0" t="s">
        <v>89</v>
      </c>
      <c r="F778" s="0" t="s">
        <v>15</v>
      </c>
      <c r="G778" s="0" t="s">
        <v>16</v>
      </c>
      <c r="H778" s="0" t="n">
        <v>116</v>
      </c>
      <c r="I778" s="0" t="s">
        <v>2610</v>
      </c>
      <c r="J778" s="0" t="s">
        <v>2611</v>
      </c>
      <c r="K778" s="0" t="s">
        <v>2612</v>
      </c>
      <c r="L778" s="0" t="str">
        <f aca="false">HYPERLINK("https://www.ncbi.nlm.nih.gov/nuccore/CP000304.1?report=graph&amp;tracks=[key:gene_model_track,Options:GeneOnly]&amp;mk=231561:231580|offset_16|444444,231586:231605|offset_41|444444,231625:231644|offset_80|444444,231661:231680|offset_116|00cc00&amp;v=231360:231880&amp;c=444444", "offset 116")</f>
        <v>offset 116</v>
      </c>
    </row>
    <row r="779" customFormat="false" ht="12.8" hidden="false" customHeight="false" outlineLevel="0" collapsed="false">
      <c r="A779" s="0" t="s">
        <v>12</v>
      </c>
      <c r="B779" s="0" t="n">
        <v>232682</v>
      </c>
      <c r="C779" s="0" t="n">
        <v>232702</v>
      </c>
      <c r="D779" s="0" t="s">
        <v>2613</v>
      </c>
      <c r="E779" s="0" t="s">
        <v>89</v>
      </c>
      <c r="F779" s="0" t="s">
        <v>15</v>
      </c>
      <c r="G779" s="0" t="s">
        <v>36</v>
      </c>
      <c r="H779" s="0" t="n">
        <v>6</v>
      </c>
      <c r="I779" s="0" t="s">
        <v>2614</v>
      </c>
      <c r="J779" s="0" t="s">
        <v>2615</v>
      </c>
      <c r="K779" s="0" t="s">
        <v>2616</v>
      </c>
      <c r="L779" s="0" t="str">
        <f aca="false">HYPERLINK("https://www.ncbi.nlm.nih.gov/nuccore/CP000304.1?report=graph&amp;tracks=[key:gene_model_track,Options:GeneOnly]&amp;mk=232683:232702|offset_6|00cc00,232710:232729|offset_33|444444,232735:232754|offset_58|444444,232755:232774|offset_78|444444&amp;v=232482:232974&amp;c=444444", "offset 6")</f>
        <v>offset 6</v>
      </c>
    </row>
    <row r="780" customFormat="false" ht="12.8" hidden="false" customHeight="false" outlineLevel="0" collapsed="false">
      <c r="A780" s="0" t="s">
        <v>12</v>
      </c>
      <c r="B780" s="0" t="n">
        <v>232709</v>
      </c>
      <c r="C780" s="0" t="n">
        <v>232729</v>
      </c>
      <c r="D780" s="0" t="s">
        <v>2613</v>
      </c>
      <c r="E780" s="0" t="s">
        <v>89</v>
      </c>
      <c r="F780" s="0" t="s">
        <v>15</v>
      </c>
      <c r="G780" s="0" t="s">
        <v>36</v>
      </c>
      <c r="H780" s="0" t="n">
        <v>33</v>
      </c>
      <c r="I780" s="0" t="s">
        <v>2617</v>
      </c>
      <c r="J780" s="0" t="s">
        <v>2618</v>
      </c>
      <c r="K780" s="0" t="s">
        <v>2619</v>
      </c>
      <c r="L780" s="0" t="str">
        <f aca="false">HYPERLINK("https://www.ncbi.nlm.nih.gov/nuccore/CP000304.1?report=graph&amp;tracks=[key:gene_model_track,Options:GeneOnly]&amp;mk=232683:232702|offset_6|444444,232710:232729|offset_33|00cc00,232735:232754|offset_58|444444,232755:232774|offset_78|444444&amp;v=232482:232974&amp;c=444444", "offset 33")</f>
        <v>offset 33</v>
      </c>
    </row>
    <row r="781" customFormat="false" ht="12.8" hidden="false" customHeight="false" outlineLevel="0" collapsed="false">
      <c r="A781" s="0" t="s">
        <v>12</v>
      </c>
      <c r="B781" s="0" t="n">
        <v>232734</v>
      </c>
      <c r="C781" s="0" t="n">
        <v>232754</v>
      </c>
      <c r="D781" s="0" t="s">
        <v>2613</v>
      </c>
      <c r="E781" s="0" t="s">
        <v>89</v>
      </c>
      <c r="F781" s="0" t="s">
        <v>15</v>
      </c>
      <c r="G781" s="0" t="s">
        <v>36</v>
      </c>
      <c r="H781" s="0" t="n">
        <v>58</v>
      </c>
      <c r="I781" s="0" t="s">
        <v>2620</v>
      </c>
      <c r="J781" s="0" t="s">
        <v>2621</v>
      </c>
      <c r="K781" s="0" t="s">
        <v>2622</v>
      </c>
      <c r="L781" s="0" t="str">
        <f aca="false">HYPERLINK("https://www.ncbi.nlm.nih.gov/nuccore/CP000304.1?report=graph&amp;tracks=[key:gene_model_track,Options:GeneOnly]&amp;mk=232683:232702|offset_6|444444,232710:232729|offset_33|444444,232735:232754|offset_58|00cc00,232755:232774|offset_78|444444&amp;v=232482:232974&amp;c=444444", "offset 58")</f>
        <v>offset 58</v>
      </c>
    </row>
    <row r="782" customFormat="false" ht="12.8" hidden="false" customHeight="false" outlineLevel="0" collapsed="false">
      <c r="A782" s="0" t="s">
        <v>12</v>
      </c>
      <c r="B782" s="0" t="n">
        <v>232754</v>
      </c>
      <c r="C782" s="0" t="n">
        <v>232774</v>
      </c>
      <c r="D782" s="0" t="s">
        <v>2613</v>
      </c>
      <c r="E782" s="0" t="s">
        <v>89</v>
      </c>
      <c r="F782" s="0" t="s">
        <v>15</v>
      </c>
      <c r="G782" s="0" t="s">
        <v>36</v>
      </c>
      <c r="H782" s="0" t="n">
        <v>78</v>
      </c>
      <c r="I782" s="0" t="s">
        <v>2623</v>
      </c>
      <c r="J782" s="0" t="s">
        <v>2624</v>
      </c>
      <c r="K782" s="0" t="s">
        <v>2625</v>
      </c>
      <c r="L782" s="0" t="str">
        <f aca="false">HYPERLINK("https://www.ncbi.nlm.nih.gov/nuccore/CP000304.1?report=graph&amp;tracks=[key:gene_model_track,Options:GeneOnly]&amp;mk=232683:232702|offset_6|444444,232710:232729|offset_33|444444,232735:232754|offset_58|444444,232755:232774|offset_78|00cc00&amp;v=232482:232974&amp;c=444444", "offset 78")</f>
        <v>offset 78</v>
      </c>
    </row>
    <row r="783" customFormat="false" ht="12.8" hidden="false" customHeight="false" outlineLevel="0" collapsed="false">
      <c r="A783" s="0" t="s">
        <v>12</v>
      </c>
      <c r="B783" s="0" t="n">
        <v>235447</v>
      </c>
      <c r="C783" s="0" t="n">
        <v>235467</v>
      </c>
      <c r="D783" s="0" t="s">
        <v>2626</v>
      </c>
      <c r="E783" s="0" t="s">
        <v>89</v>
      </c>
      <c r="F783" s="0" t="s">
        <v>15</v>
      </c>
      <c r="G783" s="0" t="s">
        <v>32</v>
      </c>
      <c r="H783" s="0" t="n">
        <v>19</v>
      </c>
      <c r="I783" s="0" t="s">
        <v>2627</v>
      </c>
      <c r="J783" s="0" t="s">
        <v>2628</v>
      </c>
      <c r="K783" s="0" t="s">
        <v>2629</v>
      </c>
      <c r="L783" s="0" t="str">
        <f aca="false">HYPERLINK("https://www.ncbi.nlm.nih.gov/nuccore/CP000304.1?report=graph&amp;tracks=[key:gene_model_track,Options:GeneOnly]&amp;mk=235448:235467|offset_19|00cc00,235469:235488|offset_40|444444,235490:235509|offset_61|444444,235536:235555|offset_107|444444&amp;v=235247:235755&amp;c=444444", "offset 19")</f>
        <v>offset 19</v>
      </c>
    </row>
    <row r="784" customFormat="false" ht="12.8" hidden="false" customHeight="false" outlineLevel="0" collapsed="false">
      <c r="A784" s="0" t="s">
        <v>12</v>
      </c>
      <c r="B784" s="0" t="n">
        <v>235468</v>
      </c>
      <c r="C784" s="0" t="n">
        <v>235488</v>
      </c>
      <c r="D784" s="0" t="s">
        <v>2626</v>
      </c>
      <c r="E784" s="0" t="s">
        <v>89</v>
      </c>
      <c r="F784" s="0" t="s">
        <v>15</v>
      </c>
      <c r="G784" s="0" t="s">
        <v>26</v>
      </c>
      <c r="H784" s="0" t="n">
        <v>40</v>
      </c>
      <c r="I784" s="0" t="s">
        <v>2630</v>
      </c>
      <c r="J784" s="0" t="s">
        <v>2631</v>
      </c>
      <c r="K784" s="0" t="s">
        <v>2632</v>
      </c>
      <c r="L784" s="0" t="str">
        <f aca="false">HYPERLINK("https://www.ncbi.nlm.nih.gov/nuccore/CP000304.1?report=graph&amp;tracks=[key:gene_model_track,Options:GeneOnly]&amp;mk=235448:235467|offset_19|444444,235469:235488|offset_40|00cc00,235490:235509|offset_61|444444,235536:235555|offset_107|444444&amp;v=235247:235755&amp;c=444444", "offset 40")</f>
        <v>offset 40</v>
      </c>
    </row>
    <row r="785" customFormat="false" ht="12.8" hidden="false" customHeight="false" outlineLevel="0" collapsed="false">
      <c r="A785" s="0" t="s">
        <v>12</v>
      </c>
      <c r="B785" s="0" t="n">
        <v>235489</v>
      </c>
      <c r="C785" s="0" t="n">
        <v>235509</v>
      </c>
      <c r="D785" s="0" t="s">
        <v>2626</v>
      </c>
      <c r="E785" s="0" t="s">
        <v>89</v>
      </c>
      <c r="F785" s="0" t="s">
        <v>15</v>
      </c>
      <c r="G785" s="0" t="s">
        <v>16</v>
      </c>
      <c r="H785" s="0" t="n">
        <v>61</v>
      </c>
      <c r="I785" s="0" t="s">
        <v>2633</v>
      </c>
      <c r="J785" s="0" t="s">
        <v>2634</v>
      </c>
      <c r="K785" s="0" t="s">
        <v>2635</v>
      </c>
      <c r="L785" s="0" t="str">
        <f aca="false">HYPERLINK("https://www.ncbi.nlm.nih.gov/nuccore/CP000304.1?report=graph&amp;tracks=[key:gene_model_track,Options:GeneOnly]&amp;mk=235448:235467|offset_19|444444,235469:235488|offset_40|444444,235490:235509|offset_61|00cc00,235536:235555|offset_107|444444&amp;v=235247:235755&amp;c=444444", "offset 61")</f>
        <v>offset 61</v>
      </c>
    </row>
    <row r="786" customFormat="false" ht="12.8" hidden="false" customHeight="false" outlineLevel="0" collapsed="false">
      <c r="A786" s="0" t="s">
        <v>12</v>
      </c>
      <c r="B786" s="0" t="n">
        <v>235535</v>
      </c>
      <c r="C786" s="0" t="n">
        <v>235555</v>
      </c>
      <c r="D786" s="0" t="s">
        <v>2626</v>
      </c>
      <c r="E786" s="0" t="s">
        <v>89</v>
      </c>
      <c r="F786" s="0" t="s">
        <v>15</v>
      </c>
      <c r="G786" s="0" t="s">
        <v>26</v>
      </c>
      <c r="H786" s="0" t="n">
        <v>107</v>
      </c>
      <c r="I786" s="0" t="s">
        <v>2636</v>
      </c>
      <c r="J786" s="0" t="s">
        <v>2637</v>
      </c>
      <c r="K786" s="0" t="s">
        <v>2638</v>
      </c>
      <c r="L786" s="0" t="str">
        <f aca="false">HYPERLINK("https://www.ncbi.nlm.nih.gov/nuccore/CP000304.1?report=graph&amp;tracks=[key:gene_model_track,Options:GeneOnly]&amp;mk=235448:235467|offset_19|444444,235469:235488|offset_40|444444,235490:235509|offset_61|444444,235536:235555|offset_107|00cc00&amp;v=235247:235755&amp;c=444444", "offset 107")</f>
        <v>offset 107</v>
      </c>
    </row>
    <row r="787" customFormat="false" ht="12.8" hidden="false" customHeight="false" outlineLevel="0" collapsed="false">
      <c r="A787" s="0" t="s">
        <v>12</v>
      </c>
      <c r="B787" s="0" t="n">
        <v>237418</v>
      </c>
      <c r="C787" s="0" t="n">
        <v>237438</v>
      </c>
      <c r="D787" s="0" t="s">
        <v>2639</v>
      </c>
      <c r="E787" s="0" t="s">
        <v>89</v>
      </c>
      <c r="F787" s="0" t="s">
        <v>15</v>
      </c>
      <c r="G787" s="0" t="s">
        <v>36</v>
      </c>
      <c r="H787" s="0" t="n">
        <v>17</v>
      </c>
      <c r="I787" s="0" t="s">
        <v>2640</v>
      </c>
      <c r="J787" s="0" t="s">
        <v>2641</v>
      </c>
      <c r="K787" s="0" t="s">
        <v>2642</v>
      </c>
      <c r="L787" s="0" t="str">
        <f aca="false">HYPERLINK("https://www.ncbi.nlm.nih.gov/nuccore/CP000304.1?report=graph&amp;tracks=[key:gene_model_track,Options:GeneOnly]&amp;mk=237419:237438|offset_17|00cc00,237452:237471|offset_50|444444,237472:237491|offset_70|444444,237537:237556|offset_135|444444&amp;v=237218:237756&amp;c=444444", "offset 17")</f>
        <v>offset 17</v>
      </c>
    </row>
    <row r="788" customFormat="false" ht="12.8" hidden="false" customHeight="false" outlineLevel="0" collapsed="false">
      <c r="A788" s="0" t="s">
        <v>12</v>
      </c>
      <c r="B788" s="0" t="n">
        <v>237451</v>
      </c>
      <c r="C788" s="0" t="n">
        <v>237471</v>
      </c>
      <c r="D788" s="0" t="s">
        <v>2639</v>
      </c>
      <c r="E788" s="0" t="s">
        <v>89</v>
      </c>
      <c r="F788" s="0" t="s">
        <v>15</v>
      </c>
      <c r="G788" s="0" t="s">
        <v>16</v>
      </c>
      <c r="H788" s="0" t="n">
        <v>50</v>
      </c>
      <c r="I788" s="0" t="s">
        <v>2643</v>
      </c>
      <c r="J788" s="0" t="s">
        <v>2644</v>
      </c>
      <c r="K788" s="0" t="s">
        <v>2645</v>
      </c>
      <c r="L788" s="0" t="str">
        <f aca="false">HYPERLINK("https://www.ncbi.nlm.nih.gov/nuccore/CP000304.1?report=graph&amp;tracks=[key:gene_model_track,Options:GeneOnly]&amp;mk=237419:237438|offset_17|444444,237452:237471|offset_50|00cc00,237472:237491|offset_70|444444,237537:237556|offset_135|444444&amp;v=237218:237756&amp;c=444444", "offset 50")</f>
        <v>offset 50</v>
      </c>
    </row>
    <row r="789" customFormat="false" ht="12.8" hidden="false" customHeight="false" outlineLevel="0" collapsed="false">
      <c r="A789" s="0" t="s">
        <v>12</v>
      </c>
      <c r="B789" s="0" t="n">
        <v>237471</v>
      </c>
      <c r="C789" s="0" t="n">
        <v>237491</v>
      </c>
      <c r="D789" s="0" t="s">
        <v>2639</v>
      </c>
      <c r="E789" s="0" t="s">
        <v>89</v>
      </c>
      <c r="F789" s="0" t="s">
        <v>15</v>
      </c>
      <c r="G789" s="0" t="s">
        <v>32</v>
      </c>
      <c r="H789" s="0" t="n">
        <v>70</v>
      </c>
      <c r="I789" s="0" t="s">
        <v>2646</v>
      </c>
      <c r="J789" s="0" t="s">
        <v>2647</v>
      </c>
      <c r="K789" s="0" t="s">
        <v>2648</v>
      </c>
      <c r="L789" s="0" t="str">
        <f aca="false">HYPERLINK("https://www.ncbi.nlm.nih.gov/nuccore/CP000304.1?report=graph&amp;tracks=[key:gene_model_track,Options:GeneOnly]&amp;mk=237419:237438|offset_17|444444,237452:237471|offset_50|444444,237472:237491|offset_70|00cc00,237537:237556|offset_135|444444&amp;v=237218:237756&amp;c=444444", "offset 70")</f>
        <v>offset 70</v>
      </c>
    </row>
    <row r="790" customFormat="false" ht="12.8" hidden="false" customHeight="false" outlineLevel="0" collapsed="false">
      <c r="A790" s="0" t="s">
        <v>12</v>
      </c>
      <c r="B790" s="0" t="n">
        <v>237536</v>
      </c>
      <c r="C790" s="0" t="n">
        <v>237556</v>
      </c>
      <c r="D790" s="0" t="s">
        <v>2639</v>
      </c>
      <c r="E790" s="0" t="s">
        <v>89</v>
      </c>
      <c r="F790" s="0" t="s">
        <v>15</v>
      </c>
      <c r="G790" s="0" t="s">
        <v>32</v>
      </c>
      <c r="H790" s="0" t="n">
        <v>135</v>
      </c>
      <c r="I790" s="0" t="s">
        <v>2649</v>
      </c>
      <c r="J790" s="0" t="s">
        <v>2650</v>
      </c>
      <c r="K790" s="0" t="s">
        <v>2651</v>
      </c>
      <c r="L790" s="0" t="str">
        <f aca="false">HYPERLINK("https://www.ncbi.nlm.nih.gov/nuccore/CP000304.1?report=graph&amp;tracks=[key:gene_model_track,Options:GeneOnly]&amp;mk=237419:237438|offset_17|444444,237452:237471|offset_50|444444,237472:237491|offset_70|444444,237537:237556|offset_135|00cc00&amp;v=237218:237756&amp;c=444444", "offset 135")</f>
        <v>offset 135</v>
      </c>
    </row>
    <row r="791" customFormat="false" ht="12.8" hidden="false" customHeight="false" outlineLevel="0" collapsed="false">
      <c r="A791" s="0" t="s">
        <v>12</v>
      </c>
      <c r="B791" s="0" t="n">
        <v>240152</v>
      </c>
      <c r="C791" s="0" t="n">
        <v>240172</v>
      </c>
      <c r="D791" s="0" t="s">
        <v>2652</v>
      </c>
      <c r="E791" s="0" t="s">
        <v>2653</v>
      </c>
      <c r="F791" s="0" t="s">
        <v>15</v>
      </c>
      <c r="G791" s="0" t="s">
        <v>32</v>
      </c>
      <c r="H791" s="0" t="n">
        <v>10</v>
      </c>
      <c r="I791" s="0" t="s">
        <v>2654</v>
      </c>
      <c r="J791" s="0" t="s">
        <v>2655</v>
      </c>
      <c r="K791" s="0" t="s">
        <v>2656</v>
      </c>
      <c r="L791" s="0" t="str">
        <f aca="false">HYPERLINK("https://www.ncbi.nlm.nih.gov/nuccore/CP000304.1?report=graph&amp;tracks=[key:gene_model_track,Options:GeneOnly]&amp;mk=240153:240172|offset_10|00cc00,240178:240197|offset_35|444444,240212:240231|offset_69|444444,240234:240253|offset_91|444444&amp;v=239952:240453&amp;c=444444", "offset 10")</f>
        <v>offset 10</v>
      </c>
    </row>
    <row r="792" customFormat="false" ht="12.8" hidden="false" customHeight="false" outlineLevel="0" collapsed="false">
      <c r="A792" s="0" t="s">
        <v>12</v>
      </c>
      <c r="B792" s="0" t="n">
        <v>240177</v>
      </c>
      <c r="C792" s="0" t="n">
        <v>240197</v>
      </c>
      <c r="D792" s="0" t="s">
        <v>2652</v>
      </c>
      <c r="E792" s="0" t="s">
        <v>2653</v>
      </c>
      <c r="F792" s="0" t="s">
        <v>15</v>
      </c>
      <c r="G792" s="0" t="s">
        <v>32</v>
      </c>
      <c r="H792" s="0" t="n">
        <v>35</v>
      </c>
      <c r="I792" s="0" t="s">
        <v>2657</v>
      </c>
      <c r="J792" s="0" t="s">
        <v>2658</v>
      </c>
      <c r="K792" s="0" t="s">
        <v>2659</v>
      </c>
      <c r="L792" s="0" t="str">
        <f aca="false">HYPERLINK("https://www.ncbi.nlm.nih.gov/nuccore/CP000304.1?report=graph&amp;tracks=[key:gene_model_track,Options:GeneOnly]&amp;mk=240153:240172|offset_10|444444,240178:240197|offset_35|00cc00,240212:240231|offset_69|444444,240234:240253|offset_91|444444&amp;v=239952:240453&amp;c=444444", "offset 35")</f>
        <v>offset 35</v>
      </c>
    </row>
    <row r="793" customFormat="false" ht="12.8" hidden="false" customHeight="false" outlineLevel="0" collapsed="false">
      <c r="A793" s="0" t="s">
        <v>12</v>
      </c>
      <c r="B793" s="0" t="n">
        <v>240211</v>
      </c>
      <c r="C793" s="0" t="n">
        <v>240231</v>
      </c>
      <c r="D793" s="0" t="s">
        <v>2652</v>
      </c>
      <c r="E793" s="0" t="s">
        <v>2653</v>
      </c>
      <c r="F793" s="0" t="s">
        <v>15</v>
      </c>
      <c r="G793" s="0" t="s">
        <v>36</v>
      </c>
      <c r="H793" s="0" t="n">
        <v>69</v>
      </c>
      <c r="I793" s="0" t="s">
        <v>2660</v>
      </c>
      <c r="J793" s="0" t="s">
        <v>2661</v>
      </c>
      <c r="K793" s="0" t="s">
        <v>2662</v>
      </c>
      <c r="L793" s="0" t="str">
        <f aca="false">HYPERLINK("https://www.ncbi.nlm.nih.gov/nuccore/CP000304.1?report=graph&amp;tracks=[key:gene_model_track,Options:GeneOnly]&amp;mk=240153:240172|offset_10|444444,240178:240197|offset_35|444444,240212:240231|offset_69|00cc00,240234:240253|offset_91|444444&amp;v=239952:240453&amp;c=444444", "offset 69")</f>
        <v>offset 69</v>
      </c>
    </row>
    <row r="794" customFormat="false" ht="12.8" hidden="false" customHeight="false" outlineLevel="0" collapsed="false">
      <c r="A794" s="0" t="s">
        <v>12</v>
      </c>
      <c r="B794" s="0" t="n">
        <v>240233</v>
      </c>
      <c r="C794" s="0" t="n">
        <v>240253</v>
      </c>
      <c r="D794" s="0" t="s">
        <v>2652</v>
      </c>
      <c r="E794" s="0" t="s">
        <v>2653</v>
      </c>
      <c r="F794" s="0" t="s">
        <v>15</v>
      </c>
      <c r="G794" s="0" t="s">
        <v>16</v>
      </c>
      <c r="H794" s="0" t="n">
        <v>91</v>
      </c>
      <c r="I794" s="0" t="s">
        <v>2663</v>
      </c>
      <c r="J794" s="0" t="s">
        <v>2664</v>
      </c>
      <c r="K794" s="0" t="s">
        <v>2665</v>
      </c>
      <c r="L794" s="0" t="str">
        <f aca="false">HYPERLINK("https://www.ncbi.nlm.nih.gov/nuccore/CP000304.1?report=graph&amp;tracks=[key:gene_model_track,Options:GeneOnly]&amp;mk=240153:240172|offset_10|444444,240178:240197|offset_35|444444,240212:240231|offset_69|444444,240234:240253|offset_91|00cc00&amp;v=239952:240453&amp;c=444444", "offset 91")</f>
        <v>offset 91</v>
      </c>
    </row>
    <row r="795" customFormat="false" ht="12.8" hidden="false" customHeight="false" outlineLevel="0" collapsed="false">
      <c r="A795" s="0" t="s">
        <v>12</v>
      </c>
      <c r="B795" s="0" t="n">
        <v>240712</v>
      </c>
      <c r="C795" s="0" t="n">
        <v>240732</v>
      </c>
      <c r="D795" s="0" t="s">
        <v>2666</v>
      </c>
      <c r="E795" s="0" t="s">
        <v>2667</v>
      </c>
      <c r="F795" s="0" t="s">
        <v>15</v>
      </c>
      <c r="G795" s="0" t="s">
        <v>32</v>
      </c>
      <c r="H795" s="0" t="n">
        <v>29</v>
      </c>
      <c r="I795" s="0" t="s">
        <v>2668</v>
      </c>
      <c r="J795" s="0" t="s">
        <v>2669</v>
      </c>
      <c r="K795" s="0" t="s">
        <v>2670</v>
      </c>
      <c r="L795" s="0" t="str">
        <f aca="false">HYPERLINK("https://www.ncbi.nlm.nih.gov/nuccore/CP000304.1?report=graph&amp;tracks=[key:gene_model_track,Options:GeneOnly]&amp;mk=240713:240732|offset_29|00cc00,240733:240752|offset_49|444444,240770:240789|offset_86|444444,240796:240815|offset_112|444444&amp;v=240512:241015&amp;c=444444", "offset 29")</f>
        <v>offset 29</v>
      </c>
    </row>
    <row r="796" customFormat="false" ht="12.8" hidden="false" customHeight="false" outlineLevel="0" collapsed="false">
      <c r="A796" s="0" t="s">
        <v>12</v>
      </c>
      <c r="B796" s="0" t="n">
        <v>240732</v>
      </c>
      <c r="C796" s="0" t="n">
        <v>240752</v>
      </c>
      <c r="D796" s="0" t="s">
        <v>2666</v>
      </c>
      <c r="E796" s="0" t="s">
        <v>2667</v>
      </c>
      <c r="F796" s="0" t="s">
        <v>15</v>
      </c>
      <c r="G796" s="0" t="s">
        <v>36</v>
      </c>
      <c r="H796" s="0" t="n">
        <v>49</v>
      </c>
      <c r="I796" s="0" t="s">
        <v>2671</v>
      </c>
      <c r="J796" s="0" t="s">
        <v>2672</v>
      </c>
      <c r="K796" s="0" t="s">
        <v>2673</v>
      </c>
      <c r="L796" s="0" t="str">
        <f aca="false">HYPERLINK("https://www.ncbi.nlm.nih.gov/nuccore/CP000304.1?report=graph&amp;tracks=[key:gene_model_track,Options:GeneOnly]&amp;mk=240713:240732|offset_29|444444,240733:240752|offset_49|00cc00,240770:240789|offset_86|444444,240796:240815|offset_112|444444&amp;v=240512:241015&amp;c=444444", "offset 49")</f>
        <v>offset 49</v>
      </c>
    </row>
    <row r="797" customFormat="false" ht="12.8" hidden="false" customHeight="false" outlineLevel="0" collapsed="false">
      <c r="A797" s="0" t="s">
        <v>12</v>
      </c>
      <c r="B797" s="0" t="n">
        <v>240769</v>
      </c>
      <c r="C797" s="0" t="n">
        <v>240789</v>
      </c>
      <c r="D797" s="0" t="s">
        <v>2666</v>
      </c>
      <c r="E797" s="0" t="s">
        <v>2667</v>
      </c>
      <c r="F797" s="0" t="s">
        <v>15</v>
      </c>
      <c r="G797" s="0" t="s">
        <v>26</v>
      </c>
      <c r="H797" s="0" t="n">
        <v>86</v>
      </c>
      <c r="I797" s="0" t="s">
        <v>2674</v>
      </c>
      <c r="J797" s="0" t="s">
        <v>2675</v>
      </c>
      <c r="K797" s="0" t="s">
        <v>2676</v>
      </c>
      <c r="L797" s="0" t="str">
        <f aca="false">HYPERLINK("https://www.ncbi.nlm.nih.gov/nuccore/CP000304.1?report=graph&amp;tracks=[key:gene_model_track,Options:GeneOnly]&amp;mk=240713:240732|offset_29|444444,240733:240752|offset_49|444444,240770:240789|offset_86|00cc00,240796:240815|offset_112|444444&amp;v=240512:241015&amp;c=444444", "offset 86")</f>
        <v>offset 86</v>
      </c>
    </row>
    <row r="798" customFormat="false" ht="12.8" hidden="false" customHeight="false" outlineLevel="0" collapsed="false">
      <c r="A798" s="0" t="s">
        <v>12</v>
      </c>
      <c r="B798" s="0" t="n">
        <v>240795</v>
      </c>
      <c r="C798" s="0" t="n">
        <v>240815</v>
      </c>
      <c r="D798" s="0" t="s">
        <v>2666</v>
      </c>
      <c r="E798" s="0" t="s">
        <v>2667</v>
      </c>
      <c r="F798" s="0" t="s">
        <v>15</v>
      </c>
      <c r="G798" s="0" t="s">
        <v>36</v>
      </c>
      <c r="H798" s="0" t="n">
        <v>112</v>
      </c>
      <c r="I798" s="0" t="s">
        <v>2677</v>
      </c>
      <c r="J798" s="0" t="s">
        <v>2678</v>
      </c>
      <c r="K798" s="0" t="s">
        <v>2679</v>
      </c>
      <c r="L798" s="0" t="str">
        <f aca="false">HYPERLINK("https://www.ncbi.nlm.nih.gov/nuccore/CP000304.1?report=graph&amp;tracks=[key:gene_model_track,Options:GeneOnly]&amp;mk=240713:240732|offset_29|444444,240733:240752|offset_49|444444,240770:240789|offset_86|444444,240796:240815|offset_112|00cc00&amp;v=240512:241015&amp;c=444444", "offset 112")</f>
        <v>offset 112</v>
      </c>
    </row>
    <row r="799" customFormat="false" ht="12.8" hidden="false" customHeight="false" outlineLevel="0" collapsed="false">
      <c r="A799" s="0" t="s">
        <v>12</v>
      </c>
      <c r="B799" s="0" t="n">
        <v>241872</v>
      </c>
      <c r="C799" s="0" t="n">
        <v>241892</v>
      </c>
      <c r="D799" s="0" t="s">
        <v>2680</v>
      </c>
      <c r="E799" s="0" t="s">
        <v>89</v>
      </c>
      <c r="F799" s="0" t="s">
        <v>15</v>
      </c>
      <c r="G799" s="0" t="s">
        <v>32</v>
      </c>
      <c r="H799" s="0" t="n">
        <v>19</v>
      </c>
      <c r="I799" s="0" t="s">
        <v>2681</v>
      </c>
      <c r="J799" s="0" t="s">
        <v>2682</v>
      </c>
      <c r="K799" s="0" t="s">
        <v>2683</v>
      </c>
      <c r="L799" s="0" t="str">
        <f aca="false">HYPERLINK("https://www.ncbi.nlm.nih.gov/nuccore/CP000304.1?report=graph&amp;tracks=[key:gene_model_track,Options:GeneOnly]&amp;mk=241873:241892|offset_19|00cc00,241898:241917|offset_44|444444,241920:241939|offset_66|444444,241951:241970|offset_97|444444&amp;v=241672:242170&amp;c=444444", "offset 19")</f>
        <v>offset 19</v>
      </c>
    </row>
    <row r="800" customFormat="false" ht="12.8" hidden="false" customHeight="false" outlineLevel="0" collapsed="false">
      <c r="A800" s="0" t="s">
        <v>12</v>
      </c>
      <c r="B800" s="0" t="n">
        <v>241897</v>
      </c>
      <c r="C800" s="0" t="n">
        <v>241917</v>
      </c>
      <c r="D800" s="0" t="s">
        <v>2680</v>
      </c>
      <c r="E800" s="0" t="s">
        <v>89</v>
      </c>
      <c r="F800" s="0" t="s">
        <v>15</v>
      </c>
      <c r="G800" s="0" t="s">
        <v>26</v>
      </c>
      <c r="H800" s="0" t="n">
        <v>44</v>
      </c>
      <c r="I800" s="0" t="s">
        <v>2684</v>
      </c>
      <c r="J800" s="0" t="s">
        <v>2685</v>
      </c>
      <c r="K800" s="0" t="s">
        <v>2686</v>
      </c>
      <c r="L800" s="0" t="str">
        <f aca="false">HYPERLINK("https://www.ncbi.nlm.nih.gov/nuccore/CP000304.1?report=graph&amp;tracks=[key:gene_model_track,Options:GeneOnly]&amp;mk=241873:241892|offset_19|444444,241898:241917|offset_44|00cc00,241920:241939|offset_66|444444,241951:241970|offset_97|444444&amp;v=241672:242170&amp;c=444444", "offset 44")</f>
        <v>offset 44</v>
      </c>
    </row>
    <row r="801" customFormat="false" ht="12.8" hidden="false" customHeight="false" outlineLevel="0" collapsed="false">
      <c r="A801" s="0" t="s">
        <v>12</v>
      </c>
      <c r="B801" s="0" t="n">
        <v>241919</v>
      </c>
      <c r="C801" s="0" t="n">
        <v>241939</v>
      </c>
      <c r="D801" s="0" t="s">
        <v>2680</v>
      </c>
      <c r="E801" s="0" t="s">
        <v>89</v>
      </c>
      <c r="F801" s="0" t="s">
        <v>15</v>
      </c>
      <c r="G801" s="0" t="s">
        <v>26</v>
      </c>
      <c r="H801" s="0" t="n">
        <v>66</v>
      </c>
      <c r="I801" s="0" t="s">
        <v>2687</v>
      </c>
      <c r="J801" s="0" t="s">
        <v>2688</v>
      </c>
      <c r="K801" s="0" t="s">
        <v>2689</v>
      </c>
      <c r="L801" s="0" t="str">
        <f aca="false">HYPERLINK("https://www.ncbi.nlm.nih.gov/nuccore/CP000304.1?report=graph&amp;tracks=[key:gene_model_track,Options:GeneOnly]&amp;mk=241873:241892|offset_19|444444,241898:241917|offset_44|444444,241920:241939|offset_66|00cc00,241951:241970|offset_97|444444&amp;v=241672:242170&amp;c=444444", "offset 66")</f>
        <v>offset 66</v>
      </c>
    </row>
    <row r="802" customFormat="false" ht="12.8" hidden="false" customHeight="false" outlineLevel="0" collapsed="false">
      <c r="A802" s="0" t="s">
        <v>12</v>
      </c>
      <c r="B802" s="0" t="n">
        <v>241950</v>
      </c>
      <c r="C802" s="0" t="n">
        <v>241970</v>
      </c>
      <c r="D802" s="0" t="s">
        <v>2680</v>
      </c>
      <c r="E802" s="0" t="s">
        <v>89</v>
      </c>
      <c r="F802" s="0" t="s">
        <v>15</v>
      </c>
      <c r="G802" s="0" t="s">
        <v>32</v>
      </c>
      <c r="H802" s="0" t="n">
        <v>97</v>
      </c>
      <c r="I802" s="0" t="s">
        <v>2690</v>
      </c>
      <c r="J802" s="0" t="s">
        <v>2691</v>
      </c>
      <c r="K802" s="0" t="s">
        <v>2692</v>
      </c>
      <c r="L802" s="0" t="str">
        <f aca="false">HYPERLINK("https://www.ncbi.nlm.nih.gov/nuccore/CP000304.1?report=graph&amp;tracks=[key:gene_model_track,Options:GeneOnly]&amp;mk=241873:241892|offset_19|444444,241898:241917|offset_44|444444,241920:241939|offset_66|444444,241951:241970|offset_97|00cc00&amp;v=241672:242170&amp;c=444444", "offset 97")</f>
        <v>offset 97</v>
      </c>
    </row>
    <row r="803" customFormat="false" ht="12.8" hidden="false" customHeight="false" outlineLevel="0" collapsed="false">
      <c r="A803" s="0" t="s">
        <v>12</v>
      </c>
      <c r="B803" s="0" t="n">
        <v>242176</v>
      </c>
      <c r="C803" s="0" t="n">
        <v>242196</v>
      </c>
      <c r="D803" s="0" t="s">
        <v>2693</v>
      </c>
      <c r="E803" s="0" t="s">
        <v>89</v>
      </c>
      <c r="F803" s="0" t="s">
        <v>15</v>
      </c>
      <c r="G803" s="0" t="s">
        <v>26</v>
      </c>
      <c r="H803" s="0" t="n">
        <v>19</v>
      </c>
      <c r="I803" s="0" t="s">
        <v>2694</v>
      </c>
      <c r="J803" s="0" t="s">
        <v>2695</v>
      </c>
      <c r="K803" s="0" t="s">
        <v>2696</v>
      </c>
      <c r="L803" s="0" t="str">
        <f aca="false">HYPERLINK("https://www.ncbi.nlm.nih.gov/nuccore/CP000304.1?report=graph&amp;tracks=[key:gene_model_track,Options:GeneOnly]&amp;mk=242177:242196|offset_19|00cc00,242198:242217|offset_40|444444,242219:242238|offset_61|444444,242254:242273|offset_96|444444&amp;v=241976:242473&amp;c=444444", "offset 19")</f>
        <v>offset 19</v>
      </c>
    </row>
    <row r="804" customFormat="false" ht="12.8" hidden="false" customHeight="false" outlineLevel="0" collapsed="false">
      <c r="A804" s="0" t="s">
        <v>12</v>
      </c>
      <c r="B804" s="0" t="n">
        <v>242197</v>
      </c>
      <c r="C804" s="0" t="n">
        <v>242217</v>
      </c>
      <c r="D804" s="0" t="s">
        <v>2693</v>
      </c>
      <c r="E804" s="0" t="s">
        <v>89</v>
      </c>
      <c r="F804" s="0" t="s">
        <v>15</v>
      </c>
      <c r="G804" s="0" t="s">
        <v>36</v>
      </c>
      <c r="H804" s="0" t="n">
        <v>40</v>
      </c>
      <c r="I804" s="0" t="s">
        <v>2697</v>
      </c>
      <c r="J804" s="0" t="s">
        <v>2698</v>
      </c>
      <c r="K804" s="0" t="s">
        <v>2699</v>
      </c>
      <c r="L804" s="0" t="str">
        <f aca="false">HYPERLINK("https://www.ncbi.nlm.nih.gov/nuccore/CP000304.1?report=graph&amp;tracks=[key:gene_model_track,Options:GeneOnly]&amp;mk=242177:242196|offset_19|444444,242198:242217|offset_40|00cc00,242219:242238|offset_61|444444,242254:242273|offset_96|444444&amp;v=241976:242473&amp;c=444444", "offset 40")</f>
        <v>offset 40</v>
      </c>
    </row>
    <row r="805" customFormat="false" ht="12.8" hidden="false" customHeight="false" outlineLevel="0" collapsed="false">
      <c r="A805" s="0" t="s">
        <v>12</v>
      </c>
      <c r="B805" s="0" t="n">
        <v>242218</v>
      </c>
      <c r="C805" s="0" t="n">
        <v>242238</v>
      </c>
      <c r="D805" s="0" t="s">
        <v>2693</v>
      </c>
      <c r="E805" s="0" t="s">
        <v>89</v>
      </c>
      <c r="F805" s="0" t="s">
        <v>15</v>
      </c>
      <c r="G805" s="0" t="s">
        <v>16</v>
      </c>
      <c r="H805" s="0" t="n">
        <v>61</v>
      </c>
      <c r="I805" s="0" t="s">
        <v>2700</v>
      </c>
      <c r="J805" s="0" t="s">
        <v>2701</v>
      </c>
      <c r="K805" s="0" t="s">
        <v>2702</v>
      </c>
      <c r="L805" s="0" t="str">
        <f aca="false">HYPERLINK("https://www.ncbi.nlm.nih.gov/nuccore/CP000304.1?report=graph&amp;tracks=[key:gene_model_track,Options:GeneOnly]&amp;mk=242177:242196|offset_19|444444,242198:242217|offset_40|444444,242219:242238|offset_61|00cc00,242254:242273|offset_96|444444&amp;v=241976:242473&amp;c=444444", "offset 61")</f>
        <v>offset 61</v>
      </c>
    </row>
    <row r="806" customFormat="false" ht="12.8" hidden="false" customHeight="false" outlineLevel="0" collapsed="false">
      <c r="A806" s="0" t="s">
        <v>12</v>
      </c>
      <c r="B806" s="0" t="n">
        <v>242253</v>
      </c>
      <c r="C806" s="0" t="n">
        <v>242273</v>
      </c>
      <c r="D806" s="0" t="s">
        <v>2693</v>
      </c>
      <c r="E806" s="0" t="s">
        <v>89</v>
      </c>
      <c r="F806" s="0" t="s">
        <v>15</v>
      </c>
      <c r="G806" s="0" t="s">
        <v>16</v>
      </c>
      <c r="H806" s="0" t="n">
        <v>96</v>
      </c>
      <c r="I806" s="0" t="s">
        <v>2703</v>
      </c>
      <c r="J806" s="0" t="s">
        <v>2704</v>
      </c>
      <c r="K806" s="0" t="s">
        <v>2705</v>
      </c>
      <c r="L806" s="0" t="str">
        <f aca="false">HYPERLINK("https://www.ncbi.nlm.nih.gov/nuccore/CP000304.1?report=graph&amp;tracks=[key:gene_model_track,Options:GeneOnly]&amp;mk=242177:242196|offset_19|444444,242198:242217|offset_40|444444,242219:242238|offset_61|444444,242254:242273|offset_96|00cc00&amp;v=241976:242473&amp;c=444444", "offset 96")</f>
        <v>offset 96</v>
      </c>
    </row>
    <row r="807" customFormat="false" ht="12.8" hidden="false" customHeight="false" outlineLevel="0" collapsed="false">
      <c r="A807" s="0" t="s">
        <v>12</v>
      </c>
      <c r="B807" s="0" t="n">
        <v>242705</v>
      </c>
      <c r="C807" s="0" t="n">
        <v>242725</v>
      </c>
      <c r="D807" s="0" t="s">
        <v>2706</v>
      </c>
      <c r="E807" s="0" t="s">
        <v>89</v>
      </c>
      <c r="F807" s="0" t="s">
        <v>15</v>
      </c>
      <c r="G807" s="0" t="s">
        <v>26</v>
      </c>
      <c r="H807" s="0" t="n">
        <v>6</v>
      </c>
      <c r="I807" s="0" t="s">
        <v>2707</v>
      </c>
      <c r="J807" s="0" t="s">
        <v>2708</v>
      </c>
      <c r="K807" s="0" t="s">
        <v>2709</v>
      </c>
      <c r="L807" s="0" t="str">
        <f aca="false">HYPERLINK("https://www.ncbi.nlm.nih.gov/nuccore/CP000304.1?report=graph&amp;tracks=[key:gene_model_track,Options:GeneOnly]&amp;mk=242706:242725|offset_6|00cc00,242735:242754|offset_35|444444,242779:242798|offset_79|444444,242802:242821|offset_102|444444&amp;v=242505:243021&amp;c=444444", "offset 6")</f>
        <v>offset 6</v>
      </c>
    </row>
    <row r="808" customFormat="false" ht="12.8" hidden="false" customHeight="false" outlineLevel="0" collapsed="false">
      <c r="A808" s="0" t="s">
        <v>12</v>
      </c>
      <c r="B808" s="0" t="n">
        <v>242734</v>
      </c>
      <c r="C808" s="0" t="n">
        <v>242754</v>
      </c>
      <c r="D808" s="0" t="s">
        <v>2706</v>
      </c>
      <c r="E808" s="0" t="s">
        <v>89</v>
      </c>
      <c r="F808" s="0" t="s">
        <v>15</v>
      </c>
      <c r="G808" s="0" t="s">
        <v>26</v>
      </c>
      <c r="H808" s="0" t="n">
        <v>35</v>
      </c>
      <c r="I808" s="0" t="s">
        <v>2710</v>
      </c>
      <c r="J808" s="0" t="s">
        <v>2711</v>
      </c>
      <c r="K808" s="0" t="s">
        <v>2712</v>
      </c>
      <c r="L808" s="0" t="str">
        <f aca="false">HYPERLINK("https://www.ncbi.nlm.nih.gov/nuccore/CP000304.1?report=graph&amp;tracks=[key:gene_model_track,Options:GeneOnly]&amp;mk=242706:242725|offset_6|444444,242735:242754|offset_35|00cc00,242779:242798|offset_79|444444,242802:242821|offset_102|444444&amp;v=242505:243021&amp;c=444444", "offset 35")</f>
        <v>offset 35</v>
      </c>
    </row>
    <row r="809" customFormat="false" ht="12.8" hidden="false" customHeight="false" outlineLevel="0" collapsed="false">
      <c r="A809" s="0" t="s">
        <v>12</v>
      </c>
      <c r="B809" s="0" t="n">
        <v>242778</v>
      </c>
      <c r="C809" s="0" t="n">
        <v>242798</v>
      </c>
      <c r="D809" s="0" t="s">
        <v>2706</v>
      </c>
      <c r="E809" s="0" t="s">
        <v>89</v>
      </c>
      <c r="F809" s="0" t="s">
        <v>15</v>
      </c>
      <c r="G809" s="0" t="s">
        <v>26</v>
      </c>
      <c r="H809" s="0" t="n">
        <v>79</v>
      </c>
      <c r="I809" s="0" t="s">
        <v>2713</v>
      </c>
      <c r="J809" s="0" t="s">
        <v>2714</v>
      </c>
      <c r="K809" s="0" t="s">
        <v>2715</v>
      </c>
      <c r="L809" s="0" t="str">
        <f aca="false">HYPERLINK("https://www.ncbi.nlm.nih.gov/nuccore/CP000304.1?report=graph&amp;tracks=[key:gene_model_track,Options:GeneOnly]&amp;mk=242706:242725|offset_6|444444,242735:242754|offset_35|444444,242779:242798|offset_79|00cc00,242802:242821|offset_102|444444&amp;v=242505:243021&amp;c=444444", "offset 79")</f>
        <v>offset 79</v>
      </c>
    </row>
    <row r="810" customFormat="false" ht="12.8" hidden="false" customHeight="false" outlineLevel="0" collapsed="false">
      <c r="A810" s="0" t="s">
        <v>12</v>
      </c>
      <c r="B810" s="0" t="n">
        <v>242801</v>
      </c>
      <c r="C810" s="0" t="n">
        <v>242821</v>
      </c>
      <c r="D810" s="0" t="s">
        <v>2706</v>
      </c>
      <c r="E810" s="0" t="s">
        <v>89</v>
      </c>
      <c r="F810" s="0" t="s">
        <v>15</v>
      </c>
      <c r="G810" s="0" t="s">
        <v>16</v>
      </c>
      <c r="H810" s="0" t="n">
        <v>102</v>
      </c>
      <c r="I810" s="0" t="s">
        <v>2716</v>
      </c>
      <c r="J810" s="0" t="s">
        <v>2717</v>
      </c>
      <c r="K810" s="0" t="s">
        <v>2718</v>
      </c>
      <c r="L810" s="0" t="str">
        <f aca="false">HYPERLINK("https://www.ncbi.nlm.nih.gov/nuccore/CP000304.1?report=graph&amp;tracks=[key:gene_model_track,Options:GeneOnly]&amp;mk=242706:242725|offset_6|444444,242735:242754|offset_35|444444,242779:242798|offset_79|444444,242802:242821|offset_102|00cc00&amp;v=242505:243021&amp;c=444444", "offset 102")</f>
        <v>offset 102</v>
      </c>
    </row>
    <row r="811" customFormat="false" ht="12.8" hidden="false" customHeight="false" outlineLevel="0" collapsed="false">
      <c r="A811" s="0" t="s">
        <v>12</v>
      </c>
      <c r="B811" s="0" t="n">
        <v>244417</v>
      </c>
      <c r="C811" s="0" t="n">
        <v>244437</v>
      </c>
      <c r="D811" s="0" t="s">
        <v>2719</v>
      </c>
      <c r="E811" s="0" t="s">
        <v>2720</v>
      </c>
      <c r="F811" s="0" t="s">
        <v>90</v>
      </c>
      <c r="G811" s="0" t="s">
        <v>16</v>
      </c>
      <c r="H811" s="0" t="n">
        <v>6</v>
      </c>
      <c r="I811" s="0" t="s">
        <v>2721</v>
      </c>
      <c r="J811" s="0" t="s">
        <v>2722</v>
      </c>
      <c r="K811" s="0" t="s">
        <v>2723</v>
      </c>
      <c r="L811" s="0" t="str">
        <f aca="false">HYPERLINK("https://www.ncbi.nlm.nih.gov/nuccore/CP000304.1?report=graph&amp;tracks=[key:gene_model_track,Options:GeneOnly]&amp;mk=244418:244437|offset_6|00cc00,244384:244403|offset_40|444444,244363:244382|offset_61|444444,244331:244350|offset_93|444444&amp;v=244217:244550&amp;c=444444", "offset 6")</f>
        <v>offset 6</v>
      </c>
    </row>
    <row r="812" customFormat="false" ht="12.8" hidden="false" customHeight="false" outlineLevel="0" collapsed="false">
      <c r="A812" s="0" t="s">
        <v>12</v>
      </c>
      <c r="B812" s="0" t="n">
        <v>244383</v>
      </c>
      <c r="C812" s="0" t="n">
        <v>244403</v>
      </c>
      <c r="D812" s="0" t="s">
        <v>2719</v>
      </c>
      <c r="E812" s="0" t="s">
        <v>2720</v>
      </c>
      <c r="F812" s="0" t="s">
        <v>90</v>
      </c>
      <c r="G812" s="0" t="s">
        <v>16</v>
      </c>
      <c r="H812" s="0" t="n">
        <v>40</v>
      </c>
      <c r="I812" s="0" t="s">
        <v>2724</v>
      </c>
      <c r="J812" s="0" t="s">
        <v>2725</v>
      </c>
      <c r="K812" s="0" t="s">
        <v>2726</v>
      </c>
      <c r="L812" s="0" t="str">
        <f aca="false">HYPERLINK("https://www.ncbi.nlm.nih.gov/nuccore/CP000304.1?report=graph&amp;tracks=[key:gene_model_track,Options:GeneOnly]&amp;mk=244418:244437|offset_6|444444,244384:244403|offset_40|00cc00,244363:244382|offset_61|444444,244331:244350|offset_93|444444&amp;v=244217:244550&amp;c=444444", "offset 40")</f>
        <v>offset 40</v>
      </c>
    </row>
    <row r="813" customFormat="false" ht="12.8" hidden="false" customHeight="false" outlineLevel="0" collapsed="false">
      <c r="A813" s="0" t="s">
        <v>12</v>
      </c>
      <c r="B813" s="0" t="n">
        <v>244362</v>
      </c>
      <c r="C813" s="0" t="n">
        <v>244382</v>
      </c>
      <c r="D813" s="0" t="s">
        <v>2719</v>
      </c>
      <c r="E813" s="0" t="s">
        <v>2720</v>
      </c>
      <c r="F813" s="0" t="s">
        <v>90</v>
      </c>
      <c r="G813" s="0" t="s">
        <v>36</v>
      </c>
      <c r="H813" s="0" t="n">
        <v>61</v>
      </c>
      <c r="I813" s="0" t="s">
        <v>2727</v>
      </c>
      <c r="J813" s="0" t="s">
        <v>2728</v>
      </c>
      <c r="K813" s="0" t="s">
        <v>2729</v>
      </c>
      <c r="L813" s="0" t="str">
        <f aca="false">HYPERLINK("https://www.ncbi.nlm.nih.gov/nuccore/CP000304.1?report=graph&amp;tracks=[key:gene_model_track,Options:GeneOnly]&amp;mk=244418:244437|offset_6|444444,244384:244403|offset_40|444444,244363:244382|offset_61|00cc00,244331:244350|offset_93|444444&amp;v=244217:244550&amp;c=444444", "offset 61")</f>
        <v>offset 61</v>
      </c>
    </row>
    <row r="814" customFormat="false" ht="12.8" hidden="false" customHeight="false" outlineLevel="0" collapsed="false">
      <c r="A814" s="0" t="s">
        <v>12</v>
      </c>
      <c r="B814" s="0" t="n">
        <v>244330</v>
      </c>
      <c r="C814" s="0" t="n">
        <v>244350</v>
      </c>
      <c r="D814" s="0" t="s">
        <v>2719</v>
      </c>
      <c r="E814" s="0" t="s">
        <v>2720</v>
      </c>
      <c r="F814" s="0" t="s">
        <v>90</v>
      </c>
      <c r="G814" s="0" t="s">
        <v>36</v>
      </c>
      <c r="H814" s="0" t="n">
        <v>93</v>
      </c>
      <c r="I814" s="0" t="s">
        <v>2730</v>
      </c>
      <c r="J814" s="0" t="s">
        <v>2731</v>
      </c>
      <c r="K814" s="0" t="s">
        <v>2732</v>
      </c>
      <c r="L814" s="0" t="str">
        <f aca="false">HYPERLINK("https://www.ncbi.nlm.nih.gov/nuccore/CP000304.1?report=graph&amp;tracks=[key:gene_model_track,Options:GeneOnly]&amp;mk=244418:244437|offset_6|444444,244384:244403|offset_40|444444,244363:244382|offset_61|444444,244331:244350|offset_93|00cc00&amp;v=244217:244550&amp;c=444444", "offset 93")</f>
        <v>offset 93</v>
      </c>
    </row>
    <row r="815" customFormat="false" ht="12.8" hidden="false" customHeight="false" outlineLevel="0" collapsed="false">
      <c r="A815" s="0" t="s">
        <v>12</v>
      </c>
      <c r="B815" s="0" t="n">
        <v>245372</v>
      </c>
      <c r="C815" s="0" t="n">
        <v>245392</v>
      </c>
      <c r="D815" s="0" t="s">
        <v>2733</v>
      </c>
      <c r="E815" s="0" t="s">
        <v>2734</v>
      </c>
      <c r="F815" s="0" t="s">
        <v>90</v>
      </c>
      <c r="G815" s="0" t="s">
        <v>32</v>
      </c>
      <c r="H815" s="0" t="n">
        <v>41</v>
      </c>
      <c r="I815" s="0" t="s">
        <v>2735</v>
      </c>
      <c r="J815" s="0" t="s">
        <v>2736</v>
      </c>
      <c r="K815" s="0" t="s">
        <v>2737</v>
      </c>
      <c r="L815" s="0" t="str">
        <f aca="false">HYPERLINK("https://www.ncbi.nlm.nih.gov/nuccore/CP000304.1?report=graph&amp;tracks=[key:gene_model_track,Options:GeneOnly]&amp;mk=245373:245392|offset_41|00cc00,245346:245365|offset_68|444444,245266:245285|offset_148|444444,245212:245231|offset_202|444444&amp;v=245172:245431&amp;c=444444", "offset 41")</f>
        <v>offset 41</v>
      </c>
    </row>
    <row r="816" customFormat="false" ht="12.8" hidden="false" customHeight="false" outlineLevel="0" collapsed="false">
      <c r="A816" s="0" t="s">
        <v>12</v>
      </c>
      <c r="B816" s="0" t="n">
        <v>245345</v>
      </c>
      <c r="C816" s="0" t="n">
        <v>245365</v>
      </c>
      <c r="D816" s="0" t="s">
        <v>2733</v>
      </c>
      <c r="E816" s="0" t="s">
        <v>2734</v>
      </c>
      <c r="F816" s="0" t="s">
        <v>90</v>
      </c>
      <c r="G816" s="0" t="s">
        <v>26</v>
      </c>
      <c r="H816" s="0" t="n">
        <v>68</v>
      </c>
      <c r="I816" s="0" t="s">
        <v>2738</v>
      </c>
      <c r="J816" s="0" t="s">
        <v>2739</v>
      </c>
      <c r="K816" s="0" t="s">
        <v>2740</v>
      </c>
      <c r="L816" s="0" t="str">
        <f aca="false">HYPERLINK("https://www.ncbi.nlm.nih.gov/nuccore/CP000304.1?report=graph&amp;tracks=[key:gene_model_track,Options:GeneOnly]&amp;mk=245373:245392|offset_41|444444,245346:245365|offset_68|00cc00,245266:245285|offset_148|444444,245212:245231|offset_202|444444&amp;v=245172:245431&amp;c=444444", "offset 68")</f>
        <v>offset 68</v>
      </c>
    </row>
    <row r="817" customFormat="false" ht="12.8" hidden="false" customHeight="false" outlineLevel="0" collapsed="false">
      <c r="A817" s="0" t="s">
        <v>12</v>
      </c>
      <c r="B817" s="0" t="n">
        <v>245265</v>
      </c>
      <c r="C817" s="0" t="n">
        <v>245285</v>
      </c>
      <c r="D817" s="0" t="s">
        <v>2733</v>
      </c>
      <c r="E817" s="0" t="s">
        <v>2734</v>
      </c>
      <c r="F817" s="0" t="s">
        <v>90</v>
      </c>
      <c r="G817" s="0" t="s">
        <v>16</v>
      </c>
      <c r="H817" s="0" t="n">
        <v>148</v>
      </c>
      <c r="I817" s="0" t="s">
        <v>2741</v>
      </c>
      <c r="J817" s="0" t="s">
        <v>2742</v>
      </c>
      <c r="K817" s="0" t="s">
        <v>2743</v>
      </c>
      <c r="L817" s="0" t="str">
        <f aca="false">HYPERLINK("https://www.ncbi.nlm.nih.gov/nuccore/CP000304.1?report=graph&amp;tracks=[key:gene_model_track,Options:GeneOnly]&amp;mk=245373:245392|offset_41|444444,245346:245365|offset_68|444444,245266:245285|offset_148|00cc00,245212:245231|offset_202|444444&amp;v=245172:245431&amp;c=444444", "offset 148")</f>
        <v>offset 148</v>
      </c>
    </row>
    <row r="818" customFormat="false" ht="12.8" hidden="false" customHeight="false" outlineLevel="0" collapsed="false">
      <c r="A818" s="0" t="s">
        <v>12</v>
      </c>
      <c r="B818" s="0" t="n">
        <v>245211</v>
      </c>
      <c r="C818" s="0" t="n">
        <v>245231</v>
      </c>
      <c r="D818" s="0" t="s">
        <v>2733</v>
      </c>
      <c r="E818" s="0" t="s">
        <v>2734</v>
      </c>
      <c r="F818" s="0" t="s">
        <v>90</v>
      </c>
      <c r="G818" s="0" t="s">
        <v>32</v>
      </c>
      <c r="H818" s="0" t="n">
        <v>202</v>
      </c>
      <c r="I818" s="0" t="s">
        <v>2744</v>
      </c>
      <c r="J818" s="0" t="s">
        <v>2745</v>
      </c>
      <c r="K818" s="0" t="s">
        <v>2746</v>
      </c>
      <c r="L818" s="0" t="str">
        <f aca="false">HYPERLINK("https://www.ncbi.nlm.nih.gov/nuccore/CP000304.1?report=graph&amp;tracks=[key:gene_model_track,Options:GeneOnly]&amp;mk=245373:245392|offset_41|444444,245346:245365|offset_68|444444,245266:245285|offset_148|444444,245212:245231|offset_202|00cc00&amp;v=245172:245431&amp;c=444444", "offset 202")</f>
        <v>offset 202</v>
      </c>
    </row>
    <row r="819" customFormat="false" ht="12.8" hidden="false" customHeight="false" outlineLevel="0" collapsed="false">
      <c r="A819" s="0" t="s">
        <v>12</v>
      </c>
      <c r="B819" s="0" t="n">
        <v>246275</v>
      </c>
      <c r="C819" s="0" t="n">
        <v>246295</v>
      </c>
      <c r="D819" s="0" t="s">
        <v>2747</v>
      </c>
      <c r="E819" s="0" t="s">
        <v>2748</v>
      </c>
      <c r="F819" s="0" t="s">
        <v>90</v>
      </c>
      <c r="G819" s="0" t="s">
        <v>16</v>
      </c>
      <c r="H819" s="0" t="n">
        <v>10</v>
      </c>
      <c r="I819" s="0" t="s">
        <v>2749</v>
      </c>
      <c r="J819" s="0" t="s">
        <v>2750</v>
      </c>
      <c r="K819" s="0" t="s">
        <v>2751</v>
      </c>
      <c r="L819" s="0" t="str">
        <f aca="false">HYPERLINK("https://www.ncbi.nlm.nih.gov/nuccore/CP000304.1?report=graph&amp;tracks=[key:gene_model_track,Options:GeneOnly]&amp;mk=246276:246295|offset_10|00cc00,246249:246268|offset_37|444444,246213:246232|offset_73|444444,246189:246208|offset_97|444444&amp;v=246075:246408&amp;c=444444", "offset 10")</f>
        <v>offset 10</v>
      </c>
    </row>
    <row r="820" customFormat="false" ht="12.8" hidden="false" customHeight="false" outlineLevel="0" collapsed="false">
      <c r="A820" s="0" t="s">
        <v>12</v>
      </c>
      <c r="B820" s="0" t="n">
        <v>246248</v>
      </c>
      <c r="C820" s="0" t="n">
        <v>246268</v>
      </c>
      <c r="D820" s="0" t="s">
        <v>2747</v>
      </c>
      <c r="E820" s="0" t="s">
        <v>2748</v>
      </c>
      <c r="F820" s="0" t="s">
        <v>90</v>
      </c>
      <c r="G820" s="0" t="s">
        <v>36</v>
      </c>
      <c r="H820" s="0" t="n">
        <v>37</v>
      </c>
      <c r="I820" s="0" t="s">
        <v>2752</v>
      </c>
      <c r="J820" s="0" t="s">
        <v>2753</v>
      </c>
      <c r="K820" s="0" t="s">
        <v>2754</v>
      </c>
      <c r="L820" s="0" t="str">
        <f aca="false">HYPERLINK("https://www.ncbi.nlm.nih.gov/nuccore/CP000304.1?report=graph&amp;tracks=[key:gene_model_track,Options:GeneOnly]&amp;mk=246276:246295|offset_10|444444,246249:246268|offset_37|00cc00,246213:246232|offset_73|444444,246189:246208|offset_97|444444&amp;v=246075:246408&amp;c=444444", "offset 37")</f>
        <v>offset 37</v>
      </c>
    </row>
    <row r="821" customFormat="false" ht="12.8" hidden="false" customHeight="false" outlineLevel="0" collapsed="false">
      <c r="A821" s="0" t="s">
        <v>12</v>
      </c>
      <c r="B821" s="0" t="n">
        <v>246212</v>
      </c>
      <c r="C821" s="0" t="n">
        <v>246232</v>
      </c>
      <c r="D821" s="0" t="s">
        <v>2747</v>
      </c>
      <c r="E821" s="0" t="s">
        <v>2748</v>
      </c>
      <c r="F821" s="0" t="s">
        <v>90</v>
      </c>
      <c r="G821" s="0" t="s">
        <v>36</v>
      </c>
      <c r="H821" s="0" t="n">
        <v>73</v>
      </c>
      <c r="I821" s="0" t="s">
        <v>2755</v>
      </c>
      <c r="J821" s="0" t="s">
        <v>2756</v>
      </c>
      <c r="K821" s="0" t="s">
        <v>2757</v>
      </c>
      <c r="L821" s="0" t="str">
        <f aca="false">HYPERLINK("https://www.ncbi.nlm.nih.gov/nuccore/CP000304.1?report=graph&amp;tracks=[key:gene_model_track,Options:GeneOnly]&amp;mk=246276:246295|offset_10|444444,246249:246268|offset_37|444444,246213:246232|offset_73|00cc00,246189:246208|offset_97|444444&amp;v=246075:246408&amp;c=444444", "offset 73")</f>
        <v>offset 73</v>
      </c>
    </row>
    <row r="822" customFormat="false" ht="12.8" hidden="false" customHeight="false" outlineLevel="0" collapsed="false">
      <c r="A822" s="0" t="s">
        <v>12</v>
      </c>
      <c r="B822" s="0" t="n">
        <v>246188</v>
      </c>
      <c r="C822" s="0" t="n">
        <v>246208</v>
      </c>
      <c r="D822" s="0" t="s">
        <v>2747</v>
      </c>
      <c r="E822" s="0" t="s">
        <v>2748</v>
      </c>
      <c r="F822" s="0" t="s">
        <v>90</v>
      </c>
      <c r="G822" s="0" t="s">
        <v>26</v>
      </c>
      <c r="H822" s="0" t="n">
        <v>97</v>
      </c>
      <c r="I822" s="0" t="s">
        <v>2758</v>
      </c>
      <c r="J822" s="0" t="s">
        <v>2759</v>
      </c>
      <c r="K822" s="0" t="s">
        <v>2760</v>
      </c>
      <c r="L822" s="0" t="str">
        <f aca="false">HYPERLINK("https://www.ncbi.nlm.nih.gov/nuccore/CP000304.1?report=graph&amp;tracks=[key:gene_model_track,Options:GeneOnly]&amp;mk=246276:246295|offset_10|444444,246249:246268|offset_37|444444,246213:246232|offset_73|444444,246189:246208|offset_97|00cc00&amp;v=246075:246408&amp;c=444444", "offset 97")</f>
        <v>offset 97</v>
      </c>
    </row>
    <row r="823" customFormat="false" ht="12.8" hidden="false" customHeight="false" outlineLevel="0" collapsed="false">
      <c r="A823" s="0" t="s">
        <v>12</v>
      </c>
      <c r="B823" s="0" t="n">
        <v>247110</v>
      </c>
      <c r="C823" s="0" t="n">
        <v>247130</v>
      </c>
      <c r="D823" s="0" t="s">
        <v>2761</v>
      </c>
      <c r="E823" s="0" t="s">
        <v>2762</v>
      </c>
      <c r="F823" s="0" t="s">
        <v>90</v>
      </c>
      <c r="G823" s="0" t="s">
        <v>32</v>
      </c>
      <c r="H823" s="0" t="n">
        <v>1</v>
      </c>
      <c r="I823" s="0" t="s">
        <v>2763</v>
      </c>
      <c r="J823" s="0" t="s">
        <v>2764</v>
      </c>
      <c r="K823" s="0" t="s">
        <v>2765</v>
      </c>
      <c r="L823" s="0" t="str">
        <f aca="false">HYPERLINK("https://www.ncbi.nlm.nih.gov/nuccore/CP000304.1?report=graph&amp;tracks=[key:gene_model_track,Options:GeneOnly]&amp;mk=247111:247130|offset_1|00cc00,247085:247104|offset_27|444444,247057:247076|offset_55|444444,247025:247044|offset_87|444444&amp;v=246910:247244&amp;c=444444", "offset 1")</f>
        <v>offset 1</v>
      </c>
    </row>
    <row r="824" customFormat="false" ht="12.8" hidden="false" customHeight="false" outlineLevel="0" collapsed="false">
      <c r="A824" s="0" t="s">
        <v>12</v>
      </c>
      <c r="B824" s="0" t="n">
        <v>247084</v>
      </c>
      <c r="C824" s="0" t="n">
        <v>247104</v>
      </c>
      <c r="D824" s="0" t="s">
        <v>2761</v>
      </c>
      <c r="E824" s="0" t="s">
        <v>2762</v>
      </c>
      <c r="F824" s="0" t="s">
        <v>90</v>
      </c>
      <c r="G824" s="0" t="s">
        <v>36</v>
      </c>
      <c r="H824" s="0" t="n">
        <v>27</v>
      </c>
      <c r="I824" s="0" t="s">
        <v>2766</v>
      </c>
      <c r="J824" s="0" t="s">
        <v>2767</v>
      </c>
      <c r="K824" s="0" t="s">
        <v>2768</v>
      </c>
      <c r="L824" s="0" t="str">
        <f aca="false">HYPERLINK("https://www.ncbi.nlm.nih.gov/nuccore/CP000304.1?report=graph&amp;tracks=[key:gene_model_track,Options:GeneOnly]&amp;mk=247111:247130|offset_1|444444,247085:247104|offset_27|00cc00,247057:247076|offset_55|444444,247025:247044|offset_87|444444&amp;v=246910:247244&amp;c=444444", "offset 27")</f>
        <v>offset 27</v>
      </c>
    </row>
    <row r="825" customFormat="false" ht="12.8" hidden="false" customHeight="false" outlineLevel="0" collapsed="false">
      <c r="A825" s="0" t="s">
        <v>12</v>
      </c>
      <c r="B825" s="0" t="n">
        <v>247056</v>
      </c>
      <c r="C825" s="0" t="n">
        <v>247076</v>
      </c>
      <c r="D825" s="0" t="s">
        <v>2761</v>
      </c>
      <c r="E825" s="0" t="s">
        <v>2762</v>
      </c>
      <c r="F825" s="0" t="s">
        <v>90</v>
      </c>
      <c r="G825" s="0" t="s">
        <v>36</v>
      </c>
      <c r="H825" s="0" t="n">
        <v>55</v>
      </c>
      <c r="I825" s="0" t="s">
        <v>2769</v>
      </c>
      <c r="J825" s="0" t="s">
        <v>2770</v>
      </c>
      <c r="K825" s="0" t="s">
        <v>2771</v>
      </c>
      <c r="L825" s="0" t="str">
        <f aca="false">HYPERLINK("https://www.ncbi.nlm.nih.gov/nuccore/CP000304.1?report=graph&amp;tracks=[key:gene_model_track,Options:GeneOnly]&amp;mk=247111:247130|offset_1|444444,247085:247104|offset_27|444444,247057:247076|offset_55|00cc00,247025:247044|offset_87|444444&amp;v=246910:247244&amp;c=444444", "offset 55")</f>
        <v>offset 55</v>
      </c>
    </row>
    <row r="826" customFormat="false" ht="12.8" hidden="false" customHeight="false" outlineLevel="0" collapsed="false">
      <c r="A826" s="0" t="s">
        <v>12</v>
      </c>
      <c r="B826" s="0" t="n">
        <v>247024</v>
      </c>
      <c r="C826" s="0" t="n">
        <v>247044</v>
      </c>
      <c r="D826" s="0" t="s">
        <v>2761</v>
      </c>
      <c r="E826" s="0" t="s">
        <v>2762</v>
      </c>
      <c r="F826" s="0" t="s">
        <v>90</v>
      </c>
      <c r="G826" s="0" t="s">
        <v>36</v>
      </c>
      <c r="H826" s="0" t="n">
        <v>87</v>
      </c>
      <c r="I826" s="0" t="s">
        <v>2772</v>
      </c>
      <c r="J826" s="0" t="s">
        <v>2773</v>
      </c>
      <c r="K826" s="0" t="s">
        <v>2774</v>
      </c>
      <c r="L826" s="0" t="str">
        <f aca="false">HYPERLINK("https://www.ncbi.nlm.nih.gov/nuccore/CP000304.1?report=graph&amp;tracks=[key:gene_model_track,Options:GeneOnly]&amp;mk=247111:247130|offset_1|444444,247085:247104|offset_27|444444,247057:247076|offset_55|444444,247025:247044|offset_87|00cc00&amp;v=246910:247244&amp;c=444444", "offset 87")</f>
        <v>offset 87</v>
      </c>
    </row>
    <row r="827" customFormat="false" ht="12.8" hidden="false" customHeight="false" outlineLevel="0" collapsed="false">
      <c r="A827" s="0" t="s">
        <v>12</v>
      </c>
      <c r="B827" s="0" t="n">
        <v>248248</v>
      </c>
      <c r="C827" s="0" t="n">
        <v>248268</v>
      </c>
      <c r="D827" s="0" t="s">
        <v>2775</v>
      </c>
      <c r="E827" s="0" t="s">
        <v>2776</v>
      </c>
      <c r="F827" s="0" t="s">
        <v>90</v>
      </c>
      <c r="G827" s="0" t="s">
        <v>32</v>
      </c>
      <c r="H827" s="0" t="n">
        <v>1</v>
      </c>
      <c r="I827" s="0" t="s">
        <v>2777</v>
      </c>
      <c r="J827" s="0" t="s">
        <v>2778</v>
      </c>
      <c r="K827" s="0" t="s">
        <v>2779</v>
      </c>
      <c r="L827" s="0" t="str">
        <f aca="false">HYPERLINK("https://www.ncbi.nlm.nih.gov/nuccore/CP000304.1?report=graph&amp;tracks=[key:gene_model_track,Options:GeneOnly]&amp;mk=248249:248268|offset_1|00cc00,248228:248247|offset_22|444444,248198:248217|offset_52|444444,248174:248193|offset_76|444444&amp;v=248048:248393&amp;c=444444", "offset 1")</f>
        <v>offset 1</v>
      </c>
    </row>
    <row r="828" customFormat="false" ht="12.8" hidden="false" customHeight="false" outlineLevel="0" collapsed="false">
      <c r="A828" s="0" t="s">
        <v>12</v>
      </c>
      <c r="B828" s="0" t="n">
        <v>248227</v>
      </c>
      <c r="C828" s="0" t="n">
        <v>248247</v>
      </c>
      <c r="D828" s="0" t="s">
        <v>2775</v>
      </c>
      <c r="E828" s="0" t="s">
        <v>2776</v>
      </c>
      <c r="F828" s="0" t="s">
        <v>90</v>
      </c>
      <c r="G828" s="0" t="s">
        <v>36</v>
      </c>
      <c r="H828" s="0" t="n">
        <v>22</v>
      </c>
      <c r="I828" s="0" t="s">
        <v>2780</v>
      </c>
      <c r="J828" s="0" t="s">
        <v>2781</v>
      </c>
      <c r="K828" s="0" t="s">
        <v>2782</v>
      </c>
      <c r="L828" s="0" t="str">
        <f aca="false">HYPERLINK("https://www.ncbi.nlm.nih.gov/nuccore/CP000304.1?report=graph&amp;tracks=[key:gene_model_track,Options:GeneOnly]&amp;mk=248249:248268|offset_1|444444,248228:248247|offset_22|00cc00,248198:248217|offset_52|444444,248174:248193|offset_76|444444&amp;v=248048:248393&amp;c=444444", "offset 22")</f>
        <v>offset 22</v>
      </c>
    </row>
    <row r="829" customFormat="false" ht="12.8" hidden="false" customHeight="false" outlineLevel="0" collapsed="false">
      <c r="A829" s="0" t="s">
        <v>12</v>
      </c>
      <c r="B829" s="0" t="n">
        <v>248197</v>
      </c>
      <c r="C829" s="0" t="n">
        <v>248217</v>
      </c>
      <c r="D829" s="0" t="s">
        <v>2775</v>
      </c>
      <c r="E829" s="0" t="s">
        <v>2776</v>
      </c>
      <c r="F829" s="0" t="s">
        <v>90</v>
      </c>
      <c r="G829" s="0" t="s">
        <v>16</v>
      </c>
      <c r="H829" s="0" t="n">
        <v>52</v>
      </c>
      <c r="I829" s="0" t="s">
        <v>2783</v>
      </c>
      <c r="J829" s="0" t="s">
        <v>2784</v>
      </c>
      <c r="K829" s="0" t="s">
        <v>2785</v>
      </c>
      <c r="L829" s="0" t="str">
        <f aca="false">HYPERLINK("https://www.ncbi.nlm.nih.gov/nuccore/CP000304.1?report=graph&amp;tracks=[key:gene_model_track,Options:GeneOnly]&amp;mk=248249:248268|offset_1|444444,248228:248247|offset_22|444444,248198:248217|offset_52|00cc00,248174:248193|offset_76|444444&amp;v=248048:248393&amp;c=444444", "offset 52")</f>
        <v>offset 52</v>
      </c>
    </row>
    <row r="830" customFormat="false" ht="12.8" hidden="false" customHeight="false" outlineLevel="0" collapsed="false">
      <c r="A830" s="0" t="s">
        <v>12</v>
      </c>
      <c r="B830" s="0" t="n">
        <v>248173</v>
      </c>
      <c r="C830" s="0" t="n">
        <v>248193</v>
      </c>
      <c r="D830" s="0" t="s">
        <v>2775</v>
      </c>
      <c r="E830" s="0" t="s">
        <v>2776</v>
      </c>
      <c r="F830" s="0" t="s">
        <v>90</v>
      </c>
      <c r="G830" s="0" t="s">
        <v>36</v>
      </c>
      <c r="H830" s="0" t="n">
        <v>76</v>
      </c>
      <c r="I830" s="0" t="s">
        <v>2786</v>
      </c>
      <c r="J830" s="0" t="s">
        <v>2787</v>
      </c>
      <c r="K830" s="0" t="s">
        <v>2788</v>
      </c>
      <c r="L830" s="0" t="str">
        <f aca="false">HYPERLINK("https://www.ncbi.nlm.nih.gov/nuccore/CP000304.1?report=graph&amp;tracks=[key:gene_model_track,Options:GeneOnly]&amp;mk=248249:248268|offset_1|444444,248228:248247|offset_22|444444,248198:248217|offset_52|444444,248174:248193|offset_76|00cc00&amp;v=248048:248393&amp;c=444444", "offset 76")</f>
        <v>offset 76</v>
      </c>
    </row>
    <row r="831" customFormat="false" ht="12.8" hidden="false" customHeight="false" outlineLevel="0" collapsed="false">
      <c r="A831" s="0" t="s">
        <v>12</v>
      </c>
      <c r="B831" s="0" t="n">
        <v>248692</v>
      </c>
      <c r="C831" s="0" t="n">
        <v>248712</v>
      </c>
      <c r="D831" s="0" t="s">
        <v>2789</v>
      </c>
      <c r="E831" s="0" t="s">
        <v>89</v>
      </c>
      <c r="F831" s="0" t="s">
        <v>90</v>
      </c>
      <c r="G831" s="0" t="s">
        <v>16</v>
      </c>
      <c r="H831" s="0" t="n">
        <v>7</v>
      </c>
      <c r="I831" s="0" t="s">
        <v>2790</v>
      </c>
      <c r="J831" s="0" t="s">
        <v>2791</v>
      </c>
      <c r="K831" s="0" t="s">
        <v>2792</v>
      </c>
      <c r="L831" s="0" t="str">
        <f aca="false">HYPERLINK("https://www.ncbi.nlm.nih.gov/nuccore/CP000304.1?report=graph&amp;tracks=[key:gene_model_track,Options:GeneOnly]&amp;mk=248693:248712|offset_7|00cc00,248650:248669|offset_50|444444,248630:248649|offset_70|444444,248594:248613|offset_106|444444&amp;v=248492:248813&amp;c=444444", "offset 7")</f>
        <v>offset 7</v>
      </c>
    </row>
    <row r="832" customFormat="false" ht="12.8" hidden="false" customHeight="false" outlineLevel="0" collapsed="false">
      <c r="A832" s="0" t="s">
        <v>12</v>
      </c>
      <c r="B832" s="0" t="n">
        <v>248649</v>
      </c>
      <c r="C832" s="0" t="n">
        <v>248669</v>
      </c>
      <c r="D832" s="0" t="s">
        <v>2789</v>
      </c>
      <c r="E832" s="0" t="s">
        <v>89</v>
      </c>
      <c r="F832" s="0" t="s">
        <v>90</v>
      </c>
      <c r="G832" s="0" t="s">
        <v>26</v>
      </c>
      <c r="H832" s="0" t="n">
        <v>50</v>
      </c>
      <c r="I832" s="0" t="s">
        <v>2793</v>
      </c>
      <c r="J832" s="0" t="s">
        <v>2794</v>
      </c>
      <c r="K832" s="0" t="s">
        <v>2795</v>
      </c>
      <c r="L832" s="0" t="str">
        <f aca="false">HYPERLINK("https://www.ncbi.nlm.nih.gov/nuccore/CP000304.1?report=graph&amp;tracks=[key:gene_model_track,Options:GeneOnly]&amp;mk=248693:248712|offset_7|444444,248650:248669|offset_50|00cc00,248630:248649|offset_70|444444,248594:248613|offset_106|444444&amp;v=248492:248813&amp;c=444444", "offset 50")</f>
        <v>offset 50</v>
      </c>
    </row>
    <row r="833" customFormat="false" ht="12.8" hidden="false" customHeight="false" outlineLevel="0" collapsed="false">
      <c r="A833" s="0" t="s">
        <v>12</v>
      </c>
      <c r="B833" s="0" t="n">
        <v>248629</v>
      </c>
      <c r="C833" s="0" t="n">
        <v>248649</v>
      </c>
      <c r="D833" s="0" t="s">
        <v>2789</v>
      </c>
      <c r="E833" s="0" t="s">
        <v>89</v>
      </c>
      <c r="F833" s="0" t="s">
        <v>90</v>
      </c>
      <c r="G833" s="0" t="s">
        <v>36</v>
      </c>
      <c r="H833" s="0" t="n">
        <v>70</v>
      </c>
      <c r="I833" s="0" t="s">
        <v>2796</v>
      </c>
      <c r="J833" s="0" t="s">
        <v>2797</v>
      </c>
      <c r="K833" s="0" t="s">
        <v>2798</v>
      </c>
      <c r="L833" s="0" t="str">
        <f aca="false">HYPERLINK("https://www.ncbi.nlm.nih.gov/nuccore/CP000304.1?report=graph&amp;tracks=[key:gene_model_track,Options:GeneOnly]&amp;mk=248693:248712|offset_7|444444,248650:248669|offset_50|444444,248630:248649|offset_70|00cc00,248594:248613|offset_106|444444&amp;v=248492:248813&amp;c=444444", "offset 70")</f>
        <v>offset 70</v>
      </c>
    </row>
    <row r="834" customFormat="false" ht="12.8" hidden="false" customHeight="false" outlineLevel="0" collapsed="false">
      <c r="A834" s="0" t="s">
        <v>12</v>
      </c>
      <c r="B834" s="0" t="n">
        <v>248593</v>
      </c>
      <c r="C834" s="0" t="n">
        <v>248613</v>
      </c>
      <c r="D834" s="0" t="s">
        <v>2789</v>
      </c>
      <c r="E834" s="0" t="s">
        <v>89</v>
      </c>
      <c r="F834" s="0" t="s">
        <v>90</v>
      </c>
      <c r="G834" s="0" t="s">
        <v>16</v>
      </c>
      <c r="H834" s="0" t="n">
        <v>106</v>
      </c>
      <c r="I834" s="0" t="s">
        <v>2799</v>
      </c>
      <c r="J834" s="0" t="s">
        <v>2800</v>
      </c>
      <c r="K834" s="0" t="s">
        <v>2801</v>
      </c>
      <c r="L834" s="0" t="str">
        <f aca="false">HYPERLINK("https://www.ncbi.nlm.nih.gov/nuccore/CP000304.1?report=graph&amp;tracks=[key:gene_model_track,Options:GeneOnly]&amp;mk=248693:248712|offset_7|444444,248650:248669|offset_50|444444,248630:248649|offset_70|444444,248594:248613|offset_106|00cc00&amp;v=248492:248813&amp;c=444444", "offset 106")</f>
        <v>offset 106</v>
      </c>
    </row>
    <row r="835" customFormat="false" ht="12.8" hidden="false" customHeight="false" outlineLevel="0" collapsed="false">
      <c r="A835" s="0" t="s">
        <v>12</v>
      </c>
      <c r="B835" s="0" t="n">
        <v>248990</v>
      </c>
      <c r="C835" s="0" t="n">
        <v>249010</v>
      </c>
      <c r="D835" s="0" t="s">
        <v>2802</v>
      </c>
      <c r="E835" s="0" t="s">
        <v>89</v>
      </c>
      <c r="F835" s="0" t="s">
        <v>15</v>
      </c>
      <c r="G835" s="0" t="s">
        <v>16</v>
      </c>
      <c r="H835" s="0" t="n">
        <v>14</v>
      </c>
      <c r="I835" s="0" t="s">
        <v>2803</v>
      </c>
      <c r="J835" s="0" t="s">
        <v>2804</v>
      </c>
      <c r="K835" s="0" t="s">
        <v>2805</v>
      </c>
      <c r="L835" s="0" t="str">
        <f aca="false">HYPERLINK("https://www.ncbi.nlm.nih.gov/nuccore/CP000304.1?report=graph&amp;tracks=[key:gene_model_track,Options:GeneOnly]&amp;mk=248991:249010|offset_14|00cc00,249025:249044|offset_48|444444,249045:249064|offset_68|444444,249074:249093|offset_97|444444&amp;v=248790:249293&amp;c=444444", "offset 14")</f>
        <v>offset 14</v>
      </c>
    </row>
    <row r="836" customFormat="false" ht="12.8" hidden="false" customHeight="false" outlineLevel="0" collapsed="false">
      <c r="A836" s="0" t="s">
        <v>12</v>
      </c>
      <c r="B836" s="0" t="n">
        <v>249024</v>
      </c>
      <c r="C836" s="0" t="n">
        <v>249044</v>
      </c>
      <c r="D836" s="0" t="s">
        <v>2802</v>
      </c>
      <c r="E836" s="0" t="s">
        <v>89</v>
      </c>
      <c r="F836" s="0" t="s">
        <v>15</v>
      </c>
      <c r="G836" s="0" t="s">
        <v>36</v>
      </c>
      <c r="H836" s="0" t="n">
        <v>48</v>
      </c>
      <c r="I836" s="0" t="s">
        <v>2806</v>
      </c>
      <c r="J836" s="0" t="s">
        <v>2807</v>
      </c>
      <c r="K836" s="0" t="s">
        <v>2808</v>
      </c>
      <c r="L836" s="0" t="str">
        <f aca="false">HYPERLINK("https://www.ncbi.nlm.nih.gov/nuccore/CP000304.1?report=graph&amp;tracks=[key:gene_model_track,Options:GeneOnly]&amp;mk=248991:249010|offset_14|444444,249025:249044|offset_48|00cc00,249045:249064|offset_68|444444,249074:249093|offset_97|444444&amp;v=248790:249293&amp;c=444444", "offset 48")</f>
        <v>offset 48</v>
      </c>
    </row>
    <row r="837" customFormat="false" ht="12.8" hidden="false" customHeight="false" outlineLevel="0" collapsed="false">
      <c r="A837" s="0" t="s">
        <v>12</v>
      </c>
      <c r="B837" s="0" t="n">
        <v>249044</v>
      </c>
      <c r="C837" s="0" t="n">
        <v>249064</v>
      </c>
      <c r="D837" s="0" t="s">
        <v>2802</v>
      </c>
      <c r="E837" s="0" t="s">
        <v>89</v>
      </c>
      <c r="F837" s="0" t="s">
        <v>15</v>
      </c>
      <c r="G837" s="0" t="s">
        <v>32</v>
      </c>
      <c r="H837" s="0" t="n">
        <v>68</v>
      </c>
      <c r="I837" s="0" t="s">
        <v>2809</v>
      </c>
      <c r="J837" s="0" t="s">
        <v>2810</v>
      </c>
      <c r="K837" s="0" t="s">
        <v>2811</v>
      </c>
      <c r="L837" s="0" t="str">
        <f aca="false">HYPERLINK("https://www.ncbi.nlm.nih.gov/nuccore/CP000304.1?report=graph&amp;tracks=[key:gene_model_track,Options:GeneOnly]&amp;mk=248991:249010|offset_14|444444,249025:249044|offset_48|444444,249045:249064|offset_68|00cc00,249074:249093|offset_97|444444&amp;v=248790:249293&amp;c=444444", "offset 68")</f>
        <v>offset 68</v>
      </c>
    </row>
    <row r="838" customFormat="false" ht="12.8" hidden="false" customHeight="false" outlineLevel="0" collapsed="false">
      <c r="A838" s="0" t="s">
        <v>12</v>
      </c>
      <c r="B838" s="0" t="n">
        <v>249073</v>
      </c>
      <c r="C838" s="0" t="n">
        <v>249093</v>
      </c>
      <c r="D838" s="0" t="s">
        <v>2802</v>
      </c>
      <c r="E838" s="0" t="s">
        <v>89</v>
      </c>
      <c r="F838" s="0" t="s">
        <v>15</v>
      </c>
      <c r="G838" s="0" t="s">
        <v>36</v>
      </c>
      <c r="H838" s="0" t="n">
        <v>97</v>
      </c>
      <c r="I838" s="0" t="s">
        <v>2812</v>
      </c>
      <c r="J838" s="0" t="s">
        <v>2813</v>
      </c>
      <c r="K838" s="0" t="s">
        <v>2814</v>
      </c>
      <c r="L838" s="0" t="str">
        <f aca="false">HYPERLINK("https://www.ncbi.nlm.nih.gov/nuccore/CP000304.1?report=graph&amp;tracks=[key:gene_model_track,Options:GeneOnly]&amp;mk=248991:249010|offset_14|444444,249025:249044|offset_48|444444,249045:249064|offset_68|444444,249074:249093|offset_97|00cc00&amp;v=248790:249293&amp;c=444444", "offset 97")</f>
        <v>offset 97</v>
      </c>
    </row>
    <row r="839" customFormat="false" ht="12.8" hidden="false" customHeight="false" outlineLevel="0" collapsed="false">
      <c r="A839" s="0" t="s">
        <v>12</v>
      </c>
      <c r="B839" s="0" t="n">
        <v>249627</v>
      </c>
      <c r="C839" s="0" t="n">
        <v>249647</v>
      </c>
      <c r="D839" s="0" t="s">
        <v>2815</v>
      </c>
      <c r="E839" s="0" t="s">
        <v>2816</v>
      </c>
      <c r="F839" s="0" t="s">
        <v>15</v>
      </c>
      <c r="G839" s="0" t="s">
        <v>16</v>
      </c>
      <c r="H839" s="0" t="n">
        <v>11</v>
      </c>
      <c r="I839" s="0" t="s">
        <v>2817</v>
      </c>
      <c r="J839" s="0" t="s">
        <v>2818</v>
      </c>
      <c r="K839" s="0" t="s">
        <v>2819</v>
      </c>
      <c r="L839" s="0" t="str">
        <f aca="false">HYPERLINK("https://www.ncbi.nlm.nih.gov/nuccore/CP000304.1?report=graph&amp;tracks=[key:gene_model_track,Options:GeneOnly]&amp;mk=249628:249647|offset_11|00cc00,249648:249667|offset_31|444444,249676:249695|offset_59|444444,249730:249749|offset_113|444444&amp;v=249427:249949&amp;c=444444", "offset 11")</f>
        <v>offset 11</v>
      </c>
    </row>
    <row r="840" customFormat="false" ht="12.8" hidden="false" customHeight="false" outlineLevel="0" collapsed="false">
      <c r="A840" s="0" t="s">
        <v>12</v>
      </c>
      <c r="B840" s="0" t="n">
        <v>249647</v>
      </c>
      <c r="C840" s="0" t="n">
        <v>249667</v>
      </c>
      <c r="D840" s="0" t="s">
        <v>2815</v>
      </c>
      <c r="E840" s="0" t="s">
        <v>2816</v>
      </c>
      <c r="F840" s="0" t="s">
        <v>15</v>
      </c>
      <c r="G840" s="0" t="s">
        <v>16</v>
      </c>
      <c r="H840" s="0" t="n">
        <v>31</v>
      </c>
      <c r="I840" s="0" t="s">
        <v>2820</v>
      </c>
      <c r="J840" s="0" t="s">
        <v>2821</v>
      </c>
      <c r="K840" s="0" t="s">
        <v>2822</v>
      </c>
      <c r="L840" s="0" t="str">
        <f aca="false">HYPERLINK("https://www.ncbi.nlm.nih.gov/nuccore/CP000304.1?report=graph&amp;tracks=[key:gene_model_track,Options:GeneOnly]&amp;mk=249628:249647|offset_11|444444,249648:249667|offset_31|00cc00,249676:249695|offset_59|444444,249730:249749|offset_113|444444&amp;v=249427:249949&amp;c=444444", "offset 31")</f>
        <v>offset 31</v>
      </c>
    </row>
    <row r="841" customFormat="false" ht="12.8" hidden="false" customHeight="false" outlineLevel="0" collapsed="false">
      <c r="A841" s="0" t="s">
        <v>12</v>
      </c>
      <c r="B841" s="0" t="n">
        <v>249675</v>
      </c>
      <c r="C841" s="0" t="n">
        <v>249695</v>
      </c>
      <c r="D841" s="0" t="s">
        <v>2815</v>
      </c>
      <c r="E841" s="0" t="s">
        <v>2816</v>
      </c>
      <c r="F841" s="0" t="s">
        <v>15</v>
      </c>
      <c r="G841" s="0" t="s">
        <v>16</v>
      </c>
      <c r="H841" s="0" t="n">
        <v>59</v>
      </c>
      <c r="I841" s="0" t="s">
        <v>2823</v>
      </c>
      <c r="J841" s="0" t="s">
        <v>2824</v>
      </c>
      <c r="K841" s="0" t="s">
        <v>2825</v>
      </c>
      <c r="L841" s="0" t="str">
        <f aca="false">HYPERLINK("https://www.ncbi.nlm.nih.gov/nuccore/CP000304.1?report=graph&amp;tracks=[key:gene_model_track,Options:GeneOnly]&amp;mk=249628:249647|offset_11|444444,249648:249667|offset_31|444444,249676:249695|offset_59|00cc00,249730:249749|offset_113|444444&amp;v=249427:249949&amp;c=444444", "offset 59")</f>
        <v>offset 59</v>
      </c>
    </row>
    <row r="842" customFormat="false" ht="12.8" hidden="false" customHeight="false" outlineLevel="0" collapsed="false">
      <c r="A842" s="0" t="s">
        <v>12</v>
      </c>
      <c r="B842" s="0" t="n">
        <v>249729</v>
      </c>
      <c r="C842" s="0" t="n">
        <v>249749</v>
      </c>
      <c r="D842" s="0" t="s">
        <v>2815</v>
      </c>
      <c r="E842" s="0" t="s">
        <v>2816</v>
      </c>
      <c r="F842" s="0" t="s">
        <v>15</v>
      </c>
      <c r="G842" s="0" t="s">
        <v>36</v>
      </c>
      <c r="H842" s="0" t="n">
        <v>113</v>
      </c>
      <c r="I842" s="0" t="s">
        <v>2826</v>
      </c>
      <c r="J842" s="0" t="s">
        <v>2827</v>
      </c>
      <c r="K842" s="0" t="s">
        <v>2828</v>
      </c>
      <c r="L842" s="0" t="str">
        <f aca="false">HYPERLINK("https://www.ncbi.nlm.nih.gov/nuccore/CP000304.1?report=graph&amp;tracks=[key:gene_model_track,Options:GeneOnly]&amp;mk=249628:249647|offset_11|444444,249648:249667|offset_31|444444,249676:249695|offset_59|444444,249730:249749|offset_113|00cc00&amp;v=249427:249949&amp;c=444444", "offset 113")</f>
        <v>offset 113</v>
      </c>
    </row>
    <row r="843" customFormat="false" ht="12.8" hidden="false" customHeight="false" outlineLevel="0" collapsed="false">
      <c r="A843" s="0" t="s">
        <v>12</v>
      </c>
      <c r="B843" s="0" t="n">
        <v>250478</v>
      </c>
      <c r="C843" s="0" t="n">
        <v>250498</v>
      </c>
      <c r="D843" s="0" t="s">
        <v>2829</v>
      </c>
      <c r="E843" s="0" t="s">
        <v>89</v>
      </c>
      <c r="F843" s="0" t="s">
        <v>90</v>
      </c>
      <c r="G843" s="0" t="s">
        <v>32</v>
      </c>
      <c r="H843" s="0" t="n">
        <v>14</v>
      </c>
      <c r="I843" s="0" t="s">
        <v>2830</v>
      </c>
      <c r="J843" s="0" t="s">
        <v>2831</v>
      </c>
      <c r="K843" s="0" t="s">
        <v>2832</v>
      </c>
      <c r="L843" s="0" t="str">
        <f aca="false">HYPERLINK("https://www.ncbi.nlm.nih.gov/nuccore/CP000304.1?report=graph&amp;tracks=[key:gene_model_track,Options:GeneOnly]&amp;mk=250479:250498|offset_14|00cc00,250429:250448|offset_64|444444,250381:250400|offset_112|444444,250341:250360|offset_152|444444&amp;v=250278:250560&amp;c=444444", "offset 14")</f>
        <v>offset 14</v>
      </c>
    </row>
    <row r="844" customFormat="false" ht="12.8" hidden="false" customHeight="false" outlineLevel="0" collapsed="false">
      <c r="A844" s="0" t="s">
        <v>12</v>
      </c>
      <c r="B844" s="0" t="n">
        <v>250428</v>
      </c>
      <c r="C844" s="0" t="n">
        <v>250448</v>
      </c>
      <c r="D844" s="0" t="s">
        <v>2829</v>
      </c>
      <c r="E844" s="0" t="s">
        <v>89</v>
      </c>
      <c r="F844" s="0" t="s">
        <v>90</v>
      </c>
      <c r="G844" s="0" t="s">
        <v>36</v>
      </c>
      <c r="H844" s="0" t="n">
        <v>64</v>
      </c>
      <c r="I844" s="0" t="s">
        <v>2833</v>
      </c>
      <c r="J844" s="0" t="s">
        <v>2834</v>
      </c>
      <c r="K844" s="0" t="s">
        <v>2835</v>
      </c>
      <c r="L844" s="0" t="str">
        <f aca="false">HYPERLINK("https://www.ncbi.nlm.nih.gov/nuccore/CP000304.1?report=graph&amp;tracks=[key:gene_model_track,Options:GeneOnly]&amp;mk=250479:250498|offset_14|444444,250429:250448|offset_64|00cc00,250381:250400|offset_112|444444,250341:250360|offset_152|444444&amp;v=250278:250560&amp;c=444444", "offset 64")</f>
        <v>offset 64</v>
      </c>
    </row>
    <row r="845" customFormat="false" ht="12.8" hidden="false" customHeight="false" outlineLevel="0" collapsed="false">
      <c r="A845" s="0" t="s">
        <v>12</v>
      </c>
      <c r="B845" s="0" t="n">
        <v>250380</v>
      </c>
      <c r="C845" s="0" t="n">
        <v>250400</v>
      </c>
      <c r="D845" s="0" t="s">
        <v>2829</v>
      </c>
      <c r="E845" s="0" t="s">
        <v>89</v>
      </c>
      <c r="F845" s="0" t="s">
        <v>90</v>
      </c>
      <c r="G845" s="0" t="s">
        <v>16</v>
      </c>
      <c r="H845" s="0" t="n">
        <v>112</v>
      </c>
      <c r="I845" s="0" t="s">
        <v>2836</v>
      </c>
      <c r="J845" s="0" t="s">
        <v>2837</v>
      </c>
      <c r="K845" s="0" t="s">
        <v>2838</v>
      </c>
      <c r="L845" s="0" t="str">
        <f aca="false">HYPERLINK("https://www.ncbi.nlm.nih.gov/nuccore/CP000304.1?report=graph&amp;tracks=[key:gene_model_track,Options:GeneOnly]&amp;mk=250479:250498|offset_14|444444,250429:250448|offset_64|444444,250381:250400|offset_112|00cc00,250341:250360|offset_152|444444&amp;v=250278:250560&amp;c=444444", "offset 112")</f>
        <v>offset 112</v>
      </c>
    </row>
    <row r="846" customFormat="false" ht="12.8" hidden="false" customHeight="false" outlineLevel="0" collapsed="false">
      <c r="A846" s="0" t="s">
        <v>12</v>
      </c>
      <c r="B846" s="0" t="n">
        <v>250340</v>
      </c>
      <c r="C846" s="0" t="n">
        <v>250360</v>
      </c>
      <c r="D846" s="0" t="s">
        <v>2829</v>
      </c>
      <c r="E846" s="0" t="s">
        <v>89</v>
      </c>
      <c r="F846" s="0" t="s">
        <v>90</v>
      </c>
      <c r="G846" s="0" t="s">
        <v>32</v>
      </c>
      <c r="H846" s="0" t="n">
        <v>152</v>
      </c>
      <c r="I846" s="0" t="s">
        <v>2839</v>
      </c>
      <c r="J846" s="0" t="s">
        <v>2840</v>
      </c>
      <c r="K846" s="0" t="s">
        <v>2841</v>
      </c>
      <c r="L846" s="0" t="str">
        <f aca="false">HYPERLINK("https://www.ncbi.nlm.nih.gov/nuccore/CP000304.1?report=graph&amp;tracks=[key:gene_model_track,Options:GeneOnly]&amp;mk=250479:250498|offset_14|444444,250429:250448|offset_64|444444,250381:250400|offset_112|444444,250341:250360|offset_152|00cc00&amp;v=250278:250560&amp;c=444444", "offset 152")</f>
        <v>offset 152</v>
      </c>
    </row>
    <row r="847" customFormat="false" ht="12.8" hidden="false" customHeight="false" outlineLevel="0" collapsed="false">
      <c r="A847" s="0" t="s">
        <v>12</v>
      </c>
      <c r="B847" s="0" t="n">
        <v>250648</v>
      </c>
      <c r="C847" s="0" t="n">
        <v>250668</v>
      </c>
      <c r="D847" s="0" t="s">
        <v>2842</v>
      </c>
      <c r="E847" s="0" t="s">
        <v>89</v>
      </c>
      <c r="F847" s="0" t="s">
        <v>15</v>
      </c>
      <c r="G847" s="0" t="s">
        <v>16</v>
      </c>
      <c r="H847" s="0" t="n">
        <v>6</v>
      </c>
      <c r="I847" s="0" t="s">
        <v>2843</v>
      </c>
      <c r="J847" s="0" t="s">
        <v>2844</v>
      </c>
      <c r="K847" s="0" t="s">
        <v>2845</v>
      </c>
      <c r="L847" s="0" t="str">
        <f aca="false">HYPERLINK("https://www.ncbi.nlm.nih.gov/nuccore/CP000304.1?report=graph&amp;tracks=[key:gene_model_track,Options:GeneOnly]&amp;mk=250649:250668|offset_6|00cc00,250683:250702|offset_40|444444,250705:250724|offset_62|444444,250728:250747|offset_85|444444&amp;v=250448:250947&amp;c=444444", "offset 6")</f>
        <v>offset 6</v>
      </c>
    </row>
    <row r="848" customFormat="false" ht="12.8" hidden="false" customHeight="false" outlineLevel="0" collapsed="false">
      <c r="A848" s="0" t="s">
        <v>12</v>
      </c>
      <c r="B848" s="0" t="n">
        <v>250682</v>
      </c>
      <c r="C848" s="0" t="n">
        <v>250702</v>
      </c>
      <c r="D848" s="0" t="s">
        <v>2842</v>
      </c>
      <c r="E848" s="0" t="s">
        <v>89</v>
      </c>
      <c r="F848" s="0" t="s">
        <v>15</v>
      </c>
      <c r="G848" s="0" t="s">
        <v>16</v>
      </c>
      <c r="H848" s="0" t="n">
        <v>40</v>
      </c>
      <c r="I848" s="0" t="s">
        <v>2846</v>
      </c>
      <c r="J848" s="0" t="s">
        <v>2847</v>
      </c>
      <c r="K848" s="0" t="s">
        <v>2848</v>
      </c>
      <c r="L848" s="0" t="str">
        <f aca="false">HYPERLINK("https://www.ncbi.nlm.nih.gov/nuccore/CP000304.1?report=graph&amp;tracks=[key:gene_model_track,Options:GeneOnly]&amp;mk=250649:250668|offset_6|444444,250683:250702|offset_40|00cc00,250705:250724|offset_62|444444,250728:250747|offset_85|444444&amp;v=250448:250947&amp;c=444444", "offset 40")</f>
        <v>offset 40</v>
      </c>
    </row>
    <row r="849" customFormat="false" ht="12.8" hidden="false" customHeight="false" outlineLevel="0" collapsed="false">
      <c r="A849" s="0" t="s">
        <v>12</v>
      </c>
      <c r="B849" s="0" t="n">
        <v>250704</v>
      </c>
      <c r="C849" s="0" t="n">
        <v>250724</v>
      </c>
      <c r="D849" s="0" t="s">
        <v>2842</v>
      </c>
      <c r="E849" s="0" t="s">
        <v>89</v>
      </c>
      <c r="F849" s="0" t="s">
        <v>15</v>
      </c>
      <c r="G849" s="0" t="s">
        <v>26</v>
      </c>
      <c r="H849" s="0" t="n">
        <v>62</v>
      </c>
      <c r="I849" s="0" t="s">
        <v>2849</v>
      </c>
      <c r="J849" s="0" t="s">
        <v>2850</v>
      </c>
      <c r="K849" s="0" t="s">
        <v>2851</v>
      </c>
      <c r="L849" s="0" t="str">
        <f aca="false">HYPERLINK("https://www.ncbi.nlm.nih.gov/nuccore/CP000304.1?report=graph&amp;tracks=[key:gene_model_track,Options:GeneOnly]&amp;mk=250649:250668|offset_6|444444,250683:250702|offset_40|444444,250705:250724|offset_62|00cc00,250728:250747|offset_85|444444&amp;v=250448:250947&amp;c=444444", "offset 62")</f>
        <v>offset 62</v>
      </c>
    </row>
    <row r="850" customFormat="false" ht="12.8" hidden="false" customHeight="false" outlineLevel="0" collapsed="false">
      <c r="A850" s="0" t="s">
        <v>12</v>
      </c>
      <c r="B850" s="0" t="n">
        <v>250727</v>
      </c>
      <c r="C850" s="0" t="n">
        <v>250747</v>
      </c>
      <c r="D850" s="0" t="s">
        <v>2842</v>
      </c>
      <c r="E850" s="0" t="s">
        <v>89</v>
      </c>
      <c r="F850" s="0" t="s">
        <v>15</v>
      </c>
      <c r="G850" s="0" t="s">
        <v>26</v>
      </c>
      <c r="H850" s="0" t="n">
        <v>85</v>
      </c>
      <c r="I850" s="0" t="s">
        <v>2852</v>
      </c>
      <c r="J850" s="0" t="s">
        <v>2853</v>
      </c>
      <c r="K850" s="0" t="s">
        <v>2854</v>
      </c>
      <c r="L850" s="0" t="str">
        <f aca="false">HYPERLINK("https://www.ncbi.nlm.nih.gov/nuccore/CP000304.1?report=graph&amp;tracks=[key:gene_model_track,Options:GeneOnly]&amp;mk=250649:250668|offset_6|444444,250683:250702|offset_40|444444,250705:250724|offset_62|444444,250728:250747|offset_85|00cc00&amp;v=250448:250947&amp;c=444444", "offset 85")</f>
        <v>offset 85</v>
      </c>
    </row>
    <row r="851" customFormat="false" ht="12.8" hidden="false" customHeight="false" outlineLevel="0" collapsed="false">
      <c r="A851" s="0" t="s">
        <v>12</v>
      </c>
      <c r="B851" s="0" t="n">
        <v>251604</v>
      </c>
      <c r="C851" s="0" t="n">
        <v>251624</v>
      </c>
      <c r="D851" s="0" t="s">
        <v>2855</v>
      </c>
      <c r="E851" s="0" t="s">
        <v>89</v>
      </c>
      <c r="F851" s="0" t="s">
        <v>90</v>
      </c>
      <c r="G851" s="0" t="s">
        <v>16</v>
      </c>
      <c r="H851" s="0" t="n">
        <v>16</v>
      </c>
      <c r="I851" s="0" t="s">
        <v>2856</v>
      </c>
      <c r="J851" s="0" t="s">
        <v>2857</v>
      </c>
      <c r="K851" s="0" t="s">
        <v>2858</v>
      </c>
      <c r="L851" s="0" t="str">
        <f aca="false">HYPERLINK("https://www.ncbi.nlm.nih.gov/nuccore/CP000304.1?report=graph&amp;tracks=[key:gene_model_track,Options:GeneOnly]&amp;mk=251605:251624|offset_16|00cc00,251562:251581|offset_59|444444,251542:251561|offset_79|444444,251517:251536|offset_104|444444&amp;v=251404:251736&amp;c=444444", "offset 16")</f>
        <v>offset 16</v>
      </c>
    </row>
    <row r="852" customFormat="false" ht="12.8" hidden="false" customHeight="false" outlineLevel="0" collapsed="false">
      <c r="A852" s="0" t="s">
        <v>12</v>
      </c>
      <c r="B852" s="0" t="n">
        <v>251561</v>
      </c>
      <c r="C852" s="0" t="n">
        <v>251581</v>
      </c>
      <c r="D852" s="0" t="s">
        <v>2855</v>
      </c>
      <c r="E852" s="0" t="s">
        <v>89</v>
      </c>
      <c r="F852" s="0" t="s">
        <v>90</v>
      </c>
      <c r="G852" s="0" t="s">
        <v>26</v>
      </c>
      <c r="H852" s="0" t="n">
        <v>59</v>
      </c>
      <c r="I852" s="0" t="s">
        <v>2859</v>
      </c>
      <c r="J852" s="0" t="s">
        <v>2860</v>
      </c>
      <c r="K852" s="0" t="s">
        <v>2861</v>
      </c>
      <c r="L852" s="0" t="str">
        <f aca="false">HYPERLINK("https://www.ncbi.nlm.nih.gov/nuccore/CP000304.1?report=graph&amp;tracks=[key:gene_model_track,Options:GeneOnly]&amp;mk=251605:251624|offset_16|444444,251562:251581|offset_59|00cc00,251542:251561|offset_79|444444,251517:251536|offset_104|444444&amp;v=251404:251736&amp;c=444444", "offset 59")</f>
        <v>offset 59</v>
      </c>
    </row>
    <row r="853" customFormat="false" ht="12.8" hidden="false" customHeight="false" outlineLevel="0" collapsed="false">
      <c r="A853" s="0" t="s">
        <v>12</v>
      </c>
      <c r="B853" s="0" t="n">
        <v>251541</v>
      </c>
      <c r="C853" s="0" t="n">
        <v>251561</v>
      </c>
      <c r="D853" s="0" t="s">
        <v>2855</v>
      </c>
      <c r="E853" s="0" t="s">
        <v>89</v>
      </c>
      <c r="F853" s="0" t="s">
        <v>90</v>
      </c>
      <c r="G853" s="0" t="s">
        <v>32</v>
      </c>
      <c r="H853" s="0" t="n">
        <v>79</v>
      </c>
      <c r="I853" s="0" t="s">
        <v>2862</v>
      </c>
      <c r="J853" s="0" t="s">
        <v>2863</v>
      </c>
      <c r="K853" s="0" t="s">
        <v>2864</v>
      </c>
      <c r="L853" s="0" t="str">
        <f aca="false">HYPERLINK("https://www.ncbi.nlm.nih.gov/nuccore/CP000304.1?report=graph&amp;tracks=[key:gene_model_track,Options:GeneOnly]&amp;mk=251605:251624|offset_16|444444,251562:251581|offset_59|444444,251542:251561|offset_79|00cc00,251517:251536|offset_104|444444&amp;v=251404:251736&amp;c=444444", "offset 79")</f>
        <v>offset 79</v>
      </c>
    </row>
    <row r="854" customFormat="false" ht="12.8" hidden="false" customHeight="false" outlineLevel="0" collapsed="false">
      <c r="A854" s="0" t="s">
        <v>12</v>
      </c>
      <c r="B854" s="0" t="n">
        <v>251516</v>
      </c>
      <c r="C854" s="0" t="n">
        <v>251536</v>
      </c>
      <c r="D854" s="0" t="s">
        <v>2855</v>
      </c>
      <c r="E854" s="0" t="s">
        <v>89</v>
      </c>
      <c r="F854" s="0" t="s">
        <v>90</v>
      </c>
      <c r="G854" s="0" t="s">
        <v>26</v>
      </c>
      <c r="H854" s="0" t="n">
        <v>104</v>
      </c>
      <c r="I854" s="0" t="s">
        <v>2865</v>
      </c>
      <c r="J854" s="0" t="s">
        <v>2866</v>
      </c>
      <c r="K854" s="0" t="s">
        <v>2867</v>
      </c>
      <c r="L854" s="0" t="str">
        <f aca="false">HYPERLINK("https://www.ncbi.nlm.nih.gov/nuccore/CP000304.1?report=graph&amp;tracks=[key:gene_model_track,Options:GeneOnly]&amp;mk=251605:251624|offset_16|444444,251562:251581|offset_59|444444,251542:251561|offset_79|444444,251517:251536|offset_104|00cc00&amp;v=251404:251736&amp;c=444444", "offset 104")</f>
        <v>offset 104</v>
      </c>
    </row>
    <row r="855" customFormat="false" ht="12.8" hidden="false" customHeight="false" outlineLevel="0" collapsed="false">
      <c r="A855" s="0" t="s">
        <v>12</v>
      </c>
      <c r="B855" s="0" t="n">
        <v>254126</v>
      </c>
      <c r="C855" s="0" t="n">
        <v>254146</v>
      </c>
      <c r="D855" s="0" t="s">
        <v>2868</v>
      </c>
      <c r="E855" s="0" t="s">
        <v>89</v>
      </c>
      <c r="F855" s="0" t="s">
        <v>90</v>
      </c>
      <c r="G855" s="0" t="s">
        <v>16</v>
      </c>
      <c r="H855" s="0" t="n">
        <v>0</v>
      </c>
      <c r="I855" s="0" t="s">
        <v>2869</v>
      </c>
      <c r="J855" s="0" t="s">
        <v>2870</v>
      </c>
      <c r="K855" s="0" t="s">
        <v>2871</v>
      </c>
      <c r="L855" s="0" t="str">
        <f aca="false">HYPERLINK("https://www.ncbi.nlm.nih.gov/nuccore/CP000304.1?report=graph&amp;tracks=[key:gene_model_track,Options:GeneOnly]&amp;mk=254127:254146|offset_0|00cc00,254096:254115|offset_31|444444,254059:254078|offset_68|444444,254039:254058|offset_88|444444&amp;v=253926:254258&amp;c=444444", "offset 0")</f>
        <v>offset 0</v>
      </c>
    </row>
    <row r="856" customFormat="false" ht="12.8" hidden="false" customHeight="false" outlineLevel="0" collapsed="false">
      <c r="A856" s="0" t="s">
        <v>12</v>
      </c>
      <c r="B856" s="0" t="n">
        <v>254095</v>
      </c>
      <c r="C856" s="0" t="n">
        <v>254115</v>
      </c>
      <c r="D856" s="0" t="s">
        <v>2868</v>
      </c>
      <c r="E856" s="0" t="s">
        <v>89</v>
      </c>
      <c r="F856" s="0" t="s">
        <v>90</v>
      </c>
      <c r="G856" s="0" t="s">
        <v>32</v>
      </c>
      <c r="H856" s="0" t="n">
        <v>31</v>
      </c>
      <c r="I856" s="0" t="s">
        <v>2872</v>
      </c>
      <c r="J856" s="0" t="s">
        <v>2873</v>
      </c>
      <c r="K856" s="0" t="s">
        <v>2874</v>
      </c>
      <c r="L856" s="0" t="str">
        <f aca="false">HYPERLINK("https://www.ncbi.nlm.nih.gov/nuccore/CP000304.1?report=graph&amp;tracks=[key:gene_model_track,Options:GeneOnly]&amp;mk=254127:254146|offset_0|444444,254096:254115|offset_31|00cc00,254059:254078|offset_68|444444,254039:254058|offset_88|444444&amp;v=253926:254258&amp;c=444444", "offset 31")</f>
        <v>offset 31</v>
      </c>
    </row>
    <row r="857" customFormat="false" ht="12.8" hidden="false" customHeight="false" outlineLevel="0" collapsed="false">
      <c r="A857" s="0" t="s">
        <v>12</v>
      </c>
      <c r="B857" s="0" t="n">
        <v>254058</v>
      </c>
      <c r="C857" s="0" t="n">
        <v>254078</v>
      </c>
      <c r="D857" s="0" t="s">
        <v>2868</v>
      </c>
      <c r="E857" s="0" t="s">
        <v>89</v>
      </c>
      <c r="F857" s="0" t="s">
        <v>90</v>
      </c>
      <c r="G857" s="0" t="s">
        <v>36</v>
      </c>
      <c r="H857" s="0" t="n">
        <v>68</v>
      </c>
      <c r="I857" s="0" t="s">
        <v>2875</v>
      </c>
      <c r="J857" s="0" t="s">
        <v>2876</v>
      </c>
      <c r="K857" s="0" t="s">
        <v>2877</v>
      </c>
      <c r="L857" s="0" t="str">
        <f aca="false">HYPERLINK("https://www.ncbi.nlm.nih.gov/nuccore/CP000304.1?report=graph&amp;tracks=[key:gene_model_track,Options:GeneOnly]&amp;mk=254127:254146|offset_0|444444,254096:254115|offset_31|444444,254059:254078|offset_68|00cc00,254039:254058|offset_88|444444&amp;v=253926:254258&amp;c=444444", "offset 68")</f>
        <v>offset 68</v>
      </c>
    </row>
    <row r="858" customFormat="false" ht="12.8" hidden="false" customHeight="false" outlineLevel="0" collapsed="false">
      <c r="A858" s="0" t="s">
        <v>12</v>
      </c>
      <c r="B858" s="0" t="n">
        <v>254038</v>
      </c>
      <c r="C858" s="0" t="n">
        <v>254058</v>
      </c>
      <c r="D858" s="0" t="s">
        <v>2868</v>
      </c>
      <c r="E858" s="0" t="s">
        <v>89</v>
      </c>
      <c r="F858" s="0" t="s">
        <v>90</v>
      </c>
      <c r="G858" s="0" t="s">
        <v>16</v>
      </c>
      <c r="H858" s="0" t="n">
        <v>88</v>
      </c>
      <c r="I858" s="0" t="s">
        <v>2878</v>
      </c>
      <c r="J858" s="0" t="s">
        <v>2879</v>
      </c>
      <c r="K858" s="0" t="s">
        <v>2880</v>
      </c>
      <c r="L858" s="0" t="str">
        <f aca="false">HYPERLINK("https://www.ncbi.nlm.nih.gov/nuccore/CP000304.1?report=graph&amp;tracks=[key:gene_model_track,Options:GeneOnly]&amp;mk=254127:254146|offset_0|444444,254096:254115|offset_31|444444,254059:254078|offset_68|444444,254039:254058|offset_88|00cc00&amp;v=253926:254258&amp;c=444444", "offset 88")</f>
        <v>offset 88</v>
      </c>
    </row>
    <row r="859" customFormat="false" ht="12.8" hidden="false" customHeight="false" outlineLevel="0" collapsed="false">
      <c r="A859" s="0" t="s">
        <v>12</v>
      </c>
      <c r="B859" s="0" t="n">
        <v>254255</v>
      </c>
      <c r="C859" s="0" t="n">
        <v>254275</v>
      </c>
      <c r="D859" s="0" t="s">
        <v>2881</v>
      </c>
      <c r="E859" s="0" t="s">
        <v>89</v>
      </c>
      <c r="F859" s="0" t="s">
        <v>15</v>
      </c>
      <c r="G859" s="0" t="s">
        <v>16</v>
      </c>
      <c r="H859" s="0" t="n">
        <v>17</v>
      </c>
      <c r="I859" s="0" t="s">
        <v>2882</v>
      </c>
      <c r="J859" s="0" t="s">
        <v>2883</v>
      </c>
      <c r="K859" s="0" t="s">
        <v>2884</v>
      </c>
      <c r="L859" s="0" t="str">
        <f aca="false">HYPERLINK("https://www.ncbi.nlm.nih.gov/nuccore/CP000304.1?report=graph&amp;tracks=[key:gene_model_track,Options:GeneOnly]&amp;mk=254256:254275|offset_17|00cc00,254279:254298|offset_40|444444,254303:254322|offset_64|444444,254325:254344|offset_86|444444&amp;v=254055:254544&amp;c=444444", "offset 17")</f>
        <v>offset 17</v>
      </c>
    </row>
    <row r="860" customFormat="false" ht="12.8" hidden="false" customHeight="false" outlineLevel="0" collapsed="false">
      <c r="A860" s="0" t="s">
        <v>12</v>
      </c>
      <c r="B860" s="0" t="n">
        <v>254278</v>
      </c>
      <c r="C860" s="0" t="n">
        <v>254298</v>
      </c>
      <c r="D860" s="0" t="s">
        <v>2881</v>
      </c>
      <c r="E860" s="0" t="s">
        <v>89</v>
      </c>
      <c r="F860" s="0" t="s">
        <v>15</v>
      </c>
      <c r="G860" s="0" t="s">
        <v>36</v>
      </c>
      <c r="H860" s="0" t="n">
        <v>40</v>
      </c>
      <c r="I860" s="0" t="s">
        <v>2885</v>
      </c>
      <c r="J860" s="0" t="s">
        <v>2886</v>
      </c>
      <c r="K860" s="0" t="s">
        <v>2887</v>
      </c>
      <c r="L860" s="0" t="str">
        <f aca="false">HYPERLINK("https://www.ncbi.nlm.nih.gov/nuccore/CP000304.1?report=graph&amp;tracks=[key:gene_model_track,Options:GeneOnly]&amp;mk=254256:254275|offset_17|444444,254279:254298|offset_40|00cc00,254303:254322|offset_64|444444,254325:254344|offset_86|444444&amp;v=254055:254544&amp;c=444444", "offset 40")</f>
        <v>offset 40</v>
      </c>
    </row>
    <row r="861" customFormat="false" ht="12.8" hidden="false" customHeight="false" outlineLevel="0" collapsed="false">
      <c r="A861" s="0" t="s">
        <v>12</v>
      </c>
      <c r="B861" s="0" t="n">
        <v>254302</v>
      </c>
      <c r="C861" s="0" t="n">
        <v>254322</v>
      </c>
      <c r="D861" s="0" t="s">
        <v>2881</v>
      </c>
      <c r="E861" s="0" t="s">
        <v>89</v>
      </c>
      <c r="F861" s="0" t="s">
        <v>15</v>
      </c>
      <c r="G861" s="0" t="s">
        <v>36</v>
      </c>
      <c r="H861" s="0" t="n">
        <v>64</v>
      </c>
      <c r="I861" s="0" t="s">
        <v>2888</v>
      </c>
      <c r="J861" s="0" t="s">
        <v>2889</v>
      </c>
      <c r="K861" s="0" t="s">
        <v>2890</v>
      </c>
      <c r="L861" s="0" t="str">
        <f aca="false">HYPERLINK("https://www.ncbi.nlm.nih.gov/nuccore/CP000304.1?report=graph&amp;tracks=[key:gene_model_track,Options:GeneOnly]&amp;mk=254256:254275|offset_17|444444,254279:254298|offset_40|444444,254303:254322|offset_64|00cc00,254325:254344|offset_86|444444&amp;v=254055:254544&amp;c=444444", "offset 64")</f>
        <v>offset 64</v>
      </c>
    </row>
    <row r="862" customFormat="false" ht="12.8" hidden="false" customHeight="false" outlineLevel="0" collapsed="false">
      <c r="A862" s="0" t="s">
        <v>12</v>
      </c>
      <c r="B862" s="0" t="n">
        <v>254324</v>
      </c>
      <c r="C862" s="0" t="n">
        <v>254344</v>
      </c>
      <c r="D862" s="0" t="s">
        <v>2881</v>
      </c>
      <c r="E862" s="0" t="s">
        <v>89</v>
      </c>
      <c r="F862" s="0" t="s">
        <v>15</v>
      </c>
      <c r="G862" s="0" t="s">
        <v>26</v>
      </c>
      <c r="H862" s="0" t="n">
        <v>86</v>
      </c>
      <c r="I862" s="0" t="s">
        <v>2891</v>
      </c>
      <c r="J862" s="0" t="s">
        <v>2892</v>
      </c>
      <c r="K862" s="0" t="s">
        <v>2893</v>
      </c>
      <c r="L862" s="0" t="str">
        <f aca="false">HYPERLINK("https://www.ncbi.nlm.nih.gov/nuccore/CP000304.1?report=graph&amp;tracks=[key:gene_model_track,Options:GeneOnly]&amp;mk=254256:254275|offset_17|444444,254279:254298|offset_40|444444,254303:254322|offset_64|444444,254325:254344|offset_86|00cc00&amp;v=254055:254544&amp;c=444444", "offset 86")</f>
        <v>offset 86</v>
      </c>
    </row>
    <row r="863" customFormat="false" ht="12.8" hidden="false" customHeight="false" outlineLevel="0" collapsed="false">
      <c r="A863" s="0" t="s">
        <v>12</v>
      </c>
      <c r="B863" s="0" t="n">
        <v>256599</v>
      </c>
      <c r="C863" s="0" t="n">
        <v>256619</v>
      </c>
      <c r="D863" s="0" t="s">
        <v>2894</v>
      </c>
      <c r="E863" s="0" t="s">
        <v>89</v>
      </c>
      <c r="F863" s="0" t="s">
        <v>90</v>
      </c>
      <c r="G863" s="0" t="s">
        <v>32</v>
      </c>
      <c r="H863" s="0" t="n">
        <v>76</v>
      </c>
      <c r="I863" s="0" t="s">
        <v>2895</v>
      </c>
      <c r="J863" s="0" t="s">
        <v>2896</v>
      </c>
      <c r="K863" s="0" t="s">
        <v>2897</v>
      </c>
      <c r="L863" s="0" t="str">
        <f aca="false">HYPERLINK("https://www.ncbi.nlm.nih.gov/nuccore/CP000304.1?report=graph&amp;tracks=[key:gene_model_track,Options:GeneOnly]&amp;mk=256600:256619|offset_76|00cc00,256579:256598|offset_97|444444,256554:256573|offset_122|444444,256525:256544|offset_151|444444&amp;v=256399:256744&amp;c=444444", "offset 76")</f>
        <v>offset 76</v>
      </c>
    </row>
    <row r="864" customFormat="false" ht="12.8" hidden="false" customHeight="false" outlineLevel="0" collapsed="false">
      <c r="A864" s="0" t="s">
        <v>12</v>
      </c>
      <c r="B864" s="0" t="n">
        <v>256578</v>
      </c>
      <c r="C864" s="0" t="n">
        <v>256598</v>
      </c>
      <c r="D864" s="0" t="s">
        <v>2894</v>
      </c>
      <c r="E864" s="0" t="s">
        <v>89</v>
      </c>
      <c r="F864" s="0" t="s">
        <v>90</v>
      </c>
      <c r="G864" s="0" t="s">
        <v>36</v>
      </c>
      <c r="H864" s="0" t="n">
        <v>97</v>
      </c>
      <c r="I864" s="0" t="s">
        <v>2898</v>
      </c>
      <c r="J864" s="0" t="s">
        <v>2899</v>
      </c>
      <c r="K864" s="0" t="s">
        <v>2900</v>
      </c>
      <c r="L864" s="0" t="str">
        <f aca="false">HYPERLINK("https://www.ncbi.nlm.nih.gov/nuccore/CP000304.1?report=graph&amp;tracks=[key:gene_model_track,Options:GeneOnly]&amp;mk=256600:256619|offset_76|444444,256579:256598|offset_97|00cc00,256554:256573|offset_122|444444,256525:256544|offset_151|444444&amp;v=256399:256744&amp;c=444444", "offset 97")</f>
        <v>offset 97</v>
      </c>
    </row>
    <row r="865" customFormat="false" ht="12.8" hidden="false" customHeight="false" outlineLevel="0" collapsed="false">
      <c r="A865" s="0" t="s">
        <v>12</v>
      </c>
      <c r="B865" s="0" t="n">
        <v>256553</v>
      </c>
      <c r="C865" s="0" t="n">
        <v>256573</v>
      </c>
      <c r="D865" s="0" t="s">
        <v>2894</v>
      </c>
      <c r="E865" s="0" t="s">
        <v>89</v>
      </c>
      <c r="F865" s="0" t="s">
        <v>90</v>
      </c>
      <c r="G865" s="0" t="s">
        <v>26</v>
      </c>
      <c r="H865" s="0" t="n">
        <v>122</v>
      </c>
      <c r="I865" s="0" t="s">
        <v>2901</v>
      </c>
      <c r="J865" s="0" t="s">
        <v>2902</v>
      </c>
      <c r="K865" s="0" t="s">
        <v>2903</v>
      </c>
      <c r="L865" s="0" t="str">
        <f aca="false">HYPERLINK("https://www.ncbi.nlm.nih.gov/nuccore/CP000304.1?report=graph&amp;tracks=[key:gene_model_track,Options:GeneOnly]&amp;mk=256600:256619|offset_76|444444,256579:256598|offset_97|444444,256554:256573|offset_122|00cc00,256525:256544|offset_151|444444&amp;v=256399:256744&amp;c=444444", "offset 122")</f>
        <v>offset 122</v>
      </c>
    </row>
    <row r="866" customFormat="false" ht="12.8" hidden="false" customHeight="false" outlineLevel="0" collapsed="false">
      <c r="A866" s="0" t="s">
        <v>12</v>
      </c>
      <c r="B866" s="0" t="n">
        <v>256524</v>
      </c>
      <c r="C866" s="0" t="n">
        <v>256544</v>
      </c>
      <c r="D866" s="0" t="s">
        <v>2894</v>
      </c>
      <c r="E866" s="0" t="s">
        <v>89</v>
      </c>
      <c r="F866" s="0" t="s">
        <v>90</v>
      </c>
      <c r="G866" s="0" t="s">
        <v>16</v>
      </c>
      <c r="H866" s="0" t="n">
        <v>151</v>
      </c>
      <c r="I866" s="0" t="s">
        <v>2904</v>
      </c>
      <c r="J866" s="0" t="s">
        <v>2905</v>
      </c>
      <c r="K866" s="0" t="s">
        <v>2906</v>
      </c>
      <c r="L866" s="0" t="str">
        <f aca="false">HYPERLINK("https://www.ncbi.nlm.nih.gov/nuccore/CP000304.1?report=graph&amp;tracks=[key:gene_model_track,Options:GeneOnly]&amp;mk=256600:256619|offset_76|444444,256579:256598|offset_97|444444,256554:256573|offset_122|444444,256525:256544|offset_151|00cc00&amp;v=256399:256744&amp;c=444444", "offset 151")</f>
        <v>offset 151</v>
      </c>
    </row>
    <row r="867" customFormat="false" ht="12.8" hidden="false" customHeight="false" outlineLevel="0" collapsed="false">
      <c r="A867" s="0" t="s">
        <v>12</v>
      </c>
      <c r="B867" s="0" t="n">
        <v>258592</v>
      </c>
      <c r="C867" s="0" t="n">
        <v>258612</v>
      </c>
      <c r="D867" s="0" t="s">
        <v>2907</v>
      </c>
      <c r="E867" s="0" t="s">
        <v>89</v>
      </c>
      <c r="F867" s="0" t="s">
        <v>90</v>
      </c>
      <c r="G867" s="0" t="s">
        <v>32</v>
      </c>
      <c r="H867" s="0" t="n">
        <v>10</v>
      </c>
      <c r="I867" s="0" t="s">
        <v>2908</v>
      </c>
      <c r="J867" s="0" t="s">
        <v>2909</v>
      </c>
      <c r="K867" s="0" t="s">
        <v>2910</v>
      </c>
      <c r="L867" s="0" t="str">
        <f aca="false">HYPERLINK("https://www.ncbi.nlm.nih.gov/nuccore/CP000304.1?report=graph&amp;tracks=[key:gene_model_track,Options:GeneOnly]&amp;mk=258593:258612|offset_10|00cc00,258569:258588|offset_34|444444,258538:258557|offset_65|444444,258507:258526|offset_96|444444&amp;v=258392:258726&amp;c=444444", "offset 10")</f>
        <v>offset 10</v>
      </c>
    </row>
    <row r="868" customFormat="false" ht="12.8" hidden="false" customHeight="false" outlineLevel="0" collapsed="false">
      <c r="A868" s="0" t="s">
        <v>12</v>
      </c>
      <c r="B868" s="0" t="n">
        <v>258568</v>
      </c>
      <c r="C868" s="0" t="n">
        <v>258588</v>
      </c>
      <c r="D868" s="0" t="s">
        <v>2907</v>
      </c>
      <c r="E868" s="0" t="s">
        <v>89</v>
      </c>
      <c r="F868" s="0" t="s">
        <v>90</v>
      </c>
      <c r="G868" s="0" t="s">
        <v>26</v>
      </c>
      <c r="H868" s="0" t="n">
        <v>34</v>
      </c>
      <c r="I868" s="0" t="s">
        <v>2911</v>
      </c>
      <c r="J868" s="0" t="s">
        <v>2912</v>
      </c>
      <c r="K868" s="0" t="s">
        <v>2913</v>
      </c>
      <c r="L868" s="0" t="str">
        <f aca="false">HYPERLINK("https://www.ncbi.nlm.nih.gov/nuccore/CP000304.1?report=graph&amp;tracks=[key:gene_model_track,Options:GeneOnly]&amp;mk=258593:258612|offset_10|444444,258569:258588|offset_34|00cc00,258538:258557|offset_65|444444,258507:258526|offset_96|444444&amp;v=258392:258726&amp;c=444444", "offset 34")</f>
        <v>offset 34</v>
      </c>
    </row>
    <row r="869" customFormat="false" ht="12.8" hidden="false" customHeight="false" outlineLevel="0" collapsed="false">
      <c r="A869" s="0" t="s">
        <v>12</v>
      </c>
      <c r="B869" s="0" t="n">
        <v>258537</v>
      </c>
      <c r="C869" s="0" t="n">
        <v>258557</v>
      </c>
      <c r="D869" s="0" t="s">
        <v>2907</v>
      </c>
      <c r="E869" s="0" t="s">
        <v>89</v>
      </c>
      <c r="F869" s="0" t="s">
        <v>90</v>
      </c>
      <c r="G869" s="0" t="s">
        <v>16</v>
      </c>
      <c r="H869" s="0" t="n">
        <v>65</v>
      </c>
      <c r="I869" s="0" t="s">
        <v>2914</v>
      </c>
      <c r="J869" s="0" t="s">
        <v>2915</v>
      </c>
      <c r="K869" s="0" t="s">
        <v>2916</v>
      </c>
      <c r="L869" s="0" t="str">
        <f aca="false">HYPERLINK("https://www.ncbi.nlm.nih.gov/nuccore/CP000304.1?report=graph&amp;tracks=[key:gene_model_track,Options:GeneOnly]&amp;mk=258593:258612|offset_10|444444,258569:258588|offset_34|444444,258538:258557|offset_65|00cc00,258507:258526|offset_96|444444&amp;v=258392:258726&amp;c=444444", "offset 65")</f>
        <v>offset 65</v>
      </c>
    </row>
    <row r="870" customFormat="false" ht="12.8" hidden="false" customHeight="false" outlineLevel="0" collapsed="false">
      <c r="A870" s="0" t="s">
        <v>12</v>
      </c>
      <c r="B870" s="0" t="n">
        <v>258506</v>
      </c>
      <c r="C870" s="0" t="n">
        <v>258526</v>
      </c>
      <c r="D870" s="0" t="s">
        <v>2907</v>
      </c>
      <c r="E870" s="0" t="s">
        <v>89</v>
      </c>
      <c r="F870" s="0" t="s">
        <v>90</v>
      </c>
      <c r="G870" s="0" t="s">
        <v>16</v>
      </c>
      <c r="H870" s="0" t="n">
        <v>96</v>
      </c>
      <c r="I870" s="0" t="s">
        <v>2917</v>
      </c>
      <c r="J870" s="0" t="s">
        <v>2918</v>
      </c>
      <c r="K870" s="0" t="s">
        <v>2919</v>
      </c>
      <c r="L870" s="0" t="str">
        <f aca="false">HYPERLINK("https://www.ncbi.nlm.nih.gov/nuccore/CP000304.1?report=graph&amp;tracks=[key:gene_model_track,Options:GeneOnly]&amp;mk=258593:258612|offset_10|444444,258569:258588|offset_34|444444,258538:258557|offset_65|444444,258507:258526|offset_96|00cc00&amp;v=258392:258726&amp;c=444444", "offset 96")</f>
        <v>offset 96</v>
      </c>
    </row>
    <row r="871" customFormat="false" ht="12.8" hidden="false" customHeight="false" outlineLevel="0" collapsed="false">
      <c r="A871" s="0" t="s">
        <v>12</v>
      </c>
      <c r="B871" s="0" t="n">
        <v>258772</v>
      </c>
      <c r="C871" s="0" t="n">
        <v>258792</v>
      </c>
      <c r="D871" s="0" t="s">
        <v>2920</v>
      </c>
      <c r="E871" s="0" t="s">
        <v>89</v>
      </c>
      <c r="F871" s="0" t="s">
        <v>15</v>
      </c>
      <c r="G871" s="0" t="s">
        <v>16</v>
      </c>
      <c r="H871" s="0" t="n">
        <v>13</v>
      </c>
      <c r="I871" s="0" t="s">
        <v>2921</v>
      </c>
      <c r="J871" s="0" t="s">
        <v>2922</v>
      </c>
      <c r="K871" s="0" t="s">
        <v>2923</v>
      </c>
      <c r="L871" s="0" t="str">
        <f aca="false">HYPERLINK("https://www.ncbi.nlm.nih.gov/nuccore/CP000304.1?report=graph&amp;tracks=[key:gene_model_track,Options:GeneOnly]&amp;mk=258773:258792|offset_13|00cc00,258802:258821|offset_42|444444,258863:258882|offset_103|444444,258896:258915|offset_136|444444&amp;v=258572:259115&amp;c=444444", "offset 13")</f>
        <v>offset 13</v>
      </c>
    </row>
    <row r="872" customFormat="false" ht="12.8" hidden="false" customHeight="false" outlineLevel="0" collapsed="false">
      <c r="A872" s="0" t="s">
        <v>12</v>
      </c>
      <c r="B872" s="0" t="n">
        <v>258801</v>
      </c>
      <c r="C872" s="0" t="n">
        <v>258821</v>
      </c>
      <c r="D872" s="0" t="s">
        <v>2920</v>
      </c>
      <c r="E872" s="0" t="s">
        <v>89</v>
      </c>
      <c r="F872" s="0" t="s">
        <v>15</v>
      </c>
      <c r="G872" s="0" t="s">
        <v>32</v>
      </c>
      <c r="H872" s="0" t="n">
        <v>42</v>
      </c>
      <c r="I872" s="0" t="s">
        <v>2924</v>
      </c>
      <c r="J872" s="0" t="s">
        <v>2925</v>
      </c>
      <c r="K872" s="0" t="s">
        <v>2926</v>
      </c>
      <c r="L872" s="0" t="str">
        <f aca="false">HYPERLINK("https://www.ncbi.nlm.nih.gov/nuccore/CP000304.1?report=graph&amp;tracks=[key:gene_model_track,Options:GeneOnly]&amp;mk=258773:258792|offset_13|444444,258802:258821|offset_42|00cc00,258863:258882|offset_103|444444,258896:258915|offset_136|444444&amp;v=258572:259115&amp;c=444444", "offset 42")</f>
        <v>offset 42</v>
      </c>
    </row>
    <row r="873" customFormat="false" ht="12.8" hidden="false" customHeight="false" outlineLevel="0" collapsed="false">
      <c r="A873" s="0" t="s">
        <v>12</v>
      </c>
      <c r="B873" s="0" t="n">
        <v>258862</v>
      </c>
      <c r="C873" s="0" t="n">
        <v>258882</v>
      </c>
      <c r="D873" s="0" t="s">
        <v>2920</v>
      </c>
      <c r="E873" s="0" t="s">
        <v>89</v>
      </c>
      <c r="F873" s="0" t="s">
        <v>15</v>
      </c>
      <c r="G873" s="0" t="s">
        <v>16</v>
      </c>
      <c r="H873" s="0" t="n">
        <v>103</v>
      </c>
      <c r="I873" s="0" t="s">
        <v>2927</v>
      </c>
      <c r="J873" s="0" t="s">
        <v>2928</v>
      </c>
      <c r="K873" s="0" t="s">
        <v>2929</v>
      </c>
      <c r="L873" s="0" t="str">
        <f aca="false">HYPERLINK("https://www.ncbi.nlm.nih.gov/nuccore/CP000304.1?report=graph&amp;tracks=[key:gene_model_track,Options:GeneOnly]&amp;mk=258773:258792|offset_13|444444,258802:258821|offset_42|444444,258863:258882|offset_103|00cc00,258896:258915|offset_136|444444&amp;v=258572:259115&amp;c=444444", "offset 103")</f>
        <v>offset 103</v>
      </c>
    </row>
    <row r="874" customFormat="false" ht="12.8" hidden="false" customHeight="false" outlineLevel="0" collapsed="false">
      <c r="A874" s="0" t="s">
        <v>12</v>
      </c>
      <c r="B874" s="0" t="n">
        <v>258895</v>
      </c>
      <c r="C874" s="0" t="n">
        <v>258915</v>
      </c>
      <c r="D874" s="0" t="s">
        <v>2920</v>
      </c>
      <c r="E874" s="0" t="s">
        <v>89</v>
      </c>
      <c r="F874" s="0" t="s">
        <v>15</v>
      </c>
      <c r="G874" s="0" t="s">
        <v>32</v>
      </c>
      <c r="H874" s="0" t="n">
        <v>136</v>
      </c>
      <c r="I874" s="0" t="s">
        <v>2930</v>
      </c>
      <c r="J874" s="0" t="s">
        <v>2931</v>
      </c>
      <c r="K874" s="0" t="s">
        <v>2932</v>
      </c>
      <c r="L874" s="0" t="str">
        <f aca="false">HYPERLINK("https://www.ncbi.nlm.nih.gov/nuccore/CP000304.1?report=graph&amp;tracks=[key:gene_model_track,Options:GeneOnly]&amp;mk=258773:258792|offset_13|444444,258802:258821|offset_42|444444,258863:258882|offset_103|444444,258896:258915|offset_136|00cc00&amp;v=258572:259115&amp;c=444444", "offset 136")</f>
        <v>offset 136</v>
      </c>
    </row>
    <row r="875" customFormat="false" ht="12.8" hidden="false" customHeight="false" outlineLevel="0" collapsed="false">
      <c r="A875" s="0" t="s">
        <v>12</v>
      </c>
      <c r="B875" s="0" t="n">
        <v>261160</v>
      </c>
      <c r="C875" s="0" t="n">
        <v>261180</v>
      </c>
      <c r="D875" s="0" t="s">
        <v>2933</v>
      </c>
      <c r="E875" s="0" t="s">
        <v>89</v>
      </c>
      <c r="F875" s="0" t="s">
        <v>90</v>
      </c>
      <c r="G875" s="0" t="s">
        <v>16</v>
      </c>
      <c r="H875" s="0" t="n">
        <v>40</v>
      </c>
      <c r="I875" s="0" t="s">
        <v>2934</v>
      </c>
      <c r="J875" s="0" t="s">
        <v>2935</v>
      </c>
      <c r="K875" s="0" t="s">
        <v>2936</v>
      </c>
      <c r="L875" s="0" t="str">
        <f aca="false">HYPERLINK("https://www.ncbi.nlm.nih.gov/nuccore/CP000304.1?report=graph&amp;tracks=[key:gene_model_track,Options:GeneOnly]&amp;mk=261161:261180|offset_40|00cc00,261136:261155|offset_65|444444,261106:261125|offset_95|444444,261076:261095|offset_125|444444&amp;v=260960:261295&amp;c=444444", "offset 40")</f>
        <v>offset 40</v>
      </c>
    </row>
    <row r="876" customFormat="false" ht="12.8" hidden="false" customHeight="false" outlineLevel="0" collapsed="false">
      <c r="A876" s="0" t="s">
        <v>12</v>
      </c>
      <c r="B876" s="0" t="n">
        <v>261135</v>
      </c>
      <c r="C876" s="0" t="n">
        <v>261155</v>
      </c>
      <c r="D876" s="0" t="s">
        <v>2933</v>
      </c>
      <c r="E876" s="0" t="s">
        <v>89</v>
      </c>
      <c r="F876" s="0" t="s">
        <v>90</v>
      </c>
      <c r="G876" s="0" t="s">
        <v>26</v>
      </c>
      <c r="H876" s="0" t="n">
        <v>65</v>
      </c>
      <c r="I876" s="0" t="s">
        <v>2937</v>
      </c>
      <c r="J876" s="0" t="s">
        <v>2938</v>
      </c>
      <c r="K876" s="0" t="s">
        <v>2939</v>
      </c>
      <c r="L876" s="0" t="str">
        <f aca="false">HYPERLINK("https://www.ncbi.nlm.nih.gov/nuccore/CP000304.1?report=graph&amp;tracks=[key:gene_model_track,Options:GeneOnly]&amp;mk=261161:261180|offset_40|444444,261136:261155|offset_65|00cc00,261106:261125|offset_95|444444,261076:261095|offset_125|444444&amp;v=260960:261295&amp;c=444444", "offset 65")</f>
        <v>offset 65</v>
      </c>
    </row>
    <row r="877" customFormat="false" ht="12.8" hidden="false" customHeight="false" outlineLevel="0" collapsed="false">
      <c r="A877" s="0" t="s">
        <v>12</v>
      </c>
      <c r="B877" s="0" t="n">
        <v>261105</v>
      </c>
      <c r="C877" s="0" t="n">
        <v>261125</v>
      </c>
      <c r="D877" s="0" t="s">
        <v>2933</v>
      </c>
      <c r="E877" s="0" t="s">
        <v>89</v>
      </c>
      <c r="F877" s="0" t="s">
        <v>90</v>
      </c>
      <c r="G877" s="0" t="s">
        <v>36</v>
      </c>
      <c r="H877" s="0" t="n">
        <v>95</v>
      </c>
      <c r="I877" s="0" t="s">
        <v>2940</v>
      </c>
      <c r="J877" s="0" t="s">
        <v>2941</v>
      </c>
      <c r="K877" s="0" t="s">
        <v>2942</v>
      </c>
      <c r="L877" s="0" t="str">
        <f aca="false">HYPERLINK("https://www.ncbi.nlm.nih.gov/nuccore/CP000304.1?report=graph&amp;tracks=[key:gene_model_track,Options:GeneOnly]&amp;mk=261161:261180|offset_40|444444,261136:261155|offset_65|444444,261106:261125|offset_95|00cc00,261076:261095|offset_125|444444&amp;v=260960:261295&amp;c=444444", "offset 95")</f>
        <v>offset 95</v>
      </c>
    </row>
    <row r="878" customFormat="false" ht="12.8" hidden="false" customHeight="false" outlineLevel="0" collapsed="false">
      <c r="A878" s="0" t="s">
        <v>12</v>
      </c>
      <c r="B878" s="0" t="n">
        <v>261075</v>
      </c>
      <c r="C878" s="0" t="n">
        <v>261095</v>
      </c>
      <c r="D878" s="0" t="s">
        <v>2933</v>
      </c>
      <c r="E878" s="0" t="s">
        <v>89</v>
      </c>
      <c r="F878" s="0" t="s">
        <v>90</v>
      </c>
      <c r="G878" s="0" t="s">
        <v>16</v>
      </c>
      <c r="H878" s="0" t="n">
        <v>125</v>
      </c>
      <c r="I878" s="0" t="s">
        <v>2943</v>
      </c>
      <c r="J878" s="0" t="s">
        <v>2944</v>
      </c>
      <c r="K878" s="0" t="s">
        <v>2945</v>
      </c>
      <c r="L878" s="0" t="str">
        <f aca="false">HYPERLINK("https://www.ncbi.nlm.nih.gov/nuccore/CP000304.1?report=graph&amp;tracks=[key:gene_model_track,Options:GeneOnly]&amp;mk=261161:261180|offset_40|444444,261136:261155|offset_65|444444,261106:261125|offset_95|444444,261076:261095|offset_125|00cc00&amp;v=260960:261295&amp;c=444444", "offset 125")</f>
        <v>offset 125</v>
      </c>
    </row>
    <row r="879" customFormat="false" ht="12.8" hidden="false" customHeight="false" outlineLevel="0" collapsed="false">
      <c r="A879" s="0" t="s">
        <v>12</v>
      </c>
      <c r="B879" s="0" t="n">
        <v>261672</v>
      </c>
      <c r="C879" s="0" t="n">
        <v>261692</v>
      </c>
      <c r="D879" s="0" t="s">
        <v>2946</v>
      </c>
      <c r="E879" s="0" t="s">
        <v>89</v>
      </c>
      <c r="F879" s="0" t="s">
        <v>15</v>
      </c>
      <c r="G879" s="0" t="s">
        <v>26</v>
      </c>
      <c r="H879" s="0" t="n">
        <v>17</v>
      </c>
      <c r="I879" s="0" t="s">
        <v>2947</v>
      </c>
      <c r="J879" s="0" t="s">
        <v>2948</v>
      </c>
      <c r="K879" s="0" t="s">
        <v>2949</v>
      </c>
      <c r="L879" s="0" t="str">
        <f aca="false">HYPERLINK("https://www.ncbi.nlm.nih.gov/nuccore/CP000304.1?report=graph&amp;tracks=[key:gene_model_track,Options:GeneOnly]&amp;mk=261673:261692|offset_17|00cc00,261696:261715|offset_40|444444,261736:261755|offset_80|444444,261759:261778|offset_103|444444&amp;v=261472:261978&amp;c=444444", "offset 17")</f>
        <v>offset 17</v>
      </c>
    </row>
    <row r="880" customFormat="false" ht="12.8" hidden="false" customHeight="false" outlineLevel="0" collapsed="false">
      <c r="A880" s="0" t="s">
        <v>12</v>
      </c>
      <c r="B880" s="0" t="n">
        <v>261695</v>
      </c>
      <c r="C880" s="0" t="n">
        <v>261715</v>
      </c>
      <c r="D880" s="0" t="s">
        <v>2946</v>
      </c>
      <c r="E880" s="0" t="s">
        <v>89</v>
      </c>
      <c r="F880" s="0" t="s">
        <v>15</v>
      </c>
      <c r="G880" s="0" t="s">
        <v>26</v>
      </c>
      <c r="H880" s="0" t="n">
        <v>40</v>
      </c>
      <c r="I880" s="0" t="s">
        <v>2950</v>
      </c>
      <c r="J880" s="0" t="s">
        <v>2951</v>
      </c>
      <c r="K880" s="0" t="s">
        <v>2952</v>
      </c>
      <c r="L880" s="0" t="str">
        <f aca="false">HYPERLINK("https://www.ncbi.nlm.nih.gov/nuccore/CP000304.1?report=graph&amp;tracks=[key:gene_model_track,Options:GeneOnly]&amp;mk=261673:261692|offset_17|444444,261696:261715|offset_40|00cc00,261736:261755|offset_80|444444,261759:261778|offset_103|444444&amp;v=261472:261978&amp;c=444444", "offset 40")</f>
        <v>offset 40</v>
      </c>
    </row>
    <row r="881" customFormat="false" ht="12.8" hidden="false" customHeight="false" outlineLevel="0" collapsed="false">
      <c r="A881" s="0" t="s">
        <v>12</v>
      </c>
      <c r="B881" s="0" t="n">
        <v>261735</v>
      </c>
      <c r="C881" s="0" t="n">
        <v>261755</v>
      </c>
      <c r="D881" s="0" t="s">
        <v>2946</v>
      </c>
      <c r="E881" s="0" t="s">
        <v>89</v>
      </c>
      <c r="F881" s="0" t="s">
        <v>15</v>
      </c>
      <c r="G881" s="0" t="s">
        <v>32</v>
      </c>
      <c r="H881" s="0" t="n">
        <v>80</v>
      </c>
      <c r="I881" s="0" t="s">
        <v>2953</v>
      </c>
      <c r="J881" s="0" t="s">
        <v>2954</v>
      </c>
      <c r="K881" s="0" t="s">
        <v>2955</v>
      </c>
      <c r="L881" s="0" t="str">
        <f aca="false">HYPERLINK("https://www.ncbi.nlm.nih.gov/nuccore/CP000304.1?report=graph&amp;tracks=[key:gene_model_track,Options:GeneOnly]&amp;mk=261673:261692|offset_17|444444,261696:261715|offset_40|444444,261736:261755|offset_80|00cc00,261759:261778|offset_103|444444&amp;v=261472:261978&amp;c=444444", "offset 80")</f>
        <v>offset 80</v>
      </c>
    </row>
    <row r="882" customFormat="false" ht="12.8" hidden="false" customHeight="false" outlineLevel="0" collapsed="false">
      <c r="A882" s="0" t="s">
        <v>12</v>
      </c>
      <c r="B882" s="0" t="n">
        <v>261758</v>
      </c>
      <c r="C882" s="0" t="n">
        <v>261778</v>
      </c>
      <c r="D882" s="0" t="s">
        <v>2946</v>
      </c>
      <c r="E882" s="0" t="s">
        <v>89</v>
      </c>
      <c r="F882" s="0" t="s">
        <v>15</v>
      </c>
      <c r="G882" s="0" t="s">
        <v>16</v>
      </c>
      <c r="H882" s="0" t="n">
        <v>103</v>
      </c>
      <c r="I882" s="0" t="s">
        <v>2956</v>
      </c>
      <c r="J882" s="0" t="s">
        <v>2957</v>
      </c>
      <c r="K882" s="0" t="s">
        <v>2958</v>
      </c>
      <c r="L882" s="0" t="str">
        <f aca="false">HYPERLINK("https://www.ncbi.nlm.nih.gov/nuccore/CP000304.1?report=graph&amp;tracks=[key:gene_model_track,Options:GeneOnly]&amp;mk=261673:261692|offset_17|444444,261696:261715|offset_40|444444,261736:261755|offset_80|444444,261759:261778|offset_103|00cc00&amp;v=261472:261978&amp;c=444444", "offset 103")</f>
        <v>offset 103</v>
      </c>
    </row>
    <row r="883" customFormat="false" ht="12.8" hidden="false" customHeight="false" outlineLevel="0" collapsed="false">
      <c r="A883" s="0" t="s">
        <v>12</v>
      </c>
      <c r="B883" s="0" t="n">
        <v>263434</v>
      </c>
      <c r="C883" s="0" t="n">
        <v>263454</v>
      </c>
      <c r="D883" s="0" t="s">
        <v>2959</v>
      </c>
      <c r="E883" s="0" t="s">
        <v>89</v>
      </c>
      <c r="F883" s="0" t="s">
        <v>15</v>
      </c>
      <c r="G883" s="0" t="s">
        <v>16</v>
      </c>
      <c r="H883" s="0" t="n">
        <v>1</v>
      </c>
      <c r="I883" s="0" t="s">
        <v>2960</v>
      </c>
      <c r="J883" s="0" t="s">
        <v>2961</v>
      </c>
      <c r="K883" s="0" t="s">
        <v>2962</v>
      </c>
      <c r="L883" s="0" t="str">
        <f aca="false">HYPERLINK("https://www.ncbi.nlm.nih.gov/nuccore/CP000304.1?report=graph&amp;tracks=[key:gene_model_track,Options:GeneOnly]&amp;mk=263435:263454|offset_1|00cc00,263465:263484|offset_31|444444,263495:263514|offset_61|444444,263520:263539|offset_86|444444&amp;v=263234:263739&amp;c=444444", "offset 1")</f>
        <v>offset 1</v>
      </c>
    </row>
    <row r="884" customFormat="false" ht="12.8" hidden="false" customHeight="false" outlineLevel="0" collapsed="false">
      <c r="A884" s="0" t="s">
        <v>12</v>
      </c>
      <c r="B884" s="0" t="n">
        <v>263464</v>
      </c>
      <c r="C884" s="0" t="n">
        <v>263484</v>
      </c>
      <c r="D884" s="0" t="s">
        <v>2959</v>
      </c>
      <c r="E884" s="0" t="s">
        <v>89</v>
      </c>
      <c r="F884" s="0" t="s">
        <v>15</v>
      </c>
      <c r="G884" s="0" t="s">
        <v>36</v>
      </c>
      <c r="H884" s="0" t="n">
        <v>31</v>
      </c>
      <c r="I884" s="0" t="s">
        <v>2963</v>
      </c>
      <c r="J884" s="0" t="s">
        <v>2964</v>
      </c>
      <c r="K884" s="0" t="s">
        <v>2965</v>
      </c>
      <c r="L884" s="0" t="str">
        <f aca="false">HYPERLINK("https://www.ncbi.nlm.nih.gov/nuccore/CP000304.1?report=graph&amp;tracks=[key:gene_model_track,Options:GeneOnly]&amp;mk=263435:263454|offset_1|444444,263465:263484|offset_31|00cc00,263495:263514|offset_61|444444,263520:263539|offset_86|444444&amp;v=263234:263739&amp;c=444444", "offset 31")</f>
        <v>offset 31</v>
      </c>
    </row>
    <row r="885" customFormat="false" ht="12.8" hidden="false" customHeight="false" outlineLevel="0" collapsed="false">
      <c r="A885" s="0" t="s">
        <v>12</v>
      </c>
      <c r="B885" s="0" t="n">
        <v>263494</v>
      </c>
      <c r="C885" s="0" t="n">
        <v>263514</v>
      </c>
      <c r="D885" s="0" t="s">
        <v>2959</v>
      </c>
      <c r="E885" s="0" t="s">
        <v>89</v>
      </c>
      <c r="F885" s="0" t="s">
        <v>15</v>
      </c>
      <c r="G885" s="0" t="s">
        <v>36</v>
      </c>
      <c r="H885" s="0" t="n">
        <v>61</v>
      </c>
      <c r="I885" s="0" t="s">
        <v>2966</v>
      </c>
      <c r="J885" s="0" t="s">
        <v>2967</v>
      </c>
      <c r="K885" s="0" t="s">
        <v>2968</v>
      </c>
      <c r="L885" s="0" t="str">
        <f aca="false">HYPERLINK("https://www.ncbi.nlm.nih.gov/nuccore/CP000304.1?report=graph&amp;tracks=[key:gene_model_track,Options:GeneOnly]&amp;mk=263435:263454|offset_1|444444,263465:263484|offset_31|444444,263495:263514|offset_61|00cc00,263520:263539|offset_86|444444&amp;v=263234:263739&amp;c=444444", "offset 61")</f>
        <v>offset 61</v>
      </c>
    </row>
    <row r="886" customFormat="false" ht="12.8" hidden="false" customHeight="false" outlineLevel="0" collapsed="false">
      <c r="A886" s="0" t="s">
        <v>12</v>
      </c>
      <c r="B886" s="0" t="n">
        <v>263519</v>
      </c>
      <c r="C886" s="0" t="n">
        <v>263539</v>
      </c>
      <c r="D886" s="0" t="s">
        <v>2959</v>
      </c>
      <c r="E886" s="0" t="s">
        <v>89</v>
      </c>
      <c r="F886" s="0" t="s">
        <v>15</v>
      </c>
      <c r="G886" s="0" t="s">
        <v>32</v>
      </c>
      <c r="H886" s="0" t="n">
        <v>86</v>
      </c>
      <c r="I886" s="0" t="s">
        <v>2969</v>
      </c>
      <c r="J886" s="0" t="s">
        <v>2970</v>
      </c>
      <c r="K886" s="0" t="s">
        <v>2971</v>
      </c>
      <c r="L886" s="0" t="str">
        <f aca="false">HYPERLINK("https://www.ncbi.nlm.nih.gov/nuccore/CP000304.1?report=graph&amp;tracks=[key:gene_model_track,Options:GeneOnly]&amp;mk=263435:263454|offset_1|444444,263465:263484|offset_31|444444,263495:263514|offset_61|444444,263520:263539|offset_86|00cc00&amp;v=263234:263739&amp;c=444444", "offset 86")</f>
        <v>offset 86</v>
      </c>
    </row>
    <row r="887" customFormat="false" ht="12.8" hidden="false" customHeight="false" outlineLevel="0" collapsed="false">
      <c r="A887" s="0" t="s">
        <v>12</v>
      </c>
      <c r="B887" s="0" t="n">
        <v>264347</v>
      </c>
      <c r="C887" s="0" t="n">
        <v>264367</v>
      </c>
      <c r="D887" s="0" t="s">
        <v>2972</v>
      </c>
      <c r="E887" s="0" t="s">
        <v>89</v>
      </c>
      <c r="F887" s="0" t="s">
        <v>15</v>
      </c>
      <c r="G887" s="0" t="s">
        <v>32</v>
      </c>
      <c r="H887" s="0" t="n">
        <v>9</v>
      </c>
      <c r="I887" s="0" t="s">
        <v>2973</v>
      </c>
      <c r="J887" s="0" t="s">
        <v>2974</v>
      </c>
      <c r="K887" s="0" t="s">
        <v>2975</v>
      </c>
      <c r="L887" s="0" t="str">
        <f aca="false">HYPERLINK("https://www.ncbi.nlm.nih.gov/nuccore/CP000304.1?report=graph&amp;tracks=[key:gene_model_track,Options:GeneOnly]&amp;mk=264348:264367|offset_9|00cc00,264372:264391|offset_33|444444,264394:264413|offset_55|444444,264421:264440|offset_82|444444&amp;v=264147:264640&amp;c=444444", "offset 9")</f>
        <v>offset 9</v>
      </c>
    </row>
    <row r="888" customFormat="false" ht="12.8" hidden="false" customHeight="false" outlineLevel="0" collapsed="false">
      <c r="A888" s="0" t="s">
        <v>12</v>
      </c>
      <c r="B888" s="0" t="n">
        <v>264371</v>
      </c>
      <c r="C888" s="0" t="n">
        <v>264391</v>
      </c>
      <c r="D888" s="0" t="s">
        <v>2972</v>
      </c>
      <c r="E888" s="0" t="s">
        <v>89</v>
      </c>
      <c r="F888" s="0" t="s">
        <v>15</v>
      </c>
      <c r="G888" s="0" t="s">
        <v>16</v>
      </c>
      <c r="H888" s="0" t="n">
        <v>33</v>
      </c>
      <c r="I888" s="0" t="s">
        <v>2976</v>
      </c>
      <c r="J888" s="0" t="s">
        <v>2977</v>
      </c>
      <c r="K888" s="0" t="s">
        <v>2978</v>
      </c>
      <c r="L888" s="0" t="str">
        <f aca="false">HYPERLINK("https://www.ncbi.nlm.nih.gov/nuccore/CP000304.1?report=graph&amp;tracks=[key:gene_model_track,Options:GeneOnly]&amp;mk=264348:264367|offset_9|444444,264372:264391|offset_33|00cc00,264394:264413|offset_55|444444,264421:264440|offset_82|444444&amp;v=264147:264640&amp;c=444444", "offset 33")</f>
        <v>offset 33</v>
      </c>
    </row>
    <row r="889" customFormat="false" ht="12.8" hidden="false" customHeight="false" outlineLevel="0" collapsed="false">
      <c r="A889" s="0" t="s">
        <v>12</v>
      </c>
      <c r="B889" s="0" t="n">
        <v>264393</v>
      </c>
      <c r="C889" s="0" t="n">
        <v>264413</v>
      </c>
      <c r="D889" s="0" t="s">
        <v>2972</v>
      </c>
      <c r="E889" s="0" t="s">
        <v>89</v>
      </c>
      <c r="F889" s="0" t="s">
        <v>15</v>
      </c>
      <c r="G889" s="0" t="s">
        <v>36</v>
      </c>
      <c r="H889" s="0" t="n">
        <v>55</v>
      </c>
      <c r="I889" s="0" t="s">
        <v>2979</v>
      </c>
      <c r="J889" s="0" t="s">
        <v>2980</v>
      </c>
      <c r="K889" s="0" t="s">
        <v>2981</v>
      </c>
      <c r="L889" s="0" t="str">
        <f aca="false">HYPERLINK("https://www.ncbi.nlm.nih.gov/nuccore/CP000304.1?report=graph&amp;tracks=[key:gene_model_track,Options:GeneOnly]&amp;mk=264348:264367|offset_9|444444,264372:264391|offset_33|444444,264394:264413|offset_55|00cc00,264421:264440|offset_82|444444&amp;v=264147:264640&amp;c=444444", "offset 55")</f>
        <v>offset 55</v>
      </c>
    </row>
    <row r="890" customFormat="false" ht="12.8" hidden="false" customHeight="false" outlineLevel="0" collapsed="false">
      <c r="A890" s="0" t="s">
        <v>12</v>
      </c>
      <c r="B890" s="0" t="n">
        <v>264420</v>
      </c>
      <c r="C890" s="0" t="n">
        <v>264440</v>
      </c>
      <c r="D890" s="0" t="s">
        <v>2972</v>
      </c>
      <c r="E890" s="0" t="s">
        <v>89</v>
      </c>
      <c r="F890" s="0" t="s">
        <v>15</v>
      </c>
      <c r="G890" s="0" t="s">
        <v>36</v>
      </c>
      <c r="H890" s="0" t="n">
        <v>82</v>
      </c>
      <c r="I890" s="0" t="s">
        <v>2982</v>
      </c>
      <c r="J890" s="0" t="s">
        <v>2983</v>
      </c>
      <c r="K890" s="0" t="s">
        <v>2984</v>
      </c>
      <c r="L890" s="0" t="str">
        <f aca="false">HYPERLINK("https://www.ncbi.nlm.nih.gov/nuccore/CP000304.1?report=graph&amp;tracks=[key:gene_model_track,Options:GeneOnly]&amp;mk=264348:264367|offset_9|444444,264372:264391|offset_33|444444,264394:264413|offset_55|444444,264421:264440|offset_82|00cc00&amp;v=264147:264640&amp;c=444444", "offset 82")</f>
        <v>offset 82</v>
      </c>
    </row>
    <row r="891" customFormat="false" ht="12.8" hidden="false" customHeight="false" outlineLevel="0" collapsed="false">
      <c r="A891" s="0" t="s">
        <v>12</v>
      </c>
      <c r="B891" s="0" t="n">
        <v>265659</v>
      </c>
      <c r="C891" s="0" t="n">
        <v>265679</v>
      </c>
      <c r="D891" s="0" t="s">
        <v>2985</v>
      </c>
      <c r="E891" s="0" t="s">
        <v>89</v>
      </c>
      <c r="F891" s="0" t="s">
        <v>15</v>
      </c>
      <c r="G891" s="0" t="s">
        <v>36</v>
      </c>
      <c r="H891" s="0" t="n">
        <v>43</v>
      </c>
      <c r="I891" s="0" t="s">
        <v>2986</v>
      </c>
      <c r="J891" s="0" t="s">
        <v>2987</v>
      </c>
      <c r="K891" s="0" t="s">
        <v>2988</v>
      </c>
      <c r="L891" s="0" t="str">
        <f aca="false">HYPERLINK("https://www.ncbi.nlm.nih.gov/nuccore/CP000304.1?report=graph&amp;tracks=[key:gene_model_track,Options:GeneOnly]&amp;mk=265660:265679|offset_43|00cc00,265696:265715|offset_79|444444,265730:265749|offset_113|444444,265758:265777|offset_141|444444&amp;v=265459:265977&amp;c=444444", "offset 43")</f>
        <v>offset 43</v>
      </c>
    </row>
    <row r="892" customFormat="false" ht="12.8" hidden="false" customHeight="false" outlineLevel="0" collapsed="false">
      <c r="A892" s="0" t="s">
        <v>12</v>
      </c>
      <c r="B892" s="0" t="n">
        <v>265695</v>
      </c>
      <c r="C892" s="0" t="n">
        <v>265715</v>
      </c>
      <c r="D892" s="0" t="s">
        <v>2985</v>
      </c>
      <c r="E892" s="0" t="s">
        <v>89</v>
      </c>
      <c r="F892" s="0" t="s">
        <v>15</v>
      </c>
      <c r="G892" s="0" t="s">
        <v>16</v>
      </c>
      <c r="H892" s="0" t="n">
        <v>79</v>
      </c>
      <c r="I892" s="0" t="s">
        <v>2989</v>
      </c>
      <c r="J892" s="0" t="s">
        <v>2990</v>
      </c>
      <c r="K892" s="0" t="s">
        <v>2991</v>
      </c>
      <c r="L892" s="0" t="str">
        <f aca="false">HYPERLINK("https://www.ncbi.nlm.nih.gov/nuccore/CP000304.1?report=graph&amp;tracks=[key:gene_model_track,Options:GeneOnly]&amp;mk=265660:265679|offset_43|444444,265696:265715|offset_79|00cc00,265730:265749|offset_113|444444,265758:265777|offset_141|444444&amp;v=265459:265977&amp;c=444444", "offset 79")</f>
        <v>offset 79</v>
      </c>
    </row>
    <row r="893" customFormat="false" ht="12.8" hidden="false" customHeight="false" outlineLevel="0" collapsed="false">
      <c r="A893" s="0" t="s">
        <v>12</v>
      </c>
      <c r="B893" s="0" t="n">
        <v>265729</v>
      </c>
      <c r="C893" s="0" t="n">
        <v>265749</v>
      </c>
      <c r="D893" s="0" t="s">
        <v>2985</v>
      </c>
      <c r="E893" s="0" t="s">
        <v>89</v>
      </c>
      <c r="F893" s="0" t="s">
        <v>15</v>
      </c>
      <c r="G893" s="0" t="s">
        <v>32</v>
      </c>
      <c r="H893" s="0" t="n">
        <v>113</v>
      </c>
      <c r="I893" s="0" t="s">
        <v>2992</v>
      </c>
      <c r="J893" s="0" t="s">
        <v>2993</v>
      </c>
      <c r="K893" s="0" t="s">
        <v>2994</v>
      </c>
      <c r="L893" s="0" t="str">
        <f aca="false">HYPERLINK("https://www.ncbi.nlm.nih.gov/nuccore/CP000304.1?report=graph&amp;tracks=[key:gene_model_track,Options:GeneOnly]&amp;mk=265660:265679|offset_43|444444,265696:265715|offset_79|444444,265730:265749|offset_113|00cc00,265758:265777|offset_141|444444&amp;v=265459:265977&amp;c=444444", "offset 113")</f>
        <v>offset 113</v>
      </c>
    </row>
    <row r="894" customFormat="false" ht="12.8" hidden="false" customHeight="false" outlineLevel="0" collapsed="false">
      <c r="A894" s="0" t="s">
        <v>12</v>
      </c>
      <c r="B894" s="0" t="n">
        <v>265757</v>
      </c>
      <c r="C894" s="0" t="n">
        <v>265777</v>
      </c>
      <c r="D894" s="0" t="s">
        <v>2985</v>
      </c>
      <c r="E894" s="0" t="s">
        <v>89</v>
      </c>
      <c r="F894" s="0" t="s">
        <v>15</v>
      </c>
      <c r="G894" s="0" t="s">
        <v>36</v>
      </c>
      <c r="H894" s="0" t="n">
        <v>141</v>
      </c>
      <c r="I894" s="0" t="s">
        <v>2995</v>
      </c>
      <c r="J894" s="0" t="s">
        <v>2996</v>
      </c>
      <c r="K894" s="0" t="s">
        <v>2997</v>
      </c>
      <c r="L894" s="0" t="str">
        <f aca="false">HYPERLINK("https://www.ncbi.nlm.nih.gov/nuccore/CP000304.1?report=graph&amp;tracks=[key:gene_model_track,Options:GeneOnly]&amp;mk=265660:265679|offset_43|444444,265696:265715|offset_79|444444,265730:265749|offset_113|444444,265758:265777|offset_141|00cc00&amp;v=265459:265977&amp;c=444444", "offset 141")</f>
        <v>offset 141</v>
      </c>
    </row>
    <row r="895" customFormat="false" ht="12.8" hidden="false" customHeight="false" outlineLevel="0" collapsed="false">
      <c r="A895" s="0" t="s">
        <v>12</v>
      </c>
      <c r="B895" s="0" t="n">
        <v>267571</v>
      </c>
      <c r="C895" s="0" t="n">
        <v>267591</v>
      </c>
      <c r="D895" s="0" t="s">
        <v>2998</v>
      </c>
      <c r="E895" s="0" t="s">
        <v>89</v>
      </c>
      <c r="F895" s="0" t="s">
        <v>90</v>
      </c>
      <c r="G895" s="0" t="s">
        <v>16</v>
      </c>
      <c r="H895" s="0" t="n">
        <v>10</v>
      </c>
      <c r="I895" s="0" t="s">
        <v>2999</v>
      </c>
      <c r="J895" s="0" t="s">
        <v>3000</v>
      </c>
      <c r="K895" s="0" t="s">
        <v>3001</v>
      </c>
      <c r="L895" s="0" t="str">
        <f aca="false">HYPERLINK("https://www.ncbi.nlm.nih.gov/nuccore/CP000304.1?report=graph&amp;tracks=[key:gene_model_track,Options:GeneOnly]&amp;mk=267572:267591|offset_10|00cc00,267549:267568|offset_33|444444,267500:267519|offset_82|444444,267452:267471|offset_130|444444&amp;v=267371:267671&amp;c=444444", "offset 10")</f>
        <v>offset 10</v>
      </c>
    </row>
    <row r="896" customFormat="false" ht="12.8" hidden="false" customHeight="false" outlineLevel="0" collapsed="false">
      <c r="A896" s="0" t="s">
        <v>12</v>
      </c>
      <c r="B896" s="0" t="n">
        <v>267548</v>
      </c>
      <c r="C896" s="0" t="n">
        <v>267568</v>
      </c>
      <c r="D896" s="0" t="s">
        <v>2998</v>
      </c>
      <c r="E896" s="0" t="s">
        <v>89</v>
      </c>
      <c r="F896" s="0" t="s">
        <v>90</v>
      </c>
      <c r="G896" s="0" t="s">
        <v>36</v>
      </c>
      <c r="H896" s="0" t="n">
        <v>33</v>
      </c>
      <c r="I896" s="0" t="s">
        <v>3002</v>
      </c>
      <c r="J896" s="0" t="s">
        <v>3003</v>
      </c>
      <c r="K896" s="0" t="s">
        <v>3004</v>
      </c>
      <c r="L896" s="0" t="str">
        <f aca="false">HYPERLINK("https://www.ncbi.nlm.nih.gov/nuccore/CP000304.1?report=graph&amp;tracks=[key:gene_model_track,Options:GeneOnly]&amp;mk=267572:267591|offset_10|444444,267549:267568|offset_33|00cc00,267500:267519|offset_82|444444,267452:267471|offset_130|444444&amp;v=267371:267671&amp;c=444444", "offset 33")</f>
        <v>offset 33</v>
      </c>
    </row>
    <row r="897" customFormat="false" ht="12.8" hidden="false" customHeight="false" outlineLevel="0" collapsed="false">
      <c r="A897" s="0" t="s">
        <v>12</v>
      </c>
      <c r="B897" s="0" t="n">
        <v>267499</v>
      </c>
      <c r="C897" s="0" t="n">
        <v>267519</v>
      </c>
      <c r="D897" s="0" t="s">
        <v>2998</v>
      </c>
      <c r="E897" s="0" t="s">
        <v>89</v>
      </c>
      <c r="F897" s="0" t="s">
        <v>90</v>
      </c>
      <c r="G897" s="0" t="s">
        <v>26</v>
      </c>
      <c r="H897" s="0" t="n">
        <v>82</v>
      </c>
      <c r="I897" s="0" t="s">
        <v>3005</v>
      </c>
      <c r="J897" s="0" t="s">
        <v>3006</v>
      </c>
      <c r="K897" s="0" t="s">
        <v>3007</v>
      </c>
      <c r="L897" s="0" t="str">
        <f aca="false">HYPERLINK("https://www.ncbi.nlm.nih.gov/nuccore/CP000304.1?report=graph&amp;tracks=[key:gene_model_track,Options:GeneOnly]&amp;mk=267572:267591|offset_10|444444,267549:267568|offset_33|444444,267500:267519|offset_82|00cc00,267452:267471|offset_130|444444&amp;v=267371:267671&amp;c=444444", "offset 82")</f>
        <v>offset 82</v>
      </c>
    </row>
    <row r="898" customFormat="false" ht="12.8" hidden="false" customHeight="false" outlineLevel="0" collapsed="false">
      <c r="A898" s="0" t="s">
        <v>12</v>
      </c>
      <c r="B898" s="0" t="n">
        <v>267451</v>
      </c>
      <c r="C898" s="0" t="n">
        <v>267471</v>
      </c>
      <c r="D898" s="0" t="s">
        <v>2998</v>
      </c>
      <c r="E898" s="0" t="s">
        <v>89</v>
      </c>
      <c r="F898" s="0" t="s">
        <v>90</v>
      </c>
      <c r="G898" s="0" t="s">
        <v>26</v>
      </c>
      <c r="H898" s="0" t="n">
        <v>130</v>
      </c>
      <c r="I898" s="0" t="s">
        <v>3008</v>
      </c>
      <c r="J898" s="0" t="s">
        <v>3009</v>
      </c>
      <c r="K898" s="0" t="s">
        <v>3010</v>
      </c>
      <c r="L898" s="0" t="str">
        <f aca="false">HYPERLINK("https://www.ncbi.nlm.nih.gov/nuccore/CP000304.1?report=graph&amp;tracks=[key:gene_model_track,Options:GeneOnly]&amp;mk=267572:267591|offset_10|444444,267549:267568|offset_33|444444,267500:267519|offset_82|444444,267452:267471|offset_130|00cc00&amp;v=267371:267671&amp;c=444444", "offset 130")</f>
        <v>offset 130</v>
      </c>
    </row>
    <row r="899" customFormat="false" ht="12.8" hidden="false" customHeight="false" outlineLevel="0" collapsed="false">
      <c r="A899" s="0" t="s">
        <v>12</v>
      </c>
      <c r="B899" s="0" t="n">
        <v>267817</v>
      </c>
      <c r="C899" s="0" t="n">
        <v>267837</v>
      </c>
      <c r="D899" s="0" t="s">
        <v>3011</v>
      </c>
      <c r="E899" s="0" t="s">
        <v>89</v>
      </c>
      <c r="F899" s="0" t="s">
        <v>90</v>
      </c>
      <c r="G899" s="0" t="s">
        <v>32</v>
      </c>
      <c r="H899" s="0" t="n">
        <v>13</v>
      </c>
      <c r="I899" s="0" t="s">
        <v>3012</v>
      </c>
      <c r="J899" s="0" t="s">
        <v>3013</v>
      </c>
      <c r="K899" s="0" t="s">
        <v>3014</v>
      </c>
      <c r="L899" s="0" t="str">
        <f aca="false">HYPERLINK("https://www.ncbi.nlm.nih.gov/nuccore/CP000304.1?report=graph&amp;tracks=[key:gene_model_track,Options:GeneOnly]&amp;mk=267818:267837|offset_13|00cc00,267790:267809|offset_41|444444,267768:267787|offset_63|444444,267748:267767|offset_83|444444&amp;v=267617:267967&amp;c=444444", "offset 13")</f>
        <v>offset 13</v>
      </c>
    </row>
    <row r="900" customFormat="false" ht="12.8" hidden="false" customHeight="false" outlineLevel="0" collapsed="false">
      <c r="A900" s="0" t="s">
        <v>12</v>
      </c>
      <c r="B900" s="0" t="n">
        <v>267789</v>
      </c>
      <c r="C900" s="0" t="n">
        <v>267809</v>
      </c>
      <c r="D900" s="0" t="s">
        <v>3011</v>
      </c>
      <c r="E900" s="0" t="s">
        <v>89</v>
      </c>
      <c r="F900" s="0" t="s">
        <v>90</v>
      </c>
      <c r="G900" s="0" t="s">
        <v>32</v>
      </c>
      <c r="H900" s="0" t="n">
        <v>41</v>
      </c>
      <c r="I900" s="0" t="s">
        <v>3015</v>
      </c>
      <c r="J900" s="0" t="s">
        <v>3016</v>
      </c>
      <c r="K900" s="0" t="s">
        <v>3017</v>
      </c>
      <c r="L900" s="0" t="str">
        <f aca="false">HYPERLINK("https://www.ncbi.nlm.nih.gov/nuccore/CP000304.1?report=graph&amp;tracks=[key:gene_model_track,Options:GeneOnly]&amp;mk=267818:267837|offset_13|444444,267790:267809|offset_41|00cc00,267768:267787|offset_63|444444,267748:267767|offset_83|444444&amp;v=267617:267967&amp;c=444444", "offset 41")</f>
        <v>offset 41</v>
      </c>
    </row>
    <row r="901" customFormat="false" ht="12.8" hidden="false" customHeight="false" outlineLevel="0" collapsed="false">
      <c r="A901" s="0" t="s">
        <v>12</v>
      </c>
      <c r="B901" s="0" t="n">
        <v>267767</v>
      </c>
      <c r="C901" s="0" t="n">
        <v>267787</v>
      </c>
      <c r="D901" s="0" t="s">
        <v>3011</v>
      </c>
      <c r="E901" s="0" t="s">
        <v>89</v>
      </c>
      <c r="F901" s="0" t="s">
        <v>90</v>
      </c>
      <c r="G901" s="0" t="s">
        <v>16</v>
      </c>
      <c r="H901" s="0" t="n">
        <v>63</v>
      </c>
      <c r="I901" s="0" t="s">
        <v>3018</v>
      </c>
      <c r="J901" s="0" t="s">
        <v>3019</v>
      </c>
      <c r="K901" s="0" t="s">
        <v>3020</v>
      </c>
      <c r="L901" s="0" t="str">
        <f aca="false">HYPERLINK("https://www.ncbi.nlm.nih.gov/nuccore/CP000304.1?report=graph&amp;tracks=[key:gene_model_track,Options:GeneOnly]&amp;mk=267818:267837|offset_13|444444,267790:267809|offset_41|444444,267768:267787|offset_63|00cc00,267748:267767|offset_83|444444&amp;v=267617:267967&amp;c=444444", "offset 63")</f>
        <v>offset 63</v>
      </c>
    </row>
    <row r="902" customFormat="false" ht="12.8" hidden="false" customHeight="false" outlineLevel="0" collapsed="false">
      <c r="A902" s="0" t="s">
        <v>12</v>
      </c>
      <c r="B902" s="0" t="n">
        <v>267747</v>
      </c>
      <c r="C902" s="0" t="n">
        <v>267767</v>
      </c>
      <c r="D902" s="0" t="s">
        <v>3011</v>
      </c>
      <c r="E902" s="0" t="s">
        <v>89</v>
      </c>
      <c r="F902" s="0" t="s">
        <v>90</v>
      </c>
      <c r="G902" s="0" t="s">
        <v>26</v>
      </c>
      <c r="H902" s="0" t="n">
        <v>83</v>
      </c>
      <c r="I902" s="0" t="s">
        <v>3021</v>
      </c>
      <c r="J902" s="0" t="s">
        <v>3022</v>
      </c>
      <c r="K902" s="0" t="s">
        <v>3023</v>
      </c>
      <c r="L902" s="0" t="str">
        <f aca="false">HYPERLINK("https://www.ncbi.nlm.nih.gov/nuccore/CP000304.1?report=graph&amp;tracks=[key:gene_model_track,Options:GeneOnly]&amp;mk=267818:267837|offset_13|444444,267790:267809|offset_41|444444,267768:267787|offset_63|444444,267748:267767|offset_83|00cc00&amp;v=267617:267967&amp;c=444444", "offset 83")</f>
        <v>offset 83</v>
      </c>
    </row>
    <row r="903" customFormat="false" ht="12.8" hidden="false" customHeight="false" outlineLevel="0" collapsed="false">
      <c r="A903" s="0" t="s">
        <v>12</v>
      </c>
      <c r="B903" s="0" t="n">
        <v>268247</v>
      </c>
      <c r="C903" s="0" t="n">
        <v>268267</v>
      </c>
      <c r="D903" s="0" t="s">
        <v>3024</v>
      </c>
      <c r="E903" s="0" t="s">
        <v>89</v>
      </c>
      <c r="F903" s="0" t="s">
        <v>90</v>
      </c>
      <c r="G903" s="0" t="s">
        <v>36</v>
      </c>
      <c r="H903" s="0" t="n">
        <v>13</v>
      </c>
      <c r="I903" s="0" t="s">
        <v>3025</v>
      </c>
      <c r="J903" s="0" t="s">
        <v>3026</v>
      </c>
      <c r="K903" s="0" t="s">
        <v>3027</v>
      </c>
      <c r="L903" s="0" t="str">
        <f aca="false">HYPERLINK("https://www.ncbi.nlm.nih.gov/nuccore/CP000304.1?report=graph&amp;tracks=[key:gene_model_track,Options:GeneOnly]&amp;mk=268248:268267|offset_13|00cc00,268214:268233|offset_47|444444,268188:268207|offset_73|444444,268155:268174|offset_106|444444&amp;v=268047:268374&amp;c=444444", "offset 13")</f>
        <v>offset 13</v>
      </c>
    </row>
    <row r="904" customFormat="false" ht="12.8" hidden="false" customHeight="false" outlineLevel="0" collapsed="false">
      <c r="A904" s="0" t="s">
        <v>12</v>
      </c>
      <c r="B904" s="0" t="n">
        <v>268213</v>
      </c>
      <c r="C904" s="0" t="n">
        <v>268233</v>
      </c>
      <c r="D904" s="0" t="s">
        <v>3024</v>
      </c>
      <c r="E904" s="0" t="s">
        <v>89</v>
      </c>
      <c r="F904" s="0" t="s">
        <v>90</v>
      </c>
      <c r="G904" s="0" t="s">
        <v>16</v>
      </c>
      <c r="H904" s="0" t="n">
        <v>47</v>
      </c>
      <c r="I904" s="0" t="s">
        <v>3028</v>
      </c>
      <c r="J904" s="0" t="s">
        <v>3029</v>
      </c>
      <c r="K904" s="0" t="s">
        <v>3030</v>
      </c>
      <c r="L904" s="0" t="str">
        <f aca="false">HYPERLINK("https://www.ncbi.nlm.nih.gov/nuccore/CP000304.1?report=graph&amp;tracks=[key:gene_model_track,Options:GeneOnly]&amp;mk=268248:268267|offset_13|444444,268214:268233|offset_47|00cc00,268188:268207|offset_73|444444,268155:268174|offset_106|444444&amp;v=268047:268374&amp;c=444444", "offset 47")</f>
        <v>offset 47</v>
      </c>
    </row>
    <row r="905" customFormat="false" ht="12.8" hidden="false" customHeight="false" outlineLevel="0" collapsed="false">
      <c r="A905" s="0" t="s">
        <v>12</v>
      </c>
      <c r="B905" s="0" t="n">
        <v>268187</v>
      </c>
      <c r="C905" s="0" t="n">
        <v>268207</v>
      </c>
      <c r="D905" s="0" t="s">
        <v>3024</v>
      </c>
      <c r="E905" s="0" t="s">
        <v>89</v>
      </c>
      <c r="F905" s="0" t="s">
        <v>90</v>
      </c>
      <c r="G905" s="0" t="s">
        <v>32</v>
      </c>
      <c r="H905" s="0" t="n">
        <v>73</v>
      </c>
      <c r="I905" s="0" t="s">
        <v>3031</v>
      </c>
      <c r="J905" s="0" t="s">
        <v>3032</v>
      </c>
      <c r="K905" s="0" t="s">
        <v>3033</v>
      </c>
      <c r="L905" s="0" t="str">
        <f aca="false">HYPERLINK("https://www.ncbi.nlm.nih.gov/nuccore/CP000304.1?report=graph&amp;tracks=[key:gene_model_track,Options:GeneOnly]&amp;mk=268248:268267|offset_13|444444,268214:268233|offset_47|444444,268188:268207|offset_73|00cc00,268155:268174|offset_106|444444&amp;v=268047:268374&amp;c=444444", "offset 73")</f>
        <v>offset 73</v>
      </c>
    </row>
    <row r="906" customFormat="false" ht="12.8" hidden="false" customHeight="false" outlineLevel="0" collapsed="false">
      <c r="A906" s="0" t="s">
        <v>12</v>
      </c>
      <c r="B906" s="0" t="n">
        <v>268154</v>
      </c>
      <c r="C906" s="0" t="n">
        <v>268174</v>
      </c>
      <c r="D906" s="0" t="s">
        <v>3024</v>
      </c>
      <c r="E906" s="0" t="s">
        <v>89</v>
      </c>
      <c r="F906" s="0" t="s">
        <v>90</v>
      </c>
      <c r="G906" s="0" t="s">
        <v>16</v>
      </c>
      <c r="H906" s="0" t="n">
        <v>106</v>
      </c>
      <c r="I906" s="0" t="s">
        <v>3034</v>
      </c>
      <c r="J906" s="0" t="s">
        <v>3035</v>
      </c>
      <c r="K906" s="0" t="s">
        <v>3036</v>
      </c>
      <c r="L906" s="0" t="str">
        <f aca="false">HYPERLINK("https://www.ncbi.nlm.nih.gov/nuccore/CP000304.1?report=graph&amp;tracks=[key:gene_model_track,Options:GeneOnly]&amp;mk=268248:268267|offset_13|444444,268214:268233|offset_47|444444,268188:268207|offset_73|444444,268155:268174|offset_106|00cc00&amp;v=268047:268374&amp;c=444444", "offset 106")</f>
        <v>offset 106</v>
      </c>
    </row>
    <row r="907" customFormat="false" ht="12.8" hidden="false" customHeight="false" outlineLevel="0" collapsed="false">
      <c r="A907" s="0" t="s">
        <v>12</v>
      </c>
      <c r="B907" s="0" t="n">
        <v>268722</v>
      </c>
      <c r="C907" s="0" t="n">
        <v>268742</v>
      </c>
      <c r="D907" s="0" t="s">
        <v>3037</v>
      </c>
      <c r="E907" s="0" t="s">
        <v>89</v>
      </c>
      <c r="F907" s="0" t="s">
        <v>90</v>
      </c>
      <c r="G907" s="0" t="s">
        <v>32</v>
      </c>
      <c r="H907" s="0" t="n">
        <v>31</v>
      </c>
      <c r="I907" s="0" t="s">
        <v>3038</v>
      </c>
      <c r="J907" s="0" t="s">
        <v>3039</v>
      </c>
      <c r="K907" s="0" t="s">
        <v>3040</v>
      </c>
      <c r="L907" s="0" t="str">
        <f aca="false">HYPERLINK("https://www.ncbi.nlm.nih.gov/nuccore/CP000304.1?report=graph&amp;tracks=[key:gene_model_track,Options:GeneOnly]&amp;mk=268723:268742|offset_31|00cc00,268702:268721|offset_52|444444,268675:268694|offset_79|444444,268630:268649|offset_124|444444&amp;v=268522:268849&amp;c=444444", "offset 31")</f>
        <v>offset 31</v>
      </c>
    </row>
    <row r="908" customFormat="false" ht="12.8" hidden="false" customHeight="false" outlineLevel="0" collapsed="false">
      <c r="A908" s="0" t="s">
        <v>12</v>
      </c>
      <c r="B908" s="0" t="n">
        <v>268701</v>
      </c>
      <c r="C908" s="0" t="n">
        <v>268721</v>
      </c>
      <c r="D908" s="0" t="s">
        <v>3037</v>
      </c>
      <c r="E908" s="0" t="s">
        <v>89</v>
      </c>
      <c r="F908" s="0" t="s">
        <v>90</v>
      </c>
      <c r="G908" s="0" t="s">
        <v>32</v>
      </c>
      <c r="H908" s="0" t="n">
        <v>52</v>
      </c>
      <c r="I908" s="0" t="s">
        <v>3041</v>
      </c>
      <c r="J908" s="0" t="s">
        <v>3042</v>
      </c>
      <c r="K908" s="0" t="s">
        <v>3043</v>
      </c>
      <c r="L908" s="0" t="str">
        <f aca="false">HYPERLINK("https://www.ncbi.nlm.nih.gov/nuccore/CP000304.1?report=graph&amp;tracks=[key:gene_model_track,Options:GeneOnly]&amp;mk=268723:268742|offset_31|444444,268702:268721|offset_52|00cc00,268675:268694|offset_79|444444,268630:268649|offset_124|444444&amp;v=268522:268849&amp;c=444444", "offset 52")</f>
        <v>offset 52</v>
      </c>
    </row>
    <row r="909" customFormat="false" ht="12.8" hidden="false" customHeight="false" outlineLevel="0" collapsed="false">
      <c r="A909" s="0" t="s">
        <v>12</v>
      </c>
      <c r="B909" s="0" t="n">
        <v>268674</v>
      </c>
      <c r="C909" s="0" t="n">
        <v>268694</v>
      </c>
      <c r="D909" s="0" t="s">
        <v>3037</v>
      </c>
      <c r="E909" s="0" t="s">
        <v>89</v>
      </c>
      <c r="F909" s="0" t="s">
        <v>90</v>
      </c>
      <c r="G909" s="0" t="s">
        <v>26</v>
      </c>
      <c r="H909" s="0" t="n">
        <v>79</v>
      </c>
      <c r="I909" s="0" t="s">
        <v>3044</v>
      </c>
      <c r="J909" s="0" t="s">
        <v>3045</v>
      </c>
      <c r="K909" s="0" t="s">
        <v>3046</v>
      </c>
      <c r="L909" s="0" t="str">
        <f aca="false">HYPERLINK("https://www.ncbi.nlm.nih.gov/nuccore/CP000304.1?report=graph&amp;tracks=[key:gene_model_track,Options:GeneOnly]&amp;mk=268723:268742|offset_31|444444,268702:268721|offset_52|444444,268675:268694|offset_79|00cc00,268630:268649|offset_124|444444&amp;v=268522:268849&amp;c=444444", "offset 79")</f>
        <v>offset 79</v>
      </c>
    </row>
    <row r="910" customFormat="false" ht="12.8" hidden="false" customHeight="false" outlineLevel="0" collapsed="false">
      <c r="A910" s="0" t="s">
        <v>12</v>
      </c>
      <c r="B910" s="0" t="n">
        <v>268629</v>
      </c>
      <c r="C910" s="0" t="n">
        <v>268649</v>
      </c>
      <c r="D910" s="0" t="s">
        <v>3037</v>
      </c>
      <c r="E910" s="0" t="s">
        <v>89</v>
      </c>
      <c r="F910" s="0" t="s">
        <v>90</v>
      </c>
      <c r="G910" s="0" t="s">
        <v>26</v>
      </c>
      <c r="H910" s="0" t="n">
        <v>124</v>
      </c>
      <c r="I910" s="0" t="s">
        <v>3047</v>
      </c>
      <c r="J910" s="0" t="s">
        <v>3048</v>
      </c>
      <c r="K910" s="0" t="s">
        <v>3049</v>
      </c>
      <c r="L910" s="0" t="str">
        <f aca="false">HYPERLINK("https://www.ncbi.nlm.nih.gov/nuccore/CP000304.1?report=graph&amp;tracks=[key:gene_model_track,Options:GeneOnly]&amp;mk=268723:268742|offset_31|444444,268702:268721|offset_52|444444,268675:268694|offset_79|444444,268630:268649|offset_124|00cc00&amp;v=268522:268849&amp;c=444444", "offset 124")</f>
        <v>offset 124</v>
      </c>
    </row>
    <row r="911" customFormat="false" ht="12.8" hidden="false" customHeight="false" outlineLevel="0" collapsed="false">
      <c r="A911" s="0" t="s">
        <v>12</v>
      </c>
      <c r="B911" s="0" t="n">
        <v>268964</v>
      </c>
      <c r="C911" s="0" t="n">
        <v>268984</v>
      </c>
      <c r="D911" s="0" t="s">
        <v>3050</v>
      </c>
      <c r="E911" s="0" t="s">
        <v>89</v>
      </c>
      <c r="F911" s="0" t="s">
        <v>90</v>
      </c>
      <c r="G911" s="0" t="s">
        <v>32</v>
      </c>
      <c r="H911" s="0" t="n">
        <v>37</v>
      </c>
      <c r="I911" s="0" t="s">
        <v>3051</v>
      </c>
      <c r="J911" s="0" t="s">
        <v>3052</v>
      </c>
      <c r="K911" s="0" t="s">
        <v>3053</v>
      </c>
      <c r="L911" s="0" t="str">
        <f aca="false">HYPERLINK("https://www.ncbi.nlm.nih.gov/nuccore/CP000304.1?report=graph&amp;tracks=[key:gene_model_track,Options:GeneOnly]&amp;mk=268965:268984|offset_37|00cc00,268934:268953|offset_68|444444,268846:268865|offset_156|444444,268801:268820|offset_201|444444&amp;v=268764:269020&amp;c=444444", "offset 37")</f>
        <v>offset 37</v>
      </c>
    </row>
    <row r="912" customFormat="false" ht="12.8" hidden="false" customHeight="false" outlineLevel="0" collapsed="false">
      <c r="A912" s="0" t="s">
        <v>12</v>
      </c>
      <c r="B912" s="0" t="n">
        <v>268933</v>
      </c>
      <c r="C912" s="0" t="n">
        <v>268953</v>
      </c>
      <c r="D912" s="0" t="s">
        <v>3050</v>
      </c>
      <c r="E912" s="0" t="s">
        <v>89</v>
      </c>
      <c r="F912" s="0" t="s">
        <v>90</v>
      </c>
      <c r="G912" s="0" t="s">
        <v>32</v>
      </c>
      <c r="H912" s="0" t="n">
        <v>68</v>
      </c>
      <c r="I912" s="0" t="s">
        <v>3054</v>
      </c>
      <c r="J912" s="0" t="s">
        <v>3055</v>
      </c>
      <c r="K912" s="0" t="s">
        <v>3056</v>
      </c>
      <c r="L912" s="0" t="str">
        <f aca="false">HYPERLINK("https://www.ncbi.nlm.nih.gov/nuccore/CP000304.1?report=graph&amp;tracks=[key:gene_model_track,Options:GeneOnly]&amp;mk=268965:268984|offset_37|444444,268934:268953|offset_68|00cc00,268846:268865|offset_156|444444,268801:268820|offset_201|444444&amp;v=268764:269020&amp;c=444444", "offset 68")</f>
        <v>offset 68</v>
      </c>
    </row>
    <row r="913" customFormat="false" ht="12.8" hidden="false" customHeight="false" outlineLevel="0" collapsed="false">
      <c r="A913" s="0" t="s">
        <v>12</v>
      </c>
      <c r="B913" s="0" t="n">
        <v>268845</v>
      </c>
      <c r="C913" s="0" t="n">
        <v>268865</v>
      </c>
      <c r="D913" s="0" t="s">
        <v>3050</v>
      </c>
      <c r="E913" s="0" t="s">
        <v>89</v>
      </c>
      <c r="F913" s="0" t="s">
        <v>90</v>
      </c>
      <c r="G913" s="0" t="s">
        <v>16</v>
      </c>
      <c r="H913" s="0" t="n">
        <v>156</v>
      </c>
      <c r="I913" s="0" t="s">
        <v>3057</v>
      </c>
      <c r="J913" s="0" t="s">
        <v>3058</v>
      </c>
      <c r="K913" s="0" t="s">
        <v>3059</v>
      </c>
      <c r="L913" s="0" t="str">
        <f aca="false">HYPERLINK("https://www.ncbi.nlm.nih.gov/nuccore/CP000304.1?report=graph&amp;tracks=[key:gene_model_track,Options:GeneOnly]&amp;mk=268965:268984|offset_37|444444,268934:268953|offset_68|444444,268846:268865|offset_156|00cc00,268801:268820|offset_201|444444&amp;v=268764:269020&amp;c=444444", "offset 156")</f>
        <v>offset 156</v>
      </c>
    </row>
    <row r="914" customFormat="false" ht="12.8" hidden="false" customHeight="false" outlineLevel="0" collapsed="false">
      <c r="A914" s="0" t="s">
        <v>12</v>
      </c>
      <c r="B914" s="0" t="n">
        <v>268800</v>
      </c>
      <c r="C914" s="0" t="n">
        <v>268820</v>
      </c>
      <c r="D914" s="0" t="s">
        <v>3050</v>
      </c>
      <c r="E914" s="0" t="s">
        <v>89</v>
      </c>
      <c r="F914" s="0" t="s">
        <v>90</v>
      </c>
      <c r="G914" s="0" t="s">
        <v>36</v>
      </c>
      <c r="H914" s="0" t="n">
        <v>201</v>
      </c>
      <c r="I914" s="0" t="s">
        <v>3060</v>
      </c>
      <c r="J914" s="0" t="s">
        <v>3061</v>
      </c>
      <c r="K914" s="0" t="s">
        <v>3062</v>
      </c>
      <c r="L914" s="0" t="str">
        <f aca="false">HYPERLINK("https://www.ncbi.nlm.nih.gov/nuccore/CP000304.1?report=graph&amp;tracks=[key:gene_model_track,Options:GeneOnly]&amp;mk=268965:268984|offset_37|444444,268934:268953|offset_68|444444,268846:268865|offset_156|444444,268801:268820|offset_201|00cc00&amp;v=268764:269020&amp;c=444444", "offset 201")</f>
        <v>offset 201</v>
      </c>
    </row>
    <row r="915" customFormat="false" ht="12.8" hidden="false" customHeight="false" outlineLevel="0" collapsed="false">
      <c r="A915" s="0" t="s">
        <v>12</v>
      </c>
      <c r="B915" s="0" t="n">
        <v>270039</v>
      </c>
      <c r="C915" s="0" t="n">
        <v>270059</v>
      </c>
      <c r="D915" s="0" t="s">
        <v>3063</v>
      </c>
      <c r="E915" s="0" t="s">
        <v>89</v>
      </c>
      <c r="F915" s="0" t="s">
        <v>90</v>
      </c>
      <c r="G915" s="0" t="s">
        <v>36</v>
      </c>
      <c r="H915" s="0" t="n">
        <v>10</v>
      </c>
      <c r="I915" s="0" t="s">
        <v>3064</v>
      </c>
      <c r="J915" s="0" t="s">
        <v>3065</v>
      </c>
      <c r="K915" s="0" t="s">
        <v>3066</v>
      </c>
      <c r="L915" s="0" t="str">
        <f aca="false">HYPERLINK("https://www.ncbi.nlm.nih.gov/nuccore/CP000304.1?report=graph&amp;tracks=[key:gene_model_track,Options:GeneOnly]&amp;mk=270040:270059|offset_10|00cc00,270012:270031|offset_38|444444,269986:270005|offset_64|444444,269964:269983|offset_86|444444&amp;v=269839:270183&amp;c=444444", "offset 10")</f>
        <v>offset 10</v>
      </c>
    </row>
    <row r="916" customFormat="false" ht="12.8" hidden="false" customHeight="false" outlineLevel="0" collapsed="false">
      <c r="A916" s="0" t="s">
        <v>12</v>
      </c>
      <c r="B916" s="0" t="n">
        <v>270011</v>
      </c>
      <c r="C916" s="0" t="n">
        <v>270031</v>
      </c>
      <c r="D916" s="0" t="s">
        <v>3063</v>
      </c>
      <c r="E916" s="0" t="s">
        <v>89</v>
      </c>
      <c r="F916" s="0" t="s">
        <v>90</v>
      </c>
      <c r="G916" s="0" t="s">
        <v>36</v>
      </c>
      <c r="H916" s="0" t="n">
        <v>38</v>
      </c>
      <c r="I916" s="0" t="s">
        <v>3067</v>
      </c>
      <c r="J916" s="0" t="s">
        <v>3068</v>
      </c>
      <c r="K916" s="0" t="s">
        <v>3069</v>
      </c>
      <c r="L916" s="0" t="str">
        <f aca="false">HYPERLINK("https://www.ncbi.nlm.nih.gov/nuccore/CP000304.1?report=graph&amp;tracks=[key:gene_model_track,Options:GeneOnly]&amp;mk=270040:270059|offset_10|444444,270012:270031|offset_38|00cc00,269986:270005|offset_64|444444,269964:269983|offset_86|444444&amp;v=269839:270183&amp;c=444444", "offset 38")</f>
        <v>offset 38</v>
      </c>
    </row>
    <row r="917" customFormat="false" ht="12.8" hidden="false" customHeight="false" outlineLevel="0" collapsed="false">
      <c r="A917" s="0" t="s">
        <v>12</v>
      </c>
      <c r="B917" s="0" t="n">
        <v>269985</v>
      </c>
      <c r="C917" s="0" t="n">
        <v>270005</v>
      </c>
      <c r="D917" s="0" t="s">
        <v>3063</v>
      </c>
      <c r="E917" s="0" t="s">
        <v>89</v>
      </c>
      <c r="F917" s="0" t="s">
        <v>90</v>
      </c>
      <c r="G917" s="0" t="s">
        <v>36</v>
      </c>
      <c r="H917" s="0" t="n">
        <v>64</v>
      </c>
      <c r="I917" s="0" t="s">
        <v>3070</v>
      </c>
      <c r="J917" s="0" t="s">
        <v>3071</v>
      </c>
      <c r="K917" s="0" t="s">
        <v>3072</v>
      </c>
      <c r="L917" s="0" t="str">
        <f aca="false">HYPERLINK("https://www.ncbi.nlm.nih.gov/nuccore/CP000304.1?report=graph&amp;tracks=[key:gene_model_track,Options:GeneOnly]&amp;mk=270040:270059|offset_10|444444,270012:270031|offset_38|444444,269986:270005|offset_64|00cc00,269964:269983|offset_86|444444&amp;v=269839:270183&amp;c=444444", "offset 64")</f>
        <v>offset 64</v>
      </c>
    </row>
    <row r="918" customFormat="false" ht="12.8" hidden="false" customHeight="false" outlineLevel="0" collapsed="false">
      <c r="A918" s="0" t="s">
        <v>12</v>
      </c>
      <c r="B918" s="0" t="n">
        <v>269963</v>
      </c>
      <c r="C918" s="0" t="n">
        <v>269983</v>
      </c>
      <c r="D918" s="0" t="s">
        <v>3063</v>
      </c>
      <c r="E918" s="0" t="s">
        <v>89</v>
      </c>
      <c r="F918" s="0" t="s">
        <v>90</v>
      </c>
      <c r="G918" s="0" t="s">
        <v>32</v>
      </c>
      <c r="H918" s="0" t="n">
        <v>86</v>
      </c>
      <c r="I918" s="0" t="s">
        <v>3073</v>
      </c>
      <c r="J918" s="0" t="s">
        <v>3074</v>
      </c>
      <c r="K918" s="0" t="s">
        <v>3075</v>
      </c>
      <c r="L918" s="0" t="str">
        <f aca="false">HYPERLINK("https://www.ncbi.nlm.nih.gov/nuccore/CP000304.1?report=graph&amp;tracks=[key:gene_model_track,Options:GeneOnly]&amp;mk=270040:270059|offset_10|444444,270012:270031|offset_38|444444,269986:270005|offset_64|444444,269964:269983|offset_86|00cc00&amp;v=269839:270183&amp;c=444444", "offset 86")</f>
        <v>offset 86</v>
      </c>
    </row>
    <row r="919" customFormat="false" ht="12.8" hidden="false" customHeight="false" outlineLevel="0" collapsed="false">
      <c r="A919" s="0" t="s">
        <v>12</v>
      </c>
      <c r="B919" s="0" t="n">
        <v>270657</v>
      </c>
      <c r="C919" s="0" t="n">
        <v>270677</v>
      </c>
      <c r="D919" s="0" t="s">
        <v>3076</v>
      </c>
      <c r="E919" s="0" t="s">
        <v>89</v>
      </c>
      <c r="F919" s="0" t="s">
        <v>90</v>
      </c>
      <c r="G919" s="0" t="s">
        <v>26</v>
      </c>
      <c r="H919" s="0" t="n">
        <v>43</v>
      </c>
      <c r="I919" s="0" t="s">
        <v>3077</v>
      </c>
      <c r="J919" s="0" t="s">
        <v>3078</v>
      </c>
      <c r="K919" s="0" t="s">
        <v>3079</v>
      </c>
      <c r="L919" s="0" t="str">
        <f aca="false">HYPERLINK("https://www.ncbi.nlm.nih.gov/nuccore/CP000304.1?report=graph&amp;tracks=[key:gene_model_track,Options:GeneOnly]&amp;mk=270658:270677|offset_43|00cc00,270628:270647|offset_73|444444,270603:270622|offset_98|444444,270582:270601|offset_119|444444&amp;v=270457:270801&amp;c=444444", "offset 43")</f>
        <v>offset 43</v>
      </c>
    </row>
    <row r="920" customFormat="false" ht="12.8" hidden="false" customHeight="false" outlineLevel="0" collapsed="false">
      <c r="A920" s="0" t="s">
        <v>12</v>
      </c>
      <c r="B920" s="0" t="n">
        <v>270627</v>
      </c>
      <c r="C920" s="0" t="n">
        <v>270647</v>
      </c>
      <c r="D920" s="0" t="s">
        <v>3076</v>
      </c>
      <c r="E920" s="0" t="s">
        <v>89</v>
      </c>
      <c r="F920" s="0" t="s">
        <v>90</v>
      </c>
      <c r="G920" s="0" t="s">
        <v>26</v>
      </c>
      <c r="H920" s="0" t="n">
        <v>73</v>
      </c>
      <c r="I920" s="0" t="s">
        <v>3080</v>
      </c>
      <c r="J920" s="0" t="s">
        <v>3081</v>
      </c>
      <c r="K920" s="0" t="s">
        <v>3082</v>
      </c>
      <c r="L920" s="0" t="str">
        <f aca="false">HYPERLINK("https://www.ncbi.nlm.nih.gov/nuccore/CP000304.1?report=graph&amp;tracks=[key:gene_model_track,Options:GeneOnly]&amp;mk=270658:270677|offset_43|444444,270628:270647|offset_73|00cc00,270603:270622|offset_98|444444,270582:270601|offset_119|444444&amp;v=270457:270801&amp;c=444444", "offset 73")</f>
        <v>offset 73</v>
      </c>
    </row>
    <row r="921" customFormat="false" ht="12.8" hidden="false" customHeight="false" outlineLevel="0" collapsed="false">
      <c r="A921" s="0" t="s">
        <v>12</v>
      </c>
      <c r="B921" s="0" t="n">
        <v>270602</v>
      </c>
      <c r="C921" s="0" t="n">
        <v>270622</v>
      </c>
      <c r="D921" s="0" t="s">
        <v>3076</v>
      </c>
      <c r="E921" s="0" t="s">
        <v>89</v>
      </c>
      <c r="F921" s="0" t="s">
        <v>90</v>
      </c>
      <c r="G921" s="0" t="s">
        <v>16</v>
      </c>
      <c r="H921" s="0" t="n">
        <v>98</v>
      </c>
      <c r="I921" s="0" t="s">
        <v>3083</v>
      </c>
      <c r="J921" s="0" t="s">
        <v>3084</v>
      </c>
      <c r="K921" s="0" t="s">
        <v>3085</v>
      </c>
      <c r="L921" s="0" t="str">
        <f aca="false">HYPERLINK("https://www.ncbi.nlm.nih.gov/nuccore/CP000304.1?report=graph&amp;tracks=[key:gene_model_track,Options:GeneOnly]&amp;mk=270658:270677|offset_43|444444,270628:270647|offset_73|444444,270603:270622|offset_98|00cc00,270582:270601|offset_119|444444&amp;v=270457:270801&amp;c=444444", "offset 98")</f>
        <v>offset 98</v>
      </c>
    </row>
    <row r="922" customFormat="false" ht="12.8" hidden="false" customHeight="false" outlineLevel="0" collapsed="false">
      <c r="A922" s="0" t="s">
        <v>12</v>
      </c>
      <c r="B922" s="0" t="n">
        <v>270581</v>
      </c>
      <c r="C922" s="0" t="n">
        <v>270601</v>
      </c>
      <c r="D922" s="0" t="s">
        <v>3076</v>
      </c>
      <c r="E922" s="0" t="s">
        <v>89</v>
      </c>
      <c r="F922" s="0" t="s">
        <v>90</v>
      </c>
      <c r="G922" s="0" t="s">
        <v>26</v>
      </c>
      <c r="H922" s="0" t="n">
        <v>119</v>
      </c>
      <c r="I922" s="0" t="s">
        <v>3086</v>
      </c>
      <c r="J922" s="0" t="s">
        <v>3087</v>
      </c>
      <c r="K922" s="0" t="s">
        <v>3088</v>
      </c>
      <c r="L922" s="0" t="str">
        <f aca="false">HYPERLINK("https://www.ncbi.nlm.nih.gov/nuccore/CP000304.1?report=graph&amp;tracks=[key:gene_model_track,Options:GeneOnly]&amp;mk=270658:270677|offset_43|444444,270628:270647|offset_73|444444,270603:270622|offset_98|444444,270582:270601|offset_119|00cc00&amp;v=270457:270801&amp;c=444444", "offset 119")</f>
        <v>offset 119</v>
      </c>
    </row>
    <row r="923" customFormat="false" ht="12.8" hidden="false" customHeight="false" outlineLevel="0" collapsed="false">
      <c r="A923" s="0" t="s">
        <v>12</v>
      </c>
      <c r="B923" s="0" t="n">
        <v>271722</v>
      </c>
      <c r="C923" s="0" t="n">
        <v>271742</v>
      </c>
      <c r="D923" s="0" t="s">
        <v>3089</v>
      </c>
      <c r="E923" s="0" t="s">
        <v>89</v>
      </c>
      <c r="F923" s="0" t="s">
        <v>90</v>
      </c>
      <c r="G923" s="0" t="s">
        <v>16</v>
      </c>
      <c r="H923" s="0" t="n">
        <v>0</v>
      </c>
      <c r="I923" s="0" t="s">
        <v>3090</v>
      </c>
      <c r="J923" s="0" t="s">
        <v>3091</v>
      </c>
      <c r="K923" s="0" t="s">
        <v>3092</v>
      </c>
      <c r="L923" s="0" t="str">
        <f aca="false">HYPERLINK("https://www.ncbi.nlm.nih.gov/nuccore/CP000304.1?report=graph&amp;tracks=[key:gene_model_track,Options:GeneOnly]&amp;mk=271723:271742|offset_0|00cc00,271682:271701|offset_41|444444,271659:271678|offset_64|444444,271631:271650|offset_92|444444&amp;v=271522:271850&amp;c=444444", "offset 0")</f>
        <v>offset 0</v>
      </c>
    </row>
    <row r="924" customFormat="false" ht="12.8" hidden="false" customHeight="false" outlineLevel="0" collapsed="false">
      <c r="A924" s="0" t="s">
        <v>12</v>
      </c>
      <c r="B924" s="0" t="n">
        <v>271681</v>
      </c>
      <c r="C924" s="0" t="n">
        <v>271701</v>
      </c>
      <c r="D924" s="0" t="s">
        <v>3089</v>
      </c>
      <c r="E924" s="0" t="s">
        <v>89</v>
      </c>
      <c r="F924" s="0" t="s">
        <v>90</v>
      </c>
      <c r="G924" s="0" t="s">
        <v>26</v>
      </c>
      <c r="H924" s="0" t="n">
        <v>41</v>
      </c>
      <c r="I924" s="0" t="s">
        <v>3093</v>
      </c>
      <c r="J924" s="0" t="s">
        <v>3094</v>
      </c>
      <c r="K924" s="0" t="s">
        <v>3095</v>
      </c>
      <c r="L924" s="0" t="str">
        <f aca="false">HYPERLINK("https://www.ncbi.nlm.nih.gov/nuccore/CP000304.1?report=graph&amp;tracks=[key:gene_model_track,Options:GeneOnly]&amp;mk=271723:271742|offset_0|444444,271682:271701|offset_41|00cc00,271659:271678|offset_64|444444,271631:271650|offset_92|444444&amp;v=271522:271850&amp;c=444444", "offset 41")</f>
        <v>offset 41</v>
      </c>
    </row>
    <row r="925" customFormat="false" ht="12.8" hidden="false" customHeight="false" outlineLevel="0" collapsed="false">
      <c r="A925" s="0" t="s">
        <v>12</v>
      </c>
      <c r="B925" s="0" t="n">
        <v>271658</v>
      </c>
      <c r="C925" s="0" t="n">
        <v>271678</v>
      </c>
      <c r="D925" s="0" t="s">
        <v>3089</v>
      </c>
      <c r="E925" s="0" t="s">
        <v>89</v>
      </c>
      <c r="F925" s="0" t="s">
        <v>90</v>
      </c>
      <c r="G925" s="0" t="s">
        <v>36</v>
      </c>
      <c r="H925" s="0" t="n">
        <v>64</v>
      </c>
      <c r="I925" s="0" t="s">
        <v>3096</v>
      </c>
      <c r="J925" s="0" t="s">
        <v>3097</v>
      </c>
      <c r="K925" s="0" t="s">
        <v>3098</v>
      </c>
      <c r="L925" s="0" t="str">
        <f aca="false">HYPERLINK("https://www.ncbi.nlm.nih.gov/nuccore/CP000304.1?report=graph&amp;tracks=[key:gene_model_track,Options:GeneOnly]&amp;mk=271723:271742|offset_0|444444,271682:271701|offset_41|444444,271659:271678|offset_64|00cc00,271631:271650|offset_92|444444&amp;v=271522:271850&amp;c=444444", "offset 64")</f>
        <v>offset 64</v>
      </c>
    </row>
    <row r="926" customFormat="false" ht="12.8" hidden="false" customHeight="false" outlineLevel="0" collapsed="false">
      <c r="A926" s="0" t="s">
        <v>12</v>
      </c>
      <c r="B926" s="0" t="n">
        <v>271630</v>
      </c>
      <c r="C926" s="0" t="n">
        <v>271650</v>
      </c>
      <c r="D926" s="0" t="s">
        <v>3089</v>
      </c>
      <c r="E926" s="0" t="s">
        <v>89</v>
      </c>
      <c r="F926" s="0" t="s">
        <v>90</v>
      </c>
      <c r="G926" s="0" t="s">
        <v>32</v>
      </c>
      <c r="H926" s="0" t="n">
        <v>92</v>
      </c>
      <c r="I926" s="0" t="s">
        <v>3099</v>
      </c>
      <c r="J926" s="0" t="s">
        <v>3100</v>
      </c>
      <c r="K926" s="0" t="s">
        <v>3101</v>
      </c>
      <c r="L926" s="0" t="str">
        <f aca="false">HYPERLINK("https://www.ncbi.nlm.nih.gov/nuccore/CP000304.1?report=graph&amp;tracks=[key:gene_model_track,Options:GeneOnly]&amp;mk=271723:271742|offset_0|444444,271682:271701|offset_41|444444,271659:271678|offset_64|444444,271631:271650|offset_92|00cc00&amp;v=271522:271850&amp;c=444444", "offset 92")</f>
        <v>offset 92</v>
      </c>
    </row>
    <row r="927" customFormat="false" ht="12.8" hidden="false" customHeight="false" outlineLevel="0" collapsed="false">
      <c r="A927" s="0" t="s">
        <v>12</v>
      </c>
      <c r="B927" s="0" t="n">
        <v>272248</v>
      </c>
      <c r="C927" s="0" t="n">
        <v>272268</v>
      </c>
      <c r="D927" s="0" t="s">
        <v>3102</v>
      </c>
      <c r="E927" s="0" t="s">
        <v>89</v>
      </c>
      <c r="F927" s="0" t="s">
        <v>90</v>
      </c>
      <c r="G927" s="0" t="s">
        <v>16</v>
      </c>
      <c r="H927" s="0" t="n">
        <v>40</v>
      </c>
      <c r="I927" s="0" t="s">
        <v>3103</v>
      </c>
      <c r="J927" s="0" t="s">
        <v>3104</v>
      </c>
      <c r="K927" s="0" t="s">
        <v>3105</v>
      </c>
      <c r="L927" s="0" t="str">
        <f aca="false">HYPERLINK("https://www.ncbi.nlm.nih.gov/nuccore/CP000304.1?report=graph&amp;tracks=[key:gene_model_track,Options:GeneOnly]&amp;mk=272249:272268|offset_40|00cc00,272206:272225|offset_83|444444,272164:272183|offset_125|444444,272142:272161|offset_147|444444&amp;v=272048:272361&amp;c=444444", "offset 40")</f>
        <v>offset 40</v>
      </c>
    </row>
    <row r="928" customFormat="false" ht="12.8" hidden="false" customHeight="false" outlineLevel="0" collapsed="false">
      <c r="A928" s="0" t="s">
        <v>12</v>
      </c>
      <c r="B928" s="0" t="n">
        <v>272205</v>
      </c>
      <c r="C928" s="0" t="n">
        <v>272225</v>
      </c>
      <c r="D928" s="0" t="s">
        <v>3102</v>
      </c>
      <c r="E928" s="0" t="s">
        <v>89</v>
      </c>
      <c r="F928" s="0" t="s">
        <v>90</v>
      </c>
      <c r="G928" s="0" t="s">
        <v>32</v>
      </c>
      <c r="H928" s="0" t="n">
        <v>83</v>
      </c>
      <c r="I928" s="0" t="s">
        <v>3106</v>
      </c>
      <c r="J928" s="0" t="s">
        <v>3107</v>
      </c>
      <c r="K928" s="0" t="s">
        <v>3108</v>
      </c>
      <c r="L928" s="0" t="str">
        <f aca="false">HYPERLINK("https://www.ncbi.nlm.nih.gov/nuccore/CP000304.1?report=graph&amp;tracks=[key:gene_model_track,Options:GeneOnly]&amp;mk=272249:272268|offset_40|444444,272206:272225|offset_83|00cc00,272164:272183|offset_125|444444,272142:272161|offset_147|444444&amp;v=272048:272361&amp;c=444444", "offset 83")</f>
        <v>offset 83</v>
      </c>
    </row>
    <row r="929" customFormat="false" ht="12.8" hidden="false" customHeight="false" outlineLevel="0" collapsed="false">
      <c r="A929" s="0" t="s">
        <v>12</v>
      </c>
      <c r="B929" s="0" t="n">
        <v>272163</v>
      </c>
      <c r="C929" s="0" t="n">
        <v>272183</v>
      </c>
      <c r="D929" s="0" t="s">
        <v>3102</v>
      </c>
      <c r="E929" s="0" t="s">
        <v>89</v>
      </c>
      <c r="F929" s="0" t="s">
        <v>90</v>
      </c>
      <c r="G929" s="0" t="s">
        <v>32</v>
      </c>
      <c r="H929" s="0" t="n">
        <v>125</v>
      </c>
      <c r="I929" s="0" t="s">
        <v>3109</v>
      </c>
      <c r="J929" s="0" t="s">
        <v>3110</v>
      </c>
      <c r="K929" s="0" t="s">
        <v>3111</v>
      </c>
      <c r="L929" s="0" t="str">
        <f aca="false">HYPERLINK("https://www.ncbi.nlm.nih.gov/nuccore/CP000304.1?report=graph&amp;tracks=[key:gene_model_track,Options:GeneOnly]&amp;mk=272249:272268|offset_40|444444,272206:272225|offset_83|444444,272164:272183|offset_125|00cc00,272142:272161|offset_147|444444&amp;v=272048:272361&amp;c=444444", "offset 125")</f>
        <v>offset 125</v>
      </c>
    </row>
    <row r="930" customFormat="false" ht="12.8" hidden="false" customHeight="false" outlineLevel="0" collapsed="false">
      <c r="A930" s="0" t="s">
        <v>12</v>
      </c>
      <c r="B930" s="0" t="n">
        <v>272141</v>
      </c>
      <c r="C930" s="0" t="n">
        <v>272161</v>
      </c>
      <c r="D930" s="0" t="s">
        <v>3102</v>
      </c>
      <c r="E930" s="0" t="s">
        <v>89</v>
      </c>
      <c r="F930" s="0" t="s">
        <v>90</v>
      </c>
      <c r="G930" s="0" t="s">
        <v>16</v>
      </c>
      <c r="H930" s="0" t="n">
        <v>147</v>
      </c>
      <c r="I930" s="0" t="s">
        <v>3112</v>
      </c>
      <c r="J930" s="0" t="s">
        <v>3113</v>
      </c>
      <c r="K930" s="0" t="s">
        <v>3114</v>
      </c>
      <c r="L930" s="0" t="str">
        <f aca="false">HYPERLINK("https://www.ncbi.nlm.nih.gov/nuccore/CP000304.1?report=graph&amp;tracks=[key:gene_model_track,Options:GeneOnly]&amp;mk=272249:272268|offset_40|444444,272206:272225|offset_83|444444,272164:272183|offset_125|444444,272142:272161|offset_147|00cc00&amp;v=272048:272361&amp;c=444444", "offset 147")</f>
        <v>offset 147</v>
      </c>
    </row>
    <row r="931" customFormat="false" ht="12.8" hidden="false" customHeight="false" outlineLevel="0" collapsed="false">
      <c r="A931" s="0" t="s">
        <v>12</v>
      </c>
      <c r="B931" s="0" t="n">
        <v>274062</v>
      </c>
      <c r="C931" s="0" t="n">
        <v>274082</v>
      </c>
      <c r="D931" s="0" t="s">
        <v>3115</v>
      </c>
      <c r="E931" s="0" t="s">
        <v>89</v>
      </c>
      <c r="F931" s="0" t="s">
        <v>90</v>
      </c>
      <c r="G931" s="0" t="s">
        <v>36</v>
      </c>
      <c r="H931" s="0" t="n">
        <v>0</v>
      </c>
      <c r="I931" s="0" t="s">
        <v>3116</v>
      </c>
      <c r="J931" s="0" t="s">
        <v>3117</v>
      </c>
      <c r="K931" s="0" t="s">
        <v>3118</v>
      </c>
      <c r="L931" s="0" t="str">
        <f aca="false">HYPERLINK("https://www.ncbi.nlm.nih.gov/nuccore/CP000304.1?report=graph&amp;tracks=[key:gene_model_track,Options:GeneOnly]&amp;mk=274063:274082|offset_0|00cc00,274042:274061|offset_21|444444,273996:274015|offset_67|444444,273944:273963|offset_119|444444&amp;v=273862:274163&amp;c=444444", "offset 0")</f>
        <v>offset 0</v>
      </c>
    </row>
    <row r="932" customFormat="false" ht="12.8" hidden="false" customHeight="false" outlineLevel="0" collapsed="false">
      <c r="A932" s="0" t="s">
        <v>12</v>
      </c>
      <c r="B932" s="0" t="n">
        <v>274041</v>
      </c>
      <c r="C932" s="0" t="n">
        <v>274061</v>
      </c>
      <c r="D932" s="0" t="s">
        <v>3115</v>
      </c>
      <c r="E932" s="0" t="s">
        <v>89</v>
      </c>
      <c r="F932" s="0" t="s">
        <v>90</v>
      </c>
      <c r="G932" s="0" t="s">
        <v>26</v>
      </c>
      <c r="H932" s="0" t="n">
        <v>21</v>
      </c>
      <c r="I932" s="0" t="s">
        <v>3119</v>
      </c>
      <c r="J932" s="0" t="s">
        <v>3120</v>
      </c>
      <c r="K932" s="0" t="s">
        <v>3121</v>
      </c>
      <c r="L932" s="0" t="str">
        <f aca="false">HYPERLINK("https://www.ncbi.nlm.nih.gov/nuccore/CP000304.1?report=graph&amp;tracks=[key:gene_model_track,Options:GeneOnly]&amp;mk=274063:274082|offset_0|444444,274042:274061|offset_21|00cc00,273996:274015|offset_67|444444,273944:273963|offset_119|444444&amp;v=273862:274163&amp;c=444444", "offset 21")</f>
        <v>offset 21</v>
      </c>
    </row>
    <row r="933" customFormat="false" ht="12.8" hidden="false" customHeight="false" outlineLevel="0" collapsed="false">
      <c r="A933" s="0" t="s">
        <v>12</v>
      </c>
      <c r="B933" s="0" t="n">
        <v>273995</v>
      </c>
      <c r="C933" s="0" t="n">
        <v>274015</v>
      </c>
      <c r="D933" s="0" t="s">
        <v>3115</v>
      </c>
      <c r="E933" s="0" t="s">
        <v>89</v>
      </c>
      <c r="F933" s="0" t="s">
        <v>90</v>
      </c>
      <c r="G933" s="0" t="s">
        <v>26</v>
      </c>
      <c r="H933" s="0" t="n">
        <v>67</v>
      </c>
      <c r="I933" s="0" t="s">
        <v>3122</v>
      </c>
      <c r="J933" s="0" t="s">
        <v>3123</v>
      </c>
      <c r="K933" s="0" t="s">
        <v>3124</v>
      </c>
      <c r="L933" s="0" t="str">
        <f aca="false">HYPERLINK("https://www.ncbi.nlm.nih.gov/nuccore/CP000304.1?report=graph&amp;tracks=[key:gene_model_track,Options:GeneOnly]&amp;mk=274063:274082|offset_0|444444,274042:274061|offset_21|444444,273996:274015|offset_67|00cc00,273944:273963|offset_119|444444&amp;v=273862:274163&amp;c=444444", "offset 67")</f>
        <v>offset 67</v>
      </c>
    </row>
    <row r="934" customFormat="false" ht="12.8" hidden="false" customHeight="false" outlineLevel="0" collapsed="false">
      <c r="A934" s="0" t="s">
        <v>12</v>
      </c>
      <c r="B934" s="0" t="n">
        <v>273943</v>
      </c>
      <c r="C934" s="0" t="n">
        <v>273963</v>
      </c>
      <c r="D934" s="0" t="s">
        <v>3115</v>
      </c>
      <c r="E934" s="0" t="s">
        <v>89</v>
      </c>
      <c r="F934" s="0" t="s">
        <v>90</v>
      </c>
      <c r="G934" s="0" t="s">
        <v>26</v>
      </c>
      <c r="H934" s="0" t="n">
        <v>119</v>
      </c>
      <c r="I934" s="0" t="s">
        <v>3125</v>
      </c>
      <c r="J934" s="0" t="s">
        <v>3126</v>
      </c>
      <c r="K934" s="0" t="s">
        <v>3127</v>
      </c>
      <c r="L934" s="0" t="str">
        <f aca="false">HYPERLINK("https://www.ncbi.nlm.nih.gov/nuccore/CP000304.1?report=graph&amp;tracks=[key:gene_model_track,Options:GeneOnly]&amp;mk=274063:274082|offset_0|444444,274042:274061|offset_21|444444,273996:274015|offset_67|444444,273944:273963|offset_119|00cc00&amp;v=273862:274163&amp;c=444444", "offset 119")</f>
        <v>offset 119</v>
      </c>
    </row>
    <row r="935" customFormat="false" ht="12.8" hidden="false" customHeight="false" outlineLevel="0" collapsed="false">
      <c r="A935" s="0" t="s">
        <v>12</v>
      </c>
      <c r="B935" s="0" t="n">
        <v>274427</v>
      </c>
      <c r="C935" s="0" t="n">
        <v>274447</v>
      </c>
      <c r="D935" s="0" t="s">
        <v>3128</v>
      </c>
      <c r="E935" s="0" t="s">
        <v>89</v>
      </c>
      <c r="F935" s="0" t="s">
        <v>90</v>
      </c>
      <c r="G935" s="0" t="s">
        <v>32</v>
      </c>
      <c r="H935" s="0" t="n">
        <v>10</v>
      </c>
      <c r="I935" s="0" t="s">
        <v>3129</v>
      </c>
      <c r="J935" s="0" t="s">
        <v>3130</v>
      </c>
      <c r="K935" s="0" t="s">
        <v>3131</v>
      </c>
      <c r="L935" s="0" t="str">
        <f aca="false">HYPERLINK("https://www.ncbi.nlm.nih.gov/nuccore/CP000304.1?report=graph&amp;tracks=[key:gene_model_track,Options:GeneOnly]&amp;mk=274428:274447|offset_10|00cc00,274367:274386|offset_71|444444,274347:274366|offset_91|444444,274282:274301|offset_156|444444&amp;v=274227:274501&amp;c=444444", "offset 10")</f>
        <v>offset 10</v>
      </c>
    </row>
    <row r="936" customFormat="false" ht="12.8" hidden="false" customHeight="false" outlineLevel="0" collapsed="false">
      <c r="A936" s="0" t="s">
        <v>12</v>
      </c>
      <c r="B936" s="0" t="n">
        <v>274366</v>
      </c>
      <c r="C936" s="0" t="n">
        <v>274386</v>
      </c>
      <c r="D936" s="0" t="s">
        <v>3128</v>
      </c>
      <c r="E936" s="0" t="s">
        <v>89</v>
      </c>
      <c r="F936" s="0" t="s">
        <v>90</v>
      </c>
      <c r="G936" s="0" t="s">
        <v>32</v>
      </c>
      <c r="H936" s="0" t="n">
        <v>71</v>
      </c>
      <c r="I936" s="0" t="s">
        <v>3132</v>
      </c>
      <c r="J936" s="0" t="s">
        <v>3133</v>
      </c>
      <c r="K936" s="0" t="s">
        <v>3134</v>
      </c>
      <c r="L936" s="0" t="str">
        <f aca="false">HYPERLINK("https://www.ncbi.nlm.nih.gov/nuccore/CP000304.1?report=graph&amp;tracks=[key:gene_model_track,Options:GeneOnly]&amp;mk=274428:274447|offset_10|444444,274367:274386|offset_71|00cc00,274347:274366|offset_91|444444,274282:274301|offset_156|444444&amp;v=274227:274501&amp;c=444444", "offset 71")</f>
        <v>offset 71</v>
      </c>
    </row>
    <row r="937" customFormat="false" ht="12.8" hidden="false" customHeight="false" outlineLevel="0" collapsed="false">
      <c r="A937" s="0" t="s">
        <v>12</v>
      </c>
      <c r="B937" s="0" t="n">
        <v>274346</v>
      </c>
      <c r="C937" s="0" t="n">
        <v>274366</v>
      </c>
      <c r="D937" s="0" t="s">
        <v>3128</v>
      </c>
      <c r="E937" s="0" t="s">
        <v>89</v>
      </c>
      <c r="F937" s="0" t="s">
        <v>90</v>
      </c>
      <c r="G937" s="0" t="s">
        <v>16</v>
      </c>
      <c r="H937" s="0" t="n">
        <v>91</v>
      </c>
      <c r="I937" s="0" t="s">
        <v>3135</v>
      </c>
      <c r="J937" s="0" t="s">
        <v>3136</v>
      </c>
      <c r="K937" s="0" t="s">
        <v>3137</v>
      </c>
      <c r="L937" s="0" t="str">
        <f aca="false">HYPERLINK("https://www.ncbi.nlm.nih.gov/nuccore/CP000304.1?report=graph&amp;tracks=[key:gene_model_track,Options:GeneOnly]&amp;mk=274428:274447|offset_10|444444,274367:274386|offset_71|444444,274347:274366|offset_91|00cc00,274282:274301|offset_156|444444&amp;v=274227:274501&amp;c=444444", "offset 91")</f>
        <v>offset 91</v>
      </c>
    </row>
    <row r="938" customFormat="false" ht="12.8" hidden="false" customHeight="false" outlineLevel="0" collapsed="false">
      <c r="A938" s="0" t="s">
        <v>12</v>
      </c>
      <c r="B938" s="0" t="n">
        <v>274281</v>
      </c>
      <c r="C938" s="0" t="n">
        <v>274301</v>
      </c>
      <c r="D938" s="0" t="s">
        <v>3128</v>
      </c>
      <c r="E938" s="0" t="s">
        <v>89</v>
      </c>
      <c r="F938" s="0" t="s">
        <v>90</v>
      </c>
      <c r="G938" s="0" t="s">
        <v>16</v>
      </c>
      <c r="H938" s="0" t="n">
        <v>156</v>
      </c>
      <c r="I938" s="0" t="s">
        <v>3138</v>
      </c>
      <c r="J938" s="0" t="s">
        <v>3139</v>
      </c>
      <c r="K938" s="0" t="s">
        <v>3140</v>
      </c>
      <c r="L938" s="0" t="str">
        <f aca="false">HYPERLINK("https://www.ncbi.nlm.nih.gov/nuccore/CP000304.1?report=graph&amp;tracks=[key:gene_model_track,Options:GeneOnly]&amp;mk=274428:274447|offset_10|444444,274367:274386|offset_71|444444,274347:274366|offset_91|444444,274282:274301|offset_156|00cc00&amp;v=274227:274501&amp;c=444444", "offset 156")</f>
        <v>offset 156</v>
      </c>
    </row>
    <row r="939" customFormat="false" ht="12.8" hidden="false" customHeight="false" outlineLevel="0" collapsed="false">
      <c r="A939" s="0" t="s">
        <v>12</v>
      </c>
      <c r="B939" s="0" t="n">
        <v>274892</v>
      </c>
      <c r="C939" s="0" t="n">
        <v>274912</v>
      </c>
      <c r="D939" s="0" t="s">
        <v>3141</v>
      </c>
      <c r="E939" s="0" t="s">
        <v>89</v>
      </c>
      <c r="F939" s="0" t="s">
        <v>90</v>
      </c>
      <c r="G939" s="0" t="s">
        <v>16</v>
      </c>
      <c r="H939" s="0" t="n">
        <v>0</v>
      </c>
      <c r="I939" s="0" t="s">
        <v>3142</v>
      </c>
      <c r="J939" s="0" t="s">
        <v>3143</v>
      </c>
      <c r="K939" s="0" t="s">
        <v>3144</v>
      </c>
      <c r="L939" s="0" t="str">
        <f aca="false">HYPERLINK("https://www.ncbi.nlm.nih.gov/nuccore/CP000304.1?report=graph&amp;tracks=[key:gene_model_track,Options:GeneOnly]&amp;mk=274893:274912|offset_0|00cc00,274858:274877|offset_35|444444,274838:274857|offset_55|444444,274817:274836|offset_76|444444&amp;v=274692:275036&amp;c=444444", "offset 0")</f>
        <v>offset 0</v>
      </c>
    </row>
    <row r="940" customFormat="false" ht="12.8" hidden="false" customHeight="false" outlineLevel="0" collapsed="false">
      <c r="A940" s="0" t="s">
        <v>12</v>
      </c>
      <c r="B940" s="0" t="n">
        <v>274857</v>
      </c>
      <c r="C940" s="0" t="n">
        <v>274877</v>
      </c>
      <c r="D940" s="0" t="s">
        <v>3141</v>
      </c>
      <c r="E940" s="0" t="s">
        <v>89</v>
      </c>
      <c r="F940" s="0" t="s">
        <v>90</v>
      </c>
      <c r="G940" s="0" t="s">
        <v>16</v>
      </c>
      <c r="H940" s="0" t="n">
        <v>35</v>
      </c>
      <c r="I940" s="0" t="s">
        <v>3145</v>
      </c>
      <c r="J940" s="0" t="s">
        <v>3146</v>
      </c>
      <c r="K940" s="0" t="s">
        <v>3147</v>
      </c>
      <c r="L940" s="0" t="str">
        <f aca="false">HYPERLINK("https://www.ncbi.nlm.nih.gov/nuccore/CP000304.1?report=graph&amp;tracks=[key:gene_model_track,Options:GeneOnly]&amp;mk=274893:274912|offset_0|444444,274858:274877|offset_35|00cc00,274838:274857|offset_55|444444,274817:274836|offset_76|444444&amp;v=274692:275036&amp;c=444444", "offset 35")</f>
        <v>offset 35</v>
      </c>
    </row>
    <row r="941" customFormat="false" ht="12.8" hidden="false" customHeight="false" outlineLevel="0" collapsed="false">
      <c r="A941" s="0" t="s">
        <v>12</v>
      </c>
      <c r="B941" s="0" t="n">
        <v>274837</v>
      </c>
      <c r="C941" s="0" t="n">
        <v>274857</v>
      </c>
      <c r="D941" s="0" t="s">
        <v>3141</v>
      </c>
      <c r="E941" s="0" t="s">
        <v>89</v>
      </c>
      <c r="F941" s="0" t="s">
        <v>90</v>
      </c>
      <c r="G941" s="0" t="s">
        <v>32</v>
      </c>
      <c r="H941" s="0" t="n">
        <v>55</v>
      </c>
      <c r="I941" s="0" t="s">
        <v>3148</v>
      </c>
      <c r="J941" s="0" t="s">
        <v>3149</v>
      </c>
      <c r="K941" s="0" t="s">
        <v>3150</v>
      </c>
      <c r="L941" s="0" t="str">
        <f aca="false">HYPERLINK("https://www.ncbi.nlm.nih.gov/nuccore/CP000304.1?report=graph&amp;tracks=[key:gene_model_track,Options:GeneOnly]&amp;mk=274893:274912|offset_0|444444,274858:274877|offset_35|444444,274838:274857|offset_55|00cc00,274817:274836|offset_76|444444&amp;v=274692:275036&amp;c=444444", "offset 55")</f>
        <v>offset 55</v>
      </c>
    </row>
    <row r="942" customFormat="false" ht="12.8" hidden="false" customHeight="false" outlineLevel="0" collapsed="false">
      <c r="A942" s="0" t="s">
        <v>12</v>
      </c>
      <c r="B942" s="0" t="n">
        <v>274816</v>
      </c>
      <c r="C942" s="0" t="n">
        <v>274836</v>
      </c>
      <c r="D942" s="0" t="s">
        <v>3141</v>
      </c>
      <c r="E942" s="0" t="s">
        <v>89</v>
      </c>
      <c r="F942" s="0" t="s">
        <v>90</v>
      </c>
      <c r="G942" s="0" t="s">
        <v>16</v>
      </c>
      <c r="H942" s="0" t="n">
        <v>76</v>
      </c>
      <c r="I942" s="0" t="s">
        <v>3151</v>
      </c>
      <c r="J942" s="0" t="s">
        <v>3152</v>
      </c>
      <c r="K942" s="0" t="s">
        <v>3153</v>
      </c>
      <c r="L942" s="0" t="str">
        <f aca="false">HYPERLINK("https://www.ncbi.nlm.nih.gov/nuccore/CP000304.1?report=graph&amp;tracks=[key:gene_model_track,Options:GeneOnly]&amp;mk=274893:274912|offset_0|444444,274858:274877|offset_35|444444,274838:274857|offset_55|444444,274817:274836|offset_76|00cc00&amp;v=274692:275036&amp;c=444444", "offset 76")</f>
        <v>offset 76</v>
      </c>
    </row>
    <row r="943" customFormat="false" ht="12.8" hidden="false" customHeight="false" outlineLevel="0" collapsed="false">
      <c r="A943" s="0" t="s">
        <v>12</v>
      </c>
      <c r="B943" s="0" t="n">
        <v>275385</v>
      </c>
      <c r="C943" s="0" t="n">
        <v>275405</v>
      </c>
      <c r="D943" s="0" t="s">
        <v>3154</v>
      </c>
      <c r="E943" s="0" t="s">
        <v>3155</v>
      </c>
      <c r="F943" s="0" t="s">
        <v>90</v>
      </c>
      <c r="G943" s="0" t="s">
        <v>26</v>
      </c>
      <c r="H943" s="0" t="n">
        <v>11</v>
      </c>
      <c r="I943" s="0" t="s">
        <v>3156</v>
      </c>
      <c r="J943" s="0" t="s">
        <v>3157</v>
      </c>
      <c r="K943" s="0" t="s">
        <v>3158</v>
      </c>
      <c r="L943" s="0" t="str">
        <f aca="false">HYPERLINK("https://www.ncbi.nlm.nih.gov/nuccore/CP000304.1?report=graph&amp;tracks=[key:gene_model_track,Options:GeneOnly]&amp;mk=275386:275405|offset_11|00cc00,275359:275378|offset_38|444444,275339:275358|offset_58|444444,275319:275338|offset_78|444444&amp;v=275185:275538&amp;c=444444", "offset 11")</f>
        <v>offset 11</v>
      </c>
    </row>
    <row r="944" customFormat="false" ht="12.8" hidden="false" customHeight="false" outlineLevel="0" collapsed="false">
      <c r="A944" s="0" t="s">
        <v>12</v>
      </c>
      <c r="B944" s="0" t="n">
        <v>275358</v>
      </c>
      <c r="C944" s="0" t="n">
        <v>275378</v>
      </c>
      <c r="D944" s="0" t="s">
        <v>3154</v>
      </c>
      <c r="E944" s="0" t="s">
        <v>3155</v>
      </c>
      <c r="F944" s="0" t="s">
        <v>90</v>
      </c>
      <c r="G944" s="0" t="s">
        <v>16</v>
      </c>
      <c r="H944" s="0" t="n">
        <v>38</v>
      </c>
      <c r="I944" s="0" t="s">
        <v>3159</v>
      </c>
      <c r="J944" s="0" t="s">
        <v>3160</v>
      </c>
      <c r="K944" s="0" t="s">
        <v>3161</v>
      </c>
      <c r="L944" s="0" t="str">
        <f aca="false">HYPERLINK("https://www.ncbi.nlm.nih.gov/nuccore/CP000304.1?report=graph&amp;tracks=[key:gene_model_track,Options:GeneOnly]&amp;mk=275386:275405|offset_11|444444,275359:275378|offset_38|00cc00,275339:275358|offset_58|444444,275319:275338|offset_78|444444&amp;v=275185:275538&amp;c=444444", "offset 38")</f>
        <v>offset 38</v>
      </c>
    </row>
    <row r="945" customFormat="false" ht="12.8" hidden="false" customHeight="false" outlineLevel="0" collapsed="false">
      <c r="A945" s="0" t="s">
        <v>12</v>
      </c>
      <c r="B945" s="0" t="n">
        <v>275338</v>
      </c>
      <c r="C945" s="0" t="n">
        <v>275358</v>
      </c>
      <c r="D945" s="0" t="s">
        <v>3154</v>
      </c>
      <c r="E945" s="0" t="s">
        <v>3155</v>
      </c>
      <c r="F945" s="0" t="s">
        <v>90</v>
      </c>
      <c r="G945" s="0" t="s">
        <v>32</v>
      </c>
      <c r="H945" s="0" t="n">
        <v>58</v>
      </c>
      <c r="I945" s="0" t="s">
        <v>3162</v>
      </c>
      <c r="J945" s="0" t="s">
        <v>3163</v>
      </c>
      <c r="K945" s="0" t="s">
        <v>3164</v>
      </c>
      <c r="L945" s="0" t="str">
        <f aca="false">HYPERLINK("https://www.ncbi.nlm.nih.gov/nuccore/CP000304.1?report=graph&amp;tracks=[key:gene_model_track,Options:GeneOnly]&amp;mk=275386:275405|offset_11|444444,275359:275378|offset_38|444444,275339:275358|offset_58|00cc00,275319:275338|offset_78|444444&amp;v=275185:275538&amp;c=444444", "offset 58")</f>
        <v>offset 58</v>
      </c>
    </row>
    <row r="946" customFormat="false" ht="12.8" hidden="false" customHeight="false" outlineLevel="0" collapsed="false">
      <c r="A946" s="0" t="s">
        <v>12</v>
      </c>
      <c r="B946" s="0" t="n">
        <v>275318</v>
      </c>
      <c r="C946" s="0" t="n">
        <v>275338</v>
      </c>
      <c r="D946" s="0" t="s">
        <v>3154</v>
      </c>
      <c r="E946" s="0" t="s">
        <v>3155</v>
      </c>
      <c r="F946" s="0" t="s">
        <v>90</v>
      </c>
      <c r="G946" s="0" t="s">
        <v>16</v>
      </c>
      <c r="H946" s="0" t="n">
        <v>78</v>
      </c>
      <c r="I946" s="0" t="s">
        <v>3165</v>
      </c>
      <c r="J946" s="0" t="s">
        <v>3166</v>
      </c>
      <c r="K946" s="0" t="s">
        <v>3167</v>
      </c>
      <c r="L946" s="0" t="str">
        <f aca="false">HYPERLINK("https://www.ncbi.nlm.nih.gov/nuccore/CP000304.1?report=graph&amp;tracks=[key:gene_model_track,Options:GeneOnly]&amp;mk=275386:275405|offset_11|444444,275359:275378|offset_38|444444,275339:275358|offset_58|444444,275319:275338|offset_78|00cc00&amp;v=275185:275538&amp;c=444444", "offset 78")</f>
        <v>offset 78</v>
      </c>
    </row>
    <row r="947" customFormat="false" ht="12.8" hidden="false" customHeight="false" outlineLevel="0" collapsed="false">
      <c r="A947" s="0" t="s">
        <v>12</v>
      </c>
      <c r="B947" s="0" t="n">
        <v>275769</v>
      </c>
      <c r="C947" s="0" t="n">
        <v>275789</v>
      </c>
      <c r="D947" s="0" t="s">
        <v>3168</v>
      </c>
      <c r="E947" s="0" t="s">
        <v>89</v>
      </c>
      <c r="F947" s="0" t="s">
        <v>90</v>
      </c>
      <c r="G947" s="0" t="s">
        <v>32</v>
      </c>
      <c r="H947" s="0" t="n">
        <v>61</v>
      </c>
      <c r="I947" s="0" t="s">
        <v>3169</v>
      </c>
      <c r="J947" s="0" t="s">
        <v>3170</v>
      </c>
      <c r="K947" s="0" t="s">
        <v>3171</v>
      </c>
      <c r="L947" s="0" t="str">
        <f aca="false">HYPERLINK("https://www.ncbi.nlm.nih.gov/nuccore/CP000304.1?report=graph&amp;tracks=[key:gene_model_track,Options:GeneOnly]&amp;mk=275770:275789|offset_61|00cc00,275749:275768|offset_82|444444,275725:275744|offset_106|444444,275703:275722|offset_128|444444&amp;v=275569:275922&amp;c=444444", "offset 61")</f>
        <v>offset 61</v>
      </c>
    </row>
    <row r="948" customFormat="false" ht="12.8" hidden="false" customHeight="false" outlineLevel="0" collapsed="false">
      <c r="A948" s="0" t="s">
        <v>12</v>
      </c>
      <c r="B948" s="0" t="n">
        <v>275748</v>
      </c>
      <c r="C948" s="0" t="n">
        <v>275768</v>
      </c>
      <c r="D948" s="0" t="s">
        <v>3168</v>
      </c>
      <c r="E948" s="0" t="s">
        <v>89</v>
      </c>
      <c r="F948" s="0" t="s">
        <v>90</v>
      </c>
      <c r="G948" s="0" t="s">
        <v>32</v>
      </c>
      <c r="H948" s="0" t="n">
        <v>82</v>
      </c>
      <c r="I948" s="0" t="s">
        <v>3172</v>
      </c>
      <c r="J948" s="0" t="s">
        <v>3173</v>
      </c>
      <c r="K948" s="0" t="s">
        <v>3174</v>
      </c>
      <c r="L948" s="0" t="str">
        <f aca="false">HYPERLINK("https://www.ncbi.nlm.nih.gov/nuccore/CP000304.1?report=graph&amp;tracks=[key:gene_model_track,Options:GeneOnly]&amp;mk=275770:275789|offset_61|444444,275749:275768|offset_82|00cc00,275725:275744|offset_106|444444,275703:275722|offset_128|444444&amp;v=275569:275922&amp;c=444444", "offset 82")</f>
        <v>offset 82</v>
      </c>
    </row>
    <row r="949" customFormat="false" ht="12.8" hidden="false" customHeight="false" outlineLevel="0" collapsed="false">
      <c r="A949" s="0" t="s">
        <v>12</v>
      </c>
      <c r="B949" s="0" t="n">
        <v>275724</v>
      </c>
      <c r="C949" s="0" t="n">
        <v>275744</v>
      </c>
      <c r="D949" s="0" t="s">
        <v>3168</v>
      </c>
      <c r="E949" s="0" t="s">
        <v>89</v>
      </c>
      <c r="F949" s="0" t="s">
        <v>90</v>
      </c>
      <c r="G949" s="0" t="s">
        <v>16</v>
      </c>
      <c r="H949" s="0" t="n">
        <v>106</v>
      </c>
      <c r="I949" s="0" t="s">
        <v>3175</v>
      </c>
      <c r="J949" s="0" t="s">
        <v>3176</v>
      </c>
      <c r="K949" s="0" t="s">
        <v>3177</v>
      </c>
      <c r="L949" s="0" t="str">
        <f aca="false">HYPERLINK("https://www.ncbi.nlm.nih.gov/nuccore/CP000304.1?report=graph&amp;tracks=[key:gene_model_track,Options:GeneOnly]&amp;mk=275770:275789|offset_61|444444,275749:275768|offset_82|444444,275725:275744|offset_106|00cc00,275703:275722|offset_128|444444&amp;v=275569:275922&amp;c=444444", "offset 106")</f>
        <v>offset 106</v>
      </c>
    </row>
    <row r="950" customFormat="false" ht="12.8" hidden="false" customHeight="false" outlineLevel="0" collapsed="false">
      <c r="A950" s="0" t="s">
        <v>12</v>
      </c>
      <c r="B950" s="0" t="n">
        <v>275702</v>
      </c>
      <c r="C950" s="0" t="n">
        <v>275722</v>
      </c>
      <c r="D950" s="0" t="s">
        <v>3168</v>
      </c>
      <c r="E950" s="0" t="s">
        <v>89</v>
      </c>
      <c r="F950" s="0" t="s">
        <v>90</v>
      </c>
      <c r="G950" s="0" t="s">
        <v>16</v>
      </c>
      <c r="H950" s="0" t="n">
        <v>128</v>
      </c>
      <c r="I950" s="0" t="s">
        <v>3178</v>
      </c>
      <c r="J950" s="0" t="s">
        <v>3179</v>
      </c>
      <c r="K950" s="0" t="s">
        <v>3180</v>
      </c>
      <c r="L950" s="0" t="str">
        <f aca="false">HYPERLINK("https://www.ncbi.nlm.nih.gov/nuccore/CP000304.1?report=graph&amp;tracks=[key:gene_model_track,Options:GeneOnly]&amp;mk=275770:275789|offset_61|444444,275749:275768|offset_82|444444,275725:275744|offset_106|444444,275703:275722|offset_128|00cc00&amp;v=275569:275922&amp;c=444444", "offset 128")</f>
        <v>offset 128</v>
      </c>
    </row>
    <row r="951" customFormat="false" ht="12.8" hidden="false" customHeight="false" outlineLevel="0" collapsed="false">
      <c r="A951" s="0" t="s">
        <v>12</v>
      </c>
      <c r="B951" s="0" t="n">
        <v>276150</v>
      </c>
      <c r="C951" s="0" t="n">
        <v>276170</v>
      </c>
      <c r="D951" s="0" t="s">
        <v>3181</v>
      </c>
      <c r="E951" s="0" t="s">
        <v>89</v>
      </c>
      <c r="F951" s="0" t="s">
        <v>15</v>
      </c>
      <c r="G951" s="0" t="s">
        <v>16</v>
      </c>
      <c r="H951" s="0" t="n">
        <v>76</v>
      </c>
      <c r="I951" s="0" t="s">
        <v>3182</v>
      </c>
      <c r="J951" s="0" t="s">
        <v>3183</v>
      </c>
      <c r="K951" s="0" t="s">
        <v>3184</v>
      </c>
      <c r="L951" s="0" t="str">
        <f aca="false">HYPERLINK("https://www.ncbi.nlm.nih.gov/nuccore/CP000304.1?report=graph&amp;tracks=[key:gene_model_track,Options:GeneOnly]&amp;mk=276151:276170|offset_76|00cc00,276190:276209|offset_115|444444,276237:276256|offset_162|444444,276269:276288|offset_194|444444&amp;v=275950:276488&amp;c=444444", "offset 76")</f>
        <v>offset 76</v>
      </c>
    </row>
    <row r="952" customFormat="false" ht="12.8" hidden="false" customHeight="false" outlineLevel="0" collapsed="false">
      <c r="A952" s="0" t="s">
        <v>12</v>
      </c>
      <c r="B952" s="0" t="n">
        <v>276189</v>
      </c>
      <c r="C952" s="0" t="n">
        <v>276209</v>
      </c>
      <c r="D952" s="0" t="s">
        <v>3181</v>
      </c>
      <c r="E952" s="0" t="s">
        <v>89</v>
      </c>
      <c r="F952" s="0" t="s">
        <v>15</v>
      </c>
      <c r="G952" s="0" t="s">
        <v>32</v>
      </c>
      <c r="H952" s="0" t="n">
        <v>115</v>
      </c>
      <c r="I952" s="0" t="s">
        <v>3185</v>
      </c>
      <c r="J952" s="0" t="s">
        <v>3186</v>
      </c>
      <c r="K952" s="0" t="s">
        <v>3187</v>
      </c>
      <c r="L952" s="0" t="str">
        <f aca="false">HYPERLINK("https://www.ncbi.nlm.nih.gov/nuccore/CP000304.1?report=graph&amp;tracks=[key:gene_model_track,Options:GeneOnly]&amp;mk=276151:276170|offset_76|444444,276190:276209|offset_115|00cc00,276237:276256|offset_162|444444,276269:276288|offset_194|444444&amp;v=275950:276488&amp;c=444444", "offset 115")</f>
        <v>offset 115</v>
      </c>
    </row>
    <row r="953" customFormat="false" ht="12.8" hidden="false" customHeight="false" outlineLevel="0" collapsed="false">
      <c r="A953" s="0" t="s">
        <v>12</v>
      </c>
      <c r="B953" s="0" t="n">
        <v>276236</v>
      </c>
      <c r="C953" s="0" t="n">
        <v>276256</v>
      </c>
      <c r="D953" s="0" t="s">
        <v>3181</v>
      </c>
      <c r="E953" s="0" t="s">
        <v>89</v>
      </c>
      <c r="F953" s="0" t="s">
        <v>15</v>
      </c>
      <c r="G953" s="0" t="s">
        <v>26</v>
      </c>
      <c r="H953" s="0" t="n">
        <v>162</v>
      </c>
      <c r="I953" s="0" t="s">
        <v>3188</v>
      </c>
      <c r="J953" s="0" t="s">
        <v>3189</v>
      </c>
      <c r="K953" s="0" t="s">
        <v>3190</v>
      </c>
      <c r="L953" s="0" t="str">
        <f aca="false">HYPERLINK("https://www.ncbi.nlm.nih.gov/nuccore/CP000304.1?report=graph&amp;tracks=[key:gene_model_track,Options:GeneOnly]&amp;mk=276151:276170|offset_76|444444,276190:276209|offset_115|444444,276237:276256|offset_162|00cc00,276269:276288|offset_194|444444&amp;v=275950:276488&amp;c=444444", "offset 162")</f>
        <v>offset 162</v>
      </c>
    </row>
    <row r="954" customFormat="false" ht="12.8" hidden="false" customHeight="false" outlineLevel="0" collapsed="false">
      <c r="A954" s="0" t="s">
        <v>12</v>
      </c>
      <c r="B954" s="0" t="n">
        <v>276268</v>
      </c>
      <c r="C954" s="0" t="n">
        <v>276288</v>
      </c>
      <c r="D954" s="0" t="s">
        <v>3181</v>
      </c>
      <c r="E954" s="0" t="s">
        <v>89</v>
      </c>
      <c r="F954" s="0" t="s">
        <v>15</v>
      </c>
      <c r="G954" s="0" t="s">
        <v>16</v>
      </c>
      <c r="H954" s="0" t="n">
        <v>194</v>
      </c>
      <c r="I954" s="0" t="s">
        <v>3191</v>
      </c>
      <c r="J954" s="0" t="s">
        <v>3192</v>
      </c>
      <c r="K954" s="0" t="s">
        <v>3193</v>
      </c>
      <c r="L954" s="0" t="str">
        <f aca="false">HYPERLINK("https://www.ncbi.nlm.nih.gov/nuccore/CP000304.1?report=graph&amp;tracks=[key:gene_model_track,Options:GeneOnly]&amp;mk=276151:276170|offset_76|444444,276190:276209|offset_115|444444,276237:276256|offset_162|444444,276269:276288|offset_194|00cc00&amp;v=275950:276488&amp;c=444444", "offset 194")</f>
        <v>offset 194</v>
      </c>
    </row>
    <row r="955" customFormat="false" ht="12.8" hidden="false" customHeight="false" outlineLevel="0" collapsed="false">
      <c r="A955" s="0" t="s">
        <v>12</v>
      </c>
      <c r="B955" s="0" t="n">
        <v>276699</v>
      </c>
      <c r="C955" s="0" t="n">
        <v>276719</v>
      </c>
      <c r="D955" s="0" t="s">
        <v>3194</v>
      </c>
      <c r="E955" s="0" t="s">
        <v>89</v>
      </c>
      <c r="F955" s="0" t="s">
        <v>15</v>
      </c>
      <c r="G955" s="0" t="s">
        <v>26</v>
      </c>
      <c r="H955" s="0" t="n">
        <v>71</v>
      </c>
      <c r="I955" s="0" t="s">
        <v>3195</v>
      </c>
      <c r="J955" s="0" t="s">
        <v>3196</v>
      </c>
      <c r="K955" s="0" t="s">
        <v>3197</v>
      </c>
      <c r="L955" s="0" t="str">
        <f aca="false">HYPERLINK("https://www.ncbi.nlm.nih.gov/nuccore/CP000304.1?report=graph&amp;tracks=[key:gene_model_track,Options:GeneOnly]&amp;mk=276700:276719|offset_71|00cc00,276723:276742|offset_94|444444,276759:276778|offset_130|444444,276786:276805|offset_157|444444&amp;v=276499:277005&amp;c=444444", "offset 71")</f>
        <v>offset 71</v>
      </c>
    </row>
    <row r="956" customFormat="false" ht="12.8" hidden="false" customHeight="false" outlineLevel="0" collapsed="false">
      <c r="A956" s="0" t="s">
        <v>12</v>
      </c>
      <c r="B956" s="0" t="n">
        <v>276722</v>
      </c>
      <c r="C956" s="0" t="n">
        <v>276742</v>
      </c>
      <c r="D956" s="0" t="s">
        <v>3194</v>
      </c>
      <c r="E956" s="0" t="s">
        <v>89</v>
      </c>
      <c r="F956" s="0" t="s">
        <v>15</v>
      </c>
      <c r="G956" s="0" t="s">
        <v>36</v>
      </c>
      <c r="H956" s="0" t="n">
        <v>94</v>
      </c>
      <c r="I956" s="0" t="s">
        <v>3198</v>
      </c>
      <c r="J956" s="0" t="s">
        <v>3199</v>
      </c>
      <c r="K956" s="0" t="s">
        <v>3200</v>
      </c>
      <c r="L956" s="0" t="str">
        <f aca="false">HYPERLINK("https://www.ncbi.nlm.nih.gov/nuccore/CP000304.1?report=graph&amp;tracks=[key:gene_model_track,Options:GeneOnly]&amp;mk=276700:276719|offset_71|444444,276723:276742|offset_94|00cc00,276759:276778|offset_130|444444,276786:276805|offset_157|444444&amp;v=276499:277005&amp;c=444444", "offset 94")</f>
        <v>offset 94</v>
      </c>
    </row>
    <row r="957" customFormat="false" ht="12.8" hidden="false" customHeight="false" outlineLevel="0" collapsed="false">
      <c r="A957" s="0" t="s">
        <v>12</v>
      </c>
      <c r="B957" s="0" t="n">
        <v>276758</v>
      </c>
      <c r="C957" s="0" t="n">
        <v>276778</v>
      </c>
      <c r="D957" s="0" t="s">
        <v>3194</v>
      </c>
      <c r="E957" s="0" t="s">
        <v>89</v>
      </c>
      <c r="F957" s="0" t="s">
        <v>15</v>
      </c>
      <c r="G957" s="0" t="s">
        <v>16</v>
      </c>
      <c r="H957" s="0" t="n">
        <v>130</v>
      </c>
      <c r="I957" s="0" t="s">
        <v>3201</v>
      </c>
      <c r="J957" s="0" t="s">
        <v>3202</v>
      </c>
      <c r="K957" s="0" t="s">
        <v>3203</v>
      </c>
      <c r="L957" s="0" t="str">
        <f aca="false">HYPERLINK("https://www.ncbi.nlm.nih.gov/nuccore/CP000304.1?report=graph&amp;tracks=[key:gene_model_track,Options:GeneOnly]&amp;mk=276700:276719|offset_71|444444,276723:276742|offset_94|444444,276759:276778|offset_130|00cc00,276786:276805|offset_157|444444&amp;v=276499:277005&amp;c=444444", "offset 130")</f>
        <v>offset 130</v>
      </c>
    </row>
    <row r="958" customFormat="false" ht="12.8" hidden="false" customHeight="false" outlineLevel="0" collapsed="false">
      <c r="A958" s="0" t="s">
        <v>12</v>
      </c>
      <c r="B958" s="0" t="n">
        <v>276785</v>
      </c>
      <c r="C958" s="0" t="n">
        <v>276805</v>
      </c>
      <c r="D958" s="0" t="s">
        <v>3194</v>
      </c>
      <c r="E958" s="0" t="s">
        <v>89</v>
      </c>
      <c r="F958" s="0" t="s">
        <v>15</v>
      </c>
      <c r="G958" s="0" t="s">
        <v>32</v>
      </c>
      <c r="H958" s="0" t="n">
        <v>157</v>
      </c>
      <c r="I958" s="0" t="s">
        <v>3204</v>
      </c>
      <c r="J958" s="0" t="s">
        <v>3205</v>
      </c>
      <c r="K958" s="0" t="s">
        <v>3206</v>
      </c>
      <c r="L958" s="0" t="str">
        <f aca="false">HYPERLINK("https://www.ncbi.nlm.nih.gov/nuccore/CP000304.1?report=graph&amp;tracks=[key:gene_model_track,Options:GeneOnly]&amp;mk=276700:276719|offset_71|444444,276723:276742|offset_94|444444,276759:276778|offset_130|444444,276786:276805|offset_157|00cc00&amp;v=276499:277005&amp;c=444444", "offset 157")</f>
        <v>offset 157</v>
      </c>
    </row>
    <row r="959" customFormat="false" ht="12.8" hidden="false" customHeight="false" outlineLevel="0" collapsed="false">
      <c r="A959" s="0" t="s">
        <v>12</v>
      </c>
      <c r="B959" s="0" t="n">
        <v>279535</v>
      </c>
      <c r="C959" s="0" t="n">
        <v>279555</v>
      </c>
      <c r="D959" s="0" t="s">
        <v>3207</v>
      </c>
      <c r="E959" s="0" t="s">
        <v>89</v>
      </c>
      <c r="F959" s="0" t="s">
        <v>15</v>
      </c>
      <c r="G959" s="0" t="s">
        <v>36</v>
      </c>
      <c r="H959" s="0" t="n">
        <v>0</v>
      </c>
      <c r="I959" s="0" t="s">
        <v>3208</v>
      </c>
      <c r="J959" s="0" t="s">
        <v>3209</v>
      </c>
      <c r="K959" s="0" t="s">
        <v>3210</v>
      </c>
      <c r="L959" s="0" t="str">
        <f aca="false">HYPERLINK("https://www.ncbi.nlm.nih.gov/nuccore/CP000304.1?report=graph&amp;tracks=[key:gene_model_track,Options:GeneOnly]&amp;mk=279536:279555|offset_0|00cc00,279572:279591|offset_36|444444,279597:279616|offset_61|444444,279619:279638|offset_83|444444&amp;v=279335:279838&amp;c=444444", "offset 0")</f>
        <v>offset 0</v>
      </c>
    </row>
    <row r="960" customFormat="false" ht="12.8" hidden="false" customHeight="false" outlineLevel="0" collapsed="false">
      <c r="A960" s="0" t="s">
        <v>12</v>
      </c>
      <c r="B960" s="0" t="n">
        <v>279571</v>
      </c>
      <c r="C960" s="0" t="n">
        <v>279591</v>
      </c>
      <c r="D960" s="0" t="s">
        <v>3207</v>
      </c>
      <c r="E960" s="0" t="s">
        <v>89</v>
      </c>
      <c r="F960" s="0" t="s">
        <v>15</v>
      </c>
      <c r="G960" s="0" t="s">
        <v>16</v>
      </c>
      <c r="H960" s="0" t="n">
        <v>36</v>
      </c>
      <c r="I960" s="0" t="s">
        <v>3211</v>
      </c>
      <c r="J960" s="0" t="s">
        <v>3212</v>
      </c>
      <c r="K960" s="0" t="s">
        <v>3213</v>
      </c>
      <c r="L960" s="0" t="str">
        <f aca="false">HYPERLINK("https://www.ncbi.nlm.nih.gov/nuccore/CP000304.1?report=graph&amp;tracks=[key:gene_model_track,Options:GeneOnly]&amp;mk=279536:279555|offset_0|444444,279572:279591|offset_36|00cc00,279597:279616|offset_61|444444,279619:279638|offset_83|444444&amp;v=279335:279838&amp;c=444444", "offset 36")</f>
        <v>offset 36</v>
      </c>
    </row>
    <row r="961" customFormat="false" ht="12.8" hidden="false" customHeight="false" outlineLevel="0" collapsed="false">
      <c r="A961" s="0" t="s">
        <v>12</v>
      </c>
      <c r="B961" s="0" t="n">
        <v>279596</v>
      </c>
      <c r="C961" s="0" t="n">
        <v>279616</v>
      </c>
      <c r="D961" s="0" t="s">
        <v>3207</v>
      </c>
      <c r="E961" s="0" t="s">
        <v>89</v>
      </c>
      <c r="F961" s="0" t="s">
        <v>15</v>
      </c>
      <c r="G961" s="0" t="s">
        <v>32</v>
      </c>
      <c r="H961" s="0" t="n">
        <v>61</v>
      </c>
      <c r="I961" s="0" t="s">
        <v>3214</v>
      </c>
      <c r="J961" s="0" t="s">
        <v>3215</v>
      </c>
      <c r="K961" s="0" t="s">
        <v>3216</v>
      </c>
      <c r="L961" s="0" t="str">
        <f aca="false">HYPERLINK("https://www.ncbi.nlm.nih.gov/nuccore/CP000304.1?report=graph&amp;tracks=[key:gene_model_track,Options:GeneOnly]&amp;mk=279536:279555|offset_0|444444,279572:279591|offset_36|444444,279597:279616|offset_61|00cc00,279619:279638|offset_83|444444&amp;v=279335:279838&amp;c=444444", "offset 61")</f>
        <v>offset 61</v>
      </c>
    </row>
    <row r="962" customFormat="false" ht="12.8" hidden="false" customHeight="false" outlineLevel="0" collapsed="false">
      <c r="A962" s="0" t="s">
        <v>12</v>
      </c>
      <c r="B962" s="0" t="n">
        <v>279618</v>
      </c>
      <c r="C962" s="0" t="n">
        <v>279638</v>
      </c>
      <c r="D962" s="0" t="s">
        <v>3207</v>
      </c>
      <c r="E962" s="0" t="s">
        <v>89</v>
      </c>
      <c r="F962" s="0" t="s">
        <v>15</v>
      </c>
      <c r="G962" s="0" t="s">
        <v>26</v>
      </c>
      <c r="H962" s="0" t="n">
        <v>83</v>
      </c>
      <c r="I962" s="0" t="s">
        <v>3217</v>
      </c>
      <c r="J962" s="0" t="s">
        <v>3218</v>
      </c>
      <c r="K962" s="0" t="s">
        <v>3219</v>
      </c>
      <c r="L962" s="0" t="str">
        <f aca="false">HYPERLINK("https://www.ncbi.nlm.nih.gov/nuccore/CP000304.1?report=graph&amp;tracks=[key:gene_model_track,Options:GeneOnly]&amp;mk=279536:279555|offset_0|444444,279572:279591|offset_36|444444,279597:279616|offset_61|444444,279619:279638|offset_83|00cc00&amp;v=279335:279838&amp;c=444444", "offset 83")</f>
        <v>offset 83</v>
      </c>
    </row>
    <row r="963" customFormat="false" ht="12.8" hidden="false" customHeight="false" outlineLevel="0" collapsed="false">
      <c r="A963" s="0" t="s">
        <v>12</v>
      </c>
      <c r="B963" s="0" t="n">
        <v>280257</v>
      </c>
      <c r="C963" s="0" t="n">
        <v>280277</v>
      </c>
      <c r="D963" s="0" t="s">
        <v>3220</v>
      </c>
      <c r="E963" s="0" t="s">
        <v>89</v>
      </c>
      <c r="F963" s="0" t="s">
        <v>15</v>
      </c>
      <c r="G963" s="0" t="s">
        <v>32</v>
      </c>
      <c r="H963" s="0" t="n">
        <v>1</v>
      </c>
      <c r="I963" s="0" t="s">
        <v>3221</v>
      </c>
      <c r="J963" s="0" t="s">
        <v>3222</v>
      </c>
      <c r="K963" s="0" t="s">
        <v>3223</v>
      </c>
      <c r="L963" s="0" t="str">
        <f aca="false">HYPERLINK("https://www.ncbi.nlm.nih.gov/nuccore/CP000304.1?report=graph&amp;tracks=[key:gene_model_track,Options:GeneOnly]&amp;mk=280258:280277|offset_1|00cc00,280289:280308|offset_32|444444,280316:280335|offset_59|444444,280370:280389|offset_113|444444&amp;v=280057:280589&amp;c=444444", "offset 1")</f>
        <v>offset 1</v>
      </c>
    </row>
    <row r="964" customFormat="false" ht="12.8" hidden="false" customHeight="false" outlineLevel="0" collapsed="false">
      <c r="A964" s="0" t="s">
        <v>12</v>
      </c>
      <c r="B964" s="0" t="n">
        <v>280288</v>
      </c>
      <c r="C964" s="0" t="n">
        <v>280308</v>
      </c>
      <c r="D964" s="0" t="s">
        <v>3220</v>
      </c>
      <c r="E964" s="0" t="s">
        <v>89</v>
      </c>
      <c r="F964" s="0" t="s">
        <v>15</v>
      </c>
      <c r="G964" s="0" t="s">
        <v>16</v>
      </c>
      <c r="H964" s="0" t="n">
        <v>32</v>
      </c>
      <c r="I964" s="0" t="s">
        <v>3224</v>
      </c>
      <c r="J964" s="0" t="s">
        <v>3225</v>
      </c>
      <c r="K964" s="0" t="s">
        <v>3226</v>
      </c>
      <c r="L964" s="0" t="str">
        <f aca="false">HYPERLINK("https://www.ncbi.nlm.nih.gov/nuccore/CP000304.1?report=graph&amp;tracks=[key:gene_model_track,Options:GeneOnly]&amp;mk=280258:280277|offset_1|444444,280289:280308|offset_32|00cc00,280316:280335|offset_59|444444,280370:280389|offset_113|444444&amp;v=280057:280589&amp;c=444444", "offset 32")</f>
        <v>offset 32</v>
      </c>
    </row>
    <row r="965" customFormat="false" ht="12.8" hidden="false" customHeight="false" outlineLevel="0" collapsed="false">
      <c r="A965" s="0" t="s">
        <v>12</v>
      </c>
      <c r="B965" s="0" t="n">
        <v>280315</v>
      </c>
      <c r="C965" s="0" t="n">
        <v>280335</v>
      </c>
      <c r="D965" s="0" t="s">
        <v>3220</v>
      </c>
      <c r="E965" s="0" t="s">
        <v>89</v>
      </c>
      <c r="F965" s="0" t="s">
        <v>15</v>
      </c>
      <c r="G965" s="0" t="s">
        <v>26</v>
      </c>
      <c r="H965" s="0" t="n">
        <v>59</v>
      </c>
      <c r="I965" s="0" t="s">
        <v>3227</v>
      </c>
      <c r="J965" s="0" t="s">
        <v>3228</v>
      </c>
      <c r="K965" s="0" t="s">
        <v>3229</v>
      </c>
      <c r="L965" s="0" t="str">
        <f aca="false">HYPERLINK("https://www.ncbi.nlm.nih.gov/nuccore/CP000304.1?report=graph&amp;tracks=[key:gene_model_track,Options:GeneOnly]&amp;mk=280258:280277|offset_1|444444,280289:280308|offset_32|444444,280316:280335|offset_59|00cc00,280370:280389|offset_113|444444&amp;v=280057:280589&amp;c=444444", "offset 59")</f>
        <v>offset 59</v>
      </c>
    </row>
    <row r="966" customFormat="false" ht="12.8" hidden="false" customHeight="false" outlineLevel="0" collapsed="false">
      <c r="A966" s="0" t="s">
        <v>12</v>
      </c>
      <c r="B966" s="0" t="n">
        <v>280369</v>
      </c>
      <c r="C966" s="0" t="n">
        <v>280389</v>
      </c>
      <c r="D966" s="0" t="s">
        <v>3220</v>
      </c>
      <c r="E966" s="0" t="s">
        <v>89</v>
      </c>
      <c r="F966" s="0" t="s">
        <v>15</v>
      </c>
      <c r="G966" s="0" t="s">
        <v>36</v>
      </c>
      <c r="H966" s="0" t="n">
        <v>113</v>
      </c>
      <c r="I966" s="0" t="s">
        <v>3230</v>
      </c>
      <c r="J966" s="0" t="s">
        <v>3231</v>
      </c>
      <c r="K966" s="0" t="s">
        <v>3232</v>
      </c>
      <c r="L966" s="0" t="str">
        <f aca="false">HYPERLINK("https://www.ncbi.nlm.nih.gov/nuccore/CP000304.1?report=graph&amp;tracks=[key:gene_model_track,Options:GeneOnly]&amp;mk=280258:280277|offset_1|444444,280289:280308|offset_32|444444,280316:280335|offset_59|444444,280370:280389|offset_113|00cc00&amp;v=280057:280589&amp;c=444444", "offset 113")</f>
        <v>offset 113</v>
      </c>
    </row>
    <row r="967" customFormat="false" ht="12.8" hidden="false" customHeight="false" outlineLevel="0" collapsed="false">
      <c r="A967" s="0" t="s">
        <v>12</v>
      </c>
      <c r="B967" s="0" t="n">
        <v>284483</v>
      </c>
      <c r="C967" s="0" t="n">
        <v>284503</v>
      </c>
      <c r="D967" s="0" t="s">
        <v>3233</v>
      </c>
      <c r="E967" s="0" t="s">
        <v>89</v>
      </c>
      <c r="F967" s="0" t="s">
        <v>90</v>
      </c>
      <c r="G967" s="0" t="s">
        <v>26</v>
      </c>
      <c r="H967" s="0" t="n">
        <v>30</v>
      </c>
      <c r="I967" s="0" t="s">
        <v>3234</v>
      </c>
      <c r="J967" s="0" t="s">
        <v>3235</v>
      </c>
      <c r="K967" s="0" t="s">
        <v>3236</v>
      </c>
      <c r="L967" s="0" t="str">
        <f aca="false">HYPERLINK("https://www.ncbi.nlm.nih.gov/nuccore/CP000304.1?report=graph&amp;tracks=[key:gene_model_track,Options:GeneOnly]&amp;mk=284484:284503|offset_30|00cc00,284464:284483|offset_50|444444,284354:284373|offset_160|444444,284330:284349|offset_184|444444&amp;v=284283:284549&amp;c=444444", "offset 30")</f>
        <v>offset 30</v>
      </c>
    </row>
    <row r="968" customFormat="false" ht="12.8" hidden="false" customHeight="false" outlineLevel="0" collapsed="false">
      <c r="A968" s="0" t="s">
        <v>12</v>
      </c>
      <c r="B968" s="0" t="n">
        <v>284463</v>
      </c>
      <c r="C968" s="0" t="n">
        <v>284483</v>
      </c>
      <c r="D968" s="0" t="s">
        <v>3233</v>
      </c>
      <c r="E968" s="0" t="s">
        <v>89</v>
      </c>
      <c r="F968" s="0" t="s">
        <v>90</v>
      </c>
      <c r="G968" s="0" t="s">
        <v>16</v>
      </c>
      <c r="H968" s="0" t="n">
        <v>50</v>
      </c>
      <c r="I968" s="0" t="s">
        <v>3237</v>
      </c>
      <c r="J968" s="0" t="s">
        <v>3238</v>
      </c>
      <c r="K968" s="0" t="s">
        <v>3239</v>
      </c>
      <c r="L968" s="0" t="str">
        <f aca="false">HYPERLINK("https://www.ncbi.nlm.nih.gov/nuccore/CP000304.1?report=graph&amp;tracks=[key:gene_model_track,Options:GeneOnly]&amp;mk=284484:284503|offset_30|444444,284464:284483|offset_50|00cc00,284354:284373|offset_160|444444,284330:284349|offset_184|444444&amp;v=284283:284549&amp;c=444444", "offset 50")</f>
        <v>offset 50</v>
      </c>
    </row>
    <row r="969" customFormat="false" ht="12.8" hidden="false" customHeight="false" outlineLevel="0" collapsed="false">
      <c r="A969" s="0" t="s">
        <v>12</v>
      </c>
      <c r="B969" s="0" t="n">
        <v>284353</v>
      </c>
      <c r="C969" s="0" t="n">
        <v>284373</v>
      </c>
      <c r="D969" s="0" t="s">
        <v>3233</v>
      </c>
      <c r="E969" s="0" t="s">
        <v>89</v>
      </c>
      <c r="F969" s="0" t="s">
        <v>90</v>
      </c>
      <c r="G969" s="0" t="s">
        <v>16</v>
      </c>
      <c r="H969" s="0" t="n">
        <v>160</v>
      </c>
      <c r="I969" s="0" t="s">
        <v>3240</v>
      </c>
      <c r="J969" s="0" t="s">
        <v>3241</v>
      </c>
      <c r="K969" s="0" t="s">
        <v>3242</v>
      </c>
      <c r="L969" s="0" t="str">
        <f aca="false">HYPERLINK("https://www.ncbi.nlm.nih.gov/nuccore/CP000304.1?report=graph&amp;tracks=[key:gene_model_track,Options:GeneOnly]&amp;mk=284484:284503|offset_30|444444,284464:284483|offset_50|444444,284354:284373|offset_160|00cc00,284330:284349|offset_184|444444&amp;v=284283:284549&amp;c=444444", "offset 160")</f>
        <v>offset 160</v>
      </c>
    </row>
    <row r="970" customFormat="false" ht="12.8" hidden="false" customHeight="false" outlineLevel="0" collapsed="false">
      <c r="A970" s="0" t="s">
        <v>12</v>
      </c>
      <c r="B970" s="0" t="n">
        <v>284329</v>
      </c>
      <c r="C970" s="0" t="n">
        <v>284349</v>
      </c>
      <c r="D970" s="0" t="s">
        <v>3233</v>
      </c>
      <c r="E970" s="0" t="s">
        <v>89</v>
      </c>
      <c r="F970" s="0" t="s">
        <v>90</v>
      </c>
      <c r="G970" s="0" t="s">
        <v>32</v>
      </c>
      <c r="H970" s="0" t="n">
        <v>184</v>
      </c>
      <c r="I970" s="0" t="s">
        <v>3243</v>
      </c>
      <c r="J970" s="0" t="s">
        <v>3244</v>
      </c>
      <c r="K970" s="0" t="s">
        <v>3245</v>
      </c>
      <c r="L970" s="0" t="str">
        <f aca="false">HYPERLINK("https://www.ncbi.nlm.nih.gov/nuccore/CP000304.1?report=graph&amp;tracks=[key:gene_model_track,Options:GeneOnly]&amp;mk=284484:284503|offset_30|444444,284464:284483|offset_50|444444,284354:284373|offset_160|444444,284330:284349|offset_184|00cc00&amp;v=284283:284549&amp;c=444444", "offset 184")</f>
        <v>offset 184</v>
      </c>
    </row>
    <row r="971" customFormat="false" ht="12.8" hidden="false" customHeight="false" outlineLevel="0" collapsed="false">
      <c r="A971" s="0" t="s">
        <v>12</v>
      </c>
      <c r="B971" s="0" t="n">
        <v>286259</v>
      </c>
      <c r="C971" s="0" t="n">
        <v>286279</v>
      </c>
      <c r="D971" s="0" t="s">
        <v>3246</v>
      </c>
      <c r="E971" s="0" t="s">
        <v>89</v>
      </c>
      <c r="F971" s="0" t="s">
        <v>90</v>
      </c>
      <c r="G971" s="0" t="s">
        <v>26</v>
      </c>
      <c r="H971" s="0" t="n">
        <v>14</v>
      </c>
      <c r="I971" s="0" t="s">
        <v>3247</v>
      </c>
      <c r="J971" s="0" t="s">
        <v>3248</v>
      </c>
      <c r="K971" s="0" t="s">
        <v>3249</v>
      </c>
      <c r="L971" s="0" t="str">
        <f aca="false">HYPERLINK("https://www.ncbi.nlm.nih.gov/nuccore/CP000304.1?report=graph&amp;tracks=[key:gene_model_track,Options:GeneOnly]&amp;mk=286260:286279|offset_14|00cc00,286204:286223|offset_70|444444,286167:286186|offset_107|444444,286146:286165|offset_128|444444&amp;v=286059:286365&amp;c=444444", "offset 14")</f>
        <v>offset 14</v>
      </c>
    </row>
    <row r="972" customFormat="false" ht="12.8" hidden="false" customHeight="false" outlineLevel="0" collapsed="false">
      <c r="A972" s="0" t="s">
        <v>12</v>
      </c>
      <c r="B972" s="0" t="n">
        <v>286203</v>
      </c>
      <c r="C972" s="0" t="n">
        <v>286223</v>
      </c>
      <c r="D972" s="0" t="s">
        <v>3246</v>
      </c>
      <c r="E972" s="0" t="s">
        <v>89</v>
      </c>
      <c r="F972" s="0" t="s">
        <v>90</v>
      </c>
      <c r="G972" s="0" t="s">
        <v>32</v>
      </c>
      <c r="H972" s="0" t="n">
        <v>70</v>
      </c>
      <c r="I972" s="0" t="s">
        <v>3250</v>
      </c>
      <c r="J972" s="0" t="s">
        <v>3251</v>
      </c>
      <c r="K972" s="0" t="s">
        <v>3252</v>
      </c>
      <c r="L972" s="0" t="str">
        <f aca="false">HYPERLINK("https://www.ncbi.nlm.nih.gov/nuccore/CP000304.1?report=graph&amp;tracks=[key:gene_model_track,Options:GeneOnly]&amp;mk=286260:286279|offset_14|444444,286204:286223|offset_70|00cc00,286167:286186|offset_107|444444,286146:286165|offset_128|444444&amp;v=286059:286365&amp;c=444444", "offset 70")</f>
        <v>offset 70</v>
      </c>
    </row>
    <row r="973" customFormat="false" ht="12.8" hidden="false" customHeight="false" outlineLevel="0" collapsed="false">
      <c r="A973" s="0" t="s">
        <v>12</v>
      </c>
      <c r="B973" s="0" t="n">
        <v>286166</v>
      </c>
      <c r="C973" s="0" t="n">
        <v>286186</v>
      </c>
      <c r="D973" s="0" t="s">
        <v>3246</v>
      </c>
      <c r="E973" s="0" t="s">
        <v>89</v>
      </c>
      <c r="F973" s="0" t="s">
        <v>90</v>
      </c>
      <c r="G973" s="0" t="s">
        <v>32</v>
      </c>
      <c r="H973" s="0" t="n">
        <v>107</v>
      </c>
      <c r="I973" s="0" t="s">
        <v>3253</v>
      </c>
      <c r="J973" s="0" t="s">
        <v>3254</v>
      </c>
      <c r="K973" s="0" t="s">
        <v>3255</v>
      </c>
      <c r="L973" s="0" t="str">
        <f aca="false">HYPERLINK("https://www.ncbi.nlm.nih.gov/nuccore/CP000304.1?report=graph&amp;tracks=[key:gene_model_track,Options:GeneOnly]&amp;mk=286260:286279|offset_14|444444,286204:286223|offset_70|444444,286167:286186|offset_107|00cc00,286146:286165|offset_128|444444&amp;v=286059:286365&amp;c=444444", "offset 107")</f>
        <v>offset 107</v>
      </c>
    </row>
    <row r="974" customFormat="false" ht="12.8" hidden="false" customHeight="false" outlineLevel="0" collapsed="false">
      <c r="A974" s="0" t="s">
        <v>12</v>
      </c>
      <c r="B974" s="0" t="n">
        <v>286145</v>
      </c>
      <c r="C974" s="0" t="n">
        <v>286165</v>
      </c>
      <c r="D974" s="0" t="s">
        <v>3246</v>
      </c>
      <c r="E974" s="0" t="s">
        <v>89</v>
      </c>
      <c r="F974" s="0" t="s">
        <v>90</v>
      </c>
      <c r="G974" s="0" t="s">
        <v>32</v>
      </c>
      <c r="H974" s="0" t="n">
        <v>128</v>
      </c>
      <c r="I974" s="0" t="s">
        <v>3256</v>
      </c>
      <c r="J974" s="0" t="s">
        <v>3257</v>
      </c>
      <c r="K974" s="0" t="s">
        <v>3258</v>
      </c>
      <c r="L974" s="0" t="str">
        <f aca="false">HYPERLINK("https://www.ncbi.nlm.nih.gov/nuccore/CP000304.1?report=graph&amp;tracks=[key:gene_model_track,Options:GeneOnly]&amp;mk=286260:286279|offset_14|444444,286204:286223|offset_70|444444,286167:286186|offset_107|444444,286146:286165|offset_128|00cc00&amp;v=286059:286365&amp;c=444444", "offset 128")</f>
        <v>offset 128</v>
      </c>
    </row>
    <row r="975" customFormat="false" ht="12.8" hidden="false" customHeight="false" outlineLevel="0" collapsed="false">
      <c r="A975" s="0" t="s">
        <v>12</v>
      </c>
      <c r="B975" s="0" t="n">
        <v>287322</v>
      </c>
      <c r="C975" s="0" t="n">
        <v>287342</v>
      </c>
      <c r="D975" s="0" t="s">
        <v>3259</v>
      </c>
      <c r="E975" s="0" t="s">
        <v>89</v>
      </c>
      <c r="F975" s="0" t="s">
        <v>90</v>
      </c>
      <c r="G975" s="0" t="s">
        <v>32</v>
      </c>
      <c r="H975" s="0" t="n">
        <v>8</v>
      </c>
      <c r="I975" s="0" t="s">
        <v>3260</v>
      </c>
      <c r="J975" s="0" t="s">
        <v>3261</v>
      </c>
      <c r="K975" s="0" t="s">
        <v>3262</v>
      </c>
      <c r="L975" s="0" t="str">
        <f aca="false">HYPERLINK("https://www.ncbi.nlm.nih.gov/nuccore/CP000304.1?report=graph&amp;tracks=[key:gene_model_track,Options:GeneOnly]&amp;mk=287323:287342|offset_8|00cc00,287283:287302|offset_48|444444,287246:287265|offset_85|444444,287226:287245|offset_105|444444&amp;v=287122:287445&amp;c=444444", "offset 8")</f>
        <v>offset 8</v>
      </c>
    </row>
    <row r="976" customFormat="false" ht="12.8" hidden="false" customHeight="false" outlineLevel="0" collapsed="false">
      <c r="A976" s="0" t="s">
        <v>12</v>
      </c>
      <c r="B976" s="0" t="n">
        <v>287282</v>
      </c>
      <c r="C976" s="0" t="n">
        <v>287302</v>
      </c>
      <c r="D976" s="0" t="s">
        <v>3259</v>
      </c>
      <c r="E976" s="0" t="s">
        <v>89</v>
      </c>
      <c r="F976" s="0" t="s">
        <v>90</v>
      </c>
      <c r="G976" s="0" t="s">
        <v>36</v>
      </c>
      <c r="H976" s="0" t="n">
        <v>48</v>
      </c>
      <c r="I976" s="0" t="s">
        <v>3263</v>
      </c>
      <c r="J976" s="0" t="s">
        <v>3264</v>
      </c>
      <c r="K976" s="0" t="s">
        <v>3265</v>
      </c>
      <c r="L976" s="0" t="str">
        <f aca="false">HYPERLINK("https://www.ncbi.nlm.nih.gov/nuccore/CP000304.1?report=graph&amp;tracks=[key:gene_model_track,Options:GeneOnly]&amp;mk=287323:287342|offset_8|444444,287283:287302|offset_48|00cc00,287246:287265|offset_85|444444,287226:287245|offset_105|444444&amp;v=287122:287445&amp;c=444444", "offset 48")</f>
        <v>offset 48</v>
      </c>
    </row>
    <row r="977" customFormat="false" ht="12.8" hidden="false" customHeight="false" outlineLevel="0" collapsed="false">
      <c r="A977" s="0" t="s">
        <v>12</v>
      </c>
      <c r="B977" s="0" t="n">
        <v>287245</v>
      </c>
      <c r="C977" s="0" t="n">
        <v>287265</v>
      </c>
      <c r="D977" s="0" t="s">
        <v>3259</v>
      </c>
      <c r="E977" s="0" t="s">
        <v>89</v>
      </c>
      <c r="F977" s="0" t="s">
        <v>90</v>
      </c>
      <c r="G977" s="0" t="s">
        <v>16</v>
      </c>
      <c r="H977" s="0" t="n">
        <v>85</v>
      </c>
      <c r="I977" s="0" t="s">
        <v>3266</v>
      </c>
      <c r="J977" s="0" t="s">
        <v>3267</v>
      </c>
      <c r="K977" s="0" t="s">
        <v>3268</v>
      </c>
      <c r="L977" s="0" t="str">
        <f aca="false">HYPERLINK("https://www.ncbi.nlm.nih.gov/nuccore/CP000304.1?report=graph&amp;tracks=[key:gene_model_track,Options:GeneOnly]&amp;mk=287323:287342|offset_8|444444,287283:287302|offset_48|444444,287246:287265|offset_85|00cc00,287226:287245|offset_105|444444&amp;v=287122:287445&amp;c=444444", "offset 85")</f>
        <v>offset 85</v>
      </c>
    </row>
    <row r="978" customFormat="false" ht="12.8" hidden="false" customHeight="false" outlineLevel="0" collapsed="false">
      <c r="A978" s="0" t="s">
        <v>12</v>
      </c>
      <c r="B978" s="0" t="n">
        <v>287225</v>
      </c>
      <c r="C978" s="0" t="n">
        <v>287245</v>
      </c>
      <c r="D978" s="0" t="s">
        <v>3259</v>
      </c>
      <c r="E978" s="0" t="s">
        <v>89</v>
      </c>
      <c r="F978" s="0" t="s">
        <v>90</v>
      </c>
      <c r="G978" s="0" t="s">
        <v>26</v>
      </c>
      <c r="H978" s="0" t="n">
        <v>105</v>
      </c>
      <c r="I978" s="0" t="s">
        <v>3269</v>
      </c>
      <c r="J978" s="0" t="s">
        <v>3270</v>
      </c>
      <c r="K978" s="0" t="s">
        <v>3271</v>
      </c>
      <c r="L978" s="0" t="str">
        <f aca="false">HYPERLINK("https://www.ncbi.nlm.nih.gov/nuccore/CP000304.1?report=graph&amp;tracks=[key:gene_model_track,Options:GeneOnly]&amp;mk=287323:287342|offset_8|444444,287283:287302|offset_48|444444,287246:287265|offset_85|444444,287226:287245|offset_105|00cc00&amp;v=287122:287445&amp;c=444444", "offset 105")</f>
        <v>offset 105</v>
      </c>
    </row>
    <row r="979" customFormat="false" ht="12.8" hidden="false" customHeight="false" outlineLevel="0" collapsed="false">
      <c r="A979" s="0" t="s">
        <v>12</v>
      </c>
      <c r="B979" s="0" t="n">
        <v>288584</v>
      </c>
      <c r="C979" s="0" t="n">
        <v>288604</v>
      </c>
      <c r="D979" s="0" t="s">
        <v>3272</v>
      </c>
      <c r="E979" s="0" t="s">
        <v>89</v>
      </c>
      <c r="F979" s="0" t="s">
        <v>90</v>
      </c>
      <c r="G979" s="0" t="s">
        <v>32</v>
      </c>
      <c r="H979" s="0" t="n">
        <v>8</v>
      </c>
      <c r="I979" s="0" t="s">
        <v>3273</v>
      </c>
      <c r="J979" s="0" t="s">
        <v>3274</v>
      </c>
      <c r="K979" s="0" t="s">
        <v>3275</v>
      </c>
      <c r="L979" s="0" t="str">
        <f aca="false">HYPERLINK("https://www.ncbi.nlm.nih.gov/nuccore/CP000304.1?report=graph&amp;tracks=[key:gene_model_track,Options:GeneOnly]&amp;mk=288585:288604|offset_8|00cc00,288565:288584|offset_28|444444,288527:288546|offset_66|444444,288506:288525|offset_87|444444&amp;v=288384:288725&amp;c=444444", "offset 8")</f>
        <v>offset 8</v>
      </c>
    </row>
    <row r="980" customFormat="false" ht="12.8" hidden="false" customHeight="false" outlineLevel="0" collapsed="false">
      <c r="A980" s="0" t="s">
        <v>12</v>
      </c>
      <c r="B980" s="0" t="n">
        <v>288564</v>
      </c>
      <c r="C980" s="0" t="n">
        <v>288584</v>
      </c>
      <c r="D980" s="0" t="s">
        <v>3272</v>
      </c>
      <c r="E980" s="0" t="s">
        <v>89</v>
      </c>
      <c r="F980" s="0" t="s">
        <v>90</v>
      </c>
      <c r="G980" s="0" t="s">
        <v>26</v>
      </c>
      <c r="H980" s="0" t="n">
        <v>28</v>
      </c>
      <c r="I980" s="0" t="s">
        <v>3276</v>
      </c>
      <c r="J980" s="0" t="s">
        <v>3277</v>
      </c>
      <c r="K980" s="0" t="s">
        <v>3278</v>
      </c>
      <c r="L980" s="0" t="str">
        <f aca="false">HYPERLINK("https://www.ncbi.nlm.nih.gov/nuccore/CP000304.1?report=graph&amp;tracks=[key:gene_model_track,Options:GeneOnly]&amp;mk=288585:288604|offset_8|444444,288565:288584|offset_28|00cc00,288527:288546|offset_66|444444,288506:288525|offset_87|444444&amp;v=288384:288725&amp;c=444444", "offset 28")</f>
        <v>offset 28</v>
      </c>
    </row>
    <row r="981" customFormat="false" ht="12.8" hidden="false" customHeight="false" outlineLevel="0" collapsed="false">
      <c r="A981" s="0" t="s">
        <v>12</v>
      </c>
      <c r="B981" s="0" t="n">
        <v>288526</v>
      </c>
      <c r="C981" s="0" t="n">
        <v>288546</v>
      </c>
      <c r="D981" s="0" t="s">
        <v>3272</v>
      </c>
      <c r="E981" s="0" t="s">
        <v>89</v>
      </c>
      <c r="F981" s="0" t="s">
        <v>90</v>
      </c>
      <c r="G981" s="0" t="s">
        <v>16</v>
      </c>
      <c r="H981" s="0" t="n">
        <v>66</v>
      </c>
      <c r="I981" s="0" t="s">
        <v>3279</v>
      </c>
      <c r="J981" s="0" t="s">
        <v>3280</v>
      </c>
      <c r="K981" s="0" t="s">
        <v>3281</v>
      </c>
      <c r="L981" s="0" t="str">
        <f aca="false">HYPERLINK("https://www.ncbi.nlm.nih.gov/nuccore/CP000304.1?report=graph&amp;tracks=[key:gene_model_track,Options:GeneOnly]&amp;mk=288585:288604|offset_8|444444,288565:288584|offset_28|444444,288527:288546|offset_66|00cc00,288506:288525|offset_87|444444&amp;v=288384:288725&amp;c=444444", "offset 66")</f>
        <v>offset 66</v>
      </c>
    </row>
    <row r="982" customFormat="false" ht="12.8" hidden="false" customHeight="false" outlineLevel="0" collapsed="false">
      <c r="A982" s="0" t="s">
        <v>12</v>
      </c>
      <c r="B982" s="0" t="n">
        <v>288505</v>
      </c>
      <c r="C982" s="0" t="n">
        <v>288525</v>
      </c>
      <c r="D982" s="0" t="s">
        <v>3272</v>
      </c>
      <c r="E982" s="0" t="s">
        <v>89</v>
      </c>
      <c r="F982" s="0" t="s">
        <v>90</v>
      </c>
      <c r="G982" s="0" t="s">
        <v>36</v>
      </c>
      <c r="H982" s="0" t="n">
        <v>87</v>
      </c>
      <c r="I982" s="0" t="s">
        <v>3282</v>
      </c>
      <c r="J982" s="0" t="s">
        <v>3283</v>
      </c>
      <c r="K982" s="0" t="s">
        <v>3284</v>
      </c>
      <c r="L982" s="0" t="str">
        <f aca="false">HYPERLINK("https://www.ncbi.nlm.nih.gov/nuccore/CP000304.1?report=graph&amp;tracks=[key:gene_model_track,Options:GeneOnly]&amp;mk=288585:288604|offset_8|444444,288565:288584|offset_28|444444,288527:288546|offset_66|444444,288506:288525|offset_87|00cc00&amp;v=288384:288725&amp;c=444444", "offset 87")</f>
        <v>offset 87</v>
      </c>
    </row>
    <row r="983" customFormat="false" ht="12.8" hidden="false" customHeight="false" outlineLevel="0" collapsed="false">
      <c r="A983" s="0" t="s">
        <v>12</v>
      </c>
      <c r="B983" s="0" t="n">
        <v>290500</v>
      </c>
      <c r="C983" s="0" t="n">
        <v>290520</v>
      </c>
      <c r="D983" s="0" t="s">
        <v>3285</v>
      </c>
      <c r="E983" s="0" t="s">
        <v>89</v>
      </c>
      <c r="F983" s="0" t="s">
        <v>90</v>
      </c>
      <c r="G983" s="0" t="s">
        <v>32</v>
      </c>
      <c r="H983" s="0" t="n">
        <v>8</v>
      </c>
      <c r="I983" s="0" t="s">
        <v>3286</v>
      </c>
      <c r="J983" s="0" t="s">
        <v>3287</v>
      </c>
      <c r="K983" s="0" t="s">
        <v>3288</v>
      </c>
      <c r="L983" s="0" t="str">
        <f aca="false">HYPERLINK("https://www.ncbi.nlm.nih.gov/nuccore/CP000304.1?report=graph&amp;tracks=[key:gene_model_track,Options:GeneOnly]&amp;mk=290501:290520|offset_8|00cc00,290448:290467|offset_61|444444,290413:290432|offset_96|444444,290374:290393|offset_135|444444&amp;v=290300:290593&amp;c=444444", "offset 8")</f>
        <v>offset 8</v>
      </c>
    </row>
    <row r="984" customFormat="false" ht="12.8" hidden="false" customHeight="false" outlineLevel="0" collapsed="false">
      <c r="A984" s="0" t="s">
        <v>12</v>
      </c>
      <c r="B984" s="0" t="n">
        <v>290447</v>
      </c>
      <c r="C984" s="0" t="n">
        <v>290467</v>
      </c>
      <c r="D984" s="0" t="s">
        <v>3285</v>
      </c>
      <c r="E984" s="0" t="s">
        <v>89</v>
      </c>
      <c r="F984" s="0" t="s">
        <v>90</v>
      </c>
      <c r="G984" s="0" t="s">
        <v>26</v>
      </c>
      <c r="H984" s="0" t="n">
        <v>61</v>
      </c>
      <c r="I984" s="0" t="s">
        <v>3289</v>
      </c>
      <c r="J984" s="0" t="s">
        <v>3290</v>
      </c>
      <c r="K984" s="0" t="s">
        <v>3291</v>
      </c>
      <c r="L984" s="0" t="str">
        <f aca="false">HYPERLINK("https://www.ncbi.nlm.nih.gov/nuccore/CP000304.1?report=graph&amp;tracks=[key:gene_model_track,Options:GeneOnly]&amp;mk=290501:290520|offset_8|444444,290448:290467|offset_61|00cc00,290413:290432|offset_96|444444,290374:290393|offset_135|444444&amp;v=290300:290593&amp;c=444444", "offset 61")</f>
        <v>offset 61</v>
      </c>
    </row>
    <row r="985" customFormat="false" ht="12.8" hidden="false" customHeight="false" outlineLevel="0" collapsed="false">
      <c r="A985" s="0" t="s">
        <v>12</v>
      </c>
      <c r="B985" s="0" t="n">
        <v>290412</v>
      </c>
      <c r="C985" s="0" t="n">
        <v>290432</v>
      </c>
      <c r="D985" s="0" t="s">
        <v>3285</v>
      </c>
      <c r="E985" s="0" t="s">
        <v>89</v>
      </c>
      <c r="F985" s="0" t="s">
        <v>90</v>
      </c>
      <c r="G985" s="0" t="s">
        <v>16</v>
      </c>
      <c r="H985" s="0" t="n">
        <v>96</v>
      </c>
      <c r="I985" s="0" t="s">
        <v>3292</v>
      </c>
      <c r="J985" s="0" t="s">
        <v>3293</v>
      </c>
      <c r="K985" s="0" t="s">
        <v>3294</v>
      </c>
      <c r="L985" s="0" t="str">
        <f aca="false">HYPERLINK("https://www.ncbi.nlm.nih.gov/nuccore/CP000304.1?report=graph&amp;tracks=[key:gene_model_track,Options:GeneOnly]&amp;mk=290501:290520|offset_8|444444,290448:290467|offset_61|444444,290413:290432|offset_96|00cc00,290374:290393|offset_135|444444&amp;v=290300:290593&amp;c=444444", "offset 96")</f>
        <v>offset 96</v>
      </c>
    </row>
    <row r="986" customFormat="false" ht="12.8" hidden="false" customHeight="false" outlineLevel="0" collapsed="false">
      <c r="A986" s="0" t="s">
        <v>12</v>
      </c>
      <c r="B986" s="0" t="n">
        <v>290373</v>
      </c>
      <c r="C986" s="0" t="n">
        <v>290393</v>
      </c>
      <c r="D986" s="0" t="s">
        <v>3285</v>
      </c>
      <c r="E986" s="0" t="s">
        <v>89</v>
      </c>
      <c r="F986" s="0" t="s">
        <v>90</v>
      </c>
      <c r="G986" s="0" t="s">
        <v>36</v>
      </c>
      <c r="H986" s="0" t="n">
        <v>135</v>
      </c>
      <c r="I986" s="0" t="s">
        <v>3295</v>
      </c>
      <c r="J986" s="0" t="s">
        <v>3296</v>
      </c>
      <c r="K986" s="0" t="s">
        <v>3297</v>
      </c>
      <c r="L986" s="0" t="str">
        <f aca="false">HYPERLINK("https://www.ncbi.nlm.nih.gov/nuccore/CP000304.1?report=graph&amp;tracks=[key:gene_model_track,Options:GeneOnly]&amp;mk=290501:290520|offset_8|444444,290448:290467|offset_61|444444,290413:290432|offset_96|444444,290374:290393|offset_135|00cc00&amp;v=290300:290593&amp;c=444444", "offset 135")</f>
        <v>offset 135</v>
      </c>
    </row>
    <row r="987" customFormat="false" ht="12.8" hidden="false" customHeight="false" outlineLevel="0" collapsed="false">
      <c r="A987" s="0" t="s">
        <v>12</v>
      </c>
      <c r="B987" s="0" t="n">
        <v>291814</v>
      </c>
      <c r="C987" s="0" t="n">
        <v>291834</v>
      </c>
      <c r="D987" s="0" t="s">
        <v>3298</v>
      </c>
      <c r="E987" s="0" t="s">
        <v>89</v>
      </c>
      <c r="F987" s="0" t="s">
        <v>90</v>
      </c>
      <c r="G987" s="0" t="s">
        <v>26</v>
      </c>
      <c r="H987" s="0" t="n">
        <v>23</v>
      </c>
      <c r="I987" s="0" t="s">
        <v>3299</v>
      </c>
      <c r="J987" s="0" t="s">
        <v>3300</v>
      </c>
      <c r="K987" s="0" t="s">
        <v>3301</v>
      </c>
      <c r="L987" s="0" t="str">
        <f aca="false">HYPERLINK("https://www.ncbi.nlm.nih.gov/nuccore/CP000304.1?report=graph&amp;tracks=[key:gene_model_track,Options:GeneOnly]&amp;mk=291815:291834|offset_23|00cc00,291781:291800|offset_57|444444,291761:291780|offset_77|444444,291735:291754|offset_103|444444&amp;v=291614:291954&amp;c=444444", "offset 23")</f>
        <v>offset 23</v>
      </c>
    </row>
    <row r="988" customFormat="false" ht="12.8" hidden="false" customHeight="false" outlineLevel="0" collapsed="false">
      <c r="A988" s="0" t="s">
        <v>12</v>
      </c>
      <c r="B988" s="0" t="n">
        <v>291780</v>
      </c>
      <c r="C988" s="0" t="n">
        <v>291800</v>
      </c>
      <c r="D988" s="0" t="s">
        <v>3298</v>
      </c>
      <c r="E988" s="0" t="s">
        <v>89</v>
      </c>
      <c r="F988" s="0" t="s">
        <v>90</v>
      </c>
      <c r="G988" s="0" t="s">
        <v>16</v>
      </c>
      <c r="H988" s="0" t="n">
        <v>57</v>
      </c>
      <c r="I988" s="0" t="s">
        <v>3302</v>
      </c>
      <c r="J988" s="0" t="s">
        <v>3303</v>
      </c>
      <c r="K988" s="0" t="s">
        <v>3304</v>
      </c>
      <c r="L988" s="0" t="str">
        <f aca="false">HYPERLINK("https://www.ncbi.nlm.nih.gov/nuccore/CP000304.1?report=graph&amp;tracks=[key:gene_model_track,Options:GeneOnly]&amp;mk=291815:291834|offset_23|444444,291781:291800|offset_57|00cc00,291761:291780|offset_77|444444,291735:291754|offset_103|444444&amp;v=291614:291954&amp;c=444444", "offset 57")</f>
        <v>offset 57</v>
      </c>
    </row>
    <row r="989" customFormat="false" ht="12.8" hidden="false" customHeight="false" outlineLevel="0" collapsed="false">
      <c r="A989" s="0" t="s">
        <v>12</v>
      </c>
      <c r="B989" s="0" t="n">
        <v>291760</v>
      </c>
      <c r="C989" s="0" t="n">
        <v>291780</v>
      </c>
      <c r="D989" s="0" t="s">
        <v>3298</v>
      </c>
      <c r="E989" s="0" t="s">
        <v>89</v>
      </c>
      <c r="F989" s="0" t="s">
        <v>90</v>
      </c>
      <c r="G989" s="0" t="s">
        <v>26</v>
      </c>
      <c r="H989" s="0" t="n">
        <v>77</v>
      </c>
      <c r="I989" s="0" t="s">
        <v>3305</v>
      </c>
      <c r="J989" s="0" t="s">
        <v>3306</v>
      </c>
      <c r="K989" s="0" t="s">
        <v>3307</v>
      </c>
      <c r="L989" s="0" t="str">
        <f aca="false">HYPERLINK("https://www.ncbi.nlm.nih.gov/nuccore/CP000304.1?report=graph&amp;tracks=[key:gene_model_track,Options:GeneOnly]&amp;mk=291815:291834|offset_23|444444,291781:291800|offset_57|444444,291761:291780|offset_77|00cc00,291735:291754|offset_103|444444&amp;v=291614:291954&amp;c=444444", "offset 77")</f>
        <v>offset 77</v>
      </c>
    </row>
    <row r="990" customFormat="false" ht="12.8" hidden="false" customHeight="false" outlineLevel="0" collapsed="false">
      <c r="A990" s="0" t="s">
        <v>12</v>
      </c>
      <c r="B990" s="0" t="n">
        <v>291734</v>
      </c>
      <c r="C990" s="0" t="n">
        <v>291754</v>
      </c>
      <c r="D990" s="0" t="s">
        <v>3298</v>
      </c>
      <c r="E990" s="0" t="s">
        <v>89</v>
      </c>
      <c r="F990" s="0" t="s">
        <v>90</v>
      </c>
      <c r="G990" s="0" t="s">
        <v>26</v>
      </c>
      <c r="H990" s="0" t="n">
        <v>103</v>
      </c>
      <c r="I990" s="0" t="s">
        <v>3308</v>
      </c>
      <c r="J990" s="0" t="s">
        <v>3309</v>
      </c>
      <c r="K990" s="0" t="s">
        <v>3310</v>
      </c>
      <c r="L990" s="0" t="str">
        <f aca="false">HYPERLINK("https://www.ncbi.nlm.nih.gov/nuccore/CP000304.1?report=graph&amp;tracks=[key:gene_model_track,Options:GeneOnly]&amp;mk=291815:291834|offset_23|444444,291781:291800|offset_57|444444,291761:291780|offset_77|444444,291735:291754|offset_103|00cc00&amp;v=291614:291954&amp;c=444444", "offset 103")</f>
        <v>offset 103</v>
      </c>
    </row>
    <row r="991" customFormat="false" ht="12.8" hidden="false" customHeight="false" outlineLevel="0" collapsed="false">
      <c r="A991" s="0" t="s">
        <v>12</v>
      </c>
      <c r="B991" s="0" t="n">
        <v>292214</v>
      </c>
      <c r="C991" s="0" t="n">
        <v>292234</v>
      </c>
      <c r="D991" s="0" t="s">
        <v>3311</v>
      </c>
      <c r="E991" s="0" t="s">
        <v>89</v>
      </c>
      <c r="F991" s="0" t="s">
        <v>90</v>
      </c>
      <c r="G991" s="0" t="s">
        <v>32</v>
      </c>
      <c r="H991" s="0" t="n">
        <v>1</v>
      </c>
      <c r="I991" s="0" t="s">
        <v>3312</v>
      </c>
      <c r="J991" s="0" t="s">
        <v>3313</v>
      </c>
      <c r="K991" s="0" t="s">
        <v>3314</v>
      </c>
      <c r="L991" s="0" t="str">
        <f aca="false">HYPERLINK("https://www.ncbi.nlm.nih.gov/nuccore/CP000304.1?report=graph&amp;tracks=[key:gene_model_track,Options:GeneOnly]&amp;mk=292215:292234|offset_1|00cc00,292189:292208|offset_27|444444,292151:292170|offset_65|444444,292127:292146|offset_89|444444&amp;v=292014:292346&amp;c=444444", "offset 1")</f>
        <v>offset 1</v>
      </c>
    </row>
    <row r="992" customFormat="false" ht="12.8" hidden="false" customHeight="false" outlineLevel="0" collapsed="false">
      <c r="A992" s="0" t="s">
        <v>12</v>
      </c>
      <c r="B992" s="0" t="n">
        <v>292188</v>
      </c>
      <c r="C992" s="0" t="n">
        <v>292208</v>
      </c>
      <c r="D992" s="0" t="s">
        <v>3311</v>
      </c>
      <c r="E992" s="0" t="s">
        <v>89</v>
      </c>
      <c r="F992" s="0" t="s">
        <v>90</v>
      </c>
      <c r="G992" s="0" t="s">
        <v>36</v>
      </c>
      <c r="H992" s="0" t="n">
        <v>27</v>
      </c>
      <c r="I992" s="0" t="s">
        <v>3315</v>
      </c>
      <c r="J992" s="0" t="s">
        <v>3316</v>
      </c>
      <c r="K992" s="0" t="s">
        <v>3317</v>
      </c>
      <c r="L992" s="0" t="str">
        <f aca="false">HYPERLINK("https://www.ncbi.nlm.nih.gov/nuccore/CP000304.1?report=graph&amp;tracks=[key:gene_model_track,Options:GeneOnly]&amp;mk=292215:292234|offset_1|444444,292189:292208|offset_27|00cc00,292151:292170|offset_65|444444,292127:292146|offset_89|444444&amp;v=292014:292346&amp;c=444444", "offset 27")</f>
        <v>offset 27</v>
      </c>
    </row>
    <row r="993" customFormat="false" ht="12.8" hidden="false" customHeight="false" outlineLevel="0" collapsed="false">
      <c r="A993" s="0" t="s">
        <v>12</v>
      </c>
      <c r="B993" s="0" t="n">
        <v>292150</v>
      </c>
      <c r="C993" s="0" t="n">
        <v>292170</v>
      </c>
      <c r="D993" s="0" t="s">
        <v>3311</v>
      </c>
      <c r="E993" s="0" t="s">
        <v>89</v>
      </c>
      <c r="F993" s="0" t="s">
        <v>90</v>
      </c>
      <c r="G993" s="0" t="s">
        <v>32</v>
      </c>
      <c r="H993" s="0" t="n">
        <v>65</v>
      </c>
      <c r="I993" s="0" t="s">
        <v>3318</v>
      </c>
      <c r="J993" s="0" t="s">
        <v>3319</v>
      </c>
      <c r="K993" s="0" t="s">
        <v>3320</v>
      </c>
      <c r="L993" s="0" t="str">
        <f aca="false">HYPERLINK("https://www.ncbi.nlm.nih.gov/nuccore/CP000304.1?report=graph&amp;tracks=[key:gene_model_track,Options:GeneOnly]&amp;mk=292215:292234|offset_1|444444,292189:292208|offset_27|444444,292151:292170|offset_65|00cc00,292127:292146|offset_89|444444&amp;v=292014:292346&amp;c=444444", "offset 65")</f>
        <v>offset 65</v>
      </c>
    </row>
    <row r="994" customFormat="false" ht="12.8" hidden="false" customHeight="false" outlineLevel="0" collapsed="false">
      <c r="A994" s="0" t="s">
        <v>12</v>
      </c>
      <c r="B994" s="0" t="n">
        <v>292126</v>
      </c>
      <c r="C994" s="0" t="n">
        <v>292146</v>
      </c>
      <c r="D994" s="0" t="s">
        <v>3311</v>
      </c>
      <c r="E994" s="0" t="s">
        <v>89</v>
      </c>
      <c r="F994" s="0" t="s">
        <v>90</v>
      </c>
      <c r="G994" s="0" t="s">
        <v>36</v>
      </c>
      <c r="H994" s="0" t="n">
        <v>89</v>
      </c>
      <c r="I994" s="0" t="s">
        <v>3321</v>
      </c>
      <c r="J994" s="0" t="s">
        <v>3322</v>
      </c>
      <c r="K994" s="0" t="s">
        <v>3323</v>
      </c>
      <c r="L994" s="0" t="str">
        <f aca="false">HYPERLINK("https://www.ncbi.nlm.nih.gov/nuccore/CP000304.1?report=graph&amp;tracks=[key:gene_model_track,Options:GeneOnly]&amp;mk=292215:292234|offset_1|444444,292189:292208|offset_27|444444,292151:292170|offset_65|444444,292127:292146|offset_89|00cc00&amp;v=292014:292346&amp;c=444444", "offset 89")</f>
        <v>offset 89</v>
      </c>
    </row>
    <row r="995" customFormat="false" ht="12.8" hidden="false" customHeight="false" outlineLevel="0" collapsed="false">
      <c r="A995" s="0" t="s">
        <v>12</v>
      </c>
      <c r="B995" s="0" t="n">
        <v>293768</v>
      </c>
      <c r="C995" s="0" t="n">
        <v>293788</v>
      </c>
      <c r="D995" s="0" t="s">
        <v>3324</v>
      </c>
      <c r="E995" s="0" t="s">
        <v>89</v>
      </c>
      <c r="F995" s="0" t="s">
        <v>90</v>
      </c>
      <c r="G995" s="0" t="s">
        <v>16</v>
      </c>
      <c r="H995" s="0" t="n">
        <v>95</v>
      </c>
      <c r="I995" s="0" t="s">
        <v>3325</v>
      </c>
      <c r="J995" s="0" t="s">
        <v>3326</v>
      </c>
      <c r="K995" s="0" t="s">
        <v>3327</v>
      </c>
      <c r="L995" s="0" t="str">
        <f aca="false">HYPERLINK("https://www.ncbi.nlm.nih.gov/nuccore/CP000304.1?report=graph&amp;tracks=[key:gene_model_track,Options:GeneOnly]&amp;mk=293769:293788|offset_95|00cc00,293746:293765|offset_118|444444,293724:293743|offset_140|444444,293674:293693|offset_190|444444&amp;v=293568:293893&amp;c=444444", "offset 95")</f>
        <v>offset 95</v>
      </c>
    </row>
    <row r="996" customFormat="false" ht="12.8" hidden="false" customHeight="false" outlineLevel="0" collapsed="false">
      <c r="A996" s="0" t="s">
        <v>12</v>
      </c>
      <c r="B996" s="0" t="n">
        <v>293745</v>
      </c>
      <c r="C996" s="0" t="n">
        <v>293765</v>
      </c>
      <c r="D996" s="0" t="s">
        <v>3324</v>
      </c>
      <c r="E996" s="0" t="s">
        <v>89</v>
      </c>
      <c r="F996" s="0" t="s">
        <v>90</v>
      </c>
      <c r="G996" s="0" t="s">
        <v>36</v>
      </c>
      <c r="H996" s="0" t="n">
        <v>118</v>
      </c>
      <c r="I996" s="0" t="s">
        <v>3328</v>
      </c>
      <c r="J996" s="0" t="s">
        <v>3329</v>
      </c>
      <c r="K996" s="0" t="s">
        <v>3330</v>
      </c>
      <c r="L996" s="0" t="str">
        <f aca="false">HYPERLINK("https://www.ncbi.nlm.nih.gov/nuccore/CP000304.1?report=graph&amp;tracks=[key:gene_model_track,Options:GeneOnly]&amp;mk=293769:293788|offset_95|444444,293746:293765|offset_118|00cc00,293724:293743|offset_140|444444,293674:293693|offset_190|444444&amp;v=293568:293893&amp;c=444444", "offset 118")</f>
        <v>offset 118</v>
      </c>
    </row>
    <row r="997" customFormat="false" ht="12.8" hidden="false" customHeight="false" outlineLevel="0" collapsed="false">
      <c r="A997" s="0" t="s">
        <v>12</v>
      </c>
      <c r="B997" s="0" t="n">
        <v>293723</v>
      </c>
      <c r="C997" s="0" t="n">
        <v>293743</v>
      </c>
      <c r="D997" s="0" t="s">
        <v>3324</v>
      </c>
      <c r="E997" s="0" t="s">
        <v>89</v>
      </c>
      <c r="F997" s="0" t="s">
        <v>90</v>
      </c>
      <c r="G997" s="0" t="s">
        <v>36</v>
      </c>
      <c r="H997" s="0" t="n">
        <v>140</v>
      </c>
      <c r="I997" s="0" t="s">
        <v>3331</v>
      </c>
      <c r="J997" s="0" t="s">
        <v>3332</v>
      </c>
      <c r="K997" s="0" t="s">
        <v>3333</v>
      </c>
      <c r="L997" s="0" t="str">
        <f aca="false">HYPERLINK("https://www.ncbi.nlm.nih.gov/nuccore/CP000304.1?report=graph&amp;tracks=[key:gene_model_track,Options:GeneOnly]&amp;mk=293769:293788|offset_95|444444,293746:293765|offset_118|444444,293724:293743|offset_140|00cc00,293674:293693|offset_190|444444&amp;v=293568:293893&amp;c=444444", "offset 140")</f>
        <v>offset 140</v>
      </c>
    </row>
    <row r="998" customFormat="false" ht="12.8" hidden="false" customHeight="false" outlineLevel="0" collapsed="false">
      <c r="A998" s="0" t="s">
        <v>12</v>
      </c>
      <c r="B998" s="0" t="n">
        <v>293673</v>
      </c>
      <c r="C998" s="0" t="n">
        <v>293693</v>
      </c>
      <c r="D998" s="0" t="s">
        <v>3324</v>
      </c>
      <c r="E998" s="0" t="s">
        <v>89</v>
      </c>
      <c r="F998" s="0" t="s">
        <v>90</v>
      </c>
      <c r="G998" s="0" t="s">
        <v>32</v>
      </c>
      <c r="H998" s="0" t="n">
        <v>190</v>
      </c>
      <c r="I998" s="0" t="s">
        <v>3334</v>
      </c>
      <c r="J998" s="0" t="s">
        <v>3335</v>
      </c>
      <c r="K998" s="0" t="s">
        <v>3336</v>
      </c>
      <c r="L998" s="0" t="str">
        <f aca="false">HYPERLINK("https://www.ncbi.nlm.nih.gov/nuccore/CP000304.1?report=graph&amp;tracks=[key:gene_model_track,Options:GeneOnly]&amp;mk=293769:293788|offset_95|444444,293746:293765|offset_118|444444,293724:293743|offset_140|444444,293674:293693|offset_190|00cc00&amp;v=293568:293893&amp;c=444444", "offset 190")</f>
        <v>offset 190</v>
      </c>
    </row>
    <row r="999" customFormat="false" ht="12.8" hidden="false" customHeight="false" outlineLevel="0" collapsed="false">
      <c r="A999" s="0" t="s">
        <v>12</v>
      </c>
      <c r="B999" s="0" t="n">
        <v>295129</v>
      </c>
      <c r="C999" s="0" t="n">
        <v>295149</v>
      </c>
      <c r="D999" s="0" t="s">
        <v>3337</v>
      </c>
      <c r="E999" s="0" t="s">
        <v>89</v>
      </c>
      <c r="F999" s="0" t="s">
        <v>90</v>
      </c>
      <c r="G999" s="0" t="s">
        <v>16</v>
      </c>
      <c r="H999" s="0" t="n">
        <v>0</v>
      </c>
      <c r="I999" s="0" t="s">
        <v>3338</v>
      </c>
      <c r="J999" s="0" t="s">
        <v>3339</v>
      </c>
      <c r="K999" s="0" t="s">
        <v>3340</v>
      </c>
      <c r="L999" s="0" t="str">
        <f aca="false">HYPERLINK("https://www.ncbi.nlm.nih.gov/nuccore/CP000304.1?report=graph&amp;tracks=[key:gene_model_track,Options:GeneOnly]&amp;mk=295130:295149|offset_0|00cc00,295110:295129|offset_20|444444,295075:295094|offset_55|444444,295052:295071|offset_78|444444&amp;v=294929:295271&amp;c=444444", "offset 0")</f>
        <v>offset 0</v>
      </c>
    </row>
    <row r="1000" customFormat="false" ht="12.8" hidden="false" customHeight="false" outlineLevel="0" collapsed="false">
      <c r="A1000" s="0" t="s">
        <v>12</v>
      </c>
      <c r="B1000" s="0" t="n">
        <v>295109</v>
      </c>
      <c r="C1000" s="0" t="n">
        <v>295129</v>
      </c>
      <c r="D1000" s="0" t="s">
        <v>3337</v>
      </c>
      <c r="E1000" s="0" t="s">
        <v>89</v>
      </c>
      <c r="F1000" s="0" t="s">
        <v>90</v>
      </c>
      <c r="G1000" s="0" t="s">
        <v>16</v>
      </c>
      <c r="H1000" s="0" t="n">
        <v>20</v>
      </c>
      <c r="I1000" s="0" t="s">
        <v>3341</v>
      </c>
      <c r="J1000" s="0" t="s">
        <v>3342</v>
      </c>
      <c r="K1000" s="0" t="s">
        <v>3343</v>
      </c>
      <c r="L1000" s="0" t="str">
        <f aca="false">HYPERLINK("https://www.ncbi.nlm.nih.gov/nuccore/CP000304.1?report=graph&amp;tracks=[key:gene_model_track,Options:GeneOnly]&amp;mk=295130:295149|offset_0|444444,295110:295129|offset_20|00cc00,295075:295094|offset_55|444444,295052:295071|offset_78|444444&amp;v=294929:295271&amp;c=444444", "offset 20")</f>
        <v>offset 20</v>
      </c>
    </row>
    <row r="1001" customFormat="false" ht="12.8" hidden="false" customHeight="false" outlineLevel="0" collapsed="false">
      <c r="A1001" s="0" t="s">
        <v>12</v>
      </c>
      <c r="B1001" s="0" t="n">
        <v>295074</v>
      </c>
      <c r="C1001" s="0" t="n">
        <v>295094</v>
      </c>
      <c r="D1001" s="0" t="s">
        <v>3337</v>
      </c>
      <c r="E1001" s="0" t="s">
        <v>89</v>
      </c>
      <c r="F1001" s="0" t="s">
        <v>90</v>
      </c>
      <c r="G1001" s="0" t="s">
        <v>16</v>
      </c>
      <c r="H1001" s="0" t="n">
        <v>55</v>
      </c>
      <c r="I1001" s="0" t="s">
        <v>3344</v>
      </c>
      <c r="J1001" s="0" t="s">
        <v>3345</v>
      </c>
      <c r="K1001" s="0" t="s">
        <v>3346</v>
      </c>
      <c r="L1001" s="0" t="str">
        <f aca="false">HYPERLINK("https://www.ncbi.nlm.nih.gov/nuccore/CP000304.1?report=graph&amp;tracks=[key:gene_model_track,Options:GeneOnly]&amp;mk=295130:295149|offset_0|444444,295110:295129|offset_20|444444,295075:295094|offset_55|00cc00,295052:295071|offset_78|444444&amp;v=294929:295271&amp;c=444444", "offset 55")</f>
        <v>offset 55</v>
      </c>
    </row>
    <row r="1002" customFormat="false" ht="12.8" hidden="false" customHeight="false" outlineLevel="0" collapsed="false">
      <c r="A1002" s="0" t="s">
        <v>12</v>
      </c>
      <c r="B1002" s="0" t="n">
        <v>295051</v>
      </c>
      <c r="C1002" s="0" t="n">
        <v>295071</v>
      </c>
      <c r="D1002" s="0" t="s">
        <v>3337</v>
      </c>
      <c r="E1002" s="0" t="s">
        <v>89</v>
      </c>
      <c r="F1002" s="0" t="s">
        <v>90</v>
      </c>
      <c r="G1002" s="0" t="s">
        <v>36</v>
      </c>
      <c r="H1002" s="0" t="n">
        <v>78</v>
      </c>
      <c r="I1002" s="0" t="s">
        <v>3347</v>
      </c>
      <c r="J1002" s="0" t="s">
        <v>3348</v>
      </c>
      <c r="K1002" s="0" t="s">
        <v>3349</v>
      </c>
      <c r="L1002" s="0" t="str">
        <f aca="false">HYPERLINK("https://www.ncbi.nlm.nih.gov/nuccore/CP000304.1?report=graph&amp;tracks=[key:gene_model_track,Options:GeneOnly]&amp;mk=295130:295149|offset_0|444444,295110:295129|offset_20|444444,295075:295094|offset_55|444444,295052:295071|offset_78|00cc00&amp;v=294929:295271&amp;c=444444", "offset 78")</f>
        <v>offset 78</v>
      </c>
    </row>
    <row r="1003" customFormat="false" ht="12.8" hidden="false" customHeight="false" outlineLevel="0" collapsed="false">
      <c r="A1003" s="0" t="s">
        <v>12</v>
      </c>
      <c r="B1003" s="0" t="n">
        <v>296241</v>
      </c>
      <c r="C1003" s="0" t="n">
        <v>296261</v>
      </c>
      <c r="D1003" s="0" t="s">
        <v>3350</v>
      </c>
      <c r="E1003" s="0" t="s">
        <v>89</v>
      </c>
      <c r="F1003" s="0" t="s">
        <v>90</v>
      </c>
      <c r="G1003" s="0" t="s">
        <v>36</v>
      </c>
      <c r="H1003" s="0" t="n">
        <v>20</v>
      </c>
      <c r="I1003" s="0" t="s">
        <v>3351</v>
      </c>
      <c r="J1003" s="0" t="s">
        <v>3352</v>
      </c>
      <c r="K1003" s="0" t="s">
        <v>3353</v>
      </c>
      <c r="L1003" s="0" t="str">
        <f aca="false">HYPERLINK("https://www.ncbi.nlm.nih.gov/nuccore/CP000304.1?report=graph&amp;tracks=[key:gene_model_track,Options:GeneOnly]&amp;mk=296242:296261|offset_20|00cc00,296218:296237|offset_44|444444,296193:296212|offset_69|444444,296140:296159|offset_122|444444&amp;v=296041:296359&amp;c=444444", "offset 20")</f>
        <v>offset 20</v>
      </c>
    </row>
    <row r="1004" customFormat="false" ht="12.8" hidden="false" customHeight="false" outlineLevel="0" collapsed="false">
      <c r="A1004" s="0" t="s">
        <v>12</v>
      </c>
      <c r="B1004" s="0" t="n">
        <v>296217</v>
      </c>
      <c r="C1004" s="0" t="n">
        <v>296237</v>
      </c>
      <c r="D1004" s="0" t="s">
        <v>3350</v>
      </c>
      <c r="E1004" s="0" t="s">
        <v>89</v>
      </c>
      <c r="F1004" s="0" t="s">
        <v>90</v>
      </c>
      <c r="G1004" s="0" t="s">
        <v>16</v>
      </c>
      <c r="H1004" s="0" t="n">
        <v>44</v>
      </c>
      <c r="I1004" s="0" t="s">
        <v>3354</v>
      </c>
      <c r="J1004" s="0" t="s">
        <v>3355</v>
      </c>
      <c r="K1004" s="0" t="s">
        <v>3356</v>
      </c>
      <c r="L1004" s="0" t="str">
        <f aca="false">HYPERLINK("https://www.ncbi.nlm.nih.gov/nuccore/CP000304.1?report=graph&amp;tracks=[key:gene_model_track,Options:GeneOnly]&amp;mk=296242:296261|offset_20|444444,296218:296237|offset_44|00cc00,296193:296212|offset_69|444444,296140:296159|offset_122|444444&amp;v=296041:296359&amp;c=444444", "offset 44")</f>
        <v>offset 44</v>
      </c>
    </row>
    <row r="1005" customFormat="false" ht="12.8" hidden="false" customHeight="false" outlineLevel="0" collapsed="false">
      <c r="A1005" s="0" t="s">
        <v>12</v>
      </c>
      <c r="B1005" s="0" t="n">
        <v>296192</v>
      </c>
      <c r="C1005" s="0" t="n">
        <v>296212</v>
      </c>
      <c r="D1005" s="0" t="s">
        <v>3350</v>
      </c>
      <c r="E1005" s="0" t="s">
        <v>89</v>
      </c>
      <c r="F1005" s="0" t="s">
        <v>90</v>
      </c>
      <c r="G1005" s="0" t="s">
        <v>32</v>
      </c>
      <c r="H1005" s="0" t="n">
        <v>69</v>
      </c>
      <c r="I1005" s="0" t="s">
        <v>3357</v>
      </c>
      <c r="J1005" s="0" t="s">
        <v>3358</v>
      </c>
      <c r="K1005" s="0" t="s">
        <v>3359</v>
      </c>
      <c r="L1005" s="0" t="str">
        <f aca="false">HYPERLINK("https://www.ncbi.nlm.nih.gov/nuccore/CP000304.1?report=graph&amp;tracks=[key:gene_model_track,Options:GeneOnly]&amp;mk=296242:296261|offset_20|444444,296218:296237|offset_44|444444,296193:296212|offset_69|00cc00,296140:296159|offset_122|444444&amp;v=296041:296359&amp;c=444444", "offset 69")</f>
        <v>offset 69</v>
      </c>
    </row>
    <row r="1006" customFormat="false" ht="12.8" hidden="false" customHeight="false" outlineLevel="0" collapsed="false">
      <c r="A1006" s="0" t="s">
        <v>12</v>
      </c>
      <c r="B1006" s="0" t="n">
        <v>296139</v>
      </c>
      <c r="C1006" s="0" t="n">
        <v>296159</v>
      </c>
      <c r="D1006" s="0" t="s">
        <v>3350</v>
      </c>
      <c r="E1006" s="0" t="s">
        <v>89</v>
      </c>
      <c r="F1006" s="0" t="s">
        <v>90</v>
      </c>
      <c r="G1006" s="0" t="s">
        <v>32</v>
      </c>
      <c r="H1006" s="0" t="n">
        <v>122</v>
      </c>
      <c r="I1006" s="0" t="s">
        <v>3360</v>
      </c>
      <c r="J1006" s="0" t="s">
        <v>3361</v>
      </c>
      <c r="K1006" s="0" t="s">
        <v>3362</v>
      </c>
      <c r="L1006" s="0" t="str">
        <f aca="false">HYPERLINK("https://www.ncbi.nlm.nih.gov/nuccore/CP000304.1?report=graph&amp;tracks=[key:gene_model_track,Options:GeneOnly]&amp;mk=296242:296261|offset_20|444444,296218:296237|offset_44|444444,296193:296212|offset_69|444444,296140:296159|offset_122|00cc00&amp;v=296041:296359&amp;c=444444", "offset 122")</f>
        <v>offset 122</v>
      </c>
    </row>
    <row r="1007" customFormat="false" ht="12.8" hidden="false" customHeight="false" outlineLevel="0" collapsed="false">
      <c r="A1007" s="0" t="s">
        <v>12</v>
      </c>
      <c r="B1007" s="0" t="n">
        <v>297414</v>
      </c>
      <c r="C1007" s="0" t="n">
        <v>297434</v>
      </c>
      <c r="D1007" s="0" t="s">
        <v>3363</v>
      </c>
      <c r="E1007" s="0" t="s">
        <v>89</v>
      </c>
      <c r="F1007" s="0" t="s">
        <v>90</v>
      </c>
      <c r="G1007" s="0" t="s">
        <v>26</v>
      </c>
      <c r="H1007" s="0" t="n">
        <v>6</v>
      </c>
      <c r="I1007" s="0" t="s">
        <v>3364</v>
      </c>
      <c r="J1007" s="0" t="s">
        <v>3365</v>
      </c>
      <c r="K1007" s="0" t="s">
        <v>3366</v>
      </c>
      <c r="L1007" s="0" t="str">
        <f aca="false">HYPERLINK("https://www.ncbi.nlm.nih.gov/nuccore/CP000304.1?report=graph&amp;tracks=[key:gene_model_track,Options:GeneOnly]&amp;mk=297415:297434|offset_6|00cc00,297382:297401|offset_39|444444,297362:297381|offset_59|444444,297338:297357|offset_83|444444&amp;v=297214:297557&amp;c=444444", "offset 6")</f>
        <v>offset 6</v>
      </c>
    </row>
    <row r="1008" customFormat="false" ht="12.8" hidden="false" customHeight="false" outlineLevel="0" collapsed="false">
      <c r="A1008" s="0" t="s">
        <v>12</v>
      </c>
      <c r="B1008" s="0" t="n">
        <v>297381</v>
      </c>
      <c r="C1008" s="0" t="n">
        <v>297401</v>
      </c>
      <c r="D1008" s="0" t="s">
        <v>3363</v>
      </c>
      <c r="E1008" s="0" t="s">
        <v>89</v>
      </c>
      <c r="F1008" s="0" t="s">
        <v>90</v>
      </c>
      <c r="G1008" s="0" t="s">
        <v>32</v>
      </c>
      <c r="H1008" s="0" t="n">
        <v>39</v>
      </c>
      <c r="I1008" s="0" t="s">
        <v>3367</v>
      </c>
      <c r="J1008" s="0" t="s">
        <v>3368</v>
      </c>
      <c r="K1008" s="0" t="s">
        <v>3369</v>
      </c>
      <c r="L1008" s="0" t="str">
        <f aca="false">HYPERLINK("https://www.ncbi.nlm.nih.gov/nuccore/CP000304.1?report=graph&amp;tracks=[key:gene_model_track,Options:GeneOnly]&amp;mk=297415:297434|offset_6|444444,297382:297401|offset_39|00cc00,297362:297381|offset_59|444444,297338:297357|offset_83|444444&amp;v=297214:297557&amp;c=444444", "offset 39")</f>
        <v>offset 39</v>
      </c>
    </row>
    <row r="1009" customFormat="false" ht="12.8" hidden="false" customHeight="false" outlineLevel="0" collapsed="false">
      <c r="A1009" s="0" t="s">
        <v>12</v>
      </c>
      <c r="B1009" s="0" t="n">
        <v>297361</v>
      </c>
      <c r="C1009" s="0" t="n">
        <v>297381</v>
      </c>
      <c r="D1009" s="0" t="s">
        <v>3363</v>
      </c>
      <c r="E1009" s="0" t="s">
        <v>89</v>
      </c>
      <c r="F1009" s="0" t="s">
        <v>90</v>
      </c>
      <c r="G1009" s="0" t="s">
        <v>26</v>
      </c>
      <c r="H1009" s="0" t="n">
        <v>59</v>
      </c>
      <c r="I1009" s="0" t="s">
        <v>3370</v>
      </c>
      <c r="J1009" s="0" t="s">
        <v>3371</v>
      </c>
      <c r="K1009" s="0" t="s">
        <v>3372</v>
      </c>
      <c r="L1009" s="0" t="str">
        <f aca="false">HYPERLINK("https://www.ncbi.nlm.nih.gov/nuccore/CP000304.1?report=graph&amp;tracks=[key:gene_model_track,Options:GeneOnly]&amp;mk=297415:297434|offset_6|444444,297382:297401|offset_39|444444,297362:297381|offset_59|00cc00,297338:297357|offset_83|444444&amp;v=297214:297557&amp;c=444444", "offset 59")</f>
        <v>offset 59</v>
      </c>
    </row>
    <row r="1010" customFormat="false" ht="12.8" hidden="false" customHeight="false" outlineLevel="0" collapsed="false">
      <c r="A1010" s="0" t="s">
        <v>12</v>
      </c>
      <c r="B1010" s="0" t="n">
        <v>297337</v>
      </c>
      <c r="C1010" s="0" t="n">
        <v>297357</v>
      </c>
      <c r="D1010" s="0" t="s">
        <v>3363</v>
      </c>
      <c r="E1010" s="0" t="s">
        <v>89</v>
      </c>
      <c r="F1010" s="0" t="s">
        <v>90</v>
      </c>
      <c r="G1010" s="0" t="s">
        <v>26</v>
      </c>
      <c r="H1010" s="0" t="n">
        <v>83</v>
      </c>
      <c r="I1010" s="0" t="s">
        <v>3373</v>
      </c>
      <c r="J1010" s="0" t="s">
        <v>3374</v>
      </c>
      <c r="K1010" s="0" t="s">
        <v>3375</v>
      </c>
      <c r="L1010" s="0" t="str">
        <f aca="false">HYPERLINK("https://www.ncbi.nlm.nih.gov/nuccore/CP000304.1?report=graph&amp;tracks=[key:gene_model_track,Options:GeneOnly]&amp;mk=297415:297434|offset_6|444444,297382:297401|offset_39|444444,297362:297381|offset_59|444444,297338:297357|offset_83|00cc00&amp;v=297214:297557&amp;c=444444", "offset 83")</f>
        <v>offset 83</v>
      </c>
    </row>
    <row r="1011" customFormat="false" ht="12.8" hidden="false" customHeight="false" outlineLevel="0" collapsed="false">
      <c r="A1011" s="0" t="s">
        <v>12</v>
      </c>
      <c r="B1011" s="0" t="n">
        <v>298958</v>
      </c>
      <c r="C1011" s="0" t="n">
        <v>298978</v>
      </c>
      <c r="D1011" s="0" t="s">
        <v>3376</v>
      </c>
      <c r="E1011" s="0" t="s">
        <v>89</v>
      </c>
      <c r="F1011" s="0" t="s">
        <v>90</v>
      </c>
      <c r="G1011" s="0" t="s">
        <v>32</v>
      </c>
      <c r="H1011" s="0" t="n">
        <v>7</v>
      </c>
      <c r="I1011" s="0" t="s">
        <v>3377</v>
      </c>
      <c r="J1011" s="0" t="s">
        <v>3378</v>
      </c>
      <c r="K1011" s="0" t="s">
        <v>3379</v>
      </c>
      <c r="L1011" s="0" t="str">
        <f aca="false">HYPERLINK("https://www.ncbi.nlm.nih.gov/nuccore/CP000304.1?report=graph&amp;tracks=[key:gene_model_track,Options:GeneOnly]&amp;mk=298959:298978|offset_7|00cc00,298931:298950|offset_35|444444,298908:298927|offset_58|444444,298885:298904|offset_81|444444&amp;v=298758:299104&amp;c=444444", "offset 7")</f>
        <v>offset 7</v>
      </c>
    </row>
    <row r="1012" customFormat="false" ht="12.8" hidden="false" customHeight="false" outlineLevel="0" collapsed="false">
      <c r="A1012" s="0" t="s">
        <v>12</v>
      </c>
      <c r="B1012" s="0" t="n">
        <v>298930</v>
      </c>
      <c r="C1012" s="0" t="n">
        <v>298950</v>
      </c>
      <c r="D1012" s="0" t="s">
        <v>3376</v>
      </c>
      <c r="E1012" s="0" t="s">
        <v>89</v>
      </c>
      <c r="F1012" s="0" t="s">
        <v>90</v>
      </c>
      <c r="G1012" s="0" t="s">
        <v>32</v>
      </c>
      <c r="H1012" s="0" t="n">
        <v>35</v>
      </c>
      <c r="I1012" s="0" t="s">
        <v>3380</v>
      </c>
      <c r="J1012" s="0" t="s">
        <v>3381</v>
      </c>
      <c r="K1012" s="0" t="s">
        <v>3382</v>
      </c>
      <c r="L1012" s="0" t="str">
        <f aca="false">HYPERLINK("https://www.ncbi.nlm.nih.gov/nuccore/CP000304.1?report=graph&amp;tracks=[key:gene_model_track,Options:GeneOnly]&amp;mk=298959:298978|offset_7|444444,298931:298950|offset_35|00cc00,298908:298927|offset_58|444444,298885:298904|offset_81|444444&amp;v=298758:299104&amp;c=444444", "offset 35")</f>
        <v>offset 35</v>
      </c>
    </row>
    <row r="1013" customFormat="false" ht="12.8" hidden="false" customHeight="false" outlineLevel="0" collapsed="false">
      <c r="A1013" s="0" t="s">
        <v>12</v>
      </c>
      <c r="B1013" s="0" t="n">
        <v>298907</v>
      </c>
      <c r="C1013" s="0" t="n">
        <v>298927</v>
      </c>
      <c r="D1013" s="0" t="s">
        <v>3376</v>
      </c>
      <c r="E1013" s="0" t="s">
        <v>89</v>
      </c>
      <c r="F1013" s="0" t="s">
        <v>90</v>
      </c>
      <c r="G1013" s="0" t="s">
        <v>16</v>
      </c>
      <c r="H1013" s="0" t="n">
        <v>58</v>
      </c>
      <c r="I1013" s="0" t="s">
        <v>3383</v>
      </c>
      <c r="J1013" s="0" t="s">
        <v>3384</v>
      </c>
      <c r="K1013" s="0" t="s">
        <v>3385</v>
      </c>
      <c r="L1013" s="0" t="str">
        <f aca="false">HYPERLINK("https://www.ncbi.nlm.nih.gov/nuccore/CP000304.1?report=graph&amp;tracks=[key:gene_model_track,Options:GeneOnly]&amp;mk=298959:298978|offset_7|444444,298931:298950|offset_35|444444,298908:298927|offset_58|00cc00,298885:298904|offset_81|444444&amp;v=298758:299104&amp;c=444444", "offset 58")</f>
        <v>offset 58</v>
      </c>
    </row>
    <row r="1014" customFormat="false" ht="12.8" hidden="false" customHeight="false" outlineLevel="0" collapsed="false">
      <c r="A1014" s="0" t="s">
        <v>12</v>
      </c>
      <c r="B1014" s="0" t="n">
        <v>298884</v>
      </c>
      <c r="C1014" s="0" t="n">
        <v>298904</v>
      </c>
      <c r="D1014" s="0" t="s">
        <v>3376</v>
      </c>
      <c r="E1014" s="0" t="s">
        <v>89</v>
      </c>
      <c r="F1014" s="0" t="s">
        <v>90</v>
      </c>
      <c r="G1014" s="0" t="s">
        <v>32</v>
      </c>
      <c r="H1014" s="0" t="n">
        <v>81</v>
      </c>
      <c r="I1014" s="0" t="s">
        <v>3386</v>
      </c>
      <c r="J1014" s="0" t="s">
        <v>3387</v>
      </c>
      <c r="K1014" s="0" t="s">
        <v>3388</v>
      </c>
      <c r="L1014" s="0" t="str">
        <f aca="false">HYPERLINK("https://www.ncbi.nlm.nih.gov/nuccore/CP000304.1?report=graph&amp;tracks=[key:gene_model_track,Options:GeneOnly]&amp;mk=298959:298978|offset_7|444444,298931:298950|offset_35|444444,298908:298927|offset_58|444444,298885:298904|offset_81|00cc00&amp;v=298758:299104&amp;c=444444", "offset 81")</f>
        <v>offset 81</v>
      </c>
    </row>
    <row r="1015" customFormat="false" ht="12.8" hidden="false" customHeight="false" outlineLevel="0" collapsed="false">
      <c r="A1015" s="0" t="s">
        <v>12</v>
      </c>
      <c r="B1015" s="0" t="n">
        <v>300413</v>
      </c>
      <c r="C1015" s="0" t="n">
        <v>300433</v>
      </c>
      <c r="D1015" s="0" t="s">
        <v>3389</v>
      </c>
      <c r="E1015" s="0" t="s">
        <v>89</v>
      </c>
      <c r="F1015" s="0" t="s">
        <v>90</v>
      </c>
      <c r="G1015" s="0" t="s">
        <v>32</v>
      </c>
      <c r="H1015" s="0" t="n">
        <v>19</v>
      </c>
      <c r="I1015" s="0" t="s">
        <v>3390</v>
      </c>
      <c r="J1015" s="0" t="s">
        <v>3391</v>
      </c>
      <c r="K1015" s="0" t="s">
        <v>3392</v>
      </c>
      <c r="L1015" s="0" t="str">
        <f aca="false">HYPERLINK("https://www.ncbi.nlm.nih.gov/nuccore/CP000304.1?report=graph&amp;tracks=[key:gene_model_track,Options:GeneOnly]&amp;mk=300414:300433|offset_19|00cc00,300384:300403|offset_49|444444,300360:300379|offset_73|444444,300327:300346|offset_106|444444&amp;v=300213:300546&amp;c=444444", "offset 19")</f>
        <v>offset 19</v>
      </c>
    </row>
    <row r="1016" customFormat="false" ht="12.8" hidden="false" customHeight="false" outlineLevel="0" collapsed="false">
      <c r="A1016" s="0" t="s">
        <v>12</v>
      </c>
      <c r="B1016" s="0" t="n">
        <v>300383</v>
      </c>
      <c r="C1016" s="0" t="n">
        <v>300403</v>
      </c>
      <c r="D1016" s="0" t="s">
        <v>3389</v>
      </c>
      <c r="E1016" s="0" t="s">
        <v>89</v>
      </c>
      <c r="F1016" s="0" t="s">
        <v>90</v>
      </c>
      <c r="G1016" s="0" t="s">
        <v>36</v>
      </c>
      <c r="H1016" s="0" t="n">
        <v>49</v>
      </c>
      <c r="I1016" s="0" t="s">
        <v>3393</v>
      </c>
      <c r="J1016" s="0" t="s">
        <v>3394</v>
      </c>
      <c r="K1016" s="0" t="s">
        <v>3395</v>
      </c>
      <c r="L1016" s="0" t="str">
        <f aca="false">HYPERLINK("https://www.ncbi.nlm.nih.gov/nuccore/CP000304.1?report=graph&amp;tracks=[key:gene_model_track,Options:GeneOnly]&amp;mk=300414:300433|offset_19|444444,300384:300403|offset_49|00cc00,300360:300379|offset_73|444444,300327:300346|offset_106|444444&amp;v=300213:300546&amp;c=444444", "offset 49")</f>
        <v>offset 49</v>
      </c>
    </row>
    <row r="1017" customFormat="false" ht="12.8" hidden="false" customHeight="false" outlineLevel="0" collapsed="false">
      <c r="A1017" s="0" t="s">
        <v>12</v>
      </c>
      <c r="B1017" s="0" t="n">
        <v>300359</v>
      </c>
      <c r="C1017" s="0" t="n">
        <v>300379</v>
      </c>
      <c r="D1017" s="0" t="s">
        <v>3389</v>
      </c>
      <c r="E1017" s="0" t="s">
        <v>89</v>
      </c>
      <c r="F1017" s="0" t="s">
        <v>90</v>
      </c>
      <c r="G1017" s="0" t="s">
        <v>26</v>
      </c>
      <c r="H1017" s="0" t="n">
        <v>73</v>
      </c>
      <c r="I1017" s="0" t="s">
        <v>3396</v>
      </c>
      <c r="J1017" s="0" t="s">
        <v>3397</v>
      </c>
      <c r="K1017" s="0" t="s">
        <v>3398</v>
      </c>
      <c r="L1017" s="0" t="str">
        <f aca="false">HYPERLINK("https://www.ncbi.nlm.nih.gov/nuccore/CP000304.1?report=graph&amp;tracks=[key:gene_model_track,Options:GeneOnly]&amp;mk=300414:300433|offset_19|444444,300384:300403|offset_49|444444,300360:300379|offset_73|00cc00,300327:300346|offset_106|444444&amp;v=300213:300546&amp;c=444444", "offset 73")</f>
        <v>offset 73</v>
      </c>
    </row>
    <row r="1018" customFormat="false" ht="12.8" hidden="false" customHeight="false" outlineLevel="0" collapsed="false">
      <c r="A1018" s="0" t="s">
        <v>12</v>
      </c>
      <c r="B1018" s="0" t="n">
        <v>300326</v>
      </c>
      <c r="C1018" s="0" t="n">
        <v>300346</v>
      </c>
      <c r="D1018" s="0" t="s">
        <v>3389</v>
      </c>
      <c r="E1018" s="0" t="s">
        <v>89</v>
      </c>
      <c r="F1018" s="0" t="s">
        <v>90</v>
      </c>
      <c r="G1018" s="0" t="s">
        <v>16</v>
      </c>
      <c r="H1018" s="0" t="n">
        <v>106</v>
      </c>
      <c r="I1018" s="0" t="s">
        <v>3399</v>
      </c>
      <c r="J1018" s="0" t="s">
        <v>3400</v>
      </c>
      <c r="K1018" s="0" t="s">
        <v>3401</v>
      </c>
      <c r="L1018" s="0" t="str">
        <f aca="false">HYPERLINK("https://www.ncbi.nlm.nih.gov/nuccore/CP000304.1?report=graph&amp;tracks=[key:gene_model_track,Options:GeneOnly]&amp;mk=300414:300433|offset_19|444444,300384:300403|offset_49|444444,300360:300379|offset_73|444444,300327:300346|offset_106|00cc00&amp;v=300213:300546&amp;c=444444", "offset 106")</f>
        <v>offset 106</v>
      </c>
    </row>
    <row r="1019" customFormat="false" ht="12.8" hidden="false" customHeight="false" outlineLevel="0" collapsed="false">
      <c r="A1019" s="0" t="s">
        <v>12</v>
      </c>
      <c r="B1019" s="0" t="n">
        <v>300976</v>
      </c>
      <c r="C1019" s="0" t="n">
        <v>300996</v>
      </c>
      <c r="D1019" s="0" t="s">
        <v>3402</v>
      </c>
      <c r="E1019" s="0" t="s">
        <v>89</v>
      </c>
      <c r="F1019" s="0" t="s">
        <v>90</v>
      </c>
      <c r="G1019" s="0" t="s">
        <v>32</v>
      </c>
      <c r="H1019" s="0" t="n">
        <v>0</v>
      </c>
      <c r="I1019" s="0" t="s">
        <v>3403</v>
      </c>
      <c r="J1019" s="0" t="s">
        <v>3404</v>
      </c>
      <c r="K1019" s="0" t="s">
        <v>3405</v>
      </c>
      <c r="L1019" s="0" t="str">
        <f aca="false">HYPERLINK("https://www.ncbi.nlm.nih.gov/nuccore/CP000304.1?report=graph&amp;tracks=[key:gene_model_track,Options:GeneOnly]&amp;mk=300977:300996|offset_0|00cc00,300956:300975|offset_21|444444,300936:300955|offset_41|444444,300912:300931|offset_65|444444&amp;v=300776:301131&amp;c=444444", "offset 0")</f>
        <v>offset 0</v>
      </c>
    </row>
    <row r="1020" customFormat="false" ht="12.8" hidden="false" customHeight="false" outlineLevel="0" collapsed="false">
      <c r="A1020" s="0" t="s">
        <v>12</v>
      </c>
      <c r="B1020" s="0" t="n">
        <v>300955</v>
      </c>
      <c r="C1020" s="0" t="n">
        <v>300975</v>
      </c>
      <c r="D1020" s="0" t="s">
        <v>3402</v>
      </c>
      <c r="E1020" s="0" t="s">
        <v>89</v>
      </c>
      <c r="F1020" s="0" t="s">
        <v>90</v>
      </c>
      <c r="G1020" s="0" t="s">
        <v>36</v>
      </c>
      <c r="H1020" s="0" t="n">
        <v>21</v>
      </c>
      <c r="I1020" s="0" t="s">
        <v>3406</v>
      </c>
      <c r="J1020" s="0" t="s">
        <v>3407</v>
      </c>
      <c r="K1020" s="0" t="s">
        <v>3408</v>
      </c>
      <c r="L1020" s="0" t="str">
        <f aca="false">HYPERLINK("https://www.ncbi.nlm.nih.gov/nuccore/CP000304.1?report=graph&amp;tracks=[key:gene_model_track,Options:GeneOnly]&amp;mk=300977:300996|offset_0|444444,300956:300975|offset_21|00cc00,300936:300955|offset_41|444444,300912:300931|offset_65|444444&amp;v=300776:301131&amp;c=444444", "offset 21")</f>
        <v>offset 21</v>
      </c>
    </row>
    <row r="1021" customFormat="false" ht="12.8" hidden="false" customHeight="false" outlineLevel="0" collapsed="false">
      <c r="A1021" s="0" t="s">
        <v>12</v>
      </c>
      <c r="B1021" s="0" t="n">
        <v>300935</v>
      </c>
      <c r="C1021" s="0" t="n">
        <v>300955</v>
      </c>
      <c r="D1021" s="0" t="s">
        <v>3402</v>
      </c>
      <c r="E1021" s="0" t="s">
        <v>89</v>
      </c>
      <c r="F1021" s="0" t="s">
        <v>90</v>
      </c>
      <c r="G1021" s="0" t="s">
        <v>26</v>
      </c>
      <c r="H1021" s="0" t="n">
        <v>41</v>
      </c>
      <c r="I1021" s="0" t="s">
        <v>3409</v>
      </c>
      <c r="J1021" s="0" t="s">
        <v>3410</v>
      </c>
      <c r="K1021" s="0" t="s">
        <v>3411</v>
      </c>
      <c r="L1021" s="0" t="str">
        <f aca="false">HYPERLINK("https://www.ncbi.nlm.nih.gov/nuccore/CP000304.1?report=graph&amp;tracks=[key:gene_model_track,Options:GeneOnly]&amp;mk=300977:300996|offset_0|444444,300956:300975|offset_21|444444,300936:300955|offset_41|00cc00,300912:300931|offset_65|444444&amp;v=300776:301131&amp;c=444444", "offset 41")</f>
        <v>offset 41</v>
      </c>
    </row>
    <row r="1022" customFormat="false" ht="12.8" hidden="false" customHeight="false" outlineLevel="0" collapsed="false">
      <c r="A1022" s="0" t="s">
        <v>12</v>
      </c>
      <c r="B1022" s="0" t="n">
        <v>300911</v>
      </c>
      <c r="C1022" s="0" t="n">
        <v>300931</v>
      </c>
      <c r="D1022" s="0" t="s">
        <v>3402</v>
      </c>
      <c r="E1022" s="0" t="s">
        <v>89</v>
      </c>
      <c r="F1022" s="0" t="s">
        <v>90</v>
      </c>
      <c r="G1022" s="0" t="s">
        <v>26</v>
      </c>
      <c r="H1022" s="0" t="n">
        <v>65</v>
      </c>
      <c r="I1022" s="0" t="s">
        <v>3412</v>
      </c>
      <c r="J1022" s="0" t="s">
        <v>3413</v>
      </c>
      <c r="K1022" s="0" t="s">
        <v>3414</v>
      </c>
      <c r="L1022" s="0" t="str">
        <f aca="false">HYPERLINK("https://www.ncbi.nlm.nih.gov/nuccore/CP000304.1?report=graph&amp;tracks=[key:gene_model_track,Options:GeneOnly]&amp;mk=300977:300996|offset_0|444444,300956:300975|offset_21|444444,300936:300955|offset_41|444444,300912:300931|offset_65|00cc00&amp;v=300776:301131&amp;c=444444", "offset 65")</f>
        <v>offset 65</v>
      </c>
    </row>
    <row r="1023" customFormat="false" ht="12.8" hidden="false" customHeight="false" outlineLevel="0" collapsed="false">
      <c r="A1023" s="0" t="s">
        <v>12</v>
      </c>
      <c r="B1023" s="0" t="n">
        <v>301316</v>
      </c>
      <c r="C1023" s="0" t="n">
        <v>301336</v>
      </c>
      <c r="D1023" s="0" t="s">
        <v>3415</v>
      </c>
      <c r="E1023" s="0" t="s">
        <v>89</v>
      </c>
      <c r="F1023" s="0" t="s">
        <v>15</v>
      </c>
      <c r="G1023" s="0" t="s">
        <v>16</v>
      </c>
      <c r="H1023" s="0" t="n">
        <v>25</v>
      </c>
      <c r="I1023" s="0" t="s">
        <v>3416</v>
      </c>
      <c r="J1023" s="0" t="s">
        <v>3417</v>
      </c>
      <c r="K1023" s="0" t="s">
        <v>3418</v>
      </c>
      <c r="L1023" s="0" t="str">
        <f aca="false">HYPERLINK("https://www.ncbi.nlm.nih.gov/nuccore/CP000304.1?report=graph&amp;tracks=[key:gene_model_track,Options:GeneOnly]&amp;mk=301317:301336|offset_25|00cc00,301341:301360|offset_49|444444,301379:301398|offset_87|444444,301404:301423|offset_112|444444&amp;v=301116:301623&amp;c=444444", "offset 25")</f>
        <v>offset 25</v>
      </c>
    </row>
    <row r="1024" customFormat="false" ht="12.8" hidden="false" customHeight="false" outlineLevel="0" collapsed="false">
      <c r="A1024" s="0" t="s">
        <v>12</v>
      </c>
      <c r="B1024" s="0" t="n">
        <v>301340</v>
      </c>
      <c r="C1024" s="0" t="n">
        <v>301360</v>
      </c>
      <c r="D1024" s="0" t="s">
        <v>3415</v>
      </c>
      <c r="E1024" s="0" t="s">
        <v>89</v>
      </c>
      <c r="F1024" s="0" t="s">
        <v>15</v>
      </c>
      <c r="G1024" s="0" t="s">
        <v>32</v>
      </c>
      <c r="H1024" s="0" t="n">
        <v>49</v>
      </c>
      <c r="I1024" s="0" t="s">
        <v>3419</v>
      </c>
      <c r="J1024" s="0" t="s">
        <v>3420</v>
      </c>
      <c r="K1024" s="0" t="s">
        <v>3421</v>
      </c>
      <c r="L1024" s="0" t="str">
        <f aca="false">HYPERLINK("https://www.ncbi.nlm.nih.gov/nuccore/CP000304.1?report=graph&amp;tracks=[key:gene_model_track,Options:GeneOnly]&amp;mk=301317:301336|offset_25|444444,301341:301360|offset_49|00cc00,301379:301398|offset_87|444444,301404:301423|offset_112|444444&amp;v=301116:301623&amp;c=444444", "offset 49")</f>
        <v>offset 49</v>
      </c>
    </row>
    <row r="1025" customFormat="false" ht="12.8" hidden="false" customHeight="false" outlineLevel="0" collapsed="false">
      <c r="A1025" s="0" t="s">
        <v>12</v>
      </c>
      <c r="B1025" s="0" t="n">
        <v>301378</v>
      </c>
      <c r="C1025" s="0" t="n">
        <v>301398</v>
      </c>
      <c r="D1025" s="0" t="s">
        <v>3415</v>
      </c>
      <c r="E1025" s="0" t="s">
        <v>89</v>
      </c>
      <c r="F1025" s="0" t="s">
        <v>15</v>
      </c>
      <c r="G1025" s="0" t="s">
        <v>32</v>
      </c>
      <c r="H1025" s="0" t="n">
        <v>87</v>
      </c>
      <c r="I1025" s="0" t="s">
        <v>3422</v>
      </c>
      <c r="J1025" s="0" t="s">
        <v>3423</v>
      </c>
      <c r="K1025" s="0" t="s">
        <v>3424</v>
      </c>
      <c r="L1025" s="0" t="str">
        <f aca="false">HYPERLINK("https://www.ncbi.nlm.nih.gov/nuccore/CP000304.1?report=graph&amp;tracks=[key:gene_model_track,Options:GeneOnly]&amp;mk=301317:301336|offset_25|444444,301341:301360|offset_49|444444,301379:301398|offset_87|00cc00,301404:301423|offset_112|444444&amp;v=301116:301623&amp;c=444444", "offset 87")</f>
        <v>offset 87</v>
      </c>
    </row>
    <row r="1026" customFormat="false" ht="12.8" hidden="false" customHeight="false" outlineLevel="0" collapsed="false">
      <c r="A1026" s="0" t="s">
        <v>12</v>
      </c>
      <c r="B1026" s="0" t="n">
        <v>301403</v>
      </c>
      <c r="C1026" s="0" t="n">
        <v>301423</v>
      </c>
      <c r="D1026" s="0" t="s">
        <v>3415</v>
      </c>
      <c r="E1026" s="0" t="s">
        <v>89</v>
      </c>
      <c r="F1026" s="0" t="s">
        <v>15</v>
      </c>
      <c r="G1026" s="0" t="s">
        <v>32</v>
      </c>
      <c r="H1026" s="0" t="n">
        <v>112</v>
      </c>
      <c r="I1026" s="0" t="s">
        <v>3425</v>
      </c>
      <c r="J1026" s="0" t="s">
        <v>3426</v>
      </c>
      <c r="K1026" s="0" t="s">
        <v>3427</v>
      </c>
      <c r="L1026" s="0" t="str">
        <f aca="false">HYPERLINK("https://www.ncbi.nlm.nih.gov/nuccore/CP000304.1?report=graph&amp;tracks=[key:gene_model_track,Options:GeneOnly]&amp;mk=301317:301336|offset_25|444444,301341:301360|offset_49|444444,301379:301398|offset_87|444444,301404:301423|offset_112|00cc00&amp;v=301116:301623&amp;c=444444", "offset 112")</f>
        <v>offset 112</v>
      </c>
    </row>
    <row r="1027" customFormat="false" ht="12.8" hidden="false" customHeight="false" outlineLevel="0" collapsed="false">
      <c r="A1027" s="0" t="s">
        <v>12</v>
      </c>
      <c r="B1027" s="0" t="n">
        <v>302866</v>
      </c>
      <c r="C1027" s="0" t="n">
        <v>302886</v>
      </c>
      <c r="D1027" s="0" t="s">
        <v>3428</v>
      </c>
      <c r="E1027" s="0" t="s">
        <v>3429</v>
      </c>
      <c r="F1027" s="0" t="s">
        <v>90</v>
      </c>
      <c r="G1027" s="0" t="s">
        <v>16</v>
      </c>
      <c r="H1027" s="0" t="n">
        <v>19</v>
      </c>
      <c r="I1027" s="0" t="s">
        <v>3430</v>
      </c>
      <c r="J1027" s="0" t="s">
        <v>3431</v>
      </c>
      <c r="K1027" s="0" t="s">
        <v>3432</v>
      </c>
      <c r="L1027" s="0" t="str">
        <f aca="false">HYPERLINK("https://www.ncbi.nlm.nih.gov/nuccore/CP000304.1?report=graph&amp;tracks=[key:gene_model_track,Options:GeneOnly]&amp;mk=302867:302886|offset_19|00cc00,302828:302847|offset_58|444444,302807:302826|offset_79|444444,302777:302796|offset_109|444444&amp;v=302666:302996&amp;c=444444", "offset 19")</f>
        <v>offset 19</v>
      </c>
    </row>
    <row r="1028" customFormat="false" ht="12.8" hidden="false" customHeight="false" outlineLevel="0" collapsed="false">
      <c r="A1028" s="0" t="s">
        <v>12</v>
      </c>
      <c r="B1028" s="0" t="n">
        <v>302827</v>
      </c>
      <c r="C1028" s="0" t="n">
        <v>302847</v>
      </c>
      <c r="D1028" s="0" t="s">
        <v>3428</v>
      </c>
      <c r="E1028" s="0" t="s">
        <v>3429</v>
      </c>
      <c r="F1028" s="0" t="s">
        <v>90</v>
      </c>
      <c r="G1028" s="0" t="s">
        <v>32</v>
      </c>
      <c r="H1028" s="0" t="n">
        <v>58</v>
      </c>
      <c r="I1028" s="0" t="s">
        <v>3433</v>
      </c>
      <c r="J1028" s="0" t="s">
        <v>3434</v>
      </c>
      <c r="K1028" s="0" t="s">
        <v>3435</v>
      </c>
      <c r="L1028" s="0" t="str">
        <f aca="false">HYPERLINK("https://www.ncbi.nlm.nih.gov/nuccore/CP000304.1?report=graph&amp;tracks=[key:gene_model_track,Options:GeneOnly]&amp;mk=302867:302886|offset_19|444444,302828:302847|offset_58|00cc00,302807:302826|offset_79|444444,302777:302796|offset_109|444444&amp;v=302666:302996&amp;c=444444", "offset 58")</f>
        <v>offset 58</v>
      </c>
    </row>
    <row r="1029" customFormat="false" ht="12.8" hidden="false" customHeight="false" outlineLevel="0" collapsed="false">
      <c r="A1029" s="0" t="s">
        <v>12</v>
      </c>
      <c r="B1029" s="0" t="n">
        <v>302806</v>
      </c>
      <c r="C1029" s="0" t="n">
        <v>302826</v>
      </c>
      <c r="D1029" s="0" t="s">
        <v>3428</v>
      </c>
      <c r="E1029" s="0" t="s">
        <v>3429</v>
      </c>
      <c r="F1029" s="0" t="s">
        <v>90</v>
      </c>
      <c r="G1029" s="0" t="s">
        <v>26</v>
      </c>
      <c r="H1029" s="0" t="n">
        <v>79</v>
      </c>
      <c r="I1029" s="0" t="s">
        <v>3436</v>
      </c>
      <c r="J1029" s="0" t="s">
        <v>3437</v>
      </c>
      <c r="K1029" s="0" t="s">
        <v>3438</v>
      </c>
      <c r="L1029" s="0" t="str">
        <f aca="false">HYPERLINK("https://www.ncbi.nlm.nih.gov/nuccore/CP000304.1?report=graph&amp;tracks=[key:gene_model_track,Options:GeneOnly]&amp;mk=302867:302886|offset_19|444444,302828:302847|offset_58|444444,302807:302826|offset_79|00cc00,302777:302796|offset_109|444444&amp;v=302666:302996&amp;c=444444", "offset 79")</f>
        <v>offset 79</v>
      </c>
    </row>
    <row r="1030" customFormat="false" ht="12.8" hidden="false" customHeight="false" outlineLevel="0" collapsed="false">
      <c r="A1030" s="0" t="s">
        <v>12</v>
      </c>
      <c r="B1030" s="0" t="n">
        <v>302776</v>
      </c>
      <c r="C1030" s="0" t="n">
        <v>302796</v>
      </c>
      <c r="D1030" s="0" t="s">
        <v>3428</v>
      </c>
      <c r="E1030" s="0" t="s">
        <v>3429</v>
      </c>
      <c r="F1030" s="0" t="s">
        <v>90</v>
      </c>
      <c r="G1030" s="0" t="s">
        <v>36</v>
      </c>
      <c r="H1030" s="0" t="n">
        <v>109</v>
      </c>
      <c r="I1030" s="0" t="s">
        <v>3439</v>
      </c>
      <c r="J1030" s="0" t="s">
        <v>3440</v>
      </c>
      <c r="K1030" s="0" t="s">
        <v>3441</v>
      </c>
      <c r="L1030" s="0" t="str">
        <f aca="false">HYPERLINK("https://www.ncbi.nlm.nih.gov/nuccore/CP000304.1?report=graph&amp;tracks=[key:gene_model_track,Options:GeneOnly]&amp;mk=302867:302886|offset_19|444444,302828:302847|offset_58|444444,302807:302826|offset_79|444444,302777:302796|offset_109|00cc00&amp;v=302666:302996&amp;c=444444", "offset 109")</f>
        <v>offset 109</v>
      </c>
    </row>
    <row r="1031" customFormat="false" ht="12.8" hidden="false" customHeight="false" outlineLevel="0" collapsed="false">
      <c r="A1031" s="0" t="s">
        <v>12</v>
      </c>
      <c r="B1031" s="0" t="n">
        <v>303213</v>
      </c>
      <c r="C1031" s="0" t="n">
        <v>303233</v>
      </c>
      <c r="D1031" s="0" t="s">
        <v>3442</v>
      </c>
      <c r="E1031" s="0" t="s">
        <v>89</v>
      </c>
      <c r="F1031" s="0" t="s">
        <v>90</v>
      </c>
      <c r="G1031" s="0" t="s">
        <v>16</v>
      </c>
      <c r="H1031" s="0" t="n">
        <v>22</v>
      </c>
      <c r="I1031" s="0" t="s">
        <v>3443</v>
      </c>
      <c r="J1031" s="0" t="s">
        <v>3444</v>
      </c>
      <c r="K1031" s="0" t="s">
        <v>3445</v>
      </c>
      <c r="L1031" s="0" t="str">
        <f aca="false">HYPERLINK("https://www.ncbi.nlm.nih.gov/nuccore/CP000304.1?report=graph&amp;tracks=[key:gene_model_track,Options:GeneOnly]&amp;mk=303214:303233|offset_22|00cc00,303178:303197|offset_58|444444,303150:303169|offset_86|444444,303124:303143|offset_112|444444&amp;v=303013:303343&amp;c=444444", "offset 22")</f>
        <v>offset 22</v>
      </c>
    </row>
    <row r="1032" customFormat="false" ht="12.8" hidden="false" customHeight="false" outlineLevel="0" collapsed="false">
      <c r="A1032" s="0" t="s">
        <v>12</v>
      </c>
      <c r="B1032" s="0" t="n">
        <v>303177</v>
      </c>
      <c r="C1032" s="0" t="n">
        <v>303197</v>
      </c>
      <c r="D1032" s="0" t="s">
        <v>3442</v>
      </c>
      <c r="E1032" s="0" t="s">
        <v>89</v>
      </c>
      <c r="F1032" s="0" t="s">
        <v>90</v>
      </c>
      <c r="G1032" s="0" t="s">
        <v>32</v>
      </c>
      <c r="H1032" s="0" t="n">
        <v>58</v>
      </c>
      <c r="I1032" s="0" t="s">
        <v>3446</v>
      </c>
      <c r="J1032" s="0" t="s">
        <v>3447</v>
      </c>
      <c r="K1032" s="0" t="s">
        <v>3448</v>
      </c>
      <c r="L1032" s="0" t="str">
        <f aca="false">HYPERLINK("https://www.ncbi.nlm.nih.gov/nuccore/CP000304.1?report=graph&amp;tracks=[key:gene_model_track,Options:GeneOnly]&amp;mk=303214:303233|offset_22|444444,303178:303197|offset_58|00cc00,303150:303169|offset_86|444444,303124:303143|offset_112|444444&amp;v=303013:303343&amp;c=444444", "offset 58")</f>
        <v>offset 58</v>
      </c>
    </row>
    <row r="1033" customFormat="false" ht="12.8" hidden="false" customHeight="false" outlineLevel="0" collapsed="false">
      <c r="A1033" s="0" t="s">
        <v>12</v>
      </c>
      <c r="B1033" s="0" t="n">
        <v>303149</v>
      </c>
      <c r="C1033" s="0" t="n">
        <v>303169</v>
      </c>
      <c r="D1033" s="0" t="s">
        <v>3442</v>
      </c>
      <c r="E1033" s="0" t="s">
        <v>89</v>
      </c>
      <c r="F1033" s="0" t="s">
        <v>90</v>
      </c>
      <c r="G1033" s="0" t="s">
        <v>26</v>
      </c>
      <c r="H1033" s="0" t="n">
        <v>86</v>
      </c>
      <c r="I1033" s="0" t="s">
        <v>3449</v>
      </c>
      <c r="J1033" s="0" t="s">
        <v>3450</v>
      </c>
      <c r="K1033" s="0" t="s">
        <v>3451</v>
      </c>
      <c r="L1033" s="0" t="str">
        <f aca="false">HYPERLINK("https://www.ncbi.nlm.nih.gov/nuccore/CP000304.1?report=graph&amp;tracks=[key:gene_model_track,Options:GeneOnly]&amp;mk=303214:303233|offset_22|444444,303178:303197|offset_58|444444,303150:303169|offset_86|00cc00,303124:303143|offset_112|444444&amp;v=303013:303343&amp;c=444444", "offset 86")</f>
        <v>offset 86</v>
      </c>
    </row>
    <row r="1034" customFormat="false" ht="12.8" hidden="false" customHeight="false" outlineLevel="0" collapsed="false">
      <c r="A1034" s="0" t="s">
        <v>12</v>
      </c>
      <c r="B1034" s="0" t="n">
        <v>303123</v>
      </c>
      <c r="C1034" s="0" t="n">
        <v>303143</v>
      </c>
      <c r="D1034" s="0" t="s">
        <v>3442</v>
      </c>
      <c r="E1034" s="0" t="s">
        <v>89</v>
      </c>
      <c r="F1034" s="0" t="s">
        <v>90</v>
      </c>
      <c r="G1034" s="0" t="s">
        <v>32</v>
      </c>
      <c r="H1034" s="0" t="n">
        <v>112</v>
      </c>
      <c r="I1034" s="0" t="s">
        <v>3452</v>
      </c>
      <c r="J1034" s="0" t="s">
        <v>3453</v>
      </c>
      <c r="K1034" s="0" t="s">
        <v>3454</v>
      </c>
      <c r="L1034" s="0" t="str">
        <f aca="false">HYPERLINK("https://www.ncbi.nlm.nih.gov/nuccore/CP000304.1?report=graph&amp;tracks=[key:gene_model_track,Options:GeneOnly]&amp;mk=303214:303233|offset_22|444444,303178:303197|offset_58|444444,303150:303169|offset_86|444444,303124:303143|offset_112|00cc00&amp;v=303013:303343&amp;c=444444", "offset 112")</f>
        <v>offset 112</v>
      </c>
    </row>
    <row r="1035" customFormat="false" ht="12.8" hidden="false" customHeight="false" outlineLevel="0" collapsed="false">
      <c r="A1035" s="0" t="s">
        <v>12</v>
      </c>
      <c r="B1035" s="0" t="n">
        <v>308045</v>
      </c>
      <c r="C1035" s="0" t="n">
        <v>308065</v>
      </c>
      <c r="D1035" s="0" t="s">
        <v>3455</v>
      </c>
      <c r="E1035" s="0" t="s">
        <v>89</v>
      </c>
      <c r="F1035" s="0" t="s">
        <v>90</v>
      </c>
      <c r="G1035" s="0" t="s">
        <v>16</v>
      </c>
      <c r="H1035" s="0" t="n">
        <v>14</v>
      </c>
      <c r="I1035" s="0" t="s">
        <v>3456</v>
      </c>
      <c r="J1035" s="0" t="s">
        <v>3457</v>
      </c>
      <c r="K1035" s="0" t="s">
        <v>3458</v>
      </c>
      <c r="L1035" s="0" t="str">
        <f aca="false">HYPERLINK("https://www.ncbi.nlm.nih.gov/nuccore/CP000304.1?report=graph&amp;tracks=[key:gene_model_track,Options:GeneOnly]&amp;mk=308046:308065|offset_14|00cc00,308021:308040|offset_39|444444,307990:308009|offset_70|444444,307966:307985|offset_94|444444&amp;v=307845:308185&amp;c=444444", "offset 14")</f>
        <v>offset 14</v>
      </c>
    </row>
    <row r="1036" customFormat="false" ht="12.8" hidden="false" customHeight="false" outlineLevel="0" collapsed="false">
      <c r="A1036" s="0" t="s">
        <v>12</v>
      </c>
      <c r="B1036" s="0" t="n">
        <v>308020</v>
      </c>
      <c r="C1036" s="0" t="n">
        <v>308040</v>
      </c>
      <c r="D1036" s="0" t="s">
        <v>3455</v>
      </c>
      <c r="E1036" s="0" t="s">
        <v>89</v>
      </c>
      <c r="F1036" s="0" t="s">
        <v>90</v>
      </c>
      <c r="G1036" s="0" t="s">
        <v>32</v>
      </c>
      <c r="H1036" s="0" t="n">
        <v>39</v>
      </c>
      <c r="I1036" s="0" t="s">
        <v>3459</v>
      </c>
      <c r="J1036" s="0" t="s">
        <v>3460</v>
      </c>
      <c r="K1036" s="0" t="s">
        <v>3461</v>
      </c>
      <c r="L1036" s="0" t="str">
        <f aca="false">HYPERLINK("https://www.ncbi.nlm.nih.gov/nuccore/CP000304.1?report=graph&amp;tracks=[key:gene_model_track,Options:GeneOnly]&amp;mk=308046:308065|offset_14|444444,308021:308040|offset_39|00cc00,307990:308009|offset_70|444444,307966:307985|offset_94|444444&amp;v=307845:308185&amp;c=444444", "offset 39")</f>
        <v>offset 39</v>
      </c>
    </row>
    <row r="1037" customFormat="false" ht="12.8" hidden="false" customHeight="false" outlineLevel="0" collapsed="false">
      <c r="A1037" s="0" t="s">
        <v>12</v>
      </c>
      <c r="B1037" s="0" t="n">
        <v>307989</v>
      </c>
      <c r="C1037" s="0" t="n">
        <v>308009</v>
      </c>
      <c r="D1037" s="0" t="s">
        <v>3455</v>
      </c>
      <c r="E1037" s="0" t="s">
        <v>89</v>
      </c>
      <c r="F1037" s="0" t="s">
        <v>90</v>
      </c>
      <c r="G1037" s="0" t="s">
        <v>16</v>
      </c>
      <c r="H1037" s="0" t="n">
        <v>70</v>
      </c>
      <c r="I1037" s="0" t="s">
        <v>3462</v>
      </c>
      <c r="J1037" s="0" t="s">
        <v>3463</v>
      </c>
      <c r="K1037" s="0" t="s">
        <v>3464</v>
      </c>
      <c r="L1037" s="0" t="str">
        <f aca="false">HYPERLINK("https://www.ncbi.nlm.nih.gov/nuccore/CP000304.1?report=graph&amp;tracks=[key:gene_model_track,Options:GeneOnly]&amp;mk=308046:308065|offset_14|444444,308021:308040|offset_39|444444,307990:308009|offset_70|00cc00,307966:307985|offset_94|444444&amp;v=307845:308185&amp;c=444444", "offset 70")</f>
        <v>offset 70</v>
      </c>
    </row>
    <row r="1038" customFormat="false" ht="12.8" hidden="false" customHeight="false" outlineLevel="0" collapsed="false">
      <c r="A1038" s="0" t="s">
        <v>12</v>
      </c>
      <c r="B1038" s="0" t="n">
        <v>307965</v>
      </c>
      <c r="C1038" s="0" t="n">
        <v>307985</v>
      </c>
      <c r="D1038" s="0" t="s">
        <v>3455</v>
      </c>
      <c r="E1038" s="0" t="s">
        <v>89</v>
      </c>
      <c r="F1038" s="0" t="s">
        <v>90</v>
      </c>
      <c r="G1038" s="0" t="s">
        <v>26</v>
      </c>
      <c r="H1038" s="0" t="n">
        <v>94</v>
      </c>
      <c r="I1038" s="0" t="s">
        <v>3465</v>
      </c>
      <c r="J1038" s="0" t="s">
        <v>3466</v>
      </c>
      <c r="K1038" s="0" t="s">
        <v>3467</v>
      </c>
      <c r="L1038" s="0" t="str">
        <f aca="false">HYPERLINK("https://www.ncbi.nlm.nih.gov/nuccore/CP000304.1?report=graph&amp;tracks=[key:gene_model_track,Options:GeneOnly]&amp;mk=308046:308065|offset_14|444444,308021:308040|offset_39|444444,307990:308009|offset_70|444444,307966:307985|offset_94|00cc00&amp;v=307845:308185&amp;c=444444", "offset 94")</f>
        <v>offset 94</v>
      </c>
    </row>
    <row r="1039" customFormat="false" ht="12.8" hidden="false" customHeight="false" outlineLevel="0" collapsed="false">
      <c r="A1039" s="0" t="s">
        <v>12</v>
      </c>
      <c r="B1039" s="0" t="n">
        <v>309645</v>
      </c>
      <c r="C1039" s="0" t="n">
        <v>309665</v>
      </c>
      <c r="D1039" s="0" t="s">
        <v>3468</v>
      </c>
      <c r="E1039" s="0" t="s">
        <v>89</v>
      </c>
      <c r="F1039" s="0" t="s">
        <v>90</v>
      </c>
      <c r="G1039" s="0" t="s">
        <v>26</v>
      </c>
      <c r="H1039" s="0" t="n">
        <v>23</v>
      </c>
      <c r="I1039" s="0" t="s">
        <v>3469</v>
      </c>
      <c r="J1039" s="0" t="s">
        <v>3470</v>
      </c>
      <c r="K1039" s="0" t="s">
        <v>3471</v>
      </c>
      <c r="L1039" s="0" t="str">
        <f aca="false">HYPERLINK("https://www.ncbi.nlm.nih.gov/nuccore/CP000304.1?report=graph&amp;tracks=[key:gene_model_track,Options:GeneOnly]&amp;mk=309646:309665|offset_23|00cc00,309621:309640|offset_48|444444,309595:309614|offset_74|444444,309575:309594|offset_94|444444&amp;v=309445:309794&amp;c=444444", "offset 23")</f>
        <v>offset 23</v>
      </c>
    </row>
    <row r="1040" customFormat="false" ht="12.8" hidden="false" customHeight="false" outlineLevel="0" collapsed="false">
      <c r="A1040" s="0" t="s">
        <v>12</v>
      </c>
      <c r="B1040" s="0" t="n">
        <v>309620</v>
      </c>
      <c r="C1040" s="0" t="n">
        <v>309640</v>
      </c>
      <c r="D1040" s="0" t="s">
        <v>3468</v>
      </c>
      <c r="E1040" s="0" t="s">
        <v>89</v>
      </c>
      <c r="F1040" s="0" t="s">
        <v>90</v>
      </c>
      <c r="G1040" s="0" t="s">
        <v>16</v>
      </c>
      <c r="H1040" s="0" t="n">
        <v>48</v>
      </c>
      <c r="I1040" s="0" t="s">
        <v>3472</v>
      </c>
      <c r="J1040" s="0" t="s">
        <v>3473</v>
      </c>
      <c r="K1040" s="0" t="s">
        <v>3474</v>
      </c>
      <c r="L1040" s="0" t="str">
        <f aca="false">HYPERLINK("https://www.ncbi.nlm.nih.gov/nuccore/CP000304.1?report=graph&amp;tracks=[key:gene_model_track,Options:GeneOnly]&amp;mk=309646:309665|offset_23|444444,309621:309640|offset_48|00cc00,309595:309614|offset_74|444444,309575:309594|offset_94|444444&amp;v=309445:309794&amp;c=444444", "offset 48")</f>
        <v>offset 48</v>
      </c>
    </row>
    <row r="1041" customFormat="false" ht="12.8" hidden="false" customHeight="false" outlineLevel="0" collapsed="false">
      <c r="A1041" s="0" t="s">
        <v>12</v>
      </c>
      <c r="B1041" s="0" t="n">
        <v>309594</v>
      </c>
      <c r="C1041" s="0" t="n">
        <v>309614</v>
      </c>
      <c r="D1041" s="0" t="s">
        <v>3468</v>
      </c>
      <c r="E1041" s="0" t="s">
        <v>89</v>
      </c>
      <c r="F1041" s="0" t="s">
        <v>90</v>
      </c>
      <c r="G1041" s="0" t="s">
        <v>26</v>
      </c>
      <c r="H1041" s="0" t="n">
        <v>74</v>
      </c>
      <c r="I1041" s="0" t="s">
        <v>3475</v>
      </c>
      <c r="J1041" s="0" t="s">
        <v>3476</v>
      </c>
      <c r="K1041" s="0" t="s">
        <v>3477</v>
      </c>
      <c r="L1041" s="0" t="str">
        <f aca="false">HYPERLINK("https://www.ncbi.nlm.nih.gov/nuccore/CP000304.1?report=graph&amp;tracks=[key:gene_model_track,Options:GeneOnly]&amp;mk=309646:309665|offset_23|444444,309621:309640|offset_48|444444,309595:309614|offset_74|00cc00,309575:309594|offset_94|444444&amp;v=309445:309794&amp;c=444444", "offset 74")</f>
        <v>offset 74</v>
      </c>
    </row>
    <row r="1042" customFormat="false" ht="12.8" hidden="false" customHeight="false" outlineLevel="0" collapsed="false">
      <c r="A1042" s="0" t="s">
        <v>12</v>
      </c>
      <c r="B1042" s="0" t="n">
        <v>309574</v>
      </c>
      <c r="C1042" s="0" t="n">
        <v>309594</v>
      </c>
      <c r="D1042" s="0" t="s">
        <v>3468</v>
      </c>
      <c r="E1042" s="0" t="s">
        <v>89</v>
      </c>
      <c r="F1042" s="0" t="s">
        <v>90</v>
      </c>
      <c r="G1042" s="0" t="s">
        <v>36</v>
      </c>
      <c r="H1042" s="0" t="n">
        <v>94</v>
      </c>
      <c r="I1042" s="0" t="s">
        <v>3478</v>
      </c>
      <c r="J1042" s="0" t="s">
        <v>3479</v>
      </c>
      <c r="K1042" s="0" t="s">
        <v>3480</v>
      </c>
      <c r="L1042" s="0" t="str">
        <f aca="false">HYPERLINK("https://www.ncbi.nlm.nih.gov/nuccore/CP000304.1?report=graph&amp;tracks=[key:gene_model_track,Options:GeneOnly]&amp;mk=309646:309665|offset_23|444444,309621:309640|offset_48|444444,309595:309614|offset_74|444444,309575:309594|offset_94|00cc00&amp;v=309445:309794&amp;c=444444", "offset 94")</f>
        <v>offset 94</v>
      </c>
    </row>
    <row r="1043" customFormat="false" ht="12.8" hidden="false" customHeight="false" outlineLevel="0" collapsed="false">
      <c r="A1043" s="0" t="s">
        <v>12</v>
      </c>
      <c r="B1043" s="0" t="n">
        <v>310022</v>
      </c>
      <c r="C1043" s="0" t="n">
        <v>310042</v>
      </c>
      <c r="D1043" s="0" t="s">
        <v>3481</v>
      </c>
      <c r="E1043" s="0" t="s">
        <v>89</v>
      </c>
      <c r="F1043" s="0" t="s">
        <v>15</v>
      </c>
      <c r="G1043" s="0" t="s">
        <v>26</v>
      </c>
      <c r="H1043" s="0" t="n">
        <v>25</v>
      </c>
      <c r="I1043" s="0" t="s">
        <v>3482</v>
      </c>
      <c r="J1043" s="0" t="s">
        <v>3483</v>
      </c>
      <c r="K1043" s="0" t="s">
        <v>3484</v>
      </c>
      <c r="L1043" s="0" t="str">
        <f aca="false">HYPERLINK("https://www.ncbi.nlm.nih.gov/nuccore/CP000304.1?report=graph&amp;tracks=[key:gene_model_track,Options:GeneOnly]&amp;mk=310023:310042|offset_25|00cc00,310071:310090|offset_73|444444,310102:310121|offset_104|444444,310129:310148|offset_131|444444&amp;v=309822:310348&amp;c=444444", "offset 25")</f>
        <v>offset 25</v>
      </c>
    </row>
    <row r="1044" customFormat="false" ht="12.8" hidden="false" customHeight="false" outlineLevel="0" collapsed="false">
      <c r="A1044" s="0" t="s">
        <v>12</v>
      </c>
      <c r="B1044" s="0" t="n">
        <v>310070</v>
      </c>
      <c r="C1044" s="0" t="n">
        <v>310090</v>
      </c>
      <c r="D1044" s="0" t="s">
        <v>3481</v>
      </c>
      <c r="E1044" s="0" t="s">
        <v>89</v>
      </c>
      <c r="F1044" s="0" t="s">
        <v>15</v>
      </c>
      <c r="G1044" s="0" t="s">
        <v>32</v>
      </c>
      <c r="H1044" s="0" t="n">
        <v>73</v>
      </c>
      <c r="I1044" s="0" t="s">
        <v>3485</v>
      </c>
      <c r="J1044" s="0" t="s">
        <v>3486</v>
      </c>
      <c r="K1044" s="0" t="s">
        <v>3487</v>
      </c>
      <c r="L1044" s="0" t="str">
        <f aca="false">HYPERLINK("https://www.ncbi.nlm.nih.gov/nuccore/CP000304.1?report=graph&amp;tracks=[key:gene_model_track,Options:GeneOnly]&amp;mk=310023:310042|offset_25|444444,310071:310090|offset_73|00cc00,310102:310121|offset_104|444444,310129:310148|offset_131|444444&amp;v=309822:310348&amp;c=444444", "offset 73")</f>
        <v>offset 73</v>
      </c>
    </row>
    <row r="1045" customFormat="false" ht="12.8" hidden="false" customHeight="false" outlineLevel="0" collapsed="false">
      <c r="A1045" s="0" t="s">
        <v>12</v>
      </c>
      <c r="B1045" s="0" t="n">
        <v>310101</v>
      </c>
      <c r="C1045" s="0" t="n">
        <v>310121</v>
      </c>
      <c r="D1045" s="0" t="s">
        <v>3481</v>
      </c>
      <c r="E1045" s="0" t="s">
        <v>89</v>
      </c>
      <c r="F1045" s="0" t="s">
        <v>15</v>
      </c>
      <c r="G1045" s="0" t="s">
        <v>26</v>
      </c>
      <c r="H1045" s="0" t="n">
        <v>104</v>
      </c>
      <c r="I1045" s="0" t="s">
        <v>3488</v>
      </c>
      <c r="J1045" s="0" t="s">
        <v>3489</v>
      </c>
      <c r="K1045" s="0" t="s">
        <v>3490</v>
      </c>
      <c r="L1045" s="0" t="str">
        <f aca="false">HYPERLINK("https://www.ncbi.nlm.nih.gov/nuccore/CP000304.1?report=graph&amp;tracks=[key:gene_model_track,Options:GeneOnly]&amp;mk=310023:310042|offset_25|444444,310071:310090|offset_73|444444,310102:310121|offset_104|00cc00,310129:310148|offset_131|444444&amp;v=309822:310348&amp;c=444444", "offset 104")</f>
        <v>offset 104</v>
      </c>
    </row>
    <row r="1046" customFormat="false" ht="12.8" hidden="false" customHeight="false" outlineLevel="0" collapsed="false">
      <c r="A1046" s="0" t="s">
        <v>12</v>
      </c>
      <c r="B1046" s="0" t="n">
        <v>310128</v>
      </c>
      <c r="C1046" s="0" t="n">
        <v>310148</v>
      </c>
      <c r="D1046" s="0" t="s">
        <v>3481</v>
      </c>
      <c r="E1046" s="0" t="s">
        <v>89</v>
      </c>
      <c r="F1046" s="0" t="s">
        <v>15</v>
      </c>
      <c r="G1046" s="0" t="s">
        <v>16</v>
      </c>
      <c r="H1046" s="0" t="n">
        <v>131</v>
      </c>
      <c r="I1046" s="0" t="s">
        <v>3491</v>
      </c>
      <c r="J1046" s="0" t="s">
        <v>3492</v>
      </c>
      <c r="K1046" s="0" t="s">
        <v>3493</v>
      </c>
      <c r="L1046" s="0" t="str">
        <f aca="false">HYPERLINK("https://www.ncbi.nlm.nih.gov/nuccore/CP000304.1?report=graph&amp;tracks=[key:gene_model_track,Options:GeneOnly]&amp;mk=310023:310042|offset_25|444444,310071:310090|offset_73|444444,310102:310121|offset_104|444444,310129:310148|offset_131|00cc00&amp;v=309822:310348&amp;c=444444", "offset 131")</f>
        <v>offset 131</v>
      </c>
    </row>
    <row r="1047" customFormat="false" ht="12.8" hidden="false" customHeight="false" outlineLevel="0" collapsed="false">
      <c r="A1047" s="0" t="s">
        <v>12</v>
      </c>
      <c r="B1047" s="0" t="n">
        <v>312572</v>
      </c>
      <c r="C1047" s="0" t="n">
        <v>312592</v>
      </c>
      <c r="D1047" s="0" t="s">
        <v>3494</v>
      </c>
      <c r="E1047" s="0" t="s">
        <v>89</v>
      </c>
      <c r="F1047" s="0" t="s">
        <v>90</v>
      </c>
      <c r="G1047" s="0" t="s">
        <v>32</v>
      </c>
      <c r="H1047" s="0" t="n">
        <v>1</v>
      </c>
      <c r="I1047" s="0" t="s">
        <v>3495</v>
      </c>
      <c r="J1047" s="0" t="s">
        <v>3496</v>
      </c>
      <c r="K1047" s="0" t="s">
        <v>3497</v>
      </c>
      <c r="L1047" s="0" t="str">
        <f aca="false">HYPERLINK("https://www.ncbi.nlm.nih.gov/nuccore/CP000304.1?report=graph&amp;tracks=[key:gene_model_track,Options:GeneOnly]&amp;mk=312573:312592|offset_1|00cc00,312553:312572|offset_21|444444,312525:312544|offset_49|444444,312501:312520|offset_73|444444&amp;v=312372:312720&amp;c=444444", "offset 1")</f>
        <v>offset 1</v>
      </c>
    </row>
    <row r="1048" customFormat="false" ht="12.8" hidden="false" customHeight="false" outlineLevel="0" collapsed="false">
      <c r="A1048" s="0" t="s">
        <v>12</v>
      </c>
      <c r="B1048" s="0" t="n">
        <v>312552</v>
      </c>
      <c r="C1048" s="0" t="n">
        <v>312572</v>
      </c>
      <c r="D1048" s="0" t="s">
        <v>3494</v>
      </c>
      <c r="E1048" s="0" t="s">
        <v>89</v>
      </c>
      <c r="F1048" s="0" t="s">
        <v>90</v>
      </c>
      <c r="G1048" s="0" t="s">
        <v>36</v>
      </c>
      <c r="H1048" s="0" t="n">
        <v>21</v>
      </c>
      <c r="I1048" s="0" t="s">
        <v>3498</v>
      </c>
      <c r="J1048" s="0" t="s">
        <v>3499</v>
      </c>
      <c r="K1048" s="0" t="s">
        <v>3500</v>
      </c>
      <c r="L1048" s="0" t="str">
        <f aca="false">HYPERLINK("https://www.ncbi.nlm.nih.gov/nuccore/CP000304.1?report=graph&amp;tracks=[key:gene_model_track,Options:GeneOnly]&amp;mk=312573:312592|offset_1|444444,312553:312572|offset_21|00cc00,312525:312544|offset_49|444444,312501:312520|offset_73|444444&amp;v=312372:312720&amp;c=444444", "offset 21")</f>
        <v>offset 21</v>
      </c>
    </row>
    <row r="1049" customFormat="false" ht="12.8" hidden="false" customHeight="false" outlineLevel="0" collapsed="false">
      <c r="A1049" s="0" t="s">
        <v>12</v>
      </c>
      <c r="B1049" s="0" t="n">
        <v>312524</v>
      </c>
      <c r="C1049" s="0" t="n">
        <v>312544</v>
      </c>
      <c r="D1049" s="0" t="s">
        <v>3494</v>
      </c>
      <c r="E1049" s="0" t="s">
        <v>89</v>
      </c>
      <c r="F1049" s="0" t="s">
        <v>90</v>
      </c>
      <c r="G1049" s="0" t="s">
        <v>16</v>
      </c>
      <c r="H1049" s="0" t="n">
        <v>49</v>
      </c>
      <c r="I1049" s="0" t="s">
        <v>3501</v>
      </c>
      <c r="J1049" s="0" t="s">
        <v>3502</v>
      </c>
      <c r="K1049" s="0" t="s">
        <v>3503</v>
      </c>
      <c r="L1049" s="0" t="str">
        <f aca="false">HYPERLINK("https://www.ncbi.nlm.nih.gov/nuccore/CP000304.1?report=graph&amp;tracks=[key:gene_model_track,Options:GeneOnly]&amp;mk=312573:312592|offset_1|444444,312553:312572|offset_21|444444,312525:312544|offset_49|00cc00,312501:312520|offset_73|444444&amp;v=312372:312720&amp;c=444444", "offset 49")</f>
        <v>offset 49</v>
      </c>
    </row>
    <row r="1050" customFormat="false" ht="12.8" hidden="false" customHeight="false" outlineLevel="0" collapsed="false">
      <c r="A1050" s="0" t="s">
        <v>12</v>
      </c>
      <c r="B1050" s="0" t="n">
        <v>312500</v>
      </c>
      <c r="C1050" s="0" t="n">
        <v>312520</v>
      </c>
      <c r="D1050" s="0" t="s">
        <v>3494</v>
      </c>
      <c r="E1050" s="0" t="s">
        <v>89</v>
      </c>
      <c r="F1050" s="0" t="s">
        <v>90</v>
      </c>
      <c r="G1050" s="0" t="s">
        <v>36</v>
      </c>
      <c r="H1050" s="0" t="n">
        <v>73</v>
      </c>
      <c r="I1050" s="0" t="s">
        <v>3504</v>
      </c>
      <c r="J1050" s="0" t="s">
        <v>3505</v>
      </c>
      <c r="K1050" s="0" t="s">
        <v>3506</v>
      </c>
      <c r="L1050" s="0" t="str">
        <f aca="false">HYPERLINK("https://www.ncbi.nlm.nih.gov/nuccore/CP000304.1?report=graph&amp;tracks=[key:gene_model_track,Options:GeneOnly]&amp;mk=312573:312592|offset_1|444444,312553:312572|offset_21|444444,312525:312544|offset_49|444444,312501:312520|offset_73|00cc00&amp;v=312372:312720&amp;c=444444", "offset 73")</f>
        <v>offset 73</v>
      </c>
    </row>
    <row r="1051" customFormat="false" ht="12.8" hidden="false" customHeight="false" outlineLevel="0" collapsed="false">
      <c r="A1051" s="0" t="s">
        <v>12</v>
      </c>
      <c r="B1051" s="0" t="n">
        <v>314034</v>
      </c>
      <c r="C1051" s="0" t="n">
        <v>314054</v>
      </c>
      <c r="D1051" s="0" t="s">
        <v>3507</v>
      </c>
      <c r="E1051" s="0" t="s">
        <v>89</v>
      </c>
      <c r="F1051" s="0" t="s">
        <v>90</v>
      </c>
      <c r="G1051" s="0" t="s">
        <v>32</v>
      </c>
      <c r="H1051" s="0" t="n">
        <v>1</v>
      </c>
      <c r="I1051" s="0" t="s">
        <v>3508</v>
      </c>
      <c r="J1051" s="0" t="s">
        <v>3509</v>
      </c>
      <c r="K1051" s="0" t="s">
        <v>3510</v>
      </c>
      <c r="L1051" s="0" t="str">
        <f aca="false">HYPERLINK("https://www.ncbi.nlm.nih.gov/nuccore/CP000304.1?report=graph&amp;tracks=[key:gene_model_track,Options:GeneOnly]&amp;mk=314035:314054|offset_1|00cc00,313998:314017|offset_38|444444,313967:313986|offset_69|444444,313929:313948|offset_107|444444&amp;v=313834:314148&amp;c=444444", "offset 1")</f>
        <v>offset 1</v>
      </c>
    </row>
    <row r="1052" customFormat="false" ht="12.8" hidden="false" customHeight="false" outlineLevel="0" collapsed="false">
      <c r="A1052" s="0" t="s">
        <v>12</v>
      </c>
      <c r="B1052" s="0" t="n">
        <v>313997</v>
      </c>
      <c r="C1052" s="0" t="n">
        <v>314017</v>
      </c>
      <c r="D1052" s="0" t="s">
        <v>3507</v>
      </c>
      <c r="E1052" s="0" t="s">
        <v>89</v>
      </c>
      <c r="F1052" s="0" t="s">
        <v>90</v>
      </c>
      <c r="G1052" s="0" t="s">
        <v>16</v>
      </c>
      <c r="H1052" s="0" t="n">
        <v>38</v>
      </c>
      <c r="I1052" s="0" t="s">
        <v>3511</v>
      </c>
      <c r="J1052" s="0" t="s">
        <v>3512</v>
      </c>
      <c r="K1052" s="0" t="s">
        <v>3513</v>
      </c>
      <c r="L1052" s="0" t="str">
        <f aca="false">HYPERLINK("https://www.ncbi.nlm.nih.gov/nuccore/CP000304.1?report=graph&amp;tracks=[key:gene_model_track,Options:GeneOnly]&amp;mk=314035:314054|offset_1|444444,313998:314017|offset_38|00cc00,313967:313986|offset_69|444444,313929:313948|offset_107|444444&amp;v=313834:314148&amp;c=444444", "offset 38")</f>
        <v>offset 38</v>
      </c>
    </row>
    <row r="1053" customFormat="false" ht="12.8" hidden="false" customHeight="false" outlineLevel="0" collapsed="false">
      <c r="A1053" s="0" t="s">
        <v>12</v>
      </c>
      <c r="B1053" s="0" t="n">
        <v>313966</v>
      </c>
      <c r="C1053" s="0" t="n">
        <v>313986</v>
      </c>
      <c r="D1053" s="0" t="s">
        <v>3507</v>
      </c>
      <c r="E1053" s="0" t="s">
        <v>89</v>
      </c>
      <c r="F1053" s="0" t="s">
        <v>90</v>
      </c>
      <c r="G1053" s="0" t="s">
        <v>16</v>
      </c>
      <c r="H1053" s="0" t="n">
        <v>69</v>
      </c>
      <c r="I1053" s="0" t="s">
        <v>3514</v>
      </c>
      <c r="J1053" s="0" t="s">
        <v>3515</v>
      </c>
      <c r="K1053" s="0" t="s">
        <v>3516</v>
      </c>
      <c r="L1053" s="0" t="str">
        <f aca="false">HYPERLINK("https://www.ncbi.nlm.nih.gov/nuccore/CP000304.1?report=graph&amp;tracks=[key:gene_model_track,Options:GeneOnly]&amp;mk=314035:314054|offset_1|444444,313998:314017|offset_38|444444,313967:313986|offset_69|00cc00,313929:313948|offset_107|444444&amp;v=313834:314148&amp;c=444444", "offset 69")</f>
        <v>offset 69</v>
      </c>
    </row>
    <row r="1054" customFormat="false" ht="12.8" hidden="false" customHeight="false" outlineLevel="0" collapsed="false">
      <c r="A1054" s="0" t="s">
        <v>12</v>
      </c>
      <c r="B1054" s="0" t="n">
        <v>313928</v>
      </c>
      <c r="C1054" s="0" t="n">
        <v>313948</v>
      </c>
      <c r="D1054" s="0" t="s">
        <v>3507</v>
      </c>
      <c r="E1054" s="0" t="s">
        <v>89</v>
      </c>
      <c r="F1054" s="0" t="s">
        <v>90</v>
      </c>
      <c r="G1054" s="0" t="s">
        <v>32</v>
      </c>
      <c r="H1054" s="0" t="n">
        <v>107</v>
      </c>
      <c r="I1054" s="0" t="s">
        <v>3517</v>
      </c>
      <c r="J1054" s="0" t="s">
        <v>3518</v>
      </c>
      <c r="K1054" s="0" t="s">
        <v>3519</v>
      </c>
      <c r="L1054" s="0" t="str">
        <f aca="false">HYPERLINK("https://www.ncbi.nlm.nih.gov/nuccore/CP000304.1?report=graph&amp;tracks=[key:gene_model_track,Options:GeneOnly]&amp;mk=314035:314054|offset_1|444444,313998:314017|offset_38|444444,313967:313986|offset_69|444444,313929:313948|offset_107|00cc00&amp;v=313834:314148&amp;c=444444", "offset 107")</f>
        <v>offset 107</v>
      </c>
    </row>
    <row r="1055" customFormat="false" ht="12.8" hidden="false" customHeight="false" outlineLevel="0" collapsed="false">
      <c r="A1055" s="0" t="s">
        <v>12</v>
      </c>
      <c r="B1055" s="0" t="n">
        <v>314168</v>
      </c>
      <c r="C1055" s="0" t="n">
        <v>314188</v>
      </c>
      <c r="D1055" s="0" t="s">
        <v>3520</v>
      </c>
      <c r="E1055" s="0" t="s">
        <v>89</v>
      </c>
      <c r="F1055" s="0" t="s">
        <v>15</v>
      </c>
      <c r="G1055" s="0" t="s">
        <v>26</v>
      </c>
      <c r="H1055" s="0" t="n">
        <v>0</v>
      </c>
      <c r="I1055" s="0" t="s">
        <v>3521</v>
      </c>
      <c r="J1055" s="0" t="s">
        <v>3522</v>
      </c>
      <c r="K1055" s="0" t="s">
        <v>3523</v>
      </c>
      <c r="L1055" s="0" t="str">
        <f aca="false">HYPERLINK("https://www.ncbi.nlm.nih.gov/nuccore/CP000304.1?report=graph&amp;tracks=[key:gene_model_track,Options:GeneOnly]&amp;mk=314169:314188|offset_0|00cc00,314211:314230|offset_42|444444,314239:314258|offset_70|444444,314264:314283|offset_95|444444&amp;v=313968:314483&amp;c=444444", "offset 0")</f>
        <v>offset 0</v>
      </c>
    </row>
    <row r="1056" customFormat="false" ht="12.8" hidden="false" customHeight="false" outlineLevel="0" collapsed="false">
      <c r="A1056" s="0" t="s">
        <v>12</v>
      </c>
      <c r="B1056" s="0" t="n">
        <v>314210</v>
      </c>
      <c r="C1056" s="0" t="n">
        <v>314230</v>
      </c>
      <c r="D1056" s="0" t="s">
        <v>3520</v>
      </c>
      <c r="E1056" s="0" t="s">
        <v>89</v>
      </c>
      <c r="F1056" s="0" t="s">
        <v>15</v>
      </c>
      <c r="G1056" s="0" t="s">
        <v>32</v>
      </c>
      <c r="H1056" s="0" t="n">
        <v>42</v>
      </c>
      <c r="I1056" s="0" t="s">
        <v>3524</v>
      </c>
      <c r="J1056" s="0" t="s">
        <v>3525</v>
      </c>
      <c r="K1056" s="0" t="s">
        <v>3526</v>
      </c>
      <c r="L1056" s="0" t="str">
        <f aca="false">HYPERLINK("https://www.ncbi.nlm.nih.gov/nuccore/CP000304.1?report=graph&amp;tracks=[key:gene_model_track,Options:GeneOnly]&amp;mk=314169:314188|offset_0|444444,314211:314230|offset_42|00cc00,314239:314258|offset_70|444444,314264:314283|offset_95|444444&amp;v=313968:314483&amp;c=444444", "offset 42")</f>
        <v>offset 42</v>
      </c>
    </row>
    <row r="1057" customFormat="false" ht="12.8" hidden="false" customHeight="false" outlineLevel="0" collapsed="false">
      <c r="A1057" s="0" t="s">
        <v>12</v>
      </c>
      <c r="B1057" s="0" t="n">
        <v>314238</v>
      </c>
      <c r="C1057" s="0" t="n">
        <v>314258</v>
      </c>
      <c r="D1057" s="0" t="s">
        <v>3520</v>
      </c>
      <c r="E1057" s="0" t="s">
        <v>89</v>
      </c>
      <c r="F1057" s="0" t="s">
        <v>15</v>
      </c>
      <c r="G1057" s="0" t="s">
        <v>32</v>
      </c>
      <c r="H1057" s="0" t="n">
        <v>70</v>
      </c>
      <c r="I1057" s="0" t="s">
        <v>3527</v>
      </c>
      <c r="J1057" s="0" t="s">
        <v>3528</v>
      </c>
      <c r="K1057" s="0" t="s">
        <v>3529</v>
      </c>
      <c r="L1057" s="0" t="str">
        <f aca="false">HYPERLINK("https://www.ncbi.nlm.nih.gov/nuccore/CP000304.1?report=graph&amp;tracks=[key:gene_model_track,Options:GeneOnly]&amp;mk=314169:314188|offset_0|444444,314211:314230|offset_42|444444,314239:314258|offset_70|00cc00,314264:314283|offset_95|444444&amp;v=313968:314483&amp;c=444444", "offset 70")</f>
        <v>offset 70</v>
      </c>
    </row>
    <row r="1058" customFormat="false" ht="12.8" hidden="false" customHeight="false" outlineLevel="0" collapsed="false">
      <c r="A1058" s="0" t="s">
        <v>12</v>
      </c>
      <c r="B1058" s="0" t="n">
        <v>314263</v>
      </c>
      <c r="C1058" s="0" t="n">
        <v>314283</v>
      </c>
      <c r="D1058" s="0" t="s">
        <v>3520</v>
      </c>
      <c r="E1058" s="0" t="s">
        <v>89</v>
      </c>
      <c r="F1058" s="0" t="s">
        <v>15</v>
      </c>
      <c r="G1058" s="0" t="s">
        <v>26</v>
      </c>
      <c r="H1058" s="0" t="n">
        <v>95</v>
      </c>
      <c r="I1058" s="0" t="s">
        <v>3530</v>
      </c>
      <c r="J1058" s="0" t="s">
        <v>3531</v>
      </c>
      <c r="K1058" s="0" t="s">
        <v>3532</v>
      </c>
      <c r="L1058" s="0" t="str">
        <f aca="false">HYPERLINK("https://www.ncbi.nlm.nih.gov/nuccore/CP000304.1?report=graph&amp;tracks=[key:gene_model_track,Options:GeneOnly]&amp;mk=314169:314188|offset_0|444444,314211:314230|offset_42|444444,314239:314258|offset_70|444444,314264:314283|offset_95|00cc00&amp;v=313968:314483&amp;c=444444", "offset 95")</f>
        <v>offset 95</v>
      </c>
    </row>
    <row r="1059" customFormat="false" ht="12.8" hidden="false" customHeight="false" outlineLevel="0" collapsed="false">
      <c r="A1059" s="0" t="s">
        <v>12</v>
      </c>
      <c r="B1059" s="0" t="n">
        <v>314922</v>
      </c>
      <c r="C1059" s="0" t="n">
        <v>314942</v>
      </c>
      <c r="D1059" s="0" t="s">
        <v>3533</v>
      </c>
      <c r="E1059" s="0" t="s">
        <v>89</v>
      </c>
      <c r="F1059" s="0" t="s">
        <v>15</v>
      </c>
      <c r="G1059" s="0" t="s">
        <v>26</v>
      </c>
      <c r="H1059" s="0" t="n">
        <v>35</v>
      </c>
      <c r="I1059" s="0" t="s">
        <v>3534</v>
      </c>
      <c r="J1059" s="0" t="s">
        <v>3535</v>
      </c>
      <c r="K1059" s="0" t="s">
        <v>3536</v>
      </c>
      <c r="L1059" s="0" t="str">
        <f aca="false">HYPERLINK("https://www.ncbi.nlm.nih.gov/nuccore/CP000304.1?report=graph&amp;tracks=[key:gene_model_track,Options:GeneOnly]&amp;mk=314923:314942|offset_35|00cc00,314958:314977|offset_70|444444,314985:315004|offset_97|444444,315013:315032|offset_125|444444&amp;v=314722:315232&amp;c=444444", "offset 35")</f>
        <v>offset 35</v>
      </c>
    </row>
    <row r="1060" customFormat="false" ht="12.8" hidden="false" customHeight="false" outlineLevel="0" collapsed="false">
      <c r="A1060" s="0" t="s">
        <v>12</v>
      </c>
      <c r="B1060" s="0" t="n">
        <v>314957</v>
      </c>
      <c r="C1060" s="0" t="n">
        <v>314977</v>
      </c>
      <c r="D1060" s="0" t="s">
        <v>3533</v>
      </c>
      <c r="E1060" s="0" t="s">
        <v>89</v>
      </c>
      <c r="F1060" s="0" t="s">
        <v>15</v>
      </c>
      <c r="G1060" s="0" t="s">
        <v>26</v>
      </c>
      <c r="H1060" s="0" t="n">
        <v>70</v>
      </c>
      <c r="I1060" s="0" t="s">
        <v>3537</v>
      </c>
      <c r="J1060" s="0" t="s">
        <v>3538</v>
      </c>
      <c r="K1060" s="0" t="s">
        <v>3539</v>
      </c>
      <c r="L1060" s="0" t="str">
        <f aca="false">HYPERLINK("https://www.ncbi.nlm.nih.gov/nuccore/CP000304.1?report=graph&amp;tracks=[key:gene_model_track,Options:GeneOnly]&amp;mk=314923:314942|offset_35|444444,314958:314977|offset_70|00cc00,314985:315004|offset_97|444444,315013:315032|offset_125|444444&amp;v=314722:315232&amp;c=444444", "offset 70")</f>
        <v>offset 70</v>
      </c>
    </row>
    <row r="1061" customFormat="false" ht="12.8" hidden="false" customHeight="false" outlineLevel="0" collapsed="false">
      <c r="A1061" s="0" t="s">
        <v>12</v>
      </c>
      <c r="B1061" s="0" t="n">
        <v>314984</v>
      </c>
      <c r="C1061" s="0" t="n">
        <v>315004</v>
      </c>
      <c r="D1061" s="0" t="s">
        <v>3533</v>
      </c>
      <c r="E1061" s="0" t="s">
        <v>89</v>
      </c>
      <c r="F1061" s="0" t="s">
        <v>15</v>
      </c>
      <c r="G1061" s="0" t="s">
        <v>32</v>
      </c>
      <c r="H1061" s="0" t="n">
        <v>97</v>
      </c>
      <c r="I1061" s="0" t="s">
        <v>3540</v>
      </c>
      <c r="J1061" s="0" t="s">
        <v>3541</v>
      </c>
      <c r="K1061" s="0" t="s">
        <v>3542</v>
      </c>
      <c r="L1061" s="0" t="str">
        <f aca="false">HYPERLINK("https://www.ncbi.nlm.nih.gov/nuccore/CP000304.1?report=graph&amp;tracks=[key:gene_model_track,Options:GeneOnly]&amp;mk=314923:314942|offset_35|444444,314958:314977|offset_70|444444,314985:315004|offset_97|00cc00,315013:315032|offset_125|444444&amp;v=314722:315232&amp;c=444444", "offset 97")</f>
        <v>offset 97</v>
      </c>
    </row>
    <row r="1062" customFormat="false" ht="12.8" hidden="false" customHeight="false" outlineLevel="0" collapsed="false">
      <c r="A1062" s="0" t="s">
        <v>12</v>
      </c>
      <c r="B1062" s="0" t="n">
        <v>315012</v>
      </c>
      <c r="C1062" s="0" t="n">
        <v>315032</v>
      </c>
      <c r="D1062" s="0" t="s">
        <v>3533</v>
      </c>
      <c r="E1062" s="0" t="s">
        <v>89</v>
      </c>
      <c r="F1062" s="0" t="s">
        <v>15</v>
      </c>
      <c r="G1062" s="0" t="s">
        <v>16</v>
      </c>
      <c r="H1062" s="0" t="n">
        <v>125</v>
      </c>
      <c r="I1062" s="0" t="s">
        <v>3543</v>
      </c>
      <c r="J1062" s="0" t="s">
        <v>3544</v>
      </c>
      <c r="K1062" s="0" t="s">
        <v>3545</v>
      </c>
      <c r="L1062" s="0" t="str">
        <f aca="false">HYPERLINK("https://www.ncbi.nlm.nih.gov/nuccore/CP000304.1?report=graph&amp;tracks=[key:gene_model_track,Options:GeneOnly]&amp;mk=314923:314942|offset_35|444444,314958:314977|offset_70|444444,314985:315004|offset_97|444444,315013:315032|offset_125|00cc00&amp;v=314722:315232&amp;c=444444", "offset 125")</f>
        <v>offset 125</v>
      </c>
    </row>
    <row r="1063" customFormat="false" ht="12.8" hidden="false" customHeight="false" outlineLevel="0" collapsed="false">
      <c r="A1063" s="0" t="s">
        <v>12</v>
      </c>
      <c r="B1063" s="0" t="n">
        <v>316271</v>
      </c>
      <c r="C1063" s="0" t="n">
        <v>316291</v>
      </c>
      <c r="D1063" s="0" t="s">
        <v>3546</v>
      </c>
      <c r="E1063" s="0" t="s">
        <v>3547</v>
      </c>
      <c r="F1063" s="0" t="s">
        <v>15</v>
      </c>
      <c r="G1063" s="0" t="s">
        <v>16</v>
      </c>
      <c r="H1063" s="0" t="n">
        <v>0</v>
      </c>
      <c r="I1063" s="0" t="s">
        <v>3548</v>
      </c>
      <c r="J1063" s="0" t="s">
        <v>3549</v>
      </c>
      <c r="K1063" s="0" t="s">
        <v>3550</v>
      </c>
      <c r="L1063" s="0" t="str">
        <f aca="false">HYPERLINK("https://www.ncbi.nlm.nih.gov/nuccore/CP000304.1?report=graph&amp;tracks=[key:gene_model_track,Options:GeneOnly]&amp;mk=316272:316291|offset_0|00cc00,316306:316325|offset_34|444444,316327:316346|offset_55|444444,316364:316383|offset_92|444444&amp;v=316071:316583&amp;c=444444", "offset 0")</f>
        <v>offset 0</v>
      </c>
    </row>
    <row r="1064" customFormat="false" ht="12.8" hidden="false" customHeight="false" outlineLevel="0" collapsed="false">
      <c r="A1064" s="0" t="s">
        <v>12</v>
      </c>
      <c r="B1064" s="0" t="n">
        <v>316305</v>
      </c>
      <c r="C1064" s="0" t="n">
        <v>316325</v>
      </c>
      <c r="D1064" s="0" t="s">
        <v>3546</v>
      </c>
      <c r="E1064" s="0" t="s">
        <v>3547</v>
      </c>
      <c r="F1064" s="0" t="s">
        <v>15</v>
      </c>
      <c r="G1064" s="0" t="s">
        <v>16</v>
      </c>
      <c r="H1064" s="0" t="n">
        <v>34</v>
      </c>
      <c r="I1064" s="0" t="s">
        <v>3551</v>
      </c>
      <c r="J1064" s="0" t="s">
        <v>3552</v>
      </c>
      <c r="K1064" s="0" t="s">
        <v>3553</v>
      </c>
      <c r="L1064" s="0" t="str">
        <f aca="false">HYPERLINK("https://www.ncbi.nlm.nih.gov/nuccore/CP000304.1?report=graph&amp;tracks=[key:gene_model_track,Options:GeneOnly]&amp;mk=316272:316291|offset_0|444444,316306:316325|offset_34|00cc00,316327:316346|offset_55|444444,316364:316383|offset_92|444444&amp;v=316071:316583&amp;c=444444", "offset 34")</f>
        <v>offset 34</v>
      </c>
    </row>
    <row r="1065" customFormat="false" ht="12.8" hidden="false" customHeight="false" outlineLevel="0" collapsed="false">
      <c r="A1065" s="0" t="s">
        <v>12</v>
      </c>
      <c r="B1065" s="0" t="n">
        <v>316326</v>
      </c>
      <c r="C1065" s="0" t="n">
        <v>316346</v>
      </c>
      <c r="D1065" s="0" t="s">
        <v>3546</v>
      </c>
      <c r="E1065" s="0" t="s">
        <v>3547</v>
      </c>
      <c r="F1065" s="0" t="s">
        <v>15</v>
      </c>
      <c r="G1065" s="0" t="s">
        <v>16</v>
      </c>
      <c r="H1065" s="0" t="n">
        <v>55</v>
      </c>
      <c r="I1065" s="0" t="s">
        <v>3554</v>
      </c>
      <c r="J1065" s="0" t="s">
        <v>3555</v>
      </c>
      <c r="K1065" s="0" t="s">
        <v>3556</v>
      </c>
      <c r="L1065" s="0" t="str">
        <f aca="false">HYPERLINK("https://www.ncbi.nlm.nih.gov/nuccore/CP000304.1?report=graph&amp;tracks=[key:gene_model_track,Options:GeneOnly]&amp;mk=316272:316291|offset_0|444444,316306:316325|offset_34|444444,316327:316346|offset_55|00cc00,316364:316383|offset_92|444444&amp;v=316071:316583&amp;c=444444", "offset 55")</f>
        <v>offset 55</v>
      </c>
    </row>
    <row r="1066" customFormat="false" ht="12.8" hidden="false" customHeight="false" outlineLevel="0" collapsed="false">
      <c r="A1066" s="0" t="s">
        <v>12</v>
      </c>
      <c r="B1066" s="0" t="n">
        <v>316363</v>
      </c>
      <c r="C1066" s="0" t="n">
        <v>316383</v>
      </c>
      <c r="D1066" s="0" t="s">
        <v>3546</v>
      </c>
      <c r="E1066" s="0" t="s">
        <v>3547</v>
      </c>
      <c r="F1066" s="0" t="s">
        <v>15</v>
      </c>
      <c r="G1066" s="0" t="s">
        <v>16</v>
      </c>
      <c r="H1066" s="0" t="n">
        <v>92</v>
      </c>
      <c r="I1066" s="0" t="s">
        <v>3557</v>
      </c>
      <c r="J1066" s="0" t="s">
        <v>3558</v>
      </c>
      <c r="K1066" s="0" t="s">
        <v>3559</v>
      </c>
      <c r="L1066" s="0" t="str">
        <f aca="false">HYPERLINK("https://www.ncbi.nlm.nih.gov/nuccore/CP000304.1?report=graph&amp;tracks=[key:gene_model_track,Options:GeneOnly]&amp;mk=316272:316291|offset_0|444444,316306:316325|offset_34|444444,316327:316346|offset_55|444444,316364:316383|offset_92|00cc00&amp;v=316071:316583&amp;c=444444", "offset 92")</f>
        <v>offset 92</v>
      </c>
    </row>
    <row r="1067" customFormat="false" ht="12.8" hidden="false" customHeight="false" outlineLevel="0" collapsed="false">
      <c r="A1067" s="0" t="s">
        <v>12</v>
      </c>
      <c r="B1067" s="0" t="n">
        <v>317574</v>
      </c>
      <c r="C1067" s="0" t="n">
        <v>317594</v>
      </c>
      <c r="D1067" s="0" t="s">
        <v>3560</v>
      </c>
      <c r="E1067" s="0" t="s">
        <v>3561</v>
      </c>
      <c r="F1067" s="0" t="s">
        <v>15</v>
      </c>
      <c r="G1067" s="0" t="s">
        <v>32</v>
      </c>
      <c r="H1067" s="0" t="n">
        <v>13</v>
      </c>
      <c r="I1067" s="0" t="s">
        <v>3562</v>
      </c>
      <c r="J1067" s="0" t="s">
        <v>3563</v>
      </c>
      <c r="K1067" s="0" t="s">
        <v>3564</v>
      </c>
      <c r="L1067" s="0" t="str">
        <f aca="false">HYPERLINK("https://www.ncbi.nlm.nih.gov/nuccore/CP000304.1?report=graph&amp;tracks=[key:gene_model_track,Options:GeneOnly]&amp;mk=317575:317594|offset_13|00cc00,317600:317619|offset_38|444444,317630:317649|offset_68|444444,317694:317713|offset_132|444444&amp;v=317374:317913&amp;c=444444", "offset 13")</f>
        <v>offset 13</v>
      </c>
    </row>
    <row r="1068" customFormat="false" ht="12.8" hidden="false" customHeight="false" outlineLevel="0" collapsed="false">
      <c r="A1068" s="0" t="s">
        <v>12</v>
      </c>
      <c r="B1068" s="0" t="n">
        <v>317599</v>
      </c>
      <c r="C1068" s="0" t="n">
        <v>317619</v>
      </c>
      <c r="D1068" s="0" t="s">
        <v>3560</v>
      </c>
      <c r="E1068" s="0" t="s">
        <v>3561</v>
      </c>
      <c r="F1068" s="0" t="s">
        <v>15</v>
      </c>
      <c r="G1068" s="0" t="s">
        <v>26</v>
      </c>
      <c r="H1068" s="0" t="n">
        <v>38</v>
      </c>
      <c r="I1068" s="0" t="s">
        <v>3565</v>
      </c>
      <c r="J1068" s="0" t="s">
        <v>3566</v>
      </c>
      <c r="K1068" s="0" t="s">
        <v>3567</v>
      </c>
      <c r="L1068" s="0" t="str">
        <f aca="false">HYPERLINK("https://www.ncbi.nlm.nih.gov/nuccore/CP000304.1?report=graph&amp;tracks=[key:gene_model_track,Options:GeneOnly]&amp;mk=317575:317594|offset_13|444444,317600:317619|offset_38|00cc00,317630:317649|offset_68|444444,317694:317713|offset_132|444444&amp;v=317374:317913&amp;c=444444", "offset 38")</f>
        <v>offset 38</v>
      </c>
    </row>
    <row r="1069" customFormat="false" ht="12.8" hidden="false" customHeight="false" outlineLevel="0" collapsed="false">
      <c r="A1069" s="0" t="s">
        <v>12</v>
      </c>
      <c r="B1069" s="0" t="n">
        <v>317629</v>
      </c>
      <c r="C1069" s="0" t="n">
        <v>317649</v>
      </c>
      <c r="D1069" s="0" t="s">
        <v>3560</v>
      </c>
      <c r="E1069" s="0" t="s">
        <v>3561</v>
      </c>
      <c r="F1069" s="0" t="s">
        <v>15</v>
      </c>
      <c r="G1069" s="0" t="s">
        <v>26</v>
      </c>
      <c r="H1069" s="0" t="n">
        <v>68</v>
      </c>
      <c r="I1069" s="0" t="s">
        <v>3568</v>
      </c>
      <c r="J1069" s="0" t="s">
        <v>3569</v>
      </c>
      <c r="K1069" s="0" t="s">
        <v>3570</v>
      </c>
      <c r="L1069" s="0" t="str">
        <f aca="false">HYPERLINK("https://www.ncbi.nlm.nih.gov/nuccore/CP000304.1?report=graph&amp;tracks=[key:gene_model_track,Options:GeneOnly]&amp;mk=317575:317594|offset_13|444444,317600:317619|offset_38|444444,317630:317649|offset_68|00cc00,317694:317713|offset_132|444444&amp;v=317374:317913&amp;c=444444", "offset 68")</f>
        <v>offset 68</v>
      </c>
    </row>
    <row r="1070" customFormat="false" ht="12.8" hidden="false" customHeight="false" outlineLevel="0" collapsed="false">
      <c r="A1070" s="0" t="s">
        <v>12</v>
      </c>
      <c r="B1070" s="0" t="n">
        <v>317693</v>
      </c>
      <c r="C1070" s="0" t="n">
        <v>317713</v>
      </c>
      <c r="D1070" s="0" t="s">
        <v>3560</v>
      </c>
      <c r="E1070" s="0" t="s">
        <v>3561</v>
      </c>
      <c r="F1070" s="0" t="s">
        <v>15</v>
      </c>
      <c r="G1070" s="0" t="s">
        <v>16</v>
      </c>
      <c r="H1070" s="0" t="n">
        <v>132</v>
      </c>
      <c r="I1070" s="0" t="s">
        <v>3571</v>
      </c>
      <c r="J1070" s="0" t="s">
        <v>3572</v>
      </c>
      <c r="K1070" s="0" t="s">
        <v>3573</v>
      </c>
      <c r="L1070" s="0" t="str">
        <f aca="false">HYPERLINK("https://www.ncbi.nlm.nih.gov/nuccore/CP000304.1?report=graph&amp;tracks=[key:gene_model_track,Options:GeneOnly]&amp;mk=317575:317594|offset_13|444444,317600:317619|offset_38|444444,317630:317649|offset_68|444444,317694:317713|offset_132|00cc00&amp;v=317374:317913&amp;c=444444", "offset 132")</f>
        <v>offset 132</v>
      </c>
    </row>
    <row r="1071" customFormat="false" ht="12.8" hidden="false" customHeight="false" outlineLevel="0" collapsed="false">
      <c r="A1071" s="0" t="s">
        <v>12</v>
      </c>
      <c r="B1071" s="0" t="n">
        <v>320340</v>
      </c>
      <c r="C1071" s="0" t="n">
        <v>320360</v>
      </c>
      <c r="D1071" s="0" t="s">
        <v>3574</v>
      </c>
      <c r="E1071" s="0" t="s">
        <v>3575</v>
      </c>
      <c r="F1071" s="0" t="s">
        <v>90</v>
      </c>
      <c r="G1071" s="0" t="s">
        <v>36</v>
      </c>
      <c r="H1071" s="0" t="n">
        <v>19</v>
      </c>
      <c r="I1071" s="0" t="s">
        <v>3576</v>
      </c>
      <c r="J1071" s="0" t="s">
        <v>3577</v>
      </c>
      <c r="K1071" s="0" t="s">
        <v>3578</v>
      </c>
      <c r="L1071" s="0" t="str">
        <f aca="false">HYPERLINK("https://www.ncbi.nlm.nih.gov/nuccore/CP000304.1?report=graph&amp;tracks=[key:gene_model_track,Options:GeneOnly]&amp;mk=320341:320360|offset_19|00cc00,320320:320339|offset_40|444444,320292:320311|offset_68|444444,320248:320267|offset_112|444444&amp;v=320140:320467&amp;c=444444", "offset 19")</f>
        <v>offset 19</v>
      </c>
    </row>
    <row r="1072" customFormat="false" ht="12.8" hidden="false" customHeight="false" outlineLevel="0" collapsed="false">
      <c r="A1072" s="0" t="s">
        <v>12</v>
      </c>
      <c r="B1072" s="0" t="n">
        <v>320319</v>
      </c>
      <c r="C1072" s="0" t="n">
        <v>320339</v>
      </c>
      <c r="D1072" s="0" t="s">
        <v>3574</v>
      </c>
      <c r="E1072" s="0" t="s">
        <v>3575</v>
      </c>
      <c r="F1072" s="0" t="s">
        <v>90</v>
      </c>
      <c r="G1072" s="0" t="s">
        <v>32</v>
      </c>
      <c r="H1072" s="0" t="n">
        <v>40</v>
      </c>
      <c r="I1072" s="0" t="s">
        <v>3579</v>
      </c>
      <c r="J1072" s="0" t="s">
        <v>3580</v>
      </c>
      <c r="K1072" s="0" t="s">
        <v>3581</v>
      </c>
      <c r="L1072" s="0" t="str">
        <f aca="false">HYPERLINK("https://www.ncbi.nlm.nih.gov/nuccore/CP000304.1?report=graph&amp;tracks=[key:gene_model_track,Options:GeneOnly]&amp;mk=320341:320360|offset_19|444444,320320:320339|offset_40|00cc00,320292:320311|offset_68|444444,320248:320267|offset_112|444444&amp;v=320140:320467&amp;c=444444", "offset 40")</f>
        <v>offset 40</v>
      </c>
    </row>
    <row r="1073" customFormat="false" ht="12.8" hidden="false" customHeight="false" outlineLevel="0" collapsed="false">
      <c r="A1073" s="0" t="s">
        <v>12</v>
      </c>
      <c r="B1073" s="0" t="n">
        <v>320291</v>
      </c>
      <c r="C1073" s="0" t="n">
        <v>320311</v>
      </c>
      <c r="D1073" s="0" t="s">
        <v>3574</v>
      </c>
      <c r="E1073" s="0" t="s">
        <v>3575</v>
      </c>
      <c r="F1073" s="0" t="s">
        <v>90</v>
      </c>
      <c r="G1073" s="0" t="s">
        <v>32</v>
      </c>
      <c r="H1073" s="0" t="n">
        <v>68</v>
      </c>
      <c r="I1073" s="0" t="s">
        <v>3582</v>
      </c>
      <c r="J1073" s="0" t="s">
        <v>3583</v>
      </c>
      <c r="K1073" s="0" t="s">
        <v>3584</v>
      </c>
      <c r="L1073" s="0" t="str">
        <f aca="false">HYPERLINK("https://www.ncbi.nlm.nih.gov/nuccore/CP000304.1?report=graph&amp;tracks=[key:gene_model_track,Options:GeneOnly]&amp;mk=320341:320360|offset_19|444444,320320:320339|offset_40|444444,320292:320311|offset_68|00cc00,320248:320267|offset_112|444444&amp;v=320140:320467&amp;c=444444", "offset 68")</f>
        <v>offset 68</v>
      </c>
    </row>
    <row r="1074" customFormat="false" ht="12.8" hidden="false" customHeight="false" outlineLevel="0" collapsed="false">
      <c r="A1074" s="0" t="s">
        <v>12</v>
      </c>
      <c r="B1074" s="0" t="n">
        <v>320247</v>
      </c>
      <c r="C1074" s="0" t="n">
        <v>320267</v>
      </c>
      <c r="D1074" s="0" t="s">
        <v>3574</v>
      </c>
      <c r="E1074" s="0" t="s">
        <v>3575</v>
      </c>
      <c r="F1074" s="0" t="s">
        <v>90</v>
      </c>
      <c r="G1074" s="0" t="s">
        <v>36</v>
      </c>
      <c r="H1074" s="0" t="n">
        <v>112</v>
      </c>
      <c r="I1074" s="0" t="s">
        <v>3585</v>
      </c>
      <c r="J1074" s="0" t="s">
        <v>3586</v>
      </c>
      <c r="K1074" s="0" t="s">
        <v>3587</v>
      </c>
      <c r="L1074" s="0" t="str">
        <f aca="false">HYPERLINK("https://www.ncbi.nlm.nih.gov/nuccore/CP000304.1?report=graph&amp;tracks=[key:gene_model_track,Options:GeneOnly]&amp;mk=320341:320360|offset_19|444444,320320:320339|offset_40|444444,320292:320311|offset_68|444444,320248:320267|offset_112|00cc00&amp;v=320140:320467&amp;c=444444", "offset 112")</f>
        <v>offset 112</v>
      </c>
    </row>
    <row r="1075" customFormat="false" ht="12.8" hidden="false" customHeight="false" outlineLevel="0" collapsed="false">
      <c r="A1075" s="0" t="s">
        <v>12</v>
      </c>
      <c r="B1075" s="0" t="n">
        <v>320841</v>
      </c>
      <c r="C1075" s="0" t="n">
        <v>320861</v>
      </c>
      <c r="D1075" s="0" t="s">
        <v>3588</v>
      </c>
      <c r="E1075" s="0" t="s">
        <v>89</v>
      </c>
      <c r="F1075" s="0" t="s">
        <v>90</v>
      </c>
      <c r="G1075" s="0" t="s">
        <v>32</v>
      </c>
      <c r="H1075" s="0" t="n">
        <v>34</v>
      </c>
      <c r="I1075" s="0" t="s">
        <v>3589</v>
      </c>
      <c r="J1075" s="0" t="s">
        <v>3590</v>
      </c>
      <c r="K1075" s="0" t="s">
        <v>3591</v>
      </c>
      <c r="L1075" s="0" t="str">
        <f aca="false">HYPERLINK("https://www.ncbi.nlm.nih.gov/nuccore/CP000304.1?report=graph&amp;tracks=[key:gene_model_track,Options:GeneOnly]&amp;mk=320842:320861|offset_34|00cc00,320817:320836|offset_59|444444,320785:320804|offset_91|444444,320757:320776|offset_119|444444&amp;v=320641:320976&amp;c=444444", "offset 34")</f>
        <v>offset 34</v>
      </c>
    </row>
    <row r="1076" customFormat="false" ht="12.8" hidden="false" customHeight="false" outlineLevel="0" collapsed="false">
      <c r="A1076" s="0" t="s">
        <v>12</v>
      </c>
      <c r="B1076" s="0" t="n">
        <v>320816</v>
      </c>
      <c r="C1076" s="0" t="n">
        <v>320836</v>
      </c>
      <c r="D1076" s="0" t="s">
        <v>3588</v>
      </c>
      <c r="E1076" s="0" t="s">
        <v>89</v>
      </c>
      <c r="F1076" s="0" t="s">
        <v>90</v>
      </c>
      <c r="G1076" s="0" t="s">
        <v>26</v>
      </c>
      <c r="H1076" s="0" t="n">
        <v>59</v>
      </c>
      <c r="I1076" s="0" t="s">
        <v>3592</v>
      </c>
      <c r="J1076" s="0" t="s">
        <v>3593</v>
      </c>
      <c r="K1076" s="0" t="s">
        <v>3594</v>
      </c>
      <c r="L1076" s="0" t="str">
        <f aca="false">HYPERLINK("https://www.ncbi.nlm.nih.gov/nuccore/CP000304.1?report=graph&amp;tracks=[key:gene_model_track,Options:GeneOnly]&amp;mk=320842:320861|offset_34|444444,320817:320836|offset_59|00cc00,320785:320804|offset_91|444444,320757:320776|offset_119|444444&amp;v=320641:320976&amp;c=444444", "offset 59")</f>
        <v>offset 59</v>
      </c>
    </row>
    <row r="1077" customFormat="false" ht="12.8" hidden="false" customHeight="false" outlineLevel="0" collapsed="false">
      <c r="A1077" s="0" t="s">
        <v>12</v>
      </c>
      <c r="B1077" s="0" t="n">
        <v>320784</v>
      </c>
      <c r="C1077" s="0" t="n">
        <v>320804</v>
      </c>
      <c r="D1077" s="0" t="s">
        <v>3588</v>
      </c>
      <c r="E1077" s="0" t="s">
        <v>89</v>
      </c>
      <c r="F1077" s="0" t="s">
        <v>90</v>
      </c>
      <c r="G1077" s="0" t="s">
        <v>16</v>
      </c>
      <c r="H1077" s="0" t="n">
        <v>91</v>
      </c>
      <c r="I1077" s="0" t="s">
        <v>3595</v>
      </c>
      <c r="J1077" s="0" t="s">
        <v>3596</v>
      </c>
      <c r="K1077" s="0" t="s">
        <v>3597</v>
      </c>
      <c r="L1077" s="0" t="str">
        <f aca="false">HYPERLINK("https://www.ncbi.nlm.nih.gov/nuccore/CP000304.1?report=graph&amp;tracks=[key:gene_model_track,Options:GeneOnly]&amp;mk=320842:320861|offset_34|444444,320817:320836|offset_59|444444,320785:320804|offset_91|00cc00,320757:320776|offset_119|444444&amp;v=320641:320976&amp;c=444444", "offset 91")</f>
        <v>offset 91</v>
      </c>
    </row>
    <row r="1078" customFormat="false" ht="12.8" hidden="false" customHeight="false" outlineLevel="0" collapsed="false">
      <c r="A1078" s="0" t="s">
        <v>12</v>
      </c>
      <c r="B1078" s="0" t="n">
        <v>320756</v>
      </c>
      <c r="C1078" s="0" t="n">
        <v>320776</v>
      </c>
      <c r="D1078" s="0" t="s">
        <v>3588</v>
      </c>
      <c r="E1078" s="0" t="s">
        <v>89</v>
      </c>
      <c r="F1078" s="0" t="s">
        <v>90</v>
      </c>
      <c r="G1078" s="0" t="s">
        <v>26</v>
      </c>
      <c r="H1078" s="0" t="n">
        <v>119</v>
      </c>
      <c r="I1078" s="0" t="s">
        <v>3598</v>
      </c>
      <c r="J1078" s="0" t="s">
        <v>3599</v>
      </c>
      <c r="K1078" s="0" t="s">
        <v>3600</v>
      </c>
      <c r="L1078" s="0" t="str">
        <f aca="false">HYPERLINK("https://www.ncbi.nlm.nih.gov/nuccore/CP000304.1?report=graph&amp;tracks=[key:gene_model_track,Options:GeneOnly]&amp;mk=320842:320861|offset_34|444444,320817:320836|offset_59|444444,320785:320804|offset_91|444444,320757:320776|offset_119|00cc00&amp;v=320641:320976&amp;c=444444", "offset 119")</f>
        <v>offset 119</v>
      </c>
    </row>
    <row r="1079" customFormat="false" ht="12.8" hidden="false" customHeight="false" outlineLevel="0" collapsed="false">
      <c r="A1079" s="0" t="s">
        <v>12</v>
      </c>
      <c r="B1079" s="0" t="n">
        <v>323177</v>
      </c>
      <c r="C1079" s="0" t="n">
        <v>323197</v>
      </c>
      <c r="D1079" s="0" t="s">
        <v>3601</v>
      </c>
      <c r="E1079" s="0" t="s">
        <v>89</v>
      </c>
      <c r="F1079" s="0" t="s">
        <v>90</v>
      </c>
      <c r="G1079" s="0" t="s">
        <v>36</v>
      </c>
      <c r="H1079" s="0" t="n">
        <v>19</v>
      </c>
      <c r="I1079" s="0" t="s">
        <v>3602</v>
      </c>
      <c r="J1079" s="0" t="s">
        <v>3603</v>
      </c>
      <c r="K1079" s="0" t="s">
        <v>3604</v>
      </c>
      <c r="L1079" s="0" t="str">
        <f aca="false">HYPERLINK("https://www.ncbi.nlm.nih.gov/nuccore/CP000304.1?report=graph&amp;tracks=[key:gene_model_track,Options:GeneOnly]&amp;mk=323178:323197|offset_19|00cc00,323133:323152|offset_64|444444,323106:323125|offset_91|444444,323067:323086|offset_130|444444&amp;v=322977:323286&amp;c=444444", "offset 19")</f>
        <v>offset 19</v>
      </c>
    </row>
    <row r="1080" customFormat="false" ht="12.8" hidden="false" customHeight="false" outlineLevel="0" collapsed="false">
      <c r="A1080" s="0" t="s">
        <v>12</v>
      </c>
      <c r="B1080" s="0" t="n">
        <v>323132</v>
      </c>
      <c r="C1080" s="0" t="n">
        <v>323152</v>
      </c>
      <c r="D1080" s="0" t="s">
        <v>3601</v>
      </c>
      <c r="E1080" s="0" t="s">
        <v>89</v>
      </c>
      <c r="F1080" s="0" t="s">
        <v>90</v>
      </c>
      <c r="G1080" s="0" t="s">
        <v>16</v>
      </c>
      <c r="H1080" s="0" t="n">
        <v>64</v>
      </c>
      <c r="I1080" s="0" t="s">
        <v>3605</v>
      </c>
      <c r="J1080" s="0" t="s">
        <v>3606</v>
      </c>
      <c r="K1080" s="0" t="s">
        <v>3607</v>
      </c>
      <c r="L1080" s="0" t="str">
        <f aca="false">HYPERLINK("https://www.ncbi.nlm.nih.gov/nuccore/CP000304.1?report=graph&amp;tracks=[key:gene_model_track,Options:GeneOnly]&amp;mk=323178:323197|offset_19|444444,323133:323152|offset_64|00cc00,323106:323125|offset_91|444444,323067:323086|offset_130|444444&amp;v=322977:323286&amp;c=444444", "offset 64")</f>
        <v>offset 64</v>
      </c>
    </row>
    <row r="1081" customFormat="false" ht="12.8" hidden="false" customHeight="false" outlineLevel="0" collapsed="false">
      <c r="A1081" s="0" t="s">
        <v>12</v>
      </c>
      <c r="B1081" s="0" t="n">
        <v>323105</v>
      </c>
      <c r="C1081" s="0" t="n">
        <v>323125</v>
      </c>
      <c r="D1081" s="0" t="s">
        <v>3601</v>
      </c>
      <c r="E1081" s="0" t="s">
        <v>89</v>
      </c>
      <c r="F1081" s="0" t="s">
        <v>90</v>
      </c>
      <c r="G1081" s="0" t="s">
        <v>32</v>
      </c>
      <c r="H1081" s="0" t="n">
        <v>91</v>
      </c>
      <c r="I1081" s="0" t="s">
        <v>3608</v>
      </c>
      <c r="J1081" s="0" t="s">
        <v>3609</v>
      </c>
      <c r="K1081" s="0" t="s">
        <v>3610</v>
      </c>
      <c r="L1081" s="0" t="str">
        <f aca="false">HYPERLINK("https://www.ncbi.nlm.nih.gov/nuccore/CP000304.1?report=graph&amp;tracks=[key:gene_model_track,Options:GeneOnly]&amp;mk=323178:323197|offset_19|444444,323133:323152|offset_64|444444,323106:323125|offset_91|00cc00,323067:323086|offset_130|444444&amp;v=322977:323286&amp;c=444444", "offset 91")</f>
        <v>offset 91</v>
      </c>
    </row>
    <row r="1082" customFormat="false" ht="12.8" hidden="false" customHeight="false" outlineLevel="0" collapsed="false">
      <c r="A1082" s="0" t="s">
        <v>12</v>
      </c>
      <c r="B1082" s="0" t="n">
        <v>323066</v>
      </c>
      <c r="C1082" s="0" t="n">
        <v>323086</v>
      </c>
      <c r="D1082" s="0" t="s">
        <v>3601</v>
      </c>
      <c r="E1082" s="0" t="s">
        <v>89</v>
      </c>
      <c r="F1082" s="0" t="s">
        <v>90</v>
      </c>
      <c r="G1082" s="0" t="s">
        <v>16</v>
      </c>
      <c r="H1082" s="0" t="n">
        <v>130</v>
      </c>
      <c r="I1082" s="0" t="s">
        <v>3611</v>
      </c>
      <c r="J1082" s="0" t="s">
        <v>3612</v>
      </c>
      <c r="K1082" s="0" t="s">
        <v>3613</v>
      </c>
      <c r="L1082" s="0" t="str">
        <f aca="false">HYPERLINK("https://www.ncbi.nlm.nih.gov/nuccore/CP000304.1?report=graph&amp;tracks=[key:gene_model_track,Options:GeneOnly]&amp;mk=323178:323197|offset_19|444444,323133:323152|offset_64|444444,323106:323125|offset_91|444444,323067:323086|offset_130|00cc00&amp;v=322977:323286&amp;c=444444", "offset 130")</f>
        <v>offset 130</v>
      </c>
    </row>
    <row r="1083" customFormat="false" ht="12.8" hidden="false" customHeight="false" outlineLevel="0" collapsed="false">
      <c r="A1083" s="0" t="s">
        <v>12</v>
      </c>
      <c r="B1083" s="0" t="n">
        <v>326751</v>
      </c>
      <c r="C1083" s="0" t="n">
        <v>326771</v>
      </c>
      <c r="D1083" s="0" t="s">
        <v>3614</v>
      </c>
      <c r="E1083" s="0" t="s">
        <v>89</v>
      </c>
      <c r="F1083" s="0" t="s">
        <v>90</v>
      </c>
      <c r="G1083" s="0" t="s">
        <v>32</v>
      </c>
      <c r="H1083" s="0" t="n">
        <v>1</v>
      </c>
      <c r="I1083" s="0" t="s">
        <v>3615</v>
      </c>
      <c r="J1083" s="0" t="s">
        <v>3616</v>
      </c>
      <c r="K1083" s="0" t="s">
        <v>3617</v>
      </c>
      <c r="L1083" s="0" t="str">
        <f aca="false">HYPERLINK("https://www.ncbi.nlm.nih.gov/nuccore/CP000304.1?report=graph&amp;tracks=[key:gene_model_track,Options:GeneOnly]&amp;mk=326752:326771|offset_1|00cc00,326711:326730|offset_42|444444,326674:326693|offset_79|444444,326638:326657|offset_115|444444&amp;v=326551:326857&amp;c=444444", "offset 1")</f>
        <v>offset 1</v>
      </c>
    </row>
    <row r="1084" customFormat="false" ht="12.8" hidden="false" customHeight="false" outlineLevel="0" collapsed="false">
      <c r="A1084" s="0" t="s">
        <v>12</v>
      </c>
      <c r="B1084" s="0" t="n">
        <v>326710</v>
      </c>
      <c r="C1084" s="0" t="n">
        <v>326730</v>
      </c>
      <c r="D1084" s="0" t="s">
        <v>3614</v>
      </c>
      <c r="E1084" s="0" t="s">
        <v>89</v>
      </c>
      <c r="F1084" s="0" t="s">
        <v>90</v>
      </c>
      <c r="G1084" s="0" t="s">
        <v>16</v>
      </c>
      <c r="H1084" s="0" t="n">
        <v>42</v>
      </c>
      <c r="I1084" s="0" t="s">
        <v>3618</v>
      </c>
      <c r="J1084" s="0" t="s">
        <v>3619</v>
      </c>
      <c r="K1084" s="0" t="s">
        <v>3620</v>
      </c>
      <c r="L1084" s="0" t="str">
        <f aca="false">HYPERLINK("https://www.ncbi.nlm.nih.gov/nuccore/CP000304.1?report=graph&amp;tracks=[key:gene_model_track,Options:GeneOnly]&amp;mk=326752:326771|offset_1|444444,326711:326730|offset_42|00cc00,326674:326693|offset_79|444444,326638:326657|offset_115|444444&amp;v=326551:326857&amp;c=444444", "offset 42")</f>
        <v>offset 42</v>
      </c>
    </row>
    <row r="1085" customFormat="false" ht="12.8" hidden="false" customHeight="false" outlineLevel="0" collapsed="false">
      <c r="A1085" s="0" t="s">
        <v>12</v>
      </c>
      <c r="B1085" s="0" t="n">
        <v>326673</v>
      </c>
      <c r="C1085" s="0" t="n">
        <v>326693</v>
      </c>
      <c r="D1085" s="0" t="s">
        <v>3614</v>
      </c>
      <c r="E1085" s="0" t="s">
        <v>89</v>
      </c>
      <c r="F1085" s="0" t="s">
        <v>90</v>
      </c>
      <c r="G1085" s="0" t="s">
        <v>16</v>
      </c>
      <c r="H1085" s="0" t="n">
        <v>79</v>
      </c>
      <c r="I1085" s="0" t="s">
        <v>3621</v>
      </c>
      <c r="J1085" s="0" t="s">
        <v>3622</v>
      </c>
      <c r="K1085" s="0" t="s">
        <v>3623</v>
      </c>
      <c r="L1085" s="0" t="str">
        <f aca="false">HYPERLINK("https://www.ncbi.nlm.nih.gov/nuccore/CP000304.1?report=graph&amp;tracks=[key:gene_model_track,Options:GeneOnly]&amp;mk=326752:326771|offset_1|444444,326711:326730|offset_42|444444,326674:326693|offset_79|00cc00,326638:326657|offset_115|444444&amp;v=326551:326857&amp;c=444444", "offset 79")</f>
        <v>offset 79</v>
      </c>
    </row>
    <row r="1086" customFormat="false" ht="12.8" hidden="false" customHeight="false" outlineLevel="0" collapsed="false">
      <c r="A1086" s="0" t="s">
        <v>12</v>
      </c>
      <c r="B1086" s="0" t="n">
        <v>326637</v>
      </c>
      <c r="C1086" s="0" t="n">
        <v>326657</v>
      </c>
      <c r="D1086" s="0" t="s">
        <v>3614</v>
      </c>
      <c r="E1086" s="0" t="s">
        <v>89</v>
      </c>
      <c r="F1086" s="0" t="s">
        <v>90</v>
      </c>
      <c r="G1086" s="0" t="s">
        <v>16</v>
      </c>
      <c r="H1086" s="0" t="n">
        <v>115</v>
      </c>
      <c r="I1086" s="0" t="s">
        <v>3624</v>
      </c>
      <c r="J1086" s="0" t="s">
        <v>3625</v>
      </c>
      <c r="K1086" s="0" t="s">
        <v>3626</v>
      </c>
      <c r="L1086" s="0" t="str">
        <f aca="false">HYPERLINK("https://www.ncbi.nlm.nih.gov/nuccore/CP000304.1?report=graph&amp;tracks=[key:gene_model_track,Options:GeneOnly]&amp;mk=326752:326771|offset_1|444444,326711:326730|offset_42|444444,326674:326693|offset_79|444444,326638:326657|offset_115|00cc00&amp;v=326551:326857&amp;c=444444", "offset 115")</f>
        <v>offset 115</v>
      </c>
    </row>
    <row r="1087" customFormat="false" ht="12.8" hidden="false" customHeight="false" outlineLevel="0" collapsed="false">
      <c r="A1087" s="0" t="s">
        <v>12</v>
      </c>
      <c r="B1087" s="0" t="n">
        <v>328971</v>
      </c>
      <c r="C1087" s="0" t="n">
        <v>328991</v>
      </c>
      <c r="D1087" s="0" t="s">
        <v>3627</v>
      </c>
      <c r="E1087" s="0" t="s">
        <v>89</v>
      </c>
      <c r="F1087" s="0" t="s">
        <v>90</v>
      </c>
      <c r="G1087" s="0" t="s">
        <v>36</v>
      </c>
      <c r="H1087" s="0" t="n">
        <v>10</v>
      </c>
      <c r="I1087" s="0" t="s">
        <v>3628</v>
      </c>
      <c r="J1087" s="0" t="s">
        <v>3629</v>
      </c>
      <c r="K1087" s="0" t="s">
        <v>3630</v>
      </c>
      <c r="L1087" s="0" t="str">
        <f aca="false">HYPERLINK("https://www.ncbi.nlm.nih.gov/nuccore/CP000304.1?report=graph&amp;tracks=[key:gene_model_track,Options:GeneOnly]&amp;mk=328972:328991|offset_10|00cc00,328945:328964|offset_37|444444,328918:328937|offset_64|444444,328891:328910|offset_91|444444&amp;v=328771:329110&amp;c=444444", "offset 10")</f>
        <v>offset 10</v>
      </c>
    </row>
    <row r="1088" customFormat="false" ht="12.8" hidden="false" customHeight="false" outlineLevel="0" collapsed="false">
      <c r="A1088" s="0" t="s">
        <v>12</v>
      </c>
      <c r="B1088" s="0" t="n">
        <v>328944</v>
      </c>
      <c r="C1088" s="0" t="n">
        <v>328964</v>
      </c>
      <c r="D1088" s="0" t="s">
        <v>3627</v>
      </c>
      <c r="E1088" s="0" t="s">
        <v>89</v>
      </c>
      <c r="F1088" s="0" t="s">
        <v>90</v>
      </c>
      <c r="G1088" s="0" t="s">
        <v>16</v>
      </c>
      <c r="H1088" s="0" t="n">
        <v>37</v>
      </c>
      <c r="I1088" s="0" t="s">
        <v>3631</v>
      </c>
      <c r="J1088" s="0" t="s">
        <v>3632</v>
      </c>
      <c r="K1088" s="0" t="s">
        <v>3633</v>
      </c>
      <c r="L1088" s="0" t="str">
        <f aca="false">HYPERLINK("https://www.ncbi.nlm.nih.gov/nuccore/CP000304.1?report=graph&amp;tracks=[key:gene_model_track,Options:GeneOnly]&amp;mk=328972:328991|offset_10|444444,328945:328964|offset_37|00cc00,328918:328937|offset_64|444444,328891:328910|offset_91|444444&amp;v=328771:329110&amp;c=444444", "offset 37")</f>
        <v>offset 37</v>
      </c>
    </row>
    <row r="1089" customFormat="false" ht="12.8" hidden="false" customHeight="false" outlineLevel="0" collapsed="false">
      <c r="A1089" s="0" t="s">
        <v>12</v>
      </c>
      <c r="B1089" s="0" t="n">
        <v>328917</v>
      </c>
      <c r="C1089" s="0" t="n">
        <v>328937</v>
      </c>
      <c r="D1089" s="0" t="s">
        <v>3627</v>
      </c>
      <c r="E1089" s="0" t="s">
        <v>89</v>
      </c>
      <c r="F1089" s="0" t="s">
        <v>90</v>
      </c>
      <c r="G1089" s="0" t="s">
        <v>16</v>
      </c>
      <c r="H1089" s="0" t="n">
        <v>64</v>
      </c>
      <c r="I1089" s="0" t="s">
        <v>3634</v>
      </c>
      <c r="J1089" s="0" t="s">
        <v>3635</v>
      </c>
      <c r="K1089" s="0" t="s">
        <v>3636</v>
      </c>
      <c r="L1089" s="0" t="str">
        <f aca="false">HYPERLINK("https://www.ncbi.nlm.nih.gov/nuccore/CP000304.1?report=graph&amp;tracks=[key:gene_model_track,Options:GeneOnly]&amp;mk=328972:328991|offset_10|444444,328945:328964|offset_37|444444,328918:328937|offset_64|00cc00,328891:328910|offset_91|444444&amp;v=328771:329110&amp;c=444444", "offset 64")</f>
        <v>offset 64</v>
      </c>
    </row>
    <row r="1090" customFormat="false" ht="12.8" hidden="false" customHeight="false" outlineLevel="0" collapsed="false">
      <c r="A1090" s="0" t="s">
        <v>12</v>
      </c>
      <c r="B1090" s="0" t="n">
        <v>328890</v>
      </c>
      <c r="C1090" s="0" t="n">
        <v>328910</v>
      </c>
      <c r="D1090" s="0" t="s">
        <v>3627</v>
      </c>
      <c r="E1090" s="0" t="s">
        <v>89</v>
      </c>
      <c r="F1090" s="0" t="s">
        <v>90</v>
      </c>
      <c r="G1090" s="0" t="s">
        <v>16</v>
      </c>
      <c r="H1090" s="0" t="n">
        <v>91</v>
      </c>
      <c r="I1090" s="0" t="s">
        <v>3637</v>
      </c>
      <c r="J1090" s="0" t="s">
        <v>3638</v>
      </c>
      <c r="K1090" s="0" t="s">
        <v>3639</v>
      </c>
      <c r="L1090" s="0" t="str">
        <f aca="false">HYPERLINK("https://www.ncbi.nlm.nih.gov/nuccore/CP000304.1?report=graph&amp;tracks=[key:gene_model_track,Options:GeneOnly]&amp;mk=328972:328991|offset_10|444444,328945:328964|offset_37|444444,328918:328937|offset_64|444444,328891:328910|offset_91|00cc00&amp;v=328771:329110&amp;c=444444", "offset 91")</f>
        <v>offset 91</v>
      </c>
    </row>
    <row r="1091" customFormat="false" ht="12.8" hidden="false" customHeight="false" outlineLevel="0" collapsed="false">
      <c r="A1091" s="0" t="s">
        <v>12</v>
      </c>
      <c r="B1091" s="0" t="n">
        <v>331569</v>
      </c>
      <c r="C1091" s="0" t="n">
        <v>331589</v>
      </c>
      <c r="D1091" s="0" t="s">
        <v>3640</v>
      </c>
      <c r="E1091" s="0" t="s">
        <v>3641</v>
      </c>
      <c r="F1091" s="0" t="s">
        <v>90</v>
      </c>
      <c r="G1091" s="0" t="s">
        <v>36</v>
      </c>
      <c r="H1091" s="0" t="n">
        <v>6</v>
      </c>
      <c r="I1091" s="0" t="s">
        <v>3642</v>
      </c>
      <c r="J1091" s="0" t="s">
        <v>3643</v>
      </c>
      <c r="K1091" s="0" t="s">
        <v>3644</v>
      </c>
      <c r="L1091" s="0" t="str">
        <f aca="false">HYPERLINK("https://www.ncbi.nlm.nih.gov/nuccore/CP000304.1?report=graph&amp;tracks=[key:gene_model_track,Options:GeneOnly]&amp;mk=331570:331589|offset_6|00cc00,331550:331569|offset_26|444444,331524:331543|offset_52|444444,331491:331510|offset_85|444444&amp;v=331369:331710&amp;c=444444", "offset 6")</f>
        <v>offset 6</v>
      </c>
    </row>
    <row r="1092" customFormat="false" ht="12.8" hidden="false" customHeight="false" outlineLevel="0" collapsed="false">
      <c r="A1092" s="0" t="s">
        <v>12</v>
      </c>
      <c r="B1092" s="0" t="n">
        <v>331549</v>
      </c>
      <c r="C1092" s="0" t="n">
        <v>331569</v>
      </c>
      <c r="D1092" s="0" t="s">
        <v>3640</v>
      </c>
      <c r="E1092" s="0" t="s">
        <v>3641</v>
      </c>
      <c r="F1092" s="0" t="s">
        <v>90</v>
      </c>
      <c r="G1092" s="0" t="s">
        <v>32</v>
      </c>
      <c r="H1092" s="0" t="n">
        <v>26</v>
      </c>
      <c r="I1092" s="0" t="s">
        <v>3645</v>
      </c>
      <c r="J1092" s="0" t="s">
        <v>3646</v>
      </c>
      <c r="K1092" s="0" t="s">
        <v>3647</v>
      </c>
      <c r="L1092" s="0" t="str">
        <f aca="false">HYPERLINK("https://www.ncbi.nlm.nih.gov/nuccore/CP000304.1?report=graph&amp;tracks=[key:gene_model_track,Options:GeneOnly]&amp;mk=331570:331589|offset_6|444444,331550:331569|offset_26|00cc00,331524:331543|offset_52|444444,331491:331510|offset_85|444444&amp;v=331369:331710&amp;c=444444", "offset 26")</f>
        <v>offset 26</v>
      </c>
    </row>
    <row r="1093" customFormat="false" ht="12.8" hidden="false" customHeight="false" outlineLevel="0" collapsed="false">
      <c r="A1093" s="0" t="s">
        <v>12</v>
      </c>
      <c r="B1093" s="0" t="n">
        <v>331523</v>
      </c>
      <c r="C1093" s="0" t="n">
        <v>331543</v>
      </c>
      <c r="D1093" s="0" t="s">
        <v>3640</v>
      </c>
      <c r="E1093" s="0" t="s">
        <v>3641</v>
      </c>
      <c r="F1093" s="0" t="s">
        <v>90</v>
      </c>
      <c r="G1093" s="0" t="s">
        <v>32</v>
      </c>
      <c r="H1093" s="0" t="n">
        <v>52</v>
      </c>
      <c r="I1093" s="0" t="s">
        <v>3648</v>
      </c>
      <c r="J1093" s="0" t="s">
        <v>3649</v>
      </c>
      <c r="K1093" s="0" t="s">
        <v>3650</v>
      </c>
      <c r="L1093" s="0" t="str">
        <f aca="false">HYPERLINK("https://www.ncbi.nlm.nih.gov/nuccore/CP000304.1?report=graph&amp;tracks=[key:gene_model_track,Options:GeneOnly]&amp;mk=331570:331589|offset_6|444444,331550:331569|offset_26|444444,331524:331543|offset_52|00cc00,331491:331510|offset_85|444444&amp;v=331369:331710&amp;c=444444", "offset 52")</f>
        <v>offset 52</v>
      </c>
    </row>
    <row r="1094" customFormat="false" ht="12.8" hidden="false" customHeight="false" outlineLevel="0" collapsed="false">
      <c r="A1094" s="0" t="s">
        <v>12</v>
      </c>
      <c r="B1094" s="0" t="n">
        <v>331490</v>
      </c>
      <c r="C1094" s="0" t="n">
        <v>331510</v>
      </c>
      <c r="D1094" s="0" t="s">
        <v>3640</v>
      </c>
      <c r="E1094" s="0" t="s">
        <v>3641</v>
      </c>
      <c r="F1094" s="0" t="s">
        <v>90</v>
      </c>
      <c r="G1094" s="0" t="s">
        <v>26</v>
      </c>
      <c r="H1094" s="0" t="n">
        <v>85</v>
      </c>
      <c r="I1094" s="0" t="s">
        <v>3651</v>
      </c>
      <c r="J1094" s="0" t="s">
        <v>3652</v>
      </c>
      <c r="K1094" s="0" t="s">
        <v>3653</v>
      </c>
      <c r="L1094" s="0" t="str">
        <f aca="false">HYPERLINK("https://www.ncbi.nlm.nih.gov/nuccore/CP000304.1?report=graph&amp;tracks=[key:gene_model_track,Options:GeneOnly]&amp;mk=331570:331589|offset_6|444444,331550:331569|offset_26|444444,331524:331543|offset_52|444444,331491:331510|offset_85|00cc00&amp;v=331369:331710&amp;c=444444", "offset 85")</f>
        <v>offset 85</v>
      </c>
    </row>
    <row r="1095" customFormat="false" ht="12.8" hidden="false" customHeight="false" outlineLevel="0" collapsed="false">
      <c r="A1095" s="0" t="s">
        <v>12</v>
      </c>
      <c r="B1095" s="0" t="n">
        <v>332285</v>
      </c>
      <c r="C1095" s="0" t="n">
        <v>332305</v>
      </c>
      <c r="D1095" s="0" t="s">
        <v>3654</v>
      </c>
      <c r="E1095" s="0" t="s">
        <v>89</v>
      </c>
      <c r="F1095" s="0" t="s">
        <v>90</v>
      </c>
      <c r="G1095" s="0" t="s">
        <v>26</v>
      </c>
      <c r="H1095" s="0" t="n">
        <v>26</v>
      </c>
      <c r="I1095" s="0" t="s">
        <v>3655</v>
      </c>
      <c r="J1095" s="0" t="s">
        <v>3656</v>
      </c>
      <c r="K1095" s="0" t="s">
        <v>3657</v>
      </c>
      <c r="L1095" s="0" t="str">
        <f aca="false">HYPERLINK("https://www.ncbi.nlm.nih.gov/nuccore/CP000304.1?report=graph&amp;tracks=[key:gene_model_track,Options:GeneOnly]&amp;mk=332286:332305|offset_26|00cc00,332266:332285|offset_46|444444,332193:332212|offset_119|444444,332143:332162|offset_169|444444&amp;v=332085:332362&amp;c=444444", "offset 26")</f>
        <v>offset 26</v>
      </c>
    </row>
    <row r="1096" customFormat="false" ht="12.8" hidden="false" customHeight="false" outlineLevel="0" collapsed="false">
      <c r="A1096" s="0" t="s">
        <v>12</v>
      </c>
      <c r="B1096" s="0" t="n">
        <v>332265</v>
      </c>
      <c r="C1096" s="0" t="n">
        <v>332285</v>
      </c>
      <c r="D1096" s="0" t="s">
        <v>3654</v>
      </c>
      <c r="E1096" s="0" t="s">
        <v>89</v>
      </c>
      <c r="F1096" s="0" t="s">
        <v>90</v>
      </c>
      <c r="G1096" s="0" t="s">
        <v>32</v>
      </c>
      <c r="H1096" s="0" t="n">
        <v>46</v>
      </c>
      <c r="I1096" s="0" t="s">
        <v>3658</v>
      </c>
      <c r="J1096" s="0" t="s">
        <v>3659</v>
      </c>
      <c r="K1096" s="0" t="s">
        <v>3660</v>
      </c>
      <c r="L1096" s="0" t="str">
        <f aca="false">HYPERLINK("https://www.ncbi.nlm.nih.gov/nuccore/CP000304.1?report=graph&amp;tracks=[key:gene_model_track,Options:GeneOnly]&amp;mk=332286:332305|offset_26|444444,332266:332285|offset_46|00cc00,332193:332212|offset_119|444444,332143:332162|offset_169|444444&amp;v=332085:332362&amp;c=444444", "offset 46")</f>
        <v>offset 46</v>
      </c>
    </row>
    <row r="1097" customFormat="false" ht="12.8" hidden="false" customHeight="false" outlineLevel="0" collapsed="false">
      <c r="A1097" s="0" t="s">
        <v>12</v>
      </c>
      <c r="B1097" s="0" t="n">
        <v>332192</v>
      </c>
      <c r="C1097" s="0" t="n">
        <v>332212</v>
      </c>
      <c r="D1097" s="0" t="s">
        <v>3654</v>
      </c>
      <c r="E1097" s="0" t="s">
        <v>89</v>
      </c>
      <c r="F1097" s="0" t="s">
        <v>90</v>
      </c>
      <c r="G1097" s="0" t="s">
        <v>36</v>
      </c>
      <c r="H1097" s="0" t="n">
        <v>119</v>
      </c>
      <c r="I1097" s="0" t="s">
        <v>3661</v>
      </c>
      <c r="J1097" s="0" t="s">
        <v>3662</v>
      </c>
      <c r="K1097" s="0" t="s">
        <v>3663</v>
      </c>
      <c r="L1097" s="0" t="str">
        <f aca="false">HYPERLINK("https://www.ncbi.nlm.nih.gov/nuccore/CP000304.1?report=graph&amp;tracks=[key:gene_model_track,Options:GeneOnly]&amp;mk=332286:332305|offset_26|444444,332266:332285|offset_46|444444,332193:332212|offset_119|00cc00,332143:332162|offset_169|444444&amp;v=332085:332362&amp;c=444444", "offset 119")</f>
        <v>offset 119</v>
      </c>
    </row>
    <row r="1098" customFormat="false" ht="12.8" hidden="false" customHeight="false" outlineLevel="0" collapsed="false">
      <c r="A1098" s="0" t="s">
        <v>12</v>
      </c>
      <c r="B1098" s="0" t="n">
        <v>332142</v>
      </c>
      <c r="C1098" s="0" t="n">
        <v>332162</v>
      </c>
      <c r="D1098" s="0" t="s">
        <v>3654</v>
      </c>
      <c r="E1098" s="0" t="s">
        <v>89</v>
      </c>
      <c r="F1098" s="0" t="s">
        <v>90</v>
      </c>
      <c r="G1098" s="0" t="s">
        <v>16</v>
      </c>
      <c r="H1098" s="0" t="n">
        <v>169</v>
      </c>
      <c r="I1098" s="0" t="s">
        <v>3664</v>
      </c>
      <c r="J1098" s="0" t="s">
        <v>3665</v>
      </c>
      <c r="K1098" s="0" t="s">
        <v>3666</v>
      </c>
      <c r="L1098" s="0" t="str">
        <f aca="false">HYPERLINK("https://www.ncbi.nlm.nih.gov/nuccore/CP000304.1?report=graph&amp;tracks=[key:gene_model_track,Options:GeneOnly]&amp;mk=332286:332305|offset_26|444444,332266:332285|offset_46|444444,332193:332212|offset_119|444444,332143:332162|offset_169|00cc00&amp;v=332085:332362&amp;c=444444", "offset 169")</f>
        <v>offset 169</v>
      </c>
    </row>
    <row r="1099" customFormat="false" ht="12.8" hidden="false" customHeight="false" outlineLevel="0" collapsed="false">
      <c r="A1099" s="0" t="s">
        <v>12</v>
      </c>
      <c r="B1099" s="0" t="n">
        <v>334173</v>
      </c>
      <c r="C1099" s="0" t="n">
        <v>334193</v>
      </c>
      <c r="D1099" s="0" t="s">
        <v>3667</v>
      </c>
      <c r="E1099" s="0" t="s">
        <v>89</v>
      </c>
      <c r="F1099" s="0" t="s">
        <v>90</v>
      </c>
      <c r="G1099" s="0" t="s">
        <v>32</v>
      </c>
      <c r="H1099" s="0" t="n">
        <v>1</v>
      </c>
      <c r="I1099" s="0" t="s">
        <v>3668</v>
      </c>
      <c r="J1099" s="0" t="s">
        <v>3669</v>
      </c>
      <c r="K1099" s="0" t="s">
        <v>3670</v>
      </c>
      <c r="L1099" s="0" t="str">
        <f aca="false">HYPERLINK("https://www.ncbi.nlm.nih.gov/nuccore/CP000304.1?report=graph&amp;tracks=[key:gene_model_track,Options:GeneOnly]&amp;mk=334174:334193|offset_1|00cc00,334145:334164|offset_30|444444,334121:334140|offset_54|444444,334080:334099|offset_95|444444&amp;v=333973:334299&amp;c=444444", "offset 1")</f>
        <v>offset 1</v>
      </c>
    </row>
    <row r="1100" customFormat="false" ht="12.8" hidden="false" customHeight="false" outlineLevel="0" collapsed="false">
      <c r="A1100" s="0" t="s">
        <v>12</v>
      </c>
      <c r="B1100" s="0" t="n">
        <v>334144</v>
      </c>
      <c r="C1100" s="0" t="n">
        <v>334164</v>
      </c>
      <c r="D1100" s="0" t="s">
        <v>3667</v>
      </c>
      <c r="E1100" s="0" t="s">
        <v>89</v>
      </c>
      <c r="F1100" s="0" t="s">
        <v>90</v>
      </c>
      <c r="G1100" s="0" t="s">
        <v>36</v>
      </c>
      <c r="H1100" s="0" t="n">
        <v>30</v>
      </c>
      <c r="I1100" s="0" t="s">
        <v>3671</v>
      </c>
      <c r="J1100" s="0" t="s">
        <v>3672</v>
      </c>
      <c r="K1100" s="0" t="s">
        <v>3673</v>
      </c>
      <c r="L1100" s="0" t="str">
        <f aca="false">HYPERLINK("https://www.ncbi.nlm.nih.gov/nuccore/CP000304.1?report=graph&amp;tracks=[key:gene_model_track,Options:GeneOnly]&amp;mk=334174:334193|offset_1|444444,334145:334164|offset_30|00cc00,334121:334140|offset_54|444444,334080:334099|offset_95|444444&amp;v=333973:334299&amp;c=444444", "offset 30")</f>
        <v>offset 30</v>
      </c>
    </row>
    <row r="1101" customFormat="false" ht="12.8" hidden="false" customHeight="false" outlineLevel="0" collapsed="false">
      <c r="A1101" s="0" t="s">
        <v>12</v>
      </c>
      <c r="B1101" s="0" t="n">
        <v>334120</v>
      </c>
      <c r="C1101" s="0" t="n">
        <v>334140</v>
      </c>
      <c r="D1101" s="0" t="s">
        <v>3667</v>
      </c>
      <c r="E1101" s="0" t="s">
        <v>89</v>
      </c>
      <c r="F1101" s="0" t="s">
        <v>90</v>
      </c>
      <c r="G1101" s="0" t="s">
        <v>16</v>
      </c>
      <c r="H1101" s="0" t="n">
        <v>54</v>
      </c>
      <c r="I1101" s="0" t="s">
        <v>3674</v>
      </c>
      <c r="J1101" s="0" t="s">
        <v>3675</v>
      </c>
      <c r="K1101" s="0" t="s">
        <v>3676</v>
      </c>
      <c r="L1101" s="0" t="str">
        <f aca="false">HYPERLINK("https://www.ncbi.nlm.nih.gov/nuccore/CP000304.1?report=graph&amp;tracks=[key:gene_model_track,Options:GeneOnly]&amp;mk=334174:334193|offset_1|444444,334145:334164|offset_30|444444,334121:334140|offset_54|00cc00,334080:334099|offset_95|444444&amp;v=333973:334299&amp;c=444444", "offset 54")</f>
        <v>offset 54</v>
      </c>
    </row>
    <row r="1102" customFormat="false" ht="12.8" hidden="false" customHeight="false" outlineLevel="0" collapsed="false">
      <c r="A1102" s="0" t="s">
        <v>12</v>
      </c>
      <c r="B1102" s="0" t="n">
        <v>334079</v>
      </c>
      <c r="C1102" s="0" t="n">
        <v>334099</v>
      </c>
      <c r="D1102" s="0" t="s">
        <v>3667</v>
      </c>
      <c r="E1102" s="0" t="s">
        <v>89</v>
      </c>
      <c r="F1102" s="0" t="s">
        <v>90</v>
      </c>
      <c r="G1102" s="0" t="s">
        <v>26</v>
      </c>
      <c r="H1102" s="0" t="n">
        <v>95</v>
      </c>
      <c r="I1102" s="0" t="s">
        <v>3677</v>
      </c>
      <c r="J1102" s="0" t="s">
        <v>3678</v>
      </c>
      <c r="K1102" s="0" t="s">
        <v>3679</v>
      </c>
      <c r="L1102" s="0" t="str">
        <f aca="false">HYPERLINK("https://www.ncbi.nlm.nih.gov/nuccore/CP000304.1?report=graph&amp;tracks=[key:gene_model_track,Options:GeneOnly]&amp;mk=334174:334193|offset_1|444444,334145:334164|offset_30|444444,334121:334140|offset_54|444444,334080:334099|offset_95|00cc00&amp;v=333973:334299&amp;c=444444", "offset 95")</f>
        <v>offset 95</v>
      </c>
    </row>
    <row r="1103" customFormat="false" ht="12.8" hidden="false" customHeight="false" outlineLevel="0" collapsed="false">
      <c r="A1103" s="0" t="s">
        <v>12</v>
      </c>
      <c r="B1103" s="0" t="n">
        <v>335874</v>
      </c>
      <c r="C1103" s="0" t="n">
        <v>335894</v>
      </c>
      <c r="D1103" s="0" t="s">
        <v>3680</v>
      </c>
      <c r="E1103" s="0" t="s">
        <v>89</v>
      </c>
      <c r="F1103" s="0" t="s">
        <v>90</v>
      </c>
      <c r="G1103" s="0" t="s">
        <v>16</v>
      </c>
      <c r="H1103" s="0" t="n">
        <v>14</v>
      </c>
      <c r="I1103" s="0" t="s">
        <v>3681</v>
      </c>
      <c r="J1103" s="0" t="s">
        <v>3682</v>
      </c>
      <c r="K1103" s="0" t="s">
        <v>3683</v>
      </c>
      <c r="L1103" s="0" t="str">
        <f aca="false">HYPERLINK("https://www.ncbi.nlm.nih.gov/nuccore/CP000304.1?report=graph&amp;tracks=[key:gene_model_track,Options:GeneOnly]&amp;mk=335875:335894|offset_14|00cc00,335852:335871|offset_37|444444,335823:335842|offset_66|444444,335797:335816|offset_92|444444&amp;v=335674:336016&amp;c=444444", "offset 14")</f>
        <v>offset 14</v>
      </c>
    </row>
    <row r="1104" customFormat="false" ht="12.8" hidden="false" customHeight="false" outlineLevel="0" collapsed="false">
      <c r="A1104" s="0" t="s">
        <v>12</v>
      </c>
      <c r="B1104" s="0" t="n">
        <v>335851</v>
      </c>
      <c r="C1104" s="0" t="n">
        <v>335871</v>
      </c>
      <c r="D1104" s="0" t="s">
        <v>3680</v>
      </c>
      <c r="E1104" s="0" t="s">
        <v>89</v>
      </c>
      <c r="F1104" s="0" t="s">
        <v>90</v>
      </c>
      <c r="G1104" s="0" t="s">
        <v>36</v>
      </c>
      <c r="H1104" s="0" t="n">
        <v>37</v>
      </c>
      <c r="I1104" s="0" t="s">
        <v>3684</v>
      </c>
      <c r="J1104" s="0" t="s">
        <v>3685</v>
      </c>
      <c r="K1104" s="0" t="s">
        <v>3686</v>
      </c>
      <c r="L1104" s="0" t="str">
        <f aca="false">HYPERLINK("https://www.ncbi.nlm.nih.gov/nuccore/CP000304.1?report=graph&amp;tracks=[key:gene_model_track,Options:GeneOnly]&amp;mk=335875:335894|offset_14|444444,335852:335871|offset_37|00cc00,335823:335842|offset_66|444444,335797:335816|offset_92|444444&amp;v=335674:336016&amp;c=444444", "offset 37")</f>
        <v>offset 37</v>
      </c>
    </row>
    <row r="1105" customFormat="false" ht="12.8" hidden="false" customHeight="false" outlineLevel="0" collapsed="false">
      <c r="A1105" s="0" t="s">
        <v>12</v>
      </c>
      <c r="B1105" s="0" t="n">
        <v>335822</v>
      </c>
      <c r="C1105" s="0" t="n">
        <v>335842</v>
      </c>
      <c r="D1105" s="0" t="s">
        <v>3680</v>
      </c>
      <c r="E1105" s="0" t="s">
        <v>89</v>
      </c>
      <c r="F1105" s="0" t="s">
        <v>90</v>
      </c>
      <c r="G1105" s="0" t="s">
        <v>16</v>
      </c>
      <c r="H1105" s="0" t="n">
        <v>66</v>
      </c>
      <c r="I1105" s="0" t="s">
        <v>3687</v>
      </c>
      <c r="J1105" s="0" t="s">
        <v>3688</v>
      </c>
      <c r="K1105" s="0" t="s">
        <v>3689</v>
      </c>
      <c r="L1105" s="0" t="str">
        <f aca="false">HYPERLINK("https://www.ncbi.nlm.nih.gov/nuccore/CP000304.1?report=graph&amp;tracks=[key:gene_model_track,Options:GeneOnly]&amp;mk=335875:335894|offset_14|444444,335852:335871|offset_37|444444,335823:335842|offset_66|00cc00,335797:335816|offset_92|444444&amp;v=335674:336016&amp;c=444444", "offset 66")</f>
        <v>offset 66</v>
      </c>
    </row>
    <row r="1106" customFormat="false" ht="12.8" hidden="false" customHeight="false" outlineLevel="0" collapsed="false">
      <c r="A1106" s="0" t="s">
        <v>12</v>
      </c>
      <c r="B1106" s="0" t="n">
        <v>335796</v>
      </c>
      <c r="C1106" s="0" t="n">
        <v>335816</v>
      </c>
      <c r="D1106" s="0" t="s">
        <v>3680</v>
      </c>
      <c r="E1106" s="0" t="s">
        <v>89</v>
      </c>
      <c r="F1106" s="0" t="s">
        <v>90</v>
      </c>
      <c r="G1106" s="0" t="s">
        <v>26</v>
      </c>
      <c r="H1106" s="0" t="n">
        <v>92</v>
      </c>
      <c r="I1106" s="0" t="s">
        <v>3690</v>
      </c>
      <c r="J1106" s="0" t="s">
        <v>3691</v>
      </c>
      <c r="K1106" s="0" t="s">
        <v>3692</v>
      </c>
      <c r="L1106" s="0" t="str">
        <f aca="false">HYPERLINK("https://www.ncbi.nlm.nih.gov/nuccore/CP000304.1?report=graph&amp;tracks=[key:gene_model_track,Options:GeneOnly]&amp;mk=335875:335894|offset_14|444444,335852:335871|offset_37|444444,335823:335842|offset_66|444444,335797:335816|offset_92|00cc00&amp;v=335674:336016&amp;c=444444", "offset 92")</f>
        <v>offset 92</v>
      </c>
    </row>
    <row r="1107" customFormat="false" ht="12.8" hidden="false" customHeight="false" outlineLevel="0" collapsed="false">
      <c r="A1107" s="0" t="s">
        <v>12</v>
      </c>
      <c r="B1107" s="0" t="n">
        <v>336143</v>
      </c>
      <c r="C1107" s="0" t="n">
        <v>336163</v>
      </c>
      <c r="D1107" s="0" t="s">
        <v>3693</v>
      </c>
      <c r="E1107" s="0" t="s">
        <v>89</v>
      </c>
      <c r="F1107" s="0" t="s">
        <v>15</v>
      </c>
      <c r="G1107" s="0" t="s">
        <v>32</v>
      </c>
      <c r="H1107" s="0" t="n">
        <v>19</v>
      </c>
      <c r="I1107" s="0" t="s">
        <v>3694</v>
      </c>
      <c r="J1107" s="0" t="s">
        <v>3695</v>
      </c>
      <c r="K1107" s="0" t="s">
        <v>3696</v>
      </c>
      <c r="L1107" s="0" t="str">
        <f aca="false">HYPERLINK("https://www.ncbi.nlm.nih.gov/nuccore/CP000304.1?report=graph&amp;tracks=[key:gene_model_track,Options:GeneOnly]&amp;mk=336144:336163|offset_19|00cc00,336173:336192|offset_48|444444,336210:336229|offset_85|444444,336231:336250|offset_106|444444&amp;v=335943:336450&amp;c=444444", "offset 19")</f>
        <v>offset 19</v>
      </c>
    </row>
    <row r="1108" customFormat="false" ht="12.8" hidden="false" customHeight="false" outlineLevel="0" collapsed="false">
      <c r="A1108" s="0" t="s">
        <v>12</v>
      </c>
      <c r="B1108" s="0" t="n">
        <v>336172</v>
      </c>
      <c r="C1108" s="0" t="n">
        <v>336192</v>
      </c>
      <c r="D1108" s="0" t="s">
        <v>3693</v>
      </c>
      <c r="E1108" s="0" t="s">
        <v>89</v>
      </c>
      <c r="F1108" s="0" t="s">
        <v>15</v>
      </c>
      <c r="G1108" s="0" t="s">
        <v>16</v>
      </c>
      <c r="H1108" s="0" t="n">
        <v>48</v>
      </c>
      <c r="I1108" s="0" t="s">
        <v>3697</v>
      </c>
      <c r="J1108" s="0" t="s">
        <v>3698</v>
      </c>
      <c r="K1108" s="0" t="s">
        <v>3699</v>
      </c>
      <c r="L1108" s="0" t="str">
        <f aca="false">HYPERLINK("https://www.ncbi.nlm.nih.gov/nuccore/CP000304.1?report=graph&amp;tracks=[key:gene_model_track,Options:GeneOnly]&amp;mk=336144:336163|offset_19|444444,336173:336192|offset_48|00cc00,336210:336229|offset_85|444444,336231:336250|offset_106|444444&amp;v=335943:336450&amp;c=444444", "offset 48")</f>
        <v>offset 48</v>
      </c>
    </row>
    <row r="1109" customFormat="false" ht="12.8" hidden="false" customHeight="false" outlineLevel="0" collapsed="false">
      <c r="A1109" s="0" t="s">
        <v>12</v>
      </c>
      <c r="B1109" s="0" t="n">
        <v>336209</v>
      </c>
      <c r="C1109" s="0" t="n">
        <v>336229</v>
      </c>
      <c r="D1109" s="0" t="s">
        <v>3693</v>
      </c>
      <c r="E1109" s="0" t="s">
        <v>89</v>
      </c>
      <c r="F1109" s="0" t="s">
        <v>15</v>
      </c>
      <c r="G1109" s="0" t="s">
        <v>26</v>
      </c>
      <c r="H1109" s="0" t="n">
        <v>85</v>
      </c>
      <c r="I1109" s="0" t="s">
        <v>3700</v>
      </c>
      <c r="J1109" s="0" t="s">
        <v>3701</v>
      </c>
      <c r="K1109" s="0" t="s">
        <v>3702</v>
      </c>
      <c r="L1109" s="0" t="str">
        <f aca="false">HYPERLINK("https://www.ncbi.nlm.nih.gov/nuccore/CP000304.1?report=graph&amp;tracks=[key:gene_model_track,Options:GeneOnly]&amp;mk=336144:336163|offset_19|444444,336173:336192|offset_48|444444,336210:336229|offset_85|00cc00,336231:336250|offset_106|444444&amp;v=335943:336450&amp;c=444444", "offset 85")</f>
        <v>offset 85</v>
      </c>
    </row>
    <row r="1110" customFormat="false" ht="12.8" hidden="false" customHeight="false" outlineLevel="0" collapsed="false">
      <c r="A1110" s="0" t="s">
        <v>12</v>
      </c>
      <c r="B1110" s="0" t="n">
        <v>336230</v>
      </c>
      <c r="C1110" s="0" t="n">
        <v>336250</v>
      </c>
      <c r="D1110" s="0" t="s">
        <v>3693</v>
      </c>
      <c r="E1110" s="0" t="s">
        <v>89</v>
      </c>
      <c r="F1110" s="0" t="s">
        <v>15</v>
      </c>
      <c r="G1110" s="0" t="s">
        <v>26</v>
      </c>
      <c r="H1110" s="0" t="n">
        <v>106</v>
      </c>
      <c r="I1110" s="0" t="s">
        <v>3703</v>
      </c>
      <c r="J1110" s="0" t="s">
        <v>3704</v>
      </c>
      <c r="K1110" s="0" t="s">
        <v>3705</v>
      </c>
      <c r="L1110" s="0" t="str">
        <f aca="false">HYPERLINK("https://www.ncbi.nlm.nih.gov/nuccore/CP000304.1?report=graph&amp;tracks=[key:gene_model_track,Options:GeneOnly]&amp;mk=336144:336163|offset_19|444444,336173:336192|offset_48|444444,336210:336229|offset_85|444444,336231:336250|offset_106|00cc00&amp;v=335943:336450&amp;c=444444", "offset 106")</f>
        <v>offset 106</v>
      </c>
    </row>
    <row r="1111" customFormat="false" ht="12.8" hidden="false" customHeight="false" outlineLevel="0" collapsed="false">
      <c r="A1111" s="0" t="s">
        <v>12</v>
      </c>
      <c r="B1111" s="0" t="n">
        <v>336626</v>
      </c>
      <c r="C1111" s="0" t="n">
        <v>336646</v>
      </c>
      <c r="D1111" s="0" t="s">
        <v>3706</v>
      </c>
      <c r="E1111" s="0" t="s">
        <v>3707</v>
      </c>
      <c r="F1111" s="0" t="s">
        <v>15</v>
      </c>
      <c r="G1111" s="0" t="s">
        <v>32</v>
      </c>
      <c r="H1111" s="0" t="n">
        <v>1</v>
      </c>
      <c r="I1111" s="0" t="s">
        <v>3708</v>
      </c>
      <c r="J1111" s="0" t="s">
        <v>3709</v>
      </c>
      <c r="K1111" s="0" t="s">
        <v>3710</v>
      </c>
      <c r="L1111" s="0" t="str">
        <f aca="false">HYPERLINK("https://www.ncbi.nlm.nih.gov/nuccore/CP000304.1?report=graph&amp;tracks=[key:gene_model_track,Options:GeneOnly]&amp;mk=336627:336646|offset_1|00cc00,336648:336667|offset_22|444444,336687:336706|offset_61|444444,336733:336752|offset_107|444444&amp;v=336426:336952&amp;c=444444", "offset 1")</f>
        <v>offset 1</v>
      </c>
    </row>
    <row r="1112" customFormat="false" ht="12.8" hidden="false" customHeight="false" outlineLevel="0" collapsed="false">
      <c r="A1112" s="0" t="s">
        <v>12</v>
      </c>
      <c r="B1112" s="0" t="n">
        <v>336647</v>
      </c>
      <c r="C1112" s="0" t="n">
        <v>336667</v>
      </c>
      <c r="D1112" s="0" t="s">
        <v>3706</v>
      </c>
      <c r="E1112" s="0" t="s">
        <v>3707</v>
      </c>
      <c r="F1112" s="0" t="s">
        <v>15</v>
      </c>
      <c r="G1112" s="0" t="s">
        <v>32</v>
      </c>
      <c r="H1112" s="0" t="n">
        <v>22</v>
      </c>
      <c r="I1112" s="0" t="s">
        <v>3711</v>
      </c>
      <c r="J1112" s="0" t="s">
        <v>3712</v>
      </c>
      <c r="K1112" s="0" t="s">
        <v>3713</v>
      </c>
      <c r="L1112" s="0" t="str">
        <f aca="false">HYPERLINK("https://www.ncbi.nlm.nih.gov/nuccore/CP000304.1?report=graph&amp;tracks=[key:gene_model_track,Options:GeneOnly]&amp;mk=336627:336646|offset_1|444444,336648:336667|offset_22|00cc00,336687:336706|offset_61|444444,336733:336752|offset_107|444444&amp;v=336426:336952&amp;c=444444", "offset 22")</f>
        <v>offset 22</v>
      </c>
    </row>
    <row r="1113" customFormat="false" ht="12.8" hidden="false" customHeight="false" outlineLevel="0" collapsed="false">
      <c r="A1113" s="0" t="s">
        <v>12</v>
      </c>
      <c r="B1113" s="0" t="n">
        <v>336686</v>
      </c>
      <c r="C1113" s="0" t="n">
        <v>336706</v>
      </c>
      <c r="D1113" s="0" t="s">
        <v>3706</v>
      </c>
      <c r="E1113" s="0" t="s">
        <v>3707</v>
      </c>
      <c r="F1113" s="0" t="s">
        <v>15</v>
      </c>
      <c r="G1113" s="0" t="s">
        <v>36</v>
      </c>
      <c r="H1113" s="0" t="n">
        <v>61</v>
      </c>
      <c r="I1113" s="0" t="s">
        <v>3714</v>
      </c>
      <c r="J1113" s="0" t="s">
        <v>3715</v>
      </c>
      <c r="K1113" s="0" t="s">
        <v>3716</v>
      </c>
      <c r="L1113" s="0" t="str">
        <f aca="false">HYPERLINK("https://www.ncbi.nlm.nih.gov/nuccore/CP000304.1?report=graph&amp;tracks=[key:gene_model_track,Options:GeneOnly]&amp;mk=336627:336646|offset_1|444444,336648:336667|offset_22|444444,336687:336706|offset_61|00cc00,336733:336752|offset_107|444444&amp;v=336426:336952&amp;c=444444", "offset 61")</f>
        <v>offset 61</v>
      </c>
    </row>
    <row r="1114" customFormat="false" ht="12.8" hidden="false" customHeight="false" outlineLevel="0" collapsed="false">
      <c r="A1114" s="0" t="s">
        <v>12</v>
      </c>
      <c r="B1114" s="0" t="n">
        <v>336732</v>
      </c>
      <c r="C1114" s="0" t="n">
        <v>336752</v>
      </c>
      <c r="D1114" s="0" t="s">
        <v>3706</v>
      </c>
      <c r="E1114" s="0" t="s">
        <v>3707</v>
      </c>
      <c r="F1114" s="0" t="s">
        <v>15</v>
      </c>
      <c r="G1114" s="0" t="s">
        <v>16</v>
      </c>
      <c r="H1114" s="0" t="n">
        <v>107</v>
      </c>
      <c r="I1114" s="0" t="s">
        <v>3717</v>
      </c>
      <c r="J1114" s="0" t="s">
        <v>3718</v>
      </c>
      <c r="K1114" s="0" t="s">
        <v>3719</v>
      </c>
      <c r="L1114" s="0" t="str">
        <f aca="false">HYPERLINK("https://www.ncbi.nlm.nih.gov/nuccore/CP000304.1?report=graph&amp;tracks=[key:gene_model_track,Options:GeneOnly]&amp;mk=336627:336646|offset_1|444444,336648:336667|offset_22|444444,336687:336706|offset_61|444444,336733:336752|offset_107|00cc00&amp;v=336426:336952&amp;c=444444", "offset 107")</f>
        <v>offset 107</v>
      </c>
    </row>
    <row r="1115" customFormat="false" ht="12.8" hidden="false" customHeight="false" outlineLevel="0" collapsed="false">
      <c r="A1115" s="0" t="s">
        <v>12</v>
      </c>
      <c r="B1115" s="0" t="n">
        <v>337446</v>
      </c>
      <c r="C1115" s="0" t="n">
        <v>337466</v>
      </c>
      <c r="D1115" s="0" t="s">
        <v>3720</v>
      </c>
      <c r="E1115" s="0" t="s">
        <v>3721</v>
      </c>
      <c r="F1115" s="0" t="s">
        <v>15</v>
      </c>
      <c r="G1115" s="0" t="s">
        <v>36</v>
      </c>
      <c r="H1115" s="0" t="n">
        <v>10</v>
      </c>
      <c r="I1115" s="0" t="s">
        <v>3722</v>
      </c>
      <c r="J1115" s="0" t="s">
        <v>3723</v>
      </c>
      <c r="K1115" s="0" t="s">
        <v>3724</v>
      </c>
      <c r="L1115" s="0" t="str">
        <f aca="false">HYPERLINK("https://www.ncbi.nlm.nih.gov/nuccore/CP000304.1?report=graph&amp;tracks=[key:gene_model_track,Options:GeneOnly]&amp;mk=337447:337466|offset_10|00cc00,337477:337496|offset_40|444444,337516:337535|offset_79|444444,337546:337565|offset_109|444444&amp;v=337246:337765&amp;c=444444", "offset 10")</f>
        <v>offset 10</v>
      </c>
    </row>
    <row r="1116" customFormat="false" ht="12.8" hidden="false" customHeight="false" outlineLevel="0" collapsed="false">
      <c r="A1116" s="0" t="s">
        <v>12</v>
      </c>
      <c r="B1116" s="0" t="n">
        <v>337476</v>
      </c>
      <c r="C1116" s="0" t="n">
        <v>337496</v>
      </c>
      <c r="D1116" s="0" t="s">
        <v>3720</v>
      </c>
      <c r="E1116" s="0" t="s">
        <v>3721</v>
      </c>
      <c r="F1116" s="0" t="s">
        <v>15</v>
      </c>
      <c r="G1116" s="0" t="s">
        <v>36</v>
      </c>
      <c r="H1116" s="0" t="n">
        <v>40</v>
      </c>
      <c r="I1116" s="0" t="s">
        <v>3725</v>
      </c>
      <c r="J1116" s="0" t="s">
        <v>3726</v>
      </c>
      <c r="K1116" s="0" t="s">
        <v>3727</v>
      </c>
      <c r="L1116" s="0" t="str">
        <f aca="false">HYPERLINK("https://www.ncbi.nlm.nih.gov/nuccore/CP000304.1?report=graph&amp;tracks=[key:gene_model_track,Options:GeneOnly]&amp;mk=337447:337466|offset_10|444444,337477:337496|offset_40|00cc00,337516:337535|offset_79|444444,337546:337565|offset_109|444444&amp;v=337246:337765&amp;c=444444", "offset 40")</f>
        <v>offset 40</v>
      </c>
    </row>
    <row r="1117" customFormat="false" ht="12.8" hidden="false" customHeight="false" outlineLevel="0" collapsed="false">
      <c r="A1117" s="0" t="s">
        <v>12</v>
      </c>
      <c r="B1117" s="0" t="n">
        <v>337515</v>
      </c>
      <c r="C1117" s="0" t="n">
        <v>337535</v>
      </c>
      <c r="D1117" s="0" t="s">
        <v>3720</v>
      </c>
      <c r="E1117" s="0" t="s">
        <v>3721</v>
      </c>
      <c r="F1117" s="0" t="s">
        <v>15</v>
      </c>
      <c r="G1117" s="0" t="s">
        <v>32</v>
      </c>
      <c r="H1117" s="0" t="n">
        <v>79</v>
      </c>
      <c r="I1117" s="0" t="s">
        <v>3728</v>
      </c>
      <c r="J1117" s="0" t="s">
        <v>3729</v>
      </c>
      <c r="K1117" s="0" t="s">
        <v>3730</v>
      </c>
      <c r="L1117" s="0" t="str">
        <f aca="false">HYPERLINK("https://www.ncbi.nlm.nih.gov/nuccore/CP000304.1?report=graph&amp;tracks=[key:gene_model_track,Options:GeneOnly]&amp;mk=337447:337466|offset_10|444444,337477:337496|offset_40|444444,337516:337535|offset_79|00cc00,337546:337565|offset_109|444444&amp;v=337246:337765&amp;c=444444", "offset 79")</f>
        <v>offset 79</v>
      </c>
    </row>
    <row r="1118" customFormat="false" ht="12.8" hidden="false" customHeight="false" outlineLevel="0" collapsed="false">
      <c r="A1118" s="0" t="s">
        <v>12</v>
      </c>
      <c r="B1118" s="0" t="n">
        <v>337545</v>
      </c>
      <c r="C1118" s="0" t="n">
        <v>337565</v>
      </c>
      <c r="D1118" s="0" t="s">
        <v>3720</v>
      </c>
      <c r="E1118" s="0" t="s">
        <v>3721</v>
      </c>
      <c r="F1118" s="0" t="s">
        <v>15</v>
      </c>
      <c r="G1118" s="0" t="s">
        <v>32</v>
      </c>
      <c r="H1118" s="0" t="n">
        <v>109</v>
      </c>
      <c r="I1118" s="0" t="s">
        <v>3731</v>
      </c>
      <c r="J1118" s="0" t="s">
        <v>3732</v>
      </c>
      <c r="K1118" s="0" t="s">
        <v>3733</v>
      </c>
      <c r="L1118" s="0" t="str">
        <f aca="false">HYPERLINK("https://www.ncbi.nlm.nih.gov/nuccore/CP000304.1?report=graph&amp;tracks=[key:gene_model_track,Options:GeneOnly]&amp;mk=337447:337466|offset_10|444444,337477:337496|offset_40|444444,337516:337535|offset_79|444444,337546:337565|offset_109|00cc00&amp;v=337246:337765&amp;c=444444", "offset 109")</f>
        <v>offset 109</v>
      </c>
    </row>
    <row r="1119" customFormat="false" ht="12.8" hidden="false" customHeight="false" outlineLevel="0" collapsed="false">
      <c r="A1119" s="0" t="s">
        <v>12</v>
      </c>
      <c r="B1119" s="0" t="n">
        <v>339663</v>
      </c>
      <c r="C1119" s="0" t="n">
        <v>339683</v>
      </c>
      <c r="D1119" s="0" t="s">
        <v>3734</v>
      </c>
      <c r="E1119" s="0" t="s">
        <v>3735</v>
      </c>
      <c r="F1119" s="0" t="s">
        <v>90</v>
      </c>
      <c r="G1119" s="0" t="s">
        <v>16</v>
      </c>
      <c r="H1119" s="0" t="n">
        <v>13</v>
      </c>
      <c r="I1119" s="0" t="s">
        <v>3736</v>
      </c>
      <c r="J1119" s="0" t="s">
        <v>3737</v>
      </c>
      <c r="K1119" s="0" t="s">
        <v>3738</v>
      </c>
      <c r="L1119" s="0" t="str">
        <f aca="false">HYPERLINK("https://www.ncbi.nlm.nih.gov/nuccore/CP000304.1?report=graph&amp;tracks=[key:gene_model_track,Options:GeneOnly]&amp;mk=339664:339683|offset_13|00cc00,339642:339661|offset_35|444444,339597:339616|offset_80|444444,339550:339569|offset_127|444444&amp;v=339463:339769&amp;c=444444", "offset 13")</f>
        <v>offset 13</v>
      </c>
    </row>
    <row r="1120" customFormat="false" ht="12.8" hidden="false" customHeight="false" outlineLevel="0" collapsed="false">
      <c r="A1120" s="0" t="s">
        <v>12</v>
      </c>
      <c r="B1120" s="0" t="n">
        <v>339641</v>
      </c>
      <c r="C1120" s="0" t="n">
        <v>339661</v>
      </c>
      <c r="D1120" s="0" t="s">
        <v>3734</v>
      </c>
      <c r="E1120" s="0" t="s">
        <v>3735</v>
      </c>
      <c r="F1120" s="0" t="s">
        <v>90</v>
      </c>
      <c r="G1120" s="0" t="s">
        <v>26</v>
      </c>
      <c r="H1120" s="0" t="n">
        <v>35</v>
      </c>
      <c r="I1120" s="0" t="s">
        <v>3739</v>
      </c>
      <c r="J1120" s="0" t="s">
        <v>3740</v>
      </c>
      <c r="K1120" s="0" t="s">
        <v>3741</v>
      </c>
      <c r="L1120" s="0" t="str">
        <f aca="false">HYPERLINK("https://www.ncbi.nlm.nih.gov/nuccore/CP000304.1?report=graph&amp;tracks=[key:gene_model_track,Options:GeneOnly]&amp;mk=339664:339683|offset_13|444444,339642:339661|offset_35|00cc00,339597:339616|offset_80|444444,339550:339569|offset_127|444444&amp;v=339463:339769&amp;c=444444", "offset 35")</f>
        <v>offset 35</v>
      </c>
    </row>
    <row r="1121" customFormat="false" ht="12.8" hidden="false" customHeight="false" outlineLevel="0" collapsed="false">
      <c r="A1121" s="0" t="s">
        <v>12</v>
      </c>
      <c r="B1121" s="0" t="n">
        <v>339596</v>
      </c>
      <c r="C1121" s="0" t="n">
        <v>339616</v>
      </c>
      <c r="D1121" s="0" t="s">
        <v>3734</v>
      </c>
      <c r="E1121" s="0" t="s">
        <v>3735</v>
      </c>
      <c r="F1121" s="0" t="s">
        <v>90</v>
      </c>
      <c r="G1121" s="0" t="s">
        <v>32</v>
      </c>
      <c r="H1121" s="0" t="n">
        <v>80</v>
      </c>
      <c r="I1121" s="0" t="s">
        <v>3742</v>
      </c>
      <c r="J1121" s="0" t="s">
        <v>3743</v>
      </c>
      <c r="K1121" s="0" t="s">
        <v>3744</v>
      </c>
      <c r="L1121" s="0" t="str">
        <f aca="false">HYPERLINK("https://www.ncbi.nlm.nih.gov/nuccore/CP000304.1?report=graph&amp;tracks=[key:gene_model_track,Options:GeneOnly]&amp;mk=339664:339683|offset_13|444444,339642:339661|offset_35|444444,339597:339616|offset_80|00cc00,339550:339569|offset_127|444444&amp;v=339463:339769&amp;c=444444", "offset 80")</f>
        <v>offset 80</v>
      </c>
    </row>
    <row r="1122" customFormat="false" ht="12.8" hidden="false" customHeight="false" outlineLevel="0" collapsed="false">
      <c r="A1122" s="0" t="s">
        <v>12</v>
      </c>
      <c r="B1122" s="0" t="n">
        <v>339549</v>
      </c>
      <c r="C1122" s="0" t="n">
        <v>339569</v>
      </c>
      <c r="D1122" s="0" t="s">
        <v>3734</v>
      </c>
      <c r="E1122" s="0" t="s">
        <v>3735</v>
      </c>
      <c r="F1122" s="0" t="s">
        <v>90</v>
      </c>
      <c r="G1122" s="0" t="s">
        <v>32</v>
      </c>
      <c r="H1122" s="0" t="n">
        <v>127</v>
      </c>
      <c r="I1122" s="0" t="s">
        <v>3745</v>
      </c>
      <c r="J1122" s="0" t="s">
        <v>3746</v>
      </c>
      <c r="K1122" s="0" t="s">
        <v>3747</v>
      </c>
      <c r="L1122" s="0" t="str">
        <f aca="false">HYPERLINK("https://www.ncbi.nlm.nih.gov/nuccore/CP000304.1?report=graph&amp;tracks=[key:gene_model_track,Options:GeneOnly]&amp;mk=339664:339683|offset_13|444444,339642:339661|offset_35|444444,339597:339616|offset_80|444444,339550:339569|offset_127|00cc00&amp;v=339463:339769&amp;c=444444", "offset 127")</f>
        <v>offset 127</v>
      </c>
    </row>
    <row r="1123" customFormat="false" ht="12.8" hidden="false" customHeight="false" outlineLevel="0" collapsed="false">
      <c r="A1123" s="0" t="s">
        <v>12</v>
      </c>
      <c r="B1123" s="0" t="n">
        <v>340140</v>
      </c>
      <c r="C1123" s="0" t="n">
        <v>340160</v>
      </c>
      <c r="D1123" s="0" t="s">
        <v>3748</v>
      </c>
      <c r="E1123" s="0" t="s">
        <v>89</v>
      </c>
      <c r="F1123" s="0" t="s">
        <v>90</v>
      </c>
      <c r="G1123" s="0" t="s">
        <v>32</v>
      </c>
      <c r="H1123" s="0" t="n">
        <v>0</v>
      </c>
      <c r="I1123" s="0" t="s">
        <v>3749</v>
      </c>
      <c r="J1123" s="0" t="s">
        <v>3750</v>
      </c>
      <c r="K1123" s="0" t="s">
        <v>3751</v>
      </c>
      <c r="L1123" s="0" t="str">
        <f aca="false">HYPERLINK("https://www.ncbi.nlm.nih.gov/nuccore/CP000304.1?report=graph&amp;tracks=[key:gene_model_track,Options:GeneOnly]&amp;mk=340141:340160|offset_0|00cc00,340121:340140|offset_20|444444,340089:340108|offset_52|444444,340064:340083|offset_77|444444&amp;v=339940:340283&amp;c=444444", "offset 0")</f>
        <v>offset 0</v>
      </c>
    </row>
    <row r="1124" customFormat="false" ht="12.8" hidden="false" customHeight="false" outlineLevel="0" collapsed="false">
      <c r="A1124" s="0" t="s">
        <v>12</v>
      </c>
      <c r="B1124" s="0" t="n">
        <v>340120</v>
      </c>
      <c r="C1124" s="0" t="n">
        <v>340140</v>
      </c>
      <c r="D1124" s="0" t="s">
        <v>3748</v>
      </c>
      <c r="E1124" s="0" t="s">
        <v>89</v>
      </c>
      <c r="F1124" s="0" t="s">
        <v>90</v>
      </c>
      <c r="G1124" s="0" t="s">
        <v>32</v>
      </c>
      <c r="H1124" s="0" t="n">
        <v>20</v>
      </c>
      <c r="I1124" s="0" t="s">
        <v>3752</v>
      </c>
      <c r="J1124" s="0" t="s">
        <v>3753</v>
      </c>
      <c r="K1124" s="0" t="s">
        <v>3754</v>
      </c>
      <c r="L1124" s="0" t="str">
        <f aca="false">HYPERLINK("https://www.ncbi.nlm.nih.gov/nuccore/CP000304.1?report=graph&amp;tracks=[key:gene_model_track,Options:GeneOnly]&amp;mk=340141:340160|offset_0|444444,340121:340140|offset_20|00cc00,340089:340108|offset_52|444444,340064:340083|offset_77|444444&amp;v=339940:340283&amp;c=444444", "offset 20")</f>
        <v>offset 20</v>
      </c>
    </row>
    <row r="1125" customFormat="false" ht="12.8" hidden="false" customHeight="false" outlineLevel="0" collapsed="false">
      <c r="A1125" s="0" t="s">
        <v>12</v>
      </c>
      <c r="B1125" s="0" t="n">
        <v>340088</v>
      </c>
      <c r="C1125" s="0" t="n">
        <v>340108</v>
      </c>
      <c r="D1125" s="0" t="s">
        <v>3748</v>
      </c>
      <c r="E1125" s="0" t="s">
        <v>89</v>
      </c>
      <c r="F1125" s="0" t="s">
        <v>90</v>
      </c>
      <c r="G1125" s="0" t="s">
        <v>36</v>
      </c>
      <c r="H1125" s="0" t="n">
        <v>52</v>
      </c>
      <c r="I1125" s="0" t="s">
        <v>3755</v>
      </c>
      <c r="J1125" s="0" t="s">
        <v>3756</v>
      </c>
      <c r="K1125" s="0" t="s">
        <v>3757</v>
      </c>
      <c r="L1125" s="0" t="str">
        <f aca="false">HYPERLINK("https://www.ncbi.nlm.nih.gov/nuccore/CP000304.1?report=graph&amp;tracks=[key:gene_model_track,Options:GeneOnly]&amp;mk=340141:340160|offset_0|444444,340121:340140|offset_20|444444,340089:340108|offset_52|00cc00,340064:340083|offset_77|444444&amp;v=339940:340283&amp;c=444444", "offset 52")</f>
        <v>offset 52</v>
      </c>
    </row>
    <row r="1126" customFormat="false" ht="12.8" hidden="false" customHeight="false" outlineLevel="0" collapsed="false">
      <c r="A1126" s="0" t="s">
        <v>12</v>
      </c>
      <c r="B1126" s="0" t="n">
        <v>340063</v>
      </c>
      <c r="C1126" s="0" t="n">
        <v>340083</v>
      </c>
      <c r="D1126" s="0" t="s">
        <v>3748</v>
      </c>
      <c r="E1126" s="0" t="s">
        <v>89</v>
      </c>
      <c r="F1126" s="0" t="s">
        <v>90</v>
      </c>
      <c r="G1126" s="0" t="s">
        <v>26</v>
      </c>
      <c r="H1126" s="0" t="n">
        <v>77</v>
      </c>
      <c r="I1126" s="0" t="s">
        <v>3758</v>
      </c>
      <c r="J1126" s="0" t="s">
        <v>3759</v>
      </c>
      <c r="K1126" s="0" t="s">
        <v>3760</v>
      </c>
      <c r="L1126" s="0" t="str">
        <f aca="false">HYPERLINK("https://www.ncbi.nlm.nih.gov/nuccore/CP000304.1?report=graph&amp;tracks=[key:gene_model_track,Options:GeneOnly]&amp;mk=340141:340160|offset_0|444444,340121:340140|offset_20|444444,340089:340108|offset_52|444444,340064:340083|offset_77|00cc00&amp;v=339940:340283&amp;c=444444", "offset 77")</f>
        <v>offset 77</v>
      </c>
    </row>
    <row r="1127" customFormat="false" ht="12.8" hidden="false" customHeight="false" outlineLevel="0" collapsed="false">
      <c r="A1127" s="0" t="s">
        <v>12</v>
      </c>
      <c r="B1127" s="0" t="n">
        <v>340268</v>
      </c>
      <c r="C1127" s="0" t="n">
        <v>340288</v>
      </c>
      <c r="D1127" s="0" t="s">
        <v>3761</v>
      </c>
      <c r="E1127" s="0" t="s">
        <v>3762</v>
      </c>
      <c r="F1127" s="0" t="s">
        <v>15</v>
      </c>
      <c r="G1127" s="0" t="s">
        <v>16</v>
      </c>
      <c r="H1127" s="0" t="n">
        <v>7</v>
      </c>
      <c r="I1127" s="0" t="s">
        <v>3763</v>
      </c>
      <c r="J1127" s="0" t="s">
        <v>3764</v>
      </c>
      <c r="K1127" s="0" t="s">
        <v>3765</v>
      </c>
      <c r="L1127" s="0" t="str">
        <f aca="false">HYPERLINK("https://www.ncbi.nlm.nih.gov/nuccore/CP000304.1?report=graph&amp;tracks=[key:gene_model_track,Options:GeneOnly]&amp;mk=340269:340288|offset_7|00cc00,340294:340313|offset_32|444444,340314:340333|offset_52|444444,340344:340363|offset_82|444444&amp;v=340068:340563&amp;c=444444", "offset 7")</f>
        <v>offset 7</v>
      </c>
    </row>
    <row r="1128" customFormat="false" ht="12.8" hidden="false" customHeight="false" outlineLevel="0" collapsed="false">
      <c r="A1128" s="0" t="s">
        <v>12</v>
      </c>
      <c r="B1128" s="0" t="n">
        <v>340293</v>
      </c>
      <c r="C1128" s="0" t="n">
        <v>340313</v>
      </c>
      <c r="D1128" s="0" t="s">
        <v>3761</v>
      </c>
      <c r="E1128" s="0" t="s">
        <v>3762</v>
      </c>
      <c r="F1128" s="0" t="s">
        <v>15</v>
      </c>
      <c r="G1128" s="0" t="s">
        <v>26</v>
      </c>
      <c r="H1128" s="0" t="n">
        <v>32</v>
      </c>
      <c r="I1128" s="0" t="s">
        <v>3766</v>
      </c>
      <c r="J1128" s="0" t="s">
        <v>3767</v>
      </c>
      <c r="K1128" s="0" t="s">
        <v>3768</v>
      </c>
      <c r="L1128" s="0" t="str">
        <f aca="false">HYPERLINK("https://www.ncbi.nlm.nih.gov/nuccore/CP000304.1?report=graph&amp;tracks=[key:gene_model_track,Options:GeneOnly]&amp;mk=340269:340288|offset_7|444444,340294:340313|offset_32|00cc00,340314:340333|offset_52|444444,340344:340363|offset_82|444444&amp;v=340068:340563&amp;c=444444", "offset 32")</f>
        <v>offset 32</v>
      </c>
    </row>
    <row r="1129" customFormat="false" ht="12.8" hidden="false" customHeight="false" outlineLevel="0" collapsed="false">
      <c r="A1129" s="0" t="s">
        <v>12</v>
      </c>
      <c r="B1129" s="0" t="n">
        <v>340313</v>
      </c>
      <c r="C1129" s="0" t="n">
        <v>340333</v>
      </c>
      <c r="D1129" s="0" t="s">
        <v>3761</v>
      </c>
      <c r="E1129" s="0" t="s">
        <v>3762</v>
      </c>
      <c r="F1129" s="0" t="s">
        <v>15</v>
      </c>
      <c r="G1129" s="0" t="s">
        <v>16</v>
      </c>
      <c r="H1129" s="0" t="n">
        <v>52</v>
      </c>
      <c r="I1129" s="0" t="s">
        <v>3769</v>
      </c>
      <c r="J1129" s="0" t="s">
        <v>3770</v>
      </c>
      <c r="K1129" s="0" t="s">
        <v>3771</v>
      </c>
      <c r="L1129" s="0" t="str">
        <f aca="false">HYPERLINK("https://www.ncbi.nlm.nih.gov/nuccore/CP000304.1?report=graph&amp;tracks=[key:gene_model_track,Options:GeneOnly]&amp;mk=340269:340288|offset_7|444444,340294:340313|offset_32|444444,340314:340333|offset_52|00cc00,340344:340363|offset_82|444444&amp;v=340068:340563&amp;c=444444", "offset 52")</f>
        <v>offset 52</v>
      </c>
    </row>
    <row r="1130" customFormat="false" ht="12.8" hidden="false" customHeight="false" outlineLevel="0" collapsed="false">
      <c r="A1130" s="0" t="s">
        <v>12</v>
      </c>
      <c r="B1130" s="0" t="n">
        <v>340343</v>
      </c>
      <c r="C1130" s="0" t="n">
        <v>340363</v>
      </c>
      <c r="D1130" s="0" t="s">
        <v>3761</v>
      </c>
      <c r="E1130" s="0" t="s">
        <v>3762</v>
      </c>
      <c r="F1130" s="0" t="s">
        <v>15</v>
      </c>
      <c r="G1130" s="0" t="s">
        <v>32</v>
      </c>
      <c r="H1130" s="0" t="n">
        <v>82</v>
      </c>
      <c r="I1130" s="0" t="s">
        <v>3772</v>
      </c>
      <c r="J1130" s="0" t="s">
        <v>3773</v>
      </c>
      <c r="K1130" s="0" t="s">
        <v>3774</v>
      </c>
      <c r="L1130" s="0" t="str">
        <f aca="false">HYPERLINK("https://www.ncbi.nlm.nih.gov/nuccore/CP000304.1?report=graph&amp;tracks=[key:gene_model_track,Options:GeneOnly]&amp;mk=340269:340288|offset_7|444444,340294:340313|offset_32|444444,340314:340333|offset_52|444444,340344:340363|offset_82|00cc00&amp;v=340068:340563&amp;c=444444", "offset 82")</f>
        <v>offset 82</v>
      </c>
    </row>
    <row r="1131" customFormat="false" ht="12.8" hidden="false" customHeight="false" outlineLevel="0" collapsed="false">
      <c r="A1131" s="0" t="s">
        <v>12</v>
      </c>
      <c r="B1131" s="0" t="n">
        <v>341422</v>
      </c>
      <c r="C1131" s="0" t="n">
        <v>341442</v>
      </c>
      <c r="D1131" s="0" t="s">
        <v>3775</v>
      </c>
      <c r="E1131" s="0" t="s">
        <v>89</v>
      </c>
      <c r="F1131" s="0" t="s">
        <v>90</v>
      </c>
      <c r="G1131" s="0" t="s">
        <v>36</v>
      </c>
      <c r="H1131" s="0" t="n">
        <v>6</v>
      </c>
      <c r="I1131" s="0" t="s">
        <v>3776</v>
      </c>
      <c r="J1131" s="0" t="s">
        <v>3777</v>
      </c>
      <c r="K1131" s="0" t="s">
        <v>3778</v>
      </c>
      <c r="L1131" s="0" t="str">
        <f aca="false">HYPERLINK("https://www.ncbi.nlm.nih.gov/nuccore/CP000304.1?report=graph&amp;tracks=[key:gene_model_track,Options:GeneOnly]&amp;mk=341423:341442|offset_6|00cc00,341394:341413|offset_35|444444,341373:341392|offset_56|444444,341333:341352|offset_96|444444&amp;v=341222:341552&amp;c=444444", "offset 6")</f>
        <v>offset 6</v>
      </c>
    </row>
    <row r="1132" customFormat="false" ht="12.8" hidden="false" customHeight="false" outlineLevel="0" collapsed="false">
      <c r="A1132" s="0" t="s">
        <v>12</v>
      </c>
      <c r="B1132" s="0" t="n">
        <v>341393</v>
      </c>
      <c r="C1132" s="0" t="n">
        <v>341413</v>
      </c>
      <c r="D1132" s="0" t="s">
        <v>3775</v>
      </c>
      <c r="E1132" s="0" t="s">
        <v>89</v>
      </c>
      <c r="F1132" s="0" t="s">
        <v>90</v>
      </c>
      <c r="G1132" s="0" t="s">
        <v>36</v>
      </c>
      <c r="H1132" s="0" t="n">
        <v>35</v>
      </c>
      <c r="I1132" s="0" t="s">
        <v>3779</v>
      </c>
      <c r="J1132" s="0" t="s">
        <v>3780</v>
      </c>
      <c r="K1132" s="0" t="s">
        <v>3781</v>
      </c>
      <c r="L1132" s="0" t="str">
        <f aca="false">HYPERLINK("https://www.ncbi.nlm.nih.gov/nuccore/CP000304.1?report=graph&amp;tracks=[key:gene_model_track,Options:GeneOnly]&amp;mk=341423:341442|offset_6|444444,341394:341413|offset_35|00cc00,341373:341392|offset_56|444444,341333:341352|offset_96|444444&amp;v=341222:341552&amp;c=444444", "offset 35")</f>
        <v>offset 35</v>
      </c>
    </row>
    <row r="1133" customFormat="false" ht="12.8" hidden="false" customHeight="false" outlineLevel="0" collapsed="false">
      <c r="A1133" s="0" t="s">
        <v>12</v>
      </c>
      <c r="B1133" s="0" t="n">
        <v>341372</v>
      </c>
      <c r="C1133" s="0" t="n">
        <v>341392</v>
      </c>
      <c r="D1133" s="0" t="s">
        <v>3775</v>
      </c>
      <c r="E1133" s="0" t="s">
        <v>89</v>
      </c>
      <c r="F1133" s="0" t="s">
        <v>90</v>
      </c>
      <c r="G1133" s="0" t="s">
        <v>32</v>
      </c>
      <c r="H1133" s="0" t="n">
        <v>56</v>
      </c>
      <c r="I1133" s="0" t="s">
        <v>3782</v>
      </c>
      <c r="J1133" s="0" t="s">
        <v>3783</v>
      </c>
      <c r="K1133" s="0" t="s">
        <v>3784</v>
      </c>
      <c r="L1133" s="0" t="str">
        <f aca="false">HYPERLINK("https://www.ncbi.nlm.nih.gov/nuccore/CP000304.1?report=graph&amp;tracks=[key:gene_model_track,Options:GeneOnly]&amp;mk=341423:341442|offset_6|444444,341394:341413|offset_35|444444,341373:341392|offset_56|00cc00,341333:341352|offset_96|444444&amp;v=341222:341552&amp;c=444444", "offset 56")</f>
        <v>offset 56</v>
      </c>
    </row>
    <row r="1134" customFormat="false" ht="12.8" hidden="false" customHeight="false" outlineLevel="0" collapsed="false">
      <c r="A1134" s="0" t="s">
        <v>12</v>
      </c>
      <c r="B1134" s="0" t="n">
        <v>341332</v>
      </c>
      <c r="C1134" s="0" t="n">
        <v>341352</v>
      </c>
      <c r="D1134" s="0" t="s">
        <v>3775</v>
      </c>
      <c r="E1134" s="0" t="s">
        <v>89</v>
      </c>
      <c r="F1134" s="0" t="s">
        <v>90</v>
      </c>
      <c r="G1134" s="0" t="s">
        <v>36</v>
      </c>
      <c r="H1134" s="0" t="n">
        <v>96</v>
      </c>
      <c r="I1134" s="0" t="s">
        <v>3785</v>
      </c>
      <c r="J1134" s="0" t="s">
        <v>3786</v>
      </c>
      <c r="K1134" s="0" t="s">
        <v>3787</v>
      </c>
      <c r="L1134" s="0" t="str">
        <f aca="false">HYPERLINK("https://www.ncbi.nlm.nih.gov/nuccore/CP000304.1?report=graph&amp;tracks=[key:gene_model_track,Options:GeneOnly]&amp;mk=341423:341442|offset_6|444444,341394:341413|offset_35|444444,341373:341392|offset_56|444444,341333:341352|offset_96|00cc00&amp;v=341222:341552&amp;c=444444", "offset 96")</f>
        <v>offset 96</v>
      </c>
    </row>
    <row r="1135" customFormat="false" ht="12.8" hidden="false" customHeight="false" outlineLevel="0" collapsed="false">
      <c r="A1135" s="0" t="s">
        <v>12</v>
      </c>
      <c r="B1135" s="0" t="n">
        <v>341737</v>
      </c>
      <c r="C1135" s="0" t="n">
        <v>341757</v>
      </c>
      <c r="D1135" s="0" t="s">
        <v>3788</v>
      </c>
      <c r="E1135" s="0" t="s">
        <v>3789</v>
      </c>
      <c r="F1135" s="0" t="s">
        <v>15</v>
      </c>
      <c r="G1135" s="0" t="s">
        <v>32</v>
      </c>
      <c r="H1135" s="0" t="n">
        <v>10</v>
      </c>
      <c r="I1135" s="0" t="s">
        <v>3790</v>
      </c>
      <c r="J1135" s="0" t="s">
        <v>3791</v>
      </c>
      <c r="K1135" s="0" t="s">
        <v>3792</v>
      </c>
      <c r="L1135" s="0" t="str">
        <f aca="false">HYPERLINK("https://www.ncbi.nlm.nih.gov/nuccore/CP000304.1?report=graph&amp;tracks=[key:gene_model_track,Options:GeneOnly]&amp;mk=341738:341757|offset_10|00cc00,341758:341777|offset_30|444444,341789:341808|offset_61|444444,341841:341860|offset_113|444444&amp;v=341537:342060&amp;c=444444", "offset 10")</f>
        <v>offset 10</v>
      </c>
    </row>
    <row r="1136" customFormat="false" ht="12.8" hidden="false" customHeight="false" outlineLevel="0" collapsed="false">
      <c r="A1136" s="0" t="s">
        <v>12</v>
      </c>
      <c r="B1136" s="0" t="n">
        <v>341757</v>
      </c>
      <c r="C1136" s="0" t="n">
        <v>341777</v>
      </c>
      <c r="D1136" s="0" t="s">
        <v>3788</v>
      </c>
      <c r="E1136" s="0" t="s">
        <v>3789</v>
      </c>
      <c r="F1136" s="0" t="s">
        <v>15</v>
      </c>
      <c r="G1136" s="0" t="s">
        <v>26</v>
      </c>
      <c r="H1136" s="0" t="n">
        <v>30</v>
      </c>
      <c r="I1136" s="0" t="s">
        <v>3793</v>
      </c>
      <c r="J1136" s="0" t="s">
        <v>3794</v>
      </c>
      <c r="K1136" s="0" t="s">
        <v>3795</v>
      </c>
      <c r="L1136" s="0" t="str">
        <f aca="false">HYPERLINK("https://www.ncbi.nlm.nih.gov/nuccore/CP000304.1?report=graph&amp;tracks=[key:gene_model_track,Options:GeneOnly]&amp;mk=341738:341757|offset_10|444444,341758:341777|offset_30|00cc00,341789:341808|offset_61|444444,341841:341860|offset_113|444444&amp;v=341537:342060&amp;c=444444", "offset 30")</f>
        <v>offset 30</v>
      </c>
    </row>
    <row r="1137" customFormat="false" ht="12.8" hidden="false" customHeight="false" outlineLevel="0" collapsed="false">
      <c r="A1137" s="0" t="s">
        <v>12</v>
      </c>
      <c r="B1137" s="0" t="n">
        <v>341788</v>
      </c>
      <c r="C1137" s="0" t="n">
        <v>341808</v>
      </c>
      <c r="D1137" s="0" t="s">
        <v>3788</v>
      </c>
      <c r="E1137" s="0" t="s">
        <v>3789</v>
      </c>
      <c r="F1137" s="0" t="s">
        <v>15</v>
      </c>
      <c r="G1137" s="0" t="s">
        <v>16</v>
      </c>
      <c r="H1137" s="0" t="n">
        <v>61</v>
      </c>
      <c r="I1137" s="0" t="s">
        <v>3796</v>
      </c>
      <c r="J1137" s="0" t="s">
        <v>3797</v>
      </c>
      <c r="K1137" s="0" t="s">
        <v>3798</v>
      </c>
      <c r="L1137" s="0" t="str">
        <f aca="false">HYPERLINK("https://www.ncbi.nlm.nih.gov/nuccore/CP000304.1?report=graph&amp;tracks=[key:gene_model_track,Options:GeneOnly]&amp;mk=341738:341757|offset_10|444444,341758:341777|offset_30|444444,341789:341808|offset_61|00cc00,341841:341860|offset_113|444444&amp;v=341537:342060&amp;c=444444", "offset 61")</f>
        <v>offset 61</v>
      </c>
    </row>
    <row r="1138" customFormat="false" ht="12.8" hidden="false" customHeight="false" outlineLevel="0" collapsed="false">
      <c r="A1138" s="0" t="s">
        <v>12</v>
      </c>
      <c r="B1138" s="0" t="n">
        <v>341840</v>
      </c>
      <c r="C1138" s="0" t="n">
        <v>341860</v>
      </c>
      <c r="D1138" s="0" t="s">
        <v>3788</v>
      </c>
      <c r="E1138" s="0" t="s">
        <v>3789</v>
      </c>
      <c r="F1138" s="0" t="s">
        <v>15</v>
      </c>
      <c r="G1138" s="0" t="s">
        <v>32</v>
      </c>
      <c r="H1138" s="0" t="n">
        <v>113</v>
      </c>
      <c r="I1138" s="0" t="s">
        <v>3799</v>
      </c>
      <c r="J1138" s="0" t="s">
        <v>3800</v>
      </c>
      <c r="K1138" s="0" t="s">
        <v>3801</v>
      </c>
      <c r="L1138" s="0" t="str">
        <f aca="false">HYPERLINK("https://www.ncbi.nlm.nih.gov/nuccore/CP000304.1?report=graph&amp;tracks=[key:gene_model_track,Options:GeneOnly]&amp;mk=341738:341757|offset_10|444444,341758:341777|offset_30|444444,341789:341808|offset_61|444444,341841:341860|offset_113|00cc00&amp;v=341537:342060&amp;c=444444", "offset 113")</f>
        <v>offset 113</v>
      </c>
    </row>
    <row r="1139" customFormat="false" ht="12.8" hidden="false" customHeight="false" outlineLevel="0" collapsed="false">
      <c r="A1139" s="0" t="s">
        <v>12</v>
      </c>
      <c r="B1139" s="0" t="n">
        <v>342598</v>
      </c>
      <c r="C1139" s="0" t="n">
        <v>342618</v>
      </c>
      <c r="D1139" s="0" t="s">
        <v>3802</v>
      </c>
      <c r="E1139" s="0" t="s">
        <v>3803</v>
      </c>
      <c r="F1139" s="0" t="s">
        <v>15</v>
      </c>
      <c r="G1139" s="0" t="s">
        <v>26</v>
      </c>
      <c r="H1139" s="0" t="n">
        <v>19</v>
      </c>
      <c r="I1139" s="0" t="s">
        <v>3804</v>
      </c>
      <c r="J1139" s="0" t="s">
        <v>3805</v>
      </c>
      <c r="K1139" s="0" t="s">
        <v>3806</v>
      </c>
      <c r="L1139" s="0" t="str">
        <f aca="false">HYPERLINK("https://www.ncbi.nlm.nih.gov/nuccore/CP000304.1?report=graph&amp;tracks=[key:gene_model_track,Options:GeneOnly]&amp;mk=342599:342618|offset_19|00cc00,342626:342645|offset_46|444444,342732:342751|offset_152|444444,342764:342783|offset_184|444444&amp;v=342398:342983&amp;c=444444", "offset 19")</f>
        <v>offset 19</v>
      </c>
    </row>
    <row r="1140" customFormat="false" ht="12.8" hidden="false" customHeight="false" outlineLevel="0" collapsed="false">
      <c r="A1140" s="0" t="s">
        <v>12</v>
      </c>
      <c r="B1140" s="0" t="n">
        <v>342625</v>
      </c>
      <c r="C1140" s="0" t="n">
        <v>342645</v>
      </c>
      <c r="D1140" s="0" t="s">
        <v>3802</v>
      </c>
      <c r="E1140" s="0" t="s">
        <v>3803</v>
      </c>
      <c r="F1140" s="0" t="s">
        <v>15</v>
      </c>
      <c r="G1140" s="0" t="s">
        <v>32</v>
      </c>
      <c r="H1140" s="0" t="n">
        <v>46</v>
      </c>
      <c r="I1140" s="0" t="s">
        <v>3807</v>
      </c>
      <c r="J1140" s="0" t="s">
        <v>3808</v>
      </c>
      <c r="K1140" s="0" t="s">
        <v>3809</v>
      </c>
      <c r="L1140" s="0" t="str">
        <f aca="false">HYPERLINK("https://www.ncbi.nlm.nih.gov/nuccore/CP000304.1?report=graph&amp;tracks=[key:gene_model_track,Options:GeneOnly]&amp;mk=342599:342618|offset_19|444444,342626:342645|offset_46|00cc00,342732:342751|offset_152|444444,342764:342783|offset_184|444444&amp;v=342398:342983&amp;c=444444", "offset 46")</f>
        <v>offset 46</v>
      </c>
    </row>
    <row r="1141" customFormat="false" ht="12.8" hidden="false" customHeight="false" outlineLevel="0" collapsed="false">
      <c r="A1141" s="0" t="s">
        <v>12</v>
      </c>
      <c r="B1141" s="0" t="n">
        <v>342731</v>
      </c>
      <c r="C1141" s="0" t="n">
        <v>342751</v>
      </c>
      <c r="D1141" s="0" t="s">
        <v>3802</v>
      </c>
      <c r="E1141" s="0" t="s">
        <v>3803</v>
      </c>
      <c r="F1141" s="0" t="s">
        <v>15</v>
      </c>
      <c r="G1141" s="0" t="s">
        <v>36</v>
      </c>
      <c r="H1141" s="0" t="n">
        <v>152</v>
      </c>
      <c r="I1141" s="0" t="s">
        <v>3810</v>
      </c>
      <c r="J1141" s="0" t="s">
        <v>3811</v>
      </c>
      <c r="K1141" s="0" t="s">
        <v>3812</v>
      </c>
      <c r="L1141" s="0" t="str">
        <f aca="false">HYPERLINK("https://www.ncbi.nlm.nih.gov/nuccore/CP000304.1?report=graph&amp;tracks=[key:gene_model_track,Options:GeneOnly]&amp;mk=342599:342618|offset_19|444444,342626:342645|offset_46|444444,342732:342751|offset_152|00cc00,342764:342783|offset_184|444444&amp;v=342398:342983&amp;c=444444", "offset 152")</f>
        <v>offset 152</v>
      </c>
    </row>
    <row r="1142" customFormat="false" ht="12.8" hidden="false" customHeight="false" outlineLevel="0" collapsed="false">
      <c r="A1142" s="0" t="s">
        <v>12</v>
      </c>
      <c r="B1142" s="0" t="n">
        <v>342763</v>
      </c>
      <c r="C1142" s="0" t="n">
        <v>342783</v>
      </c>
      <c r="D1142" s="0" t="s">
        <v>3802</v>
      </c>
      <c r="E1142" s="0" t="s">
        <v>3803</v>
      </c>
      <c r="F1142" s="0" t="s">
        <v>15</v>
      </c>
      <c r="G1142" s="0" t="s">
        <v>32</v>
      </c>
      <c r="H1142" s="0" t="n">
        <v>184</v>
      </c>
      <c r="I1142" s="0" t="s">
        <v>3813</v>
      </c>
      <c r="J1142" s="0" t="s">
        <v>3814</v>
      </c>
      <c r="K1142" s="0" t="s">
        <v>3815</v>
      </c>
      <c r="L1142" s="0" t="str">
        <f aca="false">HYPERLINK("https://www.ncbi.nlm.nih.gov/nuccore/CP000304.1?report=graph&amp;tracks=[key:gene_model_track,Options:GeneOnly]&amp;mk=342599:342618|offset_19|444444,342626:342645|offset_46|444444,342732:342751|offset_152|444444,342764:342783|offset_184|00cc00&amp;v=342398:342983&amp;c=444444", "offset 184")</f>
        <v>offset 184</v>
      </c>
    </row>
    <row r="1143" customFormat="false" ht="12.8" hidden="false" customHeight="false" outlineLevel="0" collapsed="false">
      <c r="A1143" s="0" t="s">
        <v>12</v>
      </c>
      <c r="B1143" s="0" t="n">
        <v>344459</v>
      </c>
      <c r="C1143" s="0" t="n">
        <v>344479</v>
      </c>
      <c r="D1143" s="0" t="s">
        <v>3816</v>
      </c>
      <c r="E1143" s="0" t="s">
        <v>89</v>
      </c>
      <c r="F1143" s="0" t="s">
        <v>15</v>
      </c>
      <c r="G1143" s="0" t="s">
        <v>32</v>
      </c>
      <c r="H1143" s="0" t="n">
        <v>1</v>
      </c>
      <c r="I1143" s="0" t="s">
        <v>3817</v>
      </c>
      <c r="J1143" s="0" t="s">
        <v>3818</v>
      </c>
      <c r="K1143" s="0" t="s">
        <v>3819</v>
      </c>
      <c r="L1143" s="0" t="str">
        <f aca="false">HYPERLINK("https://www.ncbi.nlm.nih.gov/nuccore/CP000304.1?report=graph&amp;tracks=[key:gene_model_track,Options:GeneOnly]&amp;mk=344460:344479|offset_1|00cc00,344487:344506|offset_28|444444,344512:344531|offset_53|444444,344573:344592|offset_114|444444&amp;v=344259:344792&amp;c=444444", "offset 1")</f>
        <v>offset 1</v>
      </c>
    </row>
    <row r="1144" customFormat="false" ht="12.8" hidden="false" customHeight="false" outlineLevel="0" collapsed="false">
      <c r="A1144" s="0" t="s">
        <v>12</v>
      </c>
      <c r="B1144" s="0" t="n">
        <v>344486</v>
      </c>
      <c r="C1144" s="0" t="n">
        <v>344506</v>
      </c>
      <c r="D1144" s="0" t="s">
        <v>3816</v>
      </c>
      <c r="E1144" s="0" t="s">
        <v>89</v>
      </c>
      <c r="F1144" s="0" t="s">
        <v>15</v>
      </c>
      <c r="G1144" s="0" t="s">
        <v>36</v>
      </c>
      <c r="H1144" s="0" t="n">
        <v>28</v>
      </c>
      <c r="I1144" s="0" t="s">
        <v>3820</v>
      </c>
      <c r="J1144" s="0" t="s">
        <v>3821</v>
      </c>
      <c r="K1144" s="0" t="s">
        <v>3822</v>
      </c>
      <c r="L1144" s="0" t="str">
        <f aca="false">HYPERLINK("https://www.ncbi.nlm.nih.gov/nuccore/CP000304.1?report=graph&amp;tracks=[key:gene_model_track,Options:GeneOnly]&amp;mk=344460:344479|offset_1|444444,344487:344506|offset_28|00cc00,344512:344531|offset_53|444444,344573:344592|offset_114|444444&amp;v=344259:344792&amp;c=444444", "offset 28")</f>
        <v>offset 28</v>
      </c>
    </row>
    <row r="1145" customFormat="false" ht="12.8" hidden="false" customHeight="false" outlineLevel="0" collapsed="false">
      <c r="A1145" s="0" t="s">
        <v>12</v>
      </c>
      <c r="B1145" s="0" t="n">
        <v>344511</v>
      </c>
      <c r="C1145" s="0" t="n">
        <v>344531</v>
      </c>
      <c r="D1145" s="0" t="s">
        <v>3816</v>
      </c>
      <c r="E1145" s="0" t="s">
        <v>89</v>
      </c>
      <c r="F1145" s="0" t="s">
        <v>15</v>
      </c>
      <c r="G1145" s="0" t="s">
        <v>36</v>
      </c>
      <c r="H1145" s="0" t="n">
        <v>53</v>
      </c>
      <c r="I1145" s="0" t="s">
        <v>3823</v>
      </c>
      <c r="J1145" s="0" t="s">
        <v>3824</v>
      </c>
      <c r="K1145" s="0" t="s">
        <v>3825</v>
      </c>
      <c r="L1145" s="0" t="str">
        <f aca="false">HYPERLINK("https://www.ncbi.nlm.nih.gov/nuccore/CP000304.1?report=graph&amp;tracks=[key:gene_model_track,Options:GeneOnly]&amp;mk=344460:344479|offset_1|444444,344487:344506|offset_28|444444,344512:344531|offset_53|00cc00,344573:344592|offset_114|444444&amp;v=344259:344792&amp;c=444444", "offset 53")</f>
        <v>offset 53</v>
      </c>
    </row>
    <row r="1146" customFormat="false" ht="12.8" hidden="false" customHeight="false" outlineLevel="0" collapsed="false">
      <c r="A1146" s="0" t="s">
        <v>12</v>
      </c>
      <c r="B1146" s="0" t="n">
        <v>344572</v>
      </c>
      <c r="C1146" s="0" t="n">
        <v>344592</v>
      </c>
      <c r="D1146" s="0" t="s">
        <v>3816</v>
      </c>
      <c r="E1146" s="0" t="s">
        <v>89</v>
      </c>
      <c r="F1146" s="0" t="s">
        <v>15</v>
      </c>
      <c r="G1146" s="0" t="s">
        <v>26</v>
      </c>
      <c r="H1146" s="0" t="n">
        <v>114</v>
      </c>
      <c r="I1146" s="0" t="s">
        <v>3826</v>
      </c>
      <c r="J1146" s="0" t="s">
        <v>3827</v>
      </c>
      <c r="K1146" s="0" t="s">
        <v>3828</v>
      </c>
      <c r="L1146" s="0" t="str">
        <f aca="false">HYPERLINK("https://www.ncbi.nlm.nih.gov/nuccore/CP000304.1?report=graph&amp;tracks=[key:gene_model_track,Options:GeneOnly]&amp;mk=344460:344479|offset_1|444444,344487:344506|offset_28|444444,344512:344531|offset_53|444444,344573:344592|offset_114|00cc00&amp;v=344259:344792&amp;c=444444", "offset 114")</f>
        <v>offset 114</v>
      </c>
    </row>
    <row r="1147" customFormat="false" ht="12.8" hidden="false" customHeight="false" outlineLevel="0" collapsed="false">
      <c r="A1147" s="0" t="s">
        <v>12</v>
      </c>
      <c r="B1147" s="0" t="n">
        <v>345358</v>
      </c>
      <c r="C1147" s="0" t="n">
        <v>345378</v>
      </c>
      <c r="D1147" s="0" t="s">
        <v>3829</v>
      </c>
      <c r="E1147" s="0" t="s">
        <v>89</v>
      </c>
      <c r="F1147" s="0" t="s">
        <v>90</v>
      </c>
      <c r="G1147" s="0" t="s">
        <v>32</v>
      </c>
      <c r="H1147" s="0" t="n">
        <v>1</v>
      </c>
      <c r="I1147" s="0" t="s">
        <v>3830</v>
      </c>
      <c r="J1147" s="0" t="s">
        <v>3831</v>
      </c>
      <c r="K1147" s="0" t="s">
        <v>3832</v>
      </c>
      <c r="L1147" s="0" t="str">
        <f aca="false">HYPERLINK("https://www.ncbi.nlm.nih.gov/nuccore/CP000304.1?report=graph&amp;tracks=[key:gene_model_track,Options:GeneOnly]&amp;mk=345359:345378|offset_1|00cc00,345338:345357|offset_22|444444,345311:345330|offset_49|444444,345285:345304|offset_75|444444&amp;v=345158:345504&amp;c=444444", "offset 1")</f>
        <v>offset 1</v>
      </c>
    </row>
    <row r="1148" customFormat="false" ht="12.8" hidden="false" customHeight="false" outlineLevel="0" collapsed="false">
      <c r="A1148" s="0" t="s">
        <v>12</v>
      </c>
      <c r="B1148" s="0" t="n">
        <v>345337</v>
      </c>
      <c r="C1148" s="0" t="n">
        <v>345357</v>
      </c>
      <c r="D1148" s="0" t="s">
        <v>3829</v>
      </c>
      <c r="E1148" s="0" t="s">
        <v>89</v>
      </c>
      <c r="F1148" s="0" t="s">
        <v>90</v>
      </c>
      <c r="G1148" s="0" t="s">
        <v>32</v>
      </c>
      <c r="H1148" s="0" t="n">
        <v>22</v>
      </c>
      <c r="I1148" s="0" t="s">
        <v>3833</v>
      </c>
      <c r="J1148" s="0" t="s">
        <v>3834</v>
      </c>
      <c r="K1148" s="0" t="s">
        <v>3835</v>
      </c>
      <c r="L1148" s="0" t="str">
        <f aca="false">HYPERLINK("https://www.ncbi.nlm.nih.gov/nuccore/CP000304.1?report=graph&amp;tracks=[key:gene_model_track,Options:GeneOnly]&amp;mk=345359:345378|offset_1|444444,345338:345357|offset_22|00cc00,345311:345330|offset_49|444444,345285:345304|offset_75|444444&amp;v=345158:345504&amp;c=444444", "offset 22")</f>
        <v>offset 22</v>
      </c>
    </row>
    <row r="1149" customFormat="false" ht="12.8" hidden="false" customHeight="false" outlineLevel="0" collapsed="false">
      <c r="A1149" s="0" t="s">
        <v>12</v>
      </c>
      <c r="B1149" s="0" t="n">
        <v>345310</v>
      </c>
      <c r="C1149" s="0" t="n">
        <v>345330</v>
      </c>
      <c r="D1149" s="0" t="s">
        <v>3829</v>
      </c>
      <c r="E1149" s="0" t="s">
        <v>89</v>
      </c>
      <c r="F1149" s="0" t="s">
        <v>90</v>
      </c>
      <c r="G1149" s="0" t="s">
        <v>36</v>
      </c>
      <c r="H1149" s="0" t="n">
        <v>49</v>
      </c>
      <c r="I1149" s="0" t="s">
        <v>3836</v>
      </c>
      <c r="J1149" s="0" t="s">
        <v>3837</v>
      </c>
      <c r="K1149" s="0" t="s">
        <v>3838</v>
      </c>
      <c r="L1149" s="0" t="str">
        <f aca="false">HYPERLINK("https://www.ncbi.nlm.nih.gov/nuccore/CP000304.1?report=graph&amp;tracks=[key:gene_model_track,Options:GeneOnly]&amp;mk=345359:345378|offset_1|444444,345338:345357|offset_22|444444,345311:345330|offset_49|00cc00,345285:345304|offset_75|444444&amp;v=345158:345504&amp;c=444444", "offset 49")</f>
        <v>offset 49</v>
      </c>
    </row>
    <row r="1150" customFormat="false" ht="12.8" hidden="false" customHeight="false" outlineLevel="0" collapsed="false">
      <c r="A1150" s="0" t="s">
        <v>12</v>
      </c>
      <c r="B1150" s="0" t="n">
        <v>345284</v>
      </c>
      <c r="C1150" s="0" t="n">
        <v>345304</v>
      </c>
      <c r="D1150" s="0" t="s">
        <v>3829</v>
      </c>
      <c r="E1150" s="0" t="s">
        <v>89</v>
      </c>
      <c r="F1150" s="0" t="s">
        <v>90</v>
      </c>
      <c r="G1150" s="0" t="s">
        <v>36</v>
      </c>
      <c r="H1150" s="0" t="n">
        <v>75</v>
      </c>
      <c r="I1150" s="0" t="s">
        <v>3839</v>
      </c>
      <c r="J1150" s="0" t="s">
        <v>3840</v>
      </c>
      <c r="K1150" s="0" t="s">
        <v>3841</v>
      </c>
      <c r="L1150" s="0" t="str">
        <f aca="false">HYPERLINK("https://www.ncbi.nlm.nih.gov/nuccore/CP000304.1?report=graph&amp;tracks=[key:gene_model_track,Options:GeneOnly]&amp;mk=345359:345378|offset_1|444444,345338:345357|offset_22|444444,345311:345330|offset_49|444444,345285:345304|offset_75|00cc00&amp;v=345158:345504&amp;c=444444", "offset 75")</f>
        <v>offset 75</v>
      </c>
    </row>
    <row r="1151" customFormat="false" ht="12.8" hidden="false" customHeight="false" outlineLevel="0" collapsed="false">
      <c r="A1151" s="0" t="s">
        <v>12</v>
      </c>
      <c r="B1151" s="0" t="n">
        <v>345689</v>
      </c>
      <c r="C1151" s="0" t="n">
        <v>345709</v>
      </c>
      <c r="D1151" s="0" t="s">
        <v>3842</v>
      </c>
      <c r="E1151" s="0" t="s">
        <v>89</v>
      </c>
      <c r="F1151" s="0" t="s">
        <v>15</v>
      </c>
      <c r="G1151" s="0" t="s">
        <v>36</v>
      </c>
      <c r="H1151" s="0" t="n">
        <v>16</v>
      </c>
      <c r="I1151" s="0" t="s">
        <v>3843</v>
      </c>
      <c r="J1151" s="0" t="s">
        <v>3844</v>
      </c>
      <c r="K1151" s="0" t="s">
        <v>3845</v>
      </c>
      <c r="L1151" s="0" t="str">
        <f aca="false">HYPERLINK("https://www.ncbi.nlm.nih.gov/nuccore/CP000304.1?report=graph&amp;tracks=[key:gene_model_track,Options:GeneOnly]&amp;mk=345690:345709|offset_16|00cc00,345726:345745|offset_52|444444,345750:345769|offset_76|444444,345785:345804|offset_111|444444&amp;v=345489:346004&amp;c=444444", "offset 16")</f>
        <v>offset 16</v>
      </c>
    </row>
    <row r="1152" customFormat="false" ht="12.8" hidden="false" customHeight="false" outlineLevel="0" collapsed="false">
      <c r="A1152" s="0" t="s">
        <v>12</v>
      </c>
      <c r="B1152" s="0" t="n">
        <v>345725</v>
      </c>
      <c r="C1152" s="0" t="n">
        <v>345745</v>
      </c>
      <c r="D1152" s="0" t="s">
        <v>3842</v>
      </c>
      <c r="E1152" s="0" t="s">
        <v>89</v>
      </c>
      <c r="F1152" s="0" t="s">
        <v>15</v>
      </c>
      <c r="G1152" s="0" t="s">
        <v>16</v>
      </c>
      <c r="H1152" s="0" t="n">
        <v>52</v>
      </c>
      <c r="I1152" s="0" t="s">
        <v>3846</v>
      </c>
      <c r="J1152" s="0" t="s">
        <v>3847</v>
      </c>
      <c r="K1152" s="0" t="s">
        <v>3848</v>
      </c>
      <c r="L1152" s="0" t="str">
        <f aca="false">HYPERLINK("https://www.ncbi.nlm.nih.gov/nuccore/CP000304.1?report=graph&amp;tracks=[key:gene_model_track,Options:GeneOnly]&amp;mk=345690:345709|offset_16|444444,345726:345745|offset_52|00cc00,345750:345769|offset_76|444444,345785:345804|offset_111|444444&amp;v=345489:346004&amp;c=444444", "offset 52")</f>
        <v>offset 52</v>
      </c>
    </row>
    <row r="1153" customFormat="false" ht="12.8" hidden="false" customHeight="false" outlineLevel="0" collapsed="false">
      <c r="A1153" s="0" t="s">
        <v>12</v>
      </c>
      <c r="B1153" s="0" t="n">
        <v>345749</v>
      </c>
      <c r="C1153" s="0" t="n">
        <v>345769</v>
      </c>
      <c r="D1153" s="0" t="s">
        <v>3842</v>
      </c>
      <c r="E1153" s="0" t="s">
        <v>89</v>
      </c>
      <c r="F1153" s="0" t="s">
        <v>15</v>
      </c>
      <c r="G1153" s="0" t="s">
        <v>16</v>
      </c>
      <c r="H1153" s="0" t="n">
        <v>76</v>
      </c>
      <c r="I1153" s="0" t="s">
        <v>3849</v>
      </c>
      <c r="J1153" s="0" t="s">
        <v>3850</v>
      </c>
      <c r="K1153" s="0" t="s">
        <v>3851</v>
      </c>
      <c r="L1153" s="0" t="str">
        <f aca="false">HYPERLINK("https://www.ncbi.nlm.nih.gov/nuccore/CP000304.1?report=graph&amp;tracks=[key:gene_model_track,Options:GeneOnly]&amp;mk=345690:345709|offset_16|444444,345726:345745|offset_52|444444,345750:345769|offset_76|00cc00,345785:345804|offset_111|444444&amp;v=345489:346004&amp;c=444444", "offset 76")</f>
        <v>offset 76</v>
      </c>
    </row>
    <row r="1154" customFormat="false" ht="12.8" hidden="false" customHeight="false" outlineLevel="0" collapsed="false">
      <c r="A1154" s="0" t="s">
        <v>12</v>
      </c>
      <c r="B1154" s="0" t="n">
        <v>345784</v>
      </c>
      <c r="C1154" s="0" t="n">
        <v>345804</v>
      </c>
      <c r="D1154" s="0" t="s">
        <v>3842</v>
      </c>
      <c r="E1154" s="0" t="s">
        <v>89</v>
      </c>
      <c r="F1154" s="0" t="s">
        <v>15</v>
      </c>
      <c r="G1154" s="0" t="s">
        <v>36</v>
      </c>
      <c r="H1154" s="0" t="n">
        <v>111</v>
      </c>
      <c r="I1154" s="0" t="s">
        <v>3852</v>
      </c>
      <c r="J1154" s="0" t="s">
        <v>3853</v>
      </c>
      <c r="K1154" s="0" t="s">
        <v>3854</v>
      </c>
      <c r="L1154" s="0" t="str">
        <f aca="false">HYPERLINK("https://www.ncbi.nlm.nih.gov/nuccore/CP000304.1?report=graph&amp;tracks=[key:gene_model_track,Options:GeneOnly]&amp;mk=345690:345709|offset_16|444444,345726:345745|offset_52|444444,345750:345769|offset_76|444444,345785:345804|offset_111|00cc00&amp;v=345489:346004&amp;c=444444", "offset 111")</f>
        <v>offset 111</v>
      </c>
    </row>
    <row r="1155" customFormat="false" ht="12.8" hidden="false" customHeight="false" outlineLevel="0" collapsed="false">
      <c r="A1155" s="0" t="s">
        <v>12</v>
      </c>
      <c r="B1155" s="0" t="n">
        <v>349597</v>
      </c>
      <c r="C1155" s="0" t="n">
        <v>349617</v>
      </c>
      <c r="D1155" s="0" t="s">
        <v>3855</v>
      </c>
      <c r="E1155" s="0" t="s">
        <v>89</v>
      </c>
      <c r="F1155" s="0" t="s">
        <v>90</v>
      </c>
      <c r="G1155" s="0" t="s">
        <v>36</v>
      </c>
      <c r="H1155" s="0" t="n">
        <v>0</v>
      </c>
      <c r="I1155" s="0" t="s">
        <v>3856</v>
      </c>
      <c r="J1155" s="0" t="s">
        <v>3857</v>
      </c>
      <c r="K1155" s="0" t="s">
        <v>3858</v>
      </c>
      <c r="L1155" s="0" t="str">
        <f aca="false">HYPERLINK("https://www.ncbi.nlm.nih.gov/nuccore/CP000304.1?report=graph&amp;tracks=[key:gene_model_track,Options:GeneOnly]&amp;mk=349598:349617|offset_0|00cc00,349571:349590|offset_27|444444,349498:349517|offset_100|444444,349471:349490|offset_127|444444&amp;v=349397:349690&amp;c=444444", "offset 0")</f>
        <v>offset 0</v>
      </c>
    </row>
    <row r="1156" customFormat="false" ht="12.8" hidden="false" customHeight="false" outlineLevel="0" collapsed="false">
      <c r="A1156" s="0" t="s">
        <v>12</v>
      </c>
      <c r="B1156" s="0" t="n">
        <v>349570</v>
      </c>
      <c r="C1156" s="0" t="n">
        <v>349590</v>
      </c>
      <c r="D1156" s="0" t="s">
        <v>3855</v>
      </c>
      <c r="E1156" s="0" t="s">
        <v>89</v>
      </c>
      <c r="F1156" s="0" t="s">
        <v>90</v>
      </c>
      <c r="G1156" s="0" t="s">
        <v>26</v>
      </c>
      <c r="H1156" s="0" t="n">
        <v>27</v>
      </c>
      <c r="I1156" s="0" t="s">
        <v>3859</v>
      </c>
      <c r="J1156" s="0" t="s">
        <v>3860</v>
      </c>
      <c r="K1156" s="0" t="s">
        <v>3861</v>
      </c>
      <c r="L1156" s="0" t="str">
        <f aca="false">HYPERLINK("https://www.ncbi.nlm.nih.gov/nuccore/CP000304.1?report=graph&amp;tracks=[key:gene_model_track,Options:GeneOnly]&amp;mk=349598:349617|offset_0|444444,349571:349590|offset_27|00cc00,349498:349517|offset_100|444444,349471:349490|offset_127|444444&amp;v=349397:349690&amp;c=444444", "offset 27")</f>
        <v>offset 27</v>
      </c>
    </row>
    <row r="1157" customFormat="false" ht="12.8" hidden="false" customHeight="false" outlineLevel="0" collapsed="false">
      <c r="A1157" s="0" t="s">
        <v>12</v>
      </c>
      <c r="B1157" s="0" t="n">
        <v>349497</v>
      </c>
      <c r="C1157" s="0" t="n">
        <v>349517</v>
      </c>
      <c r="D1157" s="0" t="s">
        <v>3855</v>
      </c>
      <c r="E1157" s="0" t="s">
        <v>89</v>
      </c>
      <c r="F1157" s="0" t="s">
        <v>90</v>
      </c>
      <c r="G1157" s="0" t="s">
        <v>36</v>
      </c>
      <c r="H1157" s="0" t="n">
        <v>100</v>
      </c>
      <c r="I1157" s="0" t="s">
        <v>3862</v>
      </c>
      <c r="J1157" s="0" t="s">
        <v>3863</v>
      </c>
      <c r="K1157" s="0" t="s">
        <v>3864</v>
      </c>
      <c r="L1157" s="0" t="str">
        <f aca="false">HYPERLINK("https://www.ncbi.nlm.nih.gov/nuccore/CP000304.1?report=graph&amp;tracks=[key:gene_model_track,Options:GeneOnly]&amp;mk=349598:349617|offset_0|444444,349571:349590|offset_27|444444,349498:349517|offset_100|00cc00,349471:349490|offset_127|444444&amp;v=349397:349690&amp;c=444444", "offset 100")</f>
        <v>offset 100</v>
      </c>
    </row>
    <row r="1158" customFormat="false" ht="12.8" hidden="false" customHeight="false" outlineLevel="0" collapsed="false">
      <c r="A1158" s="0" t="s">
        <v>12</v>
      </c>
      <c r="B1158" s="0" t="n">
        <v>349470</v>
      </c>
      <c r="C1158" s="0" t="n">
        <v>349490</v>
      </c>
      <c r="D1158" s="0" t="s">
        <v>3855</v>
      </c>
      <c r="E1158" s="0" t="s">
        <v>89</v>
      </c>
      <c r="F1158" s="0" t="s">
        <v>90</v>
      </c>
      <c r="G1158" s="0" t="s">
        <v>16</v>
      </c>
      <c r="H1158" s="0" t="n">
        <v>127</v>
      </c>
      <c r="I1158" s="0" t="s">
        <v>3865</v>
      </c>
      <c r="J1158" s="0" t="s">
        <v>3866</v>
      </c>
      <c r="K1158" s="0" t="s">
        <v>3867</v>
      </c>
      <c r="L1158" s="0" t="str">
        <f aca="false">HYPERLINK("https://www.ncbi.nlm.nih.gov/nuccore/CP000304.1?report=graph&amp;tracks=[key:gene_model_track,Options:GeneOnly]&amp;mk=349598:349617|offset_0|444444,349571:349590|offset_27|444444,349498:349517|offset_100|444444,349471:349490|offset_127|00cc00&amp;v=349397:349690&amp;c=444444", "offset 127")</f>
        <v>offset 127</v>
      </c>
    </row>
    <row r="1159" customFormat="false" ht="12.8" hidden="false" customHeight="false" outlineLevel="0" collapsed="false">
      <c r="A1159" s="0" t="s">
        <v>12</v>
      </c>
      <c r="B1159" s="0" t="n">
        <v>349958</v>
      </c>
      <c r="C1159" s="0" t="n">
        <v>349978</v>
      </c>
      <c r="D1159" s="0" t="s">
        <v>3868</v>
      </c>
      <c r="E1159" s="0" t="s">
        <v>89</v>
      </c>
      <c r="F1159" s="0" t="s">
        <v>15</v>
      </c>
      <c r="G1159" s="0" t="s">
        <v>32</v>
      </c>
      <c r="H1159" s="0" t="n">
        <v>1</v>
      </c>
      <c r="I1159" s="0" t="s">
        <v>3869</v>
      </c>
      <c r="J1159" s="0" t="s">
        <v>3870</v>
      </c>
      <c r="K1159" s="0" t="s">
        <v>3871</v>
      </c>
      <c r="L1159" s="0" t="str">
        <f aca="false">HYPERLINK("https://www.ncbi.nlm.nih.gov/nuccore/CP000304.1?report=graph&amp;tracks=[key:gene_model_track,Options:GeneOnly]&amp;mk=349959:349978|offset_1|00cc00,349990:350009|offset_32|444444,350025:350044|offset_67|444444,350049:350068|offset_91|444444&amp;v=349758:350268&amp;c=444444", "offset 1")</f>
        <v>offset 1</v>
      </c>
    </row>
    <row r="1160" customFormat="false" ht="12.8" hidden="false" customHeight="false" outlineLevel="0" collapsed="false">
      <c r="A1160" s="0" t="s">
        <v>12</v>
      </c>
      <c r="B1160" s="0" t="n">
        <v>349989</v>
      </c>
      <c r="C1160" s="0" t="n">
        <v>350009</v>
      </c>
      <c r="D1160" s="0" t="s">
        <v>3868</v>
      </c>
      <c r="E1160" s="0" t="s">
        <v>89</v>
      </c>
      <c r="F1160" s="0" t="s">
        <v>15</v>
      </c>
      <c r="G1160" s="0" t="s">
        <v>16</v>
      </c>
      <c r="H1160" s="0" t="n">
        <v>32</v>
      </c>
      <c r="I1160" s="0" t="s">
        <v>3872</v>
      </c>
      <c r="J1160" s="0" t="s">
        <v>3873</v>
      </c>
      <c r="K1160" s="0" t="s">
        <v>3874</v>
      </c>
      <c r="L1160" s="0" t="str">
        <f aca="false">HYPERLINK("https://www.ncbi.nlm.nih.gov/nuccore/CP000304.1?report=graph&amp;tracks=[key:gene_model_track,Options:GeneOnly]&amp;mk=349959:349978|offset_1|444444,349990:350009|offset_32|00cc00,350025:350044|offset_67|444444,350049:350068|offset_91|444444&amp;v=349758:350268&amp;c=444444", "offset 32")</f>
        <v>offset 32</v>
      </c>
    </row>
    <row r="1161" customFormat="false" ht="12.8" hidden="false" customHeight="false" outlineLevel="0" collapsed="false">
      <c r="A1161" s="0" t="s">
        <v>12</v>
      </c>
      <c r="B1161" s="0" t="n">
        <v>350024</v>
      </c>
      <c r="C1161" s="0" t="n">
        <v>350044</v>
      </c>
      <c r="D1161" s="0" t="s">
        <v>3868</v>
      </c>
      <c r="E1161" s="0" t="s">
        <v>89</v>
      </c>
      <c r="F1161" s="0" t="s">
        <v>15</v>
      </c>
      <c r="G1161" s="0" t="s">
        <v>32</v>
      </c>
      <c r="H1161" s="0" t="n">
        <v>67</v>
      </c>
      <c r="I1161" s="0" t="s">
        <v>3875</v>
      </c>
      <c r="J1161" s="0" t="s">
        <v>3876</v>
      </c>
      <c r="K1161" s="0" t="s">
        <v>3877</v>
      </c>
      <c r="L1161" s="0" t="str">
        <f aca="false">HYPERLINK("https://www.ncbi.nlm.nih.gov/nuccore/CP000304.1?report=graph&amp;tracks=[key:gene_model_track,Options:GeneOnly]&amp;mk=349959:349978|offset_1|444444,349990:350009|offset_32|444444,350025:350044|offset_67|00cc00,350049:350068|offset_91|444444&amp;v=349758:350268&amp;c=444444", "offset 67")</f>
        <v>offset 67</v>
      </c>
    </row>
    <row r="1162" customFormat="false" ht="12.8" hidden="false" customHeight="false" outlineLevel="0" collapsed="false">
      <c r="A1162" s="0" t="s">
        <v>12</v>
      </c>
      <c r="B1162" s="0" t="n">
        <v>350048</v>
      </c>
      <c r="C1162" s="0" t="n">
        <v>350068</v>
      </c>
      <c r="D1162" s="0" t="s">
        <v>3868</v>
      </c>
      <c r="E1162" s="0" t="s">
        <v>89</v>
      </c>
      <c r="F1162" s="0" t="s">
        <v>15</v>
      </c>
      <c r="G1162" s="0" t="s">
        <v>16</v>
      </c>
      <c r="H1162" s="0" t="n">
        <v>91</v>
      </c>
      <c r="I1162" s="0" t="s">
        <v>3878</v>
      </c>
      <c r="J1162" s="0" t="s">
        <v>3879</v>
      </c>
      <c r="K1162" s="0" t="s">
        <v>3880</v>
      </c>
      <c r="L1162" s="0" t="str">
        <f aca="false">HYPERLINK("https://www.ncbi.nlm.nih.gov/nuccore/CP000304.1?report=graph&amp;tracks=[key:gene_model_track,Options:GeneOnly]&amp;mk=349959:349978|offset_1|444444,349990:350009|offset_32|444444,350025:350044|offset_67|444444,350049:350068|offset_91|00cc00&amp;v=349758:350268&amp;c=444444", "offset 91")</f>
        <v>offset 91</v>
      </c>
    </row>
    <row r="1163" customFormat="false" ht="12.8" hidden="false" customHeight="false" outlineLevel="0" collapsed="false">
      <c r="A1163" s="0" t="s">
        <v>12</v>
      </c>
      <c r="B1163" s="0" t="n">
        <v>352056</v>
      </c>
      <c r="C1163" s="0" t="n">
        <v>352076</v>
      </c>
      <c r="D1163" s="0" t="s">
        <v>3881</v>
      </c>
      <c r="E1163" s="0" t="s">
        <v>89</v>
      </c>
      <c r="F1163" s="0" t="s">
        <v>15</v>
      </c>
      <c r="G1163" s="0" t="s">
        <v>16</v>
      </c>
      <c r="H1163" s="0" t="n">
        <v>14</v>
      </c>
      <c r="I1163" s="0" t="s">
        <v>3882</v>
      </c>
      <c r="J1163" s="0" t="s">
        <v>3883</v>
      </c>
      <c r="K1163" s="0" t="s">
        <v>3884</v>
      </c>
      <c r="L1163" s="0" t="str">
        <f aca="false">HYPERLINK("https://www.ncbi.nlm.nih.gov/nuccore/CP000304.1?report=graph&amp;tracks=[key:gene_model_track,Options:GeneOnly]&amp;mk=352057:352076|offset_14|00cc00,352077:352096|offset_34|444444,352102:352121|offset_59|444444,352134:352153|offset_91|444444&amp;v=351856:352353&amp;c=444444", "offset 14")</f>
        <v>offset 14</v>
      </c>
    </row>
    <row r="1164" customFormat="false" ht="12.8" hidden="false" customHeight="false" outlineLevel="0" collapsed="false">
      <c r="A1164" s="0" t="s">
        <v>12</v>
      </c>
      <c r="B1164" s="0" t="n">
        <v>352076</v>
      </c>
      <c r="C1164" s="0" t="n">
        <v>352096</v>
      </c>
      <c r="D1164" s="0" t="s">
        <v>3881</v>
      </c>
      <c r="E1164" s="0" t="s">
        <v>89</v>
      </c>
      <c r="F1164" s="0" t="s">
        <v>15</v>
      </c>
      <c r="G1164" s="0" t="s">
        <v>16</v>
      </c>
      <c r="H1164" s="0" t="n">
        <v>34</v>
      </c>
      <c r="I1164" s="0" t="s">
        <v>3885</v>
      </c>
      <c r="J1164" s="0" t="s">
        <v>3886</v>
      </c>
      <c r="K1164" s="0" t="s">
        <v>3887</v>
      </c>
      <c r="L1164" s="0" t="str">
        <f aca="false">HYPERLINK("https://www.ncbi.nlm.nih.gov/nuccore/CP000304.1?report=graph&amp;tracks=[key:gene_model_track,Options:GeneOnly]&amp;mk=352057:352076|offset_14|444444,352077:352096|offset_34|00cc00,352102:352121|offset_59|444444,352134:352153|offset_91|444444&amp;v=351856:352353&amp;c=444444", "offset 34")</f>
        <v>offset 34</v>
      </c>
    </row>
    <row r="1165" customFormat="false" ht="12.8" hidden="false" customHeight="false" outlineLevel="0" collapsed="false">
      <c r="A1165" s="0" t="s">
        <v>12</v>
      </c>
      <c r="B1165" s="0" t="n">
        <v>352101</v>
      </c>
      <c r="C1165" s="0" t="n">
        <v>352121</v>
      </c>
      <c r="D1165" s="0" t="s">
        <v>3881</v>
      </c>
      <c r="E1165" s="0" t="s">
        <v>89</v>
      </c>
      <c r="F1165" s="0" t="s">
        <v>15</v>
      </c>
      <c r="G1165" s="0" t="s">
        <v>26</v>
      </c>
      <c r="H1165" s="0" t="n">
        <v>59</v>
      </c>
      <c r="I1165" s="0" t="s">
        <v>3888</v>
      </c>
      <c r="J1165" s="0" t="s">
        <v>3889</v>
      </c>
      <c r="K1165" s="0" t="s">
        <v>3890</v>
      </c>
      <c r="L1165" s="0" t="str">
        <f aca="false">HYPERLINK("https://www.ncbi.nlm.nih.gov/nuccore/CP000304.1?report=graph&amp;tracks=[key:gene_model_track,Options:GeneOnly]&amp;mk=352057:352076|offset_14|444444,352077:352096|offset_34|444444,352102:352121|offset_59|00cc00,352134:352153|offset_91|444444&amp;v=351856:352353&amp;c=444444", "offset 59")</f>
        <v>offset 59</v>
      </c>
    </row>
    <row r="1166" customFormat="false" ht="12.8" hidden="false" customHeight="false" outlineLevel="0" collapsed="false">
      <c r="A1166" s="0" t="s">
        <v>12</v>
      </c>
      <c r="B1166" s="0" t="n">
        <v>352133</v>
      </c>
      <c r="C1166" s="0" t="n">
        <v>352153</v>
      </c>
      <c r="D1166" s="0" t="s">
        <v>3881</v>
      </c>
      <c r="E1166" s="0" t="s">
        <v>89</v>
      </c>
      <c r="F1166" s="0" t="s">
        <v>15</v>
      </c>
      <c r="G1166" s="0" t="s">
        <v>16</v>
      </c>
      <c r="H1166" s="0" t="n">
        <v>91</v>
      </c>
      <c r="I1166" s="0" t="s">
        <v>3891</v>
      </c>
      <c r="J1166" s="0" t="s">
        <v>3892</v>
      </c>
      <c r="K1166" s="0" t="s">
        <v>3893</v>
      </c>
      <c r="L1166" s="0" t="str">
        <f aca="false">HYPERLINK("https://www.ncbi.nlm.nih.gov/nuccore/CP000304.1?report=graph&amp;tracks=[key:gene_model_track,Options:GeneOnly]&amp;mk=352057:352076|offset_14|444444,352077:352096|offset_34|444444,352102:352121|offset_59|444444,352134:352153|offset_91|00cc00&amp;v=351856:352353&amp;c=444444", "offset 91")</f>
        <v>offset 91</v>
      </c>
    </row>
    <row r="1167" customFormat="false" ht="12.8" hidden="false" customHeight="false" outlineLevel="0" collapsed="false">
      <c r="A1167" s="0" t="s">
        <v>12</v>
      </c>
      <c r="B1167" s="0" t="n">
        <v>352976</v>
      </c>
      <c r="C1167" s="0" t="n">
        <v>352996</v>
      </c>
      <c r="D1167" s="0" t="s">
        <v>3894</v>
      </c>
      <c r="E1167" s="0" t="s">
        <v>89</v>
      </c>
      <c r="F1167" s="0" t="s">
        <v>15</v>
      </c>
      <c r="G1167" s="0" t="s">
        <v>36</v>
      </c>
      <c r="H1167" s="0" t="n">
        <v>6</v>
      </c>
      <c r="I1167" s="0" t="s">
        <v>3895</v>
      </c>
      <c r="J1167" s="0" t="s">
        <v>3896</v>
      </c>
      <c r="K1167" s="0" t="s">
        <v>3897</v>
      </c>
      <c r="L1167" s="0" t="str">
        <f aca="false">HYPERLINK("https://www.ncbi.nlm.nih.gov/nuccore/CP000304.1?report=graph&amp;tracks=[key:gene_model_track,Options:GeneOnly]&amp;mk=352977:352996|offset_6|00cc00,353005:353024|offset_34|444444,353045:353064|offset_74|444444,353065:353084|offset_94|444444&amp;v=352776:353284&amp;c=444444", "offset 6")</f>
        <v>offset 6</v>
      </c>
    </row>
    <row r="1168" customFormat="false" ht="12.8" hidden="false" customHeight="false" outlineLevel="0" collapsed="false">
      <c r="A1168" s="0" t="s">
        <v>12</v>
      </c>
      <c r="B1168" s="0" t="n">
        <v>353004</v>
      </c>
      <c r="C1168" s="0" t="n">
        <v>353024</v>
      </c>
      <c r="D1168" s="0" t="s">
        <v>3894</v>
      </c>
      <c r="E1168" s="0" t="s">
        <v>89</v>
      </c>
      <c r="F1168" s="0" t="s">
        <v>15</v>
      </c>
      <c r="G1168" s="0" t="s">
        <v>36</v>
      </c>
      <c r="H1168" s="0" t="n">
        <v>34</v>
      </c>
      <c r="I1168" s="0" t="s">
        <v>3898</v>
      </c>
      <c r="J1168" s="0" t="s">
        <v>3899</v>
      </c>
      <c r="K1168" s="0" t="s">
        <v>3900</v>
      </c>
      <c r="L1168" s="0" t="str">
        <f aca="false">HYPERLINK("https://www.ncbi.nlm.nih.gov/nuccore/CP000304.1?report=graph&amp;tracks=[key:gene_model_track,Options:GeneOnly]&amp;mk=352977:352996|offset_6|444444,353005:353024|offset_34|00cc00,353045:353064|offset_74|444444,353065:353084|offset_94|444444&amp;v=352776:353284&amp;c=444444", "offset 34")</f>
        <v>offset 34</v>
      </c>
    </row>
    <row r="1169" customFormat="false" ht="12.8" hidden="false" customHeight="false" outlineLevel="0" collapsed="false">
      <c r="A1169" s="0" t="s">
        <v>12</v>
      </c>
      <c r="B1169" s="0" t="n">
        <v>353044</v>
      </c>
      <c r="C1169" s="0" t="n">
        <v>353064</v>
      </c>
      <c r="D1169" s="0" t="s">
        <v>3894</v>
      </c>
      <c r="E1169" s="0" t="s">
        <v>89</v>
      </c>
      <c r="F1169" s="0" t="s">
        <v>15</v>
      </c>
      <c r="G1169" s="0" t="s">
        <v>26</v>
      </c>
      <c r="H1169" s="0" t="n">
        <v>74</v>
      </c>
      <c r="I1169" s="0" t="s">
        <v>3901</v>
      </c>
      <c r="J1169" s="0" t="s">
        <v>3902</v>
      </c>
      <c r="K1169" s="0" t="s">
        <v>3903</v>
      </c>
      <c r="L1169" s="0" t="str">
        <f aca="false">HYPERLINK("https://www.ncbi.nlm.nih.gov/nuccore/CP000304.1?report=graph&amp;tracks=[key:gene_model_track,Options:GeneOnly]&amp;mk=352977:352996|offset_6|444444,353005:353024|offset_34|444444,353045:353064|offset_74|00cc00,353065:353084|offset_94|444444&amp;v=352776:353284&amp;c=444444", "offset 74")</f>
        <v>offset 74</v>
      </c>
    </row>
    <row r="1170" customFormat="false" ht="12.8" hidden="false" customHeight="false" outlineLevel="0" collapsed="false">
      <c r="A1170" s="0" t="s">
        <v>12</v>
      </c>
      <c r="B1170" s="0" t="n">
        <v>353064</v>
      </c>
      <c r="C1170" s="0" t="n">
        <v>353084</v>
      </c>
      <c r="D1170" s="0" t="s">
        <v>3894</v>
      </c>
      <c r="E1170" s="0" t="s">
        <v>89</v>
      </c>
      <c r="F1170" s="0" t="s">
        <v>15</v>
      </c>
      <c r="G1170" s="0" t="s">
        <v>16</v>
      </c>
      <c r="H1170" s="0" t="n">
        <v>94</v>
      </c>
      <c r="I1170" s="0" t="s">
        <v>3904</v>
      </c>
      <c r="J1170" s="0" t="s">
        <v>3905</v>
      </c>
      <c r="K1170" s="0" t="s">
        <v>3906</v>
      </c>
      <c r="L1170" s="0" t="str">
        <f aca="false">HYPERLINK("https://www.ncbi.nlm.nih.gov/nuccore/CP000304.1?report=graph&amp;tracks=[key:gene_model_track,Options:GeneOnly]&amp;mk=352977:352996|offset_6|444444,353005:353024|offset_34|444444,353045:353064|offset_74|444444,353065:353084|offset_94|00cc00&amp;v=352776:353284&amp;c=444444", "offset 94")</f>
        <v>offset 94</v>
      </c>
    </row>
    <row r="1171" customFormat="false" ht="12.8" hidden="false" customHeight="false" outlineLevel="0" collapsed="false">
      <c r="A1171" s="0" t="s">
        <v>12</v>
      </c>
      <c r="B1171" s="0" t="n">
        <v>354355</v>
      </c>
      <c r="C1171" s="0" t="n">
        <v>354375</v>
      </c>
      <c r="D1171" s="0" t="s">
        <v>3907</v>
      </c>
      <c r="E1171" s="0" t="s">
        <v>89</v>
      </c>
      <c r="F1171" s="0" t="s">
        <v>15</v>
      </c>
      <c r="G1171" s="0" t="s">
        <v>32</v>
      </c>
      <c r="H1171" s="0" t="n">
        <v>26</v>
      </c>
      <c r="I1171" s="0" t="s">
        <v>3908</v>
      </c>
      <c r="J1171" s="0" t="s">
        <v>3909</v>
      </c>
      <c r="K1171" s="0" t="s">
        <v>3910</v>
      </c>
      <c r="L1171" s="0" t="str">
        <f aca="false">HYPERLINK("https://www.ncbi.nlm.nih.gov/nuccore/CP000304.1?report=graph&amp;tracks=[key:gene_model_track,Options:GeneOnly]&amp;mk=354356:354375|offset_26|00cc00,354440:354459|offset_110|444444,354487:354506|offset_157|444444,354519:354538|offset_189|444444&amp;v=354155:354738&amp;c=444444", "offset 26")</f>
        <v>offset 26</v>
      </c>
    </row>
    <row r="1172" customFormat="false" ht="12.8" hidden="false" customHeight="false" outlineLevel="0" collapsed="false">
      <c r="A1172" s="0" t="s">
        <v>12</v>
      </c>
      <c r="B1172" s="0" t="n">
        <v>354439</v>
      </c>
      <c r="C1172" s="0" t="n">
        <v>354459</v>
      </c>
      <c r="D1172" s="0" t="s">
        <v>3907</v>
      </c>
      <c r="E1172" s="0" t="s">
        <v>89</v>
      </c>
      <c r="F1172" s="0" t="s">
        <v>15</v>
      </c>
      <c r="G1172" s="0" t="s">
        <v>16</v>
      </c>
      <c r="H1172" s="0" t="n">
        <v>110</v>
      </c>
      <c r="I1172" s="0" t="s">
        <v>3911</v>
      </c>
      <c r="J1172" s="0" t="s">
        <v>3912</v>
      </c>
      <c r="K1172" s="0" t="s">
        <v>3913</v>
      </c>
      <c r="L1172" s="0" t="str">
        <f aca="false">HYPERLINK("https://www.ncbi.nlm.nih.gov/nuccore/CP000304.1?report=graph&amp;tracks=[key:gene_model_track,Options:GeneOnly]&amp;mk=354356:354375|offset_26|444444,354440:354459|offset_110|00cc00,354487:354506|offset_157|444444,354519:354538|offset_189|444444&amp;v=354155:354738&amp;c=444444", "offset 110")</f>
        <v>offset 110</v>
      </c>
    </row>
    <row r="1173" customFormat="false" ht="12.8" hidden="false" customHeight="false" outlineLevel="0" collapsed="false">
      <c r="A1173" s="0" t="s">
        <v>12</v>
      </c>
      <c r="B1173" s="0" t="n">
        <v>354486</v>
      </c>
      <c r="C1173" s="0" t="n">
        <v>354506</v>
      </c>
      <c r="D1173" s="0" t="s">
        <v>3907</v>
      </c>
      <c r="E1173" s="0" t="s">
        <v>89</v>
      </c>
      <c r="F1173" s="0" t="s">
        <v>15</v>
      </c>
      <c r="G1173" s="0" t="s">
        <v>16</v>
      </c>
      <c r="H1173" s="0" t="n">
        <v>157</v>
      </c>
      <c r="I1173" s="0" t="s">
        <v>3914</v>
      </c>
      <c r="J1173" s="0" t="s">
        <v>3915</v>
      </c>
      <c r="K1173" s="0" t="s">
        <v>3916</v>
      </c>
      <c r="L1173" s="0" t="str">
        <f aca="false">HYPERLINK("https://www.ncbi.nlm.nih.gov/nuccore/CP000304.1?report=graph&amp;tracks=[key:gene_model_track,Options:GeneOnly]&amp;mk=354356:354375|offset_26|444444,354440:354459|offset_110|444444,354487:354506|offset_157|00cc00,354519:354538|offset_189|444444&amp;v=354155:354738&amp;c=444444", "offset 157")</f>
        <v>offset 157</v>
      </c>
    </row>
    <row r="1174" customFormat="false" ht="12.8" hidden="false" customHeight="false" outlineLevel="0" collapsed="false">
      <c r="A1174" s="0" t="s">
        <v>12</v>
      </c>
      <c r="B1174" s="0" t="n">
        <v>354518</v>
      </c>
      <c r="C1174" s="0" t="n">
        <v>354538</v>
      </c>
      <c r="D1174" s="0" t="s">
        <v>3907</v>
      </c>
      <c r="E1174" s="0" t="s">
        <v>89</v>
      </c>
      <c r="F1174" s="0" t="s">
        <v>15</v>
      </c>
      <c r="G1174" s="0" t="s">
        <v>16</v>
      </c>
      <c r="H1174" s="0" t="n">
        <v>189</v>
      </c>
      <c r="I1174" s="0" t="s">
        <v>3917</v>
      </c>
      <c r="J1174" s="0" t="s">
        <v>3918</v>
      </c>
      <c r="K1174" s="0" t="s">
        <v>3919</v>
      </c>
      <c r="L1174" s="0" t="str">
        <f aca="false">HYPERLINK("https://www.ncbi.nlm.nih.gov/nuccore/CP000304.1?report=graph&amp;tracks=[key:gene_model_track,Options:GeneOnly]&amp;mk=354356:354375|offset_26|444444,354440:354459|offset_110|444444,354487:354506|offset_157|444444,354519:354538|offset_189|00cc00&amp;v=354155:354738&amp;c=444444", "offset 189")</f>
        <v>offset 189</v>
      </c>
    </row>
    <row r="1175" customFormat="false" ht="12.8" hidden="false" customHeight="false" outlineLevel="0" collapsed="false">
      <c r="A1175" s="0" t="s">
        <v>12</v>
      </c>
      <c r="B1175" s="0" t="n">
        <v>354877</v>
      </c>
      <c r="C1175" s="0" t="n">
        <v>354897</v>
      </c>
      <c r="D1175" s="0" t="s">
        <v>3920</v>
      </c>
      <c r="E1175" s="0" t="s">
        <v>89</v>
      </c>
      <c r="F1175" s="0" t="s">
        <v>15</v>
      </c>
      <c r="G1175" s="0" t="s">
        <v>26</v>
      </c>
      <c r="H1175" s="0" t="n">
        <v>14</v>
      </c>
      <c r="I1175" s="0" t="s">
        <v>3921</v>
      </c>
      <c r="J1175" s="0" t="s">
        <v>3922</v>
      </c>
      <c r="K1175" s="0" t="s">
        <v>3923</v>
      </c>
      <c r="L1175" s="0" t="str">
        <f aca="false">HYPERLINK("https://www.ncbi.nlm.nih.gov/nuccore/CP000304.1?report=graph&amp;tracks=[key:gene_model_track,Options:GeneOnly]&amp;mk=354878:354897|offset_14|00cc00,354898:354917|offset_34|444444,354927:354946|offset_63|444444,354964:354983|offset_100|444444&amp;v=354677:355183&amp;c=444444", "offset 14")</f>
        <v>offset 14</v>
      </c>
    </row>
    <row r="1176" customFormat="false" ht="12.8" hidden="false" customHeight="false" outlineLevel="0" collapsed="false">
      <c r="A1176" s="0" t="s">
        <v>12</v>
      </c>
      <c r="B1176" s="0" t="n">
        <v>354897</v>
      </c>
      <c r="C1176" s="0" t="n">
        <v>354917</v>
      </c>
      <c r="D1176" s="0" t="s">
        <v>3920</v>
      </c>
      <c r="E1176" s="0" t="s">
        <v>89</v>
      </c>
      <c r="F1176" s="0" t="s">
        <v>15</v>
      </c>
      <c r="G1176" s="0" t="s">
        <v>16</v>
      </c>
      <c r="H1176" s="0" t="n">
        <v>34</v>
      </c>
      <c r="I1176" s="0" t="s">
        <v>3924</v>
      </c>
      <c r="J1176" s="0" t="s">
        <v>3925</v>
      </c>
      <c r="K1176" s="0" t="s">
        <v>3926</v>
      </c>
      <c r="L1176" s="0" t="str">
        <f aca="false">HYPERLINK("https://www.ncbi.nlm.nih.gov/nuccore/CP000304.1?report=graph&amp;tracks=[key:gene_model_track,Options:GeneOnly]&amp;mk=354878:354897|offset_14|444444,354898:354917|offset_34|00cc00,354927:354946|offset_63|444444,354964:354983|offset_100|444444&amp;v=354677:355183&amp;c=444444", "offset 34")</f>
        <v>offset 34</v>
      </c>
    </row>
    <row r="1177" customFormat="false" ht="12.8" hidden="false" customHeight="false" outlineLevel="0" collapsed="false">
      <c r="A1177" s="0" t="s">
        <v>12</v>
      </c>
      <c r="B1177" s="0" t="n">
        <v>354926</v>
      </c>
      <c r="C1177" s="0" t="n">
        <v>354946</v>
      </c>
      <c r="D1177" s="0" t="s">
        <v>3920</v>
      </c>
      <c r="E1177" s="0" t="s">
        <v>89</v>
      </c>
      <c r="F1177" s="0" t="s">
        <v>15</v>
      </c>
      <c r="G1177" s="0" t="s">
        <v>16</v>
      </c>
      <c r="H1177" s="0" t="n">
        <v>63</v>
      </c>
      <c r="I1177" s="0" t="s">
        <v>3927</v>
      </c>
      <c r="J1177" s="0" t="s">
        <v>3928</v>
      </c>
      <c r="K1177" s="0" t="s">
        <v>3929</v>
      </c>
      <c r="L1177" s="0" t="str">
        <f aca="false">HYPERLINK("https://www.ncbi.nlm.nih.gov/nuccore/CP000304.1?report=graph&amp;tracks=[key:gene_model_track,Options:GeneOnly]&amp;mk=354878:354897|offset_14|444444,354898:354917|offset_34|444444,354927:354946|offset_63|00cc00,354964:354983|offset_100|444444&amp;v=354677:355183&amp;c=444444", "offset 63")</f>
        <v>offset 63</v>
      </c>
    </row>
    <row r="1178" customFormat="false" ht="12.8" hidden="false" customHeight="false" outlineLevel="0" collapsed="false">
      <c r="A1178" s="0" t="s">
        <v>12</v>
      </c>
      <c r="B1178" s="0" t="n">
        <v>354963</v>
      </c>
      <c r="C1178" s="0" t="n">
        <v>354983</v>
      </c>
      <c r="D1178" s="0" t="s">
        <v>3920</v>
      </c>
      <c r="E1178" s="0" t="s">
        <v>89</v>
      </c>
      <c r="F1178" s="0" t="s">
        <v>15</v>
      </c>
      <c r="G1178" s="0" t="s">
        <v>16</v>
      </c>
      <c r="H1178" s="0" t="n">
        <v>100</v>
      </c>
      <c r="I1178" s="0" t="s">
        <v>3930</v>
      </c>
      <c r="J1178" s="0" t="s">
        <v>3931</v>
      </c>
      <c r="K1178" s="0" t="s">
        <v>3932</v>
      </c>
      <c r="L1178" s="0" t="str">
        <f aca="false">HYPERLINK("https://www.ncbi.nlm.nih.gov/nuccore/CP000304.1?report=graph&amp;tracks=[key:gene_model_track,Options:GeneOnly]&amp;mk=354878:354897|offset_14|444444,354898:354917|offset_34|444444,354927:354946|offset_63|444444,354964:354983|offset_100|00cc00&amp;v=354677:355183&amp;c=444444", "offset 100")</f>
        <v>offset 100</v>
      </c>
    </row>
    <row r="1179" customFormat="false" ht="12.8" hidden="false" customHeight="false" outlineLevel="0" collapsed="false">
      <c r="A1179" s="0" t="s">
        <v>12</v>
      </c>
      <c r="B1179" s="0" t="n">
        <v>355569</v>
      </c>
      <c r="C1179" s="0" t="n">
        <v>355589</v>
      </c>
      <c r="D1179" s="0" t="s">
        <v>3933</v>
      </c>
      <c r="E1179" s="0" t="s">
        <v>89</v>
      </c>
      <c r="F1179" s="0" t="s">
        <v>15</v>
      </c>
      <c r="G1179" s="0" t="s">
        <v>26</v>
      </c>
      <c r="H1179" s="0" t="n">
        <v>20</v>
      </c>
      <c r="I1179" s="0" t="s">
        <v>3934</v>
      </c>
      <c r="J1179" s="0" t="s">
        <v>3935</v>
      </c>
      <c r="K1179" s="0" t="s">
        <v>3936</v>
      </c>
      <c r="L1179" s="0" t="str">
        <f aca="false">HYPERLINK("https://www.ncbi.nlm.nih.gov/nuccore/CP000304.1?report=graph&amp;tracks=[key:gene_model_track,Options:GeneOnly]&amp;mk=355570:355589|offset_20|00cc00,355591:355610|offset_41|444444,355611:355630|offset_61|444444,355633:355652|offset_83|444444&amp;v=355369:355852&amp;c=444444", "offset 20")</f>
        <v>offset 20</v>
      </c>
    </row>
    <row r="1180" customFormat="false" ht="12.8" hidden="false" customHeight="false" outlineLevel="0" collapsed="false">
      <c r="A1180" s="0" t="s">
        <v>12</v>
      </c>
      <c r="B1180" s="0" t="n">
        <v>355590</v>
      </c>
      <c r="C1180" s="0" t="n">
        <v>355610</v>
      </c>
      <c r="D1180" s="0" t="s">
        <v>3933</v>
      </c>
      <c r="E1180" s="0" t="s">
        <v>89</v>
      </c>
      <c r="F1180" s="0" t="s">
        <v>15</v>
      </c>
      <c r="G1180" s="0" t="s">
        <v>26</v>
      </c>
      <c r="H1180" s="0" t="n">
        <v>41</v>
      </c>
      <c r="I1180" s="0" t="s">
        <v>3937</v>
      </c>
      <c r="J1180" s="0" t="s">
        <v>3938</v>
      </c>
      <c r="K1180" s="0" t="s">
        <v>3939</v>
      </c>
      <c r="L1180" s="0" t="str">
        <f aca="false">HYPERLINK("https://www.ncbi.nlm.nih.gov/nuccore/CP000304.1?report=graph&amp;tracks=[key:gene_model_track,Options:GeneOnly]&amp;mk=355570:355589|offset_20|444444,355591:355610|offset_41|00cc00,355611:355630|offset_61|444444,355633:355652|offset_83|444444&amp;v=355369:355852&amp;c=444444", "offset 41")</f>
        <v>offset 41</v>
      </c>
    </row>
    <row r="1181" customFormat="false" ht="12.8" hidden="false" customHeight="false" outlineLevel="0" collapsed="false">
      <c r="A1181" s="0" t="s">
        <v>12</v>
      </c>
      <c r="B1181" s="0" t="n">
        <v>355610</v>
      </c>
      <c r="C1181" s="0" t="n">
        <v>355630</v>
      </c>
      <c r="D1181" s="0" t="s">
        <v>3933</v>
      </c>
      <c r="E1181" s="0" t="s">
        <v>89</v>
      </c>
      <c r="F1181" s="0" t="s">
        <v>15</v>
      </c>
      <c r="G1181" s="0" t="s">
        <v>26</v>
      </c>
      <c r="H1181" s="0" t="n">
        <v>61</v>
      </c>
      <c r="I1181" s="0" t="s">
        <v>3940</v>
      </c>
      <c r="J1181" s="0" t="s">
        <v>3941</v>
      </c>
      <c r="K1181" s="0" t="s">
        <v>3942</v>
      </c>
      <c r="L1181" s="0" t="str">
        <f aca="false">HYPERLINK("https://www.ncbi.nlm.nih.gov/nuccore/CP000304.1?report=graph&amp;tracks=[key:gene_model_track,Options:GeneOnly]&amp;mk=355570:355589|offset_20|444444,355591:355610|offset_41|444444,355611:355630|offset_61|00cc00,355633:355652|offset_83|444444&amp;v=355369:355852&amp;c=444444", "offset 61")</f>
        <v>offset 61</v>
      </c>
    </row>
    <row r="1182" customFormat="false" ht="12.8" hidden="false" customHeight="false" outlineLevel="0" collapsed="false">
      <c r="A1182" s="0" t="s">
        <v>12</v>
      </c>
      <c r="B1182" s="0" t="n">
        <v>355632</v>
      </c>
      <c r="C1182" s="0" t="n">
        <v>355652</v>
      </c>
      <c r="D1182" s="0" t="s">
        <v>3933</v>
      </c>
      <c r="E1182" s="0" t="s">
        <v>89</v>
      </c>
      <c r="F1182" s="0" t="s">
        <v>15</v>
      </c>
      <c r="G1182" s="0" t="s">
        <v>32</v>
      </c>
      <c r="H1182" s="0" t="n">
        <v>83</v>
      </c>
      <c r="I1182" s="0" t="s">
        <v>3943</v>
      </c>
      <c r="J1182" s="0" t="s">
        <v>3944</v>
      </c>
      <c r="K1182" s="0" t="s">
        <v>3945</v>
      </c>
      <c r="L1182" s="0" t="str">
        <f aca="false">HYPERLINK("https://www.ncbi.nlm.nih.gov/nuccore/CP000304.1?report=graph&amp;tracks=[key:gene_model_track,Options:GeneOnly]&amp;mk=355570:355589|offset_20|444444,355591:355610|offset_41|444444,355611:355630|offset_61|444444,355633:355652|offset_83|00cc00&amp;v=355369:355852&amp;c=444444", "offset 83")</f>
        <v>offset 83</v>
      </c>
    </row>
    <row r="1183" customFormat="false" ht="12.8" hidden="false" customHeight="false" outlineLevel="0" collapsed="false">
      <c r="A1183" s="0" t="s">
        <v>12</v>
      </c>
      <c r="B1183" s="0" t="n">
        <v>359194</v>
      </c>
      <c r="C1183" s="0" t="n">
        <v>359214</v>
      </c>
      <c r="D1183" s="0" t="s">
        <v>3946</v>
      </c>
      <c r="E1183" s="0" t="s">
        <v>89</v>
      </c>
      <c r="F1183" s="0" t="s">
        <v>90</v>
      </c>
      <c r="G1183" s="0" t="s">
        <v>32</v>
      </c>
      <c r="H1183" s="0" t="n">
        <v>43</v>
      </c>
      <c r="I1183" s="0" t="s">
        <v>3947</v>
      </c>
      <c r="J1183" s="0" t="s">
        <v>3948</v>
      </c>
      <c r="K1183" s="0" t="s">
        <v>3949</v>
      </c>
      <c r="L1183" s="0" t="str">
        <f aca="false">HYPERLINK("https://www.ncbi.nlm.nih.gov/nuccore/CP000304.1?report=graph&amp;tracks=[key:gene_model_track,Options:GeneOnly]&amp;mk=359195:359214|offset_43|00cc00,359173:359192|offset_65|444444,359149:359168|offset_89|444444,359129:359148|offset_109|444444&amp;v=358994:359348&amp;c=444444", "offset 43")</f>
        <v>offset 43</v>
      </c>
    </row>
    <row r="1184" customFormat="false" ht="12.8" hidden="false" customHeight="false" outlineLevel="0" collapsed="false">
      <c r="A1184" s="0" t="s">
        <v>12</v>
      </c>
      <c r="B1184" s="0" t="n">
        <v>359172</v>
      </c>
      <c r="C1184" s="0" t="n">
        <v>359192</v>
      </c>
      <c r="D1184" s="0" t="s">
        <v>3946</v>
      </c>
      <c r="E1184" s="0" t="s">
        <v>89</v>
      </c>
      <c r="F1184" s="0" t="s">
        <v>90</v>
      </c>
      <c r="G1184" s="0" t="s">
        <v>16</v>
      </c>
      <c r="H1184" s="0" t="n">
        <v>65</v>
      </c>
      <c r="I1184" s="0" t="s">
        <v>3950</v>
      </c>
      <c r="J1184" s="0" t="s">
        <v>3951</v>
      </c>
      <c r="K1184" s="0" t="s">
        <v>3952</v>
      </c>
      <c r="L1184" s="0" t="str">
        <f aca="false">HYPERLINK("https://www.ncbi.nlm.nih.gov/nuccore/CP000304.1?report=graph&amp;tracks=[key:gene_model_track,Options:GeneOnly]&amp;mk=359195:359214|offset_43|444444,359173:359192|offset_65|00cc00,359149:359168|offset_89|444444,359129:359148|offset_109|444444&amp;v=358994:359348&amp;c=444444", "offset 65")</f>
        <v>offset 65</v>
      </c>
    </row>
    <row r="1185" customFormat="false" ht="12.8" hidden="false" customHeight="false" outlineLevel="0" collapsed="false">
      <c r="A1185" s="0" t="s">
        <v>12</v>
      </c>
      <c r="B1185" s="0" t="n">
        <v>359148</v>
      </c>
      <c r="C1185" s="0" t="n">
        <v>359168</v>
      </c>
      <c r="D1185" s="0" t="s">
        <v>3946</v>
      </c>
      <c r="E1185" s="0" t="s">
        <v>89</v>
      </c>
      <c r="F1185" s="0" t="s">
        <v>90</v>
      </c>
      <c r="G1185" s="0" t="s">
        <v>32</v>
      </c>
      <c r="H1185" s="0" t="n">
        <v>89</v>
      </c>
      <c r="I1185" s="0" t="s">
        <v>3953</v>
      </c>
      <c r="J1185" s="0" t="s">
        <v>3954</v>
      </c>
      <c r="K1185" s="0" t="s">
        <v>3955</v>
      </c>
      <c r="L1185" s="0" t="str">
        <f aca="false">HYPERLINK("https://www.ncbi.nlm.nih.gov/nuccore/CP000304.1?report=graph&amp;tracks=[key:gene_model_track,Options:GeneOnly]&amp;mk=359195:359214|offset_43|444444,359173:359192|offset_65|444444,359149:359168|offset_89|00cc00,359129:359148|offset_109|444444&amp;v=358994:359348&amp;c=444444", "offset 89")</f>
        <v>offset 89</v>
      </c>
    </row>
    <row r="1186" customFormat="false" ht="12.8" hidden="false" customHeight="false" outlineLevel="0" collapsed="false">
      <c r="A1186" s="0" t="s">
        <v>12</v>
      </c>
      <c r="B1186" s="0" t="n">
        <v>359128</v>
      </c>
      <c r="C1186" s="0" t="n">
        <v>359148</v>
      </c>
      <c r="D1186" s="0" t="s">
        <v>3946</v>
      </c>
      <c r="E1186" s="0" t="s">
        <v>89</v>
      </c>
      <c r="F1186" s="0" t="s">
        <v>90</v>
      </c>
      <c r="G1186" s="0" t="s">
        <v>16</v>
      </c>
      <c r="H1186" s="0" t="n">
        <v>109</v>
      </c>
      <c r="I1186" s="0" t="s">
        <v>3956</v>
      </c>
      <c r="J1186" s="0" t="s">
        <v>3957</v>
      </c>
      <c r="K1186" s="0" t="s">
        <v>3958</v>
      </c>
      <c r="L1186" s="0" t="str">
        <f aca="false">HYPERLINK("https://www.ncbi.nlm.nih.gov/nuccore/CP000304.1?report=graph&amp;tracks=[key:gene_model_track,Options:GeneOnly]&amp;mk=359195:359214|offset_43|444444,359173:359192|offset_65|444444,359149:359168|offset_89|444444,359129:359148|offset_109|00cc00&amp;v=358994:359348&amp;c=444444", "offset 109")</f>
        <v>offset 109</v>
      </c>
    </row>
    <row r="1187" customFormat="false" ht="12.8" hidden="false" customHeight="false" outlineLevel="0" collapsed="false">
      <c r="A1187" s="0" t="s">
        <v>12</v>
      </c>
      <c r="B1187" s="0" t="n">
        <v>360085</v>
      </c>
      <c r="C1187" s="0" t="n">
        <v>360105</v>
      </c>
      <c r="D1187" s="0" t="s">
        <v>3959</v>
      </c>
      <c r="E1187" s="0" t="s">
        <v>89</v>
      </c>
      <c r="F1187" s="0" t="s">
        <v>90</v>
      </c>
      <c r="G1187" s="0" t="s">
        <v>36</v>
      </c>
      <c r="H1187" s="0" t="n">
        <v>11</v>
      </c>
      <c r="I1187" s="0" t="s">
        <v>3960</v>
      </c>
      <c r="J1187" s="0" t="s">
        <v>3961</v>
      </c>
      <c r="K1187" s="0" t="s">
        <v>3962</v>
      </c>
      <c r="L1187" s="0" t="str">
        <f aca="false">HYPERLINK("https://www.ncbi.nlm.nih.gov/nuccore/CP000304.1?report=graph&amp;tracks=[key:gene_model_track,Options:GeneOnly]&amp;mk=360086:360105|offset_11|00cc00,360041:360060|offset_56|444444,360018:360037|offset_79|444444,359985:360004|offset_112|444444&amp;v=359885:360204&amp;c=444444", "offset 11")</f>
        <v>offset 11</v>
      </c>
    </row>
    <row r="1188" customFormat="false" ht="12.8" hidden="false" customHeight="false" outlineLevel="0" collapsed="false">
      <c r="A1188" s="0" t="s">
        <v>12</v>
      </c>
      <c r="B1188" s="0" t="n">
        <v>360040</v>
      </c>
      <c r="C1188" s="0" t="n">
        <v>360060</v>
      </c>
      <c r="D1188" s="0" t="s">
        <v>3959</v>
      </c>
      <c r="E1188" s="0" t="s">
        <v>89</v>
      </c>
      <c r="F1188" s="0" t="s">
        <v>90</v>
      </c>
      <c r="G1188" s="0" t="s">
        <v>16</v>
      </c>
      <c r="H1188" s="0" t="n">
        <v>56</v>
      </c>
      <c r="I1188" s="0" t="s">
        <v>3963</v>
      </c>
      <c r="J1188" s="0" t="s">
        <v>3964</v>
      </c>
      <c r="K1188" s="0" t="s">
        <v>3965</v>
      </c>
      <c r="L1188" s="0" t="str">
        <f aca="false">HYPERLINK("https://www.ncbi.nlm.nih.gov/nuccore/CP000304.1?report=graph&amp;tracks=[key:gene_model_track,Options:GeneOnly]&amp;mk=360086:360105|offset_11|444444,360041:360060|offset_56|00cc00,360018:360037|offset_79|444444,359985:360004|offset_112|444444&amp;v=359885:360204&amp;c=444444", "offset 56")</f>
        <v>offset 56</v>
      </c>
    </row>
    <row r="1189" customFormat="false" ht="12.8" hidden="false" customHeight="false" outlineLevel="0" collapsed="false">
      <c r="A1189" s="0" t="s">
        <v>12</v>
      </c>
      <c r="B1189" s="0" t="n">
        <v>360017</v>
      </c>
      <c r="C1189" s="0" t="n">
        <v>360037</v>
      </c>
      <c r="D1189" s="0" t="s">
        <v>3959</v>
      </c>
      <c r="E1189" s="0" t="s">
        <v>89</v>
      </c>
      <c r="F1189" s="0" t="s">
        <v>90</v>
      </c>
      <c r="G1189" s="0" t="s">
        <v>16</v>
      </c>
      <c r="H1189" s="0" t="n">
        <v>79</v>
      </c>
      <c r="I1189" s="0" t="s">
        <v>3966</v>
      </c>
      <c r="J1189" s="0" t="s">
        <v>3967</v>
      </c>
      <c r="K1189" s="0" t="s">
        <v>3968</v>
      </c>
      <c r="L1189" s="0" t="str">
        <f aca="false">HYPERLINK("https://www.ncbi.nlm.nih.gov/nuccore/CP000304.1?report=graph&amp;tracks=[key:gene_model_track,Options:GeneOnly]&amp;mk=360086:360105|offset_11|444444,360041:360060|offset_56|444444,360018:360037|offset_79|00cc00,359985:360004|offset_112|444444&amp;v=359885:360204&amp;c=444444", "offset 79")</f>
        <v>offset 79</v>
      </c>
    </row>
    <row r="1190" customFormat="false" ht="12.8" hidden="false" customHeight="false" outlineLevel="0" collapsed="false">
      <c r="A1190" s="0" t="s">
        <v>12</v>
      </c>
      <c r="B1190" s="0" t="n">
        <v>359984</v>
      </c>
      <c r="C1190" s="0" t="n">
        <v>360004</v>
      </c>
      <c r="D1190" s="0" t="s">
        <v>3959</v>
      </c>
      <c r="E1190" s="0" t="s">
        <v>89</v>
      </c>
      <c r="F1190" s="0" t="s">
        <v>90</v>
      </c>
      <c r="G1190" s="0" t="s">
        <v>36</v>
      </c>
      <c r="H1190" s="0" t="n">
        <v>112</v>
      </c>
      <c r="I1190" s="0" t="s">
        <v>3969</v>
      </c>
      <c r="J1190" s="0" t="s">
        <v>3970</v>
      </c>
      <c r="K1190" s="0" t="s">
        <v>3971</v>
      </c>
      <c r="L1190" s="0" t="str">
        <f aca="false">HYPERLINK("https://www.ncbi.nlm.nih.gov/nuccore/CP000304.1?report=graph&amp;tracks=[key:gene_model_track,Options:GeneOnly]&amp;mk=360086:360105|offset_11|444444,360041:360060|offset_56|444444,360018:360037|offset_79|444444,359985:360004|offset_112|00cc00&amp;v=359885:360204&amp;c=444444", "offset 112")</f>
        <v>offset 112</v>
      </c>
    </row>
    <row r="1191" customFormat="false" ht="12.8" hidden="false" customHeight="false" outlineLevel="0" collapsed="false">
      <c r="A1191" s="0" t="s">
        <v>12</v>
      </c>
      <c r="B1191" s="0" t="n">
        <v>361087</v>
      </c>
      <c r="C1191" s="0" t="n">
        <v>361107</v>
      </c>
      <c r="D1191" s="0" t="s">
        <v>3972</v>
      </c>
      <c r="E1191" s="0" t="s">
        <v>89</v>
      </c>
      <c r="F1191" s="0" t="s">
        <v>90</v>
      </c>
      <c r="G1191" s="0" t="s">
        <v>16</v>
      </c>
      <c r="H1191" s="0" t="n">
        <v>12</v>
      </c>
      <c r="I1191" s="0" t="s">
        <v>3973</v>
      </c>
      <c r="J1191" s="0" t="s">
        <v>3974</v>
      </c>
      <c r="K1191" s="0" t="s">
        <v>3975</v>
      </c>
      <c r="L1191" s="0" t="str">
        <f aca="false">HYPERLINK("https://www.ncbi.nlm.nih.gov/nuccore/CP000304.1?report=graph&amp;tracks=[key:gene_model_track,Options:GeneOnly]&amp;mk=361088:361107|offset_12|00cc00,361068:361087|offset_32|444444,361047:361066|offset_53|444444,361014:361033|offset_86|444444&amp;v=360887:361233&amp;c=444444", "offset 12")</f>
        <v>offset 12</v>
      </c>
    </row>
    <row r="1192" customFormat="false" ht="12.8" hidden="false" customHeight="false" outlineLevel="0" collapsed="false">
      <c r="A1192" s="0" t="s">
        <v>12</v>
      </c>
      <c r="B1192" s="0" t="n">
        <v>361067</v>
      </c>
      <c r="C1192" s="0" t="n">
        <v>361087</v>
      </c>
      <c r="D1192" s="0" t="s">
        <v>3972</v>
      </c>
      <c r="E1192" s="0" t="s">
        <v>89</v>
      </c>
      <c r="F1192" s="0" t="s">
        <v>90</v>
      </c>
      <c r="G1192" s="0" t="s">
        <v>26</v>
      </c>
      <c r="H1192" s="0" t="n">
        <v>32</v>
      </c>
      <c r="I1192" s="0" t="s">
        <v>3976</v>
      </c>
      <c r="J1192" s="0" t="s">
        <v>3977</v>
      </c>
      <c r="K1192" s="0" t="s">
        <v>3978</v>
      </c>
      <c r="L1192" s="0" t="str">
        <f aca="false">HYPERLINK("https://www.ncbi.nlm.nih.gov/nuccore/CP000304.1?report=graph&amp;tracks=[key:gene_model_track,Options:GeneOnly]&amp;mk=361088:361107|offset_12|444444,361068:361087|offset_32|00cc00,361047:361066|offset_53|444444,361014:361033|offset_86|444444&amp;v=360887:361233&amp;c=444444", "offset 32")</f>
        <v>offset 32</v>
      </c>
    </row>
    <row r="1193" customFormat="false" ht="12.8" hidden="false" customHeight="false" outlineLevel="0" collapsed="false">
      <c r="A1193" s="0" t="s">
        <v>12</v>
      </c>
      <c r="B1193" s="0" t="n">
        <v>361046</v>
      </c>
      <c r="C1193" s="0" t="n">
        <v>361066</v>
      </c>
      <c r="D1193" s="0" t="s">
        <v>3972</v>
      </c>
      <c r="E1193" s="0" t="s">
        <v>89</v>
      </c>
      <c r="F1193" s="0" t="s">
        <v>90</v>
      </c>
      <c r="G1193" s="0" t="s">
        <v>32</v>
      </c>
      <c r="H1193" s="0" t="n">
        <v>53</v>
      </c>
      <c r="I1193" s="0" t="s">
        <v>3979</v>
      </c>
      <c r="J1193" s="0" t="s">
        <v>3980</v>
      </c>
      <c r="K1193" s="0" t="s">
        <v>3981</v>
      </c>
      <c r="L1193" s="0" t="str">
        <f aca="false">HYPERLINK("https://www.ncbi.nlm.nih.gov/nuccore/CP000304.1?report=graph&amp;tracks=[key:gene_model_track,Options:GeneOnly]&amp;mk=361088:361107|offset_12|444444,361068:361087|offset_32|444444,361047:361066|offset_53|00cc00,361014:361033|offset_86|444444&amp;v=360887:361233&amp;c=444444", "offset 53")</f>
        <v>offset 53</v>
      </c>
    </row>
    <row r="1194" customFormat="false" ht="12.8" hidden="false" customHeight="false" outlineLevel="0" collapsed="false">
      <c r="A1194" s="0" t="s">
        <v>12</v>
      </c>
      <c r="B1194" s="0" t="n">
        <v>361013</v>
      </c>
      <c r="C1194" s="0" t="n">
        <v>361033</v>
      </c>
      <c r="D1194" s="0" t="s">
        <v>3972</v>
      </c>
      <c r="E1194" s="0" t="s">
        <v>89</v>
      </c>
      <c r="F1194" s="0" t="s">
        <v>90</v>
      </c>
      <c r="G1194" s="0" t="s">
        <v>26</v>
      </c>
      <c r="H1194" s="0" t="n">
        <v>86</v>
      </c>
      <c r="I1194" s="0" t="s">
        <v>3982</v>
      </c>
      <c r="J1194" s="0" t="s">
        <v>3983</v>
      </c>
      <c r="K1194" s="0" t="s">
        <v>3984</v>
      </c>
      <c r="L1194" s="0" t="str">
        <f aca="false">HYPERLINK("https://www.ncbi.nlm.nih.gov/nuccore/CP000304.1?report=graph&amp;tracks=[key:gene_model_track,Options:GeneOnly]&amp;mk=361088:361107|offset_12|444444,361068:361087|offset_32|444444,361047:361066|offset_53|444444,361014:361033|offset_86|00cc00&amp;v=360887:361233&amp;c=444444", "offset 86")</f>
        <v>offset 86</v>
      </c>
    </row>
    <row r="1195" customFormat="false" ht="12.8" hidden="false" customHeight="false" outlineLevel="0" collapsed="false">
      <c r="A1195" s="0" t="s">
        <v>12</v>
      </c>
      <c r="B1195" s="0" t="n">
        <v>361844</v>
      </c>
      <c r="C1195" s="0" t="n">
        <v>361864</v>
      </c>
      <c r="D1195" s="0" t="s">
        <v>3985</v>
      </c>
      <c r="E1195" s="0" t="s">
        <v>89</v>
      </c>
      <c r="F1195" s="0" t="s">
        <v>90</v>
      </c>
      <c r="G1195" s="0" t="s">
        <v>26</v>
      </c>
      <c r="H1195" s="0" t="n">
        <v>70</v>
      </c>
      <c r="I1195" s="0" t="s">
        <v>3986</v>
      </c>
      <c r="J1195" s="0" t="s">
        <v>3987</v>
      </c>
      <c r="K1195" s="0" t="s">
        <v>3988</v>
      </c>
      <c r="L1195" s="0" t="str">
        <f aca="false">HYPERLINK("https://www.ncbi.nlm.nih.gov/nuccore/CP000304.1?report=graph&amp;tracks=[key:gene_model_track,Options:GeneOnly]&amp;mk=361845:361864|offset_70|00cc00,361822:361841|offset_93|444444,361789:361808|offset_126|444444,361757:361776|offset_158|444444&amp;v=361644:361976&amp;c=444444", "offset 70")</f>
        <v>offset 70</v>
      </c>
    </row>
    <row r="1196" customFormat="false" ht="12.8" hidden="false" customHeight="false" outlineLevel="0" collapsed="false">
      <c r="A1196" s="0" t="s">
        <v>12</v>
      </c>
      <c r="B1196" s="0" t="n">
        <v>361821</v>
      </c>
      <c r="C1196" s="0" t="n">
        <v>361841</v>
      </c>
      <c r="D1196" s="0" t="s">
        <v>3985</v>
      </c>
      <c r="E1196" s="0" t="s">
        <v>89</v>
      </c>
      <c r="F1196" s="0" t="s">
        <v>90</v>
      </c>
      <c r="G1196" s="0" t="s">
        <v>26</v>
      </c>
      <c r="H1196" s="0" t="n">
        <v>93</v>
      </c>
      <c r="I1196" s="0" t="s">
        <v>3989</v>
      </c>
      <c r="J1196" s="0" t="s">
        <v>3990</v>
      </c>
      <c r="K1196" s="0" t="s">
        <v>3991</v>
      </c>
      <c r="L1196" s="0" t="str">
        <f aca="false">HYPERLINK("https://www.ncbi.nlm.nih.gov/nuccore/CP000304.1?report=graph&amp;tracks=[key:gene_model_track,Options:GeneOnly]&amp;mk=361845:361864|offset_70|444444,361822:361841|offset_93|00cc00,361789:361808|offset_126|444444,361757:361776|offset_158|444444&amp;v=361644:361976&amp;c=444444", "offset 93")</f>
        <v>offset 93</v>
      </c>
    </row>
    <row r="1197" customFormat="false" ht="12.8" hidden="false" customHeight="false" outlineLevel="0" collapsed="false">
      <c r="A1197" s="0" t="s">
        <v>12</v>
      </c>
      <c r="B1197" s="0" t="n">
        <v>361788</v>
      </c>
      <c r="C1197" s="0" t="n">
        <v>361808</v>
      </c>
      <c r="D1197" s="0" t="s">
        <v>3985</v>
      </c>
      <c r="E1197" s="0" t="s">
        <v>89</v>
      </c>
      <c r="F1197" s="0" t="s">
        <v>90</v>
      </c>
      <c r="G1197" s="0" t="s">
        <v>32</v>
      </c>
      <c r="H1197" s="0" t="n">
        <v>126</v>
      </c>
      <c r="I1197" s="0" t="s">
        <v>3992</v>
      </c>
      <c r="J1197" s="0" t="s">
        <v>3993</v>
      </c>
      <c r="K1197" s="0" t="s">
        <v>3994</v>
      </c>
      <c r="L1197" s="0" t="str">
        <f aca="false">HYPERLINK("https://www.ncbi.nlm.nih.gov/nuccore/CP000304.1?report=graph&amp;tracks=[key:gene_model_track,Options:GeneOnly]&amp;mk=361845:361864|offset_70|444444,361822:361841|offset_93|444444,361789:361808|offset_126|00cc00,361757:361776|offset_158|444444&amp;v=361644:361976&amp;c=444444", "offset 126")</f>
        <v>offset 126</v>
      </c>
    </row>
    <row r="1198" customFormat="false" ht="12.8" hidden="false" customHeight="false" outlineLevel="0" collapsed="false">
      <c r="A1198" s="0" t="s">
        <v>12</v>
      </c>
      <c r="B1198" s="0" t="n">
        <v>361756</v>
      </c>
      <c r="C1198" s="0" t="n">
        <v>361776</v>
      </c>
      <c r="D1198" s="0" t="s">
        <v>3985</v>
      </c>
      <c r="E1198" s="0" t="s">
        <v>89</v>
      </c>
      <c r="F1198" s="0" t="s">
        <v>90</v>
      </c>
      <c r="G1198" s="0" t="s">
        <v>16</v>
      </c>
      <c r="H1198" s="0" t="n">
        <v>158</v>
      </c>
      <c r="I1198" s="0" t="s">
        <v>3995</v>
      </c>
      <c r="J1198" s="0" t="s">
        <v>3996</v>
      </c>
      <c r="K1198" s="0" t="s">
        <v>3997</v>
      </c>
      <c r="L1198" s="0" t="str">
        <f aca="false">HYPERLINK("https://www.ncbi.nlm.nih.gov/nuccore/CP000304.1?report=graph&amp;tracks=[key:gene_model_track,Options:GeneOnly]&amp;mk=361845:361864|offset_70|444444,361822:361841|offset_93|444444,361789:361808|offset_126|444444,361757:361776|offset_158|00cc00&amp;v=361644:361976&amp;c=444444", "offset 158")</f>
        <v>offset 158</v>
      </c>
    </row>
    <row r="1199" customFormat="false" ht="12.8" hidden="false" customHeight="false" outlineLevel="0" collapsed="false">
      <c r="A1199" s="0" t="s">
        <v>12</v>
      </c>
      <c r="B1199" s="0" t="n">
        <v>362606</v>
      </c>
      <c r="C1199" s="0" t="n">
        <v>362626</v>
      </c>
      <c r="D1199" s="0" t="s">
        <v>3998</v>
      </c>
      <c r="E1199" s="0" t="s">
        <v>89</v>
      </c>
      <c r="F1199" s="0" t="s">
        <v>90</v>
      </c>
      <c r="G1199" s="0" t="s">
        <v>32</v>
      </c>
      <c r="H1199" s="0" t="n">
        <v>14</v>
      </c>
      <c r="I1199" s="0" t="s">
        <v>3999</v>
      </c>
      <c r="J1199" s="0" t="s">
        <v>4000</v>
      </c>
      <c r="K1199" s="0" t="s">
        <v>4001</v>
      </c>
      <c r="L1199" s="0" t="str">
        <f aca="false">HYPERLINK("https://www.ncbi.nlm.nih.gov/nuccore/CP000304.1?report=graph&amp;tracks=[key:gene_model_track,Options:GeneOnly]&amp;mk=362607:362626|offset_14|00cc00,362580:362599|offset_41|444444,362559:362578|offset_62|444444,362539:362558|offset_82|444444&amp;v=362406:362758&amp;c=444444", "offset 14")</f>
        <v>offset 14</v>
      </c>
    </row>
    <row r="1200" customFormat="false" ht="12.8" hidden="false" customHeight="false" outlineLevel="0" collapsed="false">
      <c r="A1200" s="0" t="s">
        <v>12</v>
      </c>
      <c r="B1200" s="0" t="n">
        <v>362579</v>
      </c>
      <c r="C1200" s="0" t="n">
        <v>362599</v>
      </c>
      <c r="D1200" s="0" t="s">
        <v>3998</v>
      </c>
      <c r="E1200" s="0" t="s">
        <v>89</v>
      </c>
      <c r="F1200" s="0" t="s">
        <v>90</v>
      </c>
      <c r="G1200" s="0" t="s">
        <v>32</v>
      </c>
      <c r="H1200" s="0" t="n">
        <v>41</v>
      </c>
      <c r="I1200" s="0" t="s">
        <v>4002</v>
      </c>
      <c r="J1200" s="0" t="s">
        <v>4003</v>
      </c>
      <c r="K1200" s="0" t="s">
        <v>4004</v>
      </c>
      <c r="L1200" s="0" t="str">
        <f aca="false">HYPERLINK("https://www.ncbi.nlm.nih.gov/nuccore/CP000304.1?report=graph&amp;tracks=[key:gene_model_track,Options:GeneOnly]&amp;mk=362607:362626|offset_14|444444,362580:362599|offset_41|00cc00,362559:362578|offset_62|444444,362539:362558|offset_82|444444&amp;v=362406:362758&amp;c=444444", "offset 41")</f>
        <v>offset 41</v>
      </c>
    </row>
    <row r="1201" customFormat="false" ht="12.8" hidden="false" customHeight="false" outlineLevel="0" collapsed="false">
      <c r="A1201" s="0" t="s">
        <v>12</v>
      </c>
      <c r="B1201" s="0" t="n">
        <v>362558</v>
      </c>
      <c r="C1201" s="0" t="n">
        <v>362578</v>
      </c>
      <c r="D1201" s="0" t="s">
        <v>3998</v>
      </c>
      <c r="E1201" s="0" t="s">
        <v>89</v>
      </c>
      <c r="F1201" s="0" t="s">
        <v>90</v>
      </c>
      <c r="G1201" s="0" t="s">
        <v>16</v>
      </c>
      <c r="H1201" s="0" t="n">
        <v>62</v>
      </c>
      <c r="I1201" s="0" t="s">
        <v>4005</v>
      </c>
      <c r="J1201" s="0" t="s">
        <v>4006</v>
      </c>
      <c r="K1201" s="0" t="s">
        <v>4007</v>
      </c>
      <c r="L1201" s="0" t="str">
        <f aca="false">HYPERLINK("https://www.ncbi.nlm.nih.gov/nuccore/CP000304.1?report=graph&amp;tracks=[key:gene_model_track,Options:GeneOnly]&amp;mk=362607:362626|offset_14|444444,362580:362599|offset_41|444444,362559:362578|offset_62|00cc00,362539:362558|offset_82|444444&amp;v=362406:362758&amp;c=444444", "offset 62")</f>
        <v>offset 62</v>
      </c>
    </row>
    <row r="1202" customFormat="false" ht="12.8" hidden="false" customHeight="false" outlineLevel="0" collapsed="false">
      <c r="A1202" s="0" t="s">
        <v>12</v>
      </c>
      <c r="B1202" s="0" t="n">
        <v>362538</v>
      </c>
      <c r="C1202" s="0" t="n">
        <v>362558</v>
      </c>
      <c r="D1202" s="0" t="s">
        <v>3998</v>
      </c>
      <c r="E1202" s="0" t="s">
        <v>89</v>
      </c>
      <c r="F1202" s="0" t="s">
        <v>90</v>
      </c>
      <c r="G1202" s="0" t="s">
        <v>16</v>
      </c>
      <c r="H1202" s="0" t="n">
        <v>82</v>
      </c>
      <c r="I1202" s="0" t="s">
        <v>4008</v>
      </c>
      <c r="J1202" s="0" t="s">
        <v>4009</v>
      </c>
      <c r="K1202" s="0" t="s">
        <v>4010</v>
      </c>
      <c r="L1202" s="0" t="str">
        <f aca="false">HYPERLINK("https://www.ncbi.nlm.nih.gov/nuccore/CP000304.1?report=graph&amp;tracks=[key:gene_model_track,Options:GeneOnly]&amp;mk=362607:362626|offset_14|444444,362580:362599|offset_41|444444,362559:362578|offset_62|444444,362539:362558|offset_82|00cc00&amp;v=362406:362758&amp;c=444444", "offset 82")</f>
        <v>offset 82</v>
      </c>
    </row>
    <row r="1203" customFormat="false" ht="12.8" hidden="false" customHeight="false" outlineLevel="0" collapsed="false">
      <c r="A1203" s="0" t="s">
        <v>12</v>
      </c>
      <c r="B1203" s="0" t="n">
        <v>363801</v>
      </c>
      <c r="C1203" s="0" t="n">
        <v>363821</v>
      </c>
      <c r="D1203" s="0" t="s">
        <v>4011</v>
      </c>
      <c r="E1203" s="0" t="s">
        <v>89</v>
      </c>
      <c r="F1203" s="0" t="s">
        <v>90</v>
      </c>
      <c r="G1203" s="0" t="s">
        <v>32</v>
      </c>
      <c r="H1203" s="0" t="n">
        <v>20</v>
      </c>
      <c r="I1203" s="0" t="s">
        <v>4012</v>
      </c>
      <c r="J1203" s="0" t="s">
        <v>4013</v>
      </c>
      <c r="K1203" s="0" t="s">
        <v>4014</v>
      </c>
      <c r="L1203" s="0" t="str">
        <f aca="false">HYPERLINK("https://www.ncbi.nlm.nih.gov/nuccore/CP000304.1?report=graph&amp;tracks=[key:gene_model_track,Options:GeneOnly]&amp;mk=363802:363821|offset_20|00cc00,363778:363797|offset_44|444444,363752:363771|offset_70|444444,363722:363741|offset_100|444444&amp;v=363601:363941&amp;c=444444", "offset 20")</f>
        <v>offset 20</v>
      </c>
    </row>
    <row r="1204" customFormat="false" ht="12.8" hidden="false" customHeight="false" outlineLevel="0" collapsed="false">
      <c r="A1204" s="0" t="s">
        <v>12</v>
      </c>
      <c r="B1204" s="0" t="n">
        <v>363777</v>
      </c>
      <c r="C1204" s="0" t="n">
        <v>363797</v>
      </c>
      <c r="D1204" s="0" t="s">
        <v>4011</v>
      </c>
      <c r="E1204" s="0" t="s">
        <v>89</v>
      </c>
      <c r="F1204" s="0" t="s">
        <v>90</v>
      </c>
      <c r="G1204" s="0" t="s">
        <v>26</v>
      </c>
      <c r="H1204" s="0" t="n">
        <v>44</v>
      </c>
      <c r="I1204" s="0" t="s">
        <v>4015</v>
      </c>
      <c r="J1204" s="0" t="s">
        <v>4016</v>
      </c>
      <c r="K1204" s="0" t="s">
        <v>4017</v>
      </c>
      <c r="L1204" s="0" t="str">
        <f aca="false">HYPERLINK("https://www.ncbi.nlm.nih.gov/nuccore/CP000304.1?report=graph&amp;tracks=[key:gene_model_track,Options:GeneOnly]&amp;mk=363802:363821|offset_20|444444,363778:363797|offset_44|00cc00,363752:363771|offset_70|444444,363722:363741|offset_100|444444&amp;v=363601:363941&amp;c=444444", "offset 44")</f>
        <v>offset 44</v>
      </c>
    </row>
    <row r="1205" customFormat="false" ht="12.8" hidden="false" customHeight="false" outlineLevel="0" collapsed="false">
      <c r="A1205" s="0" t="s">
        <v>12</v>
      </c>
      <c r="B1205" s="0" t="n">
        <v>363751</v>
      </c>
      <c r="C1205" s="0" t="n">
        <v>363771</v>
      </c>
      <c r="D1205" s="0" t="s">
        <v>4011</v>
      </c>
      <c r="E1205" s="0" t="s">
        <v>89</v>
      </c>
      <c r="F1205" s="0" t="s">
        <v>90</v>
      </c>
      <c r="G1205" s="0" t="s">
        <v>36</v>
      </c>
      <c r="H1205" s="0" t="n">
        <v>70</v>
      </c>
      <c r="I1205" s="0" t="s">
        <v>4018</v>
      </c>
      <c r="J1205" s="0" t="s">
        <v>4019</v>
      </c>
      <c r="K1205" s="0" t="s">
        <v>4020</v>
      </c>
      <c r="L1205" s="0" t="str">
        <f aca="false">HYPERLINK("https://www.ncbi.nlm.nih.gov/nuccore/CP000304.1?report=graph&amp;tracks=[key:gene_model_track,Options:GeneOnly]&amp;mk=363802:363821|offset_20|444444,363778:363797|offset_44|444444,363752:363771|offset_70|00cc00,363722:363741|offset_100|444444&amp;v=363601:363941&amp;c=444444", "offset 70")</f>
        <v>offset 70</v>
      </c>
    </row>
    <row r="1206" customFormat="false" ht="12.8" hidden="false" customHeight="false" outlineLevel="0" collapsed="false">
      <c r="A1206" s="0" t="s">
        <v>12</v>
      </c>
      <c r="B1206" s="0" t="n">
        <v>363721</v>
      </c>
      <c r="C1206" s="0" t="n">
        <v>363741</v>
      </c>
      <c r="D1206" s="0" t="s">
        <v>4011</v>
      </c>
      <c r="E1206" s="0" t="s">
        <v>89</v>
      </c>
      <c r="F1206" s="0" t="s">
        <v>90</v>
      </c>
      <c r="G1206" s="0" t="s">
        <v>16</v>
      </c>
      <c r="H1206" s="0" t="n">
        <v>100</v>
      </c>
      <c r="I1206" s="0" t="s">
        <v>4021</v>
      </c>
      <c r="J1206" s="0" t="s">
        <v>4022</v>
      </c>
      <c r="K1206" s="0" t="s">
        <v>4023</v>
      </c>
      <c r="L1206" s="0" t="str">
        <f aca="false">HYPERLINK("https://www.ncbi.nlm.nih.gov/nuccore/CP000304.1?report=graph&amp;tracks=[key:gene_model_track,Options:GeneOnly]&amp;mk=363802:363821|offset_20|444444,363778:363797|offset_44|444444,363752:363771|offset_70|444444,363722:363741|offset_100|00cc00&amp;v=363601:363941&amp;c=444444", "offset 100")</f>
        <v>offset 100</v>
      </c>
    </row>
    <row r="1207" customFormat="false" ht="12.8" hidden="false" customHeight="false" outlineLevel="0" collapsed="false">
      <c r="A1207" s="0" t="s">
        <v>12</v>
      </c>
      <c r="B1207" s="0" t="n">
        <v>363929</v>
      </c>
      <c r="C1207" s="0" t="n">
        <v>363949</v>
      </c>
      <c r="D1207" s="0" t="s">
        <v>4024</v>
      </c>
      <c r="E1207" s="0" t="s">
        <v>89</v>
      </c>
      <c r="F1207" s="0" t="s">
        <v>15</v>
      </c>
      <c r="G1207" s="0" t="s">
        <v>32</v>
      </c>
      <c r="H1207" s="0" t="n">
        <v>8</v>
      </c>
      <c r="I1207" s="0" t="s">
        <v>4025</v>
      </c>
      <c r="J1207" s="0" t="s">
        <v>4026</v>
      </c>
      <c r="K1207" s="0" t="s">
        <v>4027</v>
      </c>
      <c r="L1207" s="0" t="str">
        <f aca="false">HYPERLINK("https://www.ncbi.nlm.nih.gov/nuccore/CP000304.1?report=graph&amp;tracks=[key:gene_model_track,Options:GeneOnly]&amp;mk=363930:363949|offset_8|00cc00,363953:363972|offset_31|444444,363977:363996|offset_55|444444,364002:364021|offset_80|444444&amp;v=363729:364221&amp;c=444444", "offset 8")</f>
        <v>offset 8</v>
      </c>
    </row>
    <row r="1208" customFormat="false" ht="12.8" hidden="false" customHeight="false" outlineLevel="0" collapsed="false">
      <c r="A1208" s="0" t="s">
        <v>12</v>
      </c>
      <c r="B1208" s="0" t="n">
        <v>363952</v>
      </c>
      <c r="C1208" s="0" t="n">
        <v>363972</v>
      </c>
      <c r="D1208" s="0" t="s">
        <v>4024</v>
      </c>
      <c r="E1208" s="0" t="s">
        <v>89</v>
      </c>
      <c r="F1208" s="0" t="s">
        <v>15</v>
      </c>
      <c r="G1208" s="0" t="s">
        <v>16</v>
      </c>
      <c r="H1208" s="0" t="n">
        <v>31</v>
      </c>
      <c r="I1208" s="0" t="s">
        <v>4028</v>
      </c>
      <c r="J1208" s="0" t="s">
        <v>4029</v>
      </c>
      <c r="K1208" s="0" t="s">
        <v>4030</v>
      </c>
      <c r="L1208" s="0" t="str">
        <f aca="false">HYPERLINK("https://www.ncbi.nlm.nih.gov/nuccore/CP000304.1?report=graph&amp;tracks=[key:gene_model_track,Options:GeneOnly]&amp;mk=363930:363949|offset_8|444444,363953:363972|offset_31|00cc00,363977:363996|offset_55|444444,364002:364021|offset_80|444444&amp;v=363729:364221&amp;c=444444", "offset 31")</f>
        <v>offset 31</v>
      </c>
    </row>
    <row r="1209" customFormat="false" ht="12.8" hidden="false" customHeight="false" outlineLevel="0" collapsed="false">
      <c r="A1209" s="0" t="s">
        <v>12</v>
      </c>
      <c r="B1209" s="0" t="n">
        <v>363976</v>
      </c>
      <c r="C1209" s="0" t="n">
        <v>363996</v>
      </c>
      <c r="D1209" s="0" t="s">
        <v>4024</v>
      </c>
      <c r="E1209" s="0" t="s">
        <v>89</v>
      </c>
      <c r="F1209" s="0" t="s">
        <v>15</v>
      </c>
      <c r="G1209" s="0" t="s">
        <v>32</v>
      </c>
      <c r="H1209" s="0" t="n">
        <v>55</v>
      </c>
      <c r="I1209" s="0" t="s">
        <v>4031</v>
      </c>
      <c r="J1209" s="0" t="s">
        <v>4032</v>
      </c>
      <c r="K1209" s="0" t="s">
        <v>4033</v>
      </c>
      <c r="L1209" s="0" t="str">
        <f aca="false">HYPERLINK("https://www.ncbi.nlm.nih.gov/nuccore/CP000304.1?report=graph&amp;tracks=[key:gene_model_track,Options:GeneOnly]&amp;mk=363930:363949|offset_8|444444,363953:363972|offset_31|444444,363977:363996|offset_55|00cc00,364002:364021|offset_80|444444&amp;v=363729:364221&amp;c=444444", "offset 55")</f>
        <v>offset 55</v>
      </c>
    </row>
    <row r="1210" customFormat="false" ht="12.8" hidden="false" customHeight="false" outlineLevel="0" collapsed="false">
      <c r="A1210" s="0" t="s">
        <v>12</v>
      </c>
      <c r="B1210" s="0" t="n">
        <v>364001</v>
      </c>
      <c r="C1210" s="0" t="n">
        <v>364021</v>
      </c>
      <c r="D1210" s="0" t="s">
        <v>4024</v>
      </c>
      <c r="E1210" s="0" t="s">
        <v>89</v>
      </c>
      <c r="F1210" s="0" t="s">
        <v>15</v>
      </c>
      <c r="G1210" s="0" t="s">
        <v>26</v>
      </c>
      <c r="H1210" s="0" t="n">
        <v>80</v>
      </c>
      <c r="I1210" s="0" t="s">
        <v>4034</v>
      </c>
      <c r="J1210" s="0" t="s">
        <v>4035</v>
      </c>
      <c r="K1210" s="0" t="s">
        <v>4036</v>
      </c>
      <c r="L1210" s="0" t="str">
        <f aca="false">HYPERLINK("https://www.ncbi.nlm.nih.gov/nuccore/CP000304.1?report=graph&amp;tracks=[key:gene_model_track,Options:GeneOnly]&amp;mk=363930:363949|offset_8|444444,363953:363972|offset_31|444444,363977:363996|offset_55|444444,364002:364021|offset_80|00cc00&amp;v=363729:364221&amp;c=444444", "offset 80")</f>
        <v>offset 80</v>
      </c>
    </row>
    <row r="1211" customFormat="false" ht="12.8" hidden="false" customHeight="false" outlineLevel="0" collapsed="false">
      <c r="A1211" s="0" t="s">
        <v>12</v>
      </c>
      <c r="B1211" s="0" t="n">
        <v>365180</v>
      </c>
      <c r="C1211" s="0" t="n">
        <v>365200</v>
      </c>
      <c r="D1211" s="0" t="s">
        <v>4037</v>
      </c>
      <c r="E1211" s="0" t="s">
        <v>89</v>
      </c>
      <c r="F1211" s="0" t="s">
        <v>15</v>
      </c>
      <c r="G1211" s="0" t="s">
        <v>36</v>
      </c>
      <c r="H1211" s="0" t="n">
        <v>18</v>
      </c>
      <c r="I1211" s="0" t="s">
        <v>4038</v>
      </c>
      <c r="J1211" s="0" t="s">
        <v>4039</v>
      </c>
      <c r="K1211" s="0" t="s">
        <v>4040</v>
      </c>
      <c r="L1211" s="0" t="str">
        <f aca="false">HYPERLINK("https://www.ncbi.nlm.nih.gov/nuccore/CP000304.1?report=graph&amp;tracks=[key:gene_model_track,Options:GeneOnly]&amp;mk=365181:365200|offset_18|00cc00,365224:365243|offset_61|444444,365305:365324|offset_142|444444,365357:365376|offset_194|444444&amp;v=364980:365576&amp;c=444444", "offset 18")</f>
        <v>offset 18</v>
      </c>
    </row>
    <row r="1212" customFormat="false" ht="12.8" hidden="false" customHeight="false" outlineLevel="0" collapsed="false">
      <c r="A1212" s="0" t="s">
        <v>12</v>
      </c>
      <c r="B1212" s="0" t="n">
        <v>365223</v>
      </c>
      <c r="C1212" s="0" t="n">
        <v>365243</v>
      </c>
      <c r="D1212" s="0" t="s">
        <v>4037</v>
      </c>
      <c r="E1212" s="0" t="s">
        <v>89</v>
      </c>
      <c r="F1212" s="0" t="s">
        <v>15</v>
      </c>
      <c r="G1212" s="0" t="s">
        <v>32</v>
      </c>
      <c r="H1212" s="0" t="n">
        <v>61</v>
      </c>
      <c r="I1212" s="0" t="s">
        <v>4041</v>
      </c>
      <c r="J1212" s="0" t="s">
        <v>4042</v>
      </c>
      <c r="K1212" s="0" t="s">
        <v>4043</v>
      </c>
      <c r="L1212" s="0" t="str">
        <f aca="false">HYPERLINK("https://www.ncbi.nlm.nih.gov/nuccore/CP000304.1?report=graph&amp;tracks=[key:gene_model_track,Options:GeneOnly]&amp;mk=365181:365200|offset_18|444444,365224:365243|offset_61|00cc00,365305:365324|offset_142|444444,365357:365376|offset_194|444444&amp;v=364980:365576&amp;c=444444", "offset 61")</f>
        <v>offset 61</v>
      </c>
    </row>
    <row r="1213" customFormat="false" ht="12.8" hidden="false" customHeight="false" outlineLevel="0" collapsed="false">
      <c r="A1213" s="0" t="s">
        <v>12</v>
      </c>
      <c r="B1213" s="0" t="n">
        <v>365304</v>
      </c>
      <c r="C1213" s="0" t="n">
        <v>365324</v>
      </c>
      <c r="D1213" s="0" t="s">
        <v>4037</v>
      </c>
      <c r="E1213" s="0" t="s">
        <v>89</v>
      </c>
      <c r="F1213" s="0" t="s">
        <v>15</v>
      </c>
      <c r="G1213" s="0" t="s">
        <v>16</v>
      </c>
      <c r="H1213" s="0" t="n">
        <v>142</v>
      </c>
      <c r="I1213" s="0" t="s">
        <v>4044</v>
      </c>
      <c r="J1213" s="0" t="s">
        <v>4045</v>
      </c>
      <c r="K1213" s="0" t="s">
        <v>4046</v>
      </c>
      <c r="L1213" s="0" t="str">
        <f aca="false">HYPERLINK("https://www.ncbi.nlm.nih.gov/nuccore/CP000304.1?report=graph&amp;tracks=[key:gene_model_track,Options:GeneOnly]&amp;mk=365181:365200|offset_18|444444,365224:365243|offset_61|444444,365305:365324|offset_142|00cc00,365357:365376|offset_194|444444&amp;v=364980:365576&amp;c=444444", "offset 142")</f>
        <v>offset 142</v>
      </c>
    </row>
    <row r="1214" customFormat="false" ht="12.8" hidden="false" customHeight="false" outlineLevel="0" collapsed="false">
      <c r="A1214" s="0" t="s">
        <v>12</v>
      </c>
      <c r="B1214" s="0" t="n">
        <v>365356</v>
      </c>
      <c r="C1214" s="0" t="n">
        <v>365376</v>
      </c>
      <c r="D1214" s="0" t="s">
        <v>4037</v>
      </c>
      <c r="E1214" s="0" t="s">
        <v>89</v>
      </c>
      <c r="F1214" s="0" t="s">
        <v>15</v>
      </c>
      <c r="G1214" s="0" t="s">
        <v>26</v>
      </c>
      <c r="H1214" s="0" t="n">
        <v>194</v>
      </c>
      <c r="I1214" s="0" t="s">
        <v>4047</v>
      </c>
      <c r="J1214" s="0" t="s">
        <v>4048</v>
      </c>
      <c r="K1214" s="0" t="s">
        <v>4049</v>
      </c>
      <c r="L1214" s="0" t="str">
        <f aca="false">HYPERLINK("https://www.ncbi.nlm.nih.gov/nuccore/CP000304.1?report=graph&amp;tracks=[key:gene_model_track,Options:GeneOnly]&amp;mk=365181:365200|offset_18|444444,365224:365243|offset_61|444444,365305:365324|offset_142|444444,365357:365376|offset_194|00cc00&amp;v=364980:365576&amp;c=444444", "offset 194")</f>
        <v>offset 194</v>
      </c>
    </row>
    <row r="1215" customFormat="false" ht="12.8" hidden="false" customHeight="false" outlineLevel="0" collapsed="false">
      <c r="A1215" s="0" t="s">
        <v>12</v>
      </c>
      <c r="B1215" s="0" t="n">
        <v>366977</v>
      </c>
      <c r="C1215" s="0" t="n">
        <v>366997</v>
      </c>
      <c r="D1215" s="0" t="s">
        <v>4050</v>
      </c>
      <c r="E1215" s="0" t="s">
        <v>89</v>
      </c>
      <c r="F1215" s="0" t="s">
        <v>15</v>
      </c>
      <c r="G1215" s="0" t="s">
        <v>16</v>
      </c>
      <c r="H1215" s="0" t="n">
        <v>0</v>
      </c>
      <c r="I1215" s="0" t="s">
        <v>4051</v>
      </c>
      <c r="J1215" s="0" t="s">
        <v>4052</v>
      </c>
      <c r="K1215" s="0" t="s">
        <v>4053</v>
      </c>
      <c r="L1215" s="0" t="str">
        <f aca="false">HYPERLINK("https://www.ncbi.nlm.nih.gov/nuccore/CP000304.1?report=graph&amp;tracks=[key:gene_model_track,Options:GeneOnly]&amp;mk=366978:366997|offset_0|00cc00,367000:367019|offset_22|444444,367026:367045|offset_48|444444,367048:367067|offset_70|444444&amp;v=366777:367267&amp;c=444444", "offset 0")</f>
        <v>offset 0</v>
      </c>
    </row>
    <row r="1216" customFormat="false" ht="12.8" hidden="false" customHeight="false" outlineLevel="0" collapsed="false">
      <c r="A1216" s="0" t="s">
        <v>12</v>
      </c>
      <c r="B1216" s="0" t="n">
        <v>366999</v>
      </c>
      <c r="C1216" s="0" t="n">
        <v>367019</v>
      </c>
      <c r="D1216" s="0" t="s">
        <v>4050</v>
      </c>
      <c r="E1216" s="0" t="s">
        <v>89</v>
      </c>
      <c r="F1216" s="0" t="s">
        <v>15</v>
      </c>
      <c r="G1216" s="0" t="s">
        <v>32</v>
      </c>
      <c r="H1216" s="0" t="n">
        <v>22</v>
      </c>
      <c r="I1216" s="0" t="s">
        <v>4054</v>
      </c>
      <c r="J1216" s="0" t="s">
        <v>4055</v>
      </c>
      <c r="K1216" s="0" t="s">
        <v>4056</v>
      </c>
      <c r="L1216" s="0" t="str">
        <f aca="false">HYPERLINK("https://www.ncbi.nlm.nih.gov/nuccore/CP000304.1?report=graph&amp;tracks=[key:gene_model_track,Options:GeneOnly]&amp;mk=366978:366997|offset_0|444444,367000:367019|offset_22|00cc00,367026:367045|offset_48|444444,367048:367067|offset_70|444444&amp;v=366777:367267&amp;c=444444", "offset 22")</f>
        <v>offset 22</v>
      </c>
    </row>
    <row r="1217" customFormat="false" ht="12.8" hidden="false" customHeight="false" outlineLevel="0" collapsed="false">
      <c r="A1217" s="0" t="s">
        <v>12</v>
      </c>
      <c r="B1217" s="0" t="n">
        <v>367025</v>
      </c>
      <c r="C1217" s="0" t="n">
        <v>367045</v>
      </c>
      <c r="D1217" s="0" t="s">
        <v>4050</v>
      </c>
      <c r="E1217" s="0" t="s">
        <v>89</v>
      </c>
      <c r="F1217" s="0" t="s">
        <v>15</v>
      </c>
      <c r="G1217" s="0" t="s">
        <v>26</v>
      </c>
      <c r="H1217" s="0" t="n">
        <v>48</v>
      </c>
      <c r="I1217" s="0" t="s">
        <v>4057</v>
      </c>
      <c r="J1217" s="0" t="s">
        <v>4058</v>
      </c>
      <c r="K1217" s="0" t="s">
        <v>4059</v>
      </c>
      <c r="L1217" s="0" t="str">
        <f aca="false">HYPERLINK("https://www.ncbi.nlm.nih.gov/nuccore/CP000304.1?report=graph&amp;tracks=[key:gene_model_track,Options:GeneOnly]&amp;mk=366978:366997|offset_0|444444,367000:367019|offset_22|444444,367026:367045|offset_48|00cc00,367048:367067|offset_70|444444&amp;v=366777:367267&amp;c=444444", "offset 48")</f>
        <v>offset 48</v>
      </c>
    </row>
    <row r="1218" customFormat="false" ht="12.8" hidden="false" customHeight="false" outlineLevel="0" collapsed="false">
      <c r="A1218" s="0" t="s">
        <v>12</v>
      </c>
      <c r="B1218" s="0" t="n">
        <v>367047</v>
      </c>
      <c r="C1218" s="0" t="n">
        <v>367067</v>
      </c>
      <c r="D1218" s="0" t="s">
        <v>4050</v>
      </c>
      <c r="E1218" s="0" t="s">
        <v>89</v>
      </c>
      <c r="F1218" s="0" t="s">
        <v>15</v>
      </c>
      <c r="G1218" s="0" t="s">
        <v>32</v>
      </c>
      <c r="H1218" s="0" t="n">
        <v>70</v>
      </c>
      <c r="I1218" s="0" t="s">
        <v>4060</v>
      </c>
      <c r="J1218" s="0" t="s">
        <v>4061</v>
      </c>
      <c r="K1218" s="0" t="s">
        <v>4062</v>
      </c>
      <c r="L1218" s="0" t="str">
        <f aca="false">HYPERLINK("https://www.ncbi.nlm.nih.gov/nuccore/CP000304.1?report=graph&amp;tracks=[key:gene_model_track,Options:GeneOnly]&amp;mk=366978:366997|offset_0|444444,367000:367019|offset_22|444444,367026:367045|offset_48|444444,367048:367067|offset_70|00cc00&amp;v=366777:367267&amp;c=444444", "offset 70")</f>
        <v>offset 70</v>
      </c>
    </row>
    <row r="1219" customFormat="false" ht="12.8" hidden="false" customHeight="false" outlineLevel="0" collapsed="false">
      <c r="A1219" s="0" t="s">
        <v>12</v>
      </c>
      <c r="B1219" s="0" t="n">
        <v>368185</v>
      </c>
      <c r="C1219" s="0" t="n">
        <v>368205</v>
      </c>
      <c r="D1219" s="0" t="s">
        <v>4063</v>
      </c>
      <c r="E1219" s="0" t="s">
        <v>89</v>
      </c>
      <c r="F1219" s="0" t="s">
        <v>15</v>
      </c>
      <c r="G1219" s="0" t="s">
        <v>36</v>
      </c>
      <c r="H1219" s="0" t="n">
        <v>6</v>
      </c>
      <c r="I1219" s="0" t="s">
        <v>4064</v>
      </c>
      <c r="J1219" s="0" t="s">
        <v>4065</v>
      </c>
      <c r="K1219" s="0" t="s">
        <v>4066</v>
      </c>
      <c r="L1219" s="0" t="str">
        <f aca="false">HYPERLINK("https://www.ncbi.nlm.nih.gov/nuccore/CP000304.1?report=graph&amp;tracks=[key:gene_model_track,Options:GeneOnly]&amp;mk=368186:368205|offset_6|00cc00,368209:368228|offset_29|444444,368231:368250|offset_51|444444,368329:368348|offset_149|444444&amp;v=367985:368548&amp;c=444444", "offset 6")</f>
        <v>offset 6</v>
      </c>
    </row>
    <row r="1220" customFormat="false" ht="12.8" hidden="false" customHeight="false" outlineLevel="0" collapsed="false">
      <c r="A1220" s="0" t="s">
        <v>12</v>
      </c>
      <c r="B1220" s="0" t="n">
        <v>368208</v>
      </c>
      <c r="C1220" s="0" t="n">
        <v>368228</v>
      </c>
      <c r="D1220" s="0" t="s">
        <v>4063</v>
      </c>
      <c r="E1220" s="0" t="s">
        <v>89</v>
      </c>
      <c r="F1220" s="0" t="s">
        <v>15</v>
      </c>
      <c r="G1220" s="0" t="s">
        <v>16</v>
      </c>
      <c r="H1220" s="0" t="n">
        <v>29</v>
      </c>
      <c r="I1220" s="0" t="s">
        <v>4067</v>
      </c>
      <c r="J1220" s="0" t="s">
        <v>4068</v>
      </c>
      <c r="K1220" s="0" t="s">
        <v>4069</v>
      </c>
      <c r="L1220" s="0" t="str">
        <f aca="false">HYPERLINK("https://www.ncbi.nlm.nih.gov/nuccore/CP000304.1?report=graph&amp;tracks=[key:gene_model_track,Options:GeneOnly]&amp;mk=368186:368205|offset_6|444444,368209:368228|offset_29|00cc00,368231:368250|offset_51|444444,368329:368348|offset_149|444444&amp;v=367985:368548&amp;c=444444", "offset 29")</f>
        <v>offset 29</v>
      </c>
    </row>
    <row r="1221" customFormat="false" ht="12.8" hidden="false" customHeight="false" outlineLevel="0" collapsed="false">
      <c r="A1221" s="0" t="s">
        <v>12</v>
      </c>
      <c r="B1221" s="0" t="n">
        <v>368230</v>
      </c>
      <c r="C1221" s="0" t="n">
        <v>368250</v>
      </c>
      <c r="D1221" s="0" t="s">
        <v>4063</v>
      </c>
      <c r="E1221" s="0" t="s">
        <v>89</v>
      </c>
      <c r="F1221" s="0" t="s">
        <v>15</v>
      </c>
      <c r="G1221" s="0" t="s">
        <v>36</v>
      </c>
      <c r="H1221" s="0" t="n">
        <v>51</v>
      </c>
      <c r="I1221" s="0" t="s">
        <v>4070</v>
      </c>
      <c r="J1221" s="0" t="s">
        <v>4071</v>
      </c>
      <c r="K1221" s="0" t="s">
        <v>4072</v>
      </c>
      <c r="L1221" s="0" t="str">
        <f aca="false">HYPERLINK("https://www.ncbi.nlm.nih.gov/nuccore/CP000304.1?report=graph&amp;tracks=[key:gene_model_track,Options:GeneOnly]&amp;mk=368186:368205|offset_6|444444,368209:368228|offset_29|444444,368231:368250|offset_51|00cc00,368329:368348|offset_149|444444&amp;v=367985:368548&amp;c=444444", "offset 51")</f>
        <v>offset 51</v>
      </c>
    </row>
    <row r="1222" customFormat="false" ht="12.8" hidden="false" customHeight="false" outlineLevel="0" collapsed="false">
      <c r="A1222" s="0" t="s">
        <v>12</v>
      </c>
      <c r="B1222" s="0" t="n">
        <v>368328</v>
      </c>
      <c r="C1222" s="0" t="n">
        <v>368348</v>
      </c>
      <c r="D1222" s="0" t="s">
        <v>4063</v>
      </c>
      <c r="E1222" s="0" t="s">
        <v>89</v>
      </c>
      <c r="F1222" s="0" t="s">
        <v>15</v>
      </c>
      <c r="G1222" s="0" t="s">
        <v>32</v>
      </c>
      <c r="H1222" s="0" t="n">
        <v>149</v>
      </c>
      <c r="I1222" s="0" t="s">
        <v>4073</v>
      </c>
      <c r="J1222" s="0" t="s">
        <v>4074</v>
      </c>
      <c r="K1222" s="0" t="s">
        <v>4075</v>
      </c>
      <c r="L1222" s="0" t="str">
        <f aca="false">HYPERLINK("https://www.ncbi.nlm.nih.gov/nuccore/CP000304.1?report=graph&amp;tracks=[key:gene_model_track,Options:GeneOnly]&amp;mk=368186:368205|offset_6|444444,368209:368228|offset_29|444444,368231:368250|offset_51|444444,368329:368348|offset_149|00cc00&amp;v=367985:368548&amp;c=444444", "offset 149")</f>
        <v>offset 149</v>
      </c>
    </row>
    <row r="1223" customFormat="false" ht="12.8" hidden="false" customHeight="false" outlineLevel="0" collapsed="false">
      <c r="A1223" s="0" t="s">
        <v>12</v>
      </c>
      <c r="B1223" s="0" t="n">
        <v>368755</v>
      </c>
      <c r="C1223" s="0" t="n">
        <v>368775</v>
      </c>
      <c r="D1223" s="0" t="s">
        <v>4076</v>
      </c>
      <c r="E1223" s="0" t="s">
        <v>89</v>
      </c>
      <c r="F1223" s="0" t="s">
        <v>15</v>
      </c>
      <c r="G1223" s="0" t="s">
        <v>26</v>
      </c>
      <c r="H1223" s="0" t="n">
        <v>73</v>
      </c>
      <c r="I1223" s="0" t="s">
        <v>4077</v>
      </c>
      <c r="J1223" s="0" t="s">
        <v>4078</v>
      </c>
      <c r="K1223" s="0" t="s">
        <v>4079</v>
      </c>
      <c r="L1223" s="0" t="str">
        <f aca="false">HYPERLINK("https://www.ncbi.nlm.nih.gov/nuccore/CP000304.1?report=graph&amp;tracks=[key:gene_model_track,Options:GeneOnly]&amp;mk=368756:368775|offset_73|00cc00,368777:368796|offset_94|444444,368797:368816|offset_114|444444,368840:368859|offset_157|444444&amp;v=368555:369059&amp;c=444444", "offset 73")</f>
        <v>offset 73</v>
      </c>
    </row>
    <row r="1224" customFormat="false" ht="12.8" hidden="false" customHeight="false" outlineLevel="0" collapsed="false">
      <c r="A1224" s="0" t="s">
        <v>12</v>
      </c>
      <c r="B1224" s="0" t="n">
        <v>368776</v>
      </c>
      <c r="C1224" s="0" t="n">
        <v>368796</v>
      </c>
      <c r="D1224" s="0" t="s">
        <v>4076</v>
      </c>
      <c r="E1224" s="0" t="s">
        <v>89</v>
      </c>
      <c r="F1224" s="0" t="s">
        <v>15</v>
      </c>
      <c r="G1224" s="0" t="s">
        <v>16</v>
      </c>
      <c r="H1224" s="0" t="n">
        <v>94</v>
      </c>
      <c r="I1224" s="0" t="s">
        <v>4080</v>
      </c>
      <c r="J1224" s="0" t="s">
        <v>4081</v>
      </c>
      <c r="K1224" s="0" t="s">
        <v>4082</v>
      </c>
      <c r="L1224" s="0" t="str">
        <f aca="false">HYPERLINK("https://www.ncbi.nlm.nih.gov/nuccore/CP000304.1?report=graph&amp;tracks=[key:gene_model_track,Options:GeneOnly]&amp;mk=368756:368775|offset_73|444444,368777:368796|offset_94|00cc00,368797:368816|offset_114|444444,368840:368859|offset_157|444444&amp;v=368555:369059&amp;c=444444", "offset 94")</f>
        <v>offset 94</v>
      </c>
    </row>
    <row r="1225" customFormat="false" ht="12.8" hidden="false" customHeight="false" outlineLevel="0" collapsed="false">
      <c r="A1225" s="0" t="s">
        <v>12</v>
      </c>
      <c r="B1225" s="0" t="n">
        <v>368796</v>
      </c>
      <c r="C1225" s="0" t="n">
        <v>368816</v>
      </c>
      <c r="D1225" s="0" t="s">
        <v>4076</v>
      </c>
      <c r="E1225" s="0" t="s">
        <v>89</v>
      </c>
      <c r="F1225" s="0" t="s">
        <v>15</v>
      </c>
      <c r="G1225" s="0" t="s">
        <v>16</v>
      </c>
      <c r="H1225" s="0" t="n">
        <v>114</v>
      </c>
      <c r="I1225" s="0" t="s">
        <v>4083</v>
      </c>
      <c r="J1225" s="0" t="s">
        <v>4084</v>
      </c>
      <c r="K1225" s="0" t="s">
        <v>4085</v>
      </c>
      <c r="L1225" s="0" t="str">
        <f aca="false">HYPERLINK("https://www.ncbi.nlm.nih.gov/nuccore/CP000304.1?report=graph&amp;tracks=[key:gene_model_track,Options:GeneOnly]&amp;mk=368756:368775|offset_73|444444,368777:368796|offset_94|444444,368797:368816|offset_114|00cc00,368840:368859|offset_157|444444&amp;v=368555:369059&amp;c=444444", "offset 114")</f>
        <v>offset 114</v>
      </c>
    </row>
    <row r="1226" customFormat="false" ht="12.8" hidden="false" customHeight="false" outlineLevel="0" collapsed="false">
      <c r="A1226" s="0" t="s">
        <v>12</v>
      </c>
      <c r="B1226" s="0" t="n">
        <v>368839</v>
      </c>
      <c r="C1226" s="0" t="n">
        <v>368859</v>
      </c>
      <c r="D1226" s="0" t="s">
        <v>4076</v>
      </c>
      <c r="E1226" s="0" t="s">
        <v>89</v>
      </c>
      <c r="F1226" s="0" t="s">
        <v>15</v>
      </c>
      <c r="G1226" s="0" t="s">
        <v>16</v>
      </c>
      <c r="H1226" s="0" t="n">
        <v>157</v>
      </c>
      <c r="I1226" s="0" t="s">
        <v>4086</v>
      </c>
      <c r="J1226" s="0" t="s">
        <v>4087</v>
      </c>
      <c r="K1226" s="0" t="s">
        <v>4088</v>
      </c>
      <c r="L1226" s="0" t="str">
        <f aca="false">HYPERLINK("https://www.ncbi.nlm.nih.gov/nuccore/CP000304.1?report=graph&amp;tracks=[key:gene_model_track,Options:GeneOnly]&amp;mk=368756:368775|offset_73|444444,368777:368796|offset_94|444444,368797:368816|offset_114|444444,368840:368859|offset_157|00cc00&amp;v=368555:369059&amp;c=444444", "offset 157")</f>
        <v>offset 157</v>
      </c>
    </row>
    <row r="1227" customFormat="false" ht="12.8" hidden="false" customHeight="false" outlineLevel="0" collapsed="false">
      <c r="A1227" s="0" t="s">
        <v>12</v>
      </c>
      <c r="B1227" s="0" t="n">
        <v>369988</v>
      </c>
      <c r="C1227" s="0" t="n">
        <v>370008</v>
      </c>
      <c r="D1227" s="0" t="s">
        <v>4089</v>
      </c>
      <c r="E1227" s="0" t="s">
        <v>89</v>
      </c>
      <c r="F1227" s="0" t="s">
        <v>90</v>
      </c>
      <c r="G1227" s="0" t="s">
        <v>16</v>
      </c>
      <c r="H1227" s="0" t="n">
        <v>12</v>
      </c>
      <c r="I1227" s="0" t="s">
        <v>4090</v>
      </c>
      <c r="J1227" s="0" t="s">
        <v>4091</v>
      </c>
      <c r="K1227" s="0" t="s">
        <v>4092</v>
      </c>
      <c r="L1227" s="0" t="str">
        <f aca="false">HYPERLINK("https://www.ncbi.nlm.nih.gov/nuccore/CP000304.1?report=graph&amp;tracks=[key:gene_model_track,Options:GeneOnly]&amp;mk=369989:370008|offset_12|00cc00,369954:369973|offset_47|444444,369909:369928|offset_92|444444,369862:369881|offset_139|444444&amp;v=369788:370081&amp;c=444444", "offset 12")</f>
        <v>offset 12</v>
      </c>
    </row>
    <row r="1228" customFormat="false" ht="12.8" hidden="false" customHeight="false" outlineLevel="0" collapsed="false">
      <c r="A1228" s="0" t="s">
        <v>12</v>
      </c>
      <c r="B1228" s="0" t="n">
        <v>369953</v>
      </c>
      <c r="C1228" s="0" t="n">
        <v>369973</v>
      </c>
      <c r="D1228" s="0" t="s">
        <v>4089</v>
      </c>
      <c r="E1228" s="0" t="s">
        <v>89</v>
      </c>
      <c r="F1228" s="0" t="s">
        <v>90</v>
      </c>
      <c r="G1228" s="0" t="s">
        <v>26</v>
      </c>
      <c r="H1228" s="0" t="n">
        <v>47</v>
      </c>
      <c r="I1228" s="0" t="s">
        <v>4093</v>
      </c>
      <c r="J1228" s="0" t="s">
        <v>4094</v>
      </c>
      <c r="K1228" s="0" t="s">
        <v>4095</v>
      </c>
      <c r="L1228" s="0" t="str">
        <f aca="false">HYPERLINK("https://www.ncbi.nlm.nih.gov/nuccore/CP000304.1?report=graph&amp;tracks=[key:gene_model_track,Options:GeneOnly]&amp;mk=369989:370008|offset_12|444444,369954:369973|offset_47|00cc00,369909:369928|offset_92|444444,369862:369881|offset_139|444444&amp;v=369788:370081&amp;c=444444", "offset 47")</f>
        <v>offset 47</v>
      </c>
    </row>
    <row r="1229" customFormat="false" ht="12.8" hidden="false" customHeight="false" outlineLevel="0" collapsed="false">
      <c r="A1229" s="0" t="s">
        <v>12</v>
      </c>
      <c r="B1229" s="0" t="n">
        <v>369908</v>
      </c>
      <c r="C1229" s="0" t="n">
        <v>369928</v>
      </c>
      <c r="D1229" s="0" t="s">
        <v>4089</v>
      </c>
      <c r="E1229" s="0" t="s">
        <v>89</v>
      </c>
      <c r="F1229" s="0" t="s">
        <v>90</v>
      </c>
      <c r="G1229" s="0" t="s">
        <v>16</v>
      </c>
      <c r="H1229" s="0" t="n">
        <v>92</v>
      </c>
      <c r="I1229" s="0" t="s">
        <v>4096</v>
      </c>
      <c r="J1229" s="0" t="s">
        <v>4097</v>
      </c>
      <c r="K1229" s="0" t="s">
        <v>4098</v>
      </c>
      <c r="L1229" s="0" t="str">
        <f aca="false">HYPERLINK("https://www.ncbi.nlm.nih.gov/nuccore/CP000304.1?report=graph&amp;tracks=[key:gene_model_track,Options:GeneOnly]&amp;mk=369989:370008|offset_12|444444,369954:369973|offset_47|444444,369909:369928|offset_92|00cc00,369862:369881|offset_139|444444&amp;v=369788:370081&amp;c=444444", "offset 92")</f>
        <v>offset 92</v>
      </c>
    </row>
    <row r="1230" customFormat="false" ht="12.8" hidden="false" customHeight="false" outlineLevel="0" collapsed="false">
      <c r="A1230" s="0" t="s">
        <v>12</v>
      </c>
      <c r="B1230" s="0" t="n">
        <v>369861</v>
      </c>
      <c r="C1230" s="0" t="n">
        <v>369881</v>
      </c>
      <c r="D1230" s="0" t="s">
        <v>4089</v>
      </c>
      <c r="E1230" s="0" t="s">
        <v>89</v>
      </c>
      <c r="F1230" s="0" t="s">
        <v>90</v>
      </c>
      <c r="G1230" s="0" t="s">
        <v>32</v>
      </c>
      <c r="H1230" s="0" t="n">
        <v>139</v>
      </c>
      <c r="I1230" s="0" t="s">
        <v>4099</v>
      </c>
      <c r="J1230" s="0" t="s">
        <v>4100</v>
      </c>
      <c r="K1230" s="0" t="s">
        <v>4101</v>
      </c>
      <c r="L1230" s="0" t="str">
        <f aca="false">HYPERLINK("https://www.ncbi.nlm.nih.gov/nuccore/CP000304.1?report=graph&amp;tracks=[key:gene_model_track,Options:GeneOnly]&amp;mk=369989:370008|offset_12|444444,369954:369973|offset_47|444444,369909:369928|offset_92|444444,369862:369881|offset_139|00cc00&amp;v=369788:370081&amp;c=444444", "offset 139")</f>
        <v>offset 139</v>
      </c>
    </row>
    <row r="1231" customFormat="false" ht="12.8" hidden="false" customHeight="false" outlineLevel="0" collapsed="false">
      <c r="A1231" s="0" t="s">
        <v>12</v>
      </c>
      <c r="B1231" s="0" t="n">
        <v>372672</v>
      </c>
      <c r="C1231" s="0" t="n">
        <v>372692</v>
      </c>
      <c r="D1231" s="0" t="s">
        <v>4102</v>
      </c>
      <c r="E1231" s="0" t="s">
        <v>89</v>
      </c>
      <c r="F1231" s="0" t="s">
        <v>90</v>
      </c>
      <c r="G1231" s="0" t="s">
        <v>36</v>
      </c>
      <c r="H1231" s="0" t="n">
        <v>0</v>
      </c>
      <c r="I1231" s="0" t="s">
        <v>4103</v>
      </c>
      <c r="J1231" s="0" t="s">
        <v>4104</v>
      </c>
      <c r="K1231" s="0" t="s">
        <v>4105</v>
      </c>
      <c r="L1231" s="0" t="str">
        <f aca="false">HYPERLINK("https://www.ncbi.nlm.nih.gov/nuccore/CP000304.1?report=graph&amp;tracks=[key:gene_model_track,Options:GeneOnly]&amp;mk=372673:372692|offset_0|00cc00,372618:372637|offset_55|444444,372595:372614|offset_78|444444,372573:372592|offset_100|444444&amp;v=372472:372792&amp;c=444444", "offset 0")</f>
        <v>offset 0</v>
      </c>
    </row>
    <row r="1232" customFormat="false" ht="12.8" hidden="false" customHeight="false" outlineLevel="0" collapsed="false">
      <c r="A1232" s="0" t="s">
        <v>12</v>
      </c>
      <c r="B1232" s="0" t="n">
        <v>372617</v>
      </c>
      <c r="C1232" s="0" t="n">
        <v>372637</v>
      </c>
      <c r="D1232" s="0" t="s">
        <v>4102</v>
      </c>
      <c r="E1232" s="0" t="s">
        <v>89</v>
      </c>
      <c r="F1232" s="0" t="s">
        <v>90</v>
      </c>
      <c r="G1232" s="0" t="s">
        <v>16</v>
      </c>
      <c r="H1232" s="0" t="n">
        <v>55</v>
      </c>
      <c r="I1232" s="0" t="s">
        <v>4106</v>
      </c>
      <c r="J1232" s="0" t="s">
        <v>4107</v>
      </c>
      <c r="K1232" s="0" t="s">
        <v>4108</v>
      </c>
      <c r="L1232" s="0" t="str">
        <f aca="false">HYPERLINK("https://www.ncbi.nlm.nih.gov/nuccore/CP000304.1?report=graph&amp;tracks=[key:gene_model_track,Options:GeneOnly]&amp;mk=372673:372692|offset_0|444444,372618:372637|offset_55|00cc00,372595:372614|offset_78|444444,372573:372592|offset_100|444444&amp;v=372472:372792&amp;c=444444", "offset 55")</f>
        <v>offset 55</v>
      </c>
    </row>
    <row r="1233" customFormat="false" ht="12.8" hidden="false" customHeight="false" outlineLevel="0" collapsed="false">
      <c r="A1233" s="0" t="s">
        <v>12</v>
      </c>
      <c r="B1233" s="0" t="n">
        <v>372594</v>
      </c>
      <c r="C1233" s="0" t="n">
        <v>372614</v>
      </c>
      <c r="D1233" s="0" t="s">
        <v>4102</v>
      </c>
      <c r="E1233" s="0" t="s">
        <v>89</v>
      </c>
      <c r="F1233" s="0" t="s">
        <v>90</v>
      </c>
      <c r="G1233" s="0" t="s">
        <v>16</v>
      </c>
      <c r="H1233" s="0" t="n">
        <v>78</v>
      </c>
      <c r="I1233" s="0" t="s">
        <v>4109</v>
      </c>
      <c r="J1233" s="0" t="s">
        <v>4110</v>
      </c>
      <c r="K1233" s="0" t="s">
        <v>4111</v>
      </c>
      <c r="L1233" s="0" t="str">
        <f aca="false">HYPERLINK("https://www.ncbi.nlm.nih.gov/nuccore/CP000304.1?report=graph&amp;tracks=[key:gene_model_track,Options:GeneOnly]&amp;mk=372673:372692|offset_0|444444,372618:372637|offset_55|444444,372595:372614|offset_78|00cc00,372573:372592|offset_100|444444&amp;v=372472:372792&amp;c=444444", "offset 78")</f>
        <v>offset 78</v>
      </c>
    </row>
    <row r="1234" customFormat="false" ht="12.8" hidden="false" customHeight="false" outlineLevel="0" collapsed="false">
      <c r="A1234" s="0" t="s">
        <v>12</v>
      </c>
      <c r="B1234" s="0" t="n">
        <v>372572</v>
      </c>
      <c r="C1234" s="0" t="n">
        <v>372592</v>
      </c>
      <c r="D1234" s="0" t="s">
        <v>4102</v>
      </c>
      <c r="E1234" s="0" t="s">
        <v>89</v>
      </c>
      <c r="F1234" s="0" t="s">
        <v>90</v>
      </c>
      <c r="G1234" s="0" t="s">
        <v>26</v>
      </c>
      <c r="H1234" s="0" t="n">
        <v>100</v>
      </c>
      <c r="I1234" s="0" t="s">
        <v>4112</v>
      </c>
      <c r="J1234" s="0" t="s">
        <v>4113</v>
      </c>
      <c r="K1234" s="0" t="s">
        <v>4114</v>
      </c>
      <c r="L1234" s="0" t="str">
        <f aca="false">HYPERLINK("https://www.ncbi.nlm.nih.gov/nuccore/CP000304.1?report=graph&amp;tracks=[key:gene_model_track,Options:GeneOnly]&amp;mk=372673:372692|offset_0|444444,372618:372637|offset_55|444444,372595:372614|offset_78|444444,372573:372592|offset_100|00cc00&amp;v=372472:372792&amp;c=444444", "offset 100")</f>
        <v>offset 100</v>
      </c>
    </row>
    <row r="1235" customFormat="false" ht="12.8" hidden="false" customHeight="false" outlineLevel="0" collapsed="false">
      <c r="A1235" s="0" t="s">
        <v>12</v>
      </c>
      <c r="B1235" s="0" t="n">
        <v>373675</v>
      </c>
      <c r="C1235" s="0" t="n">
        <v>373695</v>
      </c>
      <c r="D1235" s="0" t="s">
        <v>4115</v>
      </c>
      <c r="E1235" s="0" t="s">
        <v>89</v>
      </c>
      <c r="F1235" s="0" t="s">
        <v>90</v>
      </c>
      <c r="G1235" s="0" t="s">
        <v>36</v>
      </c>
      <c r="H1235" s="0" t="n">
        <v>0</v>
      </c>
      <c r="I1235" s="0" t="s">
        <v>4116</v>
      </c>
      <c r="J1235" s="0" t="s">
        <v>4117</v>
      </c>
      <c r="K1235" s="0" t="s">
        <v>4118</v>
      </c>
      <c r="L1235" s="0" t="str">
        <f aca="false">HYPERLINK("https://www.ncbi.nlm.nih.gov/nuccore/CP000304.1?report=graph&amp;tracks=[key:gene_model_track,Options:GeneOnly]&amp;mk=373676:373695|offset_0|00cc00,373652:373671|offset_24|444444,373615:373634|offset_61|444444,373568:373587|offset_108|444444&amp;v=373475:373787&amp;c=444444", "offset 0")</f>
        <v>offset 0</v>
      </c>
    </row>
    <row r="1236" customFormat="false" ht="12.8" hidden="false" customHeight="false" outlineLevel="0" collapsed="false">
      <c r="A1236" s="0" t="s">
        <v>12</v>
      </c>
      <c r="B1236" s="0" t="n">
        <v>373651</v>
      </c>
      <c r="C1236" s="0" t="n">
        <v>373671</v>
      </c>
      <c r="D1236" s="0" t="s">
        <v>4115</v>
      </c>
      <c r="E1236" s="0" t="s">
        <v>89</v>
      </c>
      <c r="F1236" s="0" t="s">
        <v>90</v>
      </c>
      <c r="G1236" s="0" t="s">
        <v>36</v>
      </c>
      <c r="H1236" s="0" t="n">
        <v>24</v>
      </c>
      <c r="I1236" s="0" t="s">
        <v>4119</v>
      </c>
      <c r="J1236" s="0" t="s">
        <v>4120</v>
      </c>
      <c r="K1236" s="0" t="s">
        <v>4121</v>
      </c>
      <c r="L1236" s="0" t="str">
        <f aca="false">HYPERLINK("https://www.ncbi.nlm.nih.gov/nuccore/CP000304.1?report=graph&amp;tracks=[key:gene_model_track,Options:GeneOnly]&amp;mk=373676:373695|offset_0|444444,373652:373671|offset_24|00cc00,373615:373634|offset_61|444444,373568:373587|offset_108|444444&amp;v=373475:373787&amp;c=444444", "offset 24")</f>
        <v>offset 24</v>
      </c>
    </row>
    <row r="1237" customFormat="false" ht="12.8" hidden="false" customHeight="false" outlineLevel="0" collapsed="false">
      <c r="A1237" s="0" t="s">
        <v>12</v>
      </c>
      <c r="B1237" s="0" t="n">
        <v>373614</v>
      </c>
      <c r="C1237" s="0" t="n">
        <v>373634</v>
      </c>
      <c r="D1237" s="0" t="s">
        <v>4115</v>
      </c>
      <c r="E1237" s="0" t="s">
        <v>89</v>
      </c>
      <c r="F1237" s="0" t="s">
        <v>90</v>
      </c>
      <c r="G1237" s="0" t="s">
        <v>36</v>
      </c>
      <c r="H1237" s="0" t="n">
        <v>61</v>
      </c>
      <c r="I1237" s="0" t="s">
        <v>4122</v>
      </c>
      <c r="J1237" s="0" t="s">
        <v>4123</v>
      </c>
      <c r="K1237" s="0" t="s">
        <v>4124</v>
      </c>
      <c r="L1237" s="0" t="str">
        <f aca="false">HYPERLINK("https://www.ncbi.nlm.nih.gov/nuccore/CP000304.1?report=graph&amp;tracks=[key:gene_model_track,Options:GeneOnly]&amp;mk=373676:373695|offset_0|444444,373652:373671|offset_24|444444,373615:373634|offset_61|00cc00,373568:373587|offset_108|444444&amp;v=373475:373787&amp;c=444444", "offset 61")</f>
        <v>offset 61</v>
      </c>
    </row>
    <row r="1238" customFormat="false" ht="12.8" hidden="false" customHeight="false" outlineLevel="0" collapsed="false">
      <c r="A1238" s="0" t="s">
        <v>12</v>
      </c>
      <c r="B1238" s="0" t="n">
        <v>373567</v>
      </c>
      <c r="C1238" s="0" t="n">
        <v>373587</v>
      </c>
      <c r="D1238" s="0" t="s">
        <v>4115</v>
      </c>
      <c r="E1238" s="0" t="s">
        <v>89</v>
      </c>
      <c r="F1238" s="0" t="s">
        <v>90</v>
      </c>
      <c r="G1238" s="0" t="s">
        <v>16</v>
      </c>
      <c r="H1238" s="0" t="n">
        <v>108</v>
      </c>
      <c r="I1238" s="0" t="s">
        <v>4125</v>
      </c>
      <c r="J1238" s="0" t="s">
        <v>4126</v>
      </c>
      <c r="K1238" s="0" t="s">
        <v>4127</v>
      </c>
      <c r="L1238" s="0" t="str">
        <f aca="false">HYPERLINK("https://www.ncbi.nlm.nih.gov/nuccore/CP000304.1?report=graph&amp;tracks=[key:gene_model_track,Options:GeneOnly]&amp;mk=373676:373695|offset_0|444444,373652:373671|offset_24|444444,373615:373634|offset_61|444444,373568:373587|offset_108|00cc00&amp;v=373475:373787&amp;c=444444", "offset 108")</f>
        <v>offset 108</v>
      </c>
    </row>
    <row r="1239" customFormat="false" ht="12.8" hidden="false" customHeight="false" outlineLevel="0" collapsed="false">
      <c r="A1239" s="0" t="s">
        <v>12</v>
      </c>
      <c r="B1239" s="0" t="n">
        <v>373810</v>
      </c>
      <c r="C1239" s="0" t="n">
        <v>373830</v>
      </c>
      <c r="D1239" s="0" t="s">
        <v>4128</v>
      </c>
      <c r="E1239" s="0" t="s">
        <v>4129</v>
      </c>
      <c r="F1239" s="0" t="s">
        <v>15</v>
      </c>
      <c r="G1239" s="0" t="s">
        <v>36</v>
      </c>
      <c r="H1239" s="0" t="n">
        <v>0</v>
      </c>
      <c r="I1239" s="0" t="s">
        <v>4130</v>
      </c>
      <c r="J1239" s="0" t="s">
        <v>4131</v>
      </c>
      <c r="K1239" s="0" t="s">
        <v>4132</v>
      </c>
      <c r="L1239" s="0" t="str">
        <f aca="false">HYPERLINK("https://www.ncbi.nlm.nih.gov/nuccore/CP000304.1?report=graph&amp;tracks=[key:gene_model_track,Options:GeneOnly]&amp;mk=373811:373830|offset_0|00cc00,373839:373858|offset_28|444444,373861:373880|offset_50|444444,373899:373918|offset_88|444444&amp;v=373610:374118&amp;c=444444", "offset 0")</f>
        <v>offset 0</v>
      </c>
    </row>
    <row r="1240" customFormat="false" ht="12.8" hidden="false" customHeight="false" outlineLevel="0" collapsed="false">
      <c r="A1240" s="0" t="s">
        <v>12</v>
      </c>
      <c r="B1240" s="0" t="n">
        <v>373838</v>
      </c>
      <c r="C1240" s="0" t="n">
        <v>373858</v>
      </c>
      <c r="D1240" s="0" t="s">
        <v>4128</v>
      </c>
      <c r="E1240" s="0" t="s">
        <v>4129</v>
      </c>
      <c r="F1240" s="0" t="s">
        <v>15</v>
      </c>
      <c r="G1240" s="0" t="s">
        <v>36</v>
      </c>
      <c r="H1240" s="0" t="n">
        <v>28</v>
      </c>
      <c r="I1240" s="0" t="s">
        <v>4133</v>
      </c>
      <c r="J1240" s="0" t="s">
        <v>4134</v>
      </c>
      <c r="K1240" s="0" t="s">
        <v>4135</v>
      </c>
      <c r="L1240" s="0" t="str">
        <f aca="false">HYPERLINK("https://www.ncbi.nlm.nih.gov/nuccore/CP000304.1?report=graph&amp;tracks=[key:gene_model_track,Options:GeneOnly]&amp;mk=373811:373830|offset_0|444444,373839:373858|offset_28|00cc00,373861:373880|offset_50|444444,373899:373918|offset_88|444444&amp;v=373610:374118&amp;c=444444", "offset 28")</f>
        <v>offset 28</v>
      </c>
    </row>
    <row r="1241" customFormat="false" ht="12.8" hidden="false" customHeight="false" outlineLevel="0" collapsed="false">
      <c r="A1241" s="0" t="s">
        <v>12</v>
      </c>
      <c r="B1241" s="0" t="n">
        <v>373860</v>
      </c>
      <c r="C1241" s="0" t="n">
        <v>373880</v>
      </c>
      <c r="D1241" s="0" t="s">
        <v>4128</v>
      </c>
      <c r="E1241" s="0" t="s">
        <v>4129</v>
      </c>
      <c r="F1241" s="0" t="s">
        <v>15</v>
      </c>
      <c r="G1241" s="0" t="s">
        <v>16</v>
      </c>
      <c r="H1241" s="0" t="n">
        <v>50</v>
      </c>
      <c r="I1241" s="0" t="s">
        <v>4136</v>
      </c>
      <c r="J1241" s="0" t="s">
        <v>4137</v>
      </c>
      <c r="K1241" s="0" t="s">
        <v>4138</v>
      </c>
      <c r="L1241" s="0" t="str">
        <f aca="false">HYPERLINK("https://www.ncbi.nlm.nih.gov/nuccore/CP000304.1?report=graph&amp;tracks=[key:gene_model_track,Options:GeneOnly]&amp;mk=373811:373830|offset_0|444444,373839:373858|offset_28|444444,373861:373880|offset_50|00cc00,373899:373918|offset_88|444444&amp;v=373610:374118&amp;c=444444", "offset 50")</f>
        <v>offset 50</v>
      </c>
    </row>
    <row r="1242" customFormat="false" ht="12.8" hidden="false" customHeight="false" outlineLevel="0" collapsed="false">
      <c r="A1242" s="0" t="s">
        <v>12</v>
      </c>
      <c r="B1242" s="0" t="n">
        <v>373898</v>
      </c>
      <c r="C1242" s="0" t="n">
        <v>373918</v>
      </c>
      <c r="D1242" s="0" t="s">
        <v>4128</v>
      </c>
      <c r="E1242" s="0" t="s">
        <v>4129</v>
      </c>
      <c r="F1242" s="0" t="s">
        <v>15</v>
      </c>
      <c r="G1242" s="0" t="s">
        <v>32</v>
      </c>
      <c r="H1242" s="0" t="n">
        <v>88</v>
      </c>
      <c r="I1242" s="0" t="s">
        <v>4139</v>
      </c>
      <c r="J1242" s="0" t="s">
        <v>4140</v>
      </c>
      <c r="K1242" s="0" t="s">
        <v>4141</v>
      </c>
      <c r="L1242" s="0" t="str">
        <f aca="false">HYPERLINK("https://www.ncbi.nlm.nih.gov/nuccore/CP000304.1?report=graph&amp;tracks=[key:gene_model_track,Options:GeneOnly]&amp;mk=373811:373830|offset_0|444444,373839:373858|offset_28|444444,373861:373880|offset_50|444444,373899:373918|offset_88|00cc00&amp;v=373610:374118&amp;c=444444", "offset 88")</f>
        <v>offset 88</v>
      </c>
    </row>
    <row r="1243" customFormat="false" ht="12.8" hidden="false" customHeight="false" outlineLevel="0" collapsed="false">
      <c r="A1243" s="0" t="s">
        <v>12</v>
      </c>
      <c r="B1243" s="0" t="n">
        <v>374385</v>
      </c>
      <c r="C1243" s="0" t="n">
        <v>374405</v>
      </c>
      <c r="D1243" s="0" t="s">
        <v>4142</v>
      </c>
      <c r="E1243" s="0" t="s">
        <v>4143</v>
      </c>
      <c r="F1243" s="0" t="s">
        <v>15</v>
      </c>
      <c r="G1243" s="0" t="s">
        <v>36</v>
      </c>
      <c r="H1243" s="0" t="n">
        <v>12</v>
      </c>
      <c r="I1243" s="0" t="s">
        <v>4144</v>
      </c>
      <c r="J1243" s="0" t="s">
        <v>4145</v>
      </c>
      <c r="K1243" s="0" t="s">
        <v>4146</v>
      </c>
      <c r="L1243" s="0" t="str">
        <f aca="false">HYPERLINK("https://www.ncbi.nlm.nih.gov/nuccore/CP000304.1?report=graph&amp;tracks=[key:gene_model_track,Options:GeneOnly]&amp;mk=374386:374405|offset_12|00cc00,374436:374455|offset_62|444444,374471:374490|offset_97|444444,374535:374554|offset_161|444444&amp;v=374185:374754&amp;c=444444", "offset 12")</f>
        <v>offset 12</v>
      </c>
    </row>
    <row r="1244" customFormat="false" ht="12.8" hidden="false" customHeight="false" outlineLevel="0" collapsed="false">
      <c r="A1244" s="0" t="s">
        <v>12</v>
      </c>
      <c r="B1244" s="0" t="n">
        <v>374435</v>
      </c>
      <c r="C1244" s="0" t="n">
        <v>374455</v>
      </c>
      <c r="D1244" s="0" t="s">
        <v>4142</v>
      </c>
      <c r="E1244" s="0" t="s">
        <v>4143</v>
      </c>
      <c r="F1244" s="0" t="s">
        <v>15</v>
      </c>
      <c r="G1244" s="0" t="s">
        <v>26</v>
      </c>
      <c r="H1244" s="0" t="n">
        <v>62</v>
      </c>
      <c r="I1244" s="0" t="s">
        <v>4147</v>
      </c>
      <c r="J1244" s="0" t="s">
        <v>4148</v>
      </c>
      <c r="K1244" s="0" t="s">
        <v>4149</v>
      </c>
      <c r="L1244" s="0" t="str">
        <f aca="false">HYPERLINK("https://www.ncbi.nlm.nih.gov/nuccore/CP000304.1?report=graph&amp;tracks=[key:gene_model_track,Options:GeneOnly]&amp;mk=374386:374405|offset_12|444444,374436:374455|offset_62|00cc00,374471:374490|offset_97|444444,374535:374554|offset_161|444444&amp;v=374185:374754&amp;c=444444", "offset 62")</f>
        <v>offset 62</v>
      </c>
    </row>
    <row r="1245" customFormat="false" ht="12.8" hidden="false" customHeight="false" outlineLevel="0" collapsed="false">
      <c r="A1245" s="0" t="s">
        <v>12</v>
      </c>
      <c r="B1245" s="0" t="n">
        <v>374470</v>
      </c>
      <c r="C1245" s="0" t="n">
        <v>374490</v>
      </c>
      <c r="D1245" s="0" t="s">
        <v>4142</v>
      </c>
      <c r="E1245" s="0" t="s">
        <v>4143</v>
      </c>
      <c r="F1245" s="0" t="s">
        <v>15</v>
      </c>
      <c r="G1245" s="0" t="s">
        <v>32</v>
      </c>
      <c r="H1245" s="0" t="n">
        <v>97</v>
      </c>
      <c r="I1245" s="0" t="s">
        <v>4150</v>
      </c>
      <c r="J1245" s="0" t="s">
        <v>4151</v>
      </c>
      <c r="K1245" s="0" t="s">
        <v>4152</v>
      </c>
      <c r="L1245" s="0" t="str">
        <f aca="false">HYPERLINK("https://www.ncbi.nlm.nih.gov/nuccore/CP000304.1?report=graph&amp;tracks=[key:gene_model_track,Options:GeneOnly]&amp;mk=374386:374405|offset_12|444444,374436:374455|offset_62|444444,374471:374490|offset_97|00cc00,374535:374554|offset_161|444444&amp;v=374185:374754&amp;c=444444", "offset 97")</f>
        <v>offset 97</v>
      </c>
    </row>
    <row r="1246" customFormat="false" ht="12.8" hidden="false" customHeight="false" outlineLevel="0" collapsed="false">
      <c r="A1246" s="0" t="s">
        <v>12</v>
      </c>
      <c r="B1246" s="0" t="n">
        <v>374534</v>
      </c>
      <c r="C1246" s="0" t="n">
        <v>374554</v>
      </c>
      <c r="D1246" s="0" t="s">
        <v>4142</v>
      </c>
      <c r="E1246" s="0" t="s">
        <v>4143</v>
      </c>
      <c r="F1246" s="0" t="s">
        <v>15</v>
      </c>
      <c r="G1246" s="0" t="s">
        <v>26</v>
      </c>
      <c r="H1246" s="0" t="n">
        <v>161</v>
      </c>
      <c r="I1246" s="0" t="s">
        <v>4153</v>
      </c>
      <c r="J1246" s="0" t="s">
        <v>4154</v>
      </c>
      <c r="K1246" s="0" t="s">
        <v>4155</v>
      </c>
      <c r="L1246" s="0" t="str">
        <f aca="false">HYPERLINK("https://www.ncbi.nlm.nih.gov/nuccore/CP000304.1?report=graph&amp;tracks=[key:gene_model_track,Options:GeneOnly]&amp;mk=374386:374405|offset_12|444444,374436:374455|offset_62|444444,374471:374490|offset_97|444444,374535:374554|offset_161|00cc00&amp;v=374185:374754&amp;c=444444", "offset 161")</f>
        <v>offset 161</v>
      </c>
    </row>
    <row r="1247" customFormat="false" ht="12.8" hidden="false" customHeight="false" outlineLevel="0" collapsed="false">
      <c r="A1247" s="0" t="s">
        <v>12</v>
      </c>
      <c r="B1247" s="0" t="n">
        <v>375685</v>
      </c>
      <c r="C1247" s="0" t="n">
        <v>375705</v>
      </c>
      <c r="D1247" s="0" t="s">
        <v>4156</v>
      </c>
      <c r="E1247" s="0" t="s">
        <v>89</v>
      </c>
      <c r="F1247" s="0" t="s">
        <v>90</v>
      </c>
      <c r="G1247" s="0" t="s">
        <v>26</v>
      </c>
      <c r="H1247" s="0" t="n">
        <v>38</v>
      </c>
      <c r="I1247" s="0" t="s">
        <v>4157</v>
      </c>
      <c r="J1247" s="0" t="s">
        <v>4158</v>
      </c>
      <c r="K1247" s="0" t="s">
        <v>4159</v>
      </c>
      <c r="L1247" s="0" t="str">
        <f aca="false">HYPERLINK("https://www.ncbi.nlm.nih.gov/nuccore/CP000304.1?report=graph&amp;tracks=[key:gene_model_track,Options:GeneOnly]&amp;mk=375686:375705|offset_38|00cc00,375662:375681|offset_62|444444,375628:375647|offset_96|444444,375572:375591|offset_152|444444&amp;v=375485:375791&amp;c=444444", "offset 38")</f>
        <v>offset 38</v>
      </c>
    </row>
    <row r="1248" customFormat="false" ht="12.8" hidden="false" customHeight="false" outlineLevel="0" collapsed="false">
      <c r="A1248" s="0" t="s">
        <v>12</v>
      </c>
      <c r="B1248" s="0" t="n">
        <v>375661</v>
      </c>
      <c r="C1248" s="0" t="n">
        <v>375681</v>
      </c>
      <c r="D1248" s="0" t="s">
        <v>4156</v>
      </c>
      <c r="E1248" s="0" t="s">
        <v>89</v>
      </c>
      <c r="F1248" s="0" t="s">
        <v>90</v>
      </c>
      <c r="G1248" s="0" t="s">
        <v>16</v>
      </c>
      <c r="H1248" s="0" t="n">
        <v>62</v>
      </c>
      <c r="I1248" s="0" t="s">
        <v>4160</v>
      </c>
      <c r="J1248" s="0" t="s">
        <v>4161</v>
      </c>
      <c r="K1248" s="0" t="s">
        <v>4162</v>
      </c>
      <c r="L1248" s="0" t="str">
        <f aca="false">HYPERLINK("https://www.ncbi.nlm.nih.gov/nuccore/CP000304.1?report=graph&amp;tracks=[key:gene_model_track,Options:GeneOnly]&amp;mk=375686:375705|offset_38|444444,375662:375681|offset_62|00cc00,375628:375647|offset_96|444444,375572:375591|offset_152|444444&amp;v=375485:375791&amp;c=444444", "offset 62")</f>
        <v>offset 62</v>
      </c>
    </row>
    <row r="1249" customFormat="false" ht="12.8" hidden="false" customHeight="false" outlineLevel="0" collapsed="false">
      <c r="A1249" s="0" t="s">
        <v>12</v>
      </c>
      <c r="B1249" s="0" t="n">
        <v>375627</v>
      </c>
      <c r="C1249" s="0" t="n">
        <v>375647</v>
      </c>
      <c r="D1249" s="0" t="s">
        <v>4156</v>
      </c>
      <c r="E1249" s="0" t="s">
        <v>89</v>
      </c>
      <c r="F1249" s="0" t="s">
        <v>90</v>
      </c>
      <c r="G1249" s="0" t="s">
        <v>16</v>
      </c>
      <c r="H1249" s="0" t="n">
        <v>96</v>
      </c>
      <c r="I1249" s="0" t="s">
        <v>4163</v>
      </c>
      <c r="J1249" s="0" t="s">
        <v>4164</v>
      </c>
      <c r="K1249" s="0" t="s">
        <v>4165</v>
      </c>
      <c r="L1249" s="0" t="str">
        <f aca="false">HYPERLINK("https://www.ncbi.nlm.nih.gov/nuccore/CP000304.1?report=graph&amp;tracks=[key:gene_model_track,Options:GeneOnly]&amp;mk=375686:375705|offset_38|444444,375662:375681|offset_62|444444,375628:375647|offset_96|00cc00,375572:375591|offset_152|444444&amp;v=375485:375791&amp;c=444444", "offset 96")</f>
        <v>offset 96</v>
      </c>
    </row>
    <row r="1250" customFormat="false" ht="12.8" hidden="false" customHeight="false" outlineLevel="0" collapsed="false">
      <c r="A1250" s="0" t="s">
        <v>12</v>
      </c>
      <c r="B1250" s="0" t="n">
        <v>375571</v>
      </c>
      <c r="C1250" s="0" t="n">
        <v>375591</v>
      </c>
      <c r="D1250" s="0" t="s">
        <v>4156</v>
      </c>
      <c r="E1250" s="0" t="s">
        <v>89</v>
      </c>
      <c r="F1250" s="0" t="s">
        <v>90</v>
      </c>
      <c r="G1250" s="0" t="s">
        <v>26</v>
      </c>
      <c r="H1250" s="0" t="n">
        <v>152</v>
      </c>
      <c r="I1250" s="0" t="s">
        <v>4166</v>
      </c>
      <c r="J1250" s="0" t="s">
        <v>4167</v>
      </c>
      <c r="K1250" s="0" t="s">
        <v>4168</v>
      </c>
      <c r="L1250" s="0" t="str">
        <f aca="false">HYPERLINK("https://www.ncbi.nlm.nih.gov/nuccore/CP000304.1?report=graph&amp;tracks=[key:gene_model_track,Options:GeneOnly]&amp;mk=375686:375705|offset_38|444444,375662:375681|offset_62|444444,375628:375647|offset_96|444444,375572:375591|offset_152|00cc00&amp;v=375485:375791&amp;c=444444", "offset 152")</f>
        <v>offset 152</v>
      </c>
    </row>
    <row r="1251" customFormat="false" ht="12.8" hidden="false" customHeight="false" outlineLevel="0" collapsed="false">
      <c r="A1251" s="0" t="s">
        <v>12</v>
      </c>
      <c r="B1251" s="0" t="n">
        <v>375905</v>
      </c>
      <c r="C1251" s="0" t="n">
        <v>375925</v>
      </c>
      <c r="D1251" s="0" t="s">
        <v>4169</v>
      </c>
      <c r="E1251" s="0" t="s">
        <v>89</v>
      </c>
      <c r="F1251" s="0" t="s">
        <v>90</v>
      </c>
      <c r="G1251" s="0" t="s">
        <v>16</v>
      </c>
      <c r="H1251" s="0" t="n">
        <v>348</v>
      </c>
      <c r="I1251" s="0" t="s">
        <v>4170</v>
      </c>
      <c r="J1251" s="0" t="s">
        <v>4171</v>
      </c>
      <c r="K1251" s="0" t="s">
        <v>4172</v>
      </c>
      <c r="L1251" s="0" t="str">
        <f aca="false">HYPERLINK("https://www.ncbi.nlm.nih.gov/nuccore/CP000304.1?report=graph&amp;tracks=[key:gene_model_track,Options:GeneOnly]&amp;mk=375906:375925|offset_348|00cc00,375875:375894|offset_379|444444&amp;v=375705:376094&amp;c=444444", "offset 348")</f>
        <v>offset 348</v>
      </c>
    </row>
    <row r="1252" customFormat="false" ht="12.8" hidden="false" customHeight="false" outlineLevel="0" collapsed="false">
      <c r="A1252" s="0" t="s">
        <v>12</v>
      </c>
      <c r="B1252" s="0" t="n">
        <v>375874</v>
      </c>
      <c r="C1252" s="0" t="n">
        <v>375894</v>
      </c>
      <c r="D1252" s="0" t="s">
        <v>4169</v>
      </c>
      <c r="E1252" s="0" t="s">
        <v>89</v>
      </c>
      <c r="F1252" s="0" t="s">
        <v>90</v>
      </c>
      <c r="G1252" s="0" t="s">
        <v>26</v>
      </c>
      <c r="H1252" s="0" t="n">
        <v>379</v>
      </c>
      <c r="I1252" s="0" t="s">
        <v>4173</v>
      </c>
      <c r="J1252" s="0" t="s">
        <v>4174</v>
      </c>
      <c r="K1252" s="0" t="s">
        <v>4175</v>
      </c>
      <c r="L1252" s="0" t="str">
        <f aca="false">HYPERLINK("https://www.ncbi.nlm.nih.gov/nuccore/CP000304.1?report=graph&amp;tracks=[key:gene_model_track,Options:GeneOnly]&amp;mk=375906:375925|offset_348|444444,375875:375894|offset_379|00cc00&amp;v=375705:376094&amp;c=444444", "offset 379")</f>
        <v>offset 379</v>
      </c>
    </row>
    <row r="1253" customFormat="false" ht="12.8" hidden="false" customHeight="false" outlineLevel="0" collapsed="false">
      <c r="A1253" s="0" t="s">
        <v>12</v>
      </c>
      <c r="B1253" s="0" t="n">
        <v>376325</v>
      </c>
      <c r="C1253" s="0" t="n">
        <v>376345</v>
      </c>
      <c r="D1253" s="0" t="s">
        <v>4176</v>
      </c>
      <c r="E1253" s="0" t="s">
        <v>89</v>
      </c>
      <c r="F1253" s="0" t="s">
        <v>15</v>
      </c>
      <c r="G1253" s="0" t="s">
        <v>16</v>
      </c>
      <c r="H1253" s="0" t="n">
        <v>397</v>
      </c>
      <c r="I1253" s="0" t="s">
        <v>4177</v>
      </c>
      <c r="J1253" s="0" t="s">
        <v>4178</v>
      </c>
      <c r="K1253" s="0" t="s">
        <v>4179</v>
      </c>
      <c r="L1253" s="0" t="str">
        <f aca="false">HYPERLINK("https://www.ncbi.nlm.nih.gov/nuccore/CP000304.1?report=graph&amp;tracks=[key:gene_model_track,Options:GeneOnly]&amp;mk=376326:376345|offset_397|00cc00,376349:376368|offset_420|444444&amp;v=376125:376568&amp;c=444444", "offset 397")</f>
        <v>offset 397</v>
      </c>
    </row>
    <row r="1254" customFormat="false" ht="12.8" hidden="false" customHeight="false" outlineLevel="0" collapsed="false">
      <c r="A1254" s="0" t="s">
        <v>12</v>
      </c>
      <c r="B1254" s="0" t="n">
        <v>376348</v>
      </c>
      <c r="C1254" s="0" t="n">
        <v>376368</v>
      </c>
      <c r="D1254" s="0" t="s">
        <v>4176</v>
      </c>
      <c r="E1254" s="0" t="s">
        <v>89</v>
      </c>
      <c r="F1254" s="0" t="s">
        <v>15</v>
      </c>
      <c r="G1254" s="0" t="s">
        <v>16</v>
      </c>
      <c r="H1254" s="0" t="n">
        <v>420</v>
      </c>
      <c r="I1254" s="0" t="s">
        <v>4180</v>
      </c>
      <c r="J1254" s="0" t="s">
        <v>4181</v>
      </c>
      <c r="K1254" s="0" t="s">
        <v>4182</v>
      </c>
      <c r="L1254" s="0" t="str">
        <f aca="false">HYPERLINK("https://www.ncbi.nlm.nih.gov/nuccore/CP000304.1?report=graph&amp;tracks=[key:gene_model_track,Options:GeneOnly]&amp;mk=376326:376345|offset_397|444444,376349:376368|offset_420|00cc00&amp;v=376125:376568&amp;c=444444", "offset 420")</f>
        <v>offset 420</v>
      </c>
    </row>
    <row r="1255" customFormat="false" ht="12.8" hidden="false" customHeight="false" outlineLevel="0" collapsed="false">
      <c r="A1255" s="0" t="s">
        <v>12</v>
      </c>
      <c r="B1255" s="0" t="n">
        <v>376437</v>
      </c>
      <c r="C1255" s="0" t="n">
        <v>376457</v>
      </c>
      <c r="D1255" s="0" t="s">
        <v>4183</v>
      </c>
      <c r="E1255" s="0" t="s">
        <v>4184</v>
      </c>
      <c r="F1255" s="0" t="s">
        <v>15</v>
      </c>
      <c r="G1255" s="0" t="s">
        <v>16</v>
      </c>
      <c r="H1255" s="0" t="n">
        <v>20</v>
      </c>
      <c r="I1255" s="0" t="s">
        <v>4185</v>
      </c>
      <c r="J1255" s="0" t="s">
        <v>4186</v>
      </c>
      <c r="K1255" s="0" t="s">
        <v>4187</v>
      </c>
      <c r="L1255" s="0" t="str">
        <f aca="false">HYPERLINK("https://www.ncbi.nlm.nih.gov/nuccore/CP000304.1?report=graph&amp;tracks=[key:gene_model_track,Options:GeneOnly]&amp;mk=376438:376457|offset_20|00cc00,376468:376487|offset_50|444444,376497:376516|offset_79|444444,376521:376540|offset_103|444444&amp;v=376237:376740&amp;c=444444", "offset 20")</f>
        <v>offset 20</v>
      </c>
    </row>
    <row r="1256" customFormat="false" ht="12.8" hidden="false" customHeight="false" outlineLevel="0" collapsed="false">
      <c r="A1256" s="0" t="s">
        <v>12</v>
      </c>
      <c r="B1256" s="0" t="n">
        <v>376467</v>
      </c>
      <c r="C1256" s="0" t="n">
        <v>376487</v>
      </c>
      <c r="D1256" s="0" t="s">
        <v>4183</v>
      </c>
      <c r="E1256" s="0" t="s">
        <v>4184</v>
      </c>
      <c r="F1256" s="0" t="s">
        <v>15</v>
      </c>
      <c r="G1256" s="0" t="s">
        <v>16</v>
      </c>
      <c r="H1256" s="0" t="n">
        <v>50</v>
      </c>
      <c r="I1256" s="0" t="s">
        <v>4188</v>
      </c>
      <c r="J1256" s="0" t="s">
        <v>4189</v>
      </c>
      <c r="K1256" s="0" t="s">
        <v>4190</v>
      </c>
      <c r="L1256" s="0" t="str">
        <f aca="false">HYPERLINK("https://www.ncbi.nlm.nih.gov/nuccore/CP000304.1?report=graph&amp;tracks=[key:gene_model_track,Options:GeneOnly]&amp;mk=376438:376457|offset_20|444444,376468:376487|offset_50|00cc00,376497:376516|offset_79|444444,376521:376540|offset_103|444444&amp;v=376237:376740&amp;c=444444", "offset 50")</f>
        <v>offset 50</v>
      </c>
    </row>
    <row r="1257" customFormat="false" ht="12.8" hidden="false" customHeight="false" outlineLevel="0" collapsed="false">
      <c r="A1257" s="0" t="s">
        <v>12</v>
      </c>
      <c r="B1257" s="0" t="n">
        <v>376496</v>
      </c>
      <c r="C1257" s="0" t="n">
        <v>376516</v>
      </c>
      <c r="D1257" s="0" t="s">
        <v>4183</v>
      </c>
      <c r="E1257" s="0" t="s">
        <v>4184</v>
      </c>
      <c r="F1257" s="0" t="s">
        <v>15</v>
      </c>
      <c r="G1257" s="0" t="s">
        <v>32</v>
      </c>
      <c r="H1257" s="0" t="n">
        <v>79</v>
      </c>
      <c r="I1257" s="0" t="s">
        <v>4191</v>
      </c>
      <c r="J1257" s="0" t="s">
        <v>4192</v>
      </c>
      <c r="K1257" s="0" t="s">
        <v>4193</v>
      </c>
      <c r="L1257" s="0" t="str">
        <f aca="false">HYPERLINK("https://www.ncbi.nlm.nih.gov/nuccore/CP000304.1?report=graph&amp;tracks=[key:gene_model_track,Options:GeneOnly]&amp;mk=376438:376457|offset_20|444444,376468:376487|offset_50|444444,376497:376516|offset_79|00cc00,376521:376540|offset_103|444444&amp;v=376237:376740&amp;c=444444", "offset 79")</f>
        <v>offset 79</v>
      </c>
    </row>
    <row r="1258" customFormat="false" ht="12.8" hidden="false" customHeight="false" outlineLevel="0" collapsed="false">
      <c r="A1258" s="0" t="s">
        <v>12</v>
      </c>
      <c r="B1258" s="0" t="n">
        <v>376520</v>
      </c>
      <c r="C1258" s="0" t="n">
        <v>376540</v>
      </c>
      <c r="D1258" s="0" t="s">
        <v>4183</v>
      </c>
      <c r="E1258" s="0" t="s">
        <v>4184</v>
      </c>
      <c r="F1258" s="0" t="s">
        <v>15</v>
      </c>
      <c r="G1258" s="0" t="s">
        <v>16</v>
      </c>
      <c r="H1258" s="0" t="n">
        <v>103</v>
      </c>
      <c r="I1258" s="0" t="s">
        <v>4194</v>
      </c>
      <c r="J1258" s="0" t="s">
        <v>4195</v>
      </c>
      <c r="K1258" s="0" t="s">
        <v>4196</v>
      </c>
      <c r="L1258" s="0" t="str">
        <f aca="false">HYPERLINK("https://www.ncbi.nlm.nih.gov/nuccore/CP000304.1?report=graph&amp;tracks=[key:gene_model_track,Options:GeneOnly]&amp;mk=376438:376457|offset_20|444444,376468:376487|offset_50|444444,376497:376516|offset_79|444444,376521:376540|offset_103|00cc00&amp;v=376237:376740&amp;c=444444", "offset 103")</f>
        <v>offset 103</v>
      </c>
    </row>
    <row r="1259" customFormat="false" ht="12.8" hidden="false" customHeight="false" outlineLevel="0" collapsed="false">
      <c r="A1259" s="0" t="s">
        <v>12</v>
      </c>
      <c r="B1259" s="0" t="n">
        <v>379112</v>
      </c>
      <c r="C1259" s="0" t="n">
        <v>379132</v>
      </c>
      <c r="D1259" s="0" t="s">
        <v>4197</v>
      </c>
      <c r="E1259" s="0" t="s">
        <v>4198</v>
      </c>
      <c r="F1259" s="0" t="s">
        <v>15</v>
      </c>
      <c r="G1259" s="0" t="s">
        <v>32</v>
      </c>
      <c r="H1259" s="0" t="n">
        <v>1</v>
      </c>
      <c r="I1259" s="0" t="s">
        <v>4199</v>
      </c>
      <c r="J1259" s="0" t="s">
        <v>4200</v>
      </c>
      <c r="K1259" s="0" t="s">
        <v>4201</v>
      </c>
      <c r="L1259" s="0" t="str">
        <f aca="false">HYPERLINK("https://www.ncbi.nlm.nih.gov/nuccore/CP000304.1?report=graph&amp;tracks=[key:gene_model_track,Options:GeneOnly]&amp;mk=379113:379132|offset_1|00cc00,379141:379160|offset_29|444444,379170:379189|offset_58|444444,379228:379247|offset_116|444444&amp;v=378912:379447&amp;c=444444", "offset 1")</f>
        <v>offset 1</v>
      </c>
    </row>
    <row r="1260" customFormat="false" ht="12.8" hidden="false" customHeight="false" outlineLevel="0" collapsed="false">
      <c r="A1260" s="0" t="s">
        <v>12</v>
      </c>
      <c r="B1260" s="0" t="n">
        <v>379140</v>
      </c>
      <c r="C1260" s="0" t="n">
        <v>379160</v>
      </c>
      <c r="D1260" s="0" t="s">
        <v>4197</v>
      </c>
      <c r="E1260" s="0" t="s">
        <v>4198</v>
      </c>
      <c r="F1260" s="0" t="s">
        <v>15</v>
      </c>
      <c r="G1260" s="0" t="s">
        <v>26</v>
      </c>
      <c r="H1260" s="0" t="n">
        <v>29</v>
      </c>
      <c r="I1260" s="0" t="s">
        <v>4202</v>
      </c>
      <c r="J1260" s="0" t="s">
        <v>4203</v>
      </c>
      <c r="K1260" s="0" t="s">
        <v>4204</v>
      </c>
      <c r="L1260" s="0" t="str">
        <f aca="false">HYPERLINK("https://www.ncbi.nlm.nih.gov/nuccore/CP000304.1?report=graph&amp;tracks=[key:gene_model_track,Options:GeneOnly]&amp;mk=379113:379132|offset_1|444444,379141:379160|offset_29|00cc00,379170:379189|offset_58|444444,379228:379247|offset_116|444444&amp;v=378912:379447&amp;c=444444", "offset 29")</f>
        <v>offset 29</v>
      </c>
    </row>
    <row r="1261" customFormat="false" ht="12.8" hidden="false" customHeight="false" outlineLevel="0" collapsed="false">
      <c r="A1261" s="0" t="s">
        <v>12</v>
      </c>
      <c r="B1261" s="0" t="n">
        <v>379169</v>
      </c>
      <c r="C1261" s="0" t="n">
        <v>379189</v>
      </c>
      <c r="D1261" s="0" t="s">
        <v>4197</v>
      </c>
      <c r="E1261" s="0" t="s">
        <v>4198</v>
      </c>
      <c r="F1261" s="0" t="s">
        <v>15</v>
      </c>
      <c r="G1261" s="0" t="s">
        <v>36</v>
      </c>
      <c r="H1261" s="0" t="n">
        <v>58</v>
      </c>
      <c r="I1261" s="0" t="s">
        <v>4205</v>
      </c>
      <c r="J1261" s="0" t="s">
        <v>4206</v>
      </c>
      <c r="K1261" s="0" t="s">
        <v>4207</v>
      </c>
      <c r="L1261" s="0" t="str">
        <f aca="false">HYPERLINK("https://www.ncbi.nlm.nih.gov/nuccore/CP000304.1?report=graph&amp;tracks=[key:gene_model_track,Options:GeneOnly]&amp;mk=379113:379132|offset_1|444444,379141:379160|offset_29|444444,379170:379189|offset_58|00cc00,379228:379247|offset_116|444444&amp;v=378912:379447&amp;c=444444", "offset 58")</f>
        <v>offset 58</v>
      </c>
    </row>
    <row r="1262" customFormat="false" ht="12.8" hidden="false" customHeight="false" outlineLevel="0" collapsed="false">
      <c r="A1262" s="0" t="s">
        <v>12</v>
      </c>
      <c r="B1262" s="0" t="n">
        <v>379227</v>
      </c>
      <c r="C1262" s="0" t="n">
        <v>379247</v>
      </c>
      <c r="D1262" s="0" t="s">
        <v>4197</v>
      </c>
      <c r="E1262" s="0" t="s">
        <v>4198</v>
      </c>
      <c r="F1262" s="0" t="s">
        <v>15</v>
      </c>
      <c r="G1262" s="0" t="s">
        <v>32</v>
      </c>
      <c r="H1262" s="0" t="n">
        <v>116</v>
      </c>
      <c r="I1262" s="0" t="s">
        <v>4208</v>
      </c>
      <c r="J1262" s="0" t="s">
        <v>4209</v>
      </c>
      <c r="K1262" s="0" t="s">
        <v>4210</v>
      </c>
      <c r="L1262" s="0" t="str">
        <f aca="false">HYPERLINK("https://www.ncbi.nlm.nih.gov/nuccore/CP000304.1?report=graph&amp;tracks=[key:gene_model_track,Options:GeneOnly]&amp;mk=379113:379132|offset_1|444444,379141:379160|offset_29|444444,379170:379189|offset_58|444444,379228:379247|offset_116|00cc00&amp;v=378912:379447&amp;c=444444", "offset 116")</f>
        <v>offset 116</v>
      </c>
    </row>
    <row r="1263" customFormat="false" ht="12.8" hidden="false" customHeight="false" outlineLevel="0" collapsed="false">
      <c r="A1263" s="0" t="s">
        <v>12</v>
      </c>
      <c r="B1263" s="0" t="n">
        <v>380125</v>
      </c>
      <c r="C1263" s="0" t="n">
        <v>380145</v>
      </c>
      <c r="D1263" s="0" t="s">
        <v>4211</v>
      </c>
      <c r="E1263" s="0" t="s">
        <v>89</v>
      </c>
      <c r="F1263" s="0" t="s">
        <v>15</v>
      </c>
      <c r="G1263" s="0" t="s">
        <v>16</v>
      </c>
      <c r="H1263" s="0" t="n">
        <v>0</v>
      </c>
      <c r="I1263" s="0" t="s">
        <v>4212</v>
      </c>
      <c r="J1263" s="0" t="s">
        <v>4213</v>
      </c>
      <c r="K1263" s="0" t="s">
        <v>4214</v>
      </c>
      <c r="L1263" s="0" t="str">
        <f aca="false">HYPERLINK("https://www.ncbi.nlm.nih.gov/nuccore/CP000304.1?report=graph&amp;tracks=[key:gene_model_track,Options:GeneOnly]&amp;mk=380126:380145|offset_0|00cc00,380155:380174|offset_29|444444,380178:380197|offset_52|444444,380227:380246|offset_101|444444&amp;v=379925:380446&amp;c=444444", "offset 0")</f>
        <v>offset 0</v>
      </c>
    </row>
    <row r="1264" customFormat="false" ht="12.8" hidden="false" customHeight="false" outlineLevel="0" collapsed="false">
      <c r="A1264" s="0" t="s">
        <v>12</v>
      </c>
      <c r="B1264" s="0" t="n">
        <v>380154</v>
      </c>
      <c r="C1264" s="0" t="n">
        <v>380174</v>
      </c>
      <c r="D1264" s="0" t="s">
        <v>4211</v>
      </c>
      <c r="E1264" s="0" t="s">
        <v>89</v>
      </c>
      <c r="F1264" s="0" t="s">
        <v>15</v>
      </c>
      <c r="G1264" s="0" t="s">
        <v>32</v>
      </c>
      <c r="H1264" s="0" t="n">
        <v>29</v>
      </c>
      <c r="I1264" s="0" t="s">
        <v>4215</v>
      </c>
      <c r="J1264" s="0" t="s">
        <v>4216</v>
      </c>
      <c r="K1264" s="0" t="s">
        <v>4217</v>
      </c>
      <c r="L1264" s="0" t="str">
        <f aca="false">HYPERLINK("https://www.ncbi.nlm.nih.gov/nuccore/CP000304.1?report=graph&amp;tracks=[key:gene_model_track,Options:GeneOnly]&amp;mk=380126:380145|offset_0|444444,380155:380174|offset_29|00cc00,380178:380197|offset_52|444444,380227:380246|offset_101|444444&amp;v=379925:380446&amp;c=444444", "offset 29")</f>
        <v>offset 29</v>
      </c>
    </row>
    <row r="1265" customFormat="false" ht="12.8" hidden="false" customHeight="false" outlineLevel="0" collapsed="false">
      <c r="A1265" s="0" t="s">
        <v>12</v>
      </c>
      <c r="B1265" s="0" t="n">
        <v>380177</v>
      </c>
      <c r="C1265" s="0" t="n">
        <v>380197</v>
      </c>
      <c r="D1265" s="0" t="s">
        <v>4211</v>
      </c>
      <c r="E1265" s="0" t="s">
        <v>89</v>
      </c>
      <c r="F1265" s="0" t="s">
        <v>15</v>
      </c>
      <c r="G1265" s="0" t="s">
        <v>32</v>
      </c>
      <c r="H1265" s="0" t="n">
        <v>52</v>
      </c>
      <c r="I1265" s="0" t="s">
        <v>4218</v>
      </c>
      <c r="J1265" s="0" t="s">
        <v>4219</v>
      </c>
      <c r="K1265" s="0" t="s">
        <v>4220</v>
      </c>
      <c r="L1265" s="0" t="str">
        <f aca="false">HYPERLINK("https://www.ncbi.nlm.nih.gov/nuccore/CP000304.1?report=graph&amp;tracks=[key:gene_model_track,Options:GeneOnly]&amp;mk=380126:380145|offset_0|444444,380155:380174|offset_29|444444,380178:380197|offset_52|00cc00,380227:380246|offset_101|444444&amp;v=379925:380446&amp;c=444444", "offset 52")</f>
        <v>offset 52</v>
      </c>
    </row>
    <row r="1266" customFormat="false" ht="12.8" hidden="false" customHeight="false" outlineLevel="0" collapsed="false">
      <c r="A1266" s="0" t="s">
        <v>12</v>
      </c>
      <c r="B1266" s="0" t="n">
        <v>380226</v>
      </c>
      <c r="C1266" s="0" t="n">
        <v>380246</v>
      </c>
      <c r="D1266" s="0" t="s">
        <v>4211</v>
      </c>
      <c r="E1266" s="0" t="s">
        <v>89</v>
      </c>
      <c r="F1266" s="0" t="s">
        <v>15</v>
      </c>
      <c r="G1266" s="0" t="s">
        <v>16</v>
      </c>
      <c r="H1266" s="0" t="n">
        <v>101</v>
      </c>
      <c r="I1266" s="0" t="s">
        <v>4221</v>
      </c>
      <c r="J1266" s="0" t="s">
        <v>4222</v>
      </c>
      <c r="K1266" s="0" t="s">
        <v>4223</v>
      </c>
      <c r="L1266" s="0" t="str">
        <f aca="false">HYPERLINK("https://www.ncbi.nlm.nih.gov/nuccore/CP000304.1?report=graph&amp;tracks=[key:gene_model_track,Options:GeneOnly]&amp;mk=380126:380145|offset_0|444444,380155:380174|offset_29|444444,380178:380197|offset_52|444444,380227:380246|offset_101|00cc00&amp;v=379925:380446&amp;c=444444", "offset 101")</f>
        <v>offset 101</v>
      </c>
    </row>
    <row r="1267" customFormat="false" ht="12.8" hidden="false" customHeight="false" outlineLevel="0" collapsed="false">
      <c r="A1267" s="0" t="s">
        <v>12</v>
      </c>
      <c r="B1267" s="0" t="n">
        <v>380825</v>
      </c>
      <c r="C1267" s="0" t="n">
        <v>380845</v>
      </c>
      <c r="D1267" s="0" t="s">
        <v>4224</v>
      </c>
      <c r="E1267" s="0" t="s">
        <v>89</v>
      </c>
      <c r="F1267" s="0" t="s">
        <v>15</v>
      </c>
      <c r="G1267" s="0" t="s">
        <v>36</v>
      </c>
      <c r="H1267" s="0" t="n">
        <v>16</v>
      </c>
      <c r="I1267" s="0" t="s">
        <v>4225</v>
      </c>
      <c r="J1267" s="0" t="s">
        <v>4226</v>
      </c>
      <c r="K1267" s="0" t="s">
        <v>4227</v>
      </c>
      <c r="L1267" s="0" t="str">
        <f aca="false">HYPERLINK("https://www.ncbi.nlm.nih.gov/nuccore/CP000304.1?report=graph&amp;tracks=[key:gene_model_track,Options:GeneOnly]&amp;mk=380826:380845|offset_16|00cc00,380859:380878|offset_49|444444,380892:380911|offset_82|444444,380945:380964|offset_135|444444&amp;v=380625:381164&amp;c=444444", "offset 16")</f>
        <v>offset 16</v>
      </c>
    </row>
    <row r="1268" customFormat="false" ht="12.8" hidden="false" customHeight="false" outlineLevel="0" collapsed="false">
      <c r="A1268" s="0" t="s">
        <v>12</v>
      </c>
      <c r="B1268" s="0" t="n">
        <v>380858</v>
      </c>
      <c r="C1268" s="0" t="n">
        <v>380878</v>
      </c>
      <c r="D1268" s="0" t="s">
        <v>4224</v>
      </c>
      <c r="E1268" s="0" t="s">
        <v>89</v>
      </c>
      <c r="F1268" s="0" t="s">
        <v>15</v>
      </c>
      <c r="G1268" s="0" t="s">
        <v>16</v>
      </c>
      <c r="H1268" s="0" t="n">
        <v>49</v>
      </c>
      <c r="I1268" s="0" t="s">
        <v>4228</v>
      </c>
      <c r="J1268" s="0" t="s">
        <v>4229</v>
      </c>
      <c r="K1268" s="0" t="s">
        <v>4230</v>
      </c>
      <c r="L1268" s="0" t="str">
        <f aca="false">HYPERLINK("https://www.ncbi.nlm.nih.gov/nuccore/CP000304.1?report=graph&amp;tracks=[key:gene_model_track,Options:GeneOnly]&amp;mk=380826:380845|offset_16|444444,380859:380878|offset_49|00cc00,380892:380911|offset_82|444444,380945:380964|offset_135|444444&amp;v=380625:381164&amp;c=444444", "offset 49")</f>
        <v>offset 49</v>
      </c>
    </row>
    <row r="1269" customFormat="false" ht="12.8" hidden="false" customHeight="false" outlineLevel="0" collapsed="false">
      <c r="A1269" s="0" t="s">
        <v>12</v>
      </c>
      <c r="B1269" s="0" t="n">
        <v>380891</v>
      </c>
      <c r="C1269" s="0" t="n">
        <v>380911</v>
      </c>
      <c r="D1269" s="0" t="s">
        <v>4224</v>
      </c>
      <c r="E1269" s="0" t="s">
        <v>89</v>
      </c>
      <c r="F1269" s="0" t="s">
        <v>15</v>
      </c>
      <c r="G1269" s="0" t="s">
        <v>32</v>
      </c>
      <c r="H1269" s="0" t="n">
        <v>82</v>
      </c>
      <c r="I1269" s="0" t="s">
        <v>4231</v>
      </c>
      <c r="J1269" s="0" t="s">
        <v>4232</v>
      </c>
      <c r="K1269" s="0" t="s">
        <v>4233</v>
      </c>
      <c r="L1269" s="0" t="str">
        <f aca="false">HYPERLINK("https://www.ncbi.nlm.nih.gov/nuccore/CP000304.1?report=graph&amp;tracks=[key:gene_model_track,Options:GeneOnly]&amp;mk=380826:380845|offset_16|444444,380859:380878|offset_49|444444,380892:380911|offset_82|00cc00,380945:380964|offset_135|444444&amp;v=380625:381164&amp;c=444444", "offset 82")</f>
        <v>offset 82</v>
      </c>
    </row>
    <row r="1270" customFormat="false" ht="12.8" hidden="false" customHeight="false" outlineLevel="0" collapsed="false">
      <c r="A1270" s="0" t="s">
        <v>12</v>
      </c>
      <c r="B1270" s="0" t="n">
        <v>380944</v>
      </c>
      <c r="C1270" s="0" t="n">
        <v>380964</v>
      </c>
      <c r="D1270" s="0" t="s">
        <v>4224</v>
      </c>
      <c r="E1270" s="0" t="s">
        <v>89</v>
      </c>
      <c r="F1270" s="0" t="s">
        <v>15</v>
      </c>
      <c r="G1270" s="0" t="s">
        <v>26</v>
      </c>
      <c r="H1270" s="0" t="n">
        <v>135</v>
      </c>
      <c r="I1270" s="0" t="s">
        <v>4234</v>
      </c>
      <c r="J1270" s="0" t="s">
        <v>4235</v>
      </c>
      <c r="K1270" s="0" t="s">
        <v>4236</v>
      </c>
      <c r="L1270" s="0" t="str">
        <f aca="false">HYPERLINK("https://www.ncbi.nlm.nih.gov/nuccore/CP000304.1?report=graph&amp;tracks=[key:gene_model_track,Options:GeneOnly]&amp;mk=380826:380845|offset_16|444444,380859:380878|offset_49|444444,380892:380911|offset_82|444444,380945:380964|offset_135|00cc00&amp;v=380625:381164&amp;c=444444", "offset 135")</f>
        <v>offset 135</v>
      </c>
    </row>
    <row r="1271" customFormat="false" ht="12.8" hidden="false" customHeight="false" outlineLevel="0" collapsed="false">
      <c r="A1271" s="0" t="s">
        <v>12</v>
      </c>
      <c r="B1271" s="0" t="n">
        <v>381089</v>
      </c>
      <c r="C1271" s="0" t="n">
        <v>381109</v>
      </c>
      <c r="D1271" s="0" t="s">
        <v>4237</v>
      </c>
      <c r="E1271" s="0" t="s">
        <v>4238</v>
      </c>
      <c r="F1271" s="0" t="s">
        <v>15</v>
      </c>
      <c r="G1271" s="0" t="s">
        <v>36</v>
      </c>
      <c r="H1271" s="0" t="n">
        <v>0</v>
      </c>
      <c r="I1271" s="0" t="s">
        <v>4239</v>
      </c>
      <c r="J1271" s="0" t="s">
        <v>4240</v>
      </c>
      <c r="K1271" s="0" t="s">
        <v>4241</v>
      </c>
      <c r="L1271" s="0" t="str">
        <f aca="false">HYPERLINK("https://www.ncbi.nlm.nih.gov/nuccore/CP000304.1?report=graph&amp;tracks=[key:gene_model_track,Options:GeneOnly]&amp;mk=381090:381109|offset_0|00cc00,381110:381129|offset_20|444444,381162:381181|offset_72|444444,381200:381219|offset_110|444444&amp;v=380889:381419&amp;c=444444", "offset 0")</f>
        <v>offset 0</v>
      </c>
    </row>
    <row r="1272" customFormat="false" ht="12.8" hidden="false" customHeight="false" outlineLevel="0" collapsed="false">
      <c r="A1272" s="0" t="s">
        <v>12</v>
      </c>
      <c r="B1272" s="0" t="n">
        <v>381109</v>
      </c>
      <c r="C1272" s="0" t="n">
        <v>381129</v>
      </c>
      <c r="D1272" s="0" t="s">
        <v>4237</v>
      </c>
      <c r="E1272" s="0" t="s">
        <v>4238</v>
      </c>
      <c r="F1272" s="0" t="s">
        <v>15</v>
      </c>
      <c r="G1272" s="0" t="s">
        <v>26</v>
      </c>
      <c r="H1272" s="0" t="n">
        <v>20</v>
      </c>
      <c r="I1272" s="0" t="s">
        <v>4242</v>
      </c>
      <c r="J1272" s="0" t="s">
        <v>4243</v>
      </c>
      <c r="K1272" s="0" t="s">
        <v>4244</v>
      </c>
      <c r="L1272" s="0" t="str">
        <f aca="false">HYPERLINK("https://www.ncbi.nlm.nih.gov/nuccore/CP000304.1?report=graph&amp;tracks=[key:gene_model_track,Options:GeneOnly]&amp;mk=381090:381109|offset_0|444444,381110:381129|offset_20|00cc00,381162:381181|offset_72|444444,381200:381219|offset_110|444444&amp;v=380889:381419&amp;c=444444", "offset 20")</f>
        <v>offset 20</v>
      </c>
    </row>
    <row r="1273" customFormat="false" ht="12.8" hidden="false" customHeight="false" outlineLevel="0" collapsed="false">
      <c r="A1273" s="0" t="s">
        <v>12</v>
      </c>
      <c r="B1273" s="0" t="n">
        <v>381161</v>
      </c>
      <c r="C1273" s="0" t="n">
        <v>381181</v>
      </c>
      <c r="D1273" s="0" t="s">
        <v>4237</v>
      </c>
      <c r="E1273" s="0" t="s">
        <v>4238</v>
      </c>
      <c r="F1273" s="0" t="s">
        <v>15</v>
      </c>
      <c r="G1273" s="0" t="s">
        <v>16</v>
      </c>
      <c r="H1273" s="0" t="n">
        <v>72</v>
      </c>
      <c r="I1273" s="0" t="s">
        <v>4245</v>
      </c>
      <c r="J1273" s="0" t="s">
        <v>4246</v>
      </c>
      <c r="K1273" s="0" t="s">
        <v>4247</v>
      </c>
      <c r="L1273" s="0" t="str">
        <f aca="false">HYPERLINK("https://www.ncbi.nlm.nih.gov/nuccore/CP000304.1?report=graph&amp;tracks=[key:gene_model_track,Options:GeneOnly]&amp;mk=381090:381109|offset_0|444444,381110:381129|offset_20|444444,381162:381181|offset_72|00cc00,381200:381219|offset_110|444444&amp;v=380889:381419&amp;c=444444", "offset 72")</f>
        <v>offset 72</v>
      </c>
    </row>
    <row r="1274" customFormat="false" ht="12.8" hidden="false" customHeight="false" outlineLevel="0" collapsed="false">
      <c r="A1274" s="0" t="s">
        <v>12</v>
      </c>
      <c r="B1274" s="0" t="n">
        <v>381199</v>
      </c>
      <c r="C1274" s="0" t="n">
        <v>381219</v>
      </c>
      <c r="D1274" s="0" t="s">
        <v>4237</v>
      </c>
      <c r="E1274" s="0" t="s">
        <v>4238</v>
      </c>
      <c r="F1274" s="0" t="s">
        <v>15</v>
      </c>
      <c r="G1274" s="0" t="s">
        <v>32</v>
      </c>
      <c r="H1274" s="0" t="n">
        <v>110</v>
      </c>
      <c r="I1274" s="0" t="s">
        <v>4248</v>
      </c>
      <c r="J1274" s="0" t="s">
        <v>4249</v>
      </c>
      <c r="K1274" s="0" t="s">
        <v>4250</v>
      </c>
      <c r="L1274" s="0" t="str">
        <f aca="false">HYPERLINK("https://www.ncbi.nlm.nih.gov/nuccore/CP000304.1?report=graph&amp;tracks=[key:gene_model_track,Options:GeneOnly]&amp;mk=381090:381109|offset_0|444444,381110:381129|offset_20|444444,381162:381181|offset_72|444444,381200:381219|offset_110|00cc00&amp;v=380889:381419&amp;c=444444", "offset 110")</f>
        <v>offset 110</v>
      </c>
    </row>
    <row r="1275" customFormat="false" ht="12.8" hidden="false" customHeight="false" outlineLevel="0" collapsed="false">
      <c r="A1275" s="0" t="s">
        <v>12</v>
      </c>
      <c r="B1275" s="0" t="n">
        <v>381938</v>
      </c>
      <c r="C1275" s="0" t="n">
        <v>381958</v>
      </c>
      <c r="D1275" s="0" t="s">
        <v>4251</v>
      </c>
      <c r="E1275" s="0" t="s">
        <v>89</v>
      </c>
      <c r="F1275" s="0" t="s">
        <v>90</v>
      </c>
      <c r="G1275" s="0" t="s">
        <v>26</v>
      </c>
      <c r="H1275" s="0" t="n">
        <v>113</v>
      </c>
      <c r="I1275" s="0" t="s">
        <v>4252</v>
      </c>
      <c r="J1275" s="0" t="s">
        <v>4253</v>
      </c>
      <c r="K1275" s="0" t="s">
        <v>4254</v>
      </c>
      <c r="L1275" s="0" t="str">
        <f aca="false">HYPERLINK("https://www.ncbi.nlm.nih.gov/nuccore/CP000304.1?report=graph&amp;tracks=[key:gene_model_track,Options:GeneOnly]&amp;mk=381939:381958|offset_113|00cc00,381888:381907|offset_164|444444,381856:381875|offset_196|444444,381825:381844|offset_227|444444&amp;v=381738:382044&amp;c=444444", "offset 113")</f>
        <v>offset 113</v>
      </c>
    </row>
    <row r="1276" customFormat="false" ht="12.8" hidden="false" customHeight="false" outlineLevel="0" collapsed="false">
      <c r="A1276" s="0" t="s">
        <v>12</v>
      </c>
      <c r="B1276" s="0" t="n">
        <v>381887</v>
      </c>
      <c r="C1276" s="0" t="n">
        <v>381907</v>
      </c>
      <c r="D1276" s="0" t="s">
        <v>4251</v>
      </c>
      <c r="E1276" s="0" t="s">
        <v>89</v>
      </c>
      <c r="F1276" s="0" t="s">
        <v>90</v>
      </c>
      <c r="G1276" s="0" t="s">
        <v>32</v>
      </c>
      <c r="H1276" s="0" t="n">
        <v>164</v>
      </c>
      <c r="I1276" s="0" t="s">
        <v>4255</v>
      </c>
      <c r="J1276" s="0" t="s">
        <v>4256</v>
      </c>
      <c r="K1276" s="0" t="s">
        <v>4257</v>
      </c>
      <c r="L1276" s="0" t="str">
        <f aca="false">HYPERLINK("https://www.ncbi.nlm.nih.gov/nuccore/CP000304.1?report=graph&amp;tracks=[key:gene_model_track,Options:GeneOnly]&amp;mk=381939:381958|offset_113|444444,381888:381907|offset_164|00cc00,381856:381875|offset_196|444444,381825:381844|offset_227|444444&amp;v=381738:382044&amp;c=444444", "offset 164")</f>
        <v>offset 164</v>
      </c>
    </row>
    <row r="1277" customFormat="false" ht="12.8" hidden="false" customHeight="false" outlineLevel="0" collapsed="false">
      <c r="A1277" s="0" t="s">
        <v>12</v>
      </c>
      <c r="B1277" s="0" t="n">
        <v>381855</v>
      </c>
      <c r="C1277" s="0" t="n">
        <v>381875</v>
      </c>
      <c r="D1277" s="0" t="s">
        <v>4251</v>
      </c>
      <c r="E1277" s="0" t="s">
        <v>89</v>
      </c>
      <c r="F1277" s="0" t="s">
        <v>90</v>
      </c>
      <c r="G1277" s="0" t="s">
        <v>36</v>
      </c>
      <c r="H1277" s="0" t="n">
        <v>196</v>
      </c>
      <c r="I1277" s="0" t="s">
        <v>4258</v>
      </c>
      <c r="J1277" s="0" t="s">
        <v>4259</v>
      </c>
      <c r="K1277" s="0" t="s">
        <v>4260</v>
      </c>
      <c r="L1277" s="0" t="str">
        <f aca="false">HYPERLINK("https://www.ncbi.nlm.nih.gov/nuccore/CP000304.1?report=graph&amp;tracks=[key:gene_model_track,Options:GeneOnly]&amp;mk=381939:381958|offset_113|444444,381888:381907|offset_164|444444,381856:381875|offset_196|00cc00,381825:381844|offset_227|444444&amp;v=381738:382044&amp;c=444444", "offset 196")</f>
        <v>offset 196</v>
      </c>
    </row>
    <row r="1278" customFormat="false" ht="12.8" hidden="false" customHeight="false" outlineLevel="0" collapsed="false">
      <c r="A1278" s="0" t="s">
        <v>12</v>
      </c>
      <c r="B1278" s="0" t="n">
        <v>381824</v>
      </c>
      <c r="C1278" s="0" t="n">
        <v>381844</v>
      </c>
      <c r="D1278" s="0" t="s">
        <v>4251</v>
      </c>
      <c r="E1278" s="0" t="s">
        <v>89</v>
      </c>
      <c r="F1278" s="0" t="s">
        <v>90</v>
      </c>
      <c r="G1278" s="0" t="s">
        <v>32</v>
      </c>
      <c r="H1278" s="0" t="n">
        <v>227</v>
      </c>
      <c r="I1278" s="0" t="s">
        <v>4261</v>
      </c>
      <c r="J1278" s="0" t="s">
        <v>4262</v>
      </c>
      <c r="K1278" s="0" t="s">
        <v>4263</v>
      </c>
      <c r="L1278" s="0" t="str">
        <f aca="false">HYPERLINK("https://www.ncbi.nlm.nih.gov/nuccore/CP000304.1?report=graph&amp;tracks=[key:gene_model_track,Options:GeneOnly]&amp;mk=381939:381958|offset_113|444444,381888:381907|offset_164|444444,381856:381875|offset_196|444444,381825:381844|offset_227|00cc00&amp;v=381738:382044&amp;c=444444", "offset 227")</f>
        <v>offset 227</v>
      </c>
    </row>
    <row r="1279" customFormat="false" ht="12.8" hidden="false" customHeight="false" outlineLevel="0" collapsed="false">
      <c r="A1279" s="0" t="s">
        <v>12</v>
      </c>
      <c r="B1279" s="0" t="n">
        <v>382150</v>
      </c>
      <c r="C1279" s="0" t="n">
        <v>382170</v>
      </c>
      <c r="D1279" s="0" t="s">
        <v>4264</v>
      </c>
      <c r="E1279" s="0" t="s">
        <v>4265</v>
      </c>
      <c r="F1279" s="0" t="s">
        <v>15</v>
      </c>
      <c r="G1279" s="0" t="s">
        <v>32</v>
      </c>
      <c r="H1279" s="0" t="n">
        <v>1</v>
      </c>
      <c r="I1279" s="0" t="s">
        <v>4266</v>
      </c>
      <c r="J1279" s="0" t="s">
        <v>4267</v>
      </c>
      <c r="K1279" s="0" t="s">
        <v>4268</v>
      </c>
      <c r="L1279" s="0" t="str">
        <f aca="false">HYPERLINK("https://www.ncbi.nlm.nih.gov/nuccore/CP000304.1?report=graph&amp;tracks=[key:gene_model_track,Options:GeneOnly]&amp;mk=382151:382170|offset_1|00cc00,382180:382199|offset_30|444444,382213:382232|offset_63|444444,382246:382265|offset_96|444444&amp;v=381950:382465&amp;c=444444", "offset 1")</f>
        <v>offset 1</v>
      </c>
    </row>
    <row r="1280" customFormat="false" ht="12.8" hidden="false" customHeight="false" outlineLevel="0" collapsed="false">
      <c r="A1280" s="0" t="s">
        <v>12</v>
      </c>
      <c r="B1280" s="0" t="n">
        <v>382179</v>
      </c>
      <c r="C1280" s="0" t="n">
        <v>382199</v>
      </c>
      <c r="D1280" s="0" t="s">
        <v>4264</v>
      </c>
      <c r="E1280" s="0" t="s">
        <v>4265</v>
      </c>
      <c r="F1280" s="0" t="s">
        <v>15</v>
      </c>
      <c r="G1280" s="0" t="s">
        <v>36</v>
      </c>
      <c r="H1280" s="0" t="n">
        <v>30</v>
      </c>
      <c r="I1280" s="0" t="s">
        <v>4269</v>
      </c>
      <c r="J1280" s="0" t="s">
        <v>4270</v>
      </c>
      <c r="K1280" s="0" t="s">
        <v>4271</v>
      </c>
      <c r="L1280" s="0" t="str">
        <f aca="false">HYPERLINK("https://www.ncbi.nlm.nih.gov/nuccore/CP000304.1?report=graph&amp;tracks=[key:gene_model_track,Options:GeneOnly]&amp;mk=382151:382170|offset_1|444444,382180:382199|offset_30|00cc00,382213:382232|offset_63|444444,382246:382265|offset_96|444444&amp;v=381950:382465&amp;c=444444", "offset 30")</f>
        <v>offset 30</v>
      </c>
    </row>
    <row r="1281" customFormat="false" ht="12.8" hidden="false" customHeight="false" outlineLevel="0" collapsed="false">
      <c r="A1281" s="0" t="s">
        <v>12</v>
      </c>
      <c r="B1281" s="0" t="n">
        <v>382212</v>
      </c>
      <c r="C1281" s="0" t="n">
        <v>382232</v>
      </c>
      <c r="D1281" s="0" t="s">
        <v>4264</v>
      </c>
      <c r="E1281" s="0" t="s">
        <v>4265</v>
      </c>
      <c r="F1281" s="0" t="s">
        <v>15</v>
      </c>
      <c r="G1281" s="0" t="s">
        <v>16</v>
      </c>
      <c r="H1281" s="0" t="n">
        <v>63</v>
      </c>
      <c r="I1281" s="0" t="s">
        <v>4272</v>
      </c>
      <c r="J1281" s="0" t="s">
        <v>4273</v>
      </c>
      <c r="K1281" s="0" t="s">
        <v>4274</v>
      </c>
      <c r="L1281" s="0" t="str">
        <f aca="false">HYPERLINK("https://www.ncbi.nlm.nih.gov/nuccore/CP000304.1?report=graph&amp;tracks=[key:gene_model_track,Options:GeneOnly]&amp;mk=382151:382170|offset_1|444444,382180:382199|offset_30|444444,382213:382232|offset_63|00cc00,382246:382265|offset_96|444444&amp;v=381950:382465&amp;c=444444", "offset 63")</f>
        <v>offset 63</v>
      </c>
    </row>
    <row r="1282" customFormat="false" ht="12.8" hidden="false" customHeight="false" outlineLevel="0" collapsed="false">
      <c r="A1282" s="0" t="s">
        <v>12</v>
      </c>
      <c r="B1282" s="0" t="n">
        <v>382245</v>
      </c>
      <c r="C1282" s="0" t="n">
        <v>382265</v>
      </c>
      <c r="D1282" s="0" t="s">
        <v>4264</v>
      </c>
      <c r="E1282" s="0" t="s">
        <v>4265</v>
      </c>
      <c r="F1282" s="0" t="s">
        <v>15</v>
      </c>
      <c r="G1282" s="0" t="s">
        <v>16</v>
      </c>
      <c r="H1282" s="0" t="n">
        <v>96</v>
      </c>
      <c r="I1282" s="0" t="s">
        <v>4275</v>
      </c>
      <c r="J1282" s="0" t="s">
        <v>4276</v>
      </c>
      <c r="K1282" s="0" t="s">
        <v>4277</v>
      </c>
      <c r="L1282" s="0" t="str">
        <f aca="false">HYPERLINK("https://www.ncbi.nlm.nih.gov/nuccore/CP000304.1?report=graph&amp;tracks=[key:gene_model_track,Options:GeneOnly]&amp;mk=382151:382170|offset_1|444444,382180:382199|offset_30|444444,382213:382232|offset_63|444444,382246:382265|offset_96|00cc00&amp;v=381950:382465&amp;c=444444", "offset 96")</f>
        <v>offset 96</v>
      </c>
    </row>
    <row r="1283" customFormat="false" ht="12.8" hidden="false" customHeight="false" outlineLevel="0" collapsed="false">
      <c r="A1283" s="0" t="s">
        <v>12</v>
      </c>
      <c r="B1283" s="0" t="n">
        <v>383137</v>
      </c>
      <c r="C1283" s="0" t="n">
        <v>383157</v>
      </c>
      <c r="D1283" s="0" t="s">
        <v>4278</v>
      </c>
      <c r="E1283" s="0" t="s">
        <v>4279</v>
      </c>
      <c r="F1283" s="0" t="s">
        <v>15</v>
      </c>
      <c r="G1283" s="0" t="s">
        <v>32</v>
      </c>
      <c r="H1283" s="0" t="n">
        <v>17</v>
      </c>
      <c r="I1283" s="0" t="s">
        <v>4280</v>
      </c>
      <c r="J1283" s="0" t="s">
        <v>4281</v>
      </c>
      <c r="K1283" s="0" t="s">
        <v>4282</v>
      </c>
      <c r="L1283" s="0" t="str">
        <f aca="false">HYPERLINK("https://www.ncbi.nlm.nih.gov/nuccore/CP000304.1?report=graph&amp;tracks=[key:gene_model_track,Options:GeneOnly]&amp;mk=383138:383157|offset_17|00cc00,383170:383189|offset_49|444444,383237:383256|offset_116|444444,383279:383298|offset_158|444444&amp;v=382937:383498&amp;c=444444", "offset 17")</f>
        <v>offset 17</v>
      </c>
    </row>
    <row r="1284" customFormat="false" ht="12.8" hidden="false" customHeight="false" outlineLevel="0" collapsed="false">
      <c r="A1284" s="0" t="s">
        <v>12</v>
      </c>
      <c r="B1284" s="0" t="n">
        <v>383169</v>
      </c>
      <c r="C1284" s="0" t="n">
        <v>383189</v>
      </c>
      <c r="D1284" s="0" t="s">
        <v>4278</v>
      </c>
      <c r="E1284" s="0" t="s">
        <v>4279</v>
      </c>
      <c r="F1284" s="0" t="s">
        <v>15</v>
      </c>
      <c r="G1284" s="0" t="s">
        <v>16</v>
      </c>
      <c r="H1284" s="0" t="n">
        <v>49</v>
      </c>
      <c r="I1284" s="0" t="s">
        <v>4283</v>
      </c>
      <c r="J1284" s="0" t="s">
        <v>4284</v>
      </c>
      <c r="K1284" s="0" t="s">
        <v>4285</v>
      </c>
      <c r="L1284" s="0" t="str">
        <f aca="false">HYPERLINK("https://www.ncbi.nlm.nih.gov/nuccore/CP000304.1?report=graph&amp;tracks=[key:gene_model_track,Options:GeneOnly]&amp;mk=383138:383157|offset_17|444444,383170:383189|offset_49|00cc00,383237:383256|offset_116|444444,383279:383298|offset_158|444444&amp;v=382937:383498&amp;c=444444", "offset 49")</f>
        <v>offset 49</v>
      </c>
    </row>
    <row r="1285" customFormat="false" ht="12.8" hidden="false" customHeight="false" outlineLevel="0" collapsed="false">
      <c r="A1285" s="0" t="s">
        <v>12</v>
      </c>
      <c r="B1285" s="0" t="n">
        <v>383236</v>
      </c>
      <c r="C1285" s="0" t="n">
        <v>383256</v>
      </c>
      <c r="D1285" s="0" t="s">
        <v>4278</v>
      </c>
      <c r="E1285" s="0" t="s">
        <v>4279</v>
      </c>
      <c r="F1285" s="0" t="s">
        <v>15</v>
      </c>
      <c r="G1285" s="0" t="s">
        <v>32</v>
      </c>
      <c r="H1285" s="0" t="n">
        <v>116</v>
      </c>
      <c r="I1285" s="0" t="s">
        <v>4286</v>
      </c>
      <c r="J1285" s="0" t="s">
        <v>4287</v>
      </c>
      <c r="K1285" s="0" t="s">
        <v>4288</v>
      </c>
      <c r="L1285" s="0" t="str">
        <f aca="false">HYPERLINK("https://www.ncbi.nlm.nih.gov/nuccore/CP000304.1?report=graph&amp;tracks=[key:gene_model_track,Options:GeneOnly]&amp;mk=383138:383157|offset_17|444444,383170:383189|offset_49|444444,383237:383256|offset_116|00cc00,383279:383298|offset_158|444444&amp;v=382937:383498&amp;c=444444", "offset 116")</f>
        <v>offset 116</v>
      </c>
    </row>
    <row r="1286" customFormat="false" ht="12.8" hidden="false" customHeight="false" outlineLevel="0" collapsed="false">
      <c r="A1286" s="0" t="s">
        <v>12</v>
      </c>
      <c r="B1286" s="0" t="n">
        <v>383278</v>
      </c>
      <c r="C1286" s="0" t="n">
        <v>383298</v>
      </c>
      <c r="D1286" s="0" t="s">
        <v>4278</v>
      </c>
      <c r="E1286" s="0" t="s">
        <v>4279</v>
      </c>
      <c r="F1286" s="0" t="s">
        <v>15</v>
      </c>
      <c r="G1286" s="0" t="s">
        <v>16</v>
      </c>
      <c r="H1286" s="0" t="n">
        <v>158</v>
      </c>
      <c r="I1286" s="0" t="s">
        <v>4289</v>
      </c>
      <c r="J1286" s="0" t="s">
        <v>4290</v>
      </c>
      <c r="K1286" s="0" t="s">
        <v>4291</v>
      </c>
      <c r="L1286" s="0" t="str">
        <f aca="false">HYPERLINK("https://www.ncbi.nlm.nih.gov/nuccore/CP000304.1?report=graph&amp;tracks=[key:gene_model_track,Options:GeneOnly]&amp;mk=383138:383157|offset_17|444444,383170:383189|offset_49|444444,383237:383256|offset_116|444444,383279:383298|offset_158|00cc00&amp;v=382937:383498&amp;c=444444", "offset 158")</f>
        <v>offset 158</v>
      </c>
    </row>
    <row r="1287" customFormat="false" ht="12.8" hidden="false" customHeight="false" outlineLevel="0" collapsed="false">
      <c r="A1287" s="0" t="s">
        <v>12</v>
      </c>
      <c r="B1287" s="0" t="n">
        <v>383960</v>
      </c>
      <c r="C1287" s="0" t="n">
        <v>383980</v>
      </c>
      <c r="D1287" s="0" t="s">
        <v>4292</v>
      </c>
      <c r="E1287" s="0" t="s">
        <v>89</v>
      </c>
      <c r="F1287" s="0" t="s">
        <v>90</v>
      </c>
      <c r="G1287" s="0" t="s">
        <v>32</v>
      </c>
      <c r="H1287" s="0" t="n">
        <v>1</v>
      </c>
      <c r="I1287" s="0" t="s">
        <v>4293</v>
      </c>
      <c r="J1287" s="0" t="s">
        <v>4294</v>
      </c>
      <c r="K1287" s="0" t="s">
        <v>4295</v>
      </c>
      <c r="L1287" s="0" t="str">
        <f aca="false">HYPERLINK("https://www.ncbi.nlm.nih.gov/nuccore/CP000304.1?report=graph&amp;tracks=[key:gene_model_track,Options:GeneOnly]&amp;mk=383961:383980|offset_1|00cc00,383933:383952|offset_29|444444,383898:383917|offset_64|444444,383864:383883|offset_98|444444&amp;v=383760:384083&amp;c=444444", "offset 1")</f>
        <v>offset 1</v>
      </c>
    </row>
    <row r="1288" customFormat="false" ht="12.8" hidden="false" customHeight="false" outlineLevel="0" collapsed="false">
      <c r="A1288" s="0" t="s">
        <v>12</v>
      </c>
      <c r="B1288" s="0" t="n">
        <v>383932</v>
      </c>
      <c r="C1288" s="0" t="n">
        <v>383952</v>
      </c>
      <c r="D1288" s="0" t="s">
        <v>4292</v>
      </c>
      <c r="E1288" s="0" t="s">
        <v>89</v>
      </c>
      <c r="F1288" s="0" t="s">
        <v>90</v>
      </c>
      <c r="G1288" s="0" t="s">
        <v>16</v>
      </c>
      <c r="H1288" s="0" t="n">
        <v>29</v>
      </c>
      <c r="I1288" s="0" t="s">
        <v>4296</v>
      </c>
      <c r="J1288" s="0" t="s">
        <v>4297</v>
      </c>
      <c r="K1288" s="0" t="s">
        <v>4298</v>
      </c>
      <c r="L1288" s="0" t="str">
        <f aca="false">HYPERLINK("https://www.ncbi.nlm.nih.gov/nuccore/CP000304.1?report=graph&amp;tracks=[key:gene_model_track,Options:GeneOnly]&amp;mk=383961:383980|offset_1|444444,383933:383952|offset_29|00cc00,383898:383917|offset_64|444444,383864:383883|offset_98|444444&amp;v=383760:384083&amp;c=444444", "offset 29")</f>
        <v>offset 29</v>
      </c>
    </row>
    <row r="1289" customFormat="false" ht="12.8" hidden="false" customHeight="false" outlineLevel="0" collapsed="false">
      <c r="A1289" s="0" t="s">
        <v>12</v>
      </c>
      <c r="B1289" s="0" t="n">
        <v>383897</v>
      </c>
      <c r="C1289" s="0" t="n">
        <v>383917</v>
      </c>
      <c r="D1289" s="0" t="s">
        <v>4292</v>
      </c>
      <c r="E1289" s="0" t="s">
        <v>89</v>
      </c>
      <c r="F1289" s="0" t="s">
        <v>90</v>
      </c>
      <c r="G1289" s="0" t="s">
        <v>16</v>
      </c>
      <c r="H1289" s="0" t="n">
        <v>64</v>
      </c>
      <c r="I1289" s="0" t="s">
        <v>4299</v>
      </c>
      <c r="J1289" s="0" t="s">
        <v>4300</v>
      </c>
      <c r="K1289" s="0" t="s">
        <v>4301</v>
      </c>
      <c r="L1289" s="0" t="str">
        <f aca="false">HYPERLINK("https://www.ncbi.nlm.nih.gov/nuccore/CP000304.1?report=graph&amp;tracks=[key:gene_model_track,Options:GeneOnly]&amp;mk=383961:383980|offset_1|444444,383933:383952|offset_29|444444,383898:383917|offset_64|00cc00,383864:383883|offset_98|444444&amp;v=383760:384083&amp;c=444444", "offset 64")</f>
        <v>offset 64</v>
      </c>
    </row>
    <row r="1290" customFormat="false" ht="12.8" hidden="false" customHeight="false" outlineLevel="0" collapsed="false">
      <c r="A1290" s="0" t="s">
        <v>12</v>
      </c>
      <c r="B1290" s="0" t="n">
        <v>383863</v>
      </c>
      <c r="C1290" s="0" t="n">
        <v>383883</v>
      </c>
      <c r="D1290" s="0" t="s">
        <v>4292</v>
      </c>
      <c r="E1290" s="0" t="s">
        <v>89</v>
      </c>
      <c r="F1290" s="0" t="s">
        <v>90</v>
      </c>
      <c r="G1290" s="0" t="s">
        <v>16</v>
      </c>
      <c r="H1290" s="0" t="n">
        <v>98</v>
      </c>
      <c r="I1290" s="0" t="s">
        <v>4302</v>
      </c>
      <c r="J1290" s="0" t="s">
        <v>4303</v>
      </c>
      <c r="K1290" s="0" t="s">
        <v>4304</v>
      </c>
      <c r="L1290" s="0" t="str">
        <f aca="false">HYPERLINK("https://www.ncbi.nlm.nih.gov/nuccore/CP000304.1?report=graph&amp;tracks=[key:gene_model_track,Options:GeneOnly]&amp;mk=383961:383980|offset_1|444444,383933:383952|offset_29|444444,383898:383917|offset_64|444444,383864:383883|offset_98|00cc00&amp;v=383760:384083&amp;c=444444", "offset 98")</f>
        <v>offset 98</v>
      </c>
    </row>
    <row r="1291" customFormat="false" ht="12.8" hidden="false" customHeight="false" outlineLevel="0" collapsed="false">
      <c r="A1291" s="0" t="s">
        <v>12</v>
      </c>
      <c r="B1291" s="0" t="n">
        <v>384844</v>
      </c>
      <c r="C1291" s="0" t="n">
        <v>384864</v>
      </c>
      <c r="D1291" s="0" t="s">
        <v>4305</v>
      </c>
      <c r="E1291" s="0" t="s">
        <v>89</v>
      </c>
      <c r="F1291" s="0" t="s">
        <v>90</v>
      </c>
      <c r="G1291" s="0" t="s">
        <v>26</v>
      </c>
      <c r="H1291" s="0" t="n">
        <v>11</v>
      </c>
      <c r="I1291" s="0" t="s">
        <v>4306</v>
      </c>
      <c r="J1291" s="0" t="s">
        <v>4307</v>
      </c>
      <c r="K1291" s="0" t="s">
        <v>4308</v>
      </c>
      <c r="L1291" s="0" t="str">
        <f aca="false">HYPERLINK("https://www.ncbi.nlm.nih.gov/nuccore/CP000304.1?report=graph&amp;tracks=[key:gene_model_track,Options:GeneOnly]&amp;mk=384845:384864|offset_11|00cc00,384816:384835|offset_40|444444,384791:384810|offset_65|444444,384761:384780|offset_95|444444&amp;v=384644:384980&amp;c=444444", "offset 11")</f>
        <v>offset 11</v>
      </c>
    </row>
    <row r="1292" customFormat="false" ht="12.8" hidden="false" customHeight="false" outlineLevel="0" collapsed="false">
      <c r="A1292" s="0" t="s">
        <v>12</v>
      </c>
      <c r="B1292" s="0" t="n">
        <v>384815</v>
      </c>
      <c r="C1292" s="0" t="n">
        <v>384835</v>
      </c>
      <c r="D1292" s="0" t="s">
        <v>4305</v>
      </c>
      <c r="E1292" s="0" t="s">
        <v>89</v>
      </c>
      <c r="F1292" s="0" t="s">
        <v>90</v>
      </c>
      <c r="G1292" s="0" t="s">
        <v>16</v>
      </c>
      <c r="H1292" s="0" t="n">
        <v>40</v>
      </c>
      <c r="I1292" s="0" t="s">
        <v>4309</v>
      </c>
      <c r="J1292" s="0" t="s">
        <v>4310</v>
      </c>
      <c r="K1292" s="0" t="s">
        <v>4311</v>
      </c>
      <c r="L1292" s="0" t="str">
        <f aca="false">HYPERLINK("https://www.ncbi.nlm.nih.gov/nuccore/CP000304.1?report=graph&amp;tracks=[key:gene_model_track,Options:GeneOnly]&amp;mk=384845:384864|offset_11|444444,384816:384835|offset_40|00cc00,384791:384810|offset_65|444444,384761:384780|offset_95|444444&amp;v=384644:384980&amp;c=444444", "offset 40")</f>
        <v>offset 40</v>
      </c>
    </row>
    <row r="1293" customFormat="false" ht="12.8" hidden="false" customHeight="false" outlineLevel="0" collapsed="false">
      <c r="A1293" s="0" t="s">
        <v>12</v>
      </c>
      <c r="B1293" s="0" t="n">
        <v>384790</v>
      </c>
      <c r="C1293" s="0" t="n">
        <v>384810</v>
      </c>
      <c r="D1293" s="0" t="s">
        <v>4305</v>
      </c>
      <c r="E1293" s="0" t="s">
        <v>89</v>
      </c>
      <c r="F1293" s="0" t="s">
        <v>90</v>
      </c>
      <c r="G1293" s="0" t="s">
        <v>16</v>
      </c>
      <c r="H1293" s="0" t="n">
        <v>65</v>
      </c>
      <c r="I1293" s="0" t="s">
        <v>4312</v>
      </c>
      <c r="J1293" s="0" t="s">
        <v>4313</v>
      </c>
      <c r="K1293" s="0" t="s">
        <v>4314</v>
      </c>
      <c r="L1293" s="0" t="str">
        <f aca="false">HYPERLINK("https://www.ncbi.nlm.nih.gov/nuccore/CP000304.1?report=graph&amp;tracks=[key:gene_model_track,Options:GeneOnly]&amp;mk=384845:384864|offset_11|444444,384816:384835|offset_40|444444,384791:384810|offset_65|00cc00,384761:384780|offset_95|444444&amp;v=384644:384980&amp;c=444444", "offset 65")</f>
        <v>offset 65</v>
      </c>
    </row>
    <row r="1294" customFormat="false" ht="12.8" hidden="false" customHeight="false" outlineLevel="0" collapsed="false">
      <c r="A1294" s="0" t="s">
        <v>12</v>
      </c>
      <c r="B1294" s="0" t="n">
        <v>384760</v>
      </c>
      <c r="C1294" s="0" t="n">
        <v>384780</v>
      </c>
      <c r="D1294" s="0" t="s">
        <v>4305</v>
      </c>
      <c r="E1294" s="0" t="s">
        <v>89</v>
      </c>
      <c r="F1294" s="0" t="s">
        <v>90</v>
      </c>
      <c r="G1294" s="0" t="s">
        <v>16</v>
      </c>
      <c r="H1294" s="0" t="n">
        <v>95</v>
      </c>
      <c r="I1294" s="0" t="s">
        <v>4315</v>
      </c>
      <c r="J1294" s="0" t="s">
        <v>4316</v>
      </c>
      <c r="K1294" s="0" t="s">
        <v>4317</v>
      </c>
      <c r="L1294" s="0" t="str">
        <f aca="false">HYPERLINK("https://www.ncbi.nlm.nih.gov/nuccore/CP000304.1?report=graph&amp;tracks=[key:gene_model_track,Options:GeneOnly]&amp;mk=384845:384864|offset_11|444444,384816:384835|offset_40|444444,384791:384810|offset_65|444444,384761:384780|offset_95|00cc00&amp;v=384644:384980&amp;c=444444", "offset 95")</f>
        <v>offset 95</v>
      </c>
    </row>
    <row r="1295" customFormat="false" ht="12.8" hidden="false" customHeight="false" outlineLevel="0" collapsed="false">
      <c r="A1295" s="0" t="s">
        <v>12</v>
      </c>
      <c r="B1295" s="0" t="n">
        <v>385643</v>
      </c>
      <c r="C1295" s="0" t="n">
        <v>385663</v>
      </c>
      <c r="D1295" s="0" t="s">
        <v>4318</v>
      </c>
      <c r="E1295" s="0" t="s">
        <v>4319</v>
      </c>
      <c r="F1295" s="0" t="s">
        <v>90</v>
      </c>
      <c r="G1295" s="0" t="s">
        <v>36</v>
      </c>
      <c r="H1295" s="0" t="n">
        <v>12</v>
      </c>
      <c r="I1295" s="0" t="s">
        <v>4320</v>
      </c>
      <c r="J1295" s="0" t="s">
        <v>4321</v>
      </c>
      <c r="K1295" s="0" t="s">
        <v>4322</v>
      </c>
      <c r="L1295" s="0" t="str">
        <f aca="false">HYPERLINK("https://www.ncbi.nlm.nih.gov/nuccore/CP000304.1?report=graph&amp;tracks=[key:gene_model_track,Options:GeneOnly]&amp;mk=385644:385663|offset_12|00cc00,385620:385639|offset_36|444444,385585:385604|offset_71|444444,385558:385577|offset_98|444444&amp;v=385443:385777&amp;c=444444", "offset 12")</f>
        <v>offset 12</v>
      </c>
    </row>
    <row r="1296" customFormat="false" ht="12.8" hidden="false" customHeight="false" outlineLevel="0" collapsed="false">
      <c r="A1296" s="0" t="s">
        <v>12</v>
      </c>
      <c r="B1296" s="0" t="n">
        <v>385619</v>
      </c>
      <c r="C1296" s="0" t="n">
        <v>385639</v>
      </c>
      <c r="D1296" s="0" t="s">
        <v>4318</v>
      </c>
      <c r="E1296" s="0" t="s">
        <v>4319</v>
      </c>
      <c r="F1296" s="0" t="s">
        <v>90</v>
      </c>
      <c r="G1296" s="0" t="s">
        <v>16</v>
      </c>
      <c r="H1296" s="0" t="n">
        <v>36</v>
      </c>
      <c r="I1296" s="0" t="s">
        <v>4323</v>
      </c>
      <c r="J1296" s="0" t="s">
        <v>4324</v>
      </c>
      <c r="K1296" s="0" t="s">
        <v>4325</v>
      </c>
      <c r="L1296" s="0" t="str">
        <f aca="false">HYPERLINK("https://www.ncbi.nlm.nih.gov/nuccore/CP000304.1?report=graph&amp;tracks=[key:gene_model_track,Options:GeneOnly]&amp;mk=385644:385663|offset_12|444444,385620:385639|offset_36|00cc00,385585:385604|offset_71|444444,385558:385577|offset_98|444444&amp;v=385443:385777&amp;c=444444", "offset 36")</f>
        <v>offset 36</v>
      </c>
    </row>
    <row r="1297" customFormat="false" ht="12.8" hidden="false" customHeight="false" outlineLevel="0" collapsed="false">
      <c r="A1297" s="0" t="s">
        <v>12</v>
      </c>
      <c r="B1297" s="0" t="n">
        <v>385584</v>
      </c>
      <c r="C1297" s="0" t="n">
        <v>385604</v>
      </c>
      <c r="D1297" s="0" t="s">
        <v>4318</v>
      </c>
      <c r="E1297" s="0" t="s">
        <v>4319</v>
      </c>
      <c r="F1297" s="0" t="s">
        <v>90</v>
      </c>
      <c r="G1297" s="0" t="s">
        <v>26</v>
      </c>
      <c r="H1297" s="0" t="n">
        <v>71</v>
      </c>
      <c r="I1297" s="0" t="s">
        <v>4326</v>
      </c>
      <c r="J1297" s="0" t="s">
        <v>4327</v>
      </c>
      <c r="K1297" s="0" t="s">
        <v>4328</v>
      </c>
      <c r="L1297" s="0" t="str">
        <f aca="false">HYPERLINK("https://www.ncbi.nlm.nih.gov/nuccore/CP000304.1?report=graph&amp;tracks=[key:gene_model_track,Options:GeneOnly]&amp;mk=385644:385663|offset_12|444444,385620:385639|offset_36|444444,385585:385604|offset_71|00cc00,385558:385577|offset_98|444444&amp;v=385443:385777&amp;c=444444", "offset 71")</f>
        <v>offset 71</v>
      </c>
    </row>
    <row r="1298" customFormat="false" ht="12.8" hidden="false" customHeight="false" outlineLevel="0" collapsed="false">
      <c r="A1298" s="0" t="s">
        <v>12</v>
      </c>
      <c r="B1298" s="0" t="n">
        <v>385557</v>
      </c>
      <c r="C1298" s="0" t="n">
        <v>385577</v>
      </c>
      <c r="D1298" s="0" t="s">
        <v>4318</v>
      </c>
      <c r="E1298" s="0" t="s">
        <v>4319</v>
      </c>
      <c r="F1298" s="0" t="s">
        <v>90</v>
      </c>
      <c r="G1298" s="0" t="s">
        <v>26</v>
      </c>
      <c r="H1298" s="0" t="n">
        <v>98</v>
      </c>
      <c r="I1298" s="0" t="s">
        <v>4329</v>
      </c>
      <c r="J1298" s="0" t="s">
        <v>4330</v>
      </c>
      <c r="K1298" s="0" t="s">
        <v>4331</v>
      </c>
      <c r="L1298" s="0" t="str">
        <f aca="false">HYPERLINK("https://www.ncbi.nlm.nih.gov/nuccore/CP000304.1?report=graph&amp;tracks=[key:gene_model_track,Options:GeneOnly]&amp;mk=385644:385663|offset_12|444444,385620:385639|offset_36|444444,385585:385604|offset_71|444444,385558:385577|offset_98|00cc00&amp;v=385443:385777&amp;c=444444", "offset 98")</f>
        <v>offset 98</v>
      </c>
    </row>
    <row r="1299" customFormat="false" ht="12.8" hidden="false" customHeight="false" outlineLevel="0" collapsed="false">
      <c r="A1299" s="0" t="s">
        <v>12</v>
      </c>
      <c r="B1299" s="0" t="n">
        <v>386049</v>
      </c>
      <c r="C1299" s="0" t="n">
        <v>386069</v>
      </c>
      <c r="D1299" s="0" t="s">
        <v>4332</v>
      </c>
      <c r="E1299" s="0" t="s">
        <v>4333</v>
      </c>
      <c r="F1299" s="0" t="s">
        <v>90</v>
      </c>
      <c r="G1299" s="0" t="s">
        <v>16</v>
      </c>
      <c r="H1299" s="0" t="n">
        <v>22</v>
      </c>
      <c r="I1299" s="0" t="s">
        <v>4334</v>
      </c>
      <c r="J1299" s="0" t="s">
        <v>4335</v>
      </c>
      <c r="K1299" s="0" t="s">
        <v>4336</v>
      </c>
      <c r="L1299" s="0" t="str">
        <f aca="false">HYPERLINK("https://www.ncbi.nlm.nih.gov/nuccore/CP000304.1?report=graph&amp;tracks=[key:gene_model_track,Options:GeneOnly]&amp;mk=386050:386069|offset_22|00cc00,386007:386026|offset_65|444444,385978:385997|offset_94|444444,385927:385946|offset_145|444444&amp;v=385849:386146&amp;c=444444", "offset 22")</f>
        <v>offset 22</v>
      </c>
    </row>
    <row r="1300" customFormat="false" ht="12.8" hidden="false" customHeight="false" outlineLevel="0" collapsed="false">
      <c r="A1300" s="0" t="s">
        <v>12</v>
      </c>
      <c r="B1300" s="0" t="n">
        <v>386006</v>
      </c>
      <c r="C1300" s="0" t="n">
        <v>386026</v>
      </c>
      <c r="D1300" s="0" t="s">
        <v>4332</v>
      </c>
      <c r="E1300" s="0" t="s">
        <v>4333</v>
      </c>
      <c r="F1300" s="0" t="s">
        <v>90</v>
      </c>
      <c r="G1300" s="0" t="s">
        <v>36</v>
      </c>
      <c r="H1300" s="0" t="n">
        <v>65</v>
      </c>
      <c r="I1300" s="0" t="s">
        <v>4337</v>
      </c>
      <c r="J1300" s="0" t="s">
        <v>4338</v>
      </c>
      <c r="K1300" s="0" t="s">
        <v>4339</v>
      </c>
      <c r="L1300" s="0" t="str">
        <f aca="false">HYPERLINK("https://www.ncbi.nlm.nih.gov/nuccore/CP000304.1?report=graph&amp;tracks=[key:gene_model_track,Options:GeneOnly]&amp;mk=386050:386069|offset_22|444444,386007:386026|offset_65|00cc00,385978:385997|offset_94|444444,385927:385946|offset_145|444444&amp;v=385849:386146&amp;c=444444", "offset 65")</f>
        <v>offset 65</v>
      </c>
    </row>
    <row r="1301" customFormat="false" ht="12.8" hidden="false" customHeight="false" outlineLevel="0" collapsed="false">
      <c r="A1301" s="0" t="s">
        <v>12</v>
      </c>
      <c r="B1301" s="0" t="n">
        <v>385977</v>
      </c>
      <c r="C1301" s="0" t="n">
        <v>385997</v>
      </c>
      <c r="D1301" s="0" t="s">
        <v>4332</v>
      </c>
      <c r="E1301" s="0" t="s">
        <v>4333</v>
      </c>
      <c r="F1301" s="0" t="s">
        <v>90</v>
      </c>
      <c r="G1301" s="0" t="s">
        <v>32</v>
      </c>
      <c r="H1301" s="0" t="n">
        <v>94</v>
      </c>
      <c r="I1301" s="0" t="s">
        <v>4340</v>
      </c>
      <c r="J1301" s="0" t="s">
        <v>4341</v>
      </c>
      <c r="K1301" s="0" t="s">
        <v>4342</v>
      </c>
      <c r="L1301" s="0" t="str">
        <f aca="false">HYPERLINK("https://www.ncbi.nlm.nih.gov/nuccore/CP000304.1?report=graph&amp;tracks=[key:gene_model_track,Options:GeneOnly]&amp;mk=386050:386069|offset_22|444444,386007:386026|offset_65|444444,385978:385997|offset_94|00cc00,385927:385946|offset_145|444444&amp;v=385849:386146&amp;c=444444", "offset 94")</f>
        <v>offset 94</v>
      </c>
    </row>
    <row r="1302" customFormat="false" ht="12.8" hidden="false" customHeight="false" outlineLevel="0" collapsed="false">
      <c r="A1302" s="0" t="s">
        <v>12</v>
      </c>
      <c r="B1302" s="0" t="n">
        <v>385926</v>
      </c>
      <c r="C1302" s="0" t="n">
        <v>385946</v>
      </c>
      <c r="D1302" s="0" t="s">
        <v>4332</v>
      </c>
      <c r="E1302" s="0" t="s">
        <v>4333</v>
      </c>
      <c r="F1302" s="0" t="s">
        <v>90</v>
      </c>
      <c r="G1302" s="0" t="s">
        <v>16</v>
      </c>
      <c r="H1302" s="0" t="n">
        <v>145</v>
      </c>
      <c r="I1302" s="0" t="s">
        <v>4343</v>
      </c>
      <c r="J1302" s="0" t="s">
        <v>4344</v>
      </c>
      <c r="K1302" s="0" t="s">
        <v>4345</v>
      </c>
      <c r="L1302" s="0" t="str">
        <f aca="false">HYPERLINK("https://www.ncbi.nlm.nih.gov/nuccore/CP000304.1?report=graph&amp;tracks=[key:gene_model_track,Options:GeneOnly]&amp;mk=386050:386069|offset_22|444444,386007:386026|offset_65|444444,385978:385997|offset_94|444444,385927:385946|offset_145|00cc00&amp;v=385849:386146&amp;c=444444", "offset 145")</f>
        <v>offset 145</v>
      </c>
    </row>
    <row r="1303" customFormat="false" ht="12.8" hidden="false" customHeight="false" outlineLevel="0" collapsed="false">
      <c r="A1303" s="0" t="s">
        <v>12</v>
      </c>
      <c r="B1303" s="0" t="n">
        <v>386368</v>
      </c>
      <c r="C1303" s="0" t="n">
        <v>386388</v>
      </c>
      <c r="D1303" s="0" t="s">
        <v>4346</v>
      </c>
      <c r="E1303" s="0" t="s">
        <v>4347</v>
      </c>
      <c r="F1303" s="0" t="s">
        <v>90</v>
      </c>
      <c r="G1303" s="0" t="s">
        <v>32</v>
      </c>
      <c r="H1303" s="0" t="n">
        <v>1</v>
      </c>
      <c r="I1303" s="0" t="s">
        <v>4348</v>
      </c>
      <c r="J1303" s="0" t="s">
        <v>4349</v>
      </c>
      <c r="K1303" s="0" t="s">
        <v>4350</v>
      </c>
      <c r="L1303" s="0" t="str">
        <f aca="false">HYPERLINK("https://www.ncbi.nlm.nih.gov/nuccore/CP000304.1?report=graph&amp;tracks=[key:gene_model_track,Options:GeneOnly]&amp;mk=386369:386388|offset_1|00cc00,386290:386309|offset_80|444444,386269:386288|offset_101|444444,386245:386264|offset_125|444444&amp;v=386168:386464&amp;c=444444", "offset 1")</f>
        <v>offset 1</v>
      </c>
    </row>
    <row r="1304" customFormat="false" ht="12.8" hidden="false" customHeight="false" outlineLevel="0" collapsed="false">
      <c r="A1304" s="0" t="s">
        <v>12</v>
      </c>
      <c r="B1304" s="0" t="n">
        <v>386289</v>
      </c>
      <c r="C1304" s="0" t="n">
        <v>386309</v>
      </c>
      <c r="D1304" s="0" t="s">
        <v>4346</v>
      </c>
      <c r="E1304" s="0" t="s">
        <v>4347</v>
      </c>
      <c r="F1304" s="0" t="s">
        <v>90</v>
      </c>
      <c r="G1304" s="0" t="s">
        <v>26</v>
      </c>
      <c r="H1304" s="0" t="n">
        <v>80</v>
      </c>
      <c r="I1304" s="0" t="s">
        <v>4351</v>
      </c>
      <c r="J1304" s="0" t="s">
        <v>4352</v>
      </c>
      <c r="K1304" s="0" t="s">
        <v>4353</v>
      </c>
      <c r="L1304" s="0" t="str">
        <f aca="false">HYPERLINK("https://www.ncbi.nlm.nih.gov/nuccore/CP000304.1?report=graph&amp;tracks=[key:gene_model_track,Options:GeneOnly]&amp;mk=386369:386388|offset_1|444444,386290:386309|offset_80|00cc00,386269:386288|offset_101|444444,386245:386264|offset_125|444444&amp;v=386168:386464&amp;c=444444", "offset 80")</f>
        <v>offset 80</v>
      </c>
    </row>
    <row r="1305" customFormat="false" ht="12.8" hidden="false" customHeight="false" outlineLevel="0" collapsed="false">
      <c r="A1305" s="0" t="s">
        <v>12</v>
      </c>
      <c r="B1305" s="0" t="n">
        <v>386268</v>
      </c>
      <c r="C1305" s="0" t="n">
        <v>386288</v>
      </c>
      <c r="D1305" s="0" t="s">
        <v>4346</v>
      </c>
      <c r="E1305" s="0" t="s">
        <v>4347</v>
      </c>
      <c r="F1305" s="0" t="s">
        <v>90</v>
      </c>
      <c r="G1305" s="0" t="s">
        <v>26</v>
      </c>
      <c r="H1305" s="0" t="n">
        <v>101</v>
      </c>
      <c r="I1305" s="0" t="s">
        <v>4354</v>
      </c>
      <c r="J1305" s="0" t="s">
        <v>4355</v>
      </c>
      <c r="K1305" s="0" t="s">
        <v>4356</v>
      </c>
      <c r="L1305" s="0" t="str">
        <f aca="false">HYPERLINK("https://www.ncbi.nlm.nih.gov/nuccore/CP000304.1?report=graph&amp;tracks=[key:gene_model_track,Options:GeneOnly]&amp;mk=386369:386388|offset_1|444444,386290:386309|offset_80|444444,386269:386288|offset_101|00cc00,386245:386264|offset_125|444444&amp;v=386168:386464&amp;c=444444", "offset 101")</f>
        <v>offset 101</v>
      </c>
    </row>
    <row r="1306" customFormat="false" ht="12.8" hidden="false" customHeight="false" outlineLevel="0" collapsed="false">
      <c r="A1306" s="0" t="s">
        <v>12</v>
      </c>
      <c r="B1306" s="0" t="n">
        <v>386244</v>
      </c>
      <c r="C1306" s="0" t="n">
        <v>386264</v>
      </c>
      <c r="D1306" s="0" t="s">
        <v>4346</v>
      </c>
      <c r="E1306" s="0" t="s">
        <v>4347</v>
      </c>
      <c r="F1306" s="0" t="s">
        <v>90</v>
      </c>
      <c r="G1306" s="0" t="s">
        <v>16</v>
      </c>
      <c r="H1306" s="0" t="n">
        <v>125</v>
      </c>
      <c r="I1306" s="0" t="s">
        <v>4357</v>
      </c>
      <c r="J1306" s="0" t="s">
        <v>4358</v>
      </c>
      <c r="K1306" s="0" t="s">
        <v>4359</v>
      </c>
      <c r="L1306" s="0" t="str">
        <f aca="false">HYPERLINK("https://www.ncbi.nlm.nih.gov/nuccore/CP000304.1?report=graph&amp;tracks=[key:gene_model_track,Options:GeneOnly]&amp;mk=386369:386388|offset_1|444444,386290:386309|offset_80|444444,386269:386288|offset_101|444444,386245:386264|offset_125|00cc00&amp;v=386168:386464&amp;c=444444", "offset 125")</f>
        <v>offset 125</v>
      </c>
    </row>
    <row r="1307" customFormat="false" ht="12.8" hidden="false" customHeight="false" outlineLevel="0" collapsed="false">
      <c r="A1307" s="0" t="s">
        <v>12</v>
      </c>
      <c r="B1307" s="0" t="n">
        <v>386709</v>
      </c>
      <c r="C1307" s="0" t="n">
        <v>386729</v>
      </c>
      <c r="D1307" s="0" t="s">
        <v>4360</v>
      </c>
      <c r="E1307" s="0" t="s">
        <v>4361</v>
      </c>
      <c r="F1307" s="0" t="s">
        <v>90</v>
      </c>
      <c r="G1307" s="0" t="s">
        <v>36</v>
      </c>
      <c r="H1307" s="0" t="n">
        <v>13</v>
      </c>
      <c r="I1307" s="0" t="s">
        <v>4362</v>
      </c>
      <c r="J1307" s="0" t="s">
        <v>4363</v>
      </c>
      <c r="K1307" s="0" t="s">
        <v>4364</v>
      </c>
      <c r="L1307" s="0" t="str">
        <f aca="false">HYPERLINK("https://www.ncbi.nlm.nih.gov/nuccore/CP000304.1?report=graph&amp;tracks=[key:gene_model_track,Options:GeneOnly]&amp;mk=386710:386729|offset_13|00cc00,386680:386699|offset_43|444444,386653:386672|offset_70|444444,386625:386644|offset_98|444444&amp;v=386509:386844&amp;c=444444", "offset 13")</f>
        <v>offset 13</v>
      </c>
    </row>
    <row r="1308" customFormat="false" ht="12.8" hidden="false" customHeight="false" outlineLevel="0" collapsed="false">
      <c r="A1308" s="0" t="s">
        <v>12</v>
      </c>
      <c r="B1308" s="0" t="n">
        <v>386679</v>
      </c>
      <c r="C1308" s="0" t="n">
        <v>386699</v>
      </c>
      <c r="D1308" s="0" t="s">
        <v>4360</v>
      </c>
      <c r="E1308" s="0" t="s">
        <v>4361</v>
      </c>
      <c r="F1308" s="0" t="s">
        <v>90</v>
      </c>
      <c r="G1308" s="0" t="s">
        <v>36</v>
      </c>
      <c r="H1308" s="0" t="n">
        <v>43</v>
      </c>
      <c r="I1308" s="0" t="s">
        <v>4365</v>
      </c>
      <c r="J1308" s="0" t="s">
        <v>4366</v>
      </c>
      <c r="K1308" s="0" t="s">
        <v>4367</v>
      </c>
      <c r="L1308" s="0" t="str">
        <f aca="false">HYPERLINK("https://www.ncbi.nlm.nih.gov/nuccore/CP000304.1?report=graph&amp;tracks=[key:gene_model_track,Options:GeneOnly]&amp;mk=386710:386729|offset_13|444444,386680:386699|offset_43|00cc00,386653:386672|offset_70|444444,386625:386644|offset_98|444444&amp;v=386509:386844&amp;c=444444", "offset 43")</f>
        <v>offset 43</v>
      </c>
    </row>
    <row r="1309" customFormat="false" ht="12.8" hidden="false" customHeight="false" outlineLevel="0" collapsed="false">
      <c r="A1309" s="0" t="s">
        <v>12</v>
      </c>
      <c r="B1309" s="0" t="n">
        <v>386652</v>
      </c>
      <c r="C1309" s="0" t="n">
        <v>386672</v>
      </c>
      <c r="D1309" s="0" t="s">
        <v>4360</v>
      </c>
      <c r="E1309" s="0" t="s">
        <v>4361</v>
      </c>
      <c r="F1309" s="0" t="s">
        <v>90</v>
      </c>
      <c r="G1309" s="0" t="s">
        <v>26</v>
      </c>
      <c r="H1309" s="0" t="n">
        <v>70</v>
      </c>
      <c r="I1309" s="0" t="s">
        <v>4368</v>
      </c>
      <c r="J1309" s="0" t="s">
        <v>4369</v>
      </c>
      <c r="K1309" s="0" t="s">
        <v>4370</v>
      </c>
      <c r="L1309" s="0" t="str">
        <f aca="false">HYPERLINK("https://www.ncbi.nlm.nih.gov/nuccore/CP000304.1?report=graph&amp;tracks=[key:gene_model_track,Options:GeneOnly]&amp;mk=386710:386729|offset_13|444444,386680:386699|offset_43|444444,386653:386672|offset_70|00cc00,386625:386644|offset_98|444444&amp;v=386509:386844&amp;c=444444", "offset 70")</f>
        <v>offset 70</v>
      </c>
    </row>
    <row r="1310" customFormat="false" ht="12.8" hidden="false" customHeight="false" outlineLevel="0" collapsed="false">
      <c r="A1310" s="0" t="s">
        <v>12</v>
      </c>
      <c r="B1310" s="0" t="n">
        <v>386624</v>
      </c>
      <c r="C1310" s="0" t="n">
        <v>386644</v>
      </c>
      <c r="D1310" s="0" t="s">
        <v>4360</v>
      </c>
      <c r="E1310" s="0" t="s">
        <v>4361</v>
      </c>
      <c r="F1310" s="0" t="s">
        <v>90</v>
      </c>
      <c r="G1310" s="0" t="s">
        <v>26</v>
      </c>
      <c r="H1310" s="0" t="n">
        <v>98</v>
      </c>
      <c r="I1310" s="0" t="s">
        <v>4371</v>
      </c>
      <c r="J1310" s="0" t="s">
        <v>4372</v>
      </c>
      <c r="K1310" s="0" t="s">
        <v>4373</v>
      </c>
      <c r="L1310" s="0" t="str">
        <f aca="false">HYPERLINK("https://www.ncbi.nlm.nih.gov/nuccore/CP000304.1?report=graph&amp;tracks=[key:gene_model_track,Options:GeneOnly]&amp;mk=386710:386729|offset_13|444444,386680:386699|offset_43|444444,386653:386672|offset_70|444444,386625:386644|offset_98|00cc00&amp;v=386509:386844&amp;c=444444", "offset 98")</f>
        <v>offset 98</v>
      </c>
    </row>
    <row r="1311" customFormat="false" ht="12.8" hidden="false" customHeight="false" outlineLevel="0" collapsed="false">
      <c r="A1311" s="0" t="s">
        <v>12</v>
      </c>
      <c r="B1311" s="0" t="n">
        <v>387110</v>
      </c>
      <c r="C1311" s="0" t="n">
        <v>387130</v>
      </c>
      <c r="D1311" s="0" t="s">
        <v>4374</v>
      </c>
      <c r="E1311" s="0" t="s">
        <v>4375</v>
      </c>
      <c r="F1311" s="0" t="s">
        <v>90</v>
      </c>
      <c r="G1311" s="0" t="s">
        <v>16</v>
      </c>
      <c r="H1311" s="0" t="n">
        <v>0</v>
      </c>
      <c r="I1311" s="0" t="s">
        <v>4376</v>
      </c>
      <c r="J1311" s="0" t="s">
        <v>4377</v>
      </c>
      <c r="K1311" s="0" t="s">
        <v>4378</v>
      </c>
      <c r="L1311" s="0" t="str">
        <f aca="false">HYPERLINK("https://www.ncbi.nlm.nih.gov/nuccore/CP000304.1?report=graph&amp;tracks=[key:gene_model_track,Options:GeneOnly]&amp;mk=387111:387130|offset_0|00cc00,387077:387096|offset_34|444444,387053:387072|offset_58|444444,387017:387036|offset_94|444444&amp;v=386910:387236&amp;c=444444", "offset 0")</f>
        <v>offset 0</v>
      </c>
    </row>
    <row r="1312" customFormat="false" ht="12.8" hidden="false" customHeight="false" outlineLevel="0" collapsed="false">
      <c r="A1312" s="0" t="s">
        <v>12</v>
      </c>
      <c r="B1312" s="0" t="n">
        <v>387076</v>
      </c>
      <c r="C1312" s="0" t="n">
        <v>387096</v>
      </c>
      <c r="D1312" s="0" t="s">
        <v>4374</v>
      </c>
      <c r="E1312" s="0" t="s">
        <v>4375</v>
      </c>
      <c r="F1312" s="0" t="s">
        <v>90</v>
      </c>
      <c r="G1312" s="0" t="s">
        <v>16</v>
      </c>
      <c r="H1312" s="0" t="n">
        <v>34</v>
      </c>
      <c r="I1312" s="0" t="s">
        <v>4379</v>
      </c>
      <c r="J1312" s="0" t="s">
        <v>4380</v>
      </c>
      <c r="K1312" s="0" t="s">
        <v>4381</v>
      </c>
      <c r="L1312" s="0" t="str">
        <f aca="false">HYPERLINK("https://www.ncbi.nlm.nih.gov/nuccore/CP000304.1?report=graph&amp;tracks=[key:gene_model_track,Options:GeneOnly]&amp;mk=387111:387130|offset_0|444444,387077:387096|offset_34|00cc00,387053:387072|offset_58|444444,387017:387036|offset_94|444444&amp;v=386910:387236&amp;c=444444", "offset 34")</f>
        <v>offset 34</v>
      </c>
    </row>
    <row r="1313" customFormat="false" ht="12.8" hidden="false" customHeight="false" outlineLevel="0" collapsed="false">
      <c r="A1313" s="0" t="s">
        <v>12</v>
      </c>
      <c r="B1313" s="0" t="n">
        <v>387052</v>
      </c>
      <c r="C1313" s="0" t="n">
        <v>387072</v>
      </c>
      <c r="D1313" s="0" t="s">
        <v>4374</v>
      </c>
      <c r="E1313" s="0" t="s">
        <v>4375</v>
      </c>
      <c r="F1313" s="0" t="s">
        <v>90</v>
      </c>
      <c r="G1313" s="0" t="s">
        <v>36</v>
      </c>
      <c r="H1313" s="0" t="n">
        <v>58</v>
      </c>
      <c r="I1313" s="0" t="s">
        <v>4382</v>
      </c>
      <c r="J1313" s="0" t="s">
        <v>4383</v>
      </c>
      <c r="K1313" s="0" t="s">
        <v>4384</v>
      </c>
      <c r="L1313" s="0" t="str">
        <f aca="false">HYPERLINK("https://www.ncbi.nlm.nih.gov/nuccore/CP000304.1?report=graph&amp;tracks=[key:gene_model_track,Options:GeneOnly]&amp;mk=387111:387130|offset_0|444444,387077:387096|offset_34|444444,387053:387072|offset_58|00cc00,387017:387036|offset_94|444444&amp;v=386910:387236&amp;c=444444", "offset 58")</f>
        <v>offset 58</v>
      </c>
    </row>
    <row r="1314" customFormat="false" ht="12.8" hidden="false" customHeight="false" outlineLevel="0" collapsed="false">
      <c r="A1314" s="0" t="s">
        <v>12</v>
      </c>
      <c r="B1314" s="0" t="n">
        <v>387016</v>
      </c>
      <c r="C1314" s="0" t="n">
        <v>387036</v>
      </c>
      <c r="D1314" s="0" t="s">
        <v>4374</v>
      </c>
      <c r="E1314" s="0" t="s">
        <v>4375</v>
      </c>
      <c r="F1314" s="0" t="s">
        <v>90</v>
      </c>
      <c r="G1314" s="0" t="s">
        <v>26</v>
      </c>
      <c r="H1314" s="0" t="n">
        <v>94</v>
      </c>
      <c r="I1314" s="0" t="s">
        <v>4385</v>
      </c>
      <c r="J1314" s="0" t="s">
        <v>4386</v>
      </c>
      <c r="K1314" s="0" t="s">
        <v>4387</v>
      </c>
      <c r="L1314" s="0" t="str">
        <f aca="false">HYPERLINK("https://www.ncbi.nlm.nih.gov/nuccore/CP000304.1?report=graph&amp;tracks=[key:gene_model_track,Options:GeneOnly]&amp;mk=387111:387130|offset_0|444444,387077:387096|offset_34|444444,387053:387072|offset_58|444444,387017:387036|offset_94|00cc00&amp;v=386910:387236&amp;c=444444", "offset 94")</f>
        <v>offset 94</v>
      </c>
    </row>
    <row r="1315" customFormat="false" ht="12.8" hidden="false" customHeight="false" outlineLevel="0" collapsed="false">
      <c r="A1315" s="0" t="s">
        <v>12</v>
      </c>
      <c r="B1315" s="0" t="n">
        <v>388751</v>
      </c>
      <c r="C1315" s="0" t="n">
        <v>388771</v>
      </c>
      <c r="D1315" s="0" t="s">
        <v>4388</v>
      </c>
      <c r="E1315" s="0" t="s">
        <v>4389</v>
      </c>
      <c r="F1315" s="0" t="s">
        <v>90</v>
      </c>
      <c r="G1315" s="0" t="s">
        <v>16</v>
      </c>
      <c r="H1315" s="0" t="n">
        <v>16</v>
      </c>
      <c r="I1315" s="0" t="s">
        <v>4390</v>
      </c>
      <c r="J1315" s="0" t="s">
        <v>4391</v>
      </c>
      <c r="K1315" s="0" t="s">
        <v>4392</v>
      </c>
      <c r="L1315" s="0" t="str">
        <f aca="false">HYPERLINK("https://www.ncbi.nlm.nih.gov/nuccore/CP000304.1?report=graph&amp;tracks=[key:gene_model_track,Options:GeneOnly]&amp;mk=388752:388771|offset_16|00cc00,388712:388731|offset_56|444444,388688:388707|offset_80|444444,388653:388672|offset_115|444444&amp;v=388551:388872&amp;c=444444", "offset 16")</f>
        <v>offset 16</v>
      </c>
    </row>
    <row r="1316" customFormat="false" ht="12.8" hidden="false" customHeight="false" outlineLevel="0" collapsed="false">
      <c r="A1316" s="0" t="s">
        <v>12</v>
      </c>
      <c r="B1316" s="0" t="n">
        <v>388711</v>
      </c>
      <c r="C1316" s="0" t="n">
        <v>388731</v>
      </c>
      <c r="D1316" s="0" t="s">
        <v>4388</v>
      </c>
      <c r="E1316" s="0" t="s">
        <v>4389</v>
      </c>
      <c r="F1316" s="0" t="s">
        <v>90</v>
      </c>
      <c r="G1316" s="0" t="s">
        <v>16</v>
      </c>
      <c r="H1316" s="0" t="n">
        <v>56</v>
      </c>
      <c r="I1316" s="0" t="s">
        <v>4393</v>
      </c>
      <c r="J1316" s="0" t="s">
        <v>4394</v>
      </c>
      <c r="K1316" s="0" t="s">
        <v>4395</v>
      </c>
      <c r="L1316" s="0" t="str">
        <f aca="false">HYPERLINK("https://www.ncbi.nlm.nih.gov/nuccore/CP000304.1?report=graph&amp;tracks=[key:gene_model_track,Options:GeneOnly]&amp;mk=388752:388771|offset_16|444444,388712:388731|offset_56|00cc00,388688:388707|offset_80|444444,388653:388672|offset_115|444444&amp;v=388551:388872&amp;c=444444", "offset 56")</f>
        <v>offset 56</v>
      </c>
    </row>
    <row r="1317" customFormat="false" ht="12.8" hidden="false" customHeight="false" outlineLevel="0" collapsed="false">
      <c r="A1317" s="0" t="s">
        <v>12</v>
      </c>
      <c r="B1317" s="0" t="n">
        <v>388687</v>
      </c>
      <c r="C1317" s="0" t="n">
        <v>388707</v>
      </c>
      <c r="D1317" s="0" t="s">
        <v>4388</v>
      </c>
      <c r="E1317" s="0" t="s">
        <v>4389</v>
      </c>
      <c r="F1317" s="0" t="s">
        <v>90</v>
      </c>
      <c r="G1317" s="0" t="s">
        <v>26</v>
      </c>
      <c r="H1317" s="0" t="n">
        <v>80</v>
      </c>
      <c r="I1317" s="0" t="s">
        <v>4396</v>
      </c>
      <c r="J1317" s="0" t="s">
        <v>4397</v>
      </c>
      <c r="K1317" s="0" t="s">
        <v>4398</v>
      </c>
      <c r="L1317" s="0" t="str">
        <f aca="false">HYPERLINK("https://www.ncbi.nlm.nih.gov/nuccore/CP000304.1?report=graph&amp;tracks=[key:gene_model_track,Options:GeneOnly]&amp;mk=388752:388771|offset_16|444444,388712:388731|offset_56|444444,388688:388707|offset_80|00cc00,388653:388672|offset_115|444444&amp;v=388551:388872&amp;c=444444", "offset 80")</f>
        <v>offset 80</v>
      </c>
    </row>
    <row r="1318" customFormat="false" ht="12.8" hidden="false" customHeight="false" outlineLevel="0" collapsed="false">
      <c r="A1318" s="0" t="s">
        <v>12</v>
      </c>
      <c r="B1318" s="0" t="n">
        <v>388652</v>
      </c>
      <c r="C1318" s="0" t="n">
        <v>388672</v>
      </c>
      <c r="D1318" s="0" t="s">
        <v>4388</v>
      </c>
      <c r="E1318" s="0" t="s">
        <v>4389</v>
      </c>
      <c r="F1318" s="0" t="s">
        <v>90</v>
      </c>
      <c r="G1318" s="0" t="s">
        <v>32</v>
      </c>
      <c r="H1318" s="0" t="n">
        <v>115</v>
      </c>
      <c r="I1318" s="0" t="s">
        <v>4399</v>
      </c>
      <c r="J1318" s="0" t="s">
        <v>4400</v>
      </c>
      <c r="K1318" s="0" t="s">
        <v>4401</v>
      </c>
      <c r="L1318" s="0" t="str">
        <f aca="false">HYPERLINK("https://www.ncbi.nlm.nih.gov/nuccore/CP000304.1?report=graph&amp;tracks=[key:gene_model_track,Options:GeneOnly]&amp;mk=388752:388771|offset_16|444444,388712:388731|offset_56|444444,388688:388707|offset_80|444444,388653:388672|offset_115|00cc00&amp;v=388551:388872&amp;c=444444", "offset 115")</f>
        <v>offset 115</v>
      </c>
    </row>
    <row r="1319" customFormat="false" ht="12.8" hidden="false" customHeight="false" outlineLevel="0" collapsed="false">
      <c r="A1319" s="0" t="s">
        <v>12</v>
      </c>
      <c r="B1319" s="0" t="n">
        <v>389370</v>
      </c>
      <c r="C1319" s="0" t="n">
        <v>389390</v>
      </c>
      <c r="D1319" s="0" t="s">
        <v>4402</v>
      </c>
      <c r="E1319" s="0" t="s">
        <v>89</v>
      </c>
      <c r="F1319" s="0" t="s">
        <v>90</v>
      </c>
      <c r="G1319" s="0" t="s">
        <v>26</v>
      </c>
      <c r="H1319" s="0" t="n">
        <v>17</v>
      </c>
      <c r="I1319" s="0" t="s">
        <v>4403</v>
      </c>
      <c r="J1319" s="0" t="s">
        <v>4404</v>
      </c>
      <c r="K1319" s="0" t="s">
        <v>4405</v>
      </c>
      <c r="L1319" s="0" t="str">
        <f aca="false">HYPERLINK("https://www.ncbi.nlm.nih.gov/nuccore/CP000304.1?report=graph&amp;tracks=[key:gene_model_track,Options:GeneOnly]&amp;mk=389371:389390|offset_17|00cc00,389335:389354|offset_53|444444,389310:389329|offset_78|444444,389287:389306|offset_101|444444&amp;v=389170:389506&amp;c=444444", "offset 17")</f>
        <v>offset 17</v>
      </c>
    </row>
    <row r="1320" customFormat="false" ht="12.8" hidden="false" customHeight="false" outlineLevel="0" collapsed="false">
      <c r="A1320" s="0" t="s">
        <v>12</v>
      </c>
      <c r="B1320" s="0" t="n">
        <v>389334</v>
      </c>
      <c r="C1320" s="0" t="n">
        <v>389354</v>
      </c>
      <c r="D1320" s="0" t="s">
        <v>4402</v>
      </c>
      <c r="E1320" s="0" t="s">
        <v>89</v>
      </c>
      <c r="F1320" s="0" t="s">
        <v>90</v>
      </c>
      <c r="G1320" s="0" t="s">
        <v>26</v>
      </c>
      <c r="H1320" s="0" t="n">
        <v>53</v>
      </c>
      <c r="I1320" s="0" t="s">
        <v>4406</v>
      </c>
      <c r="J1320" s="0" t="s">
        <v>4407</v>
      </c>
      <c r="K1320" s="0" t="s">
        <v>4408</v>
      </c>
      <c r="L1320" s="0" t="str">
        <f aca="false">HYPERLINK("https://www.ncbi.nlm.nih.gov/nuccore/CP000304.1?report=graph&amp;tracks=[key:gene_model_track,Options:GeneOnly]&amp;mk=389371:389390|offset_17|444444,389335:389354|offset_53|00cc00,389310:389329|offset_78|444444,389287:389306|offset_101|444444&amp;v=389170:389506&amp;c=444444", "offset 53")</f>
        <v>offset 53</v>
      </c>
    </row>
    <row r="1321" customFormat="false" ht="12.8" hidden="false" customHeight="false" outlineLevel="0" collapsed="false">
      <c r="A1321" s="0" t="s">
        <v>12</v>
      </c>
      <c r="B1321" s="0" t="n">
        <v>389309</v>
      </c>
      <c r="C1321" s="0" t="n">
        <v>389329</v>
      </c>
      <c r="D1321" s="0" t="s">
        <v>4402</v>
      </c>
      <c r="E1321" s="0" t="s">
        <v>89</v>
      </c>
      <c r="F1321" s="0" t="s">
        <v>90</v>
      </c>
      <c r="G1321" s="0" t="s">
        <v>16</v>
      </c>
      <c r="H1321" s="0" t="n">
        <v>78</v>
      </c>
      <c r="I1321" s="0" t="s">
        <v>4409</v>
      </c>
      <c r="J1321" s="0" t="s">
        <v>4410</v>
      </c>
      <c r="K1321" s="0" t="s">
        <v>4411</v>
      </c>
      <c r="L1321" s="0" t="str">
        <f aca="false">HYPERLINK("https://www.ncbi.nlm.nih.gov/nuccore/CP000304.1?report=graph&amp;tracks=[key:gene_model_track,Options:GeneOnly]&amp;mk=389371:389390|offset_17|444444,389335:389354|offset_53|444444,389310:389329|offset_78|00cc00,389287:389306|offset_101|444444&amp;v=389170:389506&amp;c=444444", "offset 78")</f>
        <v>offset 78</v>
      </c>
    </row>
    <row r="1322" customFormat="false" ht="12.8" hidden="false" customHeight="false" outlineLevel="0" collapsed="false">
      <c r="A1322" s="0" t="s">
        <v>12</v>
      </c>
      <c r="B1322" s="0" t="n">
        <v>389286</v>
      </c>
      <c r="C1322" s="0" t="n">
        <v>389306</v>
      </c>
      <c r="D1322" s="0" t="s">
        <v>4402</v>
      </c>
      <c r="E1322" s="0" t="s">
        <v>89</v>
      </c>
      <c r="F1322" s="0" t="s">
        <v>90</v>
      </c>
      <c r="G1322" s="0" t="s">
        <v>16</v>
      </c>
      <c r="H1322" s="0" t="n">
        <v>101</v>
      </c>
      <c r="I1322" s="0" t="s">
        <v>4412</v>
      </c>
      <c r="J1322" s="0" t="s">
        <v>4413</v>
      </c>
      <c r="K1322" s="0" t="s">
        <v>4414</v>
      </c>
      <c r="L1322" s="0" t="str">
        <f aca="false">HYPERLINK("https://www.ncbi.nlm.nih.gov/nuccore/CP000304.1?report=graph&amp;tracks=[key:gene_model_track,Options:GeneOnly]&amp;mk=389371:389390|offset_17|444444,389335:389354|offset_53|444444,389310:389329|offset_78|444444,389287:389306|offset_101|00cc00&amp;v=389170:389506&amp;c=444444", "offset 101")</f>
        <v>offset 101</v>
      </c>
    </row>
    <row r="1323" customFormat="false" ht="12.8" hidden="false" customHeight="false" outlineLevel="0" collapsed="false">
      <c r="A1323" s="0" t="s">
        <v>12</v>
      </c>
      <c r="B1323" s="0" t="n">
        <v>390150</v>
      </c>
      <c r="C1323" s="0" t="n">
        <v>390170</v>
      </c>
      <c r="D1323" s="0" t="s">
        <v>4415</v>
      </c>
      <c r="E1323" s="0" t="s">
        <v>4416</v>
      </c>
      <c r="F1323" s="0" t="s">
        <v>90</v>
      </c>
      <c r="G1323" s="0" t="s">
        <v>16</v>
      </c>
      <c r="H1323" s="0" t="n">
        <v>7</v>
      </c>
      <c r="I1323" s="0" t="s">
        <v>4417</v>
      </c>
      <c r="J1323" s="0" t="s">
        <v>4418</v>
      </c>
      <c r="K1323" s="0" t="s">
        <v>4419</v>
      </c>
      <c r="L1323" s="0" t="str">
        <f aca="false">HYPERLINK("https://www.ncbi.nlm.nih.gov/nuccore/CP000304.1?report=graph&amp;tracks=[key:gene_model_track,Options:GeneOnly]&amp;mk=390151:390170|offset_7|00cc00,390122:390141|offset_36|444444,390092:390111|offset_66|444444,390064:390083|offset_94|444444&amp;v=389950:390283&amp;c=444444", "offset 7")</f>
        <v>offset 7</v>
      </c>
    </row>
    <row r="1324" customFormat="false" ht="12.8" hidden="false" customHeight="false" outlineLevel="0" collapsed="false">
      <c r="A1324" s="0" t="s">
        <v>12</v>
      </c>
      <c r="B1324" s="0" t="n">
        <v>390121</v>
      </c>
      <c r="C1324" s="0" t="n">
        <v>390141</v>
      </c>
      <c r="D1324" s="0" t="s">
        <v>4415</v>
      </c>
      <c r="E1324" s="0" t="s">
        <v>4416</v>
      </c>
      <c r="F1324" s="0" t="s">
        <v>90</v>
      </c>
      <c r="G1324" s="0" t="s">
        <v>16</v>
      </c>
      <c r="H1324" s="0" t="n">
        <v>36</v>
      </c>
      <c r="I1324" s="0" t="s">
        <v>4420</v>
      </c>
      <c r="J1324" s="0" t="s">
        <v>4421</v>
      </c>
      <c r="K1324" s="0" t="s">
        <v>4422</v>
      </c>
      <c r="L1324" s="0" t="str">
        <f aca="false">HYPERLINK("https://www.ncbi.nlm.nih.gov/nuccore/CP000304.1?report=graph&amp;tracks=[key:gene_model_track,Options:GeneOnly]&amp;mk=390151:390170|offset_7|444444,390122:390141|offset_36|00cc00,390092:390111|offset_66|444444,390064:390083|offset_94|444444&amp;v=389950:390283&amp;c=444444", "offset 36")</f>
        <v>offset 36</v>
      </c>
    </row>
    <row r="1325" customFormat="false" ht="12.8" hidden="false" customHeight="false" outlineLevel="0" collapsed="false">
      <c r="A1325" s="0" t="s">
        <v>12</v>
      </c>
      <c r="B1325" s="0" t="n">
        <v>390091</v>
      </c>
      <c r="C1325" s="0" t="n">
        <v>390111</v>
      </c>
      <c r="D1325" s="0" t="s">
        <v>4415</v>
      </c>
      <c r="E1325" s="0" t="s">
        <v>4416</v>
      </c>
      <c r="F1325" s="0" t="s">
        <v>90</v>
      </c>
      <c r="G1325" s="0" t="s">
        <v>16</v>
      </c>
      <c r="H1325" s="0" t="n">
        <v>66</v>
      </c>
      <c r="I1325" s="0" t="s">
        <v>4423</v>
      </c>
      <c r="J1325" s="0" t="s">
        <v>4424</v>
      </c>
      <c r="K1325" s="0" t="s">
        <v>4425</v>
      </c>
      <c r="L1325" s="0" t="str">
        <f aca="false">HYPERLINK("https://www.ncbi.nlm.nih.gov/nuccore/CP000304.1?report=graph&amp;tracks=[key:gene_model_track,Options:GeneOnly]&amp;mk=390151:390170|offset_7|444444,390122:390141|offset_36|444444,390092:390111|offset_66|00cc00,390064:390083|offset_94|444444&amp;v=389950:390283&amp;c=444444", "offset 66")</f>
        <v>offset 66</v>
      </c>
    </row>
    <row r="1326" customFormat="false" ht="12.8" hidden="false" customHeight="false" outlineLevel="0" collapsed="false">
      <c r="A1326" s="0" t="s">
        <v>12</v>
      </c>
      <c r="B1326" s="0" t="n">
        <v>390063</v>
      </c>
      <c r="C1326" s="0" t="n">
        <v>390083</v>
      </c>
      <c r="D1326" s="0" t="s">
        <v>4415</v>
      </c>
      <c r="E1326" s="0" t="s">
        <v>4416</v>
      </c>
      <c r="F1326" s="0" t="s">
        <v>90</v>
      </c>
      <c r="G1326" s="0" t="s">
        <v>16</v>
      </c>
      <c r="H1326" s="0" t="n">
        <v>94</v>
      </c>
      <c r="I1326" s="0" t="s">
        <v>4426</v>
      </c>
      <c r="J1326" s="0" t="s">
        <v>4427</v>
      </c>
      <c r="K1326" s="0" t="s">
        <v>4428</v>
      </c>
      <c r="L1326" s="0" t="str">
        <f aca="false">HYPERLINK("https://www.ncbi.nlm.nih.gov/nuccore/CP000304.1?report=graph&amp;tracks=[key:gene_model_track,Options:GeneOnly]&amp;mk=390151:390170|offset_7|444444,390122:390141|offset_36|444444,390092:390111|offset_66|444444,390064:390083|offset_94|00cc00&amp;v=389950:390283&amp;c=444444", "offset 94")</f>
        <v>offset 94</v>
      </c>
    </row>
    <row r="1327" customFormat="false" ht="12.8" hidden="false" customHeight="false" outlineLevel="0" collapsed="false">
      <c r="A1327" s="0" t="s">
        <v>12</v>
      </c>
      <c r="B1327" s="0" t="n">
        <v>390629</v>
      </c>
      <c r="C1327" s="0" t="n">
        <v>390649</v>
      </c>
      <c r="D1327" s="0" t="s">
        <v>4429</v>
      </c>
      <c r="E1327" s="0" t="s">
        <v>89</v>
      </c>
      <c r="F1327" s="0" t="s">
        <v>90</v>
      </c>
      <c r="G1327" s="0" t="s">
        <v>36</v>
      </c>
      <c r="H1327" s="0" t="n">
        <v>7</v>
      </c>
      <c r="I1327" s="0" t="s">
        <v>4430</v>
      </c>
      <c r="J1327" s="0" t="s">
        <v>4431</v>
      </c>
      <c r="K1327" s="0" t="s">
        <v>4432</v>
      </c>
      <c r="L1327" s="0" t="str">
        <f aca="false">HYPERLINK("https://www.ncbi.nlm.nih.gov/nuccore/CP000304.1?report=graph&amp;tracks=[key:gene_model_track,Options:GeneOnly]&amp;mk=390630:390649|offset_7|00cc00,390605:390624|offset_32|444444,390579:390598|offset_58|444444,390557:390576|offset_80|444444&amp;v=390429:390776&amp;c=444444", "offset 7")</f>
        <v>offset 7</v>
      </c>
    </row>
    <row r="1328" customFormat="false" ht="12.8" hidden="false" customHeight="false" outlineLevel="0" collapsed="false">
      <c r="A1328" s="0" t="s">
        <v>12</v>
      </c>
      <c r="B1328" s="0" t="n">
        <v>390604</v>
      </c>
      <c r="C1328" s="0" t="n">
        <v>390624</v>
      </c>
      <c r="D1328" s="0" t="s">
        <v>4429</v>
      </c>
      <c r="E1328" s="0" t="s">
        <v>89</v>
      </c>
      <c r="F1328" s="0" t="s">
        <v>90</v>
      </c>
      <c r="G1328" s="0" t="s">
        <v>26</v>
      </c>
      <c r="H1328" s="0" t="n">
        <v>32</v>
      </c>
      <c r="I1328" s="0" t="s">
        <v>4433</v>
      </c>
      <c r="J1328" s="0" t="s">
        <v>4434</v>
      </c>
      <c r="K1328" s="0" t="s">
        <v>4435</v>
      </c>
      <c r="L1328" s="0" t="str">
        <f aca="false">HYPERLINK("https://www.ncbi.nlm.nih.gov/nuccore/CP000304.1?report=graph&amp;tracks=[key:gene_model_track,Options:GeneOnly]&amp;mk=390630:390649|offset_7|444444,390605:390624|offset_32|00cc00,390579:390598|offset_58|444444,390557:390576|offset_80|444444&amp;v=390429:390776&amp;c=444444", "offset 32")</f>
        <v>offset 32</v>
      </c>
    </row>
    <row r="1329" customFormat="false" ht="12.8" hidden="false" customHeight="false" outlineLevel="0" collapsed="false">
      <c r="A1329" s="0" t="s">
        <v>12</v>
      </c>
      <c r="B1329" s="0" t="n">
        <v>390578</v>
      </c>
      <c r="C1329" s="0" t="n">
        <v>390598</v>
      </c>
      <c r="D1329" s="0" t="s">
        <v>4429</v>
      </c>
      <c r="E1329" s="0" t="s">
        <v>89</v>
      </c>
      <c r="F1329" s="0" t="s">
        <v>90</v>
      </c>
      <c r="G1329" s="0" t="s">
        <v>36</v>
      </c>
      <c r="H1329" s="0" t="n">
        <v>58</v>
      </c>
      <c r="I1329" s="0" t="s">
        <v>4436</v>
      </c>
      <c r="J1329" s="0" t="s">
        <v>4437</v>
      </c>
      <c r="K1329" s="0" t="s">
        <v>4438</v>
      </c>
      <c r="L1329" s="0" t="str">
        <f aca="false">HYPERLINK("https://www.ncbi.nlm.nih.gov/nuccore/CP000304.1?report=graph&amp;tracks=[key:gene_model_track,Options:GeneOnly]&amp;mk=390630:390649|offset_7|444444,390605:390624|offset_32|444444,390579:390598|offset_58|00cc00,390557:390576|offset_80|444444&amp;v=390429:390776&amp;c=444444", "offset 58")</f>
        <v>offset 58</v>
      </c>
    </row>
    <row r="1330" customFormat="false" ht="12.8" hidden="false" customHeight="false" outlineLevel="0" collapsed="false">
      <c r="A1330" s="0" t="s">
        <v>12</v>
      </c>
      <c r="B1330" s="0" t="n">
        <v>390556</v>
      </c>
      <c r="C1330" s="0" t="n">
        <v>390576</v>
      </c>
      <c r="D1330" s="0" t="s">
        <v>4429</v>
      </c>
      <c r="E1330" s="0" t="s">
        <v>89</v>
      </c>
      <c r="F1330" s="0" t="s">
        <v>90</v>
      </c>
      <c r="G1330" s="0" t="s">
        <v>16</v>
      </c>
      <c r="H1330" s="0" t="n">
        <v>80</v>
      </c>
      <c r="I1330" s="0" t="s">
        <v>4439</v>
      </c>
      <c r="J1330" s="0" t="s">
        <v>4440</v>
      </c>
      <c r="K1330" s="0" t="s">
        <v>4441</v>
      </c>
      <c r="L1330" s="0" t="str">
        <f aca="false">HYPERLINK("https://www.ncbi.nlm.nih.gov/nuccore/CP000304.1?report=graph&amp;tracks=[key:gene_model_track,Options:GeneOnly]&amp;mk=390630:390649|offset_7|444444,390605:390624|offset_32|444444,390579:390598|offset_58|444444,390557:390576|offset_80|00cc00&amp;v=390429:390776&amp;c=444444", "offset 80")</f>
        <v>offset 80</v>
      </c>
    </row>
    <row r="1331" customFormat="false" ht="12.8" hidden="false" customHeight="false" outlineLevel="0" collapsed="false">
      <c r="A1331" s="0" t="s">
        <v>12</v>
      </c>
      <c r="B1331" s="0" t="n">
        <v>392577</v>
      </c>
      <c r="C1331" s="0" t="n">
        <v>392597</v>
      </c>
      <c r="D1331" s="0" t="s">
        <v>4442</v>
      </c>
      <c r="E1331" s="0" t="s">
        <v>89</v>
      </c>
      <c r="F1331" s="0" t="s">
        <v>90</v>
      </c>
      <c r="G1331" s="0" t="s">
        <v>36</v>
      </c>
      <c r="H1331" s="0" t="n">
        <v>10</v>
      </c>
      <c r="I1331" s="0" t="s">
        <v>4443</v>
      </c>
      <c r="J1331" s="0" t="s">
        <v>4444</v>
      </c>
      <c r="K1331" s="0" t="s">
        <v>4445</v>
      </c>
      <c r="L1331" s="0" t="str">
        <f aca="false">HYPERLINK("https://www.ncbi.nlm.nih.gov/nuccore/CP000304.1?report=graph&amp;tracks=[key:gene_model_track,Options:GeneOnly]&amp;mk=392578:392597|offset_10|00cc00,392557:392576|offset_31|444444,392517:392536|offset_71|444444,392497:392516|offset_91|444444&amp;v=392377:392716&amp;c=444444", "offset 10")</f>
        <v>offset 10</v>
      </c>
    </row>
    <row r="1332" customFormat="false" ht="12.8" hidden="false" customHeight="false" outlineLevel="0" collapsed="false">
      <c r="A1332" s="0" t="s">
        <v>12</v>
      </c>
      <c r="B1332" s="0" t="n">
        <v>392556</v>
      </c>
      <c r="C1332" s="0" t="n">
        <v>392576</v>
      </c>
      <c r="D1332" s="0" t="s">
        <v>4442</v>
      </c>
      <c r="E1332" s="0" t="s">
        <v>89</v>
      </c>
      <c r="F1332" s="0" t="s">
        <v>90</v>
      </c>
      <c r="G1332" s="0" t="s">
        <v>16</v>
      </c>
      <c r="H1332" s="0" t="n">
        <v>31</v>
      </c>
      <c r="I1332" s="0" t="s">
        <v>4446</v>
      </c>
      <c r="J1332" s="0" t="s">
        <v>4447</v>
      </c>
      <c r="K1332" s="0" t="s">
        <v>4448</v>
      </c>
      <c r="L1332" s="0" t="str">
        <f aca="false">HYPERLINK("https://www.ncbi.nlm.nih.gov/nuccore/CP000304.1?report=graph&amp;tracks=[key:gene_model_track,Options:GeneOnly]&amp;mk=392578:392597|offset_10|444444,392557:392576|offset_31|00cc00,392517:392536|offset_71|444444,392497:392516|offset_91|444444&amp;v=392377:392716&amp;c=444444", "offset 31")</f>
        <v>offset 31</v>
      </c>
    </row>
    <row r="1333" customFormat="false" ht="12.8" hidden="false" customHeight="false" outlineLevel="0" collapsed="false">
      <c r="A1333" s="0" t="s">
        <v>12</v>
      </c>
      <c r="B1333" s="0" t="n">
        <v>392516</v>
      </c>
      <c r="C1333" s="0" t="n">
        <v>392536</v>
      </c>
      <c r="D1333" s="0" t="s">
        <v>4442</v>
      </c>
      <c r="E1333" s="0" t="s">
        <v>89</v>
      </c>
      <c r="F1333" s="0" t="s">
        <v>90</v>
      </c>
      <c r="G1333" s="0" t="s">
        <v>26</v>
      </c>
      <c r="H1333" s="0" t="n">
        <v>71</v>
      </c>
      <c r="I1333" s="0" t="s">
        <v>4449</v>
      </c>
      <c r="J1333" s="0" t="s">
        <v>4450</v>
      </c>
      <c r="K1333" s="0" t="s">
        <v>4451</v>
      </c>
      <c r="L1333" s="0" t="str">
        <f aca="false">HYPERLINK("https://www.ncbi.nlm.nih.gov/nuccore/CP000304.1?report=graph&amp;tracks=[key:gene_model_track,Options:GeneOnly]&amp;mk=392578:392597|offset_10|444444,392557:392576|offset_31|444444,392517:392536|offset_71|00cc00,392497:392516|offset_91|444444&amp;v=392377:392716&amp;c=444444", "offset 71")</f>
        <v>offset 71</v>
      </c>
    </row>
    <row r="1334" customFormat="false" ht="12.8" hidden="false" customHeight="false" outlineLevel="0" collapsed="false">
      <c r="A1334" s="0" t="s">
        <v>12</v>
      </c>
      <c r="B1334" s="0" t="n">
        <v>392496</v>
      </c>
      <c r="C1334" s="0" t="n">
        <v>392516</v>
      </c>
      <c r="D1334" s="0" t="s">
        <v>4442</v>
      </c>
      <c r="E1334" s="0" t="s">
        <v>89</v>
      </c>
      <c r="F1334" s="0" t="s">
        <v>90</v>
      </c>
      <c r="G1334" s="0" t="s">
        <v>16</v>
      </c>
      <c r="H1334" s="0" t="n">
        <v>91</v>
      </c>
      <c r="I1334" s="0" t="s">
        <v>4452</v>
      </c>
      <c r="J1334" s="0" t="s">
        <v>4453</v>
      </c>
      <c r="K1334" s="0" t="s">
        <v>4454</v>
      </c>
      <c r="L1334" s="0" t="str">
        <f aca="false">HYPERLINK("https://www.ncbi.nlm.nih.gov/nuccore/CP000304.1?report=graph&amp;tracks=[key:gene_model_track,Options:GeneOnly]&amp;mk=392578:392597|offset_10|444444,392557:392576|offset_31|444444,392517:392536|offset_71|444444,392497:392516|offset_91|00cc00&amp;v=392377:392716&amp;c=444444", "offset 91")</f>
        <v>offset 91</v>
      </c>
    </row>
    <row r="1335" customFormat="false" ht="12.8" hidden="false" customHeight="false" outlineLevel="0" collapsed="false">
      <c r="A1335" s="0" t="s">
        <v>12</v>
      </c>
      <c r="B1335" s="0" t="n">
        <v>393252</v>
      </c>
      <c r="C1335" s="0" t="n">
        <v>393272</v>
      </c>
      <c r="D1335" s="0" t="s">
        <v>4455</v>
      </c>
      <c r="E1335" s="0" t="s">
        <v>89</v>
      </c>
      <c r="F1335" s="0" t="s">
        <v>90</v>
      </c>
      <c r="G1335" s="0" t="s">
        <v>36</v>
      </c>
      <c r="H1335" s="0" t="n">
        <v>11</v>
      </c>
      <c r="I1335" s="0" t="s">
        <v>4456</v>
      </c>
      <c r="J1335" s="0" t="s">
        <v>4457</v>
      </c>
      <c r="K1335" s="0" t="s">
        <v>4458</v>
      </c>
      <c r="L1335" s="0" t="str">
        <f aca="false">HYPERLINK("https://www.ncbi.nlm.nih.gov/nuccore/CP000304.1?report=graph&amp;tracks=[key:gene_model_track,Options:GeneOnly]&amp;mk=393253:393272|offset_11|00cc00,393224:393243|offset_40|444444,393176:393195|offset_88|444444,393150:393169|offset_114|444444&amp;v=393052:393369&amp;c=444444", "offset 11")</f>
        <v>offset 11</v>
      </c>
    </row>
    <row r="1336" customFormat="false" ht="12.8" hidden="false" customHeight="false" outlineLevel="0" collapsed="false">
      <c r="A1336" s="0" t="s">
        <v>12</v>
      </c>
      <c r="B1336" s="0" t="n">
        <v>393223</v>
      </c>
      <c r="C1336" s="0" t="n">
        <v>393243</v>
      </c>
      <c r="D1336" s="0" t="s">
        <v>4455</v>
      </c>
      <c r="E1336" s="0" t="s">
        <v>89</v>
      </c>
      <c r="F1336" s="0" t="s">
        <v>90</v>
      </c>
      <c r="G1336" s="0" t="s">
        <v>32</v>
      </c>
      <c r="H1336" s="0" t="n">
        <v>40</v>
      </c>
      <c r="I1336" s="0" t="s">
        <v>4459</v>
      </c>
      <c r="J1336" s="0" t="s">
        <v>4460</v>
      </c>
      <c r="K1336" s="0" t="s">
        <v>4461</v>
      </c>
      <c r="L1336" s="0" t="str">
        <f aca="false">HYPERLINK("https://www.ncbi.nlm.nih.gov/nuccore/CP000304.1?report=graph&amp;tracks=[key:gene_model_track,Options:GeneOnly]&amp;mk=393253:393272|offset_11|444444,393224:393243|offset_40|00cc00,393176:393195|offset_88|444444,393150:393169|offset_114|444444&amp;v=393052:393369&amp;c=444444", "offset 40")</f>
        <v>offset 40</v>
      </c>
    </row>
    <row r="1337" customFormat="false" ht="12.8" hidden="false" customHeight="false" outlineLevel="0" collapsed="false">
      <c r="A1337" s="0" t="s">
        <v>12</v>
      </c>
      <c r="B1337" s="0" t="n">
        <v>393175</v>
      </c>
      <c r="C1337" s="0" t="n">
        <v>393195</v>
      </c>
      <c r="D1337" s="0" t="s">
        <v>4455</v>
      </c>
      <c r="E1337" s="0" t="s">
        <v>89</v>
      </c>
      <c r="F1337" s="0" t="s">
        <v>90</v>
      </c>
      <c r="G1337" s="0" t="s">
        <v>16</v>
      </c>
      <c r="H1337" s="0" t="n">
        <v>88</v>
      </c>
      <c r="I1337" s="0" t="s">
        <v>4462</v>
      </c>
      <c r="J1337" s="0" t="s">
        <v>4463</v>
      </c>
      <c r="K1337" s="0" t="s">
        <v>4464</v>
      </c>
      <c r="L1337" s="0" t="str">
        <f aca="false">HYPERLINK("https://www.ncbi.nlm.nih.gov/nuccore/CP000304.1?report=graph&amp;tracks=[key:gene_model_track,Options:GeneOnly]&amp;mk=393253:393272|offset_11|444444,393224:393243|offset_40|444444,393176:393195|offset_88|00cc00,393150:393169|offset_114|444444&amp;v=393052:393369&amp;c=444444", "offset 88")</f>
        <v>offset 88</v>
      </c>
    </row>
    <row r="1338" customFormat="false" ht="12.8" hidden="false" customHeight="false" outlineLevel="0" collapsed="false">
      <c r="A1338" s="0" t="s">
        <v>12</v>
      </c>
      <c r="B1338" s="0" t="n">
        <v>393149</v>
      </c>
      <c r="C1338" s="0" t="n">
        <v>393169</v>
      </c>
      <c r="D1338" s="0" t="s">
        <v>4455</v>
      </c>
      <c r="E1338" s="0" t="s">
        <v>89</v>
      </c>
      <c r="F1338" s="0" t="s">
        <v>90</v>
      </c>
      <c r="G1338" s="0" t="s">
        <v>32</v>
      </c>
      <c r="H1338" s="0" t="n">
        <v>114</v>
      </c>
      <c r="I1338" s="0" t="s">
        <v>4465</v>
      </c>
      <c r="J1338" s="0" t="s">
        <v>4466</v>
      </c>
      <c r="K1338" s="0" t="s">
        <v>4467</v>
      </c>
      <c r="L1338" s="0" t="str">
        <f aca="false">HYPERLINK("https://www.ncbi.nlm.nih.gov/nuccore/CP000304.1?report=graph&amp;tracks=[key:gene_model_track,Options:GeneOnly]&amp;mk=393253:393272|offset_11|444444,393224:393243|offset_40|444444,393176:393195|offset_88|444444,393150:393169|offset_114|00cc00&amp;v=393052:393369&amp;c=444444", "offset 114")</f>
        <v>offset 114</v>
      </c>
    </row>
    <row r="1339" customFormat="false" ht="12.8" hidden="false" customHeight="false" outlineLevel="0" collapsed="false">
      <c r="A1339" s="0" t="s">
        <v>12</v>
      </c>
      <c r="B1339" s="0" t="n">
        <v>394654</v>
      </c>
      <c r="C1339" s="0" t="n">
        <v>394674</v>
      </c>
      <c r="D1339" s="0" t="s">
        <v>4468</v>
      </c>
      <c r="E1339" s="0" t="s">
        <v>4469</v>
      </c>
      <c r="F1339" s="0" t="s">
        <v>90</v>
      </c>
      <c r="G1339" s="0" t="s">
        <v>32</v>
      </c>
      <c r="H1339" s="0" t="n">
        <v>1</v>
      </c>
      <c r="I1339" s="0" t="s">
        <v>4470</v>
      </c>
      <c r="J1339" s="0" t="s">
        <v>4471</v>
      </c>
      <c r="K1339" s="0" t="s">
        <v>4472</v>
      </c>
      <c r="L1339" s="0" t="str">
        <f aca="false">HYPERLINK("https://www.ncbi.nlm.nih.gov/nuccore/CP000304.1?report=graph&amp;tracks=[key:gene_model_track,Options:GeneOnly]&amp;mk=394655:394674|offset_1|00cc00,394627:394646|offset_29|444444,394600:394619|offset_56|444444,394574:394593|offset_82|444444&amp;v=394454:394793&amp;c=444444", "offset 1")</f>
        <v>offset 1</v>
      </c>
    </row>
    <row r="1340" customFormat="false" ht="12.8" hidden="false" customHeight="false" outlineLevel="0" collapsed="false">
      <c r="A1340" s="0" t="s">
        <v>12</v>
      </c>
      <c r="B1340" s="0" t="n">
        <v>394626</v>
      </c>
      <c r="C1340" s="0" t="n">
        <v>394646</v>
      </c>
      <c r="D1340" s="0" t="s">
        <v>4468</v>
      </c>
      <c r="E1340" s="0" t="s">
        <v>4469</v>
      </c>
      <c r="F1340" s="0" t="s">
        <v>90</v>
      </c>
      <c r="G1340" s="0" t="s">
        <v>32</v>
      </c>
      <c r="H1340" s="0" t="n">
        <v>29</v>
      </c>
      <c r="I1340" s="0" t="s">
        <v>4473</v>
      </c>
      <c r="J1340" s="0" t="s">
        <v>4474</v>
      </c>
      <c r="K1340" s="0" t="s">
        <v>4475</v>
      </c>
      <c r="L1340" s="0" t="str">
        <f aca="false">HYPERLINK("https://www.ncbi.nlm.nih.gov/nuccore/CP000304.1?report=graph&amp;tracks=[key:gene_model_track,Options:GeneOnly]&amp;mk=394655:394674|offset_1|444444,394627:394646|offset_29|00cc00,394600:394619|offset_56|444444,394574:394593|offset_82|444444&amp;v=394454:394793&amp;c=444444", "offset 29")</f>
        <v>offset 29</v>
      </c>
    </row>
    <row r="1341" customFormat="false" ht="12.8" hidden="false" customHeight="false" outlineLevel="0" collapsed="false">
      <c r="A1341" s="0" t="s">
        <v>12</v>
      </c>
      <c r="B1341" s="0" t="n">
        <v>394599</v>
      </c>
      <c r="C1341" s="0" t="n">
        <v>394619</v>
      </c>
      <c r="D1341" s="0" t="s">
        <v>4468</v>
      </c>
      <c r="E1341" s="0" t="s">
        <v>4469</v>
      </c>
      <c r="F1341" s="0" t="s">
        <v>90</v>
      </c>
      <c r="G1341" s="0" t="s">
        <v>32</v>
      </c>
      <c r="H1341" s="0" t="n">
        <v>56</v>
      </c>
      <c r="I1341" s="0" t="s">
        <v>4476</v>
      </c>
      <c r="J1341" s="0" t="s">
        <v>4477</v>
      </c>
      <c r="K1341" s="0" t="s">
        <v>4478</v>
      </c>
      <c r="L1341" s="0" t="str">
        <f aca="false">HYPERLINK("https://www.ncbi.nlm.nih.gov/nuccore/CP000304.1?report=graph&amp;tracks=[key:gene_model_track,Options:GeneOnly]&amp;mk=394655:394674|offset_1|444444,394627:394646|offset_29|444444,394600:394619|offset_56|00cc00,394574:394593|offset_82|444444&amp;v=394454:394793&amp;c=444444", "offset 56")</f>
        <v>offset 56</v>
      </c>
    </row>
    <row r="1342" customFormat="false" ht="12.8" hidden="false" customHeight="false" outlineLevel="0" collapsed="false">
      <c r="A1342" s="0" t="s">
        <v>12</v>
      </c>
      <c r="B1342" s="0" t="n">
        <v>394573</v>
      </c>
      <c r="C1342" s="0" t="n">
        <v>394593</v>
      </c>
      <c r="D1342" s="0" t="s">
        <v>4468</v>
      </c>
      <c r="E1342" s="0" t="s">
        <v>4469</v>
      </c>
      <c r="F1342" s="0" t="s">
        <v>90</v>
      </c>
      <c r="G1342" s="0" t="s">
        <v>32</v>
      </c>
      <c r="H1342" s="0" t="n">
        <v>82</v>
      </c>
      <c r="I1342" s="0" t="s">
        <v>4479</v>
      </c>
      <c r="J1342" s="0" t="s">
        <v>4480</v>
      </c>
      <c r="K1342" s="0" t="s">
        <v>4481</v>
      </c>
      <c r="L1342" s="0" t="str">
        <f aca="false">HYPERLINK("https://www.ncbi.nlm.nih.gov/nuccore/CP000304.1?report=graph&amp;tracks=[key:gene_model_track,Options:GeneOnly]&amp;mk=394655:394674|offset_1|444444,394627:394646|offset_29|444444,394600:394619|offset_56|444444,394574:394593|offset_82|00cc00&amp;v=394454:394793&amp;c=444444", "offset 82")</f>
        <v>offset 82</v>
      </c>
    </row>
    <row r="1343" customFormat="false" ht="12.8" hidden="false" customHeight="false" outlineLevel="0" collapsed="false">
      <c r="A1343" s="0" t="s">
        <v>12</v>
      </c>
      <c r="B1343" s="0" t="n">
        <v>395193</v>
      </c>
      <c r="C1343" s="0" t="n">
        <v>395213</v>
      </c>
      <c r="D1343" s="0" t="s">
        <v>4482</v>
      </c>
      <c r="E1343" s="0" t="s">
        <v>4483</v>
      </c>
      <c r="F1343" s="0" t="s">
        <v>90</v>
      </c>
      <c r="G1343" s="0" t="s">
        <v>16</v>
      </c>
      <c r="H1343" s="0" t="n">
        <v>8</v>
      </c>
      <c r="I1343" s="0" t="s">
        <v>4484</v>
      </c>
      <c r="J1343" s="0" t="s">
        <v>4485</v>
      </c>
      <c r="K1343" s="0" t="s">
        <v>4486</v>
      </c>
      <c r="L1343" s="0" t="str">
        <f aca="false">HYPERLINK("https://www.ncbi.nlm.nih.gov/nuccore/CP000304.1?report=graph&amp;tracks=[key:gene_model_track,Options:GeneOnly]&amp;mk=395194:395213|offset_8|00cc00,395161:395180|offset_41|444444,395141:395160|offset_61|444444,395113:395132|offset_89|444444&amp;v=394993:395332&amp;c=444444", "offset 8")</f>
        <v>offset 8</v>
      </c>
    </row>
    <row r="1344" customFormat="false" ht="12.8" hidden="false" customHeight="false" outlineLevel="0" collapsed="false">
      <c r="A1344" s="0" t="s">
        <v>12</v>
      </c>
      <c r="B1344" s="0" t="n">
        <v>395160</v>
      </c>
      <c r="C1344" s="0" t="n">
        <v>395180</v>
      </c>
      <c r="D1344" s="0" t="s">
        <v>4482</v>
      </c>
      <c r="E1344" s="0" t="s">
        <v>4483</v>
      </c>
      <c r="F1344" s="0" t="s">
        <v>90</v>
      </c>
      <c r="G1344" s="0" t="s">
        <v>32</v>
      </c>
      <c r="H1344" s="0" t="n">
        <v>41</v>
      </c>
      <c r="I1344" s="0" t="s">
        <v>4487</v>
      </c>
      <c r="J1344" s="0" t="s">
        <v>4488</v>
      </c>
      <c r="K1344" s="0" t="s">
        <v>4489</v>
      </c>
      <c r="L1344" s="0" t="str">
        <f aca="false">HYPERLINK("https://www.ncbi.nlm.nih.gov/nuccore/CP000304.1?report=graph&amp;tracks=[key:gene_model_track,Options:GeneOnly]&amp;mk=395194:395213|offset_8|444444,395161:395180|offset_41|00cc00,395141:395160|offset_61|444444,395113:395132|offset_89|444444&amp;v=394993:395332&amp;c=444444", "offset 41")</f>
        <v>offset 41</v>
      </c>
    </row>
    <row r="1345" customFormat="false" ht="12.8" hidden="false" customHeight="false" outlineLevel="0" collapsed="false">
      <c r="A1345" s="0" t="s">
        <v>12</v>
      </c>
      <c r="B1345" s="0" t="n">
        <v>395140</v>
      </c>
      <c r="C1345" s="0" t="n">
        <v>395160</v>
      </c>
      <c r="D1345" s="0" t="s">
        <v>4482</v>
      </c>
      <c r="E1345" s="0" t="s">
        <v>4483</v>
      </c>
      <c r="F1345" s="0" t="s">
        <v>90</v>
      </c>
      <c r="G1345" s="0" t="s">
        <v>16</v>
      </c>
      <c r="H1345" s="0" t="n">
        <v>61</v>
      </c>
      <c r="I1345" s="0" t="s">
        <v>4490</v>
      </c>
      <c r="J1345" s="0" t="s">
        <v>4491</v>
      </c>
      <c r="K1345" s="0" t="s">
        <v>4492</v>
      </c>
      <c r="L1345" s="0" t="str">
        <f aca="false">HYPERLINK("https://www.ncbi.nlm.nih.gov/nuccore/CP000304.1?report=graph&amp;tracks=[key:gene_model_track,Options:GeneOnly]&amp;mk=395194:395213|offset_8|444444,395161:395180|offset_41|444444,395141:395160|offset_61|00cc00,395113:395132|offset_89|444444&amp;v=394993:395332&amp;c=444444", "offset 61")</f>
        <v>offset 61</v>
      </c>
    </row>
    <row r="1346" customFormat="false" ht="12.8" hidden="false" customHeight="false" outlineLevel="0" collapsed="false">
      <c r="A1346" s="0" t="s">
        <v>12</v>
      </c>
      <c r="B1346" s="0" t="n">
        <v>395112</v>
      </c>
      <c r="C1346" s="0" t="n">
        <v>395132</v>
      </c>
      <c r="D1346" s="0" t="s">
        <v>4482</v>
      </c>
      <c r="E1346" s="0" t="s">
        <v>4483</v>
      </c>
      <c r="F1346" s="0" t="s">
        <v>90</v>
      </c>
      <c r="G1346" s="0" t="s">
        <v>16</v>
      </c>
      <c r="H1346" s="0" t="n">
        <v>89</v>
      </c>
      <c r="I1346" s="0" t="s">
        <v>4493</v>
      </c>
      <c r="J1346" s="0" t="s">
        <v>4494</v>
      </c>
      <c r="K1346" s="0" t="s">
        <v>4495</v>
      </c>
      <c r="L1346" s="0" t="str">
        <f aca="false">HYPERLINK("https://www.ncbi.nlm.nih.gov/nuccore/CP000304.1?report=graph&amp;tracks=[key:gene_model_track,Options:GeneOnly]&amp;mk=395194:395213|offset_8|444444,395161:395180|offset_41|444444,395141:395160|offset_61|444444,395113:395132|offset_89|00cc00&amp;v=394993:395332&amp;c=444444", "offset 89")</f>
        <v>offset 89</v>
      </c>
    </row>
    <row r="1347" customFormat="false" ht="12.8" hidden="false" customHeight="false" outlineLevel="0" collapsed="false">
      <c r="A1347" s="0" t="s">
        <v>12</v>
      </c>
      <c r="B1347" s="0" t="n">
        <v>397705</v>
      </c>
      <c r="C1347" s="0" t="n">
        <v>397725</v>
      </c>
      <c r="D1347" s="0" t="s">
        <v>4496</v>
      </c>
      <c r="E1347" s="0" t="s">
        <v>89</v>
      </c>
      <c r="F1347" s="0" t="s">
        <v>90</v>
      </c>
      <c r="G1347" s="0" t="s">
        <v>36</v>
      </c>
      <c r="H1347" s="0" t="n">
        <v>7</v>
      </c>
      <c r="I1347" s="0" t="s">
        <v>4497</v>
      </c>
      <c r="J1347" s="0" t="s">
        <v>4498</v>
      </c>
      <c r="K1347" s="0" t="s">
        <v>4499</v>
      </c>
      <c r="L1347" s="0" t="str">
        <f aca="false">HYPERLINK("https://www.ncbi.nlm.nih.gov/nuccore/CP000304.1?report=graph&amp;tracks=[key:gene_model_track,Options:GeneOnly]&amp;mk=397706:397725|offset_7|00cc00,397684:397703|offset_29|444444,397655:397674|offset_58|444444,397610:397629|offset_103|444444&amp;v=397505:397829&amp;c=444444", "offset 7")</f>
        <v>offset 7</v>
      </c>
    </row>
    <row r="1348" customFormat="false" ht="12.8" hidden="false" customHeight="false" outlineLevel="0" collapsed="false">
      <c r="A1348" s="0" t="s">
        <v>12</v>
      </c>
      <c r="B1348" s="0" t="n">
        <v>397683</v>
      </c>
      <c r="C1348" s="0" t="n">
        <v>397703</v>
      </c>
      <c r="D1348" s="0" t="s">
        <v>4496</v>
      </c>
      <c r="E1348" s="0" t="s">
        <v>89</v>
      </c>
      <c r="F1348" s="0" t="s">
        <v>90</v>
      </c>
      <c r="G1348" s="0" t="s">
        <v>16</v>
      </c>
      <c r="H1348" s="0" t="n">
        <v>29</v>
      </c>
      <c r="I1348" s="0" t="s">
        <v>4500</v>
      </c>
      <c r="J1348" s="0" t="s">
        <v>4501</v>
      </c>
      <c r="K1348" s="0" t="s">
        <v>4502</v>
      </c>
      <c r="L1348" s="0" t="str">
        <f aca="false">HYPERLINK("https://www.ncbi.nlm.nih.gov/nuccore/CP000304.1?report=graph&amp;tracks=[key:gene_model_track,Options:GeneOnly]&amp;mk=397706:397725|offset_7|444444,397684:397703|offset_29|00cc00,397655:397674|offset_58|444444,397610:397629|offset_103|444444&amp;v=397505:397829&amp;c=444444", "offset 29")</f>
        <v>offset 29</v>
      </c>
    </row>
    <row r="1349" customFormat="false" ht="12.8" hidden="false" customHeight="false" outlineLevel="0" collapsed="false">
      <c r="A1349" s="0" t="s">
        <v>12</v>
      </c>
      <c r="B1349" s="0" t="n">
        <v>397654</v>
      </c>
      <c r="C1349" s="0" t="n">
        <v>397674</v>
      </c>
      <c r="D1349" s="0" t="s">
        <v>4496</v>
      </c>
      <c r="E1349" s="0" t="s">
        <v>89</v>
      </c>
      <c r="F1349" s="0" t="s">
        <v>90</v>
      </c>
      <c r="G1349" s="0" t="s">
        <v>26</v>
      </c>
      <c r="H1349" s="0" t="n">
        <v>58</v>
      </c>
      <c r="I1349" s="0" t="s">
        <v>4503</v>
      </c>
      <c r="J1349" s="0" t="s">
        <v>4504</v>
      </c>
      <c r="K1349" s="0" t="s">
        <v>4505</v>
      </c>
      <c r="L1349" s="0" t="str">
        <f aca="false">HYPERLINK("https://www.ncbi.nlm.nih.gov/nuccore/CP000304.1?report=graph&amp;tracks=[key:gene_model_track,Options:GeneOnly]&amp;mk=397706:397725|offset_7|444444,397684:397703|offset_29|444444,397655:397674|offset_58|00cc00,397610:397629|offset_103|444444&amp;v=397505:397829&amp;c=444444", "offset 58")</f>
        <v>offset 58</v>
      </c>
    </row>
    <row r="1350" customFormat="false" ht="12.8" hidden="false" customHeight="false" outlineLevel="0" collapsed="false">
      <c r="A1350" s="0" t="s">
        <v>12</v>
      </c>
      <c r="B1350" s="0" t="n">
        <v>397609</v>
      </c>
      <c r="C1350" s="0" t="n">
        <v>397629</v>
      </c>
      <c r="D1350" s="0" t="s">
        <v>4496</v>
      </c>
      <c r="E1350" s="0" t="s">
        <v>89</v>
      </c>
      <c r="F1350" s="0" t="s">
        <v>90</v>
      </c>
      <c r="G1350" s="0" t="s">
        <v>16</v>
      </c>
      <c r="H1350" s="0" t="n">
        <v>103</v>
      </c>
      <c r="I1350" s="0" t="s">
        <v>4506</v>
      </c>
      <c r="J1350" s="0" t="s">
        <v>4507</v>
      </c>
      <c r="K1350" s="0" t="s">
        <v>4508</v>
      </c>
      <c r="L1350" s="0" t="str">
        <f aca="false">HYPERLINK("https://www.ncbi.nlm.nih.gov/nuccore/CP000304.1?report=graph&amp;tracks=[key:gene_model_track,Options:GeneOnly]&amp;mk=397706:397725|offset_7|444444,397684:397703|offset_29|444444,397655:397674|offset_58|444444,397610:397629|offset_103|00cc00&amp;v=397505:397829&amp;c=444444", "offset 103")</f>
        <v>offset 103</v>
      </c>
    </row>
    <row r="1351" customFormat="false" ht="12.8" hidden="false" customHeight="false" outlineLevel="0" collapsed="false">
      <c r="A1351" s="0" t="s">
        <v>12</v>
      </c>
      <c r="B1351" s="0" t="n">
        <v>398267</v>
      </c>
      <c r="C1351" s="0" t="n">
        <v>398287</v>
      </c>
      <c r="D1351" s="0" t="s">
        <v>4509</v>
      </c>
      <c r="E1351" s="0" t="s">
        <v>89</v>
      </c>
      <c r="F1351" s="0" t="s">
        <v>90</v>
      </c>
      <c r="G1351" s="0" t="s">
        <v>26</v>
      </c>
      <c r="H1351" s="0" t="n">
        <v>17</v>
      </c>
      <c r="I1351" s="0" t="s">
        <v>4510</v>
      </c>
      <c r="J1351" s="0" t="s">
        <v>4511</v>
      </c>
      <c r="K1351" s="0" t="s">
        <v>4512</v>
      </c>
      <c r="L1351" s="0" t="str">
        <f aca="false">HYPERLINK("https://www.ncbi.nlm.nih.gov/nuccore/CP000304.1?report=graph&amp;tracks=[key:gene_model_track,Options:GeneOnly]&amp;mk=398268:398287|offset_17|00cc00,398246:398265|offset_39|444444,398215:398234|offset_70|444444,398193:398212|offset_92|444444&amp;v=398067:398412&amp;c=444444", "offset 17")</f>
        <v>offset 17</v>
      </c>
    </row>
    <row r="1352" customFormat="false" ht="12.8" hidden="false" customHeight="false" outlineLevel="0" collapsed="false">
      <c r="A1352" s="0" t="s">
        <v>12</v>
      </c>
      <c r="B1352" s="0" t="n">
        <v>398245</v>
      </c>
      <c r="C1352" s="0" t="n">
        <v>398265</v>
      </c>
      <c r="D1352" s="0" t="s">
        <v>4509</v>
      </c>
      <c r="E1352" s="0" t="s">
        <v>89</v>
      </c>
      <c r="F1352" s="0" t="s">
        <v>90</v>
      </c>
      <c r="G1352" s="0" t="s">
        <v>36</v>
      </c>
      <c r="H1352" s="0" t="n">
        <v>39</v>
      </c>
      <c r="I1352" s="0" t="s">
        <v>4513</v>
      </c>
      <c r="J1352" s="0" t="s">
        <v>4514</v>
      </c>
      <c r="K1352" s="0" t="s">
        <v>4515</v>
      </c>
      <c r="L1352" s="0" t="str">
        <f aca="false">HYPERLINK("https://www.ncbi.nlm.nih.gov/nuccore/CP000304.1?report=graph&amp;tracks=[key:gene_model_track,Options:GeneOnly]&amp;mk=398268:398287|offset_17|444444,398246:398265|offset_39|00cc00,398215:398234|offset_70|444444,398193:398212|offset_92|444444&amp;v=398067:398412&amp;c=444444", "offset 39")</f>
        <v>offset 39</v>
      </c>
    </row>
    <row r="1353" customFormat="false" ht="12.8" hidden="false" customHeight="false" outlineLevel="0" collapsed="false">
      <c r="A1353" s="0" t="s">
        <v>12</v>
      </c>
      <c r="B1353" s="0" t="n">
        <v>398214</v>
      </c>
      <c r="C1353" s="0" t="n">
        <v>398234</v>
      </c>
      <c r="D1353" s="0" t="s">
        <v>4509</v>
      </c>
      <c r="E1353" s="0" t="s">
        <v>89</v>
      </c>
      <c r="F1353" s="0" t="s">
        <v>90</v>
      </c>
      <c r="G1353" s="0" t="s">
        <v>32</v>
      </c>
      <c r="H1353" s="0" t="n">
        <v>70</v>
      </c>
      <c r="I1353" s="0" t="s">
        <v>4516</v>
      </c>
      <c r="J1353" s="0" t="s">
        <v>4517</v>
      </c>
      <c r="K1353" s="0" t="s">
        <v>4518</v>
      </c>
      <c r="L1353" s="0" t="str">
        <f aca="false">HYPERLINK("https://www.ncbi.nlm.nih.gov/nuccore/CP000304.1?report=graph&amp;tracks=[key:gene_model_track,Options:GeneOnly]&amp;mk=398268:398287|offset_17|444444,398246:398265|offset_39|444444,398215:398234|offset_70|00cc00,398193:398212|offset_92|444444&amp;v=398067:398412&amp;c=444444", "offset 70")</f>
        <v>offset 70</v>
      </c>
    </row>
    <row r="1354" customFormat="false" ht="12.8" hidden="false" customHeight="false" outlineLevel="0" collapsed="false">
      <c r="A1354" s="0" t="s">
        <v>12</v>
      </c>
      <c r="B1354" s="0" t="n">
        <v>398192</v>
      </c>
      <c r="C1354" s="0" t="n">
        <v>398212</v>
      </c>
      <c r="D1354" s="0" t="s">
        <v>4509</v>
      </c>
      <c r="E1354" s="0" t="s">
        <v>89</v>
      </c>
      <c r="F1354" s="0" t="s">
        <v>90</v>
      </c>
      <c r="G1354" s="0" t="s">
        <v>26</v>
      </c>
      <c r="H1354" s="0" t="n">
        <v>92</v>
      </c>
      <c r="I1354" s="0" t="s">
        <v>4519</v>
      </c>
      <c r="J1354" s="0" t="s">
        <v>4520</v>
      </c>
      <c r="K1354" s="0" t="s">
        <v>4521</v>
      </c>
      <c r="L1354" s="0" t="str">
        <f aca="false">HYPERLINK("https://www.ncbi.nlm.nih.gov/nuccore/CP000304.1?report=graph&amp;tracks=[key:gene_model_track,Options:GeneOnly]&amp;mk=398268:398287|offset_17|444444,398246:398265|offset_39|444444,398215:398234|offset_70|444444,398193:398212|offset_92|00cc00&amp;v=398067:398412&amp;c=444444", "offset 92")</f>
        <v>offset 92</v>
      </c>
    </row>
    <row r="1355" customFormat="false" ht="12.8" hidden="false" customHeight="false" outlineLevel="0" collapsed="false">
      <c r="A1355" s="0" t="s">
        <v>12</v>
      </c>
      <c r="B1355" s="0" t="n">
        <v>398356</v>
      </c>
      <c r="C1355" s="0" t="n">
        <v>398376</v>
      </c>
      <c r="D1355" s="0" t="s">
        <v>4522</v>
      </c>
      <c r="E1355" s="0" t="s">
        <v>89</v>
      </c>
      <c r="F1355" s="0" t="s">
        <v>15</v>
      </c>
      <c r="G1355" s="0" t="s">
        <v>16</v>
      </c>
      <c r="H1355" s="0" t="n">
        <v>0</v>
      </c>
      <c r="I1355" s="0" t="s">
        <v>4523</v>
      </c>
      <c r="J1355" s="0" t="s">
        <v>4524</v>
      </c>
      <c r="K1355" s="0" t="s">
        <v>4525</v>
      </c>
      <c r="L1355" s="0" t="str">
        <f aca="false">HYPERLINK("https://www.ncbi.nlm.nih.gov/nuccore/CP000304.1?report=graph&amp;tracks=[key:gene_model_track,Options:GeneOnly]&amp;mk=398357:398376|offset_0|00cc00,398379:398398|offset_22|444444,398431:398450|offset_74|444444,398480:398499|offset_123|444444&amp;v=398156:398699&amp;c=444444", "offset 0")</f>
        <v>offset 0</v>
      </c>
    </row>
    <row r="1356" customFormat="false" ht="12.8" hidden="false" customHeight="false" outlineLevel="0" collapsed="false">
      <c r="A1356" s="0" t="s">
        <v>12</v>
      </c>
      <c r="B1356" s="0" t="n">
        <v>398378</v>
      </c>
      <c r="C1356" s="0" t="n">
        <v>398398</v>
      </c>
      <c r="D1356" s="0" t="s">
        <v>4522</v>
      </c>
      <c r="E1356" s="0" t="s">
        <v>89</v>
      </c>
      <c r="F1356" s="0" t="s">
        <v>15</v>
      </c>
      <c r="G1356" s="0" t="s">
        <v>26</v>
      </c>
      <c r="H1356" s="0" t="n">
        <v>22</v>
      </c>
      <c r="I1356" s="0" t="s">
        <v>4526</v>
      </c>
      <c r="J1356" s="0" t="s">
        <v>4527</v>
      </c>
      <c r="K1356" s="0" t="s">
        <v>4528</v>
      </c>
      <c r="L1356" s="0" t="str">
        <f aca="false">HYPERLINK("https://www.ncbi.nlm.nih.gov/nuccore/CP000304.1?report=graph&amp;tracks=[key:gene_model_track,Options:GeneOnly]&amp;mk=398357:398376|offset_0|444444,398379:398398|offset_22|00cc00,398431:398450|offset_74|444444,398480:398499|offset_123|444444&amp;v=398156:398699&amp;c=444444", "offset 22")</f>
        <v>offset 22</v>
      </c>
    </row>
    <row r="1357" customFormat="false" ht="12.8" hidden="false" customHeight="false" outlineLevel="0" collapsed="false">
      <c r="A1357" s="0" t="s">
        <v>12</v>
      </c>
      <c r="B1357" s="0" t="n">
        <v>398430</v>
      </c>
      <c r="C1357" s="0" t="n">
        <v>398450</v>
      </c>
      <c r="D1357" s="0" t="s">
        <v>4522</v>
      </c>
      <c r="E1357" s="0" t="s">
        <v>89</v>
      </c>
      <c r="F1357" s="0" t="s">
        <v>15</v>
      </c>
      <c r="G1357" s="0" t="s">
        <v>16</v>
      </c>
      <c r="H1357" s="0" t="n">
        <v>74</v>
      </c>
      <c r="I1357" s="0" t="s">
        <v>4529</v>
      </c>
      <c r="J1357" s="0" t="s">
        <v>4530</v>
      </c>
      <c r="K1357" s="0" t="s">
        <v>4531</v>
      </c>
      <c r="L1357" s="0" t="str">
        <f aca="false">HYPERLINK("https://www.ncbi.nlm.nih.gov/nuccore/CP000304.1?report=graph&amp;tracks=[key:gene_model_track,Options:GeneOnly]&amp;mk=398357:398376|offset_0|444444,398379:398398|offset_22|444444,398431:398450|offset_74|00cc00,398480:398499|offset_123|444444&amp;v=398156:398699&amp;c=444444", "offset 74")</f>
        <v>offset 74</v>
      </c>
    </row>
    <row r="1358" customFormat="false" ht="12.8" hidden="false" customHeight="false" outlineLevel="0" collapsed="false">
      <c r="A1358" s="0" t="s">
        <v>12</v>
      </c>
      <c r="B1358" s="0" t="n">
        <v>398479</v>
      </c>
      <c r="C1358" s="0" t="n">
        <v>398499</v>
      </c>
      <c r="D1358" s="0" t="s">
        <v>4522</v>
      </c>
      <c r="E1358" s="0" t="s">
        <v>89</v>
      </c>
      <c r="F1358" s="0" t="s">
        <v>15</v>
      </c>
      <c r="G1358" s="0" t="s">
        <v>32</v>
      </c>
      <c r="H1358" s="0" t="n">
        <v>123</v>
      </c>
      <c r="I1358" s="0" t="s">
        <v>4532</v>
      </c>
      <c r="J1358" s="0" t="s">
        <v>4533</v>
      </c>
      <c r="K1358" s="0" t="s">
        <v>4534</v>
      </c>
      <c r="L1358" s="0" t="str">
        <f aca="false">HYPERLINK("https://www.ncbi.nlm.nih.gov/nuccore/CP000304.1?report=graph&amp;tracks=[key:gene_model_track,Options:GeneOnly]&amp;mk=398357:398376|offset_0|444444,398379:398398|offset_22|444444,398431:398450|offset_74|444444,398480:398499|offset_123|00cc00&amp;v=398156:398699&amp;c=444444", "offset 123")</f>
        <v>offset 123</v>
      </c>
    </row>
    <row r="1359" customFormat="false" ht="12.8" hidden="false" customHeight="false" outlineLevel="0" collapsed="false">
      <c r="A1359" s="0" t="s">
        <v>12</v>
      </c>
      <c r="B1359" s="0" t="n">
        <v>400241</v>
      </c>
      <c r="C1359" s="0" t="n">
        <v>400261</v>
      </c>
      <c r="D1359" s="0" t="s">
        <v>4535</v>
      </c>
      <c r="E1359" s="0" t="s">
        <v>4536</v>
      </c>
      <c r="F1359" s="0" t="s">
        <v>90</v>
      </c>
      <c r="G1359" s="0" t="s">
        <v>16</v>
      </c>
      <c r="H1359" s="0" t="n">
        <v>8</v>
      </c>
      <c r="I1359" s="0" t="s">
        <v>4537</v>
      </c>
      <c r="J1359" s="0" t="s">
        <v>4538</v>
      </c>
      <c r="K1359" s="0" t="s">
        <v>4539</v>
      </c>
      <c r="L1359" s="0" t="str">
        <f aca="false">HYPERLINK("https://www.ncbi.nlm.nih.gov/nuccore/CP000304.1?report=graph&amp;tracks=[key:gene_model_track,Options:GeneOnly]&amp;mk=400242:400261|offset_8|00cc00,400209:400228|offset_41|444444,400180:400199|offset_70|444444,400159:400178|offset_91|444444&amp;v=400041:400378&amp;c=444444", "offset 8")</f>
        <v>offset 8</v>
      </c>
    </row>
    <row r="1360" customFormat="false" ht="12.8" hidden="false" customHeight="false" outlineLevel="0" collapsed="false">
      <c r="A1360" s="0" t="s">
        <v>12</v>
      </c>
      <c r="B1360" s="0" t="n">
        <v>400208</v>
      </c>
      <c r="C1360" s="0" t="n">
        <v>400228</v>
      </c>
      <c r="D1360" s="0" t="s">
        <v>4535</v>
      </c>
      <c r="E1360" s="0" t="s">
        <v>4536</v>
      </c>
      <c r="F1360" s="0" t="s">
        <v>90</v>
      </c>
      <c r="G1360" s="0" t="s">
        <v>16</v>
      </c>
      <c r="H1360" s="0" t="n">
        <v>41</v>
      </c>
      <c r="I1360" s="0" t="s">
        <v>4540</v>
      </c>
      <c r="J1360" s="0" t="s">
        <v>4541</v>
      </c>
      <c r="K1360" s="0" t="s">
        <v>4542</v>
      </c>
      <c r="L1360" s="0" t="str">
        <f aca="false">HYPERLINK("https://www.ncbi.nlm.nih.gov/nuccore/CP000304.1?report=graph&amp;tracks=[key:gene_model_track,Options:GeneOnly]&amp;mk=400242:400261|offset_8|444444,400209:400228|offset_41|00cc00,400180:400199|offset_70|444444,400159:400178|offset_91|444444&amp;v=400041:400378&amp;c=444444", "offset 41")</f>
        <v>offset 41</v>
      </c>
    </row>
    <row r="1361" customFormat="false" ht="12.8" hidden="false" customHeight="false" outlineLevel="0" collapsed="false">
      <c r="A1361" s="0" t="s">
        <v>12</v>
      </c>
      <c r="B1361" s="0" t="n">
        <v>400179</v>
      </c>
      <c r="C1361" s="0" t="n">
        <v>400199</v>
      </c>
      <c r="D1361" s="0" t="s">
        <v>4535</v>
      </c>
      <c r="E1361" s="0" t="s">
        <v>4536</v>
      </c>
      <c r="F1361" s="0" t="s">
        <v>90</v>
      </c>
      <c r="G1361" s="0" t="s">
        <v>36</v>
      </c>
      <c r="H1361" s="0" t="n">
        <v>70</v>
      </c>
      <c r="I1361" s="0" t="s">
        <v>4543</v>
      </c>
      <c r="J1361" s="0" t="s">
        <v>4544</v>
      </c>
      <c r="K1361" s="0" t="s">
        <v>4545</v>
      </c>
      <c r="L1361" s="0" t="str">
        <f aca="false">HYPERLINK("https://www.ncbi.nlm.nih.gov/nuccore/CP000304.1?report=graph&amp;tracks=[key:gene_model_track,Options:GeneOnly]&amp;mk=400242:400261|offset_8|444444,400209:400228|offset_41|444444,400180:400199|offset_70|00cc00,400159:400178|offset_91|444444&amp;v=400041:400378&amp;c=444444", "offset 70")</f>
        <v>offset 70</v>
      </c>
    </row>
    <row r="1362" customFormat="false" ht="12.8" hidden="false" customHeight="false" outlineLevel="0" collapsed="false">
      <c r="A1362" s="0" t="s">
        <v>12</v>
      </c>
      <c r="B1362" s="0" t="n">
        <v>400158</v>
      </c>
      <c r="C1362" s="0" t="n">
        <v>400178</v>
      </c>
      <c r="D1362" s="0" t="s">
        <v>4535</v>
      </c>
      <c r="E1362" s="0" t="s">
        <v>4536</v>
      </c>
      <c r="F1362" s="0" t="s">
        <v>90</v>
      </c>
      <c r="G1362" s="0" t="s">
        <v>32</v>
      </c>
      <c r="H1362" s="0" t="n">
        <v>91</v>
      </c>
      <c r="I1362" s="0" t="s">
        <v>4546</v>
      </c>
      <c r="J1362" s="0" t="s">
        <v>4547</v>
      </c>
      <c r="K1362" s="0" t="s">
        <v>4548</v>
      </c>
      <c r="L1362" s="0" t="str">
        <f aca="false">HYPERLINK("https://www.ncbi.nlm.nih.gov/nuccore/CP000304.1?report=graph&amp;tracks=[key:gene_model_track,Options:GeneOnly]&amp;mk=400242:400261|offset_8|444444,400209:400228|offset_41|444444,400180:400199|offset_70|444444,400159:400178|offset_91|00cc00&amp;v=400041:400378&amp;c=444444", "offset 91")</f>
        <v>offset 91</v>
      </c>
    </row>
    <row r="1363" customFormat="false" ht="12.8" hidden="false" customHeight="false" outlineLevel="0" collapsed="false">
      <c r="A1363" s="0" t="s">
        <v>12</v>
      </c>
      <c r="B1363" s="0" t="n">
        <v>401482</v>
      </c>
      <c r="C1363" s="0" t="n">
        <v>401502</v>
      </c>
      <c r="D1363" s="0" t="s">
        <v>4549</v>
      </c>
      <c r="E1363" s="0" t="s">
        <v>4550</v>
      </c>
      <c r="F1363" s="0" t="s">
        <v>90</v>
      </c>
      <c r="G1363" s="0" t="s">
        <v>26</v>
      </c>
      <c r="H1363" s="0" t="n">
        <v>8</v>
      </c>
      <c r="I1363" s="0" t="s">
        <v>4551</v>
      </c>
      <c r="J1363" s="0" t="s">
        <v>4552</v>
      </c>
      <c r="K1363" s="0" t="s">
        <v>4553</v>
      </c>
      <c r="L1363" s="0" t="str">
        <f aca="false">HYPERLINK("https://www.ncbi.nlm.nih.gov/nuccore/CP000304.1?report=graph&amp;tracks=[key:gene_model_track,Options:GeneOnly]&amp;mk=401483:401502|offset_8|00cc00,401457:401476|offset_34|444444,401430:401449|offset_61|444444,401400:401419|offset_91|444444&amp;v=401282:401619&amp;c=444444", "offset 8")</f>
        <v>offset 8</v>
      </c>
    </row>
    <row r="1364" customFormat="false" ht="12.8" hidden="false" customHeight="false" outlineLevel="0" collapsed="false">
      <c r="A1364" s="0" t="s">
        <v>12</v>
      </c>
      <c r="B1364" s="0" t="n">
        <v>401456</v>
      </c>
      <c r="C1364" s="0" t="n">
        <v>401476</v>
      </c>
      <c r="D1364" s="0" t="s">
        <v>4549</v>
      </c>
      <c r="E1364" s="0" t="s">
        <v>4550</v>
      </c>
      <c r="F1364" s="0" t="s">
        <v>90</v>
      </c>
      <c r="G1364" s="0" t="s">
        <v>16</v>
      </c>
      <c r="H1364" s="0" t="n">
        <v>34</v>
      </c>
      <c r="I1364" s="0" t="s">
        <v>4554</v>
      </c>
      <c r="J1364" s="0" t="s">
        <v>4555</v>
      </c>
      <c r="K1364" s="0" t="s">
        <v>4556</v>
      </c>
      <c r="L1364" s="0" t="str">
        <f aca="false">HYPERLINK("https://www.ncbi.nlm.nih.gov/nuccore/CP000304.1?report=graph&amp;tracks=[key:gene_model_track,Options:GeneOnly]&amp;mk=401483:401502|offset_8|444444,401457:401476|offset_34|00cc00,401430:401449|offset_61|444444,401400:401419|offset_91|444444&amp;v=401282:401619&amp;c=444444", "offset 34")</f>
        <v>offset 34</v>
      </c>
    </row>
    <row r="1365" customFormat="false" ht="12.8" hidden="false" customHeight="false" outlineLevel="0" collapsed="false">
      <c r="A1365" s="0" t="s">
        <v>12</v>
      </c>
      <c r="B1365" s="0" t="n">
        <v>401429</v>
      </c>
      <c r="C1365" s="0" t="n">
        <v>401449</v>
      </c>
      <c r="D1365" s="0" t="s">
        <v>4549</v>
      </c>
      <c r="E1365" s="0" t="s">
        <v>4550</v>
      </c>
      <c r="F1365" s="0" t="s">
        <v>90</v>
      </c>
      <c r="G1365" s="0" t="s">
        <v>16</v>
      </c>
      <c r="H1365" s="0" t="n">
        <v>61</v>
      </c>
      <c r="I1365" s="0" t="s">
        <v>4557</v>
      </c>
      <c r="J1365" s="0" t="s">
        <v>4558</v>
      </c>
      <c r="K1365" s="0" t="s">
        <v>4559</v>
      </c>
      <c r="L1365" s="0" t="str">
        <f aca="false">HYPERLINK("https://www.ncbi.nlm.nih.gov/nuccore/CP000304.1?report=graph&amp;tracks=[key:gene_model_track,Options:GeneOnly]&amp;mk=401483:401502|offset_8|444444,401457:401476|offset_34|444444,401430:401449|offset_61|00cc00,401400:401419|offset_91|444444&amp;v=401282:401619&amp;c=444444", "offset 61")</f>
        <v>offset 61</v>
      </c>
    </row>
    <row r="1366" customFormat="false" ht="12.8" hidden="false" customHeight="false" outlineLevel="0" collapsed="false">
      <c r="A1366" s="0" t="s">
        <v>12</v>
      </c>
      <c r="B1366" s="0" t="n">
        <v>401399</v>
      </c>
      <c r="C1366" s="0" t="n">
        <v>401419</v>
      </c>
      <c r="D1366" s="0" t="s">
        <v>4549</v>
      </c>
      <c r="E1366" s="0" t="s">
        <v>4550</v>
      </c>
      <c r="F1366" s="0" t="s">
        <v>90</v>
      </c>
      <c r="G1366" s="0" t="s">
        <v>16</v>
      </c>
      <c r="H1366" s="0" t="n">
        <v>91</v>
      </c>
      <c r="I1366" s="0" t="s">
        <v>4560</v>
      </c>
      <c r="J1366" s="0" t="s">
        <v>4561</v>
      </c>
      <c r="K1366" s="0" t="s">
        <v>4562</v>
      </c>
      <c r="L1366" s="0" t="str">
        <f aca="false">HYPERLINK("https://www.ncbi.nlm.nih.gov/nuccore/CP000304.1?report=graph&amp;tracks=[key:gene_model_track,Options:GeneOnly]&amp;mk=401483:401502|offset_8|444444,401457:401476|offset_34|444444,401430:401449|offset_61|444444,401400:401419|offset_91|00cc00&amp;v=401282:401619&amp;c=444444", "offset 91")</f>
        <v>offset 91</v>
      </c>
    </row>
    <row r="1367" customFormat="false" ht="12.8" hidden="false" customHeight="false" outlineLevel="0" collapsed="false">
      <c r="A1367" s="0" t="s">
        <v>12</v>
      </c>
      <c r="B1367" s="0" t="n">
        <v>402116</v>
      </c>
      <c r="C1367" s="0" t="n">
        <v>402136</v>
      </c>
      <c r="D1367" s="0" t="s">
        <v>4563</v>
      </c>
      <c r="E1367" s="0" t="s">
        <v>89</v>
      </c>
      <c r="F1367" s="0" t="s">
        <v>90</v>
      </c>
      <c r="G1367" s="0" t="s">
        <v>26</v>
      </c>
      <c r="H1367" s="0" t="n">
        <v>11</v>
      </c>
      <c r="I1367" s="0" t="s">
        <v>4564</v>
      </c>
      <c r="J1367" s="0" t="s">
        <v>4565</v>
      </c>
      <c r="K1367" s="0" t="s">
        <v>4566</v>
      </c>
      <c r="L1367" s="0" t="str">
        <f aca="false">HYPERLINK("https://www.ncbi.nlm.nih.gov/nuccore/CP000304.1?report=graph&amp;tracks=[key:gene_model_track,Options:GeneOnly]&amp;mk=402117:402136|offset_11|00cc00,402082:402101|offset_46|444444,402052:402071|offset_76|444444,402030:402049|offset_98|444444&amp;v=401916:402249&amp;c=444444", "offset 11")</f>
        <v>offset 11</v>
      </c>
    </row>
    <row r="1368" customFormat="false" ht="12.8" hidden="false" customHeight="false" outlineLevel="0" collapsed="false">
      <c r="A1368" s="0" t="s">
        <v>12</v>
      </c>
      <c r="B1368" s="0" t="n">
        <v>402081</v>
      </c>
      <c r="C1368" s="0" t="n">
        <v>402101</v>
      </c>
      <c r="D1368" s="0" t="s">
        <v>4563</v>
      </c>
      <c r="E1368" s="0" t="s">
        <v>89</v>
      </c>
      <c r="F1368" s="0" t="s">
        <v>90</v>
      </c>
      <c r="G1368" s="0" t="s">
        <v>16</v>
      </c>
      <c r="H1368" s="0" t="n">
        <v>46</v>
      </c>
      <c r="I1368" s="0" t="s">
        <v>4567</v>
      </c>
      <c r="J1368" s="0" t="s">
        <v>4568</v>
      </c>
      <c r="K1368" s="0" t="s">
        <v>4569</v>
      </c>
      <c r="L1368" s="0" t="str">
        <f aca="false">HYPERLINK("https://www.ncbi.nlm.nih.gov/nuccore/CP000304.1?report=graph&amp;tracks=[key:gene_model_track,Options:GeneOnly]&amp;mk=402117:402136|offset_11|444444,402082:402101|offset_46|00cc00,402052:402071|offset_76|444444,402030:402049|offset_98|444444&amp;v=401916:402249&amp;c=444444", "offset 46")</f>
        <v>offset 46</v>
      </c>
    </row>
    <row r="1369" customFormat="false" ht="12.8" hidden="false" customHeight="false" outlineLevel="0" collapsed="false">
      <c r="A1369" s="0" t="s">
        <v>12</v>
      </c>
      <c r="B1369" s="0" t="n">
        <v>402051</v>
      </c>
      <c r="C1369" s="0" t="n">
        <v>402071</v>
      </c>
      <c r="D1369" s="0" t="s">
        <v>4563</v>
      </c>
      <c r="E1369" s="0" t="s">
        <v>89</v>
      </c>
      <c r="F1369" s="0" t="s">
        <v>90</v>
      </c>
      <c r="G1369" s="0" t="s">
        <v>26</v>
      </c>
      <c r="H1369" s="0" t="n">
        <v>76</v>
      </c>
      <c r="I1369" s="0" t="s">
        <v>4570</v>
      </c>
      <c r="J1369" s="0" t="s">
        <v>4571</v>
      </c>
      <c r="K1369" s="0" t="s">
        <v>4572</v>
      </c>
      <c r="L1369" s="0" t="str">
        <f aca="false">HYPERLINK("https://www.ncbi.nlm.nih.gov/nuccore/CP000304.1?report=graph&amp;tracks=[key:gene_model_track,Options:GeneOnly]&amp;mk=402117:402136|offset_11|444444,402082:402101|offset_46|444444,402052:402071|offset_76|00cc00,402030:402049|offset_98|444444&amp;v=401916:402249&amp;c=444444", "offset 76")</f>
        <v>offset 76</v>
      </c>
    </row>
    <row r="1370" customFormat="false" ht="12.8" hidden="false" customHeight="false" outlineLevel="0" collapsed="false">
      <c r="A1370" s="0" t="s">
        <v>12</v>
      </c>
      <c r="B1370" s="0" t="n">
        <v>402029</v>
      </c>
      <c r="C1370" s="0" t="n">
        <v>402049</v>
      </c>
      <c r="D1370" s="0" t="s">
        <v>4563</v>
      </c>
      <c r="E1370" s="0" t="s">
        <v>89</v>
      </c>
      <c r="F1370" s="0" t="s">
        <v>90</v>
      </c>
      <c r="G1370" s="0" t="s">
        <v>16</v>
      </c>
      <c r="H1370" s="0" t="n">
        <v>98</v>
      </c>
      <c r="I1370" s="0" t="s">
        <v>4573</v>
      </c>
      <c r="J1370" s="0" t="s">
        <v>4574</v>
      </c>
      <c r="K1370" s="0" t="s">
        <v>4575</v>
      </c>
      <c r="L1370" s="0" t="str">
        <f aca="false">HYPERLINK("https://www.ncbi.nlm.nih.gov/nuccore/CP000304.1?report=graph&amp;tracks=[key:gene_model_track,Options:GeneOnly]&amp;mk=402117:402136|offset_11|444444,402082:402101|offset_46|444444,402052:402071|offset_76|444444,402030:402049|offset_98|00cc00&amp;v=401916:402249&amp;c=444444", "offset 98")</f>
        <v>offset 98</v>
      </c>
    </row>
    <row r="1371" customFormat="false" ht="12.8" hidden="false" customHeight="false" outlineLevel="0" collapsed="false">
      <c r="A1371" s="0" t="s">
        <v>12</v>
      </c>
      <c r="B1371" s="0" t="n">
        <v>402678</v>
      </c>
      <c r="C1371" s="0" t="n">
        <v>402698</v>
      </c>
      <c r="D1371" s="0" t="s">
        <v>4576</v>
      </c>
      <c r="E1371" s="0" t="s">
        <v>89</v>
      </c>
      <c r="F1371" s="0" t="s">
        <v>90</v>
      </c>
      <c r="G1371" s="0" t="s">
        <v>36</v>
      </c>
      <c r="H1371" s="0" t="n">
        <v>0</v>
      </c>
      <c r="I1371" s="0" t="s">
        <v>4577</v>
      </c>
      <c r="J1371" s="0" t="s">
        <v>4578</v>
      </c>
      <c r="K1371" s="0" t="s">
        <v>4579</v>
      </c>
      <c r="L1371" s="0" t="str">
        <f aca="false">HYPERLINK("https://www.ncbi.nlm.nih.gov/nuccore/CP000304.1?report=graph&amp;tracks=[key:gene_model_track,Options:GeneOnly]&amp;mk=402679:402698|offset_0|00cc00,402644:402663|offset_35|444444,402624:402643|offset_55|444444,402579:402598|offset_100|444444&amp;v=402478:402798&amp;c=444444", "offset 0")</f>
        <v>offset 0</v>
      </c>
    </row>
    <row r="1372" customFormat="false" ht="12.8" hidden="false" customHeight="false" outlineLevel="0" collapsed="false">
      <c r="A1372" s="0" t="s">
        <v>12</v>
      </c>
      <c r="B1372" s="0" t="n">
        <v>402643</v>
      </c>
      <c r="C1372" s="0" t="n">
        <v>402663</v>
      </c>
      <c r="D1372" s="0" t="s">
        <v>4576</v>
      </c>
      <c r="E1372" s="0" t="s">
        <v>89</v>
      </c>
      <c r="F1372" s="0" t="s">
        <v>90</v>
      </c>
      <c r="G1372" s="0" t="s">
        <v>26</v>
      </c>
      <c r="H1372" s="0" t="n">
        <v>35</v>
      </c>
      <c r="I1372" s="0" t="s">
        <v>4580</v>
      </c>
      <c r="J1372" s="0" t="s">
        <v>4581</v>
      </c>
      <c r="K1372" s="0" t="s">
        <v>4582</v>
      </c>
      <c r="L1372" s="0" t="str">
        <f aca="false">HYPERLINK("https://www.ncbi.nlm.nih.gov/nuccore/CP000304.1?report=graph&amp;tracks=[key:gene_model_track,Options:GeneOnly]&amp;mk=402679:402698|offset_0|444444,402644:402663|offset_35|00cc00,402624:402643|offset_55|444444,402579:402598|offset_100|444444&amp;v=402478:402798&amp;c=444444", "offset 35")</f>
        <v>offset 35</v>
      </c>
    </row>
    <row r="1373" customFormat="false" ht="12.8" hidden="false" customHeight="false" outlineLevel="0" collapsed="false">
      <c r="A1373" s="0" t="s">
        <v>12</v>
      </c>
      <c r="B1373" s="0" t="n">
        <v>402623</v>
      </c>
      <c r="C1373" s="0" t="n">
        <v>402643</v>
      </c>
      <c r="D1373" s="0" t="s">
        <v>4576</v>
      </c>
      <c r="E1373" s="0" t="s">
        <v>89</v>
      </c>
      <c r="F1373" s="0" t="s">
        <v>90</v>
      </c>
      <c r="G1373" s="0" t="s">
        <v>16</v>
      </c>
      <c r="H1373" s="0" t="n">
        <v>55</v>
      </c>
      <c r="I1373" s="0" t="s">
        <v>4583</v>
      </c>
      <c r="J1373" s="0" t="s">
        <v>4584</v>
      </c>
      <c r="K1373" s="0" t="s">
        <v>4585</v>
      </c>
      <c r="L1373" s="0" t="str">
        <f aca="false">HYPERLINK("https://www.ncbi.nlm.nih.gov/nuccore/CP000304.1?report=graph&amp;tracks=[key:gene_model_track,Options:GeneOnly]&amp;mk=402679:402698|offset_0|444444,402644:402663|offset_35|444444,402624:402643|offset_55|00cc00,402579:402598|offset_100|444444&amp;v=402478:402798&amp;c=444444", "offset 55")</f>
        <v>offset 55</v>
      </c>
    </row>
    <row r="1374" customFormat="false" ht="12.8" hidden="false" customHeight="false" outlineLevel="0" collapsed="false">
      <c r="A1374" s="0" t="s">
        <v>12</v>
      </c>
      <c r="B1374" s="0" t="n">
        <v>402578</v>
      </c>
      <c r="C1374" s="0" t="n">
        <v>402598</v>
      </c>
      <c r="D1374" s="0" t="s">
        <v>4576</v>
      </c>
      <c r="E1374" s="0" t="s">
        <v>89</v>
      </c>
      <c r="F1374" s="0" t="s">
        <v>90</v>
      </c>
      <c r="G1374" s="0" t="s">
        <v>32</v>
      </c>
      <c r="H1374" s="0" t="n">
        <v>100</v>
      </c>
      <c r="I1374" s="0" t="s">
        <v>4586</v>
      </c>
      <c r="J1374" s="0" t="s">
        <v>4587</v>
      </c>
      <c r="K1374" s="0" t="s">
        <v>4588</v>
      </c>
      <c r="L1374" s="0" t="str">
        <f aca="false">HYPERLINK("https://www.ncbi.nlm.nih.gov/nuccore/CP000304.1?report=graph&amp;tracks=[key:gene_model_track,Options:GeneOnly]&amp;mk=402679:402698|offset_0|444444,402644:402663|offset_35|444444,402624:402643|offset_55|444444,402579:402598|offset_100|00cc00&amp;v=402478:402798&amp;c=444444", "offset 100")</f>
        <v>offset 100</v>
      </c>
    </row>
    <row r="1375" customFormat="false" ht="12.8" hidden="false" customHeight="false" outlineLevel="0" collapsed="false">
      <c r="A1375" s="0" t="s">
        <v>12</v>
      </c>
      <c r="B1375" s="0" t="n">
        <v>404248</v>
      </c>
      <c r="C1375" s="0" t="n">
        <v>404268</v>
      </c>
      <c r="D1375" s="0" t="s">
        <v>4589</v>
      </c>
      <c r="E1375" s="0" t="s">
        <v>4590</v>
      </c>
      <c r="F1375" s="0" t="s">
        <v>90</v>
      </c>
      <c r="G1375" s="0" t="s">
        <v>32</v>
      </c>
      <c r="H1375" s="0" t="n">
        <v>1</v>
      </c>
      <c r="I1375" s="0" t="s">
        <v>4591</v>
      </c>
      <c r="J1375" s="0" t="s">
        <v>4592</v>
      </c>
      <c r="K1375" s="0" t="s">
        <v>4593</v>
      </c>
      <c r="L1375" s="0" t="str">
        <f aca="false">HYPERLINK("https://www.ncbi.nlm.nih.gov/nuccore/CP000304.1?report=graph&amp;tracks=[key:gene_model_track,Options:GeneOnly]&amp;mk=404249:404268|offset_1|00cc00,404186:404205|offset_64|444444,404164:404183|offset_86|444444,404138:404157|offset_112|444444&amp;v=404048:404357&amp;c=444444", "offset 1")</f>
        <v>offset 1</v>
      </c>
    </row>
    <row r="1376" customFormat="false" ht="12.8" hidden="false" customHeight="false" outlineLevel="0" collapsed="false">
      <c r="A1376" s="0" t="s">
        <v>12</v>
      </c>
      <c r="B1376" s="0" t="n">
        <v>404185</v>
      </c>
      <c r="C1376" s="0" t="n">
        <v>404205</v>
      </c>
      <c r="D1376" s="0" t="s">
        <v>4589</v>
      </c>
      <c r="E1376" s="0" t="s">
        <v>4590</v>
      </c>
      <c r="F1376" s="0" t="s">
        <v>90</v>
      </c>
      <c r="G1376" s="0" t="s">
        <v>16</v>
      </c>
      <c r="H1376" s="0" t="n">
        <v>64</v>
      </c>
      <c r="I1376" s="0" t="s">
        <v>4594</v>
      </c>
      <c r="J1376" s="0" t="s">
        <v>4595</v>
      </c>
      <c r="K1376" s="0" t="s">
        <v>4596</v>
      </c>
      <c r="L1376" s="0" t="str">
        <f aca="false">HYPERLINK("https://www.ncbi.nlm.nih.gov/nuccore/CP000304.1?report=graph&amp;tracks=[key:gene_model_track,Options:GeneOnly]&amp;mk=404249:404268|offset_1|444444,404186:404205|offset_64|00cc00,404164:404183|offset_86|444444,404138:404157|offset_112|444444&amp;v=404048:404357&amp;c=444444", "offset 64")</f>
        <v>offset 64</v>
      </c>
    </row>
    <row r="1377" customFormat="false" ht="12.8" hidden="false" customHeight="false" outlineLevel="0" collapsed="false">
      <c r="A1377" s="0" t="s">
        <v>12</v>
      </c>
      <c r="B1377" s="0" t="n">
        <v>404163</v>
      </c>
      <c r="C1377" s="0" t="n">
        <v>404183</v>
      </c>
      <c r="D1377" s="0" t="s">
        <v>4589</v>
      </c>
      <c r="E1377" s="0" t="s">
        <v>4590</v>
      </c>
      <c r="F1377" s="0" t="s">
        <v>90</v>
      </c>
      <c r="G1377" s="0" t="s">
        <v>32</v>
      </c>
      <c r="H1377" s="0" t="n">
        <v>86</v>
      </c>
      <c r="I1377" s="0" t="s">
        <v>4597</v>
      </c>
      <c r="J1377" s="0" t="s">
        <v>4598</v>
      </c>
      <c r="K1377" s="0" t="s">
        <v>4599</v>
      </c>
      <c r="L1377" s="0" t="str">
        <f aca="false">HYPERLINK("https://www.ncbi.nlm.nih.gov/nuccore/CP000304.1?report=graph&amp;tracks=[key:gene_model_track,Options:GeneOnly]&amp;mk=404249:404268|offset_1|444444,404186:404205|offset_64|444444,404164:404183|offset_86|00cc00,404138:404157|offset_112|444444&amp;v=404048:404357&amp;c=444444", "offset 86")</f>
        <v>offset 86</v>
      </c>
    </row>
    <row r="1378" customFormat="false" ht="12.8" hidden="false" customHeight="false" outlineLevel="0" collapsed="false">
      <c r="A1378" s="0" t="s">
        <v>12</v>
      </c>
      <c r="B1378" s="0" t="n">
        <v>404137</v>
      </c>
      <c r="C1378" s="0" t="n">
        <v>404157</v>
      </c>
      <c r="D1378" s="0" t="s">
        <v>4589</v>
      </c>
      <c r="E1378" s="0" t="s">
        <v>4590</v>
      </c>
      <c r="F1378" s="0" t="s">
        <v>90</v>
      </c>
      <c r="G1378" s="0" t="s">
        <v>36</v>
      </c>
      <c r="H1378" s="0" t="n">
        <v>112</v>
      </c>
      <c r="I1378" s="0" t="s">
        <v>4600</v>
      </c>
      <c r="J1378" s="0" t="s">
        <v>4601</v>
      </c>
      <c r="K1378" s="0" t="s">
        <v>4602</v>
      </c>
      <c r="L1378" s="0" t="str">
        <f aca="false">HYPERLINK("https://www.ncbi.nlm.nih.gov/nuccore/CP000304.1?report=graph&amp;tracks=[key:gene_model_track,Options:GeneOnly]&amp;mk=404249:404268|offset_1|444444,404186:404205|offset_64|444444,404164:404183|offset_86|444444,404138:404157|offset_112|00cc00&amp;v=404048:404357&amp;c=444444", "offset 112")</f>
        <v>offset 112</v>
      </c>
    </row>
    <row r="1379" customFormat="false" ht="12.8" hidden="false" customHeight="false" outlineLevel="0" collapsed="false">
      <c r="A1379" s="0" t="s">
        <v>12</v>
      </c>
      <c r="B1379" s="0" t="n">
        <v>404520</v>
      </c>
      <c r="C1379" s="0" t="n">
        <v>404540</v>
      </c>
      <c r="D1379" s="0" t="s">
        <v>4603</v>
      </c>
      <c r="E1379" s="0" t="s">
        <v>4604</v>
      </c>
      <c r="F1379" s="0" t="s">
        <v>15</v>
      </c>
      <c r="G1379" s="0" t="s">
        <v>36</v>
      </c>
      <c r="H1379" s="0" t="n">
        <v>16</v>
      </c>
      <c r="I1379" s="0" t="s">
        <v>4605</v>
      </c>
      <c r="J1379" s="0" t="s">
        <v>4606</v>
      </c>
      <c r="K1379" s="0" t="s">
        <v>4607</v>
      </c>
      <c r="L1379" s="0" t="str">
        <f aca="false">HYPERLINK("https://www.ncbi.nlm.nih.gov/nuccore/CP000304.1?report=graph&amp;tracks=[key:gene_model_track,Options:GeneOnly]&amp;mk=404521:404540|offset_16|00cc00,404559:404578|offset_54|444444,404588:404607|offset_83|444444,404611:404630|offset_106|444444&amp;v=404320:404830&amp;c=444444", "offset 16")</f>
        <v>offset 16</v>
      </c>
    </row>
    <row r="1380" customFormat="false" ht="12.8" hidden="false" customHeight="false" outlineLevel="0" collapsed="false">
      <c r="A1380" s="0" t="s">
        <v>12</v>
      </c>
      <c r="B1380" s="0" t="n">
        <v>404558</v>
      </c>
      <c r="C1380" s="0" t="n">
        <v>404578</v>
      </c>
      <c r="D1380" s="0" t="s">
        <v>4603</v>
      </c>
      <c r="E1380" s="0" t="s">
        <v>4604</v>
      </c>
      <c r="F1380" s="0" t="s">
        <v>15</v>
      </c>
      <c r="G1380" s="0" t="s">
        <v>16</v>
      </c>
      <c r="H1380" s="0" t="n">
        <v>54</v>
      </c>
      <c r="I1380" s="0" t="s">
        <v>4608</v>
      </c>
      <c r="J1380" s="0" t="s">
        <v>4609</v>
      </c>
      <c r="K1380" s="0" t="s">
        <v>4610</v>
      </c>
      <c r="L1380" s="0" t="str">
        <f aca="false">HYPERLINK("https://www.ncbi.nlm.nih.gov/nuccore/CP000304.1?report=graph&amp;tracks=[key:gene_model_track,Options:GeneOnly]&amp;mk=404521:404540|offset_16|444444,404559:404578|offset_54|00cc00,404588:404607|offset_83|444444,404611:404630|offset_106|444444&amp;v=404320:404830&amp;c=444444", "offset 54")</f>
        <v>offset 54</v>
      </c>
    </row>
    <row r="1381" customFormat="false" ht="12.8" hidden="false" customHeight="false" outlineLevel="0" collapsed="false">
      <c r="A1381" s="0" t="s">
        <v>12</v>
      </c>
      <c r="B1381" s="0" t="n">
        <v>404587</v>
      </c>
      <c r="C1381" s="0" t="n">
        <v>404607</v>
      </c>
      <c r="D1381" s="0" t="s">
        <v>4603</v>
      </c>
      <c r="E1381" s="0" t="s">
        <v>4604</v>
      </c>
      <c r="F1381" s="0" t="s">
        <v>15</v>
      </c>
      <c r="G1381" s="0" t="s">
        <v>32</v>
      </c>
      <c r="H1381" s="0" t="n">
        <v>83</v>
      </c>
      <c r="I1381" s="0" t="s">
        <v>4611</v>
      </c>
      <c r="J1381" s="0" t="s">
        <v>4612</v>
      </c>
      <c r="K1381" s="0" t="s">
        <v>4613</v>
      </c>
      <c r="L1381" s="0" t="str">
        <f aca="false">HYPERLINK("https://www.ncbi.nlm.nih.gov/nuccore/CP000304.1?report=graph&amp;tracks=[key:gene_model_track,Options:GeneOnly]&amp;mk=404521:404540|offset_16|444444,404559:404578|offset_54|444444,404588:404607|offset_83|00cc00,404611:404630|offset_106|444444&amp;v=404320:404830&amp;c=444444", "offset 83")</f>
        <v>offset 83</v>
      </c>
    </row>
    <row r="1382" customFormat="false" ht="12.8" hidden="false" customHeight="false" outlineLevel="0" collapsed="false">
      <c r="A1382" s="0" t="s">
        <v>12</v>
      </c>
      <c r="B1382" s="0" t="n">
        <v>404610</v>
      </c>
      <c r="C1382" s="0" t="n">
        <v>404630</v>
      </c>
      <c r="D1382" s="0" t="s">
        <v>4603</v>
      </c>
      <c r="E1382" s="0" t="s">
        <v>4604</v>
      </c>
      <c r="F1382" s="0" t="s">
        <v>15</v>
      </c>
      <c r="G1382" s="0" t="s">
        <v>32</v>
      </c>
      <c r="H1382" s="0" t="n">
        <v>106</v>
      </c>
      <c r="I1382" s="0" t="s">
        <v>4614</v>
      </c>
      <c r="J1382" s="0" t="s">
        <v>4615</v>
      </c>
      <c r="K1382" s="0" t="s">
        <v>4616</v>
      </c>
      <c r="L1382" s="0" t="str">
        <f aca="false">HYPERLINK("https://www.ncbi.nlm.nih.gov/nuccore/CP000304.1?report=graph&amp;tracks=[key:gene_model_track,Options:GeneOnly]&amp;mk=404521:404540|offset_16|444444,404559:404578|offset_54|444444,404588:404607|offset_83|444444,404611:404630|offset_106|00cc00&amp;v=404320:404830&amp;c=444444", "offset 106")</f>
        <v>offset 106</v>
      </c>
    </row>
    <row r="1383" customFormat="false" ht="12.8" hidden="false" customHeight="false" outlineLevel="0" collapsed="false">
      <c r="A1383" s="0" t="s">
        <v>12</v>
      </c>
      <c r="B1383" s="0" t="n">
        <v>406259</v>
      </c>
      <c r="C1383" s="0" t="n">
        <v>406279</v>
      </c>
      <c r="D1383" s="0" t="s">
        <v>4617</v>
      </c>
      <c r="E1383" s="0" t="s">
        <v>4618</v>
      </c>
      <c r="F1383" s="0" t="s">
        <v>15</v>
      </c>
      <c r="G1383" s="0" t="s">
        <v>32</v>
      </c>
      <c r="H1383" s="0" t="n">
        <v>28</v>
      </c>
      <c r="I1383" s="0" t="s">
        <v>4619</v>
      </c>
      <c r="J1383" s="0" t="s">
        <v>4620</v>
      </c>
      <c r="K1383" s="0" t="s">
        <v>4621</v>
      </c>
      <c r="L1383" s="0" t="str">
        <f aca="false">HYPERLINK("https://www.ncbi.nlm.nih.gov/nuccore/CP000304.1?report=graph&amp;tracks=[key:gene_model_track,Options:GeneOnly]&amp;mk=406260:406279|offset_28|00cc00,406290:406309|offset_58|444444,406315:406334|offset_83|444444,406368:406387|offset_136|444444&amp;v=406059:406587&amp;c=444444", "offset 28")</f>
        <v>offset 28</v>
      </c>
    </row>
    <row r="1384" customFormat="false" ht="12.8" hidden="false" customHeight="false" outlineLevel="0" collapsed="false">
      <c r="A1384" s="0" t="s">
        <v>12</v>
      </c>
      <c r="B1384" s="0" t="n">
        <v>406289</v>
      </c>
      <c r="C1384" s="0" t="n">
        <v>406309</v>
      </c>
      <c r="D1384" s="0" t="s">
        <v>4617</v>
      </c>
      <c r="E1384" s="0" t="s">
        <v>4618</v>
      </c>
      <c r="F1384" s="0" t="s">
        <v>15</v>
      </c>
      <c r="G1384" s="0" t="s">
        <v>32</v>
      </c>
      <c r="H1384" s="0" t="n">
        <v>58</v>
      </c>
      <c r="I1384" s="0" t="s">
        <v>4622</v>
      </c>
      <c r="J1384" s="0" t="s">
        <v>4623</v>
      </c>
      <c r="K1384" s="0" t="s">
        <v>4624</v>
      </c>
      <c r="L1384" s="0" t="str">
        <f aca="false">HYPERLINK("https://www.ncbi.nlm.nih.gov/nuccore/CP000304.1?report=graph&amp;tracks=[key:gene_model_track,Options:GeneOnly]&amp;mk=406260:406279|offset_28|444444,406290:406309|offset_58|00cc00,406315:406334|offset_83|444444,406368:406387|offset_136|444444&amp;v=406059:406587&amp;c=444444", "offset 58")</f>
        <v>offset 58</v>
      </c>
    </row>
    <row r="1385" customFormat="false" ht="12.8" hidden="false" customHeight="false" outlineLevel="0" collapsed="false">
      <c r="A1385" s="0" t="s">
        <v>12</v>
      </c>
      <c r="B1385" s="0" t="n">
        <v>406314</v>
      </c>
      <c r="C1385" s="0" t="n">
        <v>406334</v>
      </c>
      <c r="D1385" s="0" t="s">
        <v>4617</v>
      </c>
      <c r="E1385" s="0" t="s">
        <v>4618</v>
      </c>
      <c r="F1385" s="0" t="s">
        <v>15</v>
      </c>
      <c r="G1385" s="0" t="s">
        <v>26</v>
      </c>
      <c r="H1385" s="0" t="n">
        <v>83</v>
      </c>
      <c r="I1385" s="0" t="s">
        <v>4625</v>
      </c>
      <c r="J1385" s="0" t="s">
        <v>4626</v>
      </c>
      <c r="K1385" s="0" t="s">
        <v>4627</v>
      </c>
      <c r="L1385" s="0" t="str">
        <f aca="false">HYPERLINK("https://www.ncbi.nlm.nih.gov/nuccore/CP000304.1?report=graph&amp;tracks=[key:gene_model_track,Options:GeneOnly]&amp;mk=406260:406279|offset_28|444444,406290:406309|offset_58|444444,406315:406334|offset_83|00cc00,406368:406387|offset_136|444444&amp;v=406059:406587&amp;c=444444", "offset 83")</f>
        <v>offset 83</v>
      </c>
    </row>
    <row r="1386" customFormat="false" ht="12.8" hidden="false" customHeight="false" outlineLevel="0" collapsed="false">
      <c r="A1386" s="0" t="s">
        <v>12</v>
      </c>
      <c r="B1386" s="0" t="n">
        <v>406367</v>
      </c>
      <c r="C1386" s="0" t="n">
        <v>406387</v>
      </c>
      <c r="D1386" s="0" t="s">
        <v>4617</v>
      </c>
      <c r="E1386" s="0" t="s">
        <v>4618</v>
      </c>
      <c r="F1386" s="0" t="s">
        <v>15</v>
      </c>
      <c r="G1386" s="0" t="s">
        <v>32</v>
      </c>
      <c r="H1386" s="0" t="n">
        <v>136</v>
      </c>
      <c r="I1386" s="0" t="s">
        <v>4628</v>
      </c>
      <c r="J1386" s="0" t="s">
        <v>4629</v>
      </c>
      <c r="K1386" s="0" t="s">
        <v>4630</v>
      </c>
      <c r="L1386" s="0" t="str">
        <f aca="false">HYPERLINK("https://www.ncbi.nlm.nih.gov/nuccore/CP000304.1?report=graph&amp;tracks=[key:gene_model_track,Options:GeneOnly]&amp;mk=406260:406279|offset_28|444444,406290:406309|offset_58|444444,406315:406334|offset_83|444444,406368:406387|offset_136|00cc00&amp;v=406059:406587&amp;c=444444", "offset 136")</f>
        <v>offset 136</v>
      </c>
    </row>
    <row r="1387" customFormat="false" ht="12.8" hidden="false" customHeight="false" outlineLevel="0" collapsed="false">
      <c r="A1387" s="0" t="s">
        <v>12</v>
      </c>
      <c r="B1387" s="0" t="n">
        <v>408404</v>
      </c>
      <c r="C1387" s="0" t="n">
        <v>408424</v>
      </c>
      <c r="D1387" s="0" t="s">
        <v>4631</v>
      </c>
      <c r="E1387" s="0" t="s">
        <v>89</v>
      </c>
      <c r="F1387" s="0" t="s">
        <v>15</v>
      </c>
      <c r="G1387" s="0" t="s">
        <v>32</v>
      </c>
      <c r="H1387" s="0" t="n">
        <v>25</v>
      </c>
      <c r="I1387" s="0" t="s">
        <v>4632</v>
      </c>
      <c r="J1387" s="0" t="s">
        <v>4633</v>
      </c>
      <c r="K1387" s="0" t="s">
        <v>4634</v>
      </c>
      <c r="L1387" s="0" t="str">
        <f aca="false">HYPERLINK("https://www.ncbi.nlm.nih.gov/nuccore/CP000304.1?report=graph&amp;tracks=[key:gene_model_track,Options:GeneOnly]&amp;mk=408405:408424|offset_25|00cc00,408459:408478|offset_79|444444,408493:408512|offset_113|444444,408553:408572|offset_173|444444&amp;v=408204:408772&amp;c=444444", "offset 25")</f>
        <v>offset 25</v>
      </c>
    </row>
    <row r="1388" customFormat="false" ht="12.8" hidden="false" customHeight="false" outlineLevel="0" collapsed="false">
      <c r="A1388" s="0" t="s">
        <v>12</v>
      </c>
      <c r="B1388" s="0" t="n">
        <v>408458</v>
      </c>
      <c r="C1388" s="0" t="n">
        <v>408478</v>
      </c>
      <c r="D1388" s="0" t="s">
        <v>4631</v>
      </c>
      <c r="E1388" s="0" t="s">
        <v>89</v>
      </c>
      <c r="F1388" s="0" t="s">
        <v>15</v>
      </c>
      <c r="G1388" s="0" t="s">
        <v>16</v>
      </c>
      <c r="H1388" s="0" t="n">
        <v>79</v>
      </c>
      <c r="I1388" s="0" t="s">
        <v>4635</v>
      </c>
      <c r="J1388" s="0" t="s">
        <v>4636</v>
      </c>
      <c r="K1388" s="0" t="s">
        <v>4637</v>
      </c>
      <c r="L1388" s="0" t="str">
        <f aca="false">HYPERLINK("https://www.ncbi.nlm.nih.gov/nuccore/CP000304.1?report=graph&amp;tracks=[key:gene_model_track,Options:GeneOnly]&amp;mk=408405:408424|offset_25|444444,408459:408478|offset_79|00cc00,408493:408512|offset_113|444444,408553:408572|offset_173|444444&amp;v=408204:408772&amp;c=444444", "offset 79")</f>
        <v>offset 79</v>
      </c>
    </row>
    <row r="1389" customFormat="false" ht="12.8" hidden="false" customHeight="false" outlineLevel="0" collapsed="false">
      <c r="A1389" s="0" t="s">
        <v>12</v>
      </c>
      <c r="B1389" s="0" t="n">
        <v>408492</v>
      </c>
      <c r="C1389" s="0" t="n">
        <v>408512</v>
      </c>
      <c r="D1389" s="0" t="s">
        <v>4631</v>
      </c>
      <c r="E1389" s="0" t="s">
        <v>89</v>
      </c>
      <c r="F1389" s="0" t="s">
        <v>15</v>
      </c>
      <c r="G1389" s="0" t="s">
        <v>16</v>
      </c>
      <c r="H1389" s="0" t="n">
        <v>113</v>
      </c>
      <c r="I1389" s="0" t="s">
        <v>4638</v>
      </c>
      <c r="J1389" s="0" t="s">
        <v>4639</v>
      </c>
      <c r="K1389" s="0" t="s">
        <v>4640</v>
      </c>
      <c r="L1389" s="0" t="str">
        <f aca="false">HYPERLINK("https://www.ncbi.nlm.nih.gov/nuccore/CP000304.1?report=graph&amp;tracks=[key:gene_model_track,Options:GeneOnly]&amp;mk=408405:408424|offset_25|444444,408459:408478|offset_79|444444,408493:408512|offset_113|00cc00,408553:408572|offset_173|444444&amp;v=408204:408772&amp;c=444444", "offset 113")</f>
        <v>offset 113</v>
      </c>
    </row>
    <row r="1390" customFormat="false" ht="12.8" hidden="false" customHeight="false" outlineLevel="0" collapsed="false">
      <c r="A1390" s="0" t="s">
        <v>12</v>
      </c>
      <c r="B1390" s="0" t="n">
        <v>408552</v>
      </c>
      <c r="C1390" s="0" t="n">
        <v>408572</v>
      </c>
      <c r="D1390" s="0" t="s">
        <v>4631</v>
      </c>
      <c r="E1390" s="0" t="s">
        <v>89</v>
      </c>
      <c r="F1390" s="0" t="s">
        <v>15</v>
      </c>
      <c r="G1390" s="0" t="s">
        <v>16</v>
      </c>
      <c r="H1390" s="0" t="n">
        <v>173</v>
      </c>
      <c r="I1390" s="0" t="s">
        <v>4641</v>
      </c>
      <c r="J1390" s="0" t="s">
        <v>4642</v>
      </c>
      <c r="K1390" s="0" t="s">
        <v>4643</v>
      </c>
      <c r="L1390" s="0" t="str">
        <f aca="false">HYPERLINK("https://www.ncbi.nlm.nih.gov/nuccore/CP000304.1?report=graph&amp;tracks=[key:gene_model_track,Options:GeneOnly]&amp;mk=408405:408424|offset_25|444444,408459:408478|offset_79|444444,408493:408512|offset_113|444444,408553:408572|offset_173|00cc00&amp;v=408204:408772&amp;c=444444", "offset 173")</f>
        <v>offset 173</v>
      </c>
    </row>
    <row r="1391" customFormat="false" ht="12.8" hidden="false" customHeight="false" outlineLevel="0" collapsed="false">
      <c r="A1391" s="0" t="s">
        <v>12</v>
      </c>
      <c r="B1391" s="0" t="n">
        <v>411373</v>
      </c>
      <c r="C1391" s="0" t="n">
        <v>411393</v>
      </c>
      <c r="D1391" s="0" t="s">
        <v>4644</v>
      </c>
      <c r="E1391" s="0" t="s">
        <v>89</v>
      </c>
      <c r="F1391" s="0" t="s">
        <v>90</v>
      </c>
      <c r="G1391" s="0" t="s">
        <v>36</v>
      </c>
      <c r="H1391" s="0" t="n">
        <v>13</v>
      </c>
      <c r="I1391" s="0" t="s">
        <v>4645</v>
      </c>
      <c r="J1391" s="0" t="s">
        <v>4646</v>
      </c>
      <c r="K1391" s="0" t="s">
        <v>4647</v>
      </c>
      <c r="L1391" s="0" t="str">
        <f aca="false">HYPERLINK("https://www.ncbi.nlm.nih.gov/nuccore/CP000304.1?report=graph&amp;tracks=[key:gene_model_track,Options:GeneOnly]&amp;mk=411374:411393|offset_13|00cc00,411354:411373|offset_33|444444,411332:411351|offset_55|444444,411307:411326|offset_80|444444&amp;v=411173:411526&amp;c=444444", "offset 13")</f>
        <v>offset 13</v>
      </c>
    </row>
    <row r="1392" customFormat="false" ht="12.8" hidden="false" customHeight="false" outlineLevel="0" collapsed="false">
      <c r="A1392" s="0" t="s">
        <v>12</v>
      </c>
      <c r="B1392" s="0" t="n">
        <v>411353</v>
      </c>
      <c r="C1392" s="0" t="n">
        <v>411373</v>
      </c>
      <c r="D1392" s="0" t="s">
        <v>4644</v>
      </c>
      <c r="E1392" s="0" t="s">
        <v>89</v>
      </c>
      <c r="F1392" s="0" t="s">
        <v>90</v>
      </c>
      <c r="G1392" s="0" t="s">
        <v>26</v>
      </c>
      <c r="H1392" s="0" t="n">
        <v>33</v>
      </c>
      <c r="I1392" s="0" t="s">
        <v>4648</v>
      </c>
      <c r="J1392" s="0" t="s">
        <v>4649</v>
      </c>
      <c r="K1392" s="0" t="s">
        <v>4650</v>
      </c>
      <c r="L1392" s="0" t="str">
        <f aca="false">HYPERLINK("https://www.ncbi.nlm.nih.gov/nuccore/CP000304.1?report=graph&amp;tracks=[key:gene_model_track,Options:GeneOnly]&amp;mk=411374:411393|offset_13|444444,411354:411373|offset_33|00cc00,411332:411351|offset_55|444444,411307:411326|offset_80|444444&amp;v=411173:411526&amp;c=444444", "offset 33")</f>
        <v>offset 33</v>
      </c>
    </row>
    <row r="1393" customFormat="false" ht="12.8" hidden="false" customHeight="false" outlineLevel="0" collapsed="false">
      <c r="A1393" s="0" t="s">
        <v>12</v>
      </c>
      <c r="B1393" s="0" t="n">
        <v>411331</v>
      </c>
      <c r="C1393" s="0" t="n">
        <v>411351</v>
      </c>
      <c r="D1393" s="0" t="s">
        <v>4644</v>
      </c>
      <c r="E1393" s="0" t="s">
        <v>89</v>
      </c>
      <c r="F1393" s="0" t="s">
        <v>90</v>
      </c>
      <c r="G1393" s="0" t="s">
        <v>16</v>
      </c>
      <c r="H1393" s="0" t="n">
        <v>55</v>
      </c>
      <c r="I1393" s="0" t="s">
        <v>4651</v>
      </c>
      <c r="J1393" s="0" t="s">
        <v>4652</v>
      </c>
      <c r="K1393" s="0" t="s">
        <v>4653</v>
      </c>
      <c r="L1393" s="0" t="str">
        <f aca="false">HYPERLINK("https://www.ncbi.nlm.nih.gov/nuccore/CP000304.1?report=graph&amp;tracks=[key:gene_model_track,Options:GeneOnly]&amp;mk=411374:411393|offset_13|444444,411354:411373|offset_33|444444,411332:411351|offset_55|00cc00,411307:411326|offset_80|444444&amp;v=411173:411526&amp;c=444444", "offset 55")</f>
        <v>offset 55</v>
      </c>
    </row>
    <row r="1394" customFormat="false" ht="12.8" hidden="false" customHeight="false" outlineLevel="0" collapsed="false">
      <c r="A1394" s="0" t="s">
        <v>12</v>
      </c>
      <c r="B1394" s="0" t="n">
        <v>411306</v>
      </c>
      <c r="C1394" s="0" t="n">
        <v>411326</v>
      </c>
      <c r="D1394" s="0" t="s">
        <v>4644</v>
      </c>
      <c r="E1394" s="0" t="s">
        <v>89</v>
      </c>
      <c r="F1394" s="0" t="s">
        <v>90</v>
      </c>
      <c r="G1394" s="0" t="s">
        <v>26</v>
      </c>
      <c r="H1394" s="0" t="n">
        <v>80</v>
      </c>
      <c r="I1394" s="0" t="s">
        <v>4654</v>
      </c>
      <c r="J1394" s="0" t="s">
        <v>4655</v>
      </c>
      <c r="K1394" s="0" t="s">
        <v>4656</v>
      </c>
      <c r="L1394" s="0" t="str">
        <f aca="false">HYPERLINK("https://www.ncbi.nlm.nih.gov/nuccore/CP000304.1?report=graph&amp;tracks=[key:gene_model_track,Options:GeneOnly]&amp;mk=411374:411393|offset_13|444444,411354:411373|offset_33|444444,411332:411351|offset_55|444444,411307:411326|offset_80|00cc00&amp;v=411173:411526&amp;c=444444", "offset 80")</f>
        <v>offset 80</v>
      </c>
    </row>
    <row r="1395" customFormat="false" ht="12.8" hidden="false" customHeight="false" outlineLevel="0" collapsed="false">
      <c r="A1395" s="0" t="s">
        <v>12</v>
      </c>
      <c r="B1395" s="0" t="n">
        <v>411687</v>
      </c>
      <c r="C1395" s="0" t="n">
        <v>411707</v>
      </c>
      <c r="D1395" s="0" t="s">
        <v>4657</v>
      </c>
      <c r="E1395" s="0" t="s">
        <v>89</v>
      </c>
      <c r="F1395" s="0" t="s">
        <v>15</v>
      </c>
      <c r="G1395" s="0" t="s">
        <v>26</v>
      </c>
      <c r="H1395" s="0" t="n">
        <v>14</v>
      </c>
      <c r="I1395" s="0" t="s">
        <v>4658</v>
      </c>
      <c r="J1395" s="0" t="s">
        <v>4659</v>
      </c>
      <c r="K1395" s="0" t="s">
        <v>4660</v>
      </c>
      <c r="L1395" s="0" t="str">
        <f aca="false">HYPERLINK("https://www.ncbi.nlm.nih.gov/nuccore/CP000304.1?report=graph&amp;tracks=[key:gene_model_track,Options:GeneOnly]&amp;mk=411688:411707|offset_14|00cc00,411717:411736|offset_43|444444,411781:411800|offset_107|444444,411810:411829|offset_136|444444&amp;v=411487:412029&amp;c=444444", "offset 14")</f>
        <v>offset 14</v>
      </c>
    </row>
    <row r="1396" customFormat="false" ht="12.8" hidden="false" customHeight="false" outlineLevel="0" collapsed="false">
      <c r="A1396" s="0" t="s">
        <v>12</v>
      </c>
      <c r="B1396" s="0" t="n">
        <v>411716</v>
      </c>
      <c r="C1396" s="0" t="n">
        <v>411736</v>
      </c>
      <c r="D1396" s="0" t="s">
        <v>4657</v>
      </c>
      <c r="E1396" s="0" t="s">
        <v>89</v>
      </c>
      <c r="F1396" s="0" t="s">
        <v>15</v>
      </c>
      <c r="G1396" s="0" t="s">
        <v>16</v>
      </c>
      <c r="H1396" s="0" t="n">
        <v>43</v>
      </c>
      <c r="I1396" s="0" t="s">
        <v>4661</v>
      </c>
      <c r="J1396" s="0" t="s">
        <v>4662</v>
      </c>
      <c r="K1396" s="0" t="s">
        <v>4663</v>
      </c>
      <c r="L1396" s="0" t="str">
        <f aca="false">HYPERLINK("https://www.ncbi.nlm.nih.gov/nuccore/CP000304.1?report=graph&amp;tracks=[key:gene_model_track,Options:GeneOnly]&amp;mk=411688:411707|offset_14|444444,411717:411736|offset_43|00cc00,411781:411800|offset_107|444444,411810:411829|offset_136|444444&amp;v=411487:412029&amp;c=444444", "offset 43")</f>
        <v>offset 43</v>
      </c>
    </row>
    <row r="1397" customFormat="false" ht="12.8" hidden="false" customHeight="false" outlineLevel="0" collapsed="false">
      <c r="A1397" s="0" t="s">
        <v>12</v>
      </c>
      <c r="B1397" s="0" t="n">
        <v>411780</v>
      </c>
      <c r="C1397" s="0" t="n">
        <v>411800</v>
      </c>
      <c r="D1397" s="0" t="s">
        <v>4657</v>
      </c>
      <c r="E1397" s="0" t="s">
        <v>89</v>
      </c>
      <c r="F1397" s="0" t="s">
        <v>15</v>
      </c>
      <c r="G1397" s="0" t="s">
        <v>26</v>
      </c>
      <c r="H1397" s="0" t="n">
        <v>107</v>
      </c>
      <c r="I1397" s="0" t="s">
        <v>4664</v>
      </c>
      <c r="J1397" s="0" t="s">
        <v>4665</v>
      </c>
      <c r="K1397" s="0" t="s">
        <v>4666</v>
      </c>
      <c r="L1397" s="0" t="str">
        <f aca="false">HYPERLINK("https://www.ncbi.nlm.nih.gov/nuccore/CP000304.1?report=graph&amp;tracks=[key:gene_model_track,Options:GeneOnly]&amp;mk=411688:411707|offset_14|444444,411717:411736|offset_43|444444,411781:411800|offset_107|00cc00,411810:411829|offset_136|444444&amp;v=411487:412029&amp;c=444444", "offset 107")</f>
        <v>offset 107</v>
      </c>
    </row>
    <row r="1398" customFormat="false" ht="12.8" hidden="false" customHeight="false" outlineLevel="0" collapsed="false">
      <c r="A1398" s="0" t="s">
        <v>12</v>
      </c>
      <c r="B1398" s="0" t="n">
        <v>411809</v>
      </c>
      <c r="C1398" s="0" t="n">
        <v>411829</v>
      </c>
      <c r="D1398" s="0" t="s">
        <v>4657</v>
      </c>
      <c r="E1398" s="0" t="s">
        <v>89</v>
      </c>
      <c r="F1398" s="0" t="s">
        <v>15</v>
      </c>
      <c r="G1398" s="0" t="s">
        <v>32</v>
      </c>
      <c r="H1398" s="0" t="n">
        <v>136</v>
      </c>
      <c r="I1398" s="0" t="s">
        <v>4667</v>
      </c>
      <c r="J1398" s="0" t="s">
        <v>4668</v>
      </c>
      <c r="K1398" s="0" t="s">
        <v>4669</v>
      </c>
      <c r="L1398" s="0" t="str">
        <f aca="false">HYPERLINK("https://www.ncbi.nlm.nih.gov/nuccore/CP000304.1?report=graph&amp;tracks=[key:gene_model_track,Options:GeneOnly]&amp;mk=411688:411707|offset_14|444444,411717:411736|offset_43|444444,411781:411800|offset_107|444444,411810:411829|offset_136|00cc00&amp;v=411487:412029&amp;c=444444", "offset 136")</f>
        <v>offset 136</v>
      </c>
    </row>
    <row r="1399" customFormat="false" ht="12.8" hidden="false" customHeight="false" outlineLevel="0" collapsed="false">
      <c r="A1399" s="0" t="s">
        <v>12</v>
      </c>
      <c r="B1399" s="0" t="n">
        <v>413287</v>
      </c>
      <c r="C1399" s="0" t="n">
        <v>413307</v>
      </c>
      <c r="D1399" s="0" t="s">
        <v>4670</v>
      </c>
      <c r="E1399" s="0" t="s">
        <v>89</v>
      </c>
      <c r="F1399" s="0" t="s">
        <v>15</v>
      </c>
      <c r="G1399" s="0" t="s">
        <v>16</v>
      </c>
      <c r="H1399" s="0" t="n">
        <v>10</v>
      </c>
      <c r="I1399" s="0" t="s">
        <v>4671</v>
      </c>
      <c r="J1399" s="0" t="s">
        <v>4672</v>
      </c>
      <c r="K1399" s="0" t="s">
        <v>4673</v>
      </c>
      <c r="L1399" s="0" t="str">
        <f aca="false">HYPERLINK("https://www.ncbi.nlm.nih.gov/nuccore/CP000304.1?report=graph&amp;tracks=[key:gene_model_track,Options:GeneOnly]&amp;mk=413288:413307|offset_10|00cc00,413319:413338|offset_41|444444,413354:413373|offset_76|444444,413382:413401|offset_104|444444&amp;v=413087:413601&amp;c=444444", "offset 10")</f>
        <v>offset 10</v>
      </c>
    </row>
    <row r="1400" customFormat="false" ht="12.8" hidden="false" customHeight="false" outlineLevel="0" collapsed="false">
      <c r="A1400" s="0" t="s">
        <v>12</v>
      </c>
      <c r="B1400" s="0" t="n">
        <v>413318</v>
      </c>
      <c r="C1400" s="0" t="n">
        <v>413338</v>
      </c>
      <c r="D1400" s="0" t="s">
        <v>4670</v>
      </c>
      <c r="E1400" s="0" t="s">
        <v>89</v>
      </c>
      <c r="F1400" s="0" t="s">
        <v>15</v>
      </c>
      <c r="G1400" s="0" t="s">
        <v>36</v>
      </c>
      <c r="H1400" s="0" t="n">
        <v>41</v>
      </c>
      <c r="I1400" s="0" t="s">
        <v>4674</v>
      </c>
      <c r="J1400" s="0" t="s">
        <v>4675</v>
      </c>
      <c r="K1400" s="0" t="s">
        <v>4676</v>
      </c>
      <c r="L1400" s="0" t="str">
        <f aca="false">HYPERLINK("https://www.ncbi.nlm.nih.gov/nuccore/CP000304.1?report=graph&amp;tracks=[key:gene_model_track,Options:GeneOnly]&amp;mk=413288:413307|offset_10|444444,413319:413338|offset_41|00cc00,413354:413373|offset_76|444444,413382:413401|offset_104|444444&amp;v=413087:413601&amp;c=444444", "offset 41")</f>
        <v>offset 41</v>
      </c>
    </row>
    <row r="1401" customFormat="false" ht="12.8" hidden="false" customHeight="false" outlineLevel="0" collapsed="false">
      <c r="A1401" s="0" t="s">
        <v>12</v>
      </c>
      <c r="B1401" s="0" t="n">
        <v>413353</v>
      </c>
      <c r="C1401" s="0" t="n">
        <v>413373</v>
      </c>
      <c r="D1401" s="0" t="s">
        <v>4670</v>
      </c>
      <c r="E1401" s="0" t="s">
        <v>89</v>
      </c>
      <c r="F1401" s="0" t="s">
        <v>15</v>
      </c>
      <c r="G1401" s="0" t="s">
        <v>36</v>
      </c>
      <c r="H1401" s="0" t="n">
        <v>76</v>
      </c>
      <c r="I1401" s="0" t="s">
        <v>4677</v>
      </c>
      <c r="J1401" s="0" t="s">
        <v>4678</v>
      </c>
      <c r="K1401" s="0" t="s">
        <v>4679</v>
      </c>
      <c r="L1401" s="0" t="str">
        <f aca="false">HYPERLINK("https://www.ncbi.nlm.nih.gov/nuccore/CP000304.1?report=graph&amp;tracks=[key:gene_model_track,Options:GeneOnly]&amp;mk=413288:413307|offset_10|444444,413319:413338|offset_41|444444,413354:413373|offset_76|00cc00,413382:413401|offset_104|444444&amp;v=413087:413601&amp;c=444444", "offset 76")</f>
        <v>offset 76</v>
      </c>
    </row>
    <row r="1402" customFormat="false" ht="12.8" hidden="false" customHeight="false" outlineLevel="0" collapsed="false">
      <c r="A1402" s="0" t="s">
        <v>12</v>
      </c>
      <c r="B1402" s="0" t="n">
        <v>413381</v>
      </c>
      <c r="C1402" s="0" t="n">
        <v>413401</v>
      </c>
      <c r="D1402" s="0" t="s">
        <v>4670</v>
      </c>
      <c r="E1402" s="0" t="s">
        <v>89</v>
      </c>
      <c r="F1402" s="0" t="s">
        <v>15</v>
      </c>
      <c r="G1402" s="0" t="s">
        <v>32</v>
      </c>
      <c r="H1402" s="0" t="n">
        <v>104</v>
      </c>
      <c r="I1402" s="0" t="s">
        <v>4680</v>
      </c>
      <c r="J1402" s="0" t="s">
        <v>4681</v>
      </c>
      <c r="K1402" s="0" t="s">
        <v>4682</v>
      </c>
      <c r="L1402" s="0" t="str">
        <f aca="false">HYPERLINK("https://www.ncbi.nlm.nih.gov/nuccore/CP000304.1?report=graph&amp;tracks=[key:gene_model_track,Options:GeneOnly]&amp;mk=413288:413307|offset_10|444444,413319:413338|offset_41|444444,413354:413373|offset_76|444444,413382:413401|offset_104|00cc00&amp;v=413087:413601&amp;c=444444", "offset 104")</f>
        <v>offset 104</v>
      </c>
    </row>
    <row r="1403" customFormat="false" ht="12.8" hidden="false" customHeight="false" outlineLevel="0" collapsed="false">
      <c r="A1403" s="0" t="s">
        <v>12</v>
      </c>
      <c r="B1403" s="0" t="n">
        <v>414583</v>
      </c>
      <c r="C1403" s="0" t="n">
        <v>414603</v>
      </c>
      <c r="D1403" s="0" t="s">
        <v>4683</v>
      </c>
      <c r="E1403" s="0" t="s">
        <v>89</v>
      </c>
      <c r="F1403" s="0" t="s">
        <v>90</v>
      </c>
      <c r="G1403" s="0" t="s">
        <v>32</v>
      </c>
      <c r="H1403" s="0" t="n">
        <v>13</v>
      </c>
      <c r="I1403" s="0" t="s">
        <v>4684</v>
      </c>
      <c r="J1403" s="0" t="s">
        <v>4685</v>
      </c>
      <c r="K1403" s="0" t="s">
        <v>4686</v>
      </c>
      <c r="L1403" s="0" t="str">
        <f aca="false">HYPERLINK("https://www.ncbi.nlm.nih.gov/nuccore/CP000304.1?report=graph&amp;tracks=[key:gene_model_track,Options:GeneOnly]&amp;mk=414584:414603|offset_13|00cc00,414564:414583|offset_33|444444,414527:414546|offset_70|444444,414503:414522|offset_94|444444&amp;v=414383:414722&amp;c=444444", "offset 13")</f>
        <v>offset 13</v>
      </c>
    </row>
    <row r="1404" customFormat="false" ht="12.8" hidden="false" customHeight="false" outlineLevel="0" collapsed="false">
      <c r="A1404" s="0" t="s">
        <v>12</v>
      </c>
      <c r="B1404" s="0" t="n">
        <v>414563</v>
      </c>
      <c r="C1404" s="0" t="n">
        <v>414583</v>
      </c>
      <c r="D1404" s="0" t="s">
        <v>4683</v>
      </c>
      <c r="E1404" s="0" t="s">
        <v>89</v>
      </c>
      <c r="F1404" s="0" t="s">
        <v>90</v>
      </c>
      <c r="G1404" s="0" t="s">
        <v>16</v>
      </c>
      <c r="H1404" s="0" t="n">
        <v>33</v>
      </c>
      <c r="I1404" s="0" t="s">
        <v>4687</v>
      </c>
      <c r="J1404" s="0" t="s">
        <v>4688</v>
      </c>
      <c r="K1404" s="0" t="s">
        <v>4689</v>
      </c>
      <c r="L1404" s="0" t="str">
        <f aca="false">HYPERLINK("https://www.ncbi.nlm.nih.gov/nuccore/CP000304.1?report=graph&amp;tracks=[key:gene_model_track,Options:GeneOnly]&amp;mk=414584:414603|offset_13|444444,414564:414583|offset_33|00cc00,414527:414546|offset_70|444444,414503:414522|offset_94|444444&amp;v=414383:414722&amp;c=444444", "offset 33")</f>
        <v>offset 33</v>
      </c>
    </row>
    <row r="1405" customFormat="false" ht="12.8" hidden="false" customHeight="false" outlineLevel="0" collapsed="false">
      <c r="A1405" s="0" t="s">
        <v>12</v>
      </c>
      <c r="B1405" s="0" t="n">
        <v>414526</v>
      </c>
      <c r="C1405" s="0" t="n">
        <v>414546</v>
      </c>
      <c r="D1405" s="0" t="s">
        <v>4683</v>
      </c>
      <c r="E1405" s="0" t="s">
        <v>89</v>
      </c>
      <c r="F1405" s="0" t="s">
        <v>90</v>
      </c>
      <c r="G1405" s="0" t="s">
        <v>32</v>
      </c>
      <c r="H1405" s="0" t="n">
        <v>70</v>
      </c>
      <c r="I1405" s="0" t="s">
        <v>4690</v>
      </c>
      <c r="J1405" s="0" t="s">
        <v>4691</v>
      </c>
      <c r="K1405" s="0" t="s">
        <v>4692</v>
      </c>
      <c r="L1405" s="0" t="str">
        <f aca="false">HYPERLINK("https://www.ncbi.nlm.nih.gov/nuccore/CP000304.1?report=graph&amp;tracks=[key:gene_model_track,Options:GeneOnly]&amp;mk=414584:414603|offset_13|444444,414564:414583|offset_33|444444,414527:414546|offset_70|00cc00,414503:414522|offset_94|444444&amp;v=414383:414722&amp;c=444444", "offset 70")</f>
        <v>offset 70</v>
      </c>
    </row>
    <row r="1406" customFormat="false" ht="12.8" hidden="false" customHeight="false" outlineLevel="0" collapsed="false">
      <c r="A1406" s="0" t="s">
        <v>12</v>
      </c>
      <c r="B1406" s="0" t="n">
        <v>414502</v>
      </c>
      <c r="C1406" s="0" t="n">
        <v>414522</v>
      </c>
      <c r="D1406" s="0" t="s">
        <v>4683</v>
      </c>
      <c r="E1406" s="0" t="s">
        <v>89</v>
      </c>
      <c r="F1406" s="0" t="s">
        <v>90</v>
      </c>
      <c r="G1406" s="0" t="s">
        <v>32</v>
      </c>
      <c r="H1406" s="0" t="n">
        <v>94</v>
      </c>
      <c r="I1406" s="0" t="s">
        <v>4693</v>
      </c>
      <c r="J1406" s="0" t="s">
        <v>4694</v>
      </c>
      <c r="K1406" s="0" t="s">
        <v>4695</v>
      </c>
      <c r="L1406" s="0" t="str">
        <f aca="false">HYPERLINK("https://www.ncbi.nlm.nih.gov/nuccore/CP000304.1?report=graph&amp;tracks=[key:gene_model_track,Options:GeneOnly]&amp;mk=414584:414603|offset_13|444444,414564:414583|offset_33|444444,414527:414546|offset_70|444444,414503:414522|offset_94|00cc00&amp;v=414383:414722&amp;c=444444", "offset 94")</f>
        <v>offset 94</v>
      </c>
    </row>
    <row r="1407" customFormat="false" ht="12.8" hidden="false" customHeight="false" outlineLevel="0" collapsed="false">
      <c r="A1407" s="0" t="s">
        <v>12</v>
      </c>
      <c r="B1407" s="0" t="n">
        <v>415076</v>
      </c>
      <c r="C1407" s="0" t="n">
        <v>415096</v>
      </c>
      <c r="D1407" s="0" t="s">
        <v>4696</v>
      </c>
      <c r="E1407" s="0" t="s">
        <v>89</v>
      </c>
      <c r="F1407" s="0" t="s">
        <v>15</v>
      </c>
      <c r="G1407" s="0" t="s">
        <v>16</v>
      </c>
      <c r="H1407" s="0" t="n">
        <v>76</v>
      </c>
      <c r="I1407" s="0" t="s">
        <v>4697</v>
      </c>
      <c r="J1407" s="0" t="s">
        <v>4698</v>
      </c>
      <c r="K1407" s="0" t="s">
        <v>4699</v>
      </c>
      <c r="L1407" s="0" t="str">
        <f aca="false">HYPERLINK("https://www.ncbi.nlm.nih.gov/nuccore/CP000304.1?report=graph&amp;tracks=[key:gene_model_track,Options:GeneOnly]&amp;mk=415077:415096|offset_76|00cc00,415105:415124|offset_104|444444,415151:415170|offset_150|444444,415209:415228|offset_208|444444&amp;v=414876:415428&amp;c=444444", "offset 76")</f>
        <v>offset 76</v>
      </c>
    </row>
    <row r="1408" customFormat="false" ht="12.8" hidden="false" customHeight="false" outlineLevel="0" collapsed="false">
      <c r="A1408" s="0" t="s">
        <v>12</v>
      </c>
      <c r="B1408" s="0" t="n">
        <v>415104</v>
      </c>
      <c r="C1408" s="0" t="n">
        <v>415124</v>
      </c>
      <c r="D1408" s="0" t="s">
        <v>4696</v>
      </c>
      <c r="E1408" s="0" t="s">
        <v>89</v>
      </c>
      <c r="F1408" s="0" t="s">
        <v>15</v>
      </c>
      <c r="G1408" s="0" t="s">
        <v>32</v>
      </c>
      <c r="H1408" s="0" t="n">
        <v>104</v>
      </c>
      <c r="I1408" s="0" t="s">
        <v>4700</v>
      </c>
      <c r="J1408" s="0" t="s">
        <v>4701</v>
      </c>
      <c r="K1408" s="0" t="s">
        <v>4702</v>
      </c>
      <c r="L1408" s="0" t="str">
        <f aca="false">HYPERLINK("https://www.ncbi.nlm.nih.gov/nuccore/CP000304.1?report=graph&amp;tracks=[key:gene_model_track,Options:GeneOnly]&amp;mk=415077:415096|offset_76|444444,415105:415124|offset_104|00cc00,415151:415170|offset_150|444444,415209:415228|offset_208|444444&amp;v=414876:415428&amp;c=444444", "offset 104")</f>
        <v>offset 104</v>
      </c>
    </row>
    <row r="1409" customFormat="false" ht="12.8" hidden="false" customHeight="false" outlineLevel="0" collapsed="false">
      <c r="A1409" s="0" t="s">
        <v>12</v>
      </c>
      <c r="B1409" s="0" t="n">
        <v>415150</v>
      </c>
      <c r="C1409" s="0" t="n">
        <v>415170</v>
      </c>
      <c r="D1409" s="0" t="s">
        <v>4696</v>
      </c>
      <c r="E1409" s="0" t="s">
        <v>89</v>
      </c>
      <c r="F1409" s="0" t="s">
        <v>15</v>
      </c>
      <c r="G1409" s="0" t="s">
        <v>16</v>
      </c>
      <c r="H1409" s="0" t="n">
        <v>150</v>
      </c>
      <c r="I1409" s="0" t="s">
        <v>4703</v>
      </c>
      <c r="J1409" s="0" t="s">
        <v>4704</v>
      </c>
      <c r="K1409" s="0" t="s">
        <v>4705</v>
      </c>
      <c r="L1409" s="0" t="str">
        <f aca="false">HYPERLINK("https://www.ncbi.nlm.nih.gov/nuccore/CP000304.1?report=graph&amp;tracks=[key:gene_model_track,Options:GeneOnly]&amp;mk=415077:415096|offset_76|444444,415105:415124|offset_104|444444,415151:415170|offset_150|00cc00,415209:415228|offset_208|444444&amp;v=414876:415428&amp;c=444444", "offset 150")</f>
        <v>offset 150</v>
      </c>
    </row>
    <row r="1410" customFormat="false" ht="12.8" hidden="false" customHeight="false" outlineLevel="0" collapsed="false">
      <c r="A1410" s="0" t="s">
        <v>12</v>
      </c>
      <c r="B1410" s="0" t="n">
        <v>415208</v>
      </c>
      <c r="C1410" s="0" t="n">
        <v>415228</v>
      </c>
      <c r="D1410" s="0" t="s">
        <v>4696</v>
      </c>
      <c r="E1410" s="0" t="s">
        <v>89</v>
      </c>
      <c r="F1410" s="0" t="s">
        <v>15</v>
      </c>
      <c r="G1410" s="0" t="s">
        <v>32</v>
      </c>
      <c r="H1410" s="0" t="n">
        <v>208</v>
      </c>
      <c r="I1410" s="0" t="s">
        <v>4706</v>
      </c>
      <c r="J1410" s="0" t="s">
        <v>4707</v>
      </c>
      <c r="K1410" s="0" t="s">
        <v>4708</v>
      </c>
      <c r="L1410" s="0" t="str">
        <f aca="false">HYPERLINK("https://www.ncbi.nlm.nih.gov/nuccore/CP000304.1?report=graph&amp;tracks=[key:gene_model_track,Options:GeneOnly]&amp;mk=415077:415096|offset_76|444444,415105:415124|offset_104|444444,415151:415170|offset_150|444444,415209:415228|offset_208|00cc00&amp;v=414876:415428&amp;c=444444", "offset 208")</f>
        <v>offset 208</v>
      </c>
    </row>
    <row r="1411" customFormat="false" ht="12.8" hidden="false" customHeight="false" outlineLevel="0" collapsed="false">
      <c r="A1411" s="0" t="s">
        <v>12</v>
      </c>
      <c r="B1411" s="0" t="n">
        <v>415870</v>
      </c>
      <c r="C1411" s="0" t="n">
        <v>415890</v>
      </c>
      <c r="D1411" s="0" t="s">
        <v>4709</v>
      </c>
      <c r="E1411" s="0" t="s">
        <v>89</v>
      </c>
      <c r="F1411" s="0" t="s">
        <v>15</v>
      </c>
      <c r="G1411" s="0" t="s">
        <v>16</v>
      </c>
      <c r="H1411" s="0" t="n">
        <v>35</v>
      </c>
      <c r="I1411" s="0" t="s">
        <v>4710</v>
      </c>
      <c r="J1411" s="0" t="s">
        <v>4711</v>
      </c>
      <c r="K1411" s="0" t="s">
        <v>4712</v>
      </c>
      <c r="L1411" s="0" t="str">
        <f aca="false">HYPERLINK("https://www.ncbi.nlm.nih.gov/nuccore/CP000304.1?report=graph&amp;tracks=[key:gene_model_track,Options:GeneOnly]&amp;mk=415871:415890|offset_35|00cc00,415909:415928|offset_73|444444,415945:415964|offset_109|444444,415965:415984|offset_129|444444&amp;v=415670:416184&amp;c=444444", "offset 35")</f>
        <v>offset 35</v>
      </c>
    </row>
    <row r="1412" customFormat="false" ht="12.8" hidden="false" customHeight="false" outlineLevel="0" collapsed="false">
      <c r="A1412" s="0" t="s">
        <v>12</v>
      </c>
      <c r="B1412" s="0" t="n">
        <v>415908</v>
      </c>
      <c r="C1412" s="0" t="n">
        <v>415928</v>
      </c>
      <c r="D1412" s="0" t="s">
        <v>4709</v>
      </c>
      <c r="E1412" s="0" t="s">
        <v>89</v>
      </c>
      <c r="F1412" s="0" t="s">
        <v>15</v>
      </c>
      <c r="G1412" s="0" t="s">
        <v>16</v>
      </c>
      <c r="H1412" s="0" t="n">
        <v>73</v>
      </c>
      <c r="I1412" s="0" t="s">
        <v>4713</v>
      </c>
      <c r="J1412" s="0" t="s">
        <v>4714</v>
      </c>
      <c r="K1412" s="0" t="s">
        <v>4715</v>
      </c>
      <c r="L1412" s="0" t="str">
        <f aca="false">HYPERLINK("https://www.ncbi.nlm.nih.gov/nuccore/CP000304.1?report=graph&amp;tracks=[key:gene_model_track,Options:GeneOnly]&amp;mk=415871:415890|offset_35|444444,415909:415928|offset_73|00cc00,415945:415964|offset_109|444444,415965:415984|offset_129|444444&amp;v=415670:416184&amp;c=444444", "offset 73")</f>
        <v>offset 73</v>
      </c>
    </row>
    <row r="1413" customFormat="false" ht="12.8" hidden="false" customHeight="false" outlineLevel="0" collapsed="false">
      <c r="A1413" s="0" t="s">
        <v>12</v>
      </c>
      <c r="B1413" s="0" t="n">
        <v>415944</v>
      </c>
      <c r="C1413" s="0" t="n">
        <v>415964</v>
      </c>
      <c r="D1413" s="0" t="s">
        <v>4709</v>
      </c>
      <c r="E1413" s="0" t="s">
        <v>89</v>
      </c>
      <c r="F1413" s="0" t="s">
        <v>15</v>
      </c>
      <c r="G1413" s="0" t="s">
        <v>32</v>
      </c>
      <c r="H1413" s="0" t="n">
        <v>109</v>
      </c>
      <c r="I1413" s="0" t="s">
        <v>4716</v>
      </c>
      <c r="J1413" s="0" t="s">
        <v>4717</v>
      </c>
      <c r="K1413" s="0" t="s">
        <v>4718</v>
      </c>
      <c r="L1413" s="0" t="str">
        <f aca="false">HYPERLINK("https://www.ncbi.nlm.nih.gov/nuccore/CP000304.1?report=graph&amp;tracks=[key:gene_model_track,Options:GeneOnly]&amp;mk=415871:415890|offset_35|444444,415909:415928|offset_73|444444,415945:415964|offset_109|00cc00,415965:415984|offset_129|444444&amp;v=415670:416184&amp;c=444444", "offset 109")</f>
        <v>offset 109</v>
      </c>
    </row>
    <row r="1414" customFormat="false" ht="12.8" hidden="false" customHeight="false" outlineLevel="0" collapsed="false">
      <c r="A1414" s="0" t="s">
        <v>12</v>
      </c>
      <c r="B1414" s="0" t="n">
        <v>415964</v>
      </c>
      <c r="C1414" s="0" t="n">
        <v>415984</v>
      </c>
      <c r="D1414" s="0" t="s">
        <v>4709</v>
      </c>
      <c r="E1414" s="0" t="s">
        <v>89</v>
      </c>
      <c r="F1414" s="0" t="s">
        <v>15</v>
      </c>
      <c r="G1414" s="0" t="s">
        <v>16</v>
      </c>
      <c r="H1414" s="0" t="n">
        <v>129</v>
      </c>
      <c r="I1414" s="0" t="s">
        <v>4719</v>
      </c>
      <c r="J1414" s="0" t="s">
        <v>4720</v>
      </c>
      <c r="K1414" s="0" t="s">
        <v>4721</v>
      </c>
      <c r="L1414" s="0" t="str">
        <f aca="false">HYPERLINK("https://www.ncbi.nlm.nih.gov/nuccore/CP000304.1?report=graph&amp;tracks=[key:gene_model_track,Options:GeneOnly]&amp;mk=415871:415890|offset_35|444444,415909:415928|offset_73|444444,415945:415964|offset_109|444444,415965:415984|offset_129|00cc00&amp;v=415670:416184&amp;c=444444", "offset 129")</f>
        <v>offset 129</v>
      </c>
    </row>
    <row r="1415" customFormat="false" ht="12.8" hidden="false" customHeight="false" outlineLevel="0" collapsed="false">
      <c r="A1415" s="0" t="s">
        <v>12</v>
      </c>
      <c r="B1415" s="0" t="n">
        <v>416597</v>
      </c>
      <c r="C1415" s="0" t="n">
        <v>416617</v>
      </c>
      <c r="D1415" s="0" t="s">
        <v>4722</v>
      </c>
      <c r="E1415" s="0" t="s">
        <v>89</v>
      </c>
      <c r="F1415" s="0" t="s">
        <v>15</v>
      </c>
      <c r="G1415" s="0" t="s">
        <v>32</v>
      </c>
      <c r="H1415" s="0" t="n">
        <v>30</v>
      </c>
      <c r="I1415" s="0" t="s">
        <v>4723</v>
      </c>
      <c r="J1415" s="0" t="s">
        <v>4724</v>
      </c>
      <c r="K1415" s="0" t="s">
        <v>4725</v>
      </c>
      <c r="L1415" s="0" t="str">
        <f aca="false">HYPERLINK("https://www.ncbi.nlm.nih.gov/nuccore/CP000304.1?report=graph&amp;tracks=[key:gene_model_track,Options:GeneOnly]&amp;mk=416598:416617|offset_30|00cc00,416640:416659|offset_72|444444,416719:416738|offset_151|444444,416750:416769|offset_182|444444&amp;v=416397:416969&amp;c=444444", "offset 30")</f>
        <v>offset 30</v>
      </c>
    </row>
    <row r="1416" customFormat="false" ht="12.8" hidden="false" customHeight="false" outlineLevel="0" collapsed="false">
      <c r="A1416" s="0" t="s">
        <v>12</v>
      </c>
      <c r="B1416" s="0" t="n">
        <v>416639</v>
      </c>
      <c r="C1416" s="0" t="n">
        <v>416659</v>
      </c>
      <c r="D1416" s="0" t="s">
        <v>4722</v>
      </c>
      <c r="E1416" s="0" t="s">
        <v>89</v>
      </c>
      <c r="F1416" s="0" t="s">
        <v>15</v>
      </c>
      <c r="G1416" s="0" t="s">
        <v>16</v>
      </c>
      <c r="H1416" s="0" t="n">
        <v>72</v>
      </c>
      <c r="I1416" s="0" t="s">
        <v>4726</v>
      </c>
      <c r="J1416" s="0" t="s">
        <v>4727</v>
      </c>
      <c r="K1416" s="0" t="s">
        <v>4728</v>
      </c>
      <c r="L1416" s="0" t="str">
        <f aca="false">HYPERLINK("https://www.ncbi.nlm.nih.gov/nuccore/CP000304.1?report=graph&amp;tracks=[key:gene_model_track,Options:GeneOnly]&amp;mk=416598:416617|offset_30|444444,416640:416659|offset_72|00cc00,416719:416738|offset_151|444444,416750:416769|offset_182|444444&amp;v=416397:416969&amp;c=444444", "offset 72")</f>
        <v>offset 72</v>
      </c>
    </row>
    <row r="1417" customFormat="false" ht="12.8" hidden="false" customHeight="false" outlineLevel="0" collapsed="false">
      <c r="A1417" s="0" t="s">
        <v>12</v>
      </c>
      <c r="B1417" s="0" t="n">
        <v>416718</v>
      </c>
      <c r="C1417" s="0" t="n">
        <v>416738</v>
      </c>
      <c r="D1417" s="0" t="s">
        <v>4722</v>
      </c>
      <c r="E1417" s="0" t="s">
        <v>89</v>
      </c>
      <c r="F1417" s="0" t="s">
        <v>15</v>
      </c>
      <c r="G1417" s="0" t="s">
        <v>16</v>
      </c>
      <c r="H1417" s="0" t="n">
        <v>151</v>
      </c>
      <c r="I1417" s="0" t="s">
        <v>4729</v>
      </c>
      <c r="J1417" s="0" t="s">
        <v>4730</v>
      </c>
      <c r="K1417" s="0" t="s">
        <v>4731</v>
      </c>
      <c r="L1417" s="0" t="str">
        <f aca="false">HYPERLINK("https://www.ncbi.nlm.nih.gov/nuccore/CP000304.1?report=graph&amp;tracks=[key:gene_model_track,Options:GeneOnly]&amp;mk=416598:416617|offset_30|444444,416640:416659|offset_72|444444,416719:416738|offset_151|00cc00,416750:416769|offset_182|444444&amp;v=416397:416969&amp;c=444444", "offset 151")</f>
        <v>offset 151</v>
      </c>
    </row>
    <row r="1418" customFormat="false" ht="12.8" hidden="false" customHeight="false" outlineLevel="0" collapsed="false">
      <c r="A1418" s="0" t="s">
        <v>12</v>
      </c>
      <c r="B1418" s="0" t="n">
        <v>416749</v>
      </c>
      <c r="C1418" s="0" t="n">
        <v>416769</v>
      </c>
      <c r="D1418" s="0" t="s">
        <v>4722</v>
      </c>
      <c r="E1418" s="0" t="s">
        <v>89</v>
      </c>
      <c r="F1418" s="0" t="s">
        <v>15</v>
      </c>
      <c r="G1418" s="0" t="s">
        <v>26</v>
      </c>
      <c r="H1418" s="0" t="n">
        <v>182</v>
      </c>
      <c r="I1418" s="0" t="s">
        <v>4732</v>
      </c>
      <c r="J1418" s="0" t="s">
        <v>4733</v>
      </c>
      <c r="K1418" s="0" t="s">
        <v>4734</v>
      </c>
      <c r="L1418" s="0" t="str">
        <f aca="false">HYPERLINK("https://www.ncbi.nlm.nih.gov/nuccore/CP000304.1?report=graph&amp;tracks=[key:gene_model_track,Options:GeneOnly]&amp;mk=416598:416617|offset_30|444444,416640:416659|offset_72|444444,416719:416738|offset_151|444444,416750:416769|offset_182|00cc00&amp;v=416397:416969&amp;c=444444", "offset 182")</f>
        <v>offset 182</v>
      </c>
    </row>
    <row r="1419" customFormat="false" ht="12.8" hidden="false" customHeight="false" outlineLevel="0" collapsed="false">
      <c r="A1419" s="0" t="s">
        <v>12</v>
      </c>
      <c r="B1419" s="0" t="n">
        <v>418067</v>
      </c>
      <c r="C1419" s="0" t="n">
        <v>418087</v>
      </c>
      <c r="D1419" s="0" t="s">
        <v>4735</v>
      </c>
      <c r="E1419" s="0" t="s">
        <v>89</v>
      </c>
      <c r="F1419" s="0" t="s">
        <v>15</v>
      </c>
      <c r="G1419" s="0" t="s">
        <v>26</v>
      </c>
      <c r="H1419" s="0" t="n">
        <v>29</v>
      </c>
      <c r="I1419" s="0" t="s">
        <v>4736</v>
      </c>
      <c r="J1419" s="0" t="s">
        <v>4737</v>
      </c>
      <c r="K1419" s="0" t="s">
        <v>4738</v>
      </c>
      <c r="L1419" s="0" t="str">
        <f aca="false">HYPERLINK("https://www.ncbi.nlm.nih.gov/nuccore/CP000304.1?report=graph&amp;tracks=[key:gene_model_track,Options:GeneOnly]&amp;mk=418068:418087|offset_29|00cc00,418151:418170|offset_112|444444,418175:418194|offset_136|444444,418212:418231|offset_173|444444&amp;v=417867:418431&amp;c=444444", "offset 29")</f>
        <v>offset 29</v>
      </c>
    </row>
    <row r="1420" customFormat="false" ht="12.8" hidden="false" customHeight="false" outlineLevel="0" collapsed="false">
      <c r="A1420" s="0" t="s">
        <v>12</v>
      </c>
      <c r="B1420" s="0" t="n">
        <v>418150</v>
      </c>
      <c r="C1420" s="0" t="n">
        <v>418170</v>
      </c>
      <c r="D1420" s="0" t="s">
        <v>4735</v>
      </c>
      <c r="E1420" s="0" t="s">
        <v>89</v>
      </c>
      <c r="F1420" s="0" t="s">
        <v>15</v>
      </c>
      <c r="G1420" s="0" t="s">
        <v>32</v>
      </c>
      <c r="H1420" s="0" t="n">
        <v>112</v>
      </c>
      <c r="I1420" s="0" t="s">
        <v>4739</v>
      </c>
      <c r="J1420" s="0" t="s">
        <v>4740</v>
      </c>
      <c r="K1420" s="0" t="s">
        <v>4741</v>
      </c>
      <c r="L1420" s="0" t="str">
        <f aca="false">HYPERLINK("https://www.ncbi.nlm.nih.gov/nuccore/CP000304.1?report=graph&amp;tracks=[key:gene_model_track,Options:GeneOnly]&amp;mk=418068:418087|offset_29|444444,418151:418170|offset_112|00cc00,418175:418194|offset_136|444444,418212:418231|offset_173|444444&amp;v=417867:418431&amp;c=444444", "offset 112")</f>
        <v>offset 112</v>
      </c>
    </row>
    <row r="1421" customFormat="false" ht="12.8" hidden="false" customHeight="false" outlineLevel="0" collapsed="false">
      <c r="A1421" s="0" t="s">
        <v>12</v>
      </c>
      <c r="B1421" s="0" t="n">
        <v>418174</v>
      </c>
      <c r="C1421" s="0" t="n">
        <v>418194</v>
      </c>
      <c r="D1421" s="0" t="s">
        <v>4735</v>
      </c>
      <c r="E1421" s="0" t="s">
        <v>89</v>
      </c>
      <c r="F1421" s="0" t="s">
        <v>15</v>
      </c>
      <c r="G1421" s="0" t="s">
        <v>36</v>
      </c>
      <c r="H1421" s="0" t="n">
        <v>136</v>
      </c>
      <c r="I1421" s="0" t="s">
        <v>4742</v>
      </c>
      <c r="J1421" s="0" t="s">
        <v>4743</v>
      </c>
      <c r="K1421" s="0" t="s">
        <v>4744</v>
      </c>
      <c r="L1421" s="0" t="str">
        <f aca="false">HYPERLINK("https://www.ncbi.nlm.nih.gov/nuccore/CP000304.1?report=graph&amp;tracks=[key:gene_model_track,Options:GeneOnly]&amp;mk=418068:418087|offset_29|444444,418151:418170|offset_112|444444,418175:418194|offset_136|00cc00,418212:418231|offset_173|444444&amp;v=417867:418431&amp;c=444444", "offset 136")</f>
        <v>offset 136</v>
      </c>
    </row>
    <row r="1422" customFormat="false" ht="12.8" hidden="false" customHeight="false" outlineLevel="0" collapsed="false">
      <c r="A1422" s="0" t="s">
        <v>12</v>
      </c>
      <c r="B1422" s="0" t="n">
        <v>418211</v>
      </c>
      <c r="C1422" s="0" t="n">
        <v>418231</v>
      </c>
      <c r="D1422" s="0" t="s">
        <v>4735</v>
      </c>
      <c r="E1422" s="0" t="s">
        <v>89</v>
      </c>
      <c r="F1422" s="0" t="s">
        <v>15</v>
      </c>
      <c r="G1422" s="0" t="s">
        <v>26</v>
      </c>
      <c r="H1422" s="0" t="n">
        <v>173</v>
      </c>
      <c r="I1422" s="0" t="s">
        <v>4745</v>
      </c>
      <c r="J1422" s="0" t="s">
        <v>4746</v>
      </c>
      <c r="K1422" s="0" t="s">
        <v>4747</v>
      </c>
      <c r="L1422" s="0" t="str">
        <f aca="false">HYPERLINK("https://www.ncbi.nlm.nih.gov/nuccore/CP000304.1?report=graph&amp;tracks=[key:gene_model_track,Options:GeneOnly]&amp;mk=418068:418087|offset_29|444444,418151:418170|offset_112|444444,418175:418194|offset_136|444444,418212:418231|offset_173|00cc00&amp;v=417867:418431&amp;c=444444", "offset 173")</f>
        <v>offset 173</v>
      </c>
    </row>
    <row r="1423" customFormat="false" ht="12.8" hidden="false" customHeight="false" outlineLevel="0" collapsed="false">
      <c r="A1423" s="0" t="s">
        <v>12</v>
      </c>
      <c r="B1423" s="0" t="n">
        <v>419510</v>
      </c>
      <c r="C1423" s="0" t="n">
        <v>419530</v>
      </c>
      <c r="D1423" s="0" t="s">
        <v>4748</v>
      </c>
      <c r="E1423" s="0" t="s">
        <v>89</v>
      </c>
      <c r="F1423" s="0" t="s">
        <v>15</v>
      </c>
      <c r="G1423" s="0" t="s">
        <v>26</v>
      </c>
      <c r="H1423" s="0" t="n">
        <v>20</v>
      </c>
      <c r="I1423" s="0" t="s">
        <v>4749</v>
      </c>
      <c r="J1423" s="0" t="s">
        <v>4750</v>
      </c>
      <c r="K1423" s="0" t="s">
        <v>4751</v>
      </c>
      <c r="L1423" s="0" t="str">
        <f aca="false">HYPERLINK("https://www.ncbi.nlm.nih.gov/nuccore/CP000304.1?report=graph&amp;tracks=[key:gene_model_track,Options:GeneOnly]&amp;mk=419511:419530|offset_20|00cc00,419531:419550|offset_40|444444,419558:419577|offset_67|444444,419591:419610|offset_100|444444&amp;v=419310:419810&amp;c=444444", "offset 20")</f>
        <v>offset 20</v>
      </c>
    </row>
    <row r="1424" customFormat="false" ht="12.8" hidden="false" customHeight="false" outlineLevel="0" collapsed="false">
      <c r="A1424" s="0" t="s">
        <v>12</v>
      </c>
      <c r="B1424" s="0" t="n">
        <v>419530</v>
      </c>
      <c r="C1424" s="0" t="n">
        <v>419550</v>
      </c>
      <c r="D1424" s="0" t="s">
        <v>4748</v>
      </c>
      <c r="E1424" s="0" t="s">
        <v>89</v>
      </c>
      <c r="F1424" s="0" t="s">
        <v>15</v>
      </c>
      <c r="G1424" s="0" t="s">
        <v>36</v>
      </c>
      <c r="H1424" s="0" t="n">
        <v>40</v>
      </c>
      <c r="I1424" s="0" t="s">
        <v>4752</v>
      </c>
      <c r="J1424" s="0" t="s">
        <v>4753</v>
      </c>
      <c r="K1424" s="0" t="s">
        <v>4754</v>
      </c>
      <c r="L1424" s="0" t="str">
        <f aca="false">HYPERLINK("https://www.ncbi.nlm.nih.gov/nuccore/CP000304.1?report=graph&amp;tracks=[key:gene_model_track,Options:GeneOnly]&amp;mk=419511:419530|offset_20|444444,419531:419550|offset_40|00cc00,419558:419577|offset_67|444444,419591:419610|offset_100|444444&amp;v=419310:419810&amp;c=444444", "offset 40")</f>
        <v>offset 40</v>
      </c>
    </row>
    <row r="1425" customFormat="false" ht="12.8" hidden="false" customHeight="false" outlineLevel="0" collapsed="false">
      <c r="A1425" s="0" t="s">
        <v>12</v>
      </c>
      <c r="B1425" s="0" t="n">
        <v>419557</v>
      </c>
      <c r="C1425" s="0" t="n">
        <v>419577</v>
      </c>
      <c r="D1425" s="0" t="s">
        <v>4748</v>
      </c>
      <c r="E1425" s="0" t="s">
        <v>89</v>
      </c>
      <c r="F1425" s="0" t="s">
        <v>15</v>
      </c>
      <c r="G1425" s="0" t="s">
        <v>16</v>
      </c>
      <c r="H1425" s="0" t="n">
        <v>67</v>
      </c>
      <c r="I1425" s="0" t="s">
        <v>4755</v>
      </c>
      <c r="J1425" s="0" t="s">
        <v>4756</v>
      </c>
      <c r="K1425" s="0" t="s">
        <v>4757</v>
      </c>
      <c r="L1425" s="0" t="str">
        <f aca="false">HYPERLINK("https://www.ncbi.nlm.nih.gov/nuccore/CP000304.1?report=graph&amp;tracks=[key:gene_model_track,Options:GeneOnly]&amp;mk=419511:419530|offset_20|444444,419531:419550|offset_40|444444,419558:419577|offset_67|00cc00,419591:419610|offset_100|444444&amp;v=419310:419810&amp;c=444444", "offset 67")</f>
        <v>offset 67</v>
      </c>
    </row>
    <row r="1426" customFormat="false" ht="12.8" hidden="false" customHeight="false" outlineLevel="0" collapsed="false">
      <c r="A1426" s="0" t="s">
        <v>12</v>
      </c>
      <c r="B1426" s="0" t="n">
        <v>419590</v>
      </c>
      <c r="C1426" s="0" t="n">
        <v>419610</v>
      </c>
      <c r="D1426" s="0" t="s">
        <v>4748</v>
      </c>
      <c r="E1426" s="0" t="s">
        <v>89</v>
      </c>
      <c r="F1426" s="0" t="s">
        <v>15</v>
      </c>
      <c r="G1426" s="0" t="s">
        <v>16</v>
      </c>
      <c r="H1426" s="0" t="n">
        <v>100</v>
      </c>
      <c r="I1426" s="0" t="s">
        <v>4758</v>
      </c>
      <c r="J1426" s="0" t="s">
        <v>4759</v>
      </c>
      <c r="K1426" s="0" t="s">
        <v>4760</v>
      </c>
      <c r="L1426" s="0" t="str">
        <f aca="false">HYPERLINK("https://www.ncbi.nlm.nih.gov/nuccore/CP000304.1?report=graph&amp;tracks=[key:gene_model_track,Options:GeneOnly]&amp;mk=419511:419530|offset_20|444444,419531:419550|offset_40|444444,419558:419577|offset_67|444444,419591:419610|offset_100|00cc00&amp;v=419310:419810&amp;c=444444", "offset 100")</f>
        <v>offset 100</v>
      </c>
    </row>
    <row r="1427" customFormat="false" ht="12.8" hidden="false" customHeight="false" outlineLevel="0" collapsed="false">
      <c r="A1427" s="0" t="s">
        <v>12</v>
      </c>
      <c r="B1427" s="0" t="n">
        <v>420102</v>
      </c>
      <c r="C1427" s="0" t="n">
        <v>420122</v>
      </c>
      <c r="D1427" s="0" t="s">
        <v>4761</v>
      </c>
      <c r="E1427" s="0" t="s">
        <v>89</v>
      </c>
      <c r="F1427" s="0" t="s">
        <v>15</v>
      </c>
      <c r="G1427" s="0" t="s">
        <v>32</v>
      </c>
      <c r="H1427" s="0" t="n">
        <v>1</v>
      </c>
      <c r="I1427" s="0" t="s">
        <v>4762</v>
      </c>
      <c r="J1427" s="0" t="s">
        <v>4763</v>
      </c>
      <c r="K1427" s="0" t="s">
        <v>4764</v>
      </c>
      <c r="L1427" s="0" t="str">
        <f aca="false">HYPERLINK("https://www.ncbi.nlm.nih.gov/nuccore/CP000304.1?report=graph&amp;tracks=[key:gene_model_track,Options:GeneOnly]&amp;mk=420103:420122|offset_1|00cc00,420124:420143|offset_22|444444,420154:420173|offset_52|444444,420175:420194|offset_73|444444&amp;v=419902:420394&amp;c=444444", "offset 1")</f>
        <v>offset 1</v>
      </c>
    </row>
    <row r="1428" customFormat="false" ht="12.8" hidden="false" customHeight="false" outlineLevel="0" collapsed="false">
      <c r="A1428" s="0" t="s">
        <v>12</v>
      </c>
      <c r="B1428" s="0" t="n">
        <v>420123</v>
      </c>
      <c r="C1428" s="0" t="n">
        <v>420143</v>
      </c>
      <c r="D1428" s="0" t="s">
        <v>4761</v>
      </c>
      <c r="E1428" s="0" t="s">
        <v>89</v>
      </c>
      <c r="F1428" s="0" t="s">
        <v>15</v>
      </c>
      <c r="G1428" s="0" t="s">
        <v>36</v>
      </c>
      <c r="H1428" s="0" t="n">
        <v>22</v>
      </c>
      <c r="I1428" s="0" t="s">
        <v>4765</v>
      </c>
      <c r="J1428" s="0" t="s">
        <v>4766</v>
      </c>
      <c r="K1428" s="0" t="s">
        <v>4767</v>
      </c>
      <c r="L1428" s="0" t="str">
        <f aca="false">HYPERLINK("https://www.ncbi.nlm.nih.gov/nuccore/CP000304.1?report=graph&amp;tracks=[key:gene_model_track,Options:GeneOnly]&amp;mk=420103:420122|offset_1|444444,420124:420143|offset_22|00cc00,420154:420173|offset_52|444444,420175:420194|offset_73|444444&amp;v=419902:420394&amp;c=444444", "offset 22")</f>
        <v>offset 22</v>
      </c>
    </row>
    <row r="1429" customFormat="false" ht="12.8" hidden="false" customHeight="false" outlineLevel="0" collapsed="false">
      <c r="A1429" s="0" t="s">
        <v>12</v>
      </c>
      <c r="B1429" s="0" t="n">
        <v>420153</v>
      </c>
      <c r="C1429" s="0" t="n">
        <v>420173</v>
      </c>
      <c r="D1429" s="0" t="s">
        <v>4761</v>
      </c>
      <c r="E1429" s="0" t="s">
        <v>89</v>
      </c>
      <c r="F1429" s="0" t="s">
        <v>15</v>
      </c>
      <c r="G1429" s="0" t="s">
        <v>16</v>
      </c>
      <c r="H1429" s="0" t="n">
        <v>52</v>
      </c>
      <c r="I1429" s="0" t="s">
        <v>4768</v>
      </c>
      <c r="J1429" s="0" t="s">
        <v>4769</v>
      </c>
      <c r="K1429" s="0" t="s">
        <v>4770</v>
      </c>
      <c r="L1429" s="0" t="str">
        <f aca="false">HYPERLINK("https://www.ncbi.nlm.nih.gov/nuccore/CP000304.1?report=graph&amp;tracks=[key:gene_model_track,Options:GeneOnly]&amp;mk=420103:420122|offset_1|444444,420124:420143|offset_22|444444,420154:420173|offset_52|00cc00,420175:420194|offset_73|444444&amp;v=419902:420394&amp;c=444444", "offset 52")</f>
        <v>offset 52</v>
      </c>
    </row>
    <row r="1430" customFormat="false" ht="12.8" hidden="false" customHeight="false" outlineLevel="0" collapsed="false">
      <c r="A1430" s="0" t="s">
        <v>12</v>
      </c>
      <c r="B1430" s="0" t="n">
        <v>420174</v>
      </c>
      <c r="C1430" s="0" t="n">
        <v>420194</v>
      </c>
      <c r="D1430" s="0" t="s">
        <v>4761</v>
      </c>
      <c r="E1430" s="0" t="s">
        <v>89</v>
      </c>
      <c r="F1430" s="0" t="s">
        <v>15</v>
      </c>
      <c r="G1430" s="0" t="s">
        <v>32</v>
      </c>
      <c r="H1430" s="0" t="n">
        <v>73</v>
      </c>
      <c r="I1430" s="0" t="s">
        <v>4771</v>
      </c>
      <c r="J1430" s="0" t="s">
        <v>4772</v>
      </c>
      <c r="K1430" s="0" t="s">
        <v>4773</v>
      </c>
      <c r="L1430" s="0" t="str">
        <f aca="false">HYPERLINK("https://www.ncbi.nlm.nih.gov/nuccore/CP000304.1?report=graph&amp;tracks=[key:gene_model_track,Options:GeneOnly]&amp;mk=420103:420122|offset_1|444444,420124:420143|offset_22|444444,420154:420173|offset_52|444444,420175:420194|offset_73|00cc00&amp;v=419902:420394&amp;c=444444", "offset 73")</f>
        <v>offset 73</v>
      </c>
    </row>
    <row r="1431" customFormat="false" ht="12.8" hidden="false" customHeight="false" outlineLevel="0" collapsed="false">
      <c r="A1431" s="0" t="s">
        <v>12</v>
      </c>
      <c r="B1431" s="0" t="n">
        <v>421432</v>
      </c>
      <c r="C1431" s="0" t="n">
        <v>421452</v>
      </c>
      <c r="D1431" s="0" t="s">
        <v>4774</v>
      </c>
      <c r="E1431" s="0" t="s">
        <v>89</v>
      </c>
      <c r="F1431" s="0" t="s">
        <v>15</v>
      </c>
      <c r="G1431" s="0" t="s">
        <v>36</v>
      </c>
      <c r="H1431" s="0" t="n">
        <v>6</v>
      </c>
      <c r="I1431" s="0" t="s">
        <v>4775</v>
      </c>
      <c r="J1431" s="0" t="s">
        <v>4776</v>
      </c>
      <c r="K1431" s="0" t="s">
        <v>4777</v>
      </c>
      <c r="L1431" s="0" t="str">
        <f aca="false">HYPERLINK("https://www.ncbi.nlm.nih.gov/nuccore/CP000304.1?report=graph&amp;tracks=[key:gene_model_track,Options:GeneOnly]&amp;mk=421433:421452|offset_6|00cc00,421453:421472|offset_26|444444,421475:421494|offset_48|444444,421496:421515|offset_69|444444&amp;v=421232:421715&amp;c=444444", "offset 6")</f>
        <v>offset 6</v>
      </c>
    </row>
    <row r="1432" customFormat="false" ht="12.8" hidden="false" customHeight="false" outlineLevel="0" collapsed="false">
      <c r="A1432" s="0" t="s">
        <v>12</v>
      </c>
      <c r="B1432" s="0" t="n">
        <v>421452</v>
      </c>
      <c r="C1432" s="0" t="n">
        <v>421472</v>
      </c>
      <c r="D1432" s="0" t="s">
        <v>4774</v>
      </c>
      <c r="E1432" s="0" t="s">
        <v>89</v>
      </c>
      <c r="F1432" s="0" t="s">
        <v>15</v>
      </c>
      <c r="G1432" s="0" t="s">
        <v>16</v>
      </c>
      <c r="H1432" s="0" t="n">
        <v>26</v>
      </c>
      <c r="I1432" s="0" t="s">
        <v>4778</v>
      </c>
      <c r="J1432" s="0" t="s">
        <v>4779</v>
      </c>
      <c r="K1432" s="0" t="s">
        <v>4780</v>
      </c>
      <c r="L1432" s="0" t="str">
        <f aca="false">HYPERLINK("https://www.ncbi.nlm.nih.gov/nuccore/CP000304.1?report=graph&amp;tracks=[key:gene_model_track,Options:GeneOnly]&amp;mk=421433:421452|offset_6|444444,421453:421472|offset_26|00cc00,421475:421494|offset_48|444444,421496:421515|offset_69|444444&amp;v=421232:421715&amp;c=444444", "offset 26")</f>
        <v>offset 26</v>
      </c>
    </row>
    <row r="1433" customFormat="false" ht="12.8" hidden="false" customHeight="false" outlineLevel="0" collapsed="false">
      <c r="A1433" s="0" t="s">
        <v>12</v>
      </c>
      <c r="B1433" s="0" t="n">
        <v>421474</v>
      </c>
      <c r="C1433" s="0" t="n">
        <v>421494</v>
      </c>
      <c r="D1433" s="0" t="s">
        <v>4774</v>
      </c>
      <c r="E1433" s="0" t="s">
        <v>89</v>
      </c>
      <c r="F1433" s="0" t="s">
        <v>15</v>
      </c>
      <c r="G1433" s="0" t="s">
        <v>16</v>
      </c>
      <c r="H1433" s="0" t="n">
        <v>48</v>
      </c>
      <c r="I1433" s="0" t="s">
        <v>4781</v>
      </c>
      <c r="J1433" s="0" t="s">
        <v>4782</v>
      </c>
      <c r="K1433" s="0" t="s">
        <v>4783</v>
      </c>
      <c r="L1433" s="0" t="str">
        <f aca="false">HYPERLINK("https://www.ncbi.nlm.nih.gov/nuccore/CP000304.1?report=graph&amp;tracks=[key:gene_model_track,Options:GeneOnly]&amp;mk=421433:421452|offset_6|444444,421453:421472|offset_26|444444,421475:421494|offset_48|00cc00,421496:421515|offset_69|444444&amp;v=421232:421715&amp;c=444444", "offset 48")</f>
        <v>offset 48</v>
      </c>
    </row>
    <row r="1434" customFormat="false" ht="12.8" hidden="false" customHeight="false" outlineLevel="0" collapsed="false">
      <c r="A1434" s="0" t="s">
        <v>12</v>
      </c>
      <c r="B1434" s="0" t="n">
        <v>421495</v>
      </c>
      <c r="C1434" s="0" t="n">
        <v>421515</v>
      </c>
      <c r="D1434" s="0" t="s">
        <v>4774</v>
      </c>
      <c r="E1434" s="0" t="s">
        <v>89</v>
      </c>
      <c r="F1434" s="0" t="s">
        <v>15</v>
      </c>
      <c r="G1434" s="0" t="s">
        <v>16</v>
      </c>
      <c r="H1434" s="0" t="n">
        <v>69</v>
      </c>
      <c r="I1434" s="0" t="s">
        <v>4784</v>
      </c>
      <c r="J1434" s="0" t="s">
        <v>4785</v>
      </c>
      <c r="K1434" s="0" t="s">
        <v>4786</v>
      </c>
      <c r="L1434" s="0" t="str">
        <f aca="false">HYPERLINK("https://www.ncbi.nlm.nih.gov/nuccore/CP000304.1?report=graph&amp;tracks=[key:gene_model_track,Options:GeneOnly]&amp;mk=421433:421452|offset_6|444444,421453:421472|offset_26|444444,421475:421494|offset_48|444444,421496:421515|offset_69|00cc00&amp;v=421232:421715&amp;c=444444", "offset 69")</f>
        <v>offset 69</v>
      </c>
    </row>
    <row r="1435" customFormat="false" ht="12.8" hidden="false" customHeight="false" outlineLevel="0" collapsed="false">
      <c r="A1435" s="0" t="s">
        <v>12</v>
      </c>
      <c r="B1435" s="0" t="n">
        <v>421838</v>
      </c>
      <c r="C1435" s="0" t="n">
        <v>421858</v>
      </c>
      <c r="D1435" s="0" t="s">
        <v>4787</v>
      </c>
      <c r="E1435" s="0" t="s">
        <v>89</v>
      </c>
      <c r="F1435" s="0" t="s">
        <v>15</v>
      </c>
      <c r="G1435" s="0" t="s">
        <v>36</v>
      </c>
      <c r="H1435" s="0" t="n">
        <v>0</v>
      </c>
      <c r="I1435" s="0" t="s">
        <v>4788</v>
      </c>
      <c r="J1435" s="0" t="s">
        <v>4789</v>
      </c>
      <c r="K1435" s="0" t="s">
        <v>4790</v>
      </c>
      <c r="L1435" s="0" t="str">
        <f aca="false">HYPERLINK("https://www.ncbi.nlm.nih.gov/nuccore/CP000304.1?report=graph&amp;tracks=[key:gene_model_track,Options:GeneOnly]&amp;mk=421839:421858|offset_0|00cc00,421861:421880|offset_22|444444,421894:421913|offset_55|444444,421915:421934|offset_76|444444&amp;v=421638:422134&amp;c=444444", "offset 0")</f>
        <v>offset 0</v>
      </c>
    </row>
    <row r="1436" customFormat="false" ht="12.8" hidden="false" customHeight="false" outlineLevel="0" collapsed="false">
      <c r="A1436" s="0" t="s">
        <v>12</v>
      </c>
      <c r="B1436" s="0" t="n">
        <v>421860</v>
      </c>
      <c r="C1436" s="0" t="n">
        <v>421880</v>
      </c>
      <c r="D1436" s="0" t="s">
        <v>4787</v>
      </c>
      <c r="E1436" s="0" t="s">
        <v>89</v>
      </c>
      <c r="F1436" s="0" t="s">
        <v>15</v>
      </c>
      <c r="G1436" s="0" t="s">
        <v>36</v>
      </c>
      <c r="H1436" s="0" t="n">
        <v>22</v>
      </c>
      <c r="I1436" s="0" t="s">
        <v>4791</v>
      </c>
      <c r="J1436" s="0" t="s">
        <v>4792</v>
      </c>
      <c r="K1436" s="0" t="s">
        <v>4793</v>
      </c>
      <c r="L1436" s="0" t="str">
        <f aca="false">HYPERLINK("https://www.ncbi.nlm.nih.gov/nuccore/CP000304.1?report=graph&amp;tracks=[key:gene_model_track,Options:GeneOnly]&amp;mk=421839:421858|offset_0|444444,421861:421880|offset_22|00cc00,421894:421913|offset_55|444444,421915:421934|offset_76|444444&amp;v=421638:422134&amp;c=444444", "offset 22")</f>
        <v>offset 22</v>
      </c>
    </row>
    <row r="1437" customFormat="false" ht="12.8" hidden="false" customHeight="false" outlineLevel="0" collapsed="false">
      <c r="A1437" s="0" t="s">
        <v>12</v>
      </c>
      <c r="B1437" s="0" t="n">
        <v>421893</v>
      </c>
      <c r="C1437" s="0" t="n">
        <v>421913</v>
      </c>
      <c r="D1437" s="0" t="s">
        <v>4787</v>
      </c>
      <c r="E1437" s="0" t="s">
        <v>89</v>
      </c>
      <c r="F1437" s="0" t="s">
        <v>15</v>
      </c>
      <c r="G1437" s="0" t="s">
        <v>16</v>
      </c>
      <c r="H1437" s="0" t="n">
        <v>55</v>
      </c>
      <c r="I1437" s="0" t="s">
        <v>4794</v>
      </c>
      <c r="J1437" s="0" t="s">
        <v>4795</v>
      </c>
      <c r="K1437" s="0" t="s">
        <v>4796</v>
      </c>
      <c r="L1437" s="0" t="str">
        <f aca="false">HYPERLINK("https://www.ncbi.nlm.nih.gov/nuccore/CP000304.1?report=graph&amp;tracks=[key:gene_model_track,Options:GeneOnly]&amp;mk=421839:421858|offset_0|444444,421861:421880|offset_22|444444,421894:421913|offset_55|00cc00,421915:421934|offset_76|444444&amp;v=421638:422134&amp;c=444444", "offset 55")</f>
        <v>offset 55</v>
      </c>
    </row>
    <row r="1438" customFormat="false" ht="12.8" hidden="false" customHeight="false" outlineLevel="0" collapsed="false">
      <c r="A1438" s="0" t="s">
        <v>12</v>
      </c>
      <c r="B1438" s="0" t="n">
        <v>421914</v>
      </c>
      <c r="C1438" s="0" t="n">
        <v>421934</v>
      </c>
      <c r="D1438" s="0" t="s">
        <v>4787</v>
      </c>
      <c r="E1438" s="0" t="s">
        <v>89</v>
      </c>
      <c r="F1438" s="0" t="s">
        <v>15</v>
      </c>
      <c r="G1438" s="0" t="s">
        <v>16</v>
      </c>
      <c r="H1438" s="0" t="n">
        <v>76</v>
      </c>
      <c r="I1438" s="0" t="s">
        <v>4797</v>
      </c>
      <c r="J1438" s="0" t="s">
        <v>4798</v>
      </c>
      <c r="K1438" s="0" t="s">
        <v>4799</v>
      </c>
      <c r="L1438" s="0" t="str">
        <f aca="false">HYPERLINK("https://www.ncbi.nlm.nih.gov/nuccore/CP000304.1?report=graph&amp;tracks=[key:gene_model_track,Options:GeneOnly]&amp;mk=421839:421858|offset_0|444444,421861:421880|offset_22|444444,421894:421913|offset_55|444444,421915:421934|offset_76|00cc00&amp;v=421638:422134&amp;c=444444", "offset 76")</f>
        <v>offset 76</v>
      </c>
    </row>
    <row r="1439" customFormat="false" ht="12.8" hidden="false" customHeight="false" outlineLevel="0" collapsed="false">
      <c r="A1439" s="0" t="s">
        <v>12</v>
      </c>
      <c r="B1439" s="0" t="n">
        <v>422988</v>
      </c>
      <c r="C1439" s="0" t="n">
        <v>423008</v>
      </c>
      <c r="D1439" s="0" t="s">
        <v>4800</v>
      </c>
      <c r="E1439" s="0" t="s">
        <v>89</v>
      </c>
      <c r="F1439" s="0" t="s">
        <v>90</v>
      </c>
      <c r="G1439" s="0" t="s">
        <v>32</v>
      </c>
      <c r="H1439" s="0" t="n">
        <v>1</v>
      </c>
      <c r="I1439" s="0" t="s">
        <v>4801</v>
      </c>
      <c r="J1439" s="0" t="s">
        <v>4802</v>
      </c>
      <c r="K1439" s="0" t="s">
        <v>4803</v>
      </c>
      <c r="L1439" s="0" t="str">
        <f aca="false">HYPERLINK("https://www.ncbi.nlm.nih.gov/nuccore/CP000304.1?report=graph&amp;tracks=[key:gene_model_track,Options:GeneOnly]&amp;mk=422989:423008|offset_1|00cc00,422957:422976|offset_33|444444,422937:422956|offset_53|444444,422908:422927|offset_82|444444&amp;v=422788:423127&amp;c=444444", "offset 1")</f>
        <v>offset 1</v>
      </c>
    </row>
    <row r="1440" customFormat="false" ht="12.8" hidden="false" customHeight="false" outlineLevel="0" collapsed="false">
      <c r="A1440" s="0" t="s">
        <v>12</v>
      </c>
      <c r="B1440" s="0" t="n">
        <v>422956</v>
      </c>
      <c r="C1440" s="0" t="n">
        <v>422976</v>
      </c>
      <c r="D1440" s="0" t="s">
        <v>4800</v>
      </c>
      <c r="E1440" s="0" t="s">
        <v>89</v>
      </c>
      <c r="F1440" s="0" t="s">
        <v>90</v>
      </c>
      <c r="G1440" s="0" t="s">
        <v>36</v>
      </c>
      <c r="H1440" s="0" t="n">
        <v>33</v>
      </c>
      <c r="I1440" s="0" t="s">
        <v>4804</v>
      </c>
      <c r="J1440" s="0" t="s">
        <v>4805</v>
      </c>
      <c r="K1440" s="0" t="s">
        <v>4806</v>
      </c>
      <c r="L1440" s="0" t="str">
        <f aca="false">HYPERLINK("https://www.ncbi.nlm.nih.gov/nuccore/CP000304.1?report=graph&amp;tracks=[key:gene_model_track,Options:GeneOnly]&amp;mk=422989:423008|offset_1|444444,422957:422976|offset_33|00cc00,422937:422956|offset_53|444444,422908:422927|offset_82|444444&amp;v=422788:423127&amp;c=444444", "offset 33")</f>
        <v>offset 33</v>
      </c>
    </row>
    <row r="1441" customFormat="false" ht="12.8" hidden="false" customHeight="false" outlineLevel="0" collapsed="false">
      <c r="A1441" s="0" t="s">
        <v>12</v>
      </c>
      <c r="B1441" s="0" t="n">
        <v>422936</v>
      </c>
      <c r="C1441" s="0" t="n">
        <v>422956</v>
      </c>
      <c r="D1441" s="0" t="s">
        <v>4800</v>
      </c>
      <c r="E1441" s="0" t="s">
        <v>89</v>
      </c>
      <c r="F1441" s="0" t="s">
        <v>90</v>
      </c>
      <c r="G1441" s="0" t="s">
        <v>26</v>
      </c>
      <c r="H1441" s="0" t="n">
        <v>53</v>
      </c>
      <c r="I1441" s="0" t="s">
        <v>4807</v>
      </c>
      <c r="J1441" s="0" t="s">
        <v>4808</v>
      </c>
      <c r="K1441" s="0" t="s">
        <v>4809</v>
      </c>
      <c r="L1441" s="0" t="str">
        <f aca="false">HYPERLINK("https://www.ncbi.nlm.nih.gov/nuccore/CP000304.1?report=graph&amp;tracks=[key:gene_model_track,Options:GeneOnly]&amp;mk=422989:423008|offset_1|444444,422957:422976|offset_33|444444,422937:422956|offset_53|00cc00,422908:422927|offset_82|444444&amp;v=422788:423127&amp;c=444444", "offset 53")</f>
        <v>offset 53</v>
      </c>
    </row>
    <row r="1442" customFormat="false" ht="12.8" hidden="false" customHeight="false" outlineLevel="0" collapsed="false">
      <c r="A1442" s="0" t="s">
        <v>12</v>
      </c>
      <c r="B1442" s="0" t="n">
        <v>422907</v>
      </c>
      <c r="C1442" s="0" t="n">
        <v>422927</v>
      </c>
      <c r="D1442" s="0" t="s">
        <v>4800</v>
      </c>
      <c r="E1442" s="0" t="s">
        <v>89</v>
      </c>
      <c r="F1442" s="0" t="s">
        <v>90</v>
      </c>
      <c r="G1442" s="0" t="s">
        <v>36</v>
      </c>
      <c r="H1442" s="0" t="n">
        <v>82</v>
      </c>
      <c r="I1442" s="0" t="s">
        <v>4810</v>
      </c>
      <c r="J1442" s="0" t="s">
        <v>4811</v>
      </c>
      <c r="K1442" s="0" t="s">
        <v>4812</v>
      </c>
      <c r="L1442" s="0" t="str">
        <f aca="false">HYPERLINK("https://www.ncbi.nlm.nih.gov/nuccore/CP000304.1?report=graph&amp;tracks=[key:gene_model_track,Options:GeneOnly]&amp;mk=422989:423008|offset_1|444444,422957:422976|offset_33|444444,422937:422956|offset_53|444444,422908:422927|offset_82|00cc00&amp;v=422788:423127&amp;c=444444", "offset 82")</f>
        <v>offset 82</v>
      </c>
    </row>
    <row r="1443" customFormat="false" ht="12.8" hidden="false" customHeight="false" outlineLevel="0" collapsed="false">
      <c r="A1443" s="0" t="s">
        <v>12</v>
      </c>
      <c r="B1443" s="0" t="n">
        <v>425444</v>
      </c>
      <c r="C1443" s="0" t="n">
        <v>425464</v>
      </c>
      <c r="D1443" s="0" t="s">
        <v>4813</v>
      </c>
      <c r="E1443" s="0" t="s">
        <v>89</v>
      </c>
      <c r="F1443" s="0" t="s">
        <v>90</v>
      </c>
      <c r="G1443" s="0" t="s">
        <v>36</v>
      </c>
      <c r="H1443" s="0" t="n">
        <v>38</v>
      </c>
      <c r="I1443" s="0" t="s">
        <v>4814</v>
      </c>
      <c r="J1443" s="0" t="s">
        <v>4815</v>
      </c>
      <c r="K1443" s="0" t="s">
        <v>4816</v>
      </c>
      <c r="L1443" s="0" t="str">
        <f aca="false">HYPERLINK("https://www.ncbi.nlm.nih.gov/nuccore/CP000304.1?report=graph&amp;tracks=[key:gene_model_track,Options:GeneOnly]&amp;mk=425445:425464|offset_38|00cc00,425416:425435|offset_67|444444,425394:425413|offset_89|444444,425373:425392|offset_110|444444&amp;v=425244:425592&amp;c=444444", "offset 38")</f>
        <v>offset 38</v>
      </c>
    </row>
    <row r="1444" customFormat="false" ht="12.8" hidden="false" customHeight="false" outlineLevel="0" collapsed="false">
      <c r="A1444" s="0" t="s">
        <v>12</v>
      </c>
      <c r="B1444" s="0" t="n">
        <v>425415</v>
      </c>
      <c r="C1444" s="0" t="n">
        <v>425435</v>
      </c>
      <c r="D1444" s="0" t="s">
        <v>4813</v>
      </c>
      <c r="E1444" s="0" t="s">
        <v>89</v>
      </c>
      <c r="F1444" s="0" t="s">
        <v>90</v>
      </c>
      <c r="G1444" s="0" t="s">
        <v>26</v>
      </c>
      <c r="H1444" s="0" t="n">
        <v>67</v>
      </c>
      <c r="I1444" s="0" t="s">
        <v>4817</v>
      </c>
      <c r="J1444" s="0" t="s">
        <v>4818</v>
      </c>
      <c r="K1444" s="0" t="s">
        <v>4819</v>
      </c>
      <c r="L1444" s="0" t="str">
        <f aca="false">HYPERLINK("https://www.ncbi.nlm.nih.gov/nuccore/CP000304.1?report=graph&amp;tracks=[key:gene_model_track,Options:GeneOnly]&amp;mk=425445:425464|offset_38|444444,425416:425435|offset_67|00cc00,425394:425413|offset_89|444444,425373:425392|offset_110|444444&amp;v=425244:425592&amp;c=444444", "offset 67")</f>
        <v>offset 67</v>
      </c>
    </row>
    <row r="1445" customFormat="false" ht="12.8" hidden="false" customHeight="false" outlineLevel="0" collapsed="false">
      <c r="A1445" s="0" t="s">
        <v>12</v>
      </c>
      <c r="B1445" s="0" t="n">
        <v>425393</v>
      </c>
      <c r="C1445" s="0" t="n">
        <v>425413</v>
      </c>
      <c r="D1445" s="0" t="s">
        <v>4813</v>
      </c>
      <c r="E1445" s="0" t="s">
        <v>89</v>
      </c>
      <c r="F1445" s="0" t="s">
        <v>90</v>
      </c>
      <c r="G1445" s="0" t="s">
        <v>32</v>
      </c>
      <c r="H1445" s="0" t="n">
        <v>89</v>
      </c>
      <c r="I1445" s="0" t="s">
        <v>4820</v>
      </c>
      <c r="J1445" s="0" t="s">
        <v>4821</v>
      </c>
      <c r="K1445" s="0" t="s">
        <v>4822</v>
      </c>
      <c r="L1445" s="0" t="str">
        <f aca="false">HYPERLINK("https://www.ncbi.nlm.nih.gov/nuccore/CP000304.1?report=graph&amp;tracks=[key:gene_model_track,Options:GeneOnly]&amp;mk=425445:425464|offset_38|444444,425416:425435|offset_67|444444,425394:425413|offset_89|00cc00,425373:425392|offset_110|444444&amp;v=425244:425592&amp;c=444444", "offset 89")</f>
        <v>offset 89</v>
      </c>
    </row>
    <row r="1446" customFormat="false" ht="12.8" hidden="false" customHeight="false" outlineLevel="0" collapsed="false">
      <c r="A1446" s="0" t="s">
        <v>12</v>
      </c>
      <c r="B1446" s="0" t="n">
        <v>425372</v>
      </c>
      <c r="C1446" s="0" t="n">
        <v>425392</v>
      </c>
      <c r="D1446" s="0" t="s">
        <v>4813</v>
      </c>
      <c r="E1446" s="0" t="s">
        <v>89</v>
      </c>
      <c r="F1446" s="0" t="s">
        <v>90</v>
      </c>
      <c r="G1446" s="0" t="s">
        <v>26</v>
      </c>
      <c r="H1446" s="0" t="n">
        <v>110</v>
      </c>
      <c r="I1446" s="0" t="s">
        <v>4823</v>
      </c>
      <c r="J1446" s="0" t="s">
        <v>4824</v>
      </c>
      <c r="K1446" s="0" t="s">
        <v>4825</v>
      </c>
      <c r="L1446" s="0" t="str">
        <f aca="false">HYPERLINK("https://www.ncbi.nlm.nih.gov/nuccore/CP000304.1?report=graph&amp;tracks=[key:gene_model_track,Options:GeneOnly]&amp;mk=425445:425464|offset_38|444444,425416:425435|offset_67|444444,425394:425413|offset_89|444444,425373:425392|offset_110|00cc00&amp;v=425244:425592&amp;c=444444", "offset 110")</f>
        <v>offset 110</v>
      </c>
    </row>
    <row r="1447" customFormat="false" ht="12.8" hidden="false" customHeight="false" outlineLevel="0" collapsed="false">
      <c r="A1447" s="0" t="s">
        <v>12</v>
      </c>
      <c r="B1447" s="0" t="n">
        <v>426554</v>
      </c>
      <c r="C1447" s="0" t="n">
        <v>426574</v>
      </c>
      <c r="D1447" s="0" t="s">
        <v>4826</v>
      </c>
      <c r="E1447" s="0" t="s">
        <v>89</v>
      </c>
      <c r="F1447" s="0" t="s">
        <v>90</v>
      </c>
      <c r="G1447" s="0" t="s">
        <v>36</v>
      </c>
      <c r="H1447" s="0" t="n">
        <v>0</v>
      </c>
      <c r="I1447" s="0" t="s">
        <v>4827</v>
      </c>
      <c r="J1447" s="0" t="s">
        <v>4828</v>
      </c>
      <c r="K1447" s="0" t="s">
        <v>4829</v>
      </c>
      <c r="L1447" s="0" t="str">
        <f aca="false">HYPERLINK("https://www.ncbi.nlm.nih.gov/nuccore/CP000304.1?report=graph&amp;tracks=[key:gene_model_track,Options:GeneOnly]&amp;mk=426555:426574|offset_0|00cc00,426534:426553|offset_21|444444,426494:426513|offset_61|444444,426473:426492|offset_82|444444&amp;v=426354:426692&amp;c=444444", "offset 0")</f>
        <v>offset 0</v>
      </c>
    </row>
    <row r="1448" customFormat="false" ht="12.8" hidden="false" customHeight="false" outlineLevel="0" collapsed="false">
      <c r="A1448" s="0" t="s">
        <v>12</v>
      </c>
      <c r="B1448" s="0" t="n">
        <v>426533</v>
      </c>
      <c r="C1448" s="0" t="n">
        <v>426553</v>
      </c>
      <c r="D1448" s="0" t="s">
        <v>4826</v>
      </c>
      <c r="E1448" s="0" t="s">
        <v>89</v>
      </c>
      <c r="F1448" s="0" t="s">
        <v>90</v>
      </c>
      <c r="G1448" s="0" t="s">
        <v>36</v>
      </c>
      <c r="H1448" s="0" t="n">
        <v>21</v>
      </c>
      <c r="I1448" s="0" t="s">
        <v>4830</v>
      </c>
      <c r="J1448" s="0" t="s">
        <v>4831</v>
      </c>
      <c r="K1448" s="0" t="s">
        <v>4832</v>
      </c>
      <c r="L1448" s="0" t="str">
        <f aca="false">HYPERLINK("https://www.ncbi.nlm.nih.gov/nuccore/CP000304.1?report=graph&amp;tracks=[key:gene_model_track,Options:GeneOnly]&amp;mk=426555:426574|offset_0|444444,426534:426553|offset_21|00cc00,426494:426513|offset_61|444444,426473:426492|offset_82|444444&amp;v=426354:426692&amp;c=444444", "offset 21")</f>
        <v>offset 21</v>
      </c>
    </row>
    <row r="1449" customFormat="false" ht="12.8" hidden="false" customHeight="false" outlineLevel="0" collapsed="false">
      <c r="A1449" s="0" t="s">
        <v>12</v>
      </c>
      <c r="B1449" s="0" t="n">
        <v>426493</v>
      </c>
      <c r="C1449" s="0" t="n">
        <v>426513</v>
      </c>
      <c r="D1449" s="0" t="s">
        <v>4826</v>
      </c>
      <c r="E1449" s="0" t="s">
        <v>89</v>
      </c>
      <c r="F1449" s="0" t="s">
        <v>90</v>
      </c>
      <c r="G1449" s="0" t="s">
        <v>16</v>
      </c>
      <c r="H1449" s="0" t="n">
        <v>61</v>
      </c>
      <c r="I1449" s="0" t="s">
        <v>4833</v>
      </c>
      <c r="J1449" s="0" t="s">
        <v>4834</v>
      </c>
      <c r="K1449" s="0" t="s">
        <v>4835</v>
      </c>
      <c r="L1449" s="0" t="str">
        <f aca="false">HYPERLINK("https://www.ncbi.nlm.nih.gov/nuccore/CP000304.1?report=graph&amp;tracks=[key:gene_model_track,Options:GeneOnly]&amp;mk=426555:426574|offset_0|444444,426534:426553|offset_21|444444,426494:426513|offset_61|00cc00,426473:426492|offset_82|444444&amp;v=426354:426692&amp;c=444444", "offset 61")</f>
        <v>offset 61</v>
      </c>
    </row>
    <row r="1450" customFormat="false" ht="12.8" hidden="false" customHeight="false" outlineLevel="0" collapsed="false">
      <c r="A1450" s="0" t="s">
        <v>12</v>
      </c>
      <c r="B1450" s="0" t="n">
        <v>426472</v>
      </c>
      <c r="C1450" s="0" t="n">
        <v>426492</v>
      </c>
      <c r="D1450" s="0" t="s">
        <v>4826</v>
      </c>
      <c r="E1450" s="0" t="s">
        <v>89</v>
      </c>
      <c r="F1450" s="0" t="s">
        <v>90</v>
      </c>
      <c r="G1450" s="0" t="s">
        <v>32</v>
      </c>
      <c r="H1450" s="0" t="n">
        <v>82</v>
      </c>
      <c r="I1450" s="0" t="s">
        <v>4836</v>
      </c>
      <c r="J1450" s="0" t="s">
        <v>4837</v>
      </c>
      <c r="K1450" s="0" t="s">
        <v>4838</v>
      </c>
      <c r="L1450" s="0" t="str">
        <f aca="false">HYPERLINK("https://www.ncbi.nlm.nih.gov/nuccore/CP000304.1?report=graph&amp;tracks=[key:gene_model_track,Options:GeneOnly]&amp;mk=426555:426574|offset_0|444444,426534:426553|offset_21|444444,426494:426513|offset_61|444444,426473:426492|offset_82|00cc00&amp;v=426354:426692&amp;c=444444", "offset 82")</f>
        <v>offset 82</v>
      </c>
    </row>
    <row r="1451" customFormat="false" ht="12.8" hidden="false" customHeight="false" outlineLevel="0" collapsed="false">
      <c r="A1451" s="0" t="s">
        <v>12</v>
      </c>
      <c r="B1451" s="0" t="n">
        <v>426795</v>
      </c>
      <c r="C1451" s="0" t="n">
        <v>426815</v>
      </c>
      <c r="D1451" s="0" t="s">
        <v>4839</v>
      </c>
      <c r="E1451" s="0" t="s">
        <v>89</v>
      </c>
      <c r="F1451" s="0" t="s">
        <v>15</v>
      </c>
      <c r="G1451" s="0" t="s">
        <v>32</v>
      </c>
      <c r="H1451" s="0" t="n">
        <v>1</v>
      </c>
      <c r="I1451" s="0" t="s">
        <v>4840</v>
      </c>
      <c r="J1451" s="0" t="s">
        <v>4841</v>
      </c>
      <c r="K1451" s="0" t="s">
        <v>4842</v>
      </c>
      <c r="L1451" s="0" t="str">
        <f aca="false">HYPERLINK("https://www.ncbi.nlm.nih.gov/nuccore/CP000304.1?report=graph&amp;tracks=[key:gene_model_track,Options:GeneOnly]&amp;mk=426796:426815|offset_1|00cc00,426818:426837|offset_23|444444,426850:426869|offset_55|444444,426880:426899|offset_85|444444&amp;v=426595:427099&amp;c=444444", "offset 1")</f>
        <v>offset 1</v>
      </c>
    </row>
    <row r="1452" customFormat="false" ht="12.8" hidden="false" customHeight="false" outlineLevel="0" collapsed="false">
      <c r="A1452" s="0" t="s">
        <v>12</v>
      </c>
      <c r="B1452" s="0" t="n">
        <v>426817</v>
      </c>
      <c r="C1452" s="0" t="n">
        <v>426837</v>
      </c>
      <c r="D1452" s="0" t="s">
        <v>4839</v>
      </c>
      <c r="E1452" s="0" t="s">
        <v>89</v>
      </c>
      <c r="F1452" s="0" t="s">
        <v>15</v>
      </c>
      <c r="G1452" s="0" t="s">
        <v>36</v>
      </c>
      <c r="H1452" s="0" t="n">
        <v>23</v>
      </c>
      <c r="I1452" s="0" t="s">
        <v>4843</v>
      </c>
      <c r="J1452" s="0" t="s">
        <v>4844</v>
      </c>
      <c r="K1452" s="0" t="s">
        <v>4845</v>
      </c>
      <c r="L1452" s="0" t="str">
        <f aca="false">HYPERLINK("https://www.ncbi.nlm.nih.gov/nuccore/CP000304.1?report=graph&amp;tracks=[key:gene_model_track,Options:GeneOnly]&amp;mk=426796:426815|offset_1|444444,426818:426837|offset_23|00cc00,426850:426869|offset_55|444444,426880:426899|offset_85|444444&amp;v=426595:427099&amp;c=444444", "offset 23")</f>
        <v>offset 23</v>
      </c>
    </row>
    <row r="1453" customFormat="false" ht="12.8" hidden="false" customHeight="false" outlineLevel="0" collapsed="false">
      <c r="A1453" s="0" t="s">
        <v>12</v>
      </c>
      <c r="B1453" s="0" t="n">
        <v>426849</v>
      </c>
      <c r="C1453" s="0" t="n">
        <v>426869</v>
      </c>
      <c r="D1453" s="0" t="s">
        <v>4839</v>
      </c>
      <c r="E1453" s="0" t="s">
        <v>89</v>
      </c>
      <c r="F1453" s="0" t="s">
        <v>15</v>
      </c>
      <c r="G1453" s="0" t="s">
        <v>16</v>
      </c>
      <c r="H1453" s="0" t="n">
        <v>55</v>
      </c>
      <c r="I1453" s="0" t="s">
        <v>4846</v>
      </c>
      <c r="J1453" s="0" t="s">
        <v>4847</v>
      </c>
      <c r="K1453" s="0" t="s">
        <v>4848</v>
      </c>
      <c r="L1453" s="0" t="str">
        <f aca="false">HYPERLINK("https://www.ncbi.nlm.nih.gov/nuccore/CP000304.1?report=graph&amp;tracks=[key:gene_model_track,Options:GeneOnly]&amp;mk=426796:426815|offset_1|444444,426818:426837|offset_23|444444,426850:426869|offset_55|00cc00,426880:426899|offset_85|444444&amp;v=426595:427099&amp;c=444444", "offset 55")</f>
        <v>offset 55</v>
      </c>
    </row>
    <row r="1454" customFormat="false" ht="12.8" hidden="false" customHeight="false" outlineLevel="0" collapsed="false">
      <c r="A1454" s="0" t="s">
        <v>12</v>
      </c>
      <c r="B1454" s="0" t="n">
        <v>426879</v>
      </c>
      <c r="C1454" s="0" t="n">
        <v>426899</v>
      </c>
      <c r="D1454" s="0" t="s">
        <v>4839</v>
      </c>
      <c r="E1454" s="0" t="s">
        <v>89</v>
      </c>
      <c r="F1454" s="0" t="s">
        <v>15</v>
      </c>
      <c r="G1454" s="0" t="s">
        <v>16</v>
      </c>
      <c r="H1454" s="0" t="n">
        <v>85</v>
      </c>
      <c r="I1454" s="0" t="s">
        <v>4849</v>
      </c>
      <c r="J1454" s="0" t="s">
        <v>4850</v>
      </c>
      <c r="K1454" s="0" t="s">
        <v>4851</v>
      </c>
      <c r="L1454" s="0" t="str">
        <f aca="false">HYPERLINK("https://www.ncbi.nlm.nih.gov/nuccore/CP000304.1?report=graph&amp;tracks=[key:gene_model_track,Options:GeneOnly]&amp;mk=426796:426815|offset_1|444444,426818:426837|offset_23|444444,426850:426869|offset_55|444444,426880:426899|offset_85|00cc00&amp;v=426595:427099&amp;c=444444", "offset 85")</f>
        <v>offset 85</v>
      </c>
    </row>
    <row r="1455" customFormat="false" ht="12.8" hidden="false" customHeight="false" outlineLevel="0" collapsed="false">
      <c r="A1455" s="0" t="s">
        <v>12</v>
      </c>
      <c r="B1455" s="0" t="n">
        <v>427467</v>
      </c>
      <c r="C1455" s="0" t="n">
        <v>427487</v>
      </c>
      <c r="D1455" s="0" t="s">
        <v>4852</v>
      </c>
      <c r="E1455" s="0" t="s">
        <v>89</v>
      </c>
      <c r="F1455" s="0" t="s">
        <v>15</v>
      </c>
      <c r="G1455" s="0" t="s">
        <v>32</v>
      </c>
      <c r="H1455" s="0" t="n">
        <v>8</v>
      </c>
      <c r="I1455" s="0" t="s">
        <v>4853</v>
      </c>
      <c r="J1455" s="0" t="s">
        <v>4854</v>
      </c>
      <c r="K1455" s="0" t="s">
        <v>4855</v>
      </c>
      <c r="L1455" s="0" t="str">
        <f aca="false">HYPERLINK("https://www.ncbi.nlm.nih.gov/nuccore/CP000304.1?report=graph&amp;tracks=[key:gene_model_track,Options:GeneOnly]&amp;mk=427468:427487|offset_8|00cc00,427498:427517|offset_38|444444,427525:427544|offset_65|444444,427585:427604|offset_125|444444&amp;v=427267:427804&amp;c=444444", "offset 8")</f>
        <v>offset 8</v>
      </c>
    </row>
    <row r="1456" customFormat="false" ht="12.8" hidden="false" customHeight="false" outlineLevel="0" collapsed="false">
      <c r="A1456" s="0" t="s">
        <v>12</v>
      </c>
      <c r="B1456" s="0" t="n">
        <v>427497</v>
      </c>
      <c r="C1456" s="0" t="n">
        <v>427517</v>
      </c>
      <c r="D1456" s="0" t="s">
        <v>4852</v>
      </c>
      <c r="E1456" s="0" t="s">
        <v>89</v>
      </c>
      <c r="F1456" s="0" t="s">
        <v>15</v>
      </c>
      <c r="G1456" s="0" t="s">
        <v>26</v>
      </c>
      <c r="H1456" s="0" t="n">
        <v>38</v>
      </c>
      <c r="I1456" s="0" t="s">
        <v>4856</v>
      </c>
      <c r="J1456" s="0" t="s">
        <v>4857</v>
      </c>
      <c r="K1456" s="0" t="s">
        <v>4858</v>
      </c>
      <c r="L1456" s="0" t="str">
        <f aca="false">HYPERLINK("https://www.ncbi.nlm.nih.gov/nuccore/CP000304.1?report=graph&amp;tracks=[key:gene_model_track,Options:GeneOnly]&amp;mk=427468:427487|offset_8|444444,427498:427517|offset_38|00cc00,427525:427544|offset_65|444444,427585:427604|offset_125|444444&amp;v=427267:427804&amp;c=444444", "offset 38")</f>
        <v>offset 38</v>
      </c>
    </row>
    <row r="1457" customFormat="false" ht="12.8" hidden="false" customHeight="false" outlineLevel="0" collapsed="false">
      <c r="A1457" s="0" t="s">
        <v>12</v>
      </c>
      <c r="B1457" s="0" t="n">
        <v>427524</v>
      </c>
      <c r="C1457" s="0" t="n">
        <v>427544</v>
      </c>
      <c r="D1457" s="0" t="s">
        <v>4852</v>
      </c>
      <c r="E1457" s="0" t="s">
        <v>89</v>
      </c>
      <c r="F1457" s="0" t="s">
        <v>15</v>
      </c>
      <c r="G1457" s="0" t="s">
        <v>26</v>
      </c>
      <c r="H1457" s="0" t="n">
        <v>65</v>
      </c>
      <c r="I1457" s="0" t="s">
        <v>4859</v>
      </c>
      <c r="J1457" s="0" t="s">
        <v>4860</v>
      </c>
      <c r="K1457" s="0" t="s">
        <v>4861</v>
      </c>
      <c r="L1457" s="0" t="str">
        <f aca="false">HYPERLINK("https://www.ncbi.nlm.nih.gov/nuccore/CP000304.1?report=graph&amp;tracks=[key:gene_model_track,Options:GeneOnly]&amp;mk=427468:427487|offset_8|444444,427498:427517|offset_38|444444,427525:427544|offset_65|00cc00,427585:427604|offset_125|444444&amp;v=427267:427804&amp;c=444444", "offset 65")</f>
        <v>offset 65</v>
      </c>
    </row>
    <row r="1458" customFormat="false" ht="12.8" hidden="false" customHeight="false" outlineLevel="0" collapsed="false">
      <c r="A1458" s="0" t="s">
        <v>12</v>
      </c>
      <c r="B1458" s="0" t="n">
        <v>427584</v>
      </c>
      <c r="C1458" s="0" t="n">
        <v>427604</v>
      </c>
      <c r="D1458" s="0" t="s">
        <v>4852</v>
      </c>
      <c r="E1458" s="0" t="s">
        <v>89</v>
      </c>
      <c r="F1458" s="0" t="s">
        <v>15</v>
      </c>
      <c r="G1458" s="0" t="s">
        <v>16</v>
      </c>
      <c r="H1458" s="0" t="n">
        <v>125</v>
      </c>
      <c r="I1458" s="0" t="s">
        <v>4862</v>
      </c>
      <c r="J1458" s="0" t="s">
        <v>4863</v>
      </c>
      <c r="K1458" s="0" t="s">
        <v>4864</v>
      </c>
      <c r="L1458" s="0" t="str">
        <f aca="false">HYPERLINK("https://www.ncbi.nlm.nih.gov/nuccore/CP000304.1?report=graph&amp;tracks=[key:gene_model_track,Options:GeneOnly]&amp;mk=427468:427487|offset_8|444444,427498:427517|offset_38|444444,427525:427544|offset_65|444444,427585:427604|offset_125|00cc00&amp;v=427267:427804&amp;c=444444", "offset 125")</f>
        <v>offset 125</v>
      </c>
    </row>
    <row r="1459" customFormat="false" ht="12.8" hidden="false" customHeight="false" outlineLevel="0" collapsed="false">
      <c r="A1459" s="0" t="s">
        <v>12</v>
      </c>
      <c r="B1459" s="0" t="n">
        <v>428236</v>
      </c>
      <c r="C1459" s="0" t="n">
        <v>428256</v>
      </c>
      <c r="D1459" s="0" t="s">
        <v>4865</v>
      </c>
      <c r="E1459" s="0" t="s">
        <v>89</v>
      </c>
      <c r="F1459" s="0" t="s">
        <v>15</v>
      </c>
      <c r="G1459" s="0" t="s">
        <v>36</v>
      </c>
      <c r="H1459" s="0" t="n">
        <v>10</v>
      </c>
      <c r="I1459" s="0" t="s">
        <v>4866</v>
      </c>
      <c r="J1459" s="0" t="s">
        <v>4867</v>
      </c>
      <c r="K1459" s="0" t="s">
        <v>4868</v>
      </c>
      <c r="L1459" s="0" t="str">
        <f aca="false">HYPERLINK("https://www.ncbi.nlm.nih.gov/nuccore/CP000304.1?report=graph&amp;tracks=[key:gene_model_track,Options:GeneOnly]&amp;mk=428237:428256|offset_10|00cc00,428257:428276|offset_30|444444,428305:428324|offset_78|444444,428334:428353|offset_107|444444&amp;v=428036:428553&amp;c=444444", "offset 10")</f>
        <v>offset 10</v>
      </c>
    </row>
    <row r="1460" customFormat="false" ht="12.8" hidden="false" customHeight="false" outlineLevel="0" collapsed="false">
      <c r="A1460" s="0" t="s">
        <v>12</v>
      </c>
      <c r="B1460" s="0" t="n">
        <v>428256</v>
      </c>
      <c r="C1460" s="0" t="n">
        <v>428276</v>
      </c>
      <c r="D1460" s="0" t="s">
        <v>4865</v>
      </c>
      <c r="E1460" s="0" t="s">
        <v>89</v>
      </c>
      <c r="F1460" s="0" t="s">
        <v>15</v>
      </c>
      <c r="G1460" s="0" t="s">
        <v>26</v>
      </c>
      <c r="H1460" s="0" t="n">
        <v>30</v>
      </c>
      <c r="I1460" s="0" t="s">
        <v>4869</v>
      </c>
      <c r="J1460" s="0" t="s">
        <v>4870</v>
      </c>
      <c r="K1460" s="0" t="s">
        <v>4871</v>
      </c>
      <c r="L1460" s="0" t="str">
        <f aca="false">HYPERLINK("https://www.ncbi.nlm.nih.gov/nuccore/CP000304.1?report=graph&amp;tracks=[key:gene_model_track,Options:GeneOnly]&amp;mk=428237:428256|offset_10|444444,428257:428276|offset_30|00cc00,428305:428324|offset_78|444444,428334:428353|offset_107|444444&amp;v=428036:428553&amp;c=444444", "offset 30")</f>
        <v>offset 30</v>
      </c>
    </row>
    <row r="1461" customFormat="false" ht="12.8" hidden="false" customHeight="false" outlineLevel="0" collapsed="false">
      <c r="A1461" s="0" t="s">
        <v>12</v>
      </c>
      <c r="B1461" s="0" t="n">
        <v>428304</v>
      </c>
      <c r="C1461" s="0" t="n">
        <v>428324</v>
      </c>
      <c r="D1461" s="0" t="s">
        <v>4865</v>
      </c>
      <c r="E1461" s="0" t="s">
        <v>89</v>
      </c>
      <c r="F1461" s="0" t="s">
        <v>15</v>
      </c>
      <c r="G1461" s="0" t="s">
        <v>16</v>
      </c>
      <c r="H1461" s="0" t="n">
        <v>78</v>
      </c>
      <c r="I1461" s="0" t="s">
        <v>4872</v>
      </c>
      <c r="J1461" s="0" t="s">
        <v>4873</v>
      </c>
      <c r="K1461" s="0" t="s">
        <v>4874</v>
      </c>
      <c r="L1461" s="0" t="str">
        <f aca="false">HYPERLINK("https://www.ncbi.nlm.nih.gov/nuccore/CP000304.1?report=graph&amp;tracks=[key:gene_model_track,Options:GeneOnly]&amp;mk=428237:428256|offset_10|444444,428257:428276|offset_30|444444,428305:428324|offset_78|00cc00,428334:428353|offset_107|444444&amp;v=428036:428553&amp;c=444444", "offset 78")</f>
        <v>offset 78</v>
      </c>
    </row>
    <row r="1462" customFormat="false" ht="12.8" hidden="false" customHeight="false" outlineLevel="0" collapsed="false">
      <c r="A1462" s="0" t="s">
        <v>12</v>
      </c>
      <c r="B1462" s="0" t="n">
        <v>428333</v>
      </c>
      <c r="C1462" s="0" t="n">
        <v>428353</v>
      </c>
      <c r="D1462" s="0" t="s">
        <v>4865</v>
      </c>
      <c r="E1462" s="0" t="s">
        <v>89</v>
      </c>
      <c r="F1462" s="0" t="s">
        <v>15</v>
      </c>
      <c r="G1462" s="0" t="s">
        <v>26</v>
      </c>
      <c r="H1462" s="0" t="n">
        <v>107</v>
      </c>
      <c r="I1462" s="0" t="s">
        <v>4875</v>
      </c>
      <c r="J1462" s="0" t="s">
        <v>4876</v>
      </c>
      <c r="K1462" s="0" t="s">
        <v>4877</v>
      </c>
      <c r="L1462" s="0" t="str">
        <f aca="false">HYPERLINK("https://www.ncbi.nlm.nih.gov/nuccore/CP000304.1?report=graph&amp;tracks=[key:gene_model_track,Options:GeneOnly]&amp;mk=428237:428256|offset_10|444444,428257:428276|offset_30|444444,428305:428324|offset_78|444444,428334:428353|offset_107|00cc00&amp;v=428036:428553&amp;c=444444", "offset 107")</f>
        <v>offset 107</v>
      </c>
    </row>
    <row r="1463" customFormat="false" ht="12.8" hidden="false" customHeight="false" outlineLevel="0" collapsed="false">
      <c r="A1463" s="0" t="s">
        <v>12</v>
      </c>
      <c r="B1463" s="0" t="n">
        <v>429615</v>
      </c>
      <c r="C1463" s="0" t="n">
        <v>429635</v>
      </c>
      <c r="D1463" s="0" t="s">
        <v>4878</v>
      </c>
      <c r="E1463" s="0" t="s">
        <v>89</v>
      </c>
      <c r="F1463" s="0" t="s">
        <v>90</v>
      </c>
      <c r="G1463" s="0" t="s">
        <v>16</v>
      </c>
      <c r="H1463" s="0" t="n">
        <v>22</v>
      </c>
      <c r="I1463" s="0" t="s">
        <v>4879</v>
      </c>
      <c r="J1463" s="0" t="s">
        <v>4880</v>
      </c>
      <c r="K1463" s="0" t="s">
        <v>4881</v>
      </c>
      <c r="L1463" s="0" t="str">
        <f aca="false">HYPERLINK("https://www.ncbi.nlm.nih.gov/nuccore/CP000304.1?report=graph&amp;tracks=[key:gene_model_track,Options:GeneOnly]&amp;mk=429616:429635|offset_22|00cc00,429568:429587|offset_70|444444,429541:429560|offset_97|444444,429505:429524|offset_133|444444&amp;v=429415:429724&amp;c=444444", "offset 22")</f>
        <v>offset 22</v>
      </c>
    </row>
    <row r="1464" customFormat="false" ht="12.8" hidden="false" customHeight="false" outlineLevel="0" collapsed="false">
      <c r="A1464" s="0" t="s">
        <v>12</v>
      </c>
      <c r="B1464" s="0" t="n">
        <v>429567</v>
      </c>
      <c r="C1464" s="0" t="n">
        <v>429587</v>
      </c>
      <c r="D1464" s="0" t="s">
        <v>4878</v>
      </c>
      <c r="E1464" s="0" t="s">
        <v>89</v>
      </c>
      <c r="F1464" s="0" t="s">
        <v>90</v>
      </c>
      <c r="G1464" s="0" t="s">
        <v>32</v>
      </c>
      <c r="H1464" s="0" t="n">
        <v>70</v>
      </c>
      <c r="I1464" s="0" t="s">
        <v>4882</v>
      </c>
      <c r="J1464" s="0" t="s">
        <v>4883</v>
      </c>
      <c r="K1464" s="0" t="s">
        <v>4884</v>
      </c>
      <c r="L1464" s="0" t="str">
        <f aca="false">HYPERLINK("https://www.ncbi.nlm.nih.gov/nuccore/CP000304.1?report=graph&amp;tracks=[key:gene_model_track,Options:GeneOnly]&amp;mk=429616:429635|offset_22|444444,429568:429587|offset_70|00cc00,429541:429560|offset_97|444444,429505:429524|offset_133|444444&amp;v=429415:429724&amp;c=444444", "offset 70")</f>
        <v>offset 70</v>
      </c>
    </row>
    <row r="1465" customFormat="false" ht="12.8" hidden="false" customHeight="false" outlineLevel="0" collapsed="false">
      <c r="A1465" s="0" t="s">
        <v>12</v>
      </c>
      <c r="B1465" s="0" t="n">
        <v>429540</v>
      </c>
      <c r="C1465" s="0" t="n">
        <v>429560</v>
      </c>
      <c r="D1465" s="0" t="s">
        <v>4878</v>
      </c>
      <c r="E1465" s="0" t="s">
        <v>89</v>
      </c>
      <c r="F1465" s="0" t="s">
        <v>90</v>
      </c>
      <c r="G1465" s="0" t="s">
        <v>36</v>
      </c>
      <c r="H1465" s="0" t="n">
        <v>97</v>
      </c>
      <c r="I1465" s="0" t="s">
        <v>4885</v>
      </c>
      <c r="J1465" s="0" t="s">
        <v>4886</v>
      </c>
      <c r="K1465" s="0" t="s">
        <v>4887</v>
      </c>
      <c r="L1465" s="0" t="str">
        <f aca="false">HYPERLINK("https://www.ncbi.nlm.nih.gov/nuccore/CP000304.1?report=graph&amp;tracks=[key:gene_model_track,Options:GeneOnly]&amp;mk=429616:429635|offset_22|444444,429568:429587|offset_70|444444,429541:429560|offset_97|00cc00,429505:429524|offset_133|444444&amp;v=429415:429724&amp;c=444444", "offset 97")</f>
        <v>offset 97</v>
      </c>
    </row>
    <row r="1466" customFormat="false" ht="12.8" hidden="false" customHeight="false" outlineLevel="0" collapsed="false">
      <c r="A1466" s="0" t="s">
        <v>12</v>
      </c>
      <c r="B1466" s="0" t="n">
        <v>429504</v>
      </c>
      <c r="C1466" s="0" t="n">
        <v>429524</v>
      </c>
      <c r="D1466" s="0" t="s">
        <v>4878</v>
      </c>
      <c r="E1466" s="0" t="s">
        <v>89</v>
      </c>
      <c r="F1466" s="0" t="s">
        <v>90</v>
      </c>
      <c r="G1466" s="0" t="s">
        <v>32</v>
      </c>
      <c r="H1466" s="0" t="n">
        <v>133</v>
      </c>
      <c r="I1466" s="0" t="s">
        <v>4888</v>
      </c>
      <c r="J1466" s="0" t="s">
        <v>4889</v>
      </c>
      <c r="K1466" s="0" t="s">
        <v>4890</v>
      </c>
      <c r="L1466" s="0" t="str">
        <f aca="false">HYPERLINK("https://www.ncbi.nlm.nih.gov/nuccore/CP000304.1?report=graph&amp;tracks=[key:gene_model_track,Options:GeneOnly]&amp;mk=429616:429635|offset_22|444444,429568:429587|offset_70|444444,429541:429560|offset_97|444444,429505:429524|offset_133|00cc00&amp;v=429415:429724&amp;c=444444", "offset 133")</f>
        <v>offset 133</v>
      </c>
    </row>
    <row r="1467" customFormat="false" ht="12.8" hidden="false" customHeight="false" outlineLevel="0" collapsed="false">
      <c r="A1467" s="0" t="s">
        <v>12</v>
      </c>
      <c r="B1467" s="0" t="n">
        <v>429857</v>
      </c>
      <c r="C1467" s="0" t="n">
        <v>429877</v>
      </c>
      <c r="D1467" s="0" t="s">
        <v>4891</v>
      </c>
      <c r="E1467" s="0" t="s">
        <v>89</v>
      </c>
      <c r="F1467" s="0" t="s">
        <v>90</v>
      </c>
      <c r="G1467" s="0" t="s">
        <v>16</v>
      </c>
      <c r="H1467" s="0" t="n">
        <v>37</v>
      </c>
      <c r="I1467" s="0" t="s">
        <v>4892</v>
      </c>
      <c r="J1467" s="0" t="s">
        <v>4893</v>
      </c>
      <c r="K1467" s="0" t="s">
        <v>4894</v>
      </c>
      <c r="L1467" s="0" t="str">
        <f aca="false">HYPERLINK("https://www.ncbi.nlm.nih.gov/nuccore/CP000304.1?report=graph&amp;tracks=[key:gene_model_track,Options:GeneOnly]&amp;mk=429858:429877|offset_37|00cc00,429829:429848|offset_66|444444,429804:429823|offset_91|444444,429756:429775|offset_139|444444&amp;v=429657:429975&amp;c=444444", "offset 37")</f>
        <v>offset 37</v>
      </c>
    </row>
    <row r="1468" customFormat="false" ht="12.8" hidden="false" customHeight="false" outlineLevel="0" collapsed="false">
      <c r="A1468" s="0" t="s">
        <v>12</v>
      </c>
      <c r="B1468" s="0" t="n">
        <v>429828</v>
      </c>
      <c r="C1468" s="0" t="n">
        <v>429848</v>
      </c>
      <c r="D1468" s="0" t="s">
        <v>4891</v>
      </c>
      <c r="E1468" s="0" t="s">
        <v>89</v>
      </c>
      <c r="F1468" s="0" t="s">
        <v>90</v>
      </c>
      <c r="G1468" s="0" t="s">
        <v>36</v>
      </c>
      <c r="H1468" s="0" t="n">
        <v>66</v>
      </c>
      <c r="I1468" s="0" t="s">
        <v>4895</v>
      </c>
      <c r="J1468" s="0" t="s">
        <v>4896</v>
      </c>
      <c r="K1468" s="0" t="s">
        <v>4897</v>
      </c>
      <c r="L1468" s="0" t="str">
        <f aca="false">HYPERLINK("https://www.ncbi.nlm.nih.gov/nuccore/CP000304.1?report=graph&amp;tracks=[key:gene_model_track,Options:GeneOnly]&amp;mk=429858:429877|offset_37|444444,429829:429848|offset_66|00cc00,429804:429823|offset_91|444444,429756:429775|offset_139|444444&amp;v=429657:429975&amp;c=444444", "offset 66")</f>
        <v>offset 66</v>
      </c>
    </row>
    <row r="1469" customFormat="false" ht="12.8" hidden="false" customHeight="false" outlineLevel="0" collapsed="false">
      <c r="A1469" s="0" t="s">
        <v>12</v>
      </c>
      <c r="B1469" s="0" t="n">
        <v>429803</v>
      </c>
      <c r="C1469" s="0" t="n">
        <v>429823</v>
      </c>
      <c r="D1469" s="0" t="s">
        <v>4891</v>
      </c>
      <c r="E1469" s="0" t="s">
        <v>89</v>
      </c>
      <c r="F1469" s="0" t="s">
        <v>90</v>
      </c>
      <c r="G1469" s="0" t="s">
        <v>36</v>
      </c>
      <c r="H1469" s="0" t="n">
        <v>91</v>
      </c>
      <c r="I1469" s="0" t="s">
        <v>4898</v>
      </c>
      <c r="J1469" s="0" t="s">
        <v>4899</v>
      </c>
      <c r="K1469" s="0" t="s">
        <v>4900</v>
      </c>
      <c r="L1469" s="0" t="str">
        <f aca="false">HYPERLINK("https://www.ncbi.nlm.nih.gov/nuccore/CP000304.1?report=graph&amp;tracks=[key:gene_model_track,Options:GeneOnly]&amp;mk=429858:429877|offset_37|444444,429829:429848|offset_66|444444,429804:429823|offset_91|00cc00,429756:429775|offset_139|444444&amp;v=429657:429975&amp;c=444444", "offset 91")</f>
        <v>offset 91</v>
      </c>
    </row>
    <row r="1470" customFormat="false" ht="12.8" hidden="false" customHeight="false" outlineLevel="0" collapsed="false">
      <c r="A1470" s="0" t="s">
        <v>12</v>
      </c>
      <c r="B1470" s="0" t="n">
        <v>429755</v>
      </c>
      <c r="C1470" s="0" t="n">
        <v>429775</v>
      </c>
      <c r="D1470" s="0" t="s">
        <v>4891</v>
      </c>
      <c r="E1470" s="0" t="s">
        <v>89</v>
      </c>
      <c r="F1470" s="0" t="s">
        <v>90</v>
      </c>
      <c r="G1470" s="0" t="s">
        <v>36</v>
      </c>
      <c r="H1470" s="0" t="n">
        <v>139</v>
      </c>
      <c r="I1470" s="0" t="s">
        <v>4901</v>
      </c>
      <c r="J1470" s="0" t="s">
        <v>4902</v>
      </c>
      <c r="K1470" s="0" t="s">
        <v>4903</v>
      </c>
      <c r="L1470" s="0" t="str">
        <f aca="false">HYPERLINK("https://www.ncbi.nlm.nih.gov/nuccore/CP000304.1?report=graph&amp;tracks=[key:gene_model_track,Options:GeneOnly]&amp;mk=429858:429877|offset_37|444444,429829:429848|offset_66|444444,429804:429823|offset_91|444444,429756:429775|offset_139|00cc00&amp;v=429657:429975&amp;c=444444", "offset 139")</f>
        <v>offset 139</v>
      </c>
    </row>
    <row r="1471" customFormat="false" ht="12.8" hidden="false" customHeight="false" outlineLevel="0" collapsed="false">
      <c r="A1471" s="0" t="s">
        <v>12</v>
      </c>
      <c r="B1471" s="0" t="n">
        <v>431535</v>
      </c>
      <c r="C1471" s="0" t="n">
        <v>431555</v>
      </c>
      <c r="D1471" s="0" t="s">
        <v>4904</v>
      </c>
      <c r="E1471" s="0" t="s">
        <v>4905</v>
      </c>
      <c r="F1471" s="0" t="s">
        <v>90</v>
      </c>
      <c r="G1471" s="0" t="s">
        <v>26</v>
      </c>
      <c r="H1471" s="0" t="n">
        <v>32</v>
      </c>
      <c r="I1471" s="0" t="s">
        <v>4906</v>
      </c>
      <c r="J1471" s="0" t="s">
        <v>4907</v>
      </c>
      <c r="K1471" s="0" t="s">
        <v>4908</v>
      </c>
      <c r="L1471" s="0" t="str">
        <f aca="false">HYPERLINK("https://www.ncbi.nlm.nih.gov/nuccore/CP000304.1?report=graph&amp;tracks=[key:gene_model_track,Options:GeneOnly]&amp;mk=431536:431555|offset_32|00cc00,431501:431520|offset_67|444444,431476:431495|offset_92|444444,431451:431470|offset_117|444444&amp;v=431335:431670&amp;c=444444", "offset 32")</f>
        <v>offset 32</v>
      </c>
    </row>
    <row r="1472" customFormat="false" ht="12.8" hidden="false" customHeight="false" outlineLevel="0" collapsed="false">
      <c r="A1472" s="0" t="s">
        <v>12</v>
      </c>
      <c r="B1472" s="0" t="n">
        <v>431500</v>
      </c>
      <c r="C1472" s="0" t="n">
        <v>431520</v>
      </c>
      <c r="D1472" s="0" t="s">
        <v>4904</v>
      </c>
      <c r="E1472" s="0" t="s">
        <v>4905</v>
      </c>
      <c r="F1472" s="0" t="s">
        <v>90</v>
      </c>
      <c r="G1472" s="0" t="s">
        <v>32</v>
      </c>
      <c r="H1472" s="0" t="n">
        <v>67</v>
      </c>
      <c r="I1472" s="0" t="s">
        <v>4909</v>
      </c>
      <c r="J1472" s="0" t="s">
        <v>4910</v>
      </c>
      <c r="K1472" s="0" t="s">
        <v>4911</v>
      </c>
      <c r="L1472" s="0" t="str">
        <f aca="false">HYPERLINK("https://www.ncbi.nlm.nih.gov/nuccore/CP000304.1?report=graph&amp;tracks=[key:gene_model_track,Options:GeneOnly]&amp;mk=431536:431555|offset_32|444444,431501:431520|offset_67|00cc00,431476:431495|offset_92|444444,431451:431470|offset_117|444444&amp;v=431335:431670&amp;c=444444", "offset 67")</f>
        <v>offset 67</v>
      </c>
    </row>
    <row r="1473" customFormat="false" ht="12.8" hidden="false" customHeight="false" outlineLevel="0" collapsed="false">
      <c r="A1473" s="0" t="s">
        <v>12</v>
      </c>
      <c r="B1473" s="0" t="n">
        <v>431475</v>
      </c>
      <c r="C1473" s="0" t="n">
        <v>431495</v>
      </c>
      <c r="D1473" s="0" t="s">
        <v>4904</v>
      </c>
      <c r="E1473" s="0" t="s">
        <v>4905</v>
      </c>
      <c r="F1473" s="0" t="s">
        <v>90</v>
      </c>
      <c r="G1473" s="0" t="s">
        <v>16</v>
      </c>
      <c r="H1473" s="0" t="n">
        <v>92</v>
      </c>
      <c r="I1473" s="0" t="s">
        <v>4912</v>
      </c>
      <c r="J1473" s="0" t="s">
        <v>4913</v>
      </c>
      <c r="K1473" s="0" t="s">
        <v>4914</v>
      </c>
      <c r="L1473" s="0" t="str">
        <f aca="false">HYPERLINK("https://www.ncbi.nlm.nih.gov/nuccore/CP000304.1?report=graph&amp;tracks=[key:gene_model_track,Options:GeneOnly]&amp;mk=431536:431555|offset_32|444444,431501:431520|offset_67|444444,431476:431495|offset_92|00cc00,431451:431470|offset_117|444444&amp;v=431335:431670&amp;c=444444", "offset 92")</f>
        <v>offset 92</v>
      </c>
    </row>
    <row r="1474" customFormat="false" ht="12.8" hidden="false" customHeight="false" outlineLevel="0" collapsed="false">
      <c r="A1474" s="0" t="s">
        <v>12</v>
      </c>
      <c r="B1474" s="0" t="n">
        <v>431450</v>
      </c>
      <c r="C1474" s="0" t="n">
        <v>431470</v>
      </c>
      <c r="D1474" s="0" t="s">
        <v>4904</v>
      </c>
      <c r="E1474" s="0" t="s">
        <v>4905</v>
      </c>
      <c r="F1474" s="0" t="s">
        <v>90</v>
      </c>
      <c r="G1474" s="0" t="s">
        <v>32</v>
      </c>
      <c r="H1474" s="0" t="n">
        <v>117</v>
      </c>
      <c r="I1474" s="0" t="s">
        <v>4915</v>
      </c>
      <c r="J1474" s="0" t="s">
        <v>4916</v>
      </c>
      <c r="K1474" s="0" t="s">
        <v>4917</v>
      </c>
      <c r="L1474" s="0" t="str">
        <f aca="false">HYPERLINK("https://www.ncbi.nlm.nih.gov/nuccore/CP000304.1?report=graph&amp;tracks=[key:gene_model_track,Options:GeneOnly]&amp;mk=431536:431555|offset_32|444444,431501:431520|offset_67|444444,431476:431495|offset_92|444444,431451:431470|offset_117|00cc00&amp;v=431335:431670&amp;c=444444", "offset 117")</f>
        <v>offset 117</v>
      </c>
    </row>
    <row r="1475" customFormat="false" ht="12.8" hidden="false" customHeight="false" outlineLevel="0" collapsed="false">
      <c r="A1475" s="0" t="s">
        <v>12</v>
      </c>
      <c r="B1475" s="0" t="n">
        <v>431864</v>
      </c>
      <c r="C1475" s="0" t="n">
        <v>431884</v>
      </c>
      <c r="D1475" s="0" t="s">
        <v>4918</v>
      </c>
      <c r="E1475" s="0" t="s">
        <v>89</v>
      </c>
      <c r="F1475" s="0" t="s">
        <v>15</v>
      </c>
      <c r="G1475" s="0" t="s">
        <v>16</v>
      </c>
      <c r="H1475" s="0" t="n">
        <v>13</v>
      </c>
      <c r="I1475" s="0" t="s">
        <v>4919</v>
      </c>
      <c r="J1475" s="0" t="s">
        <v>4920</v>
      </c>
      <c r="K1475" s="0" t="s">
        <v>4921</v>
      </c>
      <c r="L1475" s="0" t="str">
        <f aca="false">HYPERLINK("https://www.ncbi.nlm.nih.gov/nuccore/CP000304.1?report=graph&amp;tracks=[key:gene_model_track,Options:GeneOnly]&amp;mk=431865:431884|offset_13|00cc00,431886:431905|offset_34|444444,431916:431935|offset_64|444444,431966:431985|offset_114|444444&amp;v=431664:432185&amp;c=444444", "offset 13")</f>
        <v>offset 13</v>
      </c>
    </row>
    <row r="1476" customFormat="false" ht="12.8" hidden="false" customHeight="false" outlineLevel="0" collapsed="false">
      <c r="A1476" s="0" t="s">
        <v>12</v>
      </c>
      <c r="B1476" s="0" t="n">
        <v>431885</v>
      </c>
      <c r="C1476" s="0" t="n">
        <v>431905</v>
      </c>
      <c r="D1476" s="0" t="s">
        <v>4918</v>
      </c>
      <c r="E1476" s="0" t="s">
        <v>89</v>
      </c>
      <c r="F1476" s="0" t="s">
        <v>15</v>
      </c>
      <c r="G1476" s="0" t="s">
        <v>16</v>
      </c>
      <c r="H1476" s="0" t="n">
        <v>34</v>
      </c>
      <c r="I1476" s="0" t="s">
        <v>4922</v>
      </c>
      <c r="J1476" s="0" t="s">
        <v>4923</v>
      </c>
      <c r="K1476" s="0" t="s">
        <v>4924</v>
      </c>
      <c r="L1476" s="0" t="str">
        <f aca="false">HYPERLINK("https://www.ncbi.nlm.nih.gov/nuccore/CP000304.1?report=graph&amp;tracks=[key:gene_model_track,Options:GeneOnly]&amp;mk=431865:431884|offset_13|444444,431886:431905|offset_34|00cc00,431916:431935|offset_64|444444,431966:431985|offset_114|444444&amp;v=431664:432185&amp;c=444444", "offset 34")</f>
        <v>offset 34</v>
      </c>
    </row>
    <row r="1477" customFormat="false" ht="12.8" hidden="false" customHeight="false" outlineLevel="0" collapsed="false">
      <c r="A1477" s="0" t="s">
        <v>12</v>
      </c>
      <c r="B1477" s="0" t="n">
        <v>431915</v>
      </c>
      <c r="C1477" s="0" t="n">
        <v>431935</v>
      </c>
      <c r="D1477" s="0" t="s">
        <v>4918</v>
      </c>
      <c r="E1477" s="0" t="s">
        <v>89</v>
      </c>
      <c r="F1477" s="0" t="s">
        <v>15</v>
      </c>
      <c r="G1477" s="0" t="s">
        <v>16</v>
      </c>
      <c r="H1477" s="0" t="n">
        <v>64</v>
      </c>
      <c r="I1477" s="0" t="s">
        <v>4925</v>
      </c>
      <c r="J1477" s="0" t="s">
        <v>4926</v>
      </c>
      <c r="K1477" s="0" t="s">
        <v>4927</v>
      </c>
      <c r="L1477" s="0" t="str">
        <f aca="false">HYPERLINK("https://www.ncbi.nlm.nih.gov/nuccore/CP000304.1?report=graph&amp;tracks=[key:gene_model_track,Options:GeneOnly]&amp;mk=431865:431884|offset_13|444444,431886:431905|offset_34|444444,431916:431935|offset_64|00cc00,431966:431985|offset_114|444444&amp;v=431664:432185&amp;c=444444", "offset 64")</f>
        <v>offset 64</v>
      </c>
    </row>
    <row r="1478" customFormat="false" ht="12.8" hidden="false" customHeight="false" outlineLevel="0" collapsed="false">
      <c r="A1478" s="0" t="s">
        <v>12</v>
      </c>
      <c r="B1478" s="0" t="n">
        <v>431965</v>
      </c>
      <c r="C1478" s="0" t="n">
        <v>431985</v>
      </c>
      <c r="D1478" s="0" t="s">
        <v>4918</v>
      </c>
      <c r="E1478" s="0" t="s">
        <v>89</v>
      </c>
      <c r="F1478" s="0" t="s">
        <v>15</v>
      </c>
      <c r="G1478" s="0" t="s">
        <v>16</v>
      </c>
      <c r="H1478" s="0" t="n">
        <v>114</v>
      </c>
      <c r="I1478" s="0" t="s">
        <v>4928</v>
      </c>
      <c r="J1478" s="0" t="s">
        <v>4929</v>
      </c>
      <c r="K1478" s="0" t="s">
        <v>4930</v>
      </c>
      <c r="L1478" s="0" t="str">
        <f aca="false">HYPERLINK("https://www.ncbi.nlm.nih.gov/nuccore/CP000304.1?report=graph&amp;tracks=[key:gene_model_track,Options:GeneOnly]&amp;mk=431865:431884|offset_13|444444,431886:431905|offset_34|444444,431916:431935|offset_64|444444,431966:431985|offset_114|00cc00&amp;v=431664:432185&amp;c=444444", "offset 114")</f>
        <v>offset 114</v>
      </c>
    </row>
    <row r="1479" customFormat="false" ht="12.8" hidden="false" customHeight="false" outlineLevel="0" collapsed="false">
      <c r="A1479" s="0" t="s">
        <v>12</v>
      </c>
      <c r="B1479" s="0" t="n">
        <v>432376</v>
      </c>
      <c r="C1479" s="0" t="n">
        <v>432396</v>
      </c>
      <c r="D1479" s="0" t="s">
        <v>4931</v>
      </c>
      <c r="E1479" s="0" t="s">
        <v>89</v>
      </c>
      <c r="F1479" s="0" t="s">
        <v>15</v>
      </c>
      <c r="G1479" s="0" t="s">
        <v>36</v>
      </c>
      <c r="H1479" s="0" t="n">
        <v>34</v>
      </c>
      <c r="I1479" s="0" t="s">
        <v>4932</v>
      </c>
      <c r="J1479" s="0" t="s">
        <v>4933</v>
      </c>
      <c r="K1479" s="0" t="s">
        <v>4934</v>
      </c>
      <c r="L1479" s="0" t="str">
        <f aca="false">HYPERLINK("https://www.ncbi.nlm.nih.gov/nuccore/CP000304.1?report=graph&amp;tracks=[key:gene_model_track,Options:GeneOnly]&amp;mk=432377:432396|offset_34|00cc00,432411:432430|offset_68|444444,432455:432474|offset_112|444444,432502:432521|offset_159|444444&amp;v=432176:432721&amp;c=444444", "offset 34")</f>
        <v>offset 34</v>
      </c>
    </row>
    <row r="1480" customFormat="false" ht="12.8" hidden="false" customHeight="false" outlineLevel="0" collapsed="false">
      <c r="A1480" s="0" t="s">
        <v>12</v>
      </c>
      <c r="B1480" s="0" t="n">
        <v>432410</v>
      </c>
      <c r="C1480" s="0" t="n">
        <v>432430</v>
      </c>
      <c r="D1480" s="0" t="s">
        <v>4931</v>
      </c>
      <c r="E1480" s="0" t="s">
        <v>89</v>
      </c>
      <c r="F1480" s="0" t="s">
        <v>15</v>
      </c>
      <c r="G1480" s="0" t="s">
        <v>36</v>
      </c>
      <c r="H1480" s="0" t="n">
        <v>68</v>
      </c>
      <c r="I1480" s="0" t="s">
        <v>4935</v>
      </c>
      <c r="J1480" s="0" t="s">
        <v>4936</v>
      </c>
      <c r="K1480" s="0" t="s">
        <v>4937</v>
      </c>
      <c r="L1480" s="0" t="str">
        <f aca="false">HYPERLINK("https://www.ncbi.nlm.nih.gov/nuccore/CP000304.1?report=graph&amp;tracks=[key:gene_model_track,Options:GeneOnly]&amp;mk=432377:432396|offset_34|444444,432411:432430|offset_68|00cc00,432455:432474|offset_112|444444,432502:432521|offset_159|444444&amp;v=432176:432721&amp;c=444444", "offset 68")</f>
        <v>offset 68</v>
      </c>
    </row>
    <row r="1481" customFormat="false" ht="12.8" hidden="false" customHeight="false" outlineLevel="0" collapsed="false">
      <c r="A1481" s="0" t="s">
        <v>12</v>
      </c>
      <c r="B1481" s="0" t="n">
        <v>432454</v>
      </c>
      <c r="C1481" s="0" t="n">
        <v>432474</v>
      </c>
      <c r="D1481" s="0" t="s">
        <v>4931</v>
      </c>
      <c r="E1481" s="0" t="s">
        <v>89</v>
      </c>
      <c r="F1481" s="0" t="s">
        <v>15</v>
      </c>
      <c r="G1481" s="0" t="s">
        <v>32</v>
      </c>
      <c r="H1481" s="0" t="n">
        <v>112</v>
      </c>
      <c r="I1481" s="0" t="s">
        <v>4938</v>
      </c>
      <c r="J1481" s="0" t="s">
        <v>4939</v>
      </c>
      <c r="K1481" s="0" t="s">
        <v>4940</v>
      </c>
      <c r="L1481" s="0" t="str">
        <f aca="false">HYPERLINK("https://www.ncbi.nlm.nih.gov/nuccore/CP000304.1?report=graph&amp;tracks=[key:gene_model_track,Options:GeneOnly]&amp;mk=432377:432396|offset_34|444444,432411:432430|offset_68|444444,432455:432474|offset_112|00cc00,432502:432521|offset_159|444444&amp;v=432176:432721&amp;c=444444", "offset 112")</f>
        <v>offset 112</v>
      </c>
    </row>
    <row r="1482" customFormat="false" ht="12.8" hidden="false" customHeight="false" outlineLevel="0" collapsed="false">
      <c r="A1482" s="0" t="s">
        <v>12</v>
      </c>
      <c r="B1482" s="0" t="n">
        <v>432501</v>
      </c>
      <c r="C1482" s="0" t="n">
        <v>432521</v>
      </c>
      <c r="D1482" s="0" t="s">
        <v>4931</v>
      </c>
      <c r="E1482" s="0" t="s">
        <v>89</v>
      </c>
      <c r="F1482" s="0" t="s">
        <v>15</v>
      </c>
      <c r="G1482" s="0" t="s">
        <v>16</v>
      </c>
      <c r="H1482" s="0" t="n">
        <v>159</v>
      </c>
      <c r="I1482" s="0" t="s">
        <v>4941</v>
      </c>
      <c r="J1482" s="0" t="s">
        <v>4942</v>
      </c>
      <c r="K1482" s="0" t="s">
        <v>4943</v>
      </c>
      <c r="L1482" s="0" t="str">
        <f aca="false">HYPERLINK("https://www.ncbi.nlm.nih.gov/nuccore/CP000304.1?report=graph&amp;tracks=[key:gene_model_track,Options:GeneOnly]&amp;mk=432377:432396|offset_34|444444,432411:432430|offset_68|444444,432455:432474|offset_112|444444,432502:432521|offset_159|00cc00&amp;v=432176:432721&amp;c=444444", "offset 159")</f>
        <v>offset 159</v>
      </c>
    </row>
    <row r="1483" customFormat="false" ht="12.8" hidden="false" customHeight="false" outlineLevel="0" collapsed="false">
      <c r="A1483" s="0" t="s">
        <v>12</v>
      </c>
      <c r="B1483" s="0" t="n">
        <v>432597</v>
      </c>
      <c r="C1483" s="0" t="n">
        <v>432617</v>
      </c>
      <c r="D1483" s="0" t="s">
        <v>4944</v>
      </c>
      <c r="E1483" s="0" t="s">
        <v>89</v>
      </c>
      <c r="F1483" s="0" t="s">
        <v>15</v>
      </c>
      <c r="G1483" s="0" t="s">
        <v>26</v>
      </c>
      <c r="H1483" s="0" t="n">
        <v>11</v>
      </c>
      <c r="I1483" s="0" t="s">
        <v>4945</v>
      </c>
      <c r="J1483" s="0" t="s">
        <v>4946</v>
      </c>
      <c r="K1483" s="0" t="s">
        <v>4947</v>
      </c>
      <c r="L1483" s="0" t="str">
        <f aca="false">HYPERLINK("https://www.ncbi.nlm.nih.gov/nuccore/CP000304.1?report=graph&amp;tracks=[key:gene_model_track,Options:GeneOnly]&amp;mk=432598:432617|offset_11|00cc00,432620:432639|offset_33|444444,432651:432670|offset_64|444444,432680:432699|offset_93|444444&amp;v=432397:432899&amp;c=444444", "offset 11")</f>
        <v>offset 11</v>
      </c>
    </row>
    <row r="1484" customFormat="false" ht="12.8" hidden="false" customHeight="false" outlineLevel="0" collapsed="false">
      <c r="A1484" s="0" t="s">
        <v>12</v>
      </c>
      <c r="B1484" s="0" t="n">
        <v>432619</v>
      </c>
      <c r="C1484" s="0" t="n">
        <v>432639</v>
      </c>
      <c r="D1484" s="0" t="s">
        <v>4944</v>
      </c>
      <c r="E1484" s="0" t="s">
        <v>89</v>
      </c>
      <c r="F1484" s="0" t="s">
        <v>15</v>
      </c>
      <c r="G1484" s="0" t="s">
        <v>26</v>
      </c>
      <c r="H1484" s="0" t="n">
        <v>33</v>
      </c>
      <c r="I1484" s="0" t="s">
        <v>4948</v>
      </c>
      <c r="J1484" s="0" t="s">
        <v>4949</v>
      </c>
      <c r="K1484" s="0" t="s">
        <v>4950</v>
      </c>
      <c r="L1484" s="0" t="str">
        <f aca="false">HYPERLINK("https://www.ncbi.nlm.nih.gov/nuccore/CP000304.1?report=graph&amp;tracks=[key:gene_model_track,Options:GeneOnly]&amp;mk=432598:432617|offset_11|444444,432620:432639|offset_33|00cc00,432651:432670|offset_64|444444,432680:432699|offset_93|444444&amp;v=432397:432899&amp;c=444444", "offset 33")</f>
        <v>offset 33</v>
      </c>
    </row>
    <row r="1485" customFormat="false" ht="12.8" hidden="false" customHeight="false" outlineLevel="0" collapsed="false">
      <c r="A1485" s="0" t="s">
        <v>12</v>
      </c>
      <c r="B1485" s="0" t="n">
        <v>432650</v>
      </c>
      <c r="C1485" s="0" t="n">
        <v>432670</v>
      </c>
      <c r="D1485" s="0" t="s">
        <v>4944</v>
      </c>
      <c r="E1485" s="0" t="s">
        <v>89</v>
      </c>
      <c r="F1485" s="0" t="s">
        <v>15</v>
      </c>
      <c r="G1485" s="0" t="s">
        <v>16</v>
      </c>
      <c r="H1485" s="0" t="n">
        <v>64</v>
      </c>
      <c r="I1485" s="0" t="s">
        <v>4951</v>
      </c>
      <c r="J1485" s="0" t="s">
        <v>4952</v>
      </c>
      <c r="K1485" s="0" t="s">
        <v>4953</v>
      </c>
      <c r="L1485" s="0" t="str">
        <f aca="false">HYPERLINK("https://www.ncbi.nlm.nih.gov/nuccore/CP000304.1?report=graph&amp;tracks=[key:gene_model_track,Options:GeneOnly]&amp;mk=432598:432617|offset_11|444444,432620:432639|offset_33|444444,432651:432670|offset_64|00cc00,432680:432699|offset_93|444444&amp;v=432397:432899&amp;c=444444", "offset 64")</f>
        <v>offset 64</v>
      </c>
    </row>
    <row r="1486" customFormat="false" ht="12.8" hidden="false" customHeight="false" outlineLevel="0" collapsed="false">
      <c r="A1486" s="0" t="s">
        <v>12</v>
      </c>
      <c r="B1486" s="0" t="n">
        <v>432679</v>
      </c>
      <c r="C1486" s="0" t="n">
        <v>432699</v>
      </c>
      <c r="D1486" s="0" t="s">
        <v>4944</v>
      </c>
      <c r="E1486" s="0" t="s">
        <v>89</v>
      </c>
      <c r="F1486" s="0" t="s">
        <v>15</v>
      </c>
      <c r="G1486" s="0" t="s">
        <v>36</v>
      </c>
      <c r="H1486" s="0" t="n">
        <v>93</v>
      </c>
      <c r="I1486" s="0" t="s">
        <v>4954</v>
      </c>
      <c r="J1486" s="0" t="s">
        <v>4955</v>
      </c>
      <c r="K1486" s="0" t="s">
        <v>4956</v>
      </c>
      <c r="L1486" s="0" t="str">
        <f aca="false">HYPERLINK("https://www.ncbi.nlm.nih.gov/nuccore/CP000304.1?report=graph&amp;tracks=[key:gene_model_track,Options:GeneOnly]&amp;mk=432598:432617|offset_11|444444,432620:432639|offset_33|444444,432651:432670|offset_64|444444,432680:432699|offset_93|00cc00&amp;v=432397:432899&amp;c=444444", "offset 93")</f>
        <v>offset 93</v>
      </c>
    </row>
    <row r="1487" customFormat="false" ht="12.8" hidden="false" customHeight="false" outlineLevel="0" collapsed="false">
      <c r="A1487" s="0" t="s">
        <v>12</v>
      </c>
      <c r="B1487" s="0" t="n">
        <v>432901</v>
      </c>
      <c r="C1487" s="0" t="n">
        <v>432921</v>
      </c>
      <c r="D1487" s="0" t="s">
        <v>4957</v>
      </c>
      <c r="E1487" s="0" t="s">
        <v>89</v>
      </c>
      <c r="F1487" s="0" t="s">
        <v>15</v>
      </c>
      <c r="G1487" s="0" t="s">
        <v>26</v>
      </c>
      <c r="H1487" s="0" t="n">
        <v>29</v>
      </c>
      <c r="I1487" s="0" t="s">
        <v>4958</v>
      </c>
      <c r="J1487" s="0" t="s">
        <v>4959</v>
      </c>
      <c r="K1487" s="0" t="s">
        <v>4960</v>
      </c>
      <c r="L1487" s="0" t="str">
        <f aca="false">HYPERLINK("https://www.ncbi.nlm.nih.gov/nuccore/CP000304.1?report=graph&amp;tracks=[key:gene_model_track,Options:GeneOnly]&amp;mk=432902:432921|offset_29|00cc00,432928:432947|offset_55|444444,432950:432969|offset_77|444444,433031:433050|offset_158|444444&amp;v=432701:433250&amp;c=444444", "offset 29")</f>
        <v>offset 29</v>
      </c>
    </row>
    <row r="1488" customFormat="false" ht="12.8" hidden="false" customHeight="false" outlineLevel="0" collapsed="false">
      <c r="A1488" s="0" t="s">
        <v>12</v>
      </c>
      <c r="B1488" s="0" t="n">
        <v>432927</v>
      </c>
      <c r="C1488" s="0" t="n">
        <v>432947</v>
      </c>
      <c r="D1488" s="0" t="s">
        <v>4957</v>
      </c>
      <c r="E1488" s="0" t="s">
        <v>89</v>
      </c>
      <c r="F1488" s="0" t="s">
        <v>15</v>
      </c>
      <c r="G1488" s="0" t="s">
        <v>16</v>
      </c>
      <c r="H1488" s="0" t="n">
        <v>55</v>
      </c>
      <c r="I1488" s="0" t="s">
        <v>4961</v>
      </c>
      <c r="J1488" s="0" t="s">
        <v>4962</v>
      </c>
      <c r="K1488" s="0" t="s">
        <v>4963</v>
      </c>
      <c r="L1488" s="0" t="str">
        <f aca="false">HYPERLINK("https://www.ncbi.nlm.nih.gov/nuccore/CP000304.1?report=graph&amp;tracks=[key:gene_model_track,Options:GeneOnly]&amp;mk=432902:432921|offset_29|444444,432928:432947|offset_55|00cc00,432950:432969|offset_77|444444,433031:433050|offset_158|444444&amp;v=432701:433250&amp;c=444444", "offset 55")</f>
        <v>offset 55</v>
      </c>
    </row>
    <row r="1489" customFormat="false" ht="12.8" hidden="false" customHeight="false" outlineLevel="0" collapsed="false">
      <c r="A1489" s="0" t="s">
        <v>12</v>
      </c>
      <c r="B1489" s="0" t="n">
        <v>432949</v>
      </c>
      <c r="C1489" s="0" t="n">
        <v>432969</v>
      </c>
      <c r="D1489" s="0" t="s">
        <v>4957</v>
      </c>
      <c r="E1489" s="0" t="s">
        <v>89</v>
      </c>
      <c r="F1489" s="0" t="s">
        <v>15</v>
      </c>
      <c r="G1489" s="0" t="s">
        <v>32</v>
      </c>
      <c r="H1489" s="0" t="n">
        <v>77</v>
      </c>
      <c r="I1489" s="0" t="s">
        <v>4964</v>
      </c>
      <c r="J1489" s="0" t="s">
        <v>4965</v>
      </c>
      <c r="K1489" s="0" t="s">
        <v>4966</v>
      </c>
      <c r="L1489" s="0" t="str">
        <f aca="false">HYPERLINK("https://www.ncbi.nlm.nih.gov/nuccore/CP000304.1?report=graph&amp;tracks=[key:gene_model_track,Options:GeneOnly]&amp;mk=432902:432921|offset_29|444444,432928:432947|offset_55|444444,432950:432969|offset_77|00cc00,433031:433050|offset_158|444444&amp;v=432701:433250&amp;c=444444", "offset 77")</f>
        <v>offset 77</v>
      </c>
    </row>
    <row r="1490" customFormat="false" ht="12.8" hidden="false" customHeight="false" outlineLevel="0" collapsed="false">
      <c r="A1490" s="0" t="s">
        <v>12</v>
      </c>
      <c r="B1490" s="0" t="n">
        <v>433030</v>
      </c>
      <c r="C1490" s="0" t="n">
        <v>433050</v>
      </c>
      <c r="D1490" s="0" t="s">
        <v>4957</v>
      </c>
      <c r="E1490" s="0" t="s">
        <v>89</v>
      </c>
      <c r="F1490" s="0" t="s">
        <v>15</v>
      </c>
      <c r="G1490" s="0" t="s">
        <v>26</v>
      </c>
      <c r="H1490" s="0" t="n">
        <v>158</v>
      </c>
      <c r="I1490" s="0" t="s">
        <v>4967</v>
      </c>
      <c r="J1490" s="0" t="s">
        <v>4968</v>
      </c>
      <c r="K1490" s="0" t="s">
        <v>4969</v>
      </c>
      <c r="L1490" s="0" t="str">
        <f aca="false">HYPERLINK("https://www.ncbi.nlm.nih.gov/nuccore/CP000304.1?report=graph&amp;tracks=[key:gene_model_track,Options:GeneOnly]&amp;mk=432902:432921|offset_29|444444,432928:432947|offset_55|444444,432950:432969|offset_77|444444,433031:433050|offset_158|00cc00&amp;v=432701:433250&amp;c=444444", "offset 158")</f>
        <v>offset 158</v>
      </c>
    </row>
    <row r="1491" customFormat="false" ht="12.8" hidden="false" customHeight="false" outlineLevel="0" collapsed="false">
      <c r="A1491" s="0" t="s">
        <v>12</v>
      </c>
      <c r="B1491" s="0" t="n">
        <v>433787</v>
      </c>
      <c r="C1491" s="0" t="n">
        <v>433807</v>
      </c>
      <c r="D1491" s="0" t="s">
        <v>4970</v>
      </c>
      <c r="E1491" s="0" t="s">
        <v>89</v>
      </c>
      <c r="F1491" s="0" t="s">
        <v>15</v>
      </c>
      <c r="G1491" s="0" t="s">
        <v>32</v>
      </c>
      <c r="H1491" s="0" t="n">
        <v>10</v>
      </c>
      <c r="I1491" s="0" t="s">
        <v>4971</v>
      </c>
      <c r="J1491" s="0" t="s">
        <v>4972</v>
      </c>
      <c r="K1491" s="0" t="s">
        <v>4973</v>
      </c>
      <c r="L1491" s="0" t="str">
        <f aca="false">HYPERLINK("https://www.ncbi.nlm.nih.gov/nuccore/CP000304.1?report=graph&amp;tracks=[key:gene_model_track,Options:GeneOnly]&amp;mk=433788:433807|offset_10|00cc00,433818:433837|offset_40|444444,433863:433882|offset_85|444444,433888:433907|offset_110|444444&amp;v=433587:434107&amp;c=444444", "offset 10")</f>
        <v>offset 10</v>
      </c>
    </row>
    <row r="1492" customFormat="false" ht="12.8" hidden="false" customHeight="false" outlineLevel="0" collapsed="false">
      <c r="A1492" s="0" t="s">
        <v>12</v>
      </c>
      <c r="B1492" s="0" t="n">
        <v>433817</v>
      </c>
      <c r="C1492" s="0" t="n">
        <v>433837</v>
      </c>
      <c r="D1492" s="0" t="s">
        <v>4970</v>
      </c>
      <c r="E1492" s="0" t="s">
        <v>89</v>
      </c>
      <c r="F1492" s="0" t="s">
        <v>15</v>
      </c>
      <c r="G1492" s="0" t="s">
        <v>36</v>
      </c>
      <c r="H1492" s="0" t="n">
        <v>40</v>
      </c>
      <c r="I1492" s="0" t="s">
        <v>4974</v>
      </c>
      <c r="J1492" s="0" t="s">
        <v>4975</v>
      </c>
      <c r="K1492" s="0" t="s">
        <v>4976</v>
      </c>
      <c r="L1492" s="0" t="str">
        <f aca="false">HYPERLINK("https://www.ncbi.nlm.nih.gov/nuccore/CP000304.1?report=graph&amp;tracks=[key:gene_model_track,Options:GeneOnly]&amp;mk=433788:433807|offset_10|444444,433818:433837|offset_40|00cc00,433863:433882|offset_85|444444,433888:433907|offset_110|444444&amp;v=433587:434107&amp;c=444444", "offset 40")</f>
        <v>offset 40</v>
      </c>
    </row>
    <row r="1493" customFormat="false" ht="12.8" hidden="false" customHeight="false" outlineLevel="0" collapsed="false">
      <c r="A1493" s="0" t="s">
        <v>12</v>
      </c>
      <c r="B1493" s="0" t="n">
        <v>433862</v>
      </c>
      <c r="C1493" s="0" t="n">
        <v>433882</v>
      </c>
      <c r="D1493" s="0" t="s">
        <v>4970</v>
      </c>
      <c r="E1493" s="0" t="s">
        <v>89</v>
      </c>
      <c r="F1493" s="0" t="s">
        <v>15</v>
      </c>
      <c r="G1493" s="0" t="s">
        <v>36</v>
      </c>
      <c r="H1493" s="0" t="n">
        <v>85</v>
      </c>
      <c r="I1493" s="0" t="s">
        <v>4977</v>
      </c>
      <c r="J1493" s="0" t="s">
        <v>4978</v>
      </c>
      <c r="K1493" s="0" t="s">
        <v>4979</v>
      </c>
      <c r="L1493" s="0" t="str">
        <f aca="false">HYPERLINK("https://www.ncbi.nlm.nih.gov/nuccore/CP000304.1?report=graph&amp;tracks=[key:gene_model_track,Options:GeneOnly]&amp;mk=433788:433807|offset_10|444444,433818:433837|offset_40|444444,433863:433882|offset_85|00cc00,433888:433907|offset_110|444444&amp;v=433587:434107&amp;c=444444", "offset 85")</f>
        <v>offset 85</v>
      </c>
    </row>
    <row r="1494" customFormat="false" ht="12.8" hidden="false" customHeight="false" outlineLevel="0" collapsed="false">
      <c r="A1494" s="0" t="s">
        <v>12</v>
      </c>
      <c r="B1494" s="0" t="n">
        <v>433887</v>
      </c>
      <c r="C1494" s="0" t="n">
        <v>433907</v>
      </c>
      <c r="D1494" s="0" t="s">
        <v>4970</v>
      </c>
      <c r="E1494" s="0" t="s">
        <v>89</v>
      </c>
      <c r="F1494" s="0" t="s">
        <v>15</v>
      </c>
      <c r="G1494" s="0" t="s">
        <v>26</v>
      </c>
      <c r="H1494" s="0" t="n">
        <v>110</v>
      </c>
      <c r="I1494" s="0" t="s">
        <v>4980</v>
      </c>
      <c r="J1494" s="0" t="s">
        <v>4981</v>
      </c>
      <c r="K1494" s="0" t="s">
        <v>4982</v>
      </c>
      <c r="L1494" s="0" t="str">
        <f aca="false">HYPERLINK("https://www.ncbi.nlm.nih.gov/nuccore/CP000304.1?report=graph&amp;tracks=[key:gene_model_track,Options:GeneOnly]&amp;mk=433788:433807|offset_10|444444,433818:433837|offset_40|444444,433863:433882|offset_85|444444,433888:433907|offset_110|00cc00&amp;v=433587:434107&amp;c=444444", "offset 110")</f>
        <v>offset 110</v>
      </c>
    </row>
    <row r="1495" customFormat="false" ht="12.8" hidden="false" customHeight="false" outlineLevel="0" collapsed="false">
      <c r="A1495" s="0" t="s">
        <v>12</v>
      </c>
      <c r="B1495" s="0" t="n">
        <v>434090</v>
      </c>
      <c r="C1495" s="0" t="n">
        <v>434110</v>
      </c>
      <c r="D1495" s="0" t="s">
        <v>4983</v>
      </c>
      <c r="E1495" s="0" t="s">
        <v>89</v>
      </c>
      <c r="F1495" s="0" t="s">
        <v>15</v>
      </c>
      <c r="G1495" s="0" t="s">
        <v>26</v>
      </c>
      <c r="H1495" s="0" t="n">
        <v>35</v>
      </c>
      <c r="I1495" s="0" t="s">
        <v>4984</v>
      </c>
      <c r="J1495" s="0" t="s">
        <v>4985</v>
      </c>
      <c r="K1495" s="0" t="s">
        <v>4986</v>
      </c>
      <c r="L1495" s="0" t="str">
        <f aca="false">HYPERLINK("https://www.ncbi.nlm.nih.gov/nuccore/CP000304.1?report=graph&amp;tracks=[key:gene_model_track,Options:GeneOnly]&amp;mk=434091:434110|offset_35|00cc00,434115:434134|offset_59|444444,434223:434242|offset_167|444444,434246:434265|offset_190|444444&amp;v=433890:434465&amp;c=444444", "offset 35")</f>
        <v>offset 35</v>
      </c>
    </row>
    <row r="1496" customFormat="false" ht="12.8" hidden="false" customHeight="false" outlineLevel="0" collapsed="false">
      <c r="A1496" s="0" t="s">
        <v>12</v>
      </c>
      <c r="B1496" s="0" t="n">
        <v>434114</v>
      </c>
      <c r="C1496" s="0" t="n">
        <v>434134</v>
      </c>
      <c r="D1496" s="0" t="s">
        <v>4983</v>
      </c>
      <c r="E1496" s="0" t="s">
        <v>89</v>
      </c>
      <c r="F1496" s="0" t="s">
        <v>15</v>
      </c>
      <c r="G1496" s="0" t="s">
        <v>26</v>
      </c>
      <c r="H1496" s="0" t="n">
        <v>59</v>
      </c>
      <c r="I1496" s="0" t="s">
        <v>4987</v>
      </c>
      <c r="J1496" s="0" t="s">
        <v>4988</v>
      </c>
      <c r="K1496" s="0" t="s">
        <v>4989</v>
      </c>
      <c r="L1496" s="0" t="str">
        <f aca="false">HYPERLINK("https://www.ncbi.nlm.nih.gov/nuccore/CP000304.1?report=graph&amp;tracks=[key:gene_model_track,Options:GeneOnly]&amp;mk=434091:434110|offset_35|444444,434115:434134|offset_59|00cc00,434223:434242|offset_167|444444,434246:434265|offset_190|444444&amp;v=433890:434465&amp;c=444444", "offset 59")</f>
        <v>offset 59</v>
      </c>
    </row>
    <row r="1497" customFormat="false" ht="12.8" hidden="false" customHeight="false" outlineLevel="0" collapsed="false">
      <c r="A1497" s="0" t="s">
        <v>12</v>
      </c>
      <c r="B1497" s="0" t="n">
        <v>434222</v>
      </c>
      <c r="C1497" s="0" t="n">
        <v>434242</v>
      </c>
      <c r="D1497" s="0" t="s">
        <v>4983</v>
      </c>
      <c r="E1497" s="0" t="s">
        <v>89</v>
      </c>
      <c r="F1497" s="0" t="s">
        <v>15</v>
      </c>
      <c r="G1497" s="0" t="s">
        <v>26</v>
      </c>
      <c r="H1497" s="0" t="n">
        <v>167</v>
      </c>
      <c r="I1497" s="0" t="s">
        <v>4990</v>
      </c>
      <c r="J1497" s="0" t="s">
        <v>4991</v>
      </c>
      <c r="K1497" s="0" t="s">
        <v>4992</v>
      </c>
      <c r="L1497" s="0" t="str">
        <f aca="false">HYPERLINK("https://www.ncbi.nlm.nih.gov/nuccore/CP000304.1?report=graph&amp;tracks=[key:gene_model_track,Options:GeneOnly]&amp;mk=434091:434110|offset_35|444444,434115:434134|offset_59|444444,434223:434242|offset_167|00cc00,434246:434265|offset_190|444444&amp;v=433890:434465&amp;c=444444", "offset 167")</f>
        <v>offset 167</v>
      </c>
    </row>
    <row r="1498" customFormat="false" ht="12.8" hidden="false" customHeight="false" outlineLevel="0" collapsed="false">
      <c r="A1498" s="0" t="s">
        <v>12</v>
      </c>
      <c r="B1498" s="0" t="n">
        <v>434245</v>
      </c>
      <c r="C1498" s="0" t="n">
        <v>434265</v>
      </c>
      <c r="D1498" s="0" t="s">
        <v>4983</v>
      </c>
      <c r="E1498" s="0" t="s">
        <v>89</v>
      </c>
      <c r="F1498" s="0" t="s">
        <v>15</v>
      </c>
      <c r="G1498" s="0" t="s">
        <v>16</v>
      </c>
      <c r="H1498" s="0" t="n">
        <v>190</v>
      </c>
      <c r="I1498" s="0" t="s">
        <v>4993</v>
      </c>
      <c r="J1498" s="0" t="s">
        <v>4994</v>
      </c>
      <c r="K1498" s="0" t="s">
        <v>4995</v>
      </c>
      <c r="L1498" s="0" t="str">
        <f aca="false">HYPERLINK("https://www.ncbi.nlm.nih.gov/nuccore/CP000304.1?report=graph&amp;tracks=[key:gene_model_track,Options:GeneOnly]&amp;mk=434091:434110|offset_35|444444,434115:434134|offset_59|444444,434223:434242|offset_167|444444,434246:434265|offset_190|00cc00&amp;v=433890:434465&amp;c=444444", "offset 190")</f>
        <v>offset 190</v>
      </c>
    </row>
    <row r="1499" customFormat="false" ht="12.8" hidden="false" customHeight="false" outlineLevel="0" collapsed="false">
      <c r="A1499" s="0" t="s">
        <v>12</v>
      </c>
      <c r="B1499" s="0" t="n">
        <v>435493</v>
      </c>
      <c r="C1499" s="0" t="n">
        <v>435513</v>
      </c>
      <c r="D1499" s="0" t="s">
        <v>4996</v>
      </c>
      <c r="E1499" s="0" t="s">
        <v>89</v>
      </c>
      <c r="F1499" s="0" t="s">
        <v>15</v>
      </c>
      <c r="G1499" s="0" t="s">
        <v>26</v>
      </c>
      <c r="H1499" s="0" t="n">
        <v>17</v>
      </c>
      <c r="I1499" s="0" t="s">
        <v>4997</v>
      </c>
      <c r="J1499" s="0" t="s">
        <v>4998</v>
      </c>
      <c r="K1499" s="0" t="s">
        <v>4999</v>
      </c>
      <c r="L1499" s="0" t="str">
        <f aca="false">HYPERLINK("https://www.ncbi.nlm.nih.gov/nuccore/CP000304.1?report=graph&amp;tracks=[key:gene_model_track,Options:GeneOnly]&amp;mk=435494:435513|offset_17|00cc00,435531:435550|offset_54|444444,435563:435582|offset_86|444444,435590:435609|offset_113|444444&amp;v=435293:435809&amp;c=444444", "offset 17")</f>
        <v>offset 17</v>
      </c>
    </row>
    <row r="1500" customFormat="false" ht="12.8" hidden="false" customHeight="false" outlineLevel="0" collapsed="false">
      <c r="A1500" s="0" t="s">
        <v>12</v>
      </c>
      <c r="B1500" s="0" t="n">
        <v>435530</v>
      </c>
      <c r="C1500" s="0" t="n">
        <v>435550</v>
      </c>
      <c r="D1500" s="0" t="s">
        <v>4996</v>
      </c>
      <c r="E1500" s="0" t="s">
        <v>89</v>
      </c>
      <c r="F1500" s="0" t="s">
        <v>15</v>
      </c>
      <c r="G1500" s="0" t="s">
        <v>16</v>
      </c>
      <c r="H1500" s="0" t="n">
        <v>54</v>
      </c>
      <c r="I1500" s="0" t="s">
        <v>5000</v>
      </c>
      <c r="J1500" s="0" t="s">
        <v>5001</v>
      </c>
      <c r="K1500" s="0" t="s">
        <v>5002</v>
      </c>
      <c r="L1500" s="0" t="str">
        <f aca="false">HYPERLINK("https://www.ncbi.nlm.nih.gov/nuccore/CP000304.1?report=graph&amp;tracks=[key:gene_model_track,Options:GeneOnly]&amp;mk=435494:435513|offset_17|444444,435531:435550|offset_54|00cc00,435563:435582|offset_86|444444,435590:435609|offset_113|444444&amp;v=435293:435809&amp;c=444444", "offset 54")</f>
        <v>offset 54</v>
      </c>
    </row>
    <row r="1501" customFormat="false" ht="12.8" hidden="false" customHeight="false" outlineLevel="0" collapsed="false">
      <c r="A1501" s="0" t="s">
        <v>12</v>
      </c>
      <c r="B1501" s="0" t="n">
        <v>435562</v>
      </c>
      <c r="C1501" s="0" t="n">
        <v>435582</v>
      </c>
      <c r="D1501" s="0" t="s">
        <v>4996</v>
      </c>
      <c r="E1501" s="0" t="s">
        <v>89</v>
      </c>
      <c r="F1501" s="0" t="s">
        <v>15</v>
      </c>
      <c r="G1501" s="0" t="s">
        <v>32</v>
      </c>
      <c r="H1501" s="0" t="n">
        <v>86</v>
      </c>
      <c r="I1501" s="0" t="s">
        <v>5003</v>
      </c>
      <c r="J1501" s="0" t="s">
        <v>5004</v>
      </c>
      <c r="K1501" s="0" t="s">
        <v>5005</v>
      </c>
      <c r="L1501" s="0" t="str">
        <f aca="false">HYPERLINK("https://www.ncbi.nlm.nih.gov/nuccore/CP000304.1?report=graph&amp;tracks=[key:gene_model_track,Options:GeneOnly]&amp;mk=435494:435513|offset_17|444444,435531:435550|offset_54|444444,435563:435582|offset_86|00cc00,435590:435609|offset_113|444444&amp;v=435293:435809&amp;c=444444", "offset 86")</f>
        <v>offset 86</v>
      </c>
    </row>
    <row r="1502" customFormat="false" ht="12.8" hidden="false" customHeight="false" outlineLevel="0" collapsed="false">
      <c r="A1502" s="0" t="s">
        <v>12</v>
      </c>
      <c r="B1502" s="0" t="n">
        <v>435589</v>
      </c>
      <c r="C1502" s="0" t="n">
        <v>435609</v>
      </c>
      <c r="D1502" s="0" t="s">
        <v>4996</v>
      </c>
      <c r="E1502" s="0" t="s">
        <v>89</v>
      </c>
      <c r="F1502" s="0" t="s">
        <v>15</v>
      </c>
      <c r="G1502" s="0" t="s">
        <v>26</v>
      </c>
      <c r="H1502" s="0" t="n">
        <v>113</v>
      </c>
      <c r="I1502" s="0" t="s">
        <v>5006</v>
      </c>
      <c r="J1502" s="0" t="s">
        <v>5007</v>
      </c>
      <c r="K1502" s="0" t="s">
        <v>5008</v>
      </c>
      <c r="L1502" s="0" t="str">
        <f aca="false">HYPERLINK("https://www.ncbi.nlm.nih.gov/nuccore/CP000304.1?report=graph&amp;tracks=[key:gene_model_track,Options:GeneOnly]&amp;mk=435494:435513|offset_17|444444,435531:435550|offset_54|444444,435563:435582|offset_86|444444,435590:435609|offset_113|00cc00&amp;v=435293:435809&amp;c=444444", "offset 113")</f>
        <v>offset 113</v>
      </c>
    </row>
    <row r="1503" customFormat="false" ht="12.8" hidden="false" customHeight="false" outlineLevel="0" collapsed="false">
      <c r="A1503" s="0" t="s">
        <v>12</v>
      </c>
      <c r="B1503" s="0" t="n">
        <v>436979</v>
      </c>
      <c r="C1503" s="0" t="n">
        <v>436999</v>
      </c>
      <c r="D1503" s="0" t="s">
        <v>5009</v>
      </c>
      <c r="E1503" s="0" t="s">
        <v>89</v>
      </c>
      <c r="F1503" s="0" t="s">
        <v>15</v>
      </c>
      <c r="G1503" s="0" t="s">
        <v>26</v>
      </c>
      <c r="H1503" s="0" t="n">
        <v>10</v>
      </c>
      <c r="I1503" s="0" t="s">
        <v>5010</v>
      </c>
      <c r="J1503" s="0" t="s">
        <v>5011</v>
      </c>
      <c r="K1503" s="0" t="s">
        <v>5012</v>
      </c>
      <c r="L1503" s="0" t="str">
        <f aca="false">HYPERLINK("https://www.ncbi.nlm.nih.gov/nuccore/CP000304.1?report=graph&amp;tracks=[key:gene_model_track,Options:GeneOnly]&amp;mk=436980:436999|offset_10|00cc00,437000:437019|offset_30|444444,437033:437052|offset_63|444444,437053:437072|offset_83|444444&amp;v=436779:437272&amp;c=444444", "offset 10")</f>
        <v>offset 10</v>
      </c>
    </row>
    <row r="1504" customFormat="false" ht="12.8" hidden="false" customHeight="false" outlineLevel="0" collapsed="false">
      <c r="A1504" s="0" t="s">
        <v>12</v>
      </c>
      <c r="B1504" s="0" t="n">
        <v>436999</v>
      </c>
      <c r="C1504" s="0" t="n">
        <v>437019</v>
      </c>
      <c r="D1504" s="0" t="s">
        <v>5009</v>
      </c>
      <c r="E1504" s="0" t="s">
        <v>89</v>
      </c>
      <c r="F1504" s="0" t="s">
        <v>15</v>
      </c>
      <c r="G1504" s="0" t="s">
        <v>36</v>
      </c>
      <c r="H1504" s="0" t="n">
        <v>30</v>
      </c>
      <c r="I1504" s="0" t="s">
        <v>5013</v>
      </c>
      <c r="J1504" s="0" t="s">
        <v>5014</v>
      </c>
      <c r="K1504" s="0" t="s">
        <v>5015</v>
      </c>
      <c r="L1504" s="0" t="str">
        <f aca="false">HYPERLINK("https://www.ncbi.nlm.nih.gov/nuccore/CP000304.1?report=graph&amp;tracks=[key:gene_model_track,Options:GeneOnly]&amp;mk=436980:436999|offset_10|444444,437000:437019|offset_30|00cc00,437033:437052|offset_63|444444,437053:437072|offset_83|444444&amp;v=436779:437272&amp;c=444444", "offset 30")</f>
        <v>offset 30</v>
      </c>
    </row>
    <row r="1505" customFormat="false" ht="12.8" hidden="false" customHeight="false" outlineLevel="0" collapsed="false">
      <c r="A1505" s="0" t="s">
        <v>12</v>
      </c>
      <c r="B1505" s="0" t="n">
        <v>437032</v>
      </c>
      <c r="C1505" s="0" t="n">
        <v>437052</v>
      </c>
      <c r="D1505" s="0" t="s">
        <v>5009</v>
      </c>
      <c r="E1505" s="0" t="s">
        <v>89</v>
      </c>
      <c r="F1505" s="0" t="s">
        <v>15</v>
      </c>
      <c r="G1505" s="0" t="s">
        <v>16</v>
      </c>
      <c r="H1505" s="0" t="n">
        <v>63</v>
      </c>
      <c r="I1505" s="0" t="s">
        <v>5016</v>
      </c>
      <c r="J1505" s="0" t="s">
        <v>5017</v>
      </c>
      <c r="K1505" s="0" t="s">
        <v>5018</v>
      </c>
      <c r="L1505" s="0" t="str">
        <f aca="false">HYPERLINK("https://www.ncbi.nlm.nih.gov/nuccore/CP000304.1?report=graph&amp;tracks=[key:gene_model_track,Options:GeneOnly]&amp;mk=436980:436999|offset_10|444444,437000:437019|offset_30|444444,437033:437052|offset_63|00cc00,437053:437072|offset_83|444444&amp;v=436779:437272&amp;c=444444", "offset 63")</f>
        <v>offset 63</v>
      </c>
    </row>
    <row r="1506" customFormat="false" ht="12.8" hidden="false" customHeight="false" outlineLevel="0" collapsed="false">
      <c r="A1506" s="0" t="s">
        <v>12</v>
      </c>
      <c r="B1506" s="0" t="n">
        <v>437052</v>
      </c>
      <c r="C1506" s="0" t="n">
        <v>437072</v>
      </c>
      <c r="D1506" s="0" t="s">
        <v>5009</v>
      </c>
      <c r="E1506" s="0" t="s">
        <v>89</v>
      </c>
      <c r="F1506" s="0" t="s">
        <v>15</v>
      </c>
      <c r="G1506" s="0" t="s">
        <v>26</v>
      </c>
      <c r="H1506" s="0" t="n">
        <v>83</v>
      </c>
      <c r="I1506" s="0" t="s">
        <v>5019</v>
      </c>
      <c r="J1506" s="0" t="s">
        <v>5020</v>
      </c>
      <c r="K1506" s="0" t="s">
        <v>5021</v>
      </c>
      <c r="L1506" s="0" t="str">
        <f aca="false">HYPERLINK("https://www.ncbi.nlm.nih.gov/nuccore/CP000304.1?report=graph&amp;tracks=[key:gene_model_track,Options:GeneOnly]&amp;mk=436980:436999|offset_10|444444,437000:437019|offset_30|444444,437033:437052|offset_63|444444,437053:437072|offset_83|00cc00&amp;v=436779:437272&amp;c=444444", "offset 83")</f>
        <v>offset 83</v>
      </c>
    </row>
    <row r="1507" customFormat="false" ht="12.8" hidden="false" customHeight="false" outlineLevel="0" collapsed="false">
      <c r="A1507" s="0" t="s">
        <v>12</v>
      </c>
      <c r="B1507" s="0" t="n">
        <v>440273</v>
      </c>
      <c r="C1507" s="0" t="n">
        <v>440293</v>
      </c>
      <c r="D1507" s="0" t="s">
        <v>5022</v>
      </c>
      <c r="E1507" s="0" t="s">
        <v>89</v>
      </c>
      <c r="F1507" s="0" t="s">
        <v>90</v>
      </c>
      <c r="G1507" s="0" t="s">
        <v>26</v>
      </c>
      <c r="H1507" s="0" t="n">
        <v>0</v>
      </c>
      <c r="I1507" s="0" t="s">
        <v>5023</v>
      </c>
      <c r="J1507" s="0" t="s">
        <v>5024</v>
      </c>
      <c r="K1507" s="0" t="s">
        <v>5025</v>
      </c>
      <c r="L1507" s="0" t="str">
        <f aca="false">HYPERLINK("https://www.ncbi.nlm.nih.gov/nuccore/CP000304.1?report=graph&amp;tracks=[key:gene_model_track,Options:GeneOnly]&amp;mk=440274:440293|offset_0|00cc00,440231:440250|offset_43|444444,440197:440216|offset_77|444444,440177:440196|offset_97|444444&amp;v=440073:440396&amp;c=444444", "offset 0")</f>
        <v>offset 0</v>
      </c>
    </row>
    <row r="1508" customFormat="false" ht="12.8" hidden="false" customHeight="false" outlineLevel="0" collapsed="false">
      <c r="A1508" s="0" t="s">
        <v>12</v>
      </c>
      <c r="B1508" s="0" t="n">
        <v>440230</v>
      </c>
      <c r="C1508" s="0" t="n">
        <v>440250</v>
      </c>
      <c r="D1508" s="0" t="s">
        <v>5022</v>
      </c>
      <c r="E1508" s="0" t="s">
        <v>89</v>
      </c>
      <c r="F1508" s="0" t="s">
        <v>90</v>
      </c>
      <c r="G1508" s="0" t="s">
        <v>16</v>
      </c>
      <c r="H1508" s="0" t="n">
        <v>43</v>
      </c>
      <c r="I1508" s="0" t="s">
        <v>5026</v>
      </c>
      <c r="J1508" s="0" t="s">
        <v>5027</v>
      </c>
      <c r="K1508" s="0" t="s">
        <v>5028</v>
      </c>
      <c r="L1508" s="0" t="str">
        <f aca="false">HYPERLINK("https://www.ncbi.nlm.nih.gov/nuccore/CP000304.1?report=graph&amp;tracks=[key:gene_model_track,Options:GeneOnly]&amp;mk=440274:440293|offset_0|444444,440231:440250|offset_43|00cc00,440197:440216|offset_77|444444,440177:440196|offset_97|444444&amp;v=440073:440396&amp;c=444444", "offset 43")</f>
        <v>offset 43</v>
      </c>
    </row>
    <row r="1509" customFormat="false" ht="12.8" hidden="false" customHeight="false" outlineLevel="0" collapsed="false">
      <c r="A1509" s="0" t="s">
        <v>12</v>
      </c>
      <c r="B1509" s="0" t="n">
        <v>440196</v>
      </c>
      <c r="C1509" s="0" t="n">
        <v>440216</v>
      </c>
      <c r="D1509" s="0" t="s">
        <v>5022</v>
      </c>
      <c r="E1509" s="0" t="s">
        <v>89</v>
      </c>
      <c r="F1509" s="0" t="s">
        <v>90</v>
      </c>
      <c r="G1509" s="0" t="s">
        <v>26</v>
      </c>
      <c r="H1509" s="0" t="n">
        <v>77</v>
      </c>
      <c r="I1509" s="0" t="s">
        <v>5029</v>
      </c>
      <c r="J1509" s="0" t="s">
        <v>5030</v>
      </c>
      <c r="K1509" s="0" t="s">
        <v>5031</v>
      </c>
      <c r="L1509" s="0" t="str">
        <f aca="false">HYPERLINK("https://www.ncbi.nlm.nih.gov/nuccore/CP000304.1?report=graph&amp;tracks=[key:gene_model_track,Options:GeneOnly]&amp;mk=440274:440293|offset_0|444444,440231:440250|offset_43|444444,440197:440216|offset_77|00cc00,440177:440196|offset_97|444444&amp;v=440073:440396&amp;c=444444", "offset 77")</f>
        <v>offset 77</v>
      </c>
    </row>
    <row r="1510" customFormat="false" ht="12.8" hidden="false" customHeight="false" outlineLevel="0" collapsed="false">
      <c r="A1510" s="0" t="s">
        <v>12</v>
      </c>
      <c r="B1510" s="0" t="n">
        <v>440176</v>
      </c>
      <c r="C1510" s="0" t="n">
        <v>440196</v>
      </c>
      <c r="D1510" s="0" t="s">
        <v>5022</v>
      </c>
      <c r="E1510" s="0" t="s">
        <v>89</v>
      </c>
      <c r="F1510" s="0" t="s">
        <v>90</v>
      </c>
      <c r="G1510" s="0" t="s">
        <v>32</v>
      </c>
      <c r="H1510" s="0" t="n">
        <v>97</v>
      </c>
      <c r="I1510" s="0" t="s">
        <v>5032</v>
      </c>
      <c r="J1510" s="0" t="s">
        <v>5033</v>
      </c>
      <c r="K1510" s="0" t="s">
        <v>5034</v>
      </c>
      <c r="L1510" s="0" t="str">
        <f aca="false">HYPERLINK("https://www.ncbi.nlm.nih.gov/nuccore/CP000304.1?report=graph&amp;tracks=[key:gene_model_track,Options:GeneOnly]&amp;mk=440274:440293|offset_0|444444,440231:440250|offset_43|444444,440197:440216|offset_77|444444,440177:440196|offset_97|00cc00&amp;v=440073:440396&amp;c=444444", "offset 97")</f>
        <v>offset 97</v>
      </c>
    </row>
    <row r="1511" customFormat="false" ht="12.8" hidden="false" customHeight="false" outlineLevel="0" collapsed="false">
      <c r="A1511" s="0" t="s">
        <v>12</v>
      </c>
      <c r="B1511" s="0" t="n">
        <v>440912</v>
      </c>
      <c r="C1511" s="0" t="n">
        <v>440932</v>
      </c>
      <c r="D1511" s="0" t="s">
        <v>5035</v>
      </c>
      <c r="E1511" s="0" t="s">
        <v>89</v>
      </c>
      <c r="F1511" s="0" t="s">
        <v>90</v>
      </c>
      <c r="G1511" s="0" t="s">
        <v>16</v>
      </c>
      <c r="H1511" s="0" t="n">
        <v>17</v>
      </c>
      <c r="I1511" s="0" t="s">
        <v>5036</v>
      </c>
      <c r="J1511" s="0" t="s">
        <v>5037</v>
      </c>
      <c r="K1511" s="0" t="s">
        <v>5038</v>
      </c>
      <c r="L1511" s="0" t="str">
        <f aca="false">HYPERLINK("https://www.ncbi.nlm.nih.gov/nuccore/CP000304.1?report=graph&amp;tracks=[key:gene_model_track,Options:GeneOnly]&amp;mk=440913:440932|offset_17|00cc00,440883:440902|offset_47|444444,440862:440881|offset_68|444444,440812:440831|offset_118|444444&amp;v=440712:441031&amp;c=444444", "offset 17")</f>
        <v>offset 17</v>
      </c>
    </row>
    <row r="1512" customFormat="false" ht="12.8" hidden="false" customHeight="false" outlineLevel="0" collapsed="false">
      <c r="A1512" s="0" t="s">
        <v>12</v>
      </c>
      <c r="B1512" s="0" t="n">
        <v>440882</v>
      </c>
      <c r="C1512" s="0" t="n">
        <v>440902</v>
      </c>
      <c r="D1512" s="0" t="s">
        <v>5035</v>
      </c>
      <c r="E1512" s="0" t="s">
        <v>89</v>
      </c>
      <c r="F1512" s="0" t="s">
        <v>90</v>
      </c>
      <c r="G1512" s="0" t="s">
        <v>26</v>
      </c>
      <c r="H1512" s="0" t="n">
        <v>47</v>
      </c>
      <c r="I1512" s="0" t="s">
        <v>5039</v>
      </c>
      <c r="J1512" s="0" t="s">
        <v>5040</v>
      </c>
      <c r="K1512" s="0" t="s">
        <v>5041</v>
      </c>
      <c r="L1512" s="0" t="str">
        <f aca="false">HYPERLINK("https://www.ncbi.nlm.nih.gov/nuccore/CP000304.1?report=graph&amp;tracks=[key:gene_model_track,Options:GeneOnly]&amp;mk=440913:440932|offset_17|444444,440883:440902|offset_47|00cc00,440862:440881|offset_68|444444,440812:440831|offset_118|444444&amp;v=440712:441031&amp;c=444444", "offset 47")</f>
        <v>offset 47</v>
      </c>
    </row>
    <row r="1513" customFormat="false" ht="12.8" hidden="false" customHeight="false" outlineLevel="0" collapsed="false">
      <c r="A1513" s="0" t="s">
        <v>12</v>
      </c>
      <c r="B1513" s="0" t="n">
        <v>440861</v>
      </c>
      <c r="C1513" s="0" t="n">
        <v>440881</v>
      </c>
      <c r="D1513" s="0" t="s">
        <v>5035</v>
      </c>
      <c r="E1513" s="0" t="s">
        <v>89</v>
      </c>
      <c r="F1513" s="0" t="s">
        <v>90</v>
      </c>
      <c r="G1513" s="0" t="s">
        <v>26</v>
      </c>
      <c r="H1513" s="0" t="n">
        <v>68</v>
      </c>
      <c r="I1513" s="0" t="s">
        <v>5042</v>
      </c>
      <c r="J1513" s="0" t="s">
        <v>5043</v>
      </c>
      <c r="K1513" s="0" t="s">
        <v>5044</v>
      </c>
      <c r="L1513" s="0" t="str">
        <f aca="false">HYPERLINK("https://www.ncbi.nlm.nih.gov/nuccore/CP000304.1?report=graph&amp;tracks=[key:gene_model_track,Options:GeneOnly]&amp;mk=440913:440932|offset_17|444444,440883:440902|offset_47|444444,440862:440881|offset_68|00cc00,440812:440831|offset_118|444444&amp;v=440712:441031&amp;c=444444", "offset 68")</f>
        <v>offset 68</v>
      </c>
    </row>
    <row r="1514" customFormat="false" ht="12.8" hidden="false" customHeight="false" outlineLevel="0" collapsed="false">
      <c r="A1514" s="0" t="s">
        <v>12</v>
      </c>
      <c r="B1514" s="0" t="n">
        <v>440811</v>
      </c>
      <c r="C1514" s="0" t="n">
        <v>440831</v>
      </c>
      <c r="D1514" s="0" t="s">
        <v>5035</v>
      </c>
      <c r="E1514" s="0" t="s">
        <v>89</v>
      </c>
      <c r="F1514" s="0" t="s">
        <v>90</v>
      </c>
      <c r="G1514" s="0" t="s">
        <v>26</v>
      </c>
      <c r="H1514" s="0" t="n">
        <v>118</v>
      </c>
      <c r="I1514" s="0" t="s">
        <v>5045</v>
      </c>
      <c r="J1514" s="0" t="s">
        <v>5046</v>
      </c>
      <c r="K1514" s="0" t="s">
        <v>5047</v>
      </c>
      <c r="L1514" s="0" t="str">
        <f aca="false">HYPERLINK("https://www.ncbi.nlm.nih.gov/nuccore/CP000304.1?report=graph&amp;tracks=[key:gene_model_track,Options:GeneOnly]&amp;mk=440913:440932|offset_17|444444,440883:440902|offset_47|444444,440862:440881|offset_68|444444,440812:440831|offset_118|00cc00&amp;v=440712:441031&amp;c=444444", "offset 118")</f>
        <v>offset 118</v>
      </c>
    </row>
    <row r="1515" customFormat="false" ht="12.8" hidden="false" customHeight="false" outlineLevel="0" collapsed="false">
      <c r="A1515" s="0" t="s">
        <v>12</v>
      </c>
      <c r="B1515" s="0" t="n">
        <v>442395</v>
      </c>
      <c r="C1515" s="0" t="n">
        <v>442415</v>
      </c>
      <c r="D1515" s="0" t="s">
        <v>5048</v>
      </c>
      <c r="E1515" s="0" t="s">
        <v>5049</v>
      </c>
      <c r="F1515" s="0" t="s">
        <v>90</v>
      </c>
      <c r="G1515" s="0" t="s">
        <v>16</v>
      </c>
      <c r="H1515" s="0" t="n">
        <v>71</v>
      </c>
      <c r="I1515" s="0" t="s">
        <v>5050</v>
      </c>
      <c r="J1515" s="0" t="s">
        <v>5051</v>
      </c>
      <c r="K1515" s="0" t="s">
        <v>5052</v>
      </c>
      <c r="L1515" s="0" t="str">
        <f aca="false">HYPERLINK("https://www.ncbi.nlm.nih.gov/nuccore/CP000304.1?report=graph&amp;tracks=[key:gene_model_track,Options:GeneOnly]&amp;mk=442396:442415|offset_71|00cc00,442361:442380|offset_106|444444,442313:442332|offset_154|444444,442275:442294|offset_192|444444&amp;v=442195:442494&amp;c=444444", "offset 71")</f>
        <v>offset 71</v>
      </c>
    </row>
    <row r="1516" customFormat="false" ht="12.8" hidden="false" customHeight="false" outlineLevel="0" collapsed="false">
      <c r="A1516" s="0" t="s">
        <v>12</v>
      </c>
      <c r="B1516" s="0" t="n">
        <v>442360</v>
      </c>
      <c r="C1516" s="0" t="n">
        <v>442380</v>
      </c>
      <c r="D1516" s="0" t="s">
        <v>5048</v>
      </c>
      <c r="E1516" s="0" t="s">
        <v>5049</v>
      </c>
      <c r="F1516" s="0" t="s">
        <v>90</v>
      </c>
      <c r="G1516" s="0" t="s">
        <v>36</v>
      </c>
      <c r="H1516" s="0" t="n">
        <v>106</v>
      </c>
      <c r="I1516" s="0" t="s">
        <v>5053</v>
      </c>
      <c r="J1516" s="0" t="s">
        <v>5054</v>
      </c>
      <c r="K1516" s="0" t="s">
        <v>5055</v>
      </c>
      <c r="L1516" s="0" t="str">
        <f aca="false">HYPERLINK("https://www.ncbi.nlm.nih.gov/nuccore/CP000304.1?report=graph&amp;tracks=[key:gene_model_track,Options:GeneOnly]&amp;mk=442396:442415|offset_71|444444,442361:442380|offset_106|00cc00,442313:442332|offset_154|444444,442275:442294|offset_192|444444&amp;v=442195:442494&amp;c=444444", "offset 106")</f>
        <v>offset 106</v>
      </c>
    </row>
    <row r="1517" customFormat="false" ht="12.8" hidden="false" customHeight="false" outlineLevel="0" collapsed="false">
      <c r="A1517" s="0" t="s">
        <v>12</v>
      </c>
      <c r="B1517" s="0" t="n">
        <v>442312</v>
      </c>
      <c r="C1517" s="0" t="n">
        <v>442332</v>
      </c>
      <c r="D1517" s="0" t="s">
        <v>5048</v>
      </c>
      <c r="E1517" s="0" t="s">
        <v>5049</v>
      </c>
      <c r="F1517" s="0" t="s">
        <v>90</v>
      </c>
      <c r="G1517" s="0" t="s">
        <v>16</v>
      </c>
      <c r="H1517" s="0" t="n">
        <v>154</v>
      </c>
      <c r="I1517" s="0" t="s">
        <v>5056</v>
      </c>
      <c r="J1517" s="0" t="s">
        <v>5057</v>
      </c>
      <c r="K1517" s="0" t="s">
        <v>5058</v>
      </c>
      <c r="L1517" s="0" t="str">
        <f aca="false">HYPERLINK("https://www.ncbi.nlm.nih.gov/nuccore/CP000304.1?report=graph&amp;tracks=[key:gene_model_track,Options:GeneOnly]&amp;mk=442396:442415|offset_71|444444,442361:442380|offset_106|444444,442313:442332|offset_154|00cc00,442275:442294|offset_192|444444&amp;v=442195:442494&amp;c=444444", "offset 154")</f>
        <v>offset 154</v>
      </c>
    </row>
    <row r="1518" customFormat="false" ht="12.8" hidden="false" customHeight="false" outlineLevel="0" collapsed="false">
      <c r="A1518" s="0" t="s">
        <v>12</v>
      </c>
      <c r="B1518" s="0" t="n">
        <v>442274</v>
      </c>
      <c r="C1518" s="0" t="n">
        <v>442294</v>
      </c>
      <c r="D1518" s="0" t="s">
        <v>5048</v>
      </c>
      <c r="E1518" s="0" t="s">
        <v>5049</v>
      </c>
      <c r="F1518" s="0" t="s">
        <v>90</v>
      </c>
      <c r="G1518" s="0" t="s">
        <v>36</v>
      </c>
      <c r="H1518" s="0" t="n">
        <v>192</v>
      </c>
      <c r="I1518" s="0" t="s">
        <v>5059</v>
      </c>
      <c r="J1518" s="0" t="s">
        <v>5060</v>
      </c>
      <c r="K1518" s="0" t="s">
        <v>5061</v>
      </c>
      <c r="L1518" s="0" t="str">
        <f aca="false">HYPERLINK("https://www.ncbi.nlm.nih.gov/nuccore/CP000304.1?report=graph&amp;tracks=[key:gene_model_track,Options:GeneOnly]&amp;mk=442396:442415|offset_71|444444,442361:442380|offset_106|444444,442313:442332|offset_154|444444,442275:442294|offset_192|00cc00&amp;v=442195:442494&amp;c=444444", "offset 192")</f>
        <v>offset 192</v>
      </c>
    </row>
    <row r="1519" customFormat="false" ht="12.8" hidden="false" customHeight="false" outlineLevel="0" collapsed="false">
      <c r="A1519" s="0" t="s">
        <v>12</v>
      </c>
      <c r="B1519" s="0" t="n">
        <v>443033</v>
      </c>
      <c r="C1519" s="0" t="n">
        <v>443053</v>
      </c>
      <c r="D1519" s="0" t="s">
        <v>5062</v>
      </c>
      <c r="E1519" s="0" t="s">
        <v>5063</v>
      </c>
      <c r="F1519" s="0" t="s">
        <v>90</v>
      </c>
      <c r="G1519" s="0" t="s">
        <v>32</v>
      </c>
      <c r="H1519" s="0" t="n">
        <v>44</v>
      </c>
      <c r="I1519" s="0" t="s">
        <v>5064</v>
      </c>
      <c r="J1519" s="0" t="s">
        <v>5065</v>
      </c>
      <c r="K1519" s="0" t="s">
        <v>5066</v>
      </c>
      <c r="L1519" s="0" t="str">
        <f aca="false">HYPERLINK("https://www.ncbi.nlm.nih.gov/nuccore/CP000304.1?report=graph&amp;tracks=[key:gene_model_track,Options:GeneOnly]&amp;mk=443034:443053|offset_44|00cc00,442990:443009|offset_88|444444,442957:442976|offset_121|444444,442933:442952|offset_145|444444&amp;v=442833:443152&amp;c=444444", "offset 44")</f>
        <v>offset 44</v>
      </c>
    </row>
    <row r="1520" customFormat="false" ht="12.8" hidden="false" customHeight="false" outlineLevel="0" collapsed="false">
      <c r="A1520" s="0" t="s">
        <v>12</v>
      </c>
      <c r="B1520" s="0" t="n">
        <v>442989</v>
      </c>
      <c r="C1520" s="0" t="n">
        <v>443009</v>
      </c>
      <c r="D1520" s="0" t="s">
        <v>5062</v>
      </c>
      <c r="E1520" s="0" t="s">
        <v>5063</v>
      </c>
      <c r="F1520" s="0" t="s">
        <v>90</v>
      </c>
      <c r="G1520" s="0" t="s">
        <v>16</v>
      </c>
      <c r="H1520" s="0" t="n">
        <v>88</v>
      </c>
      <c r="I1520" s="0" t="s">
        <v>5067</v>
      </c>
      <c r="J1520" s="0" t="s">
        <v>5068</v>
      </c>
      <c r="K1520" s="0" t="s">
        <v>5069</v>
      </c>
      <c r="L1520" s="0" t="str">
        <f aca="false">HYPERLINK("https://www.ncbi.nlm.nih.gov/nuccore/CP000304.1?report=graph&amp;tracks=[key:gene_model_track,Options:GeneOnly]&amp;mk=443034:443053|offset_44|444444,442990:443009|offset_88|00cc00,442957:442976|offset_121|444444,442933:442952|offset_145|444444&amp;v=442833:443152&amp;c=444444", "offset 88")</f>
        <v>offset 88</v>
      </c>
    </row>
    <row r="1521" customFormat="false" ht="12.8" hidden="false" customHeight="false" outlineLevel="0" collapsed="false">
      <c r="A1521" s="0" t="s">
        <v>12</v>
      </c>
      <c r="B1521" s="0" t="n">
        <v>442956</v>
      </c>
      <c r="C1521" s="0" t="n">
        <v>442976</v>
      </c>
      <c r="D1521" s="0" t="s">
        <v>5062</v>
      </c>
      <c r="E1521" s="0" t="s">
        <v>5063</v>
      </c>
      <c r="F1521" s="0" t="s">
        <v>90</v>
      </c>
      <c r="G1521" s="0" t="s">
        <v>36</v>
      </c>
      <c r="H1521" s="0" t="n">
        <v>121</v>
      </c>
      <c r="I1521" s="0" t="s">
        <v>5070</v>
      </c>
      <c r="J1521" s="0" t="s">
        <v>5071</v>
      </c>
      <c r="K1521" s="0" t="s">
        <v>5072</v>
      </c>
      <c r="L1521" s="0" t="str">
        <f aca="false">HYPERLINK("https://www.ncbi.nlm.nih.gov/nuccore/CP000304.1?report=graph&amp;tracks=[key:gene_model_track,Options:GeneOnly]&amp;mk=443034:443053|offset_44|444444,442990:443009|offset_88|444444,442957:442976|offset_121|00cc00,442933:442952|offset_145|444444&amp;v=442833:443152&amp;c=444444", "offset 121")</f>
        <v>offset 121</v>
      </c>
    </row>
    <row r="1522" customFormat="false" ht="12.8" hidden="false" customHeight="false" outlineLevel="0" collapsed="false">
      <c r="A1522" s="0" t="s">
        <v>12</v>
      </c>
      <c r="B1522" s="0" t="n">
        <v>442932</v>
      </c>
      <c r="C1522" s="0" t="n">
        <v>442952</v>
      </c>
      <c r="D1522" s="0" t="s">
        <v>5062</v>
      </c>
      <c r="E1522" s="0" t="s">
        <v>5063</v>
      </c>
      <c r="F1522" s="0" t="s">
        <v>90</v>
      </c>
      <c r="G1522" s="0" t="s">
        <v>16</v>
      </c>
      <c r="H1522" s="0" t="n">
        <v>145</v>
      </c>
      <c r="I1522" s="0" t="s">
        <v>5073</v>
      </c>
      <c r="J1522" s="0" t="s">
        <v>5074</v>
      </c>
      <c r="K1522" s="0" t="s">
        <v>5075</v>
      </c>
      <c r="L1522" s="0" t="str">
        <f aca="false">HYPERLINK("https://www.ncbi.nlm.nih.gov/nuccore/CP000304.1?report=graph&amp;tracks=[key:gene_model_track,Options:GeneOnly]&amp;mk=443034:443053|offset_44|444444,442990:443009|offset_88|444444,442957:442976|offset_121|444444,442933:442952|offset_145|00cc00&amp;v=442833:443152&amp;c=444444", "offset 145")</f>
        <v>offset 145</v>
      </c>
    </row>
    <row r="1523" customFormat="false" ht="12.8" hidden="false" customHeight="false" outlineLevel="0" collapsed="false">
      <c r="A1523" s="0" t="s">
        <v>12</v>
      </c>
      <c r="B1523" s="0" t="n">
        <v>443600</v>
      </c>
      <c r="C1523" s="0" t="n">
        <v>443620</v>
      </c>
      <c r="D1523" s="0" t="s">
        <v>5076</v>
      </c>
      <c r="E1523" s="0" t="s">
        <v>5077</v>
      </c>
      <c r="F1523" s="0" t="s">
        <v>90</v>
      </c>
      <c r="G1523" s="0" t="s">
        <v>16</v>
      </c>
      <c r="H1523" s="0" t="n">
        <v>17</v>
      </c>
      <c r="I1523" s="0" t="s">
        <v>5078</v>
      </c>
      <c r="J1523" s="0" t="s">
        <v>5079</v>
      </c>
      <c r="K1523" s="0" t="s">
        <v>5080</v>
      </c>
      <c r="L1523" s="0" t="str">
        <f aca="false">HYPERLINK("https://www.ncbi.nlm.nih.gov/nuccore/CP000304.1?report=graph&amp;tracks=[key:gene_model_track,Options:GeneOnly]&amp;mk=443601:443620|offset_17|00cc00,443569:443588|offset_49|444444,443542:443561|offset_76|444444,443518:443537|offset_100|444444&amp;v=443400:443737&amp;c=444444", "offset 17")</f>
        <v>offset 17</v>
      </c>
    </row>
    <row r="1524" customFormat="false" ht="12.8" hidden="false" customHeight="false" outlineLevel="0" collapsed="false">
      <c r="A1524" s="0" t="s">
        <v>12</v>
      </c>
      <c r="B1524" s="0" t="n">
        <v>443568</v>
      </c>
      <c r="C1524" s="0" t="n">
        <v>443588</v>
      </c>
      <c r="D1524" s="0" t="s">
        <v>5076</v>
      </c>
      <c r="E1524" s="0" t="s">
        <v>5077</v>
      </c>
      <c r="F1524" s="0" t="s">
        <v>90</v>
      </c>
      <c r="G1524" s="0" t="s">
        <v>26</v>
      </c>
      <c r="H1524" s="0" t="n">
        <v>49</v>
      </c>
      <c r="I1524" s="0" t="s">
        <v>5081</v>
      </c>
      <c r="J1524" s="0" t="s">
        <v>5082</v>
      </c>
      <c r="K1524" s="0" t="s">
        <v>5083</v>
      </c>
      <c r="L1524" s="0" t="str">
        <f aca="false">HYPERLINK("https://www.ncbi.nlm.nih.gov/nuccore/CP000304.1?report=graph&amp;tracks=[key:gene_model_track,Options:GeneOnly]&amp;mk=443601:443620|offset_17|444444,443569:443588|offset_49|00cc00,443542:443561|offset_76|444444,443518:443537|offset_100|444444&amp;v=443400:443737&amp;c=444444", "offset 49")</f>
        <v>offset 49</v>
      </c>
    </row>
    <row r="1525" customFormat="false" ht="12.8" hidden="false" customHeight="false" outlineLevel="0" collapsed="false">
      <c r="A1525" s="0" t="s">
        <v>12</v>
      </c>
      <c r="B1525" s="0" t="n">
        <v>443541</v>
      </c>
      <c r="C1525" s="0" t="n">
        <v>443561</v>
      </c>
      <c r="D1525" s="0" t="s">
        <v>5076</v>
      </c>
      <c r="E1525" s="0" t="s">
        <v>5077</v>
      </c>
      <c r="F1525" s="0" t="s">
        <v>90</v>
      </c>
      <c r="G1525" s="0" t="s">
        <v>16</v>
      </c>
      <c r="H1525" s="0" t="n">
        <v>76</v>
      </c>
      <c r="I1525" s="0" t="s">
        <v>5084</v>
      </c>
      <c r="J1525" s="0" t="s">
        <v>5085</v>
      </c>
      <c r="K1525" s="0" t="s">
        <v>5086</v>
      </c>
      <c r="L1525" s="0" t="str">
        <f aca="false">HYPERLINK("https://www.ncbi.nlm.nih.gov/nuccore/CP000304.1?report=graph&amp;tracks=[key:gene_model_track,Options:GeneOnly]&amp;mk=443601:443620|offset_17|444444,443569:443588|offset_49|444444,443542:443561|offset_76|00cc00,443518:443537|offset_100|444444&amp;v=443400:443737&amp;c=444444", "offset 76")</f>
        <v>offset 76</v>
      </c>
    </row>
    <row r="1526" customFormat="false" ht="12.8" hidden="false" customHeight="false" outlineLevel="0" collapsed="false">
      <c r="A1526" s="0" t="s">
        <v>12</v>
      </c>
      <c r="B1526" s="0" t="n">
        <v>443517</v>
      </c>
      <c r="C1526" s="0" t="n">
        <v>443537</v>
      </c>
      <c r="D1526" s="0" t="s">
        <v>5076</v>
      </c>
      <c r="E1526" s="0" t="s">
        <v>5077</v>
      </c>
      <c r="F1526" s="0" t="s">
        <v>90</v>
      </c>
      <c r="G1526" s="0" t="s">
        <v>26</v>
      </c>
      <c r="H1526" s="0" t="n">
        <v>100</v>
      </c>
      <c r="I1526" s="0" t="s">
        <v>5087</v>
      </c>
      <c r="J1526" s="0" t="s">
        <v>5088</v>
      </c>
      <c r="K1526" s="0" t="s">
        <v>5089</v>
      </c>
      <c r="L1526" s="0" t="str">
        <f aca="false">HYPERLINK("https://www.ncbi.nlm.nih.gov/nuccore/CP000304.1?report=graph&amp;tracks=[key:gene_model_track,Options:GeneOnly]&amp;mk=443601:443620|offset_17|444444,443569:443588|offset_49|444444,443542:443561|offset_76|444444,443518:443537|offset_100|00cc00&amp;v=443400:443737&amp;c=444444", "offset 100")</f>
        <v>offset 100</v>
      </c>
    </row>
    <row r="1527" customFormat="false" ht="12.8" hidden="false" customHeight="false" outlineLevel="0" collapsed="false">
      <c r="A1527" s="0" t="s">
        <v>12</v>
      </c>
      <c r="B1527" s="0" t="n">
        <v>444286</v>
      </c>
      <c r="C1527" s="0" t="n">
        <v>444306</v>
      </c>
      <c r="D1527" s="0" t="s">
        <v>5090</v>
      </c>
      <c r="E1527" s="0" t="s">
        <v>89</v>
      </c>
      <c r="F1527" s="0" t="s">
        <v>90</v>
      </c>
      <c r="G1527" s="0" t="s">
        <v>36</v>
      </c>
      <c r="H1527" s="0" t="n">
        <v>16</v>
      </c>
      <c r="I1527" s="0" t="s">
        <v>5091</v>
      </c>
      <c r="J1527" s="0" t="s">
        <v>5092</v>
      </c>
      <c r="K1527" s="0" t="s">
        <v>5093</v>
      </c>
      <c r="L1527" s="0" t="str">
        <f aca="false">HYPERLINK("https://www.ncbi.nlm.nih.gov/nuccore/CP000304.1?report=graph&amp;tracks=[key:gene_model_track,Options:GeneOnly]&amp;mk=444287:444306|offset_16|00cc00,444263:444282|offset_40|444444,444239:444258|offset_64|444444,444217:444236|offset_86|444444&amp;v=444086:444436&amp;c=444444", "offset 16")</f>
        <v>offset 16</v>
      </c>
    </row>
    <row r="1528" customFormat="false" ht="12.8" hidden="false" customHeight="false" outlineLevel="0" collapsed="false">
      <c r="A1528" s="0" t="s">
        <v>12</v>
      </c>
      <c r="B1528" s="0" t="n">
        <v>444262</v>
      </c>
      <c r="C1528" s="0" t="n">
        <v>444282</v>
      </c>
      <c r="D1528" s="0" t="s">
        <v>5090</v>
      </c>
      <c r="E1528" s="0" t="s">
        <v>89</v>
      </c>
      <c r="F1528" s="0" t="s">
        <v>90</v>
      </c>
      <c r="G1528" s="0" t="s">
        <v>16</v>
      </c>
      <c r="H1528" s="0" t="n">
        <v>40</v>
      </c>
      <c r="I1528" s="0" t="s">
        <v>5094</v>
      </c>
      <c r="J1528" s="0" t="s">
        <v>5095</v>
      </c>
      <c r="K1528" s="0" t="s">
        <v>5096</v>
      </c>
      <c r="L1528" s="0" t="str">
        <f aca="false">HYPERLINK("https://www.ncbi.nlm.nih.gov/nuccore/CP000304.1?report=graph&amp;tracks=[key:gene_model_track,Options:GeneOnly]&amp;mk=444287:444306|offset_16|444444,444263:444282|offset_40|00cc00,444239:444258|offset_64|444444,444217:444236|offset_86|444444&amp;v=444086:444436&amp;c=444444", "offset 40")</f>
        <v>offset 40</v>
      </c>
    </row>
    <row r="1529" customFormat="false" ht="12.8" hidden="false" customHeight="false" outlineLevel="0" collapsed="false">
      <c r="A1529" s="0" t="s">
        <v>12</v>
      </c>
      <c r="B1529" s="0" t="n">
        <v>444238</v>
      </c>
      <c r="C1529" s="0" t="n">
        <v>444258</v>
      </c>
      <c r="D1529" s="0" t="s">
        <v>5090</v>
      </c>
      <c r="E1529" s="0" t="s">
        <v>89</v>
      </c>
      <c r="F1529" s="0" t="s">
        <v>90</v>
      </c>
      <c r="G1529" s="0" t="s">
        <v>36</v>
      </c>
      <c r="H1529" s="0" t="n">
        <v>64</v>
      </c>
      <c r="I1529" s="0" t="s">
        <v>5097</v>
      </c>
      <c r="J1529" s="0" t="s">
        <v>5098</v>
      </c>
      <c r="K1529" s="0" t="s">
        <v>5099</v>
      </c>
      <c r="L1529" s="0" t="str">
        <f aca="false">HYPERLINK("https://www.ncbi.nlm.nih.gov/nuccore/CP000304.1?report=graph&amp;tracks=[key:gene_model_track,Options:GeneOnly]&amp;mk=444287:444306|offset_16|444444,444263:444282|offset_40|444444,444239:444258|offset_64|00cc00,444217:444236|offset_86|444444&amp;v=444086:444436&amp;c=444444", "offset 64")</f>
        <v>offset 64</v>
      </c>
    </row>
    <row r="1530" customFormat="false" ht="12.8" hidden="false" customHeight="false" outlineLevel="0" collapsed="false">
      <c r="A1530" s="0" t="s">
        <v>12</v>
      </c>
      <c r="B1530" s="0" t="n">
        <v>444216</v>
      </c>
      <c r="C1530" s="0" t="n">
        <v>444236</v>
      </c>
      <c r="D1530" s="0" t="s">
        <v>5090</v>
      </c>
      <c r="E1530" s="0" t="s">
        <v>89</v>
      </c>
      <c r="F1530" s="0" t="s">
        <v>90</v>
      </c>
      <c r="G1530" s="0" t="s">
        <v>26</v>
      </c>
      <c r="H1530" s="0" t="n">
        <v>86</v>
      </c>
      <c r="I1530" s="0" t="s">
        <v>5100</v>
      </c>
      <c r="J1530" s="0" t="s">
        <v>5101</v>
      </c>
      <c r="K1530" s="0" t="s">
        <v>5102</v>
      </c>
      <c r="L1530" s="0" t="str">
        <f aca="false">HYPERLINK("https://www.ncbi.nlm.nih.gov/nuccore/CP000304.1?report=graph&amp;tracks=[key:gene_model_track,Options:GeneOnly]&amp;mk=444287:444306|offset_16|444444,444263:444282|offset_40|444444,444239:444258|offset_64|444444,444217:444236|offset_86|00cc00&amp;v=444086:444436&amp;c=444444", "offset 86")</f>
        <v>offset 86</v>
      </c>
    </row>
    <row r="1531" customFormat="false" ht="12.8" hidden="false" customHeight="false" outlineLevel="0" collapsed="false">
      <c r="A1531" s="0" t="s">
        <v>12</v>
      </c>
      <c r="B1531" s="0" t="n">
        <v>445216</v>
      </c>
      <c r="C1531" s="0" t="n">
        <v>445236</v>
      </c>
      <c r="D1531" s="0" t="s">
        <v>5103</v>
      </c>
      <c r="E1531" s="0" t="s">
        <v>89</v>
      </c>
      <c r="F1531" s="0" t="s">
        <v>90</v>
      </c>
      <c r="G1531" s="0" t="s">
        <v>36</v>
      </c>
      <c r="H1531" s="0" t="n">
        <v>12</v>
      </c>
      <c r="I1531" s="0" t="s">
        <v>5104</v>
      </c>
      <c r="J1531" s="0" t="s">
        <v>5105</v>
      </c>
      <c r="K1531" s="0" t="s">
        <v>5106</v>
      </c>
      <c r="L1531" s="0" t="str">
        <f aca="false">HYPERLINK("https://www.ncbi.nlm.nih.gov/nuccore/CP000304.1?report=graph&amp;tracks=[key:gene_model_track,Options:GeneOnly]&amp;mk=445217:445236|offset_12|00cc00,445192:445211|offset_37|444444,445156:445175|offset_73|444444,445135:445154|offset_94|444444&amp;v=445016:445354&amp;c=444444", "offset 12")</f>
        <v>offset 12</v>
      </c>
    </row>
    <row r="1532" customFormat="false" ht="12.8" hidden="false" customHeight="false" outlineLevel="0" collapsed="false">
      <c r="A1532" s="0" t="s">
        <v>12</v>
      </c>
      <c r="B1532" s="0" t="n">
        <v>445191</v>
      </c>
      <c r="C1532" s="0" t="n">
        <v>445211</v>
      </c>
      <c r="D1532" s="0" t="s">
        <v>5103</v>
      </c>
      <c r="E1532" s="0" t="s">
        <v>89</v>
      </c>
      <c r="F1532" s="0" t="s">
        <v>90</v>
      </c>
      <c r="G1532" s="0" t="s">
        <v>26</v>
      </c>
      <c r="H1532" s="0" t="n">
        <v>37</v>
      </c>
      <c r="I1532" s="0" t="s">
        <v>5107</v>
      </c>
      <c r="J1532" s="0" t="s">
        <v>5108</v>
      </c>
      <c r="K1532" s="0" t="s">
        <v>5109</v>
      </c>
      <c r="L1532" s="0" t="str">
        <f aca="false">HYPERLINK("https://www.ncbi.nlm.nih.gov/nuccore/CP000304.1?report=graph&amp;tracks=[key:gene_model_track,Options:GeneOnly]&amp;mk=445217:445236|offset_12|444444,445192:445211|offset_37|00cc00,445156:445175|offset_73|444444,445135:445154|offset_94|444444&amp;v=445016:445354&amp;c=444444", "offset 37")</f>
        <v>offset 37</v>
      </c>
    </row>
    <row r="1533" customFormat="false" ht="12.8" hidden="false" customHeight="false" outlineLevel="0" collapsed="false">
      <c r="A1533" s="0" t="s">
        <v>12</v>
      </c>
      <c r="B1533" s="0" t="n">
        <v>445155</v>
      </c>
      <c r="C1533" s="0" t="n">
        <v>445175</v>
      </c>
      <c r="D1533" s="0" t="s">
        <v>5103</v>
      </c>
      <c r="E1533" s="0" t="s">
        <v>89</v>
      </c>
      <c r="F1533" s="0" t="s">
        <v>90</v>
      </c>
      <c r="G1533" s="0" t="s">
        <v>16</v>
      </c>
      <c r="H1533" s="0" t="n">
        <v>73</v>
      </c>
      <c r="I1533" s="0" t="s">
        <v>5110</v>
      </c>
      <c r="J1533" s="0" t="s">
        <v>5111</v>
      </c>
      <c r="K1533" s="0" t="s">
        <v>5112</v>
      </c>
      <c r="L1533" s="0" t="str">
        <f aca="false">HYPERLINK("https://www.ncbi.nlm.nih.gov/nuccore/CP000304.1?report=graph&amp;tracks=[key:gene_model_track,Options:GeneOnly]&amp;mk=445217:445236|offset_12|444444,445192:445211|offset_37|444444,445156:445175|offset_73|00cc00,445135:445154|offset_94|444444&amp;v=445016:445354&amp;c=444444", "offset 73")</f>
        <v>offset 73</v>
      </c>
    </row>
    <row r="1534" customFormat="false" ht="12.8" hidden="false" customHeight="false" outlineLevel="0" collapsed="false">
      <c r="A1534" s="0" t="s">
        <v>12</v>
      </c>
      <c r="B1534" s="0" t="n">
        <v>445134</v>
      </c>
      <c r="C1534" s="0" t="n">
        <v>445154</v>
      </c>
      <c r="D1534" s="0" t="s">
        <v>5103</v>
      </c>
      <c r="E1534" s="0" t="s">
        <v>89</v>
      </c>
      <c r="F1534" s="0" t="s">
        <v>90</v>
      </c>
      <c r="G1534" s="0" t="s">
        <v>16</v>
      </c>
      <c r="H1534" s="0" t="n">
        <v>94</v>
      </c>
      <c r="I1534" s="0" t="s">
        <v>5113</v>
      </c>
      <c r="J1534" s="0" t="s">
        <v>5114</v>
      </c>
      <c r="K1534" s="0" t="s">
        <v>5115</v>
      </c>
      <c r="L1534" s="0" t="str">
        <f aca="false">HYPERLINK("https://www.ncbi.nlm.nih.gov/nuccore/CP000304.1?report=graph&amp;tracks=[key:gene_model_track,Options:GeneOnly]&amp;mk=445217:445236|offset_12|444444,445192:445211|offset_37|444444,445156:445175|offset_73|444444,445135:445154|offset_94|00cc00&amp;v=445016:445354&amp;c=444444", "offset 94")</f>
        <v>offset 94</v>
      </c>
    </row>
    <row r="1535" customFormat="false" ht="12.8" hidden="false" customHeight="false" outlineLevel="0" collapsed="false">
      <c r="A1535" s="0" t="s">
        <v>12</v>
      </c>
      <c r="B1535" s="0" t="n">
        <v>445859</v>
      </c>
      <c r="C1535" s="0" t="n">
        <v>445879</v>
      </c>
      <c r="D1535" s="0" t="s">
        <v>5116</v>
      </c>
      <c r="E1535" s="0" t="s">
        <v>89</v>
      </c>
      <c r="F1535" s="0" t="s">
        <v>90</v>
      </c>
      <c r="G1535" s="0" t="s">
        <v>32</v>
      </c>
      <c r="H1535" s="0" t="n">
        <v>1</v>
      </c>
      <c r="I1535" s="0" t="s">
        <v>5117</v>
      </c>
      <c r="J1535" s="0" t="s">
        <v>5118</v>
      </c>
      <c r="K1535" s="0" t="s">
        <v>5119</v>
      </c>
      <c r="L1535" s="0" t="str">
        <f aca="false">HYPERLINK("https://www.ncbi.nlm.nih.gov/nuccore/CP000304.1?report=graph&amp;tracks=[key:gene_model_track,Options:GeneOnly]&amp;mk=445860:445879|offset_1|00cc00,445838:445857|offset_23|444444,445801:445820|offset_60|444444,445761:445780|offset_100|444444&amp;v=445659:445980&amp;c=444444", "offset 1")</f>
        <v>offset 1</v>
      </c>
    </row>
    <row r="1536" customFormat="false" ht="12.8" hidden="false" customHeight="false" outlineLevel="0" collapsed="false">
      <c r="A1536" s="0" t="s">
        <v>12</v>
      </c>
      <c r="B1536" s="0" t="n">
        <v>445837</v>
      </c>
      <c r="C1536" s="0" t="n">
        <v>445857</v>
      </c>
      <c r="D1536" s="0" t="s">
        <v>5116</v>
      </c>
      <c r="E1536" s="0" t="s">
        <v>89</v>
      </c>
      <c r="F1536" s="0" t="s">
        <v>90</v>
      </c>
      <c r="G1536" s="0" t="s">
        <v>32</v>
      </c>
      <c r="H1536" s="0" t="n">
        <v>23</v>
      </c>
      <c r="I1536" s="0" t="s">
        <v>5120</v>
      </c>
      <c r="J1536" s="0" t="s">
        <v>5121</v>
      </c>
      <c r="K1536" s="0" t="s">
        <v>5122</v>
      </c>
      <c r="L1536" s="0" t="str">
        <f aca="false">HYPERLINK("https://www.ncbi.nlm.nih.gov/nuccore/CP000304.1?report=graph&amp;tracks=[key:gene_model_track,Options:GeneOnly]&amp;mk=445860:445879|offset_1|444444,445838:445857|offset_23|00cc00,445801:445820|offset_60|444444,445761:445780|offset_100|444444&amp;v=445659:445980&amp;c=444444", "offset 23")</f>
        <v>offset 23</v>
      </c>
    </row>
    <row r="1537" customFormat="false" ht="12.8" hidden="false" customHeight="false" outlineLevel="0" collapsed="false">
      <c r="A1537" s="0" t="s">
        <v>12</v>
      </c>
      <c r="B1537" s="0" t="n">
        <v>445800</v>
      </c>
      <c r="C1537" s="0" t="n">
        <v>445820</v>
      </c>
      <c r="D1537" s="0" t="s">
        <v>5116</v>
      </c>
      <c r="E1537" s="0" t="s">
        <v>89</v>
      </c>
      <c r="F1537" s="0" t="s">
        <v>90</v>
      </c>
      <c r="G1537" s="0" t="s">
        <v>16</v>
      </c>
      <c r="H1537" s="0" t="n">
        <v>60</v>
      </c>
      <c r="I1537" s="0" t="s">
        <v>5123</v>
      </c>
      <c r="J1537" s="0" t="s">
        <v>5124</v>
      </c>
      <c r="K1537" s="0" t="s">
        <v>5125</v>
      </c>
      <c r="L1537" s="0" t="str">
        <f aca="false">HYPERLINK("https://www.ncbi.nlm.nih.gov/nuccore/CP000304.1?report=graph&amp;tracks=[key:gene_model_track,Options:GeneOnly]&amp;mk=445860:445879|offset_1|444444,445838:445857|offset_23|444444,445801:445820|offset_60|00cc00,445761:445780|offset_100|444444&amp;v=445659:445980&amp;c=444444", "offset 60")</f>
        <v>offset 60</v>
      </c>
    </row>
    <row r="1538" customFormat="false" ht="12.8" hidden="false" customHeight="false" outlineLevel="0" collapsed="false">
      <c r="A1538" s="0" t="s">
        <v>12</v>
      </c>
      <c r="B1538" s="0" t="n">
        <v>445760</v>
      </c>
      <c r="C1538" s="0" t="n">
        <v>445780</v>
      </c>
      <c r="D1538" s="0" t="s">
        <v>5116</v>
      </c>
      <c r="E1538" s="0" t="s">
        <v>89</v>
      </c>
      <c r="F1538" s="0" t="s">
        <v>90</v>
      </c>
      <c r="G1538" s="0" t="s">
        <v>26</v>
      </c>
      <c r="H1538" s="0" t="n">
        <v>100</v>
      </c>
      <c r="I1538" s="0" t="s">
        <v>5126</v>
      </c>
      <c r="J1538" s="0" t="s">
        <v>5127</v>
      </c>
      <c r="K1538" s="0" t="s">
        <v>5128</v>
      </c>
      <c r="L1538" s="0" t="str">
        <f aca="false">HYPERLINK("https://www.ncbi.nlm.nih.gov/nuccore/CP000304.1?report=graph&amp;tracks=[key:gene_model_track,Options:GeneOnly]&amp;mk=445860:445879|offset_1|444444,445838:445857|offset_23|444444,445801:445820|offset_60|444444,445761:445780|offset_100|00cc00&amp;v=445659:445980&amp;c=444444", "offset 100")</f>
        <v>offset 100</v>
      </c>
    </row>
    <row r="1539" customFormat="false" ht="12.8" hidden="false" customHeight="false" outlineLevel="0" collapsed="false">
      <c r="A1539" s="0" t="s">
        <v>12</v>
      </c>
      <c r="B1539" s="0" t="n">
        <v>446554</v>
      </c>
      <c r="C1539" s="0" t="n">
        <v>446574</v>
      </c>
      <c r="D1539" s="0" t="s">
        <v>5129</v>
      </c>
      <c r="E1539" s="0" t="s">
        <v>5130</v>
      </c>
      <c r="F1539" s="0" t="s">
        <v>90</v>
      </c>
      <c r="G1539" s="0" t="s">
        <v>36</v>
      </c>
      <c r="H1539" s="0" t="n">
        <v>34</v>
      </c>
      <c r="I1539" s="0" t="s">
        <v>5131</v>
      </c>
      <c r="J1539" s="0" t="s">
        <v>5132</v>
      </c>
      <c r="K1539" s="0" t="s">
        <v>5133</v>
      </c>
      <c r="L1539" s="0" t="str">
        <f aca="false">HYPERLINK("https://www.ncbi.nlm.nih.gov/nuccore/CP000304.1?report=graph&amp;tracks=[key:gene_model_track,Options:GeneOnly]&amp;mk=446555:446574|offset_34|00cc00,446506:446525|offset_83|444444,446483:446502|offset_106|444444,446458:446477|offset_131|444444&amp;v=446354:446677&amp;c=444444", "offset 34")</f>
        <v>offset 34</v>
      </c>
    </row>
    <row r="1540" customFormat="false" ht="12.8" hidden="false" customHeight="false" outlineLevel="0" collapsed="false">
      <c r="A1540" s="0" t="s">
        <v>12</v>
      </c>
      <c r="B1540" s="0" t="n">
        <v>446505</v>
      </c>
      <c r="C1540" s="0" t="n">
        <v>446525</v>
      </c>
      <c r="D1540" s="0" t="s">
        <v>5129</v>
      </c>
      <c r="E1540" s="0" t="s">
        <v>5130</v>
      </c>
      <c r="F1540" s="0" t="s">
        <v>90</v>
      </c>
      <c r="G1540" s="0" t="s">
        <v>16</v>
      </c>
      <c r="H1540" s="0" t="n">
        <v>83</v>
      </c>
      <c r="I1540" s="0" t="s">
        <v>5134</v>
      </c>
      <c r="J1540" s="0" t="s">
        <v>5135</v>
      </c>
      <c r="K1540" s="0" t="s">
        <v>5136</v>
      </c>
      <c r="L1540" s="0" t="str">
        <f aca="false">HYPERLINK("https://www.ncbi.nlm.nih.gov/nuccore/CP000304.1?report=graph&amp;tracks=[key:gene_model_track,Options:GeneOnly]&amp;mk=446555:446574|offset_34|444444,446506:446525|offset_83|00cc00,446483:446502|offset_106|444444,446458:446477|offset_131|444444&amp;v=446354:446677&amp;c=444444", "offset 83")</f>
        <v>offset 83</v>
      </c>
    </row>
    <row r="1541" customFormat="false" ht="12.8" hidden="false" customHeight="false" outlineLevel="0" collapsed="false">
      <c r="A1541" s="0" t="s">
        <v>12</v>
      </c>
      <c r="B1541" s="0" t="n">
        <v>446482</v>
      </c>
      <c r="C1541" s="0" t="n">
        <v>446502</v>
      </c>
      <c r="D1541" s="0" t="s">
        <v>5129</v>
      </c>
      <c r="E1541" s="0" t="s">
        <v>5130</v>
      </c>
      <c r="F1541" s="0" t="s">
        <v>90</v>
      </c>
      <c r="G1541" s="0" t="s">
        <v>36</v>
      </c>
      <c r="H1541" s="0" t="n">
        <v>106</v>
      </c>
      <c r="I1541" s="0" t="s">
        <v>5137</v>
      </c>
      <c r="J1541" s="0" t="s">
        <v>5138</v>
      </c>
      <c r="K1541" s="0" t="s">
        <v>5139</v>
      </c>
      <c r="L1541" s="0" t="str">
        <f aca="false">HYPERLINK("https://www.ncbi.nlm.nih.gov/nuccore/CP000304.1?report=graph&amp;tracks=[key:gene_model_track,Options:GeneOnly]&amp;mk=446555:446574|offset_34|444444,446506:446525|offset_83|444444,446483:446502|offset_106|00cc00,446458:446477|offset_131|444444&amp;v=446354:446677&amp;c=444444", "offset 106")</f>
        <v>offset 106</v>
      </c>
    </row>
    <row r="1542" customFormat="false" ht="12.8" hidden="false" customHeight="false" outlineLevel="0" collapsed="false">
      <c r="A1542" s="0" t="s">
        <v>12</v>
      </c>
      <c r="B1542" s="0" t="n">
        <v>446457</v>
      </c>
      <c r="C1542" s="0" t="n">
        <v>446477</v>
      </c>
      <c r="D1542" s="0" t="s">
        <v>5129</v>
      </c>
      <c r="E1542" s="0" t="s">
        <v>5130</v>
      </c>
      <c r="F1542" s="0" t="s">
        <v>90</v>
      </c>
      <c r="G1542" s="0" t="s">
        <v>26</v>
      </c>
      <c r="H1542" s="0" t="n">
        <v>131</v>
      </c>
      <c r="I1542" s="0" t="s">
        <v>5140</v>
      </c>
      <c r="J1542" s="0" t="s">
        <v>5141</v>
      </c>
      <c r="K1542" s="0" t="s">
        <v>5142</v>
      </c>
      <c r="L1542" s="0" t="str">
        <f aca="false">HYPERLINK("https://www.ncbi.nlm.nih.gov/nuccore/CP000304.1?report=graph&amp;tracks=[key:gene_model_track,Options:GeneOnly]&amp;mk=446555:446574|offset_34|444444,446506:446525|offset_83|444444,446483:446502|offset_106|444444,446458:446477|offset_131|00cc00&amp;v=446354:446677&amp;c=444444", "offset 131")</f>
        <v>offset 131</v>
      </c>
    </row>
    <row r="1543" customFormat="false" ht="12.8" hidden="false" customHeight="false" outlineLevel="0" collapsed="false">
      <c r="A1543" s="0" t="s">
        <v>12</v>
      </c>
      <c r="B1543" s="0" t="n">
        <v>446806</v>
      </c>
      <c r="C1543" s="0" t="n">
        <v>446826</v>
      </c>
      <c r="D1543" s="0" t="s">
        <v>5143</v>
      </c>
      <c r="E1543" s="0" t="s">
        <v>89</v>
      </c>
      <c r="F1543" s="0" t="s">
        <v>15</v>
      </c>
      <c r="G1543" s="0" t="s">
        <v>32</v>
      </c>
      <c r="H1543" s="0" t="n">
        <v>8</v>
      </c>
      <c r="I1543" s="0" t="s">
        <v>5144</v>
      </c>
      <c r="J1543" s="0" t="s">
        <v>5145</v>
      </c>
      <c r="K1543" s="0" t="s">
        <v>5146</v>
      </c>
      <c r="L1543" s="0" t="str">
        <f aca="false">HYPERLINK("https://www.ncbi.nlm.nih.gov/nuccore/CP000304.1?report=graph&amp;tracks=[key:gene_model_track,Options:GeneOnly]&amp;mk=446807:446826|offset_8|00cc00,446829:446848|offset_30|444444,446860:446879|offset_61|444444,446889:446908|offset_90|444444&amp;v=446606:447108&amp;c=444444", "offset 8")</f>
        <v>offset 8</v>
      </c>
    </row>
    <row r="1544" customFormat="false" ht="12.8" hidden="false" customHeight="false" outlineLevel="0" collapsed="false">
      <c r="A1544" s="0" t="s">
        <v>12</v>
      </c>
      <c r="B1544" s="0" t="n">
        <v>446828</v>
      </c>
      <c r="C1544" s="0" t="n">
        <v>446848</v>
      </c>
      <c r="D1544" s="0" t="s">
        <v>5143</v>
      </c>
      <c r="E1544" s="0" t="s">
        <v>89</v>
      </c>
      <c r="F1544" s="0" t="s">
        <v>15</v>
      </c>
      <c r="G1544" s="0" t="s">
        <v>26</v>
      </c>
      <c r="H1544" s="0" t="n">
        <v>30</v>
      </c>
      <c r="I1544" s="0" t="s">
        <v>5147</v>
      </c>
      <c r="J1544" s="0" t="s">
        <v>5148</v>
      </c>
      <c r="K1544" s="0" t="s">
        <v>5149</v>
      </c>
      <c r="L1544" s="0" t="str">
        <f aca="false">HYPERLINK("https://www.ncbi.nlm.nih.gov/nuccore/CP000304.1?report=graph&amp;tracks=[key:gene_model_track,Options:GeneOnly]&amp;mk=446807:446826|offset_8|444444,446829:446848|offset_30|00cc00,446860:446879|offset_61|444444,446889:446908|offset_90|444444&amp;v=446606:447108&amp;c=444444", "offset 30")</f>
        <v>offset 30</v>
      </c>
    </row>
    <row r="1545" customFormat="false" ht="12.8" hidden="false" customHeight="false" outlineLevel="0" collapsed="false">
      <c r="A1545" s="0" t="s">
        <v>12</v>
      </c>
      <c r="B1545" s="0" t="n">
        <v>446859</v>
      </c>
      <c r="C1545" s="0" t="n">
        <v>446879</v>
      </c>
      <c r="D1545" s="0" t="s">
        <v>5143</v>
      </c>
      <c r="E1545" s="0" t="s">
        <v>89</v>
      </c>
      <c r="F1545" s="0" t="s">
        <v>15</v>
      </c>
      <c r="G1545" s="0" t="s">
        <v>16</v>
      </c>
      <c r="H1545" s="0" t="n">
        <v>61</v>
      </c>
      <c r="I1545" s="0" t="s">
        <v>5150</v>
      </c>
      <c r="J1545" s="0" t="s">
        <v>5151</v>
      </c>
      <c r="K1545" s="0" t="s">
        <v>5152</v>
      </c>
      <c r="L1545" s="0" t="str">
        <f aca="false">HYPERLINK("https://www.ncbi.nlm.nih.gov/nuccore/CP000304.1?report=graph&amp;tracks=[key:gene_model_track,Options:GeneOnly]&amp;mk=446807:446826|offset_8|444444,446829:446848|offset_30|444444,446860:446879|offset_61|00cc00,446889:446908|offset_90|444444&amp;v=446606:447108&amp;c=444444", "offset 61")</f>
        <v>offset 61</v>
      </c>
    </row>
    <row r="1546" customFormat="false" ht="12.8" hidden="false" customHeight="false" outlineLevel="0" collapsed="false">
      <c r="A1546" s="0" t="s">
        <v>12</v>
      </c>
      <c r="B1546" s="0" t="n">
        <v>446888</v>
      </c>
      <c r="C1546" s="0" t="n">
        <v>446908</v>
      </c>
      <c r="D1546" s="0" t="s">
        <v>5143</v>
      </c>
      <c r="E1546" s="0" t="s">
        <v>89</v>
      </c>
      <c r="F1546" s="0" t="s">
        <v>15</v>
      </c>
      <c r="G1546" s="0" t="s">
        <v>32</v>
      </c>
      <c r="H1546" s="0" t="n">
        <v>90</v>
      </c>
      <c r="I1546" s="0" t="s">
        <v>5153</v>
      </c>
      <c r="J1546" s="0" t="s">
        <v>5154</v>
      </c>
      <c r="K1546" s="0" t="s">
        <v>5155</v>
      </c>
      <c r="L1546" s="0" t="str">
        <f aca="false">HYPERLINK("https://www.ncbi.nlm.nih.gov/nuccore/CP000304.1?report=graph&amp;tracks=[key:gene_model_track,Options:GeneOnly]&amp;mk=446807:446826|offset_8|444444,446829:446848|offset_30|444444,446860:446879|offset_61|444444,446889:446908|offset_90|00cc00&amp;v=446606:447108&amp;c=444444", "offset 90")</f>
        <v>offset 90</v>
      </c>
    </row>
    <row r="1547" customFormat="false" ht="12.8" hidden="false" customHeight="false" outlineLevel="0" collapsed="false">
      <c r="A1547" s="0" t="s">
        <v>12</v>
      </c>
      <c r="B1547" s="0" t="n">
        <v>448587</v>
      </c>
      <c r="C1547" s="0" t="n">
        <v>448607</v>
      </c>
      <c r="D1547" s="0" t="s">
        <v>5156</v>
      </c>
      <c r="E1547" s="0" t="s">
        <v>89</v>
      </c>
      <c r="F1547" s="0" t="s">
        <v>15</v>
      </c>
      <c r="G1547" s="0" t="s">
        <v>32</v>
      </c>
      <c r="H1547" s="0" t="n">
        <v>7</v>
      </c>
      <c r="I1547" s="0" t="s">
        <v>5157</v>
      </c>
      <c r="J1547" s="0" t="s">
        <v>5158</v>
      </c>
      <c r="K1547" s="0" t="s">
        <v>5159</v>
      </c>
      <c r="L1547" s="0" t="str">
        <f aca="false">HYPERLINK("https://www.ncbi.nlm.nih.gov/nuccore/CP000304.1?report=graph&amp;tracks=[key:gene_model_track,Options:GeneOnly]&amp;mk=448588:448607|offset_7|00cc00,448624:448643|offset_43|444444,448652:448671|offset_71|444444,448684:448703|offset_103|444444&amp;v=448387:448903&amp;c=444444", "offset 7")</f>
        <v>offset 7</v>
      </c>
    </row>
    <row r="1548" customFormat="false" ht="12.8" hidden="false" customHeight="false" outlineLevel="0" collapsed="false">
      <c r="A1548" s="0" t="s">
        <v>12</v>
      </c>
      <c r="B1548" s="0" t="n">
        <v>448623</v>
      </c>
      <c r="C1548" s="0" t="n">
        <v>448643</v>
      </c>
      <c r="D1548" s="0" t="s">
        <v>5156</v>
      </c>
      <c r="E1548" s="0" t="s">
        <v>89</v>
      </c>
      <c r="F1548" s="0" t="s">
        <v>15</v>
      </c>
      <c r="G1548" s="0" t="s">
        <v>32</v>
      </c>
      <c r="H1548" s="0" t="n">
        <v>43</v>
      </c>
      <c r="I1548" s="0" t="s">
        <v>5160</v>
      </c>
      <c r="J1548" s="0" t="s">
        <v>5161</v>
      </c>
      <c r="K1548" s="0" t="s">
        <v>5162</v>
      </c>
      <c r="L1548" s="0" t="str">
        <f aca="false">HYPERLINK("https://www.ncbi.nlm.nih.gov/nuccore/CP000304.1?report=graph&amp;tracks=[key:gene_model_track,Options:GeneOnly]&amp;mk=448588:448607|offset_7|444444,448624:448643|offset_43|00cc00,448652:448671|offset_71|444444,448684:448703|offset_103|444444&amp;v=448387:448903&amp;c=444444", "offset 43")</f>
        <v>offset 43</v>
      </c>
    </row>
    <row r="1549" customFormat="false" ht="12.8" hidden="false" customHeight="false" outlineLevel="0" collapsed="false">
      <c r="A1549" s="0" t="s">
        <v>12</v>
      </c>
      <c r="B1549" s="0" t="n">
        <v>448651</v>
      </c>
      <c r="C1549" s="0" t="n">
        <v>448671</v>
      </c>
      <c r="D1549" s="0" t="s">
        <v>5156</v>
      </c>
      <c r="E1549" s="0" t="s">
        <v>89</v>
      </c>
      <c r="F1549" s="0" t="s">
        <v>15</v>
      </c>
      <c r="G1549" s="0" t="s">
        <v>26</v>
      </c>
      <c r="H1549" s="0" t="n">
        <v>71</v>
      </c>
      <c r="I1549" s="0" t="s">
        <v>5163</v>
      </c>
      <c r="J1549" s="0" t="s">
        <v>5164</v>
      </c>
      <c r="K1549" s="0" t="s">
        <v>5165</v>
      </c>
      <c r="L1549" s="0" t="str">
        <f aca="false">HYPERLINK("https://www.ncbi.nlm.nih.gov/nuccore/CP000304.1?report=graph&amp;tracks=[key:gene_model_track,Options:GeneOnly]&amp;mk=448588:448607|offset_7|444444,448624:448643|offset_43|444444,448652:448671|offset_71|00cc00,448684:448703|offset_103|444444&amp;v=448387:448903&amp;c=444444", "offset 71")</f>
        <v>offset 71</v>
      </c>
    </row>
    <row r="1550" customFormat="false" ht="12.8" hidden="false" customHeight="false" outlineLevel="0" collapsed="false">
      <c r="A1550" s="0" t="s">
        <v>12</v>
      </c>
      <c r="B1550" s="0" t="n">
        <v>448683</v>
      </c>
      <c r="C1550" s="0" t="n">
        <v>448703</v>
      </c>
      <c r="D1550" s="0" t="s">
        <v>5156</v>
      </c>
      <c r="E1550" s="0" t="s">
        <v>89</v>
      </c>
      <c r="F1550" s="0" t="s">
        <v>15</v>
      </c>
      <c r="G1550" s="0" t="s">
        <v>26</v>
      </c>
      <c r="H1550" s="0" t="n">
        <v>103</v>
      </c>
      <c r="I1550" s="0" t="s">
        <v>5166</v>
      </c>
      <c r="J1550" s="0" t="s">
        <v>5167</v>
      </c>
      <c r="K1550" s="0" t="s">
        <v>5168</v>
      </c>
      <c r="L1550" s="0" t="str">
        <f aca="false">HYPERLINK("https://www.ncbi.nlm.nih.gov/nuccore/CP000304.1?report=graph&amp;tracks=[key:gene_model_track,Options:GeneOnly]&amp;mk=448588:448607|offset_7|444444,448624:448643|offset_43|444444,448652:448671|offset_71|444444,448684:448703|offset_103|00cc00&amp;v=448387:448903&amp;c=444444", "offset 103")</f>
        <v>offset 103</v>
      </c>
    </row>
    <row r="1551" customFormat="false" ht="12.8" hidden="false" customHeight="false" outlineLevel="0" collapsed="false">
      <c r="A1551" s="0" t="s">
        <v>12</v>
      </c>
      <c r="B1551" s="0" t="n">
        <v>450234</v>
      </c>
      <c r="C1551" s="0" t="n">
        <v>450254</v>
      </c>
      <c r="D1551" s="0" t="s">
        <v>5169</v>
      </c>
      <c r="E1551" s="0" t="s">
        <v>89</v>
      </c>
      <c r="F1551" s="0" t="s">
        <v>90</v>
      </c>
      <c r="G1551" s="0" t="s">
        <v>16</v>
      </c>
      <c r="H1551" s="0" t="n">
        <v>20</v>
      </c>
      <c r="I1551" s="0" t="s">
        <v>5170</v>
      </c>
      <c r="J1551" s="0" t="s">
        <v>5171</v>
      </c>
      <c r="K1551" s="0" t="s">
        <v>5172</v>
      </c>
      <c r="L1551" s="0" t="str">
        <f aca="false">HYPERLINK("https://www.ncbi.nlm.nih.gov/nuccore/CP000304.1?report=graph&amp;tracks=[key:gene_model_track,Options:GeneOnly]&amp;mk=450235:450254|offset_20|00cc00,450210:450229|offset_45|444444,450186:450205|offset_69|444444,450166:450185|offset_89|444444&amp;v=450034:450385&amp;c=444444", "offset 20")</f>
        <v>offset 20</v>
      </c>
    </row>
    <row r="1552" customFormat="false" ht="12.8" hidden="false" customHeight="false" outlineLevel="0" collapsed="false">
      <c r="A1552" s="0" t="s">
        <v>12</v>
      </c>
      <c r="B1552" s="0" t="n">
        <v>450209</v>
      </c>
      <c r="C1552" s="0" t="n">
        <v>450229</v>
      </c>
      <c r="D1552" s="0" t="s">
        <v>5169</v>
      </c>
      <c r="E1552" s="0" t="s">
        <v>89</v>
      </c>
      <c r="F1552" s="0" t="s">
        <v>90</v>
      </c>
      <c r="G1552" s="0" t="s">
        <v>32</v>
      </c>
      <c r="H1552" s="0" t="n">
        <v>45</v>
      </c>
      <c r="I1552" s="0" t="s">
        <v>5173</v>
      </c>
      <c r="J1552" s="0" t="s">
        <v>5174</v>
      </c>
      <c r="K1552" s="0" t="s">
        <v>5175</v>
      </c>
      <c r="L1552" s="0" t="str">
        <f aca="false">HYPERLINK("https://www.ncbi.nlm.nih.gov/nuccore/CP000304.1?report=graph&amp;tracks=[key:gene_model_track,Options:GeneOnly]&amp;mk=450235:450254|offset_20|444444,450210:450229|offset_45|00cc00,450186:450205|offset_69|444444,450166:450185|offset_89|444444&amp;v=450034:450385&amp;c=444444", "offset 45")</f>
        <v>offset 45</v>
      </c>
    </row>
    <row r="1553" customFormat="false" ht="12.8" hidden="false" customHeight="false" outlineLevel="0" collapsed="false">
      <c r="A1553" s="0" t="s">
        <v>12</v>
      </c>
      <c r="B1553" s="0" t="n">
        <v>450185</v>
      </c>
      <c r="C1553" s="0" t="n">
        <v>450205</v>
      </c>
      <c r="D1553" s="0" t="s">
        <v>5169</v>
      </c>
      <c r="E1553" s="0" t="s">
        <v>89</v>
      </c>
      <c r="F1553" s="0" t="s">
        <v>90</v>
      </c>
      <c r="G1553" s="0" t="s">
        <v>16</v>
      </c>
      <c r="H1553" s="0" t="n">
        <v>69</v>
      </c>
      <c r="I1553" s="0" t="s">
        <v>5176</v>
      </c>
      <c r="J1553" s="0" t="s">
        <v>5177</v>
      </c>
      <c r="K1553" s="0" t="s">
        <v>5178</v>
      </c>
      <c r="L1553" s="0" t="str">
        <f aca="false">HYPERLINK("https://www.ncbi.nlm.nih.gov/nuccore/CP000304.1?report=graph&amp;tracks=[key:gene_model_track,Options:GeneOnly]&amp;mk=450235:450254|offset_20|444444,450210:450229|offset_45|444444,450186:450205|offset_69|00cc00,450166:450185|offset_89|444444&amp;v=450034:450385&amp;c=444444", "offset 69")</f>
        <v>offset 69</v>
      </c>
    </row>
    <row r="1554" customFormat="false" ht="12.8" hidden="false" customHeight="false" outlineLevel="0" collapsed="false">
      <c r="A1554" s="0" t="s">
        <v>12</v>
      </c>
      <c r="B1554" s="0" t="n">
        <v>450165</v>
      </c>
      <c r="C1554" s="0" t="n">
        <v>450185</v>
      </c>
      <c r="D1554" s="0" t="s">
        <v>5169</v>
      </c>
      <c r="E1554" s="0" t="s">
        <v>89</v>
      </c>
      <c r="F1554" s="0" t="s">
        <v>90</v>
      </c>
      <c r="G1554" s="0" t="s">
        <v>16</v>
      </c>
      <c r="H1554" s="0" t="n">
        <v>89</v>
      </c>
      <c r="I1554" s="0" t="s">
        <v>5179</v>
      </c>
      <c r="J1554" s="0" t="s">
        <v>5180</v>
      </c>
      <c r="K1554" s="0" t="s">
        <v>5181</v>
      </c>
      <c r="L1554" s="0" t="str">
        <f aca="false">HYPERLINK("https://www.ncbi.nlm.nih.gov/nuccore/CP000304.1?report=graph&amp;tracks=[key:gene_model_track,Options:GeneOnly]&amp;mk=450235:450254|offset_20|444444,450210:450229|offset_45|444444,450186:450205|offset_69|444444,450166:450185|offset_89|00cc00&amp;v=450034:450385&amp;c=444444", "offset 89")</f>
        <v>offset 89</v>
      </c>
    </row>
    <row r="1555" customFormat="false" ht="12.8" hidden="false" customHeight="false" outlineLevel="0" collapsed="false">
      <c r="A1555" s="0" t="s">
        <v>12</v>
      </c>
      <c r="B1555" s="0" t="n">
        <v>452051</v>
      </c>
      <c r="C1555" s="0" t="n">
        <v>452071</v>
      </c>
      <c r="D1555" s="0" t="s">
        <v>5182</v>
      </c>
      <c r="E1555" s="0" t="s">
        <v>5183</v>
      </c>
      <c r="F1555" s="0" t="s">
        <v>90</v>
      </c>
      <c r="G1555" s="0" t="s">
        <v>36</v>
      </c>
      <c r="H1555" s="0" t="n">
        <v>10</v>
      </c>
      <c r="I1555" s="0" t="s">
        <v>5184</v>
      </c>
      <c r="J1555" s="0" t="s">
        <v>5185</v>
      </c>
      <c r="K1555" s="0" t="s">
        <v>5186</v>
      </c>
      <c r="L1555" s="0" t="str">
        <f aca="false">HYPERLINK("https://www.ncbi.nlm.nih.gov/nuccore/CP000304.1?report=graph&amp;tracks=[key:gene_model_track,Options:GeneOnly]&amp;mk=452052:452071|offset_10|00cc00,451989:452008|offset_73|444444,451962:451981|offset_100|444444,451937:451956|offset_125|444444&amp;v=451851:452156&amp;c=444444", "offset 10")</f>
        <v>offset 10</v>
      </c>
    </row>
    <row r="1556" customFormat="false" ht="12.8" hidden="false" customHeight="false" outlineLevel="0" collapsed="false">
      <c r="A1556" s="0" t="s">
        <v>12</v>
      </c>
      <c r="B1556" s="0" t="n">
        <v>451988</v>
      </c>
      <c r="C1556" s="0" t="n">
        <v>452008</v>
      </c>
      <c r="D1556" s="0" t="s">
        <v>5182</v>
      </c>
      <c r="E1556" s="0" t="s">
        <v>5183</v>
      </c>
      <c r="F1556" s="0" t="s">
        <v>90</v>
      </c>
      <c r="G1556" s="0" t="s">
        <v>36</v>
      </c>
      <c r="H1556" s="0" t="n">
        <v>73</v>
      </c>
      <c r="I1556" s="0" t="s">
        <v>5187</v>
      </c>
      <c r="J1556" s="0" t="s">
        <v>5188</v>
      </c>
      <c r="K1556" s="0" t="s">
        <v>5189</v>
      </c>
      <c r="L1556" s="0" t="str">
        <f aca="false">HYPERLINK("https://www.ncbi.nlm.nih.gov/nuccore/CP000304.1?report=graph&amp;tracks=[key:gene_model_track,Options:GeneOnly]&amp;mk=452052:452071|offset_10|444444,451989:452008|offset_73|00cc00,451962:451981|offset_100|444444,451937:451956|offset_125|444444&amp;v=451851:452156&amp;c=444444", "offset 73")</f>
        <v>offset 73</v>
      </c>
    </row>
    <row r="1557" customFormat="false" ht="12.8" hidden="false" customHeight="false" outlineLevel="0" collapsed="false">
      <c r="A1557" s="0" t="s">
        <v>12</v>
      </c>
      <c r="B1557" s="0" t="n">
        <v>451961</v>
      </c>
      <c r="C1557" s="0" t="n">
        <v>451981</v>
      </c>
      <c r="D1557" s="0" t="s">
        <v>5182</v>
      </c>
      <c r="E1557" s="0" t="s">
        <v>5183</v>
      </c>
      <c r="F1557" s="0" t="s">
        <v>90</v>
      </c>
      <c r="G1557" s="0" t="s">
        <v>36</v>
      </c>
      <c r="H1557" s="0" t="n">
        <v>100</v>
      </c>
      <c r="I1557" s="0" t="s">
        <v>5190</v>
      </c>
      <c r="J1557" s="0" t="s">
        <v>5191</v>
      </c>
      <c r="K1557" s="0" t="s">
        <v>5192</v>
      </c>
      <c r="L1557" s="0" t="str">
        <f aca="false">HYPERLINK("https://www.ncbi.nlm.nih.gov/nuccore/CP000304.1?report=graph&amp;tracks=[key:gene_model_track,Options:GeneOnly]&amp;mk=452052:452071|offset_10|444444,451989:452008|offset_73|444444,451962:451981|offset_100|00cc00,451937:451956|offset_125|444444&amp;v=451851:452156&amp;c=444444", "offset 100")</f>
        <v>offset 100</v>
      </c>
    </row>
    <row r="1558" customFormat="false" ht="12.8" hidden="false" customHeight="false" outlineLevel="0" collapsed="false">
      <c r="A1558" s="0" t="s">
        <v>12</v>
      </c>
      <c r="B1558" s="0" t="n">
        <v>451936</v>
      </c>
      <c r="C1558" s="0" t="n">
        <v>451956</v>
      </c>
      <c r="D1558" s="0" t="s">
        <v>5182</v>
      </c>
      <c r="E1558" s="0" t="s">
        <v>5183</v>
      </c>
      <c r="F1558" s="0" t="s">
        <v>90</v>
      </c>
      <c r="G1558" s="0" t="s">
        <v>32</v>
      </c>
      <c r="H1558" s="0" t="n">
        <v>125</v>
      </c>
      <c r="I1558" s="0" t="s">
        <v>5193</v>
      </c>
      <c r="J1558" s="0" t="s">
        <v>5194</v>
      </c>
      <c r="K1558" s="0" t="s">
        <v>5195</v>
      </c>
      <c r="L1558" s="0" t="str">
        <f aca="false">HYPERLINK("https://www.ncbi.nlm.nih.gov/nuccore/CP000304.1?report=graph&amp;tracks=[key:gene_model_track,Options:GeneOnly]&amp;mk=452052:452071|offset_10|444444,451989:452008|offset_73|444444,451962:451981|offset_100|444444,451937:451956|offset_125|00cc00&amp;v=451851:452156&amp;c=444444", "offset 125")</f>
        <v>offset 125</v>
      </c>
    </row>
    <row r="1559" customFormat="false" ht="12.8" hidden="false" customHeight="false" outlineLevel="0" collapsed="false">
      <c r="A1559" s="0" t="s">
        <v>12</v>
      </c>
      <c r="B1559" s="0" t="n">
        <v>452110</v>
      </c>
      <c r="C1559" s="0" t="n">
        <v>452130</v>
      </c>
      <c r="D1559" s="0" t="s">
        <v>5196</v>
      </c>
      <c r="E1559" s="0" t="s">
        <v>89</v>
      </c>
      <c r="F1559" s="0" t="s">
        <v>15</v>
      </c>
      <c r="G1559" s="0" t="s">
        <v>16</v>
      </c>
      <c r="H1559" s="0" t="n">
        <v>7</v>
      </c>
      <c r="I1559" s="0" t="s">
        <v>5197</v>
      </c>
      <c r="J1559" s="0" t="s">
        <v>5198</v>
      </c>
      <c r="K1559" s="0" t="s">
        <v>5199</v>
      </c>
      <c r="L1559" s="0" t="str">
        <f aca="false">HYPERLINK("https://www.ncbi.nlm.nih.gov/nuccore/CP000304.1?report=graph&amp;tracks=[key:gene_model_track,Options:GeneOnly]&amp;mk=452111:452130|offset_7|00cc00,452141:452160|offset_37|444444,452174:452193|offset_70|444444,452207:452226|offset_103|444444&amp;v=451910:452426&amp;c=444444", "offset 7")</f>
        <v>offset 7</v>
      </c>
    </row>
    <row r="1560" customFormat="false" ht="12.8" hidden="false" customHeight="false" outlineLevel="0" collapsed="false">
      <c r="A1560" s="0" t="s">
        <v>12</v>
      </c>
      <c r="B1560" s="0" t="n">
        <v>452140</v>
      </c>
      <c r="C1560" s="0" t="n">
        <v>452160</v>
      </c>
      <c r="D1560" s="0" t="s">
        <v>5196</v>
      </c>
      <c r="E1560" s="0" t="s">
        <v>89</v>
      </c>
      <c r="F1560" s="0" t="s">
        <v>15</v>
      </c>
      <c r="G1560" s="0" t="s">
        <v>36</v>
      </c>
      <c r="H1560" s="0" t="n">
        <v>37</v>
      </c>
      <c r="I1560" s="0" t="s">
        <v>5200</v>
      </c>
      <c r="J1560" s="0" t="s">
        <v>5201</v>
      </c>
      <c r="K1560" s="0" t="s">
        <v>5202</v>
      </c>
      <c r="L1560" s="0" t="str">
        <f aca="false">HYPERLINK("https://www.ncbi.nlm.nih.gov/nuccore/CP000304.1?report=graph&amp;tracks=[key:gene_model_track,Options:GeneOnly]&amp;mk=452111:452130|offset_7|444444,452141:452160|offset_37|00cc00,452174:452193|offset_70|444444,452207:452226|offset_103|444444&amp;v=451910:452426&amp;c=444444", "offset 37")</f>
        <v>offset 37</v>
      </c>
    </row>
    <row r="1561" customFormat="false" ht="12.8" hidden="false" customHeight="false" outlineLevel="0" collapsed="false">
      <c r="A1561" s="0" t="s">
        <v>12</v>
      </c>
      <c r="B1561" s="0" t="n">
        <v>452173</v>
      </c>
      <c r="C1561" s="0" t="n">
        <v>452193</v>
      </c>
      <c r="D1561" s="0" t="s">
        <v>5196</v>
      </c>
      <c r="E1561" s="0" t="s">
        <v>89</v>
      </c>
      <c r="F1561" s="0" t="s">
        <v>15</v>
      </c>
      <c r="G1561" s="0" t="s">
        <v>16</v>
      </c>
      <c r="H1561" s="0" t="n">
        <v>70</v>
      </c>
      <c r="I1561" s="0" t="s">
        <v>5203</v>
      </c>
      <c r="J1561" s="0" t="s">
        <v>5204</v>
      </c>
      <c r="K1561" s="0" t="s">
        <v>5205</v>
      </c>
      <c r="L1561" s="0" t="str">
        <f aca="false">HYPERLINK("https://www.ncbi.nlm.nih.gov/nuccore/CP000304.1?report=graph&amp;tracks=[key:gene_model_track,Options:GeneOnly]&amp;mk=452111:452130|offset_7|444444,452141:452160|offset_37|444444,452174:452193|offset_70|00cc00,452207:452226|offset_103|444444&amp;v=451910:452426&amp;c=444444", "offset 70")</f>
        <v>offset 70</v>
      </c>
    </row>
    <row r="1562" customFormat="false" ht="12.8" hidden="false" customHeight="false" outlineLevel="0" collapsed="false">
      <c r="A1562" s="0" t="s">
        <v>12</v>
      </c>
      <c r="B1562" s="0" t="n">
        <v>452206</v>
      </c>
      <c r="C1562" s="0" t="n">
        <v>452226</v>
      </c>
      <c r="D1562" s="0" t="s">
        <v>5196</v>
      </c>
      <c r="E1562" s="0" t="s">
        <v>89</v>
      </c>
      <c r="F1562" s="0" t="s">
        <v>15</v>
      </c>
      <c r="G1562" s="0" t="s">
        <v>32</v>
      </c>
      <c r="H1562" s="0" t="n">
        <v>103</v>
      </c>
      <c r="I1562" s="0" t="s">
        <v>5206</v>
      </c>
      <c r="J1562" s="0" t="s">
        <v>5207</v>
      </c>
      <c r="K1562" s="0" t="s">
        <v>5208</v>
      </c>
      <c r="L1562" s="0" t="str">
        <f aca="false">HYPERLINK("https://www.ncbi.nlm.nih.gov/nuccore/CP000304.1?report=graph&amp;tracks=[key:gene_model_track,Options:GeneOnly]&amp;mk=452111:452130|offset_7|444444,452141:452160|offset_37|444444,452174:452193|offset_70|444444,452207:452226|offset_103|00cc00&amp;v=451910:452426&amp;c=444444", "offset 103")</f>
        <v>offset 103</v>
      </c>
    </row>
    <row r="1563" customFormat="false" ht="12.8" hidden="false" customHeight="false" outlineLevel="0" collapsed="false">
      <c r="A1563" s="0" t="s">
        <v>12</v>
      </c>
      <c r="B1563" s="0" t="n">
        <v>453536</v>
      </c>
      <c r="C1563" s="0" t="n">
        <v>453556</v>
      </c>
      <c r="D1563" s="0" t="s">
        <v>5209</v>
      </c>
      <c r="E1563" s="0" t="s">
        <v>89</v>
      </c>
      <c r="F1563" s="0" t="s">
        <v>15</v>
      </c>
      <c r="G1563" s="0" t="s">
        <v>32</v>
      </c>
      <c r="H1563" s="0" t="n">
        <v>11</v>
      </c>
      <c r="I1563" s="0" t="s">
        <v>5210</v>
      </c>
      <c r="J1563" s="0" t="s">
        <v>5211</v>
      </c>
      <c r="K1563" s="0" t="s">
        <v>5212</v>
      </c>
      <c r="L1563" s="0" t="str">
        <f aca="false">HYPERLINK("https://www.ncbi.nlm.nih.gov/nuccore/CP000304.1?report=graph&amp;tracks=[key:gene_model_track,Options:GeneOnly]&amp;mk=453537:453556|offset_11|00cc00,453562:453581|offset_36|444444,453600:453619|offset_74|444444,453620:453639|offset_94|444444&amp;v=453336:453839&amp;c=444444", "offset 11")</f>
        <v>offset 11</v>
      </c>
    </row>
    <row r="1564" customFormat="false" ht="12.8" hidden="false" customHeight="false" outlineLevel="0" collapsed="false">
      <c r="A1564" s="0" t="s">
        <v>12</v>
      </c>
      <c r="B1564" s="0" t="n">
        <v>453561</v>
      </c>
      <c r="C1564" s="0" t="n">
        <v>453581</v>
      </c>
      <c r="D1564" s="0" t="s">
        <v>5209</v>
      </c>
      <c r="E1564" s="0" t="s">
        <v>89</v>
      </c>
      <c r="F1564" s="0" t="s">
        <v>15</v>
      </c>
      <c r="G1564" s="0" t="s">
        <v>16</v>
      </c>
      <c r="H1564" s="0" t="n">
        <v>36</v>
      </c>
      <c r="I1564" s="0" t="s">
        <v>5213</v>
      </c>
      <c r="J1564" s="0" t="s">
        <v>5214</v>
      </c>
      <c r="K1564" s="0" t="s">
        <v>5215</v>
      </c>
      <c r="L1564" s="0" t="str">
        <f aca="false">HYPERLINK("https://www.ncbi.nlm.nih.gov/nuccore/CP000304.1?report=graph&amp;tracks=[key:gene_model_track,Options:GeneOnly]&amp;mk=453537:453556|offset_11|444444,453562:453581|offset_36|00cc00,453600:453619|offset_74|444444,453620:453639|offset_94|444444&amp;v=453336:453839&amp;c=444444", "offset 36")</f>
        <v>offset 36</v>
      </c>
    </row>
    <row r="1565" customFormat="false" ht="12.8" hidden="false" customHeight="false" outlineLevel="0" collapsed="false">
      <c r="A1565" s="0" t="s">
        <v>12</v>
      </c>
      <c r="B1565" s="0" t="n">
        <v>453599</v>
      </c>
      <c r="C1565" s="0" t="n">
        <v>453619</v>
      </c>
      <c r="D1565" s="0" t="s">
        <v>5209</v>
      </c>
      <c r="E1565" s="0" t="s">
        <v>89</v>
      </c>
      <c r="F1565" s="0" t="s">
        <v>15</v>
      </c>
      <c r="G1565" s="0" t="s">
        <v>16</v>
      </c>
      <c r="H1565" s="0" t="n">
        <v>74</v>
      </c>
      <c r="I1565" s="0" t="s">
        <v>5216</v>
      </c>
      <c r="J1565" s="0" t="s">
        <v>5217</v>
      </c>
      <c r="K1565" s="0" t="s">
        <v>5218</v>
      </c>
      <c r="L1565" s="0" t="str">
        <f aca="false">HYPERLINK("https://www.ncbi.nlm.nih.gov/nuccore/CP000304.1?report=graph&amp;tracks=[key:gene_model_track,Options:GeneOnly]&amp;mk=453537:453556|offset_11|444444,453562:453581|offset_36|444444,453600:453619|offset_74|00cc00,453620:453639|offset_94|444444&amp;v=453336:453839&amp;c=444444", "offset 74")</f>
        <v>offset 74</v>
      </c>
    </row>
    <row r="1566" customFormat="false" ht="12.8" hidden="false" customHeight="false" outlineLevel="0" collapsed="false">
      <c r="A1566" s="0" t="s">
        <v>12</v>
      </c>
      <c r="B1566" s="0" t="n">
        <v>453619</v>
      </c>
      <c r="C1566" s="0" t="n">
        <v>453639</v>
      </c>
      <c r="D1566" s="0" t="s">
        <v>5209</v>
      </c>
      <c r="E1566" s="0" t="s">
        <v>89</v>
      </c>
      <c r="F1566" s="0" t="s">
        <v>15</v>
      </c>
      <c r="G1566" s="0" t="s">
        <v>32</v>
      </c>
      <c r="H1566" s="0" t="n">
        <v>94</v>
      </c>
      <c r="I1566" s="0" t="s">
        <v>5219</v>
      </c>
      <c r="J1566" s="0" t="s">
        <v>5220</v>
      </c>
      <c r="K1566" s="0" t="s">
        <v>5221</v>
      </c>
      <c r="L1566" s="0" t="str">
        <f aca="false">HYPERLINK("https://www.ncbi.nlm.nih.gov/nuccore/CP000304.1?report=graph&amp;tracks=[key:gene_model_track,Options:GeneOnly]&amp;mk=453537:453556|offset_11|444444,453562:453581|offset_36|444444,453600:453619|offset_74|444444,453620:453639|offset_94|00cc00&amp;v=453336:453839&amp;c=444444", "offset 94")</f>
        <v>offset 94</v>
      </c>
    </row>
    <row r="1567" customFormat="false" ht="12.8" hidden="false" customHeight="false" outlineLevel="0" collapsed="false">
      <c r="A1567" s="0" t="s">
        <v>12</v>
      </c>
      <c r="B1567" s="0" t="n">
        <v>454229</v>
      </c>
      <c r="C1567" s="0" t="n">
        <v>454249</v>
      </c>
      <c r="D1567" s="0" t="s">
        <v>5222</v>
      </c>
      <c r="E1567" s="0" t="s">
        <v>89</v>
      </c>
      <c r="F1567" s="0" t="s">
        <v>15</v>
      </c>
      <c r="G1567" s="0" t="s">
        <v>16</v>
      </c>
      <c r="H1567" s="0" t="n">
        <v>6</v>
      </c>
      <c r="I1567" s="0" t="s">
        <v>5223</v>
      </c>
      <c r="J1567" s="0" t="s">
        <v>5224</v>
      </c>
      <c r="K1567" s="0" t="s">
        <v>5225</v>
      </c>
      <c r="L1567" s="0" t="str">
        <f aca="false">HYPERLINK("https://www.ncbi.nlm.nih.gov/nuccore/CP000304.1?report=graph&amp;tracks=[key:gene_model_track,Options:GeneOnly]&amp;mk=454230:454249|offset_6|00cc00,454263:454282|offset_39|444444,454293:454312|offset_69|444444,454316:454335|offset_92|444444&amp;v=454029:454535&amp;c=444444", "offset 6")</f>
        <v>offset 6</v>
      </c>
    </row>
    <row r="1568" customFormat="false" ht="12.8" hidden="false" customHeight="false" outlineLevel="0" collapsed="false">
      <c r="A1568" s="0" t="s">
        <v>12</v>
      </c>
      <c r="B1568" s="0" t="n">
        <v>454262</v>
      </c>
      <c r="C1568" s="0" t="n">
        <v>454282</v>
      </c>
      <c r="D1568" s="0" t="s">
        <v>5222</v>
      </c>
      <c r="E1568" s="0" t="s">
        <v>89</v>
      </c>
      <c r="F1568" s="0" t="s">
        <v>15</v>
      </c>
      <c r="G1568" s="0" t="s">
        <v>16</v>
      </c>
      <c r="H1568" s="0" t="n">
        <v>39</v>
      </c>
      <c r="I1568" s="0" t="s">
        <v>5226</v>
      </c>
      <c r="J1568" s="0" t="s">
        <v>5227</v>
      </c>
      <c r="K1568" s="0" t="s">
        <v>5228</v>
      </c>
      <c r="L1568" s="0" t="str">
        <f aca="false">HYPERLINK("https://www.ncbi.nlm.nih.gov/nuccore/CP000304.1?report=graph&amp;tracks=[key:gene_model_track,Options:GeneOnly]&amp;mk=454230:454249|offset_6|444444,454263:454282|offset_39|00cc00,454293:454312|offset_69|444444,454316:454335|offset_92|444444&amp;v=454029:454535&amp;c=444444", "offset 39")</f>
        <v>offset 39</v>
      </c>
    </row>
    <row r="1569" customFormat="false" ht="12.8" hidden="false" customHeight="false" outlineLevel="0" collapsed="false">
      <c r="A1569" s="0" t="s">
        <v>12</v>
      </c>
      <c r="B1569" s="0" t="n">
        <v>454292</v>
      </c>
      <c r="C1569" s="0" t="n">
        <v>454312</v>
      </c>
      <c r="D1569" s="0" t="s">
        <v>5222</v>
      </c>
      <c r="E1569" s="0" t="s">
        <v>89</v>
      </c>
      <c r="F1569" s="0" t="s">
        <v>15</v>
      </c>
      <c r="G1569" s="0" t="s">
        <v>36</v>
      </c>
      <c r="H1569" s="0" t="n">
        <v>69</v>
      </c>
      <c r="I1569" s="0" t="s">
        <v>5229</v>
      </c>
      <c r="J1569" s="0" t="s">
        <v>5230</v>
      </c>
      <c r="K1569" s="0" t="s">
        <v>5231</v>
      </c>
      <c r="L1569" s="0" t="str">
        <f aca="false">HYPERLINK("https://www.ncbi.nlm.nih.gov/nuccore/CP000304.1?report=graph&amp;tracks=[key:gene_model_track,Options:GeneOnly]&amp;mk=454230:454249|offset_6|444444,454263:454282|offset_39|444444,454293:454312|offset_69|00cc00,454316:454335|offset_92|444444&amp;v=454029:454535&amp;c=444444", "offset 69")</f>
        <v>offset 69</v>
      </c>
    </row>
    <row r="1570" customFormat="false" ht="12.8" hidden="false" customHeight="false" outlineLevel="0" collapsed="false">
      <c r="A1570" s="0" t="s">
        <v>12</v>
      </c>
      <c r="B1570" s="0" t="n">
        <v>454315</v>
      </c>
      <c r="C1570" s="0" t="n">
        <v>454335</v>
      </c>
      <c r="D1570" s="0" t="s">
        <v>5222</v>
      </c>
      <c r="E1570" s="0" t="s">
        <v>89</v>
      </c>
      <c r="F1570" s="0" t="s">
        <v>15</v>
      </c>
      <c r="G1570" s="0" t="s">
        <v>26</v>
      </c>
      <c r="H1570" s="0" t="n">
        <v>92</v>
      </c>
      <c r="I1570" s="0" t="s">
        <v>5232</v>
      </c>
      <c r="J1570" s="0" t="s">
        <v>5233</v>
      </c>
      <c r="K1570" s="0" t="s">
        <v>5234</v>
      </c>
      <c r="L1570" s="0" t="str">
        <f aca="false">HYPERLINK("https://www.ncbi.nlm.nih.gov/nuccore/CP000304.1?report=graph&amp;tracks=[key:gene_model_track,Options:GeneOnly]&amp;mk=454230:454249|offset_6|444444,454263:454282|offset_39|444444,454293:454312|offset_69|444444,454316:454335|offset_92|00cc00&amp;v=454029:454535&amp;c=444444", "offset 92")</f>
        <v>offset 92</v>
      </c>
    </row>
    <row r="1571" customFormat="false" ht="12.8" hidden="false" customHeight="false" outlineLevel="0" collapsed="false">
      <c r="A1571" s="0" t="s">
        <v>12</v>
      </c>
      <c r="B1571" s="0" t="n">
        <v>455286</v>
      </c>
      <c r="C1571" s="0" t="n">
        <v>455306</v>
      </c>
      <c r="D1571" s="0" t="s">
        <v>5235</v>
      </c>
      <c r="E1571" s="0" t="s">
        <v>89</v>
      </c>
      <c r="F1571" s="0" t="s">
        <v>15</v>
      </c>
      <c r="G1571" s="0" t="s">
        <v>26</v>
      </c>
      <c r="H1571" s="0" t="n">
        <v>11</v>
      </c>
      <c r="I1571" s="0" t="s">
        <v>5236</v>
      </c>
      <c r="J1571" s="0" t="s">
        <v>5237</v>
      </c>
      <c r="K1571" s="0" t="s">
        <v>5238</v>
      </c>
      <c r="L1571" s="0" t="str">
        <f aca="false">HYPERLINK("https://www.ncbi.nlm.nih.gov/nuccore/CP000304.1?report=graph&amp;tracks=[key:gene_model_track,Options:GeneOnly]&amp;mk=455287:455306|offset_11|00cc00,455313:455332|offset_37|444444,455334:455353|offset_58|444444,455371:455390|offset_95|444444&amp;v=455086:455590&amp;c=444444", "offset 11")</f>
        <v>offset 11</v>
      </c>
    </row>
    <row r="1572" customFormat="false" ht="12.8" hidden="false" customHeight="false" outlineLevel="0" collapsed="false">
      <c r="A1572" s="0" t="s">
        <v>12</v>
      </c>
      <c r="B1572" s="0" t="n">
        <v>455312</v>
      </c>
      <c r="C1572" s="0" t="n">
        <v>455332</v>
      </c>
      <c r="D1572" s="0" t="s">
        <v>5235</v>
      </c>
      <c r="E1572" s="0" t="s">
        <v>89</v>
      </c>
      <c r="F1572" s="0" t="s">
        <v>15</v>
      </c>
      <c r="G1572" s="0" t="s">
        <v>36</v>
      </c>
      <c r="H1572" s="0" t="n">
        <v>37</v>
      </c>
      <c r="I1572" s="0" t="s">
        <v>5239</v>
      </c>
      <c r="J1572" s="0" t="s">
        <v>5240</v>
      </c>
      <c r="K1572" s="0" t="s">
        <v>5241</v>
      </c>
      <c r="L1572" s="0" t="str">
        <f aca="false">HYPERLINK("https://www.ncbi.nlm.nih.gov/nuccore/CP000304.1?report=graph&amp;tracks=[key:gene_model_track,Options:GeneOnly]&amp;mk=455287:455306|offset_11|444444,455313:455332|offset_37|00cc00,455334:455353|offset_58|444444,455371:455390|offset_95|444444&amp;v=455086:455590&amp;c=444444", "offset 37")</f>
        <v>offset 37</v>
      </c>
    </row>
    <row r="1573" customFormat="false" ht="12.8" hidden="false" customHeight="false" outlineLevel="0" collapsed="false">
      <c r="A1573" s="0" t="s">
        <v>12</v>
      </c>
      <c r="B1573" s="0" t="n">
        <v>455333</v>
      </c>
      <c r="C1573" s="0" t="n">
        <v>455353</v>
      </c>
      <c r="D1573" s="0" t="s">
        <v>5235</v>
      </c>
      <c r="E1573" s="0" t="s">
        <v>89</v>
      </c>
      <c r="F1573" s="0" t="s">
        <v>15</v>
      </c>
      <c r="G1573" s="0" t="s">
        <v>16</v>
      </c>
      <c r="H1573" s="0" t="n">
        <v>58</v>
      </c>
      <c r="I1573" s="0" t="s">
        <v>5242</v>
      </c>
      <c r="J1573" s="0" t="s">
        <v>5243</v>
      </c>
      <c r="K1573" s="0" t="s">
        <v>5244</v>
      </c>
      <c r="L1573" s="0" t="str">
        <f aca="false">HYPERLINK("https://www.ncbi.nlm.nih.gov/nuccore/CP000304.1?report=graph&amp;tracks=[key:gene_model_track,Options:GeneOnly]&amp;mk=455287:455306|offset_11|444444,455313:455332|offset_37|444444,455334:455353|offset_58|00cc00,455371:455390|offset_95|444444&amp;v=455086:455590&amp;c=444444", "offset 58")</f>
        <v>offset 58</v>
      </c>
    </row>
    <row r="1574" customFormat="false" ht="12.8" hidden="false" customHeight="false" outlineLevel="0" collapsed="false">
      <c r="A1574" s="0" t="s">
        <v>12</v>
      </c>
      <c r="B1574" s="0" t="n">
        <v>455370</v>
      </c>
      <c r="C1574" s="0" t="n">
        <v>455390</v>
      </c>
      <c r="D1574" s="0" t="s">
        <v>5235</v>
      </c>
      <c r="E1574" s="0" t="s">
        <v>89</v>
      </c>
      <c r="F1574" s="0" t="s">
        <v>15</v>
      </c>
      <c r="G1574" s="0" t="s">
        <v>32</v>
      </c>
      <c r="H1574" s="0" t="n">
        <v>95</v>
      </c>
      <c r="I1574" s="0" t="s">
        <v>5245</v>
      </c>
      <c r="J1574" s="0" t="s">
        <v>5246</v>
      </c>
      <c r="K1574" s="0" t="s">
        <v>5247</v>
      </c>
      <c r="L1574" s="0" t="str">
        <f aca="false">HYPERLINK("https://www.ncbi.nlm.nih.gov/nuccore/CP000304.1?report=graph&amp;tracks=[key:gene_model_track,Options:GeneOnly]&amp;mk=455287:455306|offset_11|444444,455313:455332|offset_37|444444,455334:455353|offset_58|444444,455371:455390|offset_95|00cc00&amp;v=455086:455590&amp;c=444444", "offset 95")</f>
        <v>offset 95</v>
      </c>
    </row>
    <row r="1575" customFormat="false" ht="12.8" hidden="false" customHeight="false" outlineLevel="0" collapsed="false">
      <c r="A1575" s="0" t="s">
        <v>12</v>
      </c>
      <c r="B1575" s="0" t="n">
        <v>456436</v>
      </c>
      <c r="C1575" s="0" t="n">
        <v>456456</v>
      </c>
      <c r="D1575" s="0" t="s">
        <v>5248</v>
      </c>
      <c r="E1575" s="0" t="s">
        <v>89</v>
      </c>
      <c r="F1575" s="0" t="s">
        <v>90</v>
      </c>
      <c r="G1575" s="0" t="s">
        <v>32</v>
      </c>
      <c r="H1575" s="0" t="n">
        <v>10</v>
      </c>
      <c r="I1575" s="0" t="s">
        <v>5249</v>
      </c>
      <c r="J1575" s="0" t="s">
        <v>5250</v>
      </c>
      <c r="K1575" s="0" t="s">
        <v>5251</v>
      </c>
      <c r="L1575" s="0" t="str">
        <f aca="false">HYPERLINK("https://www.ncbi.nlm.nih.gov/nuccore/CP000304.1?report=graph&amp;tracks=[key:gene_model_track,Options:GeneOnly]&amp;mk=456437:456456|offset_10|00cc00,456374:456393|offset_73|444444,456308:456327|offset_139|444444,456280:456299|offset_167|444444&amp;v=456236:456499&amp;c=444444", "offset 10")</f>
        <v>offset 10</v>
      </c>
    </row>
    <row r="1576" customFormat="false" ht="12.8" hidden="false" customHeight="false" outlineLevel="0" collapsed="false">
      <c r="A1576" s="0" t="s">
        <v>12</v>
      </c>
      <c r="B1576" s="0" t="n">
        <v>456373</v>
      </c>
      <c r="C1576" s="0" t="n">
        <v>456393</v>
      </c>
      <c r="D1576" s="0" t="s">
        <v>5248</v>
      </c>
      <c r="E1576" s="0" t="s">
        <v>89</v>
      </c>
      <c r="F1576" s="0" t="s">
        <v>90</v>
      </c>
      <c r="G1576" s="0" t="s">
        <v>16</v>
      </c>
      <c r="H1576" s="0" t="n">
        <v>73</v>
      </c>
      <c r="I1576" s="0" t="s">
        <v>5252</v>
      </c>
      <c r="J1576" s="0" t="s">
        <v>5253</v>
      </c>
      <c r="K1576" s="0" t="s">
        <v>5254</v>
      </c>
      <c r="L1576" s="0" t="str">
        <f aca="false">HYPERLINK("https://www.ncbi.nlm.nih.gov/nuccore/CP000304.1?report=graph&amp;tracks=[key:gene_model_track,Options:GeneOnly]&amp;mk=456437:456456|offset_10|444444,456374:456393|offset_73|00cc00,456308:456327|offset_139|444444,456280:456299|offset_167|444444&amp;v=456236:456499&amp;c=444444", "offset 73")</f>
        <v>offset 73</v>
      </c>
    </row>
    <row r="1577" customFormat="false" ht="12.8" hidden="false" customHeight="false" outlineLevel="0" collapsed="false">
      <c r="A1577" s="0" t="s">
        <v>12</v>
      </c>
      <c r="B1577" s="0" t="n">
        <v>456307</v>
      </c>
      <c r="C1577" s="0" t="n">
        <v>456327</v>
      </c>
      <c r="D1577" s="0" t="s">
        <v>5248</v>
      </c>
      <c r="E1577" s="0" t="s">
        <v>89</v>
      </c>
      <c r="F1577" s="0" t="s">
        <v>90</v>
      </c>
      <c r="G1577" s="0" t="s">
        <v>32</v>
      </c>
      <c r="H1577" s="0" t="n">
        <v>139</v>
      </c>
      <c r="I1577" s="0" t="s">
        <v>5255</v>
      </c>
      <c r="J1577" s="0" t="s">
        <v>5256</v>
      </c>
      <c r="K1577" s="0" t="s">
        <v>5257</v>
      </c>
      <c r="L1577" s="0" t="str">
        <f aca="false">HYPERLINK("https://www.ncbi.nlm.nih.gov/nuccore/CP000304.1?report=graph&amp;tracks=[key:gene_model_track,Options:GeneOnly]&amp;mk=456437:456456|offset_10|444444,456374:456393|offset_73|444444,456308:456327|offset_139|00cc00,456280:456299|offset_167|444444&amp;v=456236:456499&amp;c=444444", "offset 139")</f>
        <v>offset 139</v>
      </c>
    </row>
    <row r="1578" customFormat="false" ht="12.8" hidden="false" customHeight="false" outlineLevel="0" collapsed="false">
      <c r="A1578" s="0" t="s">
        <v>12</v>
      </c>
      <c r="B1578" s="0" t="n">
        <v>456279</v>
      </c>
      <c r="C1578" s="0" t="n">
        <v>456299</v>
      </c>
      <c r="D1578" s="0" t="s">
        <v>5248</v>
      </c>
      <c r="E1578" s="0" t="s">
        <v>89</v>
      </c>
      <c r="F1578" s="0" t="s">
        <v>90</v>
      </c>
      <c r="G1578" s="0" t="s">
        <v>32</v>
      </c>
      <c r="H1578" s="0" t="n">
        <v>167</v>
      </c>
      <c r="I1578" s="0" t="s">
        <v>5258</v>
      </c>
      <c r="J1578" s="0" t="s">
        <v>5259</v>
      </c>
      <c r="K1578" s="0" t="s">
        <v>5260</v>
      </c>
      <c r="L1578" s="0" t="str">
        <f aca="false">HYPERLINK("https://www.ncbi.nlm.nih.gov/nuccore/CP000304.1?report=graph&amp;tracks=[key:gene_model_track,Options:GeneOnly]&amp;mk=456437:456456|offset_10|444444,456374:456393|offset_73|444444,456308:456327|offset_139|444444,456280:456299|offset_167|00cc00&amp;v=456236:456499&amp;c=444444", "offset 167")</f>
        <v>offset 167</v>
      </c>
    </row>
    <row r="1579" customFormat="false" ht="12.8" hidden="false" customHeight="false" outlineLevel="0" collapsed="false">
      <c r="A1579" s="0" t="s">
        <v>12</v>
      </c>
      <c r="B1579" s="0" t="n">
        <v>457284</v>
      </c>
      <c r="C1579" s="0" t="n">
        <v>457304</v>
      </c>
      <c r="D1579" s="0" t="s">
        <v>5261</v>
      </c>
      <c r="E1579" s="0" t="s">
        <v>5262</v>
      </c>
      <c r="F1579" s="0" t="s">
        <v>90</v>
      </c>
      <c r="G1579" s="0" t="s">
        <v>36</v>
      </c>
      <c r="H1579" s="0" t="n">
        <v>0</v>
      </c>
      <c r="I1579" s="0" t="s">
        <v>5263</v>
      </c>
      <c r="J1579" s="0" t="s">
        <v>5264</v>
      </c>
      <c r="K1579" s="0" t="s">
        <v>5265</v>
      </c>
      <c r="L1579" s="0" t="str">
        <f aca="false">HYPERLINK("https://www.ncbi.nlm.nih.gov/nuccore/CP000304.1?report=graph&amp;tracks=[key:gene_model_track,Options:GeneOnly]&amp;mk=457285:457304|offset_0|00cc00,457251:457270|offset_34|444444,457229:457248|offset_56|444444,457188:457207|offset_97|444444&amp;v=457084:457407&amp;c=444444", "offset 0")</f>
        <v>offset 0</v>
      </c>
    </row>
    <row r="1580" customFormat="false" ht="12.8" hidden="false" customHeight="false" outlineLevel="0" collapsed="false">
      <c r="A1580" s="0" t="s">
        <v>12</v>
      </c>
      <c r="B1580" s="0" t="n">
        <v>457250</v>
      </c>
      <c r="C1580" s="0" t="n">
        <v>457270</v>
      </c>
      <c r="D1580" s="0" t="s">
        <v>5261</v>
      </c>
      <c r="E1580" s="0" t="s">
        <v>5262</v>
      </c>
      <c r="F1580" s="0" t="s">
        <v>90</v>
      </c>
      <c r="G1580" s="0" t="s">
        <v>36</v>
      </c>
      <c r="H1580" s="0" t="n">
        <v>34</v>
      </c>
      <c r="I1580" s="0" t="s">
        <v>5266</v>
      </c>
      <c r="J1580" s="0" t="s">
        <v>5267</v>
      </c>
      <c r="K1580" s="0" t="s">
        <v>5268</v>
      </c>
      <c r="L1580" s="0" t="str">
        <f aca="false">HYPERLINK("https://www.ncbi.nlm.nih.gov/nuccore/CP000304.1?report=graph&amp;tracks=[key:gene_model_track,Options:GeneOnly]&amp;mk=457285:457304|offset_0|444444,457251:457270|offset_34|00cc00,457229:457248|offset_56|444444,457188:457207|offset_97|444444&amp;v=457084:457407&amp;c=444444", "offset 34")</f>
        <v>offset 34</v>
      </c>
    </row>
    <row r="1581" customFormat="false" ht="12.8" hidden="false" customHeight="false" outlineLevel="0" collapsed="false">
      <c r="A1581" s="0" t="s">
        <v>12</v>
      </c>
      <c r="B1581" s="0" t="n">
        <v>457228</v>
      </c>
      <c r="C1581" s="0" t="n">
        <v>457248</v>
      </c>
      <c r="D1581" s="0" t="s">
        <v>5261</v>
      </c>
      <c r="E1581" s="0" t="s">
        <v>5262</v>
      </c>
      <c r="F1581" s="0" t="s">
        <v>90</v>
      </c>
      <c r="G1581" s="0" t="s">
        <v>26</v>
      </c>
      <c r="H1581" s="0" t="n">
        <v>56</v>
      </c>
      <c r="I1581" s="0" t="s">
        <v>5269</v>
      </c>
      <c r="J1581" s="0" t="s">
        <v>5270</v>
      </c>
      <c r="K1581" s="0" t="s">
        <v>5271</v>
      </c>
      <c r="L1581" s="0" t="str">
        <f aca="false">HYPERLINK("https://www.ncbi.nlm.nih.gov/nuccore/CP000304.1?report=graph&amp;tracks=[key:gene_model_track,Options:GeneOnly]&amp;mk=457285:457304|offset_0|444444,457251:457270|offset_34|444444,457229:457248|offset_56|00cc00,457188:457207|offset_97|444444&amp;v=457084:457407&amp;c=444444", "offset 56")</f>
        <v>offset 56</v>
      </c>
    </row>
    <row r="1582" customFormat="false" ht="12.8" hidden="false" customHeight="false" outlineLevel="0" collapsed="false">
      <c r="A1582" s="0" t="s">
        <v>12</v>
      </c>
      <c r="B1582" s="0" t="n">
        <v>457187</v>
      </c>
      <c r="C1582" s="0" t="n">
        <v>457207</v>
      </c>
      <c r="D1582" s="0" t="s">
        <v>5261</v>
      </c>
      <c r="E1582" s="0" t="s">
        <v>5262</v>
      </c>
      <c r="F1582" s="0" t="s">
        <v>90</v>
      </c>
      <c r="G1582" s="0" t="s">
        <v>16</v>
      </c>
      <c r="H1582" s="0" t="n">
        <v>97</v>
      </c>
      <c r="I1582" s="0" t="s">
        <v>5272</v>
      </c>
      <c r="J1582" s="0" t="s">
        <v>5273</v>
      </c>
      <c r="K1582" s="0" t="s">
        <v>5274</v>
      </c>
      <c r="L1582" s="0" t="str">
        <f aca="false">HYPERLINK("https://www.ncbi.nlm.nih.gov/nuccore/CP000304.1?report=graph&amp;tracks=[key:gene_model_track,Options:GeneOnly]&amp;mk=457285:457304|offset_0|444444,457251:457270|offset_34|444444,457229:457248|offset_56|444444,457188:457207|offset_97|00cc00&amp;v=457084:457407&amp;c=444444", "offset 97")</f>
        <v>offset 97</v>
      </c>
    </row>
    <row r="1583" customFormat="false" ht="12.8" hidden="false" customHeight="false" outlineLevel="0" collapsed="false">
      <c r="A1583" s="0" t="s">
        <v>12</v>
      </c>
      <c r="B1583" s="0" t="n">
        <v>457499</v>
      </c>
      <c r="C1583" s="0" t="n">
        <v>457519</v>
      </c>
      <c r="D1583" s="0" t="s">
        <v>5275</v>
      </c>
      <c r="E1583" s="0" t="s">
        <v>5276</v>
      </c>
      <c r="F1583" s="0" t="s">
        <v>15</v>
      </c>
      <c r="G1583" s="0" t="s">
        <v>26</v>
      </c>
      <c r="H1583" s="0" t="n">
        <v>29</v>
      </c>
      <c r="I1583" s="0" t="s">
        <v>5277</v>
      </c>
      <c r="J1583" s="0" t="s">
        <v>5278</v>
      </c>
      <c r="K1583" s="0" t="s">
        <v>5279</v>
      </c>
      <c r="L1583" s="0" t="str">
        <f aca="false">HYPERLINK("https://www.ncbi.nlm.nih.gov/nuccore/CP000304.1?report=graph&amp;tracks=[key:gene_model_track,Options:GeneOnly]&amp;mk=457500:457519|offset_29|00cc00,457526:457545|offset_55|444444,457546:457565|offset_75|444444,457578:457597|offset_107|444444&amp;v=457299:457797&amp;c=444444", "offset 29")</f>
        <v>offset 29</v>
      </c>
    </row>
    <row r="1584" customFormat="false" ht="12.8" hidden="false" customHeight="false" outlineLevel="0" collapsed="false">
      <c r="A1584" s="0" t="s">
        <v>12</v>
      </c>
      <c r="B1584" s="0" t="n">
        <v>457525</v>
      </c>
      <c r="C1584" s="0" t="n">
        <v>457545</v>
      </c>
      <c r="D1584" s="0" t="s">
        <v>5275</v>
      </c>
      <c r="E1584" s="0" t="s">
        <v>5276</v>
      </c>
      <c r="F1584" s="0" t="s">
        <v>15</v>
      </c>
      <c r="G1584" s="0" t="s">
        <v>16</v>
      </c>
      <c r="H1584" s="0" t="n">
        <v>55</v>
      </c>
      <c r="I1584" s="0" t="s">
        <v>5280</v>
      </c>
      <c r="J1584" s="0" t="s">
        <v>5281</v>
      </c>
      <c r="K1584" s="0" t="s">
        <v>5282</v>
      </c>
      <c r="L1584" s="0" t="str">
        <f aca="false">HYPERLINK("https://www.ncbi.nlm.nih.gov/nuccore/CP000304.1?report=graph&amp;tracks=[key:gene_model_track,Options:GeneOnly]&amp;mk=457500:457519|offset_29|444444,457526:457545|offset_55|00cc00,457546:457565|offset_75|444444,457578:457597|offset_107|444444&amp;v=457299:457797&amp;c=444444", "offset 55")</f>
        <v>offset 55</v>
      </c>
    </row>
    <row r="1585" customFormat="false" ht="12.8" hidden="false" customHeight="false" outlineLevel="0" collapsed="false">
      <c r="A1585" s="0" t="s">
        <v>12</v>
      </c>
      <c r="B1585" s="0" t="n">
        <v>457545</v>
      </c>
      <c r="C1585" s="0" t="n">
        <v>457565</v>
      </c>
      <c r="D1585" s="0" t="s">
        <v>5275</v>
      </c>
      <c r="E1585" s="0" t="s">
        <v>5276</v>
      </c>
      <c r="F1585" s="0" t="s">
        <v>15</v>
      </c>
      <c r="G1585" s="0" t="s">
        <v>36</v>
      </c>
      <c r="H1585" s="0" t="n">
        <v>75</v>
      </c>
      <c r="I1585" s="0" t="s">
        <v>5283</v>
      </c>
      <c r="J1585" s="0" t="s">
        <v>5284</v>
      </c>
      <c r="K1585" s="0" t="s">
        <v>5285</v>
      </c>
      <c r="L1585" s="0" t="str">
        <f aca="false">HYPERLINK("https://www.ncbi.nlm.nih.gov/nuccore/CP000304.1?report=graph&amp;tracks=[key:gene_model_track,Options:GeneOnly]&amp;mk=457500:457519|offset_29|444444,457526:457545|offset_55|444444,457546:457565|offset_75|00cc00,457578:457597|offset_107|444444&amp;v=457299:457797&amp;c=444444", "offset 75")</f>
        <v>offset 75</v>
      </c>
    </row>
    <row r="1586" customFormat="false" ht="12.8" hidden="false" customHeight="false" outlineLevel="0" collapsed="false">
      <c r="A1586" s="0" t="s">
        <v>12</v>
      </c>
      <c r="B1586" s="0" t="n">
        <v>457577</v>
      </c>
      <c r="C1586" s="0" t="n">
        <v>457597</v>
      </c>
      <c r="D1586" s="0" t="s">
        <v>5275</v>
      </c>
      <c r="E1586" s="0" t="s">
        <v>5276</v>
      </c>
      <c r="F1586" s="0" t="s">
        <v>15</v>
      </c>
      <c r="G1586" s="0" t="s">
        <v>32</v>
      </c>
      <c r="H1586" s="0" t="n">
        <v>107</v>
      </c>
      <c r="I1586" s="0" t="s">
        <v>5286</v>
      </c>
      <c r="J1586" s="0" t="s">
        <v>5287</v>
      </c>
      <c r="K1586" s="0" t="s">
        <v>5288</v>
      </c>
      <c r="L1586" s="0" t="str">
        <f aca="false">HYPERLINK("https://www.ncbi.nlm.nih.gov/nuccore/CP000304.1?report=graph&amp;tracks=[key:gene_model_track,Options:GeneOnly]&amp;mk=457500:457519|offset_29|444444,457526:457545|offset_55|444444,457546:457565|offset_75|444444,457578:457597|offset_107|00cc00&amp;v=457299:457797&amp;c=444444", "offset 107")</f>
        <v>offset 107</v>
      </c>
    </row>
    <row r="1587" customFormat="false" ht="12.8" hidden="false" customHeight="false" outlineLevel="0" collapsed="false">
      <c r="A1587" s="0" t="s">
        <v>12</v>
      </c>
      <c r="B1587" s="0" t="n">
        <v>459005</v>
      </c>
      <c r="C1587" s="0" t="n">
        <v>459025</v>
      </c>
      <c r="D1587" s="0" t="s">
        <v>5289</v>
      </c>
      <c r="E1587" s="0" t="s">
        <v>89</v>
      </c>
      <c r="F1587" s="0" t="s">
        <v>15</v>
      </c>
      <c r="G1587" s="0" t="s">
        <v>32</v>
      </c>
      <c r="H1587" s="0" t="n">
        <v>0</v>
      </c>
      <c r="I1587" s="0" t="s">
        <v>5290</v>
      </c>
      <c r="J1587" s="0" t="s">
        <v>5291</v>
      </c>
      <c r="K1587" s="0" t="s">
        <v>5292</v>
      </c>
      <c r="L1587" s="0" t="str">
        <f aca="false">HYPERLINK("https://www.ncbi.nlm.nih.gov/nuccore/CP000304.1?report=graph&amp;tracks=[key:gene_model_track,Options:GeneOnly]&amp;mk=459006:459025|offset_0|00cc00,459029:459048|offset_23|444444,459049:459068|offset_43|444444,459107:459126|offset_101|444444&amp;v=458805:459326&amp;c=444444", "offset 0")</f>
        <v>offset 0</v>
      </c>
    </row>
    <row r="1588" customFormat="false" ht="12.8" hidden="false" customHeight="false" outlineLevel="0" collapsed="false">
      <c r="A1588" s="0" t="s">
        <v>12</v>
      </c>
      <c r="B1588" s="0" t="n">
        <v>459028</v>
      </c>
      <c r="C1588" s="0" t="n">
        <v>459048</v>
      </c>
      <c r="D1588" s="0" t="s">
        <v>5289</v>
      </c>
      <c r="E1588" s="0" t="s">
        <v>89</v>
      </c>
      <c r="F1588" s="0" t="s">
        <v>15</v>
      </c>
      <c r="G1588" s="0" t="s">
        <v>16</v>
      </c>
      <c r="H1588" s="0" t="n">
        <v>23</v>
      </c>
      <c r="I1588" s="0" t="s">
        <v>5293</v>
      </c>
      <c r="J1588" s="0" t="s">
        <v>5294</v>
      </c>
      <c r="K1588" s="0" t="s">
        <v>5295</v>
      </c>
      <c r="L1588" s="0" t="str">
        <f aca="false">HYPERLINK("https://www.ncbi.nlm.nih.gov/nuccore/CP000304.1?report=graph&amp;tracks=[key:gene_model_track,Options:GeneOnly]&amp;mk=459006:459025|offset_0|444444,459029:459048|offset_23|00cc00,459049:459068|offset_43|444444,459107:459126|offset_101|444444&amp;v=458805:459326&amp;c=444444", "offset 23")</f>
        <v>offset 23</v>
      </c>
    </row>
    <row r="1589" customFormat="false" ht="12.8" hidden="false" customHeight="false" outlineLevel="0" collapsed="false">
      <c r="A1589" s="0" t="s">
        <v>12</v>
      </c>
      <c r="B1589" s="0" t="n">
        <v>459048</v>
      </c>
      <c r="C1589" s="0" t="n">
        <v>459068</v>
      </c>
      <c r="D1589" s="0" t="s">
        <v>5289</v>
      </c>
      <c r="E1589" s="0" t="s">
        <v>89</v>
      </c>
      <c r="F1589" s="0" t="s">
        <v>15</v>
      </c>
      <c r="G1589" s="0" t="s">
        <v>16</v>
      </c>
      <c r="H1589" s="0" t="n">
        <v>43</v>
      </c>
      <c r="I1589" s="0" t="s">
        <v>5296</v>
      </c>
      <c r="J1589" s="0" t="s">
        <v>5297</v>
      </c>
      <c r="K1589" s="0" t="s">
        <v>5298</v>
      </c>
      <c r="L1589" s="0" t="str">
        <f aca="false">HYPERLINK("https://www.ncbi.nlm.nih.gov/nuccore/CP000304.1?report=graph&amp;tracks=[key:gene_model_track,Options:GeneOnly]&amp;mk=459006:459025|offset_0|444444,459029:459048|offset_23|444444,459049:459068|offset_43|00cc00,459107:459126|offset_101|444444&amp;v=458805:459326&amp;c=444444", "offset 43")</f>
        <v>offset 43</v>
      </c>
    </row>
    <row r="1590" customFormat="false" ht="12.8" hidden="false" customHeight="false" outlineLevel="0" collapsed="false">
      <c r="A1590" s="0" t="s">
        <v>12</v>
      </c>
      <c r="B1590" s="0" t="n">
        <v>459106</v>
      </c>
      <c r="C1590" s="0" t="n">
        <v>459126</v>
      </c>
      <c r="D1590" s="0" t="s">
        <v>5289</v>
      </c>
      <c r="E1590" s="0" t="s">
        <v>89</v>
      </c>
      <c r="F1590" s="0" t="s">
        <v>15</v>
      </c>
      <c r="G1590" s="0" t="s">
        <v>16</v>
      </c>
      <c r="H1590" s="0" t="n">
        <v>101</v>
      </c>
      <c r="I1590" s="0" t="s">
        <v>5299</v>
      </c>
      <c r="J1590" s="0" t="s">
        <v>5300</v>
      </c>
      <c r="K1590" s="0" t="s">
        <v>5301</v>
      </c>
      <c r="L1590" s="0" t="str">
        <f aca="false">HYPERLINK("https://www.ncbi.nlm.nih.gov/nuccore/CP000304.1?report=graph&amp;tracks=[key:gene_model_track,Options:GeneOnly]&amp;mk=459006:459025|offset_0|444444,459029:459048|offset_23|444444,459049:459068|offset_43|444444,459107:459126|offset_101|00cc00&amp;v=458805:459326&amp;c=444444", "offset 101")</f>
        <v>offset 101</v>
      </c>
    </row>
    <row r="1591" customFormat="false" ht="12.8" hidden="false" customHeight="false" outlineLevel="0" collapsed="false">
      <c r="A1591" s="0" t="s">
        <v>12</v>
      </c>
      <c r="B1591" s="0" t="n">
        <v>460635</v>
      </c>
      <c r="C1591" s="0" t="n">
        <v>460655</v>
      </c>
      <c r="D1591" s="0" t="s">
        <v>5302</v>
      </c>
      <c r="E1591" s="0" t="s">
        <v>89</v>
      </c>
      <c r="F1591" s="0" t="s">
        <v>90</v>
      </c>
      <c r="G1591" s="0" t="s">
        <v>36</v>
      </c>
      <c r="H1591" s="0" t="n">
        <v>6</v>
      </c>
      <c r="I1591" s="0" t="s">
        <v>5303</v>
      </c>
      <c r="J1591" s="0" t="s">
        <v>5304</v>
      </c>
      <c r="K1591" s="0" t="s">
        <v>5305</v>
      </c>
      <c r="L1591" s="0" t="str">
        <f aca="false">HYPERLINK("https://www.ncbi.nlm.nih.gov/nuccore/CP000304.1?report=graph&amp;tracks=[key:gene_model_track,Options:GeneOnly]&amp;mk=460636:460655|offset_6|00cc00,460611:460630|offset_31|444444,460590:460609|offset_52|444444,460566:460585|offset_76|444444&amp;v=460435:460785&amp;c=444444", "offset 6")</f>
        <v>offset 6</v>
      </c>
    </row>
    <row r="1592" customFormat="false" ht="12.8" hidden="false" customHeight="false" outlineLevel="0" collapsed="false">
      <c r="A1592" s="0" t="s">
        <v>12</v>
      </c>
      <c r="B1592" s="0" t="n">
        <v>460610</v>
      </c>
      <c r="C1592" s="0" t="n">
        <v>460630</v>
      </c>
      <c r="D1592" s="0" t="s">
        <v>5302</v>
      </c>
      <c r="E1592" s="0" t="s">
        <v>89</v>
      </c>
      <c r="F1592" s="0" t="s">
        <v>90</v>
      </c>
      <c r="G1592" s="0" t="s">
        <v>36</v>
      </c>
      <c r="H1592" s="0" t="n">
        <v>31</v>
      </c>
      <c r="I1592" s="0" t="s">
        <v>5306</v>
      </c>
      <c r="J1592" s="0" t="s">
        <v>5307</v>
      </c>
      <c r="K1592" s="0" t="s">
        <v>5308</v>
      </c>
      <c r="L1592" s="0" t="str">
        <f aca="false">HYPERLINK("https://www.ncbi.nlm.nih.gov/nuccore/CP000304.1?report=graph&amp;tracks=[key:gene_model_track,Options:GeneOnly]&amp;mk=460636:460655|offset_6|444444,460611:460630|offset_31|00cc00,460590:460609|offset_52|444444,460566:460585|offset_76|444444&amp;v=460435:460785&amp;c=444444", "offset 31")</f>
        <v>offset 31</v>
      </c>
    </row>
    <row r="1593" customFormat="false" ht="12.8" hidden="false" customHeight="false" outlineLevel="0" collapsed="false">
      <c r="A1593" s="0" t="s">
        <v>12</v>
      </c>
      <c r="B1593" s="0" t="n">
        <v>460589</v>
      </c>
      <c r="C1593" s="0" t="n">
        <v>460609</v>
      </c>
      <c r="D1593" s="0" t="s">
        <v>5302</v>
      </c>
      <c r="E1593" s="0" t="s">
        <v>89</v>
      </c>
      <c r="F1593" s="0" t="s">
        <v>90</v>
      </c>
      <c r="G1593" s="0" t="s">
        <v>36</v>
      </c>
      <c r="H1593" s="0" t="n">
        <v>52</v>
      </c>
      <c r="I1593" s="0" t="s">
        <v>5309</v>
      </c>
      <c r="J1593" s="0" t="s">
        <v>5310</v>
      </c>
      <c r="K1593" s="0" t="s">
        <v>5311</v>
      </c>
      <c r="L1593" s="0" t="str">
        <f aca="false">HYPERLINK("https://www.ncbi.nlm.nih.gov/nuccore/CP000304.1?report=graph&amp;tracks=[key:gene_model_track,Options:GeneOnly]&amp;mk=460636:460655|offset_6|444444,460611:460630|offset_31|444444,460590:460609|offset_52|00cc00,460566:460585|offset_76|444444&amp;v=460435:460785&amp;c=444444", "offset 52")</f>
        <v>offset 52</v>
      </c>
    </row>
    <row r="1594" customFormat="false" ht="12.8" hidden="false" customHeight="false" outlineLevel="0" collapsed="false">
      <c r="A1594" s="0" t="s">
        <v>12</v>
      </c>
      <c r="B1594" s="0" t="n">
        <v>460565</v>
      </c>
      <c r="C1594" s="0" t="n">
        <v>460585</v>
      </c>
      <c r="D1594" s="0" t="s">
        <v>5302</v>
      </c>
      <c r="E1594" s="0" t="s">
        <v>89</v>
      </c>
      <c r="F1594" s="0" t="s">
        <v>90</v>
      </c>
      <c r="G1594" s="0" t="s">
        <v>16</v>
      </c>
      <c r="H1594" s="0" t="n">
        <v>76</v>
      </c>
      <c r="I1594" s="0" t="s">
        <v>5312</v>
      </c>
      <c r="J1594" s="0" t="s">
        <v>5313</v>
      </c>
      <c r="K1594" s="0" t="s">
        <v>5314</v>
      </c>
      <c r="L1594" s="0" t="str">
        <f aca="false">HYPERLINK("https://www.ncbi.nlm.nih.gov/nuccore/CP000304.1?report=graph&amp;tracks=[key:gene_model_track,Options:GeneOnly]&amp;mk=460636:460655|offset_6|444444,460611:460630|offset_31|444444,460590:460609|offset_52|444444,460566:460585|offset_76|00cc00&amp;v=460435:460785&amp;c=444444", "offset 76")</f>
        <v>offset 76</v>
      </c>
    </row>
    <row r="1595" customFormat="false" ht="12.8" hidden="false" customHeight="false" outlineLevel="0" collapsed="false">
      <c r="A1595" s="0" t="s">
        <v>12</v>
      </c>
      <c r="B1595" s="0" t="n">
        <v>461411</v>
      </c>
      <c r="C1595" s="0" t="n">
        <v>461431</v>
      </c>
      <c r="D1595" s="0" t="s">
        <v>5315</v>
      </c>
      <c r="E1595" s="0" t="s">
        <v>89</v>
      </c>
      <c r="F1595" s="0" t="s">
        <v>90</v>
      </c>
      <c r="G1595" s="0" t="s">
        <v>16</v>
      </c>
      <c r="H1595" s="0" t="n">
        <v>1</v>
      </c>
      <c r="I1595" s="0" t="s">
        <v>5316</v>
      </c>
      <c r="J1595" s="0" t="s">
        <v>5317</v>
      </c>
      <c r="K1595" s="0" t="s">
        <v>5318</v>
      </c>
      <c r="L1595" s="0" t="str">
        <f aca="false">HYPERLINK("https://www.ncbi.nlm.nih.gov/nuccore/CP000304.1?report=graph&amp;tracks=[key:gene_model_track,Options:GeneOnly]&amp;mk=461412:461431|offset_1|00cc00,461379:461398|offset_34|444444,461357:461376|offset_56|444444,461309:461328|offset_104|444444&amp;v=461211:461528&amp;c=444444", "offset 1")</f>
        <v>offset 1</v>
      </c>
    </row>
    <row r="1596" customFormat="false" ht="12.8" hidden="false" customHeight="false" outlineLevel="0" collapsed="false">
      <c r="A1596" s="0" t="s">
        <v>12</v>
      </c>
      <c r="B1596" s="0" t="n">
        <v>461378</v>
      </c>
      <c r="C1596" s="0" t="n">
        <v>461398</v>
      </c>
      <c r="D1596" s="0" t="s">
        <v>5315</v>
      </c>
      <c r="E1596" s="0" t="s">
        <v>89</v>
      </c>
      <c r="F1596" s="0" t="s">
        <v>90</v>
      </c>
      <c r="G1596" s="0" t="s">
        <v>36</v>
      </c>
      <c r="H1596" s="0" t="n">
        <v>34</v>
      </c>
      <c r="I1596" s="0" t="s">
        <v>5319</v>
      </c>
      <c r="J1596" s="0" t="s">
        <v>5320</v>
      </c>
      <c r="K1596" s="0" t="s">
        <v>5321</v>
      </c>
      <c r="L1596" s="0" t="str">
        <f aca="false">HYPERLINK("https://www.ncbi.nlm.nih.gov/nuccore/CP000304.1?report=graph&amp;tracks=[key:gene_model_track,Options:GeneOnly]&amp;mk=461412:461431|offset_1|444444,461379:461398|offset_34|00cc00,461357:461376|offset_56|444444,461309:461328|offset_104|444444&amp;v=461211:461528&amp;c=444444", "offset 34")</f>
        <v>offset 34</v>
      </c>
    </row>
    <row r="1597" customFormat="false" ht="12.8" hidden="false" customHeight="false" outlineLevel="0" collapsed="false">
      <c r="A1597" s="0" t="s">
        <v>12</v>
      </c>
      <c r="B1597" s="0" t="n">
        <v>461356</v>
      </c>
      <c r="C1597" s="0" t="n">
        <v>461376</v>
      </c>
      <c r="D1597" s="0" t="s">
        <v>5315</v>
      </c>
      <c r="E1597" s="0" t="s">
        <v>89</v>
      </c>
      <c r="F1597" s="0" t="s">
        <v>90</v>
      </c>
      <c r="G1597" s="0" t="s">
        <v>32</v>
      </c>
      <c r="H1597" s="0" t="n">
        <v>56</v>
      </c>
      <c r="I1597" s="0" t="s">
        <v>5322</v>
      </c>
      <c r="J1597" s="0" t="s">
        <v>5323</v>
      </c>
      <c r="K1597" s="0" t="s">
        <v>5324</v>
      </c>
      <c r="L1597" s="0" t="str">
        <f aca="false">HYPERLINK("https://www.ncbi.nlm.nih.gov/nuccore/CP000304.1?report=graph&amp;tracks=[key:gene_model_track,Options:GeneOnly]&amp;mk=461412:461431|offset_1|444444,461379:461398|offset_34|444444,461357:461376|offset_56|00cc00,461309:461328|offset_104|444444&amp;v=461211:461528&amp;c=444444", "offset 56")</f>
        <v>offset 56</v>
      </c>
    </row>
    <row r="1598" customFormat="false" ht="12.8" hidden="false" customHeight="false" outlineLevel="0" collapsed="false">
      <c r="A1598" s="0" t="s">
        <v>12</v>
      </c>
      <c r="B1598" s="0" t="n">
        <v>461308</v>
      </c>
      <c r="C1598" s="0" t="n">
        <v>461328</v>
      </c>
      <c r="D1598" s="0" t="s">
        <v>5315</v>
      </c>
      <c r="E1598" s="0" t="s">
        <v>89</v>
      </c>
      <c r="F1598" s="0" t="s">
        <v>90</v>
      </c>
      <c r="G1598" s="0" t="s">
        <v>32</v>
      </c>
      <c r="H1598" s="0" t="n">
        <v>104</v>
      </c>
      <c r="I1598" s="0" t="s">
        <v>5325</v>
      </c>
      <c r="J1598" s="0" t="s">
        <v>5326</v>
      </c>
      <c r="K1598" s="0" t="s">
        <v>5327</v>
      </c>
      <c r="L1598" s="0" t="str">
        <f aca="false">HYPERLINK("https://www.ncbi.nlm.nih.gov/nuccore/CP000304.1?report=graph&amp;tracks=[key:gene_model_track,Options:GeneOnly]&amp;mk=461412:461431|offset_1|444444,461379:461398|offset_34|444444,461357:461376|offset_56|444444,461309:461328|offset_104|00cc00&amp;v=461211:461528&amp;c=444444", "offset 104")</f>
        <v>offset 104</v>
      </c>
    </row>
    <row r="1599" customFormat="false" ht="12.8" hidden="false" customHeight="false" outlineLevel="0" collapsed="false">
      <c r="A1599" s="0" t="s">
        <v>12</v>
      </c>
      <c r="B1599" s="0" t="n">
        <v>461626</v>
      </c>
      <c r="C1599" s="0" t="n">
        <v>461646</v>
      </c>
      <c r="D1599" s="0" t="s">
        <v>5328</v>
      </c>
      <c r="E1599" s="0" t="s">
        <v>89</v>
      </c>
      <c r="F1599" s="0" t="s">
        <v>15</v>
      </c>
      <c r="G1599" s="0" t="s">
        <v>16</v>
      </c>
      <c r="H1599" s="0" t="n">
        <v>1</v>
      </c>
      <c r="I1599" s="0" t="s">
        <v>5329</v>
      </c>
      <c r="J1599" s="0" t="s">
        <v>5330</v>
      </c>
      <c r="K1599" s="0" t="s">
        <v>5331</v>
      </c>
      <c r="L1599" s="0" t="str">
        <f aca="false">HYPERLINK("https://www.ncbi.nlm.nih.gov/nuccore/CP000304.1?report=graph&amp;tracks=[key:gene_model_track,Options:GeneOnly]&amp;mk=461627:461646|offset_1|00cc00,461652:461671|offset_26|444444,461675:461694|offset_49|444444,461723:461742|offset_97|444444&amp;v=461426:461942&amp;c=444444", "offset 1")</f>
        <v>offset 1</v>
      </c>
    </row>
    <row r="1600" customFormat="false" ht="12.8" hidden="false" customHeight="false" outlineLevel="0" collapsed="false">
      <c r="A1600" s="0" t="s">
        <v>12</v>
      </c>
      <c r="B1600" s="0" t="n">
        <v>461651</v>
      </c>
      <c r="C1600" s="0" t="n">
        <v>461671</v>
      </c>
      <c r="D1600" s="0" t="s">
        <v>5328</v>
      </c>
      <c r="E1600" s="0" t="s">
        <v>89</v>
      </c>
      <c r="F1600" s="0" t="s">
        <v>15</v>
      </c>
      <c r="G1600" s="0" t="s">
        <v>36</v>
      </c>
      <c r="H1600" s="0" t="n">
        <v>26</v>
      </c>
      <c r="I1600" s="0" t="s">
        <v>5332</v>
      </c>
      <c r="J1600" s="0" t="s">
        <v>5333</v>
      </c>
      <c r="K1600" s="0" t="s">
        <v>5334</v>
      </c>
      <c r="L1600" s="0" t="str">
        <f aca="false">HYPERLINK("https://www.ncbi.nlm.nih.gov/nuccore/CP000304.1?report=graph&amp;tracks=[key:gene_model_track,Options:GeneOnly]&amp;mk=461627:461646|offset_1|444444,461652:461671|offset_26|00cc00,461675:461694|offset_49|444444,461723:461742|offset_97|444444&amp;v=461426:461942&amp;c=444444", "offset 26")</f>
        <v>offset 26</v>
      </c>
    </row>
    <row r="1601" customFormat="false" ht="12.8" hidden="false" customHeight="false" outlineLevel="0" collapsed="false">
      <c r="A1601" s="0" t="s">
        <v>12</v>
      </c>
      <c r="B1601" s="0" t="n">
        <v>461674</v>
      </c>
      <c r="C1601" s="0" t="n">
        <v>461694</v>
      </c>
      <c r="D1601" s="0" t="s">
        <v>5328</v>
      </c>
      <c r="E1601" s="0" t="s">
        <v>89</v>
      </c>
      <c r="F1601" s="0" t="s">
        <v>15</v>
      </c>
      <c r="G1601" s="0" t="s">
        <v>32</v>
      </c>
      <c r="H1601" s="0" t="n">
        <v>49</v>
      </c>
      <c r="I1601" s="0" t="s">
        <v>5335</v>
      </c>
      <c r="J1601" s="0" t="s">
        <v>5336</v>
      </c>
      <c r="K1601" s="0" t="s">
        <v>5337</v>
      </c>
      <c r="L1601" s="0" t="str">
        <f aca="false">HYPERLINK("https://www.ncbi.nlm.nih.gov/nuccore/CP000304.1?report=graph&amp;tracks=[key:gene_model_track,Options:GeneOnly]&amp;mk=461627:461646|offset_1|444444,461652:461671|offset_26|444444,461675:461694|offset_49|00cc00,461723:461742|offset_97|444444&amp;v=461426:461942&amp;c=444444", "offset 49")</f>
        <v>offset 49</v>
      </c>
    </row>
    <row r="1602" customFormat="false" ht="12.8" hidden="false" customHeight="false" outlineLevel="0" collapsed="false">
      <c r="A1602" s="0" t="s">
        <v>12</v>
      </c>
      <c r="B1602" s="0" t="n">
        <v>461722</v>
      </c>
      <c r="C1602" s="0" t="n">
        <v>461742</v>
      </c>
      <c r="D1602" s="0" t="s">
        <v>5328</v>
      </c>
      <c r="E1602" s="0" t="s">
        <v>89</v>
      </c>
      <c r="F1602" s="0" t="s">
        <v>15</v>
      </c>
      <c r="G1602" s="0" t="s">
        <v>26</v>
      </c>
      <c r="H1602" s="0" t="n">
        <v>97</v>
      </c>
      <c r="I1602" s="0" t="s">
        <v>5338</v>
      </c>
      <c r="J1602" s="0" t="s">
        <v>5339</v>
      </c>
      <c r="K1602" s="0" t="s">
        <v>5340</v>
      </c>
      <c r="L1602" s="0" t="str">
        <f aca="false">HYPERLINK("https://www.ncbi.nlm.nih.gov/nuccore/CP000304.1?report=graph&amp;tracks=[key:gene_model_track,Options:GeneOnly]&amp;mk=461627:461646|offset_1|444444,461652:461671|offset_26|444444,461675:461694|offset_49|444444,461723:461742|offset_97|00cc00&amp;v=461426:461942&amp;c=444444", "offset 97")</f>
        <v>offset 97</v>
      </c>
    </row>
    <row r="1603" customFormat="false" ht="12.8" hidden="false" customHeight="false" outlineLevel="0" collapsed="false">
      <c r="A1603" s="0" t="s">
        <v>12</v>
      </c>
      <c r="B1603" s="0" t="n">
        <v>462159</v>
      </c>
      <c r="C1603" s="0" t="n">
        <v>462179</v>
      </c>
      <c r="D1603" s="0" t="s">
        <v>5341</v>
      </c>
      <c r="E1603" s="0" t="s">
        <v>5342</v>
      </c>
      <c r="F1603" s="0" t="s">
        <v>15</v>
      </c>
      <c r="G1603" s="0" t="s">
        <v>32</v>
      </c>
      <c r="H1603" s="0" t="n">
        <v>29</v>
      </c>
      <c r="I1603" s="0" t="s">
        <v>5343</v>
      </c>
      <c r="J1603" s="0" t="s">
        <v>5344</v>
      </c>
      <c r="K1603" s="0" t="s">
        <v>5345</v>
      </c>
      <c r="L1603" s="0" t="str">
        <f aca="false">HYPERLINK("https://www.ncbi.nlm.nih.gov/nuccore/CP000304.1?report=graph&amp;tracks=[key:gene_model_track,Options:GeneOnly]&amp;mk=462160:462179|offset_29|00cc00,462184:462203|offset_53|444444,462228:462247|offset_97|444444,462266:462285|offset_135|444444&amp;v=461959:462485&amp;c=444444", "offset 29")</f>
        <v>offset 29</v>
      </c>
    </row>
    <row r="1604" customFormat="false" ht="12.8" hidden="false" customHeight="false" outlineLevel="0" collapsed="false">
      <c r="A1604" s="0" t="s">
        <v>12</v>
      </c>
      <c r="B1604" s="0" t="n">
        <v>462183</v>
      </c>
      <c r="C1604" s="0" t="n">
        <v>462203</v>
      </c>
      <c r="D1604" s="0" t="s">
        <v>5341</v>
      </c>
      <c r="E1604" s="0" t="s">
        <v>5342</v>
      </c>
      <c r="F1604" s="0" t="s">
        <v>15</v>
      </c>
      <c r="G1604" s="0" t="s">
        <v>26</v>
      </c>
      <c r="H1604" s="0" t="n">
        <v>53</v>
      </c>
      <c r="I1604" s="0" t="s">
        <v>5346</v>
      </c>
      <c r="J1604" s="0" t="s">
        <v>5347</v>
      </c>
      <c r="K1604" s="0" t="s">
        <v>5348</v>
      </c>
      <c r="L1604" s="0" t="str">
        <f aca="false">HYPERLINK("https://www.ncbi.nlm.nih.gov/nuccore/CP000304.1?report=graph&amp;tracks=[key:gene_model_track,Options:GeneOnly]&amp;mk=462160:462179|offset_29|444444,462184:462203|offset_53|00cc00,462228:462247|offset_97|444444,462266:462285|offset_135|444444&amp;v=461959:462485&amp;c=444444", "offset 53")</f>
        <v>offset 53</v>
      </c>
    </row>
    <row r="1605" customFormat="false" ht="12.8" hidden="false" customHeight="false" outlineLevel="0" collapsed="false">
      <c r="A1605" s="0" t="s">
        <v>12</v>
      </c>
      <c r="B1605" s="0" t="n">
        <v>462227</v>
      </c>
      <c r="C1605" s="0" t="n">
        <v>462247</v>
      </c>
      <c r="D1605" s="0" t="s">
        <v>5341</v>
      </c>
      <c r="E1605" s="0" t="s">
        <v>5342</v>
      </c>
      <c r="F1605" s="0" t="s">
        <v>15</v>
      </c>
      <c r="G1605" s="0" t="s">
        <v>32</v>
      </c>
      <c r="H1605" s="0" t="n">
        <v>97</v>
      </c>
      <c r="I1605" s="0" t="s">
        <v>5349</v>
      </c>
      <c r="J1605" s="0" t="s">
        <v>5350</v>
      </c>
      <c r="K1605" s="0" t="s">
        <v>5351</v>
      </c>
      <c r="L1605" s="0" t="str">
        <f aca="false">HYPERLINK("https://www.ncbi.nlm.nih.gov/nuccore/CP000304.1?report=graph&amp;tracks=[key:gene_model_track,Options:GeneOnly]&amp;mk=462160:462179|offset_29|444444,462184:462203|offset_53|444444,462228:462247|offset_97|00cc00,462266:462285|offset_135|444444&amp;v=461959:462485&amp;c=444444", "offset 97")</f>
        <v>offset 97</v>
      </c>
    </row>
    <row r="1606" customFormat="false" ht="12.8" hidden="false" customHeight="false" outlineLevel="0" collapsed="false">
      <c r="A1606" s="0" t="s">
        <v>12</v>
      </c>
      <c r="B1606" s="0" t="n">
        <v>462265</v>
      </c>
      <c r="C1606" s="0" t="n">
        <v>462285</v>
      </c>
      <c r="D1606" s="0" t="s">
        <v>5341</v>
      </c>
      <c r="E1606" s="0" t="s">
        <v>5342</v>
      </c>
      <c r="F1606" s="0" t="s">
        <v>15</v>
      </c>
      <c r="G1606" s="0" t="s">
        <v>16</v>
      </c>
      <c r="H1606" s="0" t="n">
        <v>135</v>
      </c>
      <c r="I1606" s="0" t="s">
        <v>5352</v>
      </c>
      <c r="J1606" s="0" t="s">
        <v>5353</v>
      </c>
      <c r="K1606" s="0" t="s">
        <v>5354</v>
      </c>
      <c r="L1606" s="0" t="str">
        <f aca="false">HYPERLINK("https://www.ncbi.nlm.nih.gov/nuccore/CP000304.1?report=graph&amp;tracks=[key:gene_model_track,Options:GeneOnly]&amp;mk=462160:462179|offset_29|444444,462184:462203|offset_53|444444,462228:462247|offset_97|444444,462266:462285|offset_135|00cc00&amp;v=461959:462485&amp;c=444444", "offset 135")</f>
        <v>offset 135</v>
      </c>
    </row>
    <row r="1607" customFormat="false" ht="12.8" hidden="false" customHeight="false" outlineLevel="0" collapsed="false">
      <c r="A1607" s="0" t="s">
        <v>12</v>
      </c>
      <c r="B1607" s="0" t="n">
        <v>465161</v>
      </c>
      <c r="C1607" s="0" t="n">
        <v>465181</v>
      </c>
      <c r="D1607" s="0" t="s">
        <v>5355</v>
      </c>
      <c r="E1607" s="0" t="s">
        <v>89</v>
      </c>
      <c r="F1607" s="0" t="s">
        <v>90</v>
      </c>
      <c r="G1607" s="0" t="s">
        <v>36</v>
      </c>
      <c r="H1607" s="0" t="n">
        <v>0</v>
      </c>
      <c r="I1607" s="0" t="s">
        <v>5356</v>
      </c>
      <c r="J1607" s="0" t="s">
        <v>5357</v>
      </c>
      <c r="K1607" s="0" t="s">
        <v>5358</v>
      </c>
      <c r="L1607" s="0" t="str">
        <f aca="false">HYPERLINK("https://www.ncbi.nlm.nih.gov/nuccore/CP000304.1?report=graph&amp;tracks=[key:gene_model_track,Options:GeneOnly]&amp;mk=465162:465181|offset_0|00cc00,465140:465159|offset_22|444444,465117:465136|offset_45|444444,465085:465104|offset_77|444444&amp;v=464961:465304&amp;c=444444", "offset 0")</f>
        <v>offset 0</v>
      </c>
    </row>
    <row r="1608" customFormat="false" ht="12.8" hidden="false" customHeight="false" outlineLevel="0" collapsed="false">
      <c r="A1608" s="0" t="s">
        <v>12</v>
      </c>
      <c r="B1608" s="0" t="n">
        <v>465139</v>
      </c>
      <c r="C1608" s="0" t="n">
        <v>465159</v>
      </c>
      <c r="D1608" s="0" t="s">
        <v>5355</v>
      </c>
      <c r="E1608" s="0" t="s">
        <v>89</v>
      </c>
      <c r="F1608" s="0" t="s">
        <v>90</v>
      </c>
      <c r="G1608" s="0" t="s">
        <v>26</v>
      </c>
      <c r="H1608" s="0" t="n">
        <v>22</v>
      </c>
      <c r="I1608" s="0" t="s">
        <v>5359</v>
      </c>
      <c r="J1608" s="0" t="s">
        <v>5360</v>
      </c>
      <c r="K1608" s="0" t="s">
        <v>5361</v>
      </c>
      <c r="L1608" s="0" t="str">
        <f aca="false">HYPERLINK("https://www.ncbi.nlm.nih.gov/nuccore/CP000304.1?report=graph&amp;tracks=[key:gene_model_track,Options:GeneOnly]&amp;mk=465162:465181|offset_0|444444,465140:465159|offset_22|00cc00,465117:465136|offset_45|444444,465085:465104|offset_77|444444&amp;v=464961:465304&amp;c=444444", "offset 22")</f>
        <v>offset 22</v>
      </c>
    </row>
    <row r="1609" customFormat="false" ht="12.8" hidden="false" customHeight="false" outlineLevel="0" collapsed="false">
      <c r="A1609" s="0" t="s">
        <v>12</v>
      </c>
      <c r="B1609" s="0" t="n">
        <v>465116</v>
      </c>
      <c r="C1609" s="0" t="n">
        <v>465136</v>
      </c>
      <c r="D1609" s="0" t="s">
        <v>5355</v>
      </c>
      <c r="E1609" s="0" t="s">
        <v>89</v>
      </c>
      <c r="F1609" s="0" t="s">
        <v>90</v>
      </c>
      <c r="G1609" s="0" t="s">
        <v>32</v>
      </c>
      <c r="H1609" s="0" t="n">
        <v>45</v>
      </c>
      <c r="I1609" s="0" t="s">
        <v>5362</v>
      </c>
      <c r="J1609" s="0" t="s">
        <v>5363</v>
      </c>
      <c r="K1609" s="0" t="s">
        <v>5364</v>
      </c>
      <c r="L1609" s="0" t="str">
        <f aca="false">HYPERLINK("https://www.ncbi.nlm.nih.gov/nuccore/CP000304.1?report=graph&amp;tracks=[key:gene_model_track,Options:GeneOnly]&amp;mk=465162:465181|offset_0|444444,465140:465159|offset_22|444444,465117:465136|offset_45|00cc00,465085:465104|offset_77|444444&amp;v=464961:465304&amp;c=444444", "offset 45")</f>
        <v>offset 45</v>
      </c>
    </row>
    <row r="1610" customFormat="false" ht="12.8" hidden="false" customHeight="false" outlineLevel="0" collapsed="false">
      <c r="A1610" s="0" t="s">
        <v>12</v>
      </c>
      <c r="B1610" s="0" t="n">
        <v>465084</v>
      </c>
      <c r="C1610" s="0" t="n">
        <v>465104</v>
      </c>
      <c r="D1610" s="0" t="s">
        <v>5355</v>
      </c>
      <c r="E1610" s="0" t="s">
        <v>89</v>
      </c>
      <c r="F1610" s="0" t="s">
        <v>90</v>
      </c>
      <c r="G1610" s="0" t="s">
        <v>32</v>
      </c>
      <c r="H1610" s="0" t="n">
        <v>77</v>
      </c>
      <c r="I1610" s="0" t="s">
        <v>5365</v>
      </c>
      <c r="J1610" s="0" t="s">
        <v>5366</v>
      </c>
      <c r="K1610" s="0" t="s">
        <v>5367</v>
      </c>
      <c r="L1610" s="0" t="str">
        <f aca="false">HYPERLINK("https://www.ncbi.nlm.nih.gov/nuccore/CP000304.1?report=graph&amp;tracks=[key:gene_model_track,Options:GeneOnly]&amp;mk=465162:465181|offset_0|444444,465140:465159|offset_22|444444,465117:465136|offset_45|444444,465085:465104|offset_77|00cc00&amp;v=464961:465304&amp;c=444444", "offset 77")</f>
        <v>offset 77</v>
      </c>
    </row>
    <row r="1611" customFormat="false" ht="12.8" hidden="false" customHeight="false" outlineLevel="0" collapsed="false">
      <c r="A1611" s="0" t="s">
        <v>12</v>
      </c>
      <c r="B1611" s="0" t="n">
        <v>465206</v>
      </c>
      <c r="C1611" s="0" t="n">
        <v>465226</v>
      </c>
      <c r="D1611" s="0" t="s">
        <v>5368</v>
      </c>
      <c r="E1611" s="0" t="s">
        <v>89</v>
      </c>
      <c r="F1611" s="0" t="s">
        <v>15</v>
      </c>
      <c r="G1611" s="0" t="s">
        <v>26</v>
      </c>
      <c r="H1611" s="0" t="n">
        <v>10</v>
      </c>
      <c r="I1611" s="0" t="s">
        <v>5369</v>
      </c>
      <c r="J1611" s="0" t="s">
        <v>5370</v>
      </c>
      <c r="K1611" s="0" t="s">
        <v>5371</v>
      </c>
      <c r="L1611" s="0" t="str">
        <f aca="false">HYPERLINK("https://www.ncbi.nlm.nih.gov/nuccore/CP000304.1?report=graph&amp;tracks=[key:gene_model_track,Options:GeneOnly]&amp;mk=465207:465226|offset_10|00cc00,465249:465268|offset_52|444444,465277:465296|offset_80|444444,465297:465316|offset_100|444444&amp;v=465006:465516&amp;c=444444", "offset 10")</f>
        <v>offset 10</v>
      </c>
    </row>
    <row r="1612" customFormat="false" ht="12.8" hidden="false" customHeight="false" outlineLevel="0" collapsed="false">
      <c r="A1612" s="0" t="s">
        <v>12</v>
      </c>
      <c r="B1612" s="0" t="n">
        <v>465248</v>
      </c>
      <c r="C1612" s="0" t="n">
        <v>465268</v>
      </c>
      <c r="D1612" s="0" t="s">
        <v>5368</v>
      </c>
      <c r="E1612" s="0" t="s">
        <v>89</v>
      </c>
      <c r="F1612" s="0" t="s">
        <v>15</v>
      </c>
      <c r="G1612" s="0" t="s">
        <v>16</v>
      </c>
      <c r="H1612" s="0" t="n">
        <v>52</v>
      </c>
      <c r="I1612" s="0" t="s">
        <v>5372</v>
      </c>
      <c r="J1612" s="0" t="s">
        <v>5373</v>
      </c>
      <c r="K1612" s="0" t="s">
        <v>5374</v>
      </c>
      <c r="L1612" s="0" t="str">
        <f aca="false">HYPERLINK("https://www.ncbi.nlm.nih.gov/nuccore/CP000304.1?report=graph&amp;tracks=[key:gene_model_track,Options:GeneOnly]&amp;mk=465207:465226|offset_10|444444,465249:465268|offset_52|00cc00,465277:465296|offset_80|444444,465297:465316|offset_100|444444&amp;v=465006:465516&amp;c=444444", "offset 52")</f>
        <v>offset 52</v>
      </c>
    </row>
    <row r="1613" customFormat="false" ht="12.8" hidden="false" customHeight="false" outlineLevel="0" collapsed="false">
      <c r="A1613" s="0" t="s">
        <v>12</v>
      </c>
      <c r="B1613" s="0" t="n">
        <v>465276</v>
      </c>
      <c r="C1613" s="0" t="n">
        <v>465296</v>
      </c>
      <c r="D1613" s="0" t="s">
        <v>5368</v>
      </c>
      <c r="E1613" s="0" t="s">
        <v>89</v>
      </c>
      <c r="F1613" s="0" t="s">
        <v>15</v>
      </c>
      <c r="G1613" s="0" t="s">
        <v>32</v>
      </c>
      <c r="H1613" s="0" t="n">
        <v>80</v>
      </c>
      <c r="I1613" s="0" t="s">
        <v>5375</v>
      </c>
      <c r="J1613" s="0" t="s">
        <v>5376</v>
      </c>
      <c r="K1613" s="0" t="s">
        <v>5377</v>
      </c>
      <c r="L1613" s="0" t="str">
        <f aca="false">HYPERLINK("https://www.ncbi.nlm.nih.gov/nuccore/CP000304.1?report=graph&amp;tracks=[key:gene_model_track,Options:GeneOnly]&amp;mk=465207:465226|offset_10|444444,465249:465268|offset_52|444444,465277:465296|offset_80|00cc00,465297:465316|offset_100|444444&amp;v=465006:465516&amp;c=444444", "offset 80")</f>
        <v>offset 80</v>
      </c>
    </row>
    <row r="1614" customFormat="false" ht="12.8" hidden="false" customHeight="false" outlineLevel="0" collapsed="false">
      <c r="A1614" s="0" t="s">
        <v>12</v>
      </c>
      <c r="B1614" s="0" t="n">
        <v>465296</v>
      </c>
      <c r="C1614" s="0" t="n">
        <v>465316</v>
      </c>
      <c r="D1614" s="0" t="s">
        <v>5368</v>
      </c>
      <c r="E1614" s="0" t="s">
        <v>89</v>
      </c>
      <c r="F1614" s="0" t="s">
        <v>15</v>
      </c>
      <c r="G1614" s="0" t="s">
        <v>32</v>
      </c>
      <c r="H1614" s="0" t="n">
        <v>100</v>
      </c>
      <c r="I1614" s="0" t="s">
        <v>5378</v>
      </c>
      <c r="J1614" s="0" t="s">
        <v>5379</v>
      </c>
      <c r="K1614" s="0" t="s">
        <v>5380</v>
      </c>
      <c r="L1614" s="0" t="str">
        <f aca="false">HYPERLINK("https://www.ncbi.nlm.nih.gov/nuccore/CP000304.1?report=graph&amp;tracks=[key:gene_model_track,Options:GeneOnly]&amp;mk=465207:465226|offset_10|444444,465249:465268|offset_52|444444,465277:465296|offset_80|444444,465297:465316|offset_100|00cc00&amp;v=465006:465516&amp;c=444444", "offset 100")</f>
        <v>offset 100</v>
      </c>
    </row>
    <row r="1615" customFormat="false" ht="12.8" hidden="false" customHeight="false" outlineLevel="0" collapsed="false">
      <c r="A1615" s="0" t="s">
        <v>12</v>
      </c>
      <c r="B1615" s="0" t="n">
        <v>466127</v>
      </c>
      <c r="C1615" s="0" t="n">
        <v>466147</v>
      </c>
      <c r="D1615" s="0" t="s">
        <v>5381</v>
      </c>
      <c r="E1615" s="0" t="s">
        <v>5382</v>
      </c>
      <c r="F1615" s="0" t="s">
        <v>15</v>
      </c>
      <c r="G1615" s="0" t="s">
        <v>36</v>
      </c>
      <c r="H1615" s="0" t="n">
        <v>9</v>
      </c>
      <c r="I1615" s="0" t="s">
        <v>5383</v>
      </c>
      <c r="J1615" s="0" t="s">
        <v>5384</v>
      </c>
      <c r="K1615" s="0" t="s">
        <v>5385</v>
      </c>
      <c r="L1615" s="0" t="str">
        <f aca="false">HYPERLINK("https://www.ncbi.nlm.nih.gov/nuccore/CP000304.1?report=graph&amp;tracks=[key:gene_model_track,Options:GeneOnly]&amp;mk=466128:466147|offset_9|00cc00,466153:466172|offset_34|444444,466190:466209|offset_71|444444,466219:466238|offset_100|444444&amp;v=465927:466438&amp;c=444444", "offset 9")</f>
        <v>offset 9</v>
      </c>
    </row>
    <row r="1616" customFormat="false" ht="12.8" hidden="false" customHeight="false" outlineLevel="0" collapsed="false">
      <c r="A1616" s="0" t="s">
        <v>12</v>
      </c>
      <c r="B1616" s="0" t="n">
        <v>466152</v>
      </c>
      <c r="C1616" s="0" t="n">
        <v>466172</v>
      </c>
      <c r="D1616" s="0" t="s">
        <v>5381</v>
      </c>
      <c r="E1616" s="0" t="s">
        <v>5382</v>
      </c>
      <c r="F1616" s="0" t="s">
        <v>15</v>
      </c>
      <c r="G1616" s="0" t="s">
        <v>32</v>
      </c>
      <c r="H1616" s="0" t="n">
        <v>34</v>
      </c>
      <c r="I1616" s="0" t="s">
        <v>5386</v>
      </c>
      <c r="J1616" s="0" t="s">
        <v>5387</v>
      </c>
      <c r="K1616" s="0" t="s">
        <v>5388</v>
      </c>
      <c r="L1616" s="0" t="str">
        <f aca="false">HYPERLINK("https://www.ncbi.nlm.nih.gov/nuccore/CP000304.1?report=graph&amp;tracks=[key:gene_model_track,Options:GeneOnly]&amp;mk=466128:466147|offset_9|444444,466153:466172|offset_34|00cc00,466190:466209|offset_71|444444,466219:466238|offset_100|444444&amp;v=465927:466438&amp;c=444444", "offset 34")</f>
        <v>offset 34</v>
      </c>
    </row>
    <row r="1617" customFormat="false" ht="12.8" hidden="false" customHeight="false" outlineLevel="0" collapsed="false">
      <c r="A1617" s="0" t="s">
        <v>12</v>
      </c>
      <c r="B1617" s="0" t="n">
        <v>466189</v>
      </c>
      <c r="C1617" s="0" t="n">
        <v>466209</v>
      </c>
      <c r="D1617" s="0" t="s">
        <v>5381</v>
      </c>
      <c r="E1617" s="0" t="s">
        <v>5382</v>
      </c>
      <c r="F1617" s="0" t="s">
        <v>15</v>
      </c>
      <c r="G1617" s="0" t="s">
        <v>26</v>
      </c>
      <c r="H1617" s="0" t="n">
        <v>71</v>
      </c>
      <c r="I1617" s="0" t="s">
        <v>5389</v>
      </c>
      <c r="J1617" s="0" t="s">
        <v>5390</v>
      </c>
      <c r="K1617" s="0" t="s">
        <v>5391</v>
      </c>
      <c r="L1617" s="0" t="str">
        <f aca="false">HYPERLINK("https://www.ncbi.nlm.nih.gov/nuccore/CP000304.1?report=graph&amp;tracks=[key:gene_model_track,Options:GeneOnly]&amp;mk=466128:466147|offset_9|444444,466153:466172|offset_34|444444,466190:466209|offset_71|00cc00,466219:466238|offset_100|444444&amp;v=465927:466438&amp;c=444444", "offset 71")</f>
        <v>offset 71</v>
      </c>
    </row>
    <row r="1618" customFormat="false" ht="12.8" hidden="false" customHeight="false" outlineLevel="0" collapsed="false">
      <c r="A1618" s="0" t="s">
        <v>12</v>
      </c>
      <c r="B1618" s="0" t="n">
        <v>466218</v>
      </c>
      <c r="C1618" s="0" t="n">
        <v>466238</v>
      </c>
      <c r="D1618" s="0" t="s">
        <v>5381</v>
      </c>
      <c r="E1618" s="0" t="s">
        <v>5382</v>
      </c>
      <c r="F1618" s="0" t="s">
        <v>15</v>
      </c>
      <c r="G1618" s="0" t="s">
        <v>26</v>
      </c>
      <c r="H1618" s="0" t="n">
        <v>100</v>
      </c>
      <c r="I1618" s="0" t="s">
        <v>5392</v>
      </c>
      <c r="J1618" s="0" t="s">
        <v>5393</v>
      </c>
      <c r="K1618" s="0" t="s">
        <v>5394</v>
      </c>
      <c r="L1618" s="0" t="str">
        <f aca="false">HYPERLINK("https://www.ncbi.nlm.nih.gov/nuccore/CP000304.1?report=graph&amp;tracks=[key:gene_model_track,Options:GeneOnly]&amp;mk=466128:466147|offset_9|444444,466153:466172|offset_34|444444,466190:466209|offset_71|444444,466219:466238|offset_100|00cc00&amp;v=465927:466438&amp;c=444444", "offset 100")</f>
        <v>offset 100</v>
      </c>
    </row>
    <row r="1619" customFormat="false" ht="12.8" hidden="false" customHeight="false" outlineLevel="0" collapsed="false">
      <c r="A1619" s="0" t="s">
        <v>12</v>
      </c>
      <c r="B1619" s="0" t="n">
        <v>467009</v>
      </c>
      <c r="C1619" s="0" t="n">
        <v>467029</v>
      </c>
      <c r="D1619" s="0" t="s">
        <v>5395</v>
      </c>
      <c r="E1619" s="0" t="s">
        <v>5396</v>
      </c>
      <c r="F1619" s="0" t="s">
        <v>15</v>
      </c>
      <c r="G1619" s="0" t="s">
        <v>26</v>
      </c>
      <c r="H1619" s="0" t="n">
        <v>9</v>
      </c>
      <c r="I1619" s="0" t="s">
        <v>5397</v>
      </c>
      <c r="J1619" s="0" t="s">
        <v>5398</v>
      </c>
      <c r="K1619" s="0" t="s">
        <v>5399</v>
      </c>
      <c r="L1619" s="0" t="str">
        <f aca="false">HYPERLINK("https://www.ncbi.nlm.nih.gov/nuccore/CP000304.1?report=graph&amp;tracks=[key:gene_model_track,Options:GeneOnly]&amp;mk=467010:467029|offset_9|00cc00,467045:467064|offset_44|444444,467074:467093|offset_73|444444,467098:467117|offset_97|444444&amp;v=466809:467317&amp;c=444444", "offset 9")</f>
        <v>offset 9</v>
      </c>
    </row>
    <row r="1620" customFormat="false" ht="12.8" hidden="false" customHeight="false" outlineLevel="0" collapsed="false">
      <c r="A1620" s="0" t="s">
        <v>12</v>
      </c>
      <c r="B1620" s="0" t="n">
        <v>467044</v>
      </c>
      <c r="C1620" s="0" t="n">
        <v>467064</v>
      </c>
      <c r="D1620" s="0" t="s">
        <v>5395</v>
      </c>
      <c r="E1620" s="0" t="s">
        <v>5396</v>
      </c>
      <c r="F1620" s="0" t="s">
        <v>15</v>
      </c>
      <c r="G1620" s="0" t="s">
        <v>26</v>
      </c>
      <c r="H1620" s="0" t="n">
        <v>44</v>
      </c>
      <c r="I1620" s="0" t="s">
        <v>5400</v>
      </c>
      <c r="J1620" s="0" t="s">
        <v>5401</v>
      </c>
      <c r="K1620" s="0" t="s">
        <v>5402</v>
      </c>
      <c r="L1620" s="0" t="str">
        <f aca="false">HYPERLINK("https://www.ncbi.nlm.nih.gov/nuccore/CP000304.1?report=graph&amp;tracks=[key:gene_model_track,Options:GeneOnly]&amp;mk=467010:467029|offset_9|444444,467045:467064|offset_44|00cc00,467074:467093|offset_73|444444,467098:467117|offset_97|444444&amp;v=466809:467317&amp;c=444444", "offset 44")</f>
        <v>offset 44</v>
      </c>
    </row>
    <row r="1621" customFormat="false" ht="12.8" hidden="false" customHeight="false" outlineLevel="0" collapsed="false">
      <c r="A1621" s="0" t="s">
        <v>12</v>
      </c>
      <c r="B1621" s="0" t="n">
        <v>467073</v>
      </c>
      <c r="C1621" s="0" t="n">
        <v>467093</v>
      </c>
      <c r="D1621" s="0" t="s">
        <v>5395</v>
      </c>
      <c r="E1621" s="0" t="s">
        <v>5396</v>
      </c>
      <c r="F1621" s="0" t="s">
        <v>15</v>
      </c>
      <c r="G1621" s="0" t="s">
        <v>26</v>
      </c>
      <c r="H1621" s="0" t="n">
        <v>73</v>
      </c>
      <c r="I1621" s="0" t="s">
        <v>5403</v>
      </c>
      <c r="J1621" s="0" t="s">
        <v>5404</v>
      </c>
      <c r="K1621" s="0" t="s">
        <v>5405</v>
      </c>
      <c r="L1621" s="0" t="str">
        <f aca="false">HYPERLINK("https://www.ncbi.nlm.nih.gov/nuccore/CP000304.1?report=graph&amp;tracks=[key:gene_model_track,Options:GeneOnly]&amp;mk=467010:467029|offset_9|444444,467045:467064|offset_44|444444,467074:467093|offset_73|00cc00,467098:467117|offset_97|444444&amp;v=466809:467317&amp;c=444444", "offset 73")</f>
        <v>offset 73</v>
      </c>
    </row>
    <row r="1622" customFormat="false" ht="12.8" hidden="false" customHeight="false" outlineLevel="0" collapsed="false">
      <c r="A1622" s="0" t="s">
        <v>12</v>
      </c>
      <c r="B1622" s="0" t="n">
        <v>467097</v>
      </c>
      <c r="C1622" s="0" t="n">
        <v>467117</v>
      </c>
      <c r="D1622" s="0" t="s">
        <v>5395</v>
      </c>
      <c r="E1622" s="0" t="s">
        <v>5396</v>
      </c>
      <c r="F1622" s="0" t="s">
        <v>15</v>
      </c>
      <c r="G1622" s="0" t="s">
        <v>16</v>
      </c>
      <c r="H1622" s="0" t="n">
        <v>97</v>
      </c>
      <c r="I1622" s="0" t="s">
        <v>5406</v>
      </c>
      <c r="J1622" s="0" t="s">
        <v>5407</v>
      </c>
      <c r="K1622" s="0" t="s">
        <v>5408</v>
      </c>
      <c r="L1622" s="0" t="str">
        <f aca="false">HYPERLINK("https://www.ncbi.nlm.nih.gov/nuccore/CP000304.1?report=graph&amp;tracks=[key:gene_model_track,Options:GeneOnly]&amp;mk=467010:467029|offset_9|444444,467045:467064|offset_44|444444,467074:467093|offset_73|444444,467098:467117|offset_97|00cc00&amp;v=466809:467317&amp;c=444444", "offset 97")</f>
        <v>offset 97</v>
      </c>
    </row>
    <row r="1623" customFormat="false" ht="12.8" hidden="false" customHeight="false" outlineLevel="0" collapsed="false">
      <c r="A1623" s="0" t="s">
        <v>12</v>
      </c>
      <c r="B1623" s="0" t="n">
        <v>468104</v>
      </c>
      <c r="C1623" s="0" t="n">
        <v>468124</v>
      </c>
      <c r="D1623" s="0" t="s">
        <v>5409</v>
      </c>
      <c r="E1623" s="0" t="s">
        <v>89</v>
      </c>
      <c r="F1623" s="0" t="s">
        <v>15</v>
      </c>
      <c r="G1623" s="0" t="s">
        <v>26</v>
      </c>
      <c r="H1623" s="0" t="n">
        <v>55</v>
      </c>
      <c r="I1623" s="0" t="s">
        <v>5410</v>
      </c>
      <c r="J1623" s="0" t="s">
        <v>5411</v>
      </c>
      <c r="K1623" s="0" t="s">
        <v>5412</v>
      </c>
      <c r="L1623" s="0" t="str">
        <f aca="false">HYPERLINK("https://www.ncbi.nlm.nih.gov/nuccore/CP000304.1?report=graph&amp;tracks=[key:gene_model_track,Options:GeneOnly]&amp;mk=468105:468124|offset_55|00cc00,468142:468161|offset_92|444444,468168:468187|offset_118|444444,468195:468214|offset_145|444444&amp;v=467904:468414&amp;c=444444", "offset 55")</f>
        <v>offset 55</v>
      </c>
    </row>
    <row r="1624" customFormat="false" ht="12.8" hidden="false" customHeight="false" outlineLevel="0" collapsed="false">
      <c r="A1624" s="0" t="s">
        <v>12</v>
      </c>
      <c r="B1624" s="0" t="n">
        <v>468141</v>
      </c>
      <c r="C1624" s="0" t="n">
        <v>468161</v>
      </c>
      <c r="D1624" s="0" t="s">
        <v>5409</v>
      </c>
      <c r="E1624" s="0" t="s">
        <v>89</v>
      </c>
      <c r="F1624" s="0" t="s">
        <v>15</v>
      </c>
      <c r="G1624" s="0" t="s">
        <v>16</v>
      </c>
      <c r="H1624" s="0" t="n">
        <v>92</v>
      </c>
      <c r="I1624" s="0" t="s">
        <v>5413</v>
      </c>
      <c r="J1624" s="0" t="s">
        <v>5414</v>
      </c>
      <c r="K1624" s="0" t="s">
        <v>5415</v>
      </c>
      <c r="L1624" s="0" t="str">
        <f aca="false">HYPERLINK("https://www.ncbi.nlm.nih.gov/nuccore/CP000304.1?report=graph&amp;tracks=[key:gene_model_track,Options:GeneOnly]&amp;mk=468105:468124|offset_55|444444,468142:468161|offset_92|00cc00,468168:468187|offset_118|444444,468195:468214|offset_145|444444&amp;v=467904:468414&amp;c=444444", "offset 92")</f>
        <v>offset 92</v>
      </c>
    </row>
    <row r="1625" customFormat="false" ht="12.8" hidden="false" customHeight="false" outlineLevel="0" collapsed="false">
      <c r="A1625" s="0" t="s">
        <v>12</v>
      </c>
      <c r="B1625" s="0" t="n">
        <v>468167</v>
      </c>
      <c r="C1625" s="0" t="n">
        <v>468187</v>
      </c>
      <c r="D1625" s="0" t="s">
        <v>5409</v>
      </c>
      <c r="E1625" s="0" t="s">
        <v>89</v>
      </c>
      <c r="F1625" s="0" t="s">
        <v>15</v>
      </c>
      <c r="G1625" s="0" t="s">
        <v>36</v>
      </c>
      <c r="H1625" s="0" t="n">
        <v>118</v>
      </c>
      <c r="I1625" s="0" t="s">
        <v>5416</v>
      </c>
      <c r="J1625" s="0" t="s">
        <v>5417</v>
      </c>
      <c r="K1625" s="0" t="s">
        <v>5418</v>
      </c>
      <c r="L1625" s="0" t="str">
        <f aca="false">HYPERLINK("https://www.ncbi.nlm.nih.gov/nuccore/CP000304.1?report=graph&amp;tracks=[key:gene_model_track,Options:GeneOnly]&amp;mk=468105:468124|offset_55|444444,468142:468161|offset_92|444444,468168:468187|offset_118|00cc00,468195:468214|offset_145|444444&amp;v=467904:468414&amp;c=444444", "offset 118")</f>
        <v>offset 118</v>
      </c>
    </row>
    <row r="1626" customFormat="false" ht="12.8" hidden="false" customHeight="false" outlineLevel="0" collapsed="false">
      <c r="A1626" s="0" t="s">
        <v>12</v>
      </c>
      <c r="B1626" s="0" t="n">
        <v>468194</v>
      </c>
      <c r="C1626" s="0" t="n">
        <v>468214</v>
      </c>
      <c r="D1626" s="0" t="s">
        <v>5409</v>
      </c>
      <c r="E1626" s="0" t="s">
        <v>89</v>
      </c>
      <c r="F1626" s="0" t="s">
        <v>15</v>
      </c>
      <c r="G1626" s="0" t="s">
        <v>16</v>
      </c>
      <c r="H1626" s="0" t="n">
        <v>145</v>
      </c>
      <c r="I1626" s="0" t="s">
        <v>5419</v>
      </c>
      <c r="J1626" s="0" t="s">
        <v>5420</v>
      </c>
      <c r="K1626" s="0" t="s">
        <v>5421</v>
      </c>
      <c r="L1626" s="0" t="str">
        <f aca="false">HYPERLINK("https://www.ncbi.nlm.nih.gov/nuccore/CP000304.1?report=graph&amp;tracks=[key:gene_model_track,Options:GeneOnly]&amp;mk=468105:468124|offset_55|444444,468142:468161|offset_92|444444,468168:468187|offset_118|444444,468195:468214|offset_145|00cc00&amp;v=467904:468414&amp;c=444444", "offset 145")</f>
        <v>offset 145</v>
      </c>
    </row>
    <row r="1627" customFormat="false" ht="12.8" hidden="false" customHeight="false" outlineLevel="0" collapsed="false">
      <c r="A1627" s="0" t="s">
        <v>12</v>
      </c>
      <c r="B1627" s="0" t="n">
        <v>469784</v>
      </c>
      <c r="C1627" s="0" t="n">
        <v>469804</v>
      </c>
      <c r="D1627" s="0" t="s">
        <v>5422</v>
      </c>
      <c r="E1627" s="0" t="s">
        <v>89</v>
      </c>
      <c r="F1627" s="0" t="s">
        <v>90</v>
      </c>
      <c r="G1627" s="0" t="s">
        <v>32</v>
      </c>
      <c r="H1627" s="0" t="n">
        <v>11</v>
      </c>
      <c r="I1627" s="0" t="s">
        <v>5423</v>
      </c>
      <c r="J1627" s="0" t="s">
        <v>5424</v>
      </c>
      <c r="K1627" s="0" t="s">
        <v>5425</v>
      </c>
      <c r="L1627" s="0" t="str">
        <f aca="false">HYPERLINK("https://www.ncbi.nlm.nih.gov/nuccore/CP000304.1?report=graph&amp;tracks=[key:gene_model_track,Options:GeneOnly]&amp;mk=469785:469804|offset_11|00cc00,469765:469784|offset_31|444444,469743:469762|offset_53|444444,469708:469727|offset_88|444444&amp;v=469584:469927&amp;c=444444", "offset 11")</f>
        <v>offset 11</v>
      </c>
    </row>
    <row r="1628" customFormat="false" ht="12.8" hidden="false" customHeight="false" outlineLevel="0" collapsed="false">
      <c r="A1628" s="0" t="s">
        <v>12</v>
      </c>
      <c r="B1628" s="0" t="n">
        <v>469764</v>
      </c>
      <c r="C1628" s="0" t="n">
        <v>469784</v>
      </c>
      <c r="D1628" s="0" t="s">
        <v>5422</v>
      </c>
      <c r="E1628" s="0" t="s">
        <v>89</v>
      </c>
      <c r="F1628" s="0" t="s">
        <v>90</v>
      </c>
      <c r="G1628" s="0" t="s">
        <v>32</v>
      </c>
      <c r="H1628" s="0" t="n">
        <v>31</v>
      </c>
      <c r="I1628" s="0" t="s">
        <v>5426</v>
      </c>
      <c r="J1628" s="0" t="s">
        <v>5427</v>
      </c>
      <c r="K1628" s="0" t="s">
        <v>5428</v>
      </c>
      <c r="L1628" s="0" t="str">
        <f aca="false">HYPERLINK("https://www.ncbi.nlm.nih.gov/nuccore/CP000304.1?report=graph&amp;tracks=[key:gene_model_track,Options:GeneOnly]&amp;mk=469785:469804|offset_11|444444,469765:469784|offset_31|00cc00,469743:469762|offset_53|444444,469708:469727|offset_88|444444&amp;v=469584:469927&amp;c=444444", "offset 31")</f>
        <v>offset 31</v>
      </c>
    </row>
    <row r="1629" customFormat="false" ht="12.8" hidden="false" customHeight="false" outlineLevel="0" collapsed="false">
      <c r="A1629" s="0" t="s">
        <v>12</v>
      </c>
      <c r="B1629" s="0" t="n">
        <v>469742</v>
      </c>
      <c r="C1629" s="0" t="n">
        <v>469762</v>
      </c>
      <c r="D1629" s="0" t="s">
        <v>5422</v>
      </c>
      <c r="E1629" s="0" t="s">
        <v>89</v>
      </c>
      <c r="F1629" s="0" t="s">
        <v>90</v>
      </c>
      <c r="G1629" s="0" t="s">
        <v>26</v>
      </c>
      <c r="H1629" s="0" t="n">
        <v>53</v>
      </c>
      <c r="I1629" s="0" t="s">
        <v>5429</v>
      </c>
      <c r="J1629" s="0" t="s">
        <v>5430</v>
      </c>
      <c r="K1629" s="0" t="s">
        <v>5431</v>
      </c>
      <c r="L1629" s="0" t="str">
        <f aca="false">HYPERLINK("https://www.ncbi.nlm.nih.gov/nuccore/CP000304.1?report=graph&amp;tracks=[key:gene_model_track,Options:GeneOnly]&amp;mk=469785:469804|offset_11|444444,469765:469784|offset_31|444444,469743:469762|offset_53|00cc00,469708:469727|offset_88|444444&amp;v=469584:469927&amp;c=444444", "offset 53")</f>
        <v>offset 53</v>
      </c>
    </row>
    <row r="1630" customFormat="false" ht="12.8" hidden="false" customHeight="false" outlineLevel="0" collapsed="false">
      <c r="A1630" s="0" t="s">
        <v>12</v>
      </c>
      <c r="B1630" s="0" t="n">
        <v>469707</v>
      </c>
      <c r="C1630" s="0" t="n">
        <v>469727</v>
      </c>
      <c r="D1630" s="0" t="s">
        <v>5422</v>
      </c>
      <c r="E1630" s="0" t="s">
        <v>89</v>
      </c>
      <c r="F1630" s="0" t="s">
        <v>90</v>
      </c>
      <c r="G1630" s="0" t="s">
        <v>36</v>
      </c>
      <c r="H1630" s="0" t="n">
        <v>88</v>
      </c>
      <c r="I1630" s="0" t="s">
        <v>5432</v>
      </c>
      <c r="J1630" s="0" t="s">
        <v>5433</v>
      </c>
      <c r="K1630" s="0" t="s">
        <v>5434</v>
      </c>
      <c r="L1630" s="0" t="str">
        <f aca="false">HYPERLINK("https://www.ncbi.nlm.nih.gov/nuccore/CP000304.1?report=graph&amp;tracks=[key:gene_model_track,Options:GeneOnly]&amp;mk=469785:469804|offset_11|444444,469765:469784|offset_31|444444,469743:469762|offset_53|444444,469708:469727|offset_88|00cc00&amp;v=469584:469927&amp;c=444444", "offset 88")</f>
        <v>offset 88</v>
      </c>
    </row>
    <row r="1631" customFormat="false" ht="12.8" hidden="false" customHeight="false" outlineLevel="0" collapsed="false">
      <c r="A1631" s="0" t="s">
        <v>12</v>
      </c>
      <c r="B1631" s="0" t="n">
        <v>470658</v>
      </c>
      <c r="C1631" s="0" t="n">
        <v>470678</v>
      </c>
      <c r="D1631" s="0" t="s">
        <v>5435</v>
      </c>
      <c r="E1631" s="0" t="s">
        <v>89</v>
      </c>
      <c r="F1631" s="0" t="s">
        <v>90</v>
      </c>
      <c r="G1631" s="0" t="s">
        <v>16</v>
      </c>
      <c r="H1631" s="0" t="n">
        <v>24</v>
      </c>
      <c r="I1631" s="0" t="s">
        <v>5436</v>
      </c>
      <c r="J1631" s="0" t="s">
        <v>5437</v>
      </c>
      <c r="K1631" s="0" t="s">
        <v>5438</v>
      </c>
      <c r="L1631" s="0" t="str">
        <f aca="false">HYPERLINK("https://www.ncbi.nlm.nih.gov/nuccore/CP000304.1?report=graph&amp;tracks=[key:gene_model_track,Options:GeneOnly]&amp;mk=470659:470678|offset_24|00cc00,470639:470658|offset_44|444444,470601:470620|offset_82|444444,470544:470563|offset_139|444444&amp;v=470458:470763&amp;c=444444", "offset 24")</f>
        <v>offset 24</v>
      </c>
    </row>
    <row r="1632" customFormat="false" ht="12.8" hidden="false" customHeight="false" outlineLevel="0" collapsed="false">
      <c r="A1632" s="0" t="s">
        <v>12</v>
      </c>
      <c r="B1632" s="0" t="n">
        <v>470638</v>
      </c>
      <c r="C1632" s="0" t="n">
        <v>470658</v>
      </c>
      <c r="D1632" s="0" t="s">
        <v>5435</v>
      </c>
      <c r="E1632" s="0" t="s">
        <v>89</v>
      </c>
      <c r="F1632" s="0" t="s">
        <v>90</v>
      </c>
      <c r="G1632" s="0" t="s">
        <v>32</v>
      </c>
      <c r="H1632" s="0" t="n">
        <v>44</v>
      </c>
      <c r="I1632" s="0" t="s">
        <v>5439</v>
      </c>
      <c r="J1632" s="0" t="s">
        <v>5440</v>
      </c>
      <c r="K1632" s="0" t="s">
        <v>5441</v>
      </c>
      <c r="L1632" s="0" t="str">
        <f aca="false">HYPERLINK("https://www.ncbi.nlm.nih.gov/nuccore/CP000304.1?report=graph&amp;tracks=[key:gene_model_track,Options:GeneOnly]&amp;mk=470659:470678|offset_24|444444,470639:470658|offset_44|00cc00,470601:470620|offset_82|444444,470544:470563|offset_139|444444&amp;v=470458:470763&amp;c=444444", "offset 44")</f>
        <v>offset 44</v>
      </c>
    </row>
    <row r="1633" customFormat="false" ht="12.8" hidden="false" customHeight="false" outlineLevel="0" collapsed="false">
      <c r="A1633" s="0" t="s">
        <v>12</v>
      </c>
      <c r="B1633" s="0" t="n">
        <v>470600</v>
      </c>
      <c r="C1633" s="0" t="n">
        <v>470620</v>
      </c>
      <c r="D1633" s="0" t="s">
        <v>5435</v>
      </c>
      <c r="E1633" s="0" t="s">
        <v>89</v>
      </c>
      <c r="F1633" s="0" t="s">
        <v>90</v>
      </c>
      <c r="G1633" s="0" t="s">
        <v>32</v>
      </c>
      <c r="H1633" s="0" t="n">
        <v>82</v>
      </c>
      <c r="I1633" s="0" t="s">
        <v>5442</v>
      </c>
      <c r="J1633" s="0" t="s">
        <v>5443</v>
      </c>
      <c r="K1633" s="0" t="s">
        <v>5444</v>
      </c>
      <c r="L1633" s="0" t="str">
        <f aca="false">HYPERLINK("https://www.ncbi.nlm.nih.gov/nuccore/CP000304.1?report=graph&amp;tracks=[key:gene_model_track,Options:GeneOnly]&amp;mk=470659:470678|offset_24|444444,470639:470658|offset_44|444444,470601:470620|offset_82|00cc00,470544:470563|offset_139|444444&amp;v=470458:470763&amp;c=444444", "offset 82")</f>
        <v>offset 82</v>
      </c>
    </row>
    <row r="1634" customFormat="false" ht="12.8" hidden="false" customHeight="false" outlineLevel="0" collapsed="false">
      <c r="A1634" s="0" t="s">
        <v>12</v>
      </c>
      <c r="B1634" s="0" t="n">
        <v>470543</v>
      </c>
      <c r="C1634" s="0" t="n">
        <v>470563</v>
      </c>
      <c r="D1634" s="0" t="s">
        <v>5435</v>
      </c>
      <c r="E1634" s="0" t="s">
        <v>89</v>
      </c>
      <c r="F1634" s="0" t="s">
        <v>90</v>
      </c>
      <c r="G1634" s="0" t="s">
        <v>36</v>
      </c>
      <c r="H1634" s="0" t="n">
        <v>139</v>
      </c>
      <c r="I1634" s="0" t="s">
        <v>5445</v>
      </c>
      <c r="J1634" s="0" t="s">
        <v>5446</v>
      </c>
      <c r="K1634" s="0" t="s">
        <v>5447</v>
      </c>
      <c r="L1634" s="0" t="str">
        <f aca="false">HYPERLINK("https://www.ncbi.nlm.nih.gov/nuccore/CP000304.1?report=graph&amp;tracks=[key:gene_model_track,Options:GeneOnly]&amp;mk=470659:470678|offset_24|444444,470639:470658|offset_44|444444,470601:470620|offset_82|444444,470544:470563|offset_139|00cc00&amp;v=470458:470763&amp;c=444444", "offset 139")</f>
        <v>offset 139</v>
      </c>
    </row>
    <row r="1635" customFormat="false" ht="12.8" hidden="false" customHeight="false" outlineLevel="0" collapsed="false">
      <c r="A1635" s="0" t="s">
        <v>12</v>
      </c>
      <c r="B1635" s="0" t="n">
        <v>471374</v>
      </c>
      <c r="C1635" s="0" t="n">
        <v>471394</v>
      </c>
      <c r="D1635" s="0" t="s">
        <v>5448</v>
      </c>
      <c r="E1635" s="0" t="s">
        <v>89</v>
      </c>
      <c r="F1635" s="0" t="s">
        <v>90</v>
      </c>
      <c r="G1635" s="0" t="s">
        <v>16</v>
      </c>
      <c r="H1635" s="0" t="n">
        <v>12</v>
      </c>
      <c r="I1635" s="0" t="s">
        <v>5449</v>
      </c>
      <c r="J1635" s="0" t="s">
        <v>5450</v>
      </c>
      <c r="K1635" s="0" t="s">
        <v>5451</v>
      </c>
      <c r="L1635" s="0" t="str">
        <f aca="false">HYPERLINK("https://www.ncbi.nlm.nih.gov/nuccore/CP000304.1?report=graph&amp;tracks=[key:gene_model_track,Options:GeneOnly]&amp;mk=471375:471394|offset_12|00cc00,471347:471366|offset_40|444444,471326:471345|offset_61|444444,471301:471320|offset_86|444444&amp;v=471174:471520&amp;c=444444", "offset 12")</f>
        <v>offset 12</v>
      </c>
    </row>
    <row r="1636" customFormat="false" ht="12.8" hidden="false" customHeight="false" outlineLevel="0" collapsed="false">
      <c r="A1636" s="0" t="s">
        <v>12</v>
      </c>
      <c r="B1636" s="0" t="n">
        <v>471346</v>
      </c>
      <c r="C1636" s="0" t="n">
        <v>471366</v>
      </c>
      <c r="D1636" s="0" t="s">
        <v>5448</v>
      </c>
      <c r="E1636" s="0" t="s">
        <v>89</v>
      </c>
      <c r="F1636" s="0" t="s">
        <v>90</v>
      </c>
      <c r="G1636" s="0" t="s">
        <v>26</v>
      </c>
      <c r="H1636" s="0" t="n">
        <v>40</v>
      </c>
      <c r="I1636" s="0" t="s">
        <v>5452</v>
      </c>
      <c r="J1636" s="0" t="s">
        <v>5453</v>
      </c>
      <c r="K1636" s="0" t="s">
        <v>5454</v>
      </c>
      <c r="L1636" s="0" t="str">
        <f aca="false">HYPERLINK("https://www.ncbi.nlm.nih.gov/nuccore/CP000304.1?report=graph&amp;tracks=[key:gene_model_track,Options:GeneOnly]&amp;mk=471375:471394|offset_12|444444,471347:471366|offset_40|00cc00,471326:471345|offset_61|444444,471301:471320|offset_86|444444&amp;v=471174:471520&amp;c=444444", "offset 40")</f>
        <v>offset 40</v>
      </c>
    </row>
    <row r="1637" customFormat="false" ht="12.8" hidden="false" customHeight="false" outlineLevel="0" collapsed="false">
      <c r="A1637" s="0" t="s">
        <v>12</v>
      </c>
      <c r="B1637" s="0" t="n">
        <v>471325</v>
      </c>
      <c r="C1637" s="0" t="n">
        <v>471345</v>
      </c>
      <c r="D1637" s="0" t="s">
        <v>5448</v>
      </c>
      <c r="E1637" s="0" t="s">
        <v>89</v>
      </c>
      <c r="F1637" s="0" t="s">
        <v>90</v>
      </c>
      <c r="G1637" s="0" t="s">
        <v>36</v>
      </c>
      <c r="H1637" s="0" t="n">
        <v>61</v>
      </c>
      <c r="I1637" s="0" t="s">
        <v>5455</v>
      </c>
      <c r="J1637" s="0" t="s">
        <v>5456</v>
      </c>
      <c r="K1637" s="0" t="s">
        <v>5457</v>
      </c>
      <c r="L1637" s="0" t="str">
        <f aca="false">HYPERLINK("https://www.ncbi.nlm.nih.gov/nuccore/CP000304.1?report=graph&amp;tracks=[key:gene_model_track,Options:GeneOnly]&amp;mk=471375:471394|offset_12|444444,471347:471366|offset_40|444444,471326:471345|offset_61|00cc00,471301:471320|offset_86|444444&amp;v=471174:471520&amp;c=444444", "offset 61")</f>
        <v>offset 61</v>
      </c>
    </row>
    <row r="1638" customFormat="false" ht="12.8" hidden="false" customHeight="false" outlineLevel="0" collapsed="false">
      <c r="A1638" s="0" t="s">
        <v>12</v>
      </c>
      <c r="B1638" s="0" t="n">
        <v>471300</v>
      </c>
      <c r="C1638" s="0" t="n">
        <v>471320</v>
      </c>
      <c r="D1638" s="0" t="s">
        <v>5448</v>
      </c>
      <c r="E1638" s="0" t="s">
        <v>89</v>
      </c>
      <c r="F1638" s="0" t="s">
        <v>90</v>
      </c>
      <c r="G1638" s="0" t="s">
        <v>32</v>
      </c>
      <c r="H1638" s="0" t="n">
        <v>86</v>
      </c>
      <c r="I1638" s="0" t="s">
        <v>5458</v>
      </c>
      <c r="J1638" s="0" t="s">
        <v>5459</v>
      </c>
      <c r="K1638" s="0" t="s">
        <v>5460</v>
      </c>
      <c r="L1638" s="0" t="str">
        <f aca="false">HYPERLINK("https://www.ncbi.nlm.nih.gov/nuccore/CP000304.1?report=graph&amp;tracks=[key:gene_model_track,Options:GeneOnly]&amp;mk=471375:471394|offset_12|444444,471347:471366|offset_40|444444,471326:471345|offset_61|444444,471301:471320|offset_86|00cc00&amp;v=471174:471520&amp;c=444444", "offset 86")</f>
        <v>offset 86</v>
      </c>
    </row>
    <row r="1639" customFormat="false" ht="12.8" hidden="false" customHeight="false" outlineLevel="0" collapsed="false">
      <c r="A1639" s="0" t="s">
        <v>12</v>
      </c>
      <c r="B1639" s="0" t="n">
        <v>472166</v>
      </c>
      <c r="C1639" s="0" t="n">
        <v>472186</v>
      </c>
      <c r="D1639" s="0" t="s">
        <v>5461</v>
      </c>
      <c r="E1639" s="0" t="s">
        <v>89</v>
      </c>
      <c r="F1639" s="0" t="s">
        <v>90</v>
      </c>
      <c r="G1639" s="0" t="s">
        <v>16</v>
      </c>
      <c r="H1639" s="0" t="n">
        <v>13</v>
      </c>
      <c r="I1639" s="0" t="s">
        <v>5462</v>
      </c>
      <c r="J1639" s="0" t="s">
        <v>5463</v>
      </c>
      <c r="K1639" s="0" t="s">
        <v>5464</v>
      </c>
      <c r="L1639" s="0" t="str">
        <f aca="false">HYPERLINK("https://www.ncbi.nlm.nih.gov/nuccore/CP000304.1?report=graph&amp;tracks=[key:gene_model_track,Options:GeneOnly]&amp;mk=472167:472186|offset_13|00cc00,472123:472142|offset_57|444444,472100:472119|offset_80|444444,472043:472062|offset_137|444444&amp;v=471966:472262&amp;c=444444", "offset 13")</f>
        <v>offset 13</v>
      </c>
    </row>
    <row r="1640" customFormat="false" ht="12.8" hidden="false" customHeight="false" outlineLevel="0" collapsed="false">
      <c r="A1640" s="0" t="s">
        <v>12</v>
      </c>
      <c r="B1640" s="0" t="n">
        <v>472122</v>
      </c>
      <c r="C1640" s="0" t="n">
        <v>472142</v>
      </c>
      <c r="D1640" s="0" t="s">
        <v>5461</v>
      </c>
      <c r="E1640" s="0" t="s">
        <v>89</v>
      </c>
      <c r="F1640" s="0" t="s">
        <v>90</v>
      </c>
      <c r="G1640" s="0" t="s">
        <v>36</v>
      </c>
      <c r="H1640" s="0" t="n">
        <v>57</v>
      </c>
      <c r="I1640" s="0" t="s">
        <v>5465</v>
      </c>
      <c r="J1640" s="0" t="s">
        <v>5466</v>
      </c>
      <c r="K1640" s="0" t="s">
        <v>5467</v>
      </c>
      <c r="L1640" s="0" t="str">
        <f aca="false">HYPERLINK("https://www.ncbi.nlm.nih.gov/nuccore/CP000304.1?report=graph&amp;tracks=[key:gene_model_track,Options:GeneOnly]&amp;mk=472167:472186|offset_13|444444,472123:472142|offset_57|00cc00,472100:472119|offset_80|444444,472043:472062|offset_137|444444&amp;v=471966:472262&amp;c=444444", "offset 57")</f>
        <v>offset 57</v>
      </c>
    </row>
    <row r="1641" customFormat="false" ht="12.8" hidden="false" customHeight="false" outlineLevel="0" collapsed="false">
      <c r="A1641" s="0" t="s">
        <v>12</v>
      </c>
      <c r="B1641" s="0" t="n">
        <v>472099</v>
      </c>
      <c r="C1641" s="0" t="n">
        <v>472119</v>
      </c>
      <c r="D1641" s="0" t="s">
        <v>5461</v>
      </c>
      <c r="E1641" s="0" t="s">
        <v>89</v>
      </c>
      <c r="F1641" s="0" t="s">
        <v>90</v>
      </c>
      <c r="G1641" s="0" t="s">
        <v>26</v>
      </c>
      <c r="H1641" s="0" t="n">
        <v>80</v>
      </c>
      <c r="I1641" s="0" t="s">
        <v>5468</v>
      </c>
      <c r="J1641" s="0" t="s">
        <v>5469</v>
      </c>
      <c r="K1641" s="0" t="s">
        <v>5470</v>
      </c>
      <c r="L1641" s="0" t="str">
        <f aca="false">HYPERLINK("https://www.ncbi.nlm.nih.gov/nuccore/CP000304.1?report=graph&amp;tracks=[key:gene_model_track,Options:GeneOnly]&amp;mk=472167:472186|offset_13|444444,472123:472142|offset_57|444444,472100:472119|offset_80|00cc00,472043:472062|offset_137|444444&amp;v=471966:472262&amp;c=444444", "offset 80")</f>
        <v>offset 80</v>
      </c>
    </row>
    <row r="1642" customFormat="false" ht="12.8" hidden="false" customHeight="false" outlineLevel="0" collapsed="false">
      <c r="A1642" s="0" t="s">
        <v>12</v>
      </c>
      <c r="B1642" s="0" t="n">
        <v>472042</v>
      </c>
      <c r="C1642" s="0" t="n">
        <v>472062</v>
      </c>
      <c r="D1642" s="0" t="s">
        <v>5461</v>
      </c>
      <c r="E1642" s="0" t="s">
        <v>89</v>
      </c>
      <c r="F1642" s="0" t="s">
        <v>90</v>
      </c>
      <c r="G1642" s="0" t="s">
        <v>32</v>
      </c>
      <c r="H1642" s="0" t="n">
        <v>137</v>
      </c>
      <c r="I1642" s="0" t="s">
        <v>5471</v>
      </c>
      <c r="J1642" s="0" t="s">
        <v>5472</v>
      </c>
      <c r="K1642" s="0" t="s">
        <v>5473</v>
      </c>
      <c r="L1642" s="0" t="str">
        <f aca="false">HYPERLINK("https://www.ncbi.nlm.nih.gov/nuccore/CP000304.1?report=graph&amp;tracks=[key:gene_model_track,Options:GeneOnly]&amp;mk=472167:472186|offset_13|444444,472123:472142|offset_57|444444,472100:472119|offset_80|444444,472043:472062|offset_137|00cc00&amp;v=471966:472262&amp;c=444444", "offset 137")</f>
        <v>offset 137</v>
      </c>
    </row>
    <row r="1643" customFormat="false" ht="12.8" hidden="false" customHeight="false" outlineLevel="0" collapsed="false">
      <c r="A1643" s="0" t="s">
        <v>12</v>
      </c>
      <c r="B1643" s="0" t="n">
        <v>473350</v>
      </c>
      <c r="C1643" s="0" t="n">
        <v>473370</v>
      </c>
      <c r="D1643" s="0" t="s">
        <v>5474</v>
      </c>
      <c r="E1643" s="0" t="s">
        <v>89</v>
      </c>
      <c r="F1643" s="0" t="s">
        <v>90</v>
      </c>
      <c r="G1643" s="0" t="s">
        <v>36</v>
      </c>
      <c r="H1643" s="0" t="n">
        <v>31</v>
      </c>
      <c r="I1643" s="0" t="s">
        <v>5475</v>
      </c>
      <c r="J1643" s="0" t="s">
        <v>5476</v>
      </c>
      <c r="K1643" s="0" t="s">
        <v>5477</v>
      </c>
      <c r="L1643" s="0" t="str">
        <f aca="false">HYPERLINK("https://www.ncbi.nlm.nih.gov/nuccore/CP000304.1?report=graph&amp;tracks=[key:gene_model_track,Options:GeneOnly]&amp;mk=473351:473370|offset_31|00cc00,473328:473347|offset_54|444444,473284:473303|offset_98|444444,473213:473232|offset_169|444444&amp;v=473150:473432&amp;c=444444", "offset 31")</f>
        <v>offset 31</v>
      </c>
    </row>
    <row r="1644" customFormat="false" ht="12.8" hidden="false" customHeight="false" outlineLevel="0" collapsed="false">
      <c r="A1644" s="0" t="s">
        <v>12</v>
      </c>
      <c r="B1644" s="0" t="n">
        <v>473327</v>
      </c>
      <c r="C1644" s="0" t="n">
        <v>473347</v>
      </c>
      <c r="D1644" s="0" t="s">
        <v>5474</v>
      </c>
      <c r="E1644" s="0" t="s">
        <v>89</v>
      </c>
      <c r="F1644" s="0" t="s">
        <v>90</v>
      </c>
      <c r="G1644" s="0" t="s">
        <v>36</v>
      </c>
      <c r="H1644" s="0" t="n">
        <v>54</v>
      </c>
      <c r="I1644" s="0" t="s">
        <v>5478</v>
      </c>
      <c r="J1644" s="0" t="s">
        <v>5479</v>
      </c>
      <c r="K1644" s="0" t="s">
        <v>5480</v>
      </c>
      <c r="L1644" s="0" t="str">
        <f aca="false">HYPERLINK("https://www.ncbi.nlm.nih.gov/nuccore/CP000304.1?report=graph&amp;tracks=[key:gene_model_track,Options:GeneOnly]&amp;mk=473351:473370|offset_31|444444,473328:473347|offset_54|00cc00,473284:473303|offset_98|444444,473213:473232|offset_169|444444&amp;v=473150:473432&amp;c=444444", "offset 54")</f>
        <v>offset 54</v>
      </c>
    </row>
    <row r="1645" customFormat="false" ht="12.8" hidden="false" customHeight="false" outlineLevel="0" collapsed="false">
      <c r="A1645" s="0" t="s">
        <v>12</v>
      </c>
      <c r="B1645" s="0" t="n">
        <v>473283</v>
      </c>
      <c r="C1645" s="0" t="n">
        <v>473303</v>
      </c>
      <c r="D1645" s="0" t="s">
        <v>5474</v>
      </c>
      <c r="E1645" s="0" t="s">
        <v>89</v>
      </c>
      <c r="F1645" s="0" t="s">
        <v>90</v>
      </c>
      <c r="G1645" s="0" t="s">
        <v>26</v>
      </c>
      <c r="H1645" s="0" t="n">
        <v>98</v>
      </c>
      <c r="I1645" s="0" t="s">
        <v>5481</v>
      </c>
      <c r="J1645" s="0" t="s">
        <v>5482</v>
      </c>
      <c r="K1645" s="0" t="s">
        <v>5483</v>
      </c>
      <c r="L1645" s="0" t="str">
        <f aca="false">HYPERLINK("https://www.ncbi.nlm.nih.gov/nuccore/CP000304.1?report=graph&amp;tracks=[key:gene_model_track,Options:GeneOnly]&amp;mk=473351:473370|offset_31|444444,473328:473347|offset_54|444444,473284:473303|offset_98|00cc00,473213:473232|offset_169|444444&amp;v=473150:473432&amp;c=444444", "offset 98")</f>
        <v>offset 98</v>
      </c>
    </row>
    <row r="1646" customFormat="false" ht="12.8" hidden="false" customHeight="false" outlineLevel="0" collapsed="false">
      <c r="A1646" s="0" t="s">
        <v>12</v>
      </c>
      <c r="B1646" s="0" t="n">
        <v>473212</v>
      </c>
      <c r="C1646" s="0" t="n">
        <v>473232</v>
      </c>
      <c r="D1646" s="0" t="s">
        <v>5474</v>
      </c>
      <c r="E1646" s="0" t="s">
        <v>89</v>
      </c>
      <c r="F1646" s="0" t="s">
        <v>90</v>
      </c>
      <c r="G1646" s="0" t="s">
        <v>16</v>
      </c>
      <c r="H1646" s="0" t="n">
        <v>169</v>
      </c>
      <c r="I1646" s="0" t="s">
        <v>5484</v>
      </c>
      <c r="J1646" s="0" t="s">
        <v>5485</v>
      </c>
      <c r="K1646" s="0" t="s">
        <v>5486</v>
      </c>
      <c r="L1646" s="0" t="str">
        <f aca="false">HYPERLINK("https://www.ncbi.nlm.nih.gov/nuccore/CP000304.1?report=graph&amp;tracks=[key:gene_model_track,Options:GeneOnly]&amp;mk=473351:473370|offset_31|444444,473328:473347|offset_54|444444,473284:473303|offset_98|444444,473213:473232|offset_169|00cc00&amp;v=473150:473432&amp;c=444444", "offset 169")</f>
        <v>offset 169</v>
      </c>
    </row>
    <row r="1647" customFormat="false" ht="12.8" hidden="false" customHeight="false" outlineLevel="0" collapsed="false">
      <c r="A1647" s="0" t="s">
        <v>12</v>
      </c>
      <c r="B1647" s="0" t="n">
        <v>474574</v>
      </c>
      <c r="C1647" s="0" t="n">
        <v>474594</v>
      </c>
      <c r="D1647" s="0" t="s">
        <v>5487</v>
      </c>
      <c r="E1647" s="0" t="s">
        <v>89</v>
      </c>
      <c r="F1647" s="0" t="s">
        <v>90</v>
      </c>
      <c r="G1647" s="0" t="s">
        <v>32</v>
      </c>
      <c r="H1647" s="0" t="n">
        <v>8</v>
      </c>
      <c r="I1647" s="0" t="s">
        <v>5488</v>
      </c>
      <c r="J1647" s="0" t="s">
        <v>5489</v>
      </c>
      <c r="K1647" s="0" t="s">
        <v>5490</v>
      </c>
      <c r="L1647" s="0" t="str">
        <f aca="false">HYPERLINK("https://www.ncbi.nlm.nih.gov/nuccore/CP000304.1?report=graph&amp;tracks=[key:gene_model_track,Options:GeneOnly]&amp;mk=474575:474594|offset_8|00cc00,474544:474563|offset_39|444444,474516:474535|offset_67|444444,474479:474498|offset_104|444444&amp;v=474374:474698&amp;c=444444", "offset 8")</f>
        <v>offset 8</v>
      </c>
    </row>
    <row r="1648" customFormat="false" ht="12.8" hidden="false" customHeight="false" outlineLevel="0" collapsed="false">
      <c r="A1648" s="0" t="s">
        <v>12</v>
      </c>
      <c r="B1648" s="0" t="n">
        <v>474543</v>
      </c>
      <c r="C1648" s="0" t="n">
        <v>474563</v>
      </c>
      <c r="D1648" s="0" t="s">
        <v>5487</v>
      </c>
      <c r="E1648" s="0" t="s">
        <v>89</v>
      </c>
      <c r="F1648" s="0" t="s">
        <v>90</v>
      </c>
      <c r="G1648" s="0" t="s">
        <v>16</v>
      </c>
      <c r="H1648" s="0" t="n">
        <v>39</v>
      </c>
      <c r="I1648" s="0" t="s">
        <v>5491</v>
      </c>
      <c r="J1648" s="0" t="s">
        <v>5492</v>
      </c>
      <c r="K1648" s="0" t="s">
        <v>5493</v>
      </c>
      <c r="L1648" s="0" t="str">
        <f aca="false">HYPERLINK("https://www.ncbi.nlm.nih.gov/nuccore/CP000304.1?report=graph&amp;tracks=[key:gene_model_track,Options:GeneOnly]&amp;mk=474575:474594|offset_8|444444,474544:474563|offset_39|00cc00,474516:474535|offset_67|444444,474479:474498|offset_104|444444&amp;v=474374:474698&amp;c=444444", "offset 39")</f>
        <v>offset 39</v>
      </c>
    </row>
    <row r="1649" customFormat="false" ht="12.8" hidden="false" customHeight="false" outlineLevel="0" collapsed="false">
      <c r="A1649" s="0" t="s">
        <v>12</v>
      </c>
      <c r="B1649" s="0" t="n">
        <v>474515</v>
      </c>
      <c r="C1649" s="0" t="n">
        <v>474535</v>
      </c>
      <c r="D1649" s="0" t="s">
        <v>5487</v>
      </c>
      <c r="E1649" s="0" t="s">
        <v>89</v>
      </c>
      <c r="F1649" s="0" t="s">
        <v>90</v>
      </c>
      <c r="G1649" s="0" t="s">
        <v>16</v>
      </c>
      <c r="H1649" s="0" t="n">
        <v>67</v>
      </c>
      <c r="I1649" s="0" t="s">
        <v>5494</v>
      </c>
      <c r="J1649" s="0" t="s">
        <v>5495</v>
      </c>
      <c r="K1649" s="0" t="s">
        <v>5496</v>
      </c>
      <c r="L1649" s="0" t="str">
        <f aca="false">HYPERLINK("https://www.ncbi.nlm.nih.gov/nuccore/CP000304.1?report=graph&amp;tracks=[key:gene_model_track,Options:GeneOnly]&amp;mk=474575:474594|offset_8|444444,474544:474563|offset_39|444444,474516:474535|offset_67|00cc00,474479:474498|offset_104|444444&amp;v=474374:474698&amp;c=444444", "offset 67")</f>
        <v>offset 67</v>
      </c>
    </row>
    <row r="1650" customFormat="false" ht="12.8" hidden="false" customHeight="false" outlineLevel="0" collapsed="false">
      <c r="A1650" s="0" t="s">
        <v>12</v>
      </c>
      <c r="B1650" s="0" t="n">
        <v>474478</v>
      </c>
      <c r="C1650" s="0" t="n">
        <v>474498</v>
      </c>
      <c r="D1650" s="0" t="s">
        <v>5487</v>
      </c>
      <c r="E1650" s="0" t="s">
        <v>89</v>
      </c>
      <c r="F1650" s="0" t="s">
        <v>90</v>
      </c>
      <c r="G1650" s="0" t="s">
        <v>26</v>
      </c>
      <c r="H1650" s="0" t="n">
        <v>104</v>
      </c>
      <c r="I1650" s="0" t="s">
        <v>5497</v>
      </c>
      <c r="J1650" s="0" t="s">
        <v>5498</v>
      </c>
      <c r="K1650" s="0" t="s">
        <v>5499</v>
      </c>
      <c r="L1650" s="0" t="str">
        <f aca="false">HYPERLINK("https://www.ncbi.nlm.nih.gov/nuccore/CP000304.1?report=graph&amp;tracks=[key:gene_model_track,Options:GeneOnly]&amp;mk=474575:474594|offset_8|444444,474544:474563|offset_39|444444,474516:474535|offset_67|444444,474479:474498|offset_104|00cc00&amp;v=474374:474698&amp;c=444444", "offset 104")</f>
        <v>offset 104</v>
      </c>
    </row>
    <row r="1651" customFormat="false" ht="12.8" hidden="false" customHeight="false" outlineLevel="0" collapsed="false">
      <c r="A1651" s="0" t="s">
        <v>12</v>
      </c>
      <c r="B1651" s="0" t="n">
        <v>474839</v>
      </c>
      <c r="C1651" s="0" t="n">
        <v>474859</v>
      </c>
      <c r="D1651" s="0" t="s">
        <v>5500</v>
      </c>
      <c r="E1651" s="0" t="s">
        <v>89</v>
      </c>
      <c r="F1651" s="0" t="s">
        <v>15</v>
      </c>
      <c r="G1651" s="0" t="s">
        <v>36</v>
      </c>
      <c r="H1651" s="0" t="n">
        <v>39</v>
      </c>
      <c r="I1651" s="0" t="s">
        <v>5501</v>
      </c>
      <c r="J1651" s="0" t="s">
        <v>5502</v>
      </c>
      <c r="K1651" s="0" t="s">
        <v>5503</v>
      </c>
      <c r="L1651" s="0" t="str">
        <f aca="false">HYPERLINK("https://www.ncbi.nlm.nih.gov/nuccore/CP000304.1?report=graph&amp;tracks=[key:gene_model_track,Options:GeneOnly]&amp;mk=474840:474859|offset_39|00cc00,474878:474897|offset_77|444444,474898:474917|offset_97|444444,474925:474944|offset_124|444444&amp;v=474639:475144&amp;c=444444", "offset 39")</f>
        <v>offset 39</v>
      </c>
    </row>
    <row r="1652" customFormat="false" ht="12.8" hidden="false" customHeight="false" outlineLevel="0" collapsed="false">
      <c r="A1652" s="0" t="s">
        <v>12</v>
      </c>
      <c r="B1652" s="0" t="n">
        <v>474877</v>
      </c>
      <c r="C1652" s="0" t="n">
        <v>474897</v>
      </c>
      <c r="D1652" s="0" t="s">
        <v>5500</v>
      </c>
      <c r="E1652" s="0" t="s">
        <v>89</v>
      </c>
      <c r="F1652" s="0" t="s">
        <v>15</v>
      </c>
      <c r="G1652" s="0" t="s">
        <v>32</v>
      </c>
      <c r="H1652" s="0" t="n">
        <v>77</v>
      </c>
      <c r="I1652" s="0" t="s">
        <v>5504</v>
      </c>
      <c r="J1652" s="0" t="s">
        <v>5505</v>
      </c>
      <c r="K1652" s="0" t="s">
        <v>5506</v>
      </c>
      <c r="L1652" s="0" t="str">
        <f aca="false">HYPERLINK("https://www.ncbi.nlm.nih.gov/nuccore/CP000304.1?report=graph&amp;tracks=[key:gene_model_track,Options:GeneOnly]&amp;mk=474840:474859|offset_39|444444,474878:474897|offset_77|00cc00,474898:474917|offset_97|444444,474925:474944|offset_124|444444&amp;v=474639:475144&amp;c=444444", "offset 77")</f>
        <v>offset 77</v>
      </c>
    </row>
    <row r="1653" customFormat="false" ht="12.8" hidden="false" customHeight="false" outlineLevel="0" collapsed="false">
      <c r="A1653" s="0" t="s">
        <v>12</v>
      </c>
      <c r="B1653" s="0" t="n">
        <v>474897</v>
      </c>
      <c r="C1653" s="0" t="n">
        <v>474917</v>
      </c>
      <c r="D1653" s="0" t="s">
        <v>5500</v>
      </c>
      <c r="E1653" s="0" t="s">
        <v>89</v>
      </c>
      <c r="F1653" s="0" t="s">
        <v>15</v>
      </c>
      <c r="G1653" s="0" t="s">
        <v>16</v>
      </c>
      <c r="H1653" s="0" t="n">
        <v>97</v>
      </c>
      <c r="I1653" s="0" t="s">
        <v>5507</v>
      </c>
      <c r="J1653" s="0" t="s">
        <v>5508</v>
      </c>
      <c r="K1653" s="0" t="s">
        <v>5509</v>
      </c>
      <c r="L1653" s="0" t="str">
        <f aca="false">HYPERLINK("https://www.ncbi.nlm.nih.gov/nuccore/CP000304.1?report=graph&amp;tracks=[key:gene_model_track,Options:GeneOnly]&amp;mk=474840:474859|offset_39|444444,474878:474897|offset_77|444444,474898:474917|offset_97|00cc00,474925:474944|offset_124|444444&amp;v=474639:475144&amp;c=444444", "offset 97")</f>
        <v>offset 97</v>
      </c>
    </row>
    <row r="1654" customFormat="false" ht="12.8" hidden="false" customHeight="false" outlineLevel="0" collapsed="false">
      <c r="A1654" s="0" t="s">
        <v>12</v>
      </c>
      <c r="B1654" s="0" t="n">
        <v>474924</v>
      </c>
      <c r="C1654" s="0" t="n">
        <v>474944</v>
      </c>
      <c r="D1654" s="0" t="s">
        <v>5500</v>
      </c>
      <c r="E1654" s="0" t="s">
        <v>89</v>
      </c>
      <c r="F1654" s="0" t="s">
        <v>15</v>
      </c>
      <c r="G1654" s="0" t="s">
        <v>36</v>
      </c>
      <c r="H1654" s="0" t="n">
        <v>124</v>
      </c>
      <c r="I1654" s="0" t="s">
        <v>5510</v>
      </c>
      <c r="J1654" s="0" t="s">
        <v>5511</v>
      </c>
      <c r="K1654" s="0" t="s">
        <v>5512</v>
      </c>
      <c r="L1654" s="0" t="str">
        <f aca="false">HYPERLINK("https://www.ncbi.nlm.nih.gov/nuccore/CP000304.1?report=graph&amp;tracks=[key:gene_model_track,Options:GeneOnly]&amp;mk=474840:474859|offset_39|444444,474878:474897|offset_77|444444,474898:474917|offset_97|444444,474925:474944|offset_124|00cc00&amp;v=474639:475144&amp;c=444444", "offset 124")</f>
        <v>offset 124</v>
      </c>
    </row>
    <row r="1655" customFormat="false" ht="12.8" hidden="false" customHeight="false" outlineLevel="0" collapsed="false">
      <c r="A1655" s="0" t="s">
        <v>12</v>
      </c>
      <c r="B1655" s="0" t="n">
        <v>475894</v>
      </c>
      <c r="C1655" s="0" t="n">
        <v>475914</v>
      </c>
      <c r="D1655" s="0" t="s">
        <v>5513</v>
      </c>
      <c r="E1655" s="0" t="s">
        <v>89</v>
      </c>
      <c r="F1655" s="0" t="s">
        <v>15</v>
      </c>
      <c r="G1655" s="0" t="s">
        <v>16</v>
      </c>
      <c r="H1655" s="0" t="n">
        <v>15</v>
      </c>
      <c r="I1655" s="0" t="s">
        <v>5514</v>
      </c>
      <c r="J1655" s="0" t="s">
        <v>5515</v>
      </c>
      <c r="K1655" s="0" t="s">
        <v>5516</v>
      </c>
      <c r="L1655" s="0" t="str">
        <f aca="false">HYPERLINK("https://www.ncbi.nlm.nih.gov/nuccore/CP000304.1?report=graph&amp;tracks=[key:gene_model_track,Options:GeneOnly]&amp;mk=475895:475914|offset_15|00cc00,475920:475939|offset_40|444444,475941:475960|offset_61|444444,475962:475981|offset_82|444444&amp;v=475694:476181&amp;c=444444", "offset 15")</f>
        <v>offset 15</v>
      </c>
    </row>
    <row r="1656" customFormat="false" ht="12.8" hidden="false" customHeight="false" outlineLevel="0" collapsed="false">
      <c r="A1656" s="0" t="s">
        <v>12</v>
      </c>
      <c r="B1656" s="0" t="n">
        <v>475919</v>
      </c>
      <c r="C1656" s="0" t="n">
        <v>475939</v>
      </c>
      <c r="D1656" s="0" t="s">
        <v>5513</v>
      </c>
      <c r="E1656" s="0" t="s">
        <v>89</v>
      </c>
      <c r="F1656" s="0" t="s">
        <v>15</v>
      </c>
      <c r="G1656" s="0" t="s">
        <v>36</v>
      </c>
      <c r="H1656" s="0" t="n">
        <v>40</v>
      </c>
      <c r="I1656" s="0" t="s">
        <v>5517</v>
      </c>
      <c r="J1656" s="0" t="s">
        <v>5518</v>
      </c>
      <c r="K1656" s="0" t="s">
        <v>5519</v>
      </c>
      <c r="L1656" s="0" t="str">
        <f aca="false">HYPERLINK("https://www.ncbi.nlm.nih.gov/nuccore/CP000304.1?report=graph&amp;tracks=[key:gene_model_track,Options:GeneOnly]&amp;mk=475895:475914|offset_15|444444,475920:475939|offset_40|00cc00,475941:475960|offset_61|444444,475962:475981|offset_82|444444&amp;v=475694:476181&amp;c=444444", "offset 40")</f>
        <v>offset 40</v>
      </c>
    </row>
    <row r="1657" customFormat="false" ht="12.8" hidden="false" customHeight="false" outlineLevel="0" collapsed="false">
      <c r="A1657" s="0" t="s">
        <v>12</v>
      </c>
      <c r="B1657" s="0" t="n">
        <v>475940</v>
      </c>
      <c r="C1657" s="0" t="n">
        <v>475960</v>
      </c>
      <c r="D1657" s="0" t="s">
        <v>5513</v>
      </c>
      <c r="E1657" s="0" t="s">
        <v>89</v>
      </c>
      <c r="F1657" s="0" t="s">
        <v>15</v>
      </c>
      <c r="G1657" s="0" t="s">
        <v>16</v>
      </c>
      <c r="H1657" s="0" t="n">
        <v>61</v>
      </c>
      <c r="I1657" s="0" t="s">
        <v>5520</v>
      </c>
      <c r="J1657" s="0" t="s">
        <v>5521</v>
      </c>
      <c r="K1657" s="0" t="s">
        <v>5522</v>
      </c>
      <c r="L1657" s="0" t="str">
        <f aca="false">HYPERLINK("https://www.ncbi.nlm.nih.gov/nuccore/CP000304.1?report=graph&amp;tracks=[key:gene_model_track,Options:GeneOnly]&amp;mk=475895:475914|offset_15|444444,475920:475939|offset_40|444444,475941:475960|offset_61|00cc00,475962:475981|offset_82|444444&amp;v=475694:476181&amp;c=444444", "offset 61")</f>
        <v>offset 61</v>
      </c>
    </row>
    <row r="1658" customFormat="false" ht="12.8" hidden="false" customHeight="false" outlineLevel="0" collapsed="false">
      <c r="A1658" s="0" t="s">
        <v>12</v>
      </c>
      <c r="B1658" s="0" t="n">
        <v>475961</v>
      </c>
      <c r="C1658" s="0" t="n">
        <v>475981</v>
      </c>
      <c r="D1658" s="0" t="s">
        <v>5513</v>
      </c>
      <c r="E1658" s="0" t="s">
        <v>89</v>
      </c>
      <c r="F1658" s="0" t="s">
        <v>15</v>
      </c>
      <c r="G1658" s="0" t="s">
        <v>26</v>
      </c>
      <c r="H1658" s="0" t="n">
        <v>82</v>
      </c>
      <c r="I1658" s="0" t="s">
        <v>5523</v>
      </c>
      <c r="J1658" s="0" t="s">
        <v>5524</v>
      </c>
      <c r="K1658" s="0" t="s">
        <v>5525</v>
      </c>
      <c r="L1658" s="0" t="str">
        <f aca="false">HYPERLINK("https://www.ncbi.nlm.nih.gov/nuccore/CP000304.1?report=graph&amp;tracks=[key:gene_model_track,Options:GeneOnly]&amp;mk=475895:475914|offset_15|444444,475920:475939|offset_40|444444,475941:475960|offset_61|444444,475962:475981|offset_82|00cc00&amp;v=475694:476181&amp;c=444444", "offset 82")</f>
        <v>offset 82</v>
      </c>
    </row>
    <row r="1659" customFormat="false" ht="12.8" hidden="false" customHeight="false" outlineLevel="0" collapsed="false">
      <c r="A1659" s="0" t="s">
        <v>12</v>
      </c>
      <c r="B1659" s="0" t="n">
        <v>477527</v>
      </c>
      <c r="C1659" s="0" t="n">
        <v>477547</v>
      </c>
      <c r="D1659" s="0" t="s">
        <v>5526</v>
      </c>
      <c r="E1659" s="0" t="s">
        <v>89</v>
      </c>
      <c r="F1659" s="0" t="s">
        <v>90</v>
      </c>
      <c r="G1659" s="0" t="s">
        <v>32</v>
      </c>
      <c r="H1659" s="0" t="n">
        <v>22</v>
      </c>
      <c r="I1659" s="0" t="s">
        <v>5527</v>
      </c>
      <c r="J1659" s="0" t="s">
        <v>5528</v>
      </c>
      <c r="K1659" s="0" t="s">
        <v>5529</v>
      </c>
      <c r="L1659" s="0" t="str">
        <f aca="false">HYPERLINK("https://www.ncbi.nlm.nih.gov/nuccore/CP000304.1?report=graph&amp;tracks=[key:gene_model_track,Options:GeneOnly]&amp;mk=477528:477547|offset_22|00cc00,477503:477522|offset_47|444444,477477:477496|offset_73|444444,477411:477430|offset_139|444444&amp;v=477327:477630&amp;c=444444", "offset 22")</f>
        <v>offset 22</v>
      </c>
    </row>
    <row r="1660" customFormat="false" ht="12.8" hidden="false" customHeight="false" outlineLevel="0" collapsed="false">
      <c r="A1660" s="0" t="s">
        <v>12</v>
      </c>
      <c r="B1660" s="0" t="n">
        <v>477502</v>
      </c>
      <c r="C1660" s="0" t="n">
        <v>477522</v>
      </c>
      <c r="D1660" s="0" t="s">
        <v>5526</v>
      </c>
      <c r="E1660" s="0" t="s">
        <v>89</v>
      </c>
      <c r="F1660" s="0" t="s">
        <v>90</v>
      </c>
      <c r="G1660" s="0" t="s">
        <v>26</v>
      </c>
      <c r="H1660" s="0" t="n">
        <v>47</v>
      </c>
      <c r="I1660" s="0" t="s">
        <v>5530</v>
      </c>
      <c r="J1660" s="0" t="s">
        <v>5531</v>
      </c>
      <c r="K1660" s="0" t="s">
        <v>5532</v>
      </c>
      <c r="L1660" s="0" t="str">
        <f aca="false">HYPERLINK("https://www.ncbi.nlm.nih.gov/nuccore/CP000304.1?report=graph&amp;tracks=[key:gene_model_track,Options:GeneOnly]&amp;mk=477528:477547|offset_22|444444,477503:477522|offset_47|00cc00,477477:477496|offset_73|444444,477411:477430|offset_139|444444&amp;v=477327:477630&amp;c=444444", "offset 47")</f>
        <v>offset 47</v>
      </c>
    </row>
    <row r="1661" customFormat="false" ht="12.8" hidden="false" customHeight="false" outlineLevel="0" collapsed="false">
      <c r="A1661" s="0" t="s">
        <v>12</v>
      </c>
      <c r="B1661" s="0" t="n">
        <v>477476</v>
      </c>
      <c r="C1661" s="0" t="n">
        <v>477496</v>
      </c>
      <c r="D1661" s="0" t="s">
        <v>5526</v>
      </c>
      <c r="E1661" s="0" t="s">
        <v>89</v>
      </c>
      <c r="F1661" s="0" t="s">
        <v>90</v>
      </c>
      <c r="G1661" s="0" t="s">
        <v>36</v>
      </c>
      <c r="H1661" s="0" t="n">
        <v>73</v>
      </c>
      <c r="I1661" s="0" t="s">
        <v>5533</v>
      </c>
      <c r="J1661" s="0" t="s">
        <v>5534</v>
      </c>
      <c r="K1661" s="0" t="s">
        <v>5535</v>
      </c>
      <c r="L1661" s="0" t="str">
        <f aca="false">HYPERLINK("https://www.ncbi.nlm.nih.gov/nuccore/CP000304.1?report=graph&amp;tracks=[key:gene_model_track,Options:GeneOnly]&amp;mk=477528:477547|offset_22|444444,477503:477522|offset_47|444444,477477:477496|offset_73|00cc00,477411:477430|offset_139|444444&amp;v=477327:477630&amp;c=444444", "offset 73")</f>
        <v>offset 73</v>
      </c>
    </row>
    <row r="1662" customFormat="false" ht="12.8" hidden="false" customHeight="false" outlineLevel="0" collapsed="false">
      <c r="A1662" s="0" t="s">
        <v>12</v>
      </c>
      <c r="B1662" s="0" t="n">
        <v>477410</v>
      </c>
      <c r="C1662" s="0" t="n">
        <v>477430</v>
      </c>
      <c r="D1662" s="0" t="s">
        <v>5526</v>
      </c>
      <c r="E1662" s="0" t="s">
        <v>89</v>
      </c>
      <c r="F1662" s="0" t="s">
        <v>90</v>
      </c>
      <c r="G1662" s="0" t="s">
        <v>16</v>
      </c>
      <c r="H1662" s="0" t="n">
        <v>139</v>
      </c>
      <c r="I1662" s="0" t="s">
        <v>5536</v>
      </c>
      <c r="J1662" s="0" t="s">
        <v>5537</v>
      </c>
      <c r="K1662" s="0" t="s">
        <v>5538</v>
      </c>
      <c r="L1662" s="0" t="str">
        <f aca="false">HYPERLINK("https://www.ncbi.nlm.nih.gov/nuccore/CP000304.1?report=graph&amp;tracks=[key:gene_model_track,Options:GeneOnly]&amp;mk=477528:477547|offset_22|444444,477503:477522|offset_47|444444,477477:477496|offset_73|444444,477411:477430|offset_139|00cc00&amp;v=477327:477630&amp;c=444444", "offset 139")</f>
        <v>offset 139</v>
      </c>
    </row>
    <row r="1663" customFormat="false" ht="12.8" hidden="false" customHeight="false" outlineLevel="0" collapsed="false">
      <c r="A1663" s="0" t="s">
        <v>12</v>
      </c>
      <c r="B1663" s="0" t="n">
        <v>479078</v>
      </c>
      <c r="C1663" s="0" t="n">
        <v>479098</v>
      </c>
      <c r="D1663" s="0" t="s">
        <v>5539</v>
      </c>
      <c r="E1663" s="0" t="s">
        <v>89</v>
      </c>
      <c r="F1663" s="0" t="s">
        <v>90</v>
      </c>
      <c r="G1663" s="0" t="s">
        <v>36</v>
      </c>
      <c r="H1663" s="0" t="n">
        <v>8</v>
      </c>
      <c r="I1663" s="0" t="s">
        <v>5540</v>
      </c>
      <c r="J1663" s="0" t="s">
        <v>5541</v>
      </c>
      <c r="K1663" s="0" t="s">
        <v>5542</v>
      </c>
      <c r="L1663" s="0" t="str">
        <f aca="false">HYPERLINK("https://www.ncbi.nlm.nih.gov/nuccore/CP000304.1?report=graph&amp;tracks=[key:gene_model_track,Options:GeneOnly]&amp;mk=479079:479098|offset_8|00cc00,479059:479078|offset_28|444444,479034:479053|offset_53|444444,478984:479003|offset_103|444444&amp;v=478878:479203&amp;c=444444", "offset 8")</f>
        <v>offset 8</v>
      </c>
    </row>
    <row r="1664" customFormat="false" ht="12.8" hidden="false" customHeight="false" outlineLevel="0" collapsed="false">
      <c r="A1664" s="0" t="s">
        <v>12</v>
      </c>
      <c r="B1664" s="0" t="n">
        <v>479058</v>
      </c>
      <c r="C1664" s="0" t="n">
        <v>479078</v>
      </c>
      <c r="D1664" s="0" t="s">
        <v>5539</v>
      </c>
      <c r="E1664" s="0" t="s">
        <v>89</v>
      </c>
      <c r="F1664" s="0" t="s">
        <v>90</v>
      </c>
      <c r="G1664" s="0" t="s">
        <v>26</v>
      </c>
      <c r="H1664" s="0" t="n">
        <v>28</v>
      </c>
      <c r="I1664" s="0" t="s">
        <v>5543</v>
      </c>
      <c r="J1664" s="0" t="s">
        <v>5544</v>
      </c>
      <c r="K1664" s="0" t="s">
        <v>5545</v>
      </c>
      <c r="L1664" s="0" t="str">
        <f aca="false">HYPERLINK("https://www.ncbi.nlm.nih.gov/nuccore/CP000304.1?report=graph&amp;tracks=[key:gene_model_track,Options:GeneOnly]&amp;mk=479079:479098|offset_8|444444,479059:479078|offset_28|00cc00,479034:479053|offset_53|444444,478984:479003|offset_103|444444&amp;v=478878:479203&amp;c=444444", "offset 28")</f>
        <v>offset 28</v>
      </c>
    </row>
    <row r="1665" customFormat="false" ht="12.8" hidden="false" customHeight="false" outlineLevel="0" collapsed="false">
      <c r="A1665" s="0" t="s">
        <v>12</v>
      </c>
      <c r="B1665" s="0" t="n">
        <v>479033</v>
      </c>
      <c r="C1665" s="0" t="n">
        <v>479053</v>
      </c>
      <c r="D1665" s="0" t="s">
        <v>5539</v>
      </c>
      <c r="E1665" s="0" t="s">
        <v>89</v>
      </c>
      <c r="F1665" s="0" t="s">
        <v>90</v>
      </c>
      <c r="G1665" s="0" t="s">
        <v>26</v>
      </c>
      <c r="H1665" s="0" t="n">
        <v>53</v>
      </c>
      <c r="I1665" s="0" t="s">
        <v>5546</v>
      </c>
      <c r="J1665" s="0" t="s">
        <v>5547</v>
      </c>
      <c r="K1665" s="0" t="s">
        <v>5548</v>
      </c>
      <c r="L1665" s="0" t="str">
        <f aca="false">HYPERLINK("https://www.ncbi.nlm.nih.gov/nuccore/CP000304.1?report=graph&amp;tracks=[key:gene_model_track,Options:GeneOnly]&amp;mk=479079:479098|offset_8|444444,479059:479078|offset_28|444444,479034:479053|offset_53|00cc00,478984:479003|offset_103|444444&amp;v=478878:479203&amp;c=444444", "offset 53")</f>
        <v>offset 53</v>
      </c>
    </row>
    <row r="1666" customFormat="false" ht="12.8" hidden="false" customHeight="false" outlineLevel="0" collapsed="false">
      <c r="A1666" s="0" t="s">
        <v>12</v>
      </c>
      <c r="B1666" s="0" t="n">
        <v>478983</v>
      </c>
      <c r="C1666" s="0" t="n">
        <v>479003</v>
      </c>
      <c r="D1666" s="0" t="s">
        <v>5539</v>
      </c>
      <c r="E1666" s="0" t="s">
        <v>89</v>
      </c>
      <c r="F1666" s="0" t="s">
        <v>90</v>
      </c>
      <c r="G1666" s="0" t="s">
        <v>16</v>
      </c>
      <c r="H1666" s="0" t="n">
        <v>103</v>
      </c>
      <c r="I1666" s="0" t="s">
        <v>5549</v>
      </c>
      <c r="J1666" s="0" t="s">
        <v>5550</v>
      </c>
      <c r="K1666" s="0" t="s">
        <v>5551</v>
      </c>
      <c r="L1666" s="0" t="str">
        <f aca="false">HYPERLINK("https://www.ncbi.nlm.nih.gov/nuccore/CP000304.1?report=graph&amp;tracks=[key:gene_model_track,Options:GeneOnly]&amp;mk=479079:479098|offset_8|444444,479059:479078|offset_28|444444,479034:479053|offset_53|444444,478984:479003|offset_103|00cc00&amp;v=478878:479203&amp;c=444444", "offset 103")</f>
        <v>offset 103</v>
      </c>
    </row>
    <row r="1667" customFormat="false" ht="12.8" hidden="false" customHeight="false" outlineLevel="0" collapsed="false">
      <c r="A1667" s="0" t="s">
        <v>12</v>
      </c>
      <c r="B1667" s="0" t="n">
        <v>480464</v>
      </c>
      <c r="C1667" s="0" t="n">
        <v>480484</v>
      </c>
      <c r="D1667" s="0" t="s">
        <v>5552</v>
      </c>
      <c r="E1667" s="0" t="s">
        <v>5553</v>
      </c>
      <c r="F1667" s="0" t="s">
        <v>90</v>
      </c>
      <c r="G1667" s="0" t="s">
        <v>36</v>
      </c>
      <c r="H1667" s="0" t="n">
        <v>25</v>
      </c>
      <c r="I1667" s="0" t="s">
        <v>5554</v>
      </c>
      <c r="J1667" s="0" t="s">
        <v>5555</v>
      </c>
      <c r="K1667" s="0" t="s">
        <v>5556</v>
      </c>
      <c r="L1667" s="0" t="str">
        <f aca="false">HYPERLINK("https://www.ncbi.nlm.nih.gov/nuccore/CP000304.1?report=graph&amp;tracks=[key:gene_model_track,Options:GeneOnly]&amp;mk=480465:480484|offset_25|00cc00,480408:480427|offset_82|444444,480354:480373|offset_136|444444,480317:480336|offset_173|444444&amp;v=480264:480536&amp;c=444444", "offset 25")</f>
        <v>offset 25</v>
      </c>
    </row>
    <row r="1668" customFormat="false" ht="12.8" hidden="false" customHeight="false" outlineLevel="0" collapsed="false">
      <c r="A1668" s="0" t="s">
        <v>12</v>
      </c>
      <c r="B1668" s="0" t="n">
        <v>480407</v>
      </c>
      <c r="C1668" s="0" t="n">
        <v>480427</v>
      </c>
      <c r="D1668" s="0" t="s">
        <v>5552</v>
      </c>
      <c r="E1668" s="0" t="s">
        <v>5553</v>
      </c>
      <c r="F1668" s="0" t="s">
        <v>90</v>
      </c>
      <c r="G1668" s="0" t="s">
        <v>16</v>
      </c>
      <c r="H1668" s="0" t="n">
        <v>82</v>
      </c>
      <c r="I1668" s="0" t="s">
        <v>5557</v>
      </c>
      <c r="J1668" s="0" t="s">
        <v>5558</v>
      </c>
      <c r="K1668" s="0" t="s">
        <v>5559</v>
      </c>
      <c r="L1668" s="0" t="str">
        <f aca="false">HYPERLINK("https://www.ncbi.nlm.nih.gov/nuccore/CP000304.1?report=graph&amp;tracks=[key:gene_model_track,Options:GeneOnly]&amp;mk=480465:480484|offset_25|444444,480408:480427|offset_82|00cc00,480354:480373|offset_136|444444,480317:480336|offset_173|444444&amp;v=480264:480536&amp;c=444444", "offset 82")</f>
        <v>offset 82</v>
      </c>
    </row>
    <row r="1669" customFormat="false" ht="12.8" hidden="false" customHeight="false" outlineLevel="0" collapsed="false">
      <c r="A1669" s="0" t="s">
        <v>12</v>
      </c>
      <c r="B1669" s="0" t="n">
        <v>480353</v>
      </c>
      <c r="C1669" s="0" t="n">
        <v>480373</v>
      </c>
      <c r="D1669" s="0" t="s">
        <v>5552</v>
      </c>
      <c r="E1669" s="0" t="s">
        <v>5553</v>
      </c>
      <c r="F1669" s="0" t="s">
        <v>90</v>
      </c>
      <c r="G1669" s="0" t="s">
        <v>36</v>
      </c>
      <c r="H1669" s="0" t="n">
        <v>136</v>
      </c>
      <c r="I1669" s="0" t="s">
        <v>5560</v>
      </c>
      <c r="J1669" s="0" t="s">
        <v>5561</v>
      </c>
      <c r="K1669" s="0" t="s">
        <v>5562</v>
      </c>
      <c r="L1669" s="0" t="str">
        <f aca="false">HYPERLINK("https://www.ncbi.nlm.nih.gov/nuccore/CP000304.1?report=graph&amp;tracks=[key:gene_model_track,Options:GeneOnly]&amp;mk=480465:480484|offset_25|444444,480408:480427|offset_82|444444,480354:480373|offset_136|00cc00,480317:480336|offset_173|444444&amp;v=480264:480536&amp;c=444444", "offset 136")</f>
        <v>offset 136</v>
      </c>
    </row>
    <row r="1670" customFormat="false" ht="12.8" hidden="false" customHeight="false" outlineLevel="0" collapsed="false">
      <c r="A1670" s="0" t="s">
        <v>12</v>
      </c>
      <c r="B1670" s="0" t="n">
        <v>480316</v>
      </c>
      <c r="C1670" s="0" t="n">
        <v>480336</v>
      </c>
      <c r="D1670" s="0" t="s">
        <v>5552</v>
      </c>
      <c r="E1670" s="0" t="s">
        <v>5553</v>
      </c>
      <c r="F1670" s="0" t="s">
        <v>90</v>
      </c>
      <c r="G1670" s="0" t="s">
        <v>16</v>
      </c>
      <c r="H1670" s="0" t="n">
        <v>173</v>
      </c>
      <c r="I1670" s="0" t="s">
        <v>5563</v>
      </c>
      <c r="J1670" s="0" t="s">
        <v>5564</v>
      </c>
      <c r="K1670" s="0" t="s">
        <v>5565</v>
      </c>
      <c r="L1670" s="0" t="str">
        <f aca="false">HYPERLINK("https://www.ncbi.nlm.nih.gov/nuccore/CP000304.1?report=graph&amp;tracks=[key:gene_model_track,Options:GeneOnly]&amp;mk=480465:480484|offset_25|444444,480408:480427|offset_82|444444,480354:480373|offset_136|444444,480317:480336|offset_173|00cc00&amp;v=480264:480536&amp;c=444444", "offset 173")</f>
        <v>offset 173</v>
      </c>
    </row>
    <row r="1671" customFormat="false" ht="12.8" hidden="false" customHeight="false" outlineLevel="0" collapsed="false">
      <c r="A1671" s="0" t="s">
        <v>12</v>
      </c>
      <c r="B1671" s="0" t="n">
        <v>481246</v>
      </c>
      <c r="C1671" s="0" t="n">
        <v>481266</v>
      </c>
      <c r="D1671" s="0" t="s">
        <v>5566</v>
      </c>
      <c r="E1671" s="0" t="s">
        <v>5567</v>
      </c>
      <c r="F1671" s="0" t="s">
        <v>90</v>
      </c>
      <c r="G1671" s="0" t="s">
        <v>32</v>
      </c>
      <c r="H1671" s="0" t="n">
        <v>1</v>
      </c>
      <c r="I1671" s="0" t="s">
        <v>5568</v>
      </c>
      <c r="J1671" s="0" t="s">
        <v>5569</v>
      </c>
      <c r="K1671" s="0" t="s">
        <v>5570</v>
      </c>
      <c r="L1671" s="0" t="str">
        <f aca="false">HYPERLINK("https://www.ncbi.nlm.nih.gov/nuccore/CP000304.1?report=graph&amp;tracks=[key:gene_model_track,Options:GeneOnly]&amp;mk=481247:481266|offset_1|00cc00,481206:481225|offset_42|444444,481181:481200|offset_67|444444,481139:481158|offset_109|444444&amp;v=481046:481358&amp;c=444444", "offset 1")</f>
        <v>offset 1</v>
      </c>
    </row>
    <row r="1672" customFormat="false" ht="12.8" hidden="false" customHeight="false" outlineLevel="0" collapsed="false">
      <c r="A1672" s="0" t="s">
        <v>12</v>
      </c>
      <c r="B1672" s="0" t="n">
        <v>481205</v>
      </c>
      <c r="C1672" s="0" t="n">
        <v>481225</v>
      </c>
      <c r="D1672" s="0" t="s">
        <v>5566</v>
      </c>
      <c r="E1672" s="0" t="s">
        <v>5567</v>
      </c>
      <c r="F1672" s="0" t="s">
        <v>90</v>
      </c>
      <c r="G1672" s="0" t="s">
        <v>16</v>
      </c>
      <c r="H1672" s="0" t="n">
        <v>42</v>
      </c>
      <c r="I1672" s="0" t="s">
        <v>5571</v>
      </c>
      <c r="J1672" s="0" t="s">
        <v>5572</v>
      </c>
      <c r="K1672" s="0" t="s">
        <v>5573</v>
      </c>
      <c r="L1672" s="0" t="str">
        <f aca="false">HYPERLINK("https://www.ncbi.nlm.nih.gov/nuccore/CP000304.1?report=graph&amp;tracks=[key:gene_model_track,Options:GeneOnly]&amp;mk=481247:481266|offset_1|444444,481206:481225|offset_42|00cc00,481181:481200|offset_67|444444,481139:481158|offset_109|444444&amp;v=481046:481358&amp;c=444444", "offset 42")</f>
        <v>offset 42</v>
      </c>
    </row>
    <row r="1673" customFormat="false" ht="12.8" hidden="false" customHeight="false" outlineLevel="0" collapsed="false">
      <c r="A1673" s="0" t="s">
        <v>12</v>
      </c>
      <c r="B1673" s="0" t="n">
        <v>481180</v>
      </c>
      <c r="C1673" s="0" t="n">
        <v>481200</v>
      </c>
      <c r="D1673" s="0" t="s">
        <v>5566</v>
      </c>
      <c r="E1673" s="0" t="s">
        <v>5567</v>
      </c>
      <c r="F1673" s="0" t="s">
        <v>90</v>
      </c>
      <c r="G1673" s="0" t="s">
        <v>36</v>
      </c>
      <c r="H1673" s="0" t="n">
        <v>67</v>
      </c>
      <c r="I1673" s="0" t="s">
        <v>5574</v>
      </c>
      <c r="J1673" s="0" t="s">
        <v>5575</v>
      </c>
      <c r="K1673" s="0" t="s">
        <v>5576</v>
      </c>
      <c r="L1673" s="0" t="str">
        <f aca="false">HYPERLINK("https://www.ncbi.nlm.nih.gov/nuccore/CP000304.1?report=graph&amp;tracks=[key:gene_model_track,Options:GeneOnly]&amp;mk=481247:481266|offset_1|444444,481206:481225|offset_42|444444,481181:481200|offset_67|00cc00,481139:481158|offset_109|444444&amp;v=481046:481358&amp;c=444444", "offset 67")</f>
        <v>offset 67</v>
      </c>
    </row>
    <row r="1674" customFormat="false" ht="12.8" hidden="false" customHeight="false" outlineLevel="0" collapsed="false">
      <c r="A1674" s="0" t="s">
        <v>12</v>
      </c>
      <c r="B1674" s="0" t="n">
        <v>481138</v>
      </c>
      <c r="C1674" s="0" t="n">
        <v>481158</v>
      </c>
      <c r="D1674" s="0" t="s">
        <v>5566</v>
      </c>
      <c r="E1674" s="0" t="s">
        <v>5567</v>
      </c>
      <c r="F1674" s="0" t="s">
        <v>90</v>
      </c>
      <c r="G1674" s="0" t="s">
        <v>36</v>
      </c>
      <c r="H1674" s="0" t="n">
        <v>109</v>
      </c>
      <c r="I1674" s="0" t="s">
        <v>5577</v>
      </c>
      <c r="J1674" s="0" t="s">
        <v>5578</v>
      </c>
      <c r="K1674" s="0" t="s">
        <v>5579</v>
      </c>
      <c r="L1674" s="0" t="str">
        <f aca="false">HYPERLINK("https://www.ncbi.nlm.nih.gov/nuccore/CP000304.1?report=graph&amp;tracks=[key:gene_model_track,Options:GeneOnly]&amp;mk=481247:481266|offset_1|444444,481206:481225|offset_42|444444,481181:481200|offset_67|444444,481139:481158|offset_109|00cc00&amp;v=481046:481358&amp;c=444444", "offset 109")</f>
        <v>offset 109</v>
      </c>
    </row>
    <row r="1675" customFormat="false" ht="12.8" hidden="false" customHeight="false" outlineLevel="0" collapsed="false">
      <c r="A1675" s="0" t="s">
        <v>12</v>
      </c>
      <c r="B1675" s="0" t="n">
        <v>482224</v>
      </c>
      <c r="C1675" s="0" t="n">
        <v>482244</v>
      </c>
      <c r="D1675" s="0" t="s">
        <v>5580</v>
      </c>
      <c r="E1675" s="0" t="s">
        <v>5581</v>
      </c>
      <c r="F1675" s="0" t="s">
        <v>90</v>
      </c>
      <c r="G1675" s="0" t="s">
        <v>26</v>
      </c>
      <c r="H1675" s="0" t="n">
        <v>35</v>
      </c>
      <c r="I1675" s="0" t="s">
        <v>5582</v>
      </c>
      <c r="J1675" s="0" t="s">
        <v>5583</v>
      </c>
      <c r="K1675" s="0" t="s">
        <v>5584</v>
      </c>
      <c r="L1675" s="0" t="str">
        <f aca="false">HYPERLINK("https://www.ncbi.nlm.nih.gov/nuccore/CP000304.1?report=graph&amp;tracks=[key:gene_model_track,Options:GeneOnly]&amp;mk=482225:482244|offset_35|00cc00,482198:482217|offset_62|444444,482176:482195|offset_84|444444,482149:482168|offset_111|444444&amp;v=482024:482368&amp;c=444444", "offset 35")</f>
        <v>offset 35</v>
      </c>
    </row>
    <row r="1676" customFormat="false" ht="12.8" hidden="false" customHeight="false" outlineLevel="0" collapsed="false">
      <c r="A1676" s="0" t="s">
        <v>12</v>
      </c>
      <c r="B1676" s="0" t="n">
        <v>482197</v>
      </c>
      <c r="C1676" s="0" t="n">
        <v>482217</v>
      </c>
      <c r="D1676" s="0" t="s">
        <v>5580</v>
      </c>
      <c r="E1676" s="0" t="s">
        <v>5581</v>
      </c>
      <c r="F1676" s="0" t="s">
        <v>90</v>
      </c>
      <c r="G1676" s="0" t="s">
        <v>32</v>
      </c>
      <c r="H1676" s="0" t="n">
        <v>62</v>
      </c>
      <c r="I1676" s="0" t="s">
        <v>5585</v>
      </c>
      <c r="J1676" s="0" t="s">
        <v>5586</v>
      </c>
      <c r="K1676" s="0" t="s">
        <v>5587</v>
      </c>
      <c r="L1676" s="0" t="str">
        <f aca="false">HYPERLINK("https://www.ncbi.nlm.nih.gov/nuccore/CP000304.1?report=graph&amp;tracks=[key:gene_model_track,Options:GeneOnly]&amp;mk=482225:482244|offset_35|444444,482198:482217|offset_62|00cc00,482176:482195|offset_84|444444,482149:482168|offset_111|444444&amp;v=482024:482368&amp;c=444444", "offset 62")</f>
        <v>offset 62</v>
      </c>
    </row>
    <row r="1677" customFormat="false" ht="12.8" hidden="false" customHeight="false" outlineLevel="0" collapsed="false">
      <c r="A1677" s="0" t="s">
        <v>12</v>
      </c>
      <c r="B1677" s="0" t="n">
        <v>482175</v>
      </c>
      <c r="C1677" s="0" t="n">
        <v>482195</v>
      </c>
      <c r="D1677" s="0" t="s">
        <v>5580</v>
      </c>
      <c r="E1677" s="0" t="s">
        <v>5581</v>
      </c>
      <c r="F1677" s="0" t="s">
        <v>90</v>
      </c>
      <c r="G1677" s="0" t="s">
        <v>36</v>
      </c>
      <c r="H1677" s="0" t="n">
        <v>84</v>
      </c>
      <c r="I1677" s="0" t="s">
        <v>5588</v>
      </c>
      <c r="J1677" s="0" t="s">
        <v>5589</v>
      </c>
      <c r="K1677" s="0" t="s">
        <v>5590</v>
      </c>
      <c r="L1677" s="0" t="str">
        <f aca="false">HYPERLINK("https://www.ncbi.nlm.nih.gov/nuccore/CP000304.1?report=graph&amp;tracks=[key:gene_model_track,Options:GeneOnly]&amp;mk=482225:482244|offset_35|444444,482198:482217|offset_62|444444,482176:482195|offset_84|00cc00,482149:482168|offset_111|444444&amp;v=482024:482368&amp;c=444444", "offset 84")</f>
        <v>offset 84</v>
      </c>
    </row>
    <row r="1678" customFormat="false" ht="12.8" hidden="false" customHeight="false" outlineLevel="0" collapsed="false">
      <c r="A1678" s="0" t="s">
        <v>12</v>
      </c>
      <c r="B1678" s="0" t="n">
        <v>482148</v>
      </c>
      <c r="C1678" s="0" t="n">
        <v>482168</v>
      </c>
      <c r="D1678" s="0" t="s">
        <v>5580</v>
      </c>
      <c r="E1678" s="0" t="s">
        <v>5581</v>
      </c>
      <c r="F1678" s="0" t="s">
        <v>90</v>
      </c>
      <c r="G1678" s="0" t="s">
        <v>16</v>
      </c>
      <c r="H1678" s="0" t="n">
        <v>111</v>
      </c>
      <c r="I1678" s="0" t="s">
        <v>5591</v>
      </c>
      <c r="J1678" s="0" t="s">
        <v>5592</v>
      </c>
      <c r="K1678" s="0" t="s">
        <v>5593</v>
      </c>
      <c r="L1678" s="0" t="str">
        <f aca="false">HYPERLINK("https://www.ncbi.nlm.nih.gov/nuccore/CP000304.1?report=graph&amp;tracks=[key:gene_model_track,Options:GeneOnly]&amp;mk=482225:482244|offset_35|444444,482198:482217|offset_62|444444,482176:482195|offset_84|444444,482149:482168|offset_111|00cc00&amp;v=482024:482368&amp;c=444444", "offset 111")</f>
        <v>offset 111</v>
      </c>
    </row>
    <row r="1679" customFormat="false" ht="12.8" hidden="false" customHeight="false" outlineLevel="0" collapsed="false">
      <c r="A1679" s="0" t="s">
        <v>12</v>
      </c>
      <c r="B1679" s="0" t="n">
        <v>482851</v>
      </c>
      <c r="C1679" s="0" t="n">
        <v>482871</v>
      </c>
      <c r="D1679" s="0" t="s">
        <v>5594</v>
      </c>
      <c r="E1679" s="0" t="s">
        <v>89</v>
      </c>
      <c r="F1679" s="0" t="s">
        <v>90</v>
      </c>
      <c r="G1679" s="0" t="s">
        <v>36</v>
      </c>
      <c r="H1679" s="0" t="n">
        <v>6</v>
      </c>
      <c r="I1679" s="0" t="s">
        <v>5595</v>
      </c>
      <c r="J1679" s="0" t="s">
        <v>5596</v>
      </c>
      <c r="K1679" s="0" t="s">
        <v>5597</v>
      </c>
      <c r="L1679" s="0" t="str">
        <f aca="false">HYPERLINK("https://www.ncbi.nlm.nih.gov/nuccore/CP000304.1?report=graph&amp;tracks=[key:gene_model_track,Options:GeneOnly]&amp;mk=482852:482871|offset_6|00cc00,482829:482848|offset_29|444444,482808:482827|offset_50|444444,482786:482805|offset_72|444444&amp;v=482651:483005&amp;c=444444", "offset 6")</f>
        <v>offset 6</v>
      </c>
    </row>
    <row r="1680" customFormat="false" ht="12.8" hidden="false" customHeight="false" outlineLevel="0" collapsed="false">
      <c r="A1680" s="0" t="s">
        <v>12</v>
      </c>
      <c r="B1680" s="0" t="n">
        <v>482828</v>
      </c>
      <c r="C1680" s="0" t="n">
        <v>482848</v>
      </c>
      <c r="D1680" s="0" t="s">
        <v>5594</v>
      </c>
      <c r="E1680" s="0" t="s">
        <v>89</v>
      </c>
      <c r="F1680" s="0" t="s">
        <v>90</v>
      </c>
      <c r="G1680" s="0" t="s">
        <v>26</v>
      </c>
      <c r="H1680" s="0" t="n">
        <v>29</v>
      </c>
      <c r="I1680" s="0" t="s">
        <v>5598</v>
      </c>
      <c r="J1680" s="0" t="s">
        <v>5599</v>
      </c>
      <c r="K1680" s="0" t="s">
        <v>5600</v>
      </c>
      <c r="L1680" s="0" t="str">
        <f aca="false">HYPERLINK("https://www.ncbi.nlm.nih.gov/nuccore/CP000304.1?report=graph&amp;tracks=[key:gene_model_track,Options:GeneOnly]&amp;mk=482852:482871|offset_6|444444,482829:482848|offset_29|00cc00,482808:482827|offset_50|444444,482786:482805|offset_72|444444&amp;v=482651:483005&amp;c=444444", "offset 29")</f>
        <v>offset 29</v>
      </c>
    </row>
    <row r="1681" customFormat="false" ht="12.8" hidden="false" customHeight="false" outlineLevel="0" collapsed="false">
      <c r="A1681" s="0" t="s">
        <v>12</v>
      </c>
      <c r="B1681" s="0" t="n">
        <v>482807</v>
      </c>
      <c r="C1681" s="0" t="n">
        <v>482827</v>
      </c>
      <c r="D1681" s="0" t="s">
        <v>5594</v>
      </c>
      <c r="E1681" s="0" t="s">
        <v>89</v>
      </c>
      <c r="F1681" s="0" t="s">
        <v>90</v>
      </c>
      <c r="G1681" s="0" t="s">
        <v>16</v>
      </c>
      <c r="H1681" s="0" t="n">
        <v>50</v>
      </c>
      <c r="I1681" s="0" t="s">
        <v>5601</v>
      </c>
      <c r="J1681" s="0" t="s">
        <v>5602</v>
      </c>
      <c r="K1681" s="0" t="s">
        <v>5603</v>
      </c>
      <c r="L1681" s="0" t="str">
        <f aca="false">HYPERLINK("https://www.ncbi.nlm.nih.gov/nuccore/CP000304.1?report=graph&amp;tracks=[key:gene_model_track,Options:GeneOnly]&amp;mk=482852:482871|offset_6|444444,482829:482848|offset_29|444444,482808:482827|offset_50|00cc00,482786:482805|offset_72|444444&amp;v=482651:483005&amp;c=444444", "offset 50")</f>
        <v>offset 50</v>
      </c>
    </row>
    <row r="1682" customFormat="false" ht="12.8" hidden="false" customHeight="false" outlineLevel="0" collapsed="false">
      <c r="A1682" s="0" t="s">
        <v>12</v>
      </c>
      <c r="B1682" s="0" t="n">
        <v>482785</v>
      </c>
      <c r="C1682" s="0" t="n">
        <v>482805</v>
      </c>
      <c r="D1682" s="0" t="s">
        <v>5594</v>
      </c>
      <c r="E1682" s="0" t="s">
        <v>89</v>
      </c>
      <c r="F1682" s="0" t="s">
        <v>90</v>
      </c>
      <c r="G1682" s="0" t="s">
        <v>36</v>
      </c>
      <c r="H1682" s="0" t="n">
        <v>72</v>
      </c>
      <c r="I1682" s="0" t="s">
        <v>5604</v>
      </c>
      <c r="J1682" s="0" t="s">
        <v>5605</v>
      </c>
      <c r="K1682" s="0" t="s">
        <v>5606</v>
      </c>
      <c r="L1682" s="0" t="str">
        <f aca="false">HYPERLINK("https://www.ncbi.nlm.nih.gov/nuccore/CP000304.1?report=graph&amp;tracks=[key:gene_model_track,Options:GeneOnly]&amp;mk=482852:482871|offset_6|444444,482829:482848|offset_29|444444,482808:482827|offset_50|444444,482786:482805|offset_72|00cc00&amp;v=482651:483005&amp;c=444444", "offset 72")</f>
        <v>offset 72</v>
      </c>
    </row>
    <row r="1683" customFormat="false" ht="12.8" hidden="false" customHeight="false" outlineLevel="0" collapsed="false">
      <c r="A1683" s="0" t="s">
        <v>12</v>
      </c>
      <c r="B1683" s="0" t="n">
        <v>483724</v>
      </c>
      <c r="C1683" s="0" t="n">
        <v>483744</v>
      </c>
      <c r="D1683" s="0" t="s">
        <v>5607</v>
      </c>
      <c r="E1683" s="0" t="s">
        <v>5608</v>
      </c>
      <c r="F1683" s="0" t="s">
        <v>90</v>
      </c>
      <c r="G1683" s="0" t="s">
        <v>36</v>
      </c>
      <c r="H1683" s="0" t="n">
        <v>15</v>
      </c>
      <c r="I1683" s="0" t="s">
        <v>5609</v>
      </c>
      <c r="J1683" s="0" t="s">
        <v>5610</v>
      </c>
      <c r="K1683" s="0" t="s">
        <v>5611</v>
      </c>
      <c r="L1683" s="0" t="str">
        <f aca="false">HYPERLINK("https://www.ncbi.nlm.nih.gov/nuccore/CP000304.1?report=graph&amp;tracks=[key:gene_model_track,Options:GeneOnly]&amp;mk=483725:483744|offset_15|00cc00,483700:483719|offset_40|444444,483642:483661|offset_98|444444,483621:483640|offset_119|444444&amp;v=483524:483840&amp;c=444444", "offset 15")</f>
        <v>offset 15</v>
      </c>
    </row>
    <row r="1684" customFormat="false" ht="12.8" hidden="false" customHeight="false" outlineLevel="0" collapsed="false">
      <c r="A1684" s="0" t="s">
        <v>12</v>
      </c>
      <c r="B1684" s="0" t="n">
        <v>483699</v>
      </c>
      <c r="C1684" s="0" t="n">
        <v>483719</v>
      </c>
      <c r="D1684" s="0" t="s">
        <v>5607</v>
      </c>
      <c r="E1684" s="0" t="s">
        <v>5608</v>
      </c>
      <c r="F1684" s="0" t="s">
        <v>90</v>
      </c>
      <c r="G1684" s="0" t="s">
        <v>16</v>
      </c>
      <c r="H1684" s="0" t="n">
        <v>40</v>
      </c>
      <c r="I1684" s="0" t="s">
        <v>5612</v>
      </c>
      <c r="J1684" s="0" t="s">
        <v>5613</v>
      </c>
      <c r="K1684" s="0" t="s">
        <v>5614</v>
      </c>
      <c r="L1684" s="0" t="str">
        <f aca="false">HYPERLINK("https://www.ncbi.nlm.nih.gov/nuccore/CP000304.1?report=graph&amp;tracks=[key:gene_model_track,Options:GeneOnly]&amp;mk=483725:483744|offset_15|444444,483700:483719|offset_40|00cc00,483642:483661|offset_98|444444,483621:483640|offset_119|444444&amp;v=483524:483840&amp;c=444444", "offset 40")</f>
        <v>offset 40</v>
      </c>
    </row>
    <row r="1685" customFormat="false" ht="12.8" hidden="false" customHeight="false" outlineLevel="0" collapsed="false">
      <c r="A1685" s="0" t="s">
        <v>12</v>
      </c>
      <c r="B1685" s="0" t="n">
        <v>483641</v>
      </c>
      <c r="C1685" s="0" t="n">
        <v>483661</v>
      </c>
      <c r="D1685" s="0" t="s">
        <v>5607</v>
      </c>
      <c r="E1685" s="0" t="s">
        <v>5608</v>
      </c>
      <c r="F1685" s="0" t="s">
        <v>90</v>
      </c>
      <c r="G1685" s="0" t="s">
        <v>32</v>
      </c>
      <c r="H1685" s="0" t="n">
        <v>98</v>
      </c>
      <c r="I1685" s="0" t="s">
        <v>5615</v>
      </c>
      <c r="J1685" s="0" t="s">
        <v>5616</v>
      </c>
      <c r="K1685" s="0" t="s">
        <v>5617</v>
      </c>
      <c r="L1685" s="0" t="str">
        <f aca="false">HYPERLINK("https://www.ncbi.nlm.nih.gov/nuccore/CP000304.1?report=graph&amp;tracks=[key:gene_model_track,Options:GeneOnly]&amp;mk=483725:483744|offset_15|444444,483700:483719|offset_40|444444,483642:483661|offset_98|00cc00,483621:483640|offset_119|444444&amp;v=483524:483840&amp;c=444444", "offset 98")</f>
        <v>offset 98</v>
      </c>
    </row>
    <row r="1686" customFormat="false" ht="12.8" hidden="false" customHeight="false" outlineLevel="0" collapsed="false">
      <c r="A1686" s="0" t="s">
        <v>12</v>
      </c>
      <c r="B1686" s="0" t="n">
        <v>483620</v>
      </c>
      <c r="C1686" s="0" t="n">
        <v>483640</v>
      </c>
      <c r="D1686" s="0" t="s">
        <v>5607</v>
      </c>
      <c r="E1686" s="0" t="s">
        <v>5608</v>
      </c>
      <c r="F1686" s="0" t="s">
        <v>90</v>
      </c>
      <c r="G1686" s="0" t="s">
        <v>16</v>
      </c>
      <c r="H1686" s="0" t="n">
        <v>119</v>
      </c>
      <c r="I1686" s="0" t="s">
        <v>5618</v>
      </c>
      <c r="J1686" s="0" t="s">
        <v>5619</v>
      </c>
      <c r="K1686" s="0" t="s">
        <v>5620</v>
      </c>
      <c r="L1686" s="0" t="str">
        <f aca="false">HYPERLINK("https://www.ncbi.nlm.nih.gov/nuccore/CP000304.1?report=graph&amp;tracks=[key:gene_model_track,Options:GeneOnly]&amp;mk=483725:483744|offset_15|444444,483700:483719|offset_40|444444,483642:483661|offset_98|444444,483621:483640|offset_119|00cc00&amp;v=483524:483840&amp;c=444444", "offset 119")</f>
        <v>offset 119</v>
      </c>
    </row>
    <row r="1687" customFormat="false" ht="12.8" hidden="false" customHeight="false" outlineLevel="0" collapsed="false">
      <c r="A1687" s="0" t="s">
        <v>12</v>
      </c>
      <c r="B1687" s="0" t="n">
        <v>483992</v>
      </c>
      <c r="C1687" s="0" t="n">
        <v>484012</v>
      </c>
      <c r="D1687" s="0" t="s">
        <v>5621</v>
      </c>
      <c r="E1687" s="0" t="s">
        <v>5622</v>
      </c>
      <c r="F1687" s="0" t="s">
        <v>15</v>
      </c>
      <c r="G1687" s="0" t="s">
        <v>32</v>
      </c>
      <c r="H1687" s="0" t="n">
        <v>1</v>
      </c>
      <c r="I1687" s="0" t="s">
        <v>5623</v>
      </c>
      <c r="J1687" s="0" t="s">
        <v>5624</v>
      </c>
      <c r="K1687" s="0" t="s">
        <v>5625</v>
      </c>
      <c r="L1687" s="0" t="str">
        <f aca="false">HYPERLINK("https://www.ncbi.nlm.nih.gov/nuccore/CP000304.1?report=graph&amp;tracks=[key:gene_model_track,Options:GeneOnly]&amp;mk=483993:484012|offset_1|00cc00,484054:484073|offset_62|444444,484082:484101|offset_90|444444,484102:484121|offset_110|444444&amp;v=483792:484321&amp;c=444444", "offset 1")</f>
        <v>offset 1</v>
      </c>
    </row>
    <row r="1688" customFormat="false" ht="12.8" hidden="false" customHeight="false" outlineLevel="0" collapsed="false">
      <c r="A1688" s="0" t="s">
        <v>12</v>
      </c>
      <c r="B1688" s="0" t="n">
        <v>484053</v>
      </c>
      <c r="C1688" s="0" t="n">
        <v>484073</v>
      </c>
      <c r="D1688" s="0" t="s">
        <v>5621</v>
      </c>
      <c r="E1688" s="0" t="s">
        <v>5622</v>
      </c>
      <c r="F1688" s="0" t="s">
        <v>15</v>
      </c>
      <c r="G1688" s="0" t="s">
        <v>26</v>
      </c>
      <c r="H1688" s="0" t="n">
        <v>62</v>
      </c>
      <c r="I1688" s="0" t="s">
        <v>5626</v>
      </c>
      <c r="J1688" s="0" t="s">
        <v>5627</v>
      </c>
      <c r="K1688" s="0" t="s">
        <v>5628</v>
      </c>
      <c r="L1688" s="0" t="str">
        <f aca="false">HYPERLINK("https://www.ncbi.nlm.nih.gov/nuccore/CP000304.1?report=graph&amp;tracks=[key:gene_model_track,Options:GeneOnly]&amp;mk=483993:484012|offset_1|444444,484054:484073|offset_62|00cc00,484082:484101|offset_90|444444,484102:484121|offset_110|444444&amp;v=483792:484321&amp;c=444444", "offset 62")</f>
        <v>offset 62</v>
      </c>
    </row>
    <row r="1689" customFormat="false" ht="12.8" hidden="false" customHeight="false" outlineLevel="0" collapsed="false">
      <c r="A1689" s="0" t="s">
        <v>12</v>
      </c>
      <c r="B1689" s="0" t="n">
        <v>484081</v>
      </c>
      <c r="C1689" s="0" t="n">
        <v>484101</v>
      </c>
      <c r="D1689" s="0" t="s">
        <v>5621</v>
      </c>
      <c r="E1689" s="0" t="s">
        <v>5622</v>
      </c>
      <c r="F1689" s="0" t="s">
        <v>15</v>
      </c>
      <c r="G1689" s="0" t="s">
        <v>36</v>
      </c>
      <c r="H1689" s="0" t="n">
        <v>90</v>
      </c>
      <c r="I1689" s="0" t="s">
        <v>5629</v>
      </c>
      <c r="J1689" s="0" t="s">
        <v>5630</v>
      </c>
      <c r="K1689" s="0" t="s">
        <v>5631</v>
      </c>
      <c r="L1689" s="0" t="str">
        <f aca="false">HYPERLINK("https://www.ncbi.nlm.nih.gov/nuccore/CP000304.1?report=graph&amp;tracks=[key:gene_model_track,Options:GeneOnly]&amp;mk=483993:484012|offset_1|444444,484054:484073|offset_62|444444,484082:484101|offset_90|00cc00,484102:484121|offset_110|444444&amp;v=483792:484321&amp;c=444444", "offset 90")</f>
        <v>offset 90</v>
      </c>
    </row>
    <row r="1690" customFormat="false" ht="12.8" hidden="false" customHeight="false" outlineLevel="0" collapsed="false">
      <c r="A1690" s="0" t="s">
        <v>12</v>
      </c>
      <c r="B1690" s="0" t="n">
        <v>484101</v>
      </c>
      <c r="C1690" s="0" t="n">
        <v>484121</v>
      </c>
      <c r="D1690" s="0" t="s">
        <v>5621</v>
      </c>
      <c r="E1690" s="0" t="s">
        <v>5622</v>
      </c>
      <c r="F1690" s="0" t="s">
        <v>15</v>
      </c>
      <c r="G1690" s="0" t="s">
        <v>16</v>
      </c>
      <c r="H1690" s="0" t="n">
        <v>110</v>
      </c>
      <c r="I1690" s="0" t="s">
        <v>5632</v>
      </c>
      <c r="J1690" s="0" t="s">
        <v>5633</v>
      </c>
      <c r="K1690" s="0" t="s">
        <v>5634</v>
      </c>
      <c r="L1690" s="0" t="str">
        <f aca="false">HYPERLINK("https://www.ncbi.nlm.nih.gov/nuccore/CP000304.1?report=graph&amp;tracks=[key:gene_model_track,Options:GeneOnly]&amp;mk=483993:484012|offset_1|444444,484054:484073|offset_62|444444,484082:484101|offset_90|444444,484102:484121|offset_110|00cc00&amp;v=483792:484321&amp;c=444444", "offset 110")</f>
        <v>offset 110</v>
      </c>
    </row>
    <row r="1691" customFormat="false" ht="12.8" hidden="false" customHeight="false" outlineLevel="0" collapsed="false">
      <c r="A1691" s="0" t="s">
        <v>12</v>
      </c>
      <c r="B1691" s="0" t="n">
        <v>485497</v>
      </c>
      <c r="C1691" s="0" t="n">
        <v>485517</v>
      </c>
      <c r="D1691" s="0" t="s">
        <v>5635</v>
      </c>
      <c r="E1691" s="0" t="s">
        <v>5636</v>
      </c>
      <c r="F1691" s="0" t="s">
        <v>15</v>
      </c>
      <c r="G1691" s="0" t="s">
        <v>16</v>
      </c>
      <c r="H1691" s="0" t="n">
        <v>7</v>
      </c>
      <c r="I1691" s="0" t="s">
        <v>5637</v>
      </c>
      <c r="J1691" s="0" t="s">
        <v>5638</v>
      </c>
      <c r="K1691" s="0" t="s">
        <v>5639</v>
      </c>
      <c r="L1691" s="0" t="str">
        <f aca="false">HYPERLINK("https://www.ncbi.nlm.nih.gov/nuccore/CP000304.1?report=graph&amp;tracks=[key:gene_model_track,Options:GeneOnly]&amp;mk=485498:485517|offset_7|00cc00,485544:485563|offset_53|444444,485564:485583|offset_73|444444,485615:485634|offset_124|444444&amp;v=485297:485834&amp;c=444444", "offset 7")</f>
        <v>offset 7</v>
      </c>
    </row>
    <row r="1692" customFormat="false" ht="12.8" hidden="false" customHeight="false" outlineLevel="0" collapsed="false">
      <c r="A1692" s="0" t="s">
        <v>12</v>
      </c>
      <c r="B1692" s="0" t="n">
        <v>485543</v>
      </c>
      <c r="C1692" s="0" t="n">
        <v>485563</v>
      </c>
      <c r="D1692" s="0" t="s">
        <v>5635</v>
      </c>
      <c r="E1692" s="0" t="s">
        <v>5636</v>
      </c>
      <c r="F1692" s="0" t="s">
        <v>15</v>
      </c>
      <c r="G1692" s="0" t="s">
        <v>32</v>
      </c>
      <c r="H1692" s="0" t="n">
        <v>53</v>
      </c>
      <c r="I1692" s="0" t="s">
        <v>5640</v>
      </c>
      <c r="J1692" s="0" t="s">
        <v>5641</v>
      </c>
      <c r="K1692" s="0" t="s">
        <v>5642</v>
      </c>
      <c r="L1692" s="0" t="str">
        <f aca="false">HYPERLINK("https://www.ncbi.nlm.nih.gov/nuccore/CP000304.1?report=graph&amp;tracks=[key:gene_model_track,Options:GeneOnly]&amp;mk=485498:485517|offset_7|444444,485544:485563|offset_53|00cc00,485564:485583|offset_73|444444,485615:485634|offset_124|444444&amp;v=485297:485834&amp;c=444444", "offset 53")</f>
        <v>offset 53</v>
      </c>
    </row>
    <row r="1693" customFormat="false" ht="12.8" hidden="false" customHeight="false" outlineLevel="0" collapsed="false">
      <c r="A1693" s="0" t="s">
        <v>12</v>
      </c>
      <c r="B1693" s="0" t="n">
        <v>485563</v>
      </c>
      <c r="C1693" s="0" t="n">
        <v>485583</v>
      </c>
      <c r="D1693" s="0" t="s">
        <v>5635</v>
      </c>
      <c r="E1693" s="0" t="s">
        <v>5636</v>
      </c>
      <c r="F1693" s="0" t="s">
        <v>15</v>
      </c>
      <c r="G1693" s="0" t="s">
        <v>36</v>
      </c>
      <c r="H1693" s="0" t="n">
        <v>73</v>
      </c>
      <c r="I1693" s="0" t="s">
        <v>5643</v>
      </c>
      <c r="J1693" s="0" t="s">
        <v>5644</v>
      </c>
      <c r="K1693" s="0" t="s">
        <v>5645</v>
      </c>
      <c r="L1693" s="0" t="str">
        <f aca="false">HYPERLINK("https://www.ncbi.nlm.nih.gov/nuccore/CP000304.1?report=graph&amp;tracks=[key:gene_model_track,Options:GeneOnly]&amp;mk=485498:485517|offset_7|444444,485544:485563|offset_53|444444,485564:485583|offset_73|00cc00,485615:485634|offset_124|444444&amp;v=485297:485834&amp;c=444444", "offset 73")</f>
        <v>offset 73</v>
      </c>
    </row>
    <row r="1694" customFormat="false" ht="12.8" hidden="false" customHeight="false" outlineLevel="0" collapsed="false">
      <c r="A1694" s="0" t="s">
        <v>12</v>
      </c>
      <c r="B1694" s="0" t="n">
        <v>485614</v>
      </c>
      <c r="C1694" s="0" t="n">
        <v>485634</v>
      </c>
      <c r="D1694" s="0" t="s">
        <v>5635</v>
      </c>
      <c r="E1694" s="0" t="s">
        <v>5636</v>
      </c>
      <c r="F1694" s="0" t="s">
        <v>15</v>
      </c>
      <c r="G1694" s="0" t="s">
        <v>16</v>
      </c>
      <c r="H1694" s="0" t="n">
        <v>124</v>
      </c>
      <c r="I1694" s="0" t="s">
        <v>5646</v>
      </c>
      <c r="J1694" s="0" t="s">
        <v>5647</v>
      </c>
      <c r="K1694" s="0" t="s">
        <v>5648</v>
      </c>
      <c r="L1694" s="0" t="str">
        <f aca="false">HYPERLINK("https://www.ncbi.nlm.nih.gov/nuccore/CP000304.1?report=graph&amp;tracks=[key:gene_model_track,Options:GeneOnly]&amp;mk=485498:485517|offset_7|444444,485544:485563|offset_53|444444,485564:485583|offset_73|444444,485615:485634|offset_124|00cc00&amp;v=485297:485834&amp;c=444444", "offset 124")</f>
        <v>offset 124</v>
      </c>
    </row>
    <row r="1695" customFormat="false" ht="12.8" hidden="false" customHeight="false" outlineLevel="0" collapsed="false">
      <c r="A1695" s="0" t="s">
        <v>12</v>
      </c>
      <c r="B1695" s="0" t="n">
        <v>486583</v>
      </c>
      <c r="C1695" s="0" t="n">
        <v>486603</v>
      </c>
      <c r="D1695" s="0" t="s">
        <v>5649</v>
      </c>
      <c r="E1695" s="0" t="s">
        <v>5650</v>
      </c>
      <c r="F1695" s="0" t="s">
        <v>15</v>
      </c>
      <c r="G1695" s="0" t="s">
        <v>16</v>
      </c>
      <c r="H1695" s="0" t="n">
        <v>25</v>
      </c>
      <c r="I1695" s="0" t="s">
        <v>5651</v>
      </c>
      <c r="J1695" s="0" t="s">
        <v>5652</v>
      </c>
      <c r="K1695" s="0" t="s">
        <v>5653</v>
      </c>
      <c r="L1695" s="0" t="str">
        <f aca="false">HYPERLINK("https://www.ncbi.nlm.nih.gov/nuccore/CP000304.1?report=graph&amp;tracks=[key:gene_model_track,Options:GeneOnly]&amp;mk=486584:486603|offset_25|00cc00,486614:486633|offset_55|444444,486659:486678|offset_100|444444,486702:486721|offset_143|444444&amp;v=486383:486921&amp;c=444444", "offset 25")</f>
        <v>offset 25</v>
      </c>
    </row>
    <row r="1696" customFormat="false" ht="12.8" hidden="false" customHeight="false" outlineLevel="0" collapsed="false">
      <c r="A1696" s="0" t="s">
        <v>12</v>
      </c>
      <c r="B1696" s="0" t="n">
        <v>486613</v>
      </c>
      <c r="C1696" s="0" t="n">
        <v>486633</v>
      </c>
      <c r="D1696" s="0" t="s">
        <v>5649</v>
      </c>
      <c r="E1696" s="0" t="s">
        <v>5650</v>
      </c>
      <c r="F1696" s="0" t="s">
        <v>15</v>
      </c>
      <c r="G1696" s="0" t="s">
        <v>16</v>
      </c>
      <c r="H1696" s="0" t="n">
        <v>55</v>
      </c>
      <c r="I1696" s="0" t="s">
        <v>5654</v>
      </c>
      <c r="J1696" s="0" t="s">
        <v>5655</v>
      </c>
      <c r="K1696" s="0" t="s">
        <v>5656</v>
      </c>
      <c r="L1696" s="0" t="str">
        <f aca="false">HYPERLINK("https://www.ncbi.nlm.nih.gov/nuccore/CP000304.1?report=graph&amp;tracks=[key:gene_model_track,Options:GeneOnly]&amp;mk=486584:486603|offset_25|444444,486614:486633|offset_55|00cc00,486659:486678|offset_100|444444,486702:486721|offset_143|444444&amp;v=486383:486921&amp;c=444444", "offset 55")</f>
        <v>offset 55</v>
      </c>
    </row>
    <row r="1697" customFormat="false" ht="12.8" hidden="false" customHeight="false" outlineLevel="0" collapsed="false">
      <c r="A1697" s="0" t="s">
        <v>12</v>
      </c>
      <c r="B1697" s="0" t="n">
        <v>486658</v>
      </c>
      <c r="C1697" s="0" t="n">
        <v>486678</v>
      </c>
      <c r="D1697" s="0" t="s">
        <v>5649</v>
      </c>
      <c r="E1697" s="0" t="s">
        <v>5650</v>
      </c>
      <c r="F1697" s="0" t="s">
        <v>15</v>
      </c>
      <c r="G1697" s="0" t="s">
        <v>32</v>
      </c>
      <c r="H1697" s="0" t="n">
        <v>100</v>
      </c>
      <c r="I1697" s="0" t="s">
        <v>5657</v>
      </c>
      <c r="J1697" s="0" t="s">
        <v>5658</v>
      </c>
      <c r="K1697" s="0" t="s">
        <v>5659</v>
      </c>
      <c r="L1697" s="0" t="str">
        <f aca="false">HYPERLINK("https://www.ncbi.nlm.nih.gov/nuccore/CP000304.1?report=graph&amp;tracks=[key:gene_model_track,Options:GeneOnly]&amp;mk=486584:486603|offset_25|444444,486614:486633|offset_55|444444,486659:486678|offset_100|00cc00,486702:486721|offset_143|444444&amp;v=486383:486921&amp;c=444444", "offset 100")</f>
        <v>offset 100</v>
      </c>
    </row>
    <row r="1698" customFormat="false" ht="12.8" hidden="false" customHeight="false" outlineLevel="0" collapsed="false">
      <c r="A1698" s="0" t="s">
        <v>12</v>
      </c>
      <c r="B1698" s="0" t="n">
        <v>486701</v>
      </c>
      <c r="C1698" s="0" t="n">
        <v>486721</v>
      </c>
      <c r="D1698" s="0" t="s">
        <v>5649</v>
      </c>
      <c r="E1698" s="0" t="s">
        <v>5650</v>
      </c>
      <c r="F1698" s="0" t="s">
        <v>15</v>
      </c>
      <c r="G1698" s="0" t="s">
        <v>36</v>
      </c>
      <c r="H1698" s="0" t="n">
        <v>143</v>
      </c>
      <c r="I1698" s="0" t="s">
        <v>5660</v>
      </c>
      <c r="J1698" s="0" t="s">
        <v>5661</v>
      </c>
      <c r="K1698" s="0" t="s">
        <v>5662</v>
      </c>
      <c r="L1698" s="0" t="str">
        <f aca="false">HYPERLINK("https://www.ncbi.nlm.nih.gov/nuccore/CP000304.1?report=graph&amp;tracks=[key:gene_model_track,Options:GeneOnly]&amp;mk=486584:486603|offset_25|444444,486614:486633|offset_55|444444,486659:486678|offset_100|444444,486702:486721|offset_143|00cc00&amp;v=486383:486921&amp;c=444444", "offset 143")</f>
        <v>offset 143</v>
      </c>
    </row>
    <row r="1699" customFormat="false" ht="12.8" hidden="false" customHeight="false" outlineLevel="0" collapsed="false">
      <c r="A1699" s="0" t="s">
        <v>12</v>
      </c>
      <c r="B1699" s="0" t="n">
        <v>487865</v>
      </c>
      <c r="C1699" s="0" t="n">
        <v>487885</v>
      </c>
      <c r="D1699" s="0" t="s">
        <v>5663</v>
      </c>
      <c r="E1699" s="0" t="s">
        <v>5664</v>
      </c>
      <c r="F1699" s="0" t="s">
        <v>15</v>
      </c>
      <c r="G1699" s="0" t="s">
        <v>16</v>
      </c>
      <c r="H1699" s="0" t="n">
        <v>16</v>
      </c>
      <c r="I1699" s="0" t="s">
        <v>5665</v>
      </c>
      <c r="J1699" s="0" t="s">
        <v>5666</v>
      </c>
      <c r="K1699" s="0" t="s">
        <v>5667</v>
      </c>
      <c r="L1699" s="0" t="str">
        <f aca="false">HYPERLINK("https://www.ncbi.nlm.nih.gov/nuccore/CP000304.1?report=graph&amp;tracks=[key:gene_model_track,Options:GeneOnly]&amp;mk=487866:487885|offset_16|00cc00,487890:487909|offset_40|444444,487926:487945|offset_76|444444,487956:487975|offset_106|444444&amp;v=487665:488175&amp;c=444444", "offset 16")</f>
        <v>offset 16</v>
      </c>
    </row>
    <row r="1700" customFormat="false" ht="12.8" hidden="false" customHeight="false" outlineLevel="0" collapsed="false">
      <c r="A1700" s="0" t="s">
        <v>12</v>
      </c>
      <c r="B1700" s="0" t="n">
        <v>487889</v>
      </c>
      <c r="C1700" s="0" t="n">
        <v>487909</v>
      </c>
      <c r="D1700" s="0" t="s">
        <v>5663</v>
      </c>
      <c r="E1700" s="0" t="s">
        <v>5664</v>
      </c>
      <c r="F1700" s="0" t="s">
        <v>15</v>
      </c>
      <c r="G1700" s="0" t="s">
        <v>32</v>
      </c>
      <c r="H1700" s="0" t="n">
        <v>40</v>
      </c>
      <c r="I1700" s="0" t="s">
        <v>5668</v>
      </c>
      <c r="J1700" s="0" t="s">
        <v>5669</v>
      </c>
      <c r="K1700" s="0" t="s">
        <v>5670</v>
      </c>
      <c r="L1700" s="0" t="str">
        <f aca="false">HYPERLINK("https://www.ncbi.nlm.nih.gov/nuccore/CP000304.1?report=graph&amp;tracks=[key:gene_model_track,Options:GeneOnly]&amp;mk=487866:487885|offset_16|444444,487890:487909|offset_40|00cc00,487926:487945|offset_76|444444,487956:487975|offset_106|444444&amp;v=487665:488175&amp;c=444444", "offset 40")</f>
        <v>offset 40</v>
      </c>
    </row>
    <row r="1701" customFormat="false" ht="12.8" hidden="false" customHeight="false" outlineLevel="0" collapsed="false">
      <c r="A1701" s="0" t="s">
        <v>12</v>
      </c>
      <c r="B1701" s="0" t="n">
        <v>487925</v>
      </c>
      <c r="C1701" s="0" t="n">
        <v>487945</v>
      </c>
      <c r="D1701" s="0" t="s">
        <v>5663</v>
      </c>
      <c r="E1701" s="0" t="s">
        <v>5664</v>
      </c>
      <c r="F1701" s="0" t="s">
        <v>15</v>
      </c>
      <c r="G1701" s="0" t="s">
        <v>32</v>
      </c>
      <c r="H1701" s="0" t="n">
        <v>76</v>
      </c>
      <c r="I1701" s="0" t="s">
        <v>5671</v>
      </c>
      <c r="J1701" s="0" t="s">
        <v>5672</v>
      </c>
      <c r="K1701" s="0" t="s">
        <v>5673</v>
      </c>
      <c r="L1701" s="0" t="str">
        <f aca="false">HYPERLINK("https://www.ncbi.nlm.nih.gov/nuccore/CP000304.1?report=graph&amp;tracks=[key:gene_model_track,Options:GeneOnly]&amp;mk=487866:487885|offset_16|444444,487890:487909|offset_40|444444,487926:487945|offset_76|00cc00,487956:487975|offset_106|444444&amp;v=487665:488175&amp;c=444444", "offset 76")</f>
        <v>offset 76</v>
      </c>
    </row>
    <row r="1702" customFormat="false" ht="12.8" hidden="false" customHeight="false" outlineLevel="0" collapsed="false">
      <c r="A1702" s="0" t="s">
        <v>12</v>
      </c>
      <c r="B1702" s="0" t="n">
        <v>487955</v>
      </c>
      <c r="C1702" s="0" t="n">
        <v>487975</v>
      </c>
      <c r="D1702" s="0" t="s">
        <v>5663</v>
      </c>
      <c r="E1702" s="0" t="s">
        <v>5664</v>
      </c>
      <c r="F1702" s="0" t="s">
        <v>15</v>
      </c>
      <c r="G1702" s="0" t="s">
        <v>16</v>
      </c>
      <c r="H1702" s="0" t="n">
        <v>106</v>
      </c>
      <c r="I1702" s="0" t="s">
        <v>5674</v>
      </c>
      <c r="J1702" s="0" t="s">
        <v>5675</v>
      </c>
      <c r="K1702" s="0" t="s">
        <v>5676</v>
      </c>
      <c r="L1702" s="0" t="str">
        <f aca="false">HYPERLINK("https://www.ncbi.nlm.nih.gov/nuccore/CP000304.1?report=graph&amp;tracks=[key:gene_model_track,Options:GeneOnly]&amp;mk=487866:487885|offset_16|444444,487890:487909|offset_40|444444,487926:487945|offset_76|444444,487956:487975|offset_106|00cc00&amp;v=487665:488175&amp;c=444444", "offset 106")</f>
        <v>offset 106</v>
      </c>
    </row>
    <row r="1703" customFormat="false" ht="12.8" hidden="false" customHeight="false" outlineLevel="0" collapsed="false">
      <c r="A1703" s="0" t="s">
        <v>12</v>
      </c>
      <c r="B1703" s="0" t="n">
        <v>488281</v>
      </c>
      <c r="C1703" s="0" t="n">
        <v>488301</v>
      </c>
      <c r="D1703" s="0" t="s">
        <v>5677</v>
      </c>
      <c r="E1703" s="0" t="s">
        <v>89</v>
      </c>
      <c r="F1703" s="0" t="s">
        <v>15</v>
      </c>
      <c r="G1703" s="0" t="s">
        <v>16</v>
      </c>
      <c r="H1703" s="0" t="n">
        <v>7</v>
      </c>
      <c r="I1703" s="0" t="s">
        <v>5678</v>
      </c>
      <c r="J1703" s="0" t="s">
        <v>5679</v>
      </c>
      <c r="K1703" s="0" t="s">
        <v>5680</v>
      </c>
      <c r="L1703" s="0" t="str">
        <f aca="false">HYPERLINK("https://www.ncbi.nlm.nih.gov/nuccore/CP000304.1?report=graph&amp;tracks=[key:gene_model_track,Options:GeneOnly]&amp;mk=488282:488301|offset_7|00cc00,488304:488323|offset_29|444444,488349:488368|offset_74|444444,488372:488391|offset_97|444444&amp;v=488081:488591&amp;c=444444", "offset 7")</f>
        <v>offset 7</v>
      </c>
    </row>
    <row r="1704" customFormat="false" ht="12.8" hidden="false" customHeight="false" outlineLevel="0" collapsed="false">
      <c r="A1704" s="0" t="s">
        <v>12</v>
      </c>
      <c r="B1704" s="0" t="n">
        <v>488303</v>
      </c>
      <c r="C1704" s="0" t="n">
        <v>488323</v>
      </c>
      <c r="D1704" s="0" t="s">
        <v>5677</v>
      </c>
      <c r="E1704" s="0" t="s">
        <v>89</v>
      </c>
      <c r="F1704" s="0" t="s">
        <v>15</v>
      </c>
      <c r="G1704" s="0" t="s">
        <v>26</v>
      </c>
      <c r="H1704" s="0" t="n">
        <v>29</v>
      </c>
      <c r="I1704" s="0" t="s">
        <v>5681</v>
      </c>
      <c r="J1704" s="0" t="s">
        <v>5682</v>
      </c>
      <c r="K1704" s="0" t="s">
        <v>5683</v>
      </c>
      <c r="L1704" s="0" t="str">
        <f aca="false">HYPERLINK("https://www.ncbi.nlm.nih.gov/nuccore/CP000304.1?report=graph&amp;tracks=[key:gene_model_track,Options:GeneOnly]&amp;mk=488282:488301|offset_7|444444,488304:488323|offset_29|00cc00,488349:488368|offset_74|444444,488372:488391|offset_97|444444&amp;v=488081:488591&amp;c=444444", "offset 29")</f>
        <v>offset 29</v>
      </c>
    </row>
    <row r="1705" customFormat="false" ht="12.8" hidden="false" customHeight="false" outlineLevel="0" collapsed="false">
      <c r="A1705" s="0" t="s">
        <v>12</v>
      </c>
      <c r="B1705" s="0" t="n">
        <v>488348</v>
      </c>
      <c r="C1705" s="0" t="n">
        <v>488368</v>
      </c>
      <c r="D1705" s="0" t="s">
        <v>5677</v>
      </c>
      <c r="E1705" s="0" t="s">
        <v>89</v>
      </c>
      <c r="F1705" s="0" t="s">
        <v>15</v>
      </c>
      <c r="G1705" s="0" t="s">
        <v>26</v>
      </c>
      <c r="H1705" s="0" t="n">
        <v>74</v>
      </c>
      <c r="I1705" s="0" t="s">
        <v>5684</v>
      </c>
      <c r="J1705" s="0" t="s">
        <v>5685</v>
      </c>
      <c r="K1705" s="0" t="s">
        <v>5686</v>
      </c>
      <c r="L1705" s="0" t="str">
        <f aca="false">HYPERLINK("https://www.ncbi.nlm.nih.gov/nuccore/CP000304.1?report=graph&amp;tracks=[key:gene_model_track,Options:GeneOnly]&amp;mk=488282:488301|offset_7|444444,488304:488323|offset_29|444444,488349:488368|offset_74|00cc00,488372:488391|offset_97|444444&amp;v=488081:488591&amp;c=444444", "offset 74")</f>
        <v>offset 74</v>
      </c>
    </row>
    <row r="1706" customFormat="false" ht="12.8" hidden="false" customHeight="false" outlineLevel="0" collapsed="false">
      <c r="A1706" s="0" t="s">
        <v>12</v>
      </c>
      <c r="B1706" s="0" t="n">
        <v>488371</v>
      </c>
      <c r="C1706" s="0" t="n">
        <v>488391</v>
      </c>
      <c r="D1706" s="0" t="s">
        <v>5677</v>
      </c>
      <c r="E1706" s="0" t="s">
        <v>89</v>
      </c>
      <c r="F1706" s="0" t="s">
        <v>15</v>
      </c>
      <c r="G1706" s="0" t="s">
        <v>16</v>
      </c>
      <c r="H1706" s="0" t="n">
        <v>97</v>
      </c>
      <c r="I1706" s="0" t="s">
        <v>5687</v>
      </c>
      <c r="J1706" s="0" t="s">
        <v>5688</v>
      </c>
      <c r="K1706" s="0" t="s">
        <v>5689</v>
      </c>
      <c r="L1706" s="0" t="str">
        <f aca="false">HYPERLINK("https://www.ncbi.nlm.nih.gov/nuccore/CP000304.1?report=graph&amp;tracks=[key:gene_model_track,Options:GeneOnly]&amp;mk=488282:488301|offset_7|444444,488304:488323|offset_29|444444,488349:488368|offset_74|444444,488372:488391|offset_97|00cc00&amp;v=488081:488591&amp;c=444444", "offset 97")</f>
        <v>offset 97</v>
      </c>
    </row>
    <row r="1707" customFormat="false" ht="12.8" hidden="false" customHeight="false" outlineLevel="0" collapsed="false">
      <c r="A1707" s="0" t="s">
        <v>12</v>
      </c>
      <c r="B1707" s="0" t="n">
        <v>490693</v>
      </c>
      <c r="C1707" s="0" t="n">
        <v>490713</v>
      </c>
      <c r="D1707" s="0" t="s">
        <v>5690</v>
      </c>
      <c r="E1707" s="0" t="s">
        <v>89</v>
      </c>
      <c r="F1707" s="0" t="s">
        <v>15</v>
      </c>
      <c r="G1707" s="0" t="s">
        <v>32</v>
      </c>
      <c r="H1707" s="0" t="n">
        <v>22</v>
      </c>
      <c r="I1707" s="0" t="s">
        <v>5691</v>
      </c>
      <c r="J1707" s="0" t="s">
        <v>5692</v>
      </c>
      <c r="K1707" s="0" t="s">
        <v>5693</v>
      </c>
      <c r="L1707" s="0" t="str">
        <f aca="false">HYPERLINK("https://www.ncbi.nlm.nih.gov/nuccore/CP000304.1?report=graph&amp;tracks=[key:gene_model_track,Options:GeneOnly]&amp;mk=490694:490713|offset_22|00cc00,490753:490772|offset_81|444444,490785:490804|offset_113|444444,490811:490830|offset_139|444444&amp;v=490493:491030&amp;c=444444", "offset 22")</f>
        <v>offset 22</v>
      </c>
    </row>
    <row r="1708" customFormat="false" ht="12.8" hidden="false" customHeight="false" outlineLevel="0" collapsed="false">
      <c r="A1708" s="0" t="s">
        <v>12</v>
      </c>
      <c r="B1708" s="0" t="n">
        <v>490752</v>
      </c>
      <c r="C1708" s="0" t="n">
        <v>490772</v>
      </c>
      <c r="D1708" s="0" t="s">
        <v>5690</v>
      </c>
      <c r="E1708" s="0" t="s">
        <v>89</v>
      </c>
      <c r="F1708" s="0" t="s">
        <v>15</v>
      </c>
      <c r="G1708" s="0" t="s">
        <v>16</v>
      </c>
      <c r="H1708" s="0" t="n">
        <v>81</v>
      </c>
      <c r="I1708" s="0" t="s">
        <v>5694</v>
      </c>
      <c r="J1708" s="0" t="s">
        <v>5695</v>
      </c>
      <c r="K1708" s="0" t="s">
        <v>5696</v>
      </c>
      <c r="L1708" s="0" t="str">
        <f aca="false">HYPERLINK("https://www.ncbi.nlm.nih.gov/nuccore/CP000304.1?report=graph&amp;tracks=[key:gene_model_track,Options:GeneOnly]&amp;mk=490694:490713|offset_22|444444,490753:490772|offset_81|00cc00,490785:490804|offset_113|444444,490811:490830|offset_139|444444&amp;v=490493:491030&amp;c=444444", "offset 81")</f>
        <v>offset 81</v>
      </c>
    </row>
    <row r="1709" customFormat="false" ht="12.8" hidden="false" customHeight="false" outlineLevel="0" collapsed="false">
      <c r="A1709" s="0" t="s">
        <v>12</v>
      </c>
      <c r="B1709" s="0" t="n">
        <v>490784</v>
      </c>
      <c r="C1709" s="0" t="n">
        <v>490804</v>
      </c>
      <c r="D1709" s="0" t="s">
        <v>5690</v>
      </c>
      <c r="E1709" s="0" t="s">
        <v>89</v>
      </c>
      <c r="F1709" s="0" t="s">
        <v>15</v>
      </c>
      <c r="G1709" s="0" t="s">
        <v>26</v>
      </c>
      <c r="H1709" s="0" t="n">
        <v>113</v>
      </c>
      <c r="I1709" s="0" t="s">
        <v>5697</v>
      </c>
      <c r="J1709" s="0" t="s">
        <v>5698</v>
      </c>
      <c r="K1709" s="0" t="s">
        <v>5699</v>
      </c>
      <c r="L1709" s="0" t="str">
        <f aca="false">HYPERLINK("https://www.ncbi.nlm.nih.gov/nuccore/CP000304.1?report=graph&amp;tracks=[key:gene_model_track,Options:GeneOnly]&amp;mk=490694:490713|offset_22|444444,490753:490772|offset_81|444444,490785:490804|offset_113|00cc00,490811:490830|offset_139|444444&amp;v=490493:491030&amp;c=444444", "offset 113")</f>
        <v>offset 113</v>
      </c>
    </row>
    <row r="1710" customFormat="false" ht="12.8" hidden="false" customHeight="false" outlineLevel="0" collapsed="false">
      <c r="A1710" s="0" t="s">
        <v>12</v>
      </c>
      <c r="B1710" s="0" t="n">
        <v>490810</v>
      </c>
      <c r="C1710" s="0" t="n">
        <v>490830</v>
      </c>
      <c r="D1710" s="0" t="s">
        <v>5690</v>
      </c>
      <c r="E1710" s="0" t="s">
        <v>89</v>
      </c>
      <c r="F1710" s="0" t="s">
        <v>15</v>
      </c>
      <c r="G1710" s="0" t="s">
        <v>26</v>
      </c>
      <c r="H1710" s="0" t="n">
        <v>139</v>
      </c>
      <c r="I1710" s="0" t="s">
        <v>5700</v>
      </c>
      <c r="J1710" s="0" t="s">
        <v>5701</v>
      </c>
      <c r="K1710" s="0" t="s">
        <v>5702</v>
      </c>
      <c r="L1710" s="0" t="str">
        <f aca="false">HYPERLINK("https://www.ncbi.nlm.nih.gov/nuccore/CP000304.1?report=graph&amp;tracks=[key:gene_model_track,Options:GeneOnly]&amp;mk=490694:490713|offset_22|444444,490753:490772|offset_81|444444,490785:490804|offset_113|444444,490811:490830|offset_139|00cc00&amp;v=490493:491030&amp;c=444444", "offset 139")</f>
        <v>offset 139</v>
      </c>
    </row>
    <row r="1711" customFormat="false" ht="12.8" hidden="false" customHeight="false" outlineLevel="0" collapsed="false">
      <c r="A1711" s="0" t="s">
        <v>12</v>
      </c>
      <c r="B1711" s="0" t="n">
        <v>492489</v>
      </c>
      <c r="C1711" s="0" t="n">
        <v>492509</v>
      </c>
      <c r="D1711" s="0" t="s">
        <v>5703</v>
      </c>
      <c r="E1711" s="0" t="s">
        <v>5704</v>
      </c>
      <c r="F1711" s="0" t="s">
        <v>15</v>
      </c>
      <c r="G1711" s="0" t="s">
        <v>36</v>
      </c>
      <c r="H1711" s="0" t="n">
        <v>0</v>
      </c>
      <c r="I1711" s="0" t="s">
        <v>5705</v>
      </c>
      <c r="J1711" s="0" t="s">
        <v>5706</v>
      </c>
      <c r="K1711" s="0" t="s">
        <v>5707</v>
      </c>
      <c r="L1711" s="0" t="str">
        <f aca="false">HYPERLINK("https://www.ncbi.nlm.nih.gov/nuccore/CP000304.1?report=graph&amp;tracks=[key:gene_model_track,Options:GeneOnly]&amp;mk=492490:492509|offset_0|00cc00,492550:492569|offset_60|444444,492578:492597|offset_88|444444,492609:492628|offset_119|444444&amp;v=492289:492828&amp;c=444444", "offset 0")</f>
        <v>offset 0</v>
      </c>
    </row>
    <row r="1712" customFormat="false" ht="12.8" hidden="false" customHeight="false" outlineLevel="0" collapsed="false">
      <c r="A1712" s="0" t="s">
        <v>12</v>
      </c>
      <c r="B1712" s="0" t="n">
        <v>492549</v>
      </c>
      <c r="C1712" s="0" t="n">
        <v>492569</v>
      </c>
      <c r="D1712" s="0" t="s">
        <v>5703</v>
      </c>
      <c r="E1712" s="0" t="s">
        <v>5704</v>
      </c>
      <c r="F1712" s="0" t="s">
        <v>15</v>
      </c>
      <c r="G1712" s="0" t="s">
        <v>16</v>
      </c>
      <c r="H1712" s="0" t="n">
        <v>60</v>
      </c>
      <c r="I1712" s="0" t="s">
        <v>5708</v>
      </c>
      <c r="J1712" s="0" t="s">
        <v>5709</v>
      </c>
      <c r="K1712" s="0" t="s">
        <v>5710</v>
      </c>
      <c r="L1712" s="0" t="str">
        <f aca="false">HYPERLINK("https://www.ncbi.nlm.nih.gov/nuccore/CP000304.1?report=graph&amp;tracks=[key:gene_model_track,Options:GeneOnly]&amp;mk=492490:492509|offset_0|444444,492550:492569|offset_60|00cc00,492578:492597|offset_88|444444,492609:492628|offset_119|444444&amp;v=492289:492828&amp;c=444444", "offset 60")</f>
        <v>offset 60</v>
      </c>
    </row>
    <row r="1713" customFormat="false" ht="12.8" hidden="false" customHeight="false" outlineLevel="0" collapsed="false">
      <c r="A1713" s="0" t="s">
        <v>12</v>
      </c>
      <c r="B1713" s="0" t="n">
        <v>492577</v>
      </c>
      <c r="C1713" s="0" t="n">
        <v>492597</v>
      </c>
      <c r="D1713" s="0" t="s">
        <v>5703</v>
      </c>
      <c r="E1713" s="0" t="s">
        <v>5704</v>
      </c>
      <c r="F1713" s="0" t="s">
        <v>15</v>
      </c>
      <c r="G1713" s="0" t="s">
        <v>26</v>
      </c>
      <c r="H1713" s="0" t="n">
        <v>88</v>
      </c>
      <c r="I1713" s="0" t="s">
        <v>5711</v>
      </c>
      <c r="J1713" s="0" t="s">
        <v>5712</v>
      </c>
      <c r="K1713" s="0" t="s">
        <v>5713</v>
      </c>
      <c r="L1713" s="0" t="str">
        <f aca="false">HYPERLINK("https://www.ncbi.nlm.nih.gov/nuccore/CP000304.1?report=graph&amp;tracks=[key:gene_model_track,Options:GeneOnly]&amp;mk=492490:492509|offset_0|444444,492550:492569|offset_60|444444,492578:492597|offset_88|00cc00,492609:492628|offset_119|444444&amp;v=492289:492828&amp;c=444444", "offset 88")</f>
        <v>offset 88</v>
      </c>
    </row>
    <row r="1714" customFormat="false" ht="12.8" hidden="false" customHeight="false" outlineLevel="0" collapsed="false">
      <c r="A1714" s="0" t="s">
        <v>12</v>
      </c>
      <c r="B1714" s="0" t="n">
        <v>492608</v>
      </c>
      <c r="C1714" s="0" t="n">
        <v>492628</v>
      </c>
      <c r="D1714" s="0" t="s">
        <v>5703</v>
      </c>
      <c r="E1714" s="0" t="s">
        <v>5704</v>
      </c>
      <c r="F1714" s="0" t="s">
        <v>15</v>
      </c>
      <c r="G1714" s="0" t="s">
        <v>36</v>
      </c>
      <c r="H1714" s="0" t="n">
        <v>119</v>
      </c>
      <c r="I1714" s="0" t="s">
        <v>5714</v>
      </c>
      <c r="J1714" s="0" t="s">
        <v>5715</v>
      </c>
      <c r="K1714" s="0" t="s">
        <v>5716</v>
      </c>
      <c r="L1714" s="0" t="str">
        <f aca="false">HYPERLINK("https://www.ncbi.nlm.nih.gov/nuccore/CP000304.1?report=graph&amp;tracks=[key:gene_model_track,Options:GeneOnly]&amp;mk=492490:492509|offset_0|444444,492550:492569|offset_60|444444,492578:492597|offset_88|444444,492609:492628|offset_119|00cc00&amp;v=492289:492828&amp;c=444444", "offset 119")</f>
        <v>offset 119</v>
      </c>
    </row>
    <row r="1715" customFormat="false" ht="12.8" hidden="false" customHeight="false" outlineLevel="0" collapsed="false">
      <c r="A1715" s="0" t="s">
        <v>12</v>
      </c>
      <c r="B1715" s="0" t="n">
        <v>492704</v>
      </c>
      <c r="C1715" s="0" t="n">
        <v>492724</v>
      </c>
      <c r="D1715" s="0" t="s">
        <v>5717</v>
      </c>
      <c r="E1715" s="0" t="s">
        <v>5718</v>
      </c>
      <c r="F1715" s="0" t="s">
        <v>15</v>
      </c>
      <c r="G1715" s="0" t="s">
        <v>36</v>
      </c>
      <c r="H1715" s="0" t="n">
        <v>12</v>
      </c>
      <c r="I1715" s="0" t="s">
        <v>5719</v>
      </c>
      <c r="J1715" s="0" t="s">
        <v>5720</v>
      </c>
      <c r="K1715" s="0" t="s">
        <v>5721</v>
      </c>
      <c r="L1715" s="0" t="str">
        <f aca="false">HYPERLINK("https://www.ncbi.nlm.nih.gov/nuccore/CP000304.1?report=graph&amp;tracks=[key:gene_model_track,Options:GeneOnly]&amp;mk=492705:492724|offset_12|00cc00,492733:492752|offset_40|444444,492758:492777|offset_65|444444,492780:492799|offset_87|444444&amp;v=492504:492999&amp;c=444444", "offset 12")</f>
        <v>offset 12</v>
      </c>
    </row>
    <row r="1716" customFormat="false" ht="12.8" hidden="false" customHeight="false" outlineLevel="0" collapsed="false">
      <c r="A1716" s="0" t="s">
        <v>12</v>
      </c>
      <c r="B1716" s="0" t="n">
        <v>492732</v>
      </c>
      <c r="C1716" s="0" t="n">
        <v>492752</v>
      </c>
      <c r="D1716" s="0" t="s">
        <v>5717</v>
      </c>
      <c r="E1716" s="0" t="s">
        <v>5718</v>
      </c>
      <c r="F1716" s="0" t="s">
        <v>15</v>
      </c>
      <c r="G1716" s="0" t="s">
        <v>16</v>
      </c>
      <c r="H1716" s="0" t="n">
        <v>40</v>
      </c>
      <c r="I1716" s="0" t="s">
        <v>5722</v>
      </c>
      <c r="J1716" s="0" t="s">
        <v>5723</v>
      </c>
      <c r="K1716" s="0" t="s">
        <v>5724</v>
      </c>
      <c r="L1716" s="0" t="str">
        <f aca="false">HYPERLINK("https://www.ncbi.nlm.nih.gov/nuccore/CP000304.1?report=graph&amp;tracks=[key:gene_model_track,Options:GeneOnly]&amp;mk=492705:492724|offset_12|444444,492733:492752|offset_40|00cc00,492758:492777|offset_65|444444,492780:492799|offset_87|444444&amp;v=492504:492999&amp;c=444444", "offset 40")</f>
        <v>offset 40</v>
      </c>
    </row>
    <row r="1717" customFormat="false" ht="12.8" hidden="false" customHeight="false" outlineLevel="0" collapsed="false">
      <c r="A1717" s="0" t="s">
        <v>12</v>
      </c>
      <c r="B1717" s="0" t="n">
        <v>492757</v>
      </c>
      <c r="C1717" s="0" t="n">
        <v>492777</v>
      </c>
      <c r="D1717" s="0" t="s">
        <v>5717</v>
      </c>
      <c r="E1717" s="0" t="s">
        <v>5718</v>
      </c>
      <c r="F1717" s="0" t="s">
        <v>15</v>
      </c>
      <c r="G1717" s="0" t="s">
        <v>16</v>
      </c>
      <c r="H1717" s="0" t="n">
        <v>65</v>
      </c>
      <c r="I1717" s="0" t="s">
        <v>5725</v>
      </c>
      <c r="J1717" s="0" t="s">
        <v>5726</v>
      </c>
      <c r="K1717" s="0" t="s">
        <v>5727</v>
      </c>
      <c r="L1717" s="0" t="str">
        <f aca="false">HYPERLINK("https://www.ncbi.nlm.nih.gov/nuccore/CP000304.1?report=graph&amp;tracks=[key:gene_model_track,Options:GeneOnly]&amp;mk=492705:492724|offset_12|444444,492733:492752|offset_40|444444,492758:492777|offset_65|00cc00,492780:492799|offset_87|444444&amp;v=492504:492999&amp;c=444444", "offset 65")</f>
        <v>offset 65</v>
      </c>
    </row>
    <row r="1718" customFormat="false" ht="12.8" hidden="false" customHeight="false" outlineLevel="0" collapsed="false">
      <c r="A1718" s="0" t="s">
        <v>12</v>
      </c>
      <c r="B1718" s="0" t="n">
        <v>492779</v>
      </c>
      <c r="C1718" s="0" t="n">
        <v>492799</v>
      </c>
      <c r="D1718" s="0" t="s">
        <v>5717</v>
      </c>
      <c r="E1718" s="0" t="s">
        <v>5718</v>
      </c>
      <c r="F1718" s="0" t="s">
        <v>15</v>
      </c>
      <c r="G1718" s="0" t="s">
        <v>16</v>
      </c>
      <c r="H1718" s="0" t="n">
        <v>87</v>
      </c>
      <c r="I1718" s="0" t="s">
        <v>5728</v>
      </c>
      <c r="J1718" s="0" t="s">
        <v>5729</v>
      </c>
      <c r="K1718" s="0" t="s">
        <v>5730</v>
      </c>
      <c r="L1718" s="0" t="str">
        <f aca="false">HYPERLINK("https://www.ncbi.nlm.nih.gov/nuccore/CP000304.1?report=graph&amp;tracks=[key:gene_model_track,Options:GeneOnly]&amp;mk=492705:492724|offset_12|444444,492733:492752|offset_40|444444,492758:492777|offset_65|444444,492780:492799|offset_87|00cc00&amp;v=492504:492999&amp;c=444444", "offset 87")</f>
        <v>offset 87</v>
      </c>
    </row>
    <row r="1719" customFormat="false" ht="12.8" hidden="false" customHeight="false" outlineLevel="0" collapsed="false">
      <c r="A1719" s="0" t="s">
        <v>12</v>
      </c>
      <c r="B1719" s="0" t="n">
        <v>494025</v>
      </c>
      <c r="C1719" s="0" t="n">
        <v>494045</v>
      </c>
      <c r="D1719" s="0" t="s">
        <v>5731</v>
      </c>
      <c r="E1719" s="0" t="s">
        <v>5732</v>
      </c>
      <c r="F1719" s="0" t="s">
        <v>15</v>
      </c>
      <c r="G1719" s="0" t="s">
        <v>36</v>
      </c>
      <c r="H1719" s="0" t="n">
        <v>44</v>
      </c>
      <c r="I1719" s="0" t="s">
        <v>5733</v>
      </c>
      <c r="J1719" s="0" t="s">
        <v>5734</v>
      </c>
      <c r="K1719" s="0" t="s">
        <v>5735</v>
      </c>
      <c r="L1719" s="0" t="str">
        <f aca="false">HYPERLINK("https://www.ncbi.nlm.nih.gov/nuccore/CP000304.1?report=graph&amp;tracks=[key:gene_model_track,Options:GeneOnly]&amp;mk=494026:494045|offset_44|00cc00,494049:494068|offset_67|444444,494079:494098|offset_97|444444,494109:494128|offset_127|444444&amp;v=493825:494328&amp;c=444444", "offset 44")</f>
        <v>offset 44</v>
      </c>
    </row>
    <row r="1720" customFormat="false" ht="12.8" hidden="false" customHeight="false" outlineLevel="0" collapsed="false">
      <c r="A1720" s="0" t="s">
        <v>12</v>
      </c>
      <c r="B1720" s="0" t="n">
        <v>494048</v>
      </c>
      <c r="C1720" s="0" t="n">
        <v>494068</v>
      </c>
      <c r="D1720" s="0" t="s">
        <v>5731</v>
      </c>
      <c r="E1720" s="0" t="s">
        <v>5732</v>
      </c>
      <c r="F1720" s="0" t="s">
        <v>15</v>
      </c>
      <c r="G1720" s="0" t="s">
        <v>16</v>
      </c>
      <c r="H1720" s="0" t="n">
        <v>67</v>
      </c>
      <c r="I1720" s="0" t="s">
        <v>5736</v>
      </c>
      <c r="J1720" s="0" t="s">
        <v>5737</v>
      </c>
      <c r="K1720" s="0" t="s">
        <v>5738</v>
      </c>
      <c r="L1720" s="0" t="str">
        <f aca="false">HYPERLINK("https://www.ncbi.nlm.nih.gov/nuccore/CP000304.1?report=graph&amp;tracks=[key:gene_model_track,Options:GeneOnly]&amp;mk=494026:494045|offset_44|444444,494049:494068|offset_67|00cc00,494079:494098|offset_97|444444,494109:494128|offset_127|444444&amp;v=493825:494328&amp;c=444444", "offset 67")</f>
        <v>offset 67</v>
      </c>
    </row>
    <row r="1721" customFormat="false" ht="12.8" hidden="false" customHeight="false" outlineLevel="0" collapsed="false">
      <c r="A1721" s="0" t="s">
        <v>12</v>
      </c>
      <c r="B1721" s="0" t="n">
        <v>494078</v>
      </c>
      <c r="C1721" s="0" t="n">
        <v>494098</v>
      </c>
      <c r="D1721" s="0" t="s">
        <v>5731</v>
      </c>
      <c r="E1721" s="0" t="s">
        <v>5732</v>
      </c>
      <c r="F1721" s="0" t="s">
        <v>15</v>
      </c>
      <c r="G1721" s="0" t="s">
        <v>32</v>
      </c>
      <c r="H1721" s="0" t="n">
        <v>97</v>
      </c>
      <c r="I1721" s="0" t="s">
        <v>5739</v>
      </c>
      <c r="J1721" s="0" t="s">
        <v>5740</v>
      </c>
      <c r="K1721" s="0" t="s">
        <v>5741</v>
      </c>
      <c r="L1721" s="0" t="str">
        <f aca="false">HYPERLINK("https://www.ncbi.nlm.nih.gov/nuccore/CP000304.1?report=graph&amp;tracks=[key:gene_model_track,Options:GeneOnly]&amp;mk=494026:494045|offset_44|444444,494049:494068|offset_67|444444,494079:494098|offset_97|00cc00,494109:494128|offset_127|444444&amp;v=493825:494328&amp;c=444444", "offset 97")</f>
        <v>offset 97</v>
      </c>
    </row>
    <row r="1722" customFormat="false" ht="12.8" hidden="false" customHeight="false" outlineLevel="0" collapsed="false">
      <c r="A1722" s="0" t="s">
        <v>12</v>
      </c>
      <c r="B1722" s="0" t="n">
        <v>494108</v>
      </c>
      <c r="C1722" s="0" t="n">
        <v>494128</v>
      </c>
      <c r="D1722" s="0" t="s">
        <v>5731</v>
      </c>
      <c r="E1722" s="0" t="s">
        <v>5732</v>
      </c>
      <c r="F1722" s="0" t="s">
        <v>15</v>
      </c>
      <c r="G1722" s="0" t="s">
        <v>16</v>
      </c>
      <c r="H1722" s="0" t="n">
        <v>127</v>
      </c>
      <c r="I1722" s="0" t="s">
        <v>5742</v>
      </c>
      <c r="J1722" s="0" t="s">
        <v>5743</v>
      </c>
      <c r="K1722" s="0" t="s">
        <v>5744</v>
      </c>
      <c r="L1722" s="0" t="str">
        <f aca="false">HYPERLINK("https://www.ncbi.nlm.nih.gov/nuccore/CP000304.1?report=graph&amp;tracks=[key:gene_model_track,Options:GeneOnly]&amp;mk=494026:494045|offset_44|444444,494049:494068|offset_67|444444,494079:494098|offset_97|444444,494109:494128|offset_127|00cc00&amp;v=493825:494328&amp;c=444444", "offset 127")</f>
        <v>offset 127</v>
      </c>
    </row>
    <row r="1723" customFormat="false" ht="12.8" hidden="false" customHeight="false" outlineLevel="0" collapsed="false">
      <c r="A1723" s="0" t="s">
        <v>12</v>
      </c>
      <c r="B1723" s="0" t="n">
        <v>494452</v>
      </c>
      <c r="C1723" s="0" t="n">
        <v>494472</v>
      </c>
      <c r="D1723" s="0" t="s">
        <v>5745</v>
      </c>
      <c r="E1723" s="0" t="s">
        <v>89</v>
      </c>
      <c r="F1723" s="0" t="s">
        <v>15</v>
      </c>
      <c r="G1723" s="0" t="s">
        <v>16</v>
      </c>
      <c r="H1723" s="0" t="n">
        <v>11</v>
      </c>
      <c r="I1723" s="0" t="s">
        <v>5746</v>
      </c>
      <c r="J1723" s="0" t="s">
        <v>5747</v>
      </c>
      <c r="K1723" s="0" t="s">
        <v>5748</v>
      </c>
      <c r="L1723" s="0" t="str">
        <f aca="false">HYPERLINK("https://www.ncbi.nlm.nih.gov/nuccore/CP000304.1?report=graph&amp;tracks=[key:gene_model_track,Options:GeneOnly]&amp;mk=494453:494472|offset_11|00cc00,494477:494496|offset_35|444444,494498:494517|offset_56|444444,494540:494559|offset_98|444444&amp;v=494252:494759&amp;c=444444", "offset 11")</f>
        <v>offset 11</v>
      </c>
    </row>
    <row r="1724" customFormat="false" ht="12.8" hidden="false" customHeight="false" outlineLevel="0" collapsed="false">
      <c r="A1724" s="0" t="s">
        <v>12</v>
      </c>
      <c r="B1724" s="0" t="n">
        <v>494476</v>
      </c>
      <c r="C1724" s="0" t="n">
        <v>494496</v>
      </c>
      <c r="D1724" s="0" t="s">
        <v>5745</v>
      </c>
      <c r="E1724" s="0" t="s">
        <v>89</v>
      </c>
      <c r="F1724" s="0" t="s">
        <v>15</v>
      </c>
      <c r="G1724" s="0" t="s">
        <v>16</v>
      </c>
      <c r="H1724" s="0" t="n">
        <v>35</v>
      </c>
      <c r="I1724" s="0" t="s">
        <v>5749</v>
      </c>
      <c r="J1724" s="0" t="s">
        <v>5750</v>
      </c>
      <c r="K1724" s="0" t="s">
        <v>5751</v>
      </c>
      <c r="L1724" s="0" t="str">
        <f aca="false">HYPERLINK("https://www.ncbi.nlm.nih.gov/nuccore/CP000304.1?report=graph&amp;tracks=[key:gene_model_track,Options:GeneOnly]&amp;mk=494453:494472|offset_11|444444,494477:494496|offset_35|00cc00,494498:494517|offset_56|444444,494540:494559|offset_98|444444&amp;v=494252:494759&amp;c=444444", "offset 35")</f>
        <v>offset 35</v>
      </c>
    </row>
    <row r="1725" customFormat="false" ht="12.8" hidden="false" customHeight="false" outlineLevel="0" collapsed="false">
      <c r="A1725" s="0" t="s">
        <v>12</v>
      </c>
      <c r="B1725" s="0" t="n">
        <v>494497</v>
      </c>
      <c r="C1725" s="0" t="n">
        <v>494517</v>
      </c>
      <c r="D1725" s="0" t="s">
        <v>5745</v>
      </c>
      <c r="E1725" s="0" t="s">
        <v>89</v>
      </c>
      <c r="F1725" s="0" t="s">
        <v>15</v>
      </c>
      <c r="G1725" s="0" t="s">
        <v>16</v>
      </c>
      <c r="H1725" s="0" t="n">
        <v>56</v>
      </c>
      <c r="I1725" s="0" t="s">
        <v>5752</v>
      </c>
      <c r="J1725" s="0" t="s">
        <v>5753</v>
      </c>
      <c r="K1725" s="0" t="s">
        <v>5754</v>
      </c>
      <c r="L1725" s="0" t="str">
        <f aca="false">HYPERLINK("https://www.ncbi.nlm.nih.gov/nuccore/CP000304.1?report=graph&amp;tracks=[key:gene_model_track,Options:GeneOnly]&amp;mk=494453:494472|offset_11|444444,494477:494496|offset_35|444444,494498:494517|offset_56|00cc00,494540:494559|offset_98|444444&amp;v=494252:494759&amp;c=444444", "offset 56")</f>
        <v>offset 56</v>
      </c>
    </row>
    <row r="1726" customFormat="false" ht="12.8" hidden="false" customHeight="false" outlineLevel="0" collapsed="false">
      <c r="A1726" s="0" t="s">
        <v>12</v>
      </c>
      <c r="B1726" s="0" t="n">
        <v>494539</v>
      </c>
      <c r="C1726" s="0" t="n">
        <v>494559</v>
      </c>
      <c r="D1726" s="0" t="s">
        <v>5745</v>
      </c>
      <c r="E1726" s="0" t="s">
        <v>89</v>
      </c>
      <c r="F1726" s="0" t="s">
        <v>15</v>
      </c>
      <c r="G1726" s="0" t="s">
        <v>26</v>
      </c>
      <c r="H1726" s="0" t="n">
        <v>98</v>
      </c>
      <c r="I1726" s="0" t="s">
        <v>5755</v>
      </c>
      <c r="J1726" s="0" t="s">
        <v>5756</v>
      </c>
      <c r="K1726" s="0" t="s">
        <v>5757</v>
      </c>
      <c r="L1726" s="0" t="str">
        <f aca="false">HYPERLINK("https://www.ncbi.nlm.nih.gov/nuccore/CP000304.1?report=graph&amp;tracks=[key:gene_model_track,Options:GeneOnly]&amp;mk=494453:494472|offset_11|444444,494477:494496|offset_35|444444,494498:494517|offset_56|444444,494540:494559|offset_98|00cc00&amp;v=494252:494759&amp;c=444444", "offset 98")</f>
        <v>offset 98</v>
      </c>
    </row>
    <row r="1727" customFormat="false" ht="12.8" hidden="false" customHeight="false" outlineLevel="0" collapsed="false">
      <c r="A1727" s="0" t="s">
        <v>12</v>
      </c>
      <c r="B1727" s="0" t="n">
        <v>495838</v>
      </c>
      <c r="C1727" s="0" t="n">
        <v>495858</v>
      </c>
      <c r="D1727" s="0" t="s">
        <v>5758</v>
      </c>
      <c r="E1727" s="0" t="s">
        <v>89</v>
      </c>
      <c r="F1727" s="0" t="s">
        <v>90</v>
      </c>
      <c r="G1727" s="0" t="s">
        <v>16</v>
      </c>
      <c r="H1727" s="0" t="n">
        <v>8</v>
      </c>
      <c r="I1727" s="0" t="s">
        <v>5759</v>
      </c>
      <c r="J1727" s="0" t="s">
        <v>5760</v>
      </c>
      <c r="K1727" s="0" t="s">
        <v>5761</v>
      </c>
      <c r="L1727" s="0" t="str">
        <f aca="false">HYPERLINK("https://www.ncbi.nlm.nih.gov/nuccore/CP000304.1?report=graph&amp;tracks=[key:gene_model_track,Options:GeneOnly]&amp;mk=495839:495858|offset_8|00cc00,495819:495838|offset_28|444444,495798:495817|offset_49|444444,495765:495784|offset_82|444444&amp;v=495638:495984&amp;c=444444", "offset 8")</f>
        <v>offset 8</v>
      </c>
    </row>
    <row r="1728" customFormat="false" ht="12.8" hidden="false" customHeight="false" outlineLevel="0" collapsed="false">
      <c r="A1728" s="0" t="s">
        <v>12</v>
      </c>
      <c r="B1728" s="0" t="n">
        <v>495818</v>
      </c>
      <c r="C1728" s="0" t="n">
        <v>495838</v>
      </c>
      <c r="D1728" s="0" t="s">
        <v>5758</v>
      </c>
      <c r="E1728" s="0" t="s">
        <v>89</v>
      </c>
      <c r="F1728" s="0" t="s">
        <v>90</v>
      </c>
      <c r="G1728" s="0" t="s">
        <v>16</v>
      </c>
      <c r="H1728" s="0" t="n">
        <v>28</v>
      </c>
      <c r="I1728" s="0" t="s">
        <v>5762</v>
      </c>
      <c r="J1728" s="0" t="s">
        <v>5763</v>
      </c>
      <c r="K1728" s="0" t="s">
        <v>5764</v>
      </c>
      <c r="L1728" s="0" t="str">
        <f aca="false">HYPERLINK("https://www.ncbi.nlm.nih.gov/nuccore/CP000304.1?report=graph&amp;tracks=[key:gene_model_track,Options:GeneOnly]&amp;mk=495839:495858|offset_8|444444,495819:495838|offset_28|00cc00,495798:495817|offset_49|444444,495765:495784|offset_82|444444&amp;v=495638:495984&amp;c=444444", "offset 28")</f>
        <v>offset 28</v>
      </c>
    </row>
    <row r="1729" customFormat="false" ht="12.8" hidden="false" customHeight="false" outlineLevel="0" collapsed="false">
      <c r="A1729" s="0" t="s">
        <v>12</v>
      </c>
      <c r="B1729" s="0" t="n">
        <v>495797</v>
      </c>
      <c r="C1729" s="0" t="n">
        <v>495817</v>
      </c>
      <c r="D1729" s="0" t="s">
        <v>5758</v>
      </c>
      <c r="E1729" s="0" t="s">
        <v>89</v>
      </c>
      <c r="F1729" s="0" t="s">
        <v>90</v>
      </c>
      <c r="G1729" s="0" t="s">
        <v>16</v>
      </c>
      <c r="H1729" s="0" t="n">
        <v>49</v>
      </c>
      <c r="I1729" s="0" t="s">
        <v>5765</v>
      </c>
      <c r="J1729" s="0" t="s">
        <v>5766</v>
      </c>
      <c r="K1729" s="0" t="s">
        <v>5767</v>
      </c>
      <c r="L1729" s="0" t="str">
        <f aca="false">HYPERLINK("https://www.ncbi.nlm.nih.gov/nuccore/CP000304.1?report=graph&amp;tracks=[key:gene_model_track,Options:GeneOnly]&amp;mk=495839:495858|offset_8|444444,495819:495838|offset_28|444444,495798:495817|offset_49|00cc00,495765:495784|offset_82|444444&amp;v=495638:495984&amp;c=444444", "offset 49")</f>
        <v>offset 49</v>
      </c>
    </row>
    <row r="1730" customFormat="false" ht="12.8" hidden="false" customHeight="false" outlineLevel="0" collapsed="false">
      <c r="A1730" s="0" t="s">
        <v>12</v>
      </c>
      <c r="B1730" s="0" t="n">
        <v>495764</v>
      </c>
      <c r="C1730" s="0" t="n">
        <v>495784</v>
      </c>
      <c r="D1730" s="0" t="s">
        <v>5758</v>
      </c>
      <c r="E1730" s="0" t="s">
        <v>89</v>
      </c>
      <c r="F1730" s="0" t="s">
        <v>90</v>
      </c>
      <c r="G1730" s="0" t="s">
        <v>16</v>
      </c>
      <c r="H1730" s="0" t="n">
        <v>82</v>
      </c>
      <c r="I1730" s="0" t="s">
        <v>5768</v>
      </c>
      <c r="J1730" s="0" t="s">
        <v>5769</v>
      </c>
      <c r="K1730" s="0" t="s">
        <v>5770</v>
      </c>
      <c r="L1730" s="0" t="str">
        <f aca="false">HYPERLINK("https://www.ncbi.nlm.nih.gov/nuccore/CP000304.1?report=graph&amp;tracks=[key:gene_model_track,Options:GeneOnly]&amp;mk=495839:495858|offset_8|444444,495819:495838|offset_28|444444,495798:495817|offset_49|444444,495765:495784|offset_82|00cc00&amp;v=495638:495984&amp;c=444444", "offset 82")</f>
        <v>offset 82</v>
      </c>
    </row>
    <row r="1731" customFormat="false" ht="12.8" hidden="false" customHeight="false" outlineLevel="0" collapsed="false">
      <c r="A1731" s="0" t="s">
        <v>12</v>
      </c>
      <c r="B1731" s="0" t="n">
        <v>496047</v>
      </c>
      <c r="C1731" s="0" t="n">
        <v>496067</v>
      </c>
      <c r="D1731" s="0" t="s">
        <v>5771</v>
      </c>
      <c r="E1731" s="0" t="s">
        <v>5772</v>
      </c>
      <c r="F1731" s="0" t="s">
        <v>15</v>
      </c>
      <c r="G1731" s="0" t="s">
        <v>16</v>
      </c>
      <c r="H1731" s="0" t="n">
        <v>7</v>
      </c>
      <c r="I1731" s="0" t="s">
        <v>5773</v>
      </c>
      <c r="J1731" s="0" t="s">
        <v>5774</v>
      </c>
      <c r="K1731" s="0" t="s">
        <v>5775</v>
      </c>
      <c r="L1731" s="0" t="str">
        <f aca="false">HYPERLINK("https://www.ncbi.nlm.nih.gov/nuccore/CP000304.1?report=graph&amp;tracks=[key:gene_model_track,Options:GeneOnly]&amp;mk=496048:496067|offset_7|00cc00,496102:496121|offset_61|444444,496126:496145|offset_85|444444,496147:496166|offset_106|444444&amp;v=495847:496366&amp;c=444444", "offset 7")</f>
        <v>offset 7</v>
      </c>
    </row>
    <row r="1732" customFormat="false" ht="12.8" hidden="false" customHeight="false" outlineLevel="0" collapsed="false">
      <c r="A1732" s="0" t="s">
        <v>12</v>
      </c>
      <c r="B1732" s="0" t="n">
        <v>496101</v>
      </c>
      <c r="C1732" s="0" t="n">
        <v>496121</v>
      </c>
      <c r="D1732" s="0" t="s">
        <v>5771</v>
      </c>
      <c r="E1732" s="0" t="s">
        <v>5772</v>
      </c>
      <c r="F1732" s="0" t="s">
        <v>15</v>
      </c>
      <c r="G1732" s="0" t="s">
        <v>16</v>
      </c>
      <c r="H1732" s="0" t="n">
        <v>61</v>
      </c>
      <c r="I1732" s="0" t="s">
        <v>5776</v>
      </c>
      <c r="J1732" s="0" t="s">
        <v>5777</v>
      </c>
      <c r="K1732" s="0" t="s">
        <v>5778</v>
      </c>
      <c r="L1732" s="0" t="str">
        <f aca="false">HYPERLINK("https://www.ncbi.nlm.nih.gov/nuccore/CP000304.1?report=graph&amp;tracks=[key:gene_model_track,Options:GeneOnly]&amp;mk=496048:496067|offset_7|444444,496102:496121|offset_61|00cc00,496126:496145|offset_85|444444,496147:496166|offset_106|444444&amp;v=495847:496366&amp;c=444444", "offset 61")</f>
        <v>offset 61</v>
      </c>
    </row>
    <row r="1733" customFormat="false" ht="12.8" hidden="false" customHeight="false" outlineLevel="0" collapsed="false">
      <c r="A1733" s="0" t="s">
        <v>12</v>
      </c>
      <c r="B1733" s="0" t="n">
        <v>496125</v>
      </c>
      <c r="C1733" s="0" t="n">
        <v>496145</v>
      </c>
      <c r="D1733" s="0" t="s">
        <v>5771</v>
      </c>
      <c r="E1733" s="0" t="s">
        <v>5772</v>
      </c>
      <c r="F1733" s="0" t="s">
        <v>15</v>
      </c>
      <c r="G1733" s="0" t="s">
        <v>32</v>
      </c>
      <c r="H1733" s="0" t="n">
        <v>85</v>
      </c>
      <c r="I1733" s="0" t="s">
        <v>5779</v>
      </c>
      <c r="J1733" s="0" t="s">
        <v>5780</v>
      </c>
      <c r="K1733" s="0" t="s">
        <v>5781</v>
      </c>
      <c r="L1733" s="0" t="str">
        <f aca="false">HYPERLINK("https://www.ncbi.nlm.nih.gov/nuccore/CP000304.1?report=graph&amp;tracks=[key:gene_model_track,Options:GeneOnly]&amp;mk=496048:496067|offset_7|444444,496102:496121|offset_61|444444,496126:496145|offset_85|00cc00,496147:496166|offset_106|444444&amp;v=495847:496366&amp;c=444444", "offset 85")</f>
        <v>offset 85</v>
      </c>
    </row>
    <row r="1734" customFormat="false" ht="12.8" hidden="false" customHeight="false" outlineLevel="0" collapsed="false">
      <c r="A1734" s="0" t="s">
        <v>12</v>
      </c>
      <c r="B1734" s="0" t="n">
        <v>496146</v>
      </c>
      <c r="C1734" s="0" t="n">
        <v>496166</v>
      </c>
      <c r="D1734" s="0" t="s">
        <v>5771</v>
      </c>
      <c r="E1734" s="0" t="s">
        <v>5772</v>
      </c>
      <c r="F1734" s="0" t="s">
        <v>15</v>
      </c>
      <c r="G1734" s="0" t="s">
        <v>16</v>
      </c>
      <c r="H1734" s="0" t="n">
        <v>106</v>
      </c>
      <c r="I1734" s="0" t="s">
        <v>5782</v>
      </c>
      <c r="J1734" s="0" t="s">
        <v>5783</v>
      </c>
      <c r="K1734" s="0" t="s">
        <v>5784</v>
      </c>
      <c r="L1734" s="0" t="str">
        <f aca="false">HYPERLINK("https://www.ncbi.nlm.nih.gov/nuccore/CP000304.1?report=graph&amp;tracks=[key:gene_model_track,Options:GeneOnly]&amp;mk=496048:496067|offset_7|444444,496102:496121|offset_61|444444,496126:496145|offset_85|444444,496147:496166|offset_106|00cc00&amp;v=495847:496366&amp;c=444444", "offset 106")</f>
        <v>offset 106</v>
      </c>
    </row>
    <row r="1735" customFormat="false" ht="12.8" hidden="false" customHeight="false" outlineLevel="0" collapsed="false">
      <c r="A1735" s="0" t="s">
        <v>12</v>
      </c>
      <c r="B1735" s="0" t="n">
        <v>497288</v>
      </c>
      <c r="C1735" s="0" t="n">
        <v>497308</v>
      </c>
      <c r="D1735" s="0" t="s">
        <v>5785</v>
      </c>
      <c r="E1735" s="0" t="s">
        <v>89</v>
      </c>
      <c r="F1735" s="0" t="s">
        <v>15</v>
      </c>
      <c r="G1735" s="0" t="s">
        <v>32</v>
      </c>
      <c r="H1735" s="0" t="n">
        <v>1</v>
      </c>
      <c r="I1735" s="0" t="s">
        <v>5786</v>
      </c>
      <c r="J1735" s="0" t="s">
        <v>5787</v>
      </c>
      <c r="K1735" s="0" t="s">
        <v>5788</v>
      </c>
      <c r="L1735" s="0" t="str">
        <f aca="false">HYPERLINK("https://www.ncbi.nlm.nih.gov/nuccore/CP000304.1?report=graph&amp;tracks=[key:gene_model_track,Options:GeneOnly]&amp;mk=497289:497308|offset_1|00cc00,497314:497333|offset_26|444444,497343:497362|offset_55|444444,497365:497384|offset_77|444444&amp;v=497088:497584&amp;c=444444", "offset 1")</f>
        <v>offset 1</v>
      </c>
    </row>
    <row r="1736" customFormat="false" ht="12.8" hidden="false" customHeight="false" outlineLevel="0" collapsed="false">
      <c r="A1736" s="0" t="s">
        <v>12</v>
      </c>
      <c r="B1736" s="0" t="n">
        <v>497313</v>
      </c>
      <c r="C1736" s="0" t="n">
        <v>497333</v>
      </c>
      <c r="D1736" s="0" t="s">
        <v>5785</v>
      </c>
      <c r="E1736" s="0" t="s">
        <v>89</v>
      </c>
      <c r="F1736" s="0" t="s">
        <v>15</v>
      </c>
      <c r="G1736" s="0" t="s">
        <v>16</v>
      </c>
      <c r="H1736" s="0" t="n">
        <v>26</v>
      </c>
      <c r="I1736" s="0" t="s">
        <v>5789</v>
      </c>
      <c r="J1736" s="0" t="s">
        <v>5790</v>
      </c>
      <c r="K1736" s="0" t="s">
        <v>5791</v>
      </c>
      <c r="L1736" s="0" t="str">
        <f aca="false">HYPERLINK("https://www.ncbi.nlm.nih.gov/nuccore/CP000304.1?report=graph&amp;tracks=[key:gene_model_track,Options:GeneOnly]&amp;mk=497289:497308|offset_1|444444,497314:497333|offset_26|00cc00,497343:497362|offset_55|444444,497365:497384|offset_77|444444&amp;v=497088:497584&amp;c=444444", "offset 26")</f>
        <v>offset 26</v>
      </c>
    </row>
    <row r="1737" customFormat="false" ht="12.8" hidden="false" customHeight="false" outlineLevel="0" collapsed="false">
      <c r="A1737" s="0" t="s">
        <v>12</v>
      </c>
      <c r="B1737" s="0" t="n">
        <v>497342</v>
      </c>
      <c r="C1737" s="0" t="n">
        <v>497362</v>
      </c>
      <c r="D1737" s="0" t="s">
        <v>5785</v>
      </c>
      <c r="E1737" s="0" t="s">
        <v>89</v>
      </c>
      <c r="F1737" s="0" t="s">
        <v>15</v>
      </c>
      <c r="G1737" s="0" t="s">
        <v>16</v>
      </c>
      <c r="H1737" s="0" t="n">
        <v>55</v>
      </c>
      <c r="I1737" s="0" t="s">
        <v>5792</v>
      </c>
      <c r="J1737" s="0" t="s">
        <v>5793</v>
      </c>
      <c r="K1737" s="0" t="s">
        <v>5794</v>
      </c>
      <c r="L1737" s="0" t="str">
        <f aca="false">HYPERLINK("https://www.ncbi.nlm.nih.gov/nuccore/CP000304.1?report=graph&amp;tracks=[key:gene_model_track,Options:GeneOnly]&amp;mk=497289:497308|offset_1|444444,497314:497333|offset_26|444444,497343:497362|offset_55|00cc00,497365:497384|offset_77|444444&amp;v=497088:497584&amp;c=444444", "offset 55")</f>
        <v>offset 55</v>
      </c>
    </row>
    <row r="1738" customFormat="false" ht="12.8" hidden="false" customHeight="false" outlineLevel="0" collapsed="false">
      <c r="A1738" s="0" t="s">
        <v>12</v>
      </c>
      <c r="B1738" s="0" t="n">
        <v>497364</v>
      </c>
      <c r="C1738" s="0" t="n">
        <v>497384</v>
      </c>
      <c r="D1738" s="0" t="s">
        <v>5785</v>
      </c>
      <c r="E1738" s="0" t="s">
        <v>89</v>
      </c>
      <c r="F1738" s="0" t="s">
        <v>15</v>
      </c>
      <c r="G1738" s="0" t="s">
        <v>26</v>
      </c>
      <c r="H1738" s="0" t="n">
        <v>77</v>
      </c>
      <c r="I1738" s="0" t="s">
        <v>5795</v>
      </c>
      <c r="J1738" s="0" t="s">
        <v>5796</v>
      </c>
      <c r="K1738" s="0" t="s">
        <v>5797</v>
      </c>
      <c r="L1738" s="0" t="str">
        <f aca="false">HYPERLINK("https://www.ncbi.nlm.nih.gov/nuccore/CP000304.1?report=graph&amp;tracks=[key:gene_model_track,Options:GeneOnly]&amp;mk=497289:497308|offset_1|444444,497314:497333|offset_26|444444,497343:497362|offset_55|444444,497365:497384|offset_77|00cc00&amp;v=497088:497584&amp;c=444444", "offset 77")</f>
        <v>offset 77</v>
      </c>
    </row>
    <row r="1739" customFormat="false" ht="12.8" hidden="false" customHeight="false" outlineLevel="0" collapsed="false">
      <c r="A1739" s="0" t="s">
        <v>12</v>
      </c>
      <c r="B1739" s="0" t="n">
        <v>499506</v>
      </c>
      <c r="C1739" s="0" t="n">
        <v>499526</v>
      </c>
      <c r="D1739" s="0" t="s">
        <v>5798</v>
      </c>
      <c r="E1739" s="0" t="s">
        <v>89</v>
      </c>
      <c r="F1739" s="0" t="s">
        <v>90</v>
      </c>
      <c r="G1739" s="0" t="s">
        <v>26</v>
      </c>
      <c r="H1739" s="0" t="n">
        <v>16</v>
      </c>
      <c r="I1739" s="0" t="s">
        <v>5799</v>
      </c>
      <c r="J1739" s="0" t="s">
        <v>5800</v>
      </c>
      <c r="K1739" s="0" t="s">
        <v>5801</v>
      </c>
      <c r="L1739" s="0" t="str">
        <f aca="false">HYPERLINK("https://www.ncbi.nlm.nih.gov/nuccore/CP000304.1?report=graph&amp;tracks=[key:gene_model_track,Options:GeneOnly]&amp;mk=499507:499526|offset_16|00cc00,499478:499497|offset_45|444444,499451:499470|offset_72|444444,499405:499424|offset_118|444444&amp;v=499306:499624&amp;c=444444", "offset 16")</f>
        <v>offset 16</v>
      </c>
    </row>
    <row r="1740" customFormat="false" ht="12.8" hidden="false" customHeight="false" outlineLevel="0" collapsed="false">
      <c r="A1740" s="0" t="s">
        <v>12</v>
      </c>
      <c r="B1740" s="0" t="n">
        <v>499477</v>
      </c>
      <c r="C1740" s="0" t="n">
        <v>499497</v>
      </c>
      <c r="D1740" s="0" t="s">
        <v>5798</v>
      </c>
      <c r="E1740" s="0" t="s">
        <v>89</v>
      </c>
      <c r="F1740" s="0" t="s">
        <v>90</v>
      </c>
      <c r="G1740" s="0" t="s">
        <v>36</v>
      </c>
      <c r="H1740" s="0" t="n">
        <v>45</v>
      </c>
      <c r="I1740" s="0" t="s">
        <v>5802</v>
      </c>
      <c r="J1740" s="0" t="s">
        <v>5803</v>
      </c>
      <c r="K1740" s="0" t="s">
        <v>5804</v>
      </c>
      <c r="L1740" s="0" t="str">
        <f aca="false">HYPERLINK("https://www.ncbi.nlm.nih.gov/nuccore/CP000304.1?report=graph&amp;tracks=[key:gene_model_track,Options:GeneOnly]&amp;mk=499507:499526|offset_16|444444,499478:499497|offset_45|00cc00,499451:499470|offset_72|444444,499405:499424|offset_118|444444&amp;v=499306:499624&amp;c=444444", "offset 45")</f>
        <v>offset 45</v>
      </c>
    </row>
    <row r="1741" customFormat="false" ht="12.8" hidden="false" customHeight="false" outlineLevel="0" collapsed="false">
      <c r="A1741" s="0" t="s">
        <v>12</v>
      </c>
      <c r="B1741" s="0" t="n">
        <v>499450</v>
      </c>
      <c r="C1741" s="0" t="n">
        <v>499470</v>
      </c>
      <c r="D1741" s="0" t="s">
        <v>5798</v>
      </c>
      <c r="E1741" s="0" t="s">
        <v>89</v>
      </c>
      <c r="F1741" s="0" t="s">
        <v>90</v>
      </c>
      <c r="G1741" s="0" t="s">
        <v>36</v>
      </c>
      <c r="H1741" s="0" t="n">
        <v>72</v>
      </c>
      <c r="I1741" s="0" t="s">
        <v>5805</v>
      </c>
      <c r="J1741" s="0" t="s">
        <v>5806</v>
      </c>
      <c r="K1741" s="0" t="s">
        <v>5807</v>
      </c>
      <c r="L1741" s="0" t="str">
        <f aca="false">HYPERLINK("https://www.ncbi.nlm.nih.gov/nuccore/CP000304.1?report=graph&amp;tracks=[key:gene_model_track,Options:GeneOnly]&amp;mk=499507:499526|offset_16|444444,499478:499497|offset_45|444444,499451:499470|offset_72|00cc00,499405:499424|offset_118|444444&amp;v=499306:499624&amp;c=444444", "offset 72")</f>
        <v>offset 72</v>
      </c>
    </row>
    <row r="1742" customFormat="false" ht="12.8" hidden="false" customHeight="false" outlineLevel="0" collapsed="false">
      <c r="A1742" s="0" t="s">
        <v>12</v>
      </c>
      <c r="B1742" s="0" t="n">
        <v>499404</v>
      </c>
      <c r="C1742" s="0" t="n">
        <v>499424</v>
      </c>
      <c r="D1742" s="0" t="s">
        <v>5798</v>
      </c>
      <c r="E1742" s="0" t="s">
        <v>89</v>
      </c>
      <c r="F1742" s="0" t="s">
        <v>90</v>
      </c>
      <c r="G1742" s="0" t="s">
        <v>32</v>
      </c>
      <c r="H1742" s="0" t="n">
        <v>118</v>
      </c>
      <c r="I1742" s="0" t="s">
        <v>5808</v>
      </c>
      <c r="J1742" s="0" t="s">
        <v>5809</v>
      </c>
      <c r="K1742" s="0" t="s">
        <v>5810</v>
      </c>
      <c r="L1742" s="0" t="str">
        <f aca="false">HYPERLINK("https://www.ncbi.nlm.nih.gov/nuccore/CP000304.1?report=graph&amp;tracks=[key:gene_model_track,Options:GeneOnly]&amp;mk=499507:499526|offset_16|444444,499478:499497|offset_45|444444,499451:499470|offset_72|444444,499405:499424|offset_118|00cc00&amp;v=499306:499624&amp;c=444444", "offset 118")</f>
        <v>offset 118</v>
      </c>
    </row>
    <row r="1743" customFormat="false" ht="12.8" hidden="false" customHeight="false" outlineLevel="0" collapsed="false">
      <c r="A1743" s="0" t="s">
        <v>12</v>
      </c>
      <c r="B1743" s="0" t="n">
        <v>499940</v>
      </c>
      <c r="C1743" s="0" t="n">
        <v>499960</v>
      </c>
      <c r="D1743" s="0" t="s">
        <v>5811</v>
      </c>
      <c r="E1743" s="0" t="s">
        <v>89</v>
      </c>
      <c r="F1743" s="0" t="s">
        <v>15</v>
      </c>
      <c r="G1743" s="0" t="s">
        <v>32</v>
      </c>
      <c r="H1743" s="0" t="n">
        <v>21</v>
      </c>
      <c r="I1743" s="0" t="s">
        <v>5812</v>
      </c>
      <c r="J1743" s="0" t="s">
        <v>5813</v>
      </c>
      <c r="K1743" s="0" t="s">
        <v>5814</v>
      </c>
      <c r="L1743" s="0" t="str">
        <f aca="false">HYPERLINK("https://www.ncbi.nlm.nih.gov/nuccore/CP000304.1?report=graph&amp;tracks=[key:gene_model_track,Options:GeneOnly]&amp;mk=499941:499960|offset_21|00cc00,499971:499990|offset_51|444444,499997:500016|offset_77|444444,500018:500037|offset_98|444444&amp;v=499740:500237&amp;c=444444", "offset 21")</f>
        <v>offset 21</v>
      </c>
    </row>
    <row r="1744" customFormat="false" ht="12.8" hidden="false" customHeight="false" outlineLevel="0" collapsed="false">
      <c r="A1744" s="0" t="s">
        <v>12</v>
      </c>
      <c r="B1744" s="0" t="n">
        <v>499970</v>
      </c>
      <c r="C1744" s="0" t="n">
        <v>499990</v>
      </c>
      <c r="D1744" s="0" t="s">
        <v>5811</v>
      </c>
      <c r="E1744" s="0" t="s">
        <v>89</v>
      </c>
      <c r="F1744" s="0" t="s">
        <v>15</v>
      </c>
      <c r="G1744" s="0" t="s">
        <v>36</v>
      </c>
      <c r="H1744" s="0" t="n">
        <v>51</v>
      </c>
      <c r="I1744" s="0" t="s">
        <v>5815</v>
      </c>
      <c r="J1744" s="0" t="s">
        <v>5816</v>
      </c>
      <c r="K1744" s="0" t="s">
        <v>5817</v>
      </c>
      <c r="L1744" s="0" t="str">
        <f aca="false">HYPERLINK("https://www.ncbi.nlm.nih.gov/nuccore/CP000304.1?report=graph&amp;tracks=[key:gene_model_track,Options:GeneOnly]&amp;mk=499941:499960|offset_21|444444,499971:499990|offset_51|00cc00,499997:500016|offset_77|444444,500018:500037|offset_98|444444&amp;v=499740:500237&amp;c=444444", "offset 51")</f>
        <v>offset 51</v>
      </c>
    </row>
    <row r="1745" customFormat="false" ht="12.8" hidden="false" customHeight="false" outlineLevel="0" collapsed="false">
      <c r="A1745" s="0" t="s">
        <v>12</v>
      </c>
      <c r="B1745" s="0" t="n">
        <v>499996</v>
      </c>
      <c r="C1745" s="0" t="n">
        <v>500016</v>
      </c>
      <c r="D1745" s="0" t="s">
        <v>5811</v>
      </c>
      <c r="E1745" s="0" t="s">
        <v>89</v>
      </c>
      <c r="F1745" s="0" t="s">
        <v>15</v>
      </c>
      <c r="G1745" s="0" t="s">
        <v>32</v>
      </c>
      <c r="H1745" s="0" t="n">
        <v>77</v>
      </c>
      <c r="I1745" s="0" t="s">
        <v>5818</v>
      </c>
      <c r="J1745" s="0" t="s">
        <v>5819</v>
      </c>
      <c r="K1745" s="0" t="s">
        <v>5820</v>
      </c>
      <c r="L1745" s="0" t="str">
        <f aca="false">HYPERLINK("https://www.ncbi.nlm.nih.gov/nuccore/CP000304.1?report=graph&amp;tracks=[key:gene_model_track,Options:GeneOnly]&amp;mk=499941:499960|offset_21|444444,499971:499990|offset_51|444444,499997:500016|offset_77|00cc00,500018:500037|offset_98|444444&amp;v=499740:500237&amp;c=444444", "offset 77")</f>
        <v>offset 77</v>
      </c>
    </row>
    <row r="1746" customFormat="false" ht="12.8" hidden="false" customHeight="false" outlineLevel="0" collapsed="false">
      <c r="A1746" s="0" t="s">
        <v>12</v>
      </c>
      <c r="B1746" s="0" t="n">
        <v>500017</v>
      </c>
      <c r="C1746" s="0" t="n">
        <v>500037</v>
      </c>
      <c r="D1746" s="0" t="s">
        <v>5811</v>
      </c>
      <c r="E1746" s="0" t="s">
        <v>89</v>
      </c>
      <c r="F1746" s="0" t="s">
        <v>15</v>
      </c>
      <c r="G1746" s="0" t="s">
        <v>26</v>
      </c>
      <c r="H1746" s="0" t="n">
        <v>98</v>
      </c>
      <c r="I1746" s="0" t="s">
        <v>5821</v>
      </c>
      <c r="J1746" s="0" t="s">
        <v>5822</v>
      </c>
      <c r="K1746" s="0" t="s">
        <v>5823</v>
      </c>
      <c r="L1746" s="0" t="str">
        <f aca="false">HYPERLINK("https://www.ncbi.nlm.nih.gov/nuccore/CP000304.1?report=graph&amp;tracks=[key:gene_model_track,Options:GeneOnly]&amp;mk=499941:499960|offset_21|444444,499971:499990|offset_51|444444,499997:500016|offset_77|444444,500018:500037|offset_98|00cc00&amp;v=499740:500237&amp;c=444444", "offset 98")</f>
        <v>offset 98</v>
      </c>
    </row>
    <row r="1747" customFormat="false" ht="12.8" hidden="false" customHeight="false" outlineLevel="0" collapsed="false">
      <c r="A1747" s="0" t="s">
        <v>12</v>
      </c>
      <c r="B1747" s="0" t="n">
        <v>500604</v>
      </c>
      <c r="C1747" s="0" t="n">
        <v>500624</v>
      </c>
      <c r="D1747" s="0" t="s">
        <v>5824</v>
      </c>
      <c r="E1747" s="0" t="s">
        <v>89</v>
      </c>
      <c r="F1747" s="0" t="s">
        <v>15</v>
      </c>
      <c r="G1747" s="0" t="s">
        <v>36</v>
      </c>
      <c r="H1747" s="0" t="n">
        <v>45</v>
      </c>
      <c r="I1747" s="0" t="s">
        <v>5825</v>
      </c>
      <c r="J1747" s="0" t="s">
        <v>5826</v>
      </c>
      <c r="K1747" s="0" t="s">
        <v>5827</v>
      </c>
      <c r="L1747" s="0" t="str">
        <f aca="false">HYPERLINK("https://www.ncbi.nlm.nih.gov/nuccore/CP000304.1?report=graph&amp;tracks=[key:gene_model_track,Options:GeneOnly]&amp;mk=500605:500624|offset_45|00cc00,500681:500700|offset_121|444444,500703:500722|offset_143|444444,500723:500742|offset_163|444444&amp;v=500404:500942&amp;c=444444", "offset 45")</f>
        <v>offset 45</v>
      </c>
    </row>
    <row r="1748" customFormat="false" ht="12.8" hidden="false" customHeight="false" outlineLevel="0" collapsed="false">
      <c r="A1748" s="0" t="s">
        <v>12</v>
      </c>
      <c r="B1748" s="0" t="n">
        <v>500680</v>
      </c>
      <c r="C1748" s="0" t="n">
        <v>500700</v>
      </c>
      <c r="D1748" s="0" t="s">
        <v>5824</v>
      </c>
      <c r="E1748" s="0" t="s">
        <v>89</v>
      </c>
      <c r="F1748" s="0" t="s">
        <v>15</v>
      </c>
      <c r="G1748" s="0" t="s">
        <v>26</v>
      </c>
      <c r="H1748" s="0" t="n">
        <v>121</v>
      </c>
      <c r="I1748" s="0" t="s">
        <v>5828</v>
      </c>
      <c r="J1748" s="0" t="s">
        <v>5829</v>
      </c>
      <c r="K1748" s="0" t="s">
        <v>5830</v>
      </c>
      <c r="L1748" s="0" t="str">
        <f aca="false">HYPERLINK("https://www.ncbi.nlm.nih.gov/nuccore/CP000304.1?report=graph&amp;tracks=[key:gene_model_track,Options:GeneOnly]&amp;mk=500605:500624|offset_45|444444,500681:500700|offset_121|00cc00,500703:500722|offset_143|444444,500723:500742|offset_163|444444&amp;v=500404:500942&amp;c=444444", "offset 121")</f>
        <v>offset 121</v>
      </c>
    </row>
    <row r="1749" customFormat="false" ht="12.8" hidden="false" customHeight="false" outlineLevel="0" collapsed="false">
      <c r="A1749" s="0" t="s">
        <v>12</v>
      </c>
      <c r="B1749" s="0" t="n">
        <v>500702</v>
      </c>
      <c r="C1749" s="0" t="n">
        <v>500722</v>
      </c>
      <c r="D1749" s="0" t="s">
        <v>5824</v>
      </c>
      <c r="E1749" s="0" t="s">
        <v>89</v>
      </c>
      <c r="F1749" s="0" t="s">
        <v>15</v>
      </c>
      <c r="G1749" s="0" t="s">
        <v>26</v>
      </c>
      <c r="H1749" s="0" t="n">
        <v>143</v>
      </c>
      <c r="I1749" s="0" t="s">
        <v>5831</v>
      </c>
      <c r="J1749" s="0" t="s">
        <v>5832</v>
      </c>
      <c r="K1749" s="0" t="s">
        <v>5833</v>
      </c>
      <c r="L1749" s="0" t="str">
        <f aca="false">HYPERLINK("https://www.ncbi.nlm.nih.gov/nuccore/CP000304.1?report=graph&amp;tracks=[key:gene_model_track,Options:GeneOnly]&amp;mk=500605:500624|offset_45|444444,500681:500700|offset_121|444444,500703:500722|offset_143|00cc00,500723:500742|offset_163|444444&amp;v=500404:500942&amp;c=444444", "offset 143")</f>
        <v>offset 143</v>
      </c>
    </row>
    <row r="1750" customFormat="false" ht="12.8" hidden="false" customHeight="false" outlineLevel="0" collapsed="false">
      <c r="A1750" s="0" t="s">
        <v>12</v>
      </c>
      <c r="B1750" s="0" t="n">
        <v>500722</v>
      </c>
      <c r="C1750" s="0" t="n">
        <v>500742</v>
      </c>
      <c r="D1750" s="0" t="s">
        <v>5824</v>
      </c>
      <c r="E1750" s="0" t="s">
        <v>89</v>
      </c>
      <c r="F1750" s="0" t="s">
        <v>15</v>
      </c>
      <c r="G1750" s="0" t="s">
        <v>16</v>
      </c>
      <c r="H1750" s="0" t="n">
        <v>163</v>
      </c>
      <c r="I1750" s="0" t="s">
        <v>5834</v>
      </c>
      <c r="J1750" s="0" t="s">
        <v>5835</v>
      </c>
      <c r="K1750" s="0" t="s">
        <v>5836</v>
      </c>
      <c r="L1750" s="0" t="str">
        <f aca="false">HYPERLINK("https://www.ncbi.nlm.nih.gov/nuccore/CP000304.1?report=graph&amp;tracks=[key:gene_model_track,Options:GeneOnly]&amp;mk=500605:500624|offset_45|444444,500681:500700|offset_121|444444,500703:500722|offset_143|444444,500723:500742|offset_163|00cc00&amp;v=500404:500942&amp;c=444444", "offset 163")</f>
        <v>offset 163</v>
      </c>
    </row>
    <row r="1751" customFormat="false" ht="12.8" hidden="false" customHeight="false" outlineLevel="0" collapsed="false">
      <c r="A1751" s="0" t="s">
        <v>12</v>
      </c>
      <c r="B1751" s="0" t="n">
        <v>501268</v>
      </c>
      <c r="C1751" s="0" t="n">
        <v>501288</v>
      </c>
      <c r="D1751" s="0" t="s">
        <v>5837</v>
      </c>
      <c r="E1751" s="0" t="s">
        <v>89</v>
      </c>
      <c r="F1751" s="0" t="s">
        <v>15</v>
      </c>
      <c r="G1751" s="0" t="s">
        <v>16</v>
      </c>
      <c r="H1751" s="0" t="n">
        <v>11</v>
      </c>
      <c r="I1751" s="0" t="s">
        <v>5838</v>
      </c>
      <c r="J1751" s="0" t="s">
        <v>5839</v>
      </c>
      <c r="K1751" s="0" t="s">
        <v>5840</v>
      </c>
      <c r="L1751" s="0" t="str">
        <f aca="false">HYPERLINK("https://www.ncbi.nlm.nih.gov/nuccore/CP000304.1?report=graph&amp;tracks=[key:gene_model_track,Options:GeneOnly]&amp;mk=501269:501288|offset_11|00cc00,501290:501309|offset_32|444444,501336:501355|offset_78|444444,501367:501386|offset_109|444444&amp;v=501068:501586&amp;c=444444", "offset 11")</f>
        <v>offset 11</v>
      </c>
    </row>
    <row r="1752" customFormat="false" ht="12.8" hidden="false" customHeight="false" outlineLevel="0" collapsed="false">
      <c r="A1752" s="0" t="s">
        <v>12</v>
      </c>
      <c r="B1752" s="0" t="n">
        <v>501289</v>
      </c>
      <c r="C1752" s="0" t="n">
        <v>501309</v>
      </c>
      <c r="D1752" s="0" t="s">
        <v>5837</v>
      </c>
      <c r="E1752" s="0" t="s">
        <v>89</v>
      </c>
      <c r="F1752" s="0" t="s">
        <v>15</v>
      </c>
      <c r="G1752" s="0" t="s">
        <v>26</v>
      </c>
      <c r="H1752" s="0" t="n">
        <v>32</v>
      </c>
      <c r="I1752" s="0" t="s">
        <v>5841</v>
      </c>
      <c r="J1752" s="0" t="s">
        <v>5842</v>
      </c>
      <c r="K1752" s="0" t="s">
        <v>5843</v>
      </c>
      <c r="L1752" s="0" t="str">
        <f aca="false">HYPERLINK("https://www.ncbi.nlm.nih.gov/nuccore/CP000304.1?report=graph&amp;tracks=[key:gene_model_track,Options:GeneOnly]&amp;mk=501269:501288|offset_11|444444,501290:501309|offset_32|00cc00,501336:501355|offset_78|444444,501367:501386|offset_109|444444&amp;v=501068:501586&amp;c=444444", "offset 32")</f>
        <v>offset 32</v>
      </c>
    </row>
    <row r="1753" customFormat="false" ht="12.8" hidden="false" customHeight="false" outlineLevel="0" collapsed="false">
      <c r="A1753" s="0" t="s">
        <v>12</v>
      </c>
      <c r="B1753" s="0" t="n">
        <v>501335</v>
      </c>
      <c r="C1753" s="0" t="n">
        <v>501355</v>
      </c>
      <c r="D1753" s="0" t="s">
        <v>5837</v>
      </c>
      <c r="E1753" s="0" t="s">
        <v>89</v>
      </c>
      <c r="F1753" s="0" t="s">
        <v>15</v>
      </c>
      <c r="G1753" s="0" t="s">
        <v>16</v>
      </c>
      <c r="H1753" s="0" t="n">
        <v>78</v>
      </c>
      <c r="I1753" s="0" t="s">
        <v>5844</v>
      </c>
      <c r="J1753" s="0" t="s">
        <v>5845</v>
      </c>
      <c r="K1753" s="0" t="s">
        <v>5846</v>
      </c>
      <c r="L1753" s="0" t="str">
        <f aca="false">HYPERLINK("https://www.ncbi.nlm.nih.gov/nuccore/CP000304.1?report=graph&amp;tracks=[key:gene_model_track,Options:GeneOnly]&amp;mk=501269:501288|offset_11|444444,501290:501309|offset_32|444444,501336:501355|offset_78|00cc00,501367:501386|offset_109|444444&amp;v=501068:501586&amp;c=444444", "offset 78")</f>
        <v>offset 78</v>
      </c>
    </row>
    <row r="1754" customFormat="false" ht="12.8" hidden="false" customHeight="false" outlineLevel="0" collapsed="false">
      <c r="A1754" s="0" t="s">
        <v>12</v>
      </c>
      <c r="B1754" s="0" t="n">
        <v>501366</v>
      </c>
      <c r="C1754" s="0" t="n">
        <v>501386</v>
      </c>
      <c r="D1754" s="0" t="s">
        <v>5837</v>
      </c>
      <c r="E1754" s="0" t="s">
        <v>89</v>
      </c>
      <c r="F1754" s="0" t="s">
        <v>15</v>
      </c>
      <c r="G1754" s="0" t="s">
        <v>16</v>
      </c>
      <c r="H1754" s="0" t="n">
        <v>109</v>
      </c>
      <c r="I1754" s="0" t="s">
        <v>5847</v>
      </c>
      <c r="J1754" s="0" t="s">
        <v>5848</v>
      </c>
      <c r="K1754" s="0" t="s">
        <v>5849</v>
      </c>
      <c r="L1754" s="0" t="str">
        <f aca="false">HYPERLINK("https://www.ncbi.nlm.nih.gov/nuccore/CP000304.1?report=graph&amp;tracks=[key:gene_model_track,Options:GeneOnly]&amp;mk=501269:501288|offset_11|444444,501290:501309|offset_32|444444,501336:501355|offset_78|444444,501367:501386|offset_109|00cc00&amp;v=501068:501586&amp;c=444444", "offset 109")</f>
        <v>offset 109</v>
      </c>
    </row>
    <row r="1755" customFormat="false" ht="12.8" hidden="false" customHeight="false" outlineLevel="0" collapsed="false">
      <c r="A1755" s="0" t="s">
        <v>12</v>
      </c>
      <c r="B1755" s="0" t="n">
        <v>502035</v>
      </c>
      <c r="C1755" s="0" t="n">
        <v>502055</v>
      </c>
      <c r="D1755" s="0" t="s">
        <v>5850</v>
      </c>
      <c r="E1755" s="0" t="s">
        <v>89</v>
      </c>
      <c r="F1755" s="0" t="s">
        <v>15</v>
      </c>
      <c r="G1755" s="0" t="s">
        <v>26</v>
      </c>
      <c r="H1755" s="0" t="n">
        <v>7</v>
      </c>
      <c r="I1755" s="0" t="s">
        <v>5851</v>
      </c>
      <c r="J1755" s="0" t="s">
        <v>5852</v>
      </c>
      <c r="K1755" s="0" t="s">
        <v>5853</v>
      </c>
      <c r="L1755" s="0" t="str">
        <f aca="false">HYPERLINK("https://www.ncbi.nlm.nih.gov/nuccore/CP000304.1?report=graph&amp;tracks=[key:gene_model_track,Options:GeneOnly]&amp;mk=502036:502055|offset_7|00cc00,502069:502088|offset_40|444444,502099:502118|offset_70|444444,502126:502145|offset_97|444444&amp;v=501835:502345&amp;c=444444", "offset 7")</f>
        <v>offset 7</v>
      </c>
    </row>
    <row r="1756" customFormat="false" ht="12.8" hidden="false" customHeight="false" outlineLevel="0" collapsed="false">
      <c r="A1756" s="0" t="s">
        <v>12</v>
      </c>
      <c r="B1756" s="0" t="n">
        <v>502068</v>
      </c>
      <c r="C1756" s="0" t="n">
        <v>502088</v>
      </c>
      <c r="D1756" s="0" t="s">
        <v>5850</v>
      </c>
      <c r="E1756" s="0" t="s">
        <v>89</v>
      </c>
      <c r="F1756" s="0" t="s">
        <v>15</v>
      </c>
      <c r="G1756" s="0" t="s">
        <v>16</v>
      </c>
      <c r="H1756" s="0" t="n">
        <v>40</v>
      </c>
      <c r="I1756" s="0" t="s">
        <v>5854</v>
      </c>
      <c r="J1756" s="0" t="s">
        <v>5855</v>
      </c>
      <c r="K1756" s="0" t="s">
        <v>5856</v>
      </c>
      <c r="L1756" s="0" t="str">
        <f aca="false">HYPERLINK("https://www.ncbi.nlm.nih.gov/nuccore/CP000304.1?report=graph&amp;tracks=[key:gene_model_track,Options:GeneOnly]&amp;mk=502036:502055|offset_7|444444,502069:502088|offset_40|00cc00,502099:502118|offset_70|444444,502126:502145|offset_97|444444&amp;v=501835:502345&amp;c=444444", "offset 40")</f>
        <v>offset 40</v>
      </c>
    </row>
    <row r="1757" customFormat="false" ht="12.8" hidden="false" customHeight="false" outlineLevel="0" collapsed="false">
      <c r="A1757" s="0" t="s">
        <v>12</v>
      </c>
      <c r="B1757" s="0" t="n">
        <v>502098</v>
      </c>
      <c r="C1757" s="0" t="n">
        <v>502118</v>
      </c>
      <c r="D1757" s="0" t="s">
        <v>5850</v>
      </c>
      <c r="E1757" s="0" t="s">
        <v>89</v>
      </c>
      <c r="F1757" s="0" t="s">
        <v>15</v>
      </c>
      <c r="G1757" s="0" t="s">
        <v>16</v>
      </c>
      <c r="H1757" s="0" t="n">
        <v>70</v>
      </c>
      <c r="I1757" s="0" t="s">
        <v>5857</v>
      </c>
      <c r="J1757" s="0" t="s">
        <v>5858</v>
      </c>
      <c r="K1757" s="0" t="s">
        <v>5859</v>
      </c>
      <c r="L1757" s="0" t="str">
        <f aca="false">HYPERLINK("https://www.ncbi.nlm.nih.gov/nuccore/CP000304.1?report=graph&amp;tracks=[key:gene_model_track,Options:GeneOnly]&amp;mk=502036:502055|offset_7|444444,502069:502088|offset_40|444444,502099:502118|offset_70|00cc00,502126:502145|offset_97|444444&amp;v=501835:502345&amp;c=444444", "offset 70")</f>
        <v>offset 70</v>
      </c>
    </row>
    <row r="1758" customFormat="false" ht="12.8" hidden="false" customHeight="false" outlineLevel="0" collapsed="false">
      <c r="A1758" s="0" t="s">
        <v>12</v>
      </c>
      <c r="B1758" s="0" t="n">
        <v>502125</v>
      </c>
      <c r="C1758" s="0" t="n">
        <v>502145</v>
      </c>
      <c r="D1758" s="0" t="s">
        <v>5850</v>
      </c>
      <c r="E1758" s="0" t="s">
        <v>89</v>
      </c>
      <c r="F1758" s="0" t="s">
        <v>15</v>
      </c>
      <c r="G1758" s="0" t="s">
        <v>16</v>
      </c>
      <c r="H1758" s="0" t="n">
        <v>97</v>
      </c>
      <c r="I1758" s="0" t="s">
        <v>5860</v>
      </c>
      <c r="J1758" s="0" t="s">
        <v>5861</v>
      </c>
      <c r="K1758" s="0" t="s">
        <v>5862</v>
      </c>
      <c r="L1758" s="0" t="str">
        <f aca="false">HYPERLINK("https://www.ncbi.nlm.nih.gov/nuccore/CP000304.1?report=graph&amp;tracks=[key:gene_model_track,Options:GeneOnly]&amp;mk=502036:502055|offset_7|444444,502069:502088|offset_40|444444,502099:502118|offset_70|444444,502126:502145|offset_97|00cc00&amp;v=501835:502345&amp;c=444444", "offset 97")</f>
        <v>offset 97</v>
      </c>
    </row>
    <row r="1759" customFormat="false" ht="12.8" hidden="false" customHeight="false" outlineLevel="0" collapsed="false">
      <c r="A1759" s="0" t="s">
        <v>12</v>
      </c>
      <c r="B1759" s="0" t="n">
        <v>503932</v>
      </c>
      <c r="C1759" s="0" t="n">
        <v>503952</v>
      </c>
      <c r="D1759" s="0" t="s">
        <v>5863</v>
      </c>
      <c r="E1759" s="0" t="s">
        <v>89</v>
      </c>
      <c r="F1759" s="0" t="s">
        <v>90</v>
      </c>
      <c r="G1759" s="0" t="s">
        <v>32</v>
      </c>
      <c r="H1759" s="0" t="n">
        <v>23</v>
      </c>
      <c r="I1759" s="0" t="s">
        <v>5864</v>
      </c>
      <c r="J1759" s="0" t="s">
        <v>5865</v>
      </c>
      <c r="K1759" s="0" t="s">
        <v>5866</v>
      </c>
      <c r="L1759" s="0" t="str">
        <f aca="false">HYPERLINK("https://www.ncbi.nlm.nih.gov/nuccore/CP000304.1?report=graph&amp;tracks=[key:gene_model_track,Options:GeneOnly]&amp;mk=503933:503952|offset_23|00cc00,503891:503910|offset_65|444444,503867:503886|offset_89|444444,503835:503854|offset_121|444444&amp;v=503732:504054&amp;c=444444", "offset 23")</f>
        <v>offset 23</v>
      </c>
    </row>
    <row r="1760" customFormat="false" ht="12.8" hidden="false" customHeight="false" outlineLevel="0" collapsed="false">
      <c r="A1760" s="0" t="s">
        <v>12</v>
      </c>
      <c r="B1760" s="0" t="n">
        <v>503890</v>
      </c>
      <c r="C1760" s="0" t="n">
        <v>503910</v>
      </c>
      <c r="D1760" s="0" t="s">
        <v>5863</v>
      </c>
      <c r="E1760" s="0" t="s">
        <v>89</v>
      </c>
      <c r="F1760" s="0" t="s">
        <v>90</v>
      </c>
      <c r="G1760" s="0" t="s">
        <v>32</v>
      </c>
      <c r="H1760" s="0" t="n">
        <v>65</v>
      </c>
      <c r="I1760" s="0" t="s">
        <v>5867</v>
      </c>
      <c r="J1760" s="0" t="s">
        <v>5868</v>
      </c>
      <c r="K1760" s="0" t="s">
        <v>5869</v>
      </c>
      <c r="L1760" s="0" t="str">
        <f aca="false">HYPERLINK("https://www.ncbi.nlm.nih.gov/nuccore/CP000304.1?report=graph&amp;tracks=[key:gene_model_track,Options:GeneOnly]&amp;mk=503933:503952|offset_23|444444,503891:503910|offset_65|00cc00,503867:503886|offset_89|444444,503835:503854|offset_121|444444&amp;v=503732:504054&amp;c=444444", "offset 65")</f>
        <v>offset 65</v>
      </c>
    </row>
    <row r="1761" customFormat="false" ht="12.8" hidden="false" customHeight="false" outlineLevel="0" collapsed="false">
      <c r="A1761" s="0" t="s">
        <v>12</v>
      </c>
      <c r="B1761" s="0" t="n">
        <v>503866</v>
      </c>
      <c r="C1761" s="0" t="n">
        <v>503886</v>
      </c>
      <c r="D1761" s="0" t="s">
        <v>5863</v>
      </c>
      <c r="E1761" s="0" t="s">
        <v>89</v>
      </c>
      <c r="F1761" s="0" t="s">
        <v>90</v>
      </c>
      <c r="G1761" s="0" t="s">
        <v>26</v>
      </c>
      <c r="H1761" s="0" t="n">
        <v>89</v>
      </c>
      <c r="I1761" s="0" t="s">
        <v>5870</v>
      </c>
      <c r="J1761" s="0" t="s">
        <v>5871</v>
      </c>
      <c r="K1761" s="0" t="s">
        <v>5872</v>
      </c>
      <c r="L1761" s="0" t="str">
        <f aca="false">HYPERLINK("https://www.ncbi.nlm.nih.gov/nuccore/CP000304.1?report=graph&amp;tracks=[key:gene_model_track,Options:GeneOnly]&amp;mk=503933:503952|offset_23|444444,503891:503910|offset_65|444444,503867:503886|offset_89|00cc00,503835:503854|offset_121|444444&amp;v=503732:504054&amp;c=444444", "offset 89")</f>
        <v>offset 89</v>
      </c>
    </row>
    <row r="1762" customFormat="false" ht="12.8" hidden="false" customHeight="false" outlineLevel="0" collapsed="false">
      <c r="A1762" s="0" t="s">
        <v>12</v>
      </c>
      <c r="B1762" s="0" t="n">
        <v>503834</v>
      </c>
      <c r="C1762" s="0" t="n">
        <v>503854</v>
      </c>
      <c r="D1762" s="0" t="s">
        <v>5863</v>
      </c>
      <c r="E1762" s="0" t="s">
        <v>89</v>
      </c>
      <c r="F1762" s="0" t="s">
        <v>90</v>
      </c>
      <c r="G1762" s="0" t="s">
        <v>16</v>
      </c>
      <c r="H1762" s="0" t="n">
        <v>121</v>
      </c>
      <c r="I1762" s="0" t="s">
        <v>5873</v>
      </c>
      <c r="J1762" s="0" t="s">
        <v>5874</v>
      </c>
      <c r="K1762" s="0" t="s">
        <v>5875</v>
      </c>
      <c r="L1762" s="0" t="str">
        <f aca="false">HYPERLINK("https://www.ncbi.nlm.nih.gov/nuccore/CP000304.1?report=graph&amp;tracks=[key:gene_model_track,Options:GeneOnly]&amp;mk=503933:503952|offset_23|444444,503891:503910|offset_65|444444,503867:503886|offset_89|444444,503835:503854|offset_121|00cc00&amp;v=503732:504054&amp;c=444444", "offset 121")</f>
        <v>offset 121</v>
      </c>
    </row>
    <row r="1763" customFormat="false" ht="12.8" hidden="false" customHeight="false" outlineLevel="0" collapsed="false">
      <c r="A1763" s="0" t="s">
        <v>12</v>
      </c>
      <c r="B1763" s="0" t="n">
        <v>504517</v>
      </c>
      <c r="C1763" s="0" t="n">
        <v>504537</v>
      </c>
      <c r="D1763" s="0" t="s">
        <v>5876</v>
      </c>
      <c r="E1763" s="0" t="s">
        <v>89</v>
      </c>
      <c r="F1763" s="0" t="s">
        <v>15</v>
      </c>
      <c r="G1763" s="0" t="s">
        <v>16</v>
      </c>
      <c r="H1763" s="0" t="n">
        <v>31</v>
      </c>
      <c r="I1763" s="0" t="s">
        <v>5877</v>
      </c>
      <c r="J1763" s="0" t="s">
        <v>5878</v>
      </c>
      <c r="K1763" s="0" t="s">
        <v>5879</v>
      </c>
      <c r="L1763" s="0" t="str">
        <f aca="false">HYPERLINK("https://www.ncbi.nlm.nih.gov/nuccore/CP000304.1?report=graph&amp;tracks=[key:gene_model_track,Options:GeneOnly]&amp;mk=504518:504537|offset_31|00cc00,504564:504583|offset_77|444444,504592:504611|offset_105|444444,504614:504633|offset_127|444444&amp;v=504317:504833&amp;c=444444", "offset 31")</f>
        <v>offset 31</v>
      </c>
    </row>
    <row r="1764" customFormat="false" ht="12.8" hidden="false" customHeight="false" outlineLevel="0" collapsed="false">
      <c r="A1764" s="0" t="s">
        <v>12</v>
      </c>
      <c r="B1764" s="0" t="n">
        <v>504563</v>
      </c>
      <c r="C1764" s="0" t="n">
        <v>504583</v>
      </c>
      <c r="D1764" s="0" t="s">
        <v>5876</v>
      </c>
      <c r="E1764" s="0" t="s">
        <v>89</v>
      </c>
      <c r="F1764" s="0" t="s">
        <v>15</v>
      </c>
      <c r="G1764" s="0" t="s">
        <v>16</v>
      </c>
      <c r="H1764" s="0" t="n">
        <v>77</v>
      </c>
      <c r="I1764" s="0" t="s">
        <v>5880</v>
      </c>
      <c r="J1764" s="0" t="s">
        <v>5881</v>
      </c>
      <c r="K1764" s="0" t="s">
        <v>5882</v>
      </c>
      <c r="L1764" s="0" t="str">
        <f aca="false">HYPERLINK("https://www.ncbi.nlm.nih.gov/nuccore/CP000304.1?report=graph&amp;tracks=[key:gene_model_track,Options:GeneOnly]&amp;mk=504518:504537|offset_31|444444,504564:504583|offset_77|00cc00,504592:504611|offset_105|444444,504614:504633|offset_127|444444&amp;v=504317:504833&amp;c=444444", "offset 77")</f>
        <v>offset 77</v>
      </c>
    </row>
    <row r="1765" customFormat="false" ht="12.8" hidden="false" customHeight="false" outlineLevel="0" collapsed="false">
      <c r="A1765" s="0" t="s">
        <v>12</v>
      </c>
      <c r="B1765" s="0" t="n">
        <v>504591</v>
      </c>
      <c r="C1765" s="0" t="n">
        <v>504611</v>
      </c>
      <c r="D1765" s="0" t="s">
        <v>5876</v>
      </c>
      <c r="E1765" s="0" t="s">
        <v>89</v>
      </c>
      <c r="F1765" s="0" t="s">
        <v>15</v>
      </c>
      <c r="G1765" s="0" t="s">
        <v>16</v>
      </c>
      <c r="H1765" s="0" t="n">
        <v>105</v>
      </c>
      <c r="I1765" s="0" t="s">
        <v>5883</v>
      </c>
      <c r="J1765" s="0" t="s">
        <v>5884</v>
      </c>
      <c r="K1765" s="0" t="s">
        <v>5885</v>
      </c>
      <c r="L1765" s="0" t="str">
        <f aca="false">HYPERLINK("https://www.ncbi.nlm.nih.gov/nuccore/CP000304.1?report=graph&amp;tracks=[key:gene_model_track,Options:GeneOnly]&amp;mk=504518:504537|offset_31|444444,504564:504583|offset_77|444444,504592:504611|offset_105|00cc00,504614:504633|offset_127|444444&amp;v=504317:504833&amp;c=444444", "offset 105")</f>
        <v>offset 105</v>
      </c>
    </row>
    <row r="1766" customFormat="false" ht="12.8" hidden="false" customHeight="false" outlineLevel="0" collapsed="false">
      <c r="A1766" s="0" t="s">
        <v>12</v>
      </c>
      <c r="B1766" s="0" t="n">
        <v>504613</v>
      </c>
      <c r="C1766" s="0" t="n">
        <v>504633</v>
      </c>
      <c r="D1766" s="0" t="s">
        <v>5876</v>
      </c>
      <c r="E1766" s="0" t="s">
        <v>89</v>
      </c>
      <c r="F1766" s="0" t="s">
        <v>15</v>
      </c>
      <c r="G1766" s="0" t="s">
        <v>16</v>
      </c>
      <c r="H1766" s="0" t="n">
        <v>127</v>
      </c>
      <c r="I1766" s="0" t="s">
        <v>5886</v>
      </c>
      <c r="J1766" s="0" t="s">
        <v>5887</v>
      </c>
      <c r="K1766" s="0" t="s">
        <v>5888</v>
      </c>
      <c r="L1766" s="0" t="str">
        <f aca="false">HYPERLINK("https://www.ncbi.nlm.nih.gov/nuccore/CP000304.1?report=graph&amp;tracks=[key:gene_model_track,Options:GeneOnly]&amp;mk=504518:504537|offset_31|444444,504564:504583|offset_77|444444,504592:504611|offset_105|444444,504614:504633|offset_127|00cc00&amp;v=504317:504833&amp;c=444444", "offset 127")</f>
        <v>offset 127</v>
      </c>
    </row>
    <row r="1767" customFormat="false" ht="12.8" hidden="false" customHeight="false" outlineLevel="0" collapsed="false">
      <c r="A1767" s="0" t="s">
        <v>12</v>
      </c>
      <c r="B1767" s="0" t="n">
        <v>507481</v>
      </c>
      <c r="C1767" s="0" t="n">
        <v>507501</v>
      </c>
      <c r="D1767" s="0" t="s">
        <v>5889</v>
      </c>
      <c r="E1767" s="0" t="s">
        <v>89</v>
      </c>
      <c r="F1767" s="0" t="s">
        <v>90</v>
      </c>
      <c r="G1767" s="0" t="s">
        <v>16</v>
      </c>
      <c r="H1767" s="0" t="n">
        <v>71</v>
      </c>
      <c r="I1767" s="0" t="s">
        <v>5890</v>
      </c>
      <c r="J1767" s="0" t="s">
        <v>5891</v>
      </c>
      <c r="K1767" s="0" t="s">
        <v>5892</v>
      </c>
      <c r="L1767" s="0" t="str">
        <f aca="false">HYPERLINK("https://www.ncbi.nlm.nih.gov/nuccore/CP000304.1?report=graph&amp;tracks=[key:gene_model_track,Options:GeneOnly]&amp;mk=507482:507501|offset_71|00cc00,507450:507469|offset_103|444444,507410:507429|offset_143|444444,507382:507401|offset_171|444444&amp;v=507281:507601&amp;c=444444", "offset 71")</f>
        <v>offset 71</v>
      </c>
    </row>
    <row r="1768" customFormat="false" ht="12.8" hidden="false" customHeight="false" outlineLevel="0" collapsed="false">
      <c r="A1768" s="0" t="s">
        <v>12</v>
      </c>
      <c r="B1768" s="0" t="n">
        <v>507449</v>
      </c>
      <c r="C1768" s="0" t="n">
        <v>507469</v>
      </c>
      <c r="D1768" s="0" t="s">
        <v>5889</v>
      </c>
      <c r="E1768" s="0" t="s">
        <v>89</v>
      </c>
      <c r="F1768" s="0" t="s">
        <v>90</v>
      </c>
      <c r="G1768" s="0" t="s">
        <v>32</v>
      </c>
      <c r="H1768" s="0" t="n">
        <v>103</v>
      </c>
      <c r="I1768" s="0" t="s">
        <v>5893</v>
      </c>
      <c r="J1768" s="0" t="s">
        <v>5894</v>
      </c>
      <c r="K1768" s="0" t="s">
        <v>5895</v>
      </c>
      <c r="L1768" s="0" t="str">
        <f aca="false">HYPERLINK("https://www.ncbi.nlm.nih.gov/nuccore/CP000304.1?report=graph&amp;tracks=[key:gene_model_track,Options:GeneOnly]&amp;mk=507482:507501|offset_71|444444,507450:507469|offset_103|00cc00,507410:507429|offset_143|444444,507382:507401|offset_171|444444&amp;v=507281:507601&amp;c=444444", "offset 103")</f>
        <v>offset 103</v>
      </c>
    </row>
    <row r="1769" customFormat="false" ht="12.8" hidden="false" customHeight="false" outlineLevel="0" collapsed="false">
      <c r="A1769" s="0" t="s">
        <v>12</v>
      </c>
      <c r="B1769" s="0" t="n">
        <v>507409</v>
      </c>
      <c r="C1769" s="0" t="n">
        <v>507429</v>
      </c>
      <c r="D1769" s="0" t="s">
        <v>5889</v>
      </c>
      <c r="E1769" s="0" t="s">
        <v>89</v>
      </c>
      <c r="F1769" s="0" t="s">
        <v>90</v>
      </c>
      <c r="G1769" s="0" t="s">
        <v>36</v>
      </c>
      <c r="H1769" s="0" t="n">
        <v>143</v>
      </c>
      <c r="I1769" s="0" t="s">
        <v>5896</v>
      </c>
      <c r="J1769" s="0" t="s">
        <v>5897</v>
      </c>
      <c r="K1769" s="0" t="s">
        <v>5898</v>
      </c>
      <c r="L1769" s="0" t="str">
        <f aca="false">HYPERLINK("https://www.ncbi.nlm.nih.gov/nuccore/CP000304.1?report=graph&amp;tracks=[key:gene_model_track,Options:GeneOnly]&amp;mk=507482:507501|offset_71|444444,507450:507469|offset_103|444444,507410:507429|offset_143|00cc00,507382:507401|offset_171|444444&amp;v=507281:507601&amp;c=444444", "offset 143")</f>
        <v>offset 143</v>
      </c>
    </row>
    <row r="1770" customFormat="false" ht="12.8" hidden="false" customHeight="false" outlineLevel="0" collapsed="false">
      <c r="A1770" s="0" t="s">
        <v>12</v>
      </c>
      <c r="B1770" s="0" t="n">
        <v>507381</v>
      </c>
      <c r="C1770" s="0" t="n">
        <v>507401</v>
      </c>
      <c r="D1770" s="0" t="s">
        <v>5889</v>
      </c>
      <c r="E1770" s="0" t="s">
        <v>89</v>
      </c>
      <c r="F1770" s="0" t="s">
        <v>90</v>
      </c>
      <c r="G1770" s="0" t="s">
        <v>26</v>
      </c>
      <c r="H1770" s="0" t="n">
        <v>171</v>
      </c>
      <c r="I1770" s="0" t="s">
        <v>5899</v>
      </c>
      <c r="J1770" s="0" t="s">
        <v>5900</v>
      </c>
      <c r="K1770" s="0" t="s">
        <v>5901</v>
      </c>
      <c r="L1770" s="0" t="str">
        <f aca="false">HYPERLINK("https://www.ncbi.nlm.nih.gov/nuccore/CP000304.1?report=graph&amp;tracks=[key:gene_model_track,Options:GeneOnly]&amp;mk=507482:507501|offset_71|444444,507450:507469|offset_103|444444,507410:507429|offset_143|444444,507382:507401|offset_171|00cc00&amp;v=507281:507601&amp;c=444444", "offset 171")</f>
        <v>offset 171</v>
      </c>
    </row>
    <row r="1771" customFormat="false" ht="12.8" hidden="false" customHeight="false" outlineLevel="0" collapsed="false">
      <c r="A1771" s="0" t="s">
        <v>12</v>
      </c>
      <c r="B1771" s="0" t="n">
        <v>507581</v>
      </c>
      <c r="C1771" s="0" t="n">
        <v>507601</v>
      </c>
      <c r="D1771" s="0" t="s">
        <v>5902</v>
      </c>
      <c r="E1771" s="0" t="s">
        <v>89</v>
      </c>
      <c r="F1771" s="0" t="s">
        <v>15</v>
      </c>
      <c r="G1771" s="0" t="s">
        <v>16</v>
      </c>
      <c r="H1771" s="0" t="n">
        <v>63</v>
      </c>
      <c r="I1771" s="0" t="s">
        <v>5903</v>
      </c>
      <c r="J1771" s="0" t="s">
        <v>5904</v>
      </c>
      <c r="K1771" s="0" t="s">
        <v>5905</v>
      </c>
      <c r="L1771" s="0" t="str">
        <f aca="false">HYPERLINK("https://www.ncbi.nlm.nih.gov/nuccore/CP000304.1?report=graph&amp;tracks=[key:gene_model_track,Options:GeneOnly]&amp;mk=507582:507601|offset_63|00cc00,507616:507635|offset_97|444444,507640:507659|offset_121|444444,507673:507692|offset_154|444444&amp;v=507381:507892&amp;c=444444", "offset 63")</f>
        <v>offset 63</v>
      </c>
    </row>
    <row r="1772" customFormat="false" ht="12.8" hidden="false" customHeight="false" outlineLevel="0" collapsed="false">
      <c r="A1772" s="0" t="s">
        <v>12</v>
      </c>
      <c r="B1772" s="0" t="n">
        <v>507615</v>
      </c>
      <c r="C1772" s="0" t="n">
        <v>507635</v>
      </c>
      <c r="D1772" s="0" t="s">
        <v>5902</v>
      </c>
      <c r="E1772" s="0" t="s">
        <v>89</v>
      </c>
      <c r="F1772" s="0" t="s">
        <v>15</v>
      </c>
      <c r="G1772" s="0" t="s">
        <v>16</v>
      </c>
      <c r="H1772" s="0" t="n">
        <v>97</v>
      </c>
      <c r="I1772" s="0" t="s">
        <v>5906</v>
      </c>
      <c r="J1772" s="0" t="s">
        <v>5907</v>
      </c>
      <c r="K1772" s="0" t="s">
        <v>5908</v>
      </c>
      <c r="L1772" s="0" t="str">
        <f aca="false">HYPERLINK("https://www.ncbi.nlm.nih.gov/nuccore/CP000304.1?report=graph&amp;tracks=[key:gene_model_track,Options:GeneOnly]&amp;mk=507582:507601|offset_63|444444,507616:507635|offset_97|00cc00,507640:507659|offset_121|444444,507673:507692|offset_154|444444&amp;v=507381:507892&amp;c=444444", "offset 97")</f>
        <v>offset 97</v>
      </c>
    </row>
    <row r="1773" customFormat="false" ht="12.8" hidden="false" customHeight="false" outlineLevel="0" collapsed="false">
      <c r="A1773" s="0" t="s">
        <v>12</v>
      </c>
      <c r="B1773" s="0" t="n">
        <v>507639</v>
      </c>
      <c r="C1773" s="0" t="n">
        <v>507659</v>
      </c>
      <c r="D1773" s="0" t="s">
        <v>5902</v>
      </c>
      <c r="E1773" s="0" t="s">
        <v>89</v>
      </c>
      <c r="F1773" s="0" t="s">
        <v>15</v>
      </c>
      <c r="G1773" s="0" t="s">
        <v>16</v>
      </c>
      <c r="H1773" s="0" t="n">
        <v>121</v>
      </c>
      <c r="I1773" s="0" t="s">
        <v>5909</v>
      </c>
      <c r="J1773" s="0" t="s">
        <v>5910</v>
      </c>
      <c r="K1773" s="0" t="s">
        <v>5911</v>
      </c>
      <c r="L1773" s="0" t="str">
        <f aca="false">HYPERLINK("https://www.ncbi.nlm.nih.gov/nuccore/CP000304.1?report=graph&amp;tracks=[key:gene_model_track,Options:GeneOnly]&amp;mk=507582:507601|offset_63|444444,507616:507635|offset_97|444444,507640:507659|offset_121|00cc00,507673:507692|offset_154|444444&amp;v=507381:507892&amp;c=444444", "offset 121")</f>
        <v>offset 121</v>
      </c>
    </row>
    <row r="1774" customFormat="false" ht="12.8" hidden="false" customHeight="false" outlineLevel="0" collapsed="false">
      <c r="A1774" s="0" t="s">
        <v>12</v>
      </c>
      <c r="B1774" s="0" t="n">
        <v>507672</v>
      </c>
      <c r="C1774" s="0" t="n">
        <v>507692</v>
      </c>
      <c r="D1774" s="0" t="s">
        <v>5902</v>
      </c>
      <c r="E1774" s="0" t="s">
        <v>89</v>
      </c>
      <c r="F1774" s="0" t="s">
        <v>15</v>
      </c>
      <c r="G1774" s="0" t="s">
        <v>36</v>
      </c>
      <c r="H1774" s="0" t="n">
        <v>154</v>
      </c>
      <c r="I1774" s="0" t="s">
        <v>5912</v>
      </c>
      <c r="J1774" s="0" t="s">
        <v>5913</v>
      </c>
      <c r="K1774" s="0" t="s">
        <v>5914</v>
      </c>
      <c r="L1774" s="0" t="str">
        <f aca="false">HYPERLINK("https://www.ncbi.nlm.nih.gov/nuccore/CP000304.1?report=graph&amp;tracks=[key:gene_model_track,Options:GeneOnly]&amp;mk=507582:507601|offset_63|444444,507616:507635|offset_97|444444,507640:507659|offset_121|444444,507673:507692|offset_154|00cc00&amp;v=507381:507892&amp;c=444444", "offset 154")</f>
        <v>offset 154</v>
      </c>
    </row>
    <row r="1775" customFormat="false" ht="12.8" hidden="false" customHeight="false" outlineLevel="0" collapsed="false">
      <c r="A1775" s="0" t="s">
        <v>12</v>
      </c>
      <c r="B1775" s="0" t="n">
        <v>509662</v>
      </c>
      <c r="C1775" s="0" t="n">
        <v>509682</v>
      </c>
      <c r="D1775" s="0" t="s">
        <v>5915</v>
      </c>
      <c r="E1775" s="0" t="s">
        <v>89</v>
      </c>
      <c r="F1775" s="0" t="s">
        <v>90</v>
      </c>
      <c r="G1775" s="0" t="s">
        <v>16</v>
      </c>
      <c r="H1775" s="0" t="n">
        <v>22</v>
      </c>
      <c r="I1775" s="0" t="s">
        <v>5916</v>
      </c>
      <c r="J1775" s="0" t="s">
        <v>5917</v>
      </c>
      <c r="K1775" s="0" t="s">
        <v>5918</v>
      </c>
      <c r="L1775" s="0" t="str">
        <f aca="false">HYPERLINK("https://www.ncbi.nlm.nih.gov/nuccore/CP000304.1?report=graph&amp;tracks=[key:gene_model_track,Options:GeneOnly]&amp;mk=509663:509682|offset_22|00cc00,509642:509661|offset_43|444444,509594:509613|offset_91|444444,509572:509591|offset_113|444444&amp;v=509462:509791&amp;c=444444", "offset 22")</f>
        <v>offset 22</v>
      </c>
    </row>
    <row r="1776" customFormat="false" ht="12.8" hidden="false" customHeight="false" outlineLevel="0" collapsed="false">
      <c r="A1776" s="0" t="s">
        <v>12</v>
      </c>
      <c r="B1776" s="0" t="n">
        <v>509641</v>
      </c>
      <c r="C1776" s="0" t="n">
        <v>509661</v>
      </c>
      <c r="D1776" s="0" t="s">
        <v>5915</v>
      </c>
      <c r="E1776" s="0" t="s">
        <v>89</v>
      </c>
      <c r="F1776" s="0" t="s">
        <v>90</v>
      </c>
      <c r="G1776" s="0" t="s">
        <v>36</v>
      </c>
      <c r="H1776" s="0" t="n">
        <v>43</v>
      </c>
      <c r="I1776" s="0" t="s">
        <v>5919</v>
      </c>
      <c r="J1776" s="0" t="s">
        <v>5920</v>
      </c>
      <c r="K1776" s="0" t="s">
        <v>5921</v>
      </c>
      <c r="L1776" s="0" t="str">
        <f aca="false">HYPERLINK("https://www.ncbi.nlm.nih.gov/nuccore/CP000304.1?report=graph&amp;tracks=[key:gene_model_track,Options:GeneOnly]&amp;mk=509663:509682|offset_22|444444,509642:509661|offset_43|00cc00,509594:509613|offset_91|444444,509572:509591|offset_113|444444&amp;v=509462:509791&amp;c=444444", "offset 43")</f>
        <v>offset 43</v>
      </c>
    </row>
    <row r="1777" customFormat="false" ht="12.8" hidden="false" customHeight="false" outlineLevel="0" collapsed="false">
      <c r="A1777" s="0" t="s">
        <v>12</v>
      </c>
      <c r="B1777" s="0" t="n">
        <v>509593</v>
      </c>
      <c r="C1777" s="0" t="n">
        <v>509613</v>
      </c>
      <c r="D1777" s="0" t="s">
        <v>5915</v>
      </c>
      <c r="E1777" s="0" t="s">
        <v>89</v>
      </c>
      <c r="F1777" s="0" t="s">
        <v>90</v>
      </c>
      <c r="G1777" s="0" t="s">
        <v>36</v>
      </c>
      <c r="H1777" s="0" t="n">
        <v>91</v>
      </c>
      <c r="I1777" s="0" t="s">
        <v>5922</v>
      </c>
      <c r="J1777" s="0" t="s">
        <v>5923</v>
      </c>
      <c r="K1777" s="0" t="s">
        <v>5924</v>
      </c>
      <c r="L1777" s="0" t="str">
        <f aca="false">HYPERLINK("https://www.ncbi.nlm.nih.gov/nuccore/CP000304.1?report=graph&amp;tracks=[key:gene_model_track,Options:GeneOnly]&amp;mk=509663:509682|offset_22|444444,509642:509661|offset_43|444444,509594:509613|offset_91|00cc00,509572:509591|offset_113|444444&amp;v=509462:509791&amp;c=444444", "offset 91")</f>
        <v>offset 91</v>
      </c>
    </row>
    <row r="1778" customFormat="false" ht="12.8" hidden="false" customHeight="false" outlineLevel="0" collapsed="false">
      <c r="A1778" s="0" t="s">
        <v>12</v>
      </c>
      <c r="B1778" s="0" t="n">
        <v>509571</v>
      </c>
      <c r="C1778" s="0" t="n">
        <v>509591</v>
      </c>
      <c r="D1778" s="0" t="s">
        <v>5915</v>
      </c>
      <c r="E1778" s="0" t="s">
        <v>89</v>
      </c>
      <c r="F1778" s="0" t="s">
        <v>90</v>
      </c>
      <c r="G1778" s="0" t="s">
        <v>26</v>
      </c>
      <c r="H1778" s="0" t="n">
        <v>113</v>
      </c>
      <c r="I1778" s="0" t="s">
        <v>5925</v>
      </c>
      <c r="J1778" s="0" t="s">
        <v>5926</v>
      </c>
      <c r="K1778" s="0" t="s">
        <v>5927</v>
      </c>
      <c r="L1778" s="0" t="str">
        <f aca="false">HYPERLINK("https://www.ncbi.nlm.nih.gov/nuccore/CP000304.1?report=graph&amp;tracks=[key:gene_model_track,Options:GeneOnly]&amp;mk=509663:509682|offset_22|444444,509642:509661|offset_43|444444,509594:509613|offset_91|444444,509572:509591|offset_113|00cc00&amp;v=509462:509791&amp;c=444444", "offset 113")</f>
        <v>offset 113</v>
      </c>
    </row>
    <row r="1779" customFormat="false" ht="12.8" hidden="false" customHeight="false" outlineLevel="0" collapsed="false">
      <c r="A1779" s="0" t="s">
        <v>12</v>
      </c>
      <c r="B1779" s="0" t="n">
        <v>511886</v>
      </c>
      <c r="C1779" s="0" t="n">
        <v>511906</v>
      </c>
      <c r="D1779" s="0" t="s">
        <v>5928</v>
      </c>
      <c r="E1779" s="0" t="s">
        <v>89</v>
      </c>
      <c r="F1779" s="0" t="s">
        <v>90</v>
      </c>
      <c r="G1779" s="0" t="s">
        <v>32</v>
      </c>
      <c r="H1779" s="0" t="n">
        <v>8</v>
      </c>
      <c r="I1779" s="0" t="s">
        <v>5929</v>
      </c>
      <c r="J1779" s="0" t="s">
        <v>5930</v>
      </c>
      <c r="K1779" s="0" t="s">
        <v>5931</v>
      </c>
      <c r="L1779" s="0" t="str">
        <f aca="false">HYPERLINK("https://www.ncbi.nlm.nih.gov/nuccore/CP000304.1?report=graph&amp;tracks=[key:gene_model_track,Options:GeneOnly]&amp;mk=511887:511906|offset_8|00cc00,511864:511883|offset_31|444444,511830:511849|offset_65|444444,511797:511816|offset_98|444444&amp;v=511686:512016&amp;c=444444", "offset 8")</f>
        <v>offset 8</v>
      </c>
    </row>
    <row r="1780" customFormat="false" ht="12.8" hidden="false" customHeight="false" outlineLevel="0" collapsed="false">
      <c r="A1780" s="0" t="s">
        <v>12</v>
      </c>
      <c r="B1780" s="0" t="n">
        <v>511863</v>
      </c>
      <c r="C1780" s="0" t="n">
        <v>511883</v>
      </c>
      <c r="D1780" s="0" t="s">
        <v>5928</v>
      </c>
      <c r="E1780" s="0" t="s">
        <v>89</v>
      </c>
      <c r="F1780" s="0" t="s">
        <v>90</v>
      </c>
      <c r="G1780" s="0" t="s">
        <v>36</v>
      </c>
      <c r="H1780" s="0" t="n">
        <v>31</v>
      </c>
      <c r="I1780" s="0" t="s">
        <v>5932</v>
      </c>
      <c r="J1780" s="0" t="s">
        <v>5933</v>
      </c>
      <c r="K1780" s="0" t="s">
        <v>5934</v>
      </c>
      <c r="L1780" s="0" t="str">
        <f aca="false">HYPERLINK("https://www.ncbi.nlm.nih.gov/nuccore/CP000304.1?report=graph&amp;tracks=[key:gene_model_track,Options:GeneOnly]&amp;mk=511887:511906|offset_8|444444,511864:511883|offset_31|00cc00,511830:511849|offset_65|444444,511797:511816|offset_98|444444&amp;v=511686:512016&amp;c=444444", "offset 31")</f>
        <v>offset 31</v>
      </c>
    </row>
    <row r="1781" customFormat="false" ht="12.8" hidden="false" customHeight="false" outlineLevel="0" collapsed="false">
      <c r="A1781" s="0" t="s">
        <v>12</v>
      </c>
      <c r="B1781" s="0" t="n">
        <v>511829</v>
      </c>
      <c r="C1781" s="0" t="n">
        <v>511849</v>
      </c>
      <c r="D1781" s="0" t="s">
        <v>5928</v>
      </c>
      <c r="E1781" s="0" t="s">
        <v>89</v>
      </c>
      <c r="F1781" s="0" t="s">
        <v>90</v>
      </c>
      <c r="G1781" s="0" t="s">
        <v>26</v>
      </c>
      <c r="H1781" s="0" t="n">
        <v>65</v>
      </c>
      <c r="I1781" s="0" t="s">
        <v>5935</v>
      </c>
      <c r="J1781" s="0" t="s">
        <v>5936</v>
      </c>
      <c r="K1781" s="0" t="s">
        <v>5937</v>
      </c>
      <c r="L1781" s="0" t="str">
        <f aca="false">HYPERLINK("https://www.ncbi.nlm.nih.gov/nuccore/CP000304.1?report=graph&amp;tracks=[key:gene_model_track,Options:GeneOnly]&amp;mk=511887:511906|offset_8|444444,511864:511883|offset_31|444444,511830:511849|offset_65|00cc00,511797:511816|offset_98|444444&amp;v=511686:512016&amp;c=444444", "offset 65")</f>
        <v>offset 65</v>
      </c>
    </row>
    <row r="1782" customFormat="false" ht="12.8" hidden="false" customHeight="false" outlineLevel="0" collapsed="false">
      <c r="A1782" s="0" t="s">
        <v>12</v>
      </c>
      <c r="B1782" s="0" t="n">
        <v>511796</v>
      </c>
      <c r="C1782" s="0" t="n">
        <v>511816</v>
      </c>
      <c r="D1782" s="0" t="s">
        <v>5928</v>
      </c>
      <c r="E1782" s="0" t="s">
        <v>89</v>
      </c>
      <c r="F1782" s="0" t="s">
        <v>90</v>
      </c>
      <c r="G1782" s="0" t="s">
        <v>26</v>
      </c>
      <c r="H1782" s="0" t="n">
        <v>98</v>
      </c>
      <c r="I1782" s="0" t="s">
        <v>5938</v>
      </c>
      <c r="J1782" s="0" t="s">
        <v>5939</v>
      </c>
      <c r="K1782" s="0" t="s">
        <v>5940</v>
      </c>
      <c r="L1782" s="0" t="str">
        <f aca="false">HYPERLINK("https://www.ncbi.nlm.nih.gov/nuccore/CP000304.1?report=graph&amp;tracks=[key:gene_model_track,Options:GeneOnly]&amp;mk=511887:511906|offset_8|444444,511864:511883|offset_31|444444,511830:511849|offset_65|444444,511797:511816|offset_98|00cc00&amp;v=511686:512016&amp;c=444444", "offset 98")</f>
        <v>offset 98</v>
      </c>
    </row>
    <row r="1783" customFormat="false" ht="12.8" hidden="false" customHeight="false" outlineLevel="0" collapsed="false">
      <c r="A1783" s="0" t="s">
        <v>12</v>
      </c>
      <c r="B1783" s="0" t="n">
        <v>512357</v>
      </c>
      <c r="C1783" s="0" t="n">
        <v>512377</v>
      </c>
      <c r="D1783" s="0" t="s">
        <v>5941</v>
      </c>
      <c r="E1783" s="0" t="s">
        <v>89</v>
      </c>
      <c r="F1783" s="0" t="s">
        <v>90</v>
      </c>
      <c r="G1783" s="0" t="s">
        <v>32</v>
      </c>
      <c r="H1783" s="0" t="n">
        <v>1</v>
      </c>
      <c r="I1783" s="0" t="s">
        <v>5942</v>
      </c>
      <c r="J1783" s="0" t="s">
        <v>5943</v>
      </c>
      <c r="K1783" s="0" t="s">
        <v>5944</v>
      </c>
      <c r="L1783" s="0" t="str">
        <f aca="false">HYPERLINK("https://www.ncbi.nlm.nih.gov/nuccore/CP000304.1?report=graph&amp;tracks=[key:gene_model_track,Options:GeneOnly]&amp;mk=512358:512377|offset_1|00cc00,512311:512330|offset_48|444444,512285:512304|offset_74|444444,512262:512281|offset_97|444444&amp;v=512157:512481&amp;c=444444", "offset 1")</f>
        <v>offset 1</v>
      </c>
    </row>
    <row r="1784" customFormat="false" ht="12.8" hidden="false" customHeight="false" outlineLevel="0" collapsed="false">
      <c r="A1784" s="0" t="s">
        <v>12</v>
      </c>
      <c r="B1784" s="0" t="n">
        <v>512310</v>
      </c>
      <c r="C1784" s="0" t="n">
        <v>512330</v>
      </c>
      <c r="D1784" s="0" t="s">
        <v>5941</v>
      </c>
      <c r="E1784" s="0" t="s">
        <v>89</v>
      </c>
      <c r="F1784" s="0" t="s">
        <v>90</v>
      </c>
      <c r="G1784" s="0" t="s">
        <v>36</v>
      </c>
      <c r="H1784" s="0" t="n">
        <v>48</v>
      </c>
      <c r="I1784" s="0" t="s">
        <v>5945</v>
      </c>
      <c r="J1784" s="0" t="s">
        <v>5946</v>
      </c>
      <c r="K1784" s="0" t="s">
        <v>5947</v>
      </c>
      <c r="L1784" s="0" t="str">
        <f aca="false">HYPERLINK("https://www.ncbi.nlm.nih.gov/nuccore/CP000304.1?report=graph&amp;tracks=[key:gene_model_track,Options:GeneOnly]&amp;mk=512358:512377|offset_1|444444,512311:512330|offset_48|00cc00,512285:512304|offset_74|444444,512262:512281|offset_97|444444&amp;v=512157:512481&amp;c=444444", "offset 48")</f>
        <v>offset 48</v>
      </c>
    </row>
    <row r="1785" customFormat="false" ht="12.8" hidden="false" customHeight="false" outlineLevel="0" collapsed="false">
      <c r="A1785" s="0" t="s">
        <v>12</v>
      </c>
      <c r="B1785" s="0" t="n">
        <v>512284</v>
      </c>
      <c r="C1785" s="0" t="n">
        <v>512304</v>
      </c>
      <c r="D1785" s="0" t="s">
        <v>5941</v>
      </c>
      <c r="E1785" s="0" t="s">
        <v>89</v>
      </c>
      <c r="F1785" s="0" t="s">
        <v>90</v>
      </c>
      <c r="G1785" s="0" t="s">
        <v>26</v>
      </c>
      <c r="H1785" s="0" t="n">
        <v>74</v>
      </c>
      <c r="I1785" s="0" t="s">
        <v>5948</v>
      </c>
      <c r="J1785" s="0" t="s">
        <v>5949</v>
      </c>
      <c r="K1785" s="0" t="s">
        <v>5950</v>
      </c>
      <c r="L1785" s="0" t="str">
        <f aca="false">HYPERLINK("https://www.ncbi.nlm.nih.gov/nuccore/CP000304.1?report=graph&amp;tracks=[key:gene_model_track,Options:GeneOnly]&amp;mk=512358:512377|offset_1|444444,512311:512330|offset_48|444444,512285:512304|offset_74|00cc00,512262:512281|offset_97|444444&amp;v=512157:512481&amp;c=444444", "offset 74")</f>
        <v>offset 74</v>
      </c>
    </row>
    <row r="1786" customFormat="false" ht="12.8" hidden="false" customHeight="false" outlineLevel="0" collapsed="false">
      <c r="A1786" s="0" t="s">
        <v>12</v>
      </c>
      <c r="B1786" s="0" t="n">
        <v>512261</v>
      </c>
      <c r="C1786" s="0" t="n">
        <v>512281</v>
      </c>
      <c r="D1786" s="0" t="s">
        <v>5941</v>
      </c>
      <c r="E1786" s="0" t="s">
        <v>89</v>
      </c>
      <c r="F1786" s="0" t="s">
        <v>90</v>
      </c>
      <c r="G1786" s="0" t="s">
        <v>16</v>
      </c>
      <c r="H1786" s="0" t="n">
        <v>97</v>
      </c>
      <c r="I1786" s="0" t="s">
        <v>5951</v>
      </c>
      <c r="J1786" s="0" t="s">
        <v>5952</v>
      </c>
      <c r="K1786" s="0" t="s">
        <v>5953</v>
      </c>
      <c r="L1786" s="0" t="str">
        <f aca="false">HYPERLINK("https://www.ncbi.nlm.nih.gov/nuccore/CP000304.1?report=graph&amp;tracks=[key:gene_model_track,Options:GeneOnly]&amp;mk=512358:512377|offset_1|444444,512311:512330|offset_48|444444,512285:512304|offset_74|444444,512262:512281|offset_97|00cc00&amp;v=512157:512481&amp;c=444444", "offset 97")</f>
        <v>offset 97</v>
      </c>
    </row>
    <row r="1787" customFormat="false" ht="12.8" hidden="false" customHeight="false" outlineLevel="0" collapsed="false">
      <c r="A1787" s="0" t="s">
        <v>12</v>
      </c>
      <c r="B1787" s="0" t="n">
        <v>512489</v>
      </c>
      <c r="C1787" s="0" t="n">
        <v>512509</v>
      </c>
      <c r="D1787" s="0" t="s">
        <v>5954</v>
      </c>
      <c r="E1787" s="0" t="s">
        <v>89</v>
      </c>
      <c r="F1787" s="0" t="s">
        <v>15</v>
      </c>
      <c r="G1787" s="0" t="s">
        <v>16</v>
      </c>
      <c r="H1787" s="0" t="n">
        <v>63</v>
      </c>
      <c r="I1787" s="0" t="s">
        <v>5955</v>
      </c>
      <c r="J1787" s="0" t="s">
        <v>5956</v>
      </c>
      <c r="K1787" s="0" t="s">
        <v>5957</v>
      </c>
      <c r="L1787" s="0" t="str">
        <f aca="false">HYPERLINK("https://www.ncbi.nlm.nih.gov/nuccore/CP000304.1?report=graph&amp;tracks=[key:gene_model_track,Options:GeneOnly]&amp;mk=512490:512509|offset_63|00cc00,512526:512545|offset_99|444444,512569:512588|offset_142|444444,512608:512627|offset_181|444444&amp;v=512289:512827&amp;c=444444", "offset 63")</f>
        <v>offset 63</v>
      </c>
    </row>
    <row r="1788" customFormat="false" ht="12.8" hidden="false" customHeight="false" outlineLevel="0" collapsed="false">
      <c r="A1788" s="0" t="s">
        <v>12</v>
      </c>
      <c r="B1788" s="0" t="n">
        <v>512525</v>
      </c>
      <c r="C1788" s="0" t="n">
        <v>512545</v>
      </c>
      <c r="D1788" s="0" t="s">
        <v>5954</v>
      </c>
      <c r="E1788" s="0" t="s">
        <v>89</v>
      </c>
      <c r="F1788" s="0" t="s">
        <v>15</v>
      </c>
      <c r="G1788" s="0" t="s">
        <v>32</v>
      </c>
      <c r="H1788" s="0" t="n">
        <v>99</v>
      </c>
      <c r="I1788" s="0" t="s">
        <v>5958</v>
      </c>
      <c r="J1788" s="0" t="s">
        <v>5959</v>
      </c>
      <c r="K1788" s="0" t="s">
        <v>5960</v>
      </c>
      <c r="L1788" s="0" t="str">
        <f aca="false">HYPERLINK("https://www.ncbi.nlm.nih.gov/nuccore/CP000304.1?report=graph&amp;tracks=[key:gene_model_track,Options:GeneOnly]&amp;mk=512490:512509|offset_63|444444,512526:512545|offset_99|00cc00,512569:512588|offset_142|444444,512608:512627|offset_181|444444&amp;v=512289:512827&amp;c=444444", "offset 99")</f>
        <v>offset 99</v>
      </c>
    </row>
    <row r="1789" customFormat="false" ht="12.8" hidden="false" customHeight="false" outlineLevel="0" collapsed="false">
      <c r="A1789" s="0" t="s">
        <v>12</v>
      </c>
      <c r="B1789" s="0" t="n">
        <v>512568</v>
      </c>
      <c r="C1789" s="0" t="n">
        <v>512588</v>
      </c>
      <c r="D1789" s="0" t="s">
        <v>5954</v>
      </c>
      <c r="E1789" s="0" t="s">
        <v>89</v>
      </c>
      <c r="F1789" s="0" t="s">
        <v>15</v>
      </c>
      <c r="G1789" s="0" t="s">
        <v>16</v>
      </c>
      <c r="H1789" s="0" t="n">
        <v>142</v>
      </c>
      <c r="I1789" s="0" t="s">
        <v>5961</v>
      </c>
      <c r="J1789" s="0" t="s">
        <v>5962</v>
      </c>
      <c r="K1789" s="0" t="s">
        <v>5963</v>
      </c>
      <c r="L1789" s="0" t="str">
        <f aca="false">HYPERLINK("https://www.ncbi.nlm.nih.gov/nuccore/CP000304.1?report=graph&amp;tracks=[key:gene_model_track,Options:GeneOnly]&amp;mk=512490:512509|offset_63|444444,512526:512545|offset_99|444444,512569:512588|offset_142|00cc00,512608:512627|offset_181|444444&amp;v=512289:512827&amp;c=444444", "offset 142")</f>
        <v>offset 142</v>
      </c>
    </row>
    <row r="1790" customFormat="false" ht="12.8" hidden="false" customHeight="false" outlineLevel="0" collapsed="false">
      <c r="A1790" s="0" t="s">
        <v>12</v>
      </c>
      <c r="B1790" s="0" t="n">
        <v>512607</v>
      </c>
      <c r="C1790" s="0" t="n">
        <v>512627</v>
      </c>
      <c r="D1790" s="0" t="s">
        <v>5954</v>
      </c>
      <c r="E1790" s="0" t="s">
        <v>89</v>
      </c>
      <c r="F1790" s="0" t="s">
        <v>15</v>
      </c>
      <c r="G1790" s="0" t="s">
        <v>36</v>
      </c>
      <c r="H1790" s="0" t="n">
        <v>181</v>
      </c>
      <c r="I1790" s="0" t="s">
        <v>5964</v>
      </c>
      <c r="J1790" s="0" t="s">
        <v>5965</v>
      </c>
      <c r="K1790" s="0" t="s">
        <v>5966</v>
      </c>
      <c r="L1790" s="0" t="str">
        <f aca="false">HYPERLINK("https://www.ncbi.nlm.nih.gov/nuccore/CP000304.1?report=graph&amp;tracks=[key:gene_model_track,Options:GeneOnly]&amp;mk=512490:512509|offset_63|444444,512526:512545|offset_99|444444,512569:512588|offset_142|444444,512608:512627|offset_181|00cc00&amp;v=512289:512827&amp;c=444444", "offset 181")</f>
        <v>offset 181</v>
      </c>
    </row>
    <row r="1791" customFormat="false" ht="12.8" hidden="false" customHeight="false" outlineLevel="0" collapsed="false">
      <c r="A1791" s="0" t="s">
        <v>12</v>
      </c>
      <c r="B1791" s="0" t="n">
        <v>513170</v>
      </c>
      <c r="C1791" s="0" t="n">
        <v>513190</v>
      </c>
      <c r="D1791" s="0" t="s">
        <v>5967</v>
      </c>
      <c r="E1791" s="0" t="s">
        <v>89</v>
      </c>
      <c r="F1791" s="0" t="s">
        <v>15</v>
      </c>
      <c r="G1791" s="0" t="s">
        <v>26</v>
      </c>
      <c r="H1791" s="0" t="n">
        <v>34</v>
      </c>
      <c r="I1791" s="0" t="s">
        <v>5968</v>
      </c>
      <c r="J1791" s="0" t="s">
        <v>5969</v>
      </c>
      <c r="K1791" s="0" t="s">
        <v>5970</v>
      </c>
      <c r="L1791" s="0" t="str">
        <f aca="false">HYPERLINK("https://www.ncbi.nlm.nih.gov/nuccore/CP000304.1?report=graph&amp;tracks=[key:gene_model_track,Options:GeneOnly]&amp;mk=513171:513190|offset_34|00cc00,513213:513232|offset_76|444444,513248:513267|offset_111|444444,513272:513291|offset_135|444444&amp;v=512970:513491&amp;c=444444", "offset 34")</f>
        <v>offset 34</v>
      </c>
    </row>
    <row r="1792" customFormat="false" ht="12.8" hidden="false" customHeight="false" outlineLevel="0" collapsed="false">
      <c r="A1792" s="0" t="s">
        <v>12</v>
      </c>
      <c r="B1792" s="0" t="n">
        <v>513212</v>
      </c>
      <c r="C1792" s="0" t="n">
        <v>513232</v>
      </c>
      <c r="D1792" s="0" t="s">
        <v>5967</v>
      </c>
      <c r="E1792" s="0" t="s">
        <v>89</v>
      </c>
      <c r="F1792" s="0" t="s">
        <v>15</v>
      </c>
      <c r="G1792" s="0" t="s">
        <v>16</v>
      </c>
      <c r="H1792" s="0" t="n">
        <v>76</v>
      </c>
      <c r="I1792" s="0" t="s">
        <v>5971</v>
      </c>
      <c r="J1792" s="0" t="s">
        <v>5972</v>
      </c>
      <c r="K1792" s="0" t="s">
        <v>5973</v>
      </c>
      <c r="L1792" s="0" t="str">
        <f aca="false">HYPERLINK("https://www.ncbi.nlm.nih.gov/nuccore/CP000304.1?report=graph&amp;tracks=[key:gene_model_track,Options:GeneOnly]&amp;mk=513171:513190|offset_34|444444,513213:513232|offset_76|00cc00,513248:513267|offset_111|444444,513272:513291|offset_135|444444&amp;v=512970:513491&amp;c=444444", "offset 76")</f>
        <v>offset 76</v>
      </c>
    </row>
    <row r="1793" customFormat="false" ht="12.8" hidden="false" customHeight="false" outlineLevel="0" collapsed="false">
      <c r="A1793" s="0" t="s">
        <v>12</v>
      </c>
      <c r="B1793" s="0" t="n">
        <v>513247</v>
      </c>
      <c r="C1793" s="0" t="n">
        <v>513267</v>
      </c>
      <c r="D1793" s="0" t="s">
        <v>5967</v>
      </c>
      <c r="E1793" s="0" t="s">
        <v>89</v>
      </c>
      <c r="F1793" s="0" t="s">
        <v>15</v>
      </c>
      <c r="G1793" s="0" t="s">
        <v>16</v>
      </c>
      <c r="H1793" s="0" t="n">
        <v>111</v>
      </c>
      <c r="I1793" s="0" t="s">
        <v>5974</v>
      </c>
      <c r="J1793" s="0" t="s">
        <v>5975</v>
      </c>
      <c r="K1793" s="0" t="s">
        <v>5976</v>
      </c>
      <c r="L1793" s="0" t="str">
        <f aca="false">HYPERLINK("https://www.ncbi.nlm.nih.gov/nuccore/CP000304.1?report=graph&amp;tracks=[key:gene_model_track,Options:GeneOnly]&amp;mk=513171:513190|offset_34|444444,513213:513232|offset_76|444444,513248:513267|offset_111|00cc00,513272:513291|offset_135|444444&amp;v=512970:513491&amp;c=444444", "offset 111")</f>
        <v>offset 111</v>
      </c>
    </row>
    <row r="1794" customFormat="false" ht="12.8" hidden="false" customHeight="false" outlineLevel="0" collapsed="false">
      <c r="A1794" s="0" t="s">
        <v>12</v>
      </c>
      <c r="B1794" s="0" t="n">
        <v>513271</v>
      </c>
      <c r="C1794" s="0" t="n">
        <v>513291</v>
      </c>
      <c r="D1794" s="0" t="s">
        <v>5967</v>
      </c>
      <c r="E1794" s="0" t="s">
        <v>89</v>
      </c>
      <c r="F1794" s="0" t="s">
        <v>15</v>
      </c>
      <c r="G1794" s="0" t="s">
        <v>26</v>
      </c>
      <c r="H1794" s="0" t="n">
        <v>135</v>
      </c>
      <c r="I1794" s="0" t="s">
        <v>5977</v>
      </c>
      <c r="J1794" s="0" t="s">
        <v>5978</v>
      </c>
      <c r="K1794" s="0" t="s">
        <v>5979</v>
      </c>
      <c r="L1794" s="0" t="str">
        <f aca="false">HYPERLINK("https://www.ncbi.nlm.nih.gov/nuccore/CP000304.1?report=graph&amp;tracks=[key:gene_model_track,Options:GeneOnly]&amp;mk=513171:513190|offset_34|444444,513213:513232|offset_76|444444,513248:513267|offset_111|444444,513272:513291|offset_135|00cc00&amp;v=512970:513491&amp;c=444444", "offset 135")</f>
        <v>offset 135</v>
      </c>
    </row>
    <row r="1795" customFormat="false" ht="12.8" hidden="false" customHeight="false" outlineLevel="0" collapsed="false">
      <c r="A1795" s="0" t="s">
        <v>12</v>
      </c>
      <c r="B1795" s="0" t="n">
        <v>514076</v>
      </c>
      <c r="C1795" s="0" t="n">
        <v>514096</v>
      </c>
      <c r="D1795" s="0" t="s">
        <v>5980</v>
      </c>
      <c r="E1795" s="0" t="s">
        <v>89</v>
      </c>
      <c r="F1795" s="0" t="s">
        <v>90</v>
      </c>
      <c r="G1795" s="0" t="s">
        <v>32</v>
      </c>
      <c r="H1795" s="0" t="n">
        <v>1</v>
      </c>
      <c r="I1795" s="0" t="s">
        <v>5981</v>
      </c>
      <c r="J1795" s="0" t="s">
        <v>5982</v>
      </c>
      <c r="K1795" s="0" t="s">
        <v>5983</v>
      </c>
      <c r="L1795" s="0" t="str">
        <f aca="false">HYPERLINK("https://www.ncbi.nlm.nih.gov/nuccore/CP000304.1?report=graph&amp;tracks=[key:gene_model_track,Options:GeneOnly]&amp;mk=514077:514096|offset_1|00cc00,514053:514072|offset_25|444444,514026:514045|offset_52|444444,514005:514024|offset_73|444444&amp;v=513876:514224&amp;c=444444", "offset 1")</f>
        <v>offset 1</v>
      </c>
    </row>
    <row r="1796" customFormat="false" ht="12.8" hidden="false" customHeight="false" outlineLevel="0" collapsed="false">
      <c r="A1796" s="0" t="s">
        <v>12</v>
      </c>
      <c r="B1796" s="0" t="n">
        <v>514052</v>
      </c>
      <c r="C1796" s="0" t="n">
        <v>514072</v>
      </c>
      <c r="D1796" s="0" t="s">
        <v>5980</v>
      </c>
      <c r="E1796" s="0" t="s">
        <v>89</v>
      </c>
      <c r="F1796" s="0" t="s">
        <v>90</v>
      </c>
      <c r="G1796" s="0" t="s">
        <v>16</v>
      </c>
      <c r="H1796" s="0" t="n">
        <v>25</v>
      </c>
      <c r="I1796" s="0" t="s">
        <v>5984</v>
      </c>
      <c r="J1796" s="0" t="s">
        <v>5985</v>
      </c>
      <c r="K1796" s="0" t="s">
        <v>5986</v>
      </c>
      <c r="L1796" s="0" t="str">
        <f aca="false">HYPERLINK("https://www.ncbi.nlm.nih.gov/nuccore/CP000304.1?report=graph&amp;tracks=[key:gene_model_track,Options:GeneOnly]&amp;mk=514077:514096|offset_1|444444,514053:514072|offset_25|00cc00,514026:514045|offset_52|444444,514005:514024|offset_73|444444&amp;v=513876:514224&amp;c=444444", "offset 25")</f>
        <v>offset 25</v>
      </c>
    </row>
    <row r="1797" customFormat="false" ht="12.8" hidden="false" customHeight="false" outlineLevel="0" collapsed="false">
      <c r="A1797" s="0" t="s">
        <v>12</v>
      </c>
      <c r="B1797" s="0" t="n">
        <v>514025</v>
      </c>
      <c r="C1797" s="0" t="n">
        <v>514045</v>
      </c>
      <c r="D1797" s="0" t="s">
        <v>5980</v>
      </c>
      <c r="E1797" s="0" t="s">
        <v>89</v>
      </c>
      <c r="F1797" s="0" t="s">
        <v>90</v>
      </c>
      <c r="G1797" s="0" t="s">
        <v>26</v>
      </c>
      <c r="H1797" s="0" t="n">
        <v>52</v>
      </c>
      <c r="I1797" s="0" t="s">
        <v>5987</v>
      </c>
      <c r="J1797" s="0" t="s">
        <v>5988</v>
      </c>
      <c r="K1797" s="0" t="s">
        <v>5989</v>
      </c>
      <c r="L1797" s="0" t="str">
        <f aca="false">HYPERLINK("https://www.ncbi.nlm.nih.gov/nuccore/CP000304.1?report=graph&amp;tracks=[key:gene_model_track,Options:GeneOnly]&amp;mk=514077:514096|offset_1|444444,514053:514072|offset_25|444444,514026:514045|offset_52|00cc00,514005:514024|offset_73|444444&amp;v=513876:514224&amp;c=444444", "offset 52")</f>
        <v>offset 52</v>
      </c>
    </row>
    <row r="1798" customFormat="false" ht="12.8" hidden="false" customHeight="false" outlineLevel="0" collapsed="false">
      <c r="A1798" s="0" t="s">
        <v>12</v>
      </c>
      <c r="B1798" s="0" t="n">
        <v>514004</v>
      </c>
      <c r="C1798" s="0" t="n">
        <v>514024</v>
      </c>
      <c r="D1798" s="0" t="s">
        <v>5980</v>
      </c>
      <c r="E1798" s="0" t="s">
        <v>89</v>
      </c>
      <c r="F1798" s="0" t="s">
        <v>90</v>
      </c>
      <c r="G1798" s="0" t="s">
        <v>16</v>
      </c>
      <c r="H1798" s="0" t="n">
        <v>73</v>
      </c>
      <c r="I1798" s="0" t="s">
        <v>5990</v>
      </c>
      <c r="J1798" s="0" t="s">
        <v>5991</v>
      </c>
      <c r="K1798" s="0" t="s">
        <v>5992</v>
      </c>
      <c r="L1798" s="0" t="str">
        <f aca="false">HYPERLINK("https://www.ncbi.nlm.nih.gov/nuccore/CP000304.1?report=graph&amp;tracks=[key:gene_model_track,Options:GeneOnly]&amp;mk=514077:514096|offset_1|444444,514053:514072|offset_25|444444,514026:514045|offset_52|444444,514005:514024|offset_73|00cc00&amp;v=513876:514224&amp;c=444444", "offset 73")</f>
        <v>offset 73</v>
      </c>
    </row>
    <row r="1799" customFormat="false" ht="12.8" hidden="false" customHeight="false" outlineLevel="0" collapsed="false">
      <c r="A1799" s="0" t="s">
        <v>12</v>
      </c>
      <c r="B1799" s="0" t="n">
        <v>516289</v>
      </c>
      <c r="C1799" s="0" t="n">
        <v>516309</v>
      </c>
      <c r="D1799" s="0" t="s">
        <v>5993</v>
      </c>
      <c r="E1799" s="0" t="s">
        <v>5994</v>
      </c>
      <c r="F1799" s="0" t="s">
        <v>90</v>
      </c>
      <c r="G1799" s="0" t="s">
        <v>26</v>
      </c>
      <c r="H1799" s="0" t="n">
        <v>1</v>
      </c>
      <c r="I1799" s="0" t="s">
        <v>5995</v>
      </c>
      <c r="J1799" s="0" t="s">
        <v>5996</v>
      </c>
      <c r="K1799" s="0" t="s">
        <v>5997</v>
      </c>
      <c r="L1799" s="0" t="str">
        <f aca="false">HYPERLINK("https://www.ncbi.nlm.nih.gov/nuccore/CP000304.1?report=graph&amp;tracks=[key:gene_model_track,Options:GeneOnly]&amp;mk=516290:516309|offset_1|00cc00,516259:516278|offset_32|444444,516235:516254|offset_56|444444,516212:516231|offset_79|444444&amp;v=516089:516431&amp;c=444444", "offset 1")</f>
        <v>offset 1</v>
      </c>
    </row>
    <row r="1800" customFormat="false" ht="12.8" hidden="false" customHeight="false" outlineLevel="0" collapsed="false">
      <c r="A1800" s="0" t="s">
        <v>12</v>
      </c>
      <c r="B1800" s="0" t="n">
        <v>516258</v>
      </c>
      <c r="C1800" s="0" t="n">
        <v>516278</v>
      </c>
      <c r="D1800" s="0" t="s">
        <v>5993</v>
      </c>
      <c r="E1800" s="0" t="s">
        <v>5994</v>
      </c>
      <c r="F1800" s="0" t="s">
        <v>90</v>
      </c>
      <c r="G1800" s="0" t="s">
        <v>26</v>
      </c>
      <c r="H1800" s="0" t="n">
        <v>32</v>
      </c>
      <c r="I1800" s="0" t="s">
        <v>5998</v>
      </c>
      <c r="J1800" s="0" t="s">
        <v>5999</v>
      </c>
      <c r="K1800" s="0" t="s">
        <v>6000</v>
      </c>
      <c r="L1800" s="0" t="str">
        <f aca="false">HYPERLINK("https://www.ncbi.nlm.nih.gov/nuccore/CP000304.1?report=graph&amp;tracks=[key:gene_model_track,Options:GeneOnly]&amp;mk=516290:516309|offset_1|444444,516259:516278|offset_32|00cc00,516235:516254|offset_56|444444,516212:516231|offset_79|444444&amp;v=516089:516431&amp;c=444444", "offset 32")</f>
        <v>offset 32</v>
      </c>
    </row>
    <row r="1801" customFormat="false" ht="12.8" hidden="false" customHeight="false" outlineLevel="0" collapsed="false">
      <c r="A1801" s="0" t="s">
        <v>12</v>
      </c>
      <c r="B1801" s="0" t="n">
        <v>516234</v>
      </c>
      <c r="C1801" s="0" t="n">
        <v>516254</v>
      </c>
      <c r="D1801" s="0" t="s">
        <v>5993</v>
      </c>
      <c r="E1801" s="0" t="s">
        <v>5994</v>
      </c>
      <c r="F1801" s="0" t="s">
        <v>90</v>
      </c>
      <c r="G1801" s="0" t="s">
        <v>32</v>
      </c>
      <c r="H1801" s="0" t="n">
        <v>56</v>
      </c>
      <c r="I1801" s="0" t="s">
        <v>6001</v>
      </c>
      <c r="J1801" s="0" t="s">
        <v>6002</v>
      </c>
      <c r="K1801" s="0" t="s">
        <v>6003</v>
      </c>
      <c r="L1801" s="0" t="str">
        <f aca="false">HYPERLINK("https://www.ncbi.nlm.nih.gov/nuccore/CP000304.1?report=graph&amp;tracks=[key:gene_model_track,Options:GeneOnly]&amp;mk=516290:516309|offset_1|444444,516259:516278|offset_32|444444,516235:516254|offset_56|00cc00,516212:516231|offset_79|444444&amp;v=516089:516431&amp;c=444444", "offset 56")</f>
        <v>offset 56</v>
      </c>
    </row>
    <row r="1802" customFormat="false" ht="12.8" hidden="false" customHeight="false" outlineLevel="0" collapsed="false">
      <c r="A1802" s="0" t="s">
        <v>12</v>
      </c>
      <c r="B1802" s="0" t="n">
        <v>516211</v>
      </c>
      <c r="C1802" s="0" t="n">
        <v>516231</v>
      </c>
      <c r="D1802" s="0" t="s">
        <v>5993</v>
      </c>
      <c r="E1802" s="0" t="s">
        <v>5994</v>
      </c>
      <c r="F1802" s="0" t="s">
        <v>90</v>
      </c>
      <c r="G1802" s="0" t="s">
        <v>26</v>
      </c>
      <c r="H1802" s="0" t="n">
        <v>79</v>
      </c>
      <c r="I1802" s="0" t="s">
        <v>6004</v>
      </c>
      <c r="J1802" s="0" t="s">
        <v>6005</v>
      </c>
      <c r="K1802" s="0" t="s">
        <v>6006</v>
      </c>
      <c r="L1802" s="0" t="str">
        <f aca="false">HYPERLINK("https://www.ncbi.nlm.nih.gov/nuccore/CP000304.1?report=graph&amp;tracks=[key:gene_model_track,Options:GeneOnly]&amp;mk=516290:516309|offset_1|444444,516259:516278|offset_32|444444,516235:516254|offset_56|444444,516212:516231|offset_79|00cc00&amp;v=516089:516431&amp;c=444444", "offset 79")</f>
        <v>offset 79</v>
      </c>
    </row>
    <row r="1803" customFormat="false" ht="12.8" hidden="false" customHeight="false" outlineLevel="0" collapsed="false">
      <c r="A1803" s="0" t="s">
        <v>12</v>
      </c>
      <c r="B1803" s="0" t="n">
        <v>516613</v>
      </c>
      <c r="C1803" s="0" t="n">
        <v>516633</v>
      </c>
      <c r="D1803" s="0" t="s">
        <v>6007</v>
      </c>
      <c r="E1803" s="0" t="s">
        <v>6008</v>
      </c>
      <c r="F1803" s="0" t="s">
        <v>90</v>
      </c>
      <c r="G1803" s="0" t="s">
        <v>32</v>
      </c>
      <c r="H1803" s="0" t="n">
        <v>1</v>
      </c>
      <c r="I1803" s="0" t="s">
        <v>6009</v>
      </c>
      <c r="J1803" s="0" t="s">
        <v>6010</v>
      </c>
      <c r="K1803" s="0" t="s">
        <v>6011</v>
      </c>
      <c r="L1803" s="0" t="str">
        <f aca="false">HYPERLINK("https://www.ncbi.nlm.nih.gov/nuccore/CP000304.1?report=graph&amp;tracks=[key:gene_model_track,Options:GeneOnly]&amp;mk=516614:516633|offset_1|00cc00,516586:516605|offset_29|444444,516545:516564|offset_70|444444,516518:516537|offset_97|444444&amp;v=516413:516737&amp;c=444444", "offset 1")</f>
        <v>offset 1</v>
      </c>
    </row>
    <row r="1804" customFormat="false" ht="12.8" hidden="false" customHeight="false" outlineLevel="0" collapsed="false">
      <c r="A1804" s="0" t="s">
        <v>12</v>
      </c>
      <c r="B1804" s="0" t="n">
        <v>516585</v>
      </c>
      <c r="C1804" s="0" t="n">
        <v>516605</v>
      </c>
      <c r="D1804" s="0" t="s">
        <v>6007</v>
      </c>
      <c r="E1804" s="0" t="s">
        <v>6008</v>
      </c>
      <c r="F1804" s="0" t="s">
        <v>90</v>
      </c>
      <c r="G1804" s="0" t="s">
        <v>26</v>
      </c>
      <c r="H1804" s="0" t="n">
        <v>29</v>
      </c>
      <c r="I1804" s="0" t="s">
        <v>6012</v>
      </c>
      <c r="J1804" s="0" t="s">
        <v>6013</v>
      </c>
      <c r="K1804" s="0" t="s">
        <v>6014</v>
      </c>
      <c r="L1804" s="0" t="str">
        <f aca="false">HYPERLINK("https://www.ncbi.nlm.nih.gov/nuccore/CP000304.1?report=graph&amp;tracks=[key:gene_model_track,Options:GeneOnly]&amp;mk=516614:516633|offset_1|444444,516586:516605|offset_29|00cc00,516545:516564|offset_70|444444,516518:516537|offset_97|444444&amp;v=516413:516737&amp;c=444444", "offset 29")</f>
        <v>offset 29</v>
      </c>
    </row>
    <row r="1805" customFormat="false" ht="12.8" hidden="false" customHeight="false" outlineLevel="0" collapsed="false">
      <c r="A1805" s="0" t="s">
        <v>12</v>
      </c>
      <c r="B1805" s="0" t="n">
        <v>516544</v>
      </c>
      <c r="C1805" s="0" t="n">
        <v>516564</v>
      </c>
      <c r="D1805" s="0" t="s">
        <v>6007</v>
      </c>
      <c r="E1805" s="0" t="s">
        <v>6008</v>
      </c>
      <c r="F1805" s="0" t="s">
        <v>90</v>
      </c>
      <c r="G1805" s="0" t="s">
        <v>32</v>
      </c>
      <c r="H1805" s="0" t="n">
        <v>70</v>
      </c>
      <c r="I1805" s="0" t="s">
        <v>6015</v>
      </c>
      <c r="J1805" s="0" t="s">
        <v>6016</v>
      </c>
      <c r="K1805" s="0" t="s">
        <v>6017</v>
      </c>
      <c r="L1805" s="0" t="str">
        <f aca="false">HYPERLINK("https://www.ncbi.nlm.nih.gov/nuccore/CP000304.1?report=graph&amp;tracks=[key:gene_model_track,Options:GeneOnly]&amp;mk=516614:516633|offset_1|444444,516586:516605|offset_29|444444,516545:516564|offset_70|00cc00,516518:516537|offset_97|444444&amp;v=516413:516737&amp;c=444444", "offset 70")</f>
        <v>offset 70</v>
      </c>
    </row>
    <row r="1806" customFormat="false" ht="12.8" hidden="false" customHeight="false" outlineLevel="0" collapsed="false">
      <c r="A1806" s="0" t="s">
        <v>12</v>
      </c>
      <c r="B1806" s="0" t="n">
        <v>516517</v>
      </c>
      <c r="C1806" s="0" t="n">
        <v>516537</v>
      </c>
      <c r="D1806" s="0" t="s">
        <v>6007</v>
      </c>
      <c r="E1806" s="0" t="s">
        <v>6008</v>
      </c>
      <c r="F1806" s="0" t="s">
        <v>90</v>
      </c>
      <c r="G1806" s="0" t="s">
        <v>16</v>
      </c>
      <c r="H1806" s="0" t="n">
        <v>97</v>
      </c>
      <c r="I1806" s="0" t="s">
        <v>6018</v>
      </c>
      <c r="J1806" s="0" t="s">
        <v>6019</v>
      </c>
      <c r="K1806" s="0" t="s">
        <v>6020</v>
      </c>
      <c r="L1806" s="0" t="str">
        <f aca="false">HYPERLINK("https://www.ncbi.nlm.nih.gov/nuccore/CP000304.1?report=graph&amp;tracks=[key:gene_model_track,Options:GeneOnly]&amp;mk=516614:516633|offset_1|444444,516586:516605|offset_29|444444,516545:516564|offset_70|444444,516518:516537|offset_97|00cc00&amp;v=516413:516737&amp;c=444444", "offset 97")</f>
        <v>offset 97</v>
      </c>
    </row>
    <row r="1807" customFormat="false" ht="12.8" hidden="false" customHeight="false" outlineLevel="0" collapsed="false">
      <c r="A1807" s="0" t="s">
        <v>12</v>
      </c>
      <c r="B1807" s="0" t="n">
        <v>517347</v>
      </c>
      <c r="C1807" s="0" t="n">
        <v>517367</v>
      </c>
      <c r="D1807" s="0" t="s">
        <v>6021</v>
      </c>
      <c r="E1807" s="0" t="s">
        <v>6022</v>
      </c>
      <c r="F1807" s="0" t="s">
        <v>90</v>
      </c>
      <c r="G1807" s="0" t="s">
        <v>16</v>
      </c>
      <c r="H1807" s="0" t="n">
        <v>7</v>
      </c>
      <c r="I1807" s="0" t="s">
        <v>6023</v>
      </c>
      <c r="J1807" s="0" t="s">
        <v>6024</v>
      </c>
      <c r="K1807" s="0" t="s">
        <v>6025</v>
      </c>
      <c r="L1807" s="0" t="str">
        <f aca="false">HYPERLINK("https://www.ncbi.nlm.nih.gov/nuccore/CP000304.1?report=graph&amp;tracks=[key:gene_model_track,Options:GeneOnly]&amp;mk=517348:517367|offset_7|00cc00,517318:517337|offset_37|444444,517294:517313|offset_61|444444,517262:517281|offset_93|444444&amp;v=517147:517481&amp;c=444444", "offset 7")</f>
        <v>offset 7</v>
      </c>
    </row>
    <row r="1808" customFormat="false" ht="12.8" hidden="false" customHeight="false" outlineLevel="0" collapsed="false">
      <c r="A1808" s="0" t="s">
        <v>12</v>
      </c>
      <c r="B1808" s="0" t="n">
        <v>517317</v>
      </c>
      <c r="C1808" s="0" t="n">
        <v>517337</v>
      </c>
      <c r="D1808" s="0" t="s">
        <v>6021</v>
      </c>
      <c r="E1808" s="0" t="s">
        <v>6022</v>
      </c>
      <c r="F1808" s="0" t="s">
        <v>90</v>
      </c>
      <c r="G1808" s="0" t="s">
        <v>16</v>
      </c>
      <c r="H1808" s="0" t="n">
        <v>37</v>
      </c>
      <c r="I1808" s="0" t="s">
        <v>6026</v>
      </c>
      <c r="J1808" s="0" t="s">
        <v>6027</v>
      </c>
      <c r="K1808" s="0" t="s">
        <v>6028</v>
      </c>
      <c r="L1808" s="0" t="str">
        <f aca="false">HYPERLINK("https://www.ncbi.nlm.nih.gov/nuccore/CP000304.1?report=graph&amp;tracks=[key:gene_model_track,Options:GeneOnly]&amp;mk=517348:517367|offset_7|444444,517318:517337|offset_37|00cc00,517294:517313|offset_61|444444,517262:517281|offset_93|444444&amp;v=517147:517481&amp;c=444444", "offset 37")</f>
        <v>offset 37</v>
      </c>
    </row>
    <row r="1809" customFormat="false" ht="12.8" hidden="false" customHeight="false" outlineLevel="0" collapsed="false">
      <c r="A1809" s="0" t="s">
        <v>12</v>
      </c>
      <c r="B1809" s="0" t="n">
        <v>517293</v>
      </c>
      <c r="C1809" s="0" t="n">
        <v>517313</v>
      </c>
      <c r="D1809" s="0" t="s">
        <v>6021</v>
      </c>
      <c r="E1809" s="0" t="s">
        <v>6022</v>
      </c>
      <c r="F1809" s="0" t="s">
        <v>90</v>
      </c>
      <c r="G1809" s="0" t="s">
        <v>32</v>
      </c>
      <c r="H1809" s="0" t="n">
        <v>61</v>
      </c>
      <c r="I1809" s="0" t="s">
        <v>6029</v>
      </c>
      <c r="J1809" s="0" t="s">
        <v>6030</v>
      </c>
      <c r="K1809" s="0" t="s">
        <v>6031</v>
      </c>
      <c r="L1809" s="0" t="str">
        <f aca="false">HYPERLINK("https://www.ncbi.nlm.nih.gov/nuccore/CP000304.1?report=graph&amp;tracks=[key:gene_model_track,Options:GeneOnly]&amp;mk=517348:517367|offset_7|444444,517318:517337|offset_37|444444,517294:517313|offset_61|00cc00,517262:517281|offset_93|444444&amp;v=517147:517481&amp;c=444444", "offset 61")</f>
        <v>offset 61</v>
      </c>
    </row>
    <row r="1810" customFormat="false" ht="12.8" hidden="false" customHeight="false" outlineLevel="0" collapsed="false">
      <c r="A1810" s="0" t="s">
        <v>12</v>
      </c>
      <c r="B1810" s="0" t="n">
        <v>517261</v>
      </c>
      <c r="C1810" s="0" t="n">
        <v>517281</v>
      </c>
      <c r="D1810" s="0" t="s">
        <v>6021</v>
      </c>
      <c r="E1810" s="0" t="s">
        <v>6022</v>
      </c>
      <c r="F1810" s="0" t="s">
        <v>90</v>
      </c>
      <c r="G1810" s="0" t="s">
        <v>16</v>
      </c>
      <c r="H1810" s="0" t="n">
        <v>93</v>
      </c>
      <c r="I1810" s="0" t="s">
        <v>6032</v>
      </c>
      <c r="J1810" s="0" t="s">
        <v>6033</v>
      </c>
      <c r="K1810" s="0" t="s">
        <v>6034</v>
      </c>
      <c r="L1810" s="0" t="str">
        <f aca="false">HYPERLINK("https://www.ncbi.nlm.nih.gov/nuccore/CP000304.1?report=graph&amp;tracks=[key:gene_model_track,Options:GeneOnly]&amp;mk=517348:517367|offset_7|444444,517318:517337|offset_37|444444,517294:517313|offset_61|444444,517262:517281|offset_93|00cc00&amp;v=517147:517481&amp;c=444444", "offset 93")</f>
        <v>offset 93</v>
      </c>
    </row>
    <row r="1811" customFormat="false" ht="12.8" hidden="false" customHeight="false" outlineLevel="0" collapsed="false">
      <c r="A1811" s="0" t="s">
        <v>12</v>
      </c>
      <c r="B1811" s="0" t="n">
        <v>518279</v>
      </c>
      <c r="C1811" s="0" t="n">
        <v>518299</v>
      </c>
      <c r="D1811" s="0" t="s">
        <v>6035</v>
      </c>
      <c r="E1811" s="0" t="s">
        <v>89</v>
      </c>
      <c r="F1811" s="0" t="s">
        <v>90</v>
      </c>
      <c r="G1811" s="0" t="s">
        <v>16</v>
      </c>
      <c r="H1811" s="0" t="n">
        <v>0</v>
      </c>
      <c r="I1811" s="0" t="s">
        <v>6036</v>
      </c>
      <c r="J1811" s="0" t="s">
        <v>6037</v>
      </c>
      <c r="K1811" s="0" t="s">
        <v>6038</v>
      </c>
      <c r="L1811" s="0" t="str">
        <f aca="false">HYPERLINK("https://www.ncbi.nlm.nih.gov/nuccore/CP000304.1?report=graph&amp;tracks=[key:gene_model_track,Options:GeneOnly]&amp;mk=518280:518299|offset_0|00cc00,518258:518277|offset_22|444444,518237:518256|offset_43|444444,518206:518225|offset_74|444444&amp;v=518079:518425&amp;c=444444", "offset 0")</f>
        <v>offset 0</v>
      </c>
    </row>
    <row r="1812" customFormat="false" ht="12.8" hidden="false" customHeight="false" outlineLevel="0" collapsed="false">
      <c r="A1812" s="0" t="s">
        <v>12</v>
      </c>
      <c r="B1812" s="0" t="n">
        <v>518257</v>
      </c>
      <c r="C1812" s="0" t="n">
        <v>518277</v>
      </c>
      <c r="D1812" s="0" t="s">
        <v>6035</v>
      </c>
      <c r="E1812" s="0" t="s">
        <v>89</v>
      </c>
      <c r="F1812" s="0" t="s">
        <v>90</v>
      </c>
      <c r="G1812" s="0" t="s">
        <v>26</v>
      </c>
      <c r="H1812" s="0" t="n">
        <v>22</v>
      </c>
      <c r="I1812" s="0" t="s">
        <v>6039</v>
      </c>
      <c r="J1812" s="0" t="s">
        <v>6040</v>
      </c>
      <c r="K1812" s="0" t="s">
        <v>6041</v>
      </c>
      <c r="L1812" s="0" t="str">
        <f aca="false">HYPERLINK("https://www.ncbi.nlm.nih.gov/nuccore/CP000304.1?report=graph&amp;tracks=[key:gene_model_track,Options:GeneOnly]&amp;mk=518280:518299|offset_0|444444,518258:518277|offset_22|00cc00,518237:518256|offset_43|444444,518206:518225|offset_74|444444&amp;v=518079:518425&amp;c=444444", "offset 22")</f>
        <v>offset 22</v>
      </c>
    </row>
    <row r="1813" customFormat="false" ht="12.8" hidden="false" customHeight="false" outlineLevel="0" collapsed="false">
      <c r="A1813" s="0" t="s">
        <v>12</v>
      </c>
      <c r="B1813" s="0" t="n">
        <v>518236</v>
      </c>
      <c r="C1813" s="0" t="n">
        <v>518256</v>
      </c>
      <c r="D1813" s="0" t="s">
        <v>6035</v>
      </c>
      <c r="E1813" s="0" t="s">
        <v>89</v>
      </c>
      <c r="F1813" s="0" t="s">
        <v>90</v>
      </c>
      <c r="G1813" s="0" t="s">
        <v>16</v>
      </c>
      <c r="H1813" s="0" t="n">
        <v>43</v>
      </c>
      <c r="I1813" s="0" t="s">
        <v>6042</v>
      </c>
      <c r="J1813" s="0" t="s">
        <v>6043</v>
      </c>
      <c r="K1813" s="0" t="s">
        <v>6044</v>
      </c>
      <c r="L1813" s="0" t="str">
        <f aca="false">HYPERLINK("https://www.ncbi.nlm.nih.gov/nuccore/CP000304.1?report=graph&amp;tracks=[key:gene_model_track,Options:GeneOnly]&amp;mk=518280:518299|offset_0|444444,518258:518277|offset_22|444444,518237:518256|offset_43|00cc00,518206:518225|offset_74|444444&amp;v=518079:518425&amp;c=444444", "offset 43")</f>
        <v>offset 43</v>
      </c>
    </row>
    <row r="1814" customFormat="false" ht="12.8" hidden="false" customHeight="false" outlineLevel="0" collapsed="false">
      <c r="A1814" s="0" t="s">
        <v>12</v>
      </c>
      <c r="B1814" s="0" t="n">
        <v>518205</v>
      </c>
      <c r="C1814" s="0" t="n">
        <v>518225</v>
      </c>
      <c r="D1814" s="0" t="s">
        <v>6035</v>
      </c>
      <c r="E1814" s="0" t="s">
        <v>89</v>
      </c>
      <c r="F1814" s="0" t="s">
        <v>90</v>
      </c>
      <c r="G1814" s="0" t="s">
        <v>16</v>
      </c>
      <c r="H1814" s="0" t="n">
        <v>74</v>
      </c>
      <c r="I1814" s="0" t="s">
        <v>6045</v>
      </c>
      <c r="J1814" s="0" t="s">
        <v>6046</v>
      </c>
      <c r="K1814" s="0" t="s">
        <v>6047</v>
      </c>
      <c r="L1814" s="0" t="str">
        <f aca="false">HYPERLINK("https://www.ncbi.nlm.nih.gov/nuccore/CP000304.1?report=graph&amp;tracks=[key:gene_model_track,Options:GeneOnly]&amp;mk=518280:518299|offset_0|444444,518258:518277|offset_22|444444,518237:518256|offset_43|444444,518206:518225|offset_74|00cc00&amp;v=518079:518425&amp;c=444444", "offset 74")</f>
        <v>offset 74</v>
      </c>
    </row>
    <row r="1815" customFormat="false" ht="12.8" hidden="false" customHeight="false" outlineLevel="0" collapsed="false">
      <c r="A1815" s="0" t="s">
        <v>12</v>
      </c>
      <c r="B1815" s="0" t="n">
        <v>518448</v>
      </c>
      <c r="C1815" s="0" t="n">
        <v>518468</v>
      </c>
      <c r="D1815" s="0" t="s">
        <v>6048</v>
      </c>
      <c r="E1815" s="0" t="s">
        <v>6049</v>
      </c>
      <c r="F1815" s="0" t="s">
        <v>15</v>
      </c>
      <c r="G1815" s="0" t="s">
        <v>36</v>
      </c>
      <c r="H1815" s="0" t="n">
        <v>0</v>
      </c>
      <c r="I1815" s="0" t="s">
        <v>6050</v>
      </c>
      <c r="J1815" s="0" t="s">
        <v>6051</v>
      </c>
      <c r="K1815" s="0" t="s">
        <v>6052</v>
      </c>
      <c r="L1815" s="0" t="str">
        <f aca="false">HYPERLINK("https://www.ncbi.nlm.nih.gov/nuccore/CP000304.1?report=graph&amp;tracks=[key:gene_model_track,Options:GeneOnly]&amp;mk=518449:518468|offset_0|00cc00,518469:518488|offset_20|444444,518496:518515|offset_47|444444,518516:518535|offset_67|444444&amp;v=518248:518735&amp;c=444444", "offset 0")</f>
        <v>offset 0</v>
      </c>
    </row>
    <row r="1816" customFormat="false" ht="12.8" hidden="false" customHeight="false" outlineLevel="0" collapsed="false">
      <c r="A1816" s="0" t="s">
        <v>12</v>
      </c>
      <c r="B1816" s="0" t="n">
        <v>518468</v>
      </c>
      <c r="C1816" s="0" t="n">
        <v>518488</v>
      </c>
      <c r="D1816" s="0" t="s">
        <v>6048</v>
      </c>
      <c r="E1816" s="0" t="s">
        <v>6049</v>
      </c>
      <c r="F1816" s="0" t="s">
        <v>15</v>
      </c>
      <c r="G1816" s="0" t="s">
        <v>16</v>
      </c>
      <c r="H1816" s="0" t="n">
        <v>20</v>
      </c>
      <c r="I1816" s="0" t="s">
        <v>6053</v>
      </c>
      <c r="J1816" s="0" t="s">
        <v>6054</v>
      </c>
      <c r="K1816" s="0" t="s">
        <v>6055</v>
      </c>
      <c r="L1816" s="0" t="str">
        <f aca="false">HYPERLINK("https://www.ncbi.nlm.nih.gov/nuccore/CP000304.1?report=graph&amp;tracks=[key:gene_model_track,Options:GeneOnly]&amp;mk=518449:518468|offset_0|444444,518469:518488|offset_20|00cc00,518496:518515|offset_47|444444,518516:518535|offset_67|444444&amp;v=518248:518735&amp;c=444444", "offset 20")</f>
        <v>offset 20</v>
      </c>
    </row>
    <row r="1817" customFormat="false" ht="12.8" hidden="false" customHeight="false" outlineLevel="0" collapsed="false">
      <c r="A1817" s="0" t="s">
        <v>12</v>
      </c>
      <c r="B1817" s="0" t="n">
        <v>518495</v>
      </c>
      <c r="C1817" s="0" t="n">
        <v>518515</v>
      </c>
      <c r="D1817" s="0" t="s">
        <v>6048</v>
      </c>
      <c r="E1817" s="0" t="s">
        <v>6049</v>
      </c>
      <c r="F1817" s="0" t="s">
        <v>15</v>
      </c>
      <c r="G1817" s="0" t="s">
        <v>16</v>
      </c>
      <c r="H1817" s="0" t="n">
        <v>47</v>
      </c>
      <c r="I1817" s="0" t="s">
        <v>6056</v>
      </c>
      <c r="J1817" s="0" t="s">
        <v>6057</v>
      </c>
      <c r="K1817" s="0" t="s">
        <v>6058</v>
      </c>
      <c r="L1817" s="0" t="str">
        <f aca="false">HYPERLINK("https://www.ncbi.nlm.nih.gov/nuccore/CP000304.1?report=graph&amp;tracks=[key:gene_model_track,Options:GeneOnly]&amp;mk=518449:518468|offset_0|444444,518469:518488|offset_20|444444,518496:518515|offset_47|00cc00,518516:518535|offset_67|444444&amp;v=518248:518735&amp;c=444444", "offset 47")</f>
        <v>offset 47</v>
      </c>
    </row>
    <row r="1818" customFormat="false" ht="12.8" hidden="false" customHeight="false" outlineLevel="0" collapsed="false">
      <c r="A1818" s="0" t="s">
        <v>12</v>
      </c>
      <c r="B1818" s="0" t="n">
        <v>518515</v>
      </c>
      <c r="C1818" s="0" t="n">
        <v>518535</v>
      </c>
      <c r="D1818" s="0" t="s">
        <v>6048</v>
      </c>
      <c r="E1818" s="0" t="s">
        <v>6049</v>
      </c>
      <c r="F1818" s="0" t="s">
        <v>15</v>
      </c>
      <c r="G1818" s="0" t="s">
        <v>32</v>
      </c>
      <c r="H1818" s="0" t="n">
        <v>67</v>
      </c>
      <c r="I1818" s="0" t="s">
        <v>6059</v>
      </c>
      <c r="J1818" s="0" t="s">
        <v>6060</v>
      </c>
      <c r="K1818" s="0" t="s">
        <v>6061</v>
      </c>
      <c r="L1818" s="0" t="str">
        <f aca="false">HYPERLINK("https://www.ncbi.nlm.nih.gov/nuccore/CP000304.1?report=graph&amp;tracks=[key:gene_model_track,Options:GeneOnly]&amp;mk=518449:518468|offset_0|444444,518469:518488|offset_20|444444,518496:518515|offset_47|444444,518516:518535|offset_67|00cc00&amp;v=518248:518735&amp;c=444444", "offset 67")</f>
        <v>offset 67</v>
      </c>
    </row>
    <row r="1819" customFormat="false" ht="12.8" hidden="false" customHeight="false" outlineLevel="0" collapsed="false">
      <c r="A1819" s="0" t="s">
        <v>12</v>
      </c>
      <c r="B1819" s="0" t="n">
        <v>519211</v>
      </c>
      <c r="C1819" s="0" t="n">
        <v>519231</v>
      </c>
      <c r="D1819" s="0" t="s">
        <v>6062</v>
      </c>
      <c r="E1819" s="0" t="s">
        <v>89</v>
      </c>
      <c r="F1819" s="0" t="s">
        <v>15</v>
      </c>
      <c r="G1819" s="0" t="s">
        <v>16</v>
      </c>
      <c r="H1819" s="0" t="n">
        <v>24</v>
      </c>
      <c r="I1819" s="0" t="s">
        <v>6063</v>
      </c>
      <c r="J1819" s="0" t="s">
        <v>6064</v>
      </c>
      <c r="K1819" s="0" t="s">
        <v>6065</v>
      </c>
      <c r="L1819" s="0" t="str">
        <f aca="false">HYPERLINK("https://www.ncbi.nlm.nih.gov/nuccore/CP000304.1?report=graph&amp;tracks=[key:gene_model_track,Options:GeneOnly]&amp;mk=519212:519231|offset_24|00cc00,519253:519272|offset_65|444444,519277:519296|offset_89|444444,519308:519327|offset_120|444444&amp;v=519011:519527&amp;c=444444", "offset 24")</f>
        <v>offset 24</v>
      </c>
    </row>
    <row r="1820" customFormat="false" ht="12.8" hidden="false" customHeight="false" outlineLevel="0" collapsed="false">
      <c r="A1820" s="0" t="s">
        <v>12</v>
      </c>
      <c r="B1820" s="0" t="n">
        <v>519252</v>
      </c>
      <c r="C1820" s="0" t="n">
        <v>519272</v>
      </c>
      <c r="D1820" s="0" t="s">
        <v>6062</v>
      </c>
      <c r="E1820" s="0" t="s">
        <v>89</v>
      </c>
      <c r="F1820" s="0" t="s">
        <v>15</v>
      </c>
      <c r="G1820" s="0" t="s">
        <v>32</v>
      </c>
      <c r="H1820" s="0" t="n">
        <v>65</v>
      </c>
      <c r="I1820" s="0" t="s">
        <v>6066</v>
      </c>
      <c r="J1820" s="0" t="s">
        <v>6067</v>
      </c>
      <c r="K1820" s="0" t="s">
        <v>6068</v>
      </c>
      <c r="L1820" s="0" t="str">
        <f aca="false">HYPERLINK("https://www.ncbi.nlm.nih.gov/nuccore/CP000304.1?report=graph&amp;tracks=[key:gene_model_track,Options:GeneOnly]&amp;mk=519212:519231|offset_24|444444,519253:519272|offset_65|00cc00,519277:519296|offset_89|444444,519308:519327|offset_120|444444&amp;v=519011:519527&amp;c=444444", "offset 65")</f>
        <v>offset 65</v>
      </c>
    </row>
    <row r="1821" customFormat="false" ht="12.8" hidden="false" customHeight="false" outlineLevel="0" collapsed="false">
      <c r="A1821" s="0" t="s">
        <v>12</v>
      </c>
      <c r="B1821" s="0" t="n">
        <v>519276</v>
      </c>
      <c r="C1821" s="0" t="n">
        <v>519296</v>
      </c>
      <c r="D1821" s="0" t="s">
        <v>6062</v>
      </c>
      <c r="E1821" s="0" t="s">
        <v>89</v>
      </c>
      <c r="F1821" s="0" t="s">
        <v>15</v>
      </c>
      <c r="G1821" s="0" t="s">
        <v>26</v>
      </c>
      <c r="H1821" s="0" t="n">
        <v>89</v>
      </c>
      <c r="I1821" s="0" t="s">
        <v>6069</v>
      </c>
      <c r="J1821" s="0" t="s">
        <v>6070</v>
      </c>
      <c r="K1821" s="0" t="s">
        <v>6071</v>
      </c>
      <c r="L1821" s="0" t="str">
        <f aca="false">HYPERLINK("https://www.ncbi.nlm.nih.gov/nuccore/CP000304.1?report=graph&amp;tracks=[key:gene_model_track,Options:GeneOnly]&amp;mk=519212:519231|offset_24|444444,519253:519272|offset_65|444444,519277:519296|offset_89|00cc00,519308:519327|offset_120|444444&amp;v=519011:519527&amp;c=444444", "offset 89")</f>
        <v>offset 89</v>
      </c>
    </row>
    <row r="1822" customFormat="false" ht="12.8" hidden="false" customHeight="false" outlineLevel="0" collapsed="false">
      <c r="A1822" s="0" t="s">
        <v>12</v>
      </c>
      <c r="B1822" s="0" t="n">
        <v>519307</v>
      </c>
      <c r="C1822" s="0" t="n">
        <v>519327</v>
      </c>
      <c r="D1822" s="0" t="s">
        <v>6062</v>
      </c>
      <c r="E1822" s="0" t="s">
        <v>89</v>
      </c>
      <c r="F1822" s="0" t="s">
        <v>15</v>
      </c>
      <c r="G1822" s="0" t="s">
        <v>16</v>
      </c>
      <c r="H1822" s="0" t="n">
        <v>120</v>
      </c>
      <c r="I1822" s="0" t="s">
        <v>6072</v>
      </c>
      <c r="J1822" s="0" t="s">
        <v>6073</v>
      </c>
      <c r="K1822" s="0" t="s">
        <v>6074</v>
      </c>
      <c r="L1822" s="0" t="str">
        <f aca="false">HYPERLINK("https://www.ncbi.nlm.nih.gov/nuccore/CP000304.1?report=graph&amp;tracks=[key:gene_model_track,Options:GeneOnly]&amp;mk=519212:519231|offset_24|444444,519253:519272|offset_65|444444,519277:519296|offset_89|444444,519308:519327|offset_120|00cc00&amp;v=519011:519527&amp;c=444444", "offset 120")</f>
        <v>offset 120</v>
      </c>
    </row>
    <row r="1823" customFormat="false" ht="12.8" hidden="false" customHeight="false" outlineLevel="0" collapsed="false">
      <c r="A1823" s="0" t="s">
        <v>12</v>
      </c>
      <c r="B1823" s="0" t="n">
        <v>520304</v>
      </c>
      <c r="C1823" s="0" t="n">
        <v>520324</v>
      </c>
      <c r="D1823" s="0" t="s">
        <v>6075</v>
      </c>
      <c r="E1823" s="0" t="s">
        <v>6076</v>
      </c>
      <c r="F1823" s="0" t="s">
        <v>90</v>
      </c>
      <c r="G1823" s="0" t="s">
        <v>16</v>
      </c>
      <c r="H1823" s="0" t="n">
        <v>85</v>
      </c>
      <c r="I1823" s="0" t="s">
        <v>6077</v>
      </c>
      <c r="J1823" s="0" t="s">
        <v>6078</v>
      </c>
      <c r="K1823" s="0" t="s">
        <v>6079</v>
      </c>
      <c r="L1823" s="0" t="str">
        <f aca="false">HYPERLINK("https://www.ncbi.nlm.nih.gov/nuccore/CP000304.1?report=graph&amp;tracks=[key:gene_model_track,Options:GeneOnly]&amp;mk=520305:520324|offset_85|00cc00,520281:520300|offset_109|444444,520253:520272|offset_137|444444,520226:520245|offset_164|444444&amp;v=520104:520445&amp;c=444444", "offset 85")</f>
        <v>offset 85</v>
      </c>
    </row>
    <row r="1824" customFormat="false" ht="12.8" hidden="false" customHeight="false" outlineLevel="0" collapsed="false">
      <c r="A1824" s="0" t="s">
        <v>12</v>
      </c>
      <c r="B1824" s="0" t="n">
        <v>520280</v>
      </c>
      <c r="C1824" s="0" t="n">
        <v>520300</v>
      </c>
      <c r="D1824" s="0" t="s">
        <v>6075</v>
      </c>
      <c r="E1824" s="0" t="s">
        <v>6076</v>
      </c>
      <c r="F1824" s="0" t="s">
        <v>90</v>
      </c>
      <c r="G1824" s="0" t="s">
        <v>36</v>
      </c>
      <c r="H1824" s="0" t="n">
        <v>109</v>
      </c>
      <c r="I1824" s="0" t="s">
        <v>6080</v>
      </c>
      <c r="J1824" s="0" t="s">
        <v>6081</v>
      </c>
      <c r="K1824" s="0" t="s">
        <v>6082</v>
      </c>
      <c r="L1824" s="0" t="str">
        <f aca="false">HYPERLINK("https://www.ncbi.nlm.nih.gov/nuccore/CP000304.1?report=graph&amp;tracks=[key:gene_model_track,Options:GeneOnly]&amp;mk=520305:520324|offset_85|444444,520281:520300|offset_109|00cc00,520253:520272|offset_137|444444,520226:520245|offset_164|444444&amp;v=520104:520445&amp;c=444444", "offset 109")</f>
        <v>offset 109</v>
      </c>
    </row>
    <row r="1825" customFormat="false" ht="12.8" hidden="false" customHeight="false" outlineLevel="0" collapsed="false">
      <c r="A1825" s="0" t="s">
        <v>12</v>
      </c>
      <c r="B1825" s="0" t="n">
        <v>520252</v>
      </c>
      <c r="C1825" s="0" t="n">
        <v>520272</v>
      </c>
      <c r="D1825" s="0" t="s">
        <v>6075</v>
      </c>
      <c r="E1825" s="0" t="s">
        <v>6076</v>
      </c>
      <c r="F1825" s="0" t="s">
        <v>90</v>
      </c>
      <c r="G1825" s="0" t="s">
        <v>36</v>
      </c>
      <c r="H1825" s="0" t="n">
        <v>137</v>
      </c>
      <c r="I1825" s="0" t="s">
        <v>6083</v>
      </c>
      <c r="J1825" s="0" t="s">
        <v>6084</v>
      </c>
      <c r="K1825" s="0" t="s">
        <v>6085</v>
      </c>
      <c r="L1825" s="0" t="str">
        <f aca="false">HYPERLINK("https://www.ncbi.nlm.nih.gov/nuccore/CP000304.1?report=graph&amp;tracks=[key:gene_model_track,Options:GeneOnly]&amp;mk=520305:520324|offset_85|444444,520281:520300|offset_109|444444,520253:520272|offset_137|00cc00,520226:520245|offset_164|444444&amp;v=520104:520445&amp;c=444444", "offset 137")</f>
        <v>offset 137</v>
      </c>
    </row>
    <row r="1826" customFormat="false" ht="12.8" hidden="false" customHeight="false" outlineLevel="0" collapsed="false">
      <c r="A1826" s="0" t="s">
        <v>12</v>
      </c>
      <c r="B1826" s="0" t="n">
        <v>520225</v>
      </c>
      <c r="C1826" s="0" t="n">
        <v>520245</v>
      </c>
      <c r="D1826" s="0" t="s">
        <v>6075</v>
      </c>
      <c r="E1826" s="0" t="s">
        <v>6076</v>
      </c>
      <c r="F1826" s="0" t="s">
        <v>90</v>
      </c>
      <c r="G1826" s="0" t="s">
        <v>26</v>
      </c>
      <c r="H1826" s="0" t="n">
        <v>164</v>
      </c>
      <c r="I1826" s="0" t="s">
        <v>6086</v>
      </c>
      <c r="J1826" s="0" t="s">
        <v>6087</v>
      </c>
      <c r="K1826" s="0" t="s">
        <v>6088</v>
      </c>
      <c r="L1826" s="0" t="str">
        <f aca="false">HYPERLINK("https://www.ncbi.nlm.nih.gov/nuccore/CP000304.1?report=graph&amp;tracks=[key:gene_model_track,Options:GeneOnly]&amp;mk=520305:520324|offset_85|444444,520281:520300|offset_109|444444,520253:520272|offset_137|444444,520226:520245|offset_164|00cc00&amp;v=520104:520445&amp;c=444444", "offset 164")</f>
        <v>offset 164</v>
      </c>
    </row>
    <row r="1827" customFormat="false" ht="12.8" hidden="false" customHeight="false" outlineLevel="0" collapsed="false">
      <c r="A1827" s="0" t="s">
        <v>12</v>
      </c>
      <c r="B1827" s="0" t="n">
        <v>520508</v>
      </c>
      <c r="C1827" s="0" t="n">
        <v>520528</v>
      </c>
      <c r="D1827" s="0" t="s">
        <v>6089</v>
      </c>
      <c r="E1827" s="0" t="s">
        <v>6090</v>
      </c>
      <c r="F1827" s="0" t="s">
        <v>15</v>
      </c>
      <c r="G1827" s="0" t="s">
        <v>32</v>
      </c>
      <c r="H1827" s="0" t="n">
        <v>14</v>
      </c>
      <c r="I1827" s="0" t="s">
        <v>6091</v>
      </c>
      <c r="J1827" s="0" t="s">
        <v>6092</v>
      </c>
      <c r="K1827" s="0" t="s">
        <v>6093</v>
      </c>
      <c r="L1827" s="0" t="str">
        <f aca="false">HYPERLINK("https://www.ncbi.nlm.nih.gov/nuccore/CP000304.1?report=graph&amp;tracks=[key:gene_model_track,Options:GeneOnly]&amp;mk=520509:520528|offset_14|00cc00,520568:520587|offset_73|444444,520591:520610|offset_96|444444,520611:520630|offset_116|444444&amp;v=520308:520830&amp;c=444444", "offset 14")</f>
        <v>offset 14</v>
      </c>
    </row>
    <row r="1828" customFormat="false" ht="12.8" hidden="false" customHeight="false" outlineLevel="0" collapsed="false">
      <c r="A1828" s="0" t="s">
        <v>12</v>
      </c>
      <c r="B1828" s="0" t="n">
        <v>520567</v>
      </c>
      <c r="C1828" s="0" t="n">
        <v>520587</v>
      </c>
      <c r="D1828" s="0" t="s">
        <v>6089</v>
      </c>
      <c r="E1828" s="0" t="s">
        <v>6090</v>
      </c>
      <c r="F1828" s="0" t="s">
        <v>15</v>
      </c>
      <c r="G1828" s="0" t="s">
        <v>36</v>
      </c>
      <c r="H1828" s="0" t="n">
        <v>73</v>
      </c>
      <c r="I1828" s="0" t="s">
        <v>6094</v>
      </c>
      <c r="J1828" s="0" t="s">
        <v>6095</v>
      </c>
      <c r="K1828" s="0" t="s">
        <v>6096</v>
      </c>
      <c r="L1828" s="0" t="str">
        <f aca="false">HYPERLINK("https://www.ncbi.nlm.nih.gov/nuccore/CP000304.1?report=graph&amp;tracks=[key:gene_model_track,Options:GeneOnly]&amp;mk=520509:520528|offset_14|444444,520568:520587|offset_73|00cc00,520591:520610|offset_96|444444,520611:520630|offset_116|444444&amp;v=520308:520830&amp;c=444444", "offset 73")</f>
        <v>offset 73</v>
      </c>
    </row>
    <row r="1829" customFormat="false" ht="12.8" hidden="false" customHeight="false" outlineLevel="0" collapsed="false">
      <c r="A1829" s="0" t="s">
        <v>12</v>
      </c>
      <c r="B1829" s="0" t="n">
        <v>520590</v>
      </c>
      <c r="C1829" s="0" t="n">
        <v>520610</v>
      </c>
      <c r="D1829" s="0" t="s">
        <v>6089</v>
      </c>
      <c r="E1829" s="0" t="s">
        <v>6090</v>
      </c>
      <c r="F1829" s="0" t="s">
        <v>15</v>
      </c>
      <c r="G1829" s="0" t="s">
        <v>36</v>
      </c>
      <c r="H1829" s="0" t="n">
        <v>96</v>
      </c>
      <c r="I1829" s="0" t="s">
        <v>6097</v>
      </c>
      <c r="J1829" s="0" t="s">
        <v>6098</v>
      </c>
      <c r="K1829" s="0" t="s">
        <v>6099</v>
      </c>
      <c r="L1829" s="0" t="str">
        <f aca="false">HYPERLINK("https://www.ncbi.nlm.nih.gov/nuccore/CP000304.1?report=graph&amp;tracks=[key:gene_model_track,Options:GeneOnly]&amp;mk=520509:520528|offset_14|444444,520568:520587|offset_73|444444,520591:520610|offset_96|00cc00,520611:520630|offset_116|444444&amp;v=520308:520830&amp;c=444444", "offset 96")</f>
        <v>offset 96</v>
      </c>
    </row>
    <row r="1830" customFormat="false" ht="12.8" hidden="false" customHeight="false" outlineLevel="0" collapsed="false">
      <c r="A1830" s="0" t="s">
        <v>12</v>
      </c>
      <c r="B1830" s="0" t="n">
        <v>520610</v>
      </c>
      <c r="C1830" s="0" t="n">
        <v>520630</v>
      </c>
      <c r="D1830" s="0" t="s">
        <v>6089</v>
      </c>
      <c r="E1830" s="0" t="s">
        <v>6090</v>
      </c>
      <c r="F1830" s="0" t="s">
        <v>15</v>
      </c>
      <c r="G1830" s="0" t="s">
        <v>26</v>
      </c>
      <c r="H1830" s="0" t="n">
        <v>116</v>
      </c>
      <c r="I1830" s="0" t="s">
        <v>6100</v>
      </c>
      <c r="J1830" s="0" t="s">
        <v>6101</v>
      </c>
      <c r="K1830" s="0" t="s">
        <v>6102</v>
      </c>
      <c r="L1830" s="0" t="str">
        <f aca="false">HYPERLINK("https://www.ncbi.nlm.nih.gov/nuccore/CP000304.1?report=graph&amp;tracks=[key:gene_model_track,Options:GeneOnly]&amp;mk=520509:520528|offset_14|444444,520568:520587|offset_73|444444,520591:520610|offset_96|444444,520611:520630|offset_116|00cc00&amp;v=520308:520830&amp;c=444444", "offset 116")</f>
        <v>offset 116</v>
      </c>
    </row>
    <row r="1831" customFormat="false" ht="12.8" hidden="false" customHeight="false" outlineLevel="0" collapsed="false">
      <c r="A1831" s="0" t="s">
        <v>12</v>
      </c>
      <c r="B1831" s="0" t="n">
        <v>521180</v>
      </c>
      <c r="C1831" s="0" t="n">
        <v>521200</v>
      </c>
      <c r="D1831" s="0" t="s">
        <v>6103</v>
      </c>
      <c r="E1831" s="0" t="s">
        <v>89</v>
      </c>
      <c r="F1831" s="0" t="s">
        <v>15</v>
      </c>
      <c r="G1831" s="0" t="s">
        <v>32</v>
      </c>
      <c r="H1831" s="0" t="n">
        <v>19</v>
      </c>
      <c r="I1831" s="0" t="s">
        <v>6104</v>
      </c>
      <c r="J1831" s="0" t="s">
        <v>6105</v>
      </c>
      <c r="K1831" s="0" t="s">
        <v>6106</v>
      </c>
      <c r="L1831" s="0" t="str">
        <f aca="false">HYPERLINK("https://www.ncbi.nlm.nih.gov/nuccore/CP000304.1?report=graph&amp;tracks=[key:gene_model_track,Options:GeneOnly]&amp;mk=521181:521200|offset_19|00cc00,521216:521235|offset_54|444444,521284:521303|offset_122|444444,521310:521329|offset_148|444444&amp;v=520980:521529&amp;c=444444", "offset 19")</f>
        <v>offset 19</v>
      </c>
    </row>
    <row r="1832" customFormat="false" ht="12.8" hidden="false" customHeight="false" outlineLevel="0" collapsed="false">
      <c r="A1832" s="0" t="s">
        <v>12</v>
      </c>
      <c r="B1832" s="0" t="n">
        <v>521215</v>
      </c>
      <c r="C1832" s="0" t="n">
        <v>521235</v>
      </c>
      <c r="D1832" s="0" t="s">
        <v>6103</v>
      </c>
      <c r="E1832" s="0" t="s">
        <v>89</v>
      </c>
      <c r="F1832" s="0" t="s">
        <v>15</v>
      </c>
      <c r="G1832" s="0" t="s">
        <v>16</v>
      </c>
      <c r="H1832" s="0" t="n">
        <v>54</v>
      </c>
      <c r="I1832" s="0" t="s">
        <v>6107</v>
      </c>
      <c r="J1832" s="0" t="s">
        <v>6108</v>
      </c>
      <c r="K1832" s="0" t="s">
        <v>6109</v>
      </c>
      <c r="L1832" s="0" t="str">
        <f aca="false">HYPERLINK("https://www.ncbi.nlm.nih.gov/nuccore/CP000304.1?report=graph&amp;tracks=[key:gene_model_track,Options:GeneOnly]&amp;mk=521181:521200|offset_19|444444,521216:521235|offset_54|00cc00,521284:521303|offset_122|444444,521310:521329|offset_148|444444&amp;v=520980:521529&amp;c=444444", "offset 54")</f>
        <v>offset 54</v>
      </c>
    </row>
    <row r="1833" customFormat="false" ht="12.8" hidden="false" customHeight="false" outlineLevel="0" collapsed="false">
      <c r="A1833" s="0" t="s">
        <v>12</v>
      </c>
      <c r="B1833" s="0" t="n">
        <v>521283</v>
      </c>
      <c r="C1833" s="0" t="n">
        <v>521303</v>
      </c>
      <c r="D1833" s="0" t="s">
        <v>6103</v>
      </c>
      <c r="E1833" s="0" t="s">
        <v>89</v>
      </c>
      <c r="F1833" s="0" t="s">
        <v>15</v>
      </c>
      <c r="G1833" s="0" t="s">
        <v>32</v>
      </c>
      <c r="H1833" s="0" t="n">
        <v>122</v>
      </c>
      <c r="I1833" s="0" t="s">
        <v>6110</v>
      </c>
      <c r="J1833" s="0" t="s">
        <v>6111</v>
      </c>
      <c r="K1833" s="0" t="s">
        <v>6112</v>
      </c>
      <c r="L1833" s="0" t="str">
        <f aca="false">HYPERLINK("https://www.ncbi.nlm.nih.gov/nuccore/CP000304.1?report=graph&amp;tracks=[key:gene_model_track,Options:GeneOnly]&amp;mk=521181:521200|offset_19|444444,521216:521235|offset_54|444444,521284:521303|offset_122|00cc00,521310:521329|offset_148|444444&amp;v=520980:521529&amp;c=444444", "offset 122")</f>
        <v>offset 122</v>
      </c>
    </row>
    <row r="1834" customFormat="false" ht="12.8" hidden="false" customHeight="false" outlineLevel="0" collapsed="false">
      <c r="A1834" s="0" t="s">
        <v>12</v>
      </c>
      <c r="B1834" s="0" t="n">
        <v>521309</v>
      </c>
      <c r="C1834" s="0" t="n">
        <v>521329</v>
      </c>
      <c r="D1834" s="0" t="s">
        <v>6103</v>
      </c>
      <c r="E1834" s="0" t="s">
        <v>89</v>
      </c>
      <c r="F1834" s="0" t="s">
        <v>15</v>
      </c>
      <c r="G1834" s="0" t="s">
        <v>36</v>
      </c>
      <c r="H1834" s="0" t="n">
        <v>148</v>
      </c>
      <c r="I1834" s="0" t="s">
        <v>6113</v>
      </c>
      <c r="J1834" s="0" t="s">
        <v>6114</v>
      </c>
      <c r="K1834" s="0" t="s">
        <v>6115</v>
      </c>
      <c r="L1834" s="0" t="str">
        <f aca="false">HYPERLINK("https://www.ncbi.nlm.nih.gov/nuccore/CP000304.1?report=graph&amp;tracks=[key:gene_model_track,Options:GeneOnly]&amp;mk=521181:521200|offset_19|444444,521216:521235|offset_54|444444,521284:521303|offset_122|444444,521310:521329|offset_148|00cc00&amp;v=520980:521529&amp;c=444444", "offset 148")</f>
        <v>offset 148</v>
      </c>
    </row>
    <row r="1835" customFormat="false" ht="12.8" hidden="false" customHeight="false" outlineLevel="0" collapsed="false">
      <c r="A1835" s="0" t="s">
        <v>12</v>
      </c>
      <c r="B1835" s="0" t="n">
        <v>521978</v>
      </c>
      <c r="C1835" s="0" t="n">
        <v>521998</v>
      </c>
      <c r="D1835" s="0" t="s">
        <v>6116</v>
      </c>
      <c r="E1835" s="0" t="s">
        <v>89</v>
      </c>
      <c r="F1835" s="0" t="s">
        <v>15</v>
      </c>
      <c r="G1835" s="0" t="s">
        <v>26</v>
      </c>
      <c r="H1835" s="0" t="n">
        <v>17</v>
      </c>
      <c r="I1835" s="0" t="s">
        <v>6117</v>
      </c>
      <c r="J1835" s="0" t="s">
        <v>6118</v>
      </c>
      <c r="K1835" s="0" t="s">
        <v>6119</v>
      </c>
      <c r="L1835" s="0" t="str">
        <f aca="false">HYPERLINK("https://www.ncbi.nlm.nih.gov/nuccore/CP000304.1?report=graph&amp;tracks=[key:gene_model_track,Options:GeneOnly]&amp;mk=521979:521998|offset_17|00cc00,522007:522026|offset_45|444444,522039:522058|offset_77|444444,522067:522086|offset_105|444444&amp;v=521778:522286&amp;c=444444", "offset 17")</f>
        <v>offset 17</v>
      </c>
    </row>
    <row r="1836" customFormat="false" ht="12.8" hidden="false" customHeight="false" outlineLevel="0" collapsed="false">
      <c r="A1836" s="0" t="s">
        <v>12</v>
      </c>
      <c r="B1836" s="0" t="n">
        <v>522006</v>
      </c>
      <c r="C1836" s="0" t="n">
        <v>522026</v>
      </c>
      <c r="D1836" s="0" t="s">
        <v>6116</v>
      </c>
      <c r="E1836" s="0" t="s">
        <v>89</v>
      </c>
      <c r="F1836" s="0" t="s">
        <v>15</v>
      </c>
      <c r="G1836" s="0" t="s">
        <v>16</v>
      </c>
      <c r="H1836" s="0" t="n">
        <v>45</v>
      </c>
      <c r="I1836" s="0" t="s">
        <v>6120</v>
      </c>
      <c r="J1836" s="0" t="s">
        <v>6121</v>
      </c>
      <c r="K1836" s="0" t="s">
        <v>6122</v>
      </c>
      <c r="L1836" s="0" t="str">
        <f aca="false">HYPERLINK("https://www.ncbi.nlm.nih.gov/nuccore/CP000304.1?report=graph&amp;tracks=[key:gene_model_track,Options:GeneOnly]&amp;mk=521979:521998|offset_17|444444,522007:522026|offset_45|00cc00,522039:522058|offset_77|444444,522067:522086|offset_105|444444&amp;v=521778:522286&amp;c=444444", "offset 45")</f>
        <v>offset 45</v>
      </c>
    </row>
    <row r="1837" customFormat="false" ht="12.8" hidden="false" customHeight="false" outlineLevel="0" collapsed="false">
      <c r="A1837" s="0" t="s">
        <v>12</v>
      </c>
      <c r="B1837" s="0" t="n">
        <v>522038</v>
      </c>
      <c r="C1837" s="0" t="n">
        <v>522058</v>
      </c>
      <c r="D1837" s="0" t="s">
        <v>6116</v>
      </c>
      <c r="E1837" s="0" t="s">
        <v>89</v>
      </c>
      <c r="F1837" s="0" t="s">
        <v>15</v>
      </c>
      <c r="G1837" s="0" t="s">
        <v>26</v>
      </c>
      <c r="H1837" s="0" t="n">
        <v>77</v>
      </c>
      <c r="I1837" s="0" t="s">
        <v>6123</v>
      </c>
      <c r="J1837" s="0" t="s">
        <v>6124</v>
      </c>
      <c r="K1837" s="0" t="s">
        <v>6125</v>
      </c>
      <c r="L1837" s="0" t="str">
        <f aca="false">HYPERLINK("https://www.ncbi.nlm.nih.gov/nuccore/CP000304.1?report=graph&amp;tracks=[key:gene_model_track,Options:GeneOnly]&amp;mk=521979:521998|offset_17|444444,522007:522026|offset_45|444444,522039:522058|offset_77|00cc00,522067:522086|offset_105|444444&amp;v=521778:522286&amp;c=444444", "offset 77")</f>
        <v>offset 77</v>
      </c>
    </row>
    <row r="1838" customFormat="false" ht="12.8" hidden="false" customHeight="false" outlineLevel="0" collapsed="false">
      <c r="A1838" s="0" t="s">
        <v>12</v>
      </c>
      <c r="B1838" s="0" t="n">
        <v>522066</v>
      </c>
      <c r="C1838" s="0" t="n">
        <v>522086</v>
      </c>
      <c r="D1838" s="0" t="s">
        <v>6116</v>
      </c>
      <c r="E1838" s="0" t="s">
        <v>89</v>
      </c>
      <c r="F1838" s="0" t="s">
        <v>15</v>
      </c>
      <c r="G1838" s="0" t="s">
        <v>16</v>
      </c>
      <c r="H1838" s="0" t="n">
        <v>105</v>
      </c>
      <c r="I1838" s="0" t="s">
        <v>6126</v>
      </c>
      <c r="J1838" s="0" t="s">
        <v>6127</v>
      </c>
      <c r="K1838" s="0" t="s">
        <v>6128</v>
      </c>
      <c r="L1838" s="0" t="str">
        <f aca="false">HYPERLINK("https://www.ncbi.nlm.nih.gov/nuccore/CP000304.1?report=graph&amp;tracks=[key:gene_model_track,Options:GeneOnly]&amp;mk=521979:521998|offset_17|444444,522007:522026|offset_45|444444,522039:522058|offset_77|444444,522067:522086|offset_105|00cc00&amp;v=521778:522286&amp;c=444444", "offset 105")</f>
        <v>offset 105</v>
      </c>
    </row>
    <row r="1839" customFormat="false" ht="12.8" hidden="false" customHeight="false" outlineLevel="0" collapsed="false">
      <c r="A1839" s="0" t="s">
        <v>12</v>
      </c>
      <c r="B1839" s="0" t="n">
        <v>524369</v>
      </c>
      <c r="C1839" s="0" t="n">
        <v>524389</v>
      </c>
      <c r="D1839" s="0" t="s">
        <v>6129</v>
      </c>
      <c r="E1839" s="0" t="s">
        <v>6130</v>
      </c>
      <c r="F1839" s="0" t="s">
        <v>90</v>
      </c>
      <c r="G1839" s="0" t="s">
        <v>36</v>
      </c>
      <c r="H1839" s="0" t="n">
        <v>7</v>
      </c>
      <c r="I1839" s="0" t="s">
        <v>6131</v>
      </c>
      <c r="J1839" s="0" t="s">
        <v>6132</v>
      </c>
      <c r="K1839" s="0" t="s">
        <v>6133</v>
      </c>
      <c r="L1839" s="0" t="str">
        <f aca="false">HYPERLINK("https://www.ncbi.nlm.nih.gov/nuccore/CP000304.1?report=graph&amp;tracks=[key:gene_model_track,Options:GeneOnly]&amp;mk=524370:524389|offset_7|00cc00,524349:524368|offset_28|444444,524328:524347|offset_49|444444,524306:524325|offset_71|444444&amp;v=524169:524525&amp;c=444444", "offset 7")</f>
        <v>offset 7</v>
      </c>
    </row>
    <row r="1840" customFormat="false" ht="12.8" hidden="false" customHeight="false" outlineLevel="0" collapsed="false">
      <c r="A1840" s="0" t="s">
        <v>12</v>
      </c>
      <c r="B1840" s="0" t="n">
        <v>524348</v>
      </c>
      <c r="C1840" s="0" t="n">
        <v>524368</v>
      </c>
      <c r="D1840" s="0" t="s">
        <v>6129</v>
      </c>
      <c r="E1840" s="0" t="s">
        <v>6130</v>
      </c>
      <c r="F1840" s="0" t="s">
        <v>90</v>
      </c>
      <c r="G1840" s="0" t="s">
        <v>36</v>
      </c>
      <c r="H1840" s="0" t="n">
        <v>28</v>
      </c>
      <c r="I1840" s="0" t="s">
        <v>6134</v>
      </c>
      <c r="J1840" s="0" t="s">
        <v>6135</v>
      </c>
      <c r="K1840" s="0" t="s">
        <v>6136</v>
      </c>
      <c r="L1840" s="0" t="str">
        <f aca="false">HYPERLINK("https://www.ncbi.nlm.nih.gov/nuccore/CP000304.1?report=graph&amp;tracks=[key:gene_model_track,Options:GeneOnly]&amp;mk=524370:524389|offset_7|444444,524349:524368|offset_28|00cc00,524328:524347|offset_49|444444,524306:524325|offset_71|444444&amp;v=524169:524525&amp;c=444444", "offset 28")</f>
        <v>offset 28</v>
      </c>
    </row>
    <row r="1841" customFormat="false" ht="12.8" hidden="false" customHeight="false" outlineLevel="0" collapsed="false">
      <c r="A1841" s="0" t="s">
        <v>12</v>
      </c>
      <c r="B1841" s="0" t="n">
        <v>524327</v>
      </c>
      <c r="C1841" s="0" t="n">
        <v>524347</v>
      </c>
      <c r="D1841" s="0" t="s">
        <v>6129</v>
      </c>
      <c r="E1841" s="0" t="s">
        <v>6130</v>
      </c>
      <c r="F1841" s="0" t="s">
        <v>90</v>
      </c>
      <c r="G1841" s="0" t="s">
        <v>16</v>
      </c>
      <c r="H1841" s="0" t="n">
        <v>49</v>
      </c>
      <c r="I1841" s="0" t="s">
        <v>6137</v>
      </c>
      <c r="J1841" s="0" t="s">
        <v>6138</v>
      </c>
      <c r="K1841" s="0" t="s">
        <v>6139</v>
      </c>
      <c r="L1841" s="0" t="str">
        <f aca="false">HYPERLINK("https://www.ncbi.nlm.nih.gov/nuccore/CP000304.1?report=graph&amp;tracks=[key:gene_model_track,Options:GeneOnly]&amp;mk=524370:524389|offset_7|444444,524349:524368|offset_28|444444,524328:524347|offset_49|00cc00,524306:524325|offset_71|444444&amp;v=524169:524525&amp;c=444444", "offset 49")</f>
        <v>offset 49</v>
      </c>
    </row>
    <row r="1842" customFormat="false" ht="12.8" hidden="false" customHeight="false" outlineLevel="0" collapsed="false">
      <c r="A1842" s="0" t="s">
        <v>12</v>
      </c>
      <c r="B1842" s="0" t="n">
        <v>524305</v>
      </c>
      <c r="C1842" s="0" t="n">
        <v>524325</v>
      </c>
      <c r="D1842" s="0" t="s">
        <v>6129</v>
      </c>
      <c r="E1842" s="0" t="s">
        <v>6130</v>
      </c>
      <c r="F1842" s="0" t="s">
        <v>90</v>
      </c>
      <c r="G1842" s="0" t="s">
        <v>16</v>
      </c>
      <c r="H1842" s="0" t="n">
        <v>71</v>
      </c>
      <c r="I1842" s="0" t="s">
        <v>6140</v>
      </c>
      <c r="J1842" s="0" t="s">
        <v>6141</v>
      </c>
      <c r="K1842" s="0" t="s">
        <v>6142</v>
      </c>
      <c r="L1842" s="0" t="str">
        <f aca="false">HYPERLINK("https://www.ncbi.nlm.nih.gov/nuccore/CP000304.1?report=graph&amp;tracks=[key:gene_model_track,Options:GeneOnly]&amp;mk=524370:524389|offset_7|444444,524349:524368|offset_28|444444,524328:524347|offset_49|444444,524306:524325|offset_71|00cc00&amp;v=524169:524525&amp;c=444444", "offset 71")</f>
        <v>offset 71</v>
      </c>
    </row>
    <row r="1843" customFormat="false" ht="12.8" hidden="false" customHeight="false" outlineLevel="0" collapsed="false">
      <c r="A1843" s="0" t="s">
        <v>12</v>
      </c>
      <c r="B1843" s="0" t="n">
        <v>526938</v>
      </c>
      <c r="C1843" s="0" t="n">
        <v>526958</v>
      </c>
      <c r="D1843" s="0" t="s">
        <v>6143</v>
      </c>
      <c r="E1843" s="0" t="s">
        <v>89</v>
      </c>
      <c r="F1843" s="0" t="s">
        <v>90</v>
      </c>
      <c r="G1843" s="0" t="s">
        <v>32</v>
      </c>
      <c r="H1843" s="0" t="n">
        <v>25</v>
      </c>
      <c r="I1843" s="0" t="s">
        <v>6144</v>
      </c>
      <c r="J1843" s="0" t="s">
        <v>6145</v>
      </c>
      <c r="K1843" s="0" t="s">
        <v>6146</v>
      </c>
      <c r="L1843" s="0" t="str">
        <f aca="false">HYPERLINK("https://www.ncbi.nlm.nih.gov/nuccore/CP000304.1?report=graph&amp;tracks=[key:gene_model_track,Options:GeneOnly]&amp;mk=526939:526958|offset_25|00cc00,526917:526936|offset_47|444444,526874:526893|offset_90|444444,526848:526867|offset_116|444444&amp;v=526738:527067&amp;c=444444", "offset 25")</f>
        <v>offset 25</v>
      </c>
    </row>
    <row r="1844" customFormat="false" ht="12.8" hidden="false" customHeight="false" outlineLevel="0" collapsed="false">
      <c r="A1844" s="0" t="s">
        <v>12</v>
      </c>
      <c r="B1844" s="0" t="n">
        <v>526916</v>
      </c>
      <c r="C1844" s="0" t="n">
        <v>526936</v>
      </c>
      <c r="D1844" s="0" t="s">
        <v>6143</v>
      </c>
      <c r="E1844" s="0" t="s">
        <v>89</v>
      </c>
      <c r="F1844" s="0" t="s">
        <v>90</v>
      </c>
      <c r="G1844" s="0" t="s">
        <v>36</v>
      </c>
      <c r="H1844" s="0" t="n">
        <v>47</v>
      </c>
      <c r="I1844" s="0" t="s">
        <v>6147</v>
      </c>
      <c r="J1844" s="0" t="s">
        <v>6148</v>
      </c>
      <c r="K1844" s="0" t="s">
        <v>6149</v>
      </c>
      <c r="L1844" s="0" t="str">
        <f aca="false">HYPERLINK("https://www.ncbi.nlm.nih.gov/nuccore/CP000304.1?report=graph&amp;tracks=[key:gene_model_track,Options:GeneOnly]&amp;mk=526939:526958|offset_25|444444,526917:526936|offset_47|00cc00,526874:526893|offset_90|444444,526848:526867|offset_116|444444&amp;v=526738:527067&amp;c=444444", "offset 47")</f>
        <v>offset 47</v>
      </c>
    </row>
    <row r="1845" customFormat="false" ht="12.8" hidden="false" customHeight="false" outlineLevel="0" collapsed="false">
      <c r="A1845" s="0" t="s">
        <v>12</v>
      </c>
      <c r="B1845" s="0" t="n">
        <v>526873</v>
      </c>
      <c r="C1845" s="0" t="n">
        <v>526893</v>
      </c>
      <c r="D1845" s="0" t="s">
        <v>6143</v>
      </c>
      <c r="E1845" s="0" t="s">
        <v>89</v>
      </c>
      <c r="F1845" s="0" t="s">
        <v>90</v>
      </c>
      <c r="G1845" s="0" t="s">
        <v>36</v>
      </c>
      <c r="H1845" s="0" t="n">
        <v>90</v>
      </c>
      <c r="I1845" s="0" t="s">
        <v>6150</v>
      </c>
      <c r="J1845" s="0" t="s">
        <v>6151</v>
      </c>
      <c r="K1845" s="0" t="s">
        <v>6152</v>
      </c>
      <c r="L1845" s="0" t="str">
        <f aca="false">HYPERLINK("https://www.ncbi.nlm.nih.gov/nuccore/CP000304.1?report=graph&amp;tracks=[key:gene_model_track,Options:GeneOnly]&amp;mk=526939:526958|offset_25|444444,526917:526936|offset_47|444444,526874:526893|offset_90|00cc00,526848:526867|offset_116|444444&amp;v=526738:527067&amp;c=444444", "offset 90")</f>
        <v>offset 90</v>
      </c>
    </row>
    <row r="1846" customFormat="false" ht="12.8" hidden="false" customHeight="false" outlineLevel="0" collapsed="false">
      <c r="A1846" s="0" t="s">
        <v>12</v>
      </c>
      <c r="B1846" s="0" t="n">
        <v>526847</v>
      </c>
      <c r="C1846" s="0" t="n">
        <v>526867</v>
      </c>
      <c r="D1846" s="0" t="s">
        <v>6143</v>
      </c>
      <c r="E1846" s="0" t="s">
        <v>89</v>
      </c>
      <c r="F1846" s="0" t="s">
        <v>90</v>
      </c>
      <c r="G1846" s="0" t="s">
        <v>26</v>
      </c>
      <c r="H1846" s="0" t="n">
        <v>116</v>
      </c>
      <c r="I1846" s="0" t="s">
        <v>6153</v>
      </c>
      <c r="J1846" s="0" t="s">
        <v>6154</v>
      </c>
      <c r="K1846" s="0" t="s">
        <v>6155</v>
      </c>
      <c r="L1846" s="0" t="str">
        <f aca="false">HYPERLINK("https://www.ncbi.nlm.nih.gov/nuccore/CP000304.1?report=graph&amp;tracks=[key:gene_model_track,Options:GeneOnly]&amp;mk=526939:526958|offset_25|444444,526917:526936|offset_47|444444,526874:526893|offset_90|444444,526848:526867|offset_116|00cc00&amp;v=526738:527067&amp;c=444444", "offset 116")</f>
        <v>offset 116</v>
      </c>
    </row>
    <row r="1847" customFormat="false" ht="12.8" hidden="false" customHeight="false" outlineLevel="0" collapsed="false">
      <c r="A1847" s="0" t="s">
        <v>12</v>
      </c>
      <c r="B1847" s="0" t="n">
        <v>527449</v>
      </c>
      <c r="C1847" s="0" t="n">
        <v>527469</v>
      </c>
      <c r="D1847" s="0" t="s">
        <v>6156</v>
      </c>
      <c r="E1847" s="0" t="s">
        <v>6157</v>
      </c>
      <c r="F1847" s="0" t="s">
        <v>90</v>
      </c>
      <c r="G1847" s="0" t="s">
        <v>32</v>
      </c>
      <c r="H1847" s="0" t="n">
        <v>14</v>
      </c>
      <c r="I1847" s="0" t="s">
        <v>6158</v>
      </c>
      <c r="J1847" s="0" t="s">
        <v>6159</v>
      </c>
      <c r="K1847" s="0" t="s">
        <v>6160</v>
      </c>
      <c r="L1847" s="0" t="str">
        <f aca="false">HYPERLINK("https://www.ncbi.nlm.nih.gov/nuccore/CP000304.1?report=graph&amp;tracks=[key:gene_model_track,Options:GeneOnly]&amp;mk=527450:527469|offset_14|00cc00,527426:527445|offset_38|444444,527404:527423|offset_60|444444,527361:527380|offset_103|444444&amp;v=527249:527580&amp;c=444444", "offset 14")</f>
        <v>offset 14</v>
      </c>
    </row>
    <row r="1848" customFormat="false" ht="12.8" hidden="false" customHeight="false" outlineLevel="0" collapsed="false">
      <c r="A1848" s="0" t="s">
        <v>12</v>
      </c>
      <c r="B1848" s="0" t="n">
        <v>527425</v>
      </c>
      <c r="C1848" s="0" t="n">
        <v>527445</v>
      </c>
      <c r="D1848" s="0" t="s">
        <v>6156</v>
      </c>
      <c r="E1848" s="0" t="s">
        <v>6157</v>
      </c>
      <c r="F1848" s="0" t="s">
        <v>90</v>
      </c>
      <c r="G1848" s="0" t="s">
        <v>26</v>
      </c>
      <c r="H1848" s="0" t="n">
        <v>38</v>
      </c>
      <c r="I1848" s="0" t="s">
        <v>6161</v>
      </c>
      <c r="J1848" s="0" t="s">
        <v>6162</v>
      </c>
      <c r="K1848" s="0" t="s">
        <v>6163</v>
      </c>
      <c r="L1848" s="0" t="str">
        <f aca="false">HYPERLINK("https://www.ncbi.nlm.nih.gov/nuccore/CP000304.1?report=graph&amp;tracks=[key:gene_model_track,Options:GeneOnly]&amp;mk=527450:527469|offset_14|444444,527426:527445|offset_38|00cc00,527404:527423|offset_60|444444,527361:527380|offset_103|444444&amp;v=527249:527580&amp;c=444444", "offset 38")</f>
        <v>offset 38</v>
      </c>
    </row>
    <row r="1849" customFormat="false" ht="12.8" hidden="false" customHeight="false" outlineLevel="0" collapsed="false">
      <c r="A1849" s="0" t="s">
        <v>12</v>
      </c>
      <c r="B1849" s="0" t="n">
        <v>527403</v>
      </c>
      <c r="C1849" s="0" t="n">
        <v>527423</v>
      </c>
      <c r="D1849" s="0" t="s">
        <v>6156</v>
      </c>
      <c r="E1849" s="0" t="s">
        <v>6157</v>
      </c>
      <c r="F1849" s="0" t="s">
        <v>90</v>
      </c>
      <c r="G1849" s="0" t="s">
        <v>36</v>
      </c>
      <c r="H1849" s="0" t="n">
        <v>60</v>
      </c>
      <c r="I1849" s="0" t="s">
        <v>6164</v>
      </c>
      <c r="J1849" s="0" t="s">
        <v>6165</v>
      </c>
      <c r="K1849" s="0" t="s">
        <v>6166</v>
      </c>
      <c r="L1849" s="0" t="str">
        <f aca="false">HYPERLINK("https://www.ncbi.nlm.nih.gov/nuccore/CP000304.1?report=graph&amp;tracks=[key:gene_model_track,Options:GeneOnly]&amp;mk=527450:527469|offset_14|444444,527426:527445|offset_38|444444,527404:527423|offset_60|00cc00,527361:527380|offset_103|444444&amp;v=527249:527580&amp;c=444444", "offset 60")</f>
        <v>offset 60</v>
      </c>
    </row>
    <row r="1850" customFormat="false" ht="12.8" hidden="false" customHeight="false" outlineLevel="0" collapsed="false">
      <c r="A1850" s="0" t="s">
        <v>12</v>
      </c>
      <c r="B1850" s="0" t="n">
        <v>527360</v>
      </c>
      <c r="C1850" s="0" t="n">
        <v>527380</v>
      </c>
      <c r="D1850" s="0" t="s">
        <v>6156</v>
      </c>
      <c r="E1850" s="0" t="s">
        <v>6157</v>
      </c>
      <c r="F1850" s="0" t="s">
        <v>90</v>
      </c>
      <c r="G1850" s="0" t="s">
        <v>32</v>
      </c>
      <c r="H1850" s="0" t="n">
        <v>103</v>
      </c>
      <c r="I1850" s="0" t="s">
        <v>6167</v>
      </c>
      <c r="J1850" s="0" t="s">
        <v>6168</v>
      </c>
      <c r="K1850" s="0" t="s">
        <v>6169</v>
      </c>
      <c r="L1850" s="0" t="str">
        <f aca="false">HYPERLINK("https://www.ncbi.nlm.nih.gov/nuccore/CP000304.1?report=graph&amp;tracks=[key:gene_model_track,Options:GeneOnly]&amp;mk=527450:527469|offset_14|444444,527426:527445|offset_38|444444,527404:527423|offset_60|444444,527361:527380|offset_103|00cc00&amp;v=527249:527580&amp;c=444444", "offset 103")</f>
        <v>offset 103</v>
      </c>
    </row>
    <row r="1851" customFormat="false" ht="12.8" hidden="false" customHeight="false" outlineLevel="0" collapsed="false">
      <c r="A1851" s="0" t="s">
        <v>12</v>
      </c>
      <c r="B1851" s="0" t="n">
        <v>528673</v>
      </c>
      <c r="C1851" s="0" t="n">
        <v>528693</v>
      </c>
      <c r="D1851" s="0" t="s">
        <v>6170</v>
      </c>
      <c r="E1851" s="0" t="s">
        <v>6171</v>
      </c>
      <c r="F1851" s="0" t="s">
        <v>90</v>
      </c>
      <c r="G1851" s="0" t="s">
        <v>26</v>
      </c>
      <c r="H1851" s="0" t="n">
        <v>0</v>
      </c>
      <c r="I1851" s="0" t="s">
        <v>6172</v>
      </c>
      <c r="J1851" s="0" t="s">
        <v>6173</v>
      </c>
      <c r="K1851" s="0" t="s">
        <v>6174</v>
      </c>
      <c r="L1851" s="0" t="str">
        <f aca="false">HYPERLINK("https://www.ncbi.nlm.nih.gov/nuccore/CP000304.1?report=graph&amp;tracks=[key:gene_model_track,Options:GeneOnly]&amp;mk=528674:528693|offset_0|00cc00,528619:528638|offset_55|444444,528594:528613|offset_80|444444,528571:528590|offset_103|444444&amp;v=528473:528790&amp;c=444444", "offset 0")</f>
        <v>offset 0</v>
      </c>
    </row>
    <row r="1852" customFormat="false" ht="12.8" hidden="false" customHeight="false" outlineLevel="0" collapsed="false">
      <c r="A1852" s="0" t="s">
        <v>12</v>
      </c>
      <c r="B1852" s="0" t="n">
        <v>528618</v>
      </c>
      <c r="C1852" s="0" t="n">
        <v>528638</v>
      </c>
      <c r="D1852" s="0" t="s">
        <v>6170</v>
      </c>
      <c r="E1852" s="0" t="s">
        <v>6171</v>
      </c>
      <c r="F1852" s="0" t="s">
        <v>90</v>
      </c>
      <c r="G1852" s="0" t="s">
        <v>16</v>
      </c>
      <c r="H1852" s="0" t="n">
        <v>55</v>
      </c>
      <c r="I1852" s="0" t="s">
        <v>6175</v>
      </c>
      <c r="J1852" s="0" t="s">
        <v>6176</v>
      </c>
      <c r="K1852" s="0" t="s">
        <v>6177</v>
      </c>
      <c r="L1852" s="0" t="str">
        <f aca="false">HYPERLINK("https://www.ncbi.nlm.nih.gov/nuccore/CP000304.1?report=graph&amp;tracks=[key:gene_model_track,Options:GeneOnly]&amp;mk=528674:528693|offset_0|444444,528619:528638|offset_55|00cc00,528594:528613|offset_80|444444,528571:528590|offset_103|444444&amp;v=528473:528790&amp;c=444444", "offset 55")</f>
        <v>offset 55</v>
      </c>
    </row>
    <row r="1853" customFormat="false" ht="12.8" hidden="false" customHeight="false" outlineLevel="0" collapsed="false">
      <c r="A1853" s="0" t="s">
        <v>12</v>
      </c>
      <c r="B1853" s="0" t="n">
        <v>528593</v>
      </c>
      <c r="C1853" s="0" t="n">
        <v>528613</v>
      </c>
      <c r="D1853" s="0" t="s">
        <v>6170</v>
      </c>
      <c r="E1853" s="0" t="s">
        <v>6171</v>
      </c>
      <c r="F1853" s="0" t="s">
        <v>90</v>
      </c>
      <c r="G1853" s="0" t="s">
        <v>16</v>
      </c>
      <c r="H1853" s="0" t="n">
        <v>80</v>
      </c>
      <c r="I1853" s="0" t="s">
        <v>6178</v>
      </c>
      <c r="J1853" s="0" t="s">
        <v>6179</v>
      </c>
      <c r="K1853" s="0" t="s">
        <v>6180</v>
      </c>
      <c r="L1853" s="0" t="str">
        <f aca="false">HYPERLINK("https://www.ncbi.nlm.nih.gov/nuccore/CP000304.1?report=graph&amp;tracks=[key:gene_model_track,Options:GeneOnly]&amp;mk=528674:528693|offset_0|444444,528619:528638|offset_55|444444,528594:528613|offset_80|00cc00,528571:528590|offset_103|444444&amp;v=528473:528790&amp;c=444444", "offset 80")</f>
        <v>offset 80</v>
      </c>
    </row>
    <row r="1854" customFormat="false" ht="12.8" hidden="false" customHeight="false" outlineLevel="0" collapsed="false">
      <c r="A1854" s="0" t="s">
        <v>12</v>
      </c>
      <c r="B1854" s="0" t="n">
        <v>528570</v>
      </c>
      <c r="C1854" s="0" t="n">
        <v>528590</v>
      </c>
      <c r="D1854" s="0" t="s">
        <v>6170</v>
      </c>
      <c r="E1854" s="0" t="s">
        <v>6171</v>
      </c>
      <c r="F1854" s="0" t="s">
        <v>90</v>
      </c>
      <c r="G1854" s="0" t="s">
        <v>16</v>
      </c>
      <c r="H1854" s="0" t="n">
        <v>103</v>
      </c>
      <c r="I1854" s="0" t="s">
        <v>6181</v>
      </c>
      <c r="J1854" s="0" t="s">
        <v>6182</v>
      </c>
      <c r="K1854" s="0" t="s">
        <v>6183</v>
      </c>
      <c r="L1854" s="0" t="str">
        <f aca="false">HYPERLINK("https://www.ncbi.nlm.nih.gov/nuccore/CP000304.1?report=graph&amp;tracks=[key:gene_model_track,Options:GeneOnly]&amp;mk=528674:528693|offset_0|444444,528619:528638|offset_55|444444,528594:528613|offset_80|444444,528571:528590|offset_103|00cc00&amp;v=528473:528790&amp;c=444444", "offset 103")</f>
        <v>offset 103</v>
      </c>
    </row>
    <row r="1855" customFormat="false" ht="12.8" hidden="false" customHeight="false" outlineLevel="0" collapsed="false">
      <c r="A1855" s="0" t="s">
        <v>12</v>
      </c>
      <c r="B1855" s="0" t="n">
        <v>528851</v>
      </c>
      <c r="C1855" s="0" t="n">
        <v>528871</v>
      </c>
      <c r="D1855" s="0" t="s">
        <v>6184</v>
      </c>
      <c r="E1855" s="0" t="s">
        <v>6185</v>
      </c>
      <c r="F1855" s="0" t="s">
        <v>15</v>
      </c>
      <c r="G1855" s="0" t="s">
        <v>16</v>
      </c>
      <c r="H1855" s="0" t="n">
        <v>21</v>
      </c>
      <c r="I1855" s="0" t="s">
        <v>6186</v>
      </c>
      <c r="J1855" s="0" t="s">
        <v>6187</v>
      </c>
      <c r="K1855" s="0" t="s">
        <v>6188</v>
      </c>
      <c r="L1855" s="0" t="str">
        <f aca="false">HYPERLINK("https://www.ncbi.nlm.nih.gov/nuccore/CP000304.1?report=graph&amp;tracks=[key:gene_model_track,Options:GeneOnly]&amp;mk=528852:528871|offset_21|00cc00,528898:528917|offset_67|444444,528932:528951|offset_101|444444,528968:528987|offset_137|444444&amp;v=528651:529187&amp;c=444444", "offset 21")</f>
        <v>offset 21</v>
      </c>
    </row>
    <row r="1856" customFormat="false" ht="12.8" hidden="false" customHeight="false" outlineLevel="0" collapsed="false">
      <c r="A1856" s="0" t="s">
        <v>12</v>
      </c>
      <c r="B1856" s="0" t="n">
        <v>528897</v>
      </c>
      <c r="C1856" s="0" t="n">
        <v>528917</v>
      </c>
      <c r="D1856" s="0" t="s">
        <v>6184</v>
      </c>
      <c r="E1856" s="0" t="s">
        <v>6185</v>
      </c>
      <c r="F1856" s="0" t="s">
        <v>15</v>
      </c>
      <c r="G1856" s="0" t="s">
        <v>16</v>
      </c>
      <c r="H1856" s="0" t="n">
        <v>67</v>
      </c>
      <c r="I1856" s="0" t="s">
        <v>6189</v>
      </c>
      <c r="J1856" s="0" t="s">
        <v>6190</v>
      </c>
      <c r="K1856" s="0" t="s">
        <v>6191</v>
      </c>
      <c r="L1856" s="0" t="str">
        <f aca="false">HYPERLINK("https://www.ncbi.nlm.nih.gov/nuccore/CP000304.1?report=graph&amp;tracks=[key:gene_model_track,Options:GeneOnly]&amp;mk=528852:528871|offset_21|444444,528898:528917|offset_67|00cc00,528932:528951|offset_101|444444,528968:528987|offset_137|444444&amp;v=528651:529187&amp;c=444444", "offset 67")</f>
        <v>offset 67</v>
      </c>
    </row>
    <row r="1857" customFormat="false" ht="12.8" hidden="false" customHeight="false" outlineLevel="0" collapsed="false">
      <c r="A1857" s="0" t="s">
        <v>12</v>
      </c>
      <c r="B1857" s="0" t="n">
        <v>528931</v>
      </c>
      <c r="C1857" s="0" t="n">
        <v>528951</v>
      </c>
      <c r="D1857" s="0" t="s">
        <v>6184</v>
      </c>
      <c r="E1857" s="0" t="s">
        <v>6185</v>
      </c>
      <c r="F1857" s="0" t="s">
        <v>15</v>
      </c>
      <c r="G1857" s="0" t="s">
        <v>26</v>
      </c>
      <c r="H1857" s="0" t="n">
        <v>101</v>
      </c>
      <c r="I1857" s="0" t="s">
        <v>6192</v>
      </c>
      <c r="J1857" s="0" t="s">
        <v>6193</v>
      </c>
      <c r="K1857" s="0" t="s">
        <v>6194</v>
      </c>
      <c r="L1857" s="0" t="str">
        <f aca="false">HYPERLINK("https://www.ncbi.nlm.nih.gov/nuccore/CP000304.1?report=graph&amp;tracks=[key:gene_model_track,Options:GeneOnly]&amp;mk=528852:528871|offset_21|444444,528898:528917|offset_67|444444,528932:528951|offset_101|00cc00,528968:528987|offset_137|444444&amp;v=528651:529187&amp;c=444444", "offset 101")</f>
        <v>offset 101</v>
      </c>
    </row>
    <row r="1858" customFormat="false" ht="12.8" hidden="false" customHeight="false" outlineLevel="0" collapsed="false">
      <c r="A1858" s="0" t="s">
        <v>12</v>
      </c>
      <c r="B1858" s="0" t="n">
        <v>528967</v>
      </c>
      <c r="C1858" s="0" t="n">
        <v>528987</v>
      </c>
      <c r="D1858" s="0" t="s">
        <v>6184</v>
      </c>
      <c r="E1858" s="0" t="s">
        <v>6185</v>
      </c>
      <c r="F1858" s="0" t="s">
        <v>15</v>
      </c>
      <c r="G1858" s="0" t="s">
        <v>26</v>
      </c>
      <c r="H1858" s="0" t="n">
        <v>137</v>
      </c>
      <c r="I1858" s="0" t="s">
        <v>6195</v>
      </c>
      <c r="J1858" s="0" t="s">
        <v>6196</v>
      </c>
      <c r="K1858" s="0" t="s">
        <v>6197</v>
      </c>
      <c r="L1858" s="0" t="str">
        <f aca="false">HYPERLINK("https://www.ncbi.nlm.nih.gov/nuccore/CP000304.1?report=graph&amp;tracks=[key:gene_model_track,Options:GeneOnly]&amp;mk=528852:528871|offset_21|444444,528898:528917|offset_67|444444,528932:528951|offset_101|444444,528968:528987|offset_137|00cc00&amp;v=528651:529187&amp;c=444444", "offset 137")</f>
        <v>offset 137</v>
      </c>
    </row>
    <row r="1859" customFormat="false" ht="12.8" hidden="false" customHeight="false" outlineLevel="0" collapsed="false">
      <c r="A1859" s="0" t="s">
        <v>12</v>
      </c>
      <c r="B1859" s="0" t="n">
        <v>530820</v>
      </c>
      <c r="C1859" s="0" t="n">
        <v>530840</v>
      </c>
      <c r="D1859" s="0" t="s">
        <v>6198</v>
      </c>
      <c r="E1859" s="0" t="s">
        <v>89</v>
      </c>
      <c r="F1859" s="0" t="s">
        <v>90</v>
      </c>
      <c r="G1859" s="0" t="s">
        <v>16</v>
      </c>
      <c r="H1859" s="0" t="n">
        <v>0</v>
      </c>
      <c r="I1859" s="0" t="s">
        <v>6199</v>
      </c>
      <c r="J1859" s="0" t="s">
        <v>6200</v>
      </c>
      <c r="K1859" s="0" t="s">
        <v>6201</v>
      </c>
      <c r="L1859" s="0" t="str">
        <f aca="false">HYPERLINK("https://www.ncbi.nlm.nih.gov/nuccore/CP000304.1?report=graph&amp;tracks=[key:gene_model_track,Options:GeneOnly]&amp;mk=530821:530840|offset_0|00cc00,530790:530809|offset_31|444444,530766:530785|offset_55|444444,530733:530752|offset_88|444444&amp;v=530620:530952&amp;c=444444", "offset 0")</f>
        <v>offset 0</v>
      </c>
    </row>
    <row r="1860" customFormat="false" ht="12.8" hidden="false" customHeight="false" outlineLevel="0" collapsed="false">
      <c r="A1860" s="0" t="s">
        <v>12</v>
      </c>
      <c r="B1860" s="0" t="n">
        <v>530789</v>
      </c>
      <c r="C1860" s="0" t="n">
        <v>530809</v>
      </c>
      <c r="D1860" s="0" t="s">
        <v>6198</v>
      </c>
      <c r="E1860" s="0" t="s">
        <v>89</v>
      </c>
      <c r="F1860" s="0" t="s">
        <v>90</v>
      </c>
      <c r="G1860" s="0" t="s">
        <v>26</v>
      </c>
      <c r="H1860" s="0" t="n">
        <v>31</v>
      </c>
      <c r="I1860" s="0" t="s">
        <v>6202</v>
      </c>
      <c r="J1860" s="0" t="s">
        <v>6203</v>
      </c>
      <c r="K1860" s="0" t="s">
        <v>6204</v>
      </c>
      <c r="L1860" s="0" t="str">
        <f aca="false">HYPERLINK("https://www.ncbi.nlm.nih.gov/nuccore/CP000304.1?report=graph&amp;tracks=[key:gene_model_track,Options:GeneOnly]&amp;mk=530821:530840|offset_0|444444,530790:530809|offset_31|00cc00,530766:530785|offset_55|444444,530733:530752|offset_88|444444&amp;v=530620:530952&amp;c=444444", "offset 31")</f>
        <v>offset 31</v>
      </c>
    </row>
    <row r="1861" customFormat="false" ht="12.8" hidden="false" customHeight="false" outlineLevel="0" collapsed="false">
      <c r="A1861" s="0" t="s">
        <v>12</v>
      </c>
      <c r="B1861" s="0" t="n">
        <v>530765</v>
      </c>
      <c r="C1861" s="0" t="n">
        <v>530785</v>
      </c>
      <c r="D1861" s="0" t="s">
        <v>6198</v>
      </c>
      <c r="E1861" s="0" t="s">
        <v>89</v>
      </c>
      <c r="F1861" s="0" t="s">
        <v>90</v>
      </c>
      <c r="G1861" s="0" t="s">
        <v>36</v>
      </c>
      <c r="H1861" s="0" t="n">
        <v>55</v>
      </c>
      <c r="I1861" s="0" t="s">
        <v>6205</v>
      </c>
      <c r="J1861" s="0" t="s">
        <v>6206</v>
      </c>
      <c r="K1861" s="0" t="s">
        <v>6207</v>
      </c>
      <c r="L1861" s="0" t="str">
        <f aca="false">HYPERLINK("https://www.ncbi.nlm.nih.gov/nuccore/CP000304.1?report=graph&amp;tracks=[key:gene_model_track,Options:GeneOnly]&amp;mk=530821:530840|offset_0|444444,530790:530809|offset_31|444444,530766:530785|offset_55|00cc00,530733:530752|offset_88|444444&amp;v=530620:530952&amp;c=444444", "offset 55")</f>
        <v>offset 55</v>
      </c>
    </row>
    <row r="1862" customFormat="false" ht="12.8" hidden="false" customHeight="false" outlineLevel="0" collapsed="false">
      <c r="A1862" s="0" t="s">
        <v>12</v>
      </c>
      <c r="B1862" s="0" t="n">
        <v>530732</v>
      </c>
      <c r="C1862" s="0" t="n">
        <v>530752</v>
      </c>
      <c r="D1862" s="0" t="s">
        <v>6198</v>
      </c>
      <c r="E1862" s="0" t="s">
        <v>89</v>
      </c>
      <c r="F1862" s="0" t="s">
        <v>90</v>
      </c>
      <c r="G1862" s="0" t="s">
        <v>36</v>
      </c>
      <c r="H1862" s="0" t="n">
        <v>88</v>
      </c>
      <c r="I1862" s="0" t="s">
        <v>6208</v>
      </c>
      <c r="J1862" s="0" t="s">
        <v>6209</v>
      </c>
      <c r="K1862" s="0" t="s">
        <v>6210</v>
      </c>
      <c r="L1862" s="0" t="str">
        <f aca="false">HYPERLINK("https://www.ncbi.nlm.nih.gov/nuccore/CP000304.1?report=graph&amp;tracks=[key:gene_model_track,Options:GeneOnly]&amp;mk=530821:530840|offset_0|444444,530790:530809|offset_31|444444,530766:530785|offset_55|444444,530733:530752|offset_88|00cc00&amp;v=530620:530952&amp;c=444444", "offset 88")</f>
        <v>offset 88</v>
      </c>
    </row>
    <row r="1863" customFormat="false" ht="12.8" hidden="false" customHeight="false" outlineLevel="0" collapsed="false">
      <c r="A1863" s="0" t="s">
        <v>12</v>
      </c>
      <c r="B1863" s="0" t="n">
        <v>531245</v>
      </c>
      <c r="C1863" s="0" t="n">
        <v>531265</v>
      </c>
      <c r="D1863" s="0" t="s">
        <v>6211</v>
      </c>
      <c r="E1863" s="0" t="s">
        <v>89</v>
      </c>
      <c r="F1863" s="0" t="s">
        <v>90</v>
      </c>
      <c r="G1863" s="0" t="s">
        <v>16</v>
      </c>
      <c r="H1863" s="0" t="n">
        <v>7</v>
      </c>
      <c r="I1863" s="0" t="s">
        <v>6212</v>
      </c>
      <c r="J1863" s="0" t="s">
        <v>6213</v>
      </c>
      <c r="K1863" s="0" t="s">
        <v>6214</v>
      </c>
      <c r="L1863" s="0" t="str">
        <f aca="false">HYPERLINK("https://www.ncbi.nlm.nih.gov/nuccore/CP000304.1?report=graph&amp;tracks=[key:gene_model_track,Options:GeneOnly]&amp;mk=531246:531265|offset_7|00cc00,531219:531238|offset_34|444444,531185:531204|offset_68|444444,531165:531184|offset_88|444444&amp;v=531045:531384&amp;c=444444", "offset 7")</f>
        <v>offset 7</v>
      </c>
    </row>
    <row r="1864" customFormat="false" ht="12.8" hidden="false" customHeight="false" outlineLevel="0" collapsed="false">
      <c r="A1864" s="0" t="s">
        <v>12</v>
      </c>
      <c r="B1864" s="0" t="n">
        <v>531218</v>
      </c>
      <c r="C1864" s="0" t="n">
        <v>531238</v>
      </c>
      <c r="D1864" s="0" t="s">
        <v>6211</v>
      </c>
      <c r="E1864" s="0" t="s">
        <v>89</v>
      </c>
      <c r="F1864" s="0" t="s">
        <v>90</v>
      </c>
      <c r="G1864" s="0" t="s">
        <v>26</v>
      </c>
      <c r="H1864" s="0" t="n">
        <v>34</v>
      </c>
      <c r="I1864" s="0" t="s">
        <v>6215</v>
      </c>
      <c r="J1864" s="0" t="s">
        <v>6216</v>
      </c>
      <c r="K1864" s="0" t="s">
        <v>6217</v>
      </c>
      <c r="L1864" s="0" t="str">
        <f aca="false">HYPERLINK("https://www.ncbi.nlm.nih.gov/nuccore/CP000304.1?report=graph&amp;tracks=[key:gene_model_track,Options:GeneOnly]&amp;mk=531246:531265|offset_7|444444,531219:531238|offset_34|00cc00,531185:531204|offset_68|444444,531165:531184|offset_88|444444&amp;v=531045:531384&amp;c=444444", "offset 34")</f>
        <v>offset 34</v>
      </c>
    </row>
    <row r="1865" customFormat="false" ht="12.8" hidden="false" customHeight="false" outlineLevel="0" collapsed="false">
      <c r="A1865" s="0" t="s">
        <v>12</v>
      </c>
      <c r="B1865" s="0" t="n">
        <v>531184</v>
      </c>
      <c r="C1865" s="0" t="n">
        <v>531204</v>
      </c>
      <c r="D1865" s="0" t="s">
        <v>6211</v>
      </c>
      <c r="E1865" s="0" t="s">
        <v>89</v>
      </c>
      <c r="F1865" s="0" t="s">
        <v>90</v>
      </c>
      <c r="G1865" s="0" t="s">
        <v>16</v>
      </c>
      <c r="H1865" s="0" t="n">
        <v>68</v>
      </c>
      <c r="I1865" s="0" t="s">
        <v>6218</v>
      </c>
      <c r="J1865" s="0" t="s">
        <v>6219</v>
      </c>
      <c r="K1865" s="0" t="s">
        <v>6220</v>
      </c>
      <c r="L1865" s="0" t="str">
        <f aca="false">HYPERLINK("https://www.ncbi.nlm.nih.gov/nuccore/CP000304.1?report=graph&amp;tracks=[key:gene_model_track,Options:GeneOnly]&amp;mk=531246:531265|offset_7|444444,531219:531238|offset_34|444444,531185:531204|offset_68|00cc00,531165:531184|offset_88|444444&amp;v=531045:531384&amp;c=444444", "offset 68")</f>
        <v>offset 68</v>
      </c>
    </row>
    <row r="1866" customFormat="false" ht="12.8" hidden="false" customHeight="false" outlineLevel="0" collapsed="false">
      <c r="A1866" s="0" t="s">
        <v>12</v>
      </c>
      <c r="B1866" s="0" t="n">
        <v>531164</v>
      </c>
      <c r="C1866" s="0" t="n">
        <v>531184</v>
      </c>
      <c r="D1866" s="0" t="s">
        <v>6211</v>
      </c>
      <c r="E1866" s="0" t="s">
        <v>89</v>
      </c>
      <c r="F1866" s="0" t="s">
        <v>90</v>
      </c>
      <c r="G1866" s="0" t="s">
        <v>16</v>
      </c>
      <c r="H1866" s="0" t="n">
        <v>88</v>
      </c>
      <c r="I1866" s="0" t="s">
        <v>6221</v>
      </c>
      <c r="J1866" s="0" t="s">
        <v>6222</v>
      </c>
      <c r="K1866" s="0" t="s">
        <v>6223</v>
      </c>
      <c r="L1866" s="0" t="str">
        <f aca="false">HYPERLINK("https://www.ncbi.nlm.nih.gov/nuccore/CP000304.1?report=graph&amp;tracks=[key:gene_model_track,Options:GeneOnly]&amp;mk=531246:531265|offset_7|444444,531219:531238|offset_34|444444,531185:531204|offset_68|444444,531165:531184|offset_88|00cc00&amp;v=531045:531384&amp;c=444444", "offset 88")</f>
        <v>offset 88</v>
      </c>
    </row>
    <row r="1867" customFormat="false" ht="12.8" hidden="false" customHeight="false" outlineLevel="0" collapsed="false">
      <c r="A1867" s="0" t="s">
        <v>12</v>
      </c>
      <c r="B1867" s="0" t="n">
        <v>531418</v>
      </c>
      <c r="C1867" s="0" t="n">
        <v>531438</v>
      </c>
      <c r="D1867" s="0" t="s">
        <v>6224</v>
      </c>
      <c r="E1867" s="0" t="s">
        <v>6225</v>
      </c>
      <c r="F1867" s="0" t="s">
        <v>15</v>
      </c>
      <c r="G1867" s="0" t="s">
        <v>16</v>
      </c>
      <c r="H1867" s="0" t="n">
        <v>31</v>
      </c>
      <c r="I1867" s="0" t="s">
        <v>6226</v>
      </c>
      <c r="J1867" s="0" t="s">
        <v>6227</v>
      </c>
      <c r="K1867" s="0" t="s">
        <v>6228</v>
      </c>
      <c r="L1867" s="0" t="str">
        <f aca="false">HYPERLINK("https://www.ncbi.nlm.nih.gov/nuccore/CP000304.1?report=graph&amp;tracks=[key:gene_model_track,Options:GeneOnly]&amp;mk=531419:531438|offset_31|00cc00,531455:531474|offset_67|444444,531506:531525|offset_118|444444,531546:531565|offset_158|444444&amp;v=531218:531765&amp;c=444444", "offset 31")</f>
        <v>offset 31</v>
      </c>
    </row>
    <row r="1868" customFormat="false" ht="12.8" hidden="false" customHeight="false" outlineLevel="0" collapsed="false">
      <c r="A1868" s="0" t="s">
        <v>12</v>
      </c>
      <c r="B1868" s="0" t="n">
        <v>531454</v>
      </c>
      <c r="C1868" s="0" t="n">
        <v>531474</v>
      </c>
      <c r="D1868" s="0" t="s">
        <v>6224</v>
      </c>
      <c r="E1868" s="0" t="s">
        <v>6225</v>
      </c>
      <c r="F1868" s="0" t="s">
        <v>15</v>
      </c>
      <c r="G1868" s="0" t="s">
        <v>32</v>
      </c>
      <c r="H1868" s="0" t="n">
        <v>67</v>
      </c>
      <c r="I1868" s="0" t="s">
        <v>6229</v>
      </c>
      <c r="J1868" s="0" t="s">
        <v>6230</v>
      </c>
      <c r="K1868" s="0" t="s">
        <v>6231</v>
      </c>
      <c r="L1868" s="0" t="str">
        <f aca="false">HYPERLINK("https://www.ncbi.nlm.nih.gov/nuccore/CP000304.1?report=graph&amp;tracks=[key:gene_model_track,Options:GeneOnly]&amp;mk=531419:531438|offset_31|444444,531455:531474|offset_67|00cc00,531506:531525|offset_118|444444,531546:531565|offset_158|444444&amp;v=531218:531765&amp;c=444444", "offset 67")</f>
        <v>offset 67</v>
      </c>
    </row>
    <row r="1869" customFormat="false" ht="12.8" hidden="false" customHeight="false" outlineLevel="0" collapsed="false">
      <c r="A1869" s="0" t="s">
        <v>12</v>
      </c>
      <c r="B1869" s="0" t="n">
        <v>531505</v>
      </c>
      <c r="C1869" s="0" t="n">
        <v>531525</v>
      </c>
      <c r="D1869" s="0" t="s">
        <v>6224</v>
      </c>
      <c r="E1869" s="0" t="s">
        <v>6225</v>
      </c>
      <c r="F1869" s="0" t="s">
        <v>15</v>
      </c>
      <c r="G1869" s="0" t="s">
        <v>16</v>
      </c>
      <c r="H1869" s="0" t="n">
        <v>118</v>
      </c>
      <c r="I1869" s="0" t="s">
        <v>6232</v>
      </c>
      <c r="J1869" s="0" t="s">
        <v>6233</v>
      </c>
      <c r="K1869" s="0" t="s">
        <v>6234</v>
      </c>
      <c r="L1869" s="0" t="str">
        <f aca="false">HYPERLINK("https://www.ncbi.nlm.nih.gov/nuccore/CP000304.1?report=graph&amp;tracks=[key:gene_model_track,Options:GeneOnly]&amp;mk=531419:531438|offset_31|444444,531455:531474|offset_67|444444,531506:531525|offset_118|00cc00,531546:531565|offset_158|444444&amp;v=531218:531765&amp;c=444444", "offset 118")</f>
        <v>offset 118</v>
      </c>
    </row>
    <row r="1870" customFormat="false" ht="12.8" hidden="false" customHeight="false" outlineLevel="0" collapsed="false">
      <c r="A1870" s="0" t="s">
        <v>12</v>
      </c>
      <c r="B1870" s="0" t="n">
        <v>531545</v>
      </c>
      <c r="C1870" s="0" t="n">
        <v>531565</v>
      </c>
      <c r="D1870" s="0" t="s">
        <v>6224</v>
      </c>
      <c r="E1870" s="0" t="s">
        <v>6225</v>
      </c>
      <c r="F1870" s="0" t="s">
        <v>15</v>
      </c>
      <c r="G1870" s="0" t="s">
        <v>26</v>
      </c>
      <c r="H1870" s="0" t="n">
        <v>158</v>
      </c>
      <c r="I1870" s="0" t="s">
        <v>6235</v>
      </c>
      <c r="J1870" s="0" t="s">
        <v>6236</v>
      </c>
      <c r="K1870" s="0" t="s">
        <v>6237</v>
      </c>
      <c r="L1870" s="0" t="str">
        <f aca="false">HYPERLINK("https://www.ncbi.nlm.nih.gov/nuccore/CP000304.1?report=graph&amp;tracks=[key:gene_model_track,Options:GeneOnly]&amp;mk=531419:531438|offset_31|444444,531455:531474|offset_67|444444,531506:531525|offset_118|444444,531546:531565|offset_158|00cc00&amp;v=531218:531765&amp;c=444444", "offset 158")</f>
        <v>offset 158</v>
      </c>
    </row>
    <row r="1871" customFormat="false" ht="12.8" hidden="false" customHeight="false" outlineLevel="0" collapsed="false">
      <c r="A1871" s="0" t="s">
        <v>12</v>
      </c>
      <c r="B1871" s="0" t="n">
        <v>533090</v>
      </c>
      <c r="C1871" s="0" t="n">
        <v>533110</v>
      </c>
      <c r="D1871" s="0" t="s">
        <v>6238</v>
      </c>
      <c r="E1871" s="0" t="s">
        <v>89</v>
      </c>
      <c r="F1871" s="0" t="s">
        <v>15</v>
      </c>
      <c r="G1871" s="0" t="s">
        <v>36</v>
      </c>
      <c r="H1871" s="0" t="n">
        <v>8</v>
      </c>
      <c r="I1871" s="0" t="s">
        <v>6239</v>
      </c>
      <c r="J1871" s="0" t="s">
        <v>6240</v>
      </c>
      <c r="K1871" s="0" t="s">
        <v>6241</v>
      </c>
      <c r="L1871" s="0" t="str">
        <f aca="false">HYPERLINK("https://www.ncbi.nlm.nih.gov/nuccore/CP000304.1?report=graph&amp;tracks=[key:gene_model_track,Options:GeneOnly]&amp;mk=533091:533110|offset_8|00cc00,533114:533133|offset_31|444444,533171:533190|offset_88|444444,533207:533226|offset_124|444444&amp;v=532890:533426&amp;c=444444", "offset 8")</f>
        <v>offset 8</v>
      </c>
    </row>
    <row r="1872" customFormat="false" ht="12.8" hidden="false" customHeight="false" outlineLevel="0" collapsed="false">
      <c r="A1872" s="0" t="s">
        <v>12</v>
      </c>
      <c r="B1872" s="0" t="n">
        <v>533113</v>
      </c>
      <c r="C1872" s="0" t="n">
        <v>533133</v>
      </c>
      <c r="D1872" s="0" t="s">
        <v>6238</v>
      </c>
      <c r="E1872" s="0" t="s">
        <v>89</v>
      </c>
      <c r="F1872" s="0" t="s">
        <v>15</v>
      </c>
      <c r="G1872" s="0" t="s">
        <v>32</v>
      </c>
      <c r="H1872" s="0" t="n">
        <v>31</v>
      </c>
      <c r="I1872" s="0" t="s">
        <v>6242</v>
      </c>
      <c r="J1872" s="0" t="s">
        <v>6243</v>
      </c>
      <c r="K1872" s="0" t="s">
        <v>6244</v>
      </c>
      <c r="L1872" s="0" t="str">
        <f aca="false">HYPERLINK("https://www.ncbi.nlm.nih.gov/nuccore/CP000304.1?report=graph&amp;tracks=[key:gene_model_track,Options:GeneOnly]&amp;mk=533091:533110|offset_8|444444,533114:533133|offset_31|00cc00,533171:533190|offset_88|444444,533207:533226|offset_124|444444&amp;v=532890:533426&amp;c=444444", "offset 31")</f>
        <v>offset 31</v>
      </c>
    </row>
    <row r="1873" customFormat="false" ht="12.8" hidden="false" customHeight="false" outlineLevel="0" collapsed="false">
      <c r="A1873" s="0" t="s">
        <v>12</v>
      </c>
      <c r="B1873" s="0" t="n">
        <v>533170</v>
      </c>
      <c r="C1873" s="0" t="n">
        <v>533190</v>
      </c>
      <c r="D1873" s="0" t="s">
        <v>6238</v>
      </c>
      <c r="E1873" s="0" t="s">
        <v>89</v>
      </c>
      <c r="F1873" s="0" t="s">
        <v>15</v>
      </c>
      <c r="G1873" s="0" t="s">
        <v>36</v>
      </c>
      <c r="H1873" s="0" t="n">
        <v>88</v>
      </c>
      <c r="I1873" s="0" t="s">
        <v>6245</v>
      </c>
      <c r="J1873" s="0" t="s">
        <v>6246</v>
      </c>
      <c r="K1873" s="0" t="s">
        <v>6247</v>
      </c>
      <c r="L1873" s="0" t="str">
        <f aca="false">HYPERLINK("https://www.ncbi.nlm.nih.gov/nuccore/CP000304.1?report=graph&amp;tracks=[key:gene_model_track,Options:GeneOnly]&amp;mk=533091:533110|offset_8|444444,533114:533133|offset_31|444444,533171:533190|offset_88|00cc00,533207:533226|offset_124|444444&amp;v=532890:533426&amp;c=444444", "offset 88")</f>
        <v>offset 88</v>
      </c>
    </row>
    <row r="1874" customFormat="false" ht="12.8" hidden="false" customHeight="false" outlineLevel="0" collapsed="false">
      <c r="A1874" s="0" t="s">
        <v>12</v>
      </c>
      <c r="B1874" s="0" t="n">
        <v>533206</v>
      </c>
      <c r="C1874" s="0" t="n">
        <v>533226</v>
      </c>
      <c r="D1874" s="0" t="s">
        <v>6238</v>
      </c>
      <c r="E1874" s="0" t="s">
        <v>89</v>
      </c>
      <c r="F1874" s="0" t="s">
        <v>15</v>
      </c>
      <c r="G1874" s="0" t="s">
        <v>16</v>
      </c>
      <c r="H1874" s="0" t="n">
        <v>124</v>
      </c>
      <c r="I1874" s="0" t="s">
        <v>6248</v>
      </c>
      <c r="J1874" s="0" t="s">
        <v>6249</v>
      </c>
      <c r="K1874" s="0" t="s">
        <v>6250</v>
      </c>
      <c r="L1874" s="0" t="str">
        <f aca="false">HYPERLINK("https://www.ncbi.nlm.nih.gov/nuccore/CP000304.1?report=graph&amp;tracks=[key:gene_model_track,Options:GeneOnly]&amp;mk=533091:533110|offset_8|444444,533114:533133|offset_31|444444,533171:533190|offset_88|444444,533207:533226|offset_124|00cc00&amp;v=532890:533426&amp;c=444444", "offset 124")</f>
        <v>offset 124</v>
      </c>
    </row>
    <row r="1875" customFormat="false" ht="12.8" hidden="false" customHeight="false" outlineLevel="0" collapsed="false">
      <c r="A1875" s="0" t="s">
        <v>12</v>
      </c>
      <c r="B1875" s="0" t="n">
        <v>534746</v>
      </c>
      <c r="C1875" s="0" t="n">
        <v>534766</v>
      </c>
      <c r="D1875" s="0" t="s">
        <v>6251</v>
      </c>
      <c r="E1875" s="0" t="s">
        <v>89</v>
      </c>
      <c r="F1875" s="0" t="s">
        <v>15</v>
      </c>
      <c r="G1875" s="0" t="s">
        <v>16</v>
      </c>
      <c r="H1875" s="0" t="n">
        <v>0</v>
      </c>
      <c r="I1875" s="0" t="s">
        <v>6252</v>
      </c>
      <c r="J1875" s="0" t="s">
        <v>6253</v>
      </c>
      <c r="K1875" s="0" t="s">
        <v>6254</v>
      </c>
      <c r="L1875" s="0" t="str">
        <f aca="false">HYPERLINK("https://www.ncbi.nlm.nih.gov/nuccore/CP000304.1?report=graph&amp;tracks=[key:gene_model_track,Options:GeneOnly]&amp;mk=534747:534766|offset_0|00cc00,534770:534789|offset_23|444444,534791:534810|offset_44|444444,534817:534836|offset_70|444444&amp;v=534546:535036&amp;c=444444", "offset 0")</f>
        <v>offset 0</v>
      </c>
    </row>
    <row r="1876" customFormat="false" ht="12.8" hidden="false" customHeight="false" outlineLevel="0" collapsed="false">
      <c r="A1876" s="0" t="s">
        <v>12</v>
      </c>
      <c r="B1876" s="0" t="n">
        <v>534769</v>
      </c>
      <c r="C1876" s="0" t="n">
        <v>534789</v>
      </c>
      <c r="D1876" s="0" t="s">
        <v>6251</v>
      </c>
      <c r="E1876" s="0" t="s">
        <v>89</v>
      </c>
      <c r="F1876" s="0" t="s">
        <v>15</v>
      </c>
      <c r="G1876" s="0" t="s">
        <v>26</v>
      </c>
      <c r="H1876" s="0" t="n">
        <v>23</v>
      </c>
      <c r="I1876" s="0" t="s">
        <v>6255</v>
      </c>
      <c r="J1876" s="0" t="s">
        <v>6256</v>
      </c>
      <c r="K1876" s="0" t="s">
        <v>6257</v>
      </c>
      <c r="L1876" s="0" t="str">
        <f aca="false">HYPERLINK("https://www.ncbi.nlm.nih.gov/nuccore/CP000304.1?report=graph&amp;tracks=[key:gene_model_track,Options:GeneOnly]&amp;mk=534747:534766|offset_0|444444,534770:534789|offset_23|00cc00,534791:534810|offset_44|444444,534817:534836|offset_70|444444&amp;v=534546:535036&amp;c=444444", "offset 23")</f>
        <v>offset 23</v>
      </c>
    </row>
    <row r="1877" customFormat="false" ht="12.8" hidden="false" customHeight="false" outlineLevel="0" collapsed="false">
      <c r="A1877" s="0" t="s">
        <v>12</v>
      </c>
      <c r="B1877" s="0" t="n">
        <v>534790</v>
      </c>
      <c r="C1877" s="0" t="n">
        <v>534810</v>
      </c>
      <c r="D1877" s="0" t="s">
        <v>6251</v>
      </c>
      <c r="E1877" s="0" t="s">
        <v>89</v>
      </c>
      <c r="F1877" s="0" t="s">
        <v>15</v>
      </c>
      <c r="G1877" s="0" t="s">
        <v>32</v>
      </c>
      <c r="H1877" s="0" t="n">
        <v>44</v>
      </c>
      <c r="I1877" s="0" t="s">
        <v>6258</v>
      </c>
      <c r="J1877" s="0" t="s">
        <v>6259</v>
      </c>
      <c r="K1877" s="0" t="s">
        <v>6260</v>
      </c>
      <c r="L1877" s="0" t="str">
        <f aca="false">HYPERLINK("https://www.ncbi.nlm.nih.gov/nuccore/CP000304.1?report=graph&amp;tracks=[key:gene_model_track,Options:GeneOnly]&amp;mk=534747:534766|offset_0|444444,534770:534789|offset_23|444444,534791:534810|offset_44|00cc00,534817:534836|offset_70|444444&amp;v=534546:535036&amp;c=444444", "offset 44")</f>
        <v>offset 44</v>
      </c>
    </row>
    <row r="1878" customFormat="false" ht="12.8" hidden="false" customHeight="false" outlineLevel="0" collapsed="false">
      <c r="A1878" s="0" t="s">
        <v>12</v>
      </c>
      <c r="B1878" s="0" t="n">
        <v>534816</v>
      </c>
      <c r="C1878" s="0" t="n">
        <v>534836</v>
      </c>
      <c r="D1878" s="0" t="s">
        <v>6251</v>
      </c>
      <c r="E1878" s="0" t="s">
        <v>89</v>
      </c>
      <c r="F1878" s="0" t="s">
        <v>15</v>
      </c>
      <c r="G1878" s="0" t="s">
        <v>36</v>
      </c>
      <c r="H1878" s="0" t="n">
        <v>70</v>
      </c>
      <c r="I1878" s="0" t="s">
        <v>6261</v>
      </c>
      <c r="J1878" s="0" t="s">
        <v>6262</v>
      </c>
      <c r="K1878" s="0" t="s">
        <v>6263</v>
      </c>
      <c r="L1878" s="0" t="str">
        <f aca="false">HYPERLINK("https://www.ncbi.nlm.nih.gov/nuccore/CP000304.1?report=graph&amp;tracks=[key:gene_model_track,Options:GeneOnly]&amp;mk=534747:534766|offset_0|444444,534770:534789|offset_23|444444,534791:534810|offset_44|444444,534817:534836|offset_70|00cc00&amp;v=534546:535036&amp;c=444444", "offset 70")</f>
        <v>offset 70</v>
      </c>
    </row>
    <row r="1879" customFormat="false" ht="12.8" hidden="false" customHeight="false" outlineLevel="0" collapsed="false">
      <c r="A1879" s="0" t="s">
        <v>12</v>
      </c>
      <c r="B1879" s="0" t="n">
        <v>535987</v>
      </c>
      <c r="C1879" s="0" t="n">
        <v>536007</v>
      </c>
      <c r="D1879" s="0" t="s">
        <v>6264</v>
      </c>
      <c r="E1879" s="0" t="s">
        <v>89</v>
      </c>
      <c r="F1879" s="0" t="s">
        <v>90</v>
      </c>
      <c r="G1879" s="0" t="s">
        <v>16</v>
      </c>
      <c r="H1879" s="0" t="n">
        <v>8</v>
      </c>
      <c r="I1879" s="0" t="s">
        <v>6265</v>
      </c>
      <c r="J1879" s="0" t="s">
        <v>6266</v>
      </c>
      <c r="K1879" s="0" t="s">
        <v>6267</v>
      </c>
      <c r="L1879" s="0" t="str">
        <f aca="false">HYPERLINK("https://www.ncbi.nlm.nih.gov/nuccore/CP000304.1?report=graph&amp;tracks=[key:gene_model_track,Options:GeneOnly]&amp;mk=535988:536007|offset_8|00cc00,535958:535977|offset_38|444444,535935:535954|offset_61|444444,535914:535933|offset_82|444444&amp;v=535787:536133&amp;c=444444", "offset 8")</f>
        <v>offset 8</v>
      </c>
    </row>
    <row r="1880" customFormat="false" ht="12.8" hidden="false" customHeight="false" outlineLevel="0" collapsed="false">
      <c r="A1880" s="0" t="s">
        <v>12</v>
      </c>
      <c r="B1880" s="0" t="n">
        <v>535957</v>
      </c>
      <c r="C1880" s="0" t="n">
        <v>535977</v>
      </c>
      <c r="D1880" s="0" t="s">
        <v>6264</v>
      </c>
      <c r="E1880" s="0" t="s">
        <v>89</v>
      </c>
      <c r="F1880" s="0" t="s">
        <v>90</v>
      </c>
      <c r="G1880" s="0" t="s">
        <v>26</v>
      </c>
      <c r="H1880" s="0" t="n">
        <v>38</v>
      </c>
      <c r="I1880" s="0" t="s">
        <v>6268</v>
      </c>
      <c r="J1880" s="0" t="s">
        <v>6269</v>
      </c>
      <c r="K1880" s="0" t="s">
        <v>6270</v>
      </c>
      <c r="L1880" s="0" t="str">
        <f aca="false">HYPERLINK("https://www.ncbi.nlm.nih.gov/nuccore/CP000304.1?report=graph&amp;tracks=[key:gene_model_track,Options:GeneOnly]&amp;mk=535988:536007|offset_8|444444,535958:535977|offset_38|00cc00,535935:535954|offset_61|444444,535914:535933|offset_82|444444&amp;v=535787:536133&amp;c=444444", "offset 38")</f>
        <v>offset 38</v>
      </c>
    </row>
    <row r="1881" customFormat="false" ht="12.8" hidden="false" customHeight="false" outlineLevel="0" collapsed="false">
      <c r="A1881" s="0" t="s">
        <v>12</v>
      </c>
      <c r="B1881" s="0" t="n">
        <v>535934</v>
      </c>
      <c r="C1881" s="0" t="n">
        <v>535954</v>
      </c>
      <c r="D1881" s="0" t="s">
        <v>6264</v>
      </c>
      <c r="E1881" s="0" t="s">
        <v>89</v>
      </c>
      <c r="F1881" s="0" t="s">
        <v>90</v>
      </c>
      <c r="G1881" s="0" t="s">
        <v>16</v>
      </c>
      <c r="H1881" s="0" t="n">
        <v>61</v>
      </c>
      <c r="I1881" s="0" t="s">
        <v>6271</v>
      </c>
      <c r="J1881" s="0" t="s">
        <v>6272</v>
      </c>
      <c r="K1881" s="0" t="s">
        <v>6273</v>
      </c>
      <c r="L1881" s="0" t="str">
        <f aca="false">HYPERLINK("https://www.ncbi.nlm.nih.gov/nuccore/CP000304.1?report=graph&amp;tracks=[key:gene_model_track,Options:GeneOnly]&amp;mk=535988:536007|offset_8|444444,535958:535977|offset_38|444444,535935:535954|offset_61|00cc00,535914:535933|offset_82|444444&amp;v=535787:536133&amp;c=444444", "offset 61")</f>
        <v>offset 61</v>
      </c>
    </row>
    <row r="1882" customFormat="false" ht="12.8" hidden="false" customHeight="false" outlineLevel="0" collapsed="false">
      <c r="A1882" s="0" t="s">
        <v>12</v>
      </c>
      <c r="B1882" s="0" t="n">
        <v>535913</v>
      </c>
      <c r="C1882" s="0" t="n">
        <v>535933</v>
      </c>
      <c r="D1882" s="0" t="s">
        <v>6264</v>
      </c>
      <c r="E1882" s="0" t="s">
        <v>89</v>
      </c>
      <c r="F1882" s="0" t="s">
        <v>90</v>
      </c>
      <c r="G1882" s="0" t="s">
        <v>36</v>
      </c>
      <c r="H1882" s="0" t="n">
        <v>82</v>
      </c>
      <c r="I1882" s="0" t="s">
        <v>6274</v>
      </c>
      <c r="J1882" s="0" t="s">
        <v>6275</v>
      </c>
      <c r="K1882" s="0" t="s">
        <v>6276</v>
      </c>
      <c r="L1882" s="0" t="str">
        <f aca="false">HYPERLINK("https://www.ncbi.nlm.nih.gov/nuccore/CP000304.1?report=graph&amp;tracks=[key:gene_model_track,Options:GeneOnly]&amp;mk=535988:536007|offset_8|444444,535958:535977|offset_38|444444,535935:535954|offset_61|444444,535914:535933|offset_82|00cc00&amp;v=535787:536133&amp;c=444444", "offset 82")</f>
        <v>offset 82</v>
      </c>
    </row>
    <row r="1883" customFormat="false" ht="12.8" hidden="false" customHeight="false" outlineLevel="0" collapsed="false">
      <c r="A1883" s="0" t="s">
        <v>12</v>
      </c>
      <c r="B1883" s="0" t="n">
        <v>537702</v>
      </c>
      <c r="C1883" s="0" t="n">
        <v>537722</v>
      </c>
      <c r="D1883" s="0" t="s">
        <v>6277</v>
      </c>
      <c r="E1883" s="0" t="s">
        <v>89</v>
      </c>
      <c r="F1883" s="0" t="s">
        <v>90</v>
      </c>
      <c r="G1883" s="0" t="s">
        <v>16</v>
      </c>
      <c r="H1883" s="0" t="n">
        <v>13</v>
      </c>
      <c r="I1883" s="0" t="s">
        <v>6278</v>
      </c>
      <c r="J1883" s="0" t="s">
        <v>6279</v>
      </c>
      <c r="K1883" s="0" t="s">
        <v>6280</v>
      </c>
      <c r="L1883" s="0" t="str">
        <f aca="false">HYPERLINK("https://www.ncbi.nlm.nih.gov/nuccore/CP000304.1?report=graph&amp;tracks=[key:gene_model_track,Options:GeneOnly]&amp;mk=537703:537722|offset_13|00cc00,537682:537701|offset_34|444444,537658:537677|offset_58|444444,537636:537655|offset_80|444444&amp;v=537502:537855&amp;c=444444", "offset 13")</f>
        <v>offset 13</v>
      </c>
    </row>
    <row r="1884" customFormat="false" ht="12.8" hidden="false" customHeight="false" outlineLevel="0" collapsed="false">
      <c r="A1884" s="0" t="s">
        <v>12</v>
      </c>
      <c r="B1884" s="0" t="n">
        <v>537681</v>
      </c>
      <c r="C1884" s="0" t="n">
        <v>537701</v>
      </c>
      <c r="D1884" s="0" t="s">
        <v>6277</v>
      </c>
      <c r="E1884" s="0" t="s">
        <v>89</v>
      </c>
      <c r="F1884" s="0" t="s">
        <v>90</v>
      </c>
      <c r="G1884" s="0" t="s">
        <v>36</v>
      </c>
      <c r="H1884" s="0" t="n">
        <v>34</v>
      </c>
      <c r="I1884" s="0" t="s">
        <v>6281</v>
      </c>
      <c r="J1884" s="0" t="s">
        <v>6282</v>
      </c>
      <c r="K1884" s="0" t="s">
        <v>6283</v>
      </c>
      <c r="L1884" s="0" t="str">
        <f aca="false">HYPERLINK("https://www.ncbi.nlm.nih.gov/nuccore/CP000304.1?report=graph&amp;tracks=[key:gene_model_track,Options:GeneOnly]&amp;mk=537703:537722|offset_13|444444,537682:537701|offset_34|00cc00,537658:537677|offset_58|444444,537636:537655|offset_80|444444&amp;v=537502:537855&amp;c=444444", "offset 34")</f>
        <v>offset 34</v>
      </c>
    </row>
    <row r="1885" customFormat="false" ht="12.8" hidden="false" customHeight="false" outlineLevel="0" collapsed="false">
      <c r="A1885" s="0" t="s">
        <v>12</v>
      </c>
      <c r="B1885" s="0" t="n">
        <v>537657</v>
      </c>
      <c r="C1885" s="0" t="n">
        <v>537677</v>
      </c>
      <c r="D1885" s="0" t="s">
        <v>6277</v>
      </c>
      <c r="E1885" s="0" t="s">
        <v>89</v>
      </c>
      <c r="F1885" s="0" t="s">
        <v>90</v>
      </c>
      <c r="G1885" s="0" t="s">
        <v>36</v>
      </c>
      <c r="H1885" s="0" t="n">
        <v>58</v>
      </c>
      <c r="I1885" s="0" t="s">
        <v>6284</v>
      </c>
      <c r="J1885" s="0" t="s">
        <v>6285</v>
      </c>
      <c r="K1885" s="0" t="s">
        <v>6286</v>
      </c>
      <c r="L1885" s="0" t="str">
        <f aca="false">HYPERLINK("https://www.ncbi.nlm.nih.gov/nuccore/CP000304.1?report=graph&amp;tracks=[key:gene_model_track,Options:GeneOnly]&amp;mk=537703:537722|offset_13|444444,537682:537701|offset_34|444444,537658:537677|offset_58|00cc00,537636:537655|offset_80|444444&amp;v=537502:537855&amp;c=444444", "offset 58")</f>
        <v>offset 58</v>
      </c>
    </row>
    <row r="1886" customFormat="false" ht="12.8" hidden="false" customHeight="false" outlineLevel="0" collapsed="false">
      <c r="A1886" s="0" t="s">
        <v>12</v>
      </c>
      <c r="B1886" s="0" t="n">
        <v>537635</v>
      </c>
      <c r="C1886" s="0" t="n">
        <v>537655</v>
      </c>
      <c r="D1886" s="0" t="s">
        <v>6277</v>
      </c>
      <c r="E1886" s="0" t="s">
        <v>89</v>
      </c>
      <c r="F1886" s="0" t="s">
        <v>90</v>
      </c>
      <c r="G1886" s="0" t="s">
        <v>16</v>
      </c>
      <c r="H1886" s="0" t="n">
        <v>80</v>
      </c>
      <c r="I1886" s="0" t="s">
        <v>6287</v>
      </c>
      <c r="J1886" s="0" t="s">
        <v>6288</v>
      </c>
      <c r="K1886" s="0" t="s">
        <v>6289</v>
      </c>
      <c r="L1886" s="0" t="str">
        <f aca="false">HYPERLINK("https://www.ncbi.nlm.nih.gov/nuccore/CP000304.1?report=graph&amp;tracks=[key:gene_model_track,Options:GeneOnly]&amp;mk=537703:537722|offset_13|444444,537682:537701|offset_34|444444,537658:537677|offset_58|444444,537636:537655|offset_80|00cc00&amp;v=537502:537855&amp;c=444444", "offset 80")</f>
        <v>offset 80</v>
      </c>
    </row>
    <row r="1887" customFormat="false" ht="12.8" hidden="false" customHeight="false" outlineLevel="0" collapsed="false">
      <c r="A1887" s="0" t="s">
        <v>12</v>
      </c>
      <c r="B1887" s="0" t="n">
        <v>539176</v>
      </c>
      <c r="C1887" s="0" t="n">
        <v>539196</v>
      </c>
      <c r="D1887" s="0" t="s">
        <v>6290</v>
      </c>
      <c r="E1887" s="0" t="s">
        <v>89</v>
      </c>
      <c r="F1887" s="0" t="s">
        <v>90</v>
      </c>
      <c r="G1887" s="0" t="s">
        <v>26</v>
      </c>
      <c r="H1887" s="0" t="n">
        <v>0</v>
      </c>
      <c r="I1887" s="0" t="s">
        <v>6291</v>
      </c>
      <c r="J1887" s="0" t="s">
        <v>6292</v>
      </c>
      <c r="K1887" s="0" t="s">
        <v>6293</v>
      </c>
      <c r="L1887" s="0" t="str">
        <f aca="false">HYPERLINK("https://www.ncbi.nlm.nih.gov/nuccore/CP000304.1?report=graph&amp;tracks=[key:gene_model_track,Options:GeneOnly]&amp;mk=539177:539196|offset_0|00cc00,539156:539175|offset_21|444444,539131:539150|offset_46|444444,539098:539117|offset_79|444444&amp;v=538976:539317&amp;c=444444", "offset 0")</f>
        <v>offset 0</v>
      </c>
    </row>
    <row r="1888" customFormat="false" ht="12.8" hidden="false" customHeight="false" outlineLevel="0" collapsed="false">
      <c r="A1888" s="0" t="s">
        <v>12</v>
      </c>
      <c r="B1888" s="0" t="n">
        <v>539155</v>
      </c>
      <c r="C1888" s="0" t="n">
        <v>539175</v>
      </c>
      <c r="D1888" s="0" t="s">
        <v>6290</v>
      </c>
      <c r="E1888" s="0" t="s">
        <v>89</v>
      </c>
      <c r="F1888" s="0" t="s">
        <v>90</v>
      </c>
      <c r="G1888" s="0" t="s">
        <v>16</v>
      </c>
      <c r="H1888" s="0" t="n">
        <v>21</v>
      </c>
      <c r="I1888" s="0" t="s">
        <v>6294</v>
      </c>
      <c r="J1888" s="0" t="s">
        <v>6295</v>
      </c>
      <c r="K1888" s="0" t="s">
        <v>6296</v>
      </c>
      <c r="L1888" s="0" t="str">
        <f aca="false">HYPERLINK("https://www.ncbi.nlm.nih.gov/nuccore/CP000304.1?report=graph&amp;tracks=[key:gene_model_track,Options:GeneOnly]&amp;mk=539177:539196|offset_0|444444,539156:539175|offset_21|00cc00,539131:539150|offset_46|444444,539098:539117|offset_79|444444&amp;v=538976:539317&amp;c=444444", "offset 21")</f>
        <v>offset 21</v>
      </c>
    </row>
    <row r="1889" customFormat="false" ht="12.8" hidden="false" customHeight="false" outlineLevel="0" collapsed="false">
      <c r="A1889" s="0" t="s">
        <v>12</v>
      </c>
      <c r="B1889" s="0" t="n">
        <v>539130</v>
      </c>
      <c r="C1889" s="0" t="n">
        <v>539150</v>
      </c>
      <c r="D1889" s="0" t="s">
        <v>6290</v>
      </c>
      <c r="E1889" s="0" t="s">
        <v>89</v>
      </c>
      <c r="F1889" s="0" t="s">
        <v>90</v>
      </c>
      <c r="G1889" s="0" t="s">
        <v>26</v>
      </c>
      <c r="H1889" s="0" t="n">
        <v>46</v>
      </c>
      <c r="I1889" s="0" t="s">
        <v>6297</v>
      </c>
      <c r="J1889" s="0" t="s">
        <v>6298</v>
      </c>
      <c r="K1889" s="0" t="s">
        <v>6299</v>
      </c>
      <c r="L1889" s="0" t="str">
        <f aca="false">HYPERLINK("https://www.ncbi.nlm.nih.gov/nuccore/CP000304.1?report=graph&amp;tracks=[key:gene_model_track,Options:GeneOnly]&amp;mk=539177:539196|offset_0|444444,539156:539175|offset_21|444444,539131:539150|offset_46|00cc00,539098:539117|offset_79|444444&amp;v=538976:539317&amp;c=444444", "offset 46")</f>
        <v>offset 46</v>
      </c>
    </row>
    <row r="1890" customFormat="false" ht="12.8" hidden="false" customHeight="false" outlineLevel="0" collapsed="false">
      <c r="A1890" s="0" t="s">
        <v>12</v>
      </c>
      <c r="B1890" s="0" t="n">
        <v>539097</v>
      </c>
      <c r="C1890" s="0" t="n">
        <v>539117</v>
      </c>
      <c r="D1890" s="0" t="s">
        <v>6290</v>
      </c>
      <c r="E1890" s="0" t="s">
        <v>89</v>
      </c>
      <c r="F1890" s="0" t="s">
        <v>90</v>
      </c>
      <c r="G1890" s="0" t="s">
        <v>16</v>
      </c>
      <c r="H1890" s="0" t="n">
        <v>79</v>
      </c>
      <c r="I1890" s="0" t="s">
        <v>6300</v>
      </c>
      <c r="J1890" s="0" t="s">
        <v>6301</v>
      </c>
      <c r="K1890" s="0" t="s">
        <v>6302</v>
      </c>
      <c r="L1890" s="0" t="str">
        <f aca="false">HYPERLINK("https://www.ncbi.nlm.nih.gov/nuccore/CP000304.1?report=graph&amp;tracks=[key:gene_model_track,Options:GeneOnly]&amp;mk=539177:539196|offset_0|444444,539156:539175|offset_21|444444,539131:539150|offset_46|444444,539098:539117|offset_79|00cc00&amp;v=538976:539317&amp;c=444444", "offset 79")</f>
        <v>offset 79</v>
      </c>
    </row>
    <row r="1891" customFormat="false" ht="12.8" hidden="false" customHeight="false" outlineLevel="0" collapsed="false">
      <c r="A1891" s="0" t="s">
        <v>12</v>
      </c>
      <c r="B1891" s="0" t="n">
        <v>539732</v>
      </c>
      <c r="C1891" s="0" t="n">
        <v>539752</v>
      </c>
      <c r="D1891" s="0" t="s">
        <v>6303</v>
      </c>
      <c r="E1891" s="0" t="s">
        <v>6304</v>
      </c>
      <c r="F1891" s="0" t="s">
        <v>90</v>
      </c>
      <c r="G1891" s="0" t="s">
        <v>36</v>
      </c>
      <c r="H1891" s="0" t="n">
        <v>0</v>
      </c>
      <c r="I1891" s="0" t="s">
        <v>6305</v>
      </c>
      <c r="J1891" s="0" t="s">
        <v>6306</v>
      </c>
      <c r="K1891" s="0" t="s">
        <v>6307</v>
      </c>
      <c r="L1891" s="0" t="str">
        <f aca="false">HYPERLINK("https://www.ncbi.nlm.nih.gov/nuccore/CP000304.1?report=graph&amp;tracks=[key:gene_model_track,Options:GeneOnly]&amp;mk=539733:539752|offset_0|00cc00,539711:539730|offset_22|444444,539668:539687|offset_65|444444,539646:539665|offset_87|444444&amp;v=539532:539865&amp;c=444444", "offset 0")</f>
        <v>offset 0</v>
      </c>
    </row>
    <row r="1892" customFormat="false" ht="12.8" hidden="false" customHeight="false" outlineLevel="0" collapsed="false">
      <c r="A1892" s="0" t="s">
        <v>12</v>
      </c>
      <c r="B1892" s="0" t="n">
        <v>539710</v>
      </c>
      <c r="C1892" s="0" t="n">
        <v>539730</v>
      </c>
      <c r="D1892" s="0" t="s">
        <v>6303</v>
      </c>
      <c r="E1892" s="0" t="s">
        <v>6304</v>
      </c>
      <c r="F1892" s="0" t="s">
        <v>90</v>
      </c>
      <c r="G1892" s="0" t="s">
        <v>36</v>
      </c>
      <c r="H1892" s="0" t="n">
        <v>22</v>
      </c>
      <c r="I1892" s="0" t="s">
        <v>6308</v>
      </c>
      <c r="J1892" s="0" t="s">
        <v>6309</v>
      </c>
      <c r="K1892" s="0" t="s">
        <v>6310</v>
      </c>
      <c r="L1892" s="0" t="str">
        <f aca="false">HYPERLINK("https://www.ncbi.nlm.nih.gov/nuccore/CP000304.1?report=graph&amp;tracks=[key:gene_model_track,Options:GeneOnly]&amp;mk=539733:539752|offset_0|444444,539711:539730|offset_22|00cc00,539668:539687|offset_65|444444,539646:539665|offset_87|444444&amp;v=539532:539865&amp;c=444444", "offset 22")</f>
        <v>offset 22</v>
      </c>
    </row>
    <row r="1893" customFormat="false" ht="12.8" hidden="false" customHeight="false" outlineLevel="0" collapsed="false">
      <c r="A1893" s="0" t="s">
        <v>12</v>
      </c>
      <c r="B1893" s="0" t="n">
        <v>539667</v>
      </c>
      <c r="C1893" s="0" t="n">
        <v>539687</v>
      </c>
      <c r="D1893" s="0" t="s">
        <v>6303</v>
      </c>
      <c r="E1893" s="0" t="s">
        <v>6304</v>
      </c>
      <c r="F1893" s="0" t="s">
        <v>90</v>
      </c>
      <c r="G1893" s="0" t="s">
        <v>26</v>
      </c>
      <c r="H1893" s="0" t="n">
        <v>65</v>
      </c>
      <c r="I1893" s="0" t="s">
        <v>6311</v>
      </c>
      <c r="J1893" s="0" t="s">
        <v>6312</v>
      </c>
      <c r="K1893" s="0" t="s">
        <v>6313</v>
      </c>
      <c r="L1893" s="0" t="str">
        <f aca="false">HYPERLINK("https://www.ncbi.nlm.nih.gov/nuccore/CP000304.1?report=graph&amp;tracks=[key:gene_model_track,Options:GeneOnly]&amp;mk=539733:539752|offset_0|444444,539711:539730|offset_22|444444,539668:539687|offset_65|00cc00,539646:539665|offset_87|444444&amp;v=539532:539865&amp;c=444444", "offset 65")</f>
        <v>offset 65</v>
      </c>
    </row>
    <row r="1894" customFormat="false" ht="12.8" hidden="false" customHeight="false" outlineLevel="0" collapsed="false">
      <c r="A1894" s="0" t="s">
        <v>12</v>
      </c>
      <c r="B1894" s="0" t="n">
        <v>539645</v>
      </c>
      <c r="C1894" s="0" t="n">
        <v>539665</v>
      </c>
      <c r="D1894" s="0" t="s">
        <v>6303</v>
      </c>
      <c r="E1894" s="0" t="s">
        <v>6304</v>
      </c>
      <c r="F1894" s="0" t="s">
        <v>90</v>
      </c>
      <c r="G1894" s="0" t="s">
        <v>16</v>
      </c>
      <c r="H1894" s="0" t="n">
        <v>87</v>
      </c>
      <c r="I1894" s="0" t="s">
        <v>6314</v>
      </c>
      <c r="J1894" s="0" t="s">
        <v>6315</v>
      </c>
      <c r="K1894" s="0" t="s">
        <v>6316</v>
      </c>
      <c r="L1894" s="0" t="str">
        <f aca="false">HYPERLINK("https://www.ncbi.nlm.nih.gov/nuccore/CP000304.1?report=graph&amp;tracks=[key:gene_model_track,Options:GeneOnly]&amp;mk=539733:539752|offset_0|444444,539711:539730|offset_22|444444,539668:539687|offset_65|444444,539646:539665|offset_87|00cc00&amp;v=539532:539865&amp;c=444444", "offset 87")</f>
        <v>offset 87</v>
      </c>
    </row>
    <row r="1895" customFormat="false" ht="12.8" hidden="false" customHeight="false" outlineLevel="0" collapsed="false">
      <c r="A1895" s="0" t="s">
        <v>12</v>
      </c>
      <c r="B1895" s="0" t="n">
        <v>539939</v>
      </c>
      <c r="C1895" s="0" t="n">
        <v>539959</v>
      </c>
      <c r="D1895" s="0" t="s">
        <v>6317</v>
      </c>
      <c r="E1895" s="0" t="s">
        <v>6318</v>
      </c>
      <c r="F1895" s="0" t="s">
        <v>15</v>
      </c>
      <c r="G1895" s="0" t="s">
        <v>16</v>
      </c>
      <c r="H1895" s="0" t="n">
        <v>40</v>
      </c>
      <c r="I1895" s="0" t="s">
        <v>6319</v>
      </c>
      <c r="J1895" s="0" t="s">
        <v>6320</v>
      </c>
      <c r="K1895" s="0" t="s">
        <v>6321</v>
      </c>
      <c r="L1895" s="0" t="str">
        <f aca="false">HYPERLINK("https://www.ncbi.nlm.nih.gov/nuccore/CP000304.1?report=graph&amp;tracks=[key:gene_model_track,Options:GeneOnly]&amp;mk=539940:539959|offset_40|00cc00,539967:539986|offset_67|444444,539999:540018|offset_99|444444,540027:540046|offset_127|444444&amp;v=539739:540246&amp;c=444444", "offset 40")</f>
        <v>offset 40</v>
      </c>
    </row>
    <row r="1896" customFormat="false" ht="12.8" hidden="false" customHeight="false" outlineLevel="0" collapsed="false">
      <c r="A1896" s="0" t="s">
        <v>12</v>
      </c>
      <c r="B1896" s="0" t="n">
        <v>539966</v>
      </c>
      <c r="C1896" s="0" t="n">
        <v>539986</v>
      </c>
      <c r="D1896" s="0" t="s">
        <v>6317</v>
      </c>
      <c r="E1896" s="0" t="s">
        <v>6318</v>
      </c>
      <c r="F1896" s="0" t="s">
        <v>15</v>
      </c>
      <c r="G1896" s="0" t="s">
        <v>16</v>
      </c>
      <c r="H1896" s="0" t="n">
        <v>67</v>
      </c>
      <c r="I1896" s="0" t="s">
        <v>6322</v>
      </c>
      <c r="J1896" s="0" t="s">
        <v>6323</v>
      </c>
      <c r="K1896" s="0" t="s">
        <v>6324</v>
      </c>
      <c r="L1896" s="0" t="str">
        <f aca="false">HYPERLINK("https://www.ncbi.nlm.nih.gov/nuccore/CP000304.1?report=graph&amp;tracks=[key:gene_model_track,Options:GeneOnly]&amp;mk=539940:539959|offset_40|444444,539967:539986|offset_67|00cc00,539999:540018|offset_99|444444,540027:540046|offset_127|444444&amp;v=539739:540246&amp;c=444444", "offset 67")</f>
        <v>offset 67</v>
      </c>
    </row>
    <row r="1897" customFormat="false" ht="12.8" hidden="false" customHeight="false" outlineLevel="0" collapsed="false">
      <c r="A1897" s="0" t="s">
        <v>12</v>
      </c>
      <c r="B1897" s="0" t="n">
        <v>539998</v>
      </c>
      <c r="C1897" s="0" t="n">
        <v>540018</v>
      </c>
      <c r="D1897" s="0" t="s">
        <v>6317</v>
      </c>
      <c r="E1897" s="0" t="s">
        <v>6318</v>
      </c>
      <c r="F1897" s="0" t="s">
        <v>15</v>
      </c>
      <c r="G1897" s="0" t="s">
        <v>16</v>
      </c>
      <c r="H1897" s="0" t="n">
        <v>99</v>
      </c>
      <c r="I1897" s="0" t="s">
        <v>6325</v>
      </c>
      <c r="J1897" s="0" t="s">
        <v>6326</v>
      </c>
      <c r="K1897" s="0" t="s">
        <v>6327</v>
      </c>
      <c r="L1897" s="0" t="str">
        <f aca="false">HYPERLINK("https://www.ncbi.nlm.nih.gov/nuccore/CP000304.1?report=graph&amp;tracks=[key:gene_model_track,Options:GeneOnly]&amp;mk=539940:539959|offset_40|444444,539967:539986|offset_67|444444,539999:540018|offset_99|00cc00,540027:540046|offset_127|444444&amp;v=539739:540246&amp;c=444444", "offset 99")</f>
        <v>offset 99</v>
      </c>
    </row>
    <row r="1898" customFormat="false" ht="12.8" hidden="false" customHeight="false" outlineLevel="0" collapsed="false">
      <c r="A1898" s="0" t="s">
        <v>12</v>
      </c>
      <c r="B1898" s="0" t="n">
        <v>540026</v>
      </c>
      <c r="C1898" s="0" t="n">
        <v>540046</v>
      </c>
      <c r="D1898" s="0" t="s">
        <v>6317</v>
      </c>
      <c r="E1898" s="0" t="s">
        <v>6318</v>
      </c>
      <c r="F1898" s="0" t="s">
        <v>15</v>
      </c>
      <c r="G1898" s="0" t="s">
        <v>32</v>
      </c>
      <c r="H1898" s="0" t="n">
        <v>127</v>
      </c>
      <c r="I1898" s="0" t="s">
        <v>6328</v>
      </c>
      <c r="J1898" s="0" t="s">
        <v>6329</v>
      </c>
      <c r="K1898" s="0" t="s">
        <v>6330</v>
      </c>
      <c r="L1898" s="0" t="str">
        <f aca="false">HYPERLINK("https://www.ncbi.nlm.nih.gov/nuccore/CP000304.1?report=graph&amp;tracks=[key:gene_model_track,Options:GeneOnly]&amp;mk=539940:539959|offset_40|444444,539967:539986|offset_67|444444,539999:540018|offset_99|444444,540027:540046|offset_127|00cc00&amp;v=539739:540246&amp;c=444444", "offset 127")</f>
        <v>offset 127</v>
      </c>
    </row>
    <row r="1899" customFormat="false" ht="12.8" hidden="false" customHeight="false" outlineLevel="0" collapsed="false">
      <c r="A1899" s="0" t="s">
        <v>12</v>
      </c>
      <c r="B1899" s="0" t="n">
        <v>541687</v>
      </c>
      <c r="C1899" s="0" t="n">
        <v>541707</v>
      </c>
      <c r="D1899" s="0" t="s">
        <v>6331</v>
      </c>
      <c r="E1899" s="0" t="s">
        <v>89</v>
      </c>
      <c r="F1899" s="0" t="s">
        <v>15</v>
      </c>
      <c r="G1899" s="0" t="s">
        <v>32</v>
      </c>
      <c r="H1899" s="0" t="n">
        <v>28</v>
      </c>
      <c r="I1899" s="0" t="s">
        <v>6332</v>
      </c>
      <c r="J1899" s="0" t="s">
        <v>6333</v>
      </c>
      <c r="K1899" s="0" t="s">
        <v>6334</v>
      </c>
      <c r="L1899" s="0" t="str">
        <f aca="false">HYPERLINK("https://www.ncbi.nlm.nih.gov/nuccore/CP000304.1?report=graph&amp;tracks=[key:gene_model_track,Options:GeneOnly]&amp;mk=541688:541707|offset_28|00cc00,541736:541755|offset_76|444444,541760:541779|offset_100|444444,541785:541804|offset_125|444444&amp;v=541487:542004&amp;c=444444", "offset 28")</f>
        <v>offset 28</v>
      </c>
    </row>
    <row r="1900" customFormat="false" ht="12.8" hidden="false" customHeight="false" outlineLevel="0" collapsed="false">
      <c r="A1900" s="0" t="s">
        <v>12</v>
      </c>
      <c r="B1900" s="0" t="n">
        <v>541735</v>
      </c>
      <c r="C1900" s="0" t="n">
        <v>541755</v>
      </c>
      <c r="D1900" s="0" t="s">
        <v>6331</v>
      </c>
      <c r="E1900" s="0" t="s">
        <v>89</v>
      </c>
      <c r="F1900" s="0" t="s">
        <v>15</v>
      </c>
      <c r="G1900" s="0" t="s">
        <v>16</v>
      </c>
      <c r="H1900" s="0" t="n">
        <v>76</v>
      </c>
      <c r="I1900" s="0" t="s">
        <v>6335</v>
      </c>
      <c r="J1900" s="0" t="s">
        <v>6336</v>
      </c>
      <c r="K1900" s="0" t="s">
        <v>6337</v>
      </c>
      <c r="L1900" s="0" t="str">
        <f aca="false">HYPERLINK("https://www.ncbi.nlm.nih.gov/nuccore/CP000304.1?report=graph&amp;tracks=[key:gene_model_track,Options:GeneOnly]&amp;mk=541688:541707|offset_28|444444,541736:541755|offset_76|00cc00,541760:541779|offset_100|444444,541785:541804|offset_125|444444&amp;v=541487:542004&amp;c=444444", "offset 76")</f>
        <v>offset 76</v>
      </c>
    </row>
    <row r="1901" customFormat="false" ht="12.8" hidden="false" customHeight="false" outlineLevel="0" collapsed="false">
      <c r="A1901" s="0" t="s">
        <v>12</v>
      </c>
      <c r="B1901" s="0" t="n">
        <v>541759</v>
      </c>
      <c r="C1901" s="0" t="n">
        <v>541779</v>
      </c>
      <c r="D1901" s="0" t="s">
        <v>6331</v>
      </c>
      <c r="E1901" s="0" t="s">
        <v>89</v>
      </c>
      <c r="F1901" s="0" t="s">
        <v>15</v>
      </c>
      <c r="G1901" s="0" t="s">
        <v>32</v>
      </c>
      <c r="H1901" s="0" t="n">
        <v>100</v>
      </c>
      <c r="I1901" s="0" t="s">
        <v>6338</v>
      </c>
      <c r="J1901" s="0" t="s">
        <v>6339</v>
      </c>
      <c r="K1901" s="0" t="s">
        <v>6340</v>
      </c>
      <c r="L1901" s="0" t="str">
        <f aca="false">HYPERLINK("https://www.ncbi.nlm.nih.gov/nuccore/CP000304.1?report=graph&amp;tracks=[key:gene_model_track,Options:GeneOnly]&amp;mk=541688:541707|offset_28|444444,541736:541755|offset_76|444444,541760:541779|offset_100|00cc00,541785:541804|offset_125|444444&amp;v=541487:542004&amp;c=444444", "offset 100")</f>
        <v>offset 100</v>
      </c>
    </row>
    <row r="1902" customFormat="false" ht="12.8" hidden="false" customHeight="false" outlineLevel="0" collapsed="false">
      <c r="A1902" s="0" t="s">
        <v>12</v>
      </c>
      <c r="B1902" s="0" t="n">
        <v>541784</v>
      </c>
      <c r="C1902" s="0" t="n">
        <v>541804</v>
      </c>
      <c r="D1902" s="0" t="s">
        <v>6331</v>
      </c>
      <c r="E1902" s="0" t="s">
        <v>89</v>
      </c>
      <c r="F1902" s="0" t="s">
        <v>15</v>
      </c>
      <c r="G1902" s="0" t="s">
        <v>36</v>
      </c>
      <c r="H1902" s="0" t="n">
        <v>125</v>
      </c>
      <c r="I1902" s="0" t="s">
        <v>6341</v>
      </c>
      <c r="J1902" s="0" t="s">
        <v>6342</v>
      </c>
      <c r="K1902" s="0" t="s">
        <v>6343</v>
      </c>
      <c r="L1902" s="0" t="str">
        <f aca="false">HYPERLINK("https://www.ncbi.nlm.nih.gov/nuccore/CP000304.1?report=graph&amp;tracks=[key:gene_model_track,Options:GeneOnly]&amp;mk=541688:541707|offset_28|444444,541736:541755|offset_76|444444,541760:541779|offset_100|444444,541785:541804|offset_125|00cc00&amp;v=541487:542004&amp;c=444444", "offset 125")</f>
        <v>offset 125</v>
      </c>
    </row>
    <row r="1903" customFormat="false" ht="12.8" hidden="false" customHeight="false" outlineLevel="0" collapsed="false">
      <c r="A1903" s="0" t="s">
        <v>12</v>
      </c>
      <c r="B1903" s="0" t="n">
        <v>542375</v>
      </c>
      <c r="C1903" s="0" t="n">
        <v>542395</v>
      </c>
      <c r="D1903" s="0" t="s">
        <v>6344</v>
      </c>
      <c r="E1903" s="0" t="s">
        <v>6345</v>
      </c>
      <c r="F1903" s="0" t="s">
        <v>15</v>
      </c>
      <c r="G1903" s="0" t="s">
        <v>26</v>
      </c>
      <c r="H1903" s="0" t="n">
        <v>8</v>
      </c>
      <c r="I1903" s="0" t="s">
        <v>6346</v>
      </c>
      <c r="J1903" s="0" t="s">
        <v>6347</v>
      </c>
      <c r="K1903" s="0" t="s">
        <v>6348</v>
      </c>
      <c r="L1903" s="0" t="str">
        <f aca="false">HYPERLINK("https://www.ncbi.nlm.nih.gov/nuccore/CP000304.1?report=graph&amp;tracks=[key:gene_model_track,Options:GeneOnly]&amp;mk=542376:542395|offset_8|00cc00,542408:542427|offset_40|444444,542447:542466|offset_79|444444,542469:542488|offset_101|444444&amp;v=542175:542688&amp;c=444444", "offset 8")</f>
        <v>offset 8</v>
      </c>
    </row>
    <row r="1904" customFormat="false" ht="12.8" hidden="false" customHeight="false" outlineLevel="0" collapsed="false">
      <c r="A1904" s="0" t="s">
        <v>12</v>
      </c>
      <c r="B1904" s="0" t="n">
        <v>542407</v>
      </c>
      <c r="C1904" s="0" t="n">
        <v>542427</v>
      </c>
      <c r="D1904" s="0" t="s">
        <v>6344</v>
      </c>
      <c r="E1904" s="0" t="s">
        <v>6345</v>
      </c>
      <c r="F1904" s="0" t="s">
        <v>15</v>
      </c>
      <c r="G1904" s="0" t="s">
        <v>16</v>
      </c>
      <c r="H1904" s="0" t="n">
        <v>40</v>
      </c>
      <c r="I1904" s="0" t="s">
        <v>6349</v>
      </c>
      <c r="J1904" s="0" t="s">
        <v>6350</v>
      </c>
      <c r="K1904" s="0" t="s">
        <v>6351</v>
      </c>
      <c r="L1904" s="0" t="str">
        <f aca="false">HYPERLINK("https://www.ncbi.nlm.nih.gov/nuccore/CP000304.1?report=graph&amp;tracks=[key:gene_model_track,Options:GeneOnly]&amp;mk=542376:542395|offset_8|444444,542408:542427|offset_40|00cc00,542447:542466|offset_79|444444,542469:542488|offset_101|444444&amp;v=542175:542688&amp;c=444444", "offset 40")</f>
        <v>offset 40</v>
      </c>
    </row>
    <row r="1905" customFormat="false" ht="12.8" hidden="false" customHeight="false" outlineLevel="0" collapsed="false">
      <c r="A1905" s="0" t="s">
        <v>12</v>
      </c>
      <c r="B1905" s="0" t="n">
        <v>542446</v>
      </c>
      <c r="C1905" s="0" t="n">
        <v>542466</v>
      </c>
      <c r="D1905" s="0" t="s">
        <v>6344</v>
      </c>
      <c r="E1905" s="0" t="s">
        <v>6345</v>
      </c>
      <c r="F1905" s="0" t="s">
        <v>15</v>
      </c>
      <c r="G1905" s="0" t="s">
        <v>16</v>
      </c>
      <c r="H1905" s="0" t="n">
        <v>79</v>
      </c>
      <c r="I1905" s="0" t="s">
        <v>6352</v>
      </c>
      <c r="J1905" s="0" t="s">
        <v>6353</v>
      </c>
      <c r="K1905" s="0" t="s">
        <v>6354</v>
      </c>
      <c r="L1905" s="0" t="str">
        <f aca="false">HYPERLINK("https://www.ncbi.nlm.nih.gov/nuccore/CP000304.1?report=graph&amp;tracks=[key:gene_model_track,Options:GeneOnly]&amp;mk=542376:542395|offset_8|444444,542408:542427|offset_40|444444,542447:542466|offset_79|00cc00,542469:542488|offset_101|444444&amp;v=542175:542688&amp;c=444444", "offset 79")</f>
        <v>offset 79</v>
      </c>
    </row>
    <row r="1906" customFormat="false" ht="12.8" hidden="false" customHeight="false" outlineLevel="0" collapsed="false">
      <c r="A1906" s="0" t="s">
        <v>12</v>
      </c>
      <c r="B1906" s="0" t="n">
        <v>542468</v>
      </c>
      <c r="C1906" s="0" t="n">
        <v>542488</v>
      </c>
      <c r="D1906" s="0" t="s">
        <v>6344</v>
      </c>
      <c r="E1906" s="0" t="s">
        <v>6345</v>
      </c>
      <c r="F1906" s="0" t="s">
        <v>15</v>
      </c>
      <c r="G1906" s="0" t="s">
        <v>26</v>
      </c>
      <c r="H1906" s="0" t="n">
        <v>101</v>
      </c>
      <c r="I1906" s="0" t="s">
        <v>6355</v>
      </c>
      <c r="J1906" s="0" t="s">
        <v>6356</v>
      </c>
      <c r="K1906" s="0" t="s">
        <v>6357</v>
      </c>
      <c r="L1906" s="0" t="str">
        <f aca="false">HYPERLINK("https://www.ncbi.nlm.nih.gov/nuccore/CP000304.1?report=graph&amp;tracks=[key:gene_model_track,Options:GeneOnly]&amp;mk=542376:542395|offset_8|444444,542408:542427|offset_40|444444,542447:542466|offset_79|444444,542469:542488|offset_101|00cc00&amp;v=542175:542688&amp;c=444444", "offset 101")</f>
        <v>offset 101</v>
      </c>
    </row>
    <row r="1907" customFormat="false" ht="12.8" hidden="false" customHeight="false" outlineLevel="0" collapsed="false">
      <c r="A1907" s="0" t="s">
        <v>12</v>
      </c>
      <c r="B1907" s="0" t="n">
        <v>542932</v>
      </c>
      <c r="C1907" s="0" t="n">
        <v>542952</v>
      </c>
      <c r="D1907" s="0" t="s">
        <v>6358</v>
      </c>
      <c r="E1907" s="0" t="s">
        <v>89</v>
      </c>
      <c r="F1907" s="0" t="s">
        <v>15</v>
      </c>
      <c r="G1907" s="0" t="s">
        <v>36</v>
      </c>
      <c r="H1907" s="0" t="n">
        <v>6</v>
      </c>
      <c r="I1907" s="0" t="s">
        <v>6359</v>
      </c>
      <c r="J1907" s="0" t="s">
        <v>6360</v>
      </c>
      <c r="K1907" s="0" t="s">
        <v>6361</v>
      </c>
      <c r="L1907" s="0" t="str">
        <f aca="false">HYPERLINK("https://www.ncbi.nlm.nih.gov/nuccore/CP000304.1?report=graph&amp;tracks=[key:gene_model_track,Options:GeneOnly]&amp;mk=542933:542952|offset_6|00cc00,542987:543006|offset_60|444444,543019:543038|offset_92|444444,543043:543062|offset_116|444444&amp;v=542732:543262&amp;c=444444", "offset 6")</f>
        <v>offset 6</v>
      </c>
    </row>
    <row r="1908" customFormat="false" ht="12.8" hidden="false" customHeight="false" outlineLevel="0" collapsed="false">
      <c r="A1908" s="0" t="s">
        <v>12</v>
      </c>
      <c r="B1908" s="0" t="n">
        <v>542986</v>
      </c>
      <c r="C1908" s="0" t="n">
        <v>543006</v>
      </c>
      <c r="D1908" s="0" t="s">
        <v>6358</v>
      </c>
      <c r="E1908" s="0" t="s">
        <v>89</v>
      </c>
      <c r="F1908" s="0" t="s">
        <v>15</v>
      </c>
      <c r="G1908" s="0" t="s">
        <v>36</v>
      </c>
      <c r="H1908" s="0" t="n">
        <v>60</v>
      </c>
      <c r="I1908" s="0" t="s">
        <v>6362</v>
      </c>
      <c r="J1908" s="0" t="s">
        <v>6363</v>
      </c>
      <c r="K1908" s="0" t="s">
        <v>6364</v>
      </c>
      <c r="L1908" s="0" t="str">
        <f aca="false">HYPERLINK("https://www.ncbi.nlm.nih.gov/nuccore/CP000304.1?report=graph&amp;tracks=[key:gene_model_track,Options:GeneOnly]&amp;mk=542933:542952|offset_6|444444,542987:543006|offset_60|00cc00,543019:543038|offset_92|444444,543043:543062|offset_116|444444&amp;v=542732:543262&amp;c=444444", "offset 60")</f>
        <v>offset 60</v>
      </c>
    </row>
    <row r="1909" customFormat="false" ht="12.8" hidden="false" customHeight="false" outlineLevel="0" collapsed="false">
      <c r="A1909" s="0" t="s">
        <v>12</v>
      </c>
      <c r="B1909" s="0" t="n">
        <v>543018</v>
      </c>
      <c r="C1909" s="0" t="n">
        <v>543038</v>
      </c>
      <c r="D1909" s="0" t="s">
        <v>6358</v>
      </c>
      <c r="E1909" s="0" t="s">
        <v>89</v>
      </c>
      <c r="F1909" s="0" t="s">
        <v>15</v>
      </c>
      <c r="G1909" s="0" t="s">
        <v>32</v>
      </c>
      <c r="H1909" s="0" t="n">
        <v>92</v>
      </c>
      <c r="I1909" s="0" t="s">
        <v>6365</v>
      </c>
      <c r="J1909" s="0" t="s">
        <v>6366</v>
      </c>
      <c r="K1909" s="0" t="s">
        <v>6367</v>
      </c>
      <c r="L1909" s="0" t="str">
        <f aca="false">HYPERLINK("https://www.ncbi.nlm.nih.gov/nuccore/CP000304.1?report=graph&amp;tracks=[key:gene_model_track,Options:GeneOnly]&amp;mk=542933:542952|offset_6|444444,542987:543006|offset_60|444444,543019:543038|offset_92|00cc00,543043:543062|offset_116|444444&amp;v=542732:543262&amp;c=444444", "offset 92")</f>
        <v>offset 92</v>
      </c>
    </row>
    <row r="1910" customFormat="false" ht="12.8" hidden="false" customHeight="false" outlineLevel="0" collapsed="false">
      <c r="A1910" s="0" t="s">
        <v>12</v>
      </c>
      <c r="B1910" s="0" t="n">
        <v>543042</v>
      </c>
      <c r="C1910" s="0" t="n">
        <v>543062</v>
      </c>
      <c r="D1910" s="0" t="s">
        <v>6358</v>
      </c>
      <c r="E1910" s="0" t="s">
        <v>89</v>
      </c>
      <c r="F1910" s="0" t="s">
        <v>15</v>
      </c>
      <c r="G1910" s="0" t="s">
        <v>36</v>
      </c>
      <c r="H1910" s="0" t="n">
        <v>116</v>
      </c>
      <c r="I1910" s="0" t="s">
        <v>6368</v>
      </c>
      <c r="J1910" s="0" t="s">
        <v>6369</v>
      </c>
      <c r="K1910" s="0" t="s">
        <v>6370</v>
      </c>
      <c r="L1910" s="0" t="str">
        <f aca="false">HYPERLINK("https://www.ncbi.nlm.nih.gov/nuccore/CP000304.1?report=graph&amp;tracks=[key:gene_model_track,Options:GeneOnly]&amp;mk=542933:542952|offset_6|444444,542987:543006|offset_60|444444,543019:543038|offset_92|444444,543043:543062|offset_116|00cc00&amp;v=542732:543262&amp;c=444444", "offset 116")</f>
        <v>offset 116</v>
      </c>
    </row>
    <row r="1911" customFormat="false" ht="12.8" hidden="false" customHeight="false" outlineLevel="0" collapsed="false">
      <c r="A1911" s="0" t="s">
        <v>12</v>
      </c>
      <c r="B1911" s="0" t="n">
        <v>544081</v>
      </c>
      <c r="C1911" s="0" t="n">
        <v>544101</v>
      </c>
      <c r="D1911" s="0" t="s">
        <v>6371</v>
      </c>
      <c r="E1911" s="0" t="s">
        <v>6372</v>
      </c>
      <c r="F1911" s="0" t="s">
        <v>90</v>
      </c>
      <c r="G1911" s="0" t="s">
        <v>16</v>
      </c>
      <c r="H1911" s="0" t="n">
        <v>21</v>
      </c>
      <c r="I1911" s="0" t="s">
        <v>6373</v>
      </c>
      <c r="J1911" s="0" t="s">
        <v>6374</v>
      </c>
      <c r="K1911" s="0" t="s">
        <v>6375</v>
      </c>
      <c r="L1911" s="0" t="str">
        <f aca="false">HYPERLINK("https://www.ncbi.nlm.nih.gov/nuccore/CP000304.1?report=graph&amp;tracks=[key:gene_model_track,Options:GeneOnly]&amp;mk=544082:544101|offset_21|00cc00,544061:544080|offset_42|444444,543985:544004|offset_118|444444,543957:543976|offset_146|444444&amp;v=543881:544176&amp;c=444444", "offset 21")</f>
        <v>offset 21</v>
      </c>
    </row>
    <row r="1912" customFormat="false" ht="12.8" hidden="false" customHeight="false" outlineLevel="0" collapsed="false">
      <c r="A1912" s="0" t="s">
        <v>12</v>
      </c>
      <c r="B1912" s="0" t="n">
        <v>544060</v>
      </c>
      <c r="C1912" s="0" t="n">
        <v>544080</v>
      </c>
      <c r="D1912" s="0" t="s">
        <v>6371</v>
      </c>
      <c r="E1912" s="0" t="s">
        <v>6372</v>
      </c>
      <c r="F1912" s="0" t="s">
        <v>90</v>
      </c>
      <c r="G1912" s="0" t="s">
        <v>16</v>
      </c>
      <c r="H1912" s="0" t="n">
        <v>42</v>
      </c>
      <c r="I1912" s="0" t="s">
        <v>6376</v>
      </c>
      <c r="J1912" s="0" t="s">
        <v>6377</v>
      </c>
      <c r="K1912" s="0" t="s">
        <v>6378</v>
      </c>
      <c r="L1912" s="0" t="str">
        <f aca="false">HYPERLINK("https://www.ncbi.nlm.nih.gov/nuccore/CP000304.1?report=graph&amp;tracks=[key:gene_model_track,Options:GeneOnly]&amp;mk=544082:544101|offset_21|444444,544061:544080|offset_42|00cc00,543985:544004|offset_118|444444,543957:543976|offset_146|444444&amp;v=543881:544176&amp;c=444444", "offset 42")</f>
        <v>offset 42</v>
      </c>
    </row>
    <row r="1913" customFormat="false" ht="12.8" hidden="false" customHeight="false" outlineLevel="0" collapsed="false">
      <c r="A1913" s="0" t="s">
        <v>12</v>
      </c>
      <c r="B1913" s="0" t="n">
        <v>543984</v>
      </c>
      <c r="C1913" s="0" t="n">
        <v>544004</v>
      </c>
      <c r="D1913" s="0" t="s">
        <v>6371</v>
      </c>
      <c r="E1913" s="0" t="s">
        <v>6372</v>
      </c>
      <c r="F1913" s="0" t="s">
        <v>90</v>
      </c>
      <c r="G1913" s="0" t="s">
        <v>16</v>
      </c>
      <c r="H1913" s="0" t="n">
        <v>118</v>
      </c>
      <c r="I1913" s="0" t="s">
        <v>6379</v>
      </c>
      <c r="J1913" s="0" t="s">
        <v>6380</v>
      </c>
      <c r="K1913" s="0" t="s">
        <v>6381</v>
      </c>
      <c r="L1913" s="0" t="str">
        <f aca="false">HYPERLINK("https://www.ncbi.nlm.nih.gov/nuccore/CP000304.1?report=graph&amp;tracks=[key:gene_model_track,Options:GeneOnly]&amp;mk=544082:544101|offset_21|444444,544061:544080|offset_42|444444,543985:544004|offset_118|00cc00,543957:543976|offset_146|444444&amp;v=543881:544176&amp;c=444444", "offset 118")</f>
        <v>offset 118</v>
      </c>
    </row>
    <row r="1914" customFormat="false" ht="12.8" hidden="false" customHeight="false" outlineLevel="0" collapsed="false">
      <c r="A1914" s="0" t="s">
        <v>12</v>
      </c>
      <c r="B1914" s="0" t="n">
        <v>543956</v>
      </c>
      <c r="C1914" s="0" t="n">
        <v>543976</v>
      </c>
      <c r="D1914" s="0" t="s">
        <v>6371</v>
      </c>
      <c r="E1914" s="0" t="s">
        <v>6372</v>
      </c>
      <c r="F1914" s="0" t="s">
        <v>90</v>
      </c>
      <c r="G1914" s="0" t="s">
        <v>26</v>
      </c>
      <c r="H1914" s="0" t="n">
        <v>146</v>
      </c>
      <c r="I1914" s="0" t="s">
        <v>6382</v>
      </c>
      <c r="J1914" s="0" t="s">
        <v>6383</v>
      </c>
      <c r="K1914" s="0" t="s">
        <v>6384</v>
      </c>
      <c r="L1914" s="0" t="str">
        <f aca="false">HYPERLINK("https://www.ncbi.nlm.nih.gov/nuccore/CP000304.1?report=graph&amp;tracks=[key:gene_model_track,Options:GeneOnly]&amp;mk=544082:544101|offset_21|444444,544061:544080|offset_42|444444,543985:544004|offset_118|444444,543957:543976|offset_146|00cc00&amp;v=543881:544176&amp;c=444444", "offset 146")</f>
        <v>offset 146</v>
      </c>
    </row>
    <row r="1915" customFormat="false" ht="12.8" hidden="false" customHeight="false" outlineLevel="0" collapsed="false">
      <c r="A1915" s="0" t="s">
        <v>12</v>
      </c>
      <c r="B1915" s="0" t="n">
        <v>544723</v>
      </c>
      <c r="C1915" s="0" t="n">
        <v>544743</v>
      </c>
      <c r="D1915" s="0" t="s">
        <v>6385</v>
      </c>
      <c r="E1915" s="0" t="s">
        <v>89</v>
      </c>
      <c r="F1915" s="0" t="s">
        <v>90</v>
      </c>
      <c r="G1915" s="0" t="s">
        <v>26</v>
      </c>
      <c r="H1915" s="0" t="n">
        <v>31</v>
      </c>
      <c r="I1915" s="0" t="s">
        <v>6386</v>
      </c>
      <c r="J1915" s="0" t="s">
        <v>6387</v>
      </c>
      <c r="K1915" s="0" t="s">
        <v>6388</v>
      </c>
      <c r="L1915" s="0" t="str">
        <f aca="false">HYPERLINK("https://www.ncbi.nlm.nih.gov/nuccore/CP000304.1?report=graph&amp;tracks=[key:gene_model_track,Options:GeneOnly]&amp;mk=544724:544743|offset_31|00cc00,544704:544723|offset_51|444444,544664:544683|offset_91|444444,544639:544658|offset_116|444444&amp;v=544523:544858&amp;c=444444", "offset 31")</f>
        <v>offset 31</v>
      </c>
    </row>
    <row r="1916" customFormat="false" ht="12.8" hidden="false" customHeight="false" outlineLevel="0" collapsed="false">
      <c r="A1916" s="0" t="s">
        <v>12</v>
      </c>
      <c r="B1916" s="0" t="n">
        <v>544703</v>
      </c>
      <c r="C1916" s="0" t="n">
        <v>544723</v>
      </c>
      <c r="D1916" s="0" t="s">
        <v>6385</v>
      </c>
      <c r="E1916" s="0" t="s">
        <v>89</v>
      </c>
      <c r="F1916" s="0" t="s">
        <v>90</v>
      </c>
      <c r="G1916" s="0" t="s">
        <v>36</v>
      </c>
      <c r="H1916" s="0" t="n">
        <v>51</v>
      </c>
      <c r="I1916" s="0" t="s">
        <v>6389</v>
      </c>
      <c r="J1916" s="0" t="s">
        <v>6390</v>
      </c>
      <c r="K1916" s="0" t="s">
        <v>6391</v>
      </c>
      <c r="L1916" s="0" t="str">
        <f aca="false">HYPERLINK("https://www.ncbi.nlm.nih.gov/nuccore/CP000304.1?report=graph&amp;tracks=[key:gene_model_track,Options:GeneOnly]&amp;mk=544724:544743|offset_31|444444,544704:544723|offset_51|00cc00,544664:544683|offset_91|444444,544639:544658|offset_116|444444&amp;v=544523:544858&amp;c=444444", "offset 51")</f>
        <v>offset 51</v>
      </c>
    </row>
    <row r="1917" customFormat="false" ht="12.8" hidden="false" customHeight="false" outlineLevel="0" collapsed="false">
      <c r="A1917" s="0" t="s">
        <v>12</v>
      </c>
      <c r="B1917" s="0" t="n">
        <v>544663</v>
      </c>
      <c r="C1917" s="0" t="n">
        <v>544683</v>
      </c>
      <c r="D1917" s="0" t="s">
        <v>6385</v>
      </c>
      <c r="E1917" s="0" t="s">
        <v>89</v>
      </c>
      <c r="F1917" s="0" t="s">
        <v>90</v>
      </c>
      <c r="G1917" s="0" t="s">
        <v>32</v>
      </c>
      <c r="H1917" s="0" t="n">
        <v>91</v>
      </c>
      <c r="I1917" s="0" t="s">
        <v>6392</v>
      </c>
      <c r="J1917" s="0" t="s">
        <v>6393</v>
      </c>
      <c r="K1917" s="0" t="s">
        <v>6394</v>
      </c>
      <c r="L1917" s="0" t="str">
        <f aca="false">HYPERLINK("https://www.ncbi.nlm.nih.gov/nuccore/CP000304.1?report=graph&amp;tracks=[key:gene_model_track,Options:GeneOnly]&amp;mk=544724:544743|offset_31|444444,544704:544723|offset_51|444444,544664:544683|offset_91|00cc00,544639:544658|offset_116|444444&amp;v=544523:544858&amp;c=444444", "offset 91")</f>
        <v>offset 91</v>
      </c>
    </row>
    <row r="1918" customFormat="false" ht="12.8" hidden="false" customHeight="false" outlineLevel="0" collapsed="false">
      <c r="A1918" s="0" t="s">
        <v>12</v>
      </c>
      <c r="B1918" s="0" t="n">
        <v>544638</v>
      </c>
      <c r="C1918" s="0" t="n">
        <v>544658</v>
      </c>
      <c r="D1918" s="0" t="s">
        <v>6385</v>
      </c>
      <c r="E1918" s="0" t="s">
        <v>89</v>
      </c>
      <c r="F1918" s="0" t="s">
        <v>90</v>
      </c>
      <c r="G1918" s="0" t="s">
        <v>26</v>
      </c>
      <c r="H1918" s="0" t="n">
        <v>116</v>
      </c>
      <c r="I1918" s="0" t="s">
        <v>6395</v>
      </c>
      <c r="J1918" s="0" t="s">
        <v>6396</v>
      </c>
      <c r="K1918" s="0" t="s">
        <v>6397</v>
      </c>
      <c r="L1918" s="0" t="str">
        <f aca="false">HYPERLINK("https://www.ncbi.nlm.nih.gov/nuccore/CP000304.1?report=graph&amp;tracks=[key:gene_model_track,Options:GeneOnly]&amp;mk=544724:544743|offset_31|444444,544704:544723|offset_51|444444,544664:544683|offset_91|444444,544639:544658|offset_116|00cc00&amp;v=544523:544858&amp;c=444444", "offset 116")</f>
        <v>offset 116</v>
      </c>
    </row>
    <row r="1919" customFormat="false" ht="12.8" hidden="false" customHeight="false" outlineLevel="0" collapsed="false">
      <c r="A1919" s="0" t="s">
        <v>12</v>
      </c>
      <c r="B1919" s="0" t="n">
        <v>546385</v>
      </c>
      <c r="C1919" s="0" t="n">
        <v>546405</v>
      </c>
      <c r="D1919" s="0" t="s">
        <v>6398</v>
      </c>
      <c r="E1919" s="0" t="s">
        <v>89</v>
      </c>
      <c r="F1919" s="0" t="s">
        <v>90</v>
      </c>
      <c r="G1919" s="0" t="s">
        <v>32</v>
      </c>
      <c r="H1919" s="0" t="n">
        <v>1</v>
      </c>
      <c r="I1919" s="0" t="s">
        <v>6399</v>
      </c>
      <c r="J1919" s="0" t="s">
        <v>6400</v>
      </c>
      <c r="K1919" s="0" t="s">
        <v>6401</v>
      </c>
      <c r="L1919" s="0" t="str">
        <f aca="false">HYPERLINK("https://www.ncbi.nlm.nih.gov/nuccore/CP000304.1?report=graph&amp;tracks=[key:gene_model_track,Options:GeneOnly]&amp;mk=546386:546405|offset_1|00cc00,546340:546359|offset_47|444444,546284:546303|offset_103|444444,546259:546278|offset_128|444444&amp;v=546185:546478&amp;c=444444", "offset 1")</f>
        <v>offset 1</v>
      </c>
    </row>
    <row r="1920" customFormat="false" ht="12.8" hidden="false" customHeight="false" outlineLevel="0" collapsed="false">
      <c r="A1920" s="0" t="s">
        <v>12</v>
      </c>
      <c r="B1920" s="0" t="n">
        <v>546339</v>
      </c>
      <c r="C1920" s="0" t="n">
        <v>546359</v>
      </c>
      <c r="D1920" s="0" t="s">
        <v>6398</v>
      </c>
      <c r="E1920" s="0" t="s">
        <v>89</v>
      </c>
      <c r="F1920" s="0" t="s">
        <v>90</v>
      </c>
      <c r="G1920" s="0" t="s">
        <v>36</v>
      </c>
      <c r="H1920" s="0" t="n">
        <v>47</v>
      </c>
      <c r="I1920" s="0" t="s">
        <v>6402</v>
      </c>
      <c r="J1920" s="0" t="s">
        <v>6403</v>
      </c>
      <c r="K1920" s="0" t="s">
        <v>6404</v>
      </c>
      <c r="L1920" s="0" t="str">
        <f aca="false">HYPERLINK("https://www.ncbi.nlm.nih.gov/nuccore/CP000304.1?report=graph&amp;tracks=[key:gene_model_track,Options:GeneOnly]&amp;mk=546386:546405|offset_1|444444,546340:546359|offset_47|00cc00,546284:546303|offset_103|444444,546259:546278|offset_128|444444&amp;v=546185:546478&amp;c=444444", "offset 47")</f>
        <v>offset 47</v>
      </c>
    </row>
    <row r="1921" customFormat="false" ht="12.8" hidden="false" customHeight="false" outlineLevel="0" collapsed="false">
      <c r="A1921" s="0" t="s">
        <v>12</v>
      </c>
      <c r="B1921" s="0" t="n">
        <v>546283</v>
      </c>
      <c r="C1921" s="0" t="n">
        <v>546303</v>
      </c>
      <c r="D1921" s="0" t="s">
        <v>6398</v>
      </c>
      <c r="E1921" s="0" t="s">
        <v>89</v>
      </c>
      <c r="F1921" s="0" t="s">
        <v>90</v>
      </c>
      <c r="G1921" s="0" t="s">
        <v>16</v>
      </c>
      <c r="H1921" s="0" t="n">
        <v>103</v>
      </c>
      <c r="I1921" s="0" t="s">
        <v>6405</v>
      </c>
      <c r="J1921" s="0" t="s">
        <v>6406</v>
      </c>
      <c r="K1921" s="0" t="s">
        <v>6407</v>
      </c>
      <c r="L1921" s="0" t="str">
        <f aca="false">HYPERLINK("https://www.ncbi.nlm.nih.gov/nuccore/CP000304.1?report=graph&amp;tracks=[key:gene_model_track,Options:GeneOnly]&amp;mk=546386:546405|offset_1|444444,546340:546359|offset_47|444444,546284:546303|offset_103|00cc00,546259:546278|offset_128|444444&amp;v=546185:546478&amp;c=444444", "offset 103")</f>
        <v>offset 103</v>
      </c>
    </row>
    <row r="1922" customFormat="false" ht="12.8" hidden="false" customHeight="false" outlineLevel="0" collapsed="false">
      <c r="A1922" s="0" t="s">
        <v>12</v>
      </c>
      <c r="B1922" s="0" t="n">
        <v>546258</v>
      </c>
      <c r="C1922" s="0" t="n">
        <v>546278</v>
      </c>
      <c r="D1922" s="0" t="s">
        <v>6398</v>
      </c>
      <c r="E1922" s="0" t="s">
        <v>89</v>
      </c>
      <c r="F1922" s="0" t="s">
        <v>90</v>
      </c>
      <c r="G1922" s="0" t="s">
        <v>26</v>
      </c>
      <c r="H1922" s="0" t="n">
        <v>128</v>
      </c>
      <c r="I1922" s="0" t="s">
        <v>6408</v>
      </c>
      <c r="J1922" s="0" t="s">
        <v>6409</v>
      </c>
      <c r="K1922" s="0" t="s">
        <v>6410</v>
      </c>
      <c r="L1922" s="0" t="str">
        <f aca="false">HYPERLINK("https://www.ncbi.nlm.nih.gov/nuccore/CP000304.1?report=graph&amp;tracks=[key:gene_model_track,Options:GeneOnly]&amp;mk=546386:546405|offset_1|444444,546340:546359|offset_47|444444,546284:546303|offset_103|444444,546259:546278|offset_128|00cc00&amp;v=546185:546478&amp;c=444444", "offset 128")</f>
        <v>offset 128</v>
      </c>
    </row>
    <row r="1923" customFormat="false" ht="12.8" hidden="false" customHeight="false" outlineLevel="0" collapsed="false">
      <c r="A1923" s="0" t="s">
        <v>12</v>
      </c>
      <c r="B1923" s="0" t="n">
        <v>547900</v>
      </c>
      <c r="C1923" s="0" t="n">
        <v>547920</v>
      </c>
      <c r="D1923" s="0" t="s">
        <v>6411</v>
      </c>
      <c r="E1923" s="0" t="s">
        <v>89</v>
      </c>
      <c r="F1923" s="0" t="s">
        <v>90</v>
      </c>
      <c r="G1923" s="0" t="s">
        <v>16</v>
      </c>
      <c r="H1923" s="0" t="n">
        <v>24</v>
      </c>
      <c r="I1923" s="0" t="s">
        <v>6412</v>
      </c>
      <c r="J1923" s="0" t="s">
        <v>6413</v>
      </c>
      <c r="K1923" s="0" t="s">
        <v>6414</v>
      </c>
      <c r="L1923" s="0" t="str">
        <f aca="false">HYPERLINK("https://www.ncbi.nlm.nih.gov/nuccore/CP000304.1?report=graph&amp;tracks=[key:gene_model_track,Options:GeneOnly]&amp;mk=547901:547920|offset_24|00cc00,547866:547885|offset_59|444444,547821:547840|offset_104|444444,547794:547813|offset_131|444444&amp;v=547700:548013&amp;c=444444", "offset 24")</f>
        <v>offset 24</v>
      </c>
    </row>
    <row r="1924" customFormat="false" ht="12.8" hidden="false" customHeight="false" outlineLevel="0" collapsed="false">
      <c r="A1924" s="0" t="s">
        <v>12</v>
      </c>
      <c r="B1924" s="0" t="n">
        <v>547865</v>
      </c>
      <c r="C1924" s="0" t="n">
        <v>547885</v>
      </c>
      <c r="D1924" s="0" t="s">
        <v>6411</v>
      </c>
      <c r="E1924" s="0" t="s">
        <v>89</v>
      </c>
      <c r="F1924" s="0" t="s">
        <v>90</v>
      </c>
      <c r="G1924" s="0" t="s">
        <v>36</v>
      </c>
      <c r="H1924" s="0" t="n">
        <v>59</v>
      </c>
      <c r="I1924" s="0" t="s">
        <v>6415</v>
      </c>
      <c r="J1924" s="0" t="s">
        <v>6416</v>
      </c>
      <c r="K1924" s="0" t="s">
        <v>6417</v>
      </c>
      <c r="L1924" s="0" t="str">
        <f aca="false">HYPERLINK("https://www.ncbi.nlm.nih.gov/nuccore/CP000304.1?report=graph&amp;tracks=[key:gene_model_track,Options:GeneOnly]&amp;mk=547901:547920|offset_24|444444,547866:547885|offset_59|00cc00,547821:547840|offset_104|444444,547794:547813|offset_131|444444&amp;v=547700:548013&amp;c=444444", "offset 59")</f>
        <v>offset 59</v>
      </c>
    </row>
    <row r="1925" customFormat="false" ht="12.8" hidden="false" customHeight="false" outlineLevel="0" collapsed="false">
      <c r="A1925" s="0" t="s">
        <v>12</v>
      </c>
      <c r="B1925" s="0" t="n">
        <v>547820</v>
      </c>
      <c r="C1925" s="0" t="n">
        <v>547840</v>
      </c>
      <c r="D1925" s="0" t="s">
        <v>6411</v>
      </c>
      <c r="E1925" s="0" t="s">
        <v>89</v>
      </c>
      <c r="F1925" s="0" t="s">
        <v>90</v>
      </c>
      <c r="G1925" s="0" t="s">
        <v>32</v>
      </c>
      <c r="H1925" s="0" t="n">
        <v>104</v>
      </c>
      <c r="I1925" s="0" t="s">
        <v>6418</v>
      </c>
      <c r="J1925" s="0" t="s">
        <v>6419</v>
      </c>
      <c r="K1925" s="0" t="s">
        <v>6420</v>
      </c>
      <c r="L1925" s="0" t="str">
        <f aca="false">HYPERLINK("https://www.ncbi.nlm.nih.gov/nuccore/CP000304.1?report=graph&amp;tracks=[key:gene_model_track,Options:GeneOnly]&amp;mk=547901:547920|offset_24|444444,547866:547885|offset_59|444444,547821:547840|offset_104|00cc00,547794:547813|offset_131|444444&amp;v=547700:548013&amp;c=444444", "offset 104")</f>
        <v>offset 104</v>
      </c>
    </row>
    <row r="1926" customFormat="false" ht="12.8" hidden="false" customHeight="false" outlineLevel="0" collapsed="false">
      <c r="A1926" s="0" t="s">
        <v>12</v>
      </c>
      <c r="B1926" s="0" t="n">
        <v>547793</v>
      </c>
      <c r="C1926" s="0" t="n">
        <v>547813</v>
      </c>
      <c r="D1926" s="0" t="s">
        <v>6411</v>
      </c>
      <c r="E1926" s="0" t="s">
        <v>89</v>
      </c>
      <c r="F1926" s="0" t="s">
        <v>90</v>
      </c>
      <c r="G1926" s="0" t="s">
        <v>26</v>
      </c>
      <c r="H1926" s="0" t="n">
        <v>131</v>
      </c>
      <c r="I1926" s="0" t="s">
        <v>6421</v>
      </c>
      <c r="J1926" s="0" t="s">
        <v>6422</v>
      </c>
      <c r="K1926" s="0" t="s">
        <v>6423</v>
      </c>
      <c r="L1926" s="0" t="str">
        <f aca="false">HYPERLINK("https://www.ncbi.nlm.nih.gov/nuccore/CP000304.1?report=graph&amp;tracks=[key:gene_model_track,Options:GeneOnly]&amp;mk=547901:547920|offset_24|444444,547866:547885|offset_59|444444,547821:547840|offset_104|444444,547794:547813|offset_131|00cc00&amp;v=547700:548013&amp;c=444444", "offset 131")</f>
        <v>offset 131</v>
      </c>
    </row>
    <row r="1927" customFormat="false" ht="12.8" hidden="false" customHeight="false" outlineLevel="0" collapsed="false">
      <c r="A1927" s="0" t="s">
        <v>12</v>
      </c>
      <c r="B1927" s="0" t="n">
        <v>548131</v>
      </c>
      <c r="C1927" s="0" t="n">
        <v>548151</v>
      </c>
      <c r="D1927" s="0" t="s">
        <v>6424</v>
      </c>
      <c r="E1927" s="0" t="s">
        <v>89</v>
      </c>
      <c r="F1927" s="0" t="s">
        <v>15</v>
      </c>
      <c r="G1927" s="0" t="s">
        <v>32</v>
      </c>
      <c r="H1927" s="0" t="n">
        <v>1</v>
      </c>
      <c r="I1927" s="0" t="s">
        <v>6425</v>
      </c>
      <c r="J1927" s="0" t="s">
        <v>6426</v>
      </c>
      <c r="K1927" s="0" t="s">
        <v>6427</v>
      </c>
      <c r="L1927" s="0" t="str">
        <f aca="false">HYPERLINK("https://www.ncbi.nlm.nih.gov/nuccore/CP000304.1?report=graph&amp;tracks=[key:gene_model_track,Options:GeneOnly]&amp;mk=548132:548151|offset_1|00cc00,548231:548250|offset_100|444444,548268:548287|offset_137|444444,548288:548307|offset_157|444444&amp;v=547931:548507&amp;c=444444", "offset 1")</f>
        <v>offset 1</v>
      </c>
    </row>
    <row r="1928" customFormat="false" ht="12.8" hidden="false" customHeight="false" outlineLevel="0" collapsed="false">
      <c r="A1928" s="0" t="s">
        <v>12</v>
      </c>
      <c r="B1928" s="0" t="n">
        <v>548230</v>
      </c>
      <c r="C1928" s="0" t="n">
        <v>548250</v>
      </c>
      <c r="D1928" s="0" t="s">
        <v>6424</v>
      </c>
      <c r="E1928" s="0" t="s">
        <v>89</v>
      </c>
      <c r="F1928" s="0" t="s">
        <v>15</v>
      </c>
      <c r="G1928" s="0" t="s">
        <v>32</v>
      </c>
      <c r="H1928" s="0" t="n">
        <v>100</v>
      </c>
      <c r="I1928" s="0" t="s">
        <v>6428</v>
      </c>
      <c r="J1928" s="0" t="s">
        <v>6429</v>
      </c>
      <c r="K1928" s="0" t="s">
        <v>6430</v>
      </c>
      <c r="L1928" s="0" t="str">
        <f aca="false">HYPERLINK("https://www.ncbi.nlm.nih.gov/nuccore/CP000304.1?report=graph&amp;tracks=[key:gene_model_track,Options:GeneOnly]&amp;mk=548132:548151|offset_1|444444,548231:548250|offset_100|00cc00,548268:548287|offset_137|444444,548288:548307|offset_157|444444&amp;v=547931:548507&amp;c=444444", "offset 100")</f>
        <v>offset 100</v>
      </c>
    </row>
    <row r="1929" customFormat="false" ht="12.8" hidden="false" customHeight="false" outlineLevel="0" collapsed="false">
      <c r="A1929" s="0" t="s">
        <v>12</v>
      </c>
      <c r="B1929" s="0" t="n">
        <v>548267</v>
      </c>
      <c r="C1929" s="0" t="n">
        <v>548287</v>
      </c>
      <c r="D1929" s="0" t="s">
        <v>6424</v>
      </c>
      <c r="E1929" s="0" t="s">
        <v>89</v>
      </c>
      <c r="F1929" s="0" t="s">
        <v>15</v>
      </c>
      <c r="G1929" s="0" t="s">
        <v>26</v>
      </c>
      <c r="H1929" s="0" t="n">
        <v>137</v>
      </c>
      <c r="I1929" s="0" t="s">
        <v>6431</v>
      </c>
      <c r="J1929" s="0" t="s">
        <v>6432</v>
      </c>
      <c r="K1929" s="0" t="s">
        <v>6433</v>
      </c>
      <c r="L1929" s="0" t="str">
        <f aca="false">HYPERLINK("https://www.ncbi.nlm.nih.gov/nuccore/CP000304.1?report=graph&amp;tracks=[key:gene_model_track,Options:GeneOnly]&amp;mk=548132:548151|offset_1|444444,548231:548250|offset_100|444444,548268:548287|offset_137|00cc00,548288:548307|offset_157|444444&amp;v=547931:548507&amp;c=444444", "offset 137")</f>
        <v>offset 137</v>
      </c>
    </row>
    <row r="1930" customFormat="false" ht="12.8" hidden="false" customHeight="false" outlineLevel="0" collapsed="false">
      <c r="A1930" s="0" t="s">
        <v>12</v>
      </c>
      <c r="B1930" s="0" t="n">
        <v>548287</v>
      </c>
      <c r="C1930" s="0" t="n">
        <v>548307</v>
      </c>
      <c r="D1930" s="0" t="s">
        <v>6424</v>
      </c>
      <c r="E1930" s="0" t="s">
        <v>89</v>
      </c>
      <c r="F1930" s="0" t="s">
        <v>15</v>
      </c>
      <c r="G1930" s="0" t="s">
        <v>26</v>
      </c>
      <c r="H1930" s="0" t="n">
        <v>157</v>
      </c>
      <c r="I1930" s="0" t="s">
        <v>6434</v>
      </c>
      <c r="J1930" s="0" t="s">
        <v>6435</v>
      </c>
      <c r="K1930" s="0" t="s">
        <v>6436</v>
      </c>
      <c r="L1930" s="0" t="str">
        <f aca="false">HYPERLINK("https://www.ncbi.nlm.nih.gov/nuccore/CP000304.1?report=graph&amp;tracks=[key:gene_model_track,Options:GeneOnly]&amp;mk=548132:548151|offset_1|444444,548231:548250|offset_100|444444,548268:548287|offset_137|444444,548288:548307|offset_157|00cc00&amp;v=547931:548507&amp;c=444444", "offset 157")</f>
        <v>offset 157</v>
      </c>
    </row>
    <row r="1931" customFormat="false" ht="12.8" hidden="false" customHeight="false" outlineLevel="0" collapsed="false">
      <c r="A1931" s="0" t="s">
        <v>12</v>
      </c>
      <c r="B1931" s="0" t="n">
        <v>549144</v>
      </c>
      <c r="C1931" s="0" t="n">
        <v>549164</v>
      </c>
      <c r="D1931" s="0" t="s">
        <v>6437</v>
      </c>
      <c r="E1931" s="0" t="s">
        <v>89</v>
      </c>
      <c r="F1931" s="0" t="s">
        <v>15</v>
      </c>
      <c r="G1931" s="0" t="s">
        <v>16</v>
      </c>
      <c r="H1931" s="0" t="n">
        <v>7</v>
      </c>
      <c r="I1931" s="0" t="s">
        <v>6438</v>
      </c>
      <c r="J1931" s="0" t="s">
        <v>6439</v>
      </c>
      <c r="K1931" s="0" t="s">
        <v>6440</v>
      </c>
      <c r="L1931" s="0" t="str">
        <f aca="false">HYPERLINK("https://www.ncbi.nlm.nih.gov/nuccore/CP000304.1?report=graph&amp;tracks=[key:gene_model_track,Options:GeneOnly]&amp;mk=549145:549164|offset_7|00cc00,549189:549208|offset_51|444444,549211:549230|offset_73|444444,549231:549250|offset_93|444444&amp;v=548944:549450&amp;c=444444", "offset 7")</f>
        <v>offset 7</v>
      </c>
    </row>
    <row r="1932" customFormat="false" ht="12.8" hidden="false" customHeight="false" outlineLevel="0" collapsed="false">
      <c r="A1932" s="0" t="s">
        <v>12</v>
      </c>
      <c r="B1932" s="0" t="n">
        <v>549188</v>
      </c>
      <c r="C1932" s="0" t="n">
        <v>549208</v>
      </c>
      <c r="D1932" s="0" t="s">
        <v>6437</v>
      </c>
      <c r="E1932" s="0" t="s">
        <v>89</v>
      </c>
      <c r="F1932" s="0" t="s">
        <v>15</v>
      </c>
      <c r="G1932" s="0" t="s">
        <v>36</v>
      </c>
      <c r="H1932" s="0" t="n">
        <v>51</v>
      </c>
      <c r="I1932" s="0" t="s">
        <v>6441</v>
      </c>
      <c r="J1932" s="0" t="s">
        <v>6442</v>
      </c>
      <c r="K1932" s="0" t="s">
        <v>6443</v>
      </c>
      <c r="L1932" s="0" t="str">
        <f aca="false">HYPERLINK("https://www.ncbi.nlm.nih.gov/nuccore/CP000304.1?report=graph&amp;tracks=[key:gene_model_track,Options:GeneOnly]&amp;mk=549145:549164|offset_7|444444,549189:549208|offset_51|00cc00,549211:549230|offset_73|444444,549231:549250|offset_93|444444&amp;v=548944:549450&amp;c=444444", "offset 51")</f>
        <v>offset 51</v>
      </c>
    </row>
    <row r="1933" customFormat="false" ht="12.8" hidden="false" customHeight="false" outlineLevel="0" collapsed="false">
      <c r="A1933" s="0" t="s">
        <v>12</v>
      </c>
      <c r="B1933" s="0" t="n">
        <v>549210</v>
      </c>
      <c r="C1933" s="0" t="n">
        <v>549230</v>
      </c>
      <c r="D1933" s="0" t="s">
        <v>6437</v>
      </c>
      <c r="E1933" s="0" t="s">
        <v>89</v>
      </c>
      <c r="F1933" s="0" t="s">
        <v>15</v>
      </c>
      <c r="G1933" s="0" t="s">
        <v>16</v>
      </c>
      <c r="H1933" s="0" t="n">
        <v>73</v>
      </c>
      <c r="I1933" s="0" t="s">
        <v>6444</v>
      </c>
      <c r="J1933" s="0" t="s">
        <v>6445</v>
      </c>
      <c r="K1933" s="0" t="s">
        <v>6446</v>
      </c>
      <c r="L1933" s="0" t="str">
        <f aca="false">HYPERLINK("https://www.ncbi.nlm.nih.gov/nuccore/CP000304.1?report=graph&amp;tracks=[key:gene_model_track,Options:GeneOnly]&amp;mk=549145:549164|offset_7|444444,549189:549208|offset_51|444444,549211:549230|offset_73|00cc00,549231:549250|offset_93|444444&amp;v=548944:549450&amp;c=444444", "offset 73")</f>
        <v>offset 73</v>
      </c>
    </row>
    <row r="1934" customFormat="false" ht="12.8" hidden="false" customHeight="false" outlineLevel="0" collapsed="false">
      <c r="A1934" s="0" t="s">
        <v>12</v>
      </c>
      <c r="B1934" s="0" t="n">
        <v>549230</v>
      </c>
      <c r="C1934" s="0" t="n">
        <v>549250</v>
      </c>
      <c r="D1934" s="0" t="s">
        <v>6437</v>
      </c>
      <c r="E1934" s="0" t="s">
        <v>89</v>
      </c>
      <c r="F1934" s="0" t="s">
        <v>15</v>
      </c>
      <c r="G1934" s="0" t="s">
        <v>36</v>
      </c>
      <c r="H1934" s="0" t="n">
        <v>93</v>
      </c>
      <c r="I1934" s="0" t="s">
        <v>6447</v>
      </c>
      <c r="J1934" s="0" t="s">
        <v>6448</v>
      </c>
      <c r="K1934" s="0" t="s">
        <v>6449</v>
      </c>
      <c r="L1934" s="0" t="str">
        <f aca="false">HYPERLINK("https://www.ncbi.nlm.nih.gov/nuccore/CP000304.1?report=graph&amp;tracks=[key:gene_model_track,Options:GeneOnly]&amp;mk=549145:549164|offset_7|444444,549189:549208|offset_51|444444,549211:549230|offset_73|444444,549231:549250|offset_93|00cc00&amp;v=548944:549450&amp;c=444444", "offset 93")</f>
        <v>offset 93</v>
      </c>
    </row>
    <row r="1935" customFormat="false" ht="12.8" hidden="false" customHeight="false" outlineLevel="0" collapsed="false">
      <c r="A1935" s="0" t="s">
        <v>12</v>
      </c>
      <c r="B1935" s="0" t="n">
        <v>549893</v>
      </c>
      <c r="C1935" s="0" t="n">
        <v>549913</v>
      </c>
      <c r="D1935" s="0" t="s">
        <v>6450</v>
      </c>
      <c r="E1935" s="0" t="s">
        <v>89</v>
      </c>
      <c r="F1935" s="0" t="s">
        <v>15</v>
      </c>
      <c r="G1935" s="0" t="s">
        <v>32</v>
      </c>
      <c r="H1935" s="0" t="n">
        <v>8</v>
      </c>
      <c r="I1935" s="0" t="s">
        <v>6451</v>
      </c>
      <c r="J1935" s="0" t="s">
        <v>6452</v>
      </c>
      <c r="K1935" s="0" t="s">
        <v>6453</v>
      </c>
      <c r="L1935" s="0" t="str">
        <f aca="false">HYPERLINK("https://www.ncbi.nlm.nih.gov/nuccore/CP000304.1?report=graph&amp;tracks=[key:gene_model_track,Options:GeneOnly]&amp;mk=549894:549913|offset_8|00cc00,549915:549934|offset_29|444444,549938:549957|offset_52|444444,549985:550004|offset_99|444444&amp;v=549693:550204&amp;c=444444", "offset 8")</f>
        <v>offset 8</v>
      </c>
    </row>
    <row r="1936" customFormat="false" ht="12.8" hidden="false" customHeight="false" outlineLevel="0" collapsed="false">
      <c r="A1936" s="0" t="s">
        <v>12</v>
      </c>
      <c r="B1936" s="0" t="n">
        <v>549914</v>
      </c>
      <c r="C1936" s="0" t="n">
        <v>549934</v>
      </c>
      <c r="D1936" s="0" t="s">
        <v>6450</v>
      </c>
      <c r="E1936" s="0" t="s">
        <v>89</v>
      </c>
      <c r="F1936" s="0" t="s">
        <v>15</v>
      </c>
      <c r="G1936" s="0" t="s">
        <v>26</v>
      </c>
      <c r="H1936" s="0" t="n">
        <v>29</v>
      </c>
      <c r="I1936" s="0" t="s">
        <v>6454</v>
      </c>
      <c r="J1936" s="0" t="s">
        <v>6455</v>
      </c>
      <c r="K1936" s="0" t="s">
        <v>6456</v>
      </c>
      <c r="L1936" s="0" t="str">
        <f aca="false">HYPERLINK("https://www.ncbi.nlm.nih.gov/nuccore/CP000304.1?report=graph&amp;tracks=[key:gene_model_track,Options:GeneOnly]&amp;mk=549894:549913|offset_8|444444,549915:549934|offset_29|00cc00,549938:549957|offset_52|444444,549985:550004|offset_99|444444&amp;v=549693:550204&amp;c=444444", "offset 29")</f>
        <v>offset 29</v>
      </c>
    </row>
    <row r="1937" customFormat="false" ht="12.8" hidden="false" customHeight="false" outlineLevel="0" collapsed="false">
      <c r="A1937" s="0" t="s">
        <v>12</v>
      </c>
      <c r="B1937" s="0" t="n">
        <v>549937</v>
      </c>
      <c r="C1937" s="0" t="n">
        <v>549957</v>
      </c>
      <c r="D1937" s="0" t="s">
        <v>6450</v>
      </c>
      <c r="E1937" s="0" t="s">
        <v>89</v>
      </c>
      <c r="F1937" s="0" t="s">
        <v>15</v>
      </c>
      <c r="G1937" s="0" t="s">
        <v>32</v>
      </c>
      <c r="H1937" s="0" t="n">
        <v>52</v>
      </c>
      <c r="I1937" s="0" t="s">
        <v>6457</v>
      </c>
      <c r="J1937" s="0" t="s">
        <v>6458</v>
      </c>
      <c r="K1937" s="0" t="s">
        <v>6459</v>
      </c>
      <c r="L1937" s="0" t="str">
        <f aca="false">HYPERLINK("https://www.ncbi.nlm.nih.gov/nuccore/CP000304.1?report=graph&amp;tracks=[key:gene_model_track,Options:GeneOnly]&amp;mk=549894:549913|offset_8|444444,549915:549934|offset_29|444444,549938:549957|offset_52|00cc00,549985:550004|offset_99|444444&amp;v=549693:550204&amp;c=444444", "offset 52")</f>
        <v>offset 52</v>
      </c>
    </row>
    <row r="1938" customFormat="false" ht="12.8" hidden="false" customHeight="false" outlineLevel="0" collapsed="false">
      <c r="A1938" s="0" t="s">
        <v>12</v>
      </c>
      <c r="B1938" s="0" t="n">
        <v>549984</v>
      </c>
      <c r="C1938" s="0" t="n">
        <v>550004</v>
      </c>
      <c r="D1938" s="0" t="s">
        <v>6450</v>
      </c>
      <c r="E1938" s="0" t="s">
        <v>89</v>
      </c>
      <c r="F1938" s="0" t="s">
        <v>15</v>
      </c>
      <c r="G1938" s="0" t="s">
        <v>16</v>
      </c>
      <c r="H1938" s="0" t="n">
        <v>99</v>
      </c>
      <c r="I1938" s="0" t="s">
        <v>6460</v>
      </c>
      <c r="J1938" s="0" t="s">
        <v>6461</v>
      </c>
      <c r="K1938" s="0" t="s">
        <v>6462</v>
      </c>
      <c r="L1938" s="0" t="str">
        <f aca="false">HYPERLINK("https://www.ncbi.nlm.nih.gov/nuccore/CP000304.1?report=graph&amp;tracks=[key:gene_model_track,Options:GeneOnly]&amp;mk=549894:549913|offset_8|444444,549915:549934|offset_29|444444,549938:549957|offset_52|444444,549985:550004|offset_99|00cc00&amp;v=549693:550204&amp;c=444444", "offset 99")</f>
        <v>offset 99</v>
      </c>
    </row>
    <row r="1939" customFormat="false" ht="12.8" hidden="false" customHeight="false" outlineLevel="0" collapsed="false">
      <c r="A1939" s="0" t="s">
        <v>12</v>
      </c>
      <c r="B1939" s="0" t="n">
        <v>551066</v>
      </c>
      <c r="C1939" s="0" t="n">
        <v>551086</v>
      </c>
      <c r="D1939" s="0" t="s">
        <v>6463</v>
      </c>
      <c r="E1939" s="0" t="s">
        <v>6464</v>
      </c>
      <c r="F1939" s="0" t="s">
        <v>15</v>
      </c>
      <c r="G1939" s="0" t="s">
        <v>36</v>
      </c>
      <c r="H1939" s="0" t="n">
        <v>10</v>
      </c>
      <c r="I1939" s="0" t="s">
        <v>6465</v>
      </c>
      <c r="J1939" s="0" t="s">
        <v>6466</v>
      </c>
      <c r="K1939" s="0" t="s">
        <v>6467</v>
      </c>
      <c r="L1939" s="0" t="str">
        <f aca="false">HYPERLINK("https://www.ncbi.nlm.nih.gov/nuccore/CP000304.1?report=graph&amp;tracks=[key:gene_model_track,Options:GeneOnly]&amp;mk=551067:551086|offset_10|00cc00,551094:551113|offset_37|444444,551116:551135|offset_59|444444,551139:551158|offset_82|444444&amp;v=550866:551358&amp;c=444444", "offset 10")</f>
        <v>offset 10</v>
      </c>
    </row>
    <row r="1940" customFormat="false" ht="12.8" hidden="false" customHeight="false" outlineLevel="0" collapsed="false">
      <c r="A1940" s="0" t="s">
        <v>12</v>
      </c>
      <c r="B1940" s="0" t="n">
        <v>551093</v>
      </c>
      <c r="C1940" s="0" t="n">
        <v>551113</v>
      </c>
      <c r="D1940" s="0" t="s">
        <v>6463</v>
      </c>
      <c r="E1940" s="0" t="s">
        <v>6464</v>
      </c>
      <c r="F1940" s="0" t="s">
        <v>15</v>
      </c>
      <c r="G1940" s="0" t="s">
        <v>16</v>
      </c>
      <c r="H1940" s="0" t="n">
        <v>37</v>
      </c>
      <c r="I1940" s="0" t="s">
        <v>6468</v>
      </c>
      <c r="J1940" s="0" t="s">
        <v>6469</v>
      </c>
      <c r="K1940" s="0" t="s">
        <v>6470</v>
      </c>
      <c r="L1940" s="0" t="str">
        <f aca="false">HYPERLINK("https://www.ncbi.nlm.nih.gov/nuccore/CP000304.1?report=graph&amp;tracks=[key:gene_model_track,Options:GeneOnly]&amp;mk=551067:551086|offset_10|444444,551094:551113|offset_37|00cc00,551116:551135|offset_59|444444,551139:551158|offset_82|444444&amp;v=550866:551358&amp;c=444444", "offset 37")</f>
        <v>offset 37</v>
      </c>
    </row>
    <row r="1941" customFormat="false" ht="12.8" hidden="false" customHeight="false" outlineLevel="0" collapsed="false">
      <c r="A1941" s="0" t="s">
        <v>12</v>
      </c>
      <c r="B1941" s="0" t="n">
        <v>551115</v>
      </c>
      <c r="C1941" s="0" t="n">
        <v>551135</v>
      </c>
      <c r="D1941" s="0" t="s">
        <v>6463</v>
      </c>
      <c r="E1941" s="0" t="s">
        <v>6464</v>
      </c>
      <c r="F1941" s="0" t="s">
        <v>15</v>
      </c>
      <c r="G1941" s="0" t="s">
        <v>32</v>
      </c>
      <c r="H1941" s="0" t="n">
        <v>59</v>
      </c>
      <c r="I1941" s="0" t="s">
        <v>6471</v>
      </c>
      <c r="J1941" s="0" t="s">
        <v>6472</v>
      </c>
      <c r="K1941" s="0" t="s">
        <v>6473</v>
      </c>
      <c r="L1941" s="0" t="str">
        <f aca="false">HYPERLINK("https://www.ncbi.nlm.nih.gov/nuccore/CP000304.1?report=graph&amp;tracks=[key:gene_model_track,Options:GeneOnly]&amp;mk=551067:551086|offset_10|444444,551094:551113|offset_37|444444,551116:551135|offset_59|00cc00,551139:551158|offset_82|444444&amp;v=550866:551358&amp;c=444444", "offset 59")</f>
        <v>offset 59</v>
      </c>
    </row>
    <row r="1942" customFormat="false" ht="12.8" hidden="false" customHeight="false" outlineLevel="0" collapsed="false">
      <c r="A1942" s="0" t="s">
        <v>12</v>
      </c>
      <c r="B1942" s="0" t="n">
        <v>551138</v>
      </c>
      <c r="C1942" s="0" t="n">
        <v>551158</v>
      </c>
      <c r="D1942" s="0" t="s">
        <v>6463</v>
      </c>
      <c r="E1942" s="0" t="s">
        <v>6464</v>
      </c>
      <c r="F1942" s="0" t="s">
        <v>15</v>
      </c>
      <c r="G1942" s="0" t="s">
        <v>32</v>
      </c>
      <c r="H1942" s="0" t="n">
        <v>82</v>
      </c>
      <c r="I1942" s="0" t="s">
        <v>6474</v>
      </c>
      <c r="J1942" s="0" t="s">
        <v>6475</v>
      </c>
      <c r="K1942" s="0" t="s">
        <v>6476</v>
      </c>
      <c r="L1942" s="0" t="str">
        <f aca="false">HYPERLINK("https://www.ncbi.nlm.nih.gov/nuccore/CP000304.1?report=graph&amp;tracks=[key:gene_model_track,Options:GeneOnly]&amp;mk=551067:551086|offset_10|444444,551094:551113|offset_37|444444,551116:551135|offset_59|444444,551139:551158|offset_82|00cc00&amp;v=550866:551358&amp;c=444444", "offset 82")</f>
        <v>offset 82</v>
      </c>
    </row>
    <row r="1943" customFormat="false" ht="12.8" hidden="false" customHeight="false" outlineLevel="0" collapsed="false">
      <c r="A1943" s="0" t="s">
        <v>12</v>
      </c>
      <c r="B1943" s="0" t="n">
        <v>552665</v>
      </c>
      <c r="C1943" s="0" t="n">
        <v>552685</v>
      </c>
      <c r="D1943" s="0" t="s">
        <v>6477</v>
      </c>
      <c r="E1943" s="0" t="s">
        <v>89</v>
      </c>
      <c r="F1943" s="0" t="s">
        <v>15</v>
      </c>
      <c r="G1943" s="0" t="s">
        <v>36</v>
      </c>
      <c r="H1943" s="0" t="n">
        <v>15</v>
      </c>
      <c r="I1943" s="0" t="s">
        <v>6478</v>
      </c>
      <c r="J1943" s="0" t="s">
        <v>6479</v>
      </c>
      <c r="K1943" s="0" t="s">
        <v>6480</v>
      </c>
      <c r="L1943" s="0" t="str">
        <f aca="false">HYPERLINK("https://www.ncbi.nlm.nih.gov/nuccore/CP000304.1?report=graph&amp;tracks=[key:gene_model_track,Options:GeneOnly]&amp;mk=552666:552685|offset_15|00cc00,552691:552710|offset_40|444444,552735:552754|offset_84|444444,552757:552776|offset_106|444444&amp;v=552465:552976&amp;c=444444", "offset 15")</f>
        <v>offset 15</v>
      </c>
    </row>
    <row r="1944" customFormat="false" ht="12.8" hidden="false" customHeight="false" outlineLevel="0" collapsed="false">
      <c r="A1944" s="0" t="s">
        <v>12</v>
      </c>
      <c r="B1944" s="0" t="n">
        <v>552690</v>
      </c>
      <c r="C1944" s="0" t="n">
        <v>552710</v>
      </c>
      <c r="D1944" s="0" t="s">
        <v>6477</v>
      </c>
      <c r="E1944" s="0" t="s">
        <v>89</v>
      </c>
      <c r="F1944" s="0" t="s">
        <v>15</v>
      </c>
      <c r="G1944" s="0" t="s">
        <v>36</v>
      </c>
      <c r="H1944" s="0" t="n">
        <v>40</v>
      </c>
      <c r="I1944" s="0" t="s">
        <v>6481</v>
      </c>
      <c r="J1944" s="0" t="s">
        <v>6482</v>
      </c>
      <c r="K1944" s="0" t="s">
        <v>6483</v>
      </c>
      <c r="L1944" s="0" t="str">
        <f aca="false">HYPERLINK("https://www.ncbi.nlm.nih.gov/nuccore/CP000304.1?report=graph&amp;tracks=[key:gene_model_track,Options:GeneOnly]&amp;mk=552666:552685|offset_15|444444,552691:552710|offset_40|00cc00,552735:552754|offset_84|444444,552757:552776|offset_106|444444&amp;v=552465:552976&amp;c=444444", "offset 40")</f>
        <v>offset 40</v>
      </c>
    </row>
    <row r="1945" customFormat="false" ht="12.8" hidden="false" customHeight="false" outlineLevel="0" collapsed="false">
      <c r="A1945" s="0" t="s">
        <v>12</v>
      </c>
      <c r="B1945" s="0" t="n">
        <v>552734</v>
      </c>
      <c r="C1945" s="0" t="n">
        <v>552754</v>
      </c>
      <c r="D1945" s="0" t="s">
        <v>6477</v>
      </c>
      <c r="E1945" s="0" t="s">
        <v>89</v>
      </c>
      <c r="F1945" s="0" t="s">
        <v>15</v>
      </c>
      <c r="G1945" s="0" t="s">
        <v>16</v>
      </c>
      <c r="H1945" s="0" t="n">
        <v>84</v>
      </c>
      <c r="I1945" s="0" t="s">
        <v>6484</v>
      </c>
      <c r="J1945" s="0" t="s">
        <v>6485</v>
      </c>
      <c r="K1945" s="0" t="s">
        <v>6486</v>
      </c>
      <c r="L1945" s="0" t="str">
        <f aca="false">HYPERLINK("https://www.ncbi.nlm.nih.gov/nuccore/CP000304.1?report=graph&amp;tracks=[key:gene_model_track,Options:GeneOnly]&amp;mk=552666:552685|offset_15|444444,552691:552710|offset_40|444444,552735:552754|offset_84|00cc00,552757:552776|offset_106|444444&amp;v=552465:552976&amp;c=444444", "offset 84")</f>
        <v>offset 84</v>
      </c>
    </row>
    <row r="1946" customFormat="false" ht="12.8" hidden="false" customHeight="false" outlineLevel="0" collapsed="false">
      <c r="A1946" s="0" t="s">
        <v>12</v>
      </c>
      <c r="B1946" s="0" t="n">
        <v>552756</v>
      </c>
      <c r="C1946" s="0" t="n">
        <v>552776</v>
      </c>
      <c r="D1946" s="0" t="s">
        <v>6477</v>
      </c>
      <c r="E1946" s="0" t="s">
        <v>89</v>
      </c>
      <c r="F1946" s="0" t="s">
        <v>15</v>
      </c>
      <c r="G1946" s="0" t="s">
        <v>16</v>
      </c>
      <c r="H1946" s="0" t="n">
        <v>106</v>
      </c>
      <c r="I1946" s="0" t="s">
        <v>6487</v>
      </c>
      <c r="J1946" s="0" t="s">
        <v>6488</v>
      </c>
      <c r="K1946" s="0" t="s">
        <v>6489</v>
      </c>
      <c r="L1946" s="0" t="str">
        <f aca="false">HYPERLINK("https://www.ncbi.nlm.nih.gov/nuccore/CP000304.1?report=graph&amp;tracks=[key:gene_model_track,Options:GeneOnly]&amp;mk=552666:552685|offset_15|444444,552691:552710|offset_40|444444,552735:552754|offset_84|444444,552757:552776|offset_106|00cc00&amp;v=552465:552976&amp;c=444444", "offset 106")</f>
        <v>offset 106</v>
      </c>
    </row>
    <row r="1947" customFormat="false" ht="12.8" hidden="false" customHeight="false" outlineLevel="0" collapsed="false">
      <c r="A1947" s="0" t="s">
        <v>12</v>
      </c>
      <c r="B1947" s="0" t="n">
        <v>554002</v>
      </c>
      <c r="C1947" s="0" t="n">
        <v>554022</v>
      </c>
      <c r="D1947" s="0" t="s">
        <v>6490</v>
      </c>
      <c r="E1947" s="0" t="s">
        <v>89</v>
      </c>
      <c r="F1947" s="0" t="s">
        <v>90</v>
      </c>
      <c r="G1947" s="0" t="s">
        <v>26</v>
      </c>
      <c r="H1947" s="0" t="n">
        <v>28</v>
      </c>
      <c r="I1947" s="0" t="s">
        <v>6491</v>
      </c>
      <c r="J1947" s="0" t="s">
        <v>6492</v>
      </c>
      <c r="K1947" s="0" t="s">
        <v>6493</v>
      </c>
      <c r="L1947" s="0" t="str">
        <f aca="false">HYPERLINK("https://www.ncbi.nlm.nih.gov/nuccore/CP000304.1?report=graph&amp;tracks=[key:gene_model_track,Options:GeneOnly]&amp;mk=554003:554022|offset_28|00cc00,553940:553959|offset_91|444444,553885:553904|offset_146|444444,553804:553823|offset_227|444444&amp;v=553802:554023&amp;c=444444", "offset 28")</f>
        <v>offset 28</v>
      </c>
    </row>
    <row r="1948" customFormat="false" ht="12.8" hidden="false" customHeight="false" outlineLevel="0" collapsed="false">
      <c r="A1948" s="0" t="s">
        <v>12</v>
      </c>
      <c r="B1948" s="0" t="n">
        <v>553939</v>
      </c>
      <c r="C1948" s="0" t="n">
        <v>553959</v>
      </c>
      <c r="D1948" s="0" t="s">
        <v>6490</v>
      </c>
      <c r="E1948" s="0" t="s">
        <v>89</v>
      </c>
      <c r="F1948" s="0" t="s">
        <v>90</v>
      </c>
      <c r="G1948" s="0" t="s">
        <v>16</v>
      </c>
      <c r="H1948" s="0" t="n">
        <v>91</v>
      </c>
      <c r="I1948" s="0" t="s">
        <v>6494</v>
      </c>
      <c r="J1948" s="0" t="s">
        <v>6495</v>
      </c>
      <c r="K1948" s="0" t="s">
        <v>6496</v>
      </c>
      <c r="L1948" s="0" t="str">
        <f aca="false">HYPERLINK("https://www.ncbi.nlm.nih.gov/nuccore/CP000304.1?report=graph&amp;tracks=[key:gene_model_track,Options:GeneOnly]&amp;mk=554003:554022|offset_28|444444,553940:553959|offset_91|00cc00,553885:553904|offset_146|444444,553804:553823|offset_227|444444&amp;v=553802:554023&amp;c=444444", "offset 91")</f>
        <v>offset 91</v>
      </c>
    </row>
    <row r="1949" customFormat="false" ht="12.8" hidden="false" customHeight="false" outlineLevel="0" collapsed="false">
      <c r="A1949" s="0" t="s">
        <v>12</v>
      </c>
      <c r="B1949" s="0" t="n">
        <v>553884</v>
      </c>
      <c r="C1949" s="0" t="n">
        <v>553904</v>
      </c>
      <c r="D1949" s="0" t="s">
        <v>6490</v>
      </c>
      <c r="E1949" s="0" t="s">
        <v>89</v>
      </c>
      <c r="F1949" s="0" t="s">
        <v>90</v>
      </c>
      <c r="G1949" s="0" t="s">
        <v>26</v>
      </c>
      <c r="H1949" s="0" t="n">
        <v>146</v>
      </c>
      <c r="I1949" s="0" t="s">
        <v>6497</v>
      </c>
      <c r="J1949" s="0" t="s">
        <v>6498</v>
      </c>
      <c r="K1949" s="0" t="s">
        <v>6499</v>
      </c>
      <c r="L1949" s="0" t="str">
        <f aca="false">HYPERLINK("https://www.ncbi.nlm.nih.gov/nuccore/CP000304.1?report=graph&amp;tracks=[key:gene_model_track,Options:GeneOnly]&amp;mk=554003:554022|offset_28|444444,553940:553959|offset_91|444444,553885:553904|offset_146|00cc00,553804:553823|offset_227|444444&amp;v=553802:554023&amp;c=444444", "offset 146")</f>
        <v>offset 146</v>
      </c>
    </row>
    <row r="1950" customFormat="false" ht="12.8" hidden="false" customHeight="false" outlineLevel="0" collapsed="false">
      <c r="A1950" s="0" t="s">
        <v>12</v>
      </c>
      <c r="B1950" s="0" t="n">
        <v>553803</v>
      </c>
      <c r="C1950" s="0" t="n">
        <v>553823</v>
      </c>
      <c r="D1950" s="0" t="s">
        <v>6490</v>
      </c>
      <c r="E1950" s="0" t="s">
        <v>89</v>
      </c>
      <c r="F1950" s="0" t="s">
        <v>90</v>
      </c>
      <c r="G1950" s="0" t="s">
        <v>26</v>
      </c>
      <c r="H1950" s="0" t="n">
        <v>227</v>
      </c>
      <c r="I1950" s="0" t="s">
        <v>6500</v>
      </c>
      <c r="J1950" s="0" t="s">
        <v>6501</v>
      </c>
      <c r="K1950" s="0" t="s">
        <v>6502</v>
      </c>
      <c r="L1950" s="0" t="str">
        <f aca="false">HYPERLINK("https://www.ncbi.nlm.nih.gov/nuccore/CP000304.1?report=graph&amp;tracks=[key:gene_model_track,Options:GeneOnly]&amp;mk=554003:554022|offset_28|444444,553940:553959|offset_91|444444,553885:553904|offset_146|444444,553804:553823|offset_227|00cc00&amp;v=553802:554023&amp;c=444444", "offset 227")</f>
        <v>offset 227</v>
      </c>
    </row>
    <row r="1951" customFormat="false" ht="12.8" hidden="false" customHeight="false" outlineLevel="0" collapsed="false">
      <c r="A1951" s="0" t="s">
        <v>12</v>
      </c>
      <c r="B1951" s="0" t="n">
        <v>556102</v>
      </c>
      <c r="C1951" s="0" t="n">
        <v>556122</v>
      </c>
      <c r="D1951" s="0" t="s">
        <v>6503</v>
      </c>
      <c r="E1951" s="0" t="s">
        <v>6504</v>
      </c>
      <c r="F1951" s="0" t="s">
        <v>90</v>
      </c>
      <c r="G1951" s="0" t="s">
        <v>16</v>
      </c>
      <c r="H1951" s="0" t="n">
        <v>1</v>
      </c>
      <c r="I1951" s="0" t="s">
        <v>6505</v>
      </c>
      <c r="J1951" s="0" t="s">
        <v>6506</v>
      </c>
      <c r="K1951" s="0" t="s">
        <v>6507</v>
      </c>
      <c r="L1951" s="0" t="str">
        <f aca="false">HYPERLINK("https://www.ncbi.nlm.nih.gov/nuccore/CP000304.1?report=graph&amp;tracks=[key:gene_model_track,Options:GeneOnly]&amp;mk=556103:556122|offset_1|00cc00,556082:556101|offset_22|444444,556046:556065|offset_58|444444,556022:556041|offset_82|444444&amp;v=555902:556241&amp;c=444444", "offset 1")</f>
        <v>offset 1</v>
      </c>
    </row>
    <row r="1952" customFormat="false" ht="12.8" hidden="false" customHeight="false" outlineLevel="0" collapsed="false">
      <c r="A1952" s="0" t="s">
        <v>12</v>
      </c>
      <c r="B1952" s="0" t="n">
        <v>556081</v>
      </c>
      <c r="C1952" s="0" t="n">
        <v>556101</v>
      </c>
      <c r="D1952" s="0" t="s">
        <v>6503</v>
      </c>
      <c r="E1952" s="0" t="s">
        <v>6504</v>
      </c>
      <c r="F1952" s="0" t="s">
        <v>90</v>
      </c>
      <c r="G1952" s="0" t="s">
        <v>36</v>
      </c>
      <c r="H1952" s="0" t="n">
        <v>22</v>
      </c>
      <c r="I1952" s="0" t="s">
        <v>6508</v>
      </c>
      <c r="J1952" s="0" t="s">
        <v>6509</v>
      </c>
      <c r="K1952" s="0" t="s">
        <v>6510</v>
      </c>
      <c r="L1952" s="0" t="str">
        <f aca="false">HYPERLINK("https://www.ncbi.nlm.nih.gov/nuccore/CP000304.1?report=graph&amp;tracks=[key:gene_model_track,Options:GeneOnly]&amp;mk=556103:556122|offset_1|444444,556082:556101|offset_22|00cc00,556046:556065|offset_58|444444,556022:556041|offset_82|444444&amp;v=555902:556241&amp;c=444444", "offset 22")</f>
        <v>offset 22</v>
      </c>
    </row>
    <row r="1953" customFormat="false" ht="12.8" hidden="false" customHeight="false" outlineLevel="0" collapsed="false">
      <c r="A1953" s="0" t="s">
        <v>12</v>
      </c>
      <c r="B1953" s="0" t="n">
        <v>556045</v>
      </c>
      <c r="C1953" s="0" t="n">
        <v>556065</v>
      </c>
      <c r="D1953" s="0" t="s">
        <v>6503</v>
      </c>
      <c r="E1953" s="0" t="s">
        <v>6504</v>
      </c>
      <c r="F1953" s="0" t="s">
        <v>90</v>
      </c>
      <c r="G1953" s="0" t="s">
        <v>32</v>
      </c>
      <c r="H1953" s="0" t="n">
        <v>58</v>
      </c>
      <c r="I1953" s="0" t="s">
        <v>6511</v>
      </c>
      <c r="J1953" s="0" t="s">
        <v>6512</v>
      </c>
      <c r="K1953" s="0" t="s">
        <v>6513</v>
      </c>
      <c r="L1953" s="0" t="str">
        <f aca="false">HYPERLINK("https://www.ncbi.nlm.nih.gov/nuccore/CP000304.1?report=graph&amp;tracks=[key:gene_model_track,Options:GeneOnly]&amp;mk=556103:556122|offset_1|444444,556082:556101|offset_22|444444,556046:556065|offset_58|00cc00,556022:556041|offset_82|444444&amp;v=555902:556241&amp;c=444444", "offset 58")</f>
        <v>offset 58</v>
      </c>
    </row>
    <row r="1954" customFormat="false" ht="12.8" hidden="false" customHeight="false" outlineLevel="0" collapsed="false">
      <c r="A1954" s="0" t="s">
        <v>12</v>
      </c>
      <c r="B1954" s="0" t="n">
        <v>556021</v>
      </c>
      <c r="C1954" s="0" t="n">
        <v>556041</v>
      </c>
      <c r="D1954" s="0" t="s">
        <v>6503</v>
      </c>
      <c r="E1954" s="0" t="s">
        <v>6504</v>
      </c>
      <c r="F1954" s="0" t="s">
        <v>90</v>
      </c>
      <c r="G1954" s="0" t="s">
        <v>36</v>
      </c>
      <c r="H1954" s="0" t="n">
        <v>82</v>
      </c>
      <c r="I1954" s="0" t="s">
        <v>6514</v>
      </c>
      <c r="J1954" s="0" t="s">
        <v>6515</v>
      </c>
      <c r="K1954" s="0" t="s">
        <v>6516</v>
      </c>
      <c r="L1954" s="0" t="str">
        <f aca="false">HYPERLINK("https://www.ncbi.nlm.nih.gov/nuccore/CP000304.1?report=graph&amp;tracks=[key:gene_model_track,Options:GeneOnly]&amp;mk=556103:556122|offset_1|444444,556082:556101|offset_22|444444,556046:556065|offset_58|444444,556022:556041|offset_82|00cc00&amp;v=555902:556241&amp;c=444444", "offset 82")</f>
        <v>offset 82</v>
      </c>
    </row>
    <row r="1955" customFormat="false" ht="12.8" hidden="false" customHeight="false" outlineLevel="0" collapsed="false">
      <c r="A1955" s="0" t="s">
        <v>12</v>
      </c>
      <c r="B1955" s="0" t="n">
        <v>556400</v>
      </c>
      <c r="C1955" s="0" t="n">
        <v>556420</v>
      </c>
      <c r="D1955" s="0" t="s">
        <v>6517</v>
      </c>
      <c r="E1955" s="0" t="s">
        <v>89</v>
      </c>
      <c r="F1955" s="0" t="s">
        <v>15</v>
      </c>
      <c r="G1955" s="0" t="s">
        <v>36</v>
      </c>
      <c r="H1955" s="0" t="n">
        <v>0</v>
      </c>
      <c r="I1955" s="0" t="s">
        <v>6518</v>
      </c>
      <c r="J1955" s="0" t="s">
        <v>6519</v>
      </c>
      <c r="K1955" s="0" t="s">
        <v>6520</v>
      </c>
      <c r="L1955" s="0" t="str">
        <f aca="false">HYPERLINK("https://www.ncbi.nlm.nih.gov/nuccore/CP000304.1?report=graph&amp;tracks=[key:gene_model_track,Options:GeneOnly]&amp;mk=556401:556420|offset_0|00cc00,556430:556449|offset_29|444444,556456:556475|offset_55|444444,556480:556499|offset_79|444444&amp;v=556200:556699&amp;c=444444", "offset 0")</f>
        <v>offset 0</v>
      </c>
    </row>
    <row r="1956" customFormat="false" ht="12.8" hidden="false" customHeight="false" outlineLevel="0" collapsed="false">
      <c r="A1956" s="0" t="s">
        <v>12</v>
      </c>
      <c r="B1956" s="0" t="n">
        <v>556429</v>
      </c>
      <c r="C1956" s="0" t="n">
        <v>556449</v>
      </c>
      <c r="D1956" s="0" t="s">
        <v>6517</v>
      </c>
      <c r="E1956" s="0" t="s">
        <v>89</v>
      </c>
      <c r="F1956" s="0" t="s">
        <v>15</v>
      </c>
      <c r="G1956" s="0" t="s">
        <v>36</v>
      </c>
      <c r="H1956" s="0" t="n">
        <v>29</v>
      </c>
      <c r="I1956" s="0" t="s">
        <v>6521</v>
      </c>
      <c r="J1956" s="0" t="s">
        <v>6522</v>
      </c>
      <c r="K1956" s="0" t="s">
        <v>6523</v>
      </c>
      <c r="L1956" s="0" t="str">
        <f aca="false">HYPERLINK("https://www.ncbi.nlm.nih.gov/nuccore/CP000304.1?report=graph&amp;tracks=[key:gene_model_track,Options:GeneOnly]&amp;mk=556401:556420|offset_0|444444,556430:556449|offset_29|00cc00,556456:556475|offset_55|444444,556480:556499|offset_79|444444&amp;v=556200:556699&amp;c=444444", "offset 29")</f>
        <v>offset 29</v>
      </c>
    </row>
    <row r="1957" customFormat="false" ht="12.8" hidden="false" customHeight="false" outlineLevel="0" collapsed="false">
      <c r="A1957" s="0" t="s">
        <v>12</v>
      </c>
      <c r="B1957" s="0" t="n">
        <v>556455</v>
      </c>
      <c r="C1957" s="0" t="n">
        <v>556475</v>
      </c>
      <c r="D1957" s="0" t="s">
        <v>6517</v>
      </c>
      <c r="E1957" s="0" t="s">
        <v>89</v>
      </c>
      <c r="F1957" s="0" t="s">
        <v>15</v>
      </c>
      <c r="G1957" s="0" t="s">
        <v>26</v>
      </c>
      <c r="H1957" s="0" t="n">
        <v>55</v>
      </c>
      <c r="I1957" s="0" t="s">
        <v>6524</v>
      </c>
      <c r="J1957" s="0" t="s">
        <v>6525</v>
      </c>
      <c r="K1957" s="0" t="s">
        <v>6526</v>
      </c>
      <c r="L1957" s="0" t="str">
        <f aca="false">HYPERLINK("https://www.ncbi.nlm.nih.gov/nuccore/CP000304.1?report=graph&amp;tracks=[key:gene_model_track,Options:GeneOnly]&amp;mk=556401:556420|offset_0|444444,556430:556449|offset_29|444444,556456:556475|offset_55|00cc00,556480:556499|offset_79|444444&amp;v=556200:556699&amp;c=444444", "offset 55")</f>
        <v>offset 55</v>
      </c>
    </row>
    <row r="1958" customFormat="false" ht="12.8" hidden="false" customHeight="false" outlineLevel="0" collapsed="false">
      <c r="A1958" s="0" t="s">
        <v>12</v>
      </c>
      <c r="B1958" s="0" t="n">
        <v>556479</v>
      </c>
      <c r="C1958" s="0" t="n">
        <v>556499</v>
      </c>
      <c r="D1958" s="0" t="s">
        <v>6517</v>
      </c>
      <c r="E1958" s="0" t="s">
        <v>89</v>
      </c>
      <c r="F1958" s="0" t="s">
        <v>15</v>
      </c>
      <c r="G1958" s="0" t="s">
        <v>16</v>
      </c>
      <c r="H1958" s="0" t="n">
        <v>79</v>
      </c>
      <c r="I1958" s="0" t="s">
        <v>6527</v>
      </c>
      <c r="J1958" s="0" t="s">
        <v>6528</v>
      </c>
      <c r="K1958" s="0" t="s">
        <v>6529</v>
      </c>
      <c r="L1958" s="0" t="str">
        <f aca="false">HYPERLINK("https://www.ncbi.nlm.nih.gov/nuccore/CP000304.1?report=graph&amp;tracks=[key:gene_model_track,Options:GeneOnly]&amp;mk=556401:556420|offset_0|444444,556430:556449|offset_29|444444,556456:556475|offset_55|444444,556480:556499|offset_79|00cc00&amp;v=556200:556699&amp;c=444444", "offset 79")</f>
        <v>offset 79</v>
      </c>
    </row>
    <row r="1959" customFormat="false" ht="12.8" hidden="false" customHeight="false" outlineLevel="0" collapsed="false">
      <c r="A1959" s="0" t="s">
        <v>12</v>
      </c>
      <c r="B1959" s="0" t="n">
        <v>560013</v>
      </c>
      <c r="C1959" s="0" t="n">
        <v>560033</v>
      </c>
      <c r="D1959" s="0" t="s">
        <v>6530</v>
      </c>
      <c r="E1959" s="0" t="s">
        <v>89</v>
      </c>
      <c r="F1959" s="0" t="s">
        <v>90</v>
      </c>
      <c r="G1959" s="0" t="s">
        <v>36</v>
      </c>
      <c r="H1959" s="0" t="n">
        <v>18</v>
      </c>
      <c r="I1959" s="0" t="s">
        <v>6531</v>
      </c>
      <c r="J1959" s="0" t="s">
        <v>6532</v>
      </c>
      <c r="K1959" s="0" t="s">
        <v>6533</v>
      </c>
      <c r="L1959" s="0" t="str">
        <f aca="false">HYPERLINK("https://www.ncbi.nlm.nih.gov/nuccore/CP000304.1?report=graph&amp;tracks=[key:gene_model_track,Options:GeneOnly]&amp;mk=560014:560033|offset_18|00cc00,559992:560011|offset_40|444444,559961:559980|offset_71|444444,559935:559954|offset_97|444444&amp;v=559813:560154&amp;c=444444", "offset 18")</f>
        <v>offset 18</v>
      </c>
    </row>
    <row r="1960" customFormat="false" ht="12.8" hidden="false" customHeight="false" outlineLevel="0" collapsed="false">
      <c r="A1960" s="0" t="s">
        <v>12</v>
      </c>
      <c r="B1960" s="0" t="n">
        <v>559991</v>
      </c>
      <c r="C1960" s="0" t="n">
        <v>560011</v>
      </c>
      <c r="D1960" s="0" t="s">
        <v>6530</v>
      </c>
      <c r="E1960" s="0" t="s">
        <v>89</v>
      </c>
      <c r="F1960" s="0" t="s">
        <v>90</v>
      </c>
      <c r="G1960" s="0" t="s">
        <v>36</v>
      </c>
      <c r="H1960" s="0" t="n">
        <v>40</v>
      </c>
      <c r="I1960" s="0" t="s">
        <v>6534</v>
      </c>
      <c r="J1960" s="0" t="s">
        <v>6535</v>
      </c>
      <c r="K1960" s="0" t="s">
        <v>6536</v>
      </c>
      <c r="L1960" s="0" t="str">
        <f aca="false">HYPERLINK("https://www.ncbi.nlm.nih.gov/nuccore/CP000304.1?report=graph&amp;tracks=[key:gene_model_track,Options:GeneOnly]&amp;mk=560014:560033|offset_18|444444,559992:560011|offset_40|00cc00,559961:559980|offset_71|444444,559935:559954|offset_97|444444&amp;v=559813:560154&amp;c=444444", "offset 40")</f>
        <v>offset 40</v>
      </c>
    </row>
    <row r="1961" customFormat="false" ht="12.8" hidden="false" customHeight="false" outlineLevel="0" collapsed="false">
      <c r="A1961" s="0" t="s">
        <v>12</v>
      </c>
      <c r="B1961" s="0" t="n">
        <v>559960</v>
      </c>
      <c r="C1961" s="0" t="n">
        <v>559980</v>
      </c>
      <c r="D1961" s="0" t="s">
        <v>6530</v>
      </c>
      <c r="E1961" s="0" t="s">
        <v>89</v>
      </c>
      <c r="F1961" s="0" t="s">
        <v>90</v>
      </c>
      <c r="G1961" s="0" t="s">
        <v>26</v>
      </c>
      <c r="H1961" s="0" t="n">
        <v>71</v>
      </c>
      <c r="I1961" s="0" t="s">
        <v>6537</v>
      </c>
      <c r="J1961" s="0" t="s">
        <v>6538</v>
      </c>
      <c r="K1961" s="0" t="s">
        <v>6539</v>
      </c>
      <c r="L1961" s="0" t="str">
        <f aca="false">HYPERLINK("https://www.ncbi.nlm.nih.gov/nuccore/CP000304.1?report=graph&amp;tracks=[key:gene_model_track,Options:GeneOnly]&amp;mk=560014:560033|offset_18|444444,559992:560011|offset_40|444444,559961:559980|offset_71|00cc00,559935:559954|offset_97|444444&amp;v=559813:560154&amp;c=444444", "offset 71")</f>
        <v>offset 71</v>
      </c>
    </row>
    <row r="1962" customFormat="false" ht="12.8" hidden="false" customHeight="false" outlineLevel="0" collapsed="false">
      <c r="A1962" s="0" t="s">
        <v>12</v>
      </c>
      <c r="B1962" s="0" t="n">
        <v>559934</v>
      </c>
      <c r="C1962" s="0" t="n">
        <v>559954</v>
      </c>
      <c r="D1962" s="0" t="s">
        <v>6530</v>
      </c>
      <c r="E1962" s="0" t="s">
        <v>89</v>
      </c>
      <c r="F1962" s="0" t="s">
        <v>90</v>
      </c>
      <c r="G1962" s="0" t="s">
        <v>26</v>
      </c>
      <c r="H1962" s="0" t="n">
        <v>97</v>
      </c>
      <c r="I1962" s="0" t="s">
        <v>6540</v>
      </c>
      <c r="J1962" s="0" t="s">
        <v>6541</v>
      </c>
      <c r="K1962" s="0" t="s">
        <v>6542</v>
      </c>
      <c r="L1962" s="0" t="str">
        <f aca="false">HYPERLINK("https://www.ncbi.nlm.nih.gov/nuccore/CP000304.1?report=graph&amp;tracks=[key:gene_model_track,Options:GeneOnly]&amp;mk=560014:560033|offset_18|444444,559992:560011|offset_40|444444,559961:559980|offset_71|444444,559935:559954|offset_97|00cc00&amp;v=559813:560154&amp;c=444444", "offset 97")</f>
        <v>offset 97</v>
      </c>
    </row>
    <row r="1963" customFormat="false" ht="12.8" hidden="false" customHeight="false" outlineLevel="0" collapsed="false">
      <c r="A1963" s="0" t="s">
        <v>12</v>
      </c>
      <c r="B1963" s="0" t="n">
        <v>561650</v>
      </c>
      <c r="C1963" s="0" t="n">
        <v>561670</v>
      </c>
      <c r="D1963" s="0" t="s">
        <v>6543</v>
      </c>
      <c r="E1963" s="0" t="s">
        <v>89</v>
      </c>
      <c r="F1963" s="0" t="s">
        <v>90</v>
      </c>
      <c r="G1963" s="0" t="s">
        <v>36</v>
      </c>
      <c r="H1963" s="0" t="n">
        <v>7</v>
      </c>
      <c r="I1963" s="0" t="s">
        <v>6544</v>
      </c>
      <c r="J1963" s="0" t="s">
        <v>6545</v>
      </c>
      <c r="K1963" s="0" t="s">
        <v>6546</v>
      </c>
      <c r="L1963" s="0" t="str">
        <f aca="false">HYPERLINK("https://www.ncbi.nlm.nih.gov/nuccore/CP000304.1?report=graph&amp;tracks=[key:gene_model_track,Options:GeneOnly]&amp;mk=561651:561670|offset_7|00cc00,561609:561628|offset_49|444444,561572:561591|offset_86|444444,561548:561567|offset_110|444444&amp;v=561450:561767&amp;c=444444", "offset 7")</f>
        <v>offset 7</v>
      </c>
    </row>
    <row r="1964" customFormat="false" ht="12.8" hidden="false" customHeight="false" outlineLevel="0" collapsed="false">
      <c r="A1964" s="0" t="s">
        <v>12</v>
      </c>
      <c r="B1964" s="0" t="n">
        <v>561608</v>
      </c>
      <c r="C1964" s="0" t="n">
        <v>561628</v>
      </c>
      <c r="D1964" s="0" t="s">
        <v>6543</v>
      </c>
      <c r="E1964" s="0" t="s">
        <v>89</v>
      </c>
      <c r="F1964" s="0" t="s">
        <v>90</v>
      </c>
      <c r="G1964" s="0" t="s">
        <v>36</v>
      </c>
      <c r="H1964" s="0" t="n">
        <v>49</v>
      </c>
      <c r="I1964" s="0" t="s">
        <v>6547</v>
      </c>
      <c r="J1964" s="0" t="s">
        <v>6548</v>
      </c>
      <c r="K1964" s="0" t="s">
        <v>6549</v>
      </c>
      <c r="L1964" s="0" t="str">
        <f aca="false">HYPERLINK("https://www.ncbi.nlm.nih.gov/nuccore/CP000304.1?report=graph&amp;tracks=[key:gene_model_track,Options:GeneOnly]&amp;mk=561651:561670|offset_7|444444,561609:561628|offset_49|00cc00,561572:561591|offset_86|444444,561548:561567|offset_110|444444&amp;v=561450:561767&amp;c=444444", "offset 49")</f>
        <v>offset 49</v>
      </c>
    </row>
    <row r="1965" customFormat="false" ht="12.8" hidden="false" customHeight="false" outlineLevel="0" collapsed="false">
      <c r="A1965" s="0" t="s">
        <v>12</v>
      </c>
      <c r="B1965" s="0" t="n">
        <v>561571</v>
      </c>
      <c r="C1965" s="0" t="n">
        <v>561591</v>
      </c>
      <c r="D1965" s="0" t="s">
        <v>6543</v>
      </c>
      <c r="E1965" s="0" t="s">
        <v>89</v>
      </c>
      <c r="F1965" s="0" t="s">
        <v>90</v>
      </c>
      <c r="G1965" s="0" t="s">
        <v>26</v>
      </c>
      <c r="H1965" s="0" t="n">
        <v>86</v>
      </c>
      <c r="I1965" s="0" t="s">
        <v>6550</v>
      </c>
      <c r="J1965" s="0" t="s">
        <v>6551</v>
      </c>
      <c r="K1965" s="0" t="s">
        <v>6552</v>
      </c>
      <c r="L1965" s="0" t="str">
        <f aca="false">HYPERLINK("https://www.ncbi.nlm.nih.gov/nuccore/CP000304.1?report=graph&amp;tracks=[key:gene_model_track,Options:GeneOnly]&amp;mk=561651:561670|offset_7|444444,561609:561628|offset_49|444444,561572:561591|offset_86|00cc00,561548:561567|offset_110|444444&amp;v=561450:561767&amp;c=444444", "offset 86")</f>
        <v>offset 86</v>
      </c>
    </row>
    <row r="1966" customFormat="false" ht="12.8" hidden="false" customHeight="false" outlineLevel="0" collapsed="false">
      <c r="A1966" s="0" t="s">
        <v>12</v>
      </c>
      <c r="B1966" s="0" t="n">
        <v>561547</v>
      </c>
      <c r="C1966" s="0" t="n">
        <v>561567</v>
      </c>
      <c r="D1966" s="0" t="s">
        <v>6543</v>
      </c>
      <c r="E1966" s="0" t="s">
        <v>89</v>
      </c>
      <c r="F1966" s="0" t="s">
        <v>90</v>
      </c>
      <c r="G1966" s="0" t="s">
        <v>26</v>
      </c>
      <c r="H1966" s="0" t="n">
        <v>110</v>
      </c>
      <c r="I1966" s="0" t="s">
        <v>6553</v>
      </c>
      <c r="J1966" s="0" t="s">
        <v>6554</v>
      </c>
      <c r="K1966" s="0" t="s">
        <v>6555</v>
      </c>
      <c r="L1966" s="0" t="str">
        <f aca="false">HYPERLINK("https://www.ncbi.nlm.nih.gov/nuccore/CP000304.1?report=graph&amp;tracks=[key:gene_model_track,Options:GeneOnly]&amp;mk=561651:561670|offset_7|444444,561609:561628|offset_49|444444,561572:561591|offset_86|444444,561548:561567|offset_110|00cc00&amp;v=561450:561767&amp;c=444444", "offset 110")</f>
        <v>offset 110</v>
      </c>
    </row>
    <row r="1967" customFormat="false" ht="12.8" hidden="false" customHeight="false" outlineLevel="0" collapsed="false">
      <c r="A1967" s="0" t="s">
        <v>12</v>
      </c>
      <c r="B1967" s="0" t="n">
        <v>562145</v>
      </c>
      <c r="C1967" s="0" t="n">
        <v>562165</v>
      </c>
      <c r="D1967" s="0" t="s">
        <v>6556</v>
      </c>
      <c r="E1967" s="0" t="s">
        <v>89</v>
      </c>
      <c r="F1967" s="0" t="s">
        <v>90</v>
      </c>
      <c r="G1967" s="0" t="s">
        <v>32</v>
      </c>
      <c r="H1967" s="0" t="n">
        <v>34</v>
      </c>
      <c r="I1967" s="0" t="s">
        <v>6557</v>
      </c>
      <c r="J1967" s="0" t="s">
        <v>6558</v>
      </c>
      <c r="K1967" s="0" t="s">
        <v>6559</v>
      </c>
      <c r="L1967" s="0" t="str">
        <f aca="false">HYPERLINK("https://www.ncbi.nlm.nih.gov/nuccore/CP000304.1?report=graph&amp;tracks=[key:gene_model_track,Options:GeneOnly]&amp;mk=562146:562165|offset_34|00cc00,562110:562129|offset_70|444444,562044:562063|offset_136|444444,562019:562038|offset_161|444444&amp;v=561945:562238&amp;c=444444", "offset 34")</f>
        <v>offset 34</v>
      </c>
    </row>
    <row r="1968" customFormat="false" ht="12.8" hidden="false" customHeight="false" outlineLevel="0" collapsed="false">
      <c r="A1968" s="0" t="s">
        <v>12</v>
      </c>
      <c r="B1968" s="0" t="n">
        <v>562109</v>
      </c>
      <c r="C1968" s="0" t="n">
        <v>562129</v>
      </c>
      <c r="D1968" s="0" t="s">
        <v>6556</v>
      </c>
      <c r="E1968" s="0" t="s">
        <v>89</v>
      </c>
      <c r="F1968" s="0" t="s">
        <v>90</v>
      </c>
      <c r="G1968" s="0" t="s">
        <v>16</v>
      </c>
      <c r="H1968" s="0" t="n">
        <v>70</v>
      </c>
      <c r="I1968" s="0" t="s">
        <v>6560</v>
      </c>
      <c r="J1968" s="0" t="s">
        <v>6561</v>
      </c>
      <c r="K1968" s="0" t="s">
        <v>6562</v>
      </c>
      <c r="L1968" s="0" t="str">
        <f aca="false">HYPERLINK("https://www.ncbi.nlm.nih.gov/nuccore/CP000304.1?report=graph&amp;tracks=[key:gene_model_track,Options:GeneOnly]&amp;mk=562146:562165|offset_34|444444,562110:562129|offset_70|00cc00,562044:562063|offset_136|444444,562019:562038|offset_161|444444&amp;v=561945:562238&amp;c=444444", "offset 70")</f>
        <v>offset 70</v>
      </c>
    </row>
    <row r="1969" customFormat="false" ht="12.8" hidden="false" customHeight="false" outlineLevel="0" collapsed="false">
      <c r="A1969" s="0" t="s">
        <v>12</v>
      </c>
      <c r="B1969" s="0" t="n">
        <v>562043</v>
      </c>
      <c r="C1969" s="0" t="n">
        <v>562063</v>
      </c>
      <c r="D1969" s="0" t="s">
        <v>6556</v>
      </c>
      <c r="E1969" s="0" t="s">
        <v>89</v>
      </c>
      <c r="F1969" s="0" t="s">
        <v>90</v>
      </c>
      <c r="G1969" s="0" t="s">
        <v>32</v>
      </c>
      <c r="H1969" s="0" t="n">
        <v>136</v>
      </c>
      <c r="I1969" s="0" t="s">
        <v>6563</v>
      </c>
      <c r="J1969" s="0" t="s">
        <v>6564</v>
      </c>
      <c r="K1969" s="0" t="s">
        <v>6565</v>
      </c>
      <c r="L1969" s="0" t="str">
        <f aca="false">HYPERLINK("https://www.ncbi.nlm.nih.gov/nuccore/CP000304.1?report=graph&amp;tracks=[key:gene_model_track,Options:GeneOnly]&amp;mk=562146:562165|offset_34|444444,562110:562129|offset_70|444444,562044:562063|offset_136|00cc00,562019:562038|offset_161|444444&amp;v=561945:562238&amp;c=444444", "offset 136")</f>
        <v>offset 136</v>
      </c>
    </row>
    <row r="1970" customFormat="false" ht="12.8" hidden="false" customHeight="false" outlineLevel="0" collapsed="false">
      <c r="A1970" s="0" t="s">
        <v>12</v>
      </c>
      <c r="B1970" s="0" t="n">
        <v>562018</v>
      </c>
      <c r="C1970" s="0" t="n">
        <v>562038</v>
      </c>
      <c r="D1970" s="0" t="s">
        <v>6556</v>
      </c>
      <c r="E1970" s="0" t="s">
        <v>89</v>
      </c>
      <c r="F1970" s="0" t="s">
        <v>90</v>
      </c>
      <c r="G1970" s="0" t="s">
        <v>16</v>
      </c>
      <c r="H1970" s="0" t="n">
        <v>161</v>
      </c>
      <c r="I1970" s="0" t="s">
        <v>6566</v>
      </c>
      <c r="J1970" s="0" t="s">
        <v>6567</v>
      </c>
      <c r="K1970" s="0" t="s">
        <v>6568</v>
      </c>
      <c r="L1970" s="0" t="str">
        <f aca="false">HYPERLINK("https://www.ncbi.nlm.nih.gov/nuccore/CP000304.1?report=graph&amp;tracks=[key:gene_model_track,Options:GeneOnly]&amp;mk=562146:562165|offset_34|444444,562110:562129|offset_70|444444,562044:562063|offset_136|444444,562019:562038|offset_161|00cc00&amp;v=561945:562238&amp;c=444444", "offset 161")</f>
        <v>offset 161</v>
      </c>
    </row>
    <row r="1971" customFormat="false" ht="12.8" hidden="false" customHeight="false" outlineLevel="0" collapsed="false">
      <c r="A1971" s="0" t="s">
        <v>12</v>
      </c>
      <c r="B1971" s="0" t="n">
        <v>562389</v>
      </c>
      <c r="C1971" s="0" t="n">
        <v>562409</v>
      </c>
      <c r="D1971" s="0" t="s">
        <v>6569</v>
      </c>
      <c r="E1971" s="0" t="s">
        <v>6570</v>
      </c>
      <c r="F1971" s="0" t="s">
        <v>15</v>
      </c>
      <c r="G1971" s="0" t="s">
        <v>32</v>
      </c>
      <c r="H1971" s="0" t="n">
        <v>19</v>
      </c>
      <c r="I1971" s="0" t="s">
        <v>6571</v>
      </c>
      <c r="J1971" s="0" t="s">
        <v>6572</v>
      </c>
      <c r="K1971" s="0" t="s">
        <v>6573</v>
      </c>
      <c r="L1971" s="0" t="str">
        <f aca="false">HYPERLINK("https://www.ncbi.nlm.nih.gov/nuccore/CP000304.1?report=graph&amp;tracks=[key:gene_model_track,Options:GeneOnly]&amp;mk=562390:562409|offset_19|00cc00,562459:562478|offset_88|444444,562484:562503|offset_113|444444,562519:562538|offset_148|444444&amp;v=562189:562738&amp;c=444444", "offset 19")</f>
        <v>offset 19</v>
      </c>
    </row>
    <row r="1972" customFormat="false" ht="12.8" hidden="false" customHeight="false" outlineLevel="0" collapsed="false">
      <c r="A1972" s="0" t="s">
        <v>12</v>
      </c>
      <c r="B1972" s="0" t="n">
        <v>562458</v>
      </c>
      <c r="C1972" s="0" t="n">
        <v>562478</v>
      </c>
      <c r="D1972" s="0" t="s">
        <v>6569</v>
      </c>
      <c r="E1972" s="0" t="s">
        <v>6570</v>
      </c>
      <c r="F1972" s="0" t="s">
        <v>15</v>
      </c>
      <c r="G1972" s="0" t="s">
        <v>16</v>
      </c>
      <c r="H1972" s="0" t="n">
        <v>88</v>
      </c>
      <c r="I1972" s="0" t="s">
        <v>6574</v>
      </c>
      <c r="J1972" s="0" t="s">
        <v>6575</v>
      </c>
      <c r="K1972" s="0" t="s">
        <v>6576</v>
      </c>
      <c r="L1972" s="0" t="str">
        <f aca="false">HYPERLINK("https://www.ncbi.nlm.nih.gov/nuccore/CP000304.1?report=graph&amp;tracks=[key:gene_model_track,Options:GeneOnly]&amp;mk=562390:562409|offset_19|444444,562459:562478|offset_88|00cc00,562484:562503|offset_113|444444,562519:562538|offset_148|444444&amp;v=562189:562738&amp;c=444444", "offset 88")</f>
        <v>offset 88</v>
      </c>
    </row>
    <row r="1973" customFormat="false" ht="12.8" hidden="false" customHeight="false" outlineLevel="0" collapsed="false">
      <c r="A1973" s="0" t="s">
        <v>12</v>
      </c>
      <c r="B1973" s="0" t="n">
        <v>562483</v>
      </c>
      <c r="C1973" s="0" t="n">
        <v>562503</v>
      </c>
      <c r="D1973" s="0" t="s">
        <v>6569</v>
      </c>
      <c r="E1973" s="0" t="s">
        <v>6570</v>
      </c>
      <c r="F1973" s="0" t="s">
        <v>15</v>
      </c>
      <c r="G1973" s="0" t="s">
        <v>16</v>
      </c>
      <c r="H1973" s="0" t="n">
        <v>113</v>
      </c>
      <c r="I1973" s="0" t="s">
        <v>6577</v>
      </c>
      <c r="J1973" s="0" t="s">
        <v>6578</v>
      </c>
      <c r="K1973" s="0" t="s">
        <v>6579</v>
      </c>
      <c r="L1973" s="0" t="str">
        <f aca="false">HYPERLINK("https://www.ncbi.nlm.nih.gov/nuccore/CP000304.1?report=graph&amp;tracks=[key:gene_model_track,Options:GeneOnly]&amp;mk=562390:562409|offset_19|444444,562459:562478|offset_88|444444,562484:562503|offset_113|00cc00,562519:562538|offset_148|444444&amp;v=562189:562738&amp;c=444444", "offset 113")</f>
        <v>offset 113</v>
      </c>
    </row>
    <row r="1974" customFormat="false" ht="12.8" hidden="false" customHeight="false" outlineLevel="0" collapsed="false">
      <c r="A1974" s="0" t="s">
        <v>12</v>
      </c>
      <c r="B1974" s="0" t="n">
        <v>562518</v>
      </c>
      <c r="C1974" s="0" t="n">
        <v>562538</v>
      </c>
      <c r="D1974" s="0" t="s">
        <v>6569</v>
      </c>
      <c r="E1974" s="0" t="s">
        <v>6570</v>
      </c>
      <c r="F1974" s="0" t="s">
        <v>15</v>
      </c>
      <c r="G1974" s="0" t="s">
        <v>16</v>
      </c>
      <c r="H1974" s="0" t="n">
        <v>148</v>
      </c>
      <c r="I1974" s="0" t="s">
        <v>6580</v>
      </c>
      <c r="J1974" s="0" t="s">
        <v>6581</v>
      </c>
      <c r="K1974" s="0" t="s">
        <v>6582</v>
      </c>
      <c r="L1974" s="0" t="str">
        <f aca="false">HYPERLINK("https://www.ncbi.nlm.nih.gov/nuccore/CP000304.1?report=graph&amp;tracks=[key:gene_model_track,Options:GeneOnly]&amp;mk=562390:562409|offset_19|444444,562459:562478|offset_88|444444,562484:562503|offset_113|444444,562519:562538|offset_148|00cc00&amp;v=562189:562738&amp;c=444444", "offset 148")</f>
        <v>offset 148</v>
      </c>
    </row>
    <row r="1975" customFormat="false" ht="12.8" hidden="false" customHeight="false" outlineLevel="0" collapsed="false">
      <c r="A1975" s="0" t="s">
        <v>12</v>
      </c>
      <c r="B1975" s="0" t="n">
        <v>562748</v>
      </c>
      <c r="C1975" s="0" t="n">
        <v>562768</v>
      </c>
      <c r="D1975" s="0" t="s">
        <v>6583</v>
      </c>
      <c r="E1975" s="0" t="s">
        <v>6584</v>
      </c>
      <c r="F1975" s="0" t="s">
        <v>15</v>
      </c>
      <c r="G1975" s="0" t="s">
        <v>32</v>
      </c>
      <c r="H1975" s="0" t="n">
        <v>1</v>
      </c>
      <c r="I1975" s="0" t="s">
        <v>6585</v>
      </c>
      <c r="J1975" s="0" t="s">
        <v>6586</v>
      </c>
      <c r="K1975" s="0" t="s">
        <v>6587</v>
      </c>
      <c r="L1975" s="0" t="str">
        <f aca="false">HYPERLINK("https://www.ncbi.nlm.nih.gov/nuccore/CP000304.1?report=graph&amp;tracks=[key:gene_model_track,Options:GeneOnly]&amp;mk=562749:562768|offset_1|00cc00,562782:562801|offset_34|444444,562802:562821|offset_54|444444,562866:562885|offset_118|444444&amp;v=562548:563085&amp;c=444444", "offset 1")</f>
        <v>offset 1</v>
      </c>
    </row>
    <row r="1976" customFormat="false" ht="12.8" hidden="false" customHeight="false" outlineLevel="0" collapsed="false">
      <c r="A1976" s="0" t="s">
        <v>12</v>
      </c>
      <c r="B1976" s="0" t="n">
        <v>562781</v>
      </c>
      <c r="C1976" s="0" t="n">
        <v>562801</v>
      </c>
      <c r="D1976" s="0" t="s">
        <v>6583</v>
      </c>
      <c r="E1976" s="0" t="s">
        <v>6584</v>
      </c>
      <c r="F1976" s="0" t="s">
        <v>15</v>
      </c>
      <c r="G1976" s="0" t="s">
        <v>36</v>
      </c>
      <c r="H1976" s="0" t="n">
        <v>34</v>
      </c>
      <c r="I1976" s="0" t="s">
        <v>6588</v>
      </c>
      <c r="J1976" s="0" t="s">
        <v>6589</v>
      </c>
      <c r="K1976" s="0" t="s">
        <v>6590</v>
      </c>
      <c r="L1976" s="0" t="str">
        <f aca="false">HYPERLINK("https://www.ncbi.nlm.nih.gov/nuccore/CP000304.1?report=graph&amp;tracks=[key:gene_model_track,Options:GeneOnly]&amp;mk=562749:562768|offset_1|444444,562782:562801|offset_34|00cc00,562802:562821|offset_54|444444,562866:562885|offset_118|444444&amp;v=562548:563085&amp;c=444444", "offset 34")</f>
        <v>offset 34</v>
      </c>
    </row>
    <row r="1977" customFormat="false" ht="12.8" hidden="false" customHeight="false" outlineLevel="0" collapsed="false">
      <c r="A1977" s="0" t="s">
        <v>12</v>
      </c>
      <c r="B1977" s="0" t="n">
        <v>562801</v>
      </c>
      <c r="C1977" s="0" t="n">
        <v>562821</v>
      </c>
      <c r="D1977" s="0" t="s">
        <v>6583</v>
      </c>
      <c r="E1977" s="0" t="s">
        <v>6584</v>
      </c>
      <c r="F1977" s="0" t="s">
        <v>15</v>
      </c>
      <c r="G1977" s="0" t="s">
        <v>32</v>
      </c>
      <c r="H1977" s="0" t="n">
        <v>54</v>
      </c>
      <c r="I1977" s="0" t="s">
        <v>6591</v>
      </c>
      <c r="J1977" s="0" t="s">
        <v>6592</v>
      </c>
      <c r="K1977" s="0" t="s">
        <v>6593</v>
      </c>
      <c r="L1977" s="0" t="str">
        <f aca="false">HYPERLINK("https://www.ncbi.nlm.nih.gov/nuccore/CP000304.1?report=graph&amp;tracks=[key:gene_model_track,Options:GeneOnly]&amp;mk=562749:562768|offset_1|444444,562782:562801|offset_34|444444,562802:562821|offset_54|00cc00,562866:562885|offset_118|444444&amp;v=562548:563085&amp;c=444444", "offset 54")</f>
        <v>offset 54</v>
      </c>
    </row>
    <row r="1978" customFormat="false" ht="12.8" hidden="false" customHeight="false" outlineLevel="0" collapsed="false">
      <c r="A1978" s="0" t="s">
        <v>12</v>
      </c>
      <c r="B1978" s="0" t="n">
        <v>562865</v>
      </c>
      <c r="C1978" s="0" t="n">
        <v>562885</v>
      </c>
      <c r="D1978" s="0" t="s">
        <v>6583</v>
      </c>
      <c r="E1978" s="0" t="s">
        <v>6584</v>
      </c>
      <c r="F1978" s="0" t="s">
        <v>15</v>
      </c>
      <c r="G1978" s="0" t="s">
        <v>32</v>
      </c>
      <c r="H1978" s="0" t="n">
        <v>118</v>
      </c>
      <c r="I1978" s="0" t="s">
        <v>6594</v>
      </c>
      <c r="J1978" s="0" t="s">
        <v>6595</v>
      </c>
      <c r="K1978" s="0" t="s">
        <v>6596</v>
      </c>
      <c r="L1978" s="0" t="str">
        <f aca="false">HYPERLINK("https://www.ncbi.nlm.nih.gov/nuccore/CP000304.1?report=graph&amp;tracks=[key:gene_model_track,Options:GeneOnly]&amp;mk=562749:562768|offset_1|444444,562782:562801|offset_34|444444,562802:562821|offset_54|444444,562866:562885|offset_118|00cc00&amp;v=562548:563085&amp;c=444444", "offset 118")</f>
        <v>offset 118</v>
      </c>
    </row>
    <row r="1979" customFormat="false" ht="12.8" hidden="false" customHeight="false" outlineLevel="0" collapsed="false">
      <c r="A1979" s="0" t="s">
        <v>12</v>
      </c>
      <c r="B1979" s="0" t="n">
        <v>564280</v>
      </c>
      <c r="C1979" s="0" t="n">
        <v>564300</v>
      </c>
      <c r="D1979" s="0" t="s">
        <v>6597</v>
      </c>
      <c r="E1979" s="0" t="s">
        <v>6598</v>
      </c>
      <c r="F1979" s="0" t="s">
        <v>15</v>
      </c>
      <c r="G1979" s="0" t="s">
        <v>32</v>
      </c>
      <c r="H1979" s="0" t="n">
        <v>25</v>
      </c>
      <c r="I1979" s="0" t="s">
        <v>6599</v>
      </c>
      <c r="J1979" s="0" t="s">
        <v>6600</v>
      </c>
      <c r="K1979" s="0" t="s">
        <v>6601</v>
      </c>
      <c r="L1979" s="0" t="str">
        <f aca="false">HYPERLINK("https://www.ncbi.nlm.nih.gov/nuccore/CP000304.1?report=graph&amp;tracks=[key:gene_model_track,Options:GeneOnly]&amp;mk=564281:564300|offset_25|00cc00,564308:564327|offset_52|444444,564332:564351|offset_76|444444,564401:564420|offset_145|444444&amp;v=564080:564620&amp;c=444444", "offset 25")</f>
        <v>offset 25</v>
      </c>
    </row>
    <row r="1980" customFormat="false" ht="12.8" hidden="false" customHeight="false" outlineLevel="0" collapsed="false">
      <c r="A1980" s="0" t="s">
        <v>12</v>
      </c>
      <c r="B1980" s="0" t="n">
        <v>564307</v>
      </c>
      <c r="C1980" s="0" t="n">
        <v>564327</v>
      </c>
      <c r="D1980" s="0" t="s">
        <v>6597</v>
      </c>
      <c r="E1980" s="0" t="s">
        <v>6598</v>
      </c>
      <c r="F1980" s="0" t="s">
        <v>15</v>
      </c>
      <c r="G1980" s="0" t="s">
        <v>32</v>
      </c>
      <c r="H1980" s="0" t="n">
        <v>52</v>
      </c>
      <c r="I1980" s="0" t="s">
        <v>6602</v>
      </c>
      <c r="J1980" s="0" t="s">
        <v>6603</v>
      </c>
      <c r="K1980" s="0" t="s">
        <v>6604</v>
      </c>
      <c r="L1980" s="0" t="str">
        <f aca="false">HYPERLINK("https://www.ncbi.nlm.nih.gov/nuccore/CP000304.1?report=graph&amp;tracks=[key:gene_model_track,Options:GeneOnly]&amp;mk=564281:564300|offset_25|444444,564308:564327|offset_52|00cc00,564332:564351|offset_76|444444,564401:564420|offset_145|444444&amp;v=564080:564620&amp;c=444444", "offset 52")</f>
        <v>offset 52</v>
      </c>
    </row>
    <row r="1981" customFormat="false" ht="12.8" hidden="false" customHeight="false" outlineLevel="0" collapsed="false">
      <c r="A1981" s="0" t="s">
        <v>12</v>
      </c>
      <c r="B1981" s="0" t="n">
        <v>564331</v>
      </c>
      <c r="C1981" s="0" t="n">
        <v>564351</v>
      </c>
      <c r="D1981" s="0" t="s">
        <v>6597</v>
      </c>
      <c r="E1981" s="0" t="s">
        <v>6598</v>
      </c>
      <c r="F1981" s="0" t="s">
        <v>15</v>
      </c>
      <c r="G1981" s="0" t="s">
        <v>32</v>
      </c>
      <c r="H1981" s="0" t="n">
        <v>76</v>
      </c>
      <c r="I1981" s="0" t="s">
        <v>6605</v>
      </c>
      <c r="J1981" s="0" t="s">
        <v>6606</v>
      </c>
      <c r="K1981" s="0" t="s">
        <v>6607</v>
      </c>
      <c r="L1981" s="0" t="str">
        <f aca="false">HYPERLINK("https://www.ncbi.nlm.nih.gov/nuccore/CP000304.1?report=graph&amp;tracks=[key:gene_model_track,Options:GeneOnly]&amp;mk=564281:564300|offset_25|444444,564308:564327|offset_52|444444,564332:564351|offset_76|00cc00,564401:564420|offset_145|444444&amp;v=564080:564620&amp;c=444444", "offset 76")</f>
        <v>offset 76</v>
      </c>
    </row>
    <row r="1982" customFormat="false" ht="12.8" hidden="false" customHeight="false" outlineLevel="0" collapsed="false">
      <c r="A1982" s="0" t="s">
        <v>12</v>
      </c>
      <c r="B1982" s="0" t="n">
        <v>564400</v>
      </c>
      <c r="C1982" s="0" t="n">
        <v>564420</v>
      </c>
      <c r="D1982" s="0" t="s">
        <v>6597</v>
      </c>
      <c r="E1982" s="0" t="s">
        <v>6598</v>
      </c>
      <c r="F1982" s="0" t="s">
        <v>15</v>
      </c>
      <c r="G1982" s="0" t="s">
        <v>32</v>
      </c>
      <c r="H1982" s="0" t="n">
        <v>145</v>
      </c>
      <c r="I1982" s="0" t="s">
        <v>6608</v>
      </c>
      <c r="J1982" s="0" t="s">
        <v>6609</v>
      </c>
      <c r="K1982" s="0" t="s">
        <v>6610</v>
      </c>
      <c r="L1982" s="0" t="str">
        <f aca="false">HYPERLINK("https://www.ncbi.nlm.nih.gov/nuccore/CP000304.1?report=graph&amp;tracks=[key:gene_model_track,Options:GeneOnly]&amp;mk=564281:564300|offset_25|444444,564308:564327|offset_52|444444,564332:564351|offset_76|444444,564401:564420|offset_145|00cc00&amp;v=564080:564620&amp;c=444444", "offset 145")</f>
        <v>offset 145</v>
      </c>
    </row>
    <row r="1983" customFormat="false" ht="12.8" hidden="false" customHeight="false" outlineLevel="0" collapsed="false">
      <c r="A1983" s="0" t="s">
        <v>12</v>
      </c>
      <c r="B1983" s="0" t="n">
        <v>565548</v>
      </c>
      <c r="C1983" s="0" t="n">
        <v>565568</v>
      </c>
      <c r="D1983" s="0" t="s">
        <v>6611</v>
      </c>
      <c r="E1983" s="0" t="s">
        <v>89</v>
      </c>
      <c r="F1983" s="0" t="s">
        <v>15</v>
      </c>
      <c r="G1983" s="0" t="s">
        <v>36</v>
      </c>
      <c r="H1983" s="0" t="n">
        <v>16</v>
      </c>
      <c r="I1983" s="0" t="s">
        <v>6612</v>
      </c>
      <c r="J1983" s="0" t="s">
        <v>6613</v>
      </c>
      <c r="K1983" s="0" t="s">
        <v>6614</v>
      </c>
      <c r="L1983" s="0" t="str">
        <f aca="false">HYPERLINK("https://www.ncbi.nlm.nih.gov/nuccore/CP000304.1?report=graph&amp;tracks=[key:gene_model_track,Options:GeneOnly]&amp;mk=565549:565568|offset_16|00cc00,565571:565590|offset_38|444444,565609:565628|offset_76|444444,565652:565671|offset_119|444444&amp;v=565348:565871&amp;c=444444", "offset 16")</f>
        <v>offset 16</v>
      </c>
    </row>
    <row r="1984" customFormat="false" ht="12.8" hidden="false" customHeight="false" outlineLevel="0" collapsed="false">
      <c r="A1984" s="0" t="s">
        <v>12</v>
      </c>
      <c r="B1984" s="0" t="n">
        <v>565570</v>
      </c>
      <c r="C1984" s="0" t="n">
        <v>565590</v>
      </c>
      <c r="D1984" s="0" t="s">
        <v>6611</v>
      </c>
      <c r="E1984" s="0" t="s">
        <v>89</v>
      </c>
      <c r="F1984" s="0" t="s">
        <v>15</v>
      </c>
      <c r="G1984" s="0" t="s">
        <v>36</v>
      </c>
      <c r="H1984" s="0" t="n">
        <v>38</v>
      </c>
      <c r="I1984" s="0" t="s">
        <v>6615</v>
      </c>
      <c r="J1984" s="0" t="s">
        <v>6616</v>
      </c>
      <c r="K1984" s="0" t="s">
        <v>6617</v>
      </c>
      <c r="L1984" s="0" t="str">
        <f aca="false">HYPERLINK("https://www.ncbi.nlm.nih.gov/nuccore/CP000304.1?report=graph&amp;tracks=[key:gene_model_track,Options:GeneOnly]&amp;mk=565549:565568|offset_16|444444,565571:565590|offset_38|00cc00,565609:565628|offset_76|444444,565652:565671|offset_119|444444&amp;v=565348:565871&amp;c=444444", "offset 38")</f>
        <v>offset 38</v>
      </c>
    </row>
    <row r="1985" customFormat="false" ht="12.8" hidden="false" customHeight="false" outlineLevel="0" collapsed="false">
      <c r="A1985" s="0" t="s">
        <v>12</v>
      </c>
      <c r="B1985" s="0" t="n">
        <v>565608</v>
      </c>
      <c r="C1985" s="0" t="n">
        <v>565628</v>
      </c>
      <c r="D1985" s="0" t="s">
        <v>6611</v>
      </c>
      <c r="E1985" s="0" t="s">
        <v>89</v>
      </c>
      <c r="F1985" s="0" t="s">
        <v>15</v>
      </c>
      <c r="G1985" s="0" t="s">
        <v>16</v>
      </c>
      <c r="H1985" s="0" t="n">
        <v>76</v>
      </c>
      <c r="I1985" s="0" t="s">
        <v>6618</v>
      </c>
      <c r="J1985" s="0" t="s">
        <v>6619</v>
      </c>
      <c r="K1985" s="0" t="s">
        <v>6620</v>
      </c>
      <c r="L1985" s="0" t="str">
        <f aca="false">HYPERLINK("https://www.ncbi.nlm.nih.gov/nuccore/CP000304.1?report=graph&amp;tracks=[key:gene_model_track,Options:GeneOnly]&amp;mk=565549:565568|offset_16|444444,565571:565590|offset_38|444444,565609:565628|offset_76|00cc00,565652:565671|offset_119|444444&amp;v=565348:565871&amp;c=444444", "offset 76")</f>
        <v>offset 76</v>
      </c>
    </row>
    <row r="1986" customFormat="false" ht="12.8" hidden="false" customHeight="false" outlineLevel="0" collapsed="false">
      <c r="A1986" s="0" t="s">
        <v>12</v>
      </c>
      <c r="B1986" s="0" t="n">
        <v>565651</v>
      </c>
      <c r="C1986" s="0" t="n">
        <v>565671</v>
      </c>
      <c r="D1986" s="0" t="s">
        <v>6611</v>
      </c>
      <c r="E1986" s="0" t="s">
        <v>89</v>
      </c>
      <c r="F1986" s="0" t="s">
        <v>15</v>
      </c>
      <c r="G1986" s="0" t="s">
        <v>26</v>
      </c>
      <c r="H1986" s="0" t="n">
        <v>119</v>
      </c>
      <c r="I1986" s="0" t="s">
        <v>6621</v>
      </c>
      <c r="J1986" s="0" t="s">
        <v>6622</v>
      </c>
      <c r="K1986" s="0" t="s">
        <v>6623</v>
      </c>
      <c r="L1986" s="0" t="str">
        <f aca="false">HYPERLINK("https://www.ncbi.nlm.nih.gov/nuccore/CP000304.1?report=graph&amp;tracks=[key:gene_model_track,Options:GeneOnly]&amp;mk=565549:565568|offset_16|444444,565571:565590|offset_38|444444,565609:565628|offset_76|444444,565652:565671|offset_119|00cc00&amp;v=565348:565871&amp;c=444444", "offset 119")</f>
        <v>offset 119</v>
      </c>
    </row>
    <row r="1987" customFormat="false" ht="12.8" hidden="false" customHeight="false" outlineLevel="0" collapsed="false">
      <c r="A1987" s="0" t="s">
        <v>12</v>
      </c>
      <c r="B1987" s="0" t="n">
        <v>566111</v>
      </c>
      <c r="C1987" s="0" t="n">
        <v>566131</v>
      </c>
      <c r="D1987" s="0" t="s">
        <v>6624</v>
      </c>
      <c r="E1987" s="0" t="s">
        <v>89</v>
      </c>
      <c r="F1987" s="0" t="s">
        <v>15</v>
      </c>
      <c r="G1987" s="0" t="s">
        <v>16</v>
      </c>
      <c r="H1987" s="0" t="n">
        <v>76</v>
      </c>
      <c r="I1987" s="0" t="s">
        <v>6625</v>
      </c>
      <c r="J1987" s="0" t="s">
        <v>6626</v>
      </c>
      <c r="K1987" s="0" t="s">
        <v>6627</v>
      </c>
      <c r="L1987" s="0" t="str">
        <f aca="false">HYPERLINK("https://www.ncbi.nlm.nih.gov/nuccore/CP000304.1?report=graph&amp;tracks=[key:gene_model_track,Options:GeneOnly]&amp;mk=566112:566131|offset_76|00cc00,566148:566167|offset_112|444444,566168:566187|offset_132|444444,566193:566212|offset_157|444444&amp;v=565911:566412&amp;c=444444", "offset 76")</f>
        <v>offset 76</v>
      </c>
    </row>
    <row r="1988" customFormat="false" ht="12.8" hidden="false" customHeight="false" outlineLevel="0" collapsed="false">
      <c r="A1988" s="0" t="s">
        <v>12</v>
      </c>
      <c r="B1988" s="0" t="n">
        <v>566147</v>
      </c>
      <c r="C1988" s="0" t="n">
        <v>566167</v>
      </c>
      <c r="D1988" s="0" t="s">
        <v>6624</v>
      </c>
      <c r="E1988" s="0" t="s">
        <v>89</v>
      </c>
      <c r="F1988" s="0" t="s">
        <v>15</v>
      </c>
      <c r="G1988" s="0" t="s">
        <v>16</v>
      </c>
      <c r="H1988" s="0" t="n">
        <v>112</v>
      </c>
      <c r="I1988" s="0" t="s">
        <v>6628</v>
      </c>
      <c r="J1988" s="0" t="s">
        <v>6629</v>
      </c>
      <c r="K1988" s="0" t="s">
        <v>6630</v>
      </c>
      <c r="L1988" s="0" t="str">
        <f aca="false">HYPERLINK("https://www.ncbi.nlm.nih.gov/nuccore/CP000304.1?report=graph&amp;tracks=[key:gene_model_track,Options:GeneOnly]&amp;mk=566112:566131|offset_76|444444,566148:566167|offset_112|00cc00,566168:566187|offset_132|444444,566193:566212|offset_157|444444&amp;v=565911:566412&amp;c=444444", "offset 112")</f>
        <v>offset 112</v>
      </c>
    </row>
    <row r="1989" customFormat="false" ht="12.8" hidden="false" customHeight="false" outlineLevel="0" collapsed="false">
      <c r="A1989" s="0" t="s">
        <v>12</v>
      </c>
      <c r="B1989" s="0" t="n">
        <v>566167</v>
      </c>
      <c r="C1989" s="0" t="n">
        <v>566187</v>
      </c>
      <c r="D1989" s="0" t="s">
        <v>6624</v>
      </c>
      <c r="E1989" s="0" t="s">
        <v>89</v>
      </c>
      <c r="F1989" s="0" t="s">
        <v>15</v>
      </c>
      <c r="G1989" s="0" t="s">
        <v>16</v>
      </c>
      <c r="H1989" s="0" t="n">
        <v>132</v>
      </c>
      <c r="I1989" s="0" t="s">
        <v>6631</v>
      </c>
      <c r="J1989" s="0" t="s">
        <v>6632</v>
      </c>
      <c r="K1989" s="0" t="s">
        <v>6633</v>
      </c>
      <c r="L1989" s="0" t="str">
        <f aca="false">HYPERLINK("https://www.ncbi.nlm.nih.gov/nuccore/CP000304.1?report=graph&amp;tracks=[key:gene_model_track,Options:GeneOnly]&amp;mk=566112:566131|offset_76|444444,566148:566167|offset_112|444444,566168:566187|offset_132|00cc00,566193:566212|offset_157|444444&amp;v=565911:566412&amp;c=444444", "offset 132")</f>
        <v>offset 132</v>
      </c>
    </row>
    <row r="1990" customFormat="false" ht="12.8" hidden="false" customHeight="false" outlineLevel="0" collapsed="false">
      <c r="A1990" s="0" t="s">
        <v>12</v>
      </c>
      <c r="B1990" s="0" t="n">
        <v>566192</v>
      </c>
      <c r="C1990" s="0" t="n">
        <v>566212</v>
      </c>
      <c r="D1990" s="0" t="s">
        <v>6624</v>
      </c>
      <c r="E1990" s="0" t="s">
        <v>89</v>
      </c>
      <c r="F1990" s="0" t="s">
        <v>15</v>
      </c>
      <c r="G1990" s="0" t="s">
        <v>16</v>
      </c>
      <c r="H1990" s="0" t="n">
        <v>157</v>
      </c>
      <c r="I1990" s="0" t="s">
        <v>6634</v>
      </c>
      <c r="J1990" s="0" t="s">
        <v>6635</v>
      </c>
      <c r="K1990" s="0" t="s">
        <v>6636</v>
      </c>
      <c r="L1990" s="0" t="str">
        <f aca="false">HYPERLINK("https://www.ncbi.nlm.nih.gov/nuccore/CP000304.1?report=graph&amp;tracks=[key:gene_model_track,Options:GeneOnly]&amp;mk=566112:566131|offset_76|444444,566148:566167|offset_112|444444,566168:566187|offset_132|444444,566193:566212|offset_157|00cc00&amp;v=565911:566412&amp;c=444444", "offset 157")</f>
        <v>offset 157</v>
      </c>
    </row>
    <row r="1991" customFormat="false" ht="12.8" hidden="false" customHeight="false" outlineLevel="0" collapsed="false">
      <c r="A1991" s="0" t="s">
        <v>12</v>
      </c>
      <c r="B1991" s="0" t="n">
        <v>567102</v>
      </c>
      <c r="C1991" s="0" t="n">
        <v>567122</v>
      </c>
      <c r="D1991" s="0" t="s">
        <v>6637</v>
      </c>
      <c r="E1991" s="0" t="s">
        <v>89</v>
      </c>
      <c r="F1991" s="0" t="s">
        <v>90</v>
      </c>
      <c r="G1991" s="0" t="s">
        <v>26</v>
      </c>
      <c r="H1991" s="0" t="n">
        <v>14</v>
      </c>
      <c r="I1991" s="0" t="s">
        <v>6638</v>
      </c>
      <c r="J1991" s="0" t="s">
        <v>6639</v>
      </c>
      <c r="K1991" s="0" t="s">
        <v>6640</v>
      </c>
      <c r="L1991" s="0" t="str">
        <f aca="false">HYPERLINK("https://www.ncbi.nlm.nih.gov/nuccore/CP000304.1?report=graph&amp;tracks=[key:gene_model_track,Options:GeneOnly]&amp;mk=567103:567122|offset_14|00cc00,567077:567096|offset_40|444444,567056:567075|offset_61|444444,567017:567036|offset_100|444444&amp;v=566902:567236&amp;c=444444", "offset 14")</f>
        <v>offset 14</v>
      </c>
    </row>
    <row r="1992" customFormat="false" ht="12.8" hidden="false" customHeight="false" outlineLevel="0" collapsed="false">
      <c r="A1992" s="0" t="s">
        <v>12</v>
      </c>
      <c r="B1992" s="0" t="n">
        <v>567076</v>
      </c>
      <c r="C1992" s="0" t="n">
        <v>567096</v>
      </c>
      <c r="D1992" s="0" t="s">
        <v>6637</v>
      </c>
      <c r="E1992" s="0" t="s">
        <v>89</v>
      </c>
      <c r="F1992" s="0" t="s">
        <v>90</v>
      </c>
      <c r="G1992" s="0" t="s">
        <v>26</v>
      </c>
      <c r="H1992" s="0" t="n">
        <v>40</v>
      </c>
      <c r="I1992" s="0" t="s">
        <v>6641</v>
      </c>
      <c r="J1992" s="0" t="s">
        <v>6642</v>
      </c>
      <c r="K1992" s="0" t="s">
        <v>6643</v>
      </c>
      <c r="L1992" s="0" t="str">
        <f aca="false">HYPERLINK("https://www.ncbi.nlm.nih.gov/nuccore/CP000304.1?report=graph&amp;tracks=[key:gene_model_track,Options:GeneOnly]&amp;mk=567103:567122|offset_14|444444,567077:567096|offset_40|00cc00,567056:567075|offset_61|444444,567017:567036|offset_100|444444&amp;v=566902:567236&amp;c=444444", "offset 40")</f>
        <v>offset 40</v>
      </c>
    </row>
    <row r="1993" customFormat="false" ht="12.8" hidden="false" customHeight="false" outlineLevel="0" collapsed="false">
      <c r="A1993" s="0" t="s">
        <v>12</v>
      </c>
      <c r="B1993" s="0" t="n">
        <v>567055</v>
      </c>
      <c r="C1993" s="0" t="n">
        <v>567075</v>
      </c>
      <c r="D1993" s="0" t="s">
        <v>6637</v>
      </c>
      <c r="E1993" s="0" t="s">
        <v>89</v>
      </c>
      <c r="F1993" s="0" t="s">
        <v>90</v>
      </c>
      <c r="G1993" s="0" t="s">
        <v>32</v>
      </c>
      <c r="H1993" s="0" t="n">
        <v>61</v>
      </c>
      <c r="I1993" s="0" t="s">
        <v>6644</v>
      </c>
      <c r="J1993" s="0" t="s">
        <v>6645</v>
      </c>
      <c r="K1993" s="0" t="s">
        <v>6646</v>
      </c>
      <c r="L1993" s="0" t="str">
        <f aca="false">HYPERLINK("https://www.ncbi.nlm.nih.gov/nuccore/CP000304.1?report=graph&amp;tracks=[key:gene_model_track,Options:GeneOnly]&amp;mk=567103:567122|offset_14|444444,567077:567096|offset_40|444444,567056:567075|offset_61|00cc00,567017:567036|offset_100|444444&amp;v=566902:567236&amp;c=444444", "offset 61")</f>
        <v>offset 61</v>
      </c>
    </row>
    <row r="1994" customFormat="false" ht="12.8" hidden="false" customHeight="false" outlineLevel="0" collapsed="false">
      <c r="A1994" s="0" t="s">
        <v>12</v>
      </c>
      <c r="B1994" s="0" t="n">
        <v>567016</v>
      </c>
      <c r="C1994" s="0" t="n">
        <v>567036</v>
      </c>
      <c r="D1994" s="0" t="s">
        <v>6637</v>
      </c>
      <c r="E1994" s="0" t="s">
        <v>89</v>
      </c>
      <c r="F1994" s="0" t="s">
        <v>90</v>
      </c>
      <c r="G1994" s="0" t="s">
        <v>16</v>
      </c>
      <c r="H1994" s="0" t="n">
        <v>100</v>
      </c>
      <c r="I1994" s="0" t="s">
        <v>6647</v>
      </c>
      <c r="J1994" s="0" t="s">
        <v>6648</v>
      </c>
      <c r="K1994" s="0" t="s">
        <v>6649</v>
      </c>
      <c r="L1994" s="0" t="str">
        <f aca="false">HYPERLINK("https://www.ncbi.nlm.nih.gov/nuccore/CP000304.1?report=graph&amp;tracks=[key:gene_model_track,Options:GeneOnly]&amp;mk=567103:567122|offset_14|444444,567077:567096|offset_40|444444,567056:567075|offset_61|444444,567017:567036|offset_100|00cc00&amp;v=566902:567236&amp;c=444444", "offset 100")</f>
        <v>offset 100</v>
      </c>
    </row>
    <row r="1995" customFormat="false" ht="12.8" hidden="false" customHeight="false" outlineLevel="0" collapsed="false">
      <c r="A1995" s="0" t="s">
        <v>12</v>
      </c>
      <c r="B1995" s="0" t="n">
        <v>568012</v>
      </c>
      <c r="C1995" s="0" t="n">
        <v>568032</v>
      </c>
      <c r="D1995" s="0" t="s">
        <v>6650</v>
      </c>
      <c r="E1995" s="0" t="s">
        <v>6651</v>
      </c>
      <c r="F1995" s="0" t="s">
        <v>90</v>
      </c>
      <c r="G1995" s="0" t="s">
        <v>16</v>
      </c>
      <c r="H1995" s="0" t="n">
        <v>0</v>
      </c>
      <c r="I1995" s="0" t="s">
        <v>6652</v>
      </c>
      <c r="J1995" s="0" t="s">
        <v>6653</v>
      </c>
      <c r="K1995" s="0" t="s">
        <v>6654</v>
      </c>
      <c r="L1995" s="0" t="str">
        <f aca="false">HYPERLINK("https://www.ncbi.nlm.nih.gov/nuccore/CP000304.1?report=graph&amp;tracks=[key:gene_model_track,Options:GeneOnly]&amp;mk=568013:568032|offset_0|00cc00,567991:568010|offset_22|444444,567955:567974|offset_58|444444,567907:567926|offset_106|444444&amp;v=567812:568126&amp;c=444444", "offset 0")</f>
        <v>offset 0</v>
      </c>
    </row>
    <row r="1996" customFormat="false" ht="12.8" hidden="false" customHeight="false" outlineLevel="0" collapsed="false">
      <c r="A1996" s="0" t="s">
        <v>12</v>
      </c>
      <c r="B1996" s="0" t="n">
        <v>567990</v>
      </c>
      <c r="C1996" s="0" t="n">
        <v>568010</v>
      </c>
      <c r="D1996" s="0" t="s">
        <v>6650</v>
      </c>
      <c r="E1996" s="0" t="s">
        <v>6651</v>
      </c>
      <c r="F1996" s="0" t="s">
        <v>90</v>
      </c>
      <c r="G1996" s="0" t="s">
        <v>26</v>
      </c>
      <c r="H1996" s="0" t="n">
        <v>22</v>
      </c>
      <c r="I1996" s="0" t="s">
        <v>6655</v>
      </c>
      <c r="J1996" s="0" t="s">
        <v>6656</v>
      </c>
      <c r="K1996" s="0" t="s">
        <v>6657</v>
      </c>
      <c r="L1996" s="0" t="str">
        <f aca="false">HYPERLINK("https://www.ncbi.nlm.nih.gov/nuccore/CP000304.1?report=graph&amp;tracks=[key:gene_model_track,Options:GeneOnly]&amp;mk=568013:568032|offset_0|444444,567991:568010|offset_22|00cc00,567955:567974|offset_58|444444,567907:567926|offset_106|444444&amp;v=567812:568126&amp;c=444444", "offset 22")</f>
        <v>offset 22</v>
      </c>
    </row>
    <row r="1997" customFormat="false" ht="12.8" hidden="false" customHeight="false" outlineLevel="0" collapsed="false">
      <c r="A1997" s="0" t="s">
        <v>12</v>
      </c>
      <c r="B1997" s="0" t="n">
        <v>567954</v>
      </c>
      <c r="C1997" s="0" t="n">
        <v>567974</v>
      </c>
      <c r="D1997" s="0" t="s">
        <v>6650</v>
      </c>
      <c r="E1997" s="0" t="s">
        <v>6651</v>
      </c>
      <c r="F1997" s="0" t="s">
        <v>90</v>
      </c>
      <c r="G1997" s="0" t="s">
        <v>16</v>
      </c>
      <c r="H1997" s="0" t="n">
        <v>58</v>
      </c>
      <c r="I1997" s="0" t="s">
        <v>6658</v>
      </c>
      <c r="J1997" s="0" t="s">
        <v>6659</v>
      </c>
      <c r="K1997" s="0" t="s">
        <v>6660</v>
      </c>
      <c r="L1997" s="0" t="str">
        <f aca="false">HYPERLINK("https://www.ncbi.nlm.nih.gov/nuccore/CP000304.1?report=graph&amp;tracks=[key:gene_model_track,Options:GeneOnly]&amp;mk=568013:568032|offset_0|444444,567991:568010|offset_22|444444,567955:567974|offset_58|00cc00,567907:567926|offset_106|444444&amp;v=567812:568126&amp;c=444444", "offset 58")</f>
        <v>offset 58</v>
      </c>
    </row>
    <row r="1998" customFormat="false" ht="12.8" hidden="false" customHeight="false" outlineLevel="0" collapsed="false">
      <c r="A1998" s="0" t="s">
        <v>12</v>
      </c>
      <c r="B1998" s="0" t="n">
        <v>567906</v>
      </c>
      <c r="C1998" s="0" t="n">
        <v>567926</v>
      </c>
      <c r="D1998" s="0" t="s">
        <v>6650</v>
      </c>
      <c r="E1998" s="0" t="s">
        <v>6651</v>
      </c>
      <c r="F1998" s="0" t="s">
        <v>90</v>
      </c>
      <c r="G1998" s="0" t="s">
        <v>26</v>
      </c>
      <c r="H1998" s="0" t="n">
        <v>106</v>
      </c>
      <c r="I1998" s="0" t="s">
        <v>6661</v>
      </c>
      <c r="J1998" s="0" t="s">
        <v>6662</v>
      </c>
      <c r="K1998" s="0" t="s">
        <v>6663</v>
      </c>
      <c r="L1998" s="0" t="str">
        <f aca="false">HYPERLINK("https://www.ncbi.nlm.nih.gov/nuccore/CP000304.1?report=graph&amp;tracks=[key:gene_model_track,Options:GeneOnly]&amp;mk=568013:568032|offset_0|444444,567991:568010|offset_22|444444,567955:567974|offset_58|444444,567907:567926|offset_106|00cc00&amp;v=567812:568126&amp;c=444444", "offset 106")</f>
        <v>offset 106</v>
      </c>
    </row>
    <row r="1999" customFormat="false" ht="12.8" hidden="false" customHeight="false" outlineLevel="0" collapsed="false">
      <c r="A1999" s="0" t="s">
        <v>12</v>
      </c>
      <c r="B1999" s="0" t="n">
        <v>568754</v>
      </c>
      <c r="C1999" s="0" t="n">
        <v>568774</v>
      </c>
      <c r="D1999" s="0" t="s">
        <v>6664</v>
      </c>
      <c r="E1999" s="0" t="s">
        <v>89</v>
      </c>
      <c r="F1999" s="0" t="s">
        <v>90</v>
      </c>
      <c r="G1999" s="0" t="s">
        <v>16</v>
      </c>
      <c r="H1999" s="0" t="n">
        <v>7</v>
      </c>
      <c r="I1999" s="0" t="s">
        <v>6665</v>
      </c>
      <c r="J1999" s="0" t="s">
        <v>6666</v>
      </c>
      <c r="K1999" s="0" t="s">
        <v>6667</v>
      </c>
      <c r="L1999" s="0" t="str">
        <f aca="false">HYPERLINK("https://www.ncbi.nlm.nih.gov/nuccore/CP000304.1?report=graph&amp;tracks=[key:gene_model_track,Options:GeneOnly]&amp;mk=568755:568774|offset_7|00cc00,568732:568751|offset_30|444444,568707:568726|offset_55|444444,568687:568706|offset_75|444444&amp;v=568554:568906&amp;c=444444", "offset 7")</f>
        <v>offset 7</v>
      </c>
    </row>
    <row r="2000" customFormat="false" ht="12.8" hidden="false" customHeight="false" outlineLevel="0" collapsed="false">
      <c r="A2000" s="0" t="s">
        <v>12</v>
      </c>
      <c r="B2000" s="0" t="n">
        <v>568731</v>
      </c>
      <c r="C2000" s="0" t="n">
        <v>568751</v>
      </c>
      <c r="D2000" s="0" t="s">
        <v>6664</v>
      </c>
      <c r="E2000" s="0" t="s">
        <v>89</v>
      </c>
      <c r="F2000" s="0" t="s">
        <v>90</v>
      </c>
      <c r="G2000" s="0" t="s">
        <v>16</v>
      </c>
      <c r="H2000" s="0" t="n">
        <v>30</v>
      </c>
      <c r="I2000" s="0" t="s">
        <v>6668</v>
      </c>
      <c r="J2000" s="0" t="s">
        <v>6669</v>
      </c>
      <c r="K2000" s="0" t="s">
        <v>6670</v>
      </c>
      <c r="L2000" s="0" t="str">
        <f aca="false">HYPERLINK("https://www.ncbi.nlm.nih.gov/nuccore/CP000304.1?report=graph&amp;tracks=[key:gene_model_track,Options:GeneOnly]&amp;mk=568755:568774|offset_7|444444,568732:568751|offset_30|00cc00,568707:568726|offset_55|444444,568687:568706|offset_75|444444&amp;v=568554:568906&amp;c=444444", "offset 30")</f>
        <v>offset 30</v>
      </c>
    </row>
    <row r="2001" customFormat="false" ht="12.8" hidden="false" customHeight="false" outlineLevel="0" collapsed="false">
      <c r="A2001" s="0" t="s">
        <v>12</v>
      </c>
      <c r="B2001" s="0" t="n">
        <v>568706</v>
      </c>
      <c r="C2001" s="0" t="n">
        <v>568726</v>
      </c>
      <c r="D2001" s="0" t="s">
        <v>6664</v>
      </c>
      <c r="E2001" s="0" t="s">
        <v>89</v>
      </c>
      <c r="F2001" s="0" t="s">
        <v>90</v>
      </c>
      <c r="G2001" s="0" t="s">
        <v>16</v>
      </c>
      <c r="H2001" s="0" t="n">
        <v>55</v>
      </c>
      <c r="I2001" s="0" t="s">
        <v>6671</v>
      </c>
      <c r="J2001" s="0" t="s">
        <v>6672</v>
      </c>
      <c r="K2001" s="0" t="s">
        <v>6673</v>
      </c>
      <c r="L2001" s="0" t="str">
        <f aca="false">HYPERLINK("https://www.ncbi.nlm.nih.gov/nuccore/CP000304.1?report=graph&amp;tracks=[key:gene_model_track,Options:GeneOnly]&amp;mk=568755:568774|offset_7|444444,568732:568751|offset_30|444444,568707:568726|offset_55|00cc00,568687:568706|offset_75|444444&amp;v=568554:568906&amp;c=444444", "offset 55")</f>
        <v>offset 55</v>
      </c>
    </row>
    <row r="2002" customFormat="false" ht="12.8" hidden="false" customHeight="false" outlineLevel="0" collapsed="false">
      <c r="A2002" s="0" t="s">
        <v>12</v>
      </c>
      <c r="B2002" s="0" t="n">
        <v>568686</v>
      </c>
      <c r="C2002" s="0" t="n">
        <v>568706</v>
      </c>
      <c r="D2002" s="0" t="s">
        <v>6664</v>
      </c>
      <c r="E2002" s="0" t="s">
        <v>89</v>
      </c>
      <c r="F2002" s="0" t="s">
        <v>90</v>
      </c>
      <c r="G2002" s="0" t="s">
        <v>16</v>
      </c>
      <c r="H2002" s="0" t="n">
        <v>75</v>
      </c>
      <c r="I2002" s="0" t="s">
        <v>6674</v>
      </c>
      <c r="J2002" s="0" t="s">
        <v>6675</v>
      </c>
      <c r="K2002" s="0" t="s">
        <v>6676</v>
      </c>
      <c r="L2002" s="0" t="str">
        <f aca="false">HYPERLINK("https://www.ncbi.nlm.nih.gov/nuccore/CP000304.1?report=graph&amp;tracks=[key:gene_model_track,Options:GeneOnly]&amp;mk=568755:568774|offset_7|444444,568732:568751|offset_30|444444,568707:568726|offset_55|444444,568687:568706|offset_75|00cc00&amp;v=568554:568906&amp;c=444444", "offset 75")</f>
        <v>offset 75</v>
      </c>
    </row>
    <row r="2003" customFormat="false" ht="12.8" hidden="false" customHeight="false" outlineLevel="0" collapsed="false">
      <c r="A2003" s="0" t="s">
        <v>12</v>
      </c>
      <c r="B2003" s="0" t="n">
        <v>569569</v>
      </c>
      <c r="C2003" s="0" t="n">
        <v>569589</v>
      </c>
      <c r="D2003" s="0" t="s">
        <v>6677</v>
      </c>
      <c r="E2003" s="0" t="s">
        <v>6678</v>
      </c>
      <c r="F2003" s="0" t="s">
        <v>90</v>
      </c>
      <c r="G2003" s="0" t="s">
        <v>32</v>
      </c>
      <c r="H2003" s="0" t="n">
        <v>19</v>
      </c>
      <c r="I2003" s="0" t="s">
        <v>6679</v>
      </c>
      <c r="J2003" s="0" t="s">
        <v>6680</v>
      </c>
      <c r="K2003" s="0" t="s">
        <v>6681</v>
      </c>
      <c r="L2003" s="0" t="str">
        <f aca="false">HYPERLINK("https://www.ncbi.nlm.nih.gov/nuccore/CP000304.1?report=graph&amp;tracks=[key:gene_model_track,Options:GeneOnly]&amp;mk=569570:569589|offset_19|00cc00,569530:569549|offset_59|444444,569506:569525|offset_83|444444,569468:569487|offset_121|444444&amp;v=569369:569687&amp;c=444444", "offset 19")</f>
        <v>offset 19</v>
      </c>
    </row>
    <row r="2004" customFormat="false" ht="12.8" hidden="false" customHeight="false" outlineLevel="0" collapsed="false">
      <c r="A2004" s="0" t="s">
        <v>12</v>
      </c>
      <c r="B2004" s="0" t="n">
        <v>569529</v>
      </c>
      <c r="C2004" s="0" t="n">
        <v>569549</v>
      </c>
      <c r="D2004" s="0" t="s">
        <v>6677</v>
      </c>
      <c r="E2004" s="0" t="s">
        <v>6678</v>
      </c>
      <c r="F2004" s="0" t="s">
        <v>90</v>
      </c>
      <c r="G2004" s="0" t="s">
        <v>26</v>
      </c>
      <c r="H2004" s="0" t="n">
        <v>59</v>
      </c>
      <c r="I2004" s="0" t="s">
        <v>6682</v>
      </c>
      <c r="J2004" s="0" t="s">
        <v>6683</v>
      </c>
      <c r="K2004" s="0" t="s">
        <v>6684</v>
      </c>
      <c r="L2004" s="0" t="str">
        <f aca="false">HYPERLINK("https://www.ncbi.nlm.nih.gov/nuccore/CP000304.1?report=graph&amp;tracks=[key:gene_model_track,Options:GeneOnly]&amp;mk=569570:569589|offset_19|444444,569530:569549|offset_59|00cc00,569506:569525|offset_83|444444,569468:569487|offset_121|444444&amp;v=569369:569687&amp;c=444444", "offset 59")</f>
        <v>offset 59</v>
      </c>
    </row>
    <row r="2005" customFormat="false" ht="12.8" hidden="false" customHeight="false" outlineLevel="0" collapsed="false">
      <c r="A2005" s="0" t="s">
        <v>12</v>
      </c>
      <c r="B2005" s="0" t="n">
        <v>569505</v>
      </c>
      <c r="C2005" s="0" t="n">
        <v>569525</v>
      </c>
      <c r="D2005" s="0" t="s">
        <v>6677</v>
      </c>
      <c r="E2005" s="0" t="s">
        <v>6678</v>
      </c>
      <c r="F2005" s="0" t="s">
        <v>90</v>
      </c>
      <c r="G2005" s="0" t="s">
        <v>32</v>
      </c>
      <c r="H2005" s="0" t="n">
        <v>83</v>
      </c>
      <c r="I2005" s="0" t="s">
        <v>6685</v>
      </c>
      <c r="J2005" s="0" t="s">
        <v>6686</v>
      </c>
      <c r="K2005" s="0" t="s">
        <v>6687</v>
      </c>
      <c r="L2005" s="0" t="str">
        <f aca="false">HYPERLINK("https://www.ncbi.nlm.nih.gov/nuccore/CP000304.1?report=graph&amp;tracks=[key:gene_model_track,Options:GeneOnly]&amp;mk=569570:569589|offset_19|444444,569530:569549|offset_59|444444,569506:569525|offset_83|00cc00,569468:569487|offset_121|444444&amp;v=569369:569687&amp;c=444444", "offset 83")</f>
        <v>offset 83</v>
      </c>
    </row>
    <row r="2006" customFormat="false" ht="12.8" hidden="false" customHeight="false" outlineLevel="0" collapsed="false">
      <c r="A2006" s="0" t="s">
        <v>12</v>
      </c>
      <c r="B2006" s="0" t="n">
        <v>569467</v>
      </c>
      <c r="C2006" s="0" t="n">
        <v>569487</v>
      </c>
      <c r="D2006" s="0" t="s">
        <v>6677</v>
      </c>
      <c r="E2006" s="0" t="s">
        <v>6678</v>
      </c>
      <c r="F2006" s="0" t="s">
        <v>90</v>
      </c>
      <c r="G2006" s="0" t="s">
        <v>16</v>
      </c>
      <c r="H2006" s="0" t="n">
        <v>121</v>
      </c>
      <c r="I2006" s="0" t="s">
        <v>6688</v>
      </c>
      <c r="J2006" s="0" t="s">
        <v>6689</v>
      </c>
      <c r="K2006" s="0" t="s">
        <v>6690</v>
      </c>
      <c r="L2006" s="0" t="str">
        <f aca="false">HYPERLINK("https://www.ncbi.nlm.nih.gov/nuccore/CP000304.1?report=graph&amp;tracks=[key:gene_model_track,Options:GeneOnly]&amp;mk=569570:569589|offset_19|444444,569530:569549|offset_59|444444,569506:569525|offset_83|444444,569468:569487|offset_121|00cc00&amp;v=569369:569687&amp;c=444444", "offset 121")</f>
        <v>offset 121</v>
      </c>
    </row>
    <row r="2007" customFormat="false" ht="12.8" hidden="false" customHeight="false" outlineLevel="0" collapsed="false">
      <c r="A2007" s="0" t="s">
        <v>12</v>
      </c>
      <c r="B2007" s="0" t="n">
        <v>570836</v>
      </c>
      <c r="C2007" s="0" t="n">
        <v>570856</v>
      </c>
      <c r="D2007" s="0" t="s">
        <v>6691</v>
      </c>
      <c r="E2007" s="0" t="s">
        <v>6692</v>
      </c>
      <c r="F2007" s="0" t="s">
        <v>90</v>
      </c>
      <c r="G2007" s="0" t="s">
        <v>26</v>
      </c>
      <c r="H2007" s="0" t="n">
        <v>10</v>
      </c>
      <c r="I2007" s="0" t="s">
        <v>6693</v>
      </c>
      <c r="J2007" s="0" t="s">
        <v>6694</v>
      </c>
      <c r="K2007" s="0" t="s">
        <v>6695</v>
      </c>
      <c r="L2007" s="0" t="str">
        <f aca="false">HYPERLINK("https://www.ncbi.nlm.nih.gov/nuccore/CP000304.1?report=graph&amp;tracks=[key:gene_model_track,Options:GeneOnly]&amp;mk=570837:570856|offset_10|00cc00,570790:570809|offset_57|444444,570763:570782|offset_84|444444,570741:570760|offset_106|444444&amp;v=570636:570960&amp;c=444444", "offset 10")</f>
        <v>offset 10</v>
      </c>
    </row>
    <row r="2008" customFormat="false" ht="12.8" hidden="false" customHeight="false" outlineLevel="0" collapsed="false">
      <c r="A2008" s="0" t="s">
        <v>12</v>
      </c>
      <c r="B2008" s="0" t="n">
        <v>570789</v>
      </c>
      <c r="C2008" s="0" t="n">
        <v>570809</v>
      </c>
      <c r="D2008" s="0" t="s">
        <v>6691</v>
      </c>
      <c r="E2008" s="0" t="s">
        <v>6692</v>
      </c>
      <c r="F2008" s="0" t="s">
        <v>90</v>
      </c>
      <c r="G2008" s="0" t="s">
        <v>36</v>
      </c>
      <c r="H2008" s="0" t="n">
        <v>57</v>
      </c>
      <c r="I2008" s="0" t="s">
        <v>6696</v>
      </c>
      <c r="J2008" s="0" t="s">
        <v>6697</v>
      </c>
      <c r="K2008" s="0" t="s">
        <v>6698</v>
      </c>
      <c r="L2008" s="0" t="str">
        <f aca="false">HYPERLINK("https://www.ncbi.nlm.nih.gov/nuccore/CP000304.1?report=graph&amp;tracks=[key:gene_model_track,Options:GeneOnly]&amp;mk=570837:570856|offset_10|444444,570790:570809|offset_57|00cc00,570763:570782|offset_84|444444,570741:570760|offset_106|444444&amp;v=570636:570960&amp;c=444444", "offset 57")</f>
        <v>offset 57</v>
      </c>
    </row>
    <row r="2009" customFormat="false" ht="12.8" hidden="false" customHeight="false" outlineLevel="0" collapsed="false">
      <c r="A2009" s="0" t="s">
        <v>12</v>
      </c>
      <c r="B2009" s="0" t="n">
        <v>570762</v>
      </c>
      <c r="C2009" s="0" t="n">
        <v>570782</v>
      </c>
      <c r="D2009" s="0" t="s">
        <v>6691</v>
      </c>
      <c r="E2009" s="0" t="s">
        <v>6692</v>
      </c>
      <c r="F2009" s="0" t="s">
        <v>90</v>
      </c>
      <c r="G2009" s="0" t="s">
        <v>16</v>
      </c>
      <c r="H2009" s="0" t="n">
        <v>84</v>
      </c>
      <c r="I2009" s="0" t="s">
        <v>6699</v>
      </c>
      <c r="J2009" s="0" t="s">
        <v>6700</v>
      </c>
      <c r="K2009" s="0" t="s">
        <v>6701</v>
      </c>
      <c r="L2009" s="0" t="str">
        <f aca="false">HYPERLINK("https://www.ncbi.nlm.nih.gov/nuccore/CP000304.1?report=graph&amp;tracks=[key:gene_model_track,Options:GeneOnly]&amp;mk=570837:570856|offset_10|444444,570790:570809|offset_57|444444,570763:570782|offset_84|00cc00,570741:570760|offset_106|444444&amp;v=570636:570960&amp;c=444444", "offset 84")</f>
        <v>offset 84</v>
      </c>
    </row>
    <row r="2010" customFormat="false" ht="12.8" hidden="false" customHeight="false" outlineLevel="0" collapsed="false">
      <c r="A2010" s="0" t="s">
        <v>12</v>
      </c>
      <c r="B2010" s="0" t="n">
        <v>570740</v>
      </c>
      <c r="C2010" s="0" t="n">
        <v>570760</v>
      </c>
      <c r="D2010" s="0" t="s">
        <v>6691</v>
      </c>
      <c r="E2010" s="0" t="s">
        <v>6692</v>
      </c>
      <c r="F2010" s="0" t="s">
        <v>90</v>
      </c>
      <c r="G2010" s="0" t="s">
        <v>36</v>
      </c>
      <c r="H2010" s="0" t="n">
        <v>106</v>
      </c>
      <c r="I2010" s="0" t="s">
        <v>6702</v>
      </c>
      <c r="J2010" s="0" t="s">
        <v>6703</v>
      </c>
      <c r="K2010" s="0" t="s">
        <v>6704</v>
      </c>
      <c r="L2010" s="0" t="str">
        <f aca="false">HYPERLINK("https://www.ncbi.nlm.nih.gov/nuccore/CP000304.1?report=graph&amp;tracks=[key:gene_model_track,Options:GeneOnly]&amp;mk=570837:570856|offset_10|444444,570790:570809|offset_57|444444,570763:570782|offset_84|444444,570741:570760|offset_106|00cc00&amp;v=570636:570960&amp;c=444444", "offset 106")</f>
        <v>offset 106</v>
      </c>
    </row>
    <row r="2011" customFormat="false" ht="12.8" hidden="false" customHeight="false" outlineLevel="0" collapsed="false">
      <c r="A2011" s="0" t="s">
        <v>12</v>
      </c>
      <c r="B2011" s="0" t="n">
        <v>571030</v>
      </c>
      <c r="C2011" s="0" t="n">
        <v>571050</v>
      </c>
      <c r="D2011" s="0" t="s">
        <v>6705</v>
      </c>
      <c r="E2011" s="0" t="s">
        <v>6706</v>
      </c>
      <c r="F2011" s="0" t="s">
        <v>90</v>
      </c>
      <c r="G2011" s="0" t="s">
        <v>16</v>
      </c>
      <c r="H2011" s="0" t="n">
        <v>17</v>
      </c>
      <c r="I2011" s="0" t="s">
        <v>6707</v>
      </c>
      <c r="J2011" s="0" t="s">
        <v>6708</v>
      </c>
      <c r="K2011" s="0" t="s">
        <v>6709</v>
      </c>
      <c r="L2011" s="0" t="str">
        <f aca="false">HYPERLINK("https://www.ncbi.nlm.nih.gov/nuccore/CP000304.1?report=graph&amp;tracks=[key:gene_model_track,Options:GeneOnly]&amp;mk=571031:571050|offset_17|00cc00,571006:571025|offset_42|444444,570979:570998|offset_69|444444,570954:570973|offset_94|444444&amp;v=570830:571173&amp;c=444444", "offset 17")</f>
        <v>offset 17</v>
      </c>
    </row>
    <row r="2012" customFormat="false" ht="12.8" hidden="false" customHeight="false" outlineLevel="0" collapsed="false">
      <c r="A2012" s="0" t="s">
        <v>12</v>
      </c>
      <c r="B2012" s="0" t="n">
        <v>571005</v>
      </c>
      <c r="C2012" s="0" t="n">
        <v>571025</v>
      </c>
      <c r="D2012" s="0" t="s">
        <v>6705</v>
      </c>
      <c r="E2012" s="0" t="s">
        <v>6706</v>
      </c>
      <c r="F2012" s="0" t="s">
        <v>90</v>
      </c>
      <c r="G2012" s="0" t="s">
        <v>32</v>
      </c>
      <c r="H2012" s="0" t="n">
        <v>42</v>
      </c>
      <c r="I2012" s="0" t="s">
        <v>6710</v>
      </c>
      <c r="J2012" s="0" t="s">
        <v>6711</v>
      </c>
      <c r="K2012" s="0" t="s">
        <v>6712</v>
      </c>
      <c r="L2012" s="0" t="str">
        <f aca="false">HYPERLINK("https://www.ncbi.nlm.nih.gov/nuccore/CP000304.1?report=graph&amp;tracks=[key:gene_model_track,Options:GeneOnly]&amp;mk=571031:571050|offset_17|444444,571006:571025|offset_42|00cc00,570979:570998|offset_69|444444,570954:570973|offset_94|444444&amp;v=570830:571173&amp;c=444444", "offset 42")</f>
        <v>offset 42</v>
      </c>
    </row>
    <row r="2013" customFormat="false" ht="12.8" hidden="false" customHeight="false" outlineLevel="0" collapsed="false">
      <c r="A2013" s="0" t="s">
        <v>12</v>
      </c>
      <c r="B2013" s="0" t="n">
        <v>570978</v>
      </c>
      <c r="C2013" s="0" t="n">
        <v>570998</v>
      </c>
      <c r="D2013" s="0" t="s">
        <v>6705</v>
      </c>
      <c r="E2013" s="0" t="s">
        <v>6706</v>
      </c>
      <c r="F2013" s="0" t="s">
        <v>90</v>
      </c>
      <c r="G2013" s="0" t="s">
        <v>36</v>
      </c>
      <c r="H2013" s="0" t="n">
        <v>69</v>
      </c>
      <c r="I2013" s="0" t="s">
        <v>6713</v>
      </c>
      <c r="J2013" s="0" t="s">
        <v>6714</v>
      </c>
      <c r="K2013" s="0" t="s">
        <v>6715</v>
      </c>
      <c r="L2013" s="0" t="str">
        <f aca="false">HYPERLINK("https://www.ncbi.nlm.nih.gov/nuccore/CP000304.1?report=graph&amp;tracks=[key:gene_model_track,Options:GeneOnly]&amp;mk=571031:571050|offset_17|444444,571006:571025|offset_42|444444,570979:570998|offset_69|00cc00,570954:570973|offset_94|444444&amp;v=570830:571173&amp;c=444444", "offset 69")</f>
        <v>offset 69</v>
      </c>
    </row>
    <row r="2014" customFormat="false" ht="12.8" hidden="false" customHeight="false" outlineLevel="0" collapsed="false">
      <c r="A2014" s="0" t="s">
        <v>12</v>
      </c>
      <c r="B2014" s="0" t="n">
        <v>570953</v>
      </c>
      <c r="C2014" s="0" t="n">
        <v>570973</v>
      </c>
      <c r="D2014" s="0" t="s">
        <v>6705</v>
      </c>
      <c r="E2014" s="0" t="s">
        <v>6706</v>
      </c>
      <c r="F2014" s="0" t="s">
        <v>90</v>
      </c>
      <c r="G2014" s="0" t="s">
        <v>16</v>
      </c>
      <c r="H2014" s="0" t="n">
        <v>94</v>
      </c>
      <c r="I2014" s="0" t="s">
        <v>6716</v>
      </c>
      <c r="J2014" s="0" t="s">
        <v>6717</v>
      </c>
      <c r="K2014" s="0" t="s">
        <v>6718</v>
      </c>
      <c r="L2014" s="0" t="str">
        <f aca="false">HYPERLINK("https://www.ncbi.nlm.nih.gov/nuccore/CP000304.1?report=graph&amp;tracks=[key:gene_model_track,Options:GeneOnly]&amp;mk=571031:571050|offset_17|444444,571006:571025|offset_42|444444,570979:570998|offset_69|444444,570954:570973|offset_94|00cc00&amp;v=570830:571173&amp;c=444444", "offset 94")</f>
        <v>offset 94</v>
      </c>
    </row>
    <row r="2015" customFormat="false" ht="12.8" hidden="false" customHeight="false" outlineLevel="0" collapsed="false">
      <c r="A2015" s="0" t="s">
        <v>12</v>
      </c>
      <c r="B2015" s="0" t="n">
        <v>571214</v>
      </c>
      <c r="C2015" s="0" t="n">
        <v>571234</v>
      </c>
      <c r="D2015" s="0" t="s">
        <v>6719</v>
      </c>
      <c r="E2015" s="0" t="s">
        <v>6720</v>
      </c>
      <c r="F2015" s="0" t="s">
        <v>15</v>
      </c>
      <c r="G2015" s="0" t="s">
        <v>26</v>
      </c>
      <c r="H2015" s="0" t="n">
        <v>8</v>
      </c>
      <c r="I2015" s="0" t="s">
        <v>6721</v>
      </c>
      <c r="J2015" s="0" t="s">
        <v>6722</v>
      </c>
      <c r="K2015" s="0" t="s">
        <v>6723</v>
      </c>
      <c r="L2015" s="0" t="str">
        <f aca="false">HYPERLINK("https://www.ncbi.nlm.nih.gov/nuccore/CP000304.1?report=graph&amp;tracks=[key:gene_model_track,Options:GeneOnly]&amp;mk=571215:571234|offset_8|00cc00,571250:571269|offset_43|444444,571286:571305|offset_79|444444,571313:571332|offset_106|444444&amp;v=571014:571532&amp;c=444444", "offset 8")</f>
        <v>offset 8</v>
      </c>
    </row>
    <row r="2016" customFormat="false" ht="12.8" hidden="false" customHeight="false" outlineLevel="0" collapsed="false">
      <c r="A2016" s="0" t="s">
        <v>12</v>
      </c>
      <c r="B2016" s="0" t="n">
        <v>571249</v>
      </c>
      <c r="C2016" s="0" t="n">
        <v>571269</v>
      </c>
      <c r="D2016" s="0" t="s">
        <v>6719</v>
      </c>
      <c r="E2016" s="0" t="s">
        <v>6720</v>
      </c>
      <c r="F2016" s="0" t="s">
        <v>15</v>
      </c>
      <c r="G2016" s="0" t="s">
        <v>16</v>
      </c>
      <c r="H2016" s="0" t="n">
        <v>43</v>
      </c>
      <c r="I2016" s="0" t="s">
        <v>6724</v>
      </c>
      <c r="J2016" s="0" t="s">
        <v>6725</v>
      </c>
      <c r="K2016" s="0" t="s">
        <v>6726</v>
      </c>
      <c r="L2016" s="0" t="str">
        <f aca="false">HYPERLINK("https://www.ncbi.nlm.nih.gov/nuccore/CP000304.1?report=graph&amp;tracks=[key:gene_model_track,Options:GeneOnly]&amp;mk=571215:571234|offset_8|444444,571250:571269|offset_43|00cc00,571286:571305|offset_79|444444,571313:571332|offset_106|444444&amp;v=571014:571532&amp;c=444444", "offset 43")</f>
        <v>offset 43</v>
      </c>
    </row>
    <row r="2017" customFormat="false" ht="12.8" hidden="false" customHeight="false" outlineLevel="0" collapsed="false">
      <c r="A2017" s="0" t="s">
        <v>12</v>
      </c>
      <c r="B2017" s="0" t="n">
        <v>571285</v>
      </c>
      <c r="C2017" s="0" t="n">
        <v>571305</v>
      </c>
      <c r="D2017" s="0" t="s">
        <v>6719</v>
      </c>
      <c r="E2017" s="0" t="s">
        <v>6720</v>
      </c>
      <c r="F2017" s="0" t="s">
        <v>15</v>
      </c>
      <c r="G2017" s="0" t="s">
        <v>32</v>
      </c>
      <c r="H2017" s="0" t="n">
        <v>79</v>
      </c>
      <c r="I2017" s="0" t="s">
        <v>6727</v>
      </c>
      <c r="J2017" s="0" t="s">
        <v>6728</v>
      </c>
      <c r="K2017" s="0" t="s">
        <v>6729</v>
      </c>
      <c r="L2017" s="0" t="str">
        <f aca="false">HYPERLINK("https://www.ncbi.nlm.nih.gov/nuccore/CP000304.1?report=graph&amp;tracks=[key:gene_model_track,Options:GeneOnly]&amp;mk=571215:571234|offset_8|444444,571250:571269|offset_43|444444,571286:571305|offset_79|00cc00,571313:571332|offset_106|444444&amp;v=571014:571532&amp;c=444444", "offset 79")</f>
        <v>offset 79</v>
      </c>
    </row>
    <row r="2018" customFormat="false" ht="12.8" hidden="false" customHeight="false" outlineLevel="0" collapsed="false">
      <c r="A2018" s="0" t="s">
        <v>12</v>
      </c>
      <c r="B2018" s="0" t="n">
        <v>571312</v>
      </c>
      <c r="C2018" s="0" t="n">
        <v>571332</v>
      </c>
      <c r="D2018" s="0" t="s">
        <v>6719</v>
      </c>
      <c r="E2018" s="0" t="s">
        <v>6720</v>
      </c>
      <c r="F2018" s="0" t="s">
        <v>15</v>
      </c>
      <c r="G2018" s="0" t="s">
        <v>16</v>
      </c>
      <c r="H2018" s="0" t="n">
        <v>106</v>
      </c>
      <c r="I2018" s="0" t="s">
        <v>6730</v>
      </c>
      <c r="J2018" s="0" t="s">
        <v>6731</v>
      </c>
      <c r="K2018" s="0" t="s">
        <v>6732</v>
      </c>
      <c r="L2018" s="0" t="str">
        <f aca="false">HYPERLINK("https://www.ncbi.nlm.nih.gov/nuccore/CP000304.1?report=graph&amp;tracks=[key:gene_model_track,Options:GeneOnly]&amp;mk=571215:571234|offset_8|444444,571250:571269|offset_43|444444,571286:571305|offset_79|444444,571313:571332|offset_106|00cc00&amp;v=571014:571532&amp;c=444444", "offset 106")</f>
        <v>offset 106</v>
      </c>
    </row>
    <row r="2019" customFormat="false" ht="12.8" hidden="false" customHeight="false" outlineLevel="0" collapsed="false">
      <c r="A2019" s="0" t="s">
        <v>12</v>
      </c>
      <c r="B2019" s="0" t="n">
        <v>571699</v>
      </c>
      <c r="C2019" s="0" t="n">
        <v>571719</v>
      </c>
      <c r="D2019" s="0" t="s">
        <v>6733</v>
      </c>
      <c r="E2019" s="0" t="s">
        <v>6734</v>
      </c>
      <c r="F2019" s="0" t="s">
        <v>15</v>
      </c>
      <c r="G2019" s="0" t="s">
        <v>36</v>
      </c>
      <c r="H2019" s="0" t="n">
        <v>0</v>
      </c>
      <c r="I2019" s="0" t="s">
        <v>6735</v>
      </c>
      <c r="J2019" s="0" t="s">
        <v>6736</v>
      </c>
      <c r="K2019" s="0" t="s">
        <v>6737</v>
      </c>
      <c r="L2019" s="0" t="str">
        <f aca="false">HYPERLINK("https://www.ncbi.nlm.nih.gov/nuccore/CP000304.1?report=graph&amp;tracks=[key:gene_model_track,Options:GeneOnly]&amp;mk=571700:571719|offset_0|00cc00,571726:571745|offset_26|444444,571750:571769|offset_50|444444,571771:571790|offset_71|444444&amp;v=571499:571990&amp;c=444444", "offset 0")</f>
        <v>offset 0</v>
      </c>
    </row>
    <row r="2020" customFormat="false" ht="12.8" hidden="false" customHeight="false" outlineLevel="0" collapsed="false">
      <c r="A2020" s="0" t="s">
        <v>12</v>
      </c>
      <c r="B2020" s="0" t="n">
        <v>571725</v>
      </c>
      <c r="C2020" s="0" t="n">
        <v>571745</v>
      </c>
      <c r="D2020" s="0" t="s">
        <v>6733</v>
      </c>
      <c r="E2020" s="0" t="s">
        <v>6734</v>
      </c>
      <c r="F2020" s="0" t="s">
        <v>15</v>
      </c>
      <c r="G2020" s="0" t="s">
        <v>26</v>
      </c>
      <c r="H2020" s="0" t="n">
        <v>26</v>
      </c>
      <c r="I2020" s="0" t="s">
        <v>6738</v>
      </c>
      <c r="J2020" s="0" t="s">
        <v>6739</v>
      </c>
      <c r="K2020" s="0" t="s">
        <v>6740</v>
      </c>
      <c r="L2020" s="0" t="str">
        <f aca="false">HYPERLINK("https://www.ncbi.nlm.nih.gov/nuccore/CP000304.1?report=graph&amp;tracks=[key:gene_model_track,Options:GeneOnly]&amp;mk=571700:571719|offset_0|444444,571726:571745|offset_26|00cc00,571750:571769|offset_50|444444,571771:571790|offset_71|444444&amp;v=571499:571990&amp;c=444444", "offset 26")</f>
        <v>offset 26</v>
      </c>
    </row>
    <row r="2021" customFormat="false" ht="12.8" hidden="false" customHeight="false" outlineLevel="0" collapsed="false">
      <c r="A2021" s="0" t="s">
        <v>12</v>
      </c>
      <c r="B2021" s="0" t="n">
        <v>571749</v>
      </c>
      <c r="C2021" s="0" t="n">
        <v>571769</v>
      </c>
      <c r="D2021" s="0" t="s">
        <v>6733</v>
      </c>
      <c r="E2021" s="0" t="s">
        <v>6734</v>
      </c>
      <c r="F2021" s="0" t="s">
        <v>15</v>
      </c>
      <c r="G2021" s="0" t="s">
        <v>26</v>
      </c>
      <c r="H2021" s="0" t="n">
        <v>50</v>
      </c>
      <c r="I2021" s="0" t="s">
        <v>6741</v>
      </c>
      <c r="J2021" s="0" t="s">
        <v>6742</v>
      </c>
      <c r="K2021" s="0" t="s">
        <v>6743</v>
      </c>
      <c r="L2021" s="0" t="str">
        <f aca="false">HYPERLINK("https://www.ncbi.nlm.nih.gov/nuccore/CP000304.1?report=graph&amp;tracks=[key:gene_model_track,Options:GeneOnly]&amp;mk=571700:571719|offset_0|444444,571726:571745|offset_26|444444,571750:571769|offset_50|00cc00,571771:571790|offset_71|444444&amp;v=571499:571990&amp;c=444444", "offset 50")</f>
        <v>offset 50</v>
      </c>
    </row>
    <row r="2022" customFormat="false" ht="12.8" hidden="false" customHeight="false" outlineLevel="0" collapsed="false">
      <c r="A2022" s="0" t="s">
        <v>12</v>
      </c>
      <c r="B2022" s="0" t="n">
        <v>571770</v>
      </c>
      <c r="C2022" s="0" t="n">
        <v>571790</v>
      </c>
      <c r="D2022" s="0" t="s">
        <v>6733</v>
      </c>
      <c r="E2022" s="0" t="s">
        <v>6734</v>
      </c>
      <c r="F2022" s="0" t="s">
        <v>15</v>
      </c>
      <c r="G2022" s="0" t="s">
        <v>26</v>
      </c>
      <c r="H2022" s="0" t="n">
        <v>71</v>
      </c>
      <c r="I2022" s="0" t="s">
        <v>6744</v>
      </c>
      <c r="J2022" s="0" t="s">
        <v>6745</v>
      </c>
      <c r="K2022" s="0" t="s">
        <v>6746</v>
      </c>
      <c r="L2022" s="0" t="str">
        <f aca="false">HYPERLINK("https://www.ncbi.nlm.nih.gov/nuccore/CP000304.1?report=graph&amp;tracks=[key:gene_model_track,Options:GeneOnly]&amp;mk=571700:571719|offset_0|444444,571726:571745|offset_26|444444,571750:571769|offset_50|444444,571771:571790|offset_71|00cc00&amp;v=571499:571990&amp;c=444444", "offset 71")</f>
        <v>offset 71</v>
      </c>
    </row>
    <row r="2023" customFormat="false" ht="12.8" hidden="false" customHeight="false" outlineLevel="0" collapsed="false">
      <c r="A2023" s="0" t="s">
        <v>12</v>
      </c>
      <c r="B2023" s="0" t="n">
        <v>572397</v>
      </c>
      <c r="C2023" s="0" t="n">
        <v>572417</v>
      </c>
      <c r="D2023" s="0" t="s">
        <v>6747</v>
      </c>
      <c r="E2023" s="0" t="s">
        <v>89</v>
      </c>
      <c r="F2023" s="0" t="s">
        <v>90</v>
      </c>
      <c r="G2023" s="0" t="s">
        <v>32</v>
      </c>
      <c r="H2023" s="0" t="n">
        <v>13</v>
      </c>
      <c r="I2023" s="0" t="s">
        <v>6748</v>
      </c>
      <c r="J2023" s="0" t="s">
        <v>6749</v>
      </c>
      <c r="K2023" s="0" t="s">
        <v>6750</v>
      </c>
      <c r="L2023" s="0" t="str">
        <f aca="false">HYPERLINK("https://www.ncbi.nlm.nih.gov/nuccore/CP000304.1?report=graph&amp;tracks=[key:gene_model_track,Options:GeneOnly]&amp;mk=572398:572417|offset_13|00cc00,572366:572385|offset_45|444444,572341:572360|offset_70|444444,572320:572339|offset_91|444444&amp;v=572197:572539&amp;c=444444", "offset 13")</f>
        <v>offset 13</v>
      </c>
    </row>
    <row r="2024" customFormat="false" ht="12.8" hidden="false" customHeight="false" outlineLevel="0" collapsed="false">
      <c r="A2024" s="0" t="s">
        <v>12</v>
      </c>
      <c r="B2024" s="0" t="n">
        <v>572365</v>
      </c>
      <c r="C2024" s="0" t="n">
        <v>572385</v>
      </c>
      <c r="D2024" s="0" t="s">
        <v>6747</v>
      </c>
      <c r="E2024" s="0" t="s">
        <v>89</v>
      </c>
      <c r="F2024" s="0" t="s">
        <v>90</v>
      </c>
      <c r="G2024" s="0" t="s">
        <v>36</v>
      </c>
      <c r="H2024" s="0" t="n">
        <v>45</v>
      </c>
      <c r="I2024" s="0" t="s">
        <v>6751</v>
      </c>
      <c r="J2024" s="0" t="s">
        <v>6752</v>
      </c>
      <c r="K2024" s="0" t="s">
        <v>6753</v>
      </c>
      <c r="L2024" s="0" t="str">
        <f aca="false">HYPERLINK("https://www.ncbi.nlm.nih.gov/nuccore/CP000304.1?report=graph&amp;tracks=[key:gene_model_track,Options:GeneOnly]&amp;mk=572398:572417|offset_13|444444,572366:572385|offset_45|00cc00,572341:572360|offset_70|444444,572320:572339|offset_91|444444&amp;v=572197:572539&amp;c=444444", "offset 45")</f>
        <v>offset 45</v>
      </c>
    </row>
    <row r="2025" customFormat="false" ht="12.8" hidden="false" customHeight="false" outlineLevel="0" collapsed="false">
      <c r="A2025" s="0" t="s">
        <v>12</v>
      </c>
      <c r="B2025" s="0" t="n">
        <v>572340</v>
      </c>
      <c r="C2025" s="0" t="n">
        <v>572360</v>
      </c>
      <c r="D2025" s="0" t="s">
        <v>6747</v>
      </c>
      <c r="E2025" s="0" t="s">
        <v>89</v>
      </c>
      <c r="F2025" s="0" t="s">
        <v>90</v>
      </c>
      <c r="G2025" s="0" t="s">
        <v>26</v>
      </c>
      <c r="H2025" s="0" t="n">
        <v>70</v>
      </c>
      <c r="I2025" s="0" t="s">
        <v>6754</v>
      </c>
      <c r="J2025" s="0" t="s">
        <v>6755</v>
      </c>
      <c r="K2025" s="0" t="s">
        <v>6756</v>
      </c>
      <c r="L2025" s="0" t="str">
        <f aca="false">HYPERLINK("https://www.ncbi.nlm.nih.gov/nuccore/CP000304.1?report=graph&amp;tracks=[key:gene_model_track,Options:GeneOnly]&amp;mk=572398:572417|offset_13|444444,572366:572385|offset_45|444444,572341:572360|offset_70|00cc00,572320:572339|offset_91|444444&amp;v=572197:572539&amp;c=444444", "offset 70")</f>
        <v>offset 70</v>
      </c>
    </row>
    <row r="2026" customFormat="false" ht="12.8" hidden="false" customHeight="false" outlineLevel="0" collapsed="false">
      <c r="A2026" s="0" t="s">
        <v>12</v>
      </c>
      <c r="B2026" s="0" t="n">
        <v>572319</v>
      </c>
      <c r="C2026" s="0" t="n">
        <v>572339</v>
      </c>
      <c r="D2026" s="0" t="s">
        <v>6747</v>
      </c>
      <c r="E2026" s="0" t="s">
        <v>89</v>
      </c>
      <c r="F2026" s="0" t="s">
        <v>90</v>
      </c>
      <c r="G2026" s="0" t="s">
        <v>26</v>
      </c>
      <c r="H2026" s="0" t="n">
        <v>91</v>
      </c>
      <c r="I2026" s="0" t="s">
        <v>6757</v>
      </c>
      <c r="J2026" s="0" t="s">
        <v>6758</v>
      </c>
      <c r="K2026" s="0" t="s">
        <v>6759</v>
      </c>
      <c r="L2026" s="0" t="str">
        <f aca="false">HYPERLINK("https://www.ncbi.nlm.nih.gov/nuccore/CP000304.1?report=graph&amp;tracks=[key:gene_model_track,Options:GeneOnly]&amp;mk=572398:572417|offset_13|444444,572366:572385|offset_45|444444,572341:572360|offset_70|444444,572320:572339|offset_91|00cc00&amp;v=572197:572539&amp;c=444444", "offset 91")</f>
        <v>offset 91</v>
      </c>
    </row>
    <row r="2027" customFormat="false" ht="12.8" hidden="false" customHeight="false" outlineLevel="0" collapsed="false">
      <c r="A2027" s="0" t="s">
        <v>12</v>
      </c>
      <c r="B2027" s="0" t="n">
        <v>575241</v>
      </c>
      <c r="C2027" s="0" t="n">
        <v>575261</v>
      </c>
      <c r="D2027" s="0" t="s">
        <v>6760</v>
      </c>
      <c r="E2027" s="0" t="s">
        <v>6761</v>
      </c>
      <c r="F2027" s="0" t="s">
        <v>90</v>
      </c>
      <c r="G2027" s="0" t="s">
        <v>36</v>
      </c>
      <c r="H2027" s="0" t="n">
        <v>0</v>
      </c>
      <c r="I2027" s="0" t="s">
        <v>6762</v>
      </c>
      <c r="J2027" s="0" t="s">
        <v>6763</v>
      </c>
      <c r="K2027" s="0" t="s">
        <v>6764</v>
      </c>
      <c r="L2027" s="0" t="str">
        <f aca="false">HYPERLINK("https://www.ncbi.nlm.nih.gov/nuccore/CP000304.1?report=graph&amp;tracks=[key:gene_model_track,Options:GeneOnly]&amp;mk=575242:575261|offset_0|00cc00,575219:575238|offset_23|444444,575178:575197|offset_64|444444,575127:575146|offset_115|444444&amp;v=575041:575346&amp;c=444444", "offset 0")</f>
        <v>offset 0</v>
      </c>
    </row>
    <row r="2028" customFormat="false" ht="12.8" hidden="false" customHeight="false" outlineLevel="0" collapsed="false">
      <c r="A2028" s="0" t="s">
        <v>12</v>
      </c>
      <c r="B2028" s="0" t="n">
        <v>575218</v>
      </c>
      <c r="C2028" s="0" t="n">
        <v>575238</v>
      </c>
      <c r="D2028" s="0" t="s">
        <v>6760</v>
      </c>
      <c r="E2028" s="0" t="s">
        <v>6761</v>
      </c>
      <c r="F2028" s="0" t="s">
        <v>90</v>
      </c>
      <c r="G2028" s="0" t="s">
        <v>32</v>
      </c>
      <c r="H2028" s="0" t="n">
        <v>23</v>
      </c>
      <c r="I2028" s="0" t="s">
        <v>6765</v>
      </c>
      <c r="J2028" s="0" t="s">
        <v>6766</v>
      </c>
      <c r="K2028" s="0" t="s">
        <v>6767</v>
      </c>
      <c r="L2028" s="0" t="str">
        <f aca="false">HYPERLINK("https://www.ncbi.nlm.nih.gov/nuccore/CP000304.1?report=graph&amp;tracks=[key:gene_model_track,Options:GeneOnly]&amp;mk=575242:575261|offset_0|444444,575219:575238|offset_23|00cc00,575178:575197|offset_64|444444,575127:575146|offset_115|444444&amp;v=575041:575346&amp;c=444444", "offset 23")</f>
        <v>offset 23</v>
      </c>
    </row>
    <row r="2029" customFormat="false" ht="12.8" hidden="false" customHeight="false" outlineLevel="0" collapsed="false">
      <c r="A2029" s="0" t="s">
        <v>12</v>
      </c>
      <c r="B2029" s="0" t="n">
        <v>575177</v>
      </c>
      <c r="C2029" s="0" t="n">
        <v>575197</v>
      </c>
      <c r="D2029" s="0" t="s">
        <v>6760</v>
      </c>
      <c r="E2029" s="0" t="s">
        <v>6761</v>
      </c>
      <c r="F2029" s="0" t="s">
        <v>90</v>
      </c>
      <c r="G2029" s="0" t="s">
        <v>32</v>
      </c>
      <c r="H2029" s="0" t="n">
        <v>64</v>
      </c>
      <c r="I2029" s="0" t="s">
        <v>6768</v>
      </c>
      <c r="J2029" s="0" t="s">
        <v>6769</v>
      </c>
      <c r="K2029" s="0" t="s">
        <v>6770</v>
      </c>
      <c r="L2029" s="0" t="str">
        <f aca="false">HYPERLINK("https://www.ncbi.nlm.nih.gov/nuccore/CP000304.1?report=graph&amp;tracks=[key:gene_model_track,Options:GeneOnly]&amp;mk=575242:575261|offset_0|444444,575219:575238|offset_23|444444,575178:575197|offset_64|00cc00,575127:575146|offset_115|444444&amp;v=575041:575346&amp;c=444444", "offset 64")</f>
        <v>offset 64</v>
      </c>
    </row>
    <row r="2030" customFormat="false" ht="12.8" hidden="false" customHeight="false" outlineLevel="0" collapsed="false">
      <c r="A2030" s="0" t="s">
        <v>12</v>
      </c>
      <c r="B2030" s="0" t="n">
        <v>575126</v>
      </c>
      <c r="C2030" s="0" t="n">
        <v>575146</v>
      </c>
      <c r="D2030" s="0" t="s">
        <v>6760</v>
      </c>
      <c r="E2030" s="0" t="s">
        <v>6761</v>
      </c>
      <c r="F2030" s="0" t="s">
        <v>90</v>
      </c>
      <c r="G2030" s="0" t="s">
        <v>36</v>
      </c>
      <c r="H2030" s="0" t="n">
        <v>115</v>
      </c>
      <c r="I2030" s="0" t="s">
        <v>6771</v>
      </c>
      <c r="J2030" s="0" t="s">
        <v>6772</v>
      </c>
      <c r="K2030" s="0" t="s">
        <v>6773</v>
      </c>
      <c r="L2030" s="0" t="str">
        <f aca="false">HYPERLINK("https://www.ncbi.nlm.nih.gov/nuccore/CP000304.1?report=graph&amp;tracks=[key:gene_model_track,Options:GeneOnly]&amp;mk=575242:575261|offset_0|444444,575219:575238|offset_23|444444,575178:575197|offset_64|444444,575127:575146|offset_115|00cc00&amp;v=575041:575346&amp;c=444444", "offset 115")</f>
        <v>offset 115</v>
      </c>
    </row>
    <row r="2031" customFormat="false" ht="12.8" hidden="false" customHeight="false" outlineLevel="0" collapsed="false">
      <c r="A2031" s="0" t="s">
        <v>12</v>
      </c>
      <c r="B2031" s="0" t="n">
        <v>575624</v>
      </c>
      <c r="C2031" s="0" t="n">
        <v>575644</v>
      </c>
      <c r="D2031" s="0" t="s">
        <v>6774</v>
      </c>
      <c r="E2031" s="0" t="s">
        <v>89</v>
      </c>
      <c r="F2031" s="0" t="s">
        <v>90</v>
      </c>
      <c r="G2031" s="0" t="s">
        <v>36</v>
      </c>
      <c r="H2031" s="0" t="n">
        <v>13</v>
      </c>
      <c r="I2031" s="0" t="s">
        <v>6775</v>
      </c>
      <c r="J2031" s="0" t="s">
        <v>6776</v>
      </c>
      <c r="K2031" s="0" t="s">
        <v>6777</v>
      </c>
      <c r="L2031" s="0" t="str">
        <f aca="false">HYPERLINK("https://www.ncbi.nlm.nih.gov/nuccore/CP000304.1?report=graph&amp;tracks=[key:gene_model_track,Options:GeneOnly]&amp;mk=575625:575644|offset_13|00cc00,575597:575616|offset_41|444444,575549:575568|offset_89|444444,575529:575548|offset_109|444444&amp;v=575424:575748&amp;c=444444", "offset 13")</f>
        <v>offset 13</v>
      </c>
    </row>
    <row r="2032" customFormat="false" ht="12.8" hidden="false" customHeight="false" outlineLevel="0" collapsed="false">
      <c r="A2032" s="0" t="s">
        <v>12</v>
      </c>
      <c r="B2032" s="0" t="n">
        <v>575596</v>
      </c>
      <c r="C2032" s="0" t="n">
        <v>575616</v>
      </c>
      <c r="D2032" s="0" t="s">
        <v>6774</v>
      </c>
      <c r="E2032" s="0" t="s">
        <v>89</v>
      </c>
      <c r="F2032" s="0" t="s">
        <v>90</v>
      </c>
      <c r="G2032" s="0" t="s">
        <v>26</v>
      </c>
      <c r="H2032" s="0" t="n">
        <v>41</v>
      </c>
      <c r="I2032" s="0" t="s">
        <v>6778</v>
      </c>
      <c r="J2032" s="0" t="s">
        <v>6779</v>
      </c>
      <c r="K2032" s="0" t="s">
        <v>6780</v>
      </c>
      <c r="L2032" s="0" t="str">
        <f aca="false">HYPERLINK("https://www.ncbi.nlm.nih.gov/nuccore/CP000304.1?report=graph&amp;tracks=[key:gene_model_track,Options:GeneOnly]&amp;mk=575625:575644|offset_13|444444,575597:575616|offset_41|00cc00,575549:575568|offset_89|444444,575529:575548|offset_109|444444&amp;v=575424:575748&amp;c=444444", "offset 41")</f>
        <v>offset 41</v>
      </c>
    </row>
    <row r="2033" customFormat="false" ht="12.8" hidden="false" customHeight="false" outlineLevel="0" collapsed="false">
      <c r="A2033" s="0" t="s">
        <v>12</v>
      </c>
      <c r="B2033" s="0" t="n">
        <v>575548</v>
      </c>
      <c r="C2033" s="0" t="n">
        <v>575568</v>
      </c>
      <c r="D2033" s="0" t="s">
        <v>6774</v>
      </c>
      <c r="E2033" s="0" t="s">
        <v>89</v>
      </c>
      <c r="F2033" s="0" t="s">
        <v>90</v>
      </c>
      <c r="G2033" s="0" t="s">
        <v>32</v>
      </c>
      <c r="H2033" s="0" t="n">
        <v>89</v>
      </c>
      <c r="I2033" s="0" t="s">
        <v>6781</v>
      </c>
      <c r="J2033" s="0" t="s">
        <v>6782</v>
      </c>
      <c r="K2033" s="0" t="s">
        <v>6783</v>
      </c>
      <c r="L2033" s="0" t="str">
        <f aca="false">HYPERLINK("https://www.ncbi.nlm.nih.gov/nuccore/CP000304.1?report=graph&amp;tracks=[key:gene_model_track,Options:GeneOnly]&amp;mk=575625:575644|offset_13|444444,575597:575616|offset_41|444444,575549:575568|offset_89|00cc00,575529:575548|offset_109|444444&amp;v=575424:575748&amp;c=444444", "offset 89")</f>
        <v>offset 89</v>
      </c>
    </row>
    <row r="2034" customFormat="false" ht="12.8" hidden="false" customHeight="false" outlineLevel="0" collapsed="false">
      <c r="A2034" s="0" t="s">
        <v>12</v>
      </c>
      <c r="B2034" s="0" t="n">
        <v>575528</v>
      </c>
      <c r="C2034" s="0" t="n">
        <v>575548</v>
      </c>
      <c r="D2034" s="0" t="s">
        <v>6774</v>
      </c>
      <c r="E2034" s="0" t="s">
        <v>89</v>
      </c>
      <c r="F2034" s="0" t="s">
        <v>90</v>
      </c>
      <c r="G2034" s="0" t="s">
        <v>32</v>
      </c>
      <c r="H2034" s="0" t="n">
        <v>109</v>
      </c>
      <c r="I2034" s="0" t="s">
        <v>6784</v>
      </c>
      <c r="J2034" s="0" t="s">
        <v>6785</v>
      </c>
      <c r="K2034" s="0" t="s">
        <v>6786</v>
      </c>
      <c r="L2034" s="0" t="str">
        <f aca="false">HYPERLINK("https://www.ncbi.nlm.nih.gov/nuccore/CP000304.1?report=graph&amp;tracks=[key:gene_model_track,Options:GeneOnly]&amp;mk=575625:575644|offset_13|444444,575597:575616|offset_41|444444,575549:575568|offset_89|444444,575529:575548|offset_109|00cc00&amp;v=575424:575748&amp;c=444444", "offset 109")</f>
        <v>offset 109</v>
      </c>
    </row>
    <row r="2035" customFormat="false" ht="12.8" hidden="false" customHeight="false" outlineLevel="0" collapsed="false">
      <c r="A2035" s="0" t="s">
        <v>12</v>
      </c>
      <c r="B2035" s="0" t="n">
        <v>576155</v>
      </c>
      <c r="C2035" s="0" t="n">
        <v>576175</v>
      </c>
      <c r="D2035" s="0" t="s">
        <v>6787</v>
      </c>
      <c r="E2035" s="0" t="s">
        <v>89</v>
      </c>
      <c r="F2035" s="0" t="s">
        <v>90</v>
      </c>
      <c r="G2035" s="0" t="s">
        <v>32</v>
      </c>
      <c r="H2035" s="0" t="n">
        <v>1</v>
      </c>
      <c r="I2035" s="0" t="s">
        <v>6788</v>
      </c>
      <c r="J2035" s="0" t="s">
        <v>6789</v>
      </c>
      <c r="K2035" s="0" t="s">
        <v>6790</v>
      </c>
      <c r="L2035" s="0" t="str">
        <f aca="false">HYPERLINK("https://www.ncbi.nlm.nih.gov/nuccore/CP000304.1?report=graph&amp;tracks=[key:gene_model_track,Options:GeneOnly]&amp;mk=576156:576175|offset_1|00cc00,576136:576155|offset_21|444444,576110:576129|offset_47|444444,576071:576090|offset_86|444444&amp;v=575955:576290&amp;c=444444", "offset 1")</f>
        <v>offset 1</v>
      </c>
    </row>
    <row r="2036" customFormat="false" ht="12.8" hidden="false" customHeight="false" outlineLevel="0" collapsed="false">
      <c r="A2036" s="0" t="s">
        <v>12</v>
      </c>
      <c r="B2036" s="0" t="n">
        <v>576135</v>
      </c>
      <c r="C2036" s="0" t="n">
        <v>576155</v>
      </c>
      <c r="D2036" s="0" t="s">
        <v>6787</v>
      </c>
      <c r="E2036" s="0" t="s">
        <v>89</v>
      </c>
      <c r="F2036" s="0" t="s">
        <v>90</v>
      </c>
      <c r="G2036" s="0" t="s">
        <v>16</v>
      </c>
      <c r="H2036" s="0" t="n">
        <v>21</v>
      </c>
      <c r="I2036" s="0" t="s">
        <v>6791</v>
      </c>
      <c r="J2036" s="0" t="s">
        <v>6792</v>
      </c>
      <c r="K2036" s="0" t="s">
        <v>6793</v>
      </c>
      <c r="L2036" s="0" t="str">
        <f aca="false">HYPERLINK("https://www.ncbi.nlm.nih.gov/nuccore/CP000304.1?report=graph&amp;tracks=[key:gene_model_track,Options:GeneOnly]&amp;mk=576156:576175|offset_1|444444,576136:576155|offset_21|00cc00,576110:576129|offset_47|444444,576071:576090|offset_86|444444&amp;v=575955:576290&amp;c=444444", "offset 21")</f>
        <v>offset 21</v>
      </c>
    </row>
    <row r="2037" customFormat="false" ht="12.8" hidden="false" customHeight="false" outlineLevel="0" collapsed="false">
      <c r="A2037" s="0" t="s">
        <v>12</v>
      </c>
      <c r="B2037" s="0" t="n">
        <v>576109</v>
      </c>
      <c r="C2037" s="0" t="n">
        <v>576129</v>
      </c>
      <c r="D2037" s="0" t="s">
        <v>6787</v>
      </c>
      <c r="E2037" s="0" t="s">
        <v>89</v>
      </c>
      <c r="F2037" s="0" t="s">
        <v>90</v>
      </c>
      <c r="G2037" s="0" t="s">
        <v>32</v>
      </c>
      <c r="H2037" s="0" t="n">
        <v>47</v>
      </c>
      <c r="I2037" s="0" t="s">
        <v>6794</v>
      </c>
      <c r="J2037" s="0" t="s">
        <v>6795</v>
      </c>
      <c r="K2037" s="0" t="s">
        <v>6796</v>
      </c>
      <c r="L2037" s="0" t="str">
        <f aca="false">HYPERLINK("https://www.ncbi.nlm.nih.gov/nuccore/CP000304.1?report=graph&amp;tracks=[key:gene_model_track,Options:GeneOnly]&amp;mk=576156:576175|offset_1|444444,576136:576155|offset_21|444444,576110:576129|offset_47|00cc00,576071:576090|offset_86|444444&amp;v=575955:576290&amp;c=444444", "offset 47")</f>
        <v>offset 47</v>
      </c>
    </row>
    <row r="2038" customFormat="false" ht="12.8" hidden="false" customHeight="false" outlineLevel="0" collapsed="false">
      <c r="A2038" s="0" t="s">
        <v>12</v>
      </c>
      <c r="B2038" s="0" t="n">
        <v>576070</v>
      </c>
      <c r="C2038" s="0" t="n">
        <v>576090</v>
      </c>
      <c r="D2038" s="0" t="s">
        <v>6787</v>
      </c>
      <c r="E2038" s="0" t="s">
        <v>89</v>
      </c>
      <c r="F2038" s="0" t="s">
        <v>90</v>
      </c>
      <c r="G2038" s="0" t="s">
        <v>16</v>
      </c>
      <c r="H2038" s="0" t="n">
        <v>86</v>
      </c>
      <c r="I2038" s="0" t="s">
        <v>6797</v>
      </c>
      <c r="J2038" s="0" t="s">
        <v>6798</v>
      </c>
      <c r="K2038" s="0" t="s">
        <v>6799</v>
      </c>
      <c r="L2038" s="0" t="str">
        <f aca="false">HYPERLINK("https://www.ncbi.nlm.nih.gov/nuccore/CP000304.1?report=graph&amp;tracks=[key:gene_model_track,Options:GeneOnly]&amp;mk=576156:576175|offset_1|444444,576136:576155|offset_21|444444,576110:576129|offset_47|444444,576071:576090|offset_86|00cc00&amp;v=575955:576290&amp;c=444444", "offset 86")</f>
        <v>offset 86</v>
      </c>
    </row>
    <row r="2039" customFormat="false" ht="12.8" hidden="false" customHeight="false" outlineLevel="0" collapsed="false">
      <c r="A2039" s="0" t="s">
        <v>12</v>
      </c>
      <c r="B2039" s="0" t="n">
        <v>576748</v>
      </c>
      <c r="C2039" s="0" t="n">
        <v>576768</v>
      </c>
      <c r="D2039" s="0" t="s">
        <v>6800</v>
      </c>
      <c r="E2039" s="0" t="s">
        <v>89</v>
      </c>
      <c r="F2039" s="0" t="s">
        <v>90</v>
      </c>
      <c r="G2039" s="0" t="s">
        <v>36</v>
      </c>
      <c r="H2039" s="0" t="n">
        <v>6</v>
      </c>
      <c r="I2039" s="0" t="s">
        <v>6801</v>
      </c>
      <c r="J2039" s="0" t="s">
        <v>6802</v>
      </c>
      <c r="K2039" s="0" t="s">
        <v>6803</v>
      </c>
      <c r="L2039" s="0" t="str">
        <f aca="false">HYPERLINK("https://www.ncbi.nlm.nih.gov/nuccore/CP000304.1?report=graph&amp;tracks=[key:gene_model_track,Options:GeneOnly]&amp;mk=576749:576768|offset_6|00cc00,576715:576734|offset_40|444444,576689:576708|offset_66|444444,576666:576685|offset_89|444444&amp;v=576548:576885&amp;c=444444", "offset 6")</f>
        <v>offset 6</v>
      </c>
    </row>
    <row r="2040" customFormat="false" ht="12.8" hidden="false" customHeight="false" outlineLevel="0" collapsed="false">
      <c r="A2040" s="0" t="s">
        <v>12</v>
      </c>
      <c r="B2040" s="0" t="n">
        <v>576714</v>
      </c>
      <c r="C2040" s="0" t="n">
        <v>576734</v>
      </c>
      <c r="D2040" s="0" t="s">
        <v>6800</v>
      </c>
      <c r="E2040" s="0" t="s">
        <v>89</v>
      </c>
      <c r="F2040" s="0" t="s">
        <v>90</v>
      </c>
      <c r="G2040" s="0" t="s">
        <v>36</v>
      </c>
      <c r="H2040" s="0" t="n">
        <v>40</v>
      </c>
      <c r="I2040" s="0" t="s">
        <v>6804</v>
      </c>
      <c r="J2040" s="0" t="s">
        <v>6805</v>
      </c>
      <c r="K2040" s="0" t="s">
        <v>6806</v>
      </c>
      <c r="L2040" s="0" t="str">
        <f aca="false">HYPERLINK("https://www.ncbi.nlm.nih.gov/nuccore/CP000304.1?report=graph&amp;tracks=[key:gene_model_track,Options:GeneOnly]&amp;mk=576749:576768|offset_6|444444,576715:576734|offset_40|00cc00,576689:576708|offset_66|444444,576666:576685|offset_89|444444&amp;v=576548:576885&amp;c=444444", "offset 40")</f>
        <v>offset 40</v>
      </c>
    </row>
    <row r="2041" customFormat="false" ht="12.8" hidden="false" customHeight="false" outlineLevel="0" collapsed="false">
      <c r="A2041" s="0" t="s">
        <v>12</v>
      </c>
      <c r="B2041" s="0" t="n">
        <v>576688</v>
      </c>
      <c r="C2041" s="0" t="n">
        <v>576708</v>
      </c>
      <c r="D2041" s="0" t="s">
        <v>6800</v>
      </c>
      <c r="E2041" s="0" t="s">
        <v>89</v>
      </c>
      <c r="F2041" s="0" t="s">
        <v>90</v>
      </c>
      <c r="G2041" s="0" t="s">
        <v>36</v>
      </c>
      <c r="H2041" s="0" t="n">
        <v>66</v>
      </c>
      <c r="I2041" s="0" t="s">
        <v>6807</v>
      </c>
      <c r="J2041" s="0" t="s">
        <v>6808</v>
      </c>
      <c r="K2041" s="0" t="s">
        <v>6809</v>
      </c>
      <c r="L2041" s="0" t="str">
        <f aca="false">HYPERLINK("https://www.ncbi.nlm.nih.gov/nuccore/CP000304.1?report=graph&amp;tracks=[key:gene_model_track,Options:GeneOnly]&amp;mk=576749:576768|offset_6|444444,576715:576734|offset_40|444444,576689:576708|offset_66|00cc00,576666:576685|offset_89|444444&amp;v=576548:576885&amp;c=444444", "offset 66")</f>
        <v>offset 66</v>
      </c>
    </row>
    <row r="2042" customFormat="false" ht="12.8" hidden="false" customHeight="false" outlineLevel="0" collapsed="false">
      <c r="A2042" s="0" t="s">
        <v>12</v>
      </c>
      <c r="B2042" s="0" t="n">
        <v>576665</v>
      </c>
      <c r="C2042" s="0" t="n">
        <v>576685</v>
      </c>
      <c r="D2042" s="0" t="s">
        <v>6800</v>
      </c>
      <c r="E2042" s="0" t="s">
        <v>89</v>
      </c>
      <c r="F2042" s="0" t="s">
        <v>90</v>
      </c>
      <c r="G2042" s="0" t="s">
        <v>16</v>
      </c>
      <c r="H2042" s="0" t="n">
        <v>89</v>
      </c>
      <c r="I2042" s="0" t="s">
        <v>6810</v>
      </c>
      <c r="J2042" s="0" t="s">
        <v>6811</v>
      </c>
      <c r="K2042" s="0" t="s">
        <v>6812</v>
      </c>
      <c r="L2042" s="0" t="str">
        <f aca="false">HYPERLINK("https://www.ncbi.nlm.nih.gov/nuccore/CP000304.1?report=graph&amp;tracks=[key:gene_model_track,Options:GeneOnly]&amp;mk=576749:576768|offset_6|444444,576715:576734|offset_40|444444,576689:576708|offset_66|444444,576666:576685|offset_89|00cc00&amp;v=576548:576885&amp;c=444444", "offset 89")</f>
        <v>offset 89</v>
      </c>
    </row>
    <row r="2043" customFormat="false" ht="12.8" hidden="false" customHeight="false" outlineLevel="0" collapsed="false">
      <c r="A2043" s="0" t="s">
        <v>12</v>
      </c>
      <c r="B2043" s="0" t="n">
        <v>577972</v>
      </c>
      <c r="C2043" s="0" t="n">
        <v>577992</v>
      </c>
      <c r="D2043" s="0" t="s">
        <v>6813</v>
      </c>
      <c r="E2043" s="0" t="s">
        <v>89</v>
      </c>
      <c r="F2043" s="0" t="s">
        <v>90</v>
      </c>
      <c r="G2043" s="0" t="s">
        <v>36</v>
      </c>
      <c r="H2043" s="0" t="n">
        <v>8</v>
      </c>
      <c r="I2043" s="0" t="s">
        <v>6814</v>
      </c>
      <c r="J2043" s="0" t="s">
        <v>6815</v>
      </c>
      <c r="K2043" s="0" t="s">
        <v>6816</v>
      </c>
      <c r="L2043" s="0" t="str">
        <f aca="false">HYPERLINK("https://www.ncbi.nlm.nih.gov/nuccore/CP000304.1?report=graph&amp;tracks=[key:gene_model_track,Options:GeneOnly]&amp;mk=577973:577992|offset_8|00cc00,577947:577966|offset_34|444444,577923:577942|offset_58|444444,577901:577920|offset_80|444444&amp;v=577772:578120&amp;c=444444", "offset 8")</f>
        <v>offset 8</v>
      </c>
    </row>
    <row r="2044" customFormat="false" ht="12.8" hidden="false" customHeight="false" outlineLevel="0" collapsed="false">
      <c r="A2044" s="0" t="s">
        <v>12</v>
      </c>
      <c r="B2044" s="0" t="n">
        <v>577946</v>
      </c>
      <c r="C2044" s="0" t="n">
        <v>577966</v>
      </c>
      <c r="D2044" s="0" t="s">
        <v>6813</v>
      </c>
      <c r="E2044" s="0" t="s">
        <v>89</v>
      </c>
      <c r="F2044" s="0" t="s">
        <v>90</v>
      </c>
      <c r="G2044" s="0" t="s">
        <v>32</v>
      </c>
      <c r="H2044" s="0" t="n">
        <v>34</v>
      </c>
      <c r="I2044" s="0" t="s">
        <v>6817</v>
      </c>
      <c r="J2044" s="0" t="s">
        <v>6818</v>
      </c>
      <c r="K2044" s="0" t="s">
        <v>6819</v>
      </c>
      <c r="L2044" s="0" t="str">
        <f aca="false">HYPERLINK("https://www.ncbi.nlm.nih.gov/nuccore/CP000304.1?report=graph&amp;tracks=[key:gene_model_track,Options:GeneOnly]&amp;mk=577973:577992|offset_8|444444,577947:577966|offset_34|00cc00,577923:577942|offset_58|444444,577901:577920|offset_80|444444&amp;v=577772:578120&amp;c=444444", "offset 34")</f>
        <v>offset 34</v>
      </c>
    </row>
    <row r="2045" customFormat="false" ht="12.8" hidden="false" customHeight="false" outlineLevel="0" collapsed="false">
      <c r="A2045" s="0" t="s">
        <v>12</v>
      </c>
      <c r="B2045" s="0" t="n">
        <v>577922</v>
      </c>
      <c r="C2045" s="0" t="n">
        <v>577942</v>
      </c>
      <c r="D2045" s="0" t="s">
        <v>6813</v>
      </c>
      <c r="E2045" s="0" t="s">
        <v>89</v>
      </c>
      <c r="F2045" s="0" t="s">
        <v>90</v>
      </c>
      <c r="G2045" s="0" t="s">
        <v>16</v>
      </c>
      <c r="H2045" s="0" t="n">
        <v>58</v>
      </c>
      <c r="I2045" s="0" t="s">
        <v>6820</v>
      </c>
      <c r="J2045" s="0" t="s">
        <v>6821</v>
      </c>
      <c r="K2045" s="0" t="s">
        <v>6822</v>
      </c>
      <c r="L2045" s="0" t="str">
        <f aca="false">HYPERLINK("https://www.ncbi.nlm.nih.gov/nuccore/CP000304.1?report=graph&amp;tracks=[key:gene_model_track,Options:GeneOnly]&amp;mk=577973:577992|offset_8|444444,577947:577966|offset_34|444444,577923:577942|offset_58|00cc00,577901:577920|offset_80|444444&amp;v=577772:578120&amp;c=444444", "offset 58")</f>
        <v>offset 58</v>
      </c>
    </row>
    <row r="2046" customFormat="false" ht="12.8" hidden="false" customHeight="false" outlineLevel="0" collapsed="false">
      <c r="A2046" s="0" t="s">
        <v>12</v>
      </c>
      <c r="B2046" s="0" t="n">
        <v>577900</v>
      </c>
      <c r="C2046" s="0" t="n">
        <v>577920</v>
      </c>
      <c r="D2046" s="0" t="s">
        <v>6813</v>
      </c>
      <c r="E2046" s="0" t="s">
        <v>89</v>
      </c>
      <c r="F2046" s="0" t="s">
        <v>90</v>
      </c>
      <c r="G2046" s="0" t="s">
        <v>26</v>
      </c>
      <c r="H2046" s="0" t="n">
        <v>80</v>
      </c>
      <c r="I2046" s="0" t="s">
        <v>6823</v>
      </c>
      <c r="J2046" s="0" t="s">
        <v>6824</v>
      </c>
      <c r="K2046" s="0" t="s">
        <v>6825</v>
      </c>
      <c r="L2046" s="0" t="str">
        <f aca="false">HYPERLINK("https://www.ncbi.nlm.nih.gov/nuccore/CP000304.1?report=graph&amp;tracks=[key:gene_model_track,Options:GeneOnly]&amp;mk=577973:577992|offset_8|444444,577947:577966|offset_34|444444,577923:577942|offset_58|444444,577901:577920|offset_80|00cc00&amp;v=577772:578120&amp;c=444444", "offset 80")</f>
        <v>offset 80</v>
      </c>
    </row>
    <row r="2047" customFormat="false" ht="12.8" hidden="false" customHeight="false" outlineLevel="0" collapsed="false">
      <c r="A2047" s="0" t="s">
        <v>12</v>
      </c>
      <c r="B2047" s="0" t="n">
        <v>579420</v>
      </c>
      <c r="C2047" s="0" t="n">
        <v>579440</v>
      </c>
      <c r="D2047" s="0" t="s">
        <v>6826</v>
      </c>
      <c r="E2047" s="0" t="s">
        <v>6827</v>
      </c>
      <c r="F2047" s="0" t="s">
        <v>90</v>
      </c>
      <c r="G2047" s="0" t="s">
        <v>16</v>
      </c>
      <c r="H2047" s="0" t="n">
        <v>10</v>
      </c>
      <c r="I2047" s="0" t="s">
        <v>6828</v>
      </c>
      <c r="J2047" s="0" t="s">
        <v>6829</v>
      </c>
      <c r="K2047" s="0" t="s">
        <v>6830</v>
      </c>
      <c r="L2047" s="0" t="str">
        <f aca="false">HYPERLINK("https://www.ncbi.nlm.nih.gov/nuccore/CP000304.1?report=graph&amp;tracks=[key:gene_model_track,Options:GeneOnly]&amp;mk=579421:579440|offset_10|00cc00,579393:579412|offset_38|444444,579370:579389|offset_61|444444,579349:579368|offset_82|444444&amp;v=579220:579568&amp;c=444444", "offset 10")</f>
        <v>offset 10</v>
      </c>
    </row>
    <row r="2048" customFormat="false" ht="12.8" hidden="false" customHeight="false" outlineLevel="0" collapsed="false">
      <c r="A2048" s="0" t="s">
        <v>12</v>
      </c>
      <c r="B2048" s="0" t="n">
        <v>579392</v>
      </c>
      <c r="C2048" s="0" t="n">
        <v>579412</v>
      </c>
      <c r="D2048" s="0" t="s">
        <v>6826</v>
      </c>
      <c r="E2048" s="0" t="s">
        <v>6827</v>
      </c>
      <c r="F2048" s="0" t="s">
        <v>90</v>
      </c>
      <c r="G2048" s="0" t="s">
        <v>16</v>
      </c>
      <c r="H2048" s="0" t="n">
        <v>38</v>
      </c>
      <c r="I2048" s="0" t="s">
        <v>6831</v>
      </c>
      <c r="J2048" s="0" t="s">
        <v>6832</v>
      </c>
      <c r="K2048" s="0" t="s">
        <v>6833</v>
      </c>
      <c r="L2048" s="0" t="str">
        <f aca="false">HYPERLINK("https://www.ncbi.nlm.nih.gov/nuccore/CP000304.1?report=graph&amp;tracks=[key:gene_model_track,Options:GeneOnly]&amp;mk=579421:579440|offset_10|444444,579393:579412|offset_38|00cc00,579370:579389|offset_61|444444,579349:579368|offset_82|444444&amp;v=579220:579568&amp;c=444444", "offset 38")</f>
        <v>offset 38</v>
      </c>
    </row>
    <row r="2049" customFormat="false" ht="12.8" hidden="false" customHeight="false" outlineLevel="0" collapsed="false">
      <c r="A2049" s="0" t="s">
        <v>12</v>
      </c>
      <c r="B2049" s="0" t="n">
        <v>579369</v>
      </c>
      <c r="C2049" s="0" t="n">
        <v>579389</v>
      </c>
      <c r="D2049" s="0" t="s">
        <v>6826</v>
      </c>
      <c r="E2049" s="0" t="s">
        <v>6827</v>
      </c>
      <c r="F2049" s="0" t="s">
        <v>90</v>
      </c>
      <c r="G2049" s="0" t="s">
        <v>26</v>
      </c>
      <c r="H2049" s="0" t="n">
        <v>61</v>
      </c>
      <c r="I2049" s="0" t="s">
        <v>6834</v>
      </c>
      <c r="J2049" s="0" t="s">
        <v>6835</v>
      </c>
      <c r="K2049" s="0" t="s">
        <v>6836</v>
      </c>
      <c r="L2049" s="0" t="str">
        <f aca="false">HYPERLINK("https://www.ncbi.nlm.nih.gov/nuccore/CP000304.1?report=graph&amp;tracks=[key:gene_model_track,Options:GeneOnly]&amp;mk=579421:579440|offset_10|444444,579393:579412|offset_38|444444,579370:579389|offset_61|00cc00,579349:579368|offset_82|444444&amp;v=579220:579568&amp;c=444444", "offset 61")</f>
        <v>offset 61</v>
      </c>
    </row>
    <row r="2050" customFormat="false" ht="12.8" hidden="false" customHeight="false" outlineLevel="0" collapsed="false">
      <c r="A2050" s="0" t="s">
        <v>12</v>
      </c>
      <c r="B2050" s="0" t="n">
        <v>579348</v>
      </c>
      <c r="C2050" s="0" t="n">
        <v>579368</v>
      </c>
      <c r="D2050" s="0" t="s">
        <v>6826</v>
      </c>
      <c r="E2050" s="0" t="s">
        <v>6827</v>
      </c>
      <c r="F2050" s="0" t="s">
        <v>90</v>
      </c>
      <c r="G2050" s="0" t="s">
        <v>26</v>
      </c>
      <c r="H2050" s="0" t="n">
        <v>82</v>
      </c>
      <c r="I2050" s="0" t="s">
        <v>6837</v>
      </c>
      <c r="J2050" s="0" t="s">
        <v>6838</v>
      </c>
      <c r="K2050" s="0" t="s">
        <v>6839</v>
      </c>
      <c r="L2050" s="0" t="str">
        <f aca="false">HYPERLINK("https://www.ncbi.nlm.nih.gov/nuccore/CP000304.1?report=graph&amp;tracks=[key:gene_model_track,Options:GeneOnly]&amp;mk=579421:579440|offset_10|444444,579393:579412|offset_38|444444,579370:579389|offset_61|444444,579349:579368|offset_82|00cc00&amp;v=579220:579568&amp;c=444444", "offset 82")</f>
        <v>offset 82</v>
      </c>
    </row>
    <row r="2051" customFormat="false" ht="12.8" hidden="false" customHeight="false" outlineLevel="0" collapsed="false">
      <c r="A2051" s="0" t="s">
        <v>12</v>
      </c>
      <c r="B2051" s="0" t="n">
        <v>579771</v>
      </c>
      <c r="C2051" s="0" t="n">
        <v>579791</v>
      </c>
      <c r="D2051" s="0" t="s">
        <v>6840</v>
      </c>
      <c r="E2051" s="0" t="s">
        <v>89</v>
      </c>
      <c r="F2051" s="0" t="s">
        <v>15</v>
      </c>
      <c r="G2051" s="0" t="s">
        <v>16</v>
      </c>
      <c r="H2051" s="0" t="n">
        <v>10</v>
      </c>
      <c r="I2051" s="0" t="s">
        <v>6841</v>
      </c>
      <c r="J2051" s="0" t="s">
        <v>6842</v>
      </c>
      <c r="K2051" s="0" t="s">
        <v>6843</v>
      </c>
      <c r="L2051" s="0" t="str">
        <f aca="false">HYPERLINK("https://www.ncbi.nlm.nih.gov/nuccore/CP000304.1?report=graph&amp;tracks=[key:gene_model_track,Options:GeneOnly]&amp;mk=579772:579791|offset_10|00cc00,579817:579836|offset_55|444444,579850:579869|offset_88|444444,579876:579895|offset_114|444444&amp;v=579571:580095&amp;c=444444", "offset 10")</f>
        <v>offset 10</v>
      </c>
    </row>
    <row r="2052" customFormat="false" ht="12.8" hidden="false" customHeight="false" outlineLevel="0" collapsed="false">
      <c r="A2052" s="0" t="s">
        <v>12</v>
      </c>
      <c r="B2052" s="0" t="n">
        <v>579816</v>
      </c>
      <c r="C2052" s="0" t="n">
        <v>579836</v>
      </c>
      <c r="D2052" s="0" t="s">
        <v>6840</v>
      </c>
      <c r="E2052" s="0" t="s">
        <v>89</v>
      </c>
      <c r="F2052" s="0" t="s">
        <v>15</v>
      </c>
      <c r="G2052" s="0" t="s">
        <v>26</v>
      </c>
      <c r="H2052" s="0" t="n">
        <v>55</v>
      </c>
      <c r="I2052" s="0" t="s">
        <v>6844</v>
      </c>
      <c r="J2052" s="0" t="s">
        <v>6845</v>
      </c>
      <c r="K2052" s="0" t="s">
        <v>6846</v>
      </c>
      <c r="L2052" s="0" t="str">
        <f aca="false">HYPERLINK("https://www.ncbi.nlm.nih.gov/nuccore/CP000304.1?report=graph&amp;tracks=[key:gene_model_track,Options:GeneOnly]&amp;mk=579772:579791|offset_10|444444,579817:579836|offset_55|00cc00,579850:579869|offset_88|444444,579876:579895|offset_114|444444&amp;v=579571:580095&amp;c=444444", "offset 55")</f>
        <v>offset 55</v>
      </c>
    </row>
    <row r="2053" customFormat="false" ht="12.8" hidden="false" customHeight="false" outlineLevel="0" collapsed="false">
      <c r="A2053" s="0" t="s">
        <v>12</v>
      </c>
      <c r="B2053" s="0" t="n">
        <v>579849</v>
      </c>
      <c r="C2053" s="0" t="n">
        <v>579869</v>
      </c>
      <c r="D2053" s="0" t="s">
        <v>6840</v>
      </c>
      <c r="E2053" s="0" t="s">
        <v>89</v>
      </c>
      <c r="F2053" s="0" t="s">
        <v>15</v>
      </c>
      <c r="G2053" s="0" t="s">
        <v>16</v>
      </c>
      <c r="H2053" s="0" t="n">
        <v>88</v>
      </c>
      <c r="I2053" s="0" t="s">
        <v>6847</v>
      </c>
      <c r="J2053" s="0" t="s">
        <v>6848</v>
      </c>
      <c r="K2053" s="0" t="s">
        <v>6849</v>
      </c>
      <c r="L2053" s="0" t="str">
        <f aca="false">HYPERLINK("https://www.ncbi.nlm.nih.gov/nuccore/CP000304.1?report=graph&amp;tracks=[key:gene_model_track,Options:GeneOnly]&amp;mk=579772:579791|offset_10|444444,579817:579836|offset_55|444444,579850:579869|offset_88|00cc00,579876:579895|offset_114|444444&amp;v=579571:580095&amp;c=444444", "offset 88")</f>
        <v>offset 88</v>
      </c>
    </row>
    <row r="2054" customFormat="false" ht="12.8" hidden="false" customHeight="false" outlineLevel="0" collapsed="false">
      <c r="A2054" s="0" t="s">
        <v>12</v>
      </c>
      <c r="B2054" s="0" t="n">
        <v>579875</v>
      </c>
      <c r="C2054" s="0" t="n">
        <v>579895</v>
      </c>
      <c r="D2054" s="0" t="s">
        <v>6840</v>
      </c>
      <c r="E2054" s="0" t="s">
        <v>89</v>
      </c>
      <c r="F2054" s="0" t="s">
        <v>15</v>
      </c>
      <c r="G2054" s="0" t="s">
        <v>26</v>
      </c>
      <c r="H2054" s="0" t="n">
        <v>114</v>
      </c>
      <c r="I2054" s="0" t="s">
        <v>6850</v>
      </c>
      <c r="J2054" s="0" t="s">
        <v>6851</v>
      </c>
      <c r="K2054" s="0" t="s">
        <v>6852</v>
      </c>
      <c r="L2054" s="0" t="str">
        <f aca="false">HYPERLINK("https://www.ncbi.nlm.nih.gov/nuccore/CP000304.1?report=graph&amp;tracks=[key:gene_model_track,Options:GeneOnly]&amp;mk=579772:579791|offset_10|444444,579817:579836|offset_55|444444,579850:579869|offset_88|444444,579876:579895|offset_114|00cc00&amp;v=579571:580095&amp;c=444444", "offset 114")</f>
        <v>offset 114</v>
      </c>
    </row>
    <row r="2055" customFormat="false" ht="12.8" hidden="false" customHeight="false" outlineLevel="0" collapsed="false">
      <c r="A2055" s="0" t="s">
        <v>12</v>
      </c>
      <c r="B2055" s="0" t="n">
        <v>580722</v>
      </c>
      <c r="C2055" s="0" t="n">
        <v>580742</v>
      </c>
      <c r="D2055" s="0" t="s">
        <v>6853</v>
      </c>
      <c r="E2055" s="0" t="s">
        <v>6854</v>
      </c>
      <c r="F2055" s="0" t="s">
        <v>15</v>
      </c>
      <c r="G2055" s="0" t="s">
        <v>26</v>
      </c>
      <c r="H2055" s="0" t="n">
        <v>59</v>
      </c>
      <c r="I2055" s="0" t="s">
        <v>6855</v>
      </c>
      <c r="J2055" s="0" t="s">
        <v>6856</v>
      </c>
      <c r="K2055" s="0" t="s">
        <v>6857</v>
      </c>
      <c r="L2055" s="0" t="str">
        <f aca="false">HYPERLINK("https://www.ncbi.nlm.nih.gov/nuccore/CP000304.1?report=graph&amp;tracks=[key:gene_model_track,Options:GeneOnly]&amp;mk=580723:580742|offset_59|00cc00,580759:580778|offset_95|444444,580780:580799|offset_116|444444,580805:580824|offset_141|444444&amp;v=580522:581024&amp;c=444444", "offset 59")</f>
        <v>offset 59</v>
      </c>
    </row>
    <row r="2056" customFormat="false" ht="12.8" hidden="false" customHeight="false" outlineLevel="0" collapsed="false">
      <c r="A2056" s="0" t="s">
        <v>12</v>
      </c>
      <c r="B2056" s="0" t="n">
        <v>580758</v>
      </c>
      <c r="C2056" s="0" t="n">
        <v>580778</v>
      </c>
      <c r="D2056" s="0" t="s">
        <v>6853</v>
      </c>
      <c r="E2056" s="0" t="s">
        <v>6854</v>
      </c>
      <c r="F2056" s="0" t="s">
        <v>15</v>
      </c>
      <c r="G2056" s="0" t="s">
        <v>26</v>
      </c>
      <c r="H2056" s="0" t="n">
        <v>95</v>
      </c>
      <c r="I2056" s="0" t="s">
        <v>6858</v>
      </c>
      <c r="J2056" s="0" t="s">
        <v>6859</v>
      </c>
      <c r="K2056" s="0" t="s">
        <v>6860</v>
      </c>
      <c r="L2056" s="0" t="str">
        <f aca="false">HYPERLINK("https://www.ncbi.nlm.nih.gov/nuccore/CP000304.1?report=graph&amp;tracks=[key:gene_model_track,Options:GeneOnly]&amp;mk=580723:580742|offset_59|444444,580759:580778|offset_95|00cc00,580780:580799|offset_116|444444,580805:580824|offset_141|444444&amp;v=580522:581024&amp;c=444444", "offset 95")</f>
        <v>offset 95</v>
      </c>
    </row>
    <row r="2057" customFormat="false" ht="12.8" hidden="false" customHeight="false" outlineLevel="0" collapsed="false">
      <c r="A2057" s="0" t="s">
        <v>12</v>
      </c>
      <c r="B2057" s="0" t="n">
        <v>580779</v>
      </c>
      <c r="C2057" s="0" t="n">
        <v>580799</v>
      </c>
      <c r="D2057" s="0" t="s">
        <v>6853</v>
      </c>
      <c r="E2057" s="0" t="s">
        <v>6854</v>
      </c>
      <c r="F2057" s="0" t="s">
        <v>15</v>
      </c>
      <c r="G2057" s="0" t="s">
        <v>26</v>
      </c>
      <c r="H2057" s="0" t="n">
        <v>116</v>
      </c>
      <c r="I2057" s="0" t="s">
        <v>6861</v>
      </c>
      <c r="J2057" s="0" t="s">
        <v>6862</v>
      </c>
      <c r="K2057" s="0" t="s">
        <v>6863</v>
      </c>
      <c r="L2057" s="0" t="str">
        <f aca="false">HYPERLINK("https://www.ncbi.nlm.nih.gov/nuccore/CP000304.1?report=graph&amp;tracks=[key:gene_model_track,Options:GeneOnly]&amp;mk=580723:580742|offset_59|444444,580759:580778|offset_95|444444,580780:580799|offset_116|00cc00,580805:580824|offset_141|444444&amp;v=580522:581024&amp;c=444444", "offset 116")</f>
        <v>offset 116</v>
      </c>
    </row>
    <row r="2058" customFormat="false" ht="12.8" hidden="false" customHeight="false" outlineLevel="0" collapsed="false">
      <c r="A2058" s="0" t="s">
        <v>12</v>
      </c>
      <c r="B2058" s="0" t="n">
        <v>580804</v>
      </c>
      <c r="C2058" s="0" t="n">
        <v>580824</v>
      </c>
      <c r="D2058" s="0" t="s">
        <v>6853</v>
      </c>
      <c r="E2058" s="0" t="s">
        <v>6854</v>
      </c>
      <c r="F2058" s="0" t="s">
        <v>15</v>
      </c>
      <c r="G2058" s="0" t="s">
        <v>26</v>
      </c>
      <c r="H2058" s="0" t="n">
        <v>141</v>
      </c>
      <c r="I2058" s="0" t="s">
        <v>6864</v>
      </c>
      <c r="J2058" s="0" t="s">
        <v>6865</v>
      </c>
      <c r="K2058" s="0" t="s">
        <v>6866</v>
      </c>
      <c r="L2058" s="0" t="str">
        <f aca="false">HYPERLINK("https://www.ncbi.nlm.nih.gov/nuccore/CP000304.1?report=graph&amp;tracks=[key:gene_model_track,Options:GeneOnly]&amp;mk=580723:580742|offset_59|444444,580759:580778|offset_95|444444,580780:580799|offset_116|444444,580805:580824|offset_141|00cc00&amp;v=580522:581024&amp;c=444444", "offset 141")</f>
        <v>offset 141</v>
      </c>
    </row>
    <row r="2059" customFormat="false" ht="12.8" hidden="false" customHeight="false" outlineLevel="0" collapsed="false">
      <c r="A2059" s="0" t="s">
        <v>12</v>
      </c>
      <c r="B2059" s="0" t="n">
        <v>581613</v>
      </c>
      <c r="C2059" s="0" t="n">
        <v>581633</v>
      </c>
      <c r="D2059" s="0" t="s">
        <v>6867</v>
      </c>
      <c r="E2059" s="0" t="s">
        <v>6868</v>
      </c>
      <c r="F2059" s="0" t="s">
        <v>15</v>
      </c>
      <c r="G2059" s="0" t="s">
        <v>36</v>
      </c>
      <c r="H2059" s="0" t="n">
        <v>6</v>
      </c>
      <c r="I2059" s="0" t="s">
        <v>6869</v>
      </c>
      <c r="J2059" s="0" t="s">
        <v>6870</v>
      </c>
      <c r="K2059" s="0" t="s">
        <v>6871</v>
      </c>
      <c r="L2059" s="0" t="str">
        <f aca="false">HYPERLINK("https://www.ncbi.nlm.nih.gov/nuccore/CP000304.1?report=graph&amp;tracks=[key:gene_model_track,Options:GeneOnly]&amp;mk=581614:581633|offset_6|00cc00,581639:581658|offset_31|444444,581660:581679|offset_52|444444,581691:581710|offset_83|444444&amp;v=581413:581910&amp;c=444444", "offset 6")</f>
        <v>offset 6</v>
      </c>
    </row>
    <row r="2060" customFormat="false" ht="12.8" hidden="false" customHeight="false" outlineLevel="0" collapsed="false">
      <c r="A2060" s="0" t="s">
        <v>12</v>
      </c>
      <c r="B2060" s="0" t="n">
        <v>581638</v>
      </c>
      <c r="C2060" s="0" t="n">
        <v>581658</v>
      </c>
      <c r="D2060" s="0" t="s">
        <v>6867</v>
      </c>
      <c r="E2060" s="0" t="s">
        <v>6868</v>
      </c>
      <c r="F2060" s="0" t="s">
        <v>15</v>
      </c>
      <c r="G2060" s="0" t="s">
        <v>32</v>
      </c>
      <c r="H2060" s="0" t="n">
        <v>31</v>
      </c>
      <c r="I2060" s="0" t="s">
        <v>6872</v>
      </c>
      <c r="J2060" s="0" t="s">
        <v>6873</v>
      </c>
      <c r="K2060" s="0" t="s">
        <v>6874</v>
      </c>
      <c r="L2060" s="0" t="str">
        <f aca="false">HYPERLINK("https://www.ncbi.nlm.nih.gov/nuccore/CP000304.1?report=graph&amp;tracks=[key:gene_model_track,Options:GeneOnly]&amp;mk=581614:581633|offset_6|444444,581639:581658|offset_31|00cc00,581660:581679|offset_52|444444,581691:581710|offset_83|444444&amp;v=581413:581910&amp;c=444444", "offset 31")</f>
        <v>offset 31</v>
      </c>
    </row>
    <row r="2061" customFormat="false" ht="12.8" hidden="false" customHeight="false" outlineLevel="0" collapsed="false">
      <c r="A2061" s="0" t="s">
        <v>12</v>
      </c>
      <c r="B2061" s="0" t="n">
        <v>581659</v>
      </c>
      <c r="C2061" s="0" t="n">
        <v>581679</v>
      </c>
      <c r="D2061" s="0" t="s">
        <v>6867</v>
      </c>
      <c r="E2061" s="0" t="s">
        <v>6868</v>
      </c>
      <c r="F2061" s="0" t="s">
        <v>15</v>
      </c>
      <c r="G2061" s="0" t="s">
        <v>36</v>
      </c>
      <c r="H2061" s="0" t="n">
        <v>52</v>
      </c>
      <c r="I2061" s="0" t="s">
        <v>6875</v>
      </c>
      <c r="J2061" s="0" t="s">
        <v>6876</v>
      </c>
      <c r="K2061" s="0" t="s">
        <v>6877</v>
      </c>
      <c r="L2061" s="0" t="str">
        <f aca="false">HYPERLINK("https://www.ncbi.nlm.nih.gov/nuccore/CP000304.1?report=graph&amp;tracks=[key:gene_model_track,Options:GeneOnly]&amp;mk=581614:581633|offset_6|444444,581639:581658|offset_31|444444,581660:581679|offset_52|00cc00,581691:581710|offset_83|444444&amp;v=581413:581910&amp;c=444444", "offset 52")</f>
        <v>offset 52</v>
      </c>
    </row>
    <row r="2062" customFormat="false" ht="12.8" hidden="false" customHeight="false" outlineLevel="0" collapsed="false">
      <c r="A2062" s="0" t="s">
        <v>12</v>
      </c>
      <c r="B2062" s="0" t="n">
        <v>581690</v>
      </c>
      <c r="C2062" s="0" t="n">
        <v>581710</v>
      </c>
      <c r="D2062" s="0" t="s">
        <v>6867</v>
      </c>
      <c r="E2062" s="0" t="s">
        <v>6868</v>
      </c>
      <c r="F2062" s="0" t="s">
        <v>15</v>
      </c>
      <c r="G2062" s="0" t="s">
        <v>26</v>
      </c>
      <c r="H2062" s="0" t="n">
        <v>83</v>
      </c>
      <c r="I2062" s="0" t="s">
        <v>6878</v>
      </c>
      <c r="J2062" s="0" t="s">
        <v>6879</v>
      </c>
      <c r="K2062" s="0" t="s">
        <v>6880</v>
      </c>
      <c r="L2062" s="0" t="str">
        <f aca="false">HYPERLINK("https://www.ncbi.nlm.nih.gov/nuccore/CP000304.1?report=graph&amp;tracks=[key:gene_model_track,Options:GeneOnly]&amp;mk=581614:581633|offset_6|444444,581639:581658|offset_31|444444,581660:581679|offset_52|444444,581691:581710|offset_83|00cc00&amp;v=581413:581910&amp;c=444444", "offset 83")</f>
        <v>offset 83</v>
      </c>
    </row>
    <row r="2063" customFormat="false" ht="12.8" hidden="false" customHeight="false" outlineLevel="0" collapsed="false">
      <c r="A2063" s="0" t="s">
        <v>12</v>
      </c>
      <c r="B2063" s="0" t="n">
        <v>582576</v>
      </c>
      <c r="C2063" s="0" t="n">
        <v>582596</v>
      </c>
      <c r="D2063" s="0" t="s">
        <v>6881</v>
      </c>
      <c r="E2063" s="0" t="s">
        <v>6882</v>
      </c>
      <c r="F2063" s="0" t="s">
        <v>15</v>
      </c>
      <c r="G2063" s="0" t="s">
        <v>36</v>
      </c>
      <c r="H2063" s="0" t="n">
        <v>28</v>
      </c>
      <c r="I2063" s="0" t="s">
        <v>6883</v>
      </c>
      <c r="J2063" s="0" t="s">
        <v>6884</v>
      </c>
      <c r="K2063" s="0" t="s">
        <v>6885</v>
      </c>
      <c r="L2063" s="0" t="str">
        <f aca="false">HYPERLINK("https://www.ncbi.nlm.nih.gov/nuccore/CP000304.1?report=graph&amp;tracks=[key:gene_model_track,Options:GeneOnly]&amp;mk=582577:582596|offset_28|00cc00,582607:582626|offset_58|444444,582666:582685|offset_117|444444,582701:582720|offset_152|444444&amp;v=582376:582920&amp;c=444444", "offset 28")</f>
        <v>offset 28</v>
      </c>
    </row>
    <row r="2064" customFormat="false" ht="12.8" hidden="false" customHeight="false" outlineLevel="0" collapsed="false">
      <c r="A2064" s="0" t="s">
        <v>12</v>
      </c>
      <c r="B2064" s="0" t="n">
        <v>582606</v>
      </c>
      <c r="C2064" s="0" t="n">
        <v>582626</v>
      </c>
      <c r="D2064" s="0" t="s">
        <v>6881</v>
      </c>
      <c r="E2064" s="0" t="s">
        <v>6882</v>
      </c>
      <c r="F2064" s="0" t="s">
        <v>15</v>
      </c>
      <c r="G2064" s="0" t="s">
        <v>16</v>
      </c>
      <c r="H2064" s="0" t="n">
        <v>58</v>
      </c>
      <c r="I2064" s="0" t="s">
        <v>6886</v>
      </c>
      <c r="J2064" s="0" t="s">
        <v>6887</v>
      </c>
      <c r="K2064" s="0" t="s">
        <v>6888</v>
      </c>
      <c r="L2064" s="0" t="str">
        <f aca="false">HYPERLINK("https://www.ncbi.nlm.nih.gov/nuccore/CP000304.1?report=graph&amp;tracks=[key:gene_model_track,Options:GeneOnly]&amp;mk=582577:582596|offset_28|444444,582607:582626|offset_58|00cc00,582666:582685|offset_117|444444,582701:582720|offset_152|444444&amp;v=582376:582920&amp;c=444444", "offset 58")</f>
        <v>offset 58</v>
      </c>
    </row>
    <row r="2065" customFormat="false" ht="12.8" hidden="false" customHeight="false" outlineLevel="0" collapsed="false">
      <c r="A2065" s="0" t="s">
        <v>12</v>
      </c>
      <c r="B2065" s="0" t="n">
        <v>582665</v>
      </c>
      <c r="C2065" s="0" t="n">
        <v>582685</v>
      </c>
      <c r="D2065" s="0" t="s">
        <v>6881</v>
      </c>
      <c r="E2065" s="0" t="s">
        <v>6882</v>
      </c>
      <c r="F2065" s="0" t="s">
        <v>15</v>
      </c>
      <c r="G2065" s="0" t="s">
        <v>16</v>
      </c>
      <c r="H2065" s="0" t="n">
        <v>117</v>
      </c>
      <c r="I2065" s="0" t="s">
        <v>6889</v>
      </c>
      <c r="J2065" s="0" t="s">
        <v>6890</v>
      </c>
      <c r="K2065" s="0" t="s">
        <v>6891</v>
      </c>
      <c r="L2065" s="0" t="str">
        <f aca="false">HYPERLINK("https://www.ncbi.nlm.nih.gov/nuccore/CP000304.1?report=graph&amp;tracks=[key:gene_model_track,Options:GeneOnly]&amp;mk=582577:582596|offset_28|444444,582607:582626|offset_58|444444,582666:582685|offset_117|00cc00,582701:582720|offset_152|444444&amp;v=582376:582920&amp;c=444444", "offset 117")</f>
        <v>offset 117</v>
      </c>
    </row>
    <row r="2066" customFormat="false" ht="12.8" hidden="false" customHeight="false" outlineLevel="0" collapsed="false">
      <c r="A2066" s="0" t="s">
        <v>12</v>
      </c>
      <c r="B2066" s="0" t="n">
        <v>582700</v>
      </c>
      <c r="C2066" s="0" t="n">
        <v>582720</v>
      </c>
      <c r="D2066" s="0" t="s">
        <v>6881</v>
      </c>
      <c r="E2066" s="0" t="s">
        <v>6882</v>
      </c>
      <c r="F2066" s="0" t="s">
        <v>15</v>
      </c>
      <c r="G2066" s="0" t="s">
        <v>26</v>
      </c>
      <c r="H2066" s="0" t="n">
        <v>152</v>
      </c>
      <c r="I2066" s="0" t="s">
        <v>6892</v>
      </c>
      <c r="J2066" s="0" t="s">
        <v>6893</v>
      </c>
      <c r="K2066" s="0" t="s">
        <v>6894</v>
      </c>
      <c r="L2066" s="0" t="str">
        <f aca="false">HYPERLINK("https://www.ncbi.nlm.nih.gov/nuccore/CP000304.1?report=graph&amp;tracks=[key:gene_model_track,Options:GeneOnly]&amp;mk=582577:582596|offset_28|444444,582607:582626|offset_58|444444,582666:582685|offset_117|444444,582701:582720|offset_152|00cc00&amp;v=582376:582920&amp;c=444444", "offset 152")</f>
        <v>offset 152</v>
      </c>
    </row>
    <row r="2067" customFormat="false" ht="12.8" hidden="false" customHeight="false" outlineLevel="0" collapsed="false">
      <c r="A2067" s="0" t="s">
        <v>12</v>
      </c>
      <c r="B2067" s="0" t="n">
        <v>583354</v>
      </c>
      <c r="C2067" s="0" t="n">
        <v>583374</v>
      </c>
      <c r="D2067" s="0" t="s">
        <v>6895</v>
      </c>
      <c r="E2067" s="0" t="s">
        <v>89</v>
      </c>
      <c r="F2067" s="0" t="s">
        <v>15</v>
      </c>
      <c r="G2067" s="0" t="s">
        <v>32</v>
      </c>
      <c r="H2067" s="0" t="n">
        <v>97</v>
      </c>
      <c r="I2067" s="0" t="s">
        <v>6896</v>
      </c>
      <c r="J2067" s="0" t="s">
        <v>6897</v>
      </c>
      <c r="K2067" s="0" t="s">
        <v>6898</v>
      </c>
      <c r="L2067" s="0" t="str">
        <f aca="false">HYPERLINK("https://www.ncbi.nlm.nih.gov/nuccore/CP000304.1?report=graph&amp;tracks=[key:gene_model_track,Options:GeneOnly]&amp;mk=583355:583374|offset_97|00cc00,583375:583394|offset_117|444444,583395:583414|offset_137|444444,583417:583436|offset_159|444444&amp;v=583154:583636&amp;c=444444", "offset 97")</f>
        <v>offset 97</v>
      </c>
    </row>
    <row r="2068" customFormat="false" ht="12.8" hidden="false" customHeight="false" outlineLevel="0" collapsed="false">
      <c r="A2068" s="0" t="s">
        <v>12</v>
      </c>
      <c r="B2068" s="0" t="n">
        <v>583374</v>
      </c>
      <c r="C2068" s="0" t="n">
        <v>583394</v>
      </c>
      <c r="D2068" s="0" t="s">
        <v>6895</v>
      </c>
      <c r="E2068" s="0" t="s">
        <v>89</v>
      </c>
      <c r="F2068" s="0" t="s">
        <v>15</v>
      </c>
      <c r="G2068" s="0" t="s">
        <v>36</v>
      </c>
      <c r="H2068" s="0" t="n">
        <v>117</v>
      </c>
      <c r="I2068" s="0" t="s">
        <v>6899</v>
      </c>
      <c r="J2068" s="0" t="s">
        <v>6900</v>
      </c>
      <c r="K2068" s="0" t="s">
        <v>6901</v>
      </c>
      <c r="L2068" s="0" t="str">
        <f aca="false">HYPERLINK("https://www.ncbi.nlm.nih.gov/nuccore/CP000304.1?report=graph&amp;tracks=[key:gene_model_track,Options:GeneOnly]&amp;mk=583355:583374|offset_97|444444,583375:583394|offset_117|00cc00,583395:583414|offset_137|444444,583417:583436|offset_159|444444&amp;v=583154:583636&amp;c=444444", "offset 117")</f>
        <v>offset 117</v>
      </c>
    </row>
    <row r="2069" customFormat="false" ht="12.8" hidden="false" customHeight="false" outlineLevel="0" collapsed="false">
      <c r="A2069" s="0" t="s">
        <v>12</v>
      </c>
      <c r="B2069" s="0" t="n">
        <v>583394</v>
      </c>
      <c r="C2069" s="0" t="n">
        <v>583414</v>
      </c>
      <c r="D2069" s="0" t="s">
        <v>6895</v>
      </c>
      <c r="E2069" s="0" t="s">
        <v>89</v>
      </c>
      <c r="F2069" s="0" t="s">
        <v>15</v>
      </c>
      <c r="G2069" s="0" t="s">
        <v>36</v>
      </c>
      <c r="H2069" s="0" t="n">
        <v>137</v>
      </c>
      <c r="I2069" s="0" t="s">
        <v>6902</v>
      </c>
      <c r="J2069" s="0" t="s">
        <v>6903</v>
      </c>
      <c r="K2069" s="0" t="s">
        <v>6904</v>
      </c>
      <c r="L2069" s="0" t="str">
        <f aca="false">HYPERLINK("https://www.ncbi.nlm.nih.gov/nuccore/CP000304.1?report=graph&amp;tracks=[key:gene_model_track,Options:GeneOnly]&amp;mk=583355:583374|offset_97|444444,583375:583394|offset_117|444444,583395:583414|offset_137|00cc00,583417:583436|offset_159|444444&amp;v=583154:583636&amp;c=444444", "offset 137")</f>
        <v>offset 137</v>
      </c>
    </row>
    <row r="2070" customFormat="false" ht="12.8" hidden="false" customHeight="false" outlineLevel="0" collapsed="false">
      <c r="A2070" s="0" t="s">
        <v>12</v>
      </c>
      <c r="B2070" s="0" t="n">
        <v>583416</v>
      </c>
      <c r="C2070" s="0" t="n">
        <v>583436</v>
      </c>
      <c r="D2070" s="0" t="s">
        <v>6895</v>
      </c>
      <c r="E2070" s="0" t="s">
        <v>89</v>
      </c>
      <c r="F2070" s="0" t="s">
        <v>15</v>
      </c>
      <c r="G2070" s="0" t="s">
        <v>36</v>
      </c>
      <c r="H2070" s="0" t="n">
        <v>159</v>
      </c>
      <c r="I2070" s="0" t="s">
        <v>6905</v>
      </c>
      <c r="J2070" s="0" t="s">
        <v>6906</v>
      </c>
      <c r="K2070" s="0" t="s">
        <v>6907</v>
      </c>
      <c r="L2070" s="0" t="str">
        <f aca="false">HYPERLINK("https://www.ncbi.nlm.nih.gov/nuccore/CP000304.1?report=graph&amp;tracks=[key:gene_model_track,Options:GeneOnly]&amp;mk=583355:583374|offset_97|444444,583375:583394|offset_117|444444,583395:583414|offset_137|444444,583417:583436|offset_159|00cc00&amp;v=583154:583636&amp;c=444444", "offset 159")</f>
        <v>offset 159</v>
      </c>
    </row>
    <row r="2071" customFormat="false" ht="12.8" hidden="false" customHeight="false" outlineLevel="0" collapsed="false">
      <c r="A2071" s="0" t="s">
        <v>12</v>
      </c>
      <c r="B2071" s="0" t="n">
        <v>584587</v>
      </c>
      <c r="C2071" s="0" t="n">
        <v>584607</v>
      </c>
      <c r="D2071" s="0" t="s">
        <v>6908</v>
      </c>
      <c r="E2071" s="0" t="s">
        <v>6909</v>
      </c>
      <c r="F2071" s="0" t="s">
        <v>15</v>
      </c>
      <c r="G2071" s="0" t="s">
        <v>32</v>
      </c>
      <c r="H2071" s="0" t="n">
        <v>71</v>
      </c>
      <c r="I2071" s="0" t="s">
        <v>6910</v>
      </c>
      <c r="J2071" s="0" t="s">
        <v>6911</v>
      </c>
      <c r="K2071" s="0" t="s">
        <v>6912</v>
      </c>
      <c r="L2071" s="0" t="str">
        <f aca="false">HYPERLINK("https://www.ncbi.nlm.nih.gov/nuccore/CP000304.1?report=graph&amp;tracks=[key:gene_model_track,Options:GeneOnly]&amp;mk=584588:584607|offset_71|00cc00,584614:584633|offset_97|444444,584654:584673|offset_137|444444,584725:584744|offset_208|444444&amp;v=584387:584944&amp;c=444444", "offset 71")</f>
        <v>offset 71</v>
      </c>
    </row>
    <row r="2072" customFormat="false" ht="12.8" hidden="false" customHeight="false" outlineLevel="0" collapsed="false">
      <c r="A2072" s="0" t="s">
        <v>12</v>
      </c>
      <c r="B2072" s="0" t="n">
        <v>584613</v>
      </c>
      <c r="C2072" s="0" t="n">
        <v>584633</v>
      </c>
      <c r="D2072" s="0" t="s">
        <v>6908</v>
      </c>
      <c r="E2072" s="0" t="s">
        <v>6909</v>
      </c>
      <c r="F2072" s="0" t="s">
        <v>15</v>
      </c>
      <c r="G2072" s="0" t="s">
        <v>26</v>
      </c>
      <c r="H2072" s="0" t="n">
        <v>97</v>
      </c>
      <c r="I2072" s="0" t="s">
        <v>6913</v>
      </c>
      <c r="J2072" s="0" t="s">
        <v>6914</v>
      </c>
      <c r="K2072" s="0" t="s">
        <v>6915</v>
      </c>
      <c r="L2072" s="0" t="str">
        <f aca="false">HYPERLINK("https://www.ncbi.nlm.nih.gov/nuccore/CP000304.1?report=graph&amp;tracks=[key:gene_model_track,Options:GeneOnly]&amp;mk=584588:584607|offset_71|444444,584614:584633|offset_97|00cc00,584654:584673|offset_137|444444,584725:584744|offset_208|444444&amp;v=584387:584944&amp;c=444444", "offset 97")</f>
        <v>offset 97</v>
      </c>
    </row>
    <row r="2073" customFormat="false" ht="12.8" hidden="false" customHeight="false" outlineLevel="0" collapsed="false">
      <c r="A2073" s="0" t="s">
        <v>12</v>
      </c>
      <c r="B2073" s="0" t="n">
        <v>584653</v>
      </c>
      <c r="C2073" s="0" t="n">
        <v>584673</v>
      </c>
      <c r="D2073" s="0" t="s">
        <v>6908</v>
      </c>
      <c r="E2073" s="0" t="s">
        <v>6909</v>
      </c>
      <c r="F2073" s="0" t="s">
        <v>15</v>
      </c>
      <c r="G2073" s="0" t="s">
        <v>26</v>
      </c>
      <c r="H2073" s="0" t="n">
        <v>137</v>
      </c>
      <c r="I2073" s="0" t="s">
        <v>6916</v>
      </c>
      <c r="J2073" s="0" t="s">
        <v>6917</v>
      </c>
      <c r="K2073" s="0" t="s">
        <v>6918</v>
      </c>
      <c r="L2073" s="0" t="str">
        <f aca="false">HYPERLINK("https://www.ncbi.nlm.nih.gov/nuccore/CP000304.1?report=graph&amp;tracks=[key:gene_model_track,Options:GeneOnly]&amp;mk=584588:584607|offset_71|444444,584614:584633|offset_97|444444,584654:584673|offset_137|00cc00,584725:584744|offset_208|444444&amp;v=584387:584944&amp;c=444444", "offset 137")</f>
        <v>offset 137</v>
      </c>
    </row>
    <row r="2074" customFormat="false" ht="12.8" hidden="false" customHeight="false" outlineLevel="0" collapsed="false">
      <c r="A2074" s="0" t="s">
        <v>12</v>
      </c>
      <c r="B2074" s="0" t="n">
        <v>584724</v>
      </c>
      <c r="C2074" s="0" t="n">
        <v>584744</v>
      </c>
      <c r="D2074" s="0" t="s">
        <v>6908</v>
      </c>
      <c r="E2074" s="0" t="s">
        <v>6909</v>
      </c>
      <c r="F2074" s="0" t="s">
        <v>15</v>
      </c>
      <c r="G2074" s="0" t="s">
        <v>16</v>
      </c>
      <c r="H2074" s="0" t="n">
        <v>208</v>
      </c>
      <c r="I2074" s="0" t="s">
        <v>6919</v>
      </c>
      <c r="J2074" s="0" t="s">
        <v>6920</v>
      </c>
      <c r="K2074" s="0" t="s">
        <v>6921</v>
      </c>
      <c r="L2074" s="0" t="str">
        <f aca="false">HYPERLINK("https://www.ncbi.nlm.nih.gov/nuccore/CP000304.1?report=graph&amp;tracks=[key:gene_model_track,Options:GeneOnly]&amp;mk=584588:584607|offset_71|444444,584614:584633|offset_97|444444,584654:584673|offset_137|444444,584725:584744|offset_208|00cc00&amp;v=584387:584944&amp;c=444444", "offset 208")</f>
        <v>offset 208</v>
      </c>
    </row>
    <row r="2075" customFormat="false" ht="12.8" hidden="false" customHeight="false" outlineLevel="0" collapsed="false">
      <c r="A2075" s="0" t="s">
        <v>12</v>
      </c>
      <c r="B2075" s="0" t="n">
        <v>585856</v>
      </c>
      <c r="C2075" s="0" t="n">
        <v>585876</v>
      </c>
      <c r="D2075" s="0" t="s">
        <v>6922</v>
      </c>
      <c r="E2075" s="0" t="s">
        <v>6923</v>
      </c>
      <c r="F2075" s="0" t="s">
        <v>15</v>
      </c>
      <c r="G2075" s="0" t="s">
        <v>32</v>
      </c>
      <c r="H2075" s="0" t="n">
        <v>1</v>
      </c>
      <c r="I2075" s="0" t="s">
        <v>6924</v>
      </c>
      <c r="J2075" s="0" t="s">
        <v>6925</v>
      </c>
      <c r="K2075" s="0" t="s">
        <v>6926</v>
      </c>
      <c r="L2075" s="0" t="str">
        <f aca="false">HYPERLINK("https://www.ncbi.nlm.nih.gov/nuccore/CP000304.1?report=graph&amp;tracks=[key:gene_model_track,Options:GeneOnly]&amp;mk=585857:585876|offset_1|00cc00,585881:585900|offset_25|444444,585911:585930|offset_55|444444,585954:585973|offset_98|444444&amp;v=585656:586173&amp;c=444444", "offset 1")</f>
        <v>offset 1</v>
      </c>
    </row>
    <row r="2076" customFormat="false" ht="12.8" hidden="false" customHeight="false" outlineLevel="0" collapsed="false">
      <c r="A2076" s="0" t="s">
        <v>12</v>
      </c>
      <c r="B2076" s="0" t="n">
        <v>585880</v>
      </c>
      <c r="C2076" s="0" t="n">
        <v>585900</v>
      </c>
      <c r="D2076" s="0" t="s">
        <v>6922</v>
      </c>
      <c r="E2076" s="0" t="s">
        <v>6923</v>
      </c>
      <c r="F2076" s="0" t="s">
        <v>15</v>
      </c>
      <c r="G2076" s="0" t="s">
        <v>36</v>
      </c>
      <c r="H2076" s="0" t="n">
        <v>25</v>
      </c>
      <c r="I2076" s="0" t="s">
        <v>6927</v>
      </c>
      <c r="J2076" s="0" t="s">
        <v>6928</v>
      </c>
      <c r="K2076" s="0" t="s">
        <v>6929</v>
      </c>
      <c r="L2076" s="0" t="str">
        <f aca="false">HYPERLINK("https://www.ncbi.nlm.nih.gov/nuccore/CP000304.1?report=graph&amp;tracks=[key:gene_model_track,Options:GeneOnly]&amp;mk=585857:585876|offset_1|444444,585881:585900|offset_25|00cc00,585911:585930|offset_55|444444,585954:585973|offset_98|444444&amp;v=585656:586173&amp;c=444444", "offset 25")</f>
        <v>offset 25</v>
      </c>
    </row>
    <row r="2077" customFormat="false" ht="12.8" hidden="false" customHeight="false" outlineLevel="0" collapsed="false">
      <c r="A2077" s="0" t="s">
        <v>12</v>
      </c>
      <c r="B2077" s="0" t="n">
        <v>585910</v>
      </c>
      <c r="C2077" s="0" t="n">
        <v>585930</v>
      </c>
      <c r="D2077" s="0" t="s">
        <v>6922</v>
      </c>
      <c r="E2077" s="0" t="s">
        <v>6923</v>
      </c>
      <c r="F2077" s="0" t="s">
        <v>15</v>
      </c>
      <c r="G2077" s="0" t="s">
        <v>26</v>
      </c>
      <c r="H2077" s="0" t="n">
        <v>55</v>
      </c>
      <c r="I2077" s="0" t="s">
        <v>6930</v>
      </c>
      <c r="J2077" s="0" t="s">
        <v>6931</v>
      </c>
      <c r="K2077" s="0" t="s">
        <v>6932</v>
      </c>
      <c r="L2077" s="0" t="str">
        <f aca="false">HYPERLINK("https://www.ncbi.nlm.nih.gov/nuccore/CP000304.1?report=graph&amp;tracks=[key:gene_model_track,Options:GeneOnly]&amp;mk=585857:585876|offset_1|444444,585881:585900|offset_25|444444,585911:585930|offset_55|00cc00,585954:585973|offset_98|444444&amp;v=585656:586173&amp;c=444444", "offset 55")</f>
        <v>offset 55</v>
      </c>
    </row>
    <row r="2078" customFormat="false" ht="12.8" hidden="false" customHeight="false" outlineLevel="0" collapsed="false">
      <c r="A2078" s="0" t="s">
        <v>12</v>
      </c>
      <c r="B2078" s="0" t="n">
        <v>585953</v>
      </c>
      <c r="C2078" s="0" t="n">
        <v>585973</v>
      </c>
      <c r="D2078" s="0" t="s">
        <v>6922</v>
      </c>
      <c r="E2078" s="0" t="s">
        <v>6923</v>
      </c>
      <c r="F2078" s="0" t="s">
        <v>15</v>
      </c>
      <c r="G2078" s="0" t="s">
        <v>26</v>
      </c>
      <c r="H2078" s="0" t="n">
        <v>98</v>
      </c>
      <c r="I2078" s="0" t="s">
        <v>6933</v>
      </c>
      <c r="J2078" s="0" t="s">
        <v>6934</v>
      </c>
      <c r="K2078" s="0" t="s">
        <v>6935</v>
      </c>
      <c r="L2078" s="0" t="str">
        <f aca="false">HYPERLINK("https://www.ncbi.nlm.nih.gov/nuccore/CP000304.1?report=graph&amp;tracks=[key:gene_model_track,Options:GeneOnly]&amp;mk=585857:585876|offset_1|444444,585881:585900|offset_25|444444,585911:585930|offset_55|444444,585954:585973|offset_98|00cc00&amp;v=585656:586173&amp;c=444444", "offset 98")</f>
        <v>offset 98</v>
      </c>
    </row>
    <row r="2079" customFormat="false" ht="12.8" hidden="false" customHeight="false" outlineLevel="0" collapsed="false">
      <c r="A2079" s="0" t="s">
        <v>12</v>
      </c>
      <c r="B2079" s="0" t="n">
        <v>586635</v>
      </c>
      <c r="C2079" s="0" t="n">
        <v>586655</v>
      </c>
      <c r="D2079" s="0" t="s">
        <v>6936</v>
      </c>
      <c r="E2079" s="0" t="s">
        <v>6937</v>
      </c>
      <c r="F2079" s="0" t="s">
        <v>15</v>
      </c>
      <c r="G2079" s="0" t="s">
        <v>36</v>
      </c>
      <c r="H2079" s="0" t="n">
        <v>25</v>
      </c>
      <c r="I2079" s="0" t="s">
        <v>6938</v>
      </c>
      <c r="J2079" s="0" t="s">
        <v>6939</v>
      </c>
      <c r="K2079" s="0" t="s">
        <v>6940</v>
      </c>
      <c r="L2079" s="0" t="str">
        <f aca="false">HYPERLINK("https://www.ncbi.nlm.nih.gov/nuccore/CP000304.1?report=graph&amp;tracks=[key:gene_model_track,Options:GeneOnly]&amp;mk=586636:586655|offset_25|00cc00,586673:586692|offset_62|444444,586708:586727|offset_97|444444,586745:586764|offset_134|444444&amp;v=586435:586964&amp;c=444444", "offset 25")</f>
        <v>offset 25</v>
      </c>
    </row>
    <row r="2080" customFormat="false" ht="12.8" hidden="false" customHeight="false" outlineLevel="0" collapsed="false">
      <c r="A2080" s="0" t="s">
        <v>12</v>
      </c>
      <c r="B2080" s="0" t="n">
        <v>586672</v>
      </c>
      <c r="C2080" s="0" t="n">
        <v>586692</v>
      </c>
      <c r="D2080" s="0" t="s">
        <v>6936</v>
      </c>
      <c r="E2080" s="0" t="s">
        <v>6937</v>
      </c>
      <c r="F2080" s="0" t="s">
        <v>15</v>
      </c>
      <c r="G2080" s="0" t="s">
        <v>16</v>
      </c>
      <c r="H2080" s="0" t="n">
        <v>62</v>
      </c>
      <c r="I2080" s="0" t="s">
        <v>6941</v>
      </c>
      <c r="J2080" s="0" t="s">
        <v>6942</v>
      </c>
      <c r="K2080" s="0" t="s">
        <v>6943</v>
      </c>
      <c r="L2080" s="0" t="str">
        <f aca="false">HYPERLINK("https://www.ncbi.nlm.nih.gov/nuccore/CP000304.1?report=graph&amp;tracks=[key:gene_model_track,Options:GeneOnly]&amp;mk=586636:586655|offset_25|444444,586673:586692|offset_62|00cc00,586708:586727|offset_97|444444,586745:586764|offset_134|444444&amp;v=586435:586964&amp;c=444444", "offset 62")</f>
        <v>offset 62</v>
      </c>
    </row>
    <row r="2081" customFormat="false" ht="12.8" hidden="false" customHeight="false" outlineLevel="0" collapsed="false">
      <c r="A2081" s="0" t="s">
        <v>12</v>
      </c>
      <c r="B2081" s="0" t="n">
        <v>586707</v>
      </c>
      <c r="C2081" s="0" t="n">
        <v>586727</v>
      </c>
      <c r="D2081" s="0" t="s">
        <v>6936</v>
      </c>
      <c r="E2081" s="0" t="s">
        <v>6937</v>
      </c>
      <c r="F2081" s="0" t="s">
        <v>15</v>
      </c>
      <c r="G2081" s="0" t="s">
        <v>26</v>
      </c>
      <c r="H2081" s="0" t="n">
        <v>97</v>
      </c>
      <c r="I2081" s="0" t="s">
        <v>6944</v>
      </c>
      <c r="J2081" s="0" t="s">
        <v>6945</v>
      </c>
      <c r="K2081" s="0" t="s">
        <v>6946</v>
      </c>
      <c r="L2081" s="0" t="str">
        <f aca="false">HYPERLINK("https://www.ncbi.nlm.nih.gov/nuccore/CP000304.1?report=graph&amp;tracks=[key:gene_model_track,Options:GeneOnly]&amp;mk=586636:586655|offset_25|444444,586673:586692|offset_62|444444,586708:586727|offset_97|00cc00,586745:586764|offset_134|444444&amp;v=586435:586964&amp;c=444444", "offset 97")</f>
        <v>offset 97</v>
      </c>
    </row>
    <row r="2082" customFormat="false" ht="12.8" hidden="false" customHeight="false" outlineLevel="0" collapsed="false">
      <c r="A2082" s="0" t="s">
        <v>12</v>
      </c>
      <c r="B2082" s="0" t="n">
        <v>586744</v>
      </c>
      <c r="C2082" s="0" t="n">
        <v>586764</v>
      </c>
      <c r="D2082" s="0" t="s">
        <v>6936</v>
      </c>
      <c r="E2082" s="0" t="s">
        <v>6937</v>
      </c>
      <c r="F2082" s="0" t="s">
        <v>15</v>
      </c>
      <c r="G2082" s="0" t="s">
        <v>32</v>
      </c>
      <c r="H2082" s="0" t="n">
        <v>134</v>
      </c>
      <c r="I2082" s="0" t="s">
        <v>6947</v>
      </c>
      <c r="J2082" s="0" t="s">
        <v>6948</v>
      </c>
      <c r="K2082" s="0" t="s">
        <v>6949</v>
      </c>
      <c r="L2082" s="0" t="str">
        <f aca="false">HYPERLINK("https://www.ncbi.nlm.nih.gov/nuccore/CP000304.1?report=graph&amp;tracks=[key:gene_model_track,Options:GeneOnly]&amp;mk=586636:586655|offset_25|444444,586673:586692|offset_62|444444,586708:586727|offset_97|444444,586745:586764|offset_134|00cc00&amp;v=586435:586964&amp;c=444444", "offset 134")</f>
        <v>offset 134</v>
      </c>
    </row>
    <row r="2083" customFormat="false" ht="12.8" hidden="false" customHeight="false" outlineLevel="0" collapsed="false">
      <c r="A2083" s="0" t="s">
        <v>12</v>
      </c>
      <c r="B2083" s="0" t="n">
        <v>587182</v>
      </c>
      <c r="C2083" s="0" t="n">
        <v>587202</v>
      </c>
      <c r="D2083" s="0" t="s">
        <v>6950</v>
      </c>
      <c r="E2083" s="0" t="s">
        <v>6951</v>
      </c>
      <c r="F2083" s="0" t="s">
        <v>15</v>
      </c>
      <c r="G2083" s="0" t="s">
        <v>36</v>
      </c>
      <c r="H2083" s="0" t="n">
        <v>6</v>
      </c>
      <c r="I2083" s="0" t="s">
        <v>6952</v>
      </c>
      <c r="J2083" s="0" t="s">
        <v>6953</v>
      </c>
      <c r="K2083" s="0" t="s">
        <v>6954</v>
      </c>
      <c r="L2083" s="0" t="str">
        <f aca="false">HYPERLINK("https://www.ncbi.nlm.nih.gov/nuccore/CP000304.1?report=graph&amp;tracks=[key:gene_model_track,Options:GeneOnly]&amp;mk=587183:587202|offset_6|00cc00,587205:587224|offset_28|444444,587235:587254|offset_58|444444,587265:587284|offset_88|444444&amp;v=586982:587484&amp;c=444444", "offset 6")</f>
        <v>offset 6</v>
      </c>
    </row>
    <row r="2084" customFormat="false" ht="12.8" hidden="false" customHeight="false" outlineLevel="0" collapsed="false">
      <c r="A2084" s="0" t="s">
        <v>12</v>
      </c>
      <c r="B2084" s="0" t="n">
        <v>587204</v>
      </c>
      <c r="C2084" s="0" t="n">
        <v>587224</v>
      </c>
      <c r="D2084" s="0" t="s">
        <v>6950</v>
      </c>
      <c r="E2084" s="0" t="s">
        <v>6951</v>
      </c>
      <c r="F2084" s="0" t="s">
        <v>15</v>
      </c>
      <c r="G2084" s="0" t="s">
        <v>32</v>
      </c>
      <c r="H2084" s="0" t="n">
        <v>28</v>
      </c>
      <c r="I2084" s="0" t="s">
        <v>6955</v>
      </c>
      <c r="J2084" s="0" t="s">
        <v>6956</v>
      </c>
      <c r="K2084" s="0" t="s">
        <v>6957</v>
      </c>
      <c r="L2084" s="0" t="str">
        <f aca="false">HYPERLINK("https://www.ncbi.nlm.nih.gov/nuccore/CP000304.1?report=graph&amp;tracks=[key:gene_model_track,Options:GeneOnly]&amp;mk=587183:587202|offset_6|444444,587205:587224|offset_28|00cc00,587235:587254|offset_58|444444,587265:587284|offset_88|444444&amp;v=586982:587484&amp;c=444444", "offset 28")</f>
        <v>offset 28</v>
      </c>
    </row>
    <row r="2085" customFormat="false" ht="12.8" hidden="false" customHeight="false" outlineLevel="0" collapsed="false">
      <c r="A2085" s="0" t="s">
        <v>12</v>
      </c>
      <c r="B2085" s="0" t="n">
        <v>587234</v>
      </c>
      <c r="C2085" s="0" t="n">
        <v>587254</v>
      </c>
      <c r="D2085" s="0" t="s">
        <v>6950</v>
      </c>
      <c r="E2085" s="0" t="s">
        <v>6951</v>
      </c>
      <c r="F2085" s="0" t="s">
        <v>15</v>
      </c>
      <c r="G2085" s="0" t="s">
        <v>36</v>
      </c>
      <c r="H2085" s="0" t="n">
        <v>58</v>
      </c>
      <c r="I2085" s="0" t="s">
        <v>6958</v>
      </c>
      <c r="J2085" s="0" t="s">
        <v>6959</v>
      </c>
      <c r="K2085" s="0" t="s">
        <v>6960</v>
      </c>
      <c r="L2085" s="0" t="str">
        <f aca="false">HYPERLINK("https://www.ncbi.nlm.nih.gov/nuccore/CP000304.1?report=graph&amp;tracks=[key:gene_model_track,Options:GeneOnly]&amp;mk=587183:587202|offset_6|444444,587205:587224|offset_28|444444,587235:587254|offset_58|00cc00,587265:587284|offset_88|444444&amp;v=586982:587484&amp;c=444444", "offset 58")</f>
        <v>offset 58</v>
      </c>
    </row>
    <row r="2086" customFormat="false" ht="12.8" hidden="false" customHeight="false" outlineLevel="0" collapsed="false">
      <c r="A2086" s="0" t="s">
        <v>12</v>
      </c>
      <c r="B2086" s="0" t="n">
        <v>587264</v>
      </c>
      <c r="C2086" s="0" t="n">
        <v>587284</v>
      </c>
      <c r="D2086" s="0" t="s">
        <v>6950</v>
      </c>
      <c r="E2086" s="0" t="s">
        <v>6951</v>
      </c>
      <c r="F2086" s="0" t="s">
        <v>15</v>
      </c>
      <c r="G2086" s="0" t="s">
        <v>26</v>
      </c>
      <c r="H2086" s="0" t="n">
        <v>88</v>
      </c>
      <c r="I2086" s="0" t="s">
        <v>6961</v>
      </c>
      <c r="J2086" s="0" t="s">
        <v>6962</v>
      </c>
      <c r="K2086" s="0" t="s">
        <v>6963</v>
      </c>
      <c r="L2086" s="0" t="str">
        <f aca="false">HYPERLINK("https://www.ncbi.nlm.nih.gov/nuccore/CP000304.1?report=graph&amp;tracks=[key:gene_model_track,Options:GeneOnly]&amp;mk=587183:587202|offset_6|444444,587205:587224|offset_28|444444,587235:587254|offset_58|444444,587265:587284|offset_88|00cc00&amp;v=586982:587484&amp;c=444444", "offset 88")</f>
        <v>offset 88</v>
      </c>
    </row>
    <row r="2087" customFormat="false" ht="12.8" hidden="false" customHeight="false" outlineLevel="0" collapsed="false">
      <c r="A2087" s="0" t="s">
        <v>12</v>
      </c>
      <c r="B2087" s="0" t="n">
        <v>588456</v>
      </c>
      <c r="C2087" s="0" t="n">
        <v>588476</v>
      </c>
      <c r="D2087" s="0" t="s">
        <v>6964</v>
      </c>
      <c r="E2087" s="0" t="s">
        <v>89</v>
      </c>
      <c r="F2087" s="0" t="s">
        <v>90</v>
      </c>
      <c r="G2087" s="0" t="s">
        <v>36</v>
      </c>
      <c r="H2087" s="0" t="n">
        <v>10</v>
      </c>
      <c r="I2087" s="0" t="s">
        <v>6965</v>
      </c>
      <c r="J2087" s="0" t="s">
        <v>6966</v>
      </c>
      <c r="K2087" s="0" t="s">
        <v>6967</v>
      </c>
      <c r="L2087" s="0" t="str">
        <f aca="false">HYPERLINK("https://www.ncbi.nlm.nih.gov/nuccore/CP000304.1?report=graph&amp;tracks=[key:gene_model_track,Options:GeneOnly]&amp;mk=588457:588476|offset_10|00cc00,588436:588455|offset_31|444444,588416:588435|offset_51|444444,588396:588415|offset_71|444444&amp;v=588256:588615&amp;c=444444", "offset 10")</f>
        <v>offset 10</v>
      </c>
    </row>
    <row r="2088" customFormat="false" ht="12.8" hidden="false" customHeight="false" outlineLevel="0" collapsed="false">
      <c r="A2088" s="0" t="s">
        <v>12</v>
      </c>
      <c r="B2088" s="0" t="n">
        <v>588435</v>
      </c>
      <c r="C2088" s="0" t="n">
        <v>588455</v>
      </c>
      <c r="D2088" s="0" t="s">
        <v>6964</v>
      </c>
      <c r="E2088" s="0" t="s">
        <v>89</v>
      </c>
      <c r="F2088" s="0" t="s">
        <v>90</v>
      </c>
      <c r="G2088" s="0" t="s">
        <v>36</v>
      </c>
      <c r="H2088" s="0" t="n">
        <v>31</v>
      </c>
      <c r="I2088" s="0" t="s">
        <v>6968</v>
      </c>
      <c r="J2088" s="0" t="s">
        <v>6969</v>
      </c>
      <c r="K2088" s="0" t="s">
        <v>6970</v>
      </c>
      <c r="L2088" s="0" t="str">
        <f aca="false">HYPERLINK("https://www.ncbi.nlm.nih.gov/nuccore/CP000304.1?report=graph&amp;tracks=[key:gene_model_track,Options:GeneOnly]&amp;mk=588457:588476|offset_10|444444,588436:588455|offset_31|00cc00,588416:588435|offset_51|444444,588396:588415|offset_71|444444&amp;v=588256:588615&amp;c=444444", "offset 31")</f>
        <v>offset 31</v>
      </c>
    </row>
    <row r="2089" customFormat="false" ht="12.8" hidden="false" customHeight="false" outlineLevel="0" collapsed="false">
      <c r="A2089" s="0" t="s">
        <v>12</v>
      </c>
      <c r="B2089" s="0" t="n">
        <v>588415</v>
      </c>
      <c r="C2089" s="0" t="n">
        <v>588435</v>
      </c>
      <c r="D2089" s="0" t="s">
        <v>6964</v>
      </c>
      <c r="E2089" s="0" t="s">
        <v>89</v>
      </c>
      <c r="F2089" s="0" t="s">
        <v>90</v>
      </c>
      <c r="G2089" s="0" t="s">
        <v>32</v>
      </c>
      <c r="H2089" s="0" t="n">
        <v>51</v>
      </c>
      <c r="I2089" s="0" t="s">
        <v>6971</v>
      </c>
      <c r="J2089" s="0" t="s">
        <v>6972</v>
      </c>
      <c r="K2089" s="0" t="s">
        <v>6973</v>
      </c>
      <c r="L2089" s="0" t="str">
        <f aca="false">HYPERLINK("https://www.ncbi.nlm.nih.gov/nuccore/CP000304.1?report=graph&amp;tracks=[key:gene_model_track,Options:GeneOnly]&amp;mk=588457:588476|offset_10|444444,588436:588455|offset_31|444444,588416:588435|offset_51|00cc00,588396:588415|offset_71|444444&amp;v=588256:588615&amp;c=444444", "offset 51")</f>
        <v>offset 51</v>
      </c>
    </row>
    <row r="2090" customFormat="false" ht="12.8" hidden="false" customHeight="false" outlineLevel="0" collapsed="false">
      <c r="A2090" s="0" t="s">
        <v>12</v>
      </c>
      <c r="B2090" s="0" t="n">
        <v>588395</v>
      </c>
      <c r="C2090" s="0" t="n">
        <v>588415</v>
      </c>
      <c r="D2090" s="0" t="s">
        <v>6964</v>
      </c>
      <c r="E2090" s="0" t="s">
        <v>89</v>
      </c>
      <c r="F2090" s="0" t="s">
        <v>90</v>
      </c>
      <c r="G2090" s="0" t="s">
        <v>26</v>
      </c>
      <c r="H2090" s="0" t="n">
        <v>71</v>
      </c>
      <c r="I2090" s="0" t="s">
        <v>6974</v>
      </c>
      <c r="J2090" s="0" t="s">
        <v>6975</v>
      </c>
      <c r="K2090" s="0" t="s">
        <v>6976</v>
      </c>
      <c r="L2090" s="0" t="str">
        <f aca="false">HYPERLINK("https://www.ncbi.nlm.nih.gov/nuccore/CP000304.1?report=graph&amp;tracks=[key:gene_model_track,Options:GeneOnly]&amp;mk=588457:588476|offset_10|444444,588436:588455|offset_31|444444,588416:588435|offset_51|444444,588396:588415|offset_71|00cc00&amp;v=588256:588615&amp;c=444444", "offset 71")</f>
        <v>offset 71</v>
      </c>
    </row>
    <row r="2091" customFormat="false" ht="12.8" hidden="false" customHeight="false" outlineLevel="0" collapsed="false">
      <c r="A2091" s="0" t="s">
        <v>12</v>
      </c>
      <c r="B2091" s="0" t="n">
        <v>588563</v>
      </c>
      <c r="C2091" s="0" t="n">
        <v>588583</v>
      </c>
      <c r="D2091" s="0" t="s">
        <v>6977</v>
      </c>
      <c r="E2091" s="0" t="s">
        <v>89</v>
      </c>
      <c r="F2091" s="0" t="s">
        <v>15</v>
      </c>
      <c r="G2091" s="0" t="s">
        <v>16</v>
      </c>
      <c r="H2091" s="0" t="n">
        <v>8</v>
      </c>
      <c r="I2091" s="0" t="s">
        <v>6978</v>
      </c>
      <c r="J2091" s="0" t="s">
        <v>6979</v>
      </c>
      <c r="K2091" s="0" t="s">
        <v>6980</v>
      </c>
      <c r="L2091" s="0" t="str">
        <f aca="false">HYPERLINK("https://www.ncbi.nlm.nih.gov/nuccore/CP000304.1?report=graph&amp;tracks=[key:gene_model_track,Options:GeneOnly]&amp;mk=588564:588583|offset_8|00cc00,588595:588614|offset_39|444444,588617:588636|offset_61|444444,588647:588666|offset_91|444444&amp;v=588363:588866&amp;c=444444", "offset 8")</f>
        <v>offset 8</v>
      </c>
    </row>
    <row r="2092" customFormat="false" ht="12.8" hidden="false" customHeight="false" outlineLevel="0" collapsed="false">
      <c r="A2092" s="0" t="s">
        <v>12</v>
      </c>
      <c r="B2092" s="0" t="n">
        <v>588594</v>
      </c>
      <c r="C2092" s="0" t="n">
        <v>588614</v>
      </c>
      <c r="D2092" s="0" t="s">
        <v>6977</v>
      </c>
      <c r="E2092" s="0" t="s">
        <v>89</v>
      </c>
      <c r="F2092" s="0" t="s">
        <v>15</v>
      </c>
      <c r="G2092" s="0" t="s">
        <v>36</v>
      </c>
      <c r="H2092" s="0" t="n">
        <v>39</v>
      </c>
      <c r="I2092" s="0" t="s">
        <v>6981</v>
      </c>
      <c r="J2092" s="0" t="s">
        <v>6982</v>
      </c>
      <c r="K2092" s="0" t="s">
        <v>6983</v>
      </c>
      <c r="L2092" s="0" t="str">
        <f aca="false">HYPERLINK("https://www.ncbi.nlm.nih.gov/nuccore/CP000304.1?report=graph&amp;tracks=[key:gene_model_track,Options:GeneOnly]&amp;mk=588564:588583|offset_8|444444,588595:588614|offset_39|00cc00,588617:588636|offset_61|444444,588647:588666|offset_91|444444&amp;v=588363:588866&amp;c=444444", "offset 39")</f>
        <v>offset 39</v>
      </c>
    </row>
    <row r="2093" customFormat="false" ht="12.8" hidden="false" customHeight="false" outlineLevel="0" collapsed="false">
      <c r="A2093" s="0" t="s">
        <v>12</v>
      </c>
      <c r="B2093" s="0" t="n">
        <v>588616</v>
      </c>
      <c r="C2093" s="0" t="n">
        <v>588636</v>
      </c>
      <c r="D2093" s="0" t="s">
        <v>6977</v>
      </c>
      <c r="E2093" s="0" t="s">
        <v>89</v>
      </c>
      <c r="F2093" s="0" t="s">
        <v>15</v>
      </c>
      <c r="G2093" s="0" t="s">
        <v>16</v>
      </c>
      <c r="H2093" s="0" t="n">
        <v>61</v>
      </c>
      <c r="I2093" s="0" t="s">
        <v>6984</v>
      </c>
      <c r="J2093" s="0" t="s">
        <v>6985</v>
      </c>
      <c r="K2093" s="0" t="s">
        <v>6986</v>
      </c>
      <c r="L2093" s="0" t="str">
        <f aca="false">HYPERLINK("https://www.ncbi.nlm.nih.gov/nuccore/CP000304.1?report=graph&amp;tracks=[key:gene_model_track,Options:GeneOnly]&amp;mk=588564:588583|offset_8|444444,588595:588614|offset_39|444444,588617:588636|offset_61|00cc00,588647:588666|offset_91|444444&amp;v=588363:588866&amp;c=444444", "offset 61")</f>
        <v>offset 61</v>
      </c>
    </row>
    <row r="2094" customFormat="false" ht="12.8" hidden="false" customHeight="false" outlineLevel="0" collapsed="false">
      <c r="A2094" s="0" t="s">
        <v>12</v>
      </c>
      <c r="B2094" s="0" t="n">
        <v>588646</v>
      </c>
      <c r="C2094" s="0" t="n">
        <v>588666</v>
      </c>
      <c r="D2094" s="0" t="s">
        <v>6977</v>
      </c>
      <c r="E2094" s="0" t="s">
        <v>89</v>
      </c>
      <c r="F2094" s="0" t="s">
        <v>15</v>
      </c>
      <c r="G2094" s="0" t="s">
        <v>16</v>
      </c>
      <c r="H2094" s="0" t="n">
        <v>91</v>
      </c>
      <c r="I2094" s="0" t="s">
        <v>6987</v>
      </c>
      <c r="J2094" s="0" t="s">
        <v>6988</v>
      </c>
      <c r="K2094" s="0" t="s">
        <v>6989</v>
      </c>
      <c r="L2094" s="0" t="str">
        <f aca="false">HYPERLINK("https://www.ncbi.nlm.nih.gov/nuccore/CP000304.1?report=graph&amp;tracks=[key:gene_model_track,Options:GeneOnly]&amp;mk=588564:588583|offset_8|444444,588595:588614|offset_39|444444,588617:588636|offset_61|444444,588647:588666|offset_91|00cc00&amp;v=588363:588866&amp;c=444444", "offset 91")</f>
        <v>offset 91</v>
      </c>
    </row>
    <row r="2095" customFormat="false" ht="12.8" hidden="false" customHeight="false" outlineLevel="0" collapsed="false">
      <c r="A2095" s="0" t="s">
        <v>12</v>
      </c>
      <c r="B2095" s="0" t="n">
        <v>590474</v>
      </c>
      <c r="C2095" s="0" t="n">
        <v>590494</v>
      </c>
      <c r="D2095" s="0" t="s">
        <v>6990</v>
      </c>
      <c r="E2095" s="0" t="s">
        <v>89</v>
      </c>
      <c r="F2095" s="0" t="s">
        <v>15</v>
      </c>
      <c r="G2095" s="0" t="s">
        <v>36</v>
      </c>
      <c r="H2095" s="0" t="n">
        <v>12</v>
      </c>
      <c r="I2095" s="0" t="s">
        <v>6991</v>
      </c>
      <c r="J2095" s="0" t="s">
        <v>6992</v>
      </c>
      <c r="K2095" s="0" t="s">
        <v>6993</v>
      </c>
      <c r="L2095" s="0" t="str">
        <f aca="false">HYPERLINK("https://www.ncbi.nlm.nih.gov/nuccore/CP000304.1?report=graph&amp;tracks=[key:gene_model_track,Options:GeneOnly]&amp;mk=590475:590494|offset_12|00cc00,590504:590523|offset_41|444444,590606:590625|offset_143|444444,590631:590650|offset_168|444444&amp;v=590274:590850&amp;c=444444", "offset 12")</f>
        <v>offset 12</v>
      </c>
    </row>
    <row r="2096" customFormat="false" ht="12.8" hidden="false" customHeight="false" outlineLevel="0" collapsed="false">
      <c r="A2096" s="0" t="s">
        <v>12</v>
      </c>
      <c r="B2096" s="0" t="n">
        <v>590503</v>
      </c>
      <c r="C2096" s="0" t="n">
        <v>590523</v>
      </c>
      <c r="D2096" s="0" t="s">
        <v>6990</v>
      </c>
      <c r="E2096" s="0" t="s">
        <v>89</v>
      </c>
      <c r="F2096" s="0" t="s">
        <v>15</v>
      </c>
      <c r="G2096" s="0" t="s">
        <v>26</v>
      </c>
      <c r="H2096" s="0" t="n">
        <v>41</v>
      </c>
      <c r="I2096" s="0" t="s">
        <v>6994</v>
      </c>
      <c r="J2096" s="0" t="s">
        <v>6995</v>
      </c>
      <c r="K2096" s="0" t="s">
        <v>6996</v>
      </c>
      <c r="L2096" s="0" t="str">
        <f aca="false">HYPERLINK("https://www.ncbi.nlm.nih.gov/nuccore/CP000304.1?report=graph&amp;tracks=[key:gene_model_track,Options:GeneOnly]&amp;mk=590475:590494|offset_12|444444,590504:590523|offset_41|00cc00,590606:590625|offset_143|444444,590631:590650|offset_168|444444&amp;v=590274:590850&amp;c=444444", "offset 41")</f>
        <v>offset 41</v>
      </c>
    </row>
    <row r="2097" customFormat="false" ht="12.8" hidden="false" customHeight="false" outlineLevel="0" collapsed="false">
      <c r="A2097" s="0" t="s">
        <v>12</v>
      </c>
      <c r="B2097" s="0" t="n">
        <v>590605</v>
      </c>
      <c r="C2097" s="0" t="n">
        <v>590625</v>
      </c>
      <c r="D2097" s="0" t="s">
        <v>6990</v>
      </c>
      <c r="E2097" s="0" t="s">
        <v>89</v>
      </c>
      <c r="F2097" s="0" t="s">
        <v>15</v>
      </c>
      <c r="G2097" s="0" t="s">
        <v>36</v>
      </c>
      <c r="H2097" s="0" t="n">
        <v>143</v>
      </c>
      <c r="I2097" s="0" t="s">
        <v>6997</v>
      </c>
      <c r="J2097" s="0" t="s">
        <v>6998</v>
      </c>
      <c r="K2097" s="0" t="s">
        <v>6999</v>
      </c>
      <c r="L2097" s="0" t="str">
        <f aca="false">HYPERLINK("https://www.ncbi.nlm.nih.gov/nuccore/CP000304.1?report=graph&amp;tracks=[key:gene_model_track,Options:GeneOnly]&amp;mk=590475:590494|offset_12|444444,590504:590523|offset_41|444444,590606:590625|offset_143|00cc00,590631:590650|offset_168|444444&amp;v=590274:590850&amp;c=444444", "offset 143")</f>
        <v>offset 143</v>
      </c>
    </row>
    <row r="2098" customFormat="false" ht="12.8" hidden="false" customHeight="false" outlineLevel="0" collapsed="false">
      <c r="A2098" s="0" t="s">
        <v>12</v>
      </c>
      <c r="B2098" s="0" t="n">
        <v>590630</v>
      </c>
      <c r="C2098" s="0" t="n">
        <v>590650</v>
      </c>
      <c r="D2098" s="0" t="s">
        <v>6990</v>
      </c>
      <c r="E2098" s="0" t="s">
        <v>89</v>
      </c>
      <c r="F2098" s="0" t="s">
        <v>15</v>
      </c>
      <c r="G2098" s="0" t="s">
        <v>16</v>
      </c>
      <c r="H2098" s="0" t="n">
        <v>168</v>
      </c>
      <c r="I2098" s="0" t="s">
        <v>7000</v>
      </c>
      <c r="J2098" s="0" t="s">
        <v>7001</v>
      </c>
      <c r="K2098" s="0" t="s">
        <v>7002</v>
      </c>
      <c r="L2098" s="0" t="str">
        <f aca="false">HYPERLINK("https://www.ncbi.nlm.nih.gov/nuccore/CP000304.1?report=graph&amp;tracks=[key:gene_model_track,Options:GeneOnly]&amp;mk=590475:590494|offset_12|444444,590504:590523|offset_41|444444,590606:590625|offset_143|444444,590631:590650|offset_168|00cc00&amp;v=590274:590850&amp;c=444444", "offset 168")</f>
        <v>offset 168</v>
      </c>
    </row>
    <row r="2099" customFormat="false" ht="12.8" hidden="false" customHeight="false" outlineLevel="0" collapsed="false">
      <c r="A2099" s="0" t="s">
        <v>12</v>
      </c>
      <c r="B2099" s="0" t="n">
        <v>591073</v>
      </c>
      <c r="C2099" s="0" t="n">
        <v>591093</v>
      </c>
      <c r="D2099" s="0" t="s">
        <v>7003</v>
      </c>
      <c r="E2099" s="0" t="s">
        <v>89</v>
      </c>
      <c r="F2099" s="0" t="s">
        <v>15</v>
      </c>
      <c r="G2099" s="0" t="s">
        <v>36</v>
      </c>
      <c r="H2099" s="0" t="n">
        <v>20</v>
      </c>
      <c r="I2099" s="0" t="s">
        <v>7004</v>
      </c>
      <c r="J2099" s="0" t="s">
        <v>7005</v>
      </c>
      <c r="K2099" s="0" t="s">
        <v>7006</v>
      </c>
      <c r="L2099" s="0" t="str">
        <f aca="false">HYPERLINK("https://www.ncbi.nlm.nih.gov/nuccore/CP000304.1?report=graph&amp;tracks=[key:gene_model_track,Options:GeneOnly]&amp;mk=591074:591093|offset_20|00cc00,591109:591128|offset_55|444444,591151:591170|offset_97|444444,591171:591190|offset_117|444444&amp;v=590873:591390&amp;c=444444", "offset 20")</f>
        <v>offset 20</v>
      </c>
    </row>
    <row r="2100" customFormat="false" ht="12.8" hidden="false" customHeight="false" outlineLevel="0" collapsed="false">
      <c r="A2100" s="0" t="s">
        <v>12</v>
      </c>
      <c r="B2100" s="0" t="n">
        <v>591108</v>
      </c>
      <c r="C2100" s="0" t="n">
        <v>591128</v>
      </c>
      <c r="D2100" s="0" t="s">
        <v>7003</v>
      </c>
      <c r="E2100" s="0" t="s">
        <v>89</v>
      </c>
      <c r="F2100" s="0" t="s">
        <v>15</v>
      </c>
      <c r="G2100" s="0" t="s">
        <v>36</v>
      </c>
      <c r="H2100" s="0" t="n">
        <v>55</v>
      </c>
      <c r="I2100" s="0" t="s">
        <v>7007</v>
      </c>
      <c r="J2100" s="0" t="s">
        <v>7008</v>
      </c>
      <c r="K2100" s="0" t="s">
        <v>7009</v>
      </c>
      <c r="L2100" s="0" t="str">
        <f aca="false">HYPERLINK("https://www.ncbi.nlm.nih.gov/nuccore/CP000304.1?report=graph&amp;tracks=[key:gene_model_track,Options:GeneOnly]&amp;mk=591074:591093|offset_20|444444,591109:591128|offset_55|00cc00,591151:591170|offset_97|444444,591171:591190|offset_117|444444&amp;v=590873:591390&amp;c=444444", "offset 55")</f>
        <v>offset 55</v>
      </c>
    </row>
    <row r="2101" customFormat="false" ht="12.8" hidden="false" customHeight="false" outlineLevel="0" collapsed="false">
      <c r="A2101" s="0" t="s">
        <v>12</v>
      </c>
      <c r="B2101" s="0" t="n">
        <v>591150</v>
      </c>
      <c r="C2101" s="0" t="n">
        <v>591170</v>
      </c>
      <c r="D2101" s="0" t="s">
        <v>7003</v>
      </c>
      <c r="E2101" s="0" t="s">
        <v>89</v>
      </c>
      <c r="F2101" s="0" t="s">
        <v>15</v>
      </c>
      <c r="G2101" s="0" t="s">
        <v>32</v>
      </c>
      <c r="H2101" s="0" t="n">
        <v>97</v>
      </c>
      <c r="I2101" s="0" t="s">
        <v>7010</v>
      </c>
      <c r="J2101" s="0" t="s">
        <v>7011</v>
      </c>
      <c r="K2101" s="0" t="s">
        <v>7012</v>
      </c>
      <c r="L2101" s="0" t="str">
        <f aca="false">HYPERLINK("https://www.ncbi.nlm.nih.gov/nuccore/CP000304.1?report=graph&amp;tracks=[key:gene_model_track,Options:GeneOnly]&amp;mk=591074:591093|offset_20|444444,591109:591128|offset_55|444444,591151:591170|offset_97|00cc00,591171:591190|offset_117|444444&amp;v=590873:591390&amp;c=444444", "offset 97")</f>
        <v>offset 97</v>
      </c>
    </row>
    <row r="2102" customFormat="false" ht="12.8" hidden="false" customHeight="false" outlineLevel="0" collapsed="false">
      <c r="A2102" s="0" t="s">
        <v>12</v>
      </c>
      <c r="B2102" s="0" t="n">
        <v>591170</v>
      </c>
      <c r="C2102" s="0" t="n">
        <v>591190</v>
      </c>
      <c r="D2102" s="0" t="s">
        <v>7003</v>
      </c>
      <c r="E2102" s="0" t="s">
        <v>89</v>
      </c>
      <c r="F2102" s="0" t="s">
        <v>15</v>
      </c>
      <c r="G2102" s="0" t="s">
        <v>36</v>
      </c>
      <c r="H2102" s="0" t="n">
        <v>117</v>
      </c>
      <c r="I2102" s="0" t="s">
        <v>7013</v>
      </c>
      <c r="J2102" s="0" t="s">
        <v>7014</v>
      </c>
      <c r="K2102" s="0" t="s">
        <v>7015</v>
      </c>
      <c r="L2102" s="0" t="str">
        <f aca="false">HYPERLINK("https://www.ncbi.nlm.nih.gov/nuccore/CP000304.1?report=graph&amp;tracks=[key:gene_model_track,Options:GeneOnly]&amp;mk=591074:591093|offset_20|444444,591109:591128|offset_55|444444,591151:591170|offset_97|444444,591171:591190|offset_117|00cc00&amp;v=590873:591390&amp;c=444444", "offset 117")</f>
        <v>offset 117</v>
      </c>
    </row>
    <row r="2103" customFormat="false" ht="12.8" hidden="false" customHeight="false" outlineLevel="0" collapsed="false">
      <c r="A2103" s="0" t="s">
        <v>12</v>
      </c>
      <c r="B2103" s="0" t="n">
        <v>591858</v>
      </c>
      <c r="C2103" s="0" t="n">
        <v>591878</v>
      </c>
      <c r="D2103" s="0" t="s">
        <v>7016</v>
      </c>
      <c r="E2103" s="0" t="s">
        <v>89</v>
      </c>
      <c r="F2103" s="0" t="s">
        <v>15</v>
      </c>
      <c r="G2103" s="0" t="s">
        <v>26</v>
      </c>
      <c r="H2103" s="0" t="n">
        <v>16</v>
      </c>
      <c r="I2103" s="0" t="s">
        <v>7017</v>
      </c>
      <c r="J2103" s="0" t="s">
        <v>7018</v>
      </c>
      <c r="K2103" s="0" t="s">
        <v>7019</v>
      </c>
      <c r="L2103" s="0" t="str">
        <f aca="false">HYPERLINK("https://www.ncbi.nlm.nih.gov/nuccore/CP000304.1?report=graph&amp;tracks=[key:gene_model_track,Options:GeneOnly]&amp;mk=591859:591878|offset_16|00cc00,591880:591899|offset_37|444444,591903:591922|offset_60|444444,591931:591950|offset_88|444444&amp;v=591658:592150&amp;c=444444", "offset 16")</f>
        <v>offset 16</v>
      </c>
    </row>
    <row r="2104" customFormat="false" ht="12.8" hidden="false" customHeight="false" outlineLevel="0" collapsed="false">
      <c r="A2104" s="0" t="s">
        <v>12</v>
      </c>
      <c r="B2104" s="0" t="n">
        <v>591879</v>
      </c>
      <c r="C2104" s="0" t="n">
        <v>591899</v>
      </c>
      <c r="D2104" s="0" t="s">
        <v>7016</v>
      </c>
      <c r="E2104" s="0" t="s">
        <v>89</v>
      </c>
      <c r="F2104" s="0" t="s">
        <v>15</v>
      </c>
      <c r="G2104" s="0" t="s">
        <v>26</v>
      </c>
      <c r="H2104" s="0" t="n">
        <v>37</v>
      </c>
      <c r="I2104" s="0" t="s">
        <v>7020</v>
      </c>
      <c r="J2104" s="0" t="s">
        <v>7021</v>
      </c>
      <c r="K2104" s="0" t="s">
        <v>7022</v>
      </c>
      <c r="L2104" s="0" t="str">
        <f aca="false">HYPERLINK("https://www.ncbi.nlm.nih.gov/nuccore/CP000304.1?report=graph&amp;tracks=[key:gene_model_track,Options:GeneOnly]&amp;mk=591859:591878|offset_16|444444,591880:591899|offset_37|00cc00,591903:591922|offset_60|444444,591931:591950|offset_88|444444&amp;v=591658:592150&amp;c=444444", "offset 37")</f>
        <v>offset 37</v>
      </c>
    </row>
    <row r="2105" customFormat="false" ht="12.8" hidden="false" customHeight="false" outlineLevel="0" collapsed="false">
      <c r="A2105" s="0" t="s">
        <v>12</v>
      </c>
      <c r="B2105" s="0" t="n">
        <v>591902</v>
      </c>
      <c r="C2105" s="0" t="n">
        <v>591922</v>
      </c>
      <c r="D2105" s="0" t="s">
        <v>7016</v>
      </c>
      <c r="E2105" s="0" t="s">
        <v>89</v>
      </c>
      <c r="F2105" s="0" t="s">
        <v>15</v>
      </c>
      <c r="G2105" s="0" t="s">
        <v>16</v>
      </c>
      <c r="H2105" s="0" t="n">
        <v>60</v>
      </c>
      <c r="I2105" s="0" t="s">
        <v>7023</v>
      </c>
      <c r="J2105" s="0" t="s">
        <v>7024</v>
      </c>
      <c r="K2105" s="0" t="s">
        <v>7025</v>
      </c>
      <c r="L2105" s="0" t="str">
        <f aca="false">HYPERLINK("https://www.ncbi.nlm.nih.gov/nuccore/CP000304.1?report=graph&amp;tracks=[key:gene_model_track,Options:GeneOnly]&amp;mk=591859:591878|offset_16|444444,591880:591899|offset_37|444444,591903:591922|offset_60|00cc00,591931:591950|offset_88|444444&amp;v=591658:592150&amp;c=444444", "offset 60")</f>
        <v>offset 60</v>
      </c>
    </row>
    <row r="2106" customFormat="false" ht="12.8" hidden="false" customHeight="false" outlineLevel="0" collapsed="false">
      <c r="A2106" s="0" t="s">
        <v>12</v>
      </c>
      <c r="B2106" s="0" t="n">
        <v>591930</v>
      </c>
      <c r="C2106" s="0" t="n">
        <v>591950</v>
      </c>
      <c r="D2106" s="0" t="s">
        <v>7016</v>
      </c>
      <c r="E2106" s="0" t="s">
        <v>89</v>
      </c>
      <c r="F2106" s="0" t="s">
        <v>15</v>
      </c>
      <c r="G2106" s="0" t="s">
        <v>26</v>
      </c>
      <c r="H2106" s="0" t="n">
        <v>88</v>
      </c>
      <c r="I2106" s="0" t="s">
        <v>7026</v>
      </c>
      <c r="J2106" s="0" t="s">
        <v>7027</v>
      </c>
      <c r="K2106" s="0" t="s">
        <v>7028</v>
      </c>
      <c r="L2106" s="0" t="str">
        <f aca="false">HYPERLINK("https://www.ncbi.nlm.nih.gov/nuccore/CP000304.1?report=graph&amp;tracks=[key:gene_model_track,Options:GeneOnly]&amp;mk=591859:591878|offset_16|444444,591880:591899|offset_37|444444,591903:591922|offset_60|444444,591931:591950|offset_88|00cc00&amp;v=591658:592150&amp;c=444444", "offset 88")</f>
        <v>offset 88</v>
      </c>
    </row>
    <row r="2107" customFormat="false" ht="12.8" hidden="false" customHeight="false" outlineLevel="0" collapsed="false">
      <c r="A2107" s="0" t="s">
        <v>12</v>
      </c>
      <c r="B2107" s="0" t="n">
        <v>592489</v>
      </c>
      <c r="C2107" s="0" t="n">
        <v>592509</v>
      </c>
      <c r="D2107" s="0" t="s">
        <v>7029</v>
      </c>
      <c r="E2107" s="0" t="s">
        <v>89</v>
      </c>
      <c r="F2107" s="0" t="s">
        <v>15</v>
      </c>
      <c r="G2107" s="0" t="s">
        <v>16</v>
      </c>
      <c r="H2107" s="0" t="n">
        <v>0</v>
      </c>
      <c r="I2107" s="0" t="s">
        <v>7030</v>
      </c>
      <c r="J2107" s="0" t="s">
        <v>7031</v>
      </c>
      <c r="K2107" s="0" t="s">
        <v>7032</v>
      </c>
      <c r="L2107" s="0" t="str">
        <f aca="false">HYPERLINK("https://www.ncbi.nlm.nih.gov/nuccore/CP000304.1?report=graph&amp;tracks=[key:gene_model_track,Options:GeneOnly]&amp;mk=592490:592509|offset_0|00cc00,592512:592531|offset_22|444444,592533:592552|offset_43|444444,592557:592576|offset_67|444444&amp;v=592289:592776&amp;c=444444", "offset 0")</f>
        <v>offset 0</v>
      </c>
    </row>
    <row r="2108" customFormat="false" ht="12.8" hidden="false" customHeight="false" outlineLevel="0" collapsed="false">
      <c r="A2108" s="0" t="s">
        <v>12</v>
      </c>
      <c r="B2108" s="0" t="n">
        <v>592511</v>
      </c>
      <c r="C2108" s="0" t="n">
        <v>592531</v>
      </c>
      <c r="D2108" s="0" t="s">
        <v>7029</v>
      </c>
      <c r="E2108" s="0" t="s">
        <v>89</v>
      </c>
      <c r="F2108" s="0" t="s">
        <v>15</v>
      </c>
      <c r="G2108" s="0" t="s">
        <v>16</v>
      </c>
      <c r="H2108" s="0" t="n">
        <v>22</v>
      </c>
      <c r="I2108" s="0" t="s">
        <v>7033</v>
      </c>
      <c r="J2108" s="0" t="s">
        <v>7034</v>
      </c>
      <c r="K2108" s="0" t="s">
        <v>7035</v>
      </c>
      <c r="L2108" s="0" t="str">
        <f aca="false">HYPERLINK("https://www.ncbi.nlm.nih.gov/nuccore/CP000304.1?report=graph&amp;tracks=[key:gene_model_track,Options:GeneOnly]&amp;mk=592490:592509|offset_0|444444,592512:592531|offset_22|00cc00,592533:592552|offset_43|444444,592557:592576|offset_67|444444&amp;v=592289:592776&amp;c=444444", "offset 22")</f>
        <v>offset 22</v>
      </c>
    </row>
    <row r="2109" customFormat="false" ht="12.8" hidden="false" customHeight="false" outlineLevel="0" collapsed="false">
      <c r="A2109" s="0" t="s">
        <v>12</v>
      </c>
      <c r="B2109" s="0" t="n">
        <v>592532</v>
      </c>
      <c r="C2109" s="0" t="n">
        <v>592552</v>
      </c>
      <c r="D2109" s="0" t="s">
        <v>7029</v>
      </c>
      <c r="E2109" s="0" t="s">
        <v>89</v>
      </c>
      <c r="F2109" s="0" t="s">
        <v>15</v>
      </c>
      <c r="G2109" s="0" t="s">
        <v>32</v>
      </c>
      <c r="H2109" s="0" t="n">
        <v>43</v>
      </c>
      <c r="I2109" s="0" t="s">
        <v>7036</v>
      </c>
      <c r="J2109" s="0" t="s">
        <v>7037</v>
      </c>
      <c r="K2109" s="0" t="s">
        <v>7038</v>
      </c>
      <c r="L2109" s="0" t="str">
        <f aca="false">HYPERLINK("https://www.ncbi.nlm.nih.gov/nuccore/CP000304.1?report=graph&amp;tracks=[key:gene_model_track,Options:GeneOnly]&amp;mk=592490:592509|offset_0|444444,592512:592531|offset_22|444444,592533:592552|offset_43|00cc00,592557:592576|offset_67|444444&amp;v=592289:592776&amp;c=444444", "offset 43")</f>
        <v>offset 43</v>
      </c>
    </row>
    <row r="2110" customFormat="false" ht="12.8" hidden="false" customHeight="false" outlineLevel="0" collapsed="false">
      <c r="A2110" s="0" t="s">
        <v>12</v>
      </c>
      <c r="B2110" s="0" t="n">
        <v>592556</v>
      </c>
      <c r="C2110" s="0" t="n">
        <v>592576</v>
      </c>
      <c r="D2110" s="0" t="s">
        <v>7029</v>
      </c>
      <c r="E2110" s="0" t="s">
        <v>89</v>
      </c>
      <c r="F2110" s="0" t="s">
        <v>15</v>
      </c>
      <c r="G2110" s="0" t="s">
        <v>36</v>
      </c>
      <c r="H2110" s="0" t="n">
        <v>67</v>
      </c>
      <c r="I2110" s="0" t="s">
        <v>7039</v>
      </c>
      <c r="J2110" s="0" t="s">
        <v>7040</v>
      </c>
      <c r="K2110" s="0" t="s">
        <v>7041</v>
      </c>
      <c r="L2110" s="0" t="str">
        <f aca="false">HYPERLINK("https://www.ncbi.nlm.nih.gov/nuccore/CP000304.1?report=graph&amp;tracks=[key:gene_model_track,Options:GeneOnly]&amp;mk=592490:592509|offset_0|444444,592512:592531|offset_22|444444,592533:592552|offset_43|444444,592557:592576|offset_67|00cc00&amp;v=592289:592776&amp;c=444444", "offset 67")</f>
        <v>offset 67</v>
      </c>
    </row>
    <row r="2111" customFormat="false" ht="12.8" hidden="false" customHeight="false" outlineLevel="0" collapsed="false">
      <c r="A2111" s="0" t="s">
        <v>12</v>
      </c>
      <c r="B2111" s="0" t="n">
        <v>595025</v>
      </c>
      <c r="C2111" s="0" t="n">
        <v>595045</v>
      </c>
      <c r="D2111" s="0" t="s">
        <v>7042</v>
      </c>
      <c r="E2111" s="0" t="s">
        <v>89</v>
      </c>
      <c r="F2111" s="0" t="s">
        <v>90</v>
      </c>
      <c r="G2111" s="0" t="s">
        <v>32</v>
      </c>
      <c r="H2111" s="0" t="n">
        <v>7</v>
      </c>
      <c r="I2111" s="0" t="s">
        <v>7043</v>
      </c>
      <c r="J2111" s="0" t="s">
        <v>7044</v>
      </c>
      <c r="K2111" s="0" t="s">
        <v>7045</v>
      </c>
      <c r="L2111" s="0" t="str">
        <f aca="false">HYPERLINK("https://www.ncbi.nlm.nih.gov/nuccore/CP000304.1?report=graph&amp;tracks=[key:gene_model_track,Options:GeneOnly]&amp;mk=595026:595045|offset_7|00cc00,595003:595022|offset_30|444444,594971:594990|offset_62|444444,594945:594964|offset_88|444444&amp;v=594825:595164&amp;c=444444", "offset 7")</f>
        <v>offset 7</v>
      </c>
    </row>
    <row r="2112" customFormat="false" ht="12.8" hidden="false" customHeight="false" outlineLevel="0" collapsed="false">
      <c r="A2112" s="0" t="s">
        <v>12</v>
      </c>
      <c r="B2112" s="0" t="n">
        <v>595002</v>
      </c>
      <c r="C2112" s="0" t="n">
        <v>595022</v>
      </c>
      <c r="D2112" s="0" t="s">
        <v>7042</v>
      </c>
      <c r="E2112" s="0" t="s">
        <v>89</v>
      </c>
      <c r="F2112" s="0" t="s">
        <v>90</v>
      </c>
      <c r="G2112" s="0" t="s">
        <v>36</v>
      </c>
      <c r="H2112" s="0" t="n">
        <v>30</v>
      </c>
      <c r="I2112" s="0" t="s">
        <v>7046</v>
      </c>
      <c r="J2112" s="0" t="s">
        <v>7047</v>
      </c>
      <c r="K2112" s="0" t="s">
        <v>7048</v>
      </c>
      <c r="L2112" s="0" t="str">
        <f aca="false">HYPERLINK("https://www.ncbi.nlm.nih.gov/nuccore/CP000304.1?report=graph&amp;tracks=[key:gene_model_track,Options:GeneOnly]&amp;mk=595026:595045|offset_7|444444,595003:595022|offset_30|00cc00,594971:594990|offset_62|444444,594945:594964|offset_88|444444&amp;v=594825:595164&amp;c=444444", "offset 30")</f>
        <v>offset 30</v>
      </c>
    </row>
    <row r="2113" customFormat="false" ht="12.8" hidden="false" customHeight="false" outlineLevel="0" collapsed="false">
      <c r="A2113" s="0" t="s">
        <v>12</v>
      </c>
      <c r="B2113" s="0" t="n">
        <v>594970</v>
      </c>
      <c r="C2113" s="0" t="n">
        <v>594990</v>
      </c>
      <c r="D2113" s="0" t="s">
        <v>7042</v>
      </c>
      <c r="E2113" s="0" t="s">
        <v>89</v>
      </c>
      <c r="F2113" s="0" t="s">
        <v>90</v>
      </c>
      <c r="G2113" s="0" t="s">
        <v>32</v>
      </c>
      <c r="H2113" s="0" t="n">
        <v>62</v>
      </c>
      <c r="I2113" s="0" t="s">
        <v>7049</v>
      </c>
      <c r="J2113" s="0" t="s">
        <v>7050</v>
      </c>
      <c r="K2113" s="0" t="s">
        <v>7051</v>
      </c>
      <c r="L2113" s="0" t="str">
        <f aca="false">HYPERLINK("https://www.ncbi.nlm.nih.gov/nuccore/CP000304.1?report=graph&amp;tracks=[key:gene_model_track,Options:GeneOnly]&amp;mk=595026:595045|offset_7|444444,595003:595022|offset_30|444444,594971:594990|offset_62|00cc00,594945:594964|offset_88|444444&amp;v=594825:595164&amp;c=444444", "offset 62")</f>
        <v>offset 62</v>
      </c>
    </row>
    <row r="2114" customFormat="false" ht="12.8" hidden="false" customHeight="false" outlineLevel="0" collapsed="false">
      <c r="A2114" s="0" t="s">
        <v>12</v>
      </c>
      <c r="B2114" s="0" t="n">
        <v>594944</v>
      </c>
      <c r="C2114" s="0" t="n">
        <v>594964</v>
      </c>
      <c r="D2114" s="0" t="s">
        <v>7042</v>
      </c>
      <c r="E2114" s="0" t="s">
        <v>89</v>
      </c>
      <c r="F2114" s="0" t="s">
        <v>90</v>
      </c>
      <c r="G2114" s="0" t="s">
        <v>26</v>
      </c>
      <c r="H2114" s="0" t="n">
        <v>88</v>
      </c>
      <c r="I2114" s="0" t="s">
        <v>7052</v>
      </c>
      <c r="J2114" s="0" t="s">
        <v>7053</v>
      </c>
      <c r="K2114" s="0" t="s">
        <v>7054</v>
      </c>
      <c r="L2114" s="0" t="str">
        <f aca="false">HYPERLINK("https://www.ncbi.nlm.nih.gov/nuccore/CP000304.1?report=graph&amp;tracks=[key:gene_model_track,Options:GeneOnly]&amp;mk=595026:595045|offset_7|444444,595003:595022|offset_30|444444,594971:594990|offset_62|444444,594945:594964|offset_88|00cc00&amp;v=594825:595164&amp;c=444444", "offset 88")</f>
        <v>offset 88</v>
      </c>
    </row>
    <row r="2115" customFormat="false" ht="12.8" hidden="false" customHeight="false" outlineLevel="0" collapsed="false">
      <c r="A2115" s="0" t="s">
        <v>12</v>
      </c>
      <c r="B2115" s="0" t="n">
        <v>595674</v>
      </c>
      <c r="C2115" s="0" t="n">
        <v>595694</v>
      </c>
      <c r="D2115" s="0" t="s">
        <v>7055</v>
      </c>
      <c r="E2115" s="0" t="s">
        <v>89</v>
      </c>
      <c r="F2115" s="0" t="s">
        <v>90</v>
      </c>
      <c r="G2115" s="0" t="s">
        <v>16</v>
      </c>
      <c r="H2115" s="0" t="n">
        <v>12</v>
      </c>
      <c r="I2115" s="0" t="s">
        <v>7056</v>
      </c>
      <c r="J2115" s="0" t="s">
        <v>7057</v>
      </c>
      <c r="K2115" s="0" t="s">
        <v>7058</v>
      </c>
      <c r="L2115" s="0" t="str">
        <f aca="false">HYPERLINK("https://www.ncbi.nlm.nih.gov/nuccore/CP000304.1?report=graph&amp;tracks=[key:gene_model_track,Options:GeneOnly]&amp;mk=595675:595694|offset_12|00cc00,595650:595669|offset_37|444444,595630:595649|offset_57|444444,595604:595623|offset_83|444444&amp;v=595474:595823&amp;c=444444", "offset 12")</f>
        <v>offset 12</v>
      </c>
    </row>
    <row r="2116" customFormat="false" ht="12.8" hidden="false" customHeight="false" outlineLevel="0" collapsed="false">
      <c r="A2116" s="0" t="s">
        <v>12</v>
      </c>
      <c r="B2116" s="0" t="n">
        <v>595649</v>
      </c>
      <c r="C2116" s="0" t="n">
        <v>595669</v>
      </c>
      <c r="D2116" s="0" t="s">
        <v>7055</v>
      </c>
      <c r="E2116" s="0" t="s">
        <v>89</v>
      </c>
      <c r="F2116" s="0" t="s">
        <v>90</v>
      </c>
      <c r="G2116" s="0" t="s">
        <v>26</v>
      </c>
      <c r="H2116" s="0" t="n">
        <v>37</v>
      </c>
      <c r="I2116" s="0" t="s">
        <v>7059</v>
      </c>
      <c r="J2116" s="0" t="s">
        <v>7060</v>
      </c>
      <c r="K2116" s="0" t="s">
        <v>7061</v>
      </c>
      <c r="L2116" s="0" t="str">
        <f aca="false">HYPERLINK("https://www.ncbi.nlm.nih.gov/nuccore/CP000304.1?report=graph&amp;tracks=[key:gene_model_track,Options:GeneOnly]&amp;mk=595675:595694|offset_12|444444,595650:595669|offset_37|00cc00,595630:595649|offset_57|444444,595604:595623|offset_83|444444&amp;v=595474:595823&amp;c=444444", "offset 37")</f>
        <v>offset 37</v>
      </c>
    </row>
    <row r="2117" customFormat="false" ht="12.8" hidden="false" customHeight="false" outlineLevel="0" collapsed="false">
      <c r="A2117" s="0" t="s">
        <v>12</v>
      </c>
      <c r="B2117" s="0" t="n">
        <v>595629</v>
      </c>
      <c r="C2117" s="0" t="n">
        <v>595649</v>
      </c>
      <c r="D2117" s="0" t="s">
        <v>7055</v>
      </c>
      <c r="E2117" s="0" t="s">
        <v>89</v>
      </c>
      <c r="F2117" s="0" t="s">
        <v>90</v>
      </c>
      <c r="G2117" s="0" t="s">
        <v>36</v>
      </c>
      <c r="H2117" s="0" t="n">
        <v>57</v>
      </c>
      <c r="I2117" s="0" t="s">
        <v>7062</v>
      </c>
      <c r="J2117" s="0" t="s">
        <v>7063</v>
      </c>
      <c r="K2117" s="0" t="s">
        <v>7064</v>
      </c>
      <c r="L2117" s="0" t="str">
        <f aca="false">HYPERLINK("https://www.ncbi.nlm.nih.gov/nuccore/CP000304.1?report=graph&amp;tracks=[key:gene_model_track,Options:GeneOnly]&amp;mk=595675:595694|offset_12|444444,595650:595669|offset_37|444444,595630:595649|offset_57|00cc00,595604:595623|offset_83|444444&amp;v=595474:595823&amp;c=444444", "offset 57")</f>
        <v>offset 57</v>
      </c>
    </row>
    <row r="2118" customFormat="false" ht="12.8" hidden="false" customHeight="false" outlineLevel="0" collapsed="false">
      <c r="A2118" s="0" t="s">
        <v>12</v>
      </c>
      <c r="B2118" s="0" t="n">
        <v>595603</v>
      </c>
      <c r="C2118" s="0" t="n">
        <v>595623</v>
      </c>
      <c r="D2118" s="0" t="s">
        <v>7055</v>
      </c>
      <c r="E2118" s="0" t="s">
        <v>89</v>
      </c>
      <c r="F2118" s="0" t="s">
        <v>90</v>
      </c>
      <c r="G2118" s="0" t="s">
        <v>32</v>
      </c>
      <c r="H2118" s="0" t="n">
        <v>83</v>
      </c>
      <c r="I2118" s="0" t="s">
        <v>7065</v>
      </c>
      <c r="J2118" s="0" t="s">
        <v>7066</v>
      </c>
      <c r="K2118" s="0" t="s">
        <v>7067</v>
      </c>
      <c r="L2118" s="0" t="str">
        <f aca="false">HYPERLINK("https://www.ncbi.nlm.nih.gov/nuccore/CP000304.1?report=graph&amp;tracks=[key:gene_model_track,Options:GeneOnly]&amp;mk=595675:595694|offset_12|444444,595650:595669|offset_37|444444,595630:595649|offset_57|444444,595604:595623|offset_83|00cc00&amp;v=595474:595823&amp;c=444444", "offset 83")</f>
        <v>offset 83</v>
      </c>
    </row>
    <row r="2119" customFormat="false" ht="12.8" hidden="false" customHeight="false" outlineLevel="0" collapsed="false">
      <c r="A2119" s="0" t="s">
        <v>12</v>
      </c>
      <c r="B2119" s="0" t="n">
        <v>596401</v>
      </c>
      <c r="C2119" s="0" t="n">
        <v>596421</v>
      </c>
      <c r="D2119" s="0" t="s">
        <v>7068</v>
      </c>
      <c r="E2119" s="0" t="s">
        <v>7069</v>
      </c>
      <c r="F2119" s="0" t="s">
        <v>90</v>
      </c>
      <c r="G2119" s="0" t="s">
        <v>16</v>
      </c>
      <c r="H2119" s="0" t="n">
        <v>19</v>
      </c>
      <c r="I2119" s="0" t="s">
        <v>7070</v>
      </c>
      <c r="J2119" s="0" t="s">
        <v>7071</v>
      </c>
      <c r="K2119" s="0" t="s">
        <v>7072</v>
      </c>
      <c r="L2119" s="0" t="str">
        <f aca="false">HYPERLINK("https://www.ncbi.nlm.nih.gov/nuccore/CP000304.1?report=graph&amp;tracks=[key:gene_model_track,Options:GeneOnly]&amp;mk=596402:596421|offset_19|00cc00,596332:596351|offset_89|444444,596295:596314|offset_126|444444,596263:596282|offset_158|444444&amp;v=596201:596482&amp;c=444444", "offset 19")</f>
        <v>offset 19</v>
      </c>
    </row>
    <row r="2120" customFormat="false" ht="12.8" hidden="false" customHeight="false" outlineLevel="0" collapsed="false">
      <c r="A2120" s="0" t="s">
        <v>12</v>
      </c>
      <c r="B2120" s="0" t="n">
        <v>596331</v>
      </c>
      <c r="C2120" s="0" t="n">
        <v>596351</v>
      </c>
      <c r="D2120" s="0" t="s">
        <v>7068</v>
      </c>
      <c r="E2120" s="0" t="s">
        <v>7069</v>
      </c>
      <c r="F2120" s="0" t="s">
        <v>90</v>
      </c>
      <c r="G2120" s="0" t="s">
        <v>26</v>
      </c>
      <c r="H2120" s="0" t="n">
        <v>89</v>
      </c>
      <c r="I2120" s="0" t="s">
        <v>7073</v>
      </c>
      <c r="J2120" s="0" t="s">
        <v>7074</v>
      </c>
      <c r="K2120" s="0" t="s">
        <v>7075</v>
      </c>
      <c r="L2120" s="0" t="str">
        <f aca="false">HYPERLINK("https://www.ncbi.nlm.nih.gov/nuccore/CP000304.1?report=graph&amp;tracks=[key:gene_model_track,Options:GeneOnly]&amp;mk=596402:596421|offset_19|444444,596332:596351|offset_89|00cc00,596295:596314|offset_126|444444,596263:596282|offset_158|444444&amp;v=596201:596482&amp;c=444444", "offset 89")</f>
        <v>offset 89</v>
      </c>
    </row>
    <row r="2121" customFormat="false" ht="12.8" hidden="false" customHeight="false" outlineLevel="0" collapsed="false">
      <c r="A2121" s="0" t="s">
        <v>12</v>
      </c>
      <c r="B2121" s="0" t="n">
        <v>596294</v>
      </c>
      <c r="C2121" s="0" t="n">
        <v>596314</v>
      </c>
      <c r="D2121" s="0" t="s">
        <v>7068</v>
      </c>
      <c r="E2121" s="0" t="s">
        <v>7069</v>
      </c>
      <c r="F2121" s="0" t="s">
        <v>90</v>
      </c>
      <c r="G2121" s="0" t="s">
        <v>16</v>
      </c>
      <c r="H2121" s="0" t="n">
        <v>126</v>
      </c>
      <c r="I2121" s="0" t="s">
        <v>7076</v>
      </c>
      <c r="J2121" s="0" t="s">
        <v>7077</v>
      </c>
      <c r="K2121" s="0" t="s">
        <v>7078</v>
      </c>
      <c r="L2121" s="0" t="str">
        <f aca="false">HYPERLINK("https://www.ncbi.nlm.nih.gov/nuccore/CP000304.1?report=graph&amp;tracks=[key:gene_model_track,Options:GeneOnly]&amp;mk=596402:596421|offset_19|444444,596332:596351|offset_89|444444,596295:596314|offset_126|00cc00,596263:596282|offset_158|444444&amp;v=596201:596482&amp;c=444444", "offset 126")</f>
        <v>offset 126</v>
      </c>
    </row>
    <row r="2122" customFormat="false" ht="12.8" hidden="false" customHeight="false" outlineLevel="0" collapsed="false">
      <c r="A2122" s="0" t="s">
        <v>12</v>
      </c>
      <c r="B2122" s="0" t="n">
        <v>596262</v>
      </c>
      <c r="C2122" s="0" t="n">
        <v>596282</v>
      </c>
      <c r="D2122" s="0" t="s">
        <v>7068</v>
      </c>
      <c r="E2122" s="0" t="s">
        <v>7069</v>
      </c>
      <c r="F2122" s="0" t="s">
        <v>90</v>
      </c>
      <c r="G2122" s="0" t="s">
        <v>26</v>
      </c>
      <c r="H2122" s="0" t="n">
        <v>158</v>
      </c>
      <c r="I2122" s="0" t="s">
        <v>7079</v>
      </c>
      <c r="J2122" s="0" t="s">
        <v>7080</v>
      </c>
      <c r="K2122" s="0" t="s">
        <v>7081</v>
      </c>
      <c r="L2122" s="0" t="str">
        <f aca="false">HYPERLINK("https://www.ncbi.nlm.nih.gov/nuccore/CP000304.1?report=graph&amp;tracks=[key:gene_model_track,Options:GeneOnly]&amp;mk=596402:596421|offset_19|444444,596332:596351|offset_89|444444,596295:596314|offset_126|444444,596263:596282|offset_158|00cc00&amp;v=596201:596482&amp;c=444444", "offset 158")</f>
        <v>offset 158</v>
      </c>
    </row>
    <row r="2123" customFormat="false" ht="12.8" hidden="false" customHeight="false" outlineLevel="0" collapsed="false">
      <c r="A2123" s="0" t="s">
        <v>12</v>
      </c>
      <c r="B2123" s="0" t="n">
        <v>596757</v>
      </c>
      <c r="C2123" s="0" t="n">
        <v>596777</v>
      </c>
      <c r="D2123" s="0" t="s">
        <v>7082</v>
      </c>
      <c r="E2123" s="0" t="s">
        <v>7083</v>
      </c>
      <c r="F2123" s="0" t="s">
        <v>15</v>
      </c>
      <c r="G2123" s="0" t="s">
        <v>26</v>
      </c>
      <c r="H2123" s="0" t="n">
        <v>15</v>
      </c>
      <c r="I2123" s="0" t="s">
        <v>7084</v>
      </c>
      <c r="J2123" s="0" t="s">
        <v>7085</v>
      </c>
      <c r="K2123" s="0" t="s">
        <v>7086</v>
      </c>
      <c r="L2123" s="0" t="str">
        <f aca="false">HYPERLINK("https://www.ncbi.nlm.nih.gov/nuccore/CP000304.1?report=graph&amp;tracks=[key:gene_model_track,Options:GeneOnly]&amp;mk=596758:596777|offset_15|00cc00,596780:596799|offset_37|444444,596816:596835|offset_73|444444,596856:596875|offset_113|444444&amp;v=596557:597075&amp;c=444444", "offset 15")</f>
        <v>offset 15</v>
      </c>
    </row>
    <row r="2124" customFormat="false" ht="12.8" hidden="false" customHeight="false" outlineLevel="0" collapsed="false">
      <c r="A2124" s="0" t="s">
        <v>12</v>
      </c>
      <c r="B2124" s="0" t="n">
        <v>596779</v>
      </c>
      <c r="C2124" s="0" t="n">
        <v>596799</v>
      </c>
      <c r="D2124" s="0" t="s">
        <v>7082</v>
      </c>
      <c r="E2124" s="0" t="s">
        <v>7083</v>
      </c>
      <c r="F2124" s="0" t="s">
        <v>15</v>
      </c>
      <c r="G2124" s="0" t="s">
        <v>32</v>
      </c>
      <c r="H2124" s="0" t="n">
        <v>37</v>
      </c>
      <c r="I2124" s="0" t="s">
        <v>7087</v>
      </c>
      <c r="J2124" s="0" t="s">
        <v>7088</v>
      </c>
      <c r="K2124" s="0" t="s">
        <v>7089</v>
      </c>
      <c r="L2124" s="0" t="str">
        <f aca="false">HYPERLINK("https://www.ncbi.nlm.nih.gov/nuccore/CP000304.1?report=graph&amp;tracks=[key:gene_model_track,Options:GeneOnly]&amp;mk=596758:596777|offset_15|444444,596780:596799|offset_37|00cc00,596816:596835|offset_73|444444,596856:596875|offset_113|444444&amp;v=596557:597075&amp;c=444444", "offset 37")</f>
        <v>offset 37</v>
      </c>
    </row>
    <row r="2125" customFormat="false" ht="12.8" hidden="false" customHeight="false" outlineLevel="0" collapsed="false">
      <c r="A2125" s="0" t="s">
        <v>12</v>
      </c>
      <c r="B2125" s="0" t="n">
        <v>596815</v>
      </c>
      <c r="C2125" s="0" t="n">
        <v>596835</v>
      </c>
      <c r="D2125" s="0" t="s">
        <v>7082</v>
      </c>
      <c r="E2125" s="0" t="s">
        <v>7083</v>
      </c>
      <c r="F2125" s="0" t="s">
        <v>15</v>
      </c>
      <c r="G2125" s="0" t="s">
        <v>36</v>
      </c>
      <c r="H2125" s="0" t="n">
        <v>73</v>
      </c>
      <c r="I2125" s="0" t="s">
        <v>7090</v>
      </c>
      <c r="J2125" s="0" t="s">
        <v>7091</v>
      </c>
      <c r="K2125" s="0" t="s">
        <v>7092</v>
      </c>
      <c r="L2125" s="0" t="str">
        <f aca="false">HYPERLINK("https://www.ncbi.nlm.nih.gov/nuccore/CP000304.1?report=graph&amp;tracks=[key:gene_model_track,Options:GeneOnly]&amp;mk=596758:596777|offset_15|444444,596780:596799|offset_37|444444,596816:596835|offset_73|00cc00,596856:596875|offset_113|444444&amp;v=596557:597075&amp;c=444444", "offset 73")</f>
        <v>offset 73</v>
      </c>
    </row>
    <row r="2126" customFormat="false" ht="12.8" hidden="false" customHeight="false" outlineLevel="0" collapsed="false">
      <c r="A2126" s="0" t="s">
        <v>12</v>
      </c>
      <c r="B2126" s="0" t="n">
        <v>596855</v>
      </c>
      <c r="C2126" s="0" t="n">
        <v>596875</v>
      </c>
      <c r="D2126" s="0" t="s">
        <v>7082</v>
      </c>
      <c r="E2126" s="0" t="s">
        <v>7083</v>
      </c>
      <c r="F2126" s="0" t="s">
        <v>15</v>
      </c>
      <c r="G2126" s="0" t="s">
        <v>26</v>
      </c>
      <c r="H2126" s="0" t="n">
        <v>113</v>
      </c>
      <c r="I2126" s="0" t="s">
        <v>7093</v>
      </c>
      <c r="J2126" s="0" t="s">
        <v>7094</v>
      </c>
      <c r="K2126" s="0" t="s">
        <v>7095</v>
      </c>
      <c r="L2126" s="0" t="str">
        <f aca="false">HYPERLINK("https://www.ncbi.nlm.nih.gov/nuccore/CP000304.1?report=graph&amp;tracks=[key:gene_model_track,Options:GeneOnly]&amp;mk=596758:596777|offset_15|444444,596780:596799|offset_37|444444,596816:596835|offset_73|444444,596856:596875|offset_113|00cc00&amp;v=596557:597075&amp;c=444444", "offset 113")</f>
        <v>offset 113</v>
      </c>
    </row>
    <row r="2127" customFormat="false" ht="12.8" hidden="false" customHeight="false" outlineLevel="0" collapsed="false">
      <c r="A2127" s="0" t="s">
        <v>12</v>
      </c>
      <c r="B2127" s="0" t="n">
        <v>597787</v>
      </c>
      <c r="C2127" s="0" t="n">
        <v>597807</v>
      </c>
      <c r="D2127" s="0" t="s">
        <v>7096</v>
      </c>
      <c r="E2127" s="0" t="s">
        <v>7097</v>
      </c>
      <c r="F2127" s="0" t="s">
        <v>15</v>
      </c>
      <c r="G2127" s="0" t="s">
        <v>32</v>
      </c>
      <c r="H2127" s="0" t="n">
        <v>11</v>
      </c>
      <c r="I2127" s="0" t="s">
        <v>7098</v>
      </c>
      <c r="J2127" s="0" t="s">
        <v>7099</v>
      </c>
      <c r="K2127" s="0" t="s">
        <v>7100</v>
      </c>
      <c r="L2127" s="0" t="str">
        <f aca="false">HYPERLINK("https://www.ncbi.nlm.nih.gov/nuccore/CP000304.1?report=graph&amp;tracks=[key:gene_model_track,Options:GeneOnly]&amp;mk=597788:597807|offset_11|00cc00,597820:597839|offset_43|444444,597852:597871|offset_75|444444,597874:597893|offset_97|444444&amp;v=597587:598093&amp;c=444444", "offset 11")</f>
        <v>offset 11</v>
      </c>
    </row>
    <row r="2128" customFormat="false" ht="12.8" hidden="false" customHeight="false" outlineLevel="0" collapsed="false">
      <c r="A2128" s="0" t="s">
        <v>12</v>
      </c>
      <c r="B2128" s="0" t="n">
        <v>597819</v>
      </c>
      <c r="C2128" s="0" t="n">
        <v>597839</v>
      </c>
      <c r="D2128" s="0" t="s">
        <v>7096</v>
      </c>
      <c r="E2128" s="0" t="s">
        <v>7097</v>
      </c>
      <c r="F2128" s="0" t="s">
        <v>15</v>
      </c>
      <c r="G2128" s="0" t="s">
        <v>16</v>
      </c>
      <c r="H2128" s="0" t="n">
        <v>43</v>
      </c>
      <c r="I2128" s="0" t="s">
        <v>7101</v>
      </c>
      <c r="J2128" s="0" t="s">
        <v>7102</v>
      </c>
      <c r="K2128" s="0" t="s">
        <v>7103</v>
      </c>
      <c r="L2128" s="0" t="str">
        <f aca="false">HYPERLINK("https://www.ncbi.nlm.nih.gov/nuccore/CP000304.1?report=graph&amp;tracks=[key:gene_model_track,Options:GeneOnly]&amp;mk=597788:597807|offset_11|444444,597820:597839|offset_43|00cc00,597852:597871|offset_75|444444,597874:597893|offset_97|444444&amp;v=597587:598093&amp;c=444444", "offset 43")</f>
        <v>offset 43</v>
      </c>
    </row>
    <row r="2129" customFormat="false" ht="12.8" hidden="false" customHeight="false" outlineLevel="0" collapsed="false">
      <c r="A2129" s="0" t="s">
        <v>12</v>
      </c>
      <c r="B2129" s="0" t="n">
        <v>597851</v>
      </c>
      <c r="C2129" s="0" t="n">
        <v>597871</v>
      </c>
      <c r="D2129" s="0" t="s">
        <v>7096</v>
      </c>
      <c r="E2129" s="0" t="s">
        <v>7097</v>
      </c>
      <c r="F2129" s="0" t="s">
        <v>15</v>
      </c>
      <c r="G2129" s="0" t="s">
        <v>16</v>
      </c>
      <c r="H2129" s="0" t="n">
        <v>75</v>
      </c>
      <c r="I2129" s="0" t="s">
        <v>7104</v>
      </c>
      <c r="J2129" s="0" t="s">
        <v>7105</v>
      </c>
      <c r="K2129" s="0" t="s">
        <v>7106</v>
      </c>
      <c r="L2129" s="0" t="str">
        <f aca="false">HYPERLINK("https://www.ncbi.nlm.nih.gov/nuccore/CP000304.1?report=graph&amp;tracks=[key:gene_model_track,Options:GeneOnly]&amp;mk=597788:597807|offset_11|444444,597820:597839|offset_43|444444,597852:597871|offset_75|00cc00,597874:597893|offset_97|444444&amp;v=597587:598093&amp;c=444444", "offset 75")</f>
        <v>offset 75</v>
      </c>
    </row>
    <row r="2130" customFormat="false" ht="12.8" hidden="false" customHeight="false" outlineLevel="0" collapsed="false">
      <c r="A2130" s="0" t="s">
        <v>12</v>
      </c>
      <c r="B2130" s="0" t="n">
        <v>597873</v>
      </c>
      <c r="C2130" s="0" t="n">
        <v>597893</v>
      </c>
      <c r="D2130" s="0" t="s">
        <v>7096</v>
      </c>
      <c r="E2130" s="0" t="s">
        <v>7097</v>
      </c>
      <c r="F2130" s="0" t="s">
        <v>15</v>
      </c>
      <c r="G2130" s="0" t="s">
        <v>16</v>
      </c>
      <c r="H2130" s="0" t="n">
        <v>97</v>
      </c>
      <c r="I2130" s="0" t="s">
        <v>7107</v>
      </c>
      <c r="J2130" s="0" t="s">
        <v>7108</v>
      </c>
      <c r="K2130" s="0" t="s">
        <v>7109</v>
      </c>
      <c r="L2130" s="0" t="str">
        <f aca="false">HYPERLINK("https://www.ncbi.nlm.nih.gov/nuccore/CP000304.1?report=graph&amp;tracks=[key:gene_model_track,Options:GeneOnly]&amp;mk=597788:597807|offset_11|444444,597820:597839|offset_43|444444,597852:597871|offset_75|444444,597874:597893|offset_97|00cc00&amp;v=597587:598093&amp;c=444444", "offset 97")</f>
        <v>offset 97</v>
      </c>
    </row>
    <row r="2131" customFormat="false" ht="12.8" hidden="false" customHeight="false" outlineLevel="0" collapsed="false">
      <c r="A2131" s="0" t="s">
        <v>12</v>
      </c>
      <c r="B2131" s="0" t="n">
        <v>601531</v>
      </c>
      <c r="C2131" s="0" t="n">
        <v>601551</v>
      </c>
      <c r="D2131" s="0" t="s">
        <v>7110</v>
      </c>
      <c r="E2131" s="0" t="s">
        <v>7111</v>
      </c>
      <c r="F2131" s="0" t="s">
        <v>90</v>
      </c>
      <c r="G2131" s="0" t="s">
        <v>32</v>
      </c>
      <c r="H2131" s="0" t="n">
        <v>0</v>
      </c>
      <c r="I2131" s="0" t="s">
        <v>7112</v>
      </c>
      <c r="J2131" s="0" t="s">
        <v>7113</v>
      </c>
      <c r="K2131" s="0" t="s">
        <v>7114</v>
      </c>
      <c r="L2131" s="0" t="str">
        <f aca="false">HYPERLINK("https://www.ncbi.nlm.nih.gov/nuccore/CP000304.1?report=graph&amp;tracks=[key:gene_model_track,Options:GeneOnly]&amp;mk=601532:601551|offset_0|00cc00,601507:601526|offset_25|444444,601444:601463|offset_88|444444,601422:601441|offset_110|444444&amp;v=601331:601641&amp;c=444444", "offset 0")</f>
        <v>offset 0</v>
      </c>
    </row>
    <row r="2132" customFormat="false" ht="12.8" hidden="false" customHeight="false" outlineLevel="0" collapsed="false">
      <c r="A2132" s="0" t="s">
        <v>12</v>
      </c>
      <c r="B2132" s="0" t="n">
        <v>601506</v>
      </c>
      <c r="C2132" s="0" t="n">
        <v>601526</v>
      </c>
      <c r="D2132" s="0" t="s">
        <v>7110</v>
      </c>
      <c r="E2132" s="0" t="s">
        <v>7111</v>
      </c>
      <c r="F2132" s="0" t="s">
        <v>90</v>
      </c>
      <c r="G2132" s="0" t="s">
        <v>26</v>
      </c>
      <c r="H2132" s="0" t="n">
        <v>25</v>
      </c>
      <c r="I2132" s="0" t="s">
        <v>7115</v>
      </c>
      <c r="J2132" s="0" t="s">
        <v>7116</v>
      </c>
      <c r="K2132" s="0" t="s">
        <v>7117</v>
      </c>
      <c r="L2132" s="0" t="str">
        <f aca="false">HYPERLINK("https://www.ncbi.nlm.nih.gov/nuccore/CP000304.1?report=graph&amp;tracks=[key:gene_model_track,Options:GeneOnly]&amp;mk=601532:601551|offset_0|444444,601507:601526|offset_25|00cc00,601444:601463|offset_88|444444,601422:601441|offset_110|444444&amp;v=601331:601641&amp;c=444444", "offset 25")</f>
        <v>offset 25</v>
      </c>
    </row>
    <row r="2133" customFormat="false" ht="12.8" hidden="false" customHeight="false" outlineLevel="0" collapsed="false">
      <c r="A2133" s="0" t="s">
        <v>12</v>
      </c>
      <c r="B2133" s="0" t="n">
        <v>601443</v>
      </c>
      <c r="C2133" s="0" t="n">
        <v>601463</v>
      </c>
      <c r="D2133" s="0" t="s">
        <v>7110</v>
      </c>
      <c r="E2133" s="0" t="s">
        <v>7111</v>
      </c>
      <c r="F2133" s="0" t="s">
        <v>90</v>
      </c>
      <c r="G2133" s="0" t="s">
        <v>32</v>
      </c>
      <c r="H2133" s="0" t="n">
        <v>88</v>
      </c>
      <c r="I2133" s="0" t="s">
        <v>7118</v>
      </c>
      <c r="J2133" s="0" t="s">
        <v>7119</v>
      </c>
      <c r="K2133" s="0" t="s">
        <v>7120</v>
      </c>
      <c r="L2133" s="0" t="str">
        <f aca="false">HYPERLINK("https://www.ncbi.nlm.nih.gov/nuccore/CP000304.1?report=graph&amp;tracks=[key:gene_model_track,Options:GeneOnly]&amp;mk=601532:601551|offset_0|444444,601507:601526|offset_25|444444,601444:601463|offset_88|00cc00,601422:601441|offset_110|444444&amp;v=601331:601641&amp;c=444444", "offset 88")</f>
        <v>offset 88</v>
      </c>
    </row>
    <row r="2134" customFormat="false" ht="12.8" hidden="false" customHeight="false" outlineLevel="0" collapsed="false">
      <c r="A2134" s="0" t="s">
        <v>12</v>
      </c>
      <c r="B2134" s="0" t="n">
        <v>601421</v>
      </c>
      <c r="C2134" s="0" t="n">
        <v>601441</v>
      </c>
      <c r="D2134" s="0" t="s">
        <v>7110</v>
      </c>
      <c r="E2134" s="0" t="s">
        <v>7111</v>
      </c>
      <c r="F2134" s="0" t="s">
        <v>90</v>
      </c>
      <c r="G2134" s="0" t="s">
        <v>26</v>
      </c>
      <c r="H2134" s="0" t="n">
        <v>110</v>
      </c>
      <c r="I2134" s="0" t="s">
        <v>7121</v>
      </c>
      <c r="J2134" s="0" t="s">
        <v>7122</v>
      </c>
      <c r="K2134" s="0" t="s">
        <v>7123</v>
      </c>
      <c r="L2134" s="0" t="str">
        <f aca="false">HYPERLINK("https://www.ncbi.nlm.nih.gov/nuccore/CP000304.1?report=graph&amp;tracks=[key:gene_model_track,Options:GeneOnly]&amp;mk=601532:601551|offset_0|444444,601507:601526|offset_25|444444,601444:601463|offset_88|444444,601422:601441|offset_110|00cc00&amp;v=601331:601641&amp;c=444444", "offset 110")</f>
        <v>offset 110</v>
      </c>
    </row>
    <row r="2135" customFormat="false" ht="12.8" hidden="false" customHeight="false" outlineLevel="0" collapsed="false">
      <c r="A2135" s="0" t="s">
        <v>12</v>
      </c>
      <c r="B2135" s="0" t="n">
        <v>602324</v>
      </c>
      <c r="C2135" s="0" t="n">
        <v>602344</v>
      </c>
      <c r="D2135" s="0" t="s">
        <v>7124</v>
      </c>
      <c r="E2135" s="0" t="s">
        <v>7125</v>
      </c>
      <c r="F2135" s="0" t="s">
        <v>15</v>
      </c>
      <c r="G2135" s="0" t="s">
        <v>36</v>
      </c>
      <c r="H2135" s="0" t="n">
        <v>30</v>
      </c>
      <c r="I2135" s="0" t="s">
        <v>7126</v>
      </c>
      <c r="J2135" s="0" t="s">
        <v>7127</v>
      </c>
      <c r="K2135" s="0" t="s">
        <v>7128</v>
      </c>
      <c r="L2135" s="0" t="str">
        <f aca="false">HYPERLINK("https://www.ncbi.nlm.nih.gov/nuccore/CP000304.1?report=graph&amp;tracks=[key:gene_model_track,Options:GeneOnly]&amp;mk=602325:602344|offset_30|00cc00,602350:602369|offset_55|444444,602377:602396|offset_82|444444,602407:602426|offset_112|444444&amp;v=602124:602626&amp;c=444444", "offset 30")</f>
        <v>offset 30</v>
      </c>
    </row>
    <row r="2136" customFormat="false" ht="12.8" hidden="false" customHeight="false" outlineLevel="0" collapsed="false">
      <c r="A2136" s="0" t="s">
        <v>12</v>
      </c>
      <c r="B2136" s="0" t="n">
        <v>602349</v>
      </c>
      <c r="C2136" s="0" t="n">
        <v>602369</v>
      </c>
      <c r="D2136" s="0" t="s">
        <v>7124</v>
      </c>
      <c r="E2136" s="0" t="s">
        <v>7125</v>
      </c>
      <c r="F2136" s="0" t="s">
        <v>15</v>
      </c>
      <c r="G2136" s="0" t="s">
        <v>16</v>
      </c>
      <c r="H2136" s="0" t="n">
        <v>55</v>
      </c>
      <c r="I2136" s="0" t="s">
        <v>7129</v>
      </c>
      <c r="J2136" s="0" t="s">
        <v>7130</v>
      </c>
      <c r="K2136" s="0" t="s">
        <v>7131</v>
      </c>
      <c r="L2136" s="0" t="str">
        <f aca="false">HYPERLINK("https://www.ncbi.nlm.nih.gov/nuccore/CP000304.1?report=graph&amp;tracks=[key:gene_model_track,Options:GeneOnly]&amp;mk=602325:602344|offset_30|444444,602350:602369|offset_55|00cc00,602377:602396|offset_82|444444,602407:602426|offset_112|444444&amp;v=602124:602626&amp;c=444444", "offset 55")</f>
        <v>offset 55</v>
      </c>
    </row>
    <row r="2137" customFormat="false" ht="12.8" hidden="false" customHeight="false" outlineLevel="0" collapsed="false">
      <c r="A2137" s="0" t="s">
        <v>12</v>
      </c>
      <c r="B2137" s="0" t="n">
        <v>602376</v>
      </c>
      <c r="C2137" s="0" t="n">
        <v>602396</v>
      </c>
      <c r="D2137" s="0" t="s">
        <v>7124</v>
      </c>
      <c r="E2137" s="0" t="s">
        <v>7125</v>
      </c>
      <c r="F2137" s="0" t="s">
        <v>15</v>
      </c>
      <c r="G2137" s="0" t="s">
        <v>36</v>
      </c>
      <c r="H2137" s="0" t="n">
        <v>82</v>
      </c>
      <c r="I2137" s="0" t="s">
        <v>7132</v>
      </c>
      <c r="J2137" s="0" t="s">
        <v>7133</v>
      </c>
      <c r="K2137" s="0" t="s">
        <v>7134</v>
      </c>
      <c r="L2137" s="0" t="str">
        <f aca="false">HYPERLINK("https://www.ncbi.nlm.nih.gov/nuccore/CP000304.1?report=graph&amp;tracks=[key:gene_model_track,Options:GeneOnly]&amp;mk=602325:602344|offset_30|444444,602350:602369|offset_55|444444,602377:602396|offset_82|00cc00,602407:602426|offset_112|444444&amp;v=602124:602626&amp;c=444444", "offset 82")</f>
        <v>offset 82</v>
      </c>
    </row>
    <row r="2138" customFormat="false" ht="12.8" hidden="false" customHeight="false" outlineLevel="0" collapsed="false">
      <c r="A2138" s="0" t="s">
        <v>12</v>
      </c>
      <c r="B2138" s="0" t="n">
        <v>602406</v>
      </c>
      <c r="C2138" s="0" t="n">
        <v>602426</v>
      </c>
      <c r="D2138" s="0" t="s">
        <v>7124</v>
      </c>
      <c r="E2138" s="0" t="s">
        <v>7125</v>
      </c>
      <c r="F2138" s="0" t="s">
        <v>15</v>
      </c>
      <c r="G2138" s="0" t="s">
        <v>36</v>
      </c>
      <c r="H2138" s="0" t="n">
        <v>112</v>
      </c>
      <c r="I2138" s="0" t="s">
        <v>7135</v>
      </c>
      <c r="J2138" s="0" t="s">
        <v>7136</v>
      </c>
      <c r="K2138" s="0" t="s">
        <v>7137</v>
      </c>
      <c r="L2138" s="0" t="str">
        <f aca="false">HYPERLINK("https://www.ncbi.nlm.nih.gov/nuccore/CP000304.1?report=graph&amp;tracks=[key:gene_model_track,Options:GeneOnly]&amp;mk=602325:602344|offset_30|444444,602350:602369|offset_55|444444,602377:602396|offset_82|444444,602407:602426|offset_112|00cc00&amp;v=602124:602626&amp;c=444444", "offset 112")</f>
        <v>offset 112</v>
      </c>
    </row>
    <row r="2139" customFormat="false" ht="12.8" hidden="false" customHeight="false" outlineLevel="0" collapsed="false">
      <c r="A2139" s="0" t="s">
        <v>12</v>
      </c>
      <c r="B2139" s="0" t="n">
        <v>603715</v>
      </c>
      <c r="C2139" s="0" t="n">
        <v>603735</v>
      </c>
      <c r="D2139" s="0" t="s">
        <v>7138</v>
      </c>
      <c r="E2139" s="0" t="s">
        <v>89</v>
      </c>
      <c r="F2139" s="0" t="s">
        <v>15</v>
      </c>
      <c r="G2139" s="0" t="s">
        <v>26</v>
      </c>
      <c r="H2139" s="0" t="n">
        <v>38</v>
      </c>
      <c r="I2139" s="0" t="s">
        <v>7139</v>
      </c>
      <c r="J2139" s="0" t="s">
        <v>7140</v>
      </c>
      <c r="K2139" s="0" t="s">
        <v>7141</v>
      </c>
      <c r="L2139" s="0" t="str">
        <f aca="false">HYPERLINK("https://www.ncbi.nlm.nih.gov/nuccore/CP000304.1?report=graph&amp;tracks=[key:gene_model_track,Options:GeneOnly]&amp;mk=603716:603735|offset_38|00cc00,603762:603781|offset_84|444444,603791:603810|offset_113|444444,603812:603831|offset_134|444444&amp;v=603515:604031&amp;c=444444", "offset 38")</f>
        <v>offset 38</v>
      </c>
    </row>
    <row r="2140" customFormat="false" ht="12.8" hidden="false" customHeight="false" outlineLevel="0" collapsed="false">
      <c r="A2140" s="0" t="s">
        <v>12</v>
      </c>
      <c r="B2140" s="0" t="n">
        <v>603761</v>
      </c>
      <c r="C2140" s="0" t="n">
        <v>603781</v>
      </c>
      <c r="D2140" s="0" t="s">
        <v>7138</v>
      </c>
      <c r="E2140" s="0" t="s">
        <v>89</v>
      </c>
      <c r="F2140" s="0" t="s">
        <v>15</v>
      </c>
      <c r="G2140" s="0" t="s">
        <v>36</v>
      </c>
      <c r="H2140" s="0" t="n">
        <v>84</v>
      </c>
      <c r="I2140" s="0" t="s">
        <v>7142</v>
      </c>
      <c r="J2140" s="0" t="s">
        <v>7143</v>
      </c>
      <c r="K2140" s="0" t="s">
        <v>7144</v>
      </c>
      <c r="L2140" s="0" t="str">
        <f aca="false">HYPERLINK("https://www.ncbi.nlm.nih.gov/nuccore/CP000304.1?report=graph&amp;tracks=[key:gene_model_track,Options:GeneOnly]&amp;mk=603716:603735|offset_38|444444,603762:603781|offset_84|00cc00,603791:603810|offset_113|444444,603812:603831|offset_134|444444&amp;v=603515:604031&amp;c=444444", "offset 84")</f>
        <v>offset 84</v>
      </c>
    </row>
    <row r="2141" customFormat="false" ht="12.8" hidden="false" customHeight="false" outlineLevel="0" collapsed="false">
      <c r="A2141" s="0" t="s">
        <v>12</v>
      </c>
      <c r="B2141" s="0" t="n">
        <v>603790</v>
      </c>
      <c r="C2141" s="0" t="n">
        <v>603810</v>
      </c>
      <c r="D2141" s="0" t="s">
        <v>7138</v>
      </c>
      <c r="E2141" s="0" t="s">
        <v>89</v>
      </c>
      <c r="F2141" s="0" t="s">
        <v>15</v>
      </c>
      <c r="G2141" s="0" t="s">
        <v>16</v>
      </c>
      <c r="H2141" s="0" t="n">
        <v>113</v>
      </c>
      <c r="I2141" s="0" t="s">
        <v>7145</v>
      </c>
      <c r="J2141" s="0" t="s">
        <v>7146</v>
      </c>
      <c r="K2141" s="0" t="s">
        <v>7147</v>
      </c>
      <c r="L2141" s="0" t="str">
        <f aca="false">HYPERLINK("https://www.ncbi.nlm.nih.gov/nuccore/CP000304.1?report=graph&amp;tracks=[key:gene_model_track,Options:GeneOnly]&amp;mk=603716:603735|offset_38|444444,603762:603781|offset_84|444444,603791:603810|offset_113|00cc00,603812:603831|offset_134|444444&amp;v=603515:604031&amp;c=444444", "offset 113")</f>
        <v>offset 113</v>
      </c>
    </row>
    <row r="2142" customFormat="false" ht="12.8" hidden="false" customHeight="false" outlineLevel="0" collapsed="false">
      <c r="A2142" s="0" t="s">
        <v>12</v>
      </c>
      <c r="B2142" s="0" t="n">
        <v>603811</v>
      </c>
      <c r="C2142" s="0" t="n">
        <v>603831</v>
      </c>
      <c r="D2142" s="0" t="s">
        <v>7138</v>
      </c>
      <c r="E2142" s="0" t="s">
        <v>89</v>
      </c>
      <c r="F2142" s="0" t="s">
        <v>15</v>
      </c>
      <c r="G2142" s="0" t="s">
        <v>36</v>
      </c>
      <c r="H2142" s="0" t="n">
        <v>134</v>
      </c>
      <c r="I2142" s="0" t="s">
        <v>7148</v>
      </c>
      <c r="J2142" s="0" t="s">
        <v>7149</v>
      </c>
      <c r="K2142" s="0" t="s">
        <v>7150</v>
      </c>
      <c r="L2142" s="0" t="str">
        <f aca="false">HYPERLINK("https://www.ncbi.nlm.nih.gov/nuccore/CP000304.1?report=graph&amp;tracks=[key:gene_model_track,Options:GeneOnly]&amp;mk=603716:603735|offset_38|444444,603762:603781|offset_84|444444,603791:603810|offset_113|444444,603812:603831|offset_134|00cc00&amp;v=603515:604031&amp;c=444444", "offset 134")</f>
        <v>offset 134</v>
      </c>
    </row>
    <row r="2143" customFormat="false" ht="12.8" hidden="false" customHeight="false" outlineLevel="0" collapsed="false">
      <c r="A2143" s="0" t="s">
        <v>12</v>
      </c>
      <c r="B2143" s="0" t="n">
        <v>605152</v>
      </c>
      <c r="C2143" s="0" t="n">
        <v>605172</v>
      </c>
      <c r="D2143" s="0" t="s">
        <v>7151</v>
      </c>
      <c r="E2143" s="0" t="s">
        <v>89</v>
      </c>
      <c r="F2143" s="0" t="s">
        <v>15</v>
      </c>
      <c r="G2143" s="0" t="s">
        <v>16</v>
      </c>
      <c r="H2143" s="0" t="n">
        <v>40</v>
      </c>
      <c r="I2143" s="0" t="s">
        <v>7152</v>
      </c>
      <c r="J2143" s="0" t="s">
        <v>7153</v>
      </c>
      <c r="K2143" s="0" t="s">
        <v>7154</v>
      </c>
      <c r="L2143" s="0" t="str">
        <f aca="false">HYPERLINK("https://www.ncbi.nlm.nih.gov/nuccore/CP000304.1?report=graph&amp;tracks=[key:gene_model_track,Options:GeneOnly]&amp;mk=605153:605172|offset_40|00cc00,605173:605192|offset_60|444444,605197:605216|offset_84|444444,605231:605250|offset_118|444444&amp;v=604952:605450&amp;c=444444", "offset 40")</f>
        <v>offset 40</v>
      </c>
    </row>
    <row r="2144" customFormat="false" ht="12.8" hidden="false" customHeight="false" outlineLevel="0" collapsed="false">
      <c r="A2144" s="0" t="s">
        <v>12</v>
      </c>
      <c r="B2144" s="0" t="n">
        <v>605172</v>
      </c>
      <c r="C2144" s="0" t="n">
        <v>605192</v>
      </c>
      <c r="D2144" s="0" t="s">
        <v>7151</v>
      </c>
      <c r="E2144" s="0" t="s">
        <v>89</v>
      </c>
      <c r="F2144" s="0" t="s">
        <v>15</v>
      </c>
      <c r="G2144" s="0" t="s">
        <v>16</v>
      </c>
      <c r="H2144" s="0" t="n">
        <v>60</v>
      </c>
      <c r="I2144" s="0" t="s">
        <v>7155</v>
      </c>
      <c r="J2144" s="0" t="s">
        <v>7156</v>
      </c>
      <c r="K2144" s="0" t="s">
        <v>7157</v>
      </c>
      <c r="L2144" s="0" t="str">
        <f aca="false">HYPERLINK("https://www.ncbi.nlm.nih.gov/nuccore/CP000304.1?report=graph&amp;tracks=[key:gene_model_track,Options:GeneOnly]&amp;mk=605153:605172|offset_40|444444,605173:605192|offset_60|00cc00,605197:605216|offset_84|444444,605231:605250|offset_118|444444&amp;v=604952:605450&amp;c=444444", "offset 60")</f>
        <v>offset 60</v>
      </c>
    </row>
    <row r="2145" customFormat="false" ht="12.8" hidden="false" customHeight="false" outlineLevel="0" collapsed="false">
      <c r="A2145" s="0" t="s">
        <v>12</v>
      </c>
      <c r="B2145" s="0" t="n">
        <v>605196</v>
      </c>
      <c r="C2145" s="0" t="n">
        <v>605216</v>
      </c>
      <c r="D2145" s="0" t="s">
        <v>7151</v>
      </c>
      <c r="E2145" s="0" t="s">
        <v>89</v>
      </c>
      <c r="F2145" s="0" t="s">
        <v>15</v>
      </c>
      <c r="G2145" s="0" t="s">
        <v>36</v>
      </c>
      <c r="H2145" s="0" t="n">
        <v>84</v>
      </c>
      <c r="I2145" s="0" t="s">
        <v>7158</v>
      </c>
      <c r="J2145" s="0" t="s">
        <v>7159</v>
      </c>
      <c r="K2145" s="0" t="s">
        <v>7160</v>
      </c>
      <c r="L2145" s="0" t="str">
        <f aca="false">HYPERLINK("https://www.ncbi.nlm.nih.gov/nuccore/CP000304.1?report=graph&amp;tracks=[key:gene_model_track,Options:GeneOnly]&amp;mk=605153:605172|offset_40|444444,605173:605192|offset_60|444444,605197:605216|offset_84|00cc00,605231:605250|offset_118|444444&amp;v=604952:605450&amp;c=444444", "offset 84")</f>
        <v>offset 84</v>
      </c>
    </row>
    <row r="2146" customFormat="false" ht="12.8" hidden="false" customHeight="false" outlineLevel="0" collapsed="false">
      <c r="A2146" s="0" t="s">
        <v>12</v>
      </c>
      <c r="B2146" s="0" t="n">
        <v>605230</v>
      </c>
      <c r="C2146" s="0" t="n">
        <v>605250</v>
      </c>
      <c r="D2146" s="0" t="s">
        <v>7151</v>
      </c>
      <c r="E2146" s="0" t="s">
        <v>89</v>
      </c>
      <c r="F2146" s="0" t="s">
        <v>15</v>
      </c>
      <c r="G2146" s="0" t="s">
        <v>26</v>
      </c>
      <c r="H2146" s="0" t="n">
        <v>118</v>
      </c>
      <c r="I2146" s="0" t="s">
        <v>7161</v>
      </c>
      <c r="J2146" s="0" t="s">
        <v>7162</v>
      </c>
      <c r="K2146" s="0" t="s">
        <v>7163</v>
      </c>
      <c r="L2146" s="0" t="str">
        <f aca="false">HYPERLINK("https://www.ncbi.nlm.nih.gov/nuccore/CP000304.1?report=graph&amp;tracks=[key:gene_model_track,Options:GeneOnly]&amp;mk=605153:605172|offset_40|444444,605173:605192|offset_60|444444,605197:605216|offset_84|444444,605231:605250|offset_118|00cc00&amp;v=604952:605450&amp;c=444444", "offset 118")</f>
        <v>offset 118</v>
      </c>
    </row>
    <row r="2147" customFormat="false" ht="12.8" hidden="false" customHeight="false" outlineLevel="0" collapsed="false">
      <c r="A2147" s="0" t="s">
        <v>12</v>
      </c>
      <c r="B2147" s="0" t="n">
        <v>606868</v>
      </c>
      <c r="C2147" s="0" t="n">
        <v>606888</v>
      </c>
      <c r="D2147" s="0" t="s">
        <v>7164</v>
      </c>
      <c r="E2147" s="0" t="s">
        <v>89</v>
      </c>
      <c r="F2147" s="0" t="s">
        <v>90</v>
      </c>
      <c r="G2147" s="0" t="s">
        <v>16</v>
      </c>
      <c r="H2147" s="0" t="n">
        <v>22</v>
      </c>
      <c r="I2147" s="0" t="s">
        <v>7165</v>
      </c>
      <c r="J2147" s="0" t="s">
        <v>7166</v>
      </c>
      <c r="K2147" s="0" t="s">
        <v>7167</v>
      </c>
      <c r="L2147" s="0" t="str">
        <f aca="false">HYPERLINK("https://www.ncbi.nlm.nih.gov/nuccore/CP000304.1?report=graph&amp;tracks=[key:gene_model_track,Options:GeneOnly]&amp;mk=606869:606888|offset_22|00cc00,606847:606866|offset_44|444444,606822:606841|offset_69|444444,606790:606809|offset_101|444444&amp;v=606668:607009&amp;c=444444", "offset 22")</f>
        <v>offset 22</v>
      </c>
    </row>
    <row r="2148" customFormat="false" ht="12.8" hidden="false" customHeight="false" outlineLevel="0" collapsed="false">
      <c r="A2148" s="0" t="s">
        <v>12</v>
      </c>
      <c r="B2148" s="0" t="n">
        <v>606846</v>
      </c>
      <c r="C2148" s="0" t="n">
        <v>606866</v>
      </c>
      <c r="D2148" s="0" t="s">
        <v>7164</v>
      </c>
      <c r="E2148" s="0" t="s">
        <v>89</v>
      </c>
      <c r="F2148" s="0" t="s">
        <v>90</v>
      </c>
      <c r="G2148" s="0" t="s">
        <v>16</v>
      </c>
      <c r="H2148" s="0" t="n">
        <v>44</v>
      </c>
      <c r="I2148" s="0" t="s">
        <v>7168</v>
      </c>
      <c r="J2148" s="0" t="s">
        <v>7169</v>
      </c>
      <c r="K2148" s="0" t="s">
        <v>7170</v>
      </c>
      <c r="L2148" s="0" t="str">
        <f aca="false">HYPERLINK("https://www.ncbi.nlm.nih.gov/nuccore/CP000304.1?report=graph&amp;tracks=[key:gene_model_track,Options:GeneOnly]&amp;mk=606869:606888|offset_22|444444,606847:606866|offset_44|00cc00,606822:606841|offset_69|444444,606790:606809|offset_101|444444&amp;v=606668:607009&amp;c=444444", "offset 44")</f>
        <v>offset 44</v>
      </c>
    </row>
    <row r="2149" customFormat="false" ht="12.8" hidden="false" customHeight="false" outlineLevel="0" collapsed="false">
      <c r="A2149" s="0" t="s">
        <v>12</v>
      </c>
      <c r="B2149" s="0" t="n">
        <v>606821</v>
      </c>
      <c r="C2149" s="0" t="n">
        <v>606841</v>
      </c>
      <c r="D2149" s="0" t="s">
        <v>7164</v>
      </c>
      <c r="E2149" s="0" t="s">
        <v>89</v>
      </c>
      <c r="F2149" s="0" t="s">
        <v>90</v>
      </c>
      <c r="G2149" s="0" t="s">
        <v>36</v>
      </c>
      <c r="H2149" s="0" t="n">
        <v>69</v>
      </c>
      <c r="I2149" s="0" t="s">
        <v>7171</v>
      </c>
      <c r="J2149" s="0" t="s">
        <v>7172</v>
      </c>
      <c r="K2149" s="0" t="s">
        <v>7173</v>
      </c>
      <c r="L2149" s="0" t="str">
        <f aca="false">HYPERLINK("https://www.ncbi.nlm.nih.gov/nuccore/CP000304.1?report=graph&amp;tracks=[key:gene_model_track,Options:GeneOnly]&amp;mk=606869:606888|offset_22|444444,606847:606866|offset_44|444444,606822:606841|offset_69|00cc00,606790:606809|offset_101|444444&amp;v=606668:607009&amp;c=444444", "offset 69")</f>
        <v>offset 69</v>
      </c>
    </row>
    <row r="2150" customFormat="false" ht="12.8" hidden="false" customHeight="false" outlineLevel="0" collapsed="false">
      <c r="A2150" s="0" t="s">
        <v>12</v>
      </c>
      <c r="B2150" s="0" t="n">
        <v>606789</v>
      </c>
      <c r="C2150" s="0" t="n">
        <v>606809</v>
      </c>
      <c r="D2150" s="0" t="s">
        <v>7164</v>
      </c>
      <c r="E2150" s="0" t="s">
        <v>89</v>
      </c>
      <c r="F2150" s="0" t="s">
        <v>90</v>
      </c>
      <c r="G2150" s="0" t="s">
        <v>26</v>
      </c>
      <c r="H2150" s="0" t="n">
        <v>101</v>
      </c>
      <c r="I2150" s="0" t="s">
        <v>7174</v>
      </c>
      <c r="J2150" s="0" t="s">
        <v>7175</v>
      </c>
      <c r="K2150" s="0" t="s">
        <v>7176</v>
      </c>
      <c r="L2150" s="0" t="str">
        <f aca="false">HYPERLINK("https://www.ncbi.nlm.nih.gov/nuccore/CP000304.1?report=graph&amp;tracks=[key:gene_model_track,Options:GeneOnly]&amp;mk=606869:606888|offset_22|444444,606847:606866|offset_44|444444,606822:606841|offset_69|444444,606790:606809|offset_101|00cc00&amp;v=606668:607009&amp;c=444444", "offset 101")</f>
        <v>offset 101</v>
      </c>
    </row>
    <row r="2151" customFormat="false" ht="12.8" hidden="false" customHeight="false" outlineLevel="0" collapsed="false">
      <c r="A2151" s="0" t="s">
        <v>12</v>
      </c>
      <c r="B2151" s="0" t="n">
        <v>608629</v>
      </c>
      <c r="C2151" s="0" t="n">
        <v>608649</v>
      </c>
      <c r="D2151" s="0" t="s">
        <v>7177</v>
      </c>
      <c r="E2151" s="0" t="s">
        <v>7178</v>
      </c>
      <c r="F2151" s="0" t="s">
        <v>90</v>
      </c>
      <c r="G2151" s="0" t="s">
        <v>32</v>
      </c>
      <c r="H2151" s="0" t="n">
        <v>1</v>
      </c>
      <c r="I2151" s="0" t="s">
        <v>7179</v>
      </c>
      <c r="J2151" s="0" t="s">
        <v>7180</v>
      </c>
      <c r="K2151" s="0" t="s">
        <v>7181</v>
      </c>
      <c r="L2151" s="0" t="str">
        <f aca="false">HYPERLINK("https://www.ncbi.nlm.nih.gov/nuccore/CP000304.1?report=graph&amp;tracks=[key:gene_model_track,Options:GeneOnly]&amp;mk=608630:608649|offset_1|00cc00,608608:608627|offset_23|444444,608579:608598|offset_52|444444,608547:608566|offset_84|444444&amp;v=608429:608766&amp;c=444444", "offset 1")</f>
        <v>offset 1</v>
      </c>
    </row>
    <row r="2152" customFormat="false" ht="12.8" hidden="false" customHeight="false" outlineLevel="0" collapsed="false">
      <c r="A2152" s="0" t="s">
        <v>12</v>
      </c>
      <c r="B2152" s="0" t="n">
        <v>608607</v>
      </c>
      <c r="C2152" s="0" t="n">
        <v>608627</v>
      </c>
      <c r="D2152" s="0" t="s">
        <v>7177</v>
      </c>
      <c r="E2152" s="0" t="s">
        <v>7178</v>
      </c>
      <c r="F2152" s="0" t="s">
        <v>90</v>
      </c>
      <c r="G2152" s="0" t="s">
        <v>26</v>
      </c>
      <c r="H2152" s="0" t="n">
        <v>23</v>
      </c>
      <c r="I2152" s="0" t="s">
        <v>7182</v>
      </c>
      <c r="J2152" s="0" t="s">
        <v>7183</v>
      </c>
      <c r="K2152" s="0" t="s">
        <v>7184</v>
      </c>
      <c r="L2152" s="0" t="str">
        <f aca="false">HYPERLINK("https://www.ncbi.nlm.nih.gov/nuccore/CP000304.1?report=graph&amp;tracks=[key:gene_model_track,Options:GeneOnly]&amp;mk=608630:608649|offset_1|444444,608608:608627|offset_23|00cc00,608579:608598|offset_52|444444,608547:608566|offset_84|444444&amp;v=608429:608766&amp;c=444444", "offset 23")</f>
        <v>offset 23</v>
      </c>
    </row>
    <row r="2153" customFormat="false" ht="12.8" hidden="false" customHeight="false" outlineLevel="0" collapsed="false">
      <c r="A2153" s="0" t="s">
        <v>12</v>
      </c>
      <c r="B2153" s="0" t="n">
        <v>608578</v>
      </c>
      <c r="C2153" s="0" t="n">
        <v>608598</v>
      </c>
      <c r="D2153" s="0" t="s">
        <v>7177</v>
      </c>
      <c r="E2153" s="0" t="s">
        <v>7178</v>
      </c>
      <c r="F2153" s="0" t="s">
        <v>90</v>
      </c>
      <c r="G2153" s="0" t="s">
        <v>32</v>
      </c>
      <c r="H2153" s="0" t="n">
        <v>52</v>
      </c>
      <c r="I2153" s="0" t="s">
        <v>7185</v>
      </c>
      <c r="J2153" s="0" t="s">
        <v>7186</v>
      </c>
      <c r="K2153" s="0" t="s">
        <v>7187</v>
      </c>
      <c r="L2153" s="0" t="str">
        <f aca="false">HYPERLINK("https://www.ncbi.nlm.nih.gov/nuccore/CP000304.1?report=graph&amp;tracks=[key:gene_model_track,Options:GeneOnly]&amp;mk=608630:608649|offset_1|444444,608608:608627|offset_23|444444,608579:608598|offset_52|00cc00,608547:608566|offset_84|444444&amp;v=608429:608766&amp;c=444444", "offset 52")</f>
        <v>offset 52</v>
      </c>
    </row>
    <row r="2154" customFormat="false" ht="12.8" hidden="false" customHeight="false" outlineLevel="0" collapsed="false">
      <c r="A2154" s="0" t="s">
        <v>12</v>
      </c>
      <c r="B2154" s="0" t="n">
        <v>608546</v>
      </c>
      <c r="C2154" s="0" t="n">
        <v>608566</v>
      </c>
      <c r="D2154" s="0" t="s">
        <v>7177</v>
      </c>
      <c r="E2154" s="0" t="s">
        <v>7178</v>
      </c>
      <c r="F2154" s="0" t="s">
        <v>90</v>
      </c>
      <c r="G2154" s="0" t="s">
        <v>26</v>
      </c>
      <c r="H2154" s="0" t="n">
        <v>84</v>
      </c>
      <c r="I2154" s="0" t="s">
        <v>7188</v>
      </c>
      <c r="J2154" s="0" t="s">
        <v>7189</v>
      </c>
      <c r="K2154" s="0" t="s">
        <v>7190</v>
      </c>
      <c r="L2154" s="0" t="str">
        <f aca="false">HYPERLINK("https://www.ncbi.nlm.nih.gov/nuccore/CP000304.1?report=graph&amp;tracks=[key:gene_model_track,Options:GeneOnly]&amp;mk=608630:608649|offset_1|444444,608608:608627|offset_23|444444,608579:608598|offset_52|444444,608547:608566|offset_84|00cc00&amp;v=608429:608766&amp;c=444444", "offset 84")</f>
        <v>offset 84</v>
      </c>
    </row>
    <row r="2155" customFormat="false" ht="12.8" hidden="false" customHeight="false" outlineLevel="0" collapsed="false">
      <c r="A2155" s="0" t="s">
        <v>12</v>
      </c>
      <c r="B2155" s="0" t="n">
        <v>611084</v>
      </c>
      <c r="C2155" s="0" t="n">
        <v>611104</v>
      </c>
      <c r="D2155" s="0" t="s">
        <v>7191</v>
      </c>
      <c r="E2155" s="0" t="s">
        <v>7192</v>
      </c>
      <c r="F2155" s="0" t="s">
        <v>90</v>
      </c>
      <c r="G2155" s="0" t="s">
        <v>32</v>
      </c>
      <c r="H2155" s="0" t="n">
        <v>57</v>
      </c>
      <c r="I2155" s="0" t="s">
        <v>7193</v>
      </c>
      <c r="J2155" s="0" t="s">
        <v>7194</v>
      </c>
      <c r="K2155" s="0" t="s">
        <v>7195</v>
      </c>
      <c r="L2155" s="0" t="str">
        <f aca="false">HYPERLINK("https://www.ncbi.nlm.nih.gov/nuccore/CP000304.1?report=graph&amp;tracks=[key:gene_model_track,Options:GeneOnly]&amp;mk=611085:611104|offset_57|00cc00,611053:611072|offset_89|444444,611008:611027|offset_134|444444,610969:610988|offset_173|444444&amp;v=610884:611188&amp;c=444444", "offset 57")</f>
        <v>offset 57</v>
      </c>
    </row>
    <row r="2156" customFormat="false" ht="12.8" hidden="false" customHeight="false" outlineLevel="0" collapsed="false">
      <c r="A2156" s="0" t="s">
        <v>12</v>
      </c>
      <c r="B2156" s="0" t="n">
        <v>611052</v>
      </c>
      <c r="C2156" s="0" t="n">
        <v>611072</v>
      </c>
      <c r="D2156" s="0" t="s">
        <v>7191</v>
      </c>
      <c r="E2156" s="0" t="s">
        <v>7192</v>
      </c>
      <c r="F2156" s="0" t="s">
        <v>90</v>
      </c>
      <c r="G2156" s="0" t="s">
        <v>16</v>
      </c>
      <c r="H2156" s="0" t="n">
        <v>89</v>
      </c>
      <c r="I2156" s="0" t="s">
        <v>7196</v>
      </c>
      <c r="J2156" s="0" t="s">
        <v>7197</v>
      </c>
      <c r="K2156" s="0" t="s">
        <v>7198</v>
      </c>
      <c r="L2156" s="0" t="str">
        <f aca="false">HYPERLINK("https://www.ncbi.nlm.nih.gov/nuccore/CP000304.1?report=graph&amp;tracks=[key:gene_model_track,Options:GeneOnly]&amp;mk=611085:611104|offset_57|444444,611053:611072|offset_89|00cc00,611008:611027|offset_134|444444,610969:610988|offset_173|444444&amp;v=610884:611188&amp;c=444444", "offset 89")</f>
        <v>offset 89</v>
      </c>
    </row>
    <row r="2157" customFormat="false" ht="12.8" hidden="false" customHeight="false" outlineLevel="0" collapsed="false">
      <c r="A2157" s="0" t="s">
        <v>12</v>
      </c>
      <c r="B2157" s="0" t="n">
        <v>611007</v>
      </c>
      <c r="C2157" s="0" t="n">
        <v>611027</v>
      </c>
      <c r="D2157" s="0" t="s">
        <v>7191</v>
      </c>
      <c r="E2157" s="0" t="s">
        <v>7192</v>
      </c>
      <c r="F2157" s="0" t="s">
        <v>90</v>
      </c>
      <c r="G2157" s="0" t="s">
        <v>16</v>
      </c>
      <c r="H2157" s="0" t="n">
        <v>134</v>
      </c>
      <c r="I2157" s="0" t="s">
        <v>7199</v>
      </c>
      <c r="J2157" s="0" t="s">
        <v>7200</v>
      </c>
      <c r="K2157" s="0" t="s">
        <v>7201</v>
      </c>
      <c r="L2157" s="0" t="str">
        <f aca="false">HYPERLINK("https://www.ncbi.nlm.nih.gov/nuccore/CP000304.1?report=graph&amp;tracks=[key:gene_model_track,Options:GeneOnly]&amp;mk=611085:611104|offset_57|444444,611053:611072|offset_89|444444,611008:611027|offset_134|00cc00,610969:610988|offset_173|444444&amp;v=610884:611188&amp;c=444444", "offset 134")</f>
        <v>offset 134</v>
      </c>
    </row>
    <row r="2158" customFormat="false" ht="12.8" hidden="false" customHeight="false" outlineLevel="0" collapsed="false">
      <c r="A2158" s="0" t="s">
        <v>12</v>
      </c>
      <c r="B2158" s="0" t="n">
        <v>610968</v>
      </c>
      <c r="C2158" s="0" t="n">
        <v>610988</v>
      </c>
      <c r="D2158" s="0" t="s">
        <v>7191</v>
      </c>
      <c r="E2158" s="0" t="s">
        <v>7192</v>
      </c>
      <c r="F2158" s="0" t="s">
        <v>90</v>
      </c>
      <c r="G2158" s="0" t="s">
        <v>16</v>
      </c>
      <c r="H2158" s="0" t="n">
        <v>173</v>
      </c>
      <c r="I2158" s="0" t="s">
        <v>7202</v>
      </c>
      <c r="J2158" s="0" t="s">
        <v>7203</v>
      </c>
      <c r="K2158" s="0" t="s">
        <v>7204</v>
      </c>
      <c r="L2158" s="0" t="str">
        <f aca="false">HYPERLINK("https://www.ncbi.nlm.nih.gov/nuccore/CP000304.1?report=graph&amp;tracks=[key:gene_model_track,Options:GeneOnly]&amp;mk=611085:611104|offset_57|444444,611053:611072|offset_89|444444,611008:611027|offset_134|444444,610969:610988|offset_173|00cc00&amp;v=610884:611188&amp;c=444444", "offset 173")</f>
        <v>offset 173</v>
      </c>
    </row>
    <row r="2159" customFormat="false" ht="12.8" hidden="false" customHeight="false" outlineLevel="0" collapsed="false">
      <c r="A2159" s="0" t="s">
        <v>12</v>
      </c>
      <c r="B2159" s="0" t="n">
        <v>611169</v>
      </c>
      <c r="C2159" s="0" t="n">
        <v>611189</v>
      </c>
      <c r="D2159" s="0" t="s">
        <v>7205</v>
      </c>
      <c r="E2159" s="0" t="s">
        <v>89</v>
      </c>
      <c r="F2159" s="0" t="s">
        <v>15</v>
      </c>
      <c r="G2159" s="0" t="s">
        <v>36</v>
      </c>
      <c r="H2159" s="0" t="n">
        <v>61</v>
      </c>
      <c r="I2159" s="0" t="s">
        <v>7206</v>
      </c>
      <c r="J2159" s="0" t="s">
        <v>7207</v>
      </c>
      <c r="K2159" s="0" t="s">
        <v>7208</v>
      </c>
      <c r="L2159" s="0" t="str">
        <f aca="false">HYPERLINK("https://www.ncbi.nlm.nih.gov/nuccore/CP000304.1?report=graph&amp;tracks=[key:gene_model_track,Options:GeneOnly]&amp;mk=611170:611189|offset_61|00cc00,611192:611211|offset_83|444444,611225:611244|offset_116|444444,611255:611274|offset_146|444444&amp;v=610969:611474&amp;c=444444", "offset 61")</f>
        <v>offset 61</v>
      </c>
    </row>
    <row r="2160" customFormat="false" ht="12.8" hidden="false" customHeight="false" outlineLevel="0" collapsed="false">
      <c r="A2160" s="0" t="s">
        <v>12</v>
      </c>
      <c r="B2160" s="0" t="n">
        <v>611191</v>
      </c>
      <c r="C2160" s="0" t="n">
        <v>611211</v>
      </c>
      <c r="D2160" s="0" t="s">
        <v>7205</v>
      </c>
      <c r="E2160" s="0" t="s">
        <v>89</v>
      </c>
      <c r="F2160" s="0" t="s">
        <v>15</v>
      </c>
      <c r="G2160" s="0" t="s">
        <v>16</v>
      </c>
      <c r="H2160" s="0" t="n">
        <v>83</v>
      </c>
      <c r="I2160" s="0" t="s">
        <v>7209</v>
      </c>
      <c r="J2160" s="0" t="s">
        <v>7210</v>
      </c>
      <c r="K2160" s="0" t="s">
        <v>7211</v>
      </c>
      <c r="L2160" s="0" t="str">
        <f aca="false">HYPERLINK("https://www.ncbi.nlm.nih.gov/nuccore/CP000304.1?report=graph&amp;tracks=[key:gene_model_track,Options:GeneOnly]&amp;mk=611170:611189|offset_61|444444,611192:611211|offset_83|00cc00,611225:611244|offset_116|444444,611255:611274|offset_146|444444&amp;v=610969:611474&amp;c=444444", "offset 83")</f>
        <v>offset 83</v>
      </c>
    </row>
    <row r="2161" customFormat="false" ht="12.8" hidden="false" customHeight="false" outlineLevel="0" collapsed="false">
      <c r="A2161" s="0" t="s">
        <v>12</v>
      </c>
      <c r="B2161" s="0" t="n">
        <v>611224</v>
      </c>
      <c r="C2161" s="0" t="n">
        <v>611244</v>
      </c>
      <c r="D2161" s="0" t="s">
        <v>7205</v>
      </c>
      <c r="E2161" s="0" t="s">
        <v>89</v>
      </c>
      <c r="F2161" s="0" t="s">
        <v>15</v>
      </c>
      <c r="G2161" s="0" t="s">
        <v>32</v>
      </c>
      <c r="H2161" s="0" t="n">
        <v>116</v>
      </c>
      <c r="I2161" s="0" t="s">
        <v>7212</v>
      </c>
      <c r="J2161" s="0" t="s">
        <v>7213</v>
      </c>
      <c r="K2161" s="0" t="s">
        <v>7214</v>
      </c>
      <c r="L2161" s="0" t="str">
        <f aca="false">HYPERLINK("https://www.ncbi.nlm.nih.gov/nuccore/CP000304.1?report=graph&amp;tracks=[key:gene_model_track,Options:GeneOnly]&amp;mk=611170:611189|offset_61|444444,611192:611211|offset_83|444444,611225:611244|offset_116|00cc00,611255:611274|offset_146|444444&amp;v=610969:611474&amp;c=444444", "offset 116")</f>
        <v>offset 116</v>
      </c>
    </row>
    <row r="2162" customFormat="false" ht="12.8" hidden="false" customHeight="false" outlineLevel="0" collapsed="false">
      <c r="A2162" s="0" t="s">
        <v>12</v>
      </c>
      <c r="B2162" s="0" t="n">
        <v>611254</v>
      </c>
      <c r="C2162" s="0" t="n">
        <v>611274</v>
      </c>
      <c r="D2162" s="0" t="s">
        <v>7205</v>
      </c>
      <c r="E2162" s="0" t="s">
        <v>89</v>
      </c>
      <c r="F2162" s="0" t="s">
        <v>15</v>
      </c>
      <c r="G2162" s="0" t="s">
        <v>36</v>
      </c>
      <c r="H2162" s="0" t="n">
        <v>146</v>
      </c>
      <c r="I2162" s="0" t="s">
        <v>7215</v>
      </c>
      <c r="J2162" s="0" t="s">
        <v>7216</v>
      </c>
      <c r="K2162" s="0" t="s">
        <v>7217</v>
      </c>
      <c r="L2162" s="0" t="str">
        <f aca="false">HYPERLINK("https://www.ncbi.nlm.nih.gov/nuccore/CP000304.1?report=graph&amp;tracks=[key:gene_model_track,Options:GeneOnly]&amp;mk=611170:611189|offset_61|444444,611192:611211|offset_83|444444,611225:611244|offset_116|444444,611255:611274|offset_146|00cc00&amp;v=610969:611474&amp;c=444444", "offset 146")</f>
        <v>offset 146</v>
      </c>
    </row>
    <row r="2163" customFormat="false" ht="12.8" hidden="false" customHeight="false" outlineLevel="0" collapsed="false">
      <c r="A2163" s="0" t="s">
        <v>12</v>
      </c>
      <c r="B2163" s="0" t="n">
        <v>612361</v>
      </c>
      <c r="C2163" s="0" t="n">
        <v>612381</v>
      </c>
      <c r="D2163" s="0" t="s">
        <v>7218</v>
      </c>
      <c r="E2163" s="0" t="s">
        <v>7219</v>
      </c>
      <c r="F2163" s="0" t="s">
        <v>15</v>
      </c>
      <c r="G2163" s="0" t="s">
        <v>26</v>
      </c>
      <c r="H2163" s="0" t="n">
        <v>11</v>
      </c>
      <c r="I2163" s="0" t="s">
        <v>7220</v>
      </c>
      <c r="J2163" s="0" t="s">
        <v>7221</v>
      </c>
      <c r="K2163" s="0" t="s">
        <v>7222</v>
      </c>
      <c r="L2163" s="0" t="str">
        <f aca="false">HYPERLINK("https://www.ncbi.nlm.nih.gov/nuccore/CP000304.1?report=graph&amp;tracks=[key:gene_model_track,Options:GeneOnly]&amp;mk=612362:612381|offset_11|00cc00,612386:612405|offset_35|444444,612427:612446|offset_76|444444,612452:612471|offset_101|444444&amp;v=612161:612671&amp;c=444444", "offset 11")</f>
        <v>offset 11</v>
      </c>
    </row>
    <row r="2164" customFormat="false" ht="12.8" hidden="false" customHeight="false" outlineLevel="0" collapsed="false">
      <c r="A2164" s="0" t="s">
        <v>12</v>
      </c>
      <c r="B2164" s="0" t="n">
        <v>612385</v>
      </c>
      <c r="C2164" s="0" t="n">
        <v>612405</v>
      </c>
      <c r="D2164" s="0" t="s">
        <v>7218</v>
      </c>
      <c r="E2164" s="0" t="s">
        <v>7219</v>
      </c>
      <c r="F2164" s="0" t="s">
        <v>15</v>
      </c>
      <c r="G2164" s="0" t="s">
        <v>32</v>
      </c>
      <c r="H2164" s="0" t="n">
        <v>35</v>
      </c>
      <c r="I2164" s="0" t="s">
        <v>7223</v>
      </c>
      <c r="J2164" s="0" t="s">
        <v>7224</v>
      </c>
      <c r="K2164" s="0" t="s">
        <v>7225</v>
      </c>
      <c r="L2164" s="0" t="str">
        <f aca="false">HYPERLINK("https://www.ncbi.nlm.nih.gov/nuccore/CP000304.1?report=graph&amp;tracks=[key:gene_model_track,Options:GeneOnly]&amp;mk=612362:612381|offset_11|444444,612386:612405|offset_35|00cc00,612427:612446|offset_76|444444,612452:612471|offset_101|444444&amp;v=612161:612671&amp;c=444444", "offset 35")</f>
        <v>offset 35</v>
      </c>
    </row>
    <row r="2165" customFormat="false" ht="12.8" hidden="false" customHeight="false" outlineLevel="0" collapsed="false">
      <c r="A2165" s="0" t="s">
        <v>12</v>
      </c>
      <c r="B2165" s="0" t="n">
        <v>612426</v>
      </c>
      <c r="C2165" s="0" t="n">
        <v>612446</v>
      </c>
      <c r="D2165" s="0" t="s">
        <v>7218</v>
      </c>
      <c r="E2165" s="0" t="s">
        <v>7219</v>
      </c>
      <c r="F2165" s="0" t="s">
        <v>15</v>
      </c>
      <c r="G2165" s="0" t="s">
        <v>32</v>
      </c>
      <c r="H2165" s="0" t="n">
        <v>76</v>
      </c>
      <c r="I2165" s="0" t="s">
        <v>7226</v>
      </c>
      <c r="J2165" s="0" t="s">
        <v>7227</v>
      </c>
      <c r="K2165" s="0" t="s">
        <v>7228</v>
      </c>
      <c r="L2165" s="0" t="str">
        <f aca="false">HYPERLINK("https://www.ncbi.nlm.nih.gov/nuccore/CP000304.1?report=graph&amp;tracks=[key:gene_model_track,Options:GeneOnly]&amp;mk=612362:612381|offset_11|444444,612386:612405|offset_35|444444,612427:612446|offset_76|00cc00,612452:612471|offset_101|444444&amp;v=612161:612671&amp;c=444444", "offset 76")</f>
        <v>offset 76</v>
      </c>
    </row>
    <row r="2166" customFormat="false" ht="12.8" hidden="false" customHeight="false" outlineLevel="0" collapsed="false">
      <c r="A2166" s="0" t="s">
        <v>12</v>
      </c>
      <c r="B2166" s="0" t="n">
        <v>612451</v>
      </c>
      <c r="C2166" s="0" t="n">
        <v>612471</v>
      </c>
      <c r="D2166" s="0" t="s">
        <v>7218</v>
      </c>
      <c r="E2166" s="0" t="s">
        <v>7219</v>
      </c>
      <c r="F2166" s="0" t="s">
        <v>15</v>
      </c>
      <c r="G2166" s="0" t="s">
        <v>26</v>
      </c>
      <c r="H2166" s="0" t="n">
        <v>101</v>
      </c>
      <c r="I2166" s="0" t="s">
        <v>7229</v>
      </c>
      <c r="J2166" s="0" t="s">
        <v>7230</v>
      </c>
      <c r="K2166" s="0" t="s">
        <v>7231</v>
      </c>
      <c r="L2166" s="0" t="str">
        <f aca="false">HYPERLINK("https://www.ncbi.nlm.nih.gov/nuccore/CP000304.1?report=graph&amp;tracks=[key:gene_model_track,Options:GeneOnly]&amp;mk=612362:612381|offset_11|444444,612386:612405|offset_35|444444,612427:612446|offset_76|444444,612452:612471|offset_101|00cc00&amp;v=612161:612671&amp;c=444444", "offset 101")</f>
        <v>offset 101</v>
      </c>
    </row>
    <row r="2167" customFormat="false" ht="12.8" hidden="false" customHeight="false" outlineLevel="0" collapsed="false">
      <c r="A2167" s="0" t="s">
        <v>12</v>
      </c>
      <c r="B2167" s="0" t="n">
        <v>615885</v>
      </c>
      <c r="C2167" s="0" t="n">
        <v>615905</v>
      </c>
      <c r="D2167" s="0" t="s">
        <v>7232</v>
      </c>
      <c r="E2167" s="0" t="s">
        <v>7233</v>
      </c>
      <c r="F2167" s="0" t="s">
        <v>90</v>
      </c>
      <c r="G2167" s="0" t="s">
        <v>36</v>
      </c>
      <c r="H2167" s="0" t="n">
        <v>15</v>
      </c>
      <c r="I2167" s="0" t="s">
        <v>7234</v>
      </c>
      <c r="J2167" s="0" t="s">
        <v>7235</v>
      </c>
      <c r="K2167" s="0" t="s">
        <v>7236</v>
      </c>
      <c r="L2167" s="0" t="str">
        <f aca="false">HYPERLINK("https://www.ncbi.nlm.nih.gov/nuccore/CP000304.1?report=graph&amp;tracks=[key:gene_model_track,Options:GeneOnly]&amp;mk=615886:615905|offset_15|00cc00,615865:615884|offset_36|444444,615837:615856|offset_64|444444,615816:615835|offset_85|444444&amp;v=615685:616035&amp;c=444444", "offset 15")</f>
        <v>offset 15</v>
      </c>
    </row>
    <row r="2168" customFormat="false" ht="12.8" hidden="false" customHeight="false" outlineLevel="0" collapsed="false">
      <c r="A2168" s="0" t="s">
        <v>12</v>
      </c>
      <c r="B2168" s="0" t="n">
        <v>615864</v>
      </c>
      <c r="C2168" s="0" t="n">
        <v>615884</v>
      </c>
      <c r="D2168" s="0" t="s">
        <v>7232</v>
      </c>
      <c r="E2168" s="0" t="s">
        <v>7233</v>
      </c>
      <c r="F2168" s="0" t="s">
        <v>90</v>
      </c>
      <c r="G2168" s="0" t="s">
        <v>16</v>
      </c>
      <c r="H2168" s="0" t="n">
        <v>36</v>
      </c>
      <c r="I2168" s="0" t="s">
        <v>7237</v>
      </c>
      <c r="J2168" s="0" t="s">
        <v>7238</v>
      </c>
      <c r="K2168" s="0" t="s">
        <v>7239</v>
      </c>
      <c r="L2168" s="0" t="str">
        <f aca="false">HYPERLINK("https://www.ncbi.nlm.nih.gov/nuccore/CP000304.1?report=graph&amp;tracks=[key:gene_model_track,Options:GeneOnly]&amp;mk=615886:615905|offset_15|444444,615865:615884|offset_36|00cc00,615837:615856|offset_64|444444,615816:615835|offset_85|444444&amp;v=615685:616035&amp;c=444444", "offset 36")</f>
        <v>offset 36</v>
      </c>
    </row>
    <row r="2169" customFormat="false" ht="12.8" hidden="false" customHeight="false" outlineLevel="0" collapsed="false">
      <c r="A2169" s="0" t="s">
        <v>12</v>
      </c>
      <c r="B2169" s="0" t="n">
        <v>615836</v>
      </c>
      <c r="C2169" s="0" t="n">
        <v>615856</v>
      </c>
      <c r="D2169" s="0" t="s">
        <v>7232</v>
      </c>
      <c r="E2169" s="0" t="s">
        <v>7233</v>
      </c>
      <c r="F2169" s="0" t="s">
        <v>90</v>
      </c>
      <c r="G2169" s="0" t="s">
        <v>16</v>
      </c>
      <c r="H2169" s="0" t="n">
        <v>64</v>
      </c>
      <c r="I2169" s="0" t="s">
        <v>7240</v>
      </c>
      <c r="J2169" s="0" t="s">
        <v>7241</v>
      </c>
      <c r="K2169" s="0" t="s">
        <v>7242</v>
      </c>
      <c r="L2169" s="0" t="str">
        <f aca="false">HYPERLINK("https://www.ncbi.nlm.nih.gov/nuccore/CP000304.1?report=graph&amp;tracks=[key:gene_model_track,Options:GeneOnly]&amp;mk=615886:615905|offset_15|444444,615865:615884|offset_36|444444,615837:615856|offset_64|00cc00,615816:615835|offset_85|444444&amp;v=615685:616035&amp;c=444444", "offset 64")</f>
        <v>offset 64</v>
      </c>
    </row>
    <row r="2170" customFormat="false" ht="12.8" hidden="false" customHeight="false" outlineLevel="0" collapsed="false">
      <c r="A2170" s="0" t="s">
        <v>12</v>
      </c>
      <c r="B2170" s="0" t="n">
        <v>615815</v>
      </c>
      <c r="C2170" s="0" t="n">
        <v>615835</v>
      </c>
      <c r="D2170" s="0" t="s">
        <v>7232</v>
      </c>
      <c r="E2170" s="0" t="s">
        <v>7233</v>
      </c>
      <c r="F2170" s="0" t="s">
        <v>90</v>
      </c>
      <c r="G2170" s="0" t="s">
        <v>32</v>
      </c>
      <c r="H2170" s="0" t="n">
        <v>85</v>
      </c>
      <c r="I2170" s="0" t="s">
        <v>7243</v>
      </c>
      <c r="J2170" s="0" t="s">
        <v>7244</v>
      </c>
      <c r="K2170" s="0" t="s">
        <v>7245</v>
      </c>
      <c r="L2170" s="0" t="str">
        <f aca="false">HYPERLINK("https://www.ncbi.nlm.nih.gov/nuccore/CP000304.1?report=graph&amp;tracks=[key:gene_model_track,Options:GeneOnly]&amp;mk=615886:615905|offset_15|444444,615865:615884|offset_36|444444,615837:615856|offset_64|444444,615816:615835|offset_85|00cc00&amp;v=615685:616035&amp;c=444444", "offset 85")</f>
        <v>offset 85</v>
      </c>
    </row>
    <row r="2171" customFormat="false" ht="12.8" hidden="false" customHeight="false" outlineLevel="0" collapsed="false">
      <c r="A2171" s="0" t="s">
        <v>12</v>
      </c>
      <c r="B2171" s="0" t="n">
        <v>617686</v>
      </c>
      <c r="C2171" s="0" t="n">
        <v>617706</v>
      </c>
      <c r="D2171" s="0" t="s">
        <v>7246</v>
      </c>
      <c r="E2171" s="0" t="s">
        <v>7247</v>
      </c>
      <c r="F2171" s="0" t="s">
        <v>15</v>
      </c>
      <c r="G2171" s="0" t="s">
        <v>16</v>
      </c>
      <c r="H2171" s="0" t="n">
        <v>19</v>
      </c>
      <c r="I2171" s="0" t="s">
        <v>7248</v>
      </c>
      <c r="J2171" s="0" t="s">
        <v>7249</v>
      </c>
      <c r="K2171" s="0" t="s">
        <v>7250</v>
      </c>
      <c r="L2171" s="0" t="str">
        <f aca="false">HYPERLINK("https://www.ncbi.nlm.nih.gov/nuccore/CP000304.1?report=graph&amp;tracks=[key:gene_model_track,Options:GeneOnly]&amp;mk=617687:617706|offset_19|00cc00,617715:617734|offset_47|444444,617745:617764|offset_77|444444,617797:617816|offset_129|444444&amp;v=617486:618016&amp;c=444444", "offset 19")</f>
        <v>offset 19</v>
      </c>
    </row>
    <row r="2172" customFormat="false" ht="12.8" hidden="false" customHeight="false" outlineLevel="0" collapsed="false">
      <c r="A2172" s="0" t="s">
        <v>12</v>
      </c>
      <c r="B2172" s="0" t="n">
        <v>617714</v>
      </c>
      <c r="C2172" s="0" t="n">
        <v>617734</v>
      </c>
      <c r="D2172" s="0" t="s">
        <v>7246</v>
      </c>
      <c r="E2172" s="0" t="s">
        <v>7247</v>
      </c>
      <c r="F2172" s="0" t="s">
        <v>15</v>
      </c>
      <c r="G2172" s="0" t="s">
        <v>32</v>
      </c>
      <c r="H2172" s="0" t="n">
        <v>47</v>
      </c>
      <c r="I2172" s="0" t="s">
        <v>7251</v>
      </c>
      <c r="J2172" s="0" t="s">
        <v>7252</v>
      </c>
      <c r="K2172" s="0" t="s">
        <v>7253</v>
      </c>
      <c r="L2172" s="0" t="str">
        <f aca="false">HYPERLINK("https://www.ncbi.nlm.nih.gov/nuccore/CP000304.1?report=graph&amp;tracks=[key:gene_model_track,Options:GeneOnly]&amp;mk=617687:617706|offset_19|444444,617715:617734|offset_47|00cc00,617745:617764|offset_77|444444,617797:617816|offset_129|444444&amp;v=617486:618016&amp;c=444444", "offset 47")</f>
        <v>offset 47</v>
      </c>
    </row>
    <row r="2173" customFormat="false" ht="12.8" hidden="false" customHeight="false" outlineLevel="0" collapsed="false">
      <c r="A2173" s="0" t="s">
        <v>12</v>
      </c>
      <c r="B2173" s="0" t="n">
        <v>617744</v>
      </c>
      <c r="C2173" s="0" t="n">
        <v>617764</v>
      </c>
      <c r="D2173" s="0" t="s">
        <v>7246</v>
      </c>
      <c r="E2173" s="0" t="s">
        <v>7247</v>
      </c>
      <c r="F2173" s="0" t="s">
        <v>15</v>
      </c>
      <c r="G2173" s="0" t="s">
        <v>36</v>
      </c>
      <c r="H2173" s="0" t="n">
        <v>77</v>
      </c>
      <c r="I2173" s="0" t="s">
        <v>7254</v>
      </c>
      <c r="J2173" s="0" t="s">
        <v>7255</v>
      </c>
      <c r="K2173" s="0" t="s">
        <v>7256</v>
      </c>
      <c r="L2173" s="0" t="str">
        <f aca="false">HYPERLINK("https://www.ncbi.nlm.nih.gov/nuccore/CP000304.1?report=graph&amp;tracks=[key:gene_model_track,Options:GeneOnly]&amp;mk=617687:617706|offset_19|444444,617715:617734|offset_47|444444,617745:617764|offset_77|00cc00,617797:617816|offset_129|444444&amp;v=617486:618016&amp;c=444444", "offset 77")</f>
        <v>offset 77</v>
      </c>
    </row>
    <row r="2174" customFormat="false" ht="12.8" hidden="false" customHeight="false" outlineLevel="0" collapsed="false">
      <c r="A2174" s="0" t="s">
        <v>12</v>
      </c>
      <c r="B2174" s="0" t="n">
        <v>617796</v>
      </c>
      <c r="C2174" s="0" t="n">
        <v>617816</v>
      </c>
      <c r="D2174" s="0" t="s">
        <v>7246</v>
      </c>
      <c r="E2174" s="0" t="s">
        <v>7247</v>
      </c>
      <c r="F2174" s="0" t="s">
        <v>15</v>
      </c>
      <c r="G2174" s="0" t="s">
        <v>26</v>
      </c>
      <c r="H2174" s="0" t="n">
        <v>129</v>
      </c>
      <c r="I2174" s="0" t="s">
        <v>7257</v>
      </c>
      <c r="J2174" s="0" t="s">
        <v>7258</v>
      </c>
      <c r="K2174" s="0" t="s">
        <v>7259</v>
      </c>
      <c r="L2174" s="0" t="str">
        <f aca="false">HYPERLINK("https://www.ncbi.nlm.nih.gov/nuccore/CP000304.1?report=graph&amp;tracks=[key:gene_model_track,Options:GeneOnly]&amp;mk=617687:617706|offset_19|444444,617715:617734|offset_47|444444,617745:617764|offset_77|444444,617797:617816|offset_129|00cc00&amp;v=617486:618016&amp;c=444444", "offset 129")</f>
        <v>offset 129</v>
      </c>
    </row>
    <row r="2175" customFormat="false" ht="12.8" hidden="false" customHeight="false" outlineLevel="0" collapsed="false">
      <c r="A2175" s="0" t="s">
        <v>12</v>
      </c>
      <c r="B2175" s="0" t="n">
        <v>618478</v>
      </c>
      <c r="C2175" s="0" t="n">
        <v>618498</v>
      </c>
      <c r="D2175" s="0" t="s">
        <v>7260</v>
      </c>
      <c r="E2175" s="0" t="s">
        <v>7261</v>
      </c>
      <c r="F2175" s="0" t="s">
        <v>15</v>
      </c>
      <c r="G2175" s="0" t="s">
        <v>26</v>
      </c>
      <c r="H2175" s="0" t="n">
        <v>17</v>
      </c>
      <c r="I2175" s="0" t="s">
        <v>7262</v>
      </c>
      <c r="J2175" s="0" t="s">
        <v>7263</v>
      </c>
      <c r="K2175" s="0" t="s">
        <v>7264</v>
      </c>
      <c r="L2175" s="0" t="str">
        <f aca="false">HYPERLINK("https://www.ncbi.nlm.nih.gov/nuccore/CP000304.1?report=graph&amp;tracks=[key:gene_model_track,Options:GeneOnly]&amp;mk=618479:618498|offset_17|00cc00,618535:618554|offset_73|444444,618562:618581|offset_100|444444,618698:618717|offset_236|444444&amp;v=618278:618917&amp;c=444444", "offset 17")</f>
        <v>offset 17</v>
      </c>
    </row>
    <row r="2176" customFormat="false" ht="12.8" hidden="false" customHeight="false" outlineLevel="0" collapsed="false">
      <c r="A2176" s="0" t="s">
        <v>12</v>
      </c>
      <c r="B2176" s="0" t="n">
        <v>618534</v>
      </c>
      <c r="C2176" s="0" t="n">
        <v>618554</v>
      </c>
      <c r="D2176" s="0" t="s">
        <v>7260</v>
      </c>
      <c r="E2176" s="0" t="s">
        <v>7261</v>
      </c>
      <c r="F2176" s="0" t="s">
        <v>15</v>
      </c>
      <c r="G2176" s="0" t="s">
        <v>36</v>
      </c>
      <c r="H2176" s="0" t="n">
        <v>73</v>
      </c>
      <c r="I2176" s="0" t="s">
        <v>7265</v>
      </c>
      <c r="J2176" s="0" t="s">
        <v>7266</v>
      </c>
      <c r="K2176" s="0" t="s">
        <v>7267</v>
      </c>
      <c r="L2176" s="0" t="str">
        <f aca="false">HYPERLINK("https://www.ncbi.nlm.nih.gov/nuccore/CP000304.1?report=graph&amp;tracks=[key:gene_model_track,Options:GeneOnly]&amp;mk=618479:618498|offset_17|444444,618535:618554|offset_73|00cc00,618562:618581|offset_100|444444,618698:618717|offset_236|444444&amp;v=618278:618917&amp;c=444444", "offset 73")</f>
        <v>offset 73</v>
      </c>
    </row>
    <row r="2177" customFormat="false" ht="12.8" hidden="false" customHeight="false" outlineLevel="0" collapsed="false">
      <c r="A2177" s="0" t="s">
        <v>12</v>
      </c>
      <c r="B2177" s="0" t="n">
        <v>618561</v>
      </c>
      <c r="C2177" s="0" t="n">
        <v>618581</v>
      </c>
      <c r="D2177" s="0" t="s">
        <v>7260</v>
      </c>
      <c r="E2177" s="0" t="s">
        <v>7261</v>
      </c>
      <c r="F2177" s="0" t="s">
        <v>15</v>
      </c>
      <c r="G2177" s="0" t="s">
        <v>16</v>
      </c>
      <c r="H2177" s="0" t="n">
        <v>100</v>
      </c>
      <c r="I2177" s="0" t="s">
        <v>7268</v>
      </c>
      <c r="J2177" s="0" t="s">
        <v>7269</v>
      </c>
      <c r="K2177" s="0" t="s">
        <v>7270</v>
      </c>
      <c r="L2177" s="0" t="str">
        <f aca="false">HYPERLINK("https://www.ncbi.nlm.nih.gov/nuccore/CP000304.1?report=graph&amp;tracks=[key:gene_model_track,Options:GeneOnly]&amp;mk=618479:618498|offset_17|444444,618535:618554|offset_73|444444,618562:618581|offset_100|00cc00,618698:618717|offset_236|444444&amp;v=618278:618917&amp;c=444444", "offset 100")</f>
        <v>offset 100</v>
      </c>
    </row>
    <row r="2178" customFormat="false" ht="12.8" hidden="false" customHeight="false" outlineLevel="0" collapsed="false">
      <c r="A2178" s="0" t="s">
        <v>12</v>
      </c>
      <c r="B2178" s="0" t="n">
        <v>618697</v>
      </c>
      <c r="C2178" s="0" t="n">
        <v>618717</v>
      </c>
      <c r="D2178" s="0" t="s">
        <v>7260</v>
      </c>
      <c r="E2178" s="0" t="s">
        <v>7261</v>
      </c>
      <c r="F2178" s="0" t="s">
        <v>15</v>
      </c>
      <c r="G2178" s="0" t="s">
        <v>32</v>
      </c>
      <c r="H2178" s="0" t="n">
        <v>236</v>
      </c>
      <c r="I2178" s="0" t="s">
        <v>7271</v>
      </c>
      <c r="J2178" s="0" t="s">
        <v>7272</v>
      </c>
      <c r="K2178" s="0" t="s">
        <v>7273</v>
      </c>
      <c r="L2178" s="0" t="str">
        <f aca="false">HYPERLINK("https://www.ncbi.nlm.nih.gov/nuccore/CP000304.1?report=graph&amp;tracks=[key:gene_model_track,Options:GeneOnly]&amp;mk=618479:618498|offset_17|444444,618535:618554|offset_73|444444,618562:618581|offset_100|444444,618698:618717|offset_236|00cc00&amp;v=618278:618917&amp;c=444444", "offset 236")</f>
        <v>offset 236</v>
      </c>
    </row>
    <row r="2179" customFormat="false" ht="12.8" hidden="false" customHeight="false" outlineLevel="0" collapsed="false">
      <c r="A2179" s="0" t="s">
        <v>12</v>
      </c>
      <c r="B2179" s="0" t="n">
        <v>619079</v>
      </c>
      <c r="C2179" s="0" t="n">
        <v>619099</v>
      </c>
      <c r="D2179" s="0" t="s">
        <v>7274</v>
      </c>
      <c r="E2179" s="0" t="s">
        <v>7275</v>
      </c>
      <c r="F2179" s="0" t="s">
        <v>15</v>
      </c>
      <c r="G2179" s="0" t="s">
        <v>16</v>
      </c>
      <c r="H2179" s="0" t="n">
        <v>49</v>
      </c>
      <c r="I2179" s="0" t="s">
        <v>7276</v>
      </c>
      <c r="J2179" s="0" t="s">
        <v>7277</v>
      </c>
      <c r="K2179" s="0" t="s">
        <v>7278</v>
      </c>
      <c r="L2179" s="0" t="str">
        <f aca="false">HYPERLINK("https://www.ncbi.nlm.nih.gov/nuccore/CP000304.1?report=graph&amp;tracks=[key:gene_model_track,Options:GeneOnly]&amp;mk=619080:619099|offset_49|00cc00,619112:619131|offset_81|444444,619165:619184|offset_134|444444,619216:619235|offset_185|444444&amp;v=618879:619435&amp;c=444444", "offset 49")</f>
        <v>offset 49</v>
      </c>
    </row>
    <row r="2180" customFormat="false" ht="12.8" hidden="false" customHeight="false" outlineLevel="0" collapsed="false">
      <c r="A2180" s="0" t="s">
        <v>12</v>
      </c>
      <c r="B2180" s="0" t="n">
        <v>619111</v>
      </c>
      <c r="C2180" s="0" t="n">
        <v>619131</v>
      </c>
      <c r="D2180" s="0" t="s">
        <v>7274</v>
      </c>
      <c r="E2180" s="0" t="s">
        <v>7275</v>
      </c>
      <c r="F2180" s="0" t="s">
        <v>15</v>
      </c>
      <c r="G2180" s="0" t="s">
        <v>32</v>
      </c>
      <c r="H2180" s="0" t="n">
        <v>81</v>
      </c>
      <c r="I2180" s="0" t="s">
        <v>7279</v>
      </c>
      <c r="J2180" s="0" t="s">
        <v>7280</v>
      </c>
      <c r="K2180" s="0" t="s">
        <v>7281</v>
      </c>
      <c r="L2180" s="0" t="str">
        <f aca="false">HYPERLINK("https://www.ncbi.nlm.nih.gov/nuccore/CP000304.1?report=graph&amp;tracks=[key:gene_model_track,Options:GeneOnly]&amp;mk=619080:619099|offset_49|444444,619112:619131|offset_81|00cc00,619165:619184|offset_134|444444,619216:619235|offset_185|444444&amp;v=618879:619435&amp;c=444444", "offset 81")</f>
        <v>offset 81</v>
      </c>
    </row>
    <row r="2181" customFormat="false" ht="12.8" hidden="false" customHeight="false" outlineLevel="0" collapsed="false">
      <c r="A2181" s="0" t="s">
        <v>12</v>
      </c>
      <c r="B2181" s="0" t="n">
        <v>619164</v>
      </c>
      <c r="C2181" s="0" t="n">
        <v>619184</v>
      </c>
      <c r="D2181" s="0" t="s">
        <v>7274</v>
      </c>
      <c r="E2181" s="0" t="s">
        <v>7275</v>
      </c>
      <c r="F2181" s="0" t="s">
        <v>15</v>
      </c>
      <c r="G2181" s="0" t="s">
        <v>26</v>
      </c>
      <c r="H2181" s="0" t="n">
        <v>134</v>
      </c>
      <c r="I2181" s="0" t="s">
        <v>7282</v>
      </c>
      <c r="J2181" s="0" t="s">
        <v>7283</v>
      </c>
      <c r="K2181" s="0" t="s">
        <v>7284</v>
      </c>
      <c r="L2181" s="0" t="str">
        <f aca="false">HYPERLINK("https://www.ncbi.nlm.nih.gov/nuccore/CP000304.1?report=graph&amp;tracks=[key:gene_model_track,Options:GeneOnly]&amp;mk=619080:619099|offset_49|444444,619112:619131|offset_81|444444,619165:619184|offset_134|00cc00,619216:619235|offset_185|444444&amp;v=618879:619435&amp;c=444444", "offset 134")</f>
        <v>offset 134</v>
      </c>
    </row>
    <row r="2182" customFormat="false" ht="12.8" hidden="false" customHeight="false" outlineLevel="0" collapsed="false">
      <c r="A2182" s="0" t="s">
        <v>12</v>
      </c>
      <c r="B2182" s="0" t="n">
        <v>619215</v>
      </c>
      <c r="C2182" s="0" t="n">
        <v>619235</v>
      </c>
      <c r="D2182" s="0" t="s">
        <v>7274</v>
      </c>
      <c r="E2182" s="0" t="s">
        <v>7275</v>
      </c>
      <c r="F2182" s="0" t="s">
        <v>15</v>
      </c>
      <c r="G2182" s="0" t="s">
        <v>16</v>
      </c>
      <c r="H2182" s="0" t="n">
        <v>185</v>
      </c>
      <c r="I2182" s="0" t="s">
        <v>7285</v>
      </c>
      <c r="J2182" s="0" t="s">
        <v>7286</v>
      </c>
      <c r="K2182" s="0" t="s">
        <v>7287</v>
      </c>
      <c r="L2182" s="0" t="str">
        <f aca="false">HYPERLINK("https://www.ncbi.nlm.nih.gov/nuccore/CP000304.1?report=graph&amp;tracks=[key:gene_model_track,Options:GeneOnly]&amp;mk=619080:619099|offset_49|444444,619112:619131|offset_81|444444,619165:619184|offset_134|444444,619216:619235|offset_185|00cc00&amp;v=618879:619435&amp;c=444444", "offset 185")</f>
        <v>offset 185</v>
      </c>
    </row>
    <row r="2183" customFormat="false" ht="12.8" hidden="false" customHeight="false" outlineLevel="0" collapsed="false">
      <c r="A2183" s="0" t="s">
        <v>12</v>
      </c>
      <c r="B2183" s="0" t="n">
        <v>619688</v>
      </c>
      <c r="C2183" s="0" t="n">
        <v>619708</v>
      </c>
      <c r="D2183" s="0" t="s">
        <v>7288</v>
      </c>
      <c r="E2183" s="0" t="s">
        <v>7289</v>
      </c>
      <c r="F2183" s="0" t="s">
        <v>15</v>
      </c>
      <c r="G2183" s="0" t="s">
        <v>26</v>
      </c>
      <c r="H2183" s="0" t="n">
        <v>38</v>
      </c>
      <c r="I2183" s="0" t="s">
        <v>7290</v>
      </c>
      <c r="J2183" s="0" t="s">
        <v>7291</v>
      </c>
      <c r="K2183" s="0" t="s">
        <v>7292</v>
      </c>
      <c r="L2183" s="0" t="str">
        <f aca="false">HYPERLINK("https://www.ncbi.nlm.nih.gov/nuccore/CP000304.1?report=graph&amp;tracks=[key:gene_model_track,Options:GeneOnly]&amp;mk=619689:619708|offset_38|00cc00,619768:619787|offset_117|444444,619792:619811|offset_141|444444,619820:619839|offset_169|444444&amp;v=619488:620039&amp;c=444444", "offset 38")</f>
        <v>offset 38</v>
      </c>
    </row>
    <row r="2184" customFormat="false" ht="12.8" hidden="false" customHeight="false" outlineLevel="0" collapsed="false">
      <c r="A2184" s="0" t="s">
        <v>12</v>
      </c>
      <c r="B2184" s="0" t="n">
        <v>619767</v>
      </c>
      <c r="C2184" s="0" t="n">
        <v>619787</v>
      </c>
      <c r="D2184" s="0" t="s">
        <v>7288</v>
      </c>
      <c r="E2184" s="0" t="s">
        <v>7289</v>
      </c>
      <c r="F2184" s="0" t="s">
        <v>15</v>
      </c>
      <c r="G2184" s="0" t="s">
        <v>16</v>
      </c>
      <c r="H2184" s="0" t="n">
        <v>117</v>
      </c>
      <c r="I2184" s="0" t="s">
        <v>7293</v>
      </c>
      <c r="J2184" s="0" t="s">
        <v>7294</v>
      </c>
      <c r="K2184" s="0" t="s">
        <v>7295</v>
      </c>
      <c r="L2184" s="0" t="str">
        <f aca="false">HYPERLINK("https://www.ncbi.nlm.nih.gov/nuccore/CP000304.1?report=graph&amp;tracks=[key:gene_model_track,Options:GeneOnly]&amp;mk=619689:619708|offset_38|444444,619768:619787|offset_117|00cc00,619792:619811|offset_141|444444,619820:619839|offset_169|444444&amp;v=619488:620039&amp;c=444444", "offset 117")</f>
        <v>offset 117</v>
      </c>
    </row>
    <row r="2185" customFormat="false" ht="12.8" hidden="false" customHeight="false" outlineLevel="0" collapsed="false">
      <c r="A2185" s="0" t="s">
        <v>12</v>
      </c>
      <c r="B2185" s="0" t="n">
        <v>619791</v>
      </c>
      <c r="C2185" s="0" t="n">
        <v>619811</v>
      </c>
      <c r="D2185" s="0" t="s">
        <v>7288</v>
      </c>
      <c r="E2185" s="0" t="s">
        <v>7289</v>
      </c>
      <c r="F2185" s="0" t="s">
        <v>15</v>
      </c>
      <c r="G2185" s="0" t="s">
        <v>26</v>
      </c>
      <c r="H2185" s="0" t="n">
        <v>141</v>
      </c>
      <c r="I2185" s="0" t="s">
        <v>7296</v>
      </c>
      <c r="J2185" s="0" t="s">
        <v>7297</v>
      </c>
      <c r="K2185" s="0" t="s">
        <v>7298</v>
      </c>
      <c r="L2185" s="0" t="str">
        <f aca="false">HYPERLINK("https://www.ncbi.nlm.nih.gov/nuccore/CP000304.1?report=graph&amp;tracks=[key:gene_model_track,Options:GeneOnly]&amp;mk=619689:619708|offset_38|444444,619768:619787|offset_117|444444,619792:619811|offset_141|00cc00,619820:619839|offset_169|444444&amp;v=619488:620039&amp;c=444444", "offset 141")</f>
        <v>offset 141</v>
      </c>
    </row>
    <row r="2186" customFormat="false" ht="12.8" hidden="false" customHeight="false" outlineLevel="0" collapsed="false">
      <c r="A2186" s="0" t="s">
        <v>12</v>
      </c>
      <c r="B2186" s="0" t="n">
        <v>619819</v>
      </c>
      <c r="C2186" s="0" t="n">
        <v>619839</v>
      </c>
      <c r="D2186" s="0" t="s">
        <v>7288</v>
      </c>
      <c r="E2186" s="0" t="s">
        <v>7289</v>
      </c>
      <c r="F2186" s="0" t="s">
        <v>15</v>
      </c>
      <c r="G2186" s="0" t="s">
        <v>26</v>
      </c>
      <c r="H2186" s="0" t="n">
        <v>169</v>
      </c>
      <c r="I2186" s="0" t="s">
        <v>7299</v>
      </c>
      <c r="J2186" s="0" t="s">
        <v>7300</v>
      </c>
      <c r="K2186" s="0" t="s">
        <v>7301</v>
      </c>
      <c r="L2186" s="0" t="str">
        <f aca="false">HYPERLINK("https://www.ncbi.nlm.nih.gov/nuccore/CP000304.1?report=graph&amp;tracks=[key:gene_model_track,Options:GeneOnly]&amp;mk=619689:619708|offset_38|444444,619768:619787|offset_117|444444,619792:619811|offset_141|444444,619820:619839|offset_169|00cc00&amp;v=619488:620039&amp;c=444444", "offset 169")</f>
        <v>offset 169</v>
      </c>
    </row>
    <row r="2187" customFormat="false" ht="12.8" hidden="false" customHeight="false" outlineLevel="0" collapsed="false">
      <c r="A2187" s="0" t="s">
        <v>12</v>
      </c>
      <c r="B2187" s="0" t="n">
        <v>620203</v>
      </c>
      <c r="C2187" s="0" t="n">
        <v>620223</v>
      </c>
      <c r="D2187" s="0" t="s">
        <v>7302</v>
      </c>
      <c r="E2187" s="0" t="s">
        <v>7303</v>
      </c>
      <c r="F2187" s="0" t="s">
        <v>15</v>
      </c>
      <c r="G2187" s="0" t="s">
        <v>26</v>
      </c>
      <c r="H2187" s="0" t="n">
        <v>11</v>
      </c>
      <c r="I2187" s="0" t="s">
        <v>7304</v>
      </c>
      <c r="J2187" s="0" t="s">
        <v>7305</v>
      </c>
      <c r="K2187" s="0" t="s">
        <v>7306</v>
      </c>
      <c r="L2187" s="0" t="str">
        <f aca="false">HYPERLINK("https://www.ncbi.nlm.nih.gov/nuccore/CP000304.1?report=graph&amp;tracks=[key:gene_model_track,Options:GeneOnly]&amp;mk=620204:620223|offset_11|00cc00,620245:620264|offset_52|444444,620266:620285|offset_73|444444,620289:620308|offset_96|444444&amp;v=620003:620508&amp;c=444444", "offset 11")</f>
        <v>offset 11</v>
      </c>
    </row>
    <row r="2188" customFormat="false" ht="12.8" hidden="false" customHeight="false" outlineLevel="0" collapsed="false">
      <c r="A2188" s="0" t="s">
        <v>12</v>
      </c>
      <c r="B2188" s="0" t="n">
        <v>620244</v>
      </c>
      <c r="C2188" s="0" t="n">
        <v>620264</v>
      </c>
      <c r="D2188" s="0" t="s">
        <v>7302</v>
      </c>
      <c r="E2188" s="0" t="s">
        <v>7303</v>
      </c>
      <c r="F2188" s="0" t="s">
        <v>15</v>
      </c>
      <c r="G2188" s="0" t="s">
        <v>36</v>
      </c>
      <c r="H2188" s="0" t="n">
        <v>52</v>
      </c>
      <c r="I2188" s="0" t="s">
        <v>7307</v>
      </c>
      <c r="J2188" s="0" t="s">
        <v>7308</v>
      </c>
      <c r="K2188" s="0" t="s">
        <v>7309</v>
      </c>
      <c r="L2188" s="0" t="str">
        <f aca="false">HYPERLINK("https://www.ncbi.nlm.nih.gov/nuccore/CP000304.1?report=graph&amp;tracks=[key:gene_model_track,Options:GeneOnly]&amp;mk=620204:620223|offset_11|444444,620245:620264|offset_52|00cc00,620266:620285|offset_73|444444,620289:620308|offset_96|444444&amp;v=620003:620508&amp;c=444444", "offset 52")</f>
        <v>offset 52</v>
      </c>
    </row>
    <row r="2189" customFormat="false" ht="12.8" hidden="false" customHeight="false" outlineLevel="0" collapsed="false">
      <c r="A2189" s="0" t="s">
        <v>12</v>
      </c>
      <c r="B2189" s="0" t="n">
        <v>620265</v>
      </c>
      <c r="C2189" s="0" t="n">
        <v>620285</v>
      </c>
      <c r="D2189" s="0" t="s">
        <v>7302</v>
      </c>
      <c r="E2189" s="0" t="s">
        <v>7303</v>
      </c>
      <c r="F2189" s="0" t="s">
        <v>15</v>
      </c>
      <c r="G2189" s="0" t="s">
        <v>36</v>
      </c>
      <c r="H2189" s="0" t="n">
        <v>73</v>
      </c>
      <c r="I2189" s="0" t="s">
        <v>7310</v>
      </c>
      <c r="J2189" s="0" t="s">
        <v>7311</v>
      </c>
      <c r="K2189" s="0" t="s">
        <v>7312</v>
      </c>
      <c r="L2189" s="0" t="str">
        <f aca="false">HYPERLINK("https://www.ncbi.nlm.nih.gov/nuccore/CP000304.1?report=graph&amp;tracks=[key:gene_model_track,Options:GeneOnly]&amp;mk=620204:620223|offset_11|444444,620245:620264|offset_52|444444,620266:620285|offset_73|00cc00,620289:620308|offset_96|444444&amp;v=620003:620508&amp;c=444444", "offset 73")</f>
        <v>offset 73</v>
      </c>
    </row>
    <row r="2190" customFormat="false" ht="12.8" hidden="false" customHeight="false" outlineLevel="0" collapsed="false">
      <c r="A2190" s="0" t="s">
        <v>12</v>
      </c>
      <c r="B2190" s="0" t="n">
        <v>620288</v>
      </c>
      <c r="C2190" s="0" t="n">
        <v>620308</v>
      </c>
      <c r="D2190" s="0" t="s">
        <v>7302</v>
      </c>
      <c r="E2190" s="0" t="s">
        <v>7303</v>
      </c>
      <c r="F2190" s="0" t="s">
        <v>15</v>
      </c>
      <c r="G2190" s="0" t="s">
        <v>32</v>
      </c>
      <c r="H2190" s="0" t="n">
        <v>96</v>
      </c>
      <c r="I2190" s="0" t="s">
        <v>7313</v>
      </c>
      <c r="J2190" s="0" t="s">
        <v>7314</v>
      </c>
      <c r="K2190" s="0" t="s">
        <v>7315</v>
      </c>
      <c r="L2190" s="0" t="str">
        <f aca="false">HYPERLINK("https://www.ncbi.nlm.nih.gov/nuccore/CP000304.1?report=graph&amp;tracks=[key:gene_model_track,Options:GeneOnly]&amp;mk=620204:620223|offset_11|444444,620245:620264|offset_52|444444,620266:620285|offset_73|444444,620289:620308|offset_96|00cc00&amp;v=620003:620508&amp;c=444444", "offset 96")</f>
        <v>offset 96</v>
      </c>
    </row>
    <row r="2191" customFormat="false" ht="12.8" hidden="false" customHeight="false" outlineLevel="0" collapsed="false">
      <c r="A2191" s="0" t="s">
        <v>12</v>
      </c>
      <c r="B2191" s="0" t="n">
        <v>622421</v>
      </c>
      <c r="C2191" s="0" t="n">
        <v>622441</v>
      </c>
      <c r="D2191" s="0" t="s">
        <v>7316</v>
      </c>
      <c r="E2191" s="0" t="s">
        <v>7317</v>
      </c>
      <c r="F2191" s="0" t="s">
        <v>15</v>
      </c>
      <c r="G2191" s="0" t="s">
        <v>16</v>
      </c>
      <c r="H2191" s="0" t="n">
        <v>6</v>
      </c>
      <c r="I2191" s="0" t="s">
        <v>7318</v>
      </c>
      <c r="J2191" s="0" t="s">
        <v>7319</v>
      </c>
      <c r="K2191" s="0" t="s">
        <v>7320</v>
      </c>
      <c r="L2191" s="0" t="str">
        <f aca="false">HYPERLINK("https://www.ncbi.nlm.nih.gov/nuccore/CP000304.1?report=graph&amp;tracks=[key:gene_model_track,Options:GeneOnly]&amp;mk=622422:622441|offset_6|00cc00,622459:622478|offset_43|444444,622501:622520|offset_85|444444,622534:622553|offset_118|444444&amp;v=622221:622753&amp;c=444444", "offset 6")</f>
        <v>offset 6</v>
      </c>
    </row>
    <row r="2192" customFormat="false" ht="12.8" hidden="false" customHeight="false" outlineLevel="0" collapsed="false">
      <c r="A2192" s="0" t="s">
        <v>12</v>
      </c>
      <c r="B2192" s="0" t="n">
        <v>622458</v>
      </c>
      <c r="C2192" s="0" t="n">
        <v>622478</v>
      </c>
      <c r="D2192" s="0" t="s">
        <v>7316</v>
      </c>
      <c r="E2192" s="0" t="s">
        <v>7317</v>
      </c>
      <c r="F2192" s="0" t="s">
        <v>15</v>
      </c>
      <c r="G2192" s="0" t="s">
        <v>16</v>
      </c>
      <c r="H2192" s="0" t="n">
        <v>43</v>
      </c>
      <c r="I2192" s="0" t="s">
        <v>7321</v>
      </c>
      <c r="J2192" s="0" t="s">
        <v>7322</v>
      </c>
      <c r="K2192" s="0" t="s">
        <v>7323</v>
      </c>
      <c r="L2192" s="0" t="str">
        <f aca="false">HYPERLINK("https://www.ncbi.nlm.nih.gov/nuccore/CP000304.1?report=graph&amp;tracks=[key:gene_model_track,Options:GeneOnly]&amp;mk=622422:622441|offset_6|444444,622459:622478|offset_43|00cc00,622501:622520|offset_85|444444,622534:622553|offset_118|444444&amp;v=622221:622753&amp;c=444444", "offset 43")</f>
        <v>offset 43</v>
      </c>
    </row>
    <row r="2193" customFormat="false" ht="12.8" hidden="false" customHeight="false" outlineLevel="0" collapsed="false">
      <c r="A2193" s="0" t="s">
        <v>12</v>
      </c>
      <c r="B2193" s="0" t="n">
        <v>622500</v>
      </c>
      <c r="C2193" s="0" t="n">
        <v>622520</v>
      </c>
      <c r="D2193" s="0" t="s">
        <v>7316</v>
      </c>
      <c r="E2193" s="0" t="s">
        <v>7317</v>
      </c>
      <c r="F2193" s="0" t="s">
        <v>15</v>
      </c>
      <c r="G2193" s="0" t="s">
        <v>16</v>
      </c>
      <c r="H2193" s="0" t="n">
        <v>85</v>
      </c>
      <c r="I2193" s="0" t="s">
        <v>7324</v>
      </c>
      <c r="J2193" s="0" t="s">
        <v>7325</v>
      </c>
      <c r="K2193" s="0" t="s">
        <v>7326</v>
      </c>
      <c r="L2193" s="0" t="str">
        <f aca="false">HYPERLINK("https://www.ncbi.nlm.nih.gov/nuccore/CP000304.1?report=graph&amp;tracks=[key:gene_model_track,Options:GeneOnly]&amp;mk=622422:622441|offset_6|444444,622459:622478|offset_43|444444,622501:622520|offset_85|00cc00,622534:622553|offset_118|444444&amp;v=622221:622753&amp;c=444444", "offset 85")</f>
        <v>offset 85</v>
      </c>
    </row>
    <row r="2194" customFormat="false" ht="12.8" hidden="false" customHeight="false" outlineLevel="0" collapsed="false">
      <c r="A2194" s="0" t="s">
        <v>12</v>
      </c>
      <c r="B2194" s="0" t="n">
        <v>622533</v>
      </c>
      <c r="C2194" s="0" t="n">
        <v>622553</v>
      </c>
      <c r="D2194" s="0" t="s">
        <v>7316</v>
      </c>
      <c r="E2194" s="0" t="s">
        <v>7317</v>
      </c>
      <c r="F2194" s="0" t="s">
        <v>15</v>
      </c>
      <c r="G2194" s="0" t="s">
        <v>16</v>
      </c>
      <c r="H2194" s="0" t="n">
        <v>118</v>
      </c>
      <c r="I2194" s="0" t="s">
        <v>7327</v>
      </c>
      <c r="J2194" s="0" t="s">
        <v>7328</v>
      </c>
      <c r="K2194" s="0" t="s">
        <v>7329</v>
      </c>
      <c r="L2194" s="0" t="str">
        <f aca="false">HYPERLINK("https://www.ncbi.nlm.nih.gov/nuccore/CP000304.1?report=graph&amp;tracks=[key:gene_model_track,Options:GeneOnly]&amp;mk=622422:622441|offset_6|444444,622459:622478|offset_43|444444,622501:622520|offset_85|444444,622534:622553|offset_118|00cc00&amp;v=622221:622753&amp;c=444444", "offset 118")</f>
        <v>offset 118</v>
      </c>
    </row>
    <row r="2195" customFormat="false" ht="12.8" hidden="false" customHeight="false" outlineLevel="0" collapsed="false">
      <c r="A2195" s="0" t="s">
        <v>12</v>
      </c>
      <c r="B2195" s="0" t="n">
        <v>622906</v>
      </c>
      <c r="C2195" s="0" t="n">
        <v>622926</v>
      </c>
      <c r="D2195" s="0" t="s">
        <v>7330</v>
      </c>
      <c r="E2195" s="0" t="s">
        <v>7331</v>
      </c>
      <c r="F2195" s="0" t="s">
        <v>15</v>
      </c>
      <c r="G2195" s="0" t="s">
        <v>36</v>
      </c>
      <c r="H2195" s="0" t="n">
        <v>0</v>
      </c>
      <c r="I2195" s="0" t="s">
        <v>7332</v>
      </c>
      <c r="J2195" s="0" t="s">
        <v>7333</v>
      </c>
      <c r="K2195" s="0" t="s">
        <v>7334</v>
      </c>
      <c r="L2195" s="0" t="str">
        <f aca="false">HYPERLINK("https://www.ncbi.nlm.nih.gov/nuccore/CP000304.1?report=graph&amp;tracks=[key:gene_model_track,Options:GeneOnly]&amp;mk=622907:622926|offset_0|00cc00,622949:622968|offset_42|444444,623011:623030|offset_104|444444,623031:623050|offset_124|444444&amp;v=622706:623250&amp;c=444444", "offset 0")</f>
        <v>offset 0</v>
      </c>
    </row>
    <row r="2196" customFormat="false" ht="12.8" hidden="false" customHeight="false" outlineLevel="0" collapsed="false">
      <c r="A2196" s="0" t="s">
        <v>12</v>
      </c>
      <c r="B2196" s="0" t="n">
        <v>622948</v>
      </c>
      <c r="C2196" s="0" t="n">
        <v>622968</v>
      </c>
      <c r="D2196" s="0" t="s">
        <v>7330</v>
      </c>
      <c r="E2196" s="0" t="s">
        <v>7331</v>
      </c>
      <c r="F2196" s="0" t="s">
        <v>15</v>
      </c>
      <c r="G2196" s="0" t="s">
        <v>36</v>
      </c>
      <c r="H2196" s="0" t="n">
        <v>42</v>
      </c>
      <c r="I2196" s="0" t="s">
        <v>7335</v>
      </c>
      <c r="J2196" s="0" t="s">
        <v>7336</v>
      </c>
      <c r="K2196" s="0" t="s">
        <v>7337</v>
      </c>
      <c r="L2196" s="0" t="str">
        <f aca="false">HYPERLINK("https://www.ncbi.nlm.nih.gov/nuccore/CP000304.1?report=graph&amp;tracks=[key:gene_model_track,Options:GeneOnly]&amp;mk=622907:622926|offset_0|444444,622949:622968|offset_42|00cc00,623011:623030|offset_104|444444,623031:623050|offset_124|444444&amp;v=622706:623250&amp;c=444444", "offset 42")</f>
        <v>offset 42</v>
      </c>
    </row>
    <row r="2197" customFormat="false" ht="12.8" hidden="false" customHeight="false" outlineLevel="0" collapsed="false">
      <c r="A2197" s="0" t="s">
        <v>12</v>
      </c>
      <c r="B2197" s="0" t="n">
        <v>623010</v>
      </c>
      <c r="C2197" s="0" t="n">
        <v>623030</v>
      </c>
      <c r="D2197" s="0" t="s">
        <v>7330</v>
      </c>
      <c r="E2197" s="0" t="s">
        <v>7331</v>
      </c>
      <c r="F2197" s="0" t="s">
        <v>15</v>
      </c>
      <c r="G2197" s="0" t="s">
        <v>16</v>
      </c>
      <c r="H2197" s="0" t="n">
        <v>104</v>
      </c>
      <c r="I2197" s="0" t="s">
        <v>7338</v>
      </c>
      <c r="J2197" s="0" t="s">
        <v>7339</v>
      </c>
      <c r="K2197" s="0" t="s">
        <v>7340</v>
      </c>
      <c r="L2197" s="0" t="str">
        <f aca="false">HYPERLINK("https://www.ncbi.nlm.nih.gov/nuccore/CP000304.1?report=graph&amp;tracks=[key:gene_model_track,Options:GeneOnly]&amp;mk=622907:622926|offset_0|444444,622949:622968|offset_42|444444,623011:623030|offset_104|00cc00,623031:623050|offset_124|444444&amp;v=622706:623250&amp;c=444444", "offset 104")</f>
        <v>offset 104</v>
      </c>
    </row>
    <row r="2198" customFormat="false" ht="12.8" hidden="false" customHeight="false" outlineLevel="0" collapsed="false">
      <c r="A2198" s="0" t="s">
        <v>12</v>
      </c>
      <c r="B2198" s="0" t="n">
        <v>623030</v>
      </c>
      <c r="C2198" s="0" t="n">
        <v>623050</v>
      </c>
      <c r="D2198" s="0" t="s">
        <v>7330</v>
      </c>
      <c r="E2198" s="0" t="s">
        <v>7331</v>
      </c>
      <c r="F2198" s="0" t="s">
        <v>15</v>
      </c>
      <c r="G2198" s="0" t="s">
        <v>32</v>
      </c>
      <c r="H2198" s="0" t="n">
        <v>124</v>
      </c>
      <c r="I2198" s="0" t="s">
        <v>7341</v>
      </c>
      <c r="J2198" s="0" t="s">
        <v>7342</v>
      </c>
      <c r="K2198" s="0" t="s">
        <v>7343</v>
      </c>
      <c r="L2198" s="0" t="str">
        <f aca="false">HYPERLINK("https://www.ncbi.nlm.nih.gov/nuccore/CP000304.1?report=graph&amp;tracks=[key:gene_model_track,Options:GeneOnly]&amp;mk=622907:622926|offset_0|444444,622949:622968|offset_42|444444,623011:623030|offset_104|444444,623031:623050|offset_124|00cc00&amp;v=622706:623250&amp;c=444444", "offset 124")</f>
        <v>offset 124</v>
      </c>
    </row>
    <row r="2199" customFormat="false" ht="12.8" hidden="false" customHeight="false" outlineLevel="0" collapsed="false">
      <c r="A2199" s="0" t="s">
        <v>12</v>
      </c>
      <c r="B2199" s="0" t="n">
        <v>624021</v>
      </c>
      <c r="C2199" s="0" t="n">
        <v>624041</v>
      </c>
      <c r="D2199" s="0" t="s">
        <v>7344</v>
      </c>
      <c r="E2199" s="0" t="s">
        <v>89</v>
      </c>
      <c r="F2199" s="0" t="s">
        <v>15</v>
      </c>
      <c r="G2199" s="0" t="s">
        <v>32</v>
      </c>
      <c r="H2199" s="0" t="n">
        <v>1</v>
      </c>
      <c r="I2199" s="0" t="s">
        <v>7345</v>
      </c>
      <c r="J2199" s="0" t="s">
        <v>7346</v>
      </c>
      <c r="K2199" s="0" t="s">
        <v>7347</v>
      </c>
      <c r="L2199" s="0" t="str">
        <f aca="false">HYPERLINK("https://www.ncbi.nlm.nih.gov/nuccore/CP000304.1?report=graph&amp;tracks=[key:gene_model_track,Options:GeneOnly]&amp;mk=624022:624041|offset_1|00cc00,624074:624093|offset_53|444444,624099:624118|offset_78|444444,624132:624151|offset_111|444444&amp;v=623821:624351&amp;c=444444", "offset 1")</f>
        <v>offset 1</v>
      </c>
    </row>
    <row r="2200" customFormat="false" ht="12.8" hidden="false" customHeight="false" outlineLevel="0" collapsed="false">
      <c r="A2200" s="0" t="s">
        <v>12</v>
      </c>
      <c r="B2200" s="0" t="n">
        <v>624073</v>
      </c>
      <c r="C2200" s="0" t="n">
        <v>624093</v>
      </c>
      <c r="D2200" s="0" t="s">
        <v>7344</v>
      </c>
      <c r="E2200" s="0" t="s">
        <v>89</v>
      </c>
      <c r="F2200" s="0" t="s">
        <v>15</v>
      </c>
      <c r="G2200" s="0" t="s">
        <v>32</v>
      </c>
      <c r="H2200" s="0" t="n">
        <v>53</v>
      </c>
      <c r="I2200" s="0" t="s">
        <v>7348</v>
      </c>
      <c r="J2200" s="0" t="s">
        <v>7349</v>
      </c>
      <c r="K2200" s="0" t="s">
        <v>7350</v>
      </c>
      <c r="L2200" s="0" t="str">
        <f aca="false">HYPERLINK("https://www.ncbi.nlm.nih.gov/nuccore/CP000304.1?report=graph&amp;tracks=[key:gene_model_track,Options:GeneOnly]&amp;mk=624022:624041|offset_1|444444,624074:624093|offset_53|00cc00,624099:624118|offset_78|444444,624132:624151|offset_111|444444&amp;v=623821:624351&amp;c=444444", "offset 53")</f>
        <v>offset 53</v>
      </c>
    </row>
    <row r="2201" customFormat="false" ht="12.8" hidden="false" customHeight="false" outlineLevel="0" collapsed="false">
      <c r="A2201" s="0" t="s">
        <v>12</v>
      </c>
      <c r="B2201" s="0" t="n">
        <v>624098</v>
      </c>
      <c r="C2201" s="0" t="n">
        <v>624118</v>
      </c>
      <c r="D2201" s="0" t="s">
        <v>7344</v>
      </c>
      <c r="E2201" s="0" t="s">
        <v>89</v>
      </c>
      <c r="F2201" s="0" t="s">
        <v>15</v>
      </c>
      <c r="G2201" s="0" t="s">
        <v>16</v>
      </c>
      <c r="H2201" s="0" t="n">
        <v>78</v>
      </c>
      <c r="I2201" s="0" t="s">
        <v>7351</v>
      </c>
      <c r="J2201" s="0" t="s">
        <v>7352</v>
      </c>
      <c r="K2201" s="0" t="s">
        <v>7353</v>
      </c>
      <c r="L2201" s="0" t="str">
        <f aca="false">HYPERLINK("https://www.ncbi.nlm.nih.gov/nuccore/CP000304.1?report=graph&amp;tracks=[key:gene_model_track,Options:GeneOnly]&amp;mk=624022:624041|offset_1|444444,624074:624093|offset_53|444444,624099:624118|offset_78|00cc00,624132:624151|offset_111|444444&amp;v=623821:624351&amp;c=444444", "offset 78")</f>
        <v>offset 78</v>
      </c>
    </row>
    <row r="2202" customFormat="false" ht="12.8" hidden="false" customHeight="false" outlineLevel="0" collapsed="false">
      <c r="A2202" s="0" t="s">
        <v>12</v>
      </c>
      <c r="B2202" s="0" t="n">
        <v>624131</v>
      </c>
      <c r="C2202" s="0" t="n">
        <v>624151</v>
      </c>
      <c r="D2202" s="0" t="s">
        <v>7344</v>
      </c>
      <c r="E2202" s="0" t="s">
        <v>89</v>
      </c>
      <c r="F2202" s="0" t="s">
        <v>15</v>
      </c>
      <c r="G2202" s="0" t="s">
        <v>16</v>
      </c>
      <c r="H2202" s="0" t="n">
        <v>111</v>
      </c>
      <c r="I2202" s="0" t="s">
        <v>7354</v>
      </c>
      <c r="J2202" s="0" t="s">
        <v>7355</v>
      </c>
      <c r="K2202" s="0" t="s">
        <v>7356</v>
      </c>
      <c r="L2202" s="0" t="str">
        <f aca="false">HYPERLINK("https://www.ncbi.nlm.nih.gov/nuccore/CP000304.1?report=graph&amp;tracks=[key:gene_model_track,Options:GeneOnly]&amp;mk=624022:624041|offset_1|444444,624074:624093|offset_53|444444,624099:624118|offset_78|444444,624132:624151|offset_111|00cc00&amp;v=623821:624351&amp;c=444444", "offset 111")</f>
        <v>offset 111</v>
      </c>
    </row>
    <row r="2203" customFormat="false" ht="12.8" hidden="false" customHeight="false" outlineLevel="0" collapsed="false">
      <c r="A2203" s="0" t="s">
        <v>12</v>
      </c>
      <c r="B2203" s="0" t="n">
        <v>625765</v>
      </c>
      <c r="C2203" s="0" t="n">
        <v>625785</v>
      </c>
      <c r="D2203" s="0" t="s">
        <v>7357</v>
      </c>
      <c r="E2203" s="0" t="s">
        <v>7358</v>
      </c>
      <c r="F2203" s="0" t="s">
        <v>15</v>
      </c>
      <c r="G2203" s="0" t="s">
        <v>26</v>
      </c>
      <c r="H2203" s="0" t="n">
        <v>0</v>
      </c>
      <c r="I2203" s="0" t="s">
        <v>7359</v>
      </c>
      <c r="J2203" s="0" t="s">
        <v>7360</v>
      </c>
      <c r="K2203" s="0" t="s">
        <v>7361</v>
      </c>
      <c r="L2203" s="0" t="str">
        <f aca="false">HYPERLINK("https://www.ncbi.nlm.nih.gov/nuccore/CP000304.1?report=graph&amp;tracks=[key:gene_model_track,Options:GeneOnly]&amp;mk=625766:625785|offset_0|00cc00,625790:625809|offset_24|444444,625830:625849|offset_64|444444,625852:625871|offset_86|444444&amp;v=625565:626071&amp;c=444444", "offset 0")</f>
        <v>offset 0</v>
      </c>
    </row>
    <row r="2204" customFormat="false" ht="12.8" hidden="false" customHeight="false" outlineLevel="0" collapsed="false">
      <c r="A2204" s="0" t="s">
        <v>12</v>
      </c>
      <c r="B2204" s="0" t="n">
        <v>625789</v>
      </c>
      <c r="C2204" s="0" t="n">
        <v>625809</v>
      </c>
      <c r="D2204" s="0" t="s">
        <v>7357</v>
      </c>
      <c r="E2204" s="0" t="s">
        <v>7358</v>
      </c>
      <c r="F2204" s="0" t="s">
        <v>15</v>
      </c>
      <c r="G2204" s="0" t="s">
        <v>26</v>
      </c>
      <c r="H2204" s="0" t="n">
        <v>24</v>
      </c>
      <c r="I2204" s="0" t="s">
        <v>7362</v>
      </c>
      <c r="J2204" s="0" t="s">
        <v>7363</v>
      </c>
      <c r="K2204" s="0" t="s">
        <v>7364</v>
      </c>
      <c r="L2204" s="0" t="str">
        <f aca="false">HYPERLINK("https://www.ncbi.nlm.nih.gov/nuccore/CP000304.1?report=graph&amp;tracks=[key:gene_model_track,Options:GeneOnly]&amp;mk=625766:625785|offset_0|444444,625790:625809|offset_24|00cc00,625830:625849|offset_64|444444,625852:625871|offset_86|444444&amp;v=625565:626071&amp;c=444444", "offset 24")</f>
        <v>offset 24</v>
      </c>
    </row>
    <row r="2205" customFormat="false" ht="12.8" hidden="false" customHeight="false" outlineLevel="0" collapsed="false">
      <c r="A2205" s="0" t="s">
        <v>12</v>
      </c>
      <c r="B2205" s="0" t="n">
        <v>625829</v>
      </c>
      <c r="C2205" s="0" t="n">
        <v>625849</v>
      </c>
      <c r="D2205" s="0" t="s">
        <v>7357</v>
      </c>
      <c r="E2205" s="0" t="s">
        <v>7358</v>
      </c>
      <c r="F2205" s="0" t="s">
        <v>15</v>
      </c>
      <c r="G2205" s="0" t="s">
        <v>36</v>
      </c>
      <c r="H2205" s="0" t="n">
        <v>64</v>
      </c>
      <c r="I2205" s="0" t="s">
        <v>7365</v>
      </c>
      <c r="J2205" s="0" t="s">
        <v>7366</v>
      </c>
      <c r="K2205" s="0" t="s">
        <v>7367</v>
      </c>
      <c r="L2205" s="0" t="str">
        <f aca="false">HYPERLINK("https://www.ncbi.nlm.nih.gov/nuccore/CP000304.1?report=graph&amp;tracks=[key:gene_model_track,Options:GeneOnly]&amp;mk=625766:625785|offset_0|444444,625790:625809|offset_24|444444,625830:625849|offset_64|00cc00,625852:625871|offset_86|444444&amp;v=625565:626071&amp;c=444444", "offset 64")</f>
        <v>offset 64</v>
      </c>
    </row>
    <row r="2206" customFormat="false" ht="12.8" hidden="false" customHeight="false" outlineLevel="0" collapsed="false">
      <c r="A2206" s="0" t="s">
        <v>12</v>
      </c>
      <c r="B2206" s="0" t="n">
        <v>625851</v>
      </c>
      <c r="C2206" s="0" t="n">
        <v>625871</v>
      </c>
      <c r="D2206" s="0" t="s">
        <v>7357</v>
      </c>
      <c r="E2206" s="0" t="s">
        <v>7358</v>
      </c>
      <c r="F2206" s="0" t="s">
        <v>15</v>
      </c>
      <c r="G2206" s="0" t="s">
        <v>32</v>
      </c>
      <c r="H2206" s="0" t="n">
        <v>86</v>
      </c>
      <c r="I2206" s="0" t="s">
        <v>7368</v>
      </c>
      <c r="J2206" s="0" t="s">
        <v>7369</v>
      </c>
      <c r="K2206" s="0" t="s">
        <v>7370</v>
      </c>
      <c r="L2206" s="0" t="str">
        <f aca="false">HYPERLINK("https://www.ncbi.nlm.nih.gov/nuccore/CP000304.1?report=graph&amp;tracks=[key:gene_model_track,Options:GeneOnly]&amp;mk=625766:625785|offset_0|444444,625790:625809|offset_24|444444,625830:625849|offset_64|444444,625852:625871|offset_86|00cc00&amp;v=625565:626071&amp;c=444444", "offset 86")</f>
        <v>offset 86</v>
      </c>
    </row>
    <row r="2207" customFormat="false" ht="12.8" hidden="false" customHeight="false" outlineLevel="0" collapsed="false">
      <c r="A2207" s="0" t="s">
        <v>12</v>
      </c>
      <c r="B2207" s="0" t="n">
        <v>630284</v>
      </c>
      <c r="C2207" s="0" t="n">
        <v>630304</v>
      </c>
      <c r="D2207" s="0" t="s">
        <v>7371</v>
      </c>
      <c r="E2207" s="0" t="s">
        <v>7372</v>
      </c>
      <c r="F2207" s="0" t="s">
        <v>15</v>
      </c>
      <c r="G2207" s="0" t="s">
        <v>16</v>
      </c>
      <c r="H2207" s="0" t="n">
        <v>14</v>
      </c>
      <c r="I2207" s="0" t="s">
        <v>7373</v>
      </c>
      <c r="J2207" s="0" t="s">
        <v>7374</v>
      </c>
      <c r="K2207" s="0" t="s">
        <v>7375</v>
      </c>
      <c r="L2207" s="0" t="str">
        <f aca="false">HYPERLINK("https://www.ncbi.nlm.nih.gov/nuccore/CP000304.1?report=graph&amp;tracks=[key:gene_model_track,Options:GeneOnly]&amp;mk=630285:630304|offset_14|00cc00,630351:630370|offset_80|444444,630379:630398|offset_108|444444,630399:630418|offset_128|444444&amp;v=630084:630618&amp;c=444444", "offset 14")</f>
        <v>offset 14</v>
      </c>
    </row>
    <row r="2208" customFormat="false" ht="12.8" hidden="false" customHeight="false" outlineLevel="0" collapsed="false">
      <c r="A2208" s="0" t="s">
        <v>12</v>
      </c>
      <c r="B2208" s="0" t="n">
        <v>630350</v>
      </c>
      <c r="C2208" s="0" t="n">
        <v>630370</v>
      </c>
      <c r="D2208" s="0" t="s">
        <v>7371</v>
      </c>
      <c r="E2208" s="0" t="s">
        <v>7372</v>
      </c>
      <c r="F2208" s="0" t="s">
        <v>15</v>
      </c>
      <c r="G2208" s="0" t="s">
        <v>32</v>
      </c>
      <c r="H2208" s="0" t="n">
        <v>80</v>
      </c>
      <c r="I2208" s="0" t="s">
        <v>7376</v>
      </c>
      <c r="J2208" s="0" t="s">
        <v>7377</v>
      </c>
      <c r="K2208" s="0" t="s">
        <v>7378</v>
      </c>
      <c r="L2208" s="0" t="str">
        <f aca="false">HYPERLINK("https://www.ncbi.nlm.nih.gov/nuccore/CP000304.1?report=graph&amp;tracks=[key:gene_model_track,Options:GeneOnly]&amp;mk=630285:630304|offset_14|444444,630351:630370|offset_80|00cc00,630379:630398|offset_108|444444,630399:630418|offset_128|444444&amp;v=630084:630618&amp;c=444444", "offset 80")</f>
        <v>offset 80</v>
      </c>
    </row>
    <row r="2209" customFormat="false" ht="12.8" hidden="false" customHeight="false" outlineLevel="0" collapsed="false">
      <c r="A2209" s="0" t="s">
        <v>12</v>
      </c>
      <c r="B2209" s="0" t="n">
        <v>630378</v>
      </c>
      <c r="C2209" s="0" t="n">
        <v>630398</v>
      </c>
      <c r="D2209" s="0" t="s">
        <v>7371</v>
      </c>
      <c r="E2209" s="0" t="s">
        <v>7372</v>
      </c>
      <c r="F2209" s="0" t="s">
        <v>15</v>
      </c>
      <c r="G2209" s="0" t="s">
        <v>16</v>
      </c>
      <c r="H2209" s="0" t="n">
        <v>108</v>
      </c>
      <c r="I2209" s="0" t="s">
        <v>7379</v>
      </c>
      <c r="J2209" s="0" t="s">
        <v>7380</v>
      </c>
      <c r="K2209" s="0" t="s">
        <v>7381</v>
      </c>
      <c r="L2209" s="0" t="str">
        <f aca="false">HYPERLINK("https://www.ncbi.nlm.nih.gov/nuccore/CP000304.1?report=graph&amp;tracks=[key:gene_model_track,Options:GeneOnly]&amp;mk=630285:630304|offset_14|444444,630351:630370|offset_80|444444,630379:630398|offset_108|00cc00,630399:630418|offset_128|444444&amp;v=630084:630618&amp;c=444444", "offset 108")</f>
        <v>offset 108</v>
      </c>
    </row>
    <row r="2210" customFormat="false" ht="12.8" hidden="false" customHeight="false" outlineLevel="0" collapsed="false">
      <c r="A2210" s="0" t="s">
        <v>12</v>
      </c>
      <c r="B2210" s="0" t="n">
        <v>630398</v>
      </c>
      <c r="C2210" s="0" t="n">
        <v>630418</v>
      </c>
      <c r="D2210" s="0" t="s">
        <v>7371</v>
      </c>
      <c r="E2210" s="0" t="s">
        <v>7372</v>
      </c>
      <c r="F2210" s="0" t="s">
        <v>15</v>
      </c>
      <c r="G2210" s="0" t="s">
        <v>32</v>
      </c>
      <c r="H2210" s="0" t="n">
        <v>128</v>
      </c>
      <c r="I2210" s="0" t="s">
        <v>7382</v>
      </c>
      <c r="J2210" s="0" t="s">
        <v>7383</v>
      </c>
      <c r="K2210" s="0" t="s">
        <v>7384</v>
      </c>
      <c r="L2210" s="0" t="str">
        <f aca="false">HYPERLINK("https://www.ncbi.nlm.nih.gov/nuccore/CP000304.1?report=graph&amp;tracks=[key:gene_model_track,Options:GeneOnly]&amp;mk=630285:630304|offset_14|444444,630351:630370|offset_80|444444,630379:630398|offset_108|444444,630399:630418|offset_128|00cc00&amp;v=630084:630618&amp;c=444444", "offset 128")</f>
        <v>offset 128</v>
      </c>
    </row>
    <row r="2211" customFormat="false" ht="12.8" hidden="false" customHeight="false" outlineLevel="0" collapsed="false">
      <c r="A2211" s="0" t="s">
        <v>12</v>
      </c>
      <c r="B2211" s="0" t="n">
        <v>631875</v>
      </c>
      <c r="C2211" s="0" t="n">
        <v>631895</v>
      </c>
      <c r="D2211" s="0" t="s">
        <v>7385</v>
      </c>
      <c r="E2211" s="0" t="s">
        <v>7386</v>
      </c>
      <c r="F2211" s="0" t="s">
        <v>15</v>
      </c>
      <c r="G2211" s="0" t="s">
        <v>36</v>
      </c>
      <c r="H2211" s="0" t="n">
        <v>35</v>
      </c>
      <c r="I2211" s="0" t="s">
        <v>7387</v>
      </c>
      <c r="J2211" s="0" t="s">
        <v>7388</v>
      </c>
      <c r="K2211" s="0" t="s">
        <v>7389</v>
      </c>
      <c r="L2211" s="0" t="str">
        <f aca="false">HYPERLINK("https://www.ncbi.nlm.nih.gov/nuccore/CP000304.1?report=graph&amp;tracks=[key:gene_model_track,Options:GeneOnly]&amp;mk=631876:631895|offset_35|00cc00,631903:631922|offset_62|444444,631931:631950|offset_90|444444,631963:631982|offset_122|444444&amp;v=631675:632182&amp;c=444444", "offset 35")</f>
        <v>offset 35</v>
      </c>
    </row>
    <row r="2212" customFormat="false" ht="12.8" hidden="false" customHeight="false" outlineLevel="0" collapsed="false">
      <c r="A2212" s="0" t="s">
        <v>12</v>
      </c>
      <c r="B2212" s="0" t="n">
        <v>631902</v>
      </c>
      <c r="C2212" s="0" t="n">
        <v>631922</v>
      </c>
      <c r="D2212" s="0" t="s">
        <v>7385</v>
      </c>
      <c r="E2212" s="0" t="s">
        <v>7386</v>
      </c>
      <c r="F2212" s="0" t="s">
        <v>15</v>
      </c>
      <c r="G2212" s="0" t="s">
        <v>16</v>
      </c>
      <c r="H2212" s="0" t="n">
        <v>62</v>
      </c>
      <c r="I2212" s="0" t="s">
        <v>7390</v>
      </c>
      <c r="J2212" s="0" t="s">
        <v>7391</v>
      </c>
      <c r="K2212" s="0" t="s">
        <v>7392</v>
      </c>
      <c r="L2212" s="0" t="str">
        <f aca="false">HYPERLINK("https://www.ncbi.nlm.nih.gov/nuccore/CP000304.1?report=graph&amp;tracks=[key:gene_model_track,Options:GeneOnly]&amp;mk=631876:631895|offset_35|444444,631903:631922|offset_62|00cc00,631931:631950|offset_90|444444,631963:631982|offset_122|444444&amp;v=631675:632182&amp;c=444444", "offset 62")</f>
        <v>offset 62</v>
      </c>
    </row>
    <row r="2213" customFormat="false" ht="12.8" hidden="false" customHeight="false" outlineLevel="0" collapsed="false">
      <c r="A2213" s="0" t="s">
        <v>12</v>
      </c>
      <c r="B2213" s="0" t="n">
        <v>631930</v>
      </c>
      <c r="C2213" s="0" t="n">
        <v>631950</v>
      </c>
      <c r="D2213" s="0" t="s">
        <v>7385</v>
      </c>
      <c r="E2213" s="0" t="s">
        <v>7386</v>
      </c>
      <c r="F2213" s="0" t="s">
        <v>15</v>
      </c>
      <c r="G2213" s="0" t="s">
        <v>26</v>
      </c>
      <c r="H2213" s="0" t="n">
        <v>90</v>
      </c>
      <c r="I2213" s="0" t="s">
        <v>7393</v>
      </c>
      <c r="J2213" s="0" t="s">
        <v>7394</v>
      </c>
      <c r="K2213" s="0" t="s">
        <v>7395</v>
      </c>
      <c r="L2213" s="0" t="str">
        <f aca="false">HYPERLINK("https://www.ncbi.nlm.nih.gov/nuccore/CP000304.1?report=graph&amp;tracks=[key:gene_model_track,Options:GeneOnly]&amp;mk=631876:631895|offset_35|444444,631903:631922|offset_62|444444,631931:631950|offset_90|00cc00,631963:631982|offset_122|444444&amp;v=631675:632182&amp;c=444444", "offset 90")</f>
        <v>offset 90</v>
      </c>
    </row>
    <row r="2214" customFormat="false" ht="12.8" hidden="false" customHeight="false" outlineLevel="0" collapsed="false">
      <c r="A2214" s="0" t="s">
        <v>12</v>
      </c>
      <c r="B2214" s="0" t="n">
        <v>631962</v>
      </c>
      <c r="C2214" s="0" t="n">
        <v>631982</v>
      </c>
      <c r="D2214" s="0" t="s">
        <v>7385</v>
      </c>
      <c r="E2214" s="0" t="s">
        <v>7386</v>
      </c>
      <c r="F2214" s="0" t="s">
        <v>15</v>
      </c>
      <c r="G2214" s="0" t="s">
        <v>32</v>
      </c>
      <c r="H2214" s="0" t="n">
        <v>122</v>
      </c>
      <c r="I2214" s="0" t="s">
        <v>7396</v>
      </c>
      <c r="J2214" s="0" t="s">
        <v>7397</v>
      </c>
      <c r="K2214" s="0" t="s">
        <v>7398</v>
      </c>
      <c r="L2214" s="0" t="str">
        <f aca="false">HYPERLINK("https://www.ncbi.nlm.nih.gov/nuccore/CP000304.1?report=graph&amp;tracks=[key:gene_model_track,Options:GeneOnly]&amp;mk=631876:631895|offset_35|444444,631903:631922|offset_62|444444,631931:631950|offset_90|444444,631963:631982|offset_122|00cc00&amp;v=631675:632182&amp;c=444444", "offset 122")</f>
        <v>offset 122</v>
      </c>
    </row>
    <row r="2215" customFormat="false" ht="12.8" hidden="false" customHeight="false" outlineLevel="0" collapsed="false">
      <c r="A2215" s="0" t="s">
        <v>12</v>
      </c>
      <c r="B2215" s="0" t="n">
        <v>634428</v>
      </c>
      <c r="C2215" s="0" t="n">
        <v>634448</v>
      </c>
      <c r="D2215" s="0" t="s">
        <v>7399</v>
      </c>
      <c r="E2215" s="0" t="s">
        <v>89</v>
      </c>
      <c r="F2215" s="0" t="s">
        <v>90</v>
      </c>
      <c r="G2215" s="0" t="s">
        <v>26</v>
      </c>
      <c r="H2215" s="0" t="n">
        <v>12</v>
      </c>
      <c r="I2215" s="0" t="s">
        <v>7400</v>
      </c>
      <c r="J2215" s="0" t="s">
        <v>7401</v>
      </c>
      <c r="K2215" s="0" t="s">
        <v>7402</v>
      </c>
      <c r="L2215" s="0" t="str">
        <f aca="false">HYPERLINK("https://www.ncbi.nlm.nih.gov/nuccore/CP000304.1?report=graph&amp;tracks=[key:gene_model_track,Options:GeneOnly]&amp;mk=634429:634448|offset_12|00cc00,634365:634384|offset_76|444444,634345:634364|offset_96|444444,634325:634344|offset_116|444444&amp;v=634228:634544&amp;c=444444", "offset 12")</f>
        <v>offset 12</v>
      </c>
    </row>
    <row r="2216" customFormat="false" ht="12.8" hidden="false" customHeight="false" outlineLevel="0" collapsed="false">
      <c r="A2216" s="0" t="s">
        <v>12</v>
      </c>
      <c r="B2216" s="0" t="n">
        <v>634364</v>
      </c>
      <c r="C2216" s="0" t="n">
        <v>634384</v>
      </c>
      <c r="D2216" s="0" t="s">
        <v>7399</v>
      </c>
      <c r="E2216" s="0" t="s">
        <v>89</v>
      </c>
      <c r="F2216" s="0" t="s">
        <v>90</v>
      </c>
      <c r="G2216" s="0" t="s">
        <v>26</v>
      </c>
      <c r="H2216" s="0" t="n">
        <v>76</v>
      </c>
      <c r="I2216" s="0" t="s">
        <v>7403</v>
      </c>
      <c r="J2216" s="0" t="s">
        <v>7404</v>
      </c>
      <c r="K2216" s="0" t="s">
        <v>7405</v>
      </c>
      <c r="L2216" s="0" t="str">
        <f aca="false">HYPERLINK("https://www.ncbi.nlm.nih.gov/nuccore/CP000304.1?report=graph&amp;tracks=[key:gene_model_track,Options:GeneOnly]&amp;mk=634429:634448|offset_12|444444,634365:634384|offset_76|00cc00,634345:634364|offset_96|444444,634325:634344|offset_116|444444&amp;v=634228:634544&amp;c=444444", "offset 76")</f>
        <v>offset 76</v>
      </c>
    </row>
    <row r="2217" customFormat="false" ht="12.8" hidden="false" customHeight="false" outlineLevel="0" collapsed="false">
      <c r="A2217" s="0" t="s">
        <v>12</v>
      </c>
      <c r="B2217" s="0" t="n">
        <v>634344</v>
      </c>
      <c r="C2217" s="0" t="n">
        <v>634364</v>
      </c>
      <c r="D2217" s="0" t="s">
        <v>7399</v>
      </c>
      <c r="E2217" s="0" t="s">
        <v>89</v>
      </c>
      <c r="F2217" s="0" t="s">
        <v>90</v>
      </c>
      <c r="G2217" s="0" t="s">
        <v>36</v>
      </c>
      <c r="H2217" s="0" t="n">
        <v>96</v>
      </c>
      <c r="I2217" s="0" t="s">
        <v>7406</v>
      </c>
      <c r="J2217" s="0" t="s">
        <v>7407</v>
      </c>
      <c r="K2217" s="0" t="s">
        <v>7408</v>
      </c>
      <c r="L2217" s="0" t="str">
        <f aca="false">HYPERLINK("https://www.ncbi.nlm.nih.gov/nuccore/CP000304.1?report=graph&amp;tracks=[key:gene_model_track,Options:GeneOnly]&amp;mk=634429:634448|offset_12|444444,634365:634384|offset_76|444444,634345:634364|offset_96|00cc00,634325:634344|offset_116|444444&amp;v=634228:634544&amp;c=444444", "offset 96")</f>
        <v>offset 96</v>
      </c>
    </row>
    <row r="2218" customFormat="false" ht="12.8" hidden="false" customHeight="false" outlineLevel="0" collapsed="false">
      <c r="A2218" s="0" t="s">
        <v>12</v>
      </c>
      <c r="B2218" s="0" t="n">
        <v>634324</v>
      </c>
      <c r="C2218" s="0" t="n">
        <v>634344</v>
      </c>
      <c r="D2218" s="0" t="s">
        <v>7399</v>
      </c>
      <c r="E2218" s="0" t="s">
        <v>89</v>
      </c>
      <c r="F2218" s="0" t="s">
        <v>90</v>
      </c>
      <c r="G2218" s="0" t="s">
        <v>36</v>
      </c>
      <c r="H2218" s="0" t="n">
        <v>116</v>
      </c>
      <c r="I2218" s="0" t="s">
        <v>7409</v>
      </c>
      <c r="J2218" s="0" t="s">
        <v>7410</v>
      </c>
      <c r="K2218" s="0" t="s">
        <v>7411</v>
      </c>
      <c r="L2218" s="0" t="str">
        <f aca="false">HYPERLINK("https://www.ncbi.nlm.nih.gov/nuccore/CP000304.1?report=graph&amp;tracks=[key:gene_model_track,Options:GeneOnly]&amp;mk=634429:634448|offset_12|444444,634365:634384|offset_76|444444,634345:634364|offset_96|444444,634325:634344|offset_116|00cc00&amp;v=634228:634544&amp;c=444444", "offset 116")</f>
        <v>offset 116</v>
      </c>
    </row>
    <row r="2219" customFormat="false" ht="12.8" hidden="false" customHeight="false" outlineLevel="0" collapsed="false">
      <c r="A2219" s="0" t="s">
        <v>12</v>
      </c>
      <c r="B2219" s="0" t="n">
        <v>634478</v>
      </c>
      <c r="C2219" s="0" t="n">
        <v>634498</v>
      </c>
      <c r="D2219" s="0" t="s">
        <v>7412</v>
      </c>
      <c r="E2219" s="0" t="s">
        <v>89</v>
      </c>
      <c r="F2219" s="0" t="s">
        <v>15</v>
      </c>
      <c r="G2219" s="0" t="s">
        <v>16</v>
      </c>
      <c r="H2219" s="0" t="n">
        <v>20</v>
      </c>
      <c r="I2219" s="0" t="s">
        <v>7413</v>
      </c>
      <c r="J2219" s="0" t="s">
        <v>7414</v>
      </c>
      <c r="K2219" s="0" t="s">
        <v>7415</v>
      </c>
      <c r="L2219" s="0" t="str">
        <f aca="false">HYPERLINK("https://www.ncbi.nlm.nih.gov/nuccore/CP000304.1?report=graph&amp;tracks=[key:gene_model_track,Options:GeneOnly]&amp;mk=634479:634498|offset_20|00cc00,634499:634518|offset_40|444444,634523:634542|offset_64|444444,634549:634568|offset_90|444444&amp;v=634278:634768&amp;c=444444", "offset 20")</f>
        <v>offset 20</v>
      </c>
    </row>
    <row r="2220" customFormat="false" ht="12.8" hidden="false" customHeight="false" outlineLevel="0" collapsed="false">
      <c r="A2220" s="0" t="s">
        <v>12</v>
      </c>
      <c r="B2220" s="0" t="n">
        <v>634498</v>
      </c>
      <c r="C2220" s="0" t="n">
        <v>634518</v>
      </c>
      <c r="D2220" s="0" t="s">
        <v>7412</v>
      </c>
      <c r="E2220" s="0" t="s">
        <v>89</v>
      </c>
      <c r="F2220" s="0" t="s">
        <v>15</v>
      </c>
      <c r="G2220" s="0" t="s">
        <v>16</v>
      </c>
      <c r="H2220" s="0" t="n">
        <v>40</v>
      </c>
      <c r="I2220" s="0" t="s">
        <v>7416</v>
      </c>
      <c r="J2220" s="0" t="s">
        <v>7417</v>
      </c>
      <c r="K2220" s="0" t="s">
        <v>7418</v>
      </c>
      <c r="L2220" s="0" t="str">
        <f aca="false">HYPERLINK("https://www.ncbi.nlm.nih.gov/nuccore/CP000304.1?report=graph&amp;tracks=[key:gene_model_track,Options:GeneOnly]&amp;mk=634479:634498|offset_20|444444,634499:634518|offset_40|00cc00,634523:634542|offset_64|444444,634549:634568|offset_90|444444&amp;v=634278:634768&amp;c=444444", "offset 40")</f>
        <v>offset 40</v>
      </c>
    </row>
    <row r="2221" customFormat="false" ht="12.8" hidden="false" customHeight="false" outlineLevel="0" collapsed="false">
      <c r="A2221" s="0" t="s">
        <v>12</v>
      </c>
      <c r="B2221" s="0" t="n">
        <v>634522</v>
      </c>
      <c r="C2221" s="0" t="n">
        <v>634542</v>
      </c>
      <c r="D2221" s="0" t="s">
        <v>7412</v>
      </c>
      <c r="E2221" s="0" t="s">
        <v>89</v>
      </c>
      <c r="F2221" s="0" t="s">
        <v>15</v>
      </c>
      <c r="G2221" s="0" t="s">
        <v>16</v>
      </c>
      <c r="H2221" s="0" t="n">
        <v>64</v>
      </c>
      <c r="I2221" s="0" t="s">
        <v>7419</v>
      </c>
      <c r="J2221" s="0" t="s">
        <v>7420</v>
      </c>
      <c r="K2221" s="0" t="s">
        <v>7421</v>
      </c>
      <c r="L2221" s="0" t="str">
        <f aca="false">HYPERLINK("https://www.ncbi.nlm.nih.gov/nuccore/CP000304.1?report=graph&amp;tracks=[key:gene_model_track,Options:GeneOnly]&amp;mk=634479:634498|offset_20|444444,634499:634518|offset_40|444444,634523:634542|offset_64|00cc00,634549:634568|offset_90|444444&amp;v=634278:634768&amp;c=444444", "offset 64")</f>
        <v>offset 64</v>
      </c>
    </row>
    <row r="2222" customFormat="false" ht="12.8" hidden="false" customHeight="false" outlineLevel="0" collapsed="false">
      <c r="A2222" s="0" t="s">
        <v>12</v>
      </c>
      <c r="B2222" s="0" t="n">
        <v>634548</v>
      </c>
      <c r="C2222" s="0" t="n">
        <v>634568</v>
      </c>
      <c r="D2222" s="0" t="s">
        <v>7412</v>
      </c>
      <c r="E2222" s="0" t="s">
        <v>89</v>
      </c>
      <c r="F2222" s="0" t="s">
        <v>15</v>
      </c>
      <c r="G2222" s="0" t="s">
        <v>16</v>
      </c>
      <c r="H2222" s="0" t="n">
        <v>90</v>
      </c>
      <c r="I2222" s="0" t="s">
        <v>7422</v>
      </c>
      <c r="J2222" s="0" t="s">
        <v>7423</v>
      </c>
      <c r="K2222" s="0" t="s">
        <v>7424</v>
      </c>
      <c r="L2222" s="0" t="str">
        <f aca="false">HYPERLINK("https://www.ncbi.nlm.nih.gov/nuccore/CP000304.1?report=graph&amp;tracks=[key:gene_model_track,Options:GeneOnly]&amp;mk=634479:634498|offset_20|444444,634499:634518|offset_40|444444,634523:634542|offset_64|444444,634549:634568|offset_90|00cc00&amp;v=634278:634768&amp;c=444444", "offset 90")</f>
        <v>offset 90</v>
      </c>
    </row>
    <row r="2223" customFormat="false" ht="12.8" hidden="false" customHeight="false" outlineLevel="0" collapsed="false">
      <c r="A2223" s="0" t="s">
        <v>12</v>
      </c>
      <c r="B2223" s="0" t="n">
        <v>635612</v>
      </c>
      <c r="C2223" s="0" t="n">
        <v>635632</v>
      </c>
      <c r="D2223" s="0" t="s">
        <v>7425</v>
      </c>
      <c r="E2223" s="0" t="s">
        <v>89</v>
      </c>
      <c r="F2223" s="0" t="s">
        <v>90</v>
      </c>
      <c r="G2223" s="0" t="s">
        <v>26</v>
      </c>
      <c r="H2223" s="0" t="n">
        <v>25</v>
      </c>
      <c r="I2223" s="0" t="s">
        <v>7426</v>
      </c>
      <c r="J2223" s="0" t="s">
        <v>7427</v>
      </c>
      <c r="K2223" s="0" t="s">
        <v>7428</v>
      </c>
      <c r="L2223" s="0" t="str">
        <f aca="false">HYPERLINK("https://www.ncbi.nlm.nih.gov/nuccore/CP000304.1?report=graph&amp;tracks=[key:gene_model_track,Options:GeneOnly]&amp;mk=635613:635632|offset_25|00cc00,635591:635610|offset_47|444444,635568:635587|offset_70|444444,635546:635565|offset_92|444444&amp;v=635412:635765&amp;c=444444", "offset 25")</f>
        <v>offset 25</v>
      </c>
    </row>
    <row r="2224" customFormat="false" ht="12.8" hidden="false" customHeight="false" outlineLevel="0" collapsed="false">
      <c r="A2224" s="0" t="s">
        <v>12</v>
      </c>
      <c r="B2224" s="0" t="n">
        <v>635590</v>
      </c>
      <c r="C2224" s="0" t="n">
        <v>635610</v>
      </c>
      <c r="D2224" s="0" t="s">
        <v>7425</v>
      </c>
      <c r="E2224" s="0" t="s">
        <v>89</v>
      </c>
      <c r="F2224" s="0" t="s">
        <v>90</v>
      </c>
      <c r="G2224" s="0" t="s">
        <v>32</v>
      </c>
      <c r="H2224" s="0" t="n">
        <v>47</v>
      </c>
      <c r="I2224" s="0" t="s">
        <v>7429</v>
      </c>
      <c r="J2224" s="0" t="s">
        <v>7430</v>
      </c>
      <c r="K2224" s="0" t="s">
        <v>7431</v>
      </c>
      <c r="L2224" s="0" t="str">
        <f aca="false">HYPERLINK("https://www.ncbi.nlm.nih.gov/nuccore/CP000304.1?report=graph&amp;tracks=[key:gene_model_track,Options:GeneOnly]&amp;mk=635613:635632|offset_25|444444,635591:635610|offset_47|00cc00,635568:635587|offset_70|444444,635546:635565|offset_92|444444&amp;v=635412:635765&amp;c=444444", "offset 47")</f>
        <v>offset 47</v>
      </c>
    </row>
    <row r="2225" customFormat="false" ht="12.8" hidden="false" customHeight="false" outlineLevel="0" collapsed="false">
      <c r="A2225" s="0" t="s">
        <v>12</v>
      </c>
      <c r="B2225" s="0" t="n">
        <v>635567</v>
      </c>
      <c r="C2225" s="0" t="n">
        <v>635587</v>
      </c>
      <c r="D2225" s="0" t="s">
        <v>7425</v>
      </c>
      <c r="E2225" s="0" t="s">
        <v>89</v>
      </c>
      <c r="F2225" s="0" t="s">
        <v>90</v>
      </c>
      <c r="G2225" s="0" t="s">
        <v>26</v>
      </c>
      <c r="H2225" s="0" t="n">
        <v>70</v>
      </c>
      <c r="I2225" s="0" t="s">
        <v>7432</v>
      </c>
      <c r="J2225" s="0" t="s">
        <v>7433</v>
      </c>
      <c r="K2225" s="0" t="s">
        <v>7434</v>
      </c>
      <c r="L2225" s="0" t="str">
        <f aca="false">HYPERLINK("https://www.ncbi.nlm.nih.gov/nuccore/CP000304.1?report=graph&amp;tracks=[key:gene_model_track,Options:GeneOnly]&amp;mk=635613:635632|offset_25|444444,635591:635610|offset_47|444444,635568:635587|offset_70|00cc00,635546:635565|offset_92|444444&amp;v=635412:635765&amp;c=444444", "offset 70")</f>
        <v>offset 70</v>
      </c>
    </row>
    <row r="2226" customFormat="false" ht="12.8" hidden="false" customHeight="false" outlineLevel="0" collapsed="false">
      <c r="A2226" s="0" t="s">
        <v>12</v>
      </c>
      <c r="B2226" s="0" t="n">
        <v>635545</v>
      </c>
      <c r="C2226" s="0" t="n">
        <v>635565</v>
      </c>
      <c r="D2226" s="0" t="s">
        <v>7425</v>
      </c>
      <c r="E2226" s="0" t="s">
        <v>89</v>
      </c>
      <c r="F2226" s="0" t="s">
        <v>90</v>
      </c>
      <c r="G2226" s="0" t="s">
        <v>26</v>
      </c>
      <c r="H2226" s="0" t="n">
        <v>92</v>
      </c>
      <c r="I2226" s="0" t="s">
        <v>7435</v>
      </c>
      <c r="J2226" s="0" t="s">
        <v>7436</v>
      </c>
      <c r="K2226" s="0" t="s">
        <v>7437</v>
      </c>
      <c r="L2226" s="0" t="str">
        <f aca="false">HYPERLINK("https://www.ncbi.nlm.nih.gov/nuccore/CP000304.1?report=graph&amp;tracks=[key:gene_model_track,Options:GeneOnly]&amp;mk=635613:635632|offset_25|444444,635591:635610|offset_47|444444,635568:635587|offset_70|444444,635546:635565|offset_92|00cc00&amp;v=635412:635765&amp;c=444444", "offset 92")</f>
        <v>offset 92</v>
      </c>
    </row>
    <row r="2227" customFormat="false" ht="12.8" hidden="false" customHeight="false" outlineLevel="0" collapsed="false">
      <c r="A2227" s="0" t="s">
        <v>12</v>
      </c>
      <c r="B2227" s="0" t="n">
        <v>636151</v>
      </c>
      <c r="C2227" s="0" t="n">
        <v>636171</v>
      </c>
      <c r="D2227" s="0" t="s">
        <v>7438</v>
      </c>
      <c r="E2227" s="0" t="s">
        <v>7439</v>
      </c>
      <c r="F2227" s="0" t="s">
        <v>90</v>
      </c>
      <c r="G2227" s="0" t="s">
        <v>32</v>
      </c>
      <c r="H2227" s="0" t="n">
        <v>1</v>
      </c>
      <c r="I2227" s="0" t="s">
        <v>7440</v>
      </c>
      <c r="J2227" s="0" t="s">
        <v>7441</v>
      </c>
      <c r="K2227" s="0" t="s">
        <v>7442</v>
      </c>
      <c r="L2227" s="0" t="str">
        <f aca="false">HYPERLINK("https://www.ncbi.nlm.nih.gov/nuccore/CP000304.1?report=graph&amp;tracks=[key:gene_model_track,Options:GeneOnly]&amp;mk=636152:636171|offset_1|00cc00,636129:636148|offset_24|444444,636109:636128|offset_44|444444,636072:636091|offset_81|444444&amp;v=635951:636291&amp;c=444444", "offset 1")</f>
        <v>offset 1</v>
      </c>
    </row>
    <row r="2228" customFormat="false" ht="12.8" hidden="false" customHeight="false" outlineLevel="0" collapsed="false">
      <c r="A2228" s="0" t="s">
        <v>12</v>
      </c>
      <c r="B2228" s="0" t="n">
        <v>636128</v>
      </c>
      <c r="C2228" s="0" t="n">
        <v>636148</v>
      </c>
      <c r="D2228" s="0" t="s">
        <v>7438</v>
      </c>
      <c r="E2228" s="0" t="s">
        <v>7439</v>
      </c>
      <c r="F2228" s="0" t="s">
        <v>90</v>
      </c>
      <c r="G2228" s="0" t="s">
        <v>36</v>
      </c>
      <c r="H2228" s="0" t="n">
        <v>24</v>
      </c>
      <c r="I2228" s="0" t="s">
        <v>7443</v>
      </c>
      <c r="J2228" s="0" t="s">
        <v>7444</v>
      </c>
      <c r="K2228" s="0" t="s">
        <v>7445</v>
      </c>
      <c r="L2228" s="0" t="str">
        <f aca="false">HYPERLINK("https://www.ncbi.nlm.nih.gov/nuccore/CP000304.1?report=graph&amp;tracks=[key:gene_model_track,Options:GeneOnly]&amp;mk=636152:636171|offset_1|444444,636129:636148|offset_24|00cc00,636109:636128|offset_44|444444,636072:636091|offset_81|444444&amp;v=635951:636291&amp;c=444444", "offset 24")</f>
        <v>offset 24</v>
      </c>
    </row>
    <row r="2229" customFormat="false" ht="12.8" hidden="false" customHeight="false" outlineLevel="0" collapsed="false">
      <c r="A2229" s="0" t="s">
        <v>12</v>
      </c>
      <c r="B2229" s="0" t="n">
        <v>636108</v>
      </c>
      <c r="C2229" s="0" t="n">
        <v>636128</v>
      </c>
      <c r="D2229" s="0" t="s">
        <v>7438</v>
      </c>
      <c r="E2229" s="0" t="s">
        <v>7439</v>
      </c>
      <c r="F2229" s="0" t="s">
        <v>90</v>
      </c>
      <c r="G2229" s="0" t="s">
        <v>26</v>
      </c>
      <c r="H2229" s="0" t="n">
        <v>44</v>
      </c>
      <c r="I2229" s="0" t="s">
        <v>7446</v>
      </c>
      <c r="J2229" s="0" t="s">
        <v>7447</v>
      </c>
      <c r="K2229" s="0" t="s">
        <v>7448</v>
      </c>
      <c r="L2229" s="0" t="str">
        <f aca="false">HYPERLINK("https://www.ncbi.nlm.nih.gov/nuccore/CP000304.1?report=graph&amp;tracks=[key:gene_model_track,Options:GeneOnly]&amp;mk=636152:636171|offset_1|444444,636129:636148|offset_24|444444,636109:636128|offset_44|00cc00,636072:636091|offset_81|444444&amp;v=635951:636291&amp;c=444444", "offset 44")</f>
        <v>offset 44</v>
      </c>
    </row>
    <row r="2230" customFormat="false" ht="12.8" hidden="false" customHeight="false" outlineLevel="0" collapsed="false">
      <c r="A2230" s="0" t="s">
        <v>12</v>
      </c>
      <c r="B2230" s="0" t="n">
        <v>636071</v>
      </c>
      <c r="C2230" s="0" t="n">
        <v>636091</v>
      </c>
      <c r="D2230" s="0" t="s">
        <v>7438</v>
      </c>
      <c r="E2230" s="0" t="s">
        <v>7439</v>
      </c>
      <c r="F2230" s="0" t="s">
        <v>90</v>
      </c>
      <c r="G2230" s="0" t="s">
        <v>32</v>
      </c>
      <c r="H2230" s="0" t="n">
        <v>81</v>
      </c>
      <c r="I2230" s="0" t="s">
        <v>7449</v>
      </c>
      <c r="J2230" s="0" t="s">
        <v>7450</v>
      </c>
      <c r="K2230" s="0" t="s">
        <v>7451</v>
      </c>
      <c r="L2230" s="0" t="str">
        <f aca="false">HYPERLINK("https://www.ncbi.nlm.nih.gov/nuccore/CP000304.1?report=graph&amp;tracks=[key:gene_model_track,Options:GeneOnly]&amp;mk=636152:636171|offset_1|444444,636129:636148|offset_24|444444,636109:636128|offset_44|444444,636072:636091|offset_81|00cc00&amp;v=635951:636291&amp;c=444444", "offset 81")</f>
        <v>offset 81</v>
      </c>
    </row>
    <row r="2231" customFormat="false" ht="12.8" hidden="false" customHeight="false" outlineLevel="0" collapsed="false">
      <c r="A2231" s="0" t="s">
        <v>12</v>
      </c>
      <c r="B2231" s="0" t="n">
        <v>637497</v>
      </c>
      <c r="C2231" s="0" t="n">
        <v>637517</v>
      </c>
      <c r="D2231" s="0" t="s">
        <v>7452</v>
      </c>
      <c r="E2231" s="0" t="s">
        <v>7453</v>
      </c>
      <c r="F2231" s="0" t="s">
        <v>90</v>
      </c>
      <c r="G2231" s="0" t="s">
        <v>32</v>
      </c>
      <c r="H2231" s="0" t="n">
        <v>1</v>
      </c>
      <c r="I2231" s="0" t="s">
        <v>7454</v>
      </c>
      <c r="J2231" s="0" t="s">
        <v>7455</v>
      </c>
      <c r="K2231" s="0" t="s">
        <v>7456</v>
      </c>
      <c r="L2231" s="0" t="str">
        <f aca="false">HYPERLINK("https://www.ncbi.nlm.nih.gov/nuccore/CP000304.1?report=graph&amp;tracks=[key:gene_model_track,Options:GeneOnly]&amp;mk=637498:637517|offset_1|00cc00,637477:637496|offset_22|444444,637457:637476|offset_42|444444,637427:637446|offset_72|444444&amp;v=637297:637646&amp;c=444444", "offset 1")</f>
        <v>offset 1</v>
      </c>
    </row>
    <row r="2232" customFormat="false" ht="12.8" hidden="false" customHeight="false" outlineLevel="0" collapsed="false">
      <c r="A2232" s="0" t="s">
        <v>12</v>
      </c>
      <c r="B2232" s="0" t="n">
        <v>637476</v>
      </c>
      <c r="C2232" s="0" t="n">
        <v>637496</v>
      </c>
      <c r="D2232" s="0" t="s">
        <v>7452</v>
      </c>
      <c r="E2232" s="0" t="s">
        <v>7453</v>
      </c>
      <c r="F2232" s="0" t="s">
        <v>90</v>
      </c>
      <c r="G2232" s="0" t="s">
        <v>32</v>
      </c>
      <c r="H2232" s="0" t="n">
        <v>22</v>
      </c>
      <c r="I2232" s="0" t="s">
        <v>7457</v>
      </c>
      <c r="J2232" s="0" t="s">
        <v>7458</v>
      </c>
      <c r="K2232" s="0" t="s">
        <v>7459</v>
      </c>
      <c r="L2232" s="0" t="str">
        <f aca="false">HYPERLINK("https://www.ncbi.nlm.nih.gov/nuccore/CP000304.1?report=graph&amp;tracks=[key:gene_model_track,Options:GeneOnly]&amp;mk=637498:637517|offset_1|444444,637477:637496|offset_22|00cc00,637457:637476|offset_42|444444,637427:637446|offset_72|444444&amp;v=637297:637646&amp;c=444444", "offset 22")</f>
        <v>offset 22</v>
      </c>
    </row>
    <row r="2233" customFormat="false" ht="12.8" hidden="false" customHeight="false" outlineLevel="0" collapsed="false">
      <c r="A2233" s="0" t="s">
        <v>12</v>
      </c>
      <c r="B2233" s="0" t="n">
        <v>637456</v>
      </c>
      <c r="C2233" s="0" t="n">
        <v>637476</v>
      </c>
      <c r="D2233" s="0" t="s">
        <v>7452</v>
      </c>
      <c r="E2233" s="0" t="s">
        <v>7453</v>
      </c>
      <c r="F2233" s="0" t="s">
        <v>90</v>
      </c>
      <c r="G2233" s="0" t="s">
        <v>32</v>
      </c>
      <c r="H2233" s="0" t="n">
        <v>42</v>
      </c>
      <c r="I2233" s="0" t="s">
        <v>7460</v>
      </c>
      <c r="J2233" s="0" t="s">
        <v>7461</v>
      </c>
      <c r="K2233" s="0" t="s">
        <v>7462</v>
      </c>
      <c r="L2233" s="0" t="str">
        <f aca="false">HYPERLINK("https://www.ncbi.nlm.nih.gov/nuccore/CP000304.1?report=graph&amp;tracks=[key:gene_model_track,Options:GeneOnly]&amp;mk=637498:637517|offset_1|444444,637477:637496|offset_22|444444,637457:637476|offset_42|00cc00,637427:637446|offset_72|444444&amp;v=637297:637646&amp;c=444444", "offset 42")</f>
        <v>offset 42</v>
      </c>
    </row>
    <row r="2234" customFormat="false" ht="12.8" hidden="false" customHeight="false" outlineLevel="0" collapsed="false">
      <c r="A2234" s="0" t="s">
        <v>12</v>
      </c>
      <c r="B2234" s="0" t="n">
        <v>637426</v>
      </c>
      <c r="C2234" s="0" t="n">
        <v>637446</v>
      </c>
      <c r="D2234" s="0" t="s">
        <v>7452</v>
      </c>
      <c r="E2234" s="0" t="s">
        <v>7453</v>
      </c>
      <c r="F2234" s="0" t="s">
        <v>90</v>
      </c>
      <c r="G2234" s="0" t="s">
        <v>16</v>
      </c>
      <c r="H2234" s="0" t="n">
        <v>72</v>
      </c>
      <c r="I2234" s="0" t="s">
        <v>7463</v>
      </c>
      <c r="J2234" s="0" t="s">
        <v>7464</v>
      </c>
      <c r="K2234" s="0" t="s">
        <v>7465</v>
      </c>
      <c r="L2234" s="0" t="str">
        <f aca="false">HYPERLINK("https://www.ncbi.nlm.nih.gov/nuccore/CP000304.1?report=graph&amp;tracks=[key:gene_model_track,Options:GeneOnly]&amp;mk=637498:637517|offset_1|444444,637477:637496|offset_22|444444,637457:637476|offset_42|444444,637427:637446|offset_72|00cc00&amp;v=637297:637646&amp;c=444444", "offset 72")</f>
        <v>offset 72</v>
      </c>
    </row>
    <row r="2235" customFormat="false" ht="12.8" hidden="false" customHeight="false" outlineLevel="0" collapsed="false">
      <c r="A2235" s="0" t="s">
        <v>12</v>
      </c>
      <c r="B2235" s="0" t="n">
        <v>639380</v>
      </c>
      <c r="C2235" s="0" t="n">
        <v>639400</v>
      </c>
      <c r="D2235" s="0" t="s">
        <v>7466</v>
      </c>
      <c r="E2235" s="0" t="s">
        <v>89</v>
      </c>
      <c r="F2235" s="0" t="s">
        <v>90</v>
      </c>
      <c r="G2235" s="0" t="s">
        <v>32</v>
      </c>
      <c r="H2235" s="0" t="n">
        <v>7</v>
      </c>
      <c r="I2235" s="0" t="s">
        <v>7467</v>
      </c>
      <c r="J2235" s="0" t="s">
        <v>7468</v>
      </c>
      <c r="K2235" s="0" t="s">
        <v>7469</v>
      </c>
      <c r="L2235" s="0" t="str">
        <f aca="false">HYPERLINK("https://www.ncbi.nlm.nih.gov/nuccore/CP000304.1?report=graph&amp;tracks=[key:gene_model_track,Options:GeneOnly]&amp;mk=639381:639400|offset_7|00cc00,639361:639380|offset_27|444444,639296:639315|offset_92|444444,639255:639274|offset_133|444444&amp;v=639180:639474&amp;c=444444", "offset 7")</f>
        <v>offset 7</v>
      </c>
    </row>
    <row r="2236" customFormat="false" ht="12.8" hidden="false" customHeight="false" outlineLevel="0" collapsed="false">
      <c r="A2236" s="0" t="s">
        <v>12</v>
      </c>
      <c r="B2236" s="0" t="n">
        <v>639360</v>
      </c>
      <c r="C2236" s="0" t="n">
        <v>639380</v>
      </c>
      <c r="D2236" s="0" t="s">
        <v>7466</v>
      </c>
      <c r="E2236" s="0" t="s">
        <v>89</v>
      </c>
      <c r="F2236" s="0" t="s">
        <v>90</v>
      </c>
      <c r="G2236" s="0" t="s">
        <v>16</v>
      </c>
      <c r="H2236" s="0" t="n">
        <v>27</v>
      </c>
      <c r="I2236" s="0" t="s">
        <v>7470</v>
      </c>
      <c r="J2236" s="0" t="s">
        <v>7471</v>
      </c>
      <c r="K2236" s="0" t="s">
        <v>7472</v>
      </c>
      <c r="L2236" s="0" t="str">
        <f aca="false">HYPERLINK("https://www.ncbi.nlm.nih.gov/nuccore/CP000304.1?report=graph&amp;tracks=[key:gene_model_track,Options:GeneOnly]&amp;mk=639381:639400|offset_7|444444,639361:639380|offset_27|00cc00,639296:639315|offset_92|444444,639255:639274|offset_133|444444&amp;v=639180:639474&amp;c=444444", "offset 27")</f>
        <v>offset 27</v>
      </c>
    </row>
    <row r="2237" customFormat="false" ht="12.8" hidden="false" customHeight="false" outlineLevel="0" collapsed="false">
      <c r="A2237" s="0" t="s">
        <v>12</v>
      </c>
      <c r="B2237" s="0" t="n">
        <v>639295</v>
      </c>
      <c r="C2237" s="0" t="n">
        <v>639315</v>
      </c>
      <c r="D2237" s="0" t="s">
        <v>7466</v>
      </c>
      <c r="E2237" s="0" t="s">
        <v>89</v>
      </c>
      <c r="F2237" s="0" t="s">
        <v>90</v>
      </c>
      <c r="G2237" s="0" t="s">
        <v>36</v>
      </c>
      <c r="H2237" s="0" t="n">
        <v>92</v>
      </c>
      <c r="I2237" s="0" t="s">
        <v>7473</v>
      </c>
      <c r="J2237" s="0" t="s">
        <v>7474</v>
      </c>
      <c r="K2237" s="0" t="s">
        <v>7475</v>
      </c>
      <c r="L2237" s="0" t="str">
        <f aca="false">HYPERLINK("https://www.ncbi.nlm.nih.gov/nuccore/CP000304.1?report=graph&amp;tracks=[key:gene_model_track,Options:GeneOnly]&amp;mk=639381:639400|offset_7|444444,639361:639380|offset_27|444444,639296:639315|offset_92|00cc00,639255:639274|offset_133|444444&amp;v=639180:639474&amp;c=444444", "offset 92")</f>
        <v>offset 92</v>
      </c>
    </row>
    <row r="2238" customFormat="false" ht="12.8" hidden="false" customHeight="false" outlineLevel="0" collapsed="false">
      <c r="A2238" s="0" t="s">
        <v>12</v>
      </c>
      <c r="B2238" s="0" t="n">
        <v>639254</v>
      </c>
      <c r="C2238" s="0" t="n">
        <v>639274</v>
      </c>
      <c r="D2238" s="0" t="s">
        <v>7466</v>
      </c>
      <c r="E2238" s="0" t="s">
        <v>89</v>
      </c>
      <c r="F2238" s="0" t="s">
        <v>90</v>
      </c>
      <c r="G2238" s="0" t="s">
        <v>32</v>
      </c>
      <c r="H2238" s="0" t="n">
        <v>133</v>
      </c>
      <c r="I2238" s="0" t="s">
        <v>7476</v>
      </c>
      <c r="J2238" s="0" t="s">
        <v>7477</v>
      </c>
      <c r="K2238" s="0" t="s">
        <v>7478</v>
      </c>
      <c r="L2238" s="0" t="str">
        <f aca="false">HYPERLINK("https://www.ncbi.nlm.nih.gov/nuccore/CP000304.1?report=graph&amp;tracks=[key:gene_model_track,Options:GeneOnly]&amp;mk=639381:639400|offset_7|444444,639361:639380|offset_27|444444,639296:639315|offset_92|444444,639255:639274|offset_133|00cc00&amp;v=639180:639474&amp;c=444444", "offset 133")</f>
        <v>offset 133</v>
      </c>
    </row>
    <row r="2239" customFormat="false" ht="12.8" hidden="false" customHeight="false" outlineLevel="0" collapsed="false">
      <c r="A2239" s="0" t="s">
        <v>12</v>
      </c>
      <c r="B2239" s="0" t="n">
        <v>639888</v>
      </c>
      <c r="C2239" s="0" t="n">
        <v>639908</v>
      </c>
      <c r="D2239" s="0" t="s">
        <v>7479</v>
      </c>
      <c r="E2239" s="0" t="s">
        <v>89</v>
      </c>
      <c r="F2239" s="0" t="s">
        <v>15</v>
      </c>
      <c r="G2239" s="0" t="s">
        <v>26</v>
      </c>
      <c r="H2239" s="0" t="n">
        <v>72</v>
      </c>
      <c r="I2239" s="0" t="s">
        <v>7480</v>
      </c>
      <c r="J2239" s="0" t="s">
        <v>7481</v>
      </c>
      <c r="K2239" s="0" t="s">
        <v>7482</v>
      </c>
      <c r="L2239" s="0" t="str">
        <f aca="false">HYPERLINK("https://www.ncbi.nlm.nih.gov/nuccore/CP000304.1?report=graph&amp;tracks=[key:gene_model_track,Options:GeneOnly]&amp;mk=639889:639908|offset_72|00cc00,639916:639935|offset_99|444444,639951:639970|offset_134|444444,639974:639993|offset_157|444444&amp;v=639688:640193&amp;c=444444", "offset 72")</f>
        <v>offset 72</v>
      </c>
    </row>
    <row r="2240" customFormat="false" ht="12.8" hidden="false" customHeight="false" outlineLevel="0" collapsed="false">
      <c r="A2240" s="0" t="s">
        <v>12</v>
      </c>
      <c r="B2240" s="0" t="n">
        <v>639915</v>
      </c>
      <c r="C2240" s="0" t="n">
        <v>639935</v>
      </c>
      <c r="D2240" s="0" t="s">
        <v>7479</v>
      </c>
      <c r="E2240" s="0" t="s">
        <v>89</v>
      </c>
      <c r="F2240" s="0" t="s">
        <v>15</v>
      </c>
      <c r="G2240" s="0" t="s">
        <v>32</v>
      </c>
      <c r="H2240" s="0" t="n">
        <v>99</v>
      </c>
      <c r="I2240" s="0" t="s">
        <v>7483</v>
      </c>
      <c r="J2240" s="0" t="s">
        <v>7484</v>
      </c>
      <c r="K2240" s="0" t="s">
        <v>7485</v>
      </c>
      <c r="L2240" s="0" t="str">
        <f aca="false">HYPERLINK("https://www.ncbi.nlm.nih.gov/nuccore/CP000304.1?report=graph&amp;tracks=[key:gene_model_track,Options:GeneOnly]&amp;mk=639889:639908|offset_72|444444,639916:639935|offset_99|00cc00,639951:639970|offset_134|444444,639974:639993|offset_157|444444&amp;v=639688:640193&amp;c=444444", "offset 99")</f>
        <v>offset 99</v>
      </c>
    </row>
    <row r="2241" customFormat="false" ht="12.8" hidden="false" customHeight="false" outlineLevel="0" collapsed="false">
      <c r="A2241" s="0" t="s">
        <v>12</v>
      </c>
      <c r="B2241" s="0" t="n">
        <v>639950</v>
      </c>
      <c r="C2241" s="0" t="n">
        <v>639970</v>
      </c>
      <c r="D2241" s="0" t="s">
        <v>7479</v>
      </c>
      <c r="E2241" s="0" t="s">
        <v>89</v>
      </c>
      <c r="F2241" s="0" t="s">
        <v>15</v>
      </c>
      <c r="G2241" s="0" t="s">
        <v>16</v>
      </c>
      <c r="H2241" s="0" t="n">
        <v>134</v>
      </c>
      <c r="I2241" s="0" t="s">
        <v>7486</v>
      </c>
      <c r="J2241" s="0" t="s">
        <v>7487</v>
      </c>
      <c r="K2241" s="0" t="s">
        <v>7488</v>
      </c>
      <c r="L2241" s="0" t="str">
        <f aca="false">HYPERLINK("https://www.ncbi.nlm.nih.gov/nuccore/CP000304.1?report=graph&amp;tracks=[key:gene_model_track,Options:GeneOnly]&amp;mk=639889:639908|offset_72|444444,639916:639935|offset_99|444444,639951:639970|offset_134|00cc00,639974:639993|offset_157|444444&amp;v=639688:640193&amp;c=444444", "offset 134")</f>
        <v>offset 134</v>
      </c>
    </row>
    <row r="2242" customFormat="false" ht="12.8" hidden="false" customHeight="false" outlineLevel="0" collapsed="false">
      <c r="A2242" s="0" t="s">
        <v>12</v>
      </c>
      <c r="B2242" s="0" t="n">
        <v>639973</v>
      </c>
      <c r="C2242" s="0" t="n">
        <v>639993</v>
      </c>
      <c r="D2242" s="0" t="s">
        <v>7479</v>
      </c>
      <c r="E2242" s="0" t="s">
        <v>89</v>
      </c>
      <c r="F2242" s="0" t="s">
        <v>15</v>
      </c>
      <c r="G2242" s="0" t="s">
        <v>26</v>
      </c>
      <c r="H2242" s="0" t="n">
        <v>157</v>
      </c>
      <c r="I2242" s="0" t="s">
        <v>7489</v>
      </c>
      <c r="J2242" s="0" t="s">
        <v>7490</v>
      </c>
      <c r="K2242" s="0" t="s">
        <v>7491</v>
      </c>
      <c r="L2242" s="0" t="str">
        <f aca="false">HYPERLINK("https://www.ncbi.nlm.nih.gov/nuccore/CP000304.1?report=graph&amp;tracks=[key:gene_model_track,Options:GeneOnly]&amp;mk=639889:639908|offset_72|444444,639916:639935|offset_99|444444,639951:639970|offset_134|444444,639974:639993|offset_157|00cc00&amp;v=639688:640193&amp;c=444444", "offset 157")</f>
        <v>offset 157</v>
      </c>
    </row>
    <row r="2243" customFormat="false" ht="12.8" hidden="false" customHeight="false" outlineLevel="0" collapsed="false">
      <c r="A2243" s="0" t="s">
        <v>12</v>
      </c>
      <c r="B2243" s="0" t="n">
        <v>641944</v>
      </c>
      <c r="C2243" s="0" t="n">
        <v>641964</v>
      </c>
      <c r="D2243" s="0" t="s">
        <v>7492</v>
      </c>
      <c r="E2243" s="0" t="s">
        <v>89</v>
      </c>
      <c r="F2243" s="0" t="s">
        <v>15</v>
      </c>
      <c r="G2243" s="0" t="s">
        <v>36</v>
      </c>
      <c r="H2243" s="0" t="n">
        <v>15</v>
      </c>
      <c r="I2243" s="0" t="s">
        <v>7493</v>
      </c>
      <c r="J2243" s="0" t="s">
        <v>7494</v>
      </c>
      <c r="K2243" s="0" t="s">
        <v>7495</v>
      </c>
      <c r="L2243" s="0" t="str">
        <f aca="false">HYPERLINK("https://www.ncbi.nlm.nih.gov/nuccore/CP000304.1?report=graph&amp;tracks=[key:gene_model_track,Options:GeneOnly]&amp;mk=641945:641964|offset_15|00cc00,641968:641987|offset_38|444444,641995:642014|offset_65|444444,642057:642076|offset_127|444444&amp;v=641744:642276&amp;c=444444", "offset 15")</f>
        <v>offset 15</v>
      </c>
    </row>
    <row r="2244" customFormat="false" ht="12.8" hidden="false" customHeight="false" outlineLevel="0" collapsed="false">
      <c r="A2244" s="0" t="s">
        <v>12</v>
      </c>
      <c r="B2244" s="0" t="n">
        <v>641967</v>
      </c>
      <c r="C2244" s="0" t="n">
        <v>641987</v>
      </c>
      <c r="D2244" s="0" t="s">
        <v>7492</v>
      </c>
      <c r="E2244" s="0" t="s">
        <v>89</v>
      </c>
      <c r="F2244" s="0" t="s">
        <v>15</v>
      </c>
      <c r="G2244" s="0" t="s">
        <v>26</v>
      </c>
      <c r="H2244" s="0" t="n">
        <v>38</v>
      </c>
      <c r="I2244" s="0" t="s">
        <v>7496</v>
      </c>
      <c r="J2244" s="0" t="s">
        <v>7497</v>
      </c>
      <c r="K2244" s="0" t="s">
        <v>7498</v>
      </c>
      <c r="L2244" s="0" t="str">
        <f aca="false">HYPERLINK("https://www.ncbi.nlm.nih.gov/nuccore/CP000304.1?report=graph&amp;tracks=[key:gene_model_track,Options:GeneOnly]&amp;mk=641945:641964|offset_15|444444,641968:641987|offset_38|00cc00,641995:642014|offset_65|444444,642057:642076|offset_127|444444&amp;v=641744:642276&amp;c=444444", "offset 38")</f>
        <v>offset 38</v>
      </c>
    </row>
    <row r="2245" customFormat="false" ht="12.8" hidden="false" customHeight="false" outlineLevel="0" collapsed="false">
      <c r="A2245" s="0" t="s">
        <v>12</v>
      </c>
      <c r="B2245" s="0" t="n">
        <v>641994</v>
      </c>
      <c r="C2245" s="0" t="n">
        <v>642014</v>
      </c>
      <c r="D2245" s="0" t="s">
        <v>7492</v>
      </c>
      <c r="E2245" s="0" t="s">
        <v>89</v>
      </c>
      <c r="F2245" s="0" t="s">
        <v>15</v>
      </c>
      <c r="G2245" s="0" t="s">
        <v>32</v>
      </c>
      <c r="H2245" s="0" t="n">
        <v>65</v>
      </c>
      <c r="I2245" s="0" t="s">
        <v>7499</v>
      </c>
      <c r="J2245" s="0" t="s">
        <v>7500</v>
      </c>
      <c r="K2245" s="0" t="s">
        <v>7501</v>
      </c>
      <c r="L2245" s="0" t="str">
        <f aca="false">HYPERLINK("https://www.ncbi.nlm.nih.gov/nuccore/CP000304.1?report=graph&amp;tracks=[key:gene_model_track,Options:GeneOnly]&amp;mk=641945:641964|offset_15|444444,641968:641987|offset_38|444444,641995:642014|offset_65|00cc00,642057:642076|offset_127|444444&amp;v=641744:642276&amp;c=444444", "offset 65")</f>
        <v>offset 65</v>
      </c>
    </row>
    <row r="2246" customFormat="false" ht="12.8" hidden="false" customHeight="false" outlineLevel="0" collapsed="false">
      <c r="A2246" s="0" t="s">
        <v>12</v>
      </c>
      <c r="B2246" s="0" t="n">
        <v>642056</v>
      </c>
      <c r="C2246" s="0" t="n">
        <v>642076</v>
      </c>
      <c r="D2246" s="0" t="s">
        <v>7492</v>
      </c>
      <c r="E2246" s="0" t="s">
        <v>89</v>
      </c>
      <c r="F2246" s="0" t="s">
        <v>15</v>
      </c>
      <c r="G2246" s="0" t="s">
        <v>26</v>
      </c>
      <c r="H2246" s="0" t="n">
        <v>127</v>
      </c>
      <c r="I2246" s="0" t="s">
        <v>7502</v>
      </c>
      <c r="J2246" s="0" t="s">
        <v>7503</v>
      </c>
      <c r="K2246" s="0" t="s">
        <v>7504</v>
      </c>
      <c r="L2246" s="0" t="str">
        <f aca="false">HYPERLINK("https://www.ncbi.nlm.nih.gov/nuccore/CP000304.1?report=graph&amp;tracks=[key:gene_model_track,Options:GeneOnly]&amp;mk=641945:641964|offset_15|444444,641968:641987|offset_38|444444,641995:642014|offset_65|444444,642057:642076|offset_127|00cc00&amp;v=641744:642276&amp;c=444444", "offset 127")</f>
        <v>offset 127</v>
      </c>
    </row>
    <row r="2247" customFormat="false" ht="12.8" hidden="false" customHeight="false" outlineLevel="0" collapsed="false">
      <c r="A2247" s="0" t="s">
        <v>12</v>
      </c>
      <c r="B2247" s="0" t="n">
        <v>642630</v>
      </c>
      <c r="C2247" s="0" t="n">
        <v>642650</v>
      </c>
      <c r="D2247" s="0" t="s">
        <v>7505</v>
      </c>
      <c r="E2247" s="0" t="s">
        <v>89</v>
      </c>
      <c r="F2247" s="0" t="s">
        <v>15</v>
      </c>
      <c r="G2247" s="0" t="s">
        <v>16</v>
      </c>
      <c r="H2247" s="0" t="n">
        <v>40</v>
      </c>
      <c r="I2247" s="0" t="s">
        <v>7506</v>
      </c>
      <c r="J2247" s="0" t="s">
        <v>7507</v>
      </c>
      <c r="K2247" s="0" t="s">
        <v>7508</v>
      </c>
      <c r="L2247" s="0" t="str">
        <f aca="false">HYPERLINK("https://www.ncbi.nlm.nih.gov/nuccore/CP000304.1?report=graph&amp;tracks=[key:gene_model_track,Options:GeneOnly]&amp;mk=642631:642650|offset_40|00cc00,642654:642673|offset_63|444444,642705:642724|offset_114|444444,642738:642757|offset_147|444444&amp;v=642430:642957&amp;c=444444", "offset 40")</f>
        <v>offset 40</v>
      </c>
    </row>
    <row r="2248" customFormat="false" ht="12.8" hidden="false" customHeight="false" outlineLevel="0" collapsed="false">
      <c r="A2248" s="0" t="s">
        <v>12</v>
      </c>
      <c r="B2248" s="0" t="n">
        <v>642653</v>
      </c>
      <c r="C2248" s="0" t="n">
        <v>642673</v>
      </c>
      <c r="D2248" s="0" t="s">
        <v>7505</v>
      </c>
      <c r="E2248" s="0" t="s">
        <v>89</v>
      </c>
      <c r="F2248" s="0" t="s">
        <v>15</v>
      </c>
      <c r="G2248" s="0" t="s">
        <v>16</v>
      </c>
      <c r="H2248" s="0" t="n">
        <v>63</v>
      </c>
      <c r="I2248" s="0" t="s">
        <v>7509</v>
      </c>
      <c r="J2248" s="0" t="s">
        <v>7510</v>
      </c>
      <c r="K2248" s="0" t="s">
        <v>7511</v>
      </c>
      <c r="L2248" s="0" t="str">
        <f aca="false">HYPERLINK("https://www.ncbi.nlm.nih.gov/nuccore/CP000304.1?report=graph&amp;tracks=[key:gene_model_track,Options:GeneOnly]&amp;mk=642631:642650|offset_40|444444,642654:642673|offset_63|00cc00,642705:642724|offset_114|444444,642738:642757|offset_147|444444&amp;v=642430:642957&amp;c=444444", "offset 63")</f>
        <v>offset 63</v>
      </c>
    </row>
    <row r="2249" customFormat="false" ht="12.8" hidden="false" customHeight="false" outlineLevel="0" collapsed="false">
      <c r="A2249" s="0" t="s">
        <v>12</v>
      </c>
      <c r="B2249" s="0" t="n">
        <v>642704</v>
      </c>
      <c r="C2249" s="0" t="n">
        <v>642724</v>
      </c>
      <c r="D2249" s="0" t="s">
        <v>7505</v>
      </c>
      <c r="E2249" s="0" t="s">
        <v>89</v>
      </c>
      <c r="F2249" s="0" t="s">
        <v>15</v>
      </c>
      <c r="G2249" s="0" t="s">
        <v>36</v>
      </c>
      <c r="H2249" s="0" t="n">
        <v>114</v>
      </c>
      <c r="I2249" s="0" t="s">
        <v>7512</v>
      </c>
      <c r="J2249" s="0" t="s">
        <v>7513</v>
      </c>
      <c r="K2249" s="0" t="s">
        <v>7514</v>
      </c>
      <c r="L2249" s="0" t="str">
        <f aca="false">HYPERLINK("https://www.ncbi.nlm.nih.gov/nuccore/CP000304.1?report=graph&amp;tracks=[key:gene_model_track,Options:GeneOnly]&amp;mk=642631:642650|offset_40|444444,642654:642673|offset_63|444444,642705:642724|offset_114|00cc00,642738:642757|offset_147|444444&amp;v=642430:642957&amp;c=444444", "offset 114")</f>
        <v>offset 114</v>
      </c>
    </row>
    <row r="2250" customFormat="false" ht="12.8" hidden="false" customHeight="false" outlineLevel="0" collapsed="false">
      <c r="A2250" s="0" t="s">
        <v>12</v>
      </c>
      <c r="B2250" s="0" t="n">
        <v>642737</v>
      </c>
      <c r="C2250" s="0" t="n">
        <v>642757</v>
      </c>
      <c r="D2250" s="0" t="s">
        <v>7505</v>
      </c>
      <c r="E2250" s="0" t="s">
        <v>89</v>
      </c>
      <c r="F2250" s="0" t="s">
        <v>15</v>
      </c>
      <c r="G2250" s="0" t="s">
        <v>16</v>
      </c>
      <c r="H2250" s="0" t="n">
        <v>147</v>
      </c>
      <c r="I2250" s="0" t="s">
        <v>7515</v>
      </c>
      <c r="J2250" s="0" t="s">
        <v>7516</v>
      </c>
      <c r="K2250" s="0" t="s">
        <v>7517</v>
      </c>
      <c r="L2250" s="0" t="str">
        <f aca="false">HYPERLINK("https://www.ncbi.nlm.nih.gov/nuccore/CP000304.1?report=graph&amp;tracks=[key:gene_model_track,Options:GeneOnly]&amp;mk=642631:642650|offset_40|444444,642654:642673|offset_63|444444,642705:642724|offset_114|444444,642738:642757|offset_147|00cc00&amp;v=642430:642957&amp;c=444444", "offset 147")</f>
        <v>offset 147</v>
      </c>
    </row>
    <row r="2251" customFormat="false" ht="12.8" hidden="false" customHeight="false" outlineLevel="0" collapsed="false">
      <c r="A2251" s="0" t="s">
        <v>12</v>
      </c>
      <c r="B2251" s="0" t="n">
        <v>646119</v>
      </c>
      <c r="C2251" s="0" t="n">
        <v>646139</v>
      </c>
      <c r="D2251" s="0" t="s">
        <v>7518</v>
      </c>
      <c r="E2251" s="0" t="s">
        <v>89</v>
      </c>
      <c r="F2251" s="0" t="s">
        <v>90</v>
      </c>
      <c r="G2251" s="0" t="s">
        <v>32</v>
      </c>
      <c r="H2251" s="0" t="n">
        <v>1</v>
      </c>
      <c r="I2251" s="0" t="s">
        <v>7519</v>
      </c>
      <c r="J2251" s="0" t="s">
        <v>7520</v>
      </c>
      <c r="K2251" s="0" t="s">
        <v>7521</v>
      </c>
      <c r="L2251" s="0" t="str">
        <f aca="false">HYPERLINK("https://www.ncbi.nlm.nih.gov/nuccore/CP000304.1?report=graph&amp;tracks=[key:gene_model_track,Options:GeneOnly]&amp;mk=646120:646139|offset_1|00cc00,646092:646111|offset_29|444444,646034:646053|offset_87|444444,645998:646017|offset_123|444444&amp;v=645919:646217&amp;c=444444", "offset 1")</f>
        <v>offset 1</v>
      </c>
    </row>
    <row r="2252" customFormat="false" ht="12.8" hidden="false" customHeight="false" outlineLevel="0" collapsed="false">
      <c r="A2252" s="0" t="s">
        <v>12</v>
      </c>
      <c r="B2252" s="0" t="n">
        <v>646091</v>
      </c>
      <c r="C2252" s="0" t="n">
        <v>646111</v>
      </c>
      <c r="D2252" s="0" t="s">
        <v>7518</v>
      </c>
      <c r="E2252" s="0" t="s">
        <v>89</v>
      </c>
      <c r="F2252" s="0" t="s">
        <v>90</v>
      </c>
      <c r="G2252" s="0" t="s">
        <v>32</v>
      </c>
      <c r="H2252" s="0" t="n">
        <v>29</v>
      </c>
      <c r="I2252" s="0" t="s">
        <v>7522</v>
      </c>
      <c r="J2252" s="0" t="s">
        <v>7523</v>
      </c>
      <c r="K2252" s="0" t="s">
        <v>7524</v>
      </c>
      <c r="L2252" s="0" t="str">
        <f aca="false">HYPERLINK("https://www.ncbi.nlm.nih.gov/nuccore/CP000304.1?report=graph&amp;tracks=[key:gene_model_track,Options:GeneOnly]&amp;mk=646120:646139|offset_1|444444,646092:646111|offset_29|00cc00,646034:646053|offset_87|444444,645998:646017|offset_123|444444&amp;v=645919:646217&amp;c=444444", "offset 29")</f>
        <v>offset 29</v>
      </c>
    </row>
    <row r="2253" customFormat="false" ht="12.8" hidden="false" customHeight="false" outlineLevel="0" collapsed="false">
      <c r="A2253" s="0" t="s">
        <v>12</v>
      </c>
      <c r="B2253" s="0" t="n">
        <v>646033</v>
      </c>
      <c r="C2253" s="0" t="n">
        <v>646053</v>
      </c>
      <c r="D2253" s="0" t="s">
        <v>7518</v>
      </c>
      <c r="E2253" s="0" t="s">
        <v>89</v>
      </c>
      <c r="F2253" s="0" t="s">
        <v>90</v>
      </c>
      <c r="G2253" s="0" t="s">
        <v>16</v>
      </c>
      <c r="H2253" s="0" t="n">
        <v>87</v>
      </c>
      <c r="I2253" s="0" t="s">
        <v>7525</v>
      </c>
      <c r="J2253" s="0" t="s">
        <v>7526</v>
      </c>
      <c r="K2253" s="0" t="s">
        <v>7527</v>
      </c>
      <c r="L2253" s="0" t="str">
        <f aca="false">HYPERLINK("https://www.ncbi.nlm.nih.gov/nuccore/CP000304.1?report=graph&amp;tracks=[key:gene_model_track,Options:GeneOnly]&amp;mk=646120:646139|offset_1|444444,646092:646111|offset_29|444444,646034:646053|offset_87|00cc00,645998:646017|offset_123|444444&amp;v=645919:646217&amp;c=444444", "offset 87")</f>
        <v>offset 87</v>
      </c>
    </row>
    <row r="2254" customFormat="false" ht="12.8" hidden="false" customHeight="false" outlineLevel="0" collapsed="false">
      <c r="A2254" s="0" t="s">
        <v>12</v>
      </c>
      <c r="B2254" s="0" t="n">
        <v>645997</v>
      </c>
      <c r="C2254" s="0" t="n">
        <v>646017</v>
      </c>
      <c r="D2254" s="0" t="s">
        <v>7518</v>
      </c>
      <c r="E2254" s="0" t="s">
        <v>89</v>
      </c>
      <c r="F2254" s="0" t="s">
        <v>90</v>
      </c>
      <c r="G2254" s="0" t="s">
        <v>36</v>
      </c>
      <c r="H2254" s="0" t="n">
        <v>123</v>
      </c>
      <c r="I2254" s="0" t="s">
        <v>7528</v>
      </c>
      <c r="J2254" s="0" t="s">
        <v>7529</v>
      </c>
      <c r="K2254" s="0" t="s">
        <v>7530</v>
      </c>
      <c r="L2254" s="0" t="str">
        <f aca="false">HYPERLINK("https://www.ncbi.nlm.nih.gov/nuccore/CP000304.1?report=graph&amp;tracks=[key:gene_model_track,Options:GeneOnly]&amp;mk=646120:646139|offset_1|444444,646092:646111|offset_29|444444,646034:646053|offset_87|444444,645998:646017|offset_123|00cc00&amp;v=645919:646217&amp;c=444444", "offset 123")</f>
        <v>offset 123</v>
      </c>
    </row>
    <row r="2255" customFormat="false" ht="12.8" hidden="false" customHeight="false" outlineLevel="0" collapsed="false">
      <c r="A2255" s="0" t="s">
        <v>12</v>
      </c>
      <c r="B2255" s="0" t="n">
        <v>646603</v>
      </c>
      <c r="C2255" s="0" t="n">
        <v>646623</v>
      </c>
      <c r="D2255" s="0" t="s">
        <v>7531</v>
      </c>
      <c r="E2255" s="0" t="s">
        <v>89</v>
      </c>
      <c r="F2255" s="0" t="s">
        <v>15</v>
      </c>
      <c r="G2255" s="0" t="s">
        <v>36</v>
      </c>
      <c r="H2255" s="0" t="n">
        <v>40</v>
      </c>
      <c r="I2255" s="0" t="s">
        <v>7532</v>
      </c>
      <c r="J2255" s="0" t="s">
        <v>7533</v>
      </c>
      <c r="K2255" s="0" t="s">
        <v>7534</v>
      </c>
      <c r="L2255" s="0" t="str">
        <f aca="false">HYPERLINK("https://www.ncbi.nlm.nih.gov/nuccore/CP000304.1?report=graph&amp;tracks=[key:gene_model_track,Options:GeneOnly]&amp;mk=646604:646623|offset_40|00cc00,646624:646643|offset_60|444444,646679:646698|offset_115|444444,646707:646726|offset_143|444444&amp;v=646403:646926&amp;c=444444", "offset 40")</f>
        <v>offset 40</v>
      </c>
    </row>
    <row r="2256" customFormat="false" ht="12.8" hidden="false" customHeight="false" outlineLevel="0" collapsed="false">
      <c r="A2256" s="0" t="s">
        <v>12</v>
      </c>
      <c r="B2256" s="0" t="n">
        <v>646623</v>
      </c>
      <c r="C2256" s="0" t="n">
        <v>646643</v>
      </c>
      <c r="D2256" s="0" t="s">
        <v>7531</v>
      </c>
      <c r="E2256" s="0" t="s">
        <v>89</v>
      </c>
      <c r="F2256" s="0" t="s">
        <v>15</v>
      </c>
      <c r="G2256" s="0" t="s">
        <v>16</v>
      </c>
      <c r="H2256" s="0" t="n">
        <v>60</v>
      </c>
      <c r="I2256" s="0" t="s">
        <v>7535</v>
      </c>
      <c r="J2256" s="0" t="s">
        <v>7536</v>
      </c>
      <c r="K2256" s="0" t="s">
        <v>7537</v>
      </c>
      <c r="L2256" s="0" t="str">
        <f aca="false">HYPERLINK("https://www.ncbi.nlm.nih.gov/nuccore/CP000304.1?report=graph&amp;tracks=[key:gene_model_track,Options:GeneOnly]&amp;mk=646604:646623|offset_40|444444,646624:646643|offset_60|00cc00,646679:646698|offset_115|444444,646707:646726|offset_143|444444&amp;v=646403:646926&amp;c=444444", "offset 60")</f>
        <v>offset 60</v>
      </c>
    </row>
    <row r="2257" customFormat="false" ht="12.8" hidden="false" customHeight="false" outlineLevel="0" collapsed="false">
      <c r="A2257" s="0" t="s">
        <v>12</v>
      </c>
      <c r="B2257" s="0" t="n">
        <v>646678</v>
      </c>
      <c r="C2257" s="0" t="n">
        <v>646698</v>
      </c>
      <c r="D2257" s="0" t="s">
        <v>7531</v>
      </c>
      <c r="E2257" s="0" t="s">
        <v>89</v>
      </c>
      <c r="F2257" s="0" t="s">
        <v>15</v>
      </c>
      <c r="G2257" s="0" t="s">
        <v>36</v>
      </c>
      <c r="H2257" s="0" t="n">
        <v>115</v>
      </c>
      <c r="I2257" s="0" t="s">
        <v>7538</v>
      </c>
      <c r="J2257" s="0" t="s">
        <v>7539</v>
      </c>
      <c r="K2257" s="0" t="s">
        <v>7540</v>
      </c>
      <c r="L2257" s="0" t="str">
        <f aca="false">HYPERLINK("https://www.ncbi.nlm.nih.gov/nuccore/CP000304.1?report=graph&amp;tracks=[key:gene_model_track,Options:GeneOnly]&amp;mk=646604:646623|offset_40|444444,646624:646643|offset_60|444444,646679:646698|offset_115|00cc00,646707:646726|offset_143|444444&amp;v=646403:646926&amp;c=444444", "offset 115")</f>
        <v>offset 115</v>
      </c>
    </row>
    <row r="2258" customFormat="false" ht="12.8" hidden="false" customHeight="false" outlineLevel="0" collapsed="false">
      <c r="A2258" s="0" t="s">
        <v>12</v>
      </c>
      <c r="B2258" s="0" t="n">
        <v>646706</v>
      </c>
      <c r="C2258" s="0" t="n">
        <v>646726</v>
      </c>
      <c r="D2258" s="0" t="s">
        <v>7531</v>
      </c>
      <c r="E2258" s="0" t="s">
        <v>89</v>
      </c>
      <c r="F2258" s="0" t="s">
        <v>15</v>
      </c>
      <c r="G2258" s="0" t="s">
        <v>16</v>
      </c>
      <c r="H2258" s="0" t="n">
        <v>143</v>
      </c>
      <c r="I2258" s="0" t="s">
        <v>7541</v>
      </c>
      <c r="J2258" s="0" t="s">
        <v>7542</v>
      </c>
      <c r="K2258" s="0" t="s">
        <v>7543</v>
      </c>
      <c r="L2258" s="0" t="str">
        <f aca="false">HYPERLINK("https://www.ncbi.nlm.nih.gov/nuccore/CP000304.1?report=graph&amp;tracks=[key:gene_model_track,Options:GeneOnly]&amp;mk=646604:646623|offset_40|444444,646624:646643|offset_60|444444,646679:646698|offset_115|444444,646707:646726|offset_143|00cc00&amp;v=646403:646926&amp;c=444444", "offset 143")</f>
        <v>offset 143</v>
      </c>
    </row>
    <row r="2259" customFormat="false" ht="12.8" hidden="false" customHeight="false" outlineLevel="0" collapsed="false">
      <c r="A2259" s="0" t="s">
        <v>12</v>
      </c>
      <c r="B2259" s="0" t="n">
        <v>647120</v>
      </c>
      <c r="C2259" s="0" t="n">
        <v>647140</v>
      </c>
      <c r="D2259" s="0" t="s">
        <v>7544</v>
      </c>
      <c r="E2259" s="0" t="s">
        <v>89</v>
      </c>
      <c r="F2259" s="0" t="s">
        <v>15</v>
      </c>
      <c r="G2259" s="0" t="s">
        <v>32</v>
      </c>
      <c r="H2259" s="0" t="n">
        <v>1</v>
      </c>
      <c r="I2259" s="0" t="s">
        <v>7545</v>
      </c>
      <c r="J2259" s="0" t="s">
        <v>7546</v>
      </c>
      <c r="K2259" s="0" t="s">
        <v>7547</v>
      </c>
      <c r="L2259" s="0" t="str">
        <f aca="false">HYPERLINK("https://www.ncbi.nlm.nih.gov/nuccore/CP000304.1?report=graph&amp;tracks=[key:gene_model_track,Options:GeneOnly]&amp;mk=647121:647140|offset_1|00cc00,647153:647172|offset_33|444444,647181:647200|offset_61|444444,647205:647224|offset_85|444444&amp;v=646920:647424&amp;c=444444", "offset 1")</f>
        <v>offset 1</v>
      </c>
    </row>
    <row r="2260" customFormat="false" ht="12.8" hidden="false" customHeight="false" outlineLevel="0" collapsed="false">
      <c r="A2260" s="0" t="s">
        <v>12</v>
      </c>
      <c r="B2260" s="0" t="n">
        <v>647152</v>
      </c>
      <c r="C2260" s="0" t="n">
        <v>647172</v>
      </c>
      <c r="D2260" s="0" t="s">
        <v>7544</v>
      </c>
      <c r="E2260" s="0" t="s">
        <v>89</v>
      </c>
      <c r="F2260" s="0" t="s">
        <v>15</v>
      </c>
      <c r="G2260" s="0" t="s">
        <v>36</v>
      </c>
      <c r="H2260" s="0" t="n">
        <v>33</v>
      </c>
      <c r="I2260" s="0" t="s">
        <v>7548</v>
      </c>
      <c r="J2260" s="0" t="s">
        <v>7549</v>
      </c>
      <c r="K2260" s="0" t="s">
        <v>7550</v>
      </c>
      <c r="L2260" s="0" t="str">
        <f aca="false">HYPERLINK("https://www.ncbi.nlm.nih.gov/nuccore/CP000304.1?report=graph&amp;tracks=[key:gene_model_track,Options:GeneOnly]&amp;mk=647121:647140|offset_1|444444,647153:647172|offset_33|00cc00,647181:647200|offset_61|444444,647205:647224|offset_85|444444&amp;v=646920:647424&amp;c=444444", "offset 33")</f>
        <v>offset 33</v>
      </c>
    </row>
    <row r="2261" customFormat="false" ht="12.8" hidden="false" customHeight="false" outlineLevel="0" collapsed="false">
      <c r="A2261" s="0" t="s">
        <v>12</v>
      </c>
      <c r="B2261" s="0" t="n">
        <v>647180</v>
      </c>
      <c r="C2261" s="0" t="n">
        <v>647200</v>
      </c>
      <c r="D2261" s="0" t="s">
        <v>7544</v>
      </c>
      <c r="E2261" s="0" t="s">
        <v>89</v>
      </c>
      <c r="F2261" s="0" t="s">
        <v>15</v>
      </c>
      <c r="G2261" s="0" t="s">
        <v>26</v>
      </c>
      <c r="H2261" s="0" t="n">
        <v>61</v>
      </c>
      <c r="I2261" s="0" t="s">
        <v>7551</v>
      </c>
      <c r="J2261" s="0" t="s">
        <v>7552</v>
      </c>
      <c r="K2261" s="0" t="s">
        <v>7553</v>
      </c>
      <c r="L2261" s="0" t="str">
        <f aca="false">HYPERLINK("https://www.ncbi.nlm.nih.gov/nuccore/CP000304.1?report=graph&amp;tracks=[key:gene_model_track,Options:GeneOnly]&amp;mk=647121:647140|offset_1|444444,647153:647172|offset_33|444444,647181:647200|offset_61|00cc00,647205:647224|offset_85|444444&amp;v=646920:647424&amp;c=444444", "offset 61")</f>
        <v>offset 61</v>
      </c>
    </row>
    <row r="2262" customFormat="false" ht="12.8" hidden="false" customHeight="false" outlineLevel="0" collapsed="false">
      <c r="A2262" s="0" t="s">
        <v>12</v>
      </c>
      <c r="B2262" s="0" t="n">
        <v>647204</v>
      </c>
      <c r="C2262" s="0" t="n">
        <v>647224</v>
      </c>
      <c r="D2262" s="0" t="s">
        <v>7544</v>
      </c>
      <c r="E2262" s="0" t="s">
        <v>89</v>
      </c>
      <c r="F2262" s="0" t="s">
        <v>15</v>
      </c>
      <c r="G2262" s="0" t="s">
        <v>26</v>
      </c>
      <c r="H2262" s="0" t="n">
        <v>85</v>
      </c>
      <c r="I2262" s="0" t="s">
        <v>7554</v>
      </c>
      <c r="J2262" s="0" t="s">
        <v>7555</v>
      </c>
      <c r="K2262" s="0" t="s">
        <v>7556</v>
      </c>
      <c r="L2262" s="0" t="str">
        <f aca="false">HYPERLINK("https://www.ncbi.nlm.nih.gov/nuccore/CP000304.1?report=graph&amp;tracks=[key:gene_model_track,Options:GeneOnly]&amp;mk=647121:647140|offset_1|444444,647153:647172|offset_33|444444,647181:647200|offset_61|444444,647205:647224|offset_85|00cc00&amp;v=646920:647424&amp;c=444444", "offset 85")</f>
        <v>offset 85</v>
      </c>
    </row>
    <row r="2263" customFormat="false" ht="12.8" hidden="false" customHeight="false" outlineLevel="0" collapsed="false">
      <c r="A2263" s="0" t="s">
        <v>12</v>
      </c>
      <c r="B2263" s="0" t="n">
        <v>647768</v>
      </c>
      <c r="C2263" s="0" t="n">
        <v>647788</v>
      </c>
      <c r="D2263" s="0" t="s">
        <v>7557</v>
      </c>
      <c r="E2263" s="0" t="s">
        <v>89</v>
      </c>
      <c r="F2263" s="0" t="s">
        <v>15</v>
      </c>
      <c r="G2263" s="0" t="s">
        <v>32</v>
      </c>
      <c r="H2263" s="0" t="n">
        <v>37</v>
      </c>
      <c r="I2263" s="0" t="s">
        <v>7558</v>
      </c>
      <c r="J2263" s="0" t="s">
        <v>7559</v>
      </c>
      <c r="K2263" s="0" t="s">
        <v>7560</v>
      </c>
      <c r="L2263" s="0" t="str">
        <f aca="false">HYPERLINK("https://www.ncbi.nlm.nih.gov/nuccore/CP000304.1?report=graph&amp;tracks=[key:gene_model_track,Options:GeneOnly]&amp;mk=647769:647788|offset_37|00cc00,647791:647810|offset_59|444444,647853:647872|offset_121|444444,647873:647892|offset_141|444444&amp;v=647568:648092&amp;c=444444", "offset 37")</f>
        <v>offset 37</v>
      </c>
    </row>
    <row r="2264" customFormat="false" ht="12.8" hidden="false" customHeight="false" outlineLevel="0" collapsed="false">
      <c r="A2264" s="0" t="s">
        <v>12</v>
      </c>
      <c r="B2264" s="0" t="n">
        <v>647790</v>
      </c>
      <c r="C2264" s="0" t="n">
        <v>647810</v>
      </c>
      <c r="D2264" s="0" t="s">
        <v>7557</v>
      </c>
      <c r="E2264" s="0" t="s">
        <v>89</v>
      </c>
      <c r="F2264" s="0" t="s">
        <v>15</v>
      </c>
      <c r="G2264" s="0" t="s">
        <v>26</v>
      </c>
      <c r="H2264" s="0" t="n">
        <v>59</v>
      </c>
      <c r="I2264" s="0" t="s">
        <v>7561</v>
      </c>
      <c r="J2264" s="0" t="s">
        <v>7562</v>
      </c>
      <c r="K2264" s="0" t="s">
        <v>7563</v>
      </c>
      <c r="L2264" s="0" t="str">
        <f aca="false">HYPERLINK("https://www.ncbi.nlm.nih.gov/nuccore/CP000304.1?report=graph&amp;tracks=[key:gene_model_track,Options:GeneOnly]&amp;mk=647769:647788|offset_37|444444,647791:647810|offset_59|00cc00,647853:647872|offset_121|444444,647873:647892|offset_141|444444&amp;v=647568:648092&amp;c=444444", "offset 59")</f>
        <v>offset 59</v>
      </c>
    </row>
    <row r="2265" customFormat="false" ht="12.8" hidden="false" customHeight="false" outlineLevel="0" collapsed="false">
      <c r="A2265" s="0" t="s">
        <v>12</v>
      </c>
      <c r="B2265" s="0" t="n">
        <v>647852</v>
      </c>
      <c r="C2265" s="0" t="n">
        <v>647872</v>
      </c>
      <c r="D2265" s="0" t="s">
        <v>7557</v>
      </c>
      <c r="E2265" s="0" t="s">
        <v>89</v>
      </c>
      <c r="F2265" s="0" t="s">
        <v>15</v>
      </c>
      <c r="G2265" s="0" t="s">
        <v>32</v>
      </c>
      <c r="H2265" s="0" t="n">
        <v>121</v>
      </c>
      <c r="I2265" s="0" t="s">
        <v>7564</v>
      </c>
      <c r="J2265" s="0" t="s">
        <v>7565</v>
      </c>
      <c r="K2265" s="0" t="s">
        <v>7566</v>
      </c>
      <c r="L2265" s="0" t="str">
        <f aca="false">HYPERLINK("https://www.ncbi.nlm.nih.gov/nuccore/CP000304.1?report=graph&amp;tracks=[key:gene_model_track,Options:GeneOnly]&amp;mk=647769:647788|offset_37|444444,647791:647810|offset_59|444444,647853:647872|offset_121|00cc00,647873:647892|offset_141|444444&amp;v=647568:648092&amp;c=444444", "offset 121")</f>
        <v>offset 121</v>
      </c>
    </row>
    <row r="2266" customFormat="false" ht="12.8" hidden="false" customHeight="false" outlineLevel="0" collapsed="false">
      <c r="A2266" s="0" t="s">
        <v>12</v>
      </c>
      <c r="B2266" s="0" t="n">
        <v>647872</v>
      </c>
      <c r="C2266" s="0" t="n">
        <v>647892</v>
      </c>
      <c r="D2266" s="0" t="s">
        <v>7557</v>
      </c>
      <c r="E2266" s="0" t="s">
        <v>89</v>
      </c>
      <c r="F2266" s="0" t="s">
        <v>15</v>
      </c>
      <c r="G2266" s="0" t="s">
        <v>32</v>
      </c>
      <c r="H2266" s="0" t="n">
        <v>141</v>
      </c>
      <c r="I2266" s="0" t="s">
        <v>7567</v>
      </c>
      <c r="J2266" s="0" t="s">
        <v>7568</v>
      </c>
      <c r="K2266" s="0" t="s">
        <v>7569</v>
      </c>
      <c r="L2266" s="0" t="str">
        <f aca="false">HYPERLINK("https://www.ncbi.nlm.nih.gov/nuccore/CP000304.1?report=graph&amp;tracks=[key:gene_model_track,Options:GeneOnly]&amp;mk=647769:647788|offset_37|444444,647791:647810|offset_59|444444,647853:647872|offset_121|444444,647873:647892|offset_141|00cc00&amp;v=647568:648092&amp;c=444444", "offset 141")</f>
        <v>offset 141</v>
      </c>
    </row>
    <row r="2267" customFormat="false" ht="12.8" hidden="false" customHeight="false" outlineLevel="0" collapsed="false">
      <c r="A2267" s="0" t="s">
        <v>12</v>
      </c>
      <c r="B2267" s="0" t="n">
        <v>649149</v>
      </c>
      <c r="C2267" s="0" t="n">
        <v>649169</v>
      </c>
      <c r="D2267" s="0" t="s">
        <v>7570</v>
      </c>
      <c r="E2267" s="0" t="s">
        <v>89</v>
      </c>
      <c r="F2267" s="0" t="s">
        <v>90</v>
      </c>
      <c r="G2267" s="0" t="s">
        <v>32</v>
      </c>
      <c r="H2267" s="0" t="n">
        <v>1</v>
      </c>
      <c r="I2267" s="0" t="s">
        <v>7571</v>
      </c>
      <c r="J2267" s="0" t="s">
        <v>7572</v>
      </c>
      <c r="K2267" s="0" t="s">
        <v>7573</v>
      </c>
      <c r="L2267" s="0" t="str">
        <f aca="false">HYPERLINK("https://www.ncbi.nlm.nih.gov/nuccore/CP000304.1?report=graph&amp;tracks=[key:gene_model_track,Options:GeneOnly]&amp;mk=649150:649169|offset_1|00cc00,649126:649145|offset_25|444444,649038:649057|offset_113|444444,649000:649019|offset_151|444444&amp;v=648949:649219&amp;c=444444", "offset 1")</f>
        <v>offset 1</v>
      </c>
    </row>
    <row r="2268" customFormat="false" ht="12.8" hidden="false" customHeight="false" outlineLevel="0" collapsed="false">
      <c r="A2268" s="0" t="s">
        <v>12</v>
      </c>
      <c r="B2268" s="0" t="n">
        <v>649125</v>
      </c>
      <c r="C2268" s="0" t="n">
        <v>649145</v>
      </c>
      <c r="D2268" s="0" t="s">
        <v>7570</v>
      </c>
      <c r="E2268" s="0" t="s">
        <v>89</v>
      </c>
      <c r="F2268" s="0" t="s">
        <v>90</v>
      </c>
      <c r="G2268" s="0" t="s">
        <v>16</v>
      </c>
      <c r="H2268" s="0" t="n">
        <v>25</v>
      </c>
      <c r="I2268" s="0" t="s">
        <v>7574</v>
      </c>
      <c r="J2268" s="0" t="s">
        <v>7575</v>
      </c>
      <c r="K2268" s="0" t="s">
        <v>7576</v>
      </c>
      <c r="L2268" s="0" t="str">
        <f aca="false">HYPERLINK("https://www.ncbi.nlm.nih.gov/nuccore/CP000304.1?report=graph&amp;tracks=[key:gene_model_track,Options:GeneOnly]&amp;mk=649150:649169|offset_1|444444,649126:649145|offset_25|00cc00,649038:649057|offset_113|444444,649000:649019|offset_151|444444&amp;v=648949:649219&amp;c=444444", "offset 25")</f>
        <v>offset 25</v>
      </c>
    </row>
    <row r="2269" customFormat="false" ht="12.8" hidden="false" customHeight="false" outlineLevel="0" collapsed="false">
      <c r="A2269" s="0" t="s">
        <v>12</v>
      </c>
      <c r="B2269" s="0" t="n">
        <v>649037</v>
      </c>
      <c r="C2269" s="0" t="n">
        <v>649057</v>
      </c>
      <c r="D2269" s="0" t="s">
        <v>7570</v>
      </c>
      <c r="E2269" s="0" t="s">
        <v>89</v>
      </c>
      <c r="F2269" s="0" t="s">
        <v>90</v>
      </c>
      <c r="G2269" s="0" t="s">
        <v>32</v>
      </c>
      <c r="H2269" s="0" t="n">
        <v>113</v>
      </c>
      <c r="I2269" s="0" t="s">
        <v>7577</v>
      </c>
      <c r="J2269" s="0" t="s">
        <v>7578</v>
      </c>
      <c r="K2269" s="0" t="s">
        <v>7579</v>
      </c>
      <c r="L2269" s="0" t="str">
        <f aca="false">HYPERLINK("https://www.ncbi.nlm.nih.gov/nuccore/CP000304.1?report=graph&amp;tracks=[key:gene_model_track,Options:GeneOnly]&amp;mk=649150:649169|offset_1|444444,649126:649145|offset_25|444444,649038:649057|offset_113|00cc00,649000:649019|offset_151|444444&amp;v=648949:649219&amp;c=444444", "offset 113")</f>
        <v>offset 113</v>
      </c>
    </row>
    <row r="2270" customFormat="false" ht="12.8" hidden="false" customHeight="false" outlineLevel="0" collapsed="false">
      <c r="A2270" s="0" t="s">
        <v>12</v>
      </c>
      <c r="B2270" s="0" t="n">
        <v>648999</v>
      </c>
      <c r="C2270" s="0" t="n">
        <v>649019</v>
      </c>
      <c r="D2270" s="0" t="s">
        <v>7570</v>
      </c>
      <c r="E2270" s="0" t="s">
        <v>89</v>
      </c>
      <c r="F2270" s="0" t="s">
        <v>90</v>
      </c>
      <c r="G2270" s="0" t="s">
        <v>32</v>
      </c>
      <c r="H2270" s="0" t="n">
        <v>151</v>
      </c>
      <c r="I2270" s="0" t="s">
        <v>7580</v>
      </c>
      <c r="J2270" s="0" t="s">
        <v>7581</v>
      </c>
      <c r="K2270" s="0" t="s">
        <v>7582</v>
      </c>
      <c r="L2270" s="0" t="str">
        <f aca="false">HYPERLINK("https://www.ncbi.nlm.nih.gov/nuccore/CP000304.1?report=graph&amp;tracks=[key:gene_model_track,Options:GeneOnly]&amp;mk=649150:649169|offset_1|444444,649126:649145|offset_25|444444,649038:649057|offset_113|444444,649000:649019|offset_151|00cc00&amp;v=648949:649219&amp;c=444444", "offset 151")</f>
        <v>offset 151</v>
      </c>
    </row>
    <row r="2271" customFormat="false" ht="12.8" hidden="false" customHeight="false" outlineLevel="0" collapsed="false">
      <c r="A2271" s="0" t="s">
        <v>12</v>
      </c>
      <c r="B2271" s="0" t="n">
        <v>649210</v>
      </c>
      <c r="C2271" s="0" t="n">
        <v>649230</v>
      </c>
      <c r="D2271" s="0" t="s">
        <v>7583</v>
      </c>
      <c r="E2271" s="0" t="s">
        <v>89</v>
      </c>
      <c r="F2271" s="0" t="s">
        <v>15</v>
      </c>
      <c r="G2271" s="0" t="s">
        <v>32</v>
      </c>
      <c r="H2271" s="0" t="n">
        <v>17</v>
      </c>
      <c r="I2271" s="0" t="s">
        <v>7584</v>
      </c>
      <c r="J2271" s="0" t="s">
        <v>7585</v>
      </c>
      <c r="K2271" s="0" t="s">
        <v>7586</v>
      </c>
      <c r="L2271" s="0" t="str">
        <f aca="false">HYPERLINK("https://www.ncbi.nlm.nih.gov/nuccore/CP000304.1?report=graph&amp;tracks=[key:gene_model_track,Options:GeneOnly]&amp;mk=649211:649230|offset_17|00cc00,649251:649270|offset_57|444444,649291:649310|offset_97|444444,649321:649340|offset_127|444444&amp;v=649010:649540&amp;c=444444", "offset 17")</f>
        <v>offset 17</v>
      </c>
    </row>
    <row r="2272" customFormat="false" ht="12.8" hidden="false" customHeight="false" outlineLevel="0" collapsed="false">
      <c r="A2272" s="0" t="s">
        <v>12</v>
      </c>
      <c r="B2272" s="0" t="n">
        <v>649250</v>
      </c>
      <c r="C2272" s="0" t="n">
        <v>649270</v>
      </c>
      <c r="D2272" s="0" t="s">
        <v>7583</v>
      </c>
      <c r="E2272" s="0" t="s">
        <v>89</v>
      </c>
      <c r="F2272" s="0" t="s">
        <v>15</v>
      </c>
      <c r="G2272" s="0" t="s">
        <v>36</v>
      </c>
      <c r="H2272" s="0" t="n">
        <v>57</v>
      </c>
      <c r="I2272" s="0" t="s">
        <v>7587</v>
      </c>
      <c r="J2272" s="0" t="s">
        <v>7588</v>
      </c>
      <c r="K2272" s="0" t="s">
        <v>7589</v>
      </c>
      <c r="L2272" s="0" t="str">
        <f aca="false">HYPERLINK("https://www.ncbi.nlm.nih.gov/nuccore/CP000304.1?report=graph&amp;tracks=[key:gene_model_track,Options:GeneOnly]&amp;mk=649211:649230|offset_17|444444,649251:649270|offset_57|00cc00,649291:649310|offset_97|444444,649321:649340|offset_127|444444&amp;v=649010:649540&amp;c=444444", "offset 57")</f>
        <v>offset 57</v>
      </c>
    </row>
    <row r="2273" customFormat="false" ht="12.8" hidden="false" customHeight="false" outlineLevel="0" collapsed="false">
      <c r="A2273" s="0" t="s">
        <v>12</v>
      </c>
      <c r="B2273" s="0" t="n">
        <v>649290</v>
      </c>
      <c r="C2273" s="0" t="n">
        <v>649310</v>
      </c>
      <c r="D2273" s="0" t="s">
        <v>7583</v>
      </c>
      <c r="E2273" s="0" t="s">
        <v>89</v>
      </c>
      <c r="F2273" s="0" t="s">
        <v>15</v>
      </c>
      <c r="G2273" s="0" t="s">
        <v>32</v>
      </c>
      <c r="H2273" s="0" t="n">
        <v>97</v>
      </c>
      <c r="I2273" s="0" t="s">
        <v>7590</v>
      </c>
      <c r="J2273" s="0" t="s">
        <v>7591</v>
      </c>
      <c r="K2273" s="0" t="s">
        <v>7592</v>
      </c>
      <c r="L2273" s="0" t="str">
        <f aca="false">HYPERLINK("https://www.ncbi.nlm.nih.gov/nuccore/CP000304.1?report=graph&amp;tracks=[key:gene_model_track,Options:GeneOnly]&amp;mk=649211:649230|offset_17|444444,649251:649270|offset_57|444444,649291:649310|offset_97|00cc00,649321:649340|offset_127|444444&amp;v=649010:649540&amp;c=444444", "offset 97")</f>
        <v>offset 97</v>
      </c>
    </row>
    <row r="2274" customFormat="false" ht="12.8" hidden="false" customHeight="false" outlineLevel="0" collapsed="false">
      <c r="A2274" s="0" t="s">
        <v>12</v>
      </c>
      <c r="B2274" s="0" t="n">
        <v>649320</v>
      </c>
      <c r="C2274" s="0" t="n">
        <v>649340</v>
      </c>
      <c r="D2274" s="0" t="s">
        <v>7583</v>
      </c>
      <c r="E2274" s="0" t="s">
        <v>89</v>
      </c>
      <c r="F2274" s="0" t="s">
        <v>15</v>
      </c>
      <c r="G2274" s="0" t="s">
        <v>32</v>
      </c>
      <c r="H2274" s="0" t="n">
        <v>127</v>
      </c>
      <c r="I2274" s="0" t="s">
        <v>7593</v>
      </c>
      <c r="J2274" s="0" t="s">
        <v>7594</v>
      </c>
      <c r="K2274" s="0" t="s">
        <v>7595</v>
      </c>
      <c r="L2274" s="0" t="str">
        <f aca="false">HYPERLINK("https://www.ncbi.nlm.nih.gov/nuccore/CP000304.1?report=graph&amp;tracks=[key:gene_model_track,Options:GeneOnly]&amp;mk=649211:649230|offset_17|444444,649251:649270|offset_57|444444,649291:649310|offset_97|444444,649321:649340|offset_127|00cc00&amp;v=649010:649540&amp;c=444444", "offset 127")</f>
        <v>offset 127</v>
      </c>
    </row>
    <row r="2275" customFormat="false" ht="12.8" hidden="false" customHeight="false" outlineLevel="0" collapsed="false">
      <c r="A2275" s="0" t="s">
        <v>12</v>
      </c>
      <c r="B2275" s="0" t="n">
        <v>649981</v>
      </c>
      <c r="C2275" s="0" t="n">
        <v>650001</v>
      </c>
      <c r="D2275" s="0" t="s">
        <v>7596</v>
      </c>
      <c r="E2275" s="0" t="s">
        <v>89</v>
      </c>
      <c r="F2275" s="0" t="s">
        <v>15</v>
      </c>
      <c r="G2275" s="0" t="s">
        <v>26</v>
      </c>
      <c r="H2275" s="0" t="n">
        <v>107</v>
      </c>
      <c r="I2275" s="0" t="s">
        <v>7597</v>
      </c>
      <c r="J2275" s="0" t="s">
        <v>7598</v>
      </c>
      <c r="K2275" s="0" t="s">
        <v>7599</v>
      </c>
      <c r="L2275" s="0" t="str">
        <f aca="false">HYPERLINK("https://www.ncbi.nlm.nih.gov/nuccore/CP000304.1?report=graph&amp;tracks=[key:gene_model_track,Options:GeneOnly]&amp;mk=649982:650001|offset_107|00cc00,650029:650048|offset_154|444444,650057:650076|offset_182|444444,650077:650096|offset_202|444444&amp;v=649781:650296&amp;c=444444", "offset 107")</f>
        <v>offset 107</v>
      </c>
    </row>
    <row r="2276" customFormat="false" ht="12.8" hidden="false" customHeight="false" outlineLevel="0" collapsed="false">
      <c r="A2276" s="0" t="s">
        <v>12</v>
      </c>
      <c r="B2276" s="0" t="n">
        <v>650028</v>
      </c>
      <c r="C2276" s="0" t="n">
        <v>650048</v>
      </c>
      <c r="D2276" s="0" t="s">
        <v>7596</v>
      </c>
      <c r="E2276" s="0" t="s">
        <v>89</v>
      </c>
      <c r="F2276" s="0" t="s">
        <v>15</v>
      </c>
      <c r="G2276" s="0" t="s">
        <v>16</v>
      </c>
      <c r="H2276" s="0" t="n">
        <v>154</v>
      </c>
      <c r="I2276" s="0" t="s">
        <v>7600</v>
      </c>
      <c r="J2276" s="0" t="s">
        <v>7601</v>
      </c>
      <c r="K2276" s="0" t="s">
        <v>7602</v>
      </c>
      <c r="L2276" s="0" t="str">
        <f aca="false">HYPERLINK("https://www.ncbi.nlm.nih.gov/nuccore/CP000304.1?report=graph&amp;tracks=[key:gene_model_track,Options:GeneOnly]&amp;mk=649982:650001|offset_107|444444,650029:650048|offset_154|00cc00,650057:650076|offset_182|444444,650077:650096|offset_202|444444&amp;v=649781:650296&amp;c=444444", "offset 154")</f>
        <v>offset 154</v>
      </c>
    </row>
    <row r="2277" customFormat="false" ht="12.8" hidden="false" customHeight="false" outlineLevel="0" collapsed="false">
      <c r="A2277" s="0" t="s">
        <v>12</v>
      </c>
      <c r="B2277" s="0" t="n">
        <v>650056</v>
      </c>
      <c r="C2277" s="0" t="n">
        <v>650076</v>
      </c>
      <c r="D2277" s="0" t="s">
        <v>7596</v>
      </c>
      <c r="E2277" s="0" t="s">
        <v>89</v>
      </c>
      <c r="F2277" s="0" t="s">
        <v>15</v>
      </c>
      <c r="G2277" s="0" t="s">
        <v>36</v>
      </c>
      <c r="H2277" s="0" t="n">
        <v>182</v>
      </c>
      <c r="I2277" s="0" t="s">
        <v>7603</v>
      </c>
      <c r="J2277" s="0" t="s">
        <v>7604</v>
      </c>
      <c r="K2277" s="0" t="s">
        <v>7605</v>
      </c>
      <c r="L2277" s="0" t="str">
        <f aca="false">HYPERLINK("https://www.ncbi.nlm.nih.gov/nuccore/CP000304.1?report=graph&amp;tracks=[key:gene_model_track,Options:GeneOnly]&amp;mk=649982:650001|offset_107|444444,650029:650048|offset_154|444444,650057:650076|offset_182|00cc00,650077:650096|offset_202|444444&amp;v=649781:650296&amp;c=444444", "offset 182")</f>
        <v>offset 182</v>
      </c>
    </row>
    <row r="2278" customFormat="false" ht="12.8" hidden="false" customHeight="false" outlineLevel="0" collapsed="false">
      <c r="A2278" s="0" t="s">
        <v>12</v>
      </c>
      <c r="B2278" s="0" t="n">
        <v>650076</v>
      </c>
      <c r="C2278" s="0" t="n">
        <v>650096</v>
      </c>
      <c r="D2278" s="0" t="s">
        <v>7596</v>
      </c>
      <c r="E2278" s="0" t="s">
        <v>89</v>
      </c>
      <c r="F2278" s="0" t="s">
        <v>15</v>
      </c>
      <c r="G2278" s="0" t="s">
        <v>32</v>
      </c>
      <c r="H2278" s="0" t="n">
        <v>202</v>
      </c>
      <c r="I2278" s="0" t="s">
        <v>7606</v>
      </c>
      <c r="J2278" s="0" t="s">
        <v>7607</v>
      </c>
      <c r="K2278" s="0" t="s">
        <v>7608</v>
      </c>
      <c r="L2278" s="0" t="str">
        <f aca="false">HYPERLINK("https://www.ncbi.nlm.nih.gov/nuccore/CP000304.1?report=graph&amp;tracks=[key:gene_model_track,Options:GeneOnly]&amp;mk=649982:650001|offset_107|444444,650029:650048|offset_154|444444,650057:650076|offset_182|444444,650077:650096|offset_202|00cc00&amp;v=649781:650296&amp;c=444444", "offset 202")</f>
        <v>offset 202</v>
      </c>
    </row>
    <row r="2279" customFormat="false" ht="12.8" hidden="false" customHeight="false" outlineLevel="0" collapsed="false">
      <c r="A2279" s="0" t="s">
        <v>12</v>
      </c>
      <c r="B2279" s="0" t="n">
        <v>651416</v>
      </c>
      <c r="C2279" s="0" t="n">
        <v>651436</v>
      </c>
      <c r="D2279" s="0" t="s">
        <v>7609</v>
      </c>
      <c r="E2279" s="0" t="s">
        <v>89</v>
      </c>
      <c r="F2279" s="0" t="s">
        <v>15</v>
      </c>
      <c r="G2279" s="0" t="s">
        <v>36</v>
      </c>
      <c r="H2279" s="0" t="n">
        <v>10</v>
      </c>
      <c r="I2279" s="0" t="s">
        <v>7610</v>
      </c>
      <c r="J2279" s="0" t="s">
        <v>7611</v>
      </c>
      <c r="K2279" s="0" t="s">
        <v>7612</v>
      </c>
      <c r="L2279" s="0" t="str">
        <f aca="false">HYPERLINK("https://www.ncbi.nlm.nih.gov/nuccore/CP000304.1?report=graph&amp;tracks=[key:gene_model_track,Options:GeneOnly]&amp;mk=651417:651436|offset_10|00cc00,651492:651511|offset_85|444444,651555:651574|offset_148|444444,651583:651602|offset_176|444444&amp;v=651216:651802&amp;c=444444", "offset 10")</f>
        <v>offset 10</v>
      </c>
    </row>
    <row r="2280" customFormat="false" ht="12.8" hidden="false" customHeight="false" outlineLevel="0" collapsed="false">
      <c r="A2280" s="0" t="s">
        <v>12</v>
      </c>
      <c r="B2280" s="0" t="n">
        <v>651491</v>
      </c>
      <c r="C2280" s="0" t="n">
        <v>651511</v>
      </c>
      <c r="D2280" s="0" t="s">
        <v>7609</v>
      </c>
      <c r="E2280" s="0" t="s">
        <v>89</v>
      </c>
      <c r="F2280" s="0" t="s">
        <v>15</v>
      </c>
      <c r="G2280" s="0" t="s">
        <v>36</v>
      </c>
      <c r="H2280" s="0" t="n">
        <v>85</v>
      </c>
      <c r="I2280" s="0" t="s">
        <v>7613</v>
      </c>
      <c r="J2280" s="0" t="s">
        <v>7614</v>
      </c>
      <c r="K2280" s="0" t="s">
        <v>7615</v>
      </c>
      <c r="L2280" s="0" t="str">
        <f aca="false">HYPERLINK("https://www.ncbi.nlm.nih.gov/nuccore/CP000304.1?report=graph&amp;tracks=[key:gene_model_track,Options:GeneOnly]&amp;mk=651417:651436|offset_10|444444,651492:651511|offset_85|00cc00,651555:651574|offset_148|444444,651583:651602|offset_176|444444&amp;v=651216:651802&amp;c=444444", "offset 85")</f>
        <v>offset 85</v>
      </c>
    </row>
    <row r="2281" customFormat="false" ht="12.8" hidden="false" customHeight="false" outlineLevel="0" collapsed="false">
      <c r="A2281" s="0" t="s">
        <v>12</v>
      </c>
      <c r="B2281" s="0" t="n">
        <v>651554</v>
      </c>
      <c r="C2281" s="0" t="n">
        <v>651574</v>
      </c>
      <c r="D2281" s="0" t="s">
        <v>7609</v>
      </c>
      <c r="E2281" s="0" t="s">
        <v>89</v>
      </c>
      <c r="F2281" s="0" t="s">
        <v>15</v>
      </c>
      <c r="G2281" s="0" t="s">
        <v>16</v>
      </c>
      <c r="H2281" s="0" t="n">
        <v>148</v>
      </c>
      <c r="I2281" s="0" t="s">
        <v>7616</v>
      </c>
      <c r="J2281" s="0" t="s">
        <v>7617</v>
      </c>
      <c r="K2281" s="0" t="s">
        <v>7618</v>
      </c>
      <c r="L2281" s="0" t="str">
        <f aca="false">HYPERLINK("https://www.ncbi.nlm.nih.gov/nuccore/CP000304.1?report=graph&amp;tracks=[key:gene_model_track,Options:GeneOnly]&amp;mk=651417:651436|offset_10|444444,651492:651511|offset_85|444444,651555:651574|offset_148|00cc00,651583:651602|offset_176|444444&amp;v=651216:651802&amp;c=444444", "offset 148")</f>
        <v>offset 148</v>
      </c>
    </row>
    <row r="2282" customFormat="false" ht="12.8" hidden="false" customHeight="false" outlineLevel="0" collapsed="false">
      <c r="A2282" s="0" t="s">
        <v>12</v>
      </c>
      <c r="B2282" s="0" t="n">
        <v>651582</v>
      </c>
      <c r="C2282" s="0" t="n">
        <v>651602</v>
      </c>
      <c r="D2282" s="0" t="s">
        <v>7609</v>
      </c>
      <c r="E2282" s="0" t="s">
        <v>89</v>
      </c>
      <c r="F2282" s="0" t="s">
        <v>15</v>
      </c>
      <c r="G2282" s="0" t="s">
        <v>16</v>
      </c>
      <c r="H2282" s="0" t="n">
        <v>176</v>
      </c>
      <c r="I2282" s="0" t="s">
        <v>7619</v>
      </c>
      <c r="J2282" s="0" t="s">
        <v>7620</v>
      </c>
      <c r="K2282" s="0" t="s">
        <v>7621</v>
      </c>
      <c r="L2282" s="0" t="str">
        <f aca="false">HYPERLINK("https://www.ncbi.nlm.nih.gov/nuccore/CP000304.1?report=graph&amp;tracks=[key:gene_model_track,Options:GeneOnly]&amp;mk=651417:651436|offset_10|444444,651492:651511|offset_85|444444,651555:651574|offset_148|444444,651583:651602|offset_176|00cc00&amp;v=651216:651802&amp;c=444444", "offset 176")</f>
        <v>offset 176</v>
      </c>
    </row>
    <row r="2283" customFormat="false" ht="12.8" hidden="false" customHeight="false" outlineLevel="0" collapsed="false">
      <c r="A2283" s="0" t="s">
        <v>12</v>
      </c>
      <c r="B2283" s="0" t="n">
        <v>652739</v>
      </c>
      <c r="C2283" s="0" t="n">
        <v>652759</v>
      </c>
      <c r="D2283" s="0" t="s">
        <v>7622</v>
      </c>
      <c r="E2283" s="0" t="s">
        <v>89</v>
      </c>
      <c r="F2283" s="0" t="s">
        <v>15</v>
      </c>
      <c r="G2283" s="0" t="s">
        <v>32</v>
      </c>
      <c r="H2283" s="0" t="n">
        <v>11</v>
      </c>
      <c r="I2283" s="0" t="s">
        <v>7623</v>
      </c>
      <c r="J2283" s="0" t="s">
        <v>7624</v>
      </c>
      <c r="K2283" s="0" t="s">
        <v>7625</v>
      </c>
      <c r="L2283" s="0" t="str">
        <f aca="false">HYPERLINK("https://www.ncbi.nlm.nih.gov/nuccore/CP000304.1?report=graph&amp;tracks=[key:gene_model_track,Options:GeneOnly]&amp;mk=652740:652759|offset_11|00cc00,652765:652784|offset_36|444444,652795:652814|offset_66|444444,652839:652858|offset_110|444444&amp;v=652539:653058&amp;c=444444", "offset 11")</f>
        <v>offset 11</v>
      </c>
    </row>
    <row r="2284" customFormat="false" ht="12.8" hidden="false" customHeight="false" outlineLevel="0" collapsed="false">
      <c r="A2284" s="0" t="s">
        <v>12</v>
      </c>
      <c r="B2284" s="0" t="n">
        <v>652764</v>
      </c>
      <c r="C2284" s="0" t="n">
        <v>652784</v>
      </c>
      <c r="D2284" s="0" t="s">
        <v>7622</v>
      </c>
      <c r="E2284" s="0" t="s">
        <v>89</v>
      </c>
      <c r="F2284" s="0" t="s">
        <v>15</v>
      </c>
      <c r="G2284" s="0" t="s">
        <v>32</v>
      </c>
      <c r="H2284" s="0" t="n">
        <v>36</v>
      </c>
      <c r="I2284" s="0" t="s">
        <v>7626</v>
      </c>
      <c r="J2284" s="0" t="s">
        <v>7627</v>
      </c>
      <c r="K2284" s="0" t="s">
        <v>7628</v>
      </c>
      <c r="L2284" s="0" t="str">
        <f aca="false">HYPERLINK("https://www.ncbi.nlm.nih.gov/nuccore/CP000304.1?report=graph&amp;tracks=[key:gene_model_track,Options:GeneOnly]&amp;mk=652740:652759|offset_11|444444,652765:652784|offset_36|00cc00,652795:652814|offset_66|444444,652839:652858|offset_110|444444&amp;v=652539:653058&amp;c=444444", "offset 36")</f>
        <v>offset 36</v>
      </c>
    </row>
    <row r="2285" customFormat="false" ht="12.8" hidden="false" customHeight="false" outlineLevel="0" collapsed="false">
      <c r="A2285" s="0" t="s">
        <v>12</v>
      </c>
      <c r="B2285" s="0" t="n">
        <v>652794</v>
      </c>
      <c r="C2285" s="0" t="n">
        <v>652814</v>
      </c>
      <c r="D2285" s="0" t="s">
        <v>7622</v>
      </c>
      <c r="E2285" s="0" t="s">
        <v>89</v>
      </c>
      <c r="F2285" s="0" t="s">
        <v>15</v>
      </c>
      <c r="G2285" s="0" t="s">
        <v>36</v>
      </c>
      <c r="H2285" s="0" t="n">
        <v>66</v>
      </c>
      <c r="I2285" s="0" t="s">
        <v>7629</v>
      </c>
      <c r="J2285" s="0" t="s">
        <v>7630</v>
      </c>
      <c r="K2285" s="0" t="s">
        <v>7631</v>
      </c>
      <c r="L2285" s="0" t="str">
        <f aca="false">HYPERLINK("https://www.ncbi.nlm.nih.gov/nuccore/CP000304.1?report=graph&amp;tracks=[key:gene_model_track,Options:GeneOnly]&amp;mk=652740:652759|offset_11|444444,652765:652784|offset_36|444444,652795:652814|offset_66|00cc00,652839:652858|offset_110|444444&amp;v=652539:653058&amp;c=444444", "offset 66")</f>
        <v>offset 66</v>
      </c>
    </row>
    <row r="2286" customFormat="false" ht="12.8" hidden="false" customHeight="false" outlineLevel="0" collapsed="false">
      <c r="A2286" s="0" t="s">
        <v>12</v>
      </c>
      <c r="B2286" s="0" t="n">
        <v>652838</v>
      </c>
      <c r="C2286" s="0" t="n">
        <v>652858</v>
      </c>
      <c r="D2286" s="0" t="s">
        <v>7622</v>
      </c>
      <c r="E2286" s="0" t="s">
        <v>89</v>
      </c>
      <c r="F2286" s="0" t="s">
        <v>15</v>
      </c>
      <c r="G2286" s="0" t="s">
        <v>26</v>
      </c>
      <c r="H2286" s="0" t="n">
        <v>110</v>
      </c>
      <c r="I2286" s="0" t="s">
        <v>7632</v>
      </c>
      <c r="J2286" s="0" t="s">
        <v>7633</v>
      </c>
      <c r="K2286" s="0" t="s">
        <v>7634</v>
      </c>
      <c r="L2286" s="0" t="str">
        <f aca="false">HYPERLINK("https://www.ncbi.nlm.nih.gov/nuccore/CP000304.1?report=graph&amp;tracks=[key:gene_model_track,Options:GeneOnly]&amp;mk=652740:652759|offset_11|444444,652765:652784|offset_36|444444,652795:652814|offset_66|444444,652839:652858|offset_110|00cc00&amp;v=652539:653058&amp;c=444444", "offset 110")</f>
        <v>offset 110</v>
      </c>
    </row>
    <row r="2287" customFormat="false" ht="12.8" hidden="false" customHeight="false" outlineLevel="0" collapsed="false">
      <c r="A2287" s="0" t="s">
        <v>12</v>
      </c>
      <c r="B2287" s="0" t="n">
        <v>655454</v>
      </c>
      <c r="C2287" s="0" t="n">
        <v>655474</v>
      </c>
      <c r="D2287" s="0" t="s">
        <v>7635</v>
      </c>
      <c r="E2287" s="0" t="s">
        <v>89</v>
      </c>
      <c r="F2287" s="0" t="s">
        <v>15</v>
      </c>
      <c r="G2287" s="0" t="s">
        <v>26</v>
      </c>
      <c r="H2287" s="0" t="n">
        <v>1</v>
      </c>
      <c r="I2287" s="0" t="s">
        <v>7636</v>
      </c>
      <c r="J2287" s="0" t="s">
        <v>7637</v>
      </c>
      <c r="K2287" s="0" t="s">
        <v>7638</v>
      </c>
      <c r="L2287" s="0" t="str">
        <f aca="false">HYPERLINK("https://www.ncbi.nlm.nih.gov/nuccore/CP000304.1?report=graph&amp;tracks=[key:gene_model_track,Options:GeneOnly]&amp;mk=655455:655474|offset_1|00cc00,655480:655499|offset_26|444444,655511:655530|offset_57|444444,655541:655560|offset_87|444444&amp;v=655254:655760&amp;c=444444", "offset 1")</f>
        <v>offset 1</v>
      </c>
    </row>
    <row r="2288" customFormat="false" ht="12.8" hidden="false" customHeight="false" outlineLevel="0" collapsed="false">
      <c r="A2288" s="0" t="s">
        <v>12</v>
      </c>
      <c r="B2288" s="0" t="n">
        <v>655479</v>
      </c>
      <c r="C2288" s="0" t="n">
        <v>655499</v>
      </c>
      <c r="D2288" s="0" t="s">
        <v>7635</v>
      </c>
      <c r="E2288" s="0" t="s">
        <v>89</v>
      </c>
      <c r="F2288" s="0" t="s">
        <v>15</v>
      </c>
      <c r="G2288" s="0" t="s">
        <v>32</v>
      </c>
      <c r="H2288" s="0" t="n">
        <v>26</v>
      </c>
      <c r="I2288" s="0" t="s">
        <v>7639</v>
      </c>
      <c r="J2288" s="0" t="s">
        <v>7640</v>
      </c>
      <c r="K2288" s="0" t="s">
        <v>7641</v>
      </c>
      <c r="L2288" s="0" t="str">
        <f aca="false">HYPERLINK("https://www.ncbi.nlm.nih.gov/nuccore/CP000304.1?report=graph&amp;tracks=[key:gene_model_track,Options:GeneOnly]&amp;mk=655455:655474|offset_1|444444,655480:655499|offset_26|00cc00,655511:655530|offset_57|444444,655541:655560|offset_87|444444&amp;v=655254:655760&amp;c=444444", "offset 26")</f>
        <v>offset 26</v>
      </c>
    </row>
    <row r="2289" customFormat="false" ht="12.8" hidden="false" customHeight="false" outlineLevel="0" collapsed="false">
      <c r="A2289" s="0" t="s">
        <v>12</v>
      </c>
      <c r="B2289" s="0" t="n">
        <v>655510</v>
      </c>
      <c r="C2289" s="0" t="n">
        <v>655530</v>
      </c>
      <c r="D2289" s="0" t="s">
        <v>7635</v>
      </c>
      <c r="E2289" s="0" t="s">
        <v>89</v>
      </c>
      <c r="F2289" s="0" t="s">
        <v>15</v>
      </c>
      <c r="G2289" s="0" t="s">
        <v>32</v>
      </c>
      <c r="H2289" s="0" t="n">
        <v>57</v>
      </c>
      <c r="I2289" s="0" t="s">
        <v>7642</v>
      </c>
      <c r="J2289" s="0" t="s">
        <v>7643</v>
      </c>
      <c r="K2289" s="0" t="s">
        <v>7644</v>
      </c>
      <c r="L2289" s="0" t="str">
        <f aca="false">HYPERLINK("https://www.ncbi.nlm.nih.gov/nuccore/CP000304.1?report=graph&amp;tracks=[key:gene_model_track,Options:GeneOnly]&amp;mk=655455:655474|offset_1|444444,655480:655499|offset_26|444444,655511:655530|offset_57|00cc00,655541:655560|offset_87|444444&amp;v=655254:655760&amp;c=444444", "offset 57")</f>
        <v>offset 57</v>
      </c>
    </row>
    <row r="2290" customFormat="false" ht="12.8" hidden="false" customHeight="false" outlineLevel="0" collapsed="false">
      <c r="A2290" s="0" t="s">
        <v>12</v>
      </c>
      <c r="B2290" s="0" t="n">
        <v>655540</v>
      </c>
      <c r="C2290" s="0" t="n">
        <v>655560</v>
      </c>
      <c r="D2290" s="0" t="s">
        <v>7635</v>
      </c>
      <c r="E2290" s="0" t="s">
        <v>89</v>
      </c>
      <c r="F2290" s="0" t="s">
        <v>15</v>
      </c>
      <c r="G2290" s="0" t="s">
        <v>36</v>
      </c>
      <c r="H2290" s="0" t="n">
        <v>87</v>
      </c>
      <c r="I2290" s="0" t="s">
        <v>7645</v>
      </c>
      <c r="J2290" s="0" t="s">
        <v>7646</v>
      </c>
      <c r="K2290" s="0" t="s">
        <v>7647</v>
      </c>
      <c r="L2290" s="0" t="str">
        <f aca="false">HYPERLINK("https://www.ncbi.nlm.nih.gov/nuccore/CP000304.1?report=graph&amp;tracks=[key:gene_model_track,Options:GeneOnly]&amp;mk=655455:655474|offset_1|444444,655480:655499|offset_26|444444,655511:655530|offset_57|444444,655541:655560|offset_87|00cc00&amp;v=655254:655760&amp;c=444444", "offset 87")</f>
        <v>offset 87</v>
      </c>
    </row>
    <row r="2291" customFormat="false" ht="12.8" hidden="false" customHeight="false" outlineLevel="0" collapsed="false">
      <c r="A2291" s="0" t="s">
        <v>12</v>
      </c>
      <c r="B2291" s="0" t="n">
        <v>659084</v>
      </c>
      <c r="C2291" s="0" t="n">
        <v>659104</v>
      </c>
      <c r="D2291" s="0" t="s">
        <v>7648</v>
      </c>
      <c r="E2291" s="0" t="s">
        <v>89</v>
      </c>
      <c r="F2291" s="0" t="s">
        <v>90</v>
      </c>
      <c r="G2291" s="0" t="s">
        <v>26</v>
      </c>
      <c r="H2291" s="0" t="n">
        <v>97</v>
      </c>
      <c r="I2291" s="0" t="s">
        <v>7649</v>
      </c>
      <c r="J2291" s="0" t="s">
        <v>7650</v>
      </c>
      <c r="K2291" s="0" t="s">
        <v>7651</v>
      </c>
      <c r="L2291" s="0" t="str">
        <f aca="false">HYPERLINK("https://www.ncbi.nlm.nih.gov/nuccore/CP000304.1?report=graph&amp;tracks=[key:gene_model_track,Options:GeneOnly]&amp;mk=659085:659104|offset_97|00cc00,659034:659053|offset_148|444444,659003:659022|offset_179|444444,658928:658947|offset_254|444444&amp;v=658884:659147&amp;c=444444", "offset 97")</f>
        <v>offset 97</v>
      </c>
    </row>
    <row r="2292" customFormat="false" ht="12.8" hidden="false" customHeight="false" outlineLevel="0" collapsed="false">
      <c r="A2292" s="0" t="s">
        <v>12</v>
      </c>
      <c r="B2292" s="0" t="n">
        <v>659033</v>
      </c>
      <c r="C2292" s="0" t="n">
        <v>659053</v>
      </c>
      <c r="D2292" s="0" t="s">
        <v>7648</v>
      </c>
      <c r="E2292" s="0" t="s">
        <v>89</v>
      </c>
      <c r="F2292" s="0" t="s">
        <v>90</v>
      </c>
      <c r="G2292" s="0" t="s">
        <v>16</v>
      </c>
      <c r="H2292" s="0" t="n">
        <v>148</v>
      </c>
      <c r="I2292" s="0" t="s">
        <v>7652</v>
      </c>
      <c r="J2292" s="0" t="s">
        <v>7653</v>
      </c>
      <c r="K2292" s="0" t="s">
        <v>7654</v>
      </c>
      <c r="L2292" s="0" t="str">
        <f aca="false">HYPERLINK("https://www.ncbi.nlm.nih.gov/nuccore/CP000304.1?report=graph&amp;tracks=[key:gene_model_track,Options:GeneOnly]&amp;mk=659085:659104|offset_97|444444,659034:659053|offset_148|00cc00,659003:659022|offset_179|444444,658928:658947|offset_254|444444&amp;v=658884:659147&amp;c=444444", "offset 148")</f>
        <v>offset 148</v>
      </c>
    </row>
    <row r="2293" customFormat="false" ht="12.8" hidden="false" customHeight="false" outlineLevel="0" collapsed="false">
      <c r="A2293" s="0" t="s">
        <v>12</v>
      </c>
      <c r="B2293" s="0" t="n">
        <v>659002</v>
      </c>
      <c r="C2293" s="0" t="n">
        <v>659022</v>
      </c>
      <c r="D2293" s="0" t="s">
        <v>7648</v>
      </c>
      <c r="E2293" s="0" t="s">
        <v>89</v>
      </c>
      <c r="F2293" s="0" t="s">
        <v>90</v>
      </c>
      <c r="G2293" s="0" t="s">
        <v>32</v>
      </c>
      <c r="H2293" s="0" t="n">
        <v>179</v>
      </c>
      <c r="I2293" s="0" t="s">
        <v>7655</v>
      </c>
      <c r="J2293" s="0" t="s">
        <v>7656</v>
      </c>
      <c r="K2293" s="0" t="s">
        <v>7657</v>
      </c>
      <c r="L2293" s="0" t="str">
        <f aca="false">HYPERLINK("https://www.ncbi.nlm.nih.gov/nuccore/CP000304.1?report=graph&amp;tracks=[key:gene_model_track,Options:GeneOnly]&amp;mk=659085:659104|offset_97|444444,659034:659053|offset_148|444444,659003:659022|offset_179|00cc00,658928:658947|offset_254|444444&amp;v=658884:659147&amp;c=444444", "offset 179")</f>
        <v>offset 179</v>
      </c>
    </row>
    <row r="2294" customFormat="false" ht="12.8" hidden="false" customHeight="false" outlineLevel="0" collapsed="false">
      <c r="A2294" s="0" t="s">
        <v>12</v>
      </c>
      <c r="B2294" s="0" t="n">
        <v>658927</v>
      </c>
      <c r="C2294" s="0" t="n">
        <v>658947</v>
      </c>
      <c r="D2294" s="0" t="s">
        <v>7648</v>
      </c>
      <c r="E2294" s="0" t="s">
        <v>89</v>
      </c>
      <c r="F2294" s="0" t="s">
        <v>90</v>
      </c>
      <c r="G2294" s="0" t="s">
        <v>16</v>
      </c>
      <c r="H2294" s="0" t="n">
        <v>254</v>
      </c>
      <c r="I2294" s="0" t="s">
        <v>7658</v>
      </c>
      <c r="J2294" s="0" t="s">
        <v>7659</v>
      </c>
      <c r="K2294" s="0" t="s">
        <v>7660</v>
      </c>
      <c r="L2294" s="0" t="str">
        <f aca="false">HYPERLINK("https://www.ncbi.nlm.nih.gov/nuccore/CP000304.1?report=graph&amp;tracks=[key:gene_model_track,Options:GeneOnly]&amp;mk=659085:659104|offset_97|444444,659034:659053|offset_148|444444,659003:659022|offset_179|444444,658928:658947|offset_254|00cc00&amp;v=658884:659147&amp;c=444444", "offset 254")</f>
        <v>offset 254</v>
      </c>
    </row>
    <row r="2295" customFormat="false" ht="12.8" hidden="false" customHeight="false" outlineLevel="0" collapsed="false">
      <c r="A2295" s="0" t="s">
        <v>12</v>
      </c>
      <c r="B2295" s="0" t="n">
        <v>659462</v>
      </c>
      <c r="C2295" s="0" t="n">
        <v>659482</v>
      </c>
      <c r="D2295" s="0" t="s">
        <v>7661</v>
      </c>
      <c r="E2295" s="0" t="s">
        <v>89</v>
      </c>
      <c r="F2295" s="0" t="s">
        <v>15</v>
      </c>
      <c r="G2295" s="0" t="s">
        <v>26</v>
      </c>
      <c r="H2295" s="0" t="n">
        <v>65</v>
      </c>
      <c r="I2295" s="0" t="s">
        <v>7662</v>
      </c>
      <c r="J2295" s="0" t="s">
        <v>7663</v>
      </c>
      <c r="K2295" s="0" t="s">
        <v>7664</v>
      </c>
      <c r="L2295" s="0" t="str">
        <f aca="false">HYPERLINK("https://www.ncbi.nlm.nih.gov/nuccore/CP000304.1?report=graph&amp;tracks=[key:gene_model_track,Options:GeneOnly]&amp;mk=659463:659482|offset_65|00cc00,659498:659517|offset_100|444444,659522:659541|offset_124|444444,659560:659579|offset_162|444444&amp;v=659262:659779&amp;c=444444", "offset 65")</f>
        <v>offset 65</v>
      </c>
    </row>
    <row r="2296" customFormat="false" ht="12.8" hidden="false" customHeight="false" outlineLevel="0" collapsed="false">
      <c r="A2296" s="0" t="s">
        <v>12</v>
      </c>
      <c r="B2296" s="0" t="n">
        <v>659497</v>
      </c>
      <c r="C2296" s="0" t="n">
        <v>659517</v>
      </c>
      <c r="D2296" s="0" t="s">
        <v>7661</v>
      </c>
      <c r="E2296" s="0" t="s">
        <v>89</v>
      </c>
      <c r="F2296" s="0" t="s">
        <v>15</v>
      </c>
      <c r="G2296" s="0" t="s">
        <v>32</v>
      </c>
      <c r="H2296" s="0" t="n">
        <v>100</v>
      </c>
      <c r="I2296" s="0" t="s">
        <v>7665</v>
      </c>
      <c r="J2296" s="0" t="s">
        <v>7666</v>
      </c>
      <c r="K2296" s="0" t="s">
        <v>7667</v>
      </c>
      <c r="L2296" s="0" t="str">
        <f aca="false">HYPERLINK("https://www.ncbi.nlm.nih.gov/nuccore/CP000304.1?report=graph&amp;tracks=[key:gene_model_track,Options:GeneOnly]&amp;mk=659463:659482|offset_65|444444,659498:659517|offset_100|00cc00,659522:659541|offset_124|444444,659560:659579|offset_162|444444&amp;v=659262:659779&amp;c=444444", "offset 100")</f>
        <v>offset 100</v>
      </c>
    </row>
    <row r="2297" customFormat="false" ht="12.8" hidden="false" customHeight="false" outlineLevel="0" collapsed="false">
      <c r="A2297" s="0" t="s">
        <v>12</v>
      </c>
      <c r="B2297" s="0" t="n">
        <v>659521</v>
      </c>
      <c r="C2297" s="0" t="n">
        <v>659541</v>
      </c>
      <c r="D2297" s="0" t="s">
        <v>7661</v>
      </c>
      <c r="E2297" s="0" t="s">
        <v>89</v>
      </c>
      <c r="F2297" s="0" t="s">
        <v>15</v>
      </c>
      <c r="G2297" s="0" t="s">
        <v>32</v>
      </c>
      <c r="H2297" s="0" t="n">
        <v>124</v>
      </c>
      <c r="I2297" s="0" t="s">
        <v>7668</v>
      </c>
      <c r="J2297" s="0" t="s">
        <v>7669</v>
      </c>
      <c r="K2297" s="0" t="s">
        <v>7670</v>
      </c>
      <c r="L2297" s="0" t="str">
        <f aca="false">HYPERLINK("https://www.ncbi.nlm.nih.gov/nuccore/CP000304.1?report=graph&amp;tracks=[key:gene_model_track,Options:GeneOnly]&amp;mk=659463:659482|offset_65|444444,659498:659517|offset_100|444444,659522:659541|offset_124|00cc00,659560:659579|offset_162|444444&amp;v=659262:659779&amp;c=444444", "offset 124")</f>
        <v>offset 124</v>
      </c>
    </row>
    <row r="2298" customFormat="false" ht="12.8" hidden="false" customHeight="false" outlineLevel="0" collapsed="false">
      <c r="A2298" s="0" t="s">
        <v>12</v>
      </c>
      <c r="B2298" s="0" t="n">
        <v>659559</v>
      </c>
      <c r="C2298" s="0" t="n">
        <v>659579</v>
      </c>
      <c r="D2298" s="0" t="s">
        <v>7661</v>
      </c>
      <c r="E2298" s="0" t="s">
        <v>89</v>
      </c>
      <c r="F2298" s="0" t="s">
        <v>15</v>
      </c>
      <c r="G2298" s="0" t="s">
        <v>16</v>
      </c>
      <c r="H2298" s="0" t="n">
        <v>162</v>
      </c>
      <c r="I2298" s="0" t="s">
        <v>7671</v>
      </c>
      <c r="J2298" s="0" t="s">
        <v>7672</v>
      </c>
      <c r="K2298" s="0" t="s">
        <v>7673</v>
      </c>
      <c r="L2298" s="0" t="str">
        <f aca="false">HYPERLINK("https://www.ncbi.nlm.nih.gov/nuccore/CP000304.1?report=graph&amp;tracks=[key:gene_model_track,Options:GeneOnly]&amp;mk=659463:659482|offset_65|444444,659498:659517|offset_100|444444,659522:659541|offset_124|444444,659560:659579|offset_162|00cc00&amp;v=659262:659779&amp;c=444444", "offset 162")</f>
        <v>offset 162</v>
      </c>
    </row>
    <row r="2299" customFormat="false" ht="12.8" hidden="false" customHeight="false" outlineLevel="0" collapsed="false">
      <c r="A2299" s="0" t="s">
        <v>12</v>
      </c>
      <c r="B2299" s="0" t="n">
        <v>660762</v>
      </c>
      <c r="C2299" s="0" t="n">
        <v>660782</v>
      </c>
      <c r="D2299" s="0" t="s">
        <v>7674</v>
      </c>
      <c r="E2299" s="0" t="s">
        <v>89</v>
      </c>
      <c r="F2299" s="0" t="s">
        <v>15</v>
      </c>
      <c r="G2299" s="0" t="s">
        <v>16</v>
      </c>
      <c r="H2299" s="0" t="n">
        <v>11</v>
      </c>
      <c r="I2299" s="0" t="s">
        <v>7675</v>
      </c>
      <c r="J2299" s="0" t="s">
        <v>7676</v>
      </c>
      <c r="K2299" s="0" t="s">
        <v>7677</v>
      </c>
      <c r="L2299" s="0" t="str">
        <f aca="false">HYPERLINK("https://www.ncbi.nlm.nih.gov/nuccore/CP000304.1?report=graph&amp;tracks=[key:gene_model_track,Options:GeneOnly]&amp;mk=660763:660782|offset_11|00cc00,660786:660805|offset_34|444444,660831:660850|offset_79|444444,660881:660900|offset_129|444444&amp;v=660562:661100&amp;c=444444", "offset 11")</f>
        <v>offset 11</v>
      </c>
    </row>
    <row r="2300" customFormat="false" ht="12.8" hidden="false" customHeight="false" outlineLevel="0" collapsed="false">
      <c r="A2300" s="0" t="s">
        <v>12</v>
      </c>
      <c r="B2300" s="0" t="n">
        <v>660785</v>
      </c>
      <c r="C2300" s="0" t="n">
        <v>660805</v>
      </c>
      <c r="D2300" s="0" t="s">
        <v>7674</v>
      </c>
      <c r="E2300" s="0" t="s">
        <v>89</v>
      </c>
      <c r="F2300" s="0" t="s">
        <v>15</v>
      </c>
      <c r="G2300" s="0" t="s">
        <v>32</v>
      </c>
      <c r="H2300" s="0" t="n">
        <v>34</v>
      </c>
      <c r="I2300" s="0" t="s">
        <v>7678</v>
      </c>
      <c r="J2300" s="0" t="s">
        <v>7679</v>
      </c>
      <c r="K2300" s="0" t="s">
        <v>7680</v>
      </c>
      <c r="L2300" s="0" t="str">
        <f aca="false">HYPERLINK("https://www.ncbi.nlm.nih.gov/nuccore/CP000304.1?report=graph&amp;tracks=[key:gene_model_track,Options:GeneOnly]&amp;mk=660763:660782|offset_11|444444,660786:660805|offset_34|00cc00,660831:660850|offset_79|444444,660881:660900|offset_129|444444&amp;v=660562:661100&amp;c=444444", "offset 34")</f>
        <v>offset 34</v>
      </c>
    </row>
    <row r="2301" customFormat="false" ht="12.8" hidden="false" customHeight="false" outlineLevel="0" collapsed="false">
      <c r="A2301" s="0" t="s">
        <v>12</v>
      </c>
      <c r="B2301" s="0" t="n">
        <v>660830</v>
      </c>
      <c r="C2301" s="0" t="n">
        <v>660850</v>
      </c>
      <c r="D2301" s="0" t="s">
        <v>7674</v>
      </c>
      <c r="E2301" s="0" t="s">
        <v>89</v>
      </c>
      <c r="F2301" s="0" t="s">
        <v>15</v>
      </c>
      <c r="G2301" s="0" t="s">
        <v>16</v>
      </c>
      <c r="H2301" s="0" t="n">
        <v>79</v>
      </c>
      <c r="I2301" s="0" t="s">
        <v>7681</v>
      </c>
      <c r="J2301" s="0" t="s">
        <v>7682</v>
      </c>
      <c r="K2301" s="0" t="s">
        <v>7683</v>
      </c>
      <c r="L2301" s="0" t="str">
        <f aca="false">HYPERLINK("https://www.ncbi.nlm.nih.gov/nuccore/CP000304.1?report=graph&amp;tracks=[key:gene_model_track,Options:GeneOnly]&amp;mk=660763:660782|offset_11|444444,660786:660805|offset_34|444444,660831:660850|offset_79|00cc00,660881:660900|offset_129|444444&amp;v=660562:661100&amp;c=444444", "offset 79")</f>
        <v>offset 79</v>
      </c>
    </row>
    <row r="2302" customFormat="false" ht="12.8" hidden="false" customHeight="false" outlineLevel="0" collapsed="false">
      <c r="A2302" s="0" t="s">
        <v>12</v>
      </c>
      <c r="B2302" s="0" t="n">
        <v>660880</v>
      </c>
      <c r="C2302" s="0" t="n">
        <v>660900</v>
      </c>
      <c r="D2302" s="0" t="s">
        <v>7674</v>
      </c>
      <c r="E2302" s="0" t="s">
        <v>89</v>
      </c>
      <c r="F2302" s="0" t="s">
        <v>15</v>
      </c>
      <c r="G2302" s="0" t="s">
        <v>16</v>
      </c>
      <c r="H2302" s="0" t="n">
        <v>129</v>
      </c>
      <c r="I2302" s="0" t="s">
        <v>7684</v>
      </c>
      <c r="J2302" s="0" t="s">
        <v>7685</v>
      </c>
      <c r="K2302" s="0" t="s">
        <v>7686</v>
      </c>
      <c r="L2302" s="0" t="str">
        <f aca="false">HYPERLINK("https://www.ncbi.nlm.nih.gov/nuccore/CP000304.1?report=graph&amp;tracks=[key:gene_model_track,Options:GeneOnly]&amp;mk=660763:660782|offset_11|444444,660786:660805|offset_34|444444,660831:660850|offset_79|444444,660881:660900|offset_129|00cc00&amp;v=660562:661100&amp;c=444444", "offset 129")</f>
        <v>offset 129</v>
      </c>
    </row>
    <row r="2303" customFormat="false" ht="12.8" hidden="false" customHeight="false" outlineLevel="0" collapsed="false">
      <c r="A2303" s="0" t="s">
        <v>12</v>
      </c>
      <c r="B2303" s="0" t="n">
        <v>662699</v>
      </c>
      <c r="C2303" s="0" t="n">
        <v>662719</v>
      </c>
      <c r="D2303" s="0" t="s">
        <v>7687</v>
      </c>
      <c r="E2303" s="0" t="s">
        <v>89</v>
      </c>
      <c r="F2303" s="0" t="s">
        <v>15</v>
      </c>
      <c r="G2303" s="0" t="s">
        <v>32</v>
      </c>
      <c r="H2303" s="0" t="n">
        <v>17</v>
      </c>
      <c r="I2303" s="0" t="s">
        <v>7688</v>
      </c>
      <c r="J2303" s="0" t="s">
        <v>7689</v>
      </c>
      <c r="K2303" s="0" t="s">
        <v>7690</v>
      </c>
      <c r="L2303" s="0" t="str">
        <f aca="false">HYPERLINK("https://www.ncbi.nlm.nih.gov/nuccore/CP000304.1?report=graph&amp;tracks=[key:gene_model_track,Options:GeneOnly]&amp;mk=662700:662719|offset_17|00cc00,662723:662742|offset_40|444444,662744:662763|offset_61|444444,662764:662783|offset_81|444444&amp;v=662499:662983&amp;c=444444", "offset 17")</f>
        <v>offset 17</v>
      </c>
    </row>
    <row r="2304" customFormat="false" ht="12.8" hidden="false" customHeight="false" outlineLevel="0" collapsed="false">
      <c r="A2304" s="0" t="s">
        <v>12</v>
      </c>
      <c r="B2304" s="0" t="n">
        <v>662722</v>
      </c>
      <c r="C2304" s="0" t="n">
        <v>662742</v>
      </c>
      <c r="D2304" s="0" t="s">
        <v>7687</v>
      </c>
      <c r="E2304" s="0" t="s">
        <v>89</v>
      </c>
      <c r="F2304" s="0" t="s">
        <v>15</v>
      </c>
      <c r="G2304" s="0" t="s">
        <v>32</v>
      </c>
      <c r="H2304" s="0" t="n">
        <v>40</v>
      </c>
      <c r="I2304" s="0" t="s">
        <v>7691</v>
      </c>
      <c r="J2304" s="0" t="s">
        <v>7692</v>
      </c>
      <c r="K2304" s="0" t="s">
        <v>7693</v>
      </c>
      <c r="L2304" s="0" t="str">
        <f aca="false">HYPERLINK("https://www.ncbi.nlm.nih.gov/nuccore/CP000304.1?report=graph&amp;tracks=[key:gene_model_track,Options:GeneOnly]&amp;mk=662700:662719|offset_17|444444,662723:662742|offset_40|00cc00,662744:662763|offset_61|444444,662764:662783|offset_81|444444&amp;v=662499:662983&amp;c=444444", "offset 40")</f>
        <v>offset 40</v>
      </c>
    </row>
    <row r="2305" customFormat="false" ht="12.8" hidden="false" customHeight="false" outlineLevel="0" collapsed="false">
      <c r="A2305" s="0" t="s">
        <v>12</v>
      </c>
      <c r="B2305" s="0" t="n">
        <v>662743</v>
      </c>
      <c r="C2305" s="0" t="n">
        <v>662763</v>
      </c>
      <c r="D2305" s="0" t="s">
        <v>7687</v>
      </c>
      <c r="E2305" s="0" t="s">
        <v>89</v>
      </c>
      <c r="F2305" s="0" t="s">
        <v>15</v>
      </c>
      <c r="G2305" s="0" t="s">
        <v>32</v>
      </c>
      <c r="H2305" s="0" t="n">
        <v>61</v>
      </c>
      <c r="I2305" s="0" t="s">
        <v>7694</v>
      </c>
      <c r="J2305" s="0" t="s">
        <v>7695</v>
      </c>
      <c r="K2305" s="0" t="s">
        <v>7696</v>
      </c>
      <c r="L2305" s="0" t="str">
        <f aca="false">HYPERLINK("https://www.ncbi.nlm.nih.gov/nuccore/CP000304.1?report=graph&amp;tracks=[key:gene_model_track,Options:GeneOnly]&amp;mk=662700:662719|offset_17|444444,662723:662742|offset_40|444444,662744:662763|offset_61|00cc00,662764:662783|offset_81|444444&amp;v=662499:662983&amp;c=444444", "offset 61")</f>
        <v>offset 61</v>
      </c>
    </row>
    <row r="2306" customFormat="false" ht="12.8" hidden="false" customHeight="false" outlineLevel="0" collapsed="false">
      <c r="A2306" s="0" t="s">
        <v>12</v>
      </c>
      <c r="B2306" s="0" t="n">
        <v>662763</v>
      </c>
      <c r="C2306" s="0" t="n">
        <v>662783</v>
      </c>
      <c r="D2306" s="0" t="s">
        <v>7687</v>
      </c>
      <c r="E2306" s="0" t="s">
        <v>89</v>
      </c>
      <c r="F2306" s="0" t="s">
        <v>15</v>
      </c>
      <c r="G2306" s="0" t="s">
        <v>16</v>
      </c>
      <c r="H2306" s="0" t="n">
        <v>81</v>
      </c>
      <c r="I2306" s="0" t="s">
        <v>7697</v>
      </c>
      <c r="J2306" s="0" t="s">
        <v>7698</v>
      </c>
      <c r="K2306" s="0" t="s">
        <v>7699</v>
      </c>
      <c r="L2306" s="0" t="str">
        <f aca="false">HYPERLINK("https://www.ncbi.nlm.nih.gov/nuccore/CP000304.1?report=graph&amp;tracks=[key:gene_model_track,Options:GeneOnly]&amp;mk=662700:662719|offset_17|444444,662723:662742|offset_40|444444,662744:662763|offset_61|444444,662764:662783|offset_81|00cc00&amp;v=662499:662983&amp;c=444444", "offset 81")</f>
        <v>offset 81</v>
      </c>
    </row>
    <row r="2307" customFormat="false" ht="12.8" hidden="false" customHeight="false" outlineLevel="0" collapsed="false">
      <c r="A2307" s="0" t="s">
        <v>12</v>
      </c>
      <c r="B2307" s="0" t="n">
        <v>664785</v>
      </c>
      <c r="C2307" s="0" t="n">
        <v>664805</v>
      </c>
      <c r="D2307" s="0" t="s">
        <v>7700</v>
      </c>
      <c r="E2307" s="0" t="s">
        <v>89</v>
      </c>
      <c r="F2307" s="0" t="s">
        <v>15</v>
      </c>
      <c r="G2307" s="0" t="s">
        <v>26</v>
      </c>
      <c r="H2307" s="0" t="n">
        <v>52</v>
      </c>
      <c r="I2307" s="0" t="s">
        <v>7701</v>
      </c>
      <c r="J2307" s="0" t="s">
        <v>7702</v>
      </c>
      <c r="K2307" s="0" t="s">
        <v>7703</v>
      </c>
      <c r="L2307" s="0" t="str">
        <f aca="false">HYPERLINK("https://www.ncbi.nlm.nih.gov/nuccore/CP000304.1?report=graph&amp;tracks=[key:gene_model_track,Options:GeneOnly]&amp;mk=664786:664805|offset_52|00cc00,664812:664831|offset_78|444444,664841:664860|offset_107|444444,664871:664890|offset_137|444444&amp;v=664585:665090&amp;c=444444", "offset 52")</f>
        <v>offset 52</v>
      </c>
    </row>
    <row r="2308" customFormat="false" ht="12.8" hidden="false" customHeight="false" outlineLevel="0" collapsed="false">
      <c r="A2308" s="0" t="s">
        <v>12</v>
      </c>
      <c r="B2308" s="0" t="n">
        <v>664811</v>
      </c>
      <c r="C2308" s="0" t="n">
        <v>664831</v>
      </c>
      <c r="D2308" s="0" t="s">
        <v>7700</v>
      </c>
      <c r="E2308" s="0" t="s">
        <v>89</v>
      </c>
      <c r="F2308" s="0" t="s">
        <v>15</v>
      </c>
      <c r="G2308" s="0" t="s">
        <v>26</v>
      </c>
      <c r="H2308" s="0" t="n">
        <v>78</v>
      </c>
      <c r="I2308" s="0" t="s">
        <v>7704</v>
      </c>
      <c r="J2308" s="0" t="s">
        <v>7705</v>
      </c>
      <c r="K2308" s="0" t="s">
        <v>7706</v>
      </c>
      <c r="L2308" s="0" t="str">
        <f aca="false">HYPERLINK("https://www.ncbi.nlm.nih.gov/nuccore/CP000304.1?report=graph&amp;tracks=[key:gene_model_track,Options:GeneOnly]&amp;mk=664786:664805|offset_52|444444,664812:664831|offset_78|00cc00,664841:664860|offset_107|444444,664871:664890|offset_137|444444&amp;v=664585:665090&amp;c=444444", "offset 78")</f>
        <v>offset 78</v>
      </c>
    </row>
    <row r="2309" customFormat="false" ht="12.8" hidden="false" customHeight="false" outlineLevel="0" collapsed="false">
      <c r="A2309" s="0" t="s">
        <v>12</v>
      </c>
      <c r="B2309" s="0" t="n">
        <v>664840</v>
      </c>
      <c r="C2309" s="0" t="n">
        <v>664860</v>
      </c>
      <c r="D2309" s="0" t="s">
        <v>7700</v>
      </c>
      <c r="E2309" s="0" t="s">
        <v>89</v>
      </c>
      <c r="F2309" s="0" t="s">
        <v>15</v>
      </c>
      <c r="G2309" s="0" t="s">
        <v>26</v>
      </c>
      <c r="H2309" s="0" t="n">
        <v>107</v>
      </c>
      <c r="I2309" s="0" t="s">
        <v>7707</v>
      </c>
      <c r="J2309" s="0" t="s">
        <v>7708</v>
      </c>
      <c r="K2309" s="0" t="s">
        <v>7709</v>
      </c>
      <c r="L2309" s="0" t="str">
        <f aca="false">HYPERLINK("https://www.ncbi.nlm.nih.gov/nuccore/CP000304.1?report=graph&amp;tracks=[key:gene_model_track,Options:GeneOnly]&amp;mk=664786:664805|offset_52|444444,664812:664831|offset_78|444444,664841:664860|offset_107|00cc00,664871:664890|offset_137|444444&amp;v=664585:665090&amp;c=444444", "offset 107")</f>
        <v>offset 107</v>
      </c>
    </row>
    <row r="2310" customFormat="false" ht="12.8" hidden="false" customHeight="false" outlineLevel="0" collapsed="false">
      <c r="A2310" s="0" t="s">
        <v>12</v>
      </c>
      <c r="B2310" s="0" t="n">
        <v>664870</v>
      </c>
      <c r="C2310" s="0" t="n">
        <v>664890</v>
      </c>
      <c r="D2310" s="0" t="s">
        <v>7700</v>
      </c>
      <c r="E2310" s="0" t="s">
        <v>89</v>
      </c>
      <c r="F2310" s="0" t="s">
        <v>15</v>
      </c>
      <c r="G2310" s="0" t="s">
        <v>26</v>
      </c>
      <c r="H2310" s="0" t="n">
        <v>137</v>
      </c>
      <c r="I2310" s="0" t="s">
        <v>7710</v>
      </c>
      <c r="J2310" s="0" t="s">
        <v>7711</v>
      </c>
      <c r="K2310" s="0" t="s">
        <v>7712</v>
      </c>
      <c r="L2310" s="0" t="str">
        <f aca="false">HYPERLINK("https://www.ncbi.nlm.nih.gov/nuccore/CP000304.1?report=graph&amp;tracks=[key:gene_model_track,Options:GeneOnly]&amp;mk=664786:664805|offset_52|444444,664812:664831|offset_78|444444,664841:664860|offset_107|444444,664871:664890|offset_137|00cc00&amp;v=664585:665090&amp;c=444444", "offset 137")</f>
        <v>offset 137</v>
      </c>
    </row>
    <row r="2311" customFormat="false" ht="12.8" hidden="false" customHeight="false" outlineLevel="0" collapsed="false">
      <c r="A2311" s="0" t="s">
        <v>12</v>
      </c>
      <c r="B2311" s="0" t="n">
        <v>666258</v>
      </c>
      <c r="C2311" s="0" t="n">
        <v>666278</v>
      </c>
      <c r="D2311" s="0" t="s">
        <v>7713</v>
      </c>
      <c r="E2311" s="0" t="s">
        <v>89</v>
      </c>
      <c r="F2311" s="0" t="s">
        <v>90</v>
      </c>
      <c r="G2311" s="0" t="s">
        <v>36</v>
      </c>
      <c r="H2311" s="0" t="n">
        <v>17</v>
      </c>
      <c r="I2311" s="0" t="s">
        <v>7714</v>
      </c>
      <c r="J2311" s="0" t="s">
        <v>7715</v>
      </c>
      <c r="K2311" s="0" t="s">
        <v>7716</v>
      </c>
      <c r="L2311" s="0" t="str">
        <f aca="false">HYPERLINK("https://www.ncbi.nlm.nih.gov/nuccore/CP000304.1?report=graph&amp;tracks=[key:gene_model_track,Options:GeneOnly]&amp;mk=666259:666278|offset_17|00cc00,666223:666242|offset_53|444444,666177:666196|offset_99|444444,666108:666127|offset_168|444444&amp;v=666058:666327&amp;c=444444", "offset 17")</f>
        <v>offset 17</v>
      </c>
    </row>
    <row r="2312" customFormat="false" ht="12.8" hidden="false" customHeight="false" outlineLevel="0" collapsed="false">
      <c r="A2312" s="0" t="s">
        <v>12</v>
      </c>
      <c r="B2312" s="0" t="n">
        <v>666222</v>
      </c>
      <c r="C2312" s="0" t="n">
        <v>666242</v>
      </c>
      <c r="D2312" s="0" t="s">
        <v>7713</v>
      </c>
      <c r="E2312" s="0" t="s">
        <v>89</v>
      </c>
      <c r="F2312" s="0" t="s">
        <v>90</v>
      </c>
      <c r="G2312" s="0" t="s">
        <v>32</v>
      </c>
      <c r="H2312" s="0" t="n">
        <v>53</v>
      </c>
      <c r="I2312" s="0" t="s">
        <v>7717</v>
      </c>
      <c r="J2312" s="0" t="s">
        <v>7718</v>
      </c>
      <c r="K2312" s="0" t="s">
        <v>7719</v>
      </c>
      <c r="L2312" s="0" t="str">
        <f aca="false">HYPERLINK("https://www.ncbi.nlm.nih.gov/nuccore/CP000304.1?report=graph&amp;tracks=[key:gene_model_track,Options:GeneOnly]&amp;mk=666259:666278|offset_17|444444,666223:666242|offset_53|00cc00,666177:666196|offset_99|444444,666108:666127|offset_168|444444&amp;v=666058:666327&amp;c=444444", "offset 53")</f>
        <v>offset 53</v>
      </c>
    </row>
    <row r="2313" customFormat="false" ht="12.8" hidden="false" customHeight="false" outlineLevel="0" collapsed="false">
      <c r="A2313" s="0" t="s">
        <v>12</v>
      </c>
      <c r="B2313" s="0" t="n">
        <v>666176</v>
      </c>
      <c r="C2313" s="0" t="n">
        <v>666196</v>
      </c>
      <c r="D2313" s="0" t="s">
        <v>7713</v>
      </c>
      <c r="E2313" s="0" t="s">
        <v>89</v>
      </c>
      <c r="F2313" s="0" t="s">
        <v>90</v>
      </c>
      <c r="G2313" s="0" t="s">
        <v>36</v>
      </c>
      <c r="H2313" s="0" t="n">
        <v>99</v>
      </c>
      <c r="I2313" s="0" t="s">
        <v>7720</v>
      </c>
      <c r="J2313" s="0" t="s">
        <v>7721</v>
      </c>
      <c r="K2313" s="0" t="s">
        <v>7722</v>
      </c>
      <c r="L2313" s="0" t="str">
        <f aca="false">HYPERLINK("https://www.ncbi.nlm.nih.gov/nuccore/CP000304.1?report=graph&amp;tracks=[key:gene_model_track,Options:GeneOnly]&amp;mk=666259:666278|offset_17|444444,666223:666242|offset_53|444444,666177:666196|offset_99|00cc00,666108:666127|offset_168|444444&amp;v=666058:666327&amp;c=444444", "offset 99")</f>
        <v>offset 99</v>
      </c>
    </row>
    <row r="2314" customFormat="false" ht="12.8" hidden="false" customHeight="false" outlineLevel="0" collapsed="false">
      <c r="A2314" s="0" t="s">
        <v>12</v>
      </c>
      <c r="B2314" s="0" t="n">
        <v>666107</v>
      </c>
      <c r="C2314" s="0" t="n">
        <v>666127</v>
      </c>
      <c r="D2314" s="0" t="s">
        <v>7713</v>
      </c>
      <c r="E2314" s="0" t="s">
        <v>89</v>
      </c>
      <c r="F2314" s="0" t="s">
        <v>90</v>
      </c>
      <c r="G2314" s="0" t="s">
        <v>32</v>
      </c>
      <c r="H2314" s="0" t="n">
        <v>168</v>
      </c>
      <c r="I2314" s="0" t="s">
        <v>7723</v>
      </c>
      <c r="J2314" s="0" t="s">
        <v>7724</v>
      </c>
      <c r="K2314" s="0" t="s">
        <v>7725</v>
      </c>
      <c r="L2314" s="0" t="str">
        <f aca="false">HYPERLINK("https://www.ncbi.nlm.nih.gov/nuccore/CP000304.1?report=graph&amp;tracks=[key:gene_model_track,Options:GeneOnly]&amp;mk=666259:666278|offset_17|444444,666223:666242|offset_53|444444,666177:666196|offset_99|444444,666108:666127|offset_168|00cc00&amp;v=666058:666327&amp;c=444444", "offset 168")</f>
        <v>offset 168</v>
      </c>
    </row>
    <row r="2315" customFormat="false" ht="12.8" hidden="false" customHeight="false" outlineLevel="0" collapsed="false">
      <c r="A2315" s="0" t="s">
        <v>12</v>
      </c>
      <c r="B2315" s="0" t="n">
        <v>666668</v>
      </c>
      <c r="C2315" s="0" t="n">
        <v>666688</v>
      </c>
      <c r="D2315" s="0" t="s">
        <v>7726</v>
      </c>
      <c r="E2315" s="0" t="s">
        <v>89</v>
      </c>
      <c r="F2315" s="0" t="s">
        <v>90</v>
      </c>
      <c r="G2315" s="0" t="s">
        <v>16</v>
      </c>
      <c r="H2315" s="0" t="n">
        <v>13</v>
      </c>
      <c r="I2315" s="0" t="s">
        <v>7727</v>
      </c>
      <c r="J2315" s="0" t="s">
        <v>7728</v>
      </c>
      <c r="K2315" s="0" t="s">
        <v>7729</v>
      </c>
      <c r="L2315" s="0" t="str">
        <f aca="false">HYPERLINK("https://www.ncbi.nlm.nih.gov/nuccore/CP000304.1?report=graph&amp;tracks=[key:gene_model_track,Options:GeneOnly]&amp;mk=666669:666688|offset_13|00cc00,666602:666621|offset_80|444444,666564:666583|offset_118|444444,666500:666519|offset_182|444444&amp;v=666468:666719&amp;c=444444", "offset 13")</f>
        <v>offset 13</v>
      </c>
    </row>
    <row r="2316" customFormat="false" ht="12.8" hidden="false" customHeight="false" outlineLevel="0" collapsed="false">
      <c r="A2316" s="0" t="s">
        <v>12</v>
      </c>
      <c r="B2316" s="0" t="n">
        <v>666601</v>
      </c>
      <c r="C2316" s="0" t="n">
        <v>666621</v>
      </c>
      <c r="D2316" s="0" t="s">
        <v>7726</v>
      </c>
      <c r="E2316" s="0" t="s">
        <v>89</v>
      </c>
      <c r="F2316" s="0" t="s">
        <v>90</v>
      </c>
      <c r="G2316" s="0" t="s">
        <v>26</v>
      </c>
      <c r="H2316" s="0" t="n">
        <v>80</v>
      </c>
      <c r="I2316" s="0" t="s">
        <v>7730</v>
      </c>
      <c r="J2316" s="0" t="s">
        <v>7731</v>
      </c>
      <c r="K2316" s="0" t="s">
        <v>7732</v>
      </c>
      <c r="L2316" s="0" t="str">
        <f aca="false">HYPERLINK("https://www.ncbi.nlm.nih.gov/nuccore/CP000304.1?report=graph&amp;tracks=[key:gene_model_track,Options:GeneOnly]&amp;mk=666669:666688|offset_13|444444,666602:666621|offset_80|00cc00,666564:666583|offset_118|444444,666500:666519|offset_182|444444&amp;v=666468:666719&amp;c=444444", "offset 80")</f>
        <v>offset 80</v>
      </c>
    </row>
    <row r="2317" customFormat="false" ht="12.8" hidden="false" customHeight="false" outlineLevel="0" collapsed="false">
      <c r="A2317" s="0" t="s">
        <v>12</v>
      </c>
      <c r="B2317" s="0" t="n">
        <v>666563</v>
      </c>
      <c r="C2317" s="0" t="n">
        <v>666583</v>
      </c>
      <c r="D2317" s="0" t="s">
        <v>7726</v>
      </c>
      <c r="E2317" s="0" t="s">
        <v>89</v>
      </c>
      <c r="F2317" s="0" t="s">
        <v>90</v>
      </c>
      <c r="G2317" s="0" t="s">
        <v>16</v>
      </c>
      <c r="H2317" s="0" t="n">
        <v>118</v>
      </c>
      <c r="I2317" s="0" t="s">
        <v>7733</v>
      </c>
      <c r="J2317" s="0" t="s">
        <v>7734</v>
      </c>
      <c r="K2317" s="0" t="s">
        <v>7735</v>
      </c>
      <c r="L2317" s="0" t="str">
        <f aca="false">HYPERLINK("https://www.ncbi.nlm.nih.gov/nuccore/CP000304.1?report=graph&amp;tracks=[key:gene_model_track,Options:GeneOnly]&amp;mk=666669:666688|offset_13|444444,666602:666621|offset_80|444444,666564:666583|offset_118|00cc00,666500:666519|offset_182|444444&amp;v=666468:666719&amp;c=444444", "offset 118")</f>
        <v>offset 118</v>
      </c>
    </row>
    <row r="2318" customFormat="false" ht="12.8" hidden="false" customHeight="false" outlineLevel="0" collapsed="false">
      <c r="A2318" s="0" t="s">
        <v>12</v>
      </c>
      <c r="B2318" s="0" t="n">
        <v>666499</v>
      </c>
      <c r="C2318" s="0" t="n">
        <v>666519</v>
      </c>
      <c r="D2318" s="0" t="s">
        <v>7726</v>
      </c>
      <c r="E2318" s="0" t="s">
        <v>89</v>
      </c>
      <c r="F2318" s="0" t="s">
        <v>90</v>
      </c>
      <c r="G2318" s="0" t="s">
        <v>16</v>
      </c>
      <c r="H2318" s="0" t="n">
        <v>182</v>
      </c>
      <c r="I2318" s="0" t="s">
        <v>7736</v>
      </c>
      <c r="J2318" s="0" t="s">
        <v>7737</v>
      </c>
      <c r="K2318" s="0" t="s">
        <v>7738</v>
      </c>
      <c r="L2318" s="0" t="str">
        <f aca="false">HYPERLINK("https://www.ncbi.nlm.nih.gov/nuccore/CP000304.1?report=graph&amp;tracks=[key:gene_model_track,Options:GeneOnly]&amp;mk=666669:666688|offset_13|444444,666602:666621|offset_80|444444,666564:666583|offset_118|444444,666500:666519|offset_182|00cc00&amp;v=666468:666719&amp;c=444444", "offset 182")</f>
        <v>offset 182</v>
      </c>
    </row>
    <row r="2319" customFormat="false" ht="12.8" hidden="false" customHeight="false" outlineLevel="0" collapsed="false">
      <c r="A2319" s="0" t="s">
        <v>12</v>
      </c>
      <c r="B2319" s="0" t="n">
        <v>668634</v>
      </c>
      <c r="C2319" s="0" t="n">
        <v>668654</v>
      </c>
      <c r="D2319" s="0" t="s">
        <v>7739</v>
      </c>
      <c r="E2319" s="0" t="s">
        <v>89</v>
      </c>
      <c r="F2319" s="0" t="s">
        <v>90</v>
      </c>
      <c r="G2319" s="0" t="s">
        <v>26</v>
      </c>
      <c r="H2319" s="0" t="n">
        <v>11</v>
      </c>
      <c r="I2319" s="0" t="s">
        <v>7740</v>
      </c>
      <c r="J2319" s="0" t="s">
        <v>7741</v>
      </c>
      <c r="K2319" s="0" t="s">
        <v>7742</v>
      </c>
      <c r="L2319" s="0" t="str">
        <f aca="false">HYPERLINK("https://www.ncbi.nlm.nih.gov/nuccore/CP000304.1?report=graph&amp;tracks=[key:gene_model_track,Options:GeneOnly]&amp;mk=668635:668654|offset_11|00cc00,668597:668616|offset_49|444444,668569:668588|offset_77|444444,668540:668559|offset_106|444444&amp;v=668434:668759&amp;c=444444", "offset 11")</f>
        <v>offset 11</v>
      </c>
    </row>
    <row r="2320" customFormat="false" ht="12.8" hidden="false" customHeight="false" outlineLevel="0" collapsed="false">
      <c r="A2320" s="0" t="s">
        <v>12</v>
      </c>
      <c r="B2320" s="0" t="n">
        <v>668596</v>
      </c>
      <c r="C2320" s="0" t="n">
        <v>668616</v>
      </c>
      <c r="D2320" s="0" t="s">
        <v>7739</v>
      </c>
      <c r="E2320" s="0" t="s">
        <v>89</v>
      </c>
      <c r="F2320" s="0" t="s">
        <v>90</v>
      </c>
      <c r="G2320" s="0" t="s">
        <v>32</v>
      </c>
      <c r="H2320" s="0" t="n">
        <v>49</v>
      </c>
      <c r="I2320" s="0" t="s">
        <v>7743</v>
      </c>
      <c r="J2320" s="0" t="s">
        <v>7744</v>
      </c>
      <c r="K2320" s="0" t="s">
        <v>7745</v>
      </c>
      <c r="L2320" s="0" t="str">
        <f aca="false">HYPERLINK("https://www.ncbi.nlm.nih.gov/nuccore/CP000304.1?report=graph&amp;tracks=[key:gene_model_track,Options:GeneOnly]&amp;mk=668635:668654|offset_11|444444,668597:668616|offset_49|00cc00,668569:668588|offset_77|444444,668540:668559|offset_106|444444&amp;v=668434:668759&amp;c=444444", "offset 49")</f>
        <v>offset 49</v>
      </c>
    </row>
    <row r="2321" customFormat="false" ht="12.8" hidden="false" customHeight="false" outlineLevel="0" collapsed="false">
      <c r="A2321" s="0" t="s">
        <v>12</v>
      </c>
      <c r="B2321" s="0" t="n">
        <v>668568</v>
      </c>
      <c r="C2321" s="0" t="n">
        <v>668588</v>
      </c>
      <c r="D2321" s="0" t="s">
        <v>7739</v>
      </c>
      <c r="E2321" s="0" t="s">
        <v>89</v>
      </c>
      <c r="F2321" s="0" t="s">
        <v>90</v>
      </c>
      <c r="G2321" s="0" t="s">
        <v>26</v>
      </c>
      <c r="H2321" s="0" t="n">
        <v>77</v>
      </c>
      <c r="I2321" s="0" t="s">
        <v>7746</v>
      </c>
      <c r="J2321" s="0" t="s">
        <v>7747</v>
      </c>
      <c r="K2321" s="0" t="s">
        <v>7748</v>
      </c>
      <c r="L2321" s="0" t="str">
        <f aca="false">HYPERLINK("https://www.ncbi.nlm.nih.gov/nuccore/CP000304.1?report=graph&amp;tracks=[key:gene_model_track,Options:GeneOnly]&amp;mk=668635:668654|offset_11|444444,668597:668616|offset_49|444444,668569:668588|offset_77|00cc00,668540:668559|offset_106|444444&amp;v=668434:668759&amp;c=444444", "offset 77")</f>
        <v>offset 77</v>
      </c>
    </row>
    <row r="2322" customFormat="false" ht="12.8" hidden="false" customHeight="false" outlineLevel="0" collapsed="false">
      <c r="A2322" s="0" t="s">
        <v>12</v>
      </c>
      <c r="B2322" s="0" t="n">
        <v>668539</v>
      </c>
      <c r="C2322" s="0" t="n">
        <v>668559</v>
      </c>
      <c r="D2322" s="0" t="s">
        <v>7739</v>
      </c>
      <c r="E2322" s="0" t="s">
        <v>89</v>
      </c>
      <c r="F2322" s="0" t="s">
        <v>90</v>
      </c>
      <c r="G2322" s="0" t="s">
        <v>32</v>
      </c>
      <c r="H2322" s="0" t="n">
        <v>106</v>
      </c>
      <c r="I2322" s="0" t="s">
        <v>7749</v>
      </c>
      <c r="J2322" s="0" t="s">
        <v>7750</v>
      </c>
      <c r="K2322" s="0" t="s">
        <v>7751</v>
      </c>
      <c r="L2322" s="0" t="str">
        <f aca="false">HYPERLINK("https://www.ncbi.nlm.nih.gov/nuccore/CP000304.1?report=graph&amp;tracks=[key:gene_model_track,Options:GeneOnly]&amp;mk=668635:668654|offset_11|444444,668597:668616|offset_49|444444,668569:668588|offset_77|444444,668540:668559|offset_106|00cc00&amp;v=668434:668759&amp;c=444444", "offset 106")</f>
        <v>offset 106</v>
      </c>
    </row>
    <row r="2323" customFormat="false" ht="12.8" hidden="false" customHeight="false" outlineLevel="0" collapsed="false">
      <c r="A2323" s="0" t="s">
        <v>12</v>
      </c>
      <c r="B2323" s="0" t="n">
        <v>669573</v>
      </c>
      <c r="C2323" s="0" t="n">
        <v>669593</v>
      </c>
      <c r="D2323" s="0" t="s">
        <v>7752</v>
      </c>
      <c r="E2323" s="0" t="s">
        <v>89</v>
      </c>
      <c r="F2323" s="0" t="s">
        <v>90</v>
      </c>
      <c r="G2323" s="0" t="s">
        <v>32</v>
      </c>
      <c r="H2323" s="0" t="n">
        <v>79</v>
      </c>
      <c r="I2323" s="0" t="s">
        <v>7753</v>
      </c>
      <c r="J2323" s="0" t="s">
        <v>7754</v>
      </c>
      <c r="K2323" s="0" t="s">
        <v>7755</v>
      </c>
      <c r="L2323" s="0" t="str">
        <f aca="false">HYPERLINK("https://www.ncbi.nlm.nih.gov/nuccore/CP000304.1?report=graph&amp;tracks=[key:gene_model_track,Options:GeneOnly]&amp;mk=669574:669593|offset_79|00cc00,669554:669573|offset_99|444444,669525:669544|offset_128|444444,669477:669496|offset_176|444444&amp;v=669373:669696&amp;c=444444", "offset 79")</f>
        <v>offset 79</v>
      </c>
    </row>
    <row r="2324" customFormat="false" ht="12.8" hidden="false" customHeight="false" outlineLevel="0" collapsed="false">
      <c r="A2324" s="0" t="s">
        <v>12</v>
      </c>
      <c r="B2324" s="0" t="n">
        <v>669553</v>
      </c>
      <c r="C2324" s="0" t="n">
        <v>669573</v>
      </c>
      <c r="D2324" s="0" t="s">
        <v>7752</v>
      </c>
      <c r="E2324" s="0" t="s">
        <v>89</v>
      </c>
      <c r="F2324" s="0" t="s">
        <v>90</v>
      </c>
      <c r="G2324" s="0" t="s">
        <v>36</v>
      </c>
      <c r="H2324" s="0" t="n">
        <v>99</v>
      </c>
      <c r="I2324" s="0" t="s">
        <v>7756</v>
      </c>
      <c r="J2324" s="0" t="s">
        <v>7757</v>
      </c>
      <c r="K2324" s="0" t="s">
        <v>7758</v>
      </c>
      <c r="L2324" s="0" t="str">
        <f aca="false">HYPERLINK("https://www.ncbi.nlm.nih.gov/nuccore/CP000304.1?report=graph&amp;tracks=[key:gene_model_track,Options:GeneOnly]&amp;mk=669574:669593|offset_79|444444,669554:669573|offset_99|00cc00,669525:669544|offset_128|444444,669477:669496|offset_176|444444&amp;v=669373:669696&amp;c=444444", "offset 99")</f>
        <v>offset 99</v>
      </c>
    </row>
    <row r="2325" customFormat="false" ht="12.8" hidden="false" customHeight="false" outlineLevel="0" collapsed="false">
      <c r="A2325" s="0" t="s">
        <v>12</v>
      </c>
      <c r="B2325" s="0" t="n">
        <v>669524</v>
      </c>
      <c r="C2325" s="0" t="n">
        <v>669544</v>
      </c>
      <c r="D2325" s="0" t="s">
        <v>7752</v>
      </c>
      <c r="E2325" s="0" t="s">
        <v>89</v>
      </c>
      <c r="F2325" s="0" t="s">
        <v>90</v>
      </c>
      <c r="G2325" s="0" t="s">
        <v>32</v>
      </c>
      <c r="H2325" s="0" t="n">
        <v>128</v>
      </c>
      <c r="I2325" s="0" t="s">
        <v>7759</v>
      </c>
      <c r="J2325" s="0" t="s">
        <v>7760</v>
      </c>
      <c r="K2325" s="0" t="s">
        <v>7761</v>
      </c>
      <c r="L2325" s="0" t="str">
        <f aca="false">HYPERLINK("https://www.ncbi.nlm.nih.gov/nuccore/CP000304.1?report=graph&amp;tracks=[key:gene_model_track,Options:GeneOnly]&amp;mk=669574:669593|offset_79|444444,669554:669573|offset_99|444444,669525:669544|offset_128|00cc00,669477:669496|offset_176|444444&amp;v=669373:669696&amp;c=444444", "offset 128")</f>
        <v>offset 128</v>
      </c>
    </row>
    <row r="2326" customFormat="false" ht="12.8" hidden="false" customHeight="false" outlineLevel="0" collapsed="false">
      <c r="A2326" s="0" t="s">
        <v>12</v>
      </c>
      <c r="B2326" s="0" t="n">
        <v>669476</v>
      </c>
      <c r="C2326" s="0" t="n">
        <v>669496</v>
      </c>
      <c r="D2326" s="0" t="s">
        <v>7752</v>
      </c>
      <c r="E2326" s="0" t="s">
        <v>89</v>
      </c>
      <c r="F2326" s="0" t="s">
        <v>90</v>
      </c>
      <c r="G2326" s="0" t="s">
        <v>32</v>
      </c>
      <c r="H2326" s="0" t="n">
        <v>176</v>
      </c>
      <c r="I2326" s="0" t="s">
        <v>7762</v>
      </c>
      <c r="J2326" s="0" t="s">
        <v>7763</v>
      </c>
      <c r="K2326" s="0" t="s">
        <v>7764</v>
      </c>
      <c r="L2326" s="0" t="str">
        <f aca="false">HYPERLINK("https://www.ncbi.nlm.nih.gov/nuccore/CP000304.1?report=graph&amp;tracks=[key:gene_model_track,Options:GeneOnly]&amp;mk=669574:669593|offset_79|444444,669554:669573|offset_99|444444,669525:669544|offset_128|444444,669477:669496|offset_176|00cc00&amp;v=669373:669696&amp;c=444444", "offset 176")</f>
        <v>offset 176</v>
      </c>
    </row>
    <row r="2327" customFormat="false" ht="12.8" hidden="false" customHeight="false" outlineLevel="0" collapsed="false">
      <c r="A2327" s="0" t="s">
        <v>12</v>
      </c>
      <c r="B2327" s="0" t="n">
        <v>669872</v>
      </c>
      <c r="C2327" s="0" t="n">
        <v>669892</v>
      </c>
      <c r="D2327" s="0" t="s">
        <v>7765</v>
      </c>
      <c r="E2327" s="0" t="s">
        <v>89</v>
      </c>
      <c r="F2327" s="0" t="s">
        <v>15</v>
      </c>
      <c r="G2327" s="0" t="s">
        <v>32</v>
      </c>
      <c r="H2327" s="0" t="n">
        <v>6</v>
      </c>
      <c r="I2327" s="0" t="s">
        <v>7766</v>
      </c>
      <c r="J2327" s="0" t="s">
        <v>7767</v>
      </c>
      <c r="K2327" s="0" t="s">
        <v>7768</v>
      </c>
      <c r="L2327" s="0" t="str">
        <f aca="false">HYPERLINK("https://www.ncbi.nlm.nih.gov/nuccore/CP000304.1?report=graph&amp;tracks=[key:gene_model_track,Options:GeneOnly]&amp;mk=669873:669892|offset_6|00cc00,669943:669962|offset_76|444444,669989:670008|offset_122|444444,670012:670031|offset_145|444444&amp;v=669672:670231&amp;c=444444", "offset 6")</f>
        <v>offset 6</v>
      </c>
    </row>
    <row r="2328" customFormat="false" ht="12.8" hidden="false" customHeight="false" outlineLevel="0" collapsed="false">
      <c r="A2328" s="0" t="s">
        <v>12</v>
      </c>
      <c r="B2328" s="0" t="n">
        <v>669942</v>
      </c>
      <c r="C2328" s="0" t="n">
        <v>669962</v>
      </c>
      <c r="D2328" s="0" t="s">
        <v>7765</v>
      </c>
      <c r="E2328" s="0" t="s">
        <v>89</v>
      </c>
      <c r="F2328" s="0" t="s">
        <v>15</v>
      </c>
      <c r="G2328" s="0" t="s">
        <v>26</v>
      </c>
      <c r="H2328" s="0" t="n">
        <v>76</v>
      </c>
      <c r="I2328" s="0" t="s">
        <v>7769</v>
      </c>
      <c r="J2328" s="0" t="s">
        <v>7770</v>
      </c>
      <c r="K2328" s="0" t="s">
        <v>7771</v>
      </c>
      <c r="L2328" s="0" t="str">
        <f aca="false">HYPERLINK("https://www.ncbi.nlm.nih.gov/nuccore/CP000304.1?report=graph&amp;tracks=[key:gene_model_track,Options:GeneOnly]&amp;mk=669873:669892|offset_6|444444,669943:669962|offset_76|00cc00,669989:670008|offset_122|444444,670012:670031|offset_145|444444&amp;v=669672:670231&amp;c=444444", "offset 76")</f>
        <v>offset 76</v>
      </c>
    </row>
    <row r="2329" customFormat="false" ht="12.8" hidden="false" customHeight="false" outlineLevel="0" collapsed="false">
      <c r="A2329" s="0" t="s">
        <v>12</v>
      </c>
      <c r="B2329" s="0" t="n">
        <v>669988</v>
      </c>
      <c r="C2329" s="0" t="n">
        <v>670008</v>
      </c>
      <c r="D2329" s="0" t="s">
        <v>7765</v>
      </c>
      <c r="E2329" s="0" t="s">
        <v>89</v>
      </c>
      <c r="F2329" s="0" t="s">
        <v>15</v>
      </c>
      <c r="G2329" s="0" t="s">
        <v>26</v>
      </c>
      <c r="H2329" s="0" t="n">
        <v>122</v>
      </c>
      <c r="I2329" s="0" t="s">
        <v>7772</v>
      </c>
      <c r="J2329" s="0" t="s">
        <v>7773</v>
      </c>
      <c r="K2329" s="0" t="s">
        <v>7774</v>
      </c>
      <c r="L2329" s="0" t="str">
        <f aca="false">HYPERLINK("https://www.ncbi.nlm.nih.gov/nuccore/CP000304.1?report=graph&amp;tracks=[key:gene_model_track,Options:GeneOnly]&amp;mk=669873:669892|offset_6|444444,669943:669962|offset_76|444444,669989:670008|offset_122|00cc00,670012:670031|offset_145|444444&amp;v=669672:670231&amp;c=444444", "offset 122")</f>
        <v>offset 122</v>
      </c>
    </row>
    <row r="2330" customFormat="false" ht="12.8" hidden="false" customHeight="false" outlineLevel="0" collapsed="false">
      <c r="A2330" s="0" t="s">
        <v>12</v>
      </c>
      <c r="B2330" s="0" t="n">
        <v>670011</v>
      </c>
      <c r="C2330" s="0" t="n">
        <v>670031</v>
      </c>
      <c r="D2330" s="0" t="s">
        <v>7765</v>
      </c>
      <c r="E2330" s="0" t="s">
        <v>89</v>
      </c>
      <c r="F2330" s="0" t="s">
        <v>15</v>
      </c>
      <c r="G2330" s="0" t="s">
        <v>32</v>
      </c>
      <c r="H2330" s="0" t="n">
        <v>145</v>
      </c>
      <c r="I2330" s="0" t="s">
        <v>7775</v>
      </c>
      <c r="J2330" s="0" t="s">
        <v>7776</v>
      </c>
      <c r="K2330" s="0" t="s">
        <v>7777</v>
      </c>
      <c r="L2330" s="0" t="str">
        <f aca="false">HYPERLINK("https://www.ncbi.nlm.nih.gov/nuccore/CP000304.1?report=graph&amp;tracks=[key:gene_model_track,Options:GeneOnly]&amp;mk=669873:669892|offset_6|444444,669943:669962|offset_76|444444,669989:670008|offset_122|444444,670012:670031|offset_145|00cc00&amp;v=669672:670231&amp;c=444444", "offset 145")</f>
        <v>offset 145</v>
      </c>
    </row>
    <row r="2331" customFormat="false" ht="12.8" hidden="false" customHeight="false" outlineLevel="0" collapsed="false">
      <c r="A2331" s="0" t="s">
        <v>12</v>
      </c>
      <c r="B2331" s="0" t="n">
        <v>670823</v>
      </c>
      <c r="C2331" s="0" t="n">
        <v>670843</v>
      </c>
      <c r="D2331" s="0" t="s">
        <v>7778</v>
      </c>
      <c r="E2331" s="0" t="s">
        <v>89</v>
      </c>
      <c r="F2331" s="0" t="s">
        <v>15</v>
      </c>
      <c r="G2331" s="0" t="s">
        <v>32</v>
      </c>
      <c r="H2331" s="0" t="n">
        <v>16</v>
      </c>
      <c r="I2331" s="0" t="s">
        <v>7779</v>
      </c>
      <c r="J2331" s="0" t="s">
        <v>7780</v>
      </c>
      <c r="K2331" s="0" t="s">
        <v>7781</v>
      </c>
      <c r="L2331" s="0" t="str">
        <f aca="false">HYPERLINK("https://www.ncbi.nlm.nih.gov/nuccore/CP000304.1?report=graph&amp;tracks=[key:gene_model_track,Options:GeneOnly]&amp;mk=670824:670843|offset_16|00cc00,670845:670864|offset_37|444444,670888:670907|offset_80|444444,670947:670966|offset_139|444444&amp;v=670623:671166&amp;c=444444", "offset 16")</f>
        <v>offset 16</v>
      </c>
    </row>
    <row r="2332" customFormat="false" ht="12.8" hidden="false" customHeight="false" outlineLevel="0" collapsed="false">
      <c r="A2332" s="0" t="s">
        <v>12</v>
      </c>
      <c r="B2332" s="0" t="n">
        <v>670844</v>
      </c>
      <c r="C2332" s="0" t="n">
        <v>670864</v>
      </c>
      <c r="D2332" s="0" t="s">
        <v>7778</v>
      </c>
      <c r="E2332" s="0" t="s">
        <v>89</v>
      </c>
      <c r="F2332" s="0" t="s">
        <v>15</v>
      </c>
      <c r="G2332" s="0" t="s">
        <v>32</v>
      </c>
      <c r="H2332" s="0" t="n">
        <v>37</v>
      </c>
      <c r="I2332" s="0" t="s">
        <v>7782</v>
      </c>
      <c r="J2332" s="0" t="s">
        <v>7783</v>
      </c>
      <c r="K2332" s="0" t="s">
        <v>7784</v>
      </c>
      <c r="L2332" s="0" t="str">
        <f aca="false">HYPERLINK("https://www.ncbi.nlm.nih.gov/nuccore/CP000304.1?report=graph&amp;tracks=[key:gene_model_track,Options:GeneOnly]&amp;mk=670824:670843|offset_16|444444,670845:670864|offset_37|00cc00,670888:670907|offset_80|444444,670947:670966|offset_139|444444&amp;v=670623:671166&amp;c=444444", "offset 37")</f>
        <v>offset 37</v>
      </c>
    </row>
    <row r="2333" customFormat="false" ht="12.8" hidden="false" customHeight="false" outlineLevel="0" collapsed="false">
      <c r="A2333" s="0" t="s">
        <v>12</v>
      </c>
      <c r="B2333" s="0" t="n">
        <v>670887</v>
      </c>
      <c r="C2333" s="0" t="n">
        <v>670907</v>
      </c>
      <c r="D2333" s="0" t="s">
        <v>7778</v>
      </c>
      <c r="E2333" s="0" t="s">
        <v>89</v>
      </c>
      <c r="F2333" s="0" t="s">
        <v>15</v>
      </c>
      <c r="G2333" s="0" t="s">
        <v>26</v>
      </c>
      <c r="H2333" s="0" t="n">
        <v>80</v>
      </c>
      <c r="I2333" s="0" t="s">
        <v>7785</v>
      </c>
      <c r="J2333" s="0" t="s">
        <v>7786</v>
      </c>
      <c r="K2333" s="0" t="s">
        <v>7787</v>
      </c>
      <c r="L2333" s="0" t="str">
        <f aca="false">HYPERLINK("https://www.ncbi.nlm.nih.gov/nuccore/CP000304.1?report=graph&amp;tracks=[key:gene_model_track,Options:GeneOnly]&amp;mk=670824:670843|offset_16|444444,670845:670864|offset_37|444444,670888:670907|offset_80|00cc00,670947:670966|offset_139|444444&amp;v=670623:671166&amp;c=444444", "offset 80")</f>
        <v>offset 80</v>
      </c>
    </row>
    <row r="2334" customFormat="false" ht="12.8" hidden="false" customHeight="false" outlineLevel="0" collapsed="false">
      <c r="A2334" s="0" t="s">
        <v>12</v>
      </c>
      <c r="B2334" s="0" t="n">
        <v>670946</v>
      </c>
      <c r="C2334" s="0" t="n">
        <v>670966</v>
      </c>
      <c r="D2334" s="0" t="s">
        <v>7778</v>
      </c>
      <c r="E2334" s="0" t="s">
        <v>89</v>
      </c>
      <c r="F2334" s="0" t="s">
        <v>15</v>
      </c>
      <c r="G2334" s="0" t="s">
        <v>32</v>
      </c>
      <c r="H2334" s="0" t="n">
        <v>139</v>
      </c>
      <c r="I2334" s="0" t="s">
        <v>7788</v>
      </c>
      <c r="J2334" s="0" t="s">
        <v>7789</v>
      </c>
      <c r="K2334" s="0" t="s">
        <v>7790</v>
      </c>
      <c r="L2334" s="0" t="str">
        <f aca="false">HYPERLINK("https://www.ncbi.nlm.nih.gov/nuccore/CP000304.1?report=graph&amp;tracks=[key:gene_model_track,Options:GeneOnly]&amp;mk=670824:670843|offset_16|444444,670845:670864|offset_37|444444,670888:670907|offset_80|444444,670947:670966|offset_139|00cc00&amp;v=670623:671166&amp;c=444444", "offset 139")</f>
        <v>offset 139</v>
      </c>
    </row>
    <row r="2335" customFormat="false" ht="12.8" hidden="false" customHeight="false" outlineLevel="0" collapsed="false">
      <c r="A2335" s="0" t="s">
        <v>12</v>
      </c>
      <c r="B2335" s="0" t="n">
        <v>671337</v>
      </c>
      <c r="C2335" s="0" t="n">
        <v>671357</v>
      </c>
      <c r="D2335" s="0" t="s">
        <v>7791</v>
      </c>
      <c r="E2335" s="0" t="s">
        <v>89</v>
      </c>
      <c r="F2335" s="0" t="s">
        <v>15</v>
      </c>
      <c r="G2335" s="0" t="s">
        <v>16</v>
      </c>
      <c r="H2335" s="0" t="n">
        <v>42</v>
      </c>
      <c r="I2335" s="0" t="s">
        <v>7792</v>
      </c>
      <c r="J2335" s="0" t="s">
        <v>7793</v>
      </c>
      <c r="K2335" s="0" t="s">
        <v>7794</v>
      </c>
      <c r="L2335" s="0" t="str">
        <f aca="false">HYPERLINK("https://www.ncbi.nlm.nih.gov/nuccore/CP000304.1?report=graph&amp;tracks=[key:gene_model_track,Options:GeneOnly]&amp;mk=671338:671357|offset_42|00cc00,671409:671428|offset_113|444444,671436:671455|offset_140|444444,671463:671482|offset_167|444444&amp;v=671137:671682&amp;c=444444", "offset 42")</f>
        <v>offset 42</v>
      </c>
    </row>
    <row r="2336" customFormat="false" ht="12.8" hidden="false" customHeight="false" outlineLevel="0" collapsed="false">
      <c r="A2336" s="0" t="s">
        <v>12</v>
      </c>
      <c r="B2336" s="0" t="n">
        <v>671408</v>
      </c>
      <c r="C2336" s="0" t="n">
        <v>671428</v>
      </c>
      <c r="D2336" s="0" t="s">
        <v>7791</v>
      </c>
      <c r="E2336" s="0" t="s">
        <v>89</v>
      </c>
      <c r="F2336" s="0" t="s">
        <v>15</v>
      </c>
      <c r="G2336" s="0" t="s">
        <v>32</v>
      </c>
      <c r="H2336" s="0" t="n">
        <v>113</v>
      </c>
      <c r="I2336" s="0" t="s">
        <v>7795</v>
      </c>
      <c r="J2336" s="0" t="s">
        <v>7796</v>
      </c>
      <c r="K2336" s="0" t="s">
        <v>7797</v>
      </c>
      <c r="L2336" s="0" t="str">
        <f aca="false">HYPERLINK("https://www.ncbi.nlm.nih.gov/nuccore/CP000304.1?report=graph&amp;tracks=[key:gene_model_track,Options:GeneOnly]&amp;mk=671338:671357|offset_42|444444,671409:671428|offset_113|00cc00,671436:671455|offset_140|444444,671463:671482|offset_167|444444&amp;v=671137:671682&amp;c=444444", "offset 113")</f>
        <v>offset 113</v>
      </c>
    </row>
    <row r="2337" customFormat="false" ht="12.8" hidden="false" customHeight="false" outlineLevel="0" collapsed="false">
      <c r="A2337" s="0" t="s">
        <v>12</v>
      </c>
      <c r="B2337" s="0" t="n">
        <v>671435</v>
      </c>
      <c r="C2337" s="0" t="n">
        <v>671455</v>
      </c>
      <c r="D2337" s="0" t="s">
        <v>7791</v>
      </c>
      <c r="E2337" s="0" t="s">
        <v>89</v>
      </c>
      <c r="F2337" s="0" t="s">
        <v>15</v>
      </c>
      <c r="G2337" s="0" t="s">
        <v>32</v>
      </c>
      <c r="H2337" s="0" t="n">
        <v>140</v>
      </c>
      <c r="I2337" s="0" t="s">
        <v>7798</v>
      </c>
      <c r="J2337" s="0" t="s">
        <v>7799</v>
      </c>
      <c r="K2337" s="0" t="s">
        <v>7800</v>
      </c>
      <c r="L2337" s="0" t="str">
        <f aca="false">HYPERLINK("https://www.ncbi.nlm.nih.gov/nuccore/CP000304.1?report=graph&amp;tracks=[key:gene_model_track,Options:GeneOnly]&amp;mk=671338:671357|offset_42|444444,671409:671428|offset_113|444444,671436:671455|offset_140|00cc00,671463:671482|offset_167|444444&amp;v=671137:671682&amp;c=444444", "offset 140")</f>
        <v>offset 140</v>
      </c>
    </row>
    <row r="2338" customFormat="false" ht="12.8" hidden="false" customHeight="false" outlineLevel="0" collapsed="false">
      <c r="A2338" s="0" t="s">
        <v>12</v>
      </c>
      <c r="B2338" s="0" t="n">
        <v>671462</v>
      </c>
      <c r="C2338" s="0" t="n">
        <v>671482</v>
      </c>
      <c r="D2338" s="0" t="s">
        <v>7791</v>
      </c>
      <c r="E2338" s="0" t="s">
        <v>89</v>
      </c>
      <c r="F2338" s="0" t="s">
        <v>15</v>
      </c>
      <c r="G2338" s="0" t="s">
        <v>32</v>
      </c>
      <c r="H2338" s="0" t="n">
        <v>167</v>
      </c>
      <c r="I2338" s="0" t="s">
        <v>7801</v>
      </c>
      <c r="J2338" s="0" t="s">
        <v>7802</v>
      </c>
      <c r="K2338" s="0" t="s">
        <v>7803</v>
      </c>
      <c r="L2338" s="0" t="str">
        <f aca="false">HYPERLINK("https://www.ncbi.nlm.nih.gov/nuccore/CP000304.1?report=graph&amp;tracks=[key:gene_model_track,Options:GeneOnly]&amp;mk=671338:671357|offset_42|444444,671409:671428|offset_113|444444,671436:671455|offset_140|444444,671463:671482|offset_167|00cc00&amp;v=671137:671682&amp;c=444444", "offset 167")</f>
        <v>offset 167</v>
      </c>
    </row>
    <row r="2339" customFormat="false" ht="12.8" hidden="false" customHeight="false" outlineLevel="0" collapsed="false">
      <c r="A2339" s="0" t="s">
        <v>12</v>
      </c>
      <c r="B2339" s="0" t="n">
        <v>672396</v>
      </c>
      <c r="C2339" s="0" t="n">
        <v>672416</v>
      </c>
      <c r="D2339" s="0" t="s">
        <v>7804</v>
      </c>
      <c r="E2339" s="0" t="s">
        <v>89</v>
      </c>
      <c r="F2339" s="0" t="s">
        <v>15</v>
      </c>
      <c r="G2339" s="0" t="s">
        <v>36</v>
      </c>
      <c r="H2339" s="0" t="n">
        <v>53</v>
      </c>
      <c r="I2339" s="0" t="s">
        <v>7805</v>
      </c>
      <c r="J2339" s="0" t="s">
        <v>7806</v>
      </c>
      <c r="K2339" s="0" t="s">
        <v>7807</v>
      </c>
      <c r="L2339" s="0" t="str">
        <f aca="false">HYPERLINK("https://www.ncbi.nlm.nih.gov/nuccore/CP000304.1?report=graph&amp;tracks=[key:gene_model_track,Options:GeneOnly]&amp;mk=672397:672416|offset_53|00cc00,672451:672470|offset_107|444444,672482:672501|offset_138|444444,672503:672522|offset_159|444444&amp;v=672196:672722&amp;c=444444", "offset 53")</f>
        <v>offset 53</v>
      </c>
    </row>
    <row r="2340" customFormat="false" ht="12.8" hidden="false" customHeight="false" outlineLevel="0" collapsed="false">
      <c r="A2340" s="0" t="s">
        <v>12</v>
      </c>
      <c r="B2340" s="0" t="n">
        <v>672450</v>
      </c>
      <c r="C2340" s="0" t="n">
        <v>672470</v>
      </c>
      <c r="D2340" s="0" t="s">
        <v>7804</v>
      </c>
      <c r="E2340" s="0" t="s">
        <v>89</v>
      </c>
      <c r="F2340" s="0" t="s">
        <v>15</v>
      </c>
      <c r="G2340" s="0" t="s">
        <v>36</v>
      </c>
      <c r="H2340" s="0" t="n">
        <v>107</v>
      </c>
      <c r="I2340" s="0" t="s">
        <v>7808</v>
      </c>
      <c r="J2340" s="0" t="s">
        <v>7809</v>
      </c>
      <c r="K2340" s="0" t="s">
        <v>7810</v>
      </c>
      <c r="L2340" s="0" t="str">
        <f aca="false">HYPERLINK("https://www.ncbi.nlm.nih.gov/nuccore/CP000304.1?report=graph&amp;tracks=[key:gene_model_track,Options:GeneOnly]&amp;mk=672397:672416|offset_53|444444,672451:672470|offset_107|00cc00,672482:672501|offset_138|444444,672503:672522|offset_159|444444&amp;v=672196:672722&amp;c=444444", "offset 107")</f>
        <v>offset 107</v>
      </c>
    </row>
    <row r="2341" customFormat="false" ht="12.8" hidden="false" customHeight="false" outlineLevel="0" collapsed="false">
      <c r="A2341" s="0" t="s">
        <v>12</v>
      </c>
      <c r="B2341" s="0" t="n">
        <v>672481</v>
      </c>
      <c r="C2341" s="0" t="n">
        <v>672501</v>
      </c>
      <c r="D2341" s="0" t="s">
        <v>7804</v>
      </c>
      <c r="E2341" s="0" t="s">
        <v>89</v>
      </c>
      <c r="F2341" s="0" t="s">
        <v>15</v>
      </c>
      <c r="G2341" s="0" t="s">
        <v>26</v>
      </c>
      <c r="H2341" s="0" t="n">
        <v>138</v>
      </c>
      <c r="I2341" s="0" t="s">
        <v>7811</v>
      </c>
      <c r="J2341" s="0" t="s">
        <v>7812</v>
      </c>
      <c r="K2341" s="0" t="s">
        <v>7813</v>
      </c>
      <c r="L2341" s="0" t="str">
        <f aca="false">HYPERLINK("https://www.ncbi.nlm.nih.gov/nuccore/CP000304.1?report=graph&amp;tracks=[key:gene_model_track,Options:GeneOnly]&amp;mk=672397:672416|offset_53|444444,672451:672470|offset_107|444444,672482:672501|offset_138|00cc00,672503:672522|offset_159|444444&amp;v=672196:672722&amp;c=444444", "offset 138")</f>
        <v>offset 138</v>
      </c>
    </row>
    <row r="2342" customFormat="false" ht="12.8" hidden="false" customHeight="false" outlineLevel="0" collapsed="false">
      <c r="A2342" s="0" t="s">
        <v>12</v>
      </c>
      <c r="B2342" s="0" t="n">
        <v>672502</v>
      </c>
      <c r="C2342" s="0" t="n">
        <v>672522</v>
      </c>
      <c r="D2342" s="0" t="s">
        <v>7804</v>
      </c>
      <c r="E2342" s="0" t="s">
        <v>89</v>
      </c>
      <c r="F2342" s="0" t="s">
        <v>15</v>
      </c>
      <c r="G2342" s="0" t="s">
        <v>16</v>
      </c>
      <c r="H2342" s="0" t="n">
        <v>159</v>
      </c>
      <c r="I2342" s="0" t="s">
        <v>7814</v>
      </c>
      <c r="J2342" s="0" t="s">
        <v>7815</v>
      </c>
      <c r="K2342" s="0" t="s">
        <v>7816</v>
      </c>
      <c r="L2342" s="0" t="str">
        <f aca="false">HYPERLINK("https://www.ncbi.nlm.nih.gov/nuccore/CP000304.1?report=graph&amp;tracks=[key:gene_model_track,Options:GeneOnly]&amp;mk=672397:672416|offset_53|444444,672451:672470|offset_107|444444,672482:672501|offset_138|444444,672503:672522|offset_159|00cc00&amp;v=672196:672722&amp;c=444444", "offset 159")</f>
        <v>offset 159</v>
      </c>
    </row>
    <row r="2343" customFormat="false" ht="12.8" hidden="false" customHeight="false" outlineLevel="0" collapsed="false">
      <c r="A2343" s="0" t="s">
        <v>12</v>
      </c>
      <c r="B2343" s="0" t="n">
        <v>673126</v>
      </c>
      <c r="C2343" s="0" t="n">
        <v>673146</v>
      </c>
      <c r="D2343" s="0" t="s">
        <v>7817</v>
      </c>
      <c r="E2343" s="0" t="s">
        <v>89</v>
      </c>
      <c r="F2343" s="0" t="s">
        <v>15</v>
      </c>
      <c r="G2343" s="0" t="s">
        <v>32</v>
      </c>
      <c r="H2343" s="0" t="n">
        <v>54</v>
      </c>
      <c r="I2343" s="0" t="s">
        <v>7818</v>
      </c>
      <c r="J2343" s="0" t="s">
        <v>7819</v>
      </c>
      <c r="K2343" s="0" t="s">
        <v>7820</v>
      </c>
      <c r="L2343" s="0" t="str">
        <f aca="false">HYPERLINK("https://www.ncbi.nlm.nih.gov/nuccore/CP000304.1?report=graph&amp;tracks=[key:gene_model_track,Options:GeneOnly]&amp;mk=673127:673146|offset_54|00cc00,673175:673194|offset_102|444444,673196:673215|offset_123|444444,673217:673236|offset_144|444444&amp;v=672926:673436&amp;c=444444", "offset 54")</f>
        <v>offset 54</v>
      </c>
    </row>
    <row r="2344" customFormat="false" ht="12.8" hidden="false" customHeight="false" outlineLevel="0" collapsed="false">
      <c r="A2344" s="0" t="s">
        <v>12</v>
      </c>
      <c r="B2344" s="0" t="n">
        <v>673174</v>
      </c>
      <c r="C2344" s="0" t="n">
        <v>673194</v>
      </c>
      <c r="D2344" s="0" t="s">
        <v>7817</v>
      </c>
      <c r="E2344" s="0" t="s">
        <v>89</v>
      </c>
      <c r="F2344" s="0" t="s">
        <v>15</v>
      </c>
      <c r="G2344" s="0" t="s">
        <v>36</v>
      </c>
      <c r="H2344" s="0" t="n">
        <v>102</v>
      </c>
      <c r="I2344" s="0" t="s">
        <v>7821</v>
      </c>
      <c r="J2344" s="0" t="s">
        <v>7822</v>
      </c>
      <c r="K2344" s="0" t="s">
        <v>7823</v>
      </c>
      <c r="L2344" s="0" t="str">
        <f aca="false">HYPERLINK("https://www.ncbi.nlm.nih.gov/nuccore/CP000304.1?report=graph&amp;tracks=[key:gene_model_track,Options:GeneOnly]&amp;mk=673127:673146|offset_54|444444,673175:673194|offset_102|00cc00,673196:673215|offset_123|444444,673217:673236|offset_144|444444&amp;v=672926:673436&amp;c=444444", "offset 102")</f>
        <v>offset 102</v>
      </c>
    </row>
    <row r="2345" customFormat="false" ht="12.8" hidden="false" customHeight="false" outlineLevel="0" collapsed="false">
      <c r="A2345" s="0" t="s">
        <v>12</v>
      </c>
      <c r="B2345" s="0" t="n">
        <v>673195</v>
      </c>
      <c r="C2345" s="0" t="n">
        <v>673215</v>
      </c>
      <c r="D2345" s="0" t="s">
        <v>7817</v>
      </c>
      <c r="E2345" s="0" t="s">
        <v>89</v>
      </c>
      <c r="F2345" s="0" t="s">
        <v>15</v>
      </c>
      <c r="G2345" s="0" t="s">
        <v>16</v>
      </c>
      <c r="H2345" s="0" t="n">
        <v>123</v>
      </c>
      <c r="I2345" s="0" t="s">
        <v>7824</v>
      </c>
      <c r="J2345" s="0" t="s">
        <v>7825</v>
      </c>
      <c r="K2345" s="0" t="s">
        <v>7826</v>
      </c>
      <c r="L2345" s="0" t="str">
        <f aca="false">HYPERLINK("https://www.ncbi.nlm.nih.gov/nuccore/CP000304.1?report=graph&amp;tracks=[key:gene_model_track,Options:GeneOnly]&amp;mk=673127:673146|offset_54|444444,673175:673194|offset_102|444444,673196:673215|offset_123|00cc00,673217:673236|offset_144|444444&amp;v=672926:673436&amp;c=444444", "offset 123")</f>
        <v>offset 123</v>
      </c>
    </row>
    <row r="2346" customFormat="false" ht="12.8" hidden="false" customHeight="false" outlineLevel="0" collapsed="false">
      <c r="A2346" s="0" t="s">
        <v>12</v>
      </c>
      <c r="B2346" s="0" t="n">
        <v>673216</v>
      </c>
      <c r="C2346" s="0" t="n">
        <v>673236</v>
      </c>
      <c r="D2346" s="0" t="s">
        <v>7817</v>
      </c>
      <c r="E2346" s="0" t="s">
        <v>89</v>
      </c>
      <c r="F2346" s="0" t="s">
        <v>15</v>
      </c>
      <c r="G2346" s="0" t="s">
        <v>26</v>
      </c>
      <c r="H2346" s="0" t="n">
        <v>144</v>
      </c>
      <c r="I2346" s="0" t="s">
        <v>7827</v>
      </c>
      <c r="J2346" s="0" t="s">
        <v>7828</v>
      </c>
      <c r="K2346" s="0" t="s">
        <v>7829</v>
      </c>
      <c r="L2346" s="0" t="str">
        <f aca="false">HYPERLINK("https://www.ncbi.nlm.nih.gov/nuccore/CP000304.1?report=graph&amp;tracks=[key:gene_model_track,Options:GeneOnly]&amp;mk=673127:673146|offset_54|444444,673175:673194|offset_102|444444,673196:673215|offset_123|444444,673217:673236|offset_144|00cc00&amp;v=672926:673436&amp;c=444444", "offset 144")</f>
        <v>offset 144</v>
      </c>
    </row>
    <row r="2347" customFormat="false" ht="12.8" hidden="false" customHeight="false" outlineLevel="0" collapsed="false">
      <c r="A2347" s="0" t="s">
        <v>12</v>
      </c>
      <c r="B2347" s="0" t="n">
        <v>674888</v>
      </c>
      <c r="C2347" s="0" t="n">
        <v>674908</v>
      </c>
      <c r="D2347" s="0" t="s">
        <v>7830</v>
      </c>
      <c r="E2347" s="0" t="s">
        <v>89</v>
      </c>
      <c r="F2347" s="0" t="s">
        <v>90</v>
      </c>
      <c r="G2347" s="0" t="s">
        <v>16</v>
      </c>
      <c r="H2347" s="0" t="n">
        <v>847</v>
      </c>
      <c r="I2347" s="0" t="s">
        <v>7831</v>
      </c>
      <c r="J2347" s="0" t="s">
        <v>7832</v>
      </c>
      <c r="K2347" s="0" t="s">
        <v>7833</v>
      </c>
      <c r="L2347" s="0" t="str">
        <f aca="false">HYPERLINK("https://www.ncbi.nlm.nih.gov/nuccore/CP000304.1?report=graph&amp;tracks=[key:gene_model_track,Options:GeneOnly]&amp;mk=674889:674908|offset_847|00cc00,674854:674873|offset_882|444444&amp;v=674688:675073&amp;c=444444", "offset 847")</f>
        <v>offset 847</v>
      </c>
    </row>
    <row r="2348" customFormat="false" ht="12.8" hidden="false" customHeight="false" outlineLevel="0" collapsed="false">
      <c r="A2348" s="0" t="s">
        <v>12</v>
      </c>
      <c r="B2348" s="0" t="n">
        <v>674853</v>
      </c>
      <c r="C2348" s="0" t="n">
        <v>674873</v>
      </c>
      <c r="D2348" s="0" t="s">
        <v>7830</v>
      </c>
      <c r="E2348" s="0" t="s">
        <v>89</v>
      </c>
      <c r="F2348" s="0" t="s">
        <v>90</v>
      </c>
      <c r="G2348" s="0" t="s">
        <v>26</v>
      </c>
      <c r="H2348" s="0" t="n">
        <v>882</v>
      </c>
      <c r="I2348" s="0" t="s">
        <v>7834</v>
      </c>
      <c r="J2348" s="0" t="s">
        <v>7835</v>
      </c>
      <c r="K2348" s="0" t="s">
        <v>7836</v>
      </c>
      <c r="L2348" s="0" t="str">
        <f aca="false">HYPERLINK("https://www.ncbi.nlm.nih.gov/nuccore/CP000304.1?report=graph&amp;tracks=[key:gene_model_track,Options:GeneOnly]&amp;mk=674889:674908|offset_847|444444,674854:674873|offset_882|00cc00&amp;v=674688:675073&amp;c=444444", "offset 882")</f>
        <v>offset 882</v>
      </c>
    </row>
    <row r="2349" customFormat="false" ht="12.8" hidden="false" customHeight="false" outlineLevel="0" collapsed="false">
      <c r="A2349" s="0" t="s">
        <v>12</v>
      </c>
      <c r="B2349" s="0" t="n">
        <v>676230</v>
      </c>
      <c r="C2349" s="0" t="n">
        <v>676250</v>
      </c>
      <c r="D2349" s="0" t="s">
        <v>7837</v>
      </c>
      <c r="E2349" s="0" t="s">
        <v>89</v>
      </c>
      <c r="F2349" s="0" t="s">
        <v>90</v>
      </c>
      <c r="G2349" s="0" t="s">
        <v>26</v>
      </c>
      <c r="H2349" s="0" t="n">
        <v>14</v>
      </c>
      <c r="I2349" s="0" t="s">
        <v>7838</v>
      </c>
      <c r="J2349" s="0" t="s">
        <v>7839</v>
      </c>
      <c r="K2349" s="0" t="s">
        <v>7840</v>
      </c>
      <c r="L2349" s="0" t="str">
        <f aca="false">HYPERLINK("https://www.ncbi.nlm.nih.gov/nuccore/CP000304.1?report=graph&amp;tracks=[key:gene_model_track,Options:GeneOnly]&amp;mk=676231:676250|offset_14|00cc00,676202:676221|offset_43|444444,676170:676189|offset_75|444444,676118:676137|offset_127|444444&amp;v=676030:676337&amp;c=444444", "offset 14")</f>
        <v>offset 14</v>
      </c>
    </row>
    <row r="2350" customFormat="false" ht="12.8" hidden="false" customHeight="false" outlineLevel="0" collapsed="false">
      <c r="A2350" s="0" t="s">
        <v>12</v>
      </c>
      <c r="B2350" s="0" t="n">
        <v>676201</v>
      </c>
      <c r="C2350" s="0" t="n">
        <v>676221</v>
      </c>
      <c r="D2350" s="0" t="s">
        <v>7837</v>
      </c>
      <c r="E2350" s="0" t="s">
        <v>89</v>
      </c>
      <c r="F2350" s="0" t="s">
        <v>90</v>
      </c>
      <c r="G2350" s="0" t="s">
        <v>36</v>
      </c>
      <c r="H2350" s="0" t="n">
        <v>43</v>
      </c>
      <c r="I2350" s="0" t="s">
        <v>7841</v>
      </c>
      <c r="J2350" s="0" t="s">
        <v>7842</v>
      </c>
      <c r="K2350" s="0" t="s">
        <v>7843</v>
      </c>
      <c r="L2350" s="0" t="str">
        <f aca="false">HYPERLINK("https://www.ncbi.nlm.nih.gov/nuccore/CP000304.1?report=graph&amp;tracks=[key:gene_model_track,Options:GeneOnly]&amp;mk=676231:676250|offset_14|444444,676202:676221|offset_43|00cc00,676170:676189|offset_75|444444,676118:676137|offset_127|444444&amp;v=676030:676337&amp;c=444444", "offset 43")</f>
        <v>offset 43</v>
      </c>
    </row>
    <row r="2351" customFormat="false" ht="12.8" hidden="false" customHeight="false" outlineLevel="0" collapsed="false">
      <c r="A2351" s="0" t="s">
        <v>12</v>
      </c>
      <c r="B2351" s="0" t="n">
        <v>676169</v>
      </c>
      <c r="C2351" s="0" t="n">
        <v>676189</v>
      </c>
      <c r="D2351" s="0" t="s">
        <v>7837</v>
      </c>
      <c r="E2351" s="0" t="s">
        <v>89</v>
      </c>
      <c r="F2351" s="0" t="s">
        <v>90</v>
      </c>
      <c r="G2351" s="0" t="s">
        <v>26</v>
      </c>
      <c r="H2351" s="0" t="n">
        <v>75</v>
      </c>
      <c r="I2351" s="0" t="s">
        <v>7844</v>
      </c>
      <c r="J2351" s="0" t="s">
        <v>7845</v>
      </c>
      <c r="K2351" s="0" t="s">
        <v>7846</v>
      </c>
      <c r="L2351" s="0" t="str">
        <f aca="false">HYPERLINK("https://www.ncbi.nlm.nih.gov/nuccore/CP000304.1?report=graph&amp;tracks=[key:gene_model_track,Options:GeneOnly]&amp;mk=676231:676250|offset_14|444444,676202:676221|offset_43|444444,676170:676189|offset_75|00cc00,676118:676137|offset_127|444444&amp;v=676030:676337&amp;c=444444", "offset 75")</f>
        <v>offset 75</v>
      </c>
    </row>
    <row r="2352" customFormat="false" ht="12.8" hidden="false" customHeight="false" outlineLevel="0" collapsed="false">
      <c r="A2352" s="0" t="s">
        <v>12</v>
      </c>
      <c r="B2352" s="0" t="n">
        <v>676117</v>
      </c>
      <c r="C2352" s="0" t="n">
        <v>676137</v>
      </c>
      <c r="D2352" s="0" t="s">
        <v>7837</v>
      </c>
      <c r="E2352" s="0" t="s">
        <v>89</v>
      </c>
      <c r="F2352" s="0" t="s">
        <v>90</v>
      </c>
      <c r="G2352" s="0" t="s">
        <v>16</v>
      </c>
      <c r="H2352" s="0" t="n">
        <v>127</v>
      </c>
      <c r="I2352" s="0" t="s">
        <v>7847</v>
      </c>
      <c r="J2352" s="0" t="s">
        <v>7848</v>
      </c>
      <c r="K2352" s="0" t="s">
        <v>7849</v>
      </c>
      <c r="L2352" s="0" t="str">
        <f aca="false">HYPERLINK("https://www.ncbi.nlm.nih.gov/nuccore/CP000304.1?report=graph&amp;tracks=[key:gene_model_track,Options:GeneOnly]&amp;mk=676231:676250|offset_14|444444,676202:676221|offset_43|444444,676170:676189|offset_75|444444,676118:676137|offset_127|00cc00&amp;v=676030:676337&amp;c=444444", "offset 127")</f>
        <v>offset 127</v>
      </c>
    </row>
    <row r="2353" customFormat="false" ht="12.8" hidden="false" customHeight="false" outlineLevel="0" collapsed="false">
      <c r="A2353" s="0" t="s">
        <v>12</v>
      </c>
      <c r="B2353" s="0" t="n">
        <v>677646</v>
      </c>
      <c r="C2353" s="0" t="n">
        <v>677666</v>
      </c>
      <c r="D2353" s="0" t="s">
        <v>7850</v>
      </c>
      <c r="E2353" s="0" t="s">
        <v>89</v>
      </c>
      <c r="F2353" s="0" t="s">
        <v>90</v>
      </c>
      <c r="G2353" s="0" t="s">
        <v>32</v>
      </c>
      <c r="H2353" s="0" t="n">
        <v>17</v>
      </c>
      <c r="I2353" s="0" t="s">
        <v>7851</v>
      </c>
      <c r="J2353" s="0" t="s">
        <v>7852</v>
      </c>
      <c r="K2353" s="0" t="s">
        <v>7853</v>
      </c>
      <c r="L2353" s="0" t="str">
        <f aca="false">HYPERLINK("https://www.ncbi.nlm.nih.gov/nuccore/CP000304.1?report=graph&amp;tracks=[key:gene_model_track,Options:GeneOnly]&amp;mk=677647:677666|offset_17|00cc00,677621:677640|offset_43|444444,677597:677616|offset_67|444444,677559:677578|offset_105|444444&amp;v=677446:677778&amp;c=444444", "offset 17")</f>
        <v>offset 17</v>
      </c>
    </row>
    <row r="2354" customFormat="false" ht="12.8" hidden="false" customHeight="false" outlineLevel="0" collapsed="false">
      <c r="A2354" s="0" t="s">
        <v>12</v>
      </c>
      <c r="B2354" s="0" t="n">
        <v>677620</v>
      </c>
      <c r="C2354" s="0" t="n">
        <v>677640</v>
      </c>
      <c r="D2354" s="0" t="s">
        <v>7850</v>
      </c>
      <c r="E2354" s="0" t="s">
        <v>89</v>
      </c>
      <c r="F2354" s="0" t="s">
        <v>90</v>
      </c>
      <c r="G2354" s="0" t="s">
        <v>36</v>
      </c>
      <c r="H2354" s="0" t="n">
        <v>43</v>
      </c>
      <c r="I2354" s="0" t="s">
        <v>7854</v>
      </c>
      <c r="J2354" s="0" t="s">
        <v>7855</v>
      </c>
      <c r="K2354" s="0" t="s">
        <v>7856</v>
      </c>
      <c r="L2354" s="0" t="str">
        <f aca="false">HYPERLINK("https://www.ncbi.nlm.nih.gov/nuccore/CP000304.1?report=graph&amp;tracks=[key:gene_model_track,Options:GeneOnly]&amp;mk=677647:677666|offset_17|444444,677621:677640|offset_43|00cc00,677597:677616|offset_67|444444,677559:677578|offset_105|444444&amp;v=677446:677778&amp;c=444444", "offset 43")</f>
        <v>offset 43</v>
      </c>
    </row>
    <row r="2355" customFormat="false" ht="12.8" hidden="false" customHeight="false" outlineLevel="0" collapsed="false">
      <c r="A2355" s="0" t="s">
        <v>12</v>
      </c>
      <c r="B2355" s="0" t="n">
        <v>677596</v>
      </c>
      <c r="C2355" s="0" t="n">
        <v>677616</v>
      </c>
      <c r="D2355" s="0" t="s">
        <v>7850</v>
      </c>
      <c r="E2355" s="0" t="s">
        <v>89</v>
      </c>
      <c r="F2355" s="0" t="s">
        <v>90</v>
      </c>
      <c r="G2355" s="0" t="s">
        <v>16</v>
      </c>
      <c r="H2355" s="0" t="n">
        <v>67</v>
      </c>
      <c r="I2355" s="0" t="s">
        <v>7857</v>
      </c>
      <c r="J2355" s="0" t="s">
        <v>7858</v>
      </c>
      <c r="K2355" s="0" t="s">
        <v>7859</v>
      </c>
      <c r="L2355" s="0" t="str">
        <f aca="false">HYPERLINK("https://www.ncbi.nlm.nih.gov/nuccore/CP000304.1?report=graph&amp;tracks=[key:gene_model_track,Options:GeneOnly]&amp;mk=677647:677666|offset_17|444444,677621:677640|offset_43|444444,677597:677616|offset_67|00cc00,677559:677578|offset_105|444444&amp;v=677446:677778&amp;c=444444", "offset 67")</f>
        <v>offset 67</v>
      </c>
    </row>
    <row r="2356" customFormat="false" ht="12.8" hidden="false" customHeight="false" outlineLevel="0" collapsed="false">
      <c r="A2356" s="0" t="s">
        <v>12</v>
      </c>
      <c r="B2356" s="0" t="n">
        <v>677558</v>
      </c>
      <c r="C2356" s="0" t="n">
        <v>677578</v>
      </c>
      <c r="D2356" s="0" t="s">
        <v>7850</v>
      </c>
      <c r="E2356" s="0" t="s">
        <v>89</v>
      </c>
      <c r="F2356" s="0" t="s">
        <v>90</v>
      </c>
      <c r="G2356" s="0" t="s">
        <v>16</v>
      </c>
      <c r="H2356" s="0" t="n">
        <v>105</v>
      </c>
      <c r="I2356" s="0" t="s">
        <v>7860</v>
      </c>
      <c r="J2356" s="0" t="s">
        <v>7861</v>
      </c>
      <c r="K2356" s="0" t="s">
        <v>7862</v>
      </c>
      <c r="L2356" s="0" t="str">
        <f aca="false">HYPERLINK("https://www.ncbi.nlm.nih.gov/nuccore/CP000304.1?report=graph&amp;tracks=[key:gene_model_track,Options:GeneOnly]&amp;mk=677647:677666|offset_17|444444,677621:677640|offset_43|444444,677597:677616|offset_67|444444,677559:677578|offset_105|00cc00&amp;v=677446:677778&amp;c=444444", "offset 105")</f>
        <v>offset 105</v>
      </c>
    </row>
    <row r="2357" customFormat="false" ht="12.8" hidden="false" customHeight="false" outlineLevel="0" collapsed="false">
      <c r="A2357" s="0" t="s">
        <v>12</v>
      </c>
      <c r="B2357" s="0" t="n">
        <v>680263</v>
      </c>
      <c r="C2357" s="0" t="n">
        <v>680283</v>
      </c>
      <c r="D2357" s="0" t="s">
        <v>7863</v>
      </c>
      <c r="E2357" s="0" t="s">
        <v>89</v>
      </c>
      <c r="F2357" s="0" t="s">
        <v>90</v>
      </c>
      <c r="G2357" s="0" t="s">
        <v>32</v>
      </c>
      <c r="H2357" s="0" t="n">
        <v>7</v>
      </c>
      <c r="I2357" s="0" t="s">
        <v>7864</v>
      </c>
      <c r="J2357" s="0" t="s">
        <v>7865</v>
      </c>
      <c r="K2357" s="0" t="s">
        <v>7866</v>
      </c>
      <c r="L2357" s="0" t="str">
        <f aca="false">HYPERLINK("https://www.ncbi.nlm.nih.gov/nuccore/CP000304.1?report=graph&amp;tracks=[key:gene_model_track,Options:GeneOnly]&amp;mk=680264:680283|offset_7|00cc00,680219:680238|offset_52|444444,680188:680207|offset_83|444444,680167:680186|offset_104|444444&amp;v=680063:680386&amp;c=444444", "offset 7")</f>
        <v>offset 7</v>
      </c>
    </row>
    <row r="2358" customFormat="false" ht="12.8" hidden="false" customHeight="false" outlineLevel="0" collapsed="false">
      <c r="A2358" s="0" t="s">
        <v>12</v>
      </c>
      <c r="B2358" s="0" t="n">
        <v>680218</v>
      </c>
      <c r="C2358" s="0" t="n">
        <v>680238</v>
      </c>
      <c r="D2358" s="0" t="s">
        <v>7863</v>
      </c>
      <c r="E2358" s="0" t="s">
        <v>89</v>
      </c>
      <c r="F2358" s="0" t="s">
        <v>90</v>
      </c>
      <c r="G2358" s="0" t="s">
        <v>32</v>
      </c>
      <c r="H2358" s="0" t="n">
        <v>52</v>
      </c>
      <c r="I2358" s="0" t="s">
        <v>7867</v>
      </c>
      <c r="J2358" s="0" t="s">
        <v>7868</v>
      </c>
      <c r="K2358" s="0" t="s">
        <v>7869</v>
      </c>
      <c r="L2358" s="0" t="str">
        <f aca="false">HYPERLINK("https://www.ncbi.nlm.nih.gov/nuccore/CP000304.1?report=graph&amp;tracks=[key:gene_model_track,Options:GeneOnly]&amp;mk=680264:680283|offset_7|444444,680219:680238|offset_52|00cc00,680188:680207|offset_83|444444,680167:680186|offset_104|444444&amp;v=680063:680386&amp;c=444444", "offset 52")</f>
        <v>offset 52</v>
      </c>
    </row>
    <row r="2359" customFormat="false" ht="12.8" hidden="false" customHeight="false" outlineLevel="0" collapsed="false">
      <c r="A2359" s="0" t="s">
        <v>12</v>
      </c>
      <c r="B2359" s="0" t="n">
        <v>680187</v>
      </c>
      <c r="C2359" s="0" t="n">
        <v>680207</v>
      </c>
      <c r="D2359" s="0" t="s">
        <v>7863</v>
      </c>
      <c r="E2359" s="0" t="s">
        <v>89</v>
      </c>
      <c r="F2359" s="0" t="s">
        <v>90</v>
      </c>
      <c r="G2359" s="0" t="s">
        <v>36</v>
      </c>
      <c r="H2359" s="0" t="n">
        <v>83</v>
      </c>
      <c r="I2359" s="0" t="s">
        <v>7870</v>
      </c>
      <c r="J2359" s="0" t="s">
        <v>7871</v>
      </c>
      <c r="K2359" s="0" t="s">
        <v>7872</v>
      </c>
      <c r="L2359" s="0" t="str">
        <f aca="false">HYPERLINK("https://www.ncbi.nlm.nih.gov/nuccore/CP000304.1?report=graph&amp;tracks=[key:gene_model_track,Options:GeneOnly]&amp;mk=680264:680283|offset_7|444444,680219:680238|offset_52|444444,680188:680207|offset_83|00cc00,680167:680186|offset_104|444444&amp;v=680063:680386&amp;c=444444", "offset 83")</f>
        <v>offset 83</v>
      </c>
    </row>
    <row r="2360" customFormat="false" ht="12.8" hidden="false" customHeight="false" outlineLevel="0" collapsed="false">
      <c r="A2360" s="0" t="s">
        <v>12</v>
      </c>
      <c r="B2360" s="0" t="n">
        <v>680166</v>
      </c>
      <c r="C2360" s="0" t="n">
        <v>680186</v>
      </c>
      <c r="D2360" s="0" t="s">
        <v>7863</v>
      </c>
      <c r="E2360" s="0" t="s">
        <v>89</v>
      </c>
      <c r="F2360" s="0" t="s">
        <v>90</v>
      </c>
      <c r="G2360" s="0" t="s">
        <v>36</v>
      </c>
      <c r="H2360" s="0" t="n">
        <v>104</v>
      </c>
      <c r="I2360" s="0" t="s">
        <v>7873</v>
      </c>
      <c r="J2360" s="0" t="s">
        <v>7874</v>
      </c>
      <c r="K2360" s="0" t="s">
        <v>7875</v>
      </c>
      <c r="L2360" s="0" t="str">
        <f aca="false">HYPERLINK("https://www.ncbi.nlm.nih.gov/nuccore/CP000304.1?report=graph&amp;tracks=[key:gene_model_track,Options:GeneOnly]&amp;mk=680264:680283|offset_7|444444,680219:680238|offset_52|444444,680188:680207|offset_83|444444,680167:680186|offset_104|00cc00&amp;v=680063:680386&amp;c=444444", "offset 104")</f>
        <v>offset 104</v>
      </c>
    </row>
    <row r="2361" customFormat="false" ht="12.8" hidden="false" customHeight="false" outlineLevel="0" collapsed="false">
      <c r="A2361" s="0" t="s">
        <v>12</v>
      </c>
      <c r="B2361" s="0" t="n">
        <v>680526</v>
      </c>
      <c r="C2361" s="0" t="n">
        <v>680546</v>
      </c>
      <c r="D2361" s="0" t="s">
        <v>7876</v>
      </c>
      <c r="E2361" s="0" t="s">
        <v>89</v>
      </c>
      <c r="F2361" s="0" t="s">
        <v>90</v>
      </c>
      <c r="G2361" s="0" t="s">
        <v>32</v>
      </c>
      <c r="H2361" s="0" t="n">
        <v>7</v>
      </c>
      <c r="I2361" s="0" t="s">
        <v>7877</v>
      </c>
      <c r="J2361" s="0" t="s">
        <v>7878</v>
      </c>
      <c r="K2361" s="0" t="s">
        <v>7879</v>
      </c>
      <c r="L2361" s="0" t="str">
        <f aca="false">HYPERLINK("https://www.ncbi.nlm.nih.gov/nuccore/CP000304.1?report=graph&amp;tracks=[key:gene_model_track,Options:GeneOnly]&amp;mk=680527:680546|offset_7|00cc00,680506:680525|offset_28|444444,680485:680504|offset_49|444444,680381:680400|offset_153|444444&amp;v=680326:680600&amp;c=444444", "offset 7")</f>
        <v>offset 7</v>
      </c>
    </row>
    <row r="2362" customFormat="false" ht="12.8" hidden="false" customHeight="false" outlineLevel="0" collapsed="false">
      <c r="A2362" s="0" t="s">
        <v>12</v>
      </c>
      <c r="B2362" s="0" t="n">
        <v>680505</v>
      </c>
      <c r="C2362" s="0" t="n">
        <v>680525</v>
      </c>
      <c r="D2362" s="0" t="s">
        <v>7876</v>
      </c>
      <c r="E2362" s="0" t="s">
        <v>89</v>
      </c>
      <c r="F2362" s="0" t="s">
        <v>90</v>
      </c>
      <c r="G2362" s="0" t="s">
        <v>32</v>
      </c>
      <c r="H2362" s="0" t="n">
        <v>28</v>
      </c>
      <c r="I2362" s="0" t="s">
        <v>7880</v>
      </c>
      <c r="J2362" s="0" t="s">
        <v>7881</v>
      </c>
      <c r="K2362" s="0" t="s">
        <v>7882</v>
      </c>
      <c r="L2362" s="0" t="str">
        <f aca="false">HYPERLINK("https://www.ncbi.nlm.nih.gov/nuccore/CP000304.1?report=graph&amp;tracks=[key:gene_model_track,Options:GeneOnly]&amp;mk=680527:680546|offset_7|444444,680506:680525|offset_28|00cc00,680485:680504|offset_49|444444,680381:680400|offset_153|444444&amp;v=680326:680600&amp;c=444444", "offset 28")</f>
        <v>offset 28</v>
      </c>
    </row>
    <row r="2363" customFormat="false" ht="12.8" hidden="false" customHeight="false" outlineLevel="0" collapsed="false">
      <c r="A2363" s="0" t="s">
        <v>12</v>
      </c>
      <c r="B2363" s="0" t="n">
        <v>680484</v>
      </c>
      <c r="C2363" s="0" t="n">
        <v>680504</v>
      </c>
      <c r="D2363" s="0" t="s">
        <v>7876</v>
      </c>
      <c r="E2363" s="0" t="s">
        <v>89</v>
      </c>
      <c r="F2363" s="0" t="s">
        <v>90</v>
      </c>
      <c r="G2363" s="0" t="s">
        <v>16</v>
      </c>
      <c r="H2363" s="0" t="n">
        <v>49</v>
      </c>
      <c r="I2363" s="0" t="s">
        <v>7883</v>
      </c>
      <c r="J2363" s="0" t="s">
        <v>7884</v>
      </c>
      <c r="K2363" s="0" t="s">
        <v>7885</v>
      </c>
      <c r="L2363" s="0" t="str">
        <f aca="false">HYPERLINK("https://www.ncbi.nlm.nih.gov/nuccore/CP000304.1?report=graph&amp;tracks=[key:gene_model_track,Options:GeneOnly]&amp;mk=680527:680546|offset_7|444444,680506:680525|offset_28|444444,680485:680504|offset_49|00cc00,680381:680400|offset_153|444444&amp;v=680326:680600&amp;c=444444", "offset 49")</f>
        <v>offset 49</v>
      </c>
    </row>
    <row r="2364" customFormat="false" ht="12.8" hidden="false" customHeight="false" outlineLevel="0" collapsed="false">
      <c r="A2364" s="0" t="s">
        <v>12</v>
      </c>
      <c r="B2364" s="0" t="n">
        <v>680380</v>
      </c>
      <c r="C2364" s="0" t="n">
        <v>680400</v>
      </c>
      <c r="D2364" s="0" t="s">
        <v>7876</v>
      </c>
      <c r="E2364" s="0" t="s">
        <v>89</v>
      </c>
      <c r="F2364" s="0" t="s">
        <v>90</v>
      </c>
      <c r="G2364" s="0" t="s">
        <v>36</v>
      </c>
      <c r="H2364" s="0" t="n">
        <v>153</v>
      </c>
      <c r="I2364" s="0" t="s">
        <v>7886</v>
      </c>
      <c r="J2364" s="0" t="s">
        <v>7887</v>
      </c>
      <c r="K2364" s="0" t="s">
        <v>7888</v>
      </c>
      <c r="L2364" s="0" t="str">
        <f aca="false">HYPERLINK("https://www.ncbi.nlm.nih.gov/nuccore/CP000304.1?report=graph&amp;tracks=[key:gene_model_track,Options:GeneOnly]&amp;mk=680527:680546|offset_7|444444,680506:680525|offset_28|444444,680485:680504|offset_49|444444,680381:680400|offset_153|00cc00&amp;v=680326:680600&amp;c=444444", "offset 153")</f>
        <v>offset 153</v>
      </c>
    </row>
    <row r="2365" customFormat="false" ht="12.8" hidden="false" customHeight="false" outlineLevel="0" collapsed="false">
      <c r="A2365" s="0" t="s">
        <v>12</v>
      </c>
      <c r="B2365" s="0" t="n">
        <v>682011</v>
      </c>
      <c r="C2365" s="0" t="n">
        <v>682031</v>
      </c>
      <c r="D2365" s="0" t="s">
        <v>7889</v>
      </c>
      <c r="E2365" s="0" t="s">
        <v>7890</v>
      </c>
      <c r="F2365" s="0" t="s">
        <v>90</v>
      </c>
      <c r="G2365" s="0" t="s">
        <v>26</v>
      </c>
      <c r="H2365" s="0" t="n">
        <v>26</v>
      </c>
      <c r="I2365" s="0" t="s">
        <v>7891</v>
      </c>
      <c r="J2365" s="0" t="s">
        <v>7892</v>
      </c>
      <c r="K2365" s="0" t="s">
        <v>7893</v>
      </c>
      <c r="L2365" s="0" t="str">
        <f aca="false">HYPERLINK("https://www.ncbi.nlm.nih.gov/nuccore/CP000304.1?report=graph&amp;tracks=[key:gene_model_track,Options:GeneOnly]&amp;mk=682012:682031|offset_26|00cc00,681992:682011|offset_46|444444,681952:681971|offset_86|444444,681903:681922|offset_135|444444&amp;v=681811:682122&amp;c=444444", "offset 26")</f>
        <v>offset 26</v>
      </c>
    </row>
    <row r="2366" customFormat="false" ht="12.8" hidden="false" customHeight="false" outlineLevel="0" collapsed="false">
      <c r="A2366" s="0" t="s">
        <v>12</v>
      </c>
      <c r="B2366" s="0" t="n">
        <v>681991</v>
      </c>
      <c r="C2366" s="0" t="n">
        <v>682011</v>
      </c>
      <c r="D2366" s="0" t="s">
        <v>7889</v>
      </c>
      <c r="E2366" s="0" t="s">
        <v>7890</v>
      </c>
      <c r="F2366" s="0" t="s">
        <v>90</v>
      </c>
      <c r="G2366" s="0" t="s">
        <v>32</v>
      </c>
      <c r="H2366" s="0" t="n">
        <v>46</v>
      </c>
      <c r="I2366" s="0" t="s">
        <v>7894</v>
      </c>
      <c r="J2366" s="0" t="s">
        <v>7895</v>
      </c>
      <c r="K2366" s="0" t="s">
        <v>7896</v>
      </c>
      <c r="L2366" s="0" t="str">
        <f aca="false">HYPERLINK("https://www.ncbi.nlm.nih.gov/nuccore/CP000304.1?report=graph&amp;tracks=[key:gene_model_track,Options:GeneOnly]&amp;mk=682012:682031|offset_26|444444,681992:682011|offset_46|00cc00,681952:681971|offset_86|444444,681903:681922|offset_135|444444&amp;v=681811:682122&amp;c=444444", "offset 46")</f>
        <v>offset 46</v>
      </c>
    </row>
    <row r="2367" customFormat="false" ht="12.8" hidden="false" customHeight="false" outlineLevel="0" collapsed="false">
      <c r="A2367" s="0" t="s">
        <v>12</v>
      </c>
      <c r="B2367" s="0" t="n">
        <v>681951</v>
      </c>
      <c r="C2367" s="0" t="n">
        <v>681971</v>
      </c>
      <c r="D2367" s="0" t="s">
        <v>7889</v>
      </c>
      <c r="E2367" s="0" t="s">
        <v>7890</v>
      </c>
      <c r="F2367" s="0" t="s">
        <v>90</v>
      </c>
      <c r="G2367" s="0" t="s">
        <v>16</v>
      </c>
      <c r="H2367" s="0" t="n">
        <v>86</v>
      </c>
      <c r="I2367" s="0" t="s">
        <v>7897</v>
      </c>
      <c r="J2367" s="0" t="s">
        <v>7898</v>
      </c>
      <c r="K2367" s="0" t="s">
        <v>7899</v>
      </c>
      <c r="L2367" s="0" t="str">
        <f aca="false">HYPERLINK("https://www.ncbi.nlm.nih.gov/nuccore/CP000304.1?report=graph&amp;tracks=[key:gene_model_track,Options:GeneOnly]&amp;mk=682012:682031|offset_26|444444,681992:682011|offset_46|444444,681952:681971|offset_86|00cc00,681903:681922|offset_135|444444&amp;v=681811:682122&amp;c=444444", "offset 86")</f>
        <v>offset 86</v>
      </c>
    </row>
    <row r="2368" customFormat="false" ht="12.8" hidden="false" customHeight="false" outlineLevel="0" collapsed="false">
      <c r="A2368" s="0" t="s">
        <v>12</v>
      </c>
      <c r="B2368" s="0" t="n">
        <v>681902</v>
      </c>
      <c r="C2368" s="0" t="n">
        <v>681922</v>
      </c>
      <c r="D2368" s="0" t="s">
        <v>7889</v>
      </c>
      <c r="E2368" s="0" t="s">
        <v>7890</v>
      </c>
      <c r="F2368" s="0" t="s">
        <v>90</v>
      </c>
      <c r="G2368" s="0" t="s">
        <v>36</v>
      </c>
      <c r="H2368" s="0" t="n">
        <v>135</v>
      </c>
      <c r="I2368" s="0" t="s">
        <v>7900</v>
      </c>
      <c r="J2368" s="0" t="s">
        <v>7901</v>
      </c>
      <c r="K2368" s="0" t="s">
        <v>7902</v>
      </c>
      <c r="L2368" s="0" t="str">
        <f aca="false">HYPERLINK("https://www.ncbi.nlm.nih.gov/nuccore/CP000304.1?report=graph&amp;tracks=[key:gene_model_track,Options:GeneOnly]&amp;mk=682012:682031|offset_26|444444,681992:682011|offset_46|444444,681952:681971|offset_86|444444,681903:681922|offset_135|00cc00&amp;v=681811:682122&amp;c=444444", "offset 135")</f>
        <v>offset 135</v>
      </c>
    </row>
    <row r="2369" customFormat="false" ht="12.8" hidden="false" customHeight="false" outlineLevel="0" collapsed="false">
      <c r="A2369" s="0" t="s">
        <v>12</v>
      </c>
      <c r="B2369" s="0" t="n">
        <v>683003</v>
      </c>
      <c r="C2369" s="0" t="n">
        <v>683023</v>
      </c>
      <c r="D2369" s="0" t="s">
        <v>7903</v>
      </c>
      <c r="E2369" s="0" t="s">
        <v>89</v>
      </c>
      <c r="F2369" s="0" t="s">
        <v>90</v>
      </c>
      <c r="G2369" s="0" t="s">
        <v>16</v>
      </c>
      <c r="H2369" s="0" t="n">
        <v>34</v>
      </c>
      <c r="I2369" s="0" t="s">
        <v>7904</v>
      </c>
      <c r="J2369" s="0" t="s">
        <v>7905</v>
      </c>
      <c r="K2369" s="0" t="s">
        <v>7906</v>
      </c>
      <c r="L2369" s="0" t="str">
        <f aca="false">HYPERLINK("https://www.ncbi.nlm.nih.gov/nuccore/CP000304.1?report=graph&amp;tracks=[key:gene_model_track,Options:GeneOnly]&amp;mk=683004:683023|offset_34|00cc00,682982:683001|offset_56|444444,682935:682954|offset_103|444444,682911:682930|offset_127|444444&amp;v=682803:683130&amp;c=444444", "offset 34")</f>
        <v>offset 34</v>
      </c>
    </row>
    <row r="2370" customFormat="false" ht="12.8" hidden="false" customHeight="false" outlineLevel="0" collapsed="false">
      <c r="A2370" s="0" t="s">
        <v>12</v>
      </c>
      <c r="B2370" s="0" t="n">
        <v>682981</v>
      </c>
      <c r="C2370" s="0" t="n">
        <v>683001</v>
      </c>
      <c r="D2370" s="0" t="s">
        <v>7903</v>
      </c>
      <c r="E2370" s="0" t="s">
        <v>89</v>
      </c>
      <c r="F2370" s="0" t="s">
        <v>90</v>
      </c>
      <c r="G2370" s="0" t="s">
        <v>26</v>
      </c>
      <c r="H2370" s="0" t="n">
        <v>56</v>
      </c>
      <c r="I2370" s="0" t="s">
        <v>7907</v>
      </c>
      <c r="J2370" s="0" t="s">
        <v>7908</v>
      </c>
      <c r="K2370" s="0" t="s">
        <v>7909</v>
      </c>
      <c r="L2370" s="0" t="str">
        <f aca="false">HYPERLINK("https://www.ncbi.nlm.nih.gov/nuccore/CP000304.1?report=graph&amp;tracks=[key:gene_model_track,Options:GeneOnly]&amp;mk=683004:683023|offset_34|444444,682982:683001|offset_56|00cc00,682935:682954|offset_103|444444,682911:682930|offset_127|444444&amp;v=682803:683130&amp;c=444444", "offset 56")</f>
        <v>offset 56</v>
      </c>
    </row>
    <row r="2371" customFormat="false" ht="12.8" hidden="false" customHeight="false" outlineLevel="0" collapsed="false">
      <c r="A2371" s="0" t="s">
        <v>12</v>
      </c>
      <c r="B2371" s="0" t="n">
        <v>682934</v>
      </c>
      <c r="C2371" s="0" t="n">
        <v>682954</v>
      </c>
      <c r="D2371" s="0" t="s">
        <v>7903</v>
      </c>
      <c r="E2371" s="0" t="s">
        <v>89</v>
      </c>
      <c r="F2371" s="0" t="s">
        <v>90</v>
      </c>
      <c r="G2371" s="0" t="s">
        <v>32</v>
      </c>
      <c r="H2371" s="0" t="n">
        <v>103</v>
      </c>
      <c r="I2371" s="0" t="s">
        <v>7910</v>
      </c>
      <c r="J2371" s="0" t="s">
        <v>7911</v>
      </c>
      <c r="K2371" s="0" t="s">
        <v>7912</v>
      </c>
      <c r="L2371" s="0" t="str">
        <f aca="false">HYPERLINK("https://www.ncbi.nlm.nih.gov/nuccore/CP000304.1?report=graph&amp;tracks=[key:gene_model_track,Options:GeneOnly]&amp;mk=683004:683023|offset_34|444444,682982:683001|offset_56|444444,682935:682954|offset_103|00cc00,682911:682930|offset_127|444444&amp;v=682803:683130&amp;c=444444", "offset 103")</f>
        <v>offset 103</v>
      </c>
    </row>
    <row r="2372" customFormat="false" ht="12.8" hidden="false" customHeight="false" outlineLevel="0" collapsed="false">
      <c r="A2372" s="0" t="s">
        <v>12</v>
      </c>
      <c r="B2372" s="0" t="n">
        <v>682910</v>
      </c>
      <c r="C2372" s="0" t="n">
        <v>682930</v>
      </c>
      <c r="D2372" s="0" t="s">
        <v>7903</v>
      </c>
      <c r="E2372" s="0" t="s">
        <v>89</v>
      </c>
      <c r="F2372" s="0" t="s">
        <v>90</v>
      </c>
      <c r="G2372" s="0" t="s">
        <v>16</v>
      </c>
      <c r="H2372" s="0" t="n">
        <v>127</v>
      </c>
      <c r="I2372" s="0" t="s">
        <v>7913</v>
      </c>
      <c r="J2372" s="0" t="s">
        <v>7914</v>
      </c>
      <c r="K2372" s="0" t="s">
        <v>7915</v>
      </c>
      <c r="L2372" s="0" t="str">
        <f aca="false">HYPERLINK("https://www.ncbi.nlm.nih.gov/nuccore/CP000304.1?report=graph&amp;tracks=[key:gene_model_track,Options:GeneOnly]&amp;mk=683004:683023|offset_34|444444,682982:683001|offset_56|444444,682935:682954|offset_103|444444,682911:682930|offset_127|00cc00&amp;v=682803:683130&amp;c=444444", "offset 127")</f>
        <v>offset 127</v>
      </c>
    </row>
    <row r="2373" customFormat="false" ht="12.8" hidden="false" customHeight="false" outlineLevel="0" collapsed="false">
      <c r="A2373" s="0" t="s">
        <v>12</v>
      </c>
      <c r="B2373" s="0" t="n">
        <v>684267</v>
      </c>
      <c r="C2373" s="0" t="n">
        <v>684287</v>
      </c>
      <c r="D2373" s="0" t="s">
        <v>7916</v>
      </c>
      <c r="E2373" s="0" t="s">
        <v>89</v>
      </c>
      <c r="F2373" s="0" t="s">
        <v>90</v>
      </c>
      <c r="G2373" s="0" t="s">
        <v>36</v>
      </c>
      <c r="H2373" s="0" t="n">
        <v>0</v>
      </c>
      <c r="I2373" s="0" t="s">
        <v>7917</v>
      </c>
      <c r="J2373" s="0" t="s">
        <v>7918</v>
      </c>
      <c r="K2373" s="0" t="s">
        <v>7919</v>
      </c>
      <c r="L2373" s="0" t="str">
        <f aca="false">HYPERLINK("https://www.ncbi.nlm.nih.gov/nuccore/CP000304.1?report=graph&amp;tracks=[key:gene_model_track,Options:GeneOnly]&amp;mk=684268:684287|offset_0|00cc00,684246:684265|offset_22|444444,684215:684234|offset_53|444444,684188:684207|offset_80|444444&amp;v=684067:684407&amp;c=444444", "offset 0")</f>
        <v>offset 0</v>
      </c>
    </row>
    <row r="2374" customFormat="false" ht="12.8" hidden="false" customHeight="false" outlineLevel="0" collapsed="false">
      <c r="A2374" s="0" t="s">
        <v>12</v>
      </c>
      <c r="B2374" s="0" t="n">
        <v>684245</v>
      </c>
      <c r="C2374" s="0" t="n">
        <v>684265</v>
      </c>
      <c r="D2374" s="0" t="s">
        <v>7916</v>
      </c>
      <c r="E2374" s="0" t="s">
        <v>89</v>
      </c>
      <c r="F2374" s="0" t="s">
        <v>90</v>
      </c>
      <c r="G2374" s="0" t="s">
        <v>36</v>
      </c>
      <c r="H2374" s="0" t="n">
        <v>22</v>
      </c>
      <c r="I2374" s="0" t="s">
        <v>7920</v>
      </c>
      <c r="J2374" s="0" t="s">
        <v>7921</v>
      </c>
      <c r="K2374" s="0" t="s">
        <v>7922</v>
      </c>
      <c r="L2374" s="0" t="str">
        <f aca="false">HYPERLINK("https://www.ncbi.nlm.nih.gov/nuccore/CP000304.1?report=graph&amp;tracks=[key:gene_model_track,Options:GeneOnly]&amp;mk=684268:684287|offset_0|444444,684246:684265|offset_22|00cc00,684215:684234|offset_53|444444,684188:684207|offset_80|444444&amp;v=684067:684407&amp;c=444444", "offset 22")</f>
        <v>offset 22</v>
      </c>
    </row>
    <row r="2375" customFormat="false" ht="12.8" hidden="false" customHeight="false" outlineLevel="0" collapsed="false">
      <c r="A2375" s="0" t="s">
        <v>12</v>
      </c>
      <c r="B2375" s="0" t="n">
        <v>684214</v>
      </c>
      <c r="C2375" s="0" t="n">
        <v>684234</v>
      </c>
      <c r="D2375" s="0" t="s">
        <v>7916</v>
      </c>
      <c r="E2375" s="0" t="s">
        <v>89</v>
      </c>
      <c r="F2375" s="0" t="s">
        <v>90</v>
      </c>
      <c r="G2375" s="0" t="s">
        <v>16</v>
      </c>
      <c r="H2375" s="0" t="n">
        <v>53</v>
      </c>
      <c r="I2375" s="0" t="s">
        <v>7923</v>
      </c>
      <c r="J2375" s="0" t="s">
        <v>7924</v>
      </c>
      <c r="K2375" s="0" t="s">
        <v>7925</v>
      </c>
      <c r="L2375" s="0" t="str">
        <f aca="false">HYPERLINK("https://www.ncbi.nlm.nih.gov/nuccore/CP000304.1?report=graph&amp;tracks=[key:gene_model_track,Options:GeneOnly]&amp;mk=684268:684287|offset_0|444444,684246:684265|offset_22|444444,684215:684234|offset_53|00cc00,684188:684207|offset_80|444444&amp;v=684067:684407&amp;c=444444", "offset 53")</f>
        <v>offset 53</v>
      </c>
    </row>
    <row r="2376" customFormat="false" ht="12.8" hidden="false" customHeight="false" outlineLevel="0" collapsed="false">
      <c r="A2376" s="0" t="s">
        <v>12</v>
      </c>
      <c r="B2376" s="0" t="n">
        <v>684187</v>
      </c>
      <c r="C2376" s="0" t="n">
        <v>684207</v>
      </c>
      <c r="D2376" s="0" t="s">
        <v>7916</v>
      </c>
      <c r="E2376" s="0" t="s">
        <v>89</v>
      </c>
      <c r="F2376" s="0" t="s">
        <v>90</v>
      </c>
      <c r="G2376" s="0" t="s">
        <v>36</v>
      </c>
      <c r="H2376" s="0" t="n">
        <v>80</v>
      </c>
      <c r="I2376" s="0" t="s">
        <v>7926</v>
      </c>
      <c r="J2376" s="0" t="s">
        <v>7927</v>
      </c>
      <c r="K2376" s="0" t="s">
        <v>7928</v>
      </c>
      <c r="L2376" s="0" t="str">
        <f aca="false">HYPERLINK("https://www.ncbi.nlm.nih.gov/nuccore/CP000304.1?report=graph&amp;tracks=[key:gene_model_track,Options:GeneOnly]&amp;mk=684268:684287|offset_0|444444,684246:684265|offset_22|444444,684215:684234|offset_53|444444,684188:684207|offset_80|00cc00&amp;v=684067:684407&amp;c=444444", "offset 80")</f>
        <v>offset 80</v>
      </c>
    </row>
    <row r="2377" customFormat="false" ht="12.8" hidden="false" customHeight="false" outlineLevel="0" collapsed="false">
      <c r="A2377" s="0" t="s">
        <v>12</v>
      </c>
      <c r="B2377" s="0" t="n">
        <v>685496</v>
      </c>
      <c r="C2377" s="0" t="n">
        <v>685516</v>
      </c>
      <c r="D2377" s="0" t="s">
        <v>7929</v>
      </c>
      <c r="E2377" s="0" t="s">
        <v>89</v>
      </c>
      <c r="F2377" s="0" t="s">
        <v>90</v>
      </c>
      <c r="G2377" s="0" t="s">
        <v>36</v>
      </c>
      <c r="H2377" s="0" t="n">
        <v>7</v>
      </c>
      <c r="I2377" s="0" t="s">
        <v>7930</v>
      </c>
      <c r="J2377" s="0" t="s">
        <v>7931</v>
      </c>
      <c r="K2377" s="0" t="s">
        <v>7932</v>
      </c>
      <c r="L2377" s="0" t="str">
        <f aca="false">HYPERLINK("https://www.ncbi.nlm.nih.gov/nuccore/CP000304.1?report=graph&amp;tracks=[key:gene_model_track,Options:GeneOnly]&amp;mk=685497:685516|offset_7|00cc00,685446:685465|offset_58|444444,685422:685441|offset_82|444444,685392:685411|offset_112|444444&amp;v=685296:685611&amp;c=444444", "offset 7")</f>
        <v>offset 7</v>
      </c>
    </row>
    <row r="2378" customFormat="false" ht="12.8" hidden="false" customHeight="false" outlineLevel="0" collapsed="false">
      <c r="A2378" s="0" t="s">
        <v>12</v>
      </c>
      <c r="B2378" s="0" t="n">
        <v>685445</v>
      </c>
      <c r="C2378" s="0" t="n">
        <v>685465</v>
      </c>
      <c r="D2378" s="0" t="s">
        <v>7929</v>
      </c>
      <c r="E2378" s="0" t="s">
        <v>89</v>
      </c>
      <c r="F2378" s="0" t="s">
        <v>90</v>
      </c>
      <c r="G2378" s="0" t="s">
        <v>16</v>
      </c>
      <c r="H2378" s="0" t="n">
        <v>58</v>
      </c>
      <c r="I2378" s="0" t="s">
        <v>7933</v>
      </c>
      <c r="J2378" s="0" t="s">
        <v>7934</v>
      </c>
      <c r="K2378" s="0" t="s">
        <v>7935</v>
      </c>
      <c r="L2378" s="0" t="str">
        <f aca="false">HYPERLINK("https://www.ncbi.nlm.nih.gov/nuccore/CP000304.1?report=graph&amp;tracks=[key:gene_model_track,Options:GeneOnly]&amp;mk=685497:685516|offset_7|444444,685446:685465|offset_58|00cc00,685422:685441|offset_82|444444,685392:685411|offset_112|444444&amp;v=685296:685611&amp;c=444444", "offset 58")</f>
        <v>offset 58</v>
      </c>
    </row>
    <row r="2379" customFormat="false" ht="12.8" hidden="false" customHeight="false" outlineLevel="0" collapsed="false">
      <c r="A2379" s="0" t="s">
        <v>12</v>
      </c>
      <c r="B2379" s="0" t="n">
        <v>685421</v>
      </c>
      <c r="C2379" s="0" t="n">
        <v>685441</v>
      </c>
      <c r="D2379" s="0" t="s">
        <v>7929</v>
      </c>
      <c r="E2379" s="0" t="s">
        <v>89</v>
      </c>
      <c r="F2379" s="0" t="s">
        <v>90</v>
      </c>
      <c r="G2379" s="0" t="s">
        <v>16</v>
      </c>
      <c r="H2379" s="0" t="n">
        <v>82</v>
      </c>
      <c r="I2379" s="0" t="s">
        <v>7936</v>
      </c>
      <c r="J2379" s="0" t="s">
        <v>7937</v>
      </c>
      <c r="K2379" s="0" t="s">
        <v>7938</v>
      </c>
      <c r="L2379" s="0" t="str">
        <f aca="false">HYPERLINK("https://www.ncbi.nlm.nih.gov/nuccore/CP000304.1?report=graph&amp;tracks=[key:gene_model_track,Options:GeneOnly]&amp;mk=685497:685516|offset_7|444444,685446:685465|offset_58|444444,685422:685441|offset_82|00cc00,685392:685411|offset_112|444444&amp;v=685296:685611&amp;c=444444", "offset 82")</f>
        <v>offset 82</v>
      </c>
    </row>
    <row r="2380" customFormat="false" ht="12.8" hidden="false" customHeight="false" outlineLevel="0" collapsed="false">
      <c r="A2380" s="0" t="s">
        <v>12</v>
      </c>
      <c r="B2380" s="0" t="n">
        <v>685391</v>
      </c>
      <c r="C2380" s="0" t="n">
        <v>685411</v>
      </c>
      <c r="D2380" s="0" t="s">
        <v>7929</v>
      </c>
      <c r="E2380" s="0" t="s">
        <v>89</v>
      </c>
      <c r="F2380" s="0" t="s">
        <v>90</v>
      </c>
      <c r="G2380" s="0" t="s">
        <v>26</v>
      </c>
      <c r="H2380" s="0" t="n">
        <v>112</v>
      </c>
      <c r="I2380" s="0" t="s">
        <v>7939</v>
      </c>
      <c r="J2380" s="0" t="s">
        <v>7940</v>
      </c>
      <c r="K2380" s="0" t="s">
        <v>7941</v>
      </c>
      <c r="L2380" s="0" t="str">
        <f aca="false">HYPERLINK("https://www.ncbi.nlm.nih.gov/nuccore/CP000304.1?report=graph&amp;tracks=[key:gene_model_track,Options:GeneOnly]&amp;mk=685497:685516|offset_7|444444,685446:685465|offset_58|444444,685422:685441|offset_82|444444,685392:685411|offset_112|00cc00&amp;v=685296:685611&amp;c=444444", "offset 112")</f>
        <v>offset 112</v>
      </c>
    </row>
    <row r="2381" customFormat="false" ht="12.8" hidden="false" customHeight="false" outlineLevel="0" collapsed="false">
      <c r="A2381" s="0" t="s">
        <v>12</v>
      </c>
      <c r="B2381" s="0" t="n">
        <v>686350</v>
      </c>
      <c r="C2381" s="0" t="n">
        <v>686370</v>
      </c>
      <c r="D2381" s="0" t="s">
        <v>7942</v>
      </c>
      <c r="E2381" s="0" t="s">
        <v>89</v>
      </c>
      <c r="F2381" s="0" t="s">
        <v>90</v>
      </c>
      <c r="G2381" s="0" t="s">
        <v>26</v>
      </c>
      <c r="H2381" s="0" t="n">
        <v>17</v>
      </c>
      <c r="I2381" s="0" t="s">
        <v>7943</v>
      </c>
      <c r="J2381" s="0" t="s">
        <v>7944</v>
      </c>
      <c r="K2381" s="0" t="s">
        <v>7945</v>
      </c>
      <c r="L2381" s="0" t="str">
        <f aca="false">HYPERLINK("https://www.ncbi.nlm.nih.gov/nuccore/CP000304.1?report=graph&amp;tracks=[key:gene_model_track,Options:GeneOnly]&amp;mk=686351:686370|offset_17|00cc00,686330:686349|offset_38|444444,686306:686325|offset_62|444444,686265:686284|offset_103|444444&amp;v=686150:686484&amp;c=444444", "offset 17")</f>
        <v>offset 17</v>
      </c>
    </row>
    <row r="2382" customFormat="false" ht="12.8" hidden="false" customHeight="false" outlineLevel="0" collapsed="false">
      <c r="A2382" s="0" t="s">
        <v>12</v>
      </c>
      <c r="B2382" s="0" t="n">
        <v>686329</v>
      </c>
      <c r="C2382" s="0" t="n">
        <v>686349</v>
      </c>
      <c r="D2382" s="0" t="s">
        <v>7942</v>
      </c>
      <c r="E2382" s="0" t="s">
        <v>89</v>
      </c>
      <c r="F2382" s="0" t="s">
        <v>90</v>
      </c>
      <c r="G2382" s="0" t="s">
        <v>36</v>
      </c>
      <c r="H2382" s="0" t="n">
        <v>38</v>
      </c>
      <c r="I2382" s="0" t="s">
        <v>7946</v>
      </c>
      <c r="J2382" s="0" t="s">
        <v>7947</v>
      </c>
      <c r="K2382" s="0" t="s">
        <v>7948</v>
      </c>
      <c r="L2382" s="0" t="str">
        <f aca="false">HYPERLINK("https://www.ncbi.nlm.nih.gov/nuccore/CP000304.1?report=graph&amp;tracks=[key:gene_model_track,Options:GeneOnly]&amp;mk=686351:686370|offset_17|444444,686330:686349|offset_38|00cc00,686306:686325|offset_62|444444,686265:686284|offset_103|444444&amp;v=686150:686484&amp;c=444444", "offset 38")</f>
        <v>offset 38</v>
      </c>
    </row>
    <row r="2383" customFormat="false" ht="12.8" hidden="false" customHeight="false" outlineLevel="0" collapsed="false">
      <c r="A2383" s="0" t="s">
        <v>12</v>
      </c>
      <c r="B2383" s="0" t="n">
        <v>686305</v>
      </c>
      <c r="C2383" s="0" t="n">
        <v>686325</v>
      </c>
      <c r="D2383" s="0" t="s">
        <v>7942</v>
      </c>
      <c r="E2383" s="0" t="s">
        <v>89</v>
      </c>
      <c r="F2383" s="0" t="s">
        <v>90</v>
      </c>
      <c r="G2383" s="0" t="s">
        <v>16</v>
      </c>
      <c r="H2383" s="0" t="n">
        <v>62</v>
      </c>
      <c r="I2383" s="0" t="s">
        <v>7949</v>
      </c>
      <c r="J2383" s="0" t="s">
        <v>7950</v>
      </c>
      <c r="K2383" s="0" t="s">
        <v>7951</v>
      </c>
      <c r="L2383" s="0" t="str">
        <f aca="false">HYPERLINK("https://www.ncbi.nlm.nih.gov/nuccore/CP000304.1?report=graph&amp;tracks=[key:gene_model_track,Options:GeneOnly]&amp;mk=686351:686370|offset_17|444444,686330:686349|offset_38|444444,686306:686325|offset_62|00cc00,686265:686284|offset_103|444444&amp;v=686150:686484&amp;c=444444", "offset 62")</f>
        <v>offset 62</v>
      </c>
    </row>
    <row r="2384" customFormat="false" ht="12.8" hidden="false" customHeight="false" outlineLevel="0" collapsed="false">
      <c r="A2384" s="0" t="s">
        <v>12</v>
      </c>
      <c r="B2384" s="0" t="n">
        <v>686264</v>
      </c>
      <c r="C2384" s="0" t="n">
        <v>686284</v>
      </c>
      <c r="D2384" s="0" t="s">
        <v>7942</v>
      </c>
      <c r="E2384" s="0" t="s">
        <v>89</v>
      </c>
      <c r="F2384" s="0" t="s">
        <v>90</v>
      </c>
      <c r="G2384" s="0" t="s">
        <v>16</v>
      </c>
      <c r="H2384" s="0" t="n">
        <v>103</v>
      </c>
      <c r="I2384" s="0" t="s">
        <v>7952</v>
      </c>
      <c r="J2384" s="0" t="s">
        <v>7953</v>
      </c>
      <c r="K2384" s="0" t="s">
        <v>7954</v>
      </c>
      <c r="L2384" s="0" t="str">
        <f aca="false">HYPERLINK("https://www.ncbi.nlm.nih.gov/nuccore/CP000304.1?report=graph&amp;tracks=[key:gene_model_track,Options:GeneOnly]&amp;mk=686351:686370|offset_17|444444,686330:686349|offset_38|444444,686306:686325|offset_62|444444,686265:686284|offset_103|00cc00&amp;v=686150:686484&amp;c=444444", "offset 103")</f>
        <v>offset 103</v>
      </c>
    </row>
    <row r="2385" customFormat="false" ht="12.8" hidden="false" customHeight="false" outlineLevel="0" collapsed="false">
      <c r="A2385" s="0" t="s">
        <v>12</v>
      </c>
      <c r="B2385" s="0" t="n">
        <v>686734</v>
      </c>
      <c r="C2385" s="0" t="n">
        <v>686754</v>
      </c>
      <c r="D2385" s="0" t="s">
        <v>7955</v>
      </c>
      <c r="E2385" s="0" t="s">
        <v>89</v>
      </c>
      <c r="F2385" s="0" t="s">
        <v>15</v>
      </c>
      <c r="G2385" s="0" t="s">
        <v>32</v>
      </c>
      <c r="H2385" s="0" t="n">
        <v>14</v>
      </c>
      <c r="I2385" s="0" t="s">
        <v>7956</v>
      </c>
      <c r="J2385" s="0" t="s">
        <v>7957</v>
      </c>
      <c r="K2385" s="0" t="s">
        <v>7958</v>
      </c>
      <c r="L2385" s="0" t="str">
        <f aca="false">HYPERLINK("https://www.ncbi.nlm.nih.gov/nuccore/CP000304.1?report=graph&amp;tracks=[key:gene_model_track,Options:GeneOnly]&amp;mk=686735:686754|offset_14|00cc00,686758:686777|offset_37|444444,686780:686799|offset_59|444444,686809:686828|offset_88|444444&amp;v=686534:687028&amp;c=444444", "offset 14")</f>
        <v>offset 14</v>
      </c>
    </row>
    <row r="2386" customFormat="false" ht="12.8" hidden="false" customHeight="false" outlineLevel="0" collapsed="false">
      <c r="A2386" s="0" t="s">
        <v>12</v>
      </c>
      <c r="B2386" s="0" t="n">
        <v>686757</v>
      </c>
      <c r="C2386" s="0" t="n">
        <v>686777</v>
      </c>
      <c r="D2386" s="0" t="s">
        <v>7955</v>
      </c>
      <c r="E2386" s="0" t="s">
        <v>89</v>
      </c>
      <c r="F2386" s="0" t="s">
        <v>15</v>
      </c>
      <c r="G2386" s="0" t="s">
        <v>32</v>
      </c>
      <c r="H2386" s="0" t="n">
        <v>37</v>
      </c>
      <c r="I2386" s="0" t="s">
        <v>7959</v>
      </c>
      <c r="J2386" s="0" t="s">
        <v>7960</v>
      </c>
      <c r="K2386" s="0" t="s">
        <v>7961</v>
      </c>
      <c r="L2386" s="0" t="str">
        <f aca="false">HYPERLINK("https://www.ncbi.nlm.nih.gov/nuccore/CP000304.1?report=graph&amp;tracks=[key:gene_model_track,Options:GeneOnly]&amp;mk=686735:686754|offset_14|444444,686758:686777|offset_37|00cc00,686780:686799|offset_59|444444,686809:686828|offset_88|444444&amp;v=686534:687028&amp;c=444444", "offset 37")</f>
        <v>offset 37</v>
      </c>
    </row>
    <row r="2387" customFormat="false" ht="12.8" hidden="false" customHeight="false" outlineLevel="0" collapsed="false">
      <c r="A2387" s="0" t="s">
        <v>12</v>
      </c>
      <c r="B2387" s="0" t="n">
        <v>686779</v>
      </c>
      <c r="C2387" s="0" t="n">
        <v>686799</v>
      </c>
      <c r="D2387" s="0" t="s">
        <v>7955</v>
      </c>
      <c r="E2387" s="0" t="s">
        <v>89</v>
      </c>
      <c r="F2387" s="0" t="s">
        <v>15</v>
      </c>
      <c r="G2387" s="0" t="s">
        <v>26</v>
      </c>
      <c r="H2387" s="0" t="n">
        <v>59</v>
      </c>
      <c r="I2387" s="0" t="s">
        <v>7962</v>
      </c>
      <c r="J2387" s="0" t="s">
        <v>7963</v>
      </c>
      <c r="K2387" s="0" t="s">
        <v>7964</v>
      </c>
      <c r="L2387" s="0" t="str">
        <f aca="false">HYPERLINK("https://www.ncbi.nlm.nih.gov/nuccore/CP000304.1?report=graph&amp;tracks=[key:gene_model_track,Options:GeneOnly]&amp;mk=686735:686754|offset_14|444444,686758:686777|offset_37|444444,686780:686799|offset_59|00cc00,686809:686828|offset_88|444444&amp;v=686534:687028&amp;c=444444", "offset 59")</f>
        <v>offset 59</v>
      </c>
    </row>
    <row r="2388" customFormat="false" ht="12.8" hidden="false" customHeight="false" outlineLevel="0" collapsed="false">
      <c r="A2388" s="0" t="s">
        <v>12</v>
      </c>
      <c r="B2388" s="0" t="n">
        <v>686808</v>
      </c>
      <c r="C2388" s="0" t="n">
        <v>686828</v>
      </c>
      <c r="D2388" s="0" t="s">
        <v>7955</v>
      </c>
      <c r="E2388" s="0" t="s">
        <v>89</v>
      </c>
      <c r="F2388" s="0" t="s">
        <v>15</v>
      </c>
      <c r="G2388" s="0" t="s">
        <v>16</v>
      </c>
      <c r="H2388" s="0" t="n">
        <v>88</v>
      </c>
      <c r="I2388" s="0" t="s">
        <v>7965</v>
      </c>
      <c r="J2388" s="0" t="s">
        <v>7966</v>
      </c>
      <c r="K2388" s="0" t="s">
        <v>7967</v>
      </c>
      <c r="L2388" s="0" t="str">
        <f aca="false">HYPERLINK("https://www.ncbi.nlm.nih.gov/nuccore/CP000304.1?report=graph&amp;tracks=[key:gene_model_track,Options:GeneOnly]&amp;mk=686735:686754|offset_14|444444,686758:686777|offset_37|444444,686780:686799|offset_59|444444,686809:686828|offset_88|00cc00&amp;v=686534:687028&amp;c=444444", "offset 88")</f>
        <v>offset 88</v>
      </c>
    </row>
    <row r="2389" customFormat="false" ht="12.8" hidden="false" customHeight="false" outlineLevel="0" collapsed="false">
      <c r="A2389" s="0" t="s">
        <v>12</v>
      </c>
      <c r="B2389" s="0" t="n">
        <v>688258</v>
      </c>
      <c r="C2389" s="0" t="n">
        <v>688278</v>
      </c>
      <c r="D2389" s="0" t="s">
        <v>7968</v>
      </c>
      <c r="E2389" s="0" t="s">
        <v>89</v>
      </c>
      <c r="F2389" s="0" t="s">
        <v>15</v>
      </c>
      <c r="G2389" s="0" t="s">
        <v>16</v>
      </c>
      <c r="H2389" s="0" t="n">
        <v>29</v>
      </c>
      <c r="I2389" s="0" t="s">
        <v>7969</v>
      </c>
      <c r="J2389" s="0" t="s">
        <v>7970</v>
      </c>
      <c r="K2389" s="0" t="s">
        <v>7971</v>
      </c>
      <c r="L2389" s="0" t="str">
        <f aca="false">HYPERLINK("https://www.ncbi.nlm.nih.gov/nuccore/CP000304.1?report=graph&amp;tracks=[key:gene_model_track,Options:GeneOnly]&amp;mk=688259:688278|offset_29|00cc00,688280:688299|offset_50|444444,688309:688328|offset_79|444444,688342:688361|offset_112|444444&amp;v=688058:688561&amp;c=444444", "offset 29")</f>
        <v>offset 29</v>
      </c>
    </row>
    <row r="2390" customFormat="false" ht="12.8" hidden="false" customHeight="false" outlineLevel="0" collapsed="false">
      <c r="A2390" s="0" t="s">
        <v>12</v>
      </c>
      <c r="B2390" s="0" t="n">
        <v>688279</v>
      </c>
      <c r="C2390" s="0" t="n">
        <v>688299</v>
      </c>
      <c r="D2390" s="0" t="s">
        <v>7968</v>
      </c>
      <c r="E2390" s="0" t="s">
        <v>89</v>
      </c>
      <c r="F2390" s="0" t="s">
        <v>15</v>
      </c>
      <c r="G2390" s="0" t="s">
        <v>32</v>
      </c>
      <c r="H2390" s="0" t="n">
        <v>50</v>
      </c>
      <c r="I2390" s="0" t="s">
        <v>7972</v>
      </c>
      <c r="J2390" s="0" t="s">
        <v>7973</v>
      </c>
      <c r="K2390" s="0" t="s">
        <v>7974</v>
      </c>
      <c r="L2390" s="0" t="str">
        <f aca="false">HYPERLINK("https://www.ncbi.nlm.nih.gov/nuccore/CP000304.1?report=graph&amp;tracks=[key:gene_model_track,Options:GeneOnly]&amp;mk=688259:688278|offset_29|444444,688280:688299|offset_50|00cc00,688309:688328|offset_79|444444,688342:688361|offset_112|444444&amp;v=688058:688561&amp;c=444444", "offset 50")</f>
        <v>offset 50</v>
      </c>
    </row>
    <row r="2391" customFormat="false" ht="12.8" hidden="false" customHeight="false" outlineLevel="0" collapsed="false">
      <c r="A2391" s="0" t="s">
        <v>12</v>
      </c>
      <c r="B2391" s="0" t="n">
        <v>688308</v>
      </c>
      <c r="C2391" s="0" t="n">
        <v>688328</v>
      </c>
      <c r="D2391" s="0" t="s">
        <v>7968</v>
      </c>
      <c r="E2391" s="0" t="s">
        <v>89</v>
      </c>
      <c r="F2391" s="0" t="s">
        <v>15</v>
      </c>
      <c r="G2391" s="0" t="s">
        <v>16</v>
      </c>
      <c r="H2391" s="0" t="n">
        <v>79</v>
      </c>
      <c r="I2391" s="0" t="s">
        <v>7975</v>
      </c>
      <c r="J2391" s="0" t="s">
        <v>7976</v>
      </c>
      <c r="K2391" s="0" t="s">
        <v>7977</v>
      </c>
      <c r="L2391" s="0" t="str">
        <f aca="false">HYPERLINK("https://www.ncbi.nlm.nih.gov/nuccore/CP000304.1?report=graph&amp;tracks=[key:gene_model_track,Options:GeneOnly]&amp;mk=688259:688278|offset_29|444444,688280:688299|offset_50|444444,688309:688328|offset_79|00cc00,688342:688361|offset_112|444444&amp;v=688058:688561&amp;c=444444", "offset 79")</f>
        <v>offset 79</v>
      </c>
    </row>
    <row r="2392" customFormat="false" ht="12.8" hidden="false" customHeight="false" outlineLevel="0" collapsed="false">
      <c r="A2392" s="0" t="s">
        <v>12</v>
      </c>
      <c r="B2392" s="0" t="n">
        <v>688341</v>
      </c>
      <c r="C2392" s="0" t="n">
        <v>688361</v>
      </c>
      <c r="D2392" s="0" t="s">
        <v>7968</v>
      </c>
      <c r="E2392" s="0" t="s">
        <v>89</v>
      </c>
      <c r="F2392" s="0" t="s">
        <v>15</v>
      </c>
      <c r="G2392" s="0" t="s">
        <v>16</v>
      </c>
      <c r="H2392" s="0" t="n">
        <v>112</v>
      </c>
      <c r="I2392" s="0" t="s">
        <v>7978</v>
      </c>
      <c r="J2392" s="0" t="s">
        <v>7979</v>
      </c>
      <c r="K2392" s="0" t="s">
        <v>7980</v>
      </c>
      <c r="L2392" s="0" t="str">
        <f aca="false">HYPERLINK("https://www.ncbi.nlm.nih.gov/nuccore/CP000304.1?report=graph&amp;tracks=[key:gene_model_track,Options:GeneOnly]&amp;mk=688259:688278|offset_29|444444,688280:688299|offset_50|444444,688309:688328|offset_79|444444,688342:688361|offset_112|00cc00&amp;v=688058:688561&amp;c=444444", "offset 112")</f>
        <v>offset 112</v>
      </c>
    </row>
    <row r="2393" customFormat="false" ht="12.8" hidden="false" customHeight="false" outlineLevel="0" collapsed="false">
      <c r="A2393" s="0" t="s">
        <v>12</v>
      </c>
      <c r="B2393" s="0" t="n">
        <v>689910</v>
      </c>
      <c r="C2393" s="0" t="n">
        <v>689930</v>
      </c>
      <c r="D2393" s="0" t="s">
        <v>7981</v>
      </c>
      <c r="E2393" s="0" t="s">
        <v>89</v>
      </c>
      <c r="F2393" s="0" t="s">
        <v>90</v>
      </c>
      <c r="G2393" s="0" t="s">
        <v>16</v>
      </c>
      <c r="H2393" s="0" t="n">
        <v>40</v>
      </c>
      <c r="I2393" s="0" t="s">
        <v>7982</v>
      </c>
      <c r="J2393" s="0" t="s">
        <v>7983</v>
      </c>
      <c r="K2393" s="0" t="s">
        <v>7984</v>
      </c>
      <c r="L2393" s="0" t="str">
        <f aca="false">HYPERLINK("https://www.ncbi.nlm.nih.gov/nuccore/CP000304.1?report=graph&amp;tracks=[key:gene_model_track,Options:GeneOnly]&amp;mk=689911:689930|offset_40|00cc00,689860:689879|offset_91|444444,689797:689816|offset_154|444444,689751:689770|offset_200|444444&amp;v=689710:689970&amp;c=444444", "offset 40")</f>
        <v>offset 40</v>
      </c>
    </row>
    <row r="2394" customFormat="false" ht="12.8" hidden="false" customHeight="false" outlineLevel="0" collapsed="false">
      <c r="A2394" s="0" t="s">
        <v>12</v>
      </c>
      <c r="B2394" s="0" t="n">
        <v>689859</v>
      </c>
      <c r="C2394" s="0" t="n">
        <v>689879</v>
      </c>
      <c r="D2394" s="0" t="s">
        <v>7981</v>
      </c>
      <c r="E2394" s="0" t="s">
        <v>89</v>
      </c>
      <c r="F2394" s="0" t="s">
        <v>90</v>
      </c>
      <c r="G2394" s="0" t="s">
        <v>16</v>
      </c>
      <c r="H2394" s="0" t="n">
        <v>91</v>
      </c>
      <c r="I2394" s="0" t="s">
        <v>7985</v>
      </c>
      <c r="J2394" s="0" t="s">
        <v>7986</v>
      </c>
      <c r="K2394" s="0" t="s">
        <v>7987</v>
      </c>
      <c r="L2394" s="0" t="str">
        <f aca="false">HYPERLINK("https://www.ncbi.nlm.nih.gov/nuccore/CP000304.1?report=graph&amp;tracks=[key:gene_model_track,Options:GeneOnly]&amp;mk=689911:689930|offset_40|444444,689860:689879|offset_91|00cc00,689797:689816|offset_154|444444,689751:689770|offset_200|444444&amp;v=689710:689970&amp;c=444444", "offset 91")</f>
        <v>offset 91</v>
      </c>
    </row>
    <row r="2395" customFormat="false" ht="12.8" hidden="false" customHeight="false" outlineLevel="0" collapsed="false">
      <c r="A2395" s="0" t="s">
        <v>12</v>
      </c>
      <c r="B2395" s="0" t="n">
        <v>689796</v>
      </c>
      <c r="C2395" s="0" t="n">
        <v>689816</v>
      </c>
      <c r="D2395" s="0" t="s">
        <v>7981</v>
      </c>
      <c r="E2395" s="0" t="s">
        <v>89</v>
      </c>
      <c r="F2395" s="0" t="s">
        <v>90</v>
      </c>
      <c r="G2395" s="0" t="s">
        <v>32</v>
      </c>
      <c r="H2395" s="0" t="n">
        <v>154</v>
      </c>
      <c r="I2395" s="0" t="s">
        <v>7988</v>
      </c>
      <c r="J2395" s="0" t="s">
        <v>7989</v>
      </c>
      <c r="K2395" s="0" t="s">
        <v>7990</v>
      </c>
      <c r="L2395" s="0" t="str">
        <f aca="false">HYPERLINK("https://www.ncbi.nlm.nih.gov/nuccore/CP000304.1?report=graph&amp;tracks=[key:gene_model_track,Options:GeneOnly]&amp;mk=689911:689930|offset_40|444444,689860:689879|offset_91|444444,689797:689816|offset_154|00cc00,689751:689770|offset_200|444444&amp;v=689710:689970&amp;c=444444", "offset 154")</f>
        <v>offset 154</v>
      </c>
    </row>
    <row r="2396" customFormat="false" ht="12.8" hidden="false" customHeight="false" outlineLevel="0" collapsed="false">
      <c r="A2396" s="0" t="s">
        <v>12</v>
      </c>
      <c r="B2396" s="0" t="n">
        <v>689750</v>
      </c>
      <c r="C2396" s="0" t="n">
        <v>689770</v>
      </c>
      <c r="D2396" s="0" t="s">
        <v>7981</v>
      </c>
      <c r="E2396" s="0" t="s">
        <v>89</v>
      </c>
      <c r="F2396" s="0" t="s">
        <v>90</v>
      </c>
      <c r="G2396" s="0" t="s">
        <v>36</v>
      </c>
      <c r="H2396" s="0" t="n">
        <v>200</v>
      </c>
      <c r="I2396" s="0" t="s">
        <v>7991</v>
      </c>
      <c r="J2396" s="0" t="s">
        <v>7992</v>
      </c>
      <c r="K2396" s="0" t="s">
        <v>7993</v>
      </c>
      <c r="L2396" s="0" t="str">
        <f aca="false">HYPERLINK("https://www.ncbi.nlm.nih.gov/nuccore/CP000304.1?report=graph&amp;tracks=[key:gene_model_track,Options:GeneOnly]&amp;mk=689911:689930|offset_40|444444,689860:689879|offset_91|444444,689797:689816|offset_154|444444,689751:689770|offset_200|00cc00&amp;v=689710:689970&amp;c=444444", "offset 200")</f>
        <v>offset 200</v>
      </c>
    </row>
    <row r="2397" customFormat="false" ht="12.8" hidden="false" customHeight="false" outlineLevel="0" collapsed="false">
      <c r="A2397" s="0" t="s">
        <v>12</v>
      </c>
      <c r="B2397" s="0" t="n">
        <v>691624</v>
      </c>
      <c r="C2397" s="0" t="n">
        <v>691644</v>
      </c>
      <c r="D2397" s="0" t="s">
        <v>7994</v>
      </c>
      <c r="E2397" s="0" t="s">
        <v>89</v>
      </c>
      <c r="F2397" s="0" t="s">
        <v>90</v>
      </c>
      <c r="G2397" s="0" t="s">
        <v>16</v>
      </c>
      <c r="H2397" s="0" t="n">
        <v>16</v>
      </c>
      <c r="I2397" s="0" t="s">
        <v>7995</v>
      </c>
      <c r="J2397" s="0" t="s">
        <v>7996</v>
      </c>
      <c r="K2397" s="0" t="s">
        <v>7997</v>
      </c>
      <c r="L2397" s="0" t="str">
        <f aca="false">HYPERLINK("https://www.ncbi.nlm.nih.gov/nuccore/CP000304.1?report=graph&amp;tracks=[key:gene_model_track,Options:GeneOnly]&amp;mk=691625:691644|offset_16|00cc00,691592:691611|offset_49|444444,691570:691589|offset_71|444444,691544:691563|offset_97|444444&amp;v=691424:691763&amp;c=444444", "offset 16")</f>
        <v>offset 16</v>
      </c>
    </row>
    <row r="2398" customFormat="false" ht="12.8" hidden="false" customHeight="false" outlineLevel="0" collapsed="false">
      <c r="A2398" s="0" t="s">
        <v>12</v>
      </c>
      <c r="B2398" s="0" t="n">
        <v>691591</v>
      </c>
      <c r="C2398" s="0" t="n">
        <v>691611</v>
      </c>
      <c r="D2398" s="0" t="s">
        <v>7994</v>
      </c>
      <c r="E2398" s="0" t="s">
        <v>89</v>
      </c>
      <c r="F2398" s="0" t="s">
        <v>90</v>
      </c>
      <c r="G2398" s="0" t="s">
        <v>16</v>
      </c>
      <c r="H2398" s="0" t="n">
        <v>49</v>
      </c>
      <c r="I2398" s="0" t="s">
        <v>7998</v>
      </c>
      <c r="J2398" s="0" t="s">
        <v>7999</v>
      </c>
      <c r="K2398" s="0" t="s">
        <v>8000</v>
      </c>
      <c r="L2398" s="0" t="str">
        <f aca="false">HYPERLINK("https://www.ncbi.nlm.nih.gov/nuccore/CP000304.1?report=graph&amp;tracks=[key:gene_model_track,Options:GeneOnly]&amp;mk=691625:691644|offset_16|444444,691592:691611|offset_49|00cc00,691570:691589|offset_71|444444,691544:691563|offset_97|444444&amp;v=691424:691763&amp;c=444444", "offset 49")</f>
        <v>offset 49</v>
      </c>
    </row>
    <row r="2399" customFormat="false" ht="12.8" hidden="false" customHeight="false" outlineLevel="0" collapsed="false">
      <c r="A2399" s="0" t="s">
        <v>12</v>
      </c>
      <c r="B2399" s="0" t="n">
        <v>691569</v>
      </c>
      <c r="C2399" s="0" t="n">
        <v>691589</v>
      </c>
      <c r="D2399" s="0" t="s">
        <v>7994</v>
      </c>
      <c r="E2399" s="0" t="s">
        <v>89</v>
      </c>
      <c r="F2399" s="0" t="s">
        <v>90</v>
      </c>
      <c r="G2399" s="0" t="s">
        <v>16</v>
      </c>
      <c r="H2399" s="0" t="n">
        <v>71</v>
      </c>
      <c r="I2399" s="0" t="s">
        <v>8001</v>
      </c>
      <c r="J2399" s="0" t="s">
        <v>8002</v>
      </c>
      <c r="K2399" s="0" t="s">
        <v>8003</v>
      </c>
      <c r="L2399" s="0" t="str">
        <f aca="false">HYPERLINK("https://www.ncbi.nlm.nih.gov/nuccore/CP000304.1?report=graph&amp;tracks=[key:gene_model_track,Options:GeneOnly]&amp;mk=691625:691644|offset_16|444444,691592:691611|offset_49|444444,691570:691589|offset_71|00cc00,691544:691563|offset_97|444444&amp;v=691424:691763&amp;c=444444", "offset 71")</f>
        <v>offset 71</v>
      </c>
    </row>
    <row r="2400" customFormat="false" ht="12.8" hidden="false" customHeight="false" outlineLevel="0" collapsed="false">
      <c r="A2400" s="0" t="s">
        <v>12</v>
      </c>
      <c r="B2400" s="0" t="n">
        <v>691543</v>
      </c>
      <c r="C2400" s="0" t="n">
        <v>691563</v>
      </c>
      <c r="D2400" s="0" t="s">
        <v>7994</v>
      </c>
      <c r="E2400" s="0" t="s">
        <v>89</v>
      </c>
      <c r="F2400" s="0" t="s">
        <v>90</v>
      </c>
      <c r="G2400" s="0" t="s">
        <v>16</v>
      </c>
      <c r="H2400" s="0" t="n">
        <v>97</v>
      </c>
      <c r="I2400" s="0" t="s">
        <v>8004</v>
      </c>
      <c r="J2400" s="0" t="s">
        <v>8005</v>
      </c>
      <c r="K2400" s="0" t="s">
        <v>8006</v>
      </c>
      <c r="L2400" s="0" t="str">
        <f aca="false">HYPERLINK("https://www.ncbi.nlm.nih.gov/nuccore/CP000304.1?report=graph&amp;tracks=[key:gene_model_track,Options:GeneOnly]&amp;mk=691625:691644|offset_16|444444,691592:691611|offset_49|444444,691570:691589|offset_71|444444,691544:691563|offset_97|00cc00&amp;v=691424:691763&amp;c=444444", "offset 97")</f>
        <v>offset 97</v>
      </c>
    </row>
    <row r="2401" customFormat="false" ht="12.8" hidden="false" customHeight="false" outlineLevel="0" collapsed="false">
      <c r="A2401" s="0" t="s">
        <v>12</v>
      </c>
      <c r="B2401" s="0" t="n">
        <v>692030</v>
      </c>
      <c r="C2401" s="0" t="n">
        <v>692050</v>
      </c>
      <c r="D2401" s="0" t="s">
        <v>8007</v>
      </c>
      <c r="E2401" s="0" t="s">
        <v>89</v>
      </c>
      <c r="F2401" s="0" t="s">
        <v>15</v>
      </c>
      <c r="G2401" s="0" t="s">
        <v>32</v>
      </c>
      <c r="H2401" s="0" t="n">
        <v>21</v>
      </c>
      <c r="I2401" s="0" t="s">
        <v>8008</v>
      </c>
      <c r="J2401" s="0" t="s">
        <v>8009</v>
      </c>
      <c r="K2401" s="0" t="s">
        <v>8010</v>
      </c>
      <c r="L2401" s="0" t="str">
        <f aca="false">HYPERLINK("https://www.ncbi.nlm.nih.gov/nuccore/CP000304.1?report=graph&amp;tracks=[key:gene_model_track,Options:GeneOnly]&amp;mk=692031:692050|offset_21|00cc00,692074:692093|offset_64|444444,692101:692120|offset_91|444444,692159:692178|offset_149|444444&amp;v=691830:692378&amp;c=444444", "offset 21")</f>
        <v>offset 21</v>
      </c>
    </row>
    <row r="2402" customFormat="false" ht="12.8" hidden="false" customHeight="false" outlineLevel="0" collapsed="false">
      <c r="A2402" s="0" t="s">
        <v>12</v>
      </c>
      <c r="B2402" s="0" t="n">
        <v>692073</v>
      </c>
      <c r="C2402" s="0" t="n">
        <v>692093</v>
      </c>
      <c r="D2402" s="0" t="s">
        <v>8007</v>
      </c>
      <c r="E2402" s="0" t="s">
        <v>89</v>
      </c>
      <c r="F2402" s="0" t="s">
        <v>15</v>
      </c>
      <c r="G2402" s="0" t="s">
        <v>32</v>
      </c>
      <c r="H2402" s="0" t="n">
        <v>64</v>
      </c>
      <c r="I2402" s="0" t="s">
        <v>8011</v>
      </c>
      <c r="J2402" s="0" t="s">
        <v>8012</v>
      </c>
      <c r="K2402" s="0" t="s">
        <v>8013</v>
      </c>
      <c r="L2402" s="0" t="str">
        <f aca="false">HYPERLINK("https://www.ncbi.nlm.nih.gov/nuccore/CP000304.1?report=graph&amp;tracks=[key:gene_model_track,Options:GeneOnly]&amp;mk=692031:692050|offset_21|444444,692074:692093|offset_64|00cc00,692101:692120|offset_91|444444,692159:692178|offset_149|444444&amp;v=691830:692378&amp;c=444444", "offset 64")</f>
        <v>offset 64</v>
      </c>
    </row>
    <row r="2403" customFormat="false" ht="12.8" hidden="false" customHeight="false" outlineLevel="0" collapsed="false">
      <c r="A2403" s="0" t="s">
        <v>12</v>
      </c>
      <c r="B2403" s="0" t="n">
        <v>692100</v>
      </c>
      <c r="C2403" s="0" t="n">
        <v>692120</v>
      </c>
      <c r="D2403" s="0" t="s">
        <v>8007</v>
      </c>
      <c r="E2403" s="0" t="s">
        <v>89</v>
      </c>
      <c r="F2403" s="0" t="s">
        <v>15</v>
      </c>
      <c r="G2403" s="0" t="s">
        <v>36</v>
      </c>
      <c r="H2403" s="0" t="n">
        <v>91</v>
      </c>
      <c r="I2403" s="0" t="s">
        <v>8014</v>
      </c>
      <c r="J2403" s="0" t="s">
        <v>8015</v>
      </c>
      <c r="K2403" s="0" t="s">
        <v>8016</v>
      </c>
      <c r="L2403" s="0" t="str">
        <f aca="false">HYPERLINK("https://www.ncbi.nlm.nih.gov/nuccore/CP000304.1?report=graph&amp;tracks=[key:gene_model_track,Options:GeneOnly]&amp;mk=692031:692050|offset_21|444444,692074:692093|offset_64|444444,692101:692120|offset_91|00cc00,692159:692178|offset_149|444444&amp;v=691830:692378&amp;c=444444", "offset 91")</f>
        <v>offset 91</v>
      </c>
    </row>
    <row r="2404" customFormat="false" ht="12.8" hidden="false" customHeight="false" outlineLevel="0" collapsed="false">
      <c r="A2404" s="0" t="s">
        <v>12</v>
      </c>
      <c r="B2404" s="0" t="n">
        <v>692158</v>
      </c>
      <c r="C2404" s="0" t="n">
        <v>692178</v>
      </c>
      <c r="D2404" s="0" t="s">
        <v>8007</v>
      </c>
      <c r="E2404" s="0" t="s">
        <v>89</v>
      </c>
      <c r="F2404" s="0" t="s">
        <v>15</v>
      </c>
      <c r="G2404" s="0" t="s">
        <v>36</v>
      </c>
      <c r="H2404" s="0" t="n">
        <v>149</v>
      </c>
      <c r="I2404" s="0" t="s">
        <v>8017</v>
      </c>
      <c r="J2404" s="0" t="s">
        <v>8018</v>
      </c>
      <c r="K2404" s="0" t="s">
        <v>8019</v>
      </c>
      <c r="L2404" s="0" t="str">
        <f aca="false">HYPERLINK("https://www.ncbi.nlm.nih.gov/nuccore/CP000304.1?report=graph&amp;tracks=[key:gene_model_track,Options:GeneOnly]&amp;mk=692031:692050|offset_21|444444,692074:692093|offset_64|444444,692101:692120|offset_91|444444,692159:692178|offset_149|00cc00&amp;v=691830:692378&amp;c=444444", "offset 149")</f>
        <v>offset 149</v>
      </c>
    </row>
    <row r="2405" customFormat="false" ht="12.8" hidden="false" customHeight="false" outlineLevel="0" collapsed="false">
      <c r="A2405" s="0" t="s">
        <v>12</v>
      </c>
      <c r="B2405" s="0" t="n">
        <v>695100</v>
      </c>
      <c r="C2405" s="0" t="n">
        <v>695120</v>
      </c>
      <c r="D2405" s="0" t="s">
        <v>8020</v>
      </c>
      <c r="E2405" s="0" t="s">
        <v>89</v>
      </c>
      <c r="F2405" s="0" t="s">
        <v>90</v>
      </c>
      <c r="G2405" s="0" t="s">
        <v>36</v>
      </c>
      <c r="H2405" s="0" t="n">
        <v>13</v>
      </c>
      <c r="I2405" s="0" t="s">
        <v>8021</v>
      </c>
      <c r="J2405" s="0" t="s">
        <v>8022</v>
      </c>
      <c r="K2405" s="0" t="s">
        <v>8023</v>
      </c>
      <c r="L2405" s="0" t="str">
        <f aca="false">HYPERLINK("https://www.ncbi.nlm.nih.gov/nuccore/CP000304.1?report=graph&amp;tracks=[key:gene_model_track,Options:GeneOnly]&amp;mk=695101:695120|offset_13|00cc00,695080:695099|offset_34|444444,695058:695077|offset_56|444444,695032:695051|offset_82|444444&amp;v=694900:695251&amp;c=444444", "offset 13")</f>
        <v>offset 13</v>
      </c>
    </row>
    <row r="2406" customFormat="false" ht="12.8" hidden="false" customHeight="false" outlineLevel="0" collapsed="false">
      <c r="A2406" s="0" t="s">
        <v>12</v>
      </c>
      <c r="B2406" s="0" t="n">
        <v>695079</v>
      </c>
      <c r="C2406" s="0" t="n">
        <v>695099</v>
      </c>
      <c r="D2406" s="0" t="s">
        <v>8020</v>
      </c>
      <c r="E2406" s="0" t="s">
        <v>89</v>
      </c>
      <c r="F2406" s="0" t="s">
        <v>90</v>
      </c>
      <c r="G2406" s="0" t="s">
        <v>36</v>
      </c>
      <c r="H2406" s="0" t="n">
        <v>34</v>
      </c>
      <c r="I2406" s="0" t="s">
        <v>8024</v>
      </c>
      <c r="J2406" s="0" t="s">
        <v>8025</v>
      </c>
      <c r="K2406" s="0" t="s">
        <v>8026</v>
      </c>
      <c r="L2406" s="0" t="str">
        <f aca="false">HYPERLINK("https://www.ncbi.nlm.nih.gov/nuccore/CP000304.1?report=graph&amp;tracks=[key:gene_model_track,Options:GeneOnly]&amp;mk=695101:695120|offset_13|444444,695080:695099|offset_34|00cc00,695058:695077|offset_56|444444,695032:695051|offset_82|444444&amp;v=694900:695251&amp;c=444444", "offset 34")</f>
        <v>offset 34</v>
      </c>
    </row>
    <row r="2407" customFormat="false" ht="12.8" hidden="false" customHeight="false" outlineLevel="0" collapsed="false">
      <c r="A2407" s="0" t="s">
        <v>12</v>
      </c>
      <c r="B2407" s="0" t="n">
        <v>695057</v>
      </c>
      <c r="C2407" s="0" t="n">
        <v>695077</v>
      </c>
      <c r="D2407" s="0" t="s">
        <v>8020</v>
      </c>
      <c r="E2407" s="0" t="s">
        <v>89</v>
      </c>
      <c r="F2407" s="0" t="s">
        <v>90</v>
      </c>
      <c r="G2407" s="0" t="s">
        <v>32</v>
      </c>
      <c r="H2407" s="0" t="n">
        <v>56</v>
      </c>
      <c r="I2407" s="0" t="s">
        <v>8027</v>
      </c>
      <c r="J2407" s="0" t="s">
        <v>8028</v>
      </c>
      <c r="K2407" s="0" t="s">
        <v>8029</v>
      </c>
      <c r="L2407" s="0" t="str">
        <f aca="false">HYPERLINK("https://www.ncbi.nlm.nih.gov/nuccore/CP000304.1?report=graph&amp;tracks=[key:gene_model_track,Options:GeneOnly]&amp;mk=695101:695120|offset_13|444444,695080:695099|offset_34|444444,695058:695077|offset_56|00cc00,695032:695051|offset_82|444444&amp;v=694900:695251&amp;c=444444", "offset 56")</f>
        <v>offset 56</v>
      </c>
    </row>
    <row r="2408" customFormat="false" ht="12.8" hidden="false" customHeight="false" outlineLevel="0" collapsed="false">
      <c r="A2408" s="0" t="s">
        <v>12</v>
      </c>
      <c r="B2408" s="0" t="n">
        <v>695031</v>
      </c>
      <c r="C2408" s="0" t="n">
        <v>695051</v>
      </c>
      <c r="D2408" s="0" t="s">
        <v>8020</v>
      </c>
      <c r="E2408" s="0" t="s">
        <v>89</v>
      </c>
      <c r="F2408" s="0" t="s">
        <v>90</v>
      </c>
      <c r="G2408" s="0" t="s">
        <v>32</v>
      </c>
      <c r="H2408" s="0" t="n">
        <v>82</v>
      </c>
      <c r="I2408" s="0" t="s">
        <v>8030</v>
      </c>
      <c r="J2408" s="0" t="s">
        <v>8031</v>
      </c>
      <c r="K2408" s="0" t="s">
        <v>8032</v>
      </c>
      <c r="L2408" s="0" t="str">
        <f aca="false">HYPERLINK("https://www.ncbi.nlm.nih.gov/nuccore/CP000304.1?report=graph&amp;tracks=[key:gene_model_track,Options:GeneOnly]&amp;mk=695101:695120|offset_13|444444,695080:695099|offset_34|444444,695058:695077|offset_56|444444,695032:695051|offset_82|00cc00&amp;v=694900:695251&amp;c=444444", "offset 82")</f>
        <v>offset 82</v>
      </c>
    </row>
    <row r="2409" customFormat="false" ht="12.8" hidden="false" customHeight="false" outlineLevel="0" collapsed="false">
      <c r="A2409" s="0" t="s">
        <v>12</v>
      </c>
      <c r="B2409" s="0" t="n">
        <v>695588</v>
      </c>
      <c r="C2409" s="0" t="n">
        <v>695608</v>
      </c>
      <c r="D2409" s="0" t="s">
        <v>8033</v>
      </c>
      <c r="E2409" s="0" t="s">
        <v>89</v>
      </c>
      <c r="F2409" s="0" t="s">
        <v>15</v>
      </c>
      <c r="G2409" s="0" t="s">
        <v>16</v>
      </c>
      <c r="H2409" s="0" t="n">
        <v>7</v>
      </c>
      <c r="I2409" s="0" t="s">
        <v>8034</v>
      </c>
      <c r="J2409" s="0" t="s">
        <v>8035</v>
      </c>
      <c r="K2409" s="0" t="s">
        <v>8036</v>
      </c>
      <c r="L2409" s="0" t="str">
        <f aca="false">HYPERLINK("https://www.ncbi.nlm.nih.gov/nuccore/CP000304.1?report=graph&amp;tracks=[key:gene_model_track,Options:GeneOnly]&amp;mk=695589:695608|offset_7|00cc00,695631:695650|offset_49|444444,695667:695686|offset_85|444444,695703:695722|offset_121|444444&amp;v=695388:695922&amp;c=444444", "offset 7")</f>
        <v>offset 7</v>
      </c>
    </row>
    <row r="2410" customFormat="false" ht="12.8" hidden="false" customHeight="false" outlineLevel="0" collapsed="false">
      <c r="A2410" s="0" t="s">
        <v>12</v>
      </c>
      <c r="B2410" s="0" t="n">
        <v>695630</v>
      </c>
      <c r="C2410" s="0" t="n">
        <v>695650</v>
      </c>
      <c r="D2410" s="0" t="s">
        <v>8033</v>
      </c>
      <c r="E2410" s="0" t="s">
        <v>89</v>
      </c>
      <c r="F2410" s="0" t="s">
        <v>15</v>
      </c>
      <c r="G2410" s="0" t="s">
        <v>16</v>
      </c>
      <c r="H2410" s="0" t="n">
        <v>49</v>
      </c>
      <c r="I2410" s="0" t="s">
        <v>8037</v>
      </c>
      <c r="J2410" s="0" t="s">
        <v>8038</v>
      </c>
      <c r="K2410" s="0" t="s">
        <v>8039</v>
      </c>
      <c r="L2410" s="0" t="str">
        <f aca="false">HYPERLINK("https://www.ncbi.nlm.nih.gov/nuccore/CP000304.1?report=graph&amp;tracks=[key:gene_model_track,Options:GeneOnly]&amp;mk=695589:695608|offset_7|444444,695631:695650|offset_49|00cc00,695667:695686|offset_85|444444,695703:695722|offset_121|444444&amp;v=695388:695922&amp;c=444444", "offset 49")</f>
        <v>offset 49</v>
      </c>
    </row>
    <row r="2411" customFormat="false" ht="12.8" hidden="false" customHeight="false" outlineLevel="0" collapsed="false">
      <c r="A2411" s="0" t="s">
        <v>12</v>
      </c>
      <c r="B2411" s="0" t="n">
        <v>695666</v>
      </c>
      <c r="C2411" s="0" t="n">
        <v>695686</v>
      </c>
      <c r="D2411" s="0" t="s">
        <v>8033</v>
      </c>
      <c r="E2411" s="0" t="s">
        <v>89</v>
      </c>
      <c r="F2411" s="0" t="s">
        <v>15</v>
      </c>
      <c r="G2411" s="0" t="s">
        <v>36</v>
      </c>
      <c r="H2411" s="0" t="n">
        <v>85</v>
      </c>
      <c r="I2411" s="0" t="s">
        <v>8040</v>
      </c>
      <c r="J2411" s="0" t="s">
        <v>8041</v>
      </c>
      <c r="K2411" s="0" t="s">
        <v>8042</v>
      </c>
      <c r="L2411" s="0" t="str">
        <f aca="false">HYPERLINK("https://www.ncbi.nlm.nih.gov/nuccore/CP000304.1?report=graph&amp;tracks=[key:gene_model_track,Options:GeneOnly]&amp;mk=695589:695608|offset_7|444444,695631:695650|offset_49|444444,695667:695686|offset_85|00cc00,695703:695722|offset_121|444444&amp;v=695388:695922&amp;c=444444", "offset 85")</f>
        <v>offset 85</v>
      </c>
    </row>
    <row r="2412" customFormat="false" ht="12.8" hidden="false" customHeight="false" outlineLevel="0" collapsed="false">
      <c r="A2412" s="0" t="s">
        <v>12</v>
      </c>
      <c r="B2412" s="0" t="n">
        <v>695702</v>
      </c>
      <c r="C2412" s="0" t="n">
        <v>695722</v>
      </c>
      <c r="D2412" s="0" t="s">
        <v>8033</v>
      </c>
      <c r="E2412" s="0" t="s">
        <v>89</v>
      </c>
      <c r="F2412" s="0" t="s">
        <v>15</v>
      </c>
      <c r="G2412" s="0" t="s">
        <v>32</v>
      </c>
      <c r="H2412" s="0" t="n">
        <v>121</v>
      </c>
      <c r="I2412" s="0" t="s">
        <v>8043</v>
      </c>
      <c r="J2412" s="0" t="s">
        <v>8044</v>
      </c>
      <c r="K2412" s="0" t="s">
        <v>8045</v>
      </c>
      <c r="L2412" s="0" t="str">
        <f aca="false">HYPERLINK("https://www.ncbi.nlm.nih.gov/nuccore/CP000304.1?report=graph&amp;tracks=[key:gene_model_track,Options:GeneOnly]&amp;mk=695589:695608|offset_7|444444,695631:695650|offset_49|444444,695667:695686|offset_85|444444,695703:695722|offset_121|00cc00&amp;v=695388:695922&amp;c=444444", "offset 121")</f>
        <v>offset 121</v>
      </c>
    </row>
    <row r="2413" customFormat="false" ht="12.8" hidden="false" customHeight="false" outlineLevel="0" collapsed="false">
      <c r="A2413" s="0" t="s">
        <v>12</v>
      </c>
      <c r="B2413" s="0" t="n">
        <v>697365</v>
      </c>
      <c r="C2413" s="0" t="n">
        <v>697385</v>
      </c>
      <c r="D2413" s="0" t="s">
        <v>8046</v>
      </c>
      <c r="E2413" s="0" t="s">
        <v>89</v>
      </c>
      <c r="F2413" s="0" t="s">
        <v>15</v>
      </c>
      <c r="G2413" s="0" t="s">
        <v>16</v>
      </c>
      <c r="H2413" s="0" t="n">
        <v>0</v>
      </c>
      <c r="I2413" s="0" t="s">
        <v>8047</v>
      </c>
      <c r="J2413" s="0" t="s">
        <v>8048</v>
      </c>
      <c r="K2413" s="0" t="s">
        <v>8049</v>
      </c>
      <c r="L2413" s="0" t="str">
        <f aca="false">HYPERLINK("https://www.ncbi.nlm.nih.gov/nuccore/CP000304.1?report=graph&amp;tracks=[key:gene_model_track,Options:GeneOnly]&amp;mk=697366:697385|offset_0|00cc00,697394:697413|offset_28|444444,697427:697446|offset_61|444444,697473:697492|offset_107|444444&amp;v=697165:697692&amp;c=444444", "offset 0")</f>
        <v>offset 0</v>
      </c>
    </row>
    <row r="2414" customFormat="false" ht="12.8" hidden="false" customHeight="false" outlineLevel="0" collapsed="false">
      <c r="A2414" s="0" t="s">
        <v>12</v>
      </c>
      <c r="B2414" s="0" t="n">
        <v>697393</v>
      </c>
      <c r="C2414" s="0" t="n">
        <v>697413</v>
      </c>
      <c r="D2414" s="0" t="s">
        <v>8046</v>
      </c>
      <c r="E2414" s="0" t="s">
        <v>89</v>
      </c>
      <c r="F2414" s="0" t="s">
        <v>15</v>
      </c>
      <c r="G2414" s="0" t="s">
        <v>32</v>
      </c>
      <c r="H2414" s="0" t="n">
        <v>28</v>
      </c>
      <c r="I2414" s="0" t="s">
        <v>8050</v>
      </c>
      <c r="J2414" s="0" t="s">
        <v>8051</v>
      </c>
      <c r="K2414" s="0" t="s">
        <v>8052</v>
      </c>
      <c r="L2414" s="0" t="str">
        <f aca="false">HYPERLINK("https://www.ncbi.nlm.nih.gov/nuccore/CP000304.1?report=graph&amp;tracks=[key:gene_model_track,Options:GeneOnly]&amp;mk=697366:697385|offset_0|444444,697394:697413|offset_28|00cc00,697427:697446|offset_61|444444,697473:697492|offset_107|444444&amp;v=697165:697692&amp;c=444444", "offset 28")</f>
        <v>offset 28</v>
      </c>
    </row>
    <row r="2415" customFormat="false" ht="12.8" hidden="false" customHeight="false" outlineLevel="0" collapsed="false">
      <c r="A2415" s="0" t="s">
        <v>12</v>
      </c>
      <c r="B2415" s="0" t="n">
        <v>697426</v>
      </c>
      <c r="C2415" s="0" t="n">
        <v>697446</v>
      </c>
      <c r="D2415" s="0" t="s">
        <v>8046</v>
      </c>
      <c r="E2415" s="0" t="s">
        <v>89</v>
      </c>
      <c r="F2415" s="0" t="s">
        <v>15</v>
      </c>
      <c r="G2415" s="0" t="s">
        <v>36</v>
      </c>
      <c r="H2415" s="0" t="n">
        <v>61</v>
      </c>
      <c r="I2415" s="0" t="s">
        <v>8053</v>
      </c>
      <c r="J2415" s="0" t="s">
        <v>8054</v>
      </c>
      <c r="K2415" s="0" t="s">
        <v>8055</v>
      </c>
      <c r="L2415" s="0" t="str">
        <f aca="false">HYPERLINK("https://www.ncbi.nlm.nih.gov/nuccore/CP000304.1?report=graph&amp;tracks=[key:gene_model_track,Options:GeneOnly]&amp;mk=697366:697385|offset_0|444444,697394:697413|offset_28|444444,697427:697446|offset_61|00cc00,697473:697492|offset_107|444444&amp;v=697165:697692&amp;c=444444", "offset 61")</f>
        <v>offset 61</v>
      </c>
    </row>
    <row r="2416" customFormat="false" ht="12.8" hidden="false" customHeight="false" outlineLevel="0" collapsed="false">
      <c r="A2416" s="0" t="s">
        <v>12</v>
      </c>
      <c r="B2416" s="0" t="n">
        <v>697472</v>
      </c>
      <c r="C2416" s="0" t="n">
        <v>697492</v>
      </c>
      <c r="D2416" s="0" t="s">
        <v>8046</v>
      </c>
      <c r="E2416" s="0" t="s">
        <v>89</v>
      </c>
      <c r="F2416" s="0" t="s">
        <v>15</v>
      </c>
      <c r="G2416" s="0" t="s">
        <v>26</v>
      </c>
      <c r="H2416" s="0" t="n">
        <v>107</v>
      </c>
      <c r="I2416" s="0" t="s">
        <v>8056</v>
      </c>
      <c r="J2416" s="0" t="s">
        <v>8057</v>
      </c>
      <c r="K2416" s="0" t="s">
        <v>8058</v>
      </c>
      <c r="L2416" s="0" t="str">
        <f aca="false">HYPERLINK("https://www.ncbi.nlm.nih.gov/nuccore/CP000304.1?report=graph&amp;tracks=[key:gene_model_track,Options:GeneOnly]&amp;mk=697366:697385|offset_0|444444,697394:697413|offset_28|444444,697427:697446|offset_61|444444,697473:697492|offset_107|00cc00&amp;v=697165:697692&amp;c=444444", "offset 107")</f>
        <v>offset 107</v>
      </c>
    </row>
    <row r="2417" customFormat="false" ht="12.8" hidden="false" customHeight="false" outlineLevel="0" collapsed="false">
      <c r="A2417" s="0" t="s">
        <v>12</v>
      </c>
      <c r="B2417" s="0" t="n">
        <v>698846</v>
      </c>
      <c r="C2417" s="0" t="n">
        <v>698866</v>
      </c>
      <c r="D2417" s="0" t="s">
        <v>8059</v>
      </c>
      <c r="E2417" s="0" t="s">
        <v>89</v>
      </c>
      <c r="F2417" s="0" t="s">
        <v>15</v>
      </c>
      <c r="G2417" s="0" t="s">
        <v>26</v>
      </c>
      <c r="H2417" s="0" t="n">
        <v>46</v>
      </c>
      <c r="I2417" s="0" t="s">
        <v>8060</v>
      </c>
      <c r="J2417" s="0" t="s">
        <v>8061</v>
      </c>
      <c r="K2417" s="0" t="s">
        <v>8062</v>
      </c>
      <c r="L2417" s="0" t="str">
        <f aca="false">HYPERLINK("https://www.ncbi.nlm.nih.gov/nuccore/CP000304.1?report=graph&amp;tracks=[key:gene_model_track,Options:GeneOnly]&amp;mk=698847:698866|offset_46|00cc00,698909:698928|offset_108|444444,698931:698950|offset_130|444444,698953:698972|offset_152|444444&amp;v=698646:699172&amp;c=444444", "offset 46")</f>
        <v>offset 46</v>
      </c>
    </row>
    <row r="2418" customFormat="false" ht="12.8" hidden="false" customHeight="false" outlineLevel="0" collapsed="false">
      <c r="A2418" s="0" t="s">
        <v>12</v>
      </c>
      <c r="B2418" s="0" t="n">
        <v>698908</v>
      </c>
      <c r="C2418" s="0" t="n">
        <v>698928</v>
      </c>
      <c r="D2418" s="0" t="s">
        <v>8059</v>
      </c>
      <c r="E2418" s="0" t="s">
        <v>89</v>
      </c>
      <c r="F2418" s="0" t="s">
        <v>15</v>
      </c>
      <c r="G2418" s="0" t="s">
        <v>16</v>
      </c>
      <c r="H2418" s="0" t="n">
        <v>108</v>
      </c>
      <c r="I2418" s="0" t="s">
        <v>8063</v>
      </c>
      <c r="J2418" s="0" t="s">
        <v>8064</v>
      </c>
      <c r="K2418" s="0" t="s">
        <v>8065</v>
      </c>
      <c r="L2418" s="0" t="str">
        <f aca="false">HYPERLINK("https://www.ncbi.nlm.nih.gov/nuccore/CP000304.1?report=graph&amp;tracks=[key:gene_model_track,Options:GeneOnly]&amp;mk=698847:698866|offset_46|444444,698909:698928|offset_108|00cc00,698931:698950|offset_130|444444,698953:698972|offset_152|444444&amp;v=698646:699172&amp;c=444444", "offset 108")</f>
        <v>offset 108</v>
      </c>
    </row>
    <row r="2419" customFormat="false" ht="12.8" hidden="false" customHeight="false" outlineLevel="0" collapsed="false">
      <c r="A2419" s="0" t="s">
        <v>12</v>
      </c>
      <c r="B2419" s="0" t="n">
        <v>698930</v>
      </c>
      <c r="C2419" s="0" t="n">
        <v>698950</v>
      </c>
      <c r="D2419" s="0" t="s">
        <v>8059</v>
      </c>
      <c r="E2419" s="0" t="s">
        <v>89</v>
      </c>
      <c r="F2419" s="0" t="s">
        <v>15</v>
      </c>
      <c r="G2419" s="0" t="s">
        <v>16</v>
      </c>
      <c r="H2419" s="0" t="n">
        <v>130</v>
      </c>
      <c r="I2419" s="0" t="s">
        <v>8066</v>
      </c>
      <c r="J2419" s="0" t="s">
        <v>8067</v>
      </c>
      <c r="K2419" s="0" t="s">
        <v>8068</v>
      </c>
      <c r="L2419" s="0" t="str">
        <f aca="false">HYPERLINK("https://www.ncbi.nlm.nih.gov/nuccore/CP000304.1?report=graph&amp;tracks=[key:gene_model_track,Options:GeneOnly]&amp;mk=698847:698866|offset_46|444444,698909:698928|offset_108|444444,698931:698950|offset_130|00cc00,698953:698972|offset_152|444444&amp;v=698646:699172&amp;c=444444", "offset 130")</f>
        <v>offset 130</v>
      </c>
    </row>
    <row r="2420" customFormat="false" ht="12.8" hidden="false" customHeight="false" outlineLevel="0" collapsed="false">
      <c r="A2420" s="0" t="s">
        <v>12</v>
      </c>
      <c r="B2420" s="0" t="n">
        <v>698952</v>
      </c>
      <c r="C2420" s="0" t="n">
        <v>698972</v>
      </c>
      <c r="D2420" s="0" t="s">
        <v>8059</v>
      </c>
      <c r="E2420" s="0" t="s">
        <v>89</v>
      </c>
      <c r="F2420" s="0" t="s">
        <v>15</v>
      </c>
      <c r="G2420" s="0" t="s">
        <v>26</v>
      </c>
      <c r="H2420" s="0" t="n">
        <v>152</v>
      </c>
      <c r="I2420" s="0" t="s">
        <v>8069</v>
      </c>
      <c r="J2420" s="0" t="s">
        <v>8070</v>
      </c>
      <c r="K2420" s="0" t="s">
        <v>8071</v>
      </c>
      <c r="L2420" s="0" t="str">
        <f aca="false">HYPERLINK("https://www.ncbi.nlm.nih.gov/nuccore/CP000304.1?report=graph&amp;tracks=[key:gene_model_track,Options:GeneOnly]&amp;mk=698847:698866|offset_46|444444,698909:698928|offset_108|444444,698931:698950|offset_130|444444,698953:698972|offset_152|00cc00&amp;v=698646:699172&amp;c=444444", "offset 152")</f>
        <v>offset 152</v>
      </c>
    </row>
    <row r="2421" customFormat="false" ht="12.8" hidden="false" customHeight="false" outlineLevel="0" collapsed="false">
      <c r="A2421" s="0" t="s">
        <v>12</v>
      </c>
      <c r="B2421" s="0" t="n">
        <v>699934</v>
      </c>
      <c r="C2421" s="0" t="n">
        <v>699954</v>
      </c>
      <c r="D2421" s="0" t="s">
        <v>8072</v>
      </c>
      <c r="E2421" s="0" t="s">
        <v>89</v>
      </c>
      <c r="F2421" s="0" t="s">
        <v>15</v>
      </c>
      <c r="G2421" s="0" t="s">
        <v>32</v>
      </c>
      <c r="H2421" s="0" t="n">
        <v>1</v>
      </c>
      <c r="I2421" s="0" t="s">
        <v>8073</v>
      </c>
      <c r="J2421" s="0" t="s">
        <v>8074</v>
      </c>
      <c r="K2421" s="0" t="s">
        <v>8075</v>
      </c>
      <c r="L2421" s="0" t="str">
        <f aca="false">HYPERLINK("https://www.ncbi.nlm.nih.gov/nuccore/CP000304.1?report=graph&amp;tracks=[key:gene_model_track,Options:GeneOnly]&amp;mk=699935:699954|offset_1|00cc00,699964:699983|offset_30|444444,700001:700020|offset_67|444444,700035:700054|offset_101|444444&amp;v=699734:700254&amp;c=444444", "offset 1")</f>
        <v>offset 1</v>
      </c>
    </row>
    <row r="2422" customFormat="false" ht="12.8" hidden="false" customHeight="false" outlineLevel="0" collapsed="false">
      <c r="A2422" s="0" t="s">
        <v>12</v>
      </c>
      <c r="B2422" s="0" t="n">
        <v>699963</v>
      </c>
      <c r="C2422" s="0" t="n">
        <v>699983</v>
      </c>
      <c r="D2422" s="0" t="s">
        <v>8072</v>
      </c>
      <c r="E2422" s="0" t="s">
        <v>89</v>
      </c>
      <c r="F2422" s="0" t="s">
        <v>15</v>
      </c>
      <c r="G2422" s="0" t="s">
        <v>16</v>
      </c>
      <c r="H2422" s="0" t="n">
        <v>30</v>
      </c>
      <c r="I2422" s="0" t="s">
        <v>8076</v>
      </c>
      <c r="J2422" s="0" t="s">
        <v>8077</v>
      </c>
      <c r="K2422" s="0" t="s">
        <v>8078</v>
      </c>
      <c r="L2422" s="0" t="str">
        <f aca="false">HYPERLINK("https://www.ncbi.nlm.nih.gov/nuccore/CP000304.1?report=graph&amp;tracks=[key:gene_model_track,Options:GeneOnly]&amp;mk=699935:699954|offset_1|444444,699964:699983|offset_30|00cc00,700001:700020|offset_67|444444,700035:700054|offset_101|444444&amp;v=699734:700254&amp;c=444444", "offset 30")</f>
        <v>offset 30</v>
      </c>
    </row>
    <row r="2423" customFormat="false" ht="12.8" hidden="false" customHeight="false" outlineLevel="0" collapsed="false">
      <c r="A2423" s="0" t="s">
        <v>12</v>
      </c>
      <c r="B2423" s="0" t="n">
        <v>700000</v>
      </c>
      <c r="C2423" s="0" t="n">
        <v>700020</v>
      </c>
      <c r="D2423" s="0" t="s">
        <v>8072</v>
      </c>
      <c r="E2423" s="0" t="s">
        <v>89</v>
      </c>
      <c r="F2423" s="0" t="s">
        <v>15</v>
      </c>
      <c r="G2423" s="0" t="s">
        <v>16</v>
      </c>
      <c r="H2423" s="0" t="n">
        <v>67</v>
      </c>
      <c r="I2423" s="0" t="s">
        <v>8079</v>
      </c>
      <c r="J2423" s="0" t="s">
        <v>8080</v>
      </c>
      <c r="K2423" s="0" t="s">
        <v>8081</v>
      </c>
      <c r="L2423" s="0" t="str">
        <f aca="false">HYPERLINK("https://www.ncbi.nlm.nih.gov/nuccore/CP000304.1?report=graph&amp;tracks=[key:gene_model_track,Options:GeneOnly]&amp;mk=699935:699954|offset_1|444444,699964:699983|offset_30|444444,700001:700020|offset_67|00cc00,700035:700054|offset_101|444444&amp;v=699734:700254&amp;c=444444", "offset 67")</f>
        <v>offset 67</v>
      </c>
    </row>
    <row r="2424" customFormat="false" ht="12.8" hidden="false" customHeight="false" outlineLevel="0" collapsed="false">
      <c r="A2424" s="0" t="s">
        <v>12</v>
      </c>
      <c r="B2424" s="0" t="n">
        <v>700034</v>
      </c>
      <c r="C2424" s="0" t="n">
        <v>700054</v>
      </c>
      <c r="D2424" s="0" t="s">
        <v>8072</v>
      </c>
      <c r="E2424" s="0" t="s">
        <v>89</v>
      </c>
      <c r="F2424" s="0" t="s">
        <v>15</v>
      </c>
      <c r="G2424" s="0" t="s">
        <v>16</v>
      </c>
      <c r="H2424" s="0" t="n">
        <v>101</v>
      </c>
      <c r="I2424" s="0" t="s">
        <v>8082</v>
      </c>
      <c r="J2424" s="0" t="s">
        <v>8083</v>
      </c>
      <c r="K2424" s="0" t="s">
        <v>8084</v>
      </c>
      <c r="L2424" s="0" t="str">
        <f aca="false">HYPERLINK("https://www.ncbi.nlm.nih.gov/nuccore/CP000304.1?report=graph&amp;tracks=[key:gene_model_track,Options:GeneOnly]&amp;mk=699935:699954|offset_1|444444,699964:699983|offset_30|444444,700001:700020|offset_67|444444,700035:700054|offset_101|00cc00&amp;v=699734:700254&amp;c=444444", "offset 101")</f>
        <v>offset 101</v>
      </c>
    </row>
    <row r="2425" customFormat="false" ht="12.8" hidden="false" customHeight="false" outlineLevel="0" collapsed="false">
      <c r="A2425" s="0" t="s">
        <v>12</v>
      </c>
      <c r="B2425" s="0" t="n">
        <v>702952</v>
      </c>
      <c r="C2425" s="0" t="n">
        <v>702972</v>
      </c>
      <c r="D2425" s="0" t="s">
        <v>8085</v>
      </c>
      <c r="E2425" s="0" t="s">
        <v>89</v>
      </c>
      <c r="F2425" s="0" t="s">
        <v>90</v>
      </c>
      <c r="G2425" s="0" t="s">
        <v>26</v>
      </c>
      <c r="H2425" s="0" t="n">
        <v>17</v>
      </c>
      <c r="I2425" s="0" t="s">
        <v>8086</v>
      </c>
      <c r="J2425" s="0" t="s">
        <v>8087</v>
      </c>
      <c r="K2425" s="0" t="s">
        <v>8088</v>
      </c>
      <c r="L2425" s="0" t="str">
        <f aca="false">HYPERLINK("https://www.ncbi.nlm.nih.gov/nuccore/CP000304.1?report=graph&amp;tracks=[key:gene_model_track,Options:GeneOnly]&amp;mk=702953:702972|offset_17|00cc00,702932:702951|offset_38|444444,702900:702919|offset_70|444444,702878:702897|offset_92|444444&amp;v=702752:703097&amp;c=444444", "offset 17")</f>
        <v>offset 17</v>
      </c>
    </row>
    <row r="2426" customFormat="false" ht="12.8" hidden="false" customHeight="false" outlineLevel="0" collapsed="false">
      <c r="A2426" s="0" t="s">
        <v>12</v>
      </c>
      <c r="B2426" s="0" t="n">
        <v>702931</v>
      </c>
      <c r="C2426" s="0" t="n">
        <v>702951</v>
      </c>
      <c r="D2426" s="0" t="s">
        <v>8085</v>
      </c>
      <c r="E2426" s="0" t="s">
        <v>89</v>
      </c>
      <c r="F2426" s="0" t="s">
        <v>90</v>
      </c>
      <c r="G2426" s="0" t="s">
        <v>36</v>
      </c>
      <c r="H2426" s="0" t="n">
        <v>38</v>
      </c>
      <c r="I2426" s="0" t="s">
        <v>8089</v>
      </c>
      <c r="J2426" s="0" t="s">
        <v>8090</v>
      </c>
      <c r="K2426" s="0" t="s">
        <v>8091</v>
      </c>
      <c r="L2426" s="0" t="str">
        <f aca="false">HYPERLINK("https://www.ncbi.nlm.nih.gov/nuccore/CP000304.1?report=graph&amp;tracks=[key:gene_model_track,Options:GeneOnly]&amp;mk=702953:702972|offset_17|444444,702932:702951|offset_38|00cc00,702900:702919|offset_70|444444,702878:702897|offset_92|444444&amp;v=702752:703097&amp;c=444444", "offset 38")</f>
        <v>offset 38</v>
      </c>
    </row>
    <row r="2427" customFormat="false" ht="12.8" hidden="false" customHeight="false" outlineLevel="0" collapsed="false">
      <c r="A2427" s="0" t="s">
        <v>12</v>
      </c>
      <c r="B2427" s="0" t="n">
        <v>702899</v>
      </c>
      <c r="C2427" s="0" t="n">
        <v>702919</v>
      </c>
      <c r="D2427" s="0" t="s">
        <v>8085</v>
      </c>
      <c r="E2427" s="0" t="s">
        <v>89</v>
      </c>
      <c r="F2427" s="0" t="s">
        <v>90</v>
      </c>
      <c r="G2427" s="0" t="s">
        <v>16</v>
      </c>
      <c r="H2427" s="0" t="n">
        <v>70</v>
      </c>
      <c r="I2427" s="0" t="s">
        <v>8092</v>
      </c>
      <c r="J2427" s="0" t="s">
        <v>8093</v>
      </c>
      <c r="K2427" s="0" t="s">
        <v>8094</v>
      </c>
      <c r="L2427" s="0" t="str">
        <f aca="false">HYPERLINK("https://www.ncbi.nlm.nih.gov/nuccore/CP000304.1?report=graph&amp;tracks=[key:gene_model_track,Options:GeneOnly]&amp;mk=702953:702972|offset_17|444444,702932:702951|offset_38|444444,702900:702919|offset_70|00cc00,702878:702897|offset_92|444444&amp;v=702752:703097&amp;c=444444", "offset 70")</f>
        <v>offset 70</v>
      </c>
    </row>
    <row r="2428" customFormat="false" ht="12.8" hidden="false" customHeight="false" outlineLevel="0" collapsed="false">
      <c r="A2428" s="0" t="s">
        <v>12</v>
      </c>
      <c r="B2428" s="0" t="n">
        <v>702877</v>
      </c>
      <c r="C2428" s="0" t="n">
        <v>702897</v>
      </c>
      <c r="D2428" s="0" t="s">
        <v>8085</v>
      </c>
      <c r="E2428" s="0" t="s">
        <v>89</v>
      </c>
      <c r="F2428" s="0" t="s">
        <v>90</v>
      </c>
      <c r="G2428" s="0" t="s">
        <v>32</v>
      </c>
      <c r="H2428" s="0" t="n">
        <v>92</v>
      </c>
      <c r="I2428" s="0" t="s">
        <v>8095</v>
      </c>
      <c r="J2428" s="0" t="s">
        <v>8096</v>
      </c>
      <c r="K2428" s="0" t="s">
        <v>8097</v>
      </c>
      <c r="L2428" s="0" t="str">
        <f aca="false">HYPERLINK("https://www.ncbi.nlm.nih.gov/nuccore/CP000304.1?report=graph&amp;tracks=[key:gene_model_track,Options:GeneOnly]&amp;mk=702953:702972|offset_17|444444,702932:702951|offset_38|444444,702900:702919|offset_70|444444,702878:702897|offset_92|00cc00&amp;v=702752:703097&amp;c=444444", "offset 92")</f>
        <v>offset 92</v>
      </c>
    </row>
    <row r="2429" customFormat="false" ht="12.8" hidden="false" customHeight="false" outlineLevel="0" collapsed="false">
      <c r="A2429" s="0" t="s">
        <v>12</v>
      </c>
      <c r="B2429" s="0" t="n">
        <v>704512</v>
      </c>
      <c r="C2429" s="0" t="n">
        <v>704532</v>
      </c>
      <c r="D2429" s="0" t="s">
        <v>8098</v>
      </c>
      <c r="E2429" s="0" t="s">
        <v>89</v>
      </c>
      <c r="F2429" s="0" t="s">
        <v>90</v>
      </c>
      <c r="G2429" s="0" t="s">
        <v>26</v>
      </c>
      <c r="H2429" s="0" t="n">
        <v>12</v>
      </c>
      <c r="I2429" s="0" t="s">
        <v>8099</v>
      </c>
      <c r="J2429" s="0" t="s">
        <v>8100</v>
      </c>
      <c r="K2429" s="0" t="s">
        <v>8101</v>
      </c>
      <c r="L2429" s="0" t="str">
        <f aca="false">HYPERLINK("https://www.ncbi.nlm.nih.gov/nuccore/CP000304.1?report=graph&amp;tracks=[key:gene_model_track,Options:GeneOnly]&amp;mk=704513:704532|offset_12|00cc00,704468:704487|offset_57|444444,704443:704462|offset_82|444444,704419:704438|offset_106|444444&amp;v=704312:704638&amp;c=444444", "offset 12")</f>
        <v>offset 12</v>
      </c>
    </row>
    <row r="2430" customFormat="false" ht="12.8" hidden="false" customHeight="false" outlineLevel="0" collapsed="false">
      <c r="A2430" s="0" t="s">
        <v>12</v>
      </c>
      <c r="B2430" s="0" t="n">
        <v>704467</v>
      </c>
      <c r="C2430" s="0" t="n">
        <v>704487</v>
      </c>
      <c r="D2430" s="0" t="s">
        <v>8098</v>
      </c>
      <c r="E2430" s="0" t="s">
        <v>89</v>
      </c>
      <c r="F2430" s="0" t="s">
        <v>90</v>
      </c>
      <c r="G2430" s="0" t="s">
        <v>36</v>
      </c>
      <c r="H2430" s="0" t="n">
        <v>57</v>
      </c>
      <c r="I2430" s="0" t="s">
        <v>8102</v>
      </c>
      <c r="J2430" s="0" t="s">
        <v>8103</v>
      </c>
      <c r="K2430" s="0" t="s">
        <v>8104</v>
      </c>
      <c r="L2430" s="0" t="str">
        <f aca="false">HYPERLINK("https://www.ncbi.nlm.nih.gov/nuccore/CP000304.1?report=graph&amp;tracks=[key:gene_model_track,Options:GeneOnly]&amp;mk=704513:704532|offset_12|444444,704468:704487|offset_57|00cc00,704443:704462|offset_82|444444,704419:704438|offset_106|444444&amp;v=704312:704638&amp;c=444444", "offset 57")</f>
        <v>offset 57</v>
      </c>
    </row>
    <row r="2431" customFormat="false" ht="12.8" hidden="false" customHeight="false" outlineLevel="0" collapsed="false">
      <c r="A2431" s="0" t="s">
        <v>12</v>
      </c>
      <c r="B2431" s="0" t="n">
        <v>704442</v>
      </c>
      <c r="C2431" s="0" t="n">
        <v>704462</v>
      </c>
      <c r="D2431" s="0" t="s">
        <v>8098</v>
      </c>
      <c r="E2431" s="0" t="s">
        <v>89</v>
      </c>
      <c r="F2431" s="0" t="s">
        <v>90</v>
      </c>
      <c r="G2431" s="0" t="s">
        <v>16</v>
      </c>
      <c r="H2431" s="0" t="n">
        <v>82</v>
      </c>
      <c r="I2431" s="0" t="s">
        <v>8105</v>
      </c>
      <c r="J2431" s="0" t="s">
        <v>8106</v>
      </c>
      <c r="K2431" s="0" t="s">
        <v>8107</v>
      </c>
      <c r="L2431" s="0" t="str">
        <f aca="false">HYPERLINK("https://www.ncbi.nlm.nih.gov/nuccore/CP000304.1?report=graph&amp;tracks=[key:gene_model_track,Options:GeneOnly]&amp;mk=704513:704532|offset_12|444444,704468:704487|offset_57|444444,704443:704462|offset_82|00cc00,704419:704438|offset_106|444444&amp;v=704312:704638&amp;c=444444", "offset 82")</f>
        <v>offset 82</v>
      </c>
    </row>
    <row r="2432" customFormat="false" ht="12.8" hidden="false" customHeight="false" outlineLevel="0" collapsed="false">
      <c r="A2432" s="0" t="s">
        <v>12</v>
      </c>
      <c r="B2432" s="0" t="n">
        <v>704418</v>
      </c>
      <c r="C2432" s="0" t="n">
        <v>704438</v>
      </c>
      <c r="D2432" s="0" t="s">
        <v>8098</v>
      </c>
      <c r="E2432" s="0" t="s">
        <v>89</v>
      </c>
      <c r="F2432" s="0" t="s">
        <v>90</v>
      </c>
      <c r="G2432" s="0" t="s">
        <v>16</v>
      </c>
      <c r="H2432" s="0" t="n">
        <v>106</v>
      </c>
      <c r="I2432" s="0" t="s">
        <v>8108</v>
      </c>
      <c r="J2432" s="0" t="s">
        <v>8109</v>
      </c>
      <c r="K2432" s="0" t="s">
        <v>8110</v>
      </c>
      <c r="L2432" s="0" t="str">
        <f aca="false">HYPERLINK("https://www.ncbi.nlm.nih.gov/nuccore/CP000304.1?report=graph&amp;tracks=[key:gene_model_track,Options:GeneOnly]&amp;mk=704513:704532|offset_12|444444,704468:704487|offset_57|444444,704443:704462|offset_82|444444,704419:704438|offset_106|00cc00&amp;v=704312:704638&amp;c=444444", "offset 106")</f>
        <v>offset 106</v>
      </c>
    </row>
    <row r="2433" customFormat="false" ht="12.8" hidden="false" customHeight="false" outlineLevel="0" collapsed="false">
      <c r="A2433" s="0" t="s">
        <v>12</v>
      </c>
      <c r="B2433" s="0" t="n">
        <v>705068</v>
      </c>
      <c r="C2433" s="0" t="n">
        <v>705088</v>
      </c>
      <c r="D2433" s="0" t="s">
        <v>8111</v>
      </c>
      <c r="E2433" s="0" t="s">
        <v>89</v>
      </c>
      <c r="F2433" s="0" t="s">
        <v>90</v>
      </c>
      <c r="G2433" s="0" t="s">
        <v>26</v>
      </c>
      <c r="H2433" s="0" t="n">
        <v>6</v>
      </c>
      <c r="I2433" s="0" t="s">
        <v>8112</v>
      </c>
      <c r="J2433" s="0" t="s">
        <v>8113</v>
      </c>
      <c r="K2433" s="0" t="s">
        <v>8114</v>
      </c>
      <c r="L2433" s="0" t="str">
        <f aca="false">HYPERLINK("https://www.ncbi.nlm.nih.gov/nuccore/CP000304.1?report=graph&amp;tracks=[key:gene_model_track,Options:GeneOnly]&amp;mk=705069:705088|offset_6|00cc00,705042:705061|offset_33|444444,705022:705041|offset_53|444444,704997:705016|offset_78|444444&amp;v=704868:705216&amp;c=444444", "offset 6")</f>
        <v>offset 6</v>
      </c>
    </row>
    <row r="2434" customFormat="false" ht="12.8" hidden="false" customHeight="false" outlineLevel="0" collapsed="false">
      <c r="A2434" s="0" t="s">
        <v>12</v>
      </c>
      <c r="B2434" s="0" t="n">
        <v>705041</v>
      </c>
      <c r="C2434" s="0" t="n">
        <v>705061</v>
      </c>
      <c r="D2434" s="0" t="s">
        <v>8111</v>
      </c>
      <c r="E2434" s="0" t="s">
        <v>89</v>
      </c>
      <c r="F2434" s="0" t="s">
        <v>90</v>
      </c>
      <c r="G2434" s="0" t="s">
        <v>36</v>
      </c>
      <c r="H2434" s="0" t="n">
        <v>33</v>
      </c>
      <c r="I2434" s="0" t="s">
        <v>8115</v>
      </c>
      <c r="J2434" s="0" t="s">
        <v>8116</v>
      </c>
      <c r="K2434" s="0" t="s">
        <v>8117</v>
      </c>
      <c r="L2434" s="0" t="str">
        <f aca="false">HYPERLINK("https://www.ncbi.nlm.nih.gov/nuccore/CP000304.1?report=graph&amp;tracks=[key:gene_model_track,Options:GeneOnly]&amp;mk=705069:705088|offset_6|444444,705042:705061|offset_33|00cc00,705022:705041|offset_53|444444,704997:705016|offset_78|444444&amp;v=704868:705216&amp;c=444444", "offset 33")</f>
        <v>offset 33</v>
      </c>
    </row>
    <row r="2435" customFormat="false" ht="12.8" hidden="false" customHeight="false" outlineLevel="0" collapsed="false">
      <c r="A2435" s="0" t="s">
        <v>12</v>
      </c>
      <c r="B2435" s="0" t="n">
        <v>705021</v>
      </c>
      <c r="C2435" s="0" t="n">
        <v>705041</v>
      </c>
      <c r="D2435" s="0" t="s">
        <v>8111</v>
      </c>
      <c r="E2435" s="0" t="s">
        <v>89</v>
      </c>
      <c r="F2435" s="0" t="s">
        <v>90</v>
      </c>
      <c r="G2435" s="0" t="s">
        <v>26</v>
      </c>
      <c r="H2435" s="0" t="n">
        <v>53</v>
      </c>
      <c r="I2435" s="0" t="s">
        <v>8118</v>
      </c>
      <c r="J2435" s="0" t="s">
        <v>8119</v>
      </c>
      <c r="K2435" s="0" t="s">
        <v>8120</v>
      </c>
      <c r="L2435" s="0" t="str">
        <f aca="false">HYPERLINK("https://www.ncbi.nlm.nih.gov/nuccore/CP000304.1?report=graph&amp;tracks=[key:gene_model_track,Options:GeneOnly]&amp;mk=705069:705088|offset_6|444444,705042:705061|offset_33|444444,705022:705041|offset_53|00cc00,704997:705016|offset_78|444444&amp;v=704868:705216&amp;c=444444", "offset 53")</f>
        <v>offset 53</v>
      </c>
    </row>
    <row r="2436" customFormat="false" ht="12.8" hidden="false" customHeight="false" outlineLevel="0" collapsed="false">
      <c r="A2436" s="0" t="s">
        <v>12</v>
      </c>
      <c r="B2436" s="0" t="n">
        <v>704996</v>
      </c>
      <c r="C2436" s="0" t="n">
        <v>705016</v>
      </c>
      <c r="D2436" s="0" t="s">
        <v>8111</v>
      </c>
      <c r="E2436" s="0" t="s">
        <v>89</v>
      </c>
      <c r="F2436" s="0" t="s">
        <v>90</v>
      </c>
      <c r="G2436" s="0" t="s">
        <v>32</v>
      </c>
      <c r="H2436" s="0" t="n">
        <v>78</v>
      </c>
      <c r="I2436" s="0" t="s">
        <v>8121</v>
      </c>
      <c r="J2436" s="0" t="s">
        <v>8122</v>
      </c>
      <c r="K2436" s="0" t="s">
        <v>8123</v>
      </c>
      <c r="L2436" s="0" t="str">
        <f aca="false">HYPERLINK("https://www.ncbi.nlm.nih.gov/nuccore/CP000304.1?report=graph&amp;tracks=[key:gene_model_track,Options:GeneOnly]&amp;mk=705069:705088|offset_6|444444,705042:705061|offset_33|444444,705022:705041|offset_53|444444,704997:705016|offset_78|00cc00&amp;v=704868:705216&amp;c=444444", "offset 78")</f>
        <v>offset 78</v>
      </c>
    </row>
    <row r="2437" customFormat="false" ht="12.8" hidden="false" customHeight="false" outlineLevel="0" collapsed="false">
      <c r="A2437" s="0" t="s">
        <v>12</v>
      </c>
      <c r="B2437" s="0" t="n">
        <v>705656</v>
      </c>
      <c r="C2437" s="0" t="n">
        <v>705676</v>
      </c>
      <c r="D2437" s="0" t="s">
        <v>8124</v>
      </c>
      <c r="E2437" s="0" t="s">
        <v>89</v>
      </c>
      <c r="F2437" s="0" t="s">
        <v>90</v>
      </c>
      <c r="G2437" s="0" t="s">
        <v>32</v>
      </c>
      <c r="H2437" s="0" t="n">
        <v>1</v>
      </c>
      <c r="I2437" s="0" t="s">
        <v>8125</v>
      </c>
      <c r="J2437" s="0" t="s">
        <v>8126</v>
      </c>
      <c r="K2437" s="0" t="s">
        <v>8127</v>
      </c>
      <c r="L2437" s="0" t="str">
        <f aca="false">HYPERLINK("https://www.ncbi.nlm.nih.gov/nuccore/CP000304.1?report=graph&amp;tracks=[key:gene_model_track,Options:GeneOnly]&amp;mk=705657:705676|offset_1|00cc00,705615:705634|offset_43|444444,705584:705603|offset_74|444444,705536:705555|offset_122|444444&amp;v=705456:705755&amp;c=444444", "offset 1")</f>
        <v>offset 1</v>
      </c>
    </row>
    <row r="2438" customFormat="false" ht="12.8" hidden="false" customHeight="false" outlineLevel="0" collapsed="false">
      <c r="A2438" s="0" t="s">
        <v>12</v>
      </c>
      <c r="B2438" s="0" t="n">
        <v>705614</v>
      </c>
      <c r="C2438" s="0" t="n">
        <v>705634</v>
      </c>
      <c r="D2438" s="0" t="s">
        <v>8124</v>
      </c>
      <c r="E2438" s="0" t="s">
        <v>89</v>
      </c>
      <c r="F2438" s="0" t="s">
        <v>90</v>
      </c>
      <c r="G2438" s="0" t="s">
        <v>16</v>
      </c>
      <c r="H2438" s="0" t="n">
        <v>43</v>
      </c>
      <c r="I2438" s="0" t="s">
        <v>8128</v>
      </c>
      <c r="J2438" s="0" t="s">
        <v>8129</v>
      </c>
      <c r="K2438" s="0" t="s">
        <v>8130</v>
      </c>
      <c r="L2438" s="0" t="str">
        <f aca="false">HYPERLINK("https://www.ncbi.nlm.nih.gov/nuccore/CP000304.1?report=graph&amp;tracks=[key:gene_model_track,Options:GeneOnly]&amp;mk=705657:705676|offset_1|444444,705615:705634|offset_43|00cc00,705584:705603|offset_74|444444,705536:705555|offset_122|444444&amp;v=705456:705755&amp;c=444444", "offset 43")</f>
        <v>offset 43</v>
      </c>
    </row>
    <row r="2439" customFormat="false" ht="12.8" hidden="false" customHeight="false" outlineLevel="0" collapsed="false">
      <c r="A2439" s="0" t="s">
        <v>12</v>
      </c>
      <c r="B2439" s="0" t="n">
        <v>705583</v>
      </c>
      <c r="C2439" s="0" t="n">
        <v>705603</v>
      </c>
      <c r="D2439" s="0" t="s">
        <v>8124</v>
      </c>
      <c r="E2439" s="0" t="s">
        <v>89</v>
      </c>
      <c r="F2439" s="0" t="s">
        <v>90</v>
      </c>
      <c r="G2439" s="0" t="s">
        <v>26</v>
      </c>
      <c r="H2439" s="0" t="n">
        <v>74</v>
      </c>
      <c r="I2439" s="0" t="s">
        <v>8131</v>
      </c>
      <c r="J2439" s="0" t="s">
        <v>8132</v>
      </c>
      <c r="K2439" s="0" t="s">
        <v>8133</v>
      </c>
      <c r="L2439" s="0" t="str">
        <f aca="false">HYPERLINK("https://www.ncbi.nlm.nih.gov/nuccore/CP000304.1?report=graph&amp;tracks=[key:gene_model_track,Options:GeneOnly]&amp;mk=705657:705676|offset_1|444444,705615:705634|offset_43|444444,705584:705603|offset_74|00cc00,705536:705555|offset_122|444444&amp;v=705456:705755&amp;c=444444", "offset 74")</f>
        <v>offset 74</v>
      </c>
    </row>
    <row r="2440" customFormat="false" ht="12.8" hidden="false" customHeight="false" outlineLevel="0" collapsed="false">
      <c r="A2440" s="0" t="s">
        <v>12</v>
      </c>
      <c r="B2440" s="0" t="n">
        <v>705535</v>
      </c>
      <c r="C2440" s="0" t="n">
        <v>705555</v>
      </c>
      <c r="D2440" s="0" t="s">
        <v>8124</v>
      </c>
      <c r="E2440" s="0" t="s">
        <v>89</v>
      </c>
      <c r="F2440" s="0" t="s">
        <v>90</v>
      </c>
      <c r="G2440" s="0" t="s">
        <v>32</v>
      </c>
      <c r="H2440" s="0" t="n">
        <v>122</v>
      </c>
      <c r="I2440" s="0" t="s">
        <v>8134</v>
      </c>
      <c r="J2440" s="0" t="s">
        <v>8135</v>
      </c>
      <c r="K2440" s="0" t="s">
        <v>8136</v>
      </c>
      <c r="L2440" s="0" t="str">
        <f aca="false">HYPERLINK("https://www.ncbi.nlm.nih.gov/nuccore/CP000304.1?report=graph&amp;tracks=[key:gene_model_track,Options:GeneOnly]&amp;mk=705657:705676|offset_1|444444,705615:705634|offset_43|444444,705584:705603|offset_74|444444,705536:705555|offset_122|00cc00&amp;v=705456:705755&amp;c=444444", "offset 122")</f>
        <v>offset 122</v>
      </c>
    </row>
    <row r="2441" customFormat="false" ht="12.8" hidden="false" customHeight="false" outlineLevel="0" collapsed="false">
      <c r="A2441" s="0" t="s">
        <v>12</v>
      </c>
      <c r="B2441" s="0" t="n">
        <v>707530</v>
      </c>
      <c r="C2441" s="0" t="n">
        <v>707550</v>
      </c>
      <c r="D2441" s="0" t="s">
        <v>8137</v>
      </c>
      <c r="E2441" s="0" t="s">
        <v>89</v>
      </c>
      <c r="F2441" s="0" t="s">
        <v>90</v>
      </c>
      <c r="G2441" s="0" t="s">
        <v>32</v>
      </c>
      <c r="H2441" s="0" t="n">
        <v>13</v>
      </c>
      <c r="I2441" s="0" t="s">
        <v>8138</v>
      </c>
      <c r="J2441" s="0" t="s">
        <v>8139</v>
      </c>
      <c r="K2441" s="0" t="s">
        <v>8140</v>
      </c>
      <c r="L2441" s="0" t="str">
        <f aca="false">HYPERLINK("https://www.ncbi.nlm.nih.gov/nuccore/CP000304.1?report=graph&amp;tracks=[key:gene_model_track,Options:GeneOnly]&amp;mk=707531:707550|offset_13|00cc00,707494:707513|offset_50|444444,707468:707487|offset_76|444444,707431:707450|offset_113|444444&amp;v=707330:707650&amp;c=444444", "offset 13")</f>
        <v>offset 13</v>
      </c>
    </row>
    <row r="2442" customFormat="false" ht="12.8" hidden="false" customHeight="false" outlineLevel="0" collapsed="false">
      <c r="A2442" s="0" t="s">
        <v>12</v>
      </c>
      <c r="B2442" s="0" t="n">
        <v>707493</v>
      </c>
      <c r="C2442" s="0" t="n">
        <v>707513</v>
      </c>
      <c r="D2442" s="0" t="s">
        <v>8137</v>
      </c>
      <c r="E2442" s="0" t="s">
        <v>89</v>
      </c>
      <c r="F2442" s="0" t="s">
        <v>90</v>
      </c>
      <c r="G2442" s="0" t="s">
        <v>26</v>
      </c>
      <c r="H2442" s="0" t="n">
        <v>50</v>
      </c>
      <c r="I2442" s="0" t="s">
        <v>8141</v>
      </c>
      <c r="J2442" s="0" t="s">
        <v>8142</v>
      </c>
      <c r="K2442" s="0" t="s">
        <v>8143</v>
      </c>
      <c r="L2442" s="0" t="str">
        <f aca="false">HYPERLINK("https://www.ncbi.nlm.nih.gov/nuccore/CP000304.1?report=graph&amp;tracks=[key:gene_model_track,Options:GeneOnly]&amp;mk=707531:707550|offset_13|444444,707494:707513|offset_50|00cc00,707468:707487|offset_76|444444,707431:707450|offset_113|444444&amp;v=707330:707650&amp;c=444444", "offset 50")</f>
        <v>offset 50</v>
      </c>
    </row>
    <row r="2443" customFormat="false" ht="12.8" hidden="false" customHeight="false" outlineLevel="0" collapsed="false">
      <c r="A2443" s="0" t="s">
        <v>12</v>
      </c>
      <c r="B2443" s="0" t="n">
        <v>707467</v>
      </c>
      <c r="C2443" s="0" t="n">
        <v>707487</v>
      </c>
      <c r="D2443" s="0" t="s">
        <v>8137</v>
      </c>
      <c r="E2443" s="0" t="s">
        <v>89</v>
      </c>
      <c r="F2443" s="0" t="s">
        <v>90</v>
      </c>
      <c r="G2443" s="0" t="s">
        <v>36</v>
      </c>
      <c r="H2443" s="0" t="n">
        <v>76</v>
      </c>
      <c r="I2443" s="0" t="s">
        <v>8144</v>
      </c>
      <c r="J2443" s="0" t="s">
        <v>8145</v>
      </c>
      <c r="K2443" s="0" t="s">
        <v>8146</v>
      </c>
      <c r="L2443" s="0" t="str">
        <f aca="false">HYPERLINK("https://www.ncbi.nlm.nih.gov/nuccore/CP000304.1?report=graph&amp;tracks=[key:gene_model_track,Options:GeneOnly]&amp;mk=707531:707550|offset_13|444444,707494:707513|offset_50|444444,707468:707487|offset_76|00cc00,707431:707450|offset_113|444444&amp;v=707330:707650&amp;c=444444", "offset 76")</f>
        <v>offset 76</v>
      </c>
    </row>
    <row r="2444" customFormat="false" ht="12.8" hidden="false" customHeight="false" outlineLevel="0" collapsed="false">
      <c r="A2444" s="0" t="s">
        <v>12</v>
      </c>
      <c r="B2444" s="0" t="n">
        <v>707430</v>
      </c>
      <c r="C2444" s="0" t="n">
        <v>707450</v>
      </c>
      <c r="D2444" s="0" t="s">
        <v>8137</v>
      </c>
      <c r="E2444" s="0" t="s">
        <v>89</v>
      </c>
      <c r="F2444" s="0" t="s">
        <v>90</v>
      </c>
      <c r="G2444" s="0" t="s">
        <v>36</v>
      </c>
      <c r="H2444" s="0" t="n">
        <v>113</v>
      </c>
      <c r="I2444" s="0" t="s">
        <v>8147</v>
      </c>
      <c r="J2444" s="0" t="s">
        <v>8148</v>
      </c>
      <c r="K2444" s="0" t="s">
        <v>8149</v>
      </c>
      <c r="L2444" s="0" t="str">
        <f aca="false">HYPERLINK("https://www.ncbi.nlm.nih.gov/nuccore/CP000304.1?report=graph&amp;tracks=[key:gene_model_track,Options:GeneOnly]&amp;mk=707531:707550|offset_13|444444,707494:707513|offset_50|444444,707468:707487|offset_76|444444,707431:707450|offset_113|00cc00&amp;v=707330:707650&amp;c=444444", "offset 113")</f>
        <v>offset 113</v>
      </c>
    </row>
    <row r="2445" customFormat="false" ht="12.8" hidden="false" customHeight="false" outlineLevel="0" collapsed="false">
      <c r="A2445" s="0" t="s">
        <v>12</v>
      </c>
      <c r="B2445" s="0" t="n">
        <v>707908</v>
      </c>
      <c r="C2445" s="0" t="n">
        <v>707928</v>
      </c>
      <c r="D2445" s="0" t="s">
        <v>8150</v>
      </c>
      <c r="E2445" s="0" t="s">
        <v>89</v>
      </c>
      <c r="F2445" s="0" t="s">
        <v>15</v>
      </c>
      <c r="G2445" s="0" t="s">
        <v>36</v>
      </c>
      <c r="H2445" s="0" t="n">
        <v>31</v>
      </c>
      <c r="I2445" s="0" t="s">
        <v>8151</v>
      </c>
      <c r="J2445" s="0" t="s">
        <v>8152</v>
      </c>
      <c r="K2445" s="0" t="s">
        <v>8153</v>
      </c>
      <c r="L2445" s="0" t="str">
        <f aca="false">HYPERLINK("https://www.ncbi.nlm.nih.gov/nuccore/CP000304.1?report=graph&amp;tracks=[key:gene_model_track,Options:GeneOnly]&amp;mk=707909:707928|offset_31|00cc00,707949:707968|offset_71|444444,707969:707988|offset_91|444444,708002:708021|offset_124|444444&amp;v=707708:708221&amp;c=444444", "offset 31")</f>
        <v>offset 31</v>
      </c>
    </row>
    <row r="2446" customFormat="false" ht="12.8" hidden="false" customHeight="false" outlineLevel="0" collapsed="false">
      <c r="A2446" s="0" t="s">
        <v>12</v>
      </c>
      <c r="B2446" s="0" t="n">
        <v>707948</v>
      </c>
      <c r="C2446" s="0" t="n">
        <v>707968</v>
      </c>
      <c r="D2446" s="0" t="s">
        <v>8150</v>
      </c>
      <c r="E2446" s="0" t="s">
        <v>89</v>
      </c>
      <c r="F2446" s="0" t="s">
        <v>15</v>
      </c>
      <c r="G2446" s="0" t="s">
        <v>16</v>
      </c>
      <c r="H2446" s="0" t="n">
        <v>71</v>
      </c>
      <c r="I2446" s="0" t="s">
        <v>8154</v>
      </c>
      <c r="J2446" s="0" t="s">
        <v>8155</v>
      </c>
      <c r="K2446" s="0" t="s">
        <v>8156</v>
      </c>
      <c r="L2446" s="0" t="str">
        <f aca="false">HYPERLINK("https://www.ncbi.nlm.nih.gov/nuccore/CP000304.1?report=graph&amp;tracks=[key:gene_model_track,Options:GeneOnly]&amp;mk=707909:707928|offset_31|444444,707949:707968|offset_71|00cc00,707969:707988|offset_91|444444,708002:708021|offset_124|444444&amp;v=707708:708221&amp;c=444444", "offset 71")</f>
        <v>offset 71</v>
      </c>
    </row>
    <row r="2447" customFormat="false" ht="12.8" hidden="false" customHeight="false" outlineLevel="0" collapsed="false">
      <c r="A2447" s="0" t="s">
        <v>12</v>
      </c>
      <c r="B2447" s="0" t="n">
        <v>707968</v>
      </c>
      <c r="C2447" s="0" t="n">
        <v>707988</v>
      </c>
      <c r="D2447" s="0" t="s">
        <v>8150</v>
      </c>
      <c r="E2447" s="0" t="s">
        <v>89</v>
      </c>
      <c r="F2447" s="0" t="s">
        <v>15</v>
      </c>
      <c r="G2447" s="0" t="s">
        <v>36</v>
      </c>
      <c r="H2447" s="0" t="n">
        <v>91</v>
      </c>
      <c r="I2447" s="0" t="s">
        <v>8157</v>
      </c>
      <c r="J2447" s="0" t="s">
        <v>8158</v>
      </c>
      <c r="K2447" s="0" t="s">
        <v>8159</v>
      </c>
      <c r="L2447" s="0" t="str">
        <f aca="false">HYPERLINK("https://www.ncbi.nlm.nih.gov/nuccore/CP000304.1?report=graph&amp;tracks=[key:gene_model_track,Options:GeneOnly]&amp;mk=707909:707928|offset_31|444444,707949:707968|offset_71|444444,707969:707988|offset_91|00cc00,708002:708021|offset_124|444444&amp;v=707708:708221&amp;c=444444", "offset 91")</f>
        <v>offset 91</v>
      </c>
    </row>
    <row r="2448" customFormat="false" ht="12.8" hidden="false" customHeight="false" outlineLevel="0" collapsed="false">
      <c r="A2448" s="0" t="s">
        <v>12</v>
      </c>
      <c r="B2448" s="0" t="n">
        <v>708001</v>
      </c>
      <c r="C2448" s="0" t="n">
        <v>708021</v>
      </c>
      <c r="D2448" s="0" t="s">
        <v>8150</v>
      </c>
      <c r="E2448" s="0" t="s">
        <v>89</v>
      </c>
      <c r="F2448" s="0" t="s">
        <v>15</v>
      </c>
      <c r="G2448" s="0" t="s">
        <v>36</v>
      </c>
      <c r="H2448" s="0" t="n">
        <v>124</v>
      </c>
      <c r="I2448" s="0" t="s">
        <v>8160</v>
      </c>
      <c r="J2448" s="0" t="s">
        <v>8161</v>
      </c>
      <c r="K2448" s="0" t="s">
        <v>8162</v>
      </c>
      <c r="L2448" s="0" t="str">
        <f aca="false">HYPERLINK("https://www.ncbi.nlm.nih.gov/nuccore/CP000304.1?report=graph&amp;tracks=[key:gene_model_track,Options:GeneOnly]&amp;mk=707909:707928|offset_31|444444,707949:707968|offset_71|444444,707969:707988|offset_91|444444,708002:708021|offset_124|00cc00&amp;v=707708:708221&amp;c=444444", "offset 124")</f>
        <v>offset 124</v>
      </c>
    </row>
    <row r="2449" customFormat="false" ht="12.8" hidden="false" customHeight="false" outlineLevel="0" collapsed="false">
      <c r="A2449" s="0" t="s">
        <v>12</v>
      </c>
      <c r="B2449" s="0" t="n">
        <v>708156</v>
      </c>
      <c r="C2449" s="0" t="n">
        <v>708176</v>
      </c>
      <c r="D2449" s="0" t="s">
        <v>8163</v>
      </c>
      <c r="E2449" s="0" t="s">
        <v>89</v>
      </c>
      <c r="F2449" s="0" t="s">
        <v>15</v>
      </c>
      <c r="G2449" s="0" t="s">
        <v>16</v>
      </c>
      <c r="H2449" s="0" t="n">
        <v>10</v>
      </c>
      <c r="I2449" s="0" t="s">
        <v>8164</v>
      </c>
      <c r="J2449" s="0" t="s">
        <v>8165</v>
      </c>
      <c r="K2449" s="0" t="s">
        <v>8166</v>
      </c>
      <c r="L2449" s="0" t="str">
        <f aca="false">HYPERLINK("https://www.ncbi.nlm.nih.gov/nuccore/CP000304.1?report=graph&amp;tracks=[key:gene_model_track,Options:GeneOnly]&amp;mk=708157:708176|offset_10|00cc00,708177:708196|offset_30|444444,708227:708246|offset_80|444444,708256:708275|offset_109|444444&amp;v=707956:708475&amp;c=444444", "offset 10")</f>
        <v>offset 10</v>
      </c>
    </row>
    <row r="2450" customFormat="false" ht="12.8" hidden="false" customHeight="false" outlineLevel="0" collapsed="false">
      <c r="A2450" s="0" t="s">
        <v>12</v>
      </c>
      <c r="B2450" s="0" t="n">
        <v>708176</v>
      </c>
      <c r="C2450" s="0" t="n">
        <v>708196</v>
      </c>
      <c r="D2450" s="0" t="s">
        <v>8163</v>
      </c>
      <c r="E2450" s="0" t="s">
        <v>89</v>
      </c>
      <c r="F2450" s="0" t="s">
        <v>15</v>
      </c>
      <c r="G2450" s="0" t="s">
        <v>32</v>
      </c>
      <c r="H2450" s="0" t="n">
        <v>30</v>
      </c>
      <c r="I2450" s="0" t="s">
        <v>8167</v>
      </c>
      <c r="J2450" s="0" t="s">
        <v>8168</v>
      </c>
      <c r="K2450" s="0" t="s">
        <v>8169</v>
      </c>
      <c r="L2450" s="0" t="str">
        <f aca="false">HYPERLINK("https://www.ncbi.nlm.nih.gov/nuccore/CP000304.1?report=graph&amp;tracks=[key:gene_model_track,Options:GeneOnly]&amp;mk=708157:708176|offset_10|444444,708177:708196|offset_30|00cc00,708227:708246|offset_80|444444,708256:708275|offset_109|444444&amp;v=707956:708475&amp;c=444444", "offset 30")</f>
        <v>offset 30</v>
      </c>
    </row>
    <row r="2451" customFormat="false" ht="12.8" hidden="false" customHeight="false" outlineLevel="0" collapsed="false">
      <c r="A2451" s="0" t="s">
        <v>12</v>
      </c>
      <c r="B2451" s="0" t="n">
        <v>708226</v>
      </c>
      <c r="C2451" s="0" t="n">
        <v>708246</v>
      </c>
      <c r="D2451" s="0" t="s">
        <v>8163</v>
      </c>
      <c r="E2451" s="0" t="s">
        <v>89</v>
      </c>
      <c r="F2451" s="0" t="s">
        <v>15</v>
      </c>
      <c r="G2451" s="0" t="s">
        <v>16</v>
      </c>
      <c r="H2451" s="0" t="n">
        <v>80</v>
      </c>
      <c r="I2451" s="0" t="s">
        <v>8170</v>
      </c>
      <c r="J2451" s="0" t="s">
        <v>8171</v>
      </c>
      <c r="K2451" s="0" t="s">
        <v>8172</v>
      </c>
      <c r="L2451" s="0" t="str">
        <f aca="false">HYPERLINK("https://www.ncbi.nlm.nih.gov/nuccore/CP000304.1?report=graph&amp;tracks=[key:gene_model_track,Options:GeneOnly]&amp;mk=708157:708176|offset_10|444444,708177:708196|offset_30|444444,708227:708246|offset_80|00cc00,708256:708275|offset_109|444444&amp;v=707956:708475&amp;c=444444", "offset 80")</f>
        <v>offset 80</v>
      </c>
    </row>
    <row r="2452" customFormat="false" ht="12.8" hidden="false" customHeight="false" outlineLevel="0" collapsed="false">
      <c r="A2452" s="0" t="s">
        <v>12</v>
      </c>
      <c r="B2452" s="0" t="n">
        <v>708255</v>
      </c>
      <c r="C2452" s="0" t="n">
        <v>708275</v>
      </c>
      <c r="D2452" s="0" t="s">
        <v>8163</v>
      </c>
      <c r="E2452" s="0" t="s">
        <v>89</v>
      </c>
      <c r="F2452" s="0" t="s">
        <v>15</v>
      </c>
      <c r="G2452" s="0" t="s">
        <v>16</v>
      </c>
      <c r="H2452" s="0" t="n">
        <v>109</v>
      </c>
      <c r="I2452" s="0" t="s">
        <v>8173</v>
      </c>
      <c r="J2452" s="0" t="s">
        <v>8174</v>
      </c>
      <c r="K2452" s="0" t="s">
        <v>8175</v>
      </c>
      <c r="L2452" s="0" t="str">
        <f aca="false">HYPERLINK("https://www.ncbi.nlm.nih.gov/nuccore/CP000304.1?report=graph&amp;tracks=[key:gene_model_track,Options:GeneOnly]&amp;mk=708157:708176|offset_10|444444,708177:708196|offset_30|444444,708227:708246|offset_80|444444,708256:708275|offset_109|00cc00&amp;v=707956:708475&amp;c=444444", "offset 109")</f>
        <v>offset 109</v>
      </c>
    </row>
    <row r="2453" customFormat="false" ht="12.8" hidden="false" customHeight="false" outlineLevel="0" collapsed="false">
      <c r="A2453" s="0" t="s">
        <v>12</v>
      </c>
      <c r="B2453" s="0" t="n">
        <v>712157</v>
      </c>
      <c r="C2453" s="0" t="n">
        <v>712177</v>
      </c>
      <c r="D2453" s="0" t="s">
        <v>8176</v>
      </c>
      <c r="E2453" s="0" t="s">
        <v>89</v>
      </c>
      <c r="F2453" s="0" t="s">
        <v>90</v>
      </c>
      <c r="G2453" s="0" t="s">
        <v>26</v>
      </c>
      <c r="H2453" s="0" t="n">
        <v>14</v>
      </c>
      <c r="I2453" s="0" t="s">
        <v>8177</v>
      </c>
      <c r="J2453" s="0" t="s">
        <v>8178</v>
      </c>
      <c r="K2453" s="0" t="s">
        <v>8179</v>
      </c>
      <c r="L2453" s="0" t="str">
        <f aca="false">HYPERLINK("https://www.ncbi.nlm.nih.gov/nuccore/CP000304.1?report=graph&amp;tracks=[key:gene_model_track,Options:GeneOnly]&amp;mk=712158:712177|offset_14|00cc00,712108:712127|offset_64|444444,712044:712063|offset_128|444444,712010:712029|offset_162|444444&amp;v=711957:712229&amp;c=444444", "offset 14")</f>
        <v>offset 14</v>
      </c>
    </row>
    <row r="2454" customFormat="false" ht="12.8" hidden="false" customHeight="false" outlineLevel="0" collapsed="false">
      <c r="A2454" s="0" t="s">
        <v>12</v>
      </c>
      <c r="B2454" s="0" t="n">
        <v>712107</v>
      </c>
      <c r="C2454" s="0" t="n">
        <v>712127</v>
      </c>
      <c r="D2454" s="0" t="s">
        <v>8176</v>
      </c>
      <c r="E2454" s="0" t="s">
        <v>89</v>
      </c>
      <c r="F2454" s="0" t="s">
        <v>90</v>
      </c>
      <c r="G2454" s="0" t="s">
        <v>26</v>
      </c>
      <c r="H2454" s="0" t="n">
        <v>64</v>
      </c>
      <c r="I2454" s="0" t="s">
        <v>8180</v>
      </c>
      <c r="J2454" s="0" t="s">
        <v>8181</v>
      </c>
      <c r="K2454" s="0" t="s">
        <v>8182</v>
      </c>
      <c r="L2454" s="0" t="str">
        <f aca="false">HYPERLINK("https://www.ncbi.nlm.nih.gov/nuccore/CP000304.1?report=graph&amp;tracks=[key:gene_model_track,Options:GeneOnly]&amp;mk=712158:712177|offset_14|444444,712108:712127|offset_64|00cc00,712044:712063|offset_128|444444,712010:712029|offset_162|444444&amp;v=711957:712229&amp;c=444444", "offset 64")</f>
        <v>offset 64</v>
      </c>
    </row>
    <row r="2455" customFormat="false" ht="12.8" hidden="false" customHeight="false" outlineLevel="0" collapsed="false">
      <c r="A2455" s="0" t="s">
        <v>12</v>
      </c>
      <c r="B2455" s="0" t="n">
        <v>712043</v>
      </c>
      <c r="C2455" s="0" t="n">
        <v>712063</v>
      </c>
      <c r="D2455" s="0" t="s">
        <v>8176</v>
      </c>
      <c r="E2455" s="0" t="s">
        <v>89</v>
      </c>
      <c r="F2455" s="0" t="s">
        <v>90</v>
      </c>
      <c r="G2455" s="0" t="s">
        <v>26</v>
      </c>
      <c r="H2455" s="0" t="n">
        <v>128</v>
      </c>
      <c r="I2455" s="0" t="s">
        <v>8183</v>
      </c>
      <c r="J2455" s="0" t="s">
        <v>8184</v>
      </c>
      <c r="K2455" s="0" t="s">
        <v>8185</v>
      </c>
      <c r="L2455" s="0" t="str">
        <f aca="false">HYPERLINK("https://www.ncbi.nlm.nih.gov/nuccore/CP000304.1?report=graph&amp;tracks=[key:gene_model_track,Options:GeneOnly]&amp;mk=712158:712177|offset_14|444444,712108:712127|offset_64|444444,712044:712063|offset_128|00cc00,712010:712029|offset_162|444444&amp;v=711957:712229&amp;c=444444", "offset 128")</f>
        <v>offset 128</v>
      </c>
    </row>
    <row r="2456" customFormat="false" ht="12.8" hidden="false" customHeight="false" outlineLevel="0" collapsed="false">
      <c r="A2456" s="0" t="s">
        <v>12</v>
      </c>
      <c r="B2456" s="0" t="n">
        <v>712009</v>
      </c>
      <c r="C2456" s="0" t="n">
        <v>712029</v>
      </c>
      <c r="D2456" s="0" t="s">
        <v>8176</v>
      </c>
      <c r="E2456" s="0" t="s">
        <v>89</v>
      </c>
      <c r="F2456" s="0" t="s">
        <v>90</v>
      </c>
      <c r="G2456" s="0" t="s">
        <v>36</v>
      </c>
      <c r="H2456" s="0" t="n">
        <v>162</v>
      </c>
      <c r="I2456" s="0" t="s">
        <v>8186</v>
      </c>
      <c r="J2456" s="0" t="s">
        <v>8187</v>
      </c>
      <c r="K2456" s="0" t="s">
        <v>8188</v>
      </c>
      <c r="L2456" s="0" t="str">
        <f aca="false">HYPERLINK("https://www.ncbi.nlm.nih.gov/nuccore/CP000304.1?report=graph&amp;tracks=[key:gene_model_track,Options:GeneOnly]&amp;mk=712158:712177|offset_14|444444,712108:712127|offset_64|444444,712044:712063|offset_128|444444,712010:712029|offset_162|00cc00&amp;v=711957:712229&amp;c=444444", "offset 162")</f>
        <v>offset 162</v>
      </c>
    </row>
    <row r="2457" customFormat="false" ht="12.8" hidden="false" customHeight="false" outlineLevel="0" collapsed="false">
      <c r="A2457" s="0" t="s">
        <v>12</v>
      </c>
      <c r="B2457" s="0" t="n">
        <v>712922</v>
      </c>
      <c r="C2457" s="0" t="n">
        <v>712942</v>
      </c>
      <c r="D2457" s="0" t="s">
        <v>8189</v>
      </c>
      <c r="E2457" s="0" t="s">
        <v>89</v>
      </c>
      <c r="F2457" s="0" t="s">
        <v>90</v>
      </c>
      <c r="G2457" s="0" t="s">
        <v>32</v>
      </c>
      <c r="H2457" s="0" t="n">
        <v>9</v>
      </c>
      <c r="I2457" s="0" t="s">
        <v>8190</v>
      </c>
      <c r="J2457" s="0" t="s">
        <v>8191</v>
      </c>
      <c r="K2457" s="0" t="s">
        <v>8192</v>
      </c>
      <c r="L2457" s="0" t="str">
        <f aca="false">HYPERLINK("https://www.ncbi.nlm.nih.gov/nuccore/CP000304.1?report=graph&amp;tracks=[key:gene_model_track,Options:GeneOnly]&amp;mk=712923:712942|offset_9|00cc00,712899:712918|offset_33|444444,712802:712821|offset_130|444444,712742:712761|offset_190|444444&amp;v=712722:712961&amp;c=444444", "offset 9")</f>
        <v>offset 9</v>
      </c>
    </row>
    <row r="2458" customFormat="false" ht="12.8" hidden="false" customHeight="false" outlineLevel="0" collapsed="false">
      <c r="A2458" s="0" t="s">
        <v>12</v>
      </c>
      <c r="B2458" s="0" t="n">
        <v>712898</v>
      </c>
      <c r="C2458" s="0" t="n">
        <v>712918</v>
      </c>
      <c r="D2458" s="0" t="s">
        <v>8189</v>
      </c>
      <c r="E2458" s="0" t="s">
        <v>89</v>
      </c>
      <c r="F2458" s="0" t="s">
        <v>90</v>
      </c>
      <c r="G2458" s="0" t="s">
        <v>36</v>
      </c>
      <c r="H2458" s="0" t="n">
        <v>33</v>
      </c>
      <c r="I2458" s="0" t="s">
        <v>8193</v>
      </c>
      <c r="J2458" s="0" t="s">
        <v>8194</v>
      </c>
      <c r="K2458" s="0" t="s">
        <v>8195</v>
      </c>
      <c r="L2458" s="0" t="str">
        <f aca="false">HYPERLINK("https://www.ncbi.nlm.nih.gov/nuccore/CP000304.1?report=graph&amp;tracks=[key:gene_model_track,Options:GeneOnly]&amp;mk=712923:712942|offset_9|444444,712899:712918|offset_33|00cc00,712802:712821|offset_130|444444,712742:712761|offset_190|444444&amp;v=712722:712961&amp;c=444444", "offset 33")</f>
        <v>offset 33</v>
      </c>
    </row>
    <row r="2459" customFormat="false" ht="12.8" hidden="false" customHeight="false" outlineLevel="0" collapsed="false">
      <c r="A2459" s="0" t="s">
        <v>12</v>
      </c>
      <c r="B2459" s="0" t="n">
        <v>712801</v>
      </c>
      <c r="C2459" s="0" t="n">
        <v>712821</v>
      </c>
      <c r="D2459" s="0" t="s">
        <v>8189</v>
      </c>
      <c r="E2459" s="0" t="s">
        <v>89</v>
      </c>
      <c r="F2459" s="0" t="s">
        <v>90</v>
      </c>
      <c r="G2459" s="0" t="s">
        <v>16</v>
      </c>
      <c r="H2459" s="0" t="n">
        <v>130</v>
      </c>
      <c r="I2459" s="0" t="s">
        <v>8196</v>
      </c>
      <c r="J2459" s="0" t="s">
        <v>8197</v>
      </c>
      <c r="K2459" s="0" t="s">
        <v>8198</v>
      </c>
      <c r="L2459" s="0" t="str">
        <f aca="false">HYPERLINK("https://www.ncbi.nlm.nih.gov/nuccore/CP000304.1?report=graph&amp;tracks=[key:gene_model_track,Options:GeneOnly]&amp;mk=712923:712942|offset_9|444444,712899:712918|offset_33|444444,712802:712821|offset_130|00cc00,712742:712761|offset_190|444444&amp;v=712722:712961&amp;c=444444", "offset 130")</f>
        <v>offset 130</v>
      </c>
    </row>
    <row r="2460" customFormat="false" ht="12.8" hidden="false" customHeight="false" outlineLevel="0" collapsed="false">
      <c r="A2460" s="0" t="s">
        <v>12</v>
      </c>
      <c r="B2460" s="0" t="n">
        <v>712741</v>
      </c>
      <c r="C2460" s="0" t="n">
        <v>712761</v>
      </c>
      <c r="D2460" s="0" t="s">
        <v>8189</v>
      </c>
      <c r="E2460" s="0" t="s">
        <v>89</v>
      </c>
      <c r="F2460" s="0" t="s">
        <v>90</v>
      </c>
      <c r="G2460" s="0" t="s">
        <v>32</v>
      </c>
      <c r="H2460" s="0" t="n">
        <v>190</v>
      </c>
      <c r="I2460" s="0" t="s">
        <v>8199</v>
      </c>
      <c r="J2460" s="0" t="s">
        <v>8200</v>
      </c>
      <c r="K2460" s="0" t="s">
        <v>8201</v>
      </c>
      <c r="L2460" s="0" t="str">
        <f aca="false">HYPERLINK("https://www.ncbi.nlm.nih.gov/nuccore/CP000304.1?report=graph&amp;tracks=[key:gene_model_track,Options:GeneOnly]&amp;mk=712923:712942|offset_9|444444,712899:712918|offset_33|444444,712802:712821|offset_130|444444,712742:712761|offset_190|00cc00&amp;v=712722:712961&amp;c=444444", "offset 190")</f>
        <v>offset 190</v>
      </c>
    </row>
    <row r="2461" customFormat="false" ht="12.8" hidden="false" customHeight="false" outlineLevel="0" collapsed="false">
      <c r="A2461" s="0" t="s">
        <v>12</v>
      </c>
      <c r="B2461" s="0" t="n">
        <v>713756</v>
      </c>
      <c r="C2461" s="0" t="n">
        <v>713776</v>
      </c>
      <c r="D2461" s="0" t="s">
        <v>8202</v>
      </c>
      <c r="E2461" s="0" t="s">
        <v>89</v>
      </c>
      <c r="F2461" s="0" t="s">
        <v>90</v>
      </c>
      <c r="G2461" s="0" t="s">
        <v>36</v>
      </c>
      <c r="H2461" s="0" t="n">
        <v>13</v>
      </c>
      <c r="I2461" s="0" t="s">
        <v>8203</v>
      </c>
      <c r="J2461" s="0" t="s">
        <v>8204</v>
      </c>
      <c r="K2461" s="0" t="s">
        <v>8205</v>
      </c>
      <c r="L2461" s="0" t="str">
        <f aca="false">HYPERLINK("https://www.ncbi.nlm.nih.gov/nuccore/CP000304.1?report=graph&amp;tracks=[key:gene_model_track,Options:GeneOnly]&amp;mk=713757:713776|offset_13|00cc00,713713:713732|offset_57|444444,713693:713712|offset_77|444444,713673:713692|offset_97|444444&amp;v=713556:713892&amp;c=444444", "offset 13")</f>
        <v>offset 13</v>
      </c>
    </row>
    <row r="2462" customFormat="false" ht="12.8" hidden="false" customHeight="false" outlineLevel="0" collapsed="false">
      <c r="A2462" s="0" t="s">
        <v>12</v>
      </c>
      <c r="B2462" s="0" t="n">
        <v>713712</v>
      </c>
      <c r="C2462" s="0" t="n">
        <v>713732</v>
      </c>
      <c r="D2462" s="0" t="s">
        <v>8202</v>
      </c>
      <c r="E2462" s="0" t="s">
        <v>89</v>
      </c>
      <c r="F2462" s="0" t="s">
        <v>90</v>
      </c>
      <c r="G2462" s="0" t="s">
        <v>16</v>
      </c>
      <c r="H2462" s="0" t="n">
        <v>57</v>
      </c>
      <c r="I2462" s="0" t="s">
        <v>8206</v>
      </c>
      <c r="J2462" s="0" t="s">
        <v>8207</v>
      </c>
      <c r="K2462" s="0" t="s">
        <v>8208</v>
      </c>
      <c r="L2462" s="0" t="str">
        <f aca="false">HYPERLINK("https://www.ncbi.nlm.nih.gov/nuccore/CP000304.1?report=graph&amp;tracks=[key:gene_model_track,Options:GeneOnly]&amp;mk=713757:713776|offset_13|444444,713713:713732|offset_57|00cc00,713693:713712|offset_77|444444,713673:713692|offset_97|444444&amp;v=713556:713892&amp;c=444444", "offset 57")</f>
        <v>offset 57</v>
      </c>
    </row>
    <row r="2463" customFormat="false" ht="12.8" hidden="false" customHeight="false" outlineLevel="0" collapsed="false">
      <c r="A2463" s="0" t="s">
        <v>12</v>
      </c>
      <c r="B2463" s="0" t="n">
        <v>713692</v>
      </c>
      <c r="C2463" s="0" t="n">
        <v>713712</v>
      </c>
      <c r="D2463" s="0" t="s">
        <v>8202</v>
      </c>
      <c r="E2463" s="0" t="s">
        <v>89</v>
      </c>
      <c r="F2463" s="0" t="s">
        <v>90</v>
      </c>
      <c r="G2463" s="0" t="s">
        <v>26</v>
      </c>
      <c r="H2463" s="0" t="n">
        <v>77</v>
      </c>
      <c r="I2463" s="0" t="s">
        <v>8209</v>
      </c>
      <c r="J2463" s="0" t="s">
        <v>8210</v>
      </c>
      <c r="K2463" s="0" t="s">
        <v>8211</v>
      </c>
      <c r="L2463" s="0" t="str">
        <f aca="false">HYPERLINK("https://www.ncbi.nlm.nih.gov/nuccore/CP000304.1?report=graph&amp;tracks=[key:gene_model_track,Options:GeneOnly]&amp;mk=713757:713776|offset_13|444444,713713:713732|offset_57|444444,713693:713712|offset_77|00cc00,713673:713692|offset_97|444444&amp;v=713556:713892&amp;c=444444", "offset 77")</f>
        <v>offset 77</v>
      </c>
    </row>
    <row r="2464" customFormat="false" ht="12.8" hidden="false" customHeight="false" outlineLevel="0" collapsed="false">
      <c r="A2464" s="0" t="s">
        <v>12</v>
      </c>
      <c r="B2464" s="0" t="n">
        <v>713672</v>
      </c>
      <c r="C2464" s="0" t="n">
        <v>713692</v>
      </c>
      <c r="D2464" s="0" t="s">
        <v>8202</v>
      </c>
      <c r="E2464" s="0" t="s">
        <v>89</v>
      </c>
      <c r="F2464" s="0" t="s">
        <v>90</v>
      </c>
      <c r="G2464" s="0" t="s">
        <v>32</v>
      </c>
      <c r="H2464" s="0" t="n">
        <v>97</v>
      </c>
      <c r="I2464" s="0" t="s">
        <v>8212</v>
      </c>
      <c r="J2464" s="0" t="s">
        <v>8213</v>
      </c>
      <c r="K2464" s="0" t="s">
        <v>8214</v>
      </c>
      <c r="L2464" s="0" t="str">
        <f aca="false">HYPERLINK("https://www.ncbi.nlm.nih.gov/nuccore/CP000304.1?report=graph&amp;tracks=[key:gene_model_track,Options:GeneOnly]&amp;mk=713757:713776|offset_13|444444,713713:713732|offset_57|444444,713693:713712|offset_77|444444,713673:713692|offset_97|00cc00&amp;v=713556:713892&amp;c=444444", "offset 97")</f>
        <v>offset 97</v>
      </c>
    </row>
    <row r="2465" customFormat="false" ht="12.8" hidden="false" customHeight="false" outlineLevel="0" collapsed="false">
      <c r="A2465" s="0" t="s">
        <v>12</v>
      </c>
      <c r="B2465" s="0" t="n">
        <v>715873</v>
      </c>
      <c r="C2465" s="0" t="n">
        <v>715893</v>
      </c>
      <c r="D2465" s="0" t="s">
        <v>8215</v>
      </c>
      <c r="E2465" s="0" t="s">
        <v>89</v>
      </c>
      <c r="F2465" s="0" t="s">
        <v>90</v>
      </c>
      <c r="G2465" s="0" t="s">
        <v>16</v>
      </c>
      <c r="H2465" s="0" t="n">
        <v>6</v>
      </c>
      <c r="I2465" s="0" t="s">
        <v>8216</v>
      </c>
      <c r="J2465" s="0" t="s">
        <v>8217</v>
      </c>
      <c r="K2465" s="0" t="s">
        <v>8218</v>
      </c>
      <c r="L2465" s="0" t="str">
        <f aca="false">HYPERLINK("https://www.ncbi.nlm.nih.gov/nuccore/CP000304.1?report=graph&amp;tracks=[key:gene_model_track,Options:GeneOnly]&amp;mk=715874:715893|offset_6|00cc00,715817:715836|offset_63|444444,715783:715802|offset_97|444444,715762:715781|offset_118|444444&amp;v=715673:715981&amp;c=444444", "offset 6")</f>
        <v>offset 6</v>
      </c>
    </row>
    <row r="2466" customFormat="false" ht="12.8" hidden="false" customHeight="false" outlineLevel="0" collapsed="false">
      <c r="A2466" s="0" t="s">
        <v>12</v>
      </c>
      <c r="B2466" s="0" t="n">
        <v>715816</v>
      </c>
      <c r="C2466" s="0" t="n">
        <v>715836</v>
      </c>
      <c r="D2466" s="0" t="s">
        <v>8215</v>
      </c>
      <c r="E2466" s="0" t="s">
        <v>89</v>
      </c>
      <c r="F2466" s="0" t="s">
        <v>90</v>
      </c>
      <c r="G2466" s="0" t="s">
        <v>16</v>
      </c>
      <c r="H2466" s="0" t="n">
        <v>63</v>
      </c>
      <c r="I2466" s="0" t="s">
        <v>8219</v>
      </c>
      <c r="J2466" s="0" t="s">
        <v>8220</v>
      </c>
      <c r="K2466" s="0" t="s">
        <v>8221</v>
      </c>
      <c r="L2466" s="0" t="str">
        <f aca="false">HYPERLINK("https://www.ncbi.nlm.nih.gov/nuccore/CP000304.1?report=graph&amp;tracks=[key:gene_model_track,Options:GeneOnly]&amp;mk=715874:715893|offset_6|444444,715817:715836|offset_63|00cc00,715783:715802|offset_97|444444,715762:715781|offset_118|444444&amp;v=715673:715981&amp;c=444444", "offset 63")</f>
        <v>offset 63</v>
      </c>
    </row>
    <row r="2467" customFormat="false" ht="12.8" hidden="false" customHeight="false" outlineLevel="0" collapsed="false">
      <c r="A2467" s="0" t="s">
        <v>12</v>
      </c>
      <c r="B2467" s="0" t="n">
        <v>715782</v>
      </c>
      <c r="C2467" s="0" t="n">
        <v>715802</v>
      </c>
      <c r="D2467" s="0" t="s">
        <v>8215</v>
      </c>
      <c r="E2467" s="0" t="s">
        <v>89</v>
      </c>
      <c r="F2467" s="0" t="s">
        <v>90</v>
      </c>
      <c r="G2467" s="0" t="s">
        <v>16</v>
      </c>
      <c r="H2467" s="0" t="n">
        <v>97</v>
      </c>
      <c r="I2467" s="0" t="s">
        <v>8222</v>
      </c>
      <c r="J2467" s="0" t="s">
        <v>8223</v>
      </c>
      <c r="K2467" s="0" t="s">
        <v>8224</v>
      </c>
      <c r="L2467" s="0" t="str">
        <f aca="false">HYPERLINK("https://www.ncbi.nlm.nih.gov/nuccore/CP000304.1?report=graph&amp;tracks=[key:gene_model_track,Options:GeneOnly]&amp;mk=715874:715893|offset_6|444444,715817:715836|offset_63|444444,715783:715802|offset_97|00cc00,715762:715781|offset_118|444444&amp;v=715673:715981&amp;c=444444", "offset 97")</f>
        <v>offset 97</v>
      </c>
    </row>
    <row r="2468" customFormat="false" ht="12.8" hidden="false" customHeight="false" outlineLevel="0" collapsed="false">
      <c r="A2468" s="0" t="s">
        <v>12</v>
      </c>
      <c r="B2468" s="0" t="n">
        <v>715761</v>
      </c>
      <c r="C2468" s="0" t="n">
        <v>715781</v>
      </c>
      <c r="D2468" s="0" t="s">
        <v>8215</v>
      </c>
      <c r="E2468" s="0" t="s">
        <v>89</v>
      </c>
      <c r="F2468" s="0" t="s">
        <v>90</v>
      </c>
      <c r="G2468" s="0" t="s">
        <v>16</v>
      </c>
      <c r="H2468" s="0" t="n">
        <v>118</v>
      </c>
      <c r="I2468" s="0" t="s">
        <v>8225</v>
      </c>
      <c r="J2468" s="0" t="s">
        <v>8226</v>
      </c>
      <c r="K2468" s="0" t="s">
        <v>8227</v>
      </c>
      <c r="L2468" s="0" t="str">
        <f aca="false">HYPERLINK("https://www.ncbi.nlm.nih.gov/nuccore/CP000304.1?report=graph&amp;tracks=[key:gene_model_track,Options:GeneOnly]&amp;mk=715874:715893|offset_6|444444,715817:715836|offset_63|444444,715783:715802|offset_97|444444,715762:715781|offset_118|00cc00&amp;v=715673:715981&amp;c=444444", "offset 118")</f>
        <v>offset 118</v>
      </c>
    </row>
    <row r="2469" customFormat="false" ht="12.8" hidden="false" customHeight="false" outlineLevel="0" collapsed="false">
      <c r="A2469" s="0" t="s">
        <v>12</v>
      </c>
      <c r="B2469" s="0" t="n">
        <v>716551</v>
      </c>
      <c r="C2469" s="0" t="n">
        <v>716571</v>
      </c>
      <c r="D2469" s="0" t="s">
        <v>8228</v>
      </c>
      <c r="E2469" s="0" t="s">
        <v>89</v>
      </c>
      <c r="F2469" s="0" t="s">
        <v>90</v>
      </c>
      <c r="G2469" s="0" t="s">
        <v>32</v>
      </c>
      <c r="H2469" s="0" t="n">
        <v>10</v>
      </c>
      <c r="I2469" s="0" t="s">
        <v>8229</v>
      </c>
      <c r="J2469" s="0" t="s">
        <v>8230</v>
      </c>
      <c r="K2469" s="0" t="s">
        <v>8231</v>
      </c>
      <c r="L2469" s="0" t="str">
        <f aca="false">HYPERLINK("https://www.ncbi.nlm.nih.gov/nuccore/CP000304.1?report=graph&amp;tracks=[key:gene_model_track,Options:GeneOnly]&amp;mk=716552:716571|offset_10|00cc00,716509:716528|offset_53|444444,716461:716480|offset_101|444444,716431:716450|offset_131|444444&amp;v=716351:716650&amp;c=444444", "offset 10")</f>
        <v>offset 10</v>
      </c>
    </row>
    <row r="2470" customFormat="false" ht="12.8" hidden="false" customHeight="false" outlineLevel="0" collapsed="false">
      <c r="A2470" s="0" t="s">
        <v>12</v>
      </c>
      <c r="B2470" s="0" t="n">
        <v>716508</v>
      </c>
      <c r="C2470" s="0" t="n">
        <v>716528</v>
      </c>
      <c r="D2470" s="0" t="s">
        <v>8228</v>
      </c>
      <c r="E2470" s="0" t="s">
        <v>89</v>
      </c>
      <c r="F2470" s="0" t="s">
        <v>90</v>
      </c>
      <c r="G2470" s="0" t="s">
        <v>26</v>
      </c>
      <c r="H2470" s="0" t="n">
        <v>53</v>
      </c>
      <c r="I2470" s="0" t="s">
        <v>8232</v>
      </c>
      <c r="J2470" s="0" t="s">
        <v>8233</v>
      </c>
      <c r="K2470" s="0" t="s">
        <v>8234</v>
      </c>
      <c r="L2470" s="0" t="str">
        <f aca="false">HYPERLINK("https://www.ncbi.nlm.nih.gov/nuccore/CP000304.1?report=graph&amp;tracks=[key:gene_model_track,Options:GeneOnly]&amp;mk=716552:716571|offset_10|444444,716509:716528|offset_53|00cc00,716461:716480|offset_101|444444,716431:716450|offset_131|444444&amp;v=716351:716650&amp;c=444444", "offset 53")</f>
        <v>offset 53</v>
      </c>
    </row>
    <row r="2471" customFormat="false" ht="12.8" hidden="false" customHeight="false" outlineLevel="0" collapsed="false">
      <c r="A2471" s="0" t="s">
        <v>12</v>
      </c>
      <c r="B2471" s="0" t="n">
        <v>716460</v>
      </c>
      <c r="C2471" s="0" t="n">
        <v>716480</v>
      </c>
      <c r="D2471" s="0" t="s">
        <v>8228</v>
      </c>
      <c r="E2471" s="0" t="s">
        <v>89</v>
      </c>
      <c r="F2471" s="0" t="s">
        <v>90</v>
      </c>
      <c r="G2471" s="0" t="s">
        <v>16</v>
      </c>
      <c r="H2471" s="0" t="n">
        <v>101</v>
      </c>
      <c r="I2471" s="0" t="s">
        <v>8235</v>
      </c>
      <c r="J2471" s="0" t="s">
        <v>8236</v>
      </c>
      <c r="K2471" s="0" t="s">
        <v>8237</v>
      </c>
      <c r="L2471" s="0" t="str">
        <f aca="false">HYPERLINK("https://www.ncbi.nlm.nih.gov/nuccore/CP000304.1?report=graph&amp;tracks=[key:gene_model_track,Options:GeneOnly]&amp;mk=716552:716571|offset_10|444444,716509:716528|offset_53|444444,716461:716480|offset_101|00cc00,716431:716450|offset_131|444444&amp;v=716351:716650&amp;c=444444", "offset 101")</f>
        <v>offset 101</v>
      </c>
    </row>
    <row r="2472" customFormat="false" ht="12.8" hidden="false" customHeight="false" outlineLevel="0" collapsed="false">
      <c r="A2472" s="0" t="s">
        <v>12</v>
      </c>
      <c r="B2472" s="0" t="n">
        <v>716430</v>
      </c>
      <c r="C2472" s="0" t="n">
        <v>716450</v>
      </c>
      <c r="D2472" s="0" t="s">
        <v>8228</v>
      </c>
      <c r="E2472" s="0" t="s">
        <v>89</v>
      </c>
      <c r="F2472" s="0" t="s">
        <v>90</v>
      </c>
      <c r="G2472" s="0" t="s">
        <v>32</v>
      </c>
      <c r="H2472" s="0" t="n">
        <v>131</v>
      </c>
      <c r="I2472" s="0" t="s">
        <v>8238</v>
      </c>
      <c r="J2472" s="0" t="s">
        <v>8239</v>
      </c>
      <c r="K2472" s="0" t="s">
        <v>8240</v>
      </c>
      <c r="L2472" s="0" t="str">
        <f aca="false">HYPERLINK("https://www.ncbi.nlm.nih.gov/nuccore/CP000304.1?report=graph&amp;tracks=[key:gene_model_track,Options:GeneOnly]&amp;mk=716552:716571|offset_10|444444,716509:716528|offset_53|444444,716461:716480|offset_101|444444,716431:716450|offset_131|00cc00&amp;v=716351:716650&amp;c=444444", "offset 131")</f>
        <v>offset 131</v>
      </c>
    </row>
    <row r="2473" customFormat="false" ht="12.8" hidden="false" customHeight="false" outlineLevel="0" collapsed="false">
      <c r="A2473" s="0" t="s">
        <v>12</v>
      </c>
      <c r="B2473" s="0" t="n">
        <v>717222</v>
      </c>
      <c r="C2473" s="0" t="n">
        <v>717242</v>
      </c>
      <c r="D2473" s="0" t="s">
        <v>8241</v>
      </c>
      <c r="E2473" s="0" t="s">
        <v>89</v>
      </c>
      <c r="F2473" s="0" t="s">
        <v>90</v>
      </c>
      <c r="G2473" s="0" t="s">
        <v>16</v>
      </c>
      <c r="H2473" s="0" t="n">
        <v>40</v>
      </c>
      <c r="I2473" s="0" t="s">
        <v>8242</v>
      </c>
      <c r="J2473" s="0" t="s">
        <v>8243</v>
      </c>
      <c r="K2473" s="0" t="s">
        <v>8244</v>
      </c>
      <c r="L2473" s="0" t="str">
        <f aca="false">HYPERLINK("https://www.ncbi.nlm.nih.gov/nuccore/CP000304.1?report=graph&amp;tracks=[key:gene_model_track,Options:GeneOnly]&amp;mk=717223:717242|offset_40|00cc00,717178:717197|offset_85|444444,717144:717163|offset_119|444444,717086:717105|offset_177|444444&amp;v=717022:717305&amp;c=444444", "offset 40")</f>
        <v>offset 40</v>
      </c>
    </row>
    <row r="2474" customFormat="false" ht="12.8" hidden="false" customHeight="false" outlineLevel="0" collapsed="false">
      <c r="A2474" s="0" t="s">
        <v>12</v>
      </c>
      <c r="B2474" s="0" t="n">
        <v>717177</v>
      </c>
      <c r="C2474" s="0" t="n">
        <v>717197</v>
      </c>
      <c r="D2474" s="0" t="s">
        <v>8241</v>
      </c>
      <c r="E2474" s="0" t="s">
        <v>89</v>
      </c>
      <c r="F2474" s="0" t="s">
        <v>90</v>
      </c>
      <c r="G2474" s="0" t="s">
        <v>16</v>
      </c>
      <c r="H2474" s="0" t="n">
        <v>85</v>
      </c>
      <c r="I2474" s="0" t="s">
        <v>8245</v>
      </c>
      <c r="J2474" s="0" t="s">
        <v>8246</v>
      </c>
      <c r="K2474" s="0" t="s">
        <v>8247</v>
      </c>
      <c r="L2474" s="0" t="str">
        <f aca="false">HYPERLINK("https://www.ncbi.nlm.nih.gov/nuccore/CP000304.1?report=graph&amp;tracks=[key:gene_model_track,Options:GeneOnly]&amp;mk=717223:717242|offset_40|444444,717178:717197|offset_85|00cc00,717144:717163|offset_119|444444,717086:717105|offset_177|444444&amp;v=717022:717305&amp;c=444444", "offset 85")</f>
        <v>offset 85</v>
      </c>
    </row>
    <row r="2475" customFormat="false" ht="12.8" hidden="false" customHeight="false" outlineLevel="0" collapsed="false">
      <c r="A2475" s="0" t="s">
        <v>12</v>
      </c>
      <c r="B2475" s="0" t="n">
        <v>717143</v>
      </c>
      <c r="C2475" s="0" t="n">
        <v>717163</v>
      </c>
      <c r="D2475" s="0" t="s">
        <v>8241</v>
      </c>
      <c r="E2475" s="0" t="s">
        <v>89</v>
      </c>
      <c r="F2475" s="0" t="s">
        <v>90</v>
      </c>
      <c r="G2475" s="0" t="s">
        <v>26</v>
      </c>
      <c r="H2475" s="0" t="n">
        <v>119</v>
      </c>
      <c r="I2475" s="0" t="s">
        <v>8248</v>
      </c>
      <c r="J2475" s="0" t="s">
        <v>8249</v>
      </c>
      <c r="K2475" s="0" t="s">
        <v>8250</v>
      </c>
      <c r="L2475" s="0" t="str">
        <f aca="false">HYPERLINK("https://www.ncbi.nlm.nih.gov/nuccore/CP000304.1?report=graph&amp;tracks=[key:gene_model_track,Options:GeneOnly]&amp;mk=717223:717242|offset_40|444444,717178:717197|offset_85|444444,717144:717163|offset_119|00cc00,717086:717105|offset_177|444444&amp;v=717022:717305&amp;c=444444", "offset 119")</f>
        <v>offset 119</v>
      </c>
    </row>
    <row r="2476" customFormat="false" ht="12.8" hidden="false" customHeight="false" outlineLevel="0" collapsed="false">
      <c r="A2476" s="0" t="s">
        <v>12</v>
      </c>
      <c r="B2476" s="0" t="n">
        <v>717085</v>
      </c>
      <c r="C2476" s="0" t="n">
        <v>717105</v>
      </c>
      <c r="D2476" s="0" t="s">
        <v>8241</v>
      </c>
      <c r="E2476" s="0" t="s">
        <v>89</v>
      </c>
      <c r="F2476" s="0" t="s">
        <v>90</v>
      </c>
      <c r="G2476" s="0" t="s">
        <v>36</v>
      </c>
      <c r="H2476" s="0" t="n">
        <v>177</v>
      </c>
      <c r="I2476" s="0" t="s">
        <v>8251</v>
      </c>
      <c r="J2476" s="0" t="s">
        <v>8252</v>
      </c>
      <c r="K2476" s="0" t="s">
        <v>8253</v>
      </c>
      <c r="L2476" s="0" t="str">
        <f aca="false">HYPERLINK("https://www.ncbi.nlm.nih.gov/nuccore/CP000304.1?report=graph&amp;tracks=[key:gene_model_track,Options:GeneOnly]&amp;mk=717223:717242|offset_40|444444,717178:717197|offset_85|444444,717144:717163|offset_119|444444,717086:717105|offset_177|00cc00&amp;v=717022:717305&amp;c=444444", "offset 177")</f>
        <v>offset 177</v>
      </c>
    </row>
    <row r="2477" customFormat="false" ht="12.8" hidden="false" customHeight="false" outlineLevel="0" collapsed="false">
      <c r="A2477" s="0" t="s">
        <v>12</v>
      </c>
      <c r="B2477" s="0" t="n">
        <v>718680</v>
      </c>
      <c r="C2477" s="0" t="n">
        <v>718700</v>
      </c>
      <c r="D2477" s="0" t="s">
        <v>8254</v>
      </c>
      <c r="E2477" s="0" t="s">
        <v>89</v>
      </c>
      <c r="F2477" s="0" t="s">
        <v>90</v>
      </c>
      <c r="G2477" s="0" t="s">
        <v>16</v>
      </c>
      <c r="H2477" s="0" t="n">
        <v>15</v>
      </c>
      <c r="I2477" s="0" t="s">
        <v>8255</v>
      </c>
      <c r="J2477" s="0" t="s">
        <v>8256</v>
      </c>
      <c r="K2477" s="0" t="s">
        <v>8257</v>
      </c>
      <c r="L2477" s="0" t="str">
        <f aca="false">HYPERLINK("https://www.ncbi.nlm.nih.gov/nuccore/CP000304.1?report=graph&amp;tracks=[key:gene_model_track,Options:GeneOnly]&amp;mk=718681:718700|offset_15|00cc00,718621:718640|offset_75|444444,718579:718598|offset_117|444444,718518:718537|offset_178|444444&amp;v=718480:718737&amp;c=444444", "offset 15")</f>
        <v>offset 15</v>
      </c>
    </row>
    <row r="2478" customFormat="false" ht="12.8" hidden="false" customHeight="false" outlineLevel="0" collapsed="false">
      <c r="A2478" s="0" t="s">
        <v>12</v>
      </c>
      <c r="B2478" s="0" t="n">
        <v>718620</v>
      </c>
      <c r="C2478" s="0" t="n">
        <v>718640</v>
      </c>
      <c r="D2478" s="0" t="s">
        <v>8254</v>
      </c>
      <c r="E2478" s="0" t="s">
        <v>89</v>
      </c>
      <c r="F2478" s="0" t="s">
        <v>90</v>
      </c>
      <c r="G2478" s="0" t="s">
        <v>26</v>
      </c>
      <c r="H2478" s="0" t="n">
        <v>75</v>
      </c>
      <c r="I2478" s="0" t="s">
        <v>8258</v>
      </c>
      <c r="J2478" s="0" t="s">
        <v>8259</v>
      </c>
      <c r="K2478" s="0" t="s">
        <v>8260</v>
      </c>
      <c r="L2478" s="0" t="str">
        <f aca="false">HYPERLINK("https://www.ncbi.nlm.nih.gov/nuccore/CP000304.1?report=graph&amp;tracks=[key:gene_model_track,Options:GeneOnly]&amp;mk=718681:718700|offset_15|444444,718621:718640|offset_75|00cc00,718579:718598|offset_117|444444,718518:718537|offset_178|444444&amp;v=718480:718737&amp;c=444444", "offset 75")</f>
        <v>offset 75</v>
      </c>
    </row>
    <row r="2479" customFormat="false" ht="12.8" hidden="false" customHeight="false" outlineLevel="0" collapsed="false">
      <c r="A2479" s="0" t="s">
        <v>12</v>
      </c>
      <c r="B2479" s="0" t="n">
        <v>718578</v>
      </c>
      <c r="C2479" s="0" t="n">
        <v>718598</v>
      </c>
      <c r="D2479" s="0" t="s">
        <v>8254</v>
      </c>
      <c r="E2479" s="0" t="s">
        <v>89</v>
      </c>
      <c r="F2479" s="0" t="s">
        <v>90</v>
      </c>
      <c r="G2479" s="0" t="s">
        <v>16</v>
      </c>
      <c r="H2479" s="0" t="n">
        <v>117</v>
      </c>
      <c r="I2479" s="0" t="s">
        <v>8261</v>
      </c>
      <c r="J2479" s="0" t="s">
        <v>8262</v>
      </c>
      <c r="K2479" s="0" t="s">
        <v>8263</v>
      </c>
      <c r="L2479" s="0" t="str">
        <f aca="false">HYPERLINK("https://www.ncbi.nlm.nih.gov/nuccore/CP000304.1?report=graph&amp;tracks=[key:gene_model_track,Options:GeneOnly]&amp;mk=718681:718700|offset_15|444444,718621:718640|offset_75|444444,718579:718598|offset_117|00cc00,718518:718537|offset_178|444444&amp;v=718480:718737&amp;c=444444", "offset 117")</f>
        <v>offset 117</v>
      </c>
    </row>
    <row r="2480" customFormat="false" ht="12.8" hidden="false" customHeight="false" outlineLevel="0" collapsed="false">
      <c r="A2480" s="0" t="s">
        <v>12</v>
      </c>
      <c r="B2480" s="0" t="n">
        <v>718517</v>
      </c>
      <c r="C2480" s="0" t="n">
        <v>718537</v>
      </c>
      <c r="D2480" s="0" t="s">
        <v>8254</v>
      </c>
      <c r="E2480" s="0" t="s">
        <v>89</v>
      </c>
      <c r="F2480" s="0" t="s">
        <v>90</v>
      </c>
      <c r="G2480" s="0" t="s">
        <v>36</v>
      </c>
      <c r="H2480" s="0" t="n">
        <v>178</v>
      </c>
      <c r="I2480" s="0" t="s">
        <v>8264</v>
      </c>
      <c r="J2480" s="0" t="s">
        <v>8265</v>
      </c>
      <c r="K2480" s="0" t="s">
        <v>8266</v>
      </c>
      <c r="L2480" s="0" t="str">
        <f aca="false">HYPERLINK("https://www.ncbi.nlm.nih.gov/nuccore/CP000304.1?report=graph&amp;tracks=[key:gene_model_track,Options:GeneOnly]&amp;mk=718681:718700|offset_15|444444,718621:718640|offset_75|444444,718579:718598|offset_117|444444,718518:718537|offset_178|00cc00&amp;v=718480:718737&amp;c=444444", "offset 178")</f>
        <v>offset 178</v>
      </c>
    </row>
    <row r="2481" customFormat="false" ht="12.8" hidden="false" customHeight="false" outlineLevel="0" collapsed="false">
      <c r="A2481" s="0" t="s">
        <v>12</v>
      </c>
      <c r="B2481" s="0" t="n">
        <v>720235</v>
      </c>
      <c r="C2481" s="0" t="n">
        <v>720255</v>
      </c>
      <c r="D2481" s="0" t="s">
        <v>8267</v>
      </c>
      <c r="E2481" s="0" t="s">
        <v>89</v>
      </c>
      <c r="F2481" s="0" t="s">
        <v>90</v>
      </c>
      <c r="G2481" s="0" t="s">
        <v>36</v>
      </c>
      <c r="H2481" s="0" t="n">
        <v>0</v>
      </c>
      <c r="I2481" s="0" t="s">
        <v>8268</v>
      </c>
      <c r="J2481" s="0" t="s">
        <v>8269</v>
      </c>
      <c r="K2481" s="0" t="s">
        <v>8270</v>
      </c>
      <c r="L2481" s="0" t="str">
        <f aca="false">HYPERLINK("https://www.ncbi.nlm.nih.gov/nuccore/CP000304.1?report=graph&amp;tracks=[key:gene_model_track,Options:GeneOnly]&amp;mk=720236:720255|offset_0|00cc00,720213:720232|offset_23|444444,720148:720167|offset_88|444444,720082:720101|offset_154|444444&amp;v=720035:720301&amp;c=444444", "offset 0")</f>
        <v>offset 0</v>
      </c>
    </row>
    <row r="2482" customFormat="false" ht="12.8" hidden="false" customHeight="false" outlineLevel="0" collapsed="false">
      <c r="A2482" s="0" t="s">
        <v>12</v>
      </c>
      <c r="B2482" s="0" t="n">
        <v>720212</v>
      </c>
      <c r="C2482" s="0" t="n">
        <v>720232</v>
      </c>
      <c r="D2482" s="0" t="s">
        <v>8267</v>
      </c>
      <c r="E2482" s="0" t="s">
        <v>89</v>
      </c>
      <c r="F2482" s="0" t="s">
        <v>90</v>
      </c>
      <c r="G2482" s="0" t="s">
        <v>32</v>
      </c>
      <c r="H2482" s="0" t="n">
        <v>23</v>
      </c>
      <c r="I2482" s="0" t="s">
        <v>8271</v>
      </c>
      <c r="J2482" s="0" t="s">
        <v>8272</v>
      </c>
      <c r="K2482" s="0" t="s">
        <v>8273</v>
      </c>
      <c r="L2482" s="0" t="str">
        <f aca="false">HYPERLINK("https://www.ncbi.nlm.nih.gov/nuccore/CP000304.1?report=graph&amp;tracks=[key:gene_model_track,Options:GeneOnly]&amp;mk=720236:720255|offset_0|444444,720213:720232|offset_23|00cc00,720148:720167|offset_88|444444,720082:720101|offset_154|444444&amp;v=720035:720301&amp;c=444444", "offset 23")</f>
        <v>offset 23</v>
      </c>
    </row>
    <row r="2483" customFormat="false" ht="12.8" hidden="false" customHeight="false" outlineLevel="0" collapsed="false">
      <c r="A2483" s="0" t="s">
        <v>12</v>
      </c>
      <c r="B2483" s="0" t="n">
        <v>720147</v>
      </c>
      <c r="C2483" s="0" t="n">
        <v>720167</v>
      </c>
      <c r="D2483" s="0" t="s">
        <v>8267</v>
      </c>
      <c r="E2483" s="0" t="s">
        <v>89</v>
      </c>
      <c r="F2483" s="0" t="s">
        <v>90</v>
      </c>
      <c r="G2483" s="0" t="s">
        <v>16</v>
      </c>
      <c r="H2483" s="0" t="n">
        <v>88</v>
      </c>
      <c r="I2483" s="0" t="s">
        <v>8274</v>
      </c>
      <c r="J2483" s="0" t="s">
        <v>8275</v>
      </c>
      <c r="K2483" s="0" t="s">
        <v>8276</v>
      </c>
      <c r="L2483" s="0" t="str">
        <f aca="false">HYPERLINK("https://www.ncbi.nlm.nih.gov/nuccore/CP000304.1?report=graph&amp;tracks=[key:gene_model_track,Options:GeneOnly]&amp;mk=720236:720255|offset_0|444444,720213:720232|offset_23|444444,720148:720167|offset_88|00cc00,720082:720101|offset_154|444444&amp;v=720035:720301&amp;c=444444", "offset 88")</f>
        <v>offset 88</v>
      </c>
    </row>
    <row r="2484" customFormat="false" ht="12.8" hidden="false" customHeight="false" outlineLevel="0" collapsed="false">
      <c r="A2484" s="0" t="s">
        <v>12</v>
      </c>
      <c r="B2484" s="0" t="n">
        <v>720081</v>
      </c>
      <c r="C2484" s="0" t="n">
        <v>720101</v>
      </c>
      <c r="D2484" s="0" t="s">
        <v>8267</v>
      </c>
      <c r="E2484" s="0" t="s">
        <v>89</v>
      </c>
      <c r="F2484" s="0" t="s">
        <v>90</v>
      </c>
      <c r="G2484" s="0" t="s">
        <v>36</v>
      </c>
      <c r="H2484" s="0" t="n">
        <v>154</v>
      </c>
      <c r="I2484" s="0" t="s">
        <v>8277</v>
      </c>
      <c r="J2484" s="0" t="s">
        <v>8278</v>
      </c>
      <c r="K2484" s="0" t="s">
        <v>8279</v>
      </c>
      <c r="L2484" s="0" t="str">
        <f aca="false">HYPERLINK("https://www.ncbi.nlm.nih.gov/nuccore/CP000304.1?report=graph&amp;tracks=[key:gene_model_track,Options:GeneOnly]&amp;mk=720236:720255|offset_0|444444,720213:720232|offset_23|444444,720148:720167|offset_88|444444,720082:720101|offset_154|00cc00&amp;v=720035:720301&amp;c=444444", "offset 154")</f>
        <v>offset 154</v>
      </c>
    </row>
    <row r="2485" customFormat="false" ht="12.8" hidden="false" customHeight="false" outlineLevel="0" collapsed="false">
      <c r="A2485" s="0" t="s">
        <v>12</v>
      </c>
      <c r="B2485" s="0" t="n">
        <v>721170</v>
      </c>
      <c r="C2485" s="0" t="n">
        <v>721190</v>
      </c>
      <c r="D2485" s="0" t="s">
        <v>8280</v>
      </c>
      <c r="E2485" s="0" t="s">
        <v>89</v>
      </c>
      <c r="F2485" s="0" t="s">
        <v>90</v>
      </c>
      <c r="G2485" s="0" t="s">
        <v>36</v>
      </c>
      <c r="H2485" s="0" t="n">
        <v>8</v>
      </c>
      <c r="I2485" s="0" t="s">
        <v>8281</v>
      </c>
      <c r="J2485" s="0" t="s">
        <v>8282</v>
      </c>
      <c r="K2485" s="0" t="s">
        <v>8283</v>
      </c>
      <c r="L2485" s="0" t="str">
        <f aca="false">HYPERLINK("https://www.ncbi.nlm.nih.gov/nuccore/CP000304.1?report=graph&amp;tracks=[key:gene_model_track,Options:GeneOnly]&amp;mk=721171:721190|offset_8|00cc00,721148:721167|offset_31|444444,721120:721139|offset_59|444444,721084:721103|offset_95|444444&amp;v=720970:721303&amp;c=444444", "offset 8")</f>
        <v>offset 8</v>
      </c>
    </row>
    <row r="2486" customFormat="false" ht="12.8" hidden="false" customHeight="false" outlineLevel="0" collapsed="false">
      <c r="A2486" s="0" t="s">
        <v>12</v>
      </c>
      <c r="B2486" s="0" t="n">
        <v>721147</v>
      </c>
      <c r="C2486" s="0" t="n">
        <v>721167</v>
      </c>
      <c r="D2486" s="0" t="s">
        <v>8280</v>
      </c>
      <c r="E2486" s="0" t="s">
        <v>89</v>
      </c>
      <c r="F2486" s="0" t="s">
        <v>90</v>
      </c>
      <c r="G2486" s="0" t="s">
        <v>16</v>
      </c>
      <c r="H2486" s="0" t="n">
        <v>31</v>
      </c>
      <c r="I2486" s="0" t="s">
        <v>8284</v>
      </c>
      <c r="J2486" s="0" t="s">
        <v>8285</v>
      </c>
      <c r="K2486" s="0" t="s">
        <v>8286</v>
      </c>
      <c r="L2486" s="0" t="str">
        <f aca="false">HYPERLINK("https://www.ncbi.nlm.nih.gov/nuccore/CP000304.1?report=graph&amp;tracks=[key:gene_model_track,Options:GeneOnly]&amp;mk=721171:721190|offset_8|444444,721148:721167|offset_31|00cc00,721120:721139|offset_59|444444,721084:721103|offset_95|444444&amp;v=720970:721303&amp;c=444444", "offset 31")</f>
        <v>offset 31</v>
      </c>
    </row>
    <row r="2487" customFormat="false" ht="12.8" hidden="false" customHeight="false" outlineLevel="0" collapsed="false">
      <c r="A2487" s="0" t="s">
        <v>12</v>
      </c>
      <c r="B2487" s="0" t="n">
        <v>721119</v>
      </c>
      <c r="C2487" s="0" t="n">
        <v>721139</v>
      </c>
      <c r="D2487" s="0" t="s">
        <v>8280</v>
      </c>
      <c r="E2487" s="0" t="s">
        <v>89</v>
      </c>
      <c r="F2487" s="0" t="s">
        <v>90</v>
      </c>
      <c r="G2487" s="0" t="s">
        <v>26</v>
      </c>
      <c r="H2487" s="0" t="n">
        <v>59</v>
      </c>
      <c r="I2487" s="0" t="s">
        <v>8287</v>
      </c>
      <c r="J2487" s="0" t="s">
        <v>8288</v>
      </c>
      <c r="K2487" s="0" t="s">
        <v>8289</v>
      </c>
      <c r="L2487" s="0" t="str">
        <f aca="false">HYPERLINK("https://www.ncbi.nlm.nih.gov/nuccore/CP000304.1?report=graph&amp;tracks=[key:gene_model_track,Options:GeneOnly]&amp;mk=721171:721190|offset_8|444444,721148:721167|offset_31|444444,721120:721139|offset_59|00cc00,721084:721103|offset_95|444444&amp;v=720970:721303&amp;c=444444", "offset 59")</f>
        <v>offset 59</v>
      </c>
    </row>
    <row r="2488" customFormat="false" ht="12.8" hidden="false" customHeight="false" outlineLevel="0" collapsed="false">
      <c r="A2488" s="0" t="s">
        <v>12</v>
      </c>
      <c r="B2488" s="0" t="n">
        <v>721083</v>
      </c>
      <c r="C2488" s="0" t="n">
        <v>721103</v>
      </c>
      <c r="D2488" s="0" t="s">
        <v>8280</v>
      </c>
      <c r="E2488" s="0" t="s">
        <v>89</v>
      </c>
      <c r="F2488" s="0" t="s">
        <v>90</v>
      </c>
      <c r="G2488" s="0" t="s">
        <v>16</v>
      </c>
      <c r="H2488" s="0" t="n">
        <v>95</v>
      </c>
      <c r="I2488" s="0" t="s">
        <v>8290</v>
      </c>
      <c r="J2488" s="0" t="s">
        <v>8291</v>
      </c>
      <c r="K2488" s="0" t="s">
        <v>8292</v>
      </c>
      <c r="L2488" s="0" t="str">
        <f aca="false">HYPERLINK("https://www.ncbi.nlm.nih.gov/nuccore/CP000304.1?report=graph&amp;tracks=[key:gene_model_track,Options:GeneOnly]&amp;mk=721171:721190|offset_8|444444,721148:721167|offset_31|444444,721120:721139|offset_59|444444,721084:721103|offset_95|00cc00&amp;v=720970:721303&amp;c=444444", "offset 95")</f>
        <v>offset 95</v>
      </c>
    </row>
    <row r="2489" customFormat="false" ht="12.8" hidden="false" customHeight="false" outlineLevel="0" collapsed="false">
      <c r="A2489" s="0" t="s">
        <v>12</v>
      </c>
      <c r="B2489" s="0" t="n">
        <v>725030</v>
      </c>
      <c r="C2489" s="0" t="n">
        <v>725050</v>
      </c>
      <c r="D2489" s="0" t="s">
        <v>8293</v>
      </c>
      <c r="E2489" s="0" t="s">
        <v>89</v>
      </c>
      <c r="F2489" s="0" t="s">
        <v>90</v>
      </c>
      <c r="G2489" s="0" t="s">
        <v>32</v>
      </c>
      <c r="H2489" s="0" t="n">
        <v>1</v>
      </c>
      <c r="I2489" s="0" t="s">
        <v>8294</v>
      </c>
      <c r="J2489" s="0" t="s">
        <v>8295</v>
      </c>
      <c r="K2489" s="0" t="s">
        <v>8296</v>
      </c>
      <c r="L2489" s="0" t="str">
        <f aca="false">HYPERLINK("https://www.ncbi.nlm.nih.gov/nuccore/CP000304.1?report=graph&amp;tracks=[key:gene_model_track,Options:GeneOnly]&amp;mk=725031:725050|offset_1|00cc00,725007:725026|offset_25|444444,724987:725006|offset_45|444444,724959:724978|offset_73|444444&amp;v=724830:725178&amp;c=444444", "offset 1")</f>
        <v>offset 1</v>
      </c>
    </row>
    <row r="2490" customFormat="false" ht="12.8" hidden="false" customHeight="false" outlineLevel="0" collapsed="false">
      <c r="A2490" s="0" t="s">
        <v>12</v>
      </c>
      <c r="B2490" s="0" t="n">
        <v>725006</v>
      </c>
      <c r="C2490" s="0" t="n">
        <v>725026</v>
      </c>
      <c r="D2490" s="0" t="s">
        <v>8293</v>
      </c>
      <c r="E2490" s="0" t="s">
        <v>89</v>
      </c>
      <c r="F2490" s="0" t="s">
        <v>90</v>
      </c>
      <c r="G2490" s="0" t="s">
        <v>26</v>
      </c>
      <c r="H2490" s="0" t="n">
        <v>25</v>
      </c>
      <c r="I2490" s="0" t="s">
        <v>8297</v>
      </c>
      <c r="J2490" s="0" t="s">
        <v>8298</v>
      </c>
      <c r="K2490" s="0" t="s">
        <v>8299</v>
      </c>
      <c r="L2490" s="0" t="str">
        <f aca="false">HYPERLINK("https://www.ncbi.nlm.nih.gov/nuccore/CP000304.1?report=graph&amp;tracks=[key:gene_model_track,Options:GeneOnly]&amp;mk=725031:725050|offset_1|444444,725007:725026|offset_25|00cc00,724987:725006|offset_45|444444,724959:724978|offset_73|444444&amp;v=724830:725178&amp;c=444444", "offset 25")</f>
        <v>offset 25</v>
      </c>
    </row>
    <row r="2491" customFormat="false" ht="12.8" hidden="false" customHeight="false" outlineLevel="0" collapsed="false">
      <c r="A2491" s="0" t="s">
        <v>12</v>
      </c>
      <c r="B2491" s="0" t="n">
        <v>724986</v>
      </c>
      <c r="C2491" s="0" t="n">
        <v>725006</v>
      </c>
      <c r="D2491" s="0" t="s">
        <v>8293</v>
      </c>
      <c r="E2491" s="0" t="s">
        <v>89</v>
      </c>
      <c r="F2491" s="0" t="s">
        <v>90</v>
      </c>
      <c r="G2491" s="0" t="s">
        <v>26</v>
      </c>
      <c r="H2491" s="0" t="n">
        <v>45</v>
      </c>
      <c r="I2491" s="0" t="s">
        <v>8300</v>
      </c>
      <c r="J2491" s="0" t="s">
        <v>8301</v>
      </c>
      <c r="K2491" s="0" t="s">
        <v>8302</v>
      </c>
      <c r="L2491" s="0" t="str">
        <f aca="false">HYPERLINK("https://www.ncbi.nlm.nih.gov/nuccore/CP000304.1?report=graph&amp;tracks=[key:gene_model_track,Options:GeneOnly]&amp;mk=725031:725050|offset_1|444444,725007:725026|offset_25|444444,724987:725006|offset_45|00cc00,724959:724978|offset_73|444444&amp;v=724830:725178&amp;c=444444", "offset 45")</f>
        <v>offset 45</v>
      </c>
    </row>
    <row r="2492" customFormat="false" ht="12.8" hidden="false" customHeight="false" outlineLevel="0" collapsed="false">
      <c r="A2492" s="0" t="s">
        <v>12</v>
      </c>
      <c r="B2492" s="0" t="n">
        <v>724958</v>
      </c>
      <c r="C2492" s="0" t="n">
        <v>724978</v>
      </c>
      <c r="D2492" s="0" t="s">
        <v>8293</v>
      </c>
      <c r="E2492" s="0" t="s">
        <v>89</v>
      </c>
      <c r="F2492" s="0" t="s">
        <v>90</v>
      </c>
      <c r="G2492" s="0" t="s">
        <v>16</v>
      </c>
      <c r="H2492" s="0" t="n">
        <v>73</v>
      </c>
      <c r="I2492" s="0" t="s">
        <v>8303</v>
      </c>
      <c r="J2492" s="0" t="s">
        <v>8304</v>
      </c>
      <c r="K2492" s="0" t="s">
        <v>8305</v>
      </c>
      <c r="L2492" s="0" t="str">
        <f aca="false">HYPERLINK("https://www.ncbi.nlm.nih.gov/nuccore/CP000304.1?report=graph&amp;tracks=[key:gene_model_track,Options:GeneOnly]&amp;mk=725031:725050|offset_1|444444,725007:725026|offset_25|444444,724987:725006|offset_45|444444,724959:724978|offset_73|00cc00&amp;v=724830:725178&amp;c=444444", "offset 73")</f>
        <v>offset 73</v>
      </c>
    </row>
    <row r="2493" customFormat="false" ht="12.8" hidden="false" customHeight="false" outlineLevel="0" collapsed="false">
      <c r="A2493" s="0" t="s">
        <v>12</v>
      </c>
      <c r="B2493" s="0" t="n">
        <v>729139</v>
      </c>
      <c r="C2493" s="0" t="n">
        <v>729159</v>
      </c>
      <c r="D2493" s="0" t="s">
        <v>8306</v>
      </c>
      <c r="E2493" s="0" t="s">
        <v>89</v>
      </c>
      <c r="F2493" s="0" t="s">
        <v>15</v>
      </c>
      <c r="G2493" s="0" t="s">
        <v>32</v>
      </c>
      <c r="H2493" s="0" t="n">
        <v>23</v>
      </c>
      <c r="I2493" s="0" t="s">
        <v>8307</v>
      </c>
      <c r="J2493" s="0" t="s">
        <v>8308</v>
      </c>
      <c r="K2493" s="0" t="s">
        <v>8309</v>
      </c>
      <c r="L2493" s="0" t="str">
        <f aca="false">HYPERLINK("https://www.ncbi.nlm.nih.gov/nuccore/CP000304.1?report=graph&amp;tracks=[key:gene_model_track,Options:GeneOnly]&amp;mk=729140:729159|offset_23|00cc00,729184:729203|offset_67|444444,729228:729247|offset_111|444444,729261:729280|offset_144|444444&amp;v=728939:729480&amp;c=444444", "offset 23")</f>
        <v>offset 23</v>
      </c>
    </row>
    <row r="2494" customFormat="false" ht="12.8" hidden="false" customHeight="false" outlineLevel="0" collapsed="false">
      <c r="A2494" s="0" t="s">
        <v>12</v>
      </c>
      <c r="B2494" s="0" t="n">
        <v>729183</v>
      </c>
      <c r="C2494" s="0" t="n">
        <v>729203</v>
      </c>
      <c r="D2494" s="0" t="s">
        <v>8306</v>
      </c>
      <c r="E2494" s="0" t="s">
        <v>89</v>
      </c>
      <c r="F2494" s="0" t="s">
        <v>15</v>
      </c>
      <c r="G2494" s="0" t="s">
        <v>36</v>
      </c>
      <c r="H2494" s="0" t="n">
        <v>67</v>
      </c>
      <c r="I2494" s="0" t="s">
        <v>8310</v>
      </c>
      <c r="J2494" s="0" t="s">
        <v>8311</v>
      </c>
      <c r="K2494" s="0" t="s">
        <v>8312</v>
      </c>
      <c r="L2494" s="0" t="str">
        <f aca="false">HYPERLINK("https://www.ncbi.nlm.nih.gov/nuccore/CP000304.1?report=graph&amp;tracks=[key:gene_model_track,Options:GeneOnly]&amp;mk=729140:729159|offset_23|444444,729184:729203|offset_67|00cc00,729228:729247|offset_111|444444,729261:729280|offset_144|444444&amp;v=728939:729480&amp;c=444444", "offset 67")</f>
        <v>offset 67</v>
      </c>
    </row>
    <row r="2495" customFormat="false" ht="12.8" hidden="false" customHeight="false" outlineLevel="0" collapsed="false">
      <c r="A2495" s="0" t="s">
        <v>12</v>
      </c>
      <c r="B2495" s="0" t="n">
        <v>729227</v>
      </c>
      <c r="C2495" s="0" t="n">
        <v>729247</v>
      </c>
      <c r="D2495" s="0" t="s">
        <v>8306</v>
      </c>
      <c r="E2495" s="0" t="s">
        <v>89</v>
      </c>
      <c r="F2495" s="0" t="s">
        <v>15</v>
      </c>
      <c r="G2495" s="0" t="s">
        <v>26</v>
      </c>
      <c r="H2495" s="0" t="n">
        <v>111</v>
      </c>
      <c r="I2495" s="0" t="s">
        <v>8313</v>
      </c>
      <c r="J2495" s="0" t="s">
        <v>8314</v>
      </c>
      <c r="K2495" s="0" t="s">
        <v>8315</v>
      </c>
      <c r="L2495" s="0" t="str">
        <f aca="false">HYPERLINK("https://www.ncbi.nlm.nih.gov/nuccore/CP000304.1?report=graph&amp;tracks=[key:gene_model_track,Options:GeneOnly]&amp;mk=729140:729159|offset_23|444444,729184:729203|offset_67|444444,729228:729247|offset_111|00cc00,729261:729280|offset_144|444444&amp;v=728939:729480&amp;c=444444", "offset 111")</f>
        <v>offset 111</v>
      </c>
    </row>
    <row r="2496" customFormat="false" ht="12.8" hidden="false" customHeight="false" outlineLevel="0" collapsed="false">
      <c r="A2496" s="0" t="s">
        <v>12</v>
      </c>
      <c r="B2496" s="0" t="n">
        <v>729260</v>
      </c>
      <c r="C2496" s="0" t="n">
        <v>729280</v>
      </c>
      <c r="D2496" s="0" t="s">
        <v>8306</v>
      </c>
      <c r="E2496" s="0" t="s">
        <v>89</v>
      </c>
      <c r="F2496" s="0" t="s">
        <v>15</v>
      </c>
      <c r="G2496" s="0" t="s">
        <v>26</v>
      </c>
      <c r="H2496" s="0" t="n">
        <v>144</v>
      </c>
      <c r="I2496" s="0" t="s">
        <v>8316</v>
      </c>
      <c r="J2496" s="0" t="s">
        <v>8317</v>
      </c>
      <c r="K2496" s="0" t="s">
        <v>8318</v>
      </c>
      <c r="L2496" s="0" t="str">
        <f aca="false">HYPERLINK("https://www.ncbi.nlm.nih.gov/nuccore/CP000304.1?report=graph&amp;tracks=[key:gene_model_track,Options:GeneOnly]&amp;mk=729140:729159|offset_23|444444,729184:729203|offset_67|444444,729228:729247|offset_111|444444,729261:729280|offset_144|00cc00&amp;v=728939:729480&amp;c=444444", "offset 144")</f>
        <v>offset 144</v>
      </c>
    </row>
    <row r="2497" customFormat="false" ht="12.8" hidden="false" customHeight="false" outlineLevel="0" collapsed="false">
      <c r="A2497" s="0" t="s">
        <v>12</v>
      </c>
      <c r="B2497" s="0" t="n">
        <v>729792</v>
      </c>
      <c r="C2497" s="0" t="n">
        <v>729812</v>
      </c>
      <c r="D2497" s="0" t="s">
        <v>8319</v>
      </c>
      <c r="E2497" s="0" t="s">
        <v>89</v>
      </c>
      <c r="F2497" s="0" t="s">
        <v>15</v>
      </c>
      <c r="G2497" s="0" t="s">
        <v>32</v>
      </c>
      <c r="H2497" s="0" t="n">
        <v>29</v>
      </c>
      <c r="I2497" s="0" t="s">
        <v>8320</v>
      </c>
      <c r="J2497" s="0" t="s">
        <v>8321</v>
      </c>
      <c r="K2497" s="0" t="s">
        <v>8322</v>
      </c>
      <c r="L2497" s="0" t="str">
        <f aca="false">HYPERLINK("https://www.ncbi.nlm.nih.gov/nuccore/CP000304.1?report=graph&amp;tracks=[key:gene_model_track,Options:GeneOnly]&amp;mk=729793:729812|offset_29|00cc00,729813:729832|offset_49|444444,729841:729860|offset_77|444444,729862:729881|offset_98|444444&amp;v=729592:730081&amp;c=444444", "offset 29")</f>
        <v>offset 29</v>
      </c>
    </row>
    <row r="2498" customFormat="false" ht="12.8" hidden="false" customHeight="false" outlineLevel="0" collapsed="false">
      <c r="A2498" s="0" t="s">
        <v>12</v>
      </c>
      <c r="B2498" s="0" t="n">
        <v>729812</v>
      </c>
      <c r="C2498" s="0" t="n">
        <v>729832</v>
      </c>
      <c r="D2498" s="0" t="s">
        <v>8319</v>
      </c>
      <c r="E2498" s="0" t="s">
        <v>89</v>
      </c>
      <c r="F2498" s="0" t="s">
        <v>15</v>
      </c>
      <c r="G2498" s="0" t="s">
        <v>32</v>
      </c>
      <c r="H2498" s="0" t="n">
        <v>49</v>
      </c>
      <c r="I2498" s="0" t="s">
        <v>8323</v>
      </c>
      <c r="J2498" s="0" t="s">
        <v>8324</v>
      </c>
      <c r="K2498" s="0" t="s">
        <v>8325</v>
      </c>
      <c r="L2498" s="0" t="str">
        <f aca="false">HYPERLINK("https://www.ncbi.nlm.nih.gov/nuccore/CP000304.1?report=graph&amp;tracks=[key:gene_model_track,Options:GeneOnly]&amp;mk=729793:729812|offset_29|444444,729813:729832|offset_49|00cc00,729841:729860|offset_77|444444,729862:729881|offset_98|444444&amp;v=729592:730081&amp;c=444444", "offset 49")</f>
        <v>offset 49</v>
      </c>
    </row>
    <row r="2499" customFormat="false" ht="12.8" hidden="false" customHeight="false" outlineLevel="0" collapsed="false">
      <c r="A2499" s="0" t="s">
        <v>12</v>
      </c>
      <c r="B2499" s="0" t="n">
        <v>729840</v>
      </c>
      <c r="C2499" s="0" t="n">
        <v>729860</v>
      </c>
      <c r="D2499" s="0" t="s">
        <v>8319</v>
      </c>
      <c r="E2499" s="0" t="s">
        <v>89</v>
      </c>
      <c r="F2499" s="0" t="s">
        <v>15</v>
      </c>
      <c r="G2499" s="0" t="s">
        <v>36</v>
      </c>
      <c r="H2499" s="0" t="n">
        <v>77</v>
      </c>
      <c r="I2499" s="0" t="s">
        <v>8326</v>
      </c>
      <c r="J2499" s="0" t="s">
        <v>8327</v>
      </c>
      <c r="K2499" s="0" t="s">
        <v>8328</v>
      </c>
      <c r="L2499" s="0" t="str">
        <f aca="false">HYPERLINK("https://www.ncbi.nlm.nih.gov/nuccore/CP000304.1?report=graph&amp;tracks=[key:gene_model_track,Options:GeneOnly]&amp;mk=729793:729812|offset_29|444444,729813:729832|offset_49|444444,729841:729860|offset_77|00cc00,729862:729881|offset_98|444444&amp;v=729592:730081&amp;c=444444", "offset 77")</f>
        <v>offset 77</v>
      </c>
    </row>
    <row r="2500" customFormat="false" ht="12.8" hidden="false" customHeight="false" outlineLevel="0" collapsed="false">
      <c r="A2500" s="0" t="s">
        <v>12</v>
      </c>
      <c r="B2500" s="0" t="n">
        <v>729861</v>
      </c>
      <c r="C2500" s="0" t="n">
        <v>729881</v>
      </c>
      <c r="D2500" s="0" t="s">
        <v>8319</v>
      </c>
      <c r="E2500" s="0" t="s">
        <v>89</v>
      </c>
      <c r="F2500" s="0" t="s">
        <v>15</v>
      </c>
      <c r="G2500" s="0" t="s">
        <v>16</v>
      </c>
      <c r="H2500" s="0" t="n">
        <v>98</v>
      </c>
      <c r="I2500" s="0" t="s">
        <v>8329</v>
      </c>
      <c r="J2500" s="0" t="s">
        <v>8330</v>
      </c>
      <c r="K2500" s="0" t="s">
        <v>8331</v>
      </c>
      <c r="L2500" s="0" t="str">
        <f aca="false">HYPERLINK("https://www.ncbi.nlm.nih.gov/nuccore/CP000304.1?report=graph&amp;tracks=[key:gene_model_track,Options:GeneOnly]&amp;mk=729793:729812|offset_29|444444,729813:729832|offset_49|444444,729841:729860|offset_77|444444,729862:729881|offset_98|00cc00&amp;v=729592:730081&amp;c=444444", "offset 98")</f>
        <v>offset 98</v>
      </c>
    </row>
    <row r="2501" customFormat="false" ht="12.8" hidden="false" customHeight="false" outlineLevel="0" collapsed="false">
      <c r="A2501" s="0" t="s">
        <v>12</v>
      </c>
      <c r="B2501" s="0" t="n">
        <v>734260</v>
      </c>
      <c r="C2501" s="0" t="n">
        <v>734280</v>
      </c>
      <c r="D2501" s="0" t="s">
        <v>8332</v>
      </c>
      <c r="E2501" s="0" t="s">
        <v>89</v>
      </c>
      <c r="F2501" s="0" t="s">
        <v>15</v>
      </c>
      <c r="G2501" s="0" t="s">
        <v>36</v>
      </c>
      <c r="H2501" s="0" t="n">
        <v>38</v>
      </c>
      <c r="I2501" s="0" t="s">
        <v>8333</v>
      </c>
      <c r="J2501" s="0" t="s">
        <v>8334</v>
      </c>
      <c r="K2501" s="0" t="s">
        <v>8335</v>
      </c>
      <c r="L2501" s="0" t="str">
        <f aca="false">HYPERLINK("https://www.ncbi.nlm.nih.gov/nuccore/CP000304.1?report=graph&amp;tracks=[key:gene_model_track,Options:GeneOnly]&amp;mk=734261:734280|offset_38|00cc00,734284:734303|offset_61|444444,734360:734379|offset_137|444444,734413:734432|offset_190|444444&amp;v=734060:734632&amp;c=444444", "offset 38")</f>
        <v>offset 38</v>
      </c>
    </row>
    <row r="2502" customFormat="false" ht="12.8" hidden="false" customHeight="false" outlineLevel="0" collapsed="false">
      <c r="A2502" s="0" t="s">
        <v>12</v>
      </c>
      <c r="B2502" s="0" t="n">
        <v>734283</v>
      </c>
      <c r="C2502" s="0" t="n">
        <v>734303</v>
      </c>
      <c r="D2502" s="0" t="s">
        <v>8332</v>
      </c>
      <c r="E2502" s="0" t="s">
        <v>89</v>
      </c>
      <c r="F2502" s="0" t="s">
        <v>15</v>
      </c>
      <c r="G2502" s="0" t="s">
        <v>26</v>
      </c>
      <c r="H2502" s="0" t="n">
        <v>61</v>
      </c>
      <c r="I2502" s="0" t="s">
        <v>8336</v>
      </c>
      <c r="J2502" s="0" t="s">
        <v>8337</v>
      </c>
      <c r="K2502" s="0" t="s">
        <v>8338</v>
      </c>
      <c r="L2502" s="0" t="str">
        <f aca="false">HYPERLINK("https://www.ncbi.nlm.nih.gov/nuccore/CP000304.1?report=graph&amp;tracks=[key:gene_model_track,Options:GeneOnly]&amp;mk=734261:734280|offset_38|444444,734284:734303|offset_61|00cc00,734360:734379|offset_137|444444,734413:734432|offset_190|444444&amp;v=734060:734632&amp;c=444444", "offset 61")</f>
        <v>offset 61</v>
      </c>
    </row>
    <row r="2503" customFormat="false" ht="12.8" hidden="false" customHeight="false" outlineLevel="0" collapsed="false">
      <c r="A2503" s="0" t="s">
        <v>12</v>
      </c>
      <c r="B2503" s="0" t="n">
        <v>734359</v>
      </c>
      <c r="C2503" s="0" t="n">
        <v>734379</v>
      </c>
      <c r="D2503" s="0" t="s">
        <v>8332</v>
      </c>
      <c r="E2503" s="0" t="s">
        <v>89</v>
      </c>
      <c r="F2503" s="0" t="s">
        <v>15</v>
      </c>
      <c r="G2503" s="0" t="s">
        <v>32</v>
      </c>
      <c r="H2503" s="0" t="n">
        <v>137</v>
      </c>
      <c r="I2503" s="0" t="s">
        <v>8339</v>
      </c>
      <c r="J2503" s="0" t="s">
        <v>8340</v>
      </c>
      <c r="K2503" s="0" t="s">
        <v>8341</v>
      </c>
      <c r="L2503" s="0" t="str">
        <f aca="false">HYPERLINK("https://www.ncbi.nlm.nih.gov/nuccore/CP000304.1?report=graph&amp;tracks=[key:gene_model_track,Options:GeneOnly]&amp;mk=734261:734280|offset_38|444444,734284:734303|offset_61|444444,734360:734379|offset_137|00cc00,734413:734432|offset_190|444444&amp;v=734060:734632&amp;c=444444", "offset 137")</f>
        <v>offset 137</v>
      </c>
    </row>
    <row r="2504" customFormat="false" ht="12.8" hidden="false" customHeight="false" outlineLevel="0" collapsed="false">
      <c r="A2504" s="0" t="s">
        <v>12</v>
      </c>
      <c r="B2504" s="0" t="n">
        <v>734412</v>
      </c>
      <c r="C2504" s="0" t="n">
        <v>734432</v>
      </c>
      <c r="D2504" s="0" t="s">
        <v>8332</v>
      </c>
      <c r="E2504" s="0" t="s">
        <v>89</v>
      </c>
      <c r="F2504" s="0" t="s">
        <v>15</v>
      </c>
      <c r="G2504" s="0" t="s">
        <v>32</v>
      </c>
      <c r="H2504" s="0" t="n">
        <v>190</v>
      </c>
      <c r="I2504" s="0" t="s">
        <v>8342</v>
      </c>
      <c r="J2504" s="0" t="s">
        <v>8343</v>
      </c>
      <c r="K2504" s="0" t="s">
        <v>8344</v>
      </c>
      <c r="L2504" s="0" t="str">
        <f aca="false">HYPERLINK("https://www.ncbi.nlm.nih.gov/nuccore/CP000304.1?report=graph&amp;tracks=[key:gene_model_track,Options:GeneOnly]&amp;mk=734261:734280|offset_38|444444,734284:734303|offset_61|444444,734360:734379|offset_137|444444,734413:734432|offset_190|00cc00&amp;v=734060:734632&amp;c=444444", "offset 190")</f>
        <v>offset 190</v>
      </c>
    </row>
    <row r="2505" customFormat="false" ht="12.8" hidden="false" customHeight="false" outlineLevel="0" collapsed="false">
      <c r="A2505" s="0" t="s">
        <v>12</v>
      </c>
      <c r="B2505" s="0" t="n">
        <v>735812</v>
      </c>
      <c r="C2505" s="0" t="n">
        <v>735832</v>
      </c>
      <c r="D2505" s="0" t="s">
        <v>8345</v>
      </c>
      <c r="E2505" s="0" t="s">
        <v>89</v>
      </c>
      <c r="F2505" s="0" t="s">
        <v>15</v>
      </c>
      <c r="G2505" s="0" t="s">
        <v>26</v>
      </c>
      <c r="H2505" s="0" t="n">
        <v>7</v>
      </c>
      <c r="I2505" s="0" t="s">
        <v>8346</v>
      </c>
      <c r="J2505" s="0" t="s">
        <v>8347</v>
      </c>
      <c r="K2505" s="0" t="s">
        <v>8348</v>
      </c>
      <c r="L2505" s="0" t="str">
        <f aca="false">HYPERLINK("https://www.ncbi.nlm.nih.gov/nuccore/CP000304.1?report=graph&amp;tracks=[key:gene_model_track,Options:GeneOnly]&amp;mk=735813:735832|offset_7|00cc00,735869:735888|offset_63|444444,735915:735934|offset_109|444444,735935:735954|offset_129|444444&amp;v=735612:736154&amp;c=444444", "offset 7")</f>
        <v>offset 7</v>
      </c>
    </row>
    <row r="2506" customFormat="false" ht="12.8" hidden="false" customHeight="false" outlineLevel="0" collapsed="false">
      <c r="A2506" s="0" t="s">
        <v>12</v>
      </c>
      <c r="B2506" s="0" t="n">
        <v>735868</v>
      </c>
      <c r="C2506" s="0" t="n">
        <v>735888</v>
      </c>
      <c r="D2506" s="0" t="s">
        <v>8345</v>
      </c>
      <c r="E2506" s="0" t="s">
        <v>89</v>
      </c>
      <c r="F2506" s="0" t="s">
        <v>15</v>
      </c>
      <c r="G2506" s="0" t="s">
        <v>32</v>
      </c>
      <c r="H2506" s="0" t="n">
        <v>63</v>
      </c>
      <c r="I2506" s="0" t="s">
        <v>8349</v>
      </c>
      <c r="J2506" s="0" t="s">
        <v>8350</v>
      </c>
      <c r="K2506" s="0" t="s">
        <v>8351</v>
      </c>
      <c r="L2506" s="0" t="str">
        <f aca="false">HYPERLINK("https://www.ncbi.nlm.nih.gov/nuccore/CP000304.1?report=graph&amp;tracks=[key:gene_model_track,Options:GeneOnly]&amp;mk=735813:735832|offset_7|444444,735869:735888|offset_63|00cc00,735915:735934|offset_109|444444,735935:735954|offset_129|444444&amp;v=735612:736154&amp;c=444444", "offset 63")</f>
        <v>offset 63</v>
      </c>
    </row>
    <row r="2507" customFormat="false" ht="12.8" hidden="false" customHeight="false" outlineLevel="0" collapsed="false">
      <c r="A2507" s="0" t="s">
        <v>12</v>
      </c>
      <c r="B2507" s="0" t="n">
        <v>735914</v>
      </c>
      <c r="C2507" s="0" t="n">
        <v>735934</v>
      </c>
      <c r="D2507" s="0" t="s">
        <v>8345</v>
      </c>
      <c r="E2507" s="0" t="s">
        <v>89</v>
      </c>
      <c r="F2507" s="0" t="s">
        <v>15</v>
      </c>
      <c r="G2507" s="0" t="s">
        <v>16</v>
      </c>
      <c r="H2507" s="0" t="n">
        <v>109</v>
      </c>
      <c r="I2507" s="0" t="s">
        <v>8352</v>
      </c>
      <c r="J2507" s="0" t="s">
        <v>8353</v>
      </c>
      <c r="K2507" s="0" t="s">
        <v>8354</v>
      </c>
      <c r="L2507" s="0" t="str">
        <f aca="false">HYPERLINK("https://www.ncbi.nlm.nih.gov/nuccore/CP000304.1?report=graph&amp;tracks=[key:gene_model_track,Options:GeneOnly]&amp;mk=735813:735832|offset_7|444444,735869:735888|offset_63|444444,735915:735934|offset_109|00cc00,735935:735954|offset_129|444444&amp;v=735612:736154&amp;c=444444", "offset 109")</f>
        <v>offset 109</v>
      </c>
    </row>
    <row r="2508" customFormat="false" ht="12.8" hidden="false" customHeight="false" outlineLevel="0" collapsed="false">
      <c r="A2508" s="0" t="s">
        <v>12</v>
      </c>
      <c r="B2508" s="0" t="n">
        <v>735934</v>
      </c>
      <c r="C2508" s="0" t="n">
        <v>735954</v>
      </c>
      <c r="D2508" s="0" t="s">
        <v>8345</v>
      </c>
      <c r="E2508" s="0" t="s">
        <v>89</v>
      </c>
      <c r="F2508" s="0" t="s">
        <v>15</v>
      </c>
      <c r="G2508" s="0" t="s">
        <v>32</v>
      </c>
      <c r="H2508" s="0" t="n">
        <v>129</v>
      </c>
      <c r="I2508" s="0" t="s">
        <v>8355</v>
      </c>
      <c r="J2508" s="0" t="s">
        <v>8356</v>
      </c>
      <c r="K2508" s="0" t="s">
        <v>8357</v>
      </c>
      <c r="L2508" s="0" t="str">
        <f aca="false">HYPERLINK("https://www.ncbi.nlm.nih.gov/nuccore/CP000304.1?report=graph&amp;tracks=[key:gene_model_track,Options:GeneOnly]&amp;mk=735813:735832|offset_7|444444,735869:735888|offset_63|444444,735915:735934|offset_109|444444,735935:735954|offset_129|00cc00&amp;v=735612:736154&amp;c=444444", "offset 129")</f>
        <v>offset 129</v>
      </c>
    </row>
    <row r="2509" customFormat="false" ht="12.8" hidden="false" customHeight="false" outlineLevel="0" collapsed="false">
      <c r="A2509" s="0" t="s">
        <v>12</v>
      </c>
      <c r="B2509" s="0" t="n">
        <v>737926</v>
      </c>
      <c r="C2509" s="0" t="n">
        <v>737946</v>
      </c>
      <c r="D2509" s="0" t="s">
        <v>8358</v>
      </c>
      <c r="E2509" s="0" t="s">
        <v>89</v>
      </c>
      <c r="F2509" s="0" t="s">
        <v>15</v>
      </c>
      <c r="G2509" s="0" t="s">
        <v>16</v>
      </c>
      <c r="H2509" s="0" t="n">
        <v>847</v>
      </c>
      <c r="I2509" s="0" t="s">
        <v>8359</v>
      </c>
      <c r="J2509" s="0" t="s">
        <v>8360</v>
      </c>
      <c r="K2509" s="0" t="s">
        <v>8361</v>
      </c>
      <c r="L2509" s="0" t="str">
        <f aca="false">HYPERLINK("https://www.ncbi.nlm.nih.gov/nuccore/CP000304.1?report=graph&amp;tracks=[key:gene_model_track,Options:GeneOnly]&amp;mk=737927:737946|offset_847|00cc00,737951:737970|offset_871|444444&amp;v=737726:738170&amp;c=444444", "offset 847")</f>
        <v>offset 847</v>
      </c>
    </row>
    <row r="2510" customFormat="false" ht="12.8" hidden="false" customHeight="false" outlineLevel="0" collapsed="false">
      <c r="A2510" s="0" t="s">
        <v>12</v>
      </c>
      <c r="B2510" s="0" t="n">
        <v>737950</v>
      </c>
      <c r="C2510" s="0" t="n">
        <v>737970</v>
      </c>
      <c r="D2510" s="0" t="s">
        <v>8358</v>
      </c>
      <c r="E2510" s="0" t="s">
        <v>89</v>
      </c>
      <c r="F2510" s="0" t="s">
        <v>15</v>
      </c>
      <c r="G2510" s="0" t="s">
        <v>16</v>
      </c>
      <c r="H2510" s="0" t="n">
        <v>871</v>
      </c>
      <c r="I2510" s="0" t="s">
        <v>8362</v>
      </c>
      <c r="J2510" s="0" t="s">
        <v>8363</v>
      </c>
      <c r="K2510" s="0" t="s">
        <v>8364</v>
      </c>
      <c r="L2510" s="0" t="str">
        <f aca="false">HYPERLINK("https://www.ncbi.nlm.nih.gov/nuccore/CP000304.1?report=graph&amp;tracks=[key:gene_model_track,Options:GeneOnly]&amp;mk=737927:737946|offset_847|444444,737951:737970|offset_871|00cc00&amp;v=737726:738170&amp;c=444444", "offset 871")</f>
        <v>offset 871</v>
      </c>
    </row>
    <row r="2511" customFormat="false" ht="12.8" hidden="false" customHeight="false" outlineLevel="0" collapsed="false">
      <c r="A2511" s="0" t="s">
        <v>12</v>
      </c>
      <c r="B2511" s="0" t="n">
        <v>742963</v>
      </c>
      <c r="C2511" s="0" t="n">
        <v>742983</v>
      </c>
      <c r="D2511" s="0" t="s">
        <v>8365</v>
      </c>
      <c r="E2511" s="0" t="s">
        <v>89</v>
      </c>
      <c r="F2511" s="0" t="s">
        <v>90</v>
      </c>
      <c r="G2511" s="0" t="s">
        <v>26</v>
      </c>
      <c r="H2511" s="0" t="n">
        <v>7</v>
      </c>
      <c r="I2511" s="0" t="s">
        <v>8366</v>
      </c>
      <c r="J2511" s="0" t="s">
        <v>8367</v>
      </c>
      <c r="K2511" s="0" t="s">
        <v>8368</v>
      </c>
      <c r="L2511" s="0" t="str">
        <f aca="false">HYPERLINK("https://www.ncbi.nlm.nih.gov/nuccore/CP000304.1?report=graph&amp;tracks=[key:gene_model_track,Options:GeneOnly]&amp;mk=742964:742983|offset_7|00cc00,742923:742942|offset_48|444444,742874:742893|offset_97|444444,742847:742866|offset_124|444444&amp;v=742763:743066&amp;c=444444", "offset 7")</f>
        <v>offset 7</v>
      </c>
    </row>
    <row r="2512" customFormat="false" ht="12.8" hidden="false" customHeight="false" outlineLevel="0" collapsed="false">
      <c r="A2512" s="0" t="s">
        <v>12</v>
      </c>
      <c r="B2512" s="0" t="n">
        <v>742922</v>
      </c>
      <c r="C2512" s="0" t="n">
        <v>742942</v>
      </c>
      <c r="D2512" s="0" t="s">
        <v>8365</v>
      </c>
      <c r="E2512" s="0" t="s">
        <v>89</v>
      </c>
      <c r="F2512" s="0" t="s">
        <v>90</v>
      </c>
      <c r="G2512" s="0" t="s">
        <v>32</v>
      </c>
      <c r="H2512" s="0" t="n">
        <v>48</v>
      </c>
      <c r="I2512" s="0" t="s">
        <v>8369</v>
      </c>
      <c r="J2512" s="0" t="s">
        <v>8370</v>
      </c>
      <c r="K2512" s="0" t="s">
        <v>8371</v>
      </c>
      <c r="L2512" s="0" t="str">
        <f aca="false">HYPERLINK("https://www.ncbi.nlm.nih.gov/nuccore/CP000304.1?report=graph&amp;tracks=[key:gene_model_track,Options:GeneOnly]&amp;mk=742964:742983|offset_7|444444,742923:742942|offset_48|00cc00,742874:742893|offset_97|444444,742847:742866|offset_124|444444&amp;v=742763:743066&amp;c=444444", "offset 48")</f>
        <v>offset 48</v>
      </c>
    </row>
    <row r="2513" customFormat="false" ht="12.8" hidden="false" customHeight="false" outlineLevel="0" collapsed="false">
      <c r="A2513" s="0" t="s">
        <v>12</v>
      </c>
      <c r="B2513" s="0" t="n">
        <v>742873</v>
      </c>
      <c r="C2513" s="0" t="n">
        <v>742893</v>
      </c>
      <c r="D2513" s="0" t="s">
        <v>8365</v>
      </c>
      <c r="E2513" s="0" t="s">
        <v>89</v>
      </c>
      <c r="F2513" s="0" t="s">
        <v>90</v>
      </c>
      <c r="G2513" s="0" t="s">
        <v>32</v>
      </c>
      <c r="H2513" s="0" t="n">
        <v>97</v>
      </c>
      <c r="I2513" s="0" t="s">
        <v>8372</v>
      </c>
      <c r="J2513" s="0" t="s">
        <v>8373</v>
      </c>
      <c r="K2513" s="0" t="s">
        <v>8374</v>
      </c>
      <c r="L2513" s="0" t="str">
        <f aca="false">HYPERLINK("https://www.ncbi.nlm.nih.gov/nuccore/CP000304.1?report=graph&amp;tracks=[key:gene_model_track,Options:GeneOnly]&amp;mk=742964:742983|offset_7|444444,742923:742942|offset_48|444444,742874:742893|offset_97|00cc00,742847:742866|offset_124|444444&amp;v=742763:743066&amp;c=444444", "offset 97")</f>
        <v>offset 97</v>
      </c>
    </row>
    <row r="2514" customFormat="false" ht="12.8" hidden="false" customHeight="false" outlineLevel="0" collapsed="false">
      <c r="A2514" s="0" t="s">
        <v>12</v>
      </c>
      <c r="B2514" s="0" t="n">
        <v>742846</v>
      </c>
      <c r="C2514" s="0" t="n">
        <v>742866</v>
      </c>
      <c r="D2514" s="0" t="s">
        <v>8365</v>
      </c>
      <c r="E2514" s="0" t="s">
        <v>89</v>
      </c>
      <c r="F2514" s="0" t="s">
        <v>90</v>
      </c>
      <c r="G2514" s="0" t="s">
        <v>16</v>
      </c>
      <c r="H2514" s="0" t="n">
        <v>124</v>
      </c>
      <c r="I2514" s="0" t="s">
        <v>8375</v>
      </c>
      <c r="J2514" s="0" t="s">
        <v>8376</v>
      </c>
      <c r="K2514" s="0" t="s">
        <v>8377</v>
      </c>
      <c r="L2514" s="0" t="str">
        <f aca="false">HYPERLINK("https://www.ncbi.nlm.nih.gov/nuccore/CP000304.1?report=graph&amp;tracks=[key:gene_model_track,Options:GeneOnly]&amp;mk=742964:742983|offset_7|444444,742923:742942|offset_48|444444,742874:742893|offset_97|444444,742847:742866|offset_124|00cc00&amp;v=742763:743066&amp;c=444444", "offset 124")</f>
        <v>offset 124</v>
      </c>
    </row>
    <row r="2515" customFormat="false" ht="12.8" hidden="false" customHeight="false" outlineLevel="0" collapsed="false">
      <c r="A2515" s="0" t="s">
        <v>12</v>
      </c>
      <c r="B2515" s="0" t="n">
        <v>745026</v>
      </c>
      <c r="C2515" s="0" t="n">
        <v>745046</v>
      </c>
      <c r="D2515" s="0" t="s">
        <v>8378</v>
      </c>
      <c r="E2515" s="0" t="s">
        <v>89</v>
      </c>
      <c r="F2515" s="0" t="s">
        <v>90</v>
      </c>
      <c r="G2515" s="0" t="s">
        <v>16</v>
      </c>
      <c r="H2515" s="0" t="n">
        <v>10</v>
      </c>
      <c r="I2515" s="0" t="s">
        <v>8379</v>
      </c>
      <c r="J2515" s="0" t="s">
        <v>8380</v>
      </c>
      <c r="K2515" s="0" t="s">
        <v>8381</v>
      </c>
      <c r="L2515" s="0" t="str">
        <f aca="false">HYPERLINK("https://www.ncbi.nlm.nih.gov/nuccore/CP000304.1?report=graph&amp;tracks=[key:gene_model_track,Options:GeneOnly]&amp;mk=745027:745046|offset_10|00cc00,745006:745025|offset_31|444444,744985:745004|offset_52|444444,744932:744951|offset_105|444444&amp;v=744826:745151&amp;c=444444", "offset 10")</f>
        <v>offset 10</v>
      </c>
    </row>
    <row r="2516" customFormat="false" ht="12.8" hidden="false" customHeight="false" outlineLevel="0" collapsed="false">
      <c r="A2516" s="0" t="s">
        <v>12</v>
      </c>
      <c r="B2516" s="0" t="n">
        <v>745005</v>
      </c>
      <c r="C2516" s="0" t="n">
        <v>745025</v>
      </c>
      <c r="D2516" s="0" t="s">
        <v>8378</v>
      </c>
      <c r="E2516" s="0" t="s">
        <v>89</v>
      </c>
      <c r="F2516" s="0" t="s">
        <v>90</v>
      </c>
      <c r="G2516" s="0" t="s">
        <v>16</v>
      </c>
      <c r="H2516" s="0" t="n">
        <v>31</v>
      </c>
      <c r="I2516" s="0" t="s">
        <v>8382</v>
      </c>
      <c r="J2516" s="0" t="s">
        <v>8383</v>
      </c>
      <c r="K2516" s="0" t="s">
        <v>8384</v>
      </c>
      <c r="L2516" s="0" t="str">
        <f aca="false">HYPERLINK("https://www.ncbi.nlm.nih.gov/nuccore/CP000304.1?report=graph&amp;tracks=[key:gene_model_track,Options:GeneOnly]&amp;mk=745027:745046|offset_10|444444,745006:745025|offset_31|00cc00,744985:745004|offset_52|444444,744932:744951|offset_105|444444&amp;v=744826:745151&amp;c=444444", "offset 31")</f>
        <v>offset 31</v>
      </c>
    </row>
    <row r="2517" customFormat="false" ht="12.8" hidden="false" customHeight="false" outlineLevel="0" collapsed="false">
      <c r="A2517" s="0" t="s">
        <v>12</v>
      </c>
      <c r="B2517" s="0" t="n">
        <v>744984</v>
      </c>
      <c r="C2517" s="0" t="n">
        <v>745004</v>
      </c>
      <c r="D2517" s="0" t="s">
        <v>8378</v>
      </c>
      <c r="E2517" s="0" t="s">
        <v>89</v>
      </c>
      <c r="F2517" s="0" t="s">
        <v>90</v>
      </c>
      <c r="G2517" s="0" t="s">
        <v>16</v>
      </c>
      <c r="H2517" s="0" t="n">
        <v>52</v>
      </c>
      <c r="I2517" s="0" t="s">
        <v>8385</v>
      </c>
      <c r="J2517" s="0" t="s">
        <v>8386</v>
      </c>
      <c r="K2517" s="0" t="s">
        <v>8387</v>
      </c>
      <c r="L2517" s="0" t="str">
        <f aca="false">HYPERLINK("https://www.ncbi.nlm.nih.gov/nuccore/CP000304.1?report=graph&amp;tracks=[key:gene_model_track,Options:GeneOnly]&amp;mk=745027:745046|offset_10|444444,745006:745025|offset_31|444444,744985:745004|offset_52|00cc00,744932:744951|offset_105|444444&amp;v=744826:745151&amp;c=444444", "offset 52")</f>
        <v>offset 52</v>
      </c>
    </row>
    <row r="2518" customFormat="false" ht="12.8" hidden="false" customHeight="false" outlineLevel="0" collapsed="false">
      <c r="A2518" s="0" t="s">
        <v>12</v>
      </c>
      <c r="B2518" s="0" t="n">
        <v>744931</v>
      </c>
      <c r="C2518" s="0" t="n">
        <v>744951</v>
      </c>
      <c r="D2518" s="0" t="s">
        <v>8378</v>
      </c>
      <c r="E2518" s="0" t="s">
        <v>89</v>
      </c>
      <c r="F2518" s="0" t="s">
        <v>90</v>
      </c>
      <c r="G2518" s="0" t="s">
        <v>16</v>
      </c>
      <c r="H2518" s="0" t="n">
        <v>105</v>
      </c>
      <c r="I2518" s="0" t="s">
        <v>8388</v>
      </c>
      <c r="J2518" s="0" t="s">
        <v>8389</v>
      </c>
      <c r="K2518" s="0" t="s">
        <v>8390</v>
      </c>
      <c r="L2518" s="0" t="str">
        <f aca="false">HYPERLINK("https://www.ncbi.nlm.nih.gov/nuccore/CP000304.1?report=graph&amp;tracks=[key:gene_model_track,Options:GeneOnly]&amp;mk=745027:745046|offset_10|444444,745006:745025|offset_31|444444,744985:745004|offset_52|444444,744932:744951|offset_105|00cc00&amp;v=744826:745151&amp;c=444444", "offset 105")</f>
        <v>offset 105</v>
      </c>
    </row>
    <row r="2519" customFormat="false" ht="12.8" hidden="false" customHeight="false" outlineLevel="0" collapsed="false">
      <c r="A2519" s="0" t="s">
        <v>12</v>
      </c>
      <c r="B2519" s="0" t="n">
        <v>749083</v>
      </c>
      <c r="C2519" s="0" t="n">
        <v>749103</v>
      </c>
      <c r="D2519" s="0" t="s">
        <v>8391</v>
      </c>
      <c r="E2519" s="0" t="s">
        <v>89</v>
      </c>
      <c r="F2519" s="0" t="s">
        <v>90</v>
      </c>
      <c r="G2519" s="0" t="s">
        <v>26</v>
      </c>
      <c r="H2519" s="0" t="n">
        <v>26</v>
      </c>
      <c r="I2519" s="0" t="s">
        <v>8392</v>
      </c>
      <c r="J2519" s="0" t="s">
        <v>8393</v>
      </c>
      <c r="K2519" s="0" t="s">
        <v>8394</v>
      </c>
      <c r="L2519" s="0" t="str">
        <f aca="false">HYPERLINK("https://www.ncbi.nlm.nih.gov/nuccore/CP000304.1?report=graph&amp;tracks=[key:gene_model_track,Options:GeneOnly]&amp;mk=749084:749103|offset_26|00cc00,749060:749079|offset_50|444444,749033:749052|offset_77|444444,749007:749026|offset_103|444444&amp;v=748883:749226&amp;c=444444", "offset 26")</f>
        <v>offset 26</v>
      </c>
    </row>
    <row r="2520" customFormat="false" ht="12.8" hidden="false" customHeight="false" outlineLevel="0" collapsed="false">
      <c r="A2520" s="0" t="s">
        <v>12</v>
      </c>
      <c r="B2520" s="0" t="n">
        <v>749059</v>
      </c>
      <c r="C2520" s="0" t="n">
        <v>749079</v>
      </c>
      <c r="D2520" s="0" t="s">
        <v>8391</v>
      </c>
      <c r="E2520" s="0" t="s">
        <v>89</v>
      </c>
      <c r="F2520" s="0" t="s">
        <v>90</v>
      </c>
      <c r="G2520" s="0" t="s">
        <v>26</v>
      </c>
      <c r="H2520" s="0" t="n">
        <v>50</v>
      </c>
      <c r="I2520" s="0" t="s">
        <v>8395</v>
      </c>
      <c r="J2520" s="0" t="s">
        <v>8396</v>
      </c>
      <c r="K2520" s="0" t="s">
        <v>8397</v>
      </c>
      <c r="L2520" s="0" t="str">
        <f aca="false">HYPERLINK("https://www.ncbi.nlm.nih.gov/nuccore/CP000304.1?report=graph&amp;tracks=[key:gene_model_track,Options:GeneOnly]&amp;mk=749084:749103|offset_26|444444,749060:749079|offset_50|00cc00,749033:749052|offset_77|444444,749007:749026|offset_103|444444&amp;v=748883:749226&amp;c=444444", "offset 50")</f>
        <v>offset 50</v>
      </c>
    </row>
    <row r="2521" customFormat="false" ht="12.8" hidden="false" customHeight="false" outlineLevel="0" collapsed="false">
      <c r="A2521" s="0" t="s">
        <v>12</v>
      </c>
      <c r="B2521" s="0" t="n">
        <v>749032</v>
      </c>
      <c r="C2521" s="0" t="n">
        <v>749052</v>
      </c>
      <c r="D2521" s="0" t="s">
        <v>8391</v>
      </c>
      <c r="E2521" s="0" t="s">
        <v>89</v>
      </c>
      <c r="F2521" s="0" t="s">
        <v>90</v>
      </c>
      <c r="G2521" s="0" t="s">
        <v>32</v>
      </c>
      <c r="H2521" s="0" t="n">
        <v>77</v>
      </c>
      <c r="I2521" s="0" t="s">
        <v>8398</v>
      </c>
      <c r="J2521" s="0" t="s">
        <v>8399</v>
      </c>
      <c r="K2521" s="0" t="s">
        <v>8400</v>
      </c>
      <c r="L2521" s="0" t="str">
        <f aca="false">HYPERLINK("https://www.ncbi.nlm.nih.gov/nuccore/CP000304.1?report=graph&amp;tracks=[key:gene_model_track,Options:GeneOnly]&amp;mk=749084:749103|offset_26|444444,749060:749079|offset_50|444444,749033:749052|offset_77|00cc00,749007:749026|offset_103|444444&amp;v=748883:749226&amp;c=444444", "offset 77")</f>
        <v>offset 77</v>
      </c>
    </row>
    <row r="2522" customFormat="false" ht="12.8" hidden="false" customHeight="false" outlineLevel="0" collapsed="false">
      <c r="A2522" s="0" t="s">
        <v>12</v>
      </c>
      <c r="B2522" s="0" t="n">
        <v>749006</v>
      </c>
      <c r="C2522" s="0" t="n">
        <v>749026</v>
      </c>
      <c r="D2522" s="0" t="s">
        <v>8391</v>
      </c>
      <c r="E2522" s="0" t="s">
        <v>89</v>
      </c>
      <c r="F2522" s="0" t="s">
        <v>90</v>
      </c>
      <c r="G2522" s="0" t="s">
        <v>26</v>
      </c>
      <c r="H2522" s="0" t="n">
        <v>103</v>
      </c>
      <c r="I2522" s="0" t="s">
        <v>8401</v>
      </c>
      <c r="J2522" s="0" t="s">
        <v>8402</v>
      </c>
      <c r="K2522" s="0" t="s">
        <v>8403</v>
      </c>
      <c r="L2522" s="0" t="str">
        <f aca="false">HYPERLINK("https://www.ncbi.nlm.nih.gov/nuccore/CP000304.1?report=graph&amp;tracks=[key:gene_model_track,Options:GeneOnly]&amp;mk=749084:749103|offset_26|444444,749060:749079|offset_50|444444,749033:749052|offset_77|444444,749007:749026|offset_103|00cc00&amp;v=748883:749226&amp;c=444444", "offset 103")</f>
        <v>offset 103</v>
      </c>
    </row>
    <row r="2523" customFormat="false" ht="12.8" hidden="false" customHeight="false" outlineLevel="0" collapsed="false">
      <c r="A2523" s="0" t="s">
        <v>12</v>
      </c>
      <c r="B2523" s="0" t="n">
        <v>749801</v>
      </c>
      <c r="C2523" s="0" t="n">
        <v>749821</v>
      </c>
      <c r="D2523" s="0" t="s">
        <v>8404</v>
      </c>
      <c r="E2523" s="0" t="s">
        <v>89</v>
      </c>
      <c r="F2523" s="0" t="s">
        <v>90</v>
      </c>
      <c r="G2523" s="0" t="s">
        <v>26</v>
      </c>
      <c r="H2523" s="0" t="n">
        <v>21</v>
      </c>
      <c r="I2523" s="0" t="s">
        <v>8405</v>
      </c>
      <c r="J2523" s="0" t="s">
        <v>8406</v>
      </c>
      <c r="K2523" s="0" t="s">
        <v>8407</v>
      </c>
      <c r="L2523" s="0" t="str">
        <f aca="false">HYPERLINK("https://www.ncbi.nlm.nih.gov/nuccore/CP000304.1?report=graph&amp;tracks=[key:gene_model_track,Options:GeneOnly]&amp;mk=749802:749821|offset_21|00cc00,749767:749786|offset_56|444444,749708:749727|offset_115|444444,749680:749699|offset_143|444444&amp;v=749601:749899&amp;c=444444", "offset 21")</f>
        <v>offset 21</v>
      </c>
    </row>
    <row r="2524" customFormat="false" ht="12.8" hidden="false" customHeight="false" outlineLevel="0" collapsed="false">
      <c r="A2524" s="0" t="s">
        <v>12</v>
      </c>
      <c r="B2524" s="0" t="n">
        <v>749766</v>
      </c>
      <c r="C2524" s="0" t="n">
        <v>749786</v>
      </c>
      <c r="D2524" s="0" t="s">
        <v>8404</v>
      </c>
      <c r="E2524" s="0" t="s">
        <v>89</v>
      </c>
      <c r="F2524" s="0" t="s">
        <v>90</v>
      </c>
      <c r="G2524" s="0" t="s">
        <v>26</v>
      </c>
      <c r="H2524" s="0" t="n">
        <v>56</v>
      </c>
      <c r="I2524" s="0" t="s">
        <v>8408</v>
      </c>
      <c r="J2524" s="0" t="s">
        <v>8409</v>
      </c>
      <c r="K2524" s="0" t="s">
        <v>8410</v>
      </c>
      <c r="L2524" s="0" t="str">
        <f aca="false">HYPERLINK("https://www.ncbi.nlm.nih.gov/nuccore/CP000304.1?report=graph&amp;tracks=[key:gene_model_track,Options:GeneOnly]&amp;mk=749802:749821|offset_21|444444,749767:749786|offset_56|00cc00,749708:749727|offset_115|444444,749680:749699|offset_143|444444&amp;v=749601:749899&amp;c=444444", "offset 56")</f>
        <v>offset 56</v>
      </c>
    </row>
    <row r="2525" customFormat="false" ht="12.8" hidden="false" customHeight="false" outlineLevel="0" collapsed="false">
      <c r="A2525" s="0" t="s">
        <v>12</v>
      </c>
      <c r="B2525" s="0" t="n">
        <v>749707</v>
      </c>
      <c r="C2525" s="0" t="n">
        <v>749727</v>
      </c>
      <c r="D2525" s="0" t="s">
        <v>8404</v>
      </c>
      <c r="E2525" s="0" t="s">
        <v>89</v>
      </c>
      <c r="F2525" s="0" t="s">
        <v>90</v>
      </c>
      <c r="G2525" s="0" t="s">
        <v>32</v>
      </c>
      <c r="H2525" s="0" t="n">
        <v>115</v>
      </c>
      <c r="I2525" s="0" t="s">
        <v>8411</v>
      </c>
      <c r="J2525" s="0" t="s">
        <v>8412</v>
      </c>
      <c r="K2525" s="0" t="s">
        <v>8413</v>
      </c>
      <c r="L2525" s="0" t="str">
        <f aca="false">HYPERLINK("https://www.ncbi.nlm.nih.gov/nuccore/CP000304.1?report=graph&amp;tracks=[key:gene_model_track,Options:GeneOnly]&amp;mk=749802:749821|offset_21|444444,749767:749786|offset_56|444444,749708:749727|offset_115|00cc00,749680:749699|offset_143|444444&amp;v=749601:749899&amp;c=444444", "offset 115")</f>
        <v>offset 115</v>
      </c>
    </row>
    <row r="2526" customFormat="false" ht="12.8" hidden="false" customHeight="false" outlineLevel="0" collapsed="false">
      <c r="A2526" s="0" t="s">
        <v>12</v>
      </c>
      <c r="B2526" s="0" t="n">
        <v>749679</v>
      </c>
      <c r="C2526" s="0" t="n">
        <v>749699</v>
      </c>
      <c r="D2526" s="0" t="s">
        <v>8404</v>
      </c>
      <c r="E2526" s="0" t="s">
        <v>89</v>
      </c>
      <c r="F2526" s="0" t="s">
        <v>90</v>
      </c>
      <c r="G2526" s="0" t="s">
        <v>26</v>
      </c>
      <c r="H2526" s="0" t="n">
        <v>143</v>
      </c>
      <c r="I2526" s="0" t="s">
        <v>8414</v>
      </c>
      <c r="J2526" s="0" t="s">
        <v>8415</v>
      </c>
      <c r="K2526" s="0" t="s">
        <v>8416</v>
      </c>
      <c r="L2526" s="0" t="str">
        <f aca="false">HYPERLINK("https://www.ncbi.nlm.nih.gov/nuccore/CP000304.1?report=graph&amp;tracks=[key:gene_model_track,Options:GeneOnly]&amp;mk=749802:749821|offset_21|444444,749767:749786|offset_56|444444,749708:749727|offset_115|444444,749680:749699|offset_143|00cc00&amp;v=749601:749899&amp;c=444444", "offset 143")</f>
        <v>offset 143</v>
      </c>
    </row>
    <row r="2527" customFormat="false" ht="12.8" hidden="false" customHeight="false" outlineLevel="0" collapsed="false">
      <c r="A2527" s="0" t="s">
        <v>12</v>
      </c>
      <c r="B2527" s="0" t="n">
        <v>750000</v>
      </c>
      <c r="C2527" s="0" t="n">
        <v>750020</v>
      </c>
      <c r="D2527" s="0" t="s">
        <v>8417</v>
      </c>
      <c r="E2527" s="0" t="s">
        <v>89</v>
      </c>
      <c r="F2527" s="0" t="s">
        <v>15</v>
      </c>
      <c r="G2527" s="0" t="s">
        <v>32</v>
      </c>
      <c r="H2527" s="0" t="n">
        <v>55</v>
      </c>
      <c r="I2527" s="0" t="s">
        <v>8418</v>
      </c>
      <c r="J2527" s="0" t="s">
        <v>8419</v>
      </c>
      <c r="K2527" s="0" t="s">
        <v>8420</v>
      </c>
      <c r="L2527" s="0" t="str">
        <f aca="false">HYPERLINK("https://www.ncbi.nlm.nih.gov/nuccore/CP000304.1?report=graph&amp;tracks=[key:gene_model_track,Options:GeneOnly]&amp;mk=750001:750020|offset_55|00cc00,750062:750081|offset_116|444444,750134:750153|offset_188|444444&amp;v=749800:750353&amp;c=444444", "offset 55")</f>
        <v>offset 55</v>
      </c>
    </row>
    <row r="2528" customFormat="false" ht="12.8" hidden="false" customHeight="false" outlineLevel="0" collapsed="false">
      <c r="A2528" s="0" t="s">
        <v>12</v>
      </c>
      <c r="B2528" s="0" t="n">
        <v>750061</v>
      </c>
      <c r="C2528" s="0" t="n">
        <v>750081</v>
      </c>
      <c r="D2528" s="0" t="s">
        <v>8417</v>
      </c>
      <c r="E2528" s="0" t="s">
        <v>89</v>
      </c>
      <c r="F2528" s="0" t="s">
        <v>15</v>
      </c>
      <c r="G2528" s="0" t="s">
        <v>16</v>
      </c>
      <c r="H2528" s="0" t="n">
        <v>116</v>
      </c>
      <c r="I2528" s="0" t="s">
        <v>8421</v>
      </c>
      <c r="J2528" s="0" t="s">
        <v>8422</v>
      </c>
      <c r="K2528" s="0" t="s">
        <v>8423</v>
      </c>
      <c r="L2528" s="0" t="str">
        <f aca="false">HYPERLINK("https://www.ncbi.nlm.nih.gov/nuccore/CP000304.1?report=graph&amp;tracks=[key:gene_model_track,Options:GeneOnly]&amp;mk=750001:750020|offset_55|444444,750062:750081|offset_116|00cc00,750134:750153|offset_188|444444&amp;v=749800:750353&amp;c=444444", "offset 116")</f>
        <v>offset 116</v>
      </c>
    </row>
    <row r="2529" customFormat="false" ht="12.8" hidden="false" customHeight="false" outlineLevel="0" collapsed="false">
      <c r="A2529" s="0" t="s">
        <v>12</v>
      </c>
      <c r="B2529" s="0" t="n">
        <v>750133</v>
      </c>
      <c r="C2529" s="0" t="n">
        <v>750153</v>
      </c>
      <c r="D2529" s="0" t="s">
        <v>8417</v>
      </c>
      <c r="E2529" s="0" t="s">
        <v>89</v>
      </c>
      <c r="F2529" s="0" t="s">
        <v>15</v>
      </c>
      <c r="G2529" s="0" t="s">
        <v>36</v>
      </c>
      <c r="H2529" s="0" t="n">
        <v>188</v>
      </c>
      <c r="I2529" s="0" t="s">
        <v>8424</v>
      </c>
      <c r="J2529" s="0" t="s">
        <v>8425</v>
      </c>
      <c r="K2529" s="0" t="s">
        <v>8426</v>
      </c>
      <c r="L2529" s="0" t="str">
        <f aca="false">HYPERLINK("https://www.ncbi.nlm.nih.gov/nuccore/CP000304.1?report=graph&amp;tracks=[key:gene_model_track,Options:GeneOnly]&amp;mk=750001:750020|offset_55|444444,750062:750081|offset_116|444444,750134:750153|offset_188|00cc00&amp;v=749800:750353&amp;c=444444", "offset 188")</f>
        <v>offset 188</v>
      </c>
    </row>
    <row r="2530" customFormat="false" ht="12.8" hidden="false" customHeight="false" outlineLevel="0" collapsed="false">
      <c r="A2530" s="0" t="s">
        <v>12</v>
      </c>
      <c r="B2530" s="0" t="n">
        <v>750402</v>
      </c>
      <c r="C2530" s="0" t="n">
        <v>750422</v>
      </c>
      <c r="D2530" s="0" t="s">
        <v>8427</v>
      </c>
      <c r="E2530" s="0" t="s">
        <v>89</v>
      </c>
      <c r="F2530" s="0" t="s">
        <v>15</v>
      </c>
      <c r="G2530" s="0" t="s">
        <v>32</v>
      </c>
      <c r="H2530" s="0" t="n">
        <v>32</v>
      </c>
      <c r="I2530" s="0" t="s">
        <v>8428</v>
      </c>
      <c r="J2530" s="0" t="s">
        <v>8429</v>
      </c>
      <c r="K2530" s="0" t="s">
        <v>8430</v>
      </c>
      <c r="L2530" s="0" t="str">
        <f aca="false">HYPERLINK("https://www.ncbi.nlm.nih.gov/nuccore/CP000304.1?report=graph&amp;tracks=[key:gene_model_track,Options:GeneOnly]&amp;mk=750403:750422|offset_32|00cc00,750462:750481|offset_91|444444,750486:750505|offset_115|444444,750517:750536|offset_146|444444&amp;v=750202:750736&amp;c=444444", "offset 32")</f>
        <v>offset 32</v>
      </c>
    </row>
    <row r="2531" customFormat="false" ht="12.8" hidden="false" customHeight="false" outlineLevel="0" collapsed="false">
      <c r="A2531" s="0" t="s">
        <v>12</v>
      </c>
      <c r="B2531" s="0" t="n">
        <v>750461</v>
      </c>
      <c r="C2531" s="0" t="n">
        <v>750481</v>
      </c>
      <c r="D2531" s="0" t="s">
        <v>8427</v>
      </c>
      <c r="E2531" s="0" t="s">
        <v>89</v>
      </c>
      <c r="F2531" s="0" t="s">
        <v>15</v>
      </c>
      <c r="G2531" s="0" t="s">
        <v>32</v>
      </c>
      <c r="H2531" s="0" t="n">
        <v>91</v>
      </c>
      <c r="I2531" s="0" t="s">
        <v>8431</v>
      </c>
      <c r="J2531" s="0" t="s">
        <v>8432</v>
      </c>
      <c r="K2531" s="0" t="s">
        <v>8433</v>
      </c>
      <c r="L2531" s="0" t="str">
        <f aca="false">HYPERLINK("https://www.ncbi.nlm.nih.gov/nuccore/CP000304.1?report=graph&amp;tracks=[key:gene_model_track,Options:GeneOnly]&amp;mk=750403:750422|offset_32|444444,750462:750481|offset_91|00cc00,750486:750505|offset_115|444444,750517:750536|offset_146|444444&amp;v=750202:750736&amp;c=444444", "offset 91")</f>
        <v>offset 91</v>
      </c>
    </row>
    <row r="2532" customFormat="false" ht="12.8" hidden="false" customHeight="false" outlineLevel="0" collapsed="false">
      <c r="A2532" s="0" t="s">
        <v>12</v>
      </c>
      <c r="B2532" s="0" t="n">
        <v>750485</v>
      </c>
      <c r="C2532" s="0" t="n">
        <v>750505</v>
      </c>
      <c r="D2532" s="0" t="s">
        <v>8427</v>
      </c>
      <c r="E2532" s="0" t="s">
        <v>89</v>
      </c>
      <c r="F2532" s="0" t="s">
        <v>15</v>
      </c>
      <c r="G2532" s="0" t="s">
        <v>26</v>
      </c>
      <c r="H2532" s="0" t="n">
        <v>115</v>
      </c>
      <c r="I2532" s="0" t="s">
        <v>8434</v>
      </c>
      <c r="J2532" s="0" t="s">
        <v>8435</v>
      </c>
      <c r="K2532" s="0" t="s">
        <v>8436</v>
      </c>
      <c r="L2532" s="0" t="str">
        <f aca="false">HYPERLINK("https://www.ncbi.nlm.nih.gov/nuccore/CP000304.1?report=graph&amp;tracks=[key:gene_model_track,Options:GeneOnly]&amp;mk=750403:750422|offset_32|444444,750462:750481|offset_91|444444,750486:750505|offset_115|00cc00,750517:750536|offset_146|444444&amp;v=750202:750736&amp;c=444444", "offset 115")</f>
        <v>offset 115</v>
      </c>
    </row>
    <row r="2533" customFormat="false" ht="12.8" hidden="false" customHeight="false" outlineLevel="0" collapsed="false">
      <c r="A2533" s="0" t="s">
        <v>12</v>
      </c>
      <c r="B2533" s="0" t="n">
        <v>750516</v>
      </c>
      <c r="C2533" s="0" t="n">
        <v>750536</v>
      </c>
      <c r="D2533" s="0" t="s">
        <v>8427</v>
      </c>
      <c r="E2533" s="0" t="s">
        <v>89</v>
      </c>
      <c r="F2533" s="0" t="s">
        <v>15</v>
      </c>
      <c r="G2533" s="0" t="s">
        <v>16</v>
      </c>
      <c r="H2533" s="0" t="n">
        <v>146</v>
      </c>
      <c r="I2533" s="0" t="s">
        <v>8437</v>
      </c>
      <c r="J2533" s="0" t="s">
        <v>8438</v>
      </c>
      <c r="K2533" s="0" t="s">
        <v>8439</v>
      </c>
      <c r="L2533" s="0" t="str">
        <f aca="false">HYPERLINK("https://www.ncbi.nlm.nih.gov/nuccore/CP000304.1?report=graph&amp;tracks=[key:gene_model_track,Options:GeneOnly]&amp;mk=750403:750422|offset_32|444444,750462:750481|offset_91|444444,750486:750505|offset_115|444444,750517:750536|offset_146|00cc00&amp;v=750202:750736&amp;c=444444", "offset 146")</f>
        <v>offset 146</v>
      </c>
    </row>
    <row r="2534" customFormat="false" ht="12.8" hidden="false" customHeight="false" outlineLevel="0" collapsed="false">
      <c r="A2534" s="0" t="s">
        <v>12</v>
      </c>
      <c r="B2534" s="0" t="n">
        <v>754044</v>
      </c>
      <c r="C2534" s="0" t="n">
        <v>754064</v>
      </c>
      <c r="D2534" s="0" t="s">
        <v>8440</v>
      </c>
      <c r="E2534" s="0" t="s">
        <v>89</v>
      </c>
      <c r="F2534" s="0" t="s">
        <v>15</v>
      </c>
      <c r="G2534" s="0" t="s">
        <v>32</v>
      </c>
      <c r="H2534" s="0" t="n">
        <v>10</v>
      </c>
      <c r="I2534" s="0" t="s">
        <v>8441</v>
      </c>
      <c r="J2534" s="0" t="s">
        <v>8442</v>
      </c>
      <c r="K2534" s="0" t="s">
        <v>8443</v>
      </c>
      <c r="L2534" s="0" t="str">
        <f aca="false">HYPERLINK("https://www.ncbi.nlm.nih.gov/nuccore/CP000304.1?report=graph&amp;tracks=[key:gene_model_track,Options:GeneOnly]&amp;mk=754045:754064|offset_10|00cc00,754065:754084|offset_30|444444,754088:754107|offset_53|444444,754124:754143|offset_89|444444&amp;v=753844:754343&amp;c=444444", "offset 10")</f>
        <v>offset 10</v>
      </c>
    </row>
    <row r="2535" customFormat="false" ht="12.8" hidden="false" customHeight="false" outlineLevel="0" collapsed="false">
      <c r="A2535" s="0" t="s">
        <v>12</v>
      </c>
      <c r="B2535" s="0" t="n">
        <v>754064</v>
      </c>
      <c r="C2535" s="0" t="n">
        <v>754084</v>
      </c>
      <c r="D2535" s="0" t="s">
        <v>8440</v>
      </c>
      <c r="E2535" s="0" t="s">
        <v>89</v>
      </c>
      <c r="F2535" s="0" t="s">
        <v>15</v>
      </c>
      <c r="G2535" s="0" t="s">
        <v>36</v>
      </c>
      <c r="H2535" s="0" t="n">
        <v>30</v>
      </c>
      <c r="I2535" s="0" t="s">
        <v>8444</v>
      </c>
      <c r="J2535" s="0" t="s">
        <v>8445</v>
      </c>
      <c r="K2535" s="0" t="s">
        <v>8446</v>
      </c>
      <c r="L2535" s="0" t="str">
        <f aca="false">HYPERLINK("https://www.ncbi.nlm.nih.gov/nuccore/CP000304.1?report=graph&amp;tracks=[key:gene_model_track,Options:GeneOnly]&amp;mk=754045:754064|offset_10|444444,754065:754084|offset_30|00cc00,754088:754107|offset_53|444444,754124:754143|offset_89|444444&amp;v=753844:754343&amp;c=444444", "offset 30")</f>
        <v>offset 30</v>
      </c>
    </row>
    <row r="2536" customFormat="false" ht="12.8" hidden="false" customHeight="false" outlineLevel="0" collapsed="false">
      <c r="A2536" s="0" t="s">
        <v>12</v>
      </c>
      <c r="B2536" s="0" t="n">
        <v>754087</v>
      </c>
      <c r="C2536" s="0" t="n">
        <v>754107</v>
      </c>
      <c r="D2536" s="0" t="s">
        <v>8440</v>
      </c>
      <c r="E2536" s="0" t="s">
        <v>89</v>
      </c>
      <c r="F2536" s="0" t="s">
        <v>15</v>
      </c>
      <c r="G2536" s="0" t="s">
        <v>26</v>
      </c>
      <c r="H2536" s="0" t="n">
        <v>53</v>
      </c>
      <c r="I2536" s="0" t="s">
        <v>8447</v>
      </c>
      <c r="J2536" s="0" t="s">
        <v>8448</v>
      </c>
      <c r="K2536" s="0" t="s">
        <v>8449</v>
      </c>
      <c r="L2536" s="0" t="str">
        <f aca="false">HYPERLINK("https://www.ncbi.nlm.nih.gov/nuccore/CP000304.1?report=graph&amp;tracks=[key:gene_model_track,Options:GeneOnly]&amp;mk=754045:754064|offset_10|444444,754065:754084|offset_30|444444,754088:754107|offset_53|00cc00,754124:754143|offset_89|444444&amp;v=753844:754343&amp;c=444444", "offset 53")</f>
        <v>offset 53</v>
      </c>
    </row>
    <row r="2537" customFormat="false" ht="12.8" hidden="false" customHeight="false" outlineLevel="0" collapsed="false">
      <c r="A2537" s="0" t="s">
        <v>12</v>
      </c>
      <c r="B2537" s="0" t="n">
        <v>754123</v>
      </c>
      <c r="C2537" s="0" t="n">
        <v>754143</v>
      </c>
      <c r="D2537" s="0" t="s">
        <v>8440</v>
      </c>
      <c r="E2537" s="0" t="s">
        <v>89</v>
      </c>
      <c r="F2537" s="0" t="s">
        <v>15</v>
      </c>
      <c r="G2537" s="0" t="s">
        <v>26</v>
      </c>
      <c r="H2537" s="0" t="n">
        <v>89</v>
      </c>
      <c r="I2537" s="0" t="s">
        <v>8450</v>
      </c>
      <c r="J2537" s="0" t="s">
        <v>8451</v>
      </c>
      <c r="K2537" s="0" t="s">
        <v>8452</v>
      </c>
      <c r="L2537" s="0" t="str">
        <f aca="false">HYPERLINK("https://www.ncbi.nlm.nih.gov/nuccore/CP000304.1?report=graph&amp;tracks=[key:gene_model_track,Options:GeneOnly]&amp;mk=754045:754064|offset_10|444444,754065:754084|offset_30|444444,754088:754107|offset_53|444444,754124:754143|offset_89|00cc00&amp;v=753844:754343&amp;c=444444", "offset 89")</f>
        <v>offset 89</v>
      </c>
    </row>
    <row r="2538" customFormat="false" ht="12.8" hidden="false" customHeight="false" outlineLevel="0" collapsed="false">
      <c r="A2538" s="0" t="s">
        <v>12</v>
      </c>
      <c r="B2538" s="0" t="n">
        <v>755369</v>
      </c>
      <c r="C2538" s="0" t="n">
        <v>755389</v>
      </c>
      <c r="D2538" s="0" t="s">
        <v>8453</v>
      </c>
      <c r="E2538" s="0" t="s">
        <v>89</v>
      </c>
      <c r="F2538" s="0" t="s">
        <v>15</v>
      </c>
      <c r="G2538" s="0" t="s">
        <v>16</v>
      </c>
      <c r="H2538" s="0" t="n">
        <v>147</v>
      </c>
      <c r="I2538" s="0" t="s">
        <v>8454</v>
      </c>
      <c r="J2538" s="0" t="s">
        <v>8455</v>
      </c>
      <c r="K2538" s="0" t="s">
        <v>8456</v>
      </c>
      <c r="L2538" s="0" t="str">
        <f aca="false">HYPERLINK("https://www.ncbi.nlm.nih.gov/nuccore/CP000304.1?report=graph&amp;tracks=[key:gene_model_track,Options:GeneOnly]&amp;mk=755370:755389|offset_147|00cc00,755464:755483|offset_241|444444,755495:755514|offset_272|444444,755594:755613|offset_371|444444&amp;v=755169:755813&amp;c=444444", "offset 147")</f>
        <v>offset 147</v>
      </c>
    </row>
    <row r="2539" customFormat="false" ht="12.8" hidden="false" customHeight="false" outlineLevel="0" collapsed="false">
      <c r="A2539" s="0" t="s">
        <v>12</v>
      </c>
      <c r="B2539" s="0" t="n">
        <v>755463</v>
      </c>
      <c r="C2539" s="0" t="n">
        <v>755483</v>
      </c>
      <c r="D2539" s="0" t="s">
        <v>8453</v>
      </c>
      <c r="E2539" s="0" t="s">
        <v>89</v>
      </c>
      <c r="F2539" s="0" t="s">
        <v>15</v>
      </c>
      <c r="G2539" s="0" t="s">
        <v>32</v>
      </c>
      <c r="H2539" s="0" t="n">
        <v>241</v>
      </c>
      <c r="I2539" s="0" t="s">
        <v>8457</v>
      </c>
      <c r="J2539" s="0" t="s">
        <v>8458</v>
      </c>
      <c r="K2539" s="0" t="s">
        <v>8459</v>
      </c>
      <c r="L2539" s="0" t="str">
        <f aca="false">HYPERLINK("https://www.ncbi.nlm.nih.gov/nuccore/CP000304.1?report=graph&amp;tracks=[key:gene_model_track,Options:GeneOnly]&amp;mk=755370:755389|offset_147|444444,755464:755483|offset_241|00cc00,755495:755514|offset_272|444444,755594:755613|offset_371|444444&amp;v=755169:755813&amp;c=444444", "offset 241")</f>
        <v>offset 241</v>
      </c>
    </row>
    <row r="2540" customFormat="false" ht="12.8" hidden="false" customHeight="false" outlineLevel="0" collapsed="false">
      <c r="A2540" s="0" t="s">
        <v>12</v>
      </c>
      <c r="B2540" s="0" t="n">
        <v>755494</v>
      </c>
      <c r="C2540" s="0" t="n">
        <v>755514</v>
      </c>
      <c r="D2540" s="0" t="s">
        <v>8453</v>
      </c>
      <c r="E2540" s="0" t="s">
        <v>89</v>
      </c>
      <c r="F2540" s="0" t="s">
        <v>15</v>
      </c>
      <c r="G2540" s="0" t="s">
        <v>26</v>
      </c>
      <c r="H2540" s="0" t="n">
        <v>272</v>
      </c>
      <c r="I2540" s="0" t="s">
        <v>8460</v>
      </c>
      <c r="J2540" s="0" t="s">
        <v>8461</v>
      </c>
      <c r="K2540" s="0" t="s">
        <v>8462</v>
      </c>
      <c r="L2540" s="0" t="str">
        <f aca="false">HYPERLINK("https://www.ncbi.nlm.nih.gov/nuccore/CP000304.1?report=graph&amp;tracks=[key:gene_model_track,Options:GeneOnly]&amp;mk=755370:755389|offset_147|444444,755464:755483|offset_241|444444,755495:755514|offset_272|00cc00,755594:755613|offset_371|444444&amp;v=755169:755813&amp;c=444444", "offset 272")</f>
        <v>offset 272</v>
      </c>
    </row>
    <row r="2541" customFormat="false" ht="12.8" hidden="false" customHeight="false" outlineLevel="0" collapsed="false">
      <c r="A2541" s="0" t="s">
        <v>12</v>
      </c>
      <c r="B2541" s="0" t="n">
        <v>755593</v>
      </c>
      <c r="C2541" s="0" t="n">
        <v>755613</v>
      </c>
      <c r="D2541" s="0" t="s">
        <v>8453</v>
      </c>
      <c r="E2541" s="0" t="s">
        <v>89</v>
      </c>
      <c r="F2541" s="0" t="s">
        <v>15</v>
      </c>
      <c r="G2541" s="0" t="s">
        <v>26</v>
      </c>
      <c r="H2541" s="0" t="n">
        <v>371</v>
      </c>
      <c r="I2541" s="0" t="s">
        <v>8463</v>
      </c>
      <c r="J2541" s="0" t="s">
        <v>8464</v>
      </c>
      <c r="K2541" s="0" t="s">
        <v>8465</v>
      </c>
      <c r="L2541" s="0" t="str">
        <f aca="false">HYPERLINK("https://www.ncbi.nlm.nih.gov/nuccore/CP000304.1?report=graph&amp;tracks=[key:gene_model_track,Options:GeneOnly]&amp;mk=755370:755389|offset_147|444444,755464:755483|offset_241|444444,755495:755514|offset_272|444444,755594:755613|offset_371|00cc00&amp;v=755169:755813&amp;c=444444", "offset 371")</f>
        <v>offset 371</v>
      </c>
    </row>
    <row r="2542" customFormat="false" ht="12.8" hidden="false" customHeight="false" outlineLevel="0" collapsed="false">
      <c r="A2542" s="0" t="s">
        <v>12</v>
      </c>
      <c r="B2542" s="0" t="n">
        <v>757984</v>
      </c>
      <c r="C2542" s="0" t="n">
        <v>758004</v>
      </c>
      <c r="D2542" s="0" t="s">
        <v>8466</v>
      </c>
      <c r="E2542" s="0" t="s">
        <v>89</v>
      </c>
      <c r="F2542" s="0" t="s">
        <v>15</v>
      </c>
      <c r="G2542" s="0" t="s">
        <v>32</v>
      </c>
      <c r="H2542" s="0" t="n">
        <v>28</v>
      </c>
      <c r="I2542" s="0" t="s">
        <v>8467</v>
      </c>
      <c r="J2542" s="0" t="s">
        <v>8468</v>
      </c>
      <c r="K2542" s="0" t="s">
        <v>8469</v>
      </c>
      <c r="L2542" s="0" t="str">
        <f aca="false">HYPERLINK("https://www.ncbi.nlm.nih.gov/nuccore/CP000304.1?report=graph&amp;tracks=[key:gene_model_track,Options:GeneOnly]&amp;mk=757985:758004|offset_28|00cc00,758063:758082|offset_106|444444,758120:758139|offset_163|444444,758340:758359|offset_383|444444&amp;v=757784:758559&amp;c=444444", "offset 28")</f>
        <v>offset 28</v>
      </c>
    </row>
    <row r="2543" customFormat="false" ht="12.8" hidden="false" customHeight="false" outlineLevel="0" collapsed="false">
      <c r="A2543" s="0" t="s">
        <v>12</v>
      </c>
      <c r="B2543" s="0" t="n">
        <v>758062</v>
      </c>
      <c r="C2543" s="0" t="n">
        <v>758082</v>
      </c>
      <c r="D2543" s="0" t="s">
        <v>8466</v>
      </c>
      <c r="E2543" s="0" t="s">
        <v>89</v>
      </c>
      <c r="F2543" s="0" t="s">
        <v>15</v>
      </c>
      <c r="G2543" s="0" t="s">
        <v>16</v>
      </c>
      <c r="H2543" s="0" t="n">
        <v>106</v>
      </c>
      <c r="I2543" s="0" t="s">
        <v>8470</v>
      </c>
      <c r="J2543" s="0" t="s">
        <v>8471</v>
      </c>
      <c r="K2543" s="0" t="s">
        <v>8472</v>
      </c>
      <c r="L2543" s="0" t="str">
        <f aca="false">HYPERLINK("https://www.ncbi.nlm.nih.gov/nuccore/CP000304.1?report=graph&amp;tracks=[key:gene_model_track,Options:GeneOnly]&amp;mk=757985:758004|offset_28|444444,758063:758082|offset_106|00cc00,758120:758139|offset_163|444444,758340:758359|offset_383|444444&amp;v=757784:758559&amp;c=444444", "offset 106")</f>
        <v>offset 106</v>
      </c>
    </row>
    <row r="2544" customFormat="false" ht="12.8" hidden="false" customHeight="false" outlineLevel="0" collapsed="false">
      <c r="A2544" s="0" t="s">
        <v>12</v>
      </c>
      <c r="B2544" s="0" t="n">
        <v>758119</v>
      </c>
      <c r="C2544" s="0" t="n">
        <v>758139</v>
      </c>
      <c r="D2544" s="0" t="s">
        <v>8466</v>
      </c>
      <c r="E2544" s="0" t="s">
        <v>89</v>
      </c>
      <c r="F2544" s="0" t="s">
        <v>15</v>
      </c>
      <c r="G2544" s="0" t="s">
        <v>36</v>
      </c>
      <c r="H2544" s="0" t="n">
        <v>163</v>
      </c>
      <c r="I2544" s="0" t="s">
        <v>8473</v>
      </c>
      <c r="J2544" s="0" t="s">
        <v>8474</v>
      </c>
      <c r="K2544" s="0" t="s">
        <v>8475</v>
      </c>
      <c r="L2544" s="0" t="str">
        <f aca="false">HYPERLINK("https://www.ncbi.nlm.nih.gov/nuccore/CP000304.1?report=graph&amp;tracks=[key:gene_model_track,Options:GeneOnly]&amp;mk=757985:758004|offset_28|444444,758063:758082|offset_106|444444,758120:758139|offset_163|00cc00,758340:758359|offset_383|444444&amp;v=757784:758559&amp;c=444444", "offset 163")</f>
        <v>offset 163</v>
      </c>
    </row>
    <row r="2545" customFormat="false" ht="12.8" hidden="false" customHeight="false" outlineLevel="0" collapsed="false">
      <c r="A2545" s="0" t="s">
        <v>12</v>
      </c>
      <c r="B2545" s="0" t="n">
        <v>758339</v>
      </c>
      <c r="C2545" s="0" t="n">
        <v>758359</v>
      </c>
      <c r="D2545" s="0" t="s">
        <v>8466</v>
      </c>
      <c r="E2545" s="0" t="s">
        <v>89</v>
      </c>
      <c r="F2545" s="0" t="s">
        <v>15</v>
      </c>
      <c r="G2545" s="0" t="s">
        <v>16</v>
      </c>
      <c r="H2545" s="0" t="n">
        <v>383</v>
      </c>
      <c r="I2545" s="0" t="s">
        <v>8476</v>
      </c>
      <c r="J2545" s="0" t="s">
        <v>8477</v>
      </c>
      <c r="K2545" s="0" t="s">
        <v>8478</v>
      </c>
      <c r="L2545" s="0" t="str">
        <f aca="false">HYPERLINK("https://www.ncbi.nlm.nih.gov/nuccore/CP000304.1?report=graph&amp;tracks=[key:gene_model_track,Options:GeneOnly]&amp;mk=757985:758004|offset_28|444444,758063:758082|offset_106|444444,758120:758139|offset_163|444444,758340:758359|offset_383|00cc00&amp;v=757784:758559&amp;c=444444", "offset 383")</f>
        <v>offset 383</v>
      </c>
    </row>
    <row r="2546" customFormat="false" ht="12.8" hidden="false" customHeight="false" outlineLevel="0" collapsed="false">
      <c r="A2546" s="0" t="s">
        <v>12</v>
      </c>
      <c r="B2546" s="0" t="n">
        <v>758572</v>
      </c>
      <c r="C2546" s="0" t="n">
        <v>758592</v>
      </c>
      <c r="D2546" s="0" t="s">
        <v>8479</v>
      </c>
      <c r="E2546" s="0" t="s">
        <v>89</v>
      </c>
      <c r="F2546" s="0" t="s">
        <v>15</v>
      </c>
      <c r="G2546" s="0" t="s">
        <v>16</v>
      </c>
      <c r="H2546" s="0" t="n">
        <v>23</v>
      </c>
      <c r="I2546" s="0" t="s">
        <v>8480</v>
      </c>
      <c r="J2546" s="0" t="s">
        <v>8481</v>
      </c>
      <c r="K2546" s="0" t="s">
        <v>8482</v>
      </c>
      <c r="L2546" s="0" t="str">
        <f aca="false">HYPERLINK("https://www.ncbi.nlm.nih.gov/nuccore/CP000304.1?report=graph&amp;tracks=[key:gene_model_track,Options:GeneOnly]&amp;mk=758573:758592|offset_23|00cc00,758605:758624|offset_55|444444,758692:758711|offset_142|444444,758749:758768|offset_199|444444&amp;v=758372:758968&amp;c=444444", "offset 23")</f>
        <v>offset 23</v>
      </c>
    </row>
    <row r="2547" customFormat="false" ht="12.8" hidden="false" customHeight="false" outlineLevel="0" collapsed="false">
      <c r="A2547" s="0" t="s">
        <v>12</v>
      </c>
      <c r="B2547" s="0" t="n">
        <v>758604</v>
      </c>
      <c r="C2547" s="0" t="n">
        <v>758624</v>
      </c>
      <c r="D2547" s="0" t="s">
        <v>8479</v>
      </c>
      <c r="E2547" s="0" t="s">
        <v>89</v>
      </c>
      <c r="F2547" s="0" t="s">
        <v>15</v>
      </c>
      <c r="G2547" s="0" t="s">
        <v>16</v>
      </c>
      <c r="H2547" s="0" t="n">
        <v>55</v>
      </c>
      <c r="I2547" s="0" t="s">
        <v>8483</v>
      </c>
      <c r="J2547" s="0" t="s">
        <v>8484</v>
      </c>
      <c r="K2547" s="0" t="s">
        <v>8485</v>
      </c>
      <c r="L2547" s="0" t="str">
        <f aca="false">HYPERLINK("https://www.ncbi.nlm.nih.gov/nuccore/CP000304.1?report=graph&amp;tracks=[key:gene_model_track,Options:GeneOnly]&amp;mk=758573:758592|offset_23|444444,758605:758624|offset_55|00cc00,758692:758711|offset_142|444444,758749:758768|offset_199|444444&amp;v=758372:758968&amp;c=444444", "offset 55")</f>
        <v>offset 55</v>
      </c>
    </row>
    <row r="2548" customFormat="false" ht="12.8" hidden="false" customHeight="false" outlineLevel="0" collapsed="false">
      <c r="A2548" s="0" t="s">
        <v>12</v>
      </c>
      <c r="B2548" s="0" t="n">
        <v>758691</v>
      </c>
      <c r="C2548" s="0" t="n">
        <v>758711</v>
      </c>
      <c r="D2548" s="0" t="s">
        <v>8479</v>
      </c>
      <c r="E2548" s="0" t="s">
        <v>89</v>
      </c>
      <c r="F2548" s="0" t="s">
        <v>15</v>
      </c>
      <c r="G2548" s="0" t="s">
        <v>26</v>
      </c>
      <c r="H2548" s="0" t="n">
        <v>142</v>
      </c>
      <c r="I2548" s="0" t="s">
        <v>8486</v>
      </c>
      <c r="J2548" s="0" t="s">
        <v>8487</v>
      </c>
      <c r="K2548" s="0" t="s">
        <v>8488</v>
      </c>
      <c r="L2548" s="0" t="str">
        <f aca="false">HYPERLINK("https://www.ncbi.nlm.nih.gov/nuccore/CP000304.1?report=graph&amp;tracks=[key:gene_model_track,Options:GeneOnly]&amp;mk=758573:758592|offset_23|444444,758605:758624|offset_55|444444,758692:758711|offset_142|00cc00,758749:758768|offset_199|444444&amp;v=758372:758968&amp;c=444444", "offset 142")</f>
        <v>offset 142</v>
      </c>
    </row>
    <row r="2549" customFormat="false" ht="12.8" hidden="false" customHeight="false" outlineLevel="0" collapsed="false">
      <c r="A2549" s="0" t="s">
        <v>12</v>
      </c>
      <c r="B2549" s="0" t="n">
        <v>758748</v>
      </c>
      <c r="C2549" s="0" t="n">
        <v>758768</v>
      </c>
      <c r="D2549" s="0" t="s">
        <v>8479</v>
      </c>
      <c r="E2549" s="0" t="s">
        <v>89</v>
      </c>
      <c r="F2549" s="0" t="s">
        <v>15</v>
      </c>
      <c r="G2549" s="0" t="s">
        <v>32</v>
      </c>
      <c r="H2549" s="0" t="n">
        <v>199</v>
      </c>
      <c r="I2549" s="0" t="s">
        <v>8489</v>
      </c>
      <c r="J2549" s="0" t="s">
        <v>8490</v>
      </c>
      <c r="K2549" s="0" t="s">
        <v>8491</v>
      </c>
      <c r="L2549" s="0" t="str">
        <f aca="false">HYPERLINK("https://www.ncbi.nlm.nih.gov/nuccore/CP000304.1?report=graph&amp;tracks=[key:gene_model_track,Options:GeneOnly]&amp;mk=758573:758592|offset_23|444444,758605:758624|offset_55|444444,758692:758711|offset_142|444444,758749:758768|offset_199|00cc00&amp;v=758372:758968&amp;c=444444", "offset 199")</f>
        <v>offset 199</v>
      </c>
    </row>
    <row r="2550" customFormat="false" ht="12.8" hidden="false" customHeight="false" outlineLevel="0" collapsed="false">
      <c r="A2550" s="0" t="s">
        <v>12</v>
      </c>
      <c r="B2550" s="0" t="n">
        <v>759395</v>
      </c>
      <c r="C2550" s="0" t="n">
        <v>759415</v>
      </c>
      <c r="D2550" s="0" t="s">
        <v>8492</v>
      </c>
      <c r="E2550" s="0" t="s">
        <v>89</v>
      </c>
      <c r="F2550" s="0" t="s">
        <v>15</v>
      </c>
      <c r="G2550" s="0" t="s">
        <v>16</v>
      </c>
      <c r="H2550" s="0" t="n">
        <v>85</v>
      </c>
      <c r="I2550" s="0" t="s">
        <v>8493</v>
      </c>
      <c r="J2550" s="0" t="s">
        <v>8494</v>
      </c>
      <c r="K2550" s="0" t="s">
        <v>8495</v>
      </c>
      <c r="L2550" s="0" t="str">
        <f aca="false">HYPERLINK("https://www.ncbi.nlm.nih.gov/nuccore/CP000304.1?report=graph&amp;tracks=[key:gene_model_track,Options:GeneOnly]&amp;mk=759396:759415|offset_85|00cc00,759427:759446|offset_116|444444,759459:759478|offset_148|444444,759489:759508|offset_178|444444&amp;v=759195:759708&amp;c=444444", "offset 85")</f>
        <v>offset 85</v>
      </c>
    </row>
    <row r="2551" customFormat="false" ht="12.8" hidden="false" customHeight="false" outlineLevel="0" collapsed="false">
      <c r="A2551" s="0" t="s">
        <v>12</v>
      </c>
      <c r="B2551" s="0" t="n">
        <v>759426</v>
      </c>
      <c r="C2551" s="0" t="n">
        <v>759446</v>
      </c>
      <c r="D2551" s="0" t="s">
        <v>8492</v>
      </c>
      <c r="E2551" s="0" t="s">
        <v>89</v>
      </c>
      <c r="F2551" s="0" t="s">
        <v>15</v>
      </c>
      <c r="G2551" s="0" t="s">
        <v>16</v>
      </c>
      <c r="H2551" s="0" t="n">
        <v>116</v>
      </c>
      <c r="I2551" s="0" t="s">
        <v>8496</v>
      </c>
      <c r="J2551" s="0" t="s">
        <v>8497</v>
      </c>
      <c r="K2551" s="0" t="s">
        <v>8498</v>
      </c>
      <c r="L2551" s="0" t="str">
        <f aca="false">HYPERLINK("https://www.ncbi.nlm.nih.gov/nuccore/CP000304.1?report=graph&amp;tracks=[key:gene_model_track,Options:GeneOnly]&amp;mk=759396:759415|offset_85|444444,759427:759446|offset_116|00cc00,759459:759478|offset_148|444444,759489:759508|offset_178|444444&amp;v=759195:759708&amp;c=444444", "offset 116")</f>
        <v>offset 116</v>
      </c>
    </row>
    <row r="2552" customFormat="false" ht="12.8" hidden="false" customHeight="false" outlineLevel="0" collapsed="false">
      <c r="A2552" s="0" t="s">
        <v>12</v>
      </c>
      <c r="B2552" s="0" t="n">
        <v>759458</v>
      </c>
      <c r="C2552" s="0" t="n">
        <v>759478</v>
      </c>
      <c r="D2552" s="0" t="s">
        <v>8492</v>
      </c>
      <c r="E2552" s="0" t="s">
        <v>89</v>
      </c>
      <c r="F2552" s="0" t="s">
        <v>15</v>
      </c>
      <c r="G2552" s="0" t="s">
        <v>32</v>
      </c>
      <c r="H2552" s="0" t="n">
        <v>148</v>
      </c>
      <c r="I2552" s="0" t="s">
        <v>8499</v>
      </c>
      <c r="J2552" s="0" t="s">
        <v>8500</v>
      </c>
      <c r="K2552" s="0" t="s">
        <v>8501</v>
      </c>
      <c r="L2552" s="0" t="str">
        <f aca="false">HYPERLINK("https://www.ncbi.nlm.nih.gov/nuccore/CP000304.1?report=graph&amp;tracks=[key:gene_model_track,Options:GeneOnly]&amp;mk=759396:759415|offset_85|444444,759427:759446|offset_116|444444,759459:759478|offset_148|00cc00,759489:759508|offset_178|444444&amp;v=759195:759708&amp;c=444444", "offset 148")</f>
        <v>offset 148</v>
      </c>
    </row>
    <row r="2553" customFormat="false" ht="12.8" hidden="false" customHeight="false" outlineLevel="0" collapsed="false">
      <c r="A2553" s="0" t="s">
        <v>12</v>
      </c>
      <c r="B2553" s="0" t="n">
        <v>759488</v>
      </c>
      <c r="C2553" s="0" t="n">
        <v>759508</v>
      </c>
      <c r="D2553" s="0" t="s">
        <v>8492</v>
      </c>
      <c r="E2553" s="0" t="s">
        <v>89</v>
      </c>
      <c r="F2553" s="0" t="s">
        <v>15</v>
      </c>
      <c r="G2553" s="0" t="s">
        <v>16</v>
      </c>
      <c r="H2553" s="0" t="n">
        <v>178</v>
      </c>
      <c r="I2553" s="0" t="s">
        <v>8502</v>
      </c>
      <c r="J2553" s="0" t="s">
        <v>8503</v>
      </c>
      <c r="K2553" s="0" t="s">
        <v>8504</v>
      </c>
      <c r="L2553" s="0" t="str">
        <f aca="false">HYPERLINK("https://www.ncbi.nlm.nih.gov/nuccore/CP000304.1?report=graph&amp;tracks=[key:gene_model_track,Options:GeneOnly]&amp;mk=759396:759415|offset_85|444444,759427:759446|offset_116|444444,759459:759478|offset_148|444444,759489:759508|offset_178|00cc00&amp;v=759195:759708&amp;c=444444", "offset 178")</f>
        <v>offset 178</v>
      </c>
    </row>
    <row r="2554" customFormat="false" ht="12.8" hidden="false" customHeight="false" outlineLevel="0" collapsed="false">
      <c r="A2554" s="0" t="s">
        <v>12</v>
      </c>
      <c r="B2554" s="0" t="n">
        <v>762144</v>
      </c>
      <c r="C2554" s="0" t="n">
        <v>762164</v>
      </c>
      <c r="D2554" s="0" t="s">
        <v>8505</v>
      </c>
      <c r="E2554" s="0" t="s">
        <v>89</v>
      </c>
      <c r="F2554" s="0" t="s">
        <v>15</v>
      </c>
      <c r="G2554" s="0" t="s">
        <v>16</v>
      </c>
      <c r="H2554" s="0" t="n">
        <v>40</v>
      </c>
      <c r="I2554" s="0" t="s">
        <v>8506</v>
      </c>
      <c r="J2554" s="0" t="s">
        <v>8507</v>
      </c>
      <c r="K2554" s="0" t="s">
        <v>8508</v>
      </c>
      <c r="L2554" s="0" t="str">
        <f aca="false">HYPERLINK("https://www.ncbi.nlm.nih.gov/nuccore/CP000304.1?report=graph&amp;tracks=[key:gene_model_track,Options:GeneOnly]&amp;mk=762145:762164|offset_40|00cc00,762171:762190|offset_66|444444,762209:762228|offset_104|444444,762229:762248|offset_124|444444&amp;v=761944:762448&amp;c=444444", "offset 40")</f>
        <v>offset 40</v>
      </c>
    </row>
    <row r="2555" customFormat="false" ht="12.8" hidden="false" customHeight="false" outlineLevel="0" collapsed="false">
      <c r="A2555" s="0" t="s">
        <v>12</v>
      </c>
      <c r="B2555" s="0" t="n">
        <v>762170</v>
      </c>
      <c r="C2555" s="0" t="n">
        <v>762190</v>
      </c>
      <c r="D2555" s="0" t="s">
        <v>8505</v>
      </c>
      <c r="E2555" s="0" t="s">
        <v>89</v>
      </c>
      <c r="F2555" s="0" t="s">
        <v>15</v>
      </c>
      <c r="G2555" s="0" t="s">
        <v>16</v>
      </c>
      <c r="H2555" s="0" t="n">
        <v>66</v>
      </c>
      <c r="I2555" s="0" t="s">
        <v>8509</v>
      </c>
      <c r="J2555" s="0" t="s">
        <v>8510</v>
      </c>
      <c r="K2555" s="0" t="s">
        <v>8511</v>
      </c>
      <c r="L2555" s="0" t="str">
        <f aca="false">HYPERLINK("https://www.ncbi.nlm.nih.gov/nuccore/CP000304.1?report=graph&amp;tracks=[key:gene_model_track,Options:GeneOnly]&amp;mk=762145:762164|offset_40|444444,762171:762190|offset_66|00cc00,762209:762228|offset_104|444444,762229:762248|offset_124|444444&amp;v=761944:762448&amp;c=444444", "offset 66")</f>
        <v>offset 66</v>
      </c>
    </row>
    <row r="2556" customFormat="false" ht="12.8" hidden="false" customHeight="false" outlineLevel="0" collapsed="false">
      <c r="A2556" s="0" t="s">
        <v>12</v>
      </c>
      <c r="B2556" s="0" t="n">
        <v>762208</v>
      </c>
      <c r="C2556" s="0" t="n">
        <v>762228</v>
      </c>
      <c r="D2556" s="0" t="s">
        <v>8505</v>
      </c>
      <c r="E2556" s="0" t="s">
        <v>89</v>
      </c>
      <c r="F2556" s="0" t="s">
        <v>15</v>
      </c>
      <c r="G2556" s="0" t="s">
        <v>32</v>
      </c>
      <c r="H2556" s="0" t="n">
        <v>104</v>
      </c>
      <c r="I2556" s="0" t="s">
        <v>8512</v>
      </c>
      <c r="J2556" s="0" t="s">
        <v>8513</v>
      </c>
      <c r="K2556" s="0" t="s">
        <v>8514</v>
      </c>
      <c r="L2556" s="0" t="str">
        <f aca="false">HYPERLINK("https://www.ncbi.nlm.nih.gov/nuccore/CP000304.1?report=graph&amp;tracks=[key:gene_model_track,Options:GeneOnly]&amp;mk=762145:762164|offset_40|444444,762171:762190|offset_66|444444,762209:762228|offset_104|00cc00,762229:762248|offset_124|444444&amp;v=761944:762448&amp;c=444444", "offset 104")</f>
        <v>offset 104</v>
      </c>
    </row>
    <row r="2557" customFormat="false" ht="12.8" hidden="false" customHeight="false" outlineLevel="0" collapsed="false">
      <c r="A2557" s="0" t="s">
        <v>12</v>
      </c>
      <c r="B2557" s="0" t="n">
        <v>762228</v>
      </c>
      <c r="C2557" s="0" t="n">
        <v>762248</v>
      </c>
      <c r="D2557" s="0" t="s">
        <v>8505</v>
      </c>
      <c r="E2557" s="0" t="s">
        <v>89</v>
      </c>
      <c r="F2557" s="0" t="s">
        <v>15</v>
      </c>
      <c r="G2557" s="0" t="s">
        <v>16</v>
      </c>
      <c r="H2557" s="0" t="n">
        <v>124</v>
      </c>
      <c r="I2557" s="0" t="s">
        <v>8515</v>
      </c>
      <c r="J2557" s="0" t="s">
        <v>8516</v>
      </c>
      <c r="K2557" s="0" t="s">
        <v>8517</v>
      </c>
      <c r="L2557" s="0" t="str">
        <f aca="false">HYPERLINK("https://www.ncbi.nlm.nih.gov/nuccore/CP000304.1?report=graph&amp;tracks=[key:gene_model_track,Options:GeneOnly]&amp;mk=762145:762164|offset_40|444444,762171:762190|offset_66|444444,762209:762228|offset_104|444444,762229:762248|offset_124|00cc00&amp;v=761944:762448&amp;c=444444", "offset 124")</f>
        <v>offset 124</v>
      </c>
    </row>
    <row r="2558" customFormat="false" ht="12.8" hidden="false" customHeight="false" outlineLevel="0" collapsed="false">
      <c r="A2558" s="0" t="s">
        <v>12</v>
      </c>
      <c r="B2558" s="0" t="n">
        <v>763202</v>
      </c>
      <c r="C2558" s="0" t="n">
        <v>763222</v>
      </c>
      <c r="D2558" s="0" t="s">
        <v>8518</v>
      </c>
      <c r="E2558" s="0" t="s">
        <v>8519</v>
      </c>
      <c r="F2558" s="0" t="s">
        <v>90</v>
      </c>
      <c r="G2558" s="0" t="s">
        <v>32</v>
      </c>
      <c r="H2558" s="0" t="n">
        <v>22</v>
      </c>
      <c r="I2558" s="0" t="s">
        <v>8520</v>
      </c>
      <c r="J2558" s="0" t="s">
        <v>8521</v>
      </c>
      <c r="K2558" s="0" t="s">
        <v>8522</v>
      </c>
      <c r="L2558" s="0" t="str">
        <f aca="false">HYPERLINK("https://www.ncbi.nlm.nih.gov/nuccore/CP000304.1?report=graph&amp;tracks=[key:gene_model_track,Options:GeneOnly]&amp;mk=763203:763222|offset_22|00cc00,763138:763157|offset_87|444444,763115:763134|offset_110|444444,763094:763113|offset_131|444444&amp;v=763002:763313&amp;c=444444", "offset 22")</f>
        <v>offset 22</v>
      </c>
    </row>
    <row r="2559" customFormat="false" ht="12.8" hidden="false" customHeight="false" outlineLevel="0" collapsed="false">
      <c r="A2559" s="0" t="s">
        <v>12</v>
      </c>
      <c r="B2559" s="0" t="n">
        <v>763137</v>
      </c>
      <c r="C2559" s="0" t="n">
        <v>763157</v>
      </c>
      <c r="D2559" s="0" t="s">
        <v>8518</v>
      </c>
      <c r="E2559" s="0" t="s">
        <v>8519</v>
      </c>
      <c r="F2559" s="0" t="s">
        <v>90</v>
      </c>
      <c r="G2559" s="0" t="s">
        <v>16</v>
      </c>
      <c r="H2559" s="0" t="n">
        <v>87</v>
      </c>
      <c r="I2559" s="0" t="s">
        <v>8523</v>
      </c>
      <c r="J2559" s="0" t="s">
        <v>8524</v>
      </c>
      <c r="K2559" s="0" t="s">
        <v>8525</v>
      </c>
      <c r="L2559" s="0" t="str">
        <f aca="false">HYPERLINK("https://www.ncbi.nlm.nih.gov/nuccore/CP000304.1?report=graph&amp;tracks=[key:gene_model_track,Options:GeneOnly]&amp;mk=763203:763222|offset_22|444444,763138:763157|offset_87|00cc00,763115:763134|offset_110|444444,763094:763113|offset_131|444444&amp;v=763002:763313&amp;c=444444", "offset 87")</f>
        <v>offset 87</v>
      </c>
    </row>
    <row r="2560" customFormat="false" ht="12.8" hidden="false" customHeight="false" outlineLevel="0" collapsed="false">
      <c r="A2560" s="0" t="s">
        <v>12</v>
      </c>
      <c r="B2560" s="0" t="n">
        <v>763114</v>
      </c>
      <c r="C2560" s="0" t="n">
        <v>763134</v>
      </c>
      <c r="D2560" s="0" t="s">
        <v>8518</v>
      </c>
      <c r="E2560" s="0" t="s">
        <v>8519</v>
      </c>
      <c r="F2560" s="0" t="s">
        <v>90</v>
      </c>
      <c r="G2560" s="0" t="s">
        <v>16</v>
      </c>
      <c r="H2560" s="0" t="n">
        <v>110</v>
      </c>
      <c r="I2560" s="0" t="s">
        <v>8526</v>
      </c>
      <c r="J2560" s="0" t="s">
        <v>8527</v>
      </c>
      <c r="K2560" s="0" t="s">
        <v>8528</v>
      </c>
      <c r="L2560" s="0" t="str">
        <f aca="false">HYPERLINK("https://www.ncbi.nlm.nih.gov/nuccore/CP000304.1?report=graph&amp;tracks=[key:gene_model_track,Options:GeneOnly]&amp;mk=763203:763222|offset_22|444444,763138:763157|offset_87|444444,763115:763134|offset_110|00cc00,763094:763113|offset_131|444444&amp;v=763002:763313&amp;c=444444", "offset 110")</f>
        <v>offset 110</v>
      </c>
    </row>
    <row r="2561" customFormat="false" ht="12.8" hidden="false" customHeight="false" outlineLevel="0" collapsed="false">
      <c r="A2561" s="0" t="s">
        <v>12</v>
      </c>
      <c r="B2561" s="0" t="n">
        <v>763093</v>
      </c>
      <c r="C2561" s="0" t="n">
        <v>763113</v>
      </c>
      <c r="D2561" s="0" t="s">
        <v>8518</v>
      </c>
      <c r="E2561" s="0" t="s">
        <v>8519</v>
      </c>
      <c r="F2561" s="0" t="s">
        <v>90</v>
      </c>
      <c r="G2561" s="0" t="s">
        <v>26</v>
      </c>
      <c r="H2561" s="0" t="n">
        <v>131</v>
      </c>
      <c r="I2561" s="0" t="s">
        <v>8529</v>
      </c>
      <c r="J2561" s="0" t="s">
        <v>8530</v>
      </c>
      <c r="K2561" s="0" t="s">
        <v>8531</v>
      </c>
      <c r="L2561" s="0" t="str">
        <f aca="false">HYPERLINK("https://www.ncbi.nlm.nih.gov/nuccore/CP000304.1?report=graph&amp;tracks=[key:gene_model_track,Options:GeneOnly]&amp;mk=763203:763222|offset_22|444444,763138:763157|offset_87|444444,763115:763134|offset_110|444444,763094:763113|offset_131|00cc00&amp;v=763002:763313&amp;c=444444", "offset 131")</f>
        <v>offset 131</v>
      </c>
    </row>
    <row r="2562" customFormat="false" ht="12.8" hidden="false" customHeight="false" outlineLevel="0" collapsed="false">
      <c r="A2562" s="0" t="s">
        <v>12</v>
      </c>
      <c r="B2562" s="0" t="n">
        <v>763490</v>
      </c>
      <c r="C2562" s="0" t="n">
        <v>763510</v>
      </c>
      <c r="D2562" s="0" t="s">
        <v>8532</v>
      </c>
      <c r="E2562" s="0" t="s">
        <v>8533</v>
      </c>
      <c r="F2562" s="0" t="s">
        <v>15</v>
      </c>
      <c r="G2562" s="0" t="s">
        <v>36</v>
      </c>
      <c r="H2562" s="0" t="n">
        <v>11</v>
      </c>
      <c r="I2562" s="0" t="s">
        <v>8534</v>
      </c>
      <c r="J2562" s="0" t="s">
        <v>8535</v>
      </c>
      <c r="K2562" s="0" t="s">
        <v>8536</v>
      </c>
      <c r="L2562" s="0" t="str">
        <f aca="false">HYPERLINK("https://www.ncbi.nlm.nih.gov/nuccore/CP000304.1?report=graph&amp;tracks=[key:gene_model_track,Options:GeneOnly]&amp;mk=763491:763510|offset_11|00cc00,763560:763579|offset_80|444444,763597:763616|offset_117|444444,763631:763650|offset_151|444444&amp;v=763290:763850&amp;c=444444", "offset 11")</f>
        <v>offset 11</v>
      </c>
    </row>
    <row r="2563" customFormat="false" ht="12.8" hidden="false" customHeight="false" outlineLevel="0" collapsed="false">
      <c r="A2563" s="0" t="s">
        <v>12</v>
      </c>
      <c r="B2563" s="0" t="n">
        <v>763559</v>
      </c>
      <c r="C2563" s="0" t="n">
        <v>763579</v>
      </c>
      <c r="D2563" s="0" t="s">
        <v>8532</v>
      </c>
      <c r="E2563" s="0" t="s">
        <v>8533</v>
      </c>
      <c r="F2563" s="0" t="s">
        <v>15</v>
      </c>
      <c r="G2563" s="0" t="s">
        <v>26</v>
      </c>
      <c r="H2563" s="0" t="n">
        <v>80</v>
      </c>
      <c r="I2563" s="0" t="s">
        <v>8537</v>
      </c>
      <c r="J2563" s="0" t="s">
        <v>8538</v>
      </c>
      <c r="K2563" s="0" t="s">
        <v>8539</v>
      </c>
      <c r="L2563" s="0" t="str">
        <f aca="false">HYPERLINK("https://www.ncbi.nlm.nih.gov/nuccore/CP000304.1?report=graph&amp;tracks=[key:gene_model_track,Options:GeneOnly]&amp;mk=763491:763510|offset_11|444444,763560:763579|offset_80|00cc00,763597:763616|offset_117|444444,763631:763650|offset_151|444444&amp;v=763290:763850&amp;c=444444", "offset 80")</f>
        <v>offset 80</v>
      </c>
    </row>
    <row r="2564" customFormat="false" ht="12.8" hidden="false" customHeight="false" outlineLevel="0" collapsed="false">
      <c r="A2564" s="0" t="s">
        <v>12</v>
      </c>
      <c r="B2564" s="0" t="n">
        <v>763596</v>
      </c>
      <c r="C2564" s="0" t="n">
        <v>763616</v>
      </c>
      <c r="D2564" s="0" t="s">
        <v>8532</v>
      </c>
      <c r="E2564" s="0" t="s">
        <v>8533</v>
      </c>
      <c r="F2564" s="0" t="s">
        <v>15</v>
      </c>
      <c r="G2564" s="0" t="s">
        <v>16</v>
      </c>
      <c r="H2564" s="0" t="n">
        <v>117</v>
      </c>
      <c r="I2564" s="0" t="s">
        <v>8540</v>
      </c>
      <c r="J2564" s="0" t="s">
        <v>8541</v>
      </c>
      <c r="K2564" s="0" t="s">
        <v>8542</v>
      </c>
      <c r="L2564" s="0" t="str">
        <f aca="false">HYPERLINK("https://www.ncbi.nlm.nih.gov/nuccore/CP000304.1?report=graph&amp;tracks=[key:gene_model_track,Options:GeneOnly]&amp;mk=763491:763510|offset_11|444444,763560:763579|offset_80|444444,763597:763616|offset_117|00cc00,763631:763650|offset_151|444444&amp;v=763290:763850&amp;c=444444", "offset 117")</f>
        <v>offset 117</v>
      </c>
    </row>
    <row r="2565" customFormat="false" ht="12.8" hidden="false" customHeight="false" outlineLevel="0" collapsed="false">
      <c r="A2565" s="0" t="s">
        <v>12</v>
      </c>
      <c r="B2565" s="0" t="n">
        <v>763630</v>
      </c>
      <c r="C2565" s="0" t="n">
        <v>763650</v>
      </c>
      <c r="D2565" s="0" t="s">
        <v>8532</v>
      </c>
      <c r="E2565" s="0" t="s">
        <v>8533</v>
      </c>
      <c r="F2565" s="0" t="s">
        <v>15</v>
      </c>
      <c r="G2565" s="0" t="s">
        <v>36</v>
      </c>
      <c r="H2565" s="0" t="n">
        <v>151</v>
      </c>
      <c r="I2565" s="0" t="s">
        <v>8543</v>
      </c>
      <c r="J2565" s="0" t="s">
        <v>8544</v>
      </c>
      <c r="K2565" s="0" t="s">
        <v>8545</v>
      </c>
      <c r="L2565" s="0" t="str">
        <f aca="false">HYPERLINK("https://www.ncbi.nlm.nih.gov/nuccore/CP000304.1?report=graph&amp;tracks=[key:gene_model_track,Options:GeneOnly]&amp;mk=763491:763510|offset_11|444444,763560:763579|offset_80|444444,763597:763616|offset_117|444444,763631:763650|offset_151|00cc00&amp;v=763290:763850&amp;c=444444", "offset 151")</f>
        <v>offset 151</v>
      </c>
    </row>
    <row r="2566" customFormat="false" ht="12.8" hidden="false" customHeight="false" outlineLevel="0" collapsed="false">
      <c r="A2566" s="0" t="s">
        <v>12</v>
      </c>
      <c r="B2566" s="0" t="n">
        <v>765815</v>
      </c>
      <c r="C2566" s="0" t="n">
        <v>765835</v>
      </c>
      <c r="D2566" s="0" t="s">
        <v>8546</v>
      </c>
      <c r="E2566" s="0" t="s">
        <v>89</v>
      </c>
      <c r="F2566" s="0" t="s">
        <v>15</v>
      </c>
      <c r="G2566" s="0" t="s">
        <v>26</v>
      </c>
      <c r="H2566" s="0" t="n">
        <v>37</v>
      </c>
      <c r="I2566" s="0" t="s">
        <v>8547</v>
      </c>
      <c r="J2566" s="0" t="s">
        <v>8548</v>
      </c>
      <c r="K2566" s="0" t="s">
        <v>8549</v>
      </c>
      <c r="L2566" s="0" t="str">
        <f aca="false">HYPERLINK("https://www.ncbi.nlm.nih.gov/nuccore/CP000304.1?report=graph&amp;tracks=[key:gene_model_track,Options:GeneOnly]&amp;mk=765816:765835|offset_37|00cc00,765837:765856|offset_58|444444,765858:765877|offset_79|444444,765892:765911|offset_113|444444&amp;v=765615:766111&amp;c=444444", "offset 37")</f>
        <v>offset 37</v>
      </c>
    </row>
    <row r="2567" customFormat="false" ht="12.8" hidden="false" customHeight="false" outlineLevel="0" collapsed="false">
      <c r="A2567" s="0" t="s">
        <v>12</v>
      </c>
      <c r="B2567" s="0" t="n">
        <v>765836</v>
      </c>
      <c r="C2567" s="0" t="n">
        <v>765856</v>
      </c>
      <c r="D2567" s="0" t="s">
        <v>8546</v>
      </c>
      <c r="E2567" s="0" t="s">
        <v>89</v>
      </c>
      <c r="F2567" s="0" t="s">
        <v>15</v>
      </c>
      <c r="G2567" s="0" t="s">
        <v>32</v>
      </c>
      <c r="H2567" s="0" t="n">
        <v>58</v>
      </c>
      <c r="I2567" s="0" t="s">
        <v>8550</v>
      </c>
      <c r="J2567" s="0" t="s">
        <v>8551</v>
      </c>
      <c r="K2567" s="0" t="s">
        <v>8552</v>
      </c>
      <c r="L2567" s="0" t="str">
        <f aca="false">HYPERLINK("https://www.ncbi.nlm.nih.gov/nuccore/CP000304.1?report=graph&amp;tracks=[key:gene_model_track,Options:GeneOnly]&amp;mk=765816:765835|offset_37|444444,765837:765856|offset_58|00cc00,765858:765877|offset_79|444444,765892:765911|offset_113|444444&amp;v=765615:766111&amp;c=444444", "offset 58")</f>
        <v>offset 58</v>
      </c>
    </row>
    <row r="2568" customFormat="false" ht="12.8" hidden="false" customHeight="false" outlineLevel="0" collapsed="false">
      <c r="A2568" s="0" t="s">
        <v>12</v>
      </c>
      <c r="B2568" s="0" t="n">
        <v>765857</v>
      </c>
      <c r="C2568" s="0" t="n">
        <v>765877</v>
      </c>
      <c r="D2568" s="0" t="s">
        <v>8546</v>
      </c>
      <c r="E2568" s="0" t="s">
        <v>89</v>
      </c>
      <c r="F2568" s="0" t="s">
        <v>15</v>
      </c>
      <c r="G2568" s="0" t="s">
        <v>16</v>
      </c>
      <c r="H2568" s="0" t="n">
        <v>79</v>
      </c>
      <c r="I2568" s="0" t="s">
        <v>8553</v>
      </c>
      <c r="J2568" s="0" t="s">
        <v>8554</v>
      </c>
      <c r="K2568" s="0" t="s">
        <v>8555</v>
      </c>
      <c r="L2568" s="0" t="str">
        <f aca="false">HYPERLINK("https://www.ncbi.nlm.nih.gov/nuccore/CP000304.1?report=graph&amp;tracks=[key:gene_model_track,Options:GeneOnly]&amp;mk=765816:765835|offset_37|444444,765837:765856|offset_58|444444,765858:765877|offset_79|00cc00,765892:765911|offset_113|444444&amp;v=765615:766111&amp;c=444444", "offset 79")</f>
        <v>offset 79</v>
      </c>
    </row>
    <row r="2569" customFormat="false" ht="12.8" hidden="false" customHeight="false" outlineLevel="0" collapsed="false">
      <c r="A2569" s="0" t="s">
        <v>12</v>
      </c>
      <c r="B2569" s="0" t="n">
        <v>765891</v>
      </c>
      <c r="C2569" s="0" t="n">
        <v>765911</v>
      </c>
      <c r="D2569" s="0" t="s">
        <v>8546</v>
      </c>
      <c r="E2569" s="0" t="s">
        <v>89</v>
      </c>
      <c r="F2569" s="0" t="s">
        <v>15</v>
      </c>
      <c r="G2569" s="0" t="s">
        <v>26</v>
      </c>
      <c r="H2569" s="0" t="n">
        <v>113</v>
      </c>
      <c r="I2569" s="0" t="s">
        <v>8556</v>
      </c>
      <c r="J2569" s="0" t="s">
        <v>8557</v>
      </c>
      <c r="K2569" s="0" t="s">
        <v>8558</v>
      </c>
      <c r="L2569" s="0" t="str">
        <f aca="false">HYPERLINK("https://www.ncbi.nlm.nih.gov/nuccore/CP000304.1?report=graph&amp;tracks=[key:gene_model_track,Options:GeneOnly]&amp;mk=765816:765835|offset_37|444444,765837:765856|offset_58|444444,765858:765877|offset_79|444444,765892:765911|offset_113|00cc00&amp;v=765615:766111&amp;c=444444", "offset 113")</f>
        <v>offset 113</v>
      </c>
    </row>
    <row r="2570" customFormat="false" ht="12.8" hidden="false" customHeight="false" outlineLevel="0" collapsed="false">
      <c r="A2570" s="0" t="s">
        <v>12</v>
      </c>
      <c r="B2570" s="0" t="n">
        <v>766150</v>
      </c>
      <c r="C2570" s="0" t="n">
        <v>766170</v>
      </c>
      <c r="D2570" s="0" t="s">
        <v>8559</v>
      </c>
      <c r="E2570" s="0" t="s">
        <v>89</v>
      </c>
      <c r="F2570" s="0" t="s">
        <v>15</v>
      </c>
      <c r="G2570" s="0" t="s">
        <v>32</v>
      </c>
      <c r="H2570" s="0" t="n">
        <v>13</v>
      </c>
      <c r="I2570" s="0" t="s">
        <v>8560</v>
      </c>
      <c r="J2570" s="0" t="s">
        <v>8561</v>
      </c>
      <c r="K2570" s="0" t="s">
        <v>8562</v>
      </c>
      <c r="L2570" s="0" t="str">
        <f aca="false">HYPERLINK("https://www.ncbi.nlm.nih.gov/nuccore/CP000304.1?report=graph&amp;tracks=[key:gene_model_track,Options:GeneOnly]&amp;mk=766151:766170|offset_13|00cc00,766172:766191|offset_34|444444,766205:766224|offset_67|444444,766246:766265|offset_108|444444&amp;v=765950:766465&amp;c=444444", "offset 13")</f>
        <v>offset 13</v>
      </c>
    </row>
    <row r="2571" customFormat="false" ht="12.8" hidden="false" customHeight="false" outlineLevel="0" collapsed="false">
      <c r="A2571" s="0" t="s">
        <v>12</v>
      </c>
      <c r="B2571" s="0" t="n">
        <v>766171</v>
      </c>
      <c r="C2571" s="0" t="n">
        <v>766191</v>
      </c>
      <c r="D2571" s="0" t="s">
        <v>8559</v>
      </c>
      <c r="E2571" s="0" t="s">
        <v>89</v>
      </c>
      <c r="F2571" s="0" t="s">
        <v>15</v>
      </c>
      <c r="G2571" s="0" t="s">
        <v>36</v>
      </c>
      <c r="H2571" s="0" t="n">
        <v>34</v>
      </c>
      <c r="I2571" s="0" t="s">
        <v>8563</v>
      </c>
      <c r="J2571" s="0" t="s">
        <v>8564</v>
      </c>
      <c r="K2571" s="0" t="s">
        <v>8565</v>
      </c>
      <c r="L2571" s="0" t="str">
        <f aca="false">HYPERLINK("https://www.ncbi.nlm.nih.gov/nuccore/CP000304.1?report=graph&amp;tracks=[key:gene_model_track,Options:GeneOnly]&amp;mk=766151:766170|offset_13|444444,766172:766191|offset_34|00cc00,766205:766224|offset_67|444444,766246:766265|offset_108|444444&amp;v=765950:766465&amp;c=444444", "offset 34")</f>
        <v>offset 34</v>
      </c>
    </row>
    <row r="2572" customFormat="false" ht="12.8" hidden="false" customHeight="false" outlineLevel="0" collapsed="false">
      <c r="A2572" s="0" t="s">
        <v>12</v>
      </c>
      <c r="B2572" s="0" t="n">
        <v>766204</v>
      </c>
      <c r="C2572" s="0" t="n">
        <v>766224</v>
      </c>
      <c r="D2572" s="0" t="s">
        <v>8559</v>
      </c>
      <c r="E2572" s="0" t="s">
        <v>89</v>
      </c>
      <c r="F2572" s="0" t="s">
        <v>15</v>
      </c>
      <c r="G2572" s="0" t="s">
        <v>36</v>
      </c>
      <c r="H2572" s="0" t="n">
        <v>67</v>
      </c>
      <c r="I2572" s="0" t="s">
        <v>8566</v>
      </c>
      <c r="J2572" s="0" t="s">
        <v>8567</v>
      </c>
      <c r="K2572" s="0" t="s">
        <v>8568</v>
      </c>
      <c r="L2572" s="0" t="str">
        <f aca="false">HYPERLINK("https://www.ncbi.nlm.nih.gov/nuccore/CP000304.1?report=graph&amp;tracks=[key:gene_model_track,Options:GeneOnly]&amp;mk=766151:766170|offset_13|444444,766172:766191|offset_34|444444,766205:766224|offset_67|00cc00,766246:766265|offset_108|444444&amp;v=765950:766465&amp;c=444444", "offset 67")</f>
        <v>offset 67</v>
      </c>
    </row>
    <row r="2573" customFormat="false" ht="12.8" hidden="false" customHeight="false" outlineLevel="0" collapsed="false">
      <c r="A2573" s="0" t="s">
        <v>12</v>
      </c>
      <c r="B2573" s="0" t="n">
        <v>766245</v>
      </c>
      <c r="C2573" s="0" t="n">
        <v>766265</v>
      </c>
      <c r="D2573" s="0" t="s">
        <v>8559</v>
      </c>
      <c r="E2573" s="0" t="s">
        <v>89</v>
      </c>
      <c r="F2573" s="0" t="s">
        <v>15</v>
      </c>
      <c r="G2573" s="0" t="s">
        <v>36</v>
      </c>
      <c r="H2573" s="0" t="n">
        <v>108</v>
      </c>
      <c r="I2573" s="0" t="s">
        <v>8569</v>
      </c>
      <c r="J2573" s="0" t="s">
        <v>8570</v>
      </c>
      <c r="K2573" s="0" t="s">
        <v>8571</v>
      </c>
      <c r="L2573" s="0" t="str">
        <f aca="false">HYPERLINK("https://www.ncbi.nlm.nih.gov/nuccore/CP000304.1?report=graph&amp;tracks=[key:gene_model_track,Options:GeneOnly]&amp;mk=766151:766170|offset_13|444444,766172:766191|offset_34|444444,766205:766224|offset_67|444444,766246:766265|offset_108|00cc00&amp;v=765950:766465&amp;c=444444", "offset 108")</f>
        <v>offset 108</v>
      </c>
    </row>
    <row r="2574" customFormat="false" ht="12.8" hidden="false" customHeight="false" outlineLevel="0" collapsed="false">
      <c r="A2574" s="0" t="s">
        <v>12</v>
      </c>
      <c r="B2574" s="0" t="n">
        <v>766845</v>
      </c>
      <c r="C2574" s="0" t="n">
        <v>766865</v>
      </c>
      <c r="D2574" s="0" t="s">
        <v>8572</v>
      </c>
      <c r="E2574" s="0" t="s">
        <v>89</v>
      </c>
      <c r="F2574" s="0" t="s">
        <v>15</v>
      </c>
      <c r="G2574" s="0" t="s">
        <v>32</v>
      </c>
      <c r="H2574" s="0" t="n">
        <v>12</v>
      </c>
      <c r="I2574" s="0" t="s">
        <v>8573</v>
      </c>
      <c r="J2574" s="0" t="s">
        <v>8574</v>
      </c>
      <c r="K2574" s="0" t="s">
        <v>8575</v>
      </c>
      <c r="L2574" s="0" t="str">
        <f aca="false">HYPERLINK("https://www.ncbi.nlm.nih.gov/nuccore/CP000304.1?report=graph&amp;tracks=[key:gene_model_track,Options:GeneOnly]&amp;mk=766846:766865|offset_12|00cc00,766885:766904|offset_51|444444,766913:766932|offset_79|444444,766942:766961|offset_108|444444&amp;v=766645:767161&amp;c=444444", "offset 12")</f>
        <v>offset 12</v>
      </c>
    </row>
    <row r="2575" customFormat="false" ht="12.8" hidden="false" customHeight="false" outlineLevel="0" collapsed="false">
      <c r="A2575" s="0" t="s">
        <v>12</v>
      </c>
      <c r="B2575" s="0" t="n">
        <v>766884</v>
      </c>
      <c r="C2575" s="0" t="n">
        <v>766904</v>
      </c>
      <c r="D2575" s="0" t="s">
        <v>8572</v>
      </c>
      <c r="E2575" s="0" t="s">
        <v>89</v>
      </c>
      <c r="F2575" s="0" t="s">
        <v>15</v>
      </c>
      <c r="G2575" s="0" t="s">
        <v>16</v>
      </c>
      <c r="H2575" s="0" t="n">
        <v>51</v>
      </c>
      <c r="I2575" s="0" t="s">
        <v>8576</v>
      </c>
      <c r="J2575" s="0" t="s">
        <v>8577</v>
      </c>
      <c r="K2575" s="0" t="s">
        <v>8578</v>
      </c>
      <c r="L2575" s="0" t="str">
        <f aca="false">HYPERLINK("https://www.ncbi.nlm.nih.gov/nuccore/CP000304.1?report=graph&amp;tracks=[key:gene_model_track,Options:GeneOnly]&amp;mk=766846:766865|offset_12|444444,766885:766904|offset_51|00cc00,766913:766932|offset_79|444444,766942:766961|offset_108|444444&amp;v=766645:767161&amp;c=444444", "offset 51")</f>
        <v>offset 51</v>
      </c>
    </row>
    <row r="2576" customFormat="false" ht="12.8" hidden="false" customHeight="false" outlineLevel="0" collapsed="false">
      <c r="A2576" s="0" t="s">
        <v>12</v>
      </c>
      <c r="B2576" s="0" t="n">
        <v>766912</v>
      </c>
      <c r="C2576" s="0" t="n">
        <v>766932</v>
      </c>
      <c r="D2576" s="0" t="s">
        <v>8572</v>
      </c>
      <c r="E2576" s="0" t="s">
        <v>89</v>
      </c>
      <c r="F2576" s="0" t="s">
        <v>15</v>
      </c>
      <c r="G2576" s="0" t="s">
        <v>32</v>
      </c>
      <c r="H2576" s="0" t="n">
        <v>79</v>
      </c>
      <c r="I2576" s="0" t="s">
        <v>8579</v>
      </c>
      <c r="J2576" s="0" t="s">
        <v>8580</v>
      </c>
      <c r="K2576" s="0" t="s">
        <v>8581</v>
      </c>
      <c r="L2576" s="0" t="str">
        <f aca="false">HYPERLINK("https://www.ncbi.nlm.nih.gov/nuccore/CP000304.1?report=graph&amp;tracks=[key:gene_model_track,Options:GeneOnly]&amp;mk=766846:766865|offset_12|444444,766885:766904|offset_51|444444,766913:766932|offset_79|00cc00,766942:766961|offset_108|444444&amp;v=766645:767161&amp;c=444444", "offset 79")</f>
        <v>offset 79</v>
      </c>
    </row>
    <row r="2577" customFormat="false" ht="12.8" hidden="false" customHeight="false" outlineLevel="0" collapsed="false">
      <c r="A2577" s="0" t="s">
        <v>12</v>
      </c>
      <c r="B2577" s="0" t="n">
        <v>766941</v>
      </c>
      <c r="C2577" s="0" t="n">
        <v>766961</v>
      </c>
      <c r="D2577" s="0" t="s">
        <v>8572</v>
      </c>
      <c r="E2577" s="0" t="s">
        <v>89</v>
      </c>
      <c r="F2577" s="0" t="s">
        <v>15</v>
      </c>
      <c r="G2577" s="0" t="s">
        <v>32</v>
      </c>
      <c r="H2577" s="0" t="n">
        <v>108</v>
      </c>
      <c r="I2577" s="0" t="s">
        <v>8582</v>
      </c>
      <c r="J2577" s="0" t="s">
        <v>8583</v>
      </c>
      <c r="K2577" s="0" t="s">
        <v>8584</v>
      </c>
      <c r="L2577" s="0" t="str">
        <f aca="false">HYPERLINK("https://www.ncbi.nlm.nih.gov/nuccore/CP000304.1?report=graph&amp;tracks=[key:gene_model_track,Options:GeneOnly]&amp;mk=766846:766865|offset_12|444444,766885:766904|offset_51|444444,766913:766932|offset_79|444444,766942:766961|offset_108|00cc00&amp;v=766645:767161&amp;c=444444", "offset 108")</f>
        <v>offset 108</v>
      </c>
    </row>
    <row r="2578" customFormat="false" ht="12.8" hidden="false" customHeight="false" outlineLevel="0" collapsed="false">
      <c r="A2578" s="0" t="s">
        <v>12</v>
      </c>
      <c r="B2578" s="0" t="n">
        <v>769708</v>
      </c>
      <c r="C2578" s="0" t="n">
        <v>769728</v>
      </c>
      <c r="D2578" s="0" t="s">
        <v>8585</v>
      </c>
      <c r="E2578" s="0" t="s">
        <v>89</v>
      </c>
      <c r="F2578" s="0" t="s">
        <v>90</v>
      </c>
      <c r="G2578" s="0" t="s">
        <v>16</v>
      </c>
      <c r="H2578" s="0" t="n">
        <v>173</v>
      </c>
      <c r="I2578" s="0" t="s">
        <v>8586</v>
      </c>
      <c r="J2578" s="0" t="s">
        <v>8587</v>
      </c>
      <c r="K2578" s="0" t="s">
        <v>8588</v>
      </c>
      <c r="L2578" s="0" t="str">
        <f aca="false">HYPERLINK("https://www.ncbi.nlm.nih.gov/nuccore/CP000304.1?report=graph&amp;tracks=[key:gene_model_track,Options:GeneOnly]&amp;mk=769709:769728|offset_173|00cc00,769538:769557|offset_344|444444,769483:769502|offset_399|444444&amp;v=769508:769702&amp;c=444444", "offset 173")</f>
        <v>offset 173</v>
      </c>
    </row>
    <row r="2579" customFormat="false" ht="12.8" hidden="false" customHeight="false" outlineLevel="0" collapsed="false">
      <c r="A2579" s="0" t="s">
        <v>12</v>
      </c>
      <c r="B2579" s="0" t="n">
        <v>769537</v>
      </c>
      <c r="C2579" s="0" t="n">
        <v>769557</v>
      </c>
      <c r="D2579" s="0" t="s">
        <v>8585</v>
      </c>
      <c r="E2579" s="0" t="s">
        <v>89</v>
      </c>
      <c r="F2579" s="0" t="s">
        <v>90</v>
      </c>
      <c r="G2579" s="0" t="s">
        <v>16</v>
      </c>
      <c r="H2579" s="0" t="n">
        <v>344</v>
      </c>
      <c r="I2579" s="0" t="s">
        <v>8589</v>
      </c>
      <c r="J2579" s="0" t="s">
        <v>8590</v>
      </c>
      <c r="K2579" s="0" t="s">
        <v>8591</v>
      </c>
      <c r="L2579" s="0" t="str">
        <f aca="false">HYPERLINK("https://www.ncbi.nlm.nih.gov/nuccore/CP000304.1?report=graph&amp;tracks=[key:gene_model_track,Options:GeneOnly]&amp;mk=769709:769728|offset_173|444444,769538:769557|offset_344|00cc00,769483:769502|offset_399|444444&amp;v=769508:769702&amp;c=444444", "offset 344")</f>
        <v>offset 344</v>
      </c>
    </row>
    <row r="2580" customFormat="false" ht="12.8" hidden="false" customHeight="false" outlineLevel="0" collapsed="false">
      <c r="A2580" s="0" t="s">
        <v>12</v>
      </c>
      <c r="B2580" s="0" t="n">
        <v>769482</v>
      </c>
      <c r="C2580" s="0" t="n">
        <v>769502</v>
      </c>
      <c r="D2580" s="0" t="s">
        <v>8585</v>
      </c>
      <c r="E2580" s="0" t="s">
        <v>89</v>
      </c>
      <c r="F2580" s="0" t="s">
        <v>90</v>
      </c>
      <c r="G2580" s="0" t="s">
        <v>36</v>
      </c>
      <c r="H2580" s="0" t="n">
        <v>399</v>
      </c>
      <c r="I2580" s="0" t="s">
        <v>8592</v>
      </c>
      <c r="J2580" s="0" t="s">
        <v>8593</v>
      </c>
      <c r="K2580" s="0" t="s">
        <v>8594</v>
      </c>
      <c r="L2580" s="0" t="str">
        <f aca="false">HYPERLINK("https://www.ncbi.nlm.nih.gov/nuccore/CP000304.1?report=graph&amp;tracks=[key:gene_model_track,Options:GeneOnly]&amp;mk=769709:769728|offset_173|444444,769538:769557|offset_344|444444,769483:769502|offset_399|00cc00&amp;v=769508:769702&amp;c=444444", "offset 399")</f>
        <v>offset 399</v>
      </c>
    </row>
    <row r="2581" customFormat="false" ht="12.8" hidden="false" customHeight="false" outlineLevel="0" collapsed="false">
      <c r="A2581" s="0" t="s">
        <v>12</v>
      </c>
      <c r="B2581" s="0" t="n">
        <v>769936</v>
      </c>
      <c r="C2581" s="0" t="n">
        <v>769956</v>
      </c>
      <c r="D2581" s="0" t="s">
        <v>8595</v>
      </c>
      <c r="E2581" s="0" t="s">
        <v>89</v>
      </c>
      <c r="F2581" s="0" t="s">
        <v>15</v>
      </c>
      <c r="G2581" s="0" t="s">
        <v>26</v>
      </c>
      <c r="H2581" s="0" t="n">
        <v>1</v>
      </c>
      <c r="I2581" s="0" t="s">
        <v>8596</v>
      </c>
      <c r="J2581" s="0" t="s">
        <v>8597</v>
      </c>
      <c r="K2581" s="0" t="s">
        <v>8598</v>
      </c>
      <c r="L2581" s="0" t="str">
        <f aca="false">HYPERLINK("https://www.ncbi.nlm.nih.gov/nuccore/CP000304.1?report=graph&amp;tracks=[key:gene_model_track,Options:GeneOnly]&amp;mk=769937:769956|offset_1|00cc00,769962:769981|offset_26|444444,769987:770006|offset_51|444444,770079:770098|offset_143|444444&amp;v=769736:770298&amp;c=444444", "offset 1")</f>
        <v>offset 1</v>
      </c>
    </row>
    <row r="2582" customFormat="false" ht="12.8" hidden="false" customHeight="false" outlineLevel="0" collapsed="false">
      <c r="A2582" s="0" t="s">
        <v>12</v>
      </c>
      <c r="B2582" s="0" t="n">
        <v>769961</v>
      </c>
      <c r="C2582" s="0" t="n">
        <v>769981</v>
      </c>
      <c r="D2582" s="0" t="s">
        <v>8595</v>
      </c>
      <c r="E2582" s="0" t="s">
        <v>89</v>
      </c>
      <c r="F2582" s="0" t="s">
        <v>15</v>
      </c>
      <c r="G2582" s="0" t="s">
        <v>36</v>
      </c>
      <c r="H2582" s="0" t="n">
        <v>26</v>
      </c>
      <c r="I2582" s="0" t="s">
        <v>8599</v>
      </c>
      <c r="J2582" s="0" t="s">
        <v>8600</v>
      </c>
      <c r="K2582" s="0" t="s">
        <v>8601</v>
      </c>
      <c r="L2582" s="0" t="str">
        <f aca="false">HYPERLINK("https://www.ncbi.nlm.nih.gov/nuccore/CP000304.1?report=graph&amp;tracks=[key:gene_model_track,Options:GeneOnly]&amp;mk=769937:769956|offset_1|444444,769962:769981|offset_26|00cc00,769987:770006|offset_51|444444,770079:770098|offset_143|444444&amp;v=769736:770298&amp;c=444444", "offset 26")</f>
        <v>offset 26</v>
      </c>
    </row>
    <row r="2583" customFormat="false" ht="12.8" hidden="false" customHeight="false" outlineLevel="0" collapsed="false">
      <c r="A2583" s="0" t="s">
        <v>12</v>
      </c>
      <c r="B2583" s="0" t="n">
        <v>769986</v>
      </c>
      <c r="C2583" s="0" t="n">
        <v>770006</v>
      </c>
      <c r="D2583" s="0" t="s">
        <v>8595</v>
      </c>
      <c r="E2583" s="0" t="s">
        <v>89</v>
      </c>
      <c r="F2583" s="0" t="s">
        <v>15</v>
      </c>
      <c r="G2583" s="0" t="s">
        <v>16</v>
      </c>
      <c r="H2583" s="0" t="n">
        <v>51</v>
      </c>
      <c r="I2583" s="0" t="s">
        <v>8602</v>
      </c>
      <c r="J2583" s="0" t="s">
        <v>8603</v>
      </c>
      <c r="K2583" s="0" t="s">
        <v>8604</v>
      </c>
      <c r="L2583" s="0" t="str">
        <f aca="false">HYPERLINK("https://www.ncbi.nlm.nih.gov/nuccore/CP000304.1?report=graph&amp;tracks=[key:gene_model_track,Options:GeneOnly]&amp;mk=769937:769956|offset_1|444444,769962:769981|offset_26|444444,769987:770006|offset_51|00cc00,770079:770098|offset_143|444444&amp;v=769736:770298&amp;c=444444", "offset 51")</f>
        <v>offset 51</v>
      </c>
    </row>
    <row r="2584" customFormat="false" ht="12.8" hidden="false" customHeight="false" outlineLevel="0" collapsed="false">
      <c r="A2584" s="0" t="s">
        <v>12</v>
      </c>
      <c r="B2584" s="0" t="n">
        <v>770078</v>
      </c>
      <c r="C2584" s="0" t="n">
        <v>770098</v>
      </c>
      <c r="D2584" s="0" t="s">
        <v>8595</v>
      </c>
      <c r="E2584" s="0" t="s">
        <v>89</v>
      </c>
      <c r="F2584" s="0" t="s">
        <v>15</v>
      </c>
      <c r="G2584" s="0" t="s">
        <v>36</v>
      </c>
      <c r="H2584" s="0" t="n">
        <v>143</v>
      </c>
      <c r="I2584" s="0" t="s">
        <v>8605</v>
      </c>
      <c r="J2584" s="0" t="s">
        <v>8606</v>
      </c>
      <c r="K2584" s="0" t="s">
        <v>8607</v>
      </c>
      <c r="L2584" s="0" t="str">
        <f aca="false">HYPERLINK("https://www.ncbi.nlm.nih.gov/nuccore/CP000304.1?report=graph&amp;tracks=[key:gene_model_track,Options:GeneOnly]&amp;mk=769937:769956|offset_1|444444,769962:769981|offset_26|444444,769987:770006|offset_51|444444,770079:770098|offset_143|00cc00&amp;v=769736:770298&amp;c=444444", "offset 143")</f>
        <v>offset 143</v>
      </c>
    </row>
    <row r="2585" customFormat="false" ht="12.8" hidden="false" customHeight="false" outlineLevel="0" collapsed="false">
      <c r="A2585" s="0" t="s">
        <v>12</v>
      </c>
      <c r="B2585" s="0" t="n">
        <v>771394</v>
      </c>
      <c r="C2585" s="0" t="n">
        <v>771414</v>
      </c>
      <c r="D2585" s="0" t="s">
        <v>8608</v>
      </c>
      <c r="E2585" s="0" t="s">
        <v>89</v>
      </c>
      <c r="F2585" s="0" t="s">
        <v>15</v>
      </c>
      <c r="G2585" s="0" t="s">
        <v>36</v>
      </c>
      <c r="H2585" s="0" t="n">
        <v>14</v>
      </c>
      <c r="I2585" s="0" t="s">
        <v>8609</v>
      </c>
      <c r="J2585" s="0" t="s">
        <v>8610</v>
      </c>
      <c r="K2585" s="0" t="s">
        <v>8611</v>
      </c>
      <c r="L2585" s="0" t="str">
        <f aca="false">HYPERLINK("https://www.ncbi.nlm.nih.gov/nuccore/CP000304.1?report=graph&amp;tracks=[key:gene_model_track,Options:GeneOnly]&amp;mk=771395:771414|offset_14|00cc00,771439:771458|offset_58|444444,771467:771486|offset_86|444444,771494:771513|offset_113|444444&amp;v=771194:771713&amp;c=444444", "offset 14")</f>
        <v>offset 14</v>
      </c>
    </row>
    <row r="2586" customFormat="false" ht="12.8" hidden="false" customHeight="false" outlineLevel="0" collapsed="false">
      <c r="A2586" s="0" t="s">
        <v>12</v>
      </c>
      <c r="B2586" s="0" t="n">
        <v>771438</v>
      </c>
      <c r="C2586" s="0" t="n">
        <v>771458</v>
      </c>
      <c r="D2586" s="0" t="s">
        <v>8608</v>
      </c>
      <c r="E2586" s="0" t="s">
        <v>89</v>
      </c>
      <c r="F2586" s="0" t="s">
        <v>15</v>
      </c>
      <c r="G2586" s="0" t="s">
        <v>32</v>
      </c>
      <c r="H2586" s="0" t="n">
        <v>58</v>
      </c>
      <c r="I2586" s="0" t="s">
        <v>8612</v>
      </c>
      <c r="J2586" s="0" t="s">
        <v>8613</v>
      </c>
      <c r="K2586" s="0" t="s">
        <v>8614</v>
      </c>
      <c r="L2586" s="0" t="str">
        <f aca="false">HYPERLINK("https://www.ncbi.nlm.nih.gov/nuccore/CP000304.1?report=graph&amp;tracks=[key:gene_model_track,Options:GeneOnly]&amp;mk=771395:771414|offset_14|444444,771439:771458|offset_58|00cc00,771467:771486|offset_86|444444,771494:771513|offset_113|444444&amp;v=771194:771713&amp;c=444444", "offset 58")</f>
        <v>offset 58</v>
      </c>
    </row>
    <row r="2587" customFormat="false" ht="12.8" hidden="false" customHeight="false" outlineLevel="0" collapsed="false">
      <c r="A2587" s="0" t="s">
        <v>12</v>
      </c>
      <c r="B2587" s="0" t="n">
        <v>771466</v>
      </c>
      <c r="C2587" s="0" t="n">
        <v>771486</v>
      </c>
      <c r="D2587" s="0" t="s">
        <v>8608</v>
      </c>
      <c r="E2587" s="0" t="s">
        <v>89</v>
      </c>
      <c r="F2587" s="0" t="s">
        <v>15</v>
      </c>
      <c r="G2587" s="0" t="s">
        <v>26</v>
      </c>
      <c r="H2587" s="0" t="n">
        <v>86</v>
      </c>
      <c r="I2587" s="0" t="s">
        <v>8615</v>
      </c>
      <c r="J2587" s="0" t="s">
        <v>8616</v>
      </c>
      <c r="K2587" s="0" t="s">
        <v>8617</v>
      </c>
      <c r="L2587" s="0" t="str">
        <f aca="false">HYPERLINK("https://www.ncbi.nlm.nih.gov/nuccore/CP000304.1?report=graph&amp;tracks=[key:gene_model_track,Options:GeneOnly]&amp;mk=771395:771414|offset_14|444444,771439:771458|offset_58|444444,771467:771486|offset_86|00cc00,771494:771513|offset_113|444444&amp;v=771194:771713&amp;c=444444", "offset 86")</f>
        <v>offset 86</v>
      </c>
    </row>
    <row r="2588" customFormat="false" ht="12.8" hidden="false" customHeight="false" outlineLevel="0" collapsed="false">
      <c r="A2588" s="0" t="s">
        <v>12</v>
      </c>
      <c r="B2588" s="0" t="n">
        <v>771493</v>
      </c>
      <c r="C2588" s="0" t="n">
        <v>771513</v>
      </c>
      <c r="D2588" s="0" t="s">
        <v>8608</v>
      </c>
      <c r="E2588" s="0" t="s">
        <v>89</v>
      </c>
      <c r="F2588" s="0" t="s">
        <v>15</v>
      </c>
      <c r="G2588" s="0" t="s">
        <v>26</v>
      </c>
      <c r="H2588" s="0" t="n">
        <v>113</v>
      </c>
      <c r="I2588" s="0" t="s">
        <v>8618</v>
      </c>
      <c r="J2588" s="0" t="s">
        <v>8619</v>
      </c>
      <c r="K2588" s="0" t="s">
        <v>8620</v>
      </c>
      <c r="L2588" s="0" t="str">
        <f aca="false">HYPERLINK("https://www.ncbi.nlm.nih.gov/nuccore/CP000304.1?report=graph&amp;tracks=[key:gene_model_track,Options:GeneOnly]&amp;mk=771395:771414|offset_14|444444,771439:771458|offset_58|444444,771467:771486|offset_86|444444,771494:771513|offset_113|00cc00&amp;v=771194:771713&amp;c=444444", "offset 113")</f>
        <v>offset 113</v>
      </c>
    </row>
    <row r="2589" customFormat="false" ht="12.8" hidden="false" customHeight="false" outlineLevel="0" collapsed="false">
      <c r="A2589" s="0" t="s">
        <v>12</v>
      </c>
      <c r="B2589" s="0" t="n">
        <v>773232</v>
      </c>
      <c r="C2589" s="0" t="n">
        <v>773252</v>
      </c>
      <c r="D2589" s="0" t="s">
        <v>8621</v>
      </c>
      <c r="E2589" s="0" t="s">
        <v>89</v>
      </c>
      <c r="F2589" s="0" t="s">
        <v>15</v>
      </c>
      <c r="G2589" s="0" t="s">
        <v>16</v>
      </c>
      <c r="H2589" s="0" t="n">
        <v>184</v>
      </c>
      <c r="I2589" s="0" t="s">
        <v>8622</v>
      </c>
      <c r="J2589" s="0" t="s">
        <v>8623</v>
      </c>
      <c r="K2589" s="0" t="s">
        <v>8624</v>
      </c>
      <c r="L2589" s="0" t="str">
        <f aca="false">HYPERLINK("https://www.ncbi.nlm.nih.gov/nuccore/CP000304.1?report=graph&amp;tracks=[key:gene_model_track,Options:GeneOnly]&amp;mk=773233:773252|offset_184|00cc00&amp;v=773032:773452&amp;c=444444", "offset 184")</f>
        <v>offset 184</v>
      </c>
    </row>
    <row r="2590" customFormat="false" ht="12.8" hidden="false" customHeight="false" outlineLevel="0" collapsed="false">
      <c r="A2590" s="0" t="s">
        <v>12</v>
      </c>
      <c r="B2590" s="0" t="n">
        <v>774776</v>
      </c>
      <c r="C2590" s="0" t="n">
        <v>774796</v>
      </c>
      <c r="D2590" s="0" t="s">
        <v>8625</v>
      </c>
      <c r="E2590" s="0" t="s">
        <v>89</v>
      </c>
      <c r="F2590" s="0" t="s">
        <v>90</v>
      </c>
      <c r="G2590" s="0" t="s">
        <v>32</v>
      </c>
      <c r="H2590" s="0" t="n">
        <v>1</v>
      </c>
      <c r="I2590" s="0" t="s">
        <v>8626</v>
      </c>
      <c r="J2590" s="0" t="s">
        <v>8627</v>
      </c>
      <c r="K2590" s="0" t="s">
        <v>8628</v>
      </c>
      <c r="L2590" s="0" t="str">
        <f aca="false">HYPERLINK("https://www.ncbi.nlm.nih.gov/nuccore/CP000304.1?report=graph&amp;tracks=[key:gene_model_track,Options:GeneOnly]&amp;mk=774777:774796|offset_1|00cc00,774719:774738|offset_59|444444,774684:774703|offset_94|444444,774657:774676|offset_121|444444&amp;v=774576:774876&amp;c=444444", "offset 1")</f>
        <v>offset 1</v>
      </c>
    </row>
    <row r="2591" customFormat="false" ht="12.8" hidden="false" customHeight="false" outlineLevel="0" collapsed="false">
      <c r="A2591" s="0" t="s">
        <v>12</v>
      </c>
      <c r="B2591" s="0" t="n">
        <v>774718</v>
      </c>
      <c r="C2591" s="0" t="n">
        <v>774738</v>
      </c>
      <c r="D2591" s="0" t="s">
        <v>8625</v>
      </c>
      <c r="E2591" s="0" t="s">
        <v>89</v>
      </c>
      <c r="F2591" s="0" t="s">
        <v>90</v>
      </c>
      <c r="G2591" s="0" t="s">
        <v>32</v>
      </c>
      <c r="H2591" s="0" t="n">
        <v>59</v>
      </c>
      <c r="I2591" s="0" t="s">
        <v>8629</v>
      </c>
      <c r="J2591" s="0" t="s">
        <v>8630</v>
      </c>
      <c r="K2591" s="0" t="s">
        <v>8631</v>
      </c>
      <c r="L2591" s="0" t="str">
        <f aca="false">HYPERLINK("https://www.ncbi.nlm.nih.gov/nuccore/CP000304.1?report=graph&amp;tracks=[key:gene_model_track,Options:GeneOnly]&amp;mk=774777:774796|offset_1|444444,774719:774738|offset_59|00cc00,774684:774703|offset_94|444444,774657:774676|offset_121|444444&amp;v=774576:774876&amp;c=444444", "offset 59")</f>
        <v>offset 59</v>
      </c>
    </row>
    <row r="2592" customFormat="false" ht="12.8" hidden="false" customHeight="false" outlineLevel="0" collapsed="false">
      <c r="A2592" s="0" t="s">
        <v>12</v>
      </c>
      <c r="B2592" s="0" t="n">
        <v>774683</v>
      </c>
      <c r="C2592" s="0" t="n">
        <v>774703</v>
      </c>
      <c r="D2592" s="0" t="s">
        <v>8625</v>
      </c>
      <c r="E2592" s="0" t="s">
        <v>89</v>
      </c>
      <c r="F2592" s="0" t="s">
        <v>90</v>
      </c>
      <c r="G2592" s="0" t="s">
        <v>16</v>
      </c>
      <c r="H2592" s="0" t="n">
        <v>94</v>
      </c>
      <c r="I2592" s="0" t="s">
        <v>8632</v>
      </c>
      <c r="J2592" s="0" t="s">
        <v>8633</v>
      </c>
      <c r="K2592" s="0" t="s">
        <v>8634</v>
      </c>
      <c r="L2592" s="0" t="str">
        <f aca="false">HYPERLINK("https://www.ncbi.nlm.nih.gov/nuccore/CP000304.1?report=graph&amp;tracks=[key:gene_model_track,Options:GeneOnly]&amp;mk=774777:774796|offset_1|444444,774719:774738|offset_59|444444,774684:774703|offset_94|00cc00,774657:774676|offset_121|444444&amp;v=774576:774876&amp;c=444444", "offset 94")</f>
        <v>offset 94</v>
      </c>
    </row>
    <row r="2593" customFormat="false" ht="12.8" hidden="false" customHeight="false" outlineLevel="0" collapsed="false">
      <c r="A2593" s="0" t="s">
        <v>12</v>
      </c>
      <c r="B2593" s="0" t="n">
        <v>774656</v>
      </c>
      <c r="C2593" s="0" t="n">
        <v>774676</v>
      </c>
      <c r="D2593" s="0" t="s">
        <v>8625</v>
      </c>
      <c r="E2593" s="0" t="s">
        <v>89</v>
      </c>
      <c r="F2593" s="0" t="s">
        <v>90</v>
      </c>
      <c r="G2593" s="0" t="s">
        <v>16</v>
      </c>
      <c r="H2593" s="0" t="n">
        <v>121</v>
      </c>
      <c r="I2593" s="0" t="s">
        <v>8635</v>
      </c>
      <c r="J2593" s="0" t="s">
        <v>8636</v>
      </c>
      <c r="K2593" s="0" t="s">
        <v>8637</v>
      </c>
      <c r="L2593" s="0" t="str">
        <f aca="false">HYPERLINK("https://www.ncbi.nlm.nih.gov/nuccore/CP000304.1?report=graph&amp;tracks=[key:gene_model_track,Options:GeneOnly]&amp;mk=774777:774796|offset_1|444444,774719:774738|offset_59|444444,774684:774703|offset_94|444444,774657:774676|offset_121|00cc00&amp;v=774576:774876&amp;c=444444", "offset 121")</f>
        <v>offset 121</v>
      </c>
    </row>
    <row r="2594" customFormat="false" ht="12.8" hidden="false" customHeight="false" outlineLevel="0" collapsed="false">
      <c r="A2594" s="0" t="s">
        <v>12</v>
      </c>
      <c r="B2594" s="0" t="n">
        <v>776650</v>
      </c>
      <c r="C2594" s="0" t="n">
        <v>776670</v>
      </c>
      <c r="D2594" s="0" t="s">
        <v>8638</v>
      </c>
      <c r="E2594" s="0" t="s">
        <v>8639</v>
      </c>
      <c r="F2594" s="0" t="s">
        <v>90</v>
      </c>
      <c r="G2594" s="0" t="s">
        <v>32</v>
      </c>
      <c r="H2594" s="0" t="n">
        <v>1</v>
      </c>
      <c r="I2594" s="0" t="s">
        <v>8640</v>
      </c>
      <c r="J2594" s="0" t="s">
        <v>8641</v>
      </c>
      <c r="K2594" s="0" t="s">
        <v>8642</v>
      </c>
      <c r="L2594" s="0" t="str">
        <f aca="false">HYPERLINK("https://www.ncbi.nlm.nih.gov/nuccore/CP000304.1?report=graph&amp;tracks=[key:gene_model_track,Options:GeneOnly]&amp;mk=776651:776670|offset_1|00cc00,776612:776631|offset_40|444444,776539:776558|offset_113|444444,776516:776535|offset_136|444444&amp;v=776450:776735&amp;c=444444", "offset 1")</f>
        <v>offset 1</v>
      </c>
    </row>
    <row r="2595" customFormat="false" ht="12.8" hidden="false" customHeight="false" outlineLevel="0" collapsed="false">
      <c r="A2595" s="0" t="s">
        <v>12</v>
      </c>
      <c r="B2595" s="0" t="n">
        <v>776611</v>
      </c>
      <c r="C2595" s="0" t="n">
        <v>776631</v>
      </c>
      <c r="D2595" s="0" t="s">
        <v>8638</v>
      </c>
      <c r="E2595" s="0" t="s">
        <v>8639</v>
      </c>
      <c r="F2595" s="0" t="s">
        <v>90</v>
      </c>
      <c r="G2595" s="0" t="s">
        <v>26</v>
      </c>
      <c r="H2595" s="0" t="n">
        <v>40</v>
      </c>
      <c r="I2595" s="0" t="s">
        <v>8643</v>
      </c>
      <c r="J2595" s="0" t="s">
        <v>8644</v>
      </c>
      <c r="K2595" s="0" t="s">
        <v>8645</v>
      </c>
      <c r="L2595" s="0" t="str">
        <f aca="false">HYPERLINK("https://www.ncbi.nlm.nih.gov/nuccore/CP000304.1?report=graph&amp;tracks=[key:gene_model_track,Options:GeneOnly]&amp;mk=776651:776670|offset_1|444444,776612:776631|offset_40|00cc00,776539:776558|offset_113|444444,776516:776535|offset_136|444444&amp;v=776450:776735&amp;c=444444", "offset 40")</f>
        <v>offset 40</v>
      </c>
    </row>
    <row r="2596" customFormat="false" ht="12.8" hidden="false" customHeight="false" outlineLevel="0" collapsed="false">
      <c r="A2596" s="0" t="s">
        <v>12</v>
      </c>
      <c r="B2596" s="0" t="n">
        <v>776538</v>
      </c>
      <c r="C2596" s="0" t="n">
        <v>776558</v>
      </c>
      <c r="D2596" s="0" t="s">
        <v>8638</v>
      </c>
      <c r="E2596" s="0" t="s">
        <v>8639</v>
      </c>
      <c r="F2596" s="0" t="s">
        <v>90</v>
      </c>
      <c r="G2596" s="0" t="s">
        <v>26</v>
      </c>
      <c r="H2596" s="0" t="n">
        <v>113</v>
      </c>
      <c r="I2596" s="0" t="s">
        <v>8646</v>
      </c>
      <c r="J2596" s="0" t="s">
        <v>8647</v>
      </c>
      <c r="K2596" s="0" t="s">
        <v>8648</v>
      </c>
      <c r="L2596" s="0" t="str">
        <f aca="false">HYPERLINK("https://www.ncbi.nlm.nih.gov/nuccore/CP000304.1?report=graph&amp;tracks=[key:gene_model_track,Options:GeneOnly]&amp;mk=776651:776670|offset_1|444444,776612:776631|offset_40|444444,776539:776558|offset_113|00cc00,776516:776535|offset_136|444444&amp;v=776450:776735&amp;c=444444", "offset 113")</f>
        <v>offset 113</v>
      </c>
    </row>
    <row r="2597" customFormat="false" ht="12.8" hidden="false" customHeight="false" outlineLevel="0" collapsed="false">
      <c r="A2597" s="0" t="s">
        <v>12</v>
      </c>
      <c r="B2597" s="0" t="n">
        <v>776515</v>
      </c>
      <c r="C2597" s="0" t="n">
        <v>776535</v>
      </c>
      <c r="D2597" s="0" t="s">
        <v>8638</v>
      </c>
      <c r="E2597" s="0" t="s">
        <v>8639</v>
      </c>
      <c r="F2597" s="0" t="s">
        <v>90</v>
      </c>
      <c r="G2597" s="0" t="s">
        <v>26</v>
      </c>
      <c r="H2597" s="0" t="n">
        <v>136</v>
      </c>
      <c r="I2597" s="0" t="s">
        <v>8649</v>
      </c>
      <c r="J2597" s="0" t="s">
        <v>8650</v>
      </c>
      <c r="K2597" s="0" t="s">
        <v>8651</v>
      </c>
      <c r="L2597" s="0" t="str">
        <f aca="false">HYPERLINK("https://www.ncbi.nlm.nih.gov/nuccore/CP000304.1?report=graph&amp;tracks=[key:gene_model_track,Options:GeneOnly]&amp;mk=776651:776670|offset_1|444444,776612:776631|offset_40|444444,776539:776558|offset_113|444444,776516:776535|offset_136|00cc00&amp;v=776450:776735&amp;c=444444", "offset 136")</f>
        <v>offset 136</v>
      </c>
    </row>
    <row r="2598" customFormat="false" ht="12.8" hidden="false" customHeight="false" outlineLevel="0" collapsed="false">
      <c r="A2598" s="0" t="s">
        <v>12</v>
      </c>
      <c r="B2598" s="0" t="n">
        <v>777964</v>
      </c>
      <c r="C2598" s="0" t="n">
        <v>777984</v>
      </c>
      <c r="D2598" s="0" t="s">
        <v>8652</v>
      </c>
      <c r="E2598" s="0" t="s">
        <v>8653</v>
      </c>
      <c r="F2598" s="0" t="s">
        <v>90</v>
      </c>
      <c r="G2598" s="0" t="s">
        <v>32</v>
      </c>
      <c r="H2598" s="0" t="n">
        <v>47</v>
      </c>
      <c r="I2598" s="0" t="s">
        <v>8654</v>
      </c>
      <c r="J2598" s="0" t="s">
        <v>8655</v>
      </c>
      <c r="K2598" s="0" t="s">
        <v>8656</v>
      </c>
      <c r="L2598" s="0" t="str">
        <f aca="false">HYPERLINK("https://www.ncbi.nlm.nih.gov/nuccore/CP000304.1?report=graph&amp;tracks=[key:gene_model_track,Options:GeneOnly]&amp;mk=777965:777984|offset_47|00cc00,777941:777960|offset_71|444444,777909:777928|offset_103|444444,777881:777900|offset_131|444444&amp;v=777764:778100&amp;c=444444", "offset 47")</f>
        <v>offset 47</v>
      </c>
    </row>
    <row r="2599" customFormat="false" ht="12.8" hidden="false" customHeight="false" outlineLevel="0" collapsed="false">
      <c r="A2599" s="0" t="s">
        <v>12</v>
      </c>
      <c r="B2599" s="0" t="n">
        <v>777940</v>
      </c>
      <c r="C2599" s="0" t="n">
        <v>777960</v>
      </c>
      <c r="D2599" s="0" t="s">
        <v>8652</v>
      </c>
      <c r="E2599" s="0" t="s">
        <v>8653</v>
      </c>
      <c r="F2599" s="0" t="s">
        <v>90</v>
      </c>
      <c r="G2599" s="0" t="s">
        <v>26</v>
      </c>
      <c r="H2599" s="0" t="n">
        <v>71</v>
      </c>
      <c r="I2599" s="0" t="s">
        <v>8657</v>
      </c>
      <c r="J2599" s="0" t="s">
        <v>8658</v>
      </c>
      <c r="K2599" s="0" t="s">
        <v>8659</v>
      </c>
      <c r="L2599" s="0" t="str">
        <f aca="false">HYPERLINK("https://www.ncbi.nlm.nih.gov/nuccore/CP000304.1?report=graph&amp;tracks=[key:gene_model_track,Options:GeneOnly]&amp;mk=777965:777984|offset_47|444444,777941:777960|offset_71|00cc00,777909:777928|offset_103|444444,777881:777900|offset_131|444444&amp;v=777764:778100&amp;c=444444", "offset 71")</f>
        <v>offset 71</v>
      </c>
    </row>
    <row r="2600" customFormat="false" ht="12.8" hidden="false" customHeight="false" outlineLevel="0" collapsed="false">
      <c r="A2600" s="0" t="s">
        <v>12</v>
      </c>
      <c r="B2600" s="0" t="n">
        <v>777908</v>
      </c>
      <c r="C2600" s="0" t="n">
        <v>777928</v>
      </c>
      <c r="D2600" s="0" t="s">
        <v>8652</v>
      </c>
      <c r="E2600" s="0" t="s">
        <v>8653</v>
      </c>
      <c r="F2600" s="0" t="s">
        <v>90</v>
      </c>
      <c r="G2600" s="0" t="s">
        <v>32</v>
      </c>
      <c r="H2600" s="0" t="n">
        <v>103</v>
      </c>
      <c r="I2600" s="0" t="s">
        <v>8660</v>
      </c>
      <c r="J2600" s="0" t="s">
        <v>8661</v>
      </c>
      <c r="K2600" s="0" t="s">
        <v>8662</v>
      </c>
      <c r="L2600" s="0" t="str">
        <f aca="false">HYPERLINK("https://www.ncbi.nlm.nih.gov/nuccore/CP000304.1?report=graph&amp;tracks=[key:gene_model_track,Options:GeneOnly]&amp;mk=777965:777984|offset_47|444444,777941:777960|offset_71|444444,777909:777928|offset_103|00cc00,777881:777900|offset_131|444444&amp;v=777764:778100&amp;c=444444", "offset 103")</f>
        <v>offset 103</v>
      </c>
    </row>
    <row r="2601" customFormat="false" ht="12.8" hidden="false" customHeight="false" outlineLevel="0" collapsed="false">
      <c r="A2601" s="0" t="s">
        <v>12</v>
      </c>
      <c r="B2601" s="0" t="n">
        <v>777880</v>
      </c>
      <c r="C2601" s="0" t="n">
        <v>777900</v>
      </c>
      <c r="D2601" s="0" t="s">
        <v>8652</v>
      </c>
      <c r="E2601" s="0" t="s">
        <v>8653</v>
      </c>
      <c r="F2601" s="0" t="s">
        <v>90</v>
      </c>
      <c r="G2601" s="0" t="s">
        <v>26</v>
      </c>
      <c r="H2601" s="0" t="n">
        <v>131</v>
      </c>
      <c r="I2601" s="0" t="s">
        <v>8663</v>
      </c>
      <c r="J2601" s="0" t="s">
        <v>8664</v>
      </c>
      <c r="K2601" s="0" t="s">
        <v>8665</v>
      </c>
      <c r="L2601" s="0" t="str">
        <f aca="false">HYPERLINK("https://www.ncbi.nlm.nih.gov/nuccore/CP000304.1?report=graph&amp;tracks=[key:gene_model_track,Options:GeneOnly]&amp;mk=777965:777984|offset_47|444444,777941:777960|offset_71|444444,777909:777928|offset_103|444444,777881:777900|offset_131|00cc00&amp;v=777764:778100&amp;c=444444", "offset 131")</f>
        <v>offset 131</v>
      </c>
    </row>
    <row r="2602" customFormat="false" ht="12.8" hidden="false" customHeight="false" outlineLevel="0" collapsed="false">
      <c r="A2602" s="0" t="s">
        <v>12</v>
      </c>
      <c r="B2602" s="0" t="n">
        <v>779318</v>
      </c>
      <c r="C2602" s="0" t="n">
        <v>779338</v>
      </c>
      <c r="D2602" s="0" t="s">
        <v>8666</v>
      </c>
      <c r="E2602" s="0" t="s">
        <v>8667</v>
      </c>
      <c r="F2602" s="0" t="s">
        <v>90</v>
      </c>
      <c r="G2602" s="0" t="s">
        <v>32</v>
      </c>
      <c r="H2602" s="0" t="n">
        <v>7</v>
      </c>
      <c r="I2602" s="0" t="s">
        <v>8668</v>
      </c>
      <c r="J2602" s="0" t="s">
        <v>8669</v>
      </c>
      <c r="K2602" s="0" t="s">
        <v>8670</v>
      </c>
      <c r="L2602" s="0" t="str">
        <f aca="false">HYPERLINK("https://www.ncbi.nlm.nih.gov/nuccore/CP000304.1?report=graph&amp;tracks=[key:gene_model_track,Options:GeneOnly]&amp;mk=779319:779338|offset_7|00cc00,779295:779314|offset_31|444444,779257:779276|offset_69|444444,779237:779256|offset_89|444444&amp;v=779118:779456&amp;c=444444", "offset 7")</f>
        <v>offset 7</v>
      </c>
    </row>
    <row r="2603" customFormat="false" ht="12.8" hidden="false" customHeight="false" outlineLevel="0" collapsed="false">
      <c r="A2603" s="0" t="s">
        <v>12</v>
      </c>
      <c r="B2603" s="0" t="n">
        <v>779294</v>
      </c>
      <c r="C2603" s="0" t="n">
        <v>779314</v>
      </c>
      <c r="D2603" s="0" t="s">
        <v>8666</v>
      </c>
      <c r="E2603" s="0" t="s">
        <v>8667</v>
      </c>
      <c r="F2603" s="0" t="s">
        <v>90</v>
      </c>
      <c r="G2603" s="0" t="s">
        <v>16</v>
      </c>
      <c r="H2603" s="0" t="n">
        <v>31</v>
      </c>
      <c r="I2603" s="0" t="s">
        <v>8671</v>
      </c>
      <c r="J2603" s="0" t="s">
        <v>8672</v>
      </c>
      <c r="K2603" s="0" t="s">
        <v>8673</v>
      </c>
      <c r="L2603" s="0" t="str">
        <f aca="false">HYPERLINK("https://www.ncbi.nlm.nih.gov/nuccore/CP000304.1?report=graph&amp;tracks=[key:gene_model_track,Options:GeneOnly]&amp;mk=779319:779338|offset_7|444444,779295:779314|offset_31|00cc00,779257:779276|offset_69|444444,779237:779256|offset_89|444444&amp;v=779118:779456&amp;c=444444", "offset 31")</f>
        <v>offset 31</v>
      </c>
    </row>
    <row r="2604" customFormat="false" ht="12.8" hidden="false" customHeight="false" outlineLevel="0" collapsed="false">
      <c r="A2604" s="0" t="s">
        <v>12</v>
      </c>
      <c r="B2604" s="0" t="n">
        <v>779256</v>
      </c>
      <c r="C2604" s="0" t="n">
        <v>779276</v>
      </c>
      <c r="D2604" s="0" t="s">
        <v>8666</v>
      </c>
      <c r="E2604" s="0" t="s">
        <v>8667</v>
      </c>
      <c r="F2604" s="0" t="s">
        <v>90</v>
      </c>
      <c r="G2604" s="0" t="s">
        <v>36</v>
      </c>
      <c r="H2604" s="0" t="n">
        <v>69</v>
      </c>
      <c r="I2604" s="0" t="s">
        <v>8674</v>
      </c>
      <c r="J2604" s="0" t="s">
        <v>8675</v>
      </c>
      <c r="K2604" s="0" t="s">
        <v>8676</v>
      </c>
      <c r="L2604" s="0" t="str">
        <f aca="false">HYPERLINK("https://www.ncbi.nlm.nih.gov/nuccore/CP000304.1?report=graph&amp;tracks=[key:gene_model_track,Options:GeneOnly]&amp;mk=779319:779338|offset_7|444444,779295:779314|offset_31|444444,779257:779276|offset_69|00cc00,779237:779256|offset_89|444444&amp;v=779118:779456&amp;c=444444", "offset 69")</f>
        <v>offset 69</v>
      </c>
    </row>
    <row r="2605" customFormat="false" ht="12.8" hidden="false" customHeight="false" outlineLevel="0" collapsed="false">
      <c r="A2605" s="0" t="s">
        <v>12</v>
      </c>
      <c r="B2605" s="0" t="n">
        <v>779236</v>
      </c>
      <c r="C2605" s="0" t="n">
        <v>779256</v>
      </c>
      <c r="D2605" s="0" t="s">
        <v>8666</v>
      </c>
      <c r="E2605" s="0" t="s">
        <v>8667</v>
      </c>
      <c r="F2605" s="0" t="s">
        <v>90</v>
      </c>
      <c r="G2605" s="0" t="s">
        <v>26</v>
      </c>
      <c r="H2605" s="0" t="n">
        <v>89</v>
      </c>
      <c r="I2605" s="0" t="s">
        <v>8677</v>
      </c>
      <c r="J2605" s="0" t="s">
        <v>8678</v>
      </c>
      <c r="K2605" s="0" t="s">
        <v>8679</v>
      </c>
      <c r="L2605" s="0" t="str">
        <f aca="false">HYPERLINK("https://www.ncbi.nlm.nih.gov/nuccore/CP000304.1?report=graph&amp;tracks=[key:gene_model_track,Options:GeneOnly]&amp;mk=779319:779338|offset_7|444444,779295:779314|offset_31|444444,779257:779276|offset_69|444444,779237:779256|offset_89|00cc00&amp;v=779118:779456&amp;c=444444", "offset 89")</f>
        <v>offset 89</v>
      </c>
    </row>
    <row r="2606" customFormat="false" ht="12.8" hidden="false" customHeight="false" outlineLevel="0" collapsed="false">
      <c r="A2606" s="0" t="s">
        <v>12</v>
      </c>
      <c r="B2606" s="0" t="n">
        <v>780775</v>
      </c>
      <c r="C2606" s="0" t="n">
        <v>780795</v>
      </c>
      <c r="D2606" s="0" t="s">
        <v>8680</v>
      </c>
      <c r="E2606" s="0" t="s">
        <v>8681</v>
      </c>
      <c r="F2606" s="0" t="s">
        <v>90</v>
      </c>
      <c r="G2606" s="0" t="s">
        <v>26</v>
      </c>
      <c r="H2606" s="0" t="n">
        <v>29</v>
      </c>
      <c r="I2606" s="0" t="s">
        <v>8682</v>
      </c>
      <c r="J2606" s="0" t="s">
        <v>8683</v>
      </c>
      <c r="K2606" s="0" t="s">
        <v>8684</v>
      </c>
      <c r="L2606" s="0" t="str">
        <f aca="false">HYPERLINK("https://www.ncbi.nlm.nih.gov/nuccore/CP000304.1?report=graph&amp;tracks=[key:gene_model_track,Options:GeneOnly]&amp;mk=780776:780795|offset_29|00cc00,780715:780734|offset_90|444444,780693:780712|offset_112|444444,780657:780676|offset_148|444444&amp;v=780575:780876&amp;c=444444", "offset 29")</f>
        <v>offset 29</v>
      </c>
    </row>
    <row r="2607" customFormat="false" ht="12.8" hidden="false" customHeight="false" outlineLevel="0" collapsed="false">
      <c r="A2607" s="0" t="s">
        <v>12</v>
      </c>
      <c r="B2607" s="0" t="n">
        <v>780714</v>
      </c>
      <c r="C2607" s="0" t="n">
        <v>780734</v>
      </c>
      <c r="D2607" s="0" t="s">
        <v>8680</v>
      </c>
      <c r="E2607" s="0" t="s">
        <v>8681</v>
      </c>
      <c r="F2607" s="0" t="s">
        <v>90</v>
      </c>
      <c r="G2607" s="0" t="s">
        <v>16</v>
      </c>
      <c r="H2607" s="0" t="n">
        <v>90</v>
      </c>
      <c r="I2607" s="0" t="s">
        <v>8685</v>
      </c>
      <c r="J2607" s="0" t="s">
        <v>8686</v>
      </c>
      <c r="K2607" s="0" t="s">
        <v>8687</v>
      </c>
      <c r="L2607" s="0" t="str">
        <f aca="false">HYPERLINK("https://www.ncbi.nlm.nih.gov/nuccore/CP000304.1?report=graph&amp;tracks=[key:gene_model_track,Options:GeneOnly]&amp;mk=780776:780795|offset_29|444444,780715:780734|offset_90|00cc00,780693:780712|offset_112|444444,780657:780676|offset_148|444444&amp;v=780575:780876&amp;c=444444", "offset 90")</f>
        <v>offset 90</v>
      </c>
    </row>
    <row r="2608" customFormat="false" ht="12.8" hidden="false" customHeight="false" outlineLevel="0" collapsed="false">
      <c r="A2608" s="0" t="s">
        <v>12</v>
      </c>
      <c r="B2608" s="0" t="n">
        <v>780692</v>
      </c>
      <c r="C2608" s="0" t="n">
        <v>780712</v>
      </c>
      <c r="D2608" s="0" t="s">
        <v>8680</v>
      </c>
      <c r="E2608" s="0" t="s">
        <v>8681</v>
      </c>
      <c r="F2608" s="0" t="s">
        <v>90</v>
      </c>
      <c r="G2608" s="0" t="s">
        <v>32</v>
      </c>
      <c r="H2608" s="0" t="n">
        <v>112</v>
      </c>
      <c r="I2608" s="0" t="s">
        <v>8688</v>
      </c>
      <c r="J2608" s="0" t="s">
        <v>8689</v>
      </c>
      <c r="K2608" s="0" t="s">
        <v>8690</v>
      </c>
      <c r="L2608" s="0" t="str">
        <f aca="false">HYPERLINK("https://www.ncbi.nlm.nih.gov/nuccore/CP000304.1?report=graph&amp;tracks=[key:gene_model_track,Options:GeneOnly]&amp;mk=780776:780795|offset_29|444444,780715:780734|offset_90|444444,780693:780712|offset_112|00cc00,780657:780676|offset_148|444444&amp;v=780575:780876&amp;c=444444", "offset 112")</f>
        <v>offset 112</v>
      </c>
    </row>
    <row r="2609" customFormat="false" ht="12.8" hidden="false" customHeight="false" outlineLevel="0" collapsed="false">
      <c r="A2609" s="0" t="s">
        <v>12</v>
      </c>
      <c r="B2609" s="0" t="n">
        <v>780656</v>
      </c>
      <c r="C2609" s="0" t="n">
        <v>780676</v>
      </c>
      <c r="D2609" s="0" t="s">
        <v>8680</v>
      </c>
      <c r="E2609" s="0" t="s">
        <v>8681</v>
      </c>
      <c r="F2609" s="0" t="s">
        <v>90</v>
      </c>
      <c r="G2609" s="0" t="s">
        <v>16</v>
      </c>
      <c r="H2609" s="0" t="n">
        <v>148</v>
      </c>
      <c r="I2609" s="0" t="s">
        <v>8691</v>
      </c>
      <c r="J2609" s="0" t="s">
        <v>8692</v>
      </c>
      <c r="K2609" s="0" t="s">
        <v>8693</v>
      </c>
      <c r="L2609" s="0" t="str">
        <f aca="false">HYPERLINK("https://www.ncbi.nlm.nih.gov/nuccore/CP000304.1?report=graph&amp;tracks=[key:gene_model_track,Options:GeneOnly]&amp;mk=780776:780795|offset_29|444444,780715:780734|offset_90|444444,780693:780712|offset_112|444444,780657:780676|offset_148|00cc00&amp;v=780575:780876&amp;c=444444", "offset 148")</f>
        <v>offset 148</v>
      </c>
    </row>
    <row r="2610" customFormat="false" ht="12.8" hidden="false" customHeight="false" outlineLevel="0" collapsed="false">
      <c r="A2610" s="0" t="s">
        <v>12</v>
      </c>
      <c r="B2610" s="0" t="n">
        <v>781144</v>
      </c>
      <c r="C2610" s="0" t="n">
        <v>781164</v>
      </c>
      <c r="D2610" s="0" t="s">
        <v>8694</v>
      </c>
      <c r="E2610" s="0" t="s">
        <v>89</v>
      </c>
      <c r="F2610" s="0" t="s">
        <v>90</v>
      </c>
      <c r="G2610" s="0" t="s">
        <v>26</v>
      </c>
      <c r="H2610" s="0" t="n">
        <v>17</v>
      </c>
      <c r="I2610" s="0" t="s">
        <v>8695</v>
      </c>
      <c r="J2610" s="0" t="s">
        <v>8696</v>
      </c>
      <c r="K2610" s="0" t="s">
        <v>8697</v>
      </c>
      <c r="L2610" s="0" t="str">
        <f aca="false">HYPERLINK("https://www.ncbi.nlm.nih.gov/nuccore/CP000304.1?report=graph&amp;tracks=[key:gene_model_track,Options:GeneOnly]&amp;mk=781145:781164|offset_17|00cc00,781098:781117|offset_64|444444,781061:781080|offset_101|444444,781003:781022|offset_159|444444&amp;v=780944:781222&amp;c=444444", "offset 17")</f>
        <v>offset 17</v>
      </c>
    </row>
    <row r="2611" customFormat="false" ht="12.8" hidden="false" customHeight="false" outlineLevel="0" collapsed="false">
      <c r="A2611" s="0" t="s">
        <v>12</v>
      </c>
      <c r="B2611" s="0" t="n">
        <v>781097</v>
      </c>
      <c r="C2611" s="0" t="n">
        <v>781117</v>
      </c>
      <c r="D2611" s="0" t="s">
        <v>8694</v>
      </c>
      <c r="E2611" s="0" t="s">
        <v>89</v>
      </c>
      <c r="F2611" s="0" t="s">
        <v>90</v>
      </c>
      <c r="G2611" s="0" t="s">
        <v>36</v>
      </c>
      <c r="H2611" s="0" t="n">
        <v>64</v>
      </c>
      <c r="I2611" s="0" t="s">
        <v>8698</v>
      </c>
      <c r="J2611" s="0" t="s">
        <v>8699</v>
      </c>
      <c r="K2611" s="0" t="s">
        <v>8700</v>
      </c>
      <c r="L2611" s="0" t="str">
        <f aca="false">HYPERLINK("https://www.ncbi.nlm.nih.gov/nuccore/CP000304.1?report=graph&amp;tracks=[key:gene_model_track,Options:GeneOnly]&amp;mk=781145:781164|offset_17|444444,781098:781117|offset_64|00cc00,781061:781080|offset_101|444444,781003:781022|offset_159|444444&amp;v=780944:781222&amp;c=444444", "offset 64")</f>
        <v>offset 64</v>
      </c>
    </row>
    <row r="2612" customFormat="false" ht="12.8" hidden="false" customHeight="false" outlineLevel="0" collapsed="false">
      <c r="A2612" s="0" t="s">
        <v>12</v>
      </c>
      <c r="B2612" s="0" t="n">
        <v>781060</v>
      </c>
      <c r="C2612" s="0" t="n">
        <v>781080</v>
      </c>
      <c r="D2612" s="0" t="s">
        <v>8694</v>
      </c>
      <c r="E2612" s="0" t="s">
        <v>89</v>
      </c>
      <c r="F2612" s="0" t="s">
        <v>90</v>
      </c>
      <c r="G2612" s="0" t="s">
        <v>32</v>
      </c>
      <c r="H2612" s="0" t="n">
        <v>101</v>
      </c>
      <c r="I2612" s="0" t="s">
        <v>8701</v>
      </c>
      <c r="J2612" s="0" t="s">
        <v>8702</v>
      </c>
      <c r="K2612" s="0" t="s">
        <v>8703</v>
      </c>
      <c r="L2612" s="0" t="str">
        <f aca="false">HYPERLINK("https://www.ncbi.nlm.nih.gov/nuccore/CP000304.1?report=graph&amp;tracks=[key:gene_model_track,Options:GeneOnly]&amp;mk=781145:781164|offset_17|444444,781098:781117|offset_64|444444,781061:781080|offset_101|00cc00,781003:781022|offset_159|444444&amp;v=780944:781222&amp;c=444444", "offset 101")</f>
        <v>offset 101</v>
      </c>
    </row>
    <row r="2613" customFormat="false" ht="12.8" hidden="false" customHeight="false" outlineLevel="0" collapsed="false">
      <c r="A2613" s="0" t="s">
        <v>12</v>
      </c>
      <c r="B2613" s="0" t="n">
        <v>781002</v>
      </c>
      <c r="C2613" s="0" t="n">
        <v>781022</v>
      </c>
      <c r="D2613" s="0" t="s">
        <v>8694</v>
      </c>
      <c r="E2613" s="0" t="s">
        <v>89</v>
      </c>
      <c r="F2613" s="0" t="s">
        <v>90</v>
      </c>
      <c r="G2613" s="0" t="s">
        <v>26</v>
      </c>
      <c r="H2613" s="0" t="n">
        <v>159</v>
      </c>
      <c r="I2613" s="0" t="s">
        <v>8704</v>
      </c>
      <c r="J2613" s="0" t="s">
        <v>8705</v>
      </c>
      <c r="K2613" s="0" t="s">
        <v>8706</v>
      </c>
      <c r="L2613" s="0" t="str">
        <f aca="false">HYPERLINK("https://www.ncbi.nlm.nih.gov/nuccore/CP000304.1?report=graph&amp;tracks=[key:gene_model_track,Options:GeneOnly]&amp;mk=781145:781164|offset_17|444444,781098:781117|offset_64|444444,781061:781080|offset_101|444444,781003:781022|offset_159|00cc00&amp;v=780944:781222&amp;c=444444", "offset 159")</f>
        <v>offset 159</v>
      </c>
    </row>
    <row r="2614" customFormat="false" ht="12.8" hidden="false" customHeight="false" outlineLevel="0" collapsed="false">
      <c r="A2614" s="0" t="s">
        <v>12</v>
      </c>
      <c r="B2614" s="0" t="n">
        <v>782596</v>
      </c>
      <c r="C2614" s="0" t="n">
        <v>782616</v>
      </c>
      <c r="D2614" s="0" t="s">
        <v>8707</v>
      </c>
      <c r="E2614" s="0" t="s">
        <v>89</v>
      </c>
      <c r="F2614" s="0" t="s">
        <v>90</v>
      </c>
      <c r="G2614" s="0" t="s">
        <v>32</v>
      </c>
      <c r="H2614" s="0" t="n">
        <v>13</v>
      </c>
      <c r="I2614" s="0" t="s">
        <v>8708</v>
      </c>
      <c r="J2614" s="0" t="s">
        <v>8709</v>
      </c>
      <c r="K2614" s="0" t="s">
        <v>8710</v>
      </c>
      <c r="L2614" s="0" t="str">
        <f aca="false">HYPERLINK("https://www.ncbi.nlm.nih.gov/nuccore/CP000304.1?report=graph&amp;tracks=[key:gene_model_track,Options:GeneOnly]&amp;mk=782597:782616|offset_13|00cc00,782567:782586|offset_43|444444,782531:782550|offset_79|444444,782507:782526|offset_103|444444&amp;v=782396:782726&amp;c=444444", "offset 13")</f>
        <v>offset 13</v>
      </c>
    </row>
    <row r="2615" customFormat="false" ht="12.8" hidden="false" customHeight="false" outlineLevel="0" collapsed="false">
      <c r="A2615" s="0" t="s">
        <v>12</v>
      </c>
      <c r="B2615" s="0" t="n">
        <v>782566</v>
      </c>
      <c r="C2615" s="0" t="n">
        <v>782586</v>
      </c>
      <c r="D2615" s="0" t="s">
        <v>8707</v>
      </c>
      <c r="E2615" s="0" t="s">
        <v>89</v>
      </c>
      <c r="F2615" s="0" t="s">
        <v>90</v>
      </c>
      <c r="G2615" s="0" t="s">
        <v>32</v>
      </c>
      <c r="H2615" s="0" t="n">
        <v>43</v>
      </c>
      <c r="I2615" s="0" t="s">
        <v>8711</v>
      </c>
      <c r="J2615" s="0" t="s">
        <v>8712</v>
      </c>
      <c r="K2615" s="0" t="s">
        <v>8713</v>
      </c>
      <c r="L2615" s="0" t="str">
        <f aca="false">HYPERLINK("https://www.ncbi.nlm.nih.gov/nuccore/CP000304.1?report=graph&amp;tracks=[key:gene_model_track,Options:GeneOnly]&amp;mk=782597:782616|offset_13|444444,782567:782586|offset_43|00cc00,782531:782550|offset_79|444444,782507:782526|offset_103|444444&amp;v=782396:782726&amp;c=444444", "offset 43")</f>
        <v>offset 43</v>
      </c>
    </row>
    <row r="2616" customFormat="false" ht="12.8" hidden="false" customHeight="false" outlineLevel="0" collapsed="false">
      <c r="A2616" s="0" t="s">
        <v>12</v>
      </c>
      <c r="B2616" s="0" t="n">
        <v>782530</v>
      </c>
      <c r="C2616" s="0" t="n">
        <v>782550</v>
      </c>
      <c r="D2616" s="0" t="s">
        <v>8707</v>
      </c>
      <c r="E2616" s="0" t="s">
        <v>89</v>
      </c>
      <c r="F2616" s="0" t="s">
        <v>90</v>
      </c>
      <c r="G2616" s="0" t="s">
        <v>26</v>
      </c>
      <c r="H2616" s="0" t="n">
        <v>79</v>
      </c>
      <c r="I2616" s="0" t="s">
        <v>8714</v>
      </c>
      <c r="J2616" s="0" t="s">
        <v>8715</v>
      </c>
      <c r="K2616" s="0" t="s">
        <v>8716</v>
      </c>
      <c r="L2616" s="0" t="str">
        <f aca="false">HYPERLINK("https://www.ncbi.nlm.nih.gov/nuccore/CP000304.1?report=graph&amp;tracks=[key:gene_model_track,Options:GeneOnly]&amp;mk=782597:782616|offset_13|444444,782567:782586|offset_43|444444,782531:782550|offset_79|00cc00,782507:782526|offset_103|444444&amp;v=782396:782726&amp;c=444444", "offset 79")</f>
        <v>offset 79</v>
      </c>
    </row>
    <row r="2617" customFormat="false" ht="12.8" hidden="false" customHeight="false" outlineLevel="0" collapsed="false">
      <c r="A2617" s="0" t="s">
        <v>12</v>
      </c>
      <c r="B2617" s="0" t="n">
        <v>782506</v>
      </c>
      <c r="C2617" s="0" t="n">
        <v>782526</v>
      </c>
      <c r="D2617" s="0" t="s">
        <v>8707</v>
      </c>
      <c r="E2617" s="0" t="s">
        <v>89</v>
      </c>
      <c r="F2617" s="0" t="s">
        <v>90</v>
      </c>
      <c r="G2617" s="0" t="s">
        <v>16</v>
      </c>
      <c r="H2617" s="0" t="n">
        <v>103</v>
      </c>
      <c r="I2617" s="0" t="s">
        <v>8717</v>
      </c>
      <c r="J2617" s="0" t="s">
        <v>8718</v>
      </c>
      <c r="K2617" s="0" t="s">
        <v>8719</v>
      </c>
      <c r="L2617" s="0" t="str">
        <f aca="false">HYPERLINK("https://www.ncbi.nlm.nih.gov/nuccore/CP000304.1?report=graph&amp;tracks=[key:gene_model_track,Options:GeneOnly]&amp;mk=782597:782616|offset_13|444444,782567:782586|offset_43|444444,782531:782550|offset_79|444444,782507:782526|offset_103|00cc00&amp;v=782396:782726&amp;c=444444", "offset 103")</f>
        <v>offset 103</v>
      </c>
    </row>
    <row r="2618" customFormat="false" ht="12.8" hidden="false" customHeight="false" outlineLevel="0" collapsed="false">
      <c r="A2618" s="0" t="s">
        <v>12</v>
      </c>
      <c r="B2618" s="0" t="n">
        <v>783737</v>
      </c>
      <c r="C2618" s="0" t="n">
        <v>783757</v>
      </c>
      <c r="D2618" s="0" t="s">
        <v>8720</v>
      </c>
      <c r="E2618" s="0" t="s">
        <v>89</v>
      </c>
      <c r="F2618" s="0" t="s">
        <v>90</v>
      </c>
      <c r="G2618" s="0" t="s">
        <v>26</v>
      </c>
      <c r="H2618" s="0" t="n">
        <v>53</v>
      </c>
      <c r="I2618" s="0" t="s">
        <v>8721</v>
      </c>
      <c r="J2618" s="0" t="s">
        <v>8722</v>
      </c>
      <c r="K2618" s="0" t="s">
        <v>8723</v>
      </c>
      <c r="L2618" s="0" t="str">
        <f aca="false">HYPERLINK("https://www.ncbi.nlm.nih.gov/nuccore/CP000304.1?report=graph&amp;tracks=[key:gene_model_track,Options:GeneOnly]&amp;mk=783738:783757|offset_53|00cc00,783697:783716|offset_94|444444,783676:783695|offset_115|444444,783650:783669|offset_141|444444&amp;v=783537:783869&amp;c=444444", "offset 53")</f>
        <v>offset 53</v>
      </c>
    </row>
    <row r="2619" customFormat="false" ht="12.8" hidden="false" customHeight="false" outlineLevel="0" collapsed="false">
      <c r="A2619" s="0" t="s">
        <v>12</v>
      </c>
      <c r="B2619" s="0" t="n">
        <v>783696</v>
      </c>
      <c r="C2619" s="0" t="n">
        <v>783716</v>
      </c>
      <c r="D2619" s="0" t="s">
        <v>8720</v>
      </c>
      <c r="E2619" s="0" t="s">
        <v>89</v>
      </c>
      <c r="F2619" s="0" t="s">
        <v>90</v>
      </c>
      <c r="G2619" s="0" t="s">
        <v>26</v>
      </c>
      <c r="H2619" s="0" t="n">
        <v>94</v>
      </c>
      <c r="I2619" s="0" t="s">
        <v>8724</v>
      </c>
      <c r="J2619" s="0" t="s">
        <v>8725</v>
      </c>
      <c r="K2619" s="0" t="s">
        <v>8726</v>
      </c>
      <c r="L2619" s="0" t="str">
        <f aca="false">HYPERLINK("https://www.ncbi.nlm.nih.gov/nuccore/CP000304.1?report=graph&amp;tracks=[key:gene_model_track,Options:GeneOnly]&amp;mk=783738:783757|offset_53|444444,783697:783716|offset_94|00cc00,783676:783695|offset_115|444444,783650:783669|offset_141|444444&amp;v=783537:783869&amp;c=444444", "offset 94")</f>
        <v>offset 94</v>
      </c>
    </row>
    <row r="2620" customFormat="false" ht="12.8" hidden="false" customHeight="false" outlineLevel="0" collapsed="false">
      <c r="A2620" s="0" t="s">
        <v>12</v>
      </c>
      <c r="B2620" s="0" t="n">
        <v>783675</v>
      </c>
      <c r="C2620" s="0" t="n">
        <v>783695</v>
      </c>
      <c r="D2620" s="0" t="s">
        <v>8720</v>
      </c>
      <c r="E2620" s="0" t="s">
        <v>89</v>
      </c>
      <c r="F2620" s="0" t="s">
        <v>90</v>
      </c>
      <c r="G2620" s="0" t="s">
        <v>36</v>
      </c>
      <c r="H2620" s="0" t="n">
        <v>115</v>
      </c>
      <c r="I2620" s="0" t="s">
        <v>8727</v>
      </c>
      <c r="J2620" s="0" t="s">
        <v>8728</v>
      </c>
      <c r="K2620" s="0" t="s">
        <v>8729</v>
      </c>
      <c r="L2620" s="0" t="str">
        <f aca="false">HYPERLINK("https://www.ncbi.nlm.nih.gov/nuccore/CP000304.1?report=graph&amp;tracks=[key:gene_model_track,Options:GeneOnly]&amp;mk=783738:783757|offset_53|444444,783697:783716|offset_94|444444,783676:783695|offset_115|00cc00,783650:783669|offset_141|444444&amp;v=783537:783869&amp;c=444444", "offset 115")</f>
        <v>offset 115</v>
      </c>
    </row>
    <row r="2621" customFormat="false" ht="12.8" hidden="false" customHeight="false" outlineLevel="0" collapsed="false">
      <c r="A2621" s="0" t="s">
        <v>12</v>
      </c>
      <c r="B2621" s="0" t="n">
        <v>783649</v>
      </c>
      <c r="C2621" s="0" t="n">
        <v>783669</v>
      </c>
      <c r="D2621" s="0" t="s">
        <v>8720</v>
      </c>
      <c r="E2621" s="0" t="s">
        <v>89</v>
      </c>
      <c r="F2621" s="0" t="s">
        <v>90</v>
      </c>
      <c r="G2621" s="0" t="s">
        <v>16</v>
      </c>
      <c r="H2621" s="0" t="n">
        <v>141</v>
      </c>
      <c r="I2621" s="0" t="s">
        <v>8730</v>
      </c>
      <c r="J2621" s="0" t="s">
        <v>8731</v>
      </c>
      <c r="K2621" s="0" t="s">
        <v>8732</v>
      </c>
      <c r="L2621" s="0" t="str">
        <f aca="false">HYPERLINK("https://www.ncbi.nlm.nih.gov/nuccore/CP000304.1?report=graph&amp;tracks=[key:gene_model_track,Options:GeneOnly]&amp;mk=783738:783757|offset_53|444444,783697:783716|offset_94|444444,783676:783695|offset_115|444444,783650:783669|offset_141|00cc00&amp;v=783537:783869&amp;c=444444", "offset 141")</f>
        <v>offset 141</v>
      </c>
    </row>
    <row r="2622" customFormat="false" ht="12.8" hidden="false" customHeight="false" outlineLevel="0" collapsed="false">
      <c r="A2622" s="0" t="s">
        <v>12</v>
      </c>
      <c r="B2622" s="0" t="n">
        <v>786513</v>
      </c>
      <c r="C2622" s="0" t="n">
        <v>786533</v>
      </c>
      <c r="D2622" s="0" t="s">
        <v>8733</v>
      </c>
      <c r="E2622" s="0" t="s">
        <v>89</v>
      </c>
      <c r="F2622" s="0" t="s">
        <v>90</v>
      </c>
      <c r="G2622" s="0" t="s">
        <v>36</v>
      </c>
      <c r="H2622" s="0" t="n">
        <v>50</v>
      </c>
      <c r="I2622" s="0" t="s">
        <v>8734</v>
      </c>
      <c r="J2622" s="0" t="s">
        <v>8735</v>
      </c>
      <c r="K2622" s="0" t="s">
        <v>8736</v>
      </c>
      <c r="L2622" s="0" t="str">
        <f aca="false">HYPERLINK("https://www.ncbi.nlm.nih.gov/nuccore/CP000304.1?report=graph&amp;tracks=[key:gene_model_track,Options:GeneOnly]&amp;mk=786514:786533|offset_50|00cc00,786484:786503|offset_80|444444,786446:786465|offset_118|444444,786415:786434|offset_149|444444&amp;v=786313:786634&amp;c=444444", "offset 50")</f>
        <v>offset 50</v>
      </c>
    </row>
    <row r="2623" customFormat="false" ht="12.8" hidden="false" customHeight="false" outlineLevel="0" collapsed="false">
      <c r="A2623" s="0" t="s">
        <v>12</v>
      </c>
      <c r="B2623" s="0" t="n">
        <v>786483</v>
      </c>
      <c r="C2623" s="0" t="n">
        <v>786503</v>
      </c>
      <c r="D2623" s="0" t="s">
        <v>8733</v>
      </c>
      <c r="E2623" s="0" t="s">
        <v>89</v>
      </c>
      <c r="F2623" s="0" t="s">
        <v>90</v>
      </c>
      <c r="G2623" s="0" t="s">
        <v>26</v>
      </c>
      <c r="H2623" s="0" t="n">
        <v>80</v>
      </c>
      <c r="I2623" s="0" t="s">
        <v>8737</v>
      </c>
      <c r="J2623" s="0" t="s">
        <v>8738</v>
      </c>
      <c r="K2623" s="0" t="s">
        <v>8739</v>
      </c>
      <c r="L2623" s="0" t="str">
        <f aca="false">HYPERLINK("https://www.ncbi.nlm.nih.gov/nuccore/CP000304.1?report=graph&amp;tracks=[key:gene_model_track,Options:GeneOnly]&amp;mk=786514:786533|offset_50|444444,786484:786503|offset_80|00cc00,786446:786465|offset_118|444444,786415:786434|offset_149|444444&amp;v=786313:786634&amp;c=444444", "offset 80")</f>
        <v>offset 80</v>
      </c>
    </row>
    <row r="2624" customFormat="false" ht="12.8" hidden="false" customHeight="false" outlineLevel="0" collapsed="false">
      <c r="A2624" s="0" t="s">
        <v>12</v>
      </c>
      <c r="B2624" s="0" t="n">
        <v>786445</v>
      </c>
      <c r="C2624" s="0" t="n">
        <v>786465</v>
      </c>
      <c r="D2624" s="0" t="s">
        <v>8733</v>
      </c>
      <c r="E2624" s="0" t="s">
        <v>89</v>
      </c>
      <c r="F2624" s="0" t="s">
        <v>90</v>
      </c>
      <c r="G2624" s="0" t="s">
        <v>36</v>
      </c>
      <c r="H2624" s="0" t="n">
        <v>118</v>
      </c>
      <c r="I2624" s="0" t="s">
        <v>8740</v>
      </c>
      <c r="J2624" s="0" t="s">
        <v>8741</v>
      </c>
      <c r="K2624" s="0" t="s">
        <v>8742</v>
      </c>
      <c r="L2624" s="0" t="str">
        <f aca="false">HYPERLINK("https://www.ncbi.nlm.nih.gov/nuccore/CP000304.1?report=graph&amp;tracks=[key:gene_model_track,Options:GeneOnly]&amp;mk=786514:786533|offset_50|444444,786484:786503|offset_80|444444,786446:786465|offset_118|00cc00,786415:786434|offset_149|444444&amp;v=786313:786634&amp;c=444444", "offset 118")</f>
        <v>offset 118</v>
      </c>
    </row>
    <row r="2625" customFormat="false" ht="12.8" hidden="false" customHeight="false" outlineLevel="0" collapsed="false">
      <c r="A2625" s="0" t="s">
        <v>12</v>
      </c>
      <c r="B2625" s="0" t="n">
        <v>786414</v>
      </c>
      <c r="C2625" s="0" t="n">
        <v>786434</v>
      </c>
      <c r="D2625" s="0" t="s">
        <v>8733</v>
      </c>
      <c r="E2625" s="0" t="s">
        <v>89</v>
      </c>
      <c r="F2625" s="0" t="s">
        <v>90</v>
      </c>
      <c r="G2625" s="0" t="s">
        <v>26</v>
      </c>
      <c r="H2625" s="0" t="n">
        <v>149</v>
      </c>
      <c r="I2625" s="0" t="s">
        <v>8743</v>
      </c>
      <c r="J2625" s="0" t="s">
        <v>8744</v>
      </c>
      <c r="K2625" s="0" t="s">
        <v>8745</v>
      </c>
      <c r="L2625" s="0" t="str">
        <f aca="false">HYPERLINK("https://www.ncbi.nlm.nih.gov/nuccore/CP000304.1?report=graph&amp;tracks=[key:gene_model_track,Options:GeneOnly]&amp;mk=786514:786533|offset_50|444444,786484:786503|offset_80|444444,786446:786465|offset_118|444444,786415:786434|offset_149|00cc00&amp;v=786313:786634&amp;c=444444", "offset 149")</f>
        <v>offset 149</v>
      </c>
    </row>
    <row r="2626" customFormat="false" ht="12.8" hidden="false" customHeight="false" outlineLevel="0" collapsed="false">
      <c r="A2626" s="0" t="s">
        <v>12</v>
      </c>
      <c r="B2626" s="0" t="n">
        <v>787623</v>
      </c>
      <c r="C2626" s="0" t="n">
        <v>787643</v>
      </c>
      <c r="D2626" s="0" t="s">
        <v>8746</v>
      </c>
      <c r="E2626" s="0" t="s">
        <v>89</v>
      </c>
      <c r="F2626" s="0" t="s">
        <v>90</v>
      </c>
      <c r="G2626" s="0" t="s">
        <v>16</v>
      </c>
      <c r="H2626" s="0" t="n">
        <v>127</v>
      </c>
      <c r="I2626" s="0" t="s">
        <v>8747</v>
      </c>
      <c r="J2626" s="0" t="s">
        <v>8748</v>
      </c>
      <c r="K2626" s="0" t="s">
        <v>8749</v>
      </c>
      <c r="L2626" s="0" t="str">
        <f aca="false">HYPERLINK("https://www.ncbi.nlm.nih.gov/nuccore/CP000304.1?report=graph&amp;tracks=[key:gene_model_track,Options:GeneOnly]&amp;mk=787624:787643|offset_127|00cc00,787604:787623|offset_147|444444,787576:787595|offset_175|444444,787549:787568|offset_202|444444&amp;v=787423:787768&amp;c=444444", "offset 127")</f>
        <v>offset 127</v>
      </c>
    </row>
    <row r="2627" customFormat="false" ht="12.8" hidden="false" customHeight="false" outlineLevel="0" collapsed="false">
      <c r="A2627" s="0" t="s">
        <v>12</v>
      </c>
      <c r="B2627" s="0" t="n">
        <v>787603</v>
      </c>
      <c r="C2627" s="0" t="n">
        <v>787623</v>
      </c>
      <c r="D2627" s="0" t="s">
        <v>8746</v>
      </c>
      <c r="E2627" s="0" t="s">
        <v>89</v>
      </c>
      <c r="F2627" s="0" t="s">
        <v>90</v>
      </c>
      <c r="G2627" s="0" t="s">
        <v>36</v>
      </c>
      <c r="H2627" s="0" t="n">
        <v>147</v>
      </c>
      <c r="I2627" s="0" t="s">
        <v>8750</v>
      </c>
      <c r="J2627" s="0" t="s">
        <v>8751</v>
      </c>
      <c r="K2627" s="0" t="s">
        <v>8752</v>
      </c>
      <c r="L2627" s="0" t="str">
        <f aca="false">HYPERLINK("https://www.ncbi.nlm.nih.gov/nuccore/CP000304.1?report=graph&amp;tracks=[key:gene_model_track,Options:GeneOnly]&amp;mk=787624:787643|offset_127|444444,787604:787623|offset_147|00cc00,787576:787595|offset_175|444444,787549:787568|offset_202|444444&amp;v=787423:787768&amp;c=444444", "offset 147")</f>
        <v>offset 147</v>
      </c>
    </row>
    <row r="2628" customFormat="false" ht="12.8" hidden="false" customHeight="false" outlineLevel="0" collapsed="false">
      <c r="A2628" s="0" t="s">
        <v>12</v>
      </c>
      <c r="B2628" s="0" t="n">
        <v>787575</v>
      </c>
      <c r="C2628" s="0" t="n">
        <v>787595</v>
      </c>
      <c r="D2628" s="0" t="s">
        <v>8746</v>
      </c>
      <c r="E2628" s="0" t="s">
        <v>89</v>
      </c>
      <c r="F2628" s="0" t="s">
        <v>90</v>
      </c>
      <c r="G2628" s="0" t="s">
        <v>36</v>
      </c>
      <c r="H2628" s="0" t="n">
        <v>175</v>
      </c>
      <c r="I2628" s="0" t="s">
        <v>8753</v>
      </c>
      <c r="J2628" s="0" t="s">
        <v>8754</v>
      </c>
      <c r="K2628" s="0" t="s">
        <v>8755</v>
      </c>
      <c r="L2628" s="0" t="str">
        <f aca="false">HYPERLINK("https://www.ncbi.nlm.nih.gov/nuccore/CP000304.1?report=graph&amp;tracks=[key:gene_model_track,Options:GeneOnly]&amp;mk=787624:787643|offset_127|444444,787604:787623|offset_147|444444,787576:787595|offset_175|00cc00,787549:787568|offset_202|444444&amp;v=787423:787768&amp;c=444444", "offset 175")</f>
        <v>offset 175</v>
      </c>
    </row>
    <row r="2629" customFormat="false" ht="12.8" hidden="false" customHeight="false" outlineLevel="0" collapsed="false">
      <c r="A2629" s="0" t="s">
        <v>12</v>
      </c>
      <c r="B2629" s="0" t="n">
        <v>787548</v>
      </c>
      <c r="C2629" s="0" t="n">
        <v>787568</v>
      </c>
      <c r="D2629" s="0" t="s">
        <v>8746</v>
      </c>
      <c r="E2629" s="0" t="s">
        <v>89</v>
      </c>
      <c r="F2629" s="0" t="s">
        <v>90</v>
      </c>
      <c r="G2629" s="0" t="s">
        <v>36</v>
      </c>
      <c r="H2629" s="0" t="n">
        <v>202</v>
      </c>
      <c r="I2629" s="0" t="s">
        <v>8756</v>
      </c>
      <c r="J2629" s="0" t="s">
        <v>8757</v>
      </c>
      <c r="K2629" s="0" t="s">
        <v>8758</v>
      </c>
      <c r="L2629" s="0" t="str">
        <f aca="false">HYPERLINK("https://www.ncbi.nlm.nih.gov/nuccore/CP000304.1?report=graph&amp;tracks=[key:gene_model_track,Options:GeneOnly]&amp;mk=787624:787643|offset_127|444444,787604:787623|offset_147|444444,787576:787595|offset_175|444444,787549:787568|offset_202|00cc00&amp;v=787423:787768&amp;c=444444", "offset 202")</f>
        <v>offset 202</v>
      </c>
    </row>
    <row r="2630" customFormat="false" ht="12.8" hidden="false" customHeight="false" outlineLevel="0" collapsed="false">
      <c r="A2630" s="0" t="s">
        <v>12</v>
      </c>
      <c r="B2630" s="0" t="n">
        <v>789279</v>
      </c>
      <c r="C2630" s="0" t="n">
        <v>789299</v>
      </c>
      <c r="D2630" s="0" t="s">
        <v>8759</v>
      </c>
      <c r="E2630" s="0" t="s">
        <v>8760</v>
      </c>
      <c r="F2630" s="0" t="s">
        <v>90</v>
      </c>
      <c r="G2630" s="0" t="s">
        <v>26</v>
      </c>
      <c r="H2630" s="0" t="n">
        <v>48</v>
      </c>
      <c r="I2630" s="0" t="s">
        <v>8761</v>
      </c>
      <c r="J2630" s="0" t="s">
        <v>8762</v>
      </c>
      <c r="K2630" s="0" t="s">
        <v>8763</v>
      </c>
      <c r="L2630" s="0" t="str">
        <f aca="false">HYPERLINK("https://www.ncbi.nlm.nih.gov/nuccore/CP000304.1?report=graph&amp;tracks=[key:gene_model_track,Options:GeneOnly]&amp;mk=789280:789299|offset_48|00cc00,789260:789279|offset_68|444444,789206:789225|offset_122|444444,789183:789202|offset_145|444444&amp;v=789079:789402&amp;c=444444", "offset 48")</f>
        <v>offset 48</v>
      </c>
    </row>
    <row r="2631" customFormat="false" ht="12.8" hidden="false" customHeight="false" outlineLevel="0" collapsed="false">
      <c r="A2631" s="0" t="s">
        <v>12</v>
      </c>
      <c r="B2631" s="0" t="n">
        <v>789259</v>
      </c>
      <c r="C2631" s="0" t="n">
        <v>789279</v>
      </c>
      <c r="D2631" s="0" t="s">
        <v>8759</v>
      </c>
      <c r="E2631" s="0" t="s">
        <v>8760</v>
      </c>
      <c r="F2631" s="0" t="s">
        <v>90</v>
      </c>
      <c r="G2631" s="0" t="s">
        <v>26</v>
      </c>
      <c r="H2631" s="0" t="n">
        <v>68</v>
      </c>
      <c r="I2631" s="0" t="s">
        <v>8764</v>
      </c>
      <c r="J2631" s="0" t="s">
        <v>8765</v>
      </c>
      <c r="K2631" s="0" t="s">
        <v>8766</v>
      </c>
      <c r="L2631" s="0" t="str">
        <f aca="false">HYPERLINK("https://www.ncbi.nlm.nih.gov/nuccore/CP000304.1?report=graph&amp;tracks=[key:gene_model_track,Options:GeneOnly]&amp;mk=789280:789299|offset_48|444444,789260:789279|offset_68|00cc00,789206:789225|offset_122|444444,789183:789202|offset_145|444444&amp;v=789079:789402&amp;c=444444", "offset 68")</f>
        <v>offset 68</v>
      </c>
    </row>
    <row r="2632" customFormat="false" ht="12.8" hidden="false" customHeight="false" outlineLevel="0" collapsed="false">
      <c r="A2632" s="0" t="s">
        <v>12</v>
      </c>
      <c r="B2632" s="0" t="n">
        <v>789205</v>
      </c>
      <c r="C2632" s="0" t="n">
        <v>789225</v>
      </c>
      <c r="D2632" s="0" t="s">
        <v>8759</v>
      </c>
      <c r="E2632" s="0" t="s">
        <v>8760</v>
      </c>
      <c r="F2632" s="0" t="s">
        <v>90</v>
      </c>
      <c r="G2632" s="0" t="s">
        <v>32</v>
      </c>
      <c r="H2632" s="0" t="n">
        <v>122</v>
      </c>
      <c r="I2632" s="0" t="s">
        <v>8767</v>
      </c>
      <c r="J2632" s="0" t="s">
        <v>8768</v>
      </c>
      <c r="K2632" s="0" t="s">
        <v>8769</v>
      </c>
      <c r="L2632" s="0" t="str">
        <f aca="false">HYPERLINK("https://www.ncbi.nlm.nih.gov/nuccore/CP000304.1?report=graph&amp;tracks=[key:gene_model_track,Options:GeneOnly]&amp;mk=789280:789299|offset_48|444444,789260:789279|offset_68|444444,789206:789225|offset_122|00cc00,789183:789202|offset_145|444444&amp;v=789079:789402&amp;c=444444", "offset 122")</f>
        <v>offset 122</v>
      </c>
    </row>
    <row r="2633" customFormat="false" ht="12.8" hidden="false" customHeight="false" outlineLevel="0" collapsed="false">
      <c r="A2633" s="0" t="s">
        <v>12</v>
      </c>
      <c r="B2633" s="0" t="n">
        <v>789182</v>
      </c>
      <c r="C2633" s="0" t="n">
        <v>789202</v>
      </c>
      <c r="D2633" s="0" t="s">
        <v>8759</v>
      </c>
      <c r="E2633" s="0" t="s">
        <v>8760</v>
      </c>
      <c r="F2633" s="0" t="s">
        <v>90</v>
      </c>
      <c r="G2633" s="0" t="s">
        <v>36</v>
      </c>
      <c r="H2633" s="0" t="n">
        <v>145</v>
      </c>
      <c r="I2633" s="0" t="s">
        <v>8770</v>
      </c>
      <c r="J2633" s="0" t="s">
        <v>8771</v>
      </c>
      <c r="K2633" s="0" t="s">
        <v>8772</v>
      </c>
      <c r="L2633" s="0" t="str">
        <f aca="false">HYPERLINK("https://www.ncbi.nlm.nih.gov/nuccore/CP000304.1?report=graph&amp;tracks=[key:gene_model_track,Options:GeneOnly]&amp;mk=789280:789299|offset_48|444444,789260:789279|offset_68|444444,789206:789225|offset_122|444444,789183:789202|offset_145|00cc00&amp;v=789079:789402&amp;c=444444", "offset 145")</f>
        <v>offset 145</v>
      </c>
    </row>
    <row r="2634" customFormat="false" ht="12.8" hidden="false" customHeight="false" outlineLevel="0" collapsed="false">
      <c r="A2634" s="0" t="s">
        <v>12</v>
      </c>
      <c r="B2634" s="0" t="n">
        <v>790609</v>
      </c>
      <c r="C2634" s="0" t="n">
        <v>790629</v>
      </c>
      <c r="D2634" s="0" t="s">
        <v>8773</v>
      </c>
      <c r="E2634" s="0" t="s">
        <v>8774</v>
      </c>
      <c r="F2634" s="0" t="s">
        <v>90</v>
      </c>
      <c r="G2634" s="0" t="s">
        <v>16</v>
      </c>
      <c r="H2634" s="0" t="n">
        <v>37</v>
      </c>
      <c r="I2634" s="0" t="s">
        <v>8775</v>
      </c>
      <c r="J2634" s="0" t="s">
        <v>8776</v>
      </c>
      <c r="K2634" s="0" t="s">
        <v>8777</v>
      </c>
      <c r="L2634" s="0" t="str">
        <f aca="false">HYPERLINK("https://www.ncbi.nlm.nih.gov/nuccore/CP000304.1?report=graph&amp;tracks=[key:gene_model_track,Options:GeneOnly]&amp;mk=790610:790629|offset_37|00cc00,790585:790604|offset_62|444444,790553:790572|offset_94|444444,790523:790542|offset_124|444444&amp;v=790409:790742&amp;c=444444", "offset 37")</f>
        <v>offset 37</v>
      </c>
    </row>
    <row r="2635" customFormat="false" ht="12.8" hidden="false" customHeight="false" outlineLevel="0" collapsed="false">
      <c r="A2635" s="0" t="s">
        <v>12</v>
      </c>
      <c r="B2635" s="0" t="n">
        <v>790584</v>
      </c>
      <c r="C2635" s="0" t="n">
        <v>790604</v>
      </c>
      <c r="D2635" s="0" t="s">
        <v>8773</v>
      </c>
      <c r="E2635" s="0" t="s">
        <v>8774</v>
      </c>
      <c r="F2635" s="0" t="s">
        <v>90</v>
      </c>
      <c r="G2635" s="0" t="s">
        <v>26</v>
      </c>
      <c r="H2635" s="0" t="n">
        <v>62</v>
      </c>
      <c r="I2635" s="0" t="s">
        <v>8778</v>
      </c>
      <c r="J2635" s="0" t="s">
        <v>8779</v>
      </c>
      <c r="K2635" s="0" t="s">
        <v>8780</v>
      </c>
      <c r="L2635" s="0" t="str">
        <f aca="false">HYPERLINK("https://www.ncbi.nlm.nih.gov/nuccore/CP000304.1?report=graph&amp;tracks=[key:gene_model_track,Options:GeneOnly]&amp;mk=790610:790629|offset_37|444444,790585:790604|offset_62|00cc00,790553:790572|offset_94|444444,790523:790542|offset_124|444444&amp;v=790409:790742&amp;c=444444", "offset 62")</f>
        <v>offset 62</v>
      </c>
    </row>
    <row r="2636" customFormat="false" ht="12.8" hidden="false" customHeight="false" outlineLevel="0" collapsed="false">
      <c r="A2636" s="0" t="s">
        <v>12</v>
      </c>
      <c r="B2636" s="0" t="n">
        <v>790552</v>
      </c>
      <c r="C2636" s="0" t="n">
        <v>790572</v>
      </c>
      <c r="D2636" s="0" t="s">
        <v>8773</v>
      </c>
      <c r="E2636" s="0" t="s">
        <v>8774</v>
      </c>
      <c r="F2636" s="0" t="s">
        <v>90</v>
      </c>
      <c r="G2636" s="0" t="s">
        <v>32</v>
      </c>
      <c r="H2636" s="0" t="n">
        <v>94</v>
      </c>
      <c r="I2636" s="0" t="s">
        <v>8781</v>
      </c>
      <c r="J2636" s="0" t="s">
        <v>8782</v>
      </c>
      <c r="K2636" s="0" t="s">
        <v>8783</v>
      </c>
      <c r="L2636" s="0" t="str">
        <f aca="false">HYPERLINK("https://www.ncbi.nlm.nih.gov/nuccore/CP000304.1?report=graph&amp;tracks=[key:gene_model_track,Options:GeneOnly]&amp;mk=790610:790629|offset_37|444444,790585:790604|offset_62|444444,790553:790572|offset_94|00cc00,790523:790542|offset_124|444444&amp;v=790409:790742&amp;c=444444", "offset 94")</f>
        <v>offset 94</v>
      </c>
    </row>
    <row r="2637" customFormat="false" ht="12.8" hidden="false" customHeight="false" outlineLevel="0" collapsed="false">
      <c r="A2637" s="0" t="s">
        <v>12</v>
      </c>
      <c r="B2637" s="0" t="n">
        <v>790522</v>
      </c>
      <c r="C2637" s="0" t="n">
        <v>790542</v>
      </c>
      <c r="D2637" s="0" t="s">
        <v>8773</v>
      </c>
      <c r="E2637" s="0" t="s">
        <v>8774</v>
      </c>
      <c r="F2637" s="0" t="s">
        <v>90</v>
      </c>
      <c r="G2637" s="0" t="s">
        <v>16</v>
      </c>
      <c r="H2637" s="0" t="n">
        <v>124</v>
      </c>
      <c r="I2637" s="0" t="s">
        <v>8784</v>
      </c>
      <c r="J2637" s="0" t="s">
        <v>8785</v>
      </c>
      <c r="K2637" s="0" t="s">
        <v>8786</v>
      </c>
      <c r="L2637" s="0" t="str">
        <f aca="false">HYPERLINK("https://www.ncbi.nlm.nih.gov/nuccore/CP000304.1?report=graph&amp;tracks=[key:gene_model_track,Options:GeneOnly]&amp;mk=790610:790629|offset_37|444444,790585:790604|offset_62|444444,790553:790572|offset_94|444444,790523:790542|offset_124|00cc00&amp;v=790409:790742&amp;c=444444", "offset 124")</f>
        <v>offset 124</v>
      </c>
    </row>
    <row r="2638" customFormat="false" ht="12.8" hidden="false" customHeight="false" outlineLevel="0" collapsed="false">
      <c r="A2638" s="0" t="s">
        <v>12</v>
      </c>
      <c r="B2638" s="0" t="n">
        <v>791395</v>
      </c>
      <c r="C2638" s="0" t="n">
        <v>791415</v>
      </c>
      <c r="D2638" s="0" t="s">
        <v>8787</v>
      </c>
      <c r="E2638" s="0" t="s">
        <v>8788</v>
      </c>
      <c r="F2638" s="0" t="s">
        <v>90</v>
      </c>
      <c r="G2638" s="0" t="s">
        <v>16</v>
      </c>
      <c r="H2638" s="0" t="n">
        <v>43</v>
      </c>
      <c r="I2638" s="0" t="s">
        <v>8789</v>
      </c>
      <c r="J2638" s="0" t="s">
        <v>8790</v>
      </c>
      <c r="K2638" s="0" t="s">
        <v>8791</v>
      </c>
      <c r="L2638" s="0" t="str">
        <f aca="false">HYPERLINK("https://www.ncbi.nlm.nih.gov/nuccore/CP000304.1?report=graph&amp;tracks=[key:gene_model_track,Options:GeneOnly]&amp;mk=791396:791415|offset_43|00cc00,791362:791381|offset_77|444444,791336:791355|offset_103|444444,791316:791335|offset_123|444444&amp;v=791195:791535&amp;c=444444", "offset 43")</f>
        <v>offset 43</v>
      </c>
    </row>
    <row r="2639" customFormat="false" ht="12.8" hidden="false" customHeight="false" outlineLevel="0" collapsed="false">
      <c r="A2639" s="0" t="s">
        <v>12</v>
      </c>
      <c r="B2639" s="0" t="n">
        <v>791361</v>
      </c>
      <c r="C2639" s="0" t="n">
        <v>791381</v>
      </c>
      <c r="D2639" s="0" t="s">
        <v>8787</v>
      </c>
      <c r="E2639" s="0" t="s">
        <v>8788</v>
      </c>
      <c r="F2639" s="0" t="s">
        <v>90</v>
      </c>
      <c r="G2639" s="0" t="s">
        <v>32</v>
      </c>
      <c r="H2639" s="0" t="n">
        <v>77</v>
      </c>
      <c r="I2639" s="0" t="s">
        <v>8792</v>
      </c>
      <c r="J2639" s="0" t="s">
        <v>8793</v>
      </c>
      <c r="K2639" s="0" t="s">
        <v>8794</v>
      </c>
      <c r="L2639" s="0" t="str">
        <f aca="false">HYPERLINK("https://www.ncbi.nlm.nih.gov/nuccore/CP000304.1?report=graph&amp;tracks=[key:gene_model_track,Options:GeneOnly]&amp;mk=791396:791415|offset_43|444444,791362:791381|offset_77|00cc00,791336:791355|offset_103|444444,791316:791335|offset_123|444444&amp;v=791195:791535&amp;c=444444", "offset 77")</f>
        <v>offset 77</v>
      </c>
    </row>
    <row r="2640" customFormat="false" ht="12.8" hidden="false" customHeight="false" outlineLevel="0" collapsed="false">
      <c r="A2640" s="0" t="s">
        <v>12</v>
      </c>
      <c r="B2640" s="0" t="n">
        <v>791335</v>
      </c>
      <c r="C2640" s="0" t="n">
        <v>791355</v>
      </c>
      <c r="D2640" s="0" t="s">
        <v>8787</v>
      </c>
      <c r="E2640" s="0" t="s">
        <v>8788</v>
      </c>
      <c r="F2640" s="0" t="s">
        <v>90</v>
      </c>
      <c r="G2640" s="0" t="s">
        <v>16</v>
      </c>
      <c r="H2640" s="0" t="n">
        <v>103</v>
      </c>
      <c r="I2640" s="0" t="s">
        <v>8795</v>
      </c>
      <c r="J2640" s="0" t="s">
        <v>8796</v>
      </c>
      <c r="K2640" s="0" t="s">
        <v>8797</v>
      </c>
      <c r="L2640" s="0" t="str">
        <f aca="false">HYPERLINK("https://www.ncbi.nlm.nih.gov/nuccore/CP000304.1?report=graph&amp;tracks=[key:gene_model_track,Options:GeneOnly]&amp;mk=791396:791415|offset_43|444444,791362:791381|offset_77|444444,791336:791355|offset_103|00cc00,791316:791335|offset_123|444444&amp;v=791195:791535&amp;c=444444", "offset 103")</f>
        <v>offset 103</v>
      </c>
    </row>
    <row r="2641" customFormat="false" ht="12.8" hidden="false" customHeight="false" outlineLevel="0" collapsed="false">
      <c r="A2641" s="0" t="s">
        <v>12</v>
      </c>
      <c r="B2641" s="0" t="n">
        <v>791315</v>
      </c>
      <c r="C2641" s="0" t="n">
        <v>791335</v>
      </c>
      <c r="D2641" s="0" t="s">
        <v>8787</v>
      </c>
      <c r="E2641" s="0" t="s">
        <v>8788</v>
      </c>
      <c r="F2641" s="0" t="s">
        <v>90</v>
      </c>
      <c r="G2641" s="0" t="s">
        <v>36</v>
      </c>
      <c r="H2641" s="0" t="n">
        <v>123</v>
      </c>
      <c r="I2641" s="0" t="s">
        <v>8798</v>
      </c>
      <c r="J2641" s="0" t="s">
        <v>8799</v>
      </c>
      <c r="K2641" s="0" t="s">
        <v>8800</v>
      </c>
      <c r="L2641" s="0" t="str">
        <f aca="false">HYPERLINK("https://www.ncbi.nlm.nih.gov/nuccore/CP000304.1?report=graph&amp;tracks=[key:gene_model_track,Options:GeneOnly]&amp;mk=791396:791415|offset_43|444444,791362:791381|offset_77|444444,791336:791355|offset_103|444444,791316:791335|offset_123|00cc00&amp;v=791195:791535&amp;c=444444", "offset 123")</f>
        <v>offset 123</v>
      </c>
    </row>
    <row r="2642" customFormat="false" ht="12.8" hidden="false" customHeight="false" outlineLevel="0" collapsed="false">
      <c r="A2642" s="0" t="s">
        <v>12</v>
      </c>
      <c r="B2642" s="0" t="n">
        <v>791868</v>
      </c>
      <c r="C2642" s="0" t="n">
        <v>791888</v>
      </c>
      <c r="D2642" s="0" t="s">
        <v>8801</v>
      </c>
      <c r="E2642" s="0" t="s">
        <v>8802</v>
      </c>
      <c r="F2642" s="0" t="s">
        <v>15</v>
      </c>
      <c r="G2642" s="0" t="s">
        <v>16</v>
      </c>
      <c r="H2642" s="0" t="n">
        <v>13</v>
      </c>
      <c r="I2642" s="0" t="s">
        <v>8803</v>
      </c>
      <c r="J2642" s="0" t="s">
        <v>8804</v>
      </c>
      <c r="K2642" s="0" t="s">
        <v>8805</v>
      </c>
      <c r="L2642" s="0" t="str">
        <f aca="false">HYPERLINK("https://www.ncbi.nlm.nih.gov/nuccore/CP000304.1?report=graph&amp;tracks=[key:gene_model_track,Options:GeneOnly]&amp;mk=791869:791888|offset_13|00cc00,791889:791908|offset_33|444444,791911:791930|offset_55|444444,791936:791955|offset_80|444444&amp;v=791668:792155&amp;c=444444", "offset 13")</f>
        <v>offset 13</v>
      </c>
    </row>
    <row r="2643" customFormat="false" ht="12.8" hidden="false" customHeight="false" outlineLevel="0" collapsed="false">
      <c r="A2643" s="0" t="s">
        <v>12</v>
      </c>
      <c r="B2643" s="0" t="n">
        <v>791888</v>
      </c>
      <c r="C2643" s="0" t="n">
        <v>791908</v>
      </c>
      <c r="D2643" s="0" t="s">
        <v>8801</v>
      </c>
      <c r="E2643" s="0" t="s">
        <v>8802</v>
      </c>
      <c r="F2643" s="0" t="s">
        <v>15</v>
      </c>
      <c r="G2643" s="0" t="s">
        <v>16</v>
      </c>
      <c r="H2643" s="0" t="n">
        <v>33</v>
      </c>
      <c r="I2643" s="0" t="s">
        <v>8806</v>
      </c>
      <c r="J2643" s="0" t="s">
        <v>8807</v>
      </c>
      <c r="K2643" s="0" t="s">
        <v>8808</v>
      </c>
      <c r="L2643" s="0" t="str">
        <f aca="false">HYPERLINK("https://www.ncbi.nlm.nih.gov/nuccore/CP000304.1?report=graph&amp;tracks=[key:gene_model_track,Options:GeneOnly]&amp;mk=791869:791888|offset_13|444444,791889:791908|offset_33|00cc00,791911:791930|offset_55|444444,791936:791955|offset_80|444444&amp;v=791668:792155&amp;c=444444", "offset 33")</f>
        <v>offset 33</v>
      </c>
    </row>
    <row r="2644" customFormat="false" ht="12.8" hidden="false" customHeight="false" outlineLevel="0" collapsed="false">
      <c r="A2644" s="0" t="s">
        <v>12</v>
      </c>
      <c r="B2644" s="0" t="n">
        <v>791910</v>
      </c>
      <c r="C2644" s="0" t="n">
        <v>791930</v>
      </c>
      <c r="D2644" s="0" t="s">
        <v>8801</v>
      </c>
      <c r="E2644" s="0" t="s">
        <v>8802</v>
      </c>
      <c r="F2644" s="0" t="s">
        <v>15</v>
      </c>
      <c r="G2644" s="0" t="s">
        <v>16</v>
      </c>
      <c r="H2644" s="0" t="n">
        <v>55</v>
      </c>
      <c r="I2644" s="0" t="s">
        <v>8809</v>
      </c>
      <c r="J2644" s="0" t="s">
        <v>8810</v>
      </c>
      <c r="K2644" s="0" t="s">
        <v>8811</v>
      </c>
      <c r="L2644" s="0" t="str">
        <f aca="false">HYPERLINK("https://www.ncbi.nlm.nih.gov/nuccore/CP000304.1?report=graph&amp;tracks=[key:gene_model_track,Options:GeneOnly]&amp;mk=791869:791888|offset_13|444444,791889:791908|offset_33|444444,791911:791930|offset_55|00cc00,791936:791955|offset_80|444444&amp;v=791668:792155&amp;c=444444", "offset 55")</f>
        <v>offset 55</v>
      </c>
    </row>
    <row r="2645" customFormat="false" ht="12.8" hidden="false" customHeight="false" outlineLevel="0" collapsed="false">
      <c r="A2645" s="0" t="s">
        <v>12</v>
      </c>
      <c r="B2645" s="0" t="n">
        <v>791935</v>
      </c>
      <c r="C2645" s="0" t="n">
        <v>791955</v>
      </c>
      <c r="D2645" s="0" t="s">
        <v>8801</v>
      </c>
      <c r="E2645" s="0" t="s">
        <v>8802</v>
      </c>
      <c r="F2645" s="0" t="s">
        <v>15</v>
      </c>
      <c r="G2645" s="0" t="s">
        <v>32</v>
      </c>
      <c r="H2645" s="0" t="n">
        <v>80</v>
      </c>
      <c r="I2645" s="0" t="s">
        <v>8812</v>
      </c>
      <c r="J2645" s="0" t="s">
        <v>8813</v>
      </c>
      <c r="K2645" s="0" t="s">
        <v>8814</v>
      </c>
      <c r="L2645" s="0" t="str">
        <f aca="false">HYPERLINK("https://www.ncbi.nlm.nih.gov/nuccore/CP000304.1?report=graph&amp;tracks=[key:gene_model_track,Options:GeneOnly]&amp;mk=791869:791888|offset_13|444444,791889:791908|offset_33|444444,791911:791930|offset_55|444444,791936:791955|offset_80|00cc00&amp;v=791668:792155&amp;c=444444", "offset 80")</f>
        <v>offset 80</v>
      </c>
    </row>
    <row r="2646" customFormat="false" ht="12.8" hidden="false" customHeight="false" outlineLevel="0" collapsed="false">
      <c r="A2646" s="0" t="s">
        <v>12</v>
      </c>
      <c r="B2646" s="0" t="n">
        <v>793852</v>
      </c>
      <c r="C2646" s="0" t="n">
        <v>793872</v>
      </c>
      <c r="D2646" s="0" t="s">
        <v>8815</v>
      </c>
      <c r="E2646" s="0" t="s">
        <v>8816</v>
      </c>
      <c r="F2646" s="0" t="s">
        <v>90</v>
      </c>
      <c r="G2646" s="0" t="s">
        <v>26</v>
      </c>
      <c r="H2646" s="0" t="n">
        <v>26</v>
      </c>
      <c r="I2646" s="0" t="s">
        <v>8817</v>
      </c>
      <c r="J2646" s="0" t="s">
        <v>8818</v>
      </c>
      <c r="K2646" s="0" t="s">
        <v>8819</v>
      </c>
      <c r="L2646" s="0" t="str">
        <f aca="false">HYPERLINK("https://www.ncbi.nlm.nih.gov/nuccore/CP000304.1?report=graph&amp;tracks=[key:gene_model_track,Options:GeneOnly]&amp;mk=793853:793872|offset_26|00cc00,793826:793845|offset_53|444444,793790:793809|offset_89|444444,793730:793749|offset_149|444444&amp;v=793652:793949&amp;c=444444", "offset 26")</f>
        <v>offset 26</v>
      </c>
    </row>
    <row r="2647" customFormat="false" ht="12.8" hidden="false" customHeight="false" outlineLevel="0" collapsed="false">
      <c r="A2647" s="0" t="s">
        <v>12</v>
      </c>
      <c r="B2647" s="0" t="n">
        <v>793825</v>
      </c>
      <c r="C2647" s="0" t="n">
        <v>793845</v>
      </c>
      <c r="D2647" s="0" t="s">
        <v>8815</v>
      </c>
      <c r="E2647" s="0" t="s">
        <v>8816</v>
      </c>
      <c r="F2647" s="0" t="s">
        <v>90</v>
      </c>
      <c r="G2647" s="0" t="s">
        <v>16</v>
      </c>
      <c r="H2647" s="0" t="n">
        <v>53</v>
      </c>
      <c r="I2647" s="0" t="s">
        <v>8820</v>
      </c>
      <c r="J2647" s="0" t="s">
        <v>8821</v>
      </c>
      <c r="K2647" s="0" t="s">
        <v>8822</v>
      </c>
      <c r="L2647" s="0" t="str">
        <f aca="false">HYPERLINK("https://www.ncbi.nlm.nih.gov/nuccore/CP000304.1?report=graph&amp;tracks=[key:gene_model_track,Options:GeneOnly]&amp;mk=793853:793872|offset_26|444444,793826:793845|offset_53|00cc00,793790:793809|offset_89|444444,793730:793749|offset_149|444444&amp;v=793652:793949&amp;c=444444", "offset 53")</f>
        <v>offset 53</v>
      </c>
    </row>
    <row r="2648" customFormat="false" ht="12.8" hidden="false" customHeight="false" outlineLevel="0" collapsed="false">
      <c r="A2648" s="0" t="s">
        <v>12</v>
      </c>
      <c r="B2648" s="0" t="n">
        <v>793789</v>
      </c>
      <c r="C2648" s="0" t="n">
        <v>793809</v>
      </c>
      <c r="D2648" s="0" t="s">
        <v>8815</v>
      </c>
      <c r="E2648" s="0" t="s">
        <v>8816</v>
      </c>
      <c r="F2648" s="0" t="s">
        <v>90</v>
      </c>
      <c r="G2648" s="0" t="s">
        <v>26</v>
      </c>
      <c r="H2648" s="0" t="n">
        <v>89</v>
      </c>
      <c r="I2648" s="0" t="s">
        <v>8823</v>
      </c>
      <c r="J2648" s="0" t="s">
        <v>8824</v>
      </c>
      <c r="K2648" s="0" t="s">
        <v>8825</v>
      </c>
      <c r="L2648" s="0" t="str">
        <f aca="false">HYPERLINK("https://www.ncbi.nlm.nih.gov/nuccore/CP000304.1?report=graph&amp;tracks=[key:gene_model_track,Options:GeneOnly]&amp;mk=793853:793872|offset_26|444444,793826:793845|offset_53|444444,793790:793809|offset_89|00cc00,793730:793749|offset_149|444444&amp;v=793652:793949&amp;c=444444", "offset 89")</f>
        <v>offset 89</v>
      </c>
    </row>
    <row r="2649" customFormat="false" ht="12.8" hidden="false" customHeight="false" outlineLevel="0" collapsed="false">
      <c r="A2649" s="0" t="s">
        <v>12</v>
      </c>
      <c r="B2649" s="0" t="n">
        <v>793729</v>
      </c>
      <c r="C2649" s="0" t="n">
        <v>793749</v>
      </c>
      <c r="D2649" s="0" t="s">
        <v>8815</v>
      </c>
      <c r="E2649" s="0" t="s">
        <v>8816</v>
      </c>
      <c r="F2649" s="0" t="s">
        <v>90</v>
      </c>
      <c r="G2649" s="0" t="s">
        <v>26</v>
      </c>
      <c r="H2649" s="0" t="n">
        <v>149</v>
      </c>
      <c r="I2649" s="0" t="s">
        <v>8826</v>
      </c>
      <c r="J2649" s="0" t="s">
        <v>8827</v>
      </c>
      <c r="K2649" s="0" t="s">
        <v>8828</v>
      </c>
      <c r="L2649" s="0" t="str">
        <f aca="false">HYPERLINK("https://www.ncbi.nlm.nih.gov/nuccore/CP000304.1?report=graph&amp;tracks=[key:gene_model_track,Options:GeneOnly]&amp;mk=793853:793872|offset_26|444444,793826:793845|offset_53|444444,793790:793809|offset_89|444444,793730:793749|offset_149|00cc00&amp;v=793652:793949&amp;c=444444", "offset 149")</f>
        <v>offset 149</v>
      </c>
    </row>
    <row r="2650" customFormat="false" ht="12.8" hidden="false" customHeight="false" outlineLevel="0" collapsed="false">
      <c r="A2650" s="0" t="s">
        <v>12</v>
      </c>
      <c r="B2650" s="0" t="n">
        <v>794707</v>
      </c>
      <c r="C2650" s="0" t="n">
        <v>794727</v>
      </c>
      <c r="D2650" s="0" t="s">
        <v>8829</v>
      </c>
      <c r="E2650" s="0" t="s">
        <v>89</v>
      </c>
      <c r="F2650" s="0" t="s">
        <v>90</v>
      </c>
      <c r="G2650" s="0" t="s">
        <v>26</v>
      </c>
      <c r="H2650" s="0" t="n">
        <v>20</v>
      </c>
      <c r="I2650" s="0" t="s">
        <v>8830</v>
      </c>
      <c r="J2650" s="0" t="s">
        <v>8831</v>
      </c>
      <c r="K2650" s="0" t="s">
        <v>8832</v>
      </c>
      <c r="L2650" s="0" t="str">
        <f aca="false">HYPERLINK("https://www.ncbi.nlm.nih.gov/nuccore/CP000304.1?report=graph&amp;tracks=[key:gene_model_track,Options:GeneOnly]&amp;mk=794708:794727|offset_20|00cc00,794661:794680|offset_67|444444,794637:794656|offset_91|444444,794604:794623|offset_124|444444&amp;v=794507:794823&amp;c=444444", "offset 20")</f>
        <v>offset 20</v>
      </c>
    </row>
    <row r="2651" customFormat="false" ht="12.8" hidden="false" customHeight="false" outlineLevel="0" collapsed="false">
      <c r="A2651" s="0" t="s">
        <v>12</v>
      </c>
      <c r="B2651" s="0" t="n">
        <v>794660</v>
      </c>
      <c r="C2651" s="0" t="n">
        <v>794680</v>
      </c>
      <c r="D2651" s="0" t="s">
        <v>8829</v>
      </c>
      <c r="E2651" s="0" t="s">
        <v>89</v>
      </c>
      <c r="F2651" s="0" t="s">
        <v>90</v>
      </c>
      <c r="G2651" s="0" t="s">
        <v>36</v>
      </c>
      <c r="H2651" s="0" t="n">
        <v>67</v>
      </c>
      <c r="I2651" s="0" t="s">
        <v>8833</v>
      </c>
      <c r="J2651" s="0" t="s">
        <v>8834</v>
      </c>
      <c r="K2651" s="0" t="s">
        <v>8835</v>
      </c>
      <c r="L2651" s="0" t="str">
        <f aca="false">HYPERLINK("https://www.ncbi.nlm.nih.gov/nuccore/CP000304.1?report=graph&amp;tracks=[key:gene_model_track,Options:GeneOnly]&amp;mk=794708:794727|offset_20|444444,794661:794680|offset_67|00cc00,794637:794656|offset_91|444444,794604:794623|offset_124|444444&amp;v=794507:794823&amp;c=444444", "offset 67")</f>
        <v>offset 67</v>
      </c>
    </row>
    <row r="2652" customFormat="false" ht="12.8" hidden="false" customHeight="false" outlineLevel="0" collapsed="false">
      <c r="A2652" s="0" t="s">
        <v>12</v>
      </c>
      <c r="B2652" s="0" t="n">
        <v>794636</v>
      </c>
      <c r="C2652" s="0" t="n">
        <v>794656</v>
      </c>
      <c r="D2652" s="0" t="s">
        <v>8829</v>
      </c>
      <c r="E2652" s="0" t="s">
        <v>89</v>
      </c>
      <c r="F2652" s="0" t="s">
        <v>90</v>
      </c>
      <c r="G2652" s="0" t="s">
        <v>36</v>
      </c>
      <c r="H2652" s="0" t="n">
        <v>91</v>
      </c>
      <c r="I2652" s="0" t="s">
        <v>8836</v>
      </c>
      <c r="J2652" s="0" t="s">
        <v>8837</v>
      </c>
      <c r="K2652" s="0" t="s">
        <v>8838</v>
      </c>
      <c r="L2652" s="0" t="str">
        <f aca="false">HYPERLINK("https://www.ncbi.nlm.nih.gov/nuccore/CP000304.1?report=graph&amp;tracks=[key:gene_model_track,Options:GeneOnly]&amp;mk=794708:794727|offset_20|444444,794661:794680|offset_67|444444,794637:794656|offset_91|00cc00,794604:794623|offset_124|444444&amp;v=794507:794823&amp;c=444444", "offset 91")</f>
        <v>offset 91</v>
      </c>
    </row>
    <row r="2653" customFormat="false" ht="12.8" hidden="false" customHeight="false" outlineLevel="0" collapsed="false">
      <c r="A2653" s="0" t="s">
        <v>12</v>
      </c>
      <c r="B2653" s="0" t="n">
        <v>794603</v>
      </c>
      <c r="C2653" s="0" t="n">
        <v>794623</v>
      </c>
      <c r="D2653" s="0" t="s">
        <v>8829</v>
      </c>
      <c r="E2653" s="0" t="s">
        <v>89</v>
      </c>
      <c r="F2653" s="0" t="s">
        <v>90</v>
      </c>
      <c r="G2653" s="0" t="s">
        <v>32</v>
      </c>
      <c r="H2653" s="0" t="n">
        <v>124</v>
      </c>
      <c r="I2653" s="0" t="s">
        <v>8839</v>
      </c>
      <c r="J2653" s="0" t="s">
        <v>8840</v>
      </c>
      <c r="K2653" s="0" t="s">
        <v>8841</v>
      </c>
      <c r="L2653" s="0" t="str">
        <f aca="false">HYPERLINK("https://www.ncbi.nlm.nih.gov/nuccore/CP000304.1?report=graph&amp;tracks=[key:gene_model_track,Options:GeneOnly]&amp;mk=794708:794727|offset_20|444444,794661:794680|offset_67|444444,794637:794656|offset_91|444444,794604:794623|offset_124|00cc00&amp;v=794507:794823&amp;c=444444", "offset 124")</f>
        <v>offset 124</v>
      </c>
    </row>
    <row r="2654" customFormat="false" ht="12.8" hidden="false" customHeight="false" outlineLevel="0" collapsed="false">
      <c r="A2654" s="0" t="s">
        <v>12</v>
      </c>
      <c r="B2654" s="0" t="n">
        <v>795924</v>
      </c>
      <c r="C2654" s="0" t="n">
        <v>795944</v>
      </c>
      <c r="D2654" s="0" t="s">
        <v>8842</v>
      </c>
      <c r="E2654" s="0" t="s">
        <v>8843</v>
      </c>
      <c r="F2654" s="0" t="s">
        <v>90</v>
      </c>
      <c r="G2654" s="0" t="s">
        <v>36</v>
      </c>
      <c r="H2654" s="0" t="n">
        <v>8</v>
      </c>
      <c r="I2654" s="0" t="s">
        <v>8844</v>
      </c>
      <c r="J2654" s="0" t="s">
        <v>8845</v>
      </c>
      <c r="K2654" s="0" t="s">
        <v>8846</v>
      </c>
      <c r="L2654" s="0" t="str">
        <f aca="false">HYPERLINK("https://www.ncbi.nlm.nih.gov/nuccore/CP000304.1?report=graph&amp;tracks=[key:gene_model_track,Options:GeneOnly]&amp;mk=795925:795944|offset_8|00cc00,795899:795918|offset_34|444444,795869:795888|offset_64|444444,795834:795853|offset_99|444444&amp;v=795724:796053&amp;c=444444", "offset 8")</f>
        <v>offset 8</v>
      </c>
    </row>
    <row r="2655" customFormat="false" ht="12.8" hidden="false" customHeight="false" outlineLevel="0" collapsed="false">
      <c r="A2655" s="0" t="s">
        <v>12</v>
      </c>
      <c r="B2655" s="0" t="n">
        <v>795898</v>
      </c>
      <c r="C2655" s="0" t="n">
        <v>795918</v>
      </c>
      <c r="D2655" s="0" t="s">
        <v>8842</v>
      </c>
      <c r="E2655" s="0" t="s">
        <v>8843</v>
      </c>
      <c r="F2655" s="0" t="s">
        <v>90</v>
      </c>
      <c r="G2655" s="0" t="s">
        <v>16</v>
      </c>
      <c r="H2655" s="0" t="n">
        <v>34</v>
      </c>
      <c r="I2655" s="0" t="s">
        <v>8847</v>
      </c>
      <c r="J2655" s="0" t="s">
        <v>8848</v>
      </c>
      <c r="K2655" s="0" t="s">
        <v>8849</v>
      </c>
      <c r="L2655" s="0" t="str">
        <f aca="false">HYPERLINK("https://www.ncbi.nlm.nih.gov/nuccore/CP000304.1?report=graph&amp;tracks=[key:gene_model_track,Options:GeneOnly]&amp;mk=795925:795944|offset_8|444444,795899:795918|offset_34|00cc00,795869:795888|offset_64|444444,795834:795853|offset_99|444444&amp;v=795724:796053&amp;c=444444", "offset 34")</f>
        <v>offset 34</v>
      </c>
    </row>
    <row r="2656" customFormat="false" ht="12.8" hidden="false" customHeight="false" outlineLevel="0" collapsed="false">
      <c r="A2656" s="0" t="s">
        <v>12</v>
      </c>
      <c r="B2656" s="0" t="n">
        <v>795868</v>
      </c>
      <c r="C2656" s="0" t="n">
        <v>795888</v>
      </c>
      <c r="D2656" s="0" t="s">
        <v>8842</v>
      </c>
      <c r="E2656" s="0" t="s">
        <v>8843</v>
      </c>
      <c r="F2656" s="0" t="s">
        <v>90</v>
      </c>
      <c r="G2656" s="0" t="s">
        <v>16</v>
      </c>
      <c r="H2656" s="0" t="n">
        <v>64</v>
      </c>
      <c r="I2656" s="0" t="s">
        <v>8850</v>
      </c>
      <c r="J2656" s="0" t="s">
        <v>8851</v>
      </c>
      <c r="K2656" s="0" t="s">
        <v>8852</v>
      </c>
      <c r="L2656" s="0" t="str">
        <f aca="false">HYPERLINK("https://www.ncbi.nlm.nih.gov/nuccore/CP000304.1?report=graph&amp;tracks=[key:gene_model_track,Options:GeneOnly]&amp;mk=795925:795944|offset_8|444444,795899:795918|offset_34|444444,795869:795888|offset_64|00cc00,795834:795853|offset_99|444444&amp;v=795724:796053&amp;c=444444", "offset 64")</f>
        <v>offset 64</v>
      </c>
    </row>
    <row r="2657" customFormat="false" ht="12.8" hidden="false" customHeight="false" outlineLevel="0" collapsed="false">
      <c r="A2657" s="0" t="s">
        <v>12</v>
      </c>
      <c r="B2657" s="0" t="n">
        <v>795833</v>
      </c>
      <c r="C2657" s="0" t="n">
        <v>795853</v>
      </c>
      <c r="D2657" s="0" t="s">
        <v>8842</v>
      </c>
      <c r="E2657" s="0" t="s">
        <v>8843</v>
      </c>
      <c r="F2657" s="0" t="s">
        <v>90</v>
      </c>
      <c r="G2657" s="0" t="s">
        <v>26</v>
      </c>
      <c r="H2657" s="0" t="n">
        <v>99</v>
      </c>
      <c r="I2657" s="0" t="s">
        <v>8853</v>
      </c>
      <c r="J2657" s="0" t="s">
        <v>8854</v>
      </c>
      <c r="K2657" s="0" t="s">
        <v>8855</v>
      </c>
      <c r="L2657" s="0" t="str">
        <f aca="false">HYPERLINK("https://www.ncbi.nlm.nih.gov/nuccore/CP000304.1?report=graph&amp;tracks=[key:gene_model_track,Options:GeneOnly]&amp;mk=795925:795944|offset_8|444444,795899:795918|offset_34|444444,795869:795888|offset_64|444444,795834:795853|offset_99|00cc00&amp;v=795724:796053&amp;c=444444", "offset 99")</f>
        <v>offset 99</v>
      </c>
    </row>
    <row r="2658" customFormat="false" ht="12.8" hidden="false" customHeight="false" outlineLevel="0" collapsed="false">
      <c r="A2658" s="0" t="s">
        <v>12</v>
      </c>
      <c r="B2658" s="0" t="n">
        <v>796853</v>
      </c>
      <c r="C2658" s="0" t="n">
        <v>796873</v>
      </c>
      <c r="D2658" s="0" t="s">
        <v>8856</v>
      </c>
      <c r="E2658" s="0" t="s">
        <v>89</v>
      </c>
      <c r="F2658" s="0" t="s">
        <v>90</v>
      </c>
      <c r="G2658" s="0" t="s">
        <v>26</v>
      </c>
      <c r="H2658" s="0" t="n">
        <v>8</v>
      </c>
      <c r="I2658" s="0" t="s">
        <v>8857</v>
      </c>
      <c r="J2658" s="0" t="s">
        <v>8858</v>
      </c>
      <c r="K2658" s="0" t="s">
        <v>8859</v>
      </c>
      <c r="L2658" s="0" t="str">
        <f aca="false">HYPERLINK("https://www.ncbi.nlm.nih.gov/nuccore/CP000304.1?report=graph&amp;tracks=[key:gene_model_track,Options:GeneOnly]&amp;mk=796854:796873|offset_8|00cc00,796827:796846|offset_35|444444,796802:796821|offset_60|444444,796747:796766|offset_115|444444&amp;v=796653:796966&amp;c=444444", "offset 8")</f>
        <v>offset 8</v>
      </c>
    </row>
    <row r="2659" customFormat="false" ht="12.8" hidden="false" customHeight="false" outlineLevel="0" collapsed="false">
      <c r="A2659" s="0" t="s">
        <v>12</v>
      </c>
      <c r="B2659" s="0" t="n">
        <v>796826</v>
      </c>
      <c r="C2659" s="0" t="n">
        <v>796846</v>
      </c>
      <c r="D2659" s="0" t="s">
        <v>8856</v>
      </c>
      <c r="E2659" s="0" t="s">
        <v>89</v>
      </c>
      <c r="F2659" s="0" t="s">
        <v>90</v>
      </c>
      <c r="G2659" s="0" t="s">
        <v>16</v>
      </c>
      <c r="H2659" s="0" t="n">
        <v>35</v>
      </c>
      <c r="I2659" s="0" t="s">
        <v>8860</v>
      </c>
      <c r="J2659" s="0" t="s">
        <v>8861</v>
      </c>
      <c r="K2659" s="0" t="s">
        <v>8862</v>
      </c>
      <c r="L2659" s="0" t="str">
        <f aca="false">HYPERLINK("https://www.ncbi.nlm.nih.gov/nuccore/CP000304.1?report=graph&amp;tracks=[key:gene_model_track,Options:GeneOnly]&amp;mk=796854:796873|offset_8|444444,796827:796846|offset_35|00cc00,796802:796821|offset_60|444444,796747:796766|offset_115|444444&amp;v=796653:796966&amp;c=444444", "offset 35")</f>
        <v>offset 35</v>
      </c>
    </row>
    <row r="2660" customFormat="false" ht="12.8" hidden="false" customHeight="false" outlineLevel="0" collapsed="false">
      <c r="A2660" s="0" t="s">
        <v>12</v>
      </c>
      <c r="B2660" s="0" t="n">
        <v>796801</v>
      </c>
      <c r="C2660" s="0" t="n">
        <v>796821</v>
      </c>
      <c r="D2660" s="0" t="s">
        <v>8856</v>
      </c>
      <c r="E2660" s="0" t="s">
        <v>89</v>
      </c>
      <c r="F2660" s="0" t="s">
        <v>90</v>
      </c>
      <c r="G2660" s="0" t="s">
        <v>36</v>
      </c>
      <c r="H2660" s="0" t="n">
        <v>60</v>
      </c>
      <c r="I2660" s="0" t="s">
        <v>8863</v>
      </c>
      <c r="J2660" s="0" t="s">
        <v>8864</v>
      </c>
      <c r="K2660" s="0" t="s">
        <v>8865</v>
      </c>
      <c r="L2660" s="0" t="str">
        <f aca="false">HYPERLINK("https://www.ncbi.nlm.nih.gov/nuccore/CP000304.1?report=graph&amp;tracks=[key:gene_model_track,Options:GeneOnly]&amp;mk=796854:796873|offset_8|444444,796827:796846|offset_35|444444,796802:796821|offset_60|00cc00,796747:796766|offset_115|444444&amp;v=796653:796966&amp;c=444444", "offset 60")</f>
        <v>offset 60</v>
      </c>
    </row>
    <row r="2661" customFormat="false" ht="12.8" hidden="false" customHeight="false" outlineLevel="0" collapsed="false">
      <c r="A2661" s="0" t="s">
        <v>12</v>
      </c>
      <c r="B2661" s="0" t="n">
        <v>796746</v>
      </c>
      <c r="C2661" s="0" t="n">
        <v>796766</v>
      </c>
      <c r="D2661" s="0" t="s">
        <v>8856</v>
      </c>
      <c r="E2661" s="0" t="s">
        <v>89</v>
      </c>
      <c r="F2661" s="0" t="s">
        <v>90</v>
      </c>
      <c r="G2661" s="0" t="s">
        <v>32</v>
      </c>
      <c r="H2661" s="0" t="n">
        <v>115</v>
      </c>
      <c r="I2661" s="0" t="s">
        <v>8866</v>
      </c>
      <c r="J2661" s="0" t="s">
        <v>8867</v>
      </c>
      <c r="K2661" s="0" t="s">
        <v>8868</v>
      </c>
      <c r="L2661" s="0" t="str">
        <f aca="false">HYPERLINK("https://www.ncbi.nlm.nih.gov/nuccore/CP000304.1?report=graph&amp;tracks=[key:gene_model_track,Options:GeneOnly]&amp;mk=796854:796873|offset_8|444444,796827:796846|offset_35|444444,796802:796821|offset_60|444444,796747:796766|offset_115|00cc00&amp;v=796653:796966&amp;c=444444", "offset 115")</f>
        <v>offset 115</v>
      </c>
    </row>
    <row r="2662" customFormat="false" ht="12.8" hidden="false" customHeight="false" outlineLevel="0" collapsed="false">
      <c r="A2662" s="0" t="s">
        <v>12</v>
      </c>
      <c r="B2662" s="0" t="n">
        <v>799399</v>
      </c>
      <c r="C2662" s="0" t="n">
        <v>799419</v>
      </c>
      <c r="D2662" s="0" t="s">
        <v>8869</v>
      </c>
      <c r="E2662" s="0" t="s">
        <v>89</v>
      </c>
      <c r="F2662" s="0" t="s">
        <v>90</v>
      </c>
      <c r="G2662" s="0" t="s">
        <v>32</v>
      </c>
      <c r="H2662" s="0" t="n">
        <v>8</v>
      </c>
      <c r="I2662" s="0" t="s">
        <v>8870</v>
      </c>
      <c r="J2662" s="0" t="s">
        <v>8871</v>
      </c>
      <c r="K2662" s="0" t="s">
        <v>8872</v>
      </c>
      <c r="L2662" s="0" t="str">
        <f aca="false">HYPERLINK("https://www.ncbi.nlm.nih.gov/nuccore/CP000304.1?report=graph&amp;tracks=[key:gene_model_track,Options:GeneOnly]&amp;mk=799400:799419|offset_8|00cc00,799362:799381|offset_46|444444,799337:799356|offset_71|444444,799293:799312|offset_115|444444&amp;v=799199:799512&amp;c=444444", "offset 8")</f>
        <v>offset 8</v>
      </c>
    </row>
    <row r="2663" customFormat="false" ht="12.8" hidden="false" customHeight="false" outlineLevel="0" collapsed="false">
      <c r="A2663" s="0" t="s">
        <v>12</v>
      </c>
      <c r="B2663" s="0" t="n">
        <v>799361</v>
      </c>
      <c r="C2663" s="0" t="n">
        <v>799381</v>
      </c>
      <c r="D2663" s="0" t="s">
        <v>8869</v>
      </c>
      <c r="E2663" s="0" t="s">
        <v>89</v>
      </c>
      <c r="F2663" s="0" t="s">
        <v>90</v>
      </c>
      <c r="G2663" s="0" t="s">
        <v>26</v>
      </c>
      <c r="H2663" s="0" t="n">
        <v>46</v>
      </c>
      <c r="I2663" s="0" t="s">
        <v>8873</v>
      </c>
      <c r="J2663" s="0" t="s">
        <v>8874</v>
      </c>
      <c r="K2663" s="0" t="s">
        <v>8875</v>
      </c>
      <c r="L2663" s="0" t="str">
        <f aca="false">HYPERLINK("https://www.ncbi.nlm.nih.gov/nuccore/CP000304.1?report=graph&amp;tracks=[key:gene_model_track,Options:GeneOnly]&amp;mk=799400:799419|offset_8|444444,799362:799381|offset_46|00cc00,799337:799356|offset_71|444444,799293:799312|offset_115|444444&amp;v=799199:799512&amp;c=444444", "offset 46")</f>
        <v>offset 46</v>
      </c>
    </row>
    <row r="2664" customFormat="false" ht="12.8" hidden="false" customHeight="false" outlineLevel="0" collapsed="false">
      <c r="A2664" s="0" t="s">
        <v>12</v>
      </c>
      <c r="B2664" s="0" t="n">
        <v>799336</v>
      </c>
      <c r="C2664" s="0" t="n">
        <v>799356</v>
      </c>
      <c r="D2664" s="0" t="s">
        <v>8869</v>
      </c>
      <c r="E2664" s="0" t="s">
        <v>89</v>
      </c>
      <c r="F2664" s="0" t="s">
        <v>90</v>
      </c>
      <c r="G2664" s="0" t="s">
        <v>26</v>
      </c>
      <c r="H2664" s="0" t="n">
        <v>71</v>
      </c>
      <c r="I2664" s="0" t="s">
        <v>8876</v>
      </c>
      <c r="J2664" s="0" t="s">
        <v>8877</v>
      </c>
      <c r="K2664" s="0" t="s">
        <v>8878</v>
      </c>
      <c r="L2664" s="0" t="str">
        <f aca="false">HYPERLINK("https://www.ncbi.nlm.nih.gov/nuccore/CP000304.1?report=graph&amp;tracks=[key:gene_model_track,Options:GeneOnly]&amp;mk=799400:799419|offset_8|444444,799362:799381|offset_46|444444,799337:799356|offset_71|00cc00,799293:799312|offset_115|444444&amp;v=799199:799512&amp;c=444444", "offset 71")</f>
        <v>offset 71</v>
      </c>
    </row>
    <row r="2665" customFormat="false" ht="12.8" hidden="false" customHeight="false" outlineLevel="0" collapsed="false">
      <c r="A2665" s="0" t="s">
        <v>12</v>
      </c>
      <c r="B2665" s="0" t="n">
        <v>799292</v>
      </c>
      <c r="C2665" s="0" t="n">
        <v>799312</v>
      </c>
      <c r="D2665" s="0" t="s">
        <v>8869</v>
      </c>
      <c r="E2665" s="0" t="s">
        <v>89</v>
      </c>
      <c r="F2665" s="0" t="s">
        <v>90</v>
      </c>
      <c r="G2665" s="0" t="s">
        <v>26</v>
      </c>
      <c r="H2665" s="0" t="n">
        <v>115</v>
      </c>
      <c r="I2665" s="0" t="s">
        <v>8879</v>
      </c>
      <c r="J2665" s="0" t="s">
        <v>8880</v>
      </c>
      <c r="K2665" s="0" t="s">
        <v>8881</v>
      </c>
      <c r="L2665" s="0" t="str">
        <f aca="false">HYPERLINK("https://www.ncbi.nlm.nih.gov/nuccore/CP000304.1?report=graph&amp;tracks=[key:gene_model_track,Options:GeneOnly]&amp;mk=799400:799419|offset_8|444444,799362:799381|offset_46|444444,799337:799356|offset_71|444444,799293:799312|offset_115|00cc00&amp;v=799199:799512&amp;c=444444", "offset 115")</f>
        <v>offset 115</v>
      </c>
    </row>
    <row r="2666" customFormat="false" ht="12.8" hidden="false" customHeight="false" outlineLevel="0" collapsed="false">
      <c r="A2666" s="0" t="s">
        <v>12</v>
      </c>
      <c r="B2666" s="0" t="n">
        <v>799675</v>
      </c>
      <c r="C2666" s="0" t="n">
        <v>799695</v>
      </c>
      <c r="D2666" s="0" t="s">
        <v>8882</v>
      </c>
      <c r="E2666" s="0" t="s">
        <v>8883</v>
      </c>
      <c r="F2666" s="0" t="s">
        <v>15</v>
      </c>
      <c r="G2666" s="0" t="s">
        <v>32</v>
      </c>
      <c r="H2666" s="0" t="n">
        <v>1</v>
      </c>
      <c r="I2666" s="0" t="s">
        <v>8884</v>
      </c>
      <c r="J2666" s="0" t="s">
        <v>8885</v>
      </c>
      <c r="K2666" s="0" t="s">
        <v>8886</v>
      </c>
      <c r="L2666" s="0" t="str">
        <f aca="false">HYPERLINK("https://www.ncbi.nlm.nih.gov/nuccore/CP000304.1?report=graph&amp;tracks=[key:gene_model_track,Options:GeneOnly]&amp;mk=799676:799695|offset_1|00cc00,799721:799740|offset_46|444444,799811:799830|offset_136|444444,799860:799879|offset_185|444444&amp;v=799475:800079&amp;c=444444", "offset 1")</f>
        <v>offset 1</v>
      </c>
    </row>
    <row r="2667" customFormat="false" ht="12.8" hidden="false" customHeight="false" outlineLevel="0" collapsed="false">
      <c r="A2667" s="0" t="s">
        <v>12</v>
      </c>
      <c r="B2667" s="0" t="n">
        <v>799720</v>
      </c>
      <c r="C2667" s="0" t="n">
        <v>799740</v>
      </c>
      <c r="D2667" s="0" t="s">
        <v>8882</v>
      </c>
      <c r="E2667" s="0" t="s">
        <v>8883</v>
      </c>
      <c r="F2667" s="0" t="s">
        <v>15</v>
      </c>
      <c r="G2667" s="0" t="s">
        <v>32</v>
      </c>
      <c r="H2667" s="0" t="n">
        <v>46</v>
      </c>
      <c r="I2667" s="0" t="s">
        <v>8887</v>
      </c>
      <c r="J2667" s="0" t="s">
        <v>8888</v>
      </c>
      <c r="K2667" s="0" t="s">
        <v>8889</v>
      </c>
      <c r="L2667" s="0" t="str">
        <f aca="false">HYPERLINK("https://www.ncbi.nlm.nih.gov/nuccore/CP000304.1?report=graph&amp;tracks=[key:gene_model_track,Options:GeneOnly]&amp;mk=799676:799695|offset_1|444444,799721:799740|offset_46|00cc00,799811:799830|offset_136|444444,799860:799879|offset_185|444444&amp;v=799475:800079&amp;c=444444", "offset 46")</f>
        <v>offset 46</v>
      </c>
    </row>
    <row r="2668" customFormat="false" ht="12.8" hidden="false" customHeight="false" outlineLevel="0" collapsed="false">
      <c r="A2668" s="0" t="s">
        <v>12</v>
      </c>
      <c r="B2668" s="0" t="n">
        <v>799810</v>
      </c>
      <c r="C2668" s="0" t="n">
        <v>799830</v>
      </c>
      <c r="D2668" s="0" t="s">
        <v>8882</v>
      </c>
      <c r="E2668" s="0" t="s">
        <v>8883</v>
      </c>
      <c r="F2668" s="0" t="s">
        <v>15</v>
      </c>
      <c r="G2668" s="0" t="s">
        <v>32</v>
      </c>
      <c r="H2668" s="0" t="n">
        <v>136</v>
      </c>
      <c r="I2668" s="0" t="s">
        <v>8890</v>
      </c>
      <c r="J2668" s="0" t="s">
        <v>8891</v>
      </c>
      <c r="K2668" s="0" t="s">
        <v>8892</v>
      </c>
      <c r="L2668" s="0" t="str">
        <f aca="false">HYPERLINK("https://www.ncbi.nlm.nih.gov/nuccore/CP000304.1?report=graph&amp;tracks=[key:gene_model_track,Options:GeneOnly]&amp;mk=799676:799695|offset_1|444444,799721:799740|offset_46|444444,799811:799830|offset_136|00cc00,799860:799879|offset_185|444444&amp;v=799475:800079&amp;c=444444", "offset 136")</f>
        <v>offset 136</v>
      </c>
    </row>
    <row r="2669" customFormat="false" ht="12.8" hidden="false" customHeight="false" outlineLevel="0" collapsed="false">
      <c r="A2669" s="0" t="s">
        <v>12</v>
      </c>
      <c r="B2669" s="0" t="n">
        <v>799859</v>
      </c>
      <c r="C2669" s="0" t="n">
        <v>799879</v>
      </c>
      <c r="D2669" s="0" t="s">
        <v>8882</v>
      </c>
      <c r="E2669" s="0" t="s">
        <v>8883</v>
      </c>
      <c r="F2669" s="0" t="s">
        <v>15</v>
      </c>
      <c r="G2669" s="0" t="s">
        <v>36</v>
      </c>
      <c r="H2669" s="0" t="n">
        <v>185</v>
      </c>
      <c r="I2669" s="0" t="s">
        <v>8893</v>
      </c>
      <c r="J2669" s="0" t="s">
        <v>8894</v>
      </c>
      <c r="K2669" s="0" t="s">
        <v>8895</v>
      </c>
      <c r="L2669" s="0" t="str">
        <f aca="false">HYPERLINK("https://www.ncbi.nlm.nih.gov/nuccore/CP000304.1?report=graph&amp;tracks=[key:gene_model_track,Options:GeneOnly]&amp;mk=799676:799695|offset_1|444444,799721:799740|offset_46|444444,799811:799830|offset_136|444444,799860:799879|offset_185|00cc00&amp;v=799475:800079&amp;c=444444", "offset 185")</f>
        <v>offset 185</v>
      </c>
    </row>
    <row r="2670" customFormat="false" ht="12.8" hidden="false" customHeight="false" outlineLevel="0" collapsed="false">
      <c r="A2670" s="0" t="s">
        <v>12</v>
      </c>
      <c r="B2670" s="0" t="n">
        <v>800930</v>
      </c>
      <c r="C2670" s="0" t="n">
        <v>800950</v>
      </c>
      <c r="D2670" s="0" t="s">
        <v>8896</v>
      </c>
      <c r="E2670" s="0" t="s">
        <v>8897</v>
      </c>
      <c r="F2670" s="0" t="s">
        <v>90</v>
      </c>
      <c r="G2670" s="0" t="s">
        <v>32</v>
      </c>
      <c r="H2670" s="0" t="n">
        <v>6</v>
      </c>
      <c r="I2670" s="0" t="s">
        <v>8898</v>
      </c>
      <c r="J2670" s="0" t="s">
        <v>8899</v>
      </c>
      <c r="K2670" s="0" t="s">
        <v>8900</v>
      </c>
      <c r="L2670" s="0" t="str">
        <f aca="false">HYPERLINK("https://www.ncbi.nlm.nih.gov/nuccore/CP000304.1?report=graph&amp;tracks=[key:gene_model_track,Options:GeneOnly]&amp;mk=800931:800950|offset_6|00cc00,800896:800915|offset_41|444444,800871:800890|offset_66|444444,800839:800858|offset_98|444444&amp;v=800730:801058&amp;c=444444", "offset 6")</f>
        <v>offset 6</v>
      </c>
    </row>
    <row r="2671" customFormat="false" ht="12.8" hidden="false" customHeight="false" outlineLevel="0" collapsed="false">
      <c r="A2671" s="0" t="s">
        <v>12</v>
      </c>
      <c r="B2671" s="0" t="n">
        <v>800895</v>
      </c>
      <c r="C2671" s="0" t="n">
        <v>800915</v>
      </c>
      <c r="D2671" s="0" t="s">
        <v>8896</v>
      </c>
      <c r="E2671" s="0" t="s">
        <v>8897</v>
      </c>
      <c r="F2671" s="0" t="s">
        <v>90</v>
      </c>
      <c r="G2671" s="0" t="s">
        <v>26</v>
      </c>
      <c r="H2671" s="0" t="n">
        <v>41</v>
      </c>
      <c r="I2671" s="0" t="s">
        <v>8901</v>
      </c>
      <c r="J2671" s="0" t="s">
        <v>8902</v>
      </c>
      <c r="K2671" s="0" t="s">
        <v>8903</v>
      </c>
      <c r="L2671" s="0" t="str">
        <f aca="false">HYPERLINK("https://www.ncbi.nlm.nih.gov/nuccore/CP000304.1?report=graph&amp;tracks=[key:gene_model_track,Options:GeneOnly]&amp;mk=800931:800950|offset_6|444444,800896:800915|offset_41|00cc00,800871:800890|offset_66|444444,800839:800858|offset_98|444444&amp;v=800730:801058&amp;c=444444", "offset 41")</f>
        <v>offset 41</v>
      </c>
    </row>
    <row r="2672" customFormat="false" ht="12.8" hidden="false" customHeight="false" outlineLevel="0" collapsed="false">
      <c r="A2672" s="0" t="s">
        <v>12</v>
      </c>
      <c r="B2672" s="0" t="n">
        <v>800870</v>
      </c>
      <c r="C2672" s="0" t="n">
        <v>800890</v>
      </c>
      <c r="D2672" s="0" t="s">
        <v>8896</v>
      </c>
      <c r="E2672" s="0" t="s">
        <v>8897</v>
      </c>
      <c r="F2672" s="0" t="s">
        <v>90</v>
      </c>
      <c r="G2672" s="0" t="s">
        <v>32</v>
      </c>
      <c r="H2672" s="0" t="n">
        <v>66</v>
      </c>
      <c r="I2672" s="0" t="s">
        <v>8904</v>
      </c>
      <c r="J2672" s="0" t="s">
        <v>8905</v>
      </c>
      <c r="K2672" s="0" t="s">
        <v>8906</v>
      </c>
      <c r="L2672" s="0" t="str">
        <f aca="false">HYPERLINK("https://www.ncbi.nlm.nih.gov/nuccore/CP000304.1?report=graph&amp;tracks=[key:gene_model_track,Options:GeneOnly]&amp;mk=800931:800950|offset_6|444444,800896:800915|offset_41|444444,800871:800890|offset_66|00cc00,800839:800858|offset_98|444444&amp;v=800730:801058&amp;c=444444", "offset 66")</f>
        <v>offset 66</v>
      </c>
    </row>
    <row r="2673" customFormat="false" ht="12.8" hidden="false" customHeight="false" outlineLevel="0" collapsed="false">
      <c r="A2673" s="0" t="s">
        <v>12</v>
      </c>
      <c r="B2673" s="0" t="n">
        <v>800838</v>
      </c>
      <c r="C2673" s="0" t="n">
        <v>800858</v>
      </c>
      <c r="D2673" s="0" t="s">
        <v>8896</v>
      </c>
      <c r="E2673" s="0" t="s">
        <v>8897</v>
      </c>
      <c r="F2673" s="0" t="s">
        <v>90</v>
      </c>
      <c r="G2673" s="0" t="s">
        <v>16</v>
      </c>
      <c r="H2673" s="0" t="n">
        <v>98</v>
      </c>
      <c r="I2673" s="0" t="s">
        <v>8907</v>
      </c>
      <c r="J2673" s="0" t="s">
        <v>8908</v>
      </c>
      <c r="K2673" s="0" t="s">
        <v>8909</v>
      </c>
      <c r="L2673" s="0" t="str">
        <f aca="false">HYPERLINK("https://www.ncbi.nlm.nih.gov/nuccore/CP000304.1?report=graph&amp;tracks=[key:gene_model_track,Options:GeneOnly]&amp;mk=800931:800950|offset_6|444444,800896:800915|offset_41|444444,800871:800890|offset_66|444444,800839:800858|offset_98|00cc00&amp;v=800730:801058&amp;c=444444", "offset 98")</f>
        <v>offset 98</v>
      </c>
    </row>
    <row r="2674" customFormat="false" ht="12.8" hidden="false" customHeight="false" outlineLevel="0" collapsed="false">
      <c r="A2674" s="0" t="s">
        <v>12</v>
      </c>
      <c r="B2674" s="0" t="n">
        <v>801086</v>
      </c>
      <c r="C2674" s="0" t="n">
        <v>801106</v>
      </c>
      <c r="D2674" s="0" t="s">
        <v>8910</v>
      </c>
      <c r="E2674" s="0" t="s">
        <v>89</v>
      </c>
      <c r="F2674" s="0" t="s">
        <v>15</v>
      </c>
      <c r="G2674" s="0" t="s">
        <v>32</v>
      </c>
      <c r="H2674" s="0" t="n">
        <v>22</v>
      </c>
      <c r="I2674" s="0" t="s">
        <v>8911</v>
      </c>
      <c r="J2674" s="0" t="s">
        <v>8912</v>
      </c>
      <c r="K2674" s="0" t="s">
        <v>8913</v>
      </c>
      <c r="L2674" s="0" t="str">
        <f aca="false">HYPERLINK("https://www.ncbi.nlm.nih.gov/nuccore/CP000304.1?report=graph&amp;tracks=[key:gene_model_track,Options:GeneOnly]&amp;mk=801087:801106|offset_22|00cc00,801128:801147|offset_63|444444,801156:801175|offset_91|444444,801207:801226|offset_142|444444&amp;v=800886:801426&amp;c=444444", "offset 22")</f>
        <v>offset 22</v>
      </c>
    </row>
    <row r="2675" customFormat="false" ht="12.8" hidden="false" customHeight="false" outlineLevel="0" collapsed="false">
      <c r="A2675" s="0" t="s">
        <v>12</v>
      </c>
      <c r="B2675" s="0" t="n">
        <v>801127</v>
      </c>
      <c r="C2675" s="0" t="n">
        <v>801147</v>
      </c>
      <c r="D2675" s="0" t="s">
        <v>8910</v>
      </c>
      <c r="E2675" s="0" t="s">
        <v>89</v>
      </c>
      <c r="F2675" s="0" t="s">
        <v>15</v>
      </c>
      <c r="G2675" s="0" t="s">
        <v>16</v>
      </c>
      <c r="H2675" s="0" t="n">
        <v>63</v>
      </c>
      <c r="I2675" s="0" t="s">
        <v>8914</v>
      </c>
      <c r="J2675" s="0" t="s">
        <v>8915</v>
      </c>
      <c r="K2675" s="0" t="s">
        <v>8916</v>
      </c>
      <c r="L2675" s="0" t="str">
        <f aca="false">HYPERLINK("https://www.ncbi.nlm.nih.gov/nuccore/CP000304.1?report=graph&amp;tracks=[key:gene_model_track,Options:GeneOnly]&amp;mk=801087:801106|offset_22|444444,801128:801147|offset_63|00cc00,801156:801175|offset_91|444444,801207:801226|offset_142|444444&amp;v=800886:801426&amp;c=444444", "offset 63")</f>
        <v>offset 63</v>
      </c>
    </row>
    <row r="2676" customFormat="false" ht="12.8" hidden="false" customHeight="false" outlineLevel="0" collapsed="false">
      <c r="A2676" s="0" t="s">
        <v>12</v>
      </c>
      <c r="B2676" s="0" t="n">
        <v>801155</v>
      </c>
      <c r="C2676" s="0" t="n">
        <v>801175</v>
      </c>
      <c r="D2676" s="0" t="s">
        <v>8910</v>
      </c>
      <c r="E2676" s="0" t="s">
        <v>89</v>
      </c>
      <c r="F2676" s="0" t="s">
        <v>15</v>
      </c>
      <c r="G2676" s="0" t="s">
        <v>16</v>
      </c>
      <c r="H2676" s="0" t="n">
        <v>91</v>
      </c>
      <c r="I2676" s="0" t="s">
        <v>8917</v>
      </c>
      <c r="J2676" s="0" t="s">
        <v>8918</v>
      </c>
      <c r="K2676" s="0" t="s">
        <v>8919</v>
      </c>
      <c r="L2676" s="0" t="str">
        <f aca="false">HYPERLINK("https://www.ncbi.nlm.nih.gov/nuccore/CP000304.1?report=graph&amp;tracks=[key:gene_model_track,Options:GeneOnly]&amp;mk=801087:801106|offset_22|444444,801128:801147|offset_63|444444,801156:801175|offset_91|00cc00,801207:801226|offset_142|444444&amp;v=800886:801426&amp;c=444444", "offset 91")</f>
        <v>offset 91</v>
      </c>
    </row>
    <row r="2677" customFormat="false" ht="12.8" hidden="false" customHeight="false" outlineLevel="0" collapsed="false">
      <c r="A2677" s="0" t="s">
        <v>12</v>
      </c>
      <c r="B2677" s="0" t="n">
        <v>801206</v>
      </c>
      <c r="C2677" s="0" t="n">
        <v>801226</v>
      </c>
      <c r="D2677" s="0" t="s">
        <v>8910</v>
      </c>
      <c r="E2677" s="0" t="s">
        <v>89</v>
      </c>
      <c r="F2677" s="0" t="s">
        <v>15</v>
      </c>
      <c r="G2677" s="0" t="s">
        <v>36</v>
      </c>
      <c r="H2677" s="0" t="n">
        <v>142</v>
      </c>
      <c r="I2677" s="0" t="s">
        <v>8920</v>
      </c>
      <c r="J2677" s="0" t="s">
        <v>8921</v>
      </c>
      <c r="K2677" s="0" t="s">
        <v>8922</v>
      </c>
      <c r="L2677" s="0" t="str">
        <f aca="false">HYPERLINK("https://www.ncbi.nlm.nih.gov/nuccore/CP000304.1?report=graph&amp;tracks=[key:gene_model_track,Options:GeneOnly]&amp;mk=801087:801106|offset_22|444444,801128:801147|offset_63|444444,801156:801175|offset_91|444444,801207:801226|offset_142|00cc00&amp;v=800886:801426&amp;c=444444", "offset 142")</f>
        <v>offset 142</v>
      </c>
    </row>
    <row r="2678" customFormat="false" ht="12.8" hidden="false" customHeight="false" outlineLevel="0" collapsed="false">
      <c r="A2678" s="0" t="s">
        <v>12</v>
      </c>
      <c r="B2678" s="0" t="n">
        <v>803045</v>
      </c>
      <c r="C2678" s="0" t="n">
        <v>803065</v>
      </c>
      <c r="D2678" s="0" t="s">
        <v>8923</v>
      </c>
      <c r="E2678" s="0" t="s">
        <v>89</v>
      </c>
      <c r="F2678" s="0" t="s">
        <v>15</v>
      </c>
      <c r="G2678" s="0" t="s">
        <v>26</v>
      </c>
      <c r="H2678" s="0" t="n">
        <v>26</v>
      </c>
      <c r="I2678" s="0" t="s">
        <v>8924</v>
      </c>
      <c r="J2678" s="0" t="s">
        <v>8925</v>
      </c>
      <c r="K2678" s="0" t="s">
        <v>8926</v>
      </c>
      <c r="L2678" s="0" t="str">
        <f aca="false">HYPERLINK("https://www.ncbi.nlm.nih.gov/nuccore/CP000304.1?report=graph&amp;tracks=[key:gene_model_track,Options:GeneOnly]&amp;mk=803046:803065|offset_26|00cc00,803087:803106|offset_67|444444,803112:803131|offset_92|444444,803132:803151|offset_112|444444&amp;v=802845:803351&amp;c=444444", "offset 26")</f>
        <v>offset 26</v>
      </c>
    </row>
    <row r="2679" customFormat="false" ht="12.8" hidden="false" customHeight="false" outlineLevel="0" collapsed="false">
      <c r="A2679" s="0" t="s">
        <v>12</v>
      </c>
      <c r="B2679" s="0" t="n">
        <v>803086</v>
      </c>
      <c r="C2679" s="0" t="n">
        <v>803106</v>
      </c>
      <c r="D2679" s="0" t="s">
        <v>8923</v>
      </c>
      <c r="E2679" s="0" t="s">
        <v>89</v>
      </c>
      <c r="F2679" s="0" t="s">
        <v>15</v>
      </c>
      <c r="G2679" s="0" t="s">
        <v>26</v>
      </c>
      <c r="H2679" s="0" t="n">
        <v>67</v>
      </c>
      <c r="I2679" s="0" t="s">
        <v>8927</v>
      </c>
      <c r="J2679" s="0" t="s">
        <v>8928</v>
      </c>
      <c r="K2679" s="0" t="s">
        <v>8929</v>
      </c>
      <c r="L2679" s="0" t="str">
        <f aca="false">HYPERLINK("https://www.ncbi.nlm.nih.gov/nuccore/CP000304.1?report=graph&amp;tracks=[key:gene_model_track,Options:GeneOnly]&amp;mk=803046:803065|offset_26|444444,803087:803106|offset_67|00cc00,803112:803131|offset_92|444444,803132:803151|offset_112|444444&amp;v=802845:803351&amp;c=444444", "offset 67")</f>
        <v>offset 67</v>
      </c>
    </row>
    <row r="2680" customFormat="false" ht="12.8" hidden="false" customHeight="false" outlineLevel="0" collapsed="false">
      <c r="A2680" s="0" t="s">
        <v>12</v>
      </c>
      <c r="B2680" s="0" t="n">
        <v>803111</v>
      </c>
      <c r="C2680" s="0" t="n">
        <v>803131</v>
      </c>
      <c r="D2680" s="0" t="s">
        <v>8923</v>
      </c>
      <c r="E2680" s="0" t="s">
        <v>89</v>
      </c>
      <c r="F2680" s="0" t="s">
        <v>15</v>
      </c>
      <c r="G2680" s="0" t="s">
        <v>32</v>
      </c>
      <c r="H2680" s="0" t="n">
        <v>92</v>
      </c>
      <c r="I2680" s="0" t="s">
        <v>8930</v>
      </c>
      <c r="J2680" s="0" t="s">
        <v>8931</v>
      </c>
      <c r="K2680" s="0" t="s">
        <v>8932</v>
      </c>
      <c r="L2680" s="0" t="str">
        <f aca="false">HYPERLINK("https://www.ncbi.nlm.nih.gov/nuccore/CP000304.1?report=graph&amp;tracks=[key:gene_model_track,Options:GeneOnly]&amp;mk=803046:803065|offset_26|444444,803087:803106|offset_67|444444,803112:803131|offset_92|00cc00,803132:803151|offset_112|444444&amp;v=802845:803351&amp;c=444444", "offset 92")</f>
        <v>offset 92</v>
      </c>
    </row>
    <row r="2681" customFormat="false" ht="12.8" hidden="false" customHeight="false" outlineLevel="0" collapsed="false">
      <c r="A2681" s="0" t="s">
        <v>12</v>
      </c>
      <c r="B2681" s="0" t="n">
        <v>803131</v>
      </c>
      <c r="C2681" s="0" t="n">
        <v>803151</v>
      </c>
      <c r="D2681" s="0" t="s">
        <v>8923</v>
      </c>
      <c r="E2681" s="0" t="s">
        <v>89</v>
      </c>
      <c r="F2681" s="0" t="s">
        <v>15</v>
      </c>
      <c r="G2681" s="0" t="s">
        <v>26</v>
      </c>
      <c r="H2681" s="0" t="n">
        <v>112</v>
      </c>
      <c r="I2681" s="0" t="s">
        <v>8933</v>
      </c>
      <c r="J2681" s="0" t="s">
        <v>8934</v>
      </c>
      <c r="K2681" s="0" t="s">
        <v>8935</v>
      </c>
      <c r="L2681" s="0" t="str">
        <f aca="false">HYPERLINK("https://www.ncbi.nlm.nih.gov/nuccore/CP000304.1?report=graph&amp;tracks=[key:gene_model_track,Options:GeneOnly]&amp;mk=803046:803065|offset_26|444444,803087:803106|offset_67|444444,803112:803131|offset_92|444444,803132:803151|offset_112|00cc00&amp;v=802845:803351&amp;c=444444", "offset 112")</f>
        <v>offset 112</v>
      </c>
    </row>
    <row r="2682" customFormat="false" ht="12.8" hidden="false" customHeight="false" outlineLevel="0" collapsed="false">
      <c r="A2682" s="0" t="s">
        <v>12</v>
      </c>
      <c r="B2682" s="0" t="n">
        <v>804082</v>
      </c>
      <c r="C2682" s="0" t="n">
        <v>804102</v>
      </c>
      <c r="D2682" s="0" t="s">
        <v>8936</v>
      </c>
      <c r="E2682" s="0" t="s">
        <v>89</v>
      </c>
      <c r="F2682" s="0" t="s">
        <v>15</v>
      </c>
      <c r="G2682" s="0" t="s">
        <v>26</v>
      </c>
      <c r="H2682" s="0" t="n">
        <v>29</v>
      </c>
      <c r="I2682" s="0" t="s">
        <v>8937</v>
      </c>
      <c r="J2682" s="0" t="s">
        <v>8938</v>
      </c>
      <c r="K2682" s="0" t="s">
        <v>8939</v>
      </c>
      <c r="L2682" s="0" t="str">
        <f aca="false">HYPERLINK("https://www.ncbi.nlm.nih.gov/nuccore/CP000304.1?report=graph&amp;tracks=[key:gene_model_track,Options:GeneOnly]&amp;mk=804083:804102|offset_29|00cc00,804107:804126|offset_53|444444,804160:804179|offset_106|444444,804187:804206|offset_133|444444&amp;v=803882:804406&amp;c=444444", "offset 29")</f>
        <v>offset 29</v>
      </c>
    </row>
    <row r="2683" customFormat="false" ht="12.8" hidden="false" customHeight="false" outlineLevel="0" collapsed="false">
      <c r="A2683" s="0" t="s">
        <v>12</v>
      </c>
      <c r="B2683" s="0" t="n">
        <v>804106</v>
      </c>
      <c r="C2683" s="0" t="n">
        <v>804126</v>
      </c>
      <c r="D2683" s="0" t="s">
        <v>8936</v>
      </c>
      <c r="E2683" s="0" t="s">
        <v>89</v>
      </c>
      <c r="F2683" s="0" t="s">
        <v>15</v>
      </c>
      <c r="G2683" s="0" t="s">
        <v>26</v>
      </c>
      <c r="H2683" s="0" t="n">
        <v>53</v>
      </c>
      <c r="I2683" s="0" t="s">
        <v>8940</v>
      </c>
      <c r="J2683" s="0" t="s">
        <v>8941</v>
      </c>
      <c r="K2683" s="0" t="s">
        <v>8942</v>
      </c>
      <c r="L2683" s="0" t="str">
        <f aca="false">HYPERLINK("https://www.ncbi.nlm.nih.gov/nuccore/CP000304.1?report=graph&amp;tracks=[key:gene_model_track,Options:GeneOnly]&amp;mk=804083:804102|offset_29|444444,804107:804126|offset_53|00cc00,804160:804179|offset_106|444444,804187:804206|offset_133|444444&amp;v=803882:804406&amp;c=444444", "offset 53")</f>
        <v>offset 53</v>
      </c>
    </row>
    <row r="2684" customFormat="false" ht="12.8" hidden="false" customHeight="false" outlineLevel="0" collapsed="false">
      <c r="A2684" s="0" t="s">
        <v>12</v>
      </c>
      <c r="B2684" s="0" t="n">
        <v>804159</v>
      </c>
      <c r="C2684" s="0" t="n">
        <v>804179</v>
      </c>
      <c r="D2684" s="0" t="s">
        <v>8936</v>
      </c>
      <c r="E2684" s="0" t="s">
        <v>89</v>
      </c>
      <c r="F2684" s="0" t="s">
        <v>15</v>
      </c>
      <c r="G2684" s="0" t="s">
        <v>32</v>
      </c>
      <c r="H2684" s="0" t="n">
        <v>106</v>
      </c>
      <c r="I2684" s="0" t="s">
        <v>8943</v>
      </c>
      <c r="J2684" s="0" t="s">
        <v>8944</v>
      </c>
      <c r="K2684" s="0" t="s">
        <v>8945</v>
      </c>
      <c r="L2684" s="0" t="str">
        <f aca="false">HYPERLINK("https://www.ncbi.nlm.nih.gov/nuccore/CP000304.1?report=graph&amp;tracks=[key:gene_model_track,Options:GeneOnly]&amp;mk=804083:804102|offset_29|444444,804107:804126|offset_53|444444,804160:804179|offset_106|00cc00,804187:804206|offset_133|444444&amp;v=803882:804406&amp;c=444444", "offset 106")</f>
        <v>offset 106</v>
      </c>
    </row>
    <row r="2685" customFormat="false" ht="12.8" hidden="false" customHeight="false" outlineLevel="0" collapsed="false">
      <c r="A2685" s="0" t="s">
        <v>12</v>
      </c>
      <c r="B2685" s="0" t="n">
        <v>804186</v>
      </c>
      <c r="C2685" s="0" t="n">
        <v>804206</v>
      </c>
      <c r="D2685" s="0" t="s">
        <v>8936</v>
      </c>
      <c r="E2685" s="0" t="s">
        <v>89</v>
      </c>
      <c r="F2685" s="0" t="s">
        <v>15</v>
      </c>
      <c r="G2685" s="0" t="s">
        <v>32</v>
      </c>
      <c r="H2685" s="0" t="n">
        <v>133</v>
      </c>
      <c r="I2685" s="0" t="s">
        <v>8946</v>
      </c>
      <c r="J2685" s="0" t="s">
        <v>8947</v>
      </c>
      <c r="K2685" s="0" t="s">
        <v>8948</v>
      </c>
      <c r="L2685" s="0" t="str">
        <f aca="false">HYPERLINK("https://www.ncbi.nlm.nih.gov/nuccore/CP000304.1?report=graph&amp;tracks=[key:gene_model_track,Options:GeneOnly]&amp;mk=804083:804102|offset_29|444444,804107:804126|offset_53|444444,804160:804179|offset_106|444444,804187:804206|offset_133|00cc00&amp;v=803882:804406&amp;c=444444", "offset 133")</f>
        <v>offset 133</v>
      </c>
    </row>
    <row r="2686" customFormat="false" ht="12.8" hidden="false" customHeight="false" outlineLevel="0" collapsed="false">
      <c r="A2686" s="0" t="s">
        <v>12</v>
      </c>
      <c r="B2686" s="0" t="n">
        <v>804966</v>
      </c>
      <c r="C2686" s="0" t="n">
        <v>804986</v>
      </c>
      <c r="D2686" s="0" t="s">
        <v>8949</v>
      </c>
      <c r="E2686" s="0" t="s">
        <v>89</v>
      </c>
      <c r="F2686" s="0" t="s">
        <v>15</v>
      </c>
      <c r="G2686" s="0" t="s">
        <v>32</v>
      </c>
      <c r="H2686" s="0" t="n">
        <v>1</v>
      </c>
      <c r="I2686" s="0" t="s">
        <v>8950</v>
      </c>
      <c r="J2686" s="0" t="s">
        <v>8951</v>
      </c>
      <c r="K2686" s="0" t="s">
        <v>8952</v>
      </c>
      <c r="L2686" s="0" t="str">
        <f aca="false">HYPERLINK("https://www.ncbi.nlm.nih.gov/nuccore/CP000304.1?report=graph&amp;tracks=[key:gene_model_track,Options:GeneOnly]&amp;mk=804967:804986|offset_1|00cc00,804987:805006|offset_21|444444,805007:805026|offset_41|444444,805048:805067|offset_82|444444&amp;v=804766:805267&amp;c=444444", "offset 1")</f>
        <v>offset 1</v>
      </c>
    </row>
    <row r="2687" customFormat="false" ht="12.8" hidden="false" customHeight="false" outlineLevel="0" collapsed="false">
      <c r="A2687" s="0" t="s">
        <v>12</v>
      </c>
      <c r="B2687" s="0" t="n">
        <v>804986</v>
      </c>
      <c r="C2687" s="0" t="n">
        <v>805006</v>
      </c>
      <c r="D2687" s="0" t="s">
        <v>8949</v>
      </c>
      <c r="E2687" s="0" t="s">
        <v>89</v>
      </c>
      <c r="F2687" s="0" t="s">
        <v>15</v>
      </c>
      <c r="G2687" s="0" t="s">
        <v>16</v>
      </c>
      <c r="H2687" s="0" t="n">
        <v>21</v>
      </c>
      <c r="I2687" s="0" t="s">
        <v>8953</v>
      </c>
      <c r="J2687" s="0" t="s">
        <v>8954</v>
      </c>
      <c r="K2687" s="0" t="s">
        <v>8955</v>
      </c>
      <c r="L2687" s="0" t="str">
        <f aca="false">HYPERLINK("https://www.ncbi.nlm.nih.gov/nuccore/CP000304.1?report=graph&amp;tracks=[key:gene_model_track,Options:GeneOnly]&amp;mk=804967:804986|offset_1|444444,804987:805006|offset_21|00cc00,805007:805026|offset_41|444444,805048:805067|offset_82|444444&amp;v=804766:805267&amp;c=444444", "offset 21")</f>
        <v>offset 21</v>
      </c>
    </row>
    <row r="2688" customFormat="false" ht="12.8" hidden="false" customHeight="false" outlineLevel="0" collapsed="false">
      <c r="A2688" s="0" t="s">
        <v>12</v>
      </c>
      <c r="B2688" s="0" t="n">
        <v>805006</v>
      </c>
      <c r="C2688" s="0" t="n">
        <v>805026</v>
      </c>
      <c r="D2688" s="0" t="s">
        <v>8949</v>
      </c>
      <c r="E2688" s="0" t="s">
        <v>89</v>
      </c>
      <c r="F2688" s="0" t="s">
        <v>15</v>
      </c>
      <c r="G2688" s="0" t="s">
        <v>16</v>
      </c>
      <c r="H2688" s="0" t="n">
        <v>41</v>
      </c>
      <c r="I2688" s="0" t="s">
        <v>8956</v>
      </c>
      <c r="J2688" s="0" t="s">
        <v>8957</v>
      </c>
      <c r="K2688" s="0" t="s">
        <v>8958</v>
      </c>
      <c r="L2688" s="0" t="str">
        <f aca="false">HYPERLINK("https://www.ncbi.nlm.nih.gov/nuccore/CP000304.1?report=graph&amp;tracks=[key:gene_model_track,Options:GeneOnly]&amp;mk=804967:804986|offset_1|444444,804987:805006|offset_21|444444,805007:805026|offset_41|00cc00,805048:805067|offset_82|444444&amp;v=804766:805267&amp;c=444444", "offset 41")</f>
        <v>offset 41</v>
      </c>
    </row>
    <row r="2689" customFormat="false" ht="12.8" hidden="false" customHeight="false" outlineLevel="0" collapsed="false">
      <c r="A2689" s="0" t="s">
        <v>12</v>
      </c>
      <c r="B2689" s="0" t="n">
        <v>805047</v>
      </c>
      <c r="C2689" s="0" t="n">
        <v>805067</v>
      </c>
      <c r="D2689" s="0" t="s">
        <v>8949</v>
      </c>
      <c r="E2689" s="0" t="s">
        <v>89</v>
      </c>
      <c r="F2689" s="0" t="s">
        <v>15</v>
      </c>
      <c r="G2689" s="0" t="s">
        <v>16</v>
      </c>
      <c r="H2689" s="0" t="n">
        <v>82</v>
      </c>
      <c r="I2689" s="0" t="s">
        <v>8959</v>
      </c>
      <c r="J2689" s="0" t="s">
        <v>8960</v>
      </c>
      <c r="K2689" s="0" t="s">
        <v>8961</v>
      </c>
      <c r="L2689" s="0" t="str">
        <f aca="false">HYPERLINK("https://www.ncbi.nlm.nih.gov/nuccore/CP000304.1?report=graph&amp;tracks=[key:gene_model_track,Options:GeneOnly]&amp;mk=804967:804986|offset_1|444444,804987:805006|offset_21|444444,805007:805026|offset_41|444444,805048:805067|offset_82|00cc00&amp;v=804766:805267&amp;c=444444", "offset 82")</f>
        <v>offset 82</v>
      </c>
    </row>
    <row r="2690" customFormat="false" ht="12.8" hidden="false" customHeight="false" outlineLevel="0" collapsed="false">
      <c r="A2690" s="0" t="s">
        <v>12</v>
      </c>
      <c r="B2690" s="0" t="n">
        <v>805292</v>
      </c>
      <c r="C2690" s="0" t="n">
        <v>805312</v>
      </c>
      <c r="D2690" s="0" t="s">
        <v>8962</v>
      </c>
      <c r="E2690" s="0" t="s">
        <v>89</v>
      </c>
      <c r="F2690" s="0" t="s">
        <v>15</v>
      </c>
      <c r="G2690" s="0" t="s">
        <v>36</v>
      </c>
      <c r="H2690" s="0" t="n">
        <v>16</v>
      </c>
      <c r="I2690" s="0" t="s">
        <v>8963</v>
      </c>
      <c r="J2690" s="0" t="s">
        <v>8964</v>
      </c>
      <c r="K2690" s="0" t="s">
        <v>8965</v>
      </c>
      <c r="L2690" s="0" t="str">
        <f aca="false">HYPERLINK("https://www.ncbi.nlm.nih.gov/nuccore/CP000304.1?report=graph&amp;tracks=[key:gene_model_track,Options:GeneOnly]&amp;mk=805293:805312|offset_16|00cc00,805314:805333|offset_37|444444,805338:805357|offset_61|444444,805373:805392|offset_96|444444&amp;v=805092:805592&amp;c=444444", "offset 16")</f>
        <v>offset 16</v>
      </c>
    </row>
    <row r="2691" customFormat="false" ht="12.8" hidden="false" customHeight="false" outlineLevel="0" collapsed="false">
      <c r="A2691" s="0" t="s">
        <v>12</v>
      </c>
      <c r="B2691" s="0" t="n">
        <v>805313</v>
      </c>
      <c r="C2691" s="0" t="n">
        <v>805333</v>
      </c>
      <c r="D2691" s="0" t="s">
        <v>8962</v>
      </c>
      <c r="E2691" s="0" t="s">
        <v>89</v>
      </c>
      <c r="F2691" s="0" t="s">
        <v>15</v>
      </c>
      <c r="G2691" s="0" t="s">
        <v>32</v>
      </c>
      <c r="H2691" s="0" t="n">
        <v>37</v>
      </c>
      <c r="I2691" s="0" t="s">
        <v>8966</v>
      </c>
      <c r="J2691" s="0" t="s">
        <v>8967</v>
      </c>
      <c r="K2691" s="0" t="s">
        <v>8968</v>
      </c>
      <c r="L2691" s="0" t="str">
        <f aca="false">HYPERLINK("https://www.ncbi.nlm.nih.gov/nuccore/CP000304.1?report=graph&amp;tracks=[key:gene_model_track,Options:GeneOnly]&amp;mk=805293:805312|offset_16|444444,805314:805333|offset_37|00cc00,805338:805357|offset_61|444444,805373:805392|offset_96|444444&amp;v=805092:805592&amp;c=444444", "offset 37")</f>
        <v>offset 37</v>
      </c>
    </row>
    <row r="2692" customFormat="false" ht="12.8" hidden="false" customHeight="false" outlineLevel="0" collapsed="false">
      <c r="A2692" s="0" t="s">
        <v>12</v>
      </c>
      <c r="B2692" s="0" t="n">
        <v>805337</v>
      </c>
      <c r="C2692" s="0" t="n">
        <v>805357</v>
      </c>
      <c r="D2692" s="0" t="s">
        <v>8962</v>
      </c>
      <c r="E2692" s="0" t="s">
        <v>89</v>
      </c>
      <c r="F2692" s="0" t="s">
        <v>15</v>
      </c>
      <c r="G2692" s="0" t="s">
        <v>36</v>
      </c>
      <c r="H2692" s="0" t="n">
        <v>61</v>
      </c>
      <c r="I2692" s="0" t="s">
        <v>8969</v>
      </c>
      <c r="J2692" s="0" t="s">
        <v>8970</v>
      </c>
      <c r="K2692" s="0" t="s">
        <v>8971</v>
      </c>
      <c r="L2692" s="0" t="str">
        <f aca="false">HYPERLINK("https://www.ncbi.nlm.nih.gov/nuccore/CP000304.1?report=graph&amp;tracks=[key:gene_model_track,Options:GeneOnly]&amp;mk=805293:805312|offset_16|444444,805314:805333|offset_37|444444,805338:805357|offset_61|00cc00,805373:805392|offset_96|444444&amp;v=805092:805592&amp;c=444444", "offset 61")</f>
        <v>offset 61</v>
      </c>
    </row>
    <row r="2693" customFormat="false" ht="12.8" hidden="false" customHeight="false" outlineLevel="0" collapsed="false">
      <c r="A2693" s="0" t="s">
        <v>12</v>
      </c>
      <c r="B2693" s="0" t="n">
        <v>805372</v>
      </c>
      <c r="C2693" s="0" t="n">
        <v>805392</v>
      </c>
      <c r="D2693" s="0" t="s">
        <v>8962</v>
      </c>
      <c r="E2693" s="0" t="s">
        <v>89</v>
      </c>
      <c r="F2693" s="0" t="s">
        <v>15</v>
      </c>
      <c r="G2693" s="0" t="s">
        <v>32</v>
      </c>
      <c r="H2693" s="0" t="n">
        <v>96</v>
      </c>
      <c r="I2693" s="0" t="s">
        <v>8972</v>
      </c>
      <c r="J2693" s="0" t="s">
        <v>8973</v>
      </c>
      <c r="K2693" s="0" t="s">
        <v>8974</v>
      </c>
      <c r="L2693" s="0" t="str">
        <f aca="false">HYPERLINK("https://www.ncbi.nlm.nih.gov/nuccore/CP000304.1?report=graph&amp;tracks=[key:gene_model_track,Options:GeneOnly]&amp;mk=805293:805312|offset_16|444444,805314:805333|offset_37|444444,805338:805357|offset_61|444444,805373:805392|offset_96|00cc00&amp;v=805092:805592&amp;c=444444", "offset 96")</f>
        <v>offset 96</v>
      </c>
    </row>
    <row r="2694" customFormat="false" ht="12.8" hidden="false" customHeight="false" outlineLevel="0" collapsed="false">
      <c r="A2694" s="0" t="s">
        <v>12</v>
      </c>
      <c r="B2694" s="0" t="n">
        <v>806593</v>
      </c>
      <c r="C2694" s="0" t="n">
        <v>806613</v>
      </c>
      <c r="D2694" s="0" t="s">
        <v>8975</v>
      </c>
      <c r="E2694" s="0" t="s">
        <v>89</v>
      </c>
      <c r="F2694" s="0" t="s">
        <v>15</v>
      </c>
      <c r="G2694" s="0" t="s">
        <v>32</v>
      </c>
      <c r="H2694" s="0" t="n">
        <v>6</v>
      </c>
      <c r="I2694" s="0" t="s">
        <v>8976</v>
      </c>
      <c r="J2694" s="0" t="s">
        <v>8977</v>
      </c>
      <c r="K2694" s="0" t="s">
        <v>8978</v>
      </c>
      <c r="L2694" s="0" t="str">
        <f aca="false">HYPERLINK("https://www.ncbi.nlm.nih.gov/nuccore/CP000304.1?report=graph&amp;tracks=[key:gene_model_track,Options:GeneOnly]&amp;mk=806594:806613|offset_6|00cc00,806638:806657|offset_50|444444,806677:806696|offset_89|444444,806700:806719|offset_112|444444&amp;v=806393:806919&amp;c=444444", "offset 6")</f>
        <v>offset 6</v>
      </c>
    </row>
    <row r="2695" customFormat="false" ht="12.8" hidden="false" customHeight="false" outlineLevel="0" collapsed="false">
      <c r="A2695" s="0" t="s">
        <v>12</v>
      </c>
      <c r="B2695" s="0" t="n">
        <v>806637</v>
      </c>
      <c r="C2695" s="0" t="n">
        <v>806657</v>
      </c>
      <c r="D2695" s="0" t="s">
        <v>8975</v>
      </c>
      <c r="E2695" s="0" t="s">
        <v>89</v>
      </c>
      <c r="F2695" s="0" t="s">
        <v>15</v>
      </c>
      <c r="G2695" s="0" t="s">
        <v>36</v>
      </c>
      <c r="H2695" s="0" t="n">
        <v>50</v>
      </c>
      <c r="I2695" s="0" t="s">
        <v>8979</v>
      </c>
      <c r="J2695" s="0" t="s">
        <v>8980</v>
      </c>
      <c r="K2695" s="0" t="s">
        <v>8981</v>
      </c>
      <c r="L2695" s="0" t="str">
        <f aca="false">HYPERLINK("https://www.ncbi.nlm.nih.gov/nuccore/CP000304.1?report=graph&amp;tracks=[key:gene_model_track,Options:GeneOnly]&amp;mk=806594:806613|offset_6|444444,806638:806657|offset_50|00cc00,806677:806696|offset_89|444444,806700:806719|offset_112|444444&amp;v=806393:806919&amp;c=444444", "offset 50")</f>
        <v>offset 50</v>
      </c>
    </row>
    <row r="2696" customFormat="false" ht="12.8" hidden="false" customHeight="false" outlineLevel="0" collapsed="false">
      <c r="A2696" s="0" t="s">
        <v>12</v>
      </c>
      <c r="B2696" s="0" t="n">
        <v>806676</v>
      </c>
      <c r="C2696" s="0" t="n">
        <v>806696</v>
      </c>
      <c r="D2696" s="0" t="s">
        <v>8975</v>
      </c>
      <c r="E2696" s="0" t="s">
        <v>89</v>
      </c>
      <c r="F2696" s="0" t="s">
        <v>15</v>
      </c>
      <c r="G2696" s="0" t="s">
        <v>36</v>
      </c>
      <c r="H2696" s="0" t="n">
        <v>89</v>
      </c>
      <c r="I2696" s="0" t="s">
        <v>8982</v>
      </c>
      <c r="J2696" s="0" t="s">
        <v>8983</v>
      </c>
      <c r="K2696" s="0" t="s">
        <v>8984</v>
      </c>
      <c r="L2696" s="0" t="str">
        <f aca="false">HYPERLINK("https://www.ncbi.nlm.nih.gov/nuccore/CP000304.1?report=graph&amp;tracks=[key:gene_model_track,Options:GeneOnly]&amp;mk=806594:806613|offset_6|444444,806638:806657|offset_50|444444,806677:806696|offset_89|00cc00,806700:806719|offset_112|444444&amp;v=806393:806919&amp;c=444444", "offset 89")</f>
        <v>offset 89</v>
      </c>
    </row>
    <row r="2697" customFormat="false" ht="12.8" hidden="false" customHeight="false" outlineLevel="0" collapsed="false">
      <c r="A2697" s="0" t="s">
        <v>12</v>
      </c>
      <c r="B2697" s="0" t="n">
        <v>806699</v>
      </c>
      <c r="C2697" s="0" t="n">
        <v>806719</v>
      </c>
      <c r="D2697" s="0" t="s">
        <v>8975</v>
      </c>
      <c r="E2697" s="0" t="s">
        <v>89</v>
      </c>
      <c r="F2697" s="0" t="s">
        <v>15</v>
      </c>
      <c r="G2697" s="0" t="s">
        <v>26</v>
      </c>
      <c r="H2697" s="0" t="n">
        <v>112</v>
      </c>
      <c r="I2697" s="0" t="s">
        <v>8985</v>
      </c>
      <c r="J2697" s="0" t="s">
        <v>8986</v>
      </c>
      <c r="K2697" s="0" t="s">
        <v>8987</v>
      </c>
      <c r="L2697" s="0" t="str">
        <f aca="false">HYPERLINK("https://www.ncbi.nlm.nih.gov/nuccore/CP000304.1?report=graph&amp;tracks=[key:gene_model_track,Options:GeneOnly]&amp;mk=806594:806613|offset_6|444444,806638:806657|offset_50|444444,806677:806696|offset_89|444444,806700:806719|offset_112|00cc00&amp;v=806393:806919&amp;c=444444", "offset 112")</f>
        <v>offset 112</v>
      </c>
    </row>
    <row r="2698" customFormat="false" ht="12.8" hidden="false" customHeight="false" outlineLevel="0" collapsed="false">
      <c r="A2698" s="0" t="s">
        <v>12</v>
      </c>
      <c r="B2698" s="0" t="n">
        <v>808843</v>
      </c>
      <c r="C2698" s="0" t="n">
        <v>808863</v>
      </c>
      <c r="D2698" s="0" t="s">
        <v>8988</v>
      </c>
      <c r="E2698" s="0" t="s">
        <v>89</v>
      </c>
      <c r="F2698" s="0" t="s">
        <v>15</v>
      </c>
      <c r="G2698" s="0" t="s">
        <v>16</v>
      </c>
      <c r="H2698" s="0" t="n">
        <v>19</v>
      </c>
      <c r="I2698" s="0" t="s">
        <v>8989</v>
      </c>
      <c r="J2698" s="0" t="s">
        <v>8990</v>
      </c>
      <c r="K2698" s="0" t="s">
        <v>8991</v>
      </c>
      <c r="L2698" s="0" t="str">
        <f aca="false">HYPERLINK("https://www.ncbi.nlm.nih.gov/nuccore/CP000304.1?report=graph&amp;tracks=[key:gene_model_track,Options:GeneOnly]&amp;mk=808844:808863|offset_19|00cc00,808884:808903|offset_59|444444,808907:808926|offset_82|444444,808933:808952|offset_108|444444&amp;v=808643:809152&amp;c=444444", "offset 19")</f>
        <v>offset 19</v>
      </c>
    </row>
    <row r="2699" customFormat="false" ht="12.8" hidden="false" customHeight="false" outlineLevel="0" collapsed="false">
      <c r="A2699" s="0" t="s">
        <v>12</v>
      </c>
      <c r="B2699" s="0" t="n">
        <v>808883</v>
      </c>
      <c r="C2699" s="0" t="n">
        <v>808903</v>
      </c>
      <c r="D2699" s="0" t="s">
        <v>8988</v>
      </c>
      <c r="E2699" s="0" t="s">
        <v>89</v>
      </c>
      <c r="F2699" s="0" t="s">
        <v>15</v>
      </c>
      <c r="G2699" s="0" t="s">
        <v>16</v>
      </c>
      <c r="H2699" s="0" t="n">
        <v>59</v>
      </c>
      <c r="I2699" s="0" t="s">
        <v>8992</v>
      </c>
      <c r="J2699" s="0" t="s">
        <v>8993</v>
      </c>
      <c r="K2699" s="0" t="s">
        <v>8994</v>
      </c>
      <c r="L2699" s="0" t="str">
        <f aca="false">HYPERLINK("https://www.ncbi.nlm.nih.gov/nuccore/CP000304.1?report=graph&amp;tracks=[key:gene_model_track,Options:GeneOnly]&amp;mk=808844:808863|offset_19|444444,808884:808903|offset_59|00cc00,808907:808926|offset_82|444444,808933:808952|offset_108|444444&amp;v=808643:809152&amp;c=444444", "offset 59")</f>
        <v>offset 59</v>
      </c>
    </row>
    <row r="2700" customFormat="false" ht="12.8" hidden="false" customHeight="false" outlineLevel="0" collapsed="false">
      <c r="A2700" s="0" t="s">
        <v>12</v>
      </c>
      <c r="B2700" s="0" t="n">
        <v>808906</v>
      </c>
      <c r="C2700" s="0" t="n">
        <v>808926</v>
      </c>
      <c r="D2700" s="0" t="s">
        <v>8988</v>
      </c>
      <c r="E2700" s="0" t="s">
        <v>89</v>
      </c>
      <c r="F2700" s="0" t="s">
        <v>15</v>
      </c>
      <c r="G2700" s="0" t="s">
        <v>36</v>
      </c>
      <c r="H2700" s="0" t="n">
        <v>82</v>
      </c>
      <c r="I2700" s="0" t="s">
        <v>8995</v>
      </c>
      <c r="J2700" s="0" t="s">
        <v>8996</v>
      </c>
      <c r="K2700" s="0" t="s">
        <v>8997</v>
      </c>
      <c r="L2700" s="0" t="str">
        <f aca="false">HYPERLINK("https://www.ncbi.nlm.nih.gov/nuccore/CP000304.1?report=graph&amp;tracks=[key:gene_model_track,Options:GeneOnly]&amp;mk=808844:808863|offset_19|444444,808884:808903|offset_59|444444,808907:808926|offset_82|00cc00,808933:808952|offset_108|444444&amp;v=808643:809152&amp;c=444444", "offset 82")</f>
        <v>offset 82</v>
      </c>
    </row>
    <row r="2701" customFormat="false" ht="12.8" hidden="false" customHeight="false" outlineLevel="0" collapsed="false">
      <c r="A2701" s="0" t="s">
        <v>12</v>
      </c>
      <c r="B2701" s="0" t="n">
        <v>808932</v>
      </c>
      <c r="C2701" s="0" t="n">
        <v>808952</v>
      </c>
      <c r="D2701" s="0" t="s">
        <v>8988</v>
      </c>
      <c r="E2701" s="0" t="s">
        <v>89</v>
      </c>
      <c r="F2701" s="0" t="s">
        <v>15</v>
      </c>
      <c r="G2701" s="0" t="s">
        <v>32</v>
      </c>
      <c r="H2701" s="0" t="n">
        <v>108</v>
      </c>
      <c r="I2701" s="0" t="s">
        <v>8998</v>
      </c>
      <c r="J2701" s="0" t="s">
        <v>8999</v>
      </c>
      <c r="K2701" s="0" t="s">
        <v>9000</v>
      </c>
      <c r="L2701" s="0" t="str">
        <f aca="false">HYPERLINK("https://www.ncbi.nlm.nih.gov/nuccore/CP000304.1?report=graph&amp;tracks=[key:gene_model_track,Options:GeneOnly]&amp;mk=808844:808863|offset_19|444444,808884:808903|offset_59|444444,808907:808926|offset_82|444444,808933:808952|offset_108|00cc00&amp;v=808643:809152&amp;c=444444", "offset 108")</f>
        <v>offset 108</v>
      </c>
    </row>
    <row r="2702" customFormat="false" ht="12.8" hidden="false" customHeight="false" outlineLevel="0" collapsed="false">
      <c r="A2702" s="0" t="s">
        <v>12</v>
      </c>
      <c r="B2702" s="0" t="n">
        <v>809099</v>
      </c>
      <c r="C2702" s="0" t="n">
        <v>809119</v>
      </c>
      <c r="D2702" s="0" t="s">
        <v>9001</v>
      </c>
      <c r="E2702" s="0" t="s">
        <v>89</v>
      </c>
      <c r="F2702" s="0" t="s">
        <v>15</v>
      </c>
      <c r="G2702" s="0" t="s">
        <v>16</v>
      </c>
      <c r="H2702" s="0" t="n">
        <v>12</v>
      </c>
      <c r="I2702" s="0" t="s">
        <v>9002</v>
      </c>
      <c r="J2702" s="0" t="s">
        <v>9003</v>
      </c>
      <c r="K2702" s="0" t="s">
        <v>9004</v>
      </c>
      <c r="L2702" s="0" t="str">
        <f aca="false">HYPERLINK("https://www.ncbi.nlm.nih.gov/nuccore/CP000304.1?report=graph&amp;tracks=[key:gene_model_track,Options:GeneOnly]&amp;mk=809100:809119|offset_12|00cc00,809198:809217|offset_110|444444,809283:809302|offset_195|444444&amp;v=808899:809502&amp;c=444444", "offset 12")</f>
        <v>offset 12</v>
      </c>
    </row>
    <row r="2703" customFormat="false" ht="12.8" hidden="false" customHeight="false" outlineLevel="0" collapsed="false">
      <c r="A2703" s="0" t="s">
        <v>12</v>
      </c>
      <c r="B2703" s="0" t="n">
        <v>809197</v>
      </c>
      <c r="C2703" s="0" t="n">
        <v>809217</v>
      </c>
      <c r="D2703" s="0" t="s">
        <v>9001</v>
      </c>
      <c r="E2703" s="0" t="s">
        <v>89</v>
      </c>
      <c r="F2703" s="0" t="s">
        <v>15</v>
      </c>
      <c r="G2703" s="0" t="s">
        <v>26</v>
      </c>
      <c r="H2703" s="0" t="n">
        <v>110</v>
      </c>
      <c r="I2703" s="0" t="s">
        <v>9005</v>
      </c>
      <c r="J2703" s="0" t="s">
        <v>9006</v>
      </c>
      <c r="K2703" s="0" t="s">
        <v>9007</v>
      </c>
      <c r="L2703" s="0" t="str">
        <f aca="false">HYPERLINK("https://www.ncbi.nlm.nih.gov/nuccore/CP000304.1?report=graph&amp;tracks=[key:gene_model_track,Options:GeneOnly]&amp;mk=809100:809119|offset_12|444444,809198:809217|offset_110|00cc00,809283:809302|offset_195|444444&amp;v=808899:809502&amp;c=444444", "offset 110")</f>
        <v>offset 110</v>
      </c>
    </row>
    <row r="2704" customFormat="false" ht="12.8" hidden="false" customHeight="false" outlineLevel="0" collapsed="false">
      <c r="A2704" s="0" t="s">
        <v>12</v>
      </c>
      <c r="B2704" s="0" t="n">
        <v>809282</v>
      </c>
      <c r="C2704" s="0" t="n">
        <v>809302</v>
      </c>
      <c r="D2704" s="0" t="s">
        <v>9001</v>
      </c>
      <c r="E2704" s="0" t="s">
        <v>89</v>
      </c>
      <c r="F2704" s="0" t="s">
        <v>15</v>
      </c>
      <c r="G2704" s="0" t="s">
        <v>16</v>
      </c>
      <c r="H2704" s="0" t="n">
        <v>195</v>
      </c>
      <c r="I2704" s="0" t="s">
        <v>9008</v>
      </c>
      <c r="J2704" s="0" t="s">
        <v>9009</v>
      </c>
      <c r="K2704" s="0" t="s">
        <v>9010</v>
      </c>
      <c r="L2704" s="0" t="str">
        <f aca="false">HYPERLINK("https://www.ncbi.nlm.nih.gov/nuccore/CP000304.1?report=graph&amp;tracks=[key:gene_model_track,Options:GeneOnly]&amp;mk=809100:809119|offset_12|444444,809198:809217|offset_110|444444,809283:809302|offset_195|00cc00&amp;v=808899:809502&amp;c=444444", "offset 195")</f>
        <v>offset 195</v>
      </c>
    </row>
    <row r="2705" customFormat="false" ht="12.8" hidden="false" customHeight="false" outlineLevel="0" collapsed="false">
      <c r="A2705" s="0" t="s">
        <v>12</v>
      </c>
      <c r="B2705" s="0" t="n">
        <v>810213</v>
      </c>
      <c r="C2705" s="0" t="n">
        <v>810233</v>
      </c>
      <c r="D2705" s="0" t="s">
        <v>9011</v>
      </c>
      <c r="E2705" s="0" t="s">
        <v>89</v>
      </c>
      <c r="F2705" s="0" t="s">
        <v>90</v>
      </c>
      <c r="G2705" s="0" t="s">
        <v>32</v>
      </c>
      <c r="H2705" s="0" t="n">
        <v>42</v>
      </c>
      <c r="I2705" s="0" t="s">
        <v>9012</v>
      </c>
      <c r="J2705" s="0" t="s">
        <v>9013</v>
      </c>
      <c r="K2705" s="0" t="s">
        <v>9014</v>
      </c>
      <c r="L2705" s="0" t="str">
        <f aca="false">HYPERLINK("https://www.ncbi.nlm.nih.gov/nuccore/CP000304.1?report=graph&amp;tracks=[key:gene_model_track,Options:GeneOnly]&amp;mk=810214:810233|offset_42|00cc00,810194:810213|offset_62|444444,810170:810189|offset_86|444444,810146:810165|offset_110|444444&amp;v=810013:810365&amp;c=444444", "offset 42")</f>
        <v>offset 42</v>
      </c>
    </row>
    <row r="2706" customFormat="false" ht="12.8" hidden="false" customHeight="false" outlineLevel="0" collapsed="false">
      <c r="A2706" s="0" t="s">
        <v>12</v>
      </c>
      <c r="B2706" s="0" t="n">
        <v>810193</v>
      </c>
      <c r="C2706" s="0" t="n">
        <v>810213</v>
      </c>
      <c r="D2706" s="0" t="s">
        <v>9011</v>
      </c>
      <c r="E2706" s="0" t="s">
        <v>89</v>
      </c>
      <c r="F2706" s="0" t="s">
        <v>90</v>
      </c>
      <c r="G2706" s="0" t="s">
        <v>32</v>
      </c>
      <c r="H2706" s="0" t="n">
        <v>62</v>
      </c>
      <c r="I2706" s="0" t="s">
        <v>9015</v>
      </c>
      <c r="J2706" s="0" t="s">
        <v>9016</v>
      </c>
      <c r="K2706" s="0" t="s">
        <v>9017</v>
      </c>
      <c r="L2706" s="0" t="str">
        <f aca="false">HYPERLINK("https://www.ncbi.nlm.nih.gov/nuccore/CP000304.1?report=graph&amp;tracks=[key:gene_model_track,Options:GeneOnly]&amp;mk=810214:810233|offset_42|444444,810194:810213|offset_62|00cc00,810170:810189|offset_86|444444,810146:810165|offset_110|444444&amp;v=810013:810365&amp;c=444444", "offset 62")</f>
        <v>offset 62</v>
      </c>
    </row>
    <row r="2707" customFormat="false" ht="12.8" hidden="false" customHeight="false" outlineLevel="0" collapsed="false">
      <c r="A2707" s="0" t="s">
        <v>12</v>
      </c>
      <c r="B2707" s="0" t="n">
        <v>810169</v>
      </c>
      <c r="C2707" s="0" t="n">
        <v>810189</v>
      </c>
      <c r="D2707" s="0" t="s">
        <v>9011</v>
      </c>
      <c r="E2707" s="0" t="s">
        <v>89</v>
      </c>
      <c r="F2707" s="0" t="s">
        <v>90</v>
      </c>
      <c r="G2707" s="0" t="s">
        <v>26</v>
      </c>
      <c r="H2707" s="0" t="n">
        <v>86</v>
      </c>
      <c r="I2707" s="0" t="s">
        <v>9018</v>
      </c>
      <c r="J2707" s="0" t="s">
        <v>9019</v>
      </c>
      <c r="K2707" s="0" t="s">
        <v>9020</v>
      </c>
      <c r="L2707" s="0" t="str">
        <f aca="false">HYPERLINK("https://www.ncbi.nlm.nih.gov/nuccore/CP000304.1?report=graph&amp;tracks=[key:gene_model_track,Options:GeneOnly]&amp;mk=810214:810233|offset_42|444444,810194:810213|offset_62|444444,810170:810189|offset_86|00cc00,810146:810165|offset_110|444444&amp;v=810013:810365&amp;c=444444", "offset 86")</f>
        <v>offset 86</v>
      </c>
    </row>
    <row r="2708" customFormat="false" ht="12.8" hidden="false" customHeight="false" outlineLevel="0" collapsed="false">
      <c r="A2708" s="0" t="s">
        <v>12</v>
      </c>
      <c r="B2708" s="0" t="n">
        <v>810145</v>
      </c>
      <c r="C2708" s="0" t="n">
        <v>810165</v>
      </c>
      <c r="D2708" s="0" t="s">
        <v>9011</v>
      </c>
      <c r="E2708" s="0" t="s">
        <v>89</v>
      </c>
      <c r="F2708" s="0" t="s">
        <v>90</v>
      </c>
      <c r="G2708" s="0" t="s">
        <v>36</v>
      </c>
      <c r="H2708" s="0" t="n">
        <v>110</v>
      </c>
      <c r="I2708" s="0" t="s">
        <v>9021</v>
      </c>
      <c r="J2708" s="0" t="s">
        <v>9022</v>
      </c>
      <c r="K2708" s="0" t="s">
        <v>9023</v>
      </c>
      <c r="L2708" s="0" t="str">
        <f aca="false">HYPERLINK("https://www.ncbi.nlm.nih.gov/nuccore/CP000304.1?report=graph&amp;tracks=[key:gene_model_track,Options:GeneOnly]&amp;mk=810214:810233|offset_42|444444,810194:810213|offset_62|444444,810170:810189|offset_86|444444,810146:810165|offset_110|00cc00&amp;v=810013:810365&amp;c=444444", "offset 110")</f>
        <v>offset 110</v>
      </c>
    </row>
    <row r="2709" customFormat="false" ht="12.8" hidden="false" customHeight="false" outlineLevel="0" collapsed="false">
      <c r="A2709" s="0" t="s">
        <v>12</v>
      </c>
      <c r="B2709" s="0" t="n">
        <v>810477</v>
      </c>
      <c r="C2709" s="0" t="n">
        <v>810497</v>
      </c>
      <c r="D2709" s="0" t="s">
        <v>9024</v>
      </c>
      <c r="E2709" s="0" t="s">
        <v>89</v>
      </c>
      <c r="F2709" s="0" t="s">
        <v>15</v>
      </c>
      <c r="G2709" s="0" t="s">
        <v>26</v>
      </c>
      <c r="H2709" s="0" t="n">
        <v>24</v>
      </c>
      <c r="I2709" s="0" t="s">
        <v>9025</v>
      </c>
      <c r="J2709" s="0" t="s">
        <v>9026</v>
      </c>
      <c r="K2709" s="0" t="s">
        <v>9027</v>
      </c>
      <c r="L2709" s="0" t="str">
        <f aca="false">HYPERLINK("https://www.ncbi.nlm.nih.gov/nuccore/CP000304.1?report=graph&amp;tracks=[key:gene_model_track,Options:GeneOnly]&amp;mk=810478:810497|offset_24|00cc00,810505:810524|offset_51|444444,810532:810551|offset_78|444444,810568:810587|offset_114|444444&amp;v=810277:810787&amp;c=444444", "offset 24")</f>
        <v>offset 24</v>
      </c>
    </row>
    <row r="2710" customFormat="false" ht="12.8" hidden="false" customHeight="false" outlineLevel="0" collapsed="false">
      <c r="A2710" s="0" t="s">
        <v>12</v>
      </c>
      <c r="B2710" s="0" t="n">
        <v>810504</v>
      </c>
      <c r="C2710" s="0" t="n">
        <v>810524</v>
      </c>
      <c r="D2710" s="0" t="s">
        <v>9024</v>
      </c>
      <c r="E2710" s="0" t="s">
        <v>89</v>
      </c>
      <c r="F2710" s="0" t="s">
        <v>15</v>
      </c>
      <c r="G2710" s="0" t="s">
        <v>32</v>
      </c>
      <c r="H2710" s="0" t="n">
        <v>51</v>
      </c>
      <c r="I2710" s="0" t="s">
        <v>9028</v>
      </c>
      <c r="J2710" s="0" t="s">
        <v>9029</v>
      </c>
      <c r="K2710" s="0" t="s">
        <v>9030</v>
      </c>
      <c r="L2710" s="0" t="str">
        <f aca="false">HYPERLINK("https://www.ncbi.nlm.nih.gov/nuccore/CP000304.1?report=graph&amp;tracks=[key:gene_model_track,Options:GeneOnly]&amp;mk=810478:810497|offset_24|444444,810505:810524|offset_51|00cc00,810532:810551|offset_78|444444,810568:810587|offset_114|444444&amp;v=810277:810787&amp;c=444444", "offset 51")</f>
        <v>offset 51</v>
      </c>
    </row>
    <row r="2711" customFormat="false" ht="12.8" hidden="false" customHeight="false" outlineLevel="0" collapsed="false">
      <c r="A2711" s="0" t="s">
        <v>12</v>
      </c>
      <c r="B2711" s="0" t="n">
        <v>810531</v>
      </c>
      <c r="C2711" s="0" t="n">
        <v>810551</v>
      </c>
      <c r="D2711" s="0" t="s">
        <v>9024</v>
      </c>
      <c r="E2711" s="0" t="s">
        <v>89</v>
      </c>
      <c r="F2711" s="0" t="s">
        <v>15</v>
      </c>
      <c r="G2711" s="0" t="s">
        <v>26</v>
      </c>
      <c r="H2711" s="0" t="n">
        <v>78</v>
      </c>
      <c r="I2711" s="0" t="s">
        <v>9031</v>
      </c>
      <c r="J2711" s="0" t="s">
        <v>9032</v>
      </c>
      <c r="K2711" s="0" t="s">
        <v>9033</v>
      </c>
      <c r="L2711" s="0" t="str">
        <f aca="false">HYPERLINK("https://www.ncbi.nlm.nih.gov/nuccore/CP000304.1?report=graph&amp;tracks=[key:gene_model_track,Options:GeneOnly]&amp;mk=810478:810497|offset_24|444444,810505:810524|offset_51|444444,810532:810551|offset_78|00cc00,810568:810587|offset_114|444444&amp;v=810277:810787&amp;c=444444", "offset 78")</f>
        <v>offset 78</v>
      </c>
    </row>
    <row r="2712" customFormat="false" ht="12.8" hidden="false" customHeight="false" outlineLevel="0" collapsed="false">
      <c r="A2712" s="0" t="s">
        <v>12</v>
      </c>
      <c r="B2712" s="0" t="n">
        <v>810567</v>
      </c>
      <c r="C2712" s="0" t="n">
        <v>810587</v>
      </c>
      <c r="D2712" s="0" t="s">
        <v>9024</v>
      </c>
      <c r="E2712" s="0" t="s">
        <v>89</v>
      </c>
      <c r="F2712" s="0" t="s">
        <v>15</v>
      </c>
      <c r="G2712" s="0" t="s">
        <v>16</v>
      </c>
      <c r="H2712" s="0" t="n">
        <v>114</v>
      </c>
      <c r="I2712" s="0" t="s">
        <v>9034</v>
      </c>
      <c r="J2712" s="0" t="s">
        <v>9035</v>
      </c>
      <c r="K2712" s="0" t="s">
        <v>9036</v>
      </c>
      <c r="L2712" s="0" t="str">
        <f aca="false">HYPERLINK("https://www.ncbi.nlm.nih.gov/nuccore/CP000304.1?report=graph&amp;tracks=[key:gene_model_track,Options:GeneOnly]&amp;mk=810478:810497|offset_24|444444,810505:810524|offset_51|444444,810532:810551|offset_78|444444,810568:810587|offset_114|00cc00&amp;v=810277:810787&amp;c=444444", "offset 114")</f>
        <v>offset 114</v>
      </c>
    </row>
    <row r="2713" customFormat="false" ht="12.8" hidden="false" customHeight="false" outlineLevel="0" collapsed="false">
      <c r="A2713" s="0" t="s">
        <v>12</v>
      </c>
      <c r="B2713" s="0" t="n">
        <v>811306</v>
      </c>
      <c r="C2713" s="0" t="n">
        <v>811326</v>
      </c>
      <c r="D2713" s="0" t="s">
        <v>9037</v>
      </c>
      <c r="E2713" s="0" t="s">
        <v>89</v>
      </c>
      <c r="F2713" s="0" t="s">
        <v>90</v>
      </c>
      <c r="G2713" s="0" t="s">
        <v>36</v>
      </c>
      <c r="H2713" s="0" t="n">
        <v>0</v>
      </c>
      <c r="I2713" s="0" t="s">
        <v>9038</v>
      </c>
      <c r="J2713" s="0" t="s">
        <v>9039</v>
      </c>
      <c r="K2713" s="0" t="s">
        <v>9040</v>
      </c>
      <c r="L2713" s="0" t="str">
        <f aca="false">HYPERLINK("https://www.ncbi.nlm.nih.gov/nuccore/CP000304.1?report=graph&amp;tracks=[key:gene_model_track,Options:GeneOnly]&amp;mk=811307:811326|offset_0|00cc00,811273:811292|offset_34|444444,811247:811266|offset_60|444444,811192:811211|offset_115|444444&amp;v=811106:811411&amp;c=444444", "offset 0")</f>
        <v>offset 0</v>
      </c>
    </row>
    <row r="2714" customFormat="false" ht="12.8" hidden="false" customHeight="false" outlineLevel="0" collapsed="false">
      <c r="A2714" s="0" t="s">
        <v>12</v>
      </c>
      <c r="B2714" s="0" t="n">
        <v>811272</v>
      </c>
      <c r="C2714" s="0" t="n">
        <v>811292</v>
      </c>
      <c r="D2714" s="0" t="s">
        <v>9037</v>
      </c>
      <c r="E2714" s="0" t="s">
        <v>89</v>
      </c>
      <c r="F2714" s="0" t="s">
        <v>90</v>
      </c>
      <c r="G2714" s="0" t="s">
        <v>36</v>
      </c>
      <c r="H2714" s="0" t="n">
        <v>34</v>
      </c>
      <c r="I2714" s="0" t="s">
        <v>9041</v>
      </c>
      <c r="J2714" s="0" t="s">
        <v>9042</v>
      </c>
      <c r="K2714" s="0" t="s">
        <v>9043</v>
      </c>
      <c r="L2714" s="0" t="str">
        <f aca="false">HYPERLINK("https://www.ncbi.nlm.nih.gov/nuccore/CP000304.1?report=graph&amp;tracks=[key:gene_model_track,Options:GeneOnly]&amp;mk=811307:811326|offset_0|444444,811273:811292|offset_34|00cc00,811247:811266|offset_60|444444,811192:811211|offset_115|444444&amp;v=811106:811411&amp;c=444444", "offset 34")</f>
        <v>offset 34</v>
      </c>
    </row>
    <row r="2715" customFormat="false" ht="12.8" hidden="false" customHeight="false" outlineLevel="0" collapsed="false">
      <c r="A2715" s="0" t="s">
        <v>12</v>
      </c>
      <c r="B2715" s="0" t="n">
        <v>811246</v>
      </c>
      <c r="C2715" s="0" t="n">
        <v>811266</v>
      </c>
      <c r="D2715" s="0" t="s">
        <v>9037</v>
      </c>
      <c r="E2715" s="0" t="s">
        <v>89</v>
      </c>
      <c r="F2715" s="0" t="s">
        <v>90</v>
      </c>
      <c r="G2715" s="0" t="s">
        <v>26</v>
      </c>
      <c r="H2715" s="0" t="n">
        <v>60</v>
      </c>
      <c r="I2715" s="0" t="s">
        <v>9044</v>
      </c>
      <c r="J2715" s="0" t="s">
        <v>9045</v>
      </c>
      <c r="K2715" s="0" t="s">
        <v>9046</v>
      </c>
      <c r="L2715" s="0" t="str">
        <f aca="false">HYPERLINK("https://www.ncbi.nlm.nih.gov/nuccore/CP000304.1?report=graph&amp;tracks=[key:gene_model_track,Options:GeneOnly]&amp;mk=811307:811326|offset_0|444444,811273:811292|offset_34|444444,811247:811266|offset_60|00cc00,811192:811211|offset_115|444444&amp;v=811106:811411&amp;c=444444", "offset 60")</f>
        <v>offset 60</v>
      </c>
    </row>
    <row r="2716" customFormat="false" ht="12.8" hidden="false" customHeight="false" outlineLevel="0" collapsed="false">
      <c r="A2716" s="0" t="s">
        <v>12</v>
      </c>
      <c r="B2716" s="0" t="n">
        <v>811191</v>
      </c>
      <c r="C2716" s="0" t="n">
        <v>811211</v>
      </c>
      <c r="D2716" s="0" t="s">
        <v>9037</v>
      </c>
      <c r="E2716" s="0" t="s">
        <v>89</v>
      </c>
      <c r="F2716" s="0" t="s">
        <v>90</v>
      </c>
      <c r="G2716" s="0" t="s">
        <v>16</v>
      </c>
      <c r="H2716" s="0" t="n">
        <v>115</v>
      </c>
      <c r="I2716" s="0" t="s">
        <v>9047</v>
      </c>
      <c r="J2716" s="0" t="s">
        <v>9048</v>
      </c>
      <c r="K2716" s="0" t="s">
        <v>9049</v>
      </c>
      <c r="L2716" s="0" t="str">
        <f aca="false">HYPERLINK("https://www.ncbi.nlm.nih.gov/nuccore/CP000304.1?report=graph&amp;tracks=[key:gene_model_track,Options:GeneOnly]&amp;mk=811307:811326|offset_0|444444,811273:811292|offset_34|444444,811247:811266|offset_60|444444,811192:811211|offset_115|00cc00&amp;v=811106:811411&amp;c=444444", "offset 115")</f>
        <v>offset 115</v>
      </c>
    </row>
    <row r="2717" customFormat="false" ht="12.8" hidden="false" customHeight="false" outlineLevel="0" collapsed="false">
      <c r="A2717" s="0" t="s">
        <v>12</v>
      </c>
      <c r="B2717" s="0" t="n">
        <v>812031</v>
      </c>
      <c r="C2717" s="0" t="n">
        <v>812051</v>
      </c>
      <c r="D2717" s="0" t="s">
        <v>9050</v>
      </c>
      <c r="E2717" s="0" t="s">
        <v>89</v>
      </c>
      <c r="F2717" s="0" t="s">
        <v>90</v>
      </c>
      <c r="G2717" s="0" t="s">
        <v>26</v>
      </c>
      <c r="H2717" s="0" t="n">
        <v>12</v>
      </c>
      <c r="I2717" s="0" t="s">
        <v>9051</v>
      </c>
      <c r="J2717" s="0" t="s">
        <v>9052</v>
      </c>
      <c r="K2717" s="0" t="s">
        <v>9053</v>
      </c>
      <c r="L2717" s="0" t="str">
        <f aca="false">HYPERLINK("https://www.ncbi.nlm.nih.gov/nuccore/CP000304.1?report=graph&amp;tracks=[key:gene_model_track,Options:GeneOnly]&amp;mk=812032:812051|offset_12|00cc00,811996:812015|offset_48|444444,811974:811993|offset_70|444444,811952:811971|offset_92|444444&amp;v=811831:812171&amp;c=444444", "offset 12")</f>
        <v>offset 12</v>
      </c>
    </row>
    <row r="2718" customFormat="false" ht="12.8" hidden="false" customHeight="false" outlineLevel="0" collapsed="false">
      <c r="A2718" s="0" t="s">
        <v>12</v>
      </c>
      <c r="B2718" s="0" t="n">
        <v>811995</v>
      </c>
      <c r="C2718" s="0" t="n">
        <v>812015</v>
      </c>
      <c r="D2718" s="0" t="s">
        <v>9050</v>
      </c>
      <c r="E2718" s="0" t="s">
        <v>89</v>
      </c>
      <c r="F2718" s="0" t="s">
        <v>90</v>
      </c>
      <c r="G2718" s="0" t="s">
        <v>26</v>
      </c>
      <c r="H2718" s="0" t="n">
        <v>48</v>
      </c>
      <c r="I2718" s="0" t="s">
        <v>9054</v>
      </c>
      <c r="J2718" s="0" t="s">
        <v>9055</v>
      </c>
      <c r="K2718" s="0" t="s">
        <v>9056</v>
      </c>
      <c r="L2718" s="0" t="str">
        <f aca="false">HYPERLINK("https://www.ncbi.nlm.nih.gov/nuccore/CP000304.1?report=graph&amp;tracks=[key:gene_model_track,Options:GeneOnly]&amp;mk=812032:812051|offset_12|444444,811996:812015|offset_48|00cc00,811974:811993|offset_70|444444,811952:811971|offset_92|444444&amp;v=811831:812171&amp;c=444444", "offset 48")</f>
        <v>offset 48</v>
      </c>
    </row>
    <row r="2719" customFormat="false" ht="12.8" hidden="false" customHeight="false" outlineLevel="0" collapsed="false">
      <c r="A2719" s="0" t="s">
        <v>12</v>
      </c>
      <c r="B2719" s="0" t="n">
        <v>811973</v>
      </c>
      <c r="C2719" s="0" t="n">
        <v>811993</v>
      </c>
      <c r="D2719" s="0" t="s">
        <v>9050</v>
      </c>
      <c r="E2719" s="0" t="s">
        <v>89</v>
      </c>
      <c r="F2719" s="0" t="s">
        <v>90</v>
      </c>
      <c r="G2719" s="0" t="s">
        <v>32</v>
      </c>
      <c r="H2719" s="0" t="n">
        <v>70</v>
      </c>
      <c r="I2719" s="0" t="s">
        <v>9057</v>
      </c>
      <c r="J2719" s="0" t="s">
        <v>9058</v>
      </c>
      <c r="K2719" s="0" t="s">
        <v>9059</v>
      </c>
      <c r="L2719" s="0" t="str">
        <f aca="false">HYPERLINK("https://www.ncbi.nlm.nih.gov/nuccore/CP000304.1?report=graph&amp;tracks=[key:gene_model_track,Options:GeneOnly]&amp;mk=812032:812051|offset_12|444444,811996:812015|offset_48|444444,811974:811993|offset_70|00cc00,811952:811971|offset_92|444444&amp;v=811831:812171&amp;c=444444", "offset 70")</f>
        <v>offset 70</v>
      </c>
    </row>
    <row r="2720" customFormat="false" ht="12.8" hidden="false" customHeight="false" outlineLevel="0" collapsed="false">
      <c r="A2720" s="0" t="s">
        <v>12</v>
      </c>
      <c r="B2720" s="0" t="n">
        <v>811951</v>
      </c>
      <c r="C2720" s="0" t="n">
        <v>811971</v>
      </c>
      <c r="D2720" s="0" t="s">
        <v>9050</v>
      </c>
      <c r="E2720" s="0" t="s">
        <v>89</v>
      </c>
      <c r="F2720" s="0" t="s">
        <v>90</v>
      </c>
      <c r="G2720" s="0" t="s">
        <v>32</v>
      </c>
      <c r="H2720" s="0" t="n">
        <v>92</v>
      </c>
      <c r="I2720" s="0" t="s">
        <v>9060</v>
      </c>
      <c r="J2720" s="0" t="s">
        <v>9061</v>
      </c>
      <c r="K2720" s="0" t="s">
        <v>9062</v>
      </c>
      <c r="L2720" s="0" t="str">
        <f aca="false">HYPERLINK("https://www.ncbi.nlm.nih.gov/nuccore/CP000304.1?report=graph&amp;tracks=[key:gene_model_track,Options:GeneOnly]&amp;mk=812032:812051|offset_12|444444,811996:812015|offset_48|444444,811974:811993|offset_70|444444,811952:811971|offset_92|00cc00&amp;v=811831:812171&amp;c=444444", "offset 92")</f>
        <v>offset 92</v>
      </c>
    </row>
    <row r="2721" customFormat="false" ht="12.8" hidden="false" customHeight="false" outlineLevel="0" collapsed="false">
      <c r="A2721" s="0" t="s">
        <v>12</v>
      </c>
      <c r="B2721" s="0" t="n">
        <v>812525</v>
      </c>
      <c r="C2721" s="0" t="n">
        <v>812545</v>
      </c>
      <c r="D2721" s="0" t="s">
        <v>9063</v>
      </c>
      <c r="E2721" s="0" t="s">
        <v>89</v>
      </c>
      <c r="F2721" s="0" t="s">
        <v>90</v>
      </c>
      <c r="G2721" s="0" t="s">
        <v>36</v>
      </c>
      <c r="H2721" s="0" t="n">
        <v>11</v>
      </c>
      <c r="I2721" s="0" t="s">
        <v>9064</v>
      </c>
      <c r="J2721" s="0" t="s">
        <v>9065</v>
      </c>
      <c r="K2721" s="0" t="s">
        <v>9066</v>
      </c>
      <c r="L2721" s="0" t="str">
        <f aca="false">HYPERLINK("https://www.ncbi.nlm.nih.gov/nuccore/CP000304.1?report=graph&amp;tracks=[key:gene_model_track,Options:GeneOnly]&amp;mk=812526:812545|offset_11|00cc00,812506:812525|offset_31|444444,812478:812497|offset_59|444444,812443:812462|offset_94|444444&amp;v=812325:812662&amp;c=444444", "offset 11")</f>
        <v>offset 11</v>
      </c>
    </row>
    <row r="2722" customFormat="false" ht="12.8" hidden="false" customHeight="false" outlineLevel="0" collapsed="false">
      <c r="A2722" s="0" t="s">
        <v>12</v>
      </c>
      <c r="B2722" s="0" t="n">
        <v>812505</v>
      </c>
      <c r="C2722" s="0" t="n">
        <v>812525</v>
      </c>
      <c r="D2722" s="0" t="s">
        <v>9063</v>
      </c>
      <c r="E2722" s="0" t="s">
        <v>89</v>
      </c>
      <c r="F2722" s="0" t="s">
        <v>90</v>
      </c>
      <c r="G2722" s="0" t="s">
        <v>32</v>
      </c>
      <c r="H2722" s="0" t="n">
        <v>31</v>
      </c>
      <c r="I2722" s="0" t="s">
        <v>9067</v>
      </c>
      <c r="J2722" s="0" t="s">
        <v>9068</v>
      </c>
      <c r="K2722" s="0" t="s">
        <v>9069</v>
      </c>
      <c r="L2722" s="0" t="str">
        <f aca="false">HYPERLINK("https://www.ncbi.nlm.nih.gov/nuccore/CP000304.1?report=graph&amp;tracks=[key:gene_model_track,Options:GeneOnly]&amp;mk=812526:812545|offset_11|444444,812506:812525|offset_31|00cc00,812478:812497|offset_59|444444,812443:812462|offset_94|444444&amp;v=812325:812662&amp;c=444444", "offset 31")</f>
        <v>offset 31</v>
      </c>
    </row>
    <row r="2723" customFormat="false" ht="12.8" hidden="false" customHeight="false" outlineLevel="0" collapsed="false">
      <c r="A2723" s="0" t="s">
        <v>12</v>
      </c>
      <c r="B2723" s="0" t="n">
        <v>812477</v>
      </c>
      <c r="C2723" s="0" t="n">
        <v>812497</v>
      </c>
      <c r="D2723" s="0" t="s">
        <v>9063</v>
      </c>
      <c r="E2723" s="0" t="s">
        <v>89</v>
      </c>
      <c r="F2723" s="0" t="s">
        <v>90</v>
      </c>
      <c r="G2723" s="0" t="s">
        <v>26</v>
      </c>
      <c r="H2723" s="0" t="n">
        <v>59</v>
      </c>
      <c r="I2723" s="0" t="s">
        <v>9070</v>
      </c>
      <c r="J2723" s="0" t="s">
        <v>9071</v>
      </c>
      <c r="K2723" s="0" t="s">
        <v>9072</v>
      </c>
      <c r="L2723" s="0" t="str">
        <f aca="false">HYPERLINK("https://www.ncbi.nlm.nih.gov/nuccore/CP000304.1?report=graph&amp;tracks=[key:gene_model_track,Options:GeneOnly]&amp;mk=812526:812545|offset_11|444444,812506:812525|offset_31|444444,812478:812497|offset_59|00cc00,812443:812462|offset_94|444444&amp;v=812325:812662&amp;c=444444", "offset 59")</f>
        <v>offset 59</v>
      </c>
    </row>
    <row r="2724" customFormat="false" ht="12.8" hidden="false" customHeight="false" outlineLevel="0" collapsed="false">
      <c r="A2724" s="0" t="s">
        <v>12</v>
      </c>
      <c r="B2724" s="0" t="n">
        <v>812442</v>
      </c>
      <c r="C2724" s="0" t="n">
        <v>812462</v>
      </c>
      <c r="D2724" s="0" t="s">
        <v>9063</v>
      </c>
      <c r="E2724" s="0" t="s">
        <v>89</v>
      </c>
      <c r="F2724" s="0" t="s">
        <v>90</v>
      </c>
      <c r="G2724" s="0" t="s">
        <v>36</v>
      </c>
      <c r="H2724" s="0" t="n">
        <v>94</v>
      </c>
      <c r="I2724" s="0" t="s">
        <v>9073</v>
      </c>
      <c r="J2724" s="0" t="s">
        <v>9074</v>
      </c>
      <c r="K2724" s="0" t="s">
        <v>9075</v>
      </c>
      <c r="L2724" s="0" t="str">
        <f aca="false">HYPERLINK("https://www.ncbi.nlm.nih.gov/nuccore/CP000304.1?report=graph&amp;tracks=[key:gene_model_track,Options:GeneOnly]&amp;mk=812526:812545|offset_11|444444,812506:812525|offset_31|444444,812478:812497|offset_59|444444,812443:812462|offset_94|00cc00&amp;v=812325:812662&amp;c=444444", "offset 94")</f>
        <v>offset 94</v>
      </c>
    </row>
    <row r="2725" customFormat="false" ht="12.8" hidden="false" customHeight="false" outlineLevel="0" collapsed="false">
      <c r="A2725" s="0" t="s">
        <v>12</v>
      </c>
      <c r="B2725" s="0" t="n">
        <v>812685</v>
      </c>
      <c r="C2725" s="0" t="n">
        <v>812705</v>
      </c>
      <c r="D2725" s="0" t="s">
        <v>9076</v>
      </c>
      <c r="E2725" s="0" t="s">
        <v>89</v>
      </c>
      <c r="F2725" s="0" t="s">
        <v>15</v>
      </c>
      <c r="G2725" s="0" t="s">
        <v>26</v>
      </c>
      <c r="H2725" s="0" t="n">
        <v>41</v>
      </c>
      <c r="I2725" s="0" t="s">
        <v>9077</v>
      </c>
      <c r="J2725" s="0" t="s">
        <v>9078</v>
      </c>
      <c r="K2725" s="0" t="s">
        <v>9079</v>
      </c>
      <c r="L2725" s="0" t="str">
        <f aca="false">HYPERLINK("https://www.ncbi.nlm.nih.gov/nuccore/CP000304.1?report=graph&amp;tracks=[key:gene_model_track,Options:GeneOnly]&amp;mk=812686:812705|offset_41|00cc00,812716:812735|offset_71|444444,812736:812755|offset_91|444444,812767:812786|offset_122|444444&amp;v=812485:812986&amp;c=444444", "offset 41")</f>
        <v>offset 41</v>
      </c>
    </row>
    <row r="2726" customFormat="false" ht="12.8" hidden="false" customHeight="false" outlineLevel="0" collapsed="false">
      <c r="A2726" s="0" t="s">
        <v>12</v>
      </c>
      <c r="B2726" s="0" t="n">
        <v>812715</v>
      </c>
      <c r="C2726" s="0" t="n">
        <v>812735</v>
      </c>
      <c r="D2726" s="0" t="s">
        <v>9076</v>
      </c>
      <c r="E2726" s="0" t="s">
        <v>89</v>
      </c>
      <c r="F2726" s="0" t="s">
        <v>15</v>
      </c>
      <c r="G2726" s="0" t="s">
        <v>16</v>
      </c>
      <c r="H2726" s="0" t="n">
        <v>71</v>
      </c>
      <c r="I2726" s="0" t="s">
        <v>9080</v>
      </c>
      <c r="J2726" s="0" t="s">
        <v>9081</v>
      </c>
      <c r="K2726" s="0" t="s">
        <v>9082</v>
      </c>
      <c r="L2726" s="0" t="str">
        <f aca="false">HYPERLINK("https://www.ncbi.nlm.nih.gov/nuccore/CP000304.1?report=graph&amp;tracks=[key:gene_model_track,Options:GeneOnly]&amp;mk=812686:812705|offset_41|444444,812716:812735|offset_71|00cc00,812736:812755|offset_91|444444,812767:812786|offset_122|444444&amp;v=812485:812986&amp;c=444444", "offset 71")</f>
        <v>offset 71</v>
      </c>
    </row>
    <row r="2727" customFormat="false" ht="12.8" hidden="false" customHeight="false" outlineLevel="0" collapsed="false">
      <c r="A2727" s="0" t="s">
        <v>12</v>
      </c>
      <c r="B2727" s="0" t="n">
        <v>812735</v>
      </c>
      <c r="C2727" s="0" t="n">
        <v>812755</v>
      </c>
      <c r="D2727" s="0" t="s">
        <v>9076</v>
      </c>
      <c r="E2727" s="0" t="s">
        <v>89</v>
      </c>
      <c r="F2727" s="0" t="s">
        <v>15</v>
      </c>
      <c r="G2727" s="0" t="s">
        <v>36</v>
      </c>
      <c r="H2727" s="0" t="n">
        <v>91</v>
      </c>
      <c r="I2727" s="0" t="s">
        <v>9083</v>
      </c>
      <c r="J2727" s="0" t="s">
        <v>9084</v>
      </c>
      <c r="K2727" s="0" t="s">
        <v>9085</v>
      </c>
      <c r="L2727" s="0" t="str">
        <f aca="false">HYPERLINK("https://www.ncbi.nlm.nih.gov/nuccore/CP000304.1?report=graph&amp;tracks=[key:gene_model_track,Options:GeneOnly]&amp;mk=812686:812705|offset_41|444444,812716:812735|offset_71|444444,812736:812755|offset_91|00cc00,812767:812786|offset_122|444444&amp;v=812485:812986&amp;c=444444", "offset 91")</f>
        <v>offset 91</v>
      </c>
    </row>
    <row r="2728" customFormat="false" ht="12.8" hidden="false" customHeight="false" outlineLevel="0" collapsed="false">
      <c r="A2728" s="0" t="s">
        <v>12</v>
      </c>
      <c r="B2728" s="0" t="n">
        <v>812766</v>
      </c>
      <c r="C2728" s="0" t="n">
        <v>812786</v>
      </c>
      <c r="D2728" s="0" t="s">
        <v>9076</v>
      </c>
      <c r="E2728" s="0" t="s">
        <v>89</v>
      </c>
      <c r="F2728" s="0" t="s">
        <v>15</v>
      </c>
      <c r="G2728" s="0" t="s">
        <v>36</v>
      </c>
      <c r="H2728" s="0" t="n">
        <v>122</v>
      </c>
      <c r="I2728" s="0" t="s">
        <v>9086</v>
      </c>
      <c r="J2728" s="0" t="s">
        <v>9087</v>
      </c>
      <c r="K2728" s="0" t="s">
        <v>9088</v>
      </c>
      <c r="L2728" s="0" t="str">
        <f aca="false">HYPERLINK("https://www.ncbi.nlm.nih.gov/nuccore/CP000304.1?report=graph&amp;tracks=[key:gene_model_track,Options:GeneOnly]&amp;mk=812686:812705|offset_41|444444,812716:812735|offset_71|444444,812736:812755|offset_91|444444,812767:812786|offset_122|00cc00&amp;v=812485:812986&amp;c=444444", "offset 122")</f>
        <v>offset 122</v>
      </c>
    </row>
    <row r="2729" customFormat="false" ht="12.8" hidden="false" customHeight="false" outlineLevel="0" collapsed="false">
      <c r="A2729" s="0" t="s">
        <v>12</v>
      </c>
      <c r="B2729" s="0" t="n">
        <v>813374</v>
      </c>
      <c r="C2729" s="0" t="n">
        <v>813394</v>
      </c>
      <c r="D2729" s="0" t="s">
        <v>9089</v>
      </c>
      <c r="E2729" s="0" t="s">
        <v>89</v>
      </c>
      <c r="F2729" s="0" t="s">
        <v>90</v>
      </c>
      <c r="G2729" s="0" t="s">
        <v>16</v>
      </c>
      <c r="H2729" s="0" t="n">
        <v>1</v>
      </c>
      <c r="I2729" s="0" t="s">
        <v>9090</v>
      </c>
      <c r="J2729" s="0" t="s">
        <v>9091</v>
      </c>
      <c r="K2729" s="0" t="s">
        <v>9092</v>
      </c>
      <c r="L2729" s="0" t="str">
        <f aca="false">HYPERLINK("https://www.ncbi.nlm.nih.gov/nuccore/CP000304.1?report=graph&amp;tracks=[key:gene_model_track,Options:GeneOnly]&amp;mk=813375:813394|offset_1|00cc00,813351:813370|offset_25|444444,813331:813350|offset_45|444444,813310:813329|offset_66|444444&amp;v=813174:813529&amp;c=444444", "offset 1")</f>
        <v>offset 1</v>
      </c>
    </row>
    <row r="2730" customFormat="false" ht="12.8" hidden="false" customHeight="false" outlineLevel="0" collapsed="false">
      <c r="A2730" s="0" t="s">
        <v>12</v>
      </c>
      <c r="B2730" s="0" t="n">
        <v>813350</v>
      </c>
      <c r="C2730" s="0" t="n">
        <v>813370</v>
      </c>
      <c r="D2730" s="0" t="s">
        <v>9089</v>
      </c>
      <c r="E2730" s="0" t="s">
        <v>89</v>
      </c>
      <c r="F2730" s="0" t="s">
        <v>90</v>
      </c>
      <c r="G2730" s="0" t="s">
        <v>16</v>
      </c>
      <c r="H2730" s="0" t="n">
        <v>25</v>
      </c>
      <c r="I2730" s="0" t="s">
        <v>9093</v>
      </c>
      <c r="J2730" s="0" t="s">
        <v>9094</v>
      </c>
      <c r="K2730" s="0" t="s">
        <v>9095</v>
      </c>
      <c r="L2730" s="0" t="str">
        <f aca="false">HYPERLINK("https://www.ncbi.nlm.nih.gov/nuccore/CP000304.1?report=graph&amp;tracks=[key:gene_model_track,Options:GeneOnly]&amp;mk=813375:813394|offset_1|444444,813351:813370|offset_25|00cc00,813331:813350|offset_45|444444,813310:813329|offset_66|444444&amp;v=813174:813529&amp;c=444444", "offset 25")</f>
        <v>offset 25</v>
      </c>
    </row>
    <row r="2731" customFormat="false" ht="12.8" hidden="false" customHeight="false" outlineLevel="0" collapsed="false">
      <c r="A2731" s="0" t="s">
        <v>12</v>
      </c>
      <c r="B2731" s="0" t="n">
        <v>813330</v>
      </c>
      <c r="C2731" s="0" t="n">
        <v>813350</v>
      </c>
      <c r="D2731" s="0" t="s">
        <v>9089</v>
      </c>
      <c r="E2731" s="0" t="s">
        <v>89</v>
      </c>
      <c r="F2731" s="0" t="s">
        <v>90</v>
      </c>
      <c r="G2731" s="0" t="s">
        <v>32</v>
      </c>
      <c r="H2731" s="0" t="n">
        <v>45</v>
      </c>
      <c r="I2731" s="0" t="s">
        <v>9096</v>
      </c>
      <c r="J2731" s="0" t="s">
        <v>9097</v>
      </c>
      <c r="K2731" s="0" t="s">
        <v>9098</v>
      </c>
      <c r="L2731" s="0" t="str">
        <f aca="false">HYPERLINK("https://www.ncbi.nlm.nih.gov/nuccore/CP000304.1?report=graph&amp;tracks=[key:gene_model_track,Options:GeneOnly]&amp;mk=813375:813394|offset_1|444444,813351:813370|offset_25|444444,813331:813350|offset_45|00cc00,813310:813329|offset_66|444444&amp;v=813174:813529&amp;c=444444", "offset 45")</f>
        <v>offset 45</v>
      </c>
    </row>
    <row r="2732" customFormat="false" ht="12.8" hidden="false" customHeight="false" outlineLevel="0" collapsed="false">
      <c r="A2732" s="0" t="s">
        <v>12</v>
      </c>
      <c r="B2732" s="0" t="n">
        <v>813309</v>
      </c>
      <c r="C2732" s="0" t="n">
        <v>813329</v>
      </c>
      <c r="D2732" s="0" t="s">
        <v>9089</v>
      </c>
      <c r="E2732" s="0" t="s">
        <v>89</v>
      </c>
      <c r="F2732" s="0" t="s">
        <v>90</v>
      </c>
      <c r="G2732" s="0" t="s">
        <v>36</v>
      </c>
      <c r="H2732" s="0" t="n">
        <v>66</v>
      </c>
      <c r="I2732" s="0" t="s">
        <v>9099</v>
      </c>
      <c r="J2732" s="0" t="s">
        <v>9100</v>
      </c>
      <c r="K2732" s="0" t="s">
        <v>9101</v>
      </c>
      <c r="L2732" s="0" t="str">
        <f aca="false">HYPERLINK("https://www.ncbi.nlm.nih.gov/nuccore/CP000304.1?report=graph&amp;tracks=[key:gene_model_track,Options:GeneOnly]&amp;mk=813375:813394|offset_1|444444,813351:813370|offset_25|444444,813331:813350|offset_45|444444,813310:813329|offset_66|00cc00&amp;v=813174:813529&amp;c=444444", "offset 66")</f>
        <v>offset 66</v>
      </c>
    </row>
    <row r="2733" customFormat="false" ht="12.8" hidden="false" customHeight="false" outlineLevel="0" collapsed="false">
      <c r="A2733" s="0" t="s">
        <v>12</v>
      </c>
      <c r="B2733" s="0" t="n">
        <v>813599</v>
      </c>
      <c r="C2733" s="0" t="n">
        <v>813619</v>
      </c>
      <c r="D2733" s="0" t="s">
        <v>9102</v>
      </c>
      <c r="E2733" s="0" t="s">
        <v>89</v>
      </c>
      <c r="F2733" s="0" t="s">
        <v>90</v>
      </c>
      <c r="G2733" s="0" t="s">
        <v>26</v>
      </c>
      <c r="H2733" s="0" t="n">
        <v>12</v>
      </c>
      <c r="I2733" s="0" t="s">
        <v>9103</v>
      </c>
      <c r="J2733" s="0" t="s">
        <v>9104</v>
      </c>
      <c r="K2733" s="0" t="s">
        <v>9105</v>
      </c>
      <c r="L2733" s="0" t="str">
        <f aca="false">HYPERLINK("https://www.ncbi.nlm.nih.gov/nuccore/CP000304.1?report=graph&amp;tracks=[key:gene_model_track,Options:GeneOnly]&amp;mk=813600:813619|offset_12|00cc00,813562:813581|offset_50|444444,813523:813542|offset_89|444444&amp;v=813399:813742&amp;c=444444", "offset 12")</f>
        <v>offset 12</v>
      </c>
    </row>
    <row r="2734" customFormat="false" ht="12.8" hidden="false" customHeight="false" outlineLevel="0" collapsed="false">
      <c r="A2734" s="0" t="s">
        <v>12</v>
      </c>
      <c r="B2734" s="0" t="n">
        <v>813561</v>
      </c>
      <c r="C2734" s="0" t="n">
        <v>813581</v>
      </c>
      <c r="D2734" s="0" t="s">
        <v>9102</v>
      </c>
      <c r="E2734" s="0" t="s">
        <v>89</v>
      </c>
      <c r="F2734" s="0" t="s">
        <v>90</v>
      </c>
      <c r="G2734" s="0" t="s">
        <v>32</v>
      </c>
      <c r="H2734" s="0" t="n">
        <v>50</v>
      </c>
      <c r="I2734" s="0" t="s">
        <v>9106</v>
      </c>
      <c r="J2734" s="0" t="s">
        <v>9107</v>
      </c>
      <c r="K2734" s="0" t="s">
        <v>9108</v>
      </c>
      <c r="L2734" s="0" t="str">
        <f aca="false">HYPERLINK("https://www.ncbi.nlm.nih.gov/nuccore/CP000304.1?report=graph&amp;tracks=[key:gene_model_track,Options:GeneOnly]&amp;mk=813600:813619|offset_12|444444,813562:813581|offset_50|00cc00,813523:813542|offset_89|444444&amp;v=813399:813742&amp;c=444444", "offset 50")</f>
        <v>offset 50</v>
      </c>
    </row>
    <row r="2735" customFormat="false" ht="12.8" hidden="false" customHeight="false" outlineLevel="0" collapsed="false">
      <c r="A2735" s="0" t="s">
        <v>12</v>
      </c>
      <c r="B2735" s="0" t="n">
        <v>813522</v>
      </c>
      <c r="C2735" s="0" t="n">
        <v>813542</v>
      </c>
      <c r="D2735" s="0" t="s">
        <v>9102</v>
      </c>
      <c r="E2735" s="0" t="s">
        <v>89</v>
      </c>
      <c r="F2735" s="0" t="s">
        <v>90</v>
      </c>
      <c r="G2735" s="0" t="s">
        <v>26</v>
      </c>
      <c r="H2735" s="0" t="n">
        <v>89</v>
      </c>
      <c r="I2735" s="0" t="s">
        <v>9109</v>
      </c>
      <c r="J2735" s="0" t="s">
        <v>9110</v>
      </c>
      <c r="K2735" s="0" t="s">
        <v>9111</v>
      </c>
      <c r="L2735" s="0" t="str">
        <f aca="false">HYPERLINK("https://www.ncbi.nlm.nih.gov/nuccore/CP000304.1?report=graph&amp;tracks=[key:gene_model_track,Options:GeneOnly]&amp;mk=813600:813619|offset_12|444444,813562:813581|offset_50|444444,813523:813542|offset_89|00cc00&amp;v=813399:813742&amp;c=444444", "offset 89")</f>
        <v>offset 89</v>
      </c>
    </row>
    <row r="2736" customFormat="false" ht="12.8" hidden="false" customHeight="false" outlineLevel="0" collapsed="false">
      <c r="A2736" s="0" t="s">
        <v>12</v>
      </c>
      <c r="B2736" s="0" t="n">
        <v>815498</v>
      </c>
      <c r="C2736" s="0" t="n">
        <v>815518</v>
      </c>
      <c r="D2736" s="0" t="s">
        <v>9112</v>
      </c>
      <c r="E2736" s="0" t="s">
        <v>9113</v>
      </c>
      <c r="F2736" s="0" t="s">
        <v>90</v>
      </c>
      <c r="G2736" s="0" t="s">
        <v>16</v>
      </c>
      <c r="H2736" s="0" t="n">
        <v>37</v>
      </c>
      <c r="I2736" s="0" t="s">
        <v>9114</v>
      </c>
      <c r="J2736" s="0" t="s">
        <v>9115</v>
      </c>
      <c r="K2736" s="0" t="s">
        <v>9116</v>
      </c>
      <c r="L2736" s="0" t="str">
        <f aca="false">HYPERLINK("https://www.ncbi.nlm.nih.gov/nuccore/CP000304.1?report=graph&amp;tracks=[key:gene_model_track,Options:GeneOnly]&amp;mk=815499:815518|offset_37|00cc00,815469:815488|offset_67|444444,815442:815461|offset_94|444444,815418:815437|offset_118|444444&amp;v=815298:815637&amp;c=444444", "offset 37")</f>
        <v>offset 37</v>
      </c>
    </row>
    <row r="2737" customFormat="false" ht="12.8" hidden="false" customHeight="false" outlineLevel="0" collapsed="false">
      <c r="A2737" s="0" t="s">
        <v>12</v>
      </c>
      <c r="B2737" s="0" t="n">
        <v>815468</v>
      </c>
      <c r="C2737" s="0" t="n">
        <v>815488</v>
      </c>
      <c r="D2737" s="0" t="s">
        <v>9112</v>
      </c>
      <c r="E2737" s="0" t="s">
        <v>9113</v>
      </c>
      <c r="F2737" s="0" t="s">
        <v>90</v>
      </c>
      <c r="G2737" s="0" t="s">
        <v>16</v>
      </c>
      <c r="H2737" s="0" t="n">
        <v>67</v>
      </c>
      <c r="I2737" s="0" t="s">
        <v>9117</v>
      </c>
      <c r="J2737" s="0" t="s">
        <v>9118</v>
      </c>
      <c r="K2737" s="0" t="s">
        <v>9119</v>
      </c>
      <c r="L2737" s="0" t="str">
        <f aca="false">HYPERLINK("https://www.ncbi.nlm.nih.gov/nuccore/CP000304.1?report=graph&amp;tracks=[key:gene_model_track,Options:GeneOnly]&amp;mk=815499:815518|offset_37|444444,815469:815488|offset_67|00cc00,815442:815461|offset_94|444444,815418:815437|offset_118|444444&amp;v=815298:815637&amp;c=444444", "offset 67")</f>
        <v>offset 67</v>
      </c>
    </row>
    <row r="2738" customFormat="false" ht="12.8" hidden="false" customHeight="false" outlineLevel="0" collapsed="false">
      <c r="A2738" s="0" t="s">
        <v>12</v>
      </c>
      <c r="B2738" s="0" t="n">
        <v>815441</v>
      </c>
      <c r="C2738" s="0" t="n">
        <v>815461</v>
      </c>
      <c r="D2738" s="0" t="s">
        <v>9112</v>
      </c>
      <c r="E2738" s="0" t="s">
        <v>9113</v>
      </c>
      <c r="F2738" s="0" t="s">
        <v>90</v>
      </c>
      <c r="G2738" s="0" t="s">
        <v>16</v>
      </c>
      <c r="H2738" s="0" t="n">
        <v>94</v>
      </c>
      <c r="I2738" s="0" t="s">
        <v>9120</v>
      </c>
      <c r="J2738" s="0" t="s">
        <v>9121</v>
      </c>
      <c r="K2738" s="0" t="s">
        <v>9122</v>
      </c>
      <c r="L2738" s="0" t="str">
        <f aca="false">HYPERLINK("https://www.ncbi.nlm.nih.gov/nuccore/CP000304.1?report=graph&amp;tracks=[key:gene_model_track,Options:GeneOnly]&amp;mk=815499:815518|offset_37|444444,815469:815488|offset_67|444444,815442:815461|offset_94|00cc00,815418:815437|offset_118|444444&amp;v=815298:815637&amp;c=444444", "offset 94")</f>
        <v>offset 94</v>
      </c>
    </row>
    <row r="2739" customFormat="false" ht="12.8" hidden="false" customHeight="false" outlineLevel="0" collapsed="false">
      <c r="A2739" s="0" t="s">
        <v>12</v>
      </c>
      <c r="B2739" s="0" t="n">
        <v>815417</v>
      </c>
      <c r="C2739" s="0" t="n">
        <v>815437</v>
      </c>
      <c r="D2739" s="0" t="s">
        <v>9112</v>
      </c>
      <c r="E2739" s="0" t="s">
        <v>9113</v>
      </c>
      <c r="F2739" s="0" t="s">
        <v>90</v>
      </c>
      <c r="G2739" s="0" t="s">
        <v>16</v>
      </c>
      <c r="H2739" s="0" t="n">
        <v>118</v>
      </c>
      <c r="I2739" s="0" t="s">
        <v>9123</v>
      </c>
      <c r="J2739" s="0" t="s">
        <v>9124</v>
      </c>
      <c r="K2739" s="0" t="s">
        <v>9125</v>
      </c>
      <c r="L2739" s="0" t="str">
        <f aca="false">HYPERLINK("https://www.ncbi.nlm.nih.gov/nuccore/CP000304.1?report=graph&amp;tracks=[key:gene_model_track,Options:GeneOnly]&amp;mk=815499:815518|offset_37|444444,815469:815488|offset_67|444444,815442:815461|offset_94|444444,815418:815437|offset_118|00cc00&amp;v=815298:815637&amp;c=444444", "offset 118")</f>
        <v>offset 118</v>
      </c>
    </row>
    <row r="2740" customFormat="false" ht="12.8" hidden="false" customHeight="false" outlineLevel="0" collapsed="false">
      <c r="A2740" s="0" t="s">
        <v>12</v>
      </c>
      <c r="B2740" s="0" t="n">
        <v>817699</v>
      </c>
      <c r="C2740" s="0" t="n">
        <v>817719</v>
      </c>
      <c r="D2740" s="0" t="s">
        <v>9126</v>
      </c>
      <c r="E2740" s="0" t="s">
        <v>9127</v>
      </c>
      <c r="F2740" s="0" t="s">
        <v>90</v>
      </c>
      <c r="G2740" s="0" t="s">
        <v>26</v>
      </c>
      <c r="H2740" s="0" t="n">
        <v>0</v>
      </c>
      <c r="I2740" s="0" t="s">
        <v>9128</v>
      </c>
      <c r="J2740" s="0" t="s">
        <v>9129</v>
      </c>
      <c r="K2740" s="0" t="s">
        <v>9130</v>
      </c>
      <c r="L2740" s="0" t="str">
        <f aca="false">HYPERLINK("https://www.ncbi.nlm.nih.gov/nuccore/CP000304.1?report=graph&amp;tracks=[key:gene_model_track,Options:GeneOnly]&amp;mk=817700:817719|offset_0|00cc00,817675:817694|offset_25|444444,817653:817672|offset_47|444444,817617:817636|offset_83|444444&amp;v=817499:817836&amp;c=444444", "offset 0")</f>
        <v>offset 0</v>
      </c>
    </row>
    <row r="2741" customFormat="false" ht="12.8" hidden="false" customHeight="false" outlineLevel="0" collapsed="false">
      <c r="A2741" s="0" t="s">
        <v>12</v>
      </c>
      <c r="B2741" s="0" t="n">
        <v>817674</v>
      </c>
      <c r="C2741" s="0" t="n">
        <v>817694</v>
      </c>
      <c r="D2741" s="0" t="s">
        <v>9126</v>
      </c>
      <c r="E2741" s="0" t="s">
        <v>9127</v>
      </c>
      <c r="F2741" s="0" t="s">
        <v>90</v>
      </c>
      <c r="G2741" s="0" t="s">
        <v>26</v>
      </c>
      <c r="H2741" s="0" t="n">
        <v>25</v>
      </c>
      <c r="I2741" s="0" t="s">
        <v>9131</v>
      </c>
      <c r="J2741" s="0" t="s">
        <v>9132</v>
      </c>
      <c r="K2741" s="0" t="s">
        <v>9133</v>
      </c>
      <c r="L2741" s="0" t="str">
        <f aca="false">HYPERLINK("https://www.ncbi.nlm.nih.gov/nuccore/CP000304.1?report=graph&amp;tracks=[key:gene_model_track,Options:GeneOnly]&amp;mk=817700:817719|offset_0|444444,817675:817694|offset_25|00cc00,817653:817672|offset_47|444444,817617:817636|offset_83|444444&amp;v=817499:817836&amp;c=444444", "offset 25")</f>
        <v>offset 25</v>
      </c>
    </row>
    <row r="2742" customFormat="false" ht="12.8" hidden="false" customHeight="false" outlineLevel="0" collapsed="false">
      <c r="A2742" s="0" t="s">
        <v>12</v>
      </c>
      <c r="B2742" s="0" t="n">
        <v>817652</v>
      </c>
      <c r="C2742" s="0" t="n">
        <v>817672</v>
      </c>
      <c r="D2742" s="0" t="s">
        <v>9126</v>
      </c>
      <c r="E2742" s="0" t="s">
        <v>9127</v>
      </c>
      <c r="F2742" s="0" t="s">
        <v>90</v>
      </c>
      <c r="G2742" s="0" t="s">
        <v>16</v>
      </c>
      <c r="H2742" s="0" t="n">
        <v>47</v>
      </c>
      <c r="I2742" s="0" t="s">
        <v>9134</v>
      </c>
      <c r="J2742" s="0" t="s">
        <v>9135</v>
      </c>
      <c r="K2742" s="0" t="s">
        <v>9136</v>
      </c>
      <c r="L2742" s="0" t="str">
        <f aca="false">HYPERLINK("https://www.ncbi.nlm.nih.gov/nuccore/CP000304.1?report=graph&amp;tracks=[key:gene_model_track,Options:GeneOnly]&amp;mk=817700:817719|offset_0|444444,817675:817694|offset_25|444444,817653:817672|offset_47|00cc00,817617:817636|offset_83|444444&amp;v=817499:817836&amp;c=444444", "offset 47")</f>
        <v>offset 47</v>
      </c>
    </row>
    <row r="2743" customFormat="false" ht="12.8" hidden="false" customHeight="false" outlineLevel="0" collapsed="false">
      <c r="A2743" s="0" t="s">
        <v>12</v>
      </c>
      <c r="B2743" s="0" t="n">
        <v>817616</v>
      </c>
      <c r="C2743" s="0" t="n">
        <v>817636</v>
      </c>
      <c r="D2743" s="0" t="s">
        <v>9126</v>
      </c>
      <c r="E2743" s="0" t="s">
        <v>9127</v>
      </c>
      <c r="F2743" s="0" t="s">
        <v>90</v>
      </c>
      <c r="G2743" s="0" t="s">
        <v>32</v>
      </c>
      <c r="H2743" s="0" t="n">
        <v>83</v>
      </c>
      <c r="I2743" s="0" t="s">
        <v>9137</v>
      </c>
      <c r="J2743" s="0" t="s">
        <v>9138</v>
      </c>
      <c r="K2743" s="0" t="s">
        <v>9139</v>
      </c>
      <c r="L2743" s="0" t="str">
        <f aca="false">HYPERLINK("https://www.ncbi.nlm.nih.gov/nuccore/CP000304.1?report=graph&amp;tracks=[key:gene_model_track,Options:GeneOnly]&amp;mk=817700:817719|offset_0|444444,817675:817694|offset_25|444444,817653:817672|offset_47|444444,817617:817636|offset_83|00cc00&amp;v=817499:817836&amp;c=444444", "offset 83")</f>
        <v>offset 83</v>
      </c>
    </row>
    <row r="2744" customFormat="false" ht="12.8" hidden="false" customHeight="false" outlineLevel="0" collapsed="false">
      <c r="A2744" s="0" t="s">
        <v>12</v>
      </c>
      <c r="B2744" s="0" t="n">
        <v>818042</v>
      </c>
      <c r="C2744" s="0" t="n">
        <v>818062</v>
      </c>
      <c r="D2744" s="0" t="s">
        <v>9140</v>
      </c>
      <c r="E2744" s="0" t="s">
        <v>9141</v>
      </c>
      <c r="F2744" s="0" t="s">
        <v>90</v>
      </c>
      <c r="G2744" s="0" t="s">
        <v>36</v>
      </c>
      <c r="H2744" s="0" t="n">
        <v>6</v>
      </c>
      <c r="I2744" s="0" t="s">
        <v>9142</v>
      </c>
      <c r="J2744" s="0" t="s">
        <v>9143</v>
      </c>
      <c r="K2744" s="0" t="s">
        <v>9144</v>
      </c>
      <c r="L2744" s="0" t="str">
        <f aca="false">HYPERLINK("https://www.ncbi.nlm.nih.gov/nuccore/CP000304.1?report=graph&amp;tracks=[key:gene_model_track,Options:GeneOnly]&amp;mk=818043:818062|offset_6|00cc00,818016:818035|offset_33|444444,817982:818001|offset_67|444444,817958:817977|offset_91|444444&amp;v=817842:818177&amp;c=444444", "offset 6")</f>
        <v>offset 6</v>
      </c>
    </row>
    <row r="2745" customFormat="false" ht="12.8" hidden="false" customHeight="false" outlineLevel="0" collapsed="false">
      <c r="A2745" s="0" t="s">
        <v>12</v>
      </c>
      <c r="B2745" s="0" t="n">
        <v>818015</v>
      </c>
      <c r="C2745" s="0" t="n">
        <v>818035</v>
      </c>
      <c r="D2745" s="0" t="s">
        <v>9140</v>
      </c>
      <c r="E2745" s="0" t="s">
        <v>9141</v>
      </c>
      <c r="F2745" s="0" t="s">
        <v>90</v>
      </c>
      <c r="G2745" s="0" t="s">
        <v>36</v>
      </c>
      <c r="H2745" s="0" t="n">
        <v>33</v>
      </c>
      <c r="I2745" s="0" t="s">
        <v>9145</v>
      </c>
      <c r="J2745" s="0" t="s">
        <v>9146</v>
      </c>
      <c r="K2745" s="0" t="s">
        <v>9147</v>
      </c>
      <c r="L2745" s="0" t="str">
        <f aca="false">HYPERLINK("https://www.ncbi.nlm.nih.gov/nuccore/CP000304.1?report=graph&amp;tracks=[key:gene_model_track,Options:GeneOnly]&amp;mk=818043:818062|offset_6|444444,818016:818035|offset_33|00cc00,817982:818001|offset_67|444444,817958:817977|offset_91|444444&amp;v=817842:818177&amp;c=444444", "offset 33")</f>
        <v>offset 33</v>
      </c>
    </row>
    <row r="2746" customFormat="false" ht="12.8" hidden="false" customHeight="false" outlineLevel="0" collapsed="false">
      <c r="A2746" s="0" t="s">
        <v>12</v>
      </c>
      <c r="B2746" s="0" t="n">
        <v>817981</v>
      </c>
      <c r="C2746" s="0" t="n">
        <v>818001</v>
      </c>
      <c r="D2746" s="0" t="s">
        <v>9140</v>
      </c>
      <c r="E2746" s="0" t="s">
        <v>9141</v>
      </c>
      <c r="F2746" s="0" t="s">
        <v>90</v>
      </c>
      <c r="G2746" s="0" t="s">
        <v>26</v>
      </c>
      <c r="H2746" s="0" t="n">
        <v>67</v>
      </c>
      <c r="I2746" s="0" t="s">
        <v>9148</v>
      </c>
      <c r="J2746" s="0" t="s">
        <v>9149</v>
      </c>
      <c r="K2746" s="0" t="s">
        <v>9150</v>
      </c>
      <c r="L2746" s="0" t="str">
        <f aca="false">HYPERLINK("https://www.ncbi.nlm.nih.gov/nuccore/CP000304.1?report=graph&amp;tracks=[key:gene_model_track,Options:GeneOnly]&amp;mk=818043:818062|offset_6|444444,818016:818035|offset_33|444444,817982:818001|offset_67|00cc00,817958:817977|offset_91|444444&amp;v=817842:818177&amp;c=444444", "offset 67")</f>
        <v>offset 67</v>
      </c>
    </row>
    <row r="2747" customFormat="false" ht="12.8" hidden="false" customHeight="false" outlineLevel="0" collapsed="false">
      <c r="A2747" s="0" t="s">
        <v>12</v>
      </c>
      <c r="B2747" s="0" t="n">
        <v>817957</v>
      </c>
      <c r="C2747" s="0" t="n">
        <v>817977</v>
      </c>
      <c r="D2747" s="0" t="s">
        <v>9140</v>
      </c>
      <c r="E2747" s="0" t="s">
        <v>9141</v>
      </c>
      <c r="F2747" s="0" t="s">
        <v>90</v>
      </c>
      <c r="G2747" s="0" t="s">
        <v>16</v>
      </c>
      <c r="H2747" s="0" t="n">
        <v>91</v>
      </c>
      <c r="I2747" s="0" t="s">
        <v>9151</v>
      </c>
      <c r="J2747" s="0" t="s">
        <v>9152</v>
      </c>
      <c r="K2747" s="0" t="s">
        <v>9153</v>
      </c>
      <c r="L2747" s="0" t="str">
        <f aca="false">HYPERLINK("https://www.ncbi.nlm.nih.gov/nuccore/CP000304.1?report=graph&amp;tracks=[key:gene_model_track,Options:GeneOnly]&amp;mk=818043:818062|offset_6|444444,818016:818035|offset_33|444444,817982:818001|offset_67|444444,817958:817977|offset_91|00cc00&amp;v=817842:818177&amp;c=444444", "offset 91")</f>
        <v>offset 91</v>
      </c>
    </row>
    <row r="2748" customFormat="false" ht="12.8" hidden="false" customHeight="false" outlineLevel="0" collapsed="false">
      <c r="A2748" s="0" t="s">
        <v>12</v>
      </c>
      <c r="B2748" s="0" t="n">
        <v>818158</v>
      </c>
      <c r="C2748" s="0" t="n">
        <v>818178</v>
      </c>
      <c r="D2748" s="0" t="s">
        <v>9154</v>
      </c>
      <c r="E2748" s="0" t="s">
        <v>9155</v>
      </c>
      <c r="F2748" s="0" t="s">
        <v>15</v>
      </c>
      <c r="G2748" s="0" t="s">
        <v>36</v>
      </c>
      <c r="H2748" s="0" t="n">
        <v>9</v>
      </c>
      <c r="I2748" s="0" t="s">
        <v>9156</v>
      </c>
      <c r="J2748" s="0" t="s">
        <v>9157</v>
      </c>
      <c r="K2748" s="0" t="s">
        <v>9158</v>
      </c>
      <c r="L2748" s="0" t="str">
        <f aca="false">HYPERLINK("https://www.ncbi.nlm.nih.gov/nuccore/CP000304.1?report=graph&amp;tracks=[key:gene_model_track,Options:GeneOnly]&amp;mk=818159:818178|offset_9|00cc00,818184:818203|offset_34|444444,818217:818236|offset_67|444444,818247:818266|offset_97|444444&amp;v=817958:818466&amp;c=444444", "offset 9")</f>
        <v>offset 9</v>
      </c>
    </row>
    <row r="2749" customFormat="false" ht="12.8" hidden="false" customHeight="false" outlineLevel="0" collapsed="false">
      <c r="A2749" s="0" t="s">
        <v>12</v>
      </c>
      <c r="B2749" s="0" t="n">
        <v>818183</v>
      </c>
      <c r="C2749" s="0" t="n">
        <v>818203</v>
      </c>
      <c r="D2749" s="0" t="s">
        <v>9154</v>
      </c>
      <c r="E2749" s="0" t="s">
        <v>9155</v>
      </c>
      <c r="F2749" s="0" t="s">
        <v>15</v>
      </c>
      <c r="G2749" s="0" t="s">
        <v>36</v>
      </c>
      <c r="H2749" s="0" t="n">
        <v>34</v>
      </c>
      <c r="I2749" s="0" t="s">
        <v>9159</v>
      </c>
      <c r="J2749" s="0" t="s">
        <v>9160</v>
      </c>
      <c r="K2749" s="0" t="s">
        <v>9161</v>
      </c>
      <c r="L2749" s="0" t="str">
        <f aca="false">HYPERLINK("https://www.ncbi.nlm.nih.gov/nuccore/CP000304.1?report=graph&amp;tracks=[key:gene_model_track,Options:GeneOnly]&amp;mk=818159:818178|offset_9|444444,818184:818203|offset_34|00cc00,818217:818236|offset_67|444444,818247:818266|offset_97|444444&amp;v=817958:818466&amp;c=444444", "offset 34")</f>
        <v>offset 34</v>
      </c>
    </row>
    <row r="2750" customFormat="false" ht="12.8" hidden="false" customHeight="false" outlineLevel="0" collapsed="false">
      <c r="A2750" s="0" t="s">
        <v>12</v>
      </c>
      <c r="B2750" s="0" t="n">
        <v>818216</v>
      </c>
      <c r="C2750" s="0" t="n">
        <v>818236</v>
      </c>
      <c r="D2750" s="0" t="s">
        <v>9154</v>
      </c>
      <c r="E2750" s="0" t="s">
        <v>9155</v>
      </c>
      <c r="F2750" s="0" t="s">
        <v>15</v>
      </c>
      <c r="G2750" s="0" t="s">
        <v>36</v>
      </c>
      <c r="H2750" s="0" t="n">
        <v>67</v>
      </c>
      <c r="I2750" s="0" t="s">
        <v>9162</v>
      </c>
      <c r="J2750" s="0" t="s">
        <v>9163</v>
      </c>
      <c r="K2750" s="0" t="s">
        <v>9164</v>
      </c>
      <c r="L2750" s="0" t="str">
        <f aca="false">HYPERLINK("https://www.ncbi.nlm.nih.gov/nuccore/CP000304.1?report=graph&amp;tracks=[key:gene_model_track,Options:GeneOnly]&amp;mk=818159:818178|offset_9|444444,818184:818203|offset_34|444444,818217:818236|offset_67|00cc00,818247:818266|offset_97|444444&amp;v=817958:818466&amp;c=444444", "offset 67")</f>
        <v>offset 67</v>
      </c>
    </row>
    <row r="2751" customFormat="false" ht="12.8" hidden="false" customHeight="false" outlineLevel="0" collapsed="false">
      <c r="A2751" s="0" t="s">
        <v>12</v>
      </c>
      <c r="B2751" s="0" t="n">
        <v>818246</v>
      </c>
      <c r="C2751" s="0" t="n">
        <v>818266</v>
      </c>
      <c r="D2751" s="0" t="s">
        <v>9154</v>
      </c>
      <c r="E2751" s="0" t="s">
        <v>9155</v>
      </c>
      <c r="F2751" s="0" t="s">
        <v>15</v>
      </c>
      <c r="G2751" s="0" t="s">
        <v>26</v>
      </c>
      <c r="H2751" s="0" t="n">
        <v>97</v>
      </c>
      <c r="I2751" s="0" t="s">
        <v>9165</v>
      </c>
      <c r="J2751" s="0" t="s">
        <v>9166</v>
      </c>
      <c r="K2751" s="0" t="s">
        <v>9167</v>
      </c>
      <c r="L2751" s="0" t="str">
        <f aca="false">HYPERLINK("https://www.ncbi.nlm.nih.gov/nuccore/CP000304.1?report=graph&amp;tracks=[key:gene_model_track,Options:GeneOnly]&amp;mk=818159:818178|offset_9|444444,818184:818203|offset_34|444444,818217:818236|offset_67|444444,818247:818266|offset_97|00cc00&amp;v=817958:818466&amp;c=444444", "offset 97")</f>
        <v>offset 97</v>
      </c>
    </row>
    <row r="2752" customFormat="false" ht="12.8" hidden="false" customHeight="false" outlineLevel="0" collapsed="false">
      <c r="A2752" s="0" t="s">
        <v>12</v>
      </c>
      <c r="B2752" s="0" t="n">
        <v>819849</v>
      </c>
      <c r="C2752" s="0" t="n">
        <v>819869</v>
      </c>
      <c r="D2752" s="0" t="s">
        <v>9168</v>
      </c>
      <c r="E2752" s="0" t="s">
        <v>89</v>
      </c>
      <c r="F2752" s="0" t="s">
        <v>90</v>
      </c>
      <c r="G2752" s="0" t="s">
        <v>32</v>
      </c>
      <c r="H2752" s="0" t="n">
        <v>10</v>
      </c>
      <c r="I2752" s="0" t="s">
        <v>9169</v>
      </c>
      <c r="J2752" s="0" t="s">
        <v>9170</v>
      </c>
      <c r="K2752" s="0" t="s">
        <v>9171</v>
      </c>
      <c r="L2752" s="0" t="str">
        <f aca="false">HYPERLINK("https://www.ncbi.nlm.nih.gov/nuccore/CP000304.1?report=graph&amp;tracks=[key:gene_model_track,Options:GeneOnly]&amp;mk=819850:819869|offset_10|00cc00,819819:819838|offset_41|444444,819796:819815|offset_64|444444,819775:819794|offset_85|444444&amp;v=819649:819994&amp;c=444444", "offset 10")</f>
        <v>offset 10</v>
      </c>
    </row>
    <row r="2753" customFormat="false" ht="12.8" hidden="false" customHeight="false" outlineLevel="0" collapsed="false">
      <c r="A2753" s="0" t="s">
        <v>12</v>
      </c>
      <c r="B2753" s="0" t="n">
        <v>819818</v>
      </c>
      <c r="C2753" s="0" t="n">
        <v>819838</v>
      </c>
      <c r="D2753" s="0" t="s">
        <v>9168</v>
      </c>
      <c r="E2753" s="0" t="s">
        <v>89</v>
      </c>
      <c r="F2753" s="0" t="s">
        <v>90</v>
      </c>
      <c r="G2753" s="0" t="s">
        <v>26</v>
      </c>
      <c r="H2753" s="0" t="n">
        <v>41</v>
      </c>
      <c r="I2753" s="0" t="s">
        <v>9172</v>
      </c>
      <c r="J2753" s="0" t="s">
        <v>9173</v>
      </c>
      <c r="K2753" s="0" t="s">
        <v>9174</v>
      </c>
      <c r="L2753" s="0" t="str">
        <f aca="false">HYPERLINK("https://www.ncbi.nlm.nih.gov/nuccore/CP000304.1?report=graph&amp;tracks=[key:gene_model_track,Options:GeneOnly]&amp;mk=819850:819869|offset_10|444444,819819:819838|offset_41|00cc00,819796:819815|offset_64|444444,819775:819794|offset_85|444444&amp;v=819649:819994&amp;c=444444", "offset 41")</f>
        <v>offset 41</v>
      </c>
    </row>
    <row r="2754" customFormat="false" ht="12.8" hidden="false" customHeight="false" outlineLevel="0" collapsed="false">
      <c r="A2754" s="0" t="s">
        <v>12</v>
      </c>
      <c r="B2754" s="0" t="n">
        <v>819795</v>
      </c>
      <c r="C2754" s="0" t="n">
        <v>819815</v>
      </c>
      <c r="D2754" s="0" t="s">
        <v>9168</v>
      </c>
      <c r="E2754" s="0" t="s">
        <v>89</v>
      </c>
      <c r="F2754" s="0" t="s">
        <v>90</v>
      </c>
      <c r="G2754" s="0" t="s">
        <v>32</v>
      </c>
      <c r="H2754" s="0" t="n">
        <v>64</v>
      </c>
      <c r="I2754" s="0" t="s">
        <v>9175</v>
      </c>
      <c r="J2754" s="0" t="s">
        <v>9176</v>
      </c>
      <c r="K2754" s="0" t="s">
        <v>9177</v>
      </c>
      <c r="L2754" s="0" t="str">
        <f aca="false">HYPERLINK("https://www.ncbi.nlm.nih.gov/nuccore/CP000304.1?report=graph&amp;tracks=[key:gene_model_track,Options:GeneOnly]&amp;mk=819850:819869|offset_10|444444,819819:819838|offset_41|444444,819796:819815|offset_64|00cc00,819775:819794|offset_85|444444&amp;v=819649:819994&amp;c=444444", "offset 64")</f>
        <v>offset 64</v>
      </c>
    </row>
    <row r="2755" customFormat="false" ht="12.8" hidden="false" customHeight="false" outlineLevel="0" collapsed="false">
      <c r="A2755" s="0" t="s">
        <v>12</v>
      </c>
      <c r="B2755" s="0" t="n">
        <v>819774</v>
      </c>
      <c r="C2755" s="0" t="n">
        <v>819794</v>
      </c>
      <c r="D2755" s="0" t="s">
        <v>9168</v>
      </c>
      <c r="E2755" s="0" t="s">
        <v>89</v>
      </c>
      <c r="F2755" s="0" t="s">
        <v>90</v>
      </c>
      <c r="G2755" s="0" t="s">
        <v>16</v>
      </c>
      <c r="H2755" s="0" t="n">
        <v>85</v>
      </c>
      <c r="I2755" s="0" t="s">
        <v>9178</v>
      </c>
      <c r="J2755" s="0" t="s">
        <v>9179</v>
      </c>
      <c r="K2755" s="0" t="s">
        <v>9180</v>
      </c>
      <c r="L2755" s="0" t="str">
        <f aca="false">HYPERLINK("https://www.ncbi.nlm.nih.gov/nuccore/CP000304.1?report=graph&amp;tracks=[key:gene_model_track,Options:GeneOnly]&amp;mk=819850:819869|offset_10|444444,819819:819838|offset_41|444444,819796:819815|offset_64|444444,819775:819794|offset_85|00cc00&amp;v=819649:819994&amp;c=444444", "offset 85")</f>
        <v>offset 85</v>
      </c>
    </row>
    <row r="2756" customFormat="false" ht="12.8" hidden="false" customHeight="false" outlineLevel="0" collapsed="false">
      <c r="A2756" s="0" t="s">
        <v>12</v>
      </c>
      <c r="B2756" s="0" t="n">
        <v>819971</v>
      </c>
      <c r="C2756" s="0" t="n">
        <v>819991</v>
      </c>
      <c r="D2756" s="0" t="s">
        <v>9181</v>
      </c>
      <c r="E2756" s="0" t="s">
        <v>9182</v>
      </c>
      <c r="F2756" s="0" t="s">
        <v>15</v>
      </c>
      <c r="G2756" s="0" t="s">
        <v>26</v>
      </c>
      <c r="H2756" s="0" t="n">
        <v>26</v>
      </c>
      <c r="I2756" s="0" t="s">
        <v>9183</v>
      </c>
      <c r="J2756" s="0" t="s">
        <v>9184</v>
      </c>
      <c r="K2756" s="0" t="s">
        <v>9185</v>
      </c>
      <c r="L2756" s="0" t="str">
        <f aca="false">HYPERLINK("https://www.ncbi.nlm.nih.gov/nuccore/CP000304.1?report=graph&amp;tracks=[key:gene_model_track,Options:GeneOnly]&amp;mk=819972:819991|offset_26|00cc00,819998:820017|offset_52|444444,820020:820039|offset_74|444444,820041:820060|offset_95|444444&amp;v=819771:820260&amp;c=444444", "offset 26")</f>
        <v>offset 26</v>
      </c>
    </row>
    <row r="2757" customFormat="false" ht="12.8" hidden="false" customHeight="false" outlineLevel="0" collapsed="false">
      <c r="A2757" s="0" t="s">
        <v>12</v>
      </c>
      <c r="B2757" s="0" t="n">
        <v>819997</v>
      </c>
      <c r="C2757" s="0" t="n">
        <v>820017</v>
      </c>
      <c r="D2757" s="0" t="s">
        <v>9181</v>
      </c>
      <c r="E2757" s="0" t="s">
        <v>9182</v>
      </c>
      <c r="F2757" s="0" t="s">
        <v>15</v>
      </c>
      <c r="G2757" s="0" t="s">
        <v>26</v>
      </c>
      <c r="H2757" s="0" t="n">
        <v>52</v>
      </c>
      <c r="I2757" s="0" t="s">
        <v>9186</v>
      </c>
      <c r="J2757" s="0" t="s">
        <v>9187</v>
      </c>
      <c r="K2757" s="0" t="s">
        <v>9188</v>
      </c>
      <c r="L2757" s="0" t="str">
        <f aca="false">HYPERLINK("https://www.ncbi.nlm.nih.gov/nuccore/CP000304.1?report=graph&amp;tracks=[key:gene_model_track,Options:GeneOnly]&amp;mk=819972:819991|offset_26|444444,819998:820017|offset_52|00cc00,820020:820039|offset_74|444444,820041:820060|offset_95|444444&amp;v=819771:820260&amp;c=444444", "offset 52")</f>
        <v>offset 52</v>
      </c>
    </row>
    <row r="2758" customFormat="false" ht="12.8" hidden="false" customHeight="false" outlineLevel="0" collapsed="false">
      <c r="A2758" s="0" t="s">
        <v>12</v>
      </c>
      <c r="B2758" s="0" t="n">
        <v>820019</v>
      </c>
      <c r="C2758" s="0" t="n">
        <v>820039</v>
      </c>
      <c r="D2758" s="0" t="s">
        <v>9181</v>
      </c>
      <c r="E2758" s="0" t="s">
        <v>9182</v>
      </c>
      <c r="F2758" s="0" t="s">
        <v>15</v>
      </c>
      <c r="G2758" s="0" t="s">
        <v>16</v>
      </c>
      <c r="H2758" s="0" t="n">
        <v>74</v>
      </c>
      <c r="I2758" s="0" t="s">
        <v>9189</v>
      </c>
      <c r="J2758" s="0" t="s">
        <v>9190</v>
      </c>
      <c r="K2758" s="0" t="s">
        <v>9191</v>
      </c>
      <c r="L2758" s="0" t="str">
        <f aca="false">HYPERLINK("https://www.ncbi.nlm.nih.gov/nuccore/CP000304.1?report=graph&amp;tracks=[key:gene_model_track,Options:GeneOnly]&amp;mk=819972:819991|offset_26|444444,819998:820017|offset_52|444444,820020:820039|offset_74|00cc00,820041:820060|offset_95|444444&amp;v=819771:820260&amp;c=444444", "offset 74")</f>
        <v>offset 74</v>
      </c>
    </row>
    <row r="2759" customFormat="false" ht="12.8" hidden="false" customHeight="false" outlineLevel="0" collapsed="false">
      <c r="A2759" s="0" t="s">
        <v>12</v>
      </c>
      <c r="B2759" s="0" t="n">
        <v>820040</v>
      </c>
      <c r="C2759" s="0" t="n">
        <v>820060</v>
      </c>
      <c r="D2759" s="0" t="s">
        <v>9181</v>
      </c>
      <c r="E2759" s="0" t="s">
        <v>9182</v>
      </c>
      <c r="F2759" s="0" t="s">
        <v>15</v>
      </c>
      <c r="G2759" s="0" t="s">
        <v>26</v>
      </c>
      <c r="H2759" s="0" t="n">
        <v>95</v>
      </c>
      <c r="I2759" s="0" t="s">
        <v>9192</v>
      </c>
      <c r="J2759" s="0" t="s">
        <v>9193</v>
      </c>
      <c r="K2759" s="0" t="s">
        <v>9194</v>
      </c>
      <c r="L2759" s="0" t="str">
        <f aca="false">HYPERLINK("https://www.ncbi.nlm.nih.gov/nuccore/CP000304.1?report=graph&amp;tracks=[key:gene_model_track,Options:GeneOnly]&amp;mk=819972:819991|offset_26|444444,819998:820017|offset_52|444444,820020:820039|offset_74|444444,820041:820060|offset_95|00cc00&amp;v=819771:820260&amp;c=444444", "offset 95")</f>
        <v>offset 95</v>
      </c>
    </row>
    <row r="2760" customFormat="false" ht="12.8" hidden="false" customHeight="false" outlineLevel="0" collapsed="false">
      <c r="A2760" s="0" t="s">
        <v>12</v>
      </c>
      <c r="B2760" s="0" t="n">
        <v>820304</v>
      </c>
      <c r="C2760" s="0" t="n">
        <v>820324</v>
      </c>
      <c r="D2760" s="0" t="s">
        <v>9195</v>
      </c>
      <c r="E2760" s="0" t="s">
        <v>9196</v>
      </c>
      <c r="F2760" s="0" t="s">
        <v>15</v>
      </c>
      <c r="G2760" s="0" t="s">
        <v>36</v>
      </c>
      <c r="H2760" s="0" t="n">
        <v>15</v>
      </c>
      <c r="I2760" s="0" t="s">
        <v>9197</v>
      </c>
      <c r="J2760" s="0" t="s">
        <v>9198</v>
      </c>
      <c r="K2760" s="0" t="s">
        <v>9199</v>
      </c>
      <c r="L2760" s="0" t="str">
        <f aca="false">HYPERLINK("https://www.ncbi.nlm.nih.gov/nuccore/CP000304.1?report=graph&amp;tracks=[key:gene_model_track,Options:GeneOnly]&amp;mk=820305:820324|offset_15|00cc00,820334:820353|offset_44|444444,820361:820380|offset_71|444444,820404:820423|offset_114|444444&amp;v=820104:820623&amp;c=444444", "offset 15")</f>
        <v>offset 15</v>
      </c>
    </row>
    <row r="2761" customFormat="false" ht="12.8" hidden="false" customHeight="false" outlineLevel="0" collapsed="false">
      <c r="A2761" s="0" t="s">
        <v>12</v>
      </c>
      <c r="B2761" s="0" t="n">
        <v>820333</v>
      </c>
      <c r="C2761" s="0" t="n">
        <v>820353</v>
      </c>
      <c r="D2761" s="0" t="s">
        <v>9195</v>
      </c>
      <c r="E2761" s="0" t="s">
        <v>9196</v>
      </c>
      <c r="F2761" s="0" t="s">
        <v>15</v>
      </c>
      <c r="G2761" s="0" t="s">
        <v>16</v>
      </c>
      <c r="H2761" s="0" t="n">
        <v>44</v>
      </c>
      <c r="I2761" s="0" t="s">
        <v>9200</v>
      </c>
      <c r="J2761" s="0" t="s">
        <v>9201</v>
      </c>
      <c r="K2761" s="0" t="s">
        <v>9202</v>
      </c>
      <c r="L2761" s="0" t="str">
        <f aca="false">HYPERLINK("https://www.ncbi.nlm.nih.gov/nuccore/CP000304.1?report=graph&amp;tracks=[key:gene_model_track,Options:GeneOnly]&amp;mk=820305:820324|offset_15|444444,820334:820353|offset_44|00cc00,820361:820380|offset_71|444444,820404:820423|offset_114|444444&amp;v=820104:820623&amp;c=444444", "offset 44")</f>
        <v>offset 44</v>
      </c>
    </row>
    <row r="2762" customFormat="false" ht="12.8" hidden="false" customHeight="false" outlineLevel="0" collapsed="false">
      <c r="A2762" s="0" t="s">
        <v>12</v>
      </c>
      <c r="B2762" s="0" t="n">
        <v>820360</v>
      </c>
      <c r="C2762" s="0" t="n">
        <v>820380</v>
      </c>
      <c r="D2762" s="0" t="s">
        <v>9195</v>
      </c>
      <c r="E2762" s="0" t="s">
        <v>9196</v>
      </c>
      <c r="F2762" s="0" t="s">
        <v>15</v>
      </c>
      <c r="G2762" s="0" t="s">
        <v>26</v>
      </c>
      <c r="H2762" s="0" t="n">
        <v>71</v>
      </c>
      <c r="I2762" s="0" t="s">
        <v>9203</v>
      </c>
      <c r="J2762" s="0" t="s">
        <v>9204</v>
      </c>
      <c r="K2762" s="0" t="s">
        <v>9205</v>
      </c>
      <c r="L2762" s="0" t="str">
        <f aca="false">HYPERLINK("https://www.ncbi.nlm.nih.gov/nuccore/CP000304.1?report=graph&amp;tracks=[key:gene_model_track,Options:GeneOnly]&amp;mk=820305:820324|offset_15|444444,820334:820353|offset_44|444444,820361:820380|offset_71|00cc00,820404:820423|offset_114|444444&amp;v=820104:820623&amp;c=444444", "offset 71")</f>
        <v>offset 71</v>
      </c>
    </row>
    <row r="2763" customFormat="false" ht="12.8" hidden="false" customHeight="false" outlineLevel="0" collapsed="false">
      <c r="A2763" s="0" t="s">
        <v>12</v>
      </c>
      <c r="B2763" s="0" t="n">
        <v>820403</v>
      </c>
      <c r="C2763" s="0" t="n">
        <v>820423</v>
      </c>
      <c r="D2763" s="0" t="s">
        <v>9195</v>
      </c>
      <c r="E2763" s="0" t="s">
        <v>9196</v>
      </c>
      <c r="F2763" s="0" t="s">
        <v>15</v>
      </c>
      <c r="G2763" s="0" t="s">
        <v>16</v>
      </c>
      <c r="H2763" s="0" t="n">
        <v>114</v>
      </c>
      <c r="I2763" s="0" t="s">
        <v>9206</v>
      </c>
      <c r="J2763" s="0" t="s">
        <v>9207</v>
      </c>
      <c r="K2763" s="0" t="s">
        <v>9208</v>
      </c>
      <c r="L2763" s="0" t="str">
        <f aca="false">HYPERLINK("https://www.ncbi.nlm.nih.gov/nuccore/CP000304.1?report=graph&amp;tracks=[key:gene_model_track,Options:GeneOnly]&amp;mk=820305:820324|offset_15|444444,820334:820353|offset_44|444444,820361:820380|offset_71|444444,820404:820423|offset_114|00cc00&amp;v=820104:820623&amp;c=444444", "offset 114")</f>
        <v>offset 114</v>
      </c>
    </row>
    <row r="2764" customFormat="false" ht="12.8" hidden="false" customHeight="false" outlineLevel="0" collapsed="false">
      <c r="A2764" s="0" t="s">
        <v>12</v>
      </c>
      <c r="B2764" s="0" t="n">
        <v>822080</v>
      </c>
      <c r="C2764" s="0" t="n">
        <v>822100</v>
      </c>
      <c r="D2764" s="0" t="s">
        <v>9209</v>
      </c>
      <c r="E2764" s="0" t="s">
        <v>9210</v>
      </c>
      <c r="F2764" s="0" t="s">
        <v>90</v>
      </c>
      <c r="G2764" s="0" t="s">
        <v>16</v>
      </c>
      <c r="H2764" s="0" t="n">
        <v>130</v>
      </c>
      <c r="I2764" s="0" t="s">
        <v>9211</v>
      </c>
      <c r="J2764" s="0" t="s">
        <v>9212</v>
      </c>
      <c r="K2764" s="0" t="s">
        <v>9213</v>
      </c>
      <c r="L2764" s="0" t="str">
        <f aca="false">HYPERLINK("https://www.ncbi.nlm.nih.gov/nuccore/CP000304.1?report=graph&amp;tracks=[key:gene_model_track,Options:GeneOnly]&amp;mk=822081:822100|offset_130|00cc00,822056:822075|offset_155|444444,822031:822050|offset_180|444444,822009:822028|offset_202|444444&amp;v=821880:822228&amp;c=444444", "offset 130")</f>
        <v>offset 130</v>
      </c>
    </row>
    <row r="2765" customFormat="false" ht="12.8" hidden="false" customHeight="false" outlineLevel="0" collapsed="false">
      <c r="A2765" s="0" t="s">
        <v>12</v>
      </c>
      <c r="B2765" s="0" t="n">
        <v>822055</v>
      </c>
      <c r="C2765" s="0" t="n">
        <v>822075</v>
      </c>
      <c r="D2765" s="0" t="s">
        <v>9209</v>
      </c>
      <c r="E2765" s="0" t="s">
        <v>9210</v>
      </c>
      <c r="F2765" s="0" t="s">
        <v>90</v>
      </c>
      <c r="G2765" s="0" t="s">
        <v>36</v>
      </c>
      <c r="H2765" s="0" t="n">
        <v>155</v>
      </c>
      <c r="I2765" s="0" t="s">
        <v>9214</v>
      </c>
      <c r="J2765" s="0" t="s">
        <v>9215</v>
      </c>
      <c r="K2765" s="0" t="s">
        <v>9216</v>
      </c>
      <c r="L2765" s="0" t="str">
        <f aca="false">HYPERLINK("https://www.ncbi.nlm.nih.gov/nuccore/CP000304.1?report=graph&amp;tracks=[key:gene_model_track,Options:GeneOnly]&amp;mk=822081:822100|offset_130|444444,822056:822075|offset_155|00cc00,822031:822050|offset_180|444444,822009:822028|offset_202|444444&amp;v=821880:822228&amp;c=444444", "offset 155")</f>
        <v>offset 155</v>
      </c>
    </row>
    <row r="2766" customFormat="false" ht="12.8" hidden="false" customHeight="false" outlineLevel="0" collapsed="false">
      <c r="A2766" s="0" t="s">
        <v>12</v>
      </c>
      <c r="B2766" s="0" t="n">
        <v>822030</v>
      </c>
      <c r="C2766" s="0" t="n">
        <v>822050</v>
      </c>
      <c r="D2766" s="0" t="s">
        <v>9209</v>
      </c>
      <c r="E2766" s="0" t="s">
        <v>9210</v>
      </c>
      <c r="F2766" s="0" t="s">
        <v>90</v>
      </c>
      <c r="G2766" s="0" t="s">
        <v>32</v>
      </c>
      <c r="H2766" s="0" t="n">
        <v>180</v>
      </c>
      <c r="I2766" s="0" t="s">
        <v>9217</v>
      </c>
      <c r="J2766" s="0" t="s">
        <v>9218</v>
      </c>
      <c r="K2766" s="0" t="s">
        <v>9219</v>
      </c>
      <c r="L2766" s="0" t="str">
        <f aca="false">HYPERLINK("https://www.ncbi.nlm.nih.gov/nuccore/CP000304.1?report=graph&amp;tracks=[key:gene_model_track,Options:GeneOnly]&amp;mk=822081:822100|offset_130|444444,822056:822075|offset_155|444444,822031:822050|offset_180|00cc00,822009:822028|offset_202|444444&amp;v=821880:822228&amp;c=444444", "offset 180")</f>
        <v>offset 180</v>
      </c>
    </row>
    <row r="2767" customFormat="false" ht="12.8" hidden="false" customHeight="false" outlineLevel="0" collapsed="false">
      <c r="A2767" s="0" t="s">
        <v>12</v>
      </c>
      <c r="B2767" s="0" t="n">
        <v>822008</v>
      </c>
      <c r="C2767" s="0" t="n">
        <v>822028</v>
      </c>
      <c r="D2767" s="0" t="s">
        <v>9209</v>
      </c>
      <c r="E2767" s="0" t="s">
        <v>9210</v>
      </c>
      <c r="F2767" s="0" t="s">
        <v>90</v>
      </c>
      <c r="G2767" s="0" t="s">
        <v>26</v>
      </c>
      <c r="H2767" s="0" t="n">
        <v>202</v>
      </c>
      <c r="I2767" s="0" t="s">
        <v>9220</v>
      </c>
      <c r="J2767" s="0" t="s">
        <v>9221</v>
      </c>
      <c r="K2767" s="0" t="s">
        <v>9222</v>
      </c>
      <c r="L2767" s="0" t="str">
        <f aca="false">HYPERLINK("https://www.ncbi.nlm.nih.gov/nuccore/CP000304.1?report=graph&amp;tracks=[key:gene_model_track,Options:GeneOnly]&amp;mk=822081:822100|offset_130|444444,822056:822075|offset_155|444444,822031:822050|offset_180|444444,822009:822028|offset_202|00cc00&amp;v=821880:822228&amp;c=444444", "offset 202")</f>
        <v>offset 202</v>
      </c>
    </row>
    <row r="2768" customFormat="false" ht="12.8" hidden="false" customHeight="false" outlineLevel="0" collapsed="false">
      <c r="A2768" s="0" t="s">
        <v>12</v>
      </c>
      <c r="B2768" s="0" t="n">
        <v>823616</v>
      </c>
      <c r="C2768" s="0" t="n">
        <v>823636</v>
      </c>
      <c r="D2768" s="0" t="s">
        <v>9223</v>
      </c>
      <c r="E2768" s="0" t="s">
        <v>89</v>
      </c>
      <c r="F2768" s="0" t="s">
        <v>90</v>
      </c>
      <c r="G2768" s="0" t="s">
        <v>36</v>
      </c>
      <c r="H2768" s="0" t="n">
        <v>15</v>
      </c>
      <c r="I2768" s="0" t="s">
        <v>9224</v>
      </c>
      <c r="J2768" s="0" t="s">
        <v>9225</v>
      </c>
      <c r="K2768" s="0" t="s">
        <v>9226</v>
      </c>
      <c r="L2768" s="0" t="str">
        <f aca="false">HYPERLINK("https://www.ncbi.nlm.nih.gov/nuccore/CP000304.1?report=graph&amp;tracks=[key:gene_model_track,Options:GeneOnly]&amp;mk=823617:823636|offset_15|00cc00,823592:823611|offset_40|444444,823567:823586|offset_65|444444,823547:823566|offset_85|444444&amp;v=823416:823766&amp;c=444444", "offset 15")</f>
        <v>offset 15</v>
      </c>
    </row>
    <row r="2769" customFormat="false" ht="12.8" hidden="false" customHeight="false" outlineLevel="0" collapsed="false">
      <c r="A2769" s="0" t="s">
        <v>12</v>
      </c>
      <c r="B2769" s="0" t="n">
        <v>823591</v>
      </c>
      <c r="C2769" s="0" t="n">
        <v>823611</v>
      </c>
      <c r="D2769" s="0" t="s">
        <v>9223</v>
      </c>
      <c r="E2769" s="0" t="s">
        <v>89</v>
      </c>
      <c r="F2769" s="0" t="s">
        <v>90</v>
      </c>
      <c r="G2769" s="0" t="s">
        <v>26</v>
      </c>
      <c r="H2769" s="0" t="n">
        <v>40</v>
      </c>
      <c r="I2769" s="0" t="s">
        <v>9227</v>
      </c>
      <c r="J2769" s="0" t="s">
        <v>9228</v>
      </c>
      <c r="K2769" s="0" t="s">
        <v>9229</v>
      </c>
      <c r="L2769" s="0" t="str">
        <f aca="false">HYPERLINK("https://www.ncbi.nlm.nih.gov/nuccore/CP000304.1?report=graph&amp;tracks=[key:gene_model_track,Options:GeneOnly]&amp;mk=823617:823636|offset_15|444444,823592:823611|offset_40|00cc00,823567:823586|offset_65|444444,823547:823566|offset_85|444444&amp;v=823416:823766&amp;c=444444", "offset 40")</f>
        <v>offset 40</v>
      </c>
    </row>
    <row r="2770" customFormat="false" ht="12.8" hidden="false" customHeight="false" outlineLevel="0" collapsed="false">
      <c r="A2770" s="0" t="s">
        <v>12</v>
      </c>
      <c r="B2770" s="0" t="n">
        <v>823566</v>
      </c>
      <c r="C2770" s="0" t="n">
        <v>823586</v>
      </c>
      <c r="D2770" s="0" t="s">
        <v>9223</v>
      </c>
      <c r="E2770" s="0" t="s">
        <v>89</v>
      </c>
      <c r="F2770" s="0" t="s">
        <v>90</v>
      </c>
      <c r="G2770" s="0" t="s">
        <v>16</v>
      </c>
      <c r="H2770" s="0" t="n">
        <v>65</v>
      </c>
      <c r="I2770" s="0" t="s">
        <v>9230</v>
      </c>
      <c r="J2770" s="0" t="s">
        <v>9231</v>
      </c>
      <c r="K2770" s="0" t="s">
        <v>9232</v>
      </c>
      <c r="L2770" s="0" t="str">
        <f aca="false">HYPERLINK("https://www.ncbi.nlm.nih.gov/nuccore/CP000304.1?report=graph&amp;tracks=[key:gene_model_track,Options:GeneOnly]&amp;mk=823617:823636|offset_15|444444,823592:823611|offset_40|444444,823567:823586|offset_65|00cc00,823547:823566|offset_85|444444&amp;v=823416:823766&amp;c=444444", "offset 65")</f>
        <v>offset 65</v>
      </c>
    </row>
    <row r="2771" customFormat="false" ht="12.8" hidden="false" customHeight="false" outlineLevel="0" collapsed="false">
      <c r="A2771" s="0" t="s">
        <v>12</v>
      </c>
      <c r="B2771" s="0" t="n">
        <v>823546</v>
      </c>
      <c r="C2771" s="0" t="n">
        <v>823566</v>
      </c>
      <c r="D2771" s="0" t="s">
        <v>9223</v>
      </c>
      <c r="E2771" s="0" t="s">
        <v>89</v>
      </c>
      <c r="F2771" s="0" t="s">
        <v>90</v>
      </c>
      <c r="G2771" s="0" t="s">
        <v>16</v>
      </c>
      <c r="H2771" s="0" t="n">
        <v>85</v>
      </c>
      <c r="I2771" s="0" t="s">
        <v>9233</v>
      </c>
      <c r="J2771" s="0" t="s">
        <v>9234</v>
      </c>
      <c r="K2771" s="0" t="s">
        <v>9235</v>
      </c>
      <c r="L2771" s="0" t="str">
        <f aca="false">HYPERLINK("https://www.ncbi.nlm.nih.gov/nuccore/CP000304.1?report=graph&amp;tracks=[key:gene_model_track,Options:GeneOnly]&amp;mk=823617:823636|offset_15|444444,823592:823611|offset_40|444444,823567:823586|offset_65|444444,823547:823566|offset_85|00cc00&amp;v=823416:823766&amp;c=444444", "offset 85")</f>
        <v>offset 85</v>
      </c>
    </row>
    <row r="2772" customFormat="false" ht="12.8" hidden="false" customHeight="false" outlineLevel="0" collapsed="false">
      <c r="A2772" s="0" t="s">
        <v>12</v>
      </c>
      <c r="B2772" s="0" t="n">
        <v>824913</v>
      </c>
      <c r="C2772" s="0" t="n">
        <v>824933</v>
      </c>
      <c r="D2772" s="0" t="s">
        <v>9236</v>
      </c>
      <c r="E2772" s="0" t="s">
        <v>89</v>
      </c>
      <c r="F2772" s="0" t="s">
        <v>90</v>
      </c>
      <c r="G2772" s="0" t="s">
        <v>26</v>
      </c>
      <c r="H2772" s="0" t="n">
        <v>0</v>
      </c>
      <c r="I2772" s="0" t="s">
        <v>9237</v>
      </c>
      <c r="J2772" s="0" t="s">
        <v>9238</v>
      </c>
      <c r="K2772" s="0" t="s">
        <v>9239</v>
      </c>
      <c r="L2772" s="0" t="str">
        <f aca="false">HYPERLINK("https://www.ncbi.nlm.nih.gov/nuccore/CP000304.1?report=graph&amp;tracks=[key:gene_model_track,Options:GeneOnly]&amp;mk=824914:824933|offset_0|00cc00,824894:824913|offset_20|444444,824858:824877|offset_56|444444,824834:824853|offset_80|444444&amp;v=824713:825053&amp;c=444444", "offset 0")</f>
        <v>offset 0</v>
      </c>
    </row>
    <row r="2773" customFormat="false" ht="12.8" hidden="false" customHeight="false" outlineLevel="0" collapsed="false">
      <c r="A2773" s="0" t="s">
        <v>12</v>
      </c>
      <c r="B2773" s="0" t="n">
        <v>824893</v>
      </c>
      <c r="C2773" s="0" t="n">
        <v>824913</v>
      </c>
      <c r="D2773" s="0" t="s">
        <v>9236</v>
      </c>
      <c r="E2773" s="0" t="s">
        <v>89</v>
      </c>
      <c r="F2773" s="0" t="s">
        <v>90</v>
      </c>
      <c r="G2773" s="0" t="s">
        <v>16</v>
      </c>
      <c r="H2773" s="0" t="n">
        <v>20</v>
      </c>
      <c r="I2773" s="0" t="s">
        <v>9240</v>
      </c>
      <c r="J2773" s="0" t="s">
        <v>9241</v>
      </c>
      <c r="K2773" s="0" t="s">
        <v>9242</v>
      </c>
      <c r="L2773" s="0" t="str">
        <f aca="false">HYPERLINK("https://www.ncbi.nlm.nih.gov/nuccore/CP000304.1?report=graph&amp;tracks=[key:gene_model_track,Options:GeneOnly]&amp;mk=824914:824933|offset_0|444444,824894:824913|offset_20|00cc00,824858:824877|offset_56|444444,824834:824853|offset_80|444444&amp;v=824713:825053&amp;c=444444", "offset 20")</f>
        <v>offset 20</v>
      </c>
    </row>
    <row r="2774" customFormat="false" ht="12.8" hidden="false" customHeight="false" outlineLevel="0" collapsed="false">
      <c r="A2774" s="0" t="s">
        <v>12</v>
      </c>
      <c r="B2774" s="0" t="n">
        <v>824857</v>
      </c>
      <c r="C2774" s="0" t="n">
        <v>824877</v>
      </c>
      <c r="D2774" s="0" t="s">
        <v>9236</v>
      </c>
      <c r="E2774" s="0" t="s">
        <v>89</v>
      </c>
      <c r="F2774" s="0" t="s">
        <v>90</v>
      </c>
      <c r="G2774" s="0" t="s">
        <v>16</v>
      </c>
      <c r="H2774" s="0" t="n">
        <v>56</v>
      </c>
      <c r="I2774" s="0" t="s">
        <v>9243</v>
      </c>
      <c r="J2774" s="0" t="s">
        <v>9244</v>
      </c>
      <c r="K2774" s="0" t="s">
        <v>9245</v>
      </c>
      <c r="L2774" s="0" t="str">
        <f aca="false">HYPERLINK("https://www.ncbi.nlm.nih.gov/nuccore/CP000304.1?report=graph&amp;tracks=[key:gene_model_track,Options:GeneOnly]&amp;mk=824914:824933|offset_0|444444,824894:824913|offset_20|444444,824858:824877|offset_56|00cc00,824834:824853|offset_80|444444&amp;v=824713:825053&amp;c=444444", "offset 56")</f>
        <v>offset 56</v>
      </c>
    </row>
    <row r="2775" customFormat="false" ht="12.8" hidden="false" customHeight="false" outlineLevel="0" collapsed="false">
      <c r="A2775" s="0" t="s">
        <v>12</v>
      </c>
      <c r="B2775" s="0" t="n">
        <v>824833</v>
      </c>
      <c r="C2775" s="0" t="n">
        <v>824853</v>
      </c>
      <c r="D2775" s="0" t="s">
        <v>9236</v>
      </c>
      <c r="E2775" s="0" t="s">
        <v>89</v>
      </c>
      <c r="F2775" s="0" t="s">
        <v>90</v>
      </c>
      <c r="G2775" s="0" t="s">
        <v>16</v>
      </c>
      <c r="H2775" s="0" t="n">
        <v>80</v>
      </c>
      <c r="I2775" s="0" t="s">
        <v>9246</v>
      </c>
      <c r="J2775" s="0" t="s">
        <v>9247</v>
      </c>
      <c r="K2775" s="0" t="s">
        <v>9248</v>
      </c>
      <c r="L2775" s="0" t="str">
        <f aca="false">HYPERLINK("https://www.ncbi.nlm.nih.gov/nuccore/CP000304.1?report=graph&amp;tracks=[key:gene_model_track,Options:GeneOnly]&amp;mk=824914:824933|offset_0|444444,824894:824913|offset_20|444444,824858:824877|offset_56|444444,824834:824853|offset_80|00cc00&amp;v=824713:825053&amp;c=444444", "offset 80")</f>
        <v>offset 80</v>
      </c>
    </row>
    <row r="2776" customFormat="false" ht="12.8" hidden="false" customHeight="false" outlineLevel="0" collapsed="false">
      <c r="A2776" s="0" t="s">
        <v>12</v>
      </c>
      <c r="B2776" s="0" t="n">
        <v>826771</v>
      </c>
      <c r="C2776" s="0" t="n">
        <v>826791</v>
      </c>
      <c r="D2776" s="0" t="s">
        <v>9249</v>
      </c>
      <c r="E2776" s="0" t="s">
        <v>9250</v>
      </c>
      <c r="F2776" s="0" t="s">
        <v>90</v>
      </c>
      <c r="G2776" s="0" t="s">
        <v>36</v>
      </c>
      <c r="H2776" s="0" t="n">
        <v>18</v>
      </c>
      <c r="I2776" s="0" t="s">
        <v>9251</v>
      </c>
      <c r="J2776" s="0" t="s">
        <v>9252</v>
      </c>
      <c r="K2776" s="0" t="s">
        <v>9253</v>
      </c>
      <c r="L2776" s="0" t="str">
        <f aca="false">HYPERLINK("https://www.ncbi.nlm.nih.gov/nuccore/CP000304.1?report=graph&amp;tracks=[key:gene_model_track,Options:GeneOnly]&amp;mk=826772:826791|offset_18|00cc00,826750:826769|offset_40|444444,826723:826742|offset_67|444444,826700:826719|offset_90|444444&amp;v=826571:826919&amp;c=444444", "offset 18")</f>
        <v>offset 18</v>
      </c>
    </row>
    <row r="2777" customFormat="false" ht="12.8" hidden="false" customHeight="false" outlineLevel="0" collapsed="false">
      <c r="A2777" s="0" t="s">
        <v>12</v>
      </c>
      <c r="B2777" s="0" t="n">
        <v>826749</v>
      </c>
      <c r="C2777" s="0" t="n">
        <v>826769</v>
      </c>
      <c r="D2777" s="0" t="s">
        <v>9249</v>
      </c>
      <c r="E2777" s="0" t="s">
        <v>9250</v>
      </c>
      <c r="F2777" s="0" t="s">
        <v>90</v>
      </c>
      <c r="G2777" s="0" t="s">
        <v>16</v>
      </c>
      <c r="H2777" s="0" t="n">
        <v>40</v>
      </c>
      <c r="I2777" s="0" t="s">
        <v>9254</v>
      </c>
      <c r="J2777" s="0" t="s">
        <v>9255</v>
      </c>
      <c r="K2777" s="0" t="s">
        <v>9256</v>
      </c>
      <c r="L2777" s="0" t="str">
        <f aca="false">HYPERLINK("https://www.ncbi.nlm.nih.gov/nuccore/CP000304.1?report=graph&amp;tracks=[key:gene_model_track,Options:GeneOnly]&amp;mk=826772:826791|offset_18|444444,826750:826769|offset_40|00cc00,826723:826742|offset_67|444444,826700:826719|offset_90|444444&amp;v=826571:826919&amp;c=444444", "offset 40")</f>
        <v>offset 40</v>
      </c>
    </row>
    <row r="2778" customFormat="false" ht="12.8" hidden="false" customHeight="false" outlineLevel="0" collapsed="false">
      <c r="A2778" s="0" t="s">
        <v>12</v>
      </c>
      <c r="B2778" s="0" t="n">
        <v>826722</v>
      </c>
      <c r="C2778" s="0" t="n">
        <v>826742</v>
      </c>
      <c r="D2778" s="0" t="s">
        <v>9249</v>
      </c>
      <c r="E2778" s="0" t="s">
        <v>9250</v>
      </c>
      <c r="F2778" s="0" t="s">
        <v>90</v>
      </c>
      <c r="G2778" s="0" t="s">
        <v>32</v>
      </c>
      <c r="H2778" s="0" t="n">
        <v>67</v>
      </c>
      <c r="I2778" s="0" t="s">
        <v>9257</v>
      </c>
      <c r="J2778" s="0" t="s">
        <v>9258</v>
      </c>
      <c r="K2778" s="0" t="s">
        <v>9259</v>
      </c>
      <c r="L2778" s="0" t="str">
        <f aca="false">HYPERLINK("https://www.ncbi.nlm.nih.gov/nuccore/CP000304.1?report=graph&amp;tracks=[key:gene_model_track,Options:GeneOnly]&amp;mk=826772:826791|offset_18|444444,826750:826769|offset_40|444444,826723:826742|offset_67|00cc00,826700:826719|offset_90|444444&amp;v=826571:826919&amp;c=444444", "offset 67")</f>
        <v>offset 67</v>
      </c>
    </row>
    <row r="2779" customFormat="false" ht="12.8" hidden="false" customHeight="false" outlineLevel="0" collapsed="false">
      <c r="A2779" s="0" t="s">
        <v>12</v>
      </c>
      <c r="B2779" s="0" t="n">
        <v>826699</v>
      </c>
      <c r="C2779" s="0" t="n">
        <v>826719</v>
      </c>
      <c r="D2779" s="0" t="s">
        <v>9249</v>
      </c>
      <c r="E2779" s="0" t="s">
        <v>9250</v>
      </c>
      <c r="F2779" s="0" t="s">
        <v>90</v>
      </c>
      <c r="G2779" s="0" t="s">
        <v>16</v>
      </c>
      <c r="H2779" s="0" t="n">
        <v>90</v>
      </c>
      <c r="I2779" s="0" t="s">
        <v>9260</v>
      </c>
      <c r="J2779" s="0" t="s">
        <v>9261</v>
      </c>
      <c r="K2779" s="0" t="s">
        <v>9262</v>
      </c>
      <c r="L2779" s="0" t="str">
        <f aca="false">HYPERLINK("https://www.ncbi.nlm.nih.gov/nuccore/CP000304.1?report=graph&amp;tracks=[key:gene_model_track,Options:GeneOnly]&amp;mk=826772:826791|offset_18|444444,826750:826769|offset_40|444444,826723:826742|offset_67|444444,826700:826719|offset_90|00cc00&amp;v=826571:826919&amp;c=444444", "offset 90")</f>
        <v>offset 90</v>
      </c>
    </row>
    <row r="2780" customFormat="false" ht="12.8" hidden="false" customHeight="false" outlineLevel="0" collapsed="false">
      <c r="A2780" s="0" t="s">
        <v>12</v>
      </c>
      <c r="B2780" s="0" t="n">
        <v>827512</v>
      </c>
      <c r="C2780" s="0" t="n">
        <v>827532</v>
      </c>
      <c r="D2780" s="0" t="s">
        <v>9263</v>
      </c>
      <c r="E2780" s="0" t="s">
        <v>89</v>
      </c>
      <c r="F2780" s="0" t="s">
        <v>90</v>
      </c>
      <c r="G2780" s="0" t="s">
        <v>16</v>
      </c>
      <c r="H2780" s="0" t="n">
        <v>7</v>
      </c>
      <c r="I2780" s="0" t="s">
        <v>9264</v>
      </c>
      <c r="J2780" s="0" t="s">
        <v>9265</v>
      </c>
      <c r="K2780" s="0" t="s">
        <v>9266</v>
      </c>
      <c r="L2780" s="0" t="str">
        <f aca="false">HYPERLINK("https://www.ncbi.nlm.nih.gov/nuccore/CP000304.1?report=graph&amp;tracks=[key:gene_model_track,Options:GeneOnly]&amp;mk=827513:827532|offset_7|00cc00,827493:827512|offset_27|444444,827443:827462|offset_77|444444,827423:827442|offset_97|444444&amp;v=827312:827642&amp;c=444444", "offset 7")</f>
        <v>offset 7</v>
      </c>
    </row>
    <row r="2781" customFormat="false" ht="12.8" hidden="false" customHeight="false" outlineLevel="0" collapsed="false">
      <c r="A2781" s="0" t="s">
        <v>12</v>
      </c>
      <c r="B2781" s="0" t="n">
        <v>827492</v>
      </c>
      <c r="C2781" s="0" t="n">
        <v>827512</v>
      </c>
      <c r="D2781" s="0" t="s">
        <v>9263</v>
      </c>
      <c r="E2781" s="0" t="s">
        <v>89</v>
      </c>
      <c r="F2781" s="0" t="s">
        <v>90</v>
      </c>
      <c r="G2781" s="0" t="s">
        <v>16</v>
      </c>
      <c r="H2781" s="0" t="n">
        <v>27</v>
      </c>
      <c r="I2781" s="0" t="s">
        <v>9267</v>
      </c>
      <c r="J2781" s="0" t="s">
        <v>9268</v>
      </c>
      <c r="K2781" s="0" t="s">
        <v>9269</v>
      </c>
      <c r="L2781" s="0" t="str">
        <f aca="false">HYPERLINK("https://www.ncbi.nlm.nih.gov/nuccore/CP000304.1?report=graph&amp;tracks=[key:gene_model_track,Options:GeneOnly]&amp;mk=827513:827532|offset_7|444444,827493:827512|offset_27|00cc00,827443:827462|offset_77|444444,827423:827442|offset_97|444444&amp;v=827312:827642&amp;c=444444", "offset 27")</f>
        <v>offset 27</v>
      </c>
    </row>
    <row r="2782" customFormat="false" ht="12.8" hidden="false" customHeight="false" outlineLevel="0" collapsed="false">
      <c r="A2782" s="0" t="s">
        <v>12</v>
      </c>
      <c r="B2782" s="0" t="n">
        <v>827442</v>
      </c>
      <c r="C2782" s="0" t="n">
        <v>827462</v>
      </c>
      <c r="D2782" s="0" t="s">
        <v>9263</v>
      </c>
      <c r="E2782" s="0" t="s">
        <v>89</v>
      </c>
      <c r="F2782" s="0" t="s">
        <v>90</v>
      </c>
      <c r="G2782" s="0" t="s">
        <v>16</v>
      </c>
      <c r="H2782" s="0" t="n">
        <v>77</v>
      </c>
      <c r="I2782" s="0" t="s">
        <v>9270</v>
      </c>
      <c r="J2782" s="0" t="s">
        <v>9271</v>
      </c>
      <c r="K2782" s="0" t="s">
        <v>9272</v>
      </c>
      <c r="L2782" s="0" t="str">
        <f aca="false">HYPERLINK("https://www.ncbi.nlm.nih.gov/nuccore/CP000304.1?report=graph&amp;tracks=[key:gene_model_track,Options:GeneOnly]&amp;mk=827513:827532|offset_7|444444,827493:827512|offset_27|444444,827443:827462|offset_77|00cc00,827423:827442|offset_97|444444&amp;v=827312:827642&amp;c=444444", "offset 77")</f>
        <v>offset 77</v>
      </c>
    </row>
    <row r="2783" customFormat="false" ht="12.8" hidden="false" customHeight="false" outlineLevel="0" collapsed="false">
      <c r="A2783" s="0" t="s">
        <v>12</v>
      </c>
      <c r="B2783" s="0" t="n">
        <v>827422</v>
      </c>
      <c r="C2783" s="0" t="n">
        <v>827442</v>
      </c>
      <c r="D2783" s="0" t="s">
        <v>9263</v>
      </c>
      <c r="E2783" s="0" t="s">
        <v>89</v>
      </c>
      <c r="F2783" s="0" t="s">
        <v>90</v>
      </c>
      <c r="G2783" s="0" t="s">
        <v>32</v>
      </c>
      <c r="H2783" s="0" t="n">
        <v>97</v>
      </c>
      <c r="I2783" s="0" t="s">
        <v>9273</v>
      </c>
      <c r="J2783" s="0" t="s">
        <v>9274</v>
      </c>
      <c r="K2783" s="0" t="s">
        <v>9275</v>
      </c>
      <c r="L2783" s="0" t="str">
        <f aca="false">HYPERLINK("https://www.ncbi.nlm.nih.gov/nuccore/CP000304.1?report=graph&amp;tracks=[key:gene_model_track,Options:GeneOnly]&amp;mk=827513:827532|offset_7|444444,827493:827512|offset_27|444444,827443:827462|offset_77|444444,827423:827442|offset_97|00cc00&amp;v=827312:827642&amp;c=444444", "offset 97")</f>
        <v>offset 97</v>
      </c>
    </row>
    <row r="2784" customFormat="false" ht="12.8" hidden="false" customHeight="false" outlineLevel="0" collapsed="false">
      <c r="A2784" s="0" t="s">
        <v>12</v>
      </c>
      <c r="B2784" s="0" t="n">
        <v>828336</v>
      </c>
      <c r="C2784" s="0" t="n">
        <v>828356</v>
      </c>
      <c r="D2784" s="0" t="s">
        <v>9276</v>
      </c>
      <c r="E2784" s="0" t="s">
        <v>9277</v>
      </c>
      <c r="F2784" s="0" t="s">
        <v>90</v>
      </c>
      <c r="G2784" s="0" t="s">
        <v>32</v>
      </c>
      <c r="H2784" s="0" t="n">
        <v>7</v>
      </c>
      <c r="I2784" s="0" t="s">
        <v>9278</v>
      </c>
      <c r="J2784" s="0" t="s">
        <v>9279</v>
      </c>
      <c r="K2784" s="0" t="s">
        <v>9280</v>
      </c>
      <c r="L2784" s="0" t="str">
        <f aca="false">HYPERLINK("https://www.ncbi.nlm.nih.gov/nuccore/CP000304.1?report=graph&amp;tracks=[key:gene_model_track,Options:GeneOnly]&amp;mk=828337:828356|offset_7|00cc00,828306:828325|offset_38|444444,828264:828283|offset_80|444444,828238:828257|offset_106|444444&amp;v=828136:828457&amp;c=444444", "offset 7")</f>
        <v>offset 7</v>
      </c>
    </row>
    <row r="2785" customFormat="false" ht="12.8" hidden="false" customHeight="false" outlineLevel="0" collapsed="false">
      <c r="A2785" s="0" t="s">
        <v>12</v>
      </c>
      <c r="B2785" s="0" t="n">
        <v>828305</v>
      </c>
      <c r="C2785" s="0" t="n">
        <v>828325</v>
      </c>
      <c r="D2785" s="0" t="s">
        <v>9276</v>
      </c>
      <c r="E2785" s="0" t="s">
        <v>9277</v>
      </c>
      <c r="F2785" s="0" t="s">
        <v>90</v>
      </c>
      <c r="G2785" s="0" t="s">
        <v>26</v>
      </c>
      <c r="H2785" s="0" t="n">
        <v>38</v>
      </c>
      <c r="I2785" s="0" t="s">
        <v>9281</v>
      </c>
      <c r="J2785" s="0" t="s">
        <v>9282</v>
      </c>
      <c r="K2785" s="0" t="s">
        <v>9283</v>
      </c>
      <c r="L2785" s="0" t="str">
        <f aca="false">HYPERLINK("https://www.ncbi.nlm.nih.gov/nuccore/CP000304.1?report=graph&amp;tracks=[key:gene_model_track,Options:GeneOnly]&amp;mk=828337:828356|offset_7|444444,828306:828325|offset_38|00cc00,828264:828283|offset_80|444444,828238:828257|offset_106|444444&amp;v=828136:828457&amp;c=444444", "offset 38")</f>
        <v>offset 38</v>
      </c>
    </row>
    <row r="2786" customFormat="false" ht="12.8" hidden="false" customHeight="false" outlineLevel="0" collapsed="false">
      <c r="A2786" s="0" t="s">
        <v>12</v>
      </c>
      <c r="B2786" s="0" t="n">
        <v>828263</v>
      </c>
      <c r="C2786" s="0" t="n">
        <v>828283</v>
      </c>
      <c r="D2786" s="0" t="s">
        <v>9276</v>
      </c>
      <c r="E2786" s="0" t="s">
        <v>9277</v>
      </c>
      <c r="F2786" s="0" t="s">
        <v>90</v>
      </c>
      <c r="G2786" s="0" t="s">
        <v>36</v>
      </c>
      <c r="H2786" s="0" t="n">
        <v>80</v>
      </c>
      <c r="I2786" s="0" t="s">
        <v>9284</v>
      </c>
      <c r="J2786" s="0" t="s">
        <v>9285</v>
      </c>
      <c r="K2786" s="0" t="s">
        <v>9286</v>
      </c>
      <c r="L2786" s="0" t="str">
        <f aca="false">HYPERLINK("https://www.ncbi.nlm.nih.gov/nuccore/CP000304.1?report=graph&amp;tracks=[key:gene_model_track,Options:GeneOnly]&amp;mk=828337:828356|offset_7|444444,828306:828325|offset_38|444444,828264:828283|offset_80|00cc00,828238:828257|offset_106|444444&amp;v=828136:828457&amp;c=444444", "offset 80")</f>
        <v>offset 80</v>
      </c>
    </row>
    <row r="2787" customFormat="false" ht="12.8" hidden="false" customHeight="false" outlineLevel="0" collapsed="false">
      <c r="A2787" s="0" t="s">
        <v>12</v>
      </c>
      <c r="B2787" s="0" t="n">
        <v>828237</v>
      </c>
      <c r="C2787" s="0" t="n">
        <v>828257</v>
      </c>
      <c r="D2787" s="0" t="s">
        <v>9276</v>
      </c>
      <c r="E2787" s="0" t="s">
        <v>9277</v>
      </c>
      <c r="F2787" s="0" t="s">
        <v>90</v>
      </c>
      <c r="G2787" s="0" t="s">
        <v>16</v>
      </c>
      <c r="H2787" s="0" t="n">
        <v>106</v>
      </c>
      <c r="I2787" s="0" t="s">
        <v>9287</v>
      </c>
      <c r="J2787" s="0" t="s">
        <v>9288</v>
      </c>
      <c r="K2787" s="0" t="s">
        <v>9289</v>
      </c>
      <c r="L2787" s="0" t="str">
        <f aca="false">HYPERLINK("https://www.ncbi.nlm.nih.gov/nuccore/CP000304.1?report=graph&amp;tracks=[key:gene_model_track,Options:GeneOnly]&amp;mk=828337:828356|offset_7|444444,828306:828325|offset_38|444444,828264:828283|offset_80|444444,828238:828257|offset_106|00cc00&amp;v=828136:828457&amp;c=444444", "offset 106")</f>
        <v>offset 106</v>
      </c>
    </row>
    <row r="2788" customFormat="false" ht="12.8" hidden="false" customHeight="false" outlineLevel="0" collapsed="false">
      <c r="A2788" s="0" t="s">
        <v>12</v>
      </c>
      <c r="B2788" s="0" t="n">
        <v>828722</v>
      </c>
      <c r="C2788" s="0" t="n">
        <v>828742</v>
      </c>
      <c r="D2788" s="0" t="s">
        <v>9290</v>
      </c>
      <c r="E2788" s="0" t="s">
        <v>9291</v>
      </c>
      <c r="F2788" s="0" t="s">
        <v>90</v>
      </c>
      <c r="G2788" s="0" t="s">
        <v>32</v>
      </c>
      <c r="H2788" s="0" t="n">
        <v>1</v>
      </c>
      <c r="I2788" s="0" t="s">
        <v>9292</v>
      </c>
      <c r="J2788" s="0" t="s">
        <v>9293</v>
      </c>
      <c r="K2788" s="0" t="s">
        <v>9294</v>
      </c>
      <c r="L2788" s="0" t="str">
        <f aca="false">HYPERLINK("https://www.ncbi.nlm.nih.gov/nuccore/CP000304.1?report=graph&amp;tracks=[key:gene_model_track,Options:GeneOnly]&amp;mk=828723:828742|offset_1|00cc00,828701:828720|offset_23|444444,828679:828698|offset_45|444444,828657:828676|offset_67|444444&amp;v=828522:828876&amp;c=444444", "offset 1")</f>
        <v>offset 1</v>
      </c>
    </row>
    <row r="2789" customFormat="false" ht="12.8" hidden="false" customHeight="false" outlineLevel="0" collapsed="false">
      <c r="A2789" s="0" t="s">
        <v>12</v>
      </c>
      <c r="B2789" s="0" t="n">
        <v>828700</v>
      </c>
      <c r="C2789" s="0" t="n">
        <v>828720</v>
      </c>
      <c r="D2789" s="0" t="s">
        <v>9290</v>
      </c>
      <c r="E2789" s="0" t="s">
        <v>9291</v>
      </c>
      <c r="F2789" s="0" t="s">
        <v>90</v>
      </c>
      <c r="G2789" s="0" t="s">
        <v>16</v>
      </c>
      <c r="H2789" s="0" t="n">
        <v>23</v>
      </c>
      <c r="I2789" s="0" t="s">
        <v>9295</v>
      </c>
      <c r="J2789" s="0" t="s">
        <v>9296</v>
      </c>
      <c r="K2789" s="0" t="s">
        <v>9297</v>
      </c>
      <c r="L2789" s="0" t="str">
        <f aca="false">HYPERLINK("https://www.ncbi.nlm.nih.gov/nuccore/CP000304.1?report=graph&amp;tracks=[key:gene_model_track,Options:GeneOnly]&amp;mk=828723:828742|offset_1|444444,828701:828720|offset_23|00cc00,828679:828698|offset_45|444444,828657:828676|offset_67|444444&amp;v=828522:828876&amp;c=444444", "offset 23")</f>
        <v>offset 23</v>
      </c>
    </row>
    <row r="2790" customFormat="false" ht="12.8" hidden="false" customHeight="false" outlineLevel="0" collapsed="false">
      <c r="A2790" s="0" t="s">
        <v>12</v>
      </c>
      <c r="B2790" s="0" t="n">
        <v>828678</v>
      </c>
      <c r="C2790" s="0" t="n">
        <v>828698</v>
      </c>
      <c r="D2790" s="0" t="s">
        <v>9290</v>
      </c>
      <c r="E2790" s="0" t="s">
        <v>9291</v>
      </c>
      <c r="F2790" s="0" t="s">
        <v>90</v>
      </c>
      <c r="G2790" s="0" t="s">
        <v>36</v>
      </c>
      <c r="H2790" s="0" t="n">
        <v>45</v>
      </c>
      <c r="I2790" s="0" t="s">
        <v>9298</v>
      </c>
      <c r="J2790" s="0" t="s">
        <v>9299</v>
      </c>
      <c r="K2790" s="0" t="s">
        <v>9300</v>
      </c>
      <c r="L2790" s="0" t="str">
        <f aca="false">HYPERLINK("https://www.ncbi.nlm.nih.gov/nuccore/CP000304.1?report=graph&amp;tracks=[key:gene_model_track,Options:GeneOnly]&amp;mk=828723:828742|offset_1|444444,828701:828720|offset_23|444444,828679:828698|offset_45|00cc00,828657:828676|offset_67|444444&amp;v=828522:828876&amp;c=444444", "offset 45")</f>
        <v>offset 45</v>
      </c>
    </row>
    <row r="2791" customFormat="false" ht="12.8" hidden="false" customHeight="false" outlineLevel="0" collapsed="false">
      <c r="A2791" s="0" t="s">
        <v>12</v>
      </c>
      <c r="B2791" s="0" t="n">
        <v>828656</v>
      </c>
      <c r="C2791" s="0" t="n">
        <v>828676</v>
      </c>
      <c r="D2791" s="0" t="s">
        <v>9290</v>
      </c>
      <c r="E2791" s="0" t="s">
        <v>9291</v>
      </c>
      <c r="F2791" s="0" t="s">
        <v>90</v>
      </c>
      <c r="G2791" s="0" t="s">
        <v>16</v>
      </c>
      <c r="H2791" s="0" t="n">
        <v>67</v>
      </c>
      <c r="I2791" s="0" t="s">
        <v>9301</v>
      </c>
      <c r="J2791" s="0" t="s">
        <v>9302</v>
      </c>
      <c r="K2791" s="0" t="s">
        <v>9303</v>
      </c>
      <c r="L2791" s="0" t="str">
        <f aca="false">HYPERLINK("https://www.ncbi.nlm.nih.gov/nuccore/CP000304.1?report=graph&amp;tracks=[key:gene_model_track,Options:GeneOnly]&amp;mk=828723:828742|offset_1|444444,828701:828720|offset_23|444444,828679:828698|offset_45|444444,828657:828676|offset_67|00cc00&amp;v=828522:828876&amp;c=444444", "offset 67")</f>
        <v>offset 67</v>
      </c>
    </row>
    <row r="2792" customFormat="false" ht="12.8" hidden="false" customHeight="false" outlineLevel="0" collapsed="false">
      <c r="A2792" s="0" t="s">
        <v>12</v>
      </c>
      <c r="B2792" s="0" t="n">
        <v>829544</v>
      </c>
      <c r="C2792" s="0" t="n">
        <v>829564</v>
      </c>
      <c r="D2792" s="0" t="s">
        <v>9304</v>
      </c>
      <c r="E2792" s="0" t="s">
        <v>9305</v>
      </c>
      <c r="F2792" s="0" t="s">
        <v>90</v>
      </c>
      <c r="G2792" s="0" t="s">
        <v>16</v>
      </c>
      <c r="H2792" s="0" t="n">
        <v>7</v>
      </c>
      <c r="I2792" s="0" t="s">
        <v>9306</v>
      </c>
      <c r="J2792" s="0" t="s">
        <v>9307</v>
      </c>
      <c r="K2792" s="0" t="s">
        <v>9308</v>
      </c>
      <c r="L2792" s="0" t="str">
        <f aca="false">HYPERLINK("https://www.ncbi.nlm.nih.gov/nuccore/CP000304.1?report=graph&amp;tracks=[key:gene_model_track,Options:GeneOnly]&amp;mk=829545:829564|offset_7|00cc00,829511:829530|offset_41|444444,829491:829510|offset_61|444444,829460:829479|offset_92|444444&amp;v=829344:829679&amp;c=444444", "offset 7")</f>
        <v>offset 7</v>
      </c>
    </row>
    <row r="2793" customFormat="false" ht="12.8" hidden="false" customHeight="false" outlineLevel="0" collapsed="false">
      <c r="A2793" s="0" t="s">
        <v>12</v>
      </c>
      <c r="B2793" s="0" t="n">
        <v>829510</v>
      </c>
      <c r="C2793" s="0" t="n">
        <v>829530</v>
      </c>
      <c r="D2793" s="0" t="s">
        <v>9304</v>
      </c>
      <c r="E2793" s="0" t="s">
        <v>9305</v>
      </c>
      <c r="F2793" s="0" t="s">
        <v>90</v>
      </c>
      <c r="G2793" s="0" t="s">
        <v>32</v>
      </c>
      <c r="H2793" s="0" t="n">
        <v>41</v>
      </c>
      <c r="I2793" s="0" t="s">
        <v>9309</v>
      </c>
      <c r="J2793" s="0" t="s">
        <v>9310</v>
      </c>
      <c r="K2793" s="0" t="s">
        <v>9311</v>
      </c>
      <c r="L2793" s="0" t="str">
        <f aca="false">HYPERLINK("https://www.ncbi.nlm.nih.gov/nuccore/CP000304.1?report=graph&amp;tracks=[key:gene_model_track,Options:GeneOnly]&amp;mk=829545:829564|offset_7|444444,829511:829530|offset_41|00cc00,829491:829510|offset_61|444444,829460:829479|offset_92|444444&amp;v=829344:829679&amp;c=444444", "offset 41")</f>
        <v>offset 41</v>
      </c>
    </row>
    <row r="2794" customFormat="false" ht="12.8" hidden="false" customHeight="false" outlineLevel="0" collapsed="false">
      <c r="A2794" s="0" t="s">
        <v>12</v>
      </c>
      <c r="B2794" s="0" t="n">
        <v>829490</v>
      </c>
      <c r="C2794" s="0" t="n">
        <v>829510</v>
      </c>
      <c r="D2794" s="0" t="s">
        <v>9304</v>
      </c>
      <c r="E2794" s="0" t="s">
        <v>9305</v>
      </c>
      <c r="F2794" s="0" t="s">
        <v>90</v>
      </c>
      <c r="G2794" s="0" t="s">
        <v>16</v>
      </c>
      <c r="H2794" s="0" t="n">
        <v>61</v>
      </c>
      <c r="I2794" s="0" t="s">
        <v>9312</v>
      </c>
      <c r="J2794" s="0" t="s">
        <v>9313</v>
      </c>
      <c r="K2794" s="0" t="s">
        <v>9314</v>
      </c>
      <c r="L2794" s="0" t="str">
        <f aca="false">HYPERLINK("https://www.ncbi.nlm.nih.gov/nuccore/CP000304.1?report=graph&amp;tracks=[key:gene_model_track,Options:GeneOnly]&amp;mk=829545:829564|offset_7|444444,829511:829530|offset_41|444444,829491:829510|offset_61|00cc00,829460:829479|offset_92|444444&amp;v=829344:829679&amp;c=444444", "offset 61")</f>
        <v>offset 61</v>
      </c>
    </row>
    <row r="2795" customFormat="false" ht="12.8" hidden="false" customHeight="false" outlineLevel="0" collapsed="false">
      <c r="A2795" s="0" t="s">
        <v>12</v>
      </c>
      <c r="B2795" s="0" t="n">
        <v>829459</v>
      </c>
      <c r="C2795" s="0" t="n">
        <v>829479</v>
      </c>
      <c r="D2795" s="0" t="s">
        <v>9304</v>
      </c>
      <c r="E2795" s="0" t="s">
        <v>9305</v>
      </c>
      <c r="F2795" s="0" t="s">
        <v>90</v>
      </c>
      <c r="G2795" s="0" t="s">
        <v>32</v>
      </c>
      <c r="H2795" s="0" t="n">
        <v>92</v>
      </c>
      <c r="I2795" s="0" t="s">
        <v>9315</v>
      </c>
      <c r="J2795" s="0" t="s">
        <v>9316</v>
      </c>
      <c r="K2795" s="0" t="s">
        <v>9317</v>
      </c>
      <c r="L2795" s="0" t="str">
        <f aca="false">HYPERLINK("https://www.ncbi.nlm.nih.gov/nuccore/CP000304.1?report=graph&amp;tracks=[key:gene_model_track,Options:GeneOnly]&amp;mk=829545:829564|offset_7|444444,829511:829530|offset_41|444444,829491:829510|offset_61|444444,829460:829479|offset_92|00cc00&amp;v=829344:829679&amp;c=444444", "offset 92")</f>
        <v>offset 92</v>
      </c>
    </row>
    <row r="2796" customFormat="false" ht="12.8" hidden="false" customHeight="false" outlineLevel="0" collapsed="false">
      <c r="A2796" s="0" t="s">
        <v>12</v>
      </c>
      <c r="B2796" s="0" t="n">
        <v>830668</v>
      </c>
      <c r="C2796" s="0" t="n">
        <v>830688</v>
      </c>
      <c r="D2796" s="0" t="s">
        <v>9318</v>
      </c>
      <c r="E2796" s="0" t="s">
        <v>9319</v>
      </c>
      <c r="F2796" s="0" t="s">
        <v>90</v>
      </c>
      <c r="G2796" s="0" t="s">
        <v>36</v>
      </c>
      <c r="H2796" s="0" t="n">
        <v>6</v>
      </c>
      <c r="I2796" s="0" t="s">
        <v>9320</v>
      </c>
      <c r="J2796" s="0" t="s">
        <v>9321</v>
      </c>
      <c r="K2796" s="0" t="s">
        <v>9322</v>
      </c>
      <c r="L2796" s="0" t="str">
        <f aca="false">HYPERLINK("https://www.ncbi.nlm.nih.gov/nuccore/CP000304.1?report=graph&amp;tracks=[key:gene_model_track,Options:GeneOnly]&amp;mk=830669:830688|offset_6|00cc00,830642:830661|offset_33|444444,830619:830638|offset_56|444444,830592:830611|offset_83|444444&amp;v=830468:830811&amp;c=444444", "offset 6")</f>
        <v>offset 6</v>
      </c>
    </row>
    <row r="2797" customFormat="false" ht="12.8" hidden="false" customHeight="false" outlineLevel="0" collapsed="false">
      <c r="A2797" s="0" t="s">
        <v>12</v>
      </c>
      <c r="B2797" s="0" t="n">
        <v>830641</v>
      </c>
      <c r="C2797" s="0" t="n">
        <v>830661</v>
      </c>
      <c r="D2797" s="0" t="s">
        <v>9318</v>
      </c>
      <c r="E2797" s="0" t="s">
        <v>9319</v>
      </c>
      <c r="F2797" s="0" t="s">
        <v>90</v>
      </c>
      <c r="G2797" s="0" t="s">
        <v>36</v>
      </c>
      <c r="H2797" s="0" t="n">
        <v>33</v>
      </c>
      <c r="I2797" s="0" t="s">
        <v>9323</v>
      </c>
      <c r="J2797" s="0" t="s">
        <v>9324</v>
      </c>
      <c r="K2797" s="0" t="s">
        <v>9325</v>
      </c>
      <c r="L2797" s="0" t="str">
        <f aca="false">HYPERLINK("https://www.ncbi.nlm.nih.gov/nuccore/CP000304.1?report=graph&amp;tracks=[key:gene_model_track,Options:GeneOnly]&amp;mk=830669:830688|offset_6|444444,830642:830661|offset_33|00cc00,830619:830638|offset_56|444444,830592:830611|offset_83|444444&amp;v=830468:830811&amp;c=444444", "offset 33")</f>
        <v>offset 33</v>
      </c>
    </row>
    <row r="2798" customFormat="false" ht="12.8" hidden="false" customHeight="false" outlineLevel="0" collapsed="false">
      <c r="A2798" s="0" t="s">
        <v>12</v>
      </c>
      <c r="B2798" s="0" t="n">
        <v>830618</v>
      </c>
      <c r="C2798" s="0" t="n">
        <v>830638</v>
      </c>
      <c r="D2798" s="0" t="s">
        <v>9318</v>
      </c>
      <c r="E2798" s="0" t="s">
        <v>9319</v>
      </c>
      <c r="F2798" s="0" t="s">
        <v>90</v>
      </c>
      <c r="G2798" s="0" t="s">
        <v>36</v>
      </c>
      <c r="H2798" s="0" t="n">
        <v>56</v>
      </c>
      <c r="I2798" s="0" t="s">
        <v>9326</v>
      </c>
      <c r="J2798" s="0" t="s">
        <v>9327</v>
      </c>
      <c r="K2798" s="0" t="s">
        <v>9328</v>
      </c>
      <c r="L2798" s="0" t="str">
        <f aca="false">HYPERLINK("https://www.ncbi.nlm.nih.gov/nuccore/CP000304.1?report=graph&amp;tracks=[key:gene_model_track,Options:GeneOnly]&amp;mk=830669:830688|offset_6|444444,830642:830661|offset_33|444444,830619:830638|offset_56|00cc00,830592:830611|offset_83|444444&amp;v=830468:830811&amp;c=444444", "offset 56")</f>
        <v>offset 56</v>
      </c>
    </row>
    <row r="2799" customFormat="false" ht="12.8" hidden="false" customHeight="false" outlineLevel="0" collapsed="false">
      <c r="A2799" s="0" t="s">
        <v>12</v>
      </c>
      <c r="B2799" s="0" t="n">
        <v>830591</v>
      </c>
      <c r="C2799" s="0" t="n">
        <v>830611</v>
      </c>
      <c r="D2799" s="0" t="s">
        <v>9318</v>
      </c>
      <c r="E2799" s="0" t="s">
        <v>9319</v>
      </c>
      <c r="F2799" s="0" t="s">
        <v>90</v>
      </c>
      <c r="G2799" s="0" t="s">
        <v>32</v>
      </c>
      <c r="H2799" s="0" t="n">
        <v>83</v>
      </c>
      <c r="I2799" s="0" t="s">
        <v>9329</v>
      </c>
      <c r="J2799" s="0" t="s">
        <v>9330</v>
      </c>
      <c r="K2799" s="0" t="s">
        <v>9331</v>
      </c>
      <c r="L2799" s="0" t="str">
        <f aca="false">HYPERLINK("https://www.ncbi.nlm.nih.gov/nuccore/CP000304.1?report=graph&amp;tracks=[key:gene_model_track,Options:GeneOnly]&amp;mk=830669:830688|offset_6|444444,830642:830661|offset_33|444444,830619:830638|offset_56|444444,830592:830611|offset_83|00cc00&amp;v=830468:830811&amp;c=444444", "offset 83")</f>
        <v>offset 83</v>
      </c>
    </row>
    <row r="2800" customFormat="false" ht="12.8" hidden="false" customHeight="false" outlineLevel="0" collapsed="false">
      <c r="A2800" s="0" t="s">
        <v>12</v>
      </c>
      <c r="B2800" s="0" t="n">
        <v>832059</v>
      </c>
      <c r="C2800" s="0" t="n">
        <v>832079</v>
      </c>
      <c r="D2800" s="0" t="s">
        <v>9332</v>
      </c>
      <c r="E2800" s="0" t="s">
        <v>9333</v>
      </c>
      <c r="F2800" s="0" t="s">
        <v>90</v>
      </c>
      <c r="G2800" s="0" t="s">
        <v>36</v>
      </c>
      <c r="H2800" s="0" t="n">
        <v>80</v>
      </c>
      <c r="I2800" s="0" t="s">
        <v>9334</v>
      </c>
      <c r="J2800" s="0" t="s">
        <v>9335</v>
      </c>
      <c r="K2800" s="0" t="s">
        <v>9336</v>
      </c>
      <c r="L2800" s="0" t="str">
        <f aca="false">HYPERLINK("https://www.ncbi.nlm.nih.gov/nuccore/CP000304.1?report=graph&amp;tracks=[key:gene_model_track,Options:GeneOnly]&amp;mk=832060:832079|offset_80|00cc00,832021:832040|offset_119|444444,832001:832020|offset_139|444444,831940:831959|offset_200|444444&amp;v=831859:832159&amp;c=444444", "offset 80")</f>
        <v>offset 80</v>
      </c>
    </row>
    <row r="2801" customFormat="false" ht="12.8" hidden="false" customHeight="false" outlineLevel="0" collapsed="false">
      <c r="A2801" s="0" t="s">
        <v>12</v>
      </c>
      <c r="B2801" s="0" t="n">
        <v>832020</v>
      </c>
      <c r="C2801" s="0" t="n">
        <v>832040</v>
      </c>
      <c r="D2801" s="0" t="s">
        <v>9332</v>
      </c>
      <c r="E2801" s="0" t="s">
        <v>9333</v>
      </c>
      <c r="F2801" s="0" t="s">
        <v>90</v>
      </c>
      <c r="G2801" s="0" t="s">
        <v>26</v>
      </c>
      <c r="H2801" s="0" t="n">
        <v>119</v>
      </c>
      <c r="I2801" s="0" t="s">
        <v>9337</v>
      </c>
      <c r="J2801" s="0" t="s">
        <v>9338</v>
      </c>
      <c r="K2801" s="0" t="s">
        <v>9339</v>
      </c>
      <c r="L2801" s="0" t="str">
        <f aca="false">HYPERLINK("https://www.ncbi.nlm.nih.gov/nuccore/CP000304.1?report=graph&amp;tracks=[key:gene_model_track,Options:GeneOnly]&amp;mk=832060:832079|offset_80|444444,832021:832040|offset_119|00cc00,832001:832020|offset_139|444444,831940:831959|offset_200|444444&amp;v=831859:832159&amp;c=444444", "offset 119")</f>
        <v>offset 119</v>
      </c>
    </row>
    <row r="2802" customFormat="false" ht="12.8" hidden="false" customHeight="false" outlineLevel="0" collapsed="false">
      <c r="A2802" s="0" t="s">
        <v>12</v>
      </c>
      <c r="B2802" s="0" t="n">
        <v>832000</v>
      </c>
      <c r="C2802" s="0" t="n">
        <v>832020</v>
      </c>
      <c r="D2802" s="0" t="s">
        <v>9332</v>
      </c>
      <c r="E2802" s="0" t="s">
        <v>9333</v>
      </c>
      <c r="F2802" s="0" t="s">
        <v>90</v>
      </c>
      <c r="G2802" s="0" t="s">
        <v>36</v>
      </c>
      <c r="H2802" s="0" t="n">
        <v>139</v>
      </c>
      <c r="I2802" s="0" t="s">
        <v>9340</v>
      </c>
      <c r="J2802" s="0" t="s">
        <v>9341</v>
      </c>
      <c r="K2802" s="0" t="s">
        <v>9342</v>
      </c>
      <c r="L2802" s="0" t="str">
        <f aca="false">HYPERLINK("https://www.ncbi.nlm.nih.gov/nuccore/CP000304.1?report=graph&amp;tracks=[key:gene_model_track,Options:GeneOnly]&amp;mk=832060:832079|offset_80|444444,832021:832040|offset_119|444444,832001:832020|offset_139|00cc00,831940:831959|offset_200|444444&amp;v=831859:832159&amp;c=444444", "offset 139")</f>
        <v>offset 139</v>
      </c>
    </row>
    <row r="2803" customFormat="false" ht="12.8" hidden="false" customHeight="false" outlineLevel="0" collapsed="false">
      <c r="A2803" s="0" t="s">
        <v>12</v>
      </c>
      <c r="B2803" s="0" t="n">
        <v>831939</v>
      </c>
      <c r="C2803" s="0" t="n">
        <v>831959</v>
      </c>
      <c r="D2803" s="0" t="s">
        <v>9332</v>
      </c>
      <c r="E2803" s="0" t="s">
        <v>9333</v>
      </c>
      <c r="F2803" s="0" t="s">
        <v>90</v>
      </c>
      <c r="G2803" s="0" t="s">
        <v>32</v>
      </c>
      <c r="H2803" s="0" t="n">
        <v>200</v>
      </c>
      <c r="I2803" s="0" t="s">
        <v>9343</v>
      </c>
      <c r="J2803" s="0" t="s">
        <v>9344</v>
      </c>
      <c r="K2803" s="0" t="s">
        <v>9345</v>
      </c>
      <c r="L2803" s="0" t="str">
        <f aca="false">HYPERLINK("https://www.ncbi.nlm.nih.gov/nuccore/CP000304.1?report=graph&amp;tracks=[key:gene_model_track,Options:GeneOnly]&amp;mk=832060:832079|offset_80|444444,832021:832040|offset_119|444444,832001:832020|offset_139|444444,831940:831959|offset_200|00cc00&amp;v=831859:832159&amp;c=444444", "offset 200")</f>
        <v>offset 200</v>
      </c>
    </row>
    <row r="2804" customFormat="false" ht="12.8" hidden="false" customHeight="false" outlineLevel="0" collapsed="false">
      <c r="A2804" s="0" t="s">
        <v>12</v>
      </c>
      <c r="B2804" s="0" t="n">
        <v>834883</v>
      </c>
      <c r="C2804" s="0" t="n">
        <v>834903</v>
      </c>
      <c r="D2804" s="0" t="s">
        <v>9346</v>
      </c>
      <c r="E2804" s="0" t="s">
        <v>9347</v>
      </c>
      <c r="F2804" s="0" t="s">
        <v>90</v>
      </c>
      <c r="G2804" s="0" t="s">
        <v>16</v>
      </c>
      <c r="H2804" s="0" t="n">
        <v>11</v>
      </c>
      <c r="I2804" s="0" t="s">
        <v>9348</v>
      </c>
      <c r="J2804" s="0" t="s">
        <v>9349</v>
      </c>
      <c r="K2804" s="0" t="s">
        <v>9350</v>
      </c>
      <c r="L2804" s="0" t="str">
        <f aca="false">HYPERLINK("https://www.ncbi.nlm.nih.gov/nuccore/CP000304.1?report=graph&amp;tracks=[key:gene_model_track,Options:GeneOnly]&amp;mk=834884:834903|offset_11|00cc00,834845:834864|offset_50|444444,834824:834843|offset_71|444444,834787:834806|offset_108|444444&amp;v=834683:835006&amp;c=444444", "offset 11")</f>
        <v>offset 11</v>
      </c>
    </row>
    <row r="2805" customFormat="false" ht="12.8" hidden="false" customHeight="false" outlineLevel="0" collapsed="false">
      <c r="A2805" s="0" t="s">
        <v>12</v>
      </c>
      <c r="B2805" s="0" t="n">
        <v>834844</v>
      </c>
      <c r="C2805" s="0" t="n">
        <v>834864</v>
      </c>
      <c r="D2805" s="0" t="s">
        <v>9346</v>
      </c>
      <c r="E2805" s="0" t="s">
        <v>9347</v>
      </c>
      <c r="F2805" s="0" t="s">
        <v>90</v>
      </c>
      <c r="G2805" s="0" t="s">
        <v>36</v>
      </c>
      <c r="H2805" s="0" t="n">
        <v>50</v>
      </c>
      <c r="I2805" s="0" t="s">
        <v>9351</v>
      </c>
      <c r="J2805" s="0" t="s">
        <v>9352</v>
      </c>
      <c r="K2805" s="0" t="s">
        <v>9353</v>
      </c>
      <c r="L2805" s="0" t="str">
        <f aca="false">HYPERLINK("https://www.ncbi.nlm.nih.gov/nuccore/CP000304.1?report=graph&amp;tracks=[key:gene_model_track,Options:GeneOnly]&amp;mk=834884:834903|offset_11|444444,834845:834864|offset_50|00cc00,834824:834843|offset_71|444444,834787:834806|offset_108|444444&amp;v=834683:835006&amp;c=444444", "offset 50")</f>
        <v>offset 50</v>
      </c>
    </row>
    <row r="2806" customFormat="false" ht="12.8" hidden="false" customHeight="false" outlineLevel="0" collapsed="false">
      <c r="A2806" s="0" t="s">
        <v>12</v>
      </c>
      <c r="B2806" s="0" t="n">
        <v>834823</v>
      </c>
      <c r="C2806" s="0" t="n">
        <v>834843</v>
      </c>
      <c r="D2806" s="0" t="s">
        <v>9346</v>
      </c>
      <c r="E2806" s="0" t="s">
        <v>9347</v>
      </c>
      <c r="F2806" s="0" t="s">
        <v>90</v>
      </c>
      <c r="G2806" s="0" t="s">
        <v>36</v>
      </c>
      <c r="H2806" s="0" t="n">
        <v>71</v>
      </c>
      <c r="I2806" s="0" t="s">
        <v>9354</v>
      </c>
      <c r="J2806" s="0" t="s">
        <v>9355</v>
      </c>
      <c r="K2806" s="0" t="s">
        <v>9356</v>
      </c>
      <c r="L2806" s="0" t="str">
        <f aca="false">HYPERLINK("https://www.ncbi.nlm.nih.gov/nuccore/CP000304.1?report=graph&amp;tracks=[key:gene_model_track,Options:GeneOnly]&amp;mk=834884:834903|offset_11|444444,834845:834864|offset_50|444444,834824:834843|offset_71|00cc00,834787:834806|offset_108|444444&amp;v=834683:835006&amp;c=444444", "offset 71")</f>
        <v>offset 71</v>
      </c>
    </row>
    <row r="2807" customFormat="false" ht="12.8" hidden="false" customHeight="false" outlineLevel="0" collapsed="false">
      <c r="A2807" s="0" t="s">
        <v>12</v>
      </c>
      <c r="B2807" s="0" t="n">
        <v>834786</v>
      </c>
      <c r="C2807" s="0" t="n">
        <v>834806</v>
      </c>
      <c r="D2807" s="0" t="s">
        <v>9346</v>
      </c>
      <c r="E2807" s="0" t="s">
        <v>9347</v>
      </c>
      <c r="F2807" s="0" t="s">
        <v>90</v>
      </c>
      <c r="G2807" s="0" t="s">
        <v>16</v>
      </c>
      <c r="H2807" s="0" t="n">
        <v>108</v>
      </c>
      <c r="I2807" s="0" t="s">
        <v>9357</v>
      </c>
      <c r="J2807" s="0" t="s">
        <v>9358</v>
      </c>
      <c r="K2807" s="0" t="s">
        <v>9359</v>
      </c>
      <c r="L2807" s="0" t="str">
        <f aca="false">HYPERLINK("https://www.ncbi.nlm.nih.gov/nuccore/CP000304.1?report=graph&amp;tracks=[key:gene_model_track,Options:GeneOnly]&amp;mk=834884:834903|offset_11|444444,834845:834864|offset_50|444444,834824:834843|offset_71|444444,834787:834806|offset_108|00cc00&amp;v=834683:835006&amp;c=444444", "offset 108")</f>
        <v>offset 108</v>
      </c>
    </row>
    <row r="2808" customFormat="false" ht="12.8" hidden="false" customHeight="false" outlineLevel="0" collapsed="false">
      <c r="A2808" s="0" t="s">
        <v>12</v>
      </c>
      <c r="B2808" s="0" t="n">
        <v>835016</v>
      </c>
      <c r="C2808" s="0" t="n">
        <v>835036</v>
      </c>
      <c r="D2808" s="0" t="s">
        <v>9360</v>
      </c>
      <c r="E2808" s="0" t="s">
        <v>89</v>
      </c>
      <c r="F2808" s="0" t="s">
        <v>15</v>
      </c>
      <c r="G2808" s="0" t="s">
        <v>16</v>
      </c>
      <c r="H2808" s="0" t="n">
        <v>6</v>
      </c>
      <c r="I2808" s="0" t="s">
        <v>9361</v>
      </c>
      <c r="J2808" s="0" t="s">
        <v>9362</v>
      </c>
      <c r="K2808" s="0" t="s">
        <v>9363</v>
      </c>
      <c r="L2808" s="0" t="str">
        <f aca="false">HYPERLINK("https://www.ncbi.nlm.nih.gov/nuccore/CP000304.1?report=graph&amp;tracks=[key:gene_model_track,Options:GeneOnly]&amp;mk=835017:835036|offset_6|00cc00,835043:835062|offset_32|444444,835071:835090|offset_60|444444,835107:835126|offset_96|444444&amp;v=834816:835326&amp;c=444444", "offset 6")</f>
        <v>offset 6</v>
      </c>
    </row>
    <row r="2809" customFormat="false" ht="12.8" hidden="false" customHeight="false" outlineLevel="0" collapsed="false">
      <c r="A2809" s="0" t="s">
        <v>12</v>
      </c>
      <c r="B2809" s="0" t="n">
        <v>835042</v>
      </c>
      <c r="C2809" s="0" t="n">
        <v>835062</v>
      </c>
      <c r="D2809" s="0" t="s">
        <v>9360</v>
      </c>
      <c r="E2809" s="0" t="s">
        <v>89</v>
      </c>
      <c r="F2809" s="0" t="s">
        <v>15</v>
      </c>
      <c r="G2809" s="0" t="s">
        <v>26</v>
      </c>
      <c r="H2809" s="0" t="n">
        <v>32</v>
      </c>
      <c r="I2809" s="0" t="s">
        <v>9364</v>
      </c>
      <c r="J2809" s="0" t="s">
        <v>9365</v>
      </c>
      <c r="K2809" s="0" t="s">
        <v>9366</v>
      </c>
      <c r="L2809" s="0" t="str">
        <f aca="false">HYPERLINK("https://www.ncbi.nlm.nih.gov/nuccore/CP000304.1?report=graph&amp;tracks=[key:gene_model_track,Options:GeneOnly]&amp;mk=835017:835036|offset_6|444444,835043:835062|offset_32|00cc00,835071:835090|offset_60|444444,835107:835126|offset_96|444444&amp;v=834816:835326&amp;c=444444", "offset 32")</f>
        <v>offset 32</v>
      </c>
    </row>
    <row r="2810" customFormat="false" ht="12.8" hidden="false" customHeight="false" outlineLevel="0" collapsed="false">
      <c r="A2810" s="0" t="s">
        <v>12</v>
      </c>
      <c r="B2810" s="0" t="n">
        <v>835070</v>
      </c>
      <c r="C2810" s="0" t="n">
        <v>835090</v>
      </c>
      <c r="D2810" s="0" t="s">
        <v>9360</v>
      </c>
      <c r="E2810" s="0" t="s">
        <v>89</v>
      </c>
      <c r="F2810" s="0" t="s">
        <v>15</v>
      </c>
      <c r="G2810" s="0" t="s">
        <v>16</v>
      </c>
      <c r="H2810" s="0" t="n">
        <v>60</v>
      </c>
      <c r="I2810" s="0" t="s">
        <v>9367</v>
      </c>
      <c r="J2810" s="0" t="s">
        <v>9368</v>
      </c>
      <c r="K2810" s="0" t="s">
        <v>9369</v>
      </c>
      <c r="L2810" s="0" t="str">
        <f aca="false">HYPERLINK("https://www.ncbi.nlm.nih.gov/nuccore/CP000304.1?report=graph&amp;tracks=[key:gene_model_track,Options:GeneOnly]&amp;mk=835017:835036|offset_6|444444,835043:835062|offset_32|444444,835071:835090|offset_60|00cc00,835107:835126|offset_96|444444&amp;v=834816:835326&amp;c=444444", "offset 60")</f>
        <v>offset 60</v>
      </c>
    </row>
    <row r="2811" customFormat="false" ht="12.8" hidden="false" customHeight="false" outlineLevel="0" collapsed="false">
      <c r="A2811" s="0" t="s">
        <v>12</v>
      </c>
      <c r="B2811" s="0" t="n">
        <v>835106</v>
      </c>
      <c r="C2811" s="0" t="n">
        <v>835126</v>
      </c>
      <c r="D2811" s="0" t="s">
        <v>9360</v>
      </c>
      <c r="E2811" s="0" t="s">
        <v>89</v>
      </c>
      <c r="F2811" s="0" t="s">
        <v>15</v>
      </c>
      <c r="G2811" s="0" t="s">
        <v>16</v>
      </c>
      <c r="H2811" s="0" t="n">
        <v>96</v>
      </c>
      <c r="I2811" s="0" t="s">
        <v>9370</v>
      </c>
      <c r="J2811" s="0" t="s">
        <v>9371</v>
      </c>
      <c r="K2811" s="0" t="s">
        <v>9372</v>
      </c>
      <c r="L2811" s="0" t="str">
        <f aca="false">HYPERLINK("https://www.ncbi.nlm.nih.gov/nuccore/CP000304.1?report=graph&amp;tracks=[key:gene_model_track,Options:GeneOnly]&amp;mk=835017:835036|offset_6|444444,835043:835062|offset_32|444444,835071:835090|offset_60|444444,835107:835126|offset_96|00cc00&amp;v=834816:835326&amp;c=444444", "offset 96")</f>
        <v>offset 96</v>
      </c>
    </row>
    <row r="2812" customFormat="false" ht="12.8" hidden="false" customHeight="false" outlineLevel="0" collapsed="false">
      <c r="A2812" s="0" t="s">
        <v>12</v>
      </c>
      <c r="B2812" s="0" t="n">
        <v>836036</v>
      </c>
      <c r="C2812" s="0" t="n">
        <v>836056</v>
      </c>
      <c r="D2812" s="0" t="s">
        <v>9373</v>
      </c>
      <c r="E2812" s="0" t="s">
        <v>89</v>
      </c>
      <c r="F2812" s="0" t="s">
        <v>15</v>
      </c>
      <c r="G2812" s="0" t="s">
        <v>32</v>
      </c>
      <c r="H2812" s="0" t="n">
        <v>10</v>
      </c>
      <c r="I2812" s="0" t="s">
        <v>9374</v>
      </c>
      <c r="J2812" s="0" t="s">
        <v>9375</v>
      </c>
      <c r="K2812" s="0" t="s">
        <v>9376</v>
      </c>
      <c r="L2812" s="0" t="str">
        <f aca="false">HYPERLINK("https://www.ncbi.nlm.nih.gov/nuccore/CP000304.1?report=graph&amp;tracks=[key:gene_model_track,Options:GeneOnly]&amp;mk=836037:836056|offset_10|00cc00,836068:836087|offset_41|444444,836094:836113|offset_67|444444,836115:836134|offset_88|444444&amp;v=835836:836334&amp;c=444444", "offset 10")</f>
        <v>offset 10</v>
      </c>
    </row>
    <row r="2813" customFormat="false" ht="12.8" hidden="false" customHeight="false" outlineLevel="0" collapsed="false">
      <c r="A2813" s="0" t="s">
        <v>12</v>
      </c>
      <c r="B2813" s="0" t="n">
        <v>836067</v>
      </c>
      <c r="C2813" s="0" t="n">
        <v>836087</v>
      </c>
      <c r="D2813" s="0" t="s">
        <v>9373</v>
      </c>
      <c r="E2813" s="0" t="s">
        <v>89</v>
      </c>
      <c r="F2813" s="0" t="s">
        <v>15</v>
      </c>
      <c r="G2813" s="0" t="s">
        <v>26</v>
      </c>
      <c r="H2813" s="0" t="n">
        <v>41</v>
      </c>
      <c r="I2813" s="0" t="s">
        <v>9377</v>
      </c>
      <c r="J2813" s="0" t="s">
        <v>9378</v>
      </c>
      <c r="K2813" s="0" t="s">
        <v>9379</v>
      </c>
      <c r="L2813" s="0" t="str">
        <f aca="false">HYPERLINK("https://www.ncbi.nlm.nih.gov/nuccore/CP000304.1?report=graph&amp;tracks=[key:gene_model_track,Options:GeneOnly]&amp;mk=836037:836056|offset_10|444444,836068:836087|offset_41|00cc00,836094:836113|offset_67|444444,836115:836134|offset_88|444444&amp;v=835836:836334&amp;c=444444", "offset 41")</f>
        <v>offset 41</v>
      </c>
    </row>
    <row r="2814" customFormat="false" ht="12.8" hidden="false" customHeight="false" outlineLevel="0" collapsed="false">
      <c r="A2814" s="0" t="s">
        <v>12</v>
      </c>
      <c r="B2814" s="0" t="n">
        <v>836093</v>
      </c>
      <c r="C2814" s="0" t="n">
        <v>836113</v>
      </c>
      <c r="D2814" s="0" t="s">
        <v>9373</v>
      </c>
      <c r="E2814" s="0" t="s">
        <v>89</v>
      </c>
      <c r="F2814" s="0" t="s">
        <v>15</v>
      </c>
      <c r="G2814" s="0" t="s">
        <v>32</v>
      </c>
      <c r="H2814" s="0" t="n">
        <v>67</v>
      </c>
      <c r="I2814" s="0" t="s">
        <v>9380</v>
      </c>
      <c r="J2814" s="0" t="s">
        <v>9381</v>
      </c>
      <c r="K2814" s="0" t="s">
        <v>9382</v>
      </c>
      <c r="L2814" s="0" t="str">
        <f aca="false">HYPERLINK("https://www.ncbi.nlm.nih.gov/nuccore/CP000304.1?report=graph&amp;tracks=[key:gene_model_track,Options:GeneOnly]&amp;mk=836037:836056|offset_10|444444,836068:836087|offset_41|444444,836094:836113|offset_67|00cc00,836115:836134|offset_88|444444&amp;v=835836:836334&amp;c=444444", "offset 67")</f>
        <v>offset 67</v>
      </c>
    </row>
    <row r="2815" customFormat="false" ht="12.8" hidden="false" customHeight="false" outlineLevel="0" collapsed="false">
      <c r="A2815" s="0" t="s">
        <v>12</v>
      </c>
      <c r="B2815" s="0" t="n">
        <v>836114</v>
      </c>
      <c r="C2815" s="0" t="n">
        <v>836134</v>
      </c>
      <c r="D2815" s="0" t="s">
        <v>9373</v>
      </c>
      <c r="E2815" s="0" t="s">
        <v>89</v>
      </c>
      <c r="F2815" s="0" t="s">
        <v>15</v>
      </c>
      <c r="G2815" s="0" t="s">
        <v>16</v>
      </c>
      <c r="H2815" s="0" t="n">
        <v>88</v>
      </c>
      <c r="I2815" s="0" t="s">
        <v>9383</v>
      </c>
      <c r="J2815" s="0" t="s">
        <v>9384</v>
      </c>
      <c r="K2815" s="0" t="s">
        <v>9385</v>
      </c>
      <c r="L2815" s="0" t="str">
        <f aca="false">HYPERLINK("https://www.ncbi.nlm.nih.gov/nuccore/CP000304.1?report=graph&amp;tracks=[key:gene_model_track,Options:GeneOnly]&amp;mk=836037:836056|offset_10|444444,836068:836087|offset_41|444444,836094:836113|offset_67|444444,836115:836134|offset_88|00cc00&amp;v=835836:836334&amp;c=444444", "offset 88")</f>
        <v>offset 88</v>
      </c>
    </row>
    <row r="2816" customFormat="false" ht="12.8" hidden="false" customHeight="false" outlineLevel="0" collapsed="false">
      <c r="A2816" s="0" t="s">
        <v>12</v>
      </c>
      <c r="B2816" s="0" t="n">
        <v>836711</v>
      </c>
      <c r="C2816" s="0" t="n">
        <v>836731</v>
      </c>
      <c r="D2816" s="0" t="s">
        <v>9386</v>
      </c>
      <c r="E2816" s="0" t="s">
        <v>9387</v>
      </c>
      <c r="F2816" s="0" t="s">
        <v>15</v>
      </c>
      <c r="G2816" s="0" t="s">
        <v>36</v>
      </c>
      <c r="H2816" s="0" t="n">
        <v>12</v>
      </c>
      <c r="I2816" s="0" t="s">
        <v>9388</v>
      </c>
      <c r="J2816" s="0" t="s">
        <v>9389</v>
      </c>
      <c r="K2816" s="0" t="s">
        <v>9390</v>
      </c>
      <c r="L2816" s="0" t="str">
        <f aca="false">HYPERLINK("https://www.ncbi.nlm.nih.gov/nuccore/CP000304.1?report=graph&amp;tracks=[key:gene_model_track,Options:GeneOnly]&amp;mk=836712:836731|offset_12|00cc00,836752:836771|offset_52|444444,836789:836808|offset_89|444444,836831:836850|offset_131|444444&amp;v=836511:837050&amp;c=444444", "offset 12")</f>
        <v>offset 12</v>
      </c>
    </row>
    <row r="2817" customFormat="false" ht="12.8" hidden="false" customHeight="false" outlineLevel="0" collapsed="false">
      <c r="A2817" s="0" t="s">
        <v>12</v>
      </c>
      <c r="B2817" s="0" t="n">
        <v>836751</v>
      </c>
      <c r="C2817" s="0" t="n">
        <v>836771</v>
      </c>
      <c r="D2817" s="0" t="s">
        <v>9386</v>
      </c>
      <c r="E2817" s="0" t="s">
        <v>9387</v>
      </c>
      <c r="F2817" s="0" t="s">
        <v>15</v>
      </c>
      <c r="G2817" s="0" t="s">
        <v>32</v>
      </c>
      <c r="H2817" s="0" t="n">
        <v>52</v>
      </c>
      <c r="I2817" s="0" t="s">
        <v>9391</v>
      </c>
      <c r="J2817" s="0" t="s">
        <v>9392</v>
      </c>
      <c r="K2817" s="0" t="s">
        <v>9393</v>
      </c>
      <c r="L2817" s="0" t="str">
        <f aca="false">HYPERLINK("https://www.ncbi.nlm.nih.gov/nuccore/CP000304.1?report=graph&amp;tracks=[key:gene_model_track,Options:GeneOnly]&amp;mk=836712:836731|offset_12|444444,836752:836771|offset_52|00cc00,836789:836808|offset_89|444444,836831:836850|offset_131|444444&amp;v=836511:837050&amp;c=444444", "offset 52")</f>
        <v>offset 52</v>
      </c>
    </row>
    <row r="2818" customFormat="false" ht="12.8" hidden="false" customHeight="false" outlineLevel="0" collapsed="false">
      <c r="A2818" s="0" t="s">
        <v>12</v>
      </c>
      <c r="B2818" s="0" t="n">
        <v>836788</v>
      </c>
      <c r="C2818" s="0" t="n">
        <v>836808</v>
      </c>
      <c r="D2818" s="0" t="s">
        <v>9386</v>
      </c>
      <c r="E2818" s="0" t="s">
        <v>9387</v>
      </c>
      <c r="F2818" s="0" t="s">
        <v>15</v>
      </c>
      <c r="G2818" s="0" t="s">
        <v>32</v>
      </c>
      <c r="H2818" s="0" t="n">
        <v>89</v>
      </c>
      <c r="I2818" s="0" t="s">
        <v>9394</v>
      </c>
      <c r="J2818" s="0" t="s">
        <v>9395</v>
      </c>
      <c r="K2818" s="0" t="s">
        <v>9396</v>
      </c>
      <c r="L2818" s="0" t="str">
        <f aca="false">HYPERLINK("https://www.ncbi.nlm.nih.gov/nuccore/CP000304.1?report=graph&amp;tracks=[key:gene_model_track,Options:GeneOnly]&amp;mk=836712:836731|offset_12|444444,836752:836771|offset_52|444444,836789:836808|offset_89|00cc00,836831:836850|offset_131|444444&amp;v=836511:837050&amp;c=444444", "offset 89")</f>
        <v>offset 89</v>
      </c>
    </row>
    <row r="2819" customFormat="false" ht="12.8" hidden="false" customHeight="false" outlineLevel="0" collapsed="false">
      <c r="A2819" s="0" t="s">
        <v>12</v>
      </c>
      <c r="B2819" s="0" t="n">
        <v>836830</v>
      </c>
      <c r="C2819" s="0" t="n">
        <v>836850</v>
      </c>
      <c r="D2819" s="0" t="s">
        <v>9386</v>
      </c>
      <c r="E2819" s="0" t="s">
        <v>9387</v>
      </c>
      <c r="F2819" s="0" t="s">
        <v>15</v>
      </c>
      <c r="G2819" s="0" t="s">
        <v>26</v>
      </c>
      <c r="H2819" s="0" t="n">
        <v>131</v>
      </c>
      <c r="I2819" s="0" t="s">
        <v>9397</v>
      </c>
      <c r="J2819" s="0" t="s">
        <v>9398</v>
      </c>
      <c r="K2819" s="0" t="s">
        <v>9399</v>
      </c>
      <c r="L2819" s="0" t="str">
        <f aca="false">HYPERLINK("https://www.ncbi.nlm.nih.gov/nuccore/CP000304.1?report=graph&amp;tracks=[key:gene_model_track,Options:GeneOnly]&amp;mk=836712:836731|offset_12|444444,836752:836771|offset_52|444444,836789:836808|offset_89|444444,836831:836850|offset_131|00cc00&amp;v=836511:837050&amp;c=444444", "offset 131")</f>
        <v>offset 131</v>
      </c>
    </row>
    <row r="2820" customFormat="false" ht="12.8" hidden="false" customHeight="false" outlineLevel="0" collapsed="false">
      <c r="A2820" s="0" t="s">
        <v>12</v>
      </c>
      <c r="B2820" s="0" t="n">
        <v>838463</v>
      </c>
      <c r="C2820" s="0" t="n">
        <v>838483</v>
      </c>
      <c r="D2820" s="0" t="s">
        <v>9400</v>
      </c>
      <c r="E2820" s="0" t="s">
        <v>89</v>
      </c>
      <c r="F2820" s="0" t="s">
        <v>90</v>
      </c>
      <c r="G2820" s="0" t="s">
        <v>36</v>
      </c>
      <c r="H2820" s="0" t="n">
        <v>0</v>
      </c>
      <c r="I2820" s="0" t="s">
        <v>9401</v>
      </c>
      <c r="J2820" s="0" t="s">
        <v>9402</v>
      </c>
      <c r="K2820" s="0" t="s">
        <v>9403</v>
      </c>
      <c r="L2820" s="0" t="str">
        <f aca="false">HYPERLINK("https://www.ncbi.nlm.nih.gov/nuccore/CP000304.1?report=graph&amp;tracks=[key:gene_model_track,Options:GeneOnly]&amp;mk=838464:838483|offset_0|00cc00,838408:838427|offset_56|444444,838388:838407|offset_76|444444,838359:838378|offset_105|444444&amp;v=838263:838578&amp;c=444444", "offset 0")</f>
        <v>offset 0</v>
      </c>
    </row>
    <row r="2821" customFormat="false" ht="12.8" hidden="false" customHeight="false" outlineLevel="0" collapsed="false">
      <c r="A2821" s="0" t="s">
        <v>12</v>
      </c>
      <c r="B2821" s="0" t="n">
        <v>838407</v>
      </c>
      <c r="C2821" s="0" t="n">
        <v>838427</v>
      </c>
      <c r="D2821" s="0" t="s">
        <v>9400</v>
      </c>
      <c r="E2821" s="0" t="s">
        <v>89</v>
      </c>
      <c r="F2821" s="0" t="s">
        <v>90</v>
      </c>
      <c r="G2821" s="0" t="s">
        <v>26</v>
      </c>
      <c r="H2821" s="0" t="n">
        <v>56</v>
      </c>
      <c r="I2821" s="0" t="s">
        <v>9404</v>
      </c>
      <c r="J2821" s="0" t="s">
        <v>9405</v>
      </c>
      <c r="K2821" s="0" t="s">
        <v>9406</v>
      </c>
      <c r="L2821" s="0" t="str">
        <f aca="false">HYPERLINK("https://www.ncbi.nlm.nih.gov/nuccore/CP000304.1?report=graph&amp;tracks=[key:gene_model_track,Options:GeneOnly]&amp;mk=838464:838483|offset_0|444444,838408:838427|offset_56|00cc00,838388:838407|offset_76|444444,838359:838378|offset_105|444444&amp;v=838263:838578&amp;c=444444", "offset 56")</f>
        <v>offset 56</v>
      </c>
    </row>
    <row r="2822" customFormat="false" ht="12.8" hidden="false" customHeight="false" outlineLevel="0" collapsed="false">
      <c r="A2822" s="0" t="s">
        <v>12</v>
      </c>
      <c r="B2822" s="0" t="n">
        <v>838387</v>
      </c>
      <c r="C2822" s="0" t="n">
        <v>838407</v>
      </c>
      <c r="D2822" s="0" t="s">
        <v>9400</v>
      </c>
      <c r="E2822" s="0" t="s">
        <v>89</v>
      </c>
      <c r="F2822" s="0" t="s">
        <v>90</v>
      </c>
      <c r="G2822" s="0" t="s">
        <v>36</v>
      </c>
      <c r="H2822" s="0" t="n">
        <v>76</v>
      </c>
      <c r="I2822" s="0" t="s">
        <v>9407</v>
      </c>
      <c r="J2822" s="0" t="s">
        <v>9408</v>
      </c>
      <c r="K2822" s="0" t="s">
        <v>9409</v>
      </c>
      <c r="L2822" s="0" t="str">
        <f aca="false">HYPERLINK("https://www.ncbi.nlm.nih.gov/nuccore/CP000304.1?report=graph&amp;tracks=[key:gene_model_track,Options:GeneOnly]&amp;mk=838464:838483|offset_0|444444,838408:838427|offset_56|444444,838388:838407|offset_76|00cc00,838359:838378|offset_105|444444&amp;v=838263:838578&amp;c=444444", "offset 76")</f>
        <v>offset 76</v>
      </c>
    </row>
    <row r="2823" customFormat="false" ht="12.8" hidden="false" customHeight="false" outlineLevel="0" collapsed="false">
      <c r="A2823" s="0" t="s">
        <v>12</v>
      </c>
      <c r="B2823" s="0" t="n">
        <v>838358</v>
      </c>
      <c r="C2823" s="0" t="n">
        <v>838378</v>
      </c>
      <c r="D2823" s="0" t="s">
        <v>9400</v>
      </c>
      <c r="E2823" s="0" t="s">
        <v>89</v>
      </c>
      <c r="F2823" s="0" t="s">
        <v>90</v>
      </c>
      <c r="G2823" s="0" t="s">
        <v>16</v>
      </c>
      <c r="H2823" s="0" t="n">
        <v>105</v>
      </c>
      <c r="I2823" s="0" t="s">
        <v>9410</v>
      </c>
      <c r="J2823" s="0" t="s">
        <v>9411</v>
      </c>
      <c r="K2823" s="0" t="s">
        <v>9412</v>
      </c>
      <c r="L2823" s="0" t="str">
        <f aca="false">HYPERLINK("https://www.ncbi.nlm.nih.gov/nuccore/CP000304.1?report=graph&amp;tracks=[key:gene_model_track,Options:GeneOnly]&amp;mk=838464:838483|offset_0|444444,838408:838427|offset_56|444444,838388:838407|offset_76|444444,838359:838378|offset_105|00cc00&amp;v=838263:838578&amp;c=444444", "offset 105")</f>
        <v>offset 105</v>
      </c>
    </row>
    <row r="2824" customFormat="false" ht="12.8" hidden="false" customHeight="false" outlineLevel="0" collapsed="false">
      <c r="A2824" s="0" t="s">
        <v>12</v>
      </c>
      <c r="B2824" s="0" t="n">
        <v>838722</v>
      </c>
      <c r="C2824" s="0" t="n">
        <v>838742</v>
      </c>
      <c r="D2824" s="0" t="s">
        <v>9413</v>
      </c>
      <c r="E2824" s="0" t="s">
        <v>89</v>
      </c>
      <c r="F2824" s="0" t="s">
        <v>15</v>
      </c>
      <c r="G2824" s="0" t="s">
        <v>16</v>
      </c>
      <c r="H2824" s="0" t="n">
        <v>12</v>
      </c>
      <c r="I2824" s="0" t="s">
        <v>9414</v>
      </c>
      <c r="J2824" s="0" t="s">
        <v>9415</v>
      </c>
      <c r="K2824" s="0" t="s">
        <v>9416</v>
      </c>
      <c r="L2824" s="0" t="str">
        <f aca="false">HYPERLINK("https://www.ncbi.nlm.nih.gov/nuccore/CP000304.1?report=graph&amp;tracks=[key:gene_model_track,Options:GeneOnly]&amp;mk=838723:838742|offset_12|00cc00,838755:838774|offset_44|444444,838793:838812|offset_82|444444,838824:838843|offset_113|444444&amp;v=838522:839043&amp;c=444444", "offset 12")</f>
        <v>offset 12</v>
      </c>
    </row>
    <row r="2825" customFormat="false" ht="12.8" hidden="false" customHeight="false" outlineLevel="0" collapsed="false">
      <c r="A2825" s="0" t="s">
        <v>12</v>
      </c>
      <c r="B2825" s="0" t="n">
        <v>838754</v>
      </c>
      <c r="C2825" s="0" t="n">
        <v>838774</v>
      </c>
      <c r="D2825" s="0" t="s">
        <v>9413</v>
      </c>
      <c r="E2825" s="0" t="s">
        <v>89</v>
      </c>
      <c r="F2825" s="0" t="s">
        <v>15</v>
      </c>
      <c r="G2825" s="0" t="s">
        <v>26</v>
      </c>
      <c r="H2825" s="0" t="n">
        <v>44</v>
      </c>
      <c r="I2825" s="0" t="s">
        <v>9417</v>
      </c>
      <c r="J2825" s="0" t="s">
        <v>9418</v>
      </c>
      <c r="K2825" s="0" t="s">
        <v>9419</v>
      </c>
      <c r="L2825" s="0" t="str">
        <f aca="false">HYPERLINK("https://www.ncbi.nlm.nih.gov/nuccore/CP000304.1?report=graph&amp;tracks=[key:gene_model_track,Options:GeneOnly]&amp;mk=838723:838742|offset_12|444444,838755:838774|offset_44|00cc00,838793:838812|offset_82|444444,838824:838843|offset_113|444444&amp;v=838522:839043&amp;c=444444", "offset 44")</f>
        <v>offset 44</v>
      </c>
    </row>
    <row r="2826" customFormat="false" ht="12.8" hidden="false" customHeight="false" outlineLevel="0" collapsed="false">
      <c r="A2826" s="0" t="s">
        <v>12</v>
      </c>
      <c r="B2826" s="0" t="n">
        <v>838792</v>
      </c>
      <c r="C2826" s="0" t="n">
        <v>838812</v>
      </c>
      <c r="D2826" s="0" t="s">
        <v>9413</v>
      </c>
      <c r="E2826" s="0" t="s">
        <v>89</v>
      </c>
      <c r="F2826" s="0" t="s">
        <v>15</v>
      </c>
      <c r="G2826" s="0" t="s">
        <v>16</v>
      </c>
      <c r="H2826" s="0" t="n">
        <v>82</v>
      </c>
      <c r="I2826" s="0" t="s">
        <v>9420</v>
      </c>
      <c r="J2826" s="0" t="s">
        <v>9421</v>
      </c>
      <c r="K2826" s="0" t="s">
        <v>9422</v>
      </c>
      <c r="L2826" s="0" t="str">
        <f aca="false">HYPERLINK("https://www.ncbi.nlm.nih.gov/nuccore/CP000304.1?report=graph&amp;tracks=[key:gene_model_track,Options:GeneOnly]&amp;mk=838723:838742|offset_12|444444,838755:838774|offset_44|444444,838793:838812|offset_82|00cc00,838824:838843|offset_113|444444&amp;v=838522:839043&amp;c=444444", "offset 82")</f>
        <v>offset 82</v>
      </c>
    </row>
    <row r="2827" customFormat="false" ht="12.8" hidden="false" customHeight="false" outlineLevel="0" collapsed="false">
      <c r="A2827" s="0" t="s">
        <v>12</v>
      </c>
      <c r="B2827" s="0" t="n">
        <v>838823</v>
      </c>
      <c r="C2827" s="0" t="n">
        <v>838843</v>
      </c>
      <c r="D2827" s="0" t="s">
        <v>9413</v>
      </c>
      <c r="E2827" s="0" t="s">
        <v>89</v>
      </c>
      <c r="F2827" s="0" t="s">
        <v>15</v>
      </c>
      <c r="G2827" s="0" t="s">
        <v>16</v>
      </c>
      <c r="H2827" s="0" t="n">
        <v>113</v>
      </c>
      <c r="I2827" s="0" t="s">
        <v>9423</v>
      </c>
      <c r="J2827" s="0" t="s">
        <v>9424</v>
      </c>
      <c r="K2827" s="0" t="s">
        <v>9425</v>
      </c>
      <c r="L2827" s="0" t="str">
        <f aca="false">HYPERLINK("https://www.ncbi.nlm.nih.gov/nuccore/CP000304.1?report=graph&amp;tracks=[key:gene_model_track,Options:GeneOnly]&amp;mk=838723:838742|offset_12|444444,838755:838774|offset_44|444444,838793:838812|offset_82|444444,838824:838843|offset_113|00cc00&amp;v=838522:839043&amp;c=444444", "offset 113")</f>
        <v>offset 113</v>
      </c>
    </row>
    <row r="2828" customFormat="false" ht="12.8" hidden="false" customHeight="false" outlineLevel="0" collapsed="false">
      <c r="A2828" s="0" t="s">
        <v>12</v>
      </c>
      <c r="B2828" s="0" t="n">
        <v>841014</v>
      </c>
      <c r="C2828" s="0" t="n">
        <v>841034</v>
      </c>
      <c r="D2828" s="0" t="s">
        <v>9426</v>
      </c>
      <c r="E2828" s="0" t="s">
        <v>9427</v>
      </c>
      <c r="F2828" s="0" t="s">
        <v>15</v>
      </c>
      <c r="G2828" s="0" t="s">
        <v>16</v>
      </c>
      <c r="H2828" s="0" t="n">
        <v>22</v>
      </c>
      <c r="I2828" s="0" t="s">
        <v>9428</v>
      </c>
      <c r="J2828" s="0" t="s">
        <v>9429</v>
      </c>
      <c r="K2828" s="0" t="s">
        <v>9430</v>
      </c>
      <c r="L2828" s="0" t="str">
        <f aca="false">HYPERLINK("https://www.ncbi.nlm.nih.gov/nuccore/CP000304.1?report=graph&amp;tracks=[key:gene_model_track,Options:GeneOnly]&amp;mk=841015:841034|offset_22|00cc00,841093:841112|offset_100|444444,841157:841176|offset_164|444444,841181:841200|offset_188|444444&amp;v=840814:841400&amp;c=444444", "offset 22")</f>
        <v>offset 22</v>
      </c>
    </row>
    <row r="2829" customFormat="false" ht="12.8" hidden="false" customHeight="false" outlineLevel="0" collapsed="false">
      <c r="A2829" s="0" t="s">
        <v>12</v>
      </c>
      <c r="B2829" s="0" t="n">
        <v>841092</v>
      </c>
      <c r="C2829" s="0" t="n">
        <v>841112</v>
      </c>
      <c r="D2829" s="0" t="s">
        <v>9426</v>
      </c>
      <c r="E2829" s="0" t="s">
        <v>9427</v>
      </c>
      <c r="F2829" s="0" t="s">
        <v>15</v>
      </c>
      <c r="G2829" s="0" t="s">
        <v>16</v>
      </c>
      <c r="H2829" s="0" t="n">
        <v>100</v>
      </c>
      <c r="I2829" s="0" t="s">
        <v>9431</v>
      </c>
      <c r="J2829" s="0" t="s">
        <v>9432</v>
      </c>
      <c r="K2829" s="0" t="s">
        <v>9433</v>
      </c>
      <c r="L2829" s="0" t="str">
        <f aca="false">HYPERLINK("https://www.ncbi.nlm.nih.gov/nuccore/CP000304.1?report=graph&amp;tracks=[key:gene_model_track,Options:GeneOnly]&amp;mk=841015:841034|offset_22|444444,841093:841112|offset_100|00cc00,841157:841176|offset_164|444444,841181:841200|offset_188|444444&amp;v=840814:841400&amp;c=444444", "offset 100")</f>
        <v>offset 100</v>
      </c>
    </row>
    <row r="2830" customFormat="false" ht="12.8" hidden="false" customHeight="false" outlineLevel="0" collapsed="false">
      <c r="A2830" s="0" t="s">
        <v>12</v>
      </c>
      <c r="B2830" s="0" t="n">
        <v>841156</v>
      </c>
      <c r="C2830" s="0" t="n">
        <v>841176</v>
      </c>
      <c r="D2830" s="0" t="s">
        <v>9426</v>
      </c>
      <c r="E2830" s="0" t="s">
        <v>9427</v>
      </c>
      <c r="F2830" s="0" t="s">
        <v>15</v>
      </c>
      <c r="G2830" s="0" t="s">
        <v>26</v>
      </c>
      <c r="H2830" s="0" t="n">
        <v>164</v>
      </c>
      <c r="I2830" s="0" t="s">
        <v>9434</v>
      </c>
      <c r="J2830" s="0" t="s">
        <v>9435</v>
      </c>
      <c r="K2830" s="0" t="s">
        <v>9436</v>
      </c>
      <c r="L2830" s="0" t="str">
        <f aca="false">HYPERLINK("https://www.ncbi.nlm.nih.gov/nuccore/CP000304.1?report=graph&amp;tracks=[key:gene_model_track,Options:GeneOnly]&amp;mk=841015:841034|offset_22|444444,841093:841112|offset_100|444444,841157:841176|offset_164|00cc00,841181:841200|offset_188|444444&amp;v=840814:841400&amp;c=444444", "offset 164")</f>
        <v>offset 164</v>
      </c>
    </row>
    <row r="2831" customFormat="false" ht="12.8" hidden="false" customHeight="false" outlineLevel="0" collapsed="false">
      <c r="A2831" s="0" t="s">
        <v>12</v>
      </c>
      <c r="B2831" s="0" t="n">
        <v>841180</v>
      </c>
      <c r="C2831" s="0" t="n">
        <v>841200</v>
      </c>
      <c r="D2831" s="0" t="s">
        <v>9426</v>
      </c>
      <c r="E2831" s="0" t="s">
        <v>9427</v>
      </c>
      <c r="F2831" s="0" t="s">
        <v>15</v>
      </c>
      <c r="G2831" s="0" t="s">
        <v>26</v>
      </c>
      <c r="H2831" s="0" t="n">
        <v>188</v>
      </c>
      <c r="I2831" s="0" t="s">
        <v>9437</v>
      </c>
      <c r="J2831" s="0" t="s">
        <v>9438</v>
      </c>
      <c r="K2831" s="0" t="s">
        <v>9439</v>
      </c>
      <c r="L2831" s="0" t="str">
        <f aca="false">HYPERLINK("https://www.ncbi.nlm.nih.gov/nuccore/CP000304.1?report=graph&amp;tracks=[key:gene_model_track,Options:GeneOnly]&amp;mk=841015:841034|offset_22|444444,841093:841112|offset_100|444444,841157:841176|offset_164|444444,841181:841200|offset_188|00cc00&amp;v=840814:841400&amp;c=444444", "offset 188")</f>
        <v>offset 188</v>
      </c>
    </row>
    <row r="2832" customFormat="false" ht="12.8" hidden="false" customHeight="false" outlineLevel="0" collapsed="false">
      <c r="A2832" s="0" t="s">
        <v>12</v>
      </c>
      <c r="B2832" s="0" t="n">
        <v>841799</v>
      </c>
      <c r="C2832" s="0" t="n">
        <v>841819</v>
      </c>
      <c r="D2832" s="0" t="s">
        <v>9440</v>
      </c>
      <c r="E2832" s="0" t="s">
        <v>89</v>
      </c>
      <c r="F2832" s="0" t="s">
        <v>15</v>
      </c>
      <c r="G2832" s="0" t="s">
        <v>26</v>
      </c>
      <c r="H2832" s="0" t="n">
        <v>29</v>
      </c>
      <c r="I2832" s="0" t="s">
        <v>9441</v>
      </c>
      <c r="J2832" s="0" t="s">
        <v>9442</v>
      </c>
      <c r="K2832" s="0" t="s">
        <v>9443</v>
      </c>
      <c r="L2832" s="0" t="str">
        <f aca="false">HYPERLINK("https://www.ncbi.nlm.nih.gov/nuccore/CP000304.1?report=graph&amp;tracks=[key:gene_model_track,Options:GeneOnly]&amp;mk=841800:841819|offset_29|00cc00,841821:841840|offset_50|444444,841866:841885|offset_95|444444,841890:841909|offset_119|444444&amp;v=841599:842109&amp;c=444444", "offset 29")</f>
        <v>offset 29</v>
      </c>
    </row>
    <row r="2833" customFormat="false" ht="12.8" hidden="false" customHeight="false" outlineLevel="0" collapsed="false">
      <c r="A2833" s="0" t="s">
        <v>12</v>
      </c>
      <c r="B2833" s="0" t="n">
        <v>841820</v>
      </c>
      <c r="C2833" s="0" t="n">
        <v>841840</v>
      </c>
      <c r="D2833" s="0" t="s">
        <v>9440</v>
      </c>
      <c r="E2833" s="0" t="s">
        <v>89</v>
      </c>
      <c r="F2833" s="0" t="s">
        <v>15</v>
      </c>
      <c r="G2833" s="0" t="s">
        <v>32</v>
      </c>
      <c r="H2833" s="0" t="n">
        <v>50</v>
      </c>
      <c r="I2833" s="0" t="s">
        <v>9444</v>
      </c>
      <c r="J2833" s="0" t="s">
        <v>9445</v>
      </c>
      <c r="K2833" s="0" t="s">
        <v>9446</v>
      </c>
      <c r="L2833" s="0" t="str">
        <f aca="false">HYPERLINK("https://www.ncbi.nlm.nih.gov/nuccore/CP000304.1?report=graph&amp;tracks=[key:gene_model_track,Options:GeneOnly]&amp;mk=841800:841819|offset_29|444444,841821:841840|offset_50|00cc00,841866:841885|offset_95|444444,841890:841909|offset_119|444444&amp;v=841599:842109&amp;c=444444", "offset 50")</f>
        <v>offset 50</v>
      </c>
    </row>
    <row r="2834" customFormat="false" ht="12.8" hidden="false" customHeight="false" outlineLevel="0" collapsed="false">
      <c r="A2834" s="0" t="s">
        <v>12</v>
      </c>
      <c r="B2834" s="0" t="n">
        <v>841865</v>
      </c>
      <c r="C2834" s="0" t="n">
        <v>841885</v>
      </c>
      <c r="D2834" s="0" t="s">
        <v>9440</v>
      </c>
      <c r="E2834" s="0" t="s">
        <v>89</v>
      </c>
      <c r="F2834" s="0" t="s">
        <v>15</v>
      </c>
      <c r="G2834" s="0" t="s">
        <v>26</v>
      </c>
      <c r="H2834" s="0" t="n">
        <v>95</v>
      </c>
      <c r="I2834" s="0" t="s">
        <v>9447</v>
      </c>
      <c r="J2834" s="0" t="s">
        <v>9448</v>
      </c>
      <c r="K2834" s="0" t="s">
        <v>9449</v>
      </c>
      <c r="L2834" s="0" t="str">
        <f aca="false">HYPERLINK("https://www.ncbi.nlm.nih.gov/nuccore/CP000304.1?report=graph&amp;tracks=[key:gene_model_track,Options:GeneOnly]&amp;mk=841800:841819|offset_29|444444,841821:841840|offset_50|444444,841866:841885|offset_95|00cc00,841890:841909|offset_119|444444&amp;v=841599:842109&amp;c=444444", "offset 95")</f>
        <v>offset 95</v>
      </c>
    </row>
    <row r="2835" customFormat="false" ht="12.8" hidden="false" customHeight="false" outlineLevel="0" collapsed="false">
      <c r="A2835" s="0" t="s">
        <v>12</v>
      </c>
      <c r="B2835" s="0" t="n">
        <v>841889</v>
      </c>
      <c r="C2835" s="0" t="n">
        <v>841909</v>
      </c>
      <c r="D2835" s="0" t="s">
        <v>9440</v>
      </c>
      <c r="E2835" s="0" t="s">
        <v>89</v>
      </c>
      <c r="F2835" s="0" t="s">
        <v>15</v>
      </c>
      <c r="G2835" s="0" t="s">
        <v>26</v>
      </c>
      <c r="H2835" s="0" t="n">
        <v>119</v>
      </c>
      <c r="I2835" s="0" t="s">
        <v>9450</v>
      </c>
      <c r="J2835" s="0" t="s">
        <v>9451</v>
      </c>
      <c r="K2835" s="0" t="s">
        <v>9452</v>
      </c>
      <c r="L2835" s="0" t="str">
        <f aca="false">HYPERLINK("https://www.ncbi.nlm.nih.gov/nuccore/CP000304.1?report=graph&amp;tracks=[key:gene_model_track,Options:GeneOnly]&amp;mk=841800:841819|offset_29|444444,841821:841840|offset_50|444444,841866:841885|offset_95|444444,841890:841909|offset_119|00cc00&amp;v=841599:842109&amp;c=444444", "offset 119")</f>
        <v>offset 119</v>
      </c>
    </row>
    <row r="2836" customFormat="false" ht="12.8" hidden="false" customHeight="false" outlineLevel="0" collapsed="false">
      <c r="A2836" s="0" t="s">
        <v>12</v>
      </c>
      <c r="B2836" s="0" t="n">
        <v>842941</v>
      </c>
      <c r="C2836" s="0" t="n">
        <v>842961</v>
      </c>
      <c r="D2836" s="0" t="s">
        <v>9453</v>
      </c>
      <c r="E2836" s="0" t="s">
        <v>89</v>
      </c>
      <c r="F2836" s="0" t="s">
        <v>15</v>
      </c>
      <c r="G2836" s="0" t="s">
        <v>26</v>
      </c>
      <c r="H2836" s="0" t="n">
        <v>14</v>
      </c>
      <c r="I2836" s="0" t="s">
        <v>9454</v>
      </c>
      <c r="J2836" s="0" t="s">
        <v>9455</v>
      </c>
      <c r="K2836" s="0" t="s">
        <v>9456</v>
      </c>
      <c r="L2836" s="0" t="str">
        <f aca="false">HYPERLINK("https://www.ncbi.nlm.nih.gov/nuccore/CP000304.1?report=graph&amp;tracks=[key:gene_model_track,Options:GeneOnly]&amp;mk=842942:842961|offset_14|00cc00,842980:842999|offset_52|444444,843002:843021|offset_74|444444,843028:843047|offset_100|444444&amp;v=842741:843247&amp;c=444444", "offset 14")</f>
        <v>offset 14</v>
      </c>
    </row>
    <row r="2837" customFormat="false" ht="12.8" hidden="false" customHeight="false" outlineLevel="0" collapsed="false">
      <c r="A2837" s="0" t="s">
        <v>12</v>
      </c>
      <c r="B2837" s="0" t="n">
        <v>842979</v>
      </c>
      <c r="C2837" s="0" t="n">
        <v>842999</v>
      </c>
      <c r="D2837" s="0" t="s">
        <v>9453</v>
      </c>
      <c r="E2837" s="0" t="s">
        <v>89</v>
      </c>
      <c r="F2837" s="0" t="s">
        <v>15</v>
      </c>
      <c r="G2837" s="0" t="s">
        <v>16</v>
      </c>
      <c r="H2837" s="0" t="n">
        <v>52</v>
      </c>
      <c r="I2837" s="0" t="s">
        <v>9457</v>
      </c>
      <c r="J2837" s="0" t="s">
        <v>9458</v>
      </c>
      <c r="K2837" s="0" t="s">
        <v>9459</v>
      </c>
      <c r="L2837" s="0" t="str">
        <f aca="false">HYPERLINK("https://www.ncbi.nlm.nih.gov/nuccore/CP000304.1?report=graph&amp;tracks=[key:gene_model_track,Options:GeneOnly]&amp;mk=842942:842961|offset_14|444444,842980:842999|offset_52|00cc00,843002:843021|offset_74|444444,843028:843047|offset_100|444444&amp;v=842741:843247&amp;c=444444", "offset 52")</f>
        <v>offset 52</v>
      </c>
    </row>
    <row r="2838" customFormat="false" ht="12.8" hidden="false" customHeight="false" outlineLevel="0" collapsed="false">
      <c r="A2838" s="0" t="s">
        <v>12</v>
      </c>
      <c r="B2838" s="0" t="n">
        <v>843001</v>
      </c>
      <c r="C2838" s="0" t="n">
        <v>843021</v>
      </c>
      <c r="D2838" s="0" t="s">
        <v>9453</v>
      </c>
      <c r="E2838" s="0" t="s">
        <v>89</v>
      </c>
      <c r="F2838" s="0" t="s">
        <v>15</v>
      </c>
      <c r="G2838" s="0" t="s">
        <v>26</v>
      </c>
      <c r="H2838" s="0" t="n">
        <v>74</v>
      </c>
      <c r="I2838" s="0" t="s">
        <v>9460</v>
      </c>
      <c r="J2838" s="0" t="s">
        <v>9461</v>
      </c>
      <c r="K2838" s="0" t="s">
        <v>9462</v>
      </c>
      <c r="L2838" s="0" t="str">
        <f aca="false">HYPERLINK("https://www.ncbi.nlm.nih.gov/nuccore/CP000304.1?report=graph&amp;tracks=[key:gene_model_track,Options:GeneOnly]&amp;mk=842942:842961|offset_14|444444,842980:842999|offset_52|444444,843002:843021|offset_74|00cc00,843028:843047|offset_100|444444&amp;v=842741:843247&amp;c=444444", "offset 74")</f>
        <v>offset 74</v>
      </c>
    </row>
    <row r="2839" customFormat="false" ht="12.8" hidden="false" customHeight="false" outlineLevel="0" collapsed="false">
      <c r="A2839" s="0" t="s">
        <v>12</v>
      </c>
      <c r="B2839" s="0" t="n">
        <v>843027</v>
      </c>
      <c r="C2839" s="0" t="n">
        <v>843047</v>
      </c>
      <c r="D2839" s="0" t="s">
        <v>9453</v>
      </c>
      <c r="E2839" s="0" t="s">
        <v>89</v>
      </c>
      <c r="F2839" s="0" t="s">
        <v>15</v>
      </c>
      <c r="G2839" s="0" t="s">
        <v>32</v>
      </c>
      <c r="H2839" s="0" t="n">
        <v>100</v>
      </c>
      <c r="I2839" s="0" t="s">
        <v>9463</v>
      </c>
      <c r="J2839" s="0" t="s">
        <v>9464</v>
      </c>
      <c r="K2839" s="0" t="s">
        <v>9465</v>
      </c>
      <c r="L2839" s="0" t="str">
        <f aca="false">HYPERLINK("https://www.ncbi.nlm.nih.gov/nuccore/CP000304.1?report=graph&amp;tracks=[key:gene_model_track,Options:GeneOnly]&amp;mk=842942:842961|offset_14|444444,842980:842999|offset_52|444444,843002:843021|offset_74|444444,843028:843047|offset_100|00cc00&amp;v=842741:843247&amp;c=444444", "offset 100")</f>
        <v>offset 100</v>
      </c>
    </row>
    <row r="2840" customFormat="false" ht="12.8" hidden="false" customHeight="false" outlineLevel="0" collapsed="false">
      <c r="A2840" s="0" t="s">
        <v>12</v>
      </c>
      <c r="B2840" s="0" t="n">
        <v>844029</v>
      </c>
      <c r="C2840" s="0" t="n">
        <v>844049</v>
      </c>
      <c r="D2840" s="0" t="s">
        <v>9466</v>
      </c>
      <c r="E2840" s="0" t="s">
        <v>89</v>
      </c>
      <c r="F2840" s="0" t="s">
        <v>15</v>
      </c>
      <c r="G2840" s="0" t="s">
        <v>32</v>
      </c>
      <c r="H2840" s="0" t="n">
        <v>7</v>
      </c>
      <c r="I2840" s="0" t="s">
        <v>9467</v>
      </c>
      <c r="J2840" s="0" t="s">
        <v>9468</v>
      </c>
      <c r="K2840" s="0" t="s">
        <v>9469</v>
      </c>
      <c r="L2840" s="0" t="str">
        <f aca="false">HYPERLINK("https://www.ncbi.nlm.nih.gov/nuccore/CP000304.1?report=graph&amp;tracks=[key:gene_model_track,Options:GeneOnly]&amp;mk=844030:844049|offset_7|00cc00,844055:844074|offset_32|444444,844096:844115|offset_73|444444,844137:844156|offset_114|444444&amp;v=843829:844356&amp;c=444444", "offset 7")</f>
        <v>offset 7</v>
      </c>
    </row>
    <row r="2841" customFormat="false" ht="12.8" hidden="false" customHeight="false" outlineLevel="0" collapsed="false">
      <c r="A2841" s="0" t="s">
        <v>12</v>
      </c>
      <c r="B2841" s="0" t="n">
        <v>844054</v>
      </c>
      <c r="C2841" s="0" t="n">
        <v>844074</v>
      </c>
      <c r="D2841" s="0" t="s">
        <v>9466</v>
      </c>
      <c r="E2841" s="0" t="s">
        <v>89</v>
      </c>
      <c r="F2841" s="0" t="s">
        <v>15</v>
      </c>
      <c r="G2841" s="0" t="s">
        <v>32</v>
      </c>
      <c r="H2841" s="0" t="n">
        <v>32</v>
      </c>
      <c r="I2841" s="0" t="s">
        <v>9470</v>
      </c>
      <c r="J2841" s="0" t="s">
        <v>9471</v>
      </c>
      <c r="K2841" s="0" t="s">
        <v>9472</v>
      </c>
      <c r="L2841" s="0" t="str">
        <f aca="false">HYPERLINK("https://www.ncbi.nlm.nih.gov/nuccore/CP000304.1?report=graph&amp;tracks=[key:gene_model_track,Options:GeneOnly]&amp;mk=844030:844049|offset_7|444444,844055:844074|offset_32|00cc00,844096:844115|offset_73|444444,844137:844156|offset_114|444444&amp;v=843829:844356&amp;c=444444", "offset 32")</f>
        <v>offset 32</v>
      </c>
    </row>
    <row r="2842" customFormat="false" ht="12.8" hidden="false" customHeight="false" outlineLevel="0" collapsed="false">
      <c r="A2842" s="0" t="s">
        <v>12</v>
      </c>
      <c r="B2842" s="0" t="n">
        <v>844095</v>
      </c>
      <c r="C2842" s="0" t="n">
        <v>844115</v>
      </c>
      <c r="D2842" s="0" t="s">
        <v>9466</v>
      </c>
      <c r="E2842" s="0" t="s">
        <v>89</v>
      </c>
      <c r="F2842" s="0" t="s">
        <v>15</v>
      </c>
      <c r="G2842" s="0" t="s">
        <v>16</v>
      </c>
      <c r="H2842" s="0" t="n">
        <v>73</v>
      </c>
      <c r="I2842" s="0" t="s">
        <v>9473</v>
      </c>
      <c r="J2842" s="0" t="s">
        <v>9474</v>
      </c>
      <c r="K2842" s="0" t="s">
        <v>9475</v>
      </c>
      <c r="L2842" s="0" t="str">
        <f aca="false">HYPERLINK("https://www.ncbi.nlm.nih.gov/nuccore/CP000304.1?report=graph&amp;tracks=[key:gene_model_track,Options:GeneOnly]&amp;mk=844030:844049|offset_7|444444,844055:844074|offset_32|444444,844096:844115|offset_73|00cc00,844137:844156|offset_114|444444&amp;v=843829:844356&amp;c=444444", "offset 73")</f>
        <v>offset 73</v>
      </c>
    </row>
    <row r="2843" customFormat="false" ht="12.8" hidden="false" customHeight="false" outlineLevel="0" collapsed="false">
      <c r="A2843" s="0" t="s">
        <v>12</v>
      </c>
      <c r="B2843" s="0" t="n">
        <v>844136</v>
      </c>
      <c r="C2843" s="0" t="n">
        <v>844156</v>
      </c>
      <c r="D2843" s="0" t="s">
        <v>9466</v>
      </c>
      <c r="E2843" s="0" t="s">
        <v>89</v>
      </c>
      <c r="F2843" s="0" t="s">
        <v>15</v>
      </c>
      <c r="G2843" s="0" t="s">
        <v>16</v>
      </c>
      <c r="H2843" s="0" t="n">
        <v>114</v>
      </c>
      <c r="I2843" s="0" t="s">
        <v>9476</v>
      </c>
      <c r="J2843" s="0" t="s">
        <v>9477</v>
      </c>
      <c r="K2843" s="0" t="s">
        <v>9478</v>
      </c>
      <c r="L2843" s="0" t="str">
        <f aca="false">HYPERLINK("https://www.ncbi.nlm.nih.gov/nuccore/CP000304.1?report=graph&amp;tracks=[key:gene_model_track,Options:GeneOnly]&amp;mk=844030:844049|offset_7|444444,844055:844074|offset_32|444444,844096:844115|offset_73|444444,844137:844156|offset_114|00cc00&amp;v=843829:844356&amp;c=444444", "offset 114")</f>
        <v>offset 114</v>
      </c>
    </row>
    <row r="2844" customFormat="false" ht="12.8" hidden="false" customHeight="false" outlineLevel="0" collapsed="false">
      <c r="A2844" s="0" t="s">
        <v>12</v>
      </c>
      <c r="B2844" s="0" t="n">
        <v>845350</v>
      </c>
      <c r="C2844" s="0" t="n">
        <v>845370</v>
      </c>
      <c r="D2844" s="0" t="s">
        <v>9479</v>
      </c>
      <c r="E2844" s="0" t="s">
        <v>89</v>
      </c>
      <c r="F2844" s="0" t="s">
        <v>15</v>
      </c>
      <c r="G2844" s="0" t="s">
        <v>36</v>
      </c>
      <c r="H2844" s="0" t="n">
        <v>11</v>
      </c>
      <c r="I2844" s="0" t="s">
        <v>9480</v>
      </c>
      <c r="J2844" s="0" t="s">
        <v>9481</v>
      </c>
      <c r="K2844" s="0" t="s">
        <v>9482</v>
      </c>
      <c r="L2844" s="0" t="str">
        <f aca="false">HYPERLINK("https://www.ncbi.nlm.nih.gov/nuccore/CP000304.1?report=graph&amp;tracks=[key:gene_model_track,Options:GeneOnly]&amp;mk=845351:845370|offset_11|00cc00,845377:845396|offset_37|444444,845399:845418|offset_59|444444,845451:845470|offset_111|444444&amp;v=845150:845670&amp;c=444444", "offset 11")</f>
        <v>offset 11</v>
      </c>
    </row>
    <row r="2845" customFormat="false" ht="12.8" hidden="false" customHeight="false" outlineLevel="0" collapsed="false">
      <c r="A2845" s="0" t="s">
        <v>12</v>
      </c>
      <c r="B2845" s="0" t="n">
        <v>845376</v>
      </c>
      <c r="C2845" s="0" t="n">
        <v>845396</v>
      </c>
      <c r="D2845" s="0" t="s">
        <v>9479</v>
      </c>
      <c r="E2845" s="0" t="s">
        <v>89</v>
      </c>
      <c r="F2845" s="0" t="s">
        <v>15</v>
      </c>
      <c r="G2845" s="0" t="s">
        <v>26</v>
      </c>
      <c r="H2845" s="0" t="n">
        <v>37</v>
      </c>
      <c r="I2845" s="0" t="s">
        <v>9483</v>
      </c>
      <c r="J2845" s="0" t="s">
        <v>9484</v>
      </c>
      <c r="K2845" s="0" t="s">
        <v>9485</v>
      </c>
      <c r="L2845" s="0" t="str">
        <f aca="false">HYPERLINK("https://www.ncbi.nlm.nih.gov/nuccore/CP000304.1?report=graph&amp;tracks=[key:gene_model_track,Options:GeneOnly]&amp;mk=845351:845370|offset_11|444444,845377:845396|offset_37|00cc00,845399:845418|offset_59|444444,845451:845470|offset_111|444444&amp;v=845150:845670&amp;c=444444", "offset 37")</f>
        <v>offset 37</v>
      </c>
    </row>
    <row r="2846" customFormat="false" ht="12.8" hidden="false" customHeight="false" outlineLevel="0" collapsed="false">
      <c r="A2846" s="0" t="s">
        <v>12</v>
      </c>
      <c r="B2846" s="0" t="n">
        <v>845398</v>
      </c>
      <c r="C2846" s="0" t="n">
        <v>845418</v>
      </c>
      <c r="D2846" s="0" t="s">
        <v>9479</v>
      </c>
      <c r="E2846" s="0" t="s">
        <v>89</v>
      </c>
      <c r="F2846" s="0" t="s">
        <v>15</v>
      </c>
      <c r="G2846" s="0" t="s">
        <v>26</v>
      </c>
      <c r="H2846" s="0" t="n">
        <v>59</v>
      </c>
      <c r="I2846" s="0" t="s">
        <v>9486</v>
      </c>
      <c r="J2846" s="0" t="s">
        <v>9487</v>
      </c>
      <c r="K2846" s="0" t="s">
        <v>9488</v>
      </c>
      <c r="L2846" s="0" t="str">
        <f aca="false">HYPERLINK("https://www.ncbi.nlm.nih.gov/nuccore/CP000304.1?report=graph&amp;tracks=[key:gene_model_track,Options:GeneOnly]&amp;mk=845351:845370|offset_11|444444,845377:845396|offset_37|444444,845399:845418|offset_59|00cc00,845451:845470|offset_111|444444&amp;v=845150:845670&amp;c=444444", "offset 59")</f>
        <v>offset 59</v>
      </c>
    </row>
    <row r="2847" customFormat="false" ht="12.8" hidden="false" customHeight="false" outlineLevel="0" collapsed="false">
      <c r="A2847" s="0" t="s">
        <v>12</v>
      </c>
      <c r="B2847" s="0" t="n">
        <v>845450</v>
      </c>
      <c r="C2847" s="0" t="n">
        <v>845470</v>
      </c>
      <c r="D2847" s="0" t="s">
        <v>9479</v>
      </c>
      <c r="E2847" s="0" t="s">
        <v>89</v>
      </c>
      <c r="F2847" s="0" t="s">
        <v>15</v>
      </c>
      <c r="G2847" s="0" t="s">
        <v>16</v>
      </c>
      <c r="H2847" s="0" t="n">
        <v>111</v>
      </c>
      <c r="I2847" s="0" t="s">
        <v>9489</v>
      </c>
      <c r="J2847" s="0" t="s">
        <v>9490</v>
      </c>
      <c r="K2847" s="0" t="s">
        <v>9491</v>
      </c>
      <c r="L2847" s="0" t="str">
        <f aca="false">HYPERLINK("https://www.ncbi.nlm.nih.gov/nuccore/CP000304.1?report=graph&amp;tracks=[key:gene_model_track,Options:GeneOnly]&amp;mk=845351:845370|offset_11|444444,845377:845396|offset_37|444444,845399:845418|offset_59|444444,845451:845470|offset_111|00cc00&amp;v=845150:845670&amp;c=444444", "offset 111")</f>
        <v>offset 111</v>
      </c>
    </row>
    <row r="2848" customFormat="false" ht="12.8" hidden="false" customHeight="false" outlineLevel="0" collapsed="false">
      <c r="A2848" s="0" t="s">
        <v>12</v>
      </c>
      <c r="B2848" s="0" t="n">
        <v>846203</v>
      </c>
      <c r="C2848" s="0" t="n">
        <v>846223</v>
      </c>
      <c r="D2848" s="0" t="s">
        <v>9492</v>
      </c>
      <c r="E2848" s="0" t="s">
        <v>9493</v>
      </c>
      <c r="F2848" s="0" t="s">
        <v>15</v>
      </c>
      <c r="G2848" s="0" t="s">
        <v>36</v>
      </c>
      <c r="H2848" s="0" t="n">
        <v>24</v>
      </c>
      <c r="I2848" s="0" t="s">
        <v>9494</v>
      </c>
      <c r="J2848" s="0" t="s">
        <v>9495</v>
      </c>
      <c r="K2848" s="0" t="s">
        <v>9496</v>
      </c>
      <c r="L2848" s="0" t="str">
        <f aca="false">HYPERLINK("https://www.ncbi.nlm.nih.gov/nuccore/CP000304.1?report=graph&amp;tracks=[key:gene_model_track,Options:GeneOnly]&amp;mk=846204:846223|offset_24|00cc00,846226:846245|offset_46|444444,846253:846272|offset_73|444444,846292:846311|offset_112|444444&amp;v=846003:846511&amp;c=444444", "offset 24")</f>
        <v>offset 24</v>
      </c>
    </row>
    <row r="2849" customFormat="false" ht="12.8" hidden="false" customHeight="false" outlineLevel="0" collapsed="false">
      <c r="A2849" s="0" t="s">
        <v>12</v>
      </c>
      <c r="B2849" s="0" t="n">
        <v>846225</v>
      </c>
      <c r="C2849" s="0" t="n">
        <v>846245</v>
      </c>
      <c r="D2849" s="0" t="s">
        <v>9492</v>
      </c>
      <c r="E2849" s="0" t="s">
        <v>9493</v>
      </c>
      <c r="F2849" s="0" t="s">
        <v>15</v>
      </c>
      <c r="G2849" s="0" t="s">
        <v>26</v>
      </c>
      <c r="H2849" s="0" t="n">
        <v>46</v>
      </c>
      <c r="I2849" s="0" t="s">
        <v>9497</v>
      </c>
      <c r="J2849" s="0" t="s">
        <v>9498</v>
      </c>
      <c r="K2849" s="0" t="s">
        <v>9499</v>
      </c>
      <c r="L2849" s="0" t="str">
        <f aca="false">HYPERLINK("https://www.ncbi.nlm.nih.gov/nuccore/CP000304.1?report=graph&amp;tracks=[key:gene_model_track,Options:GeneOnly]&amp;mk=846204:846223|offset_24|444444,846226:846245|offset_46|00cc00,846253:846272|offset_73|444444,846292:846311|offset_112|444444&amp;v=846003:846511&amp;c=444444", "offset 46")</f>
        <v>offset 46</v>
      </c>
    </row>
    <row r="2850" customFormat="false" ht="12.8" hidden="false" customHeight="false" outlineLevel="0" collapsed="false">
      <c r="A2850" s="0" t="s">
        <v>12</v>
      </c>
      <c r="B2850" s="0" t="n">
        <v>846252</v>
      </c>
      <c r="C2850" s="0" t="n">
        <v>846272</v>
      </c>
      <c r="D2850" s="0" t="s">
        <v>9492</v>
      </c>
      <c r="E2850" s="0" t="s">
        <v>9493</v>
      </c>
      <c r="F2850" s="0" t="s">
        <v>15</v>
      </c>
      <c r="G2850" s="0" t="s">
        <v>16</v>
      </c>
      <c r="H2850" s="0" t="n">
        <v>73</v>
      </c>
      <c r="I2850" s="0" t="s">
        <v>9500</v>
      </c>
      <c r="J2850" s="0" t="s">
        <v>9501</v>
      </c>
      <c r="K2850" s="0" t="s">
        <v>9502</v>
      </c>
      <c r="L2850" s="0" t="str">
        <f aca="false">HYPERLINK("https://www.ncbi.nlm.nih.gov/nuccore/CP000304.1?report=graph&amp;tracks=[key:gene_model_track,Options:GeneOnly]&amp;mk=846204:846223|offset_24|444444,846226:846245|offset_46|444444,846253:846272|offset_73|00cc00,846292:846311|offset_112|444444&amp;v=846003:846511&amp;c=444444", "offset 73")</f>
        <v>offset 73</v>
      </c>
    </row>
    <row r="2851" customFormat="false" ht="12.8" hidden="false" customHeight="false" outlineLevel="0" collapsed="false">
      <c r="A2851" s="0" t="s">
        <v>12</v>
      </c>
      <c r="B2851" s="0" t="n">
        <v>846291</v>
      </c>
      <c r="C2851" s="0" t="n">
        <v>846311</v>
      </c>
      <c r="D2851" s="0" t="s">
        <v>9492</v>
      </c>
      <c r="E2851" s="0" t="s">
        <v>9493</v>
      </c>
      <c r="F2851" s="0" t="s">
        <v>15</v>
      </c>
      <c r="G2851" s="0" t="s">
        <v>16</v>
      </c>
      <c r="H2851" s="0" t="n">
        <v>112</v>
      </c>
      <c r="I2851" s="0" t="s">
        <v>9503</v>
      </c>
      <c r="J2851" s="0" t="s">
        <v>9504</v>
      </c>
      <c r="K2851" s="0" t="s">
        <v>9505</v>
      </c>
      <c r="L2851" s="0" t="str">
        <f aca="false">HYPERLINK("https://www.ncbi.nlm.nih.gov/nuccore/CP000304.1?report=graph&amp;tracks=[key:gene_model_track,Options:GeneOnly]&amp;mk=846204:846223|offset_24|444444,846226:846245|offset_46|444444,846253:846272|offset_73|444444,846292:846311|offset_112|00cc00&amp;v=846003:846511&amp;c=444444", "offset 112")</f>
        <v>offset 112</v>
      </c>
    </row>
    <row r="2852" customFormat="false" ht="12.8" hidden="false" customHeight="false" outlineLevel="0" collapsed="false">
      <c r="A2852" s="0" t="s">
        <v>12</v>
      </c>
      <c r="B2852" s="0" t="n">
        <v>847838</v>
      </c>
      <c r="C2852" s="0" t="n">
        <v>847858</v>
      </c>
      <c r="D2852" s="0" t="s">
        <v>9506</v>
      </c>
      <c r="E2852" s="0" t="s">
        <v>9507</v>
      </c>
      <c r="F2852" s="0" t="s">
        <v>15</v>
      </c>
      <c r="G2852" s="0" t="s">
        <v>16</v>
      </c>
      <c r="H2852" s="0" t="n">
        <v>11</v>
      </c>
      <c r="I2852" s="0" t="s">
        <v>9508</v>
      </c>
      <c r="J2852" s="0" t="s">
        <v>9509</v>
      </c>
      <c r="K2852" s="0" t="s">
        <v>9510</v>
      </c>
      <c r="L2852" s="0" t="str">
        <f aca="false">HYPERLINK("https://www.ncbi.nlm.nih.gov/nuccore/CP000304.1?report=graph&amp;tracks=[key:gene_model_track,Options:GeneOnly]&amp;mk=847839:847858|offset_11|00cc00,847869:847888|offset_41|444444,847889:847908|offset_61|444444,847929:847948|offset_101|444444&amp;v=847638:848148&amp;c=444444", "offset 11")</f>
        <v>offset 11</v>
      </c>
    </row>
    <row r="2853" customFormat="false" ht="12.8" hidden="false" customHeight="false" outlineLevel="0" collapsed="false">
      <c r="A2853" s="0" t="s">
        <v>12</v>
      </c>
      <c r="B2853" s="0" t="n">
        <v>847868</v>
      </c>
      <c r="C2853" s="0" t="n">
        <v>847888</v>
      </c>
      <c r="D2853" s="0" t="s">
        <v>9506</v>
      </c>
      <c r="E2853" s="0" t="s">
        <v>9507</v>
      </c>
      <c r="F2853" s="0" t="s">
        <v>15</v>
      </c>
      <c r="G2853" s="0" t="s">
        <v>32</v>
      </c>
      <c r="H2853" s="0" t="n">
        <v>41</v>
      </c>
      <c r="I2853" s="0" t="s">
        <v>9511</v>
      </c>
      <c r="J2853" s="0" t="s">
        <v>9512</v>
      </c>
      <c r="K2853" s="0" t="s">
        <v>9513</v>
      </c>
      <c r="L2853" s="0" t="str">
        <f aca="false">HYPERLINK("https://www.ncbi.nlm.nih.gov/nuccore/CP000304.1?report=graph&amp;tracks=[key:gene_model_track,Options:GeneOnly]&amp;mk=847839:847858|offset_11|444444,847869:847888|offset_41|00cc00,847889:847908|offset_61|444444,847929:847948|offset_101|444444&amp;v=847638:848148&amp;c=444444", "offset 41")</f>
        <v>offset 41</v>
      </c>
    </row>
    <row r="2854" customFormat="false" ht="12.8" hidden="false" customHeight="false" outlineLevel="0" collapsed="false">
      <c r="A2854" s="0" t="s">
        <v>12</v>
      </c>
      <c r="B2854" s="0" t="n">
        <v>847888</v>
      </c>
      <c r="C2854" s="0" t="n">
        <v>847908</v>
      </c>
      <c r="D2854" s="0" t="s">
        <v>9506</v>
      </c>
      <c r="E2854" s="0" t="s">
        <v>9507</v>
      </c>
      <c r="F2854" s="0" t="s">
        <v>15</v>
      </c>
      <c r="G2854" s="0" t="s">
        <v>16</v>
      </c>
      <c r="H2854" s="0" t="n">
        <v>61</v>
      </c>
      <c r="I2854" s="0" t="s">
        <v>9514</v>
      </c>
      <c r="J2854" s="0" t="s">
        <v>9515</v>
      </c>
      <c r="K2854" s="0" t="s">
        <v>9516</v>
      </c>
      <c r="L2854" s="0" t="str">
        <f aca="false">HYPERLINK("https://www.ncbi.nlm.nih.gov/nuccore/CP000304.1?report=graph&amp;tracks=[key:gene_model_track,Options:GeneOnly]&amp;mk=847839:847858|offset_11|444444,847869:847888|offset_41|444444,847889:847908|offset_61|00cc00,847929:847948|offset_101|444444&amp;v=847638:848148&amp;c=444444", "offset 61")</f>
        <v>offset 61</v>
      </c>
    </row>
    <row r="2855" customFormat="false" ht="12.8" hidden="false" customHeight="false" outlineLevel="0" collapsed="false">
      <c r="A2855" s="0" t="s">
        <v>12</v>
      </c>
      <c r="B2855" s="0" t="n">
        <v>847928</v>
      </c>
      <c r="C2855" s="0" t="n">
        <v>847948</v>
      </c>
      <c r="D2855" s="0" t="s">
        <v>9506</v>
      </c>
      <c r="E2855" s="0" t="s">
        <v>9507</v>
      </c>
      <c r="F2855" s="0" t="s">
        <v>15</v>
      </c>
      <c r="G2855" s="0" t="s">
        <v>16</v>
      </c>
      <c r="H2855" s="0" t="n">
        <v>101</v>
      </c>
      <c r="I2855" s="0" t="s">
        <v>9517</v>
      </c>
      <c r="J2855" s="0" t="s">
        <v>9518</v>
      </c>
      <c r="K2855" s="0" t="s">
        <v>9519</v>
      </c>
      <c r="L2855" s="0" t="str">
        <f aca="false">HYPERLINK("https://www.ncbi.nlm.nih.gov/nuccore/CP000304.1?report=graph&amp;tracks=[key:gene_model_track,Options:GeneOnly]&amp;mk=847839:847858|offset_11|444444,847869:847888|offset_41|444444,847889:847908|offset_61|444444,847929:847948|offset_101|00cc00&amp;v=847638:848148&amp;c=444444", "offset 101")</f>
        <v>offset 101</v>
      </c>
    </row>
    <row r="2856" customFormat="false" ht="12.8" hidden="false" customHeight="false" outlineLevel="0" collapsed="false">
      <c r="A2856" s="0" t="s">
        <v>12</v>
      </c>
      <c r="B2856" s="0" t="n">
        <v>849269</v>
      </c>
      <c r="C2856" s="0" t="n">
        <v>849289</v>
      </c>
      <c r="D2856" s="0" t="s">
        <v>9520</v>
      </c>
      <c r="E2856" s="0" t="s">
        <v>9521</v>
      </c>
      <c r="F2856" s="0" t="s">
        <v>15</v>
      </c>
      <c r="G2856" s="0" t="s">
        <v>16</v>
      </c>
      <c r="H2856" s="0" t="n">
        <v>19</v>
      </c>
      <c r="I2856" s="0" t="s">
        <v>9522</v>
      </c>
      <c r="J2856" s="0" t="s">
        <v>9523</v>
      </c>
      <c r="K2856" s="0" t="s">
        <v>9524</v>
      </c>
      <c r="L2856" s="0" t="str">
        <f aca="false">HYPERLINK("https://www.ncbi.nlm.nih.gov/nuccore/CP000304.1?report=graph&amp;tracks=[key:gene_model_track,Options:GeneOnly]&amp;mk=849270:849289|offset_19|00cc00,849310:849329|offset_59|444444,849337:849356|offset_86|444444,849375:849394|offset_124|444444&amp;v=849069:849594&amp;c=444444", "offset 19")</f>
        <v>offset 19</v>
      </c>
    </row>
    <row r="2857" customFormat="false" ht="12.8" hidden="false" customHeight="false" outlineLevel="0" collapsed="false">
      <c r="A2857" s="0" t="s">
        <v>12</v>
      </c>
      <c r="B2857" s="0" t="n">
        <v>849309</v>
      </c>
      <c r="C2857" s="0" t="n">
        <v>849329</v>
      </c>
      <c r="D2857" s="0" t="s">
        <v>9520</v>
      </c>
      <c r="E2857" s="0" t="s">
        <v>9521</v>
      </c>
      <c r="F2857" s="0" t="s">
        <v>15</v>
      </c>
      <c r="G2857" s="0" t="s">
        <v>32</v>
      </c>
      <c r="H2857" s="0" t="n">
        <v>59</v>
      </c>
      <c r="I2857" s="0" t="s">
        <v>9525</v>
      </c>
      <c r="J2857" s="0" t="s">
        <v>9526</v>
      </c>
      <c r="K2857" s="0" t="s">
        <v>9527</v>
      </c>
      <c r="L2857" s="0" t="str">
        <f aca="false">HYPERLINK("https://www.ncbi.nlm.nih.gov/nuccore/CP000304.1?report=graph&amp;tracks=[key:gene_model_track,Options:GeneOnly]&amp;mk=849270:849289|offset_19|444444,849310:849329|offset_59|00cc00,849337:849356|offset_86|444444,849375:849394|offset_124|444444&amp;v=849069:849594&amp;c=444444", "offset 59")</f>
        <v>offset 59</v>
      </c>
    </row>
    <row r="2858" customFormat="false" ht="12.8" hidden="false" customHeight="false" outlineLevel="0" collapsed="false">
      <c r="A2858" s="0" t="s">
        <v>12</v>
      </c>
      <c r="B2858" s="0" t="n">
        <v>849336</v>
      </c>
      <c r="C2858" s="0" t="n">
        <v>849356</v>
      </c>
      <c r="D2858" s="0" t="s">
        <v>9520</v>
      </c>
      <c r="E2858" s="0" t="s">
        <v>9521</v>
      </c>
      <c r="F2858" s="0" t="s">
        <v>15</v>
      </c>
      <c r="G2858" s="0" t="s">
        <v>36</v>
      </c>
      <c r="H2858" s="0" t="n">
        <v>86</v>
      </c>
      <c r="I2858" s="0" t="s">
        <v>9528</v>
      </c>
      <c r="J2858" s="0" t="s">
        <v>9529</v>
      </c>
      <c r="K2858" s="0" t="s">
        <v>9530</v>
      </c>
      <c r="L2858" s="0" t="str">
        <f aca="false">HYPERLINK("https://www.ncbi.nlm.nih.gov/nuccore/CP000304.1?report=graph&amp;tracks=[key:gene_model_track,Options:GeneOnly]&amp;mk=849270:849289|offset_19|444444,849310:849329|offset_59|444444,849337:849356|offset_86|00cc00,849375:849394|offset_124|444444&amp;v=849069:849594&amp;c=444444", "offset 86")</f>
        <v>offset 86</v>
      </c>
    </row>
    <row r="2859" customFormat="false" ht="12.8" hidden="false" customHeight="false" outlineLevel="0" collapsed="false">
      <c r="A2859" s="0" t="s">
        <v>12</v>
      </c>
      <c r="B2859" s="0" t="n">
        <v>849374</v>
      </c>
      <c r="C2859" s="0" t="n">
        <v>849394</v>
      </c>
      <c r="D2859" s="0" t="s">
        <v>9520</v>
      </c>
      <c r="E2859" s="0" t="s">
        <v>9521</v>
      </c>
      <c r="F2859" s="0" t="s">
        <v>15</v>
      </c>
      <c r="G2859" s="0" t="s">
        <v>16</v>
      </c>
      <c r="H2859" s="0" t="n">
        <v>124</v>
      </c>
      <c r="I2859" s="0" t="s">
        <v>9531</v>
      </c>
      <c r="J2859" s="0" t="s">
        <v>9532</v>
      </c>
      <c r="K2859" s="0" t="s">
        <v>9533</v>
      </c>
      <c r="L2859" s="0" t="str">
        <f aca="false">HYPERLINK("https://www.ncbi.nlm.nih.gov/nuccore/CP000304.1?report=graph&amp;tracks=[key:gene_model_track,Options:GeneOnly]&amp;mk=849270:849289|offset_19|444444,849310:849329|offset_59|444444,849337:849356|offset_86|444444,849375:849394|offset_124|00cc00&amp;v=849069:849594&amp;c=444444", "offset 124")</f>
        <v>offset 124</v>
      </c>
    </row>
    <row r="2860" customFormat="false" ht="12.8" hidden="false" customHeight="false" outlineLevel="0" collapsed="false">
      <c r="A2860" s="0" t="s">
        <v>12</v>
      </c>
      <c r="B2860" s="0" t="n">
        <v>849869</v>
      </c>
      <c r="C2860" s="0" t="n">
        <v>849889</v>
      </c>
      <c r="D2860" s="0" t="s">
        <v>9534</v>
      </c>
      <c r="E2860" s="0" t="s">
        <v>9535</v>
      </c>
      <c r="F2860" s="0" t="s">
        <v>15</v>
      </c>
      <c r="G2860" s="0" t="s">
        <v>26</v>
      </c>
      <c r="H2860" s="0" t="n">
        <v>11</v>
      </c>
      <c r="I2860" s="0" t="s">
        <v>9536</v>
      </c>
      <c r="J2860" s="0" t="s">
        <v>9537</v>
      </c>
      <c r="K2860" s="0" t="s">
        <v>9538</v>
      </c>
      <c r="L2860" s="0" t="str">
        <f aca="false">HYPERLINK("https://www.ncbi.nlm.nih.gov/nuccore/CP000304.1?report=graph&amp;tracks=[key:gene_model_track,Options:GeneOnly]&amp;mk=849870:849889|offset_11|00cc00,849898:849917|offset_39|444444,849929:849948|offset_70|444444,849956:849975|offset_97|444444&amp;v=849669:850175&amp;c=444444", "offset 11")</f>
        <v>offset 11</v>
      </c>
    </row>
    <row r="2861" customFormat="false" ht="12.8" hidden="false" customHeight="false" outlineLevel="0" collapsed="false">
      <c r="A2861" s="0" t="s">
        <v>12</v>
      </c>
      <c r="B2861" s="0" t="n">
        <v>849897</v>
      </c>
      <c r="C2861" s="0" t="n">
        <v>849917</v>
      </c>
      <c r="D2861" s="0" t="s">
        <v>9534</v>
      </c>
      <c r="E2861" s="0" t="s">
        <v>9535</v>
      </c>
      <c r="F2861" s="0" t="s">
        <v>15</v>
      </c>
      <c r="G2861" s="0" t="s">
        <v>32</v>
      </c>
      <c r="H2861" s="0" t="n">
        <v>39</v>
      </c>
      <c r="I2861" s="0" t="s">
        <v>9539</v>
      </c>
      <c r="J2861" s="0" t="s">
        <v>9540</v>
      </c>
      <c r="K2861" s="0" t="s">
        <v>9541</v>
      </c>
      <c r="L2861" s="0" t="str">
        <f aca="false">HYPERLINK("https://www.ncbi.nlm.nih.gov/nuccore/CP000304.1?report=graph&amp;tracks=[key:gene_model_track,Options:GeneOnly]&amp;mk=849870:849889|offset_11|444444,849898:849917|offset_39|00cc00,849929:849948|offset_70|444444,849956:849975|offset_97|444444&amp;v=849669:850175&amp;c=444444", "offset 39")</f>
        <v>offset 39</v>
      </c>
    </row>
    <row r="2862" customFormat="false" ht="12.8" hidden="false" customHeight="false" outlineLevel="0" collapsed="false">
      <c r="A2862" s="0" t="s">
        <v>12</v>
      </c>
      <c r="B2862" s="0" t="n">
        <v>849928</v>
      </c>
      <c r="C2862" s="0" t="n">
        <v>849948</v>
      </c>
      <c r="D2862" s="0" t="s">
        <v>9534</v>
      </c>
      <c r="E2862" s="0" t="s">
        <v>9535</v>
      </c>
      <c r="F2862" s="0" t="s">
        <v>15</v>
      </c>
      <c r="G2862" s="0" t="s">
        <v>36</v>
      </c>
      <c r="H2862" s="0" t="n">
        <v>70</v>
      </c>
      <c r="I2862" s="0" t="s">
        <v>9542</v>
      </c>
      <c r="J2862" s="0" t="s">
        <v>9543</v>
      </c>
      <c r="K2862" s="0" t="s">
        <v>9544</v>
      </c>
      <c r="L2862" s="0" t="str">
        <f aca="false">HYPERLINK("https://www.ncbi.nlm.nih.gov/nuccore/CP000304.1?report=graph&amp;tracks=[key:gene_model_track,Options:GeneOnly]&amp;mk=849870:849889|offset_11|444444,849898:849917|offset_39|444444,849929:849948|offset_70|00cc00,849956:849975|offset_97|444444&amp;v=849669:850175&amp;c=444444", "offset 70")</f>
        <v>offset 70</v>
      </c>
    </row>
    <row r="2863" customFormat="false" ht="12.8" hidden="false" customHeight="false" outlineLevel="0" collapsed="false">
      <c r="A2863" s="0" t="s">
        <v>12</v>
      </c>
      <c r="B2863" s="0" t="n">
        <v>849955</v>
      </c>
      <c r="C2863" s="0" t="n">
        <v>849975</v>
      </c>
      <c r="D2863" s="0" t="s">
        <v>9534</v>
      </c>
      <c r="E2863" s="0" t="s">
        <v>9535</v>
      </c>
      <c r="F2863" s="0" t="s">
        <v>15</v>
      </c>
      <c r="G2863" s="0" t="s">
        <v>16</v>
      </c>
      <c r="H2863" s="0" t="n">
        <v>97</v>
      </c>
      <c r="I2863" s="0" t="s">
        <v>9545</v>
      </c>
      <c r="J2863" s="0" t="s">
        <v>9546</v>
      </c>
      <c r="K2863" s="0" t="s">
        <v>9547</v>
      </c>
      <c r="L2863" s="0" t="str">
        <f aca="false">HYPERLINK("https://www.ncbi.nlm.nih.gov/nuccore/CP000304.1?report=graph&amp;tracks=[key:gene_model_track,Options:GeneOnly]&amp;mk=849870:849889|offset_11|444444,849898:849917|offset_39|444444,849929:849948|offset_70|444444,849956:849975|offset_97|00cc00&amp;v=849669:850175&amp;c=444444", "offset 97")</f>
        <v>offset 97</v>
      </c>
    </row>
    <row r="2864" customFormat="false" ht="12.8" hidden="false" customHeight="false" outlineLevel="0" collapsed="false">
      <c r="A2864" s="0" t="s">
        <v>12</v>
      </c>
      <c r="B2864" s="0" t="n">
        <v>850643</v>
      </c>
      <c r="C2864" s="0" t="n">
        <v>850663</v>
      </c>
      <c r="D2864" s="0" t="s">
        <v>9548</v>
      </c>
      <c r="E2864" s="0" t="s">
        <v>9549</v>
      </c>
      <c r="F2864" s="0" t="s">
        <v>15</v>
      </c>
      <c r="G2864" s="0" t="s">
        <v>36</v>
      </c>
      <c r="H2864" s="0" t="n">
        <v>23</v>
      </c>
      <c r="I2864" s="0" t="s">
        <v>9550</v>
      </c>
      <c r="J2864" s="0" t="s">
        <v>9551</v>
      </c>
      <c r="K2864" s="0" t="s">
        <v>9552</v>
      </c>
      <c r="L2864" s="0" t="str">
        <f aca="false">HYPERLINK("https://www.ncbi.nlm.nih.gov/nuccore/CP000304.1?report=graph&amp;tracks=[key:gene_model_track,Options:GeneOnly]&amp;mk=850644:850663|offset_23|00cc00,850668:850687|offset_47|444444,850692:850711|offset_71|444444,850720:850739|offset_99|444444&amp;v=850443:850939&amp;c=444444", "offset 23")</f>
        <v>offset 23</v>
      </c>
    </row>
    <row r="2865" customFormat="false" ht="12.8" hidden="false" customHeight="false" outlineLevel="0" collapsed="false">
      <c r="A2865" s="0" t="s">
        <v>12</v>
      </c>
      <c r="B2865" s="0" t="n">
        <v>850667</v>
      </c>
      <c r="C2865" s="0" t="n">
        <v>850687</v>
      </c>
      <c r="D2865" s="0" t="s">
        <v>9548</v>
      </c>
      <c r="E2865" s="0" t="s">
        <v>9549</v>
      </c>
      <c r="F2865" s="0" t="s">
        <v>15</v>
      </c>
      <c r="G2865" s="0" t="s">
        <v>26</v>
      </c>
      <c r="H2865" s="0" t="n">
        <v>47</v>
      </c>
      <c r="I2865" s="0" t="s">
        <v>9553</v>
      </c>
      <c r="J2865" s="0" t="s">
        <v>9554</v>
      </c>
      <c r="K2865" s="0" t="s">
        <v>9555</v>
      </c>
      <c r="L2865" s="0" t="str">
        <f aca="false">HYPERLINK("https://www.ncbi.nlm.nih.gov/nuccore/CP000304.1?report=graph&amp;tracks=[key:gene_model_track,Options:GeneOnly]&amp;mk=850644:850663|offset_23|444444,850668:850687|offset_47|00cc00,850692:850711|offset_71|444444,850720:850739|offset_99|444444&amp;v=850443:850939&amp;c=444444", "offset 47")</f>
        <v>offset 47</v>
      </c>
    </row>
    <row r="2866" customFormat="false" ht="12.8" hidden="false" customHeight="false" outlineLevel="0" collapsed="false">
      <c r="A2866" s="0" t="s">
        <v>12</v>
      </c>
      <c r="B2866" s="0" t="n">
        <v>850691</v>
      </c>
      <c r="C2866" s="0" t="n">
        <v>850711</v>
      </c>
      <c r="D2866" s="0" t="s">
        <v>9548</v>
      </c>
      <c r="E2866" s="0" t="s">
        <v>9549</v>
      </c>
      <c r="F2866" s="0" t="s">
        <v>15</v>
      </c>
      <c r="G2866" s="0" t="s">
        <v>16</v>
      </c>
      <c r="H2866" s="0" t="n">
        <v>71</v>
      </c>
      <c r="I2866" s="0" t="s">
        <v>9556</v>
      </c>
      <c r="J2866" s="0" t="s">
        <v>9557</v>
      </c>
      <c r="K2866" s="0" t="s">
        <v>9558</v>
      </c>
      <c r="L2866" s="0" t="str">
        <f aca="false">HYPERLINK("https://www.ncbi.nlm.nih.gov/nuccore/CP000304.1?report=graph&amp;tracks=[key:gene_model_track,Options:GeneOnly]&amp;mk=850644:850663|offset_23|444444,850668:850687|offset_47|444444,850692:850711|offset_71|00cc00,850720:850739|offset_99|444444&amp;v=850443:850939&amp;c=444444", "offset 71")</f>
        <v>offset 71</v>
      </c>
    </row>
    <row r="2867" customFormat="false" ht="12.8" hidden="false" customHeight="false" outlineLevel="0" collapsed="false">
      <c r="A2867" s="0" t="s">
        <v>12</v>
      </c>
      <c r="B2867" s="0" t="n">
        <v>850719</v>
      </c>
      <c r="C2867" s="0" t="n">
        <v>850739</v>
      </c>
      <c r="D2867" s="0" t="s">
        <v>9548</v>
      </c>
      <c r="E2867" s="0" t="s">
        <v>9549</v>
      </c>
      <c r="F2867" s="0" t="s">
        <v>15</v>
      </c>
      <c r="G2867" s="0" t="s">
        <v>36</v>
      </c>
      <c r="H2867" s="0" t="n">
        <v>99</v>
      </c>
      <c r="I2867" s="0" t="s">
        <v>9559</v>
      </c>
      <c r="J2867" s="0" t="s">
        <v>9560</v>
      </c>
      <c r="K2867" s="0" t="s">
        <v>9561</v>
      </c>
      <c r="L2867" s="0" t="str">
        <f aca="false">HYPERLINK("https://www.ncbi.nlm.nih.gov/nuccore/CP000304.1?report=graph&amp;tracks=[key:gene_model_track,Options:GeneOnly]&amp;mk=850644:850663|offset_23|444444,850668:850687|offset_47|444444,850692:850711|offset_71|444444,850720:850739|offset_99|00cc00&amp;v=850443:850939&amp;c=444444", "offset 99")</f>
        <v>offset 99</v>
      </c>
    </row>
    <row r="2868" customFormat="false" ht="12.8" hidden="false" customHeight="false" outlineLevel="0" collapsed="false">
      <c r="A2868" s="0" t="s">
        <v>12</v>
      </c>
      <c r="B2868" s="0" t="n">
        <v>852258</v>
      </c>
      <c r="C2868" s="0" t="n">
        <v>852278</v>
      </c>
      <c r="D2868" s="0" t="s">
        <v>9562</v>
      </c>
      <c r="E2868" s="0" t="s">
        <v>9563</v>
      </c>
      <c r="F2868" s="0" t="s">
        <v>15</v>
      </c>
      <c r="G2868" s="0" t="s">
        <v>26</v>
      </c>
      <c r="H2868" s="0" t="n">
        <v>31</v>
      </c>
      <c r="I2868" s="0" t="s">
        <v>9564</v>
      </c>
      <c r="J2868" s="0" t="s">
        <v>9565</v>
      </c>
      <c r="K2868" s="0" t="s">
        <v>9566</v>
      </c>
      <c r="L2868" s="0" t="str">
        <f aca="false">HYPERLINK("https://www.ncbi.nlm.nih.gov/nuccore/CP000304.1?report=graph&amp;tracks=[key:gene_model_track,Options:GeneOnly]&amp;mk=852259:852278|offset_31|00cc00,852340:852359|offset_112|444444,852360:852379|offset_132|444444,852381:852400|offset_153|444444&amp;v=852058:852600&amp;c=444444", "offset 31")</f>
        <v>offset 31</v>
      </c>
    </row>
    <row r="2869" customFormat="false" ht="12.8" hidden="false" customHeight="false" outlineLevel="0" collapsed="false">
      <c r="A2869" s="0" t="s">
        <v>12</v>
      </c>
      <c r="B2869" s="0" t="n">
        <v>852339</v>
      </c>
      <c r="C2869" s="0" t="n">
        <v>852359</v>
      </c>
      <c r="D2869" s="0" t="s">
        <v>9562</v>
      </c>
      <c r="E2869" s="0" t="s">
        <v>9563</v>
      </c>
      <c r="F2869" s="0" t="s">
        <v>15</v>
      </c>
      <c r="G2869" s="0" t="s">
        <v>16</v>
      </c>
      <c r="H2869" s="0" t="n">
        <v>112</v>
      </c>
      <c r="I2869" s="0" t="s">
        <v>9567</v>
      </c>
      <c r="J2869" s="0" t="s">
        <v>9568</v>
      </c>
      <c r="K2869" s="0" t="s">
        <v>9569</v>
      </c>
      <c r="L2869" s="0" t="str">
        <f aca="false">HYPERLINK("https://www.ncbi.nlm.nih.gov/nuccore/CP000304.1?report=graph&amp;tracks=[key:gene_model_track,Options:GeneOnly]&amp;mk=852259:852278|offset_31|444444,852340:852359|offset_112|00cc00,852360:852379|offset_132|444444,852381:852400|offset_153|444444&amp;v=852058:852600&amp;c=444444", "offset 112")</f>
        <v>offset 112</v>
      </c>
    </row>
    <row r="2870" customFormat="false" ht="12.8" hidden="false" customHeight="false" outlineLevel="0" collapsed="false">
      <c r="A2870" s="0" t="s">
        <v>12</v>
      </c>
      <c r="B2870" s="0" t="n">
        <v>852359</v>
      </c>
      <c r="C2870" s="0" t="n">
        <v>852379</v>
      </c>
      <c r="D2870" s="0" t="s">
        <v>9562</v>
      </c>
      <c r="E2870" s="0" t="s">
        <v>9563</v>
      </c>
      <c r="F2870" s="0" t="s">
        <v>15</v>
      </c>
      <c r="G2870" s="0" t="s">
        <v>16</v>
      </c>
      <c r="H2870" s="0" t="n">
        <v>132</v>
      </c>
      <c r="I2870" s="0" t="s">
        <v>9570</v>
      </c>
      <c r="J2870" s="0" t="s">
        <v>9571</v>
      </c>
      <c r="K2870" s="0" t="s">
        <v>9572</v>
      </c>
      <c r="L2870" s="0" t="str">
        <f aca="false">HYPERLINK("https://www.ncbi.nlm.nih.gov/nuccore/CP000304.1?report=graph&amp;tracks=[key:gene_model_track,Options:GeneOnly]&amp;mk=852259:852278|offset_31|444444,852340:852359|offset_112|444444,852360:852379|offset_132|00cc00,852381:852400|offset_153|444444&amp;v=852058:852600&amp;c=444444", "offset 132")</f>
        <v>offset 132</v>
      </c>
    </row>
    <row r="2871" customFormat="false" ht="12.8" hidden="false" customHeight="false" outlineLevel="0" collapsed="false">
      <c r="A2871" s="0" t="s">
        <v>12</v>
      </c>
      <c r="B2871" s="0" t="n">
        <v>852380</v>
      </c>
      <c r="C2871" s="0" t="n">
        <v>852400</v>
      </c>
      <c r="D2871" s="0" t="s">
        <v>9562</v>
      </c>
      <c r="E2871" s="0" t="s">
        <v>9563</v>
      </c>
      <c r="F2871" s="0" t="s">
        <v>15</v>
      </c>
      <c r="G2871" s="0" t="s">
        <v>36</v>
      </c>
      <c r="H2871" s="0" t="n">
        <v>153</v>
      </c>
      <c r="I2871" s="0" t="s">
        <v>9573</v>
      </c>
      <c r="J2871" s="0" t="s">
        <v>9574</v>
      </c>
      <c r="K2871" s="0" t="s">
        <v>9575</v>
      </c>
      <c r="L2871" s="0" t="str">
        <f aca="false">HYPERLINK("https://www.ncbi.nlm.nih.gov/nuccore/CP000304.1?report=graph&amp;tracks=[key:gene_model_track,Options:GeneOnly]&amp;mk=852259:852278|offset_31|444444,852340:852359|offset_112|444444,852360:852379|offset_132|444444,852381:852400|offset_153|00cc00&amp;v=852058:852600&amp;c=444444", "offset 153")</f>
        <v>offset 153</v>
      </c>
    </row>
    <row r="2872" customFormat="false" ht="12.8" hidden="false" customHeight="false" outlineLevel="0" collapsed="false">
      <c r="A2872" s="0" t="s">
        <v>12</v>
      </c>
      <c r="B2872" s="0" t="n">
        <v>852839</v>
      </c>
      <c r="C2872" s="0" t="n">
        <v>852859</v>
      </c>
      <c r="D2872" s="0" t="s">
        <v>9576</v>
      </c>
      <c r="E2872" s="0" t="s">
        <v>9577</v>
      </c>
      <c r="F2872" s="0" t="s">
        <v>15</v>
      </c>
      <c r="G2872" s="0" t="s">
        <v>36</v>
      </c>
      <c r="H2872" s="0" t="n">
        <v>19</v>
      </c>
      <c r="I2872" s="0" t="s">
        <v>9578</v>
      </c>
      <c r="J2872" s="0" t="s">
        <v>9579</v>
      </c>
      <c r="K2872" s="0" t="s">
        <v>9580</v>
      </c>
      <c r="L2872" s="0" t="str">
        <f aca="false">HYPERLINK("https://www.ncbi.nlm.nih.gov/nuccore/CP000304.1?report=graph&amp;tracks=[key:gene_model_track,Options:GeneOnly]&amp;mk=852840:852859|offset_19|00cc00,852868:852887|offset_47|444444,852901:852920|offset_80|444444,852946:852965|offset_125|444444&amp;v=852639:853165&amp;c=444444", "offset 19")</f>
        <v>offset 19</v>
      </c>
    </row>
    <row r="2873" customFormat="false" ht="12.8" hidden="false" customHeight="false" outlineLevel="0" collapsed="false">
      <c r="A2873" s="0" t="s">
        <v>12</v>
      </c>
      <c r="B2873" s="0" t="n">
        <v>852867</v>
      </c>
      <c r="C2873" s="0" t="n">
        <v>852887</v>
      </c>
      <c r="D2873" s="0" t="s">
        <v>9576</v>
      </c>
      <c r="E2873" s="0" t="s">
        <v>9577</v>
      </c>
      <c r="F2873" s="0" t="s">
        <v>15</v>
      </c>
      <c r="G2873" s="0" t="s">
        <v>26</v>
      </c>
      <c r="H2873" s="0" t="n">
        <v>47</v>
      </c>
      <c r="I2873" s="0" t="s">
        <v>9581</v>
      </c>
      <c r="J2873" s="0" t="s">
        <v>9582</v>
      </c>
      <c r="K2873" s="0" t="s">
        <v>9583</v>
      </c>
      <c r="L2873" s="0" t="str">
        <f aca="false">HYPERLINK("https://www.ncbi.nlm.nih.gov/nuccore/CP000304.1?report=graph&amp;tracks=[key:gene_model_track,Options:GeneOnly]&amp;mk=852840:852859|offset_19|444444,852868:852887|offset_47|00cc00,852901:852920|offset_80|444444,852946:852965|offset_125|444444&amp;v=852639:853165&amp;c=444444", "offset 47")</f>
        <v>offset 47</v>
      </c>
    </row>
    <row r="2874" customFormat="false" ht="12.8" hidden="false" customHeight="false" outlineLevel="0" collapsed="false">
      <c r="A2874" s="0" t="s">
        <v>12</v>
      </c>
      <c r="B2874" s="0" t="n">
        <v>852900</v>
      </c>
      <c r="C2874" s="0" t="n">
        <v>852920</v>
      </c>
      <c r="D2874" s="0" t="s">
        <v>9576</v>
      </c>
      <c r="E2874" s="0" t="s">
        <v>9577</v>
      </c>
      <c r="F2874" s="0" t="s">
        <v>15</v>
      </c>
      <c r="G2874" s="0" t="s">
        <v>32</v>
      </c>
      <c r="H2874" s="0" t="n">
        <v>80</v>
      </c>
      <c r="I2874" s="0" t="s">
        <v>9584</v>
      </c>
      <c r="J2874" s="0" t="s">
        <v>9585</v>
      </c>
      <c r="K2874" s="0" t="s">
        <v>9586</v>
      </c>
      <c r="L2874" s="0" t="str">
        <f aca="false">HYPERLINK("https://www.ncbi.nlm.nih.gov/nuccore/CP000304.1?report=graph&amp;tracks=[key:gene_model_track,Options:GeneOnly]&amp;mk=852840:852859|offset_19|444444,852868:852887|offset_47|444444,852901:852920|offset_80|00cc00,852946:852965|offset_125|444444&amp;v=852639:853165&amp;c=444444", "offset 80")</f>
        <v>offset 80</v>
      </c>
    </row>
    <row r="2875" customFormat="false" ht="12.8" hidden="false" customHeight="false" outlineLevel="0" collapsed="false">
      <c r="A2875" s="0" t="s">
        <v>12</v>
      </c>
      <c r="B2875" s="0" t="n">
        <v>852945</v>
      </c>
      <c r="C2875" s="0" t="n">
        <v>852965</v>
      </c>
      <c r="D2875" s="0" t="s">
        <v>9576</v>
      </c>
      <c r="E2875" s="0" t="s">
        <v>9577</v>
      </c>
      <c r="F2875" s="0" t="s">
        <v>15</v>
      </c>
      <c r="G2875" s="0" t="s">
        <v>26</v>
      </c>
      <c r="H2875" s="0" t="n">
        <v>125</v>
      </c>
      <c r="I2875" s="0" t="s">
        <v>9587</v>
      </c>
      <c r="J2875" s="0" t="s">
        <v>9588</v>
      </c>
      <c r="K2875" s="0" t="s">
        <v>9589</v>
      </c>
      <c r="L2875" s="0" t="str">
        <f aca="false">HYPERLINK("https://www.ncbi.nlm.nih.gov/nuccore/CP000304.1?report=graph&amp;tracks=[key:gene_model_track,Options:GeneOnly]&amp;mk=852840:852859|offset_19|444444,852868:852887|offset_47|444444,852901:852920|offset_80|444444,852946:852965|offset_125|00cc00&amp;v=852639:853165&amp;c=444444", "offset 125")</f>
        <v>offset 125</v>
      </c>
    </row>
    <row r="2876" customFormat="false" ht="12.8" hidden="false" customHeight="false" outlineLevel="0" collapsed="false">
      <c r="A2876" s="0" t="s">
        <v>12</v>
      </c>
      <c r="B2876" s="0" t="n">
        <v>853875</v>
      </c>
      <c r="C2876" s="0" t="n">
        <v>853895</v>
      </c>
      <c r="D2876" s="0" t="s">
        <v>9590</v>
      </c>
      <c r="E2876" s="0" t="s">
        <v>9591</v>
      </c>
      <c r="F2876" s="0" t="s">
        <v>15</v>
      </c>
      <c r="G2876" s="0" t="s">
        <v>16</v>
      </c>
      <c r="H2876" s="0" t="n">
        <v>12</v>
      </c>
      <c r="I2876" s="0" t="s">
        <v>9592</v>
      </c>
      <c r="J2876" s="0" t="s">
        <v>9593</v>
      </c>
      <c r="K2876" s="0" t="s">
        <v>9594</v>
      </c>
      <c r="L2876" s="0" t="str">
        <f aca="false">HYPERLINK("https://www.ncbi.nlm.nih.gov/nuccore/CP000304.1?report=graph&amp;tracks=[key:gene_model_track,Options:GeneOnly]&amp;mk=853876:853895|offset_12|00cc00,853922:853941|offset_58|444444,853944:853963|offset_80|444444,853976:853995|offset_112|444444&amp;v=853675:854195&amp;c=444444", "offset 12")</f>
        <v>offset 12</v>
      </c>
    </row>
    <row r="2877" customFormat="false" ht="12.8" hidden="false" customHeight="false" outlineLevel="0" collapsed="false">
      <c r="A2877" s="0" t="s">
        <v>12</v>
      </c>
      <c r="B2877" s="0" t="n">
        <v>853921</v>
      </c>
      <c r="C2877" s="0" t="n">
        <v>853941</v>
      </c>
      <c r="D2877" s="0" t="s">
        <v>9590</v>
      </c>
      <c r="E2877" s="0" t="s">
        <v>9591</v>
      </c>
      <c r="F2877" s="0" t="s">
        <v>15</v>
      </c>
      <c r="G2877" s="0" t="s">
        <v>16</v>
      </c>
      <c r="H2877" s="0" t="n">
        <v>58</v>
      </c>
      <c r="I2877" s="0" t="s">
        <v>9595</v>
      </c>
      <c r="J2877" s="0" t="s">
        <v>9596</v>
      </c>
      <c r="K2877" s="0" t="s">
        <v>9597</v>
      </c>
      <c r="L2877" s="0" t="str">
        <f aca="false">HYPERLINK("https://www.ncbi.nlm.nih.gov/nuccore/CP000304.1?report=graph&amp;tracks=[key:gene_model_track,Options:GeneOnly]&amp;mk=853876:853895|offset_12|444444,853922:853941|offset_58|00cc00,853944:853963|offset_80|444444,853976:853995|offset_112|444444&amp;v=853675:854195&amp;c=444444", "offset 58")</f>
        <v>offset 58</v>
      </c>
    </row>
    <row r="2878" customFormat="false" ht="12.8" hidden="false" customHeight="false" outlineLevel="0" collapsed="false">
      <c r="A2878" s="0" t="s">
        <v>12</v>
      </c>
      <c r="B2878" s="0" t="n">
        <v>853943</v>
      </c>
      <c r="C2878" s="0" t="n">
        <v>853963</v>
      </c>
      <c r="D2878" s="0" t="s">
        <v>9590</v>
      </c>
      <c r="E2878" s="0" t="s">
        <v>9591</v>
      </c>
      <c r="F2878" s="0" t="s">
        <v>15</v>
      </c>
      <c r="G2878" s="0" t="s">
        <v>26</v>
      </c>
      <c r="H2878" s="0" t="n">
        <v>80</v>
      </c>
      <c r="I2878" s="0" t="s">
        <v>9598</v>
      </c>
      <c r="J2878" s="0" t="s">
        <v>9599</v>
      </c>
      <c r="K2878" s="0" t="s">
        <v>9600</v>
      </c>
      <c r="L2878" s="0" t="str">
        <f aca="false">HYPERLINK("https://www.ncbi.nlm.nih.gov/nuccore/CP000304.1?report=graph&amp;tracks=[key:gene_model_track,Options:GeneOnly]&amp;mk=853876:853895|offset_12|444444,853922:853941|offset_58|444444,853944:853963|offset_80|00cc00,853976:853995|offset_112|444444&amp;v=853675:854195&amp;c=444444", "offset 80")</f>
        <v>offset 80</v>
      </c>
    </row>
    <row r="2879" customFormat="false" ht="12.8" hidden="false" customHeight="false" outlineLevel="0" collapsed="false">
      <c r="A2879" s="0" t="s">
        <v>12</v>
      </c>
      <c r="B2879" s="0" t="n">
        <v>853975</v>
      </c>
      <c r="C2879" s="0" t="n">
        <v>853995</v>
      </c>
      <c r="D2879" s="0" t="s">
        <v>9590</v>
      </c>
      <c r="E2879" s="0" t="s">
        <v>9591</v>
      </c>
      <c r="F2879" s="0" t="s">
        <v>15</v>
      </c>
      <c r="G2879" s="0" t="s">
        <v>16</v>
      </c>
      <c r="H2879" s="0" t="n">
        <v>112</v>
      </c>
      <c r="I2879" s="0" t="s">
        <v>9601</v>
      </c>
      <c r="J2879" s="0" t="s">
        <v>9602</v>
      </c>
      <c r="K2879" s="0" t="s">
        <v>9603</v>
      </c>
      <c r="L2879" s="0" t="str">
        <f aca="false">HYPERLINK("https://www.ncbi.nlm.nih.gov/nuccore/CP000304.1?report=graph&amp;tracks=[key:gene_model_track,Options:GeneOnly]&amp;mk=853876:853895|offset_12|444444,853922:853941|offset_58|444444,853944:853963|offset_80|444444,853976:853995|offset_112|00cc00&amp;v=853675:854195&amp;c=444444", "offset 112")</f>
        <v>offset 112</v>
      </c>
    </row>
    <row r="2880" customFormat="false" ht="12.8" hidden="false" customHeight="false" outlineLevel="0" collapsed="false">
      <c r="A2880" s="0" t="s">
        <v>12</v>
      </c>
      <c r="B2880" s="0" t="n">
        <v>854736</v>
      </c>
      <c r="C2880" s="0" t="n">
        <v>854756</v>
      </c>
      <c r="D2880" s="0" t="s">
        <v>9604</v>
      </c>
      <c r="E2880" s="0" t="s">
        <v>89</v>
      </c>
      <c r="F2880" s="0" t="s">
        <v>15</v>
      </c>
      <c r="G2880" s="0" t="s">
        <v>26</v>
      </c>
      <c r="H2880" s="0" t="n">
        <v>24</v>
      </c>
      <c r="I2880" s="0" t="s">
        <v>9605</v>
      </c>
      <c r="J2880" s="0" t="s">
        <v>9606</v>
      </c>
      <c r="K2880" s="0" t="s">
        <v>9607</v>
      </c>
      <c r="L2880" s="0" t="str">
        <f aca="false">HYPERLINK("https://www.ncbi.nlm.nih.gov/nuccore/CP000304.1?report=graph&amp;tracks=[key:gene_model_track,Options:GeneOnly]&amp;mk=854737:854756|offset_24|00cc00,854763:854782|offset_50|444444,854795:854814|offset_82|444444,854825:854844|offset_112|444444&amp;v=854536:855044&amp;c=444444", "offset 24")</f>
        <v>offset 24</v>
      </c>
    </row>
    <row r="2881" customFormat="false" ht="12.8" hidden="false" customHeight="false" outlineLevel="0" collapsed="false">
      <c r="A2881" s="0" t="s">
        <v>12</v>
      </c>
      <c r="B2881" s="0" t="n">
        <v>854762</v>
      </c>
      <c r="C2881" s="0" t="n">
        <v>854782</v>
      </c>
      <c r="D2881" s="0" t="s">
        <v>9604</v>
      </c>
      <c r="E2881" s="0" t="s">
        <v>89</v>
      </c>
      <c r="F2881" s="0" t="s">
        <v>15</v>
      </c>
      <c r="G2881" s="0" t="s">
        <v>32</v>
      </c>
      <c r="H2881" s="0" t="n">
        <v>50</v>
      </c>
      <c r="I2881" s="0" t="s">
        <v>9608</v>
      </c>
      <c r="J2881" s="0" t="s">
        <v>9609</v>
      </c>
      <c r="K2881" s="0" t="s">
        <v>9610</v>
      </c>
      <c r="L2881" s="0" t="str">
        <f aca="false">HYPERLINK("https://www.ncbi.nlm.nih.gov/nuccore/CP000304.1?report=graph&amp;tracks=[key:gene_model_track,Options:GeneOnly]&amp;mk=854737:854756|offset_24|444444,854763:854782|offset_50|00cc00,854795:854814|offset_82|444444,854825:854844|offset_112|444444&amp;v=854536:855044&amp;c=444444", "offset 50")</f>
        <v>offset 50</v>
      </c>
    </row>
    <row r="2882" customFormat="false" ht="12.8" hidden="false" customHeight="false" outlineLevel="0" collapsed="false">
      <c r="A2882" s="0" t="s">
        <v>12</v>
      </c>
      <c r="B2882" s="0" t="n">
        <v>854794</v>
      </c>
      <c r="C2882" s="0" t="n">
        <v>854814</v>
      </c>
      <c r="D2882" s="0" t="s">
        <v>9604</v>
      </c>
      <c r="E2882" s="0" t="s">
        <v>89</v>
      </c>
      <c r="F2882" s="0" t="s">
        <v>15</v>
      </c>
      <c r="G2882" s="0" t="s">
        <v>36</v>
      </c>
      <c r="H2882" s="0" t="n">
        <v>82</v>
      </c>
      <c r="I2882" s="0" t="s">
        <v>9611</v>
      </c>
      <c r="J2882" s="0" t="s">
        <v>9612</v>
      </c>
      <c r="K2882" s="0" t="s">
        <v>9613</v>
      </c>
      <c r="L2882" s="0" t="str">
        <f aca="false">HYPERLINK("https://www.ncbi.nlm.nih.gov/nuccore/CP000304.1?report=graph&amp;tracks=[key:gene_model_track,Options:GeneOnly]&amp;mk=854737:854756|offset_24|444444,854763:854782|offset_50|444444,854795:854814|offset_82|00cc00,854825:854844|offset_112|444444&amp;v=854536:855044&amp;c=444444", "offset 82")</f>
        <v>offset 82</v>
      </c>
    </row>
    <row r="2883" customFormat="false" ht="12.8" hidden="false" customHeight="false" outlineLevel="0" collapsed="false">
      <c r="A2883" s="0" t="s">
        <v>12</v>
      </c>
      <c r="B2883" s="0" t="n">
        <v>854824</v>
      </c>
      <c r="C2883" s="0" t="n">
        <v>854844</v>
      </c>
      <c r="D2883" s="0" t="s">
        <v>9604</v>
      </c>
      <c r="E2883" s="0" t="s">
        <v>89</v>
      </c>
      <c r="F2883" s="0" t="s">
        <v>15</v>
      </c>
      <c r="G2883" s="0" t="s">
        <v>16</v>
      </c>
      <c r="H2883" s="0" t="n">
        <v>112</v>
      </c>
      <c r="I2883" s="0" t="s">
        <v>9614</v>
      </c>
      <c r="J2883" s="0" t="s">
        <v>9615</v>
      </c>
      <c r="K2883" s="0" t="s">
        <v>9616</v>
      </c>
      <c r="L2883" s="0" t="str">
        <f aca="false">HYPERLINK("https://www.ncbi.nlm.nih.gov/nuccore/CP000304.1?report=graph&amp;tracks=[key:gene_model_track,Options:GeneOnly]&amp;mk=854737:854756|offset_24|444444,854763:854782|offset_50|444444,854795:854814|offset_82|444444,854825:854844|offset_112|00cc00&amp;v=854536:855044&amp;c=444444", "offset 112")</f>
        <v>offset 112</v>
      </c>
    </row>
    <row r="2884" customFormat="false" ht="12.8" hidden="false" customHeight="false" outlineLevel="0" collapsed="false">
      <c r="A2884" s="0" t="s">
        <v>12</v>
      </c>
      <c r="B2884" s="0" t="n">
        <v>855490</v>
      </c>
      <c r="C2884" s="0" t="n">
        <v>855510</v>
      </c>
      <c r="D2884" s="0" t="s">
        <v>9617</v>
      </c>
      <c r="E2884" s="0" t="s">
        <v>89</v>
      </c>
      <c r="F2884" s="0" t="s">
        <v>15</v>
      </c>
      <c r="G2884" s="0" t="s">
        <v>16</v>
      </c>
      <c r="H2884" s="0" t="n">
        <v>62</v>
      </c>
      <c r="I2884" s="0" t="s">
        <v>9618</v>
      </c>
      <c r="J2884" s="0" t="s">
        <v>9619</v>
      </c>
      <c r="K2884" s="0" t="s">
        <v>9620</v>
      </c>
      <c r="L2884" s="0" t="str">
        <f aca="false">HYPERLINK("https://www.ncbi.nlm.nih.gov/nuccore/CP000304.1?report=graph&amp;tracks=[key:gene_model_track,Options:GeneOnly]&amp;mk=855491:855510|offset_62|00cc00,855511:855530|offset_82|444444,855534:855553|offset_105|444444,855571:855590|offset_142|444444&amp;v=855290:855790&amp;c=444444", "offset 62")</f>
        <v>offset 62</v>
      </c>
    </row>
    <row r="2885" customFormat="false" ht="12.8" hidden="false" customHeight="false" outlineLevel="0" collapsed="false">
      <c r="A2885" s="0" t="s">
        <v>12</v>
      </c>
      <c r="B2885" s="0" t="n">
        <v>855510</v>
      </c>
      <c r="C2885" s="0" t="n">
        <v>855530</v>
      </c>
      <c r="D2885" s="0" t="s">
        <v>9617</v>
      </c>
      <c r="E2885" s="0" t="s">
        <v>89</v>
      </c>
      <c r="F2885" s="0" t="s">
        <v>15</v>
      </c>
      <c r="G2885" s="0" t="s">
        <v>16</v>
      </c>
      <c r="H2885" s="0" t="n">
        <v>82</v>
      </c>
      <c r="I2885" s="0" t="s">
        <v>9621</v>
      </c>
      <c r="J2885" s="0" t="s">
        <v>9622</v>
      </c>
      <c r="K2885" s="0" t="s">
        <v>9623</v>
      </c>
      <c r="L2885" s="0" t="str">
        <f aca="false">HYPERLINK("https://www.ncbi.nlm.nih.gov/nuccore/CP000304.1?report=graph&amp;tracks=[key:gene_model_track,Options:GeneOnly]&amp;mk=855491:855510|offset_62|444444,855511:855530|offset_82|00cc00,855534:855553|offset_105|444444,855571:855590|offset_142|444444&amp;v=855290:855790&amp;c=444444", "offset 82")</f>
        <v>offset 82</v>
      </c>
    </row>
    <row r="2886" customFormat="false" ht="12.8" hidden="false" customHeight="false" outlineLevel="0" collapsed="false">
      <c r="A2886" s="0" t="s">
        <v>12</v>
      </c>
      <c r="B2886" s="0" t="n">
        <v>855533</v>
      </c>
      <c r="C2886" s="0" t="n">
        <v>855553</v>
      </c>
      <c r="D2886" s="0" t="s">
        <v>9617</v>
      </c>
      <c r="E2886" s="0" t="s">
        <v>89</v>
      </c>
      <c r="F2886" s="0" t="s">
        <v>15</v>
      </c>
      <c r="G2886" s="0" t="s">
        <v>26</v>
      </c>
      <c r="H2886" s="0" t="n">
        <v>105</v>
      </c>
      <c r="I2886" s="0" t="s">
        <v>9624</v>
      </c>
      <c r="J2886" s="0" t="s">
        <v>9625</v>
      </c>
      <c r="K2886" s="0" t="s">
        <v>9626</v>
      </c>
      <c r="L2886" s="0" t="str">
        <f aca="false">HYPERLINK("https://www.ncbi.nlm.nih.gov/nuccore/CP000304.1?report=graph&amp;tracks=[key:gene_model_track,Options:GeneOnly]&amp;mk=855491:855510|offset_62|444444,855511:855530|offset_82|444444,855534:855553|offset_105|00cc00,855571:855590|offset_142|444444&amp;v=855290:855790&amp;c=444444", "offset 105")</f>
        <v>offset 105</v>
      </c>
    </row>
    <row r="2887" customFormat="false" ht="12.8" hidden="false" customHeight="false" outlineLevel="0" collapsed="false">
      <c r="A2887" s="0" t="s">
        <v>12</v>
      </c>
      <c r="B2887" s="0" t="n">
        <v>855570</v>
      </c>
      <c r="C2887" s="0" t="n">
        <v>855590</v>
      </c>
      <c r="D2887" s="0" t="s">
        <v>9617</v>
      </c>
      <c r="E2887" s="0" t="s">
        <v>89</v>
      </c>
      <c r="F2887" s="0" t="s">
        <v>15</v>
      </c>
      <c r="G2887" s="0" t="s">
        <v>36</v>
      </c>
      <c r="H2887" s="0" t="n">
        <v>142</v>
      </c>
      <c r="I2887" s="0" t="s">
        <v>9627</v>
      </c>
      <c r="J2887" s="0" t="s">
        <v>9628</v>
      </c>
      <c r="K2887" s="0" t="s">
        <v>9629</v>
      </c>
      <c r="L2887" s="0" t="str">
        <f aca="false">HYPERLINK("https://www.ncbi.nlm.nih.gov/nuccore/CP000304.1?report=graph&amp;tracks=[key:gene_model_track,Options:GeneOnly]&amp;mk=855491:855510|offset_62|444444,855511:855530|offset_82|444444,855534:855553|offset_105|444444,855571:855590|offset_142|00cc00&amp;v=855290:855790&amp;c=444444", "offset 142")</f>
        <v>offset 142</v>
      </c>
    </row>
    <row r="2888" customFormat="false" ht="12.8" hidden="false" customHeight="false" outlineLevel="0" collapsed="false">
      <c r="A2888" s="0" t="s">
        <v>12</v>
      </c>
      <c r="B2888" s="0" t="n">
        <v>857062</v>
      </c>
      <c r="C2888" s="0" t="n">
        <v>857082</v>
      </c>
      <c r="D2888" s="0" t="s">
        <v>9630</v>
      </c>
      <c r="E2888" s="0" t="s">
        <v>89</v>
      </c>
      <c r="F2888" s="0" t="s">
        <v>90</v>
      </c>
      <c r="G2888" s="0" t="s">
        <v>36</v>
      </c>
      <c r="H2888" s="0" t="n">
        <v>6</v>
      </c>
      <c r="I2888" s="0" t="s">
        <v>9631</v>
      </c>
      <c r="J2888" s="0" t="s">
        <v>9632</v>
      </c>
      <c r="K2888" s="0" t="s">
        <v>9633</v>
      </c>
      <c r="L2888" s="0" t="str">
        <f aca="false">HYPERLINK("https://www.ncbi.nlm.nih.gov/nuccore/CP000304.1?report=graph&amp;tracks=[key:gene_model_track,Options:GeneOnly]&amp;mk=857063:857082|offset_6|00cc00,857043:857062|offset_26|444444,857017:857036|offset_52|444444,856992:857011|offset_77|444444&amp;v=856862:857211&amp;c=444444", "offset 6")</f>
        <v>offset 6</v>
      </c>
    </row>
    <row r="2889" customFormat="false" ht="12.8" hidden="false" customHeight="false" outlineLevel="0" collapsed="false">
      <c r="A2889" s="0" t="s">
        <v>12</v>
      </c>
      <c r="B2889" s="0" t="n">
        <v>857042</v>
      </c>
      <c r="C2889" s="0" t="n">
        <v>857062</v>
      </c>
      <c r="D2889" s="0" t="s">
        <v>9630</v>
      </c>
      <c r="E2889" s="0" t="s">
        <v>89</v>
      </c>
      <c r="F2889" s="0" t="s">
        <v>90</v>
      </c>
      <c r="G2889" s="0" t="s">
        <v>36</v>
      </c>
      <c r="H2889" s="0" t="n">
        <v>26</v>
      </c>
      <c r="I2889" s="0" t="s">
        <v>9634</v>
      </c>
      <c r="J2889" s="0" t="s">
        <v>9635</v>
      </c>
      <c r="K2889" s="0" t="s">
        <v>9636</v>
      </c>
      <c r="L2889" s="0" t="str">
        <f aca="false">HYPERLINK("https://www.ncbi.nlm.nih.gov/nuccore/CP000304.1?report=graph&amp;tracks=[key:gene_model_track,Options:GeneOnly]&amp;mk=857063:857082|offset_6|444444,857043:857062|offset_26|00cc00,857017:857036|offset_52|444444,856992:857011|offset_77|444444&amp;v=856862:857211&amp;c=444444", "offset 26")</f>
        <v>offset 26</v>
      </c>
    </row>
    <row r="2890" customFormat="false" ht="12.8" hidden="false" customHeight="false" outlineLevel="0" collapsed="false">
      <c r="A2890" s="0" t="s">
        <v>12</v>
      </c>
      <c r="B2890" s="0" t="n">
        <v>857016</v>
      </c>
      <c r="C2890" s="0" t="n">
        <v>857036</v>
      </c>
      <c r="D2890" s="0" t="s">
        <v>9630</v>
      </c>
      <c r="E2890" s="0" t="s">
        <v>89</v>
      </c>
      <c r="F2890" s="0" t="s">
        <v>90</v>
      </c>
      <c r="G2890" s="0" t="s">
        <v>16</v>
      </c>
      <c r="H2890" s="0" t="n">
        <v>52</v>
      </c>
      <c r="I2890" s="0" t="s">
        <v>9637</v>
      </c>
      <c r="J2890" s="0" t="s">
        <v>9638</v>
      </c>
      <c r="K2890" s="0" t="s">
        <v>9639</v>
      </c>
      <c r="L2890" s="0" t="str">
        <f aca="false">HYPERLINK("https://www.ncbi.nlm.nih.gov/nuccore/CP000304.1?report=graph&amp;tracks=[key:gene_model_track,Options:GeneOnly]&amp;mk=857063:857082|offset_6|444444,857043:857062|offset_26|444444,857017:857036|offset_52|00cc00,856992:857011|offset_77|444444&amp;v=856862:857211&amp;c=444444", "offset 52")</f>
        <v>offset 52</v>
      </c>
    </row>
    <row r="2891" customFormat="false" ht="12.8" hidden="false" customHeight="false" outlineLevel="0" collapsed="false">
      <c r="A2891" s="0" t="s">
        <v>12</v>
      </c>
      <c r="B2891" s="0" t="n">
        <v>856991</v>
      </c>
      <c r="C2891" s="0" t="n">
        <v>857011</v>
      </c>
      <c r="D2891" s="0" t="s">
        <v>9630</v>
      </c>
      <c r="E2891" s="0" t="s">
        <v>89</v>
      </c>
      <c r="F2891" s="0" t="s">
        <v>90</v>
      </c>
      <c r="G2891" s="0" t="s">
        <v>36</v>
      </c>
      <c r="H2891" s="0" t="n">
        <v>77</v>
      </c>
      <c r="I2891" s="0" t="s">
        <v>9640</v>
      </c>
      <c r="J2891" s="0" t="s">
        <v>9641</v>
      </c>
      <c r="K2891" s="0" t="s">
        <v>9642</v>
      </c>
      <c r="L2891" s="0" t="str">
        <f aca="false">HYPERLINK("https://www.ncbi.nlm.nih.gov/nuccore/CP000304.1?report=graph&amp;tracks=[key:gene_model_track,Options:GeneOnly]&amp;mk=857063:857082|offset_6|444444,857043:857062|offset_26|444444,857017:857036|offset_52|444444,856992:857011|offset_77|00cc00&amp;v=856862:857211&amp;c=444444", "offset 77")</f>
        <v>offset 77</v>
      </c>
    </row>
    <row r="2892" customFormat="false" ht="12.8" hidden="false" customHeight="false" outlineLevel="0" collapsed="false">
      <c r="A2892" s="0" t="s">
        <v>12</v>
      </c>
      <c r="B2892" s="0" t="n">
        <v>857216</v>
      </c>
      <c r="C2892" s="0" t="n">
        <v>857236</v>
      </c>
      <c r="D2892" s="0" t="s">
        <v>9643</v>
      </c>
      <c r="E2892" s="0" t="s">
        <v>89</v>
      </c>
      <c r="F2892" s="0" t="s">
        <v>15</v>
      </c>
      <c r="G2892" s="0" t="s">
        <v>16</v>
      </c>
      <c r="H2892" s="0" t="n">
        <v>17</v>
      </c>
      <c r="I2892" s="0" t="s">
        <v>9644</v>
      </c>
      <c r="J2892" s="0" t="s">
        <v>9645</v>
      </c>
      <c r="K2892" s="0" t="s">
        <v>9646</v>
      </c>
      <c r="L2892" s="0" t="str">
        <f aca="false">HYPERLINK("https://www.ncbi.nlm.nih.gov/nuccore/CP000304.1?report=graph&amp;tracks=[key:gene_model_track,Options:GeneOnly]&amp;mk=857217:857236|offset_17|00cc00,857261:857280|offset_61|444444,857286:857305|offset_86|444444,857314:857333|offset_114|444444&amp;v=857016:857533&amp;c=444444", "offset 17")</f>
        <v>offset 17</v>
      </c>
    </row>
    <row r="2893" customFormat="false" ht="12.8" hidden="false" customHeight="false" outlineLevel="0" collapsed="false">
      <c r="A2893" s="0" t="s">
        <v>12</v>
      </c>
      <c r="B2893" s="0" t="n">
        <v>857260</v>
      </c>
      <c r="C2893" s="0" t="n">
        <v>857280</v>
      </c>
      <c r="D2893" s="0" t="s">
        <v>9643</v>
      </c>
      <c r="E2893" s="0" t="s">
        <v>89</v>
      </c>
      <c r="F2893" s="0" t="s">
        <v>15</v>
      </c>
      <c r="G2893" s="0" t="s">
        <v>32</v>
      </c>
      <c r="H2893" s="0" t="n">
        <v>61</v>
      </c>
      <c r="I2893" s="0" t="s">
        <v>9647</v>
      </c>
      <c r="J2893" s="0" t="s">
        <v>9648</v>
      </c>
      <c r="K2893" s="0" t="s">
        <v>9649</v>
      </c>
      <c r="L2893" s="0" t="str">
        <f aca="false">HYPERLINK("https://www.ncbi.nlm.nih.gov/nuccore/CP000304.1?report=graph&amp;tracks=[key:gene_model_track,Options:GeneOnly]&amp;mk=857217:857236|offset_17|444444,857261:857280|offset_61|00cc00,857286:857305|offset_86|444444,857314:857333|offset_114|444444&amp;v=857016:857533&amp;c=444444", "offset 61")</f>
        <v>offset 61</v>
      </c>
    </row>
    <row r="2894" customFormat="false" ht="12.8" hidden="false" customHeight="false" outlineLevel="0" collapsed="false">
      <c r="A2894" s="0" t="s">
        <v>12</v>
      </c>
      <c r="B2894" s="0" t="n">
        <v>857285</v>
      </c>
      <c r="C2894" s="0" t="n">
        <v>857305</v>
      </c>
      <c r="D2894" s="0" t="s">
        <v>9643</v>
      </c>
      <c r="E2894" s="0" t="s">
        <v>89</v>
      </c>
      <c r="F2894" s="0" t="s">
        <v>15</v>
      </c>
      <c r="G2894" s="0" t="s">
        <v>32</v>
      </c>
      <c r="H2894" s="0" t="n">
        <v>86</v>
      </c>
      <c r="I2894" s="0" t="s">
        <v>9650</v>
      </c>
      <c r="J2894" s="0" t="s">
        <v>9651</v>
      </c>
      <c r="K2894" s="0" t="s">
        <v>9652</v>
      </c>
      <c r="L2894" s="0" t="str">
        <f aca="false">HYPERLINK("https://www.ncbi.nlm.nih.gov/nuccore/CP000304.1?report=graph&amp;tracks=[key:gene_model_track,Options:GeneOnly]&amp;mk=857217:857236|offset_17|444444,857261:857280|offset_61|444444,857286:857305|offset_86|00cc00,857314:857333|offset_114|444444&amp;v=857016:857533&amp;c=444444", "offset 86")</f>
        <v>offset 86</v>
      </c>
    </row>
    <row r="2895" customFormat="false" ht="12.8" hidden="false" customHeight="false" outlineLevel="0" collapsed="false">
      <c r="A2895" s="0" t="s">
        <v>12</v>
      </c>
      <c r="B2895" s="0" t="n">
        <v>857313</v>
      </c>
      <c r="C2895" s="0" t="n">
        <v>857333</v>
      </c>
      <c r="D2895" s="0" t="s">
        <v>9643</v>
      </c>
      <c r="E2895" s="0" t="s">
        <v>89</v>
      </c>
      <c r="F2895" s="0" t="s">
        <v>15</v>
      </c>
      <c r="G2895" s="0" t="s">
        <v>36</v>
      </c>
      <c r="H2895" s="0" t="n">
        <v>114</v>
      </c>
      <c r="I2895" s="0" t="s">
        <v>9653</v>
      </c>
      <c r="J2895" s="0" t="s">
        <v>9654</v>
      </c>
      <c r="K2895" s="0" t="s">
        <v>9655</v>
      </c>
      <c r="L2895" s="0" t="str">
        <f aca="false">HYPERLINK("https://www.ncbi.nlm.nih.gov/nuccore/CP000304.1?report=graph&amp;tracks=[key:gene_model_track,Options:GeneOnly]&amp;mk=857217:857236|offset_17|444444,857261:857280|offset_61|444444,857286:857305|offset_86|444444,857314:857333|offset_114|00cc00&amp;v=857016:857533&amp;c=444444", "offset 114")</f>
        <v>offset 114</v>
      </c>
    </row>
    <row r="2896" customFormat="false" ht="12.8" hidden="false" customHeight="false" outlineLevel="0" collapsed="false">
      <c r="A2896" s="0" t="s">
        <v>12</v>
      </c>
      <c r="B2896" s="0" t="n">
        <v>859945</v>
      </c>
      <c r="C2896" s="0" t="n">
        <v>859965</v>
      </c>
      <c r="D2896" s="0" t="s">
        <v>9656</v>
      </c>
      <c r="E2896" s="0" t="s">
        <v>89</v>
      </c>
      <c r="F2896" s="0" t="s">
        <v>90</v>
      </c>
      <c r="G2896" s="0" t="s">
        <v>32</v>
      </c>
      <c r="H2896" s="0" t="n">
        <v>6</v>
      </c>
      <c r="I2896" s="0" t="s">
        <v>9657</v>
      </c>
      <c r="J2896" s="0" t="s">
        <v>9658</v>
      </c>
      <c r="K2896" s="0" t="s">
        <v>9659</v>
      </c>
      <c r="L2896" s="0" t="str">
        <f aca="false">HYPERLINK("https://www.ncbi.nlm.nih.gov/nuccore/CP000304.1?report=graph&amp;tracks=[key:gene_model_track,Options:GeneOnly]&amp;mk=859946:859965|offset_6|00cc00,859918:859937|offset_34|444444,859894:859913|offset_58|444444,859872:859891|offset_80|444444&amp;v=859745:860091&amp;c=444444", "offset 6")</f>
        <v>offset 6</v>
      </c>
    </row>
    <row r="2897" customFormat="false" ht="12.8" hidden="false" customHeight="false" outlineLevel="0" collapsed="false">
      <c r="A2897" s="0" t="s">
        <v>12</v>
      </c>
      <c r="B2897" s="0" t="n">
        <v>859917</v>
      </c>
      <c r="C2897" s="0" t="n">
        <v>859937</v>
      </c>
      <c r="D2897" s="0" t="s">
        <v>9656</v>
      </c>
      <c r="E2897" s="0" t="s">
        <v>89</v>
      </c>
      <c r="F2897" s="0" t="s">
        <v>90</v>
      </c>
      <c r="G2897" s="0" t="s">
        <v>32</v>
      </c>
      <c r="H2897" s="0" t="n">
        <v>34</v>
      </c>
      <c r="I2897" s="0" t="s">
        <v>9660</v>
      </c>
      <c r="J2897" s="0" t="s">
        <v>9661</v>
      </c>
      <c r="K2897" s="0" t="s">
        <v>9662</v>
      </c>
      <c r="L2897" s="0" t="str">
        <f aca="false">HYPERLINK("https://www.ncbi.nlm.nih.gov/nuccore/CP000304.1?report=graph&amp;tracks=[key:gene_model_track,Options:GeneOnly]&amp;mk=859946:859965|offset_6|444444,859918:859937|offset_34|00cc00,859894:859913|offset_58|444444,859872:859891|offset_80|444444&amp;v=859745:860091&amp;c=444444", "offset 34")</f>
        <v>offset 34</v>
      </c>
    </row>
    <row r="2898" customFormat="false" ht="12.8" hidden="false" customHeight="false" outlineLevel="0" collapsed="false">
      <c r="A2898" s="0" t="s">
        <v>12</v>
      </c>
      <c r="B2898" s="0" t="n">
        <v>859893</v>
      </c>
      <c r="C2898" s="0" t="n">
        <v>859913</v>
      </c>
      <c r="D2898" s="0" t="s">
        <v>9656</v>
      </c>
      <c r="E2898" s="0" t="s">
        <v>89</v>
      </c>
      <c r="F2898" s="0" t="s">
        <v>90</v>
      </c>
      <c r="G2898" s="0" t="s">
        <v>16</v>
      </c>
      <c r="H2898" s="0" t="n">
        <v>58</v>
      </c>
      <c r="I2898" s="0" t="s">
        <v>9663</v>
      </c>
      <c r="J2898" s="0" t="s">
        <v>9664</v>
      </c>
      <c r="K2898" s="0" t="s">
        <v>9665</v>
      </c>
      <c r="L2898" s="0" t="str">
        <f aca="false">HYPERLINK("https://www.ncbi.nlm.nih.gov/nuccore/CP000304.1?report=graph&amp;tracks=[key:gene_model_track,Options:GeneOnly]&amp;mk=859946:859965|offset_6|444444,859918:859937|offset_34|444444,859894:859913|offset_58|00cc00,859872:859891|offset_80|444444&amp;v=859745:860091&amp;c=444444", "offset 58")</f>
        <v>offset 58</v>
      </c>
    </row>
    <row r="2899" customFormat="false" ht="12.8" hidden="false" customHeight="false" outlineLevel="0" collapsed="false">
      <c r="A2899" s="0" t="s">
        <v>12</v>
      </c>
      <c r="B2899" s="0" t="n">
        <v>859871</v>
      </c>
      <c r="C2899" s="0" t="n">
        <v>859891</v>
      </c>
      <c r="D2899" s="0" t="s">
        <v>9656</v>
      </c>
      <c r="E2899" s="0" t="s">
        <v>89</v>
      </c>
      <c r="F2899" s="0" t="s">
        <v>90</v>
      </c>
      <c r="G2899" s="0" t="s">
        <v>26</v>
      </c>
      <c r="H2899" s="0" t="n">
        <v>80</v>
      </c>
      <c r="I2899" s="0" t="s">
        <v>9666</v>
      </c>
      <c r="J2899" s="0" t="s">
        <v>9667</v>
      </c>
      <c r="K2899" s="0" t="s">
        <v>9668</v>
      </c>
      <c r="L2899" s="0" t="str">
        <f aca="false">HYPERLINK("https://www.ncbi.nlm.nih.gov/nuccore/CP000304.1?report=graph&amp;tracks=[key:gene_model_track,Options:GeneOnly]&amp;mk=859946:859965|offset_6|444444,859918:859937|offset_34|444444,859894:859913|offset_58|444444,859872:859891|offset_80|00cc00&amp;v=859745:860091&amp;c=444444", "offset 80")</f>
        <v>offset 80</v>
      </c>
    </row>
    <row r="2900" customFormat="false" ht="12.8" hidden="false" customHeight="false" outlineLevel="0" collapsed="false">
      <c r="A2900" s="0" t="s">
        <v>12</v>
      </c>
      <c r="B2900" s="0" t="n">
        <v>860573</v>
      </c>
      <c r="C2900" s="0" t="n">
        <v>860593</v>
      </c>
      <c r="D2900" s="0" t="s">
        <v>9669</v>
      </c>
      <c r="E2900" s="0" t="s">
        <v>89</v>
      </c>
      <c r="F2900" s="0" t="s">
        <v>90</v>
      </c>
      <c r="G2900" s="0" t="s">
        <v>16</v>
      </c>
      <c r="H2900" s="0" t="n">
        <v>40</v>
      </c>
      <c r="I2900" s="0" t="s">
        <v>9670</v>
      </c>
      <c r="J2900" s="0" t="s">
        <v>9671</v>
      </c>
      <c r="K2900" s="0" t="s">
        <v>9672</v>
      </c>
      <c r="L2900" s="0" t="str">
        <f aca="false">HYPERLINK("https://www.ncbi.nlm.nih.gov/nuccore/CP000304.1?report=graph&amp;tracks=[key:gene_model_track,Options:GeneOnly]&amp;mk=860574:860593|offset_40|00cc00,860554:860573|offset_60|444444,860514:860533|offset_100|444444,860479:860498|offset_135|444444&amp;v=860373:860698&amp;c=444444", "offset 40")</f>
        <v>offset 40</v>
      </c>
    </row>
    <row r="2901" customFormat="false" ht="12.8" hidden="false" customHeight="false" outlineLevel="0" collapsed="false">
      <c r="A2901" s="0" t="s">
        <v>12</v>
      </c>
      <c r="B2901" s="0" t="n">
        <v>860553</v>
      </c>
      <c r="C2901" s="0" t="n">
        <v>860573</v>
      </c>
      <c r="D2901" s="0" t="s">
        <v>9669</v>
      </c>
      <c r="E2901" s="0" t="s">
        <v>89</v>
      </c>
      <c r="F2901" s="0" t="s">
        <v>90</v>
      </c>
      <c r="G2901" s="0" t="s">
        <v>16</v>
      </c>
      <c r="H2901" s="0" t="n">
        <v>60</v>
      </c>
      <c r="I2901" s="0" t="s">
        <v>9673</v>
      </c>
      <c r="J2901" s="0" t="s">
        <v>9674</v>
      </c>
      <c r="K2901" s="0" t="s">
        <v>9675</v>
      </c>
      <c r="L2901" s="0" t="str">
        <f aca="false">HYPERLINK("https://www.ncbi.nlm.nih.gov/nuccore/CP000304.1?report=graph&amp;tracks=[key:gene_model_track,Options:GeneOnly]&amp;mk=860574:860593|offset_40|444444,860554:860573|offset_60|00cc00,860514:860533|offset_100|444444,860479:860498|offset_135|444444&amp;v=860373:860698&amp;c=444444", "offset 60")</f>
        <v>offset 60</v>
      </c>
    </row>
    <row r="2902" customFormat="false" ht="12.8" hidden="false" customHeight="false" outlineLevel="0" collapsed="false">
      <c r="A2902" s="0" t="s">
        <v>12</v>
      </c>
      <c r="B2902" s="0" t="n">
        <v>860513</v>
      </c>
      <c r="C2902" s="0" t="n">
        <v>860533</v>
      </c>
      <c r="D2902" s="0" t="s">
        <v>9669</v>
      </c>
      <c r="E2902" s="0" t="s">
        <v>89</v>
      </c>
      <c r="F2902" s="0" t="s">
        <v>90</v>
      </c>
      <c r="G2902" s="0" t="s">
        <v>32</v>
      </c>
      <c r="H2902" s="0" t="n">
        <v>100</v>
      </c>
      <c r="I2902" s="0" t="s">
        <v>9676</v>
      </c>
      <c r="J2902" s="0" t="s">
        <v>9677</v>
      </c>
      <c r="K2902" s="0" t="s">
        <v>9678</v>
      </c>
      <c r="L2902" s="0" t="str">
        <f aca="false">HYPERLINK("https://www.ncbi.nlm.nih.gov/nuccore/CP000304.1?report=graph&amp;tracks=[key:gene_model_track,Options:GeneOnly]&amp;mk=860574:860593|offset_40|444444,860554:860573|offset_60|444444,860514:860533|offset_100|00cc00,860479:860498|offset_135|444444&amp;v=860373:860698&amp;c=444444", "offset 100")</f>
        <v>offset 100</v>
      </c>
    </row>
    <row r="2903" customFormat="false" ht="12.8" hidden="false" customHeight="false" outlineLevel="0" collapsed="false">
      <c r="A2903" s="0" t="s">
        <v>12</v>
      </c>
      <c r="B2903" s="0" t="n">
        <v>860478</v>
      </c>
      <c r="C2903" s="0" t="n">
        <v>860498</v>
      </c>
      <c r="D2903" s="0" t="s">
        <v>9669</v>
      </c>
      <c r="E2903" s="0" t="s">
        <v>89</v>
      </c>
      <c r="F2903" s="0" t="s">
        <v>90</v>
      </c>
      <c r="G2903" s="0" t="s">
        <v>16</v>
      </c>
      <c r="H2903" s="0" t="n">
        <v>135</v>
      </c>
      <c r="I2903" s="0" t="s">
        <v>9679</v>
      </c>
      <c r="J2903" s="0" t="s">
        <v>9680</v>
      </c>
      <c r="K2903" s="0" t="s">
        <v>9681</v>
      </c>
      <c r="L2903" s="0" t="str">
        <f aca="false">HYPERLINK("https://www.ncbi.nlm.nih.gov/nuccore/CP000304.1?report=graph&amp;tracks=[key:gene_model_track,Options:GeneOnly]&amp;mk=860574:860593|offset_40|444444,860554:860573|offset_60|444444,860514:860533|offset_100|444444,860479:860498|offset_135|00cc00&amp;v=860373:860698&amp;c=444444", "offset 135")</f>
        <v>offset 135</v>
      </c>
    </row>
    <row r="2904" customFormat="false" ht="12.8" hidden="false" customHeight="false" outlineLevel="0" collapsed="false">
      <c r="A2904" s="0" t="s">
        <v>12</v>
      </c>
      <c r="B2904" s="0" t="n">
        <v>860636</v>
      </c>
      <c r="C2904" s="0" t="n">
        <v>860656</v>
      </c>
      <c r="D2904" s="0" t="s">
        <v>9682</v>
      </c>
      <c r="E2904" s="0" t="s">
        <v>9683</v>
      </c>
      <c r="F2904" s="0" t="s">
        <v>15</v>
      </c>
      <c r="G2904" s="0" t="s">
        <v>36</v>
      </c>
      <c r="H2904" s="0" t="n">
        <v>26</v>
      </c>
      <c r="I2904" s="0" t="s">
        <v>9684</v>
      </c>
      <c r="J2904" s="0" t="s">
        <v>9685</v>
      </c>
      <c r="K2904" s="0" t="s">
        <v>9686</v>
      </c>
      <c r="L2904" s="0" t="str">
        <f aca="false">HYPERLINK("https://www.ncbi.nlm.nih.gov/nuccore/CP000304.1?report=graph&amp;tracks=[key:gene_model_track,Options:GeneOnly]&amp;mk=860637:860656|offset_26|00cc00,860678:860697|offset_67|444444,860763:860782|offset_152|444444,860786:860805|offset_175|444444&amp;v=860436:861005&amp;c=444444", "offset 26")</f>
        <v>offset 26</v>
      </c>
    </row>
    <row r="2905" customFormat="false" ht="12.8" hidden="false" customHeight="false" outlineLevel="0" collapsed="false">
      <c r="A2905" s="0" t="s">
        <v>12</v>
      </c>
      <c r="B2905" s="0" t="n">
        <v>860677</v>
      </c>
      <c r="C2905" s="0" t="n">
        <v>860697</v>
      </c>
      <c r="D2905" s="0" t="s">
        <v>9682</v>
      </c>
      <c r="E2905" s="0" t="s">
        <v>9683</v>
      </c>
      <c r="F2905" s="0" t="s">
        <v>15</v>
      </c>
      <c r="G2905" s="0" t="s">
        <v>26</v>
      </c>
      <c r="H2905" s="0" t="n">
        <v>67</v>
      </c>
      <c r="I2905" s="0" t="s">
        <v>9687</v>
      </c>
      <c r="J2905" s="0" t="s">
        <v>9688</v>
      </c>
      <c r="K2905" s="0" t="s">
        <v>9689</v>
      </c>
      <c r="L2905" s="0" t="str">
        <f aca="false">HYPERLINK("https://www.ncbi.nlm.nih.gov/nuccore/CP000304.1?report=graph&amp;tracks=[key:gene_model_track,Options:GeneOnly]&amp;mk=860637:860656|offset_26|444444,860678:860697|offset_67|00cc00,860763:860782|offset_152|444444,860786:860805|offset_175|444444&amp;v=860436:861005&amp;c=444444", "offset 67")</f>
        <v>offset 67</v>
      </c>
    </row>
    <row r="2906" customFormat="false" ht="12.8" hidden="false" customHeight="false" outlineLevel="0" collapsed="false">
      <c r="A2906" s="0" t="s">
        <v>12</v>
      </c>
      <c r="B2906" s="0" t="n">
        <v>860762</v>
      </c>
      <c r="C2906" s="0" t="n">
        <v>860782</v>
      </c>
      <c r="D2906" s="0" t="s">
        <v>9682</v>
      </c>
      <c r="E2906" s="0" t="s">
        <v>9683</v>
      </c>
      <c r="F2906" s="0" t="s">
        <v>15</v>
      </c>
      <c r="G2906" s="0" t="s">
        <v>26</v>
      </c>
      <c r="H2906" s="0" t="n">
        <v>152</v>
      </c>
      <c r="I2906" s="0" t="s">
        <v>9690</v>
      </c>
      <c r="J2906" s="0" t="s">
        <v>9691</v>
      </c>
      <c r="K2906" s="0" t="s">
        <v>9692</v>
      </c>
      <c r="L2906" s="0" t="str">
        <f aca="false">HYPERLINK("https://www.ncbi.nlm.nih.gov/nuccore/CP000304.1?report=graph&amp;tracks=[key:gene_model_track,Options:GeneOnly]&amp;mk=860637:860656|offset_26|444444,860678:860697|offset_67|444444,860763:860782|offset_152|00cc00,860786:860805|offset_175|444444&amp;v=860436:861005&amp;c=444444", "offset 152")</f>
        <v>offset 152</v>
      </c>
    </row>
    <row r="2907" customFormat="false" ht="12.8" hidden="false" customHeight="false" outlineLevel="0" collapsed="false">
      <c r="A2907" s="0" t="s">
        <v>12</v>
      </c>
      <c r="B2907" s="0" t="n">
        <v>860785</v>
      </c>
      <c r="C2907" s="0" t="n">
        <v>860805</v>
      </c>
      <c r="D2907" s="0" t="s">
        <v>9682</v>
      </c>
      <c r="E2907" s="0" t="s">
        <v>9683</v>
      </c>
      <c r="F2907" s="0" t="s">
        <v>15</v>
      </c>
      <c r="G2907" s="0" t="s">
        <v>16</v>
      </c>
      <c r="H2907" s="0" t="n">
        <v>175</v>
      </c>
      <c r="I2907" s="0" t="s">
        <v>9693</v>
      </c>
      <c r="J2907" s="0" t="s">
        <v>9694</v>
      </c>
      <c r="K2907" s="0" t="s">
        <v>9695</v>
      </c>
      <c r="L2907" s="0" t="str">
        <f aca="false">HYPERLINK("https://www.ncbi.nlm.nih.gov/nuccore/CP000304.1?report=graph&amp;tracks=[key:gene_model_track,Options:GeneOnly]&amp;mk=860637:860656|offset_26|444444,860678:860697|offset_67|444444,860763:860782|offset_152|444444,860786:860805|offset_175|00cc00&amp;v=860436:861005&amp;c=444444", "offset 175")</f>
        <v>offset 175</v>
      </c>
    </row>
    <row r="2908" customFormat="false" ht="12.8" hidden="false" customHeight="false" outlineLevel="0" collapsed="false">
      <c r="A2908" s="0" t="s">
        <v>12</v>
      </c>
      <c r="B2908" s="0" t="n">
        <v>861851</v>
      </c>
      <c r="C2908" s="0" t="n">
        <v>861871</v>
      </c>
      <c r="D2908" s="0" t="s">
        <v>9696</v>
      </c>
      <c r="E2908" s="0" t="s">
        <v>89</v>
      </c>
      <c r="F2908" s="0" t="s">
        <v>15</v>
      </c>
      <c r="G2908" s="0" t="s">
        <v>32</v>
      </c>
      <c r="H2908" s="0" t="n">
        <v>0</v>
      </c>
      <c r="I2908" s="0" t="s">
        <v>9697</v>
      </c>
      <c r="J2908" s="0" t="s">
        <v>9698</v>
      </c>
      <c r="K2908" s="0" t="s">
        <v>9699</v>
      </c>
      <c r="L2908" s="0" t="str">
        <f aca="false">HYPERLINK("https://www.ncbi.nlm.nih.gov/nuccore/CP000304.1?report=graph&amp;tracks=[key:gene_model_track,Options:GeneOnly]&amp;mk=861852:861871|offset_0|00cc00,861876:861895|offset_24|444444,861945:861964|offset_93|444444,861995:862014|offset_143|444444&amp;v=861651:862214&amp;c=444444", "offset 0")</f>
        <v>offset 0</v>
      </c>
    </row>
    <row r="2909" customFormat="false" ht="12.8" hidden="false" customHeight="false" outlineLevel="0" collapsed="false">
      <c r="A2909" s="0" t="s">
        <v>12</v>
      </c>
      <c r="B2909" s="0" t="n">
        <v>861875</v>
      </c>
      <c r="C2909" s="0" t="n">
        <v>861895</v>
      </c>
      <c r="D2909" s="0" t="s">
        <v>9696</v>
      </c>
      <c r="E2909" s="0" t="s">
        <v>89</v>
      </c>
      <c r="F2909" s="0" t="s">
        <v>15</v>
      </c>
      <c r="G2909" s="0" t="s">
        <v>36</v>
      </c>
      <c r="H2909" s="0" t="n">
        <v>24</v>
      </c>
      <c r="I2909" s="0" t="s">
        <v>9700</v>
      </c>
      <c r="J2909" s="0" t="s">
        <v>9701</v>
      </c>
      <c r="K2909" s="0" t="s">
        <v>9702</v>
      </c>
      <c r="L2909" s="0" t="str">
        <f aca="false">HYPERLINK("https://www.ncbi.nlm.nih.gov/nuccore/CP000304.1?report=graph&amp;tracks=[key:gene_model_track,Options:GeneOnly]&amp;mk=861852:861871|offset_0|444444,861876:861895|offset_24|00cc00,861945:861964|offset_93|444444,861995:862014|offset_143|444444&amp;v=861651:862214&amp;c=444444", "offset 24")</f>
        <v>offset 24</v>
      </c>
    </row>
    <row r="2910" customFormat="false" ht="12.8" hidden="false" customHeight="false" outlineLevel="0" collapsed="false">
      <c r="A2910" s="0" t="s">
        <v>12</v>
      </c>
      <c r="B2910" s="0" t="n">
        <v>861944</v>
      </c>
      <c r="C2910" s="0" t="n">
        <v>861964</v>
      </c>
      <c r="D2910" s="0" t="s">
        <v>9696</v>
      </c>
      <c r="E2910" s="0" t="s">
        <v>89</v>
      </c>
      <c r="F2910" s="0" t="s">
        <v>15</v>
      </c>
      <c r="G2910" s="0" t="s">
        <v>16</v>
      </c>
      <c r="H2910" s="0" t="n">
        <v>93</v>
      </c>
      <c r="I2910" s="0" t="s">
        <v>9703</v>
      </c>
      <c r="J2910" s="0" t="s">
        <v>9704</v>
      </c>
      <c r="K2910" s="0" t="s">
        <v>9705</v>
      </c>
      <c r="L2910" s="0" t="str">
        <f aca="false">HYPERLINK("https://www.ncbi.nlm.nih.gov/nuccore/CP000304.1?report=graph&amp;tracks=[key:gene_model_track,Options:GeneOnly]&amp;mk=861852:861871|offset_0|444444,861876:861895|offset_24|444444,861945:861964|offset_93|00cc00,861995:862014|offset_143|444444&amp;v=861651:862214&amp;c=444444", "offset 93")</f>
        <v>offset 93</v>
      </c>
    </row>
    <row r="2911" customFormat="false" ht="12.8" hidden="false" customHeight="false" outlineLevel="0" collapsed="false">
      <c r="A2911" s="0" t="s">
        <v>12</v>
      </c>
      <c r="B2911" s="0" t="n">
        <v>861994</v>
      </c>
      <c r="C2911" s="0" t="n">
        <v>862014</v>
      </c>
      <c r="D2911" s="0" t="s">
        <v>9696</v>
      </c>
      <c r="E2911" s="0" t="s">
        <v>89</v>
      </c>
      <c r="F2911" s="0" t="s">
        <v>15</v>
      </c>
      <c r="G2911" s="0" t="s">
        <v>32</v>
      </c>
      <c r="H2911" s="0" t="n">
        <v>143</v>
      </c>
      <c r="I2911" s="0" t="s">
        <v>9706</v>
      </c>
      <c r="J2911" s="0" t="s">
        <v>9707</v>
      </c>
      <c r="K2911" s="0" t="s">
        <v>9708</v>
      </c>
      <c r="L2911" s="0" t="str">
        <f aca="false">HYPERLINK("https://www.ncbi.nlm.nih.gov/nuccore/CP000304.1?report=graph&amp;tracks=[key:gene_model_track,Options:GeneOnly]&amp;mk=861852:861871|offset_0|444444,861876:861895|offset_24|444444,861945:861964|offset_93|444444,861995:862014|offset_143|00cc00&amp;v=861651:862214&amp;c=444444", "offset 143")</f>
        <v>offset 143</v>
      </c>
    </row>
    <row r="2912" customFormat="false" ht="12.8" hidden="false" customHeight="false" outlineLevel="0" collapsed="false">
      <c r="A2912" s="0" t="s">
        <v>12</v>
      </c>
      <c r="B2912" s="0" t="n">
        <v>863298</v>
      </c>
      <c r="C2912" s="0" t="n">
        <v>863318</v>
      </c>
      <c r="D2912" s="0" t="s">
        <v>9709</v>
      </c>
      <c r="E2912" s="0" t="s">
        <v>89</v>
      </c>
      <c r="F2912" s="0" t="s">
        <v>90</v>
      </c>
      <c r="G2912" s="0" t="s">
        <v>32</v>
      </c>
      <c r="H2912" s="0" t="n">
        <v>13</v>
      </c>
      <c r="I2912" s="0" t="s">
        <v>9710</v>
      </c>
      <c r="J2912" s="0" t="s">
        <v>9711</v>
      </c>
      <c r="K2912" s="0" t="s">
        <v>9712</v>
      </c>
      <c r="L2912" s="0" t="str">
        <f aca="false">HYPERLINK("https://www.ncbi.nlm.nih.gov/nuccore/CP000304.1?report=graph&amp;tracks=[key:gene_model_track,Options:GeneOnly]&amp;mk=863299:863318|offset_13|00cc00,863260:863279|offset_52|444444,863239:863258|offset_73|444444,863219:863238|offset_93|444444&amp;v=863098:863438&amp;c=444444", "offset 13")</f>
        <v>offset 13</v>
      </c>
    </row>
    <row r="2913" customFormat="false" ht="12.8" hidden="false" customHeight="false" outlineLevel="0" collapsed="false">
      <c r="A2913" s="0" t="s">
        <v>12</v>
      </c>
      <c r="B2913" s="0" t="n">
        <v>863259</v>
      </c>
      <c r="C2913" s="0" t="n">
        <v>863279</v>
      </c>
      <c r="D2913" s="0" t="s">
        <v>9709</v>
      </c>
      <c r="E2913" s="0" t="s">
        <v>89</v>
      </c>
      <c r="F2913" s="0" t="s">
        <v>90</v>
      </c>
      <c r="G2913" s="0" t="s">
        <v>16</v>
      </c>
      <c r="H2913" s="0" t="n">
        <v>52</v>
      </c>
      <c r="I2913" s="0" t="s">
        <v>9713</v>
      </c>
      <c r="J2913" s="0" t="s">
        <v>9714</v>
      </c>
      <c r="K2913" s="0" t="s">
        <v>9715</v>
      </c>
      <c r="L2913" s="0" t="str">
        <f aca="false">HYPERLINK("https://www.ncbi.nlm.nih.gov/nuccore/CP000304.1?report=graph&amp;tracks=[key:gene_model_track,Options:GeneOnly]&amp;mk=863299:863318|offset_13|444444,863260:863279|offset_52|00cc00,863239:863258|offset_73|444444,863219:863238|offset_93|444444&amp;v=863098:863438&amp;c=444444", "offset 52")</f>
        <v>offset 52</v>
      </c>
    </row>
    <row r="2914" customFormat="false" ht="12.8" hidden="false" customHeight="false" outlineLevel="0" collapsed="false">
      <c r="A2914" s="0" t="s">
        <v>12</v>
      </c>
      <c r="B2914" s="0" t="n">
        <v>863238</v>
      </c>
      <c r="C2914" s="0" t="n">
        <v>863258</v>
      </c>
      <c r="D2914" s="0" t="s">
        <v>9709</v>
      </c>
      <c r="E2914" s="0" t="s">
        <v>89</v>
      </c>
      <c r="F2914" s="0" t="s">
        <v>90</v>
      </c>
      <c r="G2914" s="0" t="s">
        <v>32</v>
      </c>
      <c r="H2914" s="0" t="n">
        <v>73</v>
      </c>
      <c r="I2914" s="0" t="s">
        <v>9716</v>
      </c>
      <c r="J2914" s="0" t="s">
        <v>9717</v>
      </c>
      <c r="K2914" s="0" t="s">
        <v>9718</v>
      </c>
      <c r="L2914" s="0" t="str">
        <f aca="false">HYPERLINK("https://www.ncbi.nlm.nih.gov/nuccore/CP000304.1?report=graph&amp;tracks=[key:gene_model_track,Options:GeneOnly]&amp;mk=863299:863318|offset_13|444444,863260:863279|offset_52|444444,863239:863258|offset_73|00cc00,863219:863238|offset_93|444444&amp;v=863098:863438&amp;c=444444", "offset 73")</f>
        <v>offset 73</v>
      </c>
    </row>
    <row r="2915" customFormat="false" ht="12.8" hidden="false" customHeight="false" outlineLevel="0" collapsed="false">
      <c r="A2915" s="0" t="s">
        <v>12</v>
      </c>
      <c r="B2915" s="0" t="n">
        <v>863218</v>
      </c>
      <c r="C2915" s="0" t="n">
        <v>863238</v>
      </c>
      <c r="D2915" s="0" t="s">
        <v>9709</v>
      </c>
      <c r="E2915" s="0" t="s">
        <v>89</v>
      </c>
      <c r="F2915" s="0" t="s">
        <v>90</v>
      </c>
      <c r="G2915" s="0" t="s">
        <v>26</v>
      </c>
      <c r="H2915" s="0" t="n">
        <v>93</v>
      </c>
      <c r="I2915" s="0" t="s">
        <v>9719</v>
      </c>
      <c r="J2915" s="0" t="s">
        <v>9720</v>
      </c>
      <c r="K2915" s="0" t="s">
        <v>9721</v>
      </c>
      <c r="L2915" s="0" t="str">
        <f aca="false">HYPERLINK("https://www.ncbi.nlm.nih.gov/nuccore/CP000304.1?report=graph&amp;tracks=[key:gene_model_track,Options:GeneOnly]&amp;mk=863299:863318|offset_13|444444,863260:863279|offset_52|444444,863239:863258|offset_73|444444,863219:863238|offset_93|00cc00&amp;v=863098:863438&amp;c=444444", "offset 93")</f>
        <v>offset 93</v>
      </c>
    </row>
    <row r="2916" customFormat="false" ht="12.8" hidden="false" customHeight="false" outlineLevel="0" collapsed="false">
      <c r="A2916" s="0" t="s">
        <v>12</v>
      </c>
      <c r="B2916" s="0" t="n">
        <v>864735</v>
      </c>
      <c r="C2916" s="0" t="n">
        <v>864755</v>
      </c>
      <c r="D2916" s="0" t="s">
        <v>9722</v>
      </c>
      <c r="E2916" s="0" t="s">
        <v>89</v>
      </c>
      <c r="F2916" s="0" t="s">
        <v>90</v>
      </c>
      <c r="G2916" s="0" t="s">
        <v>26</v>
      </c>
      <c r="H2916" s="0" t="n">
        <v>6</v>
      </c>
      <c r="I2916" s="0" t="s">
        <v>9723</v>
      </c>
      <c r="J2916" s="0" t="s">
        <v>9724</v>
      </c>
      <c r="K2916" s="0" t="s">
        <v>9725</v>
      </c>
      <c r="L2916" s="0" t="str">
        <f aca="false">HYPERLINK("https://www.ncbi.nlm.nih.gov/nuccore/CP000304.1?report=graph&amp;tracks=[key:gene_model_track,Options:GeneOnly]&amp;mk=864736:864755|offset_6|00cc00,864710:864729|offset_32|444444,864662:864681|offset_80|444444,864639:864658|offset_103|444444&amp;v=864535:864858&amp;c=444444", "offset 6")</f>
        <v>offset 6</v>
      </c>
    </row>
    <row r="2917" customFormat="false" ht="12.8" hidden="false" customHeight="false" outlineLevel="0" collapsed="false">
      <c r="A2917" s="0" t="s">
        <v>12</v>
      </c>
      <c r="B2917" s="0" t="n">
        <v>864709</v>
      </c>
      <c r="C2917" s="0" t="n">
        <v>864729</v>
      </c>
      <c r="D2917" s="0" t="s">
        <v>9722</v>
      </c>
      <c r="E2917" s="0" t="s">
        <v>89</v>
      </c>
      <c r="F2917" s="0" t="s">
        <v>90</v>
      </c>
      <c r="G2917" s="0" t="s">
        <v>36</v>
      </c>
      <c r="H2917" s="0" t="n">
        <v>32</v>
      </c>
      <c r="I2917" s="0" t="s">
        <v>9726</v>
      </c>
      <c r="J2917" s="0" t="s">
        <v>9727</v>
      </c>
      <c r="K2917" s="0" t="s">
        <v>9728</v>
      </c>
      <c r="L2917" s="0" t="str">
        <f aca="false">HYPERLINK("https://www.ncbi.nlm.nih.gov/nuccore/CP000304.1?report=graph&amp;tracks=[key:gene_model_track,Options:GeneOnly]&amp;mk=864736:864755|offset_6|444444,864710:864729|offset_32|00cc00,864662:864681|offset_80|444444,864639:864658|offset_103|444444&amp;v=864535:864858&amp;c=444444", "offset 32")</f>
        <v>offset 32</v>
      </c>
    </row>
    <row r="2918" customFormat="false" ht="12.8" hidden="false" customHeight="false" outlineLevel="0" collapsed="false">
      <c r="A2918" s="0" t="s">
        <v>12</v>
      </c>
      <c r="B2918" s="0" t="n">
        <v>864661</v>
      </c>
      <c r="C2918" s="0" t="n">
        <v>864681</v>
      </c>
      <c r="D2918" s="0" t="s">
        <v>9722</v>
      </c>
      <c r="E2918" s="0" t="s">
        <v>89</v>
      </c>
      <c r="F2918" s="0" t="s">
        <v>90</v>
      </c>
      <c r="G2918" s="0" t="s">
        <v>26</v>
      </c>
      <c r="H2918" s="0" t="n">
        <v>80</v>
      </c>
      <c r="I2918" s="0" t="s">
        <v>9729</v>
      </c>
      <c r="J2918" s="0" t="s">
        <v>9730</v>
      </c>
      <c r="K2918" s="0" t="s">
        <v>9731</v>
      </c>
      <c r="L2918" s="0" t="str">
        <f aca="false">HYPERLINK("https://www.ncbi.nlm.nih.gov/nuccore/CP000304.1?report=graph&amp;tracks=[key:gene_model_track,Options:GeneOnly]&amp;mk=864736:864755|offset_6|444444,864710:864729|offset_32|444444,864662:864681|offset_80|00cc00,864639:864658|offset_103|444444&amp;v=864535:864858&amp;c=444444", "offset 80")</f>
        <v>offset 80</v>
      </c>
    </row>
    <row r="2919" customFormat="false" ht="12.8" hidden="false" customHeight="false" outlineLevel="0" collapsed="false">
      <c r="A2919" s="0" t="s">
        <v>12</v>
      </c>
      <c r="B2919" s="0" t="n">
        <v>864638</v>
      </c>
      <c r="C2919" s="0" t="n">
        <v>864658</v>
      </c>
      <c r="D2919" s="0" t="s">
        <v>9722</v>
      </c>
      <c r="E2919" s="0" t="s">
        <v>89</v>
      </c>
      <c r="F2919" s="0" t="s">
        <v>90</v>
      </c>
      <c r="G2919" s="0" t="s">
        <v>36</v>
      </c>
      <c r="H2919" s="0" t="n">
        <v>103</v>
      </c>
      <c r="I2919" s="0" t="s">
        <v>9732</v>
      </c>
      <c r="J2919" s="0" t="s">
        <v>9733</v>
      </c>
      <c r="K2919" s="0" t="s">
        <v>9734</v>
      </c>
      <c r="L2919" s="0" t="str">
        <f aca="false">HYPERLINK("https://www.ncbi.nlm.nih.gov/nuccore/CP000304.1?report=graph&amp;tracks=[key:gene_model_track,Options:GeneOnly]&amp;mk=864736:864755|offset_6|444444,864710:864729|offset_32|444444,864662:864681|offset_80|444444,864639:864658|offset_103|00cc00&amp;v=864535:864858&amp;c=444444", "offset 103")</f>
        <v>offset 103</v>
      </c>
    </row>
    <row r="2920" customFormat="false" ht="12.8" hidden="false" customHeight="false" outlineLevel="0" collapsed="false">
      <c r="A2920" s="0" t="s">
        <v>12</v>
      </c>
      <c r="B2920" s="0" t="n">
        <v>864940</v>
      </c>
      <c r="C2920" s="0" t="n">
        <v>864960</v>
      </c>
      <c r="D2920" s="0" t="s">
        <v>9735</v>
      </c>
      <c r="E2920" s="0" t="s">
        <v>9736</v>
      </c>
      <c r="F2920" s="0" t="s">
        <v>15</v>
      </c>
      <c r="G2920" s="0" t="s">
        <v>32</v>
      </c>
      <c r="H2920" s="0" t="n">
        <v>1</v>
      </c>
      <c r="I2920" s="0" t="s">
        <v>9737</v>
      </c>
      <c r="J2920" s="0" t="s">
        <v>9738</v>
      </c>
      <c r="K2920" s="0" t="s">
        <v>9739</v>
      </c>
      <c r="L2920" s="0" t="str">
        <f aca="false">HYPERLINK("https://www.ncbi.nlm.nih.gov/nuccore/CP000304.1?report=graph&amp;tracks=[key:gene_model_track,Options:GeneOnly]&amp;mk=864941:864960|offset_1|00cc00,865019:865038|offset_79|444444,865039:865058|offset_99|444444,865066:865085|offset_126|444444&amp;v=864740:865285&amp;c=444444", "offset 1")</f>
        <v>offset 1</v>
      </c>
    </row>
    <row r="2921" customFormat="false" ht="12.8" hidden="false" customHeight="false" outlineLevel="0" collapsed="false">
      <c r="A2921" s="0" t="s">
        <v>12</v>
      </c>
      <c r="B2921" s="0" t="n">
        <v>865018</v>
      </c>
      <c r="C2921" s="0" t="n">
        <v>865038</v>
      </c>
      <c r="D2921" s="0" t="s">
        <v>9735</v>
      </c>
      <c r="E2921" s="0" t="s">
        <v>9736</v>
      </c>
      <c r="F2921" s="0" t="s">
        <v>15</v>
      </c>
      <c r="G2921" s="0" t="s">
        <v>32</v>
      </c>
      <c r="H2921" s="0" t="n">
        <v>79</v>
      </c>
      <c r="I2921" s="0" t="s">
        <v>9740</v>
      </c>
      <c r="J2921" s="0" t="s">
        <v>9741</v>
      </c>
      <c r="K2921" s="0" t="s">
        <v>9742</v>
      </c>
      <c r="L2921" s="0" t="str">
        <f aca="false">HYPERLINK("https://www.ncbi.nlm.nih.gov/nuccore/CP000304.1?report=graph&amp;tracks=[key:gene_model_track,Options:GeneOnly]&amp;mk=864941:864960|offset_1|444444,865019:865038|offset_79|00cc00,865039:865058|offset_99|444444,865066:865085|offset_126|444444&amp;v=864740:865285&amp;c=444444", "offset 79")</f>
        <v>offset 79</v>
      </c>
    </row>
    <row r="2922" customFormat="false" ht="12.8" hidden="false" customHeight="false" outlineLevel="0" collapsed="false">
      <c r="A2922" s="0" t="s">
        <v>12</v>
      </c>
      <c r="B2922" s="0" t="n">
        <v>865038</v>
      </c>
      <c r="C2922" s="0" t="n">
        <v>865058</v>
      </c>
      <c r="D2922" s="0" t="s">
        <v>9735</v>
      </c>
      <c r="E2922" s="0" t="s">
        <v>9736</v>
      </c>
      <c r="F2922" s="0" t="s">
        <v>15</v>
      </c>
      <c r="G2922" s="0" t="s">
        <v>16</v>
      </c>
      <c r="H2922" s="0" t="n">
        <v>99</v>
      </c>
      <c r="I2922" s="0" t="s">
        <v>9743</v>
      </c>
      <c r="J2922" s="0" t="s">
        <v>9744</v>
      </c>
      <c r="K2922" s="0" t="s">
        <v>9745</v>
      </c>
      <c r="L2922" s="0" t="str">
        <f aca="false">HYPERLINK("https://www.ncbi.nlm.nih.gov/nuccore/CP000304.1?report=graph&amp;tracks=[key:gene_model_track,Options:GeneOnly]&amp;mk=864941:864960|offset_1|444444,865019:865038|offset_79|444444,865039:865058|offset_99|00cc00,865066:865085|offset_126|444444&amp;v=864740:865285&amp;c=444444", "offset 99")</f>
        <v>offset 99</v>
      </c>
    </row>
    <row r="2923" customFormat="false" ht="12.8" hidden="false" customHeight="false" outlineLevel="0" collapsed="false">
      <c r="A2923" s="0" t="s">
        <v>12</v>
      </c>
      <c r="B2923" s="0" t="n">
        <v>865065</v>
      </c>
      <c r="C2923" s="0" t="n">
        <v>865085</v>
      </c>
      <c r="D2923" s="0" t="s">
        <v>9735</v>
      </c>
      <c r="E2923" s="0" t="s">
        <v>9736</v>
      </c>
      <c r="F2923" s="0" t="s">
        <v>15</v>
      </c>
      <c r="G2923" s="0" t="s">
        <v>16</v>
      </c>
      <c r="H2923" s="0" t="n">
        <v>126</v>
      </c>
      <c r="I2923" s="0" t="s">
        <v>9746</v>
      </c>
      <c r="J2923" s="0" t="s">
        <v>9747</v>
      </c>
      <c r="K2923" s="0" t="s">
        <v>9748</v>
      </c>
      <c r="L2923" s="0" t="str">
        <f aca="false">HYPERLINK("https://www.ncbi.nlm.nih.gov/nuccore/CP000304.1?report=graph&amp;tracks=[key:gene_model_track,Options:GeneOnly]&amp;mk=864941:864960|offset_1|444444,865019:865038|offset_79|444444,865039:865058|offset_99|444444,865066:865085|offset_126|00cc00&amp;v=864740:865285&amp;c=444444", "offset 126")</f>
        <v>offset 126</v>
      </c>
    </row>
    <row r="2924" customFormat="false" ht="12.8" hidden="false" customHeight="false" outlineLevel="0" collapsed="false">
      <c r="A2924" s="0" t="s">
        <v>12</v>
      </c>
      <c r="B2924" s="0" t="n">
        <v>872033</v>
      </c>
      <c r="C2924" s="0" t="n">
        <v>872053</v>
      </c>
      <c r="D2924" s="0" t="s">
        <v>9749</v>
      </c>
      <c r="E2924" s="0" t="s">
        <v>9750</v>
      </c>
      <c r="F2924" s="0" t="s">
        <v>15</v>
      </c>
      <c r="G2924" s="0" t="s">
        <v>32</v>
      </c>
      <c r="H2924" s="0" t="n">
        <v>26</v>
      </c>
      <c r="I2924" s="0" t="s">
        <v>9751</v>
      </c>
      <c r="J2924" s="0" t="s">
        <v>9752</v>
      </c>
      <c r="K2924" s="0" t="s">
        <v>9753</v>
      </c>
      <c r="L2924" s="0" t="str">
        <f aca="false">HYPERLINK("https://www.ncbi.nlm.nih.gov/nuccore/CP000304.1?report=graph&amp;tracks=[key:gene_model_track,Options:GeneOnly]&amp;mk=872034:872053|offset_26|00cc00,872109:872128|offset_101|444444,872139:872158|offset_131|444444,872160:872179|offset_152|444444&amp;v=871833:872379&amp;c=444444", "offset 26")</f>
        <v>offset 26</v>
      </c>
    </row>
    <row r="2925" customFormat="false" ht="12.8" hidden="false" customHeight="false" outlineLevel="0" collapsed="false">
      <c r="A2925" s="0" t="s">
        <v>12</v>
      </c>
      <c r="B2925" s="0" t="n">
        <v>872108</v>
      </c>
      <c r="C2925" s="0" t="n">
        <v>872128</v>
      </c>
      <c r="D2925" s="0" t="s">
        <v>9749</v>
      </c>
      <c r="E2925" s="0" t="s">
        <v>9750</v>
      </c>
      <c r="F2925" s="0" t="s">
        <v>15</v>
      </c>
      <c r="G2925" s="0" t="s">
        <v>26</v>
      </c>
      <c r="H2925" s="0" t="n">
        <v>101</v>
      </c>
      <c r="I2925" s="0" t="s">
        <v>9754</v>
      </c>
      <c r="J2925" s="0" t="s">
        <v>9755</v>
      </c>
      <c r="K2925" s="0" t="s">
        <v>9756</v>
      </c>
      <c r="L2925" s="0" t="str">
        <f aca="false">HYPERLINK("https://www.ncbi.nlm.nih.gov/nuccore/CP000304.1?report=graph&amp;tracks=[key:gene_model_track,Options:GeneOnly]&amp;mk=872034:872053|offset_26|444444,872109:872128|offset_101|00cc00,872139:872158|offset_131|444444,872160:872179|offset_152|444444&amp;v=871833:872379&amp;c=444444", "offset 101")</f>
        <v>offset 101</v>
      </c>
    </row>
    <row r="2926" customFormat="false" ht="12.8" hidden="false" customHeight="false" outlineLevel="0" collapsed="false">
      <c r="A2926" s="0" t="s">
        <v>12</v>
      </c>
      <c r="B2926" s="0" t="n">
        <v>872138</v>
      </c>
      <c r="C2926" s="0" t="n">
        <v>872158</v>
      </c>
      <c r="D2926" s="0" t="s">
        <v>9749</v>
      </c>
      <c r="E2926" s="0" t="s">
        <v>9750</v>
      </c>
      <c r="F2926" s="0" t="s">
        <v>15</v>
      </c>
      <c r="G2926" s="0" t="s">
        <v>36</v>
      </c>
      <c r="H2926" s="0" t="n">
        <v>131</v>
      </c>
      <c r="I2926" s="0" t="s">
        <v>9757</v>
      </c>
      <c r="J2926" s="0" t="s">
        <v>9758</v>
      </c>
      <c r="K2926" s="0" t="s">
        <v>9759</v>
      </c>
      <c r="L2926" s="0" t="str">
        <f aca="false">HYPERLINK("https://www.ncbi.nlm.nih.gov/nuccore/CP000304.1?report=graph&amp;tracks=[key:gene_model_track,Options:GeneOnly]&amp;mk=872034:872053|offset_26|444444,872109:872128|offset_101|444444,872139:872158|offset_131|00cc00,872160:872179|offset_152|444444&amp;v=871833:872379&amp;c=444444", "offset 131")</f>
        <v>offset 131</v>
      </c>
    </row>
    <row r="2927" customFormat="false" ht="12.8" hidden="false" customHeight="false" outlineLevel="0" collapsed="false">
      <c r="A2927" s="0" t="s">
        <v>12</v>
      </c>
      <c r="B2927" s="0" t="n">
        <v>872159</v>
      </c>
      <c r="C2927" s="0" t="n">
        <v>872179</v>
      </c>
      <c r="D2927" s="0" t="s">
        <v>9749</v>
      </c>
      <c r="E2927" s="0" t="s">
        <v>9750</v>
      </c>
      <c r="F2927" s="0" t="s">
        <v>15</v>
      </c>
      <c r="G2927" s="0" t="s">
        <v>16</v>
      </c>
      <c r="H2927" s="0" t="n">
        <v>152</v>
      </c>
      <c r="I2927" s="0" t="s">
        <v>9760</v>
      </c>
      <c r="J2927" s="0" t="s">
        <v>9761</v>
      </c>
      <c r="K2927" s="0" t="s">
        <v>9762</v>
      </c>
      <c r="L2927" s="0" t="str">
        <f aca="false">HYPERLINK("https://www.ncbi.nlm.nih.gov/nuccore/CP000304.1?report=graph&amp;tracks=[key:gene_model_track,Options:GeneOnly]&amp;mk=872034:872053|offset_26|444444,872109:872128|offset_101|444444,872139:872158|offset_131|444444,872160:872179|offset_152|00cc00&amp;v=871833:872379&amp;c=444444", "offset 152")</f>
        <v>offset 152</v>
      </c>
    </row>
    <row r="2928" customFormat="false" ht="12.8" hidden="false" customHeight="false" outlineLevel="0" collapsed="false">
      <c r="A2928" s="0" t="s">
        <v>12</v>
      </c>
      <c r="B2928" s="0" t="n">
        <v>873007</v>
      </c>
      <c r="C2928" s="0" t="n">
        <v>873027</v>
      </c>
      <c r="D2928" s="0" t="s">
        <v>9763</v>
      </c>
      <c r="E2928" s="0" t="s">
        <v>89</v>
      </c>
      <c r="F2928" s="0" t="s">
        <v>15</v>
      </c>
      <c r="G2928" s="0" t="s">
        <v>36</v>
      </c>
      <c r="H2928" s="0" t="n">
        <v>56</v>
      </c>
      <c r="I2928" s="0" t="s">
        <v>9764</v>
      </c>
      <c r="J2928" s="0" t="s">
        <v>9765</v>
      </c>
      <c r="K2928" s="0" t="s">
        <v>9766</v>
      </c>
      <c r="L2928" s="0" t="str">
        <f aca="false">HYPERLINK("https://www.ncbi.nlm.nih.gov/nuccore/CP000304.1?report=graph&amp;tracks=[key:gene_model_track,Options:GeneOnly]&amp;mk=873008:873027|offset_56|00cc00,873040:873059|offset_88|444444,873076:873095|offset_124|444444,873106:873125|offset_154|444444&amp;v=872807:873325&amp;c=444444", "offset 56")</f>
        <v>offset 56</v>
      </c>
    </row>
    <row r="2929" customFormat="false" ht="12.8" hidden="false" customHeight="false" outlineLevel="0" collapsed="false">
      <c r="A2929" s="0" t="s">
        <v>12</v>
      </c>
      <c r="B2929" s="0" t="n">
        <v>873039</v>
      </c>
      <c r="C2929" s="0" t="n">
        <v>873059</v>
      </c>
      <c r="D2929" s="0" t="s">
        <v>9763</v>
      </c>
      <c r="E2929" s="0" t="s">
        <v>89</v>
      </c>
      <c r="F2929" s="0" t="s">
        <v>15</v>
      </c>
      <c r="G2929" s="0" t="s">
        <v>26</v>
      </c>
      <c r="H2929" s="0" t="n">
        <v>88</v>
      </c>
      <c r="I2929" s="0" t="s">
        <v>9767</v>
      </c>
      <c r="J2929" s="0" t="s">
        <v>9768</v>
      </c>
      <c r="K2929" s="0" t="s">
        <v>9769</v>
      </c>
      <c r="L2929" s="0" t="str">
        <f aca="false">HYPERLINK("https://www.ncbi.nlm.nih.gov/nuccore/CP000304.1?report=graph&amp;tracks=[key:gene_model_track,Options:GeneOnly]&amp;mk=873008:873027|offset_56|444444,873040:873059|offset_88|00cc00,873076:873095|offset_124|444444,873106:873125|offset_154|444444&amp;v=872807:873325&amp;c=444444", "offset 88")</f>
        <v>offset 88</v>
      </c>
    </row>
    <row r="2930" customFormat="false" ht="12.8" hidden="false" customHeight="false" outlineLevel="0" collapsed="false">
      <c r="A2930" s="0" t="s">
        <v>12</v>
      </c>
      <c r="B2930" s="0" t="n">
        <v>873075</v>
      </c>
      <c r="C2930" s="0" t="n">
        <v>873095</v>
      </c>
      <c r="D2930" s="0" t="s">
        <v>9763</v>
      </c>
      <c r="E2930" s="0" t="s">
        <v>89</v>
      </c>
      <c r="F2930" s="0" t="s">
        <v>15</v>
      </c>
      <c r="G2930" s="0" t="s">
        <v>32</v>
      </c>
      <c r="H2930" s="0" t="n">
        <v>124</v>
      </c>
      <c r="I2930" s="0" t="s">
        <v>9770</v>
      </c>
      <c r="J2930" s="0" t="s">
        <v>9771</v>
      </c>
      <c r="K2930" s="0" t="s">
        <v>9772</v>
      </c>
      <c r="L2930" s="0" t="str">
        <f aca="false">HYPERLINK("https://www.ncbi.nlm.nih.gov/nuccore/CP000304.1?report=graph&amp;tracks=[key:gene_model_track,Options:GeneOnly]&amp;mk=873008:873027|offset_56|444444,873040:873059|offset_88|444444,873076:873095|offset_124|00cc00,873106:873125|offset_154|444444&amp;v=872807:873325&amp;c=444444", "offset 124")</f>
        <v>offset 124</v>
      </c>
    </row>
    <row r="2931" customFormat="false" ht="12.8" hidden="false" customHeight="false" outlineLevel="0" collapsed="false">
      <c r="A2931" s="0" t="s">
        <v>12</v>
      </c>
      <c r="B2931" s="0" t="n">
        <v>873105</v>
      </c>
      <c r="C2931" s="0" t="n">
        <v>873125</v>
      </c>
      <c r="D2931" s="0" t="s">
        <v>9763</v>
      </c>
      <c r="E2931" s="0" t="s">
        <v>89</v>
      </c>
      <c r="F2931" s="0" t="s">
        <v>15</v>
      </c>
      <c r="G2931" s="0" t="s">
        <v>32</v>
      </c>
      <c r="H2931" s="0" t="n">
        <v>154</v>
      </c>
      <c r="I2931" s="0" t="s">
        <v>9773</v>
      </c>
      <c r="J2931" s="0" t="s">
        <v>9774</v>
      </c>
      <c r="K2931" s="0" t="s">
        <v>9775</v>
      </c>
      <c r="L2931" s="0" t="str">
        <f aca="false">HYPERLINK("https://www.ncbi.nlm.nih.gov/nuccore/CP000304.1?report=graph&amp;tracks=[key:gene_model_track,Options:GeneOnly]&amp;mk=873008:873027|offset_56|444444,873040:873059|offset_88|444444,873076:873095|offset_124|444444,873106:873125|offset_154|00cc00&amp;v=872807:873325&amp;c=444444", "offset 154")</f>
        <v>offset 154</v>
      </c>
    </row>
    <row r="2932" customFormat="false" ht="12.8" hidden="false" customHeight="false" outlineLevel="0" collapsed="false">
      <c r="A2932" s="0" t="s">
        <v>12</v>
      </c>
      <c r="B2932" s="0" t="n">
        <v>873775</v>
      </c>
      <c r="C2932" s="0" t="n">
        <v>873795</v>
      </c>
      <c r="D2932" s="0" t="s">
        <v>9776</v>
      </c>
      <c r="E2932" s="0" t="s">
        <v>89</v>
      </c>
      <c r="F2932" s="0" t="s">
        <v>15</v>
      </c>
      <c r="G2932" s="0" t="s">
        <v>32</v>
      </c>
      <c r="H2932" s="0" t="n">
        <v>59</v>
      </c>
      <c r="I2932" s="0" t="s">
        <v>9777</v>
      </c>
      <c r="J2932" s="0" t="s">
        <v>9778</v>
      </c>
      <c r="K2932" s="0" t="s">
        <v>9779</v>
      </c>
      <c r="L2932" s="0" t="str">
        <f aca="false">HYPERLINK("https://www.ncbi.nlm.nih.gov/nuccore/CP000304.1?report=graph&amp;tracks=[key:gene_model_track,Options:GeneOnly]&amp;mk=873776:873795|offset_59|00cc00,873813:873832|offset_96|444444,873833:873852|offset_116|444444,873897:873916|offset_180|444444&amp;v=873575:874116&amp;c=444444", "offset 59")</f>
        <v>offset 59</v>
      </c>
    </row>
    <row r="2933" customFormat="false" ht="12.8" hidden="false" customHeight="false" outlineLevel="0" collapsed="false">
      <c r="A2933" s="0" t="s">
        <v>12</v>
      </c>
      <c r="B2933" s="0" t="n">
        <v>873812</v>
      </c>
      <c r="C2933" s="0" t="n">
        <v>873832</v>
      </c>
      <c r="D2933" s="0" t="s">
        <v>9776</v>
      </c>
      <c r="E2933" s="0" t="s">
        <v>89</v>
      </c>
      <c r="F2933" s="0" t="s">
        <v>15</v>
      </c>
      <c r="G2933" s="0" t="s">
        <v>16</v>
      </c>
      <c r="H2933" s="0" t="n">
        <v>96</v>
      </c>
      <c r="I2933" s="0" t="s">
        <v>9780</v>
      </c>
      <c r="J2933" s="0" t="s">
        <v>9781</v>
      </c>
      <c r="K2933" s="0" t="s">
        <v>9782</v>
      </c>
      <c r="L2933" s="0" t="str">
        <f aca="false">HYPERLINK("https://www.ncbi.nlm.nih.gov/nuccore/CP000304.1?report=graph&amp;tracks=[key:gene_model_track,Options:GeneOnly]&amp;mk=873776:873795|offset_59|444444,873813:873832|offset_96|00cc00,873833:873852|offset_116|444444,873897:873916|offset_180|444444&amp;v=873575:874116&amp;c=444444", "offset 96")</f>
        <v>offset 96</v>
      </c>
    </row>
    <row r="2934" customFormat="false" ht="12.8" hidden="false" customHeight="false" outlineLevel="0" collapsed="false">
      <c r="A2934" s="0" t="s">
        <v>12</v>
      </c>
      <c r="B2934" s="0" t="n">
        <v>873832</v>
      </c>
      <c r="C2934" s="0" t="n">
        <v>873852</v>
      </c>
      <c r="D2934" s="0" t="s">
        <v>9776</v>
      </c>
      <c r="E2934" s="0" t="s">
        <v>89</v>
      </c>
      <c r="F2934" s="0" t="s">
        <v>15</v>
      </c>
      <c r="G2934" s="0" t="s">
        <v>36</v>
      </c>
      <c r="H2934" s="0" t="n">
        <v>116</v>
      </c>
      <c r="I2934" s="0" t="s">
        <v>9783</v>
      </c>
      <c r="J2934" s="0" t="s">
        <v>9784</v>
      </c>
      <c r="K2934" s="0" t="s">
        <v>9785</v>
      </c>
      <c r="L2934" s="0" t="str">
        <f aca="false">HYPERLINK("https://www.ncbi.nlm.nih.gov/nuccore/CP000304.1?report=graph&amp;tracks=[key:gene_model_track,Options:GeneOnly]&amp;mk=873776:873795|offset_59|444444,873813:873832|offset_96|444444,873833:873852|offset_116|00cc00,873897:873916|offset_180|444444&amp;v=873575:874116&amp;c=444444", "offset 116")</f>
        <v>offset 116</v>
      </c>
    </row>
    <row r="2935" customFormat="false" ht="12.8" hidden="false" customHeight="false" outlineLevel="0" collapsed="false">
      <c r="A2935" s="0" t="s">
        <v>12</v>
      </c>
      <c r="B2935" s="0" t="n">
        <v>873896</v>
      </c>
      <c r="C2935" s="0" t="n">
        <v>873916</v>
      </c>
      <c r="D2935" s="0" t="s">
        <v>9776</v>
      </c>
      <c r="E2935" s="0" t="s">
        <v>89</v>
      </c>
      <c r="F2935" s="0" t="s">
        <v>15</v>
      </c>
      <c r="G2935" s="0" t="s">
        <v>16</v>
      </c>
      <c r="H2935" s="0" t="n">
        <v>180</v>
      </c>
      <c r="I2935" s="0" t="s">
        <v>9786</v>
      </c>
      <c r="J2935" s="0" t="s">
        <v>9787</v>
      </c>
      <c r="K2935" s="0" t="s">
        <v>9788</v>
      </c>
      <c r="L2935" s="0" t="str">
        <f aca="false">HYPERLINK("https://www.ncbi.nlm.nih.gov/nuccore/CP000304.1?report=graph&amp;tracks=[key:gene_model_track,Options:GeneOnly]&amp;mk=873776:873795|offset_59|444444,873813:873832|offset_96|444444,873833:873852|offset_116|444444,873897:873916|offset_180|00cc00&amp;v=873575:874116&amp;c=444444", "offset 180")</f>
        <v>offset 180</v>
      </c>
    </row>
    <row r="2936" customFormat="false" ht="12.8" hidden="false" customHeight="false" outlineLevel="0" collapsed="false">
      <c r="A2936" s="0" t="s">
        <v>12</v>
      </c>
      <c r="B2936" s="0" t="n">
        <v>875390</v>
      </c>
      <c r="C2936" s="0" t="n">
        <v>875410</v>
      </c>
      <c r="D2936" s="0" t="s">
        <v>9789</v>
      </c>
      <c r="E2936" s="0" t="s">
        <v>9790</v>
      </c>
      <c r="F2936" s="0" t="s">
        <v>15</v>
      </c>
      <c r="G2936" s="0" t="s">
        <v>36</v>
      </c>
      <c r="H2936" s="0" t="n">
        <v>491</v>
      </c>
      <c r="I2936" s="0" t="s">
        <v>9791</v>
      </c>
      <c r="J2936" s="0" t="s">
        <v>9792</v>
      </c>
      <c r="K2936" s="0" t="s">
        <v>9793</v>
      </c>
      <c r="L2936" s="0" t="str">
        <f aca="false">HYPERLINK("https://www.ncbi.nlm.nih.gov/nuccore/CP000304.1?report=graph&amp;tracks=[key:gene_model_track,Options:GeneOnly]&amp;mk=875391:875410|offset_491|00cc00&amp;v=875190:875610&amp;c=444444", "offset 491")</f>
        <v>offset 491</v>
      </c>
    </row>
    <row r="2937" customFormat="false" ht="12.8" hidden="false" customHeight="false" outlineLevel="0" collapsed="false">
      <c r="A2937" s="0" t="s">
        <v>12</v>
      </c>
      <c r="B2937" s="0" t="n">
        <v>876284</v>
      </c>
      <c r="C2937" s="0" t="n">
        <v>876304</v>
      </c>
      <c r="D2937" s="0" t="s">
        <v>9794</v>
      </c>
      <c r="E2937" s="0" t="s">
        <v>9795</v>
      </c>
      <c r="F2937" s="0" t="s">
        <v>15</v>
      </c>
      <c r="G2937" s="0" t="s">
        <v>32</v>
      </c>
      <c r="H2937" s="0" t="n">
        <v>22</v>
      </c>
      <c r="I2937" s="0" t="s">
        <v>9796</v>
      </c>
      <c r="J2937" s="0" t="s">
        <v>9797</v>
      </c>
      <c r="K2937" s="0" t="s">
        <v>9798</v>
      </c>
      <c r="L2937" s="0" t="str">
        <f aca="false">HYPERLINK("https://www.ncbi.nlm.nih.gov/nuccore/CP000304.1?report=graph&amp;tracks=[key:gene_model_track,Options:GeneOnly]&amp;mk=876285:876304|offset_22|00cc00,876369:876388|offset_106|444444,876394:876413|offset_131|444444,876423:876442|offset_160|444444&amp;v=876084:876642&amp;c=444444", "offset 22")</f>
        <v>offset 22</v>
      </c>
    </row>
    <row r="2938" customFormat="false" ht="12.8" hidden="false" customHeight="false" outlineLevel="0" collapsed="false">
      <c r="A2938" s="0" t="s">
        <v>12</v>
      </c>
      <c r="B2938" s="0" t="n">
        <v>876368</v>
      </c>
      <c r="C2938" s="0" t="n">
        <v>876388</v>
      </c>
      <c r="D2938" s="0" t="s">
        <v>9794</v>
      </c>
      <c r="E2938" s="0" t="s">
        <v>9795</v>
      </c>
      <c r="F2938" s="0" t="s">
        <v>15</v>
      </c>
      <c r="G2938" s="0" t="s">
        <v>16</v>
      </c>
      <c r="H2938" s="0" t="n">
        <v>106</v>
      </c>
      <c r="I2938" s="0" t="s">
        <v>9799</v>
      </c>
      <c r="J2938" s="0" t="s">
        <v>9800</v>
      </c>
      <c r="K2938" s="0" t="s">
        <v>9801</v>
      </c>
      <c r="L2938" s="0" t="str">
        <f aca="false">HYPERLINK("https://www.ncbi.nlm.nih.gov/nuccore/CP000304.1?report=graph&amp;tracks=[key:gene_model_track,Options:GeneOnly]&amp;mk=876285:876304|offset_22|444444,876369:876388|offset_106|00cc00,876394:876413|offset_131|444444,876423:876442|offset_160|444444&amp;v=876084:876642&amp;c=444444", "offset 106")</f>
        <v>offset 106</v>
      </c>
    </row>
    <row r="2939" customFormat="false" ht="12.8" hidden="false" customHeight="false" outlineLevel="0" collapsed="false">
      <c r="A2939" s="0" t="s">
        <v>12</v>
      </c>
      <c r="B2939" s="0" t="n">
        <v>876393</v>
      </c>
      <c r="C2939" s="0" t="n">
        <v>876413</v>
      </c>
      <c r="D2939" s="0" t="s">
        <v>9794</v>
      </c>
      <c r="E2939" s="0" t="s">
        <v>9795</v>
      </c>
      <c r="F2939" s="0" t="s">
        <v>15</v>
      </c>
      <c r="G2939" s="0" t="s">
        <v>26</v>
      </c>
      <c r="H2939" s="0" t="n">
        <v>131</v>
      </c>
      <c r="I2939" s="0" t="s">
        <v>9802</v>
      </c>
      <c r="J2939" s="0" t="s">
        <v>9803</v>
      </c>
      <c r="K2939" s="0" t="s">
        <v>9804</v>
      </c>
      <c r="L2939" s="0" t="str">
        <f aca="false">HYPERLINK("https://www.ncbi.nlm.nih.gov/nuccore/CP000304.1?report=graph&amp;tracks=[key:gene_model_track,Options:GeneOnly]&amp;mk=876285:876304|offset_22|444444,876369:876388|offset_106|444444,876394:876413|offset_131|00cc00,876423:876442|offset_160|444444&amp;v=876084:876642&amp;c=444444", "offset 131")</f>
        <v>offset 131</v>
      </c>
    </row>
    <row r="2940" customFormat="false" ht="12.8" hidden="false" customHeight="false" outlineLevel="0" collapsed="false">
      <c r="A2940" s="0" t="s">
        <v>12</v>
      </c>
      <c r="B2940" s="0" t="n">
        <v>876422</v>
      </c>
      <c r="C2940" s="0" t="n">
        <v>876442</v>
      </c>
      <c r="D2940" s="0" t="s">
        <v>9794</v>
      </c>
      <c r="E2940" s="0" t="s">
        <v>9795</v>
      </c>
      <c r="F2940" s="0" t="s">
        <v>15</v>
      </c>
      <c r="G2940" s="0" t="s">
        <v>16</v>
      </c>
      <c r="H2940" s="0" t="n">
        <v>160</v>
      </c>
      <c r="I2940" s="0" t="s">
        <v>9805</v>
      </c>
      <c r="J2940" s="0" t="s">
        <v>9806</v>
      </c>
      <c r="K2940" s="0" t="s">
        <v>9807</v>
      </c>
      <c r="L2940" s="0" t="str">
        <f aca="false">HYPERLINK("https://www.ncbi.nlm.nih.gov/nuccore/CP000304.1?report=graph&amp;tracks=[key:gene_model_track,Options:GeneOnly]&amp;mk=876285:876304|offset_22|444444,876369:876388|offset_106|444444,876394:876413|offset_131|444444,876423:876442|offset_160|00cc00&amp;v=876084:876642&amp;c=444444", "offset 160")</f>
        <v>offset 160</v>
      </c>
    </row>
    <row r="2941" customFormat="false" ht="12.8" hidden="false" customHeight="false" outlineLevel="0" collapsed="false">
      <c r="A2941" s="0" t="s">
        <v>12</v>
      </c>
      <c r="B2941" s="0" t="n">
        <v>876728</v>
      </c>
      <c r="C2941" s="0" t="n">
        <v>876748</v>
      </c>
      <c r="D2941" s="0" t="s">
        <v>9808</v>
      </c>
      <c r="E2941" s="0" t="s">
        <v>9809</v>
      </c>
      <c r="F2941" s="0" t="s">
        <v>15</v>
      </c>
      <c r="G2941" s="0" t="s">
        <v>16</v>
      </c>
      <c r="H2941" s="0" t="n">
        <v>88</v>
      </c>
      <c r="I2941" s="0" t="s">
        <v>9810</v>
      </c>
      <c r="J2941" s="0" t="s">
        <v>9811</v>
      </c>
      <c r="K2941" s="0" t="s">
        <v>9812</v>
      </c>
      <c r="L2941" s="0" t="str">
        <f aca="false">HYPERLINK("https://www.ncbi.nlm.nih.gov/nuccore/CP000304.1?report=graph&amp;tracks=[key:gene_model_track,Options:GeneOnly]&amp;mk=876729:876748|offset_88|00cc00,876764:876783|offset_123|444444,876826:876845|offset_185|444444,876874:876893|offset_233|444444&amp;v=876528:877093&amp;c=444444", "offset 88")</f>
        <v>offset 88</v>
      </c>
    </row>
    <row r="2942" customFormat="false" ht="12.8" hidden="false" customHeight="false" outlineLevel="0" collapsed="false">
      <c r="A2942" s="0" t="s">
        <v>12</v>
      </c>
      <c r="B2942" s="0" t="n">
        <v>876763</v>
      </c>
      <c r="C2942" s="0" t="n">
        <v>876783</v>
      </c>
      <c r="D2942" s="0" t="s">
        <v>9808</v>
      </c>
      <c r="E2942" s="0" t="s">
        <v>9809</v>
      </c>
      <c r="F2942" s="0" t="s">
        <v>15</v>
      </c>
      <c r="G2942" s="0" t="s">
        <v>16</v>
      </c>
      <c r="H2942" s="0" t="n">
        <v>123</v>
      </c>
      <c r="I2942" s="0" t="s">
        <v>9813</v>
      </c>
      <c r="J2942" s="0" t="s">
        <v>9814</v>
      </c>
      <c r="K2942" s="0" t="s">
        <v>9815</v>
      </c>
      <c r="L2942" s="0" t="str">
        <f aca="false">HYPERLINK("https://www.ncbi.nlm.nih.gov/nuccore/CP000304.1?report=graph&amp;tracks=[key:gene_model_track,Options:GeneOnly]&amp;mk=876729:876748|offset_88|444444,876764:876783|offset_123|00cc00,876826:876845|offset_185|444444,876874:876893|offset_233|444444&amp;v=876528:877093&amp;c=444444", "offset 123")</f>
        <v>offset 123</v>
      </c>
    </row>
    <row r="2943" customFormat="false" ht="12.8" hidden="false" customHeight="false" outlineLevel="0" collapsed="false">
      <c r="A2943" s="0" t="s">
        <v>12</v>
      </c>
      <c r="B2943" s="0" t="n">
        <v>876825</v>
      </c>
      <c r="C2943" s="0" t="n">
        <v>876845</v>
      </c>
      <c r="D2943" s="0" t="s">
        <v>9808</v>
      </c>
      <c r="E2943" s="0" t="s">
        <v>9809</v>
      </c>
      <c r="F2943" s="0" t="s">
        <v>15</v>
      </c>
      <c r="G2943" s="0" t="s">
        <v>36</v>
      </c>
      <c r="H2943" s="0" t="n">
        <v>185</v>
      </c>
      <c r="I2943" s="0" t="s">
        <v>9816</v>
      </c>
      <c r="J2943" s="0" t="s">
        <v>9817</v>
      </c>
      <c r="K2943" s="0" t="s">
        <v>9818</v>
      </c>
      <c r="L2943" s="0" t="str">
        <f aca="false">HYPERLINK("https://www.ncbi.nlm.nih.gov/nuccore/CP000304.1?report=graph&amp;tracks=[key:gene_model_track,Options:GeneOnly]&amp;mk=876729:876748|offset_88|444444,876764:876783|offset_123|444444,876826:876845|offset_185|00cc00,876874:876893|offset_233|444444&amp;v=876528:877093&amp;c=444444", "offset 185")</f>
        <v>offset 185</v>
      </c>
    </row>
    <row r="2944" customFormat="false" ht="12.8" hidden="false" customHeight="false" outlineLevel="0" collapsed="false">
      <c r="A2944" s="0" t="s">
        <v>12</v>
      </c>
      <c r="B2944" s="0" t="n">
        <v>876873</v>
      </c>
      <c r="C2944" s="0" t="n">
        <v>876893</v>
      </c>
      <c r="D2944" s="0" t="s">
        <v>9808</v>
      </c>
      <c r="E2944" s="0" t="s">
        <v>9809</v>
      </c>
      <c r="F2944" s="0" t="s">
        <v>15</v>
      </c>
      <c r="G2944" s="0" t="s">
        <v>26</v>
      </c>
      <c r="H2944" s="0" t="n">
        <v>233</v>
      </c>
      <c r="I2944" s="0" t="s">
        <v>9819</v>
      </c>
      <c r="J2944" s="0" t="s">
        <v>9820</v>
      </c>
      <c r="K2944" s="0" t="s">
        <v>9821</v>
      </c>
      <c r="L2944" s="0" t="str">
        <f aca="false">HYPERLINK("https://www.ncbi.nlm.nih.gov/nuccore/CP000304.1?report=graph&amp;tracks=[key:gene_model_track,Options:GeneOnly]&amp;mk=876729:876748|offset_88|444444,876764:876783|offset_123|444444,876826:876845|offset_185|444444,876874:876893|offset_233|00cc00&amp;v=876528:877093&amp;c=444444", "offset 233")</f>
        <v>offset 233</v>
      </c>
    </row>
    <row r="2945" customFormat="false" ht="12.8" hidden="false" customHeight="false" outlineLevel="0" collapsed="false">
      <c r="A2945" s="0" t="s">
        <v>12</v>
      </c>
      <c r="B2945" s="0" t="n">
        <v>877330</v>
      </c>
      <c r="C2945" s="0" t="n">
        <v>877350</v>
      </c>
      <c r="D2945" s="0" t="s">
        <v>9822</v>
      </c>
      <c r="E2945" s="0" t="s">
        <v>9823</v>
      </c>
      <c r="F2945" s="0" t="s">
        <v>15</v>
      </c>
      <c r="G2945" s="0" t="s">
        <v>16</v>
      </c>
      <c r="H2945" s="0" t="n">
        <v>46</v>
      </c>
      <c r="I2945" s="0" t="s">
        <v>9824</v>
      </c>
      <c r="J2945" s="0" t="s">
        <v>9825</v>
      </c>
      <c r="K2945" s="0" t="s">
        <v>9826</v>
      </c>
      <c r="L2945" s="0" t="str">
        <f aca="false">HYPERLINK("https://www.ncbi.nlm.nih.gov/nuccore/CP000304.1?report=graph&amp;tracks=[key:gene_model_track,Options:GeneOnly]&amp;mk=877331:877350|offset_46|00cc00,877351:877370|offset_66|444444,877418:877437|offset_133|444444,877438:877457|offset_153|444444&amp;v=877130:877657&amp;c=444444", "offset 46")</f>
        <v>offset 46</v>
      </c>
    </row>
    <row r="2946" customFormat="false" ht="12.8" hidden="false" customHeight="false" outlineLevel="0" collapsed="false">
      <c r="A2946" s="0" t="s">
        <v>12</v>
      </c>
      <c r="B2946" s="0" t="n">
        <v>877350</v>
      </c>
      <c r="C2946" s="0" t="n">
        <v>877370</v>
      </c>
      <c r="D2946" s="0" t="s">
        <v>9822</v>
      </c>
      <c r="E2946" s="0" t="s">
        <v>9823</v>
      </c>
      <c r="F2946" s="0" t="s">
        <v>15</v>
      </c>
      <c r="G2946" s="0" t="s">
        <v>16</v>
      </c>
      <c r="H2946" s="0" t="n">
        <v>66</v>
      </c>
      <c r="I2946" s="0" t="s">
        <v>9827</v>
      </c>
      <c r="J2946" s="0" t="s">
        <v>9828</v>
      </c>
      <c r="K2946" s="0" t="s">
        <v>9829</v>
      </c>
      <c r="L2946" s="0" t="str">
        <f aca="false">HYPERLINK("https://www.ncbi.nlm.nih.gov/nuccore/CP000304.1?report=graph&amp;tracks=[key:gene_model_track,Options:GeneOnly]&amp;mk=877331:877350|offset_46|444444,877351:877370|offset_66|00cc00,877418:877437|offset_133|444444,877438:877457|offset_153|444444&amp;v=877130:877657&amp;c=444444", "offset 66")</f>
        <v>offset 66</v>
      </c>
    </row>
    <row r="2947" customFormat="false" ht="12.8" hidden="false" customHeight="false" outlineLevel="0" collapsed="false">
      <c r="A2947" s="0" t="s">
        <v>12</v>
      </c>
      <c r="B2947" s="0" t="n">
        <v>877417</v>
      </c>
      <c r="C2947" s="0" t="n">
        <v>877437</v>
      </c>
      <c r="D2947" s="0" t="s">
        <v>9822</v>
      </c>
      <c r="E2947" s="0" t="s">
        <v>9823</v>
      </c>
      <c r="F2947" s="0" t="s">
        <v>15</v>
      </c>
      <c r="G2947" s="0" t="s">
        <v>36</v>
      </c>
      <c r="H2947" s="0" t="n">
        <v>133</v>
      </c>
      <c r="I2947" s="0" t="s">
        <v>9830</v>
      </c>
      <c r="J2947" s="0" t="s">
        <v>9831</v>
      </c>
      <c r="K2947" s="0" t="s">
        <v>9832</v>
      </c>
      <c r="L2947" s="0" t="str">
        <f aca="false">HYPERLINK("https://www.ncbi.nlm.nih.gov/nuccore/CP000304.1?report=graph&amp;tracks=[key:gene_model_track,Options:GeneOnly]&amp;mk=877331:877350|offset_46|444444,877351:877370|offset_66|444444,877418:877437|offset_133|00cc00,877438:877457|offset_153|444444&amp;v=877130:877657&amp;c=444444", "offset 133")</f>
        <v>offset 133</v>
      </c>
    </row>
    <row r="2948" customFormat="false" ht="12.8" hidden="false" customHeight="false" outlineLevel="0" collapsed="false">
      <c r="A2948" s="0" t="s">
        <v>12</v>
      </c>
      <c r="B2948" s="0" t="n">
        <v>877437</v>
      </c>
      <c r="C2948" s="0" t="n">
        <v>877457</v>
      </c>
      <c r="D2948" s="0" t="s">
        <v>9822</v>
      </c>
      <c r="E2948" s="0" t="s">
        <v>9823</v>
      </c>
      <c r="F2948" s="0" t="s">
        <v>15</v>
      </c>
      <c r="G2948" s="0" t="s">
        <v>36</v>
      </c>
      <c r="H2948" s="0" t="n">
        <v>153</v>
      </c>
      <c r="I2948" s="0" t="s">
        <v>9833</v>
      </c>
      <c r="J2948" s="0" t="s">
        <v>9834</v>
      </c>
      <c r="K2948" s="0" t="s">
        <v>9835</v>
      </c>
      <c r="L2948" s="0" t="str">
        <f aca="false">HYPERLINK("https://www.ncbi.nlm.nih.gov/nuccore/CP000304.1?report=graph&amp;tracks=[key:gene_model_track,Options:GeneOnly]&amp;mk=877331:877350|offset_46|444444,877351:877370|offset_66|444444,877418:877437|offset_133|444444,877438:877457|offset_153|00cc00&amp;v=877130:877657&amp;c=444444", "offset 153")</f>
        <v>offset 153</v>
      </c>
    </row>
    <row r="2949" customFormat="false" ht="12.8" hidden="false" customHeight="false" outlineLevel="0" collapsed="false">
      <c r="A2949" s="0" t="s">
        <v>12</v>
      </c>
      <c r="B2949" s="0" t="n">
        <v>877731</v>
      </c>
      <c r="C2949" s="0" t="n">
        <v>877751</v>
      </c>
      <c r="D2949" s="0" t="s">
        <v>9836</v>
      </c>
      <c r="E2949" s="0" t="s">
        <v>9837</v>
      </c>
      <c r="F2949" s="0" t="s">
        <v>15</v>
      </c>
      <c r="G2949" s="0" t="s">
        <v>32</v>
      </c>
      <c r="H2949" s="0" t="n">
        <v>16</v>
      </c>
      <c r="I2949" s="0" t="s">
        <v>9838</v>
      </c>
      <c r="J2949" s="0" t="s">
        <v>9839</v>
      </c>
      <c r="K2949" s="0" t="s">
        <v>9840</v>
      </c>
      <c r="L2949" s="0" t="str">
        <f aca="false">HYPERLINK("https://www.ncbi.nlm.nih.gov/nuccore/CP000304.1?report=graph&amp;tracks=[key:gene_model_track,Options:GeneOnly]&amp;mk=877732:877751|offset_16|00cc00,877768:877787|offset_52|444444,877795:877814|offset_79|444444,877834:877853|offset_118|444444&amp;v=877531:878053&amp;c=444444", "offset 16")</f>
        <v>offset 16</v>
      </c>
    </row>
    <row r="2950" customFormat="false" ht="12.8" hidden="false" customHeight="false" outlineLevel="0" collapsed="false">
      <c r="A2950" s="0" t="s">
        <v>12</v>
      </c>
      <c r="B2950" s="0" t="n">
        <v>877767</v>
      </c>
      <c r="C2950" s="0" t="n">
        <v>877787</v>
      </c>
      <c r="D2950" s="0" t="s">
        <v>9836</v>
      </c>
      <c r="E2950" s="0" t="s">
        <v>9837</v>
      </c>
      <c r="F2950" s="0" t="s">
        <v>15</v>
      </c>
      <c r="G2950" s="0" t="s">
        <v>16</v>
      </c>
      <c r="H2950" s="0" t="n">
        <v>52</v>
      </c>
      <c r="I2950" s="0" t="s">
        <v>9841</v>
      </c>
      <c r="J2950" s="0" t="s">
        <v>9842</v>
      </c>
      <c r="K2950" s="0" t="s">
        <v>9843</v>
      </c>
      <c r="L2950" s="0" t="str">
        <f aca="false">HYPERLINK("https://www.ncbi.nlm.nih.gov/nuccore/CP000304.1?report=graph&amp;tracks=[key:gene_model_track,Options:GeneOnly]&amp;mk=877732:877751|offset_16|444444,877768:877787|offset_52|00cc00,877795:877814|offset_79|444444,877834:877853|offset_118|444444&amp;v=877531:878053&amp;c=444444", "offset 52")</f>
        <v>offset 52</v>
      </c>
    </row>
    <row r="2951" customFormat="false" ht="12.8" hidden="false" customHeight="false" outlineLevel="0" collapsed="false">
      <c r="A2951" s="0" t="s">
        <v>12</v>
      </c>
      <c r="B2951" s="0" t="n">
        <v>877794</v>
      </c>
      <c r="C2951" s="0" t="n">
        <v>877814</v>
      </c>
      <c r="D2951" s="0" t="s">
        <v>9836</v>
      </c>
      <c r="E2951" s="0" t="s">
        <v>9837</v>
      </c>
      <c r="F2951" s="0" t="s">
        <v>15</v>
      </c>
      <c r="G2951" s="0" t="s">
        <v>16</v>
      </c>
      <c r="H2951" s="0" t="n">
        <v>79</v>
      </c>
      <c r="I2951" s="0" t="s">
        <v>9844</v>
      </c>
      <c r="J2951" s="0" t="s">
        <v>9845</v>
      </c>
      <c r="K2951" s="0" t="s">
        <v>9846</v>
      </c>
      <c r="L2951" s="0" t="str">
        <f aca="false">HYPERLINK("https://www.ncbi.nlm.nih.gov/nuccore/CP000304.1?report=graph&amp;tracks=[key:gene_model_track,Options:GeneOnly]&amp;mk=877732:877751|offset_16|444444,877768:877787|offset_52|444444,877795:877814|offset_79|00cc00,877834:877853|offset_118|444444&amp;v=877531:878053&amp;c=444444", "offset 79")</f>
        <v>offset 79</v>
      </c>
    </row>
    <row r="2952" customFormat="false" ht="12.8" hidden="false" customHeight="false" outlineLevel="0" collapsed="false">
      <c r="A2952" s="0" t="s">
        <v>12</v>
      </c>
      <c r="B2952" s="0" t="n">
        <v>877833</v>
      </c>
      <c r="C2952" s="0" t="n">
        <v>877853</v>
      </c>
      <c r="D2952" s="0" t="s">
        <v>9836</v>
      </c>
      <c r="E2952" s="0" t="s">
        <v>9837</v>
      </c>
      <c r="F2952" s="0" t="s">
        <v>15</v>
      </c>
      <c r="G2952" s="0" t="s">
        <v>16</v>
      </c>
      <c r="H2952" s="0" t="n">
        <v>118</v>
      </c>
      <c r="I2952" s="0" t="s">
        <v>9847</v>
      </c>
      <c r="J2952" s="0" t="s">
        <v>9848</v>
      </c>
      <c r="K2952" s="0" t="s">
        <v>9849</v>
      </c>
      <c r="L2952" s="0" t="str">
        <f aca="false">HYPERLINK("https://www.ncbi.nlm.nih.gov/nuccore/CP000304.1?report=graph&amp;tracks=[key:gene_model_track,Options:GeneOnly]&amp;mk=877732:877751|offset_16|444444,877768:877787|offset_52|444444,877795:877814|offset_79|444444,877834:877853|offset_118|00cc00&amp;v=877531:878053&amp;c=444444", "offset 118")</f>
        <v>offset 118</v>
      </c>
    </row>
    <row r="2953" customFormat="false" ht="12.8" hidden="false" customHeight="false" outlineLevel="0" collapsed="false">
      <c r="A2953" s="0" t="s">
        <v>12</v>
      </c>
      <c r="B2953" s="0" t="n">
        <v>878620</v>
      </c>
      <c r="C2953" s="0" t="n">
        <v>878640</v>
      </c>
      <c r="D2953" s="0" t="s">
        <v>9850</v>
      </c>
      <c r="E2953" s="0" t="s">
        <v>9851</v>
      </c>
      <c r="F2953" s="0" t="s">
        <v>15</v>
      </c>
      <c r="G2953" s="0" t="s">
        <v>36</v>
      </c>
      <c r="H2953" s="0" t="n">
        <v>0</v>
      </c>
      <c r="I2953" s="0" t="s">
        <v>9852</v>
      </c>
      <c r="J2953" s="0" t="s">
        <v>9853</v>
      </c>
      <c r="K2953" s="0" t="s">
        <v>9854</v>
      </c>
      <c r="L2953" s="0" t="str">
        <f aca="false">HYPERLINK("https://www.ncbi.nlm.nih.gov/nuccore/CP000304.1?report=graph&amp;tracks=[key:gene_model_track,Options:GeneOnly]&amp;mk=878621:878640|offset_0|00cc00,878652:878671|offset_31|444444,878679:878698|offset_58|444444,878712:878731|offset_91|444444&amp;v=878420:878931&amp;c=444444", "offset 0")</f>
        <v>offset 0</v>
      </c>
    </row>
    <row r="2954" customFormat="false" ht="12.8" hidden="false" customHeight="false" outlineLevel="0" collapsed="false">
      <c r="A2954" s="0" t="s">
        <v>12</v>
      </c>
      <c r="B2954" s="0" t="n">
        <v>878651</v>
      </c>
      <c r="C2954" s="0" t="n">
        <v>878671</v>
      </c>
      <c r="D2954" s="0" t="s">
        <v>9850</v>
      </c>
      <c r="E2954" s="0" t="s">
        <v>9851</v>
      </c>
      <c r="F2954" s="0" t="s">
        <v>15</v>
      </c>
      <c r="G2954" s="0" t="s">
        <v>32</v>
      </c>
      <c r="H2954" s="0" t="n">
        <v>31</v>
      </c>
      <c r="I2954" s="0" t="s">
        <v>9855</v>
      </c>
      <c r="J2954" s="0" t="s">
        <v>9856</v>
      </c>
      <c r="K2954" s="0" t="s">
        <v>9857</v>
      </c>
      <c r="L2954" s="0" t="str">
        <f aca="false">HYPERLINK("https://www.ncbi.nlm.nih.gov/nuccore/CP000304.1?report=graph&amp;tracks=[key:gene_model_track,Options:GeneOnly]&amp;mk=878621:878640|offset_0|444444,878652:878671|offset_31|00cc00,878679:878698|offset_58|444444,878712:878731|offset_91|444444&amp;v=878420:878931&amp;c=444444", "offset 31")</f>
        <v>offset 31</v>
      </c>
    </row>
    <row r="2955" customFormat="false" ht="12.8" hidden="false" customHeight="false" outlineLevel="0" collapsed="false">
      <c r="A2955" s="0" t="s">
        <v>12</v>
      </c>
      <c r="B2955" s="0" t="n">
        <v>878678</v>
      </c>
      <c r="C2955" s="0" t="n">
        <v>878698</v>
      </c>
      <c r="D2955" s="0" t="s">
        <v>9850</v>
      </c>
      <c r="E2955" s="0" t="s">
        <v>9851</v>
      </c>
      <c r="F2955" s="0" t="s">
        <v>15</v>
      </c>
      <c r="G2955" s="0" t="s">
        <v>32</v>
      </c>
      <c r="H2955" s="0" t="n">
        <v>58</v>
      </c>
      <c r="I2955" s="0" t="s">
        <v>9858</v>
      </c>
      <c r="J2955" s="0" t="s">
        <v>9859</v>
      </c>
      <c r="K2955" s="0" t="s">
        <v>9860</v>
      </c>
      <c r="L2955" s="0" t="str">
        <f aca="false">HYPERLINK("https://www.ncbi.nlm.nih.gov/nuccore/CP000304.1?report=graph&amp;tracks=[key:gene_model_track,Options:GeneOnly]&amp;mk=878621:878640|offset_0|444444,878652:878671|offset_31|444444,878679:878698|offset_58|00cc00,878712:878731|offset_91|444444&amp;v=878420:878931&amp;c=444444", "offset 58")</f>
        <v>offset 58</v>
      </c>
    </row>
    <row r="2956" customFormat="false" ht="12.8" hidden="false" customHeight="false" outlineLevel="0" collapsed="false">
      <c r="A2956" s="0" t="s">
        <v>12</v>
      </c>
      <c r="B2956" s="0" t="n">
        <v>878711</v>
      </c>
      <c r="C2956" s="0" t="n">
        <v>878731</v>
      </c>
      <c r="D2956" s="0" t="s">
        <v>9850</v>
      </c>
      <c r="E2956" s="0" t="s">
        <v>9851</v>
      </c>
      <c r="F2956" s="0" t="s">
        <v>15</v>
      </c>
      <c r="G2956" s="0" t="s">
        <v>36</v>
      </c>
      <c r="H2956" s="0" t="n">
        <v>91</v>
      </c>
      <c r="I2956" s="0" t="s">
        <v>9861</v>
      </c>
      <c r="J2956" s="0" t="s">
        <v>9862</v>
      </c>
      <c r="K2956" s="0" t="s">
        <v>9863</v>
      </c>
      <c r="L2956" s="0" t="str">
        <f aca="false">HYPERLINK("https://www.ncbi.nlm.nih.gov/nuccore/CP000304.1?report=graph&amp;tracks=[key:gene_model_track,Options:GeneOnly]&amp;mk=878621:878640|offset_0|444444,878652:878671|offset_31|444444,878679:878698|offset_58|444444,878712:878731|offset_91|00cc00&amp;v=878420:878931&amp;c=444444", "offset 91")</f>
        <v>offset 91</v>
      </c>
    </row>
    <row r="2957" customFormat="false" ht="12.8" hidden="false" customHeight="false" outlineLevel="0" collapsed="false">
      <c r="A2957" s="0" t="s">
        <v>12</v>
      </c>
      <c r="B2957" s="0" t="n">
        <v>879242</v>
      </c>
      <c r="C2957" s="0" t="n">
        <v>879262</v>
      </c>
      <c r="D2957" s="0" t="s">
        <v>9864</v>
      </c>
      <c r="E2957" s="0" t="s">
        <v>9865</v>
      </c>
      <c r="F2957" s="0" t="s">
        <v>15</v>
      </c>
      <c r="G2957" s="0" t="s">
        <v>32</v>
      </c>
      <c r="H2957" s="0" t="n">
        <v>41</v>
      </c>
      <c r="I2957" s="0" t="s">
        <v>9866</v>
      </c>
      <c r="J2957" s="0" t="s">
        <v>9867</v>
      </c>
      <c r="K2957" s="0" t="s">
        <v>9868</v>
      </c>
      <c r="L2957" s="0" t="str">
        <f aca="false">HYPERLINK("https://www.ncbi.nlm.nih.gov/nuccore/CP000304.1?report=graph&amp;tracks=[key:gene_model_track,Options:GeneOnly]&amp;mk=879243:879262|offset_41|00cc00,879305:879324|offset_103|444444,879330:879349|offset_128|444444,879365:879384|offset_163|444444&amp;v=879042:879584&amp;c=444444", "offset 41")</f>
        <v>offset 41</v>
      </c>
    </row>
    <row r="2958" customFormat="false" ht="12.8" hidden="false" customHeight="false" outlineLevel="0" collapsed="false">
      <c r="A2958" s="0" t="s">
        <v>12</v>
      </c>
      <c r="B2958" s="0" t="n">
        <v>879304</v>
      </c>
      <c r="C2958" s="0" t="n">
        <v>879324</v>
      </c>
      <c r="D2958" s="0" t="s">
        <v>9864</v>
      </c>
      <c r="E2958" s="0" t="s">
        <v>9865</v>
      </c>
      <c r="F2958" s="0" t="s">
        <v>15</v>
      </c>
      <c r="G2958" s="0" t="s">
        <v>16</v>
      </c>
      <c r="H2958" s="0" t="n">
        <v>103</v>
      </c>
      <c r="I2958" s="0" t="s">
        <v>9869</v>
      </c>
      <c r="J2958" s="0" t="s">
        <v>9870</v>
      </c>
      <c r="K2958" s="0" t="s">
        <v>9871</v>
      </c>
      <c r="L2958" s="0" t="str">
        <f aca="false">HYPERLINK("https://www.ncbi.nlm.nih.gov/nuccore/CP000304.1?report=graph&amp;tracks=[key:gene_model_track,Options:GeneOnly]&amp;mk=879243:879262|offset_41|444444,879305:879324|offset_103|00cc00,879330:879349|offset_128|444444,879365:879384|offset_163|444444&amp;v=879042:879584&amp;c=444444", "offset 103")</f>
        <v>offset 103</v>
      </c>
    </row>
    <row r="2959" customFormat="false" ht="12.8" hidden="false" customHeight="false" outlineLevel="0" collapsed="false">
      <c r="A2959" s="0" t="s">
        <v>12</v>
      </c>
      <c r="B2959" s="0" t="n">
        <v>879329</v>
      </c>
      <c r="C2959" s="0" t="n">
        <v>879349</v>
      </c>
      <c r="D2959" s="0" t="s">
        <v>9864</v>
      </c>
      <c r="E2959" s="0" t="s">
        <v>9865</v>
      </c>
      <c r="F2959" s="0" t="s">
        <v>15</v>
      </c>
      <c r="G2959" s="0" t="s">
        <v>36</v>
      </c>
      <c r="H2959" s="0" t="n">
        <v>128</v>
      </c>
      <c r="I2959" s="0" t="s">
        <v>9872</v>
      </c>
      <c r="J2959" s="0" t="s">
        <v>9873</v>
      </c>
      <c r="K2959" s="0" t="s">
        <v>9874</v>
      </c>
      <c r="L2959" s="0" t="str">
        <f aca="false">HYPERLINK("https://www.ncbi.nlm.nih.gov/nuccore/CP000304.1?report=graph&amp;tracks=[key:gene_model_track,Options:GeneOnly]&amp;mk=879243:879262|offset_41|444444,879305:879324|offset_103|444444,879330:879349|offset_128|00cc00,879365:879384|offset_163|444444&amp;v=879042:879584&amp;c=444444", "offset 128")</f>
        <v>offset 128</v>
      </c>
    </row>
    <row r="2960" customFormat="false" ht="12.8" hidden="false" customHeight="false" outlineLevel="0" collapsed="false">
      <c r="A2960" s="0" t="s">
        <v>12</v>
      </c>
      <c r="B2960" s="0" t="n">
        <v>879364</v>
      </c>
      <c r="C2960" s="0" t="n">
        <v>879384</v>
      </c>
      <c r="D2960" s="0" t="s">
        <v>9864</v>
      </c>
      <c r="E2960" s="0" t="s">
        <v>9865</v>
      </c>
      <c r="F2960" s="0" t="s">
        <v>15</v>
      </c>
      <c r="G2960" s="0" t="s">
        <v>16</v>
      </c>
      <c r="H2960" s="0" t="n">
        <v>163</v>
      </c>
      <c r="I2960" s="0" t="s">
        <v>9875</v>
      </c>
      <c r="J2960" s="0" t="s">
        <v>9876</v>
      </c>
      <c r="K2960" s="0" t="s">
        <v>9877</v>
      </c>
      <c r="L2960" s="0" t="str">
        <f aca="false">HYPERLINK("https://www.ncbi.nlm.nih.gov/nuccore/CP000304.1?report=graph&amp;tracks=[key:gene_model_track,Options:GeneOnly]&amp;mk=879243:879262|offset_41|444444,879305:879324|offset_103|444444,879330:879349|offset_128|444444,879365:879384|offset_163|00cc00&amp;v=879042:879584&amp;c=444444", "offset 163")</f>
        <v>offset 163</v>
      </c>
    </row>
    <row r="2961" customFormat="false" ht="12.8" hidden="false" customHeight="false" outlineLevel="0" collapsed="false">
      <c r="A2961" s="0" t="s">
        <v>12</v>
      </c>
      <c r="B2961" s="0" t="n">
        <v>879817</v>
      </c>
      <c r="C2961" s="0" t="n">
        <v>879837</v>
      </c>
      <c r="D2961" s="0" t="s">
        <v>9878</v>
      </c>
      <c r="E2961" s="0" t="s">
        <v>9879</v>
      </c>
      <c r="F2961" s="0" t="s">
        <v>15</v>
      </c>
      <c r="G2961" s="0" t="s">
        <v>16</v>
      </c>
      <c r="H2961" s="0" t="n">
        <v>35</v>
      </c>
      <c r="I2961" s="0" t="s">
        <v>9880</v>
      </c>
      <c r="J2961" s="0" t="s">
        <v>9881</v>
      </c>
      <c r="K2961" s="0" t="s">
        <v>9882</v>
      </c>
      <c r="L2961" s="0" t="str">
        <f aca="false">HYPERLINK("https://www.ncbi.nlm.nih.gov/nuccore/CP000304.1?report=graph&amp;tracks=[key:gene_model_track,Options:GeneOnly]&amp;mk=879818:879837|offset_35|00cc00,879840:879859|offset_57|444444,879871:879890|offset_88|444444,879916:879935|offset_133|444444&amp;v=879617:880135&amp;c=444444", "offset 35")</f>
        <v>offset 35</v>
      </c>
    </row>
    <row r="2962" customFormat="false" ht="12.8" hidden="false" customHeight="false" outlineLevel="0" collapsed="false">
      <c r="A2962" s="0" t="s">
        <v>12</v>
      </c>
      <c r="B2962" s="0" t="n">
        <v>879839</v>
      </c>
      <c r="C2962" s="0" t="n">
        <v>879859</v>
      </c>
      <c r="D2962" s="0" t="s">
        <v>9878</v>
      </c>
      <c r="E2962" s="0" t="s">
        <v>9879</v>
      </c>
      <c r="F2962" s="0" t="s">
        <v>15</v>
      </c>
      <c r="G2962" s="0" t="s">
        <v>16</v>
      </c>
      <c r="H2962" s="0" t="n">
        <v>57</v>
      </c>
      <c r="I2962" s="0" t="s">
        <v>9883</v>
      </c>
      <c r="J2962" s="0" t="s">
        <v>9884</v>
      </c>
      <c r="K2962" s="0" t="s">
        <v>9885</v>
      </c>
      <c r="L2962" s="0" t="str">
        <f aca="false">HYPERLINK("https://www.ncbi.nlm.nih.gov/nuccore/CP000304.1?report=graph&amp;tracks=[key:gene_model_track,Options:GeneOnly]&amp;mk=879818:879837|offset_35|444444,879840:879859|offset_57|00cc00,879871:879890|offset_88|444444,879916:879935|offset_133|444444&amp;v=879617:880135&amp;c=444444", "offset 57")</f>
        <v>offset 57</v>
      </c>
    </row>
    <row r="2963" customFormat="false" ht="12.8" hidden="false" customHeight="false" outlineLevel="0" collapsed="false">
      <c r="A2963" s="0" t="s">
        <v>12</v>
      </c>
      <c r="B2963" s="0" t="n">
        <v>879870</v>
      </c>
      <c r="C2963" s="0" t="n">
        <v>879890</v>
      </c>
      <c r="D2963" s="0" t="s">
        <v>9878</v>
      </c>
      <c r="E2963" s="0" t="s">
        <v>9879</v>
      </c>
      <c r="F2963" s="0" t="s">
        <v>15</v>
      </c>
      <c r="G2963" s="0" t="s">
        <v>32</v>
      </c>
      <c r="H2963" s="0" t="n">
        <v>88</v>
      </c>
      <c r="I2963" s="0" t="s">
        <v>9886</v>
      </c>
      <c r="J2963" s="0" t="s">
        <v>9887</v>
      </c>
      <c r="K2963" s="0" t="s">
        <v>9888</v>
      </c>
      <c r="L2963" s="0" t="str">
        <f aca="false">HYPERLINK("https://www.ncbi.nlm.nih.gov/nuccore/CP000304.1?report=graph&amp;tracks=[key:gene_model_track,Options:GeneOnly]&amp;mk=879818:879837|offset_35|444444,879840:879859|offset_57|444444,879871:879890|offset_88|00cc00,879916:879935|offset_133|444444&amp;v=879617:880135&amp;c=444444", "offset 88")</f>
        <v>offset 88</v>
      </c>
    </row>
    <row r="2964" customFormat="false" ht="12.8" hidden="false" customHeight="false" outlineLevel="0" collapsed="false">
      <c r="A2964" s="0" t="s">
        <v>12</v>
      </c>
      <c r="B2964" s="0" t="n">
        <v>879915</v>
      </c>
      <c r="C2964" s="0" t="n">
        <v>879935</v>
      </c>
      <c r="D2964" s="0" t="s">
        <v>9878</v>
      </c>
      <c r="E2964" s="0" t="s">
        <v>9879</v>
      </c>
      <c r="F2964" s="0" t="s">
        <v>15</v>
      </c>
      <c r="G2964" s="0" t="s">
        <v>32</v>
      </c>
      <c r="H2964" s="0" t="n">
        <v>133</v>
      </c>
      <c r="I2964" s="0" t="s">
        <v>9889</v>
      </c>
      <c r="J2964" s="0" t="s">
        <v>9890</v>
      </c>
      <c r="K2964" s="0" t="s">
        <v>9891</v>
      </c>
      <c r="L2964" s="0" t="str">
        <f aca="false">HYPERLINK("https://www.ncbi.nlm.nih.gov/nuccore/CP000304.1?report=graph&amp;tracks=[key:gene_model_track,Options:GeneOnly]&amp;mk=879818:879837|offset_35|444444,879840:879859|offset_57|444444,879871:879890|offset_88|444444,879916:879935|offset_133|00cc00&amp;v=879617:880135&amp;c=444444", "offset 133")</f>
        <v>offset 133</v>
      </c>
    </row>
    <row r="2965" customFormat="false" ht="12.8" hidden="false" customHeight="false" outlineLevel="0" collapsed="false">
      <c r="A2965" s="0" t="s">
        <v>12</v>
      </c>
      <c r="B2965" s="0" t="n">
        <v>883919</v>
      </c>
      <c r="C2965" s="0" t="n">
        <v>883939</v>
      </c>
      <c r="D2965" s="0" t="s">
        <v>9892</v>
      </c>
      <c r="E2965" s="0" t="s">
        <v>9893</v>
      </c>
      <c r="F2965" s="0" t="s">
        <v>15</v>
      </c>
      <c r="G2965" s="0" t="s">
        <v>26</v>
      </c>
      <c r="H2965" s="0" t="n">
        <v>1</v>
      </c>
      <c r="I2965" s="0" t="s">
        <v>9894</v>
      </c>
      <c r="J2965" s="0" t="s">
        <v>9895</v>
      </c>
      <c r="K2965" s="0" t="s">
        <v>9896</v>
      </c>
      <c r="L2965" s="0" t="str">
        <f aca="false">HYPERLINK("https://www.ncbi.nlm.nih.gov/nuccore/CP000304.1?report=graph&amp;tracks=[key:gene_model_track,Options:GeneOnly]&amp;mk=883920:883939|offset_1|00cc00,883951:883970|offset_32|444444,883977:883996|offset_58|444444,883998:884017|offset_79|444444&amp;v=883719:884217&amp;c=444444", "offset 1")</f>
        <v>offset 1</v>
      </c>
    </row>
    <row r="2966" customFormat="false" ht="12.8" hidden="false" customHeight="false" outlineLevel="0" collapsed="false">
      <c r="A2966" s="0" t="s">
        <v>12</v>
      </c>
      <c r="B2966" s="0" t="n">
        <v>883950</v>
      </c>
      <c r="C2966" s="0" t="n">
        <v>883970</v>
      </c>
      <c r="D2966" s="0" t="s">
        <v>9892</v>
      </c>
      <c r="E2966" s="0" t="s">
        <v>9893</v>
      </c>
      <c r="F2966" s="0" t="s">
        <v>15</v>
      </c>
      <c r="G2966" s="0" t="s">
        <v>32</v>
      </c>
      <c r="H2966" s="0" t="n">
        <v>32</v>
      </c>
      <c r="I2966" s="0" t="s">
        <v>9897</v>
      </c>
      <c r="J2966" s="0" t="s">
        <v>9898</v>
      </c>
      <c r="K2966" s="0" t="s">
        <v>9899</v>
      </c>
      <c r="L2966" s="0" t="str">
        <f aca="false">HYPERLINK("https://www.ncbi.nlm.nih.gov/nuccore/CP000304.1?report=graph&amp;tracks=[key:gene_model_track,Options:GeneOnly]&amp;mk=883920:883939|offset_1|444444,883951:883970|offset_32|00cc00,883977:883996|offset_58|444444,883998:884017|offset_79|444444&amp;v=883719:884217&amp;c=444444", "offset 32")</f>
        <v>offset 32</v>
      </c>
    </row>
    <row r="2967" customFormat="false" ht="12.8" hidden="false" customHeight="false" outlineLevel="0" collapsed="false">
      <c r="A2967" s="0" t="s">
        <v>12</v>
      </c>
      <c r="B2967" s="0" t="n">
        <v>883976</v>
      </c>
      <c r="C2967" s="0" t="n">
        <v>883996</v>
      </c>
      <c r="D2967" s="0" t="s">
        <v>9892</v>
      </c>
      <c r="E2967" s="0" t="s">
        <v>9893</v>
      </c>
      <c r="F2967" s="0" t="s">
        <v>15</v>
      </c>
      <c r="G2967" s="0" t="s">
        <v>32</v>
      </c>
      <c r="H2967" s="0" t="n">
        <v>58</v>
      </c>
      <c r="I2967" s="0" t="s">
        <v>9900</v>
      </c>
      <c r="J2967" s="0" t="s">
        <v>9901</v>
      </c>
      <c r="K2967" s="0" t="s">
        <v>9902</v>
      </c>
      <c r="L2967" s="0" t="str">
        <f aca="false">HYPERLINK("https://www.ncbi.nlm.nih.gov/nuccore/CP000304.1?report=graph&amp;tracks=[key:gene_model_track,Options:GeneOnly]&amp;mk=883920:883939|offset_1|444444,883951:883970|offset_32|444444,883977:883996|offset_58|00cc00,883998:884017|offset_79|444444&amp;v=883719:884217&amp;c=444444", "offset 58")</f>
        <v>offset 58</v>
      </c>
    </row>
    <row r="2968" customFormat="false" ht="12.8" hidden="false" customHeight="false" outlineLevel="0" collapsed="false">
      <c r="A2968" s="0" t="s">
        <v>12</v>
      </c>
      <c r="B2968" s="0" t="n">
        <v>883997</v>
      </c>
      <c r="C2968" s="0" t="n">
        <v>884017</v>
      </c>
      <c r="D2968" s="0" t="s">
        <v>9892</v>
      </c>
      <c r="E2968" s="0" t="s">
        <v>9893</v>
      </c>
      <c r="F2968" s="0" t="s">
        <v>15</v>
      </c>
      <c r="G2968" s="0" t="s">
        <v>36</v>
      </c>
      <c r="H2968" s="0" t="n">
        <v>79</v>
      </c>
      <c r="I2968" s="0" t="s">
        <v>9903</v>
      </c>
      <c r="J2968" s="0" t="s">
        <v>9904</v>
      </c>
      <c r="K2968" s="0" t="s">
        <v>9905</v>
      </c>
      <c r="L2968" s="0" t="str">
        <f aca="false">HYPERLINK("https://www.ncbi.nlm.nih.gov/nuccore/CP000304.1?report=graph&amp;tracks=[key:gene_model_track,Options:GeneOnly]&amp;mk=883920:883939|offset_1|444444,883951:883970|offset_32|444444,883977:883996|offset_58|444444,883998:884017|offset_79|00cc00&amp;v=883719:884217&amp;c=444444", "offset 79")</f>
        <v>offset 79</v>
      </c>
    </row>
    <row r="2969" customFormat="false" ht="12.8" hidden="false" customHeight="false" outlineLevel="0" collapsed="false">
      <c r="A2969" s="0" t="s">
        <v>12</v>
      </c>
      <c r="B2969" s="0" t="n">
        <v>888276</v>
      </c>
      <c r="C2969" s="0" t="n">
        <v>888296</v>
      </c>
      <c r="D2969" s="0" t="s">
        <v>9906</v>
      </c>
      <c r="E2969" s="0" t="s">
        <v>9907</v>
      </c>
      <c r="F2969" s="0" t="s">
        <v>15</v>
      </c>
      <c r="G2969" s="0" t="s">
        <v>32</v>
      </c>
      <c r="H2969" s="0" t="n">
        <v>17</v>
      </c>
      <c r="I2969" s="0" t="s">
        <v>9908</v>
      </c>
      <c r="J2969" s="0" t="s">
        <v>9909</v>
      </c>
      <c r="K2969" s="0" t="s">
        <v>9910</v>
      </c>
      <c r="L2969" s="0" t="str">
        <f aca="false">HYPERLINK("https://www.ncbi.nlm.nih.gov/nuccore/CP000304.1?report=graph&amp;tracks=[key:gene_model_track,Options:GeneOnly]&amp;mk=888277:888296|offset_17|00cc00,888325:888344|offset_65|444444,888366:888385|offset_106|444444,888386:888405|offset_126|444444&amp;v=888076:888605&amp;c=444444", "offset 17")</f>
        <v>offset 17</v>
      </c>
    </row>
    <row r="2970" customFormat="false" ht="12.8" hidden="false" customHeight="false" outlineLevel="0" collapsed="false">
      <c r="A2970" s="0" t="s">
        <v>12</v>
      </c>
      <c r="B2970" s="0" t="n">
        <v>888324</v>
      </c>
      <c r="C2970" s="0" t="n">
        <v>888344</v>
      </c>
      <c r="D2970" s="0" t="s">
        <v>9906</v>
      </c>
      <c r="E2970" s="0" t="s">
        <v>9907</v>
      </c>
      <c r="F2970" s="0" t="s">
        <v>15</v>
      </c>
      <c r="G2970" s="0" t="s">
        <v>36</v>
      </c>
      <c r="H2970" s="0" t="n">
        <v>65</v>
      </c>
      <c r="I2970" s="0" t="s">
        <v>9911</v>
      </c>
      <c r="J2970" s="0" t="s">
        <v>9912</v>
      </c>
      <c r="K2970" s="0" t="s">
        <v>9913</v>
      </c>
      <c r="L2970" s="0" t="str">
        <f aca="false">HYPERLINK("https://www.ncbi.nlm.nih.gov/nuccore/CP000304.1?report=graph&amp;tracks=[key:gene_model_track,Options:GeneOnly]&amp;mk=888277:888296|offset_17|444444,888325:888344|offset_65|00cc00,888366:888385|offset_106|444444,888386:888405|offset_126|444444&amp;v=888076:888605&amp;c=444444", "offset 65")</f>
        <v>offset 65</v>
      </c>
    </row>
    <row r="2971" customFormat="false" ht="12.8" hidden="false" customHeight="false" outlineLevel="0" collapsed="false">
      <c r="A2971" s="0" t="s">
        <v>12</v>
      </c>
      <c r="B2971" s="0" t="n">
        <v>888365</v>
      </c>
      <c r="C2971" s="0" t="n">
        <v>888385</v>
      </c>
      <c r="D2971" s="0" t="s">
        <v>9906</v>
      </c>
      <c r="E2971" s="0" t="s">
        <v>9907</v>
      </c>
      <c r="F2971" s="0" t="s">
        <v>15</v>
      </c>
      <c r="G2971" s="0" t="s">
        <v>36</v>
      </c>
      <c r="H2971" s="0" t="n">
        <v>106</v>
      </c>
      <c r="I2971" s="0" t="s">
        <v>9914</v>
      </c>
      <c r="J2971" s="0" t="s">
        <v>9915</v>
      </c>
      <c r="K2971" s="0" t="s">
        <v>9916</v>
      </c>
      <c r="L2971" s="0" t="str">
        <f aca="false">HYPERLINK("https://www.ncbi.nlm.nih.gov/nuccore/CP000304.1?report=graph&amp;tracks=[key:gene_model_track,Options:GeneOnly]&amp;mk=888277:888296|offset_17|444444,888325:888344|offset_65|444444,888366:888385|offset_106|00cc00,888386:888405|offset_126|444444&amp;v=888076:888605&amp;c=444444", "offset 106")</f>
        <v>offset 106</v>
      </c>
    </row>
    <row r="2972" customFormat="false" ht="12.8" hidden="false" customHeight="false" outlineLevel="0" collapsed="false">
      <c r="A2972" s="0" t="s">
        <v>12</v>
      </c>
      <c r="B2972" s="0" t="n">
        <v>888385</v>
      </c>
      <c r="C2972" s="0" t="n">
        <v>888405</v>
      </c>
      <c r="D2972" s="0" t="s">
        <v>9906</v>
      </c>
      <c r="E2972" s="0" t="s">
        <v>9907</v>
      </c>
      <c r="F2972" s="0" t="s">
        <v>15</v>
      </c>
      <c r="G2972" s="0" t="s">
        <v>16</v>
      </c>
      <c r="H2972" s="0" t="n">
        <v>126</v>
      </c>
      <c r="I2972" s="0" t="s">
        <v>9917</v>
      </c>
      <c r="J2972" s="0" t="s">
        <v>9918</v>
      </c>
      <c r="K2972" s="0" t="s">
        <v>9919</v>
      </c>
      <c r="L2972" s="0" t="str">
        <f aca="false">HYPERLINK("https://www.ncbi.nlm.nih.gov/nuccore/CP000304.1?report=graph&amp;tracks=[key:gene_model_track,Options:GeneOnly]&amp;mk=888277:888296|offset_17|444444,888325:888344|offset_65|444444,888366:888385|offset_106|444444,888386:888405|offset_126|00cc00&amp;v=888076:888605&amp;c=444444", "offset 126")</f>
        <v>offset 126</v>
      </c>
    </row>
    <row r="2973" customFormat="false" ht="12.8" hidden="false" customHeight="false" outlineLevel="0" collapsed="false">
      <c r="A2973" s="0" t="s">
        <v>12</v>
      </c>
      <c r="B2973" s="0" t="n">
        <v>888734</v>
      </c>
      <c r="C2973" s="0" t="n">
        <v>888754</v>
      </c>
      <c r="D2973" s="0" t="s">
        <v>9920</v>
      </c>
      <c r="E2973" s="0" t="s">
        <v>9921</v>
      </c>
      <c r="F2973" s="0" t="s">
        <v>15</v>
      </c>
      <c r="G2973" s="0" t="s">
        <v>32</v>
      </c>
      <c r="H2973" s="0" t="n">
        <v>6</v>
      </c>
      <c r="I2973" s="0" t="s">
        <v>9922</v>
      </c>
      <c r="J2973" s="0" t="s">
        <v>9923</v>
      </c>
      <c r="K2973" s="0" t="s">
        <v>9924</v>
      </c>
      <c r="L2973" s="0" t="str">
        <f aca="false">HYPERLINK("https://www.ncbi.nlm.nih.gov/nuccore/CP000304.1?report=graph&amp;tracks=[key:gene_model_track,Options:GeneOnly]&amp;mk=888735:888754|offset_6|00cc00,888777:888796|offset_48|444444,888797:888816|offset_68|444444,888841:888860|offset_112|444444&amp;v=888534:889060&amp;c=444444", "offset 6")</f>
        <v>offset 6</v>
      </c>
    </row>
    <row r="2974" customFormat="false" ht="12.8" hidden="false" customHeight="false" outlineLevel="0" collapsed="false">
      <c r="A2974" s="0" t="s">
        <v>12</v>
      </c>
      <c r="B2974" s="0" t="n">
        <v>888776</v>
      </c>
      <c r="C2974" s="0" t="n">
        <v>888796</v>
      </c>
      <c r="D2974" s="0" t="s">
        <v>9920</v>
      </c>
      <c r="E2974" s="0" t="s">
        <v>9921</v>
      </c>
      <c r="F2974" s="0" t="s">
        <v>15</v>
      </c>
      <c r="G2974" s="0" t="s">
        <v>16</v>
      </c>
      <c r="H2974" s="0" t="n">
        <v>48</v>
      </c>
      <c r="I2974" s="0" t="s">
        <v>9925</v>
      </c>
      <c r="J2974" s="0" t="s">
        <v>9926</v>
      </c>
      <c r="K2974" s="0" t="s">
        <v>9927</v>
      </c>
      <c r="L2974" s="0" t="str">
        <f aca="false">HYPERLINK("https://www.ncbi.nlm.nih.gov/nuccore/CP000304.1?report=graph&amp;tracks=[key:gene_model_track,Options:GeneOnly]&amp;mk=888735:888754|offset_6|444444,888777:888796|offset_48|00cc00,888797:888816|offset_68|444444,888841:888860|offset_112|444444&amp;v=888534:889060&amp;c=444444", "offset 48")</f>
        <v>offset 48</v>
      </c>
    </row>
    <row r="2975" customFormat="false" ht="12.8" hidden="false" customHeight="false" outlineLevel="0" collapsed="false">
      <c r="A2975" s="0" t="s">
        <v>12</v>
      </c>
      <c r="B2975" s="0" t="n">
        <v>888796</v>
      </c>
      <c r="C2975" s="0" t="n">
        <v>888816</v>
      </c>
      <c r="D2975" s="0" t="s">
        <v>9920</v>
      </c>
      <c r="E2975" s="0" t="s">
        <v>9921</v>
      </c>
      <c r="F2975" s="0" t="s">
        <v>15</v>
      </c>
      <c r="G2975" s="0" t="s">
        <v>26</v>
      </c>
      <c r="H2975" s="0" t="n">
        <v>68</v>
      </c>
      <c r="I2975" s="0" t="s">
        <v>9928</v>
      </c>
      <c r="J2975" s="0" t="s">
        <v>9929</v>
      </c>
      <c r="K2975" s="0" t="s">
        <v>9930</v>
      </c>
      <c r="L2975" s="0" t="str">
        <f aca="false">HYPERLINK("https://www.ncbi.nlm.nih.gov/nuccore/CP000304.1?report=graph&amp;tracks=[key:gene_model_track,Options:GeneOnly]&amp;mk=888735:888754|offset_6|444444,888777:888796|offset_48|444444,888797:888816|offset_68|00cc00,888841:888860|offset_112|444444&amp;v=888534:889060&amp;c=444444", "offset 68")</f>
        <v>offset 68</v>
      </c>
    </row>
    <row r="2976" customFormat="false" ht="12.8" hidden="false" customHeight="false" outlineLevel="0" collapsed="false">
      <c r="A2976" s="0" t="s">
        <v>12</v>
      </c>
      <c r="B2976" s="0" t="n">
        <v>888840</v>
      </c>
      <c r="C2976" s="0" t="n">
        <v>888860</v>
      </c>
      <c r="D2976" s="0" t="s">
        <v>9920</v>
      </c>
      <c r="E2976" s="0" t="s">
        <v>9921</v>
      </c>
      <c r="F2976" s="0" t="s">
        <v>15</v>
      </c>
      <c r="G2976" s="0" t="s">
        <v>16</v>
      </c>
      <c r="H2976" s="0" t="n">
        <v>112</v>
      </c>
      <c r="I2976" s="0" t="s">
        <v>9931</v>
      </c>
      <c r="J2976" s="0" t="s">
        <v>9932</v>
      </c>
      <c r="K2976" s="0" t="s">
        <v>9933</v>
      </c>
      <c r="L2976" s="0" t="str">
        <f aca="false">HYPERLINK("https://www.ncbi.nlm.nih.gov/nuccore/CP000304.1?report=graph&amp;tracks=[key:gene_model_track,Options:GeneOnly]&amp;mk=888735:888754|offset_6|444444,888777:888796|offset_48|444444,888797:888816|offset_68|444444,888841:888860|offset_112|00cc00&amp;v=888534:889060&amp;c=444444", "offset 112")</f>
        <v>offset 112</v>
      </c>
    </row>
    <row r="2977" customFormat="false" ht="12.8" hidden="false" customHeight="false" outlineLevel="0" collapsed="false">
      <c r="A2977" s="0" t="s">
        <v>12</v>
      </c>
      <c r="B2977" s="0" t="n">
        <v>889236</v>
      </c>
      <c r="C2977" s="0" t="n">
        <v>889256</v>
      </c>
      <c r="D2977" s="0" t="s">
        <v>9934</v>
      </c>
      <c r="E2977" s="0" t="s">
        <v>9935</v>
      </c>
      <c r="F2977" s="0" t="s">
        <v>15</v>
      </c>
      <c r="G2977" s="0" t="s">
        <v>36</v>
      </c>
      <c r="H2977" s="0" t="n">
        <v>7</v>
      </c>
      <c r="I2977" s="0" t="s">
        <v>9936</v>
      </c>
      <c r="J2977" s="0" t="s">
        <v>9937</v>
      </c>
      <c r="K2977" s="0" t="s">
        <v>9938</v>
      </c>
      <c r="L2977" s="0" t="str">
        <f aca="false">HYPERLINK("https://www.ncbi.nlm.nih.gov/nuccore/CP000304.1?report=graph&amp;tracks=[key:gene_model_track,Options:GeneOnly]&amp;mk=889237:889256|offset_7|00cc00,889262:889281|offset_32|444444,889282:889301|offset_52|444444,889306:889325|offset_76|444444&amp;v=889036:889525&amp;c=444444", "offset 7")</f>
        <v>offset 7</v>
      </c>
    </row>
    <row r="2978" customFormat="false" ht="12.8" hidden="false" customHeight="false" outlineLevel="0" collapsed="false">
      <c r="A2978" s="0" t="s">
        <v>12</v>
      </c>
      <c r="B2978" s="0" t="n">
        <v>889261</v>
      </c>
      <c r="C2978" s="0" t="n">
        <v>889281</v>
      </c>
      <c r="D2978" s="0" t="s">
        <v>9934</v>
      </c>
      <c r="E2978" s="0" t="s">
        <v>9935</v>
      </c>
      <c r="F2978" s="0" t="s">
        <v>15</v>
      </c>
      <c r="G2978" s="0" t="s">
        <v>16</v>
      </c>
      <c r="H2978" s="0" t="n">
        <v>32</v>
      </c>
      <c r="I2978" s="0" t="s">
        <v>9939</v>
      </c>
      <c r="J2978" s="0" t="s">
        <v>9940</v>
      </c>
      <c r="K2978" s="0" t="s">
        <v>9941</v>
      </c>
      <c r="L2978" s="0" t="str">
        <f aca="false">HYPERLINK("https://www.ncbi.nlm.nih.gov/nuccore/CP000304.1?report=graph&amp;tracks=[key:gene_model_track,Options:GeneOnly]&amp;mk=889237:889256|offset_7|444444,889262:889281|offset_32|00cc00,889282:889301|offset_52|444444,889306:889325|offset_76|444444&amp;v=889036:889525&amp;c=444444", "offset 32")</f>
        <v>offset 32</v>
      </c>
    </row>
    <row r="2979" customFormat="false" ht="12.8" hidden="false" customHeight="false" outlineLevel="0" collapsed="false">
      <c r="A2979" s="0" t="s">
        <v>12</v>
      </c>
      <c r="B2979" s="0" t="n">
        <v>889281</v>
      </c>
      <c r="C2979" s="0" t="n">
        <v>889301</v>
      </c>
      <c r="D2979" s="0" t="s">
        <v>9934</v>
      </c>
      <c r="E2979" s="0" t="s">
        <v>9935</v>
      </c>
      <c r="F2979" s="0" t="s">
        <v>15</v>
      </c>
      <c r="G2979" s="0" t="s">
        <v>36</v>
      </c>
      <c r="H2979" s="0" t="n">
        <v>52</v>
      </c>
      <c r="I2979" s="0" t="s">
        <v>9942</v>
      </c>
      <c r="J2979" s="0" t="s">
        <v>9943</v>
      </c>
      <c r="K2979" s="0" t="s">
        <v>9944</v>
      </c>
      <c r="L2979" s="0" t="str">
        <f aca="false">HYPERLINK("https://www.ncbi.nlm.nih.gov/nuccore/CP000304.1?report=graph&amp;tracks=[key:gene_model_track,Options:GeneOnly]&amp;mk=889237:889256|offset_7|444444,889262:889281|offset_32|444444,889282:889301|offset_52|00cc00,889306:889325|offset_76|444444&amp;v=889036:889525&amp;c=444444", "offset 52")</f>
        <v>offset 52</v>
      </c>
    </row>
    <row r="2980" customFormat="false" ht="12.8" hidden="false" customHeight="false" outlineLevel="0" collapsed="false">
      <c r="A2980" s="0" t="s">
        <v>12</v>
      </c>
      <c r="B2980" s="0" t="n">
        <v>889305</v>
      </c>
      <c r="C2980" s="0" t="n">
        <v>889325</v>
      </c>
      <c r="D2980" s="0" t="s">
        <v>9934</v>
      </c>
      <c r="E2980" s="0" t="s">
        <v>9935</v>
      </c>
      <c r="F2980" s="0" t="s">
        <v>15</v>
      </c>
      <c r="G2980" s="0" t="s">
        <v>32</v>
      </c>
      <c r="H2980" s="0" t="n">
        <v>76</v>
      </c>
      <c r="I2980" s="0" t="s">
        <v>9945</v>
      </c>
      <c r="J2980" s="0" t="s">
        <v>9946</v>
      </c>
      <c r="K2980" s="0" t="s">
        <v>9947</v>
      </c>
      <c r="L2980" s="0" t="str">
        <f aca="false">HYPERLINK("https://www.ncbi.nlm.nih.gov/nuccore/CP000304.1?report=graph&amp;tracks=[key:gene_model_track,Options:GeneOnly]&amp;mk=889237:889256|offset_7|444444,889262:889281|offset_32|444444,889282:889301|offset_52|444444,889306:889325|offset_76|00cc00&amp;v=889036:889525&amp;c=444444", "offset 76")</f>
        <v>offset 76</v>
      </c>
    </row>
    <row r="2981" customFormat="false" ht="12.8" hidden="false" customHeight="false" outlineLevel="0" collapsed="false">
      <c r="A2981" s="0" t="s">
        <v>12</v>
      </c>
      <c r="B2981" s="0" t="n">
        <v>891871</v>
      </c>
      <c r="C2981" s="0" t="n">
        <v>891891</v>
      </c>
      <c r="D2981" s="0" t="s">
        <v>9948</v>
      </c>
      <c r="E2981" s="0" t="s">
        <v>9949</v>
      </c>
      <c r="F2981" s="0" t="s">
        <v>15</v>
      </c>
      <c r="G2981" s="0" t="s">
        <v>36</v>
      </c>
      <c r="H2981" s="0" t="n">
        <v>491</v>
      </c>
      <c r="I2981" s="0" t="s">
        <v>9950</v>
      </c>
      <c r="J2981" s="0" t="s">
        <v>9951</v>
      </c>
      <c r="K2981" s="0" t="s">
        <v>9952</v>
      </c>
      <c r="L2981" s="0" t="str">
        <f aca="false">HYPERLINK("https://www.ncbi.nlm.nih.gov/nuccore/CP000304.1?report=graph&amp;tracks=[key:gene_model_track,Options:GeneOnly]&amp;mk=891872:891891|offset_491|00cc00&amp;v=891671:892091&amp;c=444444", "offset 491")</f>
        <v>offset 491</v>
      </c>
    </row>
    <row r="2982" customFormat="false" ht="12.8" hidden="false" customHeight="false" outlineLevel="0" collapsed="false">
      <c r="A2982" s="0" t="s">
        <v>12</v>
      </c>
      <c r="B2982" s="0" t="n">
        <v>892735</v>
      </c>
      <c r="C2982" s="0" t="n">
        <v>892755</v>
      </c>
      <c r="D2982" s="0" t="s">
        <v>9953</v>
      </c>
      <c r="E2982" s="0" t="s">
        <v>9954</v>
      </c>
      <c r="F2982" s="0" t="s">
        <v>15</v>
      </c>
      <c r="G2982" s="0" t="s">
        <v>32</v>
      </c>
      <c r="H2982" s="0" t="n">
        <v>11</v>
      </c>
      <c r="I2982" s="0" t="s">
        <v>9955</v>
      </c>
      <c r="J2982" s="0" t="s">
        <v>9956</v>
      </c>
      <c r="K2982" s="0" t="s">
        <v>9957</v>
      </c>
      <c r="L2982" s="0" t="str">
        <f aca="false">HYPERLINK("https://www.ncbi.nlm.nih.gov/nuccore/CP000304.1?report=graph&amp;tracks=[key:gene_model_track,Options:GeneOnly]&amp;mk=892736:892755|offset_11|00cc00,892769:892788|offset_44|444444,892792:892811|offset_67|444444,892842:892861|offset_117|444444&amp;v=892535:893061&amp;c=444444", "offset 11")</f>
        <v>offset 11</v>
      </c>
    </row>
    <row r="2983" customFormat="false" ht="12.8" hidden="false" customHeight="false" outlineLevel="0" collapsed="false">
      <c r="A2983" s="0" t="s">
        <v>12</v>
      </c>
      <c r="B2983" s="0" t="n">
        <v>892768</v>
      </c>
      <c r="C2983" s="0" t="n">
        <v>892788</v>
      </c>
      <c r="D2983" s="0" t="s">
        <v>9953</v>
      </c>
      <c r="E2983" s="0" t="s">
        <v>9954</v>
      </c>
      <c r="F2983" s="0" t="s">
        <v>15</v>
      </c>
      <c r="G2983" s="0" t="s">
        <v>32</v>
      </c>
      <c r="H2983" s="0" t="n">
        <v>44</v>
      </c>
      <c r="I2983" s="0" t="s">
        <v>9958</v>
      </c>
      <c r="J2983" s="0" t="s">
        <v>9959</v>
      </c>
      <c r="K2983" s="0" t="s">
        <v>9960</v>
      </c>
      <c r="L2983" s="0" t="str">
        <f aca="false">HYPERLINK("https://www.ncbi.nlm.nih.gov/nuccore/CP000304.1?report=graph&amp;tracks=[key:gene_model_track,Options:GeneOnly]&amp;mk=892736:892755|offset_11|444444,892769:892788|offset_44|00cc00,892792:892811|offset_67|444444,892842:892861|offset_117|444444&amp;v=892535:893061&amp;c=444444", "offset 44")</f>
        <v>offset 44</v>
      </c>
    </row>
    <row r="2984" customFormat="false" ht="12.8" hidden="false" customHeight="false" outlineLevel="0" collapsed="false">
      <c r="A2984" s="0" t="s">
        <v>12</v>
      </c>
      <c r="B2984" s="0" t="n">
        <v>892791</v>
      </c>
      <c r="C2984" s="0" t="n">
        <v>892811</v>
      </c>
      <c r="D2984" s="0" t="s">
        <v>9953</v>
      </c>
      <c r="E2984" s="0" t="s">
        <v>9954</v>
      </c>
      <c r="F2984" s="0" t="s">
        <v>15</v>
      </c>
      <c r="G2984" s="0" t="s">
        <v>36</v>
      </c>
      <c r="H2984" s="0" t="n">
        <v>67</v>
      </c>
      <c r="I2984" s="0" t="s">
        <v>9961</v>
      </c>
      <c r="J2984" s="0" t="s">
        <v>9962</v>
      </c>
      <c r="K2984" s="0" t="s">
        <v>9963</v>
      </c>
      <c r="L2984" s="0" t="str">
        <f aca="false">HYPERLINK("https://www.ncbi.nlm.nih.gov/nuccore/CP000304.1?report=graph&amp;tracks=[key:gene_model_track,Options:GeneOnly]&amp;mk=892736:892755|offset_11|444444,892769:892788|offset_44|444444,892792:892811|offset_67|00cc00,892842:892861|offset_117|444444&amp;v=892535:893061&amp;c=444444", "offset 67")</f>
        <v>offset 67</v>
      </c>
    </row>
    <row r="2985" customFormat="false" ht="12.8" hidden="false" customHeight="false" outlineLevel="0" collapsed="false">
      <c r="A2985" s="0" t="s">
        <v>12</v>
      </c>
      <c r="B2985" s="0" t="n">
        <v>892841</v>
      </c>
      <c r="C2985" s="0" t="n">
        <v>892861</v>
      </c>
      <c r="D2985" s="0" t="s">
        <v>9953</v>
      </c>
      <c r="E2985" s="0" t="s">
        <v>9954</v>
      </c>
      <c r="F2985" s="0" t="s">
        <v>15</v>
      </c>
      <c r="G2985" s="0" t="s">
        <v>16</v>
      </c>
      <c r="H2985" s="0" t="n">
        <v>117</v>
      </c>
      <c r="I2985" s="0" t="s">
        <v>9964</v>
      </c>
      <c r="J2985" s="0" t="s">
        <v>9965</v>
      </c>
      <c r="K2985" s="0" t="s">
        <v>9966</v>
      </c>
      <c r="L2985" s="0" t="str">
        <f aca="false">HYPERLINK("https://www.ncbi.nlm.nih.gov/nuccore/CP000304.1?report=graph&amp;tracks=[key:gene_model_track,Options:GeneOnly]&amp;mk=892736:892755|offset_11|444444,892769:892788|offset_44|444444,892792:892811|offset_67|444444,892842:892861|offset_117|00cc00&amp;v=892535:893061&amp;c=444444", "offset 117")</f>
        <v>offset 117</v>
      </c>
    </row>
    <row r="2986" customFormat="false" ht="12.8" hidden="false" customHeight="false" outlineLevel="0" collapsed="false">
      <c r="A2986" s="0" t="s">
        <v>12</v>
      </c>
      <c r="B2986" s="0" t="n">
        <v>893158</v>
      </c>
      <c r="C2986" s="0" t="n">
        <v>893178</v>
      </c>
      <c r="D2986" s="0" t="s">
        <v>9967</v>
      </c>
      <c r="E2986" s="0" t="s">
        <v>9968</v>
      </c>
      <c r="F2986" s="0" t="s">
        <v>15</v>
      </c>
      <c r="G2986" s="0" t="s">
        <v>36</v>
      </c>
      <c r="H2986" s="0" t="n">
        <v>40</v>
      </c>
      <c r="I2986" s="0" t="s">
        <v>9969</v>
      </c>
      <c r="J2986" s="0" t="s">
        <v>9970</v>
      </c>
      <c r="K2986" s="0" t="s">
        <v>9971</v>
      </c>
      <c r="L2986" s="0" t="str">
        <f aca="false">HYPERLINK("https://www.ncbi.nlm.nih.gov/nuccore/CP000304.1?report=graph&amp;tracks=[key:gene_model_track,Options:GeneOnly]&amp;mk=893159:893178|offset_40|00cc00,893191:893210|offset_72|444444,893215:893234|offset_96|444444,893297:893316|offset_178|444444&amp;v=892958:893516&amp;c=444444", "offset 40")</f>
        <v>offset 40</v>
      </c>
    </row>
    <row r="2987" customFormat="false" ht="12.8" hidden="false" customHeight="false" outlineLevel="0" collapsed="false">
      <c r="A2987" s="0" t="s">
        <v>12</v>
      </c>
      <c r="B2987" s="0" t="n">
        <v>893190</v>
      </c>
      <c r="C2987" s="0" t="n">
        <v>893210</v>
      </c>
      <c r="D2987" s="0" t="s">
        <v>9967</v>
      </c>
      <c r="E2987" s="0" t="s">
        <v>9968</v>
      </c>
      <c r="F2987" s="0" t="s">
        <v>15</v>
      </c>
      <c r="G2987" s="0" t="s">
        <v>16</v>
      </c>
      <c r="H2987" s="0" t="n">
        <v>72</v>
      </c>
      <c r="I2987" s="0" t="s">
        <v>9972</v>
      </c>
      <c r="J2987" s="0" t="s">
        <v>9973</v>
      </c>
      <c r="K2987" s="0" t="s">
        <v>9974</v>
      </c>
      <c r="L2987" s="0" t="str">
        <f aca="false">HYPERLINK("https://www.ncbi.nlm.nih.gov/nuccore/CP000304.1?report=graph&amp;tracks=[key:gene_model_track,Options:GeneOnly]&amp;mk=893159:893178|offset_40|444444,893191:893210|offset_72|00cc00,893215:893234|offset_96|444444,893297:893316|offset_178|444444&amp;v=892958:893516&amp;c=444444", "offset 72")</f>
        <v>offset 72</v>
      </c>
    </row>
    <row r="2988" customFormat="false" ht="12.8" hidden="false" customHeight="false" outlineLevel="0" collapsed="false">
      <c r="A2988" s="0" t="s">
        <v>12</v>
      </c>
      <c r="B2988" s="0" t="n">
        <v>893214</v>
      </c>
      <c r="C2988" s="0" t="n">
        <v>893234</v>
      </c>
      <c r="D2988" s="0" t="s">
        <v>9967</v>
      </c>
      <c r="E2988" s="0" t="s">
        <v>9968</v>
      </c>
      <c r="F2988" s="0" t="s">
        <v>15</v>
      </c>
      <c r="G2988" s="0" t="s">
        <v>16</v>
      </c>
      <c r="H2988" s="0" t="n">
        <v>96</v>
      </c>
      <c r="I2988" s="0" t="s">
        <v>9975</v>
      </c>
      <c r="J2988" s="0" t="s">
        <v>9976</v>
      </c>
      <c r="K2988" s="0" t="s">
        <v>9977</v>
      </c>
      <c r="L2988" s="0" t="str">
        <f aca="false">HYPERLINK("https://www.ncbi.nlm.nih.gov/nuccore/CP000304.1?report=graph&amp;tracks=[key:gene_model_track,Options:GeneOnly]&amp;mk=893159:893178|offset_40|444444,893191:893210|offset_72|444444,893215:893234|offset_96|00cc00,893297:893316|offset_178|444444&amp;v=892958:893516&amp;c=444444", "offset 96")</f>
        <v>offset 96</v>
      </c>
    </row>
    <row r="2989" customFormat="false" ht="12.8" hidden="false" customHeight="false" outlineLevel="0" collapsed="false">
      <c r="A2989" s="0" t="s">
        <v>12</v>
      </c>
      <c r="B2989" s="0" t="n">
        <v>893296</v>
      </c>
      <c r="C2989" s="0" t="n">
        <v>893316</v>
      </c>
      <c r="D2989" s="0" t="s">
        <v>9967</v>
      </c>
      <c r="E2989" s="0" t="s">
        <v>9968</v>
      </c>
      <c r="F2989" s="0" t="s">
        <v>15</v>
      </c>
      <c r="G2989" s="0" t="s">
        <v>36</v>
      </c>
      <c r="H2989" s="0" t="n">
        <v>178</v>
      </c>
      <c r="I2989" s="0" t="s">
        <v>9978</v>
      </c>
      <c r="J2989" s="0" t="s">
        <v>9979</v>
      </c>
      <c r="K2989" s="0" t="s">
        <v>9980</v>
      </c>
      <c r="L2989" s="0" t="str">
        <f aca="false">HYPERLINK("https://www.ncbi.nlm.nih.gov/nuccore/CP000304.1?report=graph&amp;tracks=[key:gene_model_track,Options:GeneOnly]&amp;mk=893159:893178|offset_40|444444,893191:893210|offset_72|444444,893215:893234|offset_96|444444,893297:893316|offset_178|00cc00&amp;v=892958:893516&amp;c=444444", "offset 178")</f>
        <v>offset 178</v>
      </c>
    </row>
    <row r="2990" customFormat="false" ht="12.8" hidden="false" customHeight="false" outlineLevel="0" collapsed="false">
      <c r="A2990" s="0" t="s">
        <v>12</v>
      </c>
      <c r="B2990" s="0" t="n">
        <v>893797</v>
      </c>
      <c r="C2990" s="0" t="n">
        <v>893817</v>
      </c>
      <c r="D2990" s="0" t="s">
        <v>9981</v>
      </c>
      <c r="E2990" s="0" t="s">
        <v>9982</v>
      </c>
      <c r="F2990" s="0" t="s">
        <v>15</v>
      </c>
      <c r="G2990" s="0" t="s">
        <v>32</v>
      </c>
      <c r="H2990" s="0" t="n">
        <v>31</v>
      </c>
      <c r="I2990" s="0" t="s">
        <v>9983</v>
      </c>
      <c r="J2990" s="0" t="s">
        <v>9984</v>
      </c>
      <c r="K2990" s="0" t="s">
        <v>9985</v>
      </c>
      <c r="L2990" s="0" t="str">
        <f aca="false">HYPERLINK("https://www.ncbi.nlm.nih.gov/nuccore/CP000304.1?report=graph&amp;tracks=[key:gene_model_track,Options:GeneOnly]&amp;mk=893798:893817|offset_31|00cc00,893819:893838|offset_52|444444,893853:893872|offset_86|444444,893910:893929|offset_143|444444&amp;v=893597:894129&amp;c=444444", "offset 31")</f>
        <v>offset 31</v>
      </c>
    </row>
    <row r="2991" customFormat="false" ht="12.8" hidden="false" customHeight="false" outlineLevel="0" collapsed="false">
      <c r="A2991" s="0" t="s">
        <v>12</v>
      </c>
      <c r="B2991" s="0" t="n">
        <v>893818</v>
      </c>
      <c r="C2991" s="0" t="n">
        <v>893838</v>
      </c>
      <c r="D2991" s="0" t="s">
        <v>9981</v>
      </c>
      <c r="E2991" s="0" t="s">
        <v>9982</v>
      </c>
      <c r="F2991" s="0" t="s">
        <v>15</v>
      </c>
      <c r="G2991" s="0" t="s">
        <v>26</v>
      </c>
      <c r="H2991" s="0" t="n">
        <v>52</v>
      </c>
      <c r="I2991" s="0" t="s">
        <v>9986</v>
      </c>
      <c r="J2991" s="0" t="s">
        <v>9987</v>
      </c>
      <c r="K2991" s="0" t="s">
        <v>9988</v>
      </c>
      <c r="L2991" s="0" t="str">
        <f aca="false">HYPERLINK("https://www.ncbi.nlm.nih.gov/nuccore/CP000304.1?report=graph&amp;tracks=[key:gene_model_track,Options:GeneOnly]&amp;mk=893798:893817|offset_31|444444,893819:893838|offset_52|00cc00,893853:893872|offset_86|444444,893910:893929|offset_143|444444&amp;v=893597:894129&amp;c=444444", "offset 52")</f>
        <v>offset 52</v>
      </c>
    </row>
    <row r="2992" customFormat="false" ht="12.8" hidden="false" customHeight="false" outlineLevel="0" collapsed="false">
      <c r="A2992" s="0" t="s">
        <v>12</v>
      </c>
      <c r="B2992" s="0" t="n">
        <v>893852</v>
      </c>
      <c r="C2992" s="0" t="n">
        <v>893872</v>
      </c>
      <c r="D2992" s="0" t="s">
        <v>9981</v>
      </c>
      <c r="E2992" s="0" t="s">
        <v>9982</v>
      </c>
      <c r="F2992" s="0" t="s">
        <v>15</v>
      </c>
      <c r="G2992" s="0" t="s">
        <v>32</v>
      </c>
      <c r="H2992" s="0" t="n">
        <v>86</v>
      </c>
      <c r="I2992" s="0" t="s">
        <v>9989</v>
      </c>
      <c r="J2992" s="0" t="s">
        <v>9990</v>
      </c>
      <c r="K2992" s="0" t="s">
        <v>9991</v>
      </c>
      <c r="L2992" s="0" t="str">
        <f aca="false">HYPERLINK("https://www.ncbi.nlm.nih.gov/nuccore/CP000304.1?report=graph&amp;tracks=[key:gene_model_track,Options:GeneOnly]&amp;mk=893798:893817|offset_31|444444,893819:893838|offset_52|444444,893853:893872|offset_86|00cc00,893910:893929|offset_143|444444&amp;v=893597:894129&amp;c=444444", "offset 86")</f>
        <v>offset 86</v>
      </c>
    </row>
    <row r="2993" customFormat="false" ht="12.8" hidden="false" customHeight="false" outlineLevel="0" collapsed="false">
      <c r="A2993" s="0" t="s">
        <v>12</v>
      </c>
      <c r="B2993" s="0" t="n">
        <v>893909</v>
      </c>
      <c r="C2993" s="0" t="n">
        <v>893929</v>
      </c>
      <c r="D2993" s="0" t="s">
        <v>9981</v>
      </c>
      <c r="E2993" s="0" t="s">
        <v>9982</v>
      </c>
      <c r="F2993" s="0" t="s">
        <v>15</v>
      </c>
      <c r="G2993" s="0" t="s">
        <v>16</v>
      </c>
      <c r="H2993" s="0" t="n">
        <v>143</v>
      </c>
      <c r="I2993" s="0" t="s">
        <v>9992</v>
      </c>
      <c r="J2993" s="0" t="s">
        <v>9993</v>
      </c>
      <c r="K2993" s="0" t="s">
        <v>9994</v>
      </c>
      <c r="L2993" s="0" t="str">
        <f aca="false">HYPERLINK("https://www.ncbi.nlm.nih.gov/nuccore/CP000304.1?report=graph&amp;tracks=[key:gene_model_track,Options:GeneOnly]&amp;mk=893798:893817|offset_31|444444,893819:893838|offset_52|444444,893853:893872|offset_86|444444,893910:893929|offset_143|00cc00&amp;v=893597:894129&amp;c=444444", "offset 143")</f>
        <v>offset 143</v>
      </c>
    </row>
    <row r="2994" customFormat="false" ht="12.8" hidden="false" customHeight="false" outlineLevel="0" collapsed="false">
      <c r="A2994" s="0" t="s">
        <v>12</v>
      </c>
      <c r="B2994" s="0" t="n">
        <v>894373</v>
      </c>
      <c r="C2994" s="0" t="n">
        <v>894393</v>
      </c>
      <c r="D2994" s="0" t="s">
        <v>9995</v>
      </c>
      <c r="E2994" s="0" t="s">
        <v>9996</v>
      </c>
      <c r="F2994" s="0" t="s">
        <v>15</v>
      </c>
      <c r="G2994" s="0" t="s">
        <v>32</v>
      </c>
      <c r="H2994" s="0" t="n">
        <v>8</v>
      </c>
      <c r="I2994" s="0" t="s">
        <v>9997</v>
      </c>
      <c r="J2994" s="0" t="s">
        <v>9998</v>
      </c>
      <c r="K2994" s="0" t="s">
        <v>9999</v>
      </c>
      <c r="L2994" s="0" t="str">
        <f aca="false">HYPERLINK("https://www.ncbi.nlm.nih.gov/nuccore/CP000304.1?report=graph&amp;tracks=[key:gene_model_track,Options:GeneOnly]&amp;mk=894374:894393|offset_8|00cc00,894395:894414|offset_29|444444,894415:894434|offset_49|444444,894512:894531|offset_146|444444&amp;v=894173:894731&amp;c=444444", "offset 8")</f>
        <v>offset 8</v>
      </c>
    </row>
    <row r="2995" customFormat="false" ht="12.8" hidden="false" customHeight="false" outlineLevel="0" collapsed="false">
      <c r="A2995" s="0" t="s">
        <v>12</v>
      </c>
      <c r="B2995" s="0" t="n">
        <v>894394</v>
      </c>
      <c r="C2995" s="0" t="n">
        <v>894414</v>
      </c>
      <c r="D2995" s="0" t="s">
        <v>9995</v>
      </c>
      <c r="E2995" s="0" t="s">
        <v>9996</v>
      </c>
      <c r="F2995" s="0" t="s">
        <v>15</v>
      </c>
      <c r="G2995" s="0" t="s">
        <v>26</v>
      </c>
      <c r="H2995" s="0" t="n">
        <v>29</v>
      </c>
      <c r="I2995" s="0" t="s">
        <v>10000</v>
      </c>
      <c r="J2995" s="0" t="s">
        <v>10001</v>
      </c>
      <c r="K2995" s="0" t="s">
        <v>10002</v>
      </c>
      <c r="L2995" s="0" t="str">
        <f aca="false">HYPERLINK("https://www.ncbi.nlm.nih.gov/nuccore/CP000304.1?report=graph&amp;tracks=[key:gene_model_track,Options:GeneOnly]&amp;mk=894374:894393|offset_8|444444,894395:894414|offset_29|00cc00,894415:894434|offset_49|444444,894512:894531|offset_146|444444&amp;v=894173:894731&amp;c=444444", "offset 29")</f>
        <v>offset 29</v>
      </c>
    </row>
    <row r="2996" customFormat="false" ht="12.8" hidden="false" customHeight="false" outlineLevel="0" collapsed="false">
      <c r="A2996" s="0" t="s">
        <v>12</v>
      </c>
      <c r="B2996" s="0" t="n">
        <v>894414</v>
      </c>
      <c r="C2996" s="0" t="n">
        <v>894434</v>
      </c>
      <c r="D2996" s="0" t="s">
        <v>9995</v>
      </c>
      <c r="E2996" s="0" t="s">
        <v>9996</v>
      </c>
      <c r="F2996" s="0" t="s">
        <v>15</v>
      </c>
      <c r="G2996" s="0" t="s">
        <v>16</v>
      </c>
      <c r="H2996" s="0" t="n">
        <v>49</v>
      </c>
      <c r="I2996" s="0" t="s">
        <v>10003</v>
      </c>
      <c r="J2996" s="0" t="s">
        <v>10004</v>
      </c>
      <c r="K2996" s="0" t="s">
        <v>10005</v>
      </c>
      <c r="L2996" s="0" t="str">
        <f aca="false">HYPERLINK("https://www.ncbi.nlm.nih.gov/nuccore/CP000304.1?report=graph&amp;tracks=[key:gene_model_track,Options:GeneOnly]&amp;mk=894374:894393|offset_8|444444,894395:894414|offset_29|444444,894415:894434|offset_49|00cc00,894512:894531|offset_146|444444&amp;v=894173:894731&amp;c=444444", "offset 49")</f>
        <v>offset 49</v>
      </c>
    </row>
    <row r="2997" customFormat="false" ht="12.8" hidden="false" customHeight="false" outlineLevel="0" collapsed="false">
      <c r="A2997" s="0" t="s">
        <v>12</v>
      </c>
      <c r="B2997" s="0" t="n">
        <v>894511</v>
      </c>
      <c r="C2997" s="0" t="n">
        <v>894531</v>
      </c>
      <c r="D2997" s="0" t="s">
        <v>9995</v>
      </c>
      <c r="E2997" s="0" t="s">
        <v>9996</v>
      </c>
      <c r="F2997" s="0" t="s">
        <v>15</v>
      </c>
      <c r="G2997" s="0" t="s">
        <v>26</v>
      </c>
      <c r="H2997" s="0" t="n">
        <v>146</v>
      </c>
      <c r="I2997" s="0" t="s">
        <v>10006</v>
      </c>
      <c r="J2997" s="0" t="s">
        <v>10007</v>
      </c>
      <c r="K2997" s="0" t="s">
        <v>10008</v>
      </c>
      <c r="L2997" s="0" t="str">
        <f aca="false">HYPERLINK("https://www.ncbi.nlm.nih.gov/nuccore/CP000304.1?report=graph&amp;tracks=[key:gene_model_track,Options:GeneOnly]&amp;mk=894374:894393|offset_8|444444,894395:894414|offset_29|444444,894415:894434|offset_49|444444,894512:894531|offset_146|00cc00&amp;v=894173:894731&amp;c=444444", "offset 146")</f>
        <v>offset 146</v>
      </c>
    </row>
    <row r="2998" customFormat="false" ht="12.8" hidden="false" customHeight="false" outlineLevel="0" collapsed="false">
      <c r="A2998" s="0" t="s">
        <v>12</v>
      </c>
      <c r="B2998" s="0" t="n">
        <v>894703</v>
      </c>
      <c r="C2998" s="0" t="n">
        <v>894723</v>
      </c>
      <c r="D2998" s="0" t="s">
        <v>10009</v>
      </c>
      <c r="E2998" s="0" t="s">
        <v>10010</v>
      </c>
      <c r="F2998" s="0" t="s">
        <v>15</v>
      </c>
      <c r="G2998" s="0" t="s">
        <v>16</v>
      </c>
      <c r="H2998" s="0" t="n">
        <v>24</v>
      </c>
      <c r="I2998" s="0" t="s">
        <v>10011</v>
      </c>
      <c r="J2998" s="0" t="s">
        <v>10012</v>
      </c>
      <c r="K2998" s="0" t="s">
        <v>10013</v>
      </c>
      <c r="L2998" s="0" t="str">
        <f aca="false">HYPERLINK("https://www.ncbi.nlm.nih.gov/nuccore/CP000304.1?report=graph&amp;tracks=[key:gene_model_track,Options:GeneOnly]&amp;mk=894704:894723|offset_24|00cc00,894767:894786|offset_87|444444,894808:894827|offset_128|444444,894831:894850|offset_151|444444&amp;v=894503:895050&amp;c=444444", "offset 24")</f>
        <v>offset 24</v>
      </c>
    </row>
    <row r="2999" customFormat="false" ht="12.8" hidden="false" customHeight="false" outlineLevel="0" collapsed="false">
      <c r="A2999" s="0" t="s">
        <v>12</v>
      </c>
      <c r="B2999" s="0" t="n">
        <v>894766</v>
      </c>
      <c r="C2999" s="0" t="n">
        <v>894786</v>
      </c>
      <c r="D2999" s="0" t="s">
        <v>10009</v>
      </c>
      <c r="E2999" s="0" t="s">
        <v>10010</v>
      </c>
      <c r="F2999" s="0" t="s">
        <v>15</v>
      </c>
      <c r="G2999" s="0" t="s">
        <v>26</v>
      </c>
      <c r="H2999" s="0" t="n">
        <v>87</v>
      </c>
      <c r="I2999" s="0" t="s">
        <v>10014</v>
      </c>
      <c r="J2999" s="0" t="s">
        <v>10015</v>
      </c>
      <c r="K2999" s="0" t="s">
        <v>10016</v>
      </c>
      <c r="L2999" s="0" t="str">
        <f aca="false">HYPERLINK("https://www.ncbi.nlm.nih.gov/nuccore/CP000304.1?report=graph&amp;tracks=[key:gene_model_track,Options:GeneOnly]&amp;mk=894704:894723|offset_24|444444,894767:894786|offset_87|00cc00,894808:894827|offset_128|444444,894831:894850|offset_151|444444&amp;v=894503:895050&amp;c=444444", "offset 87")</f>
        <v>offset 87</v>
      </c>
    </row>
    <row r="3000" customFormat="false" ht="12.8" hidden="false" customHeight="false" outlineLevel="0" collapsed="false">
      <c r="A3000" s="0" t="s">
        <v>12</v>
      </c>
      <c r="B3000" s="0" t="n">
        <v>894807</v>
      </c>
      <c r="C3000" s="0" t="n">
        <v>894827</v>
      </c>
      <c r="D3000" s="0" t="s">
        <v>10009</v>
      </c>
      <c r="E3000" s="0" t="s">
        <v>10010</v>
      </c>
      <c r="F3000" s="0" t="s">
        <v>15</v>
      </c>
      <c r="G3000" s="0" t="s">
        <v>16</v>
      </c>
      <c r="H3000" s="0" t="n">
        <v>128</v>
      </c>
      <c r="I3000" s="0" t="s">
        <v>10017</v>
      </c>
      <c r="J3000" s="0" t="s">
        <v>10018</v>
      </c>
      <c r="K3000" s="0" t="s">
        <v>10019</v>
      </c>
      <c r="L3000" s="0" t="str">
        <f aca="false">HYPERLINK("https://www.ncbi.nlm.nih.gov/nuccore/CP000304.1?report=graph&amp;tracks=[key:gene_model_track,Options:GeneOnly]&amp;mk=894704:894723|offset_24|444444,894767:894786|offset_87|444444,894808:894827|offset_128|00cc00,894831:894850|offset_151|444444&amp;v=894503:895050&amp;c=444444", "offset 128")</f>
        <v>offset 128</v>
      </c>
    </row>
    <row r="3001" customFormat="false" ht="12.8" hidden="false" customHeight="false" outlineLevel="0" collapsed="false">
      <c r="A3001" s="0" t="s">
        <v>12</v>
      </c>
      <c r="B3001" s="0" t="n">
        <v>894830</v>
      </c>
      <c r="C3001" s="0" t="n">
        <v>894850</v>
      </c>
      <c r="D3001" s="0" t="s">
        <v>10009</v>
      </c>
      <c r="E3001" s="0" t="s">
        <v>10010</v>
      </c>
      <c r="F3001" s="0" t="s">
        <v>15</v>
      </c>
      <c r="G3001" s="0" t="s">
        <v>32</v>
      </c>
      <c r="H3001" s="0" t="n">
        <v>151</v>
      </c>
      <c r="I3001" s="0" t="s">
        <v>10020</v>
      </c>
      <c r="J3001" s="0" t="s">
        <v>10021</v>
      </c>
      <c r="K3001" s="0" t="s">
        <v>10022</v>
      </c>
      <c r="L3001" s="0" t="str">
        <f aca="false">HYPERLINK("https://www.ncbi.nlm.nih.gov/nuccore/CP000304.1?report=graph&amp;tracks=[key:gene_model_track,Options:GeneOnly]&amp;mk=894704:894723|offset_24|444444,894767:894786|offset_87|444444,894808:894827|offset_128|444444,894831:894850|offset_151|00cc00&amp;v=894503:895050&amp;c=444444", "offset 151")</f>
        <v>offset 151</v>
      </c>
    </row>
    <row r="3002" customFormat="false" ht="12.8" hidden="false" customHeight="false" outlineLevel="0" collapsed="false">
      <c r="A3002" s="0" t="s">
        <v>12</v>
      </c>
      <c r="B3002" s="0" t="n">
        <v>895523</v>
      </c>
      <c r="C3002" s="0" t="n">
        <v>895543</v>
      </c>
      <c r="D3002" s="0" t="s">
        <v>10023</v>
      </c>
      <c r="E3002" s="0" t="s">
        <v>10024</v>
      </c>
      <c r="F3002" s="0" t="s">
        <v>15</v>
      </c>
      <c r="G3002" s="0" t="s">
        <v>16</v>
      </c>
      <c r="H3002" s="0" t="n">
        <v>6</v>
      </c>
      <c r="I3002" s="0" t="s">
        <v>10025</v>
      </c>
      <c r="J3002" s="0" t="s">
        <v>10026</v>
      </c>
      <c r="K3002" s="0" t="s">
        <v>10027</v>
      </c>
      <c r="L3002" s="0" t="str">
        <f aca="false">HYPERLINK("https://www.ncbi.nlm.nih.gov/nuccore/CP000304.1?report=graph&amp;tracks=[key:gene_model_track,Options:GeneOnly]&amp;mk=895524:895543|offset_6|00cc00,895545:895564|offset_27|444444,895608:895627|offset_90|444444,895640:895659|offset_122|444444&amp;v=895323:895859&amp;c=444444", "offset 6")</f>
        <v>offset 6</v>
      </c>
    </row>
    <row r="3003" customFormat="false" ht="12.8" hidden="false" customHeight="false" outlineLevel="0" collapsed="false">
      <c r="A3003" s="0" t="s">
        <v>12</v>
      </c>
      <c r="B3003" s="0" t="n">
        <v>895544</v>
      </c>
      <c r="C3003" s="0" t="n">
        <v>895564</v>
      </c>
      <c r="D3003" s="0" t="s">
        <v>10023</v>
      </c>
      <c r="E3003" s="0" t="s">
        <v>10024</v>
      </c>
      <c r="F3003" s="0" t="s">
        <v>15</v>
      </c>
      <c r="G3003" s="0" t="s">
        <v>26</v>
      </c>
      <c r="H3003" s="0" t="n">
        <v>27</v>
      </c>
      <c r="I3003" s="0" t="s">
        <v>10028</v>
      </c>
      <c r="J3003" s="0" t="s">
        <v>10029</v>
      </c>
      <c r="K3003" s="0" t="s">
        <v>10030</v>
      </c>
      <c r="L3003" s="0" t="str">
        <f aca="false">HYPERLINK("https://www.ncbi.nlm.nih.gov/nuccore/CP000304.1?report=graph&amp;tracks=[key:gene_model_track,Options:GeneOnly]&amp;mk=895524:895543|offset_6|444444,895545:895564|offset_27|00cc00,895608:895627|offset_90|444444,895640:895659|offset_122|444444&amp;v=895323:895859&amp;c=444444", "offset 27")</f>
        <v>offset 27</v>
      </c>
    </row>
    <row r="3004" customFormat="false" ht="12.8" hidden="false" customHeight="false" outlineLevel="0" collapsed="false">
      <c r="A3004" s="0" t="s">
        <v>12</v>
      </c>
      <c r="B3004" s="0" t="n">
        <v>895607</v>
      </c>
      <c r="C3004" s="0" t="n">
        <v>895627</v>
      </c>
      <c r="D3004" s="0" t="s">
        <v>10023</v>
      </c>
      <c r="E3004" s="0" t="s">
        <v>10024</v>
      </c>
      <c r="F3004" s="0" t="s">
        <v>15</v>
      </c>
      <c r="G3004" s="0" t="s">
        <v>16</v>
      </c>
      <c r="H3004" s="0" t="n">
        <v>90</v>
      </c>
      <c r="I3004" s="0" t="s">
        <v>10031</v>
      </c>
      <c r="J3004" s="0" t="s">
        <v>10032</v>
      </c>
      <c r="K3004" s="0" t="s">
        <v>10033</v>
      </c>
      <c r="L3004" s="0" t="str">
        <f aca="false">HYPERLINK("https://www.ncbi.nlm.nih.gov/nuccore/CP000304.1?report=graph&amp;tracks=[key:gene_model_track,Options:GeneOnly]&amp;mk=895524:895543|offset_6|444444,895545:895564|offset_27|444444,895608:895627|offset_90|00cc00,895640:895659|offset_122|444444&amp;v=895323:895859&amp;c=444444", "offset 90")</f>
        <v>offset 90</v>
      </c>
    </row>
    <row r="3005" customFormat="false" ht="12.8" hidden="false" customHeight="false" outlineLevel="0" collapsed="false">
      <c r="A3005" s="0" t="s">
        <v>12</v>
      </c>
      <c r="B3005" s="0" t="n">
        <v>895639</v>
      </c>
      <c r="C3005" s="0" t="n">
        <v>895659</v>
      </c>
      <c r="D3005" s="0" t="s">
        <v>10023</v>
      </c>
      <c r="E3005" s="0" t="s">
        <v>10024</v>
      </c>
      <c r="F3005" s="0" t="s">
        <v>15</v>
      </c>
      <c r="G3005" s="0" t="s">
        <v>26</v>
      </c>
      <c r="H3005" s="0" t="n">
        <v>122</v>
      </c>
      <c r="I3005" s="0" t="s">
        <v>10034</v>
      </c>
      <c r="J3005" s="0" t="s">
        <v>10035</v>
      </c>
      <c r="K3005" s="0" t="s">
        <v>10036</v>
      </c>
      <c r="L3005" s="0" t="str">
        <f aca="false">HYPERLINK("https://www.ncbi.nlm.nih.gov/nuccore/CP000304.1?report=graph&amp;tracks=[key:gene_model_track,Options:GeneOnly]&amp;mk=895524:895543|offset_6|444444,895545:895564|offset_27|444444,895608:895627|offset_90|444444,895640:895659|offset_122|00cc00&amp;v=895323:895859&amp;c=444444", "offset 122")</f>
        <v>offset 122</v>
      </c>
    </row>
    <row r="3006" customFormat="false" ht="12.8" hidden="false" customHeight="false" outlineLevel="0" collapsed="false">
      <c r="A3006" s="0" t="s">
        <v>12</v>
      </c>
      <c r="B3006" s="0" t="n">
        <v>895819</v>
      </c>
      <c r="C3006" s="0" t="n">
        <v>895839</v>
      </c>
      <c r="D3006" s="0" t="s">
        <v>10037</v>
      </c>
      <c r="E3006" s="0" t="s">
        <v>10038</v>
      </c>
      <c r="F3006" s="0" t="s">
        <v>15</v>
      </c>
      <c r="G3006" s="0" t="s">
        <v>16</v>
      </c>
      <c r="H3006" s="0" t="n">
        <v>13</v>
      </c>
      <c r="I3006" s="0" t="s">
        <v>10039</v>
      </c>
      <c r="J3006" s="0" t="s">
        <v>10040</v>
      </c>
      <c r="K3006" s="0" t="s">
        <v>10041</v>
      </c>
      <c r="L3006" s="0" t="str">
        <f aca="false">HYPERLINK("https://www.ncbi.nlm.nih.gov/nuccore/CP000304.1?report=graph&amp;tracks=[key:gene_model_track,Options:GeneOnly]&amp;mk=895820:895839|offset_13|00cc00,895850:895869|offset_43|444444,895871:895890|offset_64|444444,895911:895930|offset_104|444444&amp;v=895619:896130&amp;c=444444", "offset 13")</f>
        <v>offset 13</v>
      </c>
    </row>
    <row r="3007" customFormat="false" ht="12.8" hidden="false" customHeight="false" outlineLevel="0" collapsed="false">
      <c r="A3007" s="0" t="s">
        <v>12</v>
      </c>
      <c r="B3007" s="0" t="n">
        <v>895849</v>
      </c>
      <c r="C3007" s="0" t="n">
        <v>895869</v>
      </c>
      <c r="D3007" s="0" t="s">
        <v>10037</v>
      </c>
      <c r="E3007" s="0" t="s">
        <v>10038</v>
      </c>
      <c r="F3007" s="0" t="s">
        <v>15</v>
      </c>
      <c r="G3007" s="0" t="s">
        <v>36</v>
      </c>
      <c r="H3007" s="0" t="n">
        <v>43</v>
      </c>
      <c r="I3007" s="0" t="s">
        <v>10042</v>
      </c>
      <c r="J3007" s="0" t="s">
        <v>10043</v>
      </c>
      <c r="K3007" s="0" t="s">
        <v>10044</v>
      </c>
      <c r="L3007" s="0" t="str">
        <f aca="false">HYPERLINK("https://www.ncbi.nlm.nih.gov/nuccore/CP000304.1?report=graph&amp;tracks=[key:gene_model_track,Options:GeneOnly]&amp;mk=895820:895839|offset_13|444444,895850:895869|offset_43|00cc00,895871:895890|offset_64|444444,895911:895930|offset_104|444444&amp;v=895619:896130&amp;c=444444", "offset 43")</f>
        <v>offset 43</v>
      </c>
    </row>
    <row r="3008" customFormat="false" ht="12.8" hidden="false" customHeight="false" outlineLevel="0" collapsed="false">
      <c r="A3008" s="0" t="s">
        <v>12</v>
      </c>
      <c r="B3008" s="0" t="n">
        <v>895870</v>
      </c>
      <c r="C3008" s="0" t="n">
        <v>895890</v>
      </c>
      <c r="D3008" s="0" t="s">
        <v>10037</v>
      </c>
      <c r="E3008" s="0" t="s">
        <v>10038</v>
      </c>
      <c r="F3008" s="0" t="s">
        <v>15</v>
      </c>
      <c r="G3008" s="0" t="s">
        <v>16</v>
      </c>
      <c r="H3008" s="0" t="n">
        <v>64</v>
      </c>
      <c r="I3008" s="0" t="s">
        <v>10045</v>
      </c>
      <c r="J3008" s="0" t="s">
        <v>10046</v>
      </c>
      <c r="K3008" s="0" t="s">
        <v>10047</v>
      </c>
      <c r="L3008" s="0" t="str">
        <f aca="false">HYPERLINK("https://www.ncbi.nlm.nih.gov/nuccore/CP000304.1?report=graph&amp;tracks=[key:gene_model_track,Options:GeneOnly]&amp;mk=895820:895839|offset_13|444444,895850:895869|offset_43|444444,895871:895890|offset_64|00cc00,895911:895930|offset_104|444444&amp;v=895619:896130&amp;c=444444", "offset 64")</f>
        <v>offset 64</v>
      </c>
    </row>
    <row r="3009" customFormat="false" ht="12.8" hidden="false" customHeight="false" outlineLevel="0" collapsed="false">
      <c r="A3009" s="0" t="s">
        <v>12</v>
      </c>
      <c r="B3009" s="0" t="n">
        <v>895910</v>
      </c>
      <c r="C3009" s="0" t="n">
        <v>895930</v>
      </c>
      <c r="D3009" s="0" t="s">
        <v>10037</v>
      </c>
      <c r="E3009" s="0" t="s">
        <v>10038</v>
      </c>
      <c r="F3009" s="0" t="s">
        <v>15</v>
      </c>
      <c r="G3009" s="0" t="s">
        <v>26</v>
      </c>
      <c r="H3009" s="0" t="n">
        <v>104</v>
      </c>
      <c r="I3009" s="0" t="s">
        <v>10048</v>
      </c>
      <c r="J3009" s="0" t="s">
        <v>10049</v>
      </c>
      <c r="K3009" s="0" t="s">
        <v>10050</v>
      </c>
      <c r="L3009" s="0" t="str">
        <f aca="false">HYPERLINK("https://www.ncbi.nlm.nih.gov/nuccore/CP000304.1?report=graph&amp;tracks=[key:gene_model_track,Options:GeneOnly]&amp;mk=895820:895839|offset_13|444444,895850:895869|offset_43|444444,895871:895890|offset_64|444444,895911:895930|offset_104|00cc00&amp;v=895619:896130&amp;c=444444", "offset 104")</f>
        <v>offset 104</v>
      </c>
    </row>
    <row r="3010" customFormat="false" ht="12.8" hidden="false" customHeight="false" outlineLevel="0" collapsed="false">
      <c r="A3010" s="0" t="s">
        <v>12</v>
      </c>
      <c r="B3010" s="0" t="n">
        <v>896173</v>
      </c>
      <c r="C3010" s="0" t="n">
        <v>896193</v>
      </c>
      <c r="D3010" s="0" t="s">
        <v>10051</v>
      </c>
      <c r="E3010" s="0" t="s">
        <v>10052</v>
      </c>
      <c r="F3010" s="0" t="s">
        <v>15</v>
      </c>
      <c r="G3010" s="0" t="s">
        <v>36</v>
      </c>
      <c r="H3010" s="0" t="n">
        <v>21</v>
      </c>
      <c r="I3010" s="0" t="s">
        <v>10053</v>
      </c>
      <c r="J3010" s="0" t="s">
        <v>10054</v>
      </c>
      <c r="K3010" s="0" t="s">
        <v>10055</v>
      </c>
      <c r="L3010" s="0" t="str">
        <f aca="false">HYPERLINK("https://www.ncbi.nlm.nih.gov/nuccore/CP000304.1?report=graph&amp;tracks=[key:gene_model_track,Options:GeneOnly]&amp;mk=896174:896193|offset_21|00cc00,896211:896230|offset_58|444444,896233:896252|offset_80|444444,896281:896300|offset_128|444444&amp;v=895973:896500&amp;c=444444", "offset 21")</f>
        <v>offset 21</v>
      </c>
    </row>
    <row r="3011" customFormat="false" ht="12.8" hidden="false" customHeight="false" outlineLevel="0" collapsed="false">
      <c r="A3011" s="0" t="s">
        <v>12</v>
      </c>
      <c r="B3011" s="0" t="n">
        <v>896210</v>
      </c>
      <c r="C3011" s="0" t="n">
        <v>896230</v>
      </c>
      <c r="D3011" s="0" t="s">
        <v>10051</v>
      </c>
      <c r="E3011" s="0" t="s">
        <v>10052</v>
      </c>
      <c r="F3011" s="0" t="s">
        <v>15</v>
      </c>
      <c r="G3011" s="0" t="s">
        <v>26</v>
      </c>
      <c r="H3011" s="0" t="n">
        <v>58</v>
      </c>
      <c r="I3011" s="0" t="s">
        <v>10056</v>
      </c>
      <c r="J3011" s="0" t="s">
        <v>10057</v>
      </c>
      <c r="K3011" s="0" t="s">
        <v>10058</v>
      </c>
      <c r="L3011" s="0" t="str">
        <f aca="false">HYPERLINK("https://www.ncbi.nlm.nih.gov/nuccore/CP000304.1?report=graph&amp;tracks=[key:gene_model_track,Options:GeneOnly]&amp;mk=896174:896193|offset_21|444444,896211:896230|offset_58|00cc00,896233:896252|offset_80|444444,896281:896300|offset_128|444444&amp;v=895973:896500&amp;c=444444", "offset 58")</f>
        <v>offset 58</v>
      </c>
    </row>
    <row r="3012" customFormat="false" ht="12.8" hidden="false" customHeight="false" outlineLevel="0" collapsed="false">
      <c r="A3012" s="0" t="s">
        <v>12</v>
      </c>
      <c r="B3012" s="0" t="n">
        <v>896232</v>
      </c>
      <c r="C3012" s="0" t="n">
        <v>896252</v>
      </c>
      <c r="D3012" s="0" t="s">
        <v>10051</v>
      </c>
      <c r="E3012" s="0" t="s">
        <v>10052</v>
      </c>
      <c r="F3012" s="0" t="s">
        <v>15</v>
      </c>
      <c r="G3012" s="0" t="s">
        <v>16</v>
      </c>
      <c r="H3012" s="0" t="n">
        <v>80</v>
      </c>
      <c r="I3012" s="0" t="s">
        <v>10059</v>
      </c>
      <c r="J3012" s="0" t="s">
        <v>10060</v>
      </c>
      <c r="K3012" s="0" t="s">
        <v>10061</v>
      </c>
      <c r="L3012" s="0" t="str">
        <f aca="false">HYPERLINK("https://www.ncbi.nlm.nih.gov/nuccore/CP000304.1?report=graph&amp;tracks=[key:gene_model_track,Options:GeneOnly]&amp;mk=896174:896193|offset_21|444444,896211:896230|offset_58|444444,896233:896252|offset_80|00cc00,896281:896300|offset_128|444444&amp;v=895973:896500&amp;c=444444", "offset 80")</f>
        <v>offset 80</v>
      </c>
    </row>
    <row r="3013" customFormat="false" ht="12.8" hidden="false" customHeight="false" outlineLevel="0" collapsed="false">
      <c r="A3013" s="0" t="s">
        <v>12</v>
      </c>
      <c r="B3013" s="0" t="n">
        <v>896280</v>
      </c>
      <c r="C3013" s="0" t="n">
        <v>896300</v>
      </c>
      <c r="D3013" s="0" t="s">
        <v>10051</v>
      </c>
      <c r="E3013" s="0" t="s">
        <v>10052</v>
      </c>
      <c r="F3013" s="0" t="s">
        <v>15</v>
      </c>
      <c r="G3013" s="0" t="s">
        <v>26</v>
      </c>
      <c r="H3013" s="0" t="n">
        <v>128</v>
      </c>
      <c r="I3013" s="0" t="s">
        <v>10062</v>
      </c>
      <c r="J3013" s="0" t="s">
        <v>10063</v>
      </c>
      <c r="K3013" s="0" t="s">
        <v>10064</v>
      </c>
      <c r="L3013" s="0" t="str">
        <f aca="false">HYPERLINK("https://www.ncbi.nlm.nih.gov/nuccore/CP000304.1?report=graph&amp;tracks=[key:gene_model_track,Options:GeneOnly]&amp;mk=896174:896193|offset_21|444444,896211:896230|offset_58|444444,896233:896252|offset_80|444444,896281:896300|offset_128|00cc00&amp;v=895973:896500&amp;c=444444", "offset 128")</f>
        <v>offset 128</v>
      </c>
    </row>
    <row r="3014" customFormat="false" ht="12.8" hidden="false" customHeight="false" outlineLevel="0" collapsed="false">
      <c r="A3014" s="0" t="s">
        <v>12</v>
      </c>
      <c r="B3014" s="0" t="n">
        <v>896863</v>
      </c>
      <c r="C3014" s="0" t="n">
        <v>896883</v>
      </c>
      <c r="D3014" s="0" t="s">
        <v>10065</v>
      </c>
      <c r="E3014" s="0" t="s">
        <v>10066</v>
      </c>
      <c r="F3014" s="0" t="s">
        <v>15</v>
      </c>
      <c r="G3014" s="0" t="s">
        <v>36</v>
      </c>
      <c r="H3014" s="0" t="n">
        <v>12</v>
      </c>
      <c r="I3014" s="0" t="s">
        <v>10067</v>
      </c>
      <c r="J3014" s="0" t="s">
        <v>10068</v>
      </c>
      <c r="K3014" s="0" t="s">
        <v>10069</v>
      </c>
      <c r="L3014" s="0" t="str">
        <f aca="false">HYPERLINK("https://www.ncbi.nlm.nih.gov/nuccore/CP000304.1?report=graph&amp;tracks=[key:gene_model_track,Options:GeneOnly]&amp;mk=896864:896883|offset_12|00cc00,896895:896914|offset_43|444444,896967:896986|offset_115|444444,897052:897071|offset_200|444444&amp;v=896663:897271&amp;c=444444", "offset 12")</f>
        <v>offset 12</v>
      </c>
    </row>
    <row r="3015" customFormat="false" ht="12.8" hidden="false" customHeight="false" outlineLevel="0" collapsed="false">
      <c r="A3015" s="0" t="s">
        <v>12</v>
      </c>
      <c r="B3015" s="0" t="n">
        <v>896894</v>
      </c>
      <c r="C3015" s="0" t="n">
        <v>896914</v>
      </c>
      <c r="D3015" s="0" t="s">
        <v>10065</v>
      </c>
      <c r="E3015" s="0" t="s">
        <v>10066</v>
      </c>
      <c r="F3015" s="0" t="s">
        <v>15</v>
      </c>
      <c r="G3015" s="0" t="s">
        <v>16</v>
      </c>
      <c r="H3015" s="0" t="n">
        <v>43</v>
      </c>
      <c r="I3015" s="0" t="s">
        <v>10070</v>
      </c>
      <c r="J3015" s="0" t="s">
        <v>10071</v>
      </c>
      <c r="K3015" s="0" t="s">
        <v>10072</v>
      </c>
      <c r="L3015" s="0" t="str">
        <f aca="false">HYPERLINK("https://www.ncbi.nlm.nih.gov/nuccore/CP000304.1?report=graph&amp;tracks=[key:gene_model_track,Options:GeneOnly]&amp;mk=896864:896883|offset_12|444444,896895:896914|offset_43|00cc00,896967:896986|offset_115|444444,897052:897071|offset_200|444444&amp;v=896663:897271&amp;c=444444", "offset 43")</f>
        <v>offset 43</v>
      </c>
    </row>
    <row r="3016" customFormat="false" ht="12.8" hidden="false" customHeight="false" outlineLevel="0" collapsed="false">
      <c r="A3016" s="0" t="s">
        <v>12</v>
      </c>
      <c r="B3016" s="0" t="n">
        <v>896966</v>
      </c>
      <c r="C3016" s="0" t="n">
        <v>896986</v>
      </c>
      <c r="D3016" s="0" t="s">
        <v>10065</v>
      </c>
      <c r="E3016" s="0" t="s">
        <v>10066</v>
      </c>
      <c r="F3016" s="0" t="s">
        <v>15</v>
      </c>
      <c r="G3016" s="0" t="s">
        <v>36</v>
      </c>
      <c r="H3016" s="0" t="n">
        <v>115</v>
      </c>
      <c r="I3016" s="0" t="s">
        <v>10073</v>
      </c>
      <c r="J3016" s="0" t="s">
        <v>10074</v>
      </c>
      <c r="K3016" s="0" t="s">
        <v>10075</v>
      </c>
      <c r="L3016" s="0" t="str">
        <f aca="false">HYPERLINK("https://www.ncbi.nlm.nih.gov/nuccore/CP000304.1?report=graph&amp;tracks=[key:gene_model_track,Options:GeneOnly]&amp;mk=896864:896883|offset_12|444444,896895:896914|offset_43|444444,896967:896986|offset_115|00cc00,897052:897071|offset_200|444444&amp;v=896663:897271&amp;c=444444", "offset 115")</f>
        <v>offset 115</v>
      </c>
    </row>
    <row r="3017" customFormat="false" ht="12.8" hidden="false" customHeight="false" outlineLevel="0" collapsed="false">
      <c r="A3017" s="0" t="s">
        <v>12</v>
      </c>
      <c r="B3017" s="0" t="n">
        <v>897051</v>
      </c>
      <c r="C3017" s="0" t="n">
        <v>897071</v>
      </c>
      <c r="D3017" s="0" t="s">
        <v>10065</v>
      </c>
      <c r="E3017" s="0" t="s">
        <v>10066</v>
      </c>
      <c r="F3017" s="0" t="s">
        <v>15</v>
      </c>
      <c r="G3017" s="0" t="s">
        <v>16</v>
      </c>
      <c r="H3017" s="0" t="n">
        <v>200</v>
      </c>
      <c r="I3017" s="0" t="s">
        <v>10076</v>
      </c>
      <c r="J3017" s="0" t="s">
        <v>10077</v>
      </c>
      <c r="K3017" s="0" t="s">
        <v>10078</v>
      </c>
      <c r="L3017" s="0" t="str">
        <f aca="false">HYPERLINK("https://www.ncbi.nlm.nih.gov/nuccore/CP000304.1?report=graph&amp;tracks=[key:gene_model_track,Options:GeneOnly]&amp;mk=896864:896883|offset_12|444444,896895:896914|offset_43|444444,896967:896986|offset_115|444444,897052:897071|offset_200|00cc00&amp;v=896663:897271&amp;c=444444", "offset 200")</f>
        <v>offset 200</v>
      </c>
    </row>
    <row r="3018" customFormat="false" ht="12.8" hidden="false" customHeight="false" outlineLevel="0" collapsed="false">
      <c r="A3018" s="0" t="s">
        <v>12</v>
      </c>
      <c r="B3018" s="0" t="n">
        <v>897295</v>
      </c>
      <c r="C3018" s="0" t="n">
        <v>897315</v>
      </c>
      <c r="D3018" s="0" t="s">
        <v>10079</v>
      </c>
      <c r="E3018" s="0" t="s">
        <v>10080</v>
      </c>
      <c r="F3018" s="0" t="s">
        <v>15</v>
      </c>
      <c r="G3018" s="0" t="s">
        <v>16</v>
      </c>
      <c r="H3018" s="0" t="n">
        <v>31</v>
      </c>
      <c r="I3018" s="0" t="s">
        <v>10081</v>
      </c>
      <c r="J3018" s="0" t="s">
        <v>10082</v>
      </c>
      <c r="K3018" s="0" t="s">
        <v>10083</v>
      </c>
      <c r="L3018" s="0" t="str">
        <f aca="false">HYPERLINK("https://www.ncbi.nlm.nih.gov/nuccore/CP000304.1?report=graph&amp;tracks=[key:gene_model_track,Options:GeneOnly]&amp;mk=897296:897315|offset_31|00cc00,897339:897358|offset_74|444444,897372:897391|offset_107|444444&amp;v=897095:897591&amp;c=444444", "offset 31")</f>
        <v>offset 31</v>
      </c>
    </row>
    <row r="3019" customFormat="false" ht="12.8" hidden="false" customHeight="false" outlineLevel="0" collapsed="false">
      <c r="A3019" s="0" t="s">
        <v>12</v>
      </c>
      <c r="B3019" s="0" t="n">
        <v>897338</v>
      </c>
      <c r="C3019" s="0" t="n">
        <v>897358</v>
      </c>
      <c r="D3019" s="0" t="s">
        <v>10079</v>
      </c>
      <c r="E3019" s="0" t="s">
        <v>10080</v>
      </c>
      <c r="F3019" s="0" t="s">
        <v>15</v>
      </c>
      <c r="G3019" s="0" t="s">
        <v>32</v>
      </c>
      <c r="H3019" s="0" t="n">
        <v>74</v>
      </c>
      <c r="I3019" s="0" t="s">
        <v>10084</v>
      </c>
      <c r="J3019" s="0" t="s">
        <v>10085</v>
      </c>
      <c r="K3019" s="0" t="s">
        <v>10086</v>
      </c>
      <c r="L3019" s="0" t="str">
        <f aca="false">HYPERLINK("https://www.ncbi.nlm.nih.gov/nuccore/CP000304.1?report=graph&amp;tracks=[key:gene_model_track,Options:GeneOnly]&amp;mk=897296:897315|offset_31|444444,897339:897358|offset_74|00cc00,897372:897391|offset_107|444444&amp;v=897095:897591&amp;c=444444", "offset 74")</f>
        <v>offset 74</v>
      </c>
    </row>
    <row r="3020" customFormat="false" ht="12.8" hidden="false" customHeight="false" outlineLevel="0" collapsed="false">
      <c r="A3020" s="0" t="s">
        <v>12</v>
      </c>
      <c r="B3020" s="0" t="n">
        <v>897371</v>
      </c>
      <c r="C3020" s="0" t="n">
        <v>897391</v>
      </c>
      <c r="D3020" s="0" t="s">
        <v>10079</v>
      </c>
      <c r="E3020" s="0" t="s">
        <v>10080</v>
      </c>
      <c r="F3020" s="0" t="s">
        <v>15</v>
      </c>
      <c r="G3020" s="0" t="s">
        <v>32</v>
      </c>
      <c r="H3020" s="0" t="n">
        <v>107</v>
      </c>
      <c r="I3020" s="0" t="s">
        <v>10087</v>
      </c>
      <c r="J3020" s="0" t="s">
        <v>10088</v>
      </c>
      <c r="K3020" s="0" t="s">
        <v>10089</v>
      </c>
      <c r="L3020" s="0" t="str">
        <f aca="false">HYPERLINK("https://www.ncbi.nlm.nih.gov/nuccore/CP000304.1?report=graph&amp;tracks=[key:gene_model_track,Options:GeneOnly]&amp;mk=897296:897315|offset_31|444444,897339:897358|offset_74|444444,897372:897391|offset_107|00cc00&amp;v=897095:897591&amp;c=444444", "offset 107")</f>
        <v>offset 107</v>
      </c>
    </row>
    <row r="3021" customFormat="false" ht="12.8" hidden="false" customHeight="false" outlineLevel="0" collapsed="false">
      <c r="A3021" s="0" t="s">
        <v>12</v>
      </c>
      <c r="B3021" s="0" t="n">
        <v>897480</v>
      </c>
      <c r="C3021" s="0" t="n">
        <v>897500</v>
      </c>
      <c r="D3021" s="0" t="s">
        <v>10090</v>
      </c>
      <c r="E3021" s="0" t="s">
        <v>10091</v>
      </c>
      <c r="F3021" s="0" t="s">
        <v>15</v>
      </c>
      <c r="G3021" s="0" t="s">
        <v>16</v>
      </c>
      <c r="H3021" s="0" t="n">
        <v>22</v>
      </c>
      <c r="I3021" s="0" t="s">
        <v>10092</v>
      </c>
      <c r="J3021" s="0" t="s">
        <v>10093</v>
      </c>
      <c r="K3021" s="0" t="s">
        <v>10094</v>
      </c>
      <c r="L3021" s="0" t="str">
        <f aca="false">HYPERLINK("https://www.ncbi.nlm.nih.gov/nuccore/CP000304.1?report=graph&amp;tracks=[key:gene_model_track,Options:GeneOnly]&amp;mk=897481:897500|offset_22|00cc00,897529:897548|offset_70|444444,897563:897582|offset_104|444444,897595:897614|offset_136|444444&amp;v=897280:897814&amp;c=444444", "offset 22")</f>
        <v>offset 22</v>
      </c>
    </row>
    <row r="3022" customFormat="false" ht="12.8" hidden="false" customHeight="false" outlineLevel="0" collapsed="false">
      <c r="A3022" s="0" t="s">
        <v>12</v>
      </c>
      <c r="B3022" s="0" t="n">
        <v>897528</v>
      </c>
      <c r="C3022" s="0" t="n">
        <v>897548</v>
      </c>
      <c r="D3022" s="0" t="s">
        <v>10090</v>
      </c>
      <c r="E3022" s="0" t="s">
        <v>10091</v>
      </c>
      <c r="F3022" s="0" t="s">
        <v>15</v>
      </c>
      <c r="G3022" s="0" t="s">
        <v>32</v>
      </c>
      <c r="H3022" s="0" t="n">
        <v>70</v>
      </c>
      <c r="I3022" s="0" t="s">
        <v>10095</v>
      </c>
      <c r="J3022" s="0" t="s">
        <v>10096</v>
      </c>
      <c r="K3022" s="0" t="s">
        <v>10097</v>
      </c>
      <c r="L3022" s="0" t="str">
        <f aca="false">HYPERLINK("https://www.ncbi.nlm.nih.gov/nuccore/CP000304.1?report=graph&amp;tracks=[key:gene_model_track,Options:GeneOnly]&amp;mk=897481:897500|offset_22|444444,897529:897548|offset_70|00cc00,897563:897582|offset_104|444444,897595:897614|offset_136|444444&amp;v=897280:897814&amp;c=444444", "offset 70")</f>
        <v>offset 70</v>
      </c>
    </row>
    <row r="3023" customFormat="false" ht="12.8" hidden="false" customHeight="false" outlineLevel="0" collapsed="false">
      <c r="A3023" s="0" t="s">
        <v>12</v>
      </c>
      <c r="B3023" s="0" t="n">
        <v>897562</v>
      </c>
      <c r="C3023" s="0" t="n">
        <v>897582</v>
      </c>
      <c r="D3023" s="0" t="s">
        <v>10090</v>
      </c>
      <c r="E3023" s="0" t="s">
        <v>10091</v>
      </c>
      <c r="F3023" s="0" t="s">
        <v>15</v>
      </c>
      <c r="G3023" s="0" t="s">
        <v>36</v>
      </c>
      <c r="H3023" s="0" t="n">
        <v>104</v>
      </c>
      <c r="I3023" s="0" t="s">
        <v>10098</v>
      </c>
      <c r="J3023" s="0" t="s">
        <v>10099</v>
      </c>
      <c r="K3023" s="0" t="s">
        <v>10100</v>
      </c>
      <c r="L3023" s="0" t="str">
        <f aca="false">HYPERLINK("https://www.ncbi.nlm.nih.gov/nuccore/CP000304.1?report=graph&amp;tracks=[key:gene_model_track,Options:GeneOnly]&amp;mk=897481:897500|offset_22|444444,897529:897548|offset_70|444444,897563:897582|offset_104|00cc00,897595:897614|offset_136|444444&amp;v=897280:897814&amp;c=444444", "offset 104")</f>
        <v>offset 104</v>
      </c>
    </row>
    <row r="3024" customFormat="false" ht="12.8" hidden="false" customHeight="false" outlineLevel="0" collapsed="false">
      <c r="A3024" s="0" t="s">
        <v>12</v>
      </c>
      <c r="B3024" s="0" t="n">
        <v>897594</v>
      </c>
      <c r="C3024" s="0" t="n">
        <v>897614</v>
      </c>
      <c r="D3024" s="0" t="s">
        <v>10090</v>
      </c>
      <c r="E3024" s="0" t="s">
        <v>10091</v>
      </c>
      <c r="F3024" s="0" t="s">
        <v>15</v>
      </c>
      <c r="G3024" s="0" t="s">
        <v>32</v>
      </c>
      <c r="H3024" s="0" t="n">
        <v>136</v>
      </c>
      <c r="I3024" s="0" t="s">
        <v>10101</v>
      </c>
      <c r="J3024" s="0" t="s">
        <v>10102</v>
      </c>
      <c r="K3024" s="0" t="s">
        <v>10103</v>
      </c>
      <c r="L3024" s="0" t="str">
        <f aca="false">HYPERLINK("https://www.ncbi.nlm.nih.gov/nuccore/CP000304.1?report=graph&amp;tracks=[key:gene_model_track,Options:GeneOnly]&amp;mk=897481:897500|offset_22|444444,897529:897548|offset_70|444444,897563:897582|offset_104|444444,897595:897614|offset_136|00cc00&amp;v=897280:897814&amp;c=444444", "offset 136")</f>
        <v>offset 136</v>
      </c>
    </row>
    <row r="3025" customFormat="false" ht="12.8" hidden="false" customHeight="false" outlineLevel="0" collapsed="false">
      <c r="A3025" s="0" t="s">
        <v>12</v>
      </c>
      <c r="B3025" s="0" t="n">
        <v>897767</v>
      </c>
      <c r="C3025" s="0" t="n">
        <v>897787</v>
      </c>
      <c r="D3025" s="0" t="s">
        <v>10104</v>
      </c>
      <c r="E3025" s="0" t="s">
        <v>10105</v>
      </c>
      <c r="F3025" s="0" t="s">
        <v>15</v>
      </c>
      <c r="G3025" s="0" t="s">
        <v>32</v>
      </c>
      <c r="H3025" s="0" t="n">
        <v>19</v>
      </c>
      <c r="I3025" s="0" t="s">
        <v>10106</v>
      </c>
      <c r="J3025" s="0" t="s">
        <v>10107</v>
      </c>
      <c r="K3025" s="0" t="s">
        <v>10108</v>
      </c>
      <c r="L3025" s="0" t="str">
        <f aca="false">HYPERLINK("https://www.ncbi.nlm.nih.gov/nuccore/CP000304.1?report=graph&amp;tracks=[key:gene_model_track,Options:GeneOnly]&amp;mk=897768:897787|offset_19|00cc00,897834:897853|offset_85|444444,897876:897895|offset_127|444444,897916:897935|offset_167|444444&amp;v=897567:898135&amp;c=444444", "offset 19")</f>
        <v>offset 19</v>
      </c>
    </row>
    <row r="3026" customFormat="false" ht="12.8" hidden="false" customHeight="false" outlineLevel="0" collapsed="false">
      <c r="A3026" s="0" t="s">
        <v>12</v>
      </c>
      <c r="B3026" s="0" t="n">
        <v>897833</v>
      </c>
      <c r="C3026" s="0" t="n">
        <v>897853</v>
      </c>
      <c r="D3026" s="0" t="s">
        <v>10104</v>
      </c>
      <c r="E3026" s="0" t="s">
        <v>10105</v>
      </c>
      <c r="F3026" s="0" t="s">
        <v>15</v>
      </c>
      <c r="G3026" s="0" t="s">
        <v>36</v>
      </c>
      <c r="H3026" s="0" t="n">
        <v>85</v>
      </c>
      <c r="I3026" s="0" t="s">
        <v>10109</v>
      </c>
      <c r="J3026" s="0" t="s">
        <v>10110</v>
      </c>
      <c r="K3026" s="0" t="s">
        <v>10111</v>
      </c>
      <c r="L3026" s="0" t="str">
        <f aca="false">HYPERLINK("https://www.ncbi.nlm.nih.gov/nuccore/CP000304.1?report=graph&amp;tracks=[key:gene_model_track,Options:GeneOnly]&amp;mk=897768:897787|offset_19|444444,897834:897853|offset_85|00cc00,897876:897895|offset_127|444444,897916:897935|offset_167|444444&amp;v=897567:898135&amp;c=444444", "offset 85")</f>
        <v>offset 85</v>
      </c>
    </row>
    <row r="3027" customFormat="false" ht="12.8" hidden="false" customHeight="false" outlineLevel="0" collapsed="false">
      <c r="A3027" s="0" t="s">
        <v>12</v>
      </c>
      <c r="B3027" s="0" t="n">
        <v>897875</v>
      </c>
      <c r="C3027" s="0" t="n">
        <v>897895</v>
      </c>
      <c r="D3027" s="0" t="s">
        <v>10104</v>
      </c>
      <c r="E3027" s="0" t="s">
        <v>10105</v>
      </c>
      <c r="F3027" s="0" t="s">
        <v>15</v>
      </c>
      <c r="G3027" s="0" t="s">
        <v>16</v>
      </c>
      <c r="H3027" s="0" t="n">
        <v>127</v>
      </c>
      <c r="I3027" s="0" t="s">
        <v>10112</v>
      </c>
      <c r="J3027" s="0" t="s">
        <v>10113</v>
      </c>
      <c r="K3027" s="0" t="s">
        <v>10114</v>
      </c>
      <c r="L3027" s="0" t="str">
        <f aca="false">HYPERLINK("https://www.ncbi.nlm.nih.gov/nuccore/CP000304.1?report=graph&amp;tracks=[key:gene_model_track,Options:GeneOnly]&amp;mk=897768:897787|offset_19|444444,897834:897853|offset_85|444444,897876:897895|offset_127|00cc00,897916:897935|offset_167|444444&amp;v=897567:898135&amp;c=444444", "offset 127")</f>
        <v>offset 127</v>
      </c>
    </row>
    <row r="3028" customFormat="false" ht="12.8" hidden="false" customHeight="false" outlineLevel="0" collapsed="false">
      <c r="A3028" s="0" t="s">
        <v>12</v>
      </c>
      <c r="B3028" s="0" t="n">
        <v>897915</v>
      </c>
      <c r="C3028" s="0" t="n">
        <v>897935</v>
      </c>
      <c r="D3028" s="0" t="s">
        <v>10104</v>
      </c>
      <c r="E3028" s="0" t="s">
        <v>10105</v>
      </c>
      <c r="F3028" s="0" t="s">
        <v>15</v>
      </c>
      <c r="G3028" s="0" t="s">
        <v>32</v>
      </c>
      <c r="H3028" s="0" t="n">
        <v>167</v>
      </c>
      <c r="I3028" s="0" t="s">
        <v>10115</v>
      </c>
      <c r="J3028" s="0" t="s">
        <v>10116</v>
      </c>
      <c r="K3028" s="0" t="s">
        <v>10117</v>
      </c>
      <c r="L3028" s="0" t="str">
        <f aca="false">HYPERLINK("https://www.ncbi.nlm.nih.gov/nuccore/CP000304.1?report=graph&amp;tracks=[key:gene_model_track,Options:GeneOnly]&amp;mk=897768:897787|offset_19|444444,897834:897853|offset_85|444444,897876:897895|offset_127|444444,897916:897935|offset_167|00cc00&amp;v=897567:898135&amp;c=444444", "offset 167")</f>
        <v>offset 167</v>
      </c>
    </row>
    <row r="3029" customFormat="false" ht="12.8" hidden="false" customHeight="false" outlineLevel="0" collapsed="false">
      <c r="A3029" s="0" t="s">
        <v>12</v>
      </c>
      <c r="B3029" s="0" t="n">
        <v>898171</v>
      </c>
      <c r="C3029" s="0" t="n">
        <v>898191</v>
      </c>
      <c r="D3029" s="0" t="s">
        <v>10118</v>
      </c>
      <c r="E3029" s="0" t="s">
        <v>10119</v>
      </c>
      <c r="F3029" s="0" t="s">
        <v>15</v>
      </c>
      <c r="G3029" s="0" t="s">
        <v>16</v>
      </c>
      <c r="H3029" s="0" t="n">
        <v>43</v>
      </c>
      <c r="I3029" s="0" t="s">
        <v>10120</v>
      </c>
      <c r="J3029" s="0" t="s">
        <v>10121</v>
      </c>
      <c r="K3029" s="0" t="s">
        <v>10122</v>
      </c>
      <c r="L3029" s="0" t="str">
        <f aca="false">HYPERLINK("https://www.ncbi.nlm.nih.gov/nuccore/CP000304.1?report=graph&amp;tracks=[key:gene_model_track,Options:GeneOnly]&amp;mk=898172:898191|offset_43|00cc00,898224:898243|offset_95|444444,898248:898267|offset_119|444444,898270:898289|offset_141|444444&amp;v=897971:898489&amp;c=444444", "offset 43")</f>
        <v>offset 43</v>
      </c>
    </row>
    <row r="3030" customFormat="false" ht="12.8" hidden="false" customHeight="false" outlineLevel="0" collapsed="false">
      <c r="A3030" s="0" t="s">
        <v>12</v>
      </c>
      <c r="B3030" s="0" t="n">
        <v>898223</v>
      </c>
      <c r="C3030" s="0" t="n">
        <v>898243</v>
      </c>
      <c r="D3030" s="0" t="s">
        <v>10118</v>
      </c>
      <c r="E3030" s="0" t="s">
        <v>10119</v>
      </c>
      <c r="F3030" s="0" t="s">
        <v>15</v>
      </c>
      <c r="G3030" s="0" t="s">
        <v>16</v>
      </c>
      <c r="H3030" s="0" t="n">
        <v>95</v>
      </c>
      <c r="I3030" s="0" t="s">
        <v>10123</v>
      </c>
      <c r="J3030" s="0" t="s">
        <v>10124</v>
      </c>
      <c r="K3030" s="0" t="s">
        <v>10125</v>
      </c>
      <c r="L3030" s="0" t="str">
        <f aca="false">HYPERLINK("https://www.ncbi.nlm.nih.gov/nuccore/CP000304.1?report=graph&amp;tracks=[key:gene_model_track,Options:GeneOnly]&amp;mk=898172:898191|offset_43|444444,898224:898243|offset_95|00cc00,898248:898267|offset_119|444444,898270:898289|offset_141|444444&amp;v=897971:898489&amp;c=444444", "offset 95")</f>
        <v>offset 95</v>
      </c>
    </row>
    <row r="3031" customFormat="false" ht="12.8" hidden="false" customHeight="false" outlineLevel="0" collapsed="false">
      <c r="A3031" s="0" t="s">
        <v>12</v>
      </c>
      <c r="B3031" s="0" t="n">
        <v>898247</v>
      </c>
      <c r="C3031" s="0" t="n">
        <v>898267</v>
      </c>
      <c r="D3031" s="0" t="s">
        <v>10118</v>
      </c>
      <c r="E3031" s="0" t="s">
        <v>10119</v>
      </c>
      <c r="F3031" s="0" t="s">
        <v>15</v>
      </c>
      <c r="G3031" s="0" t="s">
        <v>26</v>
      </c>
      <c r="H3031" s="0" t="n">
        <v>119</v>
      </c>
      <c r="I3031" s="0" t="s">
        <v>10126</v>
      </c>
      <c r="J3031" s="0" t="s">
        <v>10127</v>
      </c>
      <c r="K3031" s="0" t="s">
        <v>10128</v>
      </c>
      <c r="L3031" s="0" t="str">
        <f aca="false">HYPERLINK("https://www.ncbi.nlm.nih.gov/nuccore/CP000304.1?report=graph&amp;tracks=[key:gene_model_track,Options:GeneOnly]&amp;mk=898172:898191|offset_43|444444,898224:898243|offset_95|444444,898248:898267|offset_119|00cc00,898270:898289|offset_141|444444&amp;v=897971:898489&amp;c=444444", "offset 119")</f>
        <v>offset 119</v>
      </c>
    </row>
    <row r="3032" customFormat="false" ht="12.8" hidden="false" customHeight="false" outlineLevel="0" collapsed="false">
      <c r="A3032" s="0" t="s">
        <v>12</v>
      </c>
      <c r="B3032" s="0" t="n">
        <v>898269</v>
      </c>
      <c r="C3032" s="0" t="n">
        <v>898289</v>
      </c>
      <c r="D3032" s="0" t="s">
        <v>10118</v>
      </c>
      <c r="E3032" s="0" t="s">
        <v>10119</v>
      </c>
      <c r="F3032" s="0" t="s">
        <v>15</v>
      </c>
      <c r="G3032" s="0" t="s">
        <v>16</v>
      </c>
      <c r="H3032" s="0" t="n">
        <v>141</v>
      </c>
      <c r="I3032" s="0" t="s">
        <v>10129</v>
      </c>
      <c r="J3032" s="0" t="s">
        <v>10130</v>
      </c>
      <c r="K3032" s="0" t="s">
        <v>10131</v>
      </c>
      <c r="L3032" s="0" t="str">
        <f aca="false">HYPERLINK("https://www.ncbi.nlm.nih.gov/nuccore/CP000304.1?report=graph&amp;tracks=[key:gene_model_track,Options:GeneOnly]&amp;mk=898172:898191|offset_43|444444,898224:898243|offset_95|444444,898248:898267|offset_119|444444,898270:898289|offset_141|00cc00&amp;v=897971:898489&amp;c=444444", "offset 141")</f>
        <v>offset 141</v>
      </c>
    </row>
    <row r="3033" customFormat="false" ht="12.8" hidden="false" customHeight="false" outlineLevel="0" collapsed="false">
      <c r="A3033" s="0" t="s">
        <v>12</v>
      </c>
      <c r="B3033" s="0" t="n">
        <v>898463</v>
      </c>
      <c r="C3033" s="0" t="n">
        <v>898483</v>
      </c>
      <c r="D3033" s="0" t="s">
        <v>10132</v>
      </c>
      <c r="E3033" s="0" t="s">
        <v>10133</v>
      </c>
      <c r="F3033" s="0" t="s">
        <v>15</v>
      </c>
      <c r="G3033" s="0" t="s">
        <v>32</v>
      </c>
      <c r="H3033" s="0" t="n">
        <v>1</v>
      </c>
      <c r="I3033" s="0" t="s">
        <v>10134</v>
      </c>
      <c r="J3033" s="0" t="s">
        <v>10135</v>
      </c>
      <c r="K3033" s="0" t="s">
        <v>10136</v>
      </c>
      <c r="L3033" s="0" t="str">
        <f aca="false">HYPERLINK("https://www.ncbi.nlm.nih.gov/nuccore/CP000304.1?report=graph&amp;tracks=[key:gene_model_track,Options:GeneOnly]&amp;mk=898464:898483|offset_1|00cc00,898505:898524|offset_42|444444,898550:898569|offset_87|444444,898570:898589|offset_107|444444&amp;v=898263:898789&amp;c=444444", "offset 1")</f>
        <v>offset 1</v>
      </c>
    </row>
    <row r="3034" customFormat="false" ht="12.8" hidden="false" customHeight="false" outlineLevel="0" collapsed="false">
      <c r="A3034" s="0" t="s">
        <v>12</v>
      </c>
      <c r="B3034" s="0" t="n">
        <v>898504</v>
      </c>
      <c r="C3034" s="0" t="n">
        <v>898524</v>
      </c>
      <c r="D3034" s="0" t="s">
        <v>10132</v>
      </c>
      <c r="E3034" s="0" t="s">
        <v>10133</v>
      </c>
      <c r="F3034" s="0" t="s">
        <v>15</v>
      </c>
      <c r="G3034" s="0" t="s">
        <v>36</v>
      </c>
      <c r="H3034" s="0" t="n">
        <v>42</v>
      </c>
      <c r="I3034" s="0" t="s">
        <v>10137</v>
      </c>
      <c r="J3034" s="0" t="s">
        <v>10138</v>
      </c>
      <c r="K3034" s="0" t="s">
        <v>10139</v>
      </c>
      <c r="L3034" s="0" t="str">
        <f aca="false">HYPERLINK("https://www.ncbi.nlm.nih.gov/nuccore/CP000304.1?report=graph&amp;tracks=[key:gene_model_track,Options:GeneOnly]&amp;mk=898464:898483|offset_1|444444,898505:898524|offset_42|00cc00,898550:898569|offset_87|444444,898570:898589|offset_107|444444&amp;v=898263:898789&amp;c=444444", "offset 42")</f>
        <v>offset 42</v>
      </c>
    </row>
    <row r="3035" customFormat="false" ht="12.8" hidden="false" customHeight="false" outlineLevel="0" collapsed="false">
      <c r="A3035" s="0" t="s">
        <v>12</v>
      </c>
      <c r="B3035" s="0" t="n">
        <v>898549</v>
      </c>
      <c r="C3035" s="0" t="n">
        <v>898569</v>
      </c>
      <c r="D3035" s="0" t="s">
        <v>10132</v>
      </c>
      <c r="E3035" s="0" t="s">
        <v>10133</v>
      </c>
      <c r="F3035" s="0" t="s">
        <v>15</v>
      </c>
      <c r="G3035" s="0" t="s">
        <v>16</v>
      </c>
      <c r="H3035" s="0" t="n">
        <v>87</v>
      </c>
      <c r="I3035" s="0" t="s">
        <v>10140</v>
      </c>
      <c r="J3035" s="0" t="s">
        <v>10141</v>
      </c>
      <c r="K3035" s="0" t="s">
        <v>10142</v>
      </c>
      <c r="L3035" s="0" t="str">
        <f aca="false">HYPERLINK("https://www.ncbi.nlm.nih.gov/nuccore/CP000304.1?report=graph&amp;tracks=[key:gene_model_track,Options:GeneOnly]&amp;mk=898464:898483|offset_1|444444,898505:898524|offset_42|444444,898550:898569|offset_87|00cc00,898570:898589|offset_107|444444&amp;v=898263:898789&amp;c=444444", "offset 87")</f>
        <v>offset 87</v>
      </c>
    </row>
    <row r="3036" customFormat="false" ht="12.8" hidden="false" customHeight="false" outlineLevel="0" collapsed="false">
      <c r="A3036" s="0" t="s">
        <v>12</v>
      </c>
      <c r="B3036" s="0" t="n">
        <v>898569</v>
      </c>
      <c r="C3036" s="0" t="n">
        <v>898589</v>
      </c>
      <c r="D3036" s="0" t="s">
        <v>10132</v>
      </c>
      <c r="E3036" s="0" t="s">
        <v>10133</v>
      </c>
      <c r="F3036" s="0" t="s">
        <v>15</v>
      </c>
      <c r="G3036" s="0" t="s">
        <v>26</v>
      </c>
      <c r="H3036" s="0" t="n">
        <v>107</v>
      </c>
      <c r="I3036" s="0" t="s">
        <v>10143</v>
      </c>
      <c r="J3036" s="0" t="s">
        <v>10144</v>
      </c>
      <c r="K3036" s="0" t="s">
        <v>10145</v>
      </c>
      <c r="L3036" s="0" t="str">
        <f aca="false">HYPERLINK("https://www.ncbi.nlm.nih.gov/nuccore/CP000304.1?report=graph&amp;tracks=[key:gene_model_track,Options:GeneOnly]&amp;mk=898464:898483|offset_1|444444,898505:898524|offset_42|444444,898550:898569|offset_87|444444,898570:898589|offset_107|00cc00&amp;v=898263:898789&amp;c=444444", "offset 107")</f>
        <v>offset 107</v>
      </c>
    </row>
    <row r="3037" customFormat="false" ht="12.8" hidden="false" customHeight="false" outlineLevel="0" collapsed="false">
      <c r="A3037" s="0" t="s">
        <v>12</v>
      </c>
      <c r="B3037" s="0" t="n">
        <v>899041</v>
      </c>
      <c r="C3037" s="0" t="n">
        <v>899061</v>
      </c>
      <c r="D3037" s="0" t="s">
        <v>10146</v>
      </c>
      <c r="E3037" s="0" t="s">
        <v>10147</v>
      </c>
      <c r="F3037" s="0" t="s">
        <v>15</v>
      </c>
      <c r="G3037" s="0" t="s">
        <v>16</v>
      </c>
      <c r="H3037" s="0" t="n">
        <v>26</v>
      </c>
      <c r="I3037" s="0" t="s">
        <v>10148</v>
      </c>
      <c r="J3037" s="0" t="s">
        <v>10149</v>
      </c>
      <c r="K3037" s="0" t="s">
        <v>10150</v>
      </c>
      <c r="L3037" s="0" t="str">
        <f aca="false">HYPERLINK("https://www.ncbi.nlm.nih.gov/nuccore/CP000304.1?report=graph&amp;tracks=[key:gene_model_track,Options:GeneOnly]&amp;mk=899042:899061|offset_26|00cc00,899071:899090|offset_55|444444,899117:899136|offset_101|444444,899158:899177|offset_142|444444&amp;v=898841:899377&amp;c=444444", "offset 26")</f>
        <v>offset 26</v>
      </c>
    </row>
    <row r="3038" customFormat="false" ht="12.8" hidden="false" customHeight="false" outlineLevel="0" collapsed="false">
      <c r="A3038" s="0" t="s">
        <v>12</v>
      </c>
      <c r="B3038" s="0" t="n">
        <v>899070</v>
      </c>
      <c r="C3038" s="0" t="n">
        <v>899090</v>
      </c>
      <c r="D3038" s="0" t="s">
        <v>10146</v>
      </c>
      <c r="E3038" s="0" t="s">
        <v>10147</v>
      </c>
      <c r="F3038" s="0" t="s">
        <v>15</v>
      </c>
      <c r="G3038" s="0" t="s">
        <v>32</v>
      </c>
      <c r="H3038" s="0" t="n">
        <v>55</v>
      </c>
      <c r="I3038" s="0" t="s">
        <v>10151</v>
      </c>
      <c r="J3038" s="0" t="s">
        <v>10152</v>
      </c>
      <c r="K3038" s="0" t="s">
        <v>10153</v>
      </c>
      <c r="L3038" s="0" t="str">
        <f aca="false">HYPERLINK("https://www.ncbi.nlm.nih.gov/nuccore/CP000304.1?report=graph&amp;tracks=[key:gene_model_track,Options:GeneOnly]&amp;mk=899042:899061|offset_26|444444,899071:899090|offset_55|00cc00,899117:899136|offset_101|444444,899158:899177|offset_142|444444&amp;v=898841:899377&amp;c=444444", "offset 55")</f>
        <v>offset 55</v>
      </c>
    </row>
    <row r="3039" customFormat="false" ht="12.8" hidden="false" customHeight="false" outlineLevel="0" collapsed="false">
      <c r="A3039" s="0" t="s">
        <v>12</v>
      </c>
      <c r="B3039" s="0" t="n">
        <v>899116</v>
      </c>
      <c r="C3039" s="0" t="n">
        <v>899136</v>
      </c>
      <c r="D3039" s="0" t="s">
        <v>10146</v>
      </c>
      <c r="E3039" s="0" t="s">
        <v>10147</v>
      </c>
      <c r="F3039" s="0" t="s">
        <v>15</v>
      </c>
      <c r="G3039" s="0" t="s">
        <v>36</v>
      </c>
      <c r="H3039" s="0" t="n">
        <v>101</v>
      </c>
      <c r="I3039" s="0" t="s">
        <v>10154</v>
      </c>
      <c r="J3039" s="0" t="s">
        <v>10155</v>
      </c>
      <c r="K3039" s="0" t="s">
        <v>10156</v>
      </c>
      <c r="L3039" s="0" t="str">
        <f aca="false">HYPERLINK("https://www.ncbi.nlm.nih.gov/nuccore/CP000304.1?report=graph&amp;tracks=[key:gene_model_track,Options:GeneOnly]&amp;mk=899042:899061|offset_26|444444,899071:899090|offset_55|444444,899117:899136|offset_101|00cc00,899158:899177|offset_142|444444&amp;v=898841:899377&amp;c=444444", "offset 101")</f>
        <v>offset 101</v>
      </c>
    </row>
    <row r="3040" customFormat="false" ht="12.8" hidden="false" customHeight="false" outlineLevel="0" collapsed="false">
      <c r="A3040" s="0" t="s">
        <v>12</v>
      </c>
      <c r="B3040" s="0" t="n">
        <v>899157</v>
      </c>
      <c r="C3040" s="0" t="n">
        <v>899177</v>
      </c>
      <c r="D3040" s="0" t="s">
        <v>10146</v>
      </c>
      <c r="E3040" s="0" t="s">
        <v>10147</v>
      </c>
      <c r="F3040" s="0" t="s">
        <v>15</v>
      </c>
      <c r="G3040" s="0" t="s">
        <v>36</v>
      </c>
      <c r="H3040" s="0" t="n">
        <v>142</v>
      </c>
      <c r="I3040" s="0" t="s">
        <v>10157</v>
      </c>
      <c r="J3040" s="0" t="s">
        <v>10158</v>
      </c>
      <c r="K3040" s="0" t="s">
        <v>10159</v>
      </c>
      <c r="L3040" s="0" t="str">
        <f aca="false">HYPERLINK("https://www.ncbi.nlm.nih.gov/nuccore/CP000304.1?report=graph&amp;tracks=[key:gene_model_track,Options:GeneOnly]&amp;mk=899042:899061|offset_26|444444,899071:899090|offset_55|444444,899117:899136|offset_101|444444,899158:899177|offset_142|00cc00&amp;v=898841:899377&amp;c=444444", "offset 142")</f>
        <v>offset 142</v>
      </c>
    </row>
    <row r="3041" customFormat="false" ht="12.8" hidden="false" customHeight="false" outlineLevel="0" collapsed="false">
      <c r="A3041" s="0" t="s">
        <v>12</v>
      </c>
      <c r="B3041" s="0" t="n">
        <v>899501</v>
      </c>
      <c r="C3041" s="0" t="n">
        <v>899521</v>
      </c>
      <c r="D3041" s="0" t="s">
        <v>10160</v>
      </c>
      <c r="E3041" s="0" t="s">
        <v>10161</v>
      </c>
      <c r="F3041" s="0" t="s">
        <v>15</v>
      </c>
      <c r="G3041" s="0" t="s">
        <v>36</v>
      </c>
      <c r="H3041" s="0" t="n">
        <v>0</v>
      </c>
      <c r="I3041" s="0" t="s">
        <v>10162</v>
      </c>
      <c r="J3041" s="0" t="s">
        <v>10163</v>
      </c>
      <c r="K3041" s="0" t="s">
        <v>10164</v>
      </c>
      <c r="L3041" s="0" t="str">
        <f aca="false">HYPERLINK("https://www.ncbi.nlm.nih.gov/nuccore/CP000304.1?report=graph&amp;tracks=[key:gene_model_track,Options:GeneOnly]&amp;mk=899502:899521|offset_0|00cc00,899546:899565|offset_44|444444,899572:899591|offset_70|444444,899593:899612|offset_91|444444&amp;v=899301:899812&amp;c=444444", "offset 0")</f>
        <v>offset 0</v>
      </c>
    </row>
    <row r="3042" customFormat="false" ht="12.8" hidden="false" customHeight="false" outlineLevel="0" collapsed="false">
      <c r="A3042" s="0" t="s">
        <v>12</v>
      </c>
      <c r="B3042" s="0" t="n">
        <v>899545</v>
      </c>
      <c r="C3042" s="0" t="n">
        <v>899565</v>
      </c>
      <c r="D3042" s="0" t="s">
        <v>10160</v>
      </c>
      <c r="E3042" s="0" t="s">
        <v>10161</v>
      </c>
      <c r="F3042" s="0" t="s">
        <v>15</v>
      </c>
      <c r="G3042" s="0" t="s">
        <v>16</v>
      </c>
      <c r="H3042" s="0" t="n">
        <v>44</v>
      </c>
      <c r="I3042" s="0" t="s">
        <v>10165</v>
      </c>
      <c r="J3042" s="0" t="s">
        <v>10166</v>
      </c>
      <c r="K3042" s="0" t="s">
        <v>10167</v>
      </c>
      <c r="L3042" s="0" t="str">
        <f aca="false">HYPERLINK("https://www.ncbi.nlm.nih.gov/nuccore/CP000304.1?report=graph&amp;tracks=[key:gene_model_track,Options:GeneOnly]&amp;mk=899502:899521|offset_0|444444,899546:899565|offset_44|00cc00,899572:899591|offset_70|444444,899593:899612|offset_91|444444&amp;v=899301:899812&amp;c=444444", "offset 44")</f>
        <v>offset 44</v>
      </c>
    </row>
    <row r="3043" customFormat="false" ht="12.8" hidden="false" customHeight="false" outlineLevel="0" collapsed="false">
      <c r="A3043" s="0" t="s">
        <v>12</v>
      </c>
      <c r="B3043" s="0" t="n">
        <v>899571</v>
      </c>
      <c r="C3043" s="0" t="n">
        <v>899591</v>
      </c>
      <c r="D3043" s="0" t="s">
        <v>10160</v>
      </c>
      <c r="E3043" s="0" t="s">
        <v>10161</v>
      </c>
      <c r="F3043" s="0" t="s">
        <v>15</v>
      </c>
      <c r="G3043" s="0" t="s">
        <v>16</v>
      </c>
      <c r="H3043" s="0" t="n">
        <v>70</v>
      </c>
      <c r="I3043" s="0" t="s">
        <v>10168</v>
      </c>
      <c r="J3043" s="0" t="s">
        <v>10169</v>
      </c>
      <c r="K3043" s="0" t="s">
        <v>10170</v>
      </c>
      <c r="L3043" s="0" t="str">
        <f aca="false">HYPERLINK("https://www.ncbi.nlm.nih.gov/nuccore/CP000304.1?report=graph&amp;tracks=[key:gene_model_track,Options:GeneOnly]&amp;mk=899502:899521|offset_0|444444,899546:899565|offset_44|444444,899572:899591|offset_70|00cc00,899593:899612|offset_91|444444&amp;v=899301:899812&amp;c=444444", "offset 70")</f>
        <v>offset 70</v>
      </c>
    </row>
    <row r="3044" customFormat="false" ht="12.8" hidden="false" customHeight="false" outlineLevel="0" collapsed="false">
      <c r="A3044" s="0" t="s">
        <v>12</v>
      </c>
      <c r="B3044" s="0" t="n">
        <v>899592</v>
      </c>
      <c r="C3044" s="0" t="n">
        <v>899612</v>
      </c>
      <c r="D3044" s="0" t="s">
        <v>10160</v>
      </c>
      <c r="E3044" s="0" t="s">
        <v>10161</v>
      </c>
      <c r="F3044" s="0" t="s">
        <v>15</v>
      </c>
      <c r="G3044" s="0" t="s">
        <v>32</v>
      </c>
      <c r="H3044" s="0" t="n">
        <v>91</v>
      </c>
      <c r="I3044" s="0" t="s">
        <v>10171</v>
      </c>
      <c r="J3044" s="0" t="s">
        <v>10172</v>
      </c>
      <c r="K3044" s="0" t="s">
        <v>10173</v>
      </c>
      <c r="L3044" s="0" t="str">
        <f aca="false">HYPERLINK("https://www.ncbi.nlm.nih.gov/nuccore/CP000304.1?report=graph&amp;tracks=[key:gene_model_track,Options:GeneOnly]&amp;mk=899502:899521|offset_0|444444,899546:899565|offset_44|444444,899572:899591|offset_70|444444,899593:899612|offset_91|00cc00&amp;v=899301:899812&amp;c=444444", "offset 91")</f>
        <v>offset 91</v>
      </c>
    </row>
    <row r="3045" customFormat="false" ht="12.8" hidden="false" customHeight="false" outlineLevel="0" collapsed="false">
      <c r="A3045" s="0" t="s">
        <v>12</v>
      </c>
      <c r="B3045" s="0" t="n">
        <v>899929</v>
      </c>
      <c r="C3045" s="0" t="n">
        <v>899949</v>
      </c>
      <c r="D3045" s="0" t="s">
        <v>10174</v>
      </c>
      <c r="E3045" s="0" t="s">
        <v>10175</v>
      </c>
      <c r="F3045" s="0" t="s">
        <v>15</v>
      </c>
      <c r="G3045" s="0" t="s">
        <v>36</v>
      </c>
      <c r="H3045" s="0" t="n">
        <v>23</v>
      </c>
      <c r="I3045" s="0" t="s">
        <v>10176</v>
      </c>
      <c r="J3045" s="0" t="s">
        <v>10177</v>
      </c>
      <c r="K3045" s="0" t="s">
        <v>10178</v>
      </c>
      <c r="L3045" s="0" t="str">
        <f aca="false">HYPERLINK("https://www.ncbi.nlm.nih.gov/nuccore/CP000304.1?report=graph&amp;tracks=[key:gene_model_track,Options:GeneOnly]&amp;mk=899930:899949|offset_23|00cc00,899968:899987|offset_61|444444,900024:900043|offset_117|444444,900067:900086|offset_160|444444&amp;v=899729:900286&amp;c=444444", "offset 23")</f>
        <v>offset 23</v>
      </c>
    </row>
    <row r="3046" customFormat="false" ht="12.8" hidden="false" customHeight="false" outlineLevel="0" collapsed="false">
      <c r="A3046" s="0" t="s">
        <v>12</v>
      </c>
      <c r="B3046" s="0" t="n">
        <v>899967</v>
      </c>
      <c r="C3046" s="0" t="n">
        <v>899987</v>
      </c>
      <c r="D3046" s="0" t="s">
        <v>10174</v>
      </c>
      <c r="E3046" s="0" t="s">
        <v>10175</v>
      </c>
      <c r="F3046" s="0" t="s">
        <v>15</v>
      </c>
      <c r="G3046" s="0" t="s">
        <v>16</v>
      </c>
      <c r="H3046" s="0" t="n">
        <v>61</v>
      </c>
      <c r="I3046" s="0" t="s">
        <v>10179</v>
      </c>
      <c r="J3046" s="0" t="s">
        <v>10180</v>
      </c>
      <c r="K3046" s="0" t="s">
        <v>10181</v>
      </c>
      <c r="L3046" s="0" t="str">
        <f aca="false">HYPERLINK("https://www.ncbi.nlm.nih.gov/nuccore/CP000304.1?report=graph&amp;tracks=[key:gene_model_track,Options:GeneOnly]&amp;mk=899930:899949|offset_23|444444,899968:899987|offset_61|00cc00,900024:900043|offset_117|444444,900067:900086|offset_160|444444&amp;v=899729:900286&amp;c=444444", "offset 61")</f>
        <v>offset 61</v>
      </c>
    </row>
    <row r="3047" customFormat="false" ht="12.8" hidden="false" customHeight="false" outlineLevel="0" collapsed="false">
      <c r="A3047" s="0" t="s">
        <v>12</v>
      </c>
      <c r="B3047" s="0" t="n">
        <v>900023</v>
      </c>
      <c r="C3047" s="0" t="n">
        <v>900043</v>
      </c>
      <c r="D3047" s="0" t="s">
        <v>10174</v>
      </c>
      <c r="E3047" s="0" t="s">
        <v>10175</v>
      </c>
      <c r="F3047" s="0" t="s">
        <v>15</v>
      </c>
      <c r="G3047" s="0" t="s">
        <v>26</v>
      </c>
      <c r="H3047" s="0" t="n">
        <v>117</v>
      </c>
      <c r="I3047" s="0" t="s">
        <v>10182</v>
      </c>
      <c r="J3047" s="0" t="s">
        <v>10183</v>
      </c>
      <c r="K3047" s="0" t="s">
        <v>10184</v>
      </c>
      <c r="L3047" s="0" t="str">
        <f aca="false">HYPERLINK("https://www.ncbi.nlm.nih.gov/nuccore/CP000304.1?report=graph&amp;tracks=[key:gene_model_track,Options:GeneOnly]&amp;mk=899930:899949|offset_23|444444,899968:899987|offset_61|444444,900024:900043|offset_117|00cc00,900067:900086|offset_160|444444&amp;v=899729:900286&amp;c=444444", "offset 117")</f>
        <v>offset 117</v>
      </c>
    </row>
    <row r="3048" customFormat="false" ht="12.8" hidden="false" customHeight="false" outlineLevel="0" collapsed="false">
      <c r="A3048" s="0" t="s">
        <v>12</v>
      </c>
      <c r="B3048" s="0" t="n">
        <v>900066</v>
      </c>
      <c r="C3048" s="0" t="n">
        <v>900086</v>
      </c>
      <c r="D3048" s="0" t="s">
        <v>10174</v>
      </c>
      <c r="E3048" s="0" t="s">
        <v>10175</v>
      </c>
      <c r="F3048" s="0" t="s">
        <v>15</v>
      </c>
      <c r="G3048" s="0" t="s">
        <v>16</v>
      </c>
      <c r="H3048" s="0" t="n">
        <v>160</v>
      </c>
      <c r="I3048" s="0" t="s">
        <v>10185</v>
      </c>
      <c r="J3048" s="0" t="s">
        <v>10186</v>
      </c>
      <c r="K3048" s="0" t="s">
        <v>10187</v>
      </c>
      <c r="L3048" s="0" t="str">
        <f aca="false">HYPERLINK("https://www.ncbi.nlm.nih.gov/nuccore/CP000304.1?report=graph&amp;tracks=[key:gene_model_track,Options:GeneOnly]&amp;mk=899930:899949|offset_23|444444,899968:899987|offset_61|444444,900024:900043|offset_117|444444,900067:900086|offset_160|00cc00&amp;v=899729:900286&amp;c=444444", "offset 160")</f>
        <v>offset 160</v>
      </c>
    </row>
    <row r="3049" customFormat="false" ht="12.8" hidden="false" customHeight="false" outlineLevel="0" collapsed="false">
      <c r="A3049" s="0" t="s">
        <v>12</v>
      </c>
      <c r="B3049" s="0" t="n">
        <v>900523</v>
      </c>
      <c r="C3049" s="0" t="n">
        <v>900543</v>
      </c>
      <c r="D3049" s="0" t="s">
        <v>10188</v>
      </c>
      <c r="E3049" s="0" t="s">
        <v>10189</v>
      </c>
      <c r="F3049" s="0" t="s">
        <v>15</v>
      </c>
      <c r="G3049" s="0" t="s">
        <v>16</v>
      </c>
      <c r="H3049" s="0" t="n">
        <v>19</v>
      </c>
      <c r="I3049" s="0" t="s">
        <v>10190</v>
      </c>
      <c r="J3049" s="0" t="s">
        <v>10191</v>
      </c>
      <c r="K3049" s="0" t="s">
        <v>10192</v>
      </c>
      <c r="L3049" s="0" t="str">
        <f aca="false">HYPERLINK("https://www.ncbi.nlm.nih.gov/nuccore/CP000304.1?report=graph&amp;tracks=[key:gene_model_track,Options:GeneOnly]&amp;mk=900524:900543|offset_19|00cc00,900551:900570|offset_46|444444,900573:900592|offset_68|444444,900597:900616|offset_92|444444&amp;v=900323:900816&amp;c=444444", "offset 19")</f>
        <v>offset 19</v>
      </c>
    </row>
    <row r="3050" customFormat="false" ht="12.8" hidden="false" customHeight="false" outlineLevel="0" collapsed="false">
      <c r="A3050" s="0" t="s">
        <v>12</v>
      </c>
      <c r="B3050" s="0" t="n">
        <v>900550</v>
      </c>
      <c r="C3050" s="0" t="n">
        <v>900570</v>
      </c>
      <c r="D3050" s="0" t="s">
        <v>10188</v>
      </c>
      <c r="E3050" s="0" t="s">
        <v>10189</v>
      </c>
      <c r="F3050" s="0" t="s">
        <v>15</v>
      </c>
      <c r="G3050" s="0" t="s">
        <v>36</v>
      </c>
      <c r="H3050" s="0" t="n">
        <v>46</v>
      </c>
      <c r="I3050" s="0" t="s">
        <v>10193</v>
      </c>
      <c r="J3050" s="0" t="s">
        <v>10194</v>
      </c>
      <c r="K3050" s="0" t="s">
        <v>10195</v>
      </c>
      <c r="L3050" s="0" t="str">
        <f aca="false">HYPERLINK("https://www.ncbi.nlm.nih.gov/nuccore/CP000304.1?report=graph&amp;tracks=[key:gene_model_track,Options:GeneOnly]&amp;mk=900524:900543|offset_19|444444,900551:900570|offset_46|00cc00,900573:900592|offset_68|444444,900597:900616|offset_92|444444&amp;v=900323:900816&amp;c=444444", "offset 46")</f>
        <v>offset 46</v>
      </c>
    </row>
    <row r="3051" customFormat="false" ht="12.8" hidden="false" customHeight="false" outlineLevel="0" collapsed="false">
      <c r="A3051" s="0" t="s">
        <v>12</v>
      </c>
      <c r="B3051" s="0" t="n">
        <v>900572</v>
      </c>
      <c r="C3051" s="0" t="n">
        <v>900592</v>
      </c>
      <c r="D3051" s="0" t="s">
        <v>10188</v>
      </c>
      <c r="E3051" s="0" t="s">
        <v>10189</v>
      </c>
      <c r="F3051" s="0" t="s">
        <v>15</v>
      </c>
      <c r="G3051" s="0" t="s">
        <v>26</v>
      </c>
      <c r="H3051" s="0" t="n">
        <v>68</v>
      </c>
      <c r="I3051" s="0" t="s">
        <v>10196</v>
      </c>
      <c r="J3051" s="0" t="s">
        <v>10197</v>
      </c>
      <c r="K3051" s="0" t="s">
        <v>10198</v>
      </c>
      <c r="L3051" s="0" t="str">
        <f aca="false">HYPERLINK("https://www.ncbi.nlm.nih.gov/nuccore/CP000304.1?report=graph&amp;tracks=[key:gene_model_track,Options:GeneOnly]&amp;mk=900524:900543|offset_19|444444,900551:900570|offset_46|444444,900573:900592|offset_68|00cc00,900597:900616|offset_92|444444&amp;v=900323:900816&amp;c=444444", "offset 68")</f>
        <v>offset 68</v>
      </c>
    </row>
    <row r="3052" customFormat="false" ht="12.8" hidden="false" customHeight="false" outlineLevel="0" collapsed="false">
      <c r="A3052" s="0" t="s">
        <v>12</v>
      </c>
      <c r="B3052" s="0" t="n">
        <v>900596</v>
      </c>
      <c r="C3052" s="0" t="n">
        <v>900616</v>
      </c>
      <c r="D3052" s="0" t="s">
        <v>10188</v>
      </c>
      <c r="E3052" s="0" t="s">
        <v>10189</v>
      </c>
      <c r="F3052" s="0" t="s">
        <v>15</v>
      </c>
      <c r="G3052" s="0" t="s">
        <v>26</v>
      </c>
      <c r="H3052" s="0" t="n">
        <v>92</v>
      </c>
      <c r="I3052" s="0" t="s">
        <v>10199</v>
      </c>
      <c r="J3052" s="0" t="s">
        <v>10200</v>
      </c>
      <c r="K3052" s="0" t="s">
        <v>10201</v>
      </c>
      <c r="L3052" s="0" t="str">
        <f aca="false">HYPERLINK("https://www.ncbi.nlm.nih.gov/nuccore/CP000304.1?report=graph&amp;tracks=[key:gene_model_track,Options:GeneOnly]&amp;mk=900524:900543|offset_19|444444,900551:900570|offset_46|444444,900573:900592|offset_68|444444,900597:900616|offset_92|00cc00&amp;v=900323:900816&amp;c=444444", "offset 92")</f>
        <v>offset 92</v>
      </c>
    </row>
    <row r="3053" customFormat="false" ht="12.8" hidden="false" customHeight="false" outlineLevel="0" collapsed="false">
      <c r="A3053" s="0" t="s">
        <v>12</v>
      </c>
      <c r="B3053" s="0" t="n">
        <v>900866</v>
      </c>
      <c r="C3053" s="0" t="n">
        <v>900886</v>
      </c>
      <c r="D3053" s="0" t="s">
        <v>10202</v>
      </c>
      <c r="E3053" s="0" t="s">
        <v>10203</v>
      </c>
      <c r="F3053" s="0" t="s">
        <v>15</v>
      </c>
      <c r="G3053" s="0" t="s">
        <v>16</v>
      </c>
      <c r="H3053" s="0" t="n">
        <v>62</v>
      </c>
      <c r="I3053" s="0" t="s">
        <v>10204</v>
      </c>
      <c r="J3053" s="0" t="s">
        <v>10205</v>
      </c>
      <c r="K3053" s="0" t="s">
        <v>10206</v>
      </c>
      <c r="L3053" s="0" t="str">
        <f aca="false">HYPERLINK("https://www.ncbi.nlm.nih.gov/nuccore/CP000304.1?report=graph&amp;tracks=[key:gene_model_track,Options:GeneOnly]&amp;mk=900867:900886|offset_62|00cc00,900905:900924|offset_100|444444,900968:900987|offset_163|444444,900998:901017|offset_193|444444&amp;v=900666:901217&amp;c=444444", "offset 62")</f>
        <v>offset 62</v>
      </c>
    </row>
    <row r="3054" customFormat="false" ht="12.8" hidden="false" customHeight="false" outlineLevel="0" collapsed="false">
      <c r="A3054" s="0" t="s">
        <v>12</v>
      </c>
      <c r="B3054" s="0" t="n">
        <v>900904</v>
      </c>
      <c r="C3054" s="0" t="n">
        <v>900924</v>
      </c>
      <c r="D3054" s="0" t="s">
        <v>10202</v>
      </c>
      <c r="E3054" s="0" t="s">
        <v>10203</v>
      </c>
      <c r="F3054" s="0" t="s">
        <v>15</v>
      </c>
      <c r="G3054" s="0" t="s">
        <v>26</v>
      </c>
      <c r="H3054" s="0" t="n">
        <v>100</v>
      </c>
      <c r="I3054" s="0" t="s">
        <v>10207</v>
      </c>
      <c r="J3054" s="0" t="s">
        <v>10208</v>
      </c>
      <c r="K3054" s="0" t="s">
        <v>10209</v>
      </c>
      <c r="L3054" s="0" t="str">
        <f aca="false">HYPERLINK("https://www.ncbi.nlm.nih.gov/nuccore/CP000304.1?report=graph&amp;tracks=[key:gene_model_track,Options:GeneOnly]&amp;mk=900867:900886|offset_62|444444,900905:900924|offset_100|00cc00,900968:900987|offset_163|444444,900998:901017|offset_193|444444&amp;v=900666:901217&amp;c=444444", "offset 100")</f>
        <v>offset 100</v>
      </c>
    </row>
    <row r="3055" customFormat="false" ht="12.8" hidden="false" customHeight="false" outlineLevel="0" collapsed="false">
      <c r="A3055" s="0" t="s">
        <v>12</v>
      </c>
      <c r="B3055" s="0" t="n">
        <v>900967</v>
      </c>
      <c r="C3055" s="0" t="n">
        <v>900987</v>
      </c>
      <c r="D3055" s="0" t="s">
        <v>10202</v>
      </c>
      <c r="E3055" s="0" t="s">
        <v>10203</v>
      </c>
      <c r="F3055" s="0" t="s">
        <v>15</v>
      </c>
      <c r="G3055" s="0" t="s">
        <v>36</v>
      </c>
      <c r="H3055" s="0" t="n">
        <v>163</v>
      </c>
      <c r="I3055" s="0" t="s">
        <v>10210</v>
      </c>
      <c r="J3055" s="0" t="s">
        <v>10211</v>
      </c>
      <c r="K3055" s="0" t="s">
        <v>10212</v>
      </c>
      <c r="L3055" s="0" t="str">
        <f aca="false">HYPERLINK("https://www.ncbi.nlm.nih.gov/nuccore/CP000304.1?report=graph&amp;tracks=[key:gene_model_track,Options:GeneOnly]&amp;mk=900867:900886|offset_62|444444,900905:900924|offset_100|444444,900968:900987|offset_163|00cc00,900998:901017|offset_193|444444&amp;v=900666:901217&amp;c=444444", "offset 163")</f>
        <v>offset 163</v>
      </c>
    </row>
    <row r="3056" customFormat="false" ht="12.8" hidden="false" customHeight="false" outlineLevel="0" collapsed="false">
      <c r="A3056" s="0" t="s">
        <v>12</v>
      </c>
      <c r="B3056" s="0" t="n">
        <v>900997</v>
      </c>
      <c r="C3056" s="0" t="n">
        <v>901017</v>
      </c>
      <c r="D3056" s="0" t="s">
        <v>10202</v>
      </c>
      <c r="E3056" s="0" t="s">
        <v>10203</v>
      </c>
      <c r="F3056" s="0" t="s">
        <v>15</v>
      </c>
      <c r="G3056" s="0" t="s">
        <v>32</v>
      </c>
      <c r="H3056" s="0" t="n">
        <v>193</v>
      </c>
      <c r="I3056" s="0" t="s">
        <v>10213</v>
      </c>
      <c r="J3056" s="0" t="s">
        <v>10214</v>
      </c>
      <c r="K3056" s="0" t="s">
        <v>10215</v>
      </c>
      <c r="L3056" s="0" t="str">
        <f aca="false">HYPERLINK("https://www.ncbi.nlm.nih.gov/nuccore/CP000304.1?report=graph&amp;tracks=[key:gene_model_track,Options:GeneOnly]&amp;mk=900867:900886|offset_62|444444,900905:900924|offset_100|444444,900968:900987|offset_163|444444,900998:901017|offset_193|00cc00&amp;v=900666:901217&amp;c=444444", "offset 193")</f>
        <v>offset 193</v>
      </c>
    </row>
    <row r="3057" customFormat="false" ht="12.8" hidden="false" customHeight="false" outlineLevel="0" collapsed="false">
      <c r="A3057" s="0" t="s">
        <v>12</v>
      </c>
      <c r="B3057" s="0" t="n">
        <v>901320</v>
      </c>
      <c r="C3057" s="0" t="n">
        <v>901340</v>
      </c>
      <c r="D3057" s="0" t="s">
        <v>10216</v>
      </c>
      <c r="E3057" s="0" t="s">
        <v>10217</v>
      </c>
      <c r="F3057" s="0" t="s">
        <v>15</v>
      </c>
      <c r="G3057" s="0" t="s">
        <v>16</v>
      </c>
      <c r="H3057" s="0" t="n">
        <v>13</v>
      </c>
      <c r="I3057" s="0" t="s">
        <v>10218</v>
      </c>
      <c r="J3057" s="0" t="s">
        <v>10219</v>
      </c>
      <c r="K3057" s="0" t="s">
        <v>10220</v>
      </c>
      <c r="L3057" s="0" t="str">
        <f aca="false">HYPERLINK("https://www.ncbi.nlm.nih.gov/nuccore/CP000304.1?report=graph&amp;tracks=[key:gene_model_track,Options:GeneOnly]&amp;mk=901321:901340|offset_13|00cc00,901361:901380|offset_53|444444,901388:901407|offset_80|444444,901414:901433|offset_106|444444&amp;v=901120:901633&amp;c=444444", "offset 13")</f>
        <v>offset 13</v>
      </c>
    </row>
    <row r="3058" customFormat="false" ht="12.8" hidden="false" customHeight="false" outlineLevel="0" collapsed="false">
      <c r="A3058" s="0" t="s">
        <v>12</v>
      </c>
      <c r="B3058" s="0" t="n">
        <v>901360</v>
      </c>
      <c r="C3058" s="0" t="n">
        <v>901380</v>
      </c>
      <c r="D3058" s="0" t="s">
        <v>10216</v>
      </c>
      <c r="E3058" s="0" t="s">
        <v>10217</v>
      </c>
      <c r="F3058" s="0" t="s">
        <v>15</v>
      </c>
      <c r="G3058" s="0" t="s">
        <v>36</v>
      </c>
      <c r="H3058" s="0" t="n">
        <v>53</v>
      </c>
      <c r="I3058" s="0" t="s">
        <v>10221</v>
      </c>
      <c r="J3058" s="0" t="s">
        <v>10222</v>
      </c>
      <c r="K3058" s="0" t="s">
        <v>10223</v>
      </c>
      <c r="L3058" s="0" t="str">
        <f aca="false">HYPERLINK("https://www.ncbi.nlm.nih.gov/nuccore/CP000304.1?report=graph&amp;tracks=[key:gene_model_track,Options:GeneOnly]&amp;mk=901321:901340|offset_13|444444,901361:901380|offset_53|00cc00,901388:901407|offset_80|444444,901414:901433|offset_106|444444&amp;v=901120:901633&amp;c=444444", "offset 53")</f>
        <v>offset 53</v>
      </c>
    </row>
    <row r="3059" customFormat="false" ht="12.8" hidden="false" customHeight="false" outlineLevel="0" collapsed="false">
      <c r="A3059" s="0" t="s">
        <v>12</v>
      </c>
      <c r="B3059" s="0" t="n">
        <v>901387</v>
      </c>
      <c r="C3059" s="0" t="n">
        <v>901407</v>
      </c>
      <c r="D3059" s="0" t="s">
        <v>10216</v>
      </c>
      <c r="E3059" s="0" t="s">
        <v>10217</v>
      </c>
      <c r="F3059" s="0" t="s">
        <v>15</v>
      </c>
      <c r="G3059" s="0" t="s">
        <v>26</v>
      </c>
      <c r="H3059" s="0" t="n">
        <v>80</v>
      </c>
      <c r="I3059" s="0" t="s">
        <v>10224</v>
      </c>
      <c r="J3059" s="0" t="s">
        <v>10225</v>
      </c>
      <c r="K3059" s="0" t="s">
        <v>10226</v>
      </c>
      <c r="L3059" s="0" t="str">
        <f aca="false">HYPERLINK("https://www.ncbi.nlm.nih.gov/nuccore/CP000304.1?report=graph&amp;tracks=[key:gene_model_track,Options:GeneOnly]&amp;mk=901321:901340|offset_13|444444,901361:901380|offset_53|444444,901388:901407|offset_80|00cc00,901414:901433|offset_106|444444&amp;v=901120:901633&amp;c=444444", "offset 80")</f>
        <v>offset 80</v>
      </c>
    </row>
    <row r="3060" customFormat="false" ht="12.8" hidden="false" customHeight="false" outlineLevel="0" collapsed="false">
      <c r="A3060" s="0" t="s">
        <v>12</v>
      </c>
      <c r="B3060" s="0" t="n">
        <v>901413</v>
      </c>
      <c r="C3060" s="0" t="n">
        <v>901433</v>
      </c>
      <c r="D3060" s="0" t="s">
        <v>10216</v>
      </c>
      <c r="E3060" s="0" t="s">
        <v>10217</v>
      </c>
      <c r="F3060" s="0" t="s">
        <v>15</v>
      </c>
      <c r="G3060" s="0" t="s">
        <v>16</v>
      </c>
      <c r="H3060" s="0" t="n">
        <v>106</v>
      </c>
      <c r="I3060" s="0" t="s">
        <v>10227</v>
      </c>
      <c r="J3060" s="0" t="s">
        <v>10228</v>
      </c>
      <c r="K3060" s="0" t="s">
        <v>10229</v>
      </c>
      <c r="L3060" s="0" t="str">
        <f aca="false">HYPERLINK("https://www.ncbi.nlm.nih.gov/nuccore/CP000304.1?report=graph&amp;tracks=[key:gene_model_track,Options:GeneOnly]&amp;mk=901321:901340|offset_13|444444,901361:901380|offset_53|444444,901388:901407|offset_80|444444,901414:901433|offset_106|00cc00&amp;v=901120:901633&amp;c=444444", "offset 106")</f>
        <v>offset 106</v>
      </c>
    </row>
    <row r="3061" customFormat="false" ht="12.8" hidden="false" customHeight="false" outlineLevel="0" collapsed="false">
      <c r="A3061" s="0" t="s">
        <v>12</v>
      </c>
      <c r="B3061" s="0" t="n">
        <v>901491</v>
      </c>
      <c r="C3061" s="0" t="n">
        <v>901511</v>
      </c>
      <c r="D3061" s="0" t="s">
        <v>10230</v>
      </c>
      <c r="E3061" s="0" t="s">
        <v>10231</v>
      </c>
      <c r="F3061" s="0" t="s">
        <v>15</v>
      </c>
      <c r="G3061" s="0" t="s">
        <v>32</v>
      </c>
      <c r="H3061" s="0" t="n">
        <v>1</v>
      </c>
      <c r="I3061" s="0" t="s">
        <v>10232</v>
      </c>
      <c r="J3061" s="0" t="s">
        <v>10233</v>
      </c>
      <c r="K3061" s="0" t="s">
        <v>10234</v>
      </c>
      <c r="L3061" s="0" t="str">
        <f aca="false">HYPERLINK("https://www.ncbi.nlm.nih.gov/nuccore/CP000304.1?report=graph&amp;tracks=[key:gene_model_track,Options:GeneOnly]&amp;mk=901492:901511|offset_1|00cc00,901521:901540|offset_30|444444,901548:901567|offset_57|444444,901582:901601|offset_91|444444&amp;v=901291:901801&amp;c=444444", "offset 1")</f>
        <v>offset 1</v>
      </c>
    </row>
    <row r="3062" customFormat="false" ht="12.8" hidden="false" customHeight="false" outlineLevel="0" collapsed="false">
      <c r="A3062" s="0" t="s">
        <v>12</v>
      </c>
      <c r="B3062" s="0" t="n">
        <v>901520</v>
      </c>
      <c r="C3062" s="0" t="n">
        <v>901540</v>
      </c>
      <c r="D3062" s="0" t="s">
        <v>10230</v>
      </c>
      <c r="E3062" s="0" t="s">
        <v>10231</v>
      </c>
      <c r="F3062" s="0" t="s">
        <v>15</v>
      </c>
      <c r="G3062" s="0" t="s">
        <v>16</v>
      </c>
      <c r="H3062" s="0" t="n">
        <v>30</v>
      </c>
      <c r="I3062" s="0" t="s">
        <v>10235</v>
      </c>
      <c r="J3062" s="0" t="s">
        <v>10236</v>
      </c>
      <c r="K3062" s="0" t="s">
        <v>10237</v>
      </c>
      <c r="L3062" s="0" t="str">
        <f aca="false">HYPERLINK("https://www.ncbi.nlm.nih.gov/nuccore/CP000304.1?report=graph&amp;tracks=[key:gene_model_track,Options:GeneOnly]&amp;mk=901492:901511|offset_1|444444,901521:901540|offset_30|00cc00,901548:901567|offset_57|444444,901582:901601|offset_91|444444&amp;v=901291:901801&amp;c=444444", "offset 30")</f>
        <v>offset 30</v>
      </c>
    </row>
    <row r="3063" customFormat="false" ht="12.8" hidden="false" customHeight="false" outlineLevel="0" collapsed="false">
      <c r="A3063" s="0" t="s">
        <v>12</v>
      </c>
      <c r="B3063" s="0" t="n">
        <v>901547</v>
      </c>
      <c r="C3063" s="0" t="n">
        <v>901567</v>
      </c>
      <c r="D3063" s="0" t="s">
        <v>10230</v>
      </c>
      <c r="E3063" s="0" t="s">
        <v>10231</v>
      </c>
      <c r="F3063" s="0" t="s">
        <v>15</v>
      </c>
      <c r="G3063" s="0" t="s">
        <v>16</v>
      </c>
      <c r="H3063" s="0" t="n">
        <v>57</v>
      </c>
      <c r="I3063" s="0" t="s">
        <v>10238</v>
      </c>
      <c r="J3063" s="0" t="s">
        <v>10239</v>
      </c>
      <c r="K3063" s="0" t="s">
        <v>10240</v>
      </c>
      <c r="L3063" s="0" t="str">
        <f aca="false">HYPERLINK("https://www.ncbi.nlm.nih.gov/nuccore/CP000304.1?report=graph&amp;tracks=[key:gene_model_track,Options:GeneOnly]&amp;mk=901492:901511|offset_1|444444,901521:901540|offset_30|444444,901548:901567|offset_57|00cc00,901582:901601|offset_91|444444&amp;v=901291:901801&amp;c=444444", "offset 57")</f>
        <v>offset 57</v>
      </c>
    </row>
    <row r="3064" customFormat="false" ht="12.8" hidden="false" customHeight="false" outlineLevel="0" collapsed="false">
      <c r="A3064" s="0" t="s">
        <v>12</v>
      </c>
      <c r="B3064" s="0" t="n">
        <v>901581</v>
      </c>
      <c r="C3064" s="0" t="n">
        <v>901601</v>
      </c>
      <c r="D3064" s="0" t="s">
        <v>10230</v>
      </c>
      <c r="E3064" s="0" t="s">
        <v>10231</v>
      </c>
      <c r="F3064" s="0" t="s">
        <v>15</v>
      </c>
      <c r="G3064" s="0" t="s">
        <v>16</v>
      </c>
      <c r="H3064" s="0" t="n">
        <v>91</v>
      </c>
      <c r="I3064" s="0" t="s">
        <v>10241</v>
      </c>
      <c r="J3064" s="0" t="s">
        <v>10242</v>
      </c>
      <c r="K3064" s="0" t="s">
        <v>10243</v>
      </c>
      <c r="L3064" s="0" t="str">
        <f aca="false">HYPERLINK("https://www.ncbi.nlm.nih.gov/nuccore/CP000304.1?report=graph&amp;tracks=[key:gene_model_track,Options:GeneOnly]&amp;mk=901492:901511|offset_1|444444,901521:901540|offset_30|444444,901548:901567|offset_57|444444,901582:901601|offset_91|00cc00&amp;v=901291:901801&amp;c=444444", "offset 91")</f>
        <v>offset 91</v>
      </c>
    </row>
    <row r="3065" customFormat="false" ht="12.8" hidden="false" customHeight="false" outlineLevel="0" collapsed="false">
      <c r="A3065" s="0" t="s">
        <v>12</v>
      </c>
      <c r="B3065" s="0" t="n">
        <v>901950</v>
      </c>
      <c r="C3065" s="0" t="n">
        <v>901970</v>
      </c>
      <c r="D3065" s="0" t="s">
        <v>10244</v>
      </c>
      <c r="E3065" s="0" t="s">
        <v>10245</v>
      </c>
      <c r="F3065" s="0" t="s">
        <v>15</v>
      </c>
      <c r="G3065" s="0" t="s">
        <v>16</v>
      </c>
      <c r="H3065" s="0" t="n">
        <v>25</v>
      </c>
      <c r="I3065" s="0" t="s">
        <v>10246</v>
      </c>
      <c r="J3065" s="0" t="s">
        <v>10247</v>
      </c>
      <c r="K3065" s="0" t="s">
        <v>10248</v>
      </c>
      <c r="L3065" s="0" t="str">
        <f aca="false">HYPERLINK("https://www.ncbi.nlm.nih.gov/nuccore/CP000304.1?report=graph&amp;tracks=[key:gene_model_track,Options:GeneOnly]&amp;mk=901951:901970|offset_25|00cc00,901975:901994|offset_49|444444,902024:902043|offset_98|444444,902049:902068|offset_123|444444&amp;v=901750:902268&amp;c=444444", "offset 25")</f>
        <v>offset 25</v>
      </c>
    </row>
    <row r="3066" customFormat="false" ht="12.8" hidden="false" customHeight="false" outlineLevel="0" collapsed="false">
      <c r="A3066" s="0" t="s">
        <v>12</v>
      </c>
      <c r="B3066" s="0" t="n">
        <v>901974</v>
      </c>
      <c r="C3066" s="0" t="n">
        <v>901994</v>
      </c>
      <c r="D3066" s="0" t="s">
        <v>10244</v>
      </c>
      <c r="E3066" s="0" t="s">
        <v>10245</v>
      </c>
      <c r="F3066" s="0" t="s">
        <v>15</v>
      </c>
      <c r="G3066" s="0" t="s">
        <v>16</v>
      </c>
      <c r="H3066" s="0" t="n">
        <v>49</v>
      </c>
      <c r="I3066" s="0" t="s">
        <v>10249</v>
      </c>
      <c r="J3066" s="0" t="s">
        <v>10250</v>
      </c>
      <c r="K3066" s="0" t="s">
        <v>10251</v>
      </c>
      <c r="L3066" s="0" t="str">
        <f aca="false">HYPERLINK("https://www.ncbi.nlm.nih.gov/nuccore/CP000304.1?report=graph&amp;tracks=[key:gene_model_track,Options:GeneOnly]&amp;mk=901951:901970|offset_25|444444,901975:901994|offset_49|00cc00,902024:902043|offset_98|444444,902049:902068|offset_123|444444&amp;v=901750:902268&amp;c=444444", "offset 49")</f>
        <v>offset 49</v>
      </c>
    </row>
    <row r="3067" customFormat="false" ht="12.8" hidden="false" customHeight="false" outlineLevel="0" collapsed="false">
      <c r="A3067" s="0" t="s">
        <v>12</v>
      </c>
      <c r="B3067" s="0" t="n">
        <v>902023</v>
      </c>
      <c r="C3067" s="0" t="n">
        <v>902043</v>
      </c>
      <c r="D3067" s="0" t="s">
        <v>10244</v>
      </c>
      <c r="E3067" s="0" t="s">
        <v>10245</v>
      </c>
      <c r="F3067" s="0" t="s">
        <v>15</v>
      </c>
      <c r="G3067" s="0" t="s">
        <v>16</v>
      </c>
      <c r="H3067" s="0" t="n">
        <v>98</v>
      </c>
      <c r="I3067" s="0" t="s">
        <v>10252</v>
      </c>
      <c r="J3067" s="0" t="s">
        <v>10253</v>
      </c>
      <c r="K3067" s="0" t="s">
        <v>10254</v>
      </c>
      <c r="L3067" s="0" t="str">
        <f aca="false">HYPERLINK("https://www.ncbi.nlm.nih.gov/nuccore/CP000304.1?report=graph&amp;tracks=[key:gene_model_track,Options:GeneOnly]&amp;mk=901951:901970|offset_25|444444,901975:901994|offset_49|444444,902024:902043|offset_98|00cc00,902049:902068|offset_123|444444&amp;v=901750:902268&amp;c=444444", "offset 98")</f>
        <v>offset 98</v>
      </c>
    </row>
    <row r="3068" customFormat="false" ht="12.8" hidden="false" customHeight="false" outlineLevel="0" collapsed="false">
      <c r="A3068" s="0" t="s">
        <v>12</v>
      </c>
      <c r="B3068" s="0" t="n">
        <v>902048</v>
      </c>
      <c r="C3068" s="0" t="n">
        <v>902068</v>
      </c>
      <c r="D3068" s="0" t="s">
        <v>10244</v>
      </c>
      <c r="E3068" s="0" t="s">
        <v>10245</v>
      </c>
      <c r="F3068" s="0" t="s">
        <v>15</v>
      </c>
      <c r="G3068" s="0" t="s">
        <v>36</v>
      </c>
      <c r="H3068" s="0" t="n">
        <v>123</v>
      </c>
      <c r="I3068" s="0" t="s">
        <v>10255</v>
      </c>
      <c r="J3068" s="0" t="s">
        <v>10256</v>
      </c>
      <c r="K3068" s="0" t="s">
        <v>10257</v>
      </c>
      <c r="L3068" s="0" t="str">
        <f aca="false">HYPERLINK("https://www.ncbi.nlm.nih.gov/nuccore/CP000304.1?report=graph&amp;tracks=[key:gene_model_track,Options:GeneOnly]&amp;mk=901951:901970|offset_25|444444,901975:901994|offset_49|444444,902024:902043|offset_98|444444,902049:902068|offset_123|00cc00&amp;v=901750:902268&amp;c=444444", "offset 123")</f>
        <v>offset 123</v>
      </c>
    </row>
    <row r="3069" customFormat="false" ht="12.8" hidden="false" customHeight="false" outlineLevel="0" collapsed="false">
      <c r="A3069" s="0" t="s">
        <v>12</v>
      </c>
      <c r="B3069" s="0" t="n">
        <v>903318</v>
      </c>
      <c r="C3069" s="0" t="n">
        <v>903338</v>
      </c>
      <c r="D3069" s="0" t="s">
        <v>10258</v>
      </c>
      <c r="E3069" s="0" t="s">
        <v>10259</v>
      </c>
      <c r="F3069" s="0" t="s">
        <v>15</v>
      </c>
      <c r="G3069" s="0" t="s">
        <v>16</v>
      </c>
      <c r="H3069" s="0" t="n">
        <v>35</v>
      </c>
      <c r="I3069" s="0" t="s">
        <v>10260</v>
      </c>
      <c r="J3069" s="0" t="s">
        <v>10261</v>
      </c>
      <c r="K3069" s="0" t="s">
        <v>10262</v>
      </c>
      <c r="L3069" s="0" t="str">
        <f aca="false">HYPERLINK("https://www.ncbi.nlm.nih.gov/nuccore/CP000304.1?report=graph&amp;tracks=[key:gene_model_track,Options:GeneOnly]&amp;mk=903319:903338|offset_35|00cc00,903377:903396|offset_93|444444&amp;v=903118:903596&amp;c=444444", "offset 35")</f>
        <v>offset 35</v>
      </c>
    </row>
    <row r="3070" customFormat="false" ht="12.8" hidden="false" customHeight="false" outlineLevel="0" collapsed="false">
      <c r="A3070" s="0" t="s">
        <v>12</v>
      </c>
      <c r="B3070" s="0" t="n">
        <v>903376</v>
      </c>
      <c r="C3070" s="0" t="n">
        <v>903396</v>
      </c>
      <c r="D3070" s="0" t="s">
        <v>10258</v>
      </c>
      <c r="E3070" s="0" t="s">
        <v>10259</v>
      </c>
      <c r="F3070" s="0" t="s">
        <v>15</v>
      </c>
      <c r="G3070" s="0" t="s">
        <v>16</v>
      </c>
      <c r="H3070" s="0" t="n">
        <v>93</v>
      </c>
      <c r="I3070" s="0" t="s">
        <v>10263</v>
      </c>
      <c r="J3070" s="0" t="s">
        <v>10264</v>
      </c>
      <c r="K3070" s="0" t="s">
        <v>10265</v>
      </c>
      <c r="L3070" s="0" t="str">
        <f aca="false">HYPERLINK("https://www.ncbi.nlm.nih.gov/nuccore/CP000304.1?report=graph&amp;tracks=[key:gene_model_track,Options:GeneOnly]&amp;mk=903319:903338|offset_35|444444,903377:903396|offset_93|00cc00&amp;v=903118:903596&amp;c=444444", "offset 93")</f>
        <v>offset 93</v>
      </c>
    </row>
    <row r="3071" customFormat="false" ht="12.8" hidden="false" customHeight="false" outlineLevel="0" collapsed="false">
      <c r="A3071" s="0" t="s">
        <v>12</v>
      </c>
      <c r="B3071" s="0" t="n">
        <v>903536</v>
      </c>
      <c r="C3071" s="0" t="n">
        <v>903556</v>
      </c>
      <c r="D3071" s="0" t="s">
        <v>10266</v>
      </c>
      <c r="E3071" s="0" t="s">
        <v>10267</v>
      </c>
      <c r="F3071" s="0" t="s">
        <v>15</v>
      </c>
      <c r="G3071" s="0" t="s">
        <v>36</v>
      </c>
      <c r="H3071" s="0" t="n">
        <v>7</v>
      </c>
      <c r="I3071" s="0" t="s">
        <v>10268</v>
      </c>
      <c r="J3071" s="0" t="s">
        <v>10269</v>
      </c>
      <c r="K3071" s="0" t="s">
        <v>10270</v>
      </c>
      <c r="L3071" s="0" t="str">
        <f aca="false">HYPERLINK("https://www.ncbi.nlm.nih.gov/nuccore/CP000304.1?report=graph&amp;tracks=[key:gene_model_track,Options:GeneOnly]&amp;mk=903537:903556|offset_7|00cc00,903560:903579|offset_30|444444,903591:903610|offset_61|444444,903615:903634|offset_85|444444&amp;v=903336:903834&amp;c=444444", "offset 7")</f>
        <v>offset 7</v>
      </c>
    </row>
    <row r="3072" customFormat="false" ht="12.8" hidden="false" customHeight="false" outlineLevel="0" collapsed="false">
      <c r="A3072" s="0" t="s">
        <v>12</v>
      </c>
      <c r="B3072" s="0" t="n">
        <v>903559</v>
      </c>
      <c r="C3072" s="0" t="n">
        <v>903579</v>
      </c>
      <c r="D3072" s="0" t="s">
        <v>10266</v>
      </c>
      <c r="E3072" s="0" t="s">
        <v>10267</v>
      </c>
      <c r="F3072" s="0" t="s">
        <v>15</v>
      </c>
      <c r="G3072" s="0" t="s">
        <v>16</v>
      </c>
      <c r="H3072" s="0" t="n">
        <v>30</v>
      </c>
      <c r="I3072" s="0" t="s">
        <v>10271</v>
      </c>
      <c r="J3072" s="0" t="s">
        <v>10272</v>
      </c>
      <c r="K3072" s="0" t="s">
        <v>10273</v>
      </c>
      <c r="L3072" s="0" t="str">
        <f aca="false">HYPERLINK("https://www.ncbi.nlm.nih.gov/nuccore/CP000304.1?report=graph&amp;tracks=[key:gene_model_track,Options:GeneOnly]&amp;mk=903537:903556|offset_7|444444,903560:903579|offset_30|00cc00,903591:903610|offset_61|444444,903615:903634|offset_85|444444&amp;v=903336:903834&amp;c=444444", "offset 30")</f>
        <v>offset 30</v>
      </c>
    </row>
    <row r="3073" customFormat="false" ht="12.8" hidden="false" customHeight="false" outlineLevel="0" collapsed="false">
      <c r="A3073" s="0" t="s">
        <v>12</v>
      </c>
      <c r="B3073" s="0" t="n">
        <v>903590</v>
      </c>
      <c r="C3073" s="0" t="n">
        <v>903610</v>
      </c>
      <c r="D3073" s="0" t="s">
        <v>10266</v>
      </c>
      <c r="E3073" s="0" t="s">
        <v>10267</v>
      </c>
      <c r="F3073" s="0" t="s">
        <v>15</v>
      </c>
      <c r="G3073" s="0" t="s">
        <v>26</v>
      </c>
      <c r="H3073" s="0" t="n">
        <v>61</v>
      </c>
      <c r="I3073" s="0" t="s">
        <v>10274</v>
      </c>
      <c r="J3073" s="0" t="s">
        <v>10275</v>
      </c>
      <c r="K3073" s="0" t="s">
        <v>10276</v>
      </c>
      <c r="L3073" s="0" t="str">
        <f aca="false">HYPERLINK("https://www.ncbi.nlm.nih.gov/nuccore/CP000304.1?report=graph&amp;tracks=[key:gene_model_track,Options:GeneOnly]&amp;mk=903537:903556|offset_7|444444,903560:903579|offset_30|444444,903591:903610|offset_61|00cc00,903615:903634|offset_85|444444&amp;v=903336:903834&amp;c=444444", "offset 61")</f>
        <v>offset 61</v>
      </c>
    </row>
    <row r="3074" customFormat="false" ht="12.8" hidden="false" customHeight="false" outlineLevel="0" collapsed="false">
      <c r="A3074" s="0" t="s">
        <v>12</v>
      </c>
      <c r="B3074" s="0" t="n">
        <v>903614</v>
      </c>
      <c r="C3074" s="0" t="n">
        <v>903634</v>
      </c>
      <c r="D3074" s="0" t="s">
        <v>10266</v>
      </c>
      <c r="E3074" s="0" t="s">
        <v>10267</v>
      </c>
      <c r="F3074" s="0" t="s">
        <v>15</v>
      </c>
      <c r="G3074" s="0" t="s">
        <v>36</v>
      </c>
      <c r="H3074" s="0" t="n">
        <v>85</v>
      </c>
      <c r="I3074" s="0" t="s">
        <v>10277</v>
      </c>
      <c r="J3074" s="0" t="s">
        <v>10278</v>
      </c>
      <c r="K3074" s="0" t="s">
        <v>10279</v>
      </c>
      <c r="L3074" s="0" t="str">
        <f aca="false">HYPERLINK("https://www.ncbi.nlm.nih.gov/nuccore/CP000304.1?report=graph&amp;tracks=[key:gene_model_track,Options:GeneOnly]&amp;mk=903537:903556|offset_7|444444,903560:903579|offset_30|444444,903591:903610|offset_61|444444,903615:903634|offset_85|00cc00&amp;v=903336:903834&amp;c=444444", "offset 85")</f>
        <v>offset 85</v>
      </c>
    </row>
    <row r="3075" customFormat="false" ht="12.8" hidden="false" customHeight="false" outlineLevel="0" collapsed="false">
      <c r="A3075" s="0" t="s">
        <v>12</v>
      </c>
      <c r="B3075" s="0" t="n">
        <v>903928</v>
      </c>
      <c r="C3075" s="0" t="n">
        <v>903948</v>
      </c>
      <c r="D3075" s="0" t="s">
        <v>10280</v>
      </c>
      <c r="E3075" s="0" t="s">
        <v>10281</v>
      </c>
      <c r="F3075" s="0" t="s">
        <v>15</v>
      </c>
      <c r="G3075" s="0" t="s">
        <v>26</v>
      </c>
      <c r="H3075" s="0" t="n">
        <v>12</v>
      </c>
      <c r="I3075" s="0" t="s">
        <v>10282</v>
      </c>
      <c r="J3075" s="0" t="s">
        <v>10283</v>
      </c>
      <c r="K3075" s="0" t="s">
        <v>10284</v>
      </c>
      <c r="L3075" s="0" t="str">
        <f aca="false">HYPERLINK("https://www.ncbi.nlm.nih.gov/nuccore/CP000304.1?report=graph&amp;tracks=[key:gene_model_track,Options:GeneOnly]&amp;mk=903929:903948|offset_12|00cc00,903981:904000|offset_64|444444,904008:904027|offset_91|444444,904047:904066|offset_130|444444&amp;v=903728:904266&amp;c=444444", "offset 12")</f>
        <v>offset 12</v>
      </c>
    </row>
    <row r="3076" customFormat="false" ht="12.8" hidden="false" customHeight="false" outlineLevel="0" collapsed="false">
      <c r="A3076" s="0" t="s">
        <v>12</v>
      </c>
      <c r="B3076" s="0" t="n">
        <v>903980</v>
      </c>
      <c r="C3076" s="0" t="n">
        <v>904000</v>
      </c>
      <c r="D3076" s="0" t="s">
        <v>10280</v>
      </c>
      <c r="E3076" s="0" t="s">
        <v>10281</v>
      </c>
      <c r="F3076" s="0" t="s">
        <v>15</v>
      </c>
      <c r="G3076" s="0" t="s">
        <v>36</v>
      </c>
      <c r="H3076" s="0" t="n">
        <v>64</v>
      </c>
      <c r="I3076" s="0" t="s">
        <v>10285</v>
      </c>
      <c r="J3076" s="0" t="s">
        <v>10286</v>
      </c>
      <c r="K3076" s="0" t="s">
        <v>10287</v>
      </c>
      <c r="L3076" s="0" t="str">
        <f aca="false">HYPERLINK("https://www.ncbi.nlm.nih.gov/nuccore/CP000304.1?report=graph&amp;tracks=[key:gene_model_track,Options:GeneOnly]&amp;mk=903929:903948|offset_12|444444,903981:904000|offset_64|00cc00,904008:904027|offset_91|444444,904047:904066|offset_130|444444&amp;v=903728:904266&amp;c=444444", "offset 64")</f>
        <v>offset 64</v>
      </c>
    </row>
    <row r="3077" customFormat="false" ht="12.8" hidden="false" customHeight="false" outlineLevel="0" collapsed="false">
      <c r="A3077" s="0" t="s">
        <v>12</v>
      </c>
      <c r="B3077" s="0" t="n">
        <v>904007</v>
      </c>
      <c r="C3077" s="0" t="n">
        <v>904027</v>
      </c>
      <c r="D3077" s="0" t="s">
        <v>10280</v>
      </c>
      <c r="E3077" s="0" t="s">
        <v>10281</v>
      </c>
      <c r="F3077" s="0" t="s">
        <v>15</v>
      </c>
      <c r="G3077" s="0" t="s">
        <v>32</v>
      </c>
      <c r="H3077" s="0" t="n">
        <v>91</v>
      </c>
      <c r="I3077" s="0" t="s">
        <v>10288</v>
      </c>
      <c r="J3077" s="0" t="s">
        <v>10289</v>
      </c>
      <c r="K3077" s="0" t="s">
        <v>10290</v>
      </c>
      <c r="L3077" s="0" t="str">
        <f aca="false">HYPERLINK("https://www.ncbi.nlm.nih.gov/nuccore/CP000304.1?report=graph&amp;tracks=[key:gene_model_track,Options:GeneOnly]&amp;mk=903929:903948|offset_12|444444,903981:904000|offset_64|444444,904008:904027|offset_91|00cc00,904047:904066|offset_130|444444&amp;v=903728:904266&amp;c=444444", "offset 91")</f>
        <v>offset 91</v>
      </c>
    </row>
    <row r="3078" customFormat="false" ht="12.8" hidden="false" customHeight="false" outlineLevel="0" collapsed="false">
      <c r="A3078" s="0" t="s">
        <v>12</v>
      </c>
      <c r="B3078" s="0" t="n">
        <v>904046</v>
      </c>
      <c r="C3078" s="0" t="n">
        <v>904066</v>
      </c>
      <c r="D3078" s="0" t="s">
        <v>10280</v>
      </c>
      <c r="E3078" s="0" t="s">
        <v>10281</v>
      </c>
      <c r="F3078" s="0" t="s">
        <v>15</v>
      </c>
      <c r="G3078" s="0" t="s">
        <v>26</v>
      </c>
      <c r="H3078" s="0" t="n">
        <v>130</v>
      </c>
      <c r="I3078" s="0" t="s">
        <v>10291</v>
      </c>
      <c r="J3078" s="0" t="s">
        <v>10292</v>
      </c>
      <c r="K3078" s="0" t="s">
        <v>10293</v>
      </c>
      <c r="L3078" s="0" t="str">
        <f aca="false">HYPERLINK("https://www.ncbi.nlm.nih.gov/nuccore/CP000304.1?report=graph&amp;tracks=[key:gene_model_track,Options:GeneOnly]&amp;mk=903929:903948|offset_12|444444,903981:904000|offset_64|444444,904008:904027|offset_91|444444,904047:904066|offset_130|00cc00&amp;v=903728:904266&amp;c=444444", "offset 130")</f>
        <v>offset 130</v>
      </c>
    </row>
    <row r="3079" customFormat="false" ht="12.8" hidden="false" customHeight="false" outlineLevel="0" collapsed="false">
      <c r="A3079" s="0" t="s">
        <v>12</v>
      </c>
      <c r="B3079" s="0" t="n">
        <v>904344</v>
      </c>
      <c r="C3079" s="0" t="n">
        <v>904364</v>
      </c>
      <c r="D3079" s="0" t="s">
        <v>10294</v>
      </c>
      <c r="E3079" s="0" t="s">
        <v>10295</v>
      </c>
      <c r="F3079" s="0" t="s">
        <v>15</v>
      </c>
      <c r="G3079" s="0" t="s">
        <v>36</v>
      </c>
      <c r="H3079" s="0" t="n">
        <v>21</v>
      </c>
      <c r="I3079" s="0" t="s">
        <v>10296</v>
      </c>
      <c r="J3079" s="0" t="s">
        <v>10297</v>
      </c>
      <c r="K3079" s="0" t="s">
        <v>10298</v>
      </c>
      <c r="L3079" s="0" t="str">
        <f aca="false">HYPERLINK("https://www.ncbi.nlm.nih.gov/nuccore/CP000304.1?report=graph&amp;tracks=[key:gene_model_track,Options:GeneOnly]&amp;mk=904345:904364|offset_21|00cc00,904386:904405|offset_62|444444,904415:904434|offset_91|444444,904435:904454|offset_111|444444&amp;v=904144:904654&amp;c=444444", "offset 21")</f>
        <v>offset 21</v>
      </c>
    </row>
    <row r="3080" customFormat="false" ht="12.8" hidden="false" customHeight="false" outlineLevel="0" collapsed="false">
      <c r="A3080" s="0" t="s">
        <v>12</v>
      </c>
      <c r="B3080" s="0" t="n">
        <v>904385</v>
      </c>
      <c r="C3080" s="0" t="n">
        <v>904405</v>
      </c>
      <c r="D3080" s="0" t="s">
        <v>10294</v>
      </c>
      <c r="E3080" s="0" t="s">
        <v>10295</v>
      </c>
      <c r="F3080" s="0" t="s">
        <v>15</v>
      </c>
      <c r="G3080" s="0" t="s">
        <v>26</v>
      </c>
      <c r="H3080" s="0" t="n">
        <v>62</v>
      </c>
      <c r="I3080" s="0" t="s">
        <v>10299</v>
      </c>
      <c r="J3080" s="0" t="s">
        <v>10300</v>
      </c>
      <c r="K3080" s="0" t="s">
        <v>10301</v>
      </c>
      <c r="L3080" s="0" t="str">
        <f aca="false">HYPERLINK("https://www.ncbi.nlm.nih.gov/nuccore/CP000304.1?report=graph&amp;tracks=[key:gene_model_track,Options:GeneOnly]&amp;mk=904345:904364|offset_21|444444,904386:904405|offset_62|00cc00,904415:904434|offset_91|444444,904435:904454|offset_111|444444&amp;v=904144:904654&amp;c=444444", "offset 62")</f>
        <v>offset 62</v>
      </c>
    </row>
    <row r="3081" customFormat="false" ht="12.8" hidden="false" customHeight="false" outlineLevel="0" collapsed="false">
      <c r="A3081" s="0" t="s">
        <v>12</v>
      </c>
      <c r="B3081" s="0" t="n">
        <v>904414</v>
      </c>
      <c r="C3081" s="0" t="n">
        <v>904434</v>
      </c>
      <c r="D3081" s="0" t="s">
        <v>10294</v>
      </c>
      <c r="E3081" s="0" t="s">
        <v>10295</v>
      </c>
      <c r="F3081" s="0" t="s">
        <v>15</v>
      </c>
      <c r="G3081" s="0" t="s">
        <v>32</v>
      </c>
      <c r="H3081" s="0" t="n">
        <v>91</v>
      </c>
      <c r="I3081" s="0" t="s">
        <v>10302</v>
      </c>
      <c r="J3081" s="0" t="s">
        <v>10303</v>
      </c>
      <c r="K3081" s="0" t="s">
        <v>10304</v>
      </c>
      <c r="L3081" s="0" t="str">
        <f aca="false">HYPERLINK("https://www.ncbi.nlm.nih.gov/nuccore/CP000304.1?report=graph&amp;tracks=[key:gene_model_track,Options:GeneOnly]&amp;mk=904345:904364|offset_21|444444,904386:904405|offset_62|444444,904415:904434|offset_91|00cc00,904435:904454|offset_111|444444&amp;v=904144:904654&amp;c=444444", "offset 91")</f>
        <v>offset 91</v>
      </c>
    </row>
    <row r="3082" customFormat="false" ht="12.8" hidden="false" customHeight="false" outlineLevel="0" collapsed="false">
      <c r="A3082" s="0" t="s">
        <v>12</v>
      </c>
      <c r="B3082" s="0" t="n">
        <v>904434</v>
      </c>
      <c r="C3082" s="0" t="n">
        <v>904454</v>
      </c>
      <c r="D3082" s="0" t="s">
        <v>10294</v>
      </c>
      <c r="E3082" s="0" t="s">
        <v>10295</v>
      </c>
      <c r="F3082" s="0" t="s">
        <v>15</v>
      </c>
      <c r="G3082" s="0" t="s">
        <v>16</v>
      </c>
      <c r="H3082" s="0" t="n">
        <v>111</v>
      </c>
      <c r="I3082" s="0" t="s">
        <v>10305</v>
      </c>
      <c r="J3082" s="0" t="s">
        <v>10306</v>
      </c>
      <c r="K3082" s="0" t="s">
        <v>10307</v>
      </c>
      <c r="L3082" s="0" t="str">
        <f aca="false">HYPERLINK("https://www.ncbi.nlm.nih.gov/nuccore/CP000304.1?report=graph&amp;tracks=[key:gene_model_track,Options:GeneOnly]&amp;mk=904345:904364|offset_21|444444,904386:904405|offset_62|444444,904415:904434|offset_91|444444,904435:904454|offset_111|00cc00&amp;v=904144:904654&amp;c=444444", "offset 111")</f>
        <v>offset 111</v>
      </c>
    </row>
    <row r="3083" customFormat="false" ht="12.8" hidden="false" customHeight="false" outlineLevel="0" collapsed="false">
      <c r="A3083" s="0" t="s">
        <v>12</v>
      </c>
      <c r="B3083" s="0" t="n">
        <v>904967</v>
      </c>
      <c r="C3083" s="0" t="n">
        <v>904987</v>
      </c>
      <c r="D3083" s="0" t="s">
        <v>10308</v>
      </c>
      <c r="E3083" s="0" t="s">
        <v>10309</v>
      </c>
      <c r="F3083" s="0" t="s">
        <v>15</v>
      </c>
      <c r="G3083" s="0" t="s">
        <v>32</v>
      </c>
      <c r="H3083" s="0" t="n">
        <v>1</v>
      </c>
      <c r="I3083" s="0" t="s">
        <v>10310</v>
      </c>
      <c r="J3083" s="0" t="s">
        <v>10311</v>
      </c>
      <c r="K3083" s="0" t="s">
        <v>10312</v>
      </c>
      <c r="L3083" s="0" t="str">
        <f aca="false">HYPERLINK("https://www.ncbi.nlm.nih.gov/nuccore/CP000304.1?report=graph&amp;tracks=[key:gene_model_track,Options:GeneOnly]&amp;mk=904968:904987|offset_1|00cc00,904993:905012|offset_26|444444,905030:905049|offset_63|444444,905057:905076|offset_90|444444&amp;v=904767:905276&amp;c=444444", "offset 1")</f>
        <v>offset 1</v>
      </c>
    </row>
    <row r="3084" customFormat="false" ht="12.8" hidden="false" customHeight="false" outlineLevel="0" collapsed="false">
      <c r="A3084" s="0" t="s">
        <v>12</v>
      </c>
      <c r="B3084" s="0" t="n">
        <v>904992</v>
      </c>
      <c r="C3084" s="0" t="n">
        <v>905012</v>
      </c>
      <c r="D3084" s="0" t="s">
        <v>10308</v>
      </c>
      <c r="E3084" s="0" t="s">
        <v>10309</v>
      </c>
      <c r="F3084" s="0" t="s">
        <v>15</v>
      </c>
      <c r="G3084" s="0" t="s">
        <v>26</v>
      </c>
      <c r="H3084" s="0" t="n">
        <v>26</v>
      </c>
      <c r="I3084" s="0" t="s">
        <v>10313</v>
      </c>
      <c r="J3084" s="0" t="s">
        <v>10314</v>
      </c>
      <c r="K3084" s="0" t="s">
        <v>10315</v>
      </c>
      <c r="L3084" s="0" t="str">
        <f aca="false">HYPERLINK("https://www.ncbi.nlm.nih.gov/nuccore/CP000304.1?report=graph&amp;tracks=[key:gene_model_track,Options:GeneOnly]&amp;mk=904968:904987|offset_1|444444,904993:905012|offset_26|00cc00,905030:905049|offset_63|444444,905057:905076|offset_90|444444&amp;v=904767:905276&amp;c=444444", "offset 26")</f>
        <v>offset 26</v>
      </c>
    </row>
    <row r="3085" customFormat="false" ht="12.8" hidden="false" customHeight="false" outlineLevel="0" collapsed="false">
      <c r="A3085" s="0" t="s">
        <v>12</v>
      </c>
      <c r="B3085" s="0" t="n">
        <v>905029</v>
      </c>
      <c r="C3085" s="0" t="n">
        <v>905049</v>
      </c>
      <c r="D3085" s="0" t="s">
        <v>10308</v>
      </c>
      <c r="E3085" s="0" t="s">
        <v>10309</v>
      </c>
      <c r="F3085" s="0" t="s">
        <v>15</v>
      </c>
      <c r="G3085" s="0" t="s">
        <v>16</v>
      </c>
      <c r="H3085" s="0" t="n">
        <v>63</v>
      </c>
      <c r="I3085" s="0" t="s">
        <v>10316</v>
      </c>
      <c r="J3085" s="0" t="s">
        <v>10317</v>
      </c>
      <c r="K3085" s="0" t="s">
        <v>10318</v>
      </c>
      <c r="L3085" s="0" t="str">
        <f aca="false">HYPERLINK("https://www.ncbi.nlm.nih.gov/nuccore/CP000304.1?report=graph&amp;tracks=[key:gene_model_track,Options:GeneOnly]&amp;mk=904968:904987|offset_1|444444,904993:905012|offset_26|444444,905030:905049|offset_63|00cc00,905057:905076|offset_90|444444&amp;v=904767:905276&amp;c=444444", "offset 63")</f>
        <v>offset 63</v>
      </c>
    </row>
    <row r="3086" customFormat="false" ht="12.8" hidden="false" customHeight="false" outlineLevel="0" collapsed="false">
      <c r="A3086" s="0" t="s">
        <v>12</v>
      </c>
      <c r="B3086" s="0" t="n">
        <v>905056</v>
      </c>
      <c r="C3086" s="0" t="n">
        <v>905076</v>
      </c>
      <c r="D3086" s="0" t="s">
        <v>10308</v>
      </c>
      <c r="E3086" s="0" t="s">
        <v>10309</v>
      </c>
      <c r="F3086" s="0" t="s">
        <v>15</v>
      </c>
      <c r="G3086" s="0" t="s">
        <v>36</v>
      </c>
      <c r="H3086" s="0" t="n">
        <v>90</v>
      </c>
      <c r="I3086" s="0" t="s">
        <v>10319</v>
      </c>
      <c r="J3086" s="0" t="s">
        <v>10320</v>
      </c>
      <c r="K3086" s="0" t="s">
        <v>10321</v>
      </c>
      <c r="L3086" s="0" t="str">
        <f aca="false">HYPERLINK("https://www.ncbi.nlm.nih.gov/nuccore/CP000304.1?report=graph&amp;tracks=[key:gene_model_track,Options:GeneOnly]&amp;mk=904968:904987|offset_1|444444,904993:905012|offset_26|444444,905030:905049|offset_63|444444,905057:905076|offset_90|00cc00&amp;v=904767:905276&amp;c=444444", "offset 90")</f>
        <v>offset 90</v>
      </c>
    </row>
    <row r="3087" customFormat="false" ht="12.8" hidden="false" customHeight="false" outlineLevel="0" collapsed="false">
      <c r="A3087" s="0" t="s">
        <v>12</v>
      </c>
      <c r="B3087" s="0" t="n">
        <v>906036</v>
      </c>
      <c r="C3087" s="0" t="n">
        <v>906056</v>
      </c>
      <c r="D3087" s="0" t="s">
        <v>10322</v>
      </c>
      <c r="E3087" s="0" t="s">
        <v>10323</v>
      </c>
      <c r="F3087" s="0" t="s">
        <v>15</v>
      </c>
      <c r="G3087" s="0" t="s">
        <v>16</v>
      </c>
      <c r="H3087" s="0" t="n">
        <v>23</v>
      </c>
      <c r="I3087" s="0" t="s">
        <v>10324</v>
      </c>
      <c r="J3087" s="0" t="s">
        <v>10325</v>
      </c>
      <c r="K3087" s="0" t="s">
        <v>10326</v>
      </c>
      <c r="L3087" s="0" t="str">
        <f aca="false">HYPERLINK("https://www.ncbi.nlm.nih.gov/nuccore/CP000304.1?report=graph&amp;tracks=[key:gene_model_track,Options:GeneOnly]&amp;mk=906037:906056|offset_23|00cc00,906060:906079|offset_46|444444,906123:906142|offset_109|444444,906159:906178|offset_145|444444&amp;v=905836:906378&amp;c=444444", "offset 23")</f>
        <v>offset 23</v>
      </c>
    </row>
    <row r="3088" customFormat="false" ht="12.8" hidden="false" customHeight="false" outlineLevel="0" collapsed="false">
      <c r="A3088" s="0" t="s">
        <v>12</v>
      </c>
      <c r="B3088" s="0" t="n">
        <v>906059</v>
      </c>
      <c r="C3088" s="0" t="n">
        <v>906079</v>
      </c>
      <c r="D3088" s="0" t="s">
        <v>10322</v>
      </c>
      <c r="E3088" s="0" t="s">
        <v>10323</v>
      </c>
      <c r="F3088" s="0" t="s">
        <v>15</v>
      </c>
      <c r="G3088" s="0" t="s">
        <v>36</v>
      </c>
      <c r="H3088" s="0" t="n">
        <v>46</v>
      </c>
      <c r="I3088" s="0" t="s">
        <v>10327</v>
      </c>
      <c r="J3088" s="0" t="s">
        <v>10328</v>
      </c>
      <c r="K3088" s="0" t="s">
        <v>10329</v>
      </c>
      <c r="L3088" s="0" t="str">
        <f aca="false">HYPERLINK("https://www.ncbi.nlm.nih.gov/nuccore/CP000304.1?report=graph&amp;tracks=[key:gene_model_track,Options:GeneOnly]&amp;mk=906037:906056|offset_23|444444,906060:906079|offset_46|00cc00,906123:906142|offset_109|444444,906159:906178|offset_145|444444&amp;v=905836:906378&amp;c=444444", "offset 46")</f>
        <v>offset 46</v>
      </c>
    </row>
    <row r="3089" customFormat="false" ht="12.8" hidden="false" customHeight="false" outlineLevel="0" collapsed="false">
      <c r="A3089" s="0" t="s">
        <v>12</v>
      </c>
      <c r="B3089" s="0" t="n">
        <v>906122</v>
      </c>
      <c r="C3089" s="0" t="n">
        <v>906142</v>
      </c>
      <c r="D3089" s="0" t="s">
        <v>10322</v>
      </c>
      <c r="E3089" s="0" t="s">
        <v>10323</v>
      </c>
      <c r="F3089" s="0" t="s">
        <v>15</v>
      </c>
      <c r="G3089" s="0" t="s">
        <v>32</v>
      </c>
      <c r="H3089" s="0" t="n">
        <v>109</v>
      </c>
      <c r="I3089" s="0" t="s">
        <v>10330</v>
      </c>
      <c r="J3089" s="0" t="s">
        <v>10331</v>
      </c>
      <c r="K3089" s="0" t="s">
        <v>10332</v>
      </c>
      <c r="L3089" s="0" t="str">
        <f aca="false">HYPERLINK("https://www.ncbi.nlm.nih.gov/nuccore/CP000304.1?report=graph&amp;tracks=[key:gene_model_track,Options:GeneOnly]&amp;mk=906037:906056|offset_23|444444,906060:906079|offset_46|444444,906123:906142|offset_109|00cc00,906159:906178|offset_145|444444&amp;v=905836:906378&amp;c=444444", "offset 109")</f>
        <v>offset 109</v>
      </c>
    </row>
    <row r="3090" customFormat="false" ht="12.8" hidden="false" customHeight="false" outlineLevel="0" collapsed="false">
      <c r="A3090" s="0" t="s">
        <v>12</v>
      </c>
      <c r="B3090" s="0" t="n">
        <v>906158</v>
      </c>
      <c r="C3090" s="0" t="n">
        <v>906178</v>
      </c>
      <c r="D3090" s="0" t="s">
        <v>10322</v>
      </c>
      <c r="E3090" s="0" t="s">
        <v>10323</v>
      </c>
      <c r="F3090" s="0" t="s">
        <v>15</v>
      </c>
      <c r="G3090" s="0" t="s">
        <v>16</v>
      </c>
      <c r="H3090" s="0" t="n">
        <v>145</v>
      </c>
      <c r="I3090" s="0" t="s">
        <v>10333</v>
      </c>
      <c r="J3090" s="0" t="s">
        <v>10334</v>
      </c>
      <c r="K3090" s="0" t="s">
        <v>10335</v>
      </c>
      <c r="L3090" s="0" t="str">
        <f aca="false">HYPERLINK("https://www.ncbi.nlm.nih.gov/nuccore/CP000304.1?report=graph&amp;tracks=[key:gene_model_track,Options:GeneOnly]&amp;mk=906037:906056|offset_23|444444,906060:906079|offset_46|444444,906123:906142|offset_109|444444,906159:906178|offset_145|00cc00&amp;v=905836:906378&amp;c=444444", "offset 145")</f>
        <v>offset 145</v>
      </c>
    </row>
    <row r="3091" customFormat="false" ht="12.8" hidden="false" customHeight="false" outlineLevel="0" collapsed="false">
      <c r="A3091" s="0" t="s">
        <v>12</v>
      </c>
      <c r="B3091" s="0" t="n">
        <v>906573</v>
      </c>
      <c r="C3091" s="0" t="n">
        <v>906593</v>
      </c>
      <c r="D3091" s="0" t="s">
        <v>10336</v>
      </c>
      <c r="E3091" s="0" t="s">
        <v>10337</v>
      </c>
      <c r="F3091" s="0" t="s">
        <v>15</v>
      </c>
      <c r="G3091" s="0" t="s">
        <v>32</v>
      </c>
      <c r="H3091" s="0" t="n">
        <v>8</v>
      </c>
      <c r="I3091" s="0" t="s">
        <v>10338</v>
      </c>
      <c r="J3091" s="0" t="s">
        <v>10339</v>
      </c>
      <c r="K3091" s="0" t="s">
        <v>10340</v>
      </c>
      <c r="L3091" s="0" t="str">
        <f aca="false">HYPERLINK("https://www.ncbi.nlm.nih.gov/nuccore/CP000304.1?report=graph&amp;tracks=[key:gene_model_track,Options:GeneOnly]&amp;mk=906574:906593|offset_8|00cc00,906594:906613|offset_28|444444,906615:906634|offset_49|444444,906639:906658|offset_73|444444&amp;v=906373:906858&amp;c=444444", "offset 8")</f>
        <v>offset 8</v>
      </c>
    </row>
    <row r="3092" customFormat="false" ht="12.8" hidden="false" customHeight="false" outlineLevel="0" collapsed="false">
      <c r="A3092" s="0" t="s">
        <v>12</v>
      </c>
      <c r="B3092" s="0" t="n">
        <v>906593</v>
      </c>
      <c r="C3092" s="0" t="n">
        <v>906613</v>
      </c>
      <c r="D3092" s="0" t="s">
        <v>10336</v>
      </c>
      <c r="E3092" s="0" t="s">
        <v>10337</v>
      </c>
      <c r="F3092" s="0" t="s">
        <v>15</v>
      </c>
      <c r="G3092" s="0" t="s">
        <v>16</v>
      </c>
      <c r="H3092" s="0" t="n">
        <v>28</v>
      </c>
      <c r="I3092" s="0" t="s">
        <v>10341</v>
      </c>
      <c r="J3092" s="0" t="s">
        <v>10342</v>
      </c>
      <c r="K3092" s="0" t="s">
        <v>10343</v>
      </c>
      <c r="L3092" s="0" t="str">
        <f aca="false">HYPERLINK("https://www.ncbi.nlm.nih.gov/nuccore/CP000304.1?report=graph&amp;tracks=[key:gene_model_track,Options:GeneOnly]&amp;mk=906574:906593|offset_8|444444,906594:906613|offset_28|00cc00,906615:906634|offset_49|444444,906639:906658|offset_73|444444&amp;v=906373:906858&amp;c=444444", "offset 28")</f>
        <v>offset 28</v>
      </c>
    </row>
    <row r="3093" customFormat="false" ht="12.8" hidden="false" customHeight="false" outlineLevel="0" collapsed="false">
      <c r="A3093" s="0" t="s">
        <v>12</v>
      </c>
      <c r="B3093" s="0" t="n">
        <v>906614</v>
      </c>
      <c r="C3093" s="0" t="n">
        <v>906634</v>
      </c>
      <c r="D3093" s="0" t="s">
        <v>10336</v>
      </c>
      <c r="E3093" s="0" t="s">
        <v>10337</v>
      </c>
      <c r="F3093" s="0" t="s">
        <v>15</v>
      </c>
      <c r="G3093" s="0" t="s">
        <v>16</v>
      </c>
      <c r="H3093" s="0" t="n">
        <v>49</v>
      </c>
      <c r="I3093" s="0" t="s">
        <v>10344</v>
      </c>
      <c r="J3093" s="0" t="s">
        <v>10345</v>
      </c>
      <c r="K3093" s="0" t="s">
        <v>10346</v>
      </c>
      <c r="L3093" s="0" t="str">
        <f aca="false">HYPERLINK("https://www.ncbi.nlm.nih.gov/nuccore/CP000304.1?report=graph&amp;tracks=[key:gene_model_track,Options:GeneOnly]&amp;mk=906574:906593|offset_8|444444,906594:906613|offset_28|444444,906615:906634|offset_49|00cc00,906639:906658|offset_73|444444&amp;v=906373:906858&amp;c=444444", "offset 49")</f>
        <v>offset 49</v>
      </c>
    </row>
    <row r="3094" customFormat="false" ht="12.8" hidden="false" customHeight="false" outlineLevel="0" collapsed="false">
      <c r="A3094" s="0" t="s">
        <v>12</v>
      </c>
      <c r="B3094" s="0" t="n">
        <v>906638</v>
      </c>
      <c r="C3094" s="0" t="n">
        <v>906658</v>
      </c>
      <c r="D3094" s="0" t="s">
        <v>10336</v>
      </c>
      <c r="E3094" s="0" t="s">
        <v>10337</v>
      </c>
      <c r="F3094" s="0" t="s">
        <v>15</v>
      </c>
      <c r="G3094" s="0" t="s">
        <v>16</v>
      </c>
      <c r="H3094" s="0" t="n">
        <v>73</v>
      </c>
      <c r="I3094" s="0" t="s">
        <v>10347</v>
      </c>
      <c r="J3094" s="0" t="s">
        <v>10348</v>
      </c>
      <c r="K3094" s="0" t="s">
        <v>10349</v>
      </c>
      <c r="L3094" s="0" t="str">
        <f aca="false">HYPERLINK("https://www.ncbi.nlm.nih.gov/nuccore/CP000304.1?report=graph&amp;tracks=[key:gene_model_track,Options:GeneOnly]&amp;mk=906574:906593|offset_8|444444,906594:906613|offset_28|444444,906615:906634|offset_49|444444,906639:906658|offset_73|00cc00&amp;v=906373:906858&amp;c=444444", "offset 73")</f>
        <v>offset 73</v>
      </c>
    </row>
    <row r="3095" customFormat="false" ht="12.8" hidden="false" customHeight="false" outlineLevel="0" collapsed="false">
      <c r="A3095" s="0" t="s">
        <v>12</v>
      </c>
      <c r="B3095" s="0" t="n">
        <v>911015</v>
      </c>
      <c r="C3095" s="0" t="n">
        <v>911035</v>
      </c>
      <c r="D3095" s="0" t="s">
        <v>10350</v>
      </c>
      <c r="E3095" s="0" t="s">
        <v>10351</v>
      </c>
      <c r="F3095" s="0" t="s">
        <v>90</v>
      </c>
      <c r="G3095" s="0" t="s">
        <v>16</v>
      </c>
      <c r="H3095" s="0" t="n">
        <v>12</v>
      </c>
      <c r="I3095" s="0" t="s">
        <v>10352</v>
      </c>
      <c r="J3095" s="0" t="s">
        <v>10353</v>
      </c>
      <c r="K3095" s="0" t="s">
        <v>10354</v>
      </c>
      <c r="L3095" s="0" t="str">
        <f aca="false">HYPERLINK("https://www.ncbi.nlm.nih.gov/nuccore/CP000304.1?report=graph&amp;tracks=[key:gene_model_track,Options:GeneOnly]&amp;mk=911016:911035|offset_12|00cc00,910996:911015|offset_32|444444,910964:910983|offset_64|444444,910925:910944|offset_103|444444&amp;v=910815:911144&amp;c=444444", "offset 12")</f>
        <v>offset 12</v>
      </c>
    </row>
    <row r="3096" customFormat="false" ht="12.8" hidden="false" customHeight="false" outlineLevel="0" collapsed="false">
      <c r="A3096" s="0" t="s">
        <v>12</v>
      </c>
      <c r="B3096" s="0" t="n">
        <v>910995</v>
      </c>
      <c r="C3096" s="0" t="n">
        <v>911015</v>
      </c>
      <c r="D3096" s="0" t="s">
        <v>10350</v>
      </c>
      <c r="E3096" s="0" t="s">
        <v>10351</v>
      </c>
      <c r="F3096" s="0" t="s">
        <v>90</v>
      </c>
      <c r="G3096" s="0" t="s">
        <v>26</v>
      </c>
      <c r="H3096" s="0" t="n">
        <v>32</v>
      </c>
      <c r="I3096" s="0" t="s">
        <v>10355</v>
      </c>
      <c r="J3096" s="0" t="s">
        <v>10356</v>
      </c>
      <c r="K3096" s="0" t="s">
        <v>10357</v>
      </c>
      <c r="L3096" s="0" t="str">
        <f aca="false">HYPERLINK("https://www.ncbi.nlm.nih.gov/nuccore/CP000304.1?report=graph&amp;tracks=[key:gene_model_track,Options:GeneOnly]&amp;mk=911016:911035|offset_12|444444,910996:911015|offset_32|00cc00,910964:910983|offset_64|444444,910925:910944|offset_103|444444&amp;v=910815:911144&amp;c=444444", "offset 32")</f>
        <v>offset 32</v>
      </c>
    </row>
    <row r="3097" customFormat="false" ht="12.8" hidden="false" customHeight="false" outlineLevel="0" collapsed="false">
      <c r="A3097" s="0" t="s">
        <v>12</v>
      </c>
      <c r="B3097" s="0" t="n">
        <v>910963</v>
      </c>
      <c r="C3097" s="0" t="n">
        <v>910983</v>
      </c>
      <c r="D3097" s="0" t="s">
        <v>10350</v>
      </c>
      <c r="E3097" s="0" t="s">
        <v>10351</v>
      </c>
      <c r="F3097" s="0" t="s">
        <v>90</v>
      </c>
      <c r="G3097" s="0" t="s">
        <v>16</v>
      </c>
      <c r="H3097" s="0" t="n">
        <v>64</v>
      </c>
      <c r="I3097" s="0" t="s">
        <v>10358</v>
      </c>
      <c r="J3097" s="0" t="s">
        <v>10359</v>
      </c>
      <c r="K3097" s="0" t="s">
        <v>10360</v>
      </c>
      <c r="L3097" s="0" t="str">
        <f aca="false">HYPERLINK("https://www.ncbi.nlm.nih.gov/nuccore/CP000304.1?report=graph&amp;tracks=[key:gene_model_track,Options:GeneOnly]&amp;mk=911016:911035|offset_12|444444,910996:911015|offset_32|444444,910964:910983|offset_64|00cc00,910925:910944|offset_103|444444&amp;v=910815:911144&amp;c=444444", "offset 64")</f>
        <v>offset 64</v>
      </c>
    </row>
    <row r="3098" customFormat="false" ht="12.8" hidden="false" customHeight="false" outlineLevel="0" collapsed="false">
      <c r="A3098" s="0" t="s">
        <v>12</v>
      </c>
      <c r="B3098" s="0" t="n">
        <v>910924</v>
      </c>
      <c r="C3098" s="0" t="n">
        <v>910944</v>
      </c>
      <c r="D3098" s="0" t="s">
        <v>10350</v>
      </c>
      <c r="E3098" s="0" t="s">
        <v>10351</v>
      </c>
      <c r="F3098" s="0" t="s">
        <v>90</v>
      </c>
      <c r="G3098" s="0" t="s">
        <v>36</v>
      </c>
      <c r="H3098" s="0" t="n">
        <v>103</v>
      </c>
      <c r="I3098" s="0" t="s">
        <v>10361</v>
      </c>
      <c r="J3098" s="0" t="s">
        <v>10362</v>
      </c>
      <c r="K3098" s="0" t="s">
        <v>10363</v>
      </c>
      <c r="L3098" s="0" t="str">
        <f aca="false">HYPERLINK("https://www.ncbi.nlm.nih.gov/nuccore/CP000304.1?report=graph&amp;tracks=[key:gene_model_track,Options:GeneOnly]&amp;mk=911016:911035|offset_12|444444,910996:911015|offset_32|444444,910964:910983|offset_64|444444,910925:910944|offset_103|00cc00&amp;v=910815:911144&amp;c=444444", "offset 103")</f>
        <v>offset 103</v>
      </c>
    </row>
    <row r="3099" customFormat="false" ht="12.8" hidden="false" customHeight="false" outlineLevel="0" collapsed="false">
      <c r="A3099" s="0" t="s">
        <v>12</v>
      </c>
      <c r="B3099" s="0" t="n">
        <v>911060</v>
      </c>
      <c r="C3099" s="0" t="n">
        <v>911080</v>
      </c>
      <c r="D3099" s="0" t="s">
        <v>10364</v>
      </c>
      <c r="E3099" s="0" t="s">
        <v>89</v>
      </c>
      <c r="F3099" s="0" t="s">
        <v>15</v>
      </c>
      <c r="G3099" s="0" t="s">
        <v>32</v>
      </c>
      <c r="H3099" s="0" t="n">
        <v>1</v>
      </c>
      <c r="I3099" s="0" t="s">
        <v>10365</v>
      </c>
      <c r="J3099" s="0" t="s">
        <v>10366</v>
      </c>
      <c r="K3099" s="0" t="s">
        <v>10367</v>
      </c>
      <c r="L3099" s="0" t="str">
        <f aca="false">HYPERLINK("https://www.ncbi.nlm.nih.gov/nuccore/CP000304.1?report=graph&amp;tracks=[key:gene_model_track,Options:GeneOnly]&amp;mk=911061:911080|offset_1|00cc00,911094:911113|offset_34|444444,911140:911159|offset_80|444444,911168:911187|offset_108|444444&amp;v=910860:911387&amp;c=444444", "offset 1")</f>
        <v>offset 1</v>
      </c>
    </row>
    <row r="3100" customFormat="false" ht="12.8" hidden="false" customHeight="false" outlineLevel="0" collapsed="false">
      <c r="A3100" s="0" t="s">
        <v>12</v>
      </c>
      <c r="B3100" s="0" t="n">
        <v>911093</v>
      </c>
      <c r="C3100" s="0" t="n">
        <v>911113</v>
      </c>
      <c r="D3100" s="0" t="s">
        <v>10364</v>
      </c>
      <c r="E3100" s="0" t="s">
        <v>89</v>
      </c>
      <c r="F3100" s="0" t="s">
        <v>15</v>
      </c>
      <c r="G3100" s="0" t="s">
        <v>32</v>
      </c>
      <c r="H3100" s="0" t="n">
        <v>34</v>
      </c>
      <c r="I3100" s="0" t="s">
        <v>10368</v>
      </c>
      <c r="J3100" s="0" t="s">
        <v>10369</v>
      </c>
      <c r="K3100" s="0" t="s">
        <v>10370</v>
      </c>
      <c r="L3100" s="0" t="str">
        <f aca="false">HYPERLINK("https://www.ncbi.nlm.nih.gov/nuccore/CP000304.1?report=graph&amp;tracks=[key:gene_model_track,Options:GeneOnly]&amp;mk=911061:911080|offset_1|444444,911094:911113|offset_34|00cc00,911140:911159|offset_80|444444,911168:911187|offset_108|444444&amp;v=910860:911387&amp;c=444444", "offset 34")</f>
        <v>offset 34</v>
      </c>
    </row>
    <row r="3101" customFormat="false" ht="12.8" hidden="false" customHeight="false" outlineLevel="0" collapsed="false">
      <c r="A3101" s="0" t="s">
        <v>12</v>
      </c>
      <c r="B3101" s="0" t="n">
        <v>911139</v>
      </c>
      <c r="C3101" s="0" t="n">
        <v>911159</v>
      </c>
      <c r="D3101" s="0" t="s">
        <v>10364</v>
      </c>
      <c r="E3101" s="0" t="s">
        <v>89</v>
      </c>
      <c r="F3101" s="0" t="s">
        <v>15</v>
      </c>
      <c r="G3101" s="0" t="s">
        <v>16</v>
      </c>
      <c r="H3101" s="0" t="n">
        <v>80</v>
      </c>
      <c r="I3101" s="0" t="s">
        <v>10371</v>
      </c>
      <c r="J3101" s="0" t="s">
        <v>10372</v>
      </c>
      <c r="K3101" s="0" t="s">
        <v>10373</v>
      </c>
      <c r="L3101" s="0" t="str">
        <f aca="false">HYPERLINK("https://www.ncbi.nlm.nih.gov/nuccore/CP000304.1?report=graph&amp;tracks=[key:gene_model_track,Options:GeneOnly]&amp;mk=911061:911080|offset_1|444444,911094:911113|offset_34|444444,911140:911159|offset_80|00cc00,911168:911187|offset_108|444444&amp;v=910860:911387&amp;c=444444", "offset 80")</f>
        <v>offset 80</v>
      </c>
    </row>
    <row r="3102" customFormat="false" ht="12.8" hidden="false" customHeight="false" outlineLevel="0" collapsed="false">
      <c r="A3102" s="0" t="s">
        <v>12</v>
      </c>
      <c r="B3102" s="0" t="n">
        <v>911167</v>
      </c>
      <c r="C3102" s="0" t="n">
        <v>911187</v>
      </c>
      <c r="D3102" s="0" t="s">
        <v>10364</v>
      </c>
      <c r="E3102" s="0" t="s">
        <v>89</v>
      </c>
      <c r="F3102" s="0" t="s">
        <v>15</v>
      </c>
      <c r="G3102" s="0" t="s">
        <v>36</v>
      </c>
      <c r="H3102" s="0" t="n">
        <v>108</v>
      </c>
      <c r="I3102" s="0" t="s">
        <v>10374</v>
      </c>
      <c r="J3102" s="0" t="s">
        <v>10375</v>
      </c>
      <c r="K3102" s="0" t="s">
        <v>10376</v>
      </c>
      <c r="L3102" s="0" t="str">
        <f aca="false">HYPERLINK("https://www.ncbi.nlm.nih.gov/nuccore/CP000304.1?report=graph&amp;tracks=[key:gene_model_track,Options:GeneOnly]&amp;mk=911061:911080|offset_1|444444,911094:911113|offset_34|444444,911140:911159|offset_80|444444,911168:911187|offset_108|00cc00&amp;v=910860:911387&amp;c=444444", "offset 108")</f>
        <v>offset 108</v>
      </c>
    </row>
    <row r="3103" customFormat="false" ht="12.8" hidden="false" customHeight="false" outlineLevel="0" collapsed="false">
      <c r="A3103" s="0" t="s">
        <v>12</v>
      </c>
      <c r="B3103" s="0" t="n">
        <v>912644</v>
      </c>
      <c r="C3103" s="0" t="n">
        <v>912664</v>
      </c>
      <c r="D3103" s="0" t="s">
        <v>10377</v>
      </c>
      <c r="E3103" s="0" t="s">
        <v>10378</v>
      </c>
      <c r="F3103" s="0" t="s">
        <v>15</v>
      </c>
      <c r="G3103" s="0" t="s">
        <v>36</v>
      </c>
      <c r="H3103" s="0" t="n">
        <v>41</v>
      </c>
      <c r="I3103" s="0" t="s">
        <v>10379</v>
      </c>
      <c r="J3103" s="0" t="s">
        <v>10380</v>
      </c>
      <c r="K3103" s="0" t="s">
        <v>10381</v>
      </c>
      <c r="L3103" s="0" t="str">
        <f aca="false">HYPERLINK("https://www.ncbi.nlm.nih.gov/nuccore/CP000304.1?report=graph&amp;tracks=[key:gene_model_track,Options:GeneOnly]&amp;mk=912645:912664|offset_41|00cc00,912665:912684|offset_61|444444,912701:912720|offset_97|444444,912728:912747|offset_124|444444&amp;v=912444:912947&amp;c=444444", "offset 41")</f>
        <v>offset 41</v>
      </c>
    </row>
    <row r="3104" customFormat="false" ht="12.8" hidden="false" customHeight="false" outlineLevel="0" collapsed="false">
      <c r="A3104" s="0" t="s">
        <v>12</v>
      </c>
      <c r="B3104" s="0" t="n">
        <v>912664</v>
      </c>
      <c r="C3104" s="0" t="n">
        <v>912684</v>
      </c>
      <c r="D3104" s="0" t="s">
        <v>10377</v>
      </c>
      <c r="E3104" s="0" t="s">
        <v>10378</v>
      </c>
      <c r="F3104" s="0" t="s">
        <v>15</v>
      </c>
      <c r="G3104" s="0" t="s">
        <v>32</v>
      </c>
      <c r="H3104" s="0" t="n">
        <v>61</v>
      </c>
      <c r="I3104" s="0" t="s">
        <v>10382</v>
      </c>
      <c r="J3104" s="0" t="s">
        <v>10383</v>
      </c>
      <c r="K3104" s="0" t="s">
        <v>10384</v>
      </c>
      <c r="L3104" s="0" t="str">
        <f aca="false">HYPERLINK("https://www.ncbi.nlm.nih.gov/nuccore/CP000304.1?report=graph&amp;tracks=[key:gene_model_track,Options:GeneOnly]&amp;mk=912645:912664|offset_41|444444,912665:912684|offset_61|00cc00,912701:912720|offset_97|444444,912728:912747|offset_124|444444&amp;v=912444:912947&amp;c=444444", "offset 61")</f>
        <v>offset 61</v>
      </c>
    </row>
    <row r="3105" customFormat="false" ht="12.8" hidden="false" customHeight="false" outlineLevel="0" collapsed="false">
      <c r="A3105" s="0" t="s">
        <v>12</v>
      </c>
      <c r="B3105" s="0" t="n">
        <v>912700</v>
      </c>
      <c r="C3105" s="0" t="n">
        <v>912720</v>
      </c>
      <c r="D3105" s="0" t="s">
        <v>10377</v>
      </c>
      <c r="E3105" s="0" t="s">
        <v>10378</v>
      </c>
      <c r="F3105" s="0" t="s">
        <v>15</v>
      </c>
      <c r="G3105" s="0" t="s">
        <v>32</v>
      </c>
      <c r="H3105" s="0" t="n">
        <v>97</v>
      </c>
      <c r="I3105" s="0" t="s">
        <v>10385</v>
      </c>
      <c r="J3105" s="0" t="s">
        <v>10386</v>
      </c>
      <c r="K3105" s="0" t="s">
        <v>10387</v>
      </c>
      <c r="L3105" s="0" t="str">
        <f aca="false">HYPERLINK("https://www.ncbi.nlm.nih.gov/nuccore/CP000304.1?report=graph&amp;tracks=[key:gene_model_track,Options:GeneOnly]&amp;mk=912645:912664|offset_41|444444,912665:912684|offset_61|444444,912701:912720|offset_97|00cc00,912728:912747|offset_124|444444&amp;v=912444:912947&amp;c=444444", "offset 97")</f>
        <v>offset 97</v>
      </c>
    </row>
    <row r="3106" customFormat="false" ht="12.8" hidden="false" customHeight="false" outlineLevel="0" collapsed="false">
      <c r="A3106" s="0" t="s">
        <v>12</v>
      </c>
      <c r="B3106" s="0" t="n">
        <v>912727</v>
      </c>
      <c r="C3106" s="0" t="n">
        <v>912747</v>
      </c>
      <c r="D3106" s="0" t="s">
        <v>10377</v>
      </c>
      <c r="E3106" s="0" t="s">
        <v>10378</v>
      </c>
      <c r="F3106" s="0" t="s">
        <v>15</v>
      </c>
      <c r="G3106" s="0" t="s">
        <v>16</v>
      </c>
      <c r="H3106" s="0" t="n">
        <v>124</v>
      </c>
      <c r="I3106" s="0" t="s">
        <v>10388</v>
      </c>
      <c r="J3106" s="0" t="s">
        <v>10389</v>
      </c>
      <c r="K3106" s="0" t="s">
        <v>10390</v>
      </c>
      <c r="L3106" s="0" t="str">
        <f aca="false">HYPERLINK("https://www.ncbi.nlm.nih.gov/nuccore/CP000304.1?report=graph&amp;tracks=[key:gene_model_track,Options:GeneOnly]&amp;mk=912645:912664|offset_41|444444,912665:912684|offset_61|444444,912701:912720|offset_97|444444,912728:912747|offset_124|00cc00&amp;v=912444:912947&amp;c=444444", "offset 124")</f>
        <v>offset 124</v>
      </c>
    </row>
    <row r="3107" customFormat="false" ht="12.8" hidden="false" customHeight="false" outlineLevel="0" collapsed="false">
      <c r="A3107" s="0" t="s">
        <v>12</v>
      </c>
      <c r="B3107" s="0" t="n">
        <v>913355</v>
      </c>
      <c r="C3107" s="0" t="n">
        <v>913375</v>
      </c>
      <c r="D3107" s="0" t="s">
        <v>10391</v>
      </c>
      <c r="E3107" s="0" t="s">
        <v>89</v>
      </c>
      <c r="F3107" s="0" t="s">
        <v>15</v>
      </c>
      <c r="G3107" s="0" t="s">
        <v>16</v>
      </c>
      <c r="H3107" s="0" t="n">
        <v>16</v>
      </c>
      <c r="I3107" s="0" t="s">
        <v>10392</v>
      </c>
      <c r="J3107" s="0" t="s">
        <v>10393</v>
      </c>
      <c r="K3107" s="0" t="s">
        <v>10394</v>
      </c>
      <c r="L3107" s="0" t="str">
        <f aca="false">HYPERLINK("https://www.ncbi.nlm.nih.gov/nuccore/CP000304.1?report=graph&amp;tracks=[key:gene_model_track,Options:GeneOnly]&amp;mk=913356:913375|offset_16|00cc00,913394:913413|offset_54|444444,913428:913447|offset_88|444444,913460:913479|offset_120|444444&amp;v=913155:913679&amp;c=444444", "offset 16")</f>
        <v>offset 16</v>
      </c>
    </row>
    <row r="3108" customFormat="false" ht="12.8" hidden="false" customHeight="false" outlineLevel="0" collapsed="false">
      <c r="A3108" s="0" t="s">
        <v>12</v>
      </c>
      <c r="B3108" s="0" t="n">
        <v>913393</v>
      </c>
      <c r="C3108" s="0" t="n">
        <v>913413</v>
      </c>
      <c r="D3108" s="0" t="s">
        <v>10391</v>
      </c>
      <c r="E3108" s="0" t="s">
        <v>89</v>
      </c>
      <c r="F3108" s="0" t="s">
        <v>15</v>
      </c>
      <c r="G3108" s="0" t="s">
        <v>26</v>
      </c>
      <c r="H3108" s="0" t="n">
        <v>54</v>
      </c>
      <c r="I3108" s="0" t="s">
        <v>10395</v>
      </c>
      <c r="J3108" s="0" t="s">
        <v>10396</v>
      </c>
      <c r="K3108" s="0" t="s">
        <v>10397</v>
      </c>
      <c r="L3108" s="0" t="str">
        <f aca="false">HYPERLINK("https://www.ncbi.nlm.nih.gov/nuccore/CP000304.1?report=graph&amp;tracks=[key:gene_model_track,Options:GeneOnly]&amp;mk=913356:913375|offset_16|444444,913394:913413|offset_54|00cc00,913428:913447|offset_88|444444,913460:913479|offset_120|444444&amp;v=913155:913679&amp;c=444444", "offset 54")</f>
        <v>offset 54</v>
      </c>
    </row>
    <row r="3109" customFormat="false" ht="12.8" hidden="false" customHeight="false" outlineLevel="0" collapsed="false">
      <c r="A3109" s="0" t="s">
        <v>12</v>
      </c>
      <c r="B3109" s="0" t="n">
        <v>913427</v>
      </c>
      <c r="C3109" s="0" t="n">
        <v>913447</v>
      </c>
      <c r="D3109" s="0" t="s">
        <v>10391</v>
      </c>
      <c r="E3109" s="0" t="s">
        <v>89</v>
      </c>
      <c r="F3109" s="0" t="s">
        <v>15</v>
      </c>
      <c r="G3109" s="0" t="s">
        <v>32</v>
      </c>
      <c r="H3109" s="0" t="n">
        <v>88</v>
      </c>
      <c r="I3109" s="0" t="s">
        <v>10398</v>
      </c>
      <c r="J3109" s="0" t="s">
        <v>10399</v>
      </c>
      <c r="K3109" s="0" t="s">
        <v>10400</v>
      </c>
      <c r="L3109" s="0" t="str">
        <f aca="false">HYPERLINK("https://www.ncbi.nlm.nih.gov/nuccore/CP000304.1?report=graph&amp;tracks=[key:gene_model_track,Options:GeneOnly]&amp;mk=913356:913375|offset_16|444444,913394:913413|offset_54|444444,913428:913447|offset_88|00cc00,913460:913479|offset_120|444444&amp;v=913155:913679&amp;c=444444", "offset 88")</f>
        <v>offset 88</v>
      </c>
    </row>
    <row r="3110" customFormat="false" ht="12.8" hidden="false" customHeight="false" outlineLevel="0" collapsed="false">
      <c r="A3110" s="0" t="s">
        <v>12</v>
      </c>
      <c r="B3110" s="0" t="n">
        <v>913459</v>
      </c>
      <c r="C3110" s="0" t="n">
        <v>913479</v>
      </c>
      <c r="D3110" s="0" t="s">
        <v>10391</v>
      </c>
      <c r="E3110" s="0" t="s">
        <v>89</v>
      </c>
      <c r="F3110" s="0" t="s">
        <v>15</v>
      </c>
      <c r="G3110" s="0" t="s">
        <v>16</v>
      </c>
      <c r="H3110" s="0" t="n">
        <v>120</v>
      </c>
      <c r="I3110" s="0" t="s">
        <v>10401</v>
      </c>
      <c r="J3110" s="0" t="s">
        <v>10402</v>
      </c>
      <c r="K3110" s="0" t="s">
        <v>10403</v>
      </c>
      <c r="L3110" s="0" t="str">
        <f aca="false">HYPERLINK("https://www.ncbi.nlm.nih.gov/nuccore/CP000304.1?report=graph&amp;tracks=[key:gene_model_track,Options:GeneOnly]&amp;mk=913356:913375|offset_16|444444,913394:913413|offset_54|444444,913428:913447|offset_88|444444,913460:913479|offset_120|00cc00&amp;v=913155:913679&amp;c=444444", "offset 120")</f>
        <v>offset 120</v>
      </c>
    </row>
    <row r="3111" customFormat="false" ht="12.8" hidden="false" customHeight="false" outlineLevel="0" collapsed="false">
      <c r="A3111" s="0" t="s">
        <v>12</v>
      </c>
      <c r="B3111" s="0" t="n">
        <v>913983</v>
      </c>
      <c r="C3111" s="0" t="n">
        <v>914003</v>
      </c>
      <c r="D3111" s="0" t="s">
        <v>10404</v>
      </c>
      <c r="E3111" s="0" t="s">
        <v>89</v>
      </c>
      <c r="F3111" s="0" t="s">
        <v>15</v>
      </c>
      <c r="G3111" s="0" t="s">
        <v>36</v>
      </c>
      <c r="H3111" s="0" t="n">
        <v>13</v>
      </c>
      <c r="I3111" s="0" t="s">
        <v>10405</v>
      </c>
      <c r="J3111" s="0" t="s">
        <v>10406</v>
      </c>
      <c r="K3111" s="0" t="s">
        <v>10407</v>
      </c>
      <c r="L3111" s="0" t="str">
        <f aca="false">HYPERLINK("https://www.ncbi.nlm.nih.gov/nuccore/CP000304.1?report=graph&amp;tracks=[key:gene_model_track,Options:GeneOnly]&amp;mk=913984:914003|offset_13|00cc00,914008:914027|offset_37|444444,914059:914078|offset_88|444444,914083:914102|offset_112|444444&amp;v=913783:914302&amp;c=444444", "offset 13")</f>
        <v>offset 13</v>
      </c>
    </row>
    <row r="3112" customFormat="false" ht="12.8" hidden="false" customHeight="false" outlineLevel="0" collapsed="false">
      <c r="A3112" s="0" t="s">
        <v>12</v>
      </c>
      <c r="B3112" s="0" t="n">
        <v>914007</v>
      </c>
      <c r="C3112" s="0" t="n">
        <v>914027</v>
      </c>
      <c r="D3112" s="0" t="s">
        <v>10404</v>
      </c>
      <c r="E3112" s="0" t="s">
        <v>89</v>
      </c>
      <c r="F3112" s="0" t="s">
        <v>15</v>
      </c>
      <c r="G3112" s="0" t="s">
        <v>16</v>
      </c>
      <c r="H3112" s="0" t="n">
        <v>37</v>
      </c>
      <c r="I3112" s="0" t="s">
        <v>10408</v>
      </c>
      <c r="J3112" s="0" t="s">
        <v>10409</v>
      </c>
      <c r="K3112" s="0" t="s">
        <v>10410</v>
      </c>
      <c r="L3112" s="0" t="str">
        <f aca="false">HYPERLINK("https://www.ncbi.nlm.nih.gov/nuccore/CP000304.1?report=graph&amp;tracks=[key:gene_model_track,Options:GeneOnly]&amp;mk=913984:914003|offset_13|444444,914008:914027|offset_37|00cc00,914059:914078|offset_88|444444,914083:914102|offset_112|444444&amp;v=913783:914302&amp;c=444444", "offset 37")</f>
        <v>offset 37</v>
      </c>
    </row>
    <row r="3113" customFormat="false" ht="12.8" hidden="false" customHeight="false" outlineLevel="0" collapsed="false">
      <c r="A3113" s="0" t="s">
        <v>12</v>
      </c>
      <c r="B3113" s="0" t="n">
        <v>914058</v>
      </c>
      <c r="C3113" s="0" t="n">
        <v>914078</v>
      </c>
      <c r="D3113" s="0" t="s">
        <v>10404</v>
      </c>
      <c r="E3113" s="0" t="s">
        <v>89</v>
      </c>
      <c r="F3113" s="0" t="s">
        <v>15</v>
      </c>
      <c r="G3113" s="0" t="s">
        <v>32</v>
      </c>
      <c r="H3113" s="0" t="n">
        <v>88</v>
      </c>
      <c r="I3113" s="0" t="s">
        <v>10411</v>
      </c>
      <c r="J3113" s="0" t="s">
        <v>10412</v>
      </c>
      <c r="K3113" s="0" t="s">
        <v>10413</v>
      </c>
      <c r="L3113" s="0" t="str">
        <f aca="false">HYPERLINK("https://www.ncbi.nlm.nih.gov/nuccore/CP000304.1?report=graph&amp;tracks=[key:gene_model_track,Options:GeneOnly]&amp;mk=913984:914003|offset_13|444444,914008:914027|offset_37|444444,914059:914078|offset_88|00cc00,914083:914102|offset_112|444444&amp;v=913783:914302&amp;c=444444", "offset 88")</f>
        <v>offset 88</v>
      </c>
    </row>
    <row r="3114" customFormat="false" ht="12.8" hidden="false" customHeight="false" outlineLevel="0" collapsed="false">
      <c r="A3114" s="0" t="s">
        <v>12</v>
      </c>
      <c r="B3114" s="0" t="n">
        <v>914082</v>
      </c>
      <c r="C3114" s="0" t="n">
        <v>914102</v>
      </c>
      <c r="D3114" s="0" t="s">
        <v>10404</v>
      </c>
      <c r="E3114" s="0" t="s">
        <v>89</v>
      </c>
      <c r="F3114" s="0" t="s">
        <v>15</v>
      </c>
      <c r="G3114" s="0" t="s">
        <v>32</v>
      </c>
      <c r="H3114" s="0" t="n">
        <v>112</v>
      </c>
      <c r="I3114" s="0" t="s">
        <v>10414</v>
      </c>
      <c r="J3114" s="0" t="s">
        <v>10415</v>
      </c>
      <c r="K3114" s="0" t="s">
        <v>10416</v>
      </c>
      <c r="L3114" s="0" t="str">
        <f aca="false">HYPERLINK("https://www.ncbi.nlm.nih.gov/nuccore/CP000304.1?report=graph&amp;tracks=[key:gene_model_track,Options:GeneOnly]&amp;mk=913984:914003|offset_13|444444,914008:914027|offset_37|444444,914059:914078|offset_88|444444,914083:914102|offset_112|00cc00&amp;v=913783:914302&amp;c=444444", "offset 112")</f>
        <v>offset 112</v>
      </c>
    </row>
    <row r="3115" customFormat="false" ht="12.8" hidden="false" customHeight="false" outlineLevel="0" collapsed="false">
      <c r="A3115" s="0" t="s">
        <v>12</v>
      </c>
      <c r="B3115" s="0" t="n">
        <v>915614</v>
      </c>
      <c r="C3115" s="0" t="n">
        <v>915634</v>
      </c>
      <c r="D3115" s="0" t="s">
        <v>10417</v>
      </c>
      <c r="E3115" s="0" t="s">
        <v>10418</v>
      </c>
      <c r="F3115" s="0" t="s">
        <v>90</v>
      </c>
      <c r="G3115" s="0" t="s">
        <v>36</v>
      </c>
      <c r="H3115" s="0" t="n">
        <v>13</v>
      </c>
      <c r="I3115" s="0" t="s">
        <v>10419</v>
      </c>
      <c r="J3115" s="0" t="s">
        <v>10420</v>
      </c>
      <c r="K3115" s="0" t="s">
        <v>10421</v>
      </c>
      <c r="L3115" s="0" t="str">
        <f aca="false">HYPERLINK("https://www.ncbi.nlm.nih.gov/nuccore/CP000304.1?report=graph&amp;tracks=[key:gene_model_track,Options:GeneOnly]&amp;mk=915615:915634|offset_13|00cc00,915591:915610|offset_37|444444,915567:915586|offset_61|444444,915519:915538|offset_109|444444&amp;v=915414:915738&amp;c=444444", "offset 13")</f>
        <v>offset 13</v>
      </c>
    </row>
    <row r="3116" customFormat="false" ht="12.8" hidden="false" customHeight="false" outlineLevel="0" collapsed="false">
      <c r="A3116" s="0" t="s">
        <v>12</v>
      </c>
      <c r="B3116" s="0" t="n">
        <v>915590</v>
      </c>
      <c r="C3116" s="0" t="n">
        <v>915610</v>
      </c>
      <c r="D3116" s="0" t="s">
        <v>10417</v>
      </c>
      <c r="E3116" s="0" t="s">
        <v>10418</v>
      </c>
      <c r="F3116" s="0" t="s">
        <v>90</v>
      </c>
      <c r="G3116" s="0" t="s">
        <v>36</v>
      </c>
      <c r="H3116" s="0" t="n">
        <v>37</v>
      </c>
      <c r="I3116" s="0" t="s">
        <v>10422</v>
      </c>
      <c r="J3116" s="0" t="s">
        <v>10423</v>
      </c>
      <c r="K3116" s="0" t="s">
        <v>10424</v>
      </c>
      <c r="L3116" s="0" t="str">
        <f aca="false">HYPERLINK("https://www.ncbi.nlm.nih.gov/nuccore/CP000304.1?report=graph&amp;tracks=[key:gene_model_track,Options:GeneOnly]&amp;mk=915615:915634|offset_13|444444,915591:915610|offset_37|00cc00,915567:915586|offset_61|444444,915519:915538|offset_109|444444&amp;v=915414:915738&amp;c=444444", "offset 37")</f>
        <v>offset 37</v>
      </c>
    </row>
    <row r="3117" customFormat="false" ht="12.8" hidden="false" customHeight="false" outlineLevel="0" collapsed="false">
      <c r="A3117" s="0" t="s">
        <v>12</v>
      </c>
      <c r="B3117" s="0" t="n">
        <v>915566</v>
      </c>
      <c r="C3117" s="0" t="n">
        <v>915586</v>
      </c>
      <c r="D3117" s="0" t="s">
        <v>10417</v>
      </c>
      <c r="E3117" s="0" t="s">
        <v>10418</v>
      </c>
      <c r="F3117" s="0" t="s">
        <v>90</v>
      </c>
      <c r="G3117" s="0" t="s">
        <v>36</v>
      </c>
      <c r="H3117" s="0" t="n">
        <v>61</v>
      </c>
      <c r="I3117" s="0" t="s">
        <v>10425</v>
      </c>
      <c r="J3117" s="0" t="s">
        <v>10426</v>
      </c>
      <c r="K3117" s="0" t="s">
        <v>10427</v>
      </c>
      <c r="L3117" s="0" t="str">
        <f aca="false">HYPERLINK("https://www.ncbi.nlm.nih.gov/nuccore/CP000304.1?report=graph&amp;tracks=[key:gene_model_track,Options:GeneOnly]&amp;mk=915615:915634|offset_13|444444,915591:915610|offset_37|444444,915567:915586|offset_61|00cc00,915519:915538|offset_109|444444&amp;v=915414:915738&amp;c=444444", "offset 61")</f>
        <v>offset 61</v>
      </c>
    </row>
    <row r="3118" customFormat="false" ht="12.8" hidden="false" customHeight="false" outlineLevel="0" collapsed="false">
      <c r="A3118" s="0" t="s">
        <v>12</v>
      </c>
      <c r="B3118" s="0" t="n">
        <v>915518</v>
      </c>
      <c r="C3118" s="0" t="n">
        <v>915538</v>
      </c>
      <c r="D3118" s="0" t="s">
        <v>10417</v>
      </c>
      <c r="E3118" s="0" t="s">
        <v>10418</v>
      </c>
      <c r="F3118" s="0" t="s">
        <v>90</v>
      </c>
      <c r="G3118" s="0" t="s">
        <v>16</v>
      </c>
      <c r="H3118" s="0" t="n">
        <v>109</v>
      </c>
      <c r="I3118" s="0" t="s">
        <v>10428</v>
      </c>
      <c r="J3118" s="0" t="s">
        <v>10429</v>
      </c>
      <c r="K3118" s="0" t="s">
        <v>10430</v>
      </c>
      <c r="L3118" s="0" t="str">
        <f aca="false">HYPERLINK("https://www.ncbi.nlm.nih.gov/nuccore/CP000304.1?report=graph&amp;tracks=[key:gene_model_track,Options:GeneOnly]&amp;mk=915615:915634|offset_13|444444,915591:915610|offset_37|444444,915567:915586|offset_61|444444,915519:915538|offset_109|00cc00&amp;v=915414:915738&amp;c=444444", "offset 109")</f>
        <v>offset 109</v>
      </c>
    </row>
    <row r="3119" customFormat="false" ht="12.8" hidden="false" customHeight="false" outlineLevel="0" collapsed="false">
      <c r="A3119" s="0" t="s">
        <v>12</v>
      </c>
      <c r="B3119" s="0" t="n">
        <v>915832</v>
      </c>
      <c r="C3119" s="0" t="n">
        <v>915852</v>
      </c>
      <c r="D3119" s="0" t="s">
        <v>10431</v>
      </c>
      <c r="E3119" s="0" t="s">
        <v>89</v>
      </c>
      <c r="F3119" s="0" t="s">
        <v>15</v>
      </c>
      <c r="G3119" s="0" t="s">
        <v>32</v>
      </c>
      <c r="H3119" s="0" t="n">
        <v>1</v>
      </c>
      <c r="I3119" s="0" t="s">
        <v>10432</v>
      </c>
      <c r="J3119" s="0" t="s">
        <v>10433</v>
      </c>
      <c r="K3119" s="0" t="s">
        <v>10434</v>
      </c>
      <c r="L3119" s="0" t="str">
        <f aca="false">HYPERLINK("https://www.ncbi.nlm.nih.gov/nuccore/CP000304.1?report=graph&amp;tracks=[key:gene_model_track,Options:GeneOnly]&amp;mk=915833:915852|offset_1|00cc00,915855:915874|offset_23|444444,915877:915896|offset_45|444444,915911:915930|offset_79|444444&amp;v=915632:916130&amp;c=444444", "offset 1")</f>
        <v>offset 1</v>
      </c>
    </row>
    <row r="3120" customFormat="false" ht="12.8" hidden="false" customHeight="false" outlineLevel="0" collapsed="false">
      <c r="A3120" s="0" t="s">
        <v>12</v>
      </c>
      <c r="B3120" s="0" t="n">
        <v>915854</v>
      </c>
      <c r="C3120" s="0" t="n">
        <v>915874</v>
      </c>
      <c r="D3120" s="0" t="s">
        <v>10431</v>
      </c>
      <c r="E3120" s="0" t="s">
        <v>89</v>
      </c>
      <c r="F3120" s="0" t="s">
        <v>15</v>
      </c>
      <c r="G3120" s="0" t="s">
        <v>26</v>
      </c>
      <c r="H3120" s="0" t="n">
        <v>23</v>
      </c>
      <c r="I3120" s="0" t="s">
        <v>10435</v>
      </c>
      <c r="J3120" s="0" t="s">
        <v>10436</v>
      </c>
      <c r="K3120" s="0" t="s">
        <v>10437</v>
      </c>
      <c r="L3120" s="0" t="str">
        <f aca="false">HYPERLINK("https://www.ncbi.nlm.nih.gov/nuccore/CP000304.1?report=graph&amp;tracks=[key:gene_model_track,Options:GeneOnly]&amp;mk=915833:915852|offset_1|444444,915855:915874|offset_23|00cc00,915877:915896|offset_45|444444,915911:915930|offset_79|444444&amp;v=915632:916130&amp;c=444444", "offset 23")</f>
        <v>offset 23</v>
      </c>
    </row>
    <row r="3121" customFormat="false" ht="12.8" hidden="false" customHeight="false" outlineLevel="0" collapsed="false">
      <c r="A3121" s="0" t="s">
        <v>12</v>
      </c>
      <c r="B3121" s="0" t="n">
        <v>915876</v>
      </c>
      <c r="C3121" s="0" t="n">
        <v>915896</v>
      </c>
      <c r="D3121" s="0" t="s">
        <v>10431</v>
      </c>
      <c r="E3121" s="0" t="s">
        <v>89</v>
      </c>
      <c r="F3121" s="0" t="s">
        <v>15</v>
      </c>
      <c r="G3121" s="0" t="s">
        <v>16</v>
      </c>
      <c r="H3121" s="0" t="n">
        <v>45</v>
      </c>
      <c r="I3121" s="0" t="s">
        <v>10438</v>
      </c>
      <c r="J3121" s="0" t="s">
        <v>10439</v>
      </c>
      <c r="K3121" s="0" t="s">
        <v>10440</v>
      </c>
      <c r="L3121" s="0" t="str">
        <f aca="false">HYPERLINK("https://www.ncbi.nlm.nih.gov/nuccore/CP000304.1?report=graph&amp;tracks=[key:gene_model_track,Options:GeneOnly]&amp;mk=915833:915852|offset_1|444444,915855:915874|offset_23|444444,915877:915896|offset_45|00cc00,915911:915930|offset_79|444444&amp;v=915632:916130&amp;c=444444", "offset 45")</f>
        <v>offset 45</v>
      </c>
    </row>
    <row r="3122" customFormat="false" ht="12.8" hidden="false" customHeight="false" outlineLevel="0" collapsed="false">
      <c r="A3122" s="0" t="s">
        <v>12</v>
      </c>
      <c r="B3122" s="0" t="n">
        <v>915910</v>
      </c>
      <c r="C3122" s="0" t="n">
        <v>915930</v>
      </c>
      <c r="D3122" s="0" t="s">
        <v>10431</v>
      </c>
      <c r="E3122" s="0" t="s">
        <v>89</v>
      </c>
      <c r="F3122" s="0" t="s">
        <v>15</v>
      </c>
      <c r="G3122" s="0" t="s">
        <v>16</v>
      </c>
      <c r="H3122" s="0" t="n">
        <v>79</v>
      </c>
      <c r="I3122" s="0" t="s">
        <v>10441</v>
      </c>
      <c r="J3122" s="0" t="s">
        <v>10442</v>
      </c>
      <c r="K3122" s="0" t="s">
        <v>10443</v>
      </c>
      <c r="L3122" s="0" t="str">
        <f aca="false">HYPERLINK("https://www.ncbi.nlm.nih.gov/nuccore/CP000304.1?report=graph&amp;tracks=[key:gene_model_track,Options:GeneOnly]&amp;mk=915833:915852|offset_1|444444,915855:915874|offset_23|444444,915877:915896|offset_45|444444,915911:915930|offset_79|00cc00&amp;v=915632:916130&amp;c=444444", "offset 79")</f>
        <v>offset 79</v>
      </c>
    </row>
    <row r="3123" customFormat="false" ht="12.8" hidden="false" customHeight="false" outlineLevel="0" collapsed="false">
      <c r="A3123" s="0" t="s">
        <v>12</v>
      </c>
      <c r="B3123" s="0" t="n">
        <v>916621</v>
      </c>
      <c r="C3123" s="0" t="n">
        <v>916641</v>
      </c>
      <c r="D3123" s="0" t="s">
        <v>10444</v>
      </c>
      <c r="E3123" s="0" t="s">
        <v>89</v>
      </c>
      <c r="F3123" s="0" t="s">
        <v>15</v>
      </c>
      <c r="G3123" s="0" t="s">
        <v>16</v>
      </c>
      <c r="H3123" s="0" t="n">
        <v>8</v>
      </c>
      <c r="I3123" s="0" t="s">
        <v>10445</v>
      </c>
      <c r="J3123" s="0" t="s">
        <v>10446</v>
      </c>
      <c r="K3123" s="0" t="s">
        <v>10447</v>
      </c>
      <c r="L3123" s="0" t="str">
        <f aca="false">HYPERLINK("https://www.ncbi.nlm.nih.gov/nuccore/CP000304.1?report=graph&amp;tracks=[key:gene_model_track,Options:GeneOnly]&amp;mk=916622:916641|offset_8|00cc00,916656:916675|offset_42|444444,916680:916699|offset_66|444444,916721:916740|offset_107|444444&amp;v=916421:916940&amp;c=444444", "offset 8")</f>
        <v>offset 8</v>
      </c>
    </row>
    <row r="3124" customFormat="false" ht="12.8" hidden="false" customHeight="false" outlineLevel="0" collapsed="false">
      <c r="A3124" s="0" t="s">
        <v>12</v>
      </c>
      <c r="B3124" s="0" t="n">
        <v>916655</v>
      </c>
      <c r="C3124" s="0" t="n">
        <v>916675</v>
      </c>
      <c r="D3124" s="0" t="s">
        <v>10444</v>
      </c>
      <c r="E3124" s="0" t="s">
        <v>89</v>
      </c>
      <c r="F3124" s="0" t="s">
        <v>15</v>
      </c>
      <c r="G3124" s="0" t="s">
        <v>16</v>
      </c>
      <c r="H3124" s="0" t="n">
        <v>42</v>
      </c>
      <c r="I3124" s="0" t="s">
        <v>10448</v>
      </c>
      <c r="J3124" s="0" t="s">
        <v>10449</v>
      </c>
      <c r="K3124" s="0" t="s">
        <v>10450</v>
      </c>
      <c r="L3124" s="0" t="str">
        <f aca="false">HYPERLINK("https://www.ncbi.nlm.nih.gov/nuccore/CP000304.1?report=graph&amp;tracks=[key:gene_model_track,Options:GeneOnly]&amp;mk=916622:916641|offset_8|444444,916656:916675|offset_42|00cc00,916680:916699|offset_66|444444,916721:916740|offset_107|444444&amp;v=916421:916940&amp;c=444444", "offset 42")</f>
        <v>offset 42</v>
      </c>
    </row>
    <row r="3125" customFormat="false" ht="12.8" hidden="false" customHeight="false" outlineLevel="0" collapsed="false">
      <c r="A3125" s="0" t="s">
        <v>12</v>
      </c>
      <c r="B3125" s="0" t="n">
        <v>916679</v>
      </c>
      <c r="C3125" s="0" t="n">
        <v>916699</v>
      </c>
      <c r="D3125" s="0" t="s">
        <v>10444</v>
      </c>
      <c r="E3125" s="0" t="s">
        <v>89</v>
      </c>
      <c r="F3125" s="0" t="s">
        <v>15</v>
      </c>
      <c r="G3125" s="0" t="s">
        <v>16</v>
      </c>
      <c r="H3125" s="0" t="n">
        <v>66</v>
      </c>
      <c r="I3125" s="0" t="s">
        <v>10451</v>
      </c>
      <c r="J3125" s="0" t="s">
        <v>10452</v>
      </c>
      <c r="K3125" s="0" t="s">
        <v>10453</v>
      </c>
      <c r="L3125" s="0" t="str">
        <f aca="false">HYPERLINK("https://www.ncbi.nlm.nih.gov/nuccore/CP000304.1?report=graph&amp;tracks=[key:gene_model_track,Options:GeneOnly]&amp;mk=916622:916641|offset_8|444444,916656:916675|offset_42|444444,916680:916699|offset_66|00cc00,916721:916740|offset_107|444444&amp;v=916421:916940&amp;c=444444", "offset 66")</f>
        <v>offset 66</v>
      </c>
    </row>
    <row r="3126" customFormat="false" ht="12.8" hidden="false" customHeight="false" outlineLevel="0" collapsed="false">
      <c r="A3126" s="0" t="s">
        <v>12</v>
      </c>
      <c r="B3126" s="0" t="n">
        <v>916720</v>
      </c>
      <c r="C3126" s="0" t="n">
        <v>916740</v>
      </c>
      <c r="D3126" s="0" t="s">
        <v>10444</v>
      </c>
      <c r="E3126" s="0" t="s">
        <v>89</v>
      </c>
      <c r="F3126" s="0" t="s">
        <v>15</v>
      </c>
      <c r="G3126" s="0" t="s">
        <v>16</v>
      </c>
      <c r="H3126" s="0" t="n">
        <v>107</v>
      </c>
      <c r="I3126" s="0" t="s">
        <v>10454</v>
      </c>
      <c r="J3126" s="0" t="s">
        <v>10455</v>
      </c>
      <c r="K3126" s="0" t="s">
        <v>10456</v>
      </c>
      <c r="L3126" s="0" t="str">
        <f aca="false">HYPERLINK("https://www.ncbi.nlm.nih.gov/nuccore/CP000304.1?report=graph&amp;tracks=[key:gene_model_track,Options:GeneOnly]&amp;mk=916622:916641|offset_8|444444,916656:916675|offset_42|444444,916680:916699|offset_66|444444,916721:916740|offset_107|00cc00&amp;v=916421:916940&amp;c=444444", "offset 107")</f>
        <v>offset 107</v>
      </c>
    </row>
    <row r="3127" customFormat="false" ht="12.8" hidden="false" customHeight="false" outlineLevel="0" collapsed="false">
      <c r="A3127" s="0" t="s">
        <v>12</v>
      </c>
      <c r="B3127" s="0" t="n">
        <v>918022</v>
      </c>
      <c r="C3127" s="0" t="n">
        <v>918042</v>
      </c>
      <c r="D3127" s="0" t="s">
        <v>10457</v>
      </c>
      <c r="E3127" s="0" t="s">
        <v>10458</v>
      </c>
      <c r="F3127" s="0" t="s">
        <v>15</v>
      </c>
      <c r="G3127" s="0" t="s">
        <v>16</v>
      </c>
      <c r="H3127" s="0" t="n">
        <v>70</v>
      </c>
      <c r="I3127" s="0" t="s">
        <v>10459</v>
      </c>
      <c r="J3127" s="0" t="s">
        <v>10460</v>
      </c>
      <c r="K3127" s="0" t="s">
        <v>10461</v>
      </c>
      <c r="L3127" s="0" t="str">
        <f aca="false">HYPERLINK("https://www.ncbi.nlm.nih.gov/nuccore/CP000304.1?report=graph&amp;tracks=[key:gene_model_track,Options:GeneOnly]&amp;mk=918023:918042|offset_70|00cc00,918053:918072|offset_100|444444,918093:918112|offset_140|444444,918118:918137|offset_165|444444&amp;v=917822:918337&amp;c=444444", "offset 70")</f>
        <v>offset 70</v>
      </c>
    </row>
    <row r="3128" customFormat="false" ht="12.8" hidden="false" customHeight="false" outlineLevel="0" collapsed="false">
      <c r="A3128" s="0" t="s">
        <v>12</v>
      </c>
      <c r="B3128" s="0" t="n">
        <v>918052</v>
      </c>
      <c r="C3128" s="0" t="n">
        <v>918072</v>
      </c>
      <c r="D3128" s="0" t="s">
        <v>10457</v>
      </c>
      <c r="E3128" s="0" t="s">
        <v>10458</v>
      </c>
      <c r="F3128" s="0" t="s">
        <v>15</v>
      </c>
      <c r="G3128" s="0" t="s">
        <v>16</v>
      </c>
      <c r="H3128" s="0" t="n">
        <v>100</v>
      </c>
      <c r="I3128" s="0" t="s">
        <v>10462</v>
      </c>
      <c r="J3128" s="0" t="s">
        <v>10463</v>
      </c>
      <c r="K3128" s="0" t="s">
        <v>10464</v>
      </c>
      <c r="L3128" s="0" t="str">
        <f aca="false">HYPERLINK("https://www.ncbi.nlm.nih.gov/nuccore/CP000304.1?report=graph&amp;tracks=[key:gene_model_track,Options:GeneOnly]&amp;mk=918023:918042|offset_70|444444,918053:918072|offset_100|00cc00,918093:918112|offset_140|444444,918118:918137|offset_165|444444&amp;v=917822:918337&amp;c=444444", "offset 100")</f>
        <v>offset 100</v>
      </c>
    </row>
    <row r="3129" customFormat="false" ht="12.8" hidden="false" customHeight="false" outlineLevel="0" collapsed="false">
      <c r="A3129" s="0" t="s">
        <v>12</v>
      </c>
      <c r="B3129" s="0" t="n">
        <v>918092</v>
      </c>
      <c r="C3129" s="0" t="n">
        <v>918112</v>
      </c>
      <c r="D3129" s="0" t="s">
        <v>10457</v>
      </c>
      <c r="E3129" s="0" t="s">
        <v>10458</v>
      </c>
      <c r="F3129" s="0" t="s">
        <v>15</v>
      </c>
      <c r="G3129" s="0" t="s">
        <v>26</v>
      </c>
      <c r="H3129" s="0" t="n">
        <v>140</v>
      </c>
      <c r="I3129" s="0" t="s">
        <v>10465</v>
      </c>
      <c r="J3129" s="0" t="s">
        <v>10466</v>
      </c>
      <c r="K3129" s="0" t="s">
        <v>10467</v>
      </c>
      <c r="L3129" s="0" t="str">
        <f aca="false">HYPERLINK("https://www.ncbi.nlm.nih.gov/nuccore/CP000304.1?report=graph&amp;tracks=[key:gene_model_track,Options:GeneOnly]&amp;mk=918023:918042|offset_70|444444,918053:918072|offset_100|444444,918093:918112|offset_140|00cc00,918118:918137|offset_165|444444&amp;v=917822:918337&amp;c=444444", "offset 140")</f>
        <v>offset 140</v>
      </c>
    </row>
    <row r="3130" customFormat="false" ht="12.8" hidden="false" customHeight="false" outlineLevel="0" collapsed="false">
      <c r="A3130" s="0" t="s">
        <v>12</v>
      </c>
      <c r="B3130" s="0" t="n">
        <v>918117</v>
      </c>
      <c r="C3130" s="0" t="n">
        <v>918137</v>
      </c>
      <c r="D3130" s="0" t="s">
        <v>10457</v>
      </c>
      <c r="E3130" s="0" t="s">
        <v>10458</v>
      </c>
      <c r="F3130" s="0" t="s">
        <v>15</v>
      </c>
      <c r="G3130" s="0" t="s">
        <v>16</v>
      </c>
      <c r="H3130" s="0" t="n">
        <v>165</v>
      </c>
      <c r="I3130" s="0" t="s">
        <v>10468</v>
      </c>
      <c r="J3130" s="0" t="s">
        <v>10469</v>
      </c>
      <c r="K3130" s="0" t="s">
        <v>10470</v>
      </c>
      <c r="L3130" s="0" t="str">
        <f aca="false">HYPERLINK("https://www.ncbi.nlm.nih.gov/nuccore/CP000304.1?report=graph&amp;tracks=[key:gene_model_track,Options:GeneOnly]&amp;mk=918023:918042|offset_70|444444,918053:918072|offset_100|444444,918093:918112|offset_140|444444,918118:918137|offset_165|00cc00&amp;v=917822:918337&amp;c=444444", "offset 165")</f>
        <v>offset 165</v>
      </c>
    </row>
    <row r="3131" customFormat="false" ht="12.8" hidden="false" customHeight="false" outlineLevel="0" collapsed="false">
      <c r="A3131" s="0" t="s">
        <v>12</v>
      </c>
      <c r="B3131" s="0" t="n">
        <v>918529</v>
      </c>
      <c r="C3131" s="0" t="n">
        <v>918549</v>
      </c>
      <c r="D3131" s="0" t="s">
        <v>10471</v>
      </c>
      <c r="E3131" s="0" t="s">
        <v>10472</v>
      </c>
      <c r="F3131" s="0" t="s">
        <v>15</v>
      </c>
      <c r="G3131" s="0" t="s">
        <v>32</v>
      </c>
      <c r="H3131" s="0" t="n">
        <v>14</v>
      </c>
      <c r="I3131" s="0" t="s">
        <v>10473</v>
      </c>
      <c r="J3131" s="0" t="s">
        <v>10474</v>
      </c>
      <c r="K3131" s="0" t="s">
        <v>10475</v>
      </c>
      <c r="L3131" s="0" t="str">
        <f aca="false">HYPERLINK("https://www.ncbi.nlm.nih.gov/nuccore/CP000304.1?report=graph&amp;tracks=[key:gene_model_track,Options:GeneOnly]&amp;mk=918530:918549|offset_14|00cc00,918553:918572|offset_37|444444,918616:918635|offset_100|444444,918656:918675|offset_140|444444&amp;v=918329:918875&amp;c=444444", "offset 14")</f>
        <v>offset 14</v>
      </c>
    </row>
    <row r="3132" customFormat="false" ht="12.8" hidden="false" customHeight="false" outlineLevel="0" collapsed="false">
      <c r="A3132" s="0" t="s">
        <v>12</v>
      </c>
      <c r="B3132" s="0" t="n">
        <v>918552</v>
      </c>
      <c r="C3132" s="0" t="n">
        <v>918572</v>
      </c>
      <c r="D3132" s="0" t="s">
        <v>10471</v>
      </c>
      <c r="E3132" s="0" t="s">
        <v>10472</v>
      </c>
      <c r="F3132" s="0" t="s">
        <v>15</v>
      </c>
      <c r="G3132" s="0" t="s">
        <v>16</v>
      </c>
      <c r="H3132" s="0" t="n">
        <v>37</v>
      </c>
      <c r="I3132" s="0" t="s">
        <v>10476</v>
      </c>
      <c r="J3132" s="0" t="s">
        <v>10477</v>
      </c>
      <c r="K3132" s="0" t="s">
        <v>10478</v>
      </c>
      <c r="L3132" s="0" t="str">
        <f aca="false">HYPERLINK("https://www.ncbi.nlm.nih.gov/nuccore/CP000304.1?report=graph&amp;tracks=[key:gene_model_track,Options:GeneOnly]&amp;mk=918530:918549|offset_14|444444,918553:918572|offset_37|00cc00,918616:918635|offset_100|444444,918656:918675|offset_140|444444&amp;v=918329:918875&amp;c=444444", "offset 37")</f>
        <v>offset 37</v>
      </c>
    </row>
    <row r="3133" customFormat="false" ht="12.8" hidden="false" customHeight="false" outlineLevel="0" collapsed="false">
      <c r="A3133" s="0" t="s">
        <v>12</v>
      </c>
      <c r="B3133" s="0" t="n">
        <v>918615</v>
      </c>
      <c r="C3133" s="0" t="n">
        <v>918635</v>
      </c>
      <c r="D3133" s="0" t="s">
        <v>10471</v>
      </c>
      <c r="E3133" s="0" t="s">
        <v>10472</v>
      </c>
      <c r="F3133" s="0" t="s">
        <v>15</v>
      </c>
      <c r="G3133" s="0" t="s">
        <v>32</v>
      </c>
      <c r="H3133" s="0" t="n">
        <v>100</v>
      </c>
      <c r="I3133" s="0" t="s">
        <v>10479</v>
      </c>
      <c r="J3133" s="0" t="s">
        <v>10480</v>
      </c>
      <c r="K3133" s="0" t="s">
        <v>10481</v>
      </c>
      <c r="L3133" s="0" t="str">
        <f aca="false">HYPERLINK("https://www.ncbi.nlm.nih.gov/nuccore/CP000304.1?report=graph&amp;tracks=[key:gene_model_track,Options:GeneOnly]&amp;mk=918530:918549|offset_14|444444,918553:918572|offset_37|444444,918616:918635|offset_100|00cc00,918656:918675|offset_140|444444&amp;v=918329:918875&amp;c=444444", "offset 100")</f>
        <v>offset 100</v>
      </c>
    </row>
    <row r="3134" customFormat="false" ht="12.8" hidden="false" customHeight="false" outlineLevel="0" collapsed="false">
      <c r="A3134" s="0" t="s">
        <v>12</v>
      </c>
      <c r="B3134" s="0" t="n">
        <v>918655</v>
      </c>
      <c r="C3134" s="0" t="n">
        <v>918675</v>
      </c>
      <c r="D3134" s="0" t="s">
        <v>10471</v>
      </c>
      <c r="E3134" s="0" t="s">
        <v>10472</v>
      </c>
      <c r="F3134" s="0" t="s">
        <v>15</v>
      </c>
      <c r="G3134" s="0" t="s">
        <v>36</v>
      </c>
      <c r="H3134" s="0" t="n">
        <v>140</v>
      </c>
      <c r="I3134" s="0" t="s">
        <v>10482</v>
      </c>
      <c r="J3134" s="0" t="s">
        <v>10483</v>
      </c>
      <c r="K3134" s="0" t="s">
        <v>10484</v>
      </c>
      <c r="L3134" s="0" t="str">
        <f aca="false">HYPERLINK("https://www.ncbi.nlm.nih.gov/nuccore/CP000304.1?report=graph&amp;tracks=[key:gene_model_track,Options:GeneOnly]&amp;mk=918530:918549|offset_14|444444,918553:918572|offset_37|444444,918616:918635|offset_100|444444,918656:918675|offset_140|00cc00&amp;v=918329:918875&amp;c=444444", "offset 140")</f>
        <v>offset 140</v>
      </c>
    </row>
    <row r="3135" customFormat="false" ht="12.8" hidden="false" customHeight="false" outlineLevel="0" collapsed="false">
      <c r="A3135" s="0" t="s">
        <v>12</v>
      </c>
      <c r="B3135" s="0" t="n">
        <v>918931</v>
      </c>
      <c r="C3135" s="0" t="n">
        <v>918951</v>
      </c>
      <c r="D3135" s="0" t="s">
        <v>10485</v>
      </c>
      <c r="E3135" s="0" t="s">
        <v>89</v>
      </c>
      <c r="F3135" s="0" t="s">
        <v>15</v>
      </c>
      <c r="G3135" s="0" t="s">
        <v>16</v>
      </c>
      <c r="H3135" s="0" t="n">
        <v>9</v>
      </c>
      <c r="I3135" s="0" t="s">
        <v>10486</v>
      </c>
      <c r="J3135" s="0" t="s">
        <v>10487</v>
      </c>
      <c r="K3135" s="0" t="s">
        <v>10488</v>
      </c>
      <c r="L3135" s="0" t="str">
        <f aca="false">HYPERLINK("https://www.ncbi.nlm.nih.gov/nuccore/CP000304.1?report=graph&amp;tracks=[key:gene_model_track,Options:GeneOnly]&amp;mk=918932:918951|offset_9|00cc00,918996:919015|offset_73|444444,919019:919038|offset_96|444444,919045:919064|offset_122|444444&amp;v=918731:919264&amp;c=444444", "offset 9")</f>
        <v>offset 9</v>
      </c>
    </row>
    <row r="3136" customFormat="false" ht="12.8" hidden="false" customHeight="false" outlineLevel="0" collapsed="false">
      <c r="A3136" s="0" t="s">
        <v>12</v>
      </c>
      <c r="B3136" s="0" t="n">
        <v>918995</v>
      </c>
      <c r="C3136" s="0" t="n">
        <v>919015</v>
      </c>
      <c r="D3136" s="0" t="s">
        <v>10485</v>
      </c>
      <c r="E3136" s="0" t="s">
        <v>89</v>
      </c>
      <c r="F3136" s="0" t="s">
        <v>15</v>
      </c>
      <c r="G3136" s="0" t="s">
        <v>36</v>
      </c>
      <c r="H3136" s="0" t="n">
        <v>73</v>
      </c>
      <c r="I3136" s="0" t="s">
        <v>10489</v>
      </c>
      <c r="J3136" s="0" t="s">
        <v>10490</v>
      </c>
      <c r="K3136" s="0" t="s">
        <v>10491</v>
      </c>
      <c r="L3136" s="0" t="str">
        <f aca="false">HYPERLINK("https://www.ncbi.nlm.nih.gov/nuccore/CP000304.1?report=graph&amp;tracks=[key:gene_model_track,Options:GeneOnly]&amp;mk=918932:918951|offset_9|444444,918996:919015|offset_73|00cc00,919019:919038|offset_96|444444,919045:919064|offset_122|444444&amp;v=918731:919264&amp;c=444444", "offset 73")</f>
        <v>offset 73</v>
      </c>
    </row>
    <row r="3137" customFormat="false" ht="12.8" hidden="false" customHeight="false" outlineLevel="0" collapsed="false">
      <c r="A3137" s="0" t="s">
        <v>12</v>
      </c>
      <c r="B3137" s="0" t="n">
        <v>919018</v>
      </c>
      <c r="C3137" s="0" t="n">
        <v>919038</v>
      </c>
      <c r="D3137" s="0" t="s">
        <v>10485</v>
      </c>
      <c r="E3137" s="0" t="s">
        <v>89</v>
      </c>
      <c r="F3137" s="0" t="s">
        <v>15</v>
      </c>
      <c r="G3137" s="0" t="s">
        <v>32</v>
      </c>
      <c r="H3137" s="0" t="n">
        <v>96</v>
      </c>
      <c r="I3137" s="0" t="s">
        <v>10492</v>
      </c>
      <c r="J3137" s="0" t="s">
        <v>10493</v>
      </c>
      <c r="K3137" s="0" t="s">
        <v>10494</v>
      </c>
      <c r="L3137" s="0" t="str">
        <f aca="false">HYPERLINK("https://www.ncbi.nlm.nih.gov/nuccore/CP000304.1?report=graph&amp;tracks=[key:gene_model_track,Options:GeneOnly]&amp;mk=918932:918951|offset_9|444444,918996:919015|offset_73|444444,919019:919038|offset_96|00cc00,919045:919064|offset_122|444444&amp;v=918731:919264&amp;c=444444", "offset 96")</f>
        <v>offset 96</v>
      </c>
    </row>
    <row r="3138" customFormat="false" ht="12.8" hidden="false" customHeight="false" outlineLevel="0" collapsed="false">
      <c r="A3138" s="0" t="s">
        <v>12</v>
      </c>
      <c r="B3138" s="0" t="n">
        <v>919044</v>
      </c>
      <c r="C3138" s="0" t="n">
        <v>919064</v>
      </c>
      <c r="D3138" s="0" t="s">
        <v>10485</v>
      </c>
      <c r="E3138" s="0" t="s">
        <v>89</v>
      </c>
      <c r="F3138" s="0" t="s">
        <v>15</v>
      </c>
      <c r="G3138" s="0" t="s">
        <v>36</v>
      </c>
      <c r="H3138" s="0" t="n">
        <v>122</v>
      </c>
      <c r="I3138" s="0" t="s">
        <v>10495</v>
      </c>
      <c r="J3138" s="0" t="s">
        <v>10496</v>
      </c>
      <c r="K3138" s="0" t="s">
        <v>10497</v>
      </c>
      <c r="L3138" s="0" t="str">
        <f aca="false">HYPERLINK("https://www.ncbi.nlm.nih.gov/nuccore/CP000304.1?report=graph&amp;tracks=[key:gene_model_track,Options:GeneOnly]&amp;mk=918932:918951|offset_9|444444,918996:919015|offset_73|444444,919019:919038|offset_96|444444,919045:919064|offset_122|00cc00&amp;v=918731:919264&amp;c=444444", "offset 122")</f>
        <v>offset 122</v>
      </c>
    </row>
    <row r="3139" customFormat="false" ht="12.8" hidden="false" customHeight="false" outlineLevel="0" collapsed="false">
      <c r="A3139" s="0" t="s">
        <v>12</v>
      </c>
      <c r="B3139" s="0" t="n">
        <v>919665</v>
      </c>
      <c r="C3139" s="0" t="n">
        <v>919685</v>
      </c>
      <c r="D3139" s="0" t="s">
        <v>10498</v>
      </c>
      <c r="E3139" s="0" t="s">
        <v>89</v>
      </c>
      <c r="F3139" s="0" t="s">
        <v>15</v>
      </c>
      <c r="G3139" s="0" t="s">
        <v>36</v>
      </c>
      <c r="H3139" s="0" t="n">
        <v>28</v>
      </c>
      <c r="I3139" s="0" t="s">
        <v>10499</v>
      </c>
      <c r="J3139" s="0" t="s">
        <v>10500</v>
      </c>
      <c r="K3139" s="0" t="s">
        <v>10501</v>
      </c>
      <c r="L3139" s="0" t="str">
        <f aca="false">HYPERLINK("https://www.ncbi.nlm.nih.gov/nuccore/CP000304.1?report=graph&amp;tracks=[key:gene_model_track,Options:GeneOnly]&amp;mk=919666:919685|offset_28|00cc00,919688:919707|offset_50|444444,919709:919728|offset_71|444444,919744:919763|offset_106|444444&amp;v=919465:919963&amp;c=444444", "offset 28")</f>
        <v>offset 28</v>
      </c>
    </row>
    <row r="3140" customFormat="false" ht="12.8" hidden="false" customHeight="false" outlineLevel="0" collapsed="false">
      <c r="A3140" s="0" t="s">
        <v>12</v>
      </c>
      <c r="B3140" s="0" t="n">
        <v>919687</v>
      </c>
      <c r="C3140" s="0" t="n">
        <v>919707</v>
      </c>
      <c r="D3140" s="0" t="s">
        <v>10498</v>
      </c>
      <c r="E3140" s="0" t="s">
        <v>89</v>
      </c>
      <c r="F3140" s="0" t="s">
        <v>15</v>
      </c>
      <c r="G3140" s="0" t="s">
        <v>32</v>
      </c>
      <c r="H3140" s="0" t="n">
        <v>50</v>
      </c>
      <c r="I3140" s="0" t="s">
        <v>10502</v>
      </c>
      <c r="J3140" s="0" t="s">
        <v>10503</v>
      </c>
      <c r="K3140" s="0" t="s">
        <v>10504</v>
      </c>
      <c r="L3140" s="0" t="str">
        <f aca="false">HYPERLINK("https://www.ncbi.nlm.nih.gov/nuccore/CP000304.1?report=graph&amp;tracks=[key:gene_model_track,Options:GeneOnly]&amp;mk=919666:919685|offset_28|444444,919688:919707|offset_50|00cc00,919709:919728|offset_71|444444,919744:919763|offset_106|444444&amp;v=919465:919963&amp;c=444444", "offset 50")</f>
        <v>offset 50</v>
      </c>
    </row>
    <row r="3141" customFormat="false" ht="12.8" hidden="false" customHeight="false" outlineLevel="0" collapsed="false">
      <c r="A3141" s="0" t="s">
        <v>12</v>
      </c>
      <c r="B3141" s="0" t="n">
        <v>919708</v>
      </c>
      <c r="C3141" s="0" t="n">
        <v>919728</v>
      </c>
      <c r="D3141" s="0" t="s">
        <v>10498</v>
      </c>
      <c r="E3141" s="0" t="s">
        <v>89</v>
      </c>
      <c r="F3141" s="0" t="s">
        <v>15</v>
      </c>
      <c r="G3141" s="0" t="s">
        <v>36</v>
      </c>
      <c r="H3141" s="0" t="n">
        <v>71</v>
      </c>
      <c r="I3141" s="0" t="s">
        <v>10505</v>
      </c>
      <c r="J3141" s="0" t="s">
        <v>10506</v>
      </c>
      <c r="K3141" s="0" t="s">
        <v>10507</v>
      </c>
      <c r="L3141" s="0" t="str">
        <f aca="false">HYPERLINK("https://www.ncbi.nlm.nih.gov/nuccore/CP000304.1?report=graph&amp;tracks=[key:gene_model_track,Options:GeneOnly]&amp;mk=919666:919685|offset_28|444444,919688:919707|offset_50|444444,919709:919728|offset_71|00cc00,919744:919763|offset_106|444444&amp;v=919465:919963&amp;c=444444", "offset 71")</f>
        <v>offset 71</v>
      </c>
    </row>
    <row r="3142" customFormat="false" ht="12.8" hidden="false" customHeight="false" outlineLevel="0" collapsed="false">
      <c r="A3142" s="0" t="s">
        <v>12</v>
      </c>
      <c r="B3142" s="0" t="n">
        <v>919743</v>
      </c>
      <c r="C3142" s="0" t="n">
        <v>919763</v>
      </c>
      <c r="D3142" s="0" t="s">
        <v>10498</v>
      </c>
      <c r="E3142" s="0" t="s">
        <v>89</v>
      </c>
      <c r="F3142" s="0" t="s">
        <v>15</v>
      </c>
      <c r="G3142" s="0" t="s">
        <v>16</v>
      </c>
      <c r="H3142" s="0" t="n">
        <v>106</v>
      </c>
      <c r="I3142" s="0" t="s">
        <v>10508</v>
      </c>
      <c r="J3142" s="0" t="s">
        <v>10509</v>
      </c>
      <c r="K3142" s="0" t="s">
        <v>10510</v>
      </c>
      <c r="L3142" s="0" t="str">
        <f aca="false">HYPERLINK("https://www.ncbi.nlm.nih.gov/nuccore/CP000304.1?report=graph&amp;tracks=[key:gene_model_track,Options:GeneOnly]&amp;mk=919666:919685|offset_28|444444,919688:919707|offset_50|444444,919709:919728|offset_71|444444,919744:919763|offset_106|00cc00&amp;v=919465:919963&amp;c=444444", "offset 106")</f>
        <v>offset 106</v>
      </c>
    </row>
    <row r="3143" customFormat="false" ht="12.8" hidden="false" customHeight="false" outlineLevel="0" collapsed="false">
      <c r="A3143" s="0" t="s">
        <v>12</v>
      </c>
      <c r="B3143" s="0" t="n">
        <v>921273</v>
      </c>
      <c r="C3143" s="0" t="n">
        <v>921293</v>
      </c>
      <c r="D3143" s="0" t="s">
        <v>10511</v>
      </c>
      <c r="E3143" s="0" t="s">
        <v>89</v>
      </c>
      <c r="F3143" s="0" t="s">
        <v>90</v>
      </c>
      <c r="G3143" s="0" t="s">
        <v>36</v>
      </c>
      <c r="H3143" s="0" t="n">
        <v>12</v>
      </c>
      <c r="I3143" s="0" t="s">
        <v>10512</v>
      </c>
      <c r="J3143" s="0" t="s">
        <v>10513</v>
      </c>
      <c r="K3143" s="0" t="s">
        <v>10514</v>
      </c>
      <c r="L3143" s="0" t="str">
        <f aca="false">HYPERLINK("https://www.ncbi.nlm.nih.gov/nuccore/CP000304.1?report=graph&amp;tracks=[key:gene_model_track,Options:GeneOnly]&amp;mk=921274:921293|offset_12|00cc00,921252:921271|offset_34|444444,921229:921248|offset_57|444444,921209:921228|offset_77|444444&amp;v=921073:921428&amp;c=444444", "offset 12")</f>
        <v>offset 12</v>
      </c>
    </row>
    <row r="3144" customFormat="false" ht="12.8" hidden="false" customHeight="false" outlineLevel="0" collapsed="false">
      <c r="A3144" s="0" t="s">
        <v>12</v>
      </c>
      <c r="B3144" s="0" t="n">
        <v>921251</v>
      </c>
      <c r="C3144" s="0" t="n">
        <v>921271</v>
      </c>
      <c r="D3144" s="0" t="s">
        <v>10511</v>
      </c>
      <c r="E3144" s="0" t="s">
        <v>89</v>
      </c>
      <c r="F3144" s="0" t="s">
        <v>90</v>
      </c>
      <c r="G3144" s="0" t="s">
        <v>36</v>
      </c>
      <c r="H3144" s="0" t="n">
        <v>34</v>
      </c>
      <c r="I3144" s="0" t="s">
        <v>10515</v>
      </c>
      <c r="J3144" s="0" t="s">
        <v>10516</v>
      </c>
      <c r="K3144" s="0" t="s">
        <v>10517</v>
      </c>
      <c r="L3144" s="0" t="str">
        <f aca="false">HYPERLINK("https://www.ncbi.nlm.nih.gov/nuccore/CP000304.1?report=graph&amp;tracks=[key:gene_model_track,Options:GeneOnly]&amp;mk=921274:921293|offset_12|444444,921252:921271|offset_34|00cc00,921229:921248|offset_57|444444,921209:921228|offset_77|444444&amp;v=921073:921428&amp;c=444444", "offset 34")</f>
        <v>offset 34</v>
      </c>
    </row>
    <row r="3145" customFormat="false" ht="12.8" hidden="false" customHeight="false" outlineLevel="0" collapsed="false">
      <c r="A3145" s="0" t="s">
        <v>12</v>
      </c>
      <c r="B3145" s="0" t="n">
        <v>921228</v>
      </c>
      <c r="C3145" s="0" t="n">
        <v>921248</v>
      </c>
      <c r="D3145" s="0" t="s">
        <v>10511</v>
      </c>
      <c r="E3145" s="0" t="s">
        <v>89</v>
      </c>
      <c r="F3145" s="0" t="s">
        <v>90</v>
      </c>
      <c r="G3145" s="0" t="s">
        <v>36</v>
      </c>
      <c r="H3145" s="0" t="n">
        <v>57</v>
      </c>
      <c r="I3145" s="0" t="s">
        <v>10518</v>
      </c>
      <c r="J3145" s="0" t="s">
        <v>10519</v>
      </c>
      <c r="K3145" s="0" t="s">
        <v>10520</v>
      </c>
      <c r="L3145" s="0" t="str">
        <f aca="false">HYPERLINK("https://www.ncbi.nlm.nih.gov/nuccore/CP000304.1?report=graph&amp;tracks=[key:gene_model_track,Options:GeneOnly]&amp;mk=921274:921293|offset_12|444444,921252:921271|offset_34|444444,921229:921248|offset_57|00cc00,921209:921228|offset_77|444444&amp;v=921073:921428&amp;c=444444", "offset 57")</f>
        <v>offset 57</v>
      </c>
    </row>
    <row r="3146" customFormat="false" ht="12.8" hidden="false" customHeight="false" outlineLevel="0" collapsed="false">
      <c r="A3146" s="0" t="s">
        <v>12</v>
      </c>
      <c r="B3146" s="0" t="n">
        <v>921208</v>
      </c>
      <c r="C3146" s="0" t="n">
        <v>921228</v>
      </c>
      <c r="D3146" s="0" t="s">
        <v>10511</v>
      </c>
      <c r="E3146" s="0" t="s">
        <v>89</v>
      </c>
      <c r="F3146" s="0" t="s">
        <v>90</v>
      </c>
      <c r="G3146" s="0" t="s">
        <v>16</v>
      </c>
      <c r="H3146" s="0" t="n">
        <v>77</v>
      </c>
      <c r="I3146" s="0" t="s">
        <v>10521</v>
      </c>
      <c r="J3146" s="0" t="s">
        <v>10522</v>
      </c>
      <c r="K3146" s="0" t="s">
        <v>10523</v>
      </c>
      <c r="L3146" s="0" t="str">
        <f aca="false">HYPERLINK("https://www.ncbi.nlm.nih.gov/nuccore/CP000304.1?report=graph&amp;tracks=[key:gene_model_track,Options:GeneOnly]&amp;mk=921274:921293|offset_12|444444,921252:921271|offset_34|444444,921229:921248|offset_57|444444,921209:921228|offset_77|00cc00&amp;v=921073:921428&amp;c=444444", "offset 77")</f>
        <v>offset 77</v>
      </c>
    </row>
    <row r="3147" customFormat="false" ht="12.8" hidden="false" customHeight="false" outlineLevel="0" collapsed="false">
      <c r="A3147" s="0" t="s">
        <v>12</v>
      </c>
      <c r="B3147" s="0" t="n">
        <v>922525</v>
      </c>
      <c r="C3147" s="0" t="n">
        <v>922545</v>
      </c>
      <c r="D3147" s="0" t="s">
        <v>10524</v>
      </c>
      <c r="E3147" s="0" t="s">
        <v>89</v>
      </c>
      <c r="F3147" s="0" t="s">
        <v>90</v>
      </c>
      <c r="G3147" s="0" t="s">
        <v>36</v>
      </c>
      <c r="H3147" s="0" t="n">
        <v>22</v>
      </c>
      <c r="I3147" s="0" t="s">
        <v>10525</v>
      </c>
      <c r="J3147" s="0" t="s">
        <v>10526</v>
      </c>
      <c r="K3147" s="0" t="s">
        <v>10527</v>
      </c>
      <c r="L3147" s="0" t="str">
        <f aca="false">HYPERLINK("https://www.ncbi.nlm.nih.gov/nuccore/CP000304.1?report=graph&amp;tracks=[key:gene_model_track,Options:GeneOnly]&amp;mk=922526:922545|offset_22|00cc00,922504:922523|offset_44|444444,922484:922503|offset_64|444444,922445:922464|offset_103|444444&amp;v=922325:922664&amp;c=444444", "offset 22")</f>
        <v>offset 22</v>
      </c>
    </row>
    <row r="3148" customFormat="false" ht="12.8" hidden="false" customHeight="false" outlineLevel="0" collapsed="false">
      <c r="A3148" s="0" t="s">
        <v>12</v>
      </c>
      <c r="B3148" s="0" t="n">
        <v>922503</v>
      </c>
      <c r="C3148" s="0" t="n">
        <v>922523</v>
      </c>
      <c r="D3148" s="0" t="s">
        <v>10524</v>
      </c>
      <c r="E3148" s="0" t="s">
        <v>89</v>
      </c>
      <c r="F3148" s="0" t="s">
        <v>90</v>
      </c>
      <c r="G3148" s="0" t="s">
        <v>16</v>
      </c>
      <c r="H3148" s="0" t="n">
        <v>44</v>
      </c>
      <c r="I3148" s="0" t="s">
        <v>10528</v>
      </c>
      <c r="J3148" s="0" t="s">
        <v>10529</v>
      </c>
      <c r="K3148" s="0" t="s">
        <v>10530</v>
      </c>
      <c r="L3148" s="0" t="str">
        <f aca="false">HYPERLINK("https://www.ncbi.nlm.nih.gov/nuccore/CP000304.1?report=graph&amp;tracks=[key:gene_model_track,Options:GeneOnly]&amp;mk=922526:922545|offset_22|444444,922504:922523|offset_44|00cc00,922484:922503|offset_64|444444,922445:922464|offset_103|444444&amp;v=922325:922664&amp;c=444444", "offset 44")</f>
        <v>offset 44</v>
      </c>
    </row>
    <row r="3149" customFormat="false" ht="12.8" hidden="false" customHeight="false" outlineLevel="0" collapsed="false">
      <c r="A3149" s="0" t="s">
        <v>12</v>
      </c>
      <c r="B3149" s="0" t="n">
        <v>922483</v>
      </c>
      <c r="C3149" s="0" t="n">
        <v>922503</v>
      </c>
      <c r="D3149" s="0" t="s">
        <v>10524</v>
      </c>
      <c r="E3149" s="0" t="s">
        <v>89</v>
      </c>
      <c r="F3149" s="0" t="s">
        <v>90</v>
      </c>
      <c r="G3149" s="0" t="s">
        <v>16</v>
      </c>
      <c r="H3149" s="0" t="n">
        <v>64</v>
      </c>
      <c r="I3149" s="0" t="s">
        <v>10531</v>
      </c>
      <c r="J3149" s="0" t="s">
        <v>10532</v>
      </c>
      <c r="K3149" s="0" t="s">
        <v>10533</v>
      </c>
      <c r="L3149" s="0" t="str">
        <f aca="false">HYPERLINK("https://www.ncbi.nlm.nih.gov/nuccore/CP000304.1?report=graph&amp;tracks=[key:gene_model_track,Options:GeneOnly]&amp;mk=922526:922545|offset_22|444444,922504:922523|offset_44|444444,922484:922503|offset_64|00cc00,922445:922464|offset_103|444444&amp;v=922325:922664&amp;c=444444", "offset 64")</f>
        <v>offset 64</v>
      </c>
    </row>
    <row r="3150" customFormat="false" ht="12.8" hidden="false" customHeight="false" outlineLevel="0" collapsed="false">
      <c r="A3150" s="0" t="s">
        <v>12</v>
      </c>
      <c r="B3150" s="0" t="n">
        <v>922444</v>
      </c>
      <c r="C3150" s="0" t="n">
        <v>922464</v>
      </c>
      <c r="D3150" s="0" t="s">
        <v>10524</v>
      </c>
      <c r="E3150" s="0" t="s">
        <v>89</v>
      </c>
      <c r="F3150" s="0" t="s">
        <v>90</v>
      </c>
      <c r="G3150" s="0" t="s">
        <v>16</v>
      </c>
      <c r="H3150" s="0" t="n">
        <v>103</v>
      </c>
      <c r="I3150" s="0" t="s">
        <v>10534</v>
      </c>
      <c r="J3150" s="0" t="s">
        <v>10535</v>
      </c>
      <c r="K3150" s="0" t="s">
        <v>10536</v>
      </c>
      <c r="L3150" s="0" t="str">
        <f aca="false">HYPERLINK("https://www.ncbi.nlm.nih.gov/nuccore/CP000304.1?report=graph&amp;tracks=[key:gene_model_track,Options:GeneOnly]&amp;mk=922526:922545|offset_22|444444,922504:922523|offset_44|444444,922484:922503|offset_64|444444,922445:922464|offset_103|00cc00&amp;v=922325:922664&amp;c=444444", "offset 103")</f>
        <v>offset 103</v>
      </c>
    </row>
    <row r="3151" customFormat="false" ht="12.8" hidden="false" customHeight="false" outlineLevel="0" collapsed="false">
      <c r="A3151" s="0" t="s">
        <v>12</v>
      </c>
      <c r="B3151" s="0" t="n">
        <v>923251</v>
      </c>
      <c r="C3151" s="0" t="n">
        <v>923271</v>
      </c>
      <c r="D3151" s="0" t="s">
        <v>10537</v>
      </c>
      <c r="E3151" s="0" t="s">
        <v>89</v>
      </c>
      <c r="F3151" s="0" t="s">
        <v>90</v>
      </c>
      <c r="G3151" s="0" t="s">
        <v>16</v>
      </c>
      <c r="H3151" s="0" t="n">
        <v>7</v>
      </c>
      <c r="I3151" s="0" t="s">
        <v>10538</v>
      </c>
      <c r="J3151" s="0" t="s">
        <v>10539</v>
      </c>
      <c r="K3151" s="0" t="s">
        <v>10540</v>
      </c>
      <c r="L3151" s="0" t="str">
        <f aca="false">HYPERLINK("https://www.ncbi.nlm.nih.gov/nuccore/CP000304.1?report=graph&amp;tracks=[key:gene_model_track,Options:GeneOnly]&amp;mk=923252:923271|offset_7|00cc00,923227:923246|offset_32|444444,923201:923220|offset_58|444444,923173:923192|offset_86|444444&amp;v=923051:923392&amp;c=444444", "offset 7")</f>
        <v>offset 7</v>
      </c>
    </row>
    <row r="3152" customFormat="false" ht="12.8" hidden="false" customHeight="false" outlineLevel="0" collapsed="false">
      <c r="A3152" s="0" t="s">
        <v>12</v>
      </c>
      <c r="B3152" s="0" t="n">
        <v>923226</v>
      </c>
      <c r="C3152" s="0" t="n">
        <v>923246</v>
      </c>
      <c r="D3152" s="0" t="s">
        <v>10537</v>
      </c>
      <c r="E3152" s="0" t="s">
        <v>89</v>
      </c>
      <c r="F3152" s="0" t="s">
        <v>90</v>
      </c>
      <c r="G3152" s="0" t="s">
        <v>26</v>
      </c>
      <c r="H3152" s="0" t="n">
        <v>32</v>
      </c>
      <c r="I3152" s="0" t="s">
        <v>10541</v>
      </c>
      <c r="J3152" s="0" t="s">
        <v>10542</v>
      </c>
      <c r="K3152" s="0" t="s">
        <v>10543</v>
      </c>
      <c r="L3152" s="0" t="str">
        <f aca="false">HYPERLINK("https://www.ncbi.nlm.nih.gov/nuccore/CP000304.1?report=graph&amp;tracks=[key:gene_model_track,Options:GeneOnly]&amp;mk=923252:923271|offset_7|444444,923227:923246|offset_32|00cc00,923201:923220|offset_58|444444,923173:923192|offset_86|444444&amp;v=923051:923392&amp;c=444444", "offset 32")</f>
        <v>offset 32</v>
      </c>
    </row>
    <row r="3153" customFormat="false" ht="12.8" hidden="false" customHeight="false" outlineLevel="0" collapsed="false">
      <c r="A3153" s="0" t="s">
        <v>12</v>
      </c>
      <c r="B3153" s="0" t="n">
        <v>923200</v>
      </c>
      <c r="C3153" s="0" t="n">
        <v>923220</v>
      </c>
      <c r="D3153" s="0" t="s">
        <v>10537</v>
      </c>
      <c r="E3153" s="0" t="s">
        <v>89</v>
      </c>
      <c r="F3153" s="0" t="s">
        <v>90</v>
      </c>
      <c r="G3153" s="0" t="s">
        <v>16</v>
      </c>
      <c r="H3153" s="0" t="n">
        <v>58</v>
      </c>
      <c r="I3153" s="0" t="s">
        <v>10544</v>
      </c>
      <c r="J3153" s="0" t="s">
        <v>10545</v>
      </c>
      <c r="K3153" s="0" t="s">
        <v>10546</v>
      </c>
      <c r="L3153" s="0" t="str">
        <f aca="false">HYPERLINK("https://www.ncbi.nlm.nih.gov/nuccore/CP000304.1?report=graph&amp;tracks=[key:gene_model_track,Options:GeneOnly]&amp;mk=923252:923271|offset_7|444444,923227:923246|offset_32|444444,923201:923220|offset_58|00cc00,923173:923192|offset_86|444444&amp;v=923051:923392&amp;c=444444", "offset 58")</f>
        <v>offset 58</v>
      </c>
    </row>
    <row r="3154" customFormat="false" ht="12.8" hidden="false" customHeight="false" outlineLevel="0" collapsed="false">
      <c r="A3154" s="0" t="s">
        <v>12</v>
      </c>
      <c r="B3154" s="0" t="n">
        <v>923172</v>
      </c>
      <c r="C3154" s="0" t="n">
        <v>923192</v>
      </c>
      <c r="D3154" s="0" t="s">
        <v>10537</v>
      </c>
      <c r="E3154" s="0" t="s">
        <v>89</v>
      </c>
      <c r="F3154" s="0" t="s">
        <v>90</v>
      </c>
      <c r="G3154" s="0" t="s">
        <v>26</v>
      </c>
      <c r="H3154" s="0" t="n">
        <v>86</v>
      </c>
      <c r="I3154" s="0" t="s">
        <v>10547</v>
      </c>
      <c r="J3154" s="0" t="s">
        <v>10548</v>
      </c>
      <c r="K3154" s="0" t="s">
        <v>10549</v>
      </c>
      <c r="L3154" s="0" t="str">
        <f aca="false">HYPERLINK("https://www.ncbi.nlm.nih.gov/nuccore/CP000304.1?report=graph&amp;tracks=[key:gene_model_track,Options:GeneOnly]&amp;mk=923252:923271|offset_7|444444,923227:923246|offset_32|444444,923201:923220|offset_58|444444,923173:923192|offset_86|00cc00&amp;v=923051:923392&amp;c=444444", "offset 86")</f>
        <v>offset 86</v>
      </c>
    </row>
    <row r="3155" customFormat="false" ht="12.8" hidden="false" customHeight="false" outlineLevel="0" collapsed="false">
      <c r="A3155" s="0" t="s">
        <v>12</v>
      </c>
      <c r="B3155" s="0" t="n">
        <v>923889</v>
      </c>
      <c r="C3155" s="0" t="n">
        <v>923909</v>
      </c>
      <c r="D3155" s="0" t="s">
        <v>10550</v>
      </c>
      <c r="E3155" s="0" t="s">
        <v>89</v>
      </c>
      <c r="F3155" s="0" t="s">
        <v>90</v>
      </c>
      <c r="G3155" s="0" t="s">
        <v>32</v>
      </c>
      <c r="H3155" s="0" t="n">
        <v>1</v>
      </c>
      <c r="I3155" s="0" t="s">
        <v>10551</v>
      </c>
      <c r="J3155" s="0" t="s">
        <v>10552</v>
      </c>
      <c r="K3155" s="0" t="s">
        <v>10553</v>
      </c>
      <c r="L3155" s="0" t="str">
        <f aca="false">HYPERLINK("https://www.ncbi.nlm.nih.gov/nuccore/CP000304.1?report=graph&amp;tracks=[key:gene_model_track,Options:GeneOnly]&amp;mk=923890:923909|offset_1|00cc00,923869:923888|offset_22|444444,923849:923868|offset_42|444444,923794:923813|offset_97|444444&amp;v=923689:924013&amp;c=444444", "offset 1")</f>
        <v>offset 1</v>
      </c>
    </row>
    <row r="3156" customFormat="false" ht="12.8" hidden="false" customHeight="false" outlineLevel="0" collapsed="false">
      <c r="A3156" s="0" t="s">
        <v>12</v>
      </c>
      <c r="B3156" s="0" t="n">
        <v>923868</v>
      </c>
      <c r="C3156" s="0" t="n">
        <v>923888</v>
      </c>
      <c r="D3156" s="0" t="s">
        <v>10550</v>
      </c>
      <c r="E3156" s="0" t="s">
        <v>89</v>
      </c>
      <c r="F3156" s="0" t="s">
        <v>90</v>
      </c>
      <c r="G3156" s="0" t="s">
        <v>16</v>
      </c>
      <c r="H3156" s="0" t="n">
        <v>22</v>
      </c>
      <c r="I3156" s="0" t="s">
        <v>10554</v>
      </c>
      <c r="J3156" s="0" t="s">
        <v>10555</v>
      </c>
      <c r="K3156" s="0" t="s">
        <v>10556</v>
      </c>
      <c r="L3156" s="0" t="str">
        <f aca="false">HYPERLINK("https://www.ncbi.nlm.nih.gov/nuccore/CP000304.1?report=graph&amp;tracks=[key:gene_model_track,Options:GeneOnly]&amp;mk=923890:923909|offset_1|444444,923869:923888|offset_22|00cc00,923849:923868|offset_42|444444,923794:923813|offset_97|444444&amp;v=923689:924013&amp;c=444444", "offset 22")</f>
        <v>offset 22</v>
      </c>
    </row>
    <row r="3157" customFormat="false" ht="12.8" hidden="false" customHeight="false" outlineLevel="0" collapsed="false">
      <c r="A3157" s="0" t="s">
        <v>12</v>
      </c>
      <c r="B3157" s="0" t="n">
        <v>923848</v>
      </c>
      <c r="C3157" s="0" t="n">
        <v>923868</v>
      </c>
      <c r="D3157" s="0" t="s">
        <v>10550</v>
      </c>
      <c r="E3157" s="0" t="s">
        <v>89</v>
      </c>
      <c r="F3157" s="0" t="s">
        <v>90</v>
      </c>
      <c r="G3157" s="0" t="s">
        <v>36</v>
      </c>
      <c r="H3157" s="0" t="n">
        <v>42</v>
      </c>
      <c r="I3157" s="0" t="s">
        <v>10557</v>
      </c>
      <c r="J3157" s="0" t="s">
        <v>10558</v>
      </c>
      <c r="K3157" s="0" t="s">
        <v>10559</v>
      </c>
      <c r="L3157" s="0" t="str">
        <f aca="false">HYPERLINK("https://www.ncbi.nlm.nih.gov/nuccore/CP000304.1?report=graph&amp;tracks=[key:gene_model_track,Options:GeneOnly]&amp;mk=923890:923909|offset_1|444444,923869:923888|offset_22|444444,923849:923868|offset_42|00cc00,923794:923813|offset_97|444444&amp;v=923689:924013&amp;c=444444", "offset 42")</f>
        <v>offset 42</v>
      </c>
    </row>
    <row r="3158" customFormat="false" ht="12.8" hidden="false" customHeight="false" outlineLevel="0" collapsed="false">
      <c r="A3158" s="0" t="s">
        <v>12</v>
      </c>
      <c r="B3158" s="0" t="n">
        <v>923793</v>
      </c>
      <c r="C3158" s="0" t="n">
        <v>923813</v>
      </c>
      <c r="D3158" s="0" t="s">
        <v>10550</v>
      </c>
      <c r="E3158" s="0" t="s">
        <v>89</v>
      </c>
      <c r="F3158" s="0" t="s">
        <v>90</v>
      </c>
      <c r="G3158" s="0" t="s">
        <v>32</v>
      </c>
      <c r="H3158" s="0" t="n">
        <v>97</v>
      </c>
      <c r="I3158" s="0" t="s">
        <v>10560</v>
      </c>
      <c r="J3158" s="0" t="s">
        <v>10561</v>
      </c>
      <c r="K3158" s="0" t="s">
        <v>10562</v>
      </c>
      <c r="L3158" s="0" t="str">
        <f aca="false">HYPERLINK("https://www.ncbi.nlm.nih.gov/nuccore/CP000304.1?report=graph&amp;tracks=[key:gene_model_track,Options:GeneOnly]&amp;mk=923890:923909|offset_1|444444,923869:923888|offset_22|444444,923849:923868|offset_42|444444,923794:923813|offset_97|00cc00&amp;v=923689:924013&amp;c=444444", "offset 97")</f>
        <v>offset 97</v>
      </c>
    </row>
    <row r="3159" customFormat="false" ht="12.8" hidden="false" customHeight="false" outlineLevel="0" collapsed="false">
      <c r="A3159" s="0" t="s">
        <v>12</v>
      </c>
      <c r="B3159" s="0" t="n">
        <v>924024</v>
      </c>
      <c r="C3159" s="0" t="n">
        <v>924044</v>
      </c>
      <c r="D3159" s="0" t="s">
        <v>10563</v>
      </c>
      <c r="E3159" s="0" t="s">
        <v>89</v>
      </c>
      <c r="F3159" s="0" t="s">
        <v>15</v>
      </c>
      <c r="G3159" s="0" t="s">
        <v>16</v>
      </c>
      <c r="H3159" s="0" t="n">
        <v>8</v>
      </c>
      <c r="I3159" s="0" t="s">
        <v>10564</v>
      </c>
      <c r="J3159" s="0" t="s">
        <v>10565</v>
      </c>
      <c r="K3159" s="0" t="s">
        <v>10566</v>
      </c>
      <c r="L3159" s="0" t="str">
        <f aca="false">HYPERLINK("https://www.ncbi.nlm.nih.gov/nuccore/CP000304.1?report=graph&amp;tracks=[key:gene_model_track,Options:GeneOnly]&amp;mk=924025:924044|offset_8|00cc00,924053:924072|offset_36|444444,924097:924116|offset_80|444444,924117:924136|offset_100|444444&amp;v=923824:924336&amp;c=444444", "offset 8")</f>
        <v>offset 8</v>
      </c>
    </row>
    <row r="3160" customFormat="false" ht="12.8" hidden="false" customHeight="false" outlineLevel="0" collapsed="false">
      <c r="A3160" s="0" t="s">
        <v>12</v>
      </c>
      <c r="B3160" s="0" t="n">
        <v>924052</v>
      </c>
      <c r="C3160" s="0" t="n">
        <v>924072</v>
      </c>
      <c r="D3160" s="0" t="s">
        <v>10563</v>
      </c>
      <c r="E3160" s="0" t="s">
        <v>89</v>
      </c>
      <c r="F3160" s="0" t="s">
        <v>15</v>
      </c>
      <c r="G3160" s="0" t="s">
        <v>16</v>
      </c>
      <c r="H3160" s="0" t="n">
        <v>36</v>
      </c>
      <c r="I3160" s="0" t="s">
        <v>10567</v>
      </c>
      <c r="J3160" s="0" t="s">
        <v>10568</v>
      </c>
      <c r="K3160" s="0" t="s">
        <v>10569</v>
      </c>
      <c r="L3160" s="0" t="str">
        <f aca="false">HYPERLINK("https://www.ncbi.nlm.nih.gov/nuccore/CP000304.1?report=graph&amp;tracks=[key:gene_model_track,Options:GeneOnly]&amp;mk=924025:924044|offset_8|444444,924053:924072|offset_36|00cc00,924097:924116|offset_80|444444,924117:924136|offset_100|444444&amp;v=923824:924336&amp;c=444444", "offset 36")</f>
        <v>offset 36</v>
      </c>
    </row>
    <row r="3161" customFormat="false" ht="12.8" hidden="false" customHeight="false" outlineLevel="0" collapsed="false">
      <c r="A3161" s="0" t="s">
        <v>12</v>
      </c>
      <c r="B3161" s="0" t="n">
        <v>924096</v>
      </c>
      <c r="C3161" s="0" t="n">
        <v>924116</v>
      </c>
      <c r="D3161" s="0" t="s">
        <v>10563</v>
      </c>
      <c r="E3161" s="0" t="s">
        <v>89</v>
      </c>
      <c r="F3161" s="0" t="s">
        <v>15</v>
      </c>
      <c r="G3161" s="0" t="s">
        <v>26</v>
      </c>
      <c r="H3161" s="0" t="n">
        <v>80</v>
      </c>
      <c r="I3161" s="0" t="s">
        <v>10570</v>
      </c>
      <c r="J3161" s="0" t="s">
        <v>10571</v>
      </c>
      <c r="K3161" s="0" t="s">
        <v>10572</v>
      </c>
      <c r="L3161" s="0" t="str">
        <f aca="false">HYPERLINK("https://www.ncbi.nlm.nih.gov/nuccore/CP000304.1?report=graph&amp;tracks=[key:gene_model_track,Options:GeneOnly]&amp;mk=924025:924044|offset_8|444444,924053:924072|offset_36|444444,924097:924116|offset_80|00cc00,924117:924136|offset_100|444444&amp;v=923824:924336&amp;c=444444", "offset 80")</f>
        <v>offset 80</v>
      </c>
    </row>
    <row r="3162" customFormat="false" ht="12.8" hidden="false" customHeight="false" outlineLevel="0" collapsed="false">
      <c r="A3162" s="0" t="s">
        <v>12</v>
      </c>
      <c r="B3162" s="0" t="n">
        <v>924116</v>
      </c>
      <c r="C3162" s="0" t="n">
        <v>924136</v>
      </c>
      <c r="D3162" s="0" t="s">
        <v>10563</v>
      </c>
      <c r="E3162" s="0" t="s">
        <v>89</v>
      </c>
      <c r="F3162" s="0" t="s">
        <v>15</v>
      </c>
      <c r="G3162" s="0" t="s">
        <v>16</v>
      </c>
      <c r="H3162" s="0" t="n">
        <v>100</v>
      </c>
      <c r="I3162" s="0" t="s">
        <v>10573</v>
      </c>
      <c r="J3162" s="0" t="s">
        <v>10574</v>
      </c>
      <c r="K3162" s="0" t="s">
        <v>10575</v>
      </c>
      <c r="L3162" s="0" t="str">
        <f aca="false">HYPERLINK("https://www.ncbi.nlm.nih.gov/nuccore/CP000304.1?report=graph&amp;tracks=[key:gene_model_track,Options:GeneOnly]&amp;mk=924025:924044|offset_8|444444,924053:924072|offset_36|444444,924097:924116|offset_80|444444,924117:924136|offset_100|00cc00&amp;v=923824:924336&amp;c=444444", "offset 100")</f>
        <v>offset 100</v>
      </c>
    </row>
    <row r="3163" customFormat="false" ht="12.8" hidden="false" customHeight="false" outlineLevel="0" collapsed="false">
      <c r="A3163" s="0" t="s">
        <v>12</v>
      </c>
      <c r="B3163" s="0" t="n">
        <v>925246</v>
      </c>
      <c r="C3163" s="0" t="n">
        <v>925266</v>
      </c>
      <c r="D3163" s="0" t="s">
        <v>10576</v>
      </c>
      <c r="E3163" s="0" t="s">
        <v>10577</v>
      </c>
      <c r="F3163" s="0" t="s">
        <v>90</v>
      </c>
      <c r="G3163" s="0" t="s">
        <v>16</v>
      </c>
      <c r="H3163" s="0" t="n">
        <v>0</v>
      </c>
      <c r="I3163" s="0" t="s">
        <v>10578</v>
      </c>
      <c r="J3163" s="0" t="s">
        <v>10579</v>
      </c>
      <c r="K3163" s="0" t="s">
        <v>10580</v>
      </c>
      <c r="L3163" s="0" t="str">
        <f aca="false">HYPERLINK("https://www.ncbi.nlm.nih.gov/nuccore/CP000304.1?report=graph&amp;tracks=[key:gene_model_track,Options:GeneOnly]&amp;mk=925247:925266|offset_0|00cc00,925213:925232|offset_34|444444,925173:925192|offset_74|444444,925144:925163|offset_103|444444&amp;v=925046:925363&amp;c=444444", "offset 0")</f>
        <v>offset 0</v>
      </c>
    </row>
    <row r="3164" customFormat="false" ht="12.8" hidden="false" customHeight="false" outlineLevel="0" collapsed="false">
      <c r="A3164" s="0" t="s">
        <v>12</v>
      </c>
      <c r="B3164" s="0" t="n">
        <v>925212</v>
      </c>
      <c r="C3164" s="0" t="n">
        <v>925232</v>
      </c>
      <c r="D3164" s="0" t="s">
        <v>10576</v>
      </c>
      <c r="E3164" s="0" t="s">
        <v>10577</v>
      </c>
      <c r="F3164" s="0" t="s">
        <v>90</v>
      </c>
      <c r="G3164" s="0" t="s">
        <v>32</v>
      </c>
      <c r="H3164" s="0" t="n">
        <v>34</v>
      </c>
      <c r="I3164" s="0" t="s">
        <v>10581</v>
      </c>
      <c r="J3164" s="0" t="s">
        <v>10582</v>
      </c>
      <c r="K3164" s="0" t="s">
        <v>10583</v>
      </c>
      <c r="L3164" s="0" t="str">
        <f aca="false">HYPERLINK("https://www.ncbi.nlm.nih.gov/nuccore/CP000304.1?report=graph&amp;tracks=[key:gene_model_track,Options:GeneOnly]&amp;mk=925247:925266|offset_0|444444,925213:925232|offset_34|00cc00,925173:925192|offset_74|444444,925144:925163|offset_103|444444&amp;v=925046:925363&amp;c=444444", "offset 34")</f>
        <v>offset 34</v>
      </c>
    </row>
    <row r="3165" customFormat="false" ht="12.8" hidden="false" customHeight="false" outlineLevel="0" collapsed="false">
      <c r="A3165" s="0" t="s">
        <v>12</v>
      </c>
      <c r="B3165" s="0" t="n">
        <v>925172</v>
      </c>
      <c r="C3165" s="0" t="n">
        <v>925192</v>
      </c>
      <c r="D3165" s="0" t="s">
        <v>10576</v>
      </c>
      <c r="E3165" s="0" t="s">
        <v>10577</v>
      </c>
      <c r="F3165" s="0" t="s">
        <v>90</v>
      </c>
      <c r="G3165" s="0" t="s">
        <v>32</v>
      </c>
      <c r="H3165" s="0" t="n">
        <v>74</v>
      </c>
      <c r="I3165" s="0" t="s">
        <v>10584</v>
      </c>
      <c r="J3165" s="0" t="s">
        <v>10585</v>
      </c>
      <c r="K3165" s="0" t="s">
        <v>10586</v>
      </c>
      <c r="L3165" s="0" t="str">
        <f aca="false">HYPERLINK("https://www.ncbi.nlm.nih.gov/nuccore/CP000304.1?report=graph&amp;tracks=[key:gene_model_track,Options:GeneOnly]&amp;mk=925247:925266|offset_0|444444,925213:925232|offset_34|444444,925173:925192|offset_74|00cc00,925144:925163|offset_103|444444&amp;v=925046:925363&amp;c=444444", "offset 74")</f>
        <v>offset 74</v>
      </c>
    </row>
    <row r="3166" customFormat="false" ht="12.8" hidden="false" customHeight="false" outlineLevel="0" collapsed="false">
      <c r="A3166" s="0" t="s">
        <v>12</v>
      </c>
      <c r="B3166" s="0" t="n">
        <v>925143</v>
      </c>
      <c r="C3166" s="0" t="n">
        <v>925163</v>
      </c>
      <c r="D3166" s="0" t="s">
        <v>10576</v>
      </c>
      <c r="E3166" s="0" t="s">
        <v>10577</v>
      </c>
      <c r="F3166" s="0" t="s">
        <v>90</v>
      </c>
      <c r="G3166" s="0" t="s">
        <v>16</v>
      </c>
      <c r="H3166" s="0" t="n">
        <v>103</v>
      </c>
      <c r="I3166" s="0" t="s">
        <v>10587</v>
      </c>
      <c r="J3166" s="0" t="s">
        <v>10588</v>
      </c>
      <c r="K3166" s="0" t="s">
        <v>10589</v>
      </c>
      <c r="L3166" s="0" t="str">
        <f aca="false">HYPERLINK("https://www.ncbi.nlm.nih.gov/nuccore/CP000304.1?report=graph&amp;tracks=[key:gene_model_track,Options:GeneOnly]&amp;mk=925247:925266|offset_0|444444,925213:925232|offset_34|444444,925173:925192|offset_74|444444,925144:925163|offset_103|00cc00&amp;v=925046:925363&amp;c=444444", "offset 103")</f>
        <v>offset 103</v>
      </c>
    </row>
    <row r="3167" customFormat="false" ht="12.8" hidden="false" customHeight="false" outlineLevel="0" collapsed="false">
      <c r="A3167" s="0" t="s">
        <v>12</v>
      </c>
      <c r="B3167" s="0" t="n">
        <v>925479</v>
      </c>
      <c r="C3167" s="0" t="n">
        <v>925499</v>
      </c>
      <c r="D3167" s="0" t="s">
        <v>10590</v>
      </c>
      <c r="E3167" s="0" t="s">
        <v>89</v>
      </c>
      <c r="F3167" s="0" t="s">
        <v>15</v>
      </c>
      <c r="G3167" s="0" t="s">
        <v>16</v>
      </c>
      <c r="H3167" s="0" t="n">
        <v>7</v>
      </c>
      <c r="I3167" s="0" t="s">
        <v>10591</v>
      </c>
      <c r="J3167" s="0" t="s">
        <v>10592</v>
      </c>
      <c r="K3167" s="0" t="s">
        <v>10593</v>
      </c>
      <c r="L3167" s="0" t="str">
        <f aca="false">HYPERLINK("https://www.ncbi.nlm.nih.gov/nuccore/CP000304.1?report=graph&amp;tracks=[key:gene_model_track,Options:GeneOnly]&amp;mk=925480:925499|offset_7|00cc00,925527:925546|offset_54|444444,925558:925577|offset_85|444444,925582:925601|offset_109|444444&amp;v=925279:925801&amp;c=444444", "offset 7")</f>
        <v>offset 7</v>
      </c>
    </row>
    <row r="3168" customFormat="false" ht="12.8" hidden="false" customHeight="false" outlineLevel="0" collapsed="false">
      <c r="A3168" s="0" t="s">
        <v>12</v>
      </c>
      <c r="B3168" s="0" t="n">
        <v>925526</v>
      </c>
      <c r="C3168" s="0" t="n">
        <v>925546</v>
      </c>
      <c r="D3168" s="0" t="s">
        <v>10590</v>
      </c>
      <c r="E3168" s="0" t="s">
        <v>89</v>
      </c>
      <c r="F3168" s="0" t="s">
        <v>15</v>
      </c>
      <c r="G3168" s="0" t="s">
        <v>36</v>
      </c>
      <c r="H3168" s="0" t="n">
        <v>54</v>
      </c>
      <c r="I3168" s="0" t="s">
        <v>10594</v>
      </c>
      <c r="J3168" s="0" t="s">
        <v>10595</v>
      </c>
      <c r="K3168" s="0" t="s">
        <v>10596</v>
      </c>
      <c r="L3168" s="0" t="str">
        <f aca="false">HYPERLINK("https://www.ncbi.nlm.nih.gov/nuccore/CP000304.1?report=graph&amp;tracks=[key:gene_model_track,Options:GeneOnly]&amp;mk=925480:925499|offset_7|444444,925527:925546|offset_54|00cc00,925558:925577|offset_85|444444,925582:925601|offset_109|444444&amp;v=925279:925801&amp;c=444444", "offset 54")</f>
        <v>offset 54</v>
      </c>
    </row>
    <row r="3169" customFormat="false" ht="12.8" hidden="false" customHeight="false" outlineLevel="0" collapsed="false">
      <c r="A3169" s="0" t="s">
        <v>12</v>
      </c>
      <c r="B3169" s="0" t="n">
        <v>925557</v>
      </c>
      <c r="C3169" s="0" t="n">
        <v>925577</v>
      </c>
      <c r="D3169" s="0" t="s">
        <v>10590</v>
      </c>
      <c r="E3169" s="0" t="s">
        <v>89</v>
      </c>
      <c r="F3169" s="0" t="s">
        <v>15</v>
      </c>
      <c r="G3169" s="0" t="s">
        <v>26</v>
      </c>
      <c r="H3169" s="0" t="n">
        <v>85</v>
      </c>
      <c r="I3169" s="0" t="s">
        <v>10597</v>
      </c>
      <c r="J3169" s="0" t="s">
        <v>10598</v>
      </c>
      <c r="K3169" s="0" t="s">
        <v>10599</v>
      </c>
      <c r="L3169" s="0" t="str">
        <f aca="false">HYPERLINK("https://www.ncbi.nlm.nih.gov/nuccore/CP000304.1?report=graph&amp;tracks=[key:gene_model_track,Options:GeneOnly]&amp;mk=925480:925499|offset_7|444444,925527:925546|offset_54|444444,925558:925577|offset_85|00cc00,925582:925601|offset_109|444444&amp;v=925279:925801&amp;c=444444", "offset 85")</f>
        <v>offset 85</v>
      </c>
    </row>
    <row r="3170" customFormat="false" ht="12.8" hidden="false" customHeight="false" outlineLevel="0" collapsed="false">
      <c r="A3170" s="0" t="s">
        <v>12</v>
      </c>
      <c r="B3170" s="0" t="n">
        <v>925581</v>
      </c>
      <c r="C3170" s="0" t="n">
        <v>925601</v>
      </c>
      <c r="D3170" s="0" t="s">
        <v>10590</v>
      </c>
      <c r="E3170" s="0" t="s">
        <v>89</v>
      </c>
      <c r="F3170" s="0" t="s">
        <v>15</v>
      </c>
      <c r="G3170" s="0" t="s">
        <v>16</v>
      </c>
      <c r="H3170" s="0" t="n">
        <v>109</v>
      </c>
      <c r="I3170" s="0" t="s">
        <v>10600</v>
      </c>
      <c r="J3170" s="0" t="s">
        <v>10601</v>
      </c>
      <c r="K3170" s="0" t="s">
        <v>10602</v>
      </c>
      <c r="L3170" s="0" t="str">
        <f aca="false">HYPERLINK("https://www.ncbi.nlm.nih.gov/nuccore/CP000304.1?report=graph&amp;tracks=[key:gene_model_track,Options:GeneOnly]&amp;mk=925480:925499|offset_7|444444,925527:925546|offset_54|444444,925558:925577|offset_85|444444,925582:925601|offset_109|00cc00&amp;v=925279:925801&amp;c=444444", "offset 109")</f>
        <v>offset 109</v>
      </c>
    </row>
    <row r="3171" customFormat="false" ht="12.8" hidden="false" customHeight="false" outlineLevel="0" collapsed="false">
      <c r="A3171" s="0" t="s">
        <v>12</v>
      </c>
      <c r="B3171" s="0" t="n">
        <v>926758</v>
      </c>
      <c r="C3171" s="0" t="n">
        <v>926778</v>
      </c>
      <c r="D3171" s="0" t="s">
        <v>10603</v>
      </c>
      <c r="E3171" s="0" t="s">
        <v>89</v>
      </c>
      <c r="F3171" s="0" t="s">
        <v>15</v>
      </c>
      <c r="G3171" s="0" t="s">
        <v>32</v>
      </c>
      <c r="H3171" s="0" t="n">
        <v>1</v>
      </c>
      <c r="I3171" s="0" t="s">
        <v>10604</v>
      </c>
      <c r="J3171" s="0" t="s">
        <v>10605</v>
      </c>
      <c r="K3171" s="0" t="s">
        <v>10606</v>
      </c>
      <c r="L3171" s="0" t="str">
        <f aca="false">HYPERLINK("https://www.ncbi.nlm.nih.gov/nuccore/CP000304.1?report=graph&amp;tracks=[key:gene_model_track,Options:GeneOnly]&amp;mk=926759:926778|offset_1|00cc00,926821:926840|offset_63|444444,926853:926872|offset_95|444444,926875:926894|offset_117|444444&amp;v=926558:927094&amp;c=444444", "offset 1")</f>
        <v>offset 1</v>
      </c>
    </row>
    <row r="3172" customFormat="false" ht="12.8" hidden="false" customHeight="false" outlineLevel="0" collapsed="false">
      <c r="A3172" s="0" t="s">
        <v>12</v>
      </c>
      <c r="B3172" s="0" t="n">
        <v>926820</v>
      </c>
      <c r="C3172" s="0" t="n">
        <v>926840</v>
      </c>
      <c r="D3172" s="0" t="s">
        <v>10603</v>
      </c>
      <c r="E3172" s="0" t="s">
        <v>89</v>
      </c>
      <c r="F3172" s="0" t="s">
        <v>15</v>
      </c>
      <c r="G3172" s="0" t="s">
        <v>36</v>
      </c>
      <c r="H3172" s="0" t="n">
        <v>63</v>
      </c>
      <c r="I3172" s="0" t="s">
        <v>10607</v>
      </c>
      <c r="J3172" s="0" t="s">
        <v>10608</v>
      </c>
      <c r="K3172" s="0" t="s">
        <v>10609</v>
      </c>
      <c r="L3172" s="0" t="str">
        <f aca="false">HYPERLINK("https://www.ncbi.nlm.nih.gov/nuccore/CP000304.1?report=graph&amp;tracks=[key:gene_model_track,Options:GeneOnly]&amp;mk=926759:926778|offset_1|444444,926821:926840|offset_63|00cc00,926853:926872|offset_95|444444,926875:926894|offset_117|444444&amp;v=926558:927094&amp;c=444444", "offset 63")</f>
        <v>offset 63</v>
      </c>
    </row>
    <row r="3173" customFormat="false" ht="12.8" hidden="false" customHeight="false" outlineLevel="0" collapsed="false">
      <c r="A3173" s="0" t="s">
        <v>12</v>
      </c>
      <c r="B3173" s="0" t="n">
        <v>926852</v>
      </c>
      <c r="C3173" s="0" t="n">
        <v>926872</v>
      </c>
      <c r="D3173" s="0" t="s">
        <v>10603</v>
      </c>
      <c r="E3173" s="0" t="s">
        <v>89</v>
      </c>
      <c r="F3173" s="0" t="s">
        <v>15</v>
      </c>
      <c r="G3173" s="0" t="s">
        <v>26</v>
      </c>
      <c r="H3173" s="0" t="n">
        <v>95</v>
      </c>
      <c r="I3173" s="0" t="s">
        <v>10610</v>
      </c>
      <c r="J3173" s="0" t="s">
        <v>10611</v>
      </c>
      <c r="K3173" s="0" t="s">
        <v>10612</v>
      </c>
      <c r="L3173" s="0" t="str">
        <f aca="false">HYPERLINK("https://www.ncbi.nlm.nih.gov/nuccore/CP000304.1?report=graph&amp;tracks=[key:gene_model_track,Options:GeneOnly]&amp;mk=926759:926778|offset_1|444444,926821:926840|offset_63|444444,926853:926872|offset_95|00cc00,926875:926894|offset_117|444444&amp;v=926558:927094&amp;c=444444", "offset 95")</f>
        <v>offset 95</v>
      </c>
    </row>
    <row r="3174" customFormat="false" ht="12.8" hidden="false" customHeight="false" outlineLevel="0" collapsed="false">
      <c r="A3174" s="0" t="s">
        <v>12</v>
      </c>
      <c r="B3174" s="0" t="n">
        <v>926874</v>
      </c>
      <c r="C3174" s="0" t="n">
        <v>926894</v>
      </c>
      <c r="D3174" s="0" t="s">
        <v>10603</v>
      </c>
      <c r="E3174" s="0" t="s">
        <v>89</v>
      </c>
      <c r="F3174" s="0" t="s">
        <v>15</v>
      </c>
      <c r="G3174" s="0" t="s">
        <v>16</v>
      </c>
      <c r="H3174" s="0" t="n">
        <v>117</v>
      </c>
      <c r="I3174" s="0" t="s">
        <v>10613</v>
      </c>
      <c r="J3174" s="0" t="s">
        <v>10614</v>
      </c>
      <c r="K3174" s="0" t="s">
        <v>10615</v>
      </c>
      <c r="L3174" s="0" t="str">
        <f aca="false">HYPERLINK("https://www.ncbi.nlm.nih.gov/nuccore/CP000304.1?report=graph&amp;tracks=[key:gene_model_track,Options:GeneOnly]&amp;mk=926759:926778|offset_1|444444,926821:926840|offset_63|444444,926853:926872|offset_95|444444,926875:926894|offset_117|00cc00&amp;v=926558:927094&amp;c=444444", "offset 117")</f>
        <v>offset 117</v>
      </c>
    </row>
    <row r="3175" customFormat="false" ht="12.8" hidden="false" customHeight="false" outlineLevel="0" collapsed="false">
      <c r="A3175" s="0" t="s">
        <v>12</v>
      </c>
      <c r="B3175" s="0" t="n">
        <v>927427</v>
      </c>
      <c r="C3175" s="0" t="n">
        <v>927447</v>
      </c>
      <c r="D3175" s="0" t="s">
        <v>10616</v>
      </c>
      <c r="E3175" s="0" t="s">
        <v>10617</v>
      </c>
      <c r="F3175" s="0" t="s">
        <v>90</v>
      </c>
      <c r="G3175" s="0" t="s">
        <v>32</v>
      </c>
      <c r="H3175" s="0" t="n">
        <v>1</v>
      </c>
      <c r="I3175" s="0" t="s">
        <v>10618</v>
      </c>
      <c r="J3175" s="0" t="s">
        <v>10619</v>
      </c>
      <c r="K3175" s="0" t="s">
        <v>10620</v>
      </c>
      <c r="L3175" s="0" t="str">
        <f aca="false">HYPERLINK("https://www.ncbi.nlm.nih.gov/nuccore/CP000304.1?report=graph&amp;tracks=[key:gene_model_track,Options:GeneOnly]&amp;mk=927428:927447|offset_1|00cc00,927406:927425|offset_23|444444,927385:927404|offset_44|444444,927365:927384|offset_64|444444&amp;v=927227:927584&amp;c=444444", "offset 1")</f>
        <v>offset 1</v>
      </c>
    </row>
    <row r="3176" customFormat="false" ht="12.8" hidden="false" customHeight="false" outlineLevel="0" collapsed="false">
      <c r="A3176" s="0" t="s">
        <v>12</v>
      </c>
      <c r="B3176" s="0" t="n">
        <v>927405</v>
      </c>
      <c r="C3176" s="0" t="n">
        <v>927425</v>
      </c>
      <c r="D3176" s="0" t="s">
        <v>10616</v>
      </c>
      <c r="E3176" s="0" t="s">
        <v>10617</v>
      </c>
      <c r="F3176" s="0" t="s">
        <v>90</v>
      </c>
      <c r="G3176" s="0" t="s">
        <v>26</v>
      </c>
      <c r="H3176" s="0" t="n">
        <v>23</v>
      </c>
      <c r="I3176" s="0" t="s">
        <v>10621</v>
      </c>
      <c r="J3176" s="0" t="s">
        <v>10622</v>
      </c>
      <c r="K3176" s="0" t="s">
        <v>10623</v>
      </c>
      <c r="L3176" s="0" t="str">
        <f aca="false">HYPERLINK("https://www.ncbi.nlm.nih.gov/nuccore/CP000304.1?report=graph&amp;tracks=[key:gene_model_track,Options:GeneOnly]&amp;mk=927428:927447|offset_1|444444,927406:927425|offset_23|00cc00,927385:927404|offset_44|444444,927365:927384|offset_64|444444&amp;v=927227:927584&amp;c=444444", "offset 23")</f>
        <v>offset 23</v>
      </c>
    </row>
    <row r="3177" customFormat="false" ht="12.8" hidden="false" customHeight="false" outlineLevel="0" collapsed="false">
      <c r="A3177" s="0" t="s">
        <v>12</v>
      </c>
      <c r="B3177" s="0" t="n">
        <v>927384</v>
      </c>
      <c r="C3177" s="0" t="n">
        <v>927404</v>
      </c>
      <c r="D3177" s="0" t="s">
        <v>10616</v>
      </c>
      <c r="E3177" s="0" t="s">
        <v>10617</v>
      </c>
      <c r="F3177" s="0" t="s">
        <v>90</v>
      </c>
      <c r="G3177" s="0" t="s">
        <v>36</v>
      </c>
      <c r="H3177" s="0" t="n">
        <v>44</v>
      </c>
      <c r="I3177" s="0" t="s">
        <v>10624</v>
      </c>
      <c r="J3177" s="0" t="s">
        <v>10625</v>
      </c>
      <c r="K3177" s="0" t="s">
        <v>10626</v>
      </c>
      <c r="L3177" s="0" t="str">
        <f aca="false">HYPERLINK("https://www.ncbi.nlm.nih.gov/nuccore/CP000304.1?report=graph&amp;tracks=[key:gene_model_track,Options:GeneOnly]&amp;mk=927428:927447|offset_1|444444,927406:927425|offset_23|444444,927385:927404|offset_44|00cc00,927365:927384|offset_64|444444&amp;v=927227:927584&amp;c=444444", "offset 44")</f>
        <v>offset 44</v>
      </c>
    </row>
    <row r="3178" customFormat="false" ht="12.8" hidden="false" customHeight="false" outlineLevel="0" collapsed="false">
      <c r="A3178" s="0" t="s">
        <v>12</v>
      </c>
      <c r="B3178" s="0" t="n">
        <v>927364</v>
      </c>
      <c r="C3178" s="0" t="n">
        <v>927384</v>
      </c>
      <c r="D3178" s="0" t="s">
        <v>10616</v>
      </c>
      <c r="E3178" s="0" t="s">
        <v>10617</v>
      </c>
      <c r="F3178" s="0" t="s">
        <v>90</v>
      </c>
      <c r="G3178" s="0" t="s">
        <v>32</v>
      </c>
      <c r="H3178" s="0" t="n">
        <v>64</v>
      </c>
      <c r="I3178" s="0" t="s">
        <v>10627</v>
      </c>
      <c r="J3178" s="0" t="s">
        <v>10628</v>
      </c>
      <c r="K3178" s="0" t="s">
        <v>10629</v>
      </c>
      <c r="L3178" s="0" t="str">
        <f aca="false">HYPERLINK("https://www.ncbi.nlm.nih.gov/nuccore/CP000304.1?report=graph&amp;tracks=[key:gene_model_track,Options:GeneOnly]&amp;mk=927428:927447|offset_1|444444,927406:927425|offset_23|444444,927385:927404|offset_44|444444,927365:927384|offset_64|00cc00&amp;v=927227:927584&amp;c=444444", "offset 64")</f>
        <v>offset 64</v>
      </c>
    </row>
    <row r="3179" customFormat="false" ht="12.8" hidden="false" customHeight="false" outlineLevel="0" collapsed="false">
      <c r="A3179" s="0" t="s">
        <v>12</v>
      </c>
      <c r="B3179" s="0" t="n">
        <v>928666</v>
      </c>
      <c r="C3179" s="0" t="n">
        <v>928686</v>
      </c>
      <c r="D3179" s="0" t="s">
        <v>10630</v>
      </c>
      <c r="E3179" s="0" t="s">
        <v>89</v>
      </c>
      <c r="F3179" s="0" t="s">
        <v>90</v>
      </c>
      <c r="G3179" s="0" t="s">
        <v>26</v>
      </c>
      <c r="H3179" s="0" t="n">
        <v>7</v>
      </c>
      <c r="I3179" s="0" t="s">
        <v>10631</v>
      </c>
      <c r="J3179" s="0" t="s">
        <v>10632</v>
      </c>
      <c r="K3179" s="0" t="s">
        <v>10633</v>
      </c>
      <c r="L3179" s="0" t="str">
        <f aca="false">HYPERLINK("https://www.ncbi.nlm.nih.gov/nuccore/CP000304.1?report=graph&amp;tracks=[key:gene_model_track,Options:GeneOnly]&amp;mk=928667:928686|offset_7|00cc00,928600:928619|offset_74|444444,928545:928564|offset_129|444444,928523:928542|offset_151|444444&amp;v=928466:928742&amp;c=444444", "offset 7")</f>
        <v>offset 7</v>
      </c>
    </row>
    <row r="3180" customFormat="false" ht="12.8" hidden="false" customHeight="false" outlineLevel="0" collapsed="false">
      <c r="A3180" s="0" t="s">
        <v>12</v>
      </c>
      <c r="B3180" s="0" t="n">
        <v>928599</v>
      </c>
      <c r="C3180" s="0" t="n">
        <v>928619</v>
      </c>
      <c r="D3180" s="0" t="s">
        <v>10630</v>
      </c>
      <c r="E3180" s="0" t="s">
        <v>89</v>
      </c>
      <c r="F3180" s="0" t="s">
        <v>90</v>
      </c>
      <c r="G3180" s="0" t="s">
        <v>32</v>
      </c>
      <c r="H3180" s="0" t="n">
        <v>74</v>
      </c>
      <c r="I3180" s="0" t="s">
        <v>10634</v>
      </c>
      <c r="J3180" s="0" t="s">
        <v>10635</v>
      </c>
      <c r="K3180" s="0" t="s">
        <v>10636</v>
      </c>
      <c r="L3180" s="0" t="str">
        <f aca="false">HYPERLINK("https://www.ncbi.nlm.nih.gov/nuccore/CP000304.1?report=graph&amp;tracks=[key:gene_model_track,Options:GeneOnly]&amp;mk=928667:928686|offset_7|444444,928600:928619|offset_74|00cc00,928545:928564|offset_129|444444,928523:928542|offset_151|444444&amp;v=928466:928742&amp;c=444444", "offset 74")</f>
        <v>offset 74</v>
      </c>
    </row>
    <row r="3181" customFormat="false" ht="12.8" hidden="false" customHeight="false" outlineLevel="0" collapsed="false">
      <c r="A3181" s="0" t="s">
        <v>12</v>
      </c>
      <c r="B3181" s="0" t="n">
        <v>928544</v>
      </c>
      <c r="C3181" s="0" t="n">
        <v>928564</v>
      </c>
      <c r="D3181" s="0" t="s">
        <v>10630</v>
      </c>
      <c r="E3181" s="0" t="s">
        <v>89</v>
      </c>
      <c r="F3181" s="0" t="s">
        <v>90</v>
      </c>
      <c r="G3181" s="0" t="s">
        <v>36</v>
      </c>
      <c r="H3181" s="0" t="n">
        <v>129</v>
      </c>
      <c r="I3181" s="0" t="s">
        <v>10637</v>
      </c>
      <c r="J3181" s="0" t="s">
        <v>10638</v>
      </c>
      <c r="K3181" s="0" t="s">
        <v>10639</v>
      </c>
      <c r="L3181" s="0" t="str">
        <f aca="false">HYPERLINK("https://www.ncbi.nlm.nih.gov/nuccore/CP000304.1?report=graph&amp;tracks=[key:gene_model_track,Options:GeneOnly]&amp;mk=928667:928686|offset_7|444444,928600:928619|offset_74|444444,928545:928564|offset_129|00cc00,928523:928542|offset_151|444444&amp;v=928466:928742&amp;c=444444", "offset 129")</f>
        <v>offset 129</v>
      </c>
    </row>
    <row r="3182" customFormat="false" ht="12.8" hidden="false" customHeight="false" outlineLevel="0" collapsed="false">
      <c r="A3182" s="0" t="s">
        <v>12</v>
      </c>
      <c r="B3182" s="0" t="n">
        <v>928522</v>
      </c>
      <c r="C3182" s="0" t="n">
        <v>928542</v>
      </c>
      <c r="D3182" s="0" t="s">
        <v>10630</v>
      </c>
      <c r="E3182" s="0" t="s">
        <v>89</v>
      </c>
      <c r="F3182" s="0" t="s">
        <v>90</v>
      </c>
      <c r="G3182" s="0" t="s">
        <v>16</v>
      </c>
      <c r="H3182" s="0" t="n">
        <v>151</v>
      </c>
      <c r="I3182" s="0" t="s">
        <v>10640</v>
      </c>
      <c r="J3182" s="0" t="s">
        <v>10641</v>
      </c>
      <c r="K3182" s="0" t="s">
        <v>10642</v>
      </c>
      <c r="L3182" s="0" t="str">
        <f aca="false">HYPERLINK("https://www.ncbi.nlm.nih.gov/nuccore/CP000304.1?report=graph&amp;tracks=[key:gene_model_track,Options:GeneOnly]&amp;mk=928667:928686|offset_7|444444,928600:928619|offset_74|444444,928545:928564|offset_129|444444,928523:928542|offset_151|00cc00&amp;v=928466:928742&amp;c=444444", "offset 151")</f>
        <v>offset 151</v>
      </c>
    </row>
    <row r="3183" customFormat="false" ht="12.8" hidden="false" customHeight="false" outlineLevel="0" collapsed="false">
      <c r="A3183" s="0" t="s">
        <v>12</v>
      </c>
      <c r="B3183" s="0" t="n">
        <v>928732</v>
      </c>
      <c r="C3183" s="0" t="n">
        <v>928752</v>
      </c>
      <c r="D3183" s="0" t="s">
        <v>10643</v>
      </c>
      <c r="E3183" s="0" t="s">
        <v>89</v>
      </c>
      <c r="F3183" s="0" t="s">
        <v>15</v>
      </c>
      <c r="G3183" s="0" t="s">
        <v>16</v>
      </c>
      <c r="H3183" s="0" t="n">
        <v>8</v>
      </c>
      <c r="I3183" s="0" t="s">
        <v>10644</v>
      </c>
      <c r="J3183" s="0" t="s">
        <v>10645</v>
      </c>
      <c r="K3183" s="0" t="s">
        <v>10646</v>
      </c>
      <c r="L3183" s="0" t="str">
        <f aca="false">HYPERLINK("https://www.ncbi.nlm.nih.gov/nuccore/CP000304.1?report=graph&amp;tracks=[key:gene_model_track,Options:GeneOnly]&amp;mk=928733:928752|offset_8|00cc00,928753:928772|offset_28|444444,928774:928793|offset_49|444444,928800:928819|offset_75|444444&amp;v=928532:929019&amp;c=444444", "offset 8")</f>
        <v>offset 8</v>
      </c>
    </row>
    <row r="3184" customFormat="false" ht="12.8" hidden="false" customHeight="false" outlineLevel="0" collapsed="false">
      <c r="A3184" s="0" t="s">
        <v>12</v>
      </c>
      <c r="B3184" s="0" t="n">
        <v>928752</v>
      </c>
      <c r="C3184" s="0" t="n">
        <v>928772</v>
      </c>
      <c r="D3184" s="0" t="s">
        <v>10643</v>
      </c>
      <c r="E3184" s="0" t="s">
        <v>89</v>
      </c>
      <c r="F3184" s="0" t="s">
        <v>15</v>
      </c>
      <c r="G3184" s="0" t="s">
        <v>26</v>
      </c>
      <c r="H3184" s="0" t="n">
        <v>28</v>
      </c>
      <c r="I3184" s="0" t="s">
        <v>10647</v>
      </c>
      <c r="J3184" s="0" t="s">
        <v>10648</v>
      </c>
      <c r="K3184" s="0" t="s">
        <v>10649</v>
      </c>
      <c r="L3184" s="0" t="str">
        <f aca="false">HYPERLINK("https://www.ncbi.nlm.nih.gov/nuccore/CP000304.1?report=graph&amp;tracks=[key:gene_model_track,Options:GeneOnly]&amp;mk=928733:928752|offset_8|444444,928753:928772|offset_28|00cc00,928774:928793|offset_49|444444,928800:928819|offset_75|444444&amp;v=928532:929019&amp;c=444444", "offset 28")</f>
        <v>offset 28</v>
      </c>
    </row>
    <row r="3185" customFormat="false" ht="12.8" hidden="false" customHeight="false" outlineLevel="0" collapsed="false">
      <c r="A3185" s="0" t="s">
        <v>12</v>
      </c>
      <c r="B3185" s="0" t="n">
        <v>928773</v>
      </c>
      <c r="C3185" s="0" t="n">
        <v>928793</v>
      </c>
      <c r="D3185" s="0" t="s">
        <v>10643</v>
      </c>
      <c r="E3185" s="0" t="s">
        <v>89</v>
      </c>
      <c r="F3185" s="0" t="s">
        <v>15</v>
      </c>
      <c r="G3185" s="0" t="s">
        <v>26</v>
      </c>
      <c r="H3185" s="0" t="n">
        <v>49</v>
      </c>
      <c r="I3185" s="0" t="s">
        <v>10650</v>
      </c>
      <c r="J3185" s="0" t="s">
        <v>10651</v>
      </c>
      <c r="K3185" s="0" t="s">
        <v>10652</v>
      </c>
      <c r="L3185" s="0" t="str">
        <f aca="false">HYPERLINK("https://www.ncbi.nlm.nih.gov/nuccore/CP000304.1?report=graph&amp;tracks=[key:gene_model_track,Options:GeneOnly]&amp;mk=928733:928752|offset_8|444444,928753:928772|offset_28|444444,928774:928793|offset_49|00cc00,928800:928819|offset_75|444444&amp;v=928532:929019&amp;c=444444", "offset 49")</f>
        <v>offset 49</v>
      </c>
    </row>
    <row r="3186" customFormat="false" ht="12.8" hidden="false" customHeight="false" outlineLevel="0" collapsed="false">
      <c r="A3186" s="0" t="s">
        <v>12</v>
      </c>
      <c r="B3186" s="0" t="n">
        <v>928799</v>
      </c>
      <c r="C3186" s="0" t="n">
        <v>928819</v>
      </c>
      <c r="D3186" s="0" t="s">
        <v>10643</v>
      </c>
      <c r="E3186" s="0" t="s">
        <v>89</v>
      </c>
      <c r="F3186" s="0" t="s">
        <v>15</v>
      </c>
      <c r="G3186" s="0" t="s">
        <v>16</v>
      </c>
      <c r="H3186" s="0" t="n">
        <v>75</v>
      </c>
      <c r="I3186" s="0" t="s">
        <v>10653</v>
      </c>
      <c r="J3186" s="0" t="s">
        <v>10654</v>
      </c>
      <c r="K3186" s="0" t="s">
        <v>10655</v>
      </c>
      <c r="L3186" s="0" t="str">
        <f aca="false">HYPERLINK("https://www.ncbi.nlm.nih.gov/nuccore/CP000304.1?report=graph&amp;tracks=[key:gene_model_track,Options:GeneOnly]&amp;mk=928733:928752|offset_8|444444,928753:928772|offset_28|444444,928774:928793|offset_49|444444,928800:928819|offset_75|00cc00&amp;v=928532:929019&amp;c=444444", "offset 75")</f>
        <v>offset 75</v>
      </c>
    </row>
    <row r="3187" customFormat="false" ht="12.8" hidden="false" customHeight="false" outlineLevel="0" collapsed="false">
      <c r="A3187" s="0" t="s">
        <v>12</v>
      </c>
      <c r="B3187" s="0" t="n">
        <v>929144</v>
      </c>
      <c r="C3187" s="0" t="n">
        <v>929164</v>
      </c>
      <c r="D3187" s="0" t="s">
        <v>10656</v>
      </c>
      <c r="E3187" s="0" t="s">
        <v>10657</v>
      </c>
      <c r="F3187" s="0" t="s">
        <v>15</v>
      </c>
      <c r="G3187" s="0" t="s">
        <v>36</v>
      </c>
      <c r="H3187" s="0" t="n">
        <v>7</v>
      </c>
      <c r="I3187" s="0" t="s">
        <v>10658</v>
      </c>
      <c r="J3187" s="0" t="s">
        <v>10659</v>
      </c>
      <c r="K3187" s="0" t="s">
        <v>10660</v>
      </c>
      <c r="L3187" s="0" t="str">
        <f aca="false">HYPERLINK("https://www.ncbi.nlm.nih.gov/nuccore/CP000304.1?report=graph&amp;tracks=[key:gene_model_track,Options:GeneOnly]&amp;mk=929145:929164|offset_7|00cc00,929184:929203|offset_46|444444,929220:929239|offset_82|444444,929259:929278|offset_121|444444&amp;v=928944:929478&amp;c=444444", "offset 7")</f>
        <v>offset 7</v>
      </c>
    </row>
    <row r="3188" customFormat="false" ht="12.8" hidden="false" customHeight="false" outlineLevel="0" collapsed="false">
      <c r="A3188" s="0" t="s">
        <v>12</v>
      </c>
      <c r="B3188" s="0" t="n">
        <v>929183</v>
      </c>
      <c r="C3188" s="0" t="n">
        <v>929203</v>
      </c>
      <c r="D3188" s="0" t="s">
        <v>10656</v>
      </c>
      <c r="E3188" s="0" t="s">
        <v>10657</v>
      </c>
      <c r="F3188" s="0" t="s">
        <v>15</v>
      </c>
      <c r="G3188" s="0" t="s">
        <v>36</v>
      </c>
      <c r="H3188" s="0" t="n">
        <v>46</v>
      </c>
      <c r="I3188" s="0" t="s">
        <v>10661</v>
      </c>
      <c r="J3188" s="0" t="s">
        <v>10662</v>
      </c>
      <c r="K3188" s="0" t="s">
        <v>10663</v>
      </c>
      <c r="L3188" s="0" t="str">
        <f aca="false">HYPERLINK("https://www.ncbi.nlm.nih.gov/nuccore/CP000304.1?report=graph&amp;tracks=[key:gene_model_track,Options:GeneOnly]&amp;mk=929145:929164|offset_7|444444,929184:929203|offset_46|00cc00,929220:929239|offset_82|444444,929259:929278|offset_121|444444&amp;v=928944:929478&amp;c=444444", "offset 46")</f>
        <v>offset 46</v>
      </c>
    </row>
    <row r="3189" customFormat="false" ht="12.8" hidden="false" customHeight="false" outlineLevel="0" collapsed="false">
      <c r="A3189" s="0" t="s">
        <v>12</v>
      </c>
      <c r="B3189" s="0" t="n">
        <v>929219</v>
      </c>
      <c r="C3189" s="0" t="n">
        <v>929239</v>
      </c>
      <c r="D3189" s="0" t="s">
        <v>10656</v>
      </c>
      <c r="E3189" s="0" t="s">
        <v>10657</v>
      </c>
      <c r="F3189" s="0" t="s">
        <v>15</v>
      </c>
      <c r="G3189" s="0" t="s">
        <v>16</v>
      </c>
      <c r="H3189" s="0" t="n">
        <v>82</v>
      </c>
      <c r="I3189" s="0" t="s">
        <v>10664</v>
      </c>
      <c r="J3189" s="0" t="s">
        <v>10665</v>
      </c>
      <c r="K3189" s="0" t="s">
        <v>10666</v>
      </c>
      <c r="L3189" s="0" t="str">
        <f aca="false">HYPERLINK("https://www.ncbi.nlm.nih.gov/nuccore/CP000304.1?report=graph&amp;tracks=[key:gene_model_track,Options:GeneOnly]&amp;mk=929145:929164|offset_7|444444,929184:929203|offset_46|444444,929220:929239|offset_82|00cc00,929259:929278|offset_121|444444&amp;v=928944:929478&amp;c=444444", "offset 82")</f>
        <v>offset 82</v>
      </c>
    </row>
    <row r="3190" customFormat="false" ht="12.8" hidden="false" customHeight="false" outlineLevel="0" collapsed="false">
      <c r="A3190" s="0" t="s">
        <v>12</v>
      </c>
      <c r="B3190" s="0" t="n">
        <v>929258</v>
      </c>
      <c r="C3190" s="0" t="n">
        <v>929278</v>
      </c>
      <c r="D3190" s="0" t="s">
        <v>10656</v>
      </c>
      <c r="E3190" s="0" t="s">
        <v>10657</v>
      </c>
      <c r="F3190" s="0" t="s">
        <v>15</v>
      </c>
      <c r="G3190" s="0" t="s">
        <v>16</v>
      </c>
      <c r="H3190" s="0" t="n">
        <v>121</v>
      </c>
      <c r="I3190" s="0" t="s">
        <v>10667</v>
      </c>
      <c r="J3190" s="0" t="s">
        <v>10668</v>
      </c>
      <c r="K3190" s="0" t="s">
        <v>10669</v>
      </c>
      <c r="L3190" s="0" t="str">
        <f aca="false">HYPERLINK("https://www.ncbi.nlm.nih.gov/nuccore/CP000304.1?report=graph&amp;tracks=[key:gene_model_track,Options:GeneOnly]&amp;mk=929145:929164|offset_7|444444,929184:929203|offset_46|444444,929220:929239|offset_82|444444,929259:929278|offset_121|00cc00&amp;v=928944:929478&amp;c=444444", "offset 121")</f>
        <v>offset 121</v>
      </c>
    </row>
    <row r="3191" customFormat="false" ht="12.8" hidden="false" customHeight="false" outlineLevel="0" collapsed="false">
      <c r="A3191" s="0" t="s">
        <v>12</v>
      </c>
      <c r="B3191" s="0" t="n">
        <v>930764</v>
      </c>
      <c r="C3191" s="0" t="n">
        <v>930784</v>
      </c>
      <c r="D3191" s="0" t="s">
        <v>10670</v>
      </c>
      <c r="E3191" s="0" t="s">
        <v>10671</v>
      </c>
      <c r="F3191" s="0" t="s">
        <v>15</v>
      </c>
      <c r="G3191" s="0" t="s">
        <v>16</v>
      </c>
      <c r="H3191" s="0" t="n">
        <v>10</v>
      </c>
      <c r="I3191" s="0" t="s">
        <v>10672</v>
      </c>
      <c r="J3191" s="0" t="s">
        <v>10673</v>
      </c>
      <c r="K3191" s="0" t="s">
        <v>10674</v>
      </c>
      <c r="L3191" s="0" t="str">
        <f aca="false">HYPERLINK("https://www.ncbi.nlm.nih.gov/nuccore/CP000304.1?report=graph&amp;tracks=[key:gene_model_track,Options:GeneOnly]&amp;mk=930765:930784|offset_10|00cc00,930789:930808|offset_34|444444,930823:930842|offset_68|444444,930885:930904|offset_130|444444&amp;v=930564:931104&amp;c=444444", "offset 10")</f>
        <v>offset 10</v>
      </c>
    </row>
    <row r="3192" customFormat="false" ht="12.8" hidden="false" customHeight="false" outlineLevel="0" collapsed="false">
      <c r="A3192" s="0" t="s">
        <v>12</v>
      </c>
      <c r="B3192" s="0" t="n">
        <v>930788</v>
      </c>
      <c r="C3192" s="0" t="n">
        <v>930808</v>
      </c>
      <c r="D3192" s="0" t="s">
        <v>10670</v>
      </c>
      <c r="E3192" s="0" t="s">
        <v>10671</v>
      </c>
      <c r="F3192" s="0" t="s">
        <v>15</v>
      </c>
      <c r="G3192" s="0" t="s">
        <v>32</v>
      </c>
      <c r="H3192" s="0" t="n">
        <v>34</v>
      </c>
      <c r="I3192" s="0" t="s">
        <v>10675</v>
      </c>
      <c r="J3192" s="0" t="s">
        <v>10676</v>
      </c>
      <c r="K3192" s="0" t="s">
        <v>10677</v>
      </c>
      <c r="L3192" s="0" t="str">
        <f aca="false">HYPERLINK("https://www.ncbi.nlm.nih.gov/nuccore/CP000304.1?report=graph&amp;tracks=[key:gene_model_track,Options:GeneOnly]&amp;mk=930765:930784|offset_10|444444,930789:930808|offset_34|00cc00,930823:930842|offset_68|444444,930885:930904|offset_130|444444&amp;v=930564:931104&amp;c=444444", "offset 34")</f>
        <v>offset 34</v>
      </c>
    </row>
    <row r="3193" customFormat="false" ht="12.8" hidden="false" customHeight="false" outlineLevel="0" collapsed="false">
      <c r="A3193" s="0" t="s">
        <v>12</v>
      </c>
      <c r="B3193" s="0" t="n">
        <v>930822</v>
      </c>
      <c r="C3193" s="0" t="n">
        <v>930842</v>
      </c>
      <c r="D3193" s="0" t="s">
        <v>10670</v>
      </c>
      <c r="E3193" s="0" t="s">
        <v>10671</v>
      </c>
      <c r="F3193" s="0" t="s">
        <v>15</v>
      </c>
      <c r="G3193" s="0" t="s">
        <v>16</v>
      </c>
      <c r="H3193" s="0" t="n">
        <v>68</v>
      </c>
      <c r="I3193" s="0" t="s">
        <v>10678</v>
      </c>
      <c r="J3193" s="0" t="s">
        <v>10679</v>
      </c>
      <c r="K3193" s="0" t="s">
        <v>10680</v>
      </c>
      <c r="L3193" s="0" t="str">
        <f aca="false">HYPERLINK("https://www.ncbi.nlm.nih.gov/nuccore/CP000304.1?report=graph&amp;tracks=[key:gene_model_track,Options:GeneOnly]&amp;mk=930765:930784|offset_10|444444,930789:930808|offset_34|444444,930823:930842|offset_68|00cc00,930885:930904|offset_130|444444&amp;v=930564:931104&amp;c=444444", "offset 68")</f>
        <v>offset 68</v>
      </c>
    </row>
    <row r="3194" customFormat="false" ht="12.8" hidden="false" customHeight="false" outlineLevel="0" collapsed="false">
      <c r="A3194" s="0" t="s">
        <v>12</v>
      </c>
      <c r="B3194" s="0" t="n">
        <v>930884</v>
      </c>
      <c r="C3194" s="0" t="n">
        <v>930904</v>
      </c>
      <c r="D3194" s="0" t="s">
        <v>10670</v>
      </c>
      <c r="E3194" s="0" t="s">
        <v>10671</v>
      </c>
      <c r="F3194" s="0" t="s">
        <v>15</v>
      </c>
      <c r="G3194" s="0" t="s">
        <v>16</v>
      </c>
      <c r="H3194" s="0" t="n">
        <v>130</v>
      </c>
      <c r="I3194" s="0" t="s">
        <v>10681</v>
      </c>
      <c r="J3194" s="0" t="s">
        <v>10682</v>
      </c>
      <c r="K3194" s="0" t="s">
        <v>10683</v>
      </c>
      <c r="L3194" s="0" t="str">
        <f aca="false">HYPERLINK("https://www.ncbi.nlm.nih.gov/nuccore/CP000304.1?report=graph&amp;tracks=[key:gene_model_track,Options:GeneOnly]&amp;mk=930765:930784|offset_10|444444,930789:930808|offset_34|444444,930823:930842|offset_68|444444,930885:930904|offset_130|00cc00&amp;v=930564:931104&amp;c=444444", "offset 130")</f>
        <v>offset 130</v>
      </c>
    </row>
    <row r="3195" customFormat="false" ht="12.8" hidden="false" customHeight="false" outlineLevel="0" collapsed="false">
      <c r="A3195" s="0" t="s">
        <v>12</v>
      </c>
      <c r="B3195" s="0" t="n">
        <v>931428</v>
      </c>
      <c r="C3195" s="0" t="n">
        <v>931448</v>
      </c>
      <c r="D3195" s="0" t="s">
        <v>10684</v>
      </c>
      <c r="E3195" s="0" t="s">
        <v>10685</v>
      </c>
      <c r="F3195" s="0" t="s">
        <v>15</v>
      </c>
      <c r="G3195" s="0" t="s">
        <v>16</v>
      </c>
      <c r="H3195" s="0" t="n">
        <v>0</v>
      </c>
      <c r="I3195" s="0" t="s">
        <v>10686</v>
      </c>
      <c r="J3195" s="0" t="s">
        <v>10687</v>
      </c>
      <c r="K3195" s="0" t="s">
        <v>10688</v>
      </c>
      <c r="L3195" s="0" t="str">
        <f aca="false">HYPERLINK("https://www.ncbi.nlm.nih.gov/nuccore/CP000304.1?report=graph&amp;tracks=[key:gene_model_track,Options:GeneOnly]&amp;mk=931429:931448|offset_0|00cc00,931470:931489|offset_41|444444,931491:931510|offset_62|444444,931538:931557|offset_109|444444&amp;v=931228:931757&amp;c=444444", "offset 0")</f>
        <v>offset 0</v>
      </c>
    </row>
    <row r="3196" customFormat="false" ht="12.8" hidden="false" customHeight="false" outlineLevel="0" collapsed="false">
      <c r="A3196" s="0" t="s">
        <v>12</v>
      </c>
      <c r="B3196" s="0" t="n">
        <v>931469</v>
      </c>
      <c r="C3196" s="0" t="n">
        <v>931489</v>
      </c>
      <c r="D3196" s="0" t="s">
        <v>10684</v>
      </c>
      <c r="E3196" s="0" t="s">
        <v>10685</v>
      </c>
      <c r="F3196" s="0" t="s">
        <v>15</v>
      </c>
      <c r="G3196" s="0" t="s">
        <v>16</v>
      </c>
      <c r="H3196" s="0" t="n">
        <v>41</v>
      </c>
      <c r="I3196" s="0" t="s">
        <v>10689</v>
      </c>
      <c r="J3196" s="0" t="s">
        <v>10690</v>
      </c>
      <c r="K3196" s="0" t="s">
        <v>10691</v>
      </c>
      <c r="L3196" s="0" t="str">
        <f aca="false">HYPERLINK("https://www.ncbi.nlm.nih.gov/nuccore/CP000304.1?report=graph&amp;tracks=[key:gene_model_track,Options:GeneOnly]&amp;mk=931429:931448|offset_0|444444,931470:931489|offset_41|00cc00,931491:931510|offset_62|444444,931538:931557|offset_109|444444&amp;v=931228:931757&amp;c=444444", "offset 41")</f>
        <v>offset 41</v>
      </c>
    </row>
    <row r="3197" customFormat="false" ht="12.8" hidden="false" customHeight="false" outlineLevel="0" collapsed="false">
      <c r="A3197" s="0" t="s">
        <v>12</v>
      </c>
      <c r="B3197" s="0" t="n">
        <v>931490</v>
      </c>
      <c r="C3197" s="0" t="n">
        <v>931510</v>
      </c>
      <c r="D3197" s="0" t="s">
        <v>10684</v>
      </c>
      <c r="E3197" s="0" t="s">
        <v>10685</v>
      </c>
      <c r="F3197" s="0" t="s">
        <v>15</v>
      </c>
      <c r="G3197" s="0" t="s">
        <v>26</v>
      </c>
      <c r="H3197" s="0" t="n">
        <v>62</v>
      </c>
      <c r="I3197" s="0" t="s">
        <v>10692</v>
      </c>
      <c r="J3197" s="0" t="s">
        <v>10693</v>
      </c>
      <c r="K3197" s="0" t="s">
        <v>10694</v>
      </c>
      <c r="L3197" s="0" t="str">
        <f aca="false">HYPERLINK("https://www.ncbi.nlm.nih.gov/nuccore/CP000304.1?report=graph&amp;tracks=[key:gene_model_track,Options:GeneOnly]&amp;mk=931429:931448|offset_0|444444,931470:931489|offset_41|444444,931491:931510|offset_62|00cc00,931538:931557|offset_109|444444&amp;v=931228:931757&amp;c=444444", "offset 62")</f>
        <v>offset 62</v>
      </c>
    </row>
    <row r="3198" customFormat="false" ht="12.8" hidden="false" customHeight="false" outlineLevel="0" collapsed="false">
      <c r="A3198" s="0" t="s">
        <v>12</v>
      </c>
      <c r="B3198" s="0" t="n">
        <v>931537</v>
      </c>
      <c r="C3198" s="0" t="n">
        <v>931557</v>
      </c>
      <c r="D3198" s="0" t="s">
        <v>10684</v>
      </c>
      <c r="E3198" s="0" t="s">
        <v>10685</v>
      </c>
      <c r="F3198" s="0" t="s">
        <v>15</v>
      </c>
      <c r="G3198" s="0" t="s">
        <v>26</v>
      </c>
      <c r="H3198" s="0" t="n">
        <v>109</v>
      </c>
      <c r="I3198" s="0" t="s">
        <v>10695</v>
      </c>
      <c r="J3198" s="0" t="s">
        <v>10696</v>
      </c>
      <c r="K3198" s="0" t="s">
        <v>10697</v>
      </c>
      <c r="L3198" s="0" t="str">
        <f aca="false">HYPERLINK("https://www.ncbi.nlm.nih.gov/nuccore/CP000304.1?report=graph&amp;tracks=[key:gene_model_track,Options:GeneOnly]&amp;mk=931429:931448|offset_0|444444,931470:931489|offset_41|444444,931491:931510|offset_62|444444,931538:931557|offset_109|00cc00&amp;v=931228:931757&amp;c=444444", "offset 109")</f>
        <v>offset 109</v>
      </c>
    </row>
    <row r="3199" customFormat="false" ht="12.8" hidden="false" customHeight="false" outlineLevel="0" collapsed="false">
      <c r="A3199" s="0" t="s">
        <v>12</v>
      </c>
      <c r="B3199" s="0" t="n">
        <v>932568</v>
      </c>
      <c r="C3199" s="0" t="n">
        <v>932588</v>
      </c>
      <c r="D3199" s="0" t="s">
        <v>10698</v>
      </c>
      <c r="E3199" s="0" t="s">
        <v>10699</v>
      </c>
      <c r="F3199" s="0" t="s">
        <v>15</v>
      </c>
      <c r="G3199" s="0" t="s">
        <v>36</v>
      </c>
      <c r="H3199" s="0" t="n">
        <v>0</v>
      </c>
      <c r="I3199" s="0" t="s">
        <v>10700</v>
      </c>
      <c r="J3199" s="0" t="s">
        <v>10701</v>
      </c>
      <c r="K3199" s="0" t="s">
        <v>10702</v>
      </c>
      <c r="L3199" s="0" t="str">
        <f aca="false">HYPERLINK("https://www.ncbi.nlm.nih.gov/nuccore/CP000304.1?report=graph&amp;tracks=[key:gene_model_track,Options:GeneOnly]&amp;mk=932569:932588|offset_0|00cc00,932597:932616|offset_28|444444,932624:932643|offset_55|444444,932697:932716|offset_128|444444&amp;v=932368:932916&amp;c=444444", "offset 0")</f>
        <v>offset 0</v>
      </c>
    </row>
    <row r="3200" customFormat="false" ht="12.8" hidden="false" customHeight="false" outlineLevel="0" collapsed="false">
      <c r="A3200" s="0" t="s">
        <v>12</v>
      </c>
      <c r="B3200" s="0" t="n">
        <v>932596</v>
      </c>
      <c r="C3200" s="0" t="n">
        <v>932616</v>
      </c>
      <c r="D3200" s="0" t="s">
        <v>10698</v>
      </c>
      <c r="E3200" s="0" t="s">
        <v>10699</v>
      </c>
      <c r="F3200" s="0" t="s">
        <v>15</v>
      </c>
      <c r="G3200" s="0" t="s">
        <v>26</v>
      </c>
      <c r="H3200" s="0" t="n">
        <v>28</v>
      </c>
      <c r="I3200" s="0" t="s">
        <v>10703</v>
      </c>
      <c r="J3200" s="0" t="s">
        <v>10704</v>
      </c>
      <c r="K3200" s="0" t="s">
        <v>10705</v>
      </c>
      <c r="L3200" s="0" t="str">
        <f aca="false">HYPERLINK("https://www.ncbi.nlm.nih.gov/nuccore/CP000304.1?report=graph&amp;tracks=[key:gene_model_track,Options:GeneOnly]&amp;mk=932569:932588|offset_0|444444,932597:932616|offset_28|00cc00,932624:932643|offset_55|444444,932697:932716|offset_128|444444&amp;v=932368:932916&amp;c=444444", "offset 28")</f>
        <v>offset 28</v>
      </c>
    </row>
    <row r="3201" customFormat="false" ht="12.8" hidden="false" customHeight="false" outlineLevel="0" collapsed="false">
      <c r="A3201" s="0" t="s">
        <v>12</v>
      </c>
      <c r="B3201" s="0" t="n">
        <v>932623</v>
      </c>
      <c r="C3201" s="0" t="n">
        <v>932643</v>
      </c>
      <c r="D3201" s="0" t="s">
        <v>10698</v>
      </c>
      <c r="E3201" s="0" t="s">
        <v>10699</v>
      </c>
      <c r="F3201" s="0" t="s">
        <v>15</v>
      </c>
      <c r="G3201" s="0" t="s">
        <v>36</v>
      </c>
      <c r="H3201" s="0" t="n">
        <v>55</v>
      </c>
      <c r="I3201" s="0" t="s">
        <v>10706</v>
      </c>
      <c r="J3201" s="0" t="s">
        <v>10707</v>
      </c>
      <c r="K3201" s="0" t="s">
        <v>10708</v>
      </c>
      <c r="L3201" s="0" t="str">
        <f aca="false">HYPERLINK("https://www.ncbi.nlm.nih.gov/nuccore/CP000304.1?report=graph&amp;tracks=[key:gene_model_track,Options:GeneOnly]&amp;mk=932569:932588|offset_0|444444,932597:932616|offset_28|444444,932624:932643|offset_55|00cc00,932697:932716|offset_128|444444&amp;v=932368:932916&amp;c=444444", "offset 55")</f>
        <v>offset 55</v>
      </c>
    </row>
    <row r="3202" customFormat="false" ht="12.8" hidden="false" customHeight="false" outlineLevel="0" collapsed="false">
      <c r="A3202" s="0" t="s">
        <v>12</v>
      </c>
      <c r="B3202" s="0" t="n">
        <v>932696</v>
      </c>
      <c r="C3202" s="0" t="n">
        <v>932716</v>
      </c>
      <c r="D3202" s="0" t="s">
        <v>10698</v>
      </c>
      <c r="E3202" s="0" t="s">
        <v>10699</v>
      </c>
      <c r="F3202" s="0" t="s">
        <v>15</v>
      </c>
      <c r="G3202" s="0" t="s">
        <v>32</v>
      </c>
      <c r="H3202" s="0" t="n">
        <v>128</v>
      </c>
      <c r="I3202" s="0" t="s">
        <v>10709</v>
      </c>
      <c r="J3202" s="0" t="s">
        <v>10710</v>
      </c>
      <c r="K3202" s="0" t="s">
        <v>10711</v>
      </c>
      <c r="L3202" s="0" t="str">
        <f aca="false">HYPERLINK("https://www.ncbi.nlm.nih.gov/nuccore/CP000304.1?report=graph&amp;tracks=[key:gene_model_track,Options:GeneOnly]&amp;mk=932569:932588|offset_0|444444,932597:932616|offset_28|444444,932624:932643|offset_55|444444,932697:932716|offset_128|00cc00&amp;v=932368:932916&amp;c=444444", "offset 128")</f>
        <v>offset 128</v>
      </c>
    </row>
    <row r="3203" customFormat="false" ht="12.8" hidden="false" customHeight="false" outlineLevel="0" collapsed="false">
      <c r="A3203" s="0" t="s">
        <v>12</v>
      </c>
      <c r="B3203" s="0" t="n">
        <v>933049</v>
      </c>
      <c r="C3203" s="0" t="n">
        <v>933069</v>
      </c>
      <c r="D3203" s="0" t="s">
        <v>10712</v>
      </c>
      <c r="E3203" s="0" t="s">
        <v>10713</v>
      </c>
      <c r="F3203" s="0" t="s">
        <v>15</v>
      </c>
      <c r="G3203" s="0" t="s">
        <v>26</v>
      </c>
      <c r="H3203" s="0" t="n">
        <v>8</v>
      </c>
      <c r="I3203" s="0" t="s">
        <v>10714</v>
      </c>
      <c r="J3203" s="0" t="s">
        <v>10715</v>
      </c>
      <c r="K3203" s="0" t="s">
        <v>10716</v>
      </c>
      <c r="L3203" s="0" t="str">
        <f aca="false">HYPERLINK("https://www.ncbi.nlm.nih.gov/nuccore/CP000304.1?report=graph&amp;tracks=[key:gene_model_track,Options:GeneOnly]&amp;mk=933050:933069|offset_8|00cc00,933078:933097|offset_36|444444,933106:933125|offset_64|444444,933128:933147|offset_86|444444&amp;v=932849:933347&amp;c=444444", "offset 8")</f>
        <v>offset 8</v>
      </c>
    </row>
    <row r="3204" customFormat="false" ht="12.8" hidden="false" customHeight="false" outlineLevel="0" collapsed="false">
      <c r="A3204" s="0" t="s">
        <v>12</v>
      </c>
      <c r="B3204" s="0" t="n">
        <v>933077</v>
      </c>
      <c r="C3204" s="0" t="n">
        <v>933097</v>
      </c>
      <c r="D3204" s="0" t="s">
        <v>10712</v>
      </c>
      <c r="E3204" s="0" t="s">
        <v>10713</v>
      </c>
      <c r="F3204" s="0" t="s">
        <v>15</v>
      </c>
      <c r="G3204" s="0" t="s">
        <v>16</v>
      </c>
      <c r="H3204" s="0" t="n">
        <v>36</v>
      </c>
      <c r="I3204" s="0" t="s">
        <v>10717</v>
      </c>
      <c r="J3204" s="0" t="s">
        <v>10718</v>
      </c>
      <c r="K3204" s="0" t="s">
        <v>10719</v>
      </c>
      <c r="L3204" s="0" t="str">
        <f aca="false">HYPERLINK("https://www.ncbi.nlm.nih.gov/nuccore/CP000304.1?report=graph&amp;tracks=[key:gene_model_track,Options:GeneOnly]&amp;mk=933050:933069|offset_8|444444,933078:933097|offset_36|00cc00,933106:933125|offset_64|444444,933128:933147|offset_86|444444&amp;v=932849:933347&amp;c=444444", "offset 36")</f>
        <v>offset 36</v>
      </c>
    </row>
    <row r="3205" customFormat="false" ht="12.8" hidden="false" customHeight="false" outlineLevel="0" collapsed="false">
      <c r="A3205" s="0" t="s">
        <v>12</v>
      </c>
      <c r="B3205" s="0" t="n">
        <v>933105</v>
      </c>
      <c r="C3205" s="0" t="n">
        <v>933125</v>
      </c>
      <c r="D3205" s="0" t="s">
        <v>10712</v>
      </c>
      <c r="E3205" s="0" t="s">
        <v>10713</v>
      </c>
      <c r="F3205" s="0" t="s">
        <v>15</v>
      </c>
      <c r="G3205" s="0" t="s">
        <v>32</v>
      </c>
      <c r="H3205" s="0" t="n">
        <v>64</v>
      </c>
      <c r="I3205" s="0" t="s">
        <v>10720</v>
      </c>
      <c r="J3205" s="0" t="s">
        <v>10721</v>
      </c>
      <c r="K3205" s="0" t="s">
        <v>10722</v>
      </c>
      <c r="L3205" s="0" t="str">
        <f aca="false">HYPERLINK("https://www.ncbi.nlm.nih.gov/nuccore/CP000304.1?report=graph&amp;tracks=[key:gene_model_track,Options:GeneOnly]&amp;mk=933050:933069|offset_8|444444,933078:933097|offset_36|444444,933106:933125|offset_64|00cc00,933128:933147|offset_86|444444&amp;v=932849:933347&amp;c=444444", "offset 64")</f>
        <v>offset 64</v>
      </c>
    </row>
    <row r="3206" customFormat="false" ht="12.8" hidden="false" customHeight="false" outlineLevel="0" collapsed="false">
      <c r="A3206" s="0" t="s">
        <v>12</v>
      </c>
      <c r="B3206" s="0" t="n">
        <v>933127</v>
      </c>
      <c r="C3206" s="0" t="n">
        <v>933147</v>
      </c>
      <c r="D3206" s="0" t="s">
        <v>10712</v>
      </c>
      <c r="E3206" s="0" t="s">
        <v>10713</v>
      </c>
      <c r="F3206" s="0" t="s">
        <v>15</v>
      </c>
      <c r="G3206" s="0" t="s">
        <v>26</v>
      </c>
      <c r="H3206" s="0" t="n">
        <v>86</v>
      </c>
      <c r="I3206" s="0" t="s">
        <v>10723</v>
      </c>
      <c r="J3206" s="0" t="s">
        <v>10724</v>
      </c>
      <c r="K3206" s="0" t="s">
        <v>10725</v>
      </c>
      <c r="L3206" s="0" t="str">
        <f aca="false">HYPERLINK("https://www.ncbi.nlm.nih.gov/nuccore/CP000304.1?report=graph&amp;tracks=[key:gene_model_track,Options:GeneOnly]&amp;mk=933050:933069|offset_8|444444,933078:933097|offset_36|444444,933106:933125|offset_64|444444,933128:933147|offset_86|00cc00&amp;v=932849:933347&amp;c=444444", "offset 86")</f>
        <v>offset 86</v>
      </c>
    </row>
    <row r="3207" customFormat="false" ht="12.8" hidden="false" customHeight="false" outlineLevel="0" collapsed="false">
      <c r="A3207" s="0" t="s">
        <v>12</v>
      </c>
      <c r="B3207" s="0" t="n">
        <v>933540</v>
      </c>
      <c r="C3207" s="0" t="n">
        <v>933560</v>
      </c>
      <c r="D3207" s="0" t="s">
        <v>10726</v>
      </c>
      <c r="E3207" s="0" t="s">
        <v>10727</v>
      </c>
      <c r="F3207" s="0" t="s">
        <v>15</v>
      </c>
      <c r="G3207" s="0" t="s">
        <v>26</v>
      </c>
      <c r="H3207" s="0" t="n">
        <v>1</v>
      </c>
      <c r="I3207" s="0" t="s">
        <v>10728</v>
      </c>
      <c r="J3207" s="0" t="s">
        <v>10729</v>
      </c>
      <c r="K3207" s="0" t="s">
        <v>10730</v>
      </c>
      <c r="L3207" s="0" t="str">
        <f aca="false">HYPERLINK("https://www.ncbi.nlm.nih.gov/nuccore/CP000304.1?report=graph&amp;tracks=[key:gene_model_track,Options:GeneOnly]&amp;mk=933541:933560|offset_1|00cc00,933566:933585|offset_26|444444,933586:933605|offset_46|444444,933640:933659|offset_100|444444&amp;v=933340:933859&amp;c=444444", "offset 1")</f>
        <v>offset 1</v>
      </c>
    </row>
    <row r="3208" customFormat="false" ht="12.8" hidden="false" customHeight="false" outlineLevel="0" collapsed="false">
      <c r="A3208" s="0" t="s">
        <v>12</v>
      </c>
      <c r="B3208" s="0" t="n">
        <v>933565</v>
      </c>
      <c r="C3208" s="0" t="n">
        <v>933585</v>
      </c>
      <c r="D3208" s="0" t="s">
        <v>10726</v>
      </c>
      <c r="E3208" s="0" t="s">
        <v>10727</v>
      </c>
      <c r="F3208" s="0" t="s">
        <v>15</v>
      </c>
      <c r="G3208" s="0" t="s">
        <v>16</v>
      </c>
      <c r="H3208" s="0" t="n">
        <v>26</v>
      </c>
      <c r="I3208" s="0" t="s">
        <v>10731</v>
      </c>
      <c r="J3208" s="0" t="s">
        <v>10732</v>
      </c>
      <c r="K3208" s="0" t="s">
        <v>10733</v>
      </c>
      <c r="L3208" s="0" t="str">
        <f aca="false">HYPERLINK("https://www.ncbi.nlm.nih.gov/nuccore/CP000304.1?report=graph&amp;tracks=[key:gene_model_track,Options:GeneOnly]&amp;mk=933541:933560|offset_1|444444,933566:933585|offset_26|00cc00,933586:933605|offset_46|444444,933640:933659|offset_100|444444&amp;v=933340:933859&amp;c=444444", "offset 26")</f>
        <v>offset 26</v>
      </c>
    </row>
    <row r="3209" customFormat="false" ht="12.8" hidden="false" customHeight="false" outlineLevel="0" collapsed="false">
      <c r="A3209" s="0" t="s">
        <v>12</v>
      </c>
      <c r="B3209" s="0" t="n">
        <v>933585</v>
      </c>
      <c r="C3209" s="0" t="n">
        <v>933605</v>
      </c>
      <c r="D3209" s="0" t="s">
        <v>10726</v>
      </c>
      <c r="E3209" s="0" t="s">
        <v>10727</v>
      </c>
      <c r="F3209" s="0" t="s">
        <v>15</v>
      </c>
      <c r="G3209" s="0" t="s">
        <v>16</v>
      </c>
      <c r="H3209" s="0" t="n">
        <v>46</v>
      </c>
      <c r="I3209" s="0" t="s">
        <v>10734</v>
      </c>
      <c r="J3209" s="0" t="s">
        <v>10735</v>
      </c>
      <c r="K3209" s="0" t="s">
        <v>10736</v>
      </c>
      <c r="L3209" s="0" t="str">
        <f aca="false">HYPERLINK("https://www.ncbi.nlm.nih.gov/nuccore/CP000304.1?report=graph&amp;tracks=[key:gene_model_track,Options:GeneOnly]&amp;mk=933541:933560|offset_1|444444,933566:933585|offset_26|444444,933586:933605|offset_46|00cc00,933640:933659|offset_100|444444&amp;v=933340:933859&amp;c=444444", "offset 46")</f>
        <v>offset 46</v>
      </c>
    </row>
    <row r="3210" customFormat="false" ht="12.8" hidden="false" customHeight="false" outlineLevel="0" collapsed="false">
      <c r="A3210" s="0" t="s">
        <v>12</v>
      </c>
      <c r="B3210" s="0" t="n">
        <v>933639</v>
      </c>
      <c r="C3210" s="0" t="n">
        <v>933659</v>
      </c>
      <c r="D3210" s="0" t="s">
        <v>10726</v>
      </c>
      <c r="E3210" s="0" t="s">
        <v>10727</v>
      </c>
      <c r="F3210" s="0" t="s">
        <v>15</v>
      </c>
      <c r="G3210" s="0" t="s">
        <v>36</v>
      </c>
      <c r="H3210" s="0" t="n">
        <v>100</v>
      </c>
      <c r="I3210" s="0" t="s">
        <v>10737</v>
      </c>
      <c r="J3210" s="0" t="s">
        <v>10738</v>
      </c>
      <c r="K3210" s="0" t="s">
        <v>10739</v>
      </c>
      <c r="L3210" s="0" t="str">
        <f aca="false">HYPERLINK("https://www.ncbi.nlm.nih.gov/nuccore/CP000304.1?report=graph&amp;tracks=[key:gene_model_track,Options:GeneOnly]&amp;mk=933541:933560|offset_1|444444,933566:933585|offset_26|444444,933586:933605|offset_46|444444,933640:933659|offset_100|00cc00&amp;v=933340:933859&amp;c=444444", "offset 100")</f>
        <v>offset 100</v>
      </c>
    </row>
    <row r="3211" customFormat="false" ht="12.8" hidden="false" customHeight="false" outlineLevel="0" collapsed="false">
      <c r="A3211" s="0" t="s">
        <v>12</v>
      </c>
      <c r="B3211" s="0" t="n">
        <v>934571</v>
      </c>
      <c r="C3211" s="0" t="n">
        <v>934591</v>
      </c>
      <c r="D3211" s="0" t="s">
        <v>10740</v>
      </c>
      <c r="E3211" s="0" t="s">
        <v>89</v>
      </c>
      <c r="F3211" s="0" t="s">
        <v>15</v>
      </c>
      <c r="G3211" s="0" t="s">
        <v>16</v>
      </c>
      <c r="H3211" s="0" t="n">
        <v>18</v>
      </c>
      <c r="I3211" s="0" t="s">
        <v>10741</v>
      </c>
      <c r="J3211" s="0" t="s">
        <v>10742</v>
      </c>
      <c r="K3211" s="0" t="s">
        <v>10743</v>
      </c>
      <c r="L3211" s="0" t="str">
        <f aca="false">HYPERLINK("https://www.ncbi.nlm.nih.gov/nuccore/CP000304.1?report=graph&amp;tracks=[key:gene_model_track,Options:GeneOnly]&amp;mk=934572:934591|offset_18|00cc00,934594:934613|offset_40|444444,934622:934641|offset_68|444444,934642:934661|offset_88|444444&amp;v=934371:934861&amp;c=444444", "offset 18")</f>
        <v>offset 18</v>
      </c>
    </row>
    <row r="3212" customFormat="false" ht="12.8" hidden="false" customHeight="false" outlineLevel="0" collapsed="false">
      <c r="A3212" s="0" t="s">
        <v>12</v>
      </c>
      <c r="B3212" s="0" t="n">
        <v>934593</v>
      </c>
      <c r="C3212" s="0" t="n">
        <v>934613</v>
      </c>
      <c r="D3212" s="0" t="s">
        <v>10740</v>
      </c>
      <c r="E3212" s="0" t="s">
        <v>89</v>
      </c>
      <c r="F3212" s="0" t="s">
        <v>15</v>
      </c>
      <c r="G3212" s="0" t="s">
        <v>36</v>
      </c>
      <c r="H3212" s="0" t="n">
        <v>40</v>
      </c>
      <c r="I3212" s="0" t="s">
        <v>10744</v>
      </c>
      <c r="J3212" s="0" t="s">
        <v>10745</v>
      </c>
      <c r="K3212" s="0" t="s">
        <v>10746</v>
      </c>
      <c r="L3212" s="0" t="str">
        <f aca="false">HYPERLINK("https://www.ncbi.nlm.nih.gov/nuccore/CP000304.1?report=graph&amp;tracks=[key:gene_model_track,Options:GeneOnly]&amp;mk=934572:934591|offset_18|444444,934594:934613|offset_40|00cc00,934622:934641|offset_68|444444,934642:934661|offset_88|444444&amp;v=934371:934861&amp;c=444444", "offset 40")</f>
        <v>offset 40</v>
      </c>
    </row>
    <row r="3213" customFormat="false" ht="12.8" hidden="false" customHeight="false" outlineLevel="0" collapsed="false">
      <c r="A3213" s="0" t="s">
        <v>12</v>
      </c>
      <c r="B3213" s="0" t="n">
        <v>934621</v>
      </c>
      <c r="C3213" s="0" t="n">
        <v>934641</v>
      </c>
      <c r="D3213" s="0" t="s">
        <v>10740</v>
      </c>
      <c r="E3213" s="0" t="s">
        <v>89</v>
      </c>
      <c r="F3213" s="0" t="s">
        <v>15</v>
      </c>
      <c r="G3213" s="0" t="s">
        <v>26</v>
      </c>
      <c r="H3213" s="0" t="n">
        <v>68</v>
      </c>
      <c r="I3213" s="0" t="s">
        <v>10747</v>
      </c>
      <c r="J3213" s="0" t="s">
        <v>10748</v>
      </c>
      <c r="K3213" s="0" t="s">
        <v>10749</v>
      </c>
      <c r="L3213" s="0" t="str">
        <f aca="false">HYPERLINK("https://www.ncbi.nlm.nih.gov/nuccore/CP000304.1?report=graph&amp;tracks=[key:gene_model_track,Options:GeneOnly]&amp;mk=934572:934591|offset_18|444444,934594:934613|offset_40|444444,934622:934641|offset_68|00cc00,934642:934661|offset_88|444444&amp;v=934371:934861&amp;c=444444", "offset 68")</f>
        <v>offset 68</v>
      </c>
    </row>
    <row r="3214" customFormat="false" ht="12.8" hidden="false" customHeight="false" outlineLevel="0" collapsed="false">
      <c r="A3214" s="0" t="s">
        <v>12</v>
      </c>
      <c r="B3214" s="0" t="n">
        <v>934641</v>
      </c>
      <c r="C3214" s="0" t="n">
        <v>934661</v>
      </c>
      <c r="D3214" s="0" t="s">
        <v>10740</v>
      </c>
      <c r="E3214" s="0" t="s">
        <v>89</v>
      </c>
      <c r="F3214" s="0" t="s">
        <v>15</v>
      </c>
      <c r="G3214" s="0" t="s">
        <v>16</v>
      </c>
      <c r="H3214" s="0" t="n">
        <v>88</v>
      </c>
      <c r="I3214" s="0" t="s">
        <v>10750</v>
      </c>
      <c r="J3214" s="0" t="s">
        <v>10751</v>
      </c>
      <c r="K3214" s="0" t="s">
        <v>10752</v>
      </c>
      <c r="L3214" s="0" t="str">
        <f aca="false">HYPERLINK("https://www.ncbi.nlm.nih.gov/nuccore/CP000304.1?report=graph&amp;tracks=[key:gene_model_track,Options:GeneOnly]&amp;mk=934572:934591|offset_18|444444,934594:934613|offset_40|444444,934622:934641|offset_68|444444,934642:934661|offset_88|00cc00&amp;v=934371:934861&amp;c=444444", "offset 88")</f>
        <v>offset 88</v>
      </c>
    </row>
    <row r="3215" customFormat="false" ht="12.8" hidden="false" customHeight="false" outlineLevel="0" collapsed="false">
      <c r="A3215" s="0" t="s">
        <v>12</v>
      </c>
      <c r="B3215" s="0" t="n">
        <v>935141</v>
      </c>
      <c r="C3215" s="0" t="n">
        <v>935161</v>
      </c>
      <c r="D3215" s="0" t="s">
        <v>10753</v>
      </c>
      <c r="E3215" s="0" t="s">
        <v>89</v>
      </c>
      <c r="F3215" s="0" t="s">
        <v>15</v>
      </c>
      <c r="G3215" s="0" t="s">
        <v>32</v>
      </c>
      <c r="H3215" s="0" t="n">
        <v>1</v>
      </c>
      <c r="I3215" s="0" t="s">
        <v>10754</v>
      </c>
      <c r="J3215" s="0" t="s">
        <v>10755</v>
      </c>
      <c r="K3215" s="0" t="s">
        <v>10756</v>
      </c>
      <c r="L3215" s="0" t="str">
        <f aca="false">HYPERLINK("https://www.ncbi.nlm.nih.gov/nuccore/CP000304.1?report=graph&amp;tracks=[key:gene_model_track,Options:GeneOnly]&amp;mk=935142:935161|offset_1|00cc00,935169:935188|offset_28|444444,935202:935221|offset_61|444444,935234:935253|offset_93|444444&amp;v=934941:935453&amp;c=444444", "offset 1")</f>
        <v>offset 1</v>
      </c>
    </row>
    <row r="3216" customFormat="false" ht="12.8" hidden="false" customHeight="false" outlineLevel="0" collapsed="false">
      <c r="A3216" s="0" t="s">
        <v>12</v>
      </c>
      <c r="B3216" s="0" t="n">
        <v>935168</v>
      </c>
      <c r="C3216" s="0" t="n">
        <v>935188</v>
      </c>
      <c r="D3216" s="0" t="s">
        <v>10753</v>
      </c>
      <c r="E3216" s="0" t="s">
        <v>89</v>
      </c>
      <c r="F3216" s="0" t="s">
        <v>15</v>
      </c>
      <c r="G3216" s="0" t="s">
        <v>16</v>
      </c>
      <c r="H3216" s="0" t="n">
        <v>28</v>
      </c>
      <c r="I3216" s="0" t="s">
        <v>10757</v>
      </c>
      <c r="J3216" s="0" t="s">
        <v>10758</v>
      </c>
      <c r="K3216" s="0" t="s">
        <v>10759</v>
      </c>
      <c r="L3216" s="0" t="str">
        <f aca="false">HYPERLINK("https://www.ncbi.nlm.nih.gov/nuccore/CP000304.1?report=graph&amp;tracks=[key:gene_model_track,Options:GeneOnly]&amp;mk=935142:935161|offset_1|444444,935169:935188|offset_28|00cc00,935202:935221|offset_61|444444,935234:935253|offset_93|444444&amp;v=934941:935453&amp;c=444444", "offset 28")</f>
        <v>offset 28</v>
      </c>
    </row>
    <row r="3217" customFormat="false" ht="12.8" hidden="false" customHeight="false" outlineLevel="0" collapsed="false">
      <c r="A3217" s="0" t="s">
        <v>12</v>
      </c>
      <c r="B3217" s="0" t="n">
        <v>935201</v>
      </c>
      <c r="C3217" s="0" t="n">
        <v>935221</v>
      </c>
      <c r="D3217" s="0" t="s">
        <v>10753</v>
      </c>
      <c r="E3217" s="0" t="s">
        <v>89</v>
      </c>
      <c r="F3217" s="0" t="s">
        <v>15</v>
      </c>
      <c r="G3217" s="0" t="s">
        <v>16</v>
      </c>
      <c r="H3217" s="0" t="n">
        <v>61</v>
      </c>
      <c r="I3217" s="0" t="s">
        <v>10760</v>
      </c>
      <c r="J3217" s="0" t="s">
        <v>10761</v>
      </c>
      <c r="K3217" s="0" t="s">
        <v>10762</v>
      </c>
      <c r="L3217" s="0" t="str">
        <f aca="false">HYPERLINK("https://www.ncbi.nlm.nih.gov/nuccore/CP000304.1?report=graph&amp;tracks=[key:gene_model_track,Options:GeneOnly]&amp;mk=935142:935161|offset_1|444444,935169:935188|offset_28|444444,935202:935221|offset_61|00cc00,935234:935253|offset_93|444444&amp;v=934941:935453&amp;c=444444", "offset 61")</f>
        <v>offset 61</v>
      </c>
    </row>
    <row r="3218" customFormat="false" ht="12.8" hidden="false" customHeight="false" outlineLevel="0" collapsed="false">
      <c r="A3218" s="0" t="s">
        <v>12</v>
      </c>
      <c r="B3218" s="0" t="n">
        <v>935233</v>
      </c>
      <c r="C3218" s="0" t="n">
        <v>935253</v>
      </c>
      <c r="D3218" s="0" t="s">
        <v>10753</v>
      </c>
      <c r="E3218" s="0" t="s">
        <v>89</v>
      </c>
      <c r="F3218" s="0" t="s">
        <v>15</v>
      </c>
      <c r="G3218" s="0" t="s">
        <v>36</v>
      </c>
      <c r="H3218" s="0" t="n">
        <v>93</v>
      </c>
      <c r="I3218" s="0" t="s">
        <v>10763</v>
      </c>
      <c r="J3218" s="0" t="s">
        <v>10764</v>
      </c>
      <c r="K3218" s="0" t="s">
        <v>10765</v>
      </c>
      <c r="L3218" s="0" t="str">
        <f aca="false">HYPERLINK("https://www.ncbi.nlm.nih.gov/nuccore/CP000304.1?report=graph&amp;tracks=[key:gene_model_track,Options:GeneOnly]&amp;mk=935142:935161|offset_1|444444,935169:935188|offset_28|444444,935202:935221|offset_61|444444,935234:935253|offset_93|00cc00&amp;v=934941:935453&amp;c=444444", "offset 93")</f>
        <v>offset 93</v>
      </c>
    </row>
    <row r="3219" customFormat="false" ht="12.8" hidden="false" customHeight="false" outlineLevel="0" collapsed="false">
      <c r="A3219" s="0" t="s">
        <v>12</v>
      </c>
      <c r="B3219" s="0" t="n">
        <v>935806</v>
      </c>
      <c r="C3219" s="0" t="n">
        <v>935826</v>
      </c>
      <c r="D3219" s="0" t="s">
        <v>10766</v>
      </c>
      <c r="E3219" s="0" t="s">
        <v>10767</v>
      </c>
      <c r="F3219" s="0" t="s">
        <v>15</v>
      </c>
      <c r="G3219" s="0" t="s">
        <v>16</v>
      </c>
      <c r="H3219" s="0" t="n">
        <v>6</v>
      </c>
      <c r="I3219" s="0" t="s">
        <v>10768</v>
      </c>
      <c r="J3219" s="0" t="s">
        <v>10769</v>
      </c>
      <c r="K3219" s="0" t="s">
        <v>10770</v>
      </c>
      <c r="L3219" s="0" t="str">
        <f aca="false">HYPERLINK("https://www.ncbi.nlm.nih.gov/nuccore/CP000304.1?report=graph&amp;tracks=[key:gene_model_track,Options:GeneOnly]&amp;mk=935807:935826|offset_6|00cc00,935854:935873|offset_53|444444,935885:935904|offset_84|444444,935909:935928|offset_108|444444&amp;v=935606:936128&amp;c=444444", "offset 6")</f>
        <v>offset 6</v>
      </c>
    </row>
    <row r="3220" customFormat="false" ht="12.8" hidden="false" customHeight="false" outlineLevel="0" collapsed="false">
      <c r="A3220" s="0" t="s">
        <v>12</v>
      </c>
      <c r="B3220" s="0" t="n">
        <v>935853</v>
      </c>
      <c r="C3220" s="0" t="n">
        <v>935873</v>
      </c>
      <c r="D3220" s="0" t="s">
        <v>10766</v>
      </c>
      <c r="E3220" s="0" t="s">
        <v>10767</v>
      </c>
      <c r="F3220" s="0" t="s">
        <v>15</v>
      </c>
      <c r="G3220" s="0" t="s">
        <v>26</v>
      </c>
      <c r="H3220" s="0" t="n">
        <v>53</v>
      </c>
      <c r="I3220" s="0" t="s">
        <v>10771</v>
      </c>
      <c r="J3220" s="0" t="s">
        <v>10772</v>
      </c>
      <c r="K3220" s="0" t="s">
        <v>10773</v>
      </c>
      <c r="L3220" s="0" t="str">
        <f aca="false">HYPERLINK("https://www.ncbi.nlm.nih.gov/nuccore/CP000304.1?report=graph&amp;tracks=[key:gene_model_track,Options:GeneOnly]&amp;mk=935807:935826|offset_6|444444,935854:935873|offset_53|00cc00,935885:935904|offset_84|444444,935909:935928|offset_108|444444&amp;v=935606:936128&amp;c=444444", "offset 53")</f>
        <v>offset 53</v>
      </c>
    </row>
    <row r="3221" customFormat="false" ht="12.8" hidden="false" customHeight="false" outlineLevel="0" collapsed="false">
      <c r="A3221" s="0" t="s">
        <v>12</v>
      </c>
      <c r="B3221" s="0" t="n">
        <v>935884</v>
      </c>
      <c r="C3221" s="0" t="n">
        <v>935904</v>
      </c>
      <c r="D3221" s="0" t="s">
        <v>10766</v>
      </c>
      <c r="E3221" s="0" t="s">
        <v>10767</v>
      </c>
      <c r="F3221" s="0" t="s">
        <v>15</v>
      </c>
      <c r="G3221" s="0" t="s">
        <v>16</v>
      </c>
      <c r="H3221" s="0" t="n">
        <v>84</v>
      </c>
      <c r="I3221" s="0" t="s">
        <v>10774</v>
      </c>
      <c r="J3221" s="0" t="s">
        <v>10775</v>
      </c>
      <c r="K3221" s="0" t="s">
        <v>10776</v>
      </c>
      <c r="L3221" s="0" t="str">
        <f aca="false">HYPERLINK("https://www.ncbi.nlm.nih.gov/nuccore/CP000304.1?report=graph&amp;tracks=[key:gene_model_track,Options:GeneOnly]&amp;mk=935807:935826|offset_6|444444,935854:935873|offset_53|444444,935885:935904|offset_84|00cc00,935909:935928|offset_108|444444&amp;v=935606:936128&amp;c=444444", "offset 84")</f>
        <v>offset 84</v>
      </c>
    </row>
    <row r="3222" customFormat="false" ht="12.8" hidden="false" customHeight="false" outlineLevel="0" collapsed="false">
      <c r="A3222" s="0" t="s">
        <v>12</v>
      </c>
      <c r="B3222" s="0" t="n">
        <v>935908</v>
      </c>
      <c r="C3222" s="0" t="n">
        <v>935928</v>
      </c>
      <c r="D3222" s="0" t="s">
        <v>10766</v>
      </c>
      <c r="E3222" s="0" t="s">
        <v>10767</v>
      </c>
      <c r="F3222" s="0" t="s">
        <v>15</v>
      </c>
      <c r="G3222" s="0" t="s">
        <v>16</v>
      </c>
      <c r="H3222" s="0" t="n">
        <v>108</v>
      </c>
      <c r="I3222" s="0" t="s">
        <v>10777</v>
      </c>
      <c r="J3222" s="0" t="s">
        <v>10778</v>
      </c>
      <c r="K3222" s="0" t="s">
        <v>10779</v>
      </c>
      <c r="L3222" s="0" t="str">
        <f aca="false">HYPERLINK("https://www.ncbi.nlm.nih.gov/nuccore/CP000304.1?report=graph&amp;tracks=[key:gene_model_track,Options:GeneOnly]&amp;mk=935807:935826|offset_6|444444,935854:935873|offset_53|444444,935885:935904|offset_84|444444,935909:935928|offset_108|00cc00&amp;v=935606:936128&amp;c=444444", "offset 108")</f>
        <v>offset 108</v>
      </c>
    </row>
    <row r="3223" customFormat="false" ht="12.8" hidden="false" customHeight="false" outlineLevel="0" collapsed="false">
      <c r="A3223" s="0" t="s">
        <v>12</v>
      </c>
      <c r="B3223" s="0" t="n">
        <v>936533</v>
      </c>
      <c r="C3223" s="0" t="n">
        <v>936553</v>
      </c>
      <c r="D3223" s="0" t="s">
        <v>10780</v>
      </c>
      <c r="E3223" s="0" t="s">
        <v>89</v>
      </c>
      <c r="F3223" s="0" t="s">
        <v>15</v>
      </c>
      <c r="G3223" s="0" t="s">
        <v>16</v>
      </c>
      <c r="H3223" s="0" t="n">
        <v>8</v>
      </c>
      <c r="I3223" s="0" t="s">
        <v>10781</v>
      </c>
      <c r="J3223" s="0" t="s">
        <v>10782</v>
      </c>
      <c r="K3223" s="0" t="s">
        <v>10783</v>
      </c>
      <c r="L3223" s="0" t="str">
        <f aca="false">HYPERLINK("https://www.ncbi.nlm.nih.gov/nuccore/CP000304.1?report=graph&amp;tracks=[key:gene_model_track,Options:GeneOnly]&amp;mk=936534:936553|offset_8|00cc00,936598:936617|offset_72|444444,936635:936654|offset_109|444444,936695:936714|offset_169|444444&amp;v=936333:936914&amp;c=444444", "offset 8")</f>
        <v>offset 8</v>
      </c>
    </row>
    <row r="3224" customFormat="false" ht="12.8" hidden="false" customHeight="false" outlineLevel="0" collapsed="false">
      <c r="A3224" s="0" t="s">
        <v>12</v>
      </c>
      <c r="B3224" s="0" t="n">
        <v>936597</v>
      </c>
      <c r="C3224" s="0" t="n">
        <v>936617</v>
      </c>
      <c r="D3224" s="0" t="s">
        <v>10780</v>
      </c>
      <c r="E3224" s="0" t="s">
        <v>89</v>
      </c>
      <c r="F3224" s="0" t="s">
        <v>15</v>
      </c>
      <c r="G3224" s="0" t="s">
        <v>26</v>
      </c>
      <c r="H3224" s="0" t="n">
        <v>72</v>
      </c>
      <c r="I3224" s="0" t="s">
        <v>10784</v>
      </c>
      <c r="J3224" s="0" t="s">
        <v>10785</v>
      </c>
      <c r="K3224" s="0" t="s">
        <v>10786</v>
      </c>
      <c r="L3224" s="0" t="str">
        <f aca="false">HYPERLINK("https://www.ncbi.nlm.nih.gov/nuccore/CP000304.1?report=graph&amp;tracks=[key:gene_model_track,Options:GeneOnly]&amp;mk=936534:936553|offset_8|444444,936598:936617|offset_72|00cc00,936635:936654|offset_109|444444,936695:936714|offset_169|444444&amp;v=936333:936914&amp;c=444444", "offset 72")</f>
        <v>offset 72</v>
      </c>
    </row>
    <row r="3225" customFormat="false" ht="12.8" hidden="false" customHeight="false" outlineLevel="0" collapsed="false">
      <c r="A3225" s="0" t="s">
        <v>12</v>
      </c>
      <c r="B3225" s="0" t="n">
        <v>936634</v>
      </c>
      <c r="C3225" s="0" t="n">
        <v>936654</v>
      </c>
      <c r="D3225" s="0" t="s">
        <v>10780</v>
      </c>
      <c r="E3225" s="0" t="s">
        <v>89</v>
      </c>
      <c r="F3225" s="0" t="s">
        <v>15</v>
      </c>
      <c r="G3225" s="0" t="s">
        <v>16</v>
      </c>
      <c r="H3225" s="0" t="n">
        <v>109</v>
      </c>
      <c r="I3225" s="0" t="s">
        <v>10787</v>
      </c>
      <c r="J3225" s="0" t="s">
        <v>10788</v>
      </c>
      <c r="K3225" s="0" t="s">
        <v>10789</v>
      </c>
      <c r="L3225" s="0" t="str">
        <f aca="false">HYPERLINK("https://www.ncbi.nlm.nih.gov/nuccore/CP000304.1?report=graph&amp;tracks=[key:gene_model_track,Options:GeneOnly]&amp;mk=936534:936553|offset_8|444444,936598:936617|offset_72|444444,936635:936654|offset_109|00cc00,936695:936714|offset_169|444444&amp;v=936333:936914&amp;c=444444", "offset 109")</f>
        <v>offset 109</v>
      </c>
    </row>
    <row r="3226" customFormat="false" ht="12.8" hidden="false" customHeight="false" outlineLevel="0" collapsed="false">
      <c r="A3226" s="0" t="s">
        <v>12</v>
      </c>
      <c r="B3226" s="0" t="n">
        <v>936694</v>
      </c>
      <c r="C3226" s="0" t="n">
        <v>936714</v>
      </c>
      <c r="D3226" s="0" t="s">
        <v>10780</v>
      </c>
      <c r="E3226" s="0" t="s">
        <v>89</v>
      </c>
      <c r="F3226" s="0" t="s">
        <v>15</v>
      </c>
      <c r="G3226" s="0" t="s">
        <v>26</v>
      </c>
      <c r="H3226" s="0" t="n">
        <v>169</v>
      </c>
      <c r="I3226" s="0" t="s">
        <v>10790</v>
      </c>
      <c r="J3226" s="0" t="s">
        <v>10791</v>
      </c>
      <c r="K3226" s="0" t="s">
        <v>10792</v>
      </c>
      <c r="L3226" s="0" t="str">
        <f aca="false">HYPERLINK("https://www.ncbi.nlm.nih.gov/nuccore/CP000304.1?report=graph&amp;tracks=[key:gene_model_track,Options:GeneOnly]&amp;mk=936534:936553|offset_8|444444,936598:936617|offset_72|444444,936635:936654|offset_109|444444,936695:936714|offset_169|00cc00&amp;v=936333:936914&amp;c=444444", "offset 169")</f>
        <v>offset 169</v>
      </c>
    </row>
    <row r="3227" customFormat="false" ht="12.8" hidden="false" customHeight="false" outlineLevel="0" collapsed="false">
      <c r="A3227" s="0" t="s">
        <v>12</v>
      </c>
      <c r="B3227" s="0" t="n">
        <v>936954</v>
      </c>
      <c r="C3227" s="0" t="n">
        <v>936974</v>
      </c>
      <c r="D3227" s="0" t="s">
        <v>10793</v>
      </c>
      <c r="E3227" s="0" t="s">
        <v>89</v>
      </c>
      <c r="F3227" s="0" t="s">
        <v>15</v>
      </c>
      <c r="G3227" s="0" t="s">
        <v>16</v>
      </c>
      <c r="H3227" s="0" t="n">
        <v>22</v>
      </c>
      <c r="I3227" s="0" t="s">
        <v>10794</v>
      </c>
      <c r="J3227" s="0" t="s">
        <v>10795</v>
      </c>
      <c r="K3227" s="0" t="s">
        <v>10796</v>
      </c>
      <c r="L3227" s="0" t="str">
        <f aca="false">HYPERLINK("https://www.ncbi.nlm.nih.gov/nuccore/CP000304.1?report=graph&amp;tracks=[key:gene_model_track,Options:GeneOnly]&amp;mk=936955:936974|offset_22|00cc00,936981:937000|offset_48|444444,937010:937029|offset_77|444444,937051:937070|offset_118|444444&amp;v=936754:937270&amp;c=444444", "offset 22")</f>
        <v>offset 22</v>
      </c>
    </row>
    <row r="3228" customFormat="false" ht="12.8" hidden="false" customHeight="false" outlineLevel="0" collapsed="false">
      <c r="A3228" s="0" t="s">
        <v>12</v>
      </c>
      <c r="B3228" s="0" t="n">
        <v>936980</v>
      </c>
      <c r="C3228" s="0" t="n">
        <v>937000</v>
      </c>
      <c r="D3228" s="0" t="s">
        <v>10793</v>
      </c>
      <c r="E3228" s="0" t="s">
        <v>89</v>
      </c>
      <c r="F3228" s="0" t="s">
        <v>15</v>
      </c>
      <c r="G3228" s="0" t="s">
        <v>26</v>
      </c>
      <c r="H3228" s="0" t="n">
        <v>48</v>
      </c>
      <c r="I3228" s="0" t="s">
        <v>10797</v>
      </c>
      <c r="J3228" s="0" t="s">
        <v>10798</v>
      </c>
      <c r="K3228" s="0" t="s">
        <v>10799</v>
      </c>
      <c r="L3228" s="0" t="str">
        <f aca="false">HYPERLINK("https://www.ncbi.nlm.nih.gov/nuccore/CP000304.1?report=graph&amp;tracks=[key:gene_model_track,Options:GeneOnly]&amp;mk=936955:936974|offset_22|444444,936981:937000|offset_48|00cc00,937010:937029|offset_77|444444,937051:937070|offset_118|444444&amp;v=936754:937270&amp;c=444444", "offset 48")</f>
        <v>offset 48</v>
      </c>
    </row>
    <row r="3229" customFormat="false" ht="12.8" hidden="false" customHeight="false" outlineLevel="0" collapsed="false">
      <c r="A3229" s="0" t="s">
        <v>12</v>
      </c>
      <c r="B3229" s="0" t="n">
        <v>937009</v>
      </c>
      <c r="C3229" s="0" t="n">
        <v>937029</v>
      </c>
      <c r="D3229" s="0" t="s">
        <v>10793</v>
      </c>
      <c r="E3229" s="0" t="s">
        <v>89</v>
      </c>
      <c r="F3229" s="0" t="s">
        <v>15</v>
      </c>
      <c r="G3229" s="0" t="s">
        <v>26</v>
      </c>
      <c r="H3229" s="0" t="n">
        <v>77</v>
      </c>
      <c r="I3229" s="0" t="s">
        <v>10800</v>
      </c>
      <c r="J3229" s="0" t="s">
        <v>10801</v>
      </c>
      <c r="K3229" s="0" t="s">
        <v>10802</v>
      </c>
      <c r="L3229" s="0" t="str">
        <f aca="false">HYPERLINK("https://www.ncbi.nlm.nih.gov/nuccore/CP000304.1?report=graph&amp;tracks=[key:gene_model_track,Options:GeneOnly]&amp;mk=936955:936974|offset_22|444444,936981:937000|offset_48|444444,937010:937029|offset_77|00cc00,937051:937070|offset_118|444444&amp;v=936754:937270&amp;c=444444", "offset 77")</f>
        <v>offset 77</v>
      </c>
    </row>
    <row r="3230" customFormat="false" ht="12.8" hidden="false" customHeight="false" outlineLevel="0" collapsed="false">
      <c r="A3230" s="0" t="s">
        <v>12</v>
      </c>
      <c r="B3230" s="0" t="n">
        <v>937050</v>
      </c>
      <c r="C3230" s="0" t="n">
        <v>937070</v>
      </c>
      <c r="D3230" s="0" t="s">
        <v>10793</v>
      </c>
      <c r="E3230" s="0" t="s">
        <v>89</v>
      </c>
      <c r="F3230" s="0" t="s">
        <v>15</v>
      </c>
      <c r="G3230" s="0" t="s">
        <v>16</v>
      </c>
      <c r="H3230" s="0" t="n">
        <v>118</v>
      </c>
      <c r="I3230" s="0" t="s">
        <v>10803</v>
      </c>
      <c r="J3230" s="0" t="s">
        <v>10804</v>
      </c>
      <c r="K3230" s="0" t="s">
        <v>10805</v>
      </c>
      <c r="L3230" s="0" t="str">
        <f aca="false">HYPERLINK("https://www.ncbi.nlm.nih.gov/nuccore/CP000304.1?report=graph&amp;tracks=[key:gene_model_track,Options:GeneOnly]&amp;mk=936955:936974|offset_22|444444,936981:937000|offset_48|444444,937010:937029|offset_77|444444,937051:937070|offset_118|00cc00&amp;v=936754:937270&amp;c=444444", "offset 118")</f>
        <v>offset 118</v>
      </c>
    </row>
    <row r="3231" customFormat="false" ht="12.8" hidden="false" customHeight="false" outlineLevel="0" collapsed="false">
      <c r="A3231" s="0" t="s">
        <v>12</v>
      </c>
      <c r="B3231" s="0" t="n">
        <v>939589</v>
      </c>
      <c r="C3231" s="0" t="n">
        <v>939609</v>
      </c>
      <c r="D3231" s="0" t="s">
        <v>10806</v>
      </c>
      <c r="E3231" s="0" t="s">
        <v>89</v>
      </c>
      <c r="F3231" s="0" t="s">
        <v>90</v>
      </c>
      <c r="G3231" s="0" t="s">
        <v>36</v>
      </c>
      <c r="H3231" s="0" t="n">
        <v>13</v>
      </c>
      <c r="I3231" s="0" t="s">
        <v>10807</v>
      </c>
      <c r="J3231" s="0" t="s">
        <v>10808</v>
      </c>
      <c r="K3231" s="0" t="s">
        <v>10809</v>
      </c>
      <c r="L3231" s="0" t="str">
        <f aca="false">HYPERLINK("https://www.ncbi.nlm.nih.gov/nuccore/CP000304.1?report=graph&amp;tracks=[key:gene_model_track,Options:GeneOnly]&amp;mk=939590:939609|offset_13|00cc00,939561:939580|offset_42|444444,939506:939525|offset_97|444444,939484:939503|offset_119|444444&amp;v=939389:939703&amp;c=444444", "offset 13")</f>
        <v>offset 13</v>
      </c>
    </row>
    <row r="3232" customFormat="false" ht="12.8" hidden="false" customHeight="false" outlineLevel="0" collapsed="false">
      <c r="A3232" s="0" t="s">
        <v>12</v>
      </c>
      <c r="B3232" s="0" t="n">
        <v>939560</v>
      </c>
      <c r="C3232" s="0" t="n">
        <v>939580</v>
      </c>
      <c r="D3232" s="0" t="s">
        <v>10806</v>
      </c>
      <c r="E3232" s="0" t="s">
        <v>89</v>
      </c>
      <c r="F3232" s="0" t="s">
        <v>90</v>
      </c>
      <c r="G3232" s="0" t="s">
        <v>26</v>
      </c>
      <c r="H3232" s="0" t="n">
        <v>42</v>
      </c>
      <c r="I3232" s="0" t="s">
        <v>10810</v>
      </c>
      <c r="J3232" s="0" t="s">
        <v>10811</v>
      </c>
      <c r="K3232" s="0" t="s">
        <v>10812</v>
      </c>
      <c r="L3232" s="0" t="str">
        <f aca="false">HYPERLINK("https://www.ncbi.nlm.nih.gov/nuccore/CP000304.1?report=graph&amp;tracks=[key:gene_model_track,Options:GeneOnly]&amp;mk=939590:939609|offset_13|444444,939561:939580|offset_42|00cc00,939506:939525|offset_97|444444,939484:939503|offset_119|444444&amp;v=939389:939703&amp;c=444444", "offset 42")</f>
        <v>offset 42</v>
      </c>
    </row>
    <row r="3233" customFormat="false" ht="12.8" hidden="false" customHeight="false" outlineLevel="0" collapsed="false">
      <c r="A3233" s="0" t="s">
        <v>12</v>
      </c>
      <c r="B3233" s="0" t="n">
        <v>939505</v>
      </c>
      <c r="C3233" s="0" t="n">
        <v>939525</v>
      </c>
      <c r="D3233" s="0" t="s">
        <v>10806</v>
      </c>
      <c r="E3233" s="0" t="s">
        <v>89</v>
      </c>
      <c r="F3233" s="0" t="s">
        <v>90</v>
      </c>
      <c r="G3233" s="0" t="s">
        <v>16</v>
      </c>
      <c r="H3233" s="0" t="n">
        <v>97</v>
      </c>
      <c r="I3233" s="0" t="s">
        <v>10813</v>
      </c>
      <c r="J3233" s="0" t="s">
        <v>10814</v>
      </c>
      <c r="K3233" s="0" t="s">
        <v>10815</v>
      </c>
      <c r="L3233" s="0" t="str">
        <f aca="false">HYPERLINK("https://www.ncbi.nlm.nih.gov/nuccore/CP000304.1?report=graph&amp;tracks=[key:gene_model_track,Options:GeneOnly]&amp;mk=939590:939609|offset_13|444444,939561:939580|offset_42|444444,939506:939525|offset_97|00cc00,939484:939503|offset_119|444444&amp;v=939389:939703&amp;c=444444", "offset 97")</f>
        <v>offset 97</v>
      </c>
    </row>
    <row r="3234" customFormat="false" ht="12.8" hidden="false" customHeight="false" outlineLevel="0" collapsed="false">
      <c r="A3234" s="0" t="s">
        <v>12</v>
      </c>
      <c r="B3234" s="0" t="n">
        <v>939483</v>
      </c>
      <c r="C3234" s="0" t="n">
        <v>939503</v>
      </c>
      <c r="D3234" s="0" t="s">
        <v>10806</v>
      </c>
      <c r="E3234" s="0" t="s">
        <v>89</v>
      </c>
      <c r="F3234" s="0" t="s">
        <v>90</v>
      </c>
      <c r="G3234" s="0" t="s">
        <v>16</v>
      </c>
      <c r="H3234" s="0" t="n">
        <v>119</v>
      </c>
      <c r="I3234" s="0" t="s">
        <v>10816</v>
      </c>
      <c r="J3234" s="0" t="s">
        <v>10817</v>
      </c>
      <c r="K3234" s="0" t="s">
        <v>10818</v>
      </c>
      <c r="L3234" s="0" t="str">
        <f aca="false">HYPERLINK("https://www.ncbi.nlm.nih.gov/nuccore/CP000304.1?report=graph&amp;tracks=[key:gene_model_track,Options:GeneOnly]&amp;mk=939590:939609|offset_13|444444,939561:939580|offset_42|444444,939506:939525|offset_97|444444,939484:939503|offset_119|00cc00&amp;v=939389:939703&amp;c=444444", "offset 119")</f>
        <v>offset 119</v>
      </c>
    </row>
    <row r="3235" customFormat="false" ht="12.8" hidden="false" customHeight="false" outlineLevel="0" collapsed="false">
      <c r="A3235" s="0" t="s">
        <v>12</v>
      </c>
      <c r="B3235" s="0" t="n">
        <v>943665</v>
      </c>
      <c r="C3235" s="0" t="n">
        <v>943685</v>
      </c>
      <c r="D3235" s="0" t="s">
        <v>10819</v>
      </c>
      <c r="E3235" s="0" t="s">
        <v>10820</v>
      </c>
      <c r="F3235" s="0" t="s">
        <v>90</v>
      </c>
      <c r="G3235" s="0" t="s">
        <v>26</v>
      </c>
      <c r="H3235" s="0" t="n">
        <v>11</v>
      </c>
      <c r="I3235" s="0" t="s">
        <v>10821</v>
      </c>
      <c r="J3235" s="0" t="s">
        <v>10822</v>
      </c>
      <c r="K3235" s="0" t="s">
        <v>10823</v>
      </c>
      <c r="L3235" s="0" t="str">
        <f aca="false">HYPERLINK("https://www.ncbi.nlm.nih.gov/nuccore/CP000304.1?report=graph&amp;tracks=[key:gene_model_track,Options:GeneOnly]&amp;mk=943666:943685|offset_11|00cc00,943645:943664|offset_32|444444,943607:943626|offset_70|444444,943586:943605|offset_91|444444&amp;v=943465:943805&amp;c=444444", "offset 11")</f>
        <v>offset 11</v>
      </c>
    </row>
    <row r="3236" customFormat="false" ht="12.8" hidden="false" customHeight="false" outlineLevel="0" collapsed="false">
      <c r="A3236" s="0" t="s">
        <v>12</v>
      </c>
      <c r="B3236" s="0" t="n">
        <v>943644</v>
      </c>
      <c r="C3236" s="0" t="n">
        <v>943664</v>
      </c>
      <c r="D3236" s="0" t="s">
        <v>10819</v>
      </c>
      <c r="E3236" s="0" t="s">
        <v>10820</v>
      </c>
      <c r="F3236" s="0" t="s">
        <v>90</v>
      </c>
      <c r="G3236" s="0" t="s">
        <v>26</v>
      </c>
      <c r="H3236" s="0" t="n">
        <v>32</v>
      </c>
      <c r="I3236" s="0" t="s">
        <v>10824</v>
      </c>
      <c r="J3236" s="0" t="s">
        <v>10825</v>
      </c>
      <c r="K3236" s="0" t="s">
        <v>10826</v>
      </c>
      <c r="L3236" s="0" t="str">
        <f aca="false">HYPERLINK("https://www.ncbi.nlm.nih.gov/nuccore/CP000304.1?report=graph&amp;tracks=[key:gene_model_track,Options:GeneOnly]&amp;mk=943666:943685|offset_11|444444,943645:943664|offset_32|00cc00,943607:943626|offset_70|444444,943586:943605|offset_91|444444&amp;v=943465:943805&amp;c=444444", "offset 32")</f>
        <v>offset 32</v>
      </c>
    </row>
    <row r="3237" customFormat="false" ht="12.8" hidden="false" customHeight="false" outlineLevel="0" collapsed="false">
      <c r="A3237" s="0" t="s">
        <v>12</v>
      </c>
      <c r="B3237" s="0" t="n">
        <v>943606</v>
      </c>
      <c r="C3237" s="0" t="n">
        <v>943626</v>
      </c>
      <c r="D3237" s="0" t="s">
        <v>10819</v>
      </c>
      <c r="E3237" s="0" t="s">
        <v>10820</v>
      </c>
      <c r="F3237" s="0" t="s">
        <v>90</v>
      </c>
      <c r="G3237" s="0" t="s">
        <v>16</v>
      </c>
      <c r="H3237" s="0" t="n">
        <v>70</v>
      </c>
      <c r="I3237" s="0" t="s">
        <v>10827</v>
      </c>
      <c r="J3237" s="0" t="s">
        <v>10828</v>
      </c>
      <c r="K3237" s="0" t="s">
        <v>10829</v>
      </c>
      <c r="L3237" s="0" t="str">
        <f aca="false">HYPERLINK("https://www.ncbi.nlm.nih.gov/nuccore/CP000304.1?report=graph&amp;tracks=[key:gene_model_track,Options:GeneOnly]&amp;mk=943666:943685|offset_11|444444,943645:943664|offset_32|444444,943607:943626|offset_70|00cc00,943586:943605|offset_91|444444&amp;v=943465:943805&amp;c=444444", "offset 70")</f>
        <v>offset 70</v>
      </c>
    </row>
    <row r="3238" customFormat="false" ht="12.8" hidden="false" customHeight="false" outlineLevel="0" collapsed="false">
      <c r="A3238" s="0" t="s">
        <v>12</v>
      </c>
      <c r="B3238" s="0" t="n">
        <v>943585</v>
      </c>
      <c r="C3238" s="0" t="n">
        <v>943605</v>
      </c>
      <c r="D3238" s="0" t="s">
        <v>10819</v>
      </c>
      <c r="E3238" s="0" t="s">
        <v>10820</v>
      </c>
      <c r="F3238" s="0" t="s">
        <v>90</v>
      </c>
      <c r="G3238" s="0" t="s">
        <v>16</v>
      </c>
      <c r="H3238" s="0" t="n">
        <v>91</v>
      </c>
      <c r="I3238" s="0" t="s">
        <v>10830</v>
      </c>
      <c r="J3238" s="0" t="s">
        <v>10831</v>
      </c>
      <c r="K3238" s="0" t="s">
        <v>10832</v>
      </c>
      <c r="L3238" s="0" t="str">
        <f aca="false">HYPERLINK("https://www.ncbi.nlm.nih.gov/nuccore/CP000304.1?report=graph&amp;tracks=[key:gene_model_track,Options:GeneOnly]&amp;mk=943666:943685|offset_11|444444,943645:943664|offset_32|444444,943607:943626|offset_70|444444,943586:943605|offset_91|00cc00&amp;v=943465:943805&amp;c=444444", "offset 91")</f>
        <v>offset 91</v>
      </c>
    </row>
    <row r="3239" customFormat="false" ht="12.8" hidden="false" customHeight="false" outlineLevel="0" collapsed="false">
      <c r="A3239" s="0" t="s">
        <v>12</v>
      </c>
      <c r="B3239" s="0" t="n">
        <v>945031</v>
      </c>
      <c r="C3239" s="0" t="n">
        <v>945051</v>
      </c>
      <c r="D3239" s="0" t="s">
        <v>10833</v>
      </c>
      <c r="E3239" s="0" t="s">
        <v>10834</v>
      </c>
      <c r="F3239" s="0" t="s">
        <v>90</v>
      </c>
      <c r="G3239" s="0" t="s">
        <v>36</v>
      </c>
      <c r="H3239" s="0" t="n">
        <v>48</v>
      </c>
      <c r="I3239" s="0" t="s">
        <v>10835</v>
      </c>
      <c r="J3239" s="0" t="s">
        <v>10836</v>
      </c>
      <c r="K3239" s="0" t="s">
        <v>10837</v>
      </c>
      <c r="L3239" s="0" t="str">
        <f aca="false">HYPERLINK("https://www.ncbi.nlm.nih.gov/nuccore/CP000304.1?report=graph&amp;tracks=[key:gene_model_track,Options:GeneOnly]&amp;mk=945032:945051|offset_48|00cc00,945012:945031|offset_68|444444,944987:945006|offset_93|444444,944967:944986|offset_113|444444&amp;v=944831:945186&amp;c=444444", "offset 48")</f>
        <v>offset 48</v>
      </c>
    </row>
    <row r="3240" customFormat="false" ht="12.8" hidden="false" customHeight="false" outlineLevel="0" collapsed="false">
      <c r="A3240" s="0" t="s">
        <v>12</v>
      </c>
      <c r="B3240" s="0" t="n">
        <v>945011</v>
      </c>
      <c r="C3240" s="0" t="n">
        <v>945031</v>
      </c>
      <c r="D3240" s="0" t="s">
        <v>10833</v>
      </c>
      <c r="E3240" s="0" t="s">
        <v>10834</v>
      </c>
      <c r="F3240" s="0" t="s">
        <v>90</v>
      </c>
      <c r="G3240" s="0" t="s">
        <v>32</v>
      </c>
      <c r="H3240" s="0" t="n">
        <v>68</v>
      </c>
      <c r="I3240" s="0" t="s">
        <v>10838</v>
      </c>
      <c r="J3240" s="0" t="s">
        <v>10839</v>
      </c>
      <c r="K3240" s="0" t="s">
        <v>10840</v>
      </c>
      <c r="L3240" s="0" t="str">
        <f aca="false">HYPERLINK("https://www.ncbi.nlm.nih.gov/nuccore/CP000304.1?report=graph&amp;tracks=[key:gene_model_track,Options:GeneOnly]&amp;mk=945032:945051|offset_48|444444,945012:945031|offset_68|00cc00,944987:945006|offset_93|444444,944967:944986|offset_113|444444&amp;v=944831:945186&amp;c=444444", "offset 68")</f>
        <v>offset 68</v>
      </c>
    </row>
    <row r="3241" customFormat="false" ht="12.8" hidden="false" customHeight="false" outlineLevel="0" collapsed="false">
      <c r="A3241" s="0" t="s">
        <v>12</v>
      </c>
      <c r="B3241" s="0" t="n">
        <v>944986</v>
      </c>
      <c r="C3241" s="0" t="n">
        <v>945006</v>
      </c>
      <c r="D3241" s="0" t="s">
        <v>10833</v>
      </c>
      <c r="E3241" s="0" t="s">
        <v>10834</v>
      </c>
      <c r="F3241" s="0" t="s">
        <v>90</v>
      </c>
      <c r="G3241" s="0" t="s">
        <v>26</v>
      </c>
      <c r="H3241" s="0" t="n">
        <v>93</v>
      </c>
      <c r="I3241" s="0" t="s">
        <v>10841</v>
      </c>
      <c r="J3241" s="0" t="s">
        <v>10842</v>
      </c>
      <c r="K3241" s="0" t="s">
        <v>10843</v>
      </c>
      <c r="L3241" s="0" t="str">
        <f aca="false">HYPERLINK("https://www.ncbi.nlm.nih.gov/nuccore/CP000304.1?report=graph&amp;tracks=[key:gene_model_track,Options:GeneOnly]&amp;mk=945032:945051|offset_48|444444,945012:945031|offset_68|444444,944987:945006|offset_93|00cc00,944967:944986|offset_113|444444&amp;v=944831:945186&amp;c=444444", "offset 93")</f>
        <v>offset 93</v>
      </c>
    </row>
    <row r="3242" customFormat="false" ht="12.8" hidden="false" customHeight="false" outlineLevel="0" collapsed="false">
      <c r="A3242" s="0" t="s">
        <v>12</v>
      </c>
      <c r="B3242" s="0" t="n">
        <v>944966</v>
      </c>
      <c r="C3242" s="0" t="n">
        <v>944986</v>
      </c>
      <c r="D3242" s="0" t="s">
        <v>10833</v>
      </c>
      <c r="E3242" s="0" t="s">
        <v>10834</v>
      </c>
      <c r="F3242" s="0" t="s">
        <v>90</v>
      </c>
      <c r="G3242" s="0" t="s">
        <v>36</v>
      </c>
      <c r="H3242" s="0" t="n">
        <v>113</v>
      </c>
      <c r="I3242" s="0" t="s">
        <v>10844</v>
      </c>
      <c r="J3242" s="0" t="s">
        <v>10845</v>
      </c>
      <c r="K3242" s="0" t="s">
        <v>10846</v>
      </c>
      <c r="L3242" s="0" t="str">
        <f aca="false">HYPERLINK("https://www.ncbi.nlm.nih.gov/nuccore/CP000304.1?report=graph&amp;tracks=[key:gene_model_track,Options:GeneOnly]&amp;mk=945032:945051|offset_48|444444,945012:945031|offset_68|444444,944987:945006|offset_93|444444,944967:944986|offset_113|00cc00&amp;v=944831:945186&amp;c=444444", "offset 113")</f>
        <v>offset 113</v>
      </c>
    </row>
    <row r="3243" customFormat="false" ht="12.8" hidden="false" customHeight="false" outlineLevel="0" collapsed="false">
      <c r="A3243" s="0" t="s">
        <v>12</v>
      </c>
      <c r="B3243" s="0" t="n">
        <v>946591</v>
      </c>
      <c r="C3243" s="0" t="n">
        <v>946611</v>
      </c>
      <c r="D3243" s="0" t="s">
        <v>10847</v>
      </c>
      <c r="E3243" s="0" t="s">
        <v>89</v>
      </c>
      <c r="F3243" s="0" t="s">
        <v>90</v>
      </c>
      <c r="G3243" s="0" t="s">
        <v>32</v>
      </c>
      <c r="H3243" s="0" t="n">
        <v>70</v>
      </c>
      <c r="I3243" s="0" t="s">
        <v>10848</v>
      </c>
      <c r="J3243" s="0" t="s">
        <v>10849</v>
      </c>
      <c r="K3243" s="0" t="s">
        <v>10850</v>
      </c>
      <c r="L3243" s="0" t="str">
        <f aca="false">HYPERLINK("https://www.ncbi.nlm.nih.gov/nuccore/CP000304.1?report=graph&amp;tracks=[key:gene_model_track,Options:GeneOnly]&amp;mk=946592:946611|offset_70|00cc00,946570:946589|offset_92|444444,946531:946550|offset_131|444444,946502:946521|offset_160|444444&amp;v=946391:946721&amp;c=444444", "offset 70")</f>
        <v>offset 70</v>
      </c>
    </row>
    <row r="3244" customFormat="false" ht="12.8" hidden="false" customHeight="false" outlineLevel="0" collapsed="false">
      <c r="A3244" s="0" t="s">
        <v>12</v>
      </c>
      <c r="B3244" s="0" t="n">
        <v>946569</v>
      </c>
      <c r="C3244" s="0" t="n">
        <v>946589</v>
      </c>
      <c r="D3244" s="0" t="s">
        <v>10847</v>
      </c>
      <c r="E3244" s="0" t="s">
        <v>89</v>
      </c>
      <c r="F3244" s="0" t="s">
        <v>90</v>
      </c>
      <c r="G3244" s="0" t="s">
        <v>26</v>
      </c>
      <c r="H3244" s="0" t="n">
        <v>92</v>
      </c>
      <c r="I3244" s="0" t="s">
        <v>10851</v>
      </c>
      <c r="J3244" s="0" t="s">
        <v>10852</v>
      </c>
      <c r="K3244" s="0" t="s">
        <v>10853</v>
      </c>
      <c r="L3244" s="0" t="str">
        <f aca="false">HYPERLINK("https://www.ncbi.nlm.nih.gov/nuccore/CP000304.1?report=graph&amp;tracks=[key:gene_model_track,Options:GeneOnly]&amp;mk=946592:946611|offset_70|444444,946570:946589|offset_92|00cc00,946531:946550|offset_131|444444,946502:946521|offset_160|444444&amp;v=946391:946721&amp;c=444444", "offset 92")</f>
        <v>offset 92</v>
      </c>
    </row>
    <row r="3245" customFormat="false" ht="12.8" hidden="false" customHeight="false" outlineLevel="0" collapsed="false">
      <c r="A3245" s="0" t="s">
        <v>12</v>
      </c>
      <c r="B3245" s="0" t="n">
        <v>946530</v>
      </c>
      <c r="C3245" s="0" t="n">
        <v>946550</v>
      </c>
      <c r="D3245" s="0" t="s">
        <v>10847</v>
      </c>
      <c r="E3245" s="0" t="s">
        <v>89</v>
      </c>
      <c r="F3245" s="0" t="s">
        <v>90</v>
      </c>
      <c r="G3245" s="0" t="s">
        <v>16</v>
      </c>
      <c r="H3245" s="0" t="n">
        <v>131</v>
      </c>
      <c r="I3245" s="0" t="s">
        <v>10854</v>
      </c>
      <c r="J3245" s="0" t="s">
        <v>10855</v>
      </c>
      <c r="K3245" s="0" t="s">
        <v>10856</v>
      </c>
      <c r="L3245" s="0" t="str">
        <f aca="false">HYPERLINK("https://www.ncbi.nlm.nih.gov/nuccore/CP000304.1?report=graph&amp;tracks=[key:gene_model_track,Options:GeneOnly]&amp;mk=946592:946611|offset_70|444444,946570:946589|offset_92|444444,946531:946550|offset_131|00cc00,946502:946521|offset_160|444444&amp;v=946391:946721&amp;c=444444", "offset 131")</f>
        <v>offset 131</v>
      </c>
    </row>
    <row r="3246" customFormat="false" ht="12.8" hidden="false" customHeight="false" outlineLevel="0" collapsed="false">
      <c r="A3246" s="0" t="s">
        <v>12</v>
      </c>
      <c r="B3246" s="0" t="n">
        <v>946501</v>
      </c>
      <c r="C3246" s="0" t="n">
        <v>946521</v>
      </c>
      <c r="D3246" s="0" t="s">
        <v>10847</v>
      </c>
      <c r="E3246" s="0" t="s">
        <v>89</v>
      </c>
      <c r="F3246" s="0" t="s">
        <v>90</v>
      </c>
      <c r="G3246" s="0" t="s">
        <v>26</v>
      </c>
      <c r="H3246" s="0" t="n">
        <v>160</v>
      </c>
      <c r="I3246" s="0" t="s">
        <v>10857</v>
      </c>
      <c r="J3246" s="0" t="s">
        <v>10858</v>
      </c>
      <c r="K3246" s="0" t="s">
        <v>10859</v>
      </c>
      <c r="L3246" s="0" t="str">
        <f aca="false">HYPERLINK("https://www.ncbi.nlm.nih.gov/nuccore/CP000304.1?report=graph&amp;tracks=[key:gene_model_track,Options:GeneOnly]&amp;mk=946592:946611|offset_70|444444,946570:946589|offset_92|444444,946531:946550|offset_131|444444,946502:946521|offset_160|00cc00&amp;v=946391:946721&amp;c=444444", "offset 160")</f>
        <v>offset 160</v>
      </c>
    </row>
    <row r="3247" customFormat="false" ht="12.8" hidden="false" customHeight="false" outlineLevel="0" collapsed="false">
      <c r="A3247" s="0" t="s">
        <v>12</v>
      </c>
      <c r="B3247" s="0" t="n">
        <v>948484</v>
      </c>
      <c r="C3247" s="0" t="n">
        <v>948504</v>
      </c>
      <c r="D3247" s="0" t="s">
        <v>10860</v>
      </c>
      <c r="E3247" s="0" t="s">
        <v>89</v>
      </c>
      <c r="F3247" s="0" t="s">
        <v>90</v>
      </c>
      <c r="G3247" s="0" t="s">
        <v>26</v>
      </c>
      <c r="H3247" s="0" t="n">
        <v>29</v>
      </c>
      <c r="I3247" s="0" t="s">
        <v>10861</v>
      </c>
      <c r="J3247" s="0" t="s">
        <v>10862</v>
      </c>
      <c r="K3247" s="0" t="s">
        <v>10863</v>
      </c>
      <c r="L3247" s="0" t="str">
        <f aca="false">HYPERLINK("https://www.ncbi.nlm.nih.gov/nuccore/CP000304.1?report=graph&amp;tracks=[key:gene_model_track,Options:GeneOnly]&amp;mk=948485:948504|offset_29|00cc00,948435:948454|offset_79|444444,948414:948433|offset_100|444444,948372:948391|offset_142|444444&amp;v=948284:948591&amp;c=444444", "offset 29")</f>
        <v>offset 29</v>
      </c>
    </row>
    <row r="3248" customFormat="false" ht="12.8" hidden="false" customHeight="false" outlineLevel="0" collapsed="false">
      <c r="A3248" s="0" t="s">
        <v>12</v>
      </c>
      <c r="B3248" s="0" t="n">
        <v>948434</v>
      </c>
      <c r="C3248" s="0" t="n">
        <v>948454</v>
      </c>
      <c r="D3248" s="0" t="s">
        <v>10860</v>
      </c>
      <c r="E3248" s="0" t="s">
        <v>89</v>
      </c>
      <c r="F3248" s="0" t="s">
        <v>90</v>
      </c>
      <c r="G3248" s="0" t="s">
        <v>32</v>
      </c>
      <c r="H3248" s="0" t="n">
        <v>79</v>
      </c>
      <c r="I3248" s="0" t="s">
        <v>10864</v>
      </c>
      <c r="J3248" s="0" t="s">
        <v>10865</v>
      </c>
      <c r="K3248" s="0" t="s">
        <v>10866</v>
      </c>
      <c r="L3248" s="0" t="str">
        <f aca="false">HYPERLINK("https://www.ncbi.nlm.nih.gov/nuccore/CP000304.1?report=graph&amp;tracks=[key:gene_model_track,Options:GeneOnly]&amp;mk=948485:948504|offset_29|444444,948435:948454|offset_79|00cc00,948414:948433|offset_100|444444,948372:948391|offset_142|444444&amp;v=948284:948591&amp;c=444444", "offset 79")</f>
        <v>offset 79</v>
      </c>
    </row>
    <row r="3249" customFormat="false" ht="12.8" hidden="false" customHeight="false" outlineLevel="0" collapsed="false">
      <c r="A3249" s="0" t="s">
        <v>12</v>
      </c>
      <c r="B3249" s="0" t="n">
        <v>948413</v>
      </c>
      <c r="C3249" s="0" t="n">
        <v>948433</v>
      </c>
      <c r="D3249" s="0" t="s">
        <v>10860</v>
      </c>
      <c r="E3249" s="0" t="s">
        <v>89</v>
      </c>
      <c r="F3249" s="0" t="s">
        <v>90</v>
      </c>
      <c r="G3249" s="0" t="s">
        <v>16</v>
      </c>
      <c r="H3249" s="0" t="n">
        <v>100</v>
      </c>
      <c r="I3249" s="0" t="s">
        <v>10867</v>
      </c>
      <c r="J3249" s="0" t="s">
        <v>10868</v>
      </c>
      <c r="K3249" s="0" t="s">
        <v>10869</v>
      </c>
      <c r="L3249" s="0" t="str">
        <f aca="false">HYPERLINK("https://www.ncbi.nlm.nih.gov/nuccore/CP000304.1?report=graph&amp;tracks=[key:gene_model_track,Options:GeneOnly]&amp;mk=948485:948504|offset_29|444444,948435:948454|offset_79|444444,948414:948433|offset_100|00cc00,948372:948391|offset_142|444444&amp;v=948284:948591&amp;c=444444", "offset 100")</f>
        <v>offset 100</v>
      </c>
    </row>
    <row r="3250" customFormat="false" ht="12.8" hidden="false" customHeight="false" outlineLevel="0" collapsed="false">
      <c r="A3250" s="0" t="s">
        <v>12</v>
      </c>
      <c r="B3250" s="0" t="n">
        <v>948371</v>
      </c>
      <c r="C3250" s="0" t="n">
        <v>948391</v>
      </c>
      <c r="D3250" s="0" t="s">
        <v>10860</v>
      </c>
      <c r="E3250" s="0" t="s">
        <v>89</v>
      </c>
      <c r="F3250" s="0" t="s">
        <v>90</v>
      </c>
      <c r="G3250" s="0" t="s">
        <v>16</v>
      </c>
      <c r="H3250" s="0" t="n">
        <v>142</v>
      </c>
      <c r="I3250" s="0" t="s">
        <v>10870</v>
      </c>
      <c r="J3250" s="0" t="s">
        <v>10871</v>
      </c>
      <c r="K3250" s="0" t="s">
        <v>10872</v>
      </c>
      <c r="L3250" s="0" t="str">
        <f aca="false">HYPERLINK("https://www.ncbi.nlm.nih.gov/nuccore/CP000304.1?report=graph&amp;tracks=[key:gene_model_track,Options:GeneOnly]&amp;mk=948485:948504|offset_29|444444,948435:948454|offset_79|444444,948414:948433|offset_100|444444,948372:948391|offset_142|00cc00&amp;v=948284:948591&amp;c=444444", "offset 142")</f>
        <v>offset 142</v>
      </c>
    </row>
    <row r="3251" customFormat="false" ht="12.8" hidden="false" customHeight="false" outlineLevel="0" collapsed="false">
      <c r="A3251" s="0" t="s">
        <v>12</v>
      </c>
      <c r="B3251" s="0" t="n">
        <v>949142</v>
      </c>
      <c r="C3251" s="0" t="n">
        <v>949162</v>
      </c>
      <c r="D3251" s="0" t="s">
        <v>10873</v>
      </c>
      <c r="E3251" s="0" t="s">
        <v>89</v>
      </c>
      <c r="F3251" s="0" t="s">
        <v>90</v>
      </c>
      <c r="G3251" s="0" t="s">
        <v>16</v>
      </c>
      <c r="H3251" s="0" t="n">
        <v>33</v>
      </c>
      <c r="I3251" s="0" t="s">
        <v>10874</v>
      </c>
      <c r="J3251" s="0" t="s">
        <v>10875</v>
      </c>
      <c r="K3251" s="0" t="s">
        <v>10876</v>
      </c>
      <c r="L3251" s="0" t="str">
        <f aca="false">HYPERLINK("https://www.ncbi.nlm.nih.gov/nuccore/CP000304.1?report=graph&amp;tracks=[key:gene_model_track,Options:GeneOnly]&amp;mk=949143:949162|offset_33|00cc00,949121:949140|offset_55|444444,949097:949116|offset_79|444444,949067:949086|offset_109|444444&amp;v=948942:949286&amp;c=444444", "offset 33")</f>
        <v>offset 33</v>
      </c>
    </row>
    <row r="3252" customFormat="false" ht="12.8" hidden="false" customHeight="false" outlineLevel="0" collapsed="false">
      <c r="A3252" s="0" t="s">
        <v>12</v>
      </c>
      <c r="B3252" s="0" t="n">
        <v>949120</v>
      </c>
      <c r="C3252" s="0" t="n">
        <v>949140</v>
      </c>
      <c r="D3252" s="0" t="s">
        <v>10873</v>
      </c>
      <c r="E3252" s="0" t="s">
        <v>89</v>
      </c>
      <c r="F3252" s="0" t="s">
        <v>90</v>
      </c>
      <c r="G3252" s="0" t="s">
        <v>32</v>
      </c>
      <c r="H3252" s="0" t="n">
        <v>55</v>
      </c>
      <c r="I3252" s="0" t="s">
        <v>10877</v>
      </c>
      <c r="J3252" s="0" t="s">
        <v>10878</v>
      </c>
      <c r="K3252" s="0" t="s">
        <v>10879</v>
      </c>
      <c r="L3252" s="0" t="str">
        <f aca="false">HYPERLINK("https://www.ncbi.nlm.nih.gov/nuccore/CP000304.1?report=graph&amp;tracks=[key:gene_model_track,Options:GeneOnly]&amp;mk=949143:949162|offset_33|444444,949121:949140|offset_55|00cc00,949097:949116|offset_79|444444,949067:949086|offset_109|444444&amp;v=948942:949286&amp;c=444444", "offset 55")</f>
        <v>offset 55</v>
      </c>
    </row>
    <row r="3253" customFormat="false" ht="12.8" hidden="false" customHeight="false" outlineLevel="0" collapsed="false">
      <c r="A3253" s="0" t="s">
        <v>12</v>
      </c>
      <c r="B3253" s="0" t="n">
        <v>949096</v>
      </c>
      <c r="C3253" s="0" t="n">
        <v>949116</v>
      </c>
      <c r="D3253" s="0" t="s">
        <v>10873</v>
      </c>
      <c r="E3253" s="0" t="s">
        <v>89</v>
      </c>
      <c r="F3253" s="0" t="s">
        <v>90</v>
      </c>
      <c r="G3253" s="0" t="s">
        <v>32</v>
      </c>
      <c r="H3253" s="0" t="n">
        <v>79</v>
      </c>
      <c r="I3253" s="0" t="s">
        <v>10880</v>
      </c>
      <c r="J3253" s="0" t="s">
        <v>10881</v>
      </c>
      <c r="K3253" s="0" t="s">
        <v>10882</v>
      </c>
      <c r="L3253" s="0" t="str">
        <f aca="false">HYPERLINK("https://www.ncbi.nlm.nih.gov/nuccore/CP000304.1?report=graph&amp;tracks=[key:gene_model_track,Options:GeneOnly]&amp;mk=949143:949162|offset_33|444444,949121:949140|offset_55|444444,949097:949116|offset_79|00cc00,949067:949086|offset_109|444444&amp;v=948942:949286&amp;c=444444", "offset 79")</f>
        <v>offset 79</v>
      </c>
    </row>
    <row r="3254" customFormat="false" ht="12.8" hidden="false" customHeight="false" outlineLevel="0" collapsed="false">
      <c r="A3254" s="0" t="s">
        <v>12</v>
      </c>
      <c r="B3254" s="0" t="n">
        <v>949066</v>
      </c>
      <c r="C3254" s="0" t="n">
        <v>949086</v>
      </c>
      <c r="D3254" s="0" t="s">
        <v>10873</v>
      </c>
      <c r="E3254" s="0" t="s">
        <v>89</v>
      </c>
      <c r="F3254" s="0" t="s">
        <v>90</v>
      </c>
      <c r="G3254" s="0" t="s">
        <v>16</v>
      </c>
      <c r="H3254" s="0" t="n">
        <v>109</v>
      </c>
      <c r="I3254" s="0" t="s">
        <v>10883</v>
      </c>
      <c r="J3254" s="0" t="s">
        <v>10884</v>
      </c>
      <c r="K3254" s="0" t="s">
        <v>10885</v>
      </c>
      <c r="L3254" s="0" t="str">
        <f aca="false">HYPERLINK("https://www.ncbi.nlm.nih.gov/nuccore/CP000304.1?report=graph&amp;tracks=[key:gene_model_track,Options:GeneOnly]&amp;mk=949143:949162|offset_33|444444,949121:949140|offset_55|444444,949097:949116|offset_79|444444,949067:949086|offset_109|00cc00&amp;v=948942:949286&amp;c=444444", "offset 109")</f>
        <v>offset 109</v>
      </c>
    </row>
    <row r="3255" customFormat="false" ht="12.8" hidden="false" customHeight="false" outlineLevel="0" collapsed="false">
      <c r="A3255" s="0" t="s">
        <v>12</v>
      </c>
      <c r="B3255" s="0" t="n">
        <v>949480</v>
      </c>
      <c r="C3255" s="0" t="n">
        <v>949500</v>
      </c>
      <c r="D3255" s="0" t="s">
        <v>10886</v>
      </c>
      <c r="E3255" s="0" t="s">
        <v>89</v>
      </c>
      <c r="F3255" s="0" t="s">
        <v>90</v>
      </c>
      <c r="G3255" s="0" t="s">
        <v>36</v>
      </c>
      <c r="H3255" s="0" t="n">
        <v>0</v>
      </c>
      <c r="I3255" s="0" t="s">
        <v>10887</v>
      </c>
      <c r="J3255" s="0" t="s">
        <v>10888</v>
      </c>
      <c r="K3255" s="0" t="s">
        <v>10889</v>
      </c>
      <c r="L3255" s="0" t="str">
        <f aca="false">HYPERLINK("https://www.ncbi.nlm.nih.gov/nuccore/CP000304.1?report=graph&amp;tracks=[key:gene_model_track,Options:GeneOnly]&amp;mk=949481:949500|offset_0|00cc00,949451:949470|offset_30|444444,949429:949448|offset_52|444444,949407:949426|offset_74|444444&amp;v=949280:949626&amp;c=444444", "offset 0")</f>
        <v>offset 0</v>
      </c>
    </row>
    <row r="3256" customFormat="false" ht="12.8" hidden="false" customHeight="false" outlineLevel="0" collapsed="false">
      <c r="A3256" s="0" t="s">
        <v>12</v>
      </c>
      <c r="B3256" s="0" t="n">
        <v>949450</v>
      </c>
      <c r="C3256" s="0" t="n">
        <v>949470</v>
      </c>
      <c r="D3256" s="0" t="s">
        <v>10886</v>
      </c>
      <c r="E3256" s="0" t="s">
        <v>89</v>
      </c>
      <c r="F3256" s="0" t="s">
        <v>90</v>
      </c>
      <c r="G3256" s="0" t="s">
        <v>32</v>
      </c>
      <c r="H3256" s="0" t="n">
        <v>30</v>
      </c>
      <c r="I3256" s="0" t="s">
        <v>10890</v>
      </c>
      <c r="J3256" s="0" t="s">
        <v>10891</v>
      </c>
      <c r="K3256" s="0" t="s">
        <v>10892</v>
      </c>
      <c r="L3256" s="0" t="str">
        <f aca="false">HYPERLINK("https://www.ncbi.nlm.nih.gov/nuccore/CP000304.1?report=graph&amp;tracks=[key:gene_model_track,Options:GeneOnly]&amp;mk=949481:949500|offset_0|444444,949451:949470|offset_30|00cc00,949429:949448|offset_52|444444,949407:949426|offset_74|444444&amp;v=949280:949626&amp;c=444444", "offset 30")</f>
        <v>offset 30</v>
      </c>
    </row>
    <row r="3257" customFormat="false" ht="12.8" hidden="false" customHeight="false" outlineLevel="0" collapsed="false">
      <c r="A3257" s="0" t="s">
        <v>12</v>
      </c>
      <c r="B3257" s="0" t="n">
        <v>949428</v>
      </c>
      <c r="C3257" s="0" t="n">
        <v>949448</v>
      </c>
      <c r="D3257" s="0" t="s">
        <v>10886</v>
      </c>
      <c r="E3257" s="0" t="s">
        <v>89</v>
      </c>
      <c r="F3257" s="0" t="s">
        <v>90</v>
      </c>
      <c r="G3257" s="0" t="s">
        <v>32</v>
      </c>
      <c r="H3257" s="0" t="n">
        <v>52</v>
      </c>
      <c r="I3257" s="0" t="s">
        <v>10893</v>
      </c>
      <c r="J3257" s="0" t="s">
        <v>10894</v>
      </c>
      <c r="K3257" s="0" t="s">
        <v>10895</v>
      </c>
      <c r="L3257" s="0" t="str">
        <f aca="false">HYPERLINK("https://www.ncbi.nlm.nih.gov/nuccore/CP000304.1?report=graph&amp;tracks=[key:gene_model_track,Options:GeneOnly]&amp;mk=949481:949500|offset_0|444444,949451:949470|offset_30|444444,949429:949448|offset_52|00cc00,949407:949426|offset_74|444444&amp;v=949280:949626&amp;c=444444", "offset 52")</f>
        <v>offset 52</v>
      </c>
    </row>
    <row r="3258" customFormat="false" ht="12.8" hidden="false" customHeight="false" outlineLevel="0" collapsed="false">
      <c r="A3258" s="0" t="s">
        <v>12</v>
      </c>
      <c r="B3258" s="0" t="n">
        <v>949406</v>
      </c>
      <c r="C3258" s="0" t="n">
        <v>949426</v>
      </c>
      <c r="D3258" s="0" t="s">
        <v>10886</v>
      </c>
      <c r="E3258" s="0" t="s">
        <v>89</v>
      </c>
      <c r="F3258" s="0" t="s">
        <v>90</v>
      </c>
      <c r="G3258" s="0" t="s">
        <v>26</v>
      </c>
      <c r="H3258" s="0" t="n">
        <v>74</v>
      </c>
      <c r="I3258" s="0" t="s">
        <v>10896</v>
      </c>
      <c r="J3258" s="0" t="s">
        <v>10897</v>
      </c>
      <c r="K3258" s="0" t="s">
        <v>10898</v>
      </c>
      <c r="L3258" s="0" t="str">
        <f aca="false">HYPERLINK("https://www.ncbi.nlm.nih.gov/nuccore/CP000304.1?report=graph&amp;tracks=[key:gene_model_track,Options:GeneOnly]&amp;mk=949481:949500|offset_0|444444,949451:949470|offset_30|444444,949429:949448|offset_52|444444,949407:949426|offset_74|00cc00&amp;v=949280:949626&amp;c=444444", "offset 74")</f>
        <v>offset 74</v>
      </c>
    </row>
    <row r="3259" customFormat="false" ht="12.8" hidden="false" customHeight="false" outlineLevel="0" collapsed="false">
      <c r="A3259" s="0" t="s">
        <v>12</v>
      </c>
      <c r="B3259" s="0" t="n">
        <v>949934</v>
      </c>
      <c r="C3259" s="0" t="n">
        <v>949954</v>
      </c>
      <c r="D3259" s="0" t="s">
        <v>10899</v>
      </c>
      <c r="E3259" s="0" t="s">
        <v>89</v>
      </c>
      <c r="F3259" s="0" t="s">
        <v>90</v>
      </c>
      <c r="G3259" s="0" t="s">
        <v>32</v>
      </c>
      <c r="H3259" s="0" t="n">
        <v>80</v>
      </c>
      <c r="I3259" s="0" t="s">
        <v>10900</v>
      </c>
      <c r="J3259" s="0" t="s">
        <v>10901</v>
      </c>
      <c r="K3259" s="0" t="s">
        <v>10902</v>
      </c>
      <c r="L3259" s="0" t="str">
        <f aca="false">HYPERLINK("https://www.ncbi.nlm.nih.gov/nuccore/CP000304.1?report=graph&amp;tracks=[key:gene_model_track,Options:GeneOnly]&amp;mk=949935:949954|offset_80|00cc00,949902:949921|offset_113|444444,949876:949895|offset_139|444444,949847:949866|offset_168|444444&amp;v=949734:950066&amp;c=444444", "offset 80")</f>
        <v>offset 80</v>
      </c>
    </row>
    <row r="3260" customFormat="false" ht="12.8" hidden="false" customHeight="false" outlineLevel="0" collapsed="false">
      <c r="A3260" s="0" t="s">
        <v>12</v>
      </c>
      <c r="B3260" s="0" t="n">
        <v>949901</v>
      </c>
      <c r="C3260" s="0" t="n">
        <v>949921</v>
      </c>
      <c r="D3260" s="0" t="s">
        <v>10899</v>
      </c>
      <c r="E3260" s="0" t="s">
        <v>89</v>
      </c>
      <c r="F3260" s="0" t="s">
        <v>90</v>
      </c>
      <c r="G3260" s="0" t="s">
        <v>36</v>
      </c>
      <c r="H3260" s="0" t="n">
        <v>113</v>
      </c>
      <c r="I3260" s="0" t="s">
        <v>10903</v>
      </c>
      <c r="J3260" s="0" t="s">
        <v>10904</v>
      </c>
      <c r="K3260" s="0" t="s">
        <v>10905</v>
      </c>
      <c r="L3260" s="0" t="str">
        <f aca="false">HYPERLINK("https://www.ncbi.nlm.nih.gov/nuccore/CP000304.1?report=graph&amp;tracks=[key:gene_model_track,Options:GeneOnly]&amp;mk=949935:949954|offset_80|444444,949902:949921|offset_113|00cc00,949876:949895|offset_139|444444,949847:949866|offset_168|444444&amp;v=949734:950066&amp;c=444444", "offset 113")</f>
        <v>offset 113</v>
      </c>
    </row>
    <row r="3261" customFormat="false" ht="12.8" hidden="false" customHeight="false" outlineLevel="0" collapsed="false">
      <c r="A3261" s="0" t="s">
        <v>12</v>
      </c>
      <c r="B3261" s="0" t="n">
        <v>949875</v>
      </c>
      <c r="C3261" s="0" t="n">
        <v>949895</v>
      </c>
      <c r="D3261" s="0" t="s">
        <v>10899</v>
      </c>
      <c r="E3261" s="0" t="s">
        <v>89</v>
      </c>
      <c r="F3261" s="0" t="s">
        <v>90</v>
      </c>
      <c r="G3261" s="0" t="s">
        <v>16</v>
      </c>
      <c r="H3261" s="0" t="n">
        <v>139</v>
      </c>
      <c r="I3261" s="0" t="s">
        <v>10906</v>
      </c>
      <c r="J3261" s="0" t="s">
        <v>10907</v>
      </c>
      <c r="K3261" s="0" t="s">
        <v>10908</v>
      </c>
      <c r="L3261" s="0" t="str">
        <f aca="false">HYPERLINK("https://www.ncbi.nlm.nih.gov/nuccore/CP000304.1?report=graph&amp;tracks=[key:gene_model_track,Options:GeneOnly]&amp;mk=949935:949954|offset_80|444444,949902:949921|offset_113|444444,949876:949895|offset_139|00cc00,949847:949866|offset_168|444444&amp;v=949734:950066&amp;c=444444", "offset 139")</f>
        <v>offset 139</v>
      </c>
    </row>
    <row r="3262" customFormat="false" ht="12.8" hidden="false" customHeight="false" outlineLevel="0" collapsed="false">
      <c r="A3262" s="0" t="s">
        <v>12</v>
      </c>
      <c r="B3262" s="0" t="n">
        <v>949846</v>
      </c>
      <c r="C3262" s="0" t="n">
        <v>949866</v>
      </c>
      <c r="D3262" s="0" t="s">
        <v>10899</v>
      </c>
      <c r="E3262" s="0" t="s">
        <v>89</v>
      </c>
      <c r="F3262" s="0" t="s">
        <v>90</v>
      </c>
      <c r="G3262" s="0" t="s">
        <v>32</v>
      </c>
      <c r="H3262" s="0" t="n">
        <v>168</v>
      </c>
      <c r="I3262" s="0" t="s">
        <v>10909</v>
      </c>
      <c r="J3262" s="0" t="s">
        <v>10910</v>
      </c>
      <c r="K3262" s="0" t="s">
        <v>10911</v>
      </c>
      <c r="L3262" s="0" t="str">
        <f aca="false">HYPERLINK("https://www.ncbi.nlm.nih.gov/nuccore/CP000304.1?report=graph&amp;tracks=[key:gene_model_track,Options:GeneOnly]&amp;mk=949935:949954|offset_80|444444,949902:949921|offset_113|444444,949876:949895|offset_139|444444,949847:949866|offset_168|00cc00&amp;v=949734:950066&amp;c=444444", "offset 168")</f>
        <v>offset 168</v>
      </c>
    </row>
    <row r="3263" customFormat="false" ht="12.8" hidden="false" customHeight="false" outlineLevel="0" collapsed="false">
      <c r="A3263" s="0" t="s">
        <v>12</v>
      </c>
      <c r="B3263" s="0" t="n">
        <v>950038</v>
      </c>
      <c r="C3263" s="0" t="n">
        <v>950058</v>
      </c>
      <c r="D3263" s="0" t="s">
        <v>10912</v>
      </c>
      <c r="E3263" s="0" t="s">
        <v>89</v>
      </c>
      <c r="F3263" s="0" t="s">
        <v>15</v>
      </c>
      <c r="G3263" s="0" t="s">
        <v>26</v>
      </c>
      <c r="H3263" s="0" t="n">
        <v>73</v>
      </c>
      <c r="I3263" s="0" t="s">
        <v>10913</v>
      </c>
      <c r="J3263" s="0" t="s">
        <v>10914</v>
      </c>
      <c r="K3263" s="0" t="s">
        <v>10915</v>
      </c>
      <c r="L3263" s="0" t="str">
        <f aca="false">HYPERLINK("https://www.ncbi.nlm.nih.gov/nuccore/CP000304.1?report=graph&amp;tracks=[key:gene_model_track,Options:GeneOnly]&amp;mk=950039:950058|offset_73|00cc00,950062:950081|offset_96|444444,950098:950117|offset_132|444444,950120:950139|offset_154|444444&amp;v=949838:950339&amp;c=444444", "offset 73")</f>
        <v>offset 73</v>
      </c>
    </row>
    <row r="3264" customFormat="false" ht="12.8" hidden="false" customHeight="false" outlineLevel="0" collapsed="false">
      <c r="A3264" s="0" t="s">
        <v>12</v>
      </c>
      <c r="B3264" s="0" t="n">
        <v>950061</v>
      </c>
      <c r="C3264" s="0" t="n">
        <v>950081</v>
      </c>
      <c r="D3264" s="0" t="s">
        <v>10912</v>
      </c>
      <c r="E3264" s="0" t="s">
        <v>89</v>
      </c>
      <c r="F3264" s="0" t="s">
        <v>15</v>
      </c>
      <c r="G3264" s="0" t="s">
        <v>36</v>
      </c>
      <c r="H3264" s="0" t="n">
        <v>96</v>
      </c>
      <c r="I3264" s="0" t="s">
        <v>10916</v>
      </c>
      <c r="J3264" s="0" t="s">
        <v>10917</v>
      </c>
      <c r="K3264" s="0" t="s">
        <v>10918</v>
      </c>
      <c r="L3264" s="0" t="str">
        <f aca="false">HYPERLINK("https://www.ncbi.nlm.nih.gov/nuccore/CP000304.1?report=graph&amp;tracks=[key:gene_model_track,Options:GeneOnly]&amp;mk=950039:950058|offset_73|444444,950062:950081|offset_96|00cc00,950098:950117|offset_132|444444,950120:950139|offset_154|444444&amp;v=949838:950339&amp;c=444444", "offset 96")</f>
        <v>offset 96</v>
      </c>
    </row>
    <row r="3265" customFormat="false" ht="12.8" hidden="false" customHeight="false" outlineLevel="0" collapsed="false">
      <c r="A3265" s="0" t="s">
        <v>12</v>
      </c>
      <c r="B3265" s="0" t="n">
        <v>950097</v>
      </c>
      <c r="C3265" s="0" t="n">
        <v>950117</v>
      </c>
      <c r="D3265" s="0" t="s">
        <v>10912</v>
      </c>
      <c r="E3265" s="0" t="s">
        <v>89</v>
      </c>
      <c r="F3265" s="0" t="s">
        <v>15</v>
      </c>
      <c r="G3265" s="0" t="s">
        <v>36</v>
      </c>
      <c r="H3265" s="0" t="n">
        <v>132</v>
      </c>
      <c r="I3265" s="0" t="s">
        <v>10919</v>
      </c>
      <c r="J3265" s="0" t="s">
        <v>10920</v>
      </c>
      <c r="K3265" s="0" t="s">
        <v>10921</v>
      </c>
      <c r="L3265" s="0" t="str">
        <f aca="false">HYPERLINK("https://www.ncbi.nlm.nih.gov/nuccore/CP000304.1?report=graph&amp;tracks=[key:gene_model_track,Options:GeneOnly]&amp;mk=950039:950058|offset_73|444444,950062:950081|offset_96|444444,950098:950117|offset_132|00cc00,950120:950139|offset_154|444444&amp;v=949838:950339&amp;c=444444", "offset 132")</f>
        <v>offset 132</v>
      </c>
    </row>
    <row r="3266" customFormat="false" ht="12.8" hidden="false" customHeight="false" outlineLevel="0" collapsed="false">
      <c r="A3266" s="0" t="s">
        <v>12</v>
      </c>
      <c r="B3266" s="0" t="n">
        <v>950119</v>
      </c>
      <c r="C3266" s="0" t="n">
        <v>950139</v>
      </c>
      <c r="D3266" s="0" t="s">
        <v>10912</v>
      </c>
      <c r="E3266" s="0" t="s">
        <v>89</v>
      </c>
      <c r="F3266" s="0" t="s">
        <v>15</v>
      </c>
      <c r="G3266" s="0" t="s">
        <v>32</v>
      </c>
      <c r="H3266" s="0" t="n">
        <v>154</v>
      </c>
      <c r="I3266" s="0" t="s">
        <v>10922</v>
      </c>
      <c r="J3266" s="0" t="s">
        <v>10923</v>
      </c>
      <c r="K3266" s="0" t="s">
        <v>10924</v>
      </c>
      <c r="L3266" s="0" t="str">
        <f aca="false">HYPERLINK("https://www.ncbi.nlm.nih.gov/nuccore/CP000304.1?report=graph&amp;tracks=[key:gene_model_track,Options:GeneOnly]&amp;mk=950039:950058|offset_73|444444,950062:950081|offset_96|444444,950098:950117|offset_132|444444,950120:950139|offset_154|00cc00&amp;v=949838:950339&amp;c=444444", "offset 154")</f>
        <v>offset 154</v>
      </c>
    </row>
    <row r="3267" customFormat="false" ht="12.8" hidden="false" customHeight="false" outlineLevel="0" collapsed="false">
      <c r="A3267" s="0" t="s">
        <v>12</v>
      </c>
      <c r="B3267" s="0" t="n">
        <v>951100</v>
      </c>
      <c r="C3267" s="0" t="n">
        <v>951120</v>
      </c>
      <c r="D3267" s="0" t="s">
        <v>10925</v>
      </c>
      <c r="E3267" s="0" t="s">
        <v>89</v>
      </c>
      <c r="F3267" s="0" t="s">
        <v>90</v>
      </c>
      <c r="G3267" s="0" t="s">
        <v>32</v>
      </c>
      <c r="H3267" s="0" t="n">
        <v>1</v>
      </c>
      <c r="I3267" s="0" t="s">
        <v>10926</v>
      </c>
      <c r="J3267" s="0" t="s">
        <v>10927</v>
      </c>
      <c r="K3267" s="0" t="s">
        <v>10928</v>
      </c>
      <c r="L3267" s="0" t="str">
        <f aca="false">HYPERLINK("https://www.ncbi.nlm.nih.gov/nuccore/CP000304.1?report=graph&amp;tracks=[key:gene_model_track,Options:GeneOnly]&amp;mk=951101:951120|offset_1|00cc00,951077:951096|offset_25|444444,951056:951075|offset_46|444444,951020:951039|offset_82|444444&amp;v=950900:951239&amp;c=444444", "offset 1")</f>
        <v>offset 1</v>
      </c>
    </row>
    <row r="3268" customFormat="false" ht="12.8" hidden="false" customHeight="false" outlineLevel="0" collapsed="false">
      <c r="A3268" s="0" t="s">
        <v>12</v>
      </c>
      <c r="B3268" s="0" t="n">
        <v>951076</v>
      </c>
      <c r="C3268" s="0" t="n">
        <v>951096</v>
      </c>
      <c r="D3268" s="0" t="s">
        <v>10925</v>
      </c>
      <c r="E3268" s="0" t="s">
        <v>89</v>
      </c>
      <c r="F3268" s="0" t="s">
        <v>90</v>
      </c>
      <c r="G3268" s="0" t="s">
        <v>16</v>
      </c>
      <c r="H3268" s="0" t="n">
        <v>25</v>
      </c>
      <c r="I3268" s="0" t="s">
        <v>10929</v>
      </c>
      <c r="J3268" s="0" t="s">
        <v>10930</v>
      </c>
      <c r="K3268" s="0" t="s">
        <v>10931</v>
      </c>
      <c r="L3268" s="0" t="str">
        <f aca="false">HYPERLINK("https://www.ncbi.nlm.nih.gov/nuccore/CP000304.1?report=graph&amp;tracks=[key:gene_model_track,Options:GeneOnly]&amp;mk=951101:951120|offset_1|444444,951077:951096|offset_25|00cc00,951056:951075|offset_46|444444,951020:951039|offset_82|444444&amp;v=950900:951239&amp;c=444444", "offset 25")</f>
        <v>offset 25</v>
      </c>
    </row>
    <row r="3269" customFormat="false" ht="12.8" hidden="false" customHeight="false" outlineLevel="0" collapsed="false">
      <c r="A3269" s="0" t="s">
        <v>12</v>
      </c>
      <c r="B3269" s="0" t="n">
        <v>951055</v>
      </c>
      <c r="C3269" s="0" t="n">
        <v>951075</v>
      </c>
      <c r="D3269" s="0" t="s">
        <v>10925</v>
      </c>
      <c r="E3269" s="0" t="s">
        <v>89</v>
      </c>
      <c r="F3269" s="0" t="s">
        <v>90</v>
      </c>
      <c r="G3269" s="0" t="s">
        <v>36</v>
      </c>
      <c r="H3269" s="0" t="n">
        <v>46</v>
      </c>
      <c r="I3269" s="0" t="s">
        <v>10932</v>
      </c>
      <c r="J3269" s="0" t="s">
        <v>10933</v>
      </c>
      <c r="K3269" s="0" t="s">
        <v>10934</v>
      </c>
      <c r="L3269" s="0" t="str">
        <f aca="false">HYPERLINK("https://www.ncbi.nlm.nih.gov/nuccore/CP000304.1?report=graph&amp;tracks=[key:gene_model_track,Options:GeneOnly]&amp;mk=951101:951120|offset_1|444444,951077:951096|offset_25|444444,951056:951075|offset_46|00cc00,951020:951039|offset_82|444444&amp;v=950900:951239&amp;c=444444", "offset 46")</f>
        <v>offset 46</v>
      </c>
    </row>
    <row r="3270" customFormat="false" ht="12.8" hidden="false" customHeight="false" outlineLevel="0" collapsed="false">
      <c r="A3270" s="0" t="s">
        <v>12</v>
      </c>
      <c r="B3270" s="0" t="n">
        <v>951019</v>
      </c>
      <c r="C3270" s="0" t="n">
        <v>951039</v>
      </c>
      <c r="D3270" s="0" t="s">
        <v>10925</v>
      </c>
      <c r="E3270" s="0" t="s">
        <v>89</v>
      </c>
      <c r="F3270" s="0" t="s">
        <v>90</v>
      </c>
      <c r="G3270" s="0" t="s">
        <v>36</v>
      </c>
      <c r="H3270" s="0" t="n">
        <v>82</v>
      </c>
      <c r="I3270" s="0" t="s">
        <v>10935</v>
      </c>
      <c r="J3270" s="0" t="s">
        <v>10936</v>
      </c>
      <c r="K3270" s="0" t="s">
        <v>10937</v>
      </c>
      <c r="L3270" s="0" t="str">
        <f aca="false">HYPERLINK("https://www.ncbi.nlm.nih.gov/nuccore/CP000304.1?report=graph&amp;tracks=[key:gene_model_track,Options:GeneOnly]&amp;mk=951101:951120|offset_1|444444,951077:951096|offset_25|444444,951056:951075|offset_46|444444,951020:951039|offset_82|00cc00&amp;v=950900:951239&amp;c=444444", "offset 82")</f>
        <v>offset 82</v>
      </c>
    </row>
    <row r="3271" customFormat="false" ht="12.8" hidden="false" customHeight="false" outlineLevel="0" collapsed="false">
      <c r="A3271" s="0" t="s">
        <v>12</v>
      </c>
      <c r="B3271" s="0" t="n">
        <v>951261</v>
      </c>
      <c r="C3271" s="0" t="n">
        <v>951281</v>
      </c>
      <c r="D3271" s="0" t="s">
        <v>10938</v>
      </c>
      <c r="E3271" s="0" t="s">
        <v>89</v>
      </c>
      <c r="F3271" s="0" t="s">
        <v>15</v>
      </c>
      <c r="G3271" s="0" t="s">
        <v>16</v>
      </c>
      <c r="H3271" s="0" t="n">
        <v>0</v>
      </c>
      <c r="I3271" s="0" t="s">
        <v>10939</v>
      </c>
      <c r="J3271" s="0" t="s">
        <v>10940</v>
      </c>
      <c r="K3271" s="0" t="s">
        <v>10941</v>
      </c>
      <c r="L3271" s="0" t="str">
        <f aca="false">HYPERLINK("https://www.ncbi.nlm.nih.gov/nuccore/CP000304.1?report=graph&amp;tracks=[key:gene_model_track,Options:GeneOnly]&amp;mk=951262:951281|offset_0|00cc00,951289:951308|offset_27|444444,951313:951332|offset_51|444444,951359:951378|offset_97|444444&amp;v=951061:951578&amp;c=444444", "offset 0")</f>
        <v>offset 0</v>
      </c>
    </row>
    <row r="3272" customFormat="false" ht="12.8" hidden="false" customHeight="false" outlineLevel="0" collapsed="false">
      <c r="A3272" s="0" t="s">
        <v>12</v>
      </c>
      <c r="B3272" s="0" t="n">
        <v>951288</v>
      </c>
      <c r="C3272" s="0" t="n">
        <v>951308</v>
      </c>
      <c r="D3272" s="0" t="s">
        <v>10938</v>
      </c>
      <c r="E3272" s="0" t="s">
        <v>89</v>
      </c>
      <c r="F3272" s="0" t="s">
        <v>15</v>
      </c>
      <c r="G3272" s="0" t="s">
        <v>32</v>
      </c>
      <c r="H3272" s="0" t="n">
        <v>27</v>
      </c>
      <c r="I3272" s="0" t="s">
        <v>10942</v>
      </c>
      <c r="J3272" s="0" t="s">
        <v>10943</v>
      </c>
      <c r="K3272" s="0" t="s">
        <v>10944</v>
      </c>
      <c r="L3272" s="0" t="str">
        <f aca="false">HYPERLINK("https://www.ncbi.nlm.nih.gov/nuccore/CP000304.1?report=graph&amp;tracks=[key:gene_model_track,Options:GeneOnly]&amp;mk=951262:951281|offset_0|444444,951289:951308|offset_27|00cc00,951313:951332|offset_51|444444,951359:951378|offset_97|444444&amp;v=951061:951578&amp;c=444444", "offset 27")</f>
        <v>offset 27</v>
      </c>
    </row>
    <row r="3273" customFormat="false" ht="12.8" hidden="false" customHeight="false" outlineLevel="0" collapsed="false">
      <c r="A3273" s="0" t="s">
        <v>12</v>
      </c>
      <c r="B3273" s="0" t="n">
        <v>951312</v>
      </c>
      <c r="C3273" s="0" t="n">
        <v>951332</v>
      </c>
      <c r="D3273" s="0" t="s">
        <v>10938</v>
      </c>
      <c r="E3273" s="0" t="s">
        <v>89</v>
      </c>
      <c r="F3273" s="0" t="s">
        <v>15</v>
      </c>
      <c r="G3273" s="0" t="s">
        <v>36</v>
      </c>
      <c r="H3273" s="0" t="n">
        <v>51</v>
      </c>
      <c r="I3273" s="0" t="s">
        <v>10945</v>
      </c>
      <c r="J3273" s="0" t="s">
        <v>10946</v>
      </c>
      <c r="K3273" s="0" t="s">
        <v>10947</v>
      </c>
      <c r="L3273" s="0" t="str">
        <f aca="false">HYPERLINK("https://www.ncbi.nlm.nih.gov/nuccore/CP000304.1?report=graph&amp;tracks=[key:gene_model_track,Options:GeneOnly]&amp;mk=951262:951281|offset_0|444444,951289:951308|offset_27|444444,951313:951332|offset_51|00cc00,951359:951378|offset_97|444444&amp;v=951061:951578&amp;c=444444", "offset 51")</f>
        <v>offset 51</v>
      </c>
    </row>
    <row r="3274" customFormat="false" ht="12.8" hidden="false" customHeight="false" outlineLevel="0" collapsed="false">
      <c r="A3274" s="0" t="s">
        <v>12</v>
      </c>
      <c r="B3274" s="0" t="n">
        <v>951358</v>
      </c>
      <c r="C3274" s="0" t="n">
        <v>951378</v>
      </c>
      <c r="D3274" s="0" t="s">
        <v>10938</v>
      </c>
      <c r="E3274" s="0" t="s">
        <v>89</v>
      </c>
      <c r="F3274" s="0" t="s">
        <v>15</v>
      </c>
      <c r="G3274" s="0" t="s">
        <v>16</v>
      </c>
      <c r="H3274" s="0" t="n">
        <v>97</v>
      </c>
      <c r="I3274" s="0" t="s">
        <v>10948</v>
      </c>
      <c r="J3274" s="0" t="s">
        <v>10949</v>
      </c>
      <c r="K3274" s="0" t="s">
        <v>10950</v>
      </c>
      <c r="L3274" s="0" t="str">
        <f aca="false">HYPERLINK("https://www.ncbi.nlm.nih.gov/nuccore/CP000304.1?report=graph&amp;tracks=[key:gene_model_track,Options:GeneOnly]&amp;mk=951262:951281|offset_0|444444,951289:951308|offset_27|444444,951313:951332|offset_51|444444,951359:951378|offset_97|00cc00&amp;v=951061:951578&amp;c=444444", "offset 97")</f>
        <v>offset 97</v>
      </c>
    </row>
    <row r="3275" customFormat="false" ht="12.8" hidden="false" customHeight="false" outlineLevel="0" collapsed="false">
      <c r="A3275" s="0" t="s">
        <v>12</v>
      </c>
      <c r="B3275" s="0" t="n">
        <v>951747</v>
      </c>
      <c r="C3275" s="0" t="n">
        <v>951767</v>
      </c>
      <c r="D3275" s="0" t="s">
        <v>10951</v>
      </c>
      <c r="E3275" s="0" t="s">
        <v>89</v>
      </c>
      <c r="F3275" s="0" t="s">
        <v>15</v>
      </c>
      <c r="G3275" s="0" t="s">
        <v>16</v>
      </c>
      <c r="H3275" s="0" t="n">
        <v>0</v>
      </c>
      <c r="I3275" s="0" t="s">
        <v>10952</v>
      </c>
      <c r="J3275" s="0" t="s">
        <v>10953</v>
      </c>
      <c r="K3275" s="0" t="s">
        <v>10954</v>
      </c>
      <c r="L3275" s="0" t="str">
        <f aca="false">HYPERLINK("https://www.ncbi.nlm.nih.gov/nuccore/CP000304.1?report=graph&amp;tracks=[key:gene_model_track,Options:GeneOnly]&amp;mk=951748:951767|offset_0|00cc00,951768:951787|offset_20|444444,951790:951809|offset_42|444444,951822:951841|offset_74|444444&amp;v=951547:952041&amp;c=444444", "offset 0")</f>
        <v>offset 0</v>
      </c>
    </row>
    <row r="3276" customFormat="false" ht="12.8" hidden="false" customHeight="false" outlineLevel="0" collapsed="false">
      <c r="A3276" s="0" t="s">
        <v>12</v>
      </c>
      <c r="B3276" s="0" t="n">
        <v>951767</v>
      </c>
      <c r="C3276" s="0" t="n">
        <v>951787</v>
      </c>
      <c r="D3276" s="0" t="s">
        <v>10951</v>
      </c>
      <c r="E3276" s="0" t="s">
        <v>89</v>
      </c>
      <c r="F3276" s="0" t="s">
        <v>15</v>
      </c>
      <c r="G3276" s="0" t="s">
        <v>16</v>
      </c>
      <c r="H3276" s="0" t="n">
        <v>20</v>
      </c>
      <c r="I3276" s="0" t="s">
        <v>10955</v>
      </c>
      <c r="J3276" s="0" t="s">
        <v>10956</v>
      </c>
      <c r="K3276" s="0" t="s">
        <v>10957</v>
      </c>
      <c r="L3276" s="0" t="str">
        <f aca="false">HYPERLINK("https://www.ncbi.nlm.nih.gov/nuccore/CP000304.1?report=graph&amp;tracks=[key:gene_model_track,Options:GeneOnly]&amp;mk=951748:951767|offset_0|444444,951768:951787|offset_20|00cc00,951790:951809|offset_42|444444,951822:951841|offset_74|444444&amp;v=951547:952041&amp;c=444444", "offset 20")</f>
        <v>offset 20</v>
      </c>
    </row>
    <row r="3277" customFormat="false" ht="12.8" hidden="false" customHeight="false" outlineLevel="0" collapsed="false">
      <c r="A3277" s="0" t="s">
        <v>12</v>
      </c>
      <c r="B3277" s="0" t="n">
        <v>951789</v>
      </c>
      <c r="C3277" s="0" t="n">
        <v>951809</v>
      </c>
      <c r="D3277" s="0" t="s">
        <v>10951</v>
      </c>
      <c r="E3277" s="0" t="s">
        <v>89</v>
      </c>
      <c r="F3277" s="0" t="s">
        <v>15</v>
      </c>
      <c r="G3277" s="0" t="s">
        <v>36</v>
      </c>
      <c r="H3277" s="0" t="n">
        <v>42</v>
      </c>
      <c r="I3277" s="0" t="s">
        <v>10958</v>
      </c>
      <c r="J3277" s="0" t="s">
        <v>10959</v>
      </c>
      <c r="K3277" s="0" t="s">
        <v>10960</v>
      </c>
      <c r="L3277" s="0" t="str">
        <f aca="false">HYPERLINK("https://www.ncbi.nlm.nih.gov/nuccore/CP000304.1?report=graph&amp;tracks=[key:gene_model_track,Options:GeneOnly]&amp;mk=951748:951767|offset_0|444444,951768:951787|offset_20|444444,951790:951809|offset_42|00cc00,951822:951841|offset_74|444444&amp;v=951547:952041&amp;c=444444", "offset 42")</f>
        <v>offset 42</v>
      </c>
    </row>
    <row r="3278" customFormat="false" ht="12.8" hidden="false" customHeight="false" outlineLevel="0" collapsed="false">
      <c r="A3278" s="0" t="s">
        <v>12</v>
      </c>
      <c r="B3278" s="0" t="n">
        <v>951821</v>
      </c>
      <c r="C3278" s="0" t="n">
        <v>951841</v>
      </c>
      <c r="D3278" s="0" t="s">
        <v>10951</v>
      </c>
      <c r="E3278" s="0" t="s">
        <v>89</v>
      </c>
      <c r="F3278" s="0" t="s">
        <v>15</v>
      </c>
      <c r="G3278" s="0" t="s">
        <v>26</v>
      </c>
      <c r="H3278" s="0" t="n">
        <v>74</v>
      </c>
      <c r="I3278" s="0" t="s">
        <v>10961</v>
      </c>
      <c r="J3278" s="0" t="s">
        <v>10962</v>
      </c>
      <c r="K3278" s="0" t="s">
        <v>10963</v>
      </c>
      <c r="L3278" s="0" t="str">
        <f aca="false">HYPERLINK("https://www.ncbi.nlm.nih.gov/nuccore/CP000304.1?report=graph&amp;tracks=[key:gene_model_track,Options:GeneOnly]&amp;mk=951748:951767|offset_0|444444,951768:951787|offset_20|444444,951790:951809|offset_42|444444,951822:951841|offset_74|00cc00&amp;v=951547:952041&amp;c=444444", "offset 74")</f>
        <v>offset 74</v>
      </c>
    </row>
    <row r="3279" customFormat="false" ht="12.8" hidden="false" customHeight="false" outlineLevel="0" collapsed="false">
      <c r="A3279" s="0" t="s">
        <v>12</v>
      </c>
      <c r="B3279" s="0" t="n">
        <v>952646</v>
      </c>
      <c r="C3279" s="0" t="n">
        <v>952666</v>
      </c>
      <c r="D3279" s="0" t="s">
        <v>10964</v>
      </c>
      <c r="E3279" s="0" t="s">
        <v>89</v>
      </c>
      <c r="F3279" s="0" t="s">
        <v>15</v>
      </c>
      <c r="G3279" s="0" t="s">
        <v>26</v>
      </c>
      <c r="H3279" s="0" t="n">
        <v>61</v>
      </c>
      <c r="I3279" s="0" t="s">
        <v>10965</v>
      </c>
      <c r="J3279" s="0" t="s">
        <v>10966</v>
      </c>
      <c r="K3279" s="0" t="s">
        <v>10967</v>
      </c>
      <c r="L3279" s="0" t="str">
        <f aca="false">HYPERLINK("https://www.ncbi.nlm.nih.gov/nuccore/CP000304.1?report=graph&amp;tracks=[key:gene_model_track,Options:GeneOnly]&amp;mk=952647:952666|offset_61|00cc00,952698:952717|offset_112|444444,952729:952748|offset_143|444444,952773:952792|offset_187|444444&amp;v=952446:952992&amp;c=444444", "offset 61")</f>
        <v>offset 61</v>
      </c>
    </row>
    <row r="3280" customFormat="false" ht="12.8" hidden="false" customHeight="false" outlineLevel="0" collapsed="false">
      <c r="A3280" s="0" t="s">
        <v>12</v>
      </c>
      <c r="B3280" s="0" t="n">
        <v>952697</v>
      </c>
      <c r="C3280" s="0" t="n">
        <v>952717</v>
      </c>
      <c r="D3280" s="0" t="s">
        <v>10964</v>
      </c>
      <c r="E3280" s="0" t="s">
        <v>89</v>
      </c>
      <c r="F3280" s="0" t="s">
        <v>15</v>
      </c>
      <c r="G3280" s="0" t="s">
        <v>32</v>
      </c>
      <c r="H3280" s="0" t="n">
        <v>112</v>
      </c>
      <c r="I3280" s="0" t="s">
        <v>10968</v>
      </c>
      <c r="J3280" s="0" t="s">
        <v>10969</v>
      </c>
      <c r="K3280" s="0" t="s">
        <v>10970</v>
      </c>
      <c r="L3280" s="0" t="str">
        <f aca="false">HYPERLINK("https://www.ncbi.nlm.nih.gov/nuccore/CP000304.1?report=graph&amp;tracks=[key:gene_model_track,Options:GeneOnly]&amp;mk=952647:952666|offset_61|444444,952698:952717|offset_112|00cc00,952729:952748|offset_143|444444,952773:952792|offset_187|444444&amp;v=952446:952992&amp;c=444444", "offset 112")</f>
        <v>offset 112</v>
      </c>
    </row>
    <row r="3281" customFormat="false" ht="12.8" hidden="false" customHeight="false" outlineLevel="0" collapsed="false">
      <c r="A3281" s="0" t="s">
        <v>12</v>
      </c>
      <c r="B3281" s="0" t="n">
        <v>952728</v>
      </c>
      <c r="C3281" s="0" t="n">
        <v>952748</v>
      </c>
      <c r="D3281" s="0" t="s">
        <v>10964</v>
      </c>
      <c r="E3281" s="0" t="s">
        <v>89</v>
      </c>
      <c r="F3281" s="0" t="s">
        <v>15</v>
      </c>
      <c r="G3281" s="0" t="s">
        <v>16</v>
      </c>
      <c r="H3281" s="0" t="n">
        <v>143</v>
      </c>
      <c r="I3281" s="0" t="s">
        <v>10971</v>
      </c>
      <c r="J3281" s="0" t="s">
        <v>10972</v>
      </c>
      <c r="K3281" s="0" t="s">
        <v>10973</v>
      </c>
      <c r="L3281" s="0" t="str">
        <f aca="false">HYPERLINK("https://www.ncbi.nlm.nih.gov/nuccore/CP000304.1?report=graph&amp;tracks=[key:gene_model_track,Options:GeneOnly]&amp;mk=952647:952666|offset_61|444444,952698:952717|offset_112|444444,952729:952748|offset_143|00cc00,952773:952792|offset_187|444444&amp;v=952446:952992&amp;c=444444", "offset 143")</f>
        <v>offset 143</v>
      </c>
    </row>
    <row r="3282" customFormat="false" ht="12.8" hidden="false" customHeight="false" outlineLevel="0" collapsed="false">
      <c r="A3282" s="0" t="s">
        <v>12</v>
      </c>
      <c r="B3282" s="0" t="n">
        <v>952772</v>
      </c>
      <c r="C3282" s="0" t="n">
        <v>952792</v>
      </c>
      <c r="D3282" s="0" t="s">
        <v>10964</v>
      </c>
      <c r="E3282" s="0" t="s">
        <v>89</v>
      </c>
      <c r="F3282" s="0" t="s">
        <v>15</v>
      </c>
      <c r="G3282" s="0" t="s">
        <v>16</v>
      </c>
      <c r="H3282" s="0" t="n">
        <v>187</v>
      </c>
      <c r="I3282" s="0" t="s">
        <v>10974</v>
      </c>
      <c r="J3282" s="0" t="s">
        <v>10975</v>
      </c>
      <c r="K3282" s="0" t="s">
        <v>10976</v>
      </c>
      <c r="L3282" s="0" t="str">
        <f aca="false">HYPERLINK("https://www.ncbi.nlm.nih.gov/nuccore/CP000304.1?report=graph&amp;tracks=[key:gene_model_track,Options:GeneOnly]&amp;mk=952647:952666|offset_61|444444,952698:952717|offset_112|444444,952729:952748|offset_143|444444,952773:952792|offset_187|00cc00&amp;v=952446:952992&amp;c=444444", "offset 187")</f>
        <v>offset 187</v>
      </c>
    </row>
    <row r="3283" customFormat="false" ht="12.8" hidden="false" customHeight="false" outlineLevel="0" collapsed="false">
      <c r="A3283" s="0" t="s">
        <v>12</v>
      </c>
      <c r="B3283" s="0" t="n">
        <v>954394</v>
      </c>
      <c r="C3283" s="0" t="n">
        <v>954414</v>
      </c>
      <c r="D3283" s="0" t="s">
        <v>10977</v>
      </c>
      <c r="E3283" s="0" t="s">
        <v>89</v>
      </c>
      <c r="F3283" s="0" t="s">
        <v>90</v>
      </c>
      <c r="G3283" s="0" t="s">
        <v>32</v>
      </c>
      <c r="H3283" s="0" t="n">
        <v>11</v>
      </c>
      <c r="I3283" s="0" t="s">
        <v>10978</v>
      </c>
      <c r="J3283" s="0" t="s">
        <v>10979</v>
      </c>
      <c r="K3283" s="0" t="s">
        <v>10980</v>
      </c>
      <c r="L3283" s="0" t="str">
        <f aca="false">HYPERLINK("https://www.ncbi.nlm.nih.gov/nuccore/CP000304.1?report=graph&amp;tracks=[key:gene_model_track,Options:GeneOnly]&amp;mk=954395:954414|offset_11|00cc00,954366:954385|offset_40|444444,954342:954361|offset_64|444444,954311:954330|offset_95|444444&amp;v=954194:954530&amp;c=444444", "offset 11")</f>
        <v>offset 11</v>
      </c>
    </row>
    <row r="3284" customFormat="false" ht="12.8" hidden="false" customHeight="false" outlineLevel="0" collapsed="false">
      <c r="A3284" s="0" t="s">
        <v>12</v>
      </c>
      <c r="B3284" s="0" t="n">
        <v>954365</v>
      </c>
      <c r="C3284" s="0" t="n">
        <v>954385</v>
      </c>
      <c r="D3284" s="0" t="s">
        <v>10977</v>
      </c>
      <c r="E3284" s="0" t="s">
        <v>89</v>
      </c>
      <c r="F3284" s="0" t="s">
        <v>90</v>
      </c>
      <c r="G3284" s="0" t="s">
        <v>16</v>
      </c>
      <c r="H3284" s="0" t="n">
        <v>40</v>
      </c>
      <c r="I3284" s="0" t="s">
        <v>10981</v>
      </c>
      <c r="J3284" s="0" t="s">
        <v>10982</v>
      </c>
      <c r="K3284" s="0" t="s">
        <v>10983</v>
      </c>
      <c r="L3284" s="0" t="str">
        <f aca="false">HYPERLINK("https://www.ncbi.nlm.nih.gov/nuccore/CP000304.1?report=graph&amp;tracks=[key:gene_model_track,Options:GeneOnly]&amp;mk=954395:954414|offset_11|444444,954366:954385|offset_40|00cc00,954342:954361|offset_64|444444,954311:954330|offset_95|444444&amp;v=954194:954530&amp;c=444444", "offset 40")</f>
        <v>offset 40</v>
      </c>
    </row>
    <row r="3285" customFormat="false" ht="12.8" hidden="false" customHeight="false" outlineLevel="0" collapsed="false">
      <c r="A3285" s="0" t="s">
        <v>12</v>
      </c>
      <c r="B3285" s="0" t="n">
        <v>954341</v>
      </c>
      <c r="C3285" s="0" t="n">
        <v>954361</v>
      </c>
      <c r="D3285" s="0" t="s">
        <v>10977</v>
      </c>
      <c r="E3285" s="0" t="s">
        <v>89</v>
      </c>
      <c r="F3285" s="0" t="s">
        <v>90</v>
      </c>
      <c r="G3285" s="0" t="s">
        <v>26</v>
      </c>
      <c r="H3285" s="0" t="n">
        <v>64</v>
      </c>
      <c r="I3285" s="0" t="s">
        <v>10984</v>
      </c>
      <c r="J3285" s="0" t="s">
        <v>10985</v>
      </c>
      <c r="K3285" s="0" t="s">
        <v>10986</v>
      </c>
      <c r="L3285" s="0" t="str">
        <f aca="false">HYPERLINK("https://www.ncbi.nlm.nih.gov/nuccore/CP000304.1?report=graph&amp;tracks=[key:gene_model_track,Options:GeneOnly]&amp;mk=954395:954414|offset_11|444444,954366:954385|offset_40|444444,954342:954361|offset_64|00cc00,954311:954330|offset_95|444444&amp;v=954194:954530&amp;c=444444", "offset 64")</f>
        <v>offset 64</v>
      </c>
    </row>
    <row r="3286" customFormat="false" ht="12.8" hidden="false" customHeight="false" outlineLevel="0" collapsed="false">
      <c r="A3286" s="0" t="s">
        <v>12</v>
      </c>
      <c r="B3286" s="0" t="n">
        <v>954310</v>
      </c>
      <c r="C3286" s="0" t="n">
        <v>954330</v>
      </c>
      <c r="D3286" s="0" t="s">
        <v>10977</v>
      </c>
      <c r="E3286" s="0" t="s">
        <v>89</v>
      </c>
      <c r="F3286" s="0" t="s">
        <v>90</v>
      </c>
      <c r="G3286" s="0" t="s">
        <v>32</v>
      </c>
      <c r="H3286" s="0" t="n">
        <v>95</v>
      </c>
      <c r="I3286" s="0" t="s">
        <v>10987</v>
      </c>
      <c r="J3286" s="0" t="s">
        <v>10988</v>
      </c>
      <c r="K3286" s="0" t="s">
        <v>10989</v>
      </c>
      <c r="L3286" s="0" t="str">
        <f aca="false">HYPERLINK("https://www.ncbi.nlm.nih.gov/nuccore/CP000304.1?report=graph&amp;tracks=[key:gene_model_track,Options:GeneOnly]&amp;mk=954395:954414|offset_11|444444,954366:954385|offset_40|444444,954342:954361|offset_64|444444,954311:954330|offset_95|00cc00&amp;v=954194:954530&amp;c=444444", "offset 95")</f>
        <v>offset 95</v>
      </c>
    </row>
    <row r="3287" customFormat="false" ht="12.8" hidden="false" customHeight="false" outlineLevel="0" collapsed="false">
      <c r="A3287" s="0" t="s">
        <v>12</v>
      </c>
      <c r="B3287" s="0" t="n">
        <v>956039</v>
      </c>
      <c r="C3287" s="0" t="n">
        <v>956059</v>
      </c>
      <c r="D3287" s="0" t="s">
        <v>10990</v>
      </c>
      <c r="E3287" s="0" t="s">
        <v>89</v>
      </c>
      <c r="F3287" s="0" t="s">
        <v>90</v>
      </c>
      <c r="G3287" s="0" t="s">
        <v>32</v>
      </c>
      <c r="H3287" s="0" t="n">
        <v>6</v>
      </c>
      <c r="I3287" s="0" t="s">
        <v>10991</v>
      </c>
      <c r="J3287" s="0" t="s">
        <v>10992</v>
      </c>
      <c r="K3287" s="0" t="s">
        <v>10993</v>
      </c>
      <c r="L3287" s="0" t="str">
        <f aca="false">HYPERLINK("https://www.ncbi.nlm.nih.gov/nuccore/CP000304.1?report=graph&amp;tracks=[key:gene_model_track,Options:GeneOnly]&amp;mk=956040:956059|offset_6|00cc00,956011:956030|offset_35|444444,955979:955998|offset_67|444444,955959:955978|offset_87|444444&amp;v=955839:956178&amp;c=444444", "offset 6")</f>
        <v>offset 6</v>
      </c>
    </row>
    <row r="3288" customFormat="false" ht="12.8" hidden="false" customHeight="false" outlineLevel="0" collapsed="false">
      <c r="A3288" s="0" t="s">
        <v>12</v>
      </c>
      <c r="B3288" s="0" t="n">
        <v>956010</v>
      </c>
      <c r="C3288" s="0" t="n">
        <v>956030</v>
      </c>
      <c r="D3288" s="0" t="s">
        <v>10990</v>
      </c>
      <c r="E3288" s="0" t="s">
        <v>89</v>
      </c>
      <c r="F3288" s="0" t="s">
        <v>90</v>
      </c>
      <c r="G3288" s="0" t="s">
        <v>32</v>
      </c>
      <c r="H3288" s="0" t="n">
        <v>35</v>
      </c>
      <c r="I3288" s="0" t="s">
        <v>10994</v>
      </c>
      <c r="J3288" s="0" t="s">
        <v>10995</v>
      </c>
      <c r="K3288" s="0" t="s">
        <v>10996</v>
      </c>
      <c r="L3288" s="0" t="str">
        <f aca="false">HYPERLINK("https://www.ncbi.nlm.nih.gov/nuccore/CP000304.1?report=graph&amp;tracks=[key:gene_model_track,Options:GeneOnly]&amp;mk=956040:956059|offset_6|444444,956011:956030|offset_35|00cc00,955979:955998|offset_67|444444,955959:955978|offset_87|444444&amp;v=955839:956178&amp;c=444444", "offset 35")</f>
        <v>offset 35</v>
      </c>
    </row>
    <row r="3289" customFormat="false" ht="12.8" hidden="false" customHeight="false" outlineLevel="0" collapsed="false">
      <c r="A3289" s="0" t="s">
        <v>12</v>
      </c>
      <c r="B3289" s="0" t="n">
        <v>955978</v>
      </c>
      <c r="C3289" s="0" t="n">
        <v>955998</v>
      </c>
      <c r="D3289" s="0" t="s">
        <v>10990</v>
      </c>
      <c r="E3289" s="0" t="s">
        <v>89</v>
      </c>
      <c r="F3289" s="0" t="s">
        <v>90</v>
      </c>
      <c r="G3289" s="0" t="s">
        <v>32</v>
      </c>
      <c r="H3289" s="0" t="n">
        <v>67</v>
      </c>
      <c r="I3289" s="0" t="s">
        <v>10997</v>
      </c>
      <c r="J3289" s="0" t="s">
        <v>10998</v>
      </c>
      <c r="K3289" s="0" t="s">
        <v>10999</v>
      </c>
      <c r="L3289" s="0" t="str">
        <f aca="false">HYPERLINK("https://www.ncbi.nlm.nih.gov/nuccore/CP000304.1?report=graph&amp;tracks=[key:gene_model_track,Options:GeneOnly]&amp;mk=956040:956059|offset_6|444444,956011:956030|offset_35|444444,955979:955998|offset_67|00cc00,955959:955978|offset_87|444444&amp;v=955839:956178&amp;c=444444", "offset 67")</f>
        <v>offset 67</v>
      </c>
    </row>
    <row r="3290" customFormat="false" ht="12.8" hidden="false" customHeight="false" outlineLevel="0" collapsed="false">
      <c r="A3290" s="0" t="s">
        <v>12</v>
      </c>
      <c r="B3290" s="0" t="n">
        <v>955958</v>
      </c>
      <c r="C3290" s="0" t="n">
        <v>955978</v>
      </c>
      <c r="D3290" s="0" t="s">
        <v>10990</v>
      </c>
      <c r="E3290" s="0" t="s">
        <v>89</v>
      </c>
      <c r="F3290" s="0" t="s">
        <v>90</v>
      </c>
      <c r="G3290" s="0" t="s">
        <v>16</v>
      </c>
      <c r="H3290" s="0" t="n">
        <v>87</v>
      </c>
      <c r="I3290" s="0" t="s">
        <v>11000</v>
      </c>
      <c r="J3290" s="0" t="s">
        <v>11001</v>
      </c>
      <c r="K3290" s="0" t="s">
        <v>11002</v>
      </c>
      <c r="L3290" s="0" t="str">
        <f aca="false">HYPERLINK("https://www.ncbi.nlm.nih.gov/nuccore/CP000304.1?report=graph&amp;tracks=[key:gene_model_track,Options:GeneOnly]&amp;mk=956040:956059|offset_6|444444,956011:956030|offset_35|444444,955979:955998|offset_67|444444,955959:955978|offset_87|00cc00&amp;v=955839:956178&amp;c=444444", "offset 87")</f>
        <v>offset 87</v>
      </c>
    </row>
    <row r="3291" customFormat="false" ht="12.8" hidden="false" customHeight="false" outlineLevel="0" collapsed="false">
      <c r="A3291" s="0" t="s">
        <v>12</v>
      </c>
      <c r="B3291" s="0" t="n">
        <v>956870</v>
      </c>
      <c r="C3291" s="0" t="n">
        <v>956890</v>
      </c>
      <c r="D3291" s="0" t="s">
        <v>11003</v>
      </c>
      <c r="E3291" s="0" t="s">
        <v>89</v>
      </c>
      <c r="F3291" s="0" t="s">
        <v>90</v>
      </c>
      <c r="G3291" s="0" t="s">
        <v>32</v>
      </c>
      <c r="H3291" s="0" t="n">
        <v>1</v>
      </c>
      <c r="I3291" s="0" t="s">
        <v>11004</v>
      </c>
      <c r="J3291" s="0" t="s">
        <v>11005</v>
      </c>
      <c r="K3291" s="0" t="s">
        <v>11006</v>
      </c>
      <c r="L3291" s="0" t="str">
        <f aca="false">HYPERLINK("https://www.ncbi.nlm.nih.gov/nuccore/CP000304.1?report=graph&amp;tracks=[key:gene_model_track,Options:GeneOnly]&amp;mk=956871:956890|offset_1|00cc00,956850:956869|offset_22|444444,956829:956848|offset_43|444444,956793:956812|offset_79|444444&amp;v=956670:957012&amp;c=444444", "offset 1")</f>
        <v>offset 1</v>
      </c>
    </row>
    <row r="3292" customFormat="false" ht="12.8" hidden="false" customHeight="false" outlineLevel="0" collapsed="false">
      <c r="A3292" s="0" t="s">
        <v>12</v>
      </c>
      <c r="B3292" s="0" t="n">
        <v>956849</v>
      </c>
      <c r="C3292" s="0" t="n">
        <v>956869</v>
      </c>
      <c r="D3292" s="0" t="s">
        <v>11003</v>
      </c>
      <c r="E3292" s="0" t="s">
        <v>89</v>
      </c>
      <c r="F3292" s="0" t="s">
        <v>90</v>
      </c>
      <c r="G3292" s="0" t="s">
        <v>16</v>
      </c>
      <c r="H3292" s="0" t="n">
        <v>22</v>
      </c>
      <c r="I3292" s="0" t="s">
        <v>11007</v>
      </c>
      <c r="J3292" s="0" t="s">
        <v>11008</v>
      </c>
      <c r="K3292" s="0" t="s">
        <v>11009</v>
      </c>
      <c r="L3292" s="0" t="str">
        <f aca="false">HYPERLINK("https://www.ncbi.nlm.nih.gov/nuccore/CP000304.1?report=graph&amp;tracks=[key:gene_model_track,Options:GeneOnly]&amp;mk=956871:956890|offset_1|444444,956850:956869|offset_22|00cc00,956829:956848|offset_43|444444,956793:956812|offset_79|444444&amp;v=956670:957012&amp;c=444444", "offset 22")</f>
        <v>offset 22</v>
      </c>
    </row>
    <row r="3293" customFormat="false" ht="12.8" hidden="false" customHeight="false" outlineLevel="0" collapsed="false">
      <c r="A3293" s="0" t="s">
        <v>12</v>
      </c>
      <c r="B3293" s="0" t="n">
        <v>956828</v>
      </c>
      <c r="C3293" s="0" t="n">
        <v>956848</v>
      </c>
      <c r="D3293" s="0" t="s">
        <v>11003</v>
      </c>
      <c r="E3293" s="0" t="s">
        <v>89</v>
      </c>
      <c r="F3293" s="0" t="s">
        <v>90</v>
      </c>
      <c r="G3293" s="0" t="s">
        <v>32</v>
      </c>
      <c r="H3293" s="0" t="n">
        <v>43</v>
      </c>
      <c r="I3293" s="0" t="s">
        <v>11010</v>
      </c>
      <c r="J3293" s="0" t="s">
        <v>11011</v>
      </c>
      <c r="K3293" s="0" t="s">
        <v>11012</v>
      </c>
      <c r="L3293" s="0" t="str">
        <f aca="false">HYPERLINK("https://www.ncbi.nlm.nih.gov/nuccore/CP000304.1?report=graph&amp;tracks=[key:gene_model_track,Options:GeneOnly]&amp;mk=956871:956890|offset_1|444444,956850:956869|offset_22|444444,956829:956848|offset_43|00cc00,956793:956812|offset_79|444444&amp;v=956670:957012&amp;c=444444", "offset 43")</f>
        <v>offset 43</v>
      </c>
    </row>
    <row r="3294" customFormat="false" ht="12.8" hidden="false" customHeight="false" outlineLevel="0" collapsed="false">
      <c r="A3294" s="0" t="s">
        <v>12</v>
      </c>
      <c r="B3294" s="0" t="n">
        <v>956792</v>
      </c>
      <c r="C3294" s="0" t="n">
        <v>956812</v>
      </c>
      <c r="D3294" s="0" t="s">
        <v>11003</v>
      </c>
      <c r="E3294" s="0" t="s">
        <v>89</v>
      </c>
      <c r="F3294" s="0" t="s">
        <v>90</v>
      </c>
      <c r="G3294" s="0" t="s">
        <v>16</v>
      </c>
      <c r="H3294" s="0" t="n">
        <v>79</v>
      </c>
      <c r="I3294" s="0" t="s">
        <v>11013</v>
      </c>
      <c r="J3294" s="0" t="s">
        <v>11014</v>
      </c>
      <c r="K3294" s="0" t="s">
        <v>11015</v>
      </c>
      <c r="L3294" s="0" t="str">
        <f aca="false">HYPERLINK("https://www.ncbi.nlm.nih.gov/nuccore/CP000304.1?report=graph&amp;tracks=[key:gene_model_track,Options:GeneOnly]&amp;mk=956871:956890|offset_1|444444,956850:956869|offset_22|444444,956829:956848|offset_43|444444,956793:956812|offset_79|00cc00&amp;v=956670:957012&amp;c=444444", "offset 79")</f>
        <v>offset 79</v>
      </c>
    </row>
    <row r="3295" customFormat="false" ht="12.8" hidden="false" customHeight="false" outlineLevel="0" collapsed="false">
      <c r="A3295" s="0" t="s">
        <v>12</v>
      </c>
      <c r="B3295" s="0" t="n">
        <v>958373</v>
      </c>
      <c r="C3295" s="0" t="n">
        <v>958393</v>
      </c>
      <c r="D3295" s="0" t="s">
        <v>11016</v>
      </c>
      <c r="E3295" s="0" t="s">
        <v>89</v>
      </c>
      <c r="F3295" s="0" t="s">
        <v>90</v>
      </c>
      <c r="G3295" s="0" t="s">
        <v>16</v>
      </c>
      <c r="H3295" s="0" t="n">
        <v>0</v>
      </c>
      <c r="I3295" s="0" t="s">
        <v>11017</v>
      </c>
      <c r="J3295" s="0" t="s">
        <v>11018</v>
      </c>
      <c r="K3295" s="0" t="s">
        <v>11019</v>
      </c>
      <c r="L3295" s="0" t="str">
        <f aca="false">HYPERLINK("https://www.ncbi.nlm.nih.gov/nuccore/CP000304.1?report=graph&amp;tracks=[key:gene_model_track,Options:GeneOnly]&amp;mk=958374:958393|offset_0|00cc00,958354:958373|offset_20|444444,958325:958344|offset_49|444444,958292:958311|offset_82|444444&amp;v=958173:958511&amp;c=444444", "offset 0")</f>
        <v>offset 0</v>
      </c>
    </row>
    <row r="3296" customFormat="false" ht="12.8" hidden="false" customHeight="false" outlineLevel="0" collapsed="false">
      <c r="A3296" s="0" t="s">
        <v>12</v>
      </c>
      <c r="B3296" s="0" t="n">
        <v>958353</v>
      </c>
      <c r="C3296" s="0" t="n">
        <v>958373</v>
      </c>
      <c r="D3296" s="0" t="s">
        <v>11016</v>
      </c>
      <c r="E3296" s="0" t="s">
        <v>89</v>
      </c>
      <c r="F3296" s="0" t="s">
        <v>90</v>
      </c>
      <c r="G3296" s="0" t="s">
        <v>26</v>
      </c>
      <c r="H3296" s="0" t="n">
        <v>20</v>
      </c>
      <c r="I3296" s="0" t="s">
        <v>11020</v>
      </c>
      <c r="J3296" s="0" t="s">
        <v>11021</v>
      </c>
      <c r="K3296" s="0" t="s">
        <v>11022</v>
      </c>
      <c r="L3296" s="0" t="str">
        <f aca="false">HYPERLINK("https://www.ncbi.nlm.nih.gov/nuccore/CP000304.1?report=graph&amp;tracks=[key:gene_model_track,Options:GeneOnly]&amp;mk=958374:958393|offset_0|444444,958354:958373|offset_20|00cc00,958325:958344|offset_49|444444,958292:958311|offset_82|444444&amp;v=958173:958511&amp;c=444444", "offset 20")</f>
        <v>offset 20</v>
      </c>
    </row>
    <row r="3297" customFormat="false" ht="12.8" hidden="false" customHeight="false" outlineLevel="0" collapsed="false">
      <c r="A3297" s="0" t="s">
        <v>12</v>
      </c>
      <c r="B3297" s="0" t="n">
        <v>958324</v>
      </c>
      <c r="C3297" s="0" t="n">
        <v>958344</v>
      </c>
      <c r="D3297" s="0" t="s">
        <v>11016</v>
      </c>
      <c r="E3297" s="0" t="s">
        <v>89</v>
      </c>
      <c r="F3297" s="0" t="s">
        <v>90</v>
      </c>
      <c r="G3297" s="0" t="s">
        <v>16</v>
      </c>
      <c r="H3297" s="0" t="n">
        <v>49</v>
      </c>
      <c r="I3297" s="0" t="s">
        <v>11023</v>
      </c>
      <c r="J3297" s="0" t="s">
        <v>11024</v>
      </c>
      <c r="K3297" s="0" t="s">
        <v>11025</v>
      </c>
      <c r="L3297" s="0" t="str">
        <f aca="false">HYPERLINK("https://www.ncbi.nlm.nih.gov/nuccore/CP000304.1?report=graph&amp;tracks=[key:gene_model_track,Options:GeneOnly]&amp;mk=958374:958393|offset_0|444444,958354:958373|offset_20|444444,958325:958344|offset_49|00cc00,958292:958311|offset_82|444444&amp;v=958173:958511&amp;c=444444", "offset 49")</f>
        <v>offset 49</v>
      </c>
    </row>
    <row r="3298" customFormat="false" ht="12.8" hidden="false" customHeight="false" outlineLevel="0" collapsed="false">
      <c r="A3298" s="0" t="s">
        <v>12</v>
      </c>
      <c r="B3298" s="0" t="n">
        <v>958291</v>
      </c>
      <c r="C3298" s="0" t="n">
        <v>958311</v>
      </c>
      <c r="D3298" s="0" t="s">
        <v>11016</v>
      </c>
      <c r="E3298" s="0" t="s">
        <v>89</v>
      </c>
      <c r="F3298" s="0" t="s">
        <v>90</v>
      </c>
      <c r="G3298" s="0" t="s">
        <v>36</v>
      </c>
      <c r="H3298" s="0" t="n">
        <v>82</v>
      </c>
      <c r="I3298" s="0" t="s">
        <v>11026</v>
      </c>
      <c r="J3298" s="0" t="s">
        <v>11027</v>
      </c>
      <c r="K3298" s="0" t="s">
        <v>11028</v>
      </c>
      <c r="L3298" s="0" t="str">
        <f aca="false">HYPERLINK("https://www.ncbi.nlm.nih.gov/nuccore/CP000304.1?report=graph&amp;tracks=[key:gene_model_track,Options:GeneOnly]&amp;mk=958374:958393|offset_0|444444,958354:958373|offset_20|444444,958325:958344|offset_49|444444,958292:958311|offset_82|00cc00&amp;v=958173:958511&amp;c=444444", "offset 82")</f>
        <v>offset 82</v>
      </c>
    </row>
    <row r="3299" customFormat="false" ht="12.8" hidden="false" customHeight="false" outlineLevel="0" collapsed="false">
      <c r="A3299" s="0" t="s">
        <v>12</v>
      </c>
      <c r="B3299" s="0" t="n">
        <v>959965</v>
      </c>
      <c r="C3299" s="0" t="n">
        <v>959985</v>
      </c>
      <c r="D3299" s="0" t="s">
        <v>11029</v>
      </c>
      <c r="E3299" s="0" t="s">
        <v>89</v>
      </c>
      <c r="F3299" s="0" t="s">
        <v>90</v>
      </c>
      <c r="G3299" s="0" t="s">
        <v>16</v>
      </c>
      <c r="H3299" s="0" t="n">
        <v>19</v>
      </c>
      <c r="I3299" s="0" t="s">
        <v>11030</v>
      </c>
      <c r="J3299" s="0" t="s">
        <v>11031</v>
      </c>
      <c r="K3299" s="0" t="s">
        <v>11032</v>
      </c>
      <c r="L3299" s="0" t="str">
        <f aca="false">HYPERLINK("https://www.ncbi.nlm.nih.gov/nuccore/CP000304.1?report=graph&amp;tracks=[key:gene_model_track,Options:GeneOnly]&amp;mk=959966:959985|offset_19|00cc00,959935:959954|offset_50|444444,959912:959931|offset_73|444444,959882:959901|offset_103|444444&amp;v=959765:960101&amp;c=444444", "offset 19")</f>
        <v>offset 19</v>
      </c>
    </row>
    <row r="3300" customFormat="false" ht="12.8" hidden="false" customHeight="false" outlineLevel="0" collapsed="false">
      <c r="A3300" s="0" t="s">
        <v>12</v>
      </c>
      <c r="B3300" s="0" t="n">
        <v>959934</v>
      </c>
      <c r="C3300" s="0" t="n">
        <v>959954</v>
      </c>
      <c r="D3300" s="0" t="s">
        <v>11029</v>
      </c>
      <c r="E3300" s="0" t="s">
        <v>89</v>
      </c>
      <c r="F3300" s="0" t="s">
        <v>90</v>
      </c>
      <c r="G3300" s="0" t="s">
        <v>26</v>
      </c>
      <c r="H3300" s="0" t="n">
        <v>50</v>
      </c>
      <c r="I3300" s="0" t="s">
        <v>11033</v>
      </c>
      <c r="J3300" s="0" t="s">
        <v>11034</v>
      </c>
      <c r="K3300" s="0" t="s">
        <v>11035</v>
      </c>
      <c r="L3300" s="0" t="str">
        <f aca="false">HYPERLINK("https://www.ncbi.nlm.nih.gov/nuccore/CP000304.1?report=graph&amp;tracks=[key:gene_model_track,Options:GeneOnly]&amp;mk=959966:959985|offset_19|444444,959935:959954|offset_50|00cc00,959912:959931|offset_73|444444,959882:959901|offset_103|444444&amp;v=959765:960101&amp;c=444444", "offset 50")</f>
        <v>offset 50</v>
      </c>
    </row>
    <row r="3301" customFormat="false" ht="12.8" hidden="false" customHeight="false" outlineLevel="0" collapsed="false">
      <c r="A3301" s="0" t="s">
        <v>12</v>
      </c>
      <c r="B3301" s="0" t="n">
        <v>959911</v>
      </c>
      <c r="C3301" s="0" t="n">
        <v>959931</v>
      </c>
      <c r="D3301" s="0" t="s">
        <v>11029</v>
      </c>
      <c r="E3301" s="0" t="s">
        <v>89</v>
      </c>
      <c r="F3301" s="0" t="s">
        <v>90</v>
      </c>
      <c r="G3301" s="0" t="s">
        <v>32</v>
      </c>
      <c r="H3301" s="0" t="n">
        <v>73</v>
      </c>
      <c r="I3301" s="0" t="s">
        <v>11036</v>
      </c>
      <c r="J3301" s="0" t="s">
        <v>11037</v>
      </c>
      <c r="K3301" s="0" t="s">
        <v>11038</v>
      </c>
      <c r="L3301" s="0" t="str">
        <f aca="false">HYPERLINK("https://www.ncbi.nlm.nih.gov/nuccore/CP000304.1?report=graph&amp;tracks=[key:gene_model_track,Options:GeneOnly]&amp;mk=959966:959985|offset_19|444444,959935:959954|offset_50|444444,959912:959931|offset_73|00cc00,959882:959901|offset_103|444444&amp;v=959765:960101&amp;c=444444", "offset 73")</f>
        <v>offset 73</v>
      </c>
    </row>
    <row r="3302" customFormat="false" ht="12.8" hidden="false" customHeight="false" outlineLevel="0" collapsed="false">
      <c r="A3302" s="0" t="s">
        <v>12</v>
      </c>
      <c r="B3302" s="0" t="n">
        <v>959881</v>
      </c>
      <c r="C3302" s="0" t="n">
        <v>959901</v>
      </c>
      <c r="D3302" s="0" t="s">
        <v>11029</v>
      </c>
      <c r="E3302" s="0" t="s">
        <v>89</v>
      </c>
      <c r="F3302" s="0" t="s">
        <v>90</v>
      </c>
      <c r="G3302" s="0" t="s">
        <v>16</v>
      </c>
      <c r="H3302" s="0" t="n">
        <v>103</v>
      </c>
      <c r="I3302" s="0" t="s">
        <v>11039</v>
      </c>
      <c r="J3302" s="0" t="s">
        <v>11040</v>
      </c>
      <c r="K3302" s="0" t="s">
        <v>11041</v>
      </c>
      <c r="L3302" s="0" t="str">
        <f aca="false">HYPERLINK("https://www.ncbi.nlm.nih.gov/nuccore/CP000304.1?report=graph&amp;tracks=[key:gene_model_track,Options:GeneOnly]&amp;mk=959966:959985|offset_19|444444,959935:959954|offset_50|444444,959912:959931|offset_73|444444,959882:959901|offset_103|00cc00&amp;v=959765:960101&amp;c=444444", "offset 103")</f>
        <v>offset 103</v>
      </c>
    </row>
    <row r="3303" customFormat="false" ht="12.8" hidden="false" customHeight="false" outlineLevel="0" collapsed="false">
      <c r="A3303" s="0" t="s">
        <v>12</v>
      </c>
      <c r="B3303" s="0" t="n">
        <v>960148</v>
      </c>
      <c r="C3303" s="0" t="n">
        <v>960168</v>
      </c>
      <c r="D3303" s="0" t="s">
        <v>11042</v>
      </c>
      <c r="E3303" s="0" t="s">
        <v>89</v>
      </c>
      <c r="F3303" s="0" t="s">
        <v>15</v>
      </c>
      <c r="G3303" s="0" t="s">
        <v>16</v>
      </c>
      <c r="H3303" s="0" t="n">
        <v>34</v>
      </c>
      <c r="I3303" s="0" t="s">
        <v>11043</v>
      </c>
      <c r="J3303" s="0" t="s">
        <v>11044</v>
      </c>
      <c r="K3303" s="0" t="s">
        <v>11045</v>
      </c>
      <c r="L3303" s="0" t="str">
        <f aca="false">HYPERLINK("https://www.ncbi.nlm.nih.gov/nuccore/CP000304.1?report=graph&amp;tracks=[key:gene_model_track,Options:GeneOnly]&amp;mk=960149:960168|offset_34|00cc00,960169:960188|offset_54|444444,960215:960234|offset_100|444444,960252:960271|offset_137|444444&amp;v=959948:960471&amp;c=444444", "offset 34")</f>
        <v>offset 34</v>
      </c>
    </row>
    <row r="3304" customFormat="false" ht="12.8" hidden="false" customHeight="false" outlineLevel="0" collapsed="false">
      <c r="A3304" s="0" t="s">
        <v>12</v>
      </c>
      <c r="B3304" s="0" t="n">
        <v>960168</v>
      </c>
      <c r="C3304" s="0" t="n">
        <v>960188</v>
      </c>
      <c r="D3304" s="0" t="s">
        <v>11042</v>
      </c>
      <c r="E3304" s="0" t="s">
        <v>89</v>
      </c>
      <c r="F3304" s="0" t="s">
        <v>15</v>
      </c>
      <c r="G3304" s="0" t="s">
        <v>36</v>
      </c>
      <c r="H3304" s="0" t="n">
        <v>54</v>
      </c>
      <c r="I3304" s="0" t="s">
        <v>11046</v>
      </c>
      <c r="J3304" s="0" t="s">
        <v>11047</v>
      </c>
      <c r="K3304" s="0" t="s">
        <v>11048</v>
      </c>
      <c r="L3304" s="0" t="str">
        <f aca="false">HYPERLINK("https://www.ncbi.nlm.nih.gov/nuccore/CP000304.1?report=graph&amp;tracks=[key:gene_model_track,Options:GeneOnly]&amp;mk=960149:960168|offset_34|444444,960169:960188|offset_54|00cc00,960215:960234|offset_100|444444,960252:960271|offset_137|444444&amp;v=959948:960471&amp;c=444444", "offset 54")</f>
        <v>offset 54</v>
      </c>
    </row>
    <row r="3305" customFormat="false" ht="12.8" hidden="false" customHeight="false" outlineLevel="0" collapsed="false">
      <c r="A3305" s="0" t="s">
        <v>12</v>
      </c>
      <c r="B3305" s="0" t="n">
        <v>960214</v>
      </c>
      <c r="C3305" s="0" t="n">
        <v>960234</v>
      </c>
      <c r="D3305" s="0" t="s">
        <v>11042</v>
      </c>
      <c r="E3305" s="0" t="s">
        <v>89</v>
      </c>
      <c r="F3305" s="0" t="s">
        <v>15</v>
      </c>
      <c r="G3305" s="0" t="s">
        <v>16</v>
      </c>
      <c r="H3305" s="0" t="n">
        <v>100</v>
      </c>
      <c r="I3305" s="0" t="s">
        <v>11049</v>
      </c>
      <c r="J3305" s="0" t="s">
        <v>11050</v>
      </c>
      <c r="K3305" s="0" t="s">
        <v>11051</v>
      </c>
      <c r="L3305" s="0" t="str">
        <f aca="false">HYPERLINK("https://www.ncbi.nlm.nih.gov/nuccore/CP000304.1?report=graph&amp;tracks=[key:gene_model_track,Options:GeneOnly]&amp;mk=960149:960168|offset_34|444444,960169:960188|offset_54|444444,960215:960234|offset_100|00cc00,960252:960271|offset_137|444444&amp;v=959948:960471&amp;c=444444", "offset 100")</f>
        <v>offset 100</v>
      </c>
    </row>
    <row r="3306" customFormat="false" ht="12.8" hidden="false" customHeight="false" outlineLevel="0" collapsed="false">
      <c r="A3306" s="0" t="s">
        <v>12</v>
      </c>
      <c r="B3306" s="0" t="n">
        <v>960251</v>
      </c>
      <c r="C3306" s="0" t="n">
        <v>960271</v>
      </c>
      <c r="D3306" s="0" t="s">
        <v>11042</v>
      </c>
      <c r="E3306" s="0" t="s">
        <v>89</v>
      </c>
      <c r="F3306" s="0" t="s">
        <v>15</v>
      </c>
      <c r="G3306" s="0" t="s">
        <v>26</v>
      </c>
      <c r="H3306" s="0" t="n">
        <v>137</v>
      </c>
      <c r="I3306" s="0" t="s">
        <v>11052</v>
      </c>
      <c r="J3306" s="0" t="s">
        <v>11053</v>
      </c>
      <c r="K3306" s="0" t="s">
        <v>11054</v>
      </c>
      <c r="L3306" s="0" t="str">
        <f aca="false">HYPERLINK("https://www.ncbi.nlm.nih.gov/nuccore/CP000304.1?report=graph&amp;tracks=[key:gene_model_track,Options:GeneOnly]&amp;mk=960149:960168|offset_34|444444,960169:960188|offset_54|444444,960215:960234|offset_100|444444,960252:960271|offset_137|00cc00&amp;v=959948:960471&amp;c=444444", "offset 137")</f>
        <v>offset 137</v>
      </c>
    </row>
    <row r="3307" customFormat="false" ht="12.8" hidden="false" customHeight="false" outlineLevel="0" collapsed="false">
      <c r="A3307" s="0" t="s">
        <v>12</v>
      </c>
      <c r="B3307" s="0" t="n">
        <v>961249</v>
      </c>
      <c r="C3307" s="0" t="n">
        <v>961269</v>
      </c>
      <c r="D3307" s="0" t="s">
        <v>11055</v>
      </c>
      <c r="E3307" s="0" t="s">
        <v>89</v>
      </c>
      <c r="F3307" s="0" t="s">
        <v>90</v>
      </c>
      <c r="G3307" s="0" t="s">
        <v>36</v>
      </c>
      <c r="H3307" s="0" t="n">
        <v>11</v>
      </c>
      <c r="I3307" s="0" t="s">
        <v>11056</v>
      </c>
      <c r="J3307" s="0" t="s">
        <v>11057</v>
      </c>
      <c r="K3307" s="0" t="s">
        <v>11058</v>
      </c>
      <c r="L3307" s="0" t="str">
        <f aca="false">HYPERLINK("https://www.ncbi.nlm.nih.gov/nuccore/CP000304.1?report=graph&amp;tracks=[key:gene_model_track,Options:GeneOnly]&amp;mk=961250:961269|offset_11|00cc00,961218:961237|offset_43|444444,961178:961197|offset_83|444444,961155:961174|offset_106|444444&amp;v=961049:961374&amp;c=444444", "offset 11")</f>
        <v>offset 11</v>
      </c>
    </row>
    <row r="3308" customFormat="false" ht="12.8" hidden="false" customHeight="false" outlineLevel="0" collapsed="false">
      <c r="A3308" s="0" t="s">
        <v>12</v>
      </c>
      <c r="B3308" s="0" t="n">
        <v>961217</v>
      </c>
      <c r="C3308" s="0" t="n">
        <v>961237</v>
      </c>
      <c r="D3308" s="0" t="s">
        <v>11055</v>
      </c>
      <c r="E3308" s="0" t="s">
        <v>89</v>
      </c>
      <c r="F3308" s="0" t="s">
        <v>90</v>
      </c>
      <c r="G3308" s="0" t="s">
        <v>32</v>
      </c>
      <c r="H3308" s="0" t="n">
        <v>43</v>
      </c>
      <c r="I3308" s="0" t="s">
        <v>11059</v>
      </c>
      <c r="J3308" s="0" t="s">
        <v>11060</v>
      </c>
      <c r="K3308" s="0" t="s">
        <v>11061</v>
      </c>
      <c r="L3308" s="0" t="str">
        <f aca="false">HYPERLINK("https://www.ncbi.nlm.nih.gov/nuccore/CP000304.1?report=graph&amp;tracks=[key:gene_model_track,Options:GeneOnly]&amp;mk=961250:961269|offset_11|444444,961218:961237|offset_43|00cc00,961178:961197|offset_83|444444,961155:961174|offset_106|444444&amp;v=961049:961374&amp;c=444444", "offset 43")</f>
        <v>offset 43</v>
      </c>
    </row>
    <row r="3309" customFormat="false" ht="12.8" hidden="false" customHeight="false" outlineLevel="0" collapsed="false">
      <c r="A3309" s="0" t="s">
        <v>12</v>
      </c>
      <c r="B3309" s="0" t="n">
        <v>961177</v>
      </c>
      <c r="C3309" s="0" t="n">
        <v>961197</v>
      </c>
      <c r="D3309" s="0" t="s">
        <v>11055</v>
      </c>
      <c r="E3309" s="0" t="s">
        <v>89</v>
      </c>
      <c r="F3309" s="0" t="s">
        <v>90</v>
      </c>
      <c r="G3309" s="0" t="s">
        <v>26</v>
      </c>
      <c r="H3309" s="0" t="n">
        <v>83</v>
      </c>
      <c r="I3309" s="0" t="s">
        <v>11062</v>
      </c>
      <c r="J3309" s="0" t="s">
        <v>11063</v>
      </c>
      <c r="K3309" s="0" t="s">
        <v>11064</v>
      </c>
      <c r="L3309" s="0" t="str">
        <f aca="false">HYPERLINK("https://www.ncbi.nlm.nih.gov/nuccore/CP000304.1?report=graph&amp;tracks=[key:gene_model_track,Options:GeneOnly]&amp;mk=961250:961269|offset_11|444444,961218:961237|offset_43|444444,961178:961197|offset_83|00cc00,961155:961174|offset_106|444444&amp;v=961049:961374&amp;c=444444", "offset 83")</f>
        <v>offset 83</v>
      </c>
    </row>
    <row r="3310" customFormat="false" ht="12.8" hidden="false" customHeight="false" outlineLevel="0" collapsed="false">
      <c r="A3310" s="0" t="s">
        <v>12</v>
      </c>
      <c r="B3310" s="0" t="n">
        <v>961154</v>
      </c>
      <c r="C3310" s="0" t="n">
        <v>961174</v>
      </c>
      <c r="D3310" s="0" t="s">
        <v>11055</v>
      </c>
      <c r="E3310" s="0" t="s">
        <v>89</v>
      </c>
      <c r="F3310" s="0" t="s">
        <v>90</v>
      </c>
      <c r="G3310" s="0" t="s">
        <v>16</v>
      </c>
      <c r="H3310" s="0" t="n">
        <v>106</v>
      </c>
      <c r="I3310" s="0" t="s">
        <v>11065</v>
      </c>
      <c r="J3310" s="0" t="s">
        <v>11066</v>
      </c>
      <c r="K3310" s="0" t="s">
        <v>11067</v>
      </c>
      <c r="L3310" s="0" t="str">
        <f aca="false">HYPERLINK("https://www.ncbi.nlm.nih.gov/nuccore/CP000304.1?report=graph&amp;tracks=[key:gene_model_track,Options:GeneOnly]&amp;mk=961250:961269|offset_11|444444,961218:961237|offset_43|444444,961178:961197|offset_83|444444,961155:961174|offset_106|00cc00&amp;v=961049:961374&amp;c=444444", "offset 106")</f>
        <v>offset 106</v>
      </c>
    </row>
    <row r="3311" customFormat="false" ht="12.8" hidden="false" customHeight="false" outlineLevel="0" collapsed="false">
      <c r="A3311" s="0" t="s">
        <v>12</v>
      </c>
      <c r="B3311" s="0" t="n">
        <v>961479</v>
      </c>
      <c r="C3311" s="0" t="n">
        <v>961499</v>
      </c>
      <c r="D3311" s="0" t="s">
        <v>11068</v>
      </c>
      <c r="E3311" s="0" t="s">
        <v>89</v>
      </c>
      <c r="F3311" s="0" t="s">
        <v>15</v>
      </c>
      <c r="G3311" s="0" t="s">
        <v>36</v>
      </c>
      <c r="H3311" s="0" t="n">
        <v>0</v>
      </c>
      <c r="I3311" s="0" t="s">
        <v>11069</v>
      </c>
      <c r="J3311" s="0" t="s">
        <v>11070</v>
      </c>
      <c r="K3311" s="0" t="s">
        <v>11071</v>
      </c>
      <c r="L3311" s="0" t="str">
        <f aca="false">HYPERLINK("https://www.ncbi.nlm.nih.gov/nuccore/CP000304.1?report=graph&amp;tracks=[key:gene_model_track,Options:GeneOnly]&amp;mk=961480:961499|offset_0|00cc00,961500:961519|offset_20|444444,961529:961548|offset_49|444444,961553:961572|offset_73|444444&amp;v=961279:961772&amp;c=444444", "offset 0")</f>
        <v>offset 0</v>
      </c>
    </row>
    <row r="3312" customFormat="false" ht="12.8" hidden="false" customHeight="false" outlineLevel="0" collapsed="false">
      <c r="A3312" s="0" t="s">
        <v>12</v>
      </c>
      <c r="B3312" s="0" t="n">
        <v>961499</v>
      </c>
      <c r="C3312" s="0" t="n">
        <v>961519</v>
      </c>
      <c r="D3312" s="0" t="s">
        <v>11068</v>
      </c>
      <c r="E3312" s="0" t="s">
        <v>89</v>
      </c>
      <c r="F3312" s="0" t="s">
        <v>15</v>
      </c>
      <c r="G3312" s="0" t="s">
        <v>16</v>
      </c>
      <c r="H3312" s="0" t="n">
        <v>20</v>
      </c>
      <c r="I3312" s="0" t="s">
        <v>11072</v>
      </c>
      <c r="J3312" s="0" t="s">
        <v>11073</v>
      </c>
      <c r="K3312" s="0" t="s">
        <v>11074</v>
      </c>
      <c r="L3312" s="0" t="str">
        <f aca="false">HYPERLINK("https://www.ncbi.nlm.nih.gov/nuccore/CP000304.1?report=graph&amp;tracks=[key:gene_model_track,Options:GeneOnly]&amp;mk=961480:961499|offset_0|444444,961500:961519|offset_20|00cc00,961529:961548|offset_49|444444,961553:961572|offset_73|444444&amp;v=961279:961772&amp;c=444444", "offset 20")</f>
        <v>offset 20</v>
      </c>
    </row>
    <row r="3313" customFormat="false" ht="12.8" hidden="false" customHeight="false" outlineLevel="0" collapsed="false">
      <c r="A3313" s="0" t="s">
        <v>12</v>
      </c>
      <c r="B3313" s="0" t="n">
        <v>961528</v>
      </c>
      <c r="C3313" s="0" t="n">
        <v>961548</v>
      </c>
      <c r="D3313" s="0" t="s">
        <v>11068</v>
      </c>
      <c r="E3313" s="0" t="s">
        <v>89</v>
      </c>
      <c r="F3313" s="0" t="s">
        <v>15</v>
      </c>
      <c r="G3313" s="0" t="s">
        <v>16</v>
      </c>
      <c r="H3313" s="0" t="n">
        <v>49</v>
      </c>
      <c r="I3313" s="0" t="s">
        <v>11075</v>
      </c>
      <c r="J3313" s="0" t="s">
        <v>11076</v>
      </c>
      <c r="K3313" s="0" t="s">
        <v>11077</v>
      </c>
      <c r="L3313" s="0" t="str">
        <f aca="false">HYPERLINK("https://www.ncbi.nlm.nih.gov/nuccore/CP000304.1?report=graph&amp;tracks=[key:gene_model_track,Options:GeneOnly]&amp;mk=961480:961499|offset_0|444444,961500:961519|offset_20|444444,961529:961548|offset_49|00cc00,961553:961572|offset_73|444444&amp;v=961279:961772&amp;c=444444", "offset 49")</f>
        <v>offset 49</v>
      </c>
    </row>
    <row r="3314" customFormat="false" ht="12.8" hidden="false" customHeight="false" outlineLevel="0" collapsed="false">
      <c r="A3314" s="0" t="s">
        <v>12</v>
      </c>
      <c r="B3314" s="0" t="n">
        <v>961552</v>
      </c>
      <c r="C3314" s="0" t="n">
        <v>961572</v>
      </c>
      <c r="D3314" s="0" t="s">
        <v>11068</v>
      </c>
      <c r="E3314" s="0" t="s">
        <v>89</v>
      </c>
      <c r="F3314" s="0" t="s">
        <v>15</v>
      </c>
      <c r="G3314" s="0" t="s">
        <v>36</v>
      </c>
      <c r="H3314" s="0" t="n">
        <v>73</v>
      </c>
      <c r="I3314" s="0" t="s">
        <v>11078</v>
      </c>
      <c r="J3314" s="0" t="s">
        <v>11079</v>
      </c>
      <c r="K3314" s="0" t="s">
        <v>11080</v>
      </c>
      <c r="L3314" s="0" t="str">
        <f aca="false">HYPERLINK("https://www.ncbi.nlm.nih.gov/nuccore/CP000304.1?report=graph&amp;tracks=[key:gene_model_track,Options:GeneOnly]&amp;mk=961480:961499|offset_0|444444,961500:961519|offset_20|444444,961529:961548|offset_49|444444,961553:961572|offset_73|00cc00&amp;v=961279:961772&amp;c=444444", "offset 73")</f>
        <v>offset 73</v>
      </c>
    </row>
    <row r="3315" customFormat="false" ht="12.8" hidden="false" customHeight="false" outlineLevel="0" collapsed="false">
      <c r="A3315" s="0" t="s">
        <v>12</v>
      </c>
      <c r="B3315" s="0" t="n">
        <v>965211</v>
      </c>
      <c r="C3315" s="0" t="n">
        <v>965231</v>
      </c>
      <c r="D3315" s="0" t="s">
        <v>11081</v>
      </c>
      <c r="E3315" s="0" t="s">
        <v>11082</v>
      </c>
      <c r="F3315" s="0" t="s">
        <v>15</v>
      </c>
      <c r="G3315" s="0" t="s">
        <v>36</v>
      </c>
      <c r="H3315" s="0" t="n">
        <v>8</v>
      </c>
      <c r="I3315" s="0" t="s">
        <v>11083</v>
      </c>
      <c r="J3315" s="0" t="s">
        <v>11084</v>
      </c>
      <c r="K3315" s="0" t="s">
        <v>11085</v>
      </c>
      <c r="L3315" s="0" t="str">
        <f aca="false">HYPERLINK("https://www.ncbi.nlm.nih.gov/nuccore/CP000304.1?report=graph&amp;tracks=[key:gene_model_track,Options:GeneOnly]&amp;mk=965212:965231|offset_8|00cc00,965289:965308|offset_85|444444,965332:965351|offset_128|444444,965367:965386|offset_163|444444&amp;v=965011:965586&amp;c=444444", "offset 8")</f>
        <v>offset 8</v>
      </c>
    </row>
    <row r="3316" customFormat="false" ht="12.8" hidden="false" customHeight="false" outlineLevel="0" collapsed="false">
      <c r="A3316" s="0" t="s">
        <v>12</v>
      </c>
      <c r="B3316" s="0" t="n">
        <v>965288</v>
      </c>
      <c r="C3316" s="0" t="n">
        <v>965308</v>
      </c>
      <c r="D3316" s="0" t="s">
        <v>11081</v>
      </c>
      <c r="E3316" s="0" t="s">
        <v>11082</v>
      </c>
      <c r="F3316" s="0" t="s">
        <v>15</v>
      </c>
      <c r="G3316" s="0" t="s">
        <v>16</v>
      </c>
      <c r="H3316" s="0" t="n">
        <v>85</v>
      </c>
      <c r="I3316" s="0" t="s">
        <v>11086</v>
      </c>
      <c r="J3316" s="0" t="s">
        <v>11087</v>
      </c>
      <c r="K3316" s="0" t="s">
        <v>11088</v>
      </c>
      <c r="L3316" s="0" t="str">
        <f aca="false">HYPERLINK("https://www.ncbi.nlm.nih.gov/nuccore/CP000304.1?report=graph&amp;tracks=[key:gene_model_track,Options:GeneOnly]&amp;mk=965212:965231|offset_8|444444,965289:965308|offset_85|00cc00,965332:965351|offset_128|444444,965367:965386|offset_163|444444&amp;v=965011:965586&amp;c=444444", "offset 85")</f>
        <v>offset 85</v>
      </c>
    </row>
    <row r="3317" customFormat="false" ht="12.8" hidden="false" customHeight="false" outlineLevel="0" collapsed="false">
      <c r="A3317" s="0" t="s">
        <v>12</v>
      </c>
      <c r="B3317" s="0" t="n">
        <v>965331</v>
      </c>
      <c r="C3317" s="0" t="n">
        <v>965351</v>
      </c>
      <c r="D3317" s="0" t="s">
        <v>11081</v>
      </c>
      <c r="E3317" s="0" t="s">
        <v>11082</v>
      </c>
      <c r="F3317" s="0" t="s">
        <v>15</v>
      </c>
      <c r="G3317" s="0" t="s">
        <v>36</v>
      </c>
      <c r="H3317" s="0" t="n">
        <v>128</v>
      </c>
      <c r="I3317" s="0" t="s">
        <v>11089</v>
      </c>
      <c r="J3317" s="0" t="s">
        <v>11090</v>
      </c>
      <c r="K3317" s="0" t="s">
        <v>11091</v>
      </c>
      <c r="L3317" s="0" t="str">
        <f aca="false">HYPERLINK("https://www.ncbi.nlm.nih.gov/nuccore/CP000304.1?report=graph&amp;tracks=[key:gene_model_track,Options:GeneOnly]&amp;mk=965212:965231|offset_8|444444,965289:965308|offset_85|444444,965332:965351|offset_128|00cc00,965367:965386|offset_163|444444&amp;v=965011:965586&amp;c=444444", "offset 128")</f>
        <v>offset 128</v>
      </c>
    </row>
    <row r="3318" customFormat="false" ht="12.8" hidden="false" customHeight="false" outlineLevel="0" collapsed="false">
      <c r="A3318" s="0" t="s">
        <v>12</v>
      </c>
      <c r="B3318" s="0" t="n">
        <v>965366</v>
      </c>
      <c r="C3318" s="0" t="n">
        <v>965386</v>
      </c>
      <c r="D3318" s="0" t="s">
        <v>11081</v>
      </c>
      <c r="E3318" s="0" t="s">
        <v>11082</v>
      </c>
      <c r="F3318" s="0" t="s">
        <v>15</v>
      </c>
      <c r="G3318" s="0" t="s">
        <v>32</v>
      </c>
      <c r="H3318" s="0" t="n">
        <v>163</v>
      </c>
      <c r="I3318" s="0" t="s">
        <v>11092</v>
      </c>
      <c r="J3318" s="0" t="s">
        <v>11093</v>
      </c>
      <c r="K3318" s="0" t="s">
        <v>11094</v>
      </c>
      <c r="L3318" s="0" t="str">
        <f aca="false">HYPERLINK("https://www.ncbi.nlm.nih.gov/nuccore/CP000304.1?report=graph&amp;tracks=[key:gene_model_track,Options:GeneOnly]&amp;mk=965212:965231|offset_8|444444,965289:965308|offset_85|444444,965332:965351|offset_128|444444,965367:965386|offset_163|00cc00&amp;v=965011:965586&amp;c=444444", "offset 163")</f>
        <v>offset 163</v>
      </c>
    </row>
    <row r="3319" customFormat="false" ht="12.8" hidden="false" customHeight="false" outlineLevel="0" collapsed="false">
      <c r="A3319" s="0" t="s">
        <v>12</v>
      </c>
      <c r="B3319" s="0" t="n">
        <v>966301</v>
      </c>
      <c r="C3319" s="0" t="n">
        <v>966321</v>
      </c>
      <c r="D3319" s="0" t="s">
        <v>11095</v>
      </c>
      <c r="E3319" s="0" t="s">
        <v>89</v>
      </c>
      <c r="F3319" s="0" t="s">
        <v>15</v>
      </c>
      <c r="G3319" s="0" t="s">
        <v>16</v>
      </c>
      <c r="H3319" s="0" t="n">
        <v>7</v>
      </c>
      <c r="I3319" s="0" t="s">
        <v>11096</v>
      </c>
      <c r="J3319" s="0" t="s">
        <v>11097</v>
      </c>
      <c r="K3319" s="0" t="s">
        <v>11098</v>
      </c>
      <c r="L3319" s="0" t="str">
        <f aca="false">HYPERLINK("https://www.ncbi.nlm.nih.gov/nuccore/CP000304.1?report=graph&amp;tracks=[key:gene_model_track,Options:GeneOnly]&amp;mk=966302:966321|offset_7|00cc00,966323:966342|offset_28|444444,966354:966373|offset_59|444444,966375:966394|offset_80|444444&amp;v=966101:966594&amp;c=444444", "offset 7")</f>
        <v>offset 7</v>
      </c>
    </row>
    <row r="3320" customFormat="false" ht="12.8" hidden="false" customHeight="false" outlineLevel="0" collapsed="false">
      <c r="A3320" s="0" t="s">
        <v>12</v>
      </c>
      <c r="B3320" s="0" t="n">
        <v>966322</v>
      </c>
      <c r="C3320" s="0" t="n">
        <v>966342</v>
      </c>
      <c r="D3320" s="0" t="s">
        <v>11095</v>
      </c>
      <c r="E3320" s="0" t="s">
        <v>89</v>
      </c>
      <c r="F3320" s="0" t="s">
        <v>15</v>
      </c>
      <c r="G3320" s="0" t="s">
        <v>16</v>
      </c>
      <c r="H3320" s="0" t="n">
        <v>28</v>
      </c>
      <c r="I3320" s="0" t="s">
        <v>11099</v>
      </c>
      <c r="J3320" s="0" t="s">
        <v>11100</v>
      </c>
      <c r="K3320" s="0" t="s">
        <v>11101</v>
      </c>
      <c r="L3320" s="0" t="str">
        <f aca="false">HYPERLINK("https://www.ncbi.nlm.nih.gov/nuccore/CP000304.1?report=graph&amp;tracks=[key:gene_model_track,Options:GeneOnly]&amp;mk=966302:966321|offset_7|444444,966323:966342|offset_28|00cc00,966354:966373|offset_59|444444,966375:966394|offset_80|444444&amp;v=966101:966594&amp;c=444444", "offset 28")</f>
        <v>offset 28</v>
      </c>
    </row>
    <row r="3321" customFormat="false" ht="12.8" hidden="false" customHeight="false" outlineLevel="0" collapsed="false">
      <c r="A3321" s="0" t="s">
        <v>12</v>
      </c>
      <c r="B3321" s="0" t="n">
        <v>966353</v>
      </c>
      <c r="C3321" s="0" t="n">
        <v>966373</v>
      </c>
      <c r="D3321" s="0" t="s">
        <v>11095</v>
      </c>
      <c r="E3321" s="0" t="s">
        <v>89</v>
      </c>
      <c r="F3321" s="0" t="s">
        <v>15</v>
      </c>
      <c r="G3321" s="0" t="s">
        <v>32</v>
      </c>
      <c r="H3321" s="0" t="n">
        <v>59</v>
      </c>
      <c r="I3321" s="0" t="s">
        <v>11102</v>
      </c>
      <c r="J3321" s="0" t="s">
        <v>11103</v>
      </c>
      <c r="K3321" s="0" t="s">
        <v>11104</v>
      </c>
      <c r="L3321" s="0" t="str">
        <f aca="false">HYPERLINK("https://www.ncbi.nlm.nih.gov/nuccore/CP000304.1?report=graph&amp;tracks=[key:gene_model_track,Options:GeneOnly]&amp;mk=966302:966321|offset_7|444444,966323:966342|offset_28|444444,966354:966373|offset_59|00cc00,966375:966394|offset_80|444444&amp;v=966101:966594&amp;c=444444", "offset 59")</f>
        <v>offset 59</v>
      </c>
    </row>
    <row r="3322" customFormat="false" ht="12.8" hidden="false" customHeight="false" outlineLevel="0" collapsed="false">
      <c r="A3322" s="0" t="s">
        <v>12</v>
      </c>
      <c r="B3322" s="0" t="n">
        <v>966374</v>
      </c>
      <c r="C3322" s="0" t="n">
        <v>966394</v>
      </c>
      <c r="D3322" s="0" t="s">
        <v>11095</v>
      </c>
      <c r="E3322" s="0" t="s">
        <v>89</v>
      </c>
      <c r="F3322" s="0" t="s">
        <v>15</v>
      </c>
      <c r="G3322" s="0" t="s">
        <v>26</v>
      </c>
      <c r="H3322" s="0" t="n">
        <v>80</v>
      </c>
      <c r="I3322" s="0" t="s">
        <v>11105</v>
      </c>
      <c r="J3322" s="0" t="s">
        <v>11106</v>
      </c>
      <c r="K3322" s="0" t="s">
        <v>11107</v>
      </c>
      <c r="L3322" s="0" t="str">
        <f aca="false">HYPERLINK("https://www.ncbi.nlm.nih.gov/nuccore/CP000304.1?report=graph&amp;tracks=[key:gene_model_track,Options:GeneOnly]&amp;mk=966302:966321|offset_7|444444,966323:966342|offset_28|444444,966354:966373|offset_59|444444,966375:966394|offset_80|00cc00&amp;v=966101:966594&amp;c=444444", "offset 80")</f>
        <v>offset 80</v>
      </c>
    </row>
    <row r="3323" customFormat="false" ht="12.8" hidden="false" customHeight="false" outlineLevel="0" collapsed="false">
      <c r="A3323" s="0" t="s">
        <v>12</v>
      </c>
      <c r="B3323" s="0" t="n">
        <v>968124</v>
      </c>
      <c r="C3323" s="0" t="n">
        <v>968144</v>
      </c>
      <c r="D3323" s="0" t="s">
        <v>11108</v>
      </c>
      <c r="E3323" s="0" t="s">
        <v>11109</v>
      </c>
      <c r="F3323" s="0" t="s">
        <v>15</v>
      </c>
      <c r="G3323" s="0" t="s">
        <v>16</v>
      </c>
      <c r="H3323" s="0" t="n">
        <v>10</v>
      </c>
      <c r="I3323" s="0" t="s">
        <v>11110</v>
      </c>
      <c r="J3323" s="0" t="s">
        <v>11111</v>
      </c>
      <c r="K3323" s="0" t="s">
        <v>11112</v>
      </c>
      <c r="L3323" s="0" t="str">
        <f aca="false">HYPERLINK("https://www.ncbi.nlm.nih.gov/nuccore/CP000304.1?report=graph&amp;tracks=[key:gene_model_track,Options:GeneOnly]&amp;mk=968125:968144|offset_10|00cc00,968150:968169|offset_35|444444,968188:968207|offset_73|444444,968233:968252|offset_118|444444&amp;v=967924:968452&amp;c=444444", "offset 10")</f>
        <v>offset 10</v>
      </c>
    </row>
    <row r="3324" customFormat="false" ht="12.8" hidden="false" customHeight="false" outlineLevel="0" collapsed="false">
      <c r="A3324" s="0" t="s">
        <v>12</v>
      </c>
      <c r="B3324" s="0" t="n">
        <v>968149</v>
      </c>
      <c r="C3324" s="0" t="n">
        <v>968169</v>
      </c>
      <c r="D3324" s="0" t="s">
        <v>11108</v>
      </c>
      <c r="E3324" s="0" t="s">
        <v>11109</v>
      </c>
      <c r="F3324" s="0" t="s">
        <v>15</v>
      </c>
      <c r="G3324" s="0" t="s">
        <v>36</v>
      </c>
      <c r="H3324" s="0" t="n">
        <v>35</v>
      </c>
      <c r="I3324" s="0" t="s">
        <v>11113</v>
      </c>
      <c r="J3324" s="0" t="s">
        <v>11114</v>
      </c>
      <c r="K3324" s="0" t="s">
        <v>11115</v>
      </c>
      <c r="L3324" s="0" t="str">
        <f aca="false">HYPERLINK("https://www.ncbi.nlm.nih.gov/nuccore/CP000304.1?report=graph&amp;tracks=[key:gene_model_track,Options:GeneOnly]&amp;mk=968125:968144|offset_10|444444,968150:968169|offset_35|00cc00,968188:968207|offset_73|444444,968233:968252|offset_118|444444&amp;v=967924:968452&amp;c=444444", "offset 35")</f>
        <v>offset 35</v>
      </c>
    </row>
    <row r="3325" customFormat="false" ht="12.8" hidden="false" customHeight="false" outlineLevel="0" collapsed="false">
      <c r="A3325" s="0" t="s">
        <v>12</v>
      </c>
      <c r="B3325" s="0" t="n">
        <v>968187</v>
      </c>
      <c r="C3325" s="0" t="n">
        <v>968207</v>
      </c>
      <c r="D3325" s="0" t="s">
        <v>11108</v>
      </c>
      <c r="E3325" s="0" t="s">
        <v>11109</v>
      </c>
      <c r="F3325" s="0" t="s">
        <v>15</v>
      </c>
      <c r="G3325" s="0" t="s">
        <v>16</v>
      </c>
      <c r="H3325" s="0" t="n">
        <v>73</v>
      </c>
      <c r="I3325" s="0" t="s">
        <v>11116</v>
      </c>
      <c r="J3325" s="0" t="s">
        <v>11117</v>
      </c>
      <c r="K3325" s="0" t="s">
        <v>11118</v>
      </c>
      <c r="L3325" s="0" t="str">
        <f aca="false">HYPERLINK("https://www.ncbi.nlm.nih.gov/nuccore/CP000304.1?report=graph&amp;tracks=[key:gene_model_track,Options:GeneOnly]&amp;mk=968125:968144|offset_10|444444,968150:968169|offset_35|444444,968188:968207|offset_73|00cc00,968233:968252|offset_118|444444&amp;v=967924:968452&amp;c=444444", "offset 73")</f>
        <v>offset 73</v>
      </c>
    </row>
    <row r="3326" customFormat="false" ht="12.8" hidden="false" customHeight="false" outlineLevel="0" collapsed="false">
      <c r="A3326" s="0" t="s">
        <v>12</v>
      </c>
      <c r="B3326" s="0" t="n">
        <v>968232</v>
      </c>
      <c r="C3326" s="0" t="n">
        <v>968252</v>
      </c>
      <c r="D3326" s="0" t="s">
        <v>11108</v>
      </c>
      <c r="E3326" s="0" t="s">
        <v>11109</v>
      </c>
      <c r="F3326" s="0" t="s">
        <v>15</v>
      </c>
      <c r="G3326" s="0" t="s">
        <v>36</v>
      </c>
      <c r="H3326" s="0" t="n">
        <v>118</v>
      </c>
      <c r="I3326" s="0" t="s">
        <v>11119</v>
      </c>
      <c r="J3326" s="0" t="s">
        <v>11120</v>
      </c>
      <c r="K3326" s="0" t="s">
        <v>11121</v>
      </c>
      <c r="L3326" s="0" t="str">
        <f aca="false">HYPERLINK("https://www.ncbi.nlm.nih.gov/nuccore/CP000304.1?report=graph&amp;tracks=[key:gene_model_track,Options:GeneOnly]&amp;mk=968125:968144|offset_10|444444,968150:968169|offset_35|444444,968188:968207|offset_73|444444,968233:968252|offset_118|00cc00&amp;v=967924:968452&amp;c=444444", "offset 118")</f>
        <v>offset 118</v>
      </c>
    </row>
    <row r="3327" customFormat="false" ht="12.8" hidden="false" customHeight="false" outlineLevel="0" collapsed="false">
      <c r="A3327" s="0" t="s">
        <v>12</v>
      </c>
      <c r="B3327" s="0" t="n">
        <v>969398</v>
      </c>
      <c r="C3327" s="0" t="n">
        <v>969418</v>
      </c>
      <c r="D3327" s="0" t="s">
        <v>11122</v>
      </c>
      <c r="E3327" s="0" t="s">
        <v>89</v>
      </c>
      <c r="F3327" s="0" t="s">
        <v>15</v>
      </c>
      <c r="G3327" s="0" t="s">
        <v>16</v>
      </c>
      <c r="H3327" s="0" t="n">
        <v>8</v>
      </c>
      <c r="I3327" s="0" t="s">
        <v>11123</v>
      </c>
      <c r="J3327" s="0" t="s">
        <v>11124</v>
      </c>
      <c r="K3327" s="0" t="s">
        <v>11125</v>
      </c>
      <c r="L3327" s="0" t="str">
        <f aca="false">HYPERLINK("https://www.ncbi.nlm.nih.gov/nuccore/CP000304.1?report=graph&amp;tracks=[key:gene_model_track,Options:GeneOnly]&amp;mk=969399:969418|offset_8|00cc00,969419:969438|offset_28|444444,969463:969482|offset_72|444444,969492:969511|offset_101|444444&amp;v=969198:969711&amp;c=444444", "offset 8")</f>
        <v>offset 8</v>
      </c>
    </row>
    <row r="3328" customFormat="false" ht="12.8" hidden="false" customHeight="false" outlineLevel="0" collapsed="false">
      <c r="A3328" s="0" t="s">
        <v>12</v>
      </c>
      <c r="B3328" s="0" t="n">
        <v>969418</v>
      </c>
      <c r="C3328" s="0" t="n">
        <v>969438</v>
      </c>
      <c r="D3328" s="0" t="s">
        <v>11122</v>
      </c>
      <c r="E3328" s="0" t="s">
        <v>89</v>
      </c>
      <c r="F3328" s="0" t="s">
        <v>15</v>
      </c>
      <c r="G3328" s="0" t="s">
        <v>32</v>
      </c>
      <c r="H3328" s="0" t="n">
        <v>28</v>
      </c>
      <c r="I3328" s="0" t="s">
        <v>11126</v>
      </c>
      <c r="J3328" s="0" t="s">
        <v>11127</v>
      </c>
      <c r="K3328" s="0" t="s">
        <v>11128</v>
      </c>
      <c r="L3328" s="0" t="str">
        <f aca="false">HYPERLINK("https://www.ncbi.nlm.nih.gov/nuccore/CP000304.1?report=graph&amp;tracks=[key:gene_model_track,Options:GeneOnly]&amp;mk=969399:969418|offset_8|444444,969419:969438|offset_28|00cc00,969463:969482|offset_72|444444,969492:969511|offset_101|444444&amp;v=969198:969711&amp;c=444444", "offset 28")</f>
        <v>offset 28</v>
      </c>
    </row>
    <row r="3329" customFormat="false" ht="12.8" hidden="false" customHeight="false" outlineLevel="0" collapsed="false">
      <c r="A3329" s="0" t="s">
        <v>12</v>
      </c>
      <c r="B3329" s="0" t="n">
        <v>969462</v>
      </c>
      <c r="C3329" s="0" t="n">
        <v>969482</v>
      </c>
      <c r="D3329" s="0" t="s">
        <v>11122</v>
      </c>
      <c r="E3329" s="0" t="s">
        <v>89</v>
      </c>
      <c r="F3329" s="0" t="s">
        <v>15</v>
      </c>
      <c r="G3329" s="0" t="s">
        <v>16</v>
      </c>
      <c r="H3329" s="0" t="n">
        <v>72</v>
      </c>
      <c r="I3329" s="0" t="s">
        <v>11129</v>
      </c>
      <c r="J3329" s="0" t="s">
        <v>11130</v>
      </c>
      <c r="K3329" s="0" t="s">
        <v>11131</v>
      </c>
      <c r="L3329" s="0" t="str">
        <f aca="false">HYPERLINK("https://www.ncbi.nlm.nih.gov/nuccore/CP000304.1?report=graph&amp;tracks=[key:gene_model_track,Options:GeneOnly]&amp;mk=969399:969418|offset_8|444444,969419:969438|offset_28|444444,969463:969482|offset_72|00cc00,969492:969511|offset_101|444444&amp;v=969198:969711&amp;c=444444", "offset 72")</f>
        <v>offset 72</v>
      </c>
    </row>
    <row r="3330" customFormat="false" ht="12.8" hidden="false" customHeight="false" outlineLevel="0" collapsed="false">
      <c r="A3330" s="0" t="s">
        <v>12</v>
      </c>
      <c r="B3330" s="0" t="n">
        <v>969491</v>
      </c>
      <c r="C3330" s="0" t="n">
        <v>969511</v>
      </c>
      <c r="D3330" s="0" t="s">
        <v>11122</v>
      </c>
      <c r="E3330" s="0" t="s">
        <v>89</v>
      </c>
      <c r="F3330" s="0" t="s">
        <v>15</v>
      </c>
      <c r="G3330" s="0" t="s">
        <v>16</v>
      </c>
      <c r="H3330" s="0" t="n">
        <v>101</v>
      </c>
      <c r="I3330" s="0" t="s">
        <v>11132</v>
      </c>
      <c r="J3330" s="0" t="s">
        <v>11133</v>
      </c>
      <c r="K3330" s="0" t="s">
        <v>11134</v>
      </c>
      <c r="L3330" s="0" t="str">
        <f aca="false">HYPERLINK("https://www.ncbi.nlm.nih.gov/nuccore/CP000304.1?report=graph&amp;tracks=[key:gene_model_track,Options:GeneOnly]&amp;mk=969399:969418|offset_8|444444,969419:969438|offset_28|444444,969463:969482|offset_72|444444,969492:969511|offset_101|00cc00&amp;v=969198:969711&amp;c=444444", "offset 101")</f>
        <v>offset 101</v>
      </c>
    </row>
    <row r="3331" customFormat="false" ht="12.8" hidden="false" customHeight="false" outlineLevel="0" collapsed="false">
      <c r="A3331" s="0" t="s">
        <v>12</v>
      </c>
      <c r="B3331" s="0" t="n">
        <v>970545</v>
      </c>
      <c r="C3331" s="0" t="n">
        <v>970565</v>
      </c>
      <c r="D3331" s="0" t="s">
        <v>11135</v>
      </c>
      <c r="E3331" s="0" t="s">
        <v>89</v>
      </c>
      <c r="F3331" s="0" t="s">
        <v>15</v>
      </c>
      <c r="G3331" s="0" t="s">
        <v>36</v>
      </c>
      <c r="H3331" s="0" t="n">
        <v>16</v>
      </c>
      <c r="I3331" s="0" t="s">
        <v>11136</v>
      </c>
      <c r="J3331" s="0" t="s">
        <v>11137</v>
      </c>
      <c r="K3331" s="0" t="s">
        <v>11138</v>
      </c>
      <c r="L3331" s="0" t="str">
        <f aca="false">HYPERLINK("https://www.ncbi.nlm.nih.gov/nuccore/CP000304.1?report=graph&amp;tracks=[key:gene_model_track,Options:GeneOnly]&amp;mk=970546:970565|offset_16|00cc00,970586:970605|offset_56|444444,970614:970633|offset_84|444444,970639:970658|offset_109|444444&amp;v=970345:970858&amp;c=444444", "offset 16")</f>
        <v>offset 16</v>
      </c>
    </row>
    <row r="3332" customFormat="false" ht="12.8" hidden="false" customHeight="false" outlineLevel="0" collapsed="false">
      <c r="A3332" s="0" t="s">
        <v>12</v>
      </c>
      <c r="B3332" s="0" t="n">
        <v>970585</v>
      </c>
      <c r="C3332" s="0" t="n">
        <v>970605</v>
      </c>
      <c r="D3332" s="0" t="s">
        <v>11135</v>
      </c>
      <c r="E3332" s="0" t="s">
        <v>89</v>
      </c>
      <c r="F3332" s="0" t="s">
        <v>15</v>
      </c>
      <c r="G3332" s="0" t="s">
        <v>16</v>
      </c>
      <c r="H3332" s="0" t="n">
        <v>56</v>
      </c>
      <c r="I3332" s="0" t="s">
        <v>11139</v>
      </c>
      <c r="J3332" s="0" t="s">
        <v>11140</v>
      </c>
      <c r="K3332" s="0" t="s">
        <v>11141</v>
      </c>
      <c r="L3332" s="0" t="str">
        <f aca="false">HYPERLINK("https://www.ncbi.nlm.nih.gov/nuccore/CP000304.1?report=graph&amp;tracks=[key:gene_model_track,Options:GeneOnly]&amp;mk=970546:970565|offset_16|444444,970586:970605|offset_56|00cc00,970614:970633|offset_84|444444,970639:970658|offset_109|444444&amp;v=970345:970858&amp;c=444444", "offset 56")</f>
        <v>offset 56</v>
      </c>
    </row>
    <row r="3333" customFormat="false" ht="12.8" hidden="false" customHeight="false" outlineLevel="0" collapsed="false">
      <c r="A3333" s="0" t="s">
        <v>12</v>
      </c>
      <c r="B3333" s="0" t="n">
        <v>970613</v>
      </c>
      <c r="C3333" s="0" t="n">
        <v>970633</v>
      </c>
      <c r="D3333" s="0" t="s">
        <v>11135</v>
      </c>
      <c r="E3333" s="0" t="s">
        <v>89</v>
      </c>
      <c r="F3333" s="0" t="s">
        <v>15</v>
      </c>
      <c r="G3333" s="0" t="s">
        <v>16</v>
      </c>
      <c r="H3333" s="0" t="n">
        <v>84</v>
      </c>
      <c r="I3333" s="0" t="s">
        <v>11142</v>
      </c>
      <c r="J3333" s="0" t="s">
        <v>11143</v>
      </c>
      <c r="K3333" s="0" t="s">
        <v>11144</v>
      </c>
      <c r="L3333" s="0" t="str">
        <f aca="false">HYPERLINK("https://www.ncbi.nlm.nih.gov/nuccore/CP000304.1?report=graph&amp;tracks=[key:gene_model_track,Options:GeneOnly]&amp;mk=970546:970565|offset_16|444444,970586:970605|offset_56|444444,970614:970633|offset_84|00cc00,970639:970658|offset_109|444444&amp;v=970345:970858&amp;c=444444", "offset 84")</f>
        <v>offset 84</v>
      </c>
    </row>
    <row r="3334" customFormat="false" ht="12.8" hidden="false" customHeight="false" outlineLevel="0" collapsed="false">
      <c r="A3334" s="0" t="s">
        <v>12</v>
      </c>
      <c r="B3334" s="0" t="n">
        <v>970638</v>
      </c>
      <c r="C3334" s="0" t="n">
        <v>970658</v>
      </c>
      <c r="D3334" s="0" t="s">
        <v>11135</v>
      </c>
      <c r="E3334" s="0" t="s">
        <v>89</v>
      </c>
      <c r="F3334" s="0" t="s">
        <v>15</v>
      </c>
      <c r="G3334" s="0" t="s">
        <v>16</v>
      </c>
      <c r="H3334" s="0" t="n">
        <v>109</v>
      </c>
      <c r="I3334" s="0" t="s">
        <v>11145</v>
      </c>
      <c r="J3334" s="0" t="s">
        <v>11146</v>
      </c>
      <c r="K3334" s="0" t="s">
        <v>11147</v>
      </c>
      <c r="L3334" s="0" t="str">
        <f aca="false">HYPERLINK("https://www.ncbi.nlm.nih.gov/nuccore/CP000304.1?report=graph&amp;tracks=[key:gene_model_track,Options:GeneOnly]&amp;mk=970546:970565|offset_16|444444,970586:970605|offset_56|444444,970614:970633|offset_84|444444,970639:970658|offset_109|00cc00&amp;v=970345:970858&amp;c=444444", "offset 109")</f>
        <v>offset 109</v>
      </c>
    </row>
    <row r="3335" customFormat="false" ht="12.8" hidden="false" customHeight="false" outlineLevel="0" collapsed="false">
      <c r="A3335" s="0" t="s">
        <v>12</v>
      </c>
      <c r="B3335" s="0" t="n">
        <v>971542</v>
      </c>
      <c r="C3335" s="0" t="n">
        <v>971562</v>
      </c>
      <c r="D3335" s="0" t="s">
        <v>11148</v>
      </c>
      <c r="E3335" s="0" t="s">
        <v>89</v>
      </c>
      <c r="F3335" s="0" t="s">
        <v>15</v>
      </c>
      <c r="G3335" s="0" t="s">
        <v>32</v>
      </c>
      <c r="H3335" s="0" t="n">
        <v>40</v>
      </c>
      <c r="I3335" s="0" t="s">
        <v>11149</v>
      </c>
      <c r="J3335" s="0" t="s">
        <v>11150</v>
      </c>
      <c r="K3335" s="0" t="s">
        <v>11151</v>
      </c>
      <c r="L3335" s="0" t="str">
        <f aca="false">HYPERLINK("https://www.ncbi.nlm.nih.gov/nuccore/CP000304.1?report=graph&amp;tracks=[key:gene_model_track,Options:GeneOnly]&amp;mk=971543:971562|offset_40|00cc00,971586:971605|offset_83|444444,971645:971664|offset_142|444444,971665:971684|offset_162|444444&amp;v=971342:971884&amp;c=444444", "offset 40")</f>
        <v>offset 40</v>
      </c>
    </row>
    <row r="3336" customFormat="false" ht="12.8" hidden="false" customHeight="false" outlineLevel="0" collapsed="false">
      <c r="A3336" s="0" t="s">
        <v>12</v>
      </c>
      <c r="B3336" s="0" t="n">
        <v>971585</v>
      </c>
      <c r="C3336" s="0" t="n">
        <v>971605</v>
      </c>
      <c r="D3336" s="0" t="s">
        <v>11148</v>
      </c>
      <c r="E3336" s="0" t="s">
        <v>89</v>
      </c>
      <c r="F3336" s="0" t="s">
        <v>15</v>
      </c>
      <c r="G3336" s="0" t="s">
        <v>26</v>
      </c>
      <c r="H3336" s="0" t="n">
        <v>83</v>
      </c>
      <c r="I3336" s="0" t="s">
        <v>11152</v>
      </c>
      <c r="J3336" s="0" t="s">
        <v>11153</v>
      </c>
      <c r="K3336" s="0" t="s">
        <v>11154</v>
      </c>
      <c r="L3336" s="0" t="str">
        <f aca="false">HYPERLINK("https://www.ncbi.nlm.nih.gov/nuccore/CP000304.1?report=graph&amp;tracks=[key:gene_model_track,Options:GeneOnly]&amp;mk=971543:971562|offset_40|444444,971586:971605|offset_83|00cc00,971645:971664|offset_142|444444,971665:971684|offset_162|444444&amp;v=971342:971884&amp;c=444444", "offset 83")</f>
        <v>offset 83</v>
      </c>
    </row>
    <row r="3337" customFormat="false" ht="12.8" hidden="false" customHeight="false" outlineLevel="0" collapsed="false">
      <c r="A3337" s="0" t="s">
        <v>12</v>
      </c>
      <c r="B3337" s="0" t="n">
        <v>971644</v>
      </c>
      <c r="C3337" s="0" t="n">
        <v>971664</v>
      </c>
      <c r="D3337" s="0" t="s">
        <v>11148</v>
      </c>
      <c r="E3337" s="0" t="s">
        <v>89</v>
      </c>
      <c r="F3337" s="0" t="s">
        <v>15</v>
      </c>
      <c r="G3337" s="0" t="s">
        <v>16</v>
      </c>
      <c r="H3337" s="0" t="n">
        <v>142</v>
      </c>
      <c r="I3337" s="0" t="s">
        <v>11155</v>
      </c>
      <c r="J3337" s="0" t="s">
        <v>11156</v>
      </c>
      <c r="K3337" s="0" t="s">
        <v>11157</v>
      </c>
      <c r="L3337" s="0" t="str">
        <f aca="false">HYPERLINK("https://www.ncbi.nlm.nih.gov/nuccore/CP000304.1?report=graph&amp;tracks=[key:gene_model_track,Options:GeneOnly]&amp;mk=971543:971562|offset_40|444444,971586:971605|offset_83|444444,971645:971664|offset_142|00cc00,971665:971684|offset_162|444444&amp;v=971342:971884&amp;c=444444", "offset 142")</f>
        <v>offset 142</v>
      </c>
    </row>
    <row r="3338" customFormat="false" ht="12.8" hidden="false" customHeight="false" outlineLevel="0" collapsed="false">
      <c r="A3338" s="0" t="s">
        <v>12</v>
      </c>
      <c r="B3338" s="0" t="n">
        <v>971664</v>
      </c>
      <c r="C3338" s="0" t="n">
        <v>971684</v>
      </c>
      <c r="D3338" s="0" t="s">
        <v>11148</v>
      </c>
      <c r="E3338" s="0" t="s">
        <v>89</v>
      </c>
      <c r="F3338" s="0" t="s">
        <v>15</v>
      </c>
      <c r="G3338" s="0" t="s">
        <v>16</v>
      </c>
      <c r="H3338" s="0" t="n">
        <v>162</v>
      </c>
      <c r="I3338" s="0" t="s">
        <v>11158</v>
      </c>
      <c r="J3338" s="0" t="s">
        <v>11159</v>
      </c>
      <c r="K3338" s="0" t="s">
        <v>11160</v>
      </c>
      <c r="L3338" s="0" t="str">
        <f aca="false">HYPERLINK("https://www.ncbi.nlm.nih.gov/nuccore/CP000304.1?report=graph&amp;tracks=[key:gene_model_track,Options:GeneOnly]&amp;mk=971543:971562|offset_40|444444,971586:971605|offset_83|444444,971645:971664|offset_142|444444,971665:971684|offset_162|00cc00&amp;v=971342:971884&amp;c=444444", "offset 162")</f>
        <v>offset 162</v>
      </c>
    </row>
    <row r="3339" customFormat="false" ht="12.8" hidden="false" customHeight="false" outlineLevel="0" collapsed="false">
      <c r="A3339" s="0" t="s">
        <v>12</v>
      </c>
      <c r="B3339" s="0" t="n">
        <v>972261</v>
      </c>
      <c r="C3339" s="0" t="n">
        <v>972281</v>
      </c>
      <c r="D3339" s="0" t="s">
        <v>11161</v>
      </c>
      <c r="E3339" s="0" t="s">
        <v>89</v>
      </c>
      <c r="F3339" s="0" t="s">
        <v>15</v>
      </c>
      <c r="G3339" s="0" t="s">
        <v>16</v>
      </c>
      <c r="H3339" s="0" t="n">
        <v>18</v>
      </c>
      <c r="I3339" s="0" t="s">
        <v>11162</v>
      </c>
      <c r="J3339" s="0" t="s">
        <v>11163</v>
      </c>
      <c r="K3339" s="0" t="s">
        <v>11164</v>
      </c>
      <c r="L3339" s="0" t="str">
        <f aca="false">HYPERLINK("https://www.ncbi.nlm.nih.gov/nuccore/CP000304.1?report=graph&amp;tracks=[key:gene_model_track,Options:GeneOnly]&amp;mk=972262:972281|offset_18|00cc00,972297:972316|offset_53|444444,972345:972364|offset_101|444444,972377:972396|offset_133|444444&amp;v=972061:972596&amp;c=444444", "offset 18")</f>
        <v>offset 18</v>
      </c>
    </row>
    <row r="3340" customFormat="false" ht="12.8" hidden="false" customHeight="false" outlineLevel="0" collapsed="false">
      <c r="A3340" s="0" t="s">
        <v>12</v>
      </c>
      <c r="B3340" s="0" t="n">
        <v>972296</v>
      </c>
      <c r="C3340" s="0" t="n">
        <v>972316</v>
      </c>
      <c r="D3340" s="0" t="s">
        <v>11161</v>
      </c>
      <c r="E3340" s="0" t="s">
        <v>89</v>
      </c>
      <c r="F3340" s="0" t="s">
        <v>15</v>
      </c>
      <c r="G3340" s="0" t="s">
        <v>26</v>
      </c>
      <c r="H3340" s="0" t="n">
        <v>53</v>
      </c>
      <c r="I3340" s="0" t="s">
        <v>11165</v>
      </c>
      <c r="J3340" s="0" t="s">
        <v>11166</v>
      </c>
      <c r="K3340" s="0" t="s">
        <v>11167</v>
      </c>
      <c r="L3340" s="0" t="str">
        <f aca="false">HYPERLINK("https://www.ncbi.nlm.nih.gov/nuccore/CP000304.1?report=graph&amp;tracks=[key:gene_model_track,Options:GeneOnly]&amp;mk=972262:972281|offset_18|444444,972297:972316|offset_53|00cc00,972345:972364|offset_101|444444,972377:972396|offset_133|444444&amp;v=972061:972596&amp;c=444444", "offset 53")</f>
        <v>offset 53</v>
      </c>
    </row>
    <row r="3341" customFormat="false" ht="12.8" hidden="false" customHeight="false" outlineLevel="0" collapsed="false">
      <c r="A3341" s="0" t="s">
        <v>12</v>
      </c>
      <c r="B3341" s="0" t="n">
        <v>972344</v>
      </c>
      <c r="C3341" s="0" t="n">
        <v>972364</v>
      </c>
      <c r="D3341" s="0" t="s">
        <v>11161</v>
      </c>
      <c r="E3341" s="0" t="s">
        <v>89</v>
      </c>
      <c r="F3341" s="0" t="s">
        <v>15</v>
      </c>
      <c r="G3341" s="0" t="s">
        <v>36</v>
      </c>
      <c r="H3341" s="0" t="n">
        <v>101</v>
      </c>
      <c r="I3341" s="0" t="s">
        <v>11168</v>
      </c>
      <c r="J3341" s="0" t="s">
        <v>11169</v>
      </c>
      <c r="K3341" s="0" t="s">
        <v>11170</v>
      </c>
      <c r="L3341" s="0" t="str">
        <f aca="false">HYPERLINK("https://www.ncbi.nlm.nih.gov/nuccore/CP000304.1?report=graph&amp;tracks=[key:gene_model_track,Options:GeneOnly]&amp;mk=972262:972281|offset_18|444444,972297:972316|offset_53|444444,972345:972364|offset_101|00cc00,972377:972396|offset_133|444444&amp;v=972061:972596&amp;c=444444", "offset 101")</f>
        <v>offset 101</v>
      </c>
    </row>
    <row r="3342" customFormat="false" ht="12.8" hidden="false" customHeight="false" outlineLevel="0" collapsed="false">
      <c r="A3342" s="0" t="s">
        <v>12</v>
      </c>
      <c r="B3342" s="0" t="n">
        <v>972376</v>
      </c>
      <c r="C3342" s="0" t="n">
        <v>972396</v>
      </c>
      <c r="D3342" s="0" t="s">
        <v>11161</v>
      </c>
      <c r="E3342" s="0" t="s">
        <v>89</v>
      </c>
      <c r="F3342" s="0" t="s">
        <v>15</v>
      </c>
      <c r="G3342" s="0" t="s">
        <v>26</v>
      </c>
      <c r="H3342" s="0" t="n">
        <v>133</v>
      </c>
      <c r="I3342" s="0" t="s">
        <v>11171</v>
      </c>
      <c r="J3342" s="0" t="s">
        <v>11172</v>
      </c>
      <c r="K3342" s="0" t="s">
        <v>11173</v>
      </c>
      <c r="L3342" s="0" t="str">
        <f aca="false">HYPERLINK("https://www.ncbi.nlm.nih.gov/nuccore/CP000304.1?report=graph&amp;tracks=[key:gene_model_track,Options:GeneOnly]&amp;mk=972262:972281|offset_18|444444,972297:972316|offset_53|444444,972345:972364|offset_101|444444,972377:972396|offset_133|00cc00&amp;v=972061:972596&amp;c=444444", "offset 133")</f>
        <v>offset 133</v>
      </c>
    </row>
    <row r="3343" customFormat="false" ht="12.8" hidden="false" customHeight="false" outlineLevel="0" collapsed="false">
      <c r="A3343" s="0" t="s">
        <v>12</v>
      </c>
      <c r="B3343" s="0" t="n">
        <v>973892</v>
      </c>
      <c r="C3343" s="0" t="n">
        <v>973912</v>
      </c>
      <c r="D3343" s="0" t="s">
        <v>11174</v>
      </c>
      <c r="E3343" s="0" t="s">
        <v>11175</v>
      </c>
      <c r="F3343" s="0" t="s">
        <v>15</v>
      </c>
      <c r="G3343" s="0" t="s">
        <v>32</v>
      </c>
      <c r="H3343" s="0" t="n">
        <v>1</v>
      </c>
      <c r="I3343" s="0" t="s">
        <v>11176</v>
      </c>
      <c r="J3343" s="0" t="s">
        <v>11177</v>
      </c>
      <c r="K3343" s="0" t="s">
        <v>11178</v>
      </c>
      <c r="L3343" s="0" t="str">
        <f aca="false">HYPERLINK("https://www.ncbi.nlm.nih.gov/nuccore/CP000304.1?report=graph&amp;tracks=[key:gene_model_track,Options:GeneOnly]&amp;mk=973893:973912|offset_1|00cc00,973918:973937|offset_26|444444,973959:973978|offset_67|444444,973990:974009|offset_98|444444&amp;v=973692:974209&amp;c=444444", "offset 1")</f>
        <v>offset 1</v>
      </c>
    </row>
    <row r="3344" customFormat="false" ht="12.8" hidden="false" customHeight="false" outlineLevel="0" collapsed="false">
      <c r="A3344" s="0" t="s">
        <v>12</v>
      </c>
      <c r="B3344" s="0" t="n">
        <v>973917</v>
      </c>
      <c r="C3344" s="0" t="n">
        <v>973937</v>
      </c>
      <c r="D3344" s="0" t="s">
        <v>11174</v>
      </c>
      <c r="E3344" s="0" t="s">
        <v>11175</v>
      </c>
      <c r="F3344" s="0" t="s">
        <v>15</v>
      </c>
      <c r="G3344" s="0" t="s">
        <v>32</v>
      </c>
      <c r="H3344" s="0" t="n">
        <v>26</v>
      </c>
      <c r="I3344" s="0" t="s">
        <v>11179</v>
      </c>
      <c r="J3344" s="0" t="s">
        <v>11180</v>
      </c>
      <c r="K3344" s="0" t="s">
        <v>11181</v>
      </c>
      <c r="L3344" s="0" t="str">
        <f aca="false">HYPERLINK("https://www.ncbi.nlm.nih.gov/nuccore/CP000304.1?report=graph&amp;tracks=[key:gene_model_track,Options:GeneOnly]&amp;mk=973893:973912|offset_1|444444,973918:973937|offset_26|00cc00,973959:973978|offset_67|444444,973990:974009|offset_98|444444&amp;v=973692:974209&amp;c=444444", "offset 26")</f>
        <v>offset 26</v>
      </c>
    </row>
    <row r="3345" customFormat="false" ht="12.8" hidden="false" customHeight="false" outlineLevel="0" collapsed="false">
      <c r="A3345" s="0" t="s">
        <v>12</v>
      </c>
      <c r="B3345" s="0" t="n">
        <v>973958</v>
      </c>
      <c r="C3345" s="0" t="n">
        <v>973978</v>
      </c>
      <c r="D3345" s="0" t="s">
        <v>11174</v>
      </c>
      <c r="E3345" s="0" t="s">
        <v>11175</v>
      </c>
      <c r="F3345" s="0" t="s">
        <v>15</v>
      </c>
      <c r="G3345" s="0" t="s">
        <v>26</v>
      </c>
      <c r="H3345" s="0" t="n">
        <v>67</v>
      </c>
      <c r="I3345" s="0" t="s">
        <v>11182</v>
      </c>
      <c r="J3345" s="0" t="s">
        <v>11183</v>
      </c>
      <c r="K3345" s="0" t="s">
        <v>11184</v>
      </c>
      <c r="L3345" s="0" t="str">
        <f aca="false">HYPERLINK("https://www.ncbi.nlm.nih.gov/nuccore/CP000304.1?report=graph&amp;tracks=[key:gene_model_track,Options:GeneOnly]&amp;mk=973893:973912|offset_1|444444,973918:973937|offset_26|444444,973959:973978|offset_67|00cc00,973990:974009|offset_98|444444&amp;v=973692:974209&amp;c=444444", "offset 67")</f>
        <v>offset 67</v>
      </c>
    </row>
    <row r="3346" customFormat="false" ht="12.8" hidden="false" customHeight="false" outlineLevel="0" collapsed="false">
      <c r="A3346" s="0" t="s">
        <v>12</v>
      </c>
      <c r="B3346" s="0" t="n">
        <v>973989</v>
      </c>
      <c r="C3346" s="0" t="n">
        <v>974009</v>
      </c>
      <c r="D3346" s="0" t="s">
        <v>11174</v>
      </c>
      <c r="E3346" s="0" t="s">
        <v>11175</v>
      </c>
      <c r="F3346" s="0" t="s">
        <v>15</v>
      </c>
      <c r="G3346" s="0" t="s">
        <v>26</v>
      </c>
      <c r="H3346" s="0" t="n">
        <v>98</v>
      </c>
      <c r="I3346" s="0" t="s">
        <v>11185</v>
      </c>
      <c r="J3346" s="0" t="s">
        <v>11186</v>
      </c>
      <c r="K3346" s="0" t="s">
        <v>11187</v>
      </c>
      <c r="L3346" s="0" t="str">
        <f aca="false">HYPERLINK("https://www.ncbi.nlm.nih.gov/nuccore/CP000304.1?report=graph&amp;tracks=[key:gene_model_track,Options:GeneOnly]&amp;mk=973893:973912|offset_1|444444,973918:973937|offset_26|444444,973959:973978|offset_67|444444,973990:974009|offset_98|00cc00&amp;v=973692:974209&amp;c=444444", "offset 98")</f>
        <v>offset 98</v>
      </c>
    </row>
    <row r="3347" customFormat="false" ht="12.8" hidden="false" customHeight="false" outlineLevel="0" collapsed="false">
      <c r="A3347" s="0" t="s">
        <v>12</v>
      </c>
      <c r="B3347" s="0" t="n">
        <v>975893</v>
      </c>
      <c r="C3347" s="0" t="n">
        <v>975913</v>
      </c>
      <c r="D3347" s="0" t="s">
        <v>11188</v>
      </c>
      <c r="E3347" s="0" t="s">
        <v>89</v>
      </c>
      <c r="F3347" s="0" t="s">
        <v>15</v>
      </c>
      <c r="G3347" s="0" t="s">
        <v>32</v>
      </c>
      <c r="H3347" s="0" t="n">
        <v>1</v>
      </c>
      <c r="I3347" s="0" t="s">
        <v>11189</v>
      </c>
      <c r="J3347" s="0" t="s">
        <v>11190</v>
      </c>
      <c r="K3347" s="0" t="s">
        <v>11191</v>
      </c>
      <c r="L3347" s="0" t="str">
        <f aca="false">HYPERLINK("https://www.ncbi.nlm.nih.gov/nuccore/CP000304.1?report=graph&amp;tracks=[key:gene_model_track,Options:GeneOnly]&amp;mk=975894:975913|offset_1|00cc00,975921:975940|offset_28|444444,975954:975973|offset_61|444444,975978:975997|offset_85|444444&amp;v=975693:976197&amp;c=444444", "offset 1")</f>
        <v>offset 1</v>
      </c>
    </row>
    <row r="3348" customFormat="false" ht="12.8" hidden="false" customHeight="false" outlineLevel="0" collapsed="false">
      <c r="A3348" s="0" t="s">
        <v>12</v>
      </c>
      <c r="B3348" s="0" t="n">
        <v>975920</v>
      </c>
      <c r="C3348" s="0" t="n">
        <v>975940</v>
      </c>
      <c r="D3348" s="0" t="s">
        <v>11188</v>
      </c>
      <c r="E3348" s="0" t="s">
        <v>89</v>
      </c>
      <c r="F3348" s="0" t="s">
        <v>15</v>
      </c>
      <c r="G3348" s="0" t="s">
        <v>36</v>
      </c>
      <c r="H3348" s="0" t="n">
        <v>28</v>
      </c>
      <c r="I3348" s="0" t="s">
        <v>11192</v>
      </c>
      <c r="J3348" s="0" t="s">
        <v>11193</v>
      </c>
      <c r="K3348" s="0" t="s">
        <v>11194</v>
      </c>
      <c r="L3348" s="0" t="str">
        <f aca="false">HYPERLINK("https://www.ncbi.nlm.nih.gov/nuccore/CP000304.1?report=graph&amp;tracks=[key:gene_model_track,Options:GeneOnly]&amp;mk=975894:975913|offset_1|444444,975921:975940|offset_28|00cc00,975954:975973|offset_61|444444,975978:975997|offset_85|444444&amp;v=975693:976197&amp;c=444444", "offset 28")</f>
        <v>offset 28</v>
      </c>
    </row>
    <row r="3349" customFormat="false" ht="12.8" hidden="false" customHeight="false" outlineLevel="0" collapsed="false">
      <c r="A3349" s="0" t="s">
        <v>12</v>
      </c>
      <c r="B3349" s="0" t="n">
        <v>975953</v>
      </c>
      <c r="C3349" s="0" t="n">
        <v>975973</v>
      </c>
      <c r="D3349" s="0" t="s">
        <v>11188</v>
      </c>
      <c r="E3349" s="0" t="s">
        <v>89</v>
      </c>
      <c r="F3349" s="0" t="s">
        <v>15</v>
      </c>
      <c r="G3349" s="0" t="s">
        <v>16</v>
      </c>
      <c r="H3349" s="0" t="n">
        <v>61</v>
      </c>
      <c r="I3349" s="0" t="s">
        <v>11195</v>
      </c>
      <c r="J3349" s="0" t="s">
        <v>11196</v>
      </c>
      <c r="K3349" s="0" t="s">
        <v>11197</v>
      </c>
      <c r="L3349" s="0" t="str">
        <f aca="false">HYPERLINK("https://www.ncbi.nlm.nih.gov/nuccore/CP000304.1?report=graph&amp;tracks=[key:gene_model_track,Options:GeneOnly]&amp;mk=975894:975913|offset_1|444444,975921:975940|offset_28|444444,975954:975973|offset_61|00cc00,975978:975997|offset_85|444444&amp;v=975693:976197&amp;c=444444", "offset 61")</f>
        <v>offset 61</v>
      </c>
    </row>
    <row r="3350" customFormat="false" ht="12.8" hidden="false" customHeight="false" outlineLevel="0" collapsed="false">
      <c r="A3350" s="0" t="s">
        <v>12</v>
      </c>
      <c r="B3350" s="0" t="n">
        <v>975977</v>
      </c>
      <c r="C3350" s="0" t="n">
        <v>975997</v>
      </c>
      <c r="D3350" s="0" t="s">
        <v>11188</v>
      </c>
      <c r="E3350" s="0" t="s">
        <v>89</v>
      </c>
      <c r="F3350" s="0" t="s">
        <v>15</v>
      </c>
      <c r="G3350" s="0" t="s">
        <v>16</v>
      </c>
      <c r="H3350" s="0" t="n">
        <v>85</v>
      </c>
      <c r="I3350" s="0" t="s">
        <v>11198</v>
      </c>
      <c r="J3350" s="0" t="s">
        <v>11199</v>
      </c>
      <c r="K3350" s="0" t="s">
        <v>11200</v>
      </c>
      <c r="L3350" s="0" t="str">
        <f aca="false">HYPERLINK("https://www.ncbi.nlm.nih.gov/nuccore/CP000304.1?report=graph&amp;tracks=[key:gene_model_track,Options:GeneOnly]&amp;mk=975894:975913|offset_1|444444,975921:975940|offset_28|444444,975954:975973|offset_61|444444,975978:975997|offset_85|00cc00&amp;v=975693:976197&amp;c=444444", "offset 85")</f>
        <v>offset 85</v>
      </c>
    </row>
    <row r="3351" customFormat="false" ht="12.8" hidden="false" customHeight="false" outlineLevel="0" collapsed="false">
      <c r="A3351" s="0" t="s">
        <v>12</v>
      </c>
      <c r="B3351" s="0" t="n">
        <v>977416</v>
      </c>
      <c r="C3351" s="0" t="n">
        <v>977436</v>
      </c>
      <c r="D3351" s="0" t="s">
        <v>11201</v>
      </c>
      <c r="E3351" s="0" t="s">
        <v>89</v>
      </c>
      <c r="F3351" s="0" t="s">
        <v>90</v>
      </c>
      <c r="G3351" s="0" t="s">
        <v>16</v>
      </c>
      <c r="H3351" s="0" t="n">
        <v>10</v>
      </c>
      <c r="I3351" s="0" t="s">
        <v>11202</v>
      </c>
      <c r="J3351" s="0" t="s">
        <v>11203</v>
      </c>
      <c r="K3351" s="0" t="s">
        <v>11204</v>
      </c>
      <c r="L3351" s="0" t="str">
        <f aca="false">HYPERLINK("https://www.ncbi.nlm.nih.gov/nuccore/CP000304.1?report=graph&amp;tracks=[key:gene_model_track,Options:GeneOnly]&amp;mk=977417:977436|offset_10|00cc00,977396:977415|offset_31|444444,977364:977383|offset_63|444444,977344:977363|offset_83|444444&amp;v=977216:977563&amp;c=444444", "offset 10")</f>
        <v>offset 10</v>
      </c>
    </row>
    <row r="3352" customFormat="false" ht="12.8" hidden="false" customHeight="false" outlineLevel="0" collapsed="false">
      <c r="A3352" s="0" t="s">
        <v>12</v>
      </c>
      <c r="B3352" s="0" t="n">
        <v>977395</v>
      </c>
      <c r="C3352" s="0" t="n">
        <v>977415</v>
      </c>
      <c r="D3352" s="0" t="s">
        <v>11201</v>
      </c>
      <c r="E3352" s="0" t="s">
        <v>89</v>
      </c>
      <c r="F3352" s="0" t="s">
        <v>90</v>
      </c>
      <c r="G3352" s="0" t="s">
        <v>16</v>
      </c>
      <c r="H3352" s="0" t="n">
        <v>31</v>
      </c>
      <c r="I3352" s="0" t="s">
        <v>11205</v>
      </c>
      <c r="J3352" s="0" t="s">
        <v>11206</v>
      </c>
      <c r="K3352" s="0" t="s">
        <v>11207</v>
      </c>
      <c r="L3352" s="0" t="str">
        <f aca="false">HYPERLINK("https://www.ncbi.nlm.nih.gov/nuccore/CP000304.1?report=graph&amp;tracks=[key:gene_model_track,Options:GeneOnly]&amp;mk=977417:977436|offset_10|444444,977396:977415|offset_31|00cc00,977364:977383|offset_63|444444,977344:977363|offset_83|444444&amp;v=977216:977563&amp;c=444444", "offset 31")</f>
        <v>offset 31</v>
      </c>
    </row>
    <row r="3353" customFormat="false" ht="12.8" hidden="false" customHeight="false" outlineLevel="0" collapsed="false">
      <c r="A3353" s="0" t="s">
        <v>12</v>
      </c>
      <c r="B3353" s="0" t="n">
        <v>977363</v>
      </c>
      <c r="C3353" s="0" t="n">
        <v>977383</v>
      </c>
      <c r="D3353" s="0" t="s">
        <v>11201</v>
      </c>
      <c r="E3353" s="0" t="s">
        <v>89</v>
      </c>
      <c r="F3353" s="0" t="s">
        <v>90</v>
      </c>
      <c r="G3353" s="0" t="s">
        <v>32</v>
      </c>
      <c r="H3353" s="0" t="n">
        <v>63</v>
      </c>
      <c r="I3353" s="0" t="s">
        <v>11208</v>
      </c>
      <c r="J3353" s="0" t="s">
        <v>11209</v>
      </c>
      <c r="K3353" s="0" t="s">
        <v>11210</v>
      </c>
      <c r="L3353" s="0" t="str">
        <f aca="false">HYPERLINK("https://www.ncbi.nlm.nih.gov/nuccore/CP000304.1?report=graph&amp;tracks=[key:gene_model_track,Options:GeneOnly]&amp;mk=977417:977436|offset_10|444444,977396:977415|offset_31|444444,977364:977383|offset_63|00cc00,977344:977363|offset_83|444444&amp;v=977216:977563&amp;c=444444", "offset 63")</f>
        <v>offset 63</v>
      </c>
    </row>
    <row r="3354" customFormat="false" ht="12.8" hidden="false" customHeight="false" outlineLevel="0" collapsed="false">
      <c r="A3354" s="0" t="s">
        <v>12</v>
      </c>
      <c r="B3354" s="0" t="n">
        <v>977343</v>
      </c>
      <c r="C3354" s="0" t="n">
        <v>977363</v>
      </c>
      <c r="D3354" s="0" t="s">
        <v>11201</v>
      </c>
      <c r="E3354" s="0" t="s">
        <v>89</v>
      </c>
      <c r="F3354" s="0" t="s">
        <v>90</v>
      </c>
      <c r="G3354" s="0" t="s">
        <v>36</v>
      </c>
      <c r="H3354" s="0" t="n">
        <v>83</v>
      </c>
      <c r="I3354" s="0" t="s">
        <v>11211</v>
      </c>
      <c r="J3354" s="0" t="s">
        <v>11212</v>
      </c>
      <c r="K3354" s="0" t="s">
        <v>11213</v>
      </c>
      <c r="L3354" s="0" t="str">
        <f aca="false">HYPERLINK("https://www.ncbi.nlm.nih.gov/nuccore/CP000304.1?report=graph&amp;tracks=[key:gene_model_track,Options:GeneOnly]&amp;mk=977417:977436|offset_10|444444,977396:977415|offset_31|444444,977364:977383|offset_63|444444,977344:977363|offset_83|00cc00&amp;v=977216:977563&amp;c=444444", "offset 83")</f>
        <v>offset 83</v>
      </c>
    </row>
    <row r="3355" customFormat="false" ht="12.8" hidden="false" customHeight="false" outlineLevel="0" collapsed="false">
      <c r="A3355" s="0" t="s">
        <v>12</v>
      </c>
      <c r="B3355" s="0" t="n">
        <v>979077</v>
      </c>
      <c r="C3355" s="0" t="n">
        <v>979097</v>
      </c>
      <c r="D3355" s="0" t="s">
        <v>11214</v>
      </c>
      <c r="E3355" s="0" t="s">
        <v>89</v>
      </c>
      <c r="F3355" s="0" t="s">
        <v>90</v>
      </c>
      <c r="G3355" s="0" t="s">
        <v>36</v>
      </c>
      <c r="H3355" s="0" t="n">
        <v>19</v>
      </c>
      <c r="I3355" s="0" t="s">
        <v>11215</v>
      </c>
      <c r="J3355" s="0" t="s">
        <v>11216</v>
      </c>
      <c r="K3355" s="0" t="s">
        <v>11217</v>
      </c>
      <c r="L3355" s="0" t="str">
        <f aca="false">HYPERLINK("https://www.ncbi.nlm.nih.gov/nuccore/CP000304.1?report=graph&amp;tracks=[key:gene_model_track,Options:GeneOnly]&amp;mk=979078:979097|offset_19|00cc00,979054:979073|offset_43|444444,979021:979040|offset_76|444444,978998:979017|offset_99|444444&amp;v=978877:979217&amp;c=444444", "offset 19")</f>
        <v>offset 19</v>
      </c>
    </row>
    <row r="3356" customFormat="false" ht="12.8" hidden="false" customHeight="false" outlineLevel="0" collapsed="false">
      <c r="A3356" s="0" t="s">
        <v>12</v>
      </c>
      <c r="B3356" s="0" t="n">
        <v>979053</v>
      </c>
      <c r="C3356" s="0" t="n">
        <v>979073</v>
      </c>
      <c r="D3356" s="0" t="s">
        <v>11214</v>
      </c>
      <c r="E3356" s="0" t="s">
        <v>89</v>
      </c>
      <c r="F3356" s="0" t="s">
        <v>90</v>
      </c>
      <c r="G3356" s="0" t="s">
        <v>36</v>
      </c>
      <c r="H3356" s="0" t="n">
        <v>43</v>
      </c>
      <c r="I3356" s="0" t="s">
        <v>11218</v>
      </c>
      <c r="J3356" s="0" t="s">
        <v>11219</v>
      </c>
      <c r="K3356" s="0" t="s">
        <v>11220</v>
      </c>
      <c r="L3356" s="0" t="str">
        <f aca="false">HYPERLINK("https://www.ncbi.nlm.nih.gov/nuccore/CP000304.1?report=graph&amp;tracks=[key:gene_model_track,Options:GeneOnly]&amp;mk=979078:979097|offset_19|444444,979054:979073|offset_43|00cc00,979021:979040|offset_76|444444,978998:979017|offset_99|444444&amp;v=978877:979217&amp;c=444444", "offset 43")</f>
        <v>offset 43</v>
      </c>
    </row>
    <row r="3357" customFormat="false" ht="12.8" hidden="false" customHeight="false" outlineLevel="0" collapsed="false">
      <c r="A3357" s="0" t="s">
        <v>12</v>
      </c>
      <c r="B3357" s="0" t="n">
        <v>979020</v>
      </c>
      <c r="C3357" s="0" t="n">
        <v>979040</v>
      </c>
      <c r="D3357" s="0" t="s">
        <v>11214</v>
      </c>
      <c r="E3357" s="0" t="s">
        <v>89</v>
      </c>
      <c r="F3357" s="0" t="s">
        <v>90</v>
      </c>
      <c r="G3357" s="0" t="s">
        <v>32</v>
      </c>
      <c r="H3357" s="0" t="n">
        <v>76</v>
      </c>
      <c r="I3357" s="0" t="s">
        <v>11221</v>
      </c>
      <c r="J3357" s="0" t="s">
        <v>11222</v>
      </c>
      <c r="K3357" s="0" t="s">
        <v>11223</v>
      </c>
      <c r="L3357" s="0" t="str">
        <f aca="false">HYPERLINK("https://www.ncbi.nlm.nih.gov/nuccore/CP000304.1?report=graph&amp;tracks=[key:gene_model_track,Options:GeneOnly]&amp;mk=979078:979097|offset_19|444444,979054:979073|offset_43|444444,979021:979040|offset_76|00cc00,978998:979017|offset_99|444444&amp;v=978877:979217&amp;c=444444", "offset 76")</f>
        <v>offset 76</v>
      </c>
    </row>
    <row r="3358" customFormat="false" ht="12.8" hidden="false" customHeight="false" outlineLevel="0" collapsed="false">
      <c r="A3358" s="0" t="s">
        <v>12</v>
      </c>
      <c r="B3358" s="0" t="n">
        <v>978997</v>
      </c>
      <c r="C3358" s="0" t="n">
        <v>979017</v>
      </c>
      <c r="D3358" s="0" t="s">
        <v>11214</v>
      </c>
      <c r="E3358" s="0" t="s">
        <v>89</v>
      </c>
      <c r="F3358" s="0" t="s">
        <v>90</v>
      </c>
      <c r="G3358" s="0" t="s">
        <v>16</v>
      </c>
      <c r="H3358" s="0" t="n">
        <v>99</v>
      </c>
      <c r="I3358" s="0" t="s">
        <v>11224</v>
      </c>
      <c r="J3358" s="0" t="s">
        <v>11225</v>
      </c>
      <c r="K3358" s="0" t="s">
        <v>11226</v>
      </c>
      <c r="L3358" s="0" t="str">
        <f aca="false">HYPERLINK("https://www.ncbi.nlm.nih.gov/nuccore/CP000304.1?report=graph&amp;tracks=[key:gene_model_track,Options:GeneOnly]&amp;mk=979078:979097|offset_19|444444,979054:979073|offset_43|444444,979021:979040|offset_76|444444,978998:979017|offset_99|00cc00&amp;v=978877:979217&amp;c=444444", "offset 99")</f>
        <v>offset 99</v>
      </c>
    </row>
    <row r="3359" customFormat="false" ht="12.8" hidden="false" customHeight="false" outlineLevel="0" collapsed="false">
      <c r="A3359" s="0" t="s">
        <v>12</v>
      </c>
      <c r="B3359" s="0" t="n">
        <v>979547</v>
      </c>
      <c r="C3359" s="0" t="n">
        <v>979567</v>
      </c>
      <c r="D3359" s="0" t="s">
        <v>11227</v>
      </c>
      <c r="E3359" s="0" t="s">
        <v>89</v>
      </c>
      <c r="F3359" s="0" t="s">
        <v>15</v>
      </c>
      <c r="G3359" s="0" t="s">
        <v>36</v>
      </c>
      <c r="H3359" s="0" t="n">
        <v>43</v>
      </c>
      <c r="I3359" s="0" t="s">
        <v>11228</v>
      </c>
      <c r="J3359" s="0" t="s">
        <v>11229</v>
      </c>
      <c r="K3359" s="0" t="s">
        <v>11230</v>
      </c>
      <c r="L3359" s="0" t="str">
        <f aca="false">HYPERLINK("https://www.ncbi.nlm.nih.gov/nuccore/CP000304.1?report=graph&amp;tracks=[key:gene_model_track,Options:GeneOnly]&amp;mk=979548:979567|offset_43|00cc00,979604:979623|offset_99|444444,979646:979665|offset_141|444444,979689:979708|offset_184|444444&amp;v=979347:979908&amp;c=444444", "offset 43")</f>
        <v>offset 43</v>
      </c>
    </row>
    <row r="3360" customFormat="false" ht="12.8" hidden="false" customHeight="false" outlineLevel="0" collapsed="false">
      <c r="A3360" s="0" t="s">
        <v>12</v>
      </c>
      <c r="B3360" s="0" t="n">
        <v>979603</v>
      </c>
      <c r="C3360" s="0" t="n">
        <v>979623</v>
      </c>
      <c r="D3360" s="0" t="s">
        <v>11227</v>
      </c>
      <c r="E3360" s="0" t="s">
        <v>89</v>
      </c>
      <c r="F3360" s="0" t="s">
        <v>15</v>
      </c>
      <c r="G3360" s="0" t="s">
        <v>16</v>
      </c>
      <c r="H3360" s="0" t="n">
        <v>99</v>
      </c>
      <c r="I3360" s="0" t="s">
        <v>11231</v>
      </c>
      <c r="J3360" s="0" t="s">
        <v>11232</v>
      </c>
      <c r="K3360" s="0" t="s">
        <v>11233</v>
      </c>
      <c r="L3360" s="0" t="str">
        <f aca="false">HYPERLINK("https://www.ncbi.nlm.nih.gov/nuccore/CP000304.1?report=graph&amp;tracks=[key:gene_model_track,Options:GeneOnly]&amp;mk=979548:979567|offset_43|444444,979604:979623|offset_99|00cc00,979646:979665|offset_141|444444,979689:979708|offset_184|444444&amp;v=979347:979908&amp;c=444444", "offset 99")</f>
        <v>offset 99</v>
      </c>
    </row>
    <row r="3361" customFormat="false" ht="12.8" hidden="false" customHeight="false" outlineLevel="0" collapsed="false">
      <c r="A3361" s="0" t="s">
        <v>12</v>
      </c>
      <c r="B3361" s="0" t="n">
        <v>979645</v>
      </c>
      <c r="C3361" s="0" t="n">
        <v>979665</v>
      </c>
      <c r="D3361" s="0" t="s">
        <v>11227</v>
      </c>
      <c r="E3361" s="0" t="s">
        <v>89</v>
      </c>
      <c r="F3361" s="0" t="s">
        <v>15</v>
      </c>
      <c r="G3361" s="0" t="s">
        <v>16</v>
      </c>
      <c r="H3361" s="0" t="n">
        <v>141</v>
      </c>
      <c r="I3361" s="0" t="s">
        <v>11234</v>
      </c>
      <c r="J3361" s="0" t="s">
        <v>11235</v>
      </c>
      <c r="K3361" s="0" t="s">
        <v>11236</v>
      </c>
      <c r="L3361" s="0" t="str">
        <f aca="false">HYPERLINK("https://www.ncbi.nlm.nih.gov/nuccore/CP000304.1?report=graph&amp;tracks=[key:gene_model_track,Options:GeneOnly]&amp;mk=979548:979567|offset_43|444444,979604:979623|offset_99|444444,979646:979665|offset_141|00cc00,979689:979708|offset_184|444444&amp;v=979347:979908&amp;c=444444", "offset 141")</f>
        <v>offset 141</v>
      </c>
    </row>
    <row r="3362" customFormat="false" ht="12.8" hidden="false" customHeight="false" outlineLevel="0" collapsed="false">
      <c r="A3362" s="0" t="s">
        <v>12</v>
      </c>
      <c r="B3362" s="0" t="n">
        <v>979688</v>
      </c>
      <c r="C3362" s="0" t="n">
        <v>979708</v>
      </c>
      <c r="D3362" s="0" t="s">
        <v>11227</v>
      </c>
      <c r="E3362" s="0" t="s">
        <v>89</v>
      </c>
      <c r="F3362" s="0" t="s">
        <v>15</v>
      </c>
      <c r="G3362" s="0" t="s">
        <v>32</v>
      </c>
      <c r="H3362" s="0" t="n">
        <v>184</v>
      </c>
      <c r="I3362" s="0" t="s">
        <v>11237</v>
      </c>
      <c r="J3362" s="0" t="s">
        <v>11238</v>
      </c>
      <c r="K3362" s="0" t="s">
        <v>11239</v>
      </c>
      <c r="L3362" s="0" t="str">
        <f aca="false">HYPERLINK("https://www.ncbi.nlm.nih.gov/nuccore/CP000304.1?report=graph&amp;tracks=[key:gene_model_track,Options:GeneOnly]&amp;mk=979548:979567|offset_43|444444,979604:979623|offset_99|444444,979646:979665|offset_141|444444,979689:979708|offset_184|00cc00&amp;v=979347:979908&amp;c=444444", "offset 184")</f>
        <v>offset 184</v>
      </c>
    </row>
    <row r="3363" customFormat="false" ht="12.8" hidden="false" customHeight="false" outlineLevel="0" collapsed="false">
      <c r="A3363" s="0" t="s">
        <v>12</v>
      </c>
      <c r="B3363" s="0" t="n">
        <v>981228</v>
      </c>
      <c r="C3363" s="0" t="n">
        <v>981248</v>
      </c>
      <c r="D3363" s="0" t="s">
        <v>11240</v>
      </c>
      <c r="E3363" s="0" t="s">
        <v>89</v>
      </c>
      <c r="F3363" s="0" t="s">
        <v>90</v>
      </c>
      <c r="G3363" s="0" t="s">
        <v>32</v>
      </c>
      <c r="H3363" s="0" t="n">
        <v>8</v>
      </c>
      <c r="I3363" s="0" t="s">
        <v>11241</v>
      </c>
      <c r="J3363" s="0" t="s">
        <v>11242</v>
      </c>
      <c r="K3363" s="0" t="s">
        <v>11243</v>
      </c>
      <c r="L3363" s="0" t="str">
        <f aca="false">HYPERLINK("https://www.ncbi.nlm.nih.gov/nuccore/CP000304.1?report=graph&amp;tracks=[key:gene_model_track,Options:GeneOnly]&amp;mk=981229:981248|offset_8|00cc00,981203:981222|offset_34|444444,981183:981202|offset_54|444444,981136:981155|offset_101|444444&amp;v=981028:981355&amp;c=444444", "offset 8")</f>
        <v>offset 8</v>
      </c>
    </row>
    <row r="3364" customFormat="false" ht="12.8" hidden="false" customHeight="false" outlineLevel="0" collapsed="false">
      <c r="A3364" s="0" t="s">
        <v>12</v>
      </c>
      <c r="B3364" s="0" t="n">
        <v>981202</v>
      </c>
      <c r="C3364" s="0" t="n">
        <v>981222</v>
      </c>
      <c r="D3364" s="0" t="s">
        <v>11240</v>
      </c>
      <c r="E3364" s="0" t="s">
        <v>89</v>
      </c>
      <c r="F3364" s="0" t="s">
        <v>90</v>
      </c>
      <c r="G3364" s="0" t="s">
        <v>26</v>
      </c>
      <c r="H3364" s="0" t="n">
        <v>34</v>
      </c>
      <c r="I3364" s="0" t="s">
        <v>11244</v>
      </c>
      <c r="J3364" s="0" t="s">
        <v>11245</v>
      </c>
      <c r="K3364" s="0" t="s">
        <v>11246</v>
      </c>
      <c r="L3364" s="0" t="str">
        <f aca="false">HYPERLINK("https://www.ncbi.nlm.nih.gov/nuccore/CP000304.1?report=graph&amp;tracks=[key:gene_model_track,Options:GeneOnly]&amp;mk=981229:981248|offset_8|444444,981203:981222|offset_34|00cc00,981183:981202|offset_54|444444,981136:981155|offset_101|444444&amp;v=981028:981355&amp;c=444444", "offset 34")</f>
        <v>offset 34</v>
      </c>
    </row>
    <row r="3365" customFormat="false" ht="12.8" hidden="false" customHeight="false" outlineLevel="0" collapsed="false">
      <c r="A3365" s="0" t="s">
        <v>12</v>
      </c>
      <c r="B3365" s="0" t="n">
        <v>981182</v>
      </c>
      <c r="C3365" s="0" t="n">
        <v>981202</v>
      </c>
      <c r="D3365" s="0" t="s">
        <v>11240</v>
      </c>
      <c r="E3365" s="0" t="s">
        <v>89</v>
      </c>
      <c r="F3365" s="0" t="s">
        <v>90</v>
      </c>
      <c r="G3365" s="0" t="s">
        <v>16</v>
      </c>
      <c r="H3365" s="0" t="n">
        <v>54</v>
      </c>
      <c r="I3365" s="0" t="s">
        <v>11247</v>
      </c>
      <c r="J3365" s="0" t="s">
        <v>11248</v>
      </c>
      <c r="K3365" s="0" t="s">
        <v>11249</v>
      </c>
      <c r="L3365" s="0" t="str">
        <f aca="false">HYPERLINK("https://www.ncbi.nlm.nih.gov/nuccore/CP000304.1?report=graph&amp;tracks=[key:gene_model_track,Options:GeneOnly]&amp;mk=981229:981248|offset_8|444444,981203:981222|offset_34|444444,981183:981202|offset_54|00cc00,981136:981155|offset_101|444444&amp;v=981028:981355&amp;c=444444", "offset 54")</f>
        <v>offset 54</v>
      </c>
    </row>
    <row r="3366" customFormat="false" ht="12.8" hidden="false" customHeight="false" outlineLevel="0" collapsed="false">
      <c r="A3366" s="0" t="s">
        <v>12</v>
      </c>
      <c r="B3366" s="0" t="n">
        <v>981135</v>
      </c>
      <c r="C3366" s="0" t="n">
        <v>981155</v>
      </c>
      <c r="D3366" s="0" t="s">
        <v>11240</v>
      </c>
      <c r="E3366" s="0" t="s">
        <v>89</v>
      </c>
      <c r="F3366" s="0" t="s">
        <v>90</v>
      </c>
      <c r="G3366" s="0" t="s">
        <v>26</v>
      </c>
      <c r="H3366" s="0" t="n">
        <v>101</v>
      </c>
      <c r="I3366" s="0" t="s">
        <v>11250</v>
      </c>
      <c r="J3366" s="0" t="s">
        <v>11251</v>
      </c>
      <c r="K3366" s="0" t="s">
        <v>11252</v>
      </c>
      <c r="L3366" s="0" t="str">
        <f aca="false">HYPERLINK("https://www.ncbi.nlm.nih.gov/nuccore/CP000304.1?report=graph&amp;tracks=[key:gene_model_track,Options:GeneOnly]&amp;mk=981229:981248|offset_8|444444,981203:981222|offset_34|444444,981183:981202|offset_54|444444,981136:981155|offset_101|00cc00&amp;v=981028:981355&amp;c=444444", "offset 101")</f>
        <v>offset 101</v>
      </c>
    </row>
    <row r="3367" customFormat="false" ht="12.8" hidden="false" customHeight="false" outlineLevel="0" collapsed="false">
      <c r="A3367" s="0" t="s">
        <v>12</v>
      </c>
      <c r="B3367" s="0" t="n">
        <v>982176</v>
      </c>
      <c r="C3367" s="0" t="n">
        <v>982196</v>
      </c>
      <c r="D3367" s="0" t="s">
        <v>11253</v>
      </c>
      <c r="E3367" s="0" t="s">
        <v>89</v>
      </c>
      <c r="F3367" s="0" t="s">
        <v>90</v>
      </c>
      <c r="G3367" s="0" t="s">
        <v>32</v>
      </c>
      <c r="H3367" s="0" t="n">
        <v>1</v>
      </c>
      <c r="I3367" s="0" t="s">
        <v>11254</v>
      </c>
      <c r="J3367" s="0" t="s">
        <v>11255</v>
      </c>
      <c r="K3367" s="0" t="s">
        <v>11256</v>
      </c>
      <c r="L3367" s="0" t="str">
        <f aca="false">HYPERLINK("https://www.ncbi.nlm.nih.gov/nuccore/CP000304.1?report=graph&amp;tracks=[key:gene_model_track,Options:GeneOnly]&amp;mk=982177:982196|offset_1|00cc00,982138:982157|offset_40|444444,982116:982135|offset_62|444444,982093:982112|offset_85|444444&amp;v=981976:982312&amp;c=444444", "offset 1")</f>
        <v>offset 1</v>
      </c>
    </row>
    <row r="3368" customFormat="false" ht="12.8" hidden="false" customHeight="false" outlineLevel="0" collapsed="false">
      <c r="A3368" s="0" t="s">
        <v>12</v>
      </c>
      <c r="B3368" s="0" t="n">
        <v>982137</v>
      </c>
      <c r="C3368" s="0" t="n">
        <v>982157</v>
      </c>
      <c r="D3368" s="0" t="s">
        <v>11253</v>
      </c>
      <c r="E3368" s="0" t="s">
        <v>89</v>
      </c>
      <c r="F3368" s="0" t="s">
        <v>90</v>
      </c>
      <c r="G3368" s="0" t="s">
        <v>16</v>
      </c>
      <c r="H3368" s="0" t="n">
        <v>40</v>
      </c>
      <c r="I3368" s="0" t="s">
        <v>11257</v>
      </c>
      <c r="J3368" s="0" t="s">
        <v>11258</v>
      </c>
      <c r="K3368" s="0" t="s">
        <v>11259</v>
      </c>
      <c r="L3368" s="0" t="str">
        <f aca="false">HYPERLINK("https://www.ncbi.nlm.nih.gov/nuccore/CP000304.1?report=graph&amp;tracks=[key:gene_model_track,Options:GeneOnly]&amp;mk=982177:982196|offset_1|444444,982138:982157|offset_40|00cc00,982116:982135|offset_62|444444,982093:982112|offset_85|444444&amp;v=981976:982312&amp;c=444444", "offset 40")</f>
        <v>offset 40</v>
      </c>
    </row>
    <row r="3369" customFormat="false" ht="12.8" hidden="false" customHeight="false" outlineLevel="0" collapsed="false">
      <c r="A3369" s="0" t="s">
        <v>12</v>
      </c>
      <c r="B3369" s="0" t="n">
        <v>982115</v>
      </c>
      <c r="C3369" s="0" t="n">
        <v>982135</v>
      </c>
      <c r="D3369" s="0" t="s">
        <v>11253</v>
      </c>
      <c r="E3369" s="0" t="s">
        <v>89</v>
      </c>
      <c r="F3369" s="0" t="s">
        <v>90</v>
      </c>
      <c r="G3369" s="0" t="s">
        <v>16</v>
      </c>
      <c r="H3369" s="0" t="n">
        <v>62</v>
      </c>
      <c r="I3369" s="0" t="s">
        <v>11260</v>
      </c>
      <c r="J3369" s="0" t="s">
        <v>11261</v>
      </c>
      <c r="K3369" s="0" t="s">
        <v>11262</v>
      </c>
      <c r="L3369" s="0" t="str">
        <f aca="false">HYPERLINK("https://www.ncbi.nlm.nih.gov/nuccore/CP000304.1?report=graph&amp;tracks=[key:gene_model_track,Options:GeneOnly]&amp;mk=982177:982196|offset_1|444444,982138:982157|offset_40|444444,982116:982135|offset_62|00cc00,982093:982112|offset_85|444444&amp;v=981976:982312&amp;c=444444", "offset 62")</f>
        <v>offset 62</v>
      </c>
    </row>
    <row r="3370" customFormat="false" ht="12.8" hidden="false" customHeight="false" outlineLevel="0" collapsed="false">
      <c r="A3370" s="0" t="s">
        <v>12</v>
      </c>
      <c r="B3370" s="0" t="n">
        <v>982092</v>
      </c>
      <c r="C3370" s="0" t="n">
        <v>982112</v>
      </c>
      <c r="D3370" s="0" t="s">
        <v>11253</v>
      </c>
      <c r="E3370" s="0" t="s">
        <v>89</v>
      </c>
      <c r="F3370" s="0" t="s">
        <v>90</v>
      </c>
      <c r="G3370" s="0" t="s">
        <v>26</v>
      </c>
      <c r="H3370" s="0" t="n">
        <v>85</v>
      </c>
      <c r="I3370" s="0" t="s">
        <v>11263</v>
      </c>
      <c r="J3370" s="0" t="s">
        <v>11264</v>
      </c>
      <c r="K3370" s="0" t="s">
        <v>11265</v>
      </c>
      <c r="L3370" s="0" t="str">
        <f aca="false">HYPERLINK("https://www.ncbi.nlm.nih.gov/nuccore/CP000304.1?report=graph&amp;tracks=[key:gene_model_track,Options:GeneOnly]&amp;mk=982177:982196|offset_1|444444,982138:982157|offset_40|444444,982116:982135|offset_62|444444,982093:982112|offset_85|00cc00&amp;v=981976:982312&amp;c=444444", "offset 85")</f>
        <v>offset 85</v>
      </c>
    </row>
    <row r="3371" customFormat="false" ht="12.8" hidden="false" customHeight="false" outlineLevel="0" collapsed="false">
      <c r="A3371" s="0" t="s">
        <v>12</v>
      </c>
      <c r="B3371" s="0" t="n">
        <v>984700</v>
      </c>
      <c r="C3371" s="0" t="n">
        <v>984720</v>
      </c>
      <c r="D3371" s="0" t="s">
        <v>11266</v>
      </c>
      <c r="E3371" s="0" t="s">
        <v>89</v>
      </c>
      <c r="F3371" s="0" t="s">
        <v>90</v>
      </c>
      <c r="G3371" s="0" t="s">
        <v>36</v>
      </c>
      <c r="H3371" s="0" t="n">
        <v>6</v>
      </c>
      <c r="I3371" s="0" t="s">
        <v>11267</v>
      </c>
      <c r="J3371" s="0" t="s">
        <v>11268</v>
      </c>
      <c r="K3371" s="0" t="s">
        <v>11269</v>
      </c>
      <c r="L3371" s="0" t="str">
        <f aca="false">HYPERLINK("https://www.ncbi.nlm.nih.gov/nuccore/CP000304.1?report=graph&amp;tracks=[key:gene_model_track,Options:GeneOnly]&amp;mk=984701:984720|offset_6|00cc00,984676:984695|offset_31|444444,984643:984662|offset_64|444444,984622:984641|offset_85|444444&amp;v=984500:984841&amp;c=444444", "offset 6")</f>
        <v>offset 6</v>
      </c>
    </row>
    <row r="3372" customFormat="false" ht="12.8" hidden="false" customHeight="false" outlineLevel="0" collapsed="false">
      <c r="A3372" s="0" t="s">
        <v>12</v>
      </c>
      <c r="B3372" s="0" t="n">
        <v>984675</v>
      </c>
      <c r="C3372" s="0" t="n">
        <v>984695</v>
      </c>
      <c r="D3372" s="0" t="s">
        <v>11266</v>
      </c>
      <c r="E3372" s="0" t="s">
        <v>89</v>
      </c>
      <c r="F3372" s="0" t="s">
        <v>90</v>
      </c>
      <c r="G3372" s="0" t="s">
        <v>32</v>
      </c>
      <c r="H3372" s="0" t="n">
        <v>31</v>
      </c>
      <c r="I3372" s="0" t="s">
        <v>11270</v>
      </c>
      <c r="J3372" s="0" t="s">
        <v>11271</v>
      </c>
      <c r="K3372" s="0" t="s">
        <v>11272</v>
      </c>
      <c r="L3372" s="0" t="str">
        <f aca="false">HYPERLINK("https://www.ncbi.nlm.nih.gov/nuccore/CP000304.1?report=graph&amp;tracks=[key:gene_model_track,Options:GeneOnly]&amp;mk=984701:984720|offset_6|444444,984676:984695|offset_31|00cc00,984643:984662|offset_64|444444,984622:984641|offset_85|444444&amp;v=984500:984841&amp;c=444444", "offset 31")</f>
        <v>offset 31</v>
      </c>
    </row>
    <row r="3373" customFormat="false" ht="12.8" hidden="false" customHeight="false" outlineLevel="0" collapsed="false">
      <c r="A3373" s="0" t="s">
        <v>12</v>
      </c>
      <c r="B3373" s="0" t="n">
        <v>984642</v>
      </c>
      <c r="C3373" s="0" t="n">
        <v>984662</v>
      </c>
      <c r="D3373" s="0" t="s">
        <v>11266</v>
      </c>
      <c r="E3373" s="0" t="s">
        <v>89</v>
      </c>
      <c r="F3373" s="0" t="s">
        <v>90</v>
      </c>
      <c r="G3373" s="0" t="s">
        <v>32</v>
      </c>
      <c r="H3373" s="0" t="n">
        <v>64</v>
      </c>
      <c r="I3373" s="0" t="s">
        <v>11273</v>
      </c>
      <c r="J3373" s="0" t="s">
        <v>11274</v>
      </c>
      <c r="K3373" s="0" t="s">
        <v>11275</v>
      </c>
      <c r="L3373" s="0" t="str">
        <f aca="false">HYPERLINK("https://www.ncbi.nlm.nih.gov/nuccore/CP000304.1?report=graph&amp;tracks=[key:gene_model_track,Options:GeneOnly]&amp;mk=984701:984720|offset_6|444444,984676:984695|offset_31|444444,984643:984662|offset_64|00cc00,984622:984641|offset_85|444444&amp;v=984500:984841&amp;c=444444", "offset 64")</f>
        <v>offset 64</v>
      </c>
    </row>
    <row r="3374" customFormat="false" ht="12.8" hidden="false" customHeight="false" outlineLevel="0" collapsed="false">
      <c r="A3374" s="0" t="s">
        <v>12</v>
      </c>
      <c r="B3374" s="0" t="n">
        <v>984621</v>
      </c>
      <c r="C3374" s="0" t="n">
        <v>984641</v>
      </c>
      <c r="D3374" s="0" t="s">
        <v>11266</v>
      </c>
      <c r="E3374" s="0" t="s">
        <v>89</v>
      </c>
      <c r="F3374" s="0" t="s">
        <v>90</v>
      </c>
      <c r="G3374" s="0" t="s">
        <v>16</v>
      </c>
      <c r="H3374" s="0" t="n">
        <v>85</v>
      </c>
      <c r="I3374" s="0" t="s">
        <v>11276</v>
      </c>
      <c r="J3374" s="0" t="s">
        <v>11277</v>
      </c>
      <c r="K3374" s="0" t="s">
        <v>11278</v>
      </c>
      <c r="L3374" s="0" t="str">
        <f aca="false">HYPERLINK("https://www.ncbi.nlm.nih.gov/nuccore/CP000304.1?report=graph&amp;tracks=[key:gene_model_track,Options:GeneOnly]&amp;mk=984701:984720|offset_6|444444,984676:984695|offset_31|444444,984643:984662|offset_64|444444,984622:984641|offset_85|00cc00&amp;v=984500:984841&amp;c=444444", "offset 85")</f>
        <v>offset 85</v>
      </c>
    </row>
    <row r="3375" customFormat="false" ht="12.8" hidden="false" customHeight="false" outlineLevel="0" collapsed="false">
      <c r="A3375" s="0" t="s">
        <v>12</v>
      </c>
      <c r="B3375" s="0" t="n">
        <v>985639</v>
      </c>
      <c r="C3375" s="0" t="n">
        <v>985659</v>
      </c>
      <c r="D3375" s="0" t="s">
        <v>11279</v>
      </c>
      <c r="E3375" s="0" t="s">
        <v>89</v>
      </c>
      <c r="F3375" s="0" t="s">
        <v>90</v>
      </c>
      <c r="G3375" s="0" t="s">
        <v>36</v>
      </c>
      <c r="H3375" s="0" t="n">
        <v>7</v>
      </c>
      <c r="I3375" s="0" t="s">
        <v>11280</v>
      </c>
      <c r="J3375" s="0" t="s">
        <v>11281</v>
      </c>
      <c r="K3375" s="0" t="s">
        <v>11282</v>
      </c>
      <c r="L3375" s="0" t="str">
        <f aca="false">HYPERLINK("https://www.ncbi.nlm.nih.gov/nuccore/CP000304.1?report=graph&amp;tracks=[key:gene_model_track,Options:GeneOnly]&amp;mk=985640:985659|offset_7|00cc00,985608:985627|offset_39|444444,985581:985600|offset_66|444444,985552:985571|offset_95|444444&amp;v=985439:985771&amp;c=444444", "offset 7")</f>
        <v>offset 7</v>
      </c>
    </row>
    <row r="3376" customFormat="false" ht="12.8" hidden="false" customHeight="false" outlineLevel="0" collapsed="false">
      <c r="A3376" s="0" t="s">
        <v>12</v>
      </c>
      <c r="B3376" s="0" t="n">
        <v>985607</v>
      </c>
      <c r="C3376" s="0" t="n">
        <v>985627</v>
      </c>
      <c r="D3376" s="0" t="s">
        <v>11279</v>
      </c>
      <c r="E3376" s="0" t="s">
        <v>89</v>
      </c>
      <c r="F3376" s="0" t="s">
        <v>90</v>
      </c>
      <c r="G3376" s="0" t="s">
        <v>16</v>
      </c>
      <c r="H3376" s="0" t="n">
        <v>39</v>
      </c>
      <c r="I3376" s="0" t="s">
        <v>11283</v>
      </c>
      <c r="J3376" s="0" t="s">
        <v>11284</v>
      </c>
      <c r="K3376" s="0" t="s">
        <v>11285</v>
      </c>
      <c r="L3376" s="0" t="str">
        <f aca="false">HYPERLINK("https://www.ncbi.nlm.nih.gov/nuccore/CP000304.1?report=graph&amp;tracks=[key:gene_model_track,Options:GeneOnly]&amp;mk=985640:985659|offset_7|444444,985608:985627|offset_39|00cc00,985581:985600|offset_66|444444,985552:985571|offset_95|444444&amp;v=985439:985771&amp;c=444444", "offset 39")</f>
        <v>offset 39</v>
      </c>
    </row>
    <row r="3377" customFormat="false" ht="12.8" hidden="false" customHeight="false" outlineLevel="0" collapsed="false">
      <c r="A3377" s="0" t="s">
        <v>12</v>
      </c>
      <c r="B3377" s="0" t="n">
        <v>985580</v>
      </c>
      <c r="C3377" s="0" t="n">
        <v>985600</v>
      </c>
      <c r="D3377" s="0" t="s">
        <v>11279</v>
      </c>
      <c r="E3377" s="0" t="s">
        <v>89</v>
      </c>
      <c r="F3377" s="0" t="s">
        <v>90</v>
      </c>
      <c r="G3377" s="0" t="s">
        <v>36</v>
      </c>
      <c r="H3377" s="0" t="n">
        <v>66</v>
      </c>
      <c r="I3377" s="0" t="s">
        <v>11286</v>
      </c>
      <c r="J3377" s="0" t="s">
        <v>11287</v>
      </c>
      <c r="K3377" s="0" t="s">
        <v>11288</v>
      </c>
      <c r="L3377" s="0" t="str">
        <f aca="false">HYPERLINK("https://www.ncbi.nlm.nih.gov/nuccore/CP000304.1?report=graph&amp;tracks=[key:gene_model_track,Options:GeneOnly]&amp;mk=985640:985659|offset_7|444444,985608:985627|offset_39|444444,985581:985600|offset_66|00cc00,985552:985571|offset_95|444444&amp;v=985439:985771&amp;c=444444", "offset 66")</f>
        <v>offset 66</v>
      </c>
    </row>
    <row r="3378" customFormat="false" ht="12.8" hidden="false" customHeight="false" outlineLevel="0" collapsed="false">
      <c r="A3378" s="0" t="s">
        <v>12</v>
      </c>
      <c r="B3378" s="0" t="n">
        <v>985551</v>
      </c>
      <c r="C3378" s="0" t="n">
        <v>985571</v>
      </c>
      <c r="D3378" s="0" t="s">
        <v>11279</v>
      </c>
      <c r="E3378" s="0" t="s">
        <v>89</v>
      </c>
      <c r="F3378" s="0" t="s">
        <v>90</v>
      </c>
      <c r="G3378" s="0" t="s">
        <v>32</v>
      </c>
      <c r="H3378" s="0" t="n">
        <v>95</v>
      </c>
      <c r="I3378" s="0" t="s">
        <v>11289</v>
      </c>
      <c r="J3378" s="0" t="s">
        <v>11290</v>
      </c>
      <c r="K3378" s="0" t="s">
        <v>11291</v>
      </c>
      <c r="L3378" s="0" t="str">
        <f aca="false">HYPERLINK("https://www.ncbi.nlm.nih.gov/nuccore/CP000304.1?report=graph&amp;tracks=[key:gene_model_track,Options:GeneOnly]&amp;mk=985640:985659|offset_7|444444,985608:985627|offset_39|444444,985581:985600|offset_66|444444,985552:985571|offset_95|00cc00&amp;v=985439:985771&amp;c=444444", "offset 95")</f>
        <v>offset 95</v>
      </c>
    </row>
    <row r="3379" customFormat="false" ht="12.8" hidden="false" customHeight="false" outlineLevel="0" collapsed="false">
      <c r="A3379" s="0" t="s">
        <v>12</v>
      </c>
      <c r="B3379" s="0" t="n">
        <v>985755</v>
      </c>
      <c r="C3379" s="0" t="n">
        <v>985775</v>
      </c>
      <c r="D3379" s="0" t="s">
        <v>11292</v>
      </c>
      <c r="E3379" s="0" t="s">
        <v>89</v>
      </c>
      <c r="F3379" s="0" t="s">
        <v>15</v>
      </c>
      <c r="G3379" s="0" t="s">
        <v>36</v>
      </c>
      <c r="H3379" s="0" t="n">
        <v>19</v>
      </c>
      <c r="I3379" s="0" t="s">
        <v>11293</v>
      </c>
      <c r="J3379" s="0" t="s">
        <v>11294</v>
      </c>
      <c r="K3379" s="0" t="s">
        <v>11295</v>
      </c>
      <c r="L3379" s="0" t="str">
        <f aca="false">HYPERLINK("https://www.ncbi.nlm.nih.gov/nuccore/CP000304.1?report=graph&amp;tracks=[key:gene_model_track,Options:GeneOnly]&amp;mk=985756:985775|offset_19|00cc00,985802:985821|offset_65|444444,985828:985847|offset_91|444444,985853:985872|offset_116|444444&amp;v=985555:986072&amp;c=444444", "offset 19")</f>
        <v>offset 19</v>
      </c>
    </row>
    <row r="3380" customFormat="false" ht="12.8" hidden="false" customHeight="false" outlineLevel="0" collapsed="false">
      <c r="A3380" s="0" t="s">
        <v>12</v>
      </c>
      <c r="B3380" s="0" t="n">
        <v>985801</v>
      </c>
      <c r="C3380" s="0" t="n">
        <v>985821</v>
      </c>
      <c r="D3380" s="0" t="s">
        <v>11292</v>
      </c>
      <c r="E3380" s="0" t="s">
        <v>89</v>
      </c>
      <c r="F3380" s="0" t="s">
        <v>15</v>
      </c>
      <c r="G3380" s="0" t="s">
        <v>26</v>
      </c>
      <c r="H3380" s="0" t="n">
        <v>65</v>
      </c>
      <c r="I3380" s="0" t="s">
        <v>11296</v>
      </c>
      <c r="J3380" s="0" t="s">
        <v>11297</v>
      </c>
      <c r="K3380" s="0" t="s">
        <v>11298</v>
      </c>
      <c r="L3380" s="0" t="str">
        <f aca="false">HYPERLINK("https://www.ncbi.nlm.nih.gov/nuccore/CP000304.1?report=graph&amp;tracks=[key:gene_model_track,Options:GeneOnly]&amp;mk=985756:985775|offset_19|444444,985802:985821|offset_65|00cc00,985828:985847|offset_91|444444,985853:985872|offset_116|444444&amp;v=985555:986072&amp;c=444444", "offset 65")</f>
        <v>offset 65</v>
      </c>
    </row>
    <row r="3381" customFormat="false" ht="12.8" hidden="false" customHeight="false" outlineLevel="0" collapsed="false">
      <c r="A3381" s="0" t="s">
        <v>12</v>
      </c>
      <c r="B3381" s="0" t="n">
        <v>985827</v>
      </c>
      <c r="C3381" s="0" t="n">
        <v>985847</v>
      </c>
      <c r="D3381" s="0" t="s">
        <v>11292</v>
      </c>
      <c r="E3381" s="0" t="s">
        <v>89</v>
      </c>
      <c r="F3381" s="0" t="s">
        <v>15</v>
      </c>
      <c r="G3381" s="0" t="s">
        <v>16</v>
      </c>
      <c r="H3381" s="0" t="n">
        <v>91</v>
      </c>
      <c r="I3381" s="0" t="s">
        <v>11299</v>
      </c>
      <c r="J3381" s="0" t="s">
        <v>11300</v>
      </c>
      <c r="K3381" s="0" t="s">
        <v>11301</v>
      </c>
      <c r="L3381" s="0" t="str">
        <f aca="false">HYPERLINK("https://www.ncbi.nlm.nih.gov/nuccore/CP000304.1?report=graph&amp;tracks=[key:gene_model_track,Options:GeneOnly]&amp;mk=985756:985775|offset_19|444444,985802:985821|offset_65|444444,985828:985847|offset_91|00cc00,985853:985872|offset_116|444444&amp;v=985555:986072&amp;c=444444", "offset 91")</f>
        <v>offset 91</v>
      </c>
    </row>
    <row r="3382" customFormat="false" ht="12.8" hidden="false" customHeight="false" outlineLevel="0" collapsed="false">
      <c r="A3382" s="0" t="s">
        <v>12</v>
      </c>
      <c r="B3382" s="0" t="n">
        <v>985852</v>
      </c>
      <c r="C3382" s="0" t="n">
        <v>985872</v>
      </c>
      <c r="D3382" s="0" t="s">
        <v>11292</v>
      </c>
      <c r="E3382" s="0" t="s">
        <v>89</v>
      </c>
      <c r="F3382" s="0" t="s">
        <v>15</v>
      </c>
      <c r="G3382" s="0" t="s">
        <v>36</v>
      </c>
      <c r="H3382" s="0" t="n">
        <v>116</v>
      </c>
      <c r="I3382" s="0" t="s">
        <v>11302</v>
      </c>
      <c r="J3382" s="0" t="s">
        <v>11303</v>
      </c>
      <c r="K3382" s="0" t="s">
        <v>11304</v>
      </c>
      <c r="L3382" s="0" t="str">
        <f aca="false">HYPERLINK("https://www.ncbi.nlm.nih.gov/nuccore/CP000304.1?report=graph&amp;tracks=[key:gene_model_track,Options:GeneOnly]&amp;mk=985756:985775|offset_19|444444,985802:985821|offset_65|444444,985828:985847|offset_91|444444,985853:985872|offset_116|00cc00&amp;v=985555:986072&amp;c=444444", "offset 116")</f>
        <v>offset 116</v>
      </c>
    </row>
    <row r="3383" customFormat="false" ht="12.8" hidden="false" customHeight="false" outlineLevel="0" collapsed="false">
      <c r="A3383" s="0" t="s">
        <v>12</v>
      </c>
      <c r="B3383" s="0" t="n">
        <v>986339</v>
      </c>
      <c r="C3383" s="0" t="n">
        <v>986359</v>
      </c>
      <c r="D3383" s="0" t="s">
        <v>11305</v>
      </c>
      <c r="E3383" s="0" t="s">
        <v>11306</v>
      </c>
      <c r="F3383" s="0" t="s">
        <v>15</v>
      </c>
      <c r="G3383" s="0" t="s">
        <v>26</v>
      </c>
      <c r="H3383" s="0" t="n">
        <v>11</v>
      </c>
      <c r="I3383" s="0" t="s">
        <v>11307</v>
      </c>
      <c r="J3383" s="0" t="s">
        <v>11308</v>
      </c>
      <c r="K3383" s="0" t="s">
        <v>11309</v>
      </c>
      <c r="L3383" s="0" t="str">
        <f aca="false">HYPERLINK("https://www.ncbi.nlm.nih.gov/nuccore/CP000304.1?report=graph&amp;tracks=[key:gene_model_track,Options:GeneOnly]&amp;mk=986340:986359|offset_11|00cc00,986366:986385|offset_37|444444,986390:986409|offset_61|444444,986430:986449|offset_101|444444&amp;v=986139:986649&amp;c=444444", "offset 11")</f>
        <v>offset 11</v>
      </c>
    </row>
    <row r="3384" customFormat="false" ht="12.8" hidden="false" customHeight="false" outlineLevel="0" collapsed="false">
      <c r="A3384" s="0" t="s">
        <v>12</v>
      </c>
      <c r="B3384" s="0" t="n">
        <v>986365</v>
      </c>
      <c r="C3384" s="0" t="n">
        <v>986385</v>
      </c>
      <c r="D3384" s="0" t="s">
        <v>11305</v>
      </c>
      <c r="E3384" s="0" t="s">
        <v>11306</v>
      </c>
      <c r="F3384" s="0" t="s">
        <v>15</v>
      </c>
      <c r="G3384" s="0" t="s">
        <v>16</v>
      </c>
      <c r="H3384" s="0" t="n">
        <v>37</v>
      </c>
      <c r="I3384" s="0" t="s">
        <v>11310</v>
      </c>
      <c r="J3384" s="0" t="s">
        <v>11311</v>
      </c>
      <c r="K3384" s="0" t="s">
        <v>11312</v>
      </c>
      <c r="L3384" s="0" t="str">
        <f aca="false">HYPERLINK("https://www.ncbi.nlm.nih.gov/nuccore/CP000304.1?report=graph&amp;tracks=[key:gene_model_track,Options:GeneOnly]&amp;mk=986340:986359|offset_11|444444,986366:986385|offset_37|00cc00,986390:986409|offset_61|444444,986430:986449|offset_101|444444&amp;v=986139:986649&amp;c=444444", "offset 37")</f>
        <v>offset 37</v>
      </c>
    </row>
    <row r="3385" customFormat="false" ht="12.8" hidden="false" customHeight="false" outlineLevel="0" collapsed="false">
      <c r="A3385" s="0" t="s">
        <v>12</v>
      </c>
      <c r="B3385" s="0" t="n">
        <v>986389</v>
      </c>
      <c r="C3385" s="0" t="n">
        <v>986409</v>
      </c>
      <c r="D3385" s="0" t="s">
        <v>11305</v>
      </c>
      <c r="E3385" s="0" t="s">
        <v>11306</v>
      </c>
      <c r="F3385" s="0" t="s">
        <v>15</v>
      </c>
      <c r="G3385" s="0" t="s">
        <v>36</v>
      </c>
      <c r="H3385" s="0" t="n">
        <v>61</v>
      </c>
      <c r="I3385" s="0" t="s">
        <v>11313</v>
      </c>
      <c r="J3385" s="0" t="s">
        <v>11314</v>
      </c>
      <c r="K3385" s="0" t="s">
        <v>11315</v>
      </c>
      <c r="L3385" s="0" t="str">
        <f aca="false">HYPERLINK("https://www.ncbi.nlm.nih.gov/nuccore/CP000304.1?report=graph&amp;tracks=[key:gene_model_track,Options:GeneOnly]&amp;mk=986340:986359|offset_11|444444,986366:986385|offset_37|444444,986390:986409|offset_61|00cc00,986430:986449|offset_101|444444&amp;v=986139:986649&amp;c=444444", "offset 61")</f>
        <v>offset 61</v>
      </c>
    </row>
    <row r="3386" customFormat="false" ht="12.8" hidden="false" customHeight="false" outlineLevel="0" collapsed="false">
      <c r="A3386" s="0" t="s">
        <v>12</v>
      </c>
      <c r="B3386" s="0" t="n">
        <v>986429</v>
      </c>
      <c r="C3386" s="0" t="n">
        <v>986449</v>
      </c>
      <c r="D3386" s="0" t="s">
        <v>11305</v>
      </c>
      <c r="E3386" s="0" t="s">
        <v>11306</v>
      </c>
      <c r="F3386" s="0" t="s">
        <v>15</v>
      </c>
      <c r="G3386" s="0" t="s">
        <v>26</v>
      </c>
      <c r="H3386" s="0" t="n">
        <v>101</v>
      </c>
      <c r="I3386" s="0" t="s">
        <v>11316</v>
      </c>
      <c r="J3386" s="0" t="s">
        <v>11317</v>
      </c>
      <c r="K3386" s="0" t="s">
        <v>11318</v>
      </c>
      <c r="L3386" s="0" t="str">
        <f aca="false">HYPERLINK("https://www.ncbi.nlm.nih.gov/nuccore/CP000304.1?report=graph&amp;tracks=[key:gene_model_track,Options:GeneOnly]&amp;mk=986340:986359|offset_11|444444,986366:986385|offset_37|444444,986390:986409|offset_61|444444,986430:986449|offset_101|00cc00&amp;v=986139:986649&amp;c=444444", "offset 101")</f>
        <v>offset 101</v>
      </c>
    </row>
    <row r="3387" customFormat="false" ht="12.8" hidden="false" customHeight="false" outlineLevel="0" collapsed="false">
      <c r="A3387" s="0" t="s">
        <v>12</v>
      </c>
      <c r="B3387" s="0" t="n">
        <v>987282</v>
      </c>
      <c r="C3387" s="0" t="n">
        <v>987302</v>
      </c>
      <c r="D3387" s="0" t="s">
        <v>11319</v>
      </c>
      <c r="E3387" s="0" t="s">
        <v>89</v>
      </c>
      <c r="F3387" s="0" t="s">
        <v>15</v>
      </c>
      <c r="G3387" s="0" t="s">
        <v>36</v>
      </c>
      <c r="H3387" s="0" t="n">
        <v>13</v>
      </c>
      <c r="I3387" s="0" t="s">
        <v>11320</v>
      </c>
      <c r="J3387" s="0" t="s">
        <v>11321</v>
      </c>
      <c r="K3387" s="0" t="s">
        <v>11322</v>
      </c>
      <c r="L3387" s="0" t="str">
        <f aca="false">HYPERLINK("https://www.ncbi.nlm.nih.gov/nuccore/CP000304.1?report=graph&amp;tracks=[key:gene_model_track,Options:GeneOnly]&amp;mk=987283:987302|offset_13|00cc00,987310:987329|offset_40|444444,987336:987355|offset_66|444444,987356:987375|offset_86|444444&amp;v=987082:987575&amp;c=444444", "offset 13")</f>
        <v>offset 13</v>
      </c>
    </row>
    <row r="3388" customFormat="false" ht="12.8" hidden="false" customHeight="false" outlineLevel="0" collapsed="false">
      <c r="A3388" s="0" t="s">
        <v>12</v>
      </c>
      <c r="B3388" s="0" t="n">
        <v>987309</v>
      </c>
      <c r="C3388" s="0" t="n">
        <v>987329</v>
      </c>
      <c r="D3388" s="0" t="s">
        <v>11319</v>
      </c>
      <c r="E3388" s="0" t="s">
        <v>89</v>
      </c>
      <c r="F3388" s="0" t="s">
        <v>15</v>
      </c>
      <c r="G3388" s="0" t="s">
        <v>16</v>
      </c>
      <c r="H3388" s="0" t="n">
        <v>40</v>
      </c>
      <c r="I3388" s="0" t="s">
        <v>11323</v>
      </c>
      <c r="J3388" s="0" t="s">
        <v>11324</v>
      </c>
      <c r="K3388" s="0" t="s">
        <v>11325</v>
      </c>
      <c r="L3388" s="0" t="str">
        <f aca="false">HYPERLINK("https://www.ncbi.nlm.nih.gov/nuccore/CP000304.1?report=graph&amp;tracks=[key:gene_model_track,Options:GeneOnly]&amp;mk=987283:987302|offset_13|444444,987310:987329|offset_40|00cc00,987336:987355|offset_66|444444,987356:987375|offset_86|444444&amp;v=987082:987575&amp;c=444444", "offset 40")</f>
        <v>offset 40</v>
      </c>
    </row>
    <row r="3389" customFormat="false" ht="12.8" hidden="false" customHeight="false" outlineLevel="0" collapsed="false">
      <c r="A3389" s="0" t="s">
        <v>12</v>
      </c>
      <c r="B3389" s="0" t="n">
        <v>987335</v>
      </c>
      <c r="C3389" s="0" t="n">
        <v>987355</v>
      </c>
      <c r="D3389" s="0" t="s">
        <v>11319</v>
      </c>
      <c r="E3389" s="0" t="s">
        <v>89</v>
      </c>
      <c r="F3389" s="0" t="s">
        <v>15</v>
      </c>
      <c r="G3389" s="0" t="s">
        <v>36</v>
      </c>
      <c r="H3389" s="0" t="n">
        <v>66</v>
      </c>
      <c r="I3389" s="0" t="s">
        <v>11326</v>
      </c>
      <c r="J3389" s="0" t="s">
        <v>11327</v>
      </c>
      <c r="K3389" s="0" t="s">
        <v>11328</v>
      </c>
      <c r="L3389" s="0" t="str">
        <f aca="false">HYPERLINK("https://www.ncbi.nlm.nih.gov/nuccore/CP000304.1?report=graph&amp;tracks=[key:gene_model_track,Options:GeneOnly]&amp;mk=987283:987302|offset_13|444444,987310:987329|offset_40|444444,987336:987355|offset_66|00cc00,987356:987375|offset_86|444444&amp;v=987082:987575&amp;c=444444", "offset 66")</f>
        <v>offset 66</v>
      </c>
    </row>
    <row r="3390" customFormat="false" ht="12.8" hidden="false" customHeight="false" outlineLevel="0" collapsed="false">
      <c r="A3390" s="0" t="s">
        <v>12</v>
      </c>
      <c r="B3390" s="0" t="n">
        <v>987355</v>
      </c>
      <c r="C3390" s="0" t="n">
        <v>987375</v>
      </c>
      <c r="D3390" s="0" t="s">
        <v>11319</v>
      </c>
      <c r="E3390" s="0" t="s">
        <v>89</v>
      </c>
      <c r="F3390" s="0" t="s">
        <v>15</v>
      </c>
      <c r="G3390" s="0" t="s">
        <v>32</v>
      </c>
      <c r="H3390" s="0" t="n">
        <v>86</v>
      </c>
      <c r="I3390" s="0" t="s">
        <v>11329</v>
      </c>
      <c r="J3390" s="0" t="s">
        <v>11330</v>
      </c>
      <c r="K3390" s="0" t="s">
        <v>11331</v>
      </c>
      <c r="L3390" s="0" t="str">
        <f aca="false">HYPERLINK("https://www.ncbi.nlm.nih.gov/nuccore/CP000304.1?report=graph&amp;tracks=[key:gene_model_track,Options:GeneOnly]&amp;mk=987283:987302|offset_13|444444,987310:987329|offset_40|444444,987336:987355|offset_66|444444,987356:987375|offset_86|00cc00&amp;v=987082:987575&amp;c=444444", "offset 86")</f>
        <v>offset 86</v>
      </c>
    </row>
    <row r="3391" customFormat="false" ht="12.8" hidden="false" customHeight="false" outlineLevel="0" collapsed="false">
      <c r="A3391" s="0" t="s">
        <v>12</v>
      </c>
      <c r="B3391" s="0" t="n">
        <v>988745</v>
      </c>
      <c r="C3391" s="0" t="n">
        <v>988765</v>
      </c>
      <c r="D3391" s="0" t="s">
        <v>11332</v>
      </c>
      <c r="E3391" s="0" t="s">
        <v>89</v>
      </c>
      <c r="F3391" s="0" t="s">
        <v>90</v>
      </c>
      <c r="G3391" s="0" t="s">
        <v>36</v>
      </c>
      <c r="H3391" s="0" t="n">
        <v>19</v>
      </c>
      <c r="I3391" s="0" t="s">
        <v>11333</v>
      </c>
      <c r="J3391" s="0" t="s">
        <v>11334</v>
      </c>
      <c r="K3391" s="0" t="s">
        <v>11335</v>
      </c>
      <c r="L3391" s="0" t="str">
        <f aca="false">HYPERLINK("https://www.ncbi.nlm.nih.gov/nuccore/CP000304.1?report=graph&amp;tracks=[key:gene_model_track,Options:GeneOnly]&amp;mk=988746:988765|offset_19|00cc00,988719:988738|offset_46|444444,988685:988704|offset_80|444444,988634:988653|offset_131|444444&amp;v=988545:988853&amp;c=444444", "offset 19")</f>
        <v>offset 19</v>
      </c>
    </row>
    <row r="3392" customFormat="false" ht="12.8" hidden="false" customHeight="false" outlineLevel="0" collapsed="false">
      <c r="A3392" s="0" t="s">
        <v>12</v>
      </c>
      <c r="B3392" s="0" t="n">
        <v>988718</v>
      </c>
      <c r="C3392" s="0" t="n">
        <v>988738</v>
      </c>
      <c r="D3392" s="0" t="s">
        <v>11332</v>
      </c>
      <c r="E3392" s="0" t="s">
        <v>89</v>
      </c>
      <c r="F3392" s="0" t="s">
        <v>90</v>
      </c>
      <c r="G3392" s="0" t="s">
        <v>32</v>
      </c>
      <c r="H3392" s="0" t="n">
        <v>46</v>
      </c>
      <c r="I3392" s="0" t="s">
        <v>11336</v>
      </c>
      <c r="J3392" s="0" t="s">
        <v>11337</v>
      </c>
      <c r="K3392" s="0" t="s">
        <v>11338</v>
      </c>
      <c r="L3392" s="0" t="str">
        <f aca="false">HYPERLINK("https://www.ncbi.nlm.nih.gov/nuccore/CP000304.1?report=graph&amp;tracks=[key:gene_model_track,Options:GeneOnly]&amp;mk=988746:988765|offset_19|444444,988719:988738|offset_46|00cc00,988685:988704|offset_80|444444,988634:988653|offset_131|444444&amp;v=988545:988853&amp;c=444444", "offset 46")</f>
        <v>offset 46</v>
      </c>
    </row>
    <row r="3393" customFormat="false" ht="12.8" hidden="false" customHeight="false" outlineLevel="0" collapsed="false">
      <c r="A3393" s="0" t="s">
        <v>12</v>
      </c>
      <c r="B3393" s="0" t="n">
        <v>988684</v>
      </c>
      <c r="C3393" s="0" t="n">
        <v>988704</v>
      </c>
      <c r="D3393" s="0" t="s">
        <v>11332</v>
      </c>
      <c r="E3393" s="0" t="s">
        <v>89</v>
      </c>
      <c r="F3393" s="0" t="s">
        <v>90</v>
      </c>
      <c r="G3393" s="0" t="s">
        <v>26</v>
      </c>
      <c r="H3393" s="0" t="n">
        <v>80</v>
      </c>
      <c r="I3393" s="0" t="s">
        <v>11339</v>
      </c>
      <c r="J3393" s="0" t="s">
        <v>11340</v>
      </c>
      <c r="K3393" s="0" t="s">
        <v>11341</v>
      </c>
      <c r="L3393" s="0" t="str">
        <f aca="false">HYPERLINK("https://www.ncbi.nlm.nih.gov/nuccore/CP000304.1?report=graph&amp;tracks=[key:gene_model_track,Options:GeneOnly]&amp;mk=988746:988765|offset_19|444444,988719:988738|offset_46|444444,988685:988704|offset_80|00cc00,988634:988653|offset_131|444444&amp;v=988545:988853&amp;c=444444", "offset 80")</f>
        <v>offset 80</v>
      </c>
    </row>
    <row r="3394" customFormat="false" ht="12.8" hidden="false" customHeight="false" outlineLevel="0" collapsed="false">
      <c r="A3394" s="0" t="s">
        <v>12</v>
      </c>
      <c r="B3394" s="0" t="n">
        <v>988633</v>
      </c>
      <c r="C3394" s="0" t="n">
        <v>988653</v>
      </c>
      <c r="D3394" s="0" t="s">
        <v>11332</v>
      </c>
      <c r="E3394" s="0" t="s">
        <v>89</v>
      </c>
      <c r="F3394" s="0" t="s">
        <v>90</v>
      </c>
      <c r="G3394" s="0" t="s">
        <v>32</v>
      </c>
      <c r="H3394" s="0" t="n">
        <v>131</v>
      </c>
      <c r="I3394" s="0" t="s">
        <v>11342</v>
      </c>
      <c r="J3394" s="0" t="s">
        <v>11343</v>
      </c>
      <c r="K3394" s="0" t="s">
        <v>11344</v>
      </c>
      <c r="L3394" s="0" t="str">
        <f aca="false">HYPERLINK("https://www.ncbi.nlm.nih.gov/nuccore/CP000304.1?report=graph&amp;tracks=[key:gene_model_track,Options:GeneOnly]&amp;mk=988746:988765|offset_19|444444,988719:988738|offset_46|444444,988685:988704|offset_80|444444,988634:988653|offset_131|00cc00&amp;v=988545:988853&amp;c=444444", "offset 131")</f>
        <v>offset 131</v>
      </c>
    </row>
    <row r="3395" customFormat="false" ht="12.8" hidden="false" customHeight="false" outlineLevel="0" collapsed="false">
      <c r="A3395" s="0" t="s">
        <v>12</v>
      </c>
      <c r="B3395" s="0" t="n">
        <v>989475</v>
      </c>
      <c r="C3395" s="0" t="n">
        <v>989495</v>
      </c>
      <c r="D3395" s="0" t="s">
        <v>11345</v>
      </c>
      <c r="E3395" s="0" t="s">
        <v>89</v>
      </c>
      <c r="F3395" s="0" t="s">
        <v>90</v>
      </c>
      <c r="G3395" s="0" t="s">
        <v>36</v>
      </c>
      <c r="H3395" s="0" t="n">
        <v>19</v>
      </c>
      <c r="I3395" s="0" t="s">
        <v>11346</v>
      </c>
      <c r="J3395" s="0" t="s">
        <v>11347</v>
      </c>
      <c r="K3395" s="0" t="s">
        <v>11348</v>
      </c>
      <c r="L3395" s="0" t="str">
        <f aca="false">HYPERLINK("https://www.ncbi.nlm.nih.gov/nuccore/CP000304.1?report=graph&amp;tracks=[key:gene_model_track,Options:GeneOnly]&amp;mk=989476:989495|offset_19|00cc00,989450:989469|offset_45|444444,989421:989440|offset_74|444444,989354:989373|offset_141|444444&amp;v=989275:989573&amp;c=444444", "offset 19")</f>
        <v>offset 19</v>
      </c>
    </row>
    <row r="3396" customFormat="false" ht="12.8" hidden="false" customHeight="false" outlineLevel="0" collapsed="false">
      <c r="A3396" s="0" t="s">
        <v>12</v>
      </c>
      <c r="B3396" s="0" t="n">
        <v>989449</v>
      </c>
      <c r="C3396" s="0" t="n">
        <v>989469</v>
      </c>
      <c r="D3396" s="0" t="s">
        <v>11345</v>
      </c>
      <c r="E3396" s="0" t="s">
        <v>89</v>
      </c>
      <c r="F3396" s="0" t="s">
        <v>90</v>
      </c>
      <c r="G3396" s="0" t="s">
        <v>36</v>
      </c>
      <c r="H3396" s="0" t="n">
        <v>45</v>
      </c>
      <c r="I3396" s="0" t="s">
        <v>11349</v>
      </c>
      <c r="J3396" s="0" t="s">
        <v>11350</v>
      </c>
      <c r="K3396" s="0" t="s">
        <v>11351</v>
      </c>
      <c r="L3396" s="0" t="str">
        <f aca="false">HYPERLINK("https://www.ncbi.nlm.nih.gov/nuccore/CP000304.1?report=graph&amp;tracks=[key:gene_model_track,Options:GeneOnly]&amp;mk=989476:989495|offset_19|444444,989450:989469|offset_45|00cc00,989421:989440|offset_74|444444,989354:989373|offset_141|444444&amp;v=989275:989573&amp;c=444444", "offset 45")</f>
        <v>offset 45</v>
      </c>
    </row>
    <row r="3397" customFormat="false" ht="12.8" hidden="false" customHeight="false" outlineLevel="0" collapsed="false">
      <c r="A3397" s="0" t="s">
        <v>12</v>
      </c>
      <c r="B3397" s="0" t="n">
        <v>989420</v>
      </c>
      <c r="C3397" s="0" t="n">
        <v>989440</v>
      </c>
      <c r="D3397" s="0" t="s">
        <v>11345</v>
      </c>
      <c r="E3397" s="0" t="s">
        <v>89</v>
      </c>
      <c r="F3397" s="0" t="s">
        <v>90</v>
      </c>
      <c r="G3397" s="0" t="s">
        <v>16</v>
      </c>
      <c r="H3397" s="0" t="n">
        <v>74</v>
      </c>
      <c r="I3397" s="0" t="s">
        <v>11352</v>
      </c>
      <c r="J3397" s="0" t="s">
        <v>11353</v>
      </c>
      <c r="K3397" s="0" t="s">
        <v>11354</v>
      </c>
      <c r="L3397" s="0" t="str">
        <f aca="false">HYPERLINK("https://www.ncbi.nlm.nih.gov/nuccore/CP000304.1?report=graph&amp;tracks=[key:gene_model_track,Options:GeneOnly]&amp;mk=989476:989495|offset_19|444444,989450:989469|offset_45|444444,989421:989440|offset_74|00cc00,989354:989373|offset_141|444444&amp;v=989275:989573&amp;c=444444", "offset 74")</f>
        <v>offset 74</v>
      </c>
    </row>
    <row r="3398" customFormat="false" ht="12.8" hidden="false" customHeight="false" outlineLevel="0" collapsed="false">
      <c r="A3398" s="0" t="s">
        <v>12</v>
      </c>
      <c r="B3398" s="0" t="n">
        <v>989353</v>
      </c>
      <c r="C3398" s="0" t="n">
        <v>989373</v>
      </c>
      <c r="D3398" s="0" t="s">
        <v>11345</v>
      </c>
      <c r="E3398" s="0" t="s">
        <v>89</v>
      </c>
      <c r="F3398" s="0" t="s">
        <v>90</v>
      </c>
      <c r="G3398" s="0" t="s">
        <v>36</v>
      </c>
      <c r="H3398" s="0" t="n">
        <v>141</v>
      </c>
      <c r="I3398" s="0" t="s">
        <v>11355</v>
      </c>
      <c r="J3398" s="0" t="s">
        <v>11356</v>
      </c>
      <c r="K3398" s="0" t="s">
        <v>11357</v>
      </c>
      <c r="L3398" s="0" t="str">
        <f aca="false">HYPERLINK("https://www.ncbi.nlm.nih.gov/nuccore/CP000304.1?report=graph&amp;tracks=[key:gene_model_track,Options:GeneOnly]&amp;mk=989476:989495|offset_19|444444,989450:989469|offset_45|444444,989421:989440|offset_74|444444,989354:989373|offset_141|00cc00&amp;v=989275:989573&amp;c=444444", "offset 141")</f>
        <v>offset 141</v>
      </c>
    </row>
    <row r="3399" customFormat="false" ht="12.8" hidden="false" customHeight="false" outlineLevel="0" collapsed="false">
      <c r="A3399" s="0" t="s">
        <v>12</v>
      </c>
      <c r="B3399" s="0" t="n">
        <v>989541</v>
      </c>
      <c r="C3399" s="0" t="n">
        <v>989561</v>
      </c>
      <c r="D3399" s="0" t="s">
        <v>11358</v>
      </c>
      <c r="E3399" s="0" t="s">
        <v>89</v>
      </c>
      <c r="F3399" s="0" t="s">
        <v>15</v>
      </c>
      <c r="G3399" s="0" t="s">
        <v>36</v>
      </c>
      <c r="H3399" s="0" t="n">
        <v>13</v>
      </c>
      <c r="I3399" s="0" t="s">
        <v>11359</v>
      </c>
      <c r="J3399" s="0" t="s">
        <v>11360</v>
      </c>
      <c r="K3399" s="0" t="s">
        <v>11361</v>
      </c>
      <c r="L3399" s="0" t="str">
        <f aca="false">HYPERLINK("https://www.ncbi.nlm.nih.gov/nuccore/CP000304.1?report=graph&amp;tracks=[key:gene_model_track,Options:GeneOnly]&amp;mk=989542:989561|offset_13|00cc00,989578:989597|offset_49|444444,989606:989625|offset_77|444444,989656:989675|offset_127|444444&amp;v=989341:989875&amp;c=444444", "offset 13")</f>
        <v>offset 13</v>
      </c>
    </row>
    <row r="3400" customFormat="false" ht="12.8" hidden="false" customHeight="false" outlineLevel="0" collapsed="false">
      <c r="A3400" s="0" t="s">
        <v>12</v>
      </c>
      <c r="B3400" s="0" t="n">
        <v>989577</v>
      </c>
      <c r="C3400" s="0" t="n">
        <v>989597</v>
      </c>
      <c r="D3400" s="0" t="s">
        <v>11358</v>
      </c>
      <c r="E3400" s="0" t="s">
        <v>89</v>
      </c>
      <c r="F3400" s="0" t="s">
        <v>15</v>
      </c>
      <c r="G3400" s="0" t="s">
        <v>32</v>
      </c>
      <c r="H3400" s="0" t="n">
        <v>49</v>
      </c>
      <c r="I3400" s="0" t="s">
        <v>11362</v>
      </c>
      <c r="J3400" s="0" t="s">
        <v>11363</v>
      </c>
      <c r="K3400" s="0" t="s">
        <v>11364</v>
      </c>
      <c r="L3400" s="0" t="str">
        <f aca="false">HYPERLINK("https://www.ncbi.nlm.nih.gov/nuccore/CP000304.1?report=graph&amp;tracks=[key:gene_model_track,Options:GeneOnly]&amp;mk=989542:989561|offset_13|444444,989578:989597|offset_49|00cc00,989606:989625|offset_77|444444,989656:989675|offset_127|444444&amp;v=989341:989875&amp;c=444444", "offset 49")</f>
        <v>offset 49</v>
      </c>
    </row>
    <row r="3401" customFormat="false" ht="12.8" hidden="false" customHeight="false" outlineLevel="0" collapsed="false">
      <c r="A3401" s="0" t="s">
        <v>12</v>
      </c>
      <c r="B3401" s="0" t="n">
        <v>989605</v>
      </c>
      <c r="C3401" s="0" t="n">
        <v>989625</v>
      </c>
      <c r="D3401" s="0" t="s">
        <v>11358</v>
      </c>
      <c r="E3401" s="0" t="s">
        <v>89</v>
      </c>
      <c r="F3401" s="0" t="s">
        <v>15</v>
      </c>
      <c r="G3401" s="0" t="s">
        <v>36</v>
      </c>
      <c r="H3401" s="0" t="n">
        <v>77</v>
      </c>
      <c r="I3401" s="0" t="s">
        <v>11365</v>
      </c>
      <c r="J3401" s="0" t="s">
        <v>11366</v>
      </c>
      <c r="K3401" s="0" t="s">
        <v>11367</v>
      </c>
      <c r="L3401" s="0" t="str">
        <f aca="false">HYPERLINK("https://www.ncbi.nlm.nih.gov/nuccore/CP000304.1?report=graph&amp;tracks=[key:gene_model_track,Options:GeneOnly]&amp;mk=989542:989561|offset_13|444444,989578:989597|offset_49|444444,989606:989625|offset_77|00cc00,989656:989675|offset_127|444444&amp;v=989341:989875&amp;c=444444", "offset 77")</f>
        <v>offset 77</v>
      </c>
    </row>
    <row r="3402" customFormat="false" ht="12.8" hidden="false" customHeight="false" outlineLevel="0" collapsed="false">
      <c r="A3402" s="0" t="s">
        <v>12</v>
      </c>
      <c r="B3402" s="0" t="n">
        <v>989655</v>
      </c>
      <c r="C3402" s="0" t="n">
        <v>989675</v>
      </c>
      <c r="D3402" s="0" t="s">
        <v>11358</v>
      </c>
      <c r="E3402" s="0" t="s">
        <v>89</v>
      </c>
      <c r="F3402" s="0" t="s">
        <v>15</v>
      </c>
      <c r="G3402" s="0" t="s">
        <v>16</v>
      </c>
      <c r="H3402" s="0" t="n">
        <v>127</v>
      </c>
      <c r="I3402" s="0" t="s">
        <v>11368</v>
      </c>
      <c r="J3402" s="0" t="s">
        <v>11369</v>
      </c>
      <c r="K3402" s="0" t="s">
        <v>11370</v>
      </c>
      <c r="L3402" s="0" t="str">
        <f aca="false">HYPERLINK("https://www.ncbi.nlm.nih.gov/nuccore/CP000304.1?report=graph&amp;tracks=[key:gene_model_track,Options:GeneOnly]&amp;mk=989542:989561|offset_13|444444,989578:989597|offset_49|444444,989606:989625|offset_77|444444,989656:989675|offset_127|00cc00&amp;v=989341:989875&amp;c=444444", "offset 127")</f>
        <v>offset 127</v>
      </c>
    </row>
    <row r="3403" customFormat="false" ht="12.8" hidden="false" customHeight="false" outlineLevel="0" collapsed="false">
      <c r="A3403" s="0" t="s">
        <v>12</v>
      </c>
      <c r="B3403" s="0" t="n">
        <v>990740</v>
      </c>
      <c r="C3403" s="0" t="n">
        <v>990760</v>
      </c>
      <c r="D3403" s="0" t="s">
        <v>11371</v>
      </c>
      <c r="E3403" s="0" t="s">
        <v>11372</v>
      </c>
      <c r="F3403" s="0" t="s">
        <v>90</v>
      </c>
      <c r="G3403" s="0" t="s">
        <v>32</v>
      </c>
      <c r="H3403" s="0" t="n">
        <v>1</v>
      </c>
      <c r="I3403" s="0" t="s">
        <v>11373</v>
      </c>
      <c r="J3403" s="0" t="s">
        <v>11374</v>
      </c>
      <c r="K3403" s="0" t="s">
        <v>11375</v>
      </c>
      <c r="L3403" s="0" t="str">
        <f aca="false">HYPERLINK("https://www.ncbi.nlm.nih.gov/nuccore/CP000304.1?report=graph&amp;tracks=[key:gene_model_track,Options:GeneOnly]&amp;mk=990741:990760|offset_1|00cc00,990704:990723|offset_38|444444,990669:990688|offset_73|444444,990645:990664|offset_97|444444&amp;v=990540:990864&amp;c=444444", "offset 1")</f>
        <v>offset 1</v>
      </c>
    </row>
    <row r="3404" customFormat="false" ht="12.8" hidden="false" customHeight="false" outlineLevel="0" collapsed="false">
      <c r="A3404" s="0" t="s">
        <v>12</v>
      </c>
      <c r="B3404" s="0" t="n">
        <v>990703</v>
      </c>
      <c r="C3404" s="0" t="n">
        <v>990723</v>
      </c>
      <c r="D3404" s="0" t="s">
        <v>11371</v>
      </c>
      <c r="E3404" s="0" t="s">
        <v>11372</v>
      </c>
      <c r="F3404" s="0" t="s">
        <v>90</v>
      </c>
      <c r="G3404" s="0" t="s">
        <v>16</v>
      </c>
      <c r="H3404" s="0" t="n">
        <v>38</v>
      </c>
      <c r="I3404" s="0" t="s">
        <v>11376</v>
      </c>
      <c r="J3404" s="0" t="s">
        <v>11377</v>
      </c>
      <c r="K3404" s="0" t="s">
        <v>11378</v>
      </c>
      <c r="L3404" s="0" t="str">
        <f aca="false">HYPERLINK("https://www.ncbi.nlm.nih.gov/nuccore/CP000304.1?report=graph&amp;tracks=[key:gene_model_track,Options:GeneOnly]&amp;mk=990741:990760|offset_1|444444,990704:990723|offset_38|00cc00,990669:990688|offset_73|444444,990645:990664|offset_97|444444&amp;v=990540:990864&amp;c=444444", "offset 38")</f>
        <v>offset 38</v>
      </c>
    </row>
    <row r="3405" customFormat="false" ht="12.8" hidden="false" customHeight="false" outlineLevel="0" collapsed="false">
      <c r="A3405" s="0" t="s">
        <v>12</v>
      </c>
      <c r="B3405" s="0" t="n">
        <v>990668</v>
      </c>
      <c r="C3405" s="0" t="n">
        <v>990688</v>
      </c>
      <c r="D3405" s="0" t="s">
        <v>11371</v>
      </c>
      <c r="E3405" s="0" t="s">
        <v>11372</v>
      </c>
      <c r="F3405" s="0" t="s">
        <v>90</v>
      </c>
      <c r="G3405" s="0" t="s">
        <v>36</v>
      </c>
      <c r="H3405" s="0" t="n">
        <v>73</v>
      </c>
      <c r="I3405" s="0" t="s">
        <v>11379</v>
      </c>
      <c r="J3405" s="0" t="s">
        <v>11380</v>
      </c>
      <c r="K3405" s="0" t="s">
        <v>11381</v>
      </c>
      <c r="L3405" s="0" t="str">
        <f aca="false">HYPERLINK("https://www.ncbi.nlm.nih.gov/nuccore/CP000304.1?report=graph&amp;tracks=[key:gene_model_track,Options:GeneOnly]&amp;mk=990741:990760|offset_1|444444,990704:990723|offset_38|444444,990669:990688|offset_73|00cc00,990645:990664|offset_97|444444&amp;v=990540:990864&amp;c=444444", "offset 73")</f>
        <v>offset 73</v>
      </c>
    </row>
    <row r="3406" customFormat="false" ht="12.8" hidden="false" customHeight="false" outlineLevel="0" collapsed="false">
      <c r="A3406" s="0" t="s">
        <v>12</v>
      </c>
      <c r="B3406" s="0" t="n">
        <v>990644</v>
      </c>
      <c r="C3406" s="0" t="n">
        <v>990664</v>
      </c>
      <c r="D3406" s="0" t="s">
        <v>11371</v>
      </c>
      <c r="E3406" s="0" t="s">
        <v>11372</v>
      </c>
      <c r="F3406" s="0" t="s">
        <v>90</v>
      </c>
      <c r="G3406" s="0" t="s">
        <v>32</v>
      </c>
      <c r="H3406" s="0" t="n">
        <v>97</v>
      </c>
      <c r="I3406" s="0" t="s">
        <v>11382</v>
      </c>
      <c r="J3406" s="0" t="s">
        <v>11383</v>
      </c>
      <c r="K3406" s="0" t="s">
        <v>11384</v>
      </c>
      <c r="L3406" s="0" t="str">
        <f aca="false">HYPERLINK("https://www.ncbi.nlm.nih.gov/nuccore/CP000304.1?report=graph&amp;tracks=[key:gene_model_track,Options:GeneOnly]&amp;mk=990741:990760|offset_1|444444,990704:990723|offset_38|444444,990669:990688|offset_73|444444,990645:990664|offset_97|00cc00&amp;v=990540:990864&amp;c=444444", "offset 97")</f>
        <v>offset 97</v>
      </c>
    </row>
    <row r="3407" customFormat="false" ht="12.8" hidden="false" customHeight="false" outlineLevel="0" collapsed="false">
      <c r="A3407" s="0" t="s">
        <v>12</v>
      </c>
      <c r="B3407" s="0" t="n">
        <v>991629</v>
      </c>
      <c r="C3407" s="0" t="n">
        <v>991649</v>
      </c>
      <c r="D3407" s="0" t="s">
        <v>11385</v>
      </c>
      <c r="E3407" s="0" t="s">
        <v>89</v>
      </c>
      <c r="F3407" s="0" t="s">
        <v>90</v>
      </c>
      <c r="G3407" s="0" t="s">
        <v>36</v>
      </c>
      <c r="H3407" s="0" t="n">
        <v>0</v>
      </c>
      <c r="I3407" s="0" t="s">
        <v>11386</v>
      </c>
      <c r="J3407" s="0" t="s">
        <v>11387</v>
      </c>
      <c r="K3407" s="0" t="s">
        <v>11388</v>
      </c>
      <c r="L3407" s="0" t="str">
        <f aca="false">HYPERLINK("https://www.ncbi.nlm.nih.gov/nuccore/CP000304.1?report=graph&amp;tracks=[key:gene_model_track,Options:GeneOnly]&amp;mk=991630:991649|offset_0|00cc00,991609:991628|offset_21|444444,991589:991608|offset_41|444444,991569:991588|offset_61|444444&amp;v=991429:991788&amp;c=444444", "offset 0")</f>
        <v>offset 0</v>
      </c>
    </row>
    <row r="3408" customFormat="false" ht="12.8" hidden="false" customHeight="false" outlineLevel="0" collapsed="false">
      <c r="A3408" s="0" t="s">
        <v>12</v>
      </c>
      <c r="B3408" s="0" t="n">
        <v>991608</v>
      </c>
      <c r="C3408" s="0" t="n">
        <v>991628</v>
      </c>
      <c r="D3408" s="0" t="s">
        <v>11385</v>
      </c>
      <c r="E3408" s="0" t="s">
        <v>89</v>
      </c>
      <c r="F3408" s="0" t="s">
        <v>90</v>
      </c>
      <c r="G3408" s="0" t="s">
        <v>36</v>
      </c>
      <c r="H3408" s="0" t="n">
        <v>21</v>
      </c>
      <c r="I3408" s="0" t="s">
        <v>11389</v>
      </c>
      <c r="J3408" s="0" t="s">
        <v>11390</v>
      </c>
      <c r="K3408" s="0" t="s">
        <v>11391</v>
      </c>
      <c r="L3408" s="0" t="str">
        <f aca="false">HYPERLINK("https://www.ncbi.nlm.nih.gov/nuccore/CP000304.1?report=graph&amp;tracks=[key:gene_model_track,Options:GeneOnly]&amp;mk=991630:991649|offset_0|444444,991609:991628|offset_21|00cc00,991589:991608|offset_41|444444,991569:991588|offset_61|444444&amp;v=991429:991788&amp;c=444444", "offset 21")</f>
        <v>offset 21</v>
      </c>
    </row>
    <row r="3409" customFormat="false" ht="12.8" hidden="false" customHeight="false" outlineLevel="0" collapsed="false">
      <c r="A3409" s="0" t="s">
        <v>12</v>
      </c>
      <c r="B3409" s="0" t="n">
        <v>991588</v>
      </c>
      <c r="C3409" s="0" t="n">
        <v>991608</v>
      </c>
      <c r="D3409" s="0" t="s">
        <v>11385</v>
      </c>
      <c r="E3409" s="0" t="s">
        <v>89</v>
      </c>
      <c r="F3409" s="0" t="s">
        <v>90</v>
      </c>
      <c r="G3409" s="0" t="s">
        <v>26</v>
      </c>
      <c r="H3409" s="0" t="n">
        <v>41</v>
      </c>
      <c r="I3409" s="0" t="s">
        <v>11392</v>
      </c>
      <c r="J3409" s="0" t="s">
        <v>11393</v>
      </c>
      <c r="K3409" s="0" t="s">
        <v>11394</v>
      </c>
      <c r="L3409" s="0" t="str">
        <f aca="false">HYPERLINK("https://www.ncbi.nlm.nih.gov/nuccore/CP000304.1?report=graph&amp;tracks=[key:gene_model_track,Options:GeneOnly]&amp;mk=991630:991649|offset_0|444444,991609:991628|offset_21|444444,991589:991608|offset_41|00cc00,991569:991588|offset_61|444444&amp;v=991429:991788&amp;c=444444", "offset 41")</f>
        <v>offset 41</v>
      </c>
    </row>
    <row r="3410" customFormat="false" ht="12.8" hidden="false" customHeight="false" outlineLevel="0" collapsed="false">
      <c r="A3410" s="0" t="s">
        <v>12</v>
      </c>
      <c r="B3410" s="0" t="n">
        <v>991568</v>
      </c>
      <c r="C3410" s="0" t="n">
        <v>991588</v>
      </c>
      <c r="D3410" s="0" t="s">
        <v>11385</v>
      </c>
      <c r="E3410" s="0" t="s">
        <v>89</v>
      </c>
      <c r="F3410" s="0" t="s">
        <v>90</v>
      </c>
      <c r="G3410" s="0" t="s">
        <v>26</v>
      </c>
      <c r="H3410" s="0" t="n">
        <v>61</v>
      </c>
      <c r="I3410" s="0" t="s">
        <v>11395</v>
      </c>
      <c r="J3410" s="0" t="s">
        <v>11396</v>
      </c>
      <c r="K3410" s="0" t="s">
        <v>11397</v>
      </c>
      <c r="L3410" s="0" t="str">
        <f aca="false">HYPERLINK("https://www.ncbi.nlm.nih.gov/nuccore/CP000304.1?report=graph&amp;tracks=[key:gene_model_track,Options:GeneOnly]&amp;mk=991630:991649|offset_0|444444,991609:991628|offset_21|444444,991589:991608|offset_41|444444,991569:991588|offset_61|00cc00&amp;v=991429:991788&amp;c=444444", "offset 61")</f>
        <v>offset 61</v>
      </c>
    </row>
    <row r="3411" customFormat="false" ht="12.8" hidden="false" customHeight="false" outlineLevel="0" collapsed="false">
      <c r="A3411" s="0" t="s">
        <v>12</v>
      </c>
      <c r="B3411" s="0" t="n">
        <v>992357</v>
      </c>
      <c r="C3411" s="0" t="n">
        <v>992377</v>
      </c>
      <c r="D3411" s="0" t="s">
        <v>11398</v>
      </c>
      <c r="E3411" s="0" t="s">
        <v>11399</v>
      </c>
      <c r="F3411" s="0" t="s">
        <v>90</v>
      </c>
      <c r="G3411" s="0" t="s">
        <v>26</v>
      </c>
      <c r="H3411" s="0" t="n">
        <v>47</v>
      </c>
      <c r="I3411" s="0" t="s">
        <v>11400</v>
      </c>
      <c r="J3411" s="0" t="s">
        <v>11401</v>
      </c>
      <c r="K3411" s="0" t="s">
        <v>11402</v>
      </c>
      <c r="L3411" s="0" t="str">
        <f aca="false">HYPERLINK("https://www.ncbi.nlm.nih.gov/nuccore/CP000304.1?report=graph&amp;tracks=[key:gene_model_track,Options:GeneOnly]&amp;mk=992358:992377|offset_47|00cc00,992338:992357|offset_67|444444,992294:992313|offset_111|444444,992274:992293|offset_131|444444&amp;v=992157:992493&amp;c=444444", "offset 47")</f>
        <v>offset 47</v>
      </c>
    </row>
    <row r="3412" customFormat="false" ht="12.8" hidden="false" customHeight="false" outlineLevel="0" collapsed="false">
      <c r="A3412" s="0" t="s">
        <v>12</v>
      </c>
      <c r="B3412" s="0" t="n">
        <v>992337</v>
      </c>
      <c r="C3412" s="0" t="n">
        <v>992357</v>
      </c>
      <c r="D3412" s="0" t="s">
        <v>11398</v>
      </c>
      <c r="E3412" s="0" t="s">
        <v>11399</v>
      </c>
      <c r="F3412" s="0" t="s">
        <v>90</v>
      </c>
      <c r="G3412" s="0" t="s">
        <v>16</v>
      </c>
      <c r="H3412" s="0" t="n">
        <v>67</v>
      </c>
      <c r="I3412" s="0" t="s">
        <v>11403</v>
      </c>
      <c r="J3412" s="0" t="s">
        <v>11404</v>
      </c>
      <c r="K3412" s="0" t="s">
        <v>11405</v>
      </c>
      <c r="L3412" s="0" t="str">
        <f aca="false">HYPERLINK("https://www.ncbi.nlm.nih.gov/nuccore/CP000304.1?report=graph&amp;tracks=[key:gene_model_track,Options:GeneOnly]&amp;mk=992358:992377|offset_47|444444,992338:992357|offset_67|00cc00,992294:992313|offset_111|444444,992274:992293|offset_131|444444&amp;v=992157:992493&amp;c=444444", "offset 67")</f>
        <v>offset 67</v>
      </c>
    </row>
    <row r="3413" customFormat="false" ht="12.8" hidden="false" customHeight="false" outlineLevel="0" collapsed="false">
      <c r="A3413" s="0" t="s">
        <v>12</v>
      </c>
      <c r="B3413" s="0" t="n">
        <v>992293</v>
      </c>
      <c r="C3413" s="0" t="n">
        <v>992313</v>
      </c>
      <c r="D3413" s="0" t="s">
        <v>11398</v>
      </c>
      <c r="E3413" s="0" t="s">
        <v>11399</v>
      </c>
      <c r="F3413" s="0" t="s">
        <v>90</v>
      </c>
      <c r="G3413" s="0" t="s">
        <v>36</v>
      </c>
      <c r="H3413" s="0" t="n">
        <v>111</v>
      </c>
      <c r="I3413" s="0" t="s">
        <v>11406</v>
      </c>
      <c r="J3413" s="0" t="s">
        <v>11407</v>
      </c>
      <c r="K3413" s="0" t="s">
        <v>11408</v>
      </c>
      <c r="L3413" s="0" t="str">
        <f aca="false">HYPERLINK("https://www.ncbi.nlm.nih.gov/nuccore/CP000304.1?report=graph&amp;tracks=[key:gene_model_track,Options:GeneOnly]&amp;mk=992358:992377|offset_47|444444,992338:992357|offset_67|444444,992294:992313|offset_111|00cc00,992274:992293|offset_131|444444&amp;v=992157:992493&amp;c=444444", "offset 111")</f>
        <v>offset 111</v>
      </c>
    </row>
    <row r="3414" customFormat="false" ht="12.8" hidden="false" customHeight="false" outlineLevel="0" collapsed="false">
      <c r="A3414" s="0" t="s">
        <v>12</v>
      </c>
      <c r="B3414" s="0" t="n">
        <v>992273</v>
      </c>
      <c r="C3414" s="0" t="n">
        <v>992293</v>
      </c>
      <c r="D3414" s="0" t="s">
        <v>11398</v>
      </c>
      <c r="E3414" s="0" t="s">
        <v>11399</v>
      </c>
      <c r="F3414" s="0" t="s">
        <v>90</v>
      </c>
      <c r="G3414" s="0" t="s">
        <v>26</v>
      </c>
      <c r="H3414" s="0" t="n">
        <v>131</v>
      </c>
      <c r="I3414" s="0" t="s">
        <v>11409</v>
      </c>
      <c r="J3414" s="0" t="s">
        <v>11410</v>
      </c>
      <c r="K3414" s="0" t="s">
        <v>11411</v>
      </c>
      <c r="L3414" s="0" t="str">
        <f aca="false">HYPERLINK("https://www.ncbi.nlm.nih.gov/nuccore/CP000304.1?report=graph&amp;tracks=[key:gene_model_track,Options:GeneOnly]&amp;mk=992358:992377|offset_47|444444,992338:992357|offset_67|444444,992294:992313|offset_111|444444,992274:992293|offset_131|00cc00&amp;v=992157:992493&amp;c=444444", "offset 131")</f>
        <v>offset 131</v>
      </c>
    </row>
    <row r="3415" customFormat="false" ht="12.8" hidden="false" customHeight="false" outlineLevel="0" collapsed="false">
      <c r="A3415" s="0" t="s">
        <v>12</v>
      </c>
      <c r="B3415" s="0" t="n">
        <v>994357</v>
      </c>
      <c r="C3415" s="0" t="n">
        <v>994377</v>
      </c>
      <c r="D3415" s="0" t="s">
        <v>11412</v>
      </c>
      <c r="E3415" s="0" t="s">
        <v>11413</v>
      </c>
      <c r="F3415" s="0" t="s">
        <v>90</v>
      </c>
      <c r="G3415" s="0" t="s">
        <v>32</v>
      </c>
      <c r="H3415" s="0" t="n">
        <v>1</v>
      </c>
      <c r="I3415" s="0" t="s">
        <v>11414</v>
      </c>
      <c r="J3415" s="0" t="s">
        <v>11415</v>
      </c>
      <c r="K3415" s="0" t="s">
        <v>11416</v>
      </c>
      <c r="L3415" s="0" t="str">
        <f aca="false">HYPERLINK("https://www.ncbi.nlm.nih.gov/nuccore/CP000304.1?report=graph&amp;tracks=[key:gene_model_track,Options:GeneOnly]&amp;mk=994358:994377|offset_1|00cc00,994317:994336|offset_42|444444,994296:994315|offset_63|444444,994271:994290|offset_88|444444&amp;v=994157:994490&amp;c=444444", "offset 1")</f>
        <v>offset 1</v>
      </c>
    </row>
    <row r="3416" customFormat="false" ht="12.8" hidden="false" customHeight="false" outlineLevel="0" collapsed="false">
      <c r="A3416" s="0" t="s">
        <v>12</v>
      </c>
      <c r="B3416" s="0" t="n">
        <v>994316</v>
      </c>
      <c r="C3416" s="0" t="n">
        <v>994336</v>
      </c>
      <c r="D3416" s="0" t="s">
        <v>11412</v>
      </c>
      <c r="E3416" s="0" t="s">
        <v>11413</v>
      </c>
      <c r="F3416" s="0" t="s">
        <v>90</v>
      </c>
      <c r="G3416" s="0" t="s">
        <v>16</v>
      </c>
      <c r="H3416" s="0" t="n">
        <v>42</v>
      </c>
      <c r="I3416" s="0" t="s">
        <v>11417</v>
      </c>
      <c r="J3416" s="0" t="s">
        <v>11418</v>
      </c>
      <c r="K3416" s="0" t="s">
        <v>11419</v>
      </c>
      <c r="L3416" s="0" t="str">
        <f aca="false">HYPERLINK("https://www.ncbi.nlm.nih.gov/nuccore/CP000304.1?report=graph&amp;tracks=[key:gene_model_track,Options:GeneOnly]&amp;mk=994358:994377|offset_1|444444,994317:994336|offset_42|00cc00,994296:994315|offset_63|444444,994271:994290|offset_88|444444&amp;v=994157:994490&amp;c=444444", "offset 42")</f>
        <v>offset 42</v>
      </c>
    </row>
    <row r="3417" customFormat="false" ht="12.8" hidden="false" customHeight="false" outlineLevel="0" collapsed="false">
      <c r="A3417" s="0" t="s">
        <v>12</v>
      </c>
      <c r="B3417" s="0" t="n">
        <v>994295</v>
      </c>
      <c r="C3417" s="0" t="n">
        <v>994315</v>
      </c>
      <c r="D3417" s="0" t="s">
        <v>11412</v>
      </c>
      <c r="E3417" s="0" t="s">
        <v>11413</v>
      </c>
      <c r="F3417" s="0" t="s">
        <v>90</v>
      </c>
      <c r="G3417" s="0" t="s">
        <v>36</v>
      </c>
      <c r="H3417" s="0" t="n">
        <v>63</v>
      </c>
      <c r="I3417" s="0" t="s">
        <v>11420</v>
      </c>
      <c r="J3417" s="0" t="s">
        <v>11421</v>
      </c>
      <c r="K3417" s="0" t="s">
        <v>11422</v>
      </c>
      <c r="L3417" s="0" t="str">
        <f aca="false">HYPERLINK("https://www.ncbi.nlm.nih.gov/nuccore/CP000304.1?report=graph&amp;tracks=[key:gene_model_track,Options:GeneOnly]&amp;mk=994358:994377|offset_1|444444,994317:994336|offset_42|444444,994296:994315|offset_63|00cc00,994271:994290|offset_88|444444&amp;v=994157:994490&amp;c=444444", "offset 63")</f>
        <v>offset 63</v>
      </c>
    </row>
    <row r="3418" customFormat="false" ht="12.8" hidden="false" customHeight="false" outlineLevel="0" collapsed="false">
      <c r="A3418" s="0" t="s">
        <v>12</v>
      </c>
      <c r="B3418" s="0" t="n">
        <v>994270</v>
      </c>
      <c r="C3418" s="0" t="n">
        <v>994290</v>
      </c>
      <c r="D3418" s="0" t="s">
        <v>11412</v>
      </c>
      <c r="E3418" s="0" t="s">
        <v>11413</v>
      </c>
      <c r="F3418" s="0" t="s">
        <v>90</v>
      </c>
      <c r="G3418" s="0" t="s">
        <v>32</v>
      </c>
      <c r="H3418" s="0" t="n">
        <v>88</v>
      </c>
      <c r="I3418" s="0" t="s">
        <v>11423</v>
      </c>
      <c r="J3418" s="0" t="s">
        <v>11424</v>
      </c>
      <c r="K3418" s="0" t="s">
        <v>11425</v>
      </c>
      <c r="L3418" s="0" t="str">
        <f aca="false">HYPERLINK("https://www.ncbi.nlm.nih.gov/nuccore/CP000304.1?report=graph&amp;tracks=[key:gene_model_track,Options:GeneOnly]&amp;mk=994358:994377|offset_1|444444,994317:994336|offset_42|444444,994296:994315|offset_63|444444,994271:994290|offset_88|00cc00&amp;v=994157:994490&amp;c=444444", "offset 88")</f>
        <v>offset 88</v>
      </c>
    </row>
    <row r="3419" customFormat="false" ht="12.8" hidden="false" customHeight="false" outlineLevel="0" collapsed="false">
      <c r="A3419" s="0" t="s">
        <v>12</v>
      </c>
      <c r="B3419" s="0" t="n">
        <v>994646</v>
      </c>
      <c r="C3419" s="0" t="n">
        <v>994666</v>
      </c>
      <c r="D3419" s="0" t="s">
        <v>11426</v>
      </c>
      <c r="E3419" s="0" t="s">
        <v>11427</v>
      </c>
      <c r="F3419" s="0" t="s">
        <v>15</v>
      </c>
      <c r="G3419" s="0" t="s">
        <v>32</v>
      </c>
      <c r="H3419" s="0" t="n">
        <v>1</v>
      </c>
      <c r="I3419" s="0" t="s">
        <v>11428</v>
      </c>
      <c r="J3419" s="0" t="s">
        <v>11429</v>
      </c>
      <c r="K3419" s="0" t="s">
        <v>11430</v>
      </c>
      <c r="L3419" s="0" t="str">
        <f aca="false">HYPERLINK("https://www.ncbi.nlm.nih.gov/nuccore/CP000304.1?report=graph&amp;tracks=[key:gene_model_track,Options:GeneOnly]&amp;mk=994647:994666|offset_1|00cc00,994681:994700|offset_35|444444,994716:994735|offset_70|444444,994737:994756|offset_91|444444&amp;v=994446:994956&amp;c=444444", "offset 1")</f>
        <v>offset 1</v>
      </c>
    </row>
    <row r="3420" customFormat="false" ht="12.8" hidden="false" customHeight="false" outlineLevel="0" collapsed="false">
      <c r="A3420" s="0" t="s">
        <v>12</v>
      </c>
      <c r="B3420" s="0" t="n">
        <v>994680</v>
      </c>
      <c r="C3420" s="0" t="n">
        <v>994700</v>
      </c>
      <c r="D3420" s="0" t="s">
        <v>11426</v>
      </c>
      <c r="E3420" s="0" t="s">
        <v>11427</v>
      </c>
      <c r="F3420" s="0" t="s">
        <v>15</v>
      </c>
      <c r="G3420" s="0" t="s">
        <v>32</v>
      </c>
      <c r="H3420" s="0" t="n">
        <v>35</v>
      </c>
      <c r="I3420" s="0" t="s">
        <v>11431</v>
      </c>
      <c r="J3420" s="0" t="s">
        <v>11432</v>
      </c>
      <c r="K3420" s="0" t="s">
        <v>11433</v>
      </c>
      <c r="L3420" s="0" t="str">
        <f aca="false">HYPERLINK("https://www.ncbi.nlm.nih.gov/nuccore/CP000304.1?report=graph&amp;tracks=[key:gene_model_track,Options:GeneOnly]&amp;mk=994647:994666|offset_1|444444,994681:994700|offset_35|00cc00,994716:994735|offset_70|444444,994737:994756|offset_91|444444&amp;v=994446:994956&amp;c=444444", "offset 35")</f>
        <v>offset 35</v>
      </c>
    </row>
    <row r="3421" customFormat="false" ht="12.8" hidden="false" customHeight="false" outlineLevel="0" collapsed="false">
      <c r="A3421" s="0" t="s">
        <v>12</v>
      </c>
      <c r="B3421" s="0" t="n">
        <v>994715</v>
      </c>
      <c r="C3421" s="0" t="n">
        <v>994735</v>
      </c>
      <c r="D3421" s="0" t="s">
        <v>11426</v>
      </c>
      <c r="E3421" s="0" t="s">
        <v>11427</v>
      </c>
      <c r="F3421" s="0" t="s">
        <v>15</v>
      </c>
      <c r="G3421" s="0" t="s">
        <v>32</v>
      </c>
      <c r="H3421" s="0" t="n">
        <v>70</v>
      </c>
      <c r="I3421" s="0" t="s">
        <v>11434</v>
      </c>
      <c r="J3421" s="0" t="s">
        <v>11435</v>
      </c>
      <c r="K3421" s="0" t="s">
        <v>11436</v>
      </c>
      <c r="L3421" s="0" t="str">
        <f aca="false">HYPERLINK("https://www.ncbi.nlm.nih.gov/nuccore/CP000304.1?report=graph&amp;tracks=[key:gene_model_track,Options:GeneOnly]&amp;mk=994647:994666|offset_1|444444,994681:994700|offset_35|444444,994716:994735|offset_70|00cc00,994737:994756|offset_91|444444&amp;v=994446:994956&amp;c=444444", "offset 70")</f>
        <v>offset 70</v>
      </c>
    </row>
    <row r="3422" customFormat="false" ht="12.8" hidden="false" customHeight="false" outlineLevel="0" collapsed="false">
      <c r="A3422" s="0" t="s">
        <v>12</v>
      </c>
      <c r="B3422" s="0" t="n">
        <v>994736</v>
      </c>
      <c r="C3422" s="0" t="n">
        <v>994756</v>
      </c>
      <c r="D3422" s="0" t="s">
        <v>11426</v>
      </c>
      <c r="E3422" s="0" t="s">
        <v>11427</v>
      </c>
      <c r="F3422" s="0" t="s">
        <v>15</v>
      </c>
      <c r="G3422" s="0" t="s">
        <v>32</v>
      </c>
      <c r="H3422" s="0" t="n">
        <v>91</v>
      </c>
      <c r="I3422" s="0" t="s">
        <v>11437</v>
      </c>
      <c r="J3422" s="0" t="s">
        <v>11438</v>
      </c>
      <c r="K3422" s="0" t="s">
        <v>11439</v>
      </c>
      <c r="L3422" s="0" t="str">
        <f aca="false">HYPERLINK("https://www.ncbi.nlm.nih.gov/nuccore/CP000304.1?report=graph&amp;tracks=[key:gene_model_track,Options:GeneOnly]&amp;mk=994647:994666|offset_1|444444,994681:994700|offset_35|444444,994716:994735|offset_70|444444,994737:994756|offset_91|00cc00&amp;v=994446:994956&amp;c=444444", "offset 91")</f>
        <v>offset 91</v>
      </c>
    </row>
    <row r="3423" customFormat="false" ht="12.8" hidden="false" customHeight="false" outlineLevel="0" collapsed="false">
      <c r="A3423" s="0" t="s">
        <v>12</v>
      </c>
      <c r="B3423" s="0" t="n">
        <v>996263</v>
      </c>
      <c r="C3423" s="0" t="n">
        <v>996283</v>
      </c>
      <c r="D3423" s="0" t="s">
        <v>11440</v>
      </c>
      <c r="E3423" s="0" t="s">
        <v>89</v>
      </c>
      <c r="F3423" s="0" t="s">
        <v>15</v>
      </c>
      <c r="G3423" s="0" t="s">
        <v>32</v>
      </c>
      <c r="H3423" s="0" t="n">
        <v>1</v>
      </c>
      <c r="I3423" s="0" t="s">
        <v>11441</v>
      </c>
      <c r="J3423" s="0" t="s">
        <v>11442</v>
      </c>
      <c r="K3423" s="0" t="s">
        <v>11443</v>
      </c>
      <c r="L3423" s="0" t="str">
        <f aca="false">HYPERLINK("https://www.ncbi.nlm.nih.gov/nuccore/CP000304.1?report=graph&amp;tracks=[key:gene_model_track,Options:GeneOnly]&amp;mk=996264:996283|offset_1|00cc00,996303:996322|offset_40|444444,996324:996343|offset_61|444444,996350:996369|offset_87|444444&amp;v=996063:996569&amp;c=444444", "offset 1")</f>
        <v>offset 1</v>
      </c>
    </row>
    <row r="3424" customFormat="false" ht="12.8" hidden="false" customHeight="false" outlineLevel="0" collapsed="false">
      <c r="A3424" s="0" t="s">
        <v>12</v>
      </c>
      <c r="B3424" s="0" t="n">
        <v>996302</v>
      </c>
      <c r="C3424" s="0" t="n">
        <v>996322</v>
      </c>
      <c r="D3424" s="0" t="s">
        <v>11440</v>
      </c>
      <c r="E3424" s="0" t="s">
        <v>89</v>
      </c>
      <c r="F3424" s="0" t="s">
        <v>15</v>
      </c>
      <c r="G3424" s="0" t="s">
        <v>36</v>
      </c>
      <c r="H3424" s="0" t="n">
        <v>40</v>
      </c>
      <c r="I3424" s="0" t="s">
        <v>11444</v>
      </c>
      <c r="J3424" s="0" t="s">
        <v>11445</v>
      </c>
      <c r="K3424" s="0" t="s">
        <v>11446</v>
      </c>
      <c r="L3424" s="0" t="str">
        <f aca="false">HYPERLINK("https://www.ncbi.nlm.nih.gov/nuccore/CP000304.1?report=graph&amp;tracks=[key:gene_model_track,Options:GeneOnly]&amp;mk=996264:996283|offset_1|444444,996303:996322|offset_40|00cc00,996324:996343|offset_61|444444,996350:996369|offset_87|444444&amp;v=996063:996569&amp;c=444444", "offset 40")</f>
        <v>offset 40</v>
      </c>
    </row>
    <row r="3425" customFormat="false" ht="12.8" hidden="false" customHeight="false" outlineLevel="0" collapsed="false">
      <c r="A3425" s="0" t="s">
        <v>12</v>
      </c>
      <c r="B3425" s="0" t="n">
        <v>996323</v>
      </c>
      <c r="C3425" s="0" t="n">
        <v>996343</v>
      </c>
      <c r="D3425" s="0" t="s">
        <v>11440</v>
      </c>
      <c r="E3425" s="0" t="s">
        <v>89</v>
      </c>
      <c r="F3425" s="0" t="s">
        <v>15</v>
      </c>
      <c r="G3425" s="0" t="s">
        <v>36</v>
      </c>
      <c r="H3425" s="0" t="n">
        <v>61</v>
      </c>
      <c r="I3425" s="0" t="s">
        <v>11447</v>
      </c>
      <c r="J3425" s="0" t="s">
        <v>11448</v>
      </c>
      <c r="K3425" s="0" t="s">
        <v>11449</v>
      </c>
      <c r="L3425" s="0" t="str">
        <f aca="false">HYPERLINK("https://www.ncbi.nlm.nih.gov/nuccore/CP000304.1?report=graph&amp;tracks=[key:gene_model_track,Options:GeneOnly]&amp;mk=996264:996283|offset_1|444444,996303:996322|offset_40|444444,996324:996343|offset_61|00cc00,996350:996369|offset_87|444444&amp;v=996063:996569&amp;c=444444", "offset 61")</f>
        <v>offset 61</v>
      </c>
    </row>
    <row r="3426" customFormat="false" ht="12.8" hidden="false" customHeight="false" outlineLevel="0" collapsed="false">
      <c r="A3426" s="0" t="s">
        <v>12</v>
      </c>
      <c r="B3426" s="0" t="n">
        <v>996349</v>
      </c>
      <c r="C3426" s="0" t="n">
        <v>996369</v>
      </c>
      <c r="D3426" s="0" t="s">
        <v>11440</v>
      </c>
      <c r="E3426" s="0" t="s">
        <v>89</v>
      </c>
      <c r="F3426" s="0" t="s">
        <v>15</v>
      </c>
      <c r="G3426" s="0" t="s">
        <v>16</v>
      </c>
      <c r="H3426" s="0" t="n">
        <v>87</v>
      </c>
      <c r="I3426" s="0" t="s">
        <v>11450</v>
      </c>
      <c r="J3426" s="0" t="s">
        <v>11451</v>
      </c>
      <c r="K3426" s="0" t="s">
        <v>11452</v>
      </c>
      <c r="L3426" s="0" t="str">
        <f aca="false">HYPERLINK("https://www.ncbi.nlm.nih.gov/nuccore/CP000304.1?report=graph&amp;tracks=[key:gene_model_track,Options:GeneOnly]&amp;mk=996264:996283|offset_1|444444,996303:996322|offset_40|444444,996324:996343|offset_61|444444,996350:996369|offset_87|00cc00&amp;v=996063:996569&amp;c=444444", "offset 87")</f>
        <v>offset 87</v>
      </c>
    </row>
    <row r="3427" customFormat="false" ht="12.8" hidden="false" customHeight="false" outlineLevel="0" collapsed="false">
      <c r="A3427" s="0" t="s">
        <v>12</v>
      </c>
      <c r="B3427" s="0" t="n">
        <v>996771</v>
      </c>
      <c r="C3427" s="0" t="n">
        <v>996791</v>
      </c>
      <c r="D3427" s="0" t="s">
        <v>11453</v>
      </c>
      <c r="E3427" s="0" t="s">
        <v>11454</v>
      </c>
      <c r="F3427" s="0" t="s">
        <v>15</v>
      </c>
      <c r="G3427" s="0" t="s">
        <v>36</v>
      </c>
      <c r="H3427" s="0" t="n">
        <v>36</v>
      </c>
      <c r="I3427" s="0" t="s">
        <v>11455</v>
      </c>
      <c r="J3427" s="0" t="s">
        <v>11456</v>
      </c>
      <c r="K3427" s="0" t="s">
        <v>11457</v>
      </c>
      <c r="L3427" s="0" t="str">
        <f aca="false">HYPERLINK("https://www.ncbi.nlm.nih.gov/nuccore/CP000304.1?report=graph&amp;tracks=[key:gene_model_track,Options:GeneOnly]&amp;mk=996772:996791|offset_36|00cc00,996792:996811|offset_56|444444,996844:996863|offset_108|444444,996886:996905|offset_150|444444&amp;v=996571:997105&amp;c=444444", "offset 36")</f>
        <v>offset 36</v>
      </c>
    </row>
    <row r="3428" customFormat="false" ht="12.8" hidden="false" customHeight="false" outlineLevel="0" collapsed="false">
      <c r="A3428" s="0" t="s">
        <v>12</v>
      </c>
      <c r="B3428" s="0" t="n">
        <v>996791</v>
      </c>
      <c r="C3428" s="0" t="n">
        <v>996811</v>
      </c>
      <c r="D3428" s="0" t="s">
        <v>11453</v>
      </c>
      <c r="E3428" s="0" t="s">
        <v>11454</v>
      </c>
      <c r="F3428" s="0" t="s">
        <v>15</v>
      </c>
      <c r="G3428" s="0" t="s">
        <v>26</v>
      </c>
      <c r="H3428" s="0" t="n">
        <v>56</v>
      </c>
      <c r="I3428" s="0" t="s">
        <v>11458</v>
      </c>
      <c r="J3428" s="0" t="s">
        <v>11459</v>
      </c>
      <c r="K3428" s="0" t="s">
        <v>11460</v>
      </c>
      <c r="L3428" s="0" t="str">
        <f aca="false">HYPERLINK("https://www.ncbi.nlm.nih.gov/nuccore/CP000304.1?report=graph&amp;tracks=[key:gene_model_track,Options:GeneOnly]&amp;mk=996772:996791|offset_36|444444,996792:996811|offset_56|00cc00,996844:996863|offset_108|444444,996886:996905|offset_150|444444&amp;v=996571:997105&amp;c=444444", "offset 56")</f>
        <v>offset 56</v>
      </c>
    </row>
    <row r="3429" customFormat="false" ht="12.8" hidden="false" customHeight="false" outlineLevel="0" collapsed="false">
      <c r="A3429" s="0" t="s">
        <v>12</v>
      </c>
      <c r="B3429" s="0" t="n">
        <v>996843</v>
      </c>
      <c r="C3429" s="0" t="n">
        <v>996863</v>
      </c>
      <c r="D3429" s="0" t="s">
        <v>11453</v>
      </c>
      <c r="E3429" s="0" t="s">
        <v>11454</v>
      </c>
      <c r="F3429" s="0" t="s">
        <v>15</v>
      </c>
      <c r="G3429" s="0" t="s">
        <v>16</v>
      </c>
      <c r="H3429" s="0" t="n">
        <v>108</v>
      </c>
      <c r="I3429" s="0" t="s">
        <v>11461</v>
      </c>
      <c r="J3429" s="0" t="s">
        <v>11462</v>
      </c>
      <c r="K3429" s="0" t="s">
        <v>11463</v>
      </c>
      <c r="L3429" s="0" t="str">
        <f aca="false">HYPERLINK("https://www.ncbi.nlm.nih.gov/nuccore/CP000304.1?report=graph&amp;tracks=[key:gene_model_track,Options:GeneOnly]&amp;mk=996772:996791|offset_36|444444,996792:996811|offset_56|444444,996844:996863|offset_108|00cc00,996886:996905|offset_150|444444&amp;v=996571:997105&amp;c=444444", "offset 108")</f>
        <v>offset 108</v>
      </c>
    </row>
    <row r="3430" customFormat="false" ht="12.8" hidden="false" customHeight="false" outlineLevel="0" collapsed="false">
      <c r="A3430" s="0" t="s">
        <v>12</v>
      </c>
      <c r="B3430" s="0" t="n">
        <v>996885</v>
      </c>
      <c r="C3430" s="0" t="n">
        <v>996905</v>
      </c>
      <c r="D3430" s="0" t="s">
        <v>11453</v>
      </c>
      <c r="E3430" s="0" t="s">
        <v>11454</v>
      </c>
      <c r="F3430" s="0" t="s">
        <v>15</v>
      </c>
      <c r="G3430" s="0" t="s">
        <v>36</v>
      </c>
      <c r="H3430" s="0" t="n">
        <v>150</v>
      </c>
      <c r="I3430" s="0" t="s">
        <v>11464</v>
      </c>
      <c r="J3430" s="0" t="s">
        <v>11465</v>
      </c>
      <c r="K3430" s="0" t="s">
        <v>11466</v>
      </c>
      <c r="L3430" s="0" t="str">
        <f aca="false">HYPERLINK("https://www.ncbi.nlm.nih.gov/nuccore/CP000304.1?report=graph&amp;tracks=[key:gene_model_track,Options:GeneOnly]&amp;mk=996772:996791|offset_36|444444,996792:996811|offset_56|444444,996844:996863|offset_108|444444,996886:996905|offset_150|00cc00&amp;v=996571:997105&amp;c=444444", "offset 150")</f>
        <v>offset 150</v>
      </c>
    </row>
    <row r="3431" customFormat="false" ht="12.8" hidden="false" customHeight="false" outlineLevel="0" collapsed="false">
      <c r="A3431" s="0" t="s">
        <v>12</v>
      </c>
      <c r="B3431" s="0" t="n">
        <v>998336</v>
      </c>
      <c r="C3431" s="0" t="n">
        <v>998356</v>
      </c>
      <c r="D3431" s="0" t="s">
        <v>11467</v>
      </c>
      <c r="E3431" s="0" t="s">
        <v>11468</v>
      </c>
      <c r="F3431" s="0" t="s">
        <v>15</v>
      </c>
      <c r="G3431" s="0" t="s">
        <v>32</v>
      </c>
      <c r="H3431" s="0" t="n">
        <v>8</v>
      </c>
      <c r="I3431" s="0" t="s">
        <v>11469</v>
      </c>
      <c r="J3431" s="0" t="s">
        <v>11470</v>
      </c>
      <c r="K3431" s="0" t="s">
        <v>11471</v>
      </c>
      <c r="L3431" s="0" t="str">
        <f aca="false">HYPERLINK("https://www.ncbi.nlm.nih.gov/nuccore/CP000304.1?report=graph&amp;tracks=[key:gene_model_track,Options:GeneOnly]&amp;mk=998337:998356|offset_8|00cc00,998387:998406|offset_58|444444,998417:998436|offset_88|444444,998439:998458|offset_110|444444&amp;v=998136:998658&amp;c=444444", "offset 8")</f>
        <v>offset 8</v>
      </c>
    </row>
    <row r="3432" customFormat="false" ht="12.8" hidden="false" customHeight="false" outlineLevel="0" collapsed="false">
      <c r="A3432" s="0" t="s">
        <v>12</v>
      </c>
      <c r="B3432" s="0" t="n">
        <v>998386</v>
      </c>
      <c r="C3432" s="0" t="n">
        <v>998406</v>
      </c>
      <c r="D3432" s="0" t="s">
        <v>11467</v>
      </c>
      <c r="E3432" s="0" t="s">
        <v>11468</v>
      </c>
      <c r="F3432" s="0" t="s">
        <v>15</v>
      </c>
      <c r="G3432" s="0" t="s">
        <v>16</v>
      </c>
      <c r="H3432" s="0" t="n">
        <v>58</v>
      </c>
      <c r="I3432" s="0" t="s">
        <v>11472</v>
      </c>
      <c r="J3432" s="0" t="s">
        <v>11473</v>
      </c>
      <c r="K3432" s="0" t="s">
        <v>11474</v>
      </c>
      <c r="L3432" s="0" t="str">
        <f aca="false">HYPERLINK("https://www.ncbi.nlm.nih.gov/nuccore/CP000304.1?report=graph&amp;tracks=[key:gene_model_track,Options:GeneOnly]&amp;mk=998337:998356|offset_8|444444,998387:998406|offset_58|00cc00,998417:998436|offset_88|444444,998439:998458|offset_110|444444&amp;v=998136:998658&amp;c=444444", "offset 58")</f>
        <v>offset 58</v>
      </c>
    </row>
    <row r="3433" customFormat="false" ht="12.8" hidden="false" customHeight="false" outlineLevel="0" collapsed="false">
      <c r="A3433" s="0" t="s">
        <v>12</v>
      </c>
      <c r="B3433" s="0" t="n">
        <v>998416</v>
      </c>
      <c r="C3433" s="0" t="n">
        <v>998436</v>
      </c>
      <c r="D3433" s="0" t="s">
        <v>11467</v>
      </c>
      <c r="E3433" s="0" t="s">
        <v>11468</v>
      </c>
      <c r="F3433" s="0" t="s">
        <v>15</v>
      </c>
      <c r="G3433" s="0" t="s">
        <v>36</v>
      </c>
      <c r="H3433" s="0" t="n">
        <v>88</v>
      </c>
      <c r="I3433" s="0" t="s">
        <v>11475</v>
      </c>
      <c r="J3433" s="0" t="s">
        <v>11476</v>
      </c>
      <c r="K3433" s="0" t="s">
        <v>11477</v>
      </c>
      <c r="L3433" s="0" t="str">
        <f aca="false">HYPERLINK("https://www.ncbi.nlm.nih.gov/nuccore/CP000304.1?report=graph&amp;tracks=[key:gene_model_track,Options:GeneOnly]&amp;mk=998337:998356|offset_8|444444,998387:998406|offset_58|444444,998417:998436|offset_88|00cc00,998439:998458|offset_110|444444&amp;v=998136:998658&amp;c=444444", "offset 88")</f>
        <v>offset 88</v>
      </c>
    </row>
    <row r="3434" customFormat="false" ht="12.8" hidden="false" customHeight="false" outlineLevel="0" collapsed="false">
      <c r="A3434" s="0" t="s">
        <v>12</v>
      </c>
      <c r="B3434" s="0" t="n">
        <v>998438</v>
      </c>
      <c r="C3434" s="0" t="n">
        <v>998458</v>
      </c>
      <c r="D3434" s="0" t="s">
        <v>11467</v>
      </c>
      <c r="E3434" s="0" t="s">
        <v>11468</v>
      </c>
      <c r="F3434" s="0" t="s">
        <v>15</v>
      </c>
      <c r="G3434" s="0" t="s">
        <v>16</v>
      </c>
      <c r="H3434" s="0" t="n">
        <v>110</v>
      </c>
      <c r="I3434" s="0" t="s">
        <v>11478</v>
      </c>
      <c r="J3434" s="0" t="s">
        <v>11479</v>
      </c>
      <c r="K3434" s="0" t="s">
        <v>11480</v>
      </c>
      <c r="L3434" s="0" t="str">
        <f aca="false">HYPERLINK("https://www.ncbi.nlm.nih.gov/nuccore/CP000304.1?report=graph&amp;tracks=[key:gene_model_track,Options:GeneOnly]&amp;mk=998337:998356|offset_8|444444,998387:998406|offset_58|444444,998417:998436|offset_88|444444,998439:998458|offset_110|00cc00&amp;v=998136:998658&amp;c=444444", "offset 110")</f>
        <v>offset 110</v>
      </c>
    </row>
    <row r="3435" customFormat="false" ht="12.8" hidden="false" customHeight="false" outlineLevel="0" collapsed="false">
      <c r="A3435" s="0" t="s">
        <v>12</v>
      </c>
      <c r="B3435" s="0" t="n">
        <v>1002099</v>
      </c>
      <c r="C3435" s="0" t="n">
        <v>1002119</v>
      </c>
      <c r="D3435" s="0" t="s">
        <v>11481</v>
      </c>
      <c r="E3435" s="0" t="s">
        <v>11482</v>
      </c>
      <c r="F3435" s="0" t="s">
        <v>15</v>
      </c>
      <c r="G3435" s="0" t="s">
        <v>32</v>
      </c>
      <c r="H3435" s="0" t="n">
        <v>1</v>
      </c>
      <c r="I3435" s="0" t="s">
        <v>11483</v>
      </c>
      <c r="J3435" s="0" t="s">
        <v>11484</v>
      </c>
      <c r="K3435" s="0" t="s">
        <v>11485</v>
      </c>
      <c r="L3435" s="0" t="str">
        <f aca="false">HYPERLINK("https://www.ncbi.nlm.nih.gov/nuccore/CP000304.1?report=graph&amp;tracks=[key:gene_model_track,Options:GeneOnly]&amp;mk=1002100:1002119|offset_1|00cc00,1002131:1002150|offset_32|444444,1002163:1002182|offset_64|444444,1002193:1002212|offset_94|444444&amp;v=1001899:1002412&amp;c=444444", "offset 1")</f>
        <v>offset 1</v>
      </c>
    </row>
    <row r="3436" customFormat="false" ht="12.8" hidden="false" customHeight="false" outlineLevel="0" collapsed="false">
      <c r="A3436" s="0" t="s">
        <v>12</v>
      </c>
      <c r="B3436" s="0" t="n">
        <v>1002130</v>
      </c>
      <c r="C3436" s="0" t="n">
        <v>1002150</v>
      </c>
      <c r="D3436" s="0" t="s">
        <v>11481</v>
      </c>
      <c r="E3436" s="0" t="s">
        <v>11482</v>
      </c>
      <c r="F3436" s="0" t="s">
        <v>15</v>
      </c>
      <c r="G3436" s="0" t="s">
        <v>26</v>
      </c>
      <c r="H3436" s="0" t="n">
        <v>32</v>
      </c>
      <c r="I3436" s="0" t="s">
        <v>11486</v>
      </c>
      <c r="J3436" s="0" t="s">
        <v>11487</v>
      </c>
      <c r="K3436" s="0" t="s">
        <v>11488</v>
      </c>
      <c r="L3436" s="0" t="str">
        <f aca="false">HYPERLINK("https://www.ncbi.nlm.nih.gov/nuccore/CP000304.1?report=graph&amp;tracks=[key:gene_model_track,Options:GeneOnly]&amp;mk=1002100:1002119|offset_1|444444,1002131:1002150|offset_32|00cc00,1002163:1002182|offset_64|444444,1002193:1002212|offset_94|444444&amp;v=1001899:1002412&amp;c=444444", "offset 32")</f>
        <v>offset 32</v>
      </c>
    </row>
    <row r="3437" customFormat="false" ht="12.8" hidden="false" customHeight="false" outlineLevel="0" collapsed="false">
      <c r="A3437" s="0" t="s">
        <v>12</v>
      </c>
      <c r="B3437" s="0" t="n">
        <v>1002162</v>
      </c>
      <c r="C3437" s="0" t="n">
        <v>1002182</v>
      </c>
      <c r="D3437" s="0" t="s">
        <v>11481</v>
      </c>
      <c r="E3437" s="0" t="s">
        <v>11482</v>
      </c>
      <c r="F3437" s="0" t="s">
        <v>15</v>
      </c>
      <c r="G3437" s="0" t="s">
        <v>26</v>
      </c>
      <c r="H3437" s="0" t="n">
        <v>64</v>
      </c>
      <c r="I3437" s="0" t="s">
        <v>11489</v>
      </c>
      <c r="J3437" s="0" t="s">
        <v>11490</v>
      </c>
      <c r="K3437" s="0" t="s">
        <v>11491</v>
      </c>
      <c r="L3437" s="0" t="str">
        <f aca="false">HYPERLINK("https://www.ncbi.nlm.nih.gov/nuccore/CP000304.1?report=graph&amp;tracks=[key:gene_model_track,Options:GeneOnly]&amp;mk=1002100:1002119|offset_1|444444,1002131:1002150|offset_32|444444,1002163:1002182|offset_64|00cc00,1002193:1002212|offset_94|444444&amp;v=1001899:1002412&amp;c=444444", "offset 64")</f>
        <v>offset 64</v>
      </c>
    </row>
    <row r="3438" customFormat="false" ht="12.8" hidden="false" customHeight="false" outlineLevel="0" collapsed="false">
      <c r="A3438" s="0" t="s">
        <v>12</v>
      </c>
      <c r="B3438" s="0" t="n">
        <v>1002192</v>
      </c>
      <c r="C3438" s="0" t="n">
        <v>1002212</v>
      </c>
      <c r="D3438" s="0" t="s">
        <v>11481</v>
      </c>
      <c r="E3438" s="0" t="s">
        <v>11482</v>
      </c>
      <c r="F3438" s="0" t="s">
        <v>15</v>
      </c>
      <c r="G3438" s="0" t="s">
        <v>32</v>
      </c>
      <c r="H3438" s="0" t="n">
        <v>94</v>
      </c>
      <c r="I3438" s="0" t="s">
        <v>11492</v>
      </c>
      <c r="J3438" s="0" t="s">
        <v>11493</v>
      </c>
      <c r="K3438" s="0" t="s">
        <v>11494</v>
      </c>
      <c r="L3438" s="0" t="str">
        <f aca="false">HYPERLINK("https://www.ncbi.nlm.nih.gov/nuccore/CP000304.1?report=graph&amp;tracks=[key:gene_model_track,Options:GeneOnly]&amp;mk=1002100:1002119|offset_1|444444,1002131:1002150|offset_32|444444,1002163:1002182|offset_64|444444,1002193:1002212|offset_94|00cc00&amp;v=1001899:1002412&amp;c=444444", "offset 94")</f>
        <v>offset 94</v>
      </c>
    </row>
    <row r="3439" customFormat="false" ht="12.8" hidden="false" customHeight="false" outlineLevel="0" collapsed="false">
      <c r="A3439" s="0" t="s">
        <v>12</v>
      </c>
      <c r="B3439" s="0" t="n">
        <v>1003641</v>
      </c>
      <c r="C3439" s="0" t="n">
        <v>1003661</v>
      </c>
      <c r="D3439" s="0" t="s">
        <v>11495</v>
      </c>
      <c r="E3439" s="0" t="s">
        <v>11496</v>
      </c>
      <c r="F3439" s="0" t="s">
        <v>15</v>
      </c>
      <c r="G3439" s="0" t="s">
        <v>32</v>
      </c>
      <c r="H3439" s="0" t="n">
        <v>1</v>
      </c>
      <c r="I3439" s="0" t="s">
        <v>11497</v>
      </c>
      <c r="J3439" s="0" t="s">
        <v>11498</v>
      </c>
      <c r="K3439" s="0" t="s">
        <v>11499</v>
      </c>
      <c r="L3439" s="0" t="str">
        <f aca="false">HYPERLINK("https://www.ncbi.nlm.nih.gov/nuccore/CP000304.1?report=graph&amp;tracks=[key:gene_model_track,Options:GeneOnly]&amp;mk=1003642:1003661|offset_1|00cc00,1003666:1003685|offset_25|444444,1003694:1003713|offset_53|444444,1003721:1003740|offset_80|444444&amp;v=1003441:1003940&amp;c=444444", "offset 1")</f>
        <v>offset 1</v>
      </c>
    </row>
    <row r="3440" customFormat="false" ht="12.8" hidden="false" customHeight="false" outlineLevel="0" collapsed="false">
      <c r="A3440" s="0" t="s">
        <v>12</v>
      </c>
      <c r="B3440" s="0" t="n">
        <v>1003665</v>
      </c>
      <c r="C3440" s="0" t="n">
        <v>1003685</v>
      </c>
      <c r="D3440" s="0" t="s">
        <v>11495</v>
      </c>
      <c r="E3440" s="0" t="s">
        <v>11496</v>
      </c>
      <c r="F3440" s="0" t="s">
        <v>15</v>
      </c>
      <c r="G3440" s="0" t="s">
        <v>36</v>
      </c>
      <c r="H3440" s="0" t="n">
        <v>25</v>
      </c>
      <c r="I3440" s="0" t="s">
        <v>11500</v>
      </c>
      <c r="J3440" s="0" t="s">
        <v>11501</v>
      </c>
      <c r="K3440" s="0" t="s">
        <v>11502</v>
      </c>
      <c r="L3440" s="0" t="str">
        <f aca="false">HYPERLINK("https://www.ncbi.nlm.nih.gov/nuccore/CP000304.1?report=graph&amp;tracks=[key:gene_model_track,Options:GeneOnly]&amp;mk=1003642:1003661|offset_1|444444,1003666:1003685|offset_25|00cc00,1003694:1003713|offset_53|444444,1003721:1003740|offset_80|444444&amp;v=1003441:1003940&amp;c=444444", "offset 25")</f>
        <v>offset 25</v>
      </c>
    </row>
    <row r="3441" customFormat="false" ht="12.8" hidden="false" customHeight="false" outlineLevel="0" collapsed="false">
      <c r="A3441" s="0" t="s">
        <v>12</v>
      </c>
      <c r="B3441" s="0" t="n">
        <v>1003693</v>
      </c>
      <c r="C3441" s="0" t="n">
        <v>1003713</v>
      </c>
      <c r="D3441" s="0" t="s">
        <v>11495</v>
      </c>
      <c r="E3441" s="0" t="s">
        <v>11496</v>
      </c>
      <c r="F3441" s="0" t="s">
        <v>15</v>
      </c>
      <c r="G3441" s="0" t="s">
        <v>26</v>
      </c>
      <c r="H3441" s="0" t="n">
        <v>53</v>
      </c>
      <c r="I3441" s="0" t="s">
        <v>11503</v>
      </c>
      <c r="J3441" s="0" t="s">
        <v>11504</v>
      </c>
      <c r="K3441" s="0" t="s">
        <v>11505</v>
      </c>
      <c r="L3441" s="0" t="str">
        <f aca="false">HYPERLINK("https://www.ncbi.nlm.nih.gov/nuccore/CP000304.1?report=graph&amp;tracks=[key:gene_model_track,Options:GeneOnly]&amp;mk=1003642:1003661|offset_1|444444,1003666:1003685|offset_25|444444,1003694:1003713|offset_53|00cc00,1003721:1003740|offset_80|444444&amp;v=1003441:1003940&amp;c=444444", "offset 53")</f>
        <v>offset 53</v>
      </c>
    </row>
    <row r="3442" customFormat="false" ht="12.8" hidden="false" customHeight="false" outlineLevel="0" collapsed="false">
      <c r="A3442" s="0" t="s">
        <v>12</v>
      </c>
      <c r="B3442" s="0" t="n">
        <v>1003720</v>
      </c>
      <c r="C3442" s="0" t="n">
        <v>1003740</v>
      </c>
      <c r="D3442" s="0" t="s">
        <v>11495</v>
      </c>
      <c r="E3442" s="0" t="s">
        <v>11496</v>
      </c>
      <c r="F3442" s="0" t="s">
        <v>15</v>
      </c>
      <c r="G3442" s="0" t="s">
        <v>32</v>
      </c>
      <c r="H3442" s="0" t="n">
        <v>80</v>
      </c>
      <c r="I3442" s="0" t="s">
        <v>11506</v>
      </c>
      <c r="J3442" s="0" t="s">
        <v>11507</v>
      </c>
      <c r="K3442" s="0" t="s">
        <v>11508</v>
      </c>
      <c r="L3442" s="0" t="str">
        <f aca="false">HYPERLINK("https://www.ncbi.nlm.nih.gov/nuccore/CP000304.1?report=graph&amp;tracks=[key:gene_model_track,Options:GeneOnly]&amp;mk=1003642:1003661|offset_1|444444,1003666:1003685|offset_25|444444,1003694:1003713|offset_53|444444,1003721:1003740|offset_80|00cc00&amp;v=1003441:1003940&amp;c=444444", "offset 80")</f>
        <v>offset 80</v>
      </c>
    </row>
    <row r="3443" customFormat="false" ht="12.8" hidden="false" customHeight="false" outlineLevel="0" collapsed="false">
      <c r="A3443" s="0" t="s">
        <v>12</v>
      </c>
      <c r="B3443" s="0" t="n">
        <v>1004408</v>
      </c>
      <c r="C3443" s="0" t="n">
        <v>1004428</v>
      </c>
      <c r="D3443" s="0" t="s">
        <v>11509</v>
      </c>
      <c r="E3443" s="0" t="s">
        <v>11510</v>
      </c>
      <c r="F3443" s="0" t="s">
        <v>15</v>
      </c>
      <c r="G3443" s="0" t="s">
        <v>26</v>
      </c>
      <c r="H3443" s="0" t="n">
        <v>20</v>
      </c>
      <c r="I3443" s="0" t="s">
        <v>11511</v>
      </c>
      <c r="J3443" s="0" t="s">
        <v>11512</v>
      </c>
      <c r="K3443" s="0" t="s">
        <v>11513</v>
      </c>
      <c r="L3443" s="0" t="str">
        <f aca="false">HYPERLINK("https://www.ncbi.nlm.nih.gov/nuccore/CP000304.1?report=graph&amp;tracks=[key:gene_model_track,Options:GeneOnly]&amp;mk=1004409:1004428|offset_20|00cc00,1004429:1004448|offset_40|444444,1004451:1004470|offset_62|444444,1004478:1004497|offset_89|444444&amp;v=1004208:1004697&amp;c=444444", "offset 20")</f>
        <v>offset 20</v>
      </c>
    </row>
    <row r="3444" customFormat="false" ht="12.8" hidden="false" customHeight="false" outlineLevel="0" collapsed="false">
      <c r="A3444" s="0" t="s">
        <v>12</v>
      </c>
      <c r="B3444" s="0" t="n">
        <v>1004428</v>
      </c>
      <c r="C3444" s="0" t="n">
        <v>1004448</v>
      </c>
      <c r="D3444" s="0" t="s">
        <v>11509</v>
      </c>
      <c r="E3444" s="0" t="s">
        <v>11510</v>
      </c>
      <c r="F3444" s="0" t="s">
        <v>15</v>
      </c>
      <c r="G3444" s="0" t="s">
        <v>26</v>
      </c>
      <c r="H3444" s="0" t="n">
        <v>40</v>
      </c>
      <c r="I3444" s="0" t="s">
        <v>11514</v>
      </c>
      <c r="J3444" s="0" t="s">
        <v>11515</v>
      </c>
      <c r="K3444" s="0" t="s">
        <v>11516</v>
      </c>
      <c r="L3444" s="0" t="str">
        <f aca="false">HYPERLINK("https://www.ncbi.nlm.nih.gov/nuccore/CP000304.1?report=graph&amp;tracks=[key:gene_model_track,Options:GeneOnly]&amp;mk=1004409:1004428|offset_20|444444,1004429:1004448|offset_40|00cc00,1004451:1004470|offset_62|444444,1004478:1004497|offset_89|444444&amp;v=1004208:1004697&amp;c=444444", "offset 40")</f>
        <v>offset 40</v>
      </c>
    </row>
    <row r="3445" customFormat="false" ht="12.8" hidden="false" customHeight="false" outlineLevel="0" collapsed="false">
      <c r="A3445" s="0" t="s">
        <v>12</v>
      </c>
      <c r="B3445" s="0" t="n">
        <v>1004450</v>
      </c>
      <c r="C3445" s="0" t="n">
        <v>1004470</v>
      </c>
      <c r="D3445" s="0" t="s">
        <v>11509</v>
      </c>
      <c r="E3445" s="0" t="s">
        <v>11510</v>
      </c>
      <c r="F3445" s="0" t="s">
        <v>15</v>
      </c>
      <c r="G3445" s="0" t="s">
        <v>26</v>
      </c>
      <c r="H3445" s="0" t="n">
        <v>62</v>
      </c>
      <c r="I3445" s="0" t="s">
        <v>11517</v>
      </c>
      <c r="J3445" s="0" t="s">
        <v>11518</v>
      </c>
      <c r="K3445" s="0" t="s">
        <v>11519</v>
      </c>
      <c r="L3445" s="0" t="str">
        <f aca="false">HYPERLINK("https://www.ncbi.nlm.nih.gov/nuccore/CP000304.1?report=graph&amp;tracks=[key:gene_model_track,Options:GeneOnly]&amp;mk=1004409:1004428|offset_20|444444,1004429:1004448|offset_40|444444,1004451:1004470|offset_62|00cc00,1004478:1004497|offset_89|444444&amp;v=1004208:1004697&amp;c=444444", "offset 62")</f>
        <v>offset 62</v>
      </c>
    </row>
    <row r="3446" customFormat="false" ht="12.8" hidden="false" customHeight="false" outlineLevel="0" collapsed="false">
      <c r="A3446" s="0" t="s">
        <v>12</v>
      </c>
      <c r="B3446" s="0" t="n">
        <v>1004477</v>
      </c>
      <c r="C3446" s="0" t="n">
        <v>1004497</v>
      </c>
      <c r="D3446" s="0" t="s">
        <v>11509</v>
      </c>
      <c r="E3446" s="0" t="s">
        <v>11510</v>
      </c>
      <c r="F3446" s="0" t="s">
        <v>15</v>
      </c>
      <c r="G3446" s="0" t="s">
        <v>26</v>
      </c>
      <c r="H3446" s="0" t="n">
        <v>89</v>
      </c>
      <c r="I3446" s="0" t="s">
        <v>11520</v>
      </c>
      <c r="J3446" s="0" t="s">
        <v>11521</v>
      </c>
      <c r="K3446" s="0" t="s">
        <v>11522</v>
      </c>
      <c r="L3446" s="0" t="str">
        <f aca="false">HYPERLINK("https://www.ncbi.nlm.nih.gov/nuccore/CP000304.1?report=graph&amp;tracks=[key:gene_model_track,Options:GeneOnly]&amp;mk=1004409:1004428|offset_20|444444,1004429:1004448|offset_40|444444,1004451:1004470|offset_62|444444,1004478:1004497|offset_89|00cc00&amp;v=1004208:1004697&amp;c=444444", "offset 89")</f>
        <v>offset 89</v>
      </c>
    </row>
    <row r="3447" customFormat="false" ht="12.8" hidden="false" customHeight="false" outlineLevel="0" collapsed="false">
      <c r="A3447" s="0" t="s">
        <v>12</v>
      </c>
      <c r="B3447" s="0" t="n">
        <v>1005183</v>
      </c>
      <c r="C3447" s="0" t="n">
        <v>1005203</v>
      </c>
      <c r="D3447" s="0" t="s">
        <v>11523</v>
      </c>
      <c r="E3447" s="0" t="s">
        <v>89</v>
      </c>
      <c r="F3447" s="0" t="s">
        <v>15</v>
      </c>
      <c r="G3447" s="0" t="s">
        <v>36</v>
      </c>
      <c r="H3447" s="0" t="n">
        <v>0</v>
      </c>
      <c r="I3447" s="0" t="s">
        <v>11524</v>
      </c>
      <c r="J3447" s="0" t="s">
        <v>11525</v>
      </c>
      <c r="K3447" s="0" t="s">
        <v>11526</v>
      </c>
      <c r="L3447" s="0" t="str">
        <f aca="false">HYPERLINK("https://www.ncbi.nlm.nih.gov/nuccore/CP000304.1?report=graph&amp;tracks=[key:gene_model_track,Options:GeneOnly]&amp;mk=1005184:1005203|offset_0|00cc00,1005213:1005232|offset_29|444444,1005317:1005336|offset_133|444444,1005337:1005356|offset_153|444444&amp;v=1004983:1005556&amp;c=444444", "offset 0")</f>
        <v>offset 0</v>
      </c>
    </row>
    <row r="3448" customFormat="false" ht="12.8" hidden="false" customHeight="false" outlineLevel="0" collapsed="false">
      <c r="A3448" s="0" t="s">
        <v>12</v>
      </c>
      <c r="B3448" s="0" t="n">
        <v>1005212</v>
      </c>
      <c r="C3448" s="0" t="n">
        <v>1005232</v>
      </c>
      <c r="D3448" s="0" t="s">
        <v>11523</v>
      </c>
      <c r="E3448" s="0" t="s">
        <v>89</v>
      </c>
      <c r="F3448" s="0" t="s">
        <v>15</v>
      </c>
      <c r="G3448" s="0" t="s">
        <v>16</v>
      </c>
      <c r="H3448" s="0" t="n">
        <v>29</v>
      </c>
      <c r="I3448" s="0" t="s">
        <v>11527</v>
      </c>
      <c r="J3448" s="0" t="s">
        <v>11528</v>
      </c>
      <c r="K3448" s="0" t="s">
        <v>11529</v>
      </c>
      <c r="L3448" s="0" t="str">
        <f aca="false">HYPERLINK("https://www.ncbi.nlm.nih.gov/nuccore/CP000304.1?report=graph&amp;tracks=[key:gene_model_track,Options:GeneOnly]&amp;mk=1005184:1005203|offset_0|444444,1005213:1005232|offset_29|00cc00,1005317:1005336|offset_133|444444,1005337:1005356|offset_153|444444&amp;v=1004983:1005556&amp;c=444444", "offset 29")</f>
        <v>offset 29</v>
      </c>
    </row>
    <row r="3449" customFormat="false" ht="12.8" hidden="false" customHeight="false" outlineLevel="0" collapsed="false">
      <c r="A3449" s="0" t="s">
        <v>12</v>
      </c>
      <c r="B3449" s="0" t="n">
        <v>1005316</v>
      </c>
      <c r="C3449" s="0" t="n">
        <v>1005336</v>
      </c>
      <c r="D3449" s="0" t="s">
        <v>11523</v>
      </c>
      <c r="E3449" s="0" t="s">
        <v>89</v>
      </c>
      <c r="F3449" s="0" t="s">
        <v>15</v>
      </c>
      <c r="G3449" s="0" t="s">
        <v>36</v>
      </c>
      <c r="H3449" s="0" t="n">
        <v>133</v>
      </c>
      <c r="I3449" s="0" t="s">
        <v>11530</v>
      </c>
      <c r="J3449" s="0" t="s">
        <v>11531</v>
      </c>
      <c r="K3449" s="0" t="s">
        <v>11532</v>
      </c>
      <c r="L3449" s="0" t="str">
        <f aca="false">HYPERLINK("https://www.ncbi.nlm.nih.gov/nuccore/CP000304.1?report=graph&amp;tracks=[key:gene_model_track,Options:GeneOnly]&amp;mk=1005184:1005203|offset_0|444444,1005213:1005232|offset_29|444444,1005317:1005336|offset_133|00cc00,1005337:1005356|offset_153|444444&amp;v=1004983:1005556&amp;c=444444", "offset 133")</f>
        <v>offset 133</v>
      </c>
    </row>
    <row r="3450" customFormat="false" ht="12.8" hidden="false" customHeight="false" outlineLevel="0" collapsed="false">
      <c r="A3450" s="0" t="s">
        <v>12</v>
      </c>
      <c r="B3450" s="0" t="n">
        <v>1005336</v>
      </c>
      <c r="C3450" s="0" t="n">
        <v>1005356</v>
      </c>
      <c r="D3450" s="0" t="s">
        <v>11523</v>
      </c>
      <c r="E3450" s="0" t="s">
        <v>89</v>
      </c>
      <c r="F3450" s="0" t="s">
        <v>15</v>
      </c>
      <c r="G3450" s="0" t="s">
        <v>16</v>
      </c>
      <c r="H3450" s="0" t="n">
        <v>153</v>
      </c>
      <c r="I3450" s="0" t="s">
        <v>11533</v>
      </c>
      <c r="J3450" s="0" t="s">
        <v>11534</v>
      </c>
      <c r="K3450" s="0" t="s">
        <v>11535</v>
      </c>
      <c r="L3450" s="0" t="str">
        <f aca="false">HYPERLINK("https://www.ncbi.nlm.nih.gov/nuccore/CP000304.1?report=graph&amp;tracks=[key:gene_model_track,Options:GeneOnly]&amp;mk=1005184:1005203|offset_0|444444,1005213:1005232|offset_29|444444,1005317:1005336|offset_133|444444,1005337:1005356|offset_153|00cc00&amp;v=1004983:1005556&amp;c=444444", "offset 153")</f>
        <v>offset 153</v>
      </c>
    </row>
    <row r="3451" customFormat="false" ht="12.8" hidden="false" customHeight="false" outlineLevel="0" collapsed="false">
      <c r="A3451" s="0" t="s">
        <v>12</v>
      </c>
      <c r="B3451" s="0" t="n">
        <v>1006349</v>
      </c>
      <c r="C3451" s="0" t="n">
        <v>1006369</v>
      </c>
      <c r="D3451" s="0" t="s">
        <v>11536</v>
      </c>
      <c r="E3451" s="0" t="s">
        <v>11537</v>
      </c>
      <c r="F3451" s="0" t="s">
        <v>15</v>
      </c>
      <c r="G3451" s="0" t="s">
        <v>36</v>
      </c>
      <c r="H3451" s="0" t="n">
        <v>22</v>
      </c>
      <c r="I3451" s="0" t="s">
        <v>11538</v>
      </c>
      <c r="J3451" s="0" t="s">
        <v>11539</v>
      </c>
      <c r="K3451" s="0" t="s">
        <v>11540</v>
      </c>
      <c r="L3451" s="0" t="str">
        <f aca="false">HYPERLINK("https://www.ncbi.nlm.nih.gov/nuccore/CP000304.1?report=graph&amp;tracks=[key:gene_model_track,Options:GeneOnly]&amp;mk=1006350:1006369|offset_22|00cc00,1006372:1006391|offset_44|444444,1006393:1006412|offset_65|444444,1006425:1006444|offset_97|444444&amp;v=1006149:1006644&amp;c=444444", "offset 22")</f>
        <v>offset 22</v>
      </c>
    </row>
    <row r="3452" customFormat="false" ht="12.8" hidden="false" customHeight="false" outlineLevel="0" collapsed="false">
      <c r="A3452" s="0" t="s">
        <v>12</v>
      </c>
      <c r="B3452" s="0" t="n">
        <v>1006371</v>
      </c>
      <c r="C3452" s="0" t="n">
        <v>1006391</v>
      </c>
      <c r="D3452" s="0" t="s">
        <v>11536</v>
      </c>
      <c r="E3452" s="0" t="s">
        <v>11537</v>
      </c>
      <c r="F3452" s="0" t="s">
        <v>15</v>
      </c>
      <c r="G3452" s="0" t="s">
        <v>26</v>
      </c>
      <c r="H3452" s="0" t="n">
        <v>44</v>
      </c>
      <c r="I3452" s="0" t="s">
        <v>11541</v>
      </c>
      <c r="J3452" s="0" t="s">
        <v>11542</v>
      </c>
      <c r="K3452" s="0" t="s">
        <v>11543</v>
      </c>
      <c r="L3452" s="0" t="str">
        <f aca="false">HYPERLINK("https://www.ncbi.nlm.nih.gov/nuccore/CP000304.1?report=graph&amp;tracks=[key:gene_model_track,Options:GeneOnly]&amp;mk=1006350:1006369|offset_22|444444,1006372:1006391|offset_44|00cc00,1006393:1006412|offset_65|444444,1006425:1006444|offset_97|444444&amp;v=1006149:1006644&amp;c=444444", "offset 44")</f>
        <v>offset 44</v>
      </c>
    </row>
    <row r="3453" customFormat="false" ht="12.8" hidden="false" customHeight="false" outlineLevel="0" collapsed="false">
      <c r="A3453" s="0" t="s">
        <v>12</v>
      </c>
      <c r="B3453" s="0" t="n">
        <v>1006392</v>
      </c>
      <c r="C3453" s="0" t="n">
        <v>1006412</v>
      </c>
      <c r="D3453" s="0" t="s">
        <v>11536</v>
      </c>
      <c r="E3453" s="0" t="s">
        <v>11537</v>
      </c>
      <c r="F3453" s="0" t="s">
        <v>15</v>
      </c>
      <c r="G3453" s="0" t="s">
        <v>16</v>
      </c>
      <c r="H3453" s="0" t="n">
        <v>65</v>
      </c>
      <c r="I3453" s="0" t="s">
        <v>11544</v>
      </c>
      <c r="J3453" s="0" t="s">
        <v>11545</v>
      </c>
      <c r="K3453" s="0" t="s">
        <v>11546</v>
      </c>
      <c r="L3453" s="0" t="str">
        <f aca="false">HYPERLINK("https://www.ncbi.nlm.nih.gov/nuccore/CP000304.1?report=graph&amp;tracks=[key:gene_model_track,Options:GeneOnly]&amp;mk=1006350:1006369|offset_22|444444,1006372:1006391|offset_44|444444,1006393:1006412|offset_65|00cc00,1006425:1006444|offset_97|444444&amp;v=1006149:1006644&amp;c=444444", "offset 65")</f>
        <v>offset 65</v>
      </c>
    </row>
    <row r="3454" customFormat="false" ht="12.8" hidden="false" customHeight="false" outlineLevel="0" collapsed="false">
      <c r="A3454" s="0" t="s">
        <v>12</v>
      </c>
      <c r="B3454" s="0" t="n">
        <v>1006424</v>
      </c>
      <c r="C3454" s="0" t="n">
        <v>1006444</v>
      </c>
      <c r="D3454" s="0" t="s">
        <v>11536</v>
      </c>
      <c r="E3454" s="0" t="s">
        <v>11537</v>
      </c>
      <c r="F3454" s="0" t="s">
        <v>15</v>
      </c>
      <c r="G3454" s="0" t="s">
        <v>16</v>
      </c>
      <c r="H3454" s="0" t="n">
        <v>97</v>
      </c>
      <c r="I3454" s="0" t="s">
        <v>11547</v>
      </c>
      <c r="J3454" s="0" t="s">
        <v>11548</v>
      </c>
      <c r="K3454" s="0" t="s">
        <v>11549</v>
      </c>
      <c r="L3454" s="0" t="str">
        <f aca="false">HYPERLINK("https://www.ncbi.nlm.nih.gov/nuccore/CP000304.1?report=graph&amp;tracks=[key:gene_model_track,Options:GeneOnly]&amp;mk=1006350:1006369|offset_22|444444,1006372:1006391|offset_44|444444,1006393:1006412|offset_65|444444,1006425:1006444|offset_97|00cc00&amp;v=1006149:1006644&amp;c=444444", "offset 97")</f>
        <v>offset 97</v>
      </c>
    </row>
    <row r="3455" customFormat="false" ht="12.8" hidden="false" customHeight="false" outlineLevel="0" collapsed="false">
      <c r="A3455" s="0" t="s">
        <v>12</v>
      </c>
      <c r="B3455" s="0" t="n">
        <v>1007558</v>
      </c>
      <c r="C3455" s="0" t="n">
        <v>1007578</v>
      </c>
      <c r="D3455" s="0" t="s">
        <v>11550</v>
      </c>
      <c r="E3455" s="0" t="s">
        <v>11551</v>
      </c>
      <c r="F3455" s="0" t="s">
        <v>15</v>
      </c>
      <c r="G3455" s="0" t="s">
        <v>32</v>
      </c>
      <c r="H3455" s="0" t="n">
        <v>1</v>
      </c>
      <c r="I3455" s="0" t="s">
        <v>11552</v>
      </c>
      <c r="J3455" s="0" t="s">
        <v>11553</v>
      </c>
      <c r="K3455" s="0" t="s">
        <v>11554</v>
      </c>
      <c r="L3455" s="0" t="str">
        <f aca="false">HYPERLINK("https://www.ncbi.nlm.nih.gov/nuccore/CP000304.1?report=graph&amp;tracks=[key:gene_model_track,Options:GeneOnly]&amp;mk=1007559:1007578|offset_1|00cc00,1007580:1007599|offset_22|444444,1007604:1007623|offset_46|444444,1007625:1007644|offset_67|444444&amp;v=1007358:1007844&amp;c=444444", "offset 1")</f>
        <v>offset 1</v>
      </c>
    </row>
    <row r="3456" customFormat="false" ht="12.8" hidden="false" customHeight="false" outlineLevel="0" collapsed="false">
      <c r="A3456" s="0" t="s">
        <v>12</v>
      </c>
      <c r="B3456" s="0" t="n">
        <v>1007579</v>
      </c>
      <c r="C3456" s="0" t="n">
        <v>1007599</v>
      </c>
      <c r="D3456" s="0" t="s">
        <v>11550</v>
      </c>
      <c r="E3456" s="0" t="s">
        <v>11551</v>
      </c>
      <c r="F3456" s="0" t="s">
        <v>15</v>
      </c>
      <c r="G3456" s="0" t="s">
        <v>16</v>
      </c>
      <c r="H3456" s="0" t="n">
        <v>22</v>
      </c>
      <c r="I3456" s="0" t="s">
        <v>11555</v>
      </c>
      <c r="J3456" s="0" t="s">
        <v>11556</v>
      </c>
      <c r="K3456" s="0" t="s">
        <v>11557</v>
      </c>
      <c r="L3456" s="0" t="str">
        <f aca="false">HYPERLINK("https://www.ncbi.nlm.nih.gov/nuccore/CP000304.1?report=graph&amp;tracks=[key:gene_model_track,Options:GeneOnly]&amp;mk=1007559:1007578|offset_1|444444,1007580:1007599|offset_22|00cc00,1007604:1007623|offset_46|444444,1007625:1007644|offset_67|444444&amp;v=1007358:1007844&amp;c=444444", "offset 22")</f>
        <v>offset 22</v>
      </c>
    </row>
    <row r="3457" customFormat="false" ht="12.8" hidden="false" customHeight="false" outlineLevel="0" collapsed="false">
      <c r="A3457" s="0" t="s">
        <v>12</v>
      </c>
      <c r="B3457" s="0" t="n">
        <v>1007603</v>
      </c>
      <c r="C3457" s="0" t="n">
        <v>1007623</v>
      </c>
      <c r="D3457" s="0" t="s">
        <v>11550</v>
      </c>
      <c r="E3457" s="0" t="s">
        <v>11551</v>
      </c>
      <c r="F3457" s="0" t="s">
        <v>15</v>
      </c>
      <c r="G3457" s="0" t="s">
        <v>16</v>
      </c>
      <c r="H3457" s="0" t="n">
        <v>46</v>
      </c>
      <c r="I3457" s="0" t="s">
        <v>11558</v>
      </c>
      <c r="J3457" s="0" t="s">
        <v>11559</v>
      </c>
      <c r="K3457" s="0" t="s">
        <v>11560</v>
      </c>
      <c r="L3457" s="0" t="str">
        <f aca="false">HYPERLINK("https://www.ncbi.nlm.nih.gov/nuccore/CP000304.1?report=graph&amp;tracks=[key:gene_model_track,Options:GeneOnly]&amp;mk=1007559:1007578|offset_1|444444,1007580:1007599|offset_22|444444,1007604:1007623|offset_46|00cc00,1007625:1007644|offset_67|444444&amp;v=1007358:1007844&amp;c=444444", "offset 46")</f>
        <v>offset 46</v>
      </c>
    </row>
    <row r="3458" customFormat="false" ht="12.8" hidden="false" customHeight="false" outlineLevel="0" collapsed="false">
      <c r="A3458" s="0" t="s">
        <v>12</v>
      </c>
      <c r="B3458" s="0" t="n">
        <v>1007624</v>
      </c>
      <c r="C3458" s="0" t="n">
        <v>1007644</v>
      </c>
      <c r="D3458" s="0" t="s">
        <v>11550</v>
      </c>
      <c r="E3458" s="0" t="s">
        <v>11551</v>
      </c>
      <c r="F3458" s="0" t="s">
        <v>15</v>
      </c>
      <c r="G3458" s="0" t="s">
        <v>36</v>
      </c>
      <c r="H3458" s="0" t="n">
        <v>67</v>
      </c>
      <c r="I3458" s="0" t="s">
        <v>11561</v>
      </c>
      <c r="J3458" s="0" t="s">
        <v>11562</v>
      </c>
      <c r="K3458" s="0" t="s">
        <v>11563</v>
      </c>
      <c r="L3458" s="0" t="str">
        <f aca="false">HYPERLINK("https://www.ncbi.nlm.nih.gov/nuccore/CP000304.1?report=graph&amp;tracks=[key:gene_model_track,Options:GeneOnly]&amp;mk=1007559:1007578|offset_1|444444,1007580:1007599|offset_22|444444,1007604:1007623|offset_46|444444,1007625:1007644|offset_67|00cc00&amp;v=1007358:1007844&amp;c=444444", "offset 67")</f>
        <v>offset 67</v>
      </c>
    </row>
    <row r="3459" customFormat="false" ht="12.8" hidden="false" customHeight="false" outlineLevel="0" collapsed="false">
      <c r="A3459" s="0" t="s">
        <v>12</v>
      </c>
      <c r="B3459" s="0" t="n">
        <v>1008124</v>
      </c>
      <c r="C3459" s="0" t="n">
        <v>1008144</v>
      </c>
      <c r="D3459" s="0" t="s">
        <v>11564</v>
      </c>
      <c r="E3459" s="0" t="s">
        <v>11565</v>
      </c>
      <c r="F3459" s="0" t="s">
        <v>15</v>
      </c>
      <c r="G3459" s="0" t="s">
        <v>16</v>
      </c>
      <c r="H3459" s="0" t="n">
        <v>25</v>
      </c>
      <c r="I3459" s="0" t="s">
        <v>11566</v>
      </c>
      <c r="J3459" s="0" t="s">
        <v>11567</v>
      </c>
      <c r="K3459" s="0" t="s">
        <v>11568</v>
      </c>
      <c r="L3459" s="0" t="str">
        <f aca="false">HYPERLINK("https://www.ncbi.nlm.nih.gov/nuccore/CP000304.1?report=graph&amp;tracks=[key:gene_model_track,Options:GeneOnly]&amp;mk=1008125:1008144|offset_25|00cc00,1008178:1008197|offset_78|444444,1008218:1008237|offset_118|444444,1008241:1008260|offset_141|444444&amp;v=1007924:1008460&amp;c=444444", "offset 25")</f>
        <v>offset 25</v>
      </c>
    </row>
    <row r="3460" customFormat="false" ht="12.8" hidden="false" customHeight="false" outlineLevel="0" collapsed="false">
      <c r="A3460" s="0" t="s">
        <v>12</v>
      </c>
      <c r="B3460" s="0" t="n">
        <v>1008177</v>
      </c>
      <c r="C3460" s="0" t="n">
        <v>1008197</v>
      </c>
      <c r="D3460" s="0" t="s">
        <v>11564</v>
      </c>
      <c r="E3460" s="0" t="s">
        <v>11565</v>
      </c>
      <c r="F3460" s="0" t="s">
        <v>15</v>
      </c>
      <c r="G3460" s="0" t="s">
        <v>16</v>
      </c>
      <c r="H3460" s="0" t="n">
        <v>78</v>
      </c>
      <c r="I3460" s="0" t="s">
        <v>11569</v>
      </c>
      <c r="J3460" s="0" t="s">
        <v>11570</v>
      </c>
      <c r="K3460" s="0" t="s">
        <v>11571</v>
      </c>
      <c r="L3460" s="0" t="str">
        <f aca="false">HYPERLINK("https://www.ncbi.nlm.nih.gov/nuccore/CP000304.1?report=graph&amp;tracks=[key:gene_model_track,Options:GeneOnly]&amp;mk=1008125:1008144|offset_25|444444,1008178:1008197|offset_78|00cc00,1008218:1008237|offset_118|444444,1008241:1008260|offset_141|444444&amp;v=1007924:1008460&amp;c=444444", "offset 78")</f>
        <v>offset 78</v>
      </c>
    </row>
    <row r="3461" customFormat="false" ht="12.8" hidden="false" customHeight="false" outlineLevel="0" collapsed="false">
      <c r="A3461" s="0" t="s">
        <v>12</v>
      </c>
      <c r="B3461" s="0" t="n">
        <v>1008217</v>
      </c>
      <c r="C3461" s="0" t="n">
        <v>1008237</v>
      </c>
      <c r="D3461" s="0" t="s">
        <v>11564</v>
      </c>
      <c r="E3461" s="0" t="s">
        <v>11565</v>
      </c>
      <c r="F3461" s="0" t="s">
        <v>15</v>
      </c>
      <c r="G3461" s="0" t="s">
        <v>36</v>
      </c>
      <c r="H3461" s="0" t="n">
        <v>118</v>
      </c>
      <c r="I3461" s="0" t="s">
        <v>11572</v>
      </c>
      <c r="J3461" s="0" t="s">
        <v>11573</v>
      </c>
      <c r="K3461" s="0" t="s">
        <v>11574</v>
      </c>
      <c r="L3461" s="0" t="str">
        <f aca="false">HYPERLINK("https://www.ncbi.nlm.nih.gov/nuccore/CP000304.1?report=graph&amp;tracks=[key:gene_model_track,Options:GeneOnly]&amp;mk=1008125:1008144|offset_25|444444,1008178:1008197|offset_78|444444,1008218:1008237|offset_118|00cc00,1008241:1008260|offset_141|444444&amp;v=1007924:1008460&amp;c=444444", "offset 118")</f>
        <v>offset 118</v>
      </c>
    </row>
    <row r="3462" customFormat="false" ht="12.8" hidden="false" customHeight="false" outlineLevel="0" collapsed="false">
      <c r="A3462" s="0" t="s">
        <v>12</v>
      </c>
      <c r="B3462" s="0" t="n">
        <v>1008240</v>
      </c>
      <c r="C3462" s="0" t="n">
        <v>1008260</v>
      </c>
      <c r="D3462" s="0" t="s">
        <v>11564</v>
      </c>
      <c r="E3462" s="0" t="s">
        <v>11565</v>
      </c>
      <c r="F3462" s="0" t="s">
        <v>15</v>
      </c>
      <c r="G3462" s="0" t="s">
        <v>16</v>
      </c>
      <c r="H3462" s="0" t="n">
        <v>141</v>
      </c>
      <c r="I3462" s="0" t="s">
        <v>11575</v>
      </c>
      <c r="J3462" s="0" t="s">
        <v>11576</v>
      </c>
      <c r="K3462" s="0" t="s">
        <v>11577</v>
      </c>
      <c r="L3462" s="0" t="str">
        <f aca="false">HYPERLINK("https://www.ncbi.nlm.nih.gov/nuccore/CP000304.1?report=graph&amp;tracks=[key:gene_model_track,Options:GeneOnly]&amp;mk=1008125:1008144|offset_25|444444,1008178:1008197|offset_78|444444,1008218:1008237|offset_118|444444,1008241:1008260|offset_141|00cc00&amp;v=1007924:1008460&amp;c=444444", "offset 141")</f>
        <v>offset 141</v>
      </c>
    </row>
    <row r="3463" customFormat="false" ht="12.8" hidden="false" customHeight="false" outlineLevel="0" collapsed="false">
      <c r="A3463" s="0" t="s">
        <v>12</v>
      </c>
      <c r="B3463" s="0" t="n">
        <v>1009905</v>
      </c>
      <c r="C3463" s="0" t="n">
        <v>1009925</v>
      </c>
      <c r="D3463" s="0" t="s">
        <v>11578</v>
      </c>
      <c r="E3463" s="0" t="s">
        <v>89</v>
      </c>
      <c r="F3463" s="0" t="s">
        <v>90</v>
      </c>
      <c r="G3463" s="0" t="s">
        <v>32</v>
      </c>
      <c r="H3463" s="0" t="n">
        <v>13</v>
      </c>
      <c r="I3463" s="0" t="s">
        <v>11579</v>
      </c>
      <c r="J3463" s="0" t="s">
        <v>11580</v>
      </c>
      <c r="K3463" s="0" t="s">
        <v>11581</v>
      </c>
      <c r="L3463" s="0" t="str">
        <f aca="false">HYPERLINK("https://www.ncbi.nlm.nih.gov/nuccore/CP000304.1?report=graph&amp;tracks=[key:gene_model_track,Options:GeneOnly]&amp;mk=1009906:1009925|offset_13|00cc00,1009870:1009889|offset_49|444444,1009840:1009859|offset_79|444444,1009801:1009820|offset_118|444444&amp;v=1009705:1010020&amp;c=444444", "offset 13")</f>
        <v>offset 13</v>
      </c>
    </row>
    <row r="3464" customFormat="false" ht="12.8" hidden="false" customHeight="false" outlineLevel="0" collapsed="false">
      <c r="A3464" s="0" t="s">
        <v>12</v>
      </c>
      <c r="B3464" s="0" t="n">
        <v>1009869</v>
      </c>
      <c r="C3464" s="0" t="n">
        <v>1009889</v>
      </c>
      <c r="D3464" s="0" t="s">
        <v>11578</v>
      </c>
      <c r="E3464" s="0" t="s">
        <v>89</v>
      </c>
      <c r="F3464" s="0" t="s">
        <v>90</v>
      </c>
      <c r="G3464" s="0" t="s">
        <v>36</v>
      </c>
      <c r="H3464" s="0" t="n">
        <v>49</v>
      </c>
      <c r="I3464" s="0" t="s">
        <v>11582</v>
      </c>
      <c r="J3464" s="0" t="s">
        <v>11583</v>
      </c>
      <c r="K3464" s="0" t="s">
        <v>11584</v>
      </c>
      <c r="L3464" s="0" t="str">
        <f aca="false">HYPERLINK("https://www.ncbi.nlm.nih.gov/nuccore/CP000304.1?report=graph&amp;tracks=[key:gene_model_track,Options:GeneOnly]&amp;mk=1009906:1009925|offset_13|444444,1009870:1009889|offset_49|00cc00,1009840:1009859|offset_79|444444,1009801:1009820|offset_118|444444&amp;v=1009705:1010020&amp;c=444444", "offset 49")</f>
        <v>offset 49</v>
      </c>
    </row>
    <row r="3465" customFormat="false" ht="12.8" hidden="false" customHeight="false" outlineLevel="0" collapsed="false">
      <c r="A3465" s="0" t="s">
        <v>12</v>
      </c>
      <c r="B3465" s="0" t="n">
        <v>1009839</v>
      </c>
      <c r="C3465" s="0" t="n">
        <v>1009859</v>
      </c>
      <c r="D3465" s="0" t="s">
        <v>11578</v>
      </c>
      <c r="E3465" s="0" t="s">
        <v>89</v>
      </c>
      <c r="F3465" s="0" t="s">
        <v>90</v>
      </c>
      <c r="G3465" s="0" t="s">
        <v>16</v>
      </c>
      <c r="H3465" s="0" t="n">
        <v>79</v>
      </c>
      <c r="I3465" s="0" t="s">
        <v>11585</v>
      </c>
      <c r="J3465" s="0" t="s">
        <v>11586</v>
      </c>
      <c r="K3465" s="0" t="s">
        <v>11587</v>
      </c>
      <c r="L3465" s="0" t="str">
        <f aca="false">HYPERLINK("https://www.ncbi.nlm.nih.gov/nuccore/CP000304.1?report=graph&amp;tracks=[key:gene_model_track,Options:GeneOnly]&amp;mk=1009906:1009925|offset_13|444444,1009870:1009889|offset_49|444444,1009840:1009859|offset_79|00cc00,1009801:1009820|offset_118|444444&amp;v=1009705:1010020&amp;c=444444", "offset 79")</f>
        <v>offset 79</v>
      </c>
    </row>
    <row r="3466" customFormat="false" ht="12.8" hidden="false" customHeight="false" outlineLevel="0" collapsed="false">
      <c r="A3466" s="0" t="s">
        <v>12</v>
      </c>
      <c r="B3466" s="0" t="n">
        <v>1009800</v>
      </c>
      <c r="C3466" s="0" t="n">
        <v>1009820</v>
      </c>
      <c r="D3466" s="0" t="s">
        <v>11578</v>
      </c>
      <c r="E3466" s="0" t="s">
        <v>89</v>
      </c>
      <c r="F3466" s="0" t="s">
        <v>90</v>
      </c>
      <c r="G3466" s="0" t="s">
        <v>32</v>
      </c>
      <c r="H3466" s="0" t="n">
        <v>118</v>
      </c>
      <c r="I3466" s="0" t="s">
        <v>11588</v>
      </c>
      <c r="J3466" s="0" t="s">
        <v>11589</v>
      </c>
      <c r="K3466" s="0" t="s">
        <v>11590</v>
      </c>
      <c r="L3466" s="0" t="str">
        <f aca="false">HYPERLINK("https://www.ncbi.nlm.nih.gov/nuccore/CP000304.1?report=graph&amp;tracks=[key:gene_model_track,Options:GeneOnly]&amp;mk=1009906:1009925|offset_13|444444,1009870:1009889|offset_49|444444,1009840:1009859|offset_79|444444,1009801:1009820|offset_118|00cc00&amp;v=1009705:1010020&amp;c=444444", "offset 118")</f>
        <v>offset 118</v>
      </c>
    </row>
    <row r="3467" customFormat="false" ht="12.8" hidden="false" customHeight="false" outlineLevel="0" collapsed="false">
      <c r="A3467" s="0" t="s">
        <v>12</v>
      </c>
      <c r="B3467" s="0" t="n">
        <v>1011429</v>
      </c>
      <c r="C3467" s="0" t="n">
        <v>1011449</v>
      </c>
      <c r="D3467" s="0" t="s">
        <v>11591</v>
      </c>
      <c r="E3467" s="0" t="s">
        <v>89</v>
      </c>
      <c r="F3467" s="0" t="s">
        <v>90</v>
      </c>
      <c r="G3467" s="0" t="s">
        <v>16</v>
      </c>
      <c r="H3467" s="0" t="n">
        <v>20</v>
      </c>
      <c r="I3467" s="0" t="s">
        <v>11592</v>
      </c>
      <c r="J3467" s="0" t="s">
        <v>11593</v>
      </c>
      <c r="K3467" s="0" t="s">
        <v>11594</v>
      </c>
      <c r="L3467" s="0" t="str">
        <f aca="false">HYPERLINK("https://www.ncbi.nlm.nih.gov/nuccore/CP000304.1?report=graph&amp;tracks=[key:gene_model_track,Options:GeneOnly]&amp;mk=1011430:1011449|offset_20|00cc00,1011398:1011417|offset_52|444444,1011371:1011390|offset_79|444444,1011346:1011365|offset_104|444444&amp;v=1011229:1011565&amp;c=444444", "offset 20")</f>
        <v>offset 20</v>
      </c>
    </row>
    <row r="3468" customFormat="false" ht="12.8" hidden="false" customHeight="false" outlineLevel="0" collapsed="false">
      <c r="A3468" s="0" t="s">
        <v>12</v>
      </c>
      <c r="B3468" s="0" t="n">
        <v>1011397</v>
      </c>
      <c r="C3468" s="0" t="n">
        <v>1011417</v>
      </c>
      <c r="D3468" s="0" t="s">
        <v>11591</v>
      </c>
      <c r="E3468" s="0" t="s">
        <v>89</v>
      </c>
      <c r="F3468" s="0" t="s">
        <v>90</v>
      </c>
      <c r="G3468" s="0" t="s">
        <v>36</v>
      </c>
      <c r="H3468" s="0" t="n">
        <v>52</v>
      </c>
      <c r="I3468" s="0" t="s">
        <v>11595</v>
      </c>
      <c r="J3468" s="0" t="s">
        <v>11596</v>
      </c>
      <c r="K3468" s="0" t="s">
        <v>11597</v>
      </c>
      <c r="L3468" s="0" t="str">
        <f aca="false">HYPERLINK("https://www.ncbi.nlm.nih.gov/nuccore/CP000304.1?report=graph&amp;tracks=[key:gene_model_track,Options:GeneOnly]&amp;mk=1011430:1011449|offset_20|444444,1011398:1011417|offset_52|00cc00,1011371:1011390|offset_79|444444,1011346:1011365|offset_104|444444&amp;v=1011229:1011565&amp;c=444444", "offset 52")</f>
        <v>offset 52</v>
      </c>
    </row>
    <row r="3469" customFormat="false" ht="12.8" hidden="false" customHeight="false" outlineLevel="0" collapsed="false">
      <c r="A3469" s="0" t="s">
        <v>12</v>
      </c>
      <c r="B3469" s="0" t="n">
        <v>1011370</v>
      </c>
      <c r="C3469" s="0" t="n">
        <v>1011390</v>
      </c>
      <c r="D3469" s="0" t="s">
        <v>11591</v>
      </c>
      <c r="E3469" s="0" t="s">
        <v>89</v>
      </c>
      <c r="F3469" s="0" t="s">
        <v>90</v>
      </c>
      <c r="G3469" s="0" t="s">
        <v>26</v>
      </c>
      <c r="H3469" s="0" t="n">
        <v>79</v>
      </c>
      <c r="I3469" s="0" t="s">
        <v>11598</v>
      </c>
      <c r="J3469" s="0" t="s">
        <v>11599</v>
      </c>
      <c r="K3469" s="0" t="s">
        <v>11600</v>
      </c>
      <c r="L3469" s="0" t="str">
        <f aca="false">HYPERLINK("https://www.ncbi.nlm.nih.gov/nuccore/CP000304.1?report=graph&amp;tracks=[key:gene_model_track,Options:GeneOnly]&amp;mk=1011430:1011449|offset_20|444444,1011398:1011417|offset_52|444444,1011371:1011390|offset_79|00cc00,1011346:1011365|offset_104|444444&amp;v=1011229:1011565&amp;c=444444", "offset 79")</f>
        <v>offset 79</v>
      </c>
    </row>
    <row r="3470" customFormat="false" ht="12.8" hidden="false" customHeight="false" outlineLevel="0" collapsed="false">
      <c r="A3470" s="0" t="s">
        <v>12</v>
      </c>
      <c r="B3470" s="0" t="n">
        <v>1011345</v>
      </c>
      <c r="C3470" s="0" t="n">
        <v>1011365</v>
      </c>
      <c r="D3470" s="0" t="s">
        <v>11591</v>
      </c>
      <c r="E3470" s="0" t="s">
        <v>89</v>
      </c>
      <c r="F3470" s="0" t="s">
        <v>90</v>
      </c>
      <c r="G3470" s="0" t="s">
        <v>32</v>
      </c>
      <c r="H3470" s="0" t="n">
        <v>104</v>
      </c>
      <c r="I3470" s="0" t="s">
        <v>11601</v>
      </c>
      <c r="J3470" s="0" t="s">
        <v>11602</v>
      </c>
      <c r="K3470" s="0" t="s">
        <v>11603</v>
      </c>
      <c r="L3470" s="0" t="str">
        <f aca="false">HYPERLINK("https://www.ncbi.nlm.nih.gov/nuccore/CP000304.1?report=graph&amp;tracks=[key:gene_model_track,Options:GeneOnly]&amp;mk=1011430:1011449|offset_20|444444,1011398:1011417|offset_52|444444,1011371:1011390|offset_79|444444,1011346:1011365|offset_104|00cc00&amp;v=1011229:1011565&amp;c=444444", "offset 104")</f>
        <v>offset 104</v>
      </c>
    </row>
    <row r="3471" customFormat="false" ht="12.8" hidden="false" customHeight="false" outlineLevel="0" collapsed="false">
      <c r="A3471" s="0" t="s">
        <v>12</v>
      </c>
      <c r="B3471" s="0" t="n">
        <v>1012127</v>
      </c>
      <c r="C3471" s="0" t="n">
        <v>1012147</v>
      </c>
      <c r="D3471" s="0" t="s">
        <v>11604</v>
      </c>
      <c r="E3471" s="0" t="s">
        <v>89</v>
      </c>
      <c r="F3471" s="0" t="s">
        <v>90</v>
      </c>
      <c r="G3471" s="0" t="s">
        <v>36</v>
      </c>
      <c r="H3471" s="0" t="n">
        <v>20</v>
      </c>
      <c r="I3471" s="0" t="s">
        <v>11605</v>
      </c>
      <c r="J3471" s="0" t="s">
        <v>11606</v>
      </c>
      <c r="K3471" s="0" t="s">
        <v>11607</v>
      </c>
      <c r="L3471" s="0" t="str">
        <f aca="false">HYPERLINK("https://www.ncbi.nlm.nih.gov/nuccore/CP000304.1?report=graph&amp;tracks=[key:gene_model_track,Options:GeneOnly]&amp;mk=1012128:1012147|offset_20|00cc00,1012069:1012088|offset_79|444444,1012048:1012067|offset_100|444444,1012000:1012019|offset_148|444444&amp;v=1011927:1012219&amp;c=444444", "offset 20")</f>
        <v>offset 20</v>
      </c>
    </row>
    <row r="3472" customFormat="false" ht="12.8" hidden="false" customHeight="false" outlineLevel="0" collapsed="false">
      <c r="A3472" s="0" t="s">
        <v>12</v>
      </c>
      <c r="B3472" s="0" t="n">
        <v>1012068</v>
      </c>
      <c r="C3472" s="0" t="n">
        <v>1012088</v>
      </c>
      <c r="D3472" s="0" t="s">
        <v>11604</v>
      </c>
      <c r="E3472" s="0" t="s">
        <v>89</v>
      </c>
      <c r="F3472" s="0" t="s">
        <v>90</v>
      </c>
      <c r="G3472" s="0" t="s">
        <v>36</v>
      </c>
      <c r="H3472" s="0" t="n">
        <v>79</v>
      </c>
      <c r="I3472" s="0" t="s">
        <v>11608</v>
      </c>
      <c r="J3472" s="0" t="s">
        <v>11609</v>
      </c>
      <c r="K3472" s="0" t="s">
        <v>11610</v>
      </c>
      <c r="L3472" s="0" t="str">
        <f aca="false">HYPERLINK("https://www.ncbi.nlm.nih.gov/nuccore/CP000304.1?report=graph&amp;tracks=[key:gene_model_track,Options:GeneOnly]&amp;mk=1012128:1012147|offset_20|444444,1012069:1012088|offset_79|00cc00,1012048:1012067|offset_100|444444,1012000:1012019|offset_148|444444&amp;v=1011927:1012219&amp;c=444444", "offset 79")</f>
        <v>offset 79</v>
      </c>
    </row>
    <row r="3473" customFormat="false" ht="12.8" hidden="false" customHeight="false" outlineLevel="0" collapsed="false">
      <c r="A3473" s="0" t="s">
        <v>12</v>
      </c>
      <c r="B3473" s="0" t="n">
        <v>1012047</v>
      </c>
      <c r="C3473" s="0" t="n">
        <v>1012067</v>
      </c>
      <c r="D3473" s="0" t="s">
        <v>11604</v>
      </c>
      <c r="E3473" s="0" t="s">
        <v>89</v>
      </c>
      <c r="F3473" s="0" t="s">
        <v>90</v>
      </c>
      <c r="G3473" s="0" t="s">
        <v>16</v>
      </c>
      <c r="H3473" s="0" t="n">
        <v>100</v>
      </c>
      <c r="I3473" s="0" t="s">
        <v>11611</v>
      </c>
      <c r="J3473" s="0" t="s">
        <v>11612</v>
      </c>
      <c r="K3473" s="0" t="s">
        <v>11613</v>
      </c>
      <c r="L3473" s="0" t="str">
        <f aca="false">HYPERLINK("https://www.ncbi.nlm.nih.gov/nuccore/CP000304.1?report=graph&amp;tracks=[key:gene_model_track,Options:GeneOnly]&amp;mk=1012128:1012147|offset_20|444444,1012069:1012088|offset_79|444444,1012048:1012067|offset_100|00cc00,1012000:1012019|offset_148|444444&amp;v=1011927:1012219&amp;c=444444", "offset 100")</f>
        <v>offset 100</v>
      </c>
    </row>
    <row r="3474" customFormat="false" ht="12.8" hidden="false" customHeight="false" outlineLevel="0" collapsed="false">
      <c r="A3474" s="0" t="s">
        <v>12</v>
      </c>
      <c r="B3474" s="0" t="n">
        <v>1011999</v>
      </c>
      <c r="C3474" s="0" t="n">
        <v>1012019</v>
      </c>
      <c r="D3474" s="0" t="s">
        <v>11604</v>
      </c>
      <c r="E3474" s="0" t="s">
        <v>89</v>
      </c>
      <c r="F3474" s="0" t="s">
        <v>90</v>
      </c>
      <c r="G3474" s="0" t="s">
        <v>32</v>
      </c>
      <c r="H3474" s="0" t="n">
        <v>148</v>
      </c>
      <c r="I3474" s="0" t="s">
        <v>11614</v>
      </c>
      <c r="J3474" s="0" t="s">
        <v>11615</v>
      </c>
      <c r="K3474" s="0" t="s">
        <v>11616</v>
      </c>
      <c r="L3474" s="0" t="str">
        <f aca="false">HYPERLINK("https://www.ncbi.nlm.nih.gov/nuccore/CP000304.1?report=graph&amp;tracks=[key:gene_model_track,Options:GeneOnly]&amp;mk=1012128:1012147|offset_20|444444,1012069:1012088|offset_79|444444,1012048:1012067|offset_100|444444,1012000:1012019|offset_148|00cc00&amp;v=1011927:1012219&amp;c=444444", "offset 148")</f>
        <v>offset 148</v>
      </c>
    </row>
    <row r="3475" customFormat="false" ht="12.8" hidden="false" customHeight="false" outlineLevel="0" collapsed="false">
      <c r="A3475" s="0" t="s">
        <v>12</v>
      </c>
      <c r="B3475" s="0" t="n">
        <v>1012804</v>
      </c>
      <c r="C3475" s="0" t="n">
        <v>1012824</v>
      </c>
      <c r="D3475" s="0" t="s">
        <v>11617</v>
      </c>
      <c r="E3475" s="0" t="s">
        <v>89</v>
      </c>
      <c r="F3475" s="0" t="s">
        <v>90</v>
      </c>
      <c r="G3475" s="0" t="s">
        <v>26</v>
      </c>
      <c r="H3475" s="0" t="n">
        <v>9</v>
      </c>
      <c r="I3475" s="0" t="s">
        <v>11618</v>
      </c>
      <c r="J3475" s="0" t="s">
        <v>11619</v>
      </c>
      <c r="K3475" s="0" t="s">
        <v>11620</v>
      </c>
      <c r="L3475" s="0" t="str">
        <f aca="false">HYPERLINK("https://www.ncbi.nlm.nih.gov/nuccore/CP000304.1?report=graph&amp;tracks=[key:gene_model_track,Options:GeneOnly]&amp;mk=1012805:1012824|offset_9|00cc00,1012785:1012804|offset_29|444444,1012764:1012783|offset_50|444444,1012743:1012762|offset_71|444444&amp;v=1012604:1012962&amp;c=444444", "offset 9")</f>
        <v>offset 9</v>
      </c>
    </row>
    <row r="3476" customFormat="false" ht="12.8" hidden="false" customHeight="false" outlineLevel="0" collapsed="false">
      <c r="A3476" s="0" t="s">
        <v>12</v>
      </c>
      <c r="B3476" s="0" t="n">
        <v>1012784</v>
      </c>
      <c r="C3476" s="0" t="n">
        <v>1012804</v>
      </c>
      <c r="D3476" s="0" t="s">
        <v>11617</v>
      </c>
      <c r="E3476" s="0" t="s">
        <v>89</v>
      </c>
      <c r="F3476" s="0" t="s">
        <v>90</v>
      </c>
      <c r="G3476" s="0" t="s">
        <v>26</v>
      </c>
      <c r="H3476" s="0" t="n">
        <v>29</v>
      </c>
      <c r="I3476" s="0" t="s">
        <v>11621</v>
      </c>
      <c r="J3476" s="0" t="s">
        <v>11622</v>
      </c>
      <c r="K3476" s="0" t="s">
        <v>11623</v>
      </c>
      <c r="L3476" s="0" t="str">
        <f aca="false">HYPERLINK("https://www.ncbi.nlm.nih.gov/nuccore/CP000304.1?report=graph&amp;tracks=[key:gene_model_track,Options:GeneOnly]&amp;mk=1012805:1012824|offset_9|444444,1012785:1012804|offset_29|00cc00,1012764:1012783|offset_50|444444,1012743:1012762|offset_71|444444&amp;v=1012604:1012962&amp;c=444444", "offset 29")</f>
        <v>offset 29</v>
      </c>
    </row>
    <row r="3477" customFormat="false" ht="12.8" hidden="false" customHeight="false" outlineLevel="0" collapsed="false">
      <c r="A3477" s="0" t="s">
        <v>12</v>
      </c>
      <c r="B3477" s="0" t="n">
        <v>1012763</v>
      </c>
      <c r="C3477" s="0" t="n">
        <v>1012783</v>
      </c>
      <c r="D3477" s="0" t="s">
        <v>11617</v>
      </c>
      <c r="E3477" s="0" t="s">
        <v>89</v>
      </c>
      <c r="F3477" s="0" t="s">
        <v>90</v>
      </c>
      <c r="G3477" s="0" t="s">
        <v>32</v>
      </c>
      <c r="H3477" s="0" t="n">
        <v>50</v>
      </c>
      <c r="I3477" s="0" t="s">
        <v>11624</v>
      </c>
      <c r="J3477" s="0" t="s">
        <v>11625</v>
      </c>
      <c r="K3477" s="0" t="s">
        <v>11626</v>
      </c>
      <c r="L3477" s="0" t="str">
        <f aca="false">HYPERLINK("https://www.ncbi.nlm.nih.gov/nuccore/CP000304.1?report=graph&amp;tracks=[key:gene_model_track,Options:GeneOnly]&amp;mk=1012805:1012824|offset_9|444444,1012785:1012804|offset_29|444444,1012764:1012783|offset_50|00cc00,1012743:1012762|offset_71|444444&amp;v=1012604:1012962&amp;c=444444", "offset 50")</f>
        <v>offset 50</v>
      </c>
    </row>
    <row r="3478" customFormat="false" ht="12.8" hidden="false" customHeight="false" outlineLevel="0" collapsed="false">
      <c r="A3478" s="0" t="s">
        <v>12</v>
      </c>
      <c r="B3478" s="0" t="n">
        <v>1012742</v>
      </c>
      <c r="C3478" s="0" t="n">
        <v>1012762</v>
      </c>
      <c r="D3478" s="0" t="s">
        <v>11617</v>
      </c>
      <c r="E3478" s="0" t="s">
        <v>89</v>
      </c>
      <c r="F3478" s="0" t="s">
        <v>90</v>
      </c>
      <c r="G3478" s="0" t="s">
        <v>36</v>
      </c>
      <c r="H3478" s="0" t="n">
        <v>71</v>
      </c>
      <c r="I3478" s="0" t="s">
        <v>11627</v>
      </c>
      <c r="J3478" s="0" t="s">
        <v>11628</v>
      </c>
      <c r="K3478" s="0" t="s">
        <v>11629</v>
      </c>
      <c r="L3478" s="0" t="str">
        <f aca="false">HYPERLINK("https://www.ncbi.nlm.nih.gov/nuccore/CP000304.1?report=graph&amp;tracks=[key:gene_model_track,Options:GeneOnly]&amp;mk=1012805:1012824|offset_9|444444,1012785:1012804|offset_29|444444,1012764:1012783|offset_50|444444,1012743:1012762|offset_71|00cc00&amp;v=1012604:1012962&amp;c=444444", "offset 71")</f>
        <v>offset 71</v>
      </c>
    </row>
    <row r="3479" customFormat="false" ht="12.8" hidden="false" customHeight="false" outlineLevel="0" collapsed="false">
      <c r="A3479" s="0" t="s">
        <v>12</v>
      </c>
      <c r="B3479" s="0" t="n">
        <v>1013617</v>
      </c>
      <c r="C3479" s="0" t="n">
        <v>1013637</v>
      </c>
      <c r="D3479" s="0" t="s">
        <v>11630</v>
      </c>
      <c r="E3479" s="0" t="s">
        <v>89</v>
      </c>
      <c r="F3479" s="0" t="s">
        <v>90</v>
      </c>
      <c r="G3479" s="0" t="s">
        <v>26</v>
      </c>
      <c r="H3479" s="0" t="n">
        <v>23</v>
      </c>
      <c r="I3479" s="0" t="s">
        <v>11631</v>
      </c>
      <c r="J3479" s="0" t="s">
        <v>11632</v>
      </c>
      <c r="K3479" s="0" t="s">
        <v>11633</v>
      </c>
      <c r="L3479" s="0" t="str">
        <f aca="false">HYPERLINK("https://www.ncbi.nlm.nih.gov/nuccore/CP000304.1?report=graph&amp;tracks=[key:gene_model_track,Options:GeneOnly]&amp;mk=1013618:1013637|offset_23|00cc00,1013559:1013578|offset_82|444444,1013507:1013526|offset_134|444444,1013462:1013481|offset_179|444444&amp;v=1013417:1013681&amp;c=444444", "offset 23")</f>
        <v>offset 23</v>
      </c>
    </row>
    <row r="3480" customFormat="false" ht="12.8" hidden="false" customHeight="false" outlineLevel="0" collapsed="false">
      <c r="A3480" s="0" t="s">
        <v>12</v>
      </c>
      <c r="B3480" s="0" t="n">
        <v>1013558</v>
      </c>
      <c r="C3480" s="0" t="n">
        <v>1013578</v>
      </c>
      <c r="D3480" s="0" t="s">
        <v>11630</v>
      </c>
      <c r="E3480" s="0" t="s">
        <v>89</v>
      </c>
      <c r="F3480" s="0" t="s">
        <v>90</v>
      </c>
      <c r="G3480" s="0" t="s">
        <v>16</v>
      </c>
      <c r="H3480" s="0" t="n">
        <v>82</v>
      </c>
      <c r="I3480" s="0" t="s">
        <v>11634</v>
      </c>
      <c r="J3480" s="0" t="s">
        <v>11635</v>
      </c>
      <c r="K3480" s="0" t="s">
        <v>11636</v>
      </c>
      <c r="L3480" s="0" t="str">
        <f aca="false">HYPERLINK("https://www.ncbi.nlm.nih.gov/nuccore/CP000304.1?report=graph&amp;tracks=[key:gene_model_track,Options:GeneOnly]&amp;mk=1013618:1013637|offset_23|444444,1013559:1013578|offset_82|00cc00,1013507:1013526|offset_134|444444,1013462:1013481|offset_179|444444&amp;v=1013417:1013681&amp;c=444444", "offset 82")</f>
        <v>offset 82</v>
      </c>
    </row>
    <row r="3481" customFormat="false" ht="12.8" hidden="false" customHeight="false" outlineLevel="0" collapsed="false">
      <c r="A3481" s="0" t="s">
        <v>12</v>
      </c>
      <c r="B3481" s="0" t="n">
        <v>1013506</v>
      </c>
      <c r="C3481" s="0" t="n">
        <v>1013526</v>
      </c>
      <c r="D3481" s="0" t="s">
        <v>11630</v>
      </c>
      <c r="E3481" s="0" t="s">
        <v>89</v>
      </c>
      <c r="F3481" s="0" t="s">
        <v>90</v>
      </c>
      <c r="G3481" s="0" t="s">
        <v>26</v>
      </c>
      <c r="H3481" s="0" t="n">
        <v>134</v>
      </c>
      <c r="I3481" s="0" t="s">
        <v>11637</v>
      </c>
      <c r="J3481" s="0" t="s">
        <v>11638</v>
      </c>
      <c r="K3481" s="0" t="s">
        <v>11639</v>
      </c>
      <c r="L3481" s="0" t="str">
        <f aca="false">HYPERLINK("https://www.ncbi.nlm.nih.gov/nuccore/CP000304.1?report=graph&amp;tracks=[key:gene_model_track,Options:GeneOnly]&amp;mk=1013618:1013637|offset_23|444444,1013559:1013578|offset_82|444444,1013507:1013526|offset_134|00cc00,1013462:1013481|offset_179|444444&amp;v=1013417:1013681&amp;c=444444", "offset 134")</f>
        <v>offset 134</v>
      </c>
    </row>
    <row r="3482" customFormat="false" ht="12.8" hidden="false" customHeight="false" outlineLevel="0" collapsed="false">
      <c r="A3482" s="0" t="s">
        <v>12</v>
      </c>
      <c r="B3482" s="0" t="n">
        <v>1013461</v>
      </c>
      <c r="C3482" s="0" t="n">
        <v>1013481</v>
      </c>
      <c r="D3482" s="0" t="s">
        <v>11630</v>
      </c>
      <c r="E3482" s="0" t="s">
        <v>89</v>
      </c>
      <c r="F3482" s="0" t="s">
        <v>90</v>
      </c>
      <c r="G3482" s="0" t="s">
        <v>26</v>
      </c>
      <c r="H3482" s="0" t="n">
        <v>179</v>
      </c>
      <c r="I3482" s="0" t="s">
        <v>11640</v>
      </c>
      <c r="J3482" s="0" t="s">
        <v>11641</v>
      </c>
      <c r="K3482" s="0" t="s">
        <v>11642</v>
      </c>
      <c r="L3482" s="0" t="str">
        <f aca="false">HYPERLINK("https://www.ncbi.nlm.nih.gov/nuccore/CP000304.1?report=graph&amp;tracks=[key:gene_model_track,Options:GeneOnly]&amp;mk=1013618:1013637|offset_23|444444,1013559:1013578|offset_82|444444,1013507:1013526|offset_134|444444,1013462:1013481|offset_179|00cc00&amp;v=1013417:1013681&amp;c=444444", "offset 179")</f>
        <v>offset 179</v>
      </c>
    </row>
    <row r="3483" customFormat="false" ht="12.8" hidden="false" customHeight="false" outlineLevel="0" collapsed="false">
      <c r="A3483" s="0" t="s">
        <v>12</v>
      </c>
      <c r="B3483" s="0" t="n">
        <v>1014297</v>
      </c>
      <c r="C3483" s="0" t="n">
        <v>1014317</v>
      </c>
      <c r="D3483" s="0" t="s">
        <v>11643</v>
      </c>
      <c r="E3483" s="0" t="s">
        <v>89</v>
      </c>
      <c r="F3483" s="0" t="s">
        <v>90</v>
      </c>
      <c r="G3483" s="0" t="s">
        <v>32</v>
      </c>
      <c r="H3483" s="0" t="n">
        <v>1</v>
      </c>
      <c r="I3483" s="0" t="s">
        <v>11644</v>
      </c>
      <c r="J3483" s="0" t="s">
        <v>11645</v>
      </c>
      <c r="K3483" s="0" t="s">
        <v>11646</v>
      </c>
      <c r="L3483" s="0" t="str">
        <f aca="false">HYPERLINK("https://www.ncbi.nlm.nih.gov/nuccore/CP000304.1?report=graph&amp;tracks=[key:gene_model_track,Options:GeneOnly]&amp;mk=1014298:1014317|offset_1|00cc00,1014265:1014284|offset_34|444444,1014238:1014257|offset_61|444444,1014211:1014230|offset_88|444444&amp;v=1014097:1014430&amp;c=444444", "offset 1")</f>
        <v>offset 1</v>
      </c>
    </row>
    <row r="3484" customFormat="false" ht="12.8" hidden="false" customHeight="false" outlineLevel="0" collapsed="false">
      <c r="A3484" s="0" t="s">
        <v>12</v>
      </c>
      <c r="B3484" s="0" t="n">
        <v>1014264</v>
      </c>
      <c r="C3484" s="0" t="n">
        <v>1014284</v>
      </c>
      <c r="D3484" s="0" t="s">
        <v>11643</v>
      </c>
      <c r="E3484" s="0" t="s">
        <v>89</v>
      </c>
      <c r="F3484" s="0" t="s">
        <v>90</v>
      </c>
      <c r="G3484" s="0" t="s">
        <v>32</v>
      </c>
      <c r="H3484" s="0" t="n">
        <v>34</v>
      </c>
      <c r="I3484" s="0" t="s">
        <v>11647</v>
      </c>
      <c r="J3484" s="0" t="s">
        <v>11648</v>
      </c>
      <c r="K3484" s="0" t="s">
        <v>11649</v>
      </c>
      <c r="L3484" s="0" t="str">
        <f aca="false">HYPERLINK("https://www.ncbi.nlm.nih.gov/nuccore/CP000304.1?report=graph&amp;tracks=[key:gene_model_track,Options:GeneOnly]&amp;mk=1014298:1014317|offset_1|444444,1014265:1014284|offset_34|00cc00,1014238:1014257|offset_61|444444,1014211:1014230|offset_88|444444&amp;v=1014097:1014430&amp;c=444444", "offset 34")</f>
        <v>offset 34</v>
      </c>
    </row>
    <row r="3485" customFormat="false" ht="12.8" hidden="false" customHeight="false" outlineLevel="0" collapsed="false">
      <c r="A3485" s="0" t="s">
        <v>12</v>
      </c>
      <c r="B3485" s="0" t="n">
        <v>1014237</v>
      </c>
      <c r="C3485" s="0" t="n">
        <v>1014257</v>
      </c>
      <c r="D3485" s="0" t="s">
        <v>11643</v>
      </c>
      <c r="E3485" s="0" t="s">
        <v>89</v>
      </c>
      <c r="F3485" s="0" t="s">
        <v>90</v>
      </c>
      <c r="G3485" s="0" t="s">
        <v>16</v>
      </c>
      <c r="H3485" s="0" t="n">
        <v>61</v>
      </c>
      <c r="I3485" s="0" t="s">
        <v>11650</v>
      </c>
      <c r="J3485" s="0" t="s">
        <v>11651</v>
      </c>
      <c r="K3485" s="0" t="s">
        <v>11652</v>
      </c>
      <c r="L3485" s="0" t="str">
        <f aca="false">HYPERLINK("https://www.ncbi.nlm.nih.gov/nuccore/CP000304.1?report=graph&amp;tracks=[key:gene_model_track,Options:GeneOnly]&amp;mk=1014298:1014317|offset_1|444444,1014265:1014284|offset_34|444444,1014238:1014257|offset_61|00cc00,1014211:1014230|offset_88|444444&amp;v=1014097:1014430&amp;c=444444", "offset 61")</f>
        <v>offset 61</v>
      </c>
    </row>
    <row r="3486" customFormat="false" ht="12.8" hidden="false" customHeight="false" outlineLevel="0" collapsed="false">
      <c r="A3486" s="0" t="s">
        <v>12</v>
      </c>
      <c r="B3486" s="0" t="n">
        <v>1014210</v>
      </c>
      <c r="C3486" s="0" t="n">
        <v>1014230</v>
      </c>
      <c r="D3486" s="0" t="s">
        <v>11643</v>
      </c>
      <c r="E3486" s="0" t="s">
        <v>89</v>
      </c>
      <c r="F3486" s="0" t="s">
        <v>90</v>
      </c>
      <c r="G3486" s="0" t="s">
        <v>16</v>
      </c>
      <c r="H3486" s="0" t="n">
        <v>88</v>
      </c>
      <c r="I3486" s="0" t="s">
        <v>11653</v>
      </c>
      <c r="J3486" s="0" t="s">
        <v>11654</v>
      </c>
      <c r="K3486" s="0" t="s">
        <v>11655</v>
      </c>
      <c r="L3486" s="0" t="str">
        <f aca="false">HYPERLINK("https://www.ncbi.nlm.nih.gov/nuccore/CP000304.1?report=graph&amp;tracks=[key:gene_model_track,Options:GeneOnly]&amp;mk=1014298:1014317|offset_1|444444,1014265:1014284|offset_34|444444,1014238:1014257|offset_61|444444,1014211:1014230|offset_88|00cc00&amp;v=1014097:1014430&amp;c=444444", "offset 88")</f>
        <v>offset 88</v>
      </c>
    </row>
    <row r="3487" customFormat="false" ht="12.8" hidden="false" customHeight="false" outlineLevel="0" collapsed="false">
      <c r="A3487" s="0" t="s">
        <v>12</v>
      </c>
      <c r="B3487" s="0" t="n">
        <v>1015724</v>
      </c>
      <c r="C3487" s="0" t="n">
        <v>1015744</v>
      </c>
      <c r="D3487" s="0" t="s">
        <v>11656</v>
      </c>
      <c r="E3487" s="0" t="s">
        <v>89</v>
      </c>
      <c r="F3487" s="0" t="s">
        <v>90</v>
      </c>
      <c r="G3487" s="0" t="s">
        <v>26</v>
      </c>
      <c r="H3487" s="0" t="n">
        <v>53</v>
      </c>
      <c r="I3487" s="0" t="s">
        <v>11657</v>
      </c>
      <c r="J3487" s="0" t="s">
        <v>11658</v>
      </c>
      <c r="K3487" s="0" t="s">
        <v>11659</v>
      </c>
      <c r="L3487" s="0" t="str">
        <f aca="false">HYPERLINK("https://www.ncbi.nlm.nih.gov/nuccore/CP000304.1?report=graph&amp;tracks=[key:gene_model_track,Options:GeneOnly]&amp;mk=1015725:1015744|offset_53|00cc00,1015702:1015721|offset_76|444444,1015669:1015688|offset_109|444444,1015645:1015664|offset_133|444444&amp;v=1015524:1015864&amp;c=444444", "offset 53")</f>
        <v>offset 53</v>
      </c>
    </row>
    <row r="3488" customFormat="false" ht="12.8" hidden="false" customHeight="false" outlineLevel="0" collapsed="false">
      <c r="A3488" s="0" t="s">
        <v>12</v>
      </c>
      <c r="B3488" s="0" t="n">
        <v>1015701</v>
      </c>
      <c r="C3488" s="0" t="n">
        <v>1015721</v>
      </c>
      <c r="D3488" s="0" t="s">
        <v>11656</v>
      </c>
      <c r="E3488" s="0" t="s">
        <v>89</v>
      </c>
      <c r="F3488" s="0" t="s">
        <v>90</v>
      </c>
      <c r="G3488" s="0" t="s">
        <v>36</v>
      </c>
      <c r="H3488" s="0" t="n">
        <v>76</v>
      </c>
      <c r="I3488" s="0" t="s">
        <v>11660</v>
      </c>
      <c r="J3488" s="0" t="s">
        <v>11661</v>
      </c>
      <c r="K3488" s="0" t="s">
        <v>11662</v>
      </c>
      <c r="L3488" s="0" t="str">
        <f aca="false">HYPERLINK("https://www.ncbi.nlm.nih.gov/nuccore/CP000304.1?report=graph&amp;tracks=[key:gene_model_track,Options:GeneOnly]&amp;mk=1015725:1015744|offset_53|444444,1015702:1015721|offset_76|00cc00,1015669:1015688|offset_109|444444,1015645:1015664|offset_133|444444&amp;v=1015524:1015864&amp;c=444444", "offset 76")</f>
        <v>offset 76</v>
      </c>
    </row>
    <row r="3489" customFormat="false" ht="12.8" hidden="false" customHeight="false" outlineLevel="0" collapsed="false">
      <c r="A3489" s="0" t="s">
        <v>12</v>
      </c>
      <c r="B3489" s="0" t="n">
        <v>1015668</v>
      </c>
      <c r="C3489" s="0" t="n">
        <v>1015688</v>
      </c>
      <c r="D3489" s="0" t="s">
        <v>11656</v>
      </c>
      <c r="E3489" s="0" t="s">
        <v>89</v>
      </c>
      <c r="F3489" s="0" t="s">
        <v>90</v>
      </c>
      <c r="G3489" s="0" t="s">
        <v>16</v>
      </c>
      <c r="H3489" s="0" t="n">
        <v>109</v>
      </c>
      <c r="I3489" s="0" t="s">
        <v>11663</v>
      </c>
      <c r="J3489" s="0" t="s">
        <v>11664</v>
      </c>
      <c r="K3489" s="0" t="s">
        <v>11665</v>
      </c>
      <c r="L3489" s="0" t="str">
        <f aca="false">HYPERLINK("https://www.ncbi.nlm.nih.gov/nuccore/CP000304.1?report=graph&amp;tracks=[key:gene_model_track,Options:GeneOnly]&amp;mk=1015725:1015744|offset_53|444444,1015702:1015721|offset_76|444444,1015669:1015688|offset_109|00cc00,1015645:1015664|offset_133|444444&amp;v=1015524:1015864&amp;c=444444", "offset 109")</f>
        <v>offset 109</v>
      </c>
    </row>
    <row r="3490" customFormat="false" ht="12.8" hidden="false" customHeight="false" outlineLevel="0" collapsed="false">
      <c r="A3490" s="0" t="s">
        <v>12</v>
      </c>
      <c r="B3490" s="0" t="n">
        <v>1015644</v>
      </c>
      <c r="C3490" s="0" t="n">
        <v>1015664</v>
      </c>
      <c r="D3490" s="0" t="s">
        <v>11656</v>
      </c>
      <c r="E3490" s="0" t="s">
        <v>89</v>
      </c>
      <c r="F3490" s="0" t="s">
        <v>90</v>
      </c>
      <c r="G3490" s="0" t="s">
        <v>36</v>
      </c>
      <c r="H3490" s="0" t="n">
        <v>133</v>
      </c>
      <c r="I3490" s="0" t="s">
        <v>11666</v>
      </c>
      <c r="J3490" s="0" t="s">
        <v>11667</v>
      </c>
      <c r="K3490" s="0" t="s">
        <v>11668</v>
      </c>
      <c r="L3490" s="0" t="str">
        <f aca="false">HYPERLINK("https://www.ncbi.nlm.nih.gov/nuccore/CP000304.1?report=graph&amp;tracks=[key:gene_model_track,Options:GeneOnly]&amp;mk=1015725:1015744|offset_53|444444,1015702:1015721|offset_76|444444,1015669:1015688|offset_109|444444,1015645:1015664|offset_133|00cc00&amp;v=1015524:1015864&amp;c=444444", "offset 133")</f>
        <v>offset 133</v>
      </c>
    </row>
    <row r="3491" customFormat="false" ht="12.8" hidden="false" customHeight="false" outlineLevel="0" collapsed="false">
      <c r="A3491" s="0" t="s">
        <v>12</v>
      </c>
      <c r="B3491" s="0" t="n">
        <v>1016432</v>
      </c>
      <c r="C3491" s="0" t="n">
        <v>1016452</v>
      </c>
      <c r="D3491" s="0" t="s">
        <v>11669</v>
      </c>
      <c r="E3491" s="0" t="s">
        <v>89</v>
      </c>
      <c r="F3491" s="0" t="s">
        <v>90</v>
      </c>
      <c r="G3491" s="0" t="s">
        <v>16</v>
      </c>
      <c r="H3491" s="0" t="n">
        <v>0</v>
      </c>
      <c r="I3491" s="0" t="s">
        <v>11670</v>
      </c>
      <c r="J3491" s="0" t="s">
        <v>11671</v>
      </c>
      <c r="K3491" s="0" t="s">
        <v>11672</v>
      </c>
      <c r="L3491" s="0" t="str">
        <f aca="false">HYPERLINK("https://www.ncbi.nlm.nih.gov/nuccore/CP000304.1?report=graph&amp;tracks=[key:gene_model_track,Options:GeneOnly]&amp;mk=1016433:1016452|offset_0|00cc00,1016405:1016424|offset_28|444444,1016383:1016402|offset_50|444444,1016348:1016367|offset_85|444444&amp;v=1016232:1016567&amp;c=444444", "offset 0")</f>
        <v>offset 0</v>
      </c>
    </row>
    <row r="3492" customFormat="false" ht="12.8" hidden="false" customHeight="false" outlineLevel="0" collapsed="false">
      <c r="A3492" s="0" t="s">
        <v>12</v>
      </c>
      <c r="B3492" s="0" t="n">
        <v>1016404</v>
      </c>
      <c r="C3492" s="0" t="n">
        <v>1016424</v>
      </c>
      <c r="D3492" s="0" t="s">
        <v>11669</v>
      </c>
      <c r="E3492" s="0" t="s">
        <v>89</v>
      </c>
      <c r="F3492" s="0" t="s">
        <v>90</v>
      </c>
      <c r="G3492" s="0" t="s">
        <v>16</v>
      </c>
      <c r="H3492" s="0" t="n">
        <v>28</v>
      </c>
      <c r="I3492" s="0" t="s">
        <v>11673</v>
      </c>
      <c r="J3492" s="0" t="s">
        <v>11674</v>
      </c>
      <c r="K3492" s="0" t="s">
        <v>11675</v>
      </c>
      <c r="L3492" s="0" t="str">
        <f aca="false">HYPERLINK("https://www.ncbi.nlm.nih.gov/nuccore/CP000304.1?report=graph&amp;tracks=[key:gene_model_track,Options:GeneOnly]&amp;mk=1016433:1016452|offset_0|444444,1016405:1016424|offset_28|00cc00,1016383:1016402|offset_50|444444,1016348:1016367|offset_85|444444&amp;v=1016232:1016567&amp;c=444444", "offset 28")</f>
        <v>offset 28</v>
      </c>
    </row>
    <row r="3493" customFormat="false" ht="12.8" hidden="false" customHeight="false" outlineLevel="0" collapsed="false">
      <c r="A3493" s="0" t="s">
        <v>12</v>
      </c>
      <c r="B3493" s="0" t="n">
        <v>1016382</v>
      </c>
      <c r="C3493" s="0" t="n">
        <v>1016402</v>
      </c>
      <c r="D3493" s="0" t="s">
        <v>11669</v>
      </c>
      <c r="E3493" s="0" t="s">
        <v>89</v>
      </c>
      <c r="F3493" s="0" t="s">
        <v>90</v>
      </c>
      <c r="G3493" s="0" t="s">
        <v>16</v>
      </c>
      <c r="H3493" s="0" t="n">
        <v>50</v>
      </c>
      <c r="I3493" s="0" t="s">
        <v>11676</v>
      </c>
      <c r="J3493" s="0" t="s">
        <v>11677</v>
      </c>
      <c r="K3493" s="0" t="s">
        <v>11678</v>
      </c>
      <c r="L3493" s="0" t="str">
        <f aca="false">HYPERLINK("https://www.ncbi.nlm.nih.gov/nuccore/CP000304.1?report=graph&amp;tracks=[key:gene_model_track,Options:GeneOnly]&amp;mk=1016433:1016452|offset_0|444444,1016405:1016424|offset_28|444444,1016383:1016402|offset_50|00cc00,1016348:1016367|offset_85|444444&amp;v=1016232:1016567&amp;c=444444", "offset 50")</f>
        <v>offset 50</v>
      </c>
    </row>
    <row r="3494" customFormat="false" ht="12.8" hidden="false" customHeight="false" outlineLevel="0" collapsed="false">
      <c r="A3494" s="0" t="s">
        <v>12</v>
      </c>
      <c r="B3494" s="0" t="n">
        <v>1016347</v>
      </c>
      <c r="C3494" s="0" t="n">
        <v>1016367</v>
      </c>
      <c r="D3494" s="0" t="s">
        <v>11669</v>
      </c>
      <c r="E3494" s="0" t="s">
        <v>89</v>
      </c>
      <c r="F3494" s="0" t="s">
        <v>90</v>
      </c>
      <c r="G3494" s="0" t="s">
        <v>16</v>
      </c>
      <c r="H3494" s="0" t="n">
        <v>85</v>
      </c>
      <c r="I3494" s="0" t="s">
        <v>11679</v>
      </c>
      <c r="J3494" s="0" t="s">
        <v>11680</v>
      </c>
      <c r="K3494" s="0" t="s">
        <v>11681</v>
      </c>
      <c r="L3494" s="0" t="str">
        <f aca="false">HYPERLINK("https://www.ncbi.nlm.nih.gov/nuccore/CP000304.1?report=graph&amp;tracks=[key:gene_model_track,Options:GeneOnly]&amp;mk=1016433:1016452|offset_0|444444,1016405:1016424|offset_28|444444,1016383:1016402|offset_50|444444,1016348:1016367|offset_85|00cc00&amp;v=1016232:1016567&amp;c=444444", "offset 85")</f>
        <v>offset 85</v>
      </c>
    </row>
    <row r="3495" customFormat="false" ht="12.8" hidden="false" customHeight="false" outlineLevel="0" collapsed="false">
      <c r="A3495" s="0" t="s">
        <v>12</v>
      </c>
      <c r="B3495" s="0" t="n">
        <v>1016520</v>
      </c>
      <c r="C3495" s="0" t="n">
        <v>1016540</v>
      </c>
      <c r="D3495" s="0" t="s">
        <v>11682</v>
      </c>
      <c r="E3495" s="0" t="s">
        <v>89</v>
      </c>
      <c r="F3495" s="0" t="s">
        <v>15</v>
      </c>
      <c r="G3495" s="0" t="s">
        <v>16</v>
      </c>
      <c r="H3495" s="0" t="n">
        <v>32</v>
      </c>
      <c r="I3495" s="0" t="s">
        <v>11683</v>
      </c>
      <c r="J3495" s="0" t="s">
        <v>11684</v>
      </c>
      <c r="K3495" s="0" t="s">
        <v>11685</v>
      </c>
      <c r="L3495" s="0" t="str">
        <f aca="false">HYPERLINK("https://www.ncbi.nlm.nih.gov/nuccore/CP000304.1?report=graph&amp;tracks=[key:gene_model_track,Options:GeneOnly]&amp;mk=1016521:1016540|offset_32|00cc00,1016590:1016609|offset_101|444444,1016610:1016629|offset_121|444444,1016632:1016651|offset_143|444444&amp;v=1016320:1016851&amp;c=444444", "offset 32")</f>
        <v>offset 32</v>
      </c>
    </row>
    <row r="3496" customFormat="false" ht="12.8" hidden="false" customHeight="false" outlineLevel="0" collapsed="false">
      <c r="A3496" s="0" t="s">
        <v>12</v>
      </c>
      <c r="B3496" s="0" t="n">
        <v>1016589</v>
      </c>
      <c r="C3496" s="0" t="n">
        <v>1016609</v>
      </c>
      <c r="D3496" s="0" t="s">
        <v>11682</v>
      </c>
      <c r="E3496" s="0" t="s">
        <v>89</v>
      </c>
      <c r="F3496" s="0" t="s">
        <v>15</v>
      </c>
      <c r="G3496" s="0" t="s">
        <v>32</v>
      </c>
      <c r="H3496" s="0" t="n">
        <v>101</v>
      </c>
      <c r="I3496" s="0" t="s">
        <v>11686</v>
      </c>
      <c r="J3496" s="0" t="s">
        <v>11687</v>
      </c>
      <c r="K3496" s="0" t="s">
        <v>11688</v>
      </c>
      <c r="L3496" s="0" t="str">
        <f aca="false">HYPERLINK("https://www.ncbi.nlm.nih.gov/nuccore/CP000304.1?report=graph&amp;tracks=[key:gene_model_track,Options:GeneOnly]&amp;mk=1016521:1016540|offset_32|444444,1016590:1016609|offset_101|00cc00,1016610:1016629|offset_121|444444,1016632:1016651|offset_143|444444&amp;v=1016320:1016851&amp;c=444444", "offset 101")</f>
        <v>offset 101</v>
      </c>
    </row>
    <row r="3497" customFormat="false" ht="12.8" hidden="false" customHeight="false" outlineLevel="0" collapsed="false">
      <c r="A3497" s="0" t="s">
        <v>12</v>
      </c>
      <c r="B3497" s="0" t="n">
        <v>1016609</v>
      </c>
      <c r="C3497" s="0" t="n">
        <v>1016629</v>
      </c>
      <c r="D3497" s="0" t="s">
        <v>11682</v>
      </c>
      <c r="E3497" s="0" t="s">
        <v>89</v>
      </c>
      <c r="F3497" s="0" t="s">
        <v>15</v>
      </c>
      <c r="G3497" s="0" t="s">
        <v>32</v>
      </c>
      <c r="H3497" s="0" t="n">
        <v>121</v>
      </c>
      <c r="I3497" s="0" t="s">
        <v>11689</v>
      </c>
      <c r="J3497" s="0" t="s">
        <v>11690</v>
      </c>
      <c r="K3497" s="0" t="s">
        <v>11691</v>
      </c>
      <c r="L3497" s="0" t="str">
        <f aca="false">HYPERLINK("https://www.ncbi.nlm.nih.gov/nuccore/CP000304.1?report=graph&amp;tracks=[key:gene_model_track,Options:GeneOnly]&amp;mk=1016521:1016540|offset_32|444444,1016590:1016609|offset_101|444444,1016610:1016629|offset_121|00cc00,1016632:1016651|offset_143|444444&amp;v=1016320:1016851&amp;c=444444", "offset 121")</f>
        <v>offset 121</v>
      </c>
    </row>
    <row r="3498" customFormat="false" ht="12.8" hidden="false" customHeight="false" outlineLevel="0" collapsed="false">
      <c r="A3498" s="0" t="s">
        <v>12</v>
      </c>
      <c r="B3498" s="0" t="n">
        <v>1016631</v>
      </c>
      <c r="C3498" s="0" t="n">
        <v>1016651</v>
      </c>
      <c r="D3498" s="0" t="s">
        <v>11682</v>
      </c>
      <c r="E3498" s="0" t="s">
        <v>89</v>
      </c>
      <c r="F3498" s="0" t="s">
        <v>15</v>
      </c>
      <c r="G3498" s="0" t="s">
        <v>16</v>
      </c>
      <c r="H3498" s="0" t="n">
        <v>143</v>
      </c>
      <c r="I3498" s="0" t="s">
        <v>11692</v>
      </c>
      <c r="J3498" s="0" t="s">
        <v>11693</v>
      </c>
      <c r="K3498" s="0" t="s">
        <v>11694</v>
      </c>
      <c r="L3498" s="0" t="str">
        <f aca="false">HYPERLINK("https://www.ncbi.nlm.nih.gov/nuccore/CP000304.1?report=graph&amp;tracks=[key:gene_model_track,Options:GeneOnly]&amp;mk=1016521:1016540|offset_32|444444,1016590:1016609|offset_101|444444,1016610:1016629|offset_121|444444,1016632:1016651|offset_143|00cc00&amp;v=1016320:1016851&amp;c=444444", "offset 143")</f>
        <v>offset 143</v>
      </c>
    </row>
    <row r="3499" customFormat="false" ht="12.8" hidden="false" customHeight="false" outlineLevel="0" collapsed="false">
      <c r="A3499" s="0" t="s">
        <v>12</v>
      </c>
      <c r="B3499" s="0" t="n">
        <v>1017822</v>
      </c>
      <c r="C3499" s="0" t="n">
        <v>1017842</v>
      </c>
      <c r="D3499" s="0" t="s">
        <v>11695</v>
      </c>
      <c r="E3499" s="0" t="s">
        <v>11696</v>
      </c>
      <c r="F3499" s="0" t="s">
        <v>15</v>
      </c>
      <c r="G3499" s="0" t="s">
        <v>26</v>
      </c>
      <c r="H3499" s="0" t="n">
        <v>11</v>
      </c>
      <c r="I3499" s="0" t="s">
        <v>11697</v>
      </c>
      <c r="J3499" s="0" t="s">
        <v>11698</v>
      </c>
      <c r="K3499" s="0" t="s">
        <v>11699</v>
      </c>
      <c r="L3499" s="0" t="str">
        <f aca="false">HYPERLINK("https://www.ncbi.nlm.nih.gov/nuccore/CP000304.1?report=graph&amp;tracks=[key:gene_model_track,Options:GeneOnly]&amp;mk=1017823:1017842|offset_11|00cc00,1017850:1017869|offset_38|444444,1017889:1017908|offset_77|444444,1017922:1017941|offset_110|444444&amp;v=1017622:1018141&amp;c=444444", "offset 11")</f>
        <v>offset 11</v>
      </c>
    </row>
    <row r="3500" customFormat="false" ht="12.8" hidden="false" customHeight="false" outlineLevel="0" collapsed="false">
      <c r="A3500" s="0" t="s">
        <v>12</v>
      </c>
      <c r="B3500" s="0" t="n">
        <v>1017849</v>
      </c>
      <c r="C3500" s="0" t="n">
        <v>1017869</v>
      </c>
      <c r="D3500" s="0" t="s">
        <v>11695</v>
      </c>
      <c r="E3500" s="0" t="s">
        <v>11696</v>
      </c>
      <c r="F3500" s="0" t="s">
        <v>15</v>
      </c>
      <c r="G3500" s="0" t="s">
        <v>26</v>
      </c>
      <c r="H3500" s="0" t="n">
        <v>38</v>
      </c>
      <c r="I3500" s="0" t="s">
        <v>11700</v>
      </c>
      <c r="J3500" s="0" t="s">
        <v>11701</v>
      </c>
      <c r="K3500" s="0" t="s">
        <v>11702</v>
      </c>
      <c r="L3500" s="0" t="str">
        <f aca="false">HYPERLINK("https://www.ncbi.nlm.nih.gov/nuccore/CP000304.1?report=graph&amp;tracks=[key:gene_model_track,Options:GeneOnly]&amp;mk=1017823:1017842|offset_11|444444,1017850:1017869|offset_38|00cc00,1017889:1017908|offset_77|444444,1017922:1017941|offset_110|444444&amp;v=1017622:1018141&amp;c=444444", "offset 38")</f>
        <v>offset 38</v>
      </c>
    </row>
    <row r="3501" customFormat="false" ht="12.8" hidden="false" customHeight="false" outlineLevel="0" collapsed="false">
      <c r="A3501" s="0" t="s">
        <v>12</v>
      </c>
      <c r="B3501" s="0" t="n">
        <v>1017888</v>
      </c>
      <c r="C3501" s="0" t="n">
        <v>1017908</v>
      </c>
      <c r="D3501" s="0" t="s">
        <v>11695</v>
      </c>
      <c r="E3501" s="0" t="s">
        <v>11696</v>
      </c>
      <c r="F3501" s="0" t="s">
        <v>15</v>
      </c>
      <c r="G3501" s="0" t="s">
        <v>26</v>
      </c>
      <c r="H3501" s="0" t="n">
        <v>77</v>
      </c>
      <c r="I3501" s="0" t="s">
        <v>11703</v>
      </c>
      <c r="J3501" s="0" t="s">
        <v>11704</v>
      </c>
      <c r="K3501" s="0" t="s">
        <v>11705</v>
      </c>
      <c r="L3501" s="0" t="str">
        <f aca="false">HYPERLINK("https://www.ncbi.nlm.nih.gov/nuccore/CP000304.1?report=graph&amp;tracks=[key:gene_model_track,Options:GeneOnly]&amp;mk=1017823:1017842|offset_11|444444,1017850:1017869|offset_38|444444,1017889:1017908|offset_77|00cc00,1017922:1017941|offset_110|444444&amp;v=1017622:1018141&amp;c=444444", "offset 77")</f>
        <v>offset 77</v>
      </c>
    </row>
    <row r="3502" customFormat="false" ht="12.8" hidden="false" customHeight="false" outlineLevel="0" collapsed="false">
      <c r="A3502" s="0" t="s">
        <v>12</v>
      </c>
      <c r="B3502" s="0" t="n">
        <v>1017921</v>
      </c>
      <c r="C3502" s="0" t="n">
        <v>1017941</v>
      </c>
      <c r="D3502" s="0" t="s">
        <v>11695</v>
      </c>
      <c r="E3502" s="0" t="s">
        <v>11696</v>
      </c>
      <c r="F3502" s="0" t="s">
        <v>15</v>
      </c>
      <c r="G3502" s="0" t="s">
        <v>26</v>
      </c>
      <c r="H3502" s="0" t="n">
        <v>110</v>
      </c>
      <c r="I3502" s="0" t="s">
        <v>11706</v>
      </c>
      <c r="J3502" s="0" t="s">
        <v>11707</v>
      </c>
      <c r="K3502" s="0" t="s">
        <v>11708</v>
      </c>
      <c r="L3502" s="0" t="str">
        <f aca="false">HYPERLINK("https://www.ncbi.nlm.nih.gov/nuccore/CP000304.1?report=graph&amp;tracks=[key:gene_model_track,Options:GeneOnly]&amp;mk=1017823:1017842|offset_11|444444,1017850:1017869|offset_38|444444,1017889:1017908|offset_77|444444,1017922:1017941|offset_110|00cc00&amp;v=1017622:1018141&amp;c=444444", "offset 110")</f>
        <v>offset 110</v>
      </c>
    </row>
    <row r="3503" customFormat="false" ht="12.8" hidden="false" customHeight="false" outlineLevel="0" collapsed="false">
      <c r="A3503" s="0" t="s">
        <v>12</v>
      </c>
      <c r="B3503" s="0" t="n">
        <v>1018509</v>
      </c>
      <c r="C3503" s="0" t="n">
        <v>1018529</v>
      </c>
      <c r="D3503" s="0" t="s">
        <v>11709</v>
      </c>
      <c r="E3503" s="0" t="s">
        <v>11710</v>
      </c>
      <c r="F3503" s="0" t="s">
        <v>15</v>
      </c>
      <c r="G3503" s="0" t="s">
        <v>36</v>
      </c>
      <c r="H3503" s="0" t="n">
        <v>25</v>
      </c>
      <c r="I3503" s="0" t="s">
        <v>11711</v>
      </c>
      <c r="J3503" s="0" t="s">
        <v>11712</v>
      </c>
      <c r="K3503" s="0" t="s">
        <v>11713</v>
      </c>
      <c r="L3503" s="0" t="str">
        <f aca="false">HYPERLINK("https://www.ncbi.nlm.nih.gov/nuccore/CP000304.1?report=graph&amp;tracks=[key:gene_model_track,Options:GeneOnly]&amp;mk=1018510:1018529|offset_25|00cc00,1018543:1018562|offset_58|444444,1018615:1018634|offset_130|444444,1018658:1018677|offset_173|444444&amp;v=1018309:1018877&amp;c=444444", "offset 25")</f>
        <v>offset 25</v>
      </c>
    </row>
    <row r="3504" customFormat="false" ht="12.8" hidden="false" customHeight="false" outlineLevel="0" collapsed="false">
      <c r="A3504" s="0" t="s">
        <v>12</v>
      </c>
      <c r="B3504" s="0" t="n">
        <v>1018542</v>
      </c>
      <c r="C3504" s="0" t="n">
        <v>1018562</v>
      </c>
      <c r="D3504" s="0" t="s">
        <v>11709</v>
      </c>
      <c r="E3504" s="0" t="s">
        <v>11710</v>
      </c>
      <c r="F3504" s="0" t="s">
        <v>15</v>
      </c>
      <c r="G3504" s="0" t="s">
        <v>36</v>
      </c>
      <c r="H3504" s="0" t="n">
        <v>58</v>
      </c>
      <c r="I3504" s="0" t="s">
        <v>11714</v>
      </c>
      <c r="J3504" s="0" t="s">
        <v>11715</v>
      </c>
      <c r="K3504" s="0" t="s">
        <v>11716</v>
      </c>
      <c r="L3504" s="0" t="str">
        <f aca="false">HYPERLINK("https://www.ncbi.nlm.nih.gov/nuccore/CP000304.1?report=graph&amp;tracks=[key:gene_model_track,Options:GeneOnly]&amp;mk=1018510:1018529|offset_25|444444,1018543:1018562|offset_58|00cc00,1018615:1018634|offset_130|444444,1018658:1018677|offset_173|444444&amp;v=1018309:1018877&amp;c=444444", "offset 58")</f>
        <v>offset 58</v>
      </c>
    </row>
    <row r="3505" customFormat="false" ht="12.8" hidden="false" customHeight="false" outlineLevel="0" collapsed="false">
      <c r="A3505" s="0" t="s">
        <v>12</v>
      </c>
      <c r="B3505" s="0" t="n">
        <v>1018614</v>
      </c>
      <c r="C3505" s="0" t="n">
        <v>1018634</v>
      </c>
      <c r="D3505" s="0" t="s">
        <v>11709</v>
      </c>
      <c r="E3505" s="0" t="s">
        <v>11710</v>
      </c>
      <c r="F3505" s="0" t="s">
        <v>15</v>
      </c>
      <c r="G3505" s="0" t="s">
        <v>16</v>
      </c>
      <c r="H3505" s="0" t="n">
        <v>130</v>
      </c>
      <c r="I3505" s="0" t="s">
        <v>11717</v>
      </c>
      <c r="J3505" s="0" t="s">
        <v>11718</v>
      </c>
      <c r="K3505" s="0" t="s">
        <v>11719</v>
      </c>
      <c r="L3505" s="0" t="str">
        <f aca="false">HYPERLINK("https://www.ncbi.nlm.nih.gov/nuccore/CP000304.1?report=graph&amp;tracks=[key:gene_model_track,Options:GeneOnly]&amp;mk=1018510:1018529|offset_25|444444,1018543:1018562|offset_58|444444,1018615:1018634|offset_130|00cc00,1018658:1018677|offset_173|444444&amp;v=1018309:1018877&amp;c=444444", "offset 130")</f>
        <v>offset 130</v>
      </c>
    </row>
    <row r="3506" customFormat="false" ht="12.8" hidden="false" customHeight="false" outlineLevel="0" collapsed="false">
      <c r="A3506" s="0" t="s">
        <v>12</v>
      </c>
      <c r="B3506" s="0" t="n">
        <v>1018657</v>
      </c>
      <c r="C3506" s="0" t="n">
        <v>1018677</v>
      </c>
      <c r="D3506" s="0" t="s">
        <v>11709</v>
      </c>
      <c r="E3506" s="0" t="s">
        <v>11710</v>
      </c>
      <c r="F3506" s="0" t="s">
        <v>15</v>
      </c>
      <c r="G3506" s="0" t="s">
        <v>26</v>
      </c>
      <c r="H3506" s="0" t="n">
        <v>173</v>
      </c>
      <c r="I3506" s="0" t="s">
        <v>11720</v>
      </c>
      <c r="J3506" s="0" t="s">
        <v>11721</v>
      </c>
      <c r="K3506" s="0" t="s">
        <v>11722</v>
      </c>
      <c r="L3506" s="0" t="str">
        <f aca="false">HYPERLINK("https://www.ncbi.nlm.nih.gov/nuccore/CP000304.1?report=graph&amp;tracks=[key:gene_model_track,Options:GeneOnly]&amp;mk=1018510:1018529|offset_25|444444,1018543:1018562|offset_58|444444,1018615:1018634|offset_130|444444,1018658:1018677|offset_173|00cc00&amp;v=1018309:1018877&amp;c=444444", "offset 173")</f>
        <v>offset 173</v>
      </c>
    </row>
    <row r="3507" customFormat="false" ht="12.8" hidden="false" customHeight="false" outlineLevel="0" collapsed="false">
      <c r="A3507" s="0" t="s">
        <v>12</v>
      </c>
      <c r="B3507" s="0" t="n">
        <v>1019840</v>
      </c>
      <c r="C3507" s="0" t="n">
        <v>1019860</v>
      </c>
      <c r="D3507" s="0" t="s">
        <v>11723</v>
      </c>
      <c r="E3507" s="0" t="s">
        <v>89</v>
      </c>
      <c r="F3507" s="0" t="s">
        <v>15</v>
      </c>
      <c r="G3507" s="0" t="s">
        <v>16</v>
      </c>
      <c r="H3507" s="0" t="n">
        <v>6</v>
      </c>
      <c r="I3507" s="0" t="s">
        <v>11724</v>
      </c>
      <c r="J3507" s="0" t="s">
        <v>11725</v>
      </c>
      <c r="K3507" s="0" t="s">
        <v>11726</v>
      </c>
      <c r="L3507" s="0" t="str">
        <f aca="false">HYPERLINK("https://www.ncbi.nlm.nih.gov/nuccore/CP000304.1?report=graph&amp;tracks=[key:gene_model_track,Options:GeneOnly]&amp;mk=1019841:1019860|offset_6|00cc00,1019888:1019907|offset_53|444444,1019918:1019937|offset_83|444444,1019989:1020008|offset_154|444444&amp;v=1019640:1020208&amp;c=444444", "offset 6")</f>
        <v>offset 6</v>
      </c>
    </row>
    <row r="3508" customFormat="false" ht="12.8" hidden="false" customHeight="false" outlineLevel="0" collapsed="false">
      <c r="A3508" s="0" t="s">
        <v>12</v>
      </c>
      <c r="B3508" s="0" t="n">
        <v>1019887</v>
      </c>
      <c r="C3508" s="0" t="n">
        <v>1019907</v>
      </c>
      <c r="D3508" s="0" t="s">
        <v>11723</v>
      </c>
      <c r="E3508" s="0" t="s">
        <v>89</v>
      </c>
      <c r="F3508" s="0" t="s">
        <v>15</v>
      </c>
      <c r="G3508" s="0" t="s">
        <v>32</v>
      </c>
      <c r="H3508" s="0" t="n">
        <v>53</v>
      </c>
      <c r="I3508" s="0" t="s">
        <v>11727</v>
      </c>
      <c r="J3508" s="0" t="s">
        <v>11728</v>
      </c>
      <c r="K3508" s="0" t="s">
        <v>11729</v>
      </c>
      <c r="L3508" s="0" t="str">
        <f aca="false">HYPERLINK("https://www.ncbi.nlm.nih.gov/nuccore/CP000304.1?report=graph&amp;tracks=[key:gene_model_track,Options:GeneOnly]&amp;mk=1019841:1019860|offset_6|444444,1019888:1019907|offset_53|00cc00,1019918:1019937|offset_83|444444,1019989:1020008|offset_154|444444&amp;v=1019640:1020208&amp;c=444444", "offset 53")</f>
        <v>offset 53</v>
      </c>
    </row>
    <row r="3509" customFormat="false" ht="12.8" hidden="false" customHeight="false" outlineLevel="0" collapsed="false">
      <c r="A3509" s="0" t="s">
        <v>12</v>
      </c>
      <c r="B3509" s="0" t="n">
        <v>1019917</v>
      </c>
      <c r="C3509" s="0" t="n">
        <v>1019937</v>
      </c>
      <c r="D3509" s="0" t="s">
        <v>11723</v>
      </c>
      <c r="E3509" s="0" t="s">
        <v>89</v>
      </c>
      <c r="F3509" s="0" t="s">
        <v>15</v>
      </c>
      <c r="G3509" s="0" t="s">
        <v>32</v>
      </c>
      <c r="H3509" s="0" t="n">
        <v>83</v>
      </c>
      <c r="I3509" s="0" t="s">
        <v>11730</v>
      </c>
      <c r="J3509" s="0" t="s">
        <v>11731</v>
      </c>
      <c r="K3509" s="0" t="s">
        <v>11732</v>
      </c>
      <c r="L3509" s="0" t="str">
        <f aca="false">HYPERLINK("https://www.ncbi.nlm.nih.gov/nuccore/CP000304.1?report=graph&amp;tracks=[key:gene_model_track,Options:GeneOnly]&amp;mk=1019841:1019860|offset_6|444444,1019888:1019907|offset_53|444444,1019918:1019937|offset_83|00cc00,1019989:1020008|offset_154|444444&amp;v=1019640:1020208&amp;c=444444", "offset 83")</f>
        <v>offset 83</v>
      </c>
    </row>
    <row r="3510" customFormat="false" ht="12.8" hidden="false" customHeight="false" outlineLevel="0" collapsed="false">
      <c r="A3510" s="0" t="s">
        <v>12</v>
      </c>
      <c r="B3510" s="0" t="n">
        <v>1019988</v>
      </c>
      <c r="C3510" s="0" t="n">
        <v>1020008</v>
      </c>
      <c r="D3510" s="0" t="s">
        <v>11723</v>
      </c>
      <c r="E3510" s="0" t="s">
        <v>89</v>
      </c>
      <c r="F3510" s="0" t="s">
        <v>15</v>
      </c>
      <c r="G3510" s="0" t="s">
        <v>16</v>
      </c>
      <c r="H3510" s="0" t="n">
        <v>154</v>
      </c>
      <c r="I3510" s="0" t="s">
        <v>11733</v>
      </c>
      <c r="J3510" s="0" t="s">
        <v>11734</v>
      </c>
      <c r="K3510" s="0" t="s">
        <v>11735</v>
      </c>
      <c r="L3510" s="0" t="str">
        <f aca="false">HYPERLINK("https://www.ncbi.nlm.nih.gov/nuccore/CP000304.1?report=graph&amp;tracks=[key:gene_model_track,Options:GeneOnly]&amp;mk=1019841:1019860|offset_6|444444,1019888:1019907|offset_53|444444,1019918:1019937|offset_83|444444,1019989:1020008|offset_154|00cc00&amp;v=1019640:1020208&amp;c=444444", "offset 154")</f>
        <v>offset 154</v>
      </c>
    </row>
    <row r="3511" customFormat="false" ht="12.8" hidden="false" customHeight="false" outlineLevel="0" collapsed="false">
      <c r="A3511" s="0" t="s">
        <v>12</v>
      </c>
      <c r="B3511" s="0" t="n">
        <v>1020522</v>
      </c>
      <c r="C3511" s="0" t="n">
        <v>1020542</v>
      </c>
      <c r="D3511" s="0" t="s">
        <v>11736</v>
      </c>
      <c r="E3511" s="0" t="s">
        <v>89</v>
      </c>
      <c r="F3511" s="0" t="s">
        <v>15</v>
      </c>
      <c r="G3511" s="0" t="s">
        <v>16</v>
      </c>
      <c r="H3511" s="0" t="n">
        <v>8</v>
      </c>
      <c r="I3511" s="0" t="s">
        <v>11737</v>
      </c>
      <c r="J3511" s="0" t="s">
        <v>11738</v>
      </c>
      <c r="K3511" s="0" t="s">
        <v>11739</v>
      </c>
      <c r="L3511" s="0" t="str">
        <f aca="false">HYPERLINK("https://www.ncbi.nlm.nih.gov/nuccore/CP000304.1?report=graph&amp;tracks=[key:gene_model_track,Options:GeneOnly]&amp;mk=1020523:1020542|offset_8|00cc00,1020543:1020562|offset_28|444444,1020564:1020583|offset_49|444444,1020608:1020627|offset_93|444444&amp;v=1020322:1020827&amp;c=444444", "offset 8")</f>
        <v>offset 8</v>
      </c>
    </row>
    <row r="3512" customFormat="false" ht="12.8" hidden="false" customHeight="false" outlineLevel="0" collapsed="false">
      <c r="A3512" s="0" t="s">
        <v>12</v>
      </c>
      <c r="B3512" s="0" t="n">
        <v>1020542</v>
      </c>
      <c r="C3512" s="0" t="n">
        <v>1020562</v>
      </c>
      <c r="D3512" s="0" t="s">
        <v>11736</v>
      </c>
      <c r="E3512" s="0" t="s">
        <v>89</v>
      </c>
      <c r="F3512" s="0" t="s">
        <v>15</v>
      </c>
      <c r="G3512" s="0" t="s">
        <v>36</v>
      </c>
      <c r="H3512" s="0" t="n">
        <v>28</v>
      </c>
      <c r="I3512" s="0" t="s">
        <v>11740</v>
      </c>
      <c r="J3512" s="0" t="s">
        <v>11741</v>
      </c>
      <c r="K3512" s="0" t="s">
        <v>11742</v>
      </c>
      <c r="L3512" s="0" t="str">
        <f aca="false">HYPERLINK("https://www.ncbi.nlm.nih.gov/nuccore/CP000304.1?report=graph&amp;tracks=[key:gene_model_track,Options:GeneOnly]&amp;mk=1020523:1020542|offset_8|444444,1020543:1020562|offset_28|00cc00,1020564:1020583|offset_49|444444,1020608:1020627|offset_93|444444&amp;v=1020322:1020827&amp;c=444444", "offset 28")</f>
        <v>offset 28</v>
      </c>
    </row>
    <row r="3513" customFormat="false" ht="12.8" hidden="false" customHeight="false" outlineLevel="0" collapsed="false">
      <c r="A3513" s="0" t="s">
        <v>12</v>
      </c>
      <c r="B3513" s="0" t="n">
        <v>1020563</v>
      </c>
      <c r="C3513" s="0" t="n">
        <v>1020583</v>
      </c>
      <c r="D3513" s="0" t="s">
        <v>11736</v>
      </c>
      <c r="E3513" s="0" t="s">
        <v>89</v>
      </c>
      <c r="F3513" s="0" t="s">
        <v>15</v>
      </c>
      <c r="G3513" s="0" t="s">
        <v>26</v>
      </c>
      <c r="H3513" s="0" t="n">
        <v>49</v>
      </c>
      <c r="I3513" s="0" t="s">
        <v>11743</v>
      </c>
      <c r="J3513" s="0" t="s">
        <v>11744</v>
      </c>
      <c r="K3513" s="0" t="s">
        <v>11745</v>
      </c>
      <c r="L3513" s="0" t="str">
        <f aca="false">HYPERLINK("https://www.ncbi.nlm.nih.gov/nuccore/CP000304.1?report=graph&amp;tracks=[key:gene_model_track,Options:GeneOnly]&amp;mk=1020523:1020542|offset_8|444444,1020543:1020562|offset_28|444444,1020564:1020583|offset_49|00cc00,1020608:1020627|offset_93|444444&amp;v=1020322:1020827&amp;c=444444", "offset 49")</f>
        <v>offset 49</v>
      </c>
    </row>
    <row r="3514" customFormat="false" ht="12.8" hidden="false" customHeight="false" outlineLevel="0" collapsed="false">
      <c r="A3514" s="0" t="s">
        <v>12</v>
      </c>
      <c r="B3514" s="0" t="n">
        <v>1020607</v>
      </c>
      <c r="C3514" s="0" t="n">
        <v>1020627</v>
      </c>
      <c r="D3514" s="0" t="s">
        <v>11736</v>
      </c>
      <c r="E3514" s="0" t="s">
        <v>89</v>
      </c>
      <c r="F3514" s="0" t="s">
        <v>15</v>
      </c>
      <c r="G3514" s="0" t="s">
        <v>36</v>
      </c>
      <c r="H3514" s="0" t="n">
        <v>93</v>
      </c>
      <c r="I3514" s="0" t="s">
        <v>11746</v>
      </c>
      <c r="J3514" s="0" t="s">
        <v>11747</v>
      </c>
      <c r="K3514" s="0" t="s">
        <v>11748</v>
      </c>
      <c r="L3514" s="0" t="str">
        <f aca="false">HYPERLINK("https://www.ncbi.nlm.nih.gov/nuccore/CP000304.1?report=graph&amp;tracks=[key:gene_model_track,Options:GeneOnly]&amp;mk=1020523:1020542|offset_8|444444,1020543:1020562|offset_28|444444,1020564:1020583|offset_49|444444,1020608:1020627|offset_93|00cc00&amp;v=1020322:1020827&amp;c=444444", "offset 93")</f>
        <v>offset 93</v>
      </c>
    </row>
    <row r="3515" customFormat="false" ht="12.8" hidden="false" customHeight="false" outlineLevel="0" collapsed="false">
      <c r="A3515" s="0" t="s">
        <v>12</v>
      </c>
      <c r="B3515" s="0" t="n">
        <v>1021266</v>
      </c>
      <c r="C3515" s="0" t="n">
        <v>1021286</v>
      </c>
      <c r="D3515" s="0" t="s">
        <v>11749</v>
      </c>
      <c r="E3515" s="0" t="s">
        <v>89</v>
      </c>
      <c r="F3515" s="0" t="s">
        <v>15</v>
      </c>
      <c r="G3515" s="0" t="s">
        <v>16</v>
      </c>
      <c r="H3515" s="0" t="n">
        <v>43</v>
      </c>
      <c r="I3515" s="0" t="s">
        <v>11750</v>
      </c>
      <c r="J3515" s="0" t="s">
        <v>11751</v>
      </c>
      <c r="K3515" s="0" t="s">
        <v>11752</v>
      </c>
      <c r="L3515" s="0" t="str">
        <f aca="false">HYPERLINK("https://www.ncbi.nlm.nih.gov/nuccore/CP000304.1?report=graph&amp;tracks=[key:gene_model_track,Options:GeneOnly]&amp;mk=1021267:1021286|offset_43|00cc00,1021298:1021317|offset_74|444444,1021318:1021337|offset_94|444444,1021340:1021359|offset_116|444444&amp;v=1021066:1021559&amp;c=444444", "offset 43")</f>
        <v>offset 43</v>
      </c>
    </row>
    <row r="3516" customFormat="false" ht="12.8" hidden="false" customHeight="false" outlineLevel="0" collapsed="false">
      <c r="A3516" s="0" t="s">
        <v>12</v>
      </c>
      <c r="B3516" s="0" t="n">
        <v>1021297</v>
      </c>
      <c r="C3516" s="0" t="n">
        <v>1021317</v>
      </c>
      <c r="D3516" s="0" t="s">
        <v>11749</v>
      </c>
      <c r="E3516" s="0" t="s">
        <v>89</v>
      </c>
      <c r="F3516" s="0" t="s">
        <v>15</v>
      </c>
      <c r="G3516" s="0" t="s">
        <v>26</v>
      </c>
      <c r="H3516" s="0" t="n">
        <v>74</v>
      </c>
      <c r="I3516" s="0" t="s">
        <v>11753</v>
      </c>
      <c r="J3516" s="0" t="s">
        <v>11754</v>
      </c>
      <c r="K3516" s="0" t="s">
        <v>11755</v>
      </c>
      <c r="L3516" s="0" t="str">
        <f aca="false">HYPERLINK("https://www.ncbi.nlm.nih.gov/nuccore/CP000304.1?report=graph&amp;tracks=[key:gene_model_track,Options:GeneOnly]&amp;mk=1021267:1021286|offset_43|444444,1021298:1021317|offset_74|00cc00,1021318:1021337|offset_94|444444,1021340:1021359|offset_116|444444&amp;v=1021066:1021559&amp;c=444444", "offset 74")</f>
        <v>offset 74</v>
      </c>
    </row>
    <row r="3517" customFormat="false" ht="12.8" hidden="false" customHeight="false" outlineLevel="0" collapsed="false">
      <c r="A3517" s="0" t="s">
        <v>12</v>
      </c>
      <c r="B3517" s="0" t="n">
        <v>1021317</v>
      </c>
      <c r="C3517" s="0" t="n">
        <v>1021337</v>
      </c>
      <c r="D3517" s="0" t="s">
        <v>11749</v>
      </c>
      <c r="E3517" s="0" t="s">
        <v>89</v>
      </c>
      <c r="F3517" s="0" t="s">
        <v>15</v>
      </c>
      <c r="G3517" s="0" t="s">
        <v>16</v>
      </c>
      <c r="H3517" s="0" t="n">
        <v>94</v>
      </c>
      <c r="I3517" s="0" t="s">
        <v>11756</v>
      </c>
      <c r="J3517" s="0" t="s">
        <v>11757</v>
      </c>
      <c r="K3517" s="0" t="s">
        <v>11758</v>
      </c>
      <c r="L3517" s="0" t="str">
        <f aca="false">HYPERLINK("https://www.ncbi.nlm.nih.gov/nuccore/CP000304.1?report=graph&amp;tracks=[key:gene_model_track,Options:GeneOnly]&amp;mk=1021267:1021286|offset_43|444444,1021298:1021317|offset_74|444444,1021318:1021337|offset_94|00cc00,1021340:1021359|offset_116|444444&amp;v=1021066:1021559&amp;c=444444", "offset 94")</f>
        <v>offset 94</v>
      </c>
    </row>
    <row r="3518" customFormat="false" ht="12.8" hidden="false" customHeight="false" outlineLevel="0" collapsed="false">
      <c r="A3518" s="0" t="s">
        <v>12</v>
      </c>
      <c r="B3518" s="0" t="n">
        <v>1021339</v>
      </c>
      <c r="C3518" s="0" t="n">
        <v>1021359</v>
      </c>
      <c r="D3518" s="0" t="s">
        <v>11749</v>
      </c>
      <c r="E3518" s="0" t="s">
        <v>89</v>
      </c>
      <c r="F3518" s="0" t="s">
        <v>15</v>
      </c>
      <c r="G3518" s="0" t="s">
        <v>26</v>
      </c>
      <c r="H3518" s="0" t="n">
        <v>116</v>
      </c>
      <c r="I3518" s="0" t="s">
        <v>11759</v>
      </c>
      <c r="J3518" s="0" t="s">
        <v>11760</v>
      </c>
      <c r="K3518" s="0" t="s">
        <v>11761</v>
      </c>
      <c r="L3518" s="0" t="str">
        <f aca="false">HYPERLINK("https://www.ncbi.nlm.nih.gov/nuccore/CP000304.1?report=graph&amp;tracks=[key:gene_model_track,Options:GeneOnly]&amp;mk=1021267:1021286|offset_43|444444,1021298:1021317|offset_74|444444,1021318:1021337|offset_94|444444,1021340:1021359|offset_116|00cc00&amp;v=1021066:1021559&amp;c=444444", "offset 116")</f>
        <v>offset 116</v>
      </c>
    </row>
    <row r="3519" customFormat="false" ht="12.8" hidden="false" customHeight="false" outlineLevel="0" collapsed="false">
      <c r="A3519" s="0" t="s">
        <v>12</v>
      </c>
      <c r="B3519" s="0" t="n">
        <v>1021659</v>
      </c>
      <c r="C3519" s="0" t="n">
        <v>1021679</v>
      </c>
      <c r="D3519" s="0" t="s">
        <v>11762</v>
      </c>
      <c r="E3519" s="0" t="s">
        <v>89</v>
      </c>
      <c r="F3519" s="0" t="s">
        <v>15</v>
      </c>
      <c r="G3519" s="0" t="s">
        <v>36</v>
      </c>
      <c r="H3519" s="0" t="n">
        <v>0</v>
      </c>
      <c r="I3519" s="0" t="s">
        <v>11763</v>
      </c>
      <c r="J3519" s="0" t="s">
        <v>11764</v>
      </c>
      <c r="K3519" s="0" t="s">
        <v>11765</v>
      </c>
      <c r="L3519" s="0" t="str">
        <f aca="false">HYPERLINK("https://www.ncbi.nlm.nih.gov/nuccore/CP000304.1?report=graph&amp;tracks=[key:gene_model_track,Options:GeneOnly]&amp;mk=1021660:1021679|offset_0|00cc00,1021690:1021709|offset_30|444444,1021710:1021729|offset_50|444444,1021763:1021782|offset_103|444444&amp;v=1021459:1021982&amp;c=444444", "offset 0")</f>
        <v>offset 0</v>
      </c>
    </row>
    <row r="3520" customFormat="false" ht="12.8" hidden="false" customHeight="false" outlineLevel="0" collapsed="false">
      <c r="A3520" s="0" t="s">
        <v>12</v>
      </c>
      <c r="B3520" s="0" t="n">
        <v>1021689</v>
      </c>
      <c r="C3520" s="0" t="n">
        <v>1021709</v>
      </c>
      <c r="D3520" s="0" t="s">
        <v>11762</v>
      </c>
      <c r="E3520" s="0" t="s">
        <v>89</v>
      </c>
      <c r="F3520" s="0" t="s">
        <v>15</v>
      </c>
      <c r="G3520" s="0" t="s">
        <v>26</v>
      </c>
      <c r="H3520" s="0" t="n">
        <v>30</v>
      </c>
      <c r="I3520" s="0" t="s">
        <v>11766</v>
      </c>
      <c r="J3520" s="0" t="s">
        <v>11767</v>
      </c>
      <c r="K3520" s="0" t="s">
        <v>11768</v>
      </c>
      <c r="L3520" s="0" t="str">
        <f aca="false">HYPERLINK("https://www.ncbi.nlm.nih.gov/nuccore/CP000304.1?report=graph&amp;tracks=[key:gene_model_track,Options:GeneOnly]&amp;mk=1021660:1021679|offset_0|444444,1021690:1021709|offset_30|00cc00,1021710:1021729|offset_50|444444,1021763:1021782|offset_103|444444&amp;v=1021459:1021982&amp;c=444444", "offset 30")</f>
        <v>offset 30</v>
      </c>
    </row>
    <row r="3521" customFormat="false" ht="12.8" hidden="false" customHeight="false" outlineLevel="0" collapsed="false">
      <c r="A3521" s="0" t="s">
        <v>12</v>
      </c>
      <c r="B3521" s="0" t="n">
        <v>1021709</v>
      </c>
      <c r="C3521" s="0" t="n">
        <v>1021729</v>
      </c>
      <c r="D3521" s="0" t="s">
        <v>11762</v>
      </c>
      <c r="E3521" s="0" t="s">
        <v>89</v>
      </c>
      <c r="F3521" s="0" t="s">
        <v>15</v>
      </c>
      <c r="G3521" s="0" t="s">
        <v>32</v>
      </c>
      <c r="H3521" s="0" t="n">
        <v>50</v>
      </c>
      <c r="I3521" s="0" t="s">
        <v>11769</v>
      </c>
      <c r="J3521" s="0" t="s">
        <v>11770</v>
      </c>
      <c r="K3521" s="0" t="s">
        <v>11771</v>
      </c>
      <c r="L3521" s="0" t="str">
        <f aca="false">HYPERLINK("https://www.ncbi.nlm.nih.gov/nuccore/CP000304.1?report=graph&amp;tracks=[key:gene_model_track,Options:GeneOnly]&amp;mk=1021660:1021679|offset_0|444444,1021690:1021709|offset_30|444444,1021710:1021729|offset_50|00cc00,1021763:1021782|offset_103|444444&amp;v=1021459:1021982&amp;c=444444", "offset 50")</f>
        <v>offset 50</v>
      </c>
    </row>
    <row r="3522" customFormat="false" ht="12.8" hidden="false" customHeight="false" outlineLevel="0" collapsed="false">
      <c r="A3522" s="0" t="s">
        <v>12</v>
      </c>
      <c r="B3522" s="0" t="n">
        <v>1021762</v>
      </c>
      <c r="C3522" s="0" t="n">
        <v>1021782</v>
      </c>
      <c r="D3522" s="0" t="s">
        <v>11762</v>
      </c>
      <c r="E3522" s="0" t="s">
        <v>89</v>
      </c>
      <c r="F3522" s="0" t="s">
        <v>15</v>
      </c>
      <c r="G3522" s="0" t="s">
        <v>36</v>
      </c>
      <c r="H3522" s="0" t="n">
        <v>103</v>
      </c>
      <c r="I3522" s="0" t="s">
        <v>11772</v>
      </c>
      <c r="J3522" s="0" t="s">
        <v>11773</v>
      </c>
      <c r="K3522" s="0" t="s">
        <v>11774</v>
      </c>
      <c r="L3522" s="0" t="str">
        <f aca="false">HYPERLINK("https://www.ncbi.nlm.nih.gov/nuccore/CP000304.1?report=graph&amp;tracks=[key:gene_model_track,Options:GeneOnly]&amp;mk=1021660:1021679|offset_0|444444,1021690:1021709|offset_30|444444,1021710:1021729|offset_50|444444,1021763:1021782|offset_103|00cc00&amp;v=1021459:1021982&amp;c=444444", "offset 103")</f>
        <v>offset 103</v>
      </c>
    </row>
    <row r="3523" customFormat="false" ht="12.8" hidden="false" customHeight="false" outlineLevel="0" collapsed="false">
      <c r="A3523" s="0" t="s">
        <v>12</v>
      </c>
      <c r="B3523" s="0" t="n">
        <v>1024980</v>
      </c>
      <c r="C3523" s="0" t="n">
        <v>1025000</v>
      </c>
      <c r="D3523" s="0" t="s">
        <v>11775</v>
      </c>
      <c r="E3523" s="0" t="s">
        <v>11776</v>
      </c>
      <c r="F3523" s="0" t="s">
        <v>90</v>
      </c>
      <c r="G3523" s="0" t="s">
        <v>32</v>
      </c>
      <c r="H3523" s="0" t="n">
        <v>1</v>
      </c>
      <c r="I3523" s="0" t="s">
        <v>11777</v>
      </c>
      <c r="J3523" s="0" t="s">
        <v>11778</v>
      </c>
      <c r="K3523" s="0" t="s">
        <v>11779</v>
      </c>
      <c r="L3523" s="0" t="str">
        <f aca="false">HYPERLINK("https://www.ncbi.nlm.nih.gov/nuccore/CP000304.1?report=graph&amp;tracks=[key:gene_model_track,Options:GeneOnly]&amp;mk=1024981:1025000|offset_1|00cc00,1024959:1024978|offset_23|444444,1024933:1024952|offset_49|444444,1024898:1024917|offset_84|444444&amp;v=1024780:1025117&amp;c=444444", "offset 1")</f>
        <v>offset 1</v>
      </c>
    </row>
    <row r="3524" customFormat="false" ht="12.8" hidden="false" customHeight="false" outlineLevel="0" collapsed="false">
      <c r="A3524" s="0" t="s">
        <v>12</v>
      </c>
      <c r="B3524" s="0" t="n">
        <v>1024958</v>
      </c>
      <c r="C3524" s="0" t="n">
        <v>1024978</v>
      </c>
      <c r="D3524" s="0" t="s">
        <v>11775</v>
      </c>
      <c r="E3524" s="0" t="s">
        <v>11776</v>
      </c>
      <c r="F3524" s="0" t="s">
        <v>90</v>
      </c>
      <c r="G3524" s="0" t="s">
        <v>36</v>
      </c>
      <c r="H3524" s="0" t="n">
        <v>23</v>
      </c>
      <c r="I3524" s="0" t="s">
        <v>11780</v>
      </c>
      <c r="J3524" s="0" t="s">
        <v>11781</v>
      </c>
      <c r="K3524" s="0" t="s">
        <v>11782</v>
      </c>
      <c r="L3524" s="0" t="str">
        <f aca="false">HYPERLINK("https://www.ncbi.nlm.nih.gov/nuccore/CP000304.1?report=graph&amp;tracks=[key:gene_model_track,Options:GeneOnly]&amp;mk=1024981:1025000|offset_1|444444,1024959:1024978|offset_23|00cc00,1024933:1024952|offset_49|444444,1024898:1024917|offset_84|444444&amp;v=1024780:1025117&amp;c=444444", "offset 23")</f>
        <v>offset 23</v>
      </c>
    </row>
    <row r="3525" customFormat="false" ht="12.8" hidden="false" customHeight="false" outlineLevel="0" collapsed="false">
      <c r="A3525" s="0" t="s">
        <v>12</v>
      </c>
      <c r="B3525" s="0" t="n">
        <v>1024932</v>
      </c>
      <c r="C3525" s="0" t="n">
        <v>1024952</v>
      </c>
      <c r="D3525" s="0" t="s">
        <v>11775</v>
      </c>
      <c r="E3525" s="0" t="s">
        <v>11776</v>
      </c>
      <c r="F3525" s="0" t="s">
        <v>90</v>
      </c>
      <c r="G3525" s="0" t="s">
        <v>16</v>
      </c>
      <c r="H3525" s="0" t="n">
        <v>49</v>
      </c>
      <c r="I3525" s="0" t="s">
        <v>11783</v>
      </c>
      <c r="J3525" s="0" t="s">
        <v>11784</v>
      </c>
      <c r="K3525" s="0" t="s">
        <v>11785</v>
      </c>
      <c r="L3525" s="0" t="str">
        <f aca="false">HYPERLINK("https://www.ncbi.nlm.nih.gov/nuccore/CP000304.1?report=graph&amp;tracks=[key:gene_model_track,Options:GeneOnly]&amp;mk=1024981:1025000|offset_1|444444,1024959:1024978|offset_23|444444,1024933:1024952|offset_49|00cc00,1024898:1024917|offset_84|444444&amp;v=1024780:1025117&amp;c=444444", "offset 49")</f>
        <v>offset 49</v>
      </c>
    </row>
    <row r="3526" customFormat="false" ht="12.8" hidden="false" customHeight="false" outlineLevel="0" collapsed="false">
      <c r="A3526" s="0" t="s">
        <v>12</v>
      </c>
      <c r="B3526" s="0" t="n">
        <v>1024897</v>
      </c>
      <c r="C3526" s="0" t="n">
        <v>1024917</v>
      </c>
      <c r="D3526" s="0" t="s">
        <v>11775</v>
      </c>
      <c r="E3526" s="0" t="s">
        <v>11776</v>
      </c>
      <c r="F3526" s="0" t="s">
        <v>90</v>
      </c>
      <c r="G3526" s="0" t="s">
        <v>16</v>
      </c>
      <c r="H3526" s="0" t="n">
        <v>84</v>
      </c>
      <c r="I3526" s="0" t="s">
        <v>11786</v>
      </c>
      <c r="J3526" s="0" t="s">
        <v>11787</v>
      </c>
      <c r="K3526" s="0" t="s">
        <v>11788</v>
      </c>
      <c r="L3526" s="0" t="str">
        <f aca="false">HYPERLINK("https://www.ncbi.nlm.nih.gov/nuccore/CP000304.1?report=graph&amp;tracks=[key:gene_model_track,Options:GeneOnly]&amp;mk=1024981:1025000|offset_1|444444,1024959:1024978|offset_23|444444,1024933:1024952|offset_49|444444,1024898:1024917|offset_84|00cc00&amp;v=1024780:1025117&amp;c=444444", "offset 84")</f>
        <v>offset 84</v>
      </c>
    </row>
    <row r="3527" customFormat="false" ht="12.8" hidden="false" customHeight="false" outlineLevel="0" collapsed="false">
      <c r="A3527" s="0" t="s">
        <v>12</v>
      </c>
      <c r="B3527" s="0" t="n">
        <v>1026367</v>
      </c>
      <c r="C3527" s="0" t="n">
        <v>1026387</v>
      </c>
      <c r="D3527" s="0" t="s">
        <v>11789</v>
      </c>
      <c r="E3527" s="0" t="s">
        <v>89</v>
      </c>
      <c r="F3527" s="0" t="s">
        <v>90</v>
      </c>
      <c r="G3527" s="0" t="s">
        <v>32</v>
      </c>
      <c r="H3527" s="0" t="n">
        <v>1</v>
      </c>
      <c r="I3527" s="0" t="s">
        <v>11790</v>
      </c>
      <c r="J3527" s="0" t="s">
        <v>11791</v>
      </c>
      <c r="K3527" s="0" t="s">
        <v>11792</v>
      </c>
      <c r="L3527" s="0" t="str">
        <f aca="false">HYPERLINK("https://www.ncbi.nlm.nih.gov/nuccore/CP000304.1?report=graph&amp;tracks=[key:gene_model_track,Options:GeneOnly]&amp;mk=1026368:1026387|offset_1|00cc00,1026317:1026336|offset_52|444444,1026296:1026315|offset_73|444444,1026258:1026277|offset_111|444444&amp;v=1026167:1026477&amp;c=444444", "offset 1")</f>
        <v>offset 1</v>
      </c>
    </row>
    <row r="3528" customFormat="false" ht="12.8" hidden="false" customHeight="false" outlineLevel="0" collapsed="false">
      <c r="A3528" s="0" t="s">
        <v>12</v>
      </c>
      <c r="B3528" s="0" t="n">
        <v>1026316</v>
      </c>
      <c r="C3528" s="0" t="n">
        <v>1026336</v>
      </c>
      <c r="D3528" s="0" t="s">
        <v>11789</v>
      </c>
      <c r="E3528" s="0" t="s">
        <v>89</v>
      </c>
      <c r="F3528" s="0" t="s">
        <v>90</v>
      </c>
      <c r="G3528" s="0" t="s">
        <v>16</v>
      </c>
      <c r="H3528" s="0" t="n">
        <v>52</v>
      </c>
      <c r="I3528" s="0" t="s">
        <v>11793</v>
      </c>
      <c r="J3528" s="0" t="s">
        <v>11794</v>
      </c>
      <c r="K3528" s="0" t="s">
        <v>11795</v>
      </c>
      <c r="L3528" s="0" t="str">
        <f aca="false">HYPERLINK("https://www.ncbi.nlm.nih.gov/nuccore/CP000304.1?report=graph&amp;tracks=[key:gene_model_track,Options:GeneOnly]&amp;mk=1026368:1026387|offset_1|444444,1026317:1026336|offset_52|00cc00,1026296:1026315|offset_73|444444,1026258:1026277|offset_111|444444&amp;v=1026167:1026477&amp;c=444444", "offset 52")</f>
        <v>offset 52</v>
      </c>
    </row>
    <row r="3529" customFormat="false" ht="12.8" hidden="false" customHeight="false" outlineLevel="0" collapsed="false">
      <c r="A3529" s="0" t="s">
        <v>12</v>
      </c>
      <c r="B3529" s="0" t="n">
        <v>1026295</v>
      </c>
      <c r="C3529" s="0" t="n">
        <v>1026315</v>
      </c>
      <c r="D3529" s="0" t="s">
        <v>11789</v>
      </c>
      <c r="E3529" s="0" t="s">
        <v>89</v>
      </c>
      <c r="F3529" s="0" t="s">
        <v>90</v>
      </c>
      <c r="G3529" s="0" t="s">
        <v>32</v>
      </c>
      <c r="H3529" s="0" t="n">
        <v>73</v>
      </c>
      <c r="I3529" s="0" t="s">
        <v>11796</v>
      </c>
      <c r="J3529" s="0" t="s">
        <v>11797</v>
      </c>
      <c r="K3529" s="0" t="s">
        <v>11798</v>
      </c>
      <c r="L3529" s="0" t="str">
        <f aca="false">HYPERLINK("https://www.ncbi.nlm.nih.gov/nuccore/CP000304.1?report=graph&amp;tracks=[key:gene_model_track,Options:GeneOnly]&amp;mk=1026368:1026387|offset_1|444444,1026317:1026336|offset_52|444444,1026296:1026315|offset_73|00cc00,1026258:1026277|offset_111|444444&amp;v=1026167:1026477&amp;c=444444", "offset 73")</f>
        <v>offset 73</v>
      </c>
    </row>
    <row r="3530" customFormat="false" ht="12.8" hidden="false" customHeight="false" outlineLevel="0" collapsed="false">
      <c r="A3530" s="0" t="s">
        <v>12</v>
      </c>
      <c r="B3530" s="0" t="n">
        <v>1026257</v>
      </c>
      <c r="C3530" s="0" t="n">
        <v>1026277</v>
      </c>
      <c r="D3530" s="0" t="s">
        <v>11789</v>
      </c>
      <c r="E3530" s="0" t="s">
        <v>89</v>
      </c>
      <c r="F3530" s="0" t="s">
        <v>90</v>
      </c>
      <c r="G3530" s="0" t="s">
        <v>16</v>
      </c>
      <c r="H3530" s="0" t="n">
        <v>111</v>
      </c>
      <c r="I3530" s="0" t="s">
        <v>11799</v>
      </c>
      <c r="J3530" s="0" t="s">
        <v>11800</v>
      </c>
      <c r="K3530" s="0" t="s">
        <v>11801</v>
      </c>
      <c r="L3530" s="0" t="str">
        <f aca="false">HYPERLINK("https://www.ncbi.nlm.nih.gov/nuccore/CP000304.1?report=graph&amp;tracks=[key:gene_model_track,Options:GeneOnly]&amp;mk=1026368:1026387|offset_1|444444,1026317:1026336|offset_52|444444,1026296:1026315|offset_73|444444,1026258:1026277|offset_111|00cc00&amp;v=1026167:1026477&amp;c=444444", "offset 111")</f>
        <v>offset 111</v>
      </c>
    </row>
    <row r="3531" customFormat="false" ht="12.8" hidden="false" customHeight="false" outlineLevel="0" collapsed="false">
      <c r="A3531" s="0" t="s">
        <v>12</v>
      </c>
      <c r="B3531" s="0" t="n">
        <v>1026519</v>
      </c>
      <c r="C3531" s="0" t="n">
        <v>1026539</v>
      </c>
      <c r="D3531" s="0" t="s">
        <v>11802</v>
      </c>
      <c r="E3531" s="0" t="s">
        <v>89</v>
      </c>
      <c r="F3531" s="0" t="s">
        <v>15</v>
      </c>
      <c r="G3531" s="0" t="s">
        <v>32</v>
      </c>
      <c r="H3531" s="0" t="n">
        <v>1</v>
      </c>
      <c r="I3531" s="0" t="s">
        <v>11803</v>
      </c>
      <c r="J3531" s="0" t="s">
        <v>11804</v>
      </c>
      <c r="K3531" s="0" t="s">
        <v>11805</v>
      </c>
      <c r="L3531" s="0" t="str">
        <f aca="false">HYPERLINK("https://www.ncbi.nlm.nih.gov/nuccore/CP000304.1?report=graph&amp;tracks=[key:gene_model_track,Options:GeneOnly]&amp;mk=1026520:1026539|offset_1|00cc00,1026543:1026562|offset_24|444444,1026566:1026585|offset_47|444444,1026604:1026623|offset_85|444444&amp;v=1026319:1026823&amp;c=444444", "offset 1")</f>
        <v>offset 1</v>
      </c>
    </row>
    <row r="3532" customFormat="false" ht="12.8" hidden="false" customHeight="false" outlineLevel="0" collapsed="false">
      <c r="A3532" s="0" t="s">
        <v>12</v>
      </c>
      <c r="B3532" s="0" t="n">
        <v>1026542</v>
      </c>
      <c r="C3532" s="0" t="n">
        <v>1026562</v>
      </c>
      <c r="D3532" s="0" t="s">
        <v>11802</v>
      </c>
      <c r="E3532" s="0" t="s">
        <v>89</v>
      </c>
      <c r="F3532" s="0" t="s">
        <v>15</v>
      </c>
      <c r="G3532" s="0" t="s">
        <v>16</v>
      </c>
      <c r="H3532" s="0" t="n">
        <v>24</v>
      </c>
      <c r="I3532" s="0" t="s">
        <v>11806</v>
      </c>
      <c r="J3532" s="0" t="s">
        <v>11807</v>
      </c>
      <c r="K3532" s="0" t="s">
        <v>11808</v>
      </c>
      <c r="L3532" s="0" t="str">
        <f aca="false">HYPERLINK("https://www.ncbi.nlm.nih.gov/nuccore/CP000304.1?report=graph&amp;tracks=[key:gene_model_track,Options:GeneOnly]&amp;mk=1026520:1026539|offset_1|444444,1026543:1026562|offset_24|00cc00,1026566:1026585|offset_47|444444,1026604:1026623|offset_85|444444&amp;v=1026319:1026823&amp;c=444444", "offset 24")</f>
        <v>offset 24</v>
      </c>
    </row>
    <row r="3533" customFormat="false" ht="12.8" hidden="false" customHeight="false" outlineLevel="0" collapsed="false">
      <c r="A3533" s="0" t="s">
        <v>12</v>
      </c>
      <c r="B3533" s="0" t="n">
        <v>1026565</v>
      </c>
      <c r="C3533" s="0" t="n">
        <v>1026585</v>
      </c>
      <c r="D3533" s="0" t="s">
        <v>11802</v>
      </c>
      <c r="E3533" s="0" t="s">
        <v>89</v>
      </c>
      <c r="F3533" s="0" t="s">
        <v>15</v>
      </c>
      <c r="G3533" s="0" t="s">
        <v>26</v>
      </c>
      <c r="H3533" s="0" t="n">
        <v>47</v>
      </c>
      <c r="I3533" s="0" t="s">
        <v>11809</v>
      </c>
      <c r="J3533" s="0" t="s">
        <v>11810</v>
      </c>
      <c r="K3533" s="0" t="s">
        <v>11811</v>
      </c>
      <c r="L3533" s="0" t="str">
        <f aca="false">HYPERLINK("https://www.ncbi.nlm.nih.gov/nuccore/CP000304.1?report=graph&amp;tracks=[key:gene_model_track,Options:GeneOnly]&amp;mk=1026520:1026539|offset_1|444444,1026543:1026562|offset_24|444444,1026566:1026585|offset_47|00cc00,1026604:1026623|offset_85|444444&amp;v=1026319:1026823&amp;c=444444", "offset 47")</f>
        <v>offset 47</v>
      </c>
    </row>
    <row r="3534" customFormat="false" ht="12.8" hidden="false" customHeight="false" outlineLevel="0" collapsed="false">
      <c r="A3534" s="0" t="s">
        <v>12</v>
      </c>
      <c r="B3534" s="0" t="n">
        <v>1026603</v>
      </c>
      <c r="C3534" s="0" t="n">
        <v>1026623</v>
      </c>
      <c r="D3534" s="0" t="s">
        <v>11802</v>
      </c>
      <c r="E3534" s="0" t="s">
        <v>89</v>
      </c>
      <c r="F3534" s="0" t="s">
        <v>15</v>
      </c>
      <c r="G3534" s="0" t="s">
        <v>16</v>
      </c>
      <c r="H3534" s="0" t="n">
        <v>85</v>
      </c>
      <c r="I3534" s="0" t="s">
        <v>11812</v>
      </c>
      <c r="J3534" s="0" t="s">
        <v>11813</v>
      </c>
      <c r="K3534" s="0" t="s">
        <v>11814</v>
      </c>
      <c r="L3534" s="0" t="str">
        <f aca="false">HYPERLINK("https://www.ncbi.nlm.nih.gov/nuccore/CP000304.1?report=graph&amp;tracks=[key:gene_model_track,Options:GeneOnly]&amp;mk=1026520:1026539|offset_1|444444,1026543:1026562|offset_24|444444,1026566:1026585|offset_47|444444,1026604:1026623|offset_85|00cc00&amp;v=1026319:1026823&amp;c=444444", "offset 85")</f>
        <v>offset 85</v>
      </c>
    </row>
    <row r="3535" customFormat="false" ht="12.8" hidden="false" customHeight="false" outlineLevel="0" collapsed="false">
      <c r="A3535" s="0" t="s">
        <v>12</v>
      </c>
      <c r="B3535" s="0" t="n">
        <v>1027187</v>
      </c>
      <c r="C3535" s="0" t="n">
        <v>1027207</v>
      </c>
      <c r="D3535" s="0" t="s">
        <v>11815</v>
      </c>
      <c r="E3535" s="0" t="s">
        <v>89</v>
      </c>
      <c r="F3535" s="0" t="s">
        <v>15</v>
      </c>
      <c r="G3535" s="0" t="s">
        <v>36</v>
      </c>
      <c r="H3535" s="0" t="n">
        <v>37</v>
      </c>
      <c r="I3535" s="0" t="s">
        <v>11816</v>
      </c>
      <c r="J3535" s="0" t="s">
        <v>11817</v>
      </c>
      <c r="K3535" s="0" t="s">
        <v>11818</v>
      </c>
      <c r="L3535" s="0" t="str">
        <f aca="false">HYPERLINK("https://www.ncbi.nlm.nih.gov/nuccore/CP000304.1?report=graph&amp;tracks=[key:gene_model_track,Options:GeneOnly]&amp;mk=1027188:1027207|offset_37|00cc00,1027242:1027261|offset_91|444444,1027297:1027316|offset_146|444444,1027317:1027336|offset_166|444444&amp;v=1026987:1027536&amp;c=444444", "offset 37")</f>
        <v>offset 37</v>
      </c>
    </row>
    <row r="3536" customFormat="false" ht="12.8" hidden="false" customHeight="false" outlineLevel="0" collapsed="false">
      <c r="A3536" s="0" t="s">
        <v>12</v>
      </c>
      <c r="B3536" s="0" t="n">
        <v>1027241</v>
      </c>
      <c r="C3536" s="0" t="n">
        <v>1027261</v>
      </c>
      <c r="D3536" s="0" t="s">
        <v>11815</v>
      </c>
      <c r="E3536" s="0" t="s">
        <v>89</v>
      </c>
      <c r="F3536" s="0" t="s">
        <v>15</v>
      </c>
      <c r="G3536" s="0" t="s">
        <v>26</v>
      </c>
      <c r="H3536" s="0" t="n">
        <v>91</v>
      </c>
      <c r="I3536" s="0" t="s">
        <v>11819</v>
      </c>
      <c r="J3536" s="0" t="s">
        <v>11820</v>
      </c>
      <c r="K3536" s="0" t="s">
        <v>11821</v>
      </c>
      <c r="L3536" s="0" t="str">
        <f aca="false">HYPERLINK("https://www.ncbi.nlm.nih.gov/nuccore/CP000304.1?report=graph&amp;tracks=[key:gene_model_track,Options:GeneOnly]&amp;mk=1027188:1027207|offset_37|444444,1027242:1027261|offset_91|00cc00,1027297:1027316|offset_146|444444,1027317:1027336|offset_166|444444&amp;v=1026987:1027536&amp;c=444444", "offset 91")</f>
        <v>offset 91</v>
      </c>
    </row>
    <row r="3537" customFormat="false" ht="12.8" hidden="false" customHeight="false" outlineLevel="0" collapsed="false">
      <c r="A3537" s="0" t="s">
        <v>12</v>
      </c>
      <c r="B3537" s="0" t="n">
        <v>1027296</v>
      </c>
      <c r="C3537" s="0" t="n">
        <v>1027316</v>
      </c>
      <c r="D3537" s="0" t="s">
        <v>11815</v>
      </c>
      <c r="E3537" s="0" t="s">
        <v>89</v>
      </c>
      <c r="F3537" s="0" t="s">
        <v>15</v>
      </c>
      <c r="G3537" s="0" t="s">
        <v>16</v>
      </c>
      <c r="H3537" s="0" t="n">
        <v>146</v>
      </c>
      <c r="I3537" s="0" t="s">
        <v>11822</v>
      </c>
      <c r="J3537" s="0" t="s">
        <v>11823</v>
      </c>
      <c r="K3537" s="0" t="s">
        <v>11824</v>
      </c>
      <c r="L3537" s="0" t="str">
        <f aca="false">HYPERLINK("https://www.ncbi.nlm.nih.gov/nuccore/CP000304.1?report=graph&amp;tracks=[key:gene_model_track,Options:GeneOnly]&amp;mk=1027188:1027207|offset_37|444444,1027242:1027261|offset_91|444444,1027297:1027316|offset_146|00cc00,1027317:1027336|offset_166|444444&amp;v=1026987:1027536&amp;c=444444", "offset 146")</f>
        <v>offset 146</v>
      </c>
    </row>
    <row r="3538" customFormat="false" ht="12.8" hidden="false" customHeight="false" outlineLevel="0" collapsed="false">
      <c r="A3538" s="0" t="s">
        <v>12</v>
      </c>
      <c r="B3538" s="0" t="n">
        <v>1027316</v>
      </c>
      <c r="C3538" s="0" t="n">
        <v>1027336</v>
      </c>
      <c r="D3538" s="0" t="s">
        <v>11815</v>
      </c>
      <c r="E3538" s="0" t="s">
        <v>89</v>
      </c>
      <c r="F3538" s="0" t="s">
        <v>15</v>
      </c>
      <c r="G3538" s="0" t="s">
        <v>16</v>
      </c>
      <c r="H3538" s="0" t="n">
        <v>166</v>
      </c>
      <c r="I3538" s="0" t="s">
        <v>11825</v>
      </c>
      <c r="J3538" s="0" t="s">
        <v>11826</v>
      </c>
      <c r="K3538" s="0" t="s">
        <v>11827</v>
      </c>
      <c r="L3538" s="0" t="str">
        <f aca="false">HYPERLINK("https://www.ncbi.nlm.nih.gov/nuccore/CP000304.1?report=graph&amp;tracks=[key:gene_model_track,Options:GeneOnly]&amp;mk=1027188:1027207|offset_37|444444,1027242:1027261|offset_91|444444,1027297:1027316|offset_146|444444,1027317:1027336|offset_166|00cc00&amp;v=1026987:1027536&amp;c=444444", "offset 166")</f>
        <v>offset 166</v>
      </c>
    </row>
    <row r="3539" customFormat="false" ht="12.8" hidden="false" customHeight="false" outlineLevel="0" collapsed="false">
      <c r="A3539" s="0" t="s">
        <v>12</v>
      </c>
      <c r="B3539" s="0" t="n">
        <v>1028138</v>
      </c>
      <c r="C3539" s="0" t="n">
        <v>1028158</v>
      </c>
      <c r="D3539" s="0" t="s">
        <v>11828</v>
      </c>
      <c r="E3539" s="0" t="s">
        <v>89</v>
      </c>
      <c r="F3539" s="0" t="s">
        <v>15</v>
      </c>
      <c r="G3539" s="0" t="s">
        <v>26</v>
      </c>
      <c r="H3539" s="0" t="n">
        <v>60</v>
      </c>
      <c r="I3539" s="0" t="s">
        <v>11829</v>
      </c>
      <c r="J3539" s="0" t="s">
        <v>11830</v>
      </c>
      <c r="K3539" s="0" t="s">
        <v>11831</v>
      </c>
      <c r="L3539" s="0" t="str">
        <f aca="false">HYPERLINK("https://www.ncbi.nlm.nih.gov/nuccore/CP000304.1?report=graph&amp;tracks=[key:gene_model_track,Options:GeneOnly]&amp;mk=1028139:1028158|offset_60|00cc00,1028170:1028189|offset_91|444444,1028192:1028211|offset_113|444444,1028226:1028245|offset_147|444444&amp;v=1027938:1028445&amp;c=444444", "offset 60")</f>
        <v>offset 60</v>
      </c>
    </row>
    <row r="3540" customFormat="false" ht="12.8" hidden="false" customHeight="false" outlineLevel="0" collapsed="false">
      <c r="A3540" s="0" t="s">
        <v>12</v>
      </c>
      <c r="B3540" s="0" t="n">
        <v>1028169</v>
      </c>
      <c r="C3540" s="0" t="n">
        <v>1028189</v>
      </c>
      <c r="D3540" s="0" t="s">
        <v>11828</v>
      </c>
      <c r="E3540" s="0" t="s">
        <v>89</v>
      </c>
      <c r="F3540" s="0" t="s">
        <v>15</v>
      </c>
      <c r="G3540" s="0" t="s">
        <v>16</v>
      </c>
      <c r="H3540" s="0" t="n">
        <v>91</v>
      </c>
      <c r="I3540" s="0" t="s">
        <v>11832</v>
      </c>
      <c r="J3540" s="0" t="s">
        <v>11833</v>
      </c>
      <c r="K3540" s="0" t="s">
        <v>11834</v>
      </c>
      <c r="L3540" s="0" t="str">
        <f aca="false">HYPERLINK("https://www.ncbi.nlm.nih.gov/nuccore/CP000304.1?report=graph&amp;tracks=[key:gene_model_track,Options:GeneOnly]&amp;mk=1028139:1028158|offset_60|444444,1028170:1028189|offset_91|00cc00,1028192:1028211|offset_113|444444,1028226:1028245|offset_147|444444&amp;v=1027938:1028445&amp;c=444444", "offset 91")</f>
        <v>offset 91</v>
      </c>
    </row>
    <row r="3541" customFormat="false" ht="12.8" hidden="false" customHeight="false" outlineLevel="0" collapsed="false">
      <c r="A3541" s="0" t="s">
        <v>12</v>
      </c>
      <c r="B3541" s="0" t="n">
        <v>1028191</v>
      </c>
      <c r="C3541" s="0" t="n">
        <v>1028211</v>
      </c>
      <c r="D3541" s="0" t="s">
        <v>11828</v>
      </c>
      <c r="E3541" s="0" t="s">
        <v>89</v>
      </c>
      <c r="F3541" s="0" t="s">
        <v>15</v>
      </c>
      <c r="G3541" s="0" t="s">
        <v>16</v>
      </c>
      <c r="H3541" s="0" t="n">
        <v>113</v>
      </c>
      <c r="I3541" s="0" t="s">
        <v>11835</v>
      </c>
      <c r="J3541" s="0" t="s">
        <v>11836</v>
      </c>
      <c r="K3541" s="0" t="s">
        <v>11837</v>
      </c>
      <c r="L3541" s="0" t="str">
        <f aca="false">HYPERLINK("https://www.ncbi.nlm.nih.gov/nuccore/CP000304.1?report=graph&amp;tracks=[key:gene_model_track,Options:GeneOnly]&amp;mk=1028139:1028158|offset_60|444444,1028170:1028189|offset_91|444444,1028192:1028211|offset_113|00cc00,1028226:1028245|offset_147|444444&amp;v=1027938:1028445&amp;c=444444", "offset 113")</f>
        <v>offset 113</v>
      </c>
    </row>
    <row r="3542" customFormat="false" ht="12.8" hidden="false" customHeight="false" outlineLevel="0" collapsed="false">
      <c r="A3542" s="0" t="s">
        <v>12</v>
      </c>
      <c r="B3542" s="0" t="n">
        <v>1028225</v>
      </c>
      <c r="C3542" s="0" t="n">
        <v>1028245</v>
      </c>
      <c r="D3542" s="0" t="s">
        <v>11828</v>
      </c>
      <c r="E3542" s="0" t="s">
        <v>89</v>
      </c>
      <c r="F3542" s="0" t="s">
        <v>15</v>
      </c>
      <c r="G3542" s="0" t="s">
        <v>16</v>
      </c>
      <c r="H3542" s="0" t="n">
        <v>147</v>
      </c>
      <c r="I3542" s="0" t="s">
        <v>11838</v>
      </c>
      <c r="J3542" s="0" t="s">
        <v>11839</v>
      </c>
      <c r="K3542" s="0" t="s">
        <v>11840</v>
      </c>
      <c r="L3542" s="0" t="str">
        <f aca="false">HYPERLINK("https://www.ncbi.nlm.nih.gov/nuccore/CP000304.1?report=graph&amp;tracks=[key:gene_model_track,Options:GeneOnly]&amp;mk=1028139:1028158|offset_60|444444,1028170:1028189|offset_91|444444,1028192:1028211|offset_113|444444,1028226:1028245|offset_147|00cc00&amp;v=1027938:1028445&amp;c=444444", "offset 147")</f>
        <v>offset 147</v>
      </c>
    </row>
    <row r="3543" customFormat="false" ht="12.8" hidden="false" customHeight="false" outlineLevel="0" collapsed="false">
      <c r="A3543" s="0" t="s">
        <v>12</v>
      </c>
      <c r="B3543" s="0" t="n">
        <v>1028848</v>
      </c>
      <c r="C3543" s="0" t="n">
        <v>1028868</v>
      </c>
      <c r="D3543" s="0" t="s">
        <v>11841</v>
      </c>
      <c r="E3543" s="0" t="s">
        <v>89</v>
      </c>
      <c r="F3543" s="0" t="s">
        <v>15</v>
      </c>
      <c r="G3543" s="0" t="s">
        <v>32</v>
      </c>
      <c r="H3543" s="0" t="n">
        <v>1</v>
      </c>
      <c r="I3543" s="0" t="s">
        <v>11842</v>
      </c>
      <c r="J3543" s="0" t="s">
        <v>11843</v>
      </c>
      <c r="K3543" s="0" t="s">
        <v>11844</v>
      </c>
      <c r="L3543" s="0" t="str">
        <f aca="false">HYPERLINK("https://www.ncbi.nlm.nih.gov/nuccore/CP000304.1?report=graph&amp;tracks=[key:gene_model_track,Options:GeneOnly]&amp;mk=1028849:1028868|offset_1|00cc00,1028877:1028896|offset_29|444444,1028916:1028935|offset_68|444444,1028936:1028955|offset_88|444444&amp;v=1028648:1029155&amp;c=444444", "offset 1")</f>
        <v>offset 1</v>
      </c>
    </row>
    <row r="3544" customFormat="false" ht="12.8" hidden="false" customHeight="false" outlineLevel="0" collapsed="false">
      <c r="A3544" s="0" t="s">
        <v>12</v>
      </c>
      <c r="B3544" s="0" t="n">
        <v>1028876</v>
      </c>
      <c r="C3544" s="0" t="n">
        <v>1028896</v>
      </c>
      <c r="D3544" s="0" t="s">
        <v>11841</v>
      </c>
      <c r="E3544" s="0" t="s">
        <v>89</v>
      </c>
      <c r="F3544" s="0" t="s">
        <v>15</v>
      </c>
      <c r="G3544" s="0" t="s">
        <v>32</v>
      </c>
      <c r="H3544" s="0" t="n">
        <v>29</v>
      </c>
      <c r="I3544" s="0" t="s">
        <v>11845</v>
      </c>
      <c r="J3544" s="0" t="s">
        <v>11846</v>
      </c>
      <c r="K3544" s="0" t="s">
        <v>11847</v>
      </c>
      <c r="L3544" s="0" t="str">
        <f aca="false">HYPERLINK("https://www.ncbi.nlm.nih.gov/nuccore/CP000304.1?report=graph&amp;tracks=[key:gene_model_track,Options:GeneOnly]&amp;mk=1028849:1028868|offset_1|444444,1028877:1028896|offset_29|00cc00,1028916:1028935|offset_68|444444,1028936:1028955|offset_88|444444&amp;v=1028648:1029155&amp;c=444444", "offset 29")</f>
        <v>offset 29</v>
      </c>
    </row>
    <row r="3545" customFormat="false" ht="12.8" hidden="false" customHeight="false" outlineLevel="0" collapsed="false">
      <c r="A3545" s="0" t="s">
        <v>12</v>
      </c>
      <c r="B3545" s="0" t="n">
        <v>1028915</v>
      </c>
      <c r="C3545" s="0" t="n">
        <v>1028935</v>
      </c>
      <c r="D3545" s="0" t="s">
        <v>11841</v>
      </c>
      <c r="E3545" s="0" t="s">
        <v>89</v>
      </c>
      <c r="F3545" s="0" t="s">
        <v>15</v>
      </c>
      <c r="G3545" s="0" t="s">
        <v>16</v>
      </c>
      <c r="H3545" s="0" t="n">
        <v>68</v>
      </c>
      <c r="I3545" s="0" t="s">
        <v>11848</v>
      </c>
      <c r="J3545" s="0" t="s">
        <v>11849</v>
      </c>
      <c r="K3545" s="0" t="s">
        <v>11850</v>
      </c>
      <c r="L3545" s="0" t="str">
        <f aca="false">HYPERLINK("https://www.ncbi.nlm.nih.gov/nuccore/CP000304.1?report=graph&amp;tracks=[key:gene_model_track,Options:GeneOnly]&amp;mk=1028849:1028868|offset_1|444444,1028877:1028896|offset_29|444444,1028916:1028935|offset_68|00cc00,1028936:1028955|offset_88|444444&amp;v=1028648:1029155&amp;c=444444", "offset 68")</f>
        <v>offset 68</v>
      </c>
    </row>
    <row r="3546" customFormat="false" ht="12.8" hidden="false" customHeight="false" outlineLevel="0" collapsed="false">
      <c r="A3546" s="0" t="s">
        <v>12</v>
      </c>
      <c r="B3546" s="0" t="n">
        <v>1028935</v>
      </c>
      <c r="C3546" s="0" t="n">
        <v>1028955</v>
      </c>
      <c r="D3546" s="0" t="s">
        <v>11841</v>
      </c>
      <c r="E3546" s="0" t="s">
        <v>89</v>
      </c>
      <c r="F3546" s="0" t="s">
        <v>15</v>
      </c>
      <c r="G3546" s="0" t="s">
        <v>26</v>
      </c>
      <c r="H3546" s="0" t="n">
        <v>88</v>
      </c>
      <c r="I3546" s="0" t="s">
        <v>11851</v>
      </c>
      <c r="J3546" s="0" t="s">
        <v>11852</v>
      </c>
      <c r="K3546" s="0" t="s">
        <v>11853</v>
      </c>
      <c r="L3546" s="0" t="str">
        <f aca="false">HYPERLINK("https://www.ncbi.nlm.nih.gov/nuccore/CP000304.1?report=graph&amp;tracks=[key:gene_model_track,Options:GeneOnly]&amp;mk=1028849:1028868|offset_1|444444,1028877:1028896|offset_29|444444,1028916:1028935|offset_68|444444,1028936:1028955|offset_88|00cc00&amp;v=1028648:1029155&amp;c=444444", "offset 88")</f>
        <v>offset 88</v>
      </c>
    </row>
    <row r="3547" customFormat="false" ht="12.8" hidden="false" customHeight="false" outlineLevel="0" collapsed="false">
      <c r="A3547" s="0" t="s">
        <v>12</v>
      </c>
      <c r="B3547" s="0" t="n">
        <v>1029365</v>
      </c>
      <c r="C3547" s="0" t="n">
        <v>1029385</v>
      </c>
      <c r="D3547" s="0" t="s">
        <v>11854</v>
      </c>
      <c r="E3547" s="0" t="s">
        <v>89</v>
      </c>
      <c r="F3547" s="0" t="s">
        <v>15</v>
      </c>
      <c r="G3547" s="0" t="s">
        <v>16</v>
      </c>
      <c r="H3547" s="0" t="n">
        <v>9</v>
      </c>
      <c r="I3547" s="0" t="s">
        <v>11855</v>
      </c>
      <c r="J3547" s="0" t="s">
        <v>11856</v>
      </c>
      <c r="K3547" s="0" t="s">
        <v>11857</v>
      </c>
      <c r="L3547" s="0" t="str">
        <f aca="false">HYPERLINK("https://www.ncbi.nlm.nih.gov/nuccore/CP000304.1?report=graph&amp;tracks=[key:gene_model_track,Options:GeneOnly]&amp;mk=1029366:1029385|offset_9|00cc00,1029403:1029422|offset_46|444444,1029428:1029447|offset_71|444444,1029452:1029471|offset_95|444444&amp;v=1029165:1029671&amp;c=444444", "offset 9")</f>
        <v>offset 9</v>
      </c>
    </row>
    <row r="3548" customFormat="false" ht="12.8" hidden="false" customHeight="false" outlineLevel="0" collapsed="false">
      <c r="A3548" s="0" t="s">
        <v>12</v>
      </c>
      <c r="B3548" s="0" t="n">
        <v>1029402</v>
      </c>
      <c r="C3548" s="0" t="n">
        <v>1029422</v>
      </c>
      <c r="D3548" s="0" t="s">
        <v>11854</v>
      </c>
      <c r="E3548" s="0" t="s">
        <v>89</v>
      </c>
      <c r="F3548" s="0" t="s">
        <v>15</v>
      </c>
      <c r="G3548" s="0" t="s">
        <v>32</v>
      </c>
      <c r="H3548" s="0" t="n">
        <v>46</v>
      </c>
      <c r="I3548" s="0" t="s">
        <v>11858</v>
      </c>
      <c r="J3548" s="0" t="s">
        <v>11859</v>
      </c>
      <c r="K3548" s="0" t="s">
        <v>11860</v>
      </c>
      <c r="L3548" s="0" t="str">
        <f aca="false">HYPERLINK("https://www.ncbi.nlm.nih.gov/nuccore/CP000304.1?report=graph&amp;tracks=[key:gene_model_track,Options:GeneOnly]&amp;mk=1029366:1029385|offset_9|444444,1029403:1029422|offset_46|00cc00,1029428:1029447|offset_71|444444,1029452:1029471|offset_95|444444&amp;v=1029165:1029671&amp;c=444444", "offset 46")</f>
        <v>offset 46</v>
      </c>
    </row>
    <row r="3549" customFormat="false" ht="12.8" hidden="false" customHeight="false" outlineLevel="0" collapsed="false">
      <c r="A3549" s="0" t="s">
        <v>12</v>
      </c>
      <c r="B3549" s="0" t="n">
        <v>1029427</v>
      </c>
      <c r="C3549" s="0" t="n">
        <v>1029447</v>
      </c>
      <c r="D3549" s="0" t="s">
        <v>11854</v>
      </c>
      <c r="E3549" s="0" t="s">
        <v>89</v>
      </c>
      <c r="F3549" s="0" t="s">
        <v>15</v>
      </c>
      <c r="G3549" s="0" t="s">
        <v>16</v>
      </c>
      <c r="H3549" s="0" t="n">
        <v>71</v>
      </c>
      <c r="I3549" s="0" t="s">
        <v>11861</v>
      </c>
      <c r="J3549" s="0" t="s">
        <v>11862</v>
      </c>
      <c r="K3549" s="0" t="s">
        <v>11863</v>
      </c>
      <c r="L3549" s="0" t="str">
        <f aca="false">HYPERLINK("https://www.ncbi.nlm.nih.gov/nuccore/CP000304.1?report=graph&amp;tracks=[key:gene_model_track,Options:GeneOnly]&amp;mk=1029366:1029385|offset_9|444444,1029403:1029422|offset_46|444444,1029428:1029447|offset_71|00cc00,1029452:1029471|offset_95|444444&amp;v=1029165:1029671&amp;c=444444", "offset 71")</f>
        <v>offset 71</v>
      </c>
    </row>
    <row r="3550" customFormat="false" ht="12.8" hidden="false" customHeight="false" outlineLevel="0" collapsed="false">
      <c r="A3550" s="0" t="s">
        <v>12</v>
      </c>
      <c r="B3550" s="0" t="n">
        <v>1029451</v>
      </c>
      <c r="C3550" s="0" t="n">
        <v>1029471</v>
      </c>
      <c r="D3550" s="0" t="s">
        <v>11854</v>
      </c>
      <c r="E3550" s="0" t="s">
        <v>89</v>
      </c>
      <c r="F3550" s="0" t="s">
        <v>15</v>
      </c>
      <c r="G3550" s="0" t="s">
        <v>26</v>
      </c>
      <c r="H3550" s="0" t="n">
        <v>95</v>
      </c>
      <c r="I3550" s="0" t="s">
        <v>11864</v>
      </c>
      <c r="J3550" s="0" t="s">
        <v>11865</v>
      </c>
      <c r="K3550" s="0" t="s">
        <v>11866</v>
      </c>
      <c r="L3550" s="0" t="str">
        <f aca="false">HYPERLINK("https://www.ncbi.nlm.nih.gov/nuccore/CP000304.1?report=graph&amp;tracks=[key:gene_model_track,Options:GeneOnly]&amp;mk=1029366:1029385|offset_9|444444,1029403:1029422|offset_46|444444,1029428:1029447|offset_71|444444,1029452:1029471|offset_95|00cc00&amp;v=1029165:1029671&amp;c=444444", "offset 95")</f>
        <v>offset 95</v>
      </c>
    </row>
    <row r="3551" customFormat="false" ht="12.8" hidden="false" customHeight="false" outlineLevel="0" collapsed="false">
      <c r="A3551" s="0" t="s">
        <v>12</v>
      </c>
      <c r="B3551" s="0" t="n">
        <v>1030352</v>
      </c>
      <c r="C3551" s="0" t="n">
        <v>1030372</v>
      </c>
      <c r="D3551" s="0" t="s">
        <v>11867</v>
      </c>
      <c r="E3551" s="0" t="s">
        <v>89</v>
      </c>
      <c r="F3551" s="0" t="s">
        <v>15</v>
      </c>
      <c r="G3551" s="0" t="s">
        <v>32</v>
      </c>
      <c r="H3551" s="0" t="n">
        <v>13</v>
      </c>
      <c r="I3551" s="0" t="s">
        <v>11868</v>
      </c>
      <c r="J3551" s="0" t="s">
        <v>11869</v>
      </c>
      <c r="K3551" s="0" t="s">
        <v>11870</v>
      </c>
      <c r="L3551" s="0" t="str">
        <f aca="false">HYPERLINK("https://www.ncbi.nlm.nih.gov/nuccore/CP000304.1?report=graph&amp;tracks=[key:gene_model_track,Options:GeneOnly]&amp;mk=1030353:1030372|offset_13|00cc00,1030373:1030392|offset_33|444444,1030393:1030412|offset_53|444444,1030416:1030435|offset_76|444444&amp;v=1030152:1030635&amp;c=444444", "offset 13")</f>
        <v>offset 13</v>
      </c>
    </row>
    <row r="3552" customFormat="false" ht="12.8" hidden="false" customHeight="false" outlineLevel="0" collapsed="false">
      <c r="A3552" s="0" t="s">
        <v>12</v>
      </c>
      <c r="B3552" s="0" t="n">
        <v>1030372</v>
      </c>
      <c r="C3552" s="0" t="n">
        <v>1030392</v>
      </c>
      <c r="D3552" s="0" t="s">
        <v>11867</v>
      </c>
      <c r="E3552" s="0" t="s">
        <v>89</v>
      </c>
      <c r="F3552" s="0" t="s">
        <v>15</v>
      </c>
      <c r="G3552" s="0" t="s">
        <v>16</v>
      </c>
      <c r="H3552" s="0" t="n">
        <v>33</v>
      </c>
      <c r="I3552" s="0" t="s">
        <v>11871</v>
      </c>
      <c r="J3552" s="0" t="s">
        <v>11872</v>
      </c>
      <c r="K3552" s="0" t="s">
        <v>11873</v>
      </c>
      <c r="L3552" s="0" t="str">
        <f aca="false">HYPERLINK("https://www.ncbi.nlm.nih.gov/nuccore/CP000304.1?report=graph&amp;tracks=[key:gene_model_track,Options:GeneOnly]&amp;mk=1030353:1030372|offset_13|444444,1030373:1030392|offset_33|00cc00,1030393:1030412|offset_53|444444,1030416:1030435|offset_76|444444&amp;v=1030152:1030635&amp;c=444444", "offset 33")</f>
        <v>offset 33</v>
      </c>
    </row>
    <row r="3553" customFormat="false" ht="12.8" hidden="false" customHeight="false" outlineLevel="0" collapsed="false">
      <c r="A3553" s="0" t="s">
        <v>12</v>
      </c>
      <c r="B3553" s="0" t="n">
        <v>1030392</v>
      </c>
      <c r="C3553" s="0" t="n">
        <v>1030412</v>
      </c>
      <c r="D3553" s="0" t="s">
        <v>11867</v>
      </c>
      <c r="E3553" s="0" t="s">
        <v>89</v>
      </c>
      <c r="F3553" s="0" t="s">
        <v>15</v>
      </c>
      <c r="G3553" s="0" t="s">
        <v>36</v>
      </c>
      <c r="H3553" s="0" t="n">
        <v>53</v>
      </c>
      <c r="I3553" s="0" t="s">
        <v>11874</v>
      </c>
      <c r="J3553" s="0" t="s">
        <v>11875</v>
      </c>
      <c r="K3553" s="0" t="s">
        <v>11876</v>
      </c>
      <c r="L3553" s="0" t="str">
        <f aca="false">HYPERLINK("https://www.ncbi.nlm.nih.gov/nuccore/CP000304.1?report=graph&amp;tracks=[key:gene_model_track,Options:GeneOnly]&amp;mk=1030353:1030372|offset_13|444444,1030373:1030392|offset_33|444444,1030393:1030412|offset_53|00cc00,1030416:1030435|offset_76|444444&amp;v=1030152:1030635&amp;c=444444", "offset 53")</f>
        <v>offset 53</v>
      </c>
    </row>
    <row r="3554" customFormat="false" ht="12.8" hidden="false" customHeight="false" outlineLevel="0" collapsed="false">
      <c r="A3554" s="0" t="s">
        <v>12</v>
      </c>
      <c r="B3554" s="0" t="n">
        <v>1030415</v>
      </c>
      <c r="C3554" s="0" t="n">
        <v>1030435</v>
      </c>
      <c r="D3554" s="0" t="s">
        <v>11867</v>
      </c>
      <c r="E3554" s="0" t="s">
        <v>89</v>
      </c>
      <c r="F3554" s="0" t="s">
        <v>15</v>
      </c>
      <c r="G3554" s="0" t="s">
        <v>26</v>
      </c>
      <c r="H3554" s="0" t="n">
        <v>76</v>
      </c>
      <c r="I3554" s="0" t="s">
        <v>11877</v>
      </c>
      <c r="J3554" s="0" t="s">
        <v>11878</v>
      </c>
      <c r="K3554" s="0" t="s">
        <v>11879</v>
      </c>
      <c r="L3554" s="0" t="str">
        <f aca="false">HYPERLINK("https://www.ncbi.nlm.nih.gov/nuccore/CP000304.1?report=graph&amp;tracks=[key:gene_model_track,Options:GeneOnly]&amp;mk=1030353:1030372|offset_13|444444,1030373:1030392|offset_33|444444,1030393:1030412|offset_53|444444,1030416:1030435|offset_76|00cc00&amp;v=1030152:1030635&amp;c=444444", "offset 76")</f>
        <v>offset 76</v>
      </c>
    </row>
    <row r="3555" customFormat="false" ht="12.8" hidden="false" customHeight="false" outlineLevel="0" collapsed="false">
      <c r="A3555" s="0" t="s">
        <v>12</v>
      </c>
      <c r="B3555" s="0" t="n">
        <v>1034157</v>
      </c>
      <c r="C3555" s="0" t="n">
        <v>1034177</v>
      </c>
      <c r="D3555" s="0" t="s">
        <v>11880</v>
      </c>
      <c r="E3555" s="0" t="s">
        <v>89</v>
      </c>
      <c r="F3555" s="0" t="s">
        <v>90</v>
      </c>
      <c r="G3555" s="0" t="s">
        <v>16</v>
      </c>
      <c r="H3555" s="0" t="n">
        <v>13</v>
      </c>
      <c r="I3555" s="0" t="s">
        <v>11881</v>
      </c>
      <c r="J3555" s="0" t="s">
        <v>11882</v>
      </c>
      <c r="K3555" s="0" t="s">
        <v>11883</v>
      </c>
      <c r="L3555" s="0" t="str">
        <f aca="false">HYPERLINK("https://www.ncbi.nlm.nih.gov/nuccore/CP000304.1?report=graph&amp;tracks=[key:gene_model_track,Options:GeneOnly]&amp;mk=1034158:1034177|offset_13|00cc00,1034116:1034135|offset_55|444444,1034092:1034111|offset_79|444444,1034066:1034085|offset_105|444444&amp;v=1033957:1034285&amp;c=444444", "offset 13")</f>
        <v>offset 13</v>
      </c>
    </row>
    <row r="3556" customFormat="false" ht="12.8" hidden="false" customHeight="false" outlineLevel="0" collapsed="false">
      <c r="A3556" s="0" t="s">
        <v>12</v>
      </c>
      <c r="B3556" s="0" t="n">
        <v>1034115</v>
      </c>
      <c r="C3556" s="0" t="n">
        <v>1034135</v>
      </c>
      <c r="D3556" s="0" t="s">
        <v>11880</v>
      </c>
      <c r="E3556" s="0" t="s">
        <v>89</v>
      </c>
      <c r="F3556" s="0" t="s">
        <v>90</v>
      </c>
      <c r="G3556" s="0" t="s">
        <v>32</v>
      </c>
      <c r="H3556" s="0" t="n">
        <v>55</v>
      </c>
      <c r="I3556" s="0" t="s">
        <v>11884</v>
      </c>
      <c r="J3556" s="0" t="s">
        <v>11885</v>
      </c>
      <c r="K3556" s="0" t="s">
        <v>11886</v>
      </c>
      <c r="L3556" s="0" t="str">
        <f aca="false">HYPERLINK("https://www.ncbi.nlm.nih.gov/nuccore/CP000304.1?report=graph&amp;tracks=[key:gene_model_track,Options:GeneOnly]&amp;mk=1034158:1034177|offset_13|444444,1034116:1034135|offset_55|00cc00,1034092:1034111|offset_79|444444,1034066:1034085|offset_105|444444&amp;v=1033957:1034285&amp;c=444444", "offset 55")</f>
        <v>offset 55</v>
      </c>
    </row>
    <row r="3557" customFormat="false" ht="12.8" hidden="false" customHeight="false" outlineLevel="0" collapsed="false">
      <c r="A3557" s="0" t="s">
        <v>12</v>
      </c>
      <c r="B3557" s="0" t="n">
        <v>1034091</v>
      </c>
      <c r="C3557" s="0" t="n">
        <v>1034111</v>
      </c>
      <c r="D3557" s="0" t="s">
        <v>11880</v>
      </c>
      <c r="E3557" s="0" t="s">
        <v>89</v>
      </c>
      <c r="F3557" s="0" t="s">
        <v>90</v>
      </c>
      <c r="G3557" s="0" t="s">
        <v>16</v>
      </c>
      <c r="H3557" s="0" t="n">
        <v>79</v>
      </c>
      <c r="I3557" s="0" t="s">
        <v>11887</v>
      </c>
      <c r="J3557" s="0" t="s">
        <v>11888</v>
      </c>
      <c r="K3557" s="0" t="s">
        <v>11889</v>
      </c>
      <c r="L3557" s="0" t="str">
        <f aca="false">HYPERLINK("https://www.ncbi.nlm.nih.gov/nuccore/CP000304.1?report=graph&amp;tracks=[key:gene_model_track,Options:GeneOnly]&amp;mk=1034158:1034177|offset_13|444444,1034116:1034135|offset_55|444444,1034092:1034111|offset_79|00cc00,1034066:1034085|offset_105|444444&amp;v=1033957:1034285&amp;c=444444", "offset 79")</f>
        <v>offset 79</v>
      </c>
    </row>
    <row r="3558" customFormat="false" ht="12.8" hidden="false" customHeight="false" outlineLevel="0" collapsed="false">
      <c r="A3558" s="0" t="s">
        <v>12</v>
      </c>
      <c r="B3558" s="0" t="n">
        <v>1034065</v>
      </c>
      <c r="C3558" s="0" t="n">
        <v>1034085</v>
      </c>
      <c r="D3558" s="0" t="s">
        <v>11880</v>
      </c>
      <c r="E3558" s="0" t="s">
        <v>89</v>
      </c>
      <c r="F3558" s="0" t="s">
        <v>90</v>
      </c>
      <c r="G3558" s="0" t="s">
        <v>16</v>
      </c>
      <c r="H3558" s="0" t="n">
        <v>105</v>
      </c>
      <c r="I3558" s="0" t="s">
        <v>11890</v>
      </c>
      <c r="J3558" s="0" t="s">
        <v>11891</v>
      </c>
      <c r="K3558" s="0" t="s">
        <v>11892</v>
      </c>
      <c r="L3558" s="0" t="str">
        <f aca="false">HYPERLINK("https://www.ncbi.nlm.nih.gov/nuccore/CP000304.1?report=graph&amp;tracks=[key:gene_model_track,Options:GeneOnly]&amp;mk=1034158:1034177|offset_13|444444,1034116:1034135|offset_55|444444,1034092:1034111|offset_79|444444,1034066:1034085|offset_105|00cc00&amp;v=1033957:1034285&amp;c=444444", "offset 105")</f>
        <v>offset 105</v>
      </c>
    </row>
    <row r="3559" customFormat="false" ht="12.8" hidden="false" customHeight="false" outlineLevel="0" collapsed="false">
      <c r="A3559" s="0" t="s">
        <v>12</v>
      </c>
      <c r="B3559" s="0" t="n">
        <v>1034333</v>
      </c>
      <c r="C3559" s="0" t="n">
        <v>1034353</v>
      </c>
      <c r="D3559" s="0" t="s">
        <v>11893</v>
      </c>
      <c r="E3559" s="0" t="s">
        <v>89</v>
      </c>
      <c r="F3559" s="0" t="s">
        <v>15</v>
      </c>
      <c r="G3559" s="0" t="s">
        <v>36</v>
      </c>
      <c r="H3559" s="0" t="n">
        <v>0</v>
      </c>
      <c r="I3559" s="0" t="s">
        <v>11894</v>
      </c>
      <c r="J3559" s="0" t="s">
        <v>11895</v>
      </c>
      <c r="K3559" s="0" t="s">
        <v>11896</v>
      </c>
      <c r="L3559" s="0" t="str">
        <f aca="false">HYPERLINK("https://www.ncbi.nlm.nih.gov/nuccore/CP000304.1?report=graph&amp;tracks=[key:gene_model_track,Options:GeneOnly]&amp;mk=1034334:1034353|offset_0|00cc00,1034364:1034383|offset_30|444444,1034407:1034426|offset_73|444444,1034447:1034466|offset_113|444444&amp;v=1034133:1034666&amp;c=444444", "offset 0")</f>
        <v>offset 0</v>
      </c>
    </row>
    <row r="3560" customFormat="false" ht="12.8" hidden="false" customHeight="false" outlineLevel="0" collapsed="false">
      <c r="A3560" s="0" t="s">
        <v>12</v>
      </c>
      <c r="B3560" s="0" t="n">
        <v>1034363</v>
      </c>
      <c r="C3560" s="0" t="n">
        <v>1034383</v>
      </c>
      <c r="D3560" s="0" t="s">
        <v>11893</v>
      </c>
      <c r="E3560" s="0" t="s">
        <v>89</v>
      </c>
      <c r="F3560" s="0" t="s">
        <v>15</v>
      </c>
      <c r="G3560" s="0" t="s">
        <v>16</v>
      </c>
      <c r="H3560" s="0" t="n">
        <v>30</v>
      </c>
      <c r="I3560" s="0" t="s">
        <v>11897</v>
      </c>
      <c r="J3560" s="0" t="s">
        <v>11898</v>
      </c>
      <c r="K3560" s="0" t="s">
        <v>11899</v>
      </c>
      <c r="L3560" s="0" t="str">
        <f aca="false">HYPERLINK("https://www.ncbi.nlm.nih.gov/nuccore/CP000304.1?report=graph&amp;tracks=[key:gene_model_track,Options:GeneOnly]&amp;mk=1034334:1034353|offset_0|444444,1034364:1034383|offset_30|00cc00,1034407:1034426|offset_73|444444,1034447:1034466|offset_113|444444&amp;v=1034133:1034666&amp;c=444444", "offset 30")</f>
        <v>offset 30</v>
      </c>
    </row>
    <row r="3561" customFormat="false" ht="12.8" hidden="false" customHeight="false" outlineLevel="0" collapsed="false">
      <c r="A3561" s="0" t="s">
        <v>12</v>
      </c>
      <c r="B3561" s="0" t="n">
        <v>1034406</v>
      </c>
      <c r="C3561" s="0" t="n">
        <v>1034426</v>
      </c>
      <c r="D3561" s="0" t="s">
        <v>11893</v>
      </c>
      <c r="E3561" s="0" t="s">
        <v>89</v>
      </c>
      <c r="F3561" s="0" t="s">
        <v>15</v>
      </c>
      <c r="G3561" s="0" t="s">
        <v>36</v>
      </c>
      <c r="H3561" s="0" t="n">
        <v>73</v>
      </c>
      <c r="I3561" s="0" t="s">
        <v>11900</v>
      </c>
      <c r="J3561" s="0" t="s">
        <v>11901</v>
      </c>
      <c r="K3561" s="0" t="s">
        <v>11902</v>
      </c>
      <c r="L3561" s="0" t="str">
        <f aca="false">HYPERLINK("https://www.ncbi.nlm.nih.gov/nuccore/CP000304.1?report=graph&amp;tracks=[key:gene_model_track,Options:GeneOnly]&amp;mk=1034334:1034353|offset_0|444444,1034364:1034383|offset_30|444444,1034407:1034426|offset_73|00cc00,1034447:1034466|offset_113|444444&amp;v=1034133:1034666&amp;c=444444", "offset 73")</f>
        <v>offset 73</v>
      </c>
    </row>
    <row r="3562" customFormat="false" ht="12.8" hidden="false" customHeight="false" outlineLevel="0" collapsed="false">
      <c r="A3562" s="0" t="s">
        <v>12</v>
      </c>
      <c r="B3562" s="0" t="n">
        <v>1034446</v>
      </c>
      <c r="C3562" s="0" t="n">
        <v>1034466</v>
      </c>
      <c r="D3562" s="0" t="s">
        <v>11893</v>
      </c>
      <c r="E3562" s="0" t="s">
        <v>89</v>
      </c>
      <c r="F3562" s="0" t="s">
        <v>15</v>
      </c>
      <c r="G3562" s="0" t="s">
        <v>36</v>
      </c>
      <c r="H3562" s="0" t="n">
        <v>113</v>
      </c>
      <c r="I3562" s="0" t="s">
        <v>11903</v>
      </c>
      <c r="J3562" s="0" t="s">
        <v>11904</v>
      </c>
      <c r="K3562" s="0" t="s">
        <v>11905</v>
      </c>
      <c r="L3562" s="0" t="str">
        <f aca="false">HYPERLINK("https://www.ncbi.nlm.nih.gov/nuccore/CP000304.1?report=graph&amp;tracks=[key:gene_model_track,Options:GeneOnly]&amp;mk=1034334:1034353|offset_0|444444,1034364:1034383|offset_30|444444,1034407:1034426|offset_73|444444,1034447:1034466|offset_113|00cc00&amp;v=1034133:1034666&amp;c=444444", "offset 113")</f>
        <v>offset 113</v>
      </c>
    </row>
    <row r="3563" customFormat="false" ht="12.8" hidden="false" customHeight="false" outlineLevel="0" collapsed="false">
      <c r="A3563" s="0" t="s">
        <v>12</v>
      </c>
      <c r="B3563" s="0" t="n">
        <v>1035448</v>
      </c>
      <c r="C3563" s="0" t="n">
        <v>1035468</v>
      </c>
      <c r="D3563" s="0" t="s">
        <v>11906</v>
      </c>
      <c r="E3563" s="0" t="s">
        <v>89</v>
      </c>
      <c r="F3563" s="0" t="s">
        <v>15</v>
      </c>
      <c r="G3563" s="0" t="s">
        <v>32</v>
      </c>
      <c r="H3563" s="0" t="n">
        <v>39</v>
      </c>
      <c r="I3563" s="0" t="s">
        <v>11907</v>
      </c>
      <c r="J3563" s="0" t="s">
        <v>11908</v>
      </c>
      <c r="K3563" s="0" t="s">
        <v>11909</v>
      </c>
      <c r="L3563" s="0" t="str">
        <f aca="false">HYPERLINK("https://www.ncbi.nlm.nih.gov/nuccore/CP000304.1?report=graph&amp;tracks=[key:gene_model_track,Options:GeneOnly]&amp;mk=1035449:1035468|offset_39|00cc00,1035474:1035493|offset_64|444444,1035523:1035542|offset_113|444444,1035585:1035604|offset_175|444444&amp;v=1035248:1035804&amp;c=444444", "offset 39")</f>
        <v>offset 39</v>
      </c>
    </row>
    <row r="3564" customFormat="false" ht="12.8" hidden="false" customHeight="false" outlineLevel="0" collapsed="false">
      <c r="A3564" s="0" t="s">
        <v>12</v>
      </c>
      <c r="B3564" s="0" t="n">
        <v>1035473</v>
      </c>
      <c r="C3564" s="0" t="n">
        <v>1035493</v>
      </c>
      <c r="D3564" s="0" t="s">
        <v>11906</v>
      </c>
      <c r="E3564" s="0" t="s">
        <v>89</v>
      </c>
      <c r="F3564" s="0" t="s">
        <v>15</v>
      </c>
      <c r="G3564" s="0" t="s">
        <v>16</v>
      </c>
      <c r="H3564" s="0" t="n">
        <v>64</v>
      </c>
      <c r="I3564" s="0" t="s">
        <v>11910</v>
      </c>
      <c r="J3564" s="0" t="s">
        <v>11911</v>
      </c>
      <c r="K3564" s="0" t="s">
        <v>11912</v>
      </c>
      <c r="L3564" s="0" t="str">
        <f aca="false">HYPERLINK("https://www.ncbi.nlm.nih.gov/nuccore/CP000304.1?report=graph&amp;tracks=[key:gene_model_track,Options:GeneOnly]&amp;mk=1035449:1035468|offset_39|444444,1035474:1035493|offset_64|00cc00,1035523:1035542|offset_113|444444,1035585:1035604|offset_175|444444&amp;v=1035248:1035804&amp;c=444444", "offset 64")</f>
        <v>offset 64</v>
      </c>
    </row>
    <row r="3565" customFormat="false" ht="12.8" hidden="false" customHeight="false" outlineLevel="0" collapsed="false">
      <c r="A3565" s="0" t="s">
        <v>12</v>
      </c>
      <c r="B3565" s="0" t="n">
        <v>1035522</v>
      </c>
      <c r="C3565" s="0" t="n">
        <v>1035542</v>
      </c>
      <c r="D3565" s="0" t="s">
        <v>11906</v>
      </c>
      <c r="E3565" s="0" t="s">
        <v>89</v>
      </c>
      <c r="F3565" s="0" t="s">
        <v>15</v>
      </c>
      <c r="G3565" s="0" t="s">
        <v>16</v>
      </c>
      <c r="H3565" s="0" t="n">
        <v>113</v>
      </c>
      <c r="I3565" s="0" t="s">
        <v>11913</v>
      </c>
      <c r="J3565" s="0" t="s">
        <v>11914</v>
      </c>
      <c r="K3565" s="0" t="s">
        <v>11915</v>
      </c>
      <c r="L3565" s="0" t="str">
        <f aca="false">HYPERLINK("https://www.ncbi.nlm.nih.gov/nuccore/CP000304.1?report=graph&amp;tracks=[key:gene_model_track,Options:GeneOnly]&amp;mk=1035449:1035468|offset_39|444444,1035474:1035493|offset_64|444444,1035523:1035542|offset_113|00cc00,1035585:1035604|offset_175|444444&amp;v=1035248:1035804&amp;c=444444", "offset 113")</f>
        <v>offset 113</v>
      </c>
    </row>
    <row r="3566" customFormat="false" ht="12.8" hidden="false" customHeight="false" outlineLevel="0" collapsed="false">
      <c r="A3566" s="0" t="s">
        <v>12</v>
      </c>
      <c r="B3566" s="0" t="n">
        <v>1035584</v>
      </c>
      <c r="C3566" s="0" t="n">
        <v>1035604</v>
      </c>
      <c r="D3566" s="0" t="s">
        <v>11906</v>
      </c>
      <c r="E3566" s="0" t="s">
        <v>89</v>
      </c>
      <c r="F3566" s="0" t="s">
        <v>15</v>
      </c>
      <c r="G3566" s="0" t="s">
        <v>16</v>
      </c>
      <c r="H3566" s="0" t="n">
        <v>175</v>
      </c>
      <c r="I3566" s="0" t="s">
        <v>11916</v>
      </c>
      <c r="J3566" s="0" t="s">
        <v>11917</v>
      </c>
      <c r="K3566" s="0" t="s">
        <v>11918</v>
      </c>
      <c r="L3566" s="0" t="str">
        <f aca="false">HYPERLINK("https://www.ncbi.nlm.nih.gov/nuccore/CP000304.1?report=graph&amp;tracks=[key:gene_model_track,Options:GeneOnly]&amp;mk=1035449:1035468|offset_39|444444,1035474:1035493|offset_64|444444,1035523:1035542|offset_113|444444,1035585:1035604|offset_175|00cc00&amp;v=1035248:1035804&amp;c=444444", "offset 175")</f>
        <v>offset 175</v>
      </c>
    </row>
    <row r="3567" customFormat="false" ht="12.8" hidden="false" customHeight="false" outlineLevel="0" collapsed="false">
      <c r="A3567" s="0" t="s">
        <v>12</v>
      </c>
      <c r="B3567" s="0" t="n">
        <v>1036884</v>
      </c>
      <c r="C3567" s="0" t="n">
        <v>1036904</v>
      </c>
      <c r="D3567" s="0" t="s">
        <v>11919</v>
      </c>
      <c r="E3567" s="0" t="s">
        <v>89</v>
      </c>
      <c r="F3567" s="0" t="s">
        <v>90</v>
      </c>
      <c r="G3567" s="0" t="s">
        <v>32</v>
      </c>
      <c r="H3567" s="0" t="n">
        <v>1</v>
      </c>
      <c r="I3567" s="0" t="s">
        <v>11920</v>
      </c>
      <c r="J3567" s="0" t="s">
        <v>11921</v>
      </c>
      <c r="K3567" s="0" t="s">
        <v>11922</v>
      </c>
      <c r="L3567" s="0" t="str">
        <f aca="false">HYPERLINK("https://www.ncbi.nlm.nih.gov/nuccore/CP000304.1?report=graph&amp;tracks=[key:gene_model_track,Options:GeneOnly]&amp;mk=1036885:1036904|offset_1|00cc00,1036854:1036873|offset_32|444444,1036822:1036841|offset_64|444444,1036800:1036819|offset_86|444444&amp;v=1036684:1037019&amp;c=444444", "offset 1")</f>
        <v>offset 1</v>
      </c>
    </row>
    <row r="3568" customFormat="false" ht="12.8" hidden="false" customHeight="false" outlineLevel="0" collapsed="false">
      <c r="A3568" s="0" t="s">
        <v>12</v>
      </c>
      <c r="B3568" s="0" t="n">
        <v>1036853</v>
      </c>
      <c r="C3568" s="0" t="n">
        <v>1036873</v>
      </c>
      <c r="D3568" s="0" t="s">
        <v>11919</v>
      </c>
      <c r="E3568" s="0" t="s">
        <v>89</v>
      </c>
      <c r="F3568" s="0" t="s">
        <v>90</v>
      </c>
      <c r="G3568" s="0" t="s">
        <v>26</v>
      </c>
      <c r="H3568" s="0" t="n">
        <v>32</v>
      </c>
      <c r="I3568" s="0" t="s">
        <v>11923</v>
      </c>
      <c r="J3568" s="0" t="s">
        <v>11924</v>
      </c>
      <c r="K3568" s="0" t="s">
        <v>11925</v>
      </c>
      <c r="L3568" s="0" t="str">
        <f aca="false">HYPERLINK("https://www.ncbi.nlm.nih.gov/nuccore/CP000304.1?report=graph&amp;tracks=[key:gene_model_track,Options:GeneOnly]&amp;mk=1036885:1036904|offset_1|444444,1036854:1036873|offset_32|00cc00,1036822:1036841|offset_64|444444,1036800:1036819|offset_86|444444&amp;v=1036684:1037019&amp;c=444444", "offset 32")</f>
        <v>offset 32</v>
      </c>
    </row>
    <row r="3569" customFormat="false" ht="12.8" hidden="false" customHeight="false" outlineLevel="0" collapsed="false">
      <c r="A3569" s="0" t="s">
        <v>12</v>
      </c>
      <c r="B3569" s="0" t="n">
        <v>1036821</v>
      </c>
      <c r="C3569" s="0" t="n">
        <v>1036841</v>
      </c>
      <c r="D3569" s="0" t="s">
        <v>11919</v>
      </c>
      <c r="E3569" s="0" t="s">
        <v>89</v>
      </c>
      <c r="F3569" s="0" t="s">
        <v>90</v>
      </c>
      <c r="G3569" s="0" t="s">
        <v>16</v>
      </c>
      <c r="H3569" s="0" t="n">
        <v>64</v>
      </c>
      <c r="I3569" s="0" t="s">
        <v>11926</v>
      </c>
      <c r="J3569" s="0" t="s">
        <v>11927</v>
      </c>
      <c r="K3569" s="0" t="s">
        <v>11928</v>
      </c>
      <c r="L3569" s="0" t="str">
        <f aca="false">HYPERLINK("https://www.ncbi.nlm.nih.gov/nuccore/CP000304.1?report=graph&amp;tracks=[key:gene_model_track,Options:GeneOnly]&amp;mk=1036885:1036904|offset_1|444444,1036854:1036873|offset_32|444444,1036822:1036841|offset_64|00cc00,1036800:1036819|offset_86|444444&amp;v=1036684:1037019&amp;c=444444", "offset 64")</f>
        <v>offset 64</v>
      </c>
    </row>
    <row r="3570" customFormat="false" ht="12.8" hidden="false" customHeight="false" outlineLevel="0" collapsed="false">
      <c r="A3570" s="0" t="s">
        <v>12</v>
      </c>
      <c r="B3570" s="0" t="n">
        <v>1036799</v>
      </c>
      <c r="C3570" s="0" t="n">
        <v>1036819</v>
      </c>
      <c r="D3570" s="0" t="s">
        <v>11919</v>
      </c>
      <c r="E3570" s="0" t="s">
        <v>89</v>
      </c>
      <c r="F3570" s="0" t="s">
        <v>90</v>
      </c>
      <c r="G3570" s="0" t="s">
        <v>26</v>
      </c>
      <c r="H3570" s="0" t="n">
        <v>86</v>
      </c>
      <c r="I3570" s="0" t="s">
        <v>11929</v>
      </c>
      <c r="J3570" s="0" t="s">
        <v>11930</v>
      </c>
      <c r="K3570" s="0" t="s">
        <v>11931</v>
      </c>
      <c r="L3570" s="0" t="str">
        <f aca="false">HYPERLINK("https://www.ncbi.nlm.nih.gov/nuccore/CP000304.1?report=graph&amp;tracks=[key:gene_model_track,Options:GeneOnly]&amp;mk=1036885:1036904|offset_1|444444,1036854:1036873|offset_32|444444,1036822:1036841|offset_64|444444,1036800:1036819|offset_86|00cc00&amp;v=1036684:1037019&amp;c=444444", "offset 86")</f>
        <v>offset 86</v>
      </c>
    </row>
    <row r="3571" customFormat="false" ht="12.8" hidden="false" customHeight="false" outlineLevel="0" collapsed="false">
      <c r="A3571" s="0" t="s">
        <v>12</v>
      </c>
      <c r="B3571" s="0" t="n">
        <v>1037304</v>
      </c>
      <c r="C3571" s="0" t="n">
        <v>1037324</v>
      </c>
      <c r="D3571" s="0" t="s">
        <v>11932</v>
      </c>
      <c r="E3571" s="0" t="s">
        <v>89</v>
      </c>
      <c r="F3571" s="0" t="s">
        <v>90</v>
      </c>
      <c r="G3571" s="0" t="s">
        <v>16</v>
      </c>
      <c r="H3571" s="0" t="n">
        <v>15</v>
      </c>
      <c r="I3571" s="0" t="s">
        <v>11933</v>
      </c>
      <c r="J3571" s="0" t="s">
        <v>11934</v>
      </c>
      <c r="K3571" s="0" t="s">
        <v>11935</v>
      </c>
      <c r="L3571" s="0" t="str">
        <f aca="false">HYPERLINK("https://www.ncbi.nlm.nih.gov/nuccore/CP000304.1?report=graph&amp;tracks=[key:gene_model_track,Options:GeneOnly]&amp;mk=1037305:1037324|offset_15|00cc00,1037277:1037296|offset_43|444444,1037256:1037275|offset_64|444444,1037225:1037244|offset_95|444444&amp;v=1037104:1037444&amp;c=444444", "offset 15")</f>
        <v>offset 15</v>
      </c>
    </row>
    <row r="3572" customFormat="false" ht="12.8" hidden="false" customHeight="false" outlineLevel="0" collapsed="false">
      <c r="A3572" s="0" t="s">
        <v>12</v>
      </c>
      <c r="B3572" s="0" t="n">
        <v>1037276</v>
      </c>
      <c r="C3572" s="0" t="n">
        <v>1037296</v>
      </c>
      <c r="D3572" s="0" t="s">
        <v>11932</v>
      </c>
      <c r="E3572" s="0" t="s">
        <v>89</v>
      </c>
      <c r="F3572" s="0" t="s">
        <v>90</v>
      </c>
      <c r="G3572" s="0" t="s">
        <v>16</v>
      </c>
      <c r="H3572" s="0" t="n">
        <v>43</v>
      </c>
      <c r="I3572" s="0" t="s">
        <v>11936</v>
      </c>
      <c r="J3572" s="0" t="s">
        <v>11937</v>
      </c>
      <c r="K3572" s="0" t="s">
        <v>11938</v>
      </c>
      <c r="L3572" s="0" t="str">
        <f aca="false">HYPERLINK("https://www.ncbi.nlm.nih.gov/nuccore/CP000304.1?report=graph&amp;tracks=[key:gene_model_track,Options:GeneOnly]&amp;mk=1037305:1037324|offset_15|444444,1037277:1037296|offset_43|00cc00,1037256:1037275|offset_64|444444,1037225:1037244|offset_95|444444&amp;v=1037104:1037444&amp;c=444444", "offset 43")</f>
        <v>offset 43</v>
      </c>
    </row>
    <row r="3573" customFormat="false" ht="12.8" hidden="false" customHeight="false" outlineLevel="0" collapsed="false">
      <c r="A3573" s="0" t="s">
        <v>12</v>
      </c>
      <c r="B3573" s="0" t="n">
        <v>1037255</v>
      </c>
      <c r="C3573" s="0" t="n">
        <v>1037275</v>
      </c>
      <c r="D3573" s="0" t="s">
        <v>11932</v>
      </c>
      <c r="E3573" s="0" t="s">
        <v>89</v>
      </c>
      <c r="F3573" s="0" t="s">
        <v>90</v>
      </c>
      <c r="G3573" s="0" t="s">
        <v>16</v>
      </c>
      <c r="H3573" s="0" t="n">
        <v>64</v>
      </c>
      <c r="I3573" s="0" t="s">
        <v>11939</v>
      </c>
      <c r="J3573" s="0" t="s">
        <v>11940</v>
      </c>
      <c r="K3573" s="0" t="s">
        <v>11941</v>
      </c>
      <c r="L3573" s="0" t="str">
        <f aca="false">HYPERLINK("https://www.ncbi.nlm.nih.gov/nuccore/CP000304.1?report=graph&amp;tracks=[key:gene_model_track,Options:GeneOnly]&amp;mk=1037305:1037324|offset_15|444444,1037277:1037296|offset_43|444444,1037256:1037275|offset_64|00cc00,1037225:1037244|offset_95|444444&amp;v=1037104:1037444&amp;c=444444", "offset 64")</f>
        <v>offset 64</v>
      </c>
    </row>
    <row r="3574" customFormat="false" ht="12.8" hidden="false" customHeight="false" outlineLevel="0" collapsed="false">
      <c r="A3574" s="0" t="s">
        <v>12</v>
      </c>
      <c r="B3574" s="0" t="n">
        <v>1037224</v>
      </c>
      <c r="C3574" s="0" t="n">
        <v>1037244</v>
      </c>
      <c r="D3574" s="0" t="s">
        <v>11932</v>
      </c>
      <c r="E3574" s="0" t="s">
        <v>89</v>
      </c>
      <c r="F3574" s="0" t="s">
        <v>90</v>
      </c>
      <c r="G3574" s="0" t="s">
        <v>26</v>
      </c>
      <c r="H3574" s="0" t="n">
        <v>95</v>
      </c>
      <c r="I3574" s="0" t="s">
        <v>11942</v>
      </c>
      <c r="J3574" s="0" t="s">
        <v>11943</v>
      </c>
      <c r="K3574" s="0" t="s">
        <v>11944</v>
      </c>
      <c r="L3574" s="0" t="str">
        <f aca="false">HYPERLINK("https://www.ncbi.nlm.nih.gov/nuccore/CP000304.1?report=graph&amp;tracks=[key:gene_model_track,Options:GeneOnly]&amp;mk=1037305:1037324|offset_15|444444,1037277:1037296|offset_43|444444,1037256:1037275|offset_64|444444,1037225:1037244|offset_95|00cc00&amp;v=1037104:1037444&amp;c=444444", "offset 95")</f>
        <v>offset 95</v>
      </c>
    </row>
    <row r="3575" customFormat="false" ht="12.8" hidden="false" customHeight="false" outlineLevel="0" collapsed="false">
      <c r="A3575" s="0" t="s">
        <v>12</v>
      </c>
      <c r="B3575" s="0" t="n">
        <v>1038437</v>
      </c>
      <c r="C3575" s="0" t="n">
        <v>1038457</v>
      </c>
      <c r="D3575" s="0" t="s">
        <v>11945</v>
      </c>
      <c r="E3575" s="0" t="s">
        <v>89</v>
      </c>
      <c r="F3575" s="0" t="s">
        <v>90</v>
      </c>
      <c r="G3575" s="0" t="s">
        <v>26</v>
      </c>
      <c r="H3575" s="0" t="n">
        <v>6</v>
      </c>
      <c r="I3575" s="0" t="s">
        <v>11946</v>
      </c>
      <c r="J3575" s="0" t="s">
        <v>11947</v>
      </c>
      <c r="K3575" s="0" t="s">
        <v>11948</v>
      </c>
      <c r="L3575" s="0" t="str">
        <f aca="false">HYPERLINK("https://www.ncbi.nlm.nih.gov/nuccore/CP000304.1?report=graph&amp;tracks=[key:gene_model_track,Options:GeneOnly]&amp;mk=1038438:1038457|offset_6|00cc00,1038416:1038435|offset_28|444444,1038393:1038412|offset_51|444444,1038356:1038375|offset_88|444444&amp;v=1038237:1038575&amp;c=444444", "offset 6")</f>
        <v>offset 6</v>
      </c>
    </row>
    <row r="3576" customFormat="false" ht="12.8" hidden="false" customHeight="false" outlineLevel="0" collapsed="false">
      <c r="A3576" s="0" t="s">
        <v>12</v>
      </c>
      <c r="B3576" s="0" t="n">
        <v>1038415</v>
      </c>
      <c r="C3576" s="0" t="n">
        <v>1038435</v>
      </c>
      <c r="D3576" s="0" t="s">
        <v>11945</v>
      </c>
      <c r="E3576" s="0" t="s">
        <v>89</v>
      </c>
      <c r="F3576" s="0" t="s">
        <v>90</v>
      </c>
      <c r="G3576" s="0" t="s">
        <v>32</v>
      </c>
      <c r="H3576" s="0" t="n">
        <v>28</v>
      </c>
      <c r="I3576" s="0" t="s">
        <v>11949</v>
      </c>
      <c r="J3576" s="0" t="s">
        <v>11950</v>
      </c>
      <c r="K3576" s="0" t="s">
        <v>11951</v>
      </c>
      <c r="L3576" s="0" t="str">
        <f aca="false">HYPERLINK("https://www.ncbi.nlm.nih.gov/nuccore/CP000304.1?report=graph&amp;tracks=[key:gene_model_track,Options:GeneOnly]&amp;mk=1038438:1038457|offset_6|444444,1038416:1038435|offset_28|00cc00,1038393:1038412|offset_51|444444,1038356:1038375|offset_88|444444&amp;v=1038237:1038575&amp;c=444444", "offset 28")</f>
        <v>offset 28</v>
      </c>
    </row>
    <row r="3577" customFormat="false" ht="12.8" hidden="false" customHeight="false" outlineLevel="0" collapsed="false">
      <c r="A3577" s="0" t="s">
        <v>12</v>
      </c>
      <c r="B3577" s="0" t="n">
        <v>1038392</v>
      </c>
      <c r="C3577" s="0" t="n">
        <v>1038412</v>
      </c>
      <c r="D3577" s="0" t="s">
        <v>11945</v>
      </c>
      <c r="E3577" s="0" t="s">
        <v>89</v>
      </c>
      <c r="F3577" s="0" t="s">
        <v>90</v>
      </c>
      <c r="G3577" s="0" t="s">
        <v>16</v>
      </c>
      <c r="H3577" s="0" t="n">
        <v>51</v>
      </c>
      <c r="I3577" s="0" t="s">
        <v>11952</v>
      </c>
      <c r="J3577" s="0" t="s">
        <v>11953</v>
      </c>
      <c r="K3577" s="0" t="s">
        <v>11954</v>
      </c>
      <c r="L3577" s="0" t="str">
        <f aca="false">HYPERLINK("https://www.ncbi.nlm.nih.gov/nuccore/CP000304.1?report=graph&amp;tracks=[key:gene_model_track,Options:GeneOnly]&amp;mk=1038438:1038457|offset_6|444444,1038416:1038435|offset_28|444444,1038393:1038412|offset_51|00cc00,1038356:1038375|offset_88|444444&amp;v=1038237:1038575&amp;c=444444", "offset 51")</f>
        <v>offset 51</v>
      </c>
    </row>
    <row r="3578" customFormat="false" ht="12.8" hidden="false" customHeight="false" outlineLevel="0" collapsed="false">
      <c r="A3578" s="0" t="s">
        <v>12</v>
      </c>
      <c r="B3578" s="0" t="n">
        <v>1038355</v>
      </c>
      <c r="C3578" s="0" t="n">
        <v>1038375</v>
      </c>
      <c r="D3578" s="0" t="s">
        <v>11945</v>
      </c>
      <c r="E3578" s="0" t="s">
        <v>89</v>
      </c>
      <c r="F3578" s="0" t="s">
        <v>90</v>
      </c>
      <c r="G3578" s="0" t="s">
        <v>16</v>
      </c>
      <c r="H3578" s="0" t="n">
        <v>88</v>
      </c>
      <c r="I3578" s="0" t="s">
        <v>11955</v>
      </c>
      <c r="J3578" s="0" t="s">
        <v>11956</v>
      </c>
      <c r="K3578" s="0" t="s">
        <v>11957</v>
      </c>
      <c r="L3578" s="0" t="str">
        <f aca="false">HYPERLINK("https://www.ncbi.nlm.nih.gov/nuccore/CP000304.1?report=graph&amp;tracks=[key:gene_model_track,Options:GeneOnly]&amp;mk=1038438:1038457|offset_6|444444,1038416:1038435|offset_28|444444,1038393:1038412|offset_51|444444,1038356:1038375|offset_88|00cc00&amp;v=1038237:1038575&amp;c=444444", "offset 88")</f>
        <v>offset 88</v>
      </c>
    </row>
    <row r="3579" customFormat="false" ht="12.8" hidden="false" customHeight="false" outlineLevel="0" collapsed="false">
      <c r="A3579" s="0" t="s">
        <v>12</v>
      </c>
      <c r="B3579" s="0" t="n">
        <v>1038566</v>
      </c>
      <c r="C3579" s="0" t="n">
        <v>1038586</v>
      </c>
      <c r="D3579" s="0" t="s">
        <v>11958</v>
      </c>
      <c r="E3579" s="0" t="s">
        <v>89</v>
      </c>
      <c r="F3579" s="0" t="s">
        <v>15</v>
      </c>
      <c r="G3579" s="0" t="s">
        <v>16</v>
      </c>
      <c r="H3579" s="0" t="n">
        <v>7</v>
      </c>
      <c r="I3579" s="0" t="s">
        <v>11959</v>
      </c>
      <c r="J3579" s="0" t="s">
        <v>11960</v>
      </c>
      <c r="K3579" s="0" t="s">
        <v>11961</v>
      </c>
      <c r="L3579" s="0" t="str">
        <f aca="false">HYPERLINK("https://www.ncbi.nlm.nih.gov/nuccore/CP000304.1?report=graph&amp;tracks=[key:gene_model_track,Options:GeneOnly]&amp;mk=1038567:1038586|offset_7|00cc00,1038598:1038617|offset_38|444444,1038623:1038642|offset_63|444444,1038645:1038664|offset_85|444444&amp;v=1038366:1038864&amp;c=444444", "offset 7")</f>
        <v>offset 7</v>
      </c>
    </row>
    <row r="3580" customFormat="false" ht="12.8" hidden="false" customHeight="false" outlineLevel="0" collapsed="false">
      <c r="A3580" s="0" t="s">
        <v>12</v>
      </c>
      <c r="B3580" s="0" t="n">
        <v>1038597</v>
      </c>
      <c r="C3580" s="0" t="n">
        <v>1038617</v>
      </c>
      <c r="D3580" s="0" t="s">
        <v>11958</v>
      </c>
      <c r="E3580" s="0" t="s">
        <v>89</v>
      </c>
      <c r="F3580" s="0" t="s">
        <v>15</v>
      </c>
      <c r="G3580" s="0" t="s">
        <v>26</v>
      </c>
      <c r="H3580" s="0" t="n">
        <v>38</v>
      </c>
      <c r="I3580" s="0" t="s">
        <v>11962</v>
      </c>
      <c r="J3580" s="0" t="s">
        <v>11963</v>
      </c>
      <c r="K3580" s="0" t="s">
        <v>11964</v>
      </c>
      <c r="L3580" s="0" t="str">
        <f aca="false">HYPERLINK("https://www.ncbi.nlm.nih.gov/nuccore/CP000304.1?report=graph&amp;tracks=[key:gene_model_track,Options:GeneOnly]&amp;mk=1038567:1038586|offset_7|444444,1038598:1038617|offset_38|00cc00,1038623:1038642|offset_63|444444,1038645:1038664|offset_85|444444&amp;v=1038366:1038864&amp;c=444444", "offset 38")</f>
        <v>offset 38</v>
      </c>
    </row>
    <row r="3581" customFormat="false" ht="12.8" hidden="false" customHeight="false" outlineLevel="0" collapsed="false">
      <c r="A3581" s="0" t="s">
        <v>12</v>
      </c>
      <c r="B3581" s="0" t="n">
        <v>1038622</v>
      </c>
      <c r="C3581" s="0" t="n">
        <v>1038642</v>
      </c>
      <c r="D3581" s="0" t="s">
        <v>11958</v>
      </c>
      <c r="E3581" s="0" t="s">
        <v>89</v>
      </c>
      <c r="F3581" s="0" t="s">
        <v>15</v>
      </c>
      <c r="G3581" s="0" t="s">
        <v>36</v>
      </c>
      <c r="H3581" s="0" t="n">
        <v>63</v>
      </c>
      <c r="I3581" s="0" t="s">
        <v>11965</v>
      </c>
      <c r="J3581" s="0" t="s">
        <v>11966</v>
      </c>
      <c r="K3581" s="0" t="s">
        <v>11967</v>
      </c>
      <c r="L3581" s="0" t="str">
        <f aca="false">HYPERLINK("https://www.ncbi.nlm.nih.gov/nuccore/CP000304.1?report=graph&amp;tracks=[key:gene_model_track,Options:GeneOnly]&amp;mk=1038567:1038586|offset_7|444444,1038598:1038617|offset_38|444444,1038623:1038642|offset_63|00cc00,1038645:1038664|offset_85|444444&amp;v=1038366:1038864&amp;c=444444", "offset 63")</f>
        <v>offset 63</v>
      </c>
    </row>
    <row r="3582" customFormat="false" ht="12.8" hidden="false" customHeight="false" outlineLevel="0" collapsed="false">
      <c r="A3582" s="0" t="s">
        <v>12</v>
      </c>
      <c r="B3582" s="0" t="n">
        <v>1038644</v>
      </c>
      <c r="C3582" s="0" t="n">
        <v>1038664</v>
      </c>
      <c r="D3582" s="0" t="s">
        <v>11958</v>
      </c>
      <c r="E3582" s="0" t="s">
        <v>89</v>
      </c>
      <c r="F3582" s="0" t="s">
        <v>15</v>
      </c>
      <c r="G3582" s="0" t="s">
        <v>32</v>
      </c>
      <c r="H3582" s="0" t="n">
        <v>85</v>
      </c>
      <c r="I3582" s="0" t="s">
        <v>11968</v>
      </c>
      <c r="J3582" s="0" t="s">
        <v>11969</v>
      </c>
      <c r="K3582" s="0" t="s">
        <v>11970</v>
      </c>
      <c r="L3582" s="0" t="str">
        <f aca="false">HYPERLINK("https://www.ncbi.nlm.nih.gov/nuccore/CP000304.1?report=graph&amp;tracks=[key:gene_model_track,Options:GeneOnly]&amp;mk=1038567:1038586|offset_7|444444,1038598:1038617|offset_38|444444,1038623:1038642|offset_63|444444,1038645:1038664|offset_85|00cc00&amp;v=1038366:1038864&amp;c=444444", "offset 85")</f>
        <v>offset 85</v>
      </c>
    </row>
    <row r="3583" customFormat="false" ht="12.8" hidden="false" customHeight="false" outlineLevel="0" collapsed="false">
      <c r="A3583" s="0" t="s">
        <v>12</v>
      </c>
      <c r="B3583" s="0" t="n">
        <v>1040654</v>
      </c>
      <c r="C3583" s="0" t="n">
        <v>1040674</v>
      </c>
      <c r="D3583" s="0" t="s">
        <v>11971</v>
      </c>
      <c r="E3583" s="0" t="s">
        <v>11972</v>
      </c>
      <c r="F3583" s="0" t="s">
        <v>90</v>
      </c>
      <c r="G3583" s="0" t="s">
        <v>26</v>
      </c>
      <c r="H3583" s="0" t="n">
        <v>14</v>
      </c>
      <c r="I3583" s="0" t="s">
        <v>11973</v>
      </c>
      <c r="J3583" s="0" t="s">
        <v>11974</v>
      </c>
      <c r="K3583" s="0" t="s">
        <v>11975</v>
      </c>
      <c r="L3583" s="0" t="str">
        <f aca="false">HYPERLINK("https://www.ncbi.nlm.nih.gov/nuccore/CP000304.1?report=graph&amp;tracks=[key:gene_model_track,Options:GeneOnly]&amp;mk=1040655:1040674|offset_14|00cc00,1040635:1040654|offset_34|444444,1040614:1040633|offset_55|444444,1040588:1040607|offset_81|444444&amp;v=1040454:1040807&amp;c=444444", "offset 14")</f>
        <v>offset 14</v>
      </c>
    </row>
    <row r="3584" customFormat="false" ht="12.8" hidden="false" customHeight="false" outlineLevel="0" collapsed="false">
      <c r="A3584" s="0" t="s">
        <v>12</v>
      </c>
      <c r="B3584" s="0" t="n">
        <v>1040634</v>
      </c>
      <c r="C3584" s="0" t="n">
        <v>1040654</v>
      </c>
      <c r="D3584" s="0" t="s">
        <v>11971</v>
      </c>
      <c r="E3584" s="0" t="s">
        <v>11972</v>
      </c>
      <c r="F3584" s="0" t="s">
        <v>90</v>
      </c>
      <c r="G3584" s="0" t="s">
        <v>36</v>
      </c>
      <c r="H3584" s="0" t="n">
        <v>34</v>
      </c>
      <c r="I3584" s="0" t="s">
        <v>11976</v>
      </c>
      <c r="J3584" s="0" t="s">
        <v>11977</v>
      </c>
      <c r="K3584" s="0" t="s">
        <v>11978</v>
      </c>
      <c r="L3584" s="0" t="str">
        <f aca="false">HYPERLINK("https://www.ncbi.nlm.nih.gov/nuccore/CP000304.1?report=graph&amp;tracks=[key:gene_model_track,Options:GeneOnly]&amp;mk=1040655:1040674|offset_14|444444,1040635:1040654|offset_34|00cc00,1040614:1040633|offset_55|444444,1040588:1040607|offset_81|444444&amp;v=1040454:1040807&amp;c=444444", "offset 34")</f>
        <v>offset 34</v>
      </c>
    </row>
    <row r="3585" customFormat="false" ht="12.8" hidden="false" customHeight="false" outlineLevel="0" collapsed="false">
      <c r="A3585" s="0" t="s">
        <v>12</v>
      </c>
      <c r="B3585" s="0" t="n">
        <v>1040613</v>
      </c>
      <c r="C3585" s="0" t="n">
        <v>1040633</v>
      </c>
      <c r="D3585" s="0" t="s">
        <v>11971</v>
      </c>
      <c r="E3585" s="0" t="s">
        <v>11972</v>
      </c>
      <c r="F3585" s="0" t="s">
        <v>90</v>
      </c>
      <c r="G3585" s="0" t="s">
        <v>16</v>
      </c>
      <c r="H3585" s="0" t="n">
        <v>55</v>
      </c>
      <c r="I3585" s="0" t="s">
        <v>11979</v>
      </c>
      <c r="J3585" s="0" t="s">
        <v>11980</v>
      </c>
      <c r="K3585" s="0" t="s">
        <v>11981</v>
      </c>
      <c r="L3585" s="0" t="str">
        <f aca="false">HYPERLINK("https://www.ncbi.nlm.nih.gov/nuccore/CP000304.1?report=graph&amp;tracks=[key:gene_model_track,Options:GeneOnly]&amp;mk=1040655:1040674|offset_14|444444,1040635:1040654|offset_34|444444,1040614:1040633|offset_55|00cc00,1040588:1040607|offset_81|444444&amp;v=1040454:1040807&amp;c=444444", "offset 55")</f>
        <v>offset 55</v>
      </c>
    </row>
    <row r="3586" customFormat="false" ht="12.8" hidden="false" customHeight="false" outlineLevel="0" collapsed="false">
      <c r="A3586" s="0" t="s">
        <v>12</v>
      </c>
      <c r="B3586" s="0" t="n">
        <v>1040587</v>
      </c>
      <c r="C3586" s="0" t="n">
        <v>1040607</v>
      </c>
      <c r="D3586" s="0" t="s">
        <v>11971</v>
      </c>
      <c r="E3586" s="0" t="s">
        <v>11972</v>
      </c>
      <c r="F3586" s="0" t="s">
        <v>90</v>
      </c>
      <c r="G3586" s="0" t="s">
        <v>16</v>
      </c>
      <c r="H3586" s="0" t="n">
        <v>81</v>
      </c>
      <c r="I3586" s="0" t="s">
        <v>11982</v>
      </c>
      <c r="J3586" s="0" t="s">
        <v>11983</v>
      </c>
      <c r="K3586" s="0" t="s">
        <v>11984</v>
      </c>
      <c r="L3586" s="0" t="str">
        <f aca="false">HYPERLINK("https://www.ncbi.nlm.nih.gov/nuccore/CP000304.1?report=graph&amp;tracks=[key:gene_model_track,Options:GeneOnly]&amp;mk=1040655:1040674|offset_14|444444,1040635:1040654|offset_34|444444,1040614:1040633|offset_55|444444,1040588:1040607|offset_81|00cc00&amp;v=1040454:1040807&amp;c=444444", "offset 81")</f>
        <v>offset 81</v>
      </c>
    </row>
    <row r="3587" customFormat="false" ht="12.8" hidden="false" customHeight="false" outlineLevel="0" collapsed="false">
      <c r="A3587" s="0" t="s">
        <v>12</v>
      </c>
      <c r="B3587" s="0" t="n">
        <v>1041803</v>
      </c>
      <c r="C3587" s="0" t="n">
        <v>1041823</v>
      </c>
      <c r="D3587" s="0" t="s">
        <v>11985</v>
      </c>
      <c r="E3587" s="0" t="s">
        <v>89</v>
      </c>
      <c r="F3587" s="0" t="s">
        <v>90</v>
      </c>
      <c r="G3587" s="0" t="s">
        <v>32</v>
      </c>
      <c r="H3587" s="0" t="n">
        <v>12</v>
      </c>
      <c r="I3587" s="0" t="s">
        <v>11986</v>
      </c>
      <c r="J3587" s="0" t="s">
        <v>11987</v>
      </c>
      <c r="K3587" s="0" t="s">
        <v>11988</v>
      </c>
      <c r="L3587" s="0" t="str">
        <f aca="false">HYPERLINK("https://www.ncbi.nlm.nih.gov/nuccore/CP000304.1?report=graph&amp;tracks=[key:gene_model_track,Options:GeneOnly]&amp;mk=1041804:1041823|offset_12|00cc00,1041779:1041798|offset_37|444444,1041748:1041767|offset_68|444444,1041724:1041743|offset_92|444444&amp;v=1041603:1041943&amp;c=444444", "offset 12")</f>
        <v>offset 12</v>
      </c>
    </row>
    <row r="3588" customFormat="false" ht="12.8" hidden="false" customHeight="false" outlineLevel="0" collapsed="false">
      <c r="A3588" s="0" t="s">
        <v>12</v>
      </c>
      <c r="B3588" s="0" t="n">
        <v>1041778</v>
      </c>
      <c r="C3588" s="0" t="n">
        <v>1041798</v>
      </c>
      <c r="D3588" s="0" t="s">
        <v>11985</v>
      </c>
      <c r="E3588" s="0" t="s">
        <v>89</v>
      </c>
      <c r="F3588" s="0" t="s">
        <v>90</v>
      </c>
      <c r="G3588" s="0" t="s">
        <v>16</v>
      </c>
      <c r="H3588" s="0" t="n">
        <v>37</v>
      </c>
      <c r="I3588" s="0" t="s">
        <v>11989</v>
      </c>
      <c r="J3588" s="0" t="s">
        <v>11990</v>
      </c>
      <c r="K3588" s="0" t="s">
        <v>11991</v>
      </c>
      <c r="L3588" s="0" t="str">
        <f aca="false">HYPERLINK("https://www.ncbi.nlm.nih.gov/nuccore/CP000304.1?report=graph&amp;tracks=[key:gene_model_track,Options:GeneOnly]&amp;mk=1041804:1041823|offset_12|444444,1041779:1041798|offset_37|00cc00,1041748:1041767|offset_68|444444,1041724:1041743|offset_92|444444&amp;v=1041603:1041943&amp;c=444444", "offset 37")</f>
        <v>offset 37</v>
      </c>
    </row>
    <row r="3589" customFormat="false" ht="12.8" hidden="false" customHeight="false" outlineLevel="0" collapsed="false">
      <c r="A3589" s="0" t="s">
        <v>12</v>
      </c>
      <c r="B3589" s="0" t="n">
        <v>1041747</v>
      </c>
      <c r="C3589" s="0" t="n">
        <v>1041767</v>
      </c>
      <c r="D3589" s="0" t="s">
        <v>11985</v>
      </c>
      <c r="E3589" s="0" t="s">
        <v>89</v>
      </c>
      <c r="F3589" s="0" t="s">
        <v>90</v>
      </c>
      <c r="G3589" s="0" t="s">
        <v>32</v>
      </c>
      <c r="H3589" s="0" t="n">
        <v>68</v>
      </c>
      <c r="I3589" s="0" t="s">
        <v>11992</v>
      </c>
      <c r="J3589" s="0" t="s">
        <v>11993</v>
      </c>
      <c r="K3589" s="0" t="s">
        <v>11994</v>
      </c>
      <c r="L3589" s="0" t="str">
        <f aca="false">HYPERLINK("https://www.ncbi.nlm.nih.gov/nuccore/CP000304.1?report=graph&amp;tracks=[key:gene_model_track,Options:GeneOnly]&amp;mk=1041804:1041823|offset_12|444444,1041779:1041798|offset_37|444444,1041748:1041767|offset_68|00cc00,1041724:1041743|offset_92|444444&amp;v=1041603:1041943&amp;c=444444", "offset 68")</f>
        <v>offset 68</v>
      </c>
    </row>
    <row r="3590" customFormat="false" ht="12.8" hidden="false" customHeight="false" outlineLevel="0" collapsed="false">
      <c r="A3590" s="0" t="s">
        <v>12</v>
      </c>
      <c r="B3590" s="0" t="n">
        <v>1041723</v>
      </c>
      <c r="C3590" s="0" t="n">
        <v>1041743</v>
      </c>
      <c r="D3590" s="0" t="s">
        <v>11985</v>
      </c>
      <c r="E3590" s="0" t="s">
        <v>89</v>
      </c>
      <c r="F3590" s="0" t="s">
        <v>90</v>
      </c>
      <c r="G3590" s="0" t="s">
        <v>32</v>
      </c>
      <c r="H3590" s="0" t="n">
        <v>92</v>
      </c>
      <c r="I3590" s="0" t="s">
        <v>11995</v>
      </c>
      <c r="J3590" s="0" t="s">
        <v>11996</v>
      </c>
      <c r="K3590" s="0" t="s">
        <v>11997</v>
      </c>
      <c r="L3590" s="0" t="str">
        <f aca="false">HYPERLINK("https://www.ncbi.nlm.nih.gov/nuccore/CP000304.1?report=graph&amp;tracks=[key:gene_model_track,Options:GeneOnly]&amp;mk=1041804:1041823|offset_12|444444,1041779:1041798|offset_37|444444,1041748:1041767|offset_68|444444,1041724:1041743|offset_92|00cc00&amp;v=1041603:1041943&amp;c=444444", "offset 92")</f>
        <v>offset 92</v>
      </c>
    </row>
    <row r="3591" customFormat="false" ht="12.8" hidden="false" customHeight="false" outlineLevel="0" collapsed="false">
      <c r="A3591" s="0" t="s">
        <v>12</v>
      </c>
      <c r="B3591" s="0" t="n">
        <v>1042205</v>
      </c>
      <c r="C3591" s="0" t="n">
        <v>1042225</v>
      </c>
      <c r="D3591" s="0" t="s">
        <v>11998</v>
      </c>
      <c r="E3591" s="0" t="s">
        <v>89</v>
      </c>
      <c r="F3591" s="0" t="s">
        <v>90</v>
      </c>
      <c r="G3591" s="0" t="s">
        <v>36</v>
      </c>
      <c r="H3591" s="0" t="n">
        <v>0</v>
      </c>
      <c r="I3591" s="0" t="s">
        <v>11999</v>
      </c>
      <c r="J3591" s="0" t="s">
        <v>12000</v>
      </c>
      <c r="K3591" s="0" t="s">
        <v>12001</v>
      </c>
      <c r="L3591" s="0" t="str">
        <f aca="false">HYPERLINK("https://www.ncbi.nlm.nih.gov/nuccore/CP000304.1?report=graph&amp;tracks=[key:gene_model_track,Options:GeneOnly]&amp;mk=1042206:1042225|offset_0|00cc00,1042186:1042205|offset_20|444444,1042159:1042178|offset_47|444444,1042115:1042134|offset_91|444444&amp;v=1042005:1042334&amp;c=444444", "offset 0")</f>
        <v>offset 0</v>
      </c>
    </row>
    <row r="3592" customFormat="false" ht="12.8" hidden="false" customHeight="false" outlineLevel="0" collapsed="false">
      <c r="A3592" s="0" t="s">
        <v>12</v>
      </c>
      <c r="B3592" s="0" t="n">
        <v>1042185</v>
      </c>
      <c r="C3592" s="0" t="n">
        <v>1042205</v>
      </c>
      <c r="D3592" s="0" t="s">
        <v>11998</v>
      </c>
      <c r="E3592" s="0" t="s">
        <v>89</v>
      </c>
      <c r="F3592" s="0" t="s">
        <v>90</v>
      </c>
      <c r="G3592" s="0" t="s">
        <v>36</v>
      </c>
      <c r="H3592" s="0" t="n">
        <v>20</v>
      </c>
      <c r="I3592" s="0" t="s">
        <v>12002</v>
      </c>
      <c r="J3592" s="0" t="s">
        <v>12003</v>
      </c>
      <c r="K3592" s="0" t="s">
        <v>12004</v>
      </c>
      <c r="L3592" s="0" t="str">
        <f aca="false">HYPERLINK("https://www.ncbi.nlm.nih.gov/nuccore/CP000304.1?report=graph&amp;tracks=[key:gene_model_track,Options:GeneOnly]&amp;mk=1042206:1042225|offset_0|444444,1042186:1042205|offset_20|00cc00,1042159:1042178|offset_47|444444,1042115:1042134|offset_91|444444&amp;v=1042005:1042334&amp;c=444444", "offset 20")</f>
        <v>offset 20</v>
      </c>
    </row>
    <row r="3593" customFormat="false" ht="12.8" hidden="false" customHeight="false" outlineLevel="0" collapsed="false">
      <c r="A3593" s="0" t="s">
        <v>12</v>
      </c>
      <c r="B3593" s="0" t="n">
        <v>1042158</v>
      </c>
      <c r="C3593" s="0" t="n">
        <v>1042178</v>
      </c>
      <c r="D3593" s="0" t="s">
        <v>11998</v>
      </c>
      <c r="E3593" s="0" t="s">
        <v>89</v>
      </c>
      <c r="F3593" s="0" t="s">
        <v>90</v>
      </c>
      <c r="G3593" s="0" t="s">
        <v>32</v>
      </c>
      <c r="H3593" s="0" t="n">
        <v>47</v>
      </c>
      <c r="I3593" s="0" t="s">
        <v>12005</v>
      </c>
      <c r="J3593" s="0" t="s">
        <v>12006</v>
      </c>
      <c r="K3593" s="0" t="s">
        <v>12007</v>
      </c>
      <c r="L3593" s="0" t="str">
        <f aca="false">HYPERLINK("https://www.ncbi.nlm.nih.gov/nuccore/CP000304.1?report=graph&amp;tracks=[key:gene_model_track,Options:GeneOnly]&amp;mk=1042206:1042225|offset_0|444444,1042186:1042205|offset_20|444444,1042159:1042178|offset_47|00cc00,1042115:1042134|offset_91|444444&amp;v=1042005:1042334&amp;c=444444", "offset 47")</f>
        <v>offset 47</v>
      </c>
    </row>
    <row r="3594" customFormat="false" ht="12.8" hidden="false" customHeight="false" outlineLevel="0" collapsed="false">
      <c r="A3594" s="0" t="s">
        <v>12</v>
      </c>
      <c r="B3594" s="0" t="n">
        <v>1042114</v>
      </c>
      <c r="C3594" s="0" t="n">
        <v>1042134</v>
      </c>
      <c r="D3594" s="0" t="s">
        <v>11998</v>
      </c>
      <c r="E3594" s="0" t="s">
        <v>89</v>
      </c>
      <c r="F3594" s="0" t="s">
        <v>90</v>
      </c>
      <c r="G3594" s="0" t="s">
        <v>26</v>
      </c>
      <c r="H3594" s="0" t="n">
        <v>91</v>
      </c>
      <c r="I3594" s="0" t="s">
        <v>12008</v>
      </c>
      <c r="J3594" s="0" t="s">
        <v>12009</v>
      </c>
      <c r="K3594" s="0" t="s">
        <v>12010</v>
      </c>
      <c r="L3594" s="0" t="str">
        <f aca="false">HYPERLINK("https://www.ncbi.nlm.nih.gov/nuccore/CP000304.1?report=graph&amp;tracks=[key:gene_model_track,Options:GeneOnly]&amp;mk=1042206:1042225|offset_0|444444,1042186:1042205|offset_20|444444,1042159:1042178|offset_47|444444,1042115:1042134|offset_91|00cc00&amp;v=1042005:1042334&amp;c=444444", "offset 91")</f>
        <v>offset 91</v>
      </c>
    </row>
    <row r="3595" customFormat="false" ht="12.8" hidden="false" customHeight="false" outlineLevel="0" collapsed="false">
      <c r="A3595" s="0" t="s">
        <v>12</v>
      </c>
      <c r="B3595" s="0" t="n">
        <v>1042764</v>
      </c>
      <c r="C3595" s="0" t="n">
        <v>1042784</v>
      </c>
      <c r="D3595" s="0" t="s">
        <v>12011</v>
      </c>
      <c r="E3595" s="0" t="s">
        <v>89</v>
      </c>
      <c r="F3595" s="0" t="s">
        <v>90</v>
      </c>
      <c r="G3595" s="0" t="s">
        <v>32</v>
      </c>
      <c r="H3595" s="0" t="n">
        <v>1</v>
      </c>
      <c r="I3595" s="0" t="s">
        <v>12012</v>
      </c>
      <c r="J3595" s="0" t="s">
        <v>12013</v>
      </c>
      <c r="K3595" s="0" t="s">
        <v>12014</v>
      </c>
      <c r="L3595" s="0" t="str">
        <f aca="false">HYPERLINK("https://www.ncbi.nlm.nih.gov/nuccore/CP000304.1?report=graph&amp;tracks=[key:gene_model_track,Options:GeneOnly]&amp;mk=1042765:1042784|offset_1|00cc00,1042729:1042748|offset_37|444444,1042692:1042711|offset_74|444444,1042620:1042639|offset_146|444444&amp;v=1042564:1042839&amp;c=444444", "offset 1")</f>
        <v>offset 1</v>
      </c>
    </row>
    <row r="3596" customFormat="false" ht="12.8" hidden="false" customHeight="false" outlineLevel="0" collapsed="false">
      <c r="A3596" s="0" t="s">
        <v>12</v>
      </c>
      <c r="B3596" s="0" t="n">
        <v>1042728</v>
      </c>
      <c r="C3596" s="0" t="n">
        <v>1042748</v>
      </c>
      <c r="D3596" s="0" t="s">
        <v>12011</v>
      </c>
      <c r="E3596" s="0" t="s">
        <v>89</v>
      </c>
      <c r="F3596" s="0" t="s">
        <v>90</v>
      </c>
      <c r="G3596" s="0" t="s">
        <v>26</v>
      </c>
      <c r="H3596" s="0" t="n">
        <v>37</v>
      </c>
      <c r="I3596" s="0" t="s">
        <v>12015</v>
      </c>
      <c r="J3596" s="0" t="s">
        <v>12016</v>
      </c>
      <c r="K3596" s="0" t="s">
        <v>12017</v>
      </c>
      <c r="L3596" s="0" t="str">
        <f aca="false">HYPERLINK("https://www.ncbi.nlm.nih.gov/nuccore/CP000304.1?report=graph&amp;tracks=[key:gene_model_track,Options:GeneOnly]&amp;mk=1042765:1042784|offset_1|444444,1042729:1042748|offset_37|00cc00,1042692:1042711|offset_74|444444,1042620:1042639|offset_146|444444&amp;v=1042564:1042839&amp;c=444444", "offset 37")</f>
        <v>offset 37</v>
      </c>
    </row>
    <row r="3597" customFormat="false" ht="12.8" hidden="false" customHeight="false" outlineLevel="0" collapsed="false">
      <c r="A3597" s="0" t="s">
        <v>12</v>
      </c>
      <c r="B3597" s="0" t="n">
        <v>1042691</v>
      </c>
      <c r="C3597" s="0" t="n">
        <v>1042711</v>
      </c>
      <c r="D3597" s="0" t="s">
        <v>12011</v>
      </c>
      <c r="E3597" s="0" t="s">
        <v>89</v>
      </c>
      <c r="F3597" s="0" t="s">
        <v>90</v>
      </c>
      <c r="G3597" s="0" t="s">
        <v>36</v>
      </c>
      <c r="H3597" s="0" t="n">
        <v>74</v>
      </c>
      <c r="I3597" s="0" t="s">
        <v>12018</v>
      </c>
      <c r="J3597" s="0" t="s">
        <v>12019</v>
      </c>
      <c r="K3597" s="0" t="s">
        <v>12020</v>
      </c>
      <c r="L3597" s="0" t="str">
        <f aca="false">HYPERLINK("https://www.ncbi.nlm.nih.gov/nuccore/CP000304.1?report=graph&amp;tracks=[key:gene_model_track,Options:GeneOnly]&amp;mk=1042765:1042784|offset_1|444444,1042729:1042748|offset_37|444444,1042692:1042711|offset_74|00cc00,1042620:1042639|offset_146|444444&amp;v=1042564:1042839&amp;c=444444", "offset 74")</f>
        <v>offset 74</v>
      </c>
    </row>
    <row r="3598" customFormat="false" ht="12.8" hidden="false" customHeight="false" outlineLevel="0" collapsed="false">
      <c r="A3598" s="0" t="s">
        <v>12</v>
      </c>
      <c r="B3598" s="0" t="n">
        <v>1042619</v>
      </c>
      <c r="C3598" s="0" t="n">
        <v>1042639</v>
      </c>
      <c r="D3598" s="0" t="s">
        <v>12011</v>
      </c>
      <c r="E3598" s="0" t="s">
        <v>89</v>
      </c>
      <c r="F3598" s="0" t="s">
        <v>90</v>
      </c>
      <c r="G3598" s="0" t="s">
        <v>36</v>
      </c>
      <c r="H3598" s="0" t="n">
        <v>146</v>
      </c>
      <c r="I3598" s="0" t="s">
        <v>12021</v>
      </c>
      <c r="J3598" s="0" t="s">
        <v>12022</v>
      </c>
      <c r="K3598" s="0" t="s">
        <v>12023</v>
      </c>
      <c r="L3598" s="0" t="str">
        <f aca="false">HYPERLINK("https://www.ncbi.nlm.nih.gov/nuccore/CP000304.1?report=graph&amp;tracks=[key:gene_model_track,Options:GeneOnly]&amp;mk=1042765:1042784|offset_1|444444,1042729:1042748|offset_37|444444,1042692:1042711|offset_74|444444,1042620:1042639|offset_146|00cc00&amp;v=1042564:1042839&amp;c=444444", "offset 146")</f>
        <v>offset 146</v>
      </c>
    </row>
    <row r="3599" customFormat="false" ht="12.8" hidden="false" customHeight="false" outlineLevel="0" collapsed="false">
      <c r="A3599" s="0" t="s">
        <v>12</v>
      </c>
      <c r="B3599" s="0" t="n">
        <v>1044716</v>
      </c>
      <c r="C3599" s="0" t="n">
        <v>1044736</v>
      </c>
      <c r="D3599" s="0" t="s">
        <v>12024</v>
      </c>
      <c r="E3599" s="0" t="s">
        <v>89</v>
      </c>
      <c r="F3599" s="0" t="s">
        <v>90</v>
      </c>
      <c r="G3599" s="0" t="s">
        <v>26</v>
      </c>
      <c r="H3599" s="0" t="n">
        <v>56</v>
      </c>
      <c r="I3599" s="0" t="s">
        <v>12025</v>
      </c>
      <c r="J3599" s="0" t="s">
        <v>12026</v>
      </c>
      <c r="K3599" s="0" t="s">
        <v>12027</v>
      </c>
      <c r="L3599" s="0" t="str">
        <f aca="false">HYPERLINK("https://www.ncbi.nlm.nih.gov/nuccore/CP000304.1?report=graph&amp;tracks=[key:gene_model_track,Options:GeneOnly]&amp;mk=1044717:1044736|offset_56|00cc00,1044697:1044716|offset_76|444444,1044624:1044643|offset_149|444444,1044596:1044615|offset_177|444444&amp;v=1044516:1044815&amp;c=444444", "offset 56")</f>
        <v>offset 56</v>
      </c>
    </row>
    <row r="3600" customFormat="false" ht="12.8" hidden="false" customHeight="false" outlineLevel="0" collapsed="false">
      <c r="A3600" s="0" t="s">
        <v>12</v>
      </c>
      <c r="B3600" s="0" t="n">
        <v>1044696</v>
      </c>
      <c r="C3600" s="0" t="n">
        <v>1044716</v>
      </c>
      <c r="D3600" s="0" t="s">
        <v>12024</v>
      </c>
      <c r="E3600" s="0" t="s">
        <v>89</v>
      </c>
      <c r="F3600" s="0" t="s">
        <v>90</v>
      </c>
      <c r="G3600" s="0" t="s">
        <v>16</v>
      </c>
      <c r="H3600" s="0" t="n">
        <v>76</v>
      </c>
      <c r="I3600" s="0" t="s">
        <v>12028</v>
      </c>
      <c r="J3600" s="0" t="s">
        <v>12029</v>
      </c>
      <c r="K3600" s="0" t="s">
        <v>12030</v>
      </c>
      <c r="L3600" s="0" t="str">
        <f aca="false">HYPERLINK("https://www.ncbi.nlm.nih.gov/nuccore/CP000304.1?report=graph&amp;tracks=[key:gene_model_track,Options:GeneOnly]&amp;mk=1044717:1044736|offset_56|444444,1044697:1044716|offset_76|00cc00,1044624:1044643|offset_149|444444,1044596:1044615|offset_177|444444&amp;v=1044516:1044815&amp;c=444444", "offset 76")</f>
        <v>offset 76</v>
      </c>
    </row>
    <row r="3601" customFormat="false" ht="12.8" hidden="false" customHeight="false" outlineLevel="0" collapsed="false">
      <c r="A3601" s="0" t="s">
        <v>12</v>
      </c>
      <c r="B3601" s="0" t="n">
        <v>1044623</v>
      </c>
      <c r="C3601" s="0" t="n">
        <v>1044643</v>
      </c>
      <c r="D3601" s="0" t="s">
        <v>12024</v>
      </c>
      <c r="E3601" s="0" t="s">
        <v>89</v>
      </c>
      <c r="F3601" s="0" t="s">
        <v>90</v>
      </c>
      <c r="G3601" s="0" t="s">
        <v>32</v>
      </c>
      <c r="H3601" s="0" t="n">
        <v>149</v>
      </c>
      <c r="I3601" s="0" t="s">
        <v>12031</v>
      </c>
      <c r="J3601" s="0" t="s">
        <v>12032</v>
      </c>
      <c r="K3601" s="0" t="s">
        <v>12033</v>
      </c>
      <c r="L3601" s="0" t="str">
        <f aca="false">HYPERLINK("https://www.ncbi.nlm.nih.gov/nuccore/CP000304.1?report=graph&amp;tracks=[key:gene_model_track,Options:GeneOnly]&amp;mk=1044717:1044736|offset_56|444444,1044697:1044716|offset_76|444444,1044624:1044643|offset_149|00cc00,1044596:1044615|offset_177|444444&amp;v=1044516:1044815&amp;c=444444", "offset 149")</f>
        <v>offset 149</v>
      </c>
    </row>
    <row r="3602" customFormat="false" ht="12.8" hidden="false" customHeight="false" outlineLevel="0" collapsed="false">
      <c r="A3602" s="0" t="s">
        <v>12</v>
      </c>
      <c r="B3602" s="0" t="n">
        <v>1044595</v>
      </c>
      <c r="C3602" s="0" t="n">
        <v>1044615</v>
      </c>
      <c r="D3602" s="0" t="s">
        <v>12024</v>
      </c>
      <c r="E3602" s="0" t="s">
        <v>89</v>
      </c>
      <c r="F3602" s="0" t="s">
        <v>90</v>
      </c>
      <c r="G3602" s="0" t="s">
        <v>16</v>
      </c>
      <c r="H3602" s="0" t="n">
        <v>177</v>
      </c>
      <c r="I3602" s="0" t="s">
        <v>12034</v>
      </c>
      <c r="J3602" s="0" t="s">
        <v>12035</v>
      </c>
      <c r="K3602" s="0" t="s">
        <v>12036</v>
      </c>
      <c r="L3602" s="0" t="str">
        <f aca="false">HYPERLINK("https://www.ncbi.nlm.nih.gov/nuccore/CP000304.1?report=graph&amp;tracks=[key:gene_model_track,Options:GeneOnly]&amp;mk=1044717:1044736|offset_56|444444,1044697:1044716|offset_76|444444,1044624:1044643|offset_149|444444,1044596:1044615|offset_177|00cc00&amp;v=1044516:1044815&amp;c=444444", "offset 177")</f>
        <v>offset 177</v>
      </c>
    </row>
    <row r="3603" customFormat="false" ht="12.8" hidden="false" customHeight="false" outlineLevel="0" collapsed="false">
      <c r="A3603" s="0" t="s">
        <v>12</v>
      </c>
      <c r="B3603" s="0" t="n">
        <v>1046703</v>
      </c>
      <c r="C3603" s="0" t="n">
        <v>1046723</v>
      </c>
      <c r="D3603" s="0" t="s">
        <v>12037</v>
      </c>
      <c r="E3603" s="0" t="s">
        <v>89</v>
      </c>
      <c r="F3603" s="0" t="s">
        <v>90</v>
      </c>
      <c r="G3603" s="0" t="s">
        <v>16</v>
      </c>
      <c r="H3603" s="0" t="n">
        <v>0</v>
      </c>
      <c r="I3603" s="0" t="s">
        <v>12038</v>
      </c>
      <c r="J3603" s="0" t="s">
        <v>12039</v>
      </c>
      <c r="K3603" s="0" t="s">
        <v>12040</v>
      </c>
      <c r="L3603" s="0" t="str">
        <f aca="false">HYPERLINK("https://www.ncbi.nlm.nih.gov/nuccore/CP000304.1?report=graph&amp;tracks=[key:gene_model_track,Options:GeneOnly]&amp;mk=1046704:1046723|offset_0|00cc00,1046680:1046699|offset_24|444444,1046658:1046677|offset_46|444444,1046629:1046648|offset_75|444444&amp;v=1046503:1046848&amp;c=444444", "offset 0")</f>
        <v>offset 0</v>
      </c>
    </row>
    <row r="3604" customFormat="false" ht="12.8" hidden="false" customHeight="false" outlineLevel="0" collapsed="false">
      <c r="A3604" s="0" t="s">
        <v>12</v>
      </c>
      <c r="B3604" s="0" t="n">
        <v>1046679</v>
      </c>
      <c r="C3604" s="0" t="n">
        <v>1046699</v>
      </c>
      <c r="D3604" s="0" t="s">
        <v>12037</v>
      </c>
      <c r="E3604" s="0" t="s">
        <v>89</v>
      </c>
      <c r="F3604" s="0" t="s">
        <v>90</v>
      </c>
      <c r="G3604" s="0" t="s">
        <v>36</v>
      </c>
      <c r="H3604" s="0" t="n">
        <v>24</v>
      </c>
      <c r="I3604" s="0" t="s">
        <v>12041</v>
      </c>
      <c r="J3604" s="0" t="s">
        <v>12042</v>
      </c>
      <c r="K3604" s="0" t="s">
        <v>12043</v>
      </c>
      <c r="L3604" s="0" t="str">
        <f aca="false">HYPERLINK("https://www.ncbi.nlm.nih.gov/nuccore/CP000304.1?report=graph&amp;tracks=[key:gene_model_track,Options:GeneOnly]&amp;mk=1046704:1046723|offset_0|444444,1046680:1046699|offset_24|00cc00,1046658:1046677|offset_46|444444,1046629:1046648|offset_75|444444&amp;v=1046503:1046848&amp;c=444444", "offset 24")</f>
        <v>offset 24</v>
      </c>
    </row>
    <row r="3605" customFormat="false" ht="12.8" hidden="false" customHeight="false" outlineLevel="0" collapsed="false">
      <c r="A3605" s="0" t="s">
        <v>12</v>
      </c>
      <c r="B3605" s="0" t="n">
        <v>1046657</v>
      </c>
      <c r="C3605" s="0" t="n">
        <v>1046677</v>
      </c>
      <c r="D3605" s="0" t="s">
        <v>12037</v>
      </c>
      <c r="E3605" s="0" t="s">
        <v>89</v>
      </c>
      <c r="F3605" s="0" t="s">
        <v>90</v>
      </c>
      <c r="G3605" s="0" t="s">
        <v>26</v>
      </c>
      <c r="H3605" s="0" t="n">
        <v>46</v>
      </c>
      <c r="I3605" s="0" t="s">
        <v>12044</v>
      </c>
      <c r="J3605" s="0" t="s">
        <v>12045</v>
      </c>
      <c r="K3605" s="0" t="s">
        <v>12046</v>
      </c>
      <c r="L3605" s="0" t="str">
        <f aca="false">HYPERLINK("https://www.ncbi.nlm.nih.gov/nuccore/CP000304.1?report=graph&amp;tracks=[key:gene_model_track,Options:GeneOnly]&amp;mk=1046704:1046723|offset_0|444444,1046680:1046699|offset_24|444444,1046658:1046677|offset_46|00cc00,1046629:1046648|offset_75|444444&amp;v=1046503:1046848&amp;c=444444", "offset 46")</f>
        <v>offset 46</v>
      </c>
    </row>
    <row r="3606" customFormat="false" ht="12.8" hidden="false" customHeight="false" outlineLevel="0" collapsed="false">
      <c r="A3606" s="0" t="s">
        <v>12</v>
      </c>
      <c r="B3606" s="0" t="n">
        <v>1046628</v>
      </c>
      <c r="C3606" s="0" t="n">
        <v>1046648</v>
      </c>
      <c r="D3606" s="0" t="s">
        <v>12037</v>
      </c>
      <c r="E3606" s="0" t="s">
        <v>89</v>
      </c>
      <c r="F3606" s="0" t="s">
        <v>90</v>
      </c>
      <c r="G3606" s="0" t="s">
        <v>32</v>
      </c>
      <c r="H3606" s="0" t="n">
        <v>75</v>
      </c>
      <c r="I3606" s="0" t="s">
        <v>12047</v>
      </c>
      <c r="J3606" s="0" t="s">
        <v>12048</v>
      </c>
      <c r="K3606" s="0" t="s">
        <v>12049</v>
      </c>
      <c r="L3606" s="0" t="str">
        <f aca="false">HYPERLINK("https://www.ncbi.nlm.nih.gov/nuccore/CP000304.1?report=graph&amp;tracks=[key:gene_model_track,Options:GeneOnly]&amp;mk=1046704:1046723|offset_0|444444,1046680:1046699|offset_24|444444,1046658:1046677|offset_46|444444,1046629:1046648|offset_75|00cc00&amp;v=1046503:1046848&amp;c=444444", "offset 75")</f>
        <v>offset 75</v>
      </c>
    </row>
    <row r="3607" customFormat="false" ht="12.8" hidden="false" customHeight="false" outlineLevel="0" collapsed="false">
      <c r="A3607" s="0" t="s">
        <v>12</v>
      </c>
      <c r="B3607" s="0" t="n">
        <v>1046877</v>
      </c>
      <c r="C3607" s="0" t="n">
        <v>1046897</v>
      </c>
      <c r="D3607" s="0" t="s">
        <v>12050</v>
      </c>
      <c r="E3607" s="0" t="s">
        <v>12051</v>
      </c>
      <c r="F3607" s="0" t="s">
        <v>15</v>
      </c>
      <c r="G3607" s="0" t="s">
        <v>32</v>
      </c>
      <c r="H3607" s="0" t="n">
        <v>1</v>
      </c>
      <c r="I3607" s="0" t="s">
        <v>12052</v>
      </c>
      <c r="J3607" s="0" t="s">
        <v>12053</v>
      </c>
      <c r="K3607" s="0" t="s">
        <v>12054</v>
      </c>
      <c r="L3607" s="0" t="str">
        <f aca="false">HYPERLINK("https://www.ncbi.nlm.nih.gov/nuccore/CP000304.1?report=graph&amp;tracks=[key:gene_model_track,Options:GeneOnly]&amp;mk=1046878:1046897|offset_1|00cc00,1046899:1046918|offset_22|444444,1046932:1046951|offset_55|444444,1046963:1046982|offset_86|444444&amp;v=1046677:1047182&amp;c=444444", "offset 1")</f>
        <v>offset 1</v>
      </c>
    </row>
    <row r="3608" customFormat="false" ht="12.8" hidden="false" customHeight="false" outlineLevel="0" collapsed="false">
      <c r="A3608" s="0" t="s">
        <v>12</v>
      </c>
      <c r="B3608" s="0" t="n">
        <v>1046898</v>
      </c>
      <c r="C3608" s="0" t="n">
        <v>1046918</v>
      </c>
      <c r="D3608" s="0" t="s">
        <v>12050</v>
      </c>
      <c r="E3608" s="0" t="s">
        <v>12051</v>
      </c>
      <c r="F3608" s="0" t="s">
        <v>15</v>
      </c>
      <c r="G3608" s="0" t="s">
        <v>36</v>
      </c>
      <c r="H3608" s="0" t="n">
        <v>22</v>
      </c>
      <c r="I3608" s="0" t="s">
        <v>12055</v>
      </c>
      <c r="J3608" s="0" t="s">
        <v>12056</v>
      </c>
      <c r="K3608" s="0" t="s">
        <v>12057</v>
      </c>
      <c r="L3608" s="0" t="str">
        <f aca="false">HYPERLINK("https://www.ncbi.nlm.nih.gov/nuccore/CP000304.1?report=graph&amp;tracks=[key:gene_model_track,Options:GeneOnly]&amp;mk=1046878:1046897|offset_1|444444,1046899:1046918|offset_22|00cc00,1046932:1046951|offset_55|444444,1046963:1046982|offset_86|444444&amp;v=1046677:1047182&amp;c=444444", "offset 22")</f>
        <v>offset 22</v>
      </c>
    </row>
    <row r="3609" customFormat="false" ht="12.8" hidden="false" customHeight="false" outlineLevel="0" collapsed="false">
      <c r="A3609" s="0" t="s">
        <v>12</v>
      </c>
      <c r="B3609" s="0" t="n">
        <v>1046931</v>
      </c>
      <c r="C3609" s="0" t="n">
        <v>1046951</v>
      </c>
      <c r="D3609" s="0" t="s">
        <v>12050</v>
      </c>
      <c r="E3609" s="0" t="s">
        <v>12051</v>
      </c>
      <c r="F3609" s="0" t="s">
        <v>15</v>
      </c>
      <c r="G3609" s="0" t="s">
        <v>32</v>
      </c>
      <c r="H3609" s="0" t="n">
        <v>55</v>
      </c>
      <c r="I3609" s="0" t="s">
        <v>12058</v>
      </c>
      <c r="J3609" s="0" t="s">
        <v>12059</v>
      </c>
      <c r="K3609" s="0" t="s">
        <v>12060</v>
      </c>
      <c r="L3609" s="0" t="str">
        <f aca="false">HYPERLINK("https://www.ncbi.nlm.nih.gov/nuccore/CP000304.1?report=graph&amp;tracks=[key:gene_model_track,Options:GeneOnly]&amp;mk=1046878:1046897|offset_1|444444,1046899:1046918|offset_22|444444,1046932:1046951|offset_55|00cc00,1046963:1046982|offset_86|444444&amp;v=1046677:1047182&amp;c=444444", "offset 55")</f>
        <v>offset 55</v>
      </c>
    </row>
    <row r="3610" customFormat="false" ht="12.8" hidden="false" customHeight="false" outlineLevel="0" collapsed="false">
      <c r="A3610" s="0" t="s">
        <v>12</v>
      </c>
      <c r="B3610" s="0" t="n">
        <v>1046962</v>
      </c>
      <c r="C3610" s="0" t="n">
        <v>1046982</v>
      </c>
      <c r="D3610" s="0" t="s">
        <v>12050</v>
      </c>
      <c r="E3610" s="0" t="s">
        <v>12051</v>
      </c>
      <c r="F3610" s="0" t="s">
        <v>15</v>
      </c>
      <c r="G3610" s="0" t="s">
        <v>32</v>
      </c>
      <c r="H3610" s="0" t="n">
        <v>86</v>
      </c>
      <c r="I3610" s="0" t="s">
        <v>12061</v>
      </c>
      <c r="J3610" s="0" t="s">
        <v>12062</v>
      </c>
      <c r="K3610" s="0" t="s">
        <v>12063</v>
      </c>
      <c r="L3610" s="0" t="str">
        <f aca="false">HYPERLINK("https://www.ncbi.nlm.nih.gov/nuccore/CP000304.1?report=graph&amp;tracks=[key:gene_model_track,Options:GeneOnly]&amp;mk=1046878:1046897|offset_1|444444,1046899:1046918|offset_22|444444,1046932:1046951|offset_55|444444,1046963:1046982|offset_86|00cc00&amp;v=1046677:1047182&amp;c=444444", "offset 86")</f>
        <v>offset 86</v>
      </c>
    </row>
    <row r="3611" customFormat="false" ht="12.8" hidden="false" customHeight="false" outlineLevel="0" collapsed="false">
      <c r="A3611" s="0" t="s">
        <v>12</v>
      </c>
      <c r="B3611" s="0" t="n">
        <v>1048287</v>
      </c>
      <c r="C3611" s="0" t="n">
        <v>1048307</v>
      </c>
      <c r="D3611" s="0" t="s">
        <v>12064</v>
      </c>
      <c r="E3611" s="0" t="s">
        <v>89</v>
      </c>
      <c r="F3611" s="0" t="s">
        <v>15</v>
      </c>
      <c r="G3611" s="0" t="s">
        <v>32</v>
      </c>
      <c r="H3611" s="0" t="n">
        <v>16</v>
      </c>
      <c r="I3611" s="0" t="s">
        <v>12065</v>
      </c>
      <c r="J3611" s="0" t="s">
        <v>12066</v>
      </c>
      <c r="K3611" s="0" t="s">
        <v>12067</v>
      </c>
      <c r="L3611" s="0" t="str">
        <f aca="false">HYPERLINK("https://www.ncbi.nlm.nih.gov/nuccore/CP000304.1?report=graph&amp;tracks=[key:gene_model_track,Options:GeneOnly]&amp;mk=1048288:1048307|offset_16|00cc00,1048308:1048327|offset_36|444444,1048331:1048350|offset_59|444444,1048365:1048384|offset_93|444444&amp;v=1048087:1048584&amp;c=444444", "offset 16")</f>
        <v>offset 16</v>
      </c>
    </row>
    <row r="3612" customFormat="false" ht="12.8" hidden="false" customHeight="false" outlineLevel="0" collapsed="false">
      <c r="A3612" s="0" t="s">
        <v>12</v>
      </c>
      <c r="B3612" s="0" t="n">
        <v>1048307</v>
      </c>
      <c r="C3612" s="0" t="n">
        <v>1048327</v>
      </c>
      <c r="D3612" s="0" t="s">
        <v>12064</v>
      </c>
      <c r="E3612" s="0" t="s">
        <v>89</v>
      </c>
      <c r="F3612" s="0" t="s">
        <v>15</v>
      </c>
      <c r="G3612" s="0" t="s">
        <v>32</v>
      </c>
      <c r="H3612" s="0" t="n">
        <v>36</v>
      </c>
      <c r="I3612" s="0" t="s">
        <v>12068</v>
      </c>
      <c r="J3612" s="0" t="s">
        <v>12069</v>
      </c>
      <c r="K3612" s="0" t="s">
        <v>12070</v>
      </c>
      <c r="L3612" s="0" t="str">
        <f aca="false">HYPERLINK("https://www.ncbi.nlm.nih.gov/nuccore/CP000304.1?report=graph&amp;tracks=[key:gene_model_track,Options:GeneOnly]&amp;mk=1048288:1048307|offset_16|444444,1048308:1048327|offset_36|00cc00,1048331:1048350|offset_59|444444,1048365:1048384|offset_93|444444&amp;v=1048087:1048584&amp;c=444444", "offset 36")</f>
        <v>offset 36</v>
      </c>
    </row>
    <row r="3613" customFormat="false" ht="12.8" hidden="false" customHeight="false" outlineLevel="0" collapsed="false">
      <c r="A3613" s="0" t="s">
        <v>12</v>
      </c>
      <c r="B3613" s="0" t="n">
        <v>1048330</v>
      </c>
      <c r="C3613" s="0" t="n">
        <v>1048350</v>
      </c>
      <c r="D3613" s="0" t="s">
        <v>12064</v>
      </c>
      <c r="E3613" s="0" t="s">
        <v>89</v>
      </c>
      <c r="F3613" s="0" t="s">
        <v>15</v>
      </c>
      <c r="G3613" s="0" t="s">
        <v>26</v>
      </c>
      <c r="H3613" s="0" t="n">
        <v>59</v>
      </c>
      <c r="I3613" s="0" t="s">
        <v>12071</v>
      </c>
      <c r="J3613" s="0" t="s">
        <v>12072</v>
      </c>
      <c r="K3613" s="0" t="s">
        <v>12073</v>
      </c>
      <c r="L3613" s="0" t="str">
        <f aca="false">HYPERLINK("https://www.ncbi.nlm.nih.gov/nuccore/CP000304.1?report=graph&amp;tracks=[key:gene_model_track,Options:GeneOnly]&amp;mk=1048288:1048307|offset_16|444444,1048308:1048327|offset_36|444444,1048331:1048350|offset_59|00cc00,1048365:1048384|offset_93|444444&amp;v=1048087:1048584&amp;c=444444", "offset 59")</f>
        <v>offset 59</v>
      </c>
    </row>
    <row r="3614" customFormat="false" ht="12.8" hidden="false" customHeight="false" outlineLevel="0" collapsed="false">
      <c r="A3614" s="0" t="s">
        <v>12</v>
      </c>
      <c r="B3614" s="0" t="n">
        <v>1048364</v>
      </c>
      <c r="C3614" s="0" t="n">
        <v>1048384</v>
      </c>
      <c r="D3614" s="0" t="s">
        <v>12064</v>
      </c>
      <c r="E3614" s="0" t="s">
        <v>89</v>
      </c>
      <c r="F3614" s="0" t="s">
        <v>15</v>
      </c>
      <c r="G3614" s="0" t="s">
        <v>36</v>
      </c>
      <c r="H3614" s="0" t="n">
        <v>93</v>
      </c>
      <c r="I3614" s="0" t="s">
        <v>12074</v>
      </c>
      <c r="J3614" s="0" t="s">
        <v>12075</v>
      </c>
      <c r="K3614" s="0" t="s">
        <v>12076</v>
      </c>
      <c r="L3614" s="0" t="str">
        <f aca="false">HYPERLINK("https://www.ncbi.nlm.nih.gov/nuccore/CP000304.1?report=graph&amp;tracks=[key:gene_model_track,Options:GeneOnly]&amp;mk=1048288:1048307|offset_16|444444,1048308:1048327|offset_36|444444,1048331:1048350|offset_59|444444,1048365:1048384|offset_93|00cc00&amp;v=1048087:1048584&amp;c=444444", "offset 93")</f>
        <v>offset 93</v>
      </c>
    </row>
    <row r="3615" customFormat="false" ht="12.8" hidden="false" customHeight="false" outlineLevel="0" collapsed="false">
      <c r="A3615" s="0" t="s">
        <v>12</v>
      </c>
      <c r="B3615" s="0" t="n">
        <v>1048790</v>
      </c>
      <c r="C3615" s="0" t="n">
        <v>1048810</v>
      </c>
      <c r="D3615" s="0" t="s">
        <v>12077</v>
      </c>
      <c r="E3615" s="0" t="s">
        <v>89</v>
      </c>
      <c r="F3615" s="0" t="s">
        <v>15</v>
      </c>
      <c r="G3615" s="0" t="s">
        <v>32</v>
      </c>
      <c r="H3615" s="0" t="n">
        <v>1</v>
      </c>
      <c r="I3615" s="0" t="s">
        <v>12078</v>
      </c>
      <c r="J3615" s="0" t="s">
        <v>12079</v>
      </c>
      <c r="K3615" s="0" t="s">
        <v>12080</v>
      </c>
      <c r="L3615" s="0" t="str">
        <f aca="false">HYPERLINK("https://www.ncbi.nlm.nih.gov/nuccore/CP000304.1?report=graph&amp;tracks=[key:gene_model_track,Options:GeneOnly]&amp;mk=1048791:1048810|offset_1|00cc00,1048851:1048870|offset_61|444444,1048873:1048892|offset_83|444444,1048912:1048931|offset_122|444444&amp;v=1048590:1049131&amp;c=444444", "offset 1")</f>
        <v>offset 1</v>
      </c>
    </row>
    <row r="3616" customFormat="false" ht="12.8" hidden="false" customHeight="false" outlineLevel="0" collapsed="false">
      <c r="A3616" s="0" t="s">
        <v>12</v>
      </c>
      <c r="B3616" s="0" t="n">
        <v>1048850</v>
      </c>
      <c r="C3616" s="0" t="n">
        <v>1048870</v>
      </c>
      <c r="D3616" s="0" t="s">
        <v>12077</v>
      </c>
      <c r="E3616" s="0" t="s">
        <v>89</v>
      </c>
      <c r="F3616" s="0" t="s">
        <v>15</v>
      </c>
      <c r="G3616" s="0" t="s">
        <v>16</v>
      </c>
      <c r="H3616" s="0" t="n">
        <v>61</v>
      </c>
      <c r="I3616" s="0" t="s">
        <v>12081</v>
      </c>
      <c r="J3616" s="0" t="s">
        <v>12082</v>
      </c>
      <c r="K3616" s="0" t="s">
        <v>12083</v>
      </c>
      <c r="L3616" s="0" t="str">
        <f aca="false">HYPERLINK("https://www.ncbi.nlm.nih.gov/nuccore/CP000304.1?report=graph&amp;tracks=[key:gene_model_track,Options:GeneOnly]&amp;mk=1048791:1048810|offset_1|444444,1048851:1048870|offset_61|00cc00,1048873:1048892|offset_83|444444,1048912:1048931|offset_122|444444&amp;v=1048590:1049131&amp;c=444444", "offset 61")</f>
        <v>offset 61</v>
      </c>
    </row>
    <row r="3617" customFormat="false" ht="12.8" hidden="false" customHeight="false" outlineLevel="0" collapsed="false">
      <c r="A3617" s="0" t="s">
        <v>12</v>
      </c>
      <c r="B3617" s="0" t="n">
        <v>1048872</v>
      </c>
      <c r="C3617" s="0" t="n">
        <v>1048892</v>
      </c>
      <c r="D3617" s="0" t="s">
        <v>12077</v>
      </c>
      <c r="E3617" s="0" t="s">
        <v>89</v>
      </c>
      <c r="F3617" s="0" t="s">
        <v>15</v>
      </c>
      <c r="G3617" s="0" t="s">
        <v>16</v>
      </c>
      <c r="H3617" s="0" t="n">
        <v>83</v>
      </c>
      <c r="I3617" s="0" t="s">
        <v>12084</v>
      </c>
      <c r="J3617" s="0" t="s">
        <v>12085</v>
      </c>
      <c r="K3617" s="0" t="s">
        <v>12086</v>
      </c>
      <c r="L3617" s="0" t="str">
        <f aca="false">HYPERLINK("https://www.ncbi.nlm.nih.gov/nuccore/CP000304.1?report=graph&amp;tracks=[key:gene_model_track,Options:GeneOnly]&amp;mk=1048791:1048810|offset_1|444444,1048851:1048870|offset_61|444444,1048873:1048892|offset_83|00cc00,1048912:1048931|offset_122|444444&amp;v=1048590:1049131&amp;c=444444", "offset 83")</f>
        <v>offset 83</v>
      </c>
    </row>
    <row r="3618" customFormat="false" ht="12.8" hidden="false" customHeight="false" outlineLevel="0" collapsed="false">
      <c r="A3618" s="0" t="s">
        <v>12</v>
      </c>
      <c r="B3618" s="0" t="n">
        <v>1048911</v>
      </c>
      <c r="C3618" s="0" t="n">
        <v>1048931</v>
      </c>
      <c r="D3618" s="0" t="s">
        <v>12077</v>
      </c>
      <c r="E3618" s="0" t="s">
        <v>89</v>
      </c>
      <c r="F3618" s="0" t="s">
        <v>15</v>
      </c>
      <c r="G3618" s="0" t="s">
        <v>26</v>
      </c>
      <c r="H3618" s="0" t="n">
        <v>122</v>
      </c>
      <c r="I3618" s="0" t="s">
        <v>12087</v>
      </c>
      <c r="J3618" s="0" t="s">
        <v>12088</v>
      </c>
      <c r="K3618" s="0" t="s">
        <v>12089</v>
      </c>
      <c r="L3618" s="0" t="str">
        <f aca="false">HYPERLINK("https://www.ncbi.nlm.nih.gov/nuccore/CP000304.1?report=graph&amp;tracks=[key:gene_model_track,Options:GeneOnly]&amp;mk=1048791:1048810|offset_1|444444,1048851:1048870|offset_61|444444,1048873:1048892|offset_83|444444,1048912:1048931|offset_122|00cc00&amp;v=1048590:1049131&amp;c=444444", "offset 122")</f>
        <v>offset 122</v>
      </c>
    </row>
    <row r="3619" customFormat="false" ht="12.8" hidden="false" customHeight="false" outlineLevel="0" collapsed="false">
      <c r="A3619" s="0" t="s">
        <v>12</v>
      </c>
      <c r="B3619" s="0" t="n">
        <v>1050503</v>
      </c>
      <c r="C3619" s="0" t="n">
        <v>1050523</v>
      </c>
      <c r="D3619" s="0" t="s">
        <v>12090</v>
      </c>
      <c r="E3619" s="0" t="s">
        <v>12091</v>
      </c>
      <c r="F3619" s="0" t="s">
        <v>90</v>
      </c>
      <c r="G3619" s="0" t="s">
        <v>36</v>
      </c>
      <c r="H3619" s="0" t="n">
        <v>0</v>
      </c>
      <c r="I3619" s="0" t="s">
        <v>12092</v>
      </c>
      <c r="J3619" s="0" t="s">
        <v>12093</v>
      </c>
      <c r="K3619" s="0" t="s">
        <v>12094</v>
      </c>
      <c r="L3619" s="0" t="str">
        <f aca="false">HYPERLINK("https://www.ncbi.nlm.nih.gov/nuccore/CP000304.1?report=graph&amp;tracks=[key:gene_model_track,Options:GeneOnly]&amp;mk=1050504:1050523|offset_0|00cc00,1050470:1050489|offset_34|444444,1050450:1050469|offset_54|444444,1050395:1050414|offset_109|444444&amp;v=1050303:1050614&amp;c=444444", "offset 0")</f>
        <v>offset 0</v>
      </c>
    </row>
    <row r="3620" customFormat="false" ht="12.8" hidden="false" customHeight="false" outlineLevel="0" collapsed="false">
      <c r="A3620" s="0" t="s">
        <v>12</v>
      </c>
      <c r="B3620" s="0" t="n">
        <v>1050469</v>
      </c>
      <c r="C3620" s="0" t="n">
        <v>1050489</v>
      </c>
      <c r="D3620" s="0" t="s">
        <v>12090</v>
      </c>
      <c r="E3620" s="0" t="s">
        <v>12091</v>
      </c>
      <c r="F3620" s="0" t="s">
        <v>90</v>
      </c>
      <c r="G3620" s="0" t="s">
        <v>16</v>
      </c>
      <c r="H3620" s="0" t="n">
        <v>34</v>
      </c>
      <c r="I3620" s="0" t="s">
        <v>12095</v>
      </c>
      <c r="J3620" s="0" t="s">
        <v>12096</v>
      </c>
      <c r="K3620" s="0" t="s">
        <v>12097</v>
      </c>
      <c r="L3620" s="0" t="str">
        <f aca="false">HYPERLINK("https://www.ncbi.nlm.nih.gov/nuccore/CP000304.1?report=graph&amp;tracks=[key:gene_model_track,Options:GeneOnly]&amp;mk=1050504:1050523|offset_0|444444,1050470:1050489|offset_34|00cc00,1050450:1050469|offset_54|444444,1050395:1050414|offset_109|444444&amp;v=1050303:1050614&amp;c=444444", "offset 34")</f>
        <v>offset 34</v>
      </c>
    </row>
    <row r="3621" customFormat="false" ht="12.8" hidden="false" customHeight="false" outlineLevel="0" collapsed="false">
      <c r="A3621" s="0" t="s">
        <v>12</v>
      </c>
      <c r="B3621" s="0" t="n">
        <v>1050449</v>
      </c>
      <c r="C3621" s="0" t="n">
        <v>1050469</v>
      </c>
      <c r="D3621" s="0" t="s">
        <v>12090</v>
      </c>
      <c r="E3621" s="0" t="s">
        <v>12091</v>
      </c>
      <c r="F3621" s="0" t="s">
        <v>90</v>
      </c>
      <c r="G3621" s="0" t="s">
        <v>36</v>
      </c>
      <c r="H3621" s="0" t="n">
        <v>54</v>
      </c>
      <c r="I3621" s="0" t="s">
        <v>12098</v>
      </c>
      <c r="J3621" s="0" t="s">
        <v>12099</v>
      </c>
      <c r="K3621" s="0" t="s">
        <v>12100</v>
      </c>
      <c r="L3621" s="0" t="str">
        <f aca="false">HYPERLINK("https://www.ncbi.nlm.nih.gov/nuccore/CP000304.1?report=graph&amp;tracks=[key:gene_model_track,Options:GeneOnly]&amp;mk=1050504:1050523|offset_0|444444,1050470:1050489|offset_34|444444,1050450:1050469|offset_54|00cc00,1050395:1050414|offset_109|444444&amp;v=1050303:1050614&amp;c=444444", "offset 54")</f>
        <v>offset 54</v>
      </c>
    </row>
    <row r="3622" customFormat="false" ht="12.8" hidden="false" customHeight="false" outlineLevel="0" collapsed="false">
      <c r="A3622" s="0" t="s">
        <v>12</v>
      </c>
      <c r="B3622" s="0" t="n">
        <v>1050394</v>
      </c>
      <c r="C3622" s="0" t="n">
        <v>1050414</v>
      </c>
      <c r="D3622" s="0" t="s">
        <v>12090</v>
      </c>
      <c r="E3622" s="0" t="s">
        <v>12091</v>
      </c>
      <c r="F3622" s="0" t="s">
        <v>90</v>
      </c>
      <c r="G3622" s="0" t="s">
        <v>16</v>
      </c>
      <c r="H3622" s="0" t="n">
        <v>109</v>
      </c>
      <c r="I3622" s="0" t="s">
        <v>12101</v>
      </c>
      <c r="J3622" s="0" t="s">
        <v>12102</v>
      </c>
      <c r="K3622" s="0" t="s">
        <v>12103</v>
      </c>
      <c r="L3622" s="0" t="str">
        <f aca="false">HYPERLINK("https://www.ncbi.nlm.nih.gov/nuccore/CP000304.1?report=graph&amp;tracks=[key:gene_model_track,Options:GeneOnly]&amp;mk=1050504:1050523|offset_0|444444,1050470:1050489|offset_34|444444,1050450:1050469|offset_54|444444,1050395:1050414|offset_109|00cc00&amp;v=1050303:1050614&amp;c=444444", "offset 109")</f>
        <v>offset 109</v>
      </c>
    </row>
    <row r="3623" customFormat="false" ht="12.8" hidden="false" customHeight="false" outlineLevel="0" collapsed="false">
      <c r="A3623" s="0" t="s">
        <v>12</v>
      </c>
      <c r="B3623" s="0" t="n">
        <v>1050640</v>
      </c>
      <c r="C3623" s="0" t="n">
        <v>1050660</v>
      </c>
      <c r="D3623" s="0" t="s">
        <v>12104</v>
      </c>
      <c r="E3623" s="0" t="s">
        <v>89</v>
      </c>
      <c r="F3623" s="0" t="s">
        <v>15</v>
      </c>
      <c r="G3623" s="0" t="s">
        <v>32</v>
      </c>
      <c r="H3623" s="0" t="n">
        <v>1</v>
      </c>
      <c r="I3623" s="0" t="s">
        <v>12105</v>
      </c>
      <c r="J3623" s="0" t="s">
        <v>12106</v>
      </c>
      <c r="K3623" s="0" t="s">
        <v>12107</v>
      </c>
      <c r="L3623" s="0" t="str">
        <f aca="false">HYPERLINK("https://www.ncbi.nlm.nih.gov/nuccore/CP000304.1?report=graph&amp;tracks=[key:gene_model_track,Options:GeneOnly]&amp;mk=1050641:1050660|offset_1|00cc00,1050680:1050699|offset_40|444444,1050724:1050743|offset_84|444444,1050748:1050767|offset_108|444444&amp;v=1050440:1050967&amp;c=444444", "offset 1")</f>
        <v>offset 1</v>
      </c>
    </row>
    <row r="3624" customFormat="false" ht="12.8" hidden="false" customHeight="false" outlineLevel="0" collapsed="false">
      <c r="A3624" s="0" t="s">
        <v>12</v>
      </c>
      <c r="B3624" s="0" t="n">
        <v>1050679</v>
      </c>
      <c r="C3624" s="0" t="n">
        <v>1050699</v>
      </c>
      <c r="D3624" s="0" t="s">
        <v>12104</v>
      </c>
      <c r="E3624" s="0" t="s">
        <v>89</v>
      </c>
      <c r="F3624" s="0" t="s">
        <v>15</v>
      </c>
      <c r="G3624" s="0" t="s">
        <v>16</v>
      </c>
      <c r="H3624" s="0" t="n">
        <v>40</v>
      </c>
      <c r="I3624" s="0" t="s">
        <v>12108</v>
      </c>
      <c r="J3624" s="0" t="s">
        <v>12109</v>
      </c>
      <c r="K3624" s="0" t="s">
        <v>12110</v>
      </c>
      <c r="L3624" s="0" t="str">
        <f aca="false">HYPERLINK("https://www.ncbi.nlm.nih.gov/nuccore/CP000304.1?report=graph&amp;tracks=[key:gene_model_track,Options:GeneOnly]&amp;mk=1050641:1050660|offset_1|444444,1050680:1050699|offset_40|00cc00,1050724:1050743|offset_84|444444,1050748:1050767|offset_108|444444&amp;v=1050440:1050967&amp;c=444444", "offset 40")</f>
        <v>offset 40</v>
      </c>
    </row>
    <row r="3625" customFormat="false" ht="12.8" hidden="false" customHeight="false" outlineLevel="0" collapsed="false">
      <c r="A3625" s="0" t="s">
        <v>12</v>
      </c>
      <c r="B3625" s="0" t="n">
        <v>1050723</v>
      </c>
      <c r="C3625" s="0" t="n">
        <v>1050743</v>
      </c>
      <c r="D3625" s="0" t="s">
        <v>12104</v>
      </c>
      <c r="E3625" s="0" t="s">
        <v>89</v>
      </c>
      <c r="F3625" s="0" t="s">
        <v>15</v>
      </c>
      <c r="G3625" s="0" t="s">
        <v>36</v>
      </c>
      <c r="H3625" s="0" t="n">
        <v>84</v>
      </c>
      <c r="I3625" s="0" t="s">
        <v>12111</v>
      </c>
      <c r="J3625" s="0" t="s">
        <v>12112</v>
      </c>
      <c r="K3625" s="0" t="s">
        <v>12113</v>
      </c>
      <c r="L3625" s="0" t="str">
        <f aca="false">HYPERLINK("https://www.ncbi.nlm.nih.gov/nuccore/CP000304.1?report=graph&amp;tracks=[key:gene_model_track,Options:GeneOnly]&amp;mk=1050641:1050660|offset_1|444444,1050680:1050699|offset_40|444444,1050724:1050743|offset_84|00cc00,1050748:1050767|offset_108|444444&amp;v=1050440:1050967&amp;c=444444", "offset 84")</f>
        <v>offset 84</v>
      </c>
    </row>
    <row r="3626" customFormat="false" ht="12.8" hidden="false" customHeight="false" outlineLevel="0" collapsed="false">
      <c r="A3626" s="0" t="s">
        <v>12</v>
      </c>
      <c r="B3626" s="0" t="n">
        <v>1050747</v>
      </c>
      <c r="C3626" s="0" t="n">
        <v>1050767</v>
      </c>
      <c r="D3626" s="0" t="s">
        <v>12104</v>
      </c>
      <c r="E3626" s="0" t="s">
        <v>89</v>
      </c>
      <c r="F3626" s="0" t="s">
        <v>15</v>
      </c>
      <c r="G3626" s="0" t="s">
        <v>16</v>
      </c>
      <c r="H3626" s="0" t="n">
        <v>108</v>
      </c>
      <c r="I3626" s="0" t="s">
        <v>12114</v>
      </c>
      <c r="J3626" s="0" t="s">
        <v>12115</v>
      </c>
      <c r="K3626" s="0" t="s">
        <v>12116</v>
      </c>
      <c r="L3626" s="0" t="str">
        <f aca="false">HYPERLINK("https://www.ncbi.nlm.nih.gov/nuccore/CP000304.1?report=graph&amp;tracks=[key:gene_model_track,Options:GeneOnly]&amp;mk=1050641:1050660|offset_1|444444,1050680:1050699|offset_40|444444,1050724:1050743|offset_84|444444,1050748:1050767|offset_108|00cc00&amp;v=1050440:1050967&amp;c=444444", "offset 108")</f>
        <v>offset 108</v>
      </c>
    </row>
    <row r="3627" customFormat="false" ht="12.8" hidden="false" customHeight="false" outlineLevel="0" collapsed="false">
      <c r="A3627" s="0" t="s">
        <v>12</v>
      </c>
      <c r="B3627" s="0" t="n">
        <v>1051380</v>
      </c>
      <c r="C3627" s="0" t="n">
        <v>1051400</v>
      </c>
      <c r="D3627" s="0" t="s">
        <v>12117</v>
      </c>
      <c r="E3627" s="0" t="s">
        <v>89</v>
      </c>
      <c r="F3627" s="0" t="s">
        <v>90</v>
      </c>
      <c r="G3627" s="0" t="s">
        <v>32</v>
      </c>
      <c r="H3627" s="0" t="n">
        <v>1</v>
      </c>
      <c r="I3627" s="0" t="s">
        <v>12118</v>
      </c>
      <c r="J3627" s="0" t="s">
        <v>12119</v>
      </c>
      <c r="K3627" s="0" t="s">
        <v>12120</v>
      </c>
      <c r="L3627" s="0" t="str">
        <f aca="false">HYPERLINK("https://www.ncbi.nlm.nih.gov/nuccore/CP000304.1?report=graph&amp;tracks=[key:gene_model_track,Options:GeneOnly]&amp;mk=1051381:1051400|offset_1|00cc00,1051361:1051380|offset_21|444444,1051317:1051336|offset_65|444444,1051291:1051310|offset_91|444444&amp;v=1051180:1051510&amp;c=444444", "offset 1")</f>
        <v>offset 1</v>
      </c>
    </row>
    <row r="3628" customFormat="false" ht="12.8" hidden="false" customHeight="false" outlineLevel="0" collapsed="false">
      <c r="A3628" s="0" t="s">
        <v>12</v>
      </c>
      <c r="B3628" s="0" t="n">
        <v>1051360</v>
      </c>
      <c r="C3628" s="0" t="n">
        <v>1051380</v>
      </c>
      <c r="D3628" s="0" t="s">
        <v>12117</v>
      </c>
      <c r="E3628" s="0" t="s">
        <v>89</v>
      </c>
      <c r="F3628" s="0" t="s">
        <v>90</v>
      </c>
      <c r="G3628" s="0" t="s">
        <v>36</v>
      </c>
      <c r="H3628" s="0" t="n">
        <v>21</v>
      </c>
      <c r="I3628" s="0" t="s">
        <v>12121</v>
      </c>
      <c r="J3628" s="0" t="s">
        <v>12122</v>
      </c>
      <c r="K3628" s="0" t="s">
        <v>12123</v>
      </c>
      <c r="L3628" s="0" t="str">
        <f aca="false">HYPERLINK("https://www.ncbi.nlm.nih.gov/nuccore/CP000304.1?report=graph&amp;tracks=[key:gene_model_track,Options:GeneOnly]&amp;mk=1051381:1051400|offset_1|444444,1051361:1051380|offset_21|00cc00,1051317:1051336|offset_65|444444,1051291:1051310|offset_91|444444&amp;v=1051180:1051510&amp;c=444444", "offset 21")</f>
        <v>offset 21</v>
      </c>
    </row>
    <row r="3629" customFormat="false" ht="12.8" hidden="false" customHeight="false" outlineLevel="0" collapsed="false">
      <c r="A3629" s="0" t="s">
        <v>12</v>
      </c>
      <c r="B3629" s="0" t="n">
        <v>1051316</v>
      </c>
      <c r="C3629" s="0" t="n">
        <v>1051336</v>
      </c>
      <c r="D3629" s="0" t="s">
        <v>12117</v>
      </c>
      <c r="E3629" s="0" t="s">
        <v>89</v>
      </c>
      <c r="F3629" s="0" t="s">
        <v>90</v>
      </c>
      <c r="G3629" s="0" t="s">
        <v>26</v>
      </c>
      <c r="H3629" s="0" t="n">
        <v>65</v>
      </c>
      <c r="I3629" s="0" t="s">
        <v>12124</v>
      </c>
      <c r="J3629" s="0" t="s">
        <v>12125</v>
      </c>
      <c r="K3629" s="0" t="s">
        <v>12126</v>
      </c>
      <c r="L3629" s="0" t="str">
        <f aca="false">HYPERLINK("https://www.ncbi.nlm.nih.gov/nuccore/CP000304.1?report=graph&amp;tracks=[key:gene_model_track,Options:GeneOnly]&amp;mk=1051381:1051400|offset_1|444444,1051361:1051380|offset_21|444444,1051317:1051336|offset_65|00cc00,1051291:1051310|offset_91|444444&amp;v=1051180:1051510&amp;c=444444", "offset 65")</f>
        <v>offset 65</v>
      </c>
    </row>
    <row r="3630" customFormat="false" ht="12.8" hidden="false" customHeight="false" outlineLevel="0" collapsed="false">
      <c r="A3630" s="0" t="s">
        <v>12</v>
      </c>
      <c r="B3630" s="0" t="n">
        <v>1051290</v>
      </c>
      <c r="C3630" s="0" t="n">
        <v>1051310</v>
      </c>
      <c r="D3630" s="0" t="s">
        <v>12117</v>
      </c>
      <c r="E3630" s="0" t="s">
        <v>89</v>
      </c>
      <c r="F3630" s="0" t="s">
        <v>90</v>
      </c>
      <c r="G3630" s="0" t="s">
        <v>36</v>
      </c>
      <c r="H3630" s="0" t="n">
        <v>91</v>
      </c>
      <c r="I3630" s="0" t="s">
        <v>12127</v>
      </c>
      <c r="J3630" s="0" t="s">
        <v>12128</v>
      </c>
      <c r="K3630" s="0" t="s">
        <v>12129</v>
      </c>
      <c r="L3630" s="0" t="str">
        <f aca="false">HYPERLINK("https://www.ncbi.nlm.nih.gov/nuccore/CP000304.1?report=graph&amp;tracks=[key:gene_model_track,Options:GeneOnly]&amp;mk=1051381:1051400|offset_1|444444,1051361:1051380|offset_21|444444,1051317:1051336|offset_65|444444,1051291:1051310|offset_91|00cc00&amp;v=1051180:1051510&amp;c=444444", "offset 91")</f>
        <v>offset 91</v>
      </c>
    </row>
    <row r="3631" customFormat="false" ht="12.8" hidden="false" customHeight="false" outlineLevel="0" collapsed="false">
      <c r="A3631" s="0" t="s">
        <v>12</v>
      </c>
      <c r="B3631" s="0" t="n">
        <v>1051654</v>
      </c>
      <c r="C3631" s="0" t="n">
        <v>1051674</v>
      </c>
      <c r="D3631" s="0" t="s">
        <v>12130</v>
      </c>
      <c r="E3631" s="0" t="s">
        <v>12131</v>
      </c>
      <c r="F3631" s="0" t="s">
        <v>15</v>
      </c>
      <c r="G3631" s="0" t="s">
        <v>16</v>
      </c>
      <c r="H3631" s="0" t="n">
        <v>46</v>
      </c>
      <c r="I3631" s="0" t="s">
        <v>12132</v>
      </c>
      <c r="J3631" s="0" t="s">
        <v>12133</v>
      </c>
      <c r="K3631" s="0" t="s">
        <v>12134</v>
      </c>
      <c r="L3631" s="0" t="str">
        <f aca="false">HYPERLINK("https://www.ncbi.nlm.nih.gov/nuccore/CP000304.1?report=graph&amp;tracks=[key:gene_model_track,Options:GeneOnly]&amp;mk=1051655:1051674|offset_46|00cc00,1051703:1051722|offset_94|444444,1051750:1051769|offset_141|444444,1051787:1051806|offset_178|444444&amp;v=1051454:1052006&amp;c=444444", "offset 46")</f>
        <v>offset 46</v>
      </c>
    </row>
    <row r="3632" customFormat="false" ht="12.8" hidden="false" customHeight="false" outlineLevel="0" collapsed="false">
      <c r="A3632" s="0" t="s">
        <v>12</v>
      </c>
      <c r="B3632" s="0" t="n">
        <v>1051702</v>
      </c>
      <c r="C3632" s="0" t="n">
        <v>1051722</v>
      </c>
      <c r="D3632" s="0" t="s">
        <v>12130</v>
      </c>
      <c r="E3632" s="0" t="s">
        <v>12131</v>
      </c>
      <c r="F3632" s="0" t="s">
        <v>15</v>
      </c>
      <c r="G3632" s="0" t="s">
        <v>16</v>
      </c>
      <c r="H3632" s="0" t="n">
        <v>94</v>
      </c>
      <c r="I3632" s="0" t="s">
        <v>12135</v>
      </c>
      <c r="J3632" s="0" t="s">
        <v>12136</v>
      </c>
      <c r="K3632" s="0" t="s">
        <v>12137</v>
      </c>
      <c r="L3632" s="0" t="str">
        <f aca="false">HYPERLINK("https://www.ncbi.nlm.nih.gov/nuccore/CP000304.1?report=graph&amp;tracks=[key:gene_model_track,Options:GeneOnly]&amp;mk=1051655:1051674|offset_46|444444,1051703:1051722|offset_94|00cc00,1051750:1051769|offset_141|444444,1051787:1051806|offset_178|444444&amp;v=1051454:1052006&amp;c=444444", "offset 94")</f>
        <v>offset 94</v>
      </c>
    </row>
    <row r="3633" customFormat="false" ht="12.8" hidden="false" customHeight="false" outlineLevel="0" collapsed="false">
      <c r="A3633" s="0" t="s">
        <v>12</v>
      </c>
      <c r="B3633" s="0" t="n">
        <v>1051749</v>
      </c>
      <c r="C3633" s="0" t="n">
        <v>1051769</v>
      </c>
      <c r="D3633" s="0" t="s">
        <v>12130</v>
      </c>
      <c r="E3633" s="0" t="s">
        <v>12131</v>
      </c>
      <c r="F3633" s="0" t="s">
        <v>15</v>
      </c>
      <c r="G3633" s="0" t="s">
        <v>16</v>
      </c>
      <c r="H3633" s="0" t="n">
        <v>141</v>
      </c>
      <c r="I3633" s="0" t="s">
        <v>12138</v>
      </c>
      <c r="J3633" s="0" t="s">
        <v>12139</v>
      </c>
      <c r="K3633" s="0" t="s">
        <v>12140</v>
      </c>
      <c r="L3633" s="0" t="str">
        <f aca="false">HYPERLINK("https://www.ncbi.nlm.nih.gov/nuccore/CP000304.1?report=graph&amp;tracks=[key:gene_model_track,Options:GeneOnly]&amp;mk=1051655:1051674|offset_46|444444,1051703:1051722|offset_94|444444,1051750:1051769|offset_141|00cc00,1051787:1051806|offset_178|444444&amp;v=1051454:1052006&amp;c=444444", "offset 141")</f>
        <v>offset 141</v>
      </c>
    </row>
    <row r="3634" customFormat="false" ht="12.8" hidden="false" customHeight="false" outlineLevel="0" collapsed="false">
      <c r="A3634" s="0" t="s">
        <v>12</v>
      </c>
      <c r="B3634" s="0" t="n">
        <v>1051786</v>
      </c>
      <c r="C3634" s="0" t="n">
        <v>1051806</v>
      </c>
      <c r="D3634" s="0" t="s">
        <v>12130</v>
      </c>
      <c r="E3634" s="0" t="s">
        <v>12131</v>
      </c>
      <c r="F3634" s="0" t="s">
        <v>15</v>
      </c>
      <c r="G3634" s="0" t="s">
        <v>16</v>
      </c>
      <c r="H3634" s="0" t="n">
        <v>178</v>
      </c>
      <c r="I3634" s="0" t="s">
        <v>12141</v>
      </c>
      <c r="J3634" s="0" t="s">
        <v>12142</v>
      </c>
      <c r="K3634" s="0" t="s">
        <v>12143</v>
      </c>
      <c r="L3634" s="0" t="str">
        <f aca="false">HYPERLINK("https://www.ncbi.nlm.nih.gov/nuccore/CP000304.1?report=graph&amp;tracks=[key:gene_model_track,Options:GeneOnly]&amp;mk=1051655:1051674|offset_46|444444,1051703:1051722|offset_94|444444,1051750:1051769|offset_141|444444,1051787:1051806|offset_178|00cc00&amp;v=1051454:1052006&amp;c=444444", "offset 178")</f>
        <v>offset 178</v>
      </c>
    </row>
    <row r="3635" customFormat="false" ht="12.8" hidden="false" customHeight="false" outlineLevel="0" collapsed="false">
      <c r="A3635" s="0" t="s">
        <v>12</v>
      </c>
      <c r="B3635" s="0" t="n">
        <v>1053042</v>
      </c>
      <c r="C3635" s="0" t="n">
        <v>1053062</v>
      </c>
      <c r="D3635" s="0" t="s">
        <v>12144</v>
      </c>
      <c r="E3635" s="0" t="s">
        <v>12145</v>
      </c>
      <c r="F3635" s="0" t="s">
        <v>90</v>
      </c>
      <c r="G3635" s="0" t="s">
        <v>16</v>
      </c>
      <c r="H3635" s="0" t="n">
        <v>10</v>
      </c>
      <c r="I3635" s="0" t="s">
        <v>12146</v>
      </c>
      <c r="J3635" s="0" t="s">
        <v>12147</v>
      </c>
      <c r="K3635" s="0" t="s">
        <v>12148</v>
      </c>
      <c r="L3635" s="0" t="str">
        <f aca="false">HYPERLINK("https://www.ncbi.nlm.nih.gov/nuccore/CP000304.1?report=graph&amp;tracks=[key:gene_model_track,Options:GeneOnly]&amp;mk=1053043:1053062|offset_10|00cc00,1053007:1053026|offset_46|444444,1052984:1053003|offset_69|444444,1052958:1052977|offset_95|444444&amp;v=1052842:1053177&amp;c=444444", "offset 10")</f>
        <v>offset 10</v>
      </c>
    </row>
    <row r="3636" customFormat="false" ht="12.8" hidden="false" customHeight="false" outlineLevel="0" collapsed="false">
      <c r="A3636" s="0" t="s">
        <v>12</v>
      </c>
      <c r="B3636" s="0" t="n">
        <v>1053006</v>
      </c>
      <c r="C3636" s="0" t="n">
        <v>1053026</v>
      </c>
      <c r="D3636" s="0" t="s">
        <v>12144</v>
      </c>
      <c r="E3636" s="0" t="s">
        <v>12145</v>
      </c>
      <c r="F3636" s="0" t="s">
        <v>90</v>
      </c>
      <c r="G3636" s="0" t="s">
        <v>32</v>
      </c>
      <c r="H3636" s="0" t="n">
        <v>46</v>
      </c>
      <c r="I3636" s="0" t="s">
        <v>12149</v>
      </c>
      <c r="J3636" s="0" t="s">
        <v>12150</v>
      </c>
      <c r="K3636" s="0" t="s">
        <v>12151</v>
      </c>
      <c r="L3636" s="0" t="str">
        <f aca="false">HYPERLINK("https://www.ncbi.nlm.nih.gov/nuccore/CP000304.1?report=graph&amp;tracks=[key:gene_model_track,Options:GeneOnly]&amp;mk=1053043:1053062|offset_10|444444,1053007:1053026|offset_46|00cc00,1052984:1053003|offset_69|444444,1052958:1052977|offset_95|444444&amp;v=1052842:1053177&amp;c=444444", "offset 46")</f>
        <v>offset 46</v>
      </c>
    </row>
    <row r="3637" customFormat="false" ht="12.8" hidden="false" customHeight="false" outlineLevel="0" collapsed="false">
      <c r="A3637" s="0" t="s">
        <v>12</v>
      </c>
      <c r="B3637" s="0" t="n">
        <v>1052983</v>
      </c>
      <c r="C3637" s="0" t="n">
        <v>1053003</v>
      </c>
      <c r="D3637" s="0" t="s">
        <v>12144</v>
      </c>
      <c r="E3637" s="0" t="s">
        <v>12145</v>
      </c>
      <c r="F3637" s="0" t="s">
        <v>90</v>
      </c>
      <c r="G3637" s="0" t="s">
        <v>16</v>
      </c>
      <c r="H3637" s="0" t="n">
        <v>69</v>
      </c>
      <c r="I3637" s="0" t="s">
        <v>12152</v>
      </c>
      <c r="J3637" s="0" t="s">
        <v>12153</v>
      </c>
      <c r="K3637" s="0" t="s">
        <v>12154</v>
      </c>
      <c r="L3637" s="0" t="str">
        <f aca="false">HYPERLINK("https://www.ncbi.nlm.nih.gov/nuccore/CP000304.1?report=graph&amp;tracks=[key:gene_model_track,Options:GeneOnly]&amp;mk=1053043:1053062|offset_10|444444,1053007:1053026|offset_46|444444,1052984:1053003|offset_69|00cc00,1052958:1052977|offset_95|444444&amp;v=1052842:1053177&amp;c=444444", "offset 69")</f>
        <v>offset 69</v>
      </c>
    </row>
    <row r="3638" customFormat="false" ht="12.8" hidden="false" customHeight="false" outlineLevel="0" collapsed="false">
      <c r="A3638" s="0" t="s">
        <v>12</v>
      </c>
      <c r="B3638" s="0" t="n">
        <v>1052957</v>
      </c>
      <c r="C3638" s="0" t="n">
        <v>1052977</v>
      </c>
      <c r="D3638" s="0" t="s">
        <v>12144</v>
      </c>
      <c r="E3638" s="0" t="s">
        <v>12145</v>
      </c>
      <c r="F3638" s="0" t="s">
        <v>90</v>
      </c>
      <c r="G3638" s="0" t="s">
        <v>32</v>
      </c>
      <c r="H3638" s="0" t="n">
        <v>95</v>
      </c>
      <c r="I3638" s="0" t="s">
        <v>12155</v>
      </c>
      <c r="J3638" s="0" t="s">
        <v>12156</v>
      </c>
      <c r="K3638" s="0" t="s">
        <v>12157</v>
      </c>
      <c r="L3638" s="0" t="str">
        <f aca="false">HYPERLINK("https://www.ncbi.nlm.nih.gov/nuccore/CP000304.1?report=graph&amp;tracks=[key:gene_model_track,Options:GeneOnly]&amp;mk=1053043:1053062|offset_10|444444,1053007:1053026|offset_46|444444,1052984:1053003|offset_69|444444,1052958:1052977|offset_95|00cc00&amp;v=1052842:1053177&amp;c=444444", "offset 95")</f>
        <v>offset 95</v>
      </c>
    </row>
    <row r="3639" customFormat="false" ht="12.8" hidden="false" customHeight="false" outlineLevel="0" collapsed="false">
      <c r="A3639" s="0" t="s">
        <v>12</v>
      </c>
      <c r="B3639" s="0" t="n">
        <v>1053535</v>
      </c>
      <c r="C3639" s="0" t="n">
        <v>1053555</v>
      </c>
      <c r="D3639" s="0" t="s">
        <v>12158</v>
      </c>
      <c r="E3639" s="0" t="s">
        <v>89</v>
      </c>
      <c r="F3639" s="0" t="s">
        <v>15</v>
      </c>
      <c r="G3639" s="0" t="s">
        <v>32</v>
      </c>
      <c r="H3639" s="0" t="n">
        <v>1</v>
      </c>
      <c r="I3639" s="0" t="s">
        <v>12159</v>
      </c>
      <c r="J3639" s="0" t="s">
        <v>12160</v>
      </c>
      <c r="K3639" s="0" t="s">
        <v>12161</v>
      </c>
      <c r="L3639" s="0" t="str">
        <f aca="false">HYPERLINK("https://www.ncbi.nlm.nih.gov/nuccore/CP000304.1?report=graph&amp;tracks=[key:gene_model_track,Options:GeneOnly]&amp;mk=1053536:1053555|offset_1|00cc00,1053577:1053596|offset_42|444444,1053612:1053631|offset_77|444444,1053643:1053662|offset_108|444444&amp;v=1053335:1053862&amp;c=444444", "offset 1")</f>
        <v>offset 1</v>
      </c>
    </row>
    <row r="3640" customFormat="false" ht="12.8" hidden="false" customHeight="false" outlineLevel="0" collapsed="false">
      <c r="A3640" s="0" t="s">
        <v>12</v>
      </c>
      <c r="B3640" s="0" t="n">
        <v>1053576</v>
      </c>
      <c r="C3640" s="0" t="n">
        <v>1053596</v>
      </c>
      <c r="D3640" s="0" t="s">
        <v>12158</v>
      </c>
      <c r="E3640" s="0" t="s">
        <v>89</v>
      </c>
      <c r="F3640" s="0" t="s">
        <v>15</v>
      </c>
      <c r="G3640" s="0" t="s">
        <v>16</v>
      </c>
      <c r="H3640" s="0" t="n">
        <v>42</v>
      </c>
      <c r="I3640" s="0" t="s">
        <v>12162</v>
      </c>
      <c r="J3640" s="0" t="s">
        <v>12163</v>
      </c>
      <c r="K3640" s="0" t="s">
        <v>12164</v>
      </c>
      <c r="L3640" s="0" t="str">
        <f aca="false">HYPERLINK("https://www.ncbi.nlm.nih.gov/nuccore/CP000304.1?report=graph&amp;tracks=[key:gene_model_track,Options:GeneOnly]&amp;mk=1053536:1053555|offset_1|444444,1053577:1053596|offset_42|00cc00,1053612:1053631|offset_77|444444,1053643:1053662|offset_108|444444&amp;v=1053335:1053862&amp;c=444444", "offset 42")</f>
        <v>offset 42</v>
      </c>
    </row>
    <row r="3641" customFormat="false" ht="12.8" hidden="false" customHeight="false" outlineLevel="0" collapsed="false">
      <c r="A3641" s="0" t="s">
        <v>12</v>
      </c>
      <c r="B3641" s="0" t="n">
        <v>1053611</v>
      </c>
      <c r="C3641" s="0" t="n">
        <v>1053631</v>
      </c>
      <c r="D3641" s="0" t="s">
        <v>12158</v>
      </c>
      <c r="E3641" s="0" t="s">
        <v>89</v>
      </c>
      <c r="F3641" s="0" t="s">
        <v>15</v>
      </c>
      <c r="G3641" s="0" t="s">
        <v>26</v>
      </c>
      <c r="H3641" s="0" t="n">
        <v>77</v>
      </c>
      <c r="I3641" s="0" t="s">
        <v>12165</v>
      </c>
      <c r="J3641" s="0" t="s">
        <v>12166</v>
      </c>
      <c r="K3641" s="0" t="s">
        <v>12167</v>
      </c>
      <c r="L3641" s="0" t="str">
        <f aca="false">HYPERLINK("https://www.ncbi.nlm.nih.gov/nuccore/CP000304.1?report=graph&amp;tracks=[key:gene_model_track,Options:GeneOnly]&amp;mk=1053536:1053555|offset_1|444444,1053577:1053596|offset_42|444444,1053612:1053631|offset_77|00cc00,1053643:1053662|offset_108|444444&amp;v=1053335:1053862&amp;c=444444", "offset 77")</f>
        <v>offset 77</v>
      </c>
    </row>
    <row r="3642" customFormat="false" ht="12.8" hidden="false" customHeight="false" outlineLevel="0" collapsed="false">
      <c r="A3642" s="0" t="s">
        <v>12</v>
      </c>
      <c r="B3642" s="0" t="n">
        <v>1053642</v>
      </c>
      <c r="C3642" s="0" t="n">
        <v>1053662</v>
      </c>
      <c r="D3642" s="0" t="s">
        <v>12158</v>
      </c>
      <c r="E3642" s="0" t="s">
        <v>89</v>
      </c>
      <c r="F3642" s="0" t="s">
        <v>15</v>
      </c>
      <c r="G3642" s="0" t="s">
        <v>16</v>
      </c>
      <c r="H3642" s="0" t="n">
        <v>108</v>
      </c>
      <c r="I3642" s="0" t="s">
        <v>12168</v>
      </c>
      <c r="J3642" s="0" t="s">
        <v>12169</v>
      </c>
      <c r="K3642" s="0" t="s">
        <v>12170</v>
      </c>
      <c r="L3642" s="0" t="str">
        <f aca="false">HYPERLINK("https://www.ncbi.nlm.nih.gov/nuccore/CP000304.1?report=graph&amp;tracks=[key:gene_model_track,Options:GeneOnly]&amp;mk=1053536:1053555|offset_1|444444,1053577:1053596|offset_42|444444,1053612:1053631|offset_77|444444,1053643:1053662|offset_108|00cc00&amp;v=1053335:1053862&amp;c=444444", "offset 108")</f>
        <v>offset 108</v>
      </c>
    </row>
    <row r="3643" customFormat="false" ht="12.8" hidden="false" customHeight="false" outlineLevel="0" collapsed="false">
      <c r="A3643" s="0" t="s">
        <v>12</v>
      </c>
      <c r="B3643" s="0" t="n">
        <v>1055889</v>
      </c>
      <c r="C3643" s="0" t="n">
        <v>1055909</v>
      </c>
      <c r="D3643" s="0" t="s">
        <v>12171</v>
      </c>
      <c r="E3643" s="0" t="s">
        <v>89</v>
      </c>
      <c r="F3643" s="0" t="s">
        <v>15</v>
      </c>
      <c r="G3643" s="0" t="s">
        <v>36</v>
      </c>
      <c r="H3643" s="0" t="n">
        <v>8</v>
      </c>
      <c r="I3643" s="0" t="s">
        <v>12172</v>
      </c>
      <c r="J3643" s="0" t="s">
        <v>12173</v>
      </c>
      <c r="K3643" s="0" t="s">
        <v>12174</v>
      </c>
      <c r="L3643" s="0" t="str">
        <f aca="false">HYPERLINK("https://www.ncbi.nlm.nih.gov/nuccore/CP000304.1?report=graph&amp;tracks=[key:gene_model_track,Options:GeneOnly]&amp;mk=1055890:1055909|offset_8|00cc00,1055910:1055929|offset_28|444444,1055948:1055967|offset_66|444444,1055972:1055991|offset_90|444444&amp;v=1055689:1056191&amp;c=444444", "offset 8")</f>
        <v>offset 8</v>
      </c>
    </row>
    <row r="3644" customFormat="false" ht="12.8" hidden="false" customHeight="false" outlineLevel="0" collapsed="false">
      <c r="A3644" s="0" t="s">
        <v>12</v>
      </c>
      <c r="B3644" s="0" t="n">
        <v>1055909</v>
      </c>
      <c r="C3644" s="0" t="n">
        <v>1055929</v>
      </c>
      <c r="D3644" s="0" t="s">
        <v>12171</v>
      </c>
      <c r="E3644" s="0" t="s">
        <v>89</v>
      </c>
      <c r="F3644" s="0" t="s">
        <v>15</v>
      </c>
      <c r="G3644" s="0" t="s">
        <v>32</v>
      </c>
      <c r="H3644" s="0" t="n">
        <v>28</v>
      </c>
      <c r="I3644" s="0" t="s">
        <v>12175</v>
      </c>
      <c r="J3644" s="0" t="s">
        <v>12176</v>
      </c>
      <c r="K3644" s="0" t="s">
        <v>12177</v>
      </c>
      <c r="L3644" s="0" t="str">
        <f aca="false">HYPERLINK("https://www.ncbi.nlm.nih.gov/nuccore/CP000304.1?report=graph&amp;tracks=[key:gene_model_track,Options:GeneOnly]&amp;mk=1055890:1055909|offset_8|444444,1055910:1055929|offset_28|00cc00,1055948:1055967|offset_66|444444,1055972:1055991|offset_90|444444&amp;v=1055689:1056191&amp;c=444444", "offset 28")</f>
        <v>offset 28</v>
      </c>
    </row>
    <row r="3645" customFormat="false" ht="12.8" hidden="false" customHeight="false" outlineLevel="0" collapsed="false">
      <c r="A3645" s="0" t="s">
        <v>12</v>
      </c>
      <c r="B3645" s="0" t="n">
        <v>1055947</v>
      </c>
      <c r="C3645" s="0" t="n">
        <v>1055967</v>
      </c>
      <c r="D3645" s="0" t="s">
        <v>12171</v>
      </c>
      <c r="E3645" s="0" t="s">
        <v>89</v>
      </c>
      <c r="F3645" s="0" t="s">
        <v>15</v>
      </c>
      <c r="G3645" s="0" t="s">
        <v>16</v>
      </c>
      <c r="H3645" s="0" t="n">
        <v>66</v>
      </c>
      <c r="I3645" s="0" t="s">
        <v>12178</v>
      </c>
      <c r="J3645" s="0" t="s">
        <v>12179</v>
      </c>
      <c r="K3645" s="0" t="s">
        <v>12180</v>
      </c>
      <c r="L3645" s="0" t="str">
        <f aca="false">HYPERLINK("https://www.ncbi.nlm.nih.gov/nuccore/CP000304.1?report=graph&amp;tracks=[key:gene_model_track,Options:GeneOnly]&amp;mk=1055890:1055909|offset_8|444444,1055910:1055929|offset_28|444444,1055948:1055967|offset_66|00cc00,1055972:1055991|offset_90|444444&amp;v=1055689:1056191&amp;c=444444", "offset 66")</f>
        <v>offset 66</v>
      </c>
    </row>
    <row r="3646" customFormat="false" ht="12.8" hidden="false" customHeight="false" outlineLevel="0" collapsed="false">
      <c r="A3646" s="0" t="s">
        <v>12</v>
      </c>
      <c r="B3646" s="0" t="n">
        <v>1055971</v>
      </c>
      <c r="C3646" s="0" t="n">
        <v>1055991</v>
      </c>
      <c r="D3646" s="0" t="s">
        <v>12171</v>
      </c>
      <c r="E3646" s="0" t="s">
        <v>89</v>
      </c>
      <c r="F3646" s="0" t="s">
        <v>15</v>
      </c>
      <c r="G3646" s="0" t="s">
        <v>36</v>
      </c>
      <c r="H3646" s="0" t="n">
        <v>90</v>
      </c>
      <c r="I3646" s="0" t="s">
        <v>12181</v>
      </c>
      <c r="J3646" s="0" t="s">
        <v>12182</v>
      </c>
      <c r="K3646" s="0" t="s">
        <v>12183</v>
      </c>
      <c r="L3646" s="0" t="str">
        <f aca="false">HYPERLINK("https://www.ncbi.nlm.nih.gov/nuccore/CP000304.1?report=graph&amp;tracks=[key:gene_model_track,Options:GeneOnly]&amp;mk=1055890:1055909|offset_8|444444,1055910:1055929|offset_28|444444,1055948:1055967|offset_66|444444,1055972:1055991|offset_90|00cc00&amp;v=1055689:1056191&amp;c=444444", "offset 90")</f>
        <v>offset 90</v>
      </c>
    </row>
    <row r="3647" customFormat="false" ht="12.8" hidden="false" customHeight="false" outlineLevel="0" collapsed="false">
      <c r="A3647" s="0" t="s">
        <v>12</v>
      </c>
      <c r="B3647" s="0" t="n">
        <v>1056495</v>
      </c>
      <c r="C3647" s="0" t="n">
        <v>1056515</v>
      </c>
      <c r="D3647" s="0" t="s">
        <v>12184</v>
      </c>
      <c r="E3647" s="0" t="s">
        <v>89</v>
      </c>
      <c r="F3647" s="0" t="s">
        <v>15</v>
      </c>
      <c r="G3647" s="0" t="s">
        <v>32</v>
      </c>
      <c r="H3647" s="0" t="n">
        <v>25</v>
      </c>
      <c r="I3647" s="0" t="s">
        <v>12185</v>
      </c>
      <c r="J3647" s="0" t="s">
        <v>12186</v>
      </c>
      <c r="K3647" s="0" t="s">
        <v>12187</v>
      </c>
      <c r="L3647" s="0" t="str">
        <f aca="false">HYPERLINK("https://www.ncbi.nlm.nih.gov/nuccore/CP000304.1?report=graph&amp;tracks=[key:gene_model_track,Options:GeneOnly]&amp;mk=1056496:1056515|offset_25|00cc00,1056525:1056544|offset_54|444444,1056559:1056578|offset_88|444444,1056590:1056609|offset_119|444444&amp;v=1056295:1056809&amp;c=444444", "offset 25")</f>
        <v>offset 25</v>
      </c>
    </row>
    <row r="3648" customFormat="false" ht="12.8" hidden="false" customHeight="false" outlineLevel="0" collapsed="false">
      <c r="A3648" s="0" t="s">
        <v>12</v>
      </c>
      <c r="B3648" s="0" t="n">
        <v>1056524</v>
      </c>
      <c r="C3648" s="0" t="n">
        <v>1056544</v>
      </c>
      <c r="D3648" s="0" t="s">
        <v>12184</v>
      </c>
      <c r="E3648" s="0" t="s">
        <v>89</v>
      </c>
      <c r="F3648" s="0" t="s">
        <v>15</v>
      </c>
      <c r="G3648" s="0" t="s">
        <v>36</v>
      </c>
      <c r="H3648" s="0" t="n">
        <v>54</v>
      </c>
      <c r="I3648" s="0" t="s">
        <v>12188</v>
      </c>
      <c r="J3648" s="0" t="s">
        <v>12189</v>
      </c>
      <c r="K3648" s="0" t="s">
        <v>12190</v>
      </c>
      <c r="L3648" s="0" t="str">
        <f aca="false">HYPERLINK("https://www.ncbi.nlm.nih.gov/nuccore/CP000304.1?report=graph&amp;tracks=[key:gene_model_track,Options:GeneOnly]&amp;mk=1056496:1056515|offset_25|444444,1056525:1056544|offset_54|00cc00,1056559:1056578|offset_88|444444,1056590:1056609|offset_119|444444&amp;v=1056295:1056809&amp;c=444444", "offset 54")</f>
        <v>offset 54</v>
      </c>
    </row>
    <row r="3649" customFormat="false" ht="12.8" hidden="false" customHeight="false" outlineLevel="0" collapsed="false">
      <c r="A3649" s="0" t="s">
        <v>12</v>
      </c>
      <c r="B3649" s="0" t="n">
        <v>1056558</v>
      </c>
      <c r="C3649" s="0" t="n">
        <v>1056578</v>
      </c>
      <c r="D3649" s="0" t="s">
        <v>12184</v>
      </c>
      <c r="E3649" s="0" t="s">
        <v>89</v>
      </c>
      <c r="F3649" s="0" t="s">
        <v>15</v>
      </c>
      <c r="G3649" s="0" t="s">
        <v>36</v>
      </c>
      <c r="H3649" s="0" t="n">
        <v>88</v>
      </c>
      <c r="I3649" s="0" t="s">
        <v>12191</v>
      </c>
      <c r="J3649" s="0" t="s">
        <v>12192</v>
      </c>
      <c r="K3649" s="0" t="s">
        <v>12193</v>
      </c>
      <c r="L3649" s="0" t="str">
        <f aca="false">HYPERLINK("https://www.ncbi.nlm.nih.gov/nuccore/CP000304.1?report=graph&amp;tracks=[key:gene_model_track,Options:GeneOnly]&amp;mk=1056496:1056515|offset_25|444444,1056525:1056544|offset_54|444444,1056559:1056578|offset_88|00cc00,1056590:1056609|offset_119|444444&amp;v=1056295:1056809&amp;c=444444", "offset 88")</f>
        <v>offset 88</v>
      </c>
    </row>
    <row r="3650" customFormat="false" ht="12.8" hidden="false" customHeight="false" outlineLevel="0" collapsed="false">
      <c r="A3650" s="0" t="s">
        <v>12</v>
      </c>
      <c r="B3650" s="0" t="n">
        <v>1056589</v>
      </c>
      <c r="C3650" s="0" t="n">
        <v>1056609</v>
      </c>
      <c r="D3650" s="0" t="s">
        <v>12184</v>
      </c>
      <c r="E3650" s="0" t="s">
        <v>89</v>
      </c>
      <c r="F3650" s="0" t="s">
        <v>15</v>
      </c>
      <c r="G3650" s="0" t="s">
        <v>32</v>
      </c>
      <c r="H3650" s="0" t="n">
        <v>119</v>
      </c>
      <c r="I3650" s="0" t="s">
        <v>12194</v>
      </c>
      <c r="J3650" s="0" t="s">
        <v>12195</v>
      </c>
      <c r="K3650" s="0" t="s">
        <v>12196</v>
      </c>
      <c r="L3650" s="0" t="str">
        <f aca="false">HYPERLINK("https://www.ncbi.nlm.nih.gov/nuccore/CP000304.1?report=graph&amp;tracks=[key:gene_model_track,Options:GeneOnly]&amp;mk=1056496:1056515|offset_25|444444,1056525:1056544|offset_54|444444,1056559:1056578|offset_88|444444,1056590:1056609|offset_119|00cc00&amp;v=1056295:1056809&amp;c=444444", "offset 119")</f>
        <v>offset 119</v>
      </c>
    </row>
    <row r="3651" customFormat="false" ht="12.8" hidden="false" customHeight="false" outlineLevel="0" collapsed="false">
      <c r="A3651" s="0" t="s">
        <v>12</v>
      </c>
      <c r="B3651" s="0" t="n">
        <v>1057047</v>
      </c>
      <c r="C3651" s="0" t="n">
        <v>1057067</v>
      </c>
      <c r="D3651" s="0" t="s">
        <v>12197</v>
      </c>
      <c r="E3651" s="0" t="s">
        <v>89</v>
      </c>
      <c r="F3651" s="0" t="s">
        <v>15</v>
      </c>
      <c r="G3651" s="0" t="s">
        <v>32</v>
      </c>
      <c r="H3651" s="0" t="n">
        <v>1</v>
      </c>
      <c r="I3651" s="0" t="s">
        <v>12198</v>
      </c>
      <c r="J3651" s="0" t="s">
        <v>12199</v>
      </c>
      <c r="K3651" s="0" t="s">
        <v>12200</v>
      </c>
      <c r="L3651" s="0" t="str">
        <f aca="false">HYPERLINK("https://www.ncbi.nlm.nih.gov/nuccore/CP000304.1?report=graph&amp;tracks=[key:gene_model_track,Options:GeneOnly]&amp;mk=1057048:1057067|offset_1|00cc00,1057069:1057088|offset_22|444444,1057099:1057118|offset_52|444444,1057136:1057155|offset_89|444444&amp;v=1056847:1057355&amp;c=444444", "offset 1")</f>
        <v>offset 1</v>
      </c>
    </row>
    <row r="3652" customFormat="false" ht="12.8" hidden="false" customHeight="false" outlineLevel="0" collapsed="false">
      <c r="A3652" s="0" t="s">
        <v>12</v>
      </c>
      <c r="B3652" s="0" t="n">
        <v>1057068</v>
      </c>
      <c r="C3652" s="0" t="n">
        <v>1057088</v>
      </c>
      <c r="D3652" s="0" t="s">
        <v>12197</v>
      </c>
      <c r="E3652" s="0" t="s">
        <v>89</v>
      </c>
      <c r="F3652" s="0" t="s">
        <v>15</v>
      </c>
      <c r="G3652" s="0" t="s">
        <v>36</v>
      </c>
      <c r="H3652" s="0" t="n">
        <v>22</v>
      </c>
      <c r="I3652" s="0" t="s">
        <v>12201</v>
      </c>
      <c r="J3652" s="0" t="s">
        <v>12202</v>
      </c>
      <c r="K3652" s="0" t="s">
        <v>12203</v>
      </c>
      <c r="L3652" s="0" t="str">
        <f aca="false">HYPERLINK("https://www.ncbi.nlm.nih.gov/nuccore/CP000304.1?report=graph&amp;tracks=[key:gene_model_track,Options:GeneOnly]&amp;mk=1057048:1057067|offset_1|444444,1057069:1057088|offset_22|00cc00,1057099:1057118|offset_52|444444,1057136:1057155|offset_89|444444&amp;v=1056847:1057355&amp;c=444444", "offset 22")</f>
        <v>offset 22</v>
      </c>
    </row>
    <row r="3653" customFormat="false" ht="12.8" hidden="false" customHeight="false" outlineLevel="0" collapsed="false">
      <c r="A3653" s="0" t="s">
        <v>12</v>
      </c>
      <c r="B3653" s="0" t="n">
        <v>1057098</v>
      </c>
      <c r="C3653" s="0" t="n">
        <v>1057118</v>
      </c>
      <c r="D3653" s="0" t="s">
        <v>12197</v>
      </c>
      <c r="E3653" s="0" t="s">
        <v>89</v>
      </c>
      <c r="F3653" s="0" t="s">
        <v>15</v>
      </c>
      <c r="G3653" s="0" t="s">
        <v>36</v>
      </c>
      <c r="H3653" s="0" t="n">
        <v>52</v>
      </c>
      <c r="I3653" s="0" t="s">
        <v>12204</v>
      </c>
      <c r="J3653" s="0" t="s">
        <v>12205</v>
      </c>
      <c r="K3653" s="0" t="s">
        <v>12206</v>
      </c>
      <c r="L3653" s="0" t="str">
        <f aca="false">HYPERLINK("https://www.ncbi.nlm.nih.gov/nuccore/CP000304.1?report=graph&amp;tracks=[key:gene_model_track,Options:GeneOnly]&amp;mk=1057048:1057067|offset_1|444444,1057069:1057088|offset_22|444444,1057099:1057118|offset_52|00cc00,1057136:1057155|offset_89|444444&amp;v=1056847:1057355&amp;c=444444", "offset 52")</f>
        <v>offset 52</v>
      </c>
    </row>
    <row r="3654" customFormat="false" ht="12.8" hidden="false" customHeight="false" outlineLevel="0" collapsed="false">
      <c r="A3654" s="0" t="s">
        <v>12</v>
      </c>
      <c r="B3654" s="0" t="n">
        <v>1057135</v>
      </c>
      <c r="C3654" s="0" t="n">
        <v>1057155</v>
      </c>
      <c r="D3654" s="0" t="s">
        <v>12197</v>
      </c>
      <c r="E3654" s="0" t="s">
        <v>89</v>
      </c>
      <c r="F3654" s="0" t="s">
        <v>15</v>
      </c>
      <c r="G3654" s="0" t="s">
        <v>26</v>
      </c>
      <c r="H3654" s="0" t="n">
        <v>89</v>
      </c>
      <c r="I3654" s="0" t="s">
        <v>12207</v>
      </c>
      <c r="J3654" s="0" t="s">
        <v>12208</v>
      </c>
      <c r="K3654" s="0" t="s">
        <v>12209</v>
      </c>
      <c r="L3654" s="0" t="str">
        <f aca="false">HYPERLINK("https://www.ncbi.nlm.nih.gov/nuccore/CP000304.1?report=graph&amp;tracks=[key:gene_model_track,Options:GeneOnly]&amp;mk=1057048:1057067|offset_1|444444,1057069:1057088|offset_22|444444,1057099:1057118|offset_52|444444,1057136:1057155|offset_89|00cc00&amp;v=1056847:1057355&amp;c=444444", "offset 89")</f>
        <v>offset 89</v>
      </c>
    </row>
    <row r="3655" customFormat="false" ht="12.8" hidden="false" customHeight="false" outlineLevel="0" collapsed="false">
      <c r="A3655" s="0" t="s">
        <v>12</v>
      </c>
      <c r="B3655" s="0" t="n">
        <v>1057424</v>
      </c>
      <c r="C3655" s="0" t="n">
        <v>1057444</v>
      </c>
      <c r="D3655" s="0" t="s">
        <v>12210</v>
      </c>
      <c r="E3655" s="0" t="s">
        <v>89</v>
      </c>
      <c r="F3655" s="0" t="s">
        <v>15</v>
      </c>
      <c r="G3655" s="0" t="s">
        <v>32</v>
      </c>
      <c r="H3655" s="0" t="n">
        <v>38</v>
      </c>
      <c r="I3655" s="0" t="s">
        <v>12211</v>
      </c>
      <c r="J3655" s="0" t="s">
        <v>12212</v>
      </c>
      <c r="K3655" s="0" t="s">
        <v>12213</v>
      </c>
      <c r="L3655" s="0" t="str">
        <f aca="false">HYPERLINK("https://www.ncbi.nlm.nih.gov/nuccore/CP000304.1?report=graph&amp;tracks=[key:gene_model_track,Options:GeneOnly]&amp;mk=1057425:1057444|offset_38|00cc00,1057445:1057464|offset_58|444444,1057476:1057495|offset_89|444444,1057519:1057538|offset_132|444444&amp;v=1057224:1057738&amp;c=444444", "offset 38")</f>
        <v>offset 38</v>
      </c>
    </row>
    <row r="3656" customFormat="false" ht="12.8" hidden="false" customHeight="false" outlineLevel="0" collapsed="false">
      <c r="A3656" s="0" t="s">
        <v>12</v>
      </c>
      <c r="B3656" s="0" t="n">
        <v>1057444</v>
      </c>
      <c r="C3656" s="0" t="n">
        <v>1057464</v>
      </c>
      <c r="D3656" s="0" t="s">
        <v>12210</v>
      </c>
      <c r="E3656" s="0" t="s">
        <v>89</v>
      </c>
      <c r="F3656" s="0" t="s">
        <v>15</v>
      </c>
      <c r="G3656" s="0" t="s">
        <v>16</v>
      </c>
      <c r="H3656" s="0" t="n">
        <v>58</v>
      </c>
      <c r="I3656" s="0" t="s">
        <v>12214</v>
      </c>
      <c r="J3656" s="0" t="s">
        <v>12215</v>
      </c>
      <c r="K3656" s="0" t="s">
        <v>12216</v>
      </c>
      <c r="L3656" s="0" t="str">
        <f aca="false">HYPERLINK("https://www.ncbi.nlm.nih.gov/nuccore/CP000304.1?report=graph&amp;tracks=[key:gene_model_track,Options:GeneOnly]&amp;mk=1057425:1057444|offset_38|444444,1057445:1057464|offset_58|00cc00,1057476:1057495|offset_89|444444,1057519:1057538|offset_132|444444&amp;v=1057224:1057738&amp;c=444444", "offset 58")</f>
        <v>offset 58</v>
      </c>
    </row>
    <row r="3657" customFormat="false" ht="12.8" hidden="false" customHeight="false" outlineLevel="0" collapsed="false">
      <c r="A3657" s="0" t="s">
        <v>12</v>
      </c>
      <c r="B3657" s="0" t="n">
        <v>1057475</v>
      </c>
      <c r="C3657" s="0" t="n">
        <v>1057495</v>
      </c>
      <c r="D3657" s="0" t="s">
        <v>12210</v>
      </c>
      <c r="E3657" s="0" t="s">
        <v>89</v>
      </c>
      <c r="F3657" s="0" t="s">
        <v>15</v>
      </c>
      <c r="G3657" s="0" t="s">
        <v>16</v>
      </c>
      <c r="H3657" s="0" t="n">
        <v>89</v>
      </c>
      <c r="I3657" s="0" t="s">
        <v>12217</v>
      </c>
      <c r="J3657" s="0" t="s">
        <v>12218</v>
      </c>
      <c r="K3657" s="0" t="s">
        <v>12219</v>
      </c>
      <c r="L3657" s="0" t="str">
        <f aca="false">HYPERLINK("https://www.ncbi.nlm.nih.gov/nuccore/CP000304.1?report=graph&amp;tracks=[key:gene_model_track,Options:GeneOnly]&amp;mk=1057425:1057444|offset_38|444444,1057445:1057464|offset_58|444444,1057476:1057495|offset_89|00cc00,1057519:1057538|offset_132|444444&amp;v=1057224:1057738&amp;c=444444", "offset 89")</f>
        <v>offset 89</v>
      </c>
    </row>
    <row r="3658" customFormat="false" ht="12.8" hidden="false" customHeight="false" outlineLevel="0" collapsed="false">
      <c r="A3658" s="0" t="s">
        <v>12</v>
      </c>
      <c r="B3658" s="0" t="n">
        <v>1057518</v>
      </c>
      <c r="C3658" s="0" t="n">
        <v>1057538</v>
      </c>
      <c r="D3658" s="0" t="s">
        <v>12210</v>
      </c>
      <c r="E3658" s="0" t="s">
        <v>89</v>
      </c>
      <c r="F3658" s="0" t="s">
        <v>15</v>
      </c>
      <c r="G3658" s="0" t="s">
        <v>16</v>
      </c>
      <c r="H3658" s="0" t="n">
        <v>132</v>
      </c>
      <c r="I3658" s="0" t="s">
        <v>12220</v>
      </c>
      <c r="J3658" s="0" t="s">
        <v>12221</v>
      </c>
      <c r="K3658" s="0" t="s">
        <v>12222</v>
      </c>
      <c r="L3658" s="0" t="str">
        <f aca="false">HYPERLINK("https://www.ncbi.nlm.nih.gov/nuccore/CP000304.1?report=graph&amp;tracks=[key:gene_model_track,Options:GeneOnly]&amp;mk=1057425:1057444|offset_38|444444,1057445:1057464|offset_58|444444,1057476:1057495|offset_89|444444,1057519:1057538|offset_132|00cc00&amp;v=1057224:1057738&amp;c=444444", "offset 132")</f>
        <v>offset 132</v>
      </c>
    </row>
    <row r="3659" customFormat="false" ht="12.8" hidden="false" customHeight="false" outlineLevel="0" collapsed="false">
      <c r="A3659" s="0" t="s">
        <v>12</v>
      </c>
      <c r="B3659" s="0" t="n">
        <v>1059126</v>
      </c>
      <c r="C3659" s="0" t="n">
        <v>1059146</v>
      </c>
      <c r="D3659" s="0" t="s">
        <v>12223</v>
      </c>
      <c r="E3659" s="0" t="s">
        <v>12224</v>
      </c>
      <c r="F3659" s="0" t="s">
        <v>15</v>
      </c>
      <c r="G3659" s="0" t="s">
        <v>16</v>
      </c>
      <c r="H3659" s="0" t="n">
        <v>7</v>
      </c>
      <c r="I3659" s="0" t="s">
        <v>12225</v>
      </c>
      <c r="J3659" s="0" t="s">
        <v>12226</v>
      </c>
      <c r="K3659" s="0" t="s">
        <v>12227</v>
      </c>
      <c r="L3659" s="0" t="str">
        <f aca="false">HYPERLINK("https://www.ncbi.nlm.nih.gov/nuccore/CP000304.1?report=graph&amp;tracks=[key:gene_model_track,Options:GeneOnly]&amp;mk=1059127:1059146|offset_7|00cc00,1059154:1059173|offset_34|444444,1059176:1059195|offset_56|444444,1059206:1059225|offset_86|444444&amp;v=1058926:1059425&amp;c=444444", "offset 7")</f>
        <v>offset 7</v>
      </c>
    </row>
    <row r="3660" customFormat="false" ht="12.8" hidden="false" customHeight="false" outlineLevel="0" collapsed="false">
      <c r="A3660" s="0" t="s">
        <v>12</v>
      </c>
      <c r="B3660" s="0" t="n">
        <v>1059153</v>
      </c>
      <c r="C3660" s="0" t="n">
        <v>1059173</v>
      </c>
      <c r="D3660" s="0" t="s">
        <v>12223</v>
      </c>
      <c r="E3660" s="0" t="s">
        <v>12224</v>
      </c>
      <c r="F3660" s="0" t="s">
        <v>15</v>
      </c>
      <c r="G3660" s="0" t="s">
        <v>36</v>
      </c>
      <c r="H3660" s="0" t="n">
        <v>34</v>
      </c>
      <c r="I3660" s="0" t="s">
        <v>12228</v>
      </c>
      <c r="J3660" s="0" t="s">
        <v>12229</v>
      </c>
      <c r="K3660" s="0" t="s">
        <v>12230</v>
      </c>
      <c r="L3660" s="0" t="str">
        <f aca="false">HYPERLINK("https://www.ncbi.nlm.nih.gov/nuccore/CP000304.1?report=graph&amp;tracks=[key:gene_model_track,Options:GeneOnly]&amp;mk=1059127:1059146|offset_7|444444,1059154:1059173|offset_34|00cc00,1059176:1059195|offset_56|444444,1059206:1059225|offset_86|444444&amp;v=1058926:1059425&amp;c=444444", "offset 34")</f>
        <v>offset 34</v>
      </c>
    </row>
    <row r="3661" customFormat="false" ht="12.8" hidden="false" customHeight="false" outlineLevel="0" collapsed="false">
      <c r="A3661" s="0" t="s">
        <v>12</v>
      </c>
      <c r="B3661" s="0" t="n">
        <v>1059175</v>
      </c>
      <c r="C3661" s="0" t="n">
        <v>1059195</v>
      </c>
      <c r="D3661" s="0" t="s">
        <v>12223</v>
      </c>
      <c r="E3661" s="0" t="s">
        <v>12224</v>
      </c>
      <c r="F3661" s="0" t="s">
        <v>15</v>
      </c>
      <c r="G3661" s="0" t="s">
        <v>16</v>
      </c>
      <c r="H3661" s="0" t="n">
        <v>56</v>
      </c>
      <c r="I3661" s="0" t="s">
        <v>12231</v>
      </c>
      <c r="J3661" s="0" t="s">
        <v>12232</v>
      </c>
      <c r="K3661" s="0" t="s">
        <v>12233</v>
      </c>
      <c r="L3661" s="0" t="str">
        <f aca="false">HYPERLINK("https://www.ncbi.nlm.nih.gov/nuccore/CP000304.1?report=graph&amp;tracks=[key:gene_model_track,Options:GeneOnly]&amp;mk=1059127:1059146|offset_7|444444,1059154:1059173|offset_34|444444,1059176:1059195|offset_56|00cc00,1059206:1059225|offset_86|444444&amp;v=1058926:1059425&amp;c=444444", "offset 56")</f>
        <v>offset 56</v>
      </c>
    </row>
    <row r="3662" customFormat="false" ht="12.8" hidden="false" customHeight="false" outlineLevel="0" collapsed="false">
      <c r="A3662" s="0" t="s">
        <v>12</v>
      </c>
      <c r="B3662" s="0" t="n">
        <v>1059205</v>
      </c>
      <c r="C3662" s="0" t="n">
        <v>1059225</v>
      </c>
      <c r="D3662" s="0" t="s">
        <v>12223</v>
      </c>
      <c r="E3662" s="0" t="s">
        <v>12224</v>
      </c>
      <c r="F3662" s="0" t="s">
        <v>15</v>
      </c>
      <c r="G3662" s="0" t="s">
        <v>36</v>
      </c>
      <c r="H3662" s="0" t="n">
        <v>86</v>
      </c>
      <c r="I3662" s="0" t="s">
        <v>12234</v>
      </c>
      <c r="J3662" s="0" t="s">
        <v>12235</v>
      </c>
      <c r="K3662" s="0" t="s">
        <v>12236</v>
      </c>
      <c r="L3662" s="0" t="str">
        <f aca="false">HYPERLINK("https://www.ncbi.nlm.nih.gov/nuccore/CP000304.1?report=graph&amp;tracks=[key:gene_model_track,Options:GeneOnly]&amp;mk=1059127:1059146|offset_7|444444,1059154:1059173|offset_34|444444,1059176:1059195|offset_56|444444,1059206:1059225|offset_86|00cc00&amp;v=1058926:1059425&amp;c=444444", "offset 86")</f>
        <v>offset 86</v>
      </c>
    </row>
    <row r="3663" customFormat="false" ht="12.8" hidden="false" customHeight="false" outlineLevel="0" collapsed="false">
      <c r="A3663" s="0" t="s">
        <v>12</v>
      </c>
      <c r="B3663" s="0" t="n">
        <v>1060047</v>
      </c>
      <c r="C3663" s="0" t="n">
        <v>1060067</v>
      </c>
      <c r="D3663" s="0" t="s">
        <v>12237</v>
      </c>
      <c r="E3663" s="0" t="s">
        <v>89</v>
      </c>
      <c r="F3663" s="0" t="s">
        <v>90</v>
      </c>
      <c r="G3663" s="0" t="s">
        <v>26</v>
      </c>
      <c r="H3663" s="0" t="n">
        <v>7</v>
      </c>
      <c r="I3663" s="0" t="s">
        <v>12238</v>
      </c>
      <c r="J3663" s="0" t="s">
        <v>12239</v>
      </c>
      <c r="K3663" s="0" t="s">
        <v>12240</v>
      </c>
      <c r="L3663" s="0" t="str">
        <f aca="false">HYPERLINK("https://www.ncbi.nlm.nih.gov/nuccore/CP000304.1?report=graph&amp;tracks=[key:gene_model_track,Options:GeneOnly]&amp;mk=1060048:1060067|offset_7|00cc00,1060023:1060042|offset_32|444444,1059993:1060012|offset_62|444444,1059918:1059937|offset_137|444444&amp;v=1059847:1060137&amp;c=444444", "offset 7")</f>
        <v>offset 7</v>
      </c>
    </row>
    <row r="3664" customFormat="false" ht="12.8" hidden="false" customHeight="false" outlineLevel="0" collapsed="false">
      <c r="A3664" s="0" t="s">
        <v>12</v>
      </c>
      <c r="B3664" s="0" t="n">
        <v>1060022</v>
      </c>
      <c r="C3664" s="0" t="n">
        <v>1060042</v>
      </c>
      <c r="D3664" s="0" t="s">
        <v>12237</v>
      </c>
      <c r="E3664" s="0" t="s">
        <v>89</v>
      </c>
      <c r="F3664" s="0" t="s">
        <v>90</v>
      </c>
      <c r="G3664" s="0" t="s">
        <v>16</v>
      </c>
      <c r="H3664" s="0" t="n">
        <v>32</v>
      </c>
      <c r="I3664" s="0" t="s">
        <v>12241</v>
      </c>
      <c r="J3664" s="0" t="s">
        <v>12242</v>
      </c>
      <c r="K3664" s="0" t="s">
        <v>12243</v>
      </c>
      <c r="L3664" s="0" t="str">
        <f aca="false">HYPERLINK("https://www.ncbi.nlm.nih.gov/nuccore/CP000304.1?report=graph&amp;tracks=[key:gene_model_track,Options:GeneOnly]&amp;mk=1060048:1060067|offset_7|444444,1060023:1060042|offset_32|00cc00,1059993:1060012|offset_62|444444,1059918:1059937|offset_137|444444&amp;v=1059847:1060137&amp;c=444444", "offset 32")</f>
        <v>offset 32</v>
      </c>
    </row>
    <row r="3665" customFormat="false" ht="12.8" hidden="false" customHeight="false" outlineLevel="0" collapsed="false">
      <c r="A3665" s="0" t="s">
        <v>12</v>
      </c>
      <c r="B3665" s="0" t="n">
        <v>1059992</v>
      </c>
      <c r="C3665" s="0" t="n">
        <v>1060012</v>
      </c>
      <c r="D3665" s="0" t="s">
        <v>12237</v>
      </c>
      <c r="E3665" s="0" t="s">
        <v>89</v>
      </c>
      <c r="F3665" s="0" t="s">
        <v>90</v>
      </c>
      <c r="G3665" s="0" t="s">
        <v>16</v>
      </c>
      <c r="H3665" s="0" t="n">
        <v>62</v>
      </c>
      <c r="I3665" s="0" t="s">
        <v>12244</v>
      </c>
      <c r="J3665" s="0" t="s">
        <v>12245</v>
      </c>
      <c r="K3665" s="0" t="s">
        <v>12246</v>
      </c>
      <c r="L3665" s="0" t="str">
        <f aca="false">HYPERLINK("https://www.ncbi.nlm.nih.gov/nuccore/CP000304.1?report=graph&amp;tracks=[key:gene_model_track,Options:GeneOnly]&amp;mk=1060048:1060067|offset_7|444444,1060023:1060042|offset_32|444444,1059993:1060012|offset_62|00cc00,1059918:1059937|offset_137|444444&amp;v=1059847:1060137&amp;c=444444", "offset 62")</f>
        <v>offset 62</v>
      </c>
    </row>
    <row r="3666" customFormat="false" ht="12.8" hidden="false" customHeight="false" outlineLevel="0" collapsed="false">
      <c r="A3666" s="0" t="s">
        <v>12</v>
      </c>
      <c r="B3666" s="0" t="n">
        <v>1059917</v>
      </c>
      <c r="C3666" s="0" t="n">
        <v>1059937</v>
      </c>
      <c r="D3666" s="0" t="s">
        <v>12237</v>
      </c>
      <c r="E3666" s="0" t="s">
        <v>89</v>
      </c>
      <c r="F3666" s="0" t="s">
        <v>90</v>
      </c>
      <c r="G3666" s="0" t="s">
        <v>26</v>
      </c>
      <c r="H3666" s="0" t="n">
        <v>137</v>
      </c>
      <c r="I3666" s="0" t="s">
        <v>12247</v>
      </c>
      <c r="J3666" s="0" t="s">
        <v>12248</v>
      </c>
      <c r="K3666" s="0" t="s">
        <v>12249</v>
      </c>
      <c r="L3666" s="0" t="str">
        <f aca="false">HYPERLINK("https://www.ncbi.nlm.nih.gov/nuccore/CP000304.1?report=graph&amp;tracks=[key:gene_model_track,Options:GeneOnly]&amp;mk=1060048:1060067|offset_7|444444,1060023:1060042|offset_32|444444,1059993:1060012|offset_62|444444,1059918:1059937|offset_137|00cc00&amp;v=1059847:1060137&amp;c=444444", "offset 137")</f>
        <v>offset 137</v>
      </c>
    </row>
    <row r="3667" customFormat="false" ht="12.8" hidden="false" customHeight="false" outlineLevel="0" collapsed="false">
      <c r="A3667" s="0" t="s">
        <v>12</v>
      </c>
      <c r="B3667" s="0" t="n">
        <v>1061168</v>
      </c>
      <c r="C3667" s="0" t="n">
        <v>1061188</v>
      </c>
      <c r="D3667" s="0" t="s">
        <v>12250</v>
      </c>
      <c r="E3667" s="0" t="s">
        <v>12251</v>
      </c>
      <c r="F3667" s="0" t="s">
        <v>90</v>
      </c>
      <c r="G3667" s="0" t="s">
        <v>16</v>
      </c>
      <c r="H3667" s="0" t="n">
        <v>0</v>
      </c>
      <c r="I3667" s="0" t="s">
        <v>12252</v>
      </c>
      <c r="J3667" s="0" t="s">
        <v>12253</v>
      </c>
      <c r="K3667" s="0" t="s">
        <v>12254</v>
      </c>
      <c r="L3667" s="0" t="str">
        <f aca="false">HYPERLINK("https://www.ncbi.nlm.nih.gov/nuccore/CP000304.1?report=graph&amp;tracks=[key:gene_model_track,Options:GeneOnly]&amp;mk=1061169:1061188|offset_0|00cc00,1061123:1061142|offset_46|444444,1061079:1061098|offset_90|444444,1061042:1061061|offset_127|444444&amp;v=1060968:1061261&amp;c=444444", "offset 0")</f>
        <v>offset 0</v>
      </c>
    </row>
    <row r="3668" customFormat="false" ht="12.8" hidden="false" customHeight="false" outlineLevel="0" collapsed="false">
      <c r="A3668" s="0" t="s">
        <v>12</v>
      </c>
      <c r="B3668" s="0" t="n">
        <v>1061122</v>
      </c>
      <c r="C3668" s="0" t="n">
        <v>1061142</v>
      </c>
      <c r="D3668" s="0" t="s">
        <v>12250</v>
      </c>
      <c r="E3668" s="0" t="s">
        <v>12251</v>
      </c>
      <c r="F3668" s="0" t="s">
        <v>90</v>
      </c>
      <c r="G3668" s="0" t="s">
        <v>16</v>
      </c>
      <c r="H3668" s="0" t="n">
        <v>46</v>
      </c>
      <c r="I3668" s="0" t="s">
        <v>12255</v>
      </c>
      <c r="J3668" s="0" t="s">
        <v>12256</v>
      </c>
      <c r="K3668" s="0" t="s">
        <v>12257</v>
      </c>
      <c r="L3668" s="0" t="str">
        <f aca="false">HYPERLINK("https://www.ncbi.nlm.nih.gov/nuccore/CP000304.1?report=graph&amp;tracks=[key:gene_model_track,Options:GeneOnly]&amp;mk=1061169:1061188|offset_0|444444,1061123:1061142|offset_46|00cc00,1061079:1061098|offset_90|444444,1061042:1061061|offset_127|444444&amp;v=1060968:1061261&amp;c=444444", "offset 46")</f>
        <v>offset 46</v>
      </c>
    </row>
    <row r="3669" customFormat="false" ht="12.8" hidden="false" customHeight="false" outlineLevel="0" collapsed="false">
      <c r="A3669" s="0" t="s">
        <v>12</v>
      </c>
      <c r="B3669" s="0" t="n">
        <v>1061078</v>
      </c>
      <c r="C3669" s="0" t="n">
        <v>1061098</v>
      </c>
      <c r="D3669" s="0" t="s">
        <v>12250</v>
      </c>
      <c r="E3669" s="0" t="s">
        <v>12251</v>
      </c>
      <c r="F3669" s="0" t="s">
        <v>90</v>
      </c>
      <c r="G3669" s="0" t="s">
        <v>26</v>
      </c>
      <c r="H3669" s="0" t="n">
        <v>90</v>
      </c>
      <c r="I3669" s="0" t="s">
        <v>12258</v>
      </c>
      <c r="J3669" s="0" t="s">
        <v>12259</v>
      </c>
      <c r="K3669" s="0" t="s">
        <v>12260</v>
      </c>
      <c r="L3669" s="0" t="str">
        <f aca="false">HYPERLINK("https://www.ncbi.nlm.nih.gov/nuccore/CP000304.1?report=graph&amp;tracks=[key:gene_model_track,Options:GeneOnly]&amp;mk=1061169:1061188|offset_0|444444,1061123:1061142|offset_46|444444,1061079:1061098|offset_90|00cc00,1061042:1061061|offset_127|444444&amp;v=1060968:1061261&amp;c=444444", "offset 90")</f>
        <v>offset 90</v>
      </c>
    </row>
    <row r="3670" customFormat="false" ht="12.8" hidden="false" customHeight="false" outlineLevel="0" collapsed="false">
      <c r="A3670" s="0" t="s">
        <v>12</v>
      </c>
      <c r="B3670" s="0" t="n">
        <v>1061041</v>
      </c>
      <c r="C3670" s="0" t="n">
        <v>1061061</v>
      </c>
      <c r="D3670" s="0" t="s">
        <v>12250</v>
      </c>
      <c r="E3670" s="0" t="s">
        <v>12251</v>
      </c>
      <c r="F3670" s="0" t="s">
        <v>90</v>
      </c>
      <c r="G3670" s="0" t="s">
        <v>16</v>
      </c>
      <c r="H3670" s="0" t="n">
        <v>127</v>
      </c>
      <c r="I3670" s="0" t="s">
        <v>12261</v>
      </c>
      <c r="J3670" s="0" t="s">
        <v>12262</v>
      </c>
      <c r="K3670" s="0" t="s">
        <v>12263</v>
      </c>
      <c r="L3670" s="0" t="str">
        <f aca="false">HYPERLINK("https://www.ncbi.nlm.nih.gov/nuccore/CP000304.1?report=graph&amp;tracks=[key:gene_model_track,Options:GeneOnly]&amp;mk=1061169:1061188|offset_0|444444,1061123:1061142|offset_46|444444,1061079:1061098|offset_90|444444,1061042:1061061|offset_127|00cc00&amp;v=1060968:1061261&amp;c=444444", "offset 127")</f>
        <v>offset 127</v>
      </c>
    </row>
    <row r="3671" customFormat="false" ht="12.8" hidden="false" customHeight="false" outlineLevel="0" collapsed="false">
      <c r="A3671" s="0" t="s">
        <v>12</v>
      </c>
      <c r="B3671" s="0" t="n">
        <v>1061299</v>
      </c>
      <c r="C3671" s="0" t="n">
        <v>1061319</v>
      </c>
      <c r="D3671" s="0" t="s">
        <v>12264</v>
      </c>
      <c r="E3671" s="0" t="s">
        <v>12265</v>
      </c>
      <c r="F3671" s="0" t="s">
        <v>15</v>
      </c>
      <c r="G3671" s="0" t="s">
        <v>36</v>
      </c>
      <c r="H3671" s="0" t="n">
        <v>20</v>
      </c>
      <c r="I3671" s="0" t="s">
        <v>12266</v>
      </c>
      <c r="J3671" s="0" t="s">
        <v>12267</v>
      </c>
      <c r="K3671" s="0" t="s">
        <v>12268</v>
      </c>
      <c r="L3671" s="0" t="str">
        <f aca="false">HYPERLINK("https://www.ncbi.nlm.nih.gov/nuccore/CP000304.1?report=graph&amp;tracks=[key:gene_model_track,Options:GeneOnly]&amp;mk=1061300:1061319|offset_20|00cc00,1061324:1061343|offset_44|444444,1061353:1061372|offset_73|444444,1061376:1061395|offset_96|444444&amp;v=1061099:1061595&amp;c=444444", "offset 20")</f>
        <v>offset 20</v>
      </c>
    </row>
    <row r="3672" customFormat="false" ht="12.8" hidden="false" customHeight="false" outlineLevel="0" collapsed="false">
      <c r="A3672" s="0" t="s">
        <v>12</v>
      </c>
      <c r="B3672" s="0" t="n">
        <v>1061323</v>
      </c>
      <c r="C3672" s="0" t="n">
        <v>1061343</v>
      </c>
      <c r="D3672" s="0" t="s">
        <v>12264</v>
      </c>
      <c r="E3672" s="0" t="s">
        <v>12265</v>
      </c>
      <c r="F3672" s="0" t="s">
        <v>15</v>
      </c>
      <c r="G3672" s="0" t="s">
        <v>36</v>
      </c>
      <c r="H3672" s="0" t="n">
        <v>44</v>
      </c>
      <c r="I3672" s="0" t="s">
        <v>12269</v>
      </c>
      <c r="J3672" s="0" t="s">
        <v>12270</v>
      </c>
      <c r="K3672" s="0" t="s">
        <v>12271</v>
      </c>
      <c r="L3672" s="0" t="str">
        <f aca="false">HYPERLINK("https://www.ncbi.nlm.nih.gov/nuccore/CP000304.1?report=graph&amp;tracks=[key:gene_model_track,Options:GeneOnly]&amp;mk=1061300:1061319|offset_20|444444,1061324:1061343|offset_44|00cc00,1061353:1061372|offset_73|444444,1061376:1061395|offset_96|444444&amp;v=1061099:1061595&amp;c=444444", "offset 44")</f>
        <v>offset 44</v>
      </c>
    </row>
    <row r="3673" customFormat="false" ht="12.8" hidden="false" customHeight="false" outlineLevel="0" collapsed="false">
      <c r="A3673" s="0" t="s">
        <v>12</v>
      </c>
      <c r="B3673" s="0" t="n">
        <v>1061352</v>
      </c>
      <c r="C3673" s="0" t="n">
        <v>1061372</v>
      </c>
      <c r="D3673" s="0" t="s">
        <v>12264</v>
      </c>
      <c r="E3673" s="0" t="s">
        <v>12265</v>
      </c>
      <c r="F3673" s="0" t="s">
        <v>15</v>
      </c>
      <c r="G3673" s="0" t="s">
        <v>26</v>
      </c>
      <c r="H3673" s="0" t="n">
        <v>73</v>
      </c>
      <c r="I3673" s="0" t="s">
        <v>12272</v>
      </c>
      <c r="J3673" s="0" t="s">
        <v>12273</v>
      </c>
      <c r="K3673" s="0" t="s">
        <v>12274</v>
      </c>
      <c r="L3673" s="0" t="str">
        <f aca="false">HYPERLINK("https://www.ncbi.nlm.nih.gov/nuccore/CP000304.1?report=graph&amp;tracks=[key:gene_model_track,Options:GeneOnly]&amp;mk=1061300:1061319|offset_20|444444,1061324:1061343|offset_44|444444,1061353:1061372|offset_73|00cc00,1061376:1061395|offset_96|444444&amp;v=1061099:1061595&amp;c=444444", "offset 73")</f>
        <v>offset 73</v>
      </c>
    </row>
    <row r="3674" customFormat="false" ht="12.8" hidden="false" customHeight="false" outlineLevel="0" collapsed="false">
      <c r="A3674" s="0" t="s">
        <v>12</v>
      </c>
      <c r="B3674" s="0" t="n">
        <v>1061375</v>
      </c>
      <c r="C3674" s="0" t="n">
        <v>1061395</v>
      </c>
      <c r="D3674" s="0" t="s">
        <v>12264</v>
      </c>
      <c r="E3674" s="0" t="s">
        <v>12265</v>
      </c>
      <c r="F3674" s="0" t="s">
        <v>15</v>
      </c>
      <c r="G3674" s="0" t="s">
        <v>32</v>
      </c>
      <c r="H3674" s="0" t="n">
        <v>96</v>
      </c>
      <c r="I3674" s="0" t="s">
        <v>12275</v>
      </c>
      <c r="J3674" s="0" t="s">
        <v>12276</v>
      </c>
      <c r="K3674" s="0" t="s">
        <v>12277</v>
      </c>
      <c r="L3674" s="0" t="str">
        <f aca="false">HYPERLINK("https://www.ncbi.nlm.nih.gov/nuccore/CP000304.1?report=graph&amp;tracks=[key:gene_model_track,Options:GeneOnly]&amp;mk=1061300:1061319|offset_20|444444,1061324:1061343|offset_44|444444,1061353:1061372|offset_73|444444,1061376:1061395|offset_96|00cc00&amp;v=1061099:1061595&amp;c=444444", "offset 96")</f>
        <v>offset 96</v>
      </c>
    </row>
    <row r="3675" customFormat="false" ht="12.8" hidden="false" customHeight="false" outlineLevel="0" collapsed="false">
      <c r="A3675" s="0" t="s">
        <v>12</v>
      </c>
      <c r="B3675" s="0" t="n">
        <v>1061807</v>
      </c>
      <c r="C3675" s="0" t="n">
        <v>1061827</v>
      </c>
      <c r="D3675" s="0" t="s">
        <v>12278</v>
      </c>
      <c r="E3675" s="0" t="s">
        <v>12279</v>
      </c>
      <c r="F3675" s="0" t="s">
        <v>15</v>
      </c>
      <c r="G3675" s="0" t="s">
        <v>36</v>
      </c>
      <c r="H3675" s="0" t="n">
        <v>31</v>
      </c>
      <c r="I3675" s="0" t="s">
        <v>12280</v>
      </c>
      <c r="J3675" s="0" t="s">
        <v>12281</v>
      </c>
      <c r="K3675" s="0" t="s">
        <v>12282</v>
      </c>
      <c r="L3675" s="0" t="str">
        <f aca="false">HYPERLINK("https://www.ncbi.nlm.nih.gov/nuccore/CP000304.1?report=graph&amp;tracks=[key:gene_model_track,Options:GeneOnly]&amp;mk=1061808:1061827|offset_31|00cc00,1061832:1061851|offset_55|444444,1061877:1061896|offset_100|444444,1061907:1061926|offset_130|444444&amp;v=1061607:1062126&amp;c=444444", "offset 31")</f>
        <v>offset 31</v>
      </c>
    </row>
    <row r="3676" customFormat="false" ht="12.8" hidden="false" customHeight="false" outlineLevel="0" collapsed="false">
      <c r="A3676" s="0" t="s">
        <v>12</v>
      </c>
      <c r="B3676" s="0" t="n">
        <v>1061831</v>
      </c>
      <c r="C3676" s="0" t="n">
        <v>1061851</v>
      </c>
      <c r="D3676" s="0" t="s">
        <v>12278</v>
      </c>
      <c r="E3676" s="0" t="s">
        <v>12279</v>
      </c>
      <c r="F3676" s="0" t="s">
        <v>15</v>
      </c>
      <c r="G3676" s="0" t="s">
        <v>32</v>
      </c>
      <c r="H3676" s="0" t="n">
        <v>55</v>
      </c>
      <c r="I3676" s="0" t="s">
        <v>12283</v>
      </c>
      <c r="J3676" s="0" t="s">
        <v>12284</v>
      </c>
      <c r="K3676" s="0" t="s">
        <v>12285</v>
      </c>
      <c r="L3676" s="0" t="str">
        <f aca="false">HYPERLINK("https://www.ncbi.nlm.nih.gov/nuccore/CP000304.1?report=graph&amp;tracks=[key:gene_model_track,Options:GeneOnly]&amp;mk=1061808:1061827|offset_31|444444,1061832:1061851|offset_55|00cc00,1061877:1061896|offset_100|444444,1061907:1061926|offset_130|444444&amp;v=1061607:1062126&amp;c=444444", "offset 55")</f>
        <v>offset 55</v>
      </c>
    </row>
    <row r="3677" customFormat="false" ht="12.8" hidden="false" customHeight="false" outlineLevel="0" collapsed="false">
      <c r="A3677" s="0" t="s">
        <v>12</v>
      </c>
      <c r="B3677" s="0" t="n">
        <v>1061876</v>
      </c>
      <c r="C3677" s="0" t="n">
        <v>1061896</v>
      </c>
      <c r="D3677" s="0" t="s">
        <v>12278</v>
      </c>
      <c r="E3677" s="0" t="s">
        <v>12279</v>
      </c>
      <c r="F3677" s="0" t="s">
        <v>15</v>
      </c>
      <c r="G3677" s="0" t="s">
        <v>16</v>
      </c>
      <c r="H3677" s="0" t="n">
        <v>100</v>
      </c>
      <c r="I3677" s="0" t="s">
        <v>12286</v>
      </c>
      <c r="J3677" s="0" t="s">
        <v>12287</v>
      </c>
      <c r="K3677" s="0" t="s">
        <v>12288</v>
      </c>
      <c r="L3677" s="0" t="str">
        <f aca="false">HYPERLINK("https://www.ncbi.nlm.nih.gov/nuccore/CP000304.1?report=graph&amp;tracks=[key:gene_model_track,Options:GeneOnly]&amp;mk=1061808:1061827|offset_31|444444,1061832:1061851|offset_55|444444,1061877:1061896|offset_100|00cc00,1061907:1061926|offset_130|444444&amp;v=1061607:1062126&amp;c=444444", "offset 100")</f>
        <v>offset 100</v>
      </c>
    </row>
    <row r="3678" customFormat="false" ht="12.8" hidden="false" customHeight="false" outlineLevel="0" collapsed="false">
      <c r="A3678" s="0" t="s">
        <v>12</v>
      </c>
      <c r="B3678" s="0" t="n">
        <v>1061906</v>
      </c>
      <c r="C3678" s="0" t="n">
        <v>1061926</v>
      </c>
      <c r="D3678" s="0" t="s">
        <v>12278</v>
      </c>
      <c r="E3678" s="0" t="s">
        <v>12279</v>
      </c>
      <c r="F3678" s="0" t="s">
        <v>15</v>
      </c>
      <c r="G3678" s="0" t="s">
        <v>36</v>
      </c>
      <c r="H3678" s="0" t="n">
        <v>130</v>
      </c>
      <c r="I3678" s="0" t="s">
        <v>12289</v>
      </c>
      <c r="J3678" s="0" t="s">
        <v>12290</v>
      </c>
      <c r="K3678" s="0" t="s">
        <v>12291</v>
      </c>
      <c r="L3678" s="0" t="str">
        <f aca="false">HYPERLINK("https://www.ncbi.nlm.nih.gov/nuccore/CP000304.1?report=graph&amp;tracks=[key:gene_model_track,Options:GeneOnly]&amp;mk=1061808:1061827|offset_31|444444,1061832:1061851|offset_55|444444,1061877:1061896|offset_100|444444,1061907:1061926|offset_130|00cc00&amp;v=1061607:1062126&amp;c=444444", "offset 130")</f>
        <v>offset 130</v>
      </c>
    </row>
    <row r="3679" customFormat="false" ht="12.8" hidden="false" customHeight="false" outlineLevel="0" collapsed="false">
      <c r="A3679" s="0" t="s">
        <v>12</v>
      </c>
      <c r="B3679" s="0" t="n">
        <v>1062191</v>
      </c>
      <c r="C3679" s="0" t="n">
        <v>1062211</v>
      </c>
      <c r="D3679" s="0" t="s">
        <v>12292</v>
      </c>
      <c r="E3679" s="0" t="s">
        <v>12293</v>
      </c>
      <c r="F3679" s="0" t="s">
        <v>15</v>
      </c>
      <c r="G3679" s="0" t="s">
        <v>36</v>
      </c>
      <c r="H3679" s="0" t="n">
        <v>0</v>
      </c>
      <c r="I3679" s="0" t="s">
        <v>12294</v>
      </c>
      <c r="J3679" s="0" t="s">
        <v>12295</v>
      </c>
      <c r="K3679" s="0" t="s">
        <v>12296</v>
      </c>
      <c r="L3679" s="0" t="str">
        <f aca="false">HYPERLINK("https://www.ncbi.nlm.nih.gov/nuccore/CP000304.1?report=graph&amp;tracks=[key:gene_model_track,Options:GeneOnly]&amp;mk=1062192:1062211|offset_0|00cc00,1062232:1062251|offset_40|444444,1062263:1062282|offset_71|444444,1062293:1062312|offset_101|444444&amp;v=1061991:1062512&amp;c=444444", "offset 0")</f>
        <v>offset 0</v>
      </c>
    </row>
    <row r="3680" customFormat="false" ht="12.8" hidden="false" customHeight="false" outlineLevel="0" collapsed="false">
      <c r="A3680" s="0" t="s">
        <v>12</v>
      </c>
      <c r="B3680" s="0" t="n">
        <v>1062231</v>
      </c>
      <c r="C3680" s="0" t="n">
        <v>1062251</v>
      </c>
      <c r="D3680" s="0" t="s">
        <v>12292</v>
      </c>
      <c r="E3680" s="0" t="s">
        <v>12293</v>
      </c>
      <c r="F3680" s="0" t="s">
        <v>15</v>
      </c>
      <c r="G3680" s="0" t="s">
        <v>16</v>
      </c>
      <c r="H3680" s="0" t="n">
        <v>40</v>
      </c>
      <c r="I3680" s="0" t="s">
        <v>12297</v>
      </c>
      <c r="J3680" s="0" t="s">
        <v>12298</v>
      </c>
      <c r="K3680" s="0" t="s">
        <v>12299</v>
      </c>
      <c r="L3680" s="0" t="str">
        <f aca="false">HYPERLINK("https://www.ncbi.nlm.nih.gov/nuccore/CP000304.1?report=graph&amp;tracks=[key:gene_model_track,Options:GeneOnly]&amp;mk=1062192:1062211|offset_0|444444,1062232:1062251|offset_40|00cc00,1062263:1062282|offset_71|444444,1062293:1062312|offset_101|444444&amp;v=1061991:1062512&amp;c=444444", "offset 40")</f>
        <v>offset 40</v>
      </c>
    </row>
    <row r="3681" customFormat="false" ht="12.8" hidden="false" customHeight="false" outlineLevel="0" collapsed="false">
      <c r="A3681" s="0" t="s">
        <v>12</v>
      </c>
      <c r="B3681" s="0" t="n">
        <v>1062262</v>
      </c>
      <c r="C3681" s="0" t="n">
        <v>1062282</v>
      </c>
      <c r="D3681" s="0" t="s">
        <v>12292</v>
      </c>
      <c r="E3681" s="0" t="s">
        <v>12293</v>
      </c>
      <c r="F3681" s="0" t="s">
        <v>15</v>
      </c>
      <c r="G3681" s="0" t="s">
        <v>16</v>
      </c>
      <c r="H3681" s="0" t="n">
        <v>71</v>
      </c>
      <c r="I3681" s="0" t="s">
        <v>12300</v>
      </c>
      <c r="J3681" s="0" t="s">
        <v>12301</v>
      </c>
      <c r="K3681" s="0" t="s">
        <v>12302</v>
      </c>
      <c r="L3681" s="0" t="str">
        <f aca="false">HYPERLINK("https://www.ncbi.nlm.nih.gov/nuccore/CP000304.1?report=graph&amp;tracks=[key:gene_model_track,Options:GeneOnly]&amp;mk=1062192:1062211|offset_0|444444,1062232:1062251|offset_40|444444,1062263:1062282|offset_71|00cc00,1062293:1062312|offset_101|444444&amp;v=1061991:1062512&amp;c=444444", "offset 71")</f>
        <v>offset 71</v>
      </c>
    </row>
    <row r="3682" customFormat="false" ht="12.8" hidden="false" customHeight="false" outlineLevel="0" collapsed="false">
      <c r="A3682" s="0" t="s">
        <v>12</v>
      </c>
      <c r="B3682" s="0" t="n">
        <v>1062292</v>
      </c>
      <c r="C3682" s="0" t="n">
        <v>1062312</v>
      </c>
      <c r="D3682" s="0" t="s">
        <v>12292</v>
      </c>
      <c r="E3682" s="0" t="s">
        <v>12293</v>
      </c>
      <c r="F3682" s="0" t="s">
        <v>15</v>
      </c>
      <c r="G3682" s="0" t="s">
        <v>36</v>
      </c>
      <c r="H3682" s="0" t="n">
        <v>101</v>
      </c>
      <c r="I3682" s="0" t="s">
        <v>12303</v>
      </c>
      <c r="J3682" s="0" t="s">
        <v>12304</v>
      </c>
      <c r="K3682" s="0" t="s">
        <v>12305</v>
      </c>
      <c r="L3682" s="0" t="str">
        <f aca="false">HYPERLINK("https://www.ncbi.nlm.nih.gov/nuccore/CP000304.1?report=graph&amp;tracks=[key:gene_model_track,Options:GeneOnly]&amp;mk=1062192:1062211|offset_0|444444,1062232:1062251|offset_40|444444,1062263:1062282|offset_71|444444,1062293:1062312|offset_101|00cc00&amp;v=1061991:1062512&amp;c=444444", "offset 101")</f>
        <v>offset 101</v>
      </c>
    </row>
    <row r="3683" customFormat="false" ht="12.8" hidden="false" customHeight="false" outlineLevel="0" collapsed="false">
      <c r="A3683" s="0" t="s">
        <v>12</v>
      </c>
      <c r="B3683" s="0" t="n">
        <v>1063579</v>
      </c>
      <c r="C3683" s="0" t="n">
        <v>1063599</v>
      </c>
      <c r="D3683" s="0" t="s">
        <v>12306</v>
      </c>
      <c r="E3683" s="0" t="s">
        <v>12307</v>
      </c>
      <c r="F3683" s="0" t="s">
        <v>15</v>
      </c>
      <c r="G3683" s="0" t="s">
        <v>16</v>
      </c>
      <c r="H3683" s="0" t="n">
        <v>64</v>
      </c>
      <c r="I3683" s="0" t="s">
        <v>12308</v>
      </c>
      <c r="J3683" s="0" t="s">
        <v>12309</v>
      </c>
      <c r="K3683" s="0" t="s">
        <v>12310</v>
      </c>
      <c r="L3683" s="0" t="str">
        <f aca="false">HYPERLINK("https://www.ncbi.nlm.nih.gov/nuccore/CP000304.1?report=graph&amp;tracks=[key:gene_model_track,Options:GeneOnly]&amp;mk=1063580:1063599|offset_64|00cc00,1063629:1063648|offset_113|444444,1063679:1063698|offset_163|444444,1063725:1063744|offset_209|444444&amp;v=1063379:1063944&amp;c=444444", "offset 64")</f>
        <v>offset 64</v>
      </c>
    </row>
    <row r="3684" customFormat="false" ht="12.8" hidden="false" customHeight="false" outlineLevel="0" collapsed="false">
      <c r="A3684" s="0" t="s">
        <v>12</v>
      </c>
      <c r="B3684" s="0" t="n">
        <v>1063628</v>
      </c>
      <c r="C3684" s="0" t="n">
        <v>1063648</v>
      </c>
      <c r="D3684" s="0" t="s">
        <v>12306</v>
      </c>
      <c r="E3684" s="0" t="s">
        <v>12307</v>
      </c>
      <c r="F3684" s="0" t="s">
        <v>15</v>
      </c>
      <c r="G3684" s="0" t="s">
        <v>32</v>
      </c>
      <c r="H3684" s="0" t="n">
        <v>113</v>
      </c>
      <c r="I3684" s="0" t="s">
        <v>12311</v>
      </c>
      <c r="J3684" s="0" t="s">
        <v>12312</v>
      </c>
      <c r="K3684" s="0" t="s">
        <v>12313</v>
      </c>
      <c r="L3684" s="0" t="str">
        <f aca="false">HYPERLINK("https://www.ncbi.nlm.nih.gov/nuccore/CP000304.1?report=graph&amp;tracks=[key:gene_model_track,Options:GeneOnly]&amp;mk=1063580:1063599|offset_64|444444,1063629:1063648|offset_113|00cc00,1063679:1063698|offset_163|444444,1063725:1063744|offset_209|444444&amp;v=1063379:1063944&amp;c=444444", "offset 113")</f>
        <v>offset 113</v>
      </c>
    </row>
    <row r="3685" customFormat="false" ht="12.8" hidden="false" customHeight="false" outlineLevel="0" collapsed="false">
      <c r="A3685" s="0" t="s">
        <v>12</v>
      </c>
      <c r="B3685" s="0" t="n">
        <v>1063678</v>
      </c>
      <c r="C3685" s="0" t="n">
        <v>1063698</v>
      </c>
      <c r="D3685" s="0" t="s">
        <v>12306</v>
      </c>
      <c r="E3685" s="0" t="s">
        <v>12307</v>
      </c>
      <c r="F3685" s="0" t="s">
        <v>15</v>
      </c>
      <c r="G3685" s="0" t="s">
        <v>16</v>
      </c>
      <c r="H3685" s="0" t="n">
        <v>163</v>
      </c>
      <c r="I3685" s="0" t="s">
        <v>12314</v>
      </c>
      <c r="J3685" s="0" t="s">
        <v>12315</v>
      </c>
      <c r="K3685" s="0" t="s">
        <v>12316</v>
      </c>
      <c r="L3685" s="0" t="str">
        <f aca="false">HYPERLINK("https://www.ncbi.nlm.nih.gov/nuccore/CP000304.1?report=graph&amp;tracks=[key:gene_model_track,Options:GeneOnly]&amp;mk=1063580:1063599|offset_64|444444,1063629:1063648|offset_113|444444,1063679:1063698|offset_163|00cc00,1063725:1063744|offset_209|444444&amp;v=1063379:1063944&amp;c=444444", "offset 163")</f>
        <v>offset 163</v>
      </c>
    </row>
    <row r="3686" customFormat="false" ht="12.8" hidden="false" customHeight="false" outlineLevel="0" collapsed="false">
      <c r="A3686" s="0" t="s">
        <v>12</v>
      </c>
      <c r="B3686" s="0" t="n">
        <v>1063724</v>
      </c>
      <c r="C3686" s="0" t="n">
        <v>1063744</v>
      </c>
      <c r="D3686" s="0" t="s">
        <v>12306</v>
      </c>
      <c r="E3686" s="0" t="s">
        <v>12307</v>
      </c>
      <c r="F3686" s="0" t="s">
        <v>15</v>
      </c>
      <c r="G3686" s="0" t="s">
        <v>36</v>
      </c>
      <c r="H3686" s="0" t="n">
        <v>209</v>
      </c>
      <c r="I3686" s="0" t="s">
        <v>12317</v>
      </c>
      <c r="J3686" s="0" t="s">
        <v>12318</v>
      </c>
      <c r="K3686" s="0" t="s">
        <v>12319</v>
      </c>
      <c r="L3686" s="0" t="str">
        <f aca="false">HYPERLINK("https://www.ncbi.nlm.nih.gov/nuccore/CP000304.1?report=graph&amp;tracks=[key:gene_model_track,Options:GeneOnly]&amp;mk=1063580:1063599|offset_64|444444,1063629:1063648|offset_113|444444,1063679:1063698|offset_163|444444,1063725:1063744|offset_209|00cc00&amp;v=1063379:1063944&amp;c=444444", "offset 209")</f>
        <v>offset 209</v>
      </c>
    </row>
    <row r="3687" customFormat="false" ht="12.8" hidden="false" customHeight="false" outlineLevel="0" collapsed="false">
      <c r="A3687" s="0" t="s">
        <v>12</v>
      </c>
      <c r="B3687" s="0" t="n">
        <v>1064643</v>
      </c>
      <c r="C3687" s="0" t="n">
        <v>1064663</v>
      </c>
      <c r="D3687" s="0" t="s">
        <v>12320</v>
      </c>
      <c r="E3687" s="0" t="s">
        <v>12321</v>
      </c>
      <c r="F3687" s="0" t="s">
        <v>15</v>
      </c>
      <c r="G3687" s="0" t="s">
        <v>32</v>
      </c>
      <c r="H3687" s="0" t="n">
        <v>1</v>
      </c>
      <c r="I3687" s="0" t="s">
        <v>12322</v>
      </c>
      <c r="J3687" s="0" t="s">
        <v>12323</v>
      </c>
      <c r="K3687" s="0" t="s">
        <v>12324</v>
      </c>
      <c r="L3687" s="0" t="str">
        <f aca="false">HYPERLINK("https://www.ncbi.nlm.nih.gov/nuccore/CP000304.1?report=graph&amp;tracks=[key:gene_model_track,Options:GeneOnly]&amp;mk=1064644:1064663|offset_1|00cc00,1064683:1064702|offset_40|444444,1064748:1064767|offset_105|444444,1064783:1064802|offset_140|444444&amp;v=1064443:1065002&amp;c=444444", "offset 1")</f>
        <v>offset 1</v>
      </c>
    </row>
    <row r="3688" customFormat="false" ht="12.8" hidden="false" customHeight="false" outlineLevel="0" collapsed="false">
      <c r="A3688" s="0" t="s">
        <v>12</v>
      </c>
      <c r="B3688" s="0" t="n">
        <v>1064682</v>
      </c>
      <c r="C3688" s="0" t="n">
        <v>1064702</v>
      </c>
      <c r="D3688" s="0" t="s">
        <v>12320</v>
      </c>
      <c r="E3688" s="0" t="s">
        <v>12321</v>
      </c>
      <c r="F3688" s="0" t="s">
        <v>15</v>
      </c>
      <c r="G3688" s="0" t="s">
        <v>36</v>
      </c>
      <c r="H3688" s="0" t="n">
        <v>40</v>
      </c>
      <c r="I3688" s="0" t="s">
        <v>12325</v>
      </c>
      <c r="J3688" s="0" t="s">
        <v>12326</v>
      </c>
      <c r="K3688" s="0" t="s">
        <v>12327</v>
      </c>
      <c r="L3688" s="0" t="str">
        <f aca="false">HYPERLINK("https://www.ncbi.nlm.nih.gov/nuccore/CP000304.1?report=graph&amp;tracks=[key:gene_model_track,Options:GeneOnly]&amp;mk=1064644:1064663|offset_1|444444,1064683:1064702|offset_40|00cc00,1064748:1064767|offset_105|444444,1064783:1064802|offset_140|444444&amp;v=1064443:1065002&amp;c=444444", "offset 40")</f>
        <v>offset 40</v>
      </c>
    </row>
    <row r="3689" customFormat="false" ht="12.8" hidden="false" customHeight="false" outlineLevel="0" collapsed="false">
      <c r="A3689" s="0" t="s">
        <v>12</v>
      </c>
      <c r="B3689" s="0" t="n">
        <v>1064747</v>
      </c>
      <c r="C3689" s="0" t="n">
        <v>1064767</v>
      </c>
      <c r="D3689" s="0" t="s">
        <v>12320</v>
      </c>
      <c r="E3689" s="0" t="s">
        <v>12321</v>
      </c>
      <c r="F3689" s="0" t="s">
        <v>15</v>
      </c>
      <c r="G3689" s="0" t="s">
        <v>16</v>
      </c>
      <c r="H3689" s="0" t="n">
        <v>105</v>
      </c>
      <c r="I3689" s="0" t="s">
        <v>12328</v>
      </c>
      <c r="J3689" s="0" t="s">
        <v>12329</v>
      </c>
      <c r="K3689" s="0" t="s">
        <v>12330</v>
      </c>
      <c r="L3689" s="0" t="str">
        <f aca="false">HYPERLINK("https://www.ncbi.nlm.nih.gov/nuccore/CP000304.1?report=graph&amp;tracks=[key:gene_model_track,Options:GeneOnly]&amp;mk=1064644:1064663|offset_1|444444,1064683:1064702|offset_40|444444,1064748:1064767|offset_105|00cc00,1064783:1064802|offset_140|444444&amp;v=1064443:1065002&amp;c=444444", "offset 105")</f>
        <v>offset 105</v>
      </c>
    </row>
    <row r="3690" customFormat="false" ht="12.8" hidden="false" customHeight="false" outlineLevel="0" collapsed="false">
      <c r="A3690" s="0" t="s">
        <v>12</v>
      </c>
      <c r="B3690" s="0" t="n">
        <v>1064782</v>
      </c>
      <c r="C3690" s="0" t="n">
        <v>1064802</v>
      </c>
      <c r="D3690" s="0" t="s">
        <v>12320</v>
      </c>
      <c r="E3690" s="0" t="s">
        <v>12321</v>
      </c>
      <c r="F3690" s="0" t="s">
        <v>15</v>
      </c>
      <c r="G3690" s="0" t="s">
        <v>36</v>
      </c>
      <c r="H3690" s="0" t="n">
        <v>140</v>
      </c>
      <c r="I3690" s="0" t="s">
        <v>12331</v>
      </c>
      <c r="J3690" s="0" t="s">
        <v>12332</v>
      </c>
      <c r="K3690" s="0" t="s">
        <v>12333</v>
      </c>
      <c r="L3690" s="0" t="str">
        <f aca="false">HYPERLINK("https://www.ncbi.nlm.nih.gov/nuccore/CP000304.1?report=graph&amp;tracks=[key:gene_model_track,Options:GeneOnly]&amp;mk=1064644:1064663|offset_1|444444,1064683:1064702|offset_40|444444,1064748:1064767|offset_105|444444,1064783:1064802|offset_140|00cc00&amp;v=1064443:1065002&amp;c=444444", "offset 140")</f>
        <v>offset 140</v>
      </c>
    </row>
    <row r="3691" customFormat="false" ht="12.8" hidden="false" customHeight="false" outlineLevel="0" collapsed="false">
      <c r="A3691" s="0" t="s">
        <v>12</v>
      </c>
      <c r="B3691" s="0" t="n">
        <v>1065448</v>
      </c>
      <c r="C3691" s="0" t="n">
        <v>1065468</v>
      </c>
      <c r="D3691" s="0" t="s">
        <v>12334</v>
      </c>
      <c r="E3691" s="0" t="s">
        <v>12335</v>
      </c>
      <c r="F3691" s="0" t="s">
        <v>90</v>
      </c>
      <c r="G3691" s="0" t="s">
        <v>32</v>
      </c>
      <c r="H3691" s="0" t="n">
        <v>7</v>
      </c>
      <c r="I3691" s="0" t="s">
        <v>12336</v>
      </c>
      <c r="J3691" s="0" t="s">
        <v>12337</v>
      </c>
      <c r="K3691" s="0" t="s">
        <v>12338</v>
      </c>
      <c r="L3691" s="0" t="str">
        <f aca="false">HYPERLINK("https://www.ncbi.nlm.nih.gov/nuccore/CP000304.1?report=graph&amp;tracks=[key:gene_model_track,Options:GeneOnly]&amp;mk=1065449:1065468|offset_7|00cc00,1065397:1065416|offset_59|444444,1065377:1065396|offset_79|444444,1065341:1065360|offset_115|444444&amp;v=1065248:1065560&amp;c=444444", "offset 7")</f>
        <v>offset 7</v>
      </c>
    </row>
    <row r="3692" customFormat="false" ht="12.8" hidden="false" customHeight="false" outlineLevel="0" collapsed="false">
      <c r="A3692" s="0" t="s">
        <v>12</v>
      </c>
      <c r="B3692" s="0" t="n">
        <v>1065396</v>
      </c>
      <c r="C3692" s="0" t="n">
        <v>1065416</v>
      </c>
      <c r="D3692" s="0" t="s">
        <v>12334</v>
      </c>
      <c r="E3692" s="0" t="s">
        <v>12335</v>
      </c>
      <c r="F3692" s="0" t="s">
        <v>90</v>
      </c>
      <c r="G3692" s="0" t="s">
        <v>32</v>
      </c>
      <c r="H3692" s="0" t="n">
        <v>59</v>
      </c>
      <c r="I3692" s="0" t="s">
        <v>12339</v>
      </c>
      <c r="J3692" s="0" t="s">
        <v>12340</v>
      </c>
      <c r="K3692" s="0" t="s">
        <v>12341</v>
      </c>
      <c r="L3692" s="0" t="str">
        <f aca="false">HYPERLINK("https://www.ncbi.nlm.nih.gov/nuccore/CP000304.1?report=graph&amp;tracks=[key:gene_model_track,Options:GeneOnly]&amp;mk=1065449:1065468|offset_7|444444,1065397:1065416|offset_59|00cc00,1065377:1065396|offset_79|444444,1065341:1065360|offset_115|444444&amp;v=1065248:1065560&amp;c=444444", "offset 59")</f>
        <v>offset 59</v>
      </c>
    </row>
    <row r="3693" customFormat="false" ht="12.8" hidden="false" customHeight="false" outlineLevel="0" collapsed="false">
      <c r="A3693" s="0" t="s">
        <v>12</v>
      </c>
      <c r="B3693" s="0" t="n">
        <v>1065376</v>
      </c>
      <c r="C3693" s="0" t="n">
        <v>1065396</v>
      </c>
      <c r="D3693" s="0" t="s">
        <v>12334</v>
      </c>
      <c r="E3693" s="0" t="s">
        <v>12335</v>
      </c>
      <c r="F3693" s="0" t="s">
        <v>90</v>
      </c>
      <c r="G3693" s="0" t="s">
        <v>32</v>
      </c>
      <c r="H3693" s="0" t="n">
        <v>79</v>
      </c>
      <c r="I3693" s="0" t="s">
        <v>12342</v>
      </c>
      <c r="J3693" s="0" t="s">
        <v>12343</v>
      </c>
      <c r="K3693" s="0" t="s">
        <v>12344</v>
      </c>
      <c r="L3693" s="0" t="str">
        <f aca="false">HYPERLINK("https://www.ncbi.nlm.nih.gov/nuccore/CP000304.1?report=graph&amp;tracks=[key:gene_model_track,Options:GeneOnly]&amp;mk=1065449:1065468|offset_7|444444,1065397:1065416|offset_59|444444,1065377:1065396|offset_79|00cc00,1065341:1065360|offset_115|444444&amp;v=1065248:1065560&amp;c=444444", "offset 79")</f>
        <v>offset 79</v>
      </c>
    </row>
    <row r="3694" customFormat="false" ht="12.8" hidden="false" customHeight="false" outlineLevel="0" collapsed="false">
      <c r="A3694" s="0" t="s">
        <v>12</v>
      </c>
      <c r="B3694" s="0" t="n">
        <v>1065340</v>
      </c>
      <c r="C3694" s="0" t="n">
        <v>1065360</v>
      </c>
      <c r="D3694" s="0" t="s">
        <v>12334</v>
      </c>
      <c r="E3694" s="0" t="s">
        <v>12335</v>
      </c>
      <c r="F3694" s="0" t="s">
        <v>90</v>
      </c>
      <c r="G3694" s="0" t="s">
        <v>32</v>
      </c>
      <c r="H3694" s="0" t="n">
        <v>115</v>
      </c>
      <c r="I3694" s="0" t="s">
        <v>12345</v>
      </c>
      <c r="J3694" s="0" t="s">
        <v>12346</v>
      </c>
      <c r="K3694" s="0" t="s">
        <v>12347</v>
      </c>
      <c r="L3694" s="0" t="str">
        <f aca="false">HYPERLINK("https://www.ncbi.nlm.nih.gov/nuccore/CP000304.1?report=graph&amp;tracks=[key:gene_model_track,Options:GeneOnly]&amp;mk=1065449:1065468|offset_7|444444,1065397:1065416|offset_59|444444,1065377:1065396|offset_79|444444,1065341:1065360|offset_115|00cc00&amp;v=1065248:1065560&amp;c=444444", "offset 115")</f>
        <v>offset 115</v>
      </c>
    </row>
    <row r="3695" customFormat="false" ht="12.8" hidden="false" customHeight="false" outlineLevel="0" collapsed="false">
      <c r="A3695" s="0" t="s">
        <v>12</v>
      </c>
      <c r="B3695" s="0" t="n">
        <v>1065703</v>
      </c>
      <c r="C3695" s="0" t="n">
        <v>1065723</v>
      </c>
      <c r="D3695" s="0" t="s">
        <v>12348</v>
      </c>
      <c r="E3695" s="0" t="s">
        <v>89</v>
      </c>
      <c r="F3695" s="0" t="s">
        <v>15</v>
      </c>
      <c r="G3695" s="0" t="s">
        <v>16</v>
      </c>
      <c r="H3695" s="0" t="n">
        <v>7</v>
      </c>
      <c r="I3695" s="0" t="s">
        <v>12349</v>
      </c>
      <c r="J3695" s="0" t="s">
        <v>12350</v>
      </c>
      <c r="K3695" s="0" t="s">
        <v>12351</v>
      </c>
      <c r="L3695" s="0" t="str">
        <f aca="false">HYPERLINK("https://www.ncbi.nlm.nih.gov/nuccore/CP000304.1?report=graph&amp;tracks=[key:gene_model_track,Options:GeneOnly]&amp;mk=1065704:1065723|offset_7|00cc00,1065737:1065756|offset_40|444444,1065761:1065780|offset_64|444444,1065806:1065825|offset_109|444444&amp;v=1065503:1066025&amp;c=444444", "offset 7")</f>
        <v>offset 7</v>
      </c>
    </row>
    <row r="3696" customFormat="false" ht="12.8" hidden="false" customHeight="false" outlineLevel="0" collapsed="false">
      <c r="A3696" s="0" t="s">
        <v>12</v>
      </c>
      <c r="B3696" s="0" t="n">
        <v>1065736</v>
      </c>
      <c r="C3696" s="0" t="n">
        <v>1065756</v>
      </c>
      <c r="D3696" s="0" t="s">
        <v>12348</v>
      </c>
      <c r="E3696" s="0" t="s">
        <v>89</v>
      </c>
      <c r="F3696" s="0" t="s">
        <v>15</v>
      </c>
      <c r="G3696" s="0" t="s">
        <v>32</v>
      </c>
      <c r="H3696" s="0" t="n">
        <v>40</v>
      </c>
      <c r="I3696" s="0" t="s">
        <v>12352</v>
      </c>
      <c r="J3696" s="0" t="s">
        <v>12353</v>
      </c>
      <c r="K3696" s="0" t="s">
        <v>12354</v>
      </c>
      <c r="L3696" s="0" t="str">
        <f aca="false">HYPERLINK("https://www.ncbi.nlm.nih.gov/nuccore/CP000304.1?report=graph&amp;tracks=[key:gene_model_track,Options:GeneOnly]&amp;mk=1065704:1065723|offset_7|444444,1065737:1065756|offset_40|00cc00,1065761:1065780|offset_64|444444,1065806:1065825|offset_109|444444&amp;v=1065503:1066025&amp;c=444444", "offset 40")</f>
        <v>offset 40</v>
      </c>
    </row>
    <row r="3697" customFormat="false" ht="12.8" hidden="false" customHeight="false" outlineLevel="0" collapsed="false">
      <c r="A3697" s="0" t="s">
        <v>12</v>
      </c>
      <c r="B3697" s="0" t="n">
        <v>1065760</v>
      </c>
      <c r="C3697" s="0" t="n">
        <v>1065780</v>
      </c>
      <c r="D3697" s="0" t="s">
        <v>12348</v>
      </c>
      <c r="E3697" s="0" t="s">
        <v>89</v>
      </c>
      <c r="F3697" s="0" t="s">
        <v>15</v>
      </c>
      <c r="G3697" s="0" t="s">
        <v>36</v>
      </c>
      <c r="H3697" s="0" t="n">
        <v>64</v>
      </c>
      <c r="I3697" s="0" t="s">
        <v>12355</v>
      </c>
      <c r="J3697" s="0" t="s">
        <v>12356</v>
      </c>
      <c r="K3697" s="0" t="s">
        <v>12357</v>
      </c>
      <c r="L3697" s="0" t="str">
        <f aca="false">HYPERLINK("https://www.ncbi.nlm.nih.gov/nuccore/CP000304.1?report=graph&amp;tracks=[key:gene_model_track,Options:GeneOnly]&amp;mk=1065704:1065723|offset_7|444444,1065737:1065756|offset_40|444444,1065761:1065780|offset_64|00cc00,1065806:1065825|offset_109|444444&amp;v=1065503:1066025&amp;c=444444", "offset 64")</f>
        <v>offset 64</v>
      </c>
    </row>
    <row r="3698" customFormat="false" ht="12.8" hidden="false" customHeight="false" outlineLevel="0" collapsed="false">
      <c r="A3698" s="0" t="s">
        <v>12</v>
      </c>
      <c r="B3698" s="0" t="n">
        <v>1065805</v>
      </c>
      <c r="C3698" s="0" t="n">
        <v>1065825</v>
      </c>
      <c r="D3698" s="0" t="s">
        <v>12348</v>
      </c>
      <c r="E3698" s="0" t="s">
        <v>89</v>
      </c>
      <c r="F3698" s="0" t="s">
        <v>15</v>
      </c>
      <c r="G3698" s="0" t="s">
        <v>32</v>
      </c>
      <c r="H3698" s="0" t="n">
        <v>109</v>
      </c>
      <c r="I3698" s="0" t="s">
        <v>12358</v>
      </c>
      <c r="J3698" s="0" t="s">
        <v>12359</v>
      </c>
      <c r="K3698" s="0" t="s">
        <v>12360</v>
      </c>
      <c r="L3698" s="0" t="str">
        <f aca="false">HYPERLINK("https://www.ncbi.nlm.nih.gov/nuccore/CP000304.1?report=graph&amp;tracks=[key:gene_model_track,Options:GeneOnly]&amp;mk=1065704:1065723|offset_7|444444,1065737:1065756|offset_40|444444,1065761:1065780|offset_64|444444,1065806:1065825|offset_109|00cc00&amp;v=1065503:1066025&amp;c=444444", "offset 109")</f>
        <v>offset 109</v>
      </c>
    </row>
    <row r="3699" customFormat="false" ht="12.8" hidden="false" customHeight="false" outlineLevel="0" collapsed="false">
      <c r="A3699" s="0" t="s">
        <v>12</v>
      </c>
      <c r="B3699" s="0" t="n">
        <v>1067357</v>
      </c>
      <c r="C3699" s="0" t="n">
        <v>1067377</v>
      </c>
      <c r="D3699" s="0" t="s">
        <v>12361</v>
      </c>
      <c r="E3699" s="0" t="s">
        <v>12362</v>
      </c>
      <c r="F3699" s="0" t="s">
        <v>15</v>
      </c>
      <c r="G3699" s="0" t="s">
        <v>26</v>
      </c>
      <c r="H3699" s="0" t="n">
        <v>29</v>
      </c>
      <c r="I3699" s="0" t="s">
        <v>12363</v>
      </c>
      <c r="J3699" s="0" t="s">
        <v>12364</v>
      </c>
      <c r="K3699" s="0" t="s">
        <v>12365</v>
      </c>
      <c r="L3699" s="0" t="str">
        <f aca="false">HYPERLINK("https://www.ncbi.nlm.nih.gov/nuccore/CP000304.1?report=graph&amp;tracks=[key:gene_model_track,Options:GeneOnly]&amp;mk=1067358:1067377|offset_29|00cc00,1067390:1067409|offset_61|444444,1067415:1067434|offset_86|444444,1067459:1067478|offset_130|444444&amp;v=1067157:1067678&amp;c=444444", "offset 29")</f>
        <v>offset 29</v>
      </c>
    </row>
    <row r="3700" customFormat="false" ht="12.8" hidden="false" customHeight="false" outlineLevel="0" collapsed="false">
      <c r="A3700" s="0" t="s">
        <v>12</v>
      </c>
      <c r="B3700" s="0" t="n">
        <v>1067389</v>
      </c>
      <c r="C3700" s="0" t="n">
        <v>1067409</v>
      </c>
      <c r="D3700" s="0" t="s">
        <v>12361</v>
      </c>
      <c r="E3700" s="0" t="s">
        <v>12362</v>
      </c>
      <c r="F3700" s="0" t="s">
        <v>15</v>
      </c>
      <c r="G3700" s="0" t="s">
        <v>32</v>
      </c>
      <c r="H3700" s="0" t="n">
        <v>61</v>
      </c>
      <c r="I3700" s="0" t="s">
        <v>12366</v>
      </c>
      <c r="J3700" s="0" t="s">
        <v>12367</v>
      </c>
      <c r="K3700" s="0" t="s">
        <v>12368</v>
      </c>
      <c r="L3700" s="0" t="str">
        <f aca="false">HYPERLINK("https://www.ncbi.nlm.nih.gov/nuccore/CP000304.1?report=graph&amp;tracks=[key:gene_model_track,Options:GeneOnly]&amp;mk=1067358:1067377|offset_29|444444,1067390:1067409|offset_61|00cc00,1067415:1067434|offset_86|444444,1067459:1067478|offset_130|444444&amp;v=1067157:1067678&amp;c=444444", "offset 61")</f>
        <v>offset 61</v>
      </c>
    </row>
    <row r="3701" customFormat="false" ht="12.8" hidden="false" customHeight="false" outlineLevel="0" collapsed="false">
      <c r="A3701" s="0" t="s">
        <v>12</v>
      </c>
      <c r="B3701" s="0" t="n">
        <v>1067414</v>
      </c>
      <c r="C3701" s="0" t="n">
        <v>1067434</v>
      </c>
      <c r="D3701" s="0" t="s">
        <v>12361</v>
      </c>
      <c r="E3701" s="0" t="s">
        <v>12362</v>
      </c>
      <c r="F3701" s="0" t="s">
        <v>15</v>
      </c>
      <c r="G3701" s="0" t="s">
        <v>16</v>
      </c>
      <c r="H3701" s="0" t="n">
        <v>86</v>
      </c>
      <c r="I3701" s="0" t="s">
        <v>12369</v>
      </c>
      <c r="J3701" s="0" t="s">
        <v>12370</v>
      </c>
      <c r="K3701" s="0" t="s">
        <v>12371</v>
      </c>
      <c r="L3701" s="0" t="str">
        <f aca="false">HYPERLINK("https://www.ncbi.nlm.nih.gov/nuccore/CP000304.1?report=graph&amp;tracks=[key:gene_model_track,Options:GeneOnly]&amp;mk=1067358:1067377|offset_29|444444,1067390:1067409|offset_61|444444,1067415:1067434|offset_86|00cc00,1067459:1067478|offset_130|444444&amp;v=1067157:1067678&amp;c=444444", "offset 86")</f>
        <v>offset 86</v>
      </c>
    </row>
    <row r="3702" customFormat="false" ht="12.8" hidden="false" customHeight="false" outlineLevel="0" collapsed="false">
      <c r="A3702" s="0" t="s">
        <v>12</v>
      </c>
      <c r="B3702" s="0" t="n">
        <v>1067458</v>
      </c>
      <c r="C3702" s="0" t="n">
        <v>1067478</v>
      </c>
      <c r="D3702" s="0" t="s">
        <v>12361</v>
      </c>
      <c r="E3702" s="0" t="s">
        <v>12362</v>
      </c>
      <c r="F3702" s="0" t="s">
        <v>15</v>
      </c>
      <c r="G3702" s="0" t="s">
        <v>16</v>
      </c>
      <c r="H3702" s="0" t="n">
        <v>130</v>
      </c>
      <c r="I3702" s="0" t="s">
        <v>12372</v>
      </c>
      <c r="J3702" s="0" t="s">
        <v>12373</v>
      </c>
      <c r="K3702" s="0" t="s">
        <v>12374</v>
      </c>
      <c r="L3702" s="0" t="str">
        <f aca="false">HYPERLINK("https://www.ncbi.nlm.nih.gov/nuccore/CP000304.1?report=graph&amp;tracks=[key:gene_model_track,Options:GeneOnly]&amp;mk=1067358:1067377|offset_29|444444,1067390:1067409|offset_61|444444,1067415:1067434|offset_86|444444,1067459:1067478|offset_130|00cc00&amp;v=1067157:1067678&amp;c=444444", "offset 130")</f>
        <v>offset 130</v>
      </c>
    </row>
    <row r="3703" customFormat="false" ht="12.8" hidden="false" customHeight="false" outlineLevel="0" collapsed="false">
      <c r="A3703" s="0" t="s">
        <v>12</v>
      </c>
      <c r="B3703" s="0" t="n">
        <v>1068287</v>
      </c>
      <c r="C3703" s="0" t="n">
        <v>1068307</v>
      </c>
      <c r="D3703" s="0" t="s">
        <v>12375</v>
      </c>
      <c r="E3703" s="0" t="s">
        <v>12376</v>
      </c>
      <c r="F3703" s="0" t="s">
        <v>15</v>
      </c>
      <c r="G3703" s="0" t="s">
        <v>16</v>
      </c>
      <c r="H3703" s="0" t="n">
        <v>7</v>
      </c>
      <c r="I3703" s="0" t="s">
        <v>12377</v>
      </c>
      <c r="J3703" s="0" t="s">
        <v>12378</v>
      </c>
      <c r="K3703" s="0" t="s">
        <v>12379</v>
      </c>
      <c r="L3703" s="0" t="str">
        <f aca="false">HYPERLINK("https://www.ncbi.nlm.nih.gov/nuccore/CP000304.1?report=graph&amp;tracks=[key:gene_model_track,Options:GeneOnly]&amp;mk=1068288:1068307|offset_7|00cc00,1068314:1068333|offset_33|444444,1068339:1068358|offset_58|444444,1068359:1068378|offset_78|444444&amp;v=1068087:1068578&amp;c=444444", "offset 7")</f>
        <v>offset 7</v>
      </c>
    </row>
    <row r="3704" customFormat="false" ht="12.8" hidden="false" customHeight="false" outlineLevel="0" collapsed="false">
      <c r="A3704" s="0" t="s">
        <v>12</v>
      </c>
      <c r="B3704" s="0" t="n">
        <v>1068313</v>
      </c>
      <c r="C3704" s="0" t="n">
        <v>1068333</v>
      </c>
      <c r="D3704" s="0" t="s">
        <v>12375</v>
      </c>
      <c r="E3704" s="0" t="s">
        <v>12376</v>
      </c>
      <c r="F3704" s="0" t="s">
        <v>15</v>
      </c>
      <c r="G3704" s="0" t="s">
        <v>16</v>
      </c>
      <c r="H3704" s="0" t="n">
        <v>33</v>
      </c>
      <c r="I3704" s="0" t="s">
        <v>12380</v>
      </c>
      <c r="J3704" s="0" t="s">
        <v>12381</v>
      </c>
      <c r="K3704" s="0" t="s">
        <v>12382</v>
      </c>
      <c r="L3704" s="0" t="str">
        <f aca="false">HYPERLINK("https://www.ncbi.nlm.nih.gov/nuccore/CP000304.1?report=graph&amp;tracks=[key:gene_model_track,Options:GeneOnly]&amp;mk=1068288:1068307|offset_7|444444,1068314:1068333|offset_33|00cc00,1068339:1068358|offset_58|444444,1068359:1068378|offset_78|444444&amp;v=1068087:1068578&amp;c=444444", "offset 33")</f>
        <v>offset 33</v>
      </c>
    </row>
    <row r="3705" customFormat="false" ht="12.8" hidden="false" customHeight="false" outlineLevel="0" collapsed="false">
      <c r="A3705" s="0" t="s">
        <v>12</v>
      </c>
      <c r="B3705" s="0" t="n">
        <v>1068338</v>
      </c>
      <c r="C3705" s="0" t="n">
        <v>1068358</v>
      </c>
      <c r="D3705" s="0" t="s">
        <v>12375</v>
      </c>
      <c r="E3705" s="0" t="s">
        <v>12376</v>
      </c>
      <c r="F3705" s="0" t="s">
        <v>15</v>
      </c>
      <c r="G3705" s="0" t="s">
        <v>16</v>
      </c>
      <c r="H3705" s="0" t="n">
        <v>58</v>
      </c>
      <c r="I3705" s="0" t="s">
        <v>12383</v>
      </c>
      <c r="J3705" s="0" t="s">
        <v>12384</v>
      </c>
      <c r="K3705" s="0" t="s">
        <v>12385</v>
      </c>
      <c r="L3705" s="0" t="str">
        <f aca="false">HYPERLINK("https://www.ncbi.nlm.nih.gov/nuccore/CP000304.1?report=graph&amp;tracks=[key:gene_model_track,Options:GeneOnly]&amp;mk=1068288:1068307|offset_7|444444,1068314:1068333|offset_33|444444,1068339:1068358|offset_58|00cc00,1068359:1068378|offset_78|444444&amp;v=1068087:1068578&amp;c=444444", "offset 58")</f>
        <v>offset 58</v>
      </c>
    </row>
    <row r="3706" customFormat="false" ht="12.8" hidden="false" customHeight="false" outlineLevel="0" collapsed="false">
      <c r="A3706" s="0" t="s">
        <v>12</v>
      </c>
      <c r="B3706" s="0" t="n">
        <v>1068358</v>
      </c>
      <c r="C3706" s="0" t="n">
        <v>1068378</v>
      </c>
      <c r="D3706" s="0" t="s">
        <v>12375</v>
      </c>
      <c r="E3706" s="0" t="s">
        <v>12376</v>
      </c>
      <c r="F3706" s="0" t="s">
        <v>15</v>
      </c>
      <c r="G3706" s="0" t="s">
        <v>16</v>
      </c>
      <c r="H3706" s="0" t="n">
        <v>78</v>
      </c>
      <c r="I3706" s="0" t="s">
        <v>12386</v>
      </c>
      <c r="J3706" s="0" t="s">
        <v>12387</v>
      </c>
      <c r="K3706" s="0" t="s">
        <v>12388</v>
      </c>
      <c r="L3706" s="0" t="str">
        <f aca="false">HYPERLINK("https://www.ncbi.nlm.nih.gov/nuccore/CP000304.1?report=graph&amp;tracks=[key:gene_model_track,Options:GeneOnly]&amp;mk=1068288:1068307|offset_7|444444,1068314:1068333|offset_33|444444,1068339:1068358|offset_58|444444,1068359:1068378|offset_78|00cc00&amp;v=1068087:1068578&amp;c=444444", "offset 78")</f>
        <v>offset 78</v>
      </c>
    </row>
    <row r="3707" customFormat="false" ht="12.8" hidden="false" customHeight="false" outlineLevel="0" collapsed="false">
      <c r="A3707" s="0" t="s">
        <v>12</v>
      </c>
      <c r="B3707" s="0" t="n">
        <v>1071281</v>
      </c>
      <c r="C3707" s="0" t="n">
        <v>1071301</v>
      </c>
      <c r="D3707" s="0" t="s">
        <v>12389</v>
      </c>
      <c r="E3707" s="0" t="s">
        <v>12390</v>
      </c>
      <c r="F3707" s="0" t="s">
        <v>15</v>
      </c>
      <c r="G3707" s="0" t="s">
        <v>36</v>
      </c>
      <c r="H3707" s="0" t="n">
        <v>58</v>
      </c>
      <c r="I3707" s="0" t="s">
        <v>12391</v>
      </c>
      <c r="J3707" s="0" t="s">
        <v>12392</v>
      </c>
      <c r="K3707" s="0" t="s">
        <v>12393</v>
      </c>
      <c r="L3707" s="0" t="str">
        <f aca="false">HYPERLINK("https://www.ncbi.nlm.nih.gov/nuccore/CP000304.1?report=graph&amp;tracks=[key:gene_model_track,Options:GeneOnly]&amp;mk=1071282:1071301|offset_58|00cc00,1071315:1071334|offset_91|444444,1071349:1071368|offset_125|444444,1071369:1071388|offset_145|444444&amp;v=1071081:1071588&amp;c=444444", "offset 58")</f>
        <v>offset 58</v>
      </c>
    </row>
    <row r="3708" customFormat="false" ht="12.8" hidden="false" customHeight="false" outlineLevel="0" collapsed="false">
      <c r="A3708" s="0" t="s">
        <v>12</v>
      </c>
      <c r="B3708" s="0" t="n">
        <v>1071314</v>
      </c>
      <c r="C3708" s="0" t="n">
        <v>1071334</v>
      </c>
      <c r="D3708" s="0" t="s">
        <v>12389</v>
      </c>
      <c r="E3708" s="0" t="s">
        <v>12390</v>
      </c>
      <c r="F3708" s="0" t="s">
        <v>15</v>
      </c>
      <c r="G3708" s="0" t="s">
        <v>32</v>
      </c>
      <c r="H3708" s="0" t="n">
        <v>91</v>
      </c>
      <c r="I3708" s="0" t="s">
        <v>12394</v>
      </c>
      <c r="J3708" s="0" t="s">
        <v>12395</v>
      </c>
      <c r="K3708" s="0" t="s">
        <v>12396</v>
      </c>
      <c r="L3708" s="0" t="str">
        <f aca="false">HYPERLINK("https://www.ncbi.nlm.nih.gov/nuccore/CP000304.1?report=graph&amp;tracks=[key:gene_model_track,Options:GeneOnly]&amp;mk=1071282:1071301|offset_58|444444,1071315:1071334|offset_91|00cc00,1071349:1071368|offset_125|444444,1071369:1071388|offset_145|444444&amp;v=1071081:1071588&amp;c=444444", "offset 91")</f>
        <v>offset 91</v>
      </c>
    </row>
    <row r="3709" customFormat="false" ht="12.8" hidden="false" customHeight="false" outlineLevel="0" collapsed="false">
      <c r="A3709" s="0" t="s">
        <v>12</v>
      </c>
      <c r="B3709" s="0" t="n">
        <v>1071348</v>
      </c>
      <c r="C3709" s="0" t="n">
        <v>1071368</v>
      </c>
      <c r="D3709" s="0" t="s">
        <v>12389</v>
      </c>
      <c r="E3709" s="0" t="s">
        <v>12390</v>
      </c>
      <c r="F3709" s="0" t="s">
        <v>15</v>
      </c>
      <c r="G3709" s="0" t="s">
        <v>36</v>
      </c>
      <c r="H3709" s="0" t="n">
        <v>125</v>
      </c>
      <c r="I3709" s="0" t="s">
        <v>12397</v>
      </c>
      <c r="J3709" s="0" t="s">
        <v>12398</v>
      </c>
      <c r="K3709" s="0" t="s">
        <v>12399</v>
      </c>
      <c r="L3709" s="0" t="str">
        <f aca="false">HYPERLINK("https://www.ncbi.nlm.nih.gov/nuccore/CP000304.1?report=graph&amp;tracks=[key:gene_model_track,Options:GeneOnly]&amp;mk=1071282:1071301|offset_58|444444,1071315:1071334|offset_91|444444,1071349:1071368|offset_125|00cc00,1071369:1071388|offset_145|444444&amp;v=1071081:1071588&amp;c=444444", "offset 125")</f>
        <v>offset 125</v>
      </c>
    </row>
    <row r="3710" customFormat="false" ht="12.8" hidden="false" customHeight="false" outlineLevel="0" collapsed="false">
      <c r="A3710" s="0" t="s">
        <v>12</v>
      </c>
      <c r="B3710" s="0" t="n">
        <v>1071368</v>
      </c>
      <c r="C3710" s="0" t="n">
        <v>1071388</v>
      </c>
      <c r="D3710" s="0" t="s">
        <v>12389</v>
      </c>
      <c r="E3710" s="0" t="s">
        <v>12390</v>
      </c>
      <c r="F3710" s="0" t="s">
        <v>15</v>
      </c>
      <c r="G3710" s="0" t="s">
        <v>36</v>
      </c>
      <c r="H3710" s="0" t="n">
        <v>145</v>
      </c>
      <c r="I3710" s="0" t="s">
        <v>12400</v>
      </c>
      <c r="J3710" s="0" t="s">
        <v>12401</v>
      </c>
      <c r="K3710" s="0" t="s">
        <v>12402</v>
      </c>
      <c r="L3710" s="0" t="str">
        <f aca="false">HYPERLINK("https://www.ncbi.nlm.nih.gov/nuccore/CP000304.1?report=graph&amp;tracks=[key:gene_model_track,Options:GeneOnly]&amp;mk=1071282:1071301|offset_58|444444,1071315:1071334|offset_91|444444,1071349:1071368|offset_125|444444,1071369:1071388|offset_145|00cc00&amp;v=1071081:1071588&amp;c=444444", "offset 145")</f>
        <v>offset 145</v>
      </c>
    </row>
    <row r="3711" customFormat="false" ht="12.8" hidden="false" customHeight="false" outlineLevel="0" collapsed="false">
      <c r="A3711" s="0" t="s">
        <v>12</v>
      </c>
      <c r="B3711" s="0" t="n">
        <v>1071743</v>
      </c>
      <c r="C3711" s="0" t="n">
        <v>1071763</v>
      </c>
      <c r="D3711" s="0" t="s">
        <v>12403</v>
      </c>
      <c r="E3711" s="0" t="s">
        <v>12404</v>
      </c>
      <c r="F3711" s="0" t="s">
        <v>15</v>
      </c>
      <c r="G3711" s="0" t="s">
        <v>16</v>
      </c>
      <c r="H3711" s="0" t="n">
        <v>24</v>
      </c>
      <c r="I3711" s="0" t="s">
        <v>12405</v>
      </c>
      <c r="J3711" s="0" t="s">
        <v>12406</v>
      </c>
      <c r="K3711" s="0" t="s">
        <v>12407</v>
      </c>
      <c r="L3711" s="0" t="str">
        <f aca="false">HYPERLINK("https://www.ncbi.nlm.nih.gov/nuccore/CP000304.1?report=graph&amp;tracks=[key:gene_model_track,Options:GeneOnly]&amp;mk=1071744:1071763|offset_24|00cc00,1071779:1071798|offset_59|444444,1071822:1071841|offset_102|444444,1071858:1071877|offset_138|444444&amp;v=1071543:1072077&amp;c=444444", "offset 24")</f>
        <v>offset 24</v>
      </c>
    </row>
    <row r="3712" customFormat="false" ht="12.8" hidden="false" customHeight="false" outlineLevel="0" collapsed="false">
      <c r="A3712" s="0" t="s">
        <v>12</v>
      </c>
      <c r="B3712" s="0" t="n">
        <v>1071778</v>
      </c>
      <c r="C3712" s="0" t="n">
        <v>1071798</v>
      </c>
      <c r="D3712" s="0" t="s">
        <v>12403</v>
      </c>
      <c r="E3712" s="0" t="s">
        <v>12404</v>
      </c>
      <c r="F3712" s="0" t="s">
        <v>15</v>
      </c>
      <c r="G3712" s="0" t="s">
        <v>26</v>
      </c>
      <c r="H3712" s="0" t="n">
        <v>59</v>
      </c>
      <c r="I3712" s="0" t="s">
        <v>12408</v>
      </c>
      <c r="J3712" s="0" t="s">
        <v>12409</v>
      </c>
      <c r="K3712" s="0" t="s">
        <v>12410</v>
      </c>
      <c r="L3712" s="0" t="str">
        <f aca="false">HYPERLINK("https://www.ncbi.nlm.nih.gov/nuccore/CP000304.1?report=graph&amp;tracks=[key:gene_model_track,Options:GeneOnly]&amp;mk=1071744:1071763|offset_24|444444,1071779:1071798|offset_59|00cc00,1071822:1071841|offset_102|444444,1071858:1071877|offset_138|444444&amp;v=1071543:1072077&amp;c=444444", "offset 59")</f>
        <v>offset 59</v>
      </c>
    </row>
    <row r="3713" customFormat="false" ht="12.8" hidden="false" customHeight="false" outlineLevel="0" collapsed="false">
      <c r="A3713" s="0" t="s">
        <v>12</v>
      </c>
      <c r="B3713" s="0" t="n">
        <v>1071821</v>
      </c>
      <c r="C3713" s="0" t="n">
        <v>1071841</v>
      </c>
      <c r="D3713" s="0" t="s">
        <v>12403</v>
      </c>
      <c r="E3713" s="0" t="s">
        <v>12404</v>
      </c>
      <c r="F3713" s="0" t="s">
        <v>15</v>
      </c>
      <c r="G3713" s="0" t="s">
        <v>16</v>
      </c>
      <c r="H3713" s="0" t="n">
        <v>102</v>
      </c>
      <c r="I3713" s="0" t="s">
        <v>12411</v>
      </c>
      <c r="J3713" s="0" t="s">
        <v>12412</v>
      </c>
      <c r="K3713" s="0" t="s">
        <v>12413</v>
      </c>
      <c r="L3713" s="0" t="str">
        <f aca="false">HYPERLINK("https://www.ncbi.nlm.nih.gov/nuccore/CP000304.1?report=graph&amp;tracks=[key:gene_model_track,Options:GeneOnly]&amp;mk=1071744:1071763|offset_24|444444,1071779:1071798|offset_59|444444,1071822:1071841|offset_102|00cc00,1071858:1071877|offset_138|444444&amp;v=1071543:1072077&amp;c=444444", "offset 102")</f>
        <v>offset 102</v>
      </c>
    </row>
    <row r="3714" customFormat="false" ht="12.8" hidden="false" customHeight="false" outlineLevel="0" collapsed="false">
      <c r="A3714" s="0" t="s">
        <v>12</v>
      </c>
      <c r="B3714" s="0" t="n">
        <v>1071857</v>
      </c>
      <c r="C3714" s="0" t="n">
        <v>1071877</v>
      </c>
      <c r="D3714" s="0" t="s">
        <v>12403</v>
      </c>
      <c r="E3714" s="0" t="s">
        <v>12404</v>
      </c>
      <c r="F3714" s="0" t="s">
        <v>15</v>
      </c>
      <c r="G3714" s="0" t="s">
        <v>16</v>
      </c>
      <c r="H3714" s="0" t="n">
        <v>138</v>
      </c>
      <c r="I3714" s="0" t="s">
        <v>12414</v>
      </c>
      <c r="J3714" s="0" t="s">
        <v>12415</v>
      </c>
      <c r="K3714" s="0" t="s">
        <v>12416</v>
      </c>
      <c r="L3714" s="0" t="str">
        <f aca="false">HYPERLINK("https://www.ncbi.nlm.nih.gov/nuccore/CP000304.1?report=graph&amp;tracks=[key:gene_model_track,Options:GeneOnly]&amp;mk=1071744:1071763|offset_24|444444,1071779:1071798|offset_59|444444,1071822:1071841|offset_102|444444,1071858:1071877|offset_138|00cc00&amp;v=1071543:1072077&amp;c=444444", "offset 138")</f>
        <v>offset 138</v>
      </c>
    </row>
    <row r="3715" customFormat="false" ht="12.8" hidden="false" customHeight="false" outlineLevel="0" collapsed="false">
      <c r="A3715" s="0" t="s">
        <v>12</v>
      </c>
      <c r="B3715" s="0" t="n">
        <v>1072468</v>
      </c>
      <c r="C3715" s="0" t="n">
        <v>1072488</v>
      </c>
      <c r="D3715" s="0" t="s">
        <v>12417</v>
      </c>
      <c r="E3715" s="0" t="s">
        <v>12418</v>
      </c>
      <c r="F3715" s="0" t="s">
        <v>15</v>
      </c>
      <c r="G3715" s="0" t="s">
        <v>16</v>
      </c>
      <c r="H3715" s="0" t="n">
        <v>6</v>
      </c>
      <c r="I3715" s="0" t="s">
        <v>12419</v>
      </c>
      <c r="J3715" s="0" t="s">
        <v>12420</v>
      </c>
      <c r="K3715" s="0" t="s">
        <v>12421</v>
      </c>
      <c r="L3715" s="0" t="str">
        <f aca="false">HYPERLINK("https://www.ncbi.nlm.nih.gov/nuccore/CP000304.1?report=graph&amp;tracks=[key:gene_model_track,Options:GeneOnly]&amp;mk=1072469:1072488|offset_6|00cc00,1072497:1072516|offset_34|444444,1072543:1072562|offset_80|444444,1072563:1072582|offset_100|444444&amp;v=1072268:1072782&amp;c=444444", "offset 6")</f>
        <v>offset 6</v>
      </c>
    </row>
    <row r="3716" customFormat="false" ht="12.8" hidden="false" customHeight="false" outlineLevel="0" collapsed="false">
      <c r="A3716" s="0" t="s">
        <v>12</v>
      </c>
      <c r="B3716" s="0" t="n">
        <v>1072496</v>
      </c>
      <c r="C3716" s="0" t="n">
        <v>1072516</v>
      </c>
      <c r="D3716" s="0" t="s">
        <v>12417</v>
      </c>
      <c r="E3716" s="0" t="s">
        <v>12418</v>
      </c>
      <c r="F3716" s="0" t="s">
        <v>15</v>
      </c>
      <c r="G3716" s="0" t="s">
        <v>36</v>
      </c>
      <c r="H3716" s="0" t="n">
        <v>34</v>
      </c>
      <c r="I3716" s="0" t="s">
        <v>12422</v>
      </c>
      <c r="J3716" s="0" t="s">
        <v>12423</v>
      </c>
      <c r="K3716" s="0" t="s">
        <v>12424</v>
      </c>
      <c r="L3716" s="0" t="str">
        <f aca="false">HYPERLINK("https://www.ncbi.nlm.nih.gov/nuccore/CP000304.1?report=graph&amp;tracks=[key:gene_model_track,Options:GeneOnly]&amp;mk=1072469:1072488|offset_6|444444,1072497:1072516|offset_34|00cc00,1072543:1072562|offset_80|444444,1072563:1072582|offset_100|444444&amp;v=1072268:1072782&amp;c=444444", "offset 34")</f>
        <v>offset 34</v>
      </c>
    </row>
    <row r="3717" customFormat="false" ht="12.8" hidden="false" customHeight="false" outlineLevel="0" collapsed="false">
      <c r="A3717" s="0" t="s">
        <v>12</v>
      </c>
      <c r="B3717" s="0" t="n">
        <v>1072542</v>
      </c>
      <c r="C3717" s="0" t="n">
        <v>1072562</v>
      </c>
      <c r="D3717" s="0" t="s">
        <v>12417</v>
      </c>
      <c r="E3717" s="0" t="s">
        <v>12418</v>
      </c>
      <c r="F3717" s="0" t="s">
        <v>15</v>
      </c>
      <c r="G3717" s="0" t="s">
        <v>26</v>
      </c>
      <c r="H3717" s="0" t="n">
        <v>80</v>
      </c>
      <c r="I3717" s="0" t="s">
        <v>12425</v>
      </c>
      <c r="J3717" s="0" t="s">
        <v>12426</v>
      </c>
      <c r="K3717" s="0" t="s">
        <v>12427</v>
      </c>
      <c r="L3717" s="0" t="str">
        <f aca="false">HYPERLINK("https://www.ncbi.nlm.nih.gov/nuccore/CP000304.1?report=graph&amp;tracks=[key:gene_model_track,Options:GeneOnly]&amp;mk=1072469:1072488|offset_6|444444,1072497:1072516|offset_34|444444,1072543:1072562|offset_80|00cc00,1072563:1072582|offset_100|444444&amp;v=1072268:1072782&amp;c=444444", "offset 80")</f>
        <v>offset 80</v>
      </c>
    </row>
    <row r="3718" customFormat="false" ht="12.8" hidden="false" customHeight="false" outlineLevel="0" collapsed="false">
      <c r="A3718" s="0" t="s">
        <v>12</v>
      </c>
      <c r="B3718" s="0" t="n">
        <v>1072562</v>
      </c>
      <c r="C3718" s="0" t="n">
        <v>1072582</v>
      </c>
      <c r="D3718" s="0" t="s">
        <v>12417</v>
      </c>
      <c r="E3718" s="0" t="s">
        <v>12418</v>
      </c>
      <c r="F3718" s="0" t="s">
        <v>15</v>
      </c>
      <c r="G3718" s="0" t="s">
        <v>26</v>
      </c>
      <c r="H3718" s="0" t="n">
        <v>100</v>
      </c>
      <c r="I3718" s="0" t="s">
        <v>12428</v>
      </c>
      <c r="J3718" s="0" t="s">
        <v>12429</v>
      </c>
      <c r="K3718" s="0" t="s">
        <v>12430</v>
      </c>
      <c r="L3718" s="0" t="str">
        <f aca="false">HYPERLINK("https://www.ncbi.nlm.nih.gov/nuccore/CP000304.1?report=graph&amp;tracks=[key:gene_model_track,Options:GeneOnly]&amp;mk=1072469:1072488|offset_6|444444,1072497:1072516|offset_34|444444,1072543:1072562|offset_80|444444,1072563:1072582|offset_100|00cc00&amp;v=1072268:1072782&amp;c=444444", "offset 100")</f>
        <v>offset 100</v>
      </c>
    </row>
    <row r="3719" customFormat="false" ht="12.8" hidden="false" customHeight="false" outlineLevel="0" collapsed="false">
      <c r="A3719" s="0" t="s">
        <v>12</v>
      </c>
      <c r="B3719" s="0" t="n">
        <v>1073663</v>
      </c>
      <c r="C3719" s="0" t="n">
        <v>1073683</v>
      </c>
      <c r="D3719" s="0" t="s">
        <v>12431</v>
      </c>
      <c r="E3719" s="0" t="s">
        <v>12432</v>
      </c>
      <c r="F3719" s="0" t="s">
        <v>90</v>
      </c>
      <c r="G3719" s="0" t="s">
        <v>36</v>
      </c>
      <c r="H3719" s="0" t="n">
        <v>25</v>
      </c>
      <c r="I3719" s="0" t="s">
        <v>12433</v>
      </c>
      <c r="J3719" s="0" t="s">
        <v>12434</v>
      </c>
      <c r="K3719" s="0" t="s">
        <v>12435</v>
      </c>
      <c r="L3719" s="0" t="str">
        <f aca="false">HYPERLINK("https://www.ncbi.nlm.nih.gov/nuccore/CP000304.1?report=graph&amp;tracks=[key:gene_model_track,Options:GeneOnly]&amp;mk=1073664:1073683|offset_25|00cc00,1073628:1073647|offset_61|444444,1073606:1073625|offset_83|444444,1073577:1073596|offset_112|444444&amp;v=1073463:1073796&amp;c=444444", "offset 25")</f>
        <v>offset 25</v>
      </c>
    </row>
    <row r="3720" customFormat="false" ht="12.8" hidden="false" customHeight="false" outlineLevel="0" collapsed="false">
      <c r="A3720" s="0" t="s">
        <v>12</v>
      </c>
      <c r="B3720" s="0" t="n">
        <v>1073627</v>
      </c>
      <c r="C3720" s="0" t="n">
        <v>1073647</v>
      </c>
      <c r="D3720" s="0" t="s">
        <v>12431</v>
      </c>
      <c r="E3720" s="0" t="s">
        <v>12432</v>
      </c>
      <c r="F3720" s="0" t="s">
        <v>90</v>
      </c>
      <c r="G3720" s="0" t="s">
        <v>16</v>
      </c>
      <c r="H3720" s="0" t="n">
        <v>61</v>
      </c>
      <c r="I3720" s="0" t="s">
        <v>12436</v>
      </c>
      <c r="J3720" s="0" t="s">
        <v>12437</v>
      </c>
      <c r="K3720" s="0" t="s">
        <v>12438</v>
      </c>
      <c r="L3720" s="0" t="str">
        <f aca="false">HYPERLINK("https://www.ncbi.nlm.nih.gov/nuccore/CP000304.1?report=graph&amp;tracks=[key:gene_model_track,Options:GeneOnly]&amp;mk=1073664:1073683|offset_25|444444,1073628:1073647|offset_61|00cc00,1073606:1073625|offset_83|444444,1073577:1073596|offset_112|444444&amp;v=1073463:1073796&amp;c=444444", "offset 61")</f>
        <v>offset 61</v>
      </c>
    </row>
    <row r="3721" customFormat="false" ht="12.8" hidden="false" customHeight="false" outlineLevel="0" collapsed="false">
      <c r="A3721" s="0" t="s">
        <v>12</v>
      </c>
      <c r="B3721" s="0" t="n">
        <v>1073605</v>
      </c>
      <c r="C3721" s="0" t="n">
        <v>1073625</v>
      </c>
      <c r="D3721" s="0" t="s">
        <v>12431</v>
      </c>
      <c r="E3721" s="0" t="s">
        <v>12432</v>
      </c>
      <c r="F3721" s="0" t="s">
        <v>90</v>
      </c>
      <c r="G3721" s="0" t="s">
        <v>36</v>
      </c>
      <c r="H3721" s="0" t="n">
        <v>83</v>
      </c>
      <c r="I3721" s="0" t="s">
        <v>12439</v>
      </c>
      <c r="J3721" s="0" t="s">
        <v>12440</v>
      </c>
      <c r="K3721" s="0" t="s">
        <v>12441</v>
      </c>
      <c r="L3721" s="0" t="str">
        <f aca="false">HYPERLINK("https://www.ncbi.nlm.nih.gov/nuccore/CP000304.1?report=graph&amp;tracks=[key:gene_model_track,Options:GeneOnly]&amp;mk=1073664:1073683|offset_25|444444,1073628:1073647|offset_61|444444,1073606:1073625|offset_83|00cc00,1073577:1073596|offset_112|444444&amp;v=1073463:1073796&amp;c=444444", "offset 83")</f>
        <v>offset 83</v>
      </c>
    </row>
    <row r="3722" customFormat="false" ht="12.8" hidden="false" customHeight="false" outlineLevel="0" collapsed="false">
      <c r="A3722" s="0" t="s">
        <v>12</v>
      </c>
      <c r="B3722" s="0" t="n">
        <v>1073576</v>
      </c>
      <c r="C3722" s="0" t="n">
        <v>1073596</v>
      </c>
      <c r="D3722" s="0" t="s">
        <v>12431</v>
      </c>
      <c r="E3722" s="0" t="s">
        <v>12432</v>
      </c>
      <c r="F3722" s="0" t="s">
        <v>90</v>
      </c>
      <c r="G3722" s="0" t="s">
        <v>32</v>
      </c>
      <c r="H3722" s="0" t="n">
        <v>112</v>
      </c>
      <c r="I3722" s="0" t="s">
        <v>12442</v>
      </c>
      <c r="J3722" s="0" t="s">
        <v>12443</v>
      </c>
      <c r="K3722" s="0" t="s">
        <v>12444</v>
      </c>
      <c r="L3722" s="0" t="str">
        <f aca="false">HYPERLINK("https://www.ncbi.nlm.nih.gov/nuccore/CP000304.1?report=graph&amp;tracks=[key:gene_model_track,Options:GeneOnly]&amp;mk=1073664:1073683|offset_25|444444,1073628:1073647|offset_61|444444,1073606:1073625|offset_83|444444,1073577:1073596|offset_112|00cc00&amp;v=1073463:1073796&amp;c=444444", "offset 112")</f>
        <v>offset 112</v>
      </c>
    </row>
    <row r="3723" customFormat="false" ht="12.8" hidden="false" customHeight="false" outlineLevel="0" collapsed="false">
      <c r="A3723" s="0" t="s">
        <v>12</v>
      </c>
      <c r="B3723" s="0" t="n">
        <v>1074000</v>
      </c>
      <c r="C3723" s="0" t="n">
        <v>1074020</v>
      </c>
      <c r="D3723" s="0" t="s">
        <v>12445</v>
      </c>
      <c r="E3723" s="0" t="s">
        <v>12446</v>
      </c>
      <c r="F3723" s="0" t="s">
        <v>90</v>
      </c>
      <c r="G3723" s="0" t="s">
        <v>26</v>
      </c>
      <c r="H3723" s="0" t="n">
        <v>10</v>
      </c>
      <c r="I3723" s="0" t="s">
        <v>12447</v>
      </c>
      <c r="J3723" s="0" t="s">
        <v>12448</v>
      </c>
      <c r="K3723" s="0" t="s">
        <v>12449</v>
      </c>
      <c r="L3723" s="0" t="str">
        <f aca="false">HYPERLINK("https://www.ncbi.nlm.nih.gov/nuccore/CP000304.1?report=graph&amp;tracks=[key:gene_model_track,Options:GeneOnly]&amp;mk=1074001:1074020|offset_10|00cc00,1073979:1073998|offset_32|444444,1073953:1073972|offset_58|444444,1073902:1073921|offset_109|444444&amp;v=1073800:1074121&amp;c=444444", "offset 10")</f>
        <v>offset 10</v>
      </c>
    </row>
    <row r="3724" customFormat="false" ht="12.8" hidden="false" customHeight="false" outlineLevel="0" collapsed="false">
      <c r="A3724" s="0" t="s">
        <v>12</v>
      </c>
      <c r="B3724" s="0" t="n">
        <v>1073978</v>
      </c>
      <c r="C3724" s="0" t="n">
        <v>1073998</v>
      </c>
      <c r="D3724" s="0" t="s">
        <v>12445</v>
      </c>
      <c r="E3724" s="0" t="s">
        <v>12446</v>
      </c>
      <c r="F3724" s="0" t="s">
        <v>90</v>
      </c>
      <c r="G3724" s="0" t="s">
        <v>26</v>
      </c>
      <c r="H3724" s="0" t="n">
        <v>32</v>
      </c>
      <c r="I3724" s="0" t="s">
        <v>12450</v>
      </c>
      <c r="J3724" s="0" t="s">
        <v>12451</v>
      </c>
      <c r="K3724" s="0" t="s">
        <v>12452</v>
      </c>
      <c r="L3724" s="0" t="str">
        <f aca="false">HYPERLINK("https://www.ncbi.nlm.nih.gov/nuccore/CP000304.1?report=graph&amp;tracks=[key:gene_model_track,Options:GeneOnly]&amp;mk=1074001:1074020|offset_10|444444,1073979:1073998|offset_32|00cc00,1073953:1073972|offset_58|444444,1073902:1073921|offset_109|444444&amp;v=1073800:1074121&amp;c=444444", "offset 32")</f>
        <v>offset 32</v>
      </c>
    </row>
    <row r="3725" customFormat="false" ht="12.8" hidden="false" customHeight="false" outlineLevel="0" collapsed="false">
      <c r="A3725" s="0" t="s">
        <v>12</v>
      </c>
      <c r="B3725" s="0" t="n">
        <v>1073952</v>
      </c>
      <c r="C3725" s="0" t="n">
        <v>1073972</v>
      </c>
      <c r="D3725" s="0" t="s">
        <v>12445</v>
      </c>
      <c r="E3725" s="0" t="s">
        <v>12446</v>
      </c>
      <c r="F3725" s="0" t="s">
        <v>90</v>
      </c>
      <c r="G3725" s="0" t="s">
        <v>16</v>
      </c>
      <c r="H3725" s="0" t="n">
        <v>58</v>
      </c>
      <c r="I3725" s="0" t="s">
        <v>12453</v>
      </c>
      <c r="J3725" s="0" t="s">
        <v>12454</v>
      </c>
      <c r="K3725" s="0" t="s">
        <v>12455</v>
      </c>
      <c r="L3725" s="0" t="str">
        <f aca="false">HYPERLINK("https://www.ncbi.nlm.nih.gov/nuccore/CP000304.1?report=graph&amp;tracks=[key:gene_model_track,Options:GeneOnly]&amp;mk=1074001:1074020|offset_10|444444,1073979:1073998|offset_32|444444,1073953:1073972|offset_58|00cc00,1073902:1073921|offset_109|444444&amp;v=1073800:1074121&amp;c=444444", "offset 58")</f>
        <v>offset 58</v>
      </c>
    </row>
    <row r="3726" customFormat="false" ht="12.8" hidden="false" customHeight="false" outlineLevel="0" collapsed="false">
      <c r="A3726" s="0" t="s">
        <v>12</v>
      </c>
      <c r="B3726" s="0" t="n">
        <v>1073901</v>
      </c>
      <c r="C3726" s="0" t="n">
        <v>1073921</v>
      </c>
      <c r="D3726" s="0" t="s">
        <v>12445</v>
      </c>
      <c r="E3726" s="0" t="s">
        <v>12446</v>
      </c>
      <c r="F3726" s="0" t="s">
        <v>90</v>
      </c>
      <c r="G3726" s="0" t="s">
        <v>36</v>
      </c>
      <c r="H3726" s="0" t="n">
        <v>109</v>
      </c>
      <c r="I3726" s="0" t="s">
        <v>12456</v>
      </c>
      <c r="J3726" s="0" t="s">
        <v>12457</v>
      </c>
      <c r="K3726" s="0" t="s">
        <v>12458</v>
      </c>
      <c r="L3726" s="0" t="str">
        <f aca="false">HYPERLINK("https://www.ncbi.nlm.nih.gov/nuccore/CP000304.1?report=graph&amp;tracks=[key:gene_model_track,Options:GeneOnly]&amp;mk=1074001:1074020|offset_10|444444,1073979:1073998|offset_32|444444,1073953:1073972|offset_58|444444,1073902:1073921|offset_109|00cc00&amp;v=1073800:1074121&amp;c=444444", "offset 109")</f>
        <v>offset 109</v>
      </c>
    </row>
    <row r="3727" customFormat="false" ht="12.8" hidden="false" customHeight="false" outlineLevel="0" collapsed="false">
      <c r="A3727" s="0" t="s">
        <v>12</v>
      </c>
      <c r="B3727" s="0" t="n">
        <v>1077405</v>
      </c>
      <c r="C3727" s="0" t="n">
        <v>1077425</v>
      </c>
      <c r="D3727" s="0" t="s">
        <v>12459</v>
      </c>
      <c r="E3727" s="0" t="s">
        <v>12460</v>
      </c>
      <c r="F3727" s="0" t="s">
        <v>90</v>
      </c>
      <c r="G3727" s="0" t="s">
        <v>26</v>
      </c>
      <c r="H3727" s="0" t="n">
        <v>0</v>
      </c>
      <c r="I3727" s="0" t="s">
        <v>12461</v>
      </c>
      <c r="J3727" s="0" t="s">
        <v>12462</v>
      </c>
      <c r="K3727" s="0" t="s">
        <v>12463</v>
      </c>
      <c r="L3727" s="0" t="str">
        <f aca="false">HYPERLINK("https://www.ncbi.nlm.nih.gov/nuccore/CP000304.1?report=graph&amp;tracks=[key:gene_model_track,Options:GeneOnly]&amp;mk=1077406:1077425|offset_0|00cc00,1077381:1077400|offset_25|444444,1077345:1077364|offset_61|444444,1077325:1077344|offset_81|444444&amp;v=1077205:1077544&amp;c=444444", "offset 0")</f>
        <v>offset 0</v>
      </c>
    </row>
    <row r="3728" customFormat="false" ht="12.8" hidden="false" customHeight="false" outlineLevel="0" collapsed="false">
      <c r="A3728" s="0" t="s">
        <v>12</v>
      </c>
      <c r="B3728" s="0" t="n">
        <v>1077380</v>
      </c>
      <c r="C3728" s="0" t="n">
        <v>1077400</v>
      </c>
      <c r="D3728" s="0" t="s">
        <v>12459</v>
      </c>
      <c r="E3728" s="0" t="s">
        <v>12460</v>
      </c>
      <c r="F3728" s="0" t="s">
        <v>90</v>
      </c>
      <c r="G3728" s="0" t="s">
        <v>36</v>
      </c>
      <c r="H3728" s="0" t="n">
        <v>25</v>
      </c>
      <c r="I3728" s="0" t="s">
        <v>12464</v>
      </c>
      <c r="J3728" s="0" t="s">
        <v>12465</v>
      </c>
      <c r="K3728" s="0" t="s">
        <v>12466</v>
      </c>
      <c r="L3728" s="0" t="str">
        <f aca="false">HYPERLINK("https://www.ncbi.nlm.nih.gov/nuccore/CP000304.1?report=graph&amp;tracks=[key:gene_model_track,Options:GeneOnly]&amp;mk=1077406:1077425|offset_0|444444,1077381:1077400|offset_25|00cc00,1077345:1077364|offset_61|444444,1077325:1077344|offset_81|444444&amp;v=1077205:1077544&amp;c=444444", "offset 25")</f>
        <v>offset 25</v>
      </c>
    </row>
    <row r="3729" customFormat="false" ht="12.8" hidden="false" customHeight="false" outlineLevel="0" collapsed="false">
      <c r="A3729" s="0" t="s">
        <v>12</v>
      </c>
      <c r="B3729" s="0" t="n">
        <v>1077344</v>
      </c>
      <c r="C3729" s="0" t="n">
        <v>1077364</v>
      </c>
      <c r="D3729" s="0" t="s">
        <v>12459</v>
      </c>
      <c r="E3729" s="0" t="s">
        <v>12460</v>
      </c>
      <c r="F3729" s="0" t="s">
        <v>90</v>
      </c>
      <c r="G3729" s="0" t="s">
        <v>32</v>
      </c>
      <c r="H3729" s="0" t="n">
        <v>61</v>
      </c>
      <c r="I3729" s="0" t="s">
        <v>12467</v>
      </c>
      <c r="J3729" s="0" t="s">
        <v>12468</v>
      </c>
      <c r="K3729" s="0" t="s">
        <v>12469</v>
      </c>
      <c r="L3729" s="0" t="str">
        <f aca="false">HYPERLINK("https://www.ncbi.nlm.nih.gov/nuccore/CP000304.1?report=graph&amp;tracks=[key:gene_model_track,Options:GeneOnly]&amp;mk=1077406:1077425|offset_0|444444,1077381:1077400|offset_25|444444,1077345:1077364|offset_61|00cc00,1077325:1077344|offset_81|444444&amp;v=1077205:1077544&amp;c=444444", "offset 61")</f>
        <v>offset 61</v>
      </c>
    </row>
    <row r="3730" customFormat="false" ht="12.8" hidden="false" customHeight="false" outlineLevel="0" collapsed="false">
      <c r="A3730" s="0" t="s">
        <v>12</v>
      </c>
      <c r="B3730" s="0" t="n">
        <v>1077324</v>
      </c>
      <c r="C3730" s="0" t="n">
        <v>1077344</v>
      </c>
      <c r="D3730" s="0" t="s">
        <v>12459</v>
      </c>
      <c r="E3730" s="0" t="s">
        <v>12460</v>
      </c>
      <c r="F3730" s="0" t="s">
        <v>90</v>
      </c>
      <c r="G3730" s="0" t="s">
        <v>36</v>
      </c>
      <c r="H3730" s="0" t="n">
        <v>81</v>
      </c>
      <c r="I3730" s="0" t="s">
        <v>12470</v>
      </c>
      <c r="J3730" s="0" t="s">
        <v>12471</v>
      </c>
      <c r="K3730" s="0" t="s">
        <v>12472</v>
      </c>
      <c r="L3730" s="0" t="str">
        <f aca="false">HYPERLINK("https://www.ncbi.nlm.nih.gov/nuccore/CP000304.1?report=graph&amp;tracks=[key:gene_model_track,Options:GeneOnly]&amp;mk=1077406:1077425|offset_0|444444,1077381:1077400|offset_25|444444,1077345:1077364|offset_61|444444,1077325:1077344|offset_81|00cc00&amp;v=1077205:1077544&amp;c=444444", "offset 81")</f>
        <v>offset 81</v>
      </c>
    </row>
    <row r="3731" customFormat="false" ht="12.8" hidden="false" customHeight="false" outlineLevel="0" collapsed="false">
      <c r="A3731" s="0" t="s">
        <v>12</v>
      </c>
      <c r="B3731" s="0" t="n">
        <v>1078001</v>
      </c>
      <c r="C3731" s="0" t="n">
        <v>1078021</v>
      </c>
      <c r="D3731" s="0" t="s">
        <v>12473</v>
      </c>
      <c r="E3731" s="0" t="s">
        <v>12474</v>
      </c>
      <c r="F3731" s="0" t="s">
        <v>90</v>
      </c>
      <c r="G3731" s="0" t="s">
        <v>32</v>
      </c>
      <c r="H3731" s="0" t="n">
        <v>85</v>
      </c>
      <c r="I3731" s="0" t="s">
        <v>12475</v>
      </c>
      <c r="J3731" s="0" t="s">
        <v>12476</v>
      </c>
      <c r="K3731" s="0" t="s">
        <v>12477</v>
      </c>
      <c r="L3731" s="0" t="str">
        <f aca="false">HYPERLINK("https://www.ncbi.nlm.nih.gov/nuccore/CP000304.1?report=graph&amp;tracks=[key:gene_model_track,Options:GeneOnly]&amp;mk=1078002:1078021|offset_85|00cc00,1077953:1077972|offset_134|444444,1077921:1077940|offset_166|444444,1077893:1077912|offset_194|444444&amp;v=1077801:1078112&amp;c=444444", "offset 85")</f>
        <v>offset 85</v>
      </c>
    </row>
    <row r="3732" customFormat="false" ht="12.8" hidden="false" customHeight="false" outlineLevel="0" collapsed="false">
      <c r="A3732" s="0" t="s">
        <v>12</v>
      </c>
      <c r="B3732" s="0" t="n">
        <v>1077952</v>
      </c>
      <c r="C3732" s="0" t="n">
        <v>1077972</v>
      </c>
      <c r="D3732" s="0" t="s">
        <v>12473</v>
      </c>
      <c r="E3732" s="0" t="s">
        <v>12474</v>
      </c>
      <c r="F3732" s="0" t="s">
        <v>90</v>
      </c>
      <c r="G3732" s="0" t="s">
        <v>26</v>
      </c>
      <c r="H3732" s="0" t="n">
        <v>134</v>
      </c>
      <c r="I3732" s="0" t="s">
        <v>12478</v>
      </c>
      <c r="J3732" s="0" t="s">
        <v>12479</v>
      </c>
      <c r="K3732" s="0" t="s">
        <v>12480</v>
      </c>
      <c r="L3732" s="0" t="str">
        <f aca="false">HYPERLINK("https://www.ncbi.nlm.nih.gov/nuccore/CP000304.1?report=graph&amp;tracks=[key:gene_model_track,Options:GeneOnly]&amp;mk=1078002:1078021|offset_85|444444,1077953:1077972|offset_134|00cc00,1077921:1077940|offset_166|444444,1077893:1077912|offset_194|444444&amp;v=1077801:1078112&amp;c=444444", "offset 134")</f>
        <v>offset 134</v>
      </c>
    </row>
    <row r="3733" customFormat="false" ht="12.8" hidden="false" customHeight="false" outlineLevel="0" collapsed="false">
      <c r="A3733" s="0" t="s">
        <v>12</v>
      </c>
      <c r="B3733" s="0" t="n">
        <v>1077920</v>
      </c>
      <c r="C3733" s="0" t="n">
        <v>1077940</v>
      </c>
      <c r="D3733" s="0" t="s">
        <v>12473</v>
      </c>
      <c r="E3733" s="0" t="s">
        <v>12474</v>
      </c>
      <c r="F3733" s="0" t="s">
        <v>90</v>
      </c>
      <c r="G3733" s="0" t="s">
        <v>16</v>
      </c>
      <c r="H3733" s="0" t="n">
        <v>166</v>
      </c>
      <c r="I3733" s="0" t="s">
        <v>12481</v>
      </c>
      <c r="J3733" s="0" t="s">
        <v>12482</v>
      </c>
      <c r="K3733" s="0" t="s">
        <v>12483</v>
      </c>
      <c r="L3733" s="0" t="str">
        <f aca="false">HYPERLINK("https://www.ncbi.nlm.nih.gov/nuccore/CP000304.1?report=graph&amp;tracks=[key:gene_model_track,Options:GeneOnly]&amp;mk=1078002:1078021|offset_85|444444,1077953:1077972|offset_134|444444,1077921:1077940|offset_166|00cc00,1077893:1077912|offset_194|444444&amp;v=1077801:1078112&amp;c=444444", "offset 166")</f>
        <v>offset 166</v>
      </c>
    </row>
    <row r="3734" customFormat="false" ht="12.8" hidden="false" customHeight="false" outlineLevel="0" collapsed="false">
      <c r="A3734" s="0" t="s">
        <v>12</v>
      </c>
      <c r="B3734" s="0" t="n">
        <v>1077892</v>
      </c>
      <c r="C3734" s="0" t="n">
        <v>1077912</v>
      </c>
      <c r="D3734" s="0" t="s">
        <v>12473</v>
      </c>
      <c r="E3734" s="0" t="s">
        <v>12474</v>
      </c>
      <c r="F3734" s="0" t="s">
        <v>90</v>
      </c>
      <c r="G3734" s="0" t="s">
        <v>16</v>
      </c>
      <c r="H3734" s="0" t="n">
        <v>194</v>
      </c>
      <c r="I3734" s="0" t="s">
        <v>12484</v>
      </c>
      <c r="J3734" s="0" t="s">
        <v>12485</v>
      </c>
      <c r="K3734" s="0" t="s">
        <v>12486</v>
      </c>
      <c r="L3734" s="0" t="str">
        <f aca="false">HYPERLINK("https://www.ncbi.nlm.nih.gov/nuccore/CP000304.1?report=graph&amp;tracks=[key:gene_model_track,Options:GeneOnly]&amp;mk=1078002:1078021|offset_85|444444,1077953:1077972|offset_134|444444,1077921:1077940|offset_166|444444,1077893:1077912|offset_194|00cc00&amp;v=1077801:1078112&amp;c=444444", "offset 194")</f>
        <v>offset 194</v>
      </c>
    </row>
    <row r="3735" customFormat="false" ht="12.8" hidden="false" customHeight="false" outlineLevel="0" collapsed="false">
      <c r="A3735" s="0" t="s">
        <v>12</v>
      </c>
      <c r="B3735" s="0" t="n">
        <v>1078798</v>
      </c>
      <c r="C3735" s="0" t="n">
        <v>1078818</v>
      </c>
      <c r="D3735" s="0" t="s">
        <v>12487</v>
      </c>
      <c r="E3735" s="0" t="s">
        <v>12488</v>
      </c>
      <c r="F3735" s="0" t="s">
        <v>90</v>
      </c>
      <c r="G3735" s="0" t="s">
        <v>16</v>
      </c>
      <c r="H3735" s="0" t="n">
        <v>22</v>
      </c>
      <c r="I3735" s="0" t="s">
        <v>12489</v>
      </c>
      <c r="J3735" s="0" t="s">
        <v>12490</v>
      </c>
      <c r="K3735" s="0" t="s">
        <v>12491</v>
      </c>
      <c r="L3735" s="0" t="str">
        <f aca="false">HYPERLINK("https://www.ncbi.nlm.nih.gov/nuccore/CP000304.1?report=graph&amp;tracks=[key:gene_model_track,Options:GeneOnly]&amp;mk=1078799:1078818|offset_22|00cc00,1078769:1078788|offset_52|444444,1078696:1078715|offset_125|444444,1078663:1078682|offset_158|444444&amp;v=1078598:1078882&amp;c=444444", "offset 22")</f>
        <v>offset 22</v>
      </c>
    </row>
    <row r="3736" customFormat="false" ht="12.8" hidden="false" customHeight="false" outlineLevel="0" collapsed="false">
      <c r="A3736" s="0" t="s">
        <v>12</v>
      </c>
      <c r="B3736" s="0" t="n">
        <v>1078768</v>
      </c>
      <c r="C3736" s="0" t="n">
        <v>1078788</v>
      </c>
      <c r="D3736" s="0" t="s">
        <v>12487</v>
      </c>
      <c r="E3736" s="0" t="s">
        <v>12488</v>
      </c>
      <c r="F3736" s="0" t="s">
        <v>90</v>
      </c>
      <c r="G3736" s="0" t="s">
        <v>36</v>
      </c>
      <c r="H3736" s="0" t="n">
        <v>52</v>
      </c>
      <c r="I3736" s="0" t="s">
        <v>12492</v>
      </c>
      <c r="J3736" s="0" t="s">
        <v>12493</v>
      </c>
      <c r="K3736" s="0" t="s">
        <v>12494</v>
      </c>
      <c r="L3736" s="0" t="str">
        <f aca="false">HYPERLINK("https://www.ncbi.nlm.nih.gov/nuccore/CP000304.1?report=graph&amp;tracks=[key:gene_model_track,Options:GeneOnly]&amp;mk=1078799:1078818|offset_22|444444,1078769:1078788|offset_52|00cc00,1078696:1078715|offset_125|444444,1078663:1078682|offset_158|444444&amp;v=1078598:1078882&amp;c=444444", "offset 52")</f>
        <v>offset 52</v>
      </c>
    </row>
    <row r="3737" customFormat="false" ht="12.8" hidden="false" customHeight="false" outlineLevel="0" collapsed="false">
      <c r="A3737" s="0" t="s">
        <v>12</v>
      </c>
      <c r="B3737" s="0" t="n">
        <v>1078695</v>
      </c>
      <c r="C3737" s="0" t="n">
        <v>1078715</v>
      </c>
      <c r="D3737" s="0" t="s">
        <v>12487</v>
      </c>
      <c r="E3737" s="0" t="s">
        <v>12488</v>
      </c>
      <c r="F3737" s="0" t="s">
        <v>90</v>
      </c>
      <c r="G3737" s="0" t="s">
        <v>32</v>
      </c>
      <c r="H3737" s="0" t="n">
        <v>125</v>
      </c>
      <c r="I3737" s="0" t="s">
        <v>12495</v>
      </c>
      <c r="J3737" s="0" t="s">
        <v>12496</v>
      </c>
      <c r="K3737" s="0" t="s">
        <v>12497</v>
      </c>
      <c r="L3737" s="0" t="str">
        <f aca="false">HYPERLINK("https://www.ncbi.nlm.nih.gov/nuccore/CP000304.1?report=graph&amp;tracks=[key:gene_model_track,Options:GeneOnly]&amp;mk=1078799:1078818|offset_22|444444,1078769:1078788|offset_52|444444,1078696:1078715|offset_125|00cc00,1078663:1078682|offset_158|444444&amp;v=1078598:1078882&amp;c=444444", "offset 125")</f>
        <v>offset 125</v>
      </c>
    </row>
    <row r="3738" customFormat="false" ht="12.8" hidden="false" customHeight="false" outlineLevel="0" collapsed="false">
      <c r="A3738" s="0" t="s">
        <v>12</v>
      </c>
      <c r="B3738" s="0" t="n">
        <v>1078662</v>
      </c>
      <c r="C3738" s="0" t="n">
        <v>1078682</v>
      </c>
      <c r="D3738" s="0" t="s">
        <v>12487</v>
      </c>
      <c r="E3738" s="0" t="s">
        <v>12488</v>
      </c>
      <c r="F3738" s="0" t="s">
        <v>90</v>
      </c>
      <c r="G3738" s="0" t="s">
        <v>16</v>
      </c>
      <c r="H3738" s="0" t="n">
        <v>158</v>
      </c>
      <c r="I3738" s="0" t="s">
        <v>12498</v>
      </c>
      <c r="J3738" s="0" t="s">
        <v>12499</v>
      </c>
      <c r="K3738" s="0" t="s">
        <v>12500</v>
      </c>
      <c r="L3738" s="0" t="str">
        <f aca="false">HYPERLINK("https://www.ncbi.nlm.nih.gov/nuccore/CP000304.1?report=graph&amp;tracks=[key:gene_model_track,Options:GeneOnly]&amp;mk=1078799:1078818|offset_22|444444,1078769:1078788|offset_52|444444,1078696:1078715|offset_125|444444,1078663:1078682|offset_158|00cc00&amp;v=1078598:1078882&amp;c=444444", "offset 158")</f>
        <v>offset 158</v>
      </c>
    </row>
    <row r="3739" customFormat="false" ht="12.8" hidden="false" customHeight="false" outlineLevel="0" collapsed="false">
      <c r="A3739" s="0" t="s">
        <v>12</v>
      </c>
      <c r="B3739" s="0" t="n">
        <v>1079411</v>
      </c>
      <c r="C3739" s="0" t="n">
        <v>1079431</v>
      </c>
      <c r="D3739" s="0" t="s">
        <v>12501</v>
      </c>
      <c r="E3739" s="0" t="s">
        <v>12502</v>
      </c>
      <c r="F3739" s="0" t="s">
        <v>90</v>
      </c>
      <c r="G3739" s="0" t="s">
        <v>32</v>
      </c>
      <c r="H3739" s="0" t="n">
        <v>1</v>
      </c>
      <c r="I3739" s="0" t="s">
        <v>12503</v>
      </c>
      <c r="J3739" s="0" t="s">
        <v>12504</v>
      </c>
      <c r="K3739" s="0" t="s">
        <v>12505</v>
      </c>
      <c r="L3739" s="0" t="str">
        <f aca="false">HYPERLINK("https://www.ncbi.nlm.nih.gov/nuccore/CP000304.1?report=graph&amp;tracks=[key:gene_model_track,Options:GeneOnly]&amp;mk=1079412:1079431|offset_1|00cc00,1079358:1079377|offset_55|444444,1079327:1079346|offset_86|444444,1079300:1079319|offset_113|444444&amp;v=1079211:1079519&amp;c=444444", "offset 1")</f>
        <v>offset 1</v>
      </c>
    </row>
    <row r="3740" customFormat="false" ht="12.8" hidden="false" customHeight="false" outlineLevel="0" collapsed="false">
      <c r="A3740" s="0" t="s">
        <v>12</v>
      </c>
      <c r="B3740" s="0" t="n">
        <v>1079357</v>
      </c>
      <c r="C3740" s="0" t="n">
        <v>1079377</v>
      </c>
      <c r="D3740" s="0" t="s">
        <v>12501</v>
      </c>
      <c r="E3740" s="0" t="s">
        <v>12502</v>
      </c>
      <c r="F3740" s="0" t="s">
        <v>90</v>
      </c>
      <c r="G3740" s="0" t="s">
        <v>32</v>
      </c>
      <c r="H3740" s="0" t="n">
        <v>55</v>
      </c>
      <c r="I3740" s="0" t="s">
        <v>12506</v>
      </c>
      <c r="J3740" s="0" t="s">
        <v>12507</v>
      </c>
      <c r="K3740" s="0" t="s">
        <v>12508</v>
      </c>
      <c r="L3740" s="0" t="str">
        <f aca="false">HYPERLINK("https://www.ncbi.nlm.nih.gov/nuccore/CP000304.1?report=graph&amp;tracks=[key:gene_model_track,Options:GeneOnly]&amp;mk=1079412:1079431|offset_1|444444,1079358:1079377|offset_55|00cc00,1079327:1079346|offset_86|444444,1079300:1079319|offset_113|444444&amp;v=1079211:1079519&amp;c=444444", "offset 55")</f>
        <v>offset 55</v>
      </c>
    </row>
    <row r="3741" customFormat="false" ht="12.8" hidden="false" customHeight="false" outlineLevel="0" collapsed="false">
      <c r="A3741" s="0" t="s">
        <v>12</v>
      </c>
      <c r="B3741" s="0" t="n">
        <v>1079326</v>
      </c>
      <c r="C3741" s="0" t="n">
        <v>1079346</v>
      </c>
      <c r="D3741" s="0" t="s">
        <v>12501</v>
      </c>
      <c r="E3741" s="0" t="s">
        <v>12502</v>
      </c>
      <c r="F3741" s="0" t="s">
        <v>90</v>
      </c>
      <c r="G3741" s="0" t="s">
        <v>26</v>
      </c>
      <c r="H3741" s="0" t="n">
        <v>86</v>
      </c>
      <c r="I3741" s="0" t="s">
        <v>12509</v>
      </c>
      <c r="J3741" s="0" t="s">
        <v>12510</v>
      </c>
      <c r="K3741" s="0" t="s">
        <v>12511</v>
      </c>
      <c r="L3741" s="0" t="str">
        <f aca="false">HYPERLINK("https://www.ncbi.nlm.nih.gov/nuccore/CP000304.1?report=graph&amp;tracks=[key:gene_model_track,Options:GeneOnly]&amp;mk=1079412:1079431|offset_1|444444,1079358:1079377|offset_55|444444,1079327:1079346|offset_86|00cc00,1079300:1079319|offset_113|444444&amp;v=1079211:1079519&amp;c=444444", "offset 86")</f>
        <v>offset 86</v>
      </c>
    </row>
    <row r="3742" customFormat="false" ht="12.8" hidden="false" customHeight="false" outlineLevel="0" collapsed="false">
      <c r="A3742" s="0" t="s">
        <v>12</v>
      </c>
      <c r="B3742" s="0" t="n">
        <v>1079299</v>
      </c>
      <c r="C3742" s="0" t="n">
        <v>1079319</v>
      </c>
      <c r="D3742" s="0" t="s">
        <v>12501</v>
      </c>
      <c r="E3742" s="0" t="s">
        <v>12502</v>
      </c>
      <c r="F3742" s="0" t="s">
        <v>90</v>
      </c>
      <c r="G3742" s="0" t="s">
        <v>32</v>
      </c>
      <c r="H3742" s="0" t="n">
        <v>113</v>
      </c>
      <c r="I3742" s="0" t="s">
        <v>12512</v>
      </c>
      <c r="J3742" s="0" t="s">
        <v>12513</v>
      </c>
      <c r="K3742" s="0" t="s">
        <v>12514</v>
      </c>
      <c r="L3742" s="0" t="str">
        <f aca="false">HYPERLINK("https://www.ncbi.nlm.nih.gov/nuccore/CP000304.1?report=graph&amp;tracks=[key:gene_model_track,Options:GeneOnly]&amp;mk=1079412:1079431|offset_1|444444,1079358:1079377|offset_55|444444,1079327:1079346|offset_86|444444,1079300:1079319|offset_113|00cc00&amp;v=1079211:1079519&amp;c=444444", "offset 113")</f>
        <v>offset 113</v>
      </c>
    </row>
    <row r="3743" customFormat="false" ht="12.8" hidden="false" customHeight="false" outlineLevel="0" collapsed="false">
      <c r="A3743" s="0" t="s">
        <v>12</v>
      </c>
      <c r="B3743" s="0" t="n">
        <v>1079932</v>
      </c>
      <c r="C3743" s="0" t="n">
        <v>1079952</v>
      </c>
      <c r="D3743" s="0" t="s">
        <v>12515</v>
      </c>
      <c r="E3743" s="0" t="s">
        <v>12516</v>
      </c>
      <c r="F3743" s="0" t="s">
        <v>90</v>
      </c>
      <c r="G3743" s="0" t="s">
        <v>16</v>
      </c>
      <c r="H3743" s="0" t="n">
        <v>25</v>
      </c>
      <c r="I3743" s="0" t="s">
        <v>12517</v>
      </c>
      <c r="J3743" s="0" t="s">
        <v>12518</v>
      </c>
      <c r="K3743" s="0" t="s">
        <v>12519</v>
      </c>
      <c r="L3743" s="0" t="str">
        <f aca="false">HYPERLINK("https://www.ncbi.nlm.nih.gov/nuccore/CP000304.1?report=graph&amp;tracks=[key:gene_model_track,Options:GeneOnly]&amp;mk=1079933:1079952|offset_25|00cc00,1079896:1079915|offset_62|444444,1079865:1079884|offset_93|444444,1079845:1079864|offset_113|444444&amp;v=1079732:1080064&amp;c=444444", "offset 25")</f>
        <v>offset 25</v>
      </c>
    </row>
    <row r="3744" customFormat="false" ht="12.8" hidden="false" customHeight="false" outlineLevel="0" collapsed="false">
      <c r="A3744" s="0" t="s">
        <v>12</v>
      </c>
      <c r="B3744" s="0" t="n">
        <v>1079895</v>
      </c>
      <c r="C3744" s="0" t="n">
        <v>1079915</v>
      </c>
      <c r="D3744" s="0" t="s">
        <v>12515</v>
      </c>
      <c r="E3744" s="0" t="s">
        <v>12516</v>
      </c>
      <c r="F3744" s="0" t="s">
        <v>90</v>
      </c>
      <c r="G3744" s="0" t="s">
        <v>26</v>
      </c>
      <c r="H3744" s="0" t="n">
        <v>62</v>
      </c>
      <c r="I3744" s="0" t="s">
        <v>12520</v>
      </c>
      <c r="J3744" s="0" t="s">
        <v>12521</v>
      </c>
      <c r="K3744" s="0" t="s">
        <v>12522</v>
      </c>
      <c r="L3744" s="0" t="str">
        <f aca="false">HYPERLINK("https://www.ncbi.nlm.nih.gov/nuccore/CP000304.1?report=graph&amp;tracks=[key:gene_model_track,Options:GeneOnly]&amp;mk=1079933:1079952|offset_25|444444,1079896:1079915|offset_62|00cc00,1079865:1079884|offset_93|444444,1079845:1079864|offset_113|444444&amp;v=1079732:1080064&amp;c=444444", "offset 62")</f>
        <v>offset 62</v>
      </c>
    </row>
    <row r="3745" customFormat="false" ht="12.8" hidden="false" customHeight="false" outlineLevel="0" collapsed="false">
      <c r="A3745" s="0" t="s">
        <v>12</v>
      </c>
      <c r="B3745" s="0" t="n">
        <v>1079864</v>
      </c>
      <c r="C3745" s="0" t="n">
        <v>1079884</v>
      </c>
      <c r="D3745" s="0" t="s">
        <v>12515</v>
      </c>
      <c r="E3745" s="0" t="s">
        <v>12516</v>
      </c>
      <c r="F3745" s="0" t="s">
        <v>90</v>
      </c>
      <c r="G3745" s="0" t="s">
        <v>36</v>
      </c>
      <c r="H3745" s="0" t="n">
        <v>93</v>
      </c>
      <c r="I3745" s="0" t="s">
        <v>12523</v>
      </c>
      <c r="J3745" s="0" t="s">
        <v>12524</v>
      </c>
      <c r="K3745" s="0" t="s">
        <v>12525</v>
      </c>
      <c r="L3745" s="0" t="str">
        <f aca="false">HYPERLINK("https://www.ncbi.nlm.nih.gov/nuccore/CP000304.1?report=graph&amp;tracks=[key:gene_model_track,Options:GeneOnly]&amp;mk=1079933:1079952|offset_25|444444,1079896:1079915|offset_62|444444,1079865:1079884|offset_93|00cc00,1079845:1079864|offset_113|444444&amp;v=1079732:1080064&amp;c=444444", "offset 93")</f>
        <v>offset 93</v>
      </c>
    </row>
    <row r="3746" customFormat="false" ht="12.8" hidden="false" customHeight="false" outlineLevel="0" collapsed="false">
      <c r="A3746" s="0" t="s">
        <v>12</v>
      </c>
      <c r="B3746" s="0" t="n">
        <v>1079844</v>
      </c>
      <c r="C3746" s="0" t="n">
        <v>1079864</v>
      </c>
      <c r="D3746" s="0" t="s">
        <v>12515</v>
      </c>
      <c r="E3746" s="0" t="s">
        <v>12516</v>
      </c>
      <c r="F3746" s="0" t="s">
        <v>90</v>
      </c>
      <c r="G3746" s="0" t="s">
        <v>32</v>
      </c>
      <c r="H3746" s="0" t="n">
        <v>113</v>
      </c>
      <c r="I3746" s="0" t="s">
        <v>12526</v>
      </c>
      <c r="J3746" s="0" t="s">
        <v>12527</v>
      </c>
      <c r="K3746" s="0" t="s">
        <v>12528</v>
      </c>
      <c r="L3746" s="0" t="str">
        <f aca="false">HYPERLINK("https://www.ncbi.nlm.nih.gov/nuccore/CP000304.1?report=graph&amp;tracks=[key:gene_model_track,Options:GeneOnly]&amp;mk=1079933:1079952|offset_25|444444,1079896:1079915|offset_62|444444,1079865:1079884|offset_93|444444,1079845:1079864|offset_113|00cc00&amp;v=1079732:1080064&amp;c=444444", "offset 113")</f>
        <v>offset 113</v>
      </c>
    </row>
    <row r="3747" customFormat="false" ht="12.8" hidden="false" customHeight="false" outlineLevel="0" collapsed="false">
      <c r="A3747" s="0" t="s">
        <v>12</v>
      </c>
      <c r="B3747" s="0" t="n">
        <v>1080544</v>
      </c>
      <c r="C3747" s="0" t="n">
        <v>1080564</v>
      </c>
      <c r="D3747" s="0" t="s">
        <v>12529</v>
      </c>
      <c r="E3747" s="0" t="s">
        <v>12530</v>
      </c>
      <c r="F3747" s="0" t="s">
        <v>90</v>
      </c>
      <c r="G3747" s="0" t="s">
        <v>32</v>
      </c>
      <c r="H3747" s="0" t="n">
        <v>1</v>
      </c>
      <c r="I3747" s="0" t="s">
        <v>12531</v>
      </c>
      <c r="J3747" s="0" t="s">
        <v>12532</v>
      </c>
      <c r="K3747" s="0" t="s">
        <v>12533</v>
      </c>
      <c r="L3747" s="0" t="str">
        <f aca="false">HYPERLINK("https://www.ncbi.nlm.nih.gov/nuccore/CP000304.1?report=graph&amp;tracks=[key:gene_model_track,Options:GeneOnly]&amp;mk=1080545:1080564|offset_1|00cc00,1080491:1080510|offset_55|444444,1080459:1080478|offset_87|444444,1080437:1080456|offset_109|444444&amp;v=1080344:1080656&amp;c=444444", "offset 1")</f>
        <v>offset 1</v>
      </c>
    </row>
    <row r="3748" customFormat="false" ht="12.8" hidden="false" customHeight="false" outlineLevel="0" collapsed="false">
      <c r="A3748" s="0" t="s">
        <v>12</v>
      </c>
      <c r="B3748" s="0" t="n">
        <v>1080490</v>
      </c>
      <c r="C3748" s="0" t="n">
        <v>1080510</v>
      </c>
      <c r="D3748" s="0" t="s">
        <v>12529</v>
      </c>
      <c r="E3748" s="0" t="s">
        <v>12530</v>
      </c>
      <c r="F3748" s="0" t="s">
        <v>90</v>
      </c>
      <c r="G3748" s="0" t="s">
        <v>36</v>
      </c>
      <c r="H3748" s="0" t="n">
        <v>55</v>
      </c>
      <c r="I3748" s="0" t="s">
        <v>12534</v>
      </c>
      <c r="J3748" s="0" t="s">
        <v>12535</v>
      </c>
      <c r="K3748" s="0" t="s">
        <v>12536</v>
      </c>
      <c r="L3748" s="0" t="str">
        <f aca="false">HYPERLINK("https://www.ncbi.nlm.nih.gov/nuccore/CP000304.1?report=graph&amp;tracks=[key:gene_model_track,Options:GeneOnly]&amp;mk=1080545:1080564|offset_1|444444,1080491:1080510|offset_55|00cc00,1080459:1080478|offset_87|444444,1080437:1080456|offset_109|444444&amp;v=1080344:1080656&amp;c=444444", "offset 55")</f>
        <v>offset 55</v>
      </c>
    </row>
    <row r="3749" customFormat="false" ht="12.8" hidden="false" customHeight="false" outlineLevel="0" collapsed="false">
      <c r="A3749" s="0" t="s">
        <v>12</v>
      </c>
      <c r="B3749" s="0" t="n">
        <v>1080458</v>
      </c>
      <c r="C3749" s="0" t="n">
        <v>1080478</v>
      </c>
      <c r="D3749" s="0" t="s">
        <v>12529</v>
      </c>
      <c r="E3749" s="0" t="s">
        <v>12530</v>
      </c>
      <c r="F3749" s="0" t="s">
        <v>90</v>
      </c>
      <c r="G3749" s="0" t="s">
        <v>36</v>
      </c>
      <c r="H3749" s="0" t="n">
        <v>87</v>
      </c>
      <c r="I3749" s="0" t="s">
        <v>12537</v>
      </c>
      <c r="J3749" s="0" t="s">
        <v>12538</v>
      </c>
      <c r="K3749" s="0" t="s">
        <v>12539</v>
      </c>
      <c r="L3749" s="0" t="str">
        <f aca="false">HYPERLINK("https://www.ncbi.nlm.nih.gov/nuccore/CP000304.1?report=graph&amp;tracks=[key:gene_model_track,Options:GeneOnly]&amp;mk=1080545:1080564|offset_1|444444,1080491:1080510|offset_55|444444,1080459:1080478|offset_87|00cc00,1080437:1080456|offset_109|444444&amp;v=1080344:1080656&amp;c=444444", "offset 87")</f>
        <v>offset 87</v>
      </c>
    </row>
    <row r="3750" customFormat="false" ht="12.8" hidden="false" customHeight="false" outlineLevel="0" collapsed="false">
      <c r="A3750" s="0" t="s">
        <v>12</v>
      </c>
      <c r="B3750" s="0" t="n">
        <v>1080436</v>
      </c>
      <c r="C3750" s="0" t="n">
        <v>1080456</v>
      </c>
      <c r="D3750" s="0" t="s">
        <v>12529</v>
      </c>
      <c r="E3750" s="0" t="s">
        <v>12530</v>
      </c>
      <c r="F3750" s="0" t="s">
        <v>90</v>
      </c>
      <c r="G3750" s="0" t="s">
        <v>36</v>
      </c>
      <c r="H3750" s="0" t="n">
        <v>109</v>
      </c>
      <c r="I3750" s="0" t="s">
        <v>12540</v>
      </c>
      <c r="J3750" s="0" t="s">
        <v>12541</v>
      </c>
      <c r="K3750" s="0" t="s">
        <v>12542</v>
      </c>
      <c r="L3750" s="0" t="str">
        <f aca="false">HYPERLINK("https://www.ncbi.nlm.nih.gov/nuccore/CP000304.1?report=graph&amp;tracks=[key:gene_model_track,Options:GeneOnly]&amp;mk=1080545:1080564|offset_1|444444,1080491:1080510|offset_55|444444,1080459:1080478|offset_87|444444,1080437:1080456|offset_109|00cc00&amp;v=1080344:1080656&amp;c=444444", "offset 109")</f>
        <v>offset 109</v>
      </c>
    </row>
    <row r="3751" customFormat="false" ht="12.8" hidden="false" customHeight="false" outlineLevel="0" collapsed="false">
      <c r="A3751" s="0" t="s">
        <v>12</v>
      </c>
      <c r="B3751" s="0" t="n">
        <v>1080895</v>
      </c>
      <c r="C3751" s="0" t="n">
        <v>1080915</v>
      </c>
      <c r="D3751" s="0" t="s">
        <v>12543</v>
      </c>
      <c r="E3751" s="0" t="s">
        <v>89</v>
      </c>
      <c r="F3751" s="0" t="s">
        <v>15</v>
      </c>
      <c r="G3751" s="0" t="s">
        <v>36</v>
      </c>
      <c r="H3751" s="0" t="n">
        <v>8</v>
      </c>
      <c r="I3751" s="0" t="s">
        <v>12544</v>
      </c>
      <c r="J3751" s="0" t="s">
        <v>12545</v>
      </c>
      <c r="K3751" s="0" t="s">
        <v>12546</v>
      </c>
      <c r="L3751" s="0" t="str">
        <f aca="false">HYPERLINK("https://www.ncbi.nlm.nih.gov/nuccore/CP000304.1?report=graph&amp;tracks=[key:gene_model_track,Options:GeneOnly]&amp;mk=1080896:1080915|offset_8|00cc00,1080917:1080936|offset_29|444444,1080977:1080996|offset_89|444444,1081006:1081025|offset_118|444444&amp;v=1080695:1081225&amp;c=444444", "offset 8")</f>
        <v>offset 8</v>
      </c>
    </row>
    <row r="3752" customFormat="false" ht="12.8" hidden="false" customHeight="false" outlineLevel="0" collapsed="false">
      <c r="A3752" s="0" t="s">
        <v>12</v>
      </c>
      <c r="B3752" s="0" t="n">
        <v>1080916</v>
      </c>
      <c r="C3752" s="0" t="n">
        <v>1080936</v>
      </c>
      <c r="D3752" s="0" t="s">
        <v>12543</v>
      </c>
      <c r="E3752" s="0" t="s">
        <v>89</v>
      </c>
      <c r="F3752" s="0" t="s">
        <v>15</v>
      </c>
      <c r="G3752" s="0" t="s">
        <v>26</v>
      </c>
      <c r="H3752" s="0" t="n">
        <v>29</v>
      </c>
      <c r="I3752" s="0" t="s">
        <v>12547</v>
      </c>
      <c r="J3752" s="0" t="s">
        <v>12548</v>
      </c>
      <c r="K3752" s="0" t="s">
        <v>12549</v>
      </c>
      <c r="L3752" s="0" t="str">
        <f aca="false">HYPERLINK("https://www.ncbi.nlm.nih.gov/nuccore/CP000304.1?report=graph&amp;tracks=[key:gene_model_track,Options:GeneOnly]&amp;mk=1080896:1080915|offset_8|444444,1080917:1080936|offset_29|00cc00,1080977:1080996|offset_89|444444,1081006:1081025|offset_118|444444&amp;v=1080695:1081225&amp;c=444444", "offset 29")</f>
        <v>offset 29</v>
      </c>
    </row>
    <row r="3753" customFormat="false" ht="12.8" hidden="false" customHeight="false" outlineLevel="0" collapsed="false">
      <c r="A3753" s="0" t="s">
        <v>12</v>
      </c>
      <c r="B3753" s="0" t="n">
        <v>1080976</v>
      </c>
      <c r="C3753" s="0" t="n">
        <v>1080996</v>
      </c>
      <c r="D3753" s="0" t="s">
        <v>12543</v>
      </c>
      <c r="E3753" s="0" t="s">
        <v>89</v>
      </c>
      <c r="F3753" s="0" t="s">
        <v>15</v>
      </c>
      <c r="G3753" s="0" t="s">
        <v>16</v>
      </c>
      <c r="H3753" s="0" t="n">
        <v>89</v>
      </c>
      <c r="I3753" s="0" t="s">
        <v>12550</v>
      </c>
      <c r="J3753" s="0" t="s">
        <v>12551</v>
      </c>
      <c r="K3753" s="0" t="s">
        <v>12552</v>
      </c>
      <c r="L3753" s="0" t="str">
        <f aca="false">HYPERLINK("https://www.ncbi.nlm.nih.gov/nuccore/CP000304.1?report=graph&amp;tracks=[key:gene_model_track,Options:GeneOnly]&amp;mk=1080896:1080915|offset_8|444444,1080917:1080936|offset_29|444444,1080977:1080996|offset_89|00cc00,1081006:1081025|offset_118|444444&amp;v=1080695:1081225&amp;c=444444", "offset 89")</f>
        <v>offset 89</v>
      </c>
    </row>
    <row r="3754" customFormat="false" ht="12.8" hidden="false" customHeight="false" outlineLevel="0" collapsed="false">
      <c r="A3754" s="0" t="s">
        <v>12</v>
      </c>
      <c r="B3754" s="0" t="n">
        <v>1081005</v>
      </c>
      <c r="C3754" s="0" t="n">
        <v>1081025</v>
      </c>
      <c r="D3754" s="0" t="s">
        <v>12543</v>
      </c>
      <c r="E3754" s="0" t="s">
        <v>89</v>
      </c>
      <c r="F3754" s="0" t="s">
        <v>15</v>
      </c>
      <c r="G3754" s="0" t="s">
        <v>16</v>
      </c>
      <c r="H3754" s="0" t="n">
        <v>118</v>
      </c>
      <c r="I3754" s="0" t="s">
        <v>12553</v>
      </c>
      <c r="J3754" s="0" t="s">
        <v>12554</v>
      </c>
      <c r="K3754" s="0" t="s">
        <v>12555</v>
      </c>
      <c r="L3754" s="0" t="str">
        <f aca="false">HYPERLINK("https://www.ncbi.nlm.nih.gov/nuccore/CP000304.1?report=graph&amp;tracks=[key:gene_model_track,Options:GeneOnly]&amp;mk=1080896:1080915|offset_8|444444,1080917:1080936|offset_29|444444,1080977:1080996|offset_89|444444,1081006:1081025|offset_118|00cc00&amp;v=1080695:1081225&amp;c=444444", "offset 118")</f>
        <v>offset 118</v>
      </c>
    </row>
    <row r="3755" customFormat="false" ht="12.8" hidden="false" customHeight="false" outlineLevel="0" collapsed="false">
      <c r="A3755" s="0" t="s">
        <v>12</v>
      </c>
      <c r="B3755" s="0" t="n">
        <v>1081913</v>
      </c>
      <c r="C3755" s="0" t="n">
        <v>1081933</v>
      </c>
      <c r="D3755" s="0" t="s">
        <v>12556</v>
      </c>
      <c r="E3755" s="0" t="s">
        <v>89</v>
      </c>
      <c r="F3755" s="0" t="s">
        <v>15</v>
      </c>
      <c r="G3755" s="0" t="s">
        <v>32</v>
      </c>
      <c r="H3755" s="0" t="n">
        <v>16</v>
      </c>
      <c r="I3755" s="0" t="s">
        <v>12557</v>
      </c>
      <c r="J3755" s="0" t="s">
        <v>12558</v>
      </c>
      <c r="K3755" s="0" t="s">
        <v>12559</v>
      </c>
      <c r="L3755" s="0" t="str">
        <f aca="false">HYPERLINK("https://www.ncbi.nlm.nih.gov/nuccore/CP000304.1?report=graph&amp;tracks=[key:gene_model_track,Options:GeneOnly]&amp;mk=1081914:1081933|offset_16|00cc00,1081950:1081969|offset_52|444444,1081973:1081992|offset_75|444444,1082024:1082043|offset_126|444444&amp;v=1081713:1082243&amp;c=444444", "offset 16")</f>
        <v>offset 16</v>
      </c>
    </row>
    <row r="3756" customFormat="false" ht="12.8" hidden="false" customHeight="false" outlineLevel="0" collapsed="false">
      <c r="A3756" s="0" t="s">
        <v>12</v>
      </c>
      <c r="B3756" s="0" t="n">
        <v>1081949</v>
      </c>
      <c r="C3756" s="0" t="n">
        <v>1081969</v>
      </c>
      <c r="D3756" s="0" t="s">
        <v>12556</v>
      </c>
      <c r="E3756" s="0" t="s">
        <v>89</v>
      </c>
      <c r="F3756" s="0" t="s">
        <v>15</v>
      </c>
      <c r="G3756" s="0" t="s">
        <v>32</v>
      </c>
      <c r="H3756" s="0" t="n">
        <v>52</v>
      </c>
      <c r="I3756" s="0" t="s">
        <v>12560</v>
      </c>
      <c r="J3756" s="0" t="s">
        <v>12561</v>
      </c>
      <c r="K3756" s="0" t="s">
        <v>12562</v>
      </c>
      <c r="L3756" s="0" t="str">
        <f aca="false">HYPERLINK("https://www.ncbi.nlm.nih.gov/nuccore/CP000304.1?report=graph&amp;tracks=[key:gene_model_track,Options:GeneOnly]&amp;mk=1081914:1081933|offset_16|444444,1081950:1081969|offset_52|00cc00,1081973:1081992|offset_75|444444,1082024:1082043|offset_126|444444&amp;v=1081713:1082243&amp;c=444444", "offset 52")</f>
        <v>offset 52</v>
      </c>
    </row>
    <row r="3757" customFormat="false" ht="12.8" hidden="false" customHeight="false" outlineLevel="0" collapsed="false">
      <c r="A3757" s="0" t="s">
        <v>12</v>
      </c>
      <c r="B3757" s="0" t="n">
        <v>1081972</v>
      </c>
      <c r="C3757" s="0" t="n">
        <v>1081992</v>
      </c>
      <c r="D3757" s="0" t="s">
        <v>12556</v>
      </c>
      <c r="E3757" s="0" t="s">
        <v>89</v>
      </c>
      <c r="F3757" s="0" t="s">
        <v>15</v>
      </c>
      <c r="G3757" s="0" t="s">
        <v>26</v>
      </c>
      <c r="H3757" s="0" t="n">
        <v>75</v>
      </c>
      <c r="I3757" s="0" t="s">
        <v>12563</v>
      </c>
      <c r="J3757" s="0" t="s">
        <v>12564</v>
      </c>
      <c r="K3757" s="0" t="s">
        <v>12565</v>
      </c>
      <c r="L3757" s="0" t="str">
        <f aca="false">HYPERLINK("https://www.ncbi.nlm.nih.gov/nuccore/CP000304.1?report=graph&amp;tracks=[key:gene_model_track,Options:GeneOnly]&amp;mk=1081914:1081933|offset_16|444444,1081950:1081969|offset_52|444444,1081973:1081992|offset_75|00cc00,1082024:1082043|offset_126|444444&amp;v=1081713:1082243&amp;c=444444", "offset 75")</f>
        <v>offset 75</v>
      </c>
    </row>
    <row r="3758" customFormat="false" ht="12.8" hidden="false" customHeight="false" outlineLevel="0" collapsed="false">
      <c r="A3758" s="0" t="s">
        <v>12</v>
      </c>
      <c r="B3758" s="0" t="n">
        <v>1082023</v>
      </c>
      <c r="C3758" s="0" t="n">
        <v>1082043</v>
      </c>
      <c r="D3758" s="0" t="s">
        <v>12556</v>
      </c>
      <c r="E3758" s="0" t="s">
        <v>89</v>
      </c>
      <c r="F3758" s="0" t="s">
        <v>15</v>
      </c>
      <c r="G3758" s="0" t="s">
        <v>36</v>
      </c>
      <c r="H3758" s="0" t="n">
        <v>126</v>
      </c>
      <c r="I3758" s="0" t="s">
        <v>12566</v>
      </c>
      <c r="J3758" s="0" t="s">
        <v>12567</v>
      </c>
      <c r="K3758" s="0" t="s">
        <v>12568</v>
      </c>
      <c r="L3758" s="0" t="str">
        <f aca="false">HYPERLINK("https://www.ncbi.nlm.nih.gov/nuccore/CP000304.1?report=graph&amp;tracks=[key:gene_model_track,Options:GeneOnly]&amp;mk=1081914:1081933|offset_16|444444,1081950:1081969|offset_52|444444,1081973:1081992|offset_75|444444,1082024:1082043|offset_126|00cc00&amp;v=1081713:1082243&amp;c=444444", "offset 126")</f>
        <v>offset 126</v>
      </c>
    </row>
    <row r="3759" customFormat="false" ht="12.8" hidden="false" customHeight="false" outlineLevel="0" collapsed="false">
      <c r="A3759" s="0" t="s">
        <v>12</v>
      </c>
      <c r="B3759" s="0" t="n">
        <v>1082398</v>
      </c>
      <c r="C3759" s="0" t="n">
        <v>1082418</v>
      </c>
      <c r="D3759" s="0" t="s">
        <v>12569</v>
      </c>
      <c r="E3759" s="0" t="s">
        <v>12570</v>
      </c>
      <c r="F3759" s="0" t="s">
        <v>15</v>
      </c>
      <c r="G3759" s="0" t="s">
        <v>26</v>
      </c>
      <c r="H3759" s="0" t="n">
        <v>6</v>
      </c>
      <c r="I3759" s="0" t="s">
        <v>12571</v>
      </c>
      <c r="J3759" s="0" t="s">
        <v>12572</v>
      </c>
      <c r="K3759" s="0" t="s">
        <v>12573</v>
      </c>
      <c r="L3759" s="0" t="str">
        <f aca="false">HYPERLINK("https://www.ncbi.nlm.nih.gov/nuccore/CP000304.1?report=graph&amp;tracks=[key:gene_model_track,Options:GeneOnly]&amp;mk=1082399:1082418|offset_6|00cc00,1082431:1082450|offset_38|444444,1082452:1082471|offset_59|444444,1082473:1082492|offset_80|444444&amp;v=1082198:1082692&amp;c=444444", "offset 6")</f>
        <v>offset 6</v>
      </c>
    </row>
    <row r="3760" customFormat="false" ht="12.8" hidden="false" customHeight="false" outlineLevel="0" collapsed="false">
      <c r="A3760" s="0" t="s">
        <v>12</v>
      </c>
      <c r="B3760" s="0" t="n">
        <v>1082430</v>
      </c>
      <c r="C3760" s="0" t="n">
        <v>1082450</v>
      </c>
      <c r="D3760" s="0" t="s">
        <v>12569</v>
      </c>
      <c r="E3760" s="0" t="s">
        <v>12570</v>
      </c>
      <c r="F3760" s="0" t="s">
        <v>15</v>
      </c>
      <c r="G3760" s="0" t="s">
        <v>32</v>
      </c>
      <c r="H3760" s="0" t="n">
        <v>38</v>
      </c>
      <c r="I3760" s="0" t="s">
        <v>12574</v>
      </c>
      <c r="J3760" s="0" t="s">
        <v>12575</v>
      </c>
      <c r="K3760" s="0" t="s">
        <v>12576</v>
      </c>
      <c r="L3760" s="0" t="str">
        <f aca="false">HYPERLINK("https://www.ncbi.nlm.nih.gov/nuccore/CP000304.1?report=graph&amp;tracks=[key:gene_model_track,Options:GeneOnly]&amp;mk=1082399:1082418|offset_6|444444,1082431:1082450|offset_38|00cc00,1082452:1082471|offset_59|444444,1082473:1082492|offset_80|444444&amp;v=1082198:1082692&amp;c=444444", "offset 38")</f>
        <v>offset 38</v>
      </c>
    </row>
    <row r="3761" customFormat="false" ht="12.8" hidden="false" customHeight="false" outlineLevel="0" collapsed="false">
      <c r="A3761" s="0" t="s">
        <v>12</v>
      </c>
      <c r="B3761" s="0" t="n">
        <v>1082451</v>
      </c>
      <c r="C3761" s="0" t="n">
        <v>1082471</v>
      </c>
      <c r="D3761" s="0" t="s">
        <v>12569</v>
      </c>
      <c r="E3761" s="0" t="s">
        <v>12570</v>
      </c>
      <c r="F3761" s="0" t="s">
        <v>15</v>
      </c>
      <c r="G3761" s="0" t="s">
        <v>16</v>
      </c>
      <c r="H3761" s="0" t="n">
        <v>59</v>
      </c>
      <c r="I3761" s="0" t="s">
        <v>12577</v>
      </c>
      <c r="J3761" s="0" t="s">
        <v>12578</v>
      </c>
      <c r="K3761" s="0" t="s">
        <v>12579</v>
      </c>
      <c r="L3761" s="0" t="str">
        <f aca="false">HYPERLINK("https://www.ncbi.nlm.nih.gov/nuccore/CP000304.1?report=graph&amp;tracks=[key:gene_model_track,Options:GeneOnly]&amp;mk=1082399:1082418|offset_6|444444,1082431:1082450|offset_38|444444,1082452:1082471|offset_59|00cc00,1082473:1082492|offset_80|444444&amp;v=1082198:1082692&amp;c=444444", "offset 59")</f>
        <v>offset 59</v>
      </c>
    </row>
    <row r="3762" customFormat="false" ht="12.8" hidden="false" customHeight="false" outlineLevel="0" collapsed="false">
      <c r="A3762" s="0" t="s">
        <v>12</v>
      </c>
      <c r="B3762" s="0" t="n">
        <v>1082472</v>
      </c>
      <c r="C3762" s="0" t="n">
        <v>1082492</v>
      </c>
      <c r="D3762" s="0" t="s">
        <v>12569</v>
      </c>
      <c r="E3762" s="0" t="s">
        <v>12570</v>
      </c>
      <c r="F3762" s="0" t="s">
        <v>15</v>
      </c>
      <c r="G3762" s="0" t="s">
        <v>32</v>
      </c>
      <c r="H3762" s="0" t="n">
        <v>80</v>
      </c>
      <c r="I3762" s="0" t="s">
        <v>12580</v>
      </c>
      <c r="J3762" s="0" t="s">
        <v>12581</v>
      </c>
      <c r="K3762" s="0" t="s">
        <v>12582</v>
      </c>
      <c r="L3762" s="0" t="str">
        <f aca="false">HYPERLINK("https://www.ncbi.nlm.nih.gov/nuccore/CP000304.1?report=graph&amp;tracks=[key:gene_model_track,Options:GeneOnly]&amp;mk=1082399:1082418|offset_6|444444,1082431:1082450|offset_38|444444,1082452:1082471|offset_59|444444,1082473:1082492|offset_80|00cc00&amp;v=1082198:1082692&amp;c=444444", "offset 80")</f>
        <v>offset 80</v>
      </c>
    </row>
    <row r="3763" customFormat="false" ht="12.8" hidden="false" customHeight="false" outlineLevel="0" collapsed="false">
      <c r="A3763" s="0" t="s">
        <v>12</v>
      </c>
      <c r="B3763" s="0" t="n">
        <v>1084751</v>
      </c>
      <c r="C3763" s="0" t="n">
        <v>1084771</v>
      </c>
      <c r="D3763" s="0" t="s">
        <v>12583</v>
      </c>
      <c r="E3763" s="0" t="s">
        <v>89</v>
      </c>
      <c r="F3763" s="0" t="s">
        <v>90</v>
      </c>
      <c r="G3763" s="0" t="s">
        <v>26</v>
      </c>
      <c r="H3763" s="0" t="n">
        <v>7</v>
      </c>
      <c r="I3763" s="0" t="s">
        <v>12584</v>
      </c>
      <c r="J3763" s="0" t="s">
        <v>12585</v>
      </c>
      <c r="K3763" s="0" t="s">
        <v>12586</v>
      </c>
      <c r="L3763" s="0" t="str">
        <f aca="false">HYPERLINK("https://www.ncbi.nlm.nih.gov/nuccore/CP000304.1?report=graph&amp;tracks=[key:gene_model_track,Options:GeneOnly]&amp;mk=1084752:1084771|offset_7|00cc00,1084730:1084749|offset_29|444444,1084701:1084720|offset_58|444444,1084673:1084692|offset_86|444444&amp;v=1084551:1084892&amp;c=444444", "offset 7")</f>
        <v>offset 7</v>
      </c>
    </row>
    <row r="3764" customFormat="false" ht="12.8" hidden="false" customHeight="false" outlineLevel="0" collapsed="false">
      <c r="A3764" s="0" t="s">
        <v>12</v>
      </c>
      <c r="B3764" s="0" t="n">
        <v>1084729</v>
      </c>
      <c r="C3764" s="0" t="n">
        <v>1084749</v>
      </c>
      <c r="D3764" s="0" t="s">
        <v>12583</v>
      </c>
      <c r="E3764" s="0" t="s">
        <v>89</v>
      </c>
      <c r="F3764" s="0" t="s">
        <v>90</v>
      </c>
      <c r="G3764" s="0" t="s">
        <v>32</v>
      </c>
      <c r="H3764" s="0" t="n">
        <v>29</v>
      </c>
      <c r="I3764" s="0" t="s">
        <v>12587</v>
      </c>
      <c r="J3764" s="0" t="s">
        <v>12588</v>
      </c>
      <c r="K3764" s="0" t="s">
        <v>12589</v>
      </c>
      <c r="L3764" s="0" t="str">
        <f aca="false">HYPERLINK("https://www.ncbi.nlm.nih.gov/nuccore/CP000304.1?report=graph&amp;tracks=[key:gene_model_track,Options:GeneOnly]&amp;mk=1084752:1084771|offset_7|444444,1084730:1084749|offset_29|00cc00,1084701:1084720|offset_58|444444,1084673:1084692|offset_86|444444&amp;v=1084551:1084892&amp;c=444444", "offset 29")</f>
        <v>offset 29</v>
      </c>
    </row>
    <row r="3765" customFormat="false" ht="12.8" hidden="false" customHeight="false" outlineLevel="0" collapsed="false">
      <c r="A3765" s="0" t="s">
        <v>12</v>
      </c>
      <c r="B3765" s="0" t="n">
        <v>1084700</v>
      </c>
      <c r="C3765" s="0" t="n">
        <v>1084720</v>
      </c>
      <c r="D3765" s="0" t="s">
        <v>12583</v>
      </c>
      <c r="E3765" s="0" t="s">
        <v>89</v>
      </c>
      <c r="F3765" s="0" t="s">
        <v>90</v>
      </c>
      <c r="G3765" s="0" t="s">
        <v>36</v>
      </c>
      <c r="H3765" s="0" t="n">
        <v>58</v>
      </c>
      <c r="I3765" s="0" t="s">
        <v>12590</v>
      </c>
      <c r="J3765" s="0" t="s">
        <v>12591</v>
      </c>
      <c r="K3765" s="0" t="s">
        <v>12592</v>
      </c>
      <c r="L3765" s="0" t="str">
        <f aca="false">HYPERLINK("https://www.ncbi.nlm.nih.gov/nuccore/CP000304.1?report=graph&amp;tracks=[key:gene_model_track,Options:GeneOnly]&amp;mk=1084752:1084771|offset_7|444444,1084730:1084749|offset_29|444444,1084701:1084720|offset_58|00cc00,1084673:1084692|offset_86|444444&amp;v=1084551:1084892&amp;c=444444", "offset 58")</f>
        <v>offset 58</v>
      </c>
    </row>
    <row r="3766" customFormat="false" ht="12.8" hidden="false" customHeight="false" outlineLevel="0" collapsed="false">
      <c r="A3766" s="0" t="s">
        <v>12</v>
      </c>
      <c r="B3766" s="0" t="n">
        <v>1084672</v>
      </c>
      <c r="C3766" s="0" t="n">
        <v>1084692</v>
      </c>
      <c r="D3766" s="0" t="s">
        <v>12583</v>
      </c>
      <c r="E3766" s="0" t="s">
        <v>89</v>
      </c>
      <c r="F3766" s="0" t="s">
        <v>90</v>
      </c>
      <c r="G3766" s="0" t="s">
        <v>16</v>
      </c>
      <c r="H3766" s="0" t="n">
        <v>86</v>
      </c>
      <c r="I3766" s="0" t="s">
        <v>12593</v>
      </c>
      <c r="J3766" s="0" t="s">
        <v>12594</v>
      </c>
      <c r="K3766" s="0" t="s">
        <v>12595</v>
      </c>
      <c r="L3766" s="0" t="str">
        <f aca="false">HYPERLINK("https://www.ncbi.nlm.nih.gov/nuccore/CP000304.1?report=graph&amp;tracks=[key:gene_model_track,Options:GeneOnly]&amp;mk=1084752:1084771|offset_7|444444,1084730:1084749|offset_29|444444,1084701:1084720|offset_58|444444,1084673:1084692|offset_86|00cc00&amp;v=1084551:1084892&amp;c=444444", "offset 86")</f>
        <v>offset 86</v>
      </c>
    </row>
    <row r="3767" customFormat="false" ht="12.8" hidden="false" customHeight="false" outlineLevel="0" collapsed="false">
      <c r="A3767" s="0" t="s">
        <v>12</v>
      </c>
      <c r="B3767" s="0" t="n">
        <v>1086127</v>
      </c>
      <c r="C3767" s="0" t="n">
        <v>1086147</v>
      </c>
      <c r="D3767" s="0" t="s">
        <v>12596</v>
      </c>
      <c r="E3767" s="0" t="s">
        <v>12597</v>
      </c>
      <c r="F3767" s="0" t="s">
        <v>90</v>
      </c>
      <c r="G3767" s="0" t="s">
        <v>36</v>
      </c>
      <c r="H3767" s="0" t="n">
        <v>7</v>
      </c>
      <c r="I3767" s="0" t="s">
        <v>12598</v>
      </c>
      <c r="J3767" s="0" t="s">
        <v>12599</v>
      </c>
      <c r="K3767" s="0" t="s">
        <v>12600</v>
      </c>
      <c r="L3767" s="0" t="str">
        <f aca="false">HYPERLINK("https://www.ncbi.nlm.nih.gov/nuccore/CP000304.1?report=graph&amp;tracks=[key:gene_model_track,Options:GeneOnly]&amp;mk=1086128:1086147|offset_7|00cc00,1086106:1086125|offset_29|444444,1086066:1086085|offset_69|444444,1086004:1086023|offset_131|444444&amp;v=1085927:1086223&amp;c=444444", "offset 7")</f>
        <v>offset 7</v>
      </c>
    </row>
    <row r="3768" customFormat="false" ht="12.8" hidden="false" customHeight="false" outlineLevel="0" collapsed="false">
      <c r="A3768" s="0" t="s">
        <v>12</v>
      </c>
      <c r="B3768" s="0" t="n">
        <v>1086105</v>
      </c>
      <c r="C3768" s="0" t="n">
        <v>1086125</v>
      </c>
      <c r="D3768" s="0" t="s">
        <v>12596</v>
      </c>
      <c r="E3768" s="0" t="s">
        <v>12597</v>
      </c>
      <c r="F3768" s="0" t="s">
        <v>90</v>
      </c>
      <c r="G3768" s="0" t="s">
        <v>32</v>
      </c>
      <c r="H3768" s="0" t="n">
        <v>29</v>
      </c>
      <c r="I3768" s="0" t="s">
        <v>12601</v>
      </c>
      <c r="J3768" s="0" t="s">
        <v>12602</v>
      </c>
      <c r="K3768" s="0" t="s">
        <v>12603</v>
      </c>
      <c r="L3768" s="0" t="str">
        <f aca="false">HYPERLINK("https://www.ncbi.nlm.nih.gov/nuccore/CP000304.1?report=graph&amp;tracks=[key:gene_model_track,Options:GeneOnly]&amp;mk=1086128:1086147|offset_7|444444,1086106:1086125|offset_29|00cc00,1086066:1086085|offset_69|444444,1086004:1086023|offset_131|444444&amp;v=1085927:1086223&amp;c=444444", "offset 29")</f>
        <v>offset 29</v>
      </c>
    </row>
    <row r="3769" customFormat="false" ht="12.8" hidden="false" customHeight="false" outlineLevel="0" collapsed="false">
      <c r="A3769" s="0" t="s">
        <v>12</v>
      </c>
      <c r="B3769" s="0" t="n">
        <v>1086065</v>
      </c>
      <c r="C3769" s="0" t="n">
        <v>1086085</v>
      </c>
      <c r="D3769" s="0" t="s">
        <v>12596</v>
      </c>
      <c r="E3769" s="0" t="s">
        <v>12597</v>
      </c>
      <c r="F3769" s="0" t="s">
        <v>90</v>
      </c>
      <c r="G3769" s="0" t="s">
        <v>26</v>
      </c>
      <c r="H3769" s="0" t="n">
        <v>69</v>
      </c>
      <c r="I3769" s="0" t="s">
        <v>12604</v>
      </c>
      <c r="J3769" s="0" t="s">
        <v>12605</v>
      </c>
      <c r="K3769" s="0" t="s">
        <v>12606</v>
      </c>
      <c r="L3769" s="0" t="str">
        <f aca="false">HYPERLINK("https://www.ncbi.nlm.nih.gov/nuccore/CP000304.1?report=graph&amp;tracks=[key:gene_model_track,Options:GeneOnly]&amp;mk=1086128:1086147|offset_7|444444,1086106:1086125|offset_29|444444,1086066:1086085|offset_69|00cc00,1086004:1086023|offset_131|444444&amp;v=1085927:1086223&amp;c=444444", "offset 69")</f>
        <v>offset 69</v>
      </c>
    </row>
    <row r="3770" customFormat="false" ht="12.8" hidden="false" customHeight="false" outlineLevel="0" collapsed="false">
      <c r="A3770" s="0" t="s">
        <v>12</v>
      </c>
      <c r="B3770" s="0" t="n">
        <v>1086003</v>
      </c>
      <c r="C3770" s="0" t="n">
        <v>1086023</v>
      </c>
      <c r="D3770" s="0" t="s">
        <v>12596</v>
      </c>
      <c r="E3770" s="0" t="s">
        <v>12597</v>
      </c>
      <c r="F3770" s="0" t="s">
        <v>90</v>
      </c>
      <c r="G3770" s="0" t="s">
        <v>32</v>
      </c>
      <c r="H3770" s="0" t="n">
        <v>131</v>
      </c>
      <c r="I3770" s="0" t="s">
        <v>12607</v>
      </c>
      <c r="J3770" s="0" t="s">
        <v>12608</v>
      </c>
      <c r="K3770" s="0" t="s">
        <v>12609</v>
      </c>
      <c r="L3770" s="0" t="str">
        <f aca="false">HYPERLINK("https://www.ncbi.nlm.nih.gov/nuccore/CP000304.1?report=graph&amp;tracks=[key:gene_model_track,Options:GeneOnly]&amp;mk=1086128:1086147|offset_7|444444,1086106:1086125|offset_29|444444,1086066:1086085|offset_69|444444,1086004:1086023|offset_131|00cc00&amp;v=1085927:1086223&amp;c=444444", "offset 131")</f>
        <v>offset 131</v>
      </c>
    </row>
    <row r="3771" customFormat="false" ht="12.8" hidden="false" customHeight="false" outlineLevel="0" collapsed="false">
      <c r="A3771" s="0" t="s">
        <v>12</v>
      </c>
      <c r="B3771" s="0" t="n">
        <v>1086475</v>
      </c>
      <c r="C3771" s="0" t="n">
        <v>1086495</v>
      </c>
      <c r="D3771" s="0" t="s">
        <v>12610</v>
      </c>
      <c r="E3771" s="0" t="s">
        <v>89</v>
      </c>
      <c r="F3771" s="0" t="s">
        <v>90</v>
      </c>
      <c r="G3771" s="0" t="s">
        <v>16</v>
      </c>
      <c r="H3771" s="0" t="n">
        <v>49</v>
      </c>
      <c r="I3771" s="0" t="s">
        <v>12611</v>
      </c>
      <c r="J3771" s="0" t="s">
        <v>12612</v>
      </c>
      <c r="K3771" s="0" t="s">
        <v>12613</v>
      </c>
      <c r="L3771" s="0" t="str">
        <f aca="false">HYPERLINK("https://www.ncbi.nlm.nih.gov/nuccore/CP000304.1?report=graph&amp;tracks=[key:gene_model_track,Options:GeneOnly]&amp;mk=1086476:1086495|offset_49|00cc00,1086446:1086465|offset_79|444444,1086425:1086444|offset_100|444444,1086373:1086392|offset_152|444444&amp;v=1086275:1086592&amp;c=444444", "offset 49")</f>
        <v>offset 49</v>
      </c>
    </row>
    <row r="3772" customFormat="false" ht="12.8" hidden="false" customHeight="false" outlineLevel="0" collapsed="false">
      <c r="A3772" s="0" t="s">
        <v>12</v>
      </c>
      <c r="B3772" s="0" t="n">
        <v>1086445</v>
      </c>
      <c r="C3772" s="0" t="n">
        <v>1086465</v>
      </c>
      <c r="D3772" s="0" t="s">
        <v>12610</v>
      </c>
      <c r="E3772" s="0" t="s">
        <v>89</v>
      </c>
      <c r="F3772" s="0" t="s">
        <v>90</v>
      </c>
      <c r="G3772" s="0" t="s">
        <v>16</v>
      </c>
      <c r="H3772" s="0" t="n">
        <v>79</v>
      </c>
      <c r="I3772" s="0" t="s">
        <v>12614</v>
      </c>
      <c r="J3772" s="0" t="s">
        <v>12615</v>
      </c>
      <c r="K3772" s="0" t="s">
        <v>12616</v>
      </c>
      <c r="L3772" s="0" t="str">
        <f aca="false">HYPERLINK("https://www.ncbi.nlm.nih.gov/nuccore/CP000304.1?report=graph&amp;tracks=[key:gene_model_track,Options:GeneOnly]&amp;mk=1086476:1086495|offset_49|444444,1086446:1086465|offset_79|00cc00,1086425:1086444|offset_100|444444,1086373:1086392|offset_152|444444&amp;v=1086275:1086592&amp;c=444444", "offset 79")</f>
        <v>offset 79</v>
      </c>
    </row>
    <row r="3773" customFormat="false" ht="12.8" hidden="false" customHeight="false" outlineLevel="0" collapsed="false">
      <c r="A3773" s="0" t="s">
        <v>12</v>
      </c>
      <c r="B3773" s="0" t="n">
        <v>1086424</v>
      </c>
      <c r="C3773" s="0" t="n">
        <v>1086444</v>
      </c>
      <c r="D3773" s="0" t="s">
        <v>12610</v>
      </c>
      <c r="E3773" s="0" t="s">
        <v>89</v>
      </c>
      <c r="F3773" s="0" t="s">
        <v>90</v>
      </c>
      <c r="G3773" s="0" t="s">
        <v>36</v>
      </c>
      <c r="H3773" s="0" t="n">
        <v>100</v>
      </c>
      <c r="I3773" s="0" t="s">
        <v>12617</v>
      </c>
      <c r="J3773" s="0" t="s">
        <v>12618</v>
      </c>
      <c r="K3773" s="0" t="s">
        <v>12619</v>
      </c>
      <c r="L3773" s="0" t="str">
        <f aca="false">HYPERLINK("https://www.ncbi.nlm.nih.gov/nuccore/CP000304.1?report=graph&amp;tracks=[key:gene_model_track,Options:GeneOnly]&amp;mk=1086476:1086495|offset_49|444444,1086446:1086465|offset_79|444444,1086425:1086444|offset_100|00cc00,1086373:1086392|offset_152|444444&amp;v=1086275:1086592&amp;c=444444", "offset 100")</f>
        <v>offset 100</v>
      </c>
    </row>
    <row r="3774" customFormat="false" ht="12.8" hidden="false" customHeight="false" outlineLevel="0" collapsed="false">
      <c r="A3774" s="0" t="s">
        <v>12</v>
      </c>
      <c r="B3774" s="0" t="n">
        <v>1086372</v>
      </c>
      <c r="C3774" s="0" t="n">
        <v>1086392</v>
      </c>
      <c r="D3774" s="0" t="s">
        <v>12610</v>
      </c>
      <c r="E3774" s="0" t="s">
        <v>89</v>
      </c>
      <c r="F3774" s="0" t="s">
        <v>90</v>
      </c>
      <c r="G3774" s="0" t="s">
        <v>16</v>
      </c>
      <c r="H3774" s="0" t="n">
        <v>152</v>
      </c>
      <c r="I3774" s="0" t="s">
        <v>12620</v>
      </c>
      <c r="J3774" s="0" t="s">
        <v>12621</v>
      </c>
      <c r="K3774" s="0" t="s">
        <v>12622</v>
      </c>
      <c r="L3774" s="0" t="str">
        <f aca="false">HYPERLINK("https://www.ncbi.nlm.nih.gov/nuccore/CP000304.1?report=graph&amp;tracks=[key:gene_model_track,Options:GeneOnly]&amp;mk=1086476:1086495|offset_49|444444,1086446:1086465|offset_79|444444,1086425:1086444|offset_100|444444,1086373:1086392|offset_152|00cc00&amp;v=1086275:1086592&amp;c=444444", "offset 152")</f>
        <v>offset 152</v>
      </c>
    </row>
    <row r="3775" customFormat="false" ht="12.8" hidden="false" customHeight="false" outlineLevel="0" collapsed="false">
      <c r="A3775" s="0" t="s">
        <v>12</v>
      </c>
      <c r="B3775" s="0" t="n">
        <v>1086769</v>
      </c>
      <c r="C3775" s="0" t="n">
        <v>1086789</v>
      </c>
      <c r="D3775" s="0" t="s">
        <v>12623</v>
      </c>
      <c r="E3775" s="0" t="s">
        <v>89</v>
      </c>
      <c r="F3775" s="0" t="s">
        <v>15</v>
      </c>
      <c r="G3775" s="0" t="s">
        <v>32</v>
      </c>
      <c r="H3775" s="0" t="n">
        <v>1</v>
      </c>
      <c r="I3775" s="0" t="s">
        <v>12624</v>
      </c>
      <c r="J3775" s="0" t="s">
        <v>12625</v>
      </c>
      <c r="K3775" s="0" t="s">
        <v>12626</v>
      </c>
      <c r="L3775" s="0" t="str">
        <f aca="false">HYPERLINK("https://www.ncbi.nlm.nih.gov/nuccore/CP000304.1?report=graph&amp;tracks=[key:gene_model_track,Options:GeneOnly]&amp;mk=1086770:1086789|offset_1|00cc00,1086819:1086838|offset_50|444444,1086864:1086883|offset_95|444444,1086914:1086933|offset_145|444444&amp;v=1086569:1087133&amp;c=444444", "offset 1")</f>
        <v>offset 1</v>
      </c>
    </row>
    <row r="3776" customFormat="false" ht="12.8" hidden="false" customHeight="false" outlineLevel="0" collapsed="false">
      <c r="A3776" s="0" t="s">
        <v>12</v>
      </c>
      <c r="B3776" s="0" t="n">
        <v>1086818</v>
      </c>
      <c r="C3776" s="0" t="n">
        <v>1086838</v>
      </c>
      <c r="D3776" s="0" t="s">
        <v>12623</v>
      </c>
      <c r="E3776" s="0" t="s">
        <v>89</v>
      </c>
      <c r="F3776" s="0" t="s">
        <v>15</v>
      </c>
      <c r="G3776" s="0" t="s">
        <v>36</v>
      </c>
      <c r="H3776" s="0" t="n">
        <v>50</v>
      </c>
      <c r="I3776" s="0" t="s">
        <v>12627</v>
      </c>
      <c r="J3776" s="0" t="s">
        <v>12628</v>
      </c>
      <c r="K3776" s="0" t="s">
        <v>12629</v>
      </c>
      <c r="L3776" s="0" t="str">
        <f aca="false">HYPERLINK("https://www.ncbi.nlm.nih.gov/nuccore/CP000304.1?report=graph&amp;tracks=[key:gene_model_track,Options:GeneOnly]&amp;mk=1086770:1086789|offset_1|444444,1086819:1086838|offset_50|00cc00,1086864:1086883|offset_95|444444,1086914:1086933|offset_145|444444&amp;v=1086569:1087133&amp;c=444444", "offset 50")</f>
        <v>offset 50</v>
      </c>
    </row>
    <row r="3777" customFormat="false" ht="12.8" hidden="false" customHeight="false" outlineLevel="0" collapsed="false">
      <c r="A3777" s="0" t="s">
        <v>12</v>
      </c>
      <c r="B3777" s="0" t="n">
        <v>1086863</v>
      </c>
      <c r="C3777" s="0" t="n">
        <v>1086883</v>
      </c>
      <c r="D3777" s="0" t="s">
        <v>12623</v>
      </c>
      <c r="E3777" s="0" t="s">
        <v>89</v>
      </c>
      <c r="F3777" s="0" t="s">
        <v>15</v>
      </c>
      <c r="G3777" s="0" t="s">
        <v>26</v>
      </c>
      <c r="H3777" s="0" t="n">
        <v>95</v>
      </c>
      <c r="I3777" s="0" t="s">
        <v>12630</v>
      </c>
      <c r="J3777" s="0" t="s">
        <v>12631</v>
      </c>
      <c r="K3777" s="0" t="s">
        <v>12632</v>
      </c>
      <c r="L3777" s="0" t="str">
        <f aca="false">HYPERLINK("https://www.ncbi.nlm.nih.gov/nuccore/CP000304.1?report=graph&amp;tracks=[key:gene_model_track,Options:GeneOnly]&amp;mk=1086770:1086789|offset_1|444444,1086819:1086838|offset_50|444444,1086864:1086883|offset_95|00cc00,1086914:1086933|offset_145|444444&amp;v=1086569:1087133&amp;c=444444", "offset 95")</f>
        <v>offset 95</v>
      </c>
    </row>
    <row r="3778" customFormat="false" ht="12.8" hidden="false" customHeight="false" outlineLevel="0" collapsed="false">
      <c r="A3778" s="0" t="s">
        <v>12</v>
      </c>
      <c r="B3778" s="0" t="n">
        <v>1086913</v>
      </c>
      <c r="C3778" s="0" t="n">
        <v>1086933</v>
      </c>
      <c r="D3778" s="0" t="s">
        <v>12623</v>
      </c>
      <c r="E3778" s="0" t="s">
        <v>89</v>
      </c>
      <c r="F3778" s="0" t="s">
        <v>15</v>
      </c>
      <c r="G3778" s="0" t="s">
        <v>32</v>
      </c>
      <c r="H3778" s="0" t="n">
        <v>145</v>
      </c>
      <c r="I3778" s="0" t="s">
        <v>12633</v>
      </c>
      <c r="J3778" s="0" t="s">
        <v>12634</v>
      </c>
      <c r="K3778" s="0" t="s">
        <v>12635</v>
      </c>
      <c r="L3778" s="0" t="str">
        <f aca="false">HYPERLINK("https://www.ncbi.nlm.nih.gov/nuccore/CP000304.1?report=graph&amp;tracks=[key:gene_model_track,Options:GeneOnly]&amp;mk=1086770:1086789|offset_1|444444,1086819:1086838|offset_50|444444,1086864:1086883|offset_95|444444,1086914:1086933|offset_145|00cc00&amp;v=1086569:1087133&amp;c=444444", "offset 145")</f>
        <v>offset 145</v>
      </c>
    </row>
    <row r="3779" customFormat="false" ht="12.8" hidden="false" customHeight="false" outlineLevel="0" collapsed="false">
      <c r="A3779" s="0" t="s">
        <v>12</v>
      </c>
      <c r="B3779" s="0" t="n">
        <v>1088149</v>
      </c>
      <c r="C3779" s="0" t="n">
        <v>1088169</v>
      </c>
      <c r="D3779" s="0" t="s">
        <v>12636</v>
      </c>
      <c r="E3779" s="0" t="s">
        <v>89</v>
      </c>
      <c r="F3779" s="0" t="s">
        <v>90</v>
      </c>
      <c r="G3779" s="0" t="s">
        <v>26</v>
      </c>
      <c r="H3779" s="0" t="n">
        <v>6</v>
      </c>
      <c r="I3779" s="0" t="s">
        <v>12637</v>
      </c>
      <c r="J3779" s="0" t="s">
        <v>12638</v>
      </c>
      <c r="K3779" s="0" t="s">
        <v>12639</v>
      </c>
      <c r="L3779" s="0" t="str">
        <f aca="false">HYPERLINK("https://www.ncbi.nlm.nih.gov/nuccore/CP000304.1?report=graph&amp;tracks=[key:gene_model_track,Options:GeneOnly]&amp;mk=1088150:1088169|offset_6|00cc00,1088125:1088144|offset_31|444444,1088104:1088123|offset_52|444444,1088061:1088080|offset_95|444444&amp;v=1087949:1088280&amp;c=444444", "offset 6")</f>
        <v>offset 6</v>
      </c>
    </row>
    <row r="3780" customFormat="false" ht="12.8" hidden="false" customHeight="false" outlineLevel="0" collapsed="false">
      <c r="A3780" s="0" t="s">
        <v>12</v>
      </c>
      <c r="B3780" s="0" t="n">
        <v>1088124</v>
      </c>
      <c r="C3780" s="0" t="n">
        <v>1088144</v>
      </c>
      <c r="D3780" s="0" t="s">
        <v>12636</v>
      </c>
      <c r="E3780" s="0" t="s">
        <v>89</v>
      </c>
      <c r="F3780" s="0" t="s">
        <v>90</v>
      </c>
      <c r="G3780" s="0" t="s">
        <v>36</v>
      </c>
      <c r="H3780" s="0" t="n">
        <v>31</v>
      </c>
      <c r="I3780" s="0" t="s">
        <v>12640</v>
      </c>
      <c r="J3780" s="0" t="s">
        <v>12641</v>
      </c>
      <c r="K3780" s="0" t="s">
        <v>12642</v>
      </c>
      <c r="L3780" s="0" t="str">
        <f aca="false">HYPERLINK("https://www.ncbi.nlm.nih.gov/nuccore/CP000304.1?report=graph&amp;tracks=[key:gene_model_track,Options:GeneOnly]&amp;mk=1088150:1088169|offset_6|444444,1088125:1088144|offset_31|00cc00,1088104:1088123|offset_52|444444,1088061:1088080|offset_95|444444&amp;v=1087949:1088280&amp;c=444444", "offset 31")</f>
        <v>offset 31</v>
      </c>
    </row>
    <row r="3781" customFormat="false" ht="12.8" hidden="false" customHeight="false" outlineLevel="0" collapsed="false">
      <c r="A3781" s="0" t="s">
        <v>12</v>
      </c>
      <c r="B3781" s="0" t="n">
        <v>1088103</v>
      </c>
      <c r="C3781" s="0" t="n">
        <v>1088123</v>
      </c>
      <c r="D3781" s="0" t="s">
        <v>12636</v>
      </c>
      <c r="E3781" s="0" t="s">
        <v>89</v>
      </c>
      <c r="F3781" s="0" t="s">
        <v>90</v>
      </c>
      <c r="G3781" s="0" t="s">
        <v>32</v>
      </c>
      <c r="H3781" s="0" t="n">
        <v>52</v>
      </c>
      <c r="I3781" s="0" t="s">
        <v>12643</v>
      </c>
      <c r="J3781" s="0" t="s">
        <v>12644</v>
      </c>
      <c r="K3781" s="0" t="s">
        <v>12645</v>
      </c>
      <c r="L3781" s="0" t="str">
        <f aca="false">HYPERLINK("https://www.ncbi.nlm.nih.gov/nuccore/CP000304.1?report=graph&amp;tracks=[key:gene_model_track,Options:GeneOnly]&amp;mk=1088150:1088169|offset_6|444444,1088125:1088144|offset_31|444444,1088104:1088123|offset_52|00cc00,1088061:1088080|offset_95|444444&amp;v=1087949:1088280&amp;c=444444", "offset 52")</f>
        <v>offset 52</v>
      </c>
    </row>
    <row r="3782" customFormat="false" ht="12.8" hidden="false" customHeight="false" outlineLevel="0" collapsed="false">
      <c r="A3782" s="0" t="s">
        <v>12</v>
      </c>
      <c r="B3782" s="0" t="n">
        <v>1088060</v>
      </c>
      <c r="C3782" s="0" t="n">
        <v>1088080</v>
      </c>
      <c r="D3782" s="0" t="s">
        <v>12636</v>
      </c>
      <c r="E3782" s="0" t="s">
        <v>89</v>
      </c>
      <c r="F3782" s="0" t="s">
        <v>90</v>
      </c>
      <c r="G3782" s="0" t="s">
        <v>32</v>
      </c>
      <c r="H3782" s="0" t="n">
        <v>95</v>
      </c>
      <c r="I3782" s="0" t="s">
        <v>12646</v>
      </c>
      <c r="J3782" s="0" t="s">
        <v>12647</v>
      </c>
      <c r="K3782" s="0" t="s">
        <v>12648</v>
      </c>
      <c r="L3782" s="0" t="str">
        <f aca="false">HYPERLINK("https://www.ncbi.nlm.nih.gov/nuccore/CP000304.1?report=graph&amp;tracks=[key:gene_model_track,Options:GeneOnly]&amp;mk=1088150:1088169|offset_6|444444,1088125:1088144|offset_31|444444,1088104:1088123|offset_52|444444,1088061:1088080|offset_95|00cc00&amp;v=1087949:1088280&amp;c=444444", "offset 95")</f>
        <v>offset 95</v>
      </c>
    </row>
    <row r="3783" customFormat="false" ht="12.8" hidden="false" customHeight="false" outlineLevel="0" collapsed="false">
      <c r="A3783" s="0" t="s">
        <v>12</v>
      </c>
      <c r="B3783" s="0" t="n">
        <v>1088789</v>
      </c>
      <c r="C3783" s="0" t="n">
        <v>1088809</v>
      </c>
      <c r="D3783" s="0" t="s">
        <v>12649</v>
      </c>
      <c r="E3783" s="0" t="s">
        <v>89</v>
      </c>
      <c r="F3783" s="0" t="s">
        <v>90</v>
      </c>
      <c r="G3783" s="0" t="s">
        <v>16</v>
      </c>
      <c r="H3783" s="0" t="n">
        <v>8</v>
      </c>
      <c r="I3783" s="0" t="s">
        <v>12650</v>
      </c>
      <c r="J3783" s="0" t="s">
        <v>12651</v>
      </c>
      <c r="K3783" s="0" t="s">
        <v>12652</v>
      </c>
      <c r="L3783" s="0" t="str">
        <f aca="false">HYPERLINK("https://www.ncbi.nlm.nih.gov/nuccore/CP000304.1?report=graph&amp;tracks=[key:gene_model_track,Options:GeneOnly]&amp;mk=1088790:1088809|offset_8|00cc00,1088770:1088789|offset_28|444444,1088745:1088764|offset_53|444444,1088714:1088733|offset_84|444444&amp;v=1088589:1088933&amp;c=444444", "offset 8")</f>
        <v>offset 8</v>
      </c>
    </row>
    <row r="3784" customFormat="false" ht="12.8" hidden="false" customHeight="false" outlineLevel="0" collapsed="false">
      <c r="A3784" s="0" t="s">
        <v>12</v>
      </c>
      <c r="B3784" s="0" t="n">
        <v>1088769</v>
      </c>
      <c r="C3784" s="0" t="n">
        <v>1088789</v>
      </c>
      <c r="D3784" s="0" t="s">
        <v>12649</v>
      </c>
      <c r="E3784" s="0" t="s">
        <v>89</v>
      </c>
      <c r="F3784" s="0" t="s">
        <v>90</v>
      </c>
      <c r="G3784" s="0" t="s">
        <v>36</v>
      </c>
      <c r="H3784" s="0" t="n">
        <v>28</v>
      </c>
      <c r="I3784" s="0" t="s">
        <v>12653</v>
      </c>
      <c r="J3784" s="0" t="s">
        <v>12654</v>
      </c>
      <c r="K3784" s="0" t="s">
        <v>12655</v>
      </c>
      <c r="L3784" s="0" t="str">
        <f aca="false">HYPERLINK("https://www.ncbi.nlm.nih.gov/nuccore/CP000304.1?report=graph&amp;tracks=[key:gene_model_track,Options:GeneOnly]&amp;mk=1088790:1088809|offset_8|444444,1088770:1088789|offset_28|00cc00,1088745:1088764|offset_53|444444,1088714:1088733|offset_84|444444&amp;v=1088589:1088933&amp;c=444444", "offset 28")</f>
        <v>offset 28</v>
      </c>
    </row>
    <row r="3785" customFormat="false" ht="12.8" hidden="false" customHeight="false" outlineLevel="0" collapsed="false">
      <c r="A3785" s="0" t="s">
        <v>12</v>
      </c>
      <c r="B3785" s="0" t="n">
        <v>1088744</v>
      </c>
      <c r="C3785" s="0" t="n">
        <v>1088764</v>
      </c>
      <c r="D3785" s="0" t="s">
        <v>12649</v>
      </c>
      <c r="E3785" s="0" t="s">
        <v>89</v>
      </c>
      <c r="F3785" s="0" t="s">
        <v>90</v>
      </c>
      <c r="G3785" s="0" t="s">
        <v>32</v>
      </c>
      <c r="H3785" s="0" t="n">
        <v>53</v>
      </c>
      <c r="I3785" s="0" t="s">
        <v>12656</v>
      </c>
      <c r="J3785" s="0" t="s">
        <v>12657</v>
      </c>
      <c r="K3785" s="0" t="s">
        <v>12658</v>
      </c>
      <c r="L3785" s="0" t="str">
        <f aca="false">HYPERLINK("https://www.ncbi.nlm.nih.gov/nuccore/CP000304.1?report=graph&amp;tracks=[key:gene_model_track,Options:GeneOnly]&amp;mk=1088790:1088809|offset_8|444444,1088770:1088789|offset_28|444444,1088745:1088764|offset_53|00cc00,1088714:1088733|offset_84|444444&amp;v=1088589:1088933&amp;c=444444", "offset 53")</f>
        <v>offset 53</v>
      </c>
    </row>
    <row r="3786" customFormat="false" ht="12.8" hidden="false" customHeight="false" outlineLevel="0" collapsed="false">
      <c r="A3786" s="0" t="s">
        <v>12</v>
      </c>
      <c r="B3786" s="0" t="n">
        <v>1088713</v>
      </c>
      <c r="C3786" s="0" t="n">
        <v>1088733</v>
      </c>
      <c r="D3786" s="0" t="s">
        <v>12649</v>
      </c>
      <c r="E3786" s="0" t="s">
        <v>89</v>
      </c>
      <c r="F3786" s="0" t="s">
        <v>90</v>
      </c>
      <c r="G3786" s="0" t="s">
        <v>16</v>
      </c>
      <c r="H3786" s="0" t="n">
        <v>84</v>
      </c>
      <c r="I3786" s="0" t="s">
        <v>12659</v>
      </c>
      <c r="J3786" s="0" t="s">
        <v>12660</v>
      </c>
      <c r="K3786" s="0" t="s">
        <v>12661</v>
      </c>
      <c r="L3786" s="0" t="str">
        <f aca="false">HYPERLINK("https://www.ncbi.nlm.nih.gov/nuccore/CP000304.1?report=graph&amp;tracks=[key:gene_model_track,Options:GeneOnly]&amp;mk=1088790:1088809|offset_8|444444,1088770:1088789|offset_28|444444,1088745:1088764|offset_53|444444,1088714:1088733|offset_84|00cc00&amp;v=1088589:1088933&amp;c=444444", "offset 84")</f>
        <v>offset 84</v>
      </c>
    </row>
    <row r="3787" customFormat="false" ht="12.8" hidden="false" customHeight="false" outlineLevel="0" collapsed="false">
      <c r="A3787" s="0" t="s">
        <v>12</v>
      </c>
      <c r="B3787" s="0" t="n">
        <v>1089478</v>
      </c>
      <c r="C3787" s="0" t="n">
        <v>1089498</v>
      </c>
      <c r="D3787" s="0" t="s">
        <v>12662</v>
      </c>
      <c r="E3787" s="0" t="s">
        <v>89</v>
      </c>
      <c r="F3787" s="0" t="s">
        <v>90</v>
      </c>
      <c r="G3787" s="0" t="s">
        <v>32</v>
      </c>
      <c r="H3787" s="0" t="n">
        <v>1</v>
      </c>
      <c r="I3787" s="0" t="s">
        <v>12663</v>
      </c>
      <c r="J3787" s="0" t="s">
        <v>12664</v>
      </c>
      <c r="K3787" s="0" t="s">
        <v>12665</v>
      </c>
      <c r="L3787" s="0" t="str">
        <f aca="false">HYPERLINK("https://www.ncbi.nlm.nih.gov/nuccore/CP000304.1?report=graph&amp;tracks=[key:gene_model_track,Options:GeneOnly]&amp;mk=1089479:1089498|offset_1|00cc00,1089456:1089475|offset_24|444444,1089431:1089450|offset_49|444444,1089407:1089426|offset_73|444444&amp;v=1089278:1089626&amp;c=444444", "offset 1")</f>
        <v>offset 1</v>
      </c>
    </row>
    <row r="3788" customFormat="false" ht="12.8" hidden="false" customHeight="false" outlineLevel="0" collapsed="false">
      <c r="A3788" s="0" t="s">
        <v>12</v>
      </c>
      <c r="B3788" s="0" t="n">
        <v>1089455</v>
      </c>
      <c r="C3788" s="0" t="n">
        <v>1089475</v>
      </c>
      <c r="D3788" s="0" t="s">
        <v>12662</v>
      </c>
      <c r="E3788" s="0" t="s">
        <v>89</v>
      </c>
      <c r="F3788" s="0" t="s">
        <v>90</v>
      </c>
      <c r="G3788" s="0" t="s">
        <v>36</v>
      </c>
      <c r="H3788" s="0" t="n">
        <v>24</v>
      </c>
      <c r="I3788" s="0" t="s">
        <v>12666</v>
      </c>
      <c r="J3788" s="0" t="s">
        <v>12667</v>
      </c>
      <c r="K3788" s="0" t="s">
        <v>12668</v>
      </c>
      <c r="L3788" s="0" t="str">
        <f aca="false">HYPERLINK("https://www.ncbi.nlm.nih.gov/nuccore/CP000304.1?report=graph&amp;tracks=[key:gene_model_track,Options:GeneOnly]&amp;mk=1089479:1089498|offset_1|444444,1089456:1089475|offset_24|00cc00,1089431:1089450|offset_49|444444,1089407:1089426|offset_73|444444&amp;v=1089278:1089626&amp;c=444444", "offset 24")</f>
        <v>offset 24</v>
      </c>
    </row>
    <row r="3789" customFormat="false" ht="12.8" hidden="false" customHeight="false" outlineLevel="0" collapsed="false">
      <c r="A3789" s="0" t="s">
        <v>12</v>
      </c>
      <c r="B3789" s="0" t="n">
        <v>1089430</v>
      </c>
      <c r="C3789" s="0" t="n">
        <v>1089450</v>
      </c>
      <c r="D3789" s="0" t="s">
        <v>12662</v>
      </c>
      <c r="E3789" s="0" t="s">
        <v>89</v>
      </c>
      <c r="F3789" s="0" t="s">
        <v>90</v>
      </c>
      <c r="G3789" s="0" t="s">
        <v>26</v>
      </c>
      <c r="H3789" s="0" t="n">
        <v>49</v>
      </c>
      <c r="I3789" s="0" t="s">
        <v>12669</v>
      </c>
      <c r="J3789" s="0" t="s">
        <v>12670</v>
      </c>
      <c r="K3789" s="0" t="s">
        <v>12671</v>
      </c>
      <c r="L3789" s="0" t="str">
        <f aca="false">HYPERLINK("https://www.ncbi.nlm.nih.gov/nuccore/CP000304.1?report=graph&amp;tracks=[key:gene_model_track,Options:GeneOnly]&amp;mk=1089479:1089498|offset_1|444444,1089456:1089475|offset_24|444444,1089431:1089450|offset_49|00cc00,1089407:1089426|offset_73|444444&amp;v=1089278:1089626&amp;c=444444", "offset 49")</f>
        <v>offset 49</v>
      </c>
    </row>
    <row r="3790" customFormat="false" ht="12.8" hidden="false" customHeight="false" outlineLevel="0" collapsed="false">
      <c r="A3790" s="0" t="s">
        <v>12</v>
      </c>
      <c r="B3790" s="0" t="n">
        <v>1089406</v>
      </c>
      <c r="C3790" s="0" t="n">
        <v>1089426</v>
      </c>
      <c r="D3790" s="0" t="s">
        <v>12662</v>
      </c>
      <c r="E3790" s="0" t="s">
        <v>89</v>
      </c>
      <c r="F3790" s="0" t="s">
        <v>90</v>
      </c>
      <c r="G3790" s="0" t="s">
        <v>16</v>
      </c>
      <c r="H3790" s="0" t="n">
        <v>73</v>
      </c>
      <c r="I3790" s="0" t="s">
        <v>12672</v>
      </c>
      <c r="J3790" s="0" t="s">
        <v>12673</v>
      </c>
      <c r="K3790" s="0" t="s">
        <v>12674</v>
      </c>
      <c r="L3790" s="0" t="str">
        <f aca="false">HYPERLINK("https://www.ncbi.nlm.nih.gov/nuccore/CP000304.1?report=graph&amp;tracks=[key:gene_model_track,Options:GeneOnly]&amp;mk=1089479:1089498|offset_1|444444,1089456:1089475|offset_24|444444,1089431:1089450|offset_49|444444,1089407:1089426|offset_73|00cc00&amp;v=1089278:1089626&amp;c=444444", "offset 73")</f>
        <v>offset 73</v>
      </c>
    </row>
    <row r="3791" customFormat="false" ht="12.8" hidden="false" customHeight="false" outlineLevel="0" collapsed="false">
      <c r="A3791" s="0" t="s">
        <v>12</v>
      </c>
      <c r="B3791" s="0" t="n">
        <v>1090559</v>
      </c>
      <c r="C3791" s="0" t="n">
        <v>1090579</v>
      </c>
      <c r="D3791" s="0" t="s">
        <v>12675</v>
      </c>
      <c r="E3791" s="0" t="s">
        <v>89</v>
      </c>
      <c r="F3791" s="0" t="s">
        <v>90</v>
      </c>
      <c r="G3791" s="0" t="s">
        <v>26</v>
      </c>
      <c r="H3791" s="0" t="n">
        <v>21</v>
      </c>
      <c r="I3791" s="0" t="s">
        <v>12676</v>
      </c>
      <c r="J3791" s="0" t="s">
        <v>12677</v>
      </c>
      <c r="K3791" s="0" t="s">
        <v>12678</v>
      </c>
      <c r="L3791" s="0" t="str">
        <f aca="false">HYPERLINK("https://www.ncbi.nlm.nih.gov/nuccore/CP000304.1?report=graph&amp;tracks=[key:gene_model_track,Options:GeneOnly]&amp;mk=1090560:1090579|offset_21|00cc00,1090528:1090547|offset_53|444444,1090476:1090495|offset_105|444444,1090456:1090475|offset_125|444444&amp;v=1090359:1090675&amp;c=444444", "offset 21")</f>
        <v>offset 21</v>
      </c>
    </row>
    <row r="3792" customFormat="false" ht="12.8" hidden="false" customHeight="false" outlineLevel="0" collapsed="false">
      <c r="A3792" s="0" t="s">
        <v>12</v>
      </c>
      <c r="B3792" s="0" t="n">
        <v>1090527</v>
      </c>
      <c r="C3792" s="0" t="n">
        <v>1090547</v>
      </c>
      <c r="D3792" s="0" t="s">
        <v>12675</v>
      </c>
      <c r="E3792" s="0" t="s">
        <v>89</v>
      </c>
      <c r="F3792" s="0" t="s">
        <v>90</v>
      </c>
      <c r="G3792" s="0" t="s">
        <v>36</v>
      </c>
      <c r="H3792" s="0" t="n">
        <v>53</v>
      </c>
      <c r="I3792" s="0" t="s">
        <v>12679</v>
      </c>
      <c r="J3792" s="0" t="s">
        <v>12680</v>
      </c>
      <c r="K3792" s="0" t="s">
        <v>12681</v>
      </c>
      <c r="L3792" s="0" t="str">
        <f aca="false">HYPERLINK("https://www.ncbi.nlm.nih.gov/nuccore/CP000304.1?report=graph&amp;tracks=[key:gene_model_track,Options:GeneOnly]&amp;mk=1090560:1090579|offset_21|444444,1090528:1090547|offset_53|00cc00,1090476:1090495|offset_105|444444,1090456:1090475|offset_125|444444&amp;v=1090359:1090675&amp;c=444444", "offset 53")</f>
        <v>offset 53</v>
      </c>
    </row>
    <row r="3793" customFormat="false" ht="12.8" hidden="false" customHeight="false" outlineLevel="0" collapsed="false">
      <c r="A3793" s="0" t="s">
        <v>12</v>
      </c>
      <c r="B3793" s="0" t="n">
        <v>1090475</v>
      </c>
      <c r="C3793" s="0" t="n">
        <v>1090495</v>
      </c>
      <c r="D3793" s="0" t="s">
        <v>12675</v>
      </c>
      <c r="E3793" s="0" t="s">
        <v>89</v>
      </c>
      <c r="F3793" s="0" t="s">
        <v>90</v>
      </c>
      <c r="G3793" s="0" t="s">
        <v>36</v>
      </c>
      <c r="H3793" s="0" t="n">
        <v>105</v>
      </c>
      <c r="I3793" s="0" t="s">
        <v>12682</v>
      </c>
      <c r="J3793" s="0" t="s">
        <v>12683</v>
      </c>
      <c r="K3793" s="0" t="s">
        <v>12684</v>
      </c>
      <c r="L3793" s="0" t="str">
        <f aca="false">HYPERLINK("https://www.ncbi.nlm.nih.gov/nuccore/CP000304.1?report=graph&amp;tracks=[key:gene_model_track,Options:GeneOnly]&amp;mk=1090560:1090579|offset_21|444444,1090528:1090547|offset_53|444444,1090476:1090495|offset_105|00cc00,1090456:1090475|offset_125|444444&amp;v=1090359:1090675&amp;c=444444", "offset 105")</f>
        <v>offset 105</v>
      </c>
    </row>
    <row r="3794" customFormat="false" ht="12.8" hidden="false" customHeight="false" outlineLevel="0" collapsed="false">
      <c r="A3794" s="0" t="s">
        <v>12</v>
      </c>
      <c r="B3794" s="0" t="n">
        <v>1090455</v>
      </c>
      <c r="C3794" s="0" t="n">
        <v>1090475</v>
      </c>
      <c r="D3794" s="0" t="s">
        <v>12675</v>
      </c>
      <c r="E3794" s="0" t="s">
        <v>89</v>
      </c>
      <c r="F3794" s="0" t="s">
        <v>90</v>
      </c>
      <c r="G3794" s="0" t="s">
        <v>16</v>
      </c>
      <c r="H3794" s="0" t="n">
        <v>125</v>
      </c>
      <c r="I3794" s="0" t="s">
        <v>12685</v>
      </c>
      <c r="J3794" s="0" t="s">
        <v>12686</v>
      </c>
      <c r="K3794" s="0" t="s">
        <v>12687</v>
      </c>
      <c r="L3794" s="0" t="str">
        <f aca="false">HYPERLINK("https://www.ncbi.nlm.nih.gov/nuccore/CP000304.1?report=graph&amp;tracks=[key:gene_model_track,Options:GeneOnly]&amp;mk=1090560:1090579|offset_21|444444,1090528:1090547|offset_53|444444,1090476:1090495|offset_105|444444,1090456:1090475|offset_125|00cc00&amp;v=1090359:1090675&amp;c=444444", "offset 125")</f>
        <v>offset 125</v>
      </c>
    </row>
    <row r="3795" customFormat="false" ht="12.8" hidden="false" customHeight="false" outlineLevel="0" collapsed="false">
      <c r="A3795" s="0" t="s">
        <v>12</v>
      </c>
      <c r="B3795" s="0" t="n">
        <v>1091592</v>
      </c>
      <c r="C3795" s="0" t="n">
        <v>1091612</v>
      </c>
      <c r="D3795" s="0" t="s">
        <v>12688</v>
      </c>
      <c r="E3795" s="0" t="s">
        <v>12689</v>
      </c>
      <c r="F3795" s="0" t="s">
        <v>90</v>
      </c>
      <c r="G3795" s="0" t="s">
        <v>16</v>
      </c>
      <c r="H3795" s="0" t="n">
        <v>13</v>
      </c>
      <c r="I3795" s="0" t="s">
        <v>12690</v>
      </c>
      <c r="J3795" s="0" t="s">
        <v>12691</v>
      </c>
      <c r="K3795" s="0" t="s">
        <v>12692</v>
      </c>
      <c r="L3795" s="0" t="str">
        <f aca="false">HYPERLINK("https://www.ncbi.nlm.nih.gov/nuccore/CP000304.1?report=graph&amp;tracks=[key:gene_model_track,Options:GeneOnly]&amp;mk=1091593:1091612|offset_13|00cc00,1091560:1091579|offset_46|444444,1091530:1091549|offset_76|444444,1091510:1091529|offset_96|444444&amp;v=1091392:1091729&amp;c=444444", "offset 13")</f>
        <v>offset 13</v>
      </c>
    </row>
    <row r="3796" customFormat="false" ht="12.8" hidden="false" customHeight="false" outlineLevel="0" collapsed="false">
      <c r="A3796" s="0" t="s">
        <v>12</v>
      </c>
      <c r="B3796" s="0" t="n">
        <v>1091559</v>
      </c>
      <c r="C3796" s="0" t="n">
        <v>1091579</v>
      </c>
      <c r="D3796" s="0" t="s">
        <v>12688</v>
      </c>
      <c r="E3796" s="0" t="s">
        <v>12689</v>
      </c>
      <c r="F3796" s="0" t="s">
        <v>90</v>
      </c>
      <c r="G3796" s="0" t="s">
        <v>32</v>
      </c>
      <c r="H3796" s="0" t="n">
        <v>46</v>
      </c>
      <c r="I3796" s="0" t="s">
        <v>12693</v>
      </c>
      <c r="J3796" s="0" t="s">
        <v>12694</v>
      </c>
      <c r="K3796" s="0" t="s">
        <v>12695</v>
      </c>
      <c r="L3796" s="0" t="str">
        <f aca="false">HYPERLINK("https://www.ncbi.nlm.nih.gov/nuccore/CP000304.1?report=graph&amp;tracks=[key:gene_model_track,Options:GeneOnly]&amp;mk=1091593:1091612|offset_13|444444,1091560:1091579|offset_46|00cc00,1091530:1091549|offset_76|444444,1091510:1091529|offset_96|444444&amp;v=1091392:1091729&amp;c=444444", "offset 46")</f>
        <v>offset 46</v>
      </c>
    </row>
    <row r="3797" customFormat="false" ht="12.8" hidden="false" customHeight="false" outlineLevel="0" collapsed="false">
      <c r="A3797" s="0" t="s">
        <v>12</v>
      </c>
      <c r="B3797" s="0" t="n">
        <v>1091529</v>
      </c>
      <c r="C3797" s="0" t="n">
        <v>1091549</v>
      </c>
      <c r="D3797" s="0" t="s">
        <v>12688</v>
      </c>
      <c r="E3797" s="0" t="s">
        <v>12689</v>
      </c>
      <c r="F3797" s="0" t="s">
        <v>90</v>
      </c>
      <c r="G3797" s="0" t="s">
        <v>16</v>
      </c>
      <c r="H3797" s="0" t="n">
        <v>76</v>
      </c>
      <c r="I3797" s="0" t="s">
        <v>12696</v>
      </c>
      <c r="J3797" s="0" t="s">
        <v>12697</v>
      </c>
      <c r="K3797" s="0" t="s">
        <v>12698</v>
      </c>
      <c r="L3797" s="0" t="str">
        <f aca="false">HYPERLINK("https://www.ncbi.nlm.nih.gov/nuccore/CP000304.1?report=graph&amp;tracks=[key:gene_model_track,Options:GeneOnly]&amp;mk=1091593:1091612|offset_13|444444,1091560:1091579|offset_46|444444,1091530:1091549|offset_76|00cc00,1091510:1091529|offset_96|444444&amp;v=1091392:1091729&amp;c=444444", "offset 76")</f>
        <v>offset 76</v>
      </c>
    </row>
    <row r="3798" customFormat="false" ht="12.8" hidden="false" customHeight="false" outlineLevel="0" collapsed="false">
      <c r="A3798" s="0" t="s">
        <v>12</v>
      </c>
      <c r="B3798" s="0" t="n">
        <v>1091509</v>
      </c>
      <c r="C3798" s="0" t="n">
        <v>1091529</v>
      </c>
      <c r="D3798" s="0" t="s">
        <v>12688</v>
      </c>
      <c r="E3798" s="0" t="s">
        <v>12689</v>
      </c>
      <c r="F3798" s="0" t="s">
        <v>90</v>
      </c>
      <c r="G3798" s="0" t="s">
        <v>32</v>
      </c>
      <c r="H3798" s="0" t="n">
        <v>96</v>
      </c>
      <c r="I3798" s="0" t="s">
        <v>12699</v>
      </c>
      <c r="J3798" s="0" t="s">
        <v>12700</v>
      </c>
      <c r="K3798" s="0" t="s">
        <v>12701</v>
      </c>
      <c r="L3798" s="0" t="str">
        <f aca="false">HYPERLINK("https://www.ncbi.nlm.nih.gov/nuccore/CP000304.1?report=graph&amp;tracks=[key:gene_model_track,Options:GeneOnly]&amp;mk=1091593:1091612|offset_13|444444,1091560:1091579|offset_46|444444,1091530:1091549|offset_76|444444,1091510:1091529|offset_96|00cc00&amp;v=1091392:1091729&amp;c=444444", "offset 96")</f>
        <v>offset 96</v>
      </c>
    </row>
    <row r="3799" customFormat="false" ht="12.8" hidden="false" customHeight="false" outlineLevel="0" collapsed="false">
      <c r="A3799" s="0" t="s">
        <v>12</v>
      </c>
      <c r="B3799" s="0" t="n">
        <v>1091804</v>
      </c>
      <c r="C3799" s="0" t="n">
        <v>1091824</v>
      </c>
      <c r="D3799" s="0" t="s">
        <v>12702</v>
      </c>
      <c r="E3799" s="0" t="s">
        <v>12703</v>
      </c>
      <c r="F3799" s="0" t="s">
        <v>15</v>
      </c>
      <c r="G3799" s="0" t="s">
        <v>32</v>
      </c>
      <c r="H3799" s="0" t="n">
        <v>1</v>
      </c>
      <c r="I3799" s="0" t="s">
        <v>12704</v>
      </c>
      <c r="J3799" s="0" t="s">
        <v>12705</v>
      </c>
      <c r="K3799" s="0" t="s">
        <v>12706</v>
      </c>
      <c r="L3799" s="0" t="str">
        <f aca="false">HYPERLINK("https://www.ncbi.nlm.nih.gov/nuccore/CP000304.1?report=graph&amp;tracks=[key:gene_model_track,Options:GeneOnly]&amp;mk=1091805:1091824|offset_1|00cc00,1091833:1091852|offset_29|444444,1091898:1091917|offset_94|444444,1091923:1091942|offset_119|444444&amp;v=1091604:1092142&amp;c=444444", "offset 1")</f>
        <v>offset 1</v>
      </c>
    </row>
    <row r="3800" customFormat="false" ht="12.8" hidden="false" customHeight="false" outlineLevel="0" collapsed="false">
      <c r="A3800" s="0" t="s">
        <v>12</v>
      </c>
      <c r="B3800" s="0" t="n">
        <v>1091832</v>
      </c>
      <c r="C3800" s="0" t="n">
        <v>1091852</v>
      </c>
      <c r="D3800" s="0" t="s">
        <v>12702</v>
      </c>
      <c r="E3800" s="0" t="s">
        <v>12703</v>
      </c>
      <c r="F3800" s="0" t="s">
        <v>15</v>
      </c>
      <c r="G3800" s="0" t="s">
        <v>32</v>
      </c>
      <c r="H3800" s="0" t="n">
        <v>29</v>
      </c>
      <c r="I3800" s="0" t="s">
        <v>12707</v>
      </c>
      <c r="J3800" s="0" t="s">
        <v>12708</v>
      </c>
      <c r="K3800" s="0" t="s">
        <v>12709</v>
      </c>
      <c r="L3800" s="0" t="str">
        <f aca="false">HYPERLINK("https://www.ncbi.nlm.nih.gov/nuccore/CP000304.1?report=graph&amp;tracks=[key:gene_model_track,Options:GeneOnly]&amp;mk=1091805:1091824|offset_1|444444,1091833:1091852|offset_29|00cc00,1091898:1091917|offset_94|444444,1091923:1091942|offset_119|444444&amp;v=1091604:1092142&amp;c=444444", "offset 29")</f>
        <v>offset 29</v>
      </c>
    </row>
    <row r="3801" customFormat="false" ht="12.8" hidden="false" customHeight="false" outlineLevel="0" collapsed="false">
      <c r="A3801" s="0" t="s">
        <v>12</v>
      </c>
      <c r="B3801" s="0" t="n">
        <v>1091897</v>
      </c>
      <c r="C3801" s="0" t="n">
        <v>1091917</v>
      </c>
      <c r="D3801" s="0" t="s">
        <v>12702</v>
      </c>
      <c r="E3801" s="0" t="s">
        <v>12703</v>
      </c>
      <c r="F3801" s="0" t="s">
        <v>15</v>
      </c>
      <c r="G3801" s="0" t="s">
        <v>16</v>
      </c>
      <c r="H3801" s="0" t="n">
        <v>94</v>
      </c>
      <c r="I3801" s="0" t="s">
        <v>12710</v>
      </c>
      <c r="J3801" s="0" t="s">
        <v>12711</v>
      </c>
      <c r="K3801" s="0" t="s">
        <v>12712</v>
      </c>
      <c r="L3801" s="0" t="str">
        <f aca="false">HYPERLINK("https://www.ncbi.nlm.nih.gov/nuccore/CP000304.1?report=graph&amp;tracks=[key:gene_model_track,Options:GeneOnly]&amp;mk=1091805:1091824|offset_1|444444,1091833:1091852|offset_29|444444,1091898:1091917|offset_94|00cc00,1091923:1091942|offset_119|444444&amp;v=1091604:1092142&amp;c=444444", "offset 94")</f>
        <v>offset 94</v>
      </c>
    </row>
    <row r="3802" customFormat="false" ht="12.8" hidden="false" customHeight="false" outlineLevel="0" collapsed="false">
      <c r="A3802" s="0" t="s">
        <v>12</v>
      </c>
      <c r="B3802" s="0" t="n">
        <v>1091922</v>
      </c>
      <c r="C3802" s="0" t="n">
        <v>1091942</v>
      </c>
      <c r="D3802" s="0" t="s">
        <v>12702</v>
      </c>
      <c r="E3802" s="0" t="s">
        <v>12703</v>
      </c>
      <c r="F3802" s="0" t="s">
        <v>15</v>
      </c>
      <c r="G3802" s="0" t="s">
        <v>26</v>
      </c>
      <c r="H3802" s="0" t="n">
        <v>119</v>
      </c>
      <c r="I3802" s="0" t="s">
        <v>12713</v>
      </c>
      <c r="J3802" s="0" t="s">
        <v>12714</v>
      </c>
      <c r="K3802" s="0" t="s">
        <v>12715</v>
      </c>
      <c r="L3802" s="0" t="str">
        <f aca="false">HYPERLINK("https://www.ncbi.nlm.nih.gov/nuccore/CP000304.1?report=graph&amp;tracks=[key:gene_model_track,Options:GeneOnly]&amp;mk=1091805:1091824|offset_1|444444,1091833:1091852|offset_29|444444,1091898:1091917|offset_94|444444,1091923:1091942|offset_119|00cc00&amp;v=1091604:1092142&amp;c=444444", "offset 119")</f>
        <v>offset 119</v>
      </c>
    </row>
    <row r="3803" customFormat="false" ht="12.8" hidden="false" customHeight="false" outlineLevel="0" collapsed="false">
      <c r="A3803" s="0" t="s">
        <v>12</v>
      </c>
      <c r="B3803" s="0" t="n">
        <v>1094704</v>
      </c>
      <c r="C3803" s="0" t="n">
        <v>1094724</v>
      </c>
      <c r="D3803" s="0" t="s">
        <v>12716</v>
      </c>
      <c r="E3803" s="0" t="s">
        <v>12717</v>
      </c>
      <c r="F3803" s="0" t="s">
        <v>15</v>
      </c>
      <c r="G3803" s="0" t="s">
        <v>16</v>
      </c>
      <c r="H3803" s="0" t="n">
        <v>19</v>
      </c>
      <c r="I3803" s="0" t="s">
        <v>12718</v>
      </c>
      <c r="J3803" s="0" t="s">
        <v>12719</v>
      </c>
      <c r="K3803" s="0" t="s">
        <v>12720</v>
      </c>
      <c r="L3803" s="0" t="str">
        <f aca="false">HYPERLINK("https://www.ncbi.nlm.nih.gov/nuccore/CP000304.1?report=graph&amp;tracks=[key:gene_model_track,Options:GeneOnly]&amp;mk=1094705:1094724|offset_19|00cc00,1094746:1094765|offset_60|444444,1094784:1094803|offset_98|444444,1094822:1094841|offset_136|444444&amp;v=1094504:1095041&amp;c=444444", "offset 19")</f>
        <v>offset 19</v>
      </c>
    </row>
    <row r="3804" customFormat="false" ht="12.8" hidden="false" customHeight="false" outlineLevel="0" collapsed="false">
      <c r="A3804" s="0" t="s">
        <v>12</v>
      </c>
      <c r="B3804" s="0" t="n">
        <v>1094745</v>
      </c>
      <c r="C3804" s="0" t="n">
        <v>1094765</v>
      </c>
      <c r="D3804" s="0" t="s">
        <v>12716</v>
      </c>
      <c r="E3804" s="0" t="s">
        <v>12717</v>
      </c>
      <c r="F3804" s="0" t="s">
        <v>15</v>
      </c>
      <c r="G3804" s="0" t="s">
        <v>36</v>
      </c>
      <c r="H3804" s="0" t="n">
        <v>60</v>
      </c>
      <c r="I3804" s="0" t="s">
        <v>12721</v>
      </c>
      <c r="J3804" s="0" t="s">
        <v>12722</v>
      </c>
      <c r="K3804" s="0" t="s">
        <v>12723</v>
      </c>
      <c r="L3804" s="0" t="str">
        <f aca="false">HYPERLINK("https://www.ncbi.nlm.nih.gov/nuccore/CP000304.1?report=graph&amp;tracks=[key:gene_model_track,Options:GeneOnly]&amp;mk=1094705:1094724|offset_19|444444,1094746:1094765|offset_60|00cc00,1094784:1094803|offset_98|444444,1094822:1094841|offset_136|444444&amp;v=1094504:1095041&amp;c=444444", "offset 60")</f>
        <v>offset 60</v>
      </c>
    </row>
    <row r="3805" customFormat="false" ht="12.8" hidden="false" customHeight="false" outlineLevel="0" collapsed="false">
      <c r="A3805" s="0" t="s">
        <v>12</v>
      </c>
      <c r="B3805" s="0" t="n">
        <v>1094783</v>
      </c>
      <c r="C3805" s="0" t="n">
        <v>1094803</v>
      </c>
      <c r="D3805" s="0" t="s">
        <v>12716</v>
      </c>
      <c r="E3805" s="0" t="s">
        <v>12717</v>
      </c>
      <c r="F3805" s="0" t="s">
        <v>15</v>
      </c>
      <c r="G3805" s="0" t="s">
        <v>26</v>
      </c>
      <c r="H3805" s="0" t="n">
        <v>98</v>
      </c>
      <c r="I3805" s="0" t="s">
        <v>12724</v>
      </c>
      <c r="J3805" s="0" t="s">
        <v>12725</v>
      </c>
      <c r="K3805" s="0" t="s">
        <v>12726</v>
      </c>
      <c r="L3805" s="0" t="str">
        <f aca="false">HYPERLINK("https://www.ncbi.nlm.nih.gov/nuccore/CP000304.1?report=graph&amp;tracks=[key:gene_model_track,Options:GeneOnly]&amp;mk=1094705:1094724|offset_19|444444,1094746:1094765|offset_60|444444,1094784:1094803|offset_98|00cc00,1094822:1094841|offset_136|444444&amp;v=1094504:1095041&amp;c=444444", "offset 98")</f>
        <v>offset 98</v>
      </c>
    </row>
    <row r="3806" customFormat="false" ht="12.8" hidden="false" customHeight="false" outlineLevel="0" collapsed="false">
      <c r="A3806" s="0" t="s">
        <v>12</v>
      </c>
      <c r="B3806" s="0" t="n">
        <v>1094821</v>
      </c>
      <c r="C3806" s="0" t="n">
        <v>1094841</v>
      </c>
      <c r="D3806" s="0" t="s">
        <v>12716</v>
      </c>
      <c r="E3806" s="0" t="s">
        <v>12717</v>
      </c>
      <c r="F3806" s="0" t="s">
        <v>15</v>
      </c>
      <c r="G3806" s="0" t="s">
        <v>36</v>
      </c>
      <c r="H3806" s="0" t="n">
        <v>136</v>
      </c>
      <c r="I3806" s="0" t="s">
        <v>12727</v>
      </c>
      <c r="J3806" s="0" t="s">
        <v>12728</v>
      </c>
      <c r="K3806" s="0" t="s">
        <v>12729</v>
      </c>
      <c r="L3806" s="0" t="str">
        <f aca="false">HYPERLINK("https://www.ncbi.nlm.nih.gov/nuccore/CP000304.1?report=graph&amp;tracks=[key:gene_model_track,Options:GeneOnly]&amp;mk=1094705:1094724|offset_19|444444,1094746:1094765|offset_60|444444,1094784:1094803|offset_98|444444,1094822:1094841|offset_136|00cc00&amp;v=1094504:1095041&amp;c=444444", "offset 136")</f>
        <v>offset 136</v>
      </c>
    </row>
    <row r="3807" customFormat="false" ht="12.8" hidden="false" customHeight="false" outlineLevel="0" collapsed="false">
      <c r="A3807" s="0" t="s">
        <v>12</v>
      </c>
      <c r="B3807" s="0" t="n">
        <v>1095663</v>
      </c>
      <c r="C3807" s="0" t="n">
        <v>1095683</v>
      </c>
      <c r="D3807" s="0" t="s">
        <v>12730</v>
      </c>
      <c r="E3807" s="0" t="s">
        <v>12731</v>
      </c>
      <c r="F3807" s="0" t="s">
        <v>15</v>
      </c>
      <c r="G3807" s="0" t="s">
        <v>26</v>
      </c>
      <c r="H3807" s="0" t="n">
        <v>25</v>
      </c>
      <c r="I3807" s="0" t="s">
        <v>12732</v>
      </c>
      <c r="J3807" s="0" t="s">
        <v>12733</v>
      </c>
      <c r="K3807" s="0" t="s">
        <v>12734</v>
      </c>
      <c r="L3807" s="0" t="str">
        <f aca="false">HYPERLINK("https://www.ncbi.nlm.nih.gov/nuccore/CP000304.1?report=graph&amp;tracks=[key:gene_model_track,Options:GeneOnly]&amp;mk=1095664:1095683|offset_25|00cc00,1095685:1095704|offset_46|444444,1095715:1095734|offset_76|444444,1095742:1095761|offset_103|444444&amp;v=1095463:1095961&amp;c=444444", "offset 25")</f>
        <v>offset 25</v>
      </c>
    </row>
    <row r="3808" customFormat="false" ht="12.8" hidden="false" customHeight="false" outlineLevel="0" collapsed="false">
      <c r="A3808" s="0" t="s">
        <v>12</v>
      </c>
      <c r="B3808" s="0" t="n">
        <v>1095684</v>
      </c>
      <c r="C3808" s="0" t="n">
        <v>1095704</v>
      </c>
      <c r="D3808" s="0" t="s">
        <v>12730</v>
      </c>
      <c r="E3808" s="0" t="s">
        <v>12731</v>
      </c>
      <c r="F3808" s="0" t="s">
        <v>15</v>
      </c>
      <c r="G3808" s="0" t="s">
        <v>32</v>
      </c>
      <c r="H3808" s="0" t="n">
        <v>46</v>
      </c>
      <c r="I3808" s="0" t="s">
        <v>12735</v>
      </c>
      <c r="J3808" s="0" t="s">
        <v>12736</v>
      </c>
      <c r="K3808" s="0" t="s">
        <v>12737</v>
      </c>
      <c r="L3808" s="0" t="str">
        <f aca="false">HYPERLINK("https://www.ncbi.nlm.nih.gov/nuccore/CP000304.1?report=graph&amp;tracks=[key:gene_model_track,Options:GeneOnly]&amp;mk=1095664:1095683|offset_25|444444,1095685:1095704|offset_46|00cc00,1095715:1095734|offset_76|444444,1095742:1095761|offset_103|444444&amp;v=1095463:1095961&amp;c=444444", "offset 46")</f>
        <v>offset 46</v>
      </c>
    </row>
    <row r="3809" customFormat="false" ht="12.8" hidden="false" customHeight="false" outlineLevel="0" collapsed="false">
      <c r="A3809" s="0" t="s">
        <v>12</v>
      </c>
      <c r="B3809" s="0" t="n">
        <v>1095714</v>
      </c>
      <c r="C3809" s="0" t="n">
        <v>1095734</v>
      </c>
      <c r="D3809" s="0" t="s">
        <v>12730</v>
      </c>
      <c r="E3809" s="0" t="s">
        <v>12731</v>
      </c>
      <c r="F3809" s="0" t="s">
        <v>15</v>
      </c>
      <c r="G3809" s="0" t="s">
        <v>16</v>
      </c>
      <c r="H3809" s="0" t="n">
        <v>76</v>
      </c>
      <c r="I3809" s="0" t="s">
        <v>12738</v>
      </c>
      <c r="J3809" s="0" t="s">
        <v>12739</v>
      </c>
      <c r="K3809" s="0" t="s">
        <v>12740</v>
      </c>
      <c r="L3809" s="0" t="str">
        <f aca="false">HYPERLINK("https://www.ncbi.nlm.nih.gov/nuccore/CP000304.1?report=graph&amp;tracks=[key:gene_model_track,Options:GeneOnly]&amp;mk=1095664:1095683|offset_25|444444,1095685:1095704|offset_46|444444,1095715:1095734|offset_76|00cc00,1095742:1095761|offset_103|444444&amp;v=1095463:1095961&amp;c=444444", "offset 76")</f>
        <v>offset 76</v>
      </c>
    </row>
    <row r="3810" customFormat="false" ht="12.8" hidden="false" customHeight="false" outlineLevel="0" collapsed="false">
      <c r="A3810" s="0" t="s">
        <v>12</v>
      </c>
      <c r="B3810" s="0" t="n">
        <v>1095741</v>
      </c>
      <c r="C3810" s="0" t="n">
        <v>1095761</v>
      </c>
      <c r="D3810" s="0" t="s">
        <v>12730</v>
      </c>
      <c r="E3810" s="0" t="s">
        <v>12731</v>
      </c>
      <c r="F3810" s="0" t="s">
        <v>15</v>
      </c>
      <c r="G3810" s="0" t="s">
        <v>16</v>
      </c>
      <c r="H3810" s="0" t="n">
        <v>103</v>
      </c>
      <c r="I3810" s="0" t="s">
        <v>12741</v>
      </c>
      <c r="J3810" s="0" t="s">
        <v>12742</v>
      </c>
      <c r="K3810" s="0" t="s">
        <v>12743</v>
      </c>
      <c r="L3810" s="0" t="str">
        <f aca="false">HYPERLINK("https://www.ncbi.nlm.nih.gov/nuccore/CP000304.1?report=graph&amp;tracks=[key:gene_model_track,Options:GeneOnly]&amp;mk=1095664:1095683|offset_25|444444,1095685:1095704|offset_46|444444,1095715:1095734|offset_76|444444,1095742:1095761|offset_103|00cc00&amp;v=1095463:1095961&amp;c=444444", "offset 103")</f>
        <v>offset 103</v>
      </c>
    </row>
    <row r="3811" customFormat="false" ht="12.8" hidden="false" customHeight="false" outlineLevel="0" collapsed="false">
      <c r="A3811" s="0" t="s">
        <v>12</v>
      </c>
      <c r="B3811" s="0" t="n">
        <v>1097527</v>
      </c>
      <c r="C3811" s="0" t="n">
        <v>1097547</v>
      </c>
      <c r="D3811" s="0" t="s">
        <v>12744</v>
      </c>
      <c r="E3811" s="0" t="s">
        <v>89</v>
      </c>
      <c r="F3811" s="0" t="s">
        <v>15</v>
      </c>
      <c r="G3811" s="0" t="s">
        <v>36</v>
      </c>
      <c r="H3811" s="0" t="n">
        <v>27</v>
      </c>
      <c r="I3811" s="0" t="s">
        <v>12745</v>
      </c>
      <c r="J3811" s="0" t="s">
        <v>12746</v>
      </c>
      <c r="K3811" s="0" t="s">
        <v>12747</v>
      </c>
      <c r="L3811" s="0" t="str">
        <f aca="false">HYPERLINK("https://www.ncbi.nlm.nih.gov/nuccore/CP000304.1?report=graph&amp;tracks=[key:gene_model_track,Options:GeneOnly]&amp;mk=1097528:1097547|offset_27|00cc00,1097550:1097569|offset_49|444444,1097583:1097602|offset_82|444444,1097619:1097638|offset_118|444444&amp;v=1097327:1097838&amp;c=444444", "offset 27")</f>
        <v>offset 27</v>
      </c>
    </row>
    <row r="3812" customFormat="false" ht="12.8" hidden="false" customHeight="false" outlineLevel="0" collapsed="false">
      <c r="A3812" s="0" t="s">
        <v>12</v>
      </c>
      <c r="B3812" s="0" t="n">
        <v>1097549</v>
      </c>
      <c r="C3812" s="0" t="n">
        <v>1097569</v>
      </c>
      <c r="D3812" s="0" t="s">
        <v>12744</v>
      </c>
      <c r="E3812" s="0" t="s">
        <v>89</v>
      </c>
      <c r="F3812" s="0" t="s">
        <v>15</v>
      </c>
      <c r="G3812" s="0" t="s">
        <v>36</v>
      </c>
      <c r="H3812" s="0" t="n">
        <v>49</v>
      </c>
      <c r="I3812" s="0" t="s">
        <v>12748</v>
      </c>
      <c r="J3812" s="0" t="s">
        <v>12749</v>
      </c>
      <c r="K3812" s="0" t="s">
        <v>12750</v>
      </c>
      <c r="L3812" s="0" t="str">
        <f aca="false">HYPERLINK("https://www.ncbi.nlm.nih.gov/nuccore/CP000304.1?report=graph&amp;tracks=[key:gene_model_track,Options:GeneOnly]&amp;mk=1097528:1097547|offset_27|444444,1097550:1097569|offset_49|00cc00,1097583:1097602|offset_82|444444,1097619:1097638|offset_118|444444&amp;v=1097327:1097838&amp;c=444444", "offset 49")</f>
        <v>offset 49</v>
      </c>
    </row>
    <row r="3813" customFormat="false" ht="12.8" hidden="false" customHeight="false" outlineLevel="0" collapsed="false">
      <c r="A3813" s="0" t="s">
        <v>12</v>
      </c>
      <c r="B3813" s="0" t="n">
        <v>1097582</v>
      </c>
      <c r="C3813" s="0" t="n">
        <v>1097602</v>
      </c>
      <c r="D3813" s="0" t="s">
        <v>12744</v>
      </c>
      <c r="E3813" s="0" t="s">
        <v>89</v>
      </c>
      <c r="F3813" s="0" t="s">
        <v>15</v>
      </c>
      <c r="G3813" s="0" t="s">
        <v>32</v>
      </c>
      <c r="H3813" s="0" t="n">
        <v>82</v>
      </c>
      <c r="I3813" s="0" t="s">
        <v>12751</v>
      </c>
      <c r="J3813" s="0" t="s">
        <v>12752</v>
      </c>
      <c r="K3813" s="0" t="s">
        <v>12753</v>
      </c>
      <c r="L3813" s="0" t="str">
        <f aca="false">HYPERLINK("https://www.ncbi.nlm.nih.gov/nuccore/CP000304.1?report=graph&amp;tracks=[key:gene_model_track,Options:GeneOnly]&amp;mk=1097528:1097547|offset_27|444444,1097550:1097569|offset_49|444444,1097583:1097602|offset_82|00cc00,1097619:1097638|offset_118|444444&amp;v=1097327:1097838&amp;c=444444", "offset 82")</f>
        <v>offset 82</v>
      </c>
    </row>
    <row r="3814" customFormat="false" ht="12.8" hidden="false" customHeight="false" outlineLevel="0" collapsed="false">
      <c r="A3814" s="0" t="s">
        <v>12</v>
      </c>
      <c r="B3814" s="0" t="n">
        <v>1097618</v>
      </c>
      <c r="C3814" s="0" t="n">
        <v>1097638</v>
      </c>
      <c r="D3814" s="0" t="s">
        <v>12744</v>
      </c>
      <c r="E3814" s="0" t="s">
        <v>89</v>
      </c>
      <c r="F3814" s="0" t="s">
        <v>15</v>
      </c>
      <c r="G3814" s="0" t="s">
        <v>26</v>
      </c>
      <c r="H3814" s="0" t="n">
        <v>118</v>
      </c>
      <c r="I3814" s="0" t="s">
        <v>12754</v>
      </c>
      <c r="J3814" s="0" t="s">
        <v>12755</v>
      </c>
      <c r="K3814" s="0" t="s">
        <v>12756</v>
      </c>
      <c r="L3814" s="0" t="str">
        <f aca="false">HYPERLINK("https://www.ncbi.nlm.nih.gov/nuccore/CP000304.1?report=graph&amp;tracks=[key:gene_model_track,Options:GeneOnly]&amp;mk=1097528:1097547|offset_27|444444,1097550:1097569|offset_49|444444,1097583:1097602|offset_82|444444,1097619:1097638|offset_118|00cc00&amp;v=1097327:1097838&amp;c=444444", "offset 118")</f>
        <v>offset 118</v>
      </c>
    </row>
    <row r="3815" customFormat="false" ht="12.8" hidden="false" customHeight="false" outlineLevel="0" collapsed="false">
      <c r="A3815" s="0" t="s">
        <v>12</v>
      </c>
      <c r="B3815" s="0" t="n">
        <v>1100700</v>
      </c>
      <c r="C3815" s="0" t="n">
        <v>1100720</v>
      </c>
      <c r="D3815" s="0" t="s">
        <v>12757</v>
      </c>
      <c r="E3815" s="0" t="s">
        <v>89</v>
      </c>
      <c r="F3815" s="0" t="s">
        <v>90</v>
      </c>
      <c r="G3815" s="0" t="s">
        <v>26</v>
      </c>
      <c r="H3815" s="0" t="n">
        <v>21</v>
      </c>
      <c r="I3815" s="0" t="s">
        <v>12758</v>
      </c>
      <c r="J3815" s="0" t="s">
        <v>12759</v>
      </c>
      <c r="K3815" s="0" t="s">
        <v>12760</v>
      </c>
      <c r="L3815" s="0" t="str">
        <f aca="false">HYPERLINK("https://www.ncbi.nlm.nih.gov/nuccore/CP000304.1?report=graph&amp;tracks=[key:gene_model_track,Options:GeneOnly]&amp;mk=1100701:1100720|offset_21|00cc00,1100674:1100693|offset_48|444444,1100648:1100667|offset_74|444444,1100621:1100640|offset_101|444444&amp;v=1100500:1100840&amp;c=444444", "offset 21")</f>
        <v>offset 21</v>
      </c>
    </row>
    <row r="3816" customFormat="false" ht="12.8" hidden="false" customHeight="false" outlineLevel="0" collapsed="false">
      <c r="A3816" s="0" t="s">
        <v>12</v>
      </c>
      <c r="B3816" s="0" t="n">
        <v>1100673</v>
      </c>
      <c r="C3816" s="0" t="n">
        <v>1100693</v>
      </c>
      <c r="D3816" s="0" t="s">
        <v>12757</v>
      </c>
      <c r="E3816" s="0" t="s">
        <v>89</v>
      </c>
      <c r="F3816" s="0" t="s">
        <v>90</v>
      </c>
      <c r="G3816" s="0" t="s">
        <v>26</v>
      </c>
      <c r="H3816" s="0" t="n">
        <v>48</v>
      </c>
      <c r="I3816" s="0" t="s">
        <v>12761</v>
      </c>
      <c r="J3816" s="0" t="s">
        <v>12762</v>
      </c>
      <c r="K3816" s="0" t="s">
        <v>12763</v>
      </c>
      <c r="L3816" s="0" t="str">
        <f aca="false">HYPERLINK("https://www.ncbi.nlm.nih.gov/nuccore/CP000304.1?report=graph&amp;tracks=[key:gene_model_track,Options:GeneOnly]&amp;mk=1100701:1100720|offset_21|444444,1100674:1100693|offset_48|00cc00,1100648:1100667|offset_74|444444,1100621:1100640|offset_101|444444&amp;v=1100500:1100840&amp;c=444444", "offset 48")</f>
        <v>offset 48</v>
      </c>
    </row>
    <row r="3817" customFormat="false" ht="12.8" hidden="false" customHeight="false" outlineLevel="0" collapsed="false">
      <c r="A3817" s="0" t="s">
        <v>12</v>
      </c>
      <c r="B3817" s="0" t="n">
        <v>1100647</v>
      </c>
      <c r="C3817" s="0" t="n">
        <v>1100667</v>
      </c>
      <c r="D3817" s="0" t="s">
        <v>12757</v>
      </c>
      <c r="E3817" s="0" t="s">
        <v>89</v>
      </c>
      <c r="F3817" s="0" t="s">
        <v>90</v>
      </c>
      <c r="G3817" s="0" t="s">
        <v>16</v>
      </c>
      <c r="H3817" s="0" t="n">
        <v>74</v>
      </c>
      <c r="I3817" s="0" t="s">
        <v>12764</v>
      </c>
      <c r="J3817" s="0" t="s">
        <v>12765</v>
      </c>
      <c r="K3817" s="0" t="s">
        <v>12766</v>
      </c>
      <c r="L3817" s="0" t="str">
        <f aca="false">HYPERLINK("https://www.ncbi.nlm.nih.gov/nuccore/CP000304.1?report=graph&amp;tracks=[key:gene_model_track,Options:GeneOnly]&amp;mk=1100701:1100720|offset_21|444444,1100674:1100693|offset_48|444444,1100648:1100667|offset_74|00cc00,1100621:1100640|offset_101|444444&amp;v=1100500:1100840&amp;c=444444", "offset 74")</f>
        <v>offset 74</v>
      </c>
    </row>
    <row r="3818" customFormat="false" ht="12.8" hidden="false" customHeight="false" outlineLevel="0" collapsed="false">
      <c r="A3818" s="0" t="s">
        <v>12</v>
      </c>
      <c r="B3818" s="0" t="n">
        <v>1100620</v>
      </c>
      <c r="C3818" s="0" t="n">
        <v>1100640</v>
      </c>
      <c r="D3818" s="0" t="s">
        <v>12757</v>
      </c>
      <c r="E3818" s="0" t="s">
        <v>89</v>
      </c>
      <c r="F3818" s="0" t="s">
        <v>90</v>
      </c>
      <c r="G3818" s="0" t="s">
        <v>32</v>
      </c>
      <c r="H3818" s="0" t="n">
        <v>101</v>
      </c>
      <c r="I3818" s="0" t="s">
        <v>12767</v>
      </c>
      <c r="J3818" s="0" t="s">
        <v>12768</v>
      </c>
      <c r="K3818" s="0" t="s">
        <v>12769</v>
      </c>
      <c r="L3818" s="0" t="str">
        <f aca="false">HYPERLINK("https://www.ncbi.nlm.nih.gov/nuccore/CP000304.1?report=graph&amp;tracks=[key:gene_model_track,Options:GeneOnly]&amp;mk=1100701:1100720|offset_21|444444,1100674:1100693|offset_48|444444,1100648:1100667|offset_74|444444,1100621:1100640|offset_101|00cc00&amp;v=1100500:1100840&amp;c=444444", "offset 101")</f>
        <v>offset 101</v>
      </c>
    </row>
    <row r="3819" customFormat="false" ht="12.8" hidden="false" customHeight="false" outlineLevel="0" collapsed="false">
      <c r="A3819" s="0" t="s">
        <v>12</v>
      </c>
      <c r="B3819" s="0" t="n">
        <v>1102340</v>
      </c>
      <c r="C3819" s="0" t="n">
        <v>1102360</v>
      </c>
      <c r="D3819" s="0" t="s">
        <v>12770</v>
      </c>
      <c r="E3819" s="0" t="s">
        <v>12771</v>
      </c>
      <c r="F3819" s="0" t="s">
        <v>90</v>
      </c>
      <c r="G3819" s="0" t="s">
        <v>16</v>
      </c>
      <c r="H3819" s="0" t="n">
        <v>0</v>
      </c>
      <c r="I3819" s="0" t="s">
        <v>12772</v>
      </c>
      <c r="J3819" s="0" t="s">
        <v>12773</v>
      </c>
      <c r="K3819" s="0" t="s">
        <v>12774</v>
      </c>
      <c r="L3819" s="0" t="str">
        <f aca="false">HYPERLINK("https://www.ncbi.nlm.nih.gov/nuccore/CP000304.1?report=graph&amp;tracks=[key:gene_model_track,Options:GeneOnly]&amp;mk=1102341:1102360|offset_0|00cc00,1102306:1102325|offset_35|444444,1102282:1102301|offset_59|444444,1102262:1102281|offset_79|444444&amp;v=1102140:1102481&amp;c=444444", "offset 0")</f>
        <v>offset 0</v>
      </c>
    </row>
    <row r="3820" customFormat="false" ht="12.8" hidden="false" customHeight="false" outlineLevel="0" collapsed="false">
      <c r="A3820" s="0" t="s">
        <v>12</v>
      </c>
      <c r="B3820" s="0" t="n">
        <v>1102305</v>
      </c>
      <c r="C3820" s="0" t="n">
        <v>1102325</v>
      </c>
      <c r="D3820" s="0" t="s">
        <v>12770</v>
      </c>
      <c r="E3820" s="0" t="s">
        <v>12771</v>
      </c>
      <c r="F3820" s="0" t="s">
        <v>90</v>
      </c>
      <c r="G3820" s="0" t="s">
        <v>16</v>
      </c>
      <c r="H3820" s="0" t="n">
        <v>35</v>
      </c>
      <c r="I3820" s="0" t="s">
        <v>12775</v>
      </c>
      <c r="J3820" s="0" t="s">
        <v>12776</v>
      </c>
      <c r="K3820" s="0" t="s">
        <v>12777</v>
      </c>
      <c r="L3820" s="0" t="str">
        <f aca="false">HYPERLINK("https://www.ncbi.nlm.nih.gov/nuccore/CP000304.1?report=graph&amp;tracks=[key:gene_model_track,Options:GeneOnly]&amp;mk=1102341:1102360|offset_0|444444,1102306:1102325|offset_35|00cc00,1102282:1102301|offset_59|444444,1102262:1102281|offset_79|444444&amp;v=1102140:1102481&amp;c=444444", "offset 35")</f>
        <v>offset 35</v>
      </c>
    </row>
    <row r="3821" customFormat="false" ht="12.8" hidden="false" customHeight="false" outlineLevel="0" collapsed="false">
      <c r="A3821" s="0" t="s">
        <v>12</v>
      </c>
      <c r="B3821" s="0" t="n">
        <v>1102281</v>
      </c>
      <c r="C3821" s="0" t="n">
        <v>1102301</v>
      </c>
      <c r="D3821" s="0" t="s">
        <v>12770</v>
      </c>
      <c r="E3821" s="0" t="s">
        <v>12771</v>
      </c>
      <c r="F3821" s="0" t="s">
        <v>90</v>
      </c>
      <c r="G3821" s="0" t="s">
        <v>36</v>
      </c>
      <c r="H3821" s="0" t="n">
        <v>59</v>
      </c>
      <c r="I3821" s="0" t="s">
        <v>12778</v>
      </c>
      <c r="J3821" s="0" t="s">
        <v>12779</v>
      </c>
      <c r="K3821" s="0" t="s">
        <v>12780</v>
      </c>
      <c r="L3821" s="0" t="str">
        <f aca="false">HYPERLINK("https://www.ncbi.nlm.nih.gov/nuccore/CP000304.1?report=graph&amp;tracks=[key:gene_model_track,Options:GeneOnly]&amp;mk=1102341:1102360|offset_0|444444,1102306:1102325|offset_35|444444,1102282:1102301|offset_59|00cc00,1102262:1102281|offset_79|444444&amp;v=1102140:1102481&amp;c=444444", "offset 59")</f>
        <v>offset 59</v>
      </c>
    </row>
    <row r="3822" customFormat="false" ht="12.8" hidden="false" customHeight="false" outlineLevel="0" collapsed="false">
      <c r="A3822" s="0" t="s">
        <v>12</v>
      </c>
      <c r="B3822" s="0" t="n">
        <v>1102261</v>
      </c>
      <c r="C3822" s="0" t="n">
        <v>1102281</v>
      </c>
      <c r="D3822" s="0" t="s">
        <v>12770</v>
      </c>
      <c r="E3822" s="0" t="s">
        <v>12771</v>
      </c>
      <c r="F3822" s="0" t="s">
        <v>90</v>
      </c>
      <c r="G3822" s="0" t="s">
        <v>32</v>
      </c>
      <c r="H3822" s="0" t="n">
        <v>79</v>
      </c>
      <c r="I3822" s="0" t="s">
        <v>12781</v>
      </c>
      <c r="J3822" s="0" t="s">
        <v>12782</v>
      </c>
      <c r="K3822" s="0" t="s">
        <v>12783</v>
      </c>
      <c r="L3822" s="0" t="str">
        <f aca="false">HYPERLINK("https://www.ncbi.nlm.nih.gov/nuccore/CP000304.1?report=graph&amp;tracks=[key:gene_model_track,Options:GeneOnly]&amp;mk=1102341:1102360|offset_0|444444,1102306:1102325|offset_35|444444,1102282:1102301|offset_59|444444,1102262:1102281|offset_79|00cc00&amp;v=1102140:1102481&amp;c=444444", "offset 79")</f>
        <v>offset 79</v>
      </c>
    </row>
    <row r="3823" customFormat="false" ht="12.8" hidden="false" customHeight="false" outlineLevel="0" collapsed="false">
      <c r="A3823" s="0" t="s">
        <v>12</v>
      </c>
      <c r="B3823" s="0" t="n">
        <v>1102794</v>
      </c>
      <c r="C3823" s="0" t="n">
        <v>1102814</v>
      </c>
      <c r="D3823" s="0" t="s">
        <v>12784</v>
      </c>
      <c r="E3823" s="0" t="s">
        <v>89</v>
      </c>
      <c r="F3823" s="0" t="s">
        <v>15</v>
      </c>
      <c r="G3823" s="0" t="s">
        <v>36</v>
      </c>
      <c r="H3823" s="0" t="n">
        <v>29</v>
      </c>
      <c r="I3823" s="0" t="s">
        <v>12785</v>
      </c>
      <c r="J3823" s="0" t="s">
        <v>12786</v>
      </c>
      <c r="K3823" s="0" t="s">
        <v>12787</v>
      </c>
      <c r="L3823" s="0" t="str">
        <f aca="false">HYPERLINK("https://www.ncbi.nlm.nih.gov/nuccore/CP000304.1?report=graph&amp;tracks=[key:gene_model_track,Options:GeneOnly]&amp;mk=1102795:1102814|offset_29|00cc00,1102830:1102849|offset_64|444444,1102866:1102885|offset_100|444444,1102894:1102913|offset_128|444444&amp;v=1102594:1103113&amp;c=444444", "offset 29")</f>
        <v>offset 29</v>
      </c>
    </row>
    <row r="3824" customFormat="false" ht="12.8" hidden="false" customHeight="false" outlineLevel="0" collapsed="false">
      <c r="A3824" s="0" t="s">
        <v>12</v>
      </c>
      <c r="B3824" s="0" t="n">
        <v>1102829</v>
      </c>
      <c r="C3824" s="0" t="n">
        <v>1102849</v>
      </c>
      <c r="D3824" s="0" t="s">
        <v>12784</v>
      </c>
      <c r="E3824" s="0" t="s">
        <v>89</v>
      </c>
      <c r="F3824" s="0" t="s">
        <v>15</v>
      </c>
      <c r="G3824" s="0" t="s">
        <v>16</v>
      </c>
      <c r="H3824" s="0" t="n">
        <v>64</v>
      </c>
      <c r="I3824" s="0" t="s">
        <v>12788</v>
      </c>
      <c r="J3824" s="0" t="s">
        <v>12789</v>
      </c>
      <c r="K3824" s="0" t="s">
        <v>12790</v>
      </c>
      <c r="L3824" s="0" t="str">
        <f aca="false">HYPERLINK("https://www.ncbi.nlm.nih.gov/nuccore/CP000304.1?report=graph&amp;tracks=[key:gene_model_track,Options:GeneOnly]&amp;mk=1102795:1102814|offset_29|444444,1102830:1102849|offset_64|00cc00,1102866:1102885|offset_100|444444,1102894:1102913|offset_128|444444&amp;v=1102594:1103113&amp;c=444444", "offset 64")</f>
        <v>offset 64</v>
      </c>
    </row>
    <row r="3825" customFormat="false" ht="12.8" hidden="false" customHeight="false" outlineLevel="0" collapsed="false">
      <c r="A3825" s="0" t="s">
        <v>12</v>
      </c>
      <c r="B3825" s="0" t="n">
        <v>1102865</v>
      </c>
      <c r="C3825" s="0" t="n">
        <v>1102885</v>
      </c>
      <c r="D3825" s="0" t="s">
        <v>12784</v>
      </c>
      <c r="E3825" s="0" t="s">
        <v>89</v>
      </c>
      <c r="F3825" s="0" t="s">
        <v>15</v>
      </c>
      <c r="G3825" s="0" t="s">
        <v>16</v>
      </c>
      <c r="H3825" s="0" t="n">
        <v>100</v>
      </c>
      <c r="I3825" s="0" t="s">
        <v>12791</v>
      </c>
      <c r="J3825" s="0" t="s">
        <v>12792</v>
      </c>
      <c r="K3825" s="0" t="s">
        <v>12793</v>
      </c>
      <c r="L3825" s="0" t="str">
        <f aca="false">HYPERLINK("https://www.ncbi.nlm.nih.gov/nuccore/CP000304.1?report=graph&amp;tracks=[key:gene_model_track,Options:GeneOnly]&amp;mk=1102795:1102814|offset_29|444444,1102830:1102849|offset_64|444444,1102866:1102885|offset_100|00cc00,1102894:1102913|offset_128|444444&amp;v=1102594:1103113&amp;c=444444", "offset 100")</f>
        <v>offset 100</v>
      </c>
    </row>
    <row r="3826" customFormat="false" ht="12.8" hidden="false" customHeight="false" outlineLevel="0" collapsed="false">
      <c r="A3826" s="0" t="s">
        <v>12</v>
      </c>
      <c r="B3826" s="0" t="n">
        <v>1102893</v>
      </c>
      <c r="C3826" s="0" t="n">
        <v>1102913</v>
      </c>
      <c r="D3826" s="0" t="s">
        <v>12784</v>
      </c>
      <c r="E3826" s="0" t="s">
        <v>89</v>
      </c>
      <c r="F3826" s="0" t="s">
        <v>15</v>
      </c>
      <c r="G3826" s="0" t="s">
        <v>26</v>
      </c>
      <c r="H3826" s="0" t="n">
        <v>128</v>
      </c>
      <c r="I3826" s="0" t="s">
        <v>12794</v>
      </c>
      <c r="J3826" s="0" t="s">
        <v>12795</v>
      </c>
      <c r="K3826" s="0" t="s">
        <v>12796</v>
      </c>
      <c r="L3826" s="0" t="str">
        <f aca="false">HYPERLINK("https://www.ncbi.nlm.nih.gov/nuccore/CP000304.1?report=graph&amp;tracks=[key:gene_model_track,Options:GeneOnly]&amp;mk=1102795:1102814|offset_29|444444,1102830:1102849|offset_64|444444,1102866:1102885|offset_100|444444,1102894:1102913|offset_128|00cc00&amp;v=1102594:1103113&amp;c=444444", "offset 128")</f>
        <v>offset 128</v>
      </c>
    </row>
    <row r="3827" customFormat="false" ht="12.8" hidden="false" customHeight="false" outlineLevel="0" collapsed="false">
      <c r="A3827" s="0" t="s">
        <v>12</v>
      </c>
      <c r="B3827" s="0" t="n">
        <v>1105406</v>
      </c>
      <c r="C3827" s="0" t="n">
        <v>1105426</v>
      </c>
      <c r="D3827" s="0" t="s">
        <v>12797</v>
      </c>
      <c r="E3827" s="0" t="s">
        <v>89</v>
      </c>
      <c r="F3827" s="0" t="s">
        <v>90</v>
      </c>
      <c r="G3827" s="0" t="s">
        <v>36</v>
      </c>
      <c r="H3827" s="0" t="n">
        <v>0</v>
      </c>
      <c r="I3827" s="0" t="s">
        <v>12798</v>
      </c>
      <c r="J3827" s="0" t="s">
        <v>12799</v>
      </c>
      <c r="K3827" s="0" t="s">
        <v>12800</v>
      </c>
      <c r="L3827" s="0" t="str">
        <f aca="false">HYPERLINK("https://www.ncbi.nlm.nih.gov/nuccore/CP000304.1?report=graph&amp;tracks=[key:gene_model_track,Options:GeneOnly]&amp;mk=1105407:1105426|offset_0|00cc00,1105376:1105395|offset_31|444444,1105354:1105373|offset_53|444444,1105331:1105350|offset_76|444444&amp;v=1105206:1105550&amp;c=444444", "offset 0")</f>
        <v>offset 0</v>
      </c>
    </row>
    <row r="3828" customFormat="false" ht="12.8" hidden="false" customHeight="false" outlineLevel="0" collapsed="false">
      <c r="A3828" s="0" t="s">
        <v>12</v>
      </c>
      <c r="B3828" s="0" t="n">
        <v>1105375</v>
      </c>
      <c r="C3828" s="0" t="n">
        <v>1105395</v>
      </c>
      <c r="D3828" s="0" t="s">
        <v>12797</v>
      </c>
      <c r="E3828" s="0" t="s">
        <v>89</v>
      </c>
      <c r="F3828" s="0" t="s">
        <v>90</v>
      </c>
      <c r="G3828" s="0" t="s">
        <v>36</v>
      </c>
      <c r="H3828" s="0" t="n">
        <v>31</v>
      </c>
      <c r="I3828" s="0" t="s">
        <v>12801</v>
      </c>
      <c r="J3828" s="0" t="s">
        <v>12802</v>
      </c>
      <c r="K3828" s="0" t="s">
        <v>12803</v>
      </c>
      <c r="L3828" s="0" t="str">
        <f aca="false">HYPERLINK("https://www.ncbi.nlm.nih.gov/nuccore/CP000304.1?report=graph&amp;tracks=[key:gene_model_track,Options:GeneOnly]&amp;mk=1105407:1105426|offset_0|444444,1105376:1105395|offset_31|00cc00,1105354:1105373|offset_53|444444,1105331:1105350|offset_76|444444&amp;v=1105206:1105550&amp;c=444444", "offset 31")</f>
        <v>offset 31</v>
      </c>
    </row>
    <row r="3829" customFormat="false" ht="12.8" hidden="false" customHeight="false" outlineLevel="0" collapsed="false">
      <c r="A3829" s="0" t="s">
        <v>12</v>
      </c>
      <c r="B3829" s="0" t="n">
        <v>1105353</v>
      </c>
      <c r="C3829" s="0" t="n">
        <v>1105373</v>
      </c>
      <c r="D3829" s="0" t="s">
        <v>12797</v>
      </c>
      <c r="E3829" s="0" t="s">
        <v>89</v>
      </c>
      <c r="F3829" s="0" t="s">
        <v>90</v>
      </c>
      <c r="G3829" s="0" t="s">
        <v>16</v>
      </c>
      <c r="H3829" s="0" t="n">
        <v>53</v>
      </c>
      <c r="I3829" s="0" t="s">
        <v>12804</v>
      </c>
      <c r="J3829" s="0" t="s">
        <v>12805</v>
      </c>
      <c r="K3829" s="0" t="s">
        <v>12806</v>
      </c>
      <c r="L3829" s="0" t="str">
        <f aca="false">HYPERLINK("https://www.ncbi.nlm.nih.gov/nuccore/CP000304.1?report=graph&amp;tracks=[key:gene_model_track,Options:GeneOnly]&amp;mk=1105407:1105426|offset_0|444444,1105376:1105395|offset_31|444444,1105354:1105373|offset_53|00cc00,1105331:1105350|offset_76|444444&amp;v=1105206:1105550&amp;c=444444", "offset 53")</f>
        <v>offset 53</v>
      </c>
    </row>
    <row r="3830" customFormat="false" ht="12.8" hidden="false" customHeight="false" outlineLevel="0" collapsed="false">
      <c r="A3830" s="0" t="s">
        <v>12</v>
      </c>
      <c r="B3830" s="0" t="n">
        <v>1105330</v>
      </c>
      <c r="C3830" s="0" t="n">
        <v>1105350</v>
      </c>
      <c r="D3830" s="0" t="s">
        <v>12797</v>
      </c>
      <c r="E3830" s="0" t="s">
        <v>89</v>
      </c>
      <c r="F3830" s="0" t="s">
        <v>90</v>
      </c>
      <c r="G3830" s="0" t="s">
        <v>26</v>
      </c>
      <c r="H3830" s="0" t="n">
        <v>76</v>
      </c>
      <c r="I3830" s="0" t="s">
        <v>12807</v>
      </c>
      <c r="J3830" s="0" t="s">
        <v>12808</v>
      </c>
      <c r="K3830" s="0" t="s">
        <v>12809</v>
      </c>
      <c r="L3830" s="0" t="str">
        <f aca="false">HYPERLINK("https://www.ncbi.nlm.nih.gov/nuccore/CP000304.1?report=graph&amp;tracks=[key:gene_model_track,Options:GeneOnly]&amp;mk=1105407:1105426|offset_0|444444,1105376:1105395|offset_31|444444,1105354:1105373|offset_53|444444,1105331:1105350|offset_76|00cc00&amp;v=1105206:1105550&amp;c=444444", "offset 76")</f>
        <v>offset 76</v>
      </c>
    </row>
    <row r="3831" customFormat="false" ht="12.8" hidden="false" customHeight="false" outlineLevel="0" collapsed="false">
      <c r="A3831" s="0" t="s">
        <v>12</v>
      </c>
      <c r="B3831" s="0" t="n">
        <v>1105564</v>
      </c>
      <c r="C3831" s="0" t="n">
        <v>1105584</v>
      </c>
      <c r="D3831" s="0" t="s">
        <v>12810</v>
      </c>
      <c r="E3831" s="0" t="s">
        <v>89</v>
      </c>
      <c r="F3831" s="0" t="s">
        <v>15</v>
      </c>
      <c r="G3831" s="0" t="s">
        <v>32</v>
      </c>
      <c r="H3831" s="0" t="n">
        <v>1</v>
      </c>
      <c r="I3831" s="0" t="s">
        <v>12811</v>
      </c>
      <c r="J3831" s="0" t="s">
        <v>12812</v>
      </c>
      <c r="K3831" s="0" t="s">
        <v>12813</v>
      </c>
      <c r="L3831" s="0" t="str">
        <f aca="false">HYPERLINK("https://www.ncbi.nlm.nih.gov/nuccore/CP000304.1?report=graph&amp;tracks=[key:gene_model_track,Options:GeneOnly]&amp;mk=1105565:1105584|offset_1|00cc00,1105592:1105611|offset_28|444444,1105631:1105650|offset_67|444444,1105651:1105670|offset_87|444444&amp;v=1105364:1105870&amp;c=444444", "offset 1")</f>
        <v>offset 1</v>
      </c>
    </row>
    <row r="3832" customFormat="false" ht="12.8" hidden="false" customHeight="false" outlineLevel="0" collapsed="false">
      <c r="A3832" s="0" t="s">
        <v>12</v>
      </c>
      <c r="B3832" s="0" t="n">
        <v>1105591</v>
      </c>
      <c r="C3832" s="0" t="n">
        <v>1105611</v>
      </c>
      <c r="D3832" s="0" t="s">
        <v>12810</v>
      </c>
      <c r="E3832" s="0" t="s">
        <v>89</v>
      </c>
      <c r="F3832" s="0" t="s">
        <v>15</v>
      </c>
      <c r="G3832" s="0" t="s">
        <v>36</v>
      </c>
      <c r="H3832" s="0" t="n">
        <v>28</v>
      </c>
      <c r="I3832" s="0" t="s">
        <v>12814</v>
      </c>
      <c r="J3832" s="0" t="s">
        <v>12815</v>
      </c>
      <c r="K3832" s="0" t="s">
        <v>12816</v>
      </c>
      <c r="L3832" s="0" t="str">
        <f aca="false">HYPERLINK("https://www.ncbi.nlm.nih.gov/nuccore/CP000304.1?report=graph&amp;tracks=[key:gene_model_track,Options:GeneOnly]&amp;mk=1105565:1105584|offset_1|444444,1105592:1105611|offset_28|00cc00,1105631:1105650|offset_67|444444,1105651:1105670|offset_87|444444&amp;v=1105364:1105870&amp;c=444444", "offset 28")</f>
        <v>offset 28</v>
      </c>
    </row>
    <row r="3833" customFormat="false" ht="12.8" hidden="false" customHeight="false" outlineLevel="0" collapsed="false">
      <c r="A3833" s="0" t="s">
        <v>12</v>
      </c>
      <c r="B3833" s="0" t="n">
        <v>1105630</v>
      </c>
      <c r="C3833" s="0" t="n">
        <v>1105650</v>
      </c>
      <c r="D3833" s="0" t="s">
        <v>12810</v>
      </c>
      <c r="E3833" s="0" t="s">
        <v>89</v>
      </c>
      <c r="F3833" s="0" t="s">
        <v>15</v>
      </c>
      <c r="G3833" s="0" t="s">
        <v>36</v>
      </c>
      <c r="H3833" s="0" t="n">
        <v>67</v>
      </c>
      <c r="I3833" s="0" t="s">
        <v>12817</v>
      </c>
      <c r="J3833" s="0" t="s">
        <v>12818</v>
      </c>
      <c r="K3833" s="0" t="s">
        <v>12819</v>
      </c>
      <c r="L3833" s="0" t="str">
        <f aca="false">HYPERLINK("https://www.ncbi.nlm.nih.gov/nuccore/CP000304.1?report=graph&amp;tracks=[key:gene_model_track,Options:GeneOnly]&amp;mk=1105565:1105584|offset_1|444444,1105592:1105611|offset_28|444444,1105631:1105650|offset_67|00cc00,1105651:1105670|offset_87|444444&amp;v=1105364:1105870&amp;c=444444", "offset 67")</f>
        <v>offset 67</v>
      </c>
    </row>
    <row r="3834" customFormat="false" ht="12.8" hidden="false" customHeight="false" outlineLevel="0" collapsed="false">
      <c r="A3834" s="0" t="s">
        <v>12</v>
      </c>
      <c r="B3834" s="0" t="n">
        <v>1105650</v>
      </c>
      <c r="C3834" s="0" t="n">
        <v>1105670</v>
      </c>
      <c r="D3834" s="0" t="s">
        <v>12810</v>
      </c>
      <c r="E3834" s="0" t="s">
        <v>89</v>
      </c>
      <c r="F3834" s="0" t="s">
        <v>15</v>
      </c>
      <c r="G3834" s="0" t="s">
        <v>36</v>
      </c>
      <c r="H3834" s="0" t="n">
        <v>87</v>
      </c>
      <c r="I3834" s="0" t="s">
        <v>12820</v>
      </c>
      <c r="J3834" s="0" t="s">
        <v>12821</v>
      </c>
      <c r="K3834" s="0" t="s">
        <v>12822</v>
      </c>
      <c r="L3834" s="0" t="str">
        <f aca="false">HYPERLINK("https://www.ncbi.nlm.nih.gov/nuccore/CP000304.1?report=graph&amp;tracks=[key:gene_model_track,Options:GeneOnly]&amp;mk=1105565:1105584|offset_1|444444,1105592:1105611|offset_28|444444,1105631:1105650|offset_67|444444,1105651:1105670|offset_87|00cc00&amp;v=1105364:1105870&amp;c=444444", "offset 87")</f>
        <v>offset 87</v>
      </c>
    </row>
    <row r="3835" customFormat="false" ht="12.8" hidden="false" customHeight="false" outlineLevel="0" collapsed="false">
      <c r="A3835" s="0" t="s">
        <v>12</v>
      </c>
      <c r="B3835" s="0" t="n">
        <v>1109251</v>
      </c>
      <c r="C3835" s="0" t="n">
        <v>1109271</v>
      </c>
      <c r="D3835" s="0" t="s">
        <v>12823</v>
      </c>
      <c r="E3835" s="0" t="s">
        <v>89</v>
      </c>
      <c r="F3835" s="0" t="s">
        <v>90</v>
      </c>
      <c r="G3835" s="0" t="s">
        <v>36</v>
      </c>
      <c r="H3835" s="0" t="n">
        <v>59</v>
      </c>
      <c r="I3835" s="0" t="s">
        <v>12824</v>
      </c>
      <c r="J3835" s="0" t="s">
        <v>12825</v>
      </c>
      <c r="K3835" s="0" t="s">
        <v>12826</v>
      </c>
      <c r="L3835" s="0" t="str">
        <f aca="false">HYPERLINK("https://www.ncbi.nlm.nih.gov/nuccore/CP000304.1?report=graph&amp;tracks=[key:gene_model_track,Options:GeneOnly]&amp;mk=1109252:1109271|offset_59|00cc00,1109231:1109250|offset_80|444444,1109211:1109230|offset_100|444444,1109175:1109194|offset_136|444444&amp;v=1109051:1109394&amp;c=444444", "offset 59")</f>
        <v>offset 59</v>
      </c>
    </row>
    <row r="3836" customFormat="false" ht="12.8" hidden="false" customHeight="false" outlineLevel="0" collapsed="false">
      <c r="A3836" s="0" t="s">
        <v>12</v>
      </c>
      <c r="B3836" s="0" t="n">
        <v>1109230</v>
      </c>
      <c r="C3836" s="0" t="n">
        <v>1109250</v>
      </c>
      <c r="D3836" s="0" t="s">
        <v>12823</v>
      </c>
      <c r="E3836" s="0" t="s">
        <v>89</v>
      </c>
      <c r="F3836" s="0" t="s">
        <v>90</v>
      </c>
      <c r="G3836" s="0" t="s">
        <v>36</v>
      </c>
      <c r="H3836" s="0" t="n">
        <v>80</v>
      </c>
      <c r="I3836" s="0" t="s">
        <v>12827</v>
      </c>
      <c r="J3836" s="0" t="s">
        <v>12828</v>
      </c>
      <c r="K3836" s="0" t="s">
        <v>12829</v>
      </c>
      <c r="L3836" s="0" t="str">
        <f aca="false">HYPERLINK("https://www.ncbi.nlm.nih.gov/nuccore/CP000304.1?report=graph&amp;tracks=[key:gene_model_track,Options:GeneOnly]&amp;mk=1109252:1109271|offset_59|444444,1109231:1109250|offset_80|00cc00,1109211:1109230|offset_100|444444,1109175:1109194|offset_136|444444&amp;v=1109051:1109394&amp;c=444444", "offset 80")</f>
        <v>offset 80</v>
      </c>
    </row>
    <row r="3837" customFormat="false" ht="12.8" hidden="false" customHeight="false" outlineLevel="0" collapsed="false">
      <c r="A3837" s="0" t="s">
        <v>12</v>
      </c>
      <c r="B3837" s="0" t="n">
        <v>1109210</v>
      </c>
      <c r="C3837" s="0" t="n">
        <v>1109230</v>
      </c>
      <c r="D3837" s="0" t="s">
        <v>12823</v>
      </c>
      <c r="E3837" s="0" t="s">
        <v>89</v>
      </c>
      <c r="F3837" s="0" t="s">
        <v>90</v>
      </c>
      <c r="G3837" s="0" t="s">
        <v>26</v>
      </c>
      <c r="H3837" s="0" t="n">
        <v>100</v>
      </c>
      <c r="I3837" s="0" t="s">
        <v>12830</v>
      </c>
      <c r="J3837" s="0" t="s">
        <v>12831</v>
      </c>
      <c r="K3837" s="0" t="s">
        <v>12832</v>
      </c>
      <c r="L3837" s="0" t="str">
        <f aca="false">HYPERLINK("https://www.ncbi.nlm.nih.gov/nuccore/CP000304.1?report=graph&amp;tracks=[key:gene_model_track,Options:GeneOnly]&amp;mk=1109252:1109271|offset_59|444444,1109231:1109250|offset_80|444444,1109211:1109230|offset_100|00cc00,1109175:1109194|offset_136|444444&amp;v=1109051:1109394&amp;c=444444", "offset 100")</f>
        <v>offset 100</v>
      </c>
    </row>
    <row r="3838" customFormat="false" ht="12.8" hidden="false" customHeight="false" outlineLevel="0" collapsed="false">
      <c r="A3838" s="0" t="s">
        <v>12</v>
      </c>
      <c r="B3838" s="0" t="n">
        <v>1109174</v>
      </c>
      <c r="C3838" s="0" t="n">
        <v>1109194</v>
      </c>
      <c r="D3838" s="0" t="s">
        <v>12823</v>
      </c>
      <c r="E3838" s="0" t="s">
        <v>89</v>
      </c>
      <c r="F3838" s="0" t="s">
        <v>90</v>
      </c>
      <c r="G3838" s="0" t="s">
        <v>16</v>
      </c>
      <c r="H3838" s="0" t="n">
        <v>136</v>
      </c>
      <c r="I3838" s="0" t="s">
        <v>12833</v>
      </c>
      <c r="J3838" s="0" t="s">
        <v>12834</v>
      </c>
      <c r="K3838" s="0" t="s">
        <v>12835</v>
      </c>
      <c r="L3838" s="0" t="str">
        <f aca="false">HYPERLINK("https://www.ncbi.nlm.nih.gov/nuccore/CP000304.1?report=graph&amp;tracks=[key:gene_model_track,Options:GeneOnly]&amp;mk=1109252:1109271|offset_59|444444,1109231:1109250|offset_80|444444,1109211:1109230|offset_100|444444,1109175:1109194|offset_136|00cc00&amp;v=1109051:1109394&amp;c=444444", "offset 136")</f>
        <v>offset 136</v>
      </c>
    </row>
    <row r="3839" customFormat="false" ht="12.8" hidden="false" customHeight="false" outlineLevel="0" collapsed="false">
      <c r="A3839" s="0" t="s">
        <v>12</v>
      </c>
      <c r="B3839" s="0" t="n">
        <v>1110360</v>
      </c>
      <c r="C3839" s="0" t="n">
        <v>1110380</v>
      </c>
      <c r="D3839" s="0" t="s">
        <v>12836</v>
      </c>
      <c r="E3839" s="0" t="s">
        <v>89</v>
      </c>
      <c r="F3839" s="0" t="s">
        <v>90</v>
      </c>
      <c r="G3839" s="0" t="s">
        <v>32</v>
      </c>
      <c r="H3839" s="0" t="n">
        <v>1</v>
      </c>
      <c r="I3839" s="0" t="s">
        <v>12837</v>
      </c>
      <c r="J3839" s="0" t="s">
        <v>12838</v>
      </c>
      <c r="K3839" s="0" t="s">
        <v>12839</v>
      </c>
      <c r="L3839" s="0" t="str">
        <f aca="false">HYPERLINK("https://www.ncbi.nlm.nih.gov/nuccore/CP000304.1?report=graph&amp;tracks=[key:gene_model_track,Options:GeneOnly]&amp;mk=1110361:1110380|offset_1|00cc00,1110337:1110356|offset_25|444444,1110315:1110334|offset_47|444444,1110295:1110314|offset_67|444444&amp;v=1110160:1110514&amp;c=444444", "offset 1")</f>
        <v>offset 1</v>
      </c>
    </row>
    <row r="3840" customFormat="false" ht="12.8" hidden="false" customHeight="false" outlineLevel="0" collapsed="false">
      <c r="A3840" s="0" t="s">
        <v>12</v>
      </c>
      <c r="B3840" s="0" t="n">
        <v>1110336</v>
      </c>
      <c r="C3840" s="0" t="n">
        <v>1110356</v>
      </c>
      <c r="D3840" s="0" t="s">
        <v>12836</v>
      </c>
      <c r="E3840" s="0" t="s">
        <v>89</v>
      </c>
      <c r="F3840" s="0" t="s">
        <v>90</v>
      </c>
      <c r="G3840" s="0" t="s">
        <v>32</v>
      </c>
      <c r="H3840" s="0" t="n">
        <v>25</v>
      </c>
      <c r="I3840" s="0" t="s">
        <v>12840</v>
      </c>
      <c r="J3840" s="0" t="s">
        <v>12841</v>
      </c>
      <c r="K3840" s="0" t="s">
        <v>12842</v>
      </c>
      <c r="L3840" s="0" t="str">
        <f aca="false">HYPERLINK("https://www.ncbi.nlm.nih.gov/nuccore/CP000304.1?report=graph&amp;tracks=[key:gene_model_track,Options:GeneOnly]&amp;mk=1110361:1110380|offset_1|444444,1110337:1110356|offset_25|00cc00,1110315:1110334|offset_47|444444,1110295:1110314|offset_67|444444&amp;v=1110160:1110514&amp;c=444444", "offset 25")</f>
        <v>offset 25</v>
      </c>
    </row>
    <row r="3841" customFormat="false" ht="12.8" hidden="false" customHeight="false" outlineLevel="0" collapsed="false">
      <c r="A3841" s="0" t="s">
        <v>12</v>
      </c>
      <c r="B3841" s="0" t="n">
        <v>1110314</v>
      </c>
      <c r="C3841" s="0" t="n">
        <v>1110334</v>
      </c>
      <c r="D3841" s="0" t="s">
        <v>12836</v>
      </c>
      <c r="E3841" s="0" t="s">
        <v>89</v>
      </c>
      <c r="F3841" s="0" t="s">
        <v>90</v>
      </c>
      <c r="G3841" s="0" t="s">
        <v>26</v>
      </c>
      <c r="H3841" s="0" t="n">
        <v>47</v>
      </c>
      <c r="I3841" s="0" t="s">
        <v>12843</v>
      </c>
      <c r="J3841" s="0" t="s">
        <v>12844</v>
      </c>
      <c r="K3841" s="0" t="s">
        <v>12845</v>
      </c>
      <c r="L3841" s="0" t="str">
        <f aca="false">HYPERLINK("https://www.ncbi.nlm.nih.gov/nuccore/CP000304.1?report=graph&amp;tracks=[key:gene_model_track,Options:GeneOnly]&amp;mk=1110361:1110380|offset_1|444444,1110337:1110356|offset_25|444444,1110315:1110334|offset_47|00cc00,1110295:1110314|offset_67|444444&amp;v=1110160:1110514&amp;c=444444", "offset 47")</f>
        <v>offset 47</v>
      </c>
    </row>
    <row r="3842" customFormat="false" ht="12.8" hidden="false" customHeight="false" outlineLevel="0" collapsed="false">
      <c r="A3842" s="0" t="s">
        <v>12</v>
      </c>
      <c r="B3842" s="0" t="n">
        <v>1110294</v>
      </c>
      <c r="C3842" s="0" t="n">
        <v>1110314</v>
      </c>
      <c r="D3842" s="0" t="s">
        <v>12836</v>
      </c>
      <c r="E3842" s="0" t="s">
        <v>89</v>
      </c>
      <c r="F3842" s="0" t="s">
        <v>90</v>
      </c>
      <c r="G3842" s="0" t="s">
        <v>36</v>
      </c>
      <c r="H3842" s="0" t="n">
        <v>67</v>
      </c>
      <c r="I3842" s="0" t="s">
        <v>12846</v>
      </c>
      <c r="J3842" s="0" t="s">
        <v>12847</v>
      </c>
      <c r="K3842" s="0" t="s">
        <v>12848</v>
      </c>
      <c r="L3842" s="0" t="str">
        <f aca="false">HYPERLINK("https://www.ncbi.nlm.nih.gov/nuccore/CP000304.1?report=graph&amp;tracks=[key:gene_model_track,Options:GeneOnly]&amp;mk=1110361:1110380|offset_1|444444,1110337:1110356|offset_25|444444,1110315:1110334|offset_47|444444,1110295:1110314|offset_67|00cc00&amp;v=1110160:1110514&amp;c=444444", "offset 67")</f>
        <v>offset 67</v>
      </c>
    </row>
    <row r="3843" customFormat="false" ht="12.8" hidden="false" customHeight="false" outlineLevel="0" collapsed="false">
      <c r="A3843" s="0" t="s">
        <v>12</v>
      </c>
      <c r="B3843" s="0" t="n">
        <v>1110861</v>
      </c>
      <c r="C3843" s="0" t="n">
        <v>1110881</v>
      </c>
      <c r="D3843" s="0" t="s">
        <v>12849</v>
      </c>
      <c r="E3843" s="0" t="s">
        <v>89</v>
      </c>
      <c r="F3843" s="0" t="s">
        <v>90</v>
      </c>
      <c r="G3843" s="0" t="s">
        <v>36</v>
      </c>
      <c r="H3843" s="0" t="n">
        <v>9</v>
      </c>
      <c r="I3843" s="0" t="s">
        <v>12850</v>
      </c>
      <c r="J3843" s="0" t="s">
        <v>12851</v>
      </c>
      <c r="K3843" s="0" t="s">
        <v>12852</v>
      </c>
      <c r="L3843" s="0" t="str">
        <f aca="false">HYPERLINK("https://www.ncbi.nlm.nih.gov/nuccore/CP000304.1?report=graph&amp;tracks=[key:gene_model_track,Options:GeneOnly]&amp;mk=1110862:1110881|offset_9|00cc00,1110842:1110861|offset_29|444444,1110803:1110822|offset_68|444444,1110779:1110798|offset_92|444444&amp;v=1110661:1110998&amp;c=444444", "offset 9")</f>
        <v>offset 9</v>
      </c>
    </row>
    <row r="3844" customFormat="false" ht="12.8" hidden="false" customHeight="false" outlineLevel="0" collapsed="false">
      <c r="A3844" s="0" t="s">
        <v>12</v>
      </c>
      <c r="B3844" s="0" t="n">
        <v>1110841</v>
      </c>
      <c r="C3844" s="0" t="n">
        <v>1110861</v>
      </c>
      <c r="D3844" s="0" t="s">
        <v>12849</v>
      </c>
      <c r="E3844" s="0" t="s">
        <v>89</v>
      </c>
      <c r="F3844" s="0" t="s">
        <v>90</v>
      </c>
      <c r="G3844" s="0" t="s">
        <v>36</v>
      </c>
      <c r="H3844" s="0" t="n">
        <v>29</v>
      </c>
      <c r="I3844" s="0" t="s">
        <v>12853</v>
      </c>
      <c r="J3844" s="0" t="s">
        <v>12854</v>
      </c>
      <c r="K3844" s="0" t="s">
        <v>12855</v>
      </c>
      <c r="L3844" s="0" t="str">
        <f aca="false">HYPERLINK("https://www.ncbi.nlm.nih.gov/nuccore/CP000304.1?report=graph&amp;tracks=[key:gene_model_track,Options:GeneOnly]&amp;mk=1110862:1110881|offset_9|444444,1110842:1110861|offset_29|00cc00,1110803:1110822|offset_68|444444,1110779:1110798|offset_92|444444&amp;v=1110661:1110998&amp;c=444444", "offset 29")</f>
        <v>offset 29</v>
      </c>
    </row>
    <row r="3845" customFormat="false" ht="12.8" hidden="false" customHeight="false" outlineLevel="0" collapsed="false">
      <c r="A3845" s="0" t="s">
        <v>12</v>
      </c>
      <c r="B3845" s="0" t="n">
        <v>1110802</v>
      </c>
      <c r="C3845" s="0" t="n">
        <v>1110822</v>
      </c>
      <c r="D3845" s="0" t="s">
        <v>12849</v>
      </c>
      <c r="E3845" s="0" t="s">
        <v>89</v>
      </c>
      <c r="F3845" s="0" t="s">
        <v>90</v>
      </c>
      <c r="G3845" s="0" t="s">
        <v>36</v>
      </c>
      <c r="H3845" s="0" t="n">
        <v>68</v>
      </c>
      <c r="I3845" s="0" t="s">
        <v>12856</v>
      </c>
      <c r="J3845" s="0" t="s">
        <v>12857</v>
      </c>
      <c r="K3845" s="0" t="s">
        <v>12858</v>
      </c>
      <c r="L3845" s="0" t="str">
        <f aca="false">HYPERLINK("https://www.ncbi.nlm.nih.gov/nuccore/CP000304.1?report=graph&amp;tracks=[key:gene_model_track,Options:GeneOnly]&amp;mk=1110862:1110881|offset_9|444444,1110842:1110861|offset_29|444444,1110803:1110822|offset_68|00cc00,1110779:1110798|offset_92|444444&amp;v=1110661:1110998&amp;c=444444", "offset 68")</f>
        <v>offset 68</v>
      </c>
    </row>
    <row r="3846" customFormat="false" ht="12.8" hidden="false" customHeight="false" outlineLevel="0" collapsed="false">
      <c r="A3846" s="0" t="s">
        <v>12</v>
      </c>
      <c r="B3846" s="0" t="n">
        <v>1110778</v>
      </c>
      <c r="C3846" s="0" t="n">
        <v>1110798</v>
      </c>
      <c r="D3846" s="0" t="s">
        <v>12849</v>
      </c>
      <c r="E3846" s="0" t="s">
        <v>89</v>
      </c>
      <c r="F3846" s="0" t="s">
        <v>90</v>
      </c>
      <c r="G3846" s="0" t="s">
        <v>32</v>
      </c>
      <c r="H3846" s="0" t="n">
        <v>92</v>
      </c>
      <c r="I3846" s="0" t="s">
        <v>12859</v>
      </c>
      <c r="J3846" s="0" t="s">
        <v>12860</v>
      </c>
      <c r="K3846" s="0" t="s">
        <v>12861</v>
      </c>
      <c r="L3846" s="0" t="str">
        <f aca="false">HYPERLINK("https://www.ncbi.nlm.nih.gov/nuccore/CP000304.1?report=graph&amp;tracks=[key:gene_model_track,Options:GeneOnly]&amp;mk=1110862:1110881|offset_9|444444,1110842:1110861|offset_29|444444,1110803:1110822|offset_68|444444,1110779:1110798|offset_92|00cc00&amp;v=1110661:1110998&amp;c=444444", "offset 92")</f>
        <v>offset 92</v>
      </c>
    </row>
    <row r="3847" customFormat="false" ht="12.8" hidden="false" customHeight="false" outlineLevel="0" collapsed="false">
      <c r="A3847" s="0" t="s">
        <v>12</v>
      </c>
      <c r="B3847" s="0" t="n">
        <v>1111526</v>
      </c>
      <c r="C3847" s="0" t="n">
        <v>1111546</v>
      </c>
      <c r="D3847" s="0" t="s">
        <v>12862</v>
      </c>
      <c r="E3847" s="0" t="s">
        <v>89</v>
      </c>
      <c r="F3847" s="0" t="s">
        <v>90</v>
      </c>
      <c r="G3847" s="0" t="s">
        <v>36</v>
      </c>
      <c r="H3847" s="0" t="n">
        <v>46</v>
      </c>
      <c r="I3847" s="0" t="s">
        <v>12863</v>
      </c>
      <c r="J3847" s="0" t="s">
        <v>12864</v>
      </c>
      <c r="K3847" s="0" t="s">
        <v>12865</v>
      </c>
      <c r="L3847" s="0" t="str">
        <f aca="false">HYPERLINK("https://www.ncbi.nlm.nih.gov/nuccore/CP000304.1?report=graph&amp;tracks=[key:gene_model_track,Options:GeneOnly]&amp;mk=1111527:1111546|offset_46|00cc00,1111503:1111522|offset_70|444444,1111460:1111479|offset_113|444444,1111440:1111459|offset_133|444444&amp;v=1111326:1111659&amp;c=444444", "offset 46")</f>
        <v>offset 46</v>
      </c>
    </row>
    <row r="3848" customFormat="false" ht="12.8" hidden="false" customHeight="false" outlineLevel="0" collapsed="false">
      <c r="A3848" s="0" t="s">
        <v>12</v>
      </c>
      <c r="B3848" s="0" t="n">
        <v>1111502</v>
      </c>
      <c r="C3848" s="0" t="n">
        <v>1111522</v>
      </c>
      <c r="D3848" s="0" t="s">
        <v>12862</v>
      </c>
      <c r="E3848" s="0" t="s">
        <v>89</v>
      </c>
      <c r="F3848" s="0" t="s">
        <v>90</v>
      </c>
      <c r="G3848" s="0" t="s">
        <v>32</v>
      </c>
      <c r="H3848" s="0" t="n">
        <v>70</v>
      </c>
      <c r="I3848" s="0" t="s">
        <v>12866</v>
      </c>
      <c r="J3848" s="0" t="s">
        <v>12867</v>
      </c>
      <c r="K3848" s="0" t="s">
        <v>12868</v>
      </c>
      <c r="L3848" s="0" t="str">
        <f aca="false">HYPERLINK("https://www.ncbi.nlm.nih.gov/nuccore/CP000304.1?report=graph&amp;tracks=[key:gene_model_track,Options:GeneOnly]&amp;mk=1111527:1111546|offset_46|444444,1111503:1111522|offset_70|00cc00,1111460:1111479|offset_113|444444,1111440:1111459|offset_133|444444&amp;v=1111326:1111659&amp;c=444444", "offset 70")</f>
        <v>offset 70</v>
      </c>
    </row>
    <row r="3849" customFormat="false" ht="12.8" hidden="false" customHeight="false" outlineLevel="0" collapsed="false">
      <c r="A3849" s="0" t="s">
        <v>12</v>
      </c>
      <c r="B3849" s="0" t="n">
        <v>1111459</v>
      </c>
      <c r="C3849" s="0" t="n">
        <v>1111479</v>
      </c>
      <c r="D3849" s="0" t="s">
        <v>12862</v>
      </c>
      <c r="E3849" s="0" t="s">
        <v>89</v>
      </c>
      <c r="F3849" s="0" t="s">
        <v>90</v>
      </c>
      <c r="G3849" s="0" t="s">
        <v>32</v>
      </c>
      <c r="H3849" s="0" t="n">
        <v>113</v>
      </c>
      <c r="I3849" s="0" t="s">
        <v>12869</v>
      </c>
      <c r="J3849" s="0" t="s">
        <v>12870</v>
      </c>
      <c r="K3849" s="0" t="s">
        <v>12871</v>
      </c>
      <c r="L3849" s="0" t="str">
        <f aca="false">HYPERLINK("https://www.ncbi.nlm.nih.gov/nuccore/CP000304.1?report=graph&amp;tracks=[key:gene_model_track,Options:GeneOnly]&amp;mk=1111527:1111546|offset_46|444444,1111503:1111522|offset_70|444444,1111460:1111479|offset_113|00cc00,1111440:1111459|offset_133|444444&amp;v=1111326:1111659&amp;c=444444", "offset 113")</f>
        <v>offset 113</v>
      </c>
    </row>
    <row r="3850" customFormat="false" ht="12.8" hidden="false" customHeight="false" outlineLevel="0" collapsed="false">
      <c r="A3850" s="0" t="s">
        <v>12</v>
      </c>
      <c r="B3850" s="0" t="n">
        <v>1111439</v>
      </c>
      <c r="C3850" s="0" t="n">
        <v>1111459</v>
      </c>
      <c r="D3850" s="0" t="s">
        <v>12862</v>
      </c>
      <c r="E3850" s="0" t="s">
        <v>89</v>
      </c>
      <c r="F3850" s="0" t="s">
        <v>90</v>
      </c>
      <c r="G3850" s="0" t="s">
        <v>16</v>
      </c>
      <c r="H3850" s="0" t="n">
        <v>133</v>
      </c>
      <c r="I3850" s="0" t="s">
        <v>12872</v>
      </c>
      <c r="J3850" s="0" t="s">
        <v>12873</v>
      </c>
      <c r="K3850" s="0" t="s">
        <v>12874</v>
      </c>
      <c r="L3850" s="0" t="str">
        <f aca="false">HYPERLINK("https://www.ncbi.nlm.nih.gov/nuccore/CP000304.1?report=graph&amp;tracks=[key:gene_model_track,Options:GeneOnly]&amp;mk=1111527:1111546|offset_46|444444,1111503:1111522|offset_70|444444,1111460:1111479|offset_113|444444,1111440:1111459|offset_133|00cc00&amp;v=1111326:1111659&amp;c=444444", "offset 133")</f>
        <v>offset 133</v>
      </c>
    </row>
    <row r="3851" customFormat="false" ht="12.8" hidden="false" customHeight="false" outlineLevel="0" collapsed="false">
      <c r="A3851" s="0" t="s">
        <v>12</v>
      </c>
      <c r="B3851" s="0" t="n">
        <v>1113857</v>
      </c>
      <c r="C3851" s="0" t="n">
        <v>1113877</v>
      </c>
      <c r="D3851" s="0" t="s">
        <v>12875</v>
      </c>
      <c r="E3851" s="0" t="s">
        <v>89</v>
      </c>
      <c r="F3851" s="0" t="s">
        <v>90</v>
      </c>
      <c r="G3851" s="0" t="s">
        <v>36</v>
      </c>
      <c r="H3851" s="0" t="n">
        <v>11</v>
      </c>
      <c r="I3851" s="0" t="s">
        <v>12876</v>
      </c>
      <c r="J3851" s="0" t="s">
        <v>12877</v>
      </c>
      <c r="K3851" s="0" t="s">
        <v>12878</v>
      </c>
      <c r="L3851" s="0" t="str">
        <f aca="false">HYPERLINK("https://www.ncbi.nlm.nih.gov/nuccore/CP000304.1?report=graph&amp;tracks=[key:gene_model_track,Options:GeneOnly]&amp;mk=1113858:1113877|offset_11|00cc00,1113829:1113848|offset_40|444444,1113805:1113824|offset_64|444444,1113757:1113776|offset_112|444444&amp;v=1113657:1113976&amp;c=444444", "offset 11")</f>
        <v>offset 11</v>
      </c>
    </row>
    <row r="3852" customFormat="false" ht="12.8" hidden="false" customHeight="false" outlineLevel="0" collapsed="false">
      <c r="A3852" s="0" t="s">
        <v>12</v>
      </c>
      <c r="B3852" s="0" t="n">
        <v>1113828</v>
      </c>
      <c r="C3852" s="0" t="n">
        <v>1113848</v>
      </c>
      <c r="D3852" s="0" t="s">
        <v>12875</v>
      </c>
      <c r="E3852" s="0" t="s">
        <v>89</v>
      </c>
      <c r="F3852" s="0" t="s">
        <v>90</v>
      </c>
      <c r="G3852" s="0" t="s">
        <v>32</v>
      </c>
      <c r="H3852" s="0" t="n">
        <v>40</v>
      </c>
      <c r="I3852" s="0" t="s">
        <v>12879</v>
      </c>
      <c r="J3852" s="0" t="s">
        <v>12880</v>
      </c>
      <c r="K3852" s="0" t="s">
        <v>12881</v>
      </c>
      <c r="L3852" s="0" t="str">
        <f aca="false">HYPERLINK("https://www.ncbi.nlm.nih.gov/nuccore/CP000304.1?report=graph&amp;tracks=[key:gene_model_track,Options:GeneOnly]&amp;mk=1113858:1113877|offset_11|444444,1113829:1113848|offset_40|00cc00,1113805:1113824|offset_64|444444,1113757:1113776|offset_112|444444&amp;v=1113657:1113976&amp;c=444444", "offset 40")</f>
        <v>offset 40</v>
      </c>
    </row>
    <row r="3853" customFormat="false" ht="12.8" hidden="false" customHeight="false" outlineLevel="0" collapsed="false">
      <c r="A3853" s="0" t="s">
        <v>12</v>
      </c>
      <c r="B3853" s="0" t="n">
        <v>1113804</v>
      </c>
      <c r="C3853" s="0" t="n">
        <v>1113824</v>
      </c>
      <c r="D3853" s="0" t="s">
        <v>12875</v>
      </c>
      <c r="E3853" s="0" t="s">
        <v>89</v>
      </c>
      <c r="F3853" s="0" t="s">
        <v>90</v>
      </c>
      <c r="G3853" s="0" t="s">
        <v>36</v>
      </c>
      <c r="H3853" s="0" t="n">
        <v>64</v>
      </c>
      <c r="I3853" s="0" t="s">
        <v>12882</v>
      </c>
      <c r="J3853" s="0" t="s">
        <v>12883</v>
      </c>
      <c r="K3853" s="0" t="s">
        <v>12884</v>
      </c>
      <c r="L3853" s="0" t="str">
        <f aca="false">HYPERLINK("https://www.ncbi.nlm.nih.gov/nuccore/CP000304.1?report=graph&amp;tracks=[key:gene_model_track,Options:GeneOnly]&amp;mk=1113858:1113877|offset_11|444444,1113829:1113848|offset_40|444444,1113805:1113824|offset_64|00cc00,1113757:1113776|offset_112|444444&amp;v=1113657:1113976&amp;c=444444", "offset 64")</f>
        <v>offset 64</v>
      </c>
    </row>
    <row r="3854" customFormat="false" ht="12.8" hidden="false" customHeight="false" outlineLevel="0" collapsed="false">
      <c r="A3854" s="0" t="s">
        <v>12</v>
      </c>
      <c r="B3854" s="0" t="n">
        <v>1113756</v>
      </c>
      <c r="C3854" s="0" t="n">
        <v>1113776</v>
      </c>
      <c r="D3854" s="0" t="s">
        <v>12875</v>
      </c>
      <c r="E3854" s="0" t="s">
        <v>89</v>
      </c>
      <c r="F3854" s="0" t="s">
        <v>90</v>
      </c>
      <c r="G3854" s="0" t="s">
        <v>26</v>
      </c>
      <c r="H3854" s="0" t="n">
        <v>112</v>
      </c>
      <c r="I3854" s="0" t="s">
        <v>12885</v>
      </c>
      <c r="J3854" s="0" t="s">
        <v>12886</v>
      </c>
      <c r="K3854" s="0" t="s">
        <v>12887</v>
      </c>
      <c r="L3854" s="0" t="str">
        <f aca="false">HYPERLINK("https://www.ncbi.nlm.nih.gov/nuccore/CP000304.1?report=graph&amp;tracks=[key:gene_model_track,Options:GeneOnly]&amp;mk=1113858:1113877|offset_11|444444,1113829:1113848|offset_40|444444,1113805:1113824|offset_64|444444,1113757:1113776|offset_112|00cc00&amp;v=1113657:1113976&amp;c=444444", "offset 112")</f>
        <v>offset 112</v>
      </c>
    </row>
    <row r="3855" customFormat="false" ht="12.8" hidden="false" customHeight="false" outlineLevel="0" collapsed="false">
      <c r="A3855" s="0" t="s">
        <v>12</v>
      </c>
      <c r="B3855" s="0" t="n">
        <v>1114743</v>
      </c>
      <c r="C3855" s="0" t="n">
        <v>1114763</v>
      </c>
      <c r="D3855" s="0" t="s">
        <v>12888</v>
      </c>
      <c r="E3855" s="0" t="s">
        <v>89</v>
      </c>
      <c r="F3855" s="0" t="s">
        <v>90</v>
      </c>
      <c r="G3855" s="0" t="s">
        <v>36</v>
      </c>
      <c r="H3855" s="0" t="n">
        <v>8</v>
      </c>
      <c r="I3855" s="0" t="s">
        <v>12889</v>
      </c>
      <c r="J3855" s="0" t="s">
        <v>12890</v>
      </c>
      <c r="K3855" s="0" t="s">
        <v>12891</v>
      </c>
      <c r="L3855" s="0" t="str">
        <f aca="false">HYPERLINK("https://www.ncbi.nlm.nih.gov/nuccore/CP000304.1?report=graph&amp;tracks=[key:gene_model_track,Options:GeneOnly]&amp;mk=1114744:1114763|offset_8|00cc00,1114721:1114740|offset_31|444444,1114694:1114713|offset_58|444444,1114667:1114686|offset_85|444444&amp;v=1114543:1114886&amp;c=444444", "offset 8")</f>
        <v>offset 8</v>
      </c>
    </row>
    <row r="3856" customFormat="false" ht="12.8" hidden="false" customHeight="false" outlineLevel="0" collapsed="false">
      <c r="A3856" s="0" t="s">
        <v>12</v>
      </c>
      <c r="B3856" s="0" t="n">
        <v>1114720</v>
      </c>
      <c r="C3856" s="0" t="n">
        <v>1114740</v>
      </c>
      <c r="D3856" s="0" t="s">
        <v>12888</v>
      </c>
      <c r="E3856" s="0" t="s">
        <v>89</v>
      </c>
      <c r="F3856" s="0" t="s">
        <v>90</v>
      </c>
      <c r="G3856" s="0" t="s">
        <v>26</v>
      </c>
      <c r="H3856" s="0" t="n">
        <v>31</v>
      </c>
      <c r="I3856" s="0" t="s">
        <v>12892</v>
      </c>
      <c r="J3856" s="0" t="s">
        <v>12893</v>
      </c>
      <c r="K3856" s="0" t="s">
        <v>12894</v>
      </c>
      <c r="L3856" s="0" t="str">
        <f aca="false">HYPERLINK("https://www.ncbi.nlm.nih.gov/nuccore/CP000304.1?report=graph&amp;tracks=[key:gene_model_track,Options:GeneOnly]&amp;mk=1114744:1114763|offset_8|444444,1114721:1114740|offset_31|00cc00,1114694:1114713|offset_58|444444,1114667:1114686|offset_85|444444&amp;v=1114543:1114886&amp;c=444444", "offset 31")</f>
        <v>offset 31</v>
      </c>
    </row>
    <row r="3857" customFormat="false" ht="12.8" hidden="false" customHeight="false" outlineLevel="0" collapsed="false">
      <c r="A3857" s="0" t="s">
        <v>12</v>
      </c>
      <c r="B3857" s="0" t="n">
        <v>1114693</v>
      </c>
      <c r="C3857" s="0" t="n">
        <v>1114713</v>
      </c>
      <c r="D3857" s="0" t="s">
        <v>12888</v>
      </c>
      <c r="E3857" s="0" t="s">
        <v>89</v>
      </c>
      <c r="F3857" s="0" t="s">
        <v>90</v>
      </c>
      <c r="G3857" s="0" t="s">
        <v>32</v>
      </c>
      <c r="H3857" s="0" t="n">
        <v>58</v>
      </c>
      <c r="I3857" s="0" t="s">
        <v>12895</v>
      </c>
      <c r="J3857" s="0" t="s">
        <v>12896</v>
      </c>
      <c r="K3857" s="0" t="s">
        <v>12897</v>
      </c>
      <c r="L3857" s="0" t="str">
        <f aca="false">HYPERLINK("https://www.ncbi.nlm.nih.gov/nuccore/CP000304.1?report=graph&amp;tracks=[key:gene_model_track,Options:GeneOnly]&amp;mk=1114744:1114763|offset_8|444444,1114721:1114740|offset_31|444444,1114694:1114713|offset_58|00cc00,1114667:1114686|offset_85|444444&amp;v=1114543:1114886&amp;c=444444", "offset 58")</f>
        <v>offset 58</v>
      </c>
    </row>
    <row r="3858" customFormat="false" ht="12.8" hidden="false" customHeight="false" outlineLevel="0" collapsed="false">
      <c r="A3858" s="0" t="s">
        <v>12</v>
      </c>
      <c r="B3858" s="0" t="n">
        <v>1114666</v>
      </c>
      <c r="C3858" s="0" t="n">
        <v>1114686</v>
      </c>
      <c r="D3858" s="0" t="s">
        <v>12888</v>
      </c>
      <c r="E3858" s="0" t="s">
        <v>89</v>
      </c>
      <c r="F3858" s="0" t="s">
        <v>90</v>
      </c>
      <c r="G3858" s="0" t="s">
        <v>36</v>
      </c>
      <c r="H3858" s="0" t="n">
        <v>85</v>
      </c>
      <c r="I3858" s="0" t="s">
        <v>12898</v>
      </c>
      <c r="J3858" s="0" t="s">
        <v>12899</v>
      </c>
      <c r="K3858" s="0" t="s">
        <v>12900</v>
      </c>
      <c r="L3858" s="0" t="str">
        <f aca="false">HYPERLINK("https://www.ncbi.nlm.nih.gov/nuccore/CP000304.1?report=graph&amp;tracks=[key:gene_model_track,Options:GeneOnly]&amp;mk=1114744:1114763|offset_8|444444,1114721:1114740|offset_31|444444,1114694:1114713|offset_58|444444,1114667:1114686|offset_85|00cc00&amp;v=1114543:1114886&amp;c=444444", "offset 85")</f>
        <v>offset 85</v>
      </c>
    </row>
    <row r="3859" customFormat="false" ht="12.8" hidden="false" customHeight="false" outlineLevel="0" collapsed="false">
      <c r="A3859" s="0" t="s">
        <v>12</v>
      </c>
      <c r="B3859" s="0" t="n">
        <v>1114925</v>
      </c>
      <c r="C3859" s="0" t="n">
        <v>1114945</v>
      </c>
      <c r="D3859" s="0" t="s">
        <v>12901</v>
      </c>
      <c r="E3859" s="0" t="s">
        <v>89</v>
      </c>
      <c r="F3859" s="0" t="s">
        <v>15</v>
      </c>
      <c r="G3859" s="0" t="s">
        <v>32</v>
      </c>
      <c r="H3859" s="0" t="n">
        <v>1</v>
      </c>
      <c r="I3859" s="0" t="s">
        <v>12902</v>
      </c>
      <c r="J3859" s="0" t="s">
        <v>12903</v>
      </c>
      <c r="K3859" s="0" t="s">
        <v>12904</v>
      </c>
      <c r="L3859" s="0" t="str">
        <f aca="false">HYPERLINK("https://www.ncbi.nlm.nih.gov/nuccore/CP000304.1?report=graph&amp;tracks=[key:gene_model_track,Options:GeneOnly]&amp;mk=1114926:1114945|offset_1|00cc00,1114953:1114972|offset_28|444444,1114983:1115002|offset_58|444444,1115007:1115026|offset_82|444444&amp;v=1114725:1115226&amp;c=444444", "offset 1")</f>
        <v>offset 1</v>
      </c>
    </row>
    <row r="3860" customFormat="false" ht="12.8" hidden="false" customHeight="false" outlineLevel="0" collapsed="false">
      <c r="A3860" s="0" t="s">
        <v>12</v>
      </c>
      <c r="B3860" s="0" t="n">
        <v>1114952</v>
      </c>
      <c r="C3860" s="0" t="n">
        <v>1114972</v>
      </c>
      <c r="D3860" s="0" t="s">
        <v>12901</v>
      </c>
      <c r="E3860" s="0" t="s">
        <v>89</v>
      </c>
      <c r="F3860" s="0" t="s">
        <v>15</v>
      </c>
      <c r="G3860" s="0" t="s">
        <v>16</v>
      </c>
      <c r="H3860" s="0" t="n">
        <v>28</v>
      </c>
      <c r="I3860" s="0" t="s">
        <v>12905</v>
      </c>
      <c r="J3860" s="0" t="s">
        <v>12906</v>
      </c>
      <c r="K3860" s="0" t="s">
        <v>12907</v>
      </c>
      <c r="L3860" s="0" t="str">
        <f aca="false">HYPERLINK("https://www.ncbi.nlm.nih.gov/nuccore/CP000304.1?report=graph&amp;tracks=[key:gene_model_track,Options:GeneOnly]&amp;mk=1114926:1114945|offset_1|444444,1114953:1114972|offset_28|00cc00,1114983:1115002|offset_58|444444,1115007:1115026|offset_82|444444&amp;v=1114725:1115226&amp;c=444444", "offset 28")</f>
        <v>offset 28</v>
      </c>
    </row>
    <row r="3861" customFormat="false" ht="12.8" hidden="false" customHeight="false" outlineLevel="0" collapsed="false">
      <c r="A3861" s="0" t="s">
        <v>12</v>
      </c>
      <c r="B3861" s="0" t="n">
        <v>1114982</v>
      </c>
      <c r="C3861" s="0" t="n">
        <v>1115002</v>
      </c>
      <c r="D3861" s="0" t="s">
        <v>12901</v>
      </c>
      <c r="E3861" s="0" t="s">
        <v>89</v>
      </c>
      <c r="F3861" s="0" t="s">
        <v>15</v>
      </c>
      <c r="G3861" s="0" t="s">
        <v>36</v>
      </c>
      <c r="H3861" s="0" t="n">
        <v>58</v>
      </c>
      <c r="I3861" s="0" t="s">
        <v>12908</v>
      </c>
      <c r="J3861" s="0" t="s">
        <v>12909</v>
      </c>
      <c r="K3861" s="0" t="s">
        <v>12910</v>
      </c>
      <c r="L3861" s="0" t="str">
        <f aca="false">HYPERLINK("https://www.ncbi.nlm.nih.gov/nuccore/CP000304.1?report=graph&amp;tracks=[key:gene_model_track,Options:GeneOnly]&amp;mk=1114926:1114945|offset_1|444444,1114953:1114972|offset_28|444444,1114983:1115002|offset_58|00cc00,1115007:1115026|offset_82|444444&amp;v=1114725:1115226&amp;c=444444", "offset 58")</f>
        <v>offset 58</v>
      </c>
    </row>
    <row r="3862" customFormat="false" ht="12.8" hidden="false" customHeight="false" outlineLevel="0" collapsed="false">
      <c r="A3862" s="0" t="s">
        <v>12</v>
      </c>
      <c r="B3862" s="0" t="n">
        <v>1115006</v>
      </c>
      <c r="C3862" s="0" t="n">
        <v>1115026</v>
      </c>
      <c r="D3862" s="0" t="s">
        <v>12901</v>
      </c>
      <c r="E3862" s="0" t="s">
        <v>89</v>
      </c>
      <c r="F3862" s="0" t="s">
        <v>15</v>
      </c>
      <c r="G3862" s="0" t="s">
        <v>16</v>
      </c>
      <c r="H3862" s="0" t="n">
        <v>82</v>
      </c>
      <c r="I3862" s="0" t="s">
        <v>12911</v>
      </c>
      <c r="J3862" s="0" t="s">
        <v>12912</v>
      </c>
      <c r="K3862" s="0" t="s">
        <v>12913</v>
      </c>
      <c r="L3862" s="0" t="str">
        <f aca="false">HYPERLINK("https://www.ncbi.nlm.nih.gov/nuccore/CP000304.1?report=graph&amp;tracks=[key:gene_model_track,Options:GeneOnly]&amp;mk=1114926:1114945|offset_1|444444,1114953:1114972|offset_28|444444,1114983:1115002|offset_58|444444,1115007:1115026|offset_82|00cc00&amp;v=1114725:1115226&amp;c=444444", "offset 82")</f>
        <v>offset 82</v>
      </c>
    </row>
    <row r="3863" customFormat="false" ht="12.8" hidden="false" customHeight="false" outlineLevel="0" collapsed="false">
      <c r="A3863" s="0" t="s">
        <v>12</v>
      </c>
      <c r="B3863" s="0" t="n">
        <v>1116218</v>
      </c>
      <c r="C3863" s="0" t="n">
        <v>1116238</v>
      </c>
      <c r="D3863" s="0" t="s">
        <v>12914</v>
      </c>
      <c r="E3863" s="0" t="s">
        <v>89</v>
      </c>
      <c r="F3863" s="0" t="s">
        <v>15</v>
      </c>
      <c r="G3863" s="0" t="s">
        <v>16</v>
      </c>
      <c r="H3863" s="0" t="n">
        <v>7</v>
      </c>
      <c r="I3863" s="0" t="s">
        <v>12915</v>
      </c>
      <c r="J3863" s="0" t="s">
        <v>12916</v>
      </c>
      <c r="K3863" s="0" t="s">
        <v>12917</v>
      </c>
      <c r="L3863" s="0" t="str">
        <f aca="false">HYPERLINK("https://www.ncbi.nlm.nih.gov/nuccore/CP000304.1?report=graph&amp;tracks=[key:gene_model_track,Options:GeneOnly]&amp;mk=1116219:1116238|offset_7|00cc00,1116251:1116270|offset_39|444444,1116277:1116296|offset_65|444444,1116306:1116325|offset_94|444444&amp;v=1116018:1116525&amp;c=444444", "offset 7")</f>
        <v>offset 7</v>
      </c>
    </row>
    <row r="3864" customFormat="false" ht="12.8" hidden="false" customHeight="false" outlineLevel="0" collapsed="false">
      <c r="A3864" s="0" t="s">
        <v>12</v>
      </c>
      <c r="B3864" s="0" t="n">
        <v>1116250</v>
      </c>
      <c r="C3864" s="0" t="n">
        <v>1116270</v>
      </c>
      <c r="D3864" s="0" t="s">
        <v>12914</v>
      </c>
      <c r="E3864" s="0" t="s">
        <v>89</v>
      </c>
      <c r="F3864" s="0" t="s">
        <v>15</v>
      </c>
      <c r="G3864" s="0" t="s">
        <v>26</v>
      </c>
      <c r="H3864" s="0" t="n">
        <v>39</v>
      </c>
      <c r="I3864" s="0" t="s">
        <v>12918</v>
      </c>
      <c r="J3864" s="0" t="s">
        <v>12919</v>
      </c>
      <c r="K3864" s="0" t="s">
        <v>12920</v>
      </c>
      <c r="L3864" s="0" t="str">
        <f aca="false">HYPERLINK("https://www.ncbi.nlm.nih.gov/nuccore/CP000304.1?report=graph&amp;tracks=[key:gene_model_track,Options:GeneOnly]&amp;mk=1116219:1116238|offset_7|444444,1116251:1116270|offset_39|00cc00,1116277:1116296|offset_65|444444,1116306:1116325|offset_94|444444&amp;v=1116018:1116525&amp;c=444444", "offset 39")</f>
        <v>offset 39</v>
      </c>
    </row>
    <row r="3865" customFormat="false" ht="12.8" hidden="false" customHeight="false" outlineLevel="0" collapsed="false">
      <c r="A3865" s="0" t="s">
        <v>12</v>
      </c>
      <c r="B3865" s="0" t="n">
        <v>1116276</v>
      </c>
      <c r="C3865" s="0" t="n">
        <v>1116296</v>
      </c>
      <c r="D3865" s="0" t="s">
        <v>12914</v>
      </c>
      <c r="E3865" s="0" t="s">
        <v>89</v>
      </c>
      <c r="F3865" s="0" t="s">
        <v>15</v>
      </c>
      <c r="G3865" s="0" t="s">
        <v>36</v>
      </c>
      <c r="H3865" s="0" t="n">
        <v>65</v>
      </c>
      <c r="I3865" s="0" t="s">
        <v>12921</v>
      </c>
      <c r="J3865" s="0" t="s">
        <v>12922</v>
      </c>
      <c r="K3865" s="0" t="s">
        <v>12923</v>
      </c>
      <c r="L3865" s="0" t="str">
        <f aca="false">HYPERLINK("https://www.ncbi.nlm.nih.gov/nuccore/CP000304.1?report=graph&amp;tracks=[key:gene_model_track,Options:GeneOnly]&amp;mk=1116219:1116238|offset_7|444444,1116251:1116270|offset_39|444444,1116277:1116296|offset_65|00cc00,1116306:1116325|offset_94|444444&amp;v=1116018:1116525&amp;c=444444", "offset 65")</f>
        <v>offset 65</v>
      </c>
    </row>
    <row r="3866" customFormat="false" ht="12.8" hidden="false" customHeight="false" outlineLevel="0" collapsed="false">
      <c r="A3866" s="0" t="s">
        <v>12</v>
      </c>
      <c r="B3866" s="0" t="n">
        <v>1116305</v>
      </c>
      <c r="C3866" s="0" t="n">
        <v>1116325</v>
      </c>
      <c r="D3866" s="0" t="s">
        <v>12914</v>
      </c>
      <c r="E3866" s="0" t="s">
        <v>89</v>
      </c>
      <c r="F3866" s="0" t="s">
        <v>15</v>
      </c>
      <c r="G3866" s="0" t="s">
        <v>32</v>
      </c>
      <c r="H3866" s="0" t="n">
        <v>94</v>
      </c>
      <c r="I3866" s="0" t="s">
        <v>12924</v>
      </c>
      <c r="J3866" s="0" t="s">
        <v>12925</v>
      </c>
      <c r="K3866" s="0" t="s">
        <v>12926</v>
      </c>
      <c r="L3866" s="0" t="str">
        <f aca="false">HYPERLINK("https://www.ncbi.nlm.nih.gov/nuccore/CP000304.1?report=graph&amp;tracks=[key:gene_model_track,Options:GeneOnly]&amp;mk=1116219:1116238|offset_7|444444,1116251:1116270|offset_39|444444,1116277:1116296|offset_65|444444,1116306:1116325|offset_94|00cc00&amp;v=1116018:1116525&amp;c=444444", "offset 94")</f>
        <v>offset 94</v>
      </c>
    </row>
    <row r="3867" customFormat="false" ht="12.8" hidden="false" customHeight="false" outlineLevel="0" collapsed="false">
      <c r="A3867" s="0" t="s">
        <v>12</v>
      </c>
      <c r="B3867" s="0" t="n">
        <v>1116900</v>
      </c>
      <c r="C3867" s="0" t="n">
        <v>1116920</v>
      </c>
      <c r="D3867" s="0" t="s">
        <v>12927</v>
      </c>
      <c r="E3867" s="0" t="s">
        <v>89</v>
      </c>
      <c r="F3867" s="0" t="s">
        <v>15</v>
      </c>
      <c r="G3867" s="0" t="s">
        <v>32</v>
      </c>
      <c r="H3867" s="0" t="n">
        <v>1</v>
      </c>
      <c r="I3867" s="0" t="s">
        <v>12928</v>
      </c>
      <c r="J3867" s="0" t="s">
        <v>12929</v>
      </c>
      <c r="K3867" s="0" t="s">
        <v>12930</v>
      </c>
      <c r="L3867" s="0" t="str">
        <f aca="false">HYPERLINK("https://www.ncbi.nlm.nih.gov/nuccore/CP000304.1?report=graph&amp;tracks=[key:gene_model_track,Options:GeneOnly]&amp;mk=1116901:1116920|offset_1|00cc00,1116925:1116944|offset_25|444444,1116952:1116971|offset_52|444444,1116983:1117002|offset_83|444444&amp;v=1116700:1117202&amp;c=444444", "offset 1")</f>
        <v>offset 1</v>
      </c>
    </row>
    <row r="3868" customFormat="false" ht="12.8" hidden="false" customHeight="false" outlineLevel="0" collapsed="false">
      <c r="A3868" s="0" t="s">
        <v>12</v>
      </c>
      <c r="B3868" s="0" t="n">
        <v>1116924</v>
      </c>
      <c r="C3868" s="0" t="n">
        <v>1116944</v>
      </c>
      <c r="D3868" s="0" t="s">
        <v>12927</v>
      </c>
      <c r="E3868" s="0" t="s">
        <v>89</v>
      </c>
      <c r="F3868" s="0" t="s">
        <v>15</v>
      </c>
      <c r="G3868" s="0" t="s">
        <v>36</v>
      </c>
      <c r="H3868" s="0" t="n">
        <v>25</v>
      </c>
      <c r="I3868" s="0" t="s">
        <v>12931</v>
      </c>
      <c r="J3868" s="0" t="s">
        <v>12932</v>
      </c>
      <c r="K3868" s="0" t="s">
        <v>12933</v>
      </c>
      <c r="L3868" s="0" t="str">
        <f aca="false">HYPERLINK("https://www.ncbi.nlm.nih.gov/nuccore/CP000304.1?report=graph&amp;tracks=[key:gene_model_track,Options:GeneOnly]&amp;mk=1116901:1116920|offset_1|444444,1116925:1116944|offset_25|00cc00,1116952:1116971|offset_52|444444,1116983:1117002|offset_83|444444&amp;v=1116700:1117202&amp;c=444444", "offset 25")</f>
        <v>offset 25</v>
      </c>
    </row>
    <row r="3869" customFormat="false" ht="12.8" hidden="false" customHeight="false" outlineLevel="0" collapsed="false">
      <c r="A3869" s="0" t="s">
        <v>12</v>
      </c>
      <c r="B3869" s="0" t="n">
        <v>1116951</v>
      </c>
      <c r="C3869" s="0" t="n">
        <v>1116971</v>
      </c>
      <c r="D3869" s="0" t="s">
        <v>12927</v>
      </c>
      <c r="E3869" s="0" t="s">
        <v>89</v>
      </c>
      <c r="F3869" s="0" t="s">
        <v>15</v>
      </c>
      <c r="G3869" s="0" t="s">
        <v>32</v>
      </c>
      <c r="H3869" s="0" t="n">
        <v>52</v>
      </c>
      <c r="I3869" s="0" t="s">
        <v>12934</v>
      </c>
      <c r="J3869" s="0" t="s">
        <v>12935</v>
      </c>
      <c r="K3869" s="0" t="s">
        <v>12936</v>
      </c>
      <c r="L3869" s="0" t="str">
        <f aca="false">HYPERLINK("https://www.ncbi.nlm.nih.gov/nuccore/CP000304.1?report=graph&amp;tracks=[key:gene_model_track,Options:GeneOnly]&amp;mk=1116901:1116920|offset_1|444444,1116925:1116944|offset_25|444444,1116952:1116971|offset_52|00cc00,1116983:1117002|offset_83|444444&amp;v=1116700:1117202&amp;c=444444", "offset 52")</f>
        <v>offset 52</v>
      </c>
    </row>
    <row r="3870" customFormat="false" ht="12.8" hidden="false" customHeight="false" outlineLevel="0" collapsed="false">
      <c r="A3870" s="0" t="s">
        <v>12</v>
      </c>
      <c r="B3870" s="0" t="n">
        <v>1116982</v>
      </c>
      <c r="C3870" s="0" t="n">
        <v>1117002</v>
      </c>
      <c r="D3870" s="0" t="s">
        <v>12927</v>
      </c>
      <c r="E3870" s="0" t="s">
        <v>89</v>
      </c>
      <c r="F3870" s="0" t="s">
        <v>15</v>
      </c>
      <c r="G3870" s="0" t="s">
        <v>26</v>
      </c>
      <c r="H3870" s="0" t="n">
        <v>83</v>
      </c>
      <c r="I3870" s="0" t="s">
        <v>12937</v>
      </c>
      <c r="J3870" s="0" t="s">
        <v>12938</v>
      </c>
      <c r="K3870" s="0" t="s">
        <v>12939</v>
      </c>
      <c r="L3870" s="0" t="str">
        <f aca="false">HYPERLINK("https://www.ncbi.nlm.nih.gov/nuccore/CP000304.1?report=graph&amp;tracks=[key:gene_model_track,Options:GeneOnly]&amp;mk=1116901:1116920|offset_1|444444,1116925:1116944|offset_25|444444,1116952:1116971|offset_52|444444,1116983:1117002|offset_83|00cc00&amp;v=1116700:1117202&amp;c=444444", "offset 83")</f>
        <v>offset 83</v>
      </c>
    </row>
    <row r="3871" customFormat="false" ht="12.8" hidden="false" customHeight="false" outlineLevel="0" collapsed="false">
      <c r="A3871" s="0" t="s">
        <v>12</v>
      </c>
      <c r="B3871" s="0" t="n">
        <v>1118027</v>
      </c>
      <c r="C3871" s="0" t="n">
        <v>1118047</v>
      </c>
      <c r="D3871" s="0" t="s">
        <v>12940</v>
      </c>
      <c r="E3871" s="0" t="s">
        <v>89</v>
      </c>
      <c r="F3871" s="0" t="s">
        <v>15</v>
      </c>
      <c r="G3871" s="0" t="s">
        <v>32</v>
      </c>
      <c r="H3871" s="0" t="n">
        <v>10</v>
      </c>
      <c r="I3871" s="0" t="s">
        <v>12941</v>
      </c>
      <c r="J3871" s="0" t="s">
        <v>12942</v>
      </c>
      <c r="K3871" s="0" t="s">
        <v>12943</v>
      </c>
      <c r="L3871" s="0" t="str">
        <f aca="false">HYPERLINK("https://www.ncbi.nlm.nih.gov/nuccore/CP000304.1?report=graph&amp;tracks=[key:gene_model_track,Options:GeneOnly]&amp;mk=1118028:1118047|offset_10|00cc00,1118057:1118076|offset_39|444444,1118089:1118108|offset_71|444444,1118120:1118139|offset_102|444444&amp;v=1117827:1118339&amp;c=444444", "offset 10")</f>
        <v>offset 10</v>
      </c>
    </row>
    <row r="3872" customFormat="false" ht="12.8" hidden="false" customHeight="false" outlineLevel="0" collapsed="false">
      <c r="A3872" s="0" t="s">
        <v>12</v>
      </c>
      <c r="B3872" s="0" t="n">
        <v>1118056</v>
      </c>
      <c r="C3872" s="0" t="n">
        <v>1118076</v>
      </c>
      <c r="D3872" s="0" t="s">
        <v>12940</v>
      </c>
      <c r="E3872" s="0" t="s">
        <v>89</v>
      </c>
      <c r="F3872" s="0" t="s">
        <v>15</v>
      </c>
      <c r="G3872" s="0" t="s">
        <v>26</v>
      </c>
      <c r="H3872" s="0" t="n">
        <v>39</v>
      </c>
      <c r="I3872" s="0" t="s">
        <v>12944</v>
      </c>
      <c r="J3872" s="0" t="s">
        <v>12945</v>
      </c>
      <c r="K3872" s="0" t="s">
        <v>12946</v>
      </c>
      <c r="L3872" s="0" t="str">
        <f aca="false">HYPERLINK("https://www.ncbi.nlm.nih.gov/nuccore/CP000304.1?report=graph&amp;tracks=[key:gene_model_track,Options:GeneOnly]&amp;mk=1118028:1118047|offset_10|444444,1118057:1118076|offset_39|00cc00,1118089:1118108|offset_71|444444,1118120:1118139|offset_102|444444&amp;v=1117827:1118339&amp;c=444444", "offset 39")</f>
        <v>offset 39</v>
      </c>
    </row>
    <row r="3873" customFormat="false" ht="12.8" hidden="false" customHeight="false" outlineLevel="0" collapsed="false">
      <c r="A3873" s="0" t="s">
        <v>12</v>
      </c>
      <c r="B3873" s="0" t="n">
        <v>1118088</v>
      </c>
      <c r="C3873" s="0" t="n">
        <v>1118108</v>
      </c>
      <c r="D3873" s="0" t="s">
        <v>12940</v>
      </c>
      <c r="E3873" s="0" t="s">
        <v>89</v>
      </c>
      <c r="F3873" s="0" t="s">
        <v>15</v>
      </c>
      <c r="G3873" s="0" t="s">
        <v>16</v>
      </c>
      <c r="H3873" s="0" t="n">
        <v>71</v>
      </c>
      <c r="I3873" s="0" t="s">
        <v>12947</v>
      </c>
      <c r="J3873" s="0" t="s">
        <v>12948</v>
      </c>
      <c r="K3873" s="0" t="s">
        <v>12949</v>
      </c>
      <c r="L3873" s="0" t="str">
        <f aca="false">HYPERLINK("https://www.ncbi.nlm.nih.gov/nuccore/CP000304.1?report=graph&amp;tracks=[key:gene_model_track,Options:GeneOnly]&amp;mk=1118028:1118047|offset_10|444444,1118057:1118076|offset_39|444444,1118089:1118108|offset_71|00cc00,1118120:1118139|offset_102|444444&amp;v=1117827:1118339&amp;c=444444", "offset 71")</f>
        <v>offset 71</v>
      </c>
    </row>
    <row r="3874" customFormat="false" ht="12.8" hidden="false" customHeight="false" outlineLevel="0" collapsed="false">
      <c r="A3874" s="0" t="s">
        <v>12</v>
      </c>
      <c r="B3874" s="0" t="n">
        <v>1118119</v>
      </c>
      <c r="C3874" s="0" t="n">
        <v>1118139</v>
      </c>
      <c r="D3874" s="0" t="s">
        <v>12940</v>
      </c>
      <c r="E3874" s="0" t="s">
        <v>89</v>
      </c>
      <c r="F3874" s="0" t="s">
        <v>15</v>
      </c>
      <c r="G3874" s="0" t="s">
        <v>16</v>
      </c>
      <c r="H3874" s="0" t="n">
        <v>102</v>
      </c>
      <c r="I3874" s="0" t="s">
        <v>12950</v>
      </c>
      <c r="J3874" s="0" t="s">
        <v>12951</v>
      </c>
      <c r="K3874" s="0" t="s">
        <v>12952</v>
      </c>
      <c r="L3874" s="0" t="str">
        <f aca="false">HYPERLINK("https://www.ncbi.nlm.nih.gov/nuccore/CP000304.1?report=graph&amp;tracks=[key:gene_model_track,Options:GeneOnly]&amp;mk=1118028:1118047|offset_10|444444,1118057:1118076|offset_39|444444,1118089:1118108|offset_71|444444,1118120:1118139|offset_102|00cc00&amp;v=1117827:1118339&amp;c=444444", "offset 102")</f>
        <v>offset 102</v>
      </c>
    </row>
    <row r="3875" customFormat="false" ht="12.8" hidden="false" customHeight="false" outlineLevel="0" collapsed="false">
      <c r="A3875" s="0" t="s">
        <v>12</v>
      </c>
      <c r="B3875" s="0" t="n">
        <v>1119020</v>
      </c>
      <c r="C3875" s="0" t="n">
        <v>1119040</v>
      </c>
      <c r="D3875" s="0" t="s">
        <v>12953</v>
      </c>
      <c r="E3875" s="0" t="s">
        <v>89</v>
      </c>
      <c r="F3875" s="0" t="s">
        <v>15</v>
      </c>
      <c r="G3875" s="0" t="s">
        <v>16</v>
      </c>
      <c r="H3875" s="0" t="n">
        <v>27</v>
      </c>
      <c r="I3875" s="0" t="s">
        <v>12954</v>
      </c>
      <c r="J3875" s="0" t="s">
        <v>12955</v>
      </c>
      <c r="K3875" s="0" t="s">
        <v>12956</v>
      </c>
      <c r="L3875" s="0" t="str">
        <f aca="false">HYPERLINK("https://www.ncbi.nlm.nih.gov/nuccore/CP000304.1?report=graph&amp;tracks=[key:gene_model_track,Options:GeneOnly]&amp;mk=1119021:1119040|offset_27|00cc00,1119046:1119065|offset_52|444444,1119089:1119108|offset_95|444444,1119157:1119176|offset_163|444444&amp;v=1118820:1119376&amp;c=444444", "offset 27")</f>
        <v>offset 27</v>
      </c>
    </row>
    <row r="3876" customFormat="false" ht="12.8" hidden="false" customHeight="false" outlineLevel="0" collapsed="false">
      <c r="A3876" s="0" t="s">
        <v>12</v>
      </c>
      <c r="B3876" s="0" t="n">
        <v>1119045</v>
      </c>
      <c r="C3876" s="0" t="n">
        <v>1119065</v>
      </c>
      <c r="D3876" s="0" t="s">
        <v>12953</v>
      </c>
      <c r="E3876" s="0" t="s">
        <v>89</v>
      </c>
      <c r="F3876" s="0" t="s">
        <v>15</v>
      </c>
      <c r="G3876" s="0" t="s">
        <v>16</v>
      </c>
      <c r="H3876" s="0" t="n">
        <v>52</v>
      </c>
      <c r="I3876" s="0" t="s">
        <v>12957</v>
      </c>
      <c r="J3876" s="0" t="s">
        <v>12958</v>
      </c>
      <c r="K3876" s="0" t="s">
        <v>12959</v>
      </c>
      <c r="L3876" s="0" t="str">
        <f aca="false">HYPERLINK("https://www.ncbi.nlm.nih.gov/nuccore/CP000304.1?report=graph&amp;tracks=[key:gene_model_track,Options:GeneOnly]&amp;mk=1119021:1119040|offset_27|444444,1119046:1119065|offset_52|00cc00,1119089:1119108|offset_95|444444,1119157:1119176|offset_163|444444&amp;v=1118820:1119376&amp;c=444444", "offset 52")</f>
        <v>offset 52</v>
      </c>
    </row>
    <row r="3877" customFormat="false" ht="12.8" hidden="false" customHeight="false" outlineLevel="0" collapsed="false">
      <c r="A3877" s="0" t="s">
        <v>12</v>
      </c>
      <c r="B3877" s="0" t="n">
        <v>1119088</v>
      </c>
      <c r="C3877" s="0" t="n">
        <v>1119108</v>
      </c>
      <c r="D3877" s="0" t="s">
        <v>12953</v>
      </c>
      <c r="E3877" s="0" t="s">
        <v>89</v>
      </c>
      <c r="F3877" s="0" t="s">
        <v>15</v>
      </c>
      <c r="G3877" s="0" t="s">
        <v>26</v>
      </c>
      <c r="H3877" s="0" t="n">
        <v>95</v>
      </c>
      <c r="I3877" s="0" t="s">
        <v>12960</v>
      </c>
      <c r="J3877" s="0" t="s">
        <v>12961</v>
      </c>
      <c r="K3877" s="0" t="s">
        <v>12962</v>
      </c>
      <c r="L3877" s="0" t="str">
        <f aca="false">HYPERLINK("https://www.ncbi.nlm.nih.gov/nuccore/CP000304.1?report=graph&amp;tracks=[key:gene_model_track,Options:GeneOnly]&amp;mk=1119021:1119040|offset_27|444444,1119046:1119065|offset_52|444444,1119089:1119108|offset_95|00cc00,1119157:1119176|offset_163|444444&amp;v=1118820:1119376&amp;c=444444", "offset 95")</f>
        <v>offset 95</v>
      </c>
    </row>
    <row r="3878" customFormat="false" ht="12.8" hidden="false" customHeight="false" outlineLevel="0" collapsed="false">
      <c r="A3878" s="0" t="s">
        <v>12</v>
      </c>
      <c r="B3878" s="0" t="n">
        <v>1119156</v>
      </c>
      <c r="C3878" s="0" t="n">
        <v>1119176</v>
      </c>
      <c r="D3878" s="0" t="s">
        <v>12953</v>
      </c>
      <c r="E3878" s="0" t="s">
        <v>89</v>
      </c>
      <c r="F3878" s="0" t="s">
        <v>15</v>
      </c>
      <c r="G3878" s="0" t="s">
        <v>36</v>
      </c>
      <c r="H3878" s="0" t="n">
        <v>163</v>
      </c>
      <c r="I3878" s="0" t="s">
        <v>12963</v>
      </c>
      <c r="J3878" s="0" t="s">
        <v>12964</v>
      </c>
      <c r="K3878" s="0" t="s">
        <v>12965</v>
      </c>
      <c r="L3878" s="0" t="str">
        <f aca="false">HYPERLINK("https://www.ncbi.nlm.nih.gov/nuccore/CP000304.1?report=graph&amp;tracks=[key:gene_model_track,Options:GeneOnly]&amp;mk=1119021:1119040|offset_27|444444,1119046:1119065|offset_52|444444,1119089:1119108|offset_95|444444,1119157:1119176|offset_163|00cc00&amp;v=1118820:1119376&amp;c=444444", "offset 163")</f>
        <v>offset 163</v>
      </c>
    </row>
    <row r="3879" customFormat="false" ht="12.8" hidden="false" customHeight="false" outlineLevel="0" collapsed="false">
      <c r="A3879" s="0" t="s">
        <v>12</v>
      </c>
      <c r="B3879" s="0" t="n">
        <v>1119387</v>
      </c>
      <c r="C3879" s="0" t="n">
        <v>1119407</v>
      </c>
      <c r="D3879" s="0" t="s">
        <v>12966</v>
      </c>
      <c r="E3879" s="0" t="s">
        <v>89</v>
      </c>
      <c r="F3879" s="0" t="s">
        <v>15</v>
      </c>
      <c r="G3879" s="0" t="s">
        <v>16</v>
      </c>
      <c r="H3879" s="0" t="n">
        <v>21</v>
      </c>
      <c r="I3879" s="0" t="s">
        <v>12967</v>
      </c>
      <c r="J3879" s="0" t="s">
        <v>12968</v>
      </c>
      <c r="K3879" s="0" t="s">
        <v>12969</v>
      </c>
      <c r="L3879" s="0" t="str">
        <f aca="false">HYPERLINK("https://www.ncbi.nlm.nih.gov/nuccore/CP000304.1?report=graph&amp;tracks=[key:gene_model_track,Options:GeneOnly]&amp;mk=1119388:1119407|offset_21|00cc00,1119411:1119430|offset_44|444444,1119431:1119450|offset_64|444444,1119510:1119529|offset_143|444444&amp;v=1119187:1119729&amp;c=444444", "offset 21")</f>
        <v>offset 21</v>
      </c>
    </row>
    <row r="3880" customFormat="false" ht="12.8" hidden="false" customHeight="false" outlineLevel="0" collapsed="false">
      <c r="A3880" s="0" t="s">
        <v>12</v>
      </c>
      <c r="B3880" s="0" t="n">
        <v>1119410</v>
      </c>
      <c r="C3880" s="0" t="n">
        <v>1119430</v>
      </c>
      <c r="D3880" s="0" t="s">
        <v>12966</v>
      </c>
      <c r="E3880" s="0" t="s">
        <v>89</v>
      </c>
      <c r="F3880" s="0" t="s">
        <v>15</v>
      </c>
      <c r="G3880" s="0" t="s">
        <v>32</v>
      </c>
      <c r="H3880" s="0" t="n">
        <v>44</v>
      </c>
      <c r="I3880" s="0" t="s">
        <v>12970</v>
      </c>
      <c r="J3880" s="0" t="s">
        <v>12971</v>
      </c>
      <c r="K3880" s="0" t="s">
        <v>12972</v>
      </c>
      <c r="L3880" s="0" t="str">
        <f aca="false">HYPERLINK("https://www.ncbi.nlm.nih.gov/nuccore/CP000304.1?report=graph&amp;tracks=[key:gene_model_track,Options:GeneOnly]&amp;mk=1119388:1119407|offset_21|444444,1119411:1119430|offset_44|00cc00,1119431:1119450|offset_64|444444,1119510:1119529|offset_143|444444&amp;v=1119187:1119729&amp;c=444444", "offset 44")</f>
        <v>offset 44</v>
      </c>
    </row>
    <row r="3881" customFormat="false" ht="12.8" hidden="false" customHeight="false" outlineLevel="0" collapsed="false">
      <c r="A3881" s="0" t="s">
        <v>12</v>
      </c>
      <c r="B3881" s="0" t="n">
        <v>1119430</v>
      </c>
      <c r="C3881" s="0" t="n">
        <v>1119450</v>
      </c>
      <c r="D3881" s="0" t="s">
        <v>12966</v>
      </c>
      <c r="E3881" s="0" t="s">
        <v>89</v>
      </c>
      <c r="F3881" s="0" t="s">
        <v>15</v>
      </c>
      <c r="G3881" s="0" t="s">
        <v>16</v>
      </c>
      <c r="H3881" s="0" t="n">
        <v>64</v>
      </c>
      <c r="I3881" s="0" t="s">
        <v>12973</v>
      </c>
      <c r="J3881" s="0" t="s">
        <v>12974</v>
      </c>
      <c r="K3881" s="0" t="s">
        <v>12975</v>
      </c>
      <c r="L3881" s="0" t="str">
        <f aca="false">HYPERLINK("https://www.ncbi.nlm.nih.gov/nuccore/CP000304.1?report=graph&amp;tracks=[key:gene_model_track,Options:GeneOnly]&amp;mk=1119388:1119407|offset_21|444444,1119411:1119430|offset_44|444444,1119431:1119450|offset_64|00cc00,1119510:1119529|offset_143|444444&amp;v=1119187:1119729&amp;c=444444", "offset 64")</f>
        <v>offset 64</v>
      </c>
    </row>
    <row r="3882" customFormat="false" ht="12.8" hidden="false" customHeight="false" outlineLevel="0" collapsed="false">
      <c r="A3882" s="0" t="s">
        <v>12</v>
      </c>
      <c r="B3882" s="0" t="n">
        <v>1119509</v>
      </c>
      <c r="C3882" s="0" t="n">
        <v>1119529</v>
      </c>
      <c r="D3882" s="0" t="s">
        <v>12966</v>
      </c>
      <c r="E3882" s="0" t="s">
        <v>89</v>
      </c>
      <c r="F3882" s="0" t="s">
        <v>15</v>
      </c>
      <c r="G3882" s="0" t="s">
        <v>32</v>
      </c>
      <c r="H3882" s="0" t="n">
        <v>143</v>
      </c>
      <c r="I3882" s="0" t="s">
        <v>12976</v>
      </c>
      <c r="J3882" s="0" t="s">
        <v>12977</v>
      </c>
      <c r="K3882" s="0" t="s">
        <v>12978</v>
      </c>
      <c r="L3882" s="0" t="str">
        <f aca="false">HYPERLINK("https://www.ncbi.nlm.nih.gov/nuccore/CP000304.1?report=graph&amp;tracks=[key:gene_model_track,Options:GeneOnly]&amp;mk=1119388:1119407|offset_21|444444,1119411:1119430|offset_44|444444,1119431:1119450|offset_64|444444,1119510:1119529|offset_143|00cc00&amp;v=1119187:1119729&amp;c=444444", "offset 143")</f>
        <v>offset 143</v>
      </c>
    </row>
    <row r="3883" customFormat="false" ht="12.8" hidden="false" customHeight="false" outlineLevel="0" collapsed="false">
      <c r="A3883" s="0" t="s">
        <v>12</v>
      </c>
      <c r="B3883" s="0" t="n">
        <v>1120881</v>
      </c>
      <c r="C3883" s="0" t="n">
        <v>1120901</v>
      </c>
      <c r="D3883" s="0" t="s">
        <v>12979</v>
      </c>
      <c r="E3883" s="0" t="s">
        <v>89</v>
      </c>
      <c r="F3883" s="0" t="s">
        <v>90</v>
      </c>
      <c r="G3883" s="0" t="s">
        <v>26</v>
      </c>
      <c r="H3883" s="0" t="n">
        <v>7</v>
      </c>
      <c r="I3883" s="0" t="s">
        <v>12980</v>
      </c>
      <c r="J3883" s="0" t="s">
        <v>12981</v>
      </c>
      <c r="K3883" s="0" t="s">
        <v>12982</v>
      </c>
      <c r="L3883" s="0" t="str">
        <f aca="false">HYPERLINK("https://www.ncbi.nlm.nih.gov/nuccore/CP000304.1?report=graph&amp;tracks=[key:gene_model_track,Options:GeneOnly]&amp;mk=1120882:1120901|offset_7|00cc00,1120843:1120862|offset_46|444444,1120804:1120823|offset_85|444444,1120784:1120803|offset_105|444444&amp;v=1120681:1121003&amp;c=444444", "offset 7")</f>
        <v>offset 7</v>
      </c>
    </row>
    <row r="3884" customFormat="false" ht="12.8" hidden="false" customHeight="false" outlineLevel="0" collapsed="false">
      <c r="A3884" s="0" t="s">
        <v>12</v>
      </c>
      <c r="B3884" s="0" t="n">
        <v>1120842</v>
      </c>
      <c r="C3884" s="0" t="n">
        <v>1120862</v>
      </c>
      <c r="D3884" s="0" t="s">
        <v>12979</v>
      </c>
      <c r="E3884" s="0" t="s">
        <v>89</v>
      </c>
      <c r="F3884" s="0" t="s">
        <v>90</v>
      </c>
      <c r="G3884" s="0" t="s">
        <v>16</v>
      </c>
      <c r="H3884" s="0" t="n">
        <v>46</v>
      </c>
      <c r="I3884" s="0" t="s">
        <v>12983</v>
      </c>
      <c r="J3884" s="0" t="s">
        <v>12984</v>
      </c>
      <c r="K3884" s="0" t="s">
        <v>12985</v>
      </c>
      <c r="L3884" s="0" t="str">
        <f aca="false">HYPERLINK("https://www.ncbi.nlm.nih.gov/nuccore/CP000304.1?report=graph&amp;tracks=[key:gene_model_track,Options:GeneOnly]&amp;mk=1120882:1120901|offset_7|444444,1120843:1120862|offset_46|00cc00,1120804:1120823|offset_85|444444,1120784:1120803|offset_105|444444&amp;v=1120681:1121003&amp;c=444444", "offset 46")</f>
        <v>offset 46</v>
      </c>
    </row>
    <row r="3885" customFormat="false" ht="12.8" hidden="false" customHeight="false" outlineLevel="0" collapsed="false">
      <c r="A3885" s="0" t="s">
        <v>12</v>
      </c>
      <c r="B3885" s="0" t="n">
        <v>1120803</v>
      </c>
      <c r="C3885" s="0" t="n">
        <v>1120823</v>
      </c>
      <c r="D3885" s="0" t="s">
        <v>12979</v>
      </c>
      <c r="E3885" s="0" t="s">
        <v>89</v>
      </c>
      <c r="F3885" s="0" t="s">
        <v>90</v>
      </c>
      <c r="G3885" s="0" t="s">
        <v>16</v>
      </c>
      <c r="H3885" s="0" t="n">
        <v>85</v>
      </c>
      <c r="I3885" s="0" t="s">
        <v>12986</v>
      </c>
      <c r="J3885" s="0" t="s">
        <v>12987</v>
      </c>
      <c r="K3885" s="0" t="s">
        <v>12988</v>
      </c>
      <c r="L3885" s="0" t="str">
        <f aca="false">HYPERLINK("https://www.ncbi.nlm.nih.gov/nuccore/CP000304.1?report=graph&amp;tracks=[key:gene_model_track,Options:GeneOnly]&amp;mk=1120882:1120901|offset_7|444444,1120843:1120862|offset_46|444444,1120804:1120823|offset_85|00cc00,1120784:1120803|offset_105|444444&amp;v=1120681:1121003&amp;c=444444", "offset 85")</f>
        <v>offset 85</v>
      </c>
    </row>
    <row r="3886" customFormat="false" ht="12.8" hidden="false" customHeight="false" outlineLevel="0" collapsed="false">
      <c r="A3886" s="0" t="s">
        <v>12</v>
      </c>
      <c r="B3886" s="0" t="n">
        <v>1120783</v>
      </c>
      <c r="C3886" s="0" t="n">
        <v>1120803</v>
      </c>
      <c r="D3886" s="0" t="s">
        <v>12979</v>
      </c>
      <c r="E3886" s="0" t="s">
        <v>89</v>
      </c>
      <c r="F3886" s="0" t="s">
        <v>90</v>
      </c>
      <c r="G3886" s="0" t="s">
        <v>16</v>
      </c>
      <c r="H3886" s="0" t="n">
        <v>105</v>
      </c>
      <c r="I3886" s="0" t="s">
        <v>12989</v>
      </c>
      <c r="J3886" s="0" t="s">
        <v>12990</v>
      </c>
      <c r="K3886" s="0" t="s">
        <v>12991</v>
      </c>
      <c r="L3886" s="0" t="str">
        <f aca="false">HYPERLINK("https://www.ncbi.nlm.nih.gov/nuccore/CP000304.1?report=graph&amp;tracks=[key:gene_model_track,Options:GeneOnly]&amp;mk=1120882:1120901|offset_7|444444,1120843:1120862|offset_46|444444,1120804:1120823|offset_85|444444,1120784:1120803|offset_105|00cc00&amp;v=1120681:1121003&amp;c=444444", "offset 105")</f>
        <v>offset 105</v>
      </c>
    </row>
    <row r="3887" customFormat="false" ht="12.8" hidden="false" customHeight="false" outlineLevel="0" collapsed="false">
      <c r="A3887" s="0" t="s">
        <v>12</v>
      </c>
      <c r="B3887" s="0" t="n">
        <v>1122001</v>
      </c>
      <c r="C3887" s="0" t="n">
        <v>1122021</v>
      </c>
      <c r="D3887" s="0" t="s">
        <v>12992</v>
      </c>
      <c r="E3887" s="0" t="s">
        <v>89</v>
      </c>
      <c r="F3887" s="0" t="s">
        <v>90</v>
      </c>
      <c r="G3887" s="0" t="s">
        <v>26</v>
      </c>
      <c r="H3887" s="0" t="n">
        <v>16</v>
      </c>
      <c r="I3887" s="0" t="s">
        <v>12993</v>
      </c>
      <c r="J3887" s="0" t="s">
        <v>12994</v>
      </c>
      <c r="K3887" s="0" t="s">
        <v>12995</v>
      </c>
      <c r="L3887" s="0" t="str">
        <f aca="false">HYPERLINK("https://www.ncbi.nlm.nih.gov/nuccore/CP000304.1?report=graph&amp;tracks=[key:gene_model_track,Options:GeneOnly]&amp;mk=1122002:1122021|offset_16|00cc00,1121957:1121976|offset_61|444444,1121936:1121955|offset_82|444444,1121907:1121926|offset_111|444444&amp;v=1121801:1122126&amp;c=444444", "offset 16")</f>
        <v>offset 16</v>
      </c>
    </row>
    <row r="3888" customFormat="false" ht="12.8" hidden="false" customHeight="false" outlineLevel="0" collapsed="false">
      <c r="A3888" s="0" t="s">
        <v>12</v>
      </c>
      <c r="B3888" s="0" t="n">
        <v>1121956</v>
      </c>
      <c r="C3888" s="0" t="n">
        <v>1121976</v>
      </c>
      <c r="D3888" s="0" t="s">
        <v>12992</v>
      </c>
      <c r="E3888" s="0" t="s">
        <v>89</v>
      </c>
      <c r="F3888" s="0" t="s">
        <v>90</v>
      </c>
      <c r="G3888" s="0" t="s">
        <v>16</v>
      </c>
      <c r="H3888" s="0" t="n">
        <v>61</v>
      </c>
      <c r="I3888" s="0" t="s">
        <v>12996</v>
      </c>
      <c r="J3888" s="0" t="s">
        <v>12997</v>
      </c>
      <c r="K3888" s="0" t="s">
        <v>12998</v>
      </c>
      <c r="L3888" s="0" t="str">
        <f aca="false">HYPERLINK("https://www.ncbi.nlm.nih.gov/nuccore/CP000304.1?report=graph&amp;tracks=[key:gene_model_track,Options:GeneOnly]&amp;mk=1122002:1122021|offset_16|444444,1121957:1121976|offset_61|00cc00,1121936:1121955|offset_82|444444,1121907:1121926|offset_111|444444&amp;v=1121801:1122126&amp;c=444444", "offset 61")</f>
        <v>offset 61</v>
      </c>
    </row>
    <row r="3889" customFormat="false" ht="12.8" hidden="false" customHeight="false" outlineLevel="0" collapsed="false">
      <c r="A3889" s="0" t="s">
        <v>12</v>
      </c>
      <c r="B3889" s="0" t="n">
        <v>1121935</v>
      </c>
      <c r="C3889" s="0" t="n">
        <v>1121955</v>
      </c>
      <c r="D3889" s="0" t="s">
        <v>12992</v>
      </c>
      <c r="E3889" s="0" t="s">
        <v>89</v>
      </c>
      <c r="F3889" s="0" t="s">
        <v>90</v>
      </c>
      <c r="G3889" s="0" t="s">
        <v>16</v>
      </c>
      <c r="H3889" s="0" t="n">
        <v>82</v>
      </c>
      <c r="I3889" s="0" t="s">
        <v>12999</v>
      </c>
      <c r="J3889" s="0" t="s">
        <v>13000</v>
      </c>
      <c r="K3889" s="0" t="s">
        <v>13001</v>
      </c>
      <c r="L3889" s="0" t="str">
        <f aca="false">HYPERLINK("https://www.ncbi.nlm.nih.gov/nuccore/CP000304.1?report=graph&amp;tracks=[key:gene_model_track,Options:GeneOnly]&amp;mk=1122002:1122021|offset_16|444444,1121957:1121976|offset_61|444444,1121936:1121955|offset_82|00cc00,1121907:1121926|offset_111|444444&amp;v=1121801:1122126&amp;c=444444", "offset 82")</f>
        <v>offset 82</v>
      </c>
    </row>
    <row r="3890" customFormat="false" ht="12.8" hidden="false" customHeight="false" outlineLevel="0" collapsed="false">
      <c r="A3890" s="0" t="s">
        <v>12</v>
      </c>
      <c r="B3890" s="0" t="n">
        <v>1121906</v>
      </c>
      <c r="C3890" s="0" t="n">
        <v>1121926</v>
      </c>
      <c r="D3890" s="0" t="s">
        <v>12992</v>
      </c>
      <c r="E3890" s="0" t="s">
        <v>89</v>
      </c>
      <c r="F3890" s="0" t="s">
        <v>90</v>
      </c>
      <c r="G3890" s="0" t="s">
        <v>32</v>
      </c>
      <c r="H3890" s="0" t="n">
        <v>111</v>
      </c>
      <c r="I3890" s="0" t="s">
        <v>13002</v>
      </c>
      <c r="J3890" s="0" t="s">
        <v>13003</v>
      </c>
      <c r="K3890" s="0" t="s">
        <v>13004</v>
      </c>
      <c r="L3890" s="0" t="str">
        <f aca="false">HYPERLINK("https://www.ncbi.nlm.nih.gov/nuccore/CP000304.1?report=graph&amp;tracks=[key:gene_model_track,Options:GeneOnly]&amp;mk=1122002:1122021|offset_16|444444,1121957:1121976|offset_61|444444,1121936:1121955|offset_82|444444,1121907:1121926|offset_111|00cc00&amp;v=1121801:1122126&amp;c=444444", "offset 111")</f>
        <v>offset 111</v>
      </c>
    </row>
    <row r="3891" customFormat="false" ht="12.8" hidden="false" customHeight="false" outlineLevel="0" collapsed="false">
      <c r="A3891" s="0" t="s">
        <v>12</v>
      </c>
      <c r="B3891" s="0" t="n">
        <v>1122587</v>
      </c>
      <c r="C3891" s="0" t="n">
        <v>1122607</v>
      </c>
      <c r="D3891" s="0" t="s">
        <v>13005</v>
      </c>
      <c r="E3891" s="0" t="s">
        <v>89</v>
      </c>
      <c r="F3891" s="0" t="s">
        <v>90</v>
      </c>
      <c r="G3891" s="0" t="s">
        <v>16</v>
      </c>
      <c r="H3891" s="0" t="n">
        <v>1</v>
      </c>
      <c r="I3891" s="0" t="s">
        <v>13006</v>
      </c>
      <c r="J3891" s="0" t="s">
        <v>13007</v>
      </c>
      <c r="K3891" s="0" t="s">
        <v>13008</v>
      </c>
      <c r="L3891" s="0" t="str">
        <f aca="false">HYPERLINK("https://www.ncbi.nlm.nih.gov/nuccore/CP000304.1?report=graph&amp;tracks=[key:gene_model_track,Options:GeneOnly]&amp;mk=1122588:1122607|offset_1|00cc00,1122567:1122586|offset_22|444444,1122544:1122563|offset_45|444444,1122522:1122541|offset_67|444444&amp;v=1122387:1122741&amp;c=444444", "offset 1")</f>
        <v>offset 1</v>
      </c>
    </row>
    <row r="3892" customFormat="false" ht="12.8" hidden="false" customHeight="false" outlineLevel="0" collapsed="false">
      <c r="A3892" s="0" t="s">
        <v>12</v>
      </c>
      <c r="B3892" s="0" t="n">
        <v>1122566</v>
      </c>
      <c r="C3892" s="0" t="n">
        <v>1122586</v>
      </c>
      <c r="D3892" s="0" t="s">
        <v>13005</v>
      </c>
      <c r="E3892" s="0" t="s">
        <v>89</v>
      </c>
      <c r="F3892" s="0" t="s">
        <v>90</v>
      </c>
      <c r="G3892" s="0" t="s">
        <v>36</v>
      </c>
      <c r="H3892" s="0" t="n">
        <v>22</v>
      </c>
      <c r="I3892" s="0" t="s">
        <v>13009</v>
      </c>
      <c r="J3892" s="0" t="s">
        <v>13010</v>
      </c>
      <c r="K3892" s="0" t="s">
        <v>13011</v>
      </c>
      <c r="L3892" s="0" t="str">
        <f aca="false">HYPERLINK("https://www.ncbi.nlm.nih.gov/nuccore/CP000304.1?report=graph&amp;tracks=[key:gene_model_track,Options:GeneOnly]&amp;mk=1122588:1122607|offset_1|444444,1122567:1122586|offset_22|00cc00,1122544:1122563|offset_45|444444,1122522:1122541|offset_67|444444&amp;v=1122387:1122741&amp;c=444444", "offset 22")</f>
        <v>offset 22</v>
      </c>
    </row>
    <row r="3893" customFormat="false" ht="12.8" hidden="false" customHeight="false" outlineLevel="0" collapsed="false">
      <c r="A3893" s="0" t="s">
        <v>12</v>
      </c>
      <c r="B3893" s="0" t="n">
        <v>1122543</v>
      </c>
      <c r="C3893" s="0" t="n">
        <v>1122563</v>
      </c>
      <c r="D3893" s="0" t="s">
        <v>13005</v>
      </c>
      <c r="E3893" s="0" t="s">
        <v>89</v>
      </c>
      <c r="F3893" s="0" t="s">
        <v>90</v>
      </c>
      <c r="G3893" s="0" t="s">
        <v>32</v>
      </c>
      <c r="H3893" s="0" t="n">
        <v>45</v>
      </c>
      <c r="I3893" s="0" t="s">
        <v>13012</v>
      </c>
      <c r="J3893" s="0" t="s">
        <v>13013</v>
      </c>
      <c r="K3893" s="0" t="s">
        <v>13014</v>
      </c>
      <c r="L3893" s="0" t="str">
        <f aca="false">HYPERLINK("https://www.ncbi.nlm.nih.gov/nuccore/CP000304.1?report=graph&amp;tracks=[key:gene_model_track,Options:GeneOnly]&amp;mk=1122588:1122607|offset_1|444444,1122567:1122586|offset_22|444444,1122544:1122563|offset_45|00cc00,1122522:1122541|offset_67|444444&amp;v=1122387:1122741&amp;c=444444", "offset 45")</f>
        <v>offset 45</v>
      </c>
    </row>
    <row r="3894" customFormat="false" ht="12.8" hidden="false" customHeight="false" outlineLevel="0" collapsed="false">
      <c r="A3894" s="0" t="s">
        <v>12</v>
      </c>
      <c r="B3894" s="0" t="n">
        <v>1122521</v>
      </c>
      <c r="C3894" s="0" t="n">
        <v>1122541</v>
      </c>
      <c r="D3894" s="0" t="s">
        <v>13005</v>
      </c>
      <c r="E3894" s="0" t="s">
        <v>89</v>
      </c>
      <c r="F3894" s="0" t="s">
        <v>90</v>
      </c>
      <c r="G3894" s="0" t="s">
        <v>16</v>
      </c>
      <c r="H3894" s="0" t="n">
        <v>67</v>
      </c>
      <c r="I3894" s="0" t="s">
        <v>13015</v>
      </c>
      <c r="J3894" s="0" t="s">
        <v>13016</v>
      </c>
      <c r="K3894" s="0" t="s">
        <v>13017</v>
      </c>
      <c r="L3894" s="0" t="str">
        <f aca="false">HYPERLINK("https://www.ncbi.nlm.nih.gov/nuccore/CP000304.1?report=graph&amp;tracks=[key:gene_model_track,Options:GeneOnly]&amp;mk=1122588:1122607|offset_1|444444,1122567:1122586|offset_22|444444,1122544:1122563|offset_45|444444,1122522:1122541|offset_67|00cc00&amp;v=1122387:1122741&amp;c=444444", "offset 67")</f>
        <v>offset 67</v>
      </c>
    </row>
    <row r="3895" customFormat="false" ht="12.8" hidden="false" customHeight="false" outlineLevel="0" collapsed="false">
      <c r="A3895" s="0" t="s">
        <v>12</v>
      </c>
      <c r="B3895" s="0" t="n">
        <v>1124021</v>
      </c>
      <c r="C3895" s="0" t="n">
        <v>1124041</v>
      </c>
      <c r="D3895" s="0" t="s">
        <v>13018</v>
      </c>
      <c r="E3895" s="0" t="s">
        <v>13019</v>
      </c>
      <c r="F3895" s="0" t="s">
        <v>90</v>
      </c>
      <c r="G3895" s="0" t="s">
        <v>36</v>
      </c>
      <c r="H3895" s="0" t="n">
        <v>52</v>
      </c>
      <c r="I3895" s="0" t="s">
        <v>13020</v>
      </c>
      <c r="J3895" s="0" t="s">
        <v>13021</v>
      </c>
      <c r="K3895" s="0" t="s">
        <v>13022</v>
      </c>
      <c r="L3895" s="0" t="str">
        <f aca="false">HYPERLINK("https://www.ncbi.nlm.nih.gov/nuccore/CP000304.1?report=graph&amp;tracks=[key:gene_model_track,Options:GeneOnly]&amp;mk=1124022:1124041|offset_52|00cc00,1123995:1124014|offset_79|444444,1123975:1123994|offset_99|444444,1123949:1123968|offset_125|444444&amp;v=1123821:1124168&amp;c=444444", "offset 52")</f>
        <v>offset 52</v>
      </c>
    </row>
    <row r="3896" customFormat="false" ht="12.8" hidden="false" customHeight="false" outlineLevel="0" collapsed="false">
      <c r="A3896" s="0" t="s">
        <v>12</v>
      </c>
      <c r="B3896" s="0" t="n">
        <v>1123994</v>
      </c>
      <c r="C3896" s="0" t="n">
        <v>1124014</v>
      </c>
      <c r="D3896" s="0" t="s">
        <v>13018</v>
      </c>
      <c r="E3896" s="0" t="s">
        <v>13019</v>
      </c>
      <c r="F3896" s="0" t="s">
        <v>90</v>
      </c>
      <c r="G3896" s="0" t="s">
        <v>32</v>
      </c>
      <c r="H3896" s="0" t="n">
        <v>79</v>
      </c>
      <c r="I3896" s="0" t="s">
        <v>13023</v>
      </c>
      <c r="J3896" s="0" t="s">
        <v>13024</v>
      </c>
      <c r="K3896" s="0" t="s">
        <v>13025</v>
      </c>
      <c r="L3896" s="0" t="str">
        <f aca="false">HYPERLINK("https://www.ncbi.nlm.nih.gov/nuccore/CP000304.1?report=graph&amp;tracks=[key:gene_model_track,Options:GeneOnly]&amp;mk=1124022:1124041|offset_52|444444,1123995:1124014|offset_79|00cc00,1123975:1123994|offset_99|444444,1123949:1123968|offset_125|444444&amp;v=1123821:1124168&amp;c=444444", "offset 79")</f>
        <v>offset 79</v>
      </c>
    </row>
    <row r="3897" customFormat="false" ht="12.8" hidden="false" customHeight="false" outlineLevel="0" collapsed="false">
      <c r="A3897" s="0" t="s">
        <v>12</v>
      </c>
      <c r="B3897" s="0" t="n">
        <v>1123974</v>
      </c>
      <c r="C3897" s="0" t="n">
        <v>1123994</v>
      </c>
      <c r="D3897" s="0" t="s">
        <v>13018</v>
      </c>
      <c r="E3897" s="0" t="s">
        <v>13019</v>
      </c>
      <c r="F3897" s="0" t="s">
        <v>90</v>
      </c>
      <c r="G3897" s="0" t="s">
        <v>36</v>
      </c>
      <c r="H3897" s="0" t="n">
        <v>99</v>
      </c>
      <c r="I3897" s="0" t="s">
        <v>13026</v>
      </c>
      <c r="J3897" s="0" t="s">
        <v>13027</v>
      </c>
      <c r="K3897" s="0" t="s">
        <v>13028</v>
      </c>
      <c r="L3897" s="0" t="str">
        <f aca="false">HYPERLINK("https://www.ncbi.nlm.nih.gov/nuccore/CP000304.1?report=graph&amp;tracks=[key:gene_model_track,Options:GeneOnly]&amp;mk=1124022:1124041|offset_52|444444,1123995:1124014|offset_79|444444,1123975:1123994|offset_99|00cc00,1123949:1123968|offset_125|444444&amp;v=1123821:1124168&amp;c=444444", "offset 99")</f>
        <v>offset 99</v>
      </c>
    </row>
    <row r="3898" customFormat="false" ht="12.8" hidden="false" customHeight="false" outlineLevel="0" collapsed="false">
      <c r="A3898" s="0" t="s">
        <v>12</v>
      </c>
      <c r="B3898" s="0" t="n">
        <v>1123948</v>
      </c>
      <c r="C3898" s="0" t="n">
        <v>1123968</v>
      </c>
      <c r="D3898" s="0" t="s">
        <v>13018</v>
      </c>
      <c r="E3898" s="0" t="s">
        <v>13019</v>
      </c>
      <c r="F3898" s="0" t="s">
        <v>90</v>
      </c>
      <c r="G3898" s="0" t="s">
        <v>26</v>
      </c>
      <c r="H3898" s="0" t="n">
        <v>125</v>
      </c>
      <c r="I3898" s="0" t="s">
        <v>13029</v>
      </c>
      <c r="J3898" s="0" t="s">
        <v>13030</v>
      </c>
      <c r="K3898" s="0" t="s">
        <v>13031</v>
      </c>
      <c r="L3898" s="0" t="str">
        <f aca="false">HYPERLINK("https://www.ncbi.nlm.nih.gov/nuccore/CP000304.1?report=graph&amp;tracks=[key:gene_model_track,Options:GeneOnly]&amp;mk=1124022:1124041|offset_52|444444,1123995:1124014|offset_79|444444,1123975:1123994|offset_99|444444,1123949:1123968|offset_125|00cc00&amp;v=1123821:1124168&amp;c=444444", "offset 125")</f>
        <v>offset 125</v>
      </c>
    </row>
    <row r="3899" customFormat="false" ht="12.8" hidden="false" customHeight="false" outlineLevel="0" collapsed="false">
      <c r="A3899" s="0" t="s">
        <v>12</v>
      </c>
      <c r="B3899" s="0" t="n">
        <v>1125540</v>
      </c>
      <c r="C3899" s="0" t="n">
        <v>1125560</v>
      </c>
      <c r="D3899" s="0" t="s">
        <v>13032</v>
      </c>
      <c r="E3899" s="0" t="s">
        <v>13033</v>
      </c>
      <c r="F3899" s="0" t="s">
        <v>90</v>
      </c>
      <c r="G3899" s="0" t="s">
        <v>16</v>
      </c>
      <c r="H3899" s="0" t="n">
        <v>13</v>
      </c>
      <c r="I3899" s="0" t="s">
        <v>13034</v>
      </c>
      <c r="J3899" s="0" t="s">
        <v>13035</v>
      </c>
      <c r="K3899" s="0" t="s">
        <v>13036</v>
      </c>
      <c r="L3899" s="0" t="str">
        <f aca="false">HYPERLINK("https://www.ncbi.nlm.nih.gov/nuccore/CP000304.1?report=graph&amp;tracks=[key:gene_model_track,Options:GeneOnly]&amp;mk=1125541:1125560|offset_13|00cc00,1125517:1125536|offset_37|444444,1125478:1125497|offset_76|444444,1125432:1125451|offset_122|444444&amp;v=1125340:1125651&amp;c=444444", "offset 13")</f>
        <v>offset 13</v>
      </c>
    </row>
    <row r="3900" customFormat="false" ht="12.8" hidden="false" customHeight="false" outlineLevel="0" collapsed="false">
      <c r="A3900" s="0" t="s">
        <v>12</v>
      </c>
      <c r="B3900" s="0" t="n">
        <v>1125516</v>
      </c>
      <c r="C3900" s="0" t="n">
        <v>1125536</v>
      </c>
      <c r="D3900" s="0" t="s">
        <v>13032</v>
      </c>
      <c r="E3900" s="0" t="s">
        <v>13033</v>
      </c>
      <c r="F3900" s="0" t="s">
        <v>90</v>
      </c>
      <c r="G3900" s="0" t="s">
        <v>16</v>
      </c>
      <c r="H3900" s="0" t="n">
        <v>37</v>
      </c>
      <c r="I3900" s="0" t="s">
        <v>13037</v>
      </c>
      <c r="J3900" s="0" t="s">
        <v>13038</v>
      </c>
      <c r="K3900" s="0" t="s">
        <v>13039</v>
      </c>
      <c r="L3900" s="0" t="str">
        <f aca="false">HYPERLINK("https://www.ncbi.nlm.nih.gov/nuccore/CP000304.1?report=graph&amp;tracks=[key:gene_model_track,Options:GeneOnly]&amp;mk=1125541:1125560|offset_13|444444,1125517:1125536|offset_37|00cc00,1125478:1125497|offset_76|444444,1125432:1125451|offset_122|444444&amp;v=1125340:1125651&amp;c=444444", "offset 37")</f>
        <v>offset 37</v>
      </c>
    </row>
    <row r="3901" customFormat="false" ht="12.8" hidden="false" customHeight="false" outlineLevel="0" collapsed="false">
      <c r="A3901" s="0" t="s">
        <v>12</v>
      </c>
      <c r="B3901" s="0" t="n">
        <v>1125477</v>
      </c>
      <c r="C3901" s="0" t="n">
        <v>1125497</v>
      </c>
      <c r="D3901" s="0" t="s">
        <v>13032</v>
      </c>
      <c r="E3901" s="0" t="s">
        <v>13033</v>
      </c>
      <c r="F3901" s="0" t="s">
        <v>90</v>
      </c>
      <c r="G3901" s="0" t="s">
        <v>16</v>
      </c>
      <c r="H3901" s="0" t="n">
        <v>76</v>
      </c>
      <c r="I3901" s="0" t="s">
        <v>13040</v>
      </c>
      <c r="J3901" s="0" t="s">
        <v>13041</v>
      </c>
      <c r="K3901" s="0" t="s">
        <v>13042</v>
      </c>
      <c r="L3901" s="0" t="str">
        <f aca="false">HYPERLINK("https://www.ncbi.nlm.nih.gov/nuccore/CP000304.1?report=graph&amp;tracks=[key:gene_model_track,Options:GeneOnly]&amp;mk=1125541:1125560|offset_13|444444,1125517:1125536|offset_37|444444,1125478:1125497|offset_76|00cc00,1125432:1125451|offset_122|444444&amp;v=1125340:1125651&amp;c=444444", "offset 76")</f>
        <v>offset 76</v>
      </c>
    </row>
    <row r="3902" customFormat="false" ht="12.8" hidden="false" customHeight="false" outlineLevel="0" collapsed="false">
      <c r="A3902" s="0" t="s">
        <v>12</v>
      </c>
      <c r="B3902" s="0" t="n">
        <v>1125431</v>
      </c>
      <c r="C3902" s="0" t="n">
        <v>1125451</v>
      </c>
      <c r="D3902" s="0" t="s">
        <v>13032</v>
      </c>
      <c r="E3902" s="0" t="s">
        <v>13033</v>
      </c>
      <c r="F3902" s="0" t="s">
        <v>90</v>
      </c>
      <c r="G3902" s="0" t="s">
        <v>36</v>
      </c>
      <c r="H3902" s="0" t="n">
        <v>122</v>
      </c>
      <c r="I3902" s="0" t="s">
        <v>13043</v>
      </c>
      <c r="J3902" s="0" t="s">
        <v>13044</v>
      </c>
      <c r="K3902" s="0" t="s">
        <v>13045</v>
      </c>
      <c r="L3902" s="0" t="str">
        <f aca="false">HYPERLINK("https://www.ncbi.nlm.nih.gov/nuccore/CP000304.1?report=graph&amp;tracks=[key:gene_model_track,Options:GeneOnly]&amp;mk=1125541:1125560|offset_13|444444,1125517:1125536|offset_37|444444,1125478:1125497|offset_76|444444,1125432:1125451|offset_122|00cc00&amp;v=1125340:1125651&amp;c=444444", "offset 122")</f>
        <v>offset 122</v>
      </c>
    </row>
    <row r="3903" customFormat="false" ht="12.8" hidden="false" customHeight="false" outlineLevel="0" collapsed="false">
      <c r="A3903" s="0" t="s">
        <v>12</v>
      </c>
      <c r="B3903" s="0" t="n">
        <v>1125924</v>
      </c>
      <c r="C3903" s="0" t="n">
        <v>1125944</v>
      </c>
      <c r="D3903" s="0" t="s">
        <v>13046</v>
      </c>
      <c r="E3903" s="0" t="s">
        <v>13047</v>
      </c>
      <c r="F3903" s="0" t="s">
        <v>90</v>
      </c>
      <c r="G3903" s="0" t="s">
        <v>32</v>
      </c>
      <c r="H3903" s="0" t="n">
        <v>0</v>
      </c>
      <c r="I3903" s="0" t="s">
        <v>13048</v>
      </c>
      <c r="J3903" s="0" t="s">
        <v>13049</v>
      </c>
      <c r="K3903" s="0" t="s">
        <v>13050</v>
      </c>
      <c r="L3903" s="0" t="str">
        <f aca="false">HYPERLINK("https://www.ncbi.nlm.nih.gov/nuccore/CP000304.1?report=graph&amp;tracks=[key:gene_model_track,Options:GeneOnly]&amp;mk=1125925:1125944|offset_0|00cc00,1125902:1125921|offset_23|444444,1125867:1125886|offset_58|444444,1125842:1125861|offset_83|444444&amp;v=1125724:1126061&amp;c=444444", "offset 0")</f>
        <v>offset 0</v>
      </c>
    </row>
    <row r="3904" customFormat="false" ht="12.8" hidden="false" customHeight="false" outlineLevel="0" collapsed="false">
      <c r="A3904" s="0" t="s">
        <v>12</v>
      </c>
      <c r="B3904" s="0" t="n">
        <v>1125901</v>
      </c>
      <c r="C3904" s="0" t="n">
        <v>1125921</v>
      </c>
      <c r="D3904" s="0" t="s">
        <v>13046</v>
      </c>
      <c r="E3904" s="0" t="s">
        <v>13047</v>
      </c>
      <c r="F3904" s="0" t="s">
        <v>90</v>
      </c>
      <c r="G3904" s="0" t="s">
        <v>16</v>
      </c>
      <c r="H3904" s="0" t="n">
        <v>23</v>
      </c>
      <c r="I3904" s="0" t="s">
        <v>13051</v>
      </c>
      <c r="J3904" s="0" t="s">
        <v>13052</v>
      </c>
      <c r="K3904" s="0" t="s">
        <v>13053</v>
      </c>
      <c r="L3904" s="0" t="str">
        <f aca="false">HYPERLINK("https://www.ncbi.nlm.nih.gov/nuccore/CP000304.1?report=graph&amp;tracks=[key:gene_model_track,Options:GeneOnly]&amp;mk=1125925:1125944|offset_0|444444,1125902:1125921|offset_23|00cc00,1125867:1125886|offset_58|444444,1125842:1125861|offset_83|444444&amp;v=1125724:1126061&amp;c=444444", "offset 23")</f>
        <v>offset 23</v>
      </c>
    </row>
    <row r="3905" customFormat="false" ht="12.8" hidden="false" customHeight="false" outlineLevel="0" collapsed="false">
      <c r="A3905" s="0" t="s">
        <v>12</v>
      </c>
      <c r="B3905" s="0" t="n">
        <v>1125866</v>
      </c>
      <c r="C3905" s="0" t="n">
        <v>1125886</v>
      </c>
      <c r="D3905" s="0" t="s">
        <v>13046</v>
      </c>
      <c r="E3905" s="0" t="s">
        <v>13047</v>
      </c>
      <c r="F3905" s="0" t="s">
        <v>90</v>
      </c>
      <c r="G3905" s="0" t="s">
        <v>36</v>
      </c>
      <c r="H3905" s="0" t="n">
        <v>58</v>
      </c>
      <c r="I3905" s="0" t="s">
        <v>13054</v>
      </c>
      <c r="J3905" s="0" t="s">
        <v>13055</v>
      </c>
      <c r="K3905" s="0" t="s">
        <v>13056</v>
      </c>
      <c r="L3905" s="0" t="str">
        <f aca="false">HYPERLINK("https://www.ncbi.nlm.nih.gov/nuccore/CP000304.1?report=graph&amp;tracks=[key:gene_model_track,Options:GeneOnly]&amp;mk=1125925:1125944|offset_0|444444,1125902:1125921|offset_23|444444,1125867:1125886|offset_58|00cc00,1125842:1125861|offset_83|444444&amp;v=1125724:1126061&amp;c=444444", "offset 58")</f>
        <v>offset 58</v>
      </c>
    </row>
    <row r="3906" customFormat="false" ht="12.8" hidden="false" customHeight="false" outlineLevel="0" collapsed="false">
      <c r="A3906" s="0" t="s">
        <v>12</v>
      </c>
      <c r="B3906" s="0" t="n">
        <v>1125841</v>
      </c>
      <c r="C3906" s="0" t="n">
        <v>1125861</v>
      </c>
      <c r="D3906" s="0" t="s">
        <v>13046</v>
      </c>
      <c r="E3906" s="0" t="s">
        <v>13047</v>
      </c>
      <c r="F3906" s="0" t="s">
        <v>90</v>
      </c>
      <c r="G3906" s="0" t="s">
        <v>36</v>
      </c>
      <c r="H3906" s="0" t="n">
        <v>83</v>
      </c>
      <c r="I3906" s="0" t="s">
        <v>13057</v>
      </c>
      <c r="J3906" s="0" t="s">
        <v>13058</v>
      </c>
      <c r="K3906" s="0" t="s">
        <v>13059</v>
      </c>
      <c r="L3906" s="0" t="str">
        <f aca="false">HYPERLINK("https://www.ncbi.nlm.nih.gov/nuccore/CP000304.1?report=graph&amp;tracks=[key:gene_model_track,Options:GeneOnly]&amp;mk=1125925:1125944|offset_0|444444,1125902:1125921|offset_23|444444,1125867:1125886|offset_58|444444,1125842:1125861|offset_83|00cc00&amp;v=1125724:1126061&amp;c=444444", "offset 83")</f>
        <v>offset 83</v>
      </c>
    </row>
    <row r="3907" customFormat="false" ht="12.8" hidden="false" customHeight="false" outlineLevel="0" collapsed="false">
      <c r="A3907" s="0" t="s">
        <v>12</v>
      </c>
      <c r="B3907" s="0" t="n">
        <v>1126163</v>
      </c>
      <c r="C3907" s="0" t="n">
        <v>1126183</v>
      </c>
      <c r="D3907" s="0" t="s">
        <v>13060</v>
      </c>
      <c r="E3907" s="0" t="s">
        <v>13061</v>
      </c>
      <c r="F3907" s="0" t="s">
        <v>15</v>
      </c>
      <c r="G3907" s="0" t="s">
        <v>36</v>
      </c>
      <c r="H3907" s="0" t="n">
        <v>6</v>
      </c>
      <c r="I3907" s="0" t="s">
        <v>13062</v>
      </c>
      <c r="J3907" s="0" t="s">
        <v>13063</v>
      </c>
      <c r="K3907" s="0" t="s">
        <v>13064</v>
      </c>
      <c r="L3907" s="0" t="str">
        <f aca="false">HYPERLINK("https://www.ncbi.nlm.nih.gov/nuccore/CP000304.1?report=graph&amp;tracks=[key:gene_model_track,Options:GeneOnly]&amp;mk=1126164:1126183|offset_6|00cc00,1126210:1126229|offset_52|444444,1126240:1126259|offset_82|444444,1126287:1126306|offset_129|444444&amp;v=1125963:1126506&amp;c=444444", "offset 6")</f>
        <v>offset 6</v>
      </c>
    </row>
    <row r="3908" customFormat="false" ht="12.8" hidden="false" customHeight="false" outlineLevel="0" collapsed="false">
      <c r="A3908" s="0" t="s">
        <v>12</v>
      </c>
      <c r="B3908" s="0" t="n">
        <v>1126209</v>
      </c>
      <c r="C3908" s="0" t="n">
        <v>1126229</v>
      </c>
      <c r="D3908" s="0" t="s">
        <v>13060</v>
      </c>
      <c r="E3908" s="0" t="s">
        <v>13061</v>
      </c>
      <c r="F3908" s="0" t="s">
        <v>15</v>
      </c>
      <c r="G3908" s="0" t="s">
        <v>32</v>
      </c>
      <c r="H3908" s="0" t="n">
        <v>52</v>
      </c>
      <c r="I3908" s="0" t="s">
        <v>13065</v>
      </c>
      <c r="J3908" s="0" t="s">
        <v>13066</v>
      </c>
      <c r="K3908" s="0" t="s">
        <v>13067</v>
      </c>
      <c r="L3908" s="0" t="str">
        <f aca="false">HYPERLINK("https://www.ncbi.nlm.nih.gov/nuccore/CP000304.1?report=graph&amp;tracks=[key:gene_model_track,Options:GeneOnly]&amp;mk=1126164:1126183|offset_6|444444,1126210:1126229|offset_52|00cc00,1126240:1126259|offset_82|444444,1126287:1126306|offset_129|444444&amp;v=1125963:1126506&amp;c=444444", "offset 52")</f>
        <v>offset 52</v>
      </c>
    </row>
    <row r="3909" customFormat="false" ht="12.8" hidden="false" customHeight="false" outlineLevel="0" collapsed="false">
      <c r="A3909" s="0" t="s">
        <v>12</v>
      </c>
      <c r="B3909" s="0" t="n">
        <v>1126239</v>
      </c>
      <c r="C3909" s="0" t="n">
        <v>1126259</v>
      </c>
      <c r="D3909" s="0" t="s">
        <v>13060</v>
      </c>
      <c r="E3909" s="0" t="s">
        <v>13061</v>
      </c>
      <c r="F3909" s="0" t="s">
        <v>15</v>
      </c>
      <c r="G3909" s="0" t="s">
        <v>32</v>
      </c>
      <c r="H3909" s="0" t="n">
        <v>82</v>
      </c>
      <c r="I3909" s="0" t="s">
        <v>13068</v>
      </c>
      <c r="J3909" s="0" t="s">
        <v>13069</v>
      </c>
      <c r="K3909" s="0" t="s">
        <v>13070</v>
      </c>
      <c r="L3909" s="0" t="str">
        <f aca="false">HYPERLINK("https://www.ncbi.nlm.nih.gov/nuccore/CP000304.1?report=graph&amp;tracks=[key:gene_model_track,Options:GeneOnly]&amp;mk=1126164:1126183|offset_6|444444,1126210:1126229|offset_52|444444,1126240:1126259|offset_82|00cc00,1126287:1126306|offset_129|444444&amp;v=1125963:1126506&amp;c=444444", "offset 82")</f>
        <v>offset 82</v>
      </c>
    </row>
    <row r="3910" customFormat="false" ht="12.8" hidden="false" customHeight="false" outlineLevel="0" collapsed="false">
      <c r="A3910" s="0" t="s">
        <v>12</v>
      </c>
      <c r="B3910" s="0" t="n">
        <v>1126286</v>
      </c>
      <c r="C3910" s="0" t="n">
        <v>1126306</v>
      </c>
      <c r="D3910" s="0" t="s">
        <v>13060</v>
      </c>
      <c r="E3910" s="0" t="s">
        <v>13061</v>
      </c>
      <c r="F3910" s="0" t="s">
        <v>15</v>
      </c>
      <c r="G3910" s="0" t="s">
        <v>16</v>
      </c>
      <c r="H3910" s="0" t="n">
        <v>129</v>
      </c>
      <c r="I3910" s="0" t="s">
        <v>13071</v>
      </c>
      <c r="J3910" s="0" t="s">
        <v>13072</v>
      </c>
      <c r="K3910" s="0" t="s">
        <v>13073</v>
      </c>
      <c r="L3910" s="0" t="str">
        <f aca="false">HYPERLINK("https://www.ncbi.nlm.nih.gov/nuccore/CP000304.1?report=graph&amp;tracks=[key:gene_model_track,Options:GeneOnly]&amp;mk=1126164:1126183|offset_6|444444,1126210:1126229|offset_52|444444,1126240:1126259|offset_82|444444,1126287:1126306|offset_129|00cc00&amp;v=1125963:1126506&amp;c=444444", "offset 129")</f>
        <v>offset 129</v>
      </c>
    </row>
    <row r="3911" customFormat="false" ht="12.8" hidden="false" customHeight="false" outlineLevel="0" collapsed="false">
      <c r="A3911" s="0" t="s">
        <v>12</v>
      </c>
      <c r="B3911" s="0" t="n">
        <v>1127405</v>
      </c>
      <c r="C3911" s="0" t="n">
        <v>1127425</v>
      </c>
      <c r="D3911" s="0" t="s">
        <v>13074</v>
      </c>
      <c r="E3911" s="0" t="s">
        <v>13075</v>
      </c>
      <c r="F3911" s="0" t="s">
        <v>15</v>
      </c>
      <c r="G3911" s="0" t="s">
        <v>36</v>
      </c>
      <c r="H3911" s="0" t="n">
        <v>46</v>
      </c>
      <c r="I3911" s="0" t="s">
        <v>13076</v>
      </c>
      <c r="J3911" s="0" t="s">
        <v>13077</v>
      </c>
      <c r="K3911" s="0" t="s">
        <v>13078</v>
      </c>
      <c r="L3911" s="0" t="str">
        <f aca="false">HYPERLINK("https://www.ncbi.nlm.nih.gov/nuccore/CP000304.1?report=graph&amp;tracks=[key:gene_model_track,Options:GeneOnly]&amp;mk=1127406:1127425|offset_46|00cc00,1127427:1127446|offset_67|444444,1127459:1127478|offset_99|444444,1127483:1127502|offset_123|444444&amp;v=1127205:1127702&amp;c=444444", "offset 46")</f>
        <v>offset 46</v>
      </c>
    </row>
    <row r="3912" customFormat="false" ht="12.8" hidden="false" customHeight="false" outlineLevel="0" collapsed="false">
      <c r="A3912" s="0" t="s">
        <v>12</v>
      </c>
      <c r="B3912" s="0" t="n">
        <v>1127426</v>
      </c>
      <c r="C3912" s="0" t="n">
        <v>1127446</v>
      </c>
      <c r="D3912" s="0" t="s">
        <v>13074</v>
      </c>
      <c r="E3912" s="0" t="s">
        <v>13075</v>
      </c>
      <c r="F3912" s="0" t="s">
        <v>15</v>
      </c>
      <c r="G3912" s="0" t="s">
        <v>16</v>
      </c>
      <c r="H3912" s="0" t="n">
        <v>67</v>
      </c>
      <c r="I3912" s="0" t="s">
        <v>13079</v>
      </c>
      <c r="J3912" s="0" t="s">
        <v>13080</v>
      </c>
      <c r="K3912" s="0" t="s">
        <v>13081</v>
      </c>
      <c r="L3912" s="0" t="str">
        <f aca="false">HYPERLINK("https://www.ncbi.nlm.nih.gov/nuccore/CP000304.1?report=graph&amp;tracks=[key:gene_model_track,Options:GeneOnly]&amp;mk=1127406:1127425|offset_46|444444,1127427:1127446|offset_67|00cc00,1127459:1127478|offset_99|444444,1127483:1127502|offset_123|444444&amp;v=1127205:1127702&amp;c=444444", "offset 67")</f>
        <v>offset 67</v>
      </c>
    </row>
    <row r="3913" customFormat="false" ht="12.8" hidden="false" customHeight="false" outlineLevel="0" collapsed="false">
      <c r="A3913" s="0" t="s">
        <v>12</v>
      </c>
      <c r="B3913" s="0" t="n">
        <v>1127458</v>
      </c>
      <c r="C3913" s="0" t="n">
        <v>1127478</v>
      </c>
      <c r="D3913" s="0" t="s">
        <v>13074</v>
      </c>
      <c r="E3913" s="0" t="s">
        <v>13075</v>
      </c>
      <c r="F3913" s="0" t="s">
        <v>15</v>
      </c>
      <c r="G3913" s="0" t="s">
        <v>16</v>
      </c>
      <c r="H3913" s="0" t="n">
        <v>99</v>
      </c>
      <c r="I3913" s="0" t="s">
        <v>13082</v>
      </c>
      <c r="J3913" s="0" t="s">
        <v>13083</v>
      </c>
      <c r="K3913" s="0" t="s">
        <v>13084</v>
      </c>
      <c r="L3913" s="0" t="str">
        <f aca="false">HYPERLINK("https://www.ncbi.nlm.nih.gov/nuccore/CP000304.1?report=graph&amp;tracks=[key:gene_model_track,Options:GeneOnly]&amp;mk=1127406:1127425|offset_46|444444,1127427:1127446|offset_67|444444,1127459:1127478|offset_99|00cc00,1127483:1127502|offset_123|444444&amp;v=1127205:1127702&amp;c=444444", "offset 99")</f>
        <v>offset 99</v>
      </c>
    </row>
    <row r="3914" customFormat="false" ht="12.8" hidden="false" customHeight="false" outlineLevel="0" collapsed="false">
      <c r="A3914" s="0" t="s">
        <v>12</v>
      </c>
      <c r="B3914" s="0" t="n">
        <v>1127482</v>
      </c>
      <c r="C3914" s="0" t="n">
        <v>1127502</v>
      </c>
      <c r="D3914" s="0" t="s">
        <v>13074</v>
      </c>
      <c r="E3914" s="0" t="s">
        <v>13075</v>
      </c>
      <c r="F3914" s="0" t="s">
        <v>15</v>
      </c>
      <c r="G3914" s="0" t="s">
        <v>16</v>
      </c>
      <c r="H3914" s="0" t="n">
        <v>123</v>
      </c>
      <c r="I3914" s="0" t="s">
        <v>13085</v>
      </c>
      <c r="J3914" s="0" t="s">
        <v>13086</v>
      </c>
      <c r="K3914" s="0" t="s">
        <v>13087</v>
      </c>
      <c r="L3914" s="0" t="str">
        <f aca="false">HYPERLINK("https://www.ncbi.nlm.nih.gov/nuccore/CP000304.1?report=graph&amp;tracks=[key:gene_model_track,Options:GeneOnly]&amp;mk=1127406:1127425|offset_46|444444,1127427:1127446|offset_67|444444,1127459:1127478|offset_99|444444,1127483:1127502|offset_123|00cc00&amp;v=1127205:1127702&amp;c=444444", "offset 123")</f>
        <v>offset 123</v>
      </c>
    </row>
    <row r="3915" customFormat="false" ht="12.8" hidden="false" customHeight="false" outlineLevel="0" collapsed="false">
      <c r="A3915" s="0" t="s">
        <v>12</v>
      </c>
      <c r="B3915" s="0" t="n">
        <v>1128327</v>
      </c>
      <c r="C3915" s="0" t="n">
        <v>1128347</v>
      </c>
      <c r="D3915" s="0" t="s">
        <v>13088</v>
      </c>
      <c r="E3915" s="0" t="s">
        <v>13089</v>
      </c>
      <c r="F3915" s="0" t="s">
        <v>15</v>
      </c>
      <c r="G3915" s="0" t="s">
        <v>16</v>
      </c>
      <c r="H3915" s="0" t="n">
        <v>18</v>
      </c>
      <c r="I3915" s="0" t="s">
        <v>13090</v>
      </c>
      <c r="J3915" s="0" t="s">
        <v>13091</v>
      </c>
      <c r="K3915" s="0" t="s">
        <v>13092</v>
      </c>
      <c r="L3915" s="0" t="str">
        <f aca="false">HYPERLINK("https://www.ncbi.nlm.nih.gov/nuccore/CP000304.1?report=graph&amp;tracks=[key:gene_model_track,Options:GeneOnly]&amp;mk=1128328:1128347|offset_18|00cc00,1128388:1128407|offset_78|444444,1128413:1128432|offset_103|444444,1128443:1128462|offset_133|444444&amp;v=1128127:1128662&amp;c=444444", "offset 18")</f>
        <v>offset 18</v>
      </c>
    </row>
    <row r="3916" customFormat="false" ht="12.8" hidden="false" customHeight="false" outlineLevel="0" collapsed="false">
      <c r="A3916" s="0" t="s">
        <v>12</v>
      </c>
      <c r="B3916" s="0" t="n">
        <v>1128387</v>
      </c>
      <c r="C3916" s="0" t="n">
        <v>1128407</v>
      </c>
      <c r="D3916" s="0" t="s">
        <v>13088</v>
      </c>
      <c r="E3916" s="0" t="s">
        <v>13089</v>
      </c>
      <c r="F3916" s="0" t="s">
        <v>15</v>
      </c>
      <c r="G3916" s="0" t="s">
        <v>16</v>
      </c>
      <c r="H3916" s="0" t="n">
        <v>78</v>
      </c>
      <c r="I3916" s="0" t="s">
        <v>13093</v>
      </c>
      <c r="J3916" s="0" t="s">
        <v>13094</v>
      </c>
      <c r="K3916" s="0" t="s">
        <v>13095</v>
      </c>
      <c r="L3916" s="0" t="str">
        <f aca="false">HYPERLINK("https://www.ncbi.nlm.nih.gov/nuccore/CP000304.1?report=graph&amp;tracks=[key:gene_model_track,Options:GeneOnly]&amp;mk=1128328:1128347|offset_18|444444,1128388:1128407|offset_78|00cc00,1128413:1128432|offset_103|444444,1128443:1128462|offset_133|444444&amp;v=1128127:1128662&amp;c=444444", "offset 78")</f>
        <v>offset 78</v>
      </c>
    </row>
    <row r="3917" customFormat="false" ht="12.8" hidden="false" customHeight="false" outlineLevel="0" collapsed="false">
      <c r="A3917" s="0" t="s">
        <v>12</v>
      </c>
      <c r="B3917" s="0" t="n">
        <v>1128412</v>
      </c>
      <c r="C3917" s="0" t="n">
        <v>1128432</v>
      </c>
      <c r="D3917" s="0" t="s">
        <v>13088</v>
      </c>
      <c r="E3917" s="0" t="s">
        <v>13089</v>
      </c>
      <c r="F3917" s="0" t="s">
        <v>15</v>
      </c>
      <c r="G3917" s="0" t="s">
        <v>36</v>
      </c>
      <c r="H3917" s="0" t="n">
        <v>103</v>
      </c>
      <c r="I3917" s="0" t="s">
        <v>13096</v>
      </c>
      <c r="J3917" s="0" t="s">
        <v>13097</v>
      </c>
      <c r="K3917" s="0" t="s">
        <v>13098</v>
      </c>
      <c r="L3917" s="0" t="str">
        <f aca="false">HYPERLINK("https://www.ncbi.nlm.nih.gov/nuccore/CP000304.1?report=graph&amp;tracks=[key:gene_model_track,Options:GeneOnly]&amp;mk=1128328:1128347|offset_18|444444,1128388:1128407|offset_78|444444,1128413:1128432|offset_103|00cc00,1128443:1128462|offset_133|444444&amp;v=1128127:1128662&amp;c=444444", "offset 103")</f>
        <v>offset 103</v>
      </c>
    </row>
    <row r="3918" customFormat="false" ht="12.8" hidden="false" customHeight="false" outlineLevel="0" collapsed="false">
      <c r="A3918" s="0" t="s">
        <v>12</v>
      </c>
      <c r="B3918" s="0" t="n">
        <v>1128442</v>
      </c>
      <c r="C3918" s="0" t="n">
        <v>1128462</v>
      </c>
      <c r="D3918" s="0" t="s">
        <v>13088</v>
      </c>
      <c r="E3918" s="0" t="s">
        <v>13089</v>
      </c>
      <c r="F3918" s="0" t="s">
        <v>15</v>
      </c>
      <c r="G3918" s="0" t="s">
        <v>26</v>
      </c>
      <c r="H3918" s="0" t="n">
        <v>133</v>
      </c>
      <c r="I3918" s="0" t="s">
        <v>13099</v>
      </c>
      <c r="J3918" s="0" t="s">
        <v>13100</v>
      </c>
      <c r="K3918" s="0" t="s">
        <v>13101</v>
      </c>
      <c r="L3918" s="0" t="str">
        <f aca="false">HYPERLINK("https://www.ncbi.nlm.nih.gov/nuccore/CP000304.1?report=graph&amp;tracks=[key:gene_model_track,Options:GeneOnly]&amp;mk=1128328:1128347|offset_18|444444,1128388:1128407|offset_78|444444,1128413:1128432|offset_103|444444,1128443:1128462|offset_133|00cc00&amp;v=1128127:1128662&amp;c=444444", "offset 133")</f>
        <v>offset 133</v>
      </c>
    </row>
    <row r="3919" customFormat="false" ht="12.8" hidden="false" customHeight="false" outlineLevel="0" collapsed="false">
      <c r="A3919" s="0" t="s">
        <v>12</v>
      </c>
      <c r="B3919" s="0" t="n">
        <v>1129005</v>
      </c>
      <c r="C3919" s="0" t="n">
        <v>1129025</v>
      </c>
      <c r="D3919" s="0" t="s">
        <v>13102</v>
      </c>
      <c r="E3919" s="0" t="s">
        <v>89</v>
      </c>
      <c r="F3919" s="0" t="s">
        <v>15</v>
      </c>
      <c r="G3919" s="0" t="s">
        <v>32</v>
      </c>
      <c r="H3919" s="0" t="n">
        <v>28</v>
      </c>
      <c r="I3919" s="0" t="s">
        <v>13103</v>
      </c>
      <c r="J3919" s="0" t="s">
        <v>13104</v>
      </c>
      <c r="K3919" s="0" t="s">
        <v>13105</v>
      </c>
      <c r="L3919" s="0" t="str">
        <f aca="false">HYPERLINK("https://www.ncbi.nlm.nih.gov/nuccore/CP000304.1?report=graph&amp;tracks=[key:gene_model_track,Options:GeneOnly]&amp;mk=1129006:1129025|offset_28|00cc00,1129096:1129115|offset_118|444444,1129132:1129151|offset_154|444444,1129155:1129174|offset_177|444444&amp;v=1128805:1129374&amp;c=444444", "offset 28")</f>
        <v>offset 28</v>
      </c>
    </row>
    <row r="3920" customFormat="false" ht="12.8" hidden="false" customHeight="false" outlineLevel="0" collapsed="false">
      <c r="A3920" s="0" t="s">
        <v>12</v>
      </c>
      <c r="B3920" s="0" t="n">
        <v>1129095</v>
      </c>
      <c r="C3920" s="0" t="n">
        <v>1129115</v>
      </c>
      <c r="D3920" s="0" t="s">
        <v>13102</v>
      </c>
      <c r="E3920" s="0" t="s">
        <v>89</v>
      </c>
      <c r="F3920" s="0" t="s">
        <v>15</v>
      </c>
      <c r="G3920" s="0" t="s">
        <v>36</v>
      </c>
      <c r="H3920" s="0" t="n">
        <v>118</v>
      </c>
      <c r="I3920" s="0" t="s">
        <v>13106</v>
      </c>
      <c r="J3920" s="0" t="s">
        <v>13107</v>
      </c>
      <c r="K3920" s="0" t="s">
        <v>13108</v>
      </c>
      <c r="L3920" s="0" t="str">
        <f aca="false">HYPERLINK("https://www.ncbi.nlm.nih.gov/nuccore/CP000304.1?report=graph&amp;tracks=[key:gene_model_track,Options:GeneOnly]&amp;mk=1129006:1129025|offset_28|444444,1129096:1129115|offset_118|00cc00,1129132:1129151|offset_154|444444,1129155:1129174|offset_177|444444&amp;v=1128805:1129374&amp;c=444444", "offset 118")</f>
        <v>offset 118</v>
      </c>
    </row>
    <row r="3921" customFormat="false" ht="12.8" hidden="false" customHeight="false" outlineLevel="0" collapsed="false">
      <c r="A3921" s="0" t="s">
        <v>12</v>
      </c>
      <c r="B3921" s="0" t="n">
        <v>1129131</v>
      </c>
      <c r="C3921" s="0" t="n">
        <v>1129151</v>
      </c>
      <c r="D3921" s="0" t="s">
        <v>13102</v>
      </c>
      <c r="E3921" s="0" t="s">
        <v>89</v>
      </c>
      <c r="F3921" s="0" t="s">
        <v>15</v>
      </c>
      <c r="G3921" s="0" t="s">
        <v>32</v>
      </c>
      <c r="H3921" s="0" t="n">
        <v>154</v>
      </c>
      <c r="I3921" s="0" t="s">
        <v>13109</v>
      </c>
      <c r="J3921" s="0" t="s">
        <v>13110</v>
      </c>
      <c r="K3921" s="0" t="s">
        <v>13111</v>
      </c>
      <c r="L3921" s="0" t="str">
        <f aca="false">HYPERLINK("https://www.ncbi.nlm.nih.gov/nuccore/CP000304.1?report=graph&amp;tracks=[key:gene_model_track,Options:GeneOnly]&amp;mk=1129006:1129025|offset_28|444444,1129096:1129115|offset_118|444444,1129132:1129151|offset_154|00cc00,1129155:1129174|offset_177|444444&amp;v=1128805:1129374&amp;c=444444", "offset 154")</f>
        <v>offset 154</v>
      </c>
    </row>
    <row r="3922" customFormat="false" ht="12.8" hidden="false" customHeight="false" outlineLevel="0" collapsed="false">
      <c r="A3922" s="0" t="s">
        <v>12</v>
      </c>
      <c r="B3922" s="0" t="n">
        <v>1129154</v>
      </c>
      <c r="C3922" s="0" t="n">
        <v>1129174</v>
      </c>
      <c r="D3922" s="0" t="s">
        <v>13102</v>
      </c>
      <c r="E3922" s="0" t="s">
        <v>89</v>
      </c>
      <c r="F3922" s="0" t="s">
        <v>15</v>
      </c>
      <c r="G3922" s="0" t="s">
        <v>26</v>
      </c>
      <c r="H3922" s="0" t="n">
        <v>177</v>
      </c>
      <c r="I3922" s="0" t="s">
        <v>13112</v>
      </c>
      <c r="J3922" s="0" t="s">
        <v>13113</v>
      </c>
      <c r="K3922" s="0" t="s">
        <v>13114</v>
      </c>
      <c r="L3922" s="0" t="str">
        <f aca="false">HYPERLINK("https://www.ncbi.nlm.nih.gov/nuccore/CP000304.1?report=graph&amp;tracks=[key:gene_model_track,Options:GeneOnly]&amp;mk=1129006:1129025|offset_28|444444,1129096:1129115|offset_118|444444,1129132:1129151|offset_154|444444,1129155:1129174|offset_177|00cc00&amp;v=1128805:1129374&amp;c=444444", "offset 177")</f>
        <v>offset 177</v>
      </c>
    </row>
    <row r="3923" customFormat="false" ht="12.8" hidden="false" customHeight="false" outlineLevel="0" collapsed="false">
      <c r="A3923" s="0" t="s">
        <v>12</v>
      </c>
      <c r="B3923" s="0" t="n">
        <v>1130226</v>
      </c>
      <c r="C3923" s="0" t="n">
        <v>1130246</v>
      </c>
      <c r="D3923" s="0" t="s">
        <v>13115</v>
      </c>
      <c r="E3923" s="0" t="s">
        <v>13116</v>
      </c>
      <c r="F3923" s="0" t="s">
        <v>15</v>
      </c>
      <c r="G3923" s="0" t="s">
        <v>32</v>
      </c>
      <c r="H3923" s="0" t="n">
        <v>1</v>
      </c>
      <c r="I3923" s="0" t="s">
        <v>13117</v>
      </c>
      <c r="J3923" s="0" t="s">
        <v>13118</v>
      </c>
      <c r="K3923" s="0" t="s">
        <v>13119</v>
      </c>
      <c r="L3923" s="0" t="str">
        <f aca="false">HYPERLINK("https://www.ncbi.nlm.nih.gov/nuccore/CP000304.1?report=graph&amp;tracks=[key:gene_model_track,Options:GeneOnly]&amp;mk=1130227:1130246|offset_1|00cc00,1130248:1130267|offset_22|444444,1130295:1130314|offset_69|444444,1130317:1130336|offset_91|444444&amp;v=1130026:1130536&amp;c=444444", "offset 1")</f>
        <v>offset 1</v>
      </c>
    </row>
    <row r="3924" customFormat="false" ht="12.8" hidden="false" customHeight="false" outlineLevel="0" collapsed="false">
      <c r="A3924" s="0" t="s">
        <v>12</v>
      </c>
      <c r="B3924" s="0" t="n">
        <v>1130247</v>
      </c>
      <c r="C3924" s="0" t="n">
        <v>1130267</v>
      </c>
      <c r="D3924" s="0" t="s">
        <v>13115</v>
      </c>
      <c r="E3924" s="0" t="s">
        <v>13116</v>
      </c>
      <c r="F3924" s="0" t="s">
        <v>15</v>
      </c>
      <c r="G3924" s="0" t="s">
        <v>26</v>
      </c>
      <c r="H3924" s="0" t="n">
        <v>22</v>
      </c>
      <c r="I3924" s="0" t="s">
        <v>13120</v>
      </c>
      <c r="J3924" s="0" t="s">
        <v>13121</v>
      </c>
      <c r="K3924" s="0" t="s">
        <v>13122</v>
      </c>
      <c r="L3924" s="0" t="str">
        <f aca="false">HYPERLINK("https://www.ncbi.nlm.nih.gov/nuccore/CP000304.1?report=graph&amp;tracks=[key:gene_model_track,Options:GeneOnly]&amp;mk=1130227:1130246|offset_1|444444,1130248:1130267|offset_22|00cc00,1130295:1130314|offset_69|444444,1130317:1130336|offset_91|444444&amp;v=1130026:1130536&amp;c=444444", "offset 22")</f>
        <v>offset 22</v>
      </c>
    </row>
    <row r="3925" customFormat="false" ht="12.8" hidden="false" customHeight="false" outlineLevel="0" collapsed="false">
      <c r="A3925" s="0" t="s">
        <v>12</v>
      </c>
      <c r="B3925" s="0" t="n">
        <v>1130294</v>
      </c>
      <c r="C3925" s="0" t="n">
        <v>1130314</v>
      </c>
      <c r="D3925" s="0" t="s">
        <v>13115</v>
      </c>
      <c r="E3925" s="0" t="s">
        <v>13116</v>
      </c>
      <c r="F3925" s="0" t="s">
        <v>15</v>
      </c>
      <c r="G3925" s="0" t="s">
        <v>16</v>
      </c>
      <c r="H3925" s="0" t="n">
        <v>69</v>
      </c>
      <c r="I3925" s="0" t="s">
        <v>13123</v>
      </c>
      <c r="J3925" s="0" t="s">
        <v>13124</v>
      </c>
      <c r="K3925" s="0" t="s">
        <v>13125</v>
      </c>
      <c r="L3925" s="0" t="str">
        <f aca="false">HYPERLINK("https://www.ncbi.nlm.nih.gov/nuccore/CP000304.1?report=graph&amp;tracks=[key:gene_model_track,Options:GeneOnly]&amp;mk=1130227:1130246|offset_1|444444,1130248:1130267|offset_22|444444,1130295:1130314|offset_69|00cc00,1130317:1130336|offset_91|444444&amp;v=1130026:1130536&amp;c=444444", "offset 69")</f>
        <v>offset 69</v>
      </c>
    </row>
    <row r="3926" customFormat="false" ht="12.8" hidden="false" customHeight="false" outlineLevel="0" collapsed="false">
      <c r="A3926" s="0" t="s">
        <v>12</v>
      </c>
      <c r="B3926" s="0" t="n">
        <v>1130316</v>
      </c>
      <c r="C3926" s="0" t="n">
        <v>1130336</v>
      </c>
      <c r="D3926" s="0" t="s">
        <v>13115</v>
      </c>
      <c r="E3926" s="0" t="s">
        <v>13116</v>
      </c>
      <c r="F3926" s="0" t="s">
        <v>15</v>
      </c>
      <c r="G3926" s="0" t="s">
        <v>16</v>
      </c>
      <c r="H3926" s="0" t="n">
        <v>91</v>
      </c>
      <c r="I3926" s="0" t="s">
        <v>13126</v>
      </c>
      <c r="J3926" s="0" t="s">
        <v>13127</v>
      </c>
      <c r="K3926" s="0" t="s">
        <v>13128</v>
      </c>
      <c r="L3926" s="0" t="str">
        <f aca="false">HYPERLINK("https://www.ncbi.nlm.nih.gov/nuccore/CP000304.1?report=graph&amp;tracks=[key:gene_model_track,Options:GeneOnly]&amp;mk=1130227:1130246|offset_1|444444,1130248:1130267|offset_22|444444,1130295:1130314|offset_69|444444,1130317:1130336|offset_91|00cc00&amp;v=1130026:1130536&amp;c=444444", "offset 91")</f>
        <v>offset 91</v>
      </c>
    </row>
    <row r="3927" customFormat="false" ht="12.8" hidden="false" customHeight="false" outlineLevel="0" collapsed="false">
      <c r="A3927" s="0" t="s">
        <v>12</v>
      </c>
      <c r="B3927" s="0" t="n">
        <v>1130920</v>
      </c>
      <c r="C3927" s="0" t="n">
        <v>1130940</v>
      </c>
      <c r="D3927" s="0" t="s">
        <v>13129</v>
      </c>
      <c r="E3927" s="0" t="s">
        <v>13130</v>
      </c>
      <c r="F3927" s="0" t="s">
        <v>15</v>
      </c>
      <c r="G3927" s="0" t="s">
        <v>26</v>
      </c>
      <c r="H3927" s="0" t="n">
        <v>17</v>
      </c>
      <c r="I3927" s="0" t="s">
        <v>13131</v>
      </c>
      <c r="J3927" s="0" t="s">
        <v>13132</v>
      </c>
      <c r="K3927" s="0" t="s">
        <v>13133</v>
      </c>
      <c r="L3927" s="0" t="str">
        <f aca="false">HYPERLINK("https://www.ncbi.nlm.nih.gov/nuccore/CP000304.1?report=graph&amp;tracks=[key:gene_model_track,Options:GeneOnly]&amp;mk=1130921:1130940|offset_17|00cc00,1131008:1131027|offset_104|444444,1131057:1131076|offset_153|444444,1131095:1131114|offset_191|444444&amp;v=1130720:1131314&amp;c=444444", "offset 17")</f>
        <v>offset 17</v>
      </c>
    </row>
    <row r="3928" customFormat="false" ht="12.8" hidden="false" customHeight="false" outlineLevel="0" collapsed="false">
      <c r="A3928" s="0" t="s">
        <v>12</v>
      </c>
      <c r="B3928" s="0" t="n">
        <v>1131007</v>
      </c>
      <c r="C3928" s="0" t="n">
        <v>1131027</v>
      </c>
      <c r="D3928" s="0" t="s">
        <v>13129</v>
      </c>
      <c r="E3928" s="0" t="s">
        <v>13130</v>
      </c>
      <c r="F3928" s="0" t="s">
        <v>15</v>
      </c>
      <c r="G3928" s="0" t="s">
        <v>16</v>
      </c>
      <c r="H3928" s="0" t="n">
        <v>104</v>
      </c>
      <c r="I3928" s="0" t="s">
        <v>13134</v>
      </c>
      <c r="J3928" s="0" t="s">
        <v>13135</v>
      </c>
      <c r="K3928" s="0" t="s">
        <v>13136</v>
      </c>
      <c r="L3928" s="0" t="str">
        <f aca="false">HYPERLINK("https://www.ncbi.nlm.nih.gov/nuccore/CP000304.1?report=graph&amp;tracks=[key:gene_model_track,Options:GeneOnly]&amp;mk=1130921:1130940|offset_17|444444,1131008:1131027|offset_104|00cc00,1131057:1131076|offset_153|444444,1131095:1131114|offset_191|444444&amp;v=1130720:1131314&amp;c=444444", "offset 104")</f>
        <v>offset 104</v>
      </c>
    </row>
    <row r="3929" customFormat="false" ht="12.8" hidden="false" customHeight="false" outlineLevel="0" collapsed="false">
      <c r="A3929" s="0" t="s">
        <v>12</v>
      </c>
      <c r="B3929" s="0" t="n">
        <v>1131056</v>
      </c>
      <c r="C3929" s="0" t="n">
        <v>1131076</v>
      </c>
      <c r="D3929" s="0" t="s">
        <v>13129</v>
      </c>
      <c r="E3929" s="0" t="s">
        <v>13130</v>
      </c>
      <c r="F3929" s="0" t="s">
        <v>15</v>
      </c>
      <c r="G3929" s="0" t="s">
        <v>36</v>
      </c>
      <c r="H3929" s="0" t="n">
        <v>153</v>
      </c>
      <c r="I3929" s="0" t="s">
        <v>13137</v>
      </c>
      <c r="J3929" s="0" t="s">
        <v>13138</v>
      </c>
      <c r="K3929" s="0" t="s">
        <v>13139</v>
      </c>
      <c r="L3929" s="0" t="str">
        <f aca="false">HYPERLINK("https://www.ncbi.nlm.nih.gov/nuccore/CP000304.1?report=graph&amp;tracks=[key:gene_model_track,Options:GeneOnly]&amp;mk=1130921:1130940|offset_17|444444,1131008:1131027|offset_104|444444,1131057:1131076|offset_153|00cc00,1131095:1131114|offset_191|444444&amp;v=1130720:1131314&amp;c=444444", "offset 153")</f>
        <v>offset 153</v>
      </c>
    </row>
    <row r="3930" customFormat="false" ht="12.8" hidden="false" customHeight="false" outlineLevel="0" collapsed="false">
      <c r="A3930" s="0" t="s">
        <v>12</v>
      </c>
      <c r="B3930" s="0" t="n">
        <v>1131094</v>
      </c>
      <c r="C3930" s="0" t="n">
        <v>1131114</v>
      </c>
      <c r="D3930" s="0" t="s">
        <v>13129</v>
      </c>
      <c r="E3930" s="0" t="s">
        <v>13130</v>
      </c>
      <c r="F3930" s="0" t="s">
        <v>15</v>
      </c>
      <c r="G3930" s="0" t="s">
        <v>16</v>
      </c>
      <c r="H3930" s="0" t="n">
        <v>191</v>
      </c>
      <c r="I3930" s="0" t="s">
        <v>13140</v>
      </c>
      <c r="J3930" s="0" t="s">
        <v>13141</v>
      </c>
      <c r="K3930" s="0" t="s">
        <v>13142</v>
      </c>
      <c r="L3930" s="0" t="str">
        <f aca="false">HYPERLINK("https://www.ncbi.nlm.nih.gov/nuccore/CP000304.1?report=graph&amp;tracks=[key:gene_model_track,Options:GeneOnly]&amp;mk=1130921:1130940|offset_17|444444,1131008:1131027|offset_104|444444,1131057:1131076|offset_153|444444,1131095:1131114|offset_191|00cc00&amp;v=1130720:1131314&amp;c=444444", "offset 191")</f>
        <v>offset 191</v>
      </c>
    </row>
    <row r="3931" customFormat="false" ht="12.8" hidden="false" customHeight="false" outlineLevel="0" collapsed="false">
      <c r="A3931" s="0" t="s">
        <v>12</v>
      </c>
      <c r="B3931" s="0" t="n">
        <v>1132418</v>
      </c>
      <c r="C3931" s="0" t="n">
        <v>1132438</v>
      </c>
      <c r="D3931" s="0" t="s">
        <v>13143</v>
      </c>
      <c r="E3931" s="0" t="s">
        <v>89</v>
      </c>
      <c r="F3931" s="0" t="s">
        <v>15</v>
      </c>
      <c r="G3931" s="0" t="s">
        <v>16</v>
      </c>
      <c r="H3931" s="0" t="n">
        <v>8</v>
      </c>
      <c r="I3931" s="0" t="s">
        <v>13144</v>
      </c>
      <c r="J3931" s="0" t="s">
        <v>13145</v>
      </c>
      <c r="K3931" s="0" t="s">
        <v>13146</v>
      </c>
      <c r="L3931" s="0" t="str">
        <f aca="false">HYPERLINK("https://www.ncbi.nlm.nih.gov/nuccore/CP000304.1?report=graph&amp;tracks=[key:gene_model_track,Options:GeneOnly]&amp;mk=1132419:1132438|offset_8|00cc00,1132452:1132471|offset_41|444444,1132479:1132498|offset_68|444444,1132506:1132525|offset_95|444444&amp;v=1132218:1132725&amp;c=444444", "offset 8")</f>
        <v>offset 8</v>
      </c>
    </row>
    <row r="3932" customFormat="false" ht="12.8" hidden="false" customHeight="false" outlineLevel="0" collapsed="false">
      <c r="A3932" s="0" t="s">
        <v>12</v>
      </c>
      <c r="B3932" s="0" t="n">
        <v>1132451</v>
      </c>
      <c r="C3932" s="0" t="n">
        <v>1132471</v>
      </c>
      <c r="D3932" s="0" t="s">
        <v>13143</v>
      </c>
      <c r="E3932" s="0" t="s">
        <v>89</v>
      </c>
      <c r="F3932" s="0" t="s">
        <v>15</v>
      </c>
      <c r="G3932" s="0" t="s">
        <v>32</v>
      </c>
      <c r="H3932" s="0" t="n">
        <v>41</v>
      </c>
      <c r="I3932" s="0" t="s">
        <v>13147</v>
      </c>
      <c r="J3932" s="0" t="s">
        <v>13148</v>
      </c>
      <c r="K3932" s="0" t="s">
        <v>13149</v>
      </c>
      <c r="L3932" s="0" t="str">
        <f aca="false">HYPERLINK("https://www.ncbi.nlm.nih.gov/nuccore/CP000304.1?report=graph&amp;tracks=[key:gene_model_track,Options:GeneOnly]&amp;mk=1132419:1132438|offset_8|444444,1132452:1132471|offset_41|00cc00,1132479:1132498|offset_68|444444,1132506:1132525|offset_95|444444&amp;v=1132218:1132725&amp;c=444444", "offset 41")</f>
        <v>offset 41</v>
      </c>
    </row>
    <row r="3933" customFormat="false" ht="12.8" hidden="false" customHeight="false" outlineLevel="0" collapsed="false">
      <c r="A3933" s="0" t="s">
        <v>12</v>
      </c>
      <c r="B3933" s="0" t="n">
        <v>1132478</v>
      </c>
      <c r="C3933" s="0" t="n">
        <v>1132498</v>
      </c>
      <c r="D3933" s="0" t="s">
        <v>13143</v>
      </c>
      <c r="E3933" s="0" t="s">
        <v>89</v>
      </c>
      <c r="F3933" s="0" t="s">
        <v>15</v>
      </c>
      <c r="G3933" s="0" t="s">
        <v>26</v>
      </c>
      <c r="H3933" s="0" t="n">
        <v>68</v>
      </c>
      <c r="I3933" s="0" t="s">
        <v>13150</v>
      </c>
      <c r="J3933" s="0" t="s">
        <v>13151</v>
      </c>
      <c r="K3933" s="0" t="s">
        <v>13152</v>
      </c>
      <c r="L3933" s="0" t="str">
        <f aca="false">HYPERLINK("https://www.ncbi.nlm.nih.gov/nuccore/CP000304.1?report=graph&amp;tracks=[key:gene_model_track,Options:GeneOnly]&amp;mk=1132419:1132438|offset_8|444444,1132452:1132471|offset_41|444444,1132479:1132498|offset_68|00cc00,1132506:1132525|offset_95|444444&amp;v=1132218:1132725&amp;c=444444", "offset 68")</f>
        <v>offset 68</v>
      </c>
    </row>
    <row r="3934" customFormat="false" ht="12.8" hidden="false" customHeight="false" outlineLevel="0" collapsed="false">
      <c r="A3934" s="0" t="s">
        <v>12</v>
      </c>
      <c r="B3934" s="0" t="n">
        <v>1132505</v>
      </c>
      <c r="C3934" s="0" t="n">
        <v>1132525</v>
      </c>
      <c r="D3934" s="0" t="s">
        <v>13143</v>
      </c>
      <c r="E3934" s="0" t="s">
        <v>89</v>
      </c>
      <c r="F3934" s="0" t="s">
        <v>15</v>
      </c>
      <c r="G3934" s="0" t="s">
        <v>26</v>
      </c>
      <c r="H3934" s="0" t="n">
        <v>95</v>
      </c>
      <c r="I3934" s="0" t="s">
        <v>13153</v>
      </c>
      <c r="J3934" s="0" t="s">
        <v>13154</v>
      </c>
      <c r="K3934" s="0" t="s">
        <v>13155</v>
      </c>
      <c r="L3934" s="0" t="str">
        <f aca="false">HYPERLINK("https://www.ncbi.nlm.nih.gov/nuccore/CP000304.1?report=graph&amp;tracks=[key:gene_model_track,Options:GeneOnly]&amp;mk=1132419:1132438|offset_8|444444,1132452:1132471|offset_41|444444,1132479:1132498|offset_68|444444,1132506:1132525|offset_95|00cc00&amp;v=1132218:1132725&amp;c=444444", "offset 95")</f>
        <v>offset 95</v>
      </c>
    </row>
    <row r="3935" customFormat="false" ht="12.8" hidden="false" customHeight="false" outlineLevel="0" collapsed="false">
      <c r="A3935" s="0" t="s">
        <v>12</v>
      </c>
      <c r="B3935" s="0" t="n">
        <v>1136254</v>
      </c>
      <c r="C3935" s="0" t="n">
        <v>1136274</v>
      </c>
      <c r="D3935" s="0" t="s">
        <v>13156</v>
      </c>
      <c r="E3935" s="0" t="s">
        <v>89</v>
      </c>
      <c r="F3935" s="0" t="s">
        <v>15</v>
      </c>
      <c r="G3935" s="0" t="s">
        <v>26</v>
      </c>
      <c r="H3935" s="0" t="n">
        <v>0</v>
      </c>
      <c r="I3935" s="0" t="s">
        <v>13157</v>
      </c>
      <c r="J3935" s="0" t="s">
        <v>13158</v>
      </c>
      <c r="K3935" s="0" t="s">
        <v>13159</v>
      </c>
      <c r="L3935" s="0" t="str">
        <f aca="false">HYPERLINK("https://www.ncbi.nlm.nih.gov/nuccore/CP000304.1?report=graph&amp;tracks=[key:gene_model_track,Options:GeneOnly]&amp;mk=1136255:1136274|offset_0|00cc00,1136283:1136302|offset_28|444444,1136308:1136327|offset_53|444444,1136349:1136368|offset_94|444444&amp;v=1136054:1136568&amp;c=444444", "offset 0")</f>
        <v>offset 0</v>
      </c>
    </row>
    <row r="3936" customFormat="false" ht="12.8" hidden="false" customHeight="false" outlineLevel="0" collapsed="false">
      <c r="A3936" s="0" t="s">
        <v>12</v>
      </c>
      <c r="B3936" s="0" t="n">
        <v>1136282</v>
      </c>
      <c r="C3936" s="0" t="n">
        <v>1136302</v>
      </c>
      <c r="D3936" s="0" t="s">
        <v>13156</v>
      </c>
      <c r="E3936" s="0" t="s">
        <v>89</v>
      </c>
      <c r="F3936" s="0" t="s">
        <v>15</v>
      </c>
      <c r="G3936" s="0" t="s">
        <v>32</v>
      </c>
      <c r="H3936" s="0" t="n">
        <v>28</v>
      </c>
      <c r="I3936" s="0" t="s">
        <v>13160</v>
      </c>
      <c r="J3936" s="0" t="s">
        <v>13161</v>
      </c>
      <c r="K3936" s="0" t="s">
        <v>13162</v>
      </c>
      <c r="L3936" s="0" t="str">
        <f aca="false">HYPERLINK("https://www.ncbi.nlm.nih.gov/nuccore/CP000304.1?report=graph&amp;tracks=[key:gene_model_track,Options:GeneOnly]&amp;mk=1136255:1136274|offset_0|444444,1136283:1136302|offset_28|00cc00,1136308:1136327|offset_53|444444,1136349:1136368|offset_94|444444&amp;v=1136054:1136568&amp;c=444444", "offset 28")</f>
        <v>offset 28</v>
      </c>
    </row>
    <row r="3937" customFormat="false" ht="12.8" hidden="false" customHeight="false" outlineLevel="0" collapsed="false">
      <c r="A3937" s="0" t="s">
        <v>12</v>
      </c>
      <c r="B3937" s="0" t="n">
        <v>1136307</v>
      </c>
      <c r="C3937" s="0" t="n">
        <v>1136327</v>
      </c>
      <c r="D3937" s="0" t="s">
        <v>13156</v>
      </c>
      <c r="E3937" s="0" t="s">
        <v>89</v>
      </c>
      <c r="F3937" s="0" t="s">
        <v>15</v>
      </c>
      <c r="G3937" s="0" t="s">
        <v>26</v>
      </c>
      <c r="H3937" s="0" t="n">
        <v>53</v>
      </c>
      <c r="I3937" s="0" t="s">
        <v>13163</v>
      </c>
      <c r="J3937" s="0" t="s">
        <v>13164</v>
      </c>
      <c r="K3937" s="0" t="s">
        <v>13165</v>
      </c>
      <c r="L3937" s="0" t="str">
        <f aca="false">HYPERLINK("https://www.ncbi.nlm.nih.gov/nuccore/CP000304.1?report=graph&amp;tracks=[key:gene_model_track,Options:GeneOnly]&amp;mk=1136255:1136274|offset_0|444444,1136283:1136302|offset_28|444444,1136308:1136327|offset_53|00cc00,1136349:1136368|offset_94|444444&amp;v=1136054:1136568&amp;c=444444", "offset 53")</f>
        <v>offset 53</v>
      </c>
    </row>
    <row r="3938" customFormat="false" ht="12.8" hidden="false" customHeight="false" outlineLevel="0" collapsed="false">
      <c r="A3938" s="0" t="s">
        <v>12</v>
      </c>
      <c r="B3938" s="0" t="n">
        <v>1136348</v>
      </c>
      <c r="C3938" s="0" t="n">
        <v>1136368</v>
      </c>
      <c r="D3938" s="0" t="s">
        <v>13156</v>
      </c>
      <c r="E3938" s="0" t="s">
        <v>89</v>
      </c>
      <c r="F3938" s="0" t="s">
        <v>15</v>
      </c>
      <c r="G3938" s="0" t="s">
        <v>16</v>
      </c>
      <c r="H3938" s="0" t="n">
        <v>94</v>
      </c>
      <c r="I3938" s="0" t="s">
        <v>13166</v>
      </c>
      <c r="J3938" s="0" t="s">
        <v>13167</v>
      </c>
      <c r="K3938" s="0" t="s">
        <v>13168</v>
      </c>
      <c r="L3938" s="0" t="str">
        <f aca="false">HYPERLINK("https://www.ncbi.nlm.nih.gov/nuccore/CP000304.1?report=graph&amp;tracks=[key:gene_model_track,Options:GeneOnly]&amp;mk=1136255:1136274|offset_0|444444,1136283:1136302|offset_28|444444,1136308:1136327|offset_53|444444,1136349:1136368|offset_94|00cc00&amp;v=1136054:1136568&amp;c=444444", "offset 94")</f>
        <v>offset 94</v>
      </c>
    </row>
    <row r="3939" customFormat="false" ht="12.8" hidden="false" customHeight="false" outlineLevel="0" collapsed="false">
      <c r="A3939" s="0" t="s">
        <v>12</v>
      </c>
      <c r="B3939" s="0" t="n">
        <v>1137123</v>
      </c>
      <c r="C3939" s="0" t="n">
        <v>1137143</v>
      </c>
      <c r="D3939" s="0" t="s">
        <v>13169</v>
      </c>
      <c r="E3939" s="0" t="s">
        <v>89</v>
      </c>
      <c r="F3939" s="0" t="s">
        <v>15</v>
      </c>
      <c r="G3939" s="0" t="s">
        <v>36</v>
      </c>
      <c r="H3939" s="0" t="n">
        <v>21</v>
      </c>
      <c r="I3939" s="0" t="s">
        <v>13170</v>
      </c>
      <c r="J3939" s="0" t="s">
        <v>13171</v>
      </c>
      <c r="K3939" s="0" t="s">
        <v>13172</v>
      </c>
      <c r="L3939" s="0" t="str">
        <f aca="false">HYPERLINK("https://www.ncbi.nlm.nih.gov/nuccore/CP000304.1?report=graph&amp;tracks=[key:gene_model_track,Options:GeneOnly]&amp;mk=1137124:1137143|offset_21|00cc00,1137146:1137165|offset_43|444444,1137175:1137194|offset_72|444444,1137197:1137216|offset_94|444444&amp;v=1136923:1137416&amp;c=444444", "offset 21")</f>
        <v>offset 21</v>
      </c>
    </row>
    <row r="3940" customFormat="false" ht="12.8" hidden="false" customHeight="false" outlineLevel="0" collapsed="false">
      <c r="A3940" s="0" t="s">
        <v>12</v>
      </c>
      <c r="B3940" s="0" t="n">
        <v>1137145</v>
      </c>
      <c r="C3940" s="0" t="n">
        <v>1137165</v>
      </c>
      <c r="D3940" s="0" t="s">
        <v>13169</v>
      </c>
      <c r="E3940" s="0" t="s">
        <v>89</v>
      </c>
      <c r="F3940" s="0" t="s">
        <v>15</v>
      </c>
      <c r="G3940" s="0" t="s">
        <v>36</v>
      </c>
      <c r="H3940" s="0" t="n">
        <v>43</v>
      </c>
      <c r="I3940" s="0" t="s">
        <v>13173</v>
      </c>
      <c r="J3940" s="0" t="s">
        <v>13174</v>
      </c>
      <c r="K3940" s="0" t="s">
        <v>13175</v>
      </c>
      <c r="L3940" s="0" t="str">
        <f aca="false">HYPERLINK("https://www.ncbi.nlm.nih.gov/nuccore/CP000304.1?report=graph&amp;tracks=[key:gene_model_track,Options:GeneOnly]&amp;mk=1137124:1137143|offset_21|444444,1137146:1137165|offset_43|00cc00,1137175:1137194|offset_72|444444,1137197:1137216|offset_94|444444&amp;v=1136923:1137416&amp;c=444444", "offset 43")</f>
        <v>offset 43</v>
      </c>
    </row>
    <row r="3941" customFormat="false" ht="12.8" hidden="false" customHeight="false" outlineLevel="0" collapsed="false">
      <c r="A3941" s="0" t="s">
        <v>12</v>
      </c>
      <c r="B3941" s="0" t="n">
        <v>1137174</v>
      </c>
      <c r="C3941" s="0" t="n">
        <v>1137194</v>
      </c>
      <c r="D3941" s="0" t="s">
        <v>13169</v>
      </c>
      <c r="E3941" s="0" t="s">
        <v>89</v>
      </c>
      <c r="F3941" s="0" t="s">
        <v>15</v>
      </c>
      <c r="G3941" s="0" t="s">
        <v>36</v>
      </c>
      <c r="H3941" s="0" t="n">
        <v>72</v>
      </c>
      <c r="I3941" s="0" t="s">
        <v>13176</v>
      </c>
      <c r="J3941" s="0" t="s">
        <v>13177</v>
      </c>
      <c r="K3941" s="0" t="s">
        <v>13178</v>
      </c>
      <c r="L3941" s="0" t="str">
        <f aca="false">HYPERLINK("https://www.ncbi.nlm.nih.gov/nuccore/CP000304.1?report=graph&amp;tracks=[key:gene_model_track,Options:GeneOnly]&amp;mk=1137124:1137143|offset_21|444444,1137146:1137165|offset_43|444444,1137175:1137194|offset_72|00cc00,1137197:1137216|offset_94|444444&amp;v=1136923:1137416&amp;c=444444", "offset 72")</f>
        <v>offset 72</v>
      </c>
    </row>
    <row r="3942" customFormat="false" ht="12.8" hidden="false" customHeight="false" outlineLevel="0" collapsed="false">
      <c r="A3942" s="0" t="s">
        <v>12</v>
      </c>
      <c r="B3942" s="0" t="n">
        <v>1137196</v>
      </c>
      <c r="C3942" s="0" t="n">
        <v>1137216</v>
      </c>
      <c r="D3942" s="0" t="s">
        <v>13169</v>
      </c>
      <c r="E3942" s="0" t="s">
        <v>89</v>
      </c>
      <c r="F3942" s="0" t="s">
        <v>15</v>
      </c>
      <c r="G3942" s="0" t="s">
        <v>16</v>
      </c>
      <c r="H3942" s="0" t="n">
        <v>94</v>
      </c>
      <c r="I3942" s="0" t="s">
        <v>13179</v>
      </c>
      <c r="J3942" s="0" t="s">
        <v>13180</v>
      </c>
      <c r="K3942" s="0" t="s">
        <v>13181</v>
      </c>
      <c r="L3942" s="0" t="str">
        <f aca="false">HYPERLINK("https://www.ncbi.nlm.nih.gov/nuccore/CP000304.1?report=graph&amp;tracks=[key:gene_model_track,Options:GeneOnly]&amp;mk=1137124:1137143|offset_21|444444,1137146:1137165|offset_43|444444,1137175:1137194|offset_72|444444,1137197:1137216|offset_94|00cc00&amp;v=1136923:1137416&amp;c=444444", "offset 94")</f>
        <v>offset 94</v>
      </c>
    </row>
    <row r="3943" customFormat="false" ht="12.8" hidden="false" customHeight="false" outlineLevel="0" collapsed="false">
      <c r="A3943" s="0" t="s">
        <v>12</v>
      </c>
      <c r="B3943" s="0" t="n">
        <v>1138650</v>
      </c>
      <c r="C3943" s="0" t="n">
        <v>1138670</v>
      </c>
      <c r="D3943" s="0" t="s">
        <v>13182</v>
      </c>
      <c r="E3943" s="0" t="s">
        <v>89</v>
      </c>
      <c r="F3943" s="0" t="s">
        <v>90</v>
      </c>
      <c r="G3943" s="0" t="s">
        <v>16</v>
      </c>
      <c r="H3943" s="0" t="n">
        <v>453</v>
      </c>
      <c r="I3943" s="0" t="s">
        <v>13183</v>
      </c>
      <c r="J3943" s="0" t="s">
        <v>13184</v>
      </c>
      <c r="K3943" s="0" t="s">
        <v>13185</v>
      </c>
      <c r="L3943" s="0" t="str">
        <f aca="false">HYPERLINK("https://www.ncbi.nlm.nih.gov/nuccore/CP000304.1?report=graph&amp;tracks=[key:gene_model_track,Options:GeneOnly]&amp;mk=1138651:1138670|offset_453|00cc00,1138616:1138635|offset_488|444444&amp;v=1138450:1138835&amp;c=444444", "offset 453")</f>
        <v>offset 453</v>
      </c>
    </row>
    <row r="3944" customFormat="false" ht="12.8" hidden="false" customHeight="false" outlineLevel="0" collapsed="false">
      <c r="A3944" s="0" t="s">
        <v>12</v>
      </c>
      <c r="B3944" s="0" t="n">
        <v>1138615</v>
      </c>
      <c r="C3944" s="0" t="n">
        <v>1138635</v>
      </c>
      <c r="D3944" s="0" t="s">
        <v>13182</v>
      </c>
      <c r="E3944" s="0" t="s">
        <v>89</v>
      </c>
      <c r="F3944" s="0" t="s">
        <v>90</v>
      </c>
      <c r="G3944" s="0" t="s">
        <v>16</v>
      </c>
      <c r="H3944" s="0" t="n">
        <v>488</v>
      </c>
      <c r="I3944" s="0" t="s">
        <v>13186</v>
      </c>
      <c r="J3944" s="0" t="s">
        <v>13187</v>
      </c>
      <c r="K3944" s="0" t="s">
        <v>13188</v>
      </c>
      <c r="L3944" s="0" t="str">
        <f aca="false">HYPERLINK("https://www.ncbi.nlm.nih.gov/nuccore/CP000304.1?report=graph&amp;tracks=[key:gene_model_track,Options:GeneOnly]&amp;mk=1138651:1138670|offset_453|444444,1138616:1138635|offset_488|00cc00&amp;v=1138450:1138835&amp;c=444444", "offset 488")</f>
        <v>offset 488</v>
      </c>
    </row>
    <row r="3945" customFormat="false" ht="12.8" hidden="false" customHeight="false" outlineLevel="0" collapsed="false">
      <c r="A3945" s="0" t="s">
        <v>12</v>
      </c>
      <c r="B3945" s="0" t="n">
        <v>1139135</v>
      </c>
      <c r="C3945" s="0" t="n">
        <v>1139155</v>
      </c>
      <c r="D3945" s="0" t="s">
        <v>13189</v>
      </c>
      <c r="E3945" s="0" t="s">
        <v>89</v>
      </c>
      <c r="F3945" s="0" t="s">
        <v>15</v>
      </c>
      <c r="G3945" s="0" t="s">
        <v>32</v>
      </c>
      <c r="H3945" s="0" t="n">
        <v>444</v>
      </c>
      <c r="I3945" s="0" t="s">
        <v>13190</v>
      </c>
      <c r="J3945" s="0" t="s">
        <v>13191</v>
      </c>
      <c r="K3945" s="0" t="s">
        <v>13192</v>
      </c>
      <c r="L3945" s="0" t="str">
        <f aca="false">HYPERLINK("https://www.ncbi.nlm.nih.gov/nuccore/CP000304.1?report=graph&amp;tracks=[key:gene_model_track,Options:GeneOnly]&amp;mk=1139136:1139155|offset_444|00cc00,1139167:1139186|offset_475|444444&amp;v=1138935:1139386&amp;c=444444", "offset 444")</f>
        <v>offset 444</v>
      </c>
    </row>
    <row r="3946" customFormat="false" ht="12.8" hidden="false" customHeight="false" outlineLevel="0" collapsed="false">
      <c r="A3946" s="0" t="s">
        <v>12</v>
      </c>
      <c r="B3946" s="0" t="n">
        <v>1139166</v>
      </c>
      <c r="C3946" s="0" t="n">
        <v>1139186</v>
      </c>
      <c r="D3946" s="0" t="s">
        <v>13189</v>
      </c>
      <c r="E3946" s="0" t="s">
        <v>89</v>
      </c>
      <c r="F3946" s="0" t="s">
        <v>15</v>
      </c>
      <c r="G3946" s="0" t="s">
        <v>36</v>
      </c>
      <c r="H3946" s="0" t="n">
        <v>475</v>
      </c>
      <c r="I3946" s="0" t="s">
        <v>13193</v>
      </c>
      <c r="J3946" s="0" t="s">
        <v>13194</v>
      </c>
      <c r="K3946" s="0" t="s">
        <v>13195</v>
      </c>
      <c r="L3946" s="0" t="str">
        <f aca="false">HYPERLINK("https://www.ncbi.nlm.nih.gov/nuccore/CP000304.1?report=graph&amp;tracks=[key:gene_model_track,Options:GeneOnly]&amp;mk=1139136:1139155|offset_444|444444,1139167:1139186|offset_475|00cc00&amp;v=1138935:1139386&amp;c=444444", "offset 475")</f>
        <v>offset 475</v>
      </c>
    </row>
    <row r="3947" customFormat="false" ht="12.8" hidden="false" customHeight="false" outlineLevel="0" collapsed="false">
      <c r="A3947" s="0" t="s">
        <v>12</v>
      </c>
      <c r="B3947" s="0" t="n">
        <v>1139265</v>
      </c>
      <c r="C3947" s="0" t="n">
        <v>1139285</v>
      </c>
      <c r="D3947" s="0" t="s">
        <v>13196</v>
      </c>
      <c r="E3947" s="0" t="s">
        <v>13197</v>
      </c>
      <c r="F3947" s="0" t="s">
        <v>15</v>
      </c>
      <c r="G3947" s="0" t="s">
        <v>16</v>
      </c>
      <c r="H3947" s="0" t="n">
        <v>27</v>
      </c>
      <c r="I3947" s="0" t="s">
        <v>13198</v>
      </c>
      <c r="J3947" s="0" t="s">
        <v>13199</v>
      </c>
      <c r="K3947" s="0" t="s">
        <v>13200</v>
      </c>
      <c r="L3947" s="0" t="str">
        <f aca="false">HYPERLINK("https://www.ncbi.nlm.nih.gov/nuccore/CP000304.1?report=graph&amp;tracks=[key:gene_model_track,Options:GeneOnly]&amp;mk=1139266:1139285|offset_27|00cc00,1139333:1139352|offset_94|444444,1139357:1139376|offset_118|444444,1139388:1139407|offset_149|444444&amp;v=1139065:1139607&amp;c=444444", "offset 27")</f>
        <v>offset 27</v>
      </c>
    </row>
    <row r="3948" customFormat="false" ht="12.8" hidden="false" customHeight="false" outlineLevel="0" collapsed="false">
      <c r="A3948" s="0" t="s">
        <v>12</v>
      </c>
      <c r="B3948" s="0" t="n">
        <v>1139332</v>
      </c>
      <c r="C3948" s="0" t="n">
        <v>1139352</v>
      </c>
      <c r="D3948" s="0" t="s">
        <v>13196</v>
      </c>
      <c r="E3948" s="0" t="s">
        <v>13197</v>
      </c>
      <c r="F3948" s="0" t="s">
        <v>15</v>
      </c>
      <c r="G3948" s="0" t="s">
        <v>32</v>
      </c>
      <c r="H3948" s="0" t="n">
        <v>94</v>
      </c>
      <c r="I3948" s="0" t="s">
        <v>13201</v>
      </c>
      <c r="J3948" s="0" t="s">
        <v>13202</v>
      </c>
      <c r="K3948" s="0" t="s">
        <v>13203</v>
      </c>
      <c r="L3948" s="0" t="str">
        <f aca="false">HYPERLINK("https://www.ncbi.nlm.nih.gov/nuccore/CP000304.1?report=graph&amp;tracks=[key:gene_model_track,Options:GeneOnly]&amp;mk=1139266:1139285|offset_27|444444,1139333:1139352|offset_94|00cc00,1139357:1139376|offset_118|444444,1139388:1139407|offset_149|444444&amp;v=1139065:1139607&amp;c=444444", "offset 94")</f>
        <v>offset 94</v>
      </c>
    </row>
    <row r="3949" customFormat="false" ht="12.8" hidden="false" customHeight="false" outlineLevel="0" collapsed="false">
      <c r="A3949" s="0" t="s">
        <v>12</v>
      </c>
      <c r="B3949" s="0" t="n">
        <v>1139356</v>
      </c>
      <c r="C3949" s="0" t="n">
        <v>1139376</v>
      </c>
      <c r="D3949" s="0" t="s">
        <v>13196</v>
      </c>
      <c r="E3949" s="0" t="s">
        <v>13197</v>
      </c>
      <c r="F3949" s="0" t="s">
        <v>15</v>
      </c>
      <c r="G3949" s="0" t="s">
        <v>32</v>
      </c>
      <c r="H3949" s="0" t="n">
        <v>118</v>
      </c>
      <c r="I3949" s="0" t="s">
        <v>13204</v>
      </c>
      <c r="J3949" s="0" t="s">
        <v>13205</v>
      </c>
      <c r="K3949" s="0" t="s">
        <v>13206</v>
      </c>
      <c r="L3949" s="0" t="str">
        <f aca="false">HYPERLINK("https://www.ncbi.nlm.nih.gov/nuccore/CP000304.1?report=graph&amp;tracks=[key:gene_model_track,Options:GeneOnly]&amp;mk=1139266:1139285|offset_27|444444,1139333:1139352|offset_94|444444,1139357:1139376|offset_118|00cc00,1139388:1139407|offset_149|444444&amp;v=1139065:1139607&amp;c=444444", "offset 118")</f>
        <v>offset 118</v>
      </c>
    </row>
    <row r="3950" customFormat="false" ht="12.8" hidden="false" customHeight="false" outlineLevel="0" collapsed="false">
      <c r="A3950" s="0" t="s">
        <v>12</v>
      </c>
      <c r="B3950" s="0" t="n">
        <v>1139387</v>
      </c>
      <c r="C3950" s="0" t="n">
        <v>1139407</v>
      </c>
      <c r="D3950" s="0" t="s">
        <v>13196</v>
      </c>
      <c r="E3950" s="0" t="s">
        <v>13197</v>
      </c>
      <c r="F3950" s="0" t="s">
        <v>15</v>
      </c>
      <c r="G3950" s="0" t="s">
        <v>32</v>
      </c>
      <c r="H3950" s="0" t="n">
        <v>149</v>
      </c>
      <c r="I3950" s="0" t="s">
        <v>13207</v>
      </c>
      <c r="J3950" s="0" t="s">
        <v>13208</v>
      </c>
      <c r="K3950" s="0" t="s">
        <v>13209</v>
      </c>
      <c r="L3950" s="0" t="str">
        <f aca="false">HYPERLINK("https://www.ncbi.nlm.nih.gov/nuccore/CP000304.1?report=graph&amp;tracks=[key:gene_model_track,Options:GeneOnly]&amp;mk=1139266:1139285|offset_27|444444,1139333:1139352|offset_94|444444,1139357:1139376|offset_118|444444,1139388:1139407|offset_149|00cc00&amp;v=1139065:1139607&amp;c=444444", "offset 149")</f>
        <v>offset 149</v>
      </c>
    </row>
    <row r="3951" customFormat="false" ht="12.8" hidden="false" customHeight="false" outlineLevel="0" collapsed="false">
      <c r="A3951" s="0" t="s">
        <v>12</v>
      </c>
      <c r="B3951" s="0" t="n">
        <v>1140888</v>
      </c>
      <c r="C3951" s="0" t="n">
        <v>1140908</v>
      </c>
      <c r="D3951" s="0" t="s">
        <v>13210</v>
      </c>
      <c r="E3951" s="0" t="s">
        <v>13211</v>
      </c>
      <c r="F3951" s="0" t="s">
        <v>90</v>
      </c>
      <c r="G3951" s="0" t="s">
        <v>36</v>
      </c>
      <c r="H3951" s="0" t="n">
        <v>0</v>
      </c>
      <c r="I3951" s="0" t="s">
        <v>13212</v>
      </c>
      <c r="J3951" s="0" t="s">
        <v>13213</v>
      </c>
      <c r="K3951" s="0" t="s">
        <v>13214</v>
      </c>
      <c r="L3951" s="0" t="str">
        <f aca="false">HYPERLINK("https://www.ncbi.nlm.nih.gov/nuccore/CP000304.1?report=graph&amp;tracks=[key:gene_model_track,Options:GeneOnly]&amp;mk=1140889:1140908|offset_0|00cc00,1140867:1140886|offset_22|444444,1140828:1140847|offset_61|444444,1140806:1140825|offset_83|444444&amp;v=1140688:1141025&amp;c=444444", "offset 0")</f>
        <v>offset 0</v>
      </c>
    </row>
    <row r="3952" customFormat="false" ht="12.8" hidden="false" customHeight="false" outlineLevel="0" collapsed="false">
      <c r="A3952" s="0" t="s">
        <v>12</v>
      </c>
      <c r="B3952" s="0" t="n">
        <v>1140866</v>
      </c>
      <c r="C3952" s="0" t="n">
        <v>1140886</v>
      </c>
      <c r="D3952" s="0" t="s">
        <v>13210</v>
      </c>
      <c r="E3952" s="0" t="s">
        <v>13211</v>
      </c>
      <c r="F3952" s="0" t="s">
        <v>90</v>
      </c>
      <c r="G3952" s="0" t="s">
        <v>32</v>
      </c>
      <c r="H3952" s="0" t="n">
        <v>22</v>
      </c>
      <c r="I3952" s="0" t="s">
        <v>13215</v>
      </c>
      <c r="J3952" s="0" t="s">
        <v>13216</v>
      </c>
      <c r="K3952" s="0" t="s">
        <v>13217</v>
      </c>
      <c r="L3952" s="0" t="str">
        <f aca="false">HYPERLINK("https://www.ncbi.nlm.nih.gov/nuccore/CP000304.1?report=graph&amp;tracks=[key:gene_model_track,Options:GeneOnly]&amp;mk=1140889:1140908|offset_0|444444,1140867:1140886|offset_22|00cc00,1140828:1140847|offset_61|444444,1140806:1140825|offset_83|444444&amp;v=1140688:1141025&amp;c=444444", "offset 22")</f>
        <v>offset 22</v>
      </c>
    </row>
    <row r="3953" customFormat="false" ht="12.8" hidden="false" customHeight="false" outlineLevel="0" collapsed="false">
      <c r="A3953" s="0" t="s">
        <v>12</v>
      </c>
      <c r="B3953" s="0" t="n">
        <v>1140827</v>
      </c>
      <c r="C3953" s="0" t="n">
        <v>1140847</v>
      </c>
      <c r="D3953" s="0" t="s">
        <v>13210</v>
      </c>
      <c r="E3953" s="0" t="s">
        <v>13211</v>
      </c>
      <c r="F3953" s="0" t="s">
        <v>90</v>
      </c>
      <c r="G3953" s="0" t="s">
        <v>32</v>
      </c>
      <c r="H3953" s="0" t="n">
        <v>61</v>
      </c>
      <c r="I3953" s="0" t="s">
        <v>13218</v>
      </c>
      <c r="J3953" s="0" t="s">
        <v>13219</v>
      </c>
      <c r="K3953" s="0" t="s">
        <v>13220</v>
      </c>
      <c r="L3953" s="0" t="str">
        <f aca="false">HYPERLINK("https://www.ncbi.nlm.nih.gov/nuccore/CP000304.1?report=graph&amp;tracks=[key:gene_model_track,Options:GeneOnly]&amp;mk=1140889:1140908|offset_0|444444,1140867:1140886|offset_22|444444,1140828:1140847|offset_61|00cc00,1140806:1140825|offset_83|444444&amp;v=1140688:1141025&amp;c=444444", "offset 61")</f>
        <v>offset 61</v>
      </c>
    </row>
    <row r="3954" customFormat="false" ht="12.8" hidden="false" customHeight="false" outlineLevel="0" collapsed="false">
      <c r="A3954" s="0" t="s">
        <v>12</v>
      </c>
      <c r="B3954" s="0" t="n">
        <v>1140805</v>
      </c>
      <c r="C3954" s="0" t="n">
        <v>1140825</v>
      </c>
      <c r="D3954" s="0" t="s">
        <v>13210</v>
      </c>
      <c r="E3954" s="0" t="s">
        <v>13211</v>
      </c>
      <c r="F3954" s="0" t="s">
        <v>90</v>
      </c>
      <c r="G3954" s="0" t="s">
        <v>16</v>
      </c>
      <c r="H3954" s="0" t="n">
        <v>83</v>
      </c>
      <c r="I3954" s="0" t="s">
        <v>13221</v>
      </c>
      <c r="J3954" s="0" t="s">
        <v>13222</v>
      </c>
      <c r="K3954" s="0" t="s">
        <v>13223</v>
      </c>
      <c r="L3954" s="0" t="str">
        <f aca="false">HYPERLINK("https://www.ncbi.nlm.nih.gov/nuccore/CP000304.1?report=graph&amp;tracks=[key:gene_model_track,Options:GeneOnly]&amp;mk=1140889:1140908|offset_0|444444,1140867:1140886|offset_22|444444,1140828:1140847|offset_61|444444,1140806:1140825|offset_83|00cc00&amp;v=1140688:1141025&amp;c=444444", "offset 83")</f>
        <v>offset 83</v>
      </c>
    </row>
    <row r="3955" customFormat="false" ht="12.8" hidden="false" customHeight="false" outlineLevel="0" collapsed="false">
      <c r="A3955" s="0" t="s">
        <v>12</v>
      </c>
      <c r="B3955" s="0" t="n">
        <v>1141711</v>
      </c>
      <c r="C3955" s="0" t="n">
        <v>1141731</v>
      </c>
      <c r="D3955" s="0" t="s">
        <v>13224</v>
      </c>
      <c r="E3955" s="0" t="s">
        <v>89</v>
      </c>
      <c r="F3955" s="0" t="s">
        <v>90</v>
      </c>
      <c r="G3955" s="0" t="s">
        <v>16</v>
      </c>
      <c r="H3955" s="0" t="n">
        <v>49</v>
      </c>
      <c r="I3955" s="0" t="s">
        <v>13225</v>
      </c>
      <c r="J3955" s="0" t="s">
        <v>13226</v>
      </c>
      <c r="K3955" s="0" t="s">
        <v>13227</v>
      </c>
      <c r="L3955" s="0" t="str">
        <f aca="false">HYPERLINK("https://www.ncbi.nlm.nih.gov/nuccore/CP000304.1?report=graph&amp;tracks=[key:gene_model_track,Options:GeneOnly]&amp;mk=1141712:1141731|offset_49|00cc00,1141662:1141681|offset_99|444444,1141628:1141647|offset_133|444444,1141603:1141622|offset_158|444444&amp;v=1141511:1141822&amp;c=444444", "offset 49")</f>
        <v>offset 49</v>
      </c>
    </row>
    <row r="3956" customFormat="false" ht="12.8" hidden="false" customHeight="false" outlineLevel="0" collapsed="false">
      <c r="A3956" s="0" t="s">
        <v>12</v>
      </c>
      <c r="B3956" s="0" t="n">
        <v>1141661</v>
      </c>
      <c r="C3956" s="0" t="n">
        <v>1141681</v>
      </c>
      <c r="D3956" s="0" t="s">
        <v>13224</v>
      </c>
      <c r="E3956" s="0" t="s">
        <v>89</v>
      </c>
      <c r="F3956" s="0" t="s">
        <v>90</v>
      </c>
      <c r="G3956" s="0" t="s">
        <v>36</v>
      </c>
      <c r="H3956" s="0" t="n">
        <v>99</v>
      </c>
      <c r="I3956" s="0" t="s">
        <v>13228</v>
      </c>
      <c r="J3956" s="0" t="s">
        <v>13229</v>
      </c>
      <c r="K3956" s="0" t="s">
        <v>13230</v>
      </c>
      <c r="L3956" s="0" t="str">
        <f aca="false">HYPERLINK("https://www.ncbi.nlm.nih.gov/nuccore/CP000304.1?report=graph&amp;tracks=[key:gene_model_track,Options:GeneOnly]&amp;mk=1141712:1141731|offset_49|444444,1141662:1141681|offset_99|00cc00,1141628:1141647|offset_133|444444,1141603:1141622|offset_158|444444&amp;v=1141511:1141822&amp;c=444444", "offset 99")</f>
        <v>offset 99</v>
      </c>
    </row>
    <row r="3957" customFormat="false" ht="12.8" hidden="false" customHeight="false" outlineLevel="0" collapsed="false">
      <c r="A3957" s="0" t="s">
        <v>12</v>
      </c>
      <c r="B3957" s="0" t="n">
        <v>1141627</v>
      </c>
      <c r="C3957" s="0" t="n">
        <v>1141647</v>
      </c>
      <c r="D3957" s="0" t="s">
        <v>13224</v>
      </c>
      <c r="E3957" s="0" t="s">
        <v>89</v>
      </c>
      <c r="F3957" s="0" t="s">
        <v>90</v>
      </c>
      <c r="G3957" s="0" t="s">
        <v>36</v>
      </c>
      <c r="H3957" s="0" t="n">
        <v>133</v>
      </c>
      <c r="I3957" s="0" t="s">
        <v>13231</v>
      </c>
      <c r="J3957" s="0" t="s">
        <v>13232</v>
      </c>
      <c r="K3957" s="0" t="s">
        <v>13233</v>
      </c>
      <c r="L3957" s="0" t="str">
        <f aca="false">HYPERLINK("https://www.ncbi.nlm.nih.gov/nuccore/CP000304.1?report=graph&amp;tracks=[key:gene_model_track,Options:GeneOnly]&amp;mk=1141712:1141731|offset_49|444444,1141662:1141681|offset_99|444444,1141628:1141647|offset_133|00cc00,1141603:1141622|offset_158|444444&amp;v=1141511:1141822&amp;c=444444", "offset 133")</f>
        <v>offset 133</v>
      </c>
    </row>
    <row r="3958" customFormat="false" ht="12.8" hidden="false" customHeight="false" outlineLevel="0" collapsed="false">
      <c r="A3958" s="0" t="s">
        <v>12</v>
      </c>
      <c r="B3958" s="0" t="n">
        <v>1141602</v>
      </c>
      <c r="C3958" s="0" t="n">
        <v>1141622</v>
      </c>
      <c r="D3958" s="0" t="s">
        <v>13224</v>
      </c>
      <c r="E3958" s="0" t="s">
        <v>89</v>
      </c>
      <c r="F3958" s="0" t="s">
        <v>90</v>
      </c>
      <c r="G3958" s="0" t="s">
        <v>36</v>
      </c>
      <c r="H3958" s="0" t="n">
        <v>158</v>
      </c>
      <c r="I3958" s="0" t="s">
        <v>13234</v>
      </c>
      <c r="J3958" s="0" t="s">
        <v>13235</v>
      </c>
      <c r="K3958" s="0" t="s">
        <v>13236</v>
      </c>
      <c r="L3958" s="0" t="str">
        <f aca="false">HYPERLINK("https://www.ncbi.nlm.nih.gov/nuccore/CP000304.1?report=graph&amp;tracks=[key:gene_model_track,Options:GeneOnly]&amp;mk=1141712:1141731|offset_49|444444,1141662:1141681|offset_99|444444,1141628:1141647|offset_133|444444,1141603:1141622|offset_158|00cc00&amp;v=1141511:1141822&amp;c=444444", "offset 158")</f>
        <v>offset 158</v>
      </c>
    </row>
    <row r="3959" customFormat="false" ht="12.8" hidden="false" customHeight="false" outlineLevel="0" collapsed="false">
      <c r="A3959" s="0" t="s">
        <v>12</v>
      </c>
      <c r="B3959" s="0" t="n">
        <v>1142232</v>
      </c>
      <c r="C3959" s="0" t="n">
        <v>1142252</v>
      </c>
      <c r="D3959" s="0" t="s">
        <v>13237</v>
      </c>
      <c r="E3959" s="0" t="s">
        <v>13238</v>
      </c>
      <c r="F3959" s="0" t="s">
        <v>90</v>
      </c>
      <c r="G3959" s="0" t="s">
        <v>16</v>
      </c>
      <c r="H3959" s="0" t="n">
        <v>8</v>
      </c>
      <c r="I3959" s="0" t="s">
        <v>13239</v>
      </c>
      <c r="J3959" s="0" t="s">
        <v>13240</v>
      </c>
      <c r="K3959" s="0" t="s">
        <v>13241</v>
      </c>
      <c r="L3959" s="0" t="str">
        <f aca="false">HYPERLINK("https://www.ncbi.nlm.nih.gov/nuccore/CP000304.1?report=graph&amp;tracks=[key:gene_model_track,Options:GeneOnly]&amp;mk=1142233:1142252|offset_8|00cc00,1142213:1142232|offset_28|444444,1142188:1142207|offset_53|444444,1142164:1142183|offset_77|444444&amp;v=1142032:1142383&amp;c=444444", "offset 8")</f>
        <v>offset 8</v>
      </c>
    </row>
    <row r="3960" customFormat="false" ht="12.8" hidden="false" customHeight="false" outlineLevel="0" collapsed="false">
      <c r="A3960" s="0" t="s">
        <v>12</v>
      </c>
      <c r="B3960" s="0" t="n">
        <v>1142212</v>
      </c>
      <c r="C3960" s="0" t="n">
        <v>1142232</v>
      </c>
      <c r="D3960" s="0" t="s">
        <v>13237</v>
      </c>
      <c r="E3960" s="0" t="s">
        <v>13238</v>
      </c>
      <c r="F3960" s="0" t="s">
        <v>90</v>
      </c>
      <c r="G3960" s="0" t="s">
        <v>36</v>
      </c>
      <c r="H3960" s="0" t="n">
        <v>28</v>
      </c>
      <c r="I3960" s="0" t="s">
        <v>13242</v>
      </c>
      <c r="J3960" s="0" t="s">
        <v>13243</v>
      </c>
      <c r="K3960" s="0" t="s">
        <v>13244</v>
      </c>
      <c r="L3960" s="0" t="str">
        <f aca="false">HYPERLINK("https://www.ncbi.nlm.nih.gov/nuccore/CP000304.1?report=graph&amp;tracks=[key:gene_model_track,Options:GeneOnly]&amp;mk=1142233:1142252|offset_8|444444,1142213:1142232|offset_28|00cc00,1142188:1142207|offset_53|444444,1142164:1142183|offset_77|444444&amp;v=1142032:1142383&amp;c=444444", "offset 28")</f>
        <v>offset 28</v>
      </c>
    </row>
    <row r="3961" customFormat="false" ht="12.8" hidden="false" customHeight="false" outlineLevel="0" collapsed="false">
      <c r="A3961" s="0" t="s">
        <v>12</v>
      </c>
      <c r="B3961" s="0" t="n">
        <v>1142187</v>
      </c>
      <c r="C3961" s="0" t="n">
        <v>1142207</v>
      </c>
      <c r="D3961" s="0" t="s">
        <v>13237</v>
      </c>
      <c r="E3961" s="0" t="s">
        <v>13238</v>
      </c>
      <c r="F3961" s="0" t="s">
        <v>90</v>
      </c>
      <c r="G3961" s="0" t="s">
        <v>36</v>
      </c>
      <c r="H3961" s="0" t="n">
        <v>53</v>
      </c>
      <c r="I3961" s="0" t="s">
        <v>13245</v>
      </c>
      <c r="J3961" s="0" t="s">
        <v>13246</v>
      </c>
      <c r="K3961" s="0" t="s">
        <v>13247</v>
      </c>
      <c r="L3961" s="0" t="str">
        <f aca="false">HYPERLINK("https://www.ncbi.nlm.nih.gov/nuccore/CP000304.1?report=graph&amp;tracks=[key:gene_model_track,Options:GeneOnly]&amp;mk=1142233:1142252|offset_8|444444,1142213:1142232|offset_28|444444,1142188:1142207|offset_53|00cc00,1142164:1142183|offset_77|444444&amp;v=1142032:1142383&amp;c=444444", "offset 53")</f>
        <v>offset 53</v>
      </c>
    </row>
    <row r="3962" customFormat="false" ht="12.8" hidden="false" customHeight="false" outlineLevel="0" collapsed="false">
      <c r="A3962" s="0" t="s">
        <v>12</v>
      </c>
      <c r="B3962" s="0" t="n">
        <v>1142163</v>
      </c>
      <c r="C3962" s="0" t="n">
        <v>1142183</v>
      </c>
      <c r="D3962" s="0" t="s">
        <v>13237</v>
      </c>
      <c r="E3962" s="0" t="s">
        <v>13238</v>
      </c>
      <c r="F3962" s="0" t="s">
        <v>90</v>
      </c>
      <c r="G3962" s="0" t="s">
        <v>26</v>
      </c>
      <c r="H3962" s="0" t="n">
        <v>77</v>
      </c>
      <c r="I3962" s="0" t="s">
        <v>13248</v>
      </c>
      <c r="J3962" s="0" t="s">
        <v>13249</v>
      </c>
      <c r="K3962" s="0" t="s">
        <v>13250</v>
      </c>
      <c r="L3962" s="0" t="str">
        <f aca="false">HYPERLINK("https://www.ncbi.nlm.nih.gov/nuccore/CP000304.1?report=graph&amp;tracks=[key:gene_model_track,Options:GeneOnly]&amp;mk=1142233:1142252|offset_8|444444,1142213:1142232|offset_28|444444,1142188:1142207|offset_53|444444,1142164:1142183|offset_77|00cc00&amp;v=1142032:1142383&amp;c=444444", "offset 77")</f>
        <v>offset 77</v>
      </c>
    </row>
    <row r="3963" customFormat="false" ht="12.8" hidden="false" customHeight="false" outlineLevel="0" collapsed="false">
      <c r="A3963" s="0" t="s">
        <v>12</v>
      </c>
      <c r="B3963" s="0" t="n">
        <v>1142517</v>
      </c>
      <c r="C3963" s="0" t="n">
        <v>1142537</v>
      </c>
      <c r="D3963" s="0" t="s">
        <v>13251</v>
      </c>
      <c r="E3963" s="0" t="s">
        <v>13252</v>
      </c>
      <c r="F3963" s="0" t="s">
        <v>90</v>
      </c>
      <c r="G3963" s="0" t="s">
        <v>16</v>
      </c>
      <c r="H3963" s="0" t="n">
        <v>40</v>
      </c>
      <c r="I3963" s="0" t="s">
        <v>13253</v>
      </c>
      <c r="J3963" s="0" t="s">
        <v>13254</v>
      </c>
      <c r="K3963" s="0" t="s">
        <v>13255</v>
      </c>
      <c r="L3963" s="0" t="str">
        <f aca="false">HYPERLINK("https://www.ncbi.nlm.nih.gov/nuccore/CP000304.1?report=graph&amp;tracks=[key:gene_model_track,Options:GeneOnly]&amp;mk=1142518:1142537|offset_40|00cc00,1142481:1142500|offset_77|444444,1142460:1142479|offset_98|444444,1142436:1142455|offset_122|444444&amp;v=1142317:1142655&amp;c=444444", "offset 40")</f>
        <v>offset 40</v>
      </c>
    </row>
    <row r="3964" customFormat="false" ht="12.8" hidden="false" customHeight="false" outlineLevel="0" collapsed="false">
      <c r="A3964" s="0" t="s">
        <v>12</v>
      </c>
      <c r="B3964" s="0" t="n">
        <v>1142480</v>
      </c>
      <c r="C3964" s="0" t="n">
        <v>1142500</v>
      </c>
      <c r="D3964" s="0" t="s">
        <v>13251</v>
      </c>
      <c r="E3964" s="0" t="s">
        <v>13252</v>
      </c>
      <c r="F3964" s="0" t="s">
        <v>90</v>
      </c>
      <c r="G3964" s="0" t="s">
        <v>16</v>
      </c>
      <c r="H3964" s="0" t="n">
        <v>77</v>
      </c>
      <c r="I3964" s="0" t="s">
        <v>13256</v>
      </c>
      <c r="J3964" s="0" t="s">
        <v>13257</v>
      </c>
      <c r="K3964" s="0" t="s">
        <v>13258</v>
      </c>
      <c r="L3964" s="0" t="str">
        <f aca="false">HYPERLINK("https://www.ncbi.nlm.nih.gov/nuccore/CP000304.1?report=graph&amp;tracks=[key:gene_model_track,Options:GeneOnly]&amp;mk=1142518:1142537|offset_40|444444,1142481:1142500|offset_77|00cc00,1142460:1142479|offset_98|444444,1142436:1142455|offset_122|444444&amp;v=1142317:1142655&amp;c=444444", "offset 77")</f>
        <v>offset 77</v>
      </c>
    </row>
    <row r="3965" customFormat="false" ht="12.8" hidden="false" customHeight="false" outlineLevel="0" collapsed="false">
      <c r="A3965" s="0" t="s">
        <v>12</v>
      </c>
      <c r="B3965" s="0" t="n">
        <v>1142459</v>
      </c>
      <c r="C3965" s="0" t="n">
        <v>1142479</v>
      </c>
      <c r="D3965" s="0" t="s">
        <v>13251</v>
      </c>
      <c r="E3965" s="0" t="s">
        <v>13252</v>
      </c>
      <c r="F3965" s="0" t="s">
        <v>90</v>
      </c>
      <c r="G3965" s="0" t="s">
        <v>16</v>
      </c>
      <c r="H3965" s="0" t="n">
        <v>98</v>
      </c>
      <c r="I3965" s="0" t="s">
        <v>13259</v>
      </c>
      <c r="J3965" s="0" t="s">
        <v>13260</v>
      </c>
      <c r="K3965" s="0" t="s">
        <v>13261</v>
      </c>
      <c r="L3965" s="0" t="str">
        <f aca="false">HYPERLINK("https://www.ncbi.nlm.nih.gov/nuccore/CP000304.1?report=graph&amp;tracks=[key:gene_model_track,Options:GeneOnly]&amp;mk=1142518:1142537|offset_40|444444,1142481:1142500|offset_77|444444,1142460:1142479|offset_98|00cc00,1142436:1142455|offset_122|444444&amp;v=1142317:1142655&amp;c=444444", "offset 98")</f>
        <v>offset 98</v>
      </c>
    </row>
    <row r="3966" customFormat="false" ht="12.8" hidden="false" customHeight="false" outlineLevel="0" collapsed="false">
      <c r="A3966" s="0" t="s">
        <v>12</v>
      </c>
      <c r="B3966" s="0" t="n">
        <v>1142435</v>
      </c>
      <c r="C3966" s="0" t="n">
        <v>1142455</v>
      </c>
      <c r="D3966" s="0" t="s">
        <v>13251</v>
      </c>
      <c r="E3966" s="0" t="s">
        <v>13252</v>
      </c>
      <c r="F3966" s="0" t="s">
        <v>90</v>
      </c>
      <c r="G3966" s="0" t="s">
        <v>26</v>
      </c>
      <c r="H3966" s="0" t="n">
        <v>122</v>
      </c>
      <c r="I3966" s="0" t="s">
        <v>13262</v>
      </c>
      <c r="J3966" s="0" t="s">
        <v>13263</v>
      </c>
      <c r="K3966" s="0" t="s">
        <v>13264</v>
      </c>
      <c r="L3966" s="0" t="str">
        <f aca="false">HYPERLINK("https://www.ncbi.nlm.nih.gov/nuccore/CP000304.1?report=graph&amp;tracks=[key:gene_model_track,Options:GeneOnly]&amp;mk=1142518:1142537|offset_40|444444,1142481:1142500|offset_77|444444,1142460:1142479|offset_98|444444,1142436:1142455|offset_122|00cc00&amp;v=1142317:1142655&amp;c=444444", "offset 122")</f>
        <v>offset 122</v>
      </c>
    </row>
    <row r="3967" customFormat="false" ht="12.8" hidden="false" customHeight="false" outlineLevel="0" collapsed="false">
      <c r="A3967" s="0" t="s">
        <v>12</v>
      </c>
      <c r="B3967" s="0" t="n">
        <v>1144005</v>
      </c>
      <c r="C3967" s="0" t="n">
        <v>1144025</v>
      </c>
      <c r="D3967" s="0" t="s">
        <v>13265</v>
      </c>
      <c r="E3967" s="0" t="s">
        <v>13266</v>
      </c>
      <c r="F3967" s="0" t="s">
        <v>90</v>
      </c>
      <c r="G3967" s="0" t="s">
        <v>36</v>
      </c>
      <c r="H3967" s="0" t="n">
        <v>0</v>
      </c>
      <c r="I3967" s="0" t="s">
        <v>13267</v>
      </c>
      <c r="J3967" s="0" t="s">
        <v>13268</v>
      </c>
      <c r="K3967" s="0" t="s">
        <v>13269</v>
      </c>
      <c r="L3967" s="0" t="str">
        <f aca="false">HYPERLINK("https://www.ncbi.nlm.nih.gov/nuccore/CP000304.1?report=graph&amp;tracks=[key:gene_model_track,Options:GeneOnly]&amp;mk=1144006:1144025|offset_0|00cc00,1143958:1143977|offset_48|444444,1143891:1143910|offset_115|444444,1143860:1143879|offset_146|444444&amp;v=1143805:1144079&amp;c=444444", "offset 0")</f>
        <v>offset 0</v>
      </c>
    </row>
    <row r="3968" customFormat="false" ht="12.8" hidden="false" customHeight="false" outlineLevel="0" collapsed="false">
      <c r="A3968" s="0" t="s">
        <v>12</v>
      </c>
      <c r="B3968" s="0" t="n">
        <v>1143957</v>
      </c>
      <c r="C3968" s="0" t="n">
        <v>1143977</v>
      </c>
      <c r="D3968" s="0" t="s">
        <v>13265</v>
      </c>
      <c r="E3968" s="0" t="s">
        <v>13266</v>
      </c>
      <c r="F3968" s="0" t="s">
        <v>90</v>
      </c>
      <c r="G3968" s="0" t="s">
        <v>36</v>
      </c>
      <c r="H3968" s="0" t="n">
        <v>48</v>
      </c>
      <c r="I3968" s="0" t="s">
        <v>13270</v>
      </c>
      <c r="J3968" s="0" t="s">
        <v>13271</v>
      </c>
      <c r="K3968" s="0" t="s">
        <v>13272</v>
      </c>
      <c r="L3968" s="0" t="str">
        <f aca="false">HYPERLINK("https://www.ncbi.nlm.nih.gov/nuccore/CP000304.1?report=graph&amp;tracks=[key:gene_model_track,Options:GeneOnly]&amp;mk=1144006:1144025|offset_0|444444,1143958:1143977|offset_48|00cc00,1143891:1143910|offset_115|444444,1143860:1143879|offset_146|444444&amp;v=1143805:1144079&amp;c=444444", "offset 48")</f>
        <v>offset 48</v>
      </c>
    </row>
    <row r="3969" customFormat="false" ht="12.8" hidden="false" customHeight="false" outlineLevel="0" collapsed="false">
      <c r="A3969" s="0" t="s">
        <v>12</v>
      </c>
      <c r="B3969" s="0" t="n">
        <v>1143890</v>
      </c>
      <c r="C3969" s="0" t="n">
        <v>1143910</v>
      </c>
      <c r="D3969" s="0" t="s">
        <v>13265</v>
      </c>
      <c r="E3969" s="0" t="s">
        <v>13266</v>
      </c>
      <c r="F3969" s="0" t="s">
        <v>90</v>
      </c>
      <c r="G3969" s="0" t="s">
        <v>26</v>
      </c>
      <c r="H3969" s="0" t="n">
        <v>115</v>
      </c>
      <c r="I3969" s="0" t="s">
        <v>13273</v>
      </c>
      <c r="J3969" s="0" t="s">
        <v>13274</v>
      </c>
      <c r="K3969" s="0" t="s">
        <v>13275</v>
      </c>
      <c r="L3969" s="0" t="str">
        <f aca="false">HYPERLINK("https://www.ncbi.nlm.nih.gov/nuccore/CP000304.1?report=graph&amp;tracks=[key:gene_model_track,Options:GeneOnly]&amp;mk=1144006:1144025|offset_0|444444,1143958:1143977|offset_48|444444,1143891:1143910|offset_115|00cc00,1143860:1143879|offset_146|444444&amp;v=1143805:1144079&amp;c=444444", "offset 115")</f>
        <v>offset 115</v>
      </c>
    </row>
    <row r="3970" customFormat="false" ht="12.8" hidden="false" customHeight="false" outlineLevel="0" collapsed="false">
      <c r="A3970" s="0" t="s">
        <v>12</v>
      </c>
      <c r="B3970" s="0" t="n">
        <v>1143859</v>
      </c>
      <c r="C3970" s="0" t="n">
        <v>1143879</v>
      </c>
      <c r="D3970" s="0" t="s">
        <v>13265</v>
      </c>
      <c r="E3970" s="0" t="s">
        <v>13266</v>
      </c>
      <c r="F3970" s="0" t="s">
        <v>90</v>
      </c>
      <c r="G3970" s="0" t="s">
        <v>26</v>
      </c>
      <c r="H3970" s="0" t="n">
        <v>146</v>
      </c>
      <c r="I3970" s="0" t="s">
        <v>13276</v>
      </c>
      <c r="J3970" s="0" t="s">
        <v>13277</v>
      </c>
      <c r="K3970" s="0" t="s">
        <v>13278</v>
      </c>
      <c r="L3970" s="0" t="str">
        <f aca="false">HYPERLINK("https://www.ncbi.nlm.nih.gov/nuccore/CP000304.1?report=graph&amp;tracks=[key:gene_model_track,Options:GeneOnly]&amp;mk=1144006:1144025|offset_0|444444,1143958:1143977|offset_48|444444,1143891:1143910|offset_115|444444,1143860:1143879|offset_146|00cc00&amp;v=1143805:1144079&amp;c=444444", "offset 146")</f>
        <v>offset 146</v>
      </c>
    </row>
    <row r="3971" customFormat="false" ht="12.8" hidden="false" customHeight="false" outlineLevel="0" collapsed="false">
      <c r="A3971" s="0" t="s">
        <v>12</v>
      </c>
      <c r="B3971" s="0" t="n">
        <v>1145005</v>
      </c>
      <c r="C3971" s="0" t="n">
        <v>1145025</v>
      </c>
      <c r="D3971" s="0" t="s">
        <v>13279</v>
      </c>
      <c r="E3971" s="0" t="s">
        <v>89</v>
      </c>
      <c r="F3971" s="0" t="s">
        <v>90</v>
      </c>
      <c r="G3971" s="0" t="s">
        <v>16</v>
      </c>
      <c r="H3971" s="0" t="n">
        <v>7</v>
      </c>
      <c r="I3971" s="0" t="s">
        <v>13280</v>
      </c>
      <c r="J3971" s="0" t="s">
        <v>13281</v>
      </c>
      <c r="K3971" s="0" t="s">
        <v>13282</v>
      </c>
      <c r="L3971" s="0" t="str">
        <f aca="false">HYPERLINK("https://www.ncbi.nlm.nih.gov/nuccore/CP000304.1?report=graph&amp;tracks=[key:gene_model_track,Options:GeneOnly]&amp;mk=1145006:1145025|offset_7|00cc00,1144982:1145001|offset_31|444444,1144942:1144961|offset_71|444444,1144912:1144931|offset_101|444444&amp;v=1144805:1145131&amp;c=444444", "offset 7")</f>
        <v>offset 7</v>
      </c>
    </row>
    <row r="3972" customFormat="false" ht="12.8" hidden="false" customHeight="false" outlineLevel="0" collapsed="false">
      <c r="A3972" s="0" t="s">
        <v>12</v>
      </c>
      <c r="B3972" s="0" t="n">
        <v>1144981</v>
      </c>
      <c r="C3972" s="0" t="n">
        <v>1145001</v>
      </c>
      <c r="D3972" s="0" t="s">
        <v>13279</v>
      </c>
      <c r="E3972" s="0" t="s">
        <v>89</v>
      </c>
      <c r="F3972" s="0" t="s">
        <v>90</v>
      </c>
      <c r="G3972" s="0" t="s">
        <v>32</v>
      </c>
      <c r="H3972" s="0" t="n">
        <v>31</v>
      </c>
      <c r="I3972" s="0" t="s">
        <v>13283</v>
      </c>
      <c r="J3972" s="0" t="s">
        <v>13284</v>
      </c>
      <c r="K3972" s="0" t="s">
        <v>13285</v>
      </c>
      <c r="L3972" s="0" t="str">
        <f aca="false">HYPERLINK("https://www.ncbi.nlm.nih.gov/nuccore/CP000304.1?report=graph&amp;tracks=[key:gene_model_track,Options:GeneOnly]&amp;mk=1145006:1145025|offset_7|444444,1144982:1145001|offset_31|00cc00,1144942:1144961|offset_71|444444,1144912:1144931|offset_101|444444&amp;v=1144805:1145131&amp;c=444444", "offset 31")</f>
        <v>offset 31</v>
      </c>
    </row>
    <row r="3973" customFormat="false" ht="12.8" hidden="false" customHeight="false" outlineLevel="0" collapsed="false">
      <c r="A3973" s="0" t="s">
        <v>12</v>
      </c>
      <c r="B3973" s="0" t="n">
        <v>1144941</v>
      </c>
      <c r="C3973" s="0" t="n">
        <v>1144961</v>
      </c>
      <c r="D3973" s="0" t="s">
        <v>13279</v>
      </c>
      <c r="E3973" s="0" t="s">
        <v>89</v>
      </c>
      <c r="F3973" s="0" t="s">
        <v>90</v>
      </c>
      <c r="G3973" s="0" t="s">
        <v>26</v>
      </c>
      <c r="H3973" s="0" t="n">
        <v>71</v>
      </c>
      <c r="I3973" s="0" t="s">
        <v>13286</v>
      </c>
      <c r="J3973" s="0" t="s">
        <v>13287</v>
      </c>
      <c r="K3973" s="0" t="s">
        <v>13288</v>
      </c>
      <c r="L3973" s="0" t="str">
        <f aca="false">HYPERLINK("https://www.ncbi.nlm.nih.gov/nuccore/CP000304.1?report=graph&amp;tracks=[key:gene_model_track,Options:GeneOnly]&amp;mk=1145006:1145025|offset_7|444444,1144982:1145001|offset_31|444444,1144942:1144961|offset_71|00cc00,1144912:1144931|offset_101|444444&amp;v=1144805:1145131&amp;c=444444", "offset 71")</f>
        <v>offset 71</v>
      </c>
    </row>
    <row r="3974" customFormat="false" ht="12.8" hidden="false" customHeight="false" outlineLevel="0" collapsed="false">
      <c r="A3974" s="0" t="s">
        <v>12</v>
      </c>
      <c r="B3974" s="0" t="n">
        <v>1144911</v>
      </c>
      <c r="C3974" s="0" t="n">
        <v>1144931</v>
      </c>
      <c r="D3974" s="0" t="s">
        <v>13279</v>
      </c>
      <c r="E3974" s="0" t="s">
        <v>89</v>
      </c>
      <c r="F3974" s="0" t="s">
        <v>90</v>
      </c>
      <c r="G3974" s="0" t="s">
        <v>26</v>
      </c>
      <c r="H3974" s="0" t="n">
        <v>101</v>
      </c>
      <c r="I3974" s="0" t="s">
        <v>13289</v>
      </c>
      <c r="J3974" s="0" t="s">
        <v>13290</v>
      </c>
      <c r="K3974" s="0" t="s">
        <v>13291</v>
      </c>
      <c r="L3974" s="0" t="str">
        <f aca="false">HYPERLINK("https://www.ncbi.nlm.nih.gov/nuccore/CP000304.1?report=graph&amp;tracks=[key:gene_model_track,Options:GeneOnly]&amp;mk=1145006:1145025|offset_7|444444,1144982:1145001|offset_31|444444,1144942:1144961|offset_71|444444,1144912:1144931|offset_101|00cc00&amp;v=1144805:1145131&amp;c=444444", "offset 101")</f>
        <v>offset 101</v>
      </c>
    </row>
    <row r="3975" customFormat="false" ht="12.8" hidden="false" customHeight="false" outlineLevel="0" collapsed="false">
      <c r="A3975" s="0" t="s">
        <v>12</v>
      </c>
      <c r="B3975" s="0" t="n">
        <v>1145534</v>
      </c>
      <c r="C3975" s="0" t="n">
        <v>1145554</v>
      </c>
      <c r="D3975" s="0" t="s">
        <v>13292</v>
      </c>
      <c r="E3975" s="0" t="s">
        <v>89</v>
      </c>
      <c r="F3975" s="0" t="s">
        <v>90</v>
      </c>
      <c r="G3975" s="0" t="s">
        <v>36</v>
      </c>
      <c r="H3975" s="0" t="n">
        <v>23</v>
      </c>
      <c r="I3975" s="0" t="s">
        <v>13293</v>
      </c>
      <c r="J3975" s="0" t="s">
        <v>13294</v>
      </c>
      <c r="K3975" s="0" t="s">
        <v>13295</v>
      </c>
      <c r="L3975" s="0" t="str">
        <f aca="false">HYPERLINK("https://www.ncbi.nlm.nih.gov/nuccore/CP000304.1?report=graph&amp;tracks=[key:gene_model_track,Options:GeneOnly]&amp;mk=1145535:1145554|offset_23|00cc00,1145491:1145510|offset_67|444444,1145462:1145481|offset_96|444444,1145437:1145456|offset_121|444444&amp;v=1145334:1145656&amp;c=444444", "offset 23")</f>
        <v>offset 23</v>
      </c>
    </row>
    <row r="3976" customFormat="false" ht="12.8" hidden="false" customHeight="false" outlineLevel="0" collapsed="false">
      <c r="A3976" s="0" t="s">
        <v>12</v>
      </c>
      <c r="B3976" s="0" t="n">
        <v>1145490</v>
      </c>
      <c r="C3976" s="0" t="n">
        <v>1145510</v>
      </c>
      <c r="D3976" s="0" t="s">
        <v>13292</v>
      </c>
      <c r="E3976" s="0" t="s">
        <v>89</v>
      </c>
      <c r="F3976" s="0" t="s">
        <v>90</v>
      </c>
      <c r="G3976" s="0" t="s">
        <v>26</v>
      </c>
      <c r="H3976" s="0" t="n">
        <v>67</v>
      </c>
      <c r="I3976" s="0" t="s">
        <v>13296</v>
      </c>
      <c r="J3976" s="0" t="s">
        <v>13297</v>
      </c>
      <c r="K3976" s="0" t="s">
        <v>13298</v>
      </c>
      <c r="L3976" s="0" t="str">
        <f aca="false">HYPERLINK("https://www.ncbi.nlm.nih.gov/nuccore/CP000304.1?report=graph&amp;tracks=[key:gene_model_track,Options:GeneOnly]&amp;mk=1145535:1145554|offset_23|444444,1145491:1145510|offset_67|00cc00,1145462:1145481|offset_96|444444,1145437:1145456|offset_121|444444&amp;v=1145334:1145656&amp;c=444444", "offset 67")</f>
        <v>offset 67</v>
      </c>
    </row>
    <row r="3977" customFormat="false" ht="12.8" hidden="false" customHeight="false" outlineLevel="0" collapsed="false">
      <c r="A3977" s="0" t="s">
        <v>12</v>
      </c>
      <c r="B3977" s="0" t="n">
        <v>1145461</v>
      </c>
      <c r="C3977" s="0" t="n">
        <v>1145481</v>
      </c>
      <c r="D3977" s="0" t="s">
        <v>13292</v>
      </c>
      <c r="E3977" s="0" t="s">
        <v>89</v>
      </c>
      <c r="F3977" s="0" t="s">
        <v>90</v>
      </c>
      <c r="G3977" s="0" t="s">
        <v>36</v>
      </c>
      <c r="H3977" s="0" t="n">
        <v>96</v>
      </c>
      <c r="I3977" s="0" t="s">
        <v>13299</v>
      </c>
      <c r="J3977" s="0" t="s">
        <v>13300</v>
      </c>
      <c r="K3977" s="0" t="s">
        <v>13301</v>
      </c>
      <c r="L3977" s="0" t="str">
        <f aca="false">HYPERLINK("https://www.ncbi.nlm.nih.gov/nuccore/CP000304.1?report=graph&amp;tracks=[key:gene_model_track,Options:GeneOnly]&amp;mk=1145535:1145554|offset_23|444444,1145491:1145510|offset_67|444444,1145462:1145481|offset_96|00cc00,1145437:1145456|offset_121|444444&amp;v=1145334:1145656&amp;c=444444", "offset 96")</f>
        <v>offset 96</v>
      </c>
    </row>
    <row r="3978" customFormat="false" ht="12.8" hidden="false" customHeight="false" outlineLevel="0" collapsed="false">
      <c r="A3978" s="0" t="s">
        <v>12</v>
      </c>
      <c r="B3978" s="0" t="n">
        <v>1145436</v>
      </c>
      <c r="C3978" s="0" t="n">
        <v>1145456</v>
      </c>
      <c r="D3978" s="0" t="s">
        <v>13292</v>
      </c>
      <c r="E3978" s="0" t="s">
        <v>89</v>
      </c>
      <c r="F3978" s="0" t="s">
        <v>90</v>
      </c>
      <c r="G3978" s="0" t="s">
        <v>16</v>
      </c>
      <c r="H3978" s="0" t="n">
        <v>121</v>
      </c>
      <c r="I3978" s="0" t="s">
        <v>13302</v>
      </c>
      <c r="J3978" s="0" t="s">
        <v>13303</v>
      </c>
      <c r="K3978" s="0" t="s">
        <v>13304</v>
      </c>
      <c r="L3978" s="0" t="str">
        <f aca="false">HYPERLINK("https://www.ncbi.nlm.nih.gov/nuccore/CP000304.1?report=graph&amp;tracks=[key:gene_model_track,Options:GeneOnly]&amp;mk=1145535:1145554|offset_23|444444,1145491:1145510|offset_67|444444,1145462:1145481|offset_96|444444,1145437:1145456|offset_121|00cc00&amp;v=1145334:1145656&amp;c=444444", "offset 121")</f>
        <v>offset 121</v>
      </c>
    </row>
    <row r="3979" customFormat="false" ht="12.8" hidden="false" customHeight="false" outlineLevel="0" collapsed="false">
      <c r="A3979" s="0" t="s">
        <v>12</v>
      </c>
      <c r="B3979" s="0" t="n">
        <v>1146011</v>
      </c>
      <c r="C3979" s="0" t="n">
        <v>1146031</v>
      </c>
      <c r="D3979" s="0" t="s">
        <v>13305</v>
      </c>
      <c r="E3979" s="0" t="s">
        <v>89</v>
      </c>
      <c r="F3979" s="0" t="s">
        <v>90</v>
      </c>
      <c r="G3979" s="0" t="s">
        <v>32</v>
      </c>
      <c r="H3979" s="0" t="n">
        <v>12</v>
      </c>
      <c r="I3979" s="0" t="s">
        <v>13306</v>
      </c>
      <c r="J3979" s="0" t="s">
        <v>13307</v>
      </c>
      <c r="K3979" s="0" t="s">
        <v>13308</v>
      </c>
      <c r="L3979" s="0" t="str">
        <f aca="false">HYPERLINK("https://www.ncbi.nlm.nih.gov/nuccore/CP000304.1?report=graph&amp;tracks=[key:gene_model_track,Options:GeneOnly]&amp;mk=1146012:1146031|offset_12|00cc00,1145988:1146007|offset_36|444444,1145950:1145969|offset_74|444444,1145912:1145931|offset_112|444444&amp;v=1145811:1146131&amp;c=444444", "offset 12")</f>
        <v>offset 12</v>
      </c>
    </row>
    <row r="3980" customFormat="false" ht="12.8" hidden="false" customHeight="false" outlineLevel="0" collapsed="false">
      <c r="A3980" s="0" t="s">
        <v>12</v>
      </c>
      <c r="B3980" s="0" t="n">
        <v>1145987</v>
      </c>
      <c r="C3980" s="0" t="n">
        <v>1146007</v>
      </c>
      <c r="D3980" s="0" t="s">
        <v>13305</v>
      </c>
      <c r="E3980" s="0" t="s">
        <v>89</v>
      </c>
      <c r="F3980" s="0" t="s">
        <v>90</v>
      </c>
      <c r="G3980" s="0" t="s">
        <v>16</v>
      </c>
      <c r="H3980" s="0" t="n">
        <v>36</v>
      </c>
      <c r="I3980" s="0" t="s">
        <v>13309</v>
      </c>
      <c r="J3980" s="0" t="s">
        <v>13310</v>
      </c>
      <c r="K3980" s="0" t="s">
        <v>13311</v>
      </c>
      <c r="L3980" s="0" t="str">
        <f aca="false">HYPERLINK("https://www.ncbi.nlm.nih.gov/nuccore/CP000304.1?report=graph&amp;tracks=[key:gene_model_track,Options:GeneOnly]&amp;mk=1146012:1146031|offset_12|444444,1145988:1146007|offset_36|00cc00,1145950:1145969|offset_74|444444,1145912:1145931|offset_112|444444&amp;v=1145811:1146131&amp;c=444444", "offset 36")</f>
        <v>offset 36</v>
      </c>
    </row>
    <row r="3981" customFormat="false" ht="12.8" hidden="false" customHeight="false" outlineLevel="0" collapsed="false">
      <c r="A3981" s="0" t="s">
        <v>12</v>
      </c>
      <c r="B3981" s="0" t="n">
        <v>1145949</v>
      </c>
      <c r="C3981" s="0" t="n">
        <v>1145969</v>
      </c>
      <c r="D3981" s="0" t="s">
        <v>13305</v>
      </c>
      <c r="E3981" s="0" t="s">
        <v>89</v>
      </c>
      <c r="F3981" s="0" t="s">
        <v>90</v>
      </c>
      <c r="G3981" s="0" t="s">
        <v>32</v>
      </c>
      <c r="H3981" s="0" t="n">
        <v>74</v>
      </c>
      <c r="I3981" s="0" t="s">
        <v>13312</v>
      </c>
      <c r="J3981" s="0" t="s">
        <v>13313</v>
      </c>
      <c r="K3981" s="0" t="s">
        <v>13314</v>
      </c>
      <c r="L3981" s="0" t="str">
        <f aca="false">HYPERLINK("https://www.ncbi.nlm.nih.gov/nuccore/CP000304.1?report=graph&amp;tracks=[key:gene_model_track,Options:GeneOnly]&amp;mk=1146012:1146031|offset_12|444444,1145988:1146007|offset_36|444444,1145950:1145969|offset_74|00cc00,1145912:1145931|offset_112|444444&amp;v=1145811:1146131&amp;c=444444", "offset 74")</f>
        <v>offset 74</v>
      </c>
    </row>
    <row r="3982" customFormat="false" ht="12.8" hidden="false" customHeight="false" outlineLevel="0" collapsed="false">
      <c r="A3982" s="0" t="s">
        <v>12</v>
      </c>
      <c r="B3982" s="0" t="n">
        <v>1145911</v>
      </c>
      <c r="C3982" s="0" t="n">
        <v>1145931</v>
      </c>
      <c r="D3982" s="0" t="s">
        <v>13305</v>
      </c>
      <c r="E3982" s="0" t="s">
        <v>89</v>
      </c>
      <c r="F3982" s="0" t="s">
        <v>90</v>
      </c>
      <c r="G3982" s="0" t="s">
        <v>16</v>
      </c>
      <c r="H3982" s="0" t="n">
        <v>112</v>
      </c>
      <c r="I3982" s="0" t="s">
        <v>13315</v>
      </c>
      <c r="J3982" s="0" t="s">
        <v>13316</v>
      </c>
      <c r="K3982" s="0" t="s">
        <v>13317</v>
      </c>
      <c r="L3982" s="0" t="str">
        <f aca="false">HYPERLINK("https://www.ncbi.nlm.nih.gov/nuccore/CP000304.1?report=graph&amp;tracks=[key:gene_model_track,Options:GeneOnly]&amp;mk=1146012:1146031|offset_12|444444,1145988:1146007|offset_36|444444,1145950:1145969|offset_74|444444,1145912:1145931|offset_112|00cc00&amp;v=1145811:1146131&amp;c=444444", "offset 112")</f>
        <v>offset 112</v>
      </c>
    </row>
    <row r="3983" customFormat="false" ht="12.8" hidden="false" customHeight="false" outlineLevel="0" collapsed="false">
      <c r="A3983" s="0" t="s">
        <v>12</v>
      </c>
      <c r="B3983" s="0" t="n">
        <v>1146608</v>
      </c>
      <c r="C3983" s="0" t="n">
        <v>1146628</v>
      </c>
      <c r="D3983" s="0" t="s">
        <v>13318</v>
      </c>
      <c r="E3983" s="0" t="s">
        <v>89</v>
      </c>
      <c r="F3983" s="0" t="s">
        <v>90</v>
      </c>
      <c r="G3983" s="0" t="s">
        <v>26</v>
      </c>
      <c r="H3983" s="0" t="n">
        <v>41</v>
      </c>
      <c r="I3983" s="0" t="s">
        <v>13319</v>
      </c>
      <c r="J3983" s="0" t="s">
        <v>13320</v>
      </c>
      <c r="K3983" s="0" t="s">
        <v>13321</v>
      </c>
      <c r="L3983" s="0" t="str">
        <f aca="false">HYPERLINK("https://www.ncbi.nlm.nih.gov/nuccore/CP000304.1?report=graph&amp;tracks=[key:gene_model_track,Options:GeneOnly]&amp;mk=1146609:1146628|offset_41|00cc00,1146577:1146596|offset_73|444444,1146553:1146572|offset_97|444444,1146532:1146551|offset_118|444444&amp;v=1146408:1146751&amp;c=444444", "offset 41")</f>
        <v>offset 41</v>
      </c>
    </row>
    <row r="3984" customFormat="false" ht="12.8" hidden="false" customHeight="false" outlineLevel="0" collapsed="false">
      <c r="A3984" s="0" t="s">
        <v>12</v>
      </c>
      <c r="B3984" s="0" t="n">
        <v>1146576</v>
      </c>
      <c r="C3984" s="0" t="n">
        <v>1146596</v>
      </c>
      <c r="D3984" s="0" t="s">
        <v>13318</v>
      </c>
      <c r="E3984" s="0" t="s">
        <v>89</v>
      </c>
      <c r="F3984" s="0" t="s">
        <v>90</v>
      </c>
      <c r="G3984" s="0" t="s">
        <v>16</v>
      </c>
      <c r="H3984" s="0" t="n">
        <v>73</v>
      </c>
      <c r="I3984" s="0" t="s">
        <v>13322</v>
      </c>
      <c r="J3984" s="0" t="s">
        <v>13323</v>
      </c>
      <c r="K3984" s="0" t="s">
        <v>13324</v>
      </c>
      <c r="L3984" s="0" t="str">
        <f aca="false">HYPERLINK("https://www.ncbi.nlm.nih.gov/nuccore/CP000304.1?report=graph&amp;tracks=[key:gene_model_track,Options:GeneOnly]&amp;mk=1146609:1146628|offset_41|444444,1146577:1146596|offset_73|00cc00,1146553:1146572|offset_97|444444,1146532:1146551|offset_118|444444&amp;v=1146408:1146751&amp;c=444444", "offset 73")</f>
        <v>offset 73</v>
      </c>
    </row>
    <row r="3985" customFormat="false" ht="12.8" hidden="false" customHeight="false" outlineLevel="0" collapsed="false">
      <c r="A3985" s="0" t="s">
        <v>12</v>
      </c>
      <c r="B3985" s="0" t="n">
        <v>1146552</v>
      </c>
      <c r="C3985" s="0" t="n">
        <v>1146572</v>
      </c>
      <c r="D3985" s="0" t="s">
        <v>13318</v>
      </c>
      <c r="E3985" s="0" t="s">
        <v>89</v>
      </c>
      <c r="F3985" s="0" t="s">
        <v>90</v>
      </c>
      <c r="G3985" s="0" t="s">
        <v>16</v>
      </c>
      <c r="H3985" s="0" t="n">
        <v>97</v>
      </c>
      <c r="I3985" s="0" t="s">
        <v>13325</v>
      </c>
      <c r="J3985" s="0" t="s">
        <v>13326</v>
      </c>
      <c r="K3985" s="0" t="s">
        <v>13327</v>
      </c>
      <c r="L3985" s="0" t="str">
        <f aca="false">HYPERLINK("https://www.ncbi.nlm.nih.gov/nuccore/CP000304.1?report=graph&amp;tracks=[key:gene_model_track,Options:GeneOnly]&amp;mk=1146609:1146628|offset_41|444444,1146577:1146596|offset_73|444444,1146553:1146572|offset_97|00cc00,1146532:1146551|offset_118|444444&amp;v=1146408:1146751&amp;c=444444", "offset 97")</f>
        <v>offset 97</v>
      </c>
    </row>
    <row r="3986" customFormat="false" ht="12.8" hidden="false" customHeight="false" outlineLevel="0" collapsed="false">
      <c r="A3986" s="0" t="s">
        <v>12</v>
      </c>
      <c r="B3986" s="0" t="n">
        <v>1146531</v>
      </c>
      <c r="C3986" s="0" t="n">
        <v>1146551</v>
      </c>
      <c r="D3986" s="0" t="s">
        <v>13318</v>
      </c>
      <c r="E3986" s="0" t="s">
        <v>89</v>
      </c>
      <c r="F3986" s="0" t="s">
        <v>90</v>
      </c>
      <c r="G3986" s="0" t="s">
        <v>26</v>
      </c>
      <c r="H3986" s="0" t="n">
        <v>118</v>
      </c>
      <c r="I3986" s="0" t="s">
        <v>13328</v>
      </c>
      <c r="J3986" s="0" t="s">
        <v>13329</v>
      </c>
      <c r="K3986" s="0" t="s">
        <v>13330</v>
      </c>
      <c r="L3986" s="0" t="str">
        <f aca="false">HYPERLINK("https://www.ncbi.nlm.nih.gov/nuccore/CP000304.1?report=graph&amp;tracks=[key:gene_model_track,Options:GeneOnly]&amp;mk=1146609:1146628|offset_41|444444,1146577:1146596|offset_73|444444,1146553:1146572|offset_97|444444,1146532:1146551|offset_118|00cc00&amp;v=1146408:1146751&amp;c=444444", "offset 118")</f>
        <v>offset 118</v>
      </c>
    </row>
    <row r="3987" customFormat="false" ht="12.8" hidden="false" customHeight="false" outlineLevel="0" collapsed="false">
      <c r="A3987" s="0" t="s">
        <v>12</v>
      </c>
      <c r="B3987" s="0" t="n">
        <v>1147592</v>
      </c>
      <c r="C3987" s="0" t="n">
        <v>1147612</v>
      </c>
      <c r="D3987" s="0" t="s">
        <v>13331</v>
      </c>
      <c r="E3987" s="0" t="s">
        <v>89</v>
      </c>
      <c r="F3987" s="0" t="s">
        <v>90</v>
      </c>
      <c r="G3987" s="0" t="s">
        <v>16</v>
      </c>
      <c r="H3987" s="0" t="n">
        <v>13</v>
      </c>
      <c r="I3987" s="0" t="s">
        <v>13332</v>
      </c>
      <c r="J3987" s="0" t="s">
        <v>13333</v>
      </c>
      <c r="K3987" s="0" t="s">
        <v>13334</v>
      </c>
      <c r="L3987" s="0" t="str">
        <f aca="false">HYPERLINK("https://www.ncbi.nlm.nih.gov/nuccore/CP000304.1?report=graph&amp;tracks=[key:gene_model_track,Options:GeneOnly]&amp;mk=1147593:1147612|offset_13|00cc00,1147530:1147549|offset_76|444444,1147497:1147516|offset_109|444444,1147431:1147450|offset_175|444444&amp;v=1147392:1147650&amp;c=444444", "offset 13")</f>
        <v>offset 13</v>
      </c>
    </row>
    <row r="3988" customFormat="false" ht="12.8" hidden="false" customHeight="false" outlineLevel="0" collapsed="false">
      <c r="A3988" s="0" t="s">
        <v>12</v>
      </c>
      <c r="B3988" s="0" t="n">
        <v>1147529</v>
      </c>
      <c r="C3988" s="0" t="n">
        <v>1147549</v>
      </c>
      <c r="D3988" s="0" t="s">
        <v>13331</v>
      </c>
      <c r="E3988" s="0" t="s">
        <v>89</v>
      </c>
      <c r="F3988" s="0" t="s">
        <v>90</v>
      </c>
      <c r="G3988" s="0" t="s">
        <v>32</v>
      </c>
      <c r="H3988" s="0" t="n">
        <v>76</v>
      </c>
      <c r="I3988" s="0" t="s">
        <v>13335</v>
      </c>
      <c r="J3988" s="0" t="s">
        <v>13336</v>
      </c>
      <c r="K3988" s="0" t="s">
        <v>13337</v>
      </c>
      <c r="L3988" s="0" t="str">
        <f aca="false">HYPERLINK("https://www.ncbi.nlm.nih.gov/nuccore/CP000304.1?report=graph&amp;tracks=[key:gene_model_track,Options:GeneOnly]&amp;mk=1147593:1147612|offset_13|444444,1147530:1147549|offset_76|00cc00,1147497:1147516|offset_109|444444,1147431:1147450|offset_175|444444&amp;v=1147392:1147650&amp;c=444444", "offset 76")</f>
        <v>offset 76</v>
      </c>
    </row>
    <row r="3989" customFormat="false" ht="12.8" hidden="false" customHeight="false" outlineLevel="0" collapsed="false">
      <c r="A3989" s="0" t="s">
        <v>12</v>
      </c>
      <c r="B3989" s="0" t="n">
        <v>1147496</v>
      </c>
      <c r="C3989" s="0" t="n">
        <v>1147516</v>
      </c>
      <c r="D3989" s="0" t="s">
        <v>13331</v>
      </c>
      <c r="E3989" s="0" t="s">
        <v>89</v>
      </c>
      <c r="F3989" s="0" t="s">
        <v>90</v>
      </c>
      <c r="G3989" s="0" t="s">
        <v>26</v>
      </c>
      <c r="H3989" s="0" t="n">
        <v>109</v>
      </c>
      <c r="I3989" s="0" t="s">
        <v>13338</v>
      </c>
      <c r="J3989" s="0" t="s">
        <v>13339</v>
      </c>
      <c r="K3989" s="0" t="s">
        <v>13340</v>
      </c>
      <c r="L3989" s="0" t="str">
        <f aca="false">HYPERLINK("https://www.ncbi.nlm.nih.gov/nuccore/CP000304.1?report=graph&amp;tracks=[key:gene_model_track,Options:GeneOnly]&amp;mk=1147593:1147612|offset_13|444444,1147530:1147549|offset_76|444444,1147497:1147516|offset_109|00cc00,1147431:1147450|offset_175|444444&amp;v=1147392:1147650&amp;c=444444", "offset 109")</f>
        <v>offset 109</v>
      </c>
    </row>
    <row r="3990" customFormat="false" ht="12.8" hidden="false" customHeight="false" outlineLevel="0" collapsed="false">
      <c r="A3990" s="0" t="s">
        <v>12</v>
      </c>
      <c r="B3990" s="0" t="n">
        <v>1147430</v>
      </c>
      <c r="C3990" s="0" t="n">
        <v>1147450</v>
      </c>
      <c r="D3990" s="0" t="s">
        <v>13331</v>
      </c>
      <c r="E3990" s="0" t="s">
        <v>89</v>
      </c>
      <c r="F3990" s="0" t="s">
        <v>90</v>
      </c>
      <c r="G3990" s="0" t="s">
        <v>32</v>
      </c>
      <c r="H3990" s="0" t="n">
        <v>175</v>
      </c>
      <c r="I3990" s="0" t="s">
        <v>13341</v>
      </c>
      <c r="J3990" s="0" t="s">
        <v>13342</v>
      </c>
      <c r="K3990" s="0" t="s">
        <v>13343</v>
      </c>
      <c r="L3990" s="0" t="str">
        <f aca="false">HYPERLINK("https://www.ncbi.nlm.nih.gov/nuccore/CP000304.1?report=graph&amp;tracks=[key:gene_model_track,Options:GeneOnly]&amp;mk=1147593:1147612|offset_13|444444,1147530:1147549|offset_76|444444,1147497:1147516|offset_109|444444,1147431:1147450|offset_175|00cc00&amp;v=1147392:1147650&amp;c=444444", "offset 175")</f>
        <v>offset 175</v>
      </c>
    </row>
    <row r="3991" customFormat="false" ht="12.8" hidden="false" customHeight="false" outlineLevel="0" collapsed="false">
      <c r="A3991" s="0" t="s">
        <v>12</v>
      </c>
      <c r="B3991" s="0" t="n">
        <v>1147933</v>
      </c>
      <c r="C3991" s="0" t="n">
        <v>1147953</v>
      </c>
      <c r="D3991" s="0" t="s">
        <v>13344</v>
      </c>
      <c r="E3991" s="0" t="s">
        <v>13345</v>
      </c>
      <c r="F3991" s="0" t="s">
        <v>15</v>
      </c>
      <c r="G3991" s="0" t="s">
        <v>26</v>
      </c>
      <c r="H3991" s="0" t="n">
        <v>10</v>
      </c>
      <c r="I3991" s="0" t="s">
        <v>13346</v>
      </c>
      <c r="J3991" s="0" t="s">
        <v>13347</v>
      </c>
      <c r="K3991" s="0" t="s">
        <v>13348</v>
      </c>
      <c r="L3991" s="0" t="str">
        <f aca="false">HYPERLINK("https://www.ncbi.nlm.nih.gov/nuccore/CP000304.1?report=graph&amp;tracks=[key:gene_model_track,Options:GeneOnly]&amp;mk=1147934:1147953|offset_10|00cc00,1147970:1147989|offset_46|444444,1148019:1148038|offset_95|444444,1148039:1148058|offset_115|444444&amp;v=1147733:1148258&amp;c=444444", "offset 10")</f>
        <v>offset 10</v>
      </c>
    </row>
    <row r="3992" customFormat="false" ht="12.8" hidden="false" customHeight="false" outlineLevel="0" collapsed="false">
      <c r="A3992" s="0" t="s">
        <v>12</v>
      </c>
      <c r="B3992" s="0" t="n">
        <v>1147969</v>
      </c>
      <c r="C3992" s="0" t="n">
        <v>1147989</v>
      </c>
      <c r="D3992" s="0" t="s">
        <v>13344</v>
      </c>
      <c r="E3992" s="0" t="s">
        <v>13345</v>
      </c>
      <c r="F3992" s="0" t="s">
        <v>15</v>
      </c>
      <c r="G3992" s="0" t="s">
        <v>26</v>
      </c>
      <c r="H3992" s="0" t="n">
        <v>46</v>
      </c>
      <c r="I3992" s="0" t="s">
        <v>13349</v>
      </c>
      <c r="J3992" s="0" t="s">
        <v>13350</v>
      </c>
      <c r="K3992" s="0" t="s">
        <v>13351</v>
      </c>
      <c r="L3992" s="0" t="str">
        <f aca="false">HYPERLINK("https://www.ncbi.nlm.nih.gov/nuccore/CP000304.1?report=graph&amp;tracks=[key:gene_model_track,Options:GeneOnly]&amp;mk=1147934:1147953|offset_10|444444,1147970:1147989|offset_46|00cc00,1148019:1148038|offset_95|444444,1148039:1148058|offset_115|444444&amp;v=1147733:1148258&amp;c=444444", "offset 46")</f>
        <v>offset 46</v>
      </c>
    </row>
    <row r="3993" customFormat="false" ht="12.8" hidden="false" customHeight="false" outlineLevel="0" collapsed="false">
      <c r="A3993" s="0" t="s">
        <v>12</v>
      </c>
      <c r="B3993" s="0" t="n">
        <v>1148018</v>
      </c>
      <c r="C3993" s="0" t="n">
        <v>1148038</v>
      </c>
      <c r="D3993" s="0" t="s">
        <v>13344</v>
      </c>
      <c r="E3993" s="0" t="s">
        <v>13345</v>
      </c>
      <c r="F3993" s="0" t="s">
        <v>15</v>
      </c>
      <c r="G3993" s="0" t="s">
        <v>36</v>
      </c>
      <c r="H3993" s="0" t="n">
        <v>95</v>
      </c>
      <c r="I3993" s="0" t="s">
        <v>13352</v>
      </c>
      <c r="J3993" s="0" t="s">
        <v>13353</v>
      </c>
      <c r="K3993" s="0" t="s">
        <v>13354</v>
      </c>
      <c r="L3993" s="0" t="str">
        <f aca="false">HYPERLINK("https://www.ncbi.nlm.nih.gov/nuccore/CP000304.1?report=graph&amp;tracks=[key:gene_model_track,Options:GeneOnly]&amp;mk=1147934:1147953|offset_10|444444,1147970:1147989|offset_46|444444,1148019:1148038|offset_95|00cc00,1148039:1148058|offset_115|444444&amp;v=1147733:1148258&amp;c=444444", "offset 95")</f>
        <v>offset 95</v>
      </c>
    </row>
    <row r="3994" customFormat="false" ht="12.8" hidden="false" customHeight="false" outlineLevel="0" collapsed="false">
      <c r="A3994" s="0" t="s">
        <v>12</v>
      </c>
      <c r="B3994" s="0" t="n">
        <v>1148038</v>
      </c>
      <c r="C3994" s="0" t="n">
        <v>1148058</v>
      </c>
      <c r="D3994" s="0" t="s">
        <v>13344</v>
      </c>
      <c r="E3994" s="0" t="s">
        <v>13345</v>
      </c>
      <c r="F3994" s="0" t="s">
        <v>15</v>
      </c>
      <c r="G3994" s="0" t="s">
        <v>32</v>
      </c>
      <c r="H3994" s="0" t="n">
        <v>115</v>
      </c>
      <c r="I3994" s="0" t="s">
        <v>13355</v>
      </c>
      <c r="J3994" s="0" t="s">
        <v>13356</v>
      </c>
      <c r="K3994" s="0" t="s">
        <v>13357</v>
      </c>
      <c r="L3994" s="0" t="str">
        <f aca="false">HYPERLINK("https://www.ncbi.nlm.nih.gov/nuccore/CP000304.1?report=graph&amp;tracks=[key:gene_model_track,Options:GeneOnly]&amp;mk=1147934:1147953|offset_10|444444,1147970:1147989|offset_46|444444,1148019:1148038|offset_95|444444,1148039:1148058|offset_115|00cc00&amp;v=1147733:1148258&amp;c=444444", "offset 115")</f>
        <v>offset 115</v>
      </c>
    </row>
    <row r="3995" customFormat="false" ht="12.8" hidden="false" customHeight="false" outlineLevel="0" collapsed="false">
      <c r="A3995" s="0" t="s">
        <v>12</v>
      </c>
      <c r="B3995" s="0" t="n">
        <v>1148757</v>
      </c>
      <c r="C3995" s="0" t="n">
        <v>1148777</v>
      </c>
      <c r="D3995" s="0" t="s">
        <v>13358</v>
      </c>
      <c r="E3995" s="0" t="s">
        <v>13359</v>
      </c>
      <c r="F3995" s="0" t="s">
        <v>15</v>
      </c>
      <c r="G3995" s="0" t="s">
        <v>16</v>
      </c>
      <c r="H3995" s="0" t="n">
        <v>26</v>
      </c>
      <c r="I3995" s="0" t="s">
        <v>13360</v>
      </c>
      <c r="J3995" s="0" t="s">
        <v>13361</v>
      </c>
      <c r="K3995" s="0" t="s">
        <v>13362</v>
      </c>
      <c r="L3995" s="0" t="str">
        <f aca="false">HYPERLINK("https://www.ncbi.nlm.nih.gov/nuccore/CP000304.1?report=graph&amp;tracks=[key:gene_model_track,Options:GeneOnly]&amp;mk=1148758:1148777|offset_26|00cc00,1148785:1148804|offset_53|444444,1148824:1148843|offset_92|444444,1148845:1148864|offset_113|444444&amp;v=1148557:1149064&amp;c=444444", "offset 26")</f>
        <v>offset 26</v>
      </c>
    </row>
    <row r="3996" customFormat="false" ht="12.8" hidden="false" customHeight="false" outlineLevel="0" collapsed="false">
      <c r="A3996" s="0" t="s">
        <v>12</v>
      </c>
      <c r="B3996" s="0" t="n">
        <v>1148784</v>
      </c>
      <c r="C3996" s="0" t="n">
        <v>1148804</v>
      </c>
      <c r="D3996" s="0" t="s">
        <v>13358</v>
      </c>
      <c r="E3996" s="0" t="s">
        <v>13359</v>
      </c>
      <c r="F3996" s="0" t="s">
        <v>15</v>
      </c>
      <c r="G3996" s="0" t="s">
        <v>26</v>
      </c>
      <c r="H3996" s="0" t="n">
        <v>53</v>
      </c>
      <c r="I3996" s="0" t="s">
        <v>13363</v>
      </c>
      <c r="J3996" s="0" t="s">
        <v>13364</v>
      </c>
      <c r="K3996" s="0" t="s">
        <v>13365</v>
      </c>
      <c r="L3996" s="0" t="str">
        <f aca="false">HYPERLINK("https://www.ncbi.nlm.nih.gov/nuccore/CP000304.1?report=graph&amp;tracks=[key:gene_model_track,Options:GeneOnly]&amp;mk=1148758:1148777|offset_26|444444,1148785:1148804|offset_53|00cc00,1148824:1148843|offset_92|444444,1148845:1148864|offset_113|444444&amp;v=1148557:1149064&amp;c=444444", "offset 53")</f>
        <v>offset 53</v>
      </c>
    </row>
    <row r="3997" customFormat="false" ht="12.8" hidden="false" customHeight="false" outlineLevel="0" collapsed="false">
      <c r="A3997" s="0" t="s">
        <v>12</v>
      </c>
      <c r="B3997" s="0" t="n">
        <v>1148823</v>
      </c>
      <c r="C3997" s="0" t="n">
        <v>1148843</v>
      </c>
      <c r="D3997" s="0" t="s">
        <v>13358</v>
      </c>
      <c r="E3997" s="0" t="s">
        <v>13359</v>
      </c>
      <c r="F3997" s="0" t="s">
        <v>15</v>
      </c>
      <c r="G3997" s="0" t="s">
        <v>26</v>
      </c>
      <c r="H3997" s="0" t="n">
        <v>92</v>
      </c>
      <c r="I3997" s="0" t="s">
        <v>13366</v>
      </c>
      <c r="J3997" s="0" t="s">
        <v>13367</v>
      </c>
      <c r="K3997" s="0" t="s">
        <v>13368</v>
      </c>
      <c r="L3997" s="0" t="str">
        <f aca="false">HYPERLINK("https://www.ncbi.nlm.nih.gov/nuccore/CP000304.1?report=graph&amp;tracks=[key:gene_model_track,Options:GeneOnly]&amp;mk=1148758:1148777|offset_26|444444,1148785:1148804|offset_53|444444,1148824:1148843|offset_92|00cc00,1148845:1148864|offset_113|444444&amp;v=1148557:1149064&amp;c=444444", "offset 92")</f>
        <v>offset 92</v>
      </c>
    </row>
    <row r="3998" customFormat="false" ht="12.8" hidden="false" customHeight="false" outlineLevel="0" collapsed="false">
      <c r="A3998" s="0" t="s">
        <v>12</v>
      </c>
      <c r="B3998" s="0" t="n">
        <v>1148844</v>
      </c>
      <c r="C3998" s="0" t="n">
        <v>1148864</v>
      </c>
      <c r="D3998" s="0" t="s">
        <v>13358</v>
      </c>
      <c r="E3998" s="0" t="s">
        <v>13359</v>
      </c>
      <c r="F3998" s="0" t="s">
        <v>15</v>
      </c>
      <c r="G3998" s="0" t="s">
        <v>16</v>
      </c>
      <c r="H3998" s="0" t="n">
        <v>113</v>
      </c>
      <c r="I3998" s="0" t="s">
        <v>13369</v>
      </c>
      <c r="J3998" s="0" t="s">
        <v>13370</v>
      </c>
      <c r="K3998" s="0" t="s">
        <v>13371</v>
      </c>
      <c r="L3998" s="0" t="str">
        <f aca="false">HYPERLINK("https://www.ncbi.nlm.nih.gov/nuccore/CP000304.1?report=graph&amp;tracks=[key:gene_model_track,Options:GeneOnly]&amp;mk=1148758:1148777|offset_26|444444,1148785:1148804|offset_53|444444,1148824:1148843|offset_92|444444,1148845:1148864|offset_113|00cc00&amp;v=1148557:1149064&amp;c=444444", "offset 113")</f>
        <v>offset 113</v>
      </c>
    </row>
    <row r="3999" customFormat="false" ht="12.8" hidden="false" customHeight="false" outlineLevel="0" collapsed="false">
      <c r="A3999" s="0" t="s">
        <v>12</v>
      </c>
      <c r="B3999" s="0" t="n">
        <v>1149539</v>
      </c>
      <c r="C3999" s="0" t="n">
        <v>1149559</v>
      </c>
      <c r="D3999" s="0" t="s">
        <v>13372</v>
      </c>
      <c r="E3999" s="0" t="s">
        <v>13373</v>
      </c>
      <c r="F3999" s="0" t="s">
        <v>15</v>
      </c>
      <c r="G3999" s="0" t="s">
        <v>16</v>
      </c>
      <c r="H3999" s="0" t="n">
        <v>11</v>
      </c>
      <c r="I3999" s="0" t="s">
        <v>13374</v>
      </c>
      <c r="J3999" s="0" t="s">
        <v>13375</v>
      </c>
      <c r="K3999" s="0" t="s">
        <v>13376</v>
      </c>
      <c r="L3999" s="0" t="str">
        <f aca="false">HYPERLINK("https://www.ncbi.nlm.nih.gov/nuccore/CP000304.1?report=graph&amp;tracks=[key:gene_model_track,Options:GeneOnly]&amp;mk=1149540:1149559|offset_11|00cc00,1149564:1149583|offset_35|444444,1149591:1149610|offset_62|444444,1149638:1149657|offset_109|444444&amp;v=1149339:1149857&amp;c=444444", "offset 11")</f>
        <v>offset 11</v>
      </c>
    </row>
    <row r="4000" customFormat="false" ht="12.8" hidden="false" customHeight="false" outlineLevel="0" collapsed="false">
      <c r="A4000" s="0" t="s">
        <v>12</v>
      </c>
      <c r="B4000" s="0" t="n">
        <v>1149563</v>
      </c>
      <c r="C4000" s="0" t="n">
        <v>1149583</v>
      </c>
      <c r="D4000" s="0" t="s">
        <v>13372</v>
      </c>
      <c r="E4000" s="0" t="s">
        <v>13373</v>
      </c>
      <c r="F4000" s="0" t="s">
        <v>15</v>
      </c>
      <c r="G4000" s="0" t="s">
        <v>26</v>
      </c>
      <c r="H4000" s="0" t="n">
        <v>35</v>
      </c>
      <c r="I4000" s="0" t="s">
        <v>13377</v>
      </c>
      <c r="J4000" s="0" t="s">
        <v>13378</v>
      </c>
      <c r="K4000" s="0" t="s">
        <v>13379</v>
      </c>
      <c r="L4000" s="0" t="str">
        <f aca="false">HYPERLINK("https://www.ncbi.nlm.nih.gov/nuccore/CP000304.1?report=graph&amp;tracks=[key:gene_model_track,Options:GeneOnly]&amp;mk=1149540:1149559|offset_11|444444,1149564:1149583|offset_35|00cc00,1149591:1149610|offset_62|444444,1149638:1149657|offset_109|444444&amp;v=1149339:1149857&amp;c=444444", "offset 35")</f>
        <v>offset 35</v>
      </c>
    </row>
    <row r="4001" customFormat="false" ht="12.8" hidden="false" customHeight="false" outlineLevel="0" collapsed="false">
      <c r="A4001" s="0" t="s">
        <v>12</v>
      </c>
      <c r="B4001" s="0" t="n">
        <v>1149590</v>
      </c>
      <c r="C4001" s="0" t="n">
        <v>1149610</v>
      </c>
      <c r="D4001" s="0" t="s">
        <v>13372</v>
      </c>
      <c r="E4001" s="0" t="s">
        <v>13373</v>
      </c>
      <c r="F4001" s="0" t="s">
        <v>15</v>
      </c>
      <c r="G4001" s="0" t="s">
        <v>26</v>
      </c>
      <c r="H4001" s="0" t="n">
        <v>62</v>
      </c>
      <c r="I4001" s="0" t="s">
        <v>13380</v>
      </c>
      <c r="J4001" s="0" t="s">
        <v>13381</v>
      </c>
      <c r="K4001" s="0" t="s">
        <v>13382</v>
      </c>
      <c r="L4001" s="0" t="str">
        <f aca="false">HYPERLINK("https://www.ncbi.nlm.nih.gov/nuccore/CP000304.1?report=graph&amp;tracks=[key:gene_model_track,Options:GeneOnly]&amp;mk=1149540:1149559|offset_11|444444,1149564:1149583|offset_35|444444,1149591:1149610|offset_62|00cc00,1149638:1149657|offset_109|444444&amp;v=1149339:1149857&amp;c=444444", "offset 62")</f>
        <v>offset 62</v>
      </c>
    </row>
    <row r="4002" customFormat="false" ht="12.8" hidden="false" customHeight="false" outlineLevel="0" collapsed="false">
      <c r="A4002" s="0" t="s">
        <v>12</v>
      </c>
      <c r="B4002" s="0" t="n">
        <v>1149637</v>
      </c>
      <c r="C4002" s="0" t="n">
        <v>1149657</v>
      </c>
      <c r="D4002" s="0" t="s">
        <v>13372</v>
      </c>
      <c r="E4002" s="0" t="s">
        <v>13373</v>
      </c>
      <c r="F4002" s="0" t="s">
        <v>15</v>
      </c>
      <c r="G4002" s="0" t="s">
        <v>16</v>
      </c>
      <c r="H4002" s="0" t="n">
        <v>109</v>
      </c>
      <c r="I4002" s="0" t="s">
        <v>13383</v>
      </c>
      <c r="J4002" s="0" t="s">
        <v>13384</v>
      </c>
      <c r="K4002" s="0" t="s">
        <v>13385</v>
      </c>
      <c r="L4002" s="0" t="str">
        <f aca="false">HYPERLINK("https://www.ncbi.nlm.nih.gov/nuccore/CP000304.1?report=graph&amp;tracks=[key:gene_model_track,Options:GeneOnly]&amp;mk=1149540:1149559|offset_11|444444,1149564:1149583|offset_35|444444,1149591:1149610|offset_62|444444,1149638:1149657|offset_109|00cc00&amp;v=1149339:1149857&amp;c=444444", "offset 109")</f>
        <v>offset 109</v>
      </c>
    </row>
    <row r="4003" customFormat="false" ht="12.8" hidden="false" customHeight="false" outlineLevel="0" collapsed="false">
      <c r="A4003" s="0" t="s">
        <v>12</v>
      </c>
      <c r="B4003" s="0" t="n">
        <v>1150011</v>
      </c>
      <c r="C4003" s="0" t="n">
        <v>1150031</v>
      </c>
      <c r="D4003" s="0" t="s">
        <v>13386</v>
      </c>
      <c r="E4003" s="0" t="s">
        <v>13387</v>
      </c>
      <c r="F4003" s="0" t="s">
        <v>15</v>
      </c>
      <c r="G4003" s="0" t="s">
        <v>36</v>
      </c>
      <c r="H4003" s="0" t="n">
        <v>13</v>
      </c>
      <c r="I4003" s="0" t="s">
        <v>13388</v>
      </c>
      <c r="J4003" s="0" t="s">
        <v>13389</v>
      </c>
      <c r="K4003" s="0" t="s">
        <v>13390</v>
      </c>
      <c r="L4003" s="0" t="str">
        <f aca="false">HYPERLINK("https://www.ncbi.nlm.nih.gov/nuccore/CP000304.1?report=graph&amp;tracks=[key:gene_model_track,Options:GeneOnly]&amp;mk=1150012:1150031|offset_13|00cc00,1150042:1150061|offset_43|444444,1150066:1150085|offset_67|444444,1150091:1150110|offset_92|444444&amp;v=1149811:1150310&amp;c=444444", "offset 13")</f>
        <v>offset 13</v>
      </c>
    </row>
    <row r="4004" customFormat="false" ht="12.8" hidden="false" customHeight="false" outlineLevel="0" collapsed="false">
      <c r="A4004" s="0" t="s">
        <v>12</v>
      </c>
      <c r="B4004" s="0" t="n">
        <v>1150041</v>
      </c>
      <c r="C4004" s="0" t="n">
        <v>1150061</v>
      </c>
      <c r="D4004" s="0" t="s">
        <v>13386</v>
      </c>
      <c r="E4004" s="0" t="s">
        <v>13387</v>
      </c>
      <c r="F4004" s="0" t="s">
        <v>15</v>
      </c>
      <c r="G4004" s="0" t="s">
        <v>16</v>
      </c>
      <c r="H4004" s="0" t="n">
        <v>43</v>
      </c>
      <c r="I4004" s="0" t="s">
        <v>13391</v>
      </c>
      <c r="J4004" s="0" t="s">
        <v>13392</v>
      </c>
      <c r="K4004" s="0" t="s">
        <v>13393</v>
      </c>
      <c r="L4004" s="0" t="str">
        <f aca="false">HYPERLINK("https://www.ncbi.nlm.nih.gov/nuccore/CP000304.1?report=graph&amp;tracks=[key:gene_model_track,Options:GeneOnly]&amp;mk=1150012:1150031|offset_13|444444,1150042:1150061|offset_43|00cc00,1150066:1150085|offset_67|444444,1150091:1150110|offset_92|444444&amp;v=1149811:1150310&amp;c=444444", "offset 43")</f>
        <v>offset 43</v>
      </c>
    </row>
    <row r="4005" customFormat="false" ht="12.8" hidden="false" customHeight="false" outlineLevel="0" collapsed="false">
      <c r="A4005" s="0" t="s">
        <v>12</v>
      </c>
      <c r="B4005" s="0" t="n">
        <v>1150065</v>
      </c>
      <c r="C4005" s="0" t="n">
        <v>1150085</v>
      </c>
      <c r="D4005" s="0" t="s">
        <v>13386</v>
      </c>
      <c r="E4005" s="0" t="s">
        <v>13387</v>
      </c>
      <c r="F4005" s="0" t="s">
        <v>15</v>
      </c>
      <c r="G4005" s="0" t="s">
        <v>16</v>
      </c>
      <c r="H4005" s="0" t="n">
        <v>67</v>
      </c>
      <c r="I4005" s="0" t="s">
        <v>13394</v>
      </c>
      <c r="J4005" s="0" t="s">
        <v>13395</v>
      </c>
      <c r="K4005" s="0" t="s">
        <v>13396</v>
      </c>
      <c r="L4005" s="0" t="str">
        <f aca="false">HYPERLINK("https://www.ncbi.nlm.nih.gov/nuccore/CP000304.1?report=graph&amp;tracks=[key:gene_model_track,Options:GeneOnly]&amp;mk=1150012:1150031|offset_13|444444,1150042:1150061|offset_43|444444,1150066:1150085|offset_67|00cc00,1150091:1150110|offset_92|444444&amp;v=1149811:1150310&amp;c=444444", "offset 67")</f>
        <v>offset 67</v>
      </c>
    </row>
    <row r="4006" customFormat="false" ht="12.8" hidden="false" customHeight="false" outlineLevel="0" collapsed="false">
      <c r="A4006" s="0" t="s">
        <v>12</v>
      </c>
      <c r="B4006" s="0" t="n">
        <v>1150090</v>
      </c>
      <c r="C4006" s="0" t="n">
        <v>1150110</v>
      </c>
      <c r="D4006" s="0" t="s">
        <v>13386</v>
      </c>
      <c r="E4006" s="0" t="s">
        <v>13387</v>
      </c>
      <c r="F4006" s="0" t="s">
        <v>15</v>
      </c>
      <c r="G4006" s="0" t="s">
        <v>32</v>
      </c>
      <c r="H4006" s="0" t="n">
        <v>92</v>
      </c>
      <c r="I4006" s="0" t="s">
        <v>13397</v>
      </c>
      <c r="J4006" s="0" t="s">
        <v>13398</v>
      </c>
      <c r="K4006" s="0" t="s">
        <v>13399</v>
      </c>
      <c r="L4006" s="0" t="str">
        <f aca="false">HYPERLINK("https://www.ncbi.nlm.nih.gov/nuccore/CP000304.1?report=graph&amp;tracks=[key:gene_model_track,Options:GeneOnly]&amp;mk=1150012:1150031|offset_13|444444,1150042:1150061|offset_43|444444,1150066:1150085|offset_67|444444,1150091:1150110|offset_92|00cc00&amp;v=1149811:1150310&amp;c=444444", "offset 92")</f>
        <v>offset 92</v>
      </c>
    </row>
    <row r="4007" customFormat="false" ht="12.8" hidden="false" customHeight="false" outlineLevel="0" collapsed="false">
      <c r="A4007" s="0" t="s">
        <v>12</v>
      </c>
      <c r="B4007" s="0" t="n">
        <v>1150651</v>
      </c>
      <c r="C4007" s="0" t="n">
        <v>1150671</v>
      </c>
      <c r="D4007" s="0" t="s">
        <v>13400</v>
      </c>
      <c r="E4007" s="0" t="s">
        <v>13401</v>
      </c>
      <c r="F4007" s="0" t="s">
        <v>15</v>
      </c>
      <c r="G4007" s="0" t="s">
        <v>36</v>
      </c>
      <c r="H4007" s="0" t="n">
        <v>13</v>
      </c>
      <c r="I4007" s="0" t="s">
        <v>13402</v>
      </c>
      <c r="J4007" s="0" t="s">
        <v>13403</v>
      </c>
      <c r="K4007" s="0" t="s">
        <v>13404</v>
      </c>
      <c r="L4007" s="0" t="str">
        <f aca="false">HYPERLINK("https://www.ncbi.nlm.nih.gov/nuccore/CP000304.1?report=graph&amp;tracks=[key:gene_model_track,Options:GeneOnly]&amp;mk=1150652:1150671|offset_13|00cc00,1150707:1150726|offset_68|444444,1150751:1150770|offset_112|444444,1150799:1150818|offset_160|444444&amp;v=1150451:1151018&amp;c=444444", "offset 13")</f>
        <v>offset 13</v>
      </c>
    </row>
    <row r="4008" customFormat="false" ht="12.8" hidden="false" customHeight="false" outlineLevel="0" collapsed="false">
      <c r="A4008" s="0" t="s">
        <v>12</v>
      </c>
      <c r="B4008" s="0" t="n">
        <v>1150706</v>
      </c>
      <c r="C4008" s="0" t="n">
        <v>1150726</v>
      </c>
      <c r="D4008" s="0" t="s">
        <v>13400</v>
      </c>
      <c r="E4008" s="0" t="s">
        <v>13401</v>
      </c>
      <c r="F4008" s="0" t="s">
        <v>15</v>
      </c>
      <c r="G4008" s="0" t="s">
        <v>16</v>
      </c>
      <c r="H4008" s="0" t="n">
        <v>68</v>
      </c>
      <c r="I4008" s="0" t="s">
        <v>13405</v>
      </c>
      <c r="J4008" s="0" t="s">
        <v>13406</v>
      </c>
      <c r="K4008" s="0" t="s">
        <v>13407</v>
      </c>
      <c r="L4008" s="0" t="str">
        <f aca="false">HYPERLINK("https://www.ncbi.nlm.nih.gov/nuccore/CP000304.1?report=graph&amp;tracks=[key:gene_model_track,Options:GeneOnly]&amp;mk=1150652:1150671|offset_13|444444,1150707:1150726|offset_68|00cc00,1150751:1150770|offset_112|444444,1150799:1150818|offset_160|444444&amp;v=1150451:1151018&amp;c=444444", "offset 68")</f>
        <v>offset 68</v>
      </c>
    </row>
    <row r="4009" customFormat="false" ht="12.8" hidden="false" customHeight="false" outlineLevel="0" collapsed="false">
      <c r="A4009" s="0" t="s">
        <v>12</v>
      </c>
      <c r="B4009" s="0" t="n">
        <v>1150750</v>
      </c>
      <c r="C4009" s="0" t="n">
        <v>1150770</v>
      </c>
      <c r="D4009" s="0" t="s">
        <v>13400</v>
      </c>
      <c r="E4009" s="0" t="s">
        <v>13401</v>
      </c>
      <c r="F4009" s="0" t="s">
        <v>15</v>
      </c>
      <c r="G4009" s="0" t="s">
        <v>16</v>
      </c>
      <c r="H4009" s="0" t="n">
        <v>112</v>
      </c>
      <c r="I4009" s="0" t="s">
        <v>13408</v>
      </c>
      <c r="J4009" s="0" t="s">
        <v>13409</v>
      </c>
      <c r="K4009" s="0" t="s">
        <v>13410</v>
      </c>
      <c r="L4009" s="0" t="str">
        <f aca="false">HYPERLINK("https://www.ncbi.nlm.nih.gov/nuccore/CP000304.1?report=graph&amp;tracks=[key:gene_model_track,Options:GeneOnly]&amp;mk=1150652:1150671|offset_13|444444,1150707:1150726|offset_68|444444,1150751:1150770|offset_112|00cc00,1150799:1150818|offset_160|444444&amp;v=1150451:1151018&amp;c=444444", "offset 112")</f>
        <v>offset 112</v>
      </c>
    </row>
    <row r="4010" customFormat="false" ht="12.8" hidden="false" customHeight="false" outlineLevel="0" collapsed="false">
      <c r="A4010" s="0" t="s">
        <v>12</v>
      </c>
      <c r="B4010" s="0" t="n">
        <v>1150798</v>
      </c>
      <c r="C4010" s="0" t="n">
        <v>1150818</v>
      </c>
      <c r="D4010" s="0" t="s">
        <v>13400</v>
      </c>
      <c r="E4010" s="0" t="s">
        <v>13401</v>
      </c>
      <c r="F4010" s="0" t="s">
        <v>15</v>
      </c>
      <c r="G4010" s="0" t="s">
        <v>32</v>
      </c>
      <c r="H4010" s="0" t="n">
        <v>160</v>
      </c>
      <c r="I4010" s="0" t="s">
        <v>13411</v>
      </c>
      <c r="J4010" s="0" t="s">
        <v>13412</v>
      </c>
      <c r="K4010" s="0" t="s">
        <v>13413</v>
      </c>
      <c r="L4010" s="0" t="str">
        <f aca="false">HYPERLINK("https://www.ncbi.nlm.nih.gov/nuccore/CP000304.1?report=graph&amp;tracks=[key:gene_model_track,Options:GeneOnly]&amp;mk=1150652:1150671|offset_13|444444,1150707:1150726|offset_68|444444,1150751:1150770|offset_112|444444,1150799:1150818|offset_160|00cc00&amp;v=1150451:1151018&amp;c=444444", "offset 160")</f>
        <v>offset 160</v>
      </c>
    </row>
    <row r="4011" customFormat="false" ht="12.8" hidden="false" customHeight="false" outlineLevel="0" collapsed="false">
      <c r="A4011" s="0" t="s">
        <v>12</v>
      </c>
      <c r="B4011" s="0" t="n">
        <v>1151004</v>
      </c>
      <c r="C4011" s="0" t="n">
        <v>1151024</v>
      </c>
      <c r="D4011" s="0" t="s">
        <v>13414</v>
      </c>
      <c r="E4011" s="0" t="s">
        <v>89</v>
      </c>
      <c r="F4011" s="0" t="s">
        <v>15</v>
      </c>
      <c r="G4011" s="0" t="s">
        <v>26</v>
      </c>
      <c r="H4011" s="0" t="n">
        <v>38</v>
      </c>
      <c r="I4011" s="0" t="s">
        <v>13415</v>
      </c>
      <c r="J4011" s="0" t="s">
        <v>13416</v>
      </c>
      <c r="K4011" s="0" t="s">
        <v>13417</v>
      </c>
      <c r="L4011" s="0" t="str">
        <f aca="false">HYPERLINK("https://www.ncbi.nlm.nih.gov/nuccore/CP000304.1?report=graph&amp;tracks=[key:gene_model_track,Options:GeneOnly]&amp;mk=1151005:1151024|offset_38|00cc00,1151025:1151044|offset_58|444444,1151082:1151101|offset_115|444444,1151134:1151153|offset_167|444444&amp;v=1150804:1151353&amp;c=444444", "offset 38")</f>
        <v>offset 38</v>
      </c>
    </row>
    <row r="4012" customFormat="false" ht="12.8" hidden="false" customHeight="false" outlineLevel="0" collapsed="false">
      <c r="A4012" s="0" t="s">
        <v>12</v>
      </c>
      <c r="B4012" s="0" t="n">
        <v>1151024</v>
      </c>
      <c r="C4012" s="0" t="n">
        <v>1151044</v>
      </c>
      <c r="D4012" s="0" t="s">
        <v>13414</v>
      </c>
      <c r="E4012" s="0" t="s">
        <v>89</v>
      </c>
      <c r="F4012" s="0" t="s">
        <v>15</v>
      </c>
      <c r="G4012" s="0" t="s">
        <v>36</v>
      </c>
      <c r="H4012" s="0" t="n">
        <v>58</v>
      </c>
      <c r="I4012" s="0" t="s">
        <v>13418</v>
      </c>
      <c r="J4012" s="0" t="s">
        <v>13419</v>
      </c>
      <c r="K4012" s="0" t="s">
        <v>13420</v>
      </c>
      <c r="L4012" s="0" t="str">
        <f aca="false">HYPERLINK("https://www.ncbi.nlm.nih.gov/nuccore/CP000304.1?report=graph&amp;tracks=[key:gene_model_track,Options:GeneOnly]&amp;mk=1151005:1151024|offset_38|444444,1151025:1151044|offset_58|00cc00,1151082:1151101|offset_115|444444,1151134:1151153|offset_167|444444&amp;v=1150804:1151353&amp;c=444444", "offset 58")</f>
        <v>offset 58</v>
      </c>
    </row>
    <row r="4013" customFormat="false" ht="12.8" hidden="false" customHeight="false" outlineLevel="0" collapsed="false">
      <c r="A4013" s="0" t="s">
        <v>12</v>
      </c>
      <c r="B4013" s="0" t="n">
        <v>1151081</v>
      </c>
      <c r="C4013" s="0" t="n">
        <v>1151101</v>
      </c>
      <c r="D4013" s="0" t="s">
        <v>13414</v>
      </c>
      <c r="E4013" s="0" t="s">
        <v>89</v>
      </c>
      <c r="F4013" s="0" t="s">
        <v>15</v>
      </c>
      <c r="G4013" s="0" t="s">
        <v>16</v>
      </c>
      <c r="H4013" s="0" t="n">
        <v>115</v>
      </c>
      <c r="I4013" s="0" t="s">
        <v>13421</v>
      </c>
      <c r="J4013" s="0" t="s">
        <v>13422</v>
      </c>
      <c r="K4013" s="0" t="s">
        <v>13423</v>
      </c>
      <c r="L4013" s="0" t="str">
        <f aca="false">HYPERLINK("https://www.ncbi.nlm.nih.gov/nuccore/CP000304.1?report=graph&amp;tracks=[key:gene_model_track,Options:GeneOnly]&amp;mk=1151005:1151024|offset_38|444444,1151025:1151044|offset_58|444444,1151082:1151101|offset_115|00cc00,1151134:1151153|offset_167|444444&amp;v=1150804:1151353&amp;c=444444", "offset 115")</f>
        <v>offset 115</v>
      </c>
    </row>
    <row r="4014" customFormat="false" ht="12.8" hidden="false" customHeight="false" outlineLevel="0" collapsed="false">
      <c r="A4014" s="0" t="s">
        <v>12</v>
      </c>
      <c r="B4014" s="0" t="n">
        <v>1151133</v>
      </c>
      <c r="C4014" s="0" t="n">
        <v>1151153</v>
      </c>
      <c r="D4014" s="0" t="s">
        <v>13414</v>
      </c>
      <c r="E4014" s="0" t="s">
        <v>89</v>
      </c>
      <c r="F4014" s="0" t="s">
        <v>15</v>
      </c>
      <c r="G4014" s="0" t="s">
        <v>32</v>
      </c>
      <c r="H4014" s="0" t="n">
        <v>167</v>
      </c>
      <c r="I4014" s="0" t="s">
        <v>13424</v>
      </c>
      <c r="J4014" s="0" t="s">
        <v>13425</v>
      </c>
      <c r="K4014" s="0" t="s">
        <v>13426</v>
      </c>
      <c r="L4014" s="0" t="str">
        <f aca="false">HYPERLINK("https://www.ncbi.nlm.nih.gov/nuccore/CP000304.1?report=graph&amp;tracks=[key:gene_model_track,Options:GeneOnly]&amp;mk=1151005:1151024|offset_38|444444,1151025:1151044|offset_58|444444,1151082:1151101|offset_115|444444,1151134:1151153|offset_167|00cc00&amp;v=1150804:1151353&amp;c=444444", "offset 167")</f>
        <v>offset 167</v>
      </c>
    </row>
    <row r="4015" customFormat="false" ht="12.8" hidden="false" customHeight="false" outlineLevel="0" collapsed="false">
      <c r="A4015" s="0" t="s">
        <v>12</v>
      </c>
      <c r="B4015" s="0" t="n">
        <v>1151559</v>
      </c>
      <c r="C4015" s="0" t="n">
        <v>1151579</v>
      </c>
      <c r="D4015" s="0" t="s">
        <v>13427</v>
      </c>
      <c r="E4015" s="0" t="s">
        <v>13428</v>
      </c>
      <c r="F4015" s="0" t="s">
        <v>15</v>
      </c>
      <c r="G4015" s="0" t="s">
        <v>36</v>
      </c>
      <c r="H4015" s="0" t="n">
        <v>10</v>
      </c>
      <c r="I4015" s="0" t="s">
        <v>13429</v>
      </c>
      <c r="J4015" s="0" t="s">
        <v>13430</v>
      </c>
      <c r="K4015" s="0" t="s">
        <v>13431</v>
      </c>
      <c r="L4015" s="0" t="str">
        <f aca="false">HYPERLINK("https://www.ncbi.nlm.nih.gov/nuccore/CP000304.1?report=graph&amp;tracks=[key:gene_model_track,Options:GeneOnly]&amp;mk=1151560:1151579|offset_10|00cc00,1151595:1151614|offset_45|444444,1151636:1151655|offset_86|444444,1151665:1151684|offset_115|444444&amp;v=1151359:1151884&amp;c=444444", "offset 10")</f>
        <v>offset 10</v>
      </c>
    </row>
    <row r="4016" customFormat="false" ht="12.8" hidden="false" customHeight="false" outlineLevel="0" collapsed="false">
      <c r="A4016" s="0" t="s">
        <v>12</v>
      </c>
      <c r="B4016" s="0" t="n">
        <v>1151594</v>
      </c>
      <c r="C4016" s="0" t="n">
        <v>1151614</v>
      </c>
      <c r="D4016" s="0" t="s">
        <v>13427</v>
      </c>
      <c r="E4016" s="0" t="s">
        <v>13428</v>
      </c>
      <c r="F4016" s="0" t="s">
        <v>15</v>
      </c>
      <c r="G4016" s="0" t="s">
        <v>16</v>
      </c>
      <c r="H4016" s="0" t="n">
        <v>45</v>
      </c>
      <c r="I4016" s="0" t="s">
        <v>13432</v>
      </c>
      <c r="J4016" s="0" t="s">
        <v>13433</v>
      </c>
      <c r="K4016" s="0" t="s">
        <v>13434</v>
      </c>
      <c r="L4016" s="0" t="str">
        <f aca="false">HYPERLINK("https://www.ncbi.nlm.nih.gov/nuccore/CP000304.1?report=graph&amp;tracks=[key:gene_model_track,Options:GeneOnly]&amp;mk=1151560:1151579|offset_10|444444,1151595:1151614|offset_45|00cc00,1151636:1151655|offset_86|444444,1151665:1151684|offset_115|444444&amp;v=1151359:1151884&amp;c=444444", "offset 45")</f>
        <v>offset 45</v>
      </c>
    </row>
    <row r="4017" customFormat="false" ht="12.8" hidden="false" customHeight="false" outlineLevel="0" collapsed="false">
      <c r="A4017" s="0" t="s">
        <v>12</v>
      </c>
      <c r="B4017" s="0" t="n">
        <v>1151635</v>
      </c>
      <c r="C4017" s="0" t="n">
        <v>1151655</v>
      </c>
      <c r="D4017" s="0" t="s">
        <v>13427</v>
      </c>
      <c r="E4017" s="0" t="s">
        <v>13428</v>
      </c>
      <c r="F4017" s="0" t="s">
        <v>15</v>
      </c>
      <c r="G4017" s="0" t="s">
        <v>32</v>
      </c>
      <c r="H4017" s="0" t="n">
        <v>86</v>
      </c>
      <c r="I4017" s="0" t="s">
        <v>13435</v>
      </c>
      <c r="J4017" s="0" t="s">
        <v>13436</v>
      </c>
      <c r="K4017" s="0" t="s">
        <v>13437</v>
      </c>
      <c r="L4017" s="0" t="str">
        <f aca="false">HYPERLINK("https://www.ncbi.nlm.nih.gov/nuccore/CP000304.1?report=graph&amp;tracks=[key:gene_model_track,Options:GeneOnly]&amp;mk=1151560:1151579|offset_10|444444,1151595:1151614|offset_45|444444,1151636:1151655|offset_86|00cc00,1151665:1151684|offset_115|444444&amp;v=1151359:1151884&amp;c=444444", "offset 86")</f>
        <v>offset 86</v>
      </c>
    </row>
    <row r="4018" customFormat="false" ht="12.8" hidden="false" customHeight="false" outlineLevel="0" collapsed="false">
      <c r="A4018" s="0" t="s">
        <v>12</v>
      </c>
      <c r="B4018" s="0" t="n">
        <v>1151664</v>
      </c>
      <c r="C4018" s="0" t="n">
        <v>1151684</v>
      </c>
      <c r="D4018" s="0" t="s">
        <v>13427</v>
      </c>
      <c r="E4018" s="0" t="s">
        <v>13428</v>
      </c>
      <c r="F4018" s="0" t="s">
        <v>15</v>
      </c>
      <c r="G4018" s="0" t="s">
        <v>16</v>
      </c>
      <c r="H4018" s="0" t="n">
        <v>115</v>
      </c>
      <c r="I4018" s="0" t="s">
        <v>13438</v>
      </c>
      <c r="J4018" s="0" t="s">
        <v>13439</v>
      </c>
      <c r="K4018" s="0" t="s">
        <v>13440</v>
      </c>
      <c r="L4018" s="0" t="str">
        <f aca="false">HYPERLINK("https://www.ncbi.nlm.nih.gov/nuccore/CP000304.1?report=graph&amp;tracks=[key:gene_model_track,Options:GeneOnly]&amp;mk=1151560:1151579|offset_10|444444,1151595:1151614|offset_45|444444,1151636:1151655|offset_86|444444,1151665:1151684|offset_115|00cc00&amp;v=1151359:1151884&amp;c=444444", "offset 115")</f>
        <v>offset 115</v>
      </c>
    </row>
    <row r="4019" customFormat="false" ht="12.8" hidden="false" customHeight="false" outlineLevel="0" collapsed="false">
      <c r="A4019" s="0" t="s">
        <v>12</v>
      </c>
      <c r="B4019" s="0" t="n">
        <v>1151893</v>
      </c>
      <c r="C4019" s="0" t="n">
        <v>1151913</v>
      </c>
      <c r="D4019" s="0" t="s">
        <v>13441</v>
      </c>
      <c r="E4019" s="0" t="s">
        <v>13442</v>
      </c>
      <c r="F4019" s="0" t="s">
        <v>15</v>
      </c>
      <c r="G4019" s="0" t="s">
        <v>32</v>
      </c>
      <c r="H4019" s="0" t="n">
        <v>1</v>
      </c>
      <c r="I4019" s="0" t="s">
        <v>13443</v>
      </c>
      <c r="J4019" s="0" t="s">
        <v>13444</v>
      </c>
      <c r="K4019" s="0" t="s">
        <v>13445</v>
      </c>
      <c r="L4019" s="0" t="str">
        <f aca="false">HYPERLINK("https://www.ncbi.nlm.nih.gov/nuccore/CP000304.1?report=graph&amp;tracks=[key:gene_model_track,Options:GeneOnly]&amp;mk=1151894:1151913|offset_1|00cc00,1151915:1151934|offset_22|444444,1151966:1151985|offset_73|444444,1151987:1152006|offset_94|444444&amp;v=1151693:1152206&amp;c=444444", "offset 1")</f>
        <v>offset 1</v>
      </c>
    </row>
    <row r="4020" customFormat="false" ht="12.8" hidden="false" customHeight="false" outlineLevel="0" collapsed="false">
      <c r="A4020" s="0" t="s">
        <v>12</v>
      </c>
      <c r="B4020" s="0" t="n">
        <v>1151914</v>
      </c>
      <c r="C4020" s="0" t="n">
        <v>1151934</v>
      </c>
      <c r="D4020" s="0" t="s">
        <v>13441</v>
      </c>
      <c r="E4020" s="0" t="s">
        <v>13442</v>
      </c>
      <c r="F4020" s="0" t="s">
        <v>15</v>
      </c>
      <c r="G4020" s="0" t="s">
        <v>16</v>
      </c>
      <c r="H4020" s="0" t="n">
        <v>22</v>
      </c>
      <c r="I4020" s="0" t="s">
        <v>13446</v>
      </c>
      <c r="J4020" s="0" t="s">
        <v>13447</v>
      </c>
      <c r="K4020" s="0" t="s">
        <v>13448</v>
      </c>
      <c r="L4020" s="0" t="str">
        <f aca="false">HYPERLINK("https://www.ncbi.nlm.nih.gov/nuccore/CP000304.1?report=graph&amp;tracks=[key:gene_model_track,Options:GeneOnly]&amp;mk=1151894:1151913|offset_1|444444,1151915:1151934|offset_22|00cc00,1151966:1151985|offset_73|444444,1151987:1152006|offset_94|444444&amp;v=1151693:1152206&amp;c=444444", "offset 22")</f>
        <v>offset 22</v>
      </c>
    </row>
    <row r="4021" customFormat="false" ht="12.8" hidden="false" customHeight="false" outlineLevel="0" collapsed="false">
      <c r="A4021" s="0" t="s">
        <v>12</v>
      </c>
      <c r="B4021" s="0" t="n">
        <v>1151965</v>
      </c>
      <c r="C4021" s="0" t="n">
        <v>1151985</v>
      </c>
      <c r="D4021" s="0" t="s">
        <v>13441</v>
      </c>
      <c r="E4021" s="0" t="s">
        <v>13442</v>
      </c>
      <c r="F4021" s="0" t="s">
        <v>15</v>
      </c>
      <c r="G4021" s="0" t="s">
        <v>16</v>
      </c>
      <c r="H4021" s="0" t="n">
        <v>73</v>
      </c>
      <c r="I4021" s="0" t="s">
        <v>13449</v>
      </c>
      <c r="J4021" s="0" t="s">
        <v>13450</v>
      </c>
      <c r="K4021" s="0" t="s">
        <v>13451</v>
      </c>
      <c r="L4021" s="0" t="str">
        <f aca="false">HYPERLINK("https://www.ncbi.nlm.nih.gov/nuccore/CP000304.1?report=graph&amp;tracks=[key:gene_model_track,Options:GeneOnly]&amp;mk=1151894:1151913|offset_1|444444,1151915:1151934|offset_22|444444,1151966:1151985|offset_73|00cc00,1151987:1152006|offset_94|444444&amp;v=1151693:1152206&amp;c=444444", "offset 73")</f>
        <v>offset 73</v>
      </c>
    </row>
    <row r="4022" customFormat="false" ht="12.8" hidden="false" customHeight="false" outlineLevel="0" collapsed="false">
      <c r="A4022" s="0" t="s">
        <v>12</v>
      </c>
      <c r="B4022" s="0" t="n">
        <v>1151986</v>
      </c>
      <c r="C4022" s="0" t="n">
        <v>1152006</v>
      </c>
      <c r="D4022" s="0" t="s">
        <v>13441</v>
      </c>
      <c r="E4022" s="0" t="s">
        <v>13442</v>
      </c>
      <c r="F4022" s="0" t="s">
        <v>15</v>
      </c>
      <c r="G4022" s="0" t="s">
        <v>32</v>
      </c>
      <c r="H4022" s="0" t="n">
        <v>94</v>
      </c>
      <c r="I4022" s="0" t="s">
        <v>13452</v>
      </c>
      <c r="J4022" s="0" t="s">
        <v>13453</v>
      </c>
      <c r="K4022" s="0" t="s">
        <v>13454</v>
      </c>
      <c r="L4022" s="0" t="str">
        <f aca="false">HYPERLINK("https://www.ncbi.nlm.nih.gov/nuccore/CP000304.1?report=graph&amp;tracks=[key:gene_model_track,Options:GeneOnly]&amp;mk=1151894:1151913|offset_1|444444,1151915:1151934|offset_22|444444,1151966:1151985|offset_73|444444,1151987:1152006|offset_94|00cc00&amp;v=1151693:1152206&amp;c=444444", "offset 94")</f>
        <v>offset 94</v>
      </c>
    </row>
    <row r="4023" customFormat="false" ht="12.8" hidden="false" customHeight="false" outlineLevel="0" collapsed="false">
      <c r="A4023" s="0" t="s">
        <v>12</v>
      </c>
      <c r="B4023" s="0" t="n">
        <v>1153281</v>
      </c>
      <c r="C4023" s="0" t="n">
        <v>1153301</v>
      </c>
      <c r="D4023" s="0" t="s">
        <v>13455</v>
      </c>
      <c r="E4023" s="0" t="s">
        <v>13456</v>
      </c>
      <c r="F4023" s="0" t="s">
        <v>15</v>
      </c>
      <c r="G4023" s="0" t="s">
        <v>26</v>
      </c>
      <c r="H4023" s="0" t="n">
        <v>0</v>
      </c>
      <c r="I4023" s="0" t="s">
        <v>13457</v>
      </c>
      <c r="J4023" s="0" t="s">
        <v>13458</v>
      </c>
      <c r="K4023" s="0" t="s">
        <v>13459</v>
      </c>
      <c r="L4023" s="0" t="str">
        <f aca="false">HYPERLINK("https://www.ncbi.nlm.nih.gov/nuccore/CP000304.1?report=graph&amp;tracks=[key:gene_model_track,Options:GeneOnly]&amp;mk=1153282:1153301|offset_0|00cc00,1153313:1153332|offset_31|444444,1153340:1153359|offset_58|444444,1153360:1153379|offset_78|444444&amp;v=1153081:1153579&amp;c=444444", "offset 0")</f>
        <v>offset 0</v>
      </c>
    </row>
    <row r="4024" customFormat="false" ht="12.8" hidden="false" customHeight="false" outlineLevel="0" collapsed="false">
      <c r="A4024" s="0" t="s">
        <v>12</v>
      </c>
      <c r="B4024" s="0" t="n">
        <v>1153312</v>
      </c>
      <c r="C4024" s="0" t="n">
        <v>1153332</v>
      </c>
      <c r="D4024" s="0" t="s">
        <v>13455</v>
      </c>
      <c r="E4024" s="0" t="s">
        <v>13456</v>
      </c>
      <c r="F4024" s="0" t="s">
        <v>15</v>
      </c>
      <c r="G4024" s="0" t="s">
        <v>26</v>
      </c>
      <c r="H4024" s="0" t="n">
        <v>31</v>
      </c>
      <c r="I4024" s="0" t="s">
        <v>13460</v>
      </c>
      <c r="J4024" s="0" t="s">
        <v>13461</v>
      </c>
      <c r="K4024" s="0" t="s">
        <v>13462</v>
      </c>
      <c r="L4024" s="0" t="str">
        <f aca="false">HYPERLINK("https://www.ncbi.nlm.nih.gov/nuccore/CP000304.1?report=graph&amp;tracks=[key:gene_model_track,Options:GeneOnly]&amp;mk=1153282:1153301|offset_0|444444,1153313:1153332|offset_31|00cc00,1153340:1153359|offset_58|444444,1153360:1153379|offset_78|444444&amp;v=1153081:1153579&amp;c=444444", "offset 31")</f>
        <v>offset 31</v>
      </c>
    </row>
    <row r="4025" customFormat="false" ht="12.8" hidden="false" customHeight="false" outlineLevel="0" collapsed="false">
      <c r="A4025" s="0" t="s">
        <v>12</v>
      </c>
      <c r="B4025" s="0" t="n">
        <v>1153339</v>
      </c>
      <c r="C4025" s="0" t="n">
        <v>1153359</v>
      </c>
      <c r="D4025" s="0" t="s">
        <v>13455</v>
      </c>
      <c r="E4025" s="0" t="s">
        <v>13456</v>
      </c>
      <c r="F4025" s="0" t="s">
        <v>15</v>
      </c>
      <c r="G4025" s="0" t="s">
        <v>16</v>
      </c>
      <c r="H4025" s="0" t="n">
        <v>58</v>
      </c>
      <c r="I4025" s="0" t="s">
        <v>13463</v>
      </c>
      <c r="J4025" s="0" t="s">
        <v>13464</v>
      </c>
      <c r="K4025" s="0" t="s">
        <v>13465</v>
      </c>
      <c r="L4025" s="0" t="str">
        <f aca="false">HYPERLINK("https://www.ncbi.nlm.nih.gov/nuccore/CP000304.1?report=graph&amp;tracks=[key:gene_model_track,Options:GeneOnly]&amp;mk=1153282:1153301|offset_0|444444,1153313:1153332|offset_31|444444,1153340:1153359|offset_58|00cc00,1153360:1153379|offset_78|444444&amp;v=1153081:1153579&amp;c=444444", "offset 58")</f>
        <v>offset 58</v>
      </c>
    </row>
    <row r="4026" customFormat="false" ht="12.8" hidden="false" customHeight="false" outlineLevel="0" collapsed="false">
      <c r="A4026" s="0" t="s">
        <v>12</v>
      </c>
      <c r="B4026" s="0" t="n">
        <v>1153359</v>
      </c>
      <c r="C4026" s="0" t="n">
        <v>1153379</v>
      </c>
      <c r="D4026" s="0" t="s">
        <v>13455</v>
      </c>
      <c r="E4026" s="0" t="s">
        <v>13456</v>
      </c>
      <c r="F4026" s="0" t="s">
        <v>15</v>
      </c>
      <c r="G4026" s="0" t="s">
        <v>32</v>
      </c>
      <c r="H4026" s="0" t="n">
        <v>78</v>
      </c>
      <c r="I4026" s="0" t="s">
        <v>13466</v>
      </c>
      <c r="J4026" s="0" t="s">
        <v>13467</v>
      </c>
      <c r="K4026" s="0" t="s">
        <v>13468</v>
      </c>
      <c r="L4026" s="0" t="str">
        <f aca="false">HYPERLINK("https://www.ncbi.nlm.nih.gov/nuccore/CP000304.1?report=graph&amp;tracks=[key:gene_model_track,Options:GeneOnly]&amp;mk=1153282:1153301|offset_0|444444,1153313:1153332|offset_31|444444,1153340:1153359|offset_58|444444,1153360:1153379|offset_78|00cc00&amp;v=1153081:1153579&amp;c=444444", "offset 78")</f>
        <v>offset 78</v>
      </c>
    </row>
    <row r="4027" customFormat="false" ht="12.8" hidden="false" customHeight="false" outlineLevel="0" collapsed="false">
      <c r="A4027" s="0" t="s">
        <v>12</v>
      </c>
      <c r="B4027" s="0" t="n">
        <v>1154321</v>
      </c>
      <c r="C4027" s="0" t="n">
        <v>1154341</v>
      </c>
      <c r="D4027" s="0" t="s">
        <v>13469</v>
      </c>
      <c r="E4027" s="0" t="s">
        <v>13470</v>
      </c>
      <c r="F4027" s="0" t="s">
        <v>15</v>
      </c>
      <c r="G4027" s="0" t="s">
        <v>32</v>
      </c>
      <c r="H4027" s="0" t="n">
        <v>1</v>
      </c>
      <c r="I4027" s="0" t="s">
        <v>13471</v>
      </c>
      <c r="J4027" s="0" t="s">
        <v>13472</v>
      </c>
      <c r="K4027" s="0" t="s">
        <v>13473</v>
      </c>
      <c r="L4027" s="0" t="str">
        <f aca="false">HYPERLINK("https://www.ncbi.nlm.nih.gov/nuccore/CP000304.1?report=graph&amp;tracks=[key:gene_model_track,Options:GeneOnly]&amp;mk=1154322:1154341|offset_1|00cc00,1154347:1154366|offset_26|444444,1154367:1154386|offset_46|444444,1154389:1154408|offset_68|444444&amp;v=1154121:1154608&amp;c=444444", "offset 1")</f>
        <v>offset 1</v>
      </c>
    </row>
    <row r="4028" customFormat="false" ht="12.8" hidden="false" customHeight="false" outlineLevel="0" collapsed="false">
      <c r="A4028" s="0" t="s">
        <v>12</v>
      </c>
      <c r="B4028" s="0" t="n">
        <v>1154346</v>
      </c>
      <c r="C4028" s="0" t="n">
        <v>1154366</v>
      </c>
      <c r="D4028" s="0" t="s">
        <v>13469</v>
      </c>
      <c r="E4028" s="0" t="s">
        <v>13470</v>
      </c>
      <c r="F4028" s="0" t="s">
        <v>15</v>
      </c>
      <c r="G4028" s="0" t="s">
        <v>16</v>
      </c>
      <c r="H4028" s="0" t="n">
        <v>26</v>
      </c>
      <c r="I4028" s="0" t="s">
        <v>13474</v>
      </c>
      <c r="J4028" s="0" t="s">
        <v>13475</v>
      </c>
      <c r="K4028" s="0" t="s">
        <v>13476</v>
      </c>
      <c r="L4028" s="0" t="str">
        <f aca="false">HYPERLINK("https://www.ncbi.nlm.nih.gov/nuccore/CP000304.1?report=graph&amp;tracks=[key:gene_model_track,Options:GeneOnly]&amp;mk=1154322:1154341|offset_1|444444,1154347:1154366|offset_26|00cc00,1154367:1154386|offset_46|444444,1154389:1154408|offset_68|444444&amp;v=1154121:1154608&amp;c=444444", "offset 26")</f>
        <v>offset 26</v>
      </c>
    </row>
    <row r="4029" customFormat="false" ht="12.8" hidden="false" customHeight="false" outlineLevel="0" collapsed="false">
      <c r="A4029" s="0" t="s">
        <v>12</v>
      </c>
      <c r="B4029" s="0" t="n">
        <v>1154366</v>
      </c>
      <c r="C4029" s="0" t="n">
        <v>1154386</v>
      </c>
      <c r="D4029" s="0" t="s">
        <v>13469</v>
      </c>
      <c r="E4029" s="0" t="s">
        <v>13470</v>
      </c>
      <c r="F4029" s="0" t="s">
        <v>15</v>
      </c>
      <c r="G4029" s="0" t="s">
        <v>16</v>
      </c>
      <c r="H4029" s="0" t="n">
        <v>46</v>
      </c>
      <c r="I4029" s="0" t="s">
        <v>13477</v>
      </c>
      <c r="J4029" s="0" t="s">
        <v>13478</v>
      </c>
      <c r="K4029" s="0" t="s">
        <v>13479</v>
      </c>
      <c r="L4029" s="0" t="str">
        <f aca="false">HYPERLINK("https://www.ncbi.nlm.nih.gov/nuccore/CP000304.1?report=graph&amp;tracks=[key:gene_model_track,Options:GeneOnly]&amp;mk=1154322:1154341|offset_1|444444,1154347:1154366|offset_26|444444,1154367:1154386|offset_46|00cc00,1154389:1154408|offset_68|444444&amp;v=1154121:1154608&amp;c=444444", "offset 46")</f>
        <v>offset 46</v>
      </c>
    </row>
    <row r="4030" customFormat="false" ht="12.8" hidden="false" customHeight="false" outlineLevel="0" collapsed="false">
      <c r="A4030" s="0" t="s">
        <v>12</v>
      </c>
      <c r="B4030" s="0" t="n">
        <v>1154388</v>
      </c>
      <c r="C4030" s="0" t="n">
        <v>1154408</v>
      </c>
      <c r="D4030" s="0" t="s">
        <v>13469</v>
      </c>
      <c r="E4030" s="0" t="s">
        <v>13470</v>
      </c>
      <c r="F4030" s="0" t="s">
        <v>15</v>
      </c>
      <c r="G4030" s="0" t="s">
        <v>32</v>
      </c>
      <c r="H4030" s="0" t="n">
        <v>68</v>
      </c>
      <c r="I4030" s="0" t="s">
        <v>13480</v>
      </c>
      <c r="J4030" s="0" t="s">
        <v>13481</v>
      </c>
      <c r="K4030" s="0" t="s">
        <v>13482</v>
      </c>
      <c r="L4030" s="0" t="str">
        <f aca="false">HYPERLINK("https://www.ncbi.nlm.nih.gov/nuccore/CP000304.1?report=graph&amp;tracks=[key:gene_model_track,Options:GeneOnly]&amp;mk=1154322:1154341|offset_1|444444,1154347:1154366|offset_26|444444,1154367:1154386|offset_46|444444,1154389:1154408|offset_68|00cc00&amp;v=1154121:1154608&amp;c=444444", "offset 68")</f>
        <v>offset 68</v>
      </c>
    </row>
    <row r="4031" customFormat="false" ht="12.8" hidden="false" customHeight="false" outlineLevel="0" collapsed="false">
      <c r="A4031" s="0" t="s">
        <v>12</v>
      </c>
      <c r="B4031" s="0" t="n">
        <v>1155760</v>
      </c>
      <c r="C4031" s="0" t="n">
        <v>1155780</v>
      </c>
      <c r="D4031" s="0" t="s">
        <v>13483</v>
      </c>
      <c r="E4031" s="0" t="s">
        <v>13484</v>
      </c>
      <c r="F4031" s="0" t="s">
        <v>15</v>
      </c>
      <c r="G4031" s="0" t="s">
        <v>36</v>
      </c>
      <c r="H4031" s="0" t="n">
        <v>20</v>
      </c>
      <c r="I4031" s="0" t="s">
        <v>13485</v>
      </c>
      <c r="J4031" s="0" t="s">
        <v>13486</v>
      </c>
      <c r="K4031" s="0" t="s">
        <v>13487</v>
      </c>
      <c r="L4031" s="0" t="str">
        <f aca="false">HYPERLINK("https://www.ncbi.nlm.nih.gov/nuccore/CP000304.1?report=graph&amp;tracks=[key:gene_model_track,Options:GeneOnly]&amp;mk=1155761:1155780|offset_20|00cc00,1155783:1155802|offset_42|444444,1155804:1155823|offset_63|444444,1155835:1155854|offset_94|444444&amp;v=1155560:1156054&amp;c=444444", "offset 20")</f>
        <v>offset 20</v>
      </c>
    </row>
    <row r="4032" customFormat="false" ht="12.8" hidden="false" customHeight="false" outlineLevel="0" collapsed="false">
      <c r="A4032" s="0" t="s">
        <v>12</v>
      </c>
      <c r="B4032" s="0" t="n">
        <v>1155782</v>
      </c>
      <c r="C4032" s="0" t="n">
        <v>1155802</v>
      </c>
      <c r="D4032" s="0" t="s">
        <v>13483</v>
      </c>
      <c r="E4032" s="0" t="s">
        <v>13484</v>
      </c>
      <c r="F4032" s="0" t="s">
        <v>15</v>
      </c>
      <c r="G4032" s="0" t="s">
        <v>36</v>
      </c>
      <c r="H4032" s="0" t="n">
        <v>42</v>
      </c>
      <c r="I4032" s="0" t="s">
        <v>13488</v>
      </c>
      <c r="J4032" s="0" t="s">
        <v>13489</v>
      </c>
      <c r="K4032" s="0" t="s">
        <v>13490</v>
      </c>
      <c r="L4032" s="0" t="str">
        <f aca="false">HYPERLINK("https://www.ncbi.nlm.nih.gov/nuccore/CP000304.1?report=graph&amp;tracks=[key:gene_model_track,Options:GeneOnly]&amp;mk=1155761:1155780|offset_20|444444,1155783:1155802|offset_42|00cc00,1155804:1155823|offset_63|444444,1155835:1155854|offset_94|444444&amp;v=1155560:1156054&amp;c=444444", "offset 42")</f>
        <v>offset 42</v>
      </c>
    </row>
    <row r="4033" customFormat="false" ht="12.8" hidden="false" customHeight="false" outlineLevel="0" collapsed="false">
      <c r="A4033" s="0" t="s">
        <v>12</v>
      </c>
      <c r="B4033" s="0" t="n">
        <v>1155803</v>
      </c>
      <c r="C4033" s="0" t="n">
        <v>1155823</v>
      </c>
      <c r="D4033" s="0" t="s">
        <v>13483</v>
      </c>
      <c r="E4033" s="0" t="s">
        <v>13484</v>
      </c>
      <c r="F4033" s="0" t="s">
        <v>15</v>
      </c>
      <c r="G4033" s="0" t="s">
        <v>36</v>
      </c>
      <c r="H4033" s="0" t="n">
        <v>63</v>
      </c>
      <c r="I4033" s="0" t="s">
        <v>13491</v>
      </c>
      <c r="J4033" s="0" t="s">
        <v>13492</v>
      </c>
      <c r="K4033" s="0" t="s">
        <v>13493</v>
      </c>
      <c r="L4033" s="0" t="str">
        <f aca="false">HYPERLINK("https://www.ncbi.nlm.nih.gov/nuccore/CP000304.1?report=graph&amp;tracks=[key:gene_model_track,Options:GeneOnly]&amp;mk=1155761:1155780|offset_20|444444,1155783:1155802|offset_42|444444,1155804:1155823|offset_63|00cc00,1155835:1155854|offset_94|444444&amp;v=1155560:1156054&amp;c=444444", "offset 63")</f>
        <v>offset 63</v>
      </c>
    </row>
    <row r="4034" customFormat="false" ht="12.8" hidden="false" customHeight="false" outlineLevel="0" collapsed="false">
      <c r="A4034" s="0" t="s">
        <v>12</v>
      </c>
      <c r="B4034" s="0" t="n">
        <v>1155834</v>
      </c>
      <c r="C4034" s="0" t="n">
        <v>1155854</v>
      </c>
      <c r="D4034" s="0" t="s">
        <v>13483</v>
      </c>
      <c r="E4034" s="0" t="s">
        <v>13484</v>
      </c>
      <c r="F4034" s="0" t="s">
        <v>15</v>
      </c>
      <c r="G4034" s="0" t="s">
        <v>32</v>
      </c>
      <c r="H4034" s="0" t="n">
        <v>94</v>
      </c>
      <c r="I4034" s="0" t="s">
        <v>13494</v>
      </c>
      <c r="J4034" s="0" t="s">
        <v>13495</v>
      </c>
      <c r="K4034" s="0" t="s">
        <v>13496</v>
      </c>
      <c r="L4034" s="0" t="str">
        <f aca="false">HYPERLINK("https://www.ncbi.nlm.nih.gov/nuccore/CP000304.1?report=graph&amp;tracks=[key:gene_model_track,Options:GeneOnly]&amp;mk=1155761:1155780|offset_20|444444,1155783:1155802|offset_42|444444,1155804:1155823|offset_63|444444,1155835:1155854|offset_94|00cc00&amp;v=1155560:1156054&amp;c=444444", "offset 94")</f>
        <v>offset 94</v>
      </c>
    </row>
    <row r="4035" customFormat="false" ht="12.8" hidden="false" customHeight="false" outlineLevel="0" collapsed="false">
      <c r="A4035" s="0" t="s">
        <v>12</v>
      </c>
      <c r="B4035" s="0" t="n">
        <v>1157952</v>
      </c>
      <c r="C4035" s="0" t="n">
        <v>1157972</v>
      </c>
      <c r="D4035" s="0" t="s">
        <v>13497</v>
      </c>
      <c r="E4035" s="0" t="s">
        <v>13498</v>
      </c>
      <c r="F4035" s="0" t="s">
        <v>90</v>
      </c>
      <c r="G4035" s="0" t="s">
        <v>36</v>
      </c>
      <c r="H4035" s="0" t="n">
        <v>13</v>
      </c>
      <c r="I4035" s="0" t="s">
        <v>13499</v>
      </c>
      <c r="J4035" s="0" t="s">
        <v>13500</v>
      </c>
      <c r="K4035" s="0" t="s">
        <v>13501</v>
      </c>
      <c r="L4035" s="0" t="str">
        <f aca="false">HYPERLINK("https://www.ncbi.nlm.nih.gov/nuccore/CP000304.1?report=graph&amp;tracks=[key:gene_model_track,Options:GeneOnly]&amp;mk=1157953:1157972|offset_13|00cc00,1157895:1157914|offset_71|444444,1157856:1157875|offset_110|444444,1157827:1157846|offset_139|444444&amp;v=1157752:1158046&amp;c=444444", "offset 13")</f>
        <v>offset 13</v>
      </c>
    </row>
    <row r="4036" customFormat="false" ht="12.8" hidden="false" customHeight="false" outlineLevel="0" collapsed="false">
      <c r="A4036" s="0" t="s">
        <v>12</v>
      </c>
      <c r="B4036" s="0" t="n">
        <v>1157894</v>
      </c>
      <c r="C4036" s="0" t="n">
        <v>1157914</v>
      </c>
      <c r="D4036" s="0" t="s">
        <v>13497</v>
      </c>
      <c r="E4036" s="0" t="s">
        <v>13498</v>
      </c>
      <c r="F4036" s="0" t="s">
        <v>90</v>
      </c>
      <c r="G4036" s="0" t="s">
        <v>32</v>
      </c>
      <c r="H4036" s="0" t="n">
        <v>71</v>
      </c>
      <c r="I4036" s="0" t="s">
        <v>13502</v>
      </c>
      <c r="J4036" s="0" t="s">
        <v>13503</v>
      </c>
      <c r="K4036" s="0" t="s">
        <v>13504</v>
      </c>
      <c r="L4036" s="0" t="str">
        <f aca="false">HYPERLINK("https://www.ncbi.nlm.nih.gov/nuccore/CP000304.1?report=graph&amp;tracks=[key:gene_model_track,Options:GeneOnly]&amp;mk=1157953:1157972|offset_13|444444,1157895:1157914|offset_71|00cc00,1157856:1157875|offset_110|444444,1157827:1157846|offset_139|444444&amp;v=1157752:1158046&amp;c=444444", "offset 71")</f>
        <v>offset 71</v>
      </c>
    </row>
    <row r="4037" customFormat="false" ht="12.8" hidden="false" customHeight="false" outlineLevel="0" collapsed="false">
      <c r="A4037" s="0" t="s">
        <v>12</v>
      </c>
      <c r="B4037" s="0" t="n">
        <v>1157855</v>
      </c>
      <c r="C4037" s="0" t="n">
        <v>1157875</v>
      </c>
      <c r="D4037" s="0" t="s">
        <v>13497</v>
      </c>
      <c r="E4037" s="0" t="s">
        <v>13498</v>
      </c>
      <c r="F4037" s="0" t="s">
        <v>90</v>
      </c>
      <c r="G4037" s="0" t="s">
        <v>26</v>
      </c>
      <c r="H4037" s="0" t="n">
        <v>110</v>
      </c>
      <c r="I4037" s="0" t="s">
        <v>13505</v>
      </c>
      <c r="J4037" s="0" t="s">
        <v>13506</v>
      </c>
      <c r="K4037" s="0" t="s">
        <v>13507</v>
      </c>
      <c r="L4037" s="0" t="str">
        <f aca="false">HYPERLINK("https://www.ncbi.nlm.nih.gov/nuccore/CP000304.1?report=graph&amp;tracks=[key:gene_model_track,Options:GeneOnly]&amp;mk=1157953:1157972|offset_13|444444,1157895:1157914|offset_71|444444,1157856:1157875|offset_110|00cc00,1157827:1157846|offset_139|444444&amp;v=1157752:1158046&amp;c=444444", "offset 110")</f>
        <v>offset 110</v>
      </c>
    </row>
    <row r="4038" customFormat="false" ht="12.8" hidden="false" customHeight="false" outlineLevel="0" collapsed="false">
      <c r="A4038" s="0" t="s">
        <v>12</v>
      </c>
      <c r="B4038" s="0" t="n">
        <v>1157826</v>
      </c>
      <c r="C4038" s="0" t="n">
        <v>1157846</v>
      </c>
      <c r="D4038" s="0" t="s">
        <v>13497</v>
      </c>
      <c r="E4038" s="0" t="s">
        <v>13498</v>
      </c>
      <c r="F4038" s="0" t="s">
        <v>90</v>
      </c>
      <c r="G4038" s="0" t="s">
        <v>16</v>
      </c>
      <c r="H4038" s="0" t="n">
        <v>139</v>
      </c>
      <c r="I4038" s="0" t="s">
        <v>13508</v>
      </c>
      <c r="J4038" s="0" t="s">
        <v>13509</v>
      </c>
      <c r="K4038" s="0" t="s">
        <v>13510</v>
      </c>
      <c r="L4038" s="0" t="str">
        <f aca="false">HYPERLINK("https://www.ncbi.nlm.nih.gov/nuccore/CP000304.1?report=graph&amp;tracks=[key:gene_model_track,Options:GeneOnly]&amp;mk=1157953:1157972|offset_13|444444,1157895:1157914|offset_71|444444,1157856:1157875|offset_110|444444,1157827:1157846|offset_139|00cc00&amp;v=1157752:1158046&amp;c=444444", "offset 139")</f>
        <v>offset 139</v>
      </c>
    </row>
    <row r="4039" customFormat="false" ht="12.8" hidden="false" customHeight="false" outlineLevel="0" collapsed="false">
      <c r="A4039" s="0" t="s">
        <v>12</v>
      </c>
      <c r="B4039" s="0" t="n">
        <v>1158138</v>
      </c>
      <c r="C4039" s="0" t="n">
        <v>1158158</v>
      </c>
      <c r="D4039" s="0" t="s">
        <v>13511</v>
      </c>
      <c r="E4039" s="0" t="s">
        <v>89</v>
      </c>
      <c r="F4039" s="0" t="s">
        <v>15</v>
      </c>
      <c r="G4039" s="0" t="s">
        <v>36</v>
      </c>
      <c r="H4039" s="0" t="n">
        <v>0</v>
      </c>
      <c r="I4039" s="0" t="s">
        <v>13512</v>
      </c>
      <c r="J4039" s="0" t="s">
        <v>13513</v>
      </c>
      <c r="K4039" s="0" t="s">
        <v>13514</v>
      </c>
      <c r="L4039" s="0" t="str">
        <f aca="false">HYPERLINK("https://www.ncbi.nlm.nih.gov/nuccore/CP000304.1?report=graph&amp;tracks=[key:gene_model_track,Options:GeneOnly]&amp;mk=1158139:1158158|offset_0|00cc00,1158161:1158180|offset_22|444444,1158194:1158213|offset_55|444444,1158216:1158235|offset_77|444444&amp;v=1157938:1158435&amp;c=444444", "offset 0")</f>
        <v>offset 0</v>
      </c>
    </row>
    <row r="4040" customFormat="false" ht="12.8" hidden="false" customHeight="false" outlineLevel="0" collapsed="false">
      <c r="A4040" s="0" t="s">
        <v>12</v>
      </c>
      <c r="B4040" s="0" t="n">
        <v>1158160</v>
      </c>
      <c r="C4040" s="0" t="n">
        <v>1158180</v>
      </c>
      <c r="D4040" s="0" t="s">
        <v>13511</v>
      </c>
      <c r="E4040" s="0" t="s">
        <v>89</v>
      </c>
      <c r="F4040" s="0" t="s">
        <v>15</v>
      </c>
      <c r="G4040" s="0" t="s">
        <v>36</v>
      </c>
      <c r="H4040" s="0" t="n">
        <v>22</v>
      </c>
      <c r="I4040" s="0" t="s">
        <v>13515</v>
      </c>
      <c r="J4040" s="0" t="s">
        <v>13516</v>
      </c>
      <c r="K4040" s="0" t="s">
        <v>13517</v>
      </c>
      <c r="L4040" s="0" t="str">
        <f aca="false">HYPERLINK("https://www.ncbi.nlm.nih.gov/nuccore/CP000304.1?report=graph&amp;tracks=[key:gene_model_track,Options:GeneOnly]&amp;mk=1158139:1158158|offset_0|444444,1158161:1158180|offset_22|00cc00,1158194:1158213|offset_55|444444,1158216:1158235|offset_77|444444&amp;v=1157938:1158435&amp;c=444444", "offset 22")</f>
        <v>offset 22</v>
      </c>
    </row>
    <row r="4041" customFormat="false" ht="12.8" hidden="false" customHeight="false" outlineLevel="0" collapsed="false">
      <c r="A4041" s="0" t="s">
        <v>12</v>
      </c>
      <c r="B4041" s="0" t="n">
        <v>1158193</v>
      </c>
      <c r="C4041" s="0" t="n">
        <v>1158213</v>
      </c>
      <c r="D4041" s="0" t="s">
        <v>13511</v>
      </c>
      <c r="E4041" s="0" t="s">
        <v>89</v>
      </c>
      <c r="F4041" s="0" t="s">
        <v>15</v>
      </c>
      <c r="G4041" s="0" t="s">
        <v>16</v>
      </c>
      <c r="H4041" s="0" t="n">
        <v>55</v>
      </c>
      <c r="I4041" s="0" t="s">
        <v>13518</v>
      </c>
      <c r="J4041" s="0" t="s">
        <v>13519</v>
      </c>
      <c r="K4041" s="0" t="s">
        <v>13520</v>
      </c>
      <c r="L4041" s="0" t="str">
        <f aca="false">HYPERLINK("https://www.ncbi.nlm.nih.gov/nuccore/CP000304.1?report=graph&amp;tracks=[key:gene_model_track,Options:GeneOnly]&amp;mk=1158139:1158158|offset_0|444444,1158161:1158180|offset_22|444444,1158194:1158213|offset_55|00cc00,1158216:1158235|offset_77|444444&amp;v=1157938:1158435&amp;c=444444", "offset 55")</f>
        <v>offset 55</v>
      </c>
    </row>
    <row r="4042" customFormat="false" ht="12.8" hidden="false" customHeight="false" outlineLevel="0" collapsed="false">
      <c r="A4042" s="0" t="s">
        <v>12</v>
      </c>
      <c r="B4042" s="0" t="n">
        <v>1158215</v>
      </c>
      <c r="C4042" s="0" t="n">
        <v>1158235</v>
      </c>
      <c r="D4042" s="0" t="s">
        <v>13511</v>
      </c>
      <c r="E4042" s="0" t="s">
        <v>89</v>
      </c>
      <c r="F4042" s="0" t="s">
        <v>15</v>
      </c>
      <c r="G4042" s="0" t="s">
        <v>36</v>
      </c>
      <c r="H4042" s="0" t="n">
        <v>77</v>
      </c>
      <c r="I4042" s="0" t="s">
        <v>13521</v>
      </c>
      <c r="J4042" s="0" t="s">
        <v>13522</v>
      </c>
      <c r="K4042" s="0" t="s">
        <v>13523</v>
      </c>
      <c r="L4042" s="0" t="str">
        <f aca="false">HYPERLINK("https://www.ncbi.nlm.nih.gov/nuccore/CP000304.1?report=graph&amp;tracks=[key:gene_model_track,Options:GeneOnly]&amp;mk=1158139:1158158|offset_0|444444,1158161:1158180|offset_22|444444,1158194:1158213|offset_55|444444,1158216:1158235|offset_77|00cc00&amp;v=1157938:1158435&amp;c=444444", "offset 77")</f>
        <v>offset 77</v>
      </c>
    </row>
    <row r="4043" customFormat="false" ht="12.8" hidden="false" customHeight="false" outlineLevel="0" collapsed="false">
      <c r="A4043" s="0" t="s">
        <v>12</v>
      </c>
      <c r="B4043" s="0" t="n">
        <v>1159086</v>
      </c>
      <c r="C4043" s="0" t="n">
        <v>1159106</v>
      </c>
      <c r="D4043" s="0" t="s">
        <v>13524</v>
      </c>
      <c r="E4043" s="0" t="s">
        <v>13525</v>
      </c>
      <c r="F4043" s="0" t="s">
        <v>15</v>
      </c>
      <c r="G4043" s="0" t="s">
        <v>32</v>
      </c>
      <c r="H4043" s="0" t="n">
        <v>1</v>
      </c>
      <c r="I4043" s="0" t="s">
        <v>13526</v>
      </c>
      <c r="J4043" s="0" t="s">
        <v>13527</v>
      </c>
      <c r="K4043" s="0" t="s">
        <v>13528</v>
      </c>
      <c r="L4043" s="0" t="str">
        <f aca="false">HYPERLINK("https://www.ncbi.nlm.nih.gov/nuccore/CP000304.1?report=graph&amp;tracks=[key:gene_model_track,Options:GeneOnly]&amp;mk=1159087:1159106|offset_1|00cc00,1159136:1159155|offset_50|444444,1159172:1159191|offset_86|444444,1159207:1159226|offset_121|444444&amp;v=1158886:1159426&amp;c=444444", "offset 1")</f>
        <v>offset 1</v>
      </c>
    </row>
    <row r="4044" customFormat="false" ht="12.8" hidden="false" customHeight="false" outlineLevel="0" collapsed="false">
      <c r="A4044" s="0" t="s">
        <v>12</v>
      </c>
      <c r="B4044" s="0" t="n">
        <v>1159135</v>
      </c>
      <c r="C4044" s="0" t="n">
        <v>1159155</v>
      </c>
      <c r="D4044" s="0" t="s">
        <v>13524</v>
      </c>
      <c r="E4044" s="0" t="s">
        <v>13525</v>
      </c>
      <c r="F4044" s="0" t="s">
        <v>15</v>
      </c>
      <c r="G4044" s="0" t="s">
        <v>32</v>
      </c>
      <c r="H4044" s="0" t="n">
        <v>50</v>
      </c>
      <c r="I4044" s="0" t="s">
        <v>13529</v>
      </c>
      <c r="J4044" s="0" t="s">
        <v>13530</v>
      </c>
      <c r="K4044" s="0" t="s">
        <v>13531</v>
      </c>
      <c r="L4044" s="0" t="str">
        <f aca="false">HYPERLINK("https://www.ncbi.nlm.nih.gov/nuccore/CP000304.1?report=graph&amp;tracks=[key:gene_model_track,Options:GeneOnly]&amp;mk=1159087:1159106|offset_1|444444,1159136:1159155|offset_50|00cc00,1159172:1159191|offset_86|444444,1159207:1159226|offset_121|444444&amp;v=1158886:1159426&amp;c=444444", "offset 50")</f>
        <v>offset 50</v>
      </c>
    </row>
    <row r="4045" customFormat="false" ht="12.8" hidden="false" customHeight="false" outlineLevel="0" collapsed="false">
      <c r="A4045" s="0" t="s">
        <v>12</v>
      </c>
      <c r="B4045" s="0" t="n">
        <v>1159171</v>
      </c>
      <c r="C4045" s="0" t="n">
        <v>1159191</v>
      </c>
      <c r="D4045" s="0" t="s">
        <v>13524</v>
      </c>
      <c r="E4045" s="0" t="s">
        <v>13525</v>
      </c>
      <c r="F4045" s="0" t="s">
        <v>15</v>
      </c>
      <c r="G4045" s="0" t="s">
        <v>36</v>
      </c>
      <c r="H4045" s="0" t="n">
        <v>86</v>
      </c>
      <c r="I4045" s="0" t="s">
        <v>13532</v>
      </c>
      <c r="J4045" s="0" t="s">
        <v>13533</v>
      </c>
      <c r="K4045" s="0" t="s">
        <v>13534</v>
      </c>
      <c r="L4045" s="0" t="str">
        <f aca="false">HYPERLINK("https://www.ncbi.nlm.nih.gov/nuccore/CP000304.1?report=graph&amp;tracks=[key:gene_model_track,Options:GeneOnly]&amp;mk=1159087:1159106|offset_1|444444,1159136:1159155|offset_50|444444,1159172:1159191|offset_86|00cc00,1159207:1159226|offset_121|444444&amp;v=1158886:1159426&amp;c=444444", "offset 86")</f>
        <v>offset 86</v>
      </c>
    </row>
    <row r="4046" customFormat="false" ht="12.8" hidden="false" customHeight="false" outlineLevel="0" collapsed="false">
      <c r="A4046" s="0" t="s">
        <v>12</v>
      </c>
      <c r="B4046" s="0" t="n">
        <v>1159206</v>
      </c>
      <c r="C4046" s="0" t="n">
        <v>1159226</v>
      </c>
      <c r="D4046" s="0" t="s">
        <v>13524</v>
      </c>
      <c r="E4046" s="0" t="s">
        <v>13525</v>
      </c>
      <c r="F4046" s="0" t="s">
        <v>15</v>
      </c>
      <c r="G4046" s="0" t="s">
        <v>16</v>
      </c>
      <c r="H4046" s="0" t="n">
        <v>121</v>
      </c>
      <c r="I4046" s="0" t="s">
        <v>13535</v>
      </c>
      <c r="J4046" s="0" t="s">
        <v>13536</v>
      </c>
      <c r="K4046" s="0" t="s">
        <v>13537</v>
      </c>
      <c r="L4046" s="0" t="str">
        <f aca="false">HYPERLINK("https://www.ncbi.nlm.nih.gov/nuccore/CP000304.1?report=graph&amp;tracks=[key:gene_model_track,Options:GeneOnly]&amp;mk=1159087:1159106|offset_1|444444,1159136:1159155|offset_50|444444,1159172:1159191|offset_86|444444,1159207:1159226|offset_121|00cc00&amp;v=1158886:1159426&amp;c=444444", "offset 121")</f>
        <v>offset 121</v>
      </c>
    </row>
    <row r="4047" customFormat="false" ht="12.8" hidden="false" customHeight="false" outlineLevel="0" collapsed="false">
      <c r="A4047" s="0" t="s">
        <v>12</v>
      </c>
      <c r="B4047" s="0" t="n">
        <v>1160025</v>
      </c>
      <c r="C4047" s="0" t="n">
        <v>1160045</v>
      </c>
      <c r="D4047" s="0" t="s">
        <v>13538</v>
      </c>
      <c r="E4047" s="0" t="s">
        <v>13539</v>
      </c>
      <c r="F4047" s="0" t="s">
        <v>15</v>
      </c>
      <c r="G4047" s="0" t="s">
        <v>32</v>
      </c>
      <c r="H4047" s="0" t="n">
        <v>11</v>
      </c>
      <c r="I4047" s="0" t="s">
        <v>13540</v>
      </c>
      <c r="J4047" s="0" t="s">
        <v>13541</v>
      </c>
      <c r="K4047" s="0" t="s">
        <v>13542</v>
      </c>
      <c r="L4047" s="0" t="str">
        <f aca="false">HYPERLINK("https://www.ncbi.nlm.nih.gov/nuccore/CP000304.1?report=graph&amp;tracks=[key:gene_model_track,Options:GeneOnly]&amp;mk=1160026:1160045|offset_11|00cc00,1160053:1160072|offset_38|444444,1160098:1160117|offset_83|444444,1160143:1160162|offset_128|444444&amp;v=1159825:1160362&amp;c=444444", "offset 11")</f>
        <v>offset 11</v>
      </c>
    </row>
    <row r="4048" customFormat="false" ht="12.8" hidden="false" customHeight="false" outlineLevel="0" collapsed="false">
      <c r="A4048" s="0" t="s">
        <v>12</v>
      </c>
      <c r="B4048" s="0" t="n">
        <v>1160052</v>
      </c>
      <c r="C4048" s="0" t="n">
        <v>1160072</v>
      </c>
      <c r="D4048" s="0" t="s">
        <v>13538</v>
      </c>
      <c r="E4048" s="0" t="s">
        <v>13539</v>
      </c>
      <c r="F4048" s="0" t="s">
        <v>15</v>
      </c>
      <c r="G4048" s="0" t="s">
        <v>26</v>
      </c>
      <c r="H4048" s="0" t="n">
        <v>38</v>
      </c>
      <c r="I4048" s="0" t="s">
        <v>13543</v>
      </c>
      <c r="J4048" s="0" t="s">
        <v>13544</v>
      </c>
      <c r="K4048" s="0" t="s">
        <v>13545</v>
      </c>
      <c r="L4048" s="0" t="str">
        <f aca="false">HYPERLINK("https://www.ncbi.nlm.nih.gov/nuccore/CP000304.1?report=graph&amp;tracks=[key:gene_model_track,Options:GeneOnly]&amp;mk=1160026:1160045|offset_11|444444,1160053:1160072|offset_38|00cc00,1160098:1160117|offset_83|444444,1160143:1160162|offset_128|444444&amp;v=1159825:1160362&amp;c=444444", "offset 38")</f>
        <v>offset 38</v>
      </c>
    </row>
    <row r="4049" customFormat="false" ht="12.8" hidden="false" customHeight="false" outlineLevel="0" collapsed="false">
      <c r="A4049" s="0" t="s">
        <v>12</v>
      </c>
      <c r="B4049" s="0" t="n">
        <v>1160097</v>
      </c>
      <c r="C4049" s="0" t="n">
        <v>1160117</v>
      </c>
      <c r="D4049" s="0" t="s">
        <v>13538</v>
      </c>
      <c r="E4049" s="0" t="s">
        <v>13539</v>
      </c>
      <c r="F4049" s="0" t="s">
        <v>15</v>
      </c>
      <c r="G4049" s="0" t="s">
        <v>26</v>
      </c>
      <c r="H4049" s="0" t="n">
        <v>83</v>
      </c>
      <c r="I4049" s="0" t="s">
        <v>13546</v>
      </c>
      <c r="J4049" s="0" t="s">
        <v>13547</v>
      </c>
      <c r="K4049" s="0" t="s">
        <v>13548</v>
      </c>
      <c r="L4049" s="0" t="str">
        <f aca="false">HYPERLINK("https://www.ncbi.nlm.nih.gov/nuccore/CP000304.1?report=graph&amp;tracks=[key:gene_model_track,Options:GeneOnly]&amp;mk=1160026:1160045|offset_11|444444,1160053:1160072|offset_38|444444,1160098:1160117|offset_83|00cc00,1160143:1160162|offset_128|444444&amp;v=1159825:1160362&amp;c=444444", "offset 83")</f>
        <v>offset 83</v>
      </c>
    </row>
    <row r="4050" customFormat="false" ht="12.8" hidden="false" customHeight="false" outlineLevel="0" collapsed="false">
      <c r="A4050" s="0" t="s">
        <v>12</v>
      </c>
      <c r="B4050" s="0" t="n">
        <v>1160142</v>
      </c>
      <c r="C4050" s="0" t="n">
        <v>1160162</v>
      </c>
      <c r="D4050" s="0" t="s">
        <v>13538</v>
      </c>
      <c r="E4050" s="0" t="s">
        <v>13539</v>
      </c>
      <c r="F4050" s="0" t="s">
        <v>15</v>
      </c>
      <c r="G4050" s="0" t="s">
        <v>16</v>
      </c>
      <c r="H4050" s="0" t="n">
        <v>128</v>
      </c>
      <c r="I4050" s="0" t="s">
        <v>13549</v>
      </c>
      <c r="J4050" s="0" t="s">
        <v>13550</v>
      </c>
      <c r="K4050" s="0" t="s">
        <v>13551</v>
      </c>
      <c r="L4050" s="0" t="str">
        <f aca="false">HYPERLINK("https://www.ncbi.nlm.nih.gov/nuccore/CP000304.1?report=graph&amp;tracks=[key:gene_model_track,Options:GeneOnly]&amp;mk=1160026:1160045|offset_11|444444,1160053:1160072|offset_38|444444,1160098:1160117|offset_83|444444,1160143:1160162|offset_128|00cc00&amp;v=1159825:1160362&amp;c=444444", "offset 128")</f>
        <v>offset 128</v>
      </c>
    </row>
    <row r="4051" customFormat="false" ht="12.8" hidden="false" customHeight="false" outlineLevel="0" collapsed="false">
      <c r="A4051" s="0" t="s">
        <v>12</v>
      </c>
      <c r="B4051" s="0" t="n">
        <v>1162774</v>
      </c>
      <c r="C4051" s="0" t="n">
        <v>1162794</v>
      </c>
      <c r="D4051" s="0" t="s">
        <v>13552</v>
      </c>
      <c r="E4051" s="0" t="s">
        <v>89</v>
      </c>
      <c r="F4051" s="0" t="s">
        <v>90</v>
      </c>
      <c r="G4051" s="0" t="s">
        <v>26</v>
      </c>
      <c r="H4051" s="0" t="n">
        <v>6</v>
      </c>
      <c r="I4051" s="0" t="s">
        <v>13553</v>
      </c>
      <c r="J4051" s="0" t="s">
        <v>13554</v>
      </c>
      <c r="K4051" s="0" t="s">
        <v>13555</v>
      </c>
      <c r="L4051" s="0" t="str">
        <f aca="false">HYPERLINK("https://www.ncbi.nlm.nih.gov/nuccore/CP000304.1?report=graph&amp;tracks=[key:gene_model_track,Options:GeneOnly]&amp;mk=1162775:1162794|offset_6|00cc00,1162751:1162770|offset_30|444444,1162722:1162741|offset_59|444444,1162663:1162682|offset_118|444444&amp;v=1162574:1162882&amp;c=444444", "offset 6")</f>
        <v>offset 6</v>
      </c>
    </row>
    <row r="4052" customFormat="false" ht="12.8" hidden="false" customHeight="false" outlineLevel="0" collapsed="false">
      <c r="A4052" s="0" t="s">
        <v>12</v>
      </c>
      <c r="B4052" s="0" t="n">
        <v>1162750</v>
      </c>
      <c r="C4052" s="0" t="n">
        <v>1162770</v>
      </c>
      <c r="D4052" s="0" t="s">
        <v>13552</v>
      </c>
      <c r="E4052" s="0" t="s">
        <v>89</v>
      </c>
      <c r="F4052" s="0" t="s">
        <v>90</v>
      </c>
      <c r="G4052" s="0" t="s">
        <v>36</v>
      </c>
      <c r="H4052" s="0" t="n">
        <v>30</v>
      </c>
      <c r="I4052" s="0" t="s">
        <v>13556</v>
      </c>
      <c r="J4052" s="0" t="s">
        <v>13557</v>
      </c>
      <c r="K4052" s="0" t="s">
        <v>13558</v>
      </c>
      <c r="L4052" s="0" t="str">
        <f aca="false">HYPERLINK("https://www.ncbi.nlm.nih.gov/nuccore/CP000304.1?report=graph&amp;tracks=[key:gene_model_track,Options:GeneOnly]&amp;mk=1162775:1162794|offset_6|444444,1162751:1162770|offset_30|00cc00,1162722:1162741|offset_59|444444,1162663:1162682|offset_118|444444&amp;v=1162574:1162882&amp;c=444444", "offset 30")</f>
        <v>offset 30</v>
      </c>
    </row>
    <row r="4053" customFormat="false" ht="12.8" hidden="false" customHeight="false" outlineLevel="0" collapsed="false">
      <c r="A4053" s="0" t="s">
        <v>12</v>
      </c>
      <c r="B4053" s="0" t="n">
        <v>1162721</v>
      </c>
      <c r="C4053" s="0" t="n">
        <v>1162741</v>
      </c>
      <c r="D4053" s="0" t="s">
        <v>13552</v>
      </c>
      <c r="E4053" s="0" t="s">
        <v>89</v>
      </c>
      <c r="F4053" s="0" t="s">
        <v>90</v>
      </c>
      <c r="G4053" s="0" t="s">
        <v>26</v>
      </c>
      <c r="H4053" s="0" t="n">
        <v>59</v>
      </c>
      <c r="I4053" s="0" t="s">
        <v>13559</v>
      </c>
      <c r="J4053" s="0" t="s">
        <v>13560</v>
      </c>
      <c r="K4053" s="0" t="s">
        <v>13561</v>
      </c>
      <c r="L4053" s="0" t="str">
        <f aca="false">HYPERLINK("https://www.ncbi.nlm.nih.gov/nuccore/CP000304.1?report=graph&amp;tracks=[key:gene_model_track,Options:GeneOnly]&amp;mk=1162775:1162794|offset_6|444444,1162751:1162770|offset_30|444444,1162722:1162741|offset_59|00cc00,1162663:1162682|offset_118|444444&amp;v=1162574:1162882&amp;c=444444", "offset 59")</f>
        <v>offset 59</v>
      </c>
    </row>
    <row r="4054" customFormat="false" ht="12.8" hidden="false" customHeight="false" outlineLevel="0" collapsed="false">
      <c r="A4054" s="0" t="s">
        <v>12</v>
      </c>
      <c r="B4054" s="0" t="n">
        <v>1162662</v>
      </c>
      <c r="C4054" s="0" t="n">
        <v>1162682</v>
      </c>
      <c r="D4054" s="0" t="s">
        <v>13552</v>
      </c>
      <c r="E4054" s="0" t="s">
        <v>89</v>
      </c>
      <c r="F4054" s="0" t="s">
        <v>90</v>
      </c>
      <c r="G4054" s="0" t="s">
        <v>16</v>
      </c>
      <c r="H4054" s="0" t="n">
        <v>118</v>
      </c>
      <c r="I4054" s="0" t="s">
        <v>13562</v>
      </c>
      <c r="J4054" s="0" t="s">
        <v>13563</v>
      </c>
      <c r="K4054" s="0" t="s">
        <v>13564</v>
      </c>
      <c r="L4054" s="0" t="str">
        <f aca="false">HYPERLINK("https://www.ncbi.nlm.nih.gov/nuccore/CP000304.1?report=graph&amp;tracks=[key:gene_model_track,Options:GeneOnly]&amp;mk=1162775:1162794|offset_6|444444,1162751:1162770|offset_30|444444,1162722:1162741|offset_59|444444,1162663:1162682|offset_118|00cc00&amp;v=1162574:1162882&amp;c=444444", "offset 118")</f>
        <v>offset 118</v>
      </c>
    </row>
    <row r="4055" customFormat="false" ht="12.8" hidden="false" customHeight="false" outlineLevel="0" collapsed="false">
      <c r="A4055" s="0" t="s">
        <v>12</v>
      </c>
      <c r="B4055" s="0" t="n">
        <v>1162865</v>
      </c>
      <c r="C4055" s="0" t="n">
        <v>1162885</v>
      </c>
      <c r="D4055" s="0" t="s">
        <v>13565</v>
      </c>
      <c r="E4055" s="0" t="s">
        <v>89</v>
      </c>
      <c r="F4055" s="0" t="s">
        <v>15</v>
      </c>
      <c r="G4055" s="0" t="s">
        <v>36</v>
      </c>
      <c r="H4055" s="0" t="n">
        <v>6</v>
      </c>
      <c r="I4055" s="0" t="s">
        <v>13566</v>
      </c>
      <c r="J4055" s="0" t="s">
        <v>13567</v>
      </c>
      <c r="K4055" s="0" t="s">
        <v>13568</v>
      </c>
      <c r="L4055" s="0" t="str">
        <f aca="false">HYPERLINK("https://www.ncbi.nlm.nih.gov/nuccore/CP000304.1?report=graph&amp;tracks=[key:gene_model_track,Options:GeneOnly]&amp;mk=1162866:1162885|offset_6|00cc00,1162894:1162913|offset_34|444444,1162924:1162943|offset_64|444444,1162950:1162969|offset_90|444444&amp;v=1162665:1163169&amp;c=444444", "offset 6")</f>
        <v>offset 6</v>
      </c>
    </row>
    <row r="4056" customFormat="false" ht="12.8" hidden="false" customHeight="false" outlineLevel="0" collapsed="false">
      <c r="A4056" s="0" t="s">
        <v>12</v>
      </c>
      <c r="B4056" s="0" t="n">
        <v>1162893</v>
      </c>
      <c r="C4056" s="0" t="n">
        <v>1162913</v>
      </c>
      <c r="D4056" s="0" t="s">
        <v>13565</v>
      </c>
      <c r="E4056" s="0" t="s">
        <v>89</v>
      </c>
      <c r="F4056" s="0" t="s">
        <v>15</v>
      </c>
      <c r="G4056" s="0" t="s">
        <v>26</v>
      </c>
      <c r="H4056" s="0" t="n">
        <v>34</v>
      </c>
      <c r="I4056" s="0" t="s">
        <v>13569</v>
      </c>
      <c r="J4056" s="0" t="s">
        <v>13570</v>
      </c>
      <c r="K4056" s="0" t="s">
        <v>13571</v>
      </c>
      <c r="L4056" s="0" t="str">
        <f aca="false">HYPERLINK("https://www.ncbi.nlm.nih.gov/nuccore/CP000304.1?report=graph&amp;tracks=[key:gene_model_track,Options:GeneOnly]&amp;mk=1162866:1162885|offset_6|444444,1162894:1162913|offset_34|00cc00,1162924:1162943|offset_64|444444,1162950:1162969|offset_90|444444&amp;v=1162665:1163169&amp;c=444444", "offset 34")</f>
        <v>offset 34</v>
      </c>
    </row>
    <row r="4057" customFormat="false" ht="12.8" hidden="false" customHeight="false" outlineLevel="0" collapsed="false">
      <c r="A4057" s="0" t="s">
        <v>12</v>
      </c>
      <c r="B4057" s="0" t="n">
        <v>1162923</v>
      </c>
      <c r="C4057" s="0" t="n">
        <v>1162943</v>
      </c>
      <c r="D4057" s="0" t="s">
        <v>13565</v>
      </c>
      <c r="E4057" s="0" t="s">
        <v>89</v>
      </c>
      <c r="F4057" s="0" t="s">
        <v>15</v>
      </c>
      <c r="G4057" s="0" t="s">
        <v>16</v>
      </c>
      <c r="H4057" s="0" t="n">
        <v>64</v>
      </c>
      <c r="I4057" s="0" t="s">
        <v>13572</v>
      </c>
      <c r="J4057" s="0" t="s">
        <v>13573</v>
      </c>
      <c r="K4057" s="0" t="s">
        <v>13574</v>
      </c>
      <c r="L4057" s="0" t="str">
        <f aca="false">HYPERLINK("https://www.ncbi.nlm.nih.gov/nuccore/CP000304.1?report=graph&amp;tracks=[key:gene_model_track,Options:GeneOnly]&amp;mk=1162866:1162885|offset_6|444444,1162894:1162913|offset_34|444444,1162924:1162943|offset_64|00cc00,1162950:1162969|offset_90|444444&amp;v=1162665:1163169&amp;c=444444", "offset 64")</f>
        <v>offset 64</v>
      </c>
    </row>
    <row r="4058" customFormat="false" ht="12.8" hidden="false" customHeight="false" outlineLevel="0" collapsed="false">
      <c r="A4058" s="0" t="s">
        <v>12</v>
      </c>
      <c r="B4058" s="0" t="n">
        <v>1162949</v>
      </c>
      <c r="C4058" s="0" t="n">
        <v>1162969</v>
      </c>
      <c r="D4058" s="0" t="s">
        <v>13565</v>
      </c>
      <c r="E4058" s="0" t="s">
        <v>89</v>
      </c>
      <c r="F4058" s="0" t="s">
        <v>15</v>
      </c>
      <c r="G4058" s="0" t="s">
        <v>16</v>
      </c>
      <c r="H4058" s="0" t="n">
        <v>90</v>
      </c>
      <c r="I4058" s="0" t="s">
        <v>13575</v>
      </c>
      <c r="J4058" s="0" t="s">
        <v>13576</v>
      </c>
      <c r="K4058" s="0" t="s">
        <v>13577</v>
      </c>
      <c r="L4058" s="0" t="str">
        <f aca="false">HYPERLINK("https://www.ncbi.nlm.nih.gov/nuccore/CP000304.1?report=graph&amp;tracks=[key:gene_model_track,Options:GeneOnly]&amp;mk=1162866:1162885|offset_6|444444,1162894:1162913|offset_34|444444,1162924:1162943|offset_64|444444,1162950:1162969|offset_90|00cc00&amp;v=1162665:1163169&amp;c=444444", "offset 90")</f>
        <v>offset 90</v>
      </c>
    </row>
    <row r="4059" customFormat="false" ht="12.8" hidden="false" customHeight="false" outlineLevel="0" collapsed="false">
      <c r="A4059" s="0" t="s">
        <v>12</v>
      </c>
      <c r="B4059" s="0" t="n">
        <v>1164157</v>
      </c>
      <c r="C4059" s="0" t="n">
        <v>1164177</v>
      </c>
      <c r="D4059" s="0" t="s">
        <v>13578</v>
      </c>
      <c r="E4059" s="0" t="s">
        <v>89</v>
      </c>
      <c r="F4059" s="0" t="s">
        <v>90</v>
      </c>
      <c r="G4059" s="0" t="s">
        <v>16</v>
      </c>
      <c r="H4059" s="0" t="n">
        <v>90</v>
      </c>
      <c r="I4059" s="0" t="s">
        <v>13579</v>
      </c>
      <c r="J4059" s="0" t="s">
        <v>13580</v>
      </c>
      <c r="K4059" s="0" t="s">
        <v>13581</v>
      </c>
      <c r="L4059" s="0" t="str">
        <f aca="false">HYPERLINK("https://www.ncbi.nlm.nih.gov/nuccore/CP000304.1?report=graph&amp;tracks=[key:gene_model_track,Options:GeneOnly]&amp;mk=1164158:1164177|offset_90|00cc00,1164115:1164134|offset_133|444444,1164088:1164107|offset_160|444444,1164055:1164074|offset_193|444444&amp;v=1163957:1164274&amp;c=444444", "offset 90")</f>
        <v>offset 90</v>
      </c>
    </row>
    <row r="4060" customFormat="false" ht="12.8" hidden="false" customHeight="false" outlineLevel="0" collapsed="false">
      <c r="A4060" s="0" t="s">
        <v>12</v>
      </c>
      <c r="B4060" s="0" t="n">
        <v>1164114</v>
      </c>
      <c r="C4060" s="0" t="n">
        <v>1164134</v>
      </c>
      <c r="D4060" s="0" t="s">
        <v>13578</v>
      </c>
      <c r="E4060" s="0" t="s">
        <v>89</v>
      </c>
      <c r="F4060" s="0" t="s">
        <v>90</v>
      </c>
      <c r="G4060" s="0" t="s">
        <v>16</v>
      </c>
      <c r="H4060" s="0" t="n">
        <v>133</v>
      </c>
      <c r="I4060" s="0" t="s">
        <v>13582</v>
      </c>
      <c r="J4060" s="0" t="s">
        <v>13583</v>
      </c>
      <c r="K4060" s="0" t="s">
        <v>13584</v>
      </c>
      <c r="L4060" s="0" t="str">
        <f aca="false">HYPERLINK("https://www.ncbi.nlm.nih.gov/nuccore/CP000304.1?report=graph&amp;tracks=[key:gene_model_track,Options:GeneOnly]&amp;mk=1164158:1164177|offset_90|444444,1164115:1164134|offset_133|00cc00,1164088:1164107|offset_160|444444,1164055:1164074|offset_193|444444&amp;v=1163957:1164274&amp;c=444444", "offset 133")</f>
        <v>offset 133</v>
      </c>
    </row>
    <row r="4061" customFormat="false" ht="12.8" hidden="false" customHeight="false" outlineLevel="0" collapsed="false">
      <c r="A4061" s="0" t="s">
        <v>12</v>
      </c>
      <c r="B4061" s="0" t="n">
        <v>1164087</v>
      </c>
      <c r="C4061" s="0" t="n">
        <v>1164107</v>
      </c>
      <c r="D4061" s="0" t="s">
        <v>13578</v>
      </c>
      <c r="E4061" s="0" t="s">
        <v>89</v>
      </c>
      <c r="F4061" s="0" t="s">
        <v>90</v>
      </c>
      <c r="G4061" s="0" t="s">
        <v>36</v>
      </c>
      <c r="H4061" s="0" t="n">
        <v>160</v>
      </c>
      <c r="I4061" s="0" t="s">
        <v>13585</v>
      </c>
      <c r="J4061" s="0" t="s">
        <v>13586</v>
      </c>
      <c r="K4061" s="0" t="s">
        <v>13587</v>
      </c>
      <c r="L4061" s="0" t="str">
        <f aca="false">HYPERLINK("https://www.ncbi.nlm.nih.gov/nuccore/CP000304.1?report=graph&amp;tracks=[key:gene_model_track,Options:GeneOnly]&amp;mk=1164158:1164177|offset_90|444444,1164115:1164134|offset_133|444444,1164088:1164107|offset_160|00cc00,1164055:1164074|offset_193|444444&amp;v=1163957:1164274&amp;c=444444", "offset 160")</f>
        <v>offset 160</v>
      </c>
    </row>
    <row r="4062" customFormat="false" ht="12.8" hidden="false" customHeight="false" outlineLevel="0" collapsed="false">
      <c r="A4062" s="0" t="s">
        <v>12</v>
      </c>
      <c r="B4062" s="0" t="n">
        <v>1164054</v>
      </c>
      <c r="C4062" s="0" t="n">
        <v>1164074</v>
      </c>
      <c r="D4062" s="0" t="s">
        <v>13578</v>
      </c>
      <c r="E4062" s="0" t="s">
        <v>89</v>
      </c>
      <c r="F4062" s="0" t="s">
        <v>90</v>
      </c>
      <c r="G4062" s="0" t="s">
        <v>26</v>
      </c>
      <c r="H4062" s="0" t="n">
        <v>193</v>
      </c>
      <c r="I4062" s="0" t="s">
        <v>13588</v>
      </c>
      <c r="J4062" s="0" t="s">
        <v>13589</v>
      </c>
      <c r="K4062" s="0" t="s">
        <v>13590</v>
      </c>
      <c r="L4062" s="0" t="str">
        <f aca="false">HYPERLINK("https://www.ncbi.nlm.nih.gov/nuccore/CP000304.1?report=graph&amp;tracks=[key:gene_model_track,Options:GeneOnly]&amp;mk=1164158:1164177|offset_90|444444,1164115:1164134|offset_133|444444,1164088:1164107|offset_160|444444,1164055:1164074|offset_193|00cc00&amp;v=1163957:1164274&amp;c=444444", "offset 193")</f>
        <v>offset 193</v>
      </c>
    </row>
    <row r="4063" customFormat="false" ht="12.8" hidden="false" customHeight="false" outlineLevel="0" collapsed="false">
      <c r="A4063" s="0" t="s">
        <v>12</v>
      </c>
      <c r="B4063" s="0" t="n">
        <v>1164577</v>
      </c>
      <c r="C4063" s="0" t="n">
        <v>1164597</v>
      </c>
      <c r="D4063" s="0" t="s">
        <v>13591</v>
      </c>
      <c r="E4063" s="0" t="s">
        <v>13592</v>
      </c>
      <c r="F4063" s="0" t="s">
        <v>15</v>
      </c>
      <c r="G4063" s="0" t="s">
        <v>32</v>
      </c>
      <c r="H4063" s="0" t="n">
        <v>1</v>
      </c>
      <c r="I4063" s="0" t="s">
        <v>13593</v>
      </c>
      <c r="J4063" s="0" t="s">
        <v>13594</v>
      </c>
      <c r="K4063" s="0" t="s">
        <v>13595</v>
      </c>
      <c r="L4063" s="0" t="str">
        <f aca="false">HYPERLINK("https://www.ncbi.nlm.nih.gov/nuccore/CP000304.1?report=graph&amp;tracks=[key:gene_model_track,Options:GeneOnly]&amp;mk=1164578:1164597|offset_1|00cc00,1164602:1164621|offset_25|444444,1164629:1164648|offset_52|444444,1164653:1164672|offset_76|444444&amp;v=1164377:1164872&amp;c=444444", "offset 1")</f>
        <v>offset 1</v>
      </c>
    </row>
    <row r="4064" customFormat="false" ht="12.8" hidden="false" customHeight="false" outlineLevel="0" collapsed="false">
      <c r="A4064" s="0" t="s">
        <v>12</v>
      </c>
      <c r="B4064" s="0" t="n">
        <v>1164601</v>
      </c>
      <c r="C4064" s="0" t="n">
        <v>1164621</v>
      </c>
      <c r="D4064" s="0" t="s">
        <v>13591</v>
      </c>
      <c r="E4064" s="0" t="s">
        <v>13592</v>
      </c>
      <c r="F4064" s="0" t="s">
        <v>15</v>
      </c>
      <c r="G4064" s="0" t="s">
        <v>16</v>
      </c>
      <c r="H4064" s="0" t="n">
        <v>25</v>
      </c>
      <c r="I4064" s="0" t="s">
        <v>13596</v>
      </c>
      <c r="J4064" s="0" t="s">
        <v>13597</v>
      </c>
      <c r="K4064" s="0" t="s">
        <v>13598</v>
      </c>
      <c r="L4064" s="0" t="str">
        <f aca="false">HYPERLINK("https://www.ncbi.nlm.nih.gov/nuccore/CP000304.1?report=graph&amp;tracks=[key:gene_model_track,Options:GeneOnly]&amp;mk=1164578:1164597|offset_1|444444,1164602:1164621|offset_25|00cc00,1164629:1164648|offset_52|444444,1164653:1164672|offset_76|444444&amp;v=1164377:1164872&amp;c=444444", "offset 25")</f>
        <v>offset 25</v>
      </c>
    </row>
    <row r="4065" customFormat="false" ht="12.8" hidden="false" customHeight="false" outlineLevel="0" collapsed="false">
      <c r="A4065" s="0" t="s">
        <v>12</v>
      </c>
      <c r="B4065" s="0" t="n">
        <v>1164628</v>
      </c>
      <c r="C4065" s="0" t="n">
        <v>1164648</v>
      </c>
      <c r="D4065" s="0" t="s">
        <v>13591</v>
      </c>
      <c r="E4065" s="0" t="s">
        <v>13592</v>
      </c>
      <c r="F4065" s="0" t="s">
        <v>15</v>
      </c>
      <c r="G4065" s="0" t="s">
        <v>16</v>
      </c>
      <c r="H4065" s="0" t="n">
        <v>52</v>
      </c>
      <c r="I4065" s="0" t="s">
        <v>13599</v>
      </c>
      <c r="J4065" s="0" t="s">
        <v>13600</v>
      </c>
      <c r="K4065" s="0" t="s">
        <v>13601</v>
      </c>
      <c r="L4065" s="0" t="str">
        <f aca="false">HYPERLINK("https://www.ncbi.nlm.nih.gov/nuccore/CP000304.1?report=graph&amp;tracks=[key:gene_model_track,Options:GeneOnly]&amp;mk=1164578:1164597|offset_1|444444,1164602:1164621|offset_25|444444,1164629:1164648|offset_52|00cc00,1164653:1164672|offset_76|444444&amp;v=1164377:1164872&amp;c=444444", "offset 52")</f>
        <v>offset 52</v>
      </c>
    </row>
    <row r="4066" customFormat="false" ht="12.8" hidden="false" customHeight="false" outlineLevel="0" collapsed="false">
      <c r="A4066" s="0" t="s">
        <v>12</v>
      </c>
      <c r="B4066" s="0" t="n">
        <v>1164652</v>
      </c>
      <c r="C4066" s="0" t="n">
        <v>1164672</v>
      </c>
      <c r="D4066" s="0" t="s">
        <v>13591</v>
      </c>
      <c r="E4066" s="0" t="s">
        <v>13592</v>
      </c>
      <c r="F4066" s="0" t="s">
        <v>15</v>
      </c>
      <c r="G4066" s="0" t="s">
        <v>36</v>
      </c>
      <c r="H4066" s="0" t="n">
        <v>76</v>
      </c>
      <c r="I4066" s="0" t="s">
        <v>13602</v>
      </c>
      <c r="J4066" s="0" t="s">
        <v>13603</v>
      </c>
      <c r="K4066" s="0" t="s">
        <v>13604</v>
      </c>
      <c r="L4066" s="0" t="str">
        <f aca="false">HYPERLINK("https://www.ncbi.nlm.nih.gov/nuccore/CP000304.1?report=graph&amp;tracks=[key:gene_model_track,Options:GeneOnly]&amp;mk=1164578:1164597|offset_1|444444,1164602:1164621|offset_25|444444,1164629:1164648|offset_52|444444,1164653:1164672|offset_76|00cc00&amp;v=1164377:1164872&amp;c=444444", "offset 76")</f>
        <v>offset 76</v>
      </c>
    </row>
    <row r="4067" customFormat="false" ht="12.8" hidden="false" customHeight="false" outlineLevel="0" collapsed="false">
      <c r="A4067" s="0" t="s">
        <v>12</v>
      </c>
      <c r="B4067" s="0" t="n">
        <v>1166306</v>
      </c>
      <c r="C4067" s="0" t="n">
        <v>1166326</v>
      </c>
      <c r="D4067" s="0" t="s">
        <v>13605</v>
      </c>
      <c r="E4067" s="0" t="s">
        <v>13606</v>
      </c>
      <c r="F4067" s="0" t="s">
        <v>15</v>
      </c>
      <c r="G4067" s="0" t="s">
        <v>32</v>
      </c>
      <c r="H4067" s="0" t="n">
        <v>25</v>
      </c>
      <c r="I4067" s="0" t="s">
        <v>13607</v>
      </c>
      <c r="J4067" s="0" t="s">
        <v>13608</v>
      </c>
      <c r="K4067" s="0" t="s">
        <v>13609</v>
      </c>
      <c r="L4067" s="0" t="str">
        <f aca="false">HYPERLINK("https://www.ncbi.nlm.nih.gov/nuccore/CP000304.1?report=graph&amp;tracks=[key:gene_model_track,Options:GeneOnly]&amp;mk=1166307:1166326|offset_25|00cc00,1166377:1166396|offset_95|444444,1166419:1166438|offset_137|444444,1166477:1166496|offset_195|444444&amp;v=1166106:1166696&amp;c=444444", "offset 25")</f>
        <v>offset 25</v>
      </c>
    </row>
    <row r="4068" customFormat="false" ht="12.8" hidden="false" customHeight="false" outlineLevel="0" collapsed="false">
      <c r="A4068" s="0" t="s">
        <v>12</v>
      </c>
      <c r="B4068" s="0" t="n">
        <v>1166376</v>
      </c>
      <c r="C4068" s="0" t="n">
        <v>1166396</v>
      </c>
      <c r="D4068" s="0" t="s">
        <v>13605</v>
      </c>
      <c r="E4068" s="0" t="s">
        <v>13606</v>
      </c>
      <c r="F4068" s="0" t="s">
        <v>15</v>
      </c>
      <c r="G4068" s="0" t="s">
        <v>36</v>
      </c>
      <c r="H4068" s="0" t="n">
        <v>95</v>
      </c>
      <c r="I4068" s="0" t="s">
        <v>13610</v>
      </c>
      <c r="J4068" s="0" t="s">
        <v>13611</v>
      </c>
      <c r="K4068" s="0" t="s">
        <v>13612</v>
      </c>
      <c r="L4068" s="0" t="str">
        <f aca="false">HYPERLINK("https://www.ncbi.nlm.nih.gov/nuccore/CP000304.1?report=graph&amp;tracks=[key:gene_model_track,Options:GeneOnly]&amp;mk=1166307:1166326|offset_25|444444,1166377:1166396|offset_95|00cc00,1166419:1166438|offset_137|444444,1166477:1166496|offset_195|444444&amp;v=1166106:1166696&amp;c=444444", "offset 95")</f>
        <v>offset 95</v>
      </c>
    </row>
    <row r="4069" customFormat="false" ht="12.8" hidden="false" customHeight="false" outlineLevel="0" collapsed="false">
      <c r="A4069" s="0" t="s">
        <v>12</v>
      </c>
      <c r="B4069" s="0" t="n">
        <v>1166418</v>
      </c>
      <c r="C4069" s="0" t="n">
        <v>1166438</v>
      </c>
      <c r="D4069" s="0" t="s">
        <v>13605</v>
      </c>
      <c r="E4069" s="0" t="s">
        <v>13606</v>
      </c>
      <c r="F4069" s="0" t="s">
        <v>15</v>
      </c>
      <c r="G4069" s="0" t="s">
        <v>36</v>
      </c>
      <c r="H4069" s="0" t="n">
        <v>137</v>
      </c>
      <c r="I4069" s="0" t="s">
        <v>13613</v>
      </c>
      <c r="J4069" s="0" t="s">
        <v>13614</v>
      </c>
      <c r="K4069" s="0" t="s">
        <v>13615</v>
      </c>
      <c r="L4069" s="0" t="str">
        <f aca="false">HYPERLINK("https://www.ncbi.nlm.nih.gov/nuccore/CP000304.1?report=graph&amp;tracks=[key:gene_model_track,Options:GeneOnly]&amp;mk=1166307:1166326|offset_25|444444,1166377:1166396|offset_95|444444,1166419:1166438|offset_137|00cc00,1166477:1166496|offset_195|444444&amp;v=1166106:1166696&amp;c=444444", "offset 137")</f>
        <v>offset 137</v>
      </c>
    </row>
    <row r="4070" customFormat="false" ht="12.8" hidden="false" customHeight="false" outlineLevel="0" collapsed="false">
      <c r="A4070" s="0" t="s">
        <v>12</v>
      </c>
      <c r="B4070" s="0" t="n">
        <v>1166476</v>
      </c>
      <c r="C4070" s="0" t="n">
        <v>1166496</v>
      </c>
      <c r="D4070" s="0" t="s">
        <v>13605</v>
      </c>
      <c r="E4070" s="0" t="s">
        <v>13606</v>
      </c>
      <c r="F4070" s="0" t="s">
        <v>15</v>
      </c>
      <c r="G4070" s="0" t="s">
        <v>16</v>
      </c>
      <c r="H4070" s="0" t="n">
        <v>195</v>
      </c>
      <c r="I4070" s="0" t="s">
        <v>13616</v>
      </c>
      <c r="J4070" s="0" t="s">
        <v>13617</v>
      </c>
      <c r="K4070" s="0" t="s">
        <v>13618</v>
      </c>
      <c r="L4070" s="0" t="str">
        <f aca="false">HYPERLINK("https://www.ncbi.nlm.nih.gov/nuccore/CP000304.1?report=graph&amp;tracks=[key:gene_model_track,Options:GeneOnly]&amp;mk=1166307:1166326|offset_25|444444,1166377:1166396|offset_95|444444,1166419:1166438|offset_137|444444,1166477:1166496|offset_195|00cc00&amp;v=1166106:1166696&amp;c=444444", "offset 195")</f>
        <v>offset 195</v>
      </c>
    </row>
    <row r="4071" customFormat="false" ht="12.8" hidden="false" customHeight="false" outlineLevel="0" collapsed="false">
      <c r="A4071" s="0" t="s">
        <v>12</v>
      </c>
      <c r="B4071" s="0" t="n">
        <v>1167526</v>
      </c>
      <c r="C4071" s="0" t="n">
        <v>1167546</v>
      </c>
      <c r="D4071" s="0" t="s">
        <v>13619</v>
      </c>
      <c r="E4071" s="0" t="s">
        <v>13620</v>
      </c>
      <c r="F4071" s="0" t="s">
        <v>15</v>
      </c>
      <c r="G4071" s="0" t="s">
        <v>32</v>
      </c>
      <c r="H4071" s="0" t="n">
        <v>25</v>
      </c>
      <c r="I4071" s="0" t="s">
        <v>13621</v>
      </c>
      <c r="J4071" s="0" t="s">
        <v>13622</v>
      </c>
      <c r="K4071" s="0" t="s">
        <v>13623</v>
      </c>
      <c r="L4071" s="0" t="str">
        <f aca="false">HYPERLINK("https://www.ncbi.nlm.nih.gov/nuccore/CP000304.1?report=graph&amp;tracks=[key:gene_model_track,Options:GeneOnly]&amp;mk=1167527:1167546|offset_25|00cc00,1167606:1167625|offset_104|444444,1167667:1167686|offset_165|444444,1167706:1167725|offset_204|444444&amp;v=1167326:1167925&amp;c=444444", "offset 25")</f>
        <v>offset 25</v>
      </c>
    </row>
    <row r="4072" customFormat="false" ht="12.8" hidden="false" customHeight="false" outlineLevel="0" collapsed="false">
      <c r="A4072" s="0" t="s">
        <v>12</v>
      </c>
      <c r="B4072" s="0" t="n">
        <v>1167605</v>
      </c>
      <c r="C4072" s="0" t="n">
        <v>1167625</v>
      </c>
      <c r="D4072" s="0" t="s">
        <v>13619</v>
      </c>
      <c r="E4072" s="0" t="s">
        <v>13620</v>
      </c>
      <c r="F4072" s="0" t="s">
        <v>15</v>
      </c>
      <c r="G4072" s="0" t="s">
        <v>16</v>
      </c>
      <c r="H4072" s="0" t="n">
        <v>104</v>
      </c>
      <c r="I4072" s="0" t="s">
        <v>13624</v>
      </c>
      <c r="J4072" s="0" t="s">
        <v>13625</v>
      </c>
      <c r="K4072" s="0" t="s">
        <v>13626</v>
      </c>
      <c r="L4072" s="0" t="str">
        <f aca="false">HYPERLINK("https://www.ncbi.nlm.nih.gov/nuccore/CP000304.1?report=graph&amp;tracks=[key:gene_model_track,Options:GeneOnly]&amp;mk=1167527:1167546|offset_25|444444,1167606:1167625|offset_104|00cc00,1167667:1167686|offset_165|444444,1167706:1167725|offset_204|444444&amp;v=1167326:1167925&amp;c=444444", "offset 104")</f>
        <v>offset 104</v>
      </c>
    </row>
    <row r="4073" customFormat="false" ht="12.8" hidden="false" customHeight="false" outlineLevel="0" collapsed="false">
      <c r="A4073" s="0" t="s">
        <v>12</v>
      </c>
      <c r="B4073" s="0" t="n">
        <v>1167666</v>
      </c>
      <c r="C4073" s="0" t="n">
        <v>1167686</v>
      </c>
      <c r="D4073" s="0" t="s">
        <v>13619</v>
      </c>
      <c r="E4073" s="0" t="s">
        <v>13620</v>
      </c>
      <c r="F4073" s="0" t="s">
        <v>15</v>
      </c>
      <c r="G4073" s="0" t="s">
        <v>16</v>
      </c>
      <c r="H4073" s="0" t="n">
        <v>165</v>
      </c>
      <c r="I4073" s="0" t="s">
        <v>13627</v>
      </c>
      <c r="J4073" s="0" t="s">
        <v>13628</v>
      </c>
      <c r="K4073" s="0" t="s">
        <v>13629</v>
      </c>
      <c r="L4073" s="0" t="str">
        <f aca="false">HYPERLINK("https://www.ncbi.nlm.nih.gov/nuccore/CP000304.1?report=graph&amp;tracks=[key:gene_model_track,Options:GeneOnly]&amp;mk=1167527:1167546|offset_25|444444,1167606:1167625|offset_104|444444,1167667:1167686|offset_165|00cc00,1167706:1167725|offset_204|444444&amp;v=1167326:1167925&amp;c=444444", "offset 165")</f>
        <v>offset 165</v>
      </c>
    </row>
    <row r="4074" customFormat="false" ht="12.8" hidden="false" customHeight="false" outlineLevel="0" collapsed="false">
      <c r="A4074" s="0" t="s">
        <v>12</v>
      </c>
      <c r="B4074" s="0" t="n">
        <v>1167705</v>
      </c>
      <c r="C4074" s="0" t="n">
        <v>1167725</v>
      </c>
      <c r="D4074" s="0" t="s">
        <v>13619</v>
      </c>
      <c r="E4074" s="0" t="s">
        <v>13620</v>
      </c>
      <c r="F4074" s="0" t="s">
        <v>15</v>
      </c>
      <c r="G4074" s="0" t="s">
        <v>16</v>
      </c>
      <c r="H4074" s="0" t="n">
        <v>204</v>
      </c>
      <c r="I4074" s="0" t="s">
        <v>13630</v>
      </c>
      <c r="J4074" s="0" t="s">
        <v>13631</v>
      </c>
      <c r="K4074" s="0" t="s">
        <v>13632</v>
      </c>
      <c r="L4074" s="0" t="str">
        <f aca="false">HYPERLINK("https://www.ncbi.nlm.nih.gov/nuccore/CP000304.1?report=graph&amp;tracks=[key:gene_model_track,Options:GeneOnly]&amp;mk=1167527:1167546|offset_25|444444,1167606:1167625|offset_104|444444,1167667:1167686|offset_165|444444,1167706:1167725|offset_204|00cc00&amp;v=1167326:1167925&amp;c=444444", "offset 204")</f>
        <v>offset 204</v>
      </c>
    </row>
    <row r="4075" customFormat="false" ht="12.8" hidden="false" customHeight="false" outlineLevel="0" collapsed="false">
      <c r="A4075" s="0" t="s">
        <v>12</v>
      </c>
      <c r="B4075" s="0" t="n">
        <v>1168376</v>
      </c>
      <c r="C4075" s="0" t="n">
        <v>1168396</v>
      </c>
      <c r="D4075" s="0" t="s">
        <v>13633</v>
      </c>
      <c r="E4075" s="0" t="s">
        <v>13634</v>
      </c>
      <c r="F4075" s="0" t="s">
        <v>15</v>
      </c>
      <c r="G4075" s="0" t="s">
        <v>16</v>
      </c>
      <c r="H4075" s="0" t="n">
        <v>69</v>
      </c>
      <c r="I4075" s="0" t="s">
        <v>13635</v>
      </c>
      <c r="J4075" s="0" t="s">
        <v>13636</v>
      </c>
      <c r="K4075" s="0" t="s">
        <v>13637</v>
      </c>
      <c r="L4075" s="0" t="str">
        <f aca="false">HYPERLINK("https://www.ncbi.nlm.nih.gov/nuccore/CP000304.1?report=graph&amp;tracks=[key:gene_model_track,Options:GeneOnly]&amp;mk=1168377:1168396|offset_69|00cc00,1168400:1168419|offset_92|444444,1168422:1168441|offset_114|444444,1168456:1168475|offset_148|444444&amp;v=1168176:1168675&amp;c=444444", "offset 69")</f>
        <v>offset 69</v>
      </c>
    </row>
    <row r="4076" customFormat="false" ht="12.8" hidden="false" customHeight="false" outlineLevel="0" collapsed="false">
      <c r="A4076" s="0" t="s">
        <v>12</v>
      </c>
      <c r="B4076" s="0" t="n">
        <v>1168399</v>
      </c>
      <c r="C4076" s="0" t="n">
        <v>1168419</v>
      </c>
      <c r="D4076" s="0" t="s">
        <v>13633</v>
      </c>
      <c r="E4076" s="0" t="s">
        <v>13634</v>
      </c>
      <c r="F4076" s="0" t="s">
        <v>15</v>
      </c>
      <c r="G4076" s="0" t="s">
        <v>16</v>
      </c>
      <c r="H4076" s="0" t="n">
        <v>92</v>
      </c>
      <c r="I4076" s="0" t="s">
        <v>13638</v>
      </c>
      <c r="J4076" s="0" t="s">
        <v>13639</v>
      </c>
      <c r="K4076" s="0" t="s">
        <v>13640</v>
      </c>
      <c r="L4076" s="0" t="str">
        <f aca="false">HYPERLINK("https://www.ncbi.nlm.nih.gov/nuccore/CP000304.1?report=graph&amp;tracks=[key:gene_model_track,Options:GeneOnly]&amp;mk=1168377:1168396|offset_69|444444,1168400:1168419|offset_92|00cc00,1168422:1168441|offset_114|444444,1168456:1168475|offset_148|444444&amp;v=1168176:1168675&amp;c=444444", "offset 92")</f>
        <v>offset 92</v>
      </c>
    </row>
    <row r="4077" customFormat="false" ht="12.8" hidden="false" customHeight="false" outlineLevel="0" collapsed="false">
      <c r="A4077" s="0" t="s">
        <v>12</v>
      </c>
      <c r="B4077" s="0" t="n">
        <v>1168421</v>
      </c>
      <c r="C4077" s="0" t="n">
        <v>1168441</v>
      </c>
      <c r="D4077" s="0" t="s">
        <v>13633</v>
      </c>
      <c r="E4077" s="0" t="s">
        <v>13634</v>
      </c>
      <c r="F4077" s="0" t="s">
        <v>15</v>
      </c>
      <c r="G4077" s="0" t="s">
        <v>36</v>
      </c>
      <c r="H4077" s="0" t="n">
        <v>114</v>
      </c>
      <c r="I4077" s="0" t="s">
        <v>13641</v>
      </c>
      <c r="J4077" s="0" t="s">
        <v>13642</v>
      </c>
      <c r="K4077" s="0" t="s">
        <v>13643</v>
      </c>
      <c r="L4077" s="0" t="str">
        <f aca="false">HYPERLINK("https://www.ncbi.nlm.nih.gov/nuccore/CP000304.1?report=graph&amp;tracks=[key:gene_model_track,Options:GeneOnly]&amp;mk=1168377:1168396|offset_69|444444,1168400:1168419|offset_92|444444,1168422:1168441|offset_114|00cc00,1168456:1168475|offset_148|444444&amp;v=1168176:1168675&amp;c=444444", "offset 114")</f>
        <v>offset 114</v>
      </c>
    </row>
    <row r="4078" customFormat="false" ht="12.8" hidden="false" customHeight="false" outlineLevel="0" collapsed="false">
      <c r="A4078" s="0" t="s">
        <v>12</v>
      </c>
      <c r="B4078" s="0" t="n">
        <v>1168455</v>
      </c>
      <c r="C4078" s="0" t="n">
        <v>1168475</v>
      </c>
      <c r="D4078" s="0" t="s">
        <v>13633</v>
      </c>
      <c r="E4078" s="0" t="s">
        <v>13634</v>
      </c>
      <c r="F4078" s="0" t="s">
        <v>15</v>
      </c>
      <c r="G4078" s="0" t="s">
        <v>16</v>
      </c>
      <c r="H4078" s="0" t="n">
        <v>148</v>
      </c>
      <c r="I4078" s="0" t="s">
        <v>13644</v>
      </c>
      <c r="J4078" s="0" t="s">
        <v>13645</v>
      </c>
      <c r="K4078" s="0" t="s">
        <v>13646</v>
      </c>
      <c r="L4078" s="0" t="str">
        <f aca="false">HYPERLINK("https://www.ncbi.nlm.nih.gov/nuccore/CP000304.1?report=graph&amp;tracks=[key:gene_model_track,Options:GeneOnly]&amp;mk=1168377:1168396|offset_69|444444,1168400:1168419|offset_92|444444,1168422:1168441|offset_114|444444,1168456:1168475|offset_148|00cc00&amp;v=1168176:1168675&amp;c=444444", "offset 148")</f>
        <v>offset 148</v>
      </c>
    </row>
    <row r="4079" customFormat="false" ht="12.8" hidden="false" customHeight="false" outlineLevel="0" collapsed="false">
      <c r="A4079" s="0" t="s">
        <v>12</v>
      </c>
      <c r="B4079" s="0" t="n">
        <v>1169968</v>
      </c>
      <c r="C4079" s="0" t="n">
        <v>1169988</v>
      </c>
      <c r="D4079" s="0" t="s">
        <v>13647</v>
      </c>
      <c r="E4079" s="0" t="s">
        <v>89</v>
      </c>
      <c r="F4079" s="0" t="s">
        <v>90</v>
      </c>
      <c r="G4079" s="0" t="s">
        <v>16</v>
      </c>
      <c r="H4079" s="0" t="n">
        <v>10</v>
      </c>
      <c r="I4079" s="0" t="s">
        <v>13648</v>
      </c>
      <c r="J4079" s="0" t="s">
        <v>13649</v>
      </c>
      <c r="K4079" s="0" t="s">
        <v>13650</v>
      </c>
      <c r="L4079" s="0" t="str">
        <f aca="false">HYPERLINK("https://www.ncbi.nlm.nih.gov/nuccore/CP000304.1?report=graph&amp;tracks=[key:gene_model_track,Options:GeneOnly]&amp;mk=1169969:1169988|offset_10|00cc00,1169948:1169967|offset_31|444444,1169912:1169931|offset_67|444444,1169888:1169907|offset_91|444444&amp;v=1169768:1170107&amp;c=444444", "offset 10")</f>
        <v>offset 10</v>
      </c>
    </row>
    <row r="4080" customFormat="false" ht="12.8" hidden="false" customHeight="false" outlineLevel="0" collapsed="false">
      <c r="A4080" s="0" t="s">
        <v>12</v>
      </c>
      <c r="B4080" s="0" t="n">
        <v>1169947</v>
      </c>
      <c r="C4080" s="0" t="n">
        <v>1169967</v>
      </c>
      <c r="D4080" s="0" t="s">
        <v>13647</v>
      </c>
      <c r="E4080" s="0" t="s">
        <v>89</v>
      </c>
      <c r="F4080" s="0" t="s">
        <v>90</v>
      </c>
      <c r="G4080" s="0" t="s">
        <v>32</v>
      </c>
      <c r="H4080" s="0" t="n">
        <v>31</v>
      </c>
      <c r="I4080" s="0" t="s">
        <v>13651</v>
      </c>
      <c r="J4080" s="0" t="s">
        <v>13652</v>
      </c>
      <c r="K4080" s="0" t="s">
        <v>13653</v>
      </c>
      <c r="L4080" s="0" t="str">
        <f aca="false">HYPERLINK("https://www.ncbi.nlm.nih.gov/nuccore/CP000304.1?report=graph&amp;tracks=[key:gene_model_track,Options:GeneOnly]&amp;mk=1169969:1169988|offset_10|444444,1169948:1169967|offset_31|00cc00,1169912:1169931|offset_67|444444,1169888:1169907|offset_91|444444&amp;v=1169768:1170107&amp;c=444444", "offset 31")</f>
        <v>offset 31</v>
      </c>
    </row>
    <row r="4081" customFormat="false" ht="12.8" hidden="false" customHeight="false" outlineLevel="0" collapsed="false">
      <c r="A4081" s="0" t="s">
        <v>12</v>
      </c>
      <c r="B4081" s="0" t="n">
        <v>1169911</v>
      </c>
      <c r="C4081" s="0" t="n">
        <v>1169931</v>
      </c>
      <c r="D4081" s="0" t="s">
        <v>13647</v>
      </c>
      <c r="E4081" s="0" t="s">
        <v>89</v>
      </c>
      <c r="F4081" s="0" t="s">
        <v>90</v>
      </c>
      <c r="G4081" s="0" t="s">
        <v>26</v>
      </c>
      <c r="H4081" s="0" t="n">
        <v>67</v>
      </c>
      <c r="I4081" s="0" t="s">
        <v>13654</v>
      </c>
      <c r="J4081" s="0" t="s">
        <v>13655</v>
      </c>
      <c r="K4081" s="0" t="s">
        <v>13656</v>
      </c>
      <c r="L4081" s="0" t="str">
        <f aca="false">HYPERLINK("https://www.ncbi.nlm.nih.gov/nuccore/CP000304.1?report=graph&amp;tracks=[key:gene_model_track,Options:GeneOnly]&amp;mk=1169969:1169988|offset_10|444444,1169948:1169967|offset_31|444444,1169912:1169931|offset_67|00cc00,1169888:1169907|offset_91|444444&amp;v=1169768:1170107&amp;c=444444", "offset 67")</f>
        <v>offset 67</v>
      </c>
    </row>
    <row r="4082" customFormat="false" ht="12.8" hidden="false" customHeight="false" outlineLevel="0" collapsed="false">
      <c r="A4082" s="0" t="s">
        <v>12</v>
      </c>
      <c r="B4082" s="0" t="n">
        <v>1169887</v>
      </c>
      <c r="C4082" s="0" t="n">
        <v>1169907</v>
      </c>
      <c r="D4082" s="0" t="s">
        <v>13647</v>
      </c>
      <c r="E4082" s="0" t="s">
        <v>89</v>
      </c>
      <c r="F4082" s="0" t="s">
        <v>90</v>
      </c>
      <c r="G4082" s="0" t="s">
        <v>36</v>
      </c>
      <c r="H4082" s="0" t="n">
        <v>91</v>
      </c>
      <c r="I4082" s="0" t="s">
        <v>13657</v>
      </c>
      <c r="J4082" s="0" t="s">
        <v>13658</v>
      </c>
      <c r="K4082" s="0" t="s">
        <v>13659</v>
      </c>
      <c r="L4082" s="0" t="str">
        <f aca="false">HYPERLINK("https://www.ncbi.nlm.nih.gov/nuccore/CP000304.1?report=graph&amp;tracks=[key:gene_model_track,Options:GeneOnly]&amp;mk=1169969:1169988|offset_10|444444,1169948:1169967|offset_31|444444,1169912:1169931|offset_67|444444,1169888:1169907|offset_91|00cc00&amp;v=1169768:1170107&amp;c=444444", "offset 91")</f>
        <v>offset 91</v>
      </c>
    </row>
    <row r="4083" customFormat="false" ht="12.8" hidden="false" customHeight="false" outlineLevel="0" collapsed="false">
      <c r="A4083" s="0" t="s">
        <v>12</v>
      </c>
      <c r="B4083" s="0" t="n">
        <v>1171074</v>
      </c>
      <c r="C4083" s="0" t="n">
        <v>1171094</v>
      </c>
      <c r="D4083" s="0" t="s">
        <v>13660</v>
      </c>
      <c r="E4083" s="0" t="s">
        <v>89</v>
      </c>
      <c r="F4083" s="0" t="s">
        <v>90</v>
      </c>
      <c r="G4083" s="0" t="s">
        <v>32</v>
      </c>
      <c r="H4083" s="0" t="n">
        <v>1</v>
      </c>
      <c r="I4083" s="0" t="s">
        <v>13661</v>
      </c>
      <c r="J4083" s="0" t="s">
        <v>13662</v>
      </c>
      <c r="K4083" s="0" t="s">
        <v>13663</v>
      </c>
      <c r="L4083" s="0" t="str">
        <f aca="false">HYPERLINK("https://www.ncbi.nlm.nih.gov/nuccore/CP000304.1?report=graph&amp;tracks=[key:gene_model_track,Options:GeneOnly]&amp;mk=1171075:1171094|offset_1|00cc00,1171053:1171072|offset_23|444444,1171023:1171042|offset_53|444444,1170991:1171010|offset_85|444444&amp;v=1170874:1171210&amp;c=444444", "offset 1")</f>
        <v>offset 1</v>
      </c>
    </row>
    <row r="4084" customFormat="false" ht="12.8" hidden="false" customHeight="false" outlineLevel="0" collapsed="false">
      <c r="A4084" s="0" t="s">
        <v>12</v>
      </c>
      <c r="B4084" s="0" t="n">
        <v>1171052</v>
      </c>
      <c r="C4084" s="0" t="n">
        <v>1171072</v>
      </c>
      <c r="D4084" s="0" t="s">
        <v>13660</v>
      </c>
      <c r="E4084" s="0" t="s">
        <v>89</v>
      </c>
      <c r="F4084" s="0" t="s">
        <v>90</v>
      </c>
      <c r="G4084" s="0" t="s">
        <v>16</v>
      </c>
      <c r="H4084" s="0" t="n">
        <v>23</v>
      </c>
      <c r="I4084" s="0" t="s">
        <v>13664</v>
      </c>
      <c r="J4084" s="0" t="s">
        <v>13665</v>
      </c>
      <c r="K4084" s="0" t="s">
        <v>13666</v>
      </c>
      <c r="L4084" s="0" t="str">
        <f aca="false">HYPERLINK("https://www.ncbi.nlm.nih.gov/nuccore/CP000304.1?report=graph&amp;tracks=[key:gene_model_track,Options:GeneOnly]&amp;mk=1171075:1171094|offset_1|444444,1171053:1171072|offset_23|00cc00,1171023:1171042|offset_53|444444,1170991:1171010|offset_85|444444&amp;v=1170874:1171210&amp;c=444444", "offset 23")</f>
        <v>offset 23</v>
      </c>
    </row>
    <row r="4085" customFormat="false" ht="12.8" hidden="false" customHeight="false" outlineLevel="0" collapsed="false">
      <c r="A4085" s="0" t="s">
        <v>12</v>
      </c>
      <c r="B4085" s="0" t="n">
        <v>1171022</v>
      </c>
      <c r="C4085" s="0" t="n">
        <v>1171042</v>
      </c>
      <c r="D4085" s="0" t="s">
        <v>13660</v>
      </c>
      <c r="E4085" s="0" t="s">
        <v>89</v>
      </c>
      <c r="F4085" s="0" t="s">
        <v>90</v>
      </c>
      <c r="G4085" s="0" t="s">
        <v>26</v>
      </c>
      <c r="H4085" s="0" t="n">
        <v>53</v>
      </c>
      <c r="I4085" s="0" t="s">
        <v>13667</v>
      </c>
      <c r="J4085" s="0" t="s">
        <v>13668</v>
      </c>
      <c r="K4085" s="0" t="s">
        <v>13669</v>
      </c>
      <c r="L4085" s="0" t="str">
        <f aca="false">HYPERLINK("https://www.ncbi.nlm.nih.gov/nuccore/CP000304.1?report=graph&amp;tracks=[key:gene_model_track,Options:GeneOnly]&amp;mk=1171075:1171094|offset_1|444444,1171053:1171072|offset_23|444444,1171023:1171042|offset_53|00cc00,1170991:1171010|offset_85|444444&amp;v=1170874:1171210&amp;c=444444", "offset 53")</f>
        <v>offset 53</v>
      </c>
    </row>
    <row r="4086" customFormat="false" ht="12.8" hidden="false" customHeight="false" outlineLevel="0" collapsed="false">
      <c r="A4086" s="0" t="s">
        <v>12</v>
      </c>
      <c r="B4086" s="0" t="n">
        <v>1170990</v>
      </c>
      <c r="C4086" s="0" t="n">
        <v>1171010</v>
      </c>
      <c r="D4086" s="0" t="s">
        <v>13660</v>
      </c>
      <c r="E4086" s="0" t="s">
        <v>89</v>
      </c>
      <c r="F4086" s="0" t="s">
        <v>90</v>
      </c>
      <c r="G4086" s="0" t="s">
        <v>16</v>
      </c>
      <c r="H4086" s="0" t="n">
        <v>85</v>
      </c>
      <c r="I4086" s="0" t="s">
        <v>13670</v>
      </c>
      <c r="J4086" s="0" t="s">
        <v>13671</v>
      </c>
      <c r="K4086" s="0" t="s">
        <v>13672</v>
      </c>
      <c r="L4086" s="0" t="str">
        <f aca="false">HYPERLINK("https://www.ncbi.nlm.nih.gov/nuccore/CP000304.1?report=graph&amp;tracks=[key:gene_model_track,Options:GeneOnly]&amp;mk=1171075:1171094|offset_1|444444,1171053:1171072|offset_23|444444,1171023:1171042|offset_53|444444,1170991:1171010|offset_85|00cc00&amp;v=1170874:1171210&amp;c=444444", "offset 85")</f>
        <v>offset 85</v>
      </c>
    </row>
    <row r="4087" customFormat="false" ht="12.8" hidden="false" customHeight="false" outlineLevel="0" collapsed="false">
      <c r="A4087" s="0" t="s">
        <v>12</v>
      </c>
      <c r="B4087" s="0" t="n">
        <v>1171533</v>
      </c>
      <c r="C4087" s="0" t="n">
        <v>1171553</v>
      </c>
      <c r="D4087" s="0" t="s">
        <v>13673</v>
      </c>
      <c r="E4087" s="0" t="s">
        <v>13674</v>
      </c>
      <c r="F4087" s="0" t="s">
        <v>15</v>
      </c>
      <c r="G4087" s="0" t="s">
        <v>16</v>
      </c>
      <c r="H4087" s="0" t="n">
        <v>24</v>
      </c>
      <c r="I4087" s="0" t="s">
        <v>13675</v>
      </c>
      <c r="J4087" s="0" t="s">
        <v>13676</v>
      </c>
      <c r="K4087" s="0" t="s">
        <v>13677</v>
      </c>
      <c r="L4087" s="0" t="str">
        <f aca="false">HYPERLINK("https://www.ncbi.nlm.nih.gov/nuccore/CP000304.1?report=graph&amp;tracks=[key:gene_model_track,Options:GeneOnly]&amp;mk=1171534:1171553|offset_24|00cc00,1171574:1171593|offset_64|444444,1171601:1171620|offset_91|444444,1171636:1171655|offset_126|444444&amp;v=1171333:1171855&amp;c=444444", "offset 24")</f>
        <v>offset 24</v>
      </c>
    </row>
    <row r="4088" customFormat="false" ht="12.8" hidden="false" customHeight="false" outlineLevel="0" collapsed="false">
      <c r="A4088" s="0" t="s">
        <v>12</v>
      </c>
      <c r="B4088" s="0" t="n">
        <v>1171573</v>
      </c>
      <c r="C4088" s="0" t="n">
        <v>1171593</v>
      </c>
      <c r="D4088" s="0" t="s">
        <v>13673</v>
      </c>
      <c r="E4088" s="0" t="s">
        <v>13674</v>
      </c>
      <c r="F4088" s="0" t="s">
        <v>15</v>
      </c>
      <c r="G4088" s="0" t="s">
        <v>16</v>
      </c>
      <c r="H4088" s="0" t="n">
        <v>64</v>
      </c>
      <c r="I4088" s="0" t="s">
        <v>13678</v>
      </c>
      <c r="J4088" s="0" t="s">
        <v>13679</v>
      </c>
      <c r="K4088" s="0" t="s">
        <v>13680</v>
      </c>
      <c r="L4088" s="0" t="str">
        <f aca="false">HYPERLINK("https://www.ncbi.nlm.nih.gov/nuccore/CP000304.1?report=graph&amp;tracks=[key:gene_model_track,Options:GeneOnly]&amp;mk=1171534:1171553|offset_24|444444,1171574:1171593|offset_64|00cc00,1171601:1171620|offset_91|444444,1171636:1171655|offset_126|444444&amp;v=1171333:1171855&amp;c=444444", "offset 64")</f>
        <v>offset 64</v>
      </c>
    </row>
    <row r="4089" customFormat="false" ht="12.8" hidden="false" customHeight="false" outlineLevel="0" collapsed="false">
      <c r="A4089" s="0" t="s">
        <v>12</v>
      </c>
      <c r="B4089" s="0" t="n">
        <v>1171600</v>
      </c>
      <c r="C4089" s="0" t="n">
        <v>1171620</v>
      </c>
      <c r="D4089" s="0" t="s">
        <v>13673</v>
      </c>
      <c r="E4089" s="0" t="s">
        <v>13674</v>
      </c>
      <c r="F4089" s="0" t="s">
        <v>15</v>
      </c>
      <c r="G4089" s="0" t="s">
        <v>16</v>
      </c>
      <c r="H4089" s="0" t="n">
        <v>91</v>
      </c>
      <c r="I4089" s="0" t="s">
        <v>13681</v>
      </c>
      <c r="J4089" s="0" t="s">
        <v>13682</v>
      </c>
      <c r="K4089" s="0" t="s">
        <v>13683</v>
      </c>
      <c r="L4089" s="0" t="str">
        <f aca="false">HYPERLINK("https://www.ncbi.nlm.nih.gov/nuccore/CP000304.1?report=graph&amp;tracks=[key:gene_model_track,Options:GeneOnly]&amp;mk=1171534:1171553|offset_24|444444,1171574:1171593|offset_64|444444,1171601:1171620|offset_91|00cc00,1171636:1171655|offset_126|444444&amp;v=1171333:1171855&amp;c=444444", "offset 91")</f>
        <v>offset 91</v>
      </c>
    </row>
    <row r="4090" customFormat="false" ht="12.8" hidden="false" customHeight="false" outlineLevel="0" collapsed="false">
      <c r="A4090" s="0" t="s">
        <v>12</v>
      </c>
      <c r="B4090" s="0" t="n">
        <v>1171635</v>
      </c>
      <c r="C4090" s="0" t="n">
        <v>1171655</v>
      </c>
      <c r="D4090" s="0" t="s">
        <v>13673</v>
      </c>
      <c r="E4090" s="0" t="s">
        <v>13674</v>
      </c>
      <c r="F4090" s="0" t="s">
        <v>15</v>
      </c>
      <c r="G4090" s="0" t="s">
        <v>16</v>
      </c>
      <c r="H4090" s="0" t="n">
        <v>126</v>
      </c>
      <c r="I4090" s="0" t="s">
        <v>13684</v>
      </c>
      <c r="J4090" s="0" t="s">
        <v>13685</v>
      </c>
      <c r="K4090" s="0" t="s">
        <v>13686</v>
      </c>
      <c r="L4090" s="0" t="str">
        <f aca="false">HYPERLINK("https://www.ncbi.nlm.nih.gov/nuccore/CP000304.1?report=graph&amp;tracks=[key:gene_model_track,Options:GeneOnly]&amp;mk=1171534:1171553|offset_24|444444,1171574:1171593|offset_64|444444,1171601:1171620|offset_91|444444,1171636:1171655|offset_126|00cc00&amp;v=1171333:1171855&amp;c=444444", "offset 126")</f>
        <v>offset 126</v>
      </c>
    </row>
    <row r="4091" customFormat="false" ht="12.8" hidden="false" customHeight="false" outlineLevel="0" collapsed="false">
      <c r="A4091" s="0" t="s">
        <v>12</v>
      </c>
      <c r="B4091" s="0" t="n">
        <v>1171985</v>
      </c>
      <c r="C4091" s="0" t="n">
        <v>1172005</v>
      </c>
      <c r="D4091" s="0" t="s">
        <v>13687</v>
      </c>
      <c r="E4091" s="0" t="s">
        <v>13688</v>
      </c>
      <c r="F4091" s="0" t="s">
        <v>15</v>
      </c>
      <c r="G4091" s="0" t="s">
        <v>16</v>
      </c>
      <c r="H4091" s="0" t="n">
        <v>32</v>
      </c>
      <c r="I4091" s="0" t="s">
        <v>13689</v>
      </c>
      <c r="J4091" s="0" t="s">
        <v>13690</v>
      </c>
      <c r="K4091" s="0" t="s">
        <v>13691</v>
      </c>
      <c r="L4091" s="0" t="str">
        <f aca="false">HYPERLINK("https://www.ncbi.nlm.nih.gov/nuccore/CP000304.1?report=graph&amp;tracks=[key:gene_model_track,Options:GeneOnly]&amp;mk=1171986:1172005|offset_32|00cc00,1172016:1172035|offset_62|444444,1172042:1172061|offset_88|444444,1172076:1172095|offset_122|444444&amp;v=1171785:1172295&amp;c=444444", "offset 32")</f>
        <v>offset 32</v>
      </c>
    </row>
    <row r="4092" customFormat="false" ht="12.8" hidden="false" customHeight="false" outlineLevel="0" collapsed="false">
      <c r="A4092" s="0" t="s">
        <v>12</v>
      </c>
      <c r="B4092" s="0" t="n">
        <v>1172015</v>
      </c>
      <c r="C4092" s="0" t="n">
        <v>1172035</v>
      </c>
      <c r="D4092" s="0" t="s">
        <v>13687</v>
      </c>
      <c r="E4092" s="0" t="s">
        <v>13688</v>
      </c>
      <c r="F4092" s="0" t="s">
        <v>15</v>
      </c>
      <c r="G4092" s="0" t="s">
        <v>26</v>
      </c>
      <c r="H4092" s="0" t="n">
        <v>62</v>
      </c>
      <c r="I4092" s="0" t="s">
        <v>13692</v>
      </c>
      <c r="J4092" s="0" t="s">
        <v>13693</v>
      </c>
      <c r="K4092" s="0" t="s">
        <v>13694</v>
      </c>
      <c r="L4092" s="0" t="str">
        <f aca="false">HYPERLINK("https://www.ncbi.nlm.nih.gov/nuccore/CP000304.1?report=graph&amp;tracks=[key:gene_model_track,Options:GeneOnly]&amp;mk=1171986:1172005|offset_32|444444,1172016:1172035|offset_62|00cc00,1172042:1172061|offset_88|444444,1172076:1172095|offset_122|444444&amp;v=1171785:1172295&amp;c=444444", "offset 62")</f>
        <v>offset 62</v>
      </c>
    </row>
    <row r="4093" customFormat="false" ht="12.8" hidden="false" customHeight="false" outlineLevel="0" collapsed="false">
      <c r="A4093" s="0" t="s">
        <v>12</v>
      </c>
      <c r="B4093" s="0" t="n">
        <v>1172041</v>
      </c>
      <c r="C4093" s="0" t="n">
        <v>1172061</v>
      </c>
      <c r="D4093" s="0" t="s">
        <v>13687</v>
      </c>
      <c r="E4093" s="0" t="s">
        <v>13688</v>
      </c>
      <c r="F4093" s="0" t="s">
        <v>15</v>
      </c>
      <c r="G4093" s="0" t="s">
        <v>32</v>
      </c>
      <c r="H4093" s="0" t="n">
        <v>88</v>
      </c>
      <c r="I4093" s="0" t="s">
        <v>13695</v>
      </c>
      <c r="J4093" s="0" t="s">
        <v>13696</v>
      </c>
      <c r="K4093" s="0" t="s">
        <v>13697</v>
      </c>
      <c r="L4093" s="0" t="str">
        <f aca="false">HYPERLINK("https://www.ncbi.nlm.nih.gov/nuccore/CP000304.1?report=graph&amp;tracks=[key:gene_model_track,Options:GeneOnly]&amp;mk=1171986:1172005|offset_32|444444,1172016:1172035|offset_62|444444,1172042:1172061|offset_88|00cc00,1172076:1172095|offset_122|444444&amp;v=1171785:1172295&amp;c=444444", "offset 88")</f>
        <v>offset 88</v>
      </c>
    </row>
    <row r="4094" customFormat="false" ht="12.8" hidden="false" customHeight="false" outlineLevel="0" collapsed="false">
      <c r="A4094" s="0" t="s">
        <v>12</v>
      </c>
      <c r="B4094" s="0" t="n">
        <v>1172075</v>
      </c>
      <c r="C4094" s="0" t="n">
        <v>1172095</v>
      </c>
      <c r="D4094" s="0" t="s">
        <v>13687</v>
      </c>
      <c r="E4094" s="0" t="s">
        <v>13688</v>
      </c>
      <c r="F4094" s="0" t="s">
        <v>15</v>
      </c>
      <c r="G4094" s="0" t="s">
        <v>16</v>
      </c>
      <c r="H4094" s="0" t="n">
        <v>122</v>
      </c>
      <c r="I4094" s="0" t="s">
        <v>13698</v>
      </c>
      <c r="J4094" s="0" t="s">
        <v>13699</v>
      </c>
      <c r="K4094" s="0" t="s">
        <v>13700</v>
      </c>
      <c r="L4094" s="0" t="str">
        <f aca="false">HYPERLINK("https://www.ncbi.nlm.nih.gov/nuccore/CP000304.1?report=graph&amp;tracks=[key:gene_model_track,Options:GeneOnly]&amp;mk=1171986:1172005|offset_32|444444,1172016:1172035|offset_62|444444,1172042:1172061|offset_88|444444,1172076:1172095|offset_122|00cc00&amp;v=1171785:1172295&amp;c=444444", "offset 122")</f>
        <v>offset 122</v>
      </c>
    </row>
    <row r="4095" customFormat="false" ht="12.8" hidden="false" customHeight="false" outlineLevel="0" collapsed="false">
      <c r="A4095" s="0" t="s">
        <v>12</v>
      </c>
      <c r="B4095" s="0" t="n">
        <v>1172629</v>
      </c>
      <c r="C4095" s="0" t="n">
        <v>1172649</v>
      </c>
      <c r="D4095" s="0" t="s">
        <v>13701</v>
      </c>
      <c r="E4095" s="0" t="s">
        <v>13702</v>
      </c>
      <c r="F4095" s="0" t="s">
        <v>15</v>
      </c>
      <c r="G4095" s="0" t="s">
        <v>16</v>
      </c>
      <c r="H4095" s="0" t="n">
        <v>29</v>
      </c>
      <c r="I4095" s="0" t="s">
        <v>13703</v>
      </c>
      <c r="J4095" s="0" t="s">
        <v>13704</v>
      </c>
      <c r="K4095" s="0" t="s">
        <v>13705</v>
      </c>
      <c r="L4095" s="0" t="str">
        <f aca="false">HYPERLINK("https://www.ncbi.nlm.nih.gov/nuccore/CP000304.1?report=graph&amp;tracks=[key:gene_model_track,Options:GeneOnly]&amp;mk=1172630:1172649|offset_29|00cc00,1172650:1172669|offset_49|444444,1172696:1172715|offset_95|444444,1172717:1172736|offset_116|444444&amp;v=1172429:1172936&amp;c=444444", "offset 29")</f>
        <v>offset 29</v>
      </c>
    </row>
    <row r="4096" customFormat="false" ht="12.8" hidden="false" customHeight="false" outlineLevel="0" collapsed="false">
      <c r="A4096" s="0" t="s">
        <v>12</v>
      </c>
      <c r="B4096" s="0" t="n">
        <v>1172649</v>
      </c>
      <c r="C4096" s="0" t="n">
        <v>1172669</v>
      </c>
      <c r="D4096" s="0" t="s">
        <v>13701</v>
      </c>
      <c r="E4096" s="0" t="s">
        <v>13702</v>
      </c>
      <c r="F4096" s="0" t="s">
        <v>15</v>
      </c>
      <c r="G4096" s="0" t="s">
        <v>16</v>
      </c>
      <c r="H4096" s="0" t="n">
        <v>49</v>
      </c>
      <c r="I4096" s="0" t="s">
        <v>13706</v>
      </c>
      <c r="J4096" s="0" t="s">
        <v>13707</v>
      </c>
      <c r="K4096" s="0" t="s">
        <v>13708</v>
      </c>
      <c r="L4096" s="0" t="str">
        <f aca="false">HYPERLINK("https://www.ncbi.nlm.nih.gov/nuccore/CP000304.1?report=graph&amp;tracks=[key:gene_model_track,Options:GeneOnly]&amp;mk=1172630:1172649|offset_29|444444,1172650:1172669|offset_49|00cc00,1172696:1172715|offset_95|444444,1172717:1172736|offset_116|444444&amp;v=1172429:1172936&amp;c=444444", "offset 49")</f>
        <v>offset 49</v>
      </c>
    </row>
    <row r="4097" customFormat="false" ht="12.8" hidden="false" customHeight="false" outlineLevel="0" collapsed="false">
      <c r="A4097" s="0" t="s">
        <v>12</v>
      </c>
      <c r="B4097" s="0" t="n">
        <v>1172695</v>
      </c>
      <c r="C4097" s="0" t="n">
        <v>1172715</v>
      </c>
      <c r="D4097" s="0" t="s">
        <v>13701</v>
      </c>
      <c r="E4097" s="0" t="s">
        <v>13702</v>
      </c>
      <c r="F4097" s="0" t="s">
        <v>15</v>
      </c>
      <c r="G4097" s="0" t="s">
        <v>36</v>
      </c>
      <c r="H4097" s="0" t="n">
        <v>95</v>
      </c>
      <c r="I4097" s="0" t="s">
        <v>13709</v>
      </c>
      <c r="J4097" s="0" t="s">
        <v>13710</v>
      </c>
      <c r="K4097" s="0" t="s">
        <v>13711</v>
      </c>
      <c r="L4097" s="0" t="str">
        <f aca="false">HYPERLINK("https://www.ncbi.nlm.nih.gov/nuccore/CP000304.1?report=graph&amp;tracks=[key:gene_model_track,Options:GeneOnly]&amp;mk=1172630:1172649|offset_29|444444,1172650:1172669|offset_49|444444,1172696:1172715|offset_95|00cc00,1172717:1172736|offset_116|444444&amp;v=1172429:1172936&amp;c=444444", "offset 95")</f>
        <v>offset 95</v>
      </c>
    </row>
    <row r="4098" customFormat="false" ht="12.8" hidden="false" customHeight="false" outlineLevel="0" collapsed="false">
      <c r="A4098" s="0" t="s">
        <v>12</v>
      </c>
      <c r="B4098" s="0" t="n">
        <v>1172716</v>
      </c>
      <c r="C4098" s="0" t="n">
        <v>1172736</v>
      </c>
      <c r="D4098" s="0" t="s">
        <v>13701</v>
      </c>
      <c r="E4098" s="0" t="s">
        <v>13702</v>
      </c>
      <c r="F4098" s="0" t="s">
        <v>15</v>
      </c>
      <c r="G4098" s="0" t="s">
        <v>36</v>
      </c>
      <c r="H4098" s="0" t="n">
        <v>116</v>
      </c>
      <c r="I4098" s="0" t="s">
        <v>13712</v>
      </c>
      <c r="J4098" s="0" t="s">
        <v>13713</v>
      </c>
      <c r="K4098" s="0" t="s">
        <v>13714</v>
      </c>
      <c r="L4098" s="0" t="str">
        <f aca="false">HYPERLINK("https://www.ncbi.nlm.nih.gov/nuccore/CP000304.1?report=graph&amp;tracks=[key:gene_model_track,Options:GeneOnly]&amp;mk=1172630:1172649|offset_29|444444,1172650:1172669|offset_49|444444,1172696:1172715|offset_95|444444,1172717:1172736|offset_116|00cc00&amp;v=1172429:1172936&amp;c=444444", "offset 116")</f>
        <v>offset 116</v>
      </c>
    </row>
    <row r="4099" customFormat="false" ht="12.8" hidden="false" customHeight="false" outlineLevel="0" collapsed="false">
      <c r="A4099" s="0" t="s">
        <v>12</v>
      </c>
      <c r="B4099" s="0" t="n">
        <v>1173224</v>
      </c>
      <c r="C4099" s="0" t="n">
        <v>1173244</v>
      </c>
      <c r="D4099" s="0" t="s">
        <v>13715</v>
      </c>
      <c r="E4099" s="0" t="s">
        <v>13716</v>
      </c>
      <c r="F4099" s="0" t="s">
        <v>15</v>
      </c>
      <c r="G4099" s="0" t="s">
        <v>36</v>
      </c>
      <c r="H4099" s="0" t="n">
        <v>31</v>
      </c>
      <c r="I4099" s="0" t="s">
        <v>13717</v>
      </c>
      <c r="J4099" s="0" t="s">
        <v>13718</v>
      </c>
      <c r="K4099" s="0" t="s">
        <v>13719</v>
      </c>
      <c r="L4099" s="0" t="str">
        <f aca="false">HYPERLINK("https://www.ncbi.nlm.nih.gov/nuccore/CP000304.1?report=graph&amp;tracks=[key:gene_model_track,Options:GeneOnly]&amp;mk=1173225:1173244|offset_31|00cc00,1173259:1173278|offset_65|444444,1173279:1173298|offset_85|444444,1173348:1173367|offset_154|444444&amp;v=1173024:1173567&amp;c=444444", "offset 31")</f>
        <v>offset 31</v>
      </c>
    </row>
    <row r="4100" customFormat="false" ht="12.8" hidden="false" customHeight="false" outlineLevel="0" collapsed="false">
      <c r="A4100" s="0" t="s">
        <v>12</v>
      </c>
      <c r="B4100" s="0" t="n">
        <v>1173258</v>
      </c>
      <c r="C4100" s="0" t="n">
        <v>1173278</v>
      </c>
      <c r="D4100" s="0" t="s">
        <v>13715</v>
      </c>
      <c r="E4100" s="0" t="s">
        <v>13716</v>
      </c>
      <c r="F4100" s="0" t="s">
        <v>15</v>
      </c>
      <c r="G4100" s="0" t="s">
        <v>26</v>
      </c>
      <c r="H4100" s="0" t="n">
        <v>65</v>
      </c>
      <c r="I4100" s="0" t="s">
        <v>13720</v>
      </c>
      <c r="J4100" s="0" t="s">
        <v>13721</v>
      </c>
      <c r="K4100" s="0" t="s">
        <v>13722</v>
      </c>
      <c r="L4100" s="0" t="str">
        <f aca="false">HYPERLINK("https://www.ncbi.nlm.nih.gov/nuccore/CP000304.1?report=graph&amp;tracks=[key:gene_model_track,Options:GeneOnly]&amp;mk=1173225:1173244|offset_31|444444,1173259:1173278|offset_65|00cc00,1173279:1173298|offset_85|444444,1173348:1173367|offset_154|444444&amp;v=1173024:1173567&amp;c=444444", "offset 65")</f>
        <v>offset 65</v>
      </c>
    </row>
    <row r="4101" customFormat="false" ht="12.8" hidden="false" customHeight="false" outlineLevel="0" collapsed="false">
      <c r="A4101" s="0" t="s">
        <v>12</v>
      </c>
      <c r="B4101" s="0" t="n">
        <v>1173278</v>
      </c>
      <c r="C4101" s="0" t="n">
        <v>1173298</v>
      </c>
      <c r="D4101" s="0" t="s">
        <v>13715</v>
      </c>
      <c r="E4101" s="0" t="s">
        <v>13716</v>
      </c>
      <c r="F4101" s="0" t="s">
        <v>15</v>
      </c>
      <c r="G4101" s="0" t="s">
        <v>32</v>
      </c>
      <c r="H4101" s="0" t="n">
        <v>85</v>
      </c>
      <c r="I4101" s="0" t="s">
        <v>13723</v>
      </c>
      <c r="J4101" s="0" t="s">
        <v>13724</v>
      </c>
      <c r="K4101" s="0" t="s">
        <v>13725</v>
      </c>
      <c r="L4101" s="0" t="str">
        <f aca="false">HYPERLINK("https://www.ncbi.nlm.nih.gov/nuccore/CP000304.1?report=graph&amp;tracks=[key:gene_model_track,Options:GeneOnly]&amp;mk=1173225:1173244|offset_31|444444,1173259:1173278|offset_65|444444,1173279:1173298|offset_85|00cc00,1173348:1173367|offset_154|444444&amp;v=1173024:1173567&amp;c=444444", "offset 85")</f>
        <v>offset 85</v>
      </c>
    </row>
    <row r="4102" customFormat="false" ht="12.8" hidden="false" customHeight="false" outlineLevel="0" collapsed="false">
      <c r="A4102" s="0" t="s">
        <v>12</v>
      </c>
      <c r="B4102" s="0" t="n">
        <v>1173347</v>
      </c>
      <c r="C4102" s="0" t="n">
        <v>1173367</v>
      </c>
      <c r="D4102" s="0" t="s">
        <v>13715</v>
      </c>
      <c r="E4102" s="0" t="s">
        <v>13716</v>
      </c>
      <c r="F4102" s="0" t="s">
        <v>15</v>
      </c>
      <c r="G4102" s="0" t="s">
        <v>16</v>
      </c>
      <c r="H4102" s="0" t="n">
        <v>154</v>
      </c>
      <c r="I4102" s="0" t="s">
        <v>13726</v>
      </c>
      <c r="J4102" s="0" t="s">
        <v>13727</v>
      </c>
      <c r="K4102" s="0" t="s">
        <v>13728</v>
      </c>
      <c r="L4102" s="0" t="str">
        <f aca="false">HYPERLINK("https://www.ncbi.nlm.nih.gov/nuccore/CP000304.1?report=graph&amp;tracks=[key:gene_model_track,Options:GeneOnly]&amp;mk=1173225:1173244|offset_31|444444,1173259:1173278|offset_65|444444,1173279:1173298|offset_85|444444,1173348:1173367|offset_154|00cc00&amp;v=1173024:1173567&amp;c=444444", "offset 154")</f>
        <v>offset 154</v>
      </c>
    </row>
    <row r="4103" customFormat="false" ht="12.8" hidden="false" customHeight="false" outlineLevel="0" collapsed="false">
      <c r="A4103" s="0" t="s">
        <v>12</v>
      </c>
      <c r="B4103" s="0" t="n">
        <v>1174446</v>
      </c>
      <c r="C4103" s="0" t="n">
        <v>1174466</v>
      </c>
      <c r="D4103" s="0" t="s">
        <v>13729</v>
      </c>
      <c r="E4103" s="0" t="s">
        <v>13730</v>
      </c>
      <c r="F4103" s="0" t="s">
        <v>15</v>
      </c>
      <c r="G4103" s="0" t="s">
        <v>16</v>
      </c>
      <c r="H4103" s="0" t="n">
        <v>42</v>
      </c>
      <c r="I4103" s="0" t="s">
        <v>13731</v>
      </c>
      <c r="J4103" s="0" t="s">
        <v>13732</v>
      </c>
      <c r="K4103" s="0" t="s">
        <v>13733</v>
      </c>
      <c r="L4103" s="0" t="str">
        <f aca="false">HYPERLINK("https://www.ncbi.nlm.nih.gov/nuccore/CP000304.1?report=graph&amp;tracks=[key:gene_model_track,Options:GeneOnly]&amp;mk=1174447:1174466|offset_42|00cc00,1174470:1174489|offset_65|444444,1174508:1174527|offset_103|444444,1174541:1174560|offset_136|444444&amp;v=1174246:1174760&amp;c=444444", "offset 42")</f>
        <v>offset 42</v>
      </c>
    </row>
    <row r="4104" customFormat="false" ht="12.8" hidden="false" customHeight="false" outlineLevel="0" collapsed="false">
      <c r="A4104" s="0" t="s">
        <v>12</v>
      </c>
      <c r="B4104" s="0" t="n">
        <v>1174469</v>
      </c>
      <c r="C4104" s="0" t="n">
        <v>1174489</v>
      </c>
      <c r="D4104" s="0" t="s">
        <v>13729</v>
      </c>
      <c r="E4104" s="0" t="s">
        <v>13730</v>
      </c>
      <c r="F4104" s="0" t="s">
        <v>15</v>
      </c>
      <c r="G4104" s="0" t="s">
        <v>36</v>
      </c>
      <c r="H4104" s="0" t="n">
        <v>65</v>
      </c>
      <c r="I4104" s="0" t="s">
        <v>13734</v>
      </c>
      <c r="J4104" s="0" t="s">
        <v>13735</v>
      </c>
      <c r="K4104" s="0" t="s">
        <v>13736</v>
      </c>
      <c r="L4104" s="0" t="str">
        <f aca="false">HYPERLINK("https://www.ncbi.nlm.nih.gov/nuccore/CP000304.1?report=graph&amp;tracks=[key:gene_model_track,Options:GeneOnly]&amp;mk=1174447:1174466|offset_42|444444,1174470:1174489|offset_65|00cc00,1174508:1174527|offset_103|444444,1174541:1174560|offset_136|444444&amp;v=1174246:1174760&amp;c=444444", "offset 65")</f>
        <v>offset 65</v>
      </c>
    </row>
    <row r="4105" customFormat="false" ht="12.8" hidden="false" customHeight="false" outlineLevel="0" collapsed="false">
      <c r="A4105" s="0" t="s">
        <v>12</v>
      </c>
      <c r="B4105" s="0" t="n">
        <v>1174507</v>
      </c>
      <c r="C4105" s="0" t="n">
        <v>1174527</v>
      </c>
      <c r="D4105" s="0" t="s">
        <v>13729</v>
      </c>
      <c r="E4105" s="0" t="s">
        <v>13730</v>
      </c>
      <c r="F4105" s="0" t="s">
        <v>15</v>
      </c>
      <c r="G4105" s="0" t="s">
        <v>16</v>
      </c>
      <c r="H4105" s="0" t="n">
        <v>103</v>
      </c>
      <c r="I4105" s="0" t="s">
        <v>13737</v>
      </c>
      <c r="J4105" s="0" t="s">
        <v>13738</v>
      </c>
      <c r="K4105" s="0" t="s">
        <v>13739</v>
      </c>
      <c r="L4105" s="0" t="str">
        <f aca="false">HYPERLINK("https://www.ncbi.nlm.nih.gov/nuccore/CP000304.1?report=graph&amp;tracks=[key:gene_model_track,Options:GeneOnly]&amp;mk=1174447:1174466|offset_42|444444,1174470:1174489|offset_65|444444,1174508:1174527|offset_103|00cc00,1174541:1174560|offset_136|444444&amp;v=1174246:1174760&amp;c=444444", "offset 103")</f>
        <v>offset 103</v>
      </c>
    </row>
    <row r="4106" customFormat="false" ht="12.8" hidden="false" customHeight="false" outlineLevel="0" collapsed="false">
      <c r="A4106" s="0" t="s">
        <v>12</v>
      </c>
      <c r="B4106" s="0" t="n">
        <v>1174540</v>
      </c>
      <c r="C4106" s="0" t="n">
        <v>1174560</v>
      </c>
      <c r="D4106" s="0" t="s">
        <v>13729</v>
      </c>
      <c r="E4106" s="0" t="s">
        <v>13730</v>
      </c>
      <c r="F4106" s="0" t="s">
        <v>15</v>
      </c>
      <c r="G4106" s="0" t="s">
        <v>26</v>
      </c>
      <c r="H4106" s="0" t="n">
        <v>136</v>
      </c>
      <c r="I4106" s="0" t="s">
        <v>13740</v>
      </c>
      <c r="J4106" s="0" t="s">
        <v>13741</v>
      </c>
      <c r="K4106" s="0" t="s">
        <v>13742</v>
      </c>
      <c r="L4106" s="0" t="str">
        <f aca="false">HYPERLINK("https://www.ncbi.nlm.nih.gov/nuccore/CP000304.1?report=graph&amp;tracks=[key:gene_model_track,Options:GeneOnly]&amp;mk=1174447:1174466|offset_42|444444,1174470:1174489|offset_65|444444,1174508:1174527|offset_103|444444,1174541:1174560|offset_136|00cc00&amp;v=1174246:1174760&amp;c=444444", "offset 136")</f>
        <v>offset 136</v>
      </c>
    </row>
    <row r="4107" customFormat="false" ht="12.8" hidden="false" customHeight="false" outlineLevel="0" collapsed="false">
      <c r="A4107" s="0" t="s">
        <v>12</v>
      </c>
      <c r="B4107" s="0" t="n">
        <v>1175269</v>
      </c>
      <c r="C4107" s="0" t="n">
        <v>1175289</v>
      </c>
      <c r="D4107" s="0" t="s">
        <v>13743</v>
      </c>
      <c r="E4107" s="0" t="s">
        <v>13744</v>
      </c>
      <c r="F4107" s="0" t="s">
        <v>15</v>
      </c>
      <c r="G4107" s="0" t="s">
        <v>26</v>
      </c>
      <c r="H4107" s="0" t="n">
        <v>0</v>
      </c>
      <c r="I4107" s="0" t="s">
        <v>13745</v>
      </c>
      <c r="J4107" s="0" t="s">
        <v>13746</v>
      </c>
      <c r="K4107" s="0" t="s">
        <v>13747</v>
      </c>
      <c r="L4107" s="0" t="str">
        <f aca="false">HYPERLINK("https://www.ncbi.nlm.nih.gov/nuccore/CP000304.1?report=graph&amp;tracks=[key:gene_model_track,Options:GeneOnly]&amp;mk=1175270:1175289|offset_0|00cc00,1175304:1175323|offset_34|444444,1175338:1175357|offset_68|444444,1175392:1175411|offset_122|444444&amp;v=1175069:1175611&amp;c=444444", "offset 0")</f>
        <v>offset 0</v>
      </c>
    </row>
    <row r="4108" customFormat="false" ht="12.8" hidden="false" customHeight="false" outlineLevel="0" collapsed="false">
      <c r="A4108" s="0" t="s">
        <v>12</v>
      </c>
      <c r="B4108" s="0" t="n">
        <v>1175303</v>
      </c>
      <c r="C4108" s="0" t="n">
        <v>1175323</v>
      </c>
      <c r="D4108" s="0" t="s">
        <v>13743</v>
      </c>
      <c r="E4108" s="0" t="s">
        <v>13744</v>
      </c>
      <c r="F4108" s="0" t="s">
        <v>15</v>
      </c>
      <c r="G4108" s="0" t="s">
        <v>16</v>
      </c>
      <c r="H4108" s="0" t="n">
        <v>34</v>
      </c>
      <c r="I4108" s="0" t="s">
        <v>13748</v>
      </c>
      <c r="J4108" s="0" t="s">
        <v>13749</v>
      </c>
      <c r="K4108" s="0" t="s">
        <v>13750</v>
      </c>
      <c r="L4108" s="0" t="str">
        <f aca="false">HYPERLINK("https://www.ncbi.nlm.nih.gov/nuccore/CP000304.1?report=graph&amp;tracks=[key:gene_model_track,Options:GeneOnly]&amp;mk=1175270:1175289|offset_0|444444,1175304:1175323|offset_34|00cc00,1175338:1175357|offset_68|444444,1175392:1175411|offset_122|444444&amp;v=1175069:1175611&amp;c=444444", "offset 34")</f>
        <v>offset 34</v>
      </c>
    </row>
    <row r="4109" customFormat="false" ht="12.8" hidden="false" customHeight="false" outlineLevel="0" collapsed="false">
      <c r="A4109" s="0" t="s">
        <v>12</v>
      </c>
      <c r="B4109" s="0" t="n">
        <v>1175337</v>
      </c>
      <c r="C4109" s="0" t="n">
        <v>1175357</v>
      </c>
      <c r="D4109" s="0" t="s">
        <v>13743</v>
      </c>
      <c r="E4109" s="0" t="s">
        <v>13744</v>
      </c>
      <c r="F4109" s="0" t="s">
        <v>15</v>
      </c>
      <c r="G4109" s="0" t="s">
        <v>26</v>
      </c>
      <c r="H4109" s="0" t="n">
        <v>68</v>
      </c>
      <c r="I4109" s="0" t="s">
        <v>13751</v>
      </c>
      <c r="J4109" s="0" t="s">
        <v>13752</v>
      </c>
      <c r="K4109" s="0" t="s">
        <v>13753</v>
      </c>
      <c r="L4109" s="0" t="str">
        <f aca="false">HYPERLINK("https://www.ncbi.nlm.nih.gov/nuccore/CP000304.1?report=graph&amp;tracks=[key:gene_model_track,Options:GeneOnly]&amp;mk=1175270:1175289|offset_0|444444,1175304:1175323|offset_34|444444,1175338:1175357|offset_68|00cc00,1175392:1175411|offset_122|444444&amp;v=1175069:1175611&amp;c=444444", "offset 68")</f>
        <v>offset 68</v>
      </c>
    </row>
    <row r="4110" customFormat="false" ht="12.8" hidden="false" customHeight="false" outlineLevel="0" collapsed="false">
      <c r="A4110" s="0" t="s">
        <v>12</v>
      </c>
      <c r="B4110" s="0" t="n">
        <v>1175391</v>
      </c>
      <c r="C4110" s="0" t="n">
        <v>1175411</v>
      </c>
      <c r="D4110" s="0" t="s">
        <v>13743</v>
      </c>
      <c r="E4110" s="0" t="s">
        <v>13744</v>
      </c>
      <c r="F4110" s="0" t="s">
        <v>15</v>
      </c>
      <c r="G4110" s="0" t="s">
        <v>32</v>
      </c>
      <c r="H4110" s="0" t="n">
        <v>122</v>
      </c>
      <c r="I4110" s="0" t="s">
        <v>13754</v>
      </c>
      <c r="J4110" s="0" t="s">
        <v>13755</v>
      </c>
      <c r="K4110" s="0" t="s">
        <v>13756</v>
      </c>
      <c r="L4110" s="0" t="str">
        <f aca="false">HYPERLINK("https://www.ncbi.nlm.nih.gov/nuccore/CP000304.1?report=graph&amp;tracks=[key:gene_model_track,Options:GeneOnly]&amp;mk=1175270:1175289|offset_0|444444,1175304:1175323|offset_34|444444,1175338:1175357|offset_68|444444,1175392:1175411|offset_122|00cc00&amp;v=1175069:1175611&amp;c=444444", "offset 122")</f>
        <v>offset 122</v>
      </c>
    </row>
    <row r="4111" customFormat="false" ht="12.8" hidden="false" customHeight="false" outlineLevel="0" collapsed="false">
      <c r="A4111" s="0" t="s">
        <v>12</v>
      </c>
      <c r="B4111" s="0" t="n">
        <v>1175916</v>
      </c>
      <c r="C4111" s="0" t="n">
        <v>1175936</v>
      </c>
      <c r="D4111" s="0" t="s">
        <v>13757</v>
      </c>
      <c r="E4111" s="0" t="s">
        <v>13758</v>
      </c>
      <c r="F4111" s="0" t="s">
        <v>15</v>
      </c>
      <c r="G4111" s="0" t="s">
        <v>36</v>
      </c>
      <c r="H4111" s="0" t="n">
        <v>17</v>
      </c>
      <c r="I4111" s="0" t="s">
        <v>13759</v>
      </c>
      <c r="J4111" s="0" t="s">
        <v>13760</v>
      </c>
      <c r="K4111" s="0" t="s">
        <v>13761</v>
      </c>
      <c r="L4111" s="0" t="str">
        <f aca="false">HYPERLINK("https://www.ncbi.nlm.nih.gov/nuccore/CP000304.1?report=graph&amp;tracks=[key:gene_model_track,Options:GeneOnly]&amp;mk=1175917:1175936|offset_17|00cc00,1175969:1175988|offset_69|444444,1175996:1176015|offset_96|444444,1176024:1176043|offset_124|444444&amp;v=1175716:1176243&amp;c=444444", "offset 17")</f>
        <v>offset 17</v>
      </c>
    </row>
    <row r="4112" customFormat="false" ht="12.8" hidden="false" customHeight="false" outlineLevel="0" collapsed="false">
      <c r="A4112" s="0" t="s">
        <v>12</v>
      </c>
      <c r="B4112" s="0" t="n">
        <v>1175968</v>
      </c>
      <c r="C4112" s="0" t="n">
        <v>1175988</v>
      </c>
      <c r="D4112" s="0" t="s">
        <v>13757</v>
      </c>
      <c r="E4112" s="0" t="s">
        <v>13758</v>
      </c>
      <c r="F4112" s="0" t="s">
        <v>15</v>
      </c>
      <c r="G4112" s="0" t="s">
        <v>16</v>
      </c>
      <c r="H4112" s="0" t="n">
        <v>69</v>
      </c>
      <c r="I4112" s="0" t="s">
        <v>13762</v>
      </c>
      <c r="J4112" s="0" t="s">
        <v>13763</v>
      </c>
      <c r="K4112" s="0" t="s">
        <v>13764</v>
      </c>
      <c r="L4112" s="0" t="str">
        <f aca="false">HYPERLINK("https://www.ncbi.nlm.nih.gov/nuccore/CP000304.1?report=graph&amp;tracks=[key:gene_model_track,Options:GeneOnly]&amp;mk=1175917:1175936|offset_17|444444,1175969:1175988|offset_69|00cc00,1175996:1176015|offset_96|444444,1176024:1176043|offset_124|444444&amp;v=1175716:1176243&amp;c=444444", "offset 69")</f>
        <v>offset 69</v>
      </c>
    </row>
    <row r="4113" customFormat="false" ht="12.8" hidden="false" customHeight="false" outlineLevel="0" collapsed="false">
      <c r="A4113" s="0" t="s">
        <v>12</v>
      </c>
      <c r="B4113" s="0" t="n">
        <v>1175995</v>
      </c>
      <c r="C4113" s="0" t="n">
        <v>1176015</v>
      </c>
      <c r="D4113" s="0" t="s">
        <v>13757</v>
      </c>
      <c r="E4113" s="0" t="s">
        <v>13758</v>
      </c>
      <c r="F4113" s="0" t="s">
        <v>15</v>
      </c>
      <c r="G4113" s="0" t="s">
        <v>16</v>
      </c>
      <c r="H4113" s="0" t="n">
        <v>96</v>
      </c>
      <c r="I4113" s="0" t="s">
        <v>13765</v>
      </c>
      <c r="J4113" s="0" t="s">
        <v>13766</v>
      </c>
      <c r="K4113" s="0" t="s">
        <v>13767</v>
      </c>
      <c r="L4113" s="0" t="str">
        <f aca="false">HYPERLINK("https://www.ncbi.nlm.nih.gov/nuccore/CP000304.1?report=graph&amp;tracks=[key:gene_model_track,Options:GeneOnly]&amp;mk=1175917:1175936|offset_17|444444,1175969:1175988|offset_69|444444,1175996:1176015|offset_96|00cc00,1176024:1176043|offset_124|444444&amp;v=1175716:1176243&amp;c=444444", "offset 96")</f>
        <v>offset 96</v>
      </c>
    </row>
    <row r="4114" customFormat="false" ht="12.8" hidden="false" customHeight="false" outlineLevel="0" collapsed="false">
      <c r="A4114" s="0" t="s">
        <v>12</v>
      </c>
      <c r="B4114" s="0" t="n">
        <v>1176023</v>
      </c>
      <c r="C4114" s="0" t="n">
        <v>1176043</v>
      </c>
      <c r="D4114" s="0" t="s">
        <v>13757</v>
      </c>
      <c r="E4114" s="0" t="s">
        <v>13758</v>
      </c>
      <c r="F4114" s="0" t="s">
        <v>15</v>
      </c>
      <c r="G4114" s="0" t="s">
        <v>32</v>
      </c>
      <c r="H4114" s="0" t="n">
        <v>124</v>
      </c>
      <c r="I4114" s="0" t="s">
        <v>13768</v>
      </c>
      <c r="J4114" s="0" t="s">
        <v>13769</v>
      </c>
      <c r="K4114" s="0" t="s">
        <v>13770</v>
      </c>
      <c r="L4114" s="0" t="str">
        <f aca="false">HYPERLINK("https://www.ncbi.nlm.nih.gov/nuccore/CP000304.1?report=graph&amp;tracks=[key:gene_model_track,Options:GeneOnly]&amp;mk=1175917:1175936|offset_17|444444,1175969:1175988|offset_69|444444,1175996:1176015|offset_96|444444,1176024:1176043|offset_124|00cc00&amp;v=1175716:1176243&amp;c=444444", "offset 124")</f>
        <v>offset 124</v>
      </c>
    </row>
    <row r="4115" customFormat="false" ht="12.8" hidden="false" customHeight="false" outlineLevel="0" collapsed="false">
      <c r="A4115" s="0" t="s">
        <v>12</v>
      </c>
      <c r="B4115" s="0" t="n">
        <v>1176896</v>
      </c>
      <c r="C4115" s="0" t="n">
        <v>1176916</v>
      </c>
      <c r="D4115" s="0" t="s">
        <v>13771</v>
      </c>
      <c r="E4115" s="0" t="s">
        <v>89</v>
      </c>
      <c r="F4115" s="0" t="s">
        <v>90</v>
      </c>
      <c r="G4115" s="0" t="s">
        <v>16</v>
      </c>
      <c r="H4115" s="0" t="n">
        <v>8</v>
      </c>
      <c r="I4115" s="0" t="s">
        <v>13772</v>
      </c>
      <c r="J4115" s="0" t="s">
        <v>13773</v>
      </c>
      <c r="K4115" s="0" t="s">
        <v>13774</v>
      </c>
      <c r="L4115" s="0" t="str">
        <f aca="false">HYPERLINK("https://www.ncbi.nlm.nih.gov/nuccore/CP000304.1?report=graph&amp;tracks=[key:gene_model_track,Options:GeneOnly]&amp;mk=1176897:1176916|offset_8|00cc00,1176874:1176893|offset_31|444444,1176826:1176845|offset_79|444444,1176805:1176824|offset_100|444444&amp;v=1176696:1177024&amp;c=444444", "offset 8")</f>
        <v>offset 8</v>
      </c>
    </row>
    <row r="4116" customFormat="false" ht="12.8" hidden="false" customHeight="false" outlineLevel="0" collapsed="false">
      <c r="A4116" s="0" t="s">
        <v>12</v>
      </c>
      <c r="B4116" s="0" t="n">
        <v>1176873</v>
      </c>
      <c r="C4116" s="0" t="n">
        <v>1176893</v>
      </c>
      <c r="D4116" s="0" t="s">
        <v>13771</v>
      </c>
      <c r="E4116" s="0" t="s">
        <v>89</v>
      </c>
      <c r="F4116" s="0" t="s">
        <v>90</v>
      </c>
      <c r="G4116" s="0" t="s">
        <v>36</v>
      </c>
      <c r="H4116" s="0" t="n">
        <v>31</v>
      </c>
      <c r="I4116" s="0" t="s">
        <v>13775</v>
      </c>
      <c r="J4116" s="0" t="s">
        <v>13776</v>
      </c>
      <c r="K4116" s="0" t="s">
        <v>13777</v>
      </c>
      <c r="L4116" s="0" t="str">
        <f aca="false">HYPERLINK("https://www.ncbi.nlm.nih.gov/nuccore/CP000304.1?report=graph&amp;tracks=[key:gene_model_track,Options:GeneOnly]&amp;mk=1176897:1176916|offset_8|444444,1176874:1176893|offset_31|00cc00,1176826:1176845|offset_79|444444,1176805:1176824|offset_100|444444&amp;v=1176696:1177024&amp;c=444444", "offset 31")</f>
        <v>offset 31</v>
      </c>
    </row>
    <row r="4117" customFormat="false" ht="12.8" hidden="false" customHeight="false" outlineLevel="0" collapsed="false">
      <c r="A4117" s="0" t="s">
        <v>12</v>
      </c>
      <c r="B4117" s="0" t="n">
        <v>1176825</v>
      </c>
      <c r="C4117" s="0" t="n">
        <v>1176845</v>
      </c>
      <c r="D4117" s="0" t="s">
        <v>13771</v>
      </c>
      <c r="E4117" s="0" t="s">
        <v>89</v>
      </c>
      <c r="F4117" s="0" t="s">
        <v>90</v>
      </c>
      <c r="G4117" s="0" t="s">
        <v>32</v>
      </c>
      <c r="H4117" s="0" t="n">
        <v>79</v>
      </c>
      <c r="I4117" s="0" t="s">
        <v>13778</v>
      </c>
      <c r="J4117" s="0" t="s">
        <v>13779</v>
      </c>
      <c r="K4117" s="0" t="s">
        <v>13780</v>
      </c>
      <c r="L4117" s="0" t="str">
        <f aca="false">HYPERLINK("https://www.ncbi.nlm.nih.gov/nuccore/CP000304.1?report=graph&amp;tracks=[key:gene_model_track,Options:GeneOnly]&amp;mk=1176897:1176916|offset_8|444444,1176874:1176893|offset_31|444444,1176826:1176845|offset_79|00cc00,1176805:1176824|offset_100|444444&amp;v=1176696:1177024&amp;c=444444", "offset 79")</f>
        <v>offset 79</v>
      </c>
    </row>
    <row r="4118" customFormat="false" ht="12.8" hidden="false" customHeight="false" outlineLevel="0" collapsed="false">
      <c r="A4118" s="0" t="s">
        <v>12</v>
      </c>
      <c r="B4118" s="0" t="n">
        <v>1176804</v>
      </c>
      <c r="C4118" s="0" t="n">
        <v>1176824</v>
      </c>
      <c r="D4118" s="0" t="s">
        <v>13771</v>
      </c>
      <c r="E4118" s="0" t="s">
        <v>89</v>
      </c>
      <c r="F4118" s="0" t="s">
        <v>90</v>
      </c>
      <c r="G4118" s="0" t="s">
        <v>16</v>
      </c>
      <c r="H4118" s="0" t="n">
        <v>100</v>
      </c>
      <c r="I4118" s="0" t="s">
        <v>13781</v>
      </c>
      <c r="J4118" s="0" t="s">
        <v>13782</v>
      </c>
      <c r="K4118" s="0" t="s">
        <v>13783</v>
      </c>
      <c r="L4118" s="0" t="str">
        <f aca="false">HYPERLINK("https://www.ncbi.nlm.nih.gov/nuccore/CP000304.1?report=graph&amp;tracks=[key:gene_model_track,Options:GeneOnly]&amp;mk=1176897:1176916|offset_8|444444,1176874:1176893|offset_31|444444,1176826:1176845|offset_79|444444,1176805:1176824|offset_100|00cc00&amp;v=1176696:1177024&amp;c=444444", "offset 100")</f>
        <v>offset 100</v>
      </c>
    </row>
    <row r="4119" customFormat="false" ht="12.8" hidden="false" customHeight="false" outlineLevel="0" collapsed="false">
      <c r="A4119" s="0" t="s">
        <v>12</v>
      </c>
      <c r="B4119" s="0" t="n">
        <v>1177430</v>
      </c>
      <c r="C4119" s="0" t="n">
        <v>1177450</v>
      </c>
      <c r="D4119" s="0" t="s">
        <v>13784</v>
      </c>
      <c r="E4119" s="0" t="s">
        <v>13785</v>
      </c>
      <c r="F4119" s="0" t="s">
        <v>90</v>
      </c>
      <c r="G4119" s="0" t="s">
        <v>32</v>
      </c>
      <c r="H4119" s="0" t="n">
        <v>1</v>
      </c>
      <c r="I4119" s="0" t="s">
        <v>13786</v>
      </c>
      <c r="J4119" s="0" t="s">
        <v>13787</v>
      </c>
      <c r="K4119" s="0" t="s">
        <v>13788</v>
      </c>
      <c r="L4119" s="0" t="str">
        <f aca="false">HYPERLINK("https://www.ncbi.nlm.nih.gov/nuccore/CP000304.1?report=graph&amp;tracks=[key:gene_model_track,Options:GeneOnly]&amp;mk=1177431:1177450|offset_1|00cc00,1177398:1177417|offset_34|444444,1177355:1177374|offset_77|444444,1177329:1177348|offset_103|444444&amp;v=1177230:1177548&amp;c=444444", "offset 1")</f>
        <v>offset 1</v>
      </c>
    </row>
    <row r="4120" customFormat="false" ht="12.8" hidden="false" customHeight="false" outlineLevel="0" collapsed="false">
      <c r="A4120" s="0" t="s">
        <v>12</v>
      </c>
      <c r="B4120" s="0" t="n">
        <v>1177397</v>
      </c>
      <c r="C4120" s="0" t="n">
        <v>1177417</v>
      </c>
      <c r="D4120" s="0" t="s">
        <v>13784</v>
      </c>
      <c r="E4120" s="0" t="s">
        <v>13785</v>
      </c>
      <c r="F4120" s="0" t="s">
        <v>90</v>
      </c>
      <c r="G4120" s="0" t="s">
        <v>16</v>
      </c>
      <c r="H4120" s="0" t="n">
        <v>34</v>
      </c>
      <c r="I4120" s="0" t="s">
        <v>13789</v>
      </c>
      <c r="J4120" s="0" t="s">
        <v>13790</v>
      </c>
      <c r="K4120" s="0" t="s">
        <v>13791</v>
      </c>
      <c r="L4120" s="0" t="str">
        <f aca="false">HYPERLINK("https://www.ncbi.nlm.nih.gov/nuccore/CP000304.1?report=graph&amp;tracks=[key:gene_model_track,Options:GeneOnly]&amp;mk=1177431:1177450|offset_1|444444,1177398:1177417|offset_34|00cc00,1177355:1177374|offset_77|444444,1177329:1177348|offset_103|444444&amp;v=1177230:1177548&amp;c=444444", "offset 34")</f>
        <v>offset 34</v>
      </c>
    </row>
    <row r="4121" customFormat="false" ht="12.8" hidden="false" customHeight="false" outlineLevel="0" collapsed="false">
      <c r="A4121" s="0" t="s">
        <v>12</v>
      </c>
      <c r="B4121" s="0" t="n">
        <v>1177354</v>
      </c>
      <c r="C4121" s="0" t="n">
        <v>1177374</v>
      </c>
      <c r="D4121" s="0" t="s">
        <v>13784</v>
      </c>
      <c r="E4121" s="0" t="s">
        <v>13785</v>
      </c>
      <c r="F4121" s="0" t="s">
        <v>90</v>
      </c>
      <c r="G4121" s="0" t="s">
        <v>26</v>
      </c>
      <c r="H4121" s="0" t="n">
        <v>77</v>
      </c>
      <c r="I4121" s="0" t="s">
        <v>13792</v>
      </c>
      <c r="J4121" s="0" t="s">
        <v>13793</v>
      </c>
      <c r="K4121" s="0" t="s">
        <v>13794</v>
      </c>
      <c r="L4121" s="0" t="str">
        <f aca="false">HYPERLINK("https://www.ncbi.nlm.nih.gov/nuccore/CP000304.1?report=graph&amp;tracks=[key:gene_model_track,Options:GeneOnly]&amp;mk=1177431:1177450|offset_1|444444,1177398:1177417|offset_34|444444,1177355:1177374|offset_77|00cc00,1177329:1177348|offset_103|444444&amp;v=1177230:1177548&amp;c=444444", "offset 77")</f>
        <v>offset 77</v>
      </c>
    </row>
    <row r="4122" customFormat="false" ht="12.8" hidden="false" customHeight="false" outlineLevel="0" collapsed="false">
      <c r="A4122" s="0" t="s">
        <v>12</v>
      </c>
      <c r="B4122" s="0" t="n">
        <v>1177328</v>
      </c>
      <c r="C4122" s="0" t="n">
        <v>1177348</v>
      </c>
      <c r="D4122" s="0" t="s">
        <v>13784</v>
      </c>
      <c r="E4122" s="0" t="s">
        <v>13785</v>
      </c>
      <c r="F4122" s="0" t="s">
        <v>90</v>
      </c>
      <c r="G4122" s="0" t="s">
        <v>16</v>
      </c>
      <c r="H4122" s="0" t="n">
        <v>103</v>
      </c>
      <c r="I4122" s="0" t="s">
        <v>13795</v>
      </c>
      <c r="J4122" s="0" t="s">
        <v>13796</v>
      </c>
      <c r="K4122" s="0" t="s">
        <v>13797</v>
      </c>
      <c r="L4122" s="0" t="str">
        <f aca="false">HYPERLINK("https://www.ncbi.nlm.nih.gov/nuccore/CP000304.1?report=graph&amp;tracks=[key:gene_model_track,Options:GeneOnly]&amp;mk=1177431:1177450|offset_1|444444,1177398:1177417|offset_34|444444,1177355:1177374|offset_77|444444,1177329:1177348|offset_103|00cc00&amp;v=1177230:1177548&amp;c=444444", "offset 103")</f>
        <v>offset 103</v>
      </c>
    </row>
    <row r="4123" customFormat="false" ht="12.8" hidden="false" customHeight="false" outlineLevel="0" collapsed="false">
      <c r="A4123" s="0" t="s">
        <v>12</v>
      </c>
      <c r="B4123" s="0" t="n">
        <v>1177955</v>
      </c>
      <c r="C4123" s="0" t="n">
        <v>1177975</v>
      </c>
      <c r="D4123" s="0" t="s">
        <v>13798</v>
      </c>
      <c r="E4123" s="0" t="s">
        <v>89</v>
      </c>
      <c r="F4123" s="0" t="s">
        <v>90</v>
      </c>
      <c r="G4123" s="0" t="s">
        <v>32</v>
      </c>
      <c r="H4123" s="0" t="n">
        <v>14</v>
      </c>
      <c r="I4123" s="0" t="s">
        <v>13799</v>
      </c>
      <c r="J4123" s="0" t="s">
        <v>13800</v>
      </c>
      <c r="K4123" s="0" t="s">
        <v>13801</v>
      </c>
      <c r="L4123" s="0" t="str">
        <f aca="false">HYPERLINK("https://www.ncbi.nlm.nih.gov/nuccore/CP000304.1?report=graph&amp;tracks=[key:gene_model_track,Options:GeneOnly]&amp;mk=1177956:1177975|offset_14|00cc00,1177936:1177955|offset_34|444444,1177899:1177918|offset_71|444444,1177869:1177888|offset_101|444444&amp;v=1177755:1178088&amp;c=444444", "offset 14")</f>
        <v>offset 14</v>
      </c>
    </row>
    <row r="4124" customFormat="false" ht="12.8" hidden="false" customHeight="false" outlineLevel="0" collapsed="false">
      <c r="A4124" s="0" t="s">
        <v>12</v>
      </c>
      <c r="B4124" s="0" t="n">
        <v>1177935</v>
      </c>
      <c r="C4124" s="0" t="n">
        <v>1177955</v>
      </c>
      <c r="D4124" s="0" t="s">
        <v>13798</v>
      </c>
      <c r="E4124" s="0" t="s">
        <v>89</v>
      </c>
      <c r="F4124" s="0" t="s">
        <v>90</v>
      </c>
      <c r="G4124" s="0" t="s">
        <v>16</v>
      </c>
      <c r="H4124" s="0" t="n">
        <v>34</v>
      </c>
      <c r="I4124" s="0" t="s">
        <v>13802</v>
      </c>
      <c r="J4124" s="0" t="s">
        <v>13803</v>
      </c>
      <c r="K4124" s="0" t="s">
        <v>13804</v>
      </c>
      <c r="L4124" s="0" t="str">
        <f aca="false">HYPERLINK("https://www.ncbi.nlm.nih.gov/nuccore/CP000304.1?report=graph&amp;tracks=[key:gene_model_track,Options:GeneOnly]&amp;mk=1177956:1177975|offset_14|444444,1177936:1177955|offset_34|00cc00,1177899:1177918|offset_71|444444,1177869:1177888|offset_101|444444&amp;v=1177755:1178088&amp;c=444444", "offset 34")</f>
        <v>offset 34</v>
      </c>
    </row>
    <row r="4125" customFormat="false" ht="12.8" hidden="false" customHeight="false" outlineLevel="0" collapsed="false">
      <c r="A4125" s="0" t="s">
        <v>12</v>
      </c>
      <c r="B4125" s="0" t="n">
        <v>1177898</v>
      </c>
      <c r="C4125" s="0" t="n">
        <v>1177918</v>
      </c>
      <c r="D4125" s="0" t="s">
        <v>13798</v>
      </c>
      <c r="E4125" s="0" t="s">
        <v>89</v>
      </c>
      <c r="F4125" s="0" t="s">
        <v>90</v>
      </c>
      <c r="G4125" s="0" t="s">
        <v>26</v>
      </c>
      <c r="H4125" s="0" t="n">
        <v>71</v>
      </c>
      <c r="I4125" s="0" t="s">
        <v>13805</v>
      </c>
      <c r="J4125" s="0" t="s">
        <v>13806</v>
      </c>
      <c r="K4125" s="0" t="s">
        <v>13807</v>
      </c>
      <c r="L4125" s="0" t="str">
        <f aca="false">HYPERLINK("https://www.ncbi.nlm.nih.gov/nuccore/CP000304.1?report=graph&amp;tracks=[key:gene_model_track,Options:GeneOnly]&amp;mk=1177956:1177975|offset_14|444444,1177936:1177955|offset_34|444444,1177899:1177918|offset_71|00cc00,1177869:1177888|offset_101|444444&amp;v=1177755:1178088&amp;c=444444", "offset 71")</f>
        <v>offset 71</v>
      </c>
    </row>
    <row r="4126" customFormat="false" ht="12.8" hidden="false" customHeight="false" outlineLevel="0" collapsed="false">
      <c r="A4126" s="0" t="s">
        <v>12</v>
      </c>
      <c r="B4126" s="0" t="n">
        <v>1177868</v>
      </c>
      <c r="C4126" s="0" t="n">
        <v>1177888</v>
      </c>
      <c r="D4126" s="0" t="s">
        <v>13798</v>
      </c>
      <c r="E4126" s="0" t="s">
        <v>89</v>
      </c>
      <c r="F4126" s="0" t="s">
        <v>90</v>
      </c>
      <c r="G4126" s="0" t="s">
        <v>16</v>
      </c>
      <c r="H4126" s="0" t="n">
        <v>101</v>
      </c>
      <c r="I4126" s="0" t="s">
        <v>13808</v>
      </c>
      <c r="J4126" s="0" t="s">
        <v>13809</v>
      </c>
      <c r="K4126" s="0" t="s">
        <v>13810</v>
      </c>
      <c r="L4126" s="0" t="str">
        <f aca="false">HYPERLINK("https://www.ncbi.nlm.nih.gov/nuccore/CP000304.1?report=graph&amp;tracks=[key:gene_model_track,Options:GeneOnly]&amp;mk=1177956:1177975|offset_14|444444,1177936:1177955|offset_34|444444,1177899:1177918|offset_71|444444,1177869:1177888|offset_101|00cc00&amp;v=1177755:1178088&amp;c=444444", "offset 101")</f>
        <v>offset 101</v>
      </c>
    </row>
    <row r="4127" customFormat="false" ht="12.8" hidden="false" customHeight="false" outlineLevel="0" collapsed="false">
      <c r="A4127" s="0" t="s">
        <v>12</v>
      </c>
      <c r="B4127" s="0" t="n">
        <v>1179771</v>
      </c>
      <c r="C4127" s="0" t="n">
        <v>1179791</v>
      </c>
      <c r="D4127" s="0" t="s">
        <v>13811</v>
      </c>
      <c r="E4127" s="0" t="s">
        <v>89</v>
      </c>
      <c r="F4127" s="0" t="s">
        <v>90</v>
      </c>
      <c r="G4127" s="0" t="s">
        <v>32</v>
      </c>
      <c r="H4127" s="0" t="n">
        <v>0</v>
      </c>
      <c r="I4127" s="0" t="s">
        <v>13812</v>
      </c>
      <c r="J4127" s="0" t="s">
        <v>13813</v>
      </c>
      <c r="K4127" s="0" t="s">
        <v>13814</v>
      </c>
      <c r="L4127" s="0" t="str">
        <f aca="false">HYPERLINK("https://www.ncbi.nlm.nih.gov/nuccore/CP000304.1?report=graph&amp;tracks=[key:gene_model_track,Options:GeneOnly]&amp;mk=1179772:1179791|offset_0|00cc00,1179752:1179771|offset_20|444444,1179732:1179751|offset_40|444444,1179711:1179730|offset_61|444444&amp;v=1179571:1179930&amp;c=444444", "offset 0")</f>
        <v>offset 0</v>
      </c>
    </row>
    <row r="4128" customFormat="false" ht="12.8" hidden="false" customHeight="false" outlineLevel="0" collapsed="false">
      <c r="A4128" s="0" t="s">
        <v>12</v>
      </c>
      <c r="B4128" s="0" t="n">
        <v>1179751</v>
      </c>
      <c r="C4128" s="0" t="n">
        <v>1179771</v>
      </c>
      <c r="D4128" s="0" t="s">
        <v>13811</v>
      </c>
      <c r="E4128" s="0" t="s">
        <v>89</v>
      </c>
      <c r="F4128" s="0" t="s">
        <v>90</v>
      </c>
      <c r="G4128" s="0" t="s">
        <v>26</v>
      </c>
      <c r="H4128" s="0" t="n">
        <v>20</v>
      </c>
      <c r="I4128" s="0" t="s">
        <v>13815</v>
      </c>
      <c r="J4128" s="0" t="s">
        <v>13816</v>
      </c>
      <c r="K4128" s="0" t="s">
        <v>13817</v>
      </c>
      <c r="L4128" s="0" t="str">
        <f aca="false">HYPERLINK("https://www.ncbi.nlm.nih.gov/nuccore/CP000304.1?report=graph&amp;tracks=[key:gene_model_track,Options:GeneOnly]&amp;mk=1179772:1179791|offset_0|444444,1179752:1179771|offset_20|00cc00,1179732:1179751|offset_40|444444,1179711:1179730|offset_61|444444&amp;v=1179571:1179930&amp;c=444444", "offset 20")</f>
        <v>offset 20</v>
      </c>
    </row>
    <row r="4129" customFormat="false" ht="12.8" hidden="false" customHeight="false" outlineLevel="0" collapsed="false">
      <c r="A4129" s="0" t="s">
        <v>12</v>
      </c>
      <c r="B4129" s="0" t="n">
        <v>1179731</v>
      </c>
      <c r="C4129" s="0" t="n">
        <v>1179751</v>
      </c>
      <c r="D4129" s="0" t="s">
        <v>13811</v>
      </c>
      <c r="E4129" s="0" t="s">
        <v>89</v>
      </c>
      <c r="F4129" s="0" t="s">
        <v>90</v>
      </c>
      <c r="G4129" s="0" t="s">
        <v>32</v>
      </c>
      <c r="H4129" s="0" t="n">
        <v>40</v>
      </c>
      <c r="I4129" s="0" t="s">
        <v>13818</v>
      </c>
      <c r="J4129" s="0" t="s">
        <v>13819</v>
      </c>
      <c r="K4129" s="0" t="s">
        <v>13820</v>
      </c>
      <c r="L4129" s="0" t="str">
        <f aca="false">HYPERLINK("https://www.ncbi.nlm.nih.gov/nuccore/CP000304.1?report=graph&amp;tracks=[key:gene_model_track,Options:GeneOnly]&amp;mk=1179772:1179791|offset_0|444444,1179752:1179771|offset_20|444444,1179732:1179751|offset_40|00cc00,1179711:1179730|offset_61|444444&amp;v=1179571:1179930&amp;c=444444", "offset 40")</f>
        <v>offset 40</v>
      </c>
    </row>
    <row r="4130" customFormat="false" ht="12.8" hidden="false" customHeight="false" outlineLevel="0" collapsed="false">
      <c r="A4130" s="0" t="s">
        <v>12</v>
      </c>
      <c r="B4130" s="0" t="n">
        <v>1179710</v>
      </c>
      <c r="C4130" s="0" t="n">
        <v>1179730</v>
      </c>
      <c r="D4130" s="0" t="s">
        <v>13811</v>
      </c>
      <c r="E4130" s="0" t="s">
        <v>89</v>
      </c>
      <c r="F4130" s="0" t="s">
        <v>90</v>
      </c>
      <c r="G4130" s="0" t="s">
        <v>32</v>
      </c>
      <c r="H4130" s="0" t="n">
        <v>61</v>
      </c>
      <c r="I4130" s="0" t="s">
        <v>13821</v>
      </c>
      <c r="J4130" s="0" t="s">
        <v>13822</v>
      </c>
      <c r="K4130" s="0" t="s">
        <v>13823</v>
      </c>
      <c r="L4130" s="0" t="str">
        <f aca="false">HYPERLINK("https://www.ncbi.nlm.nih.gov/nuccore/CP000304.1?report=graph&amp;tracks=[key:gene_model_track,Options:GeneOnly]&amp;mk=1179772:1179791|offset_0|444444,1179752:1179771|offset_20|444444,1179732:1179751|offset_40|444444,1179711:1179730|offset_61|00cc00&amp;v=1179571:1179930&amp;c=444444", "offset 61")</f>
        <v>offset 61</v>
      </c>
    </row>
    <row r="4131" customFormat="false" ht="12.8" hidden="false" customHeight="false" outlineLevel="0" collapsed="false">
      <c r="A4131" s="0" t="s">
        <v>12</v>
      </c>
      <c r="B4131" s="0" t="n">
        <v>1179829</v>
      </c>
      <c r="C4131" s="0" t="n">
        <v>1179849</v>
      </c>
      <c r="D4131" s="0" t="s">
        <v>13824</v>
      </c>
      <c r="E4131" s="0" t="s">
        <v>89</v>
      </c>
      <c r="F4131" s="0" t="s">
        <v>15</v>
      </c>
      <c r="G4131" s="0" t="s">
        <v>16</v>
      </c>
      <c r="H4131" s="0" t="n">
        <v>10</v>
      </c>
      <c r="I4131" s="0" t="s">
        <v>13825</v>
      </c>
      <c r="J4131" s="0" t="s">
        <v>13826</v>
      </c>
      <c r="K4131" s="0" t="s">
        <v>13827</v>
      </c>
      <c r="L4131" s="0" t="str">
        <f aca="false">HYPERLINK("https://www.ncbi.nlm.nih.gov/nuccore/CP000304.1?report=graph&amp;tracks=[key:gene_model_track,Options:GeneOnly]&amp;mk=1179830:1179849|offset_10|00cc00,1179856:1179875|offset_36|444444,1179897:1179916|offset_77|444444,1179923:1179942|offset_103|444444&amp;v=1179629:1180142&amp;c=444444", "offset 10")</f>
        <v>offset 10</v>
      </c>
    </row>
    <row r="4132" customFormat="false" ht="12.8" hidden="false" customHeight="false" outlineLevel="0" collapsed="false">
      <c r="A4132" s="0" t="s">
        <v>12</v>
      </c>
      <c r="B4132" s="0" t="n">
        <v>1179855</v>
      </c>
      <c r="C4132" s="0" t="n">
        <v>1179875</v>
      </c>
      <c r="D4132" s="0" t="s">
        <v>13824</v>
      </c>
      <c r="E4132" s="0" t="s">
        <v>89</v>
      </c>
      <c r="F4132" s="0" t="s">
        <v>15</v>
      </c>
      <c r="G4132" s="0" t="s">
        <v>16</v>
      </c>
      <c r="H4132" s="0" t="n">
        <v>36</v>
      </c>
      <c r="I4132" s="0" t="s">
        <v>13828</v>
      </c>
      <c r="J4132" s="0" t="s">
        <v>13829</v>
      </c>
      <c r="K4132" s="0" t="s">
        <v>13830</v>
      </c>
      <c r="L4132" s="0" t="str">
        <f aca="false">HYPERLINK("https://www.ncbi.nlm.nih.gov/nuccore/CP000304.1?report=graph&amp;tracks=[key:gene_model_track,Options:GeneOnly]&amp;mk=1179830:1179849|offset_10|444444,1179856:1179875|offset_36|00cc00,1179897:1179916|offset_77|444444,1179923:1179942|offset_103|444444&amp;v=1179629:1180142&amp;c=444444", "offset 36")</f>
        <v>offset 36</v>
      </c>
    </row>
    <row r="4133" customFormat="false" ht="12.8" hidden="false" customHeight="false" outlineLevel="0" collapsed="false">
      <c r="A4133" s="0" t="s">
        <v>12</v>
      </c>
      <c r="B4133" s="0" t="n">
        <v>1179896</v>
      </c>
      <c r="C4133" s="0" t="n">
        <v>1179916</v>
      </c>
      <c r="D4133" s="0" t="s">
        <v>13824</v>
      </c>
      <c r="E4133" s="0" t="s">
        <v>89</v>
      </c>
      <c r="F4133" s="0" t="s">
        <v>15</v>
      </c>
      <c r="G4133" s="0" t="s">
        <v>26</v>
      </c>
      <c r="H4133" s="0" t="n">
        <v>77</v>
      </c>
      <c r="I4133" s="0" t="s">
        <v>13831</v>
      </c>
      <c r="J4133" s="0" t="s">
        <v>13832</v>
      </c>
      <c r="K4133" s="0" t="s">
        <v>13833</v>
      </c>
      <c r="L4133" s="0" t="str">
        <f aca="false">HYPERLINK("https://www.ncbi.nlm.nih.gov/nuccore/CP000304.1?report=graph&amp;tracks=[key:gene_model_track,Options:GeneOnly]&amp;mk=1179830:1179849|offset_10|444444,1179856:1179875|offset_36|444444,1179897:1179916|offset_77|00cc00,1179923:1179942|offset_103|444444&amp;v=1179629:1180142&amp;c=444444", "offset 77")</f>
        <v>offset 77</v>
      </c>
    </row>
    <row r="4134" customFormat="false" ht="12.8" hidden="false" customHeight="false" outlineLevel="0" collapsed="false">
      <c r="A4134" s="0" t="s">
        <v>12</v>
      </c>
      <c r="B4134" s="0" t="n">
        <v>1179922</v>
      </c>
      <c r="C4134" s="0" t="n">
        <v>1179942</v>
      </c>
      <c r="D4134" s="0" t="s">
        <v>13824</v>
      </c>
      <c r="E4134" s="0" t="s">
        <v>89</v>
      </c>
      <c r="F4134" s="0" t="s">
        <v>15</v>
      </c>
      <c r="G4134" s="0" t="s">
        <v>32</v>
      </c>
      <c r="H4134" s="0" t="n">
        <v>103</v>
      </c>
      <c r="I4134" s="0" t="s">
        <v>13834</v>
      </c>
      <c r="J4134" s="0" t="s">
        <v>13835</v>
      </c>
      <c r="K4134" s="0" t="s">
        <v>13836</v>
      </c>
      <c r="L4134" s="0" t="str">
        <f aca="false">HYPERLINK("https://www.ncbi.nlm.nih.gov/nuccore/CP000304.1?report=graph&amp;tracks=[key:gene_model_track,Options:GeneOnly]&amp;mk=1179830:1179849|offset_10|444444,1179856:1179875|offset_36|444444,1179897:1179916|offset_77|444444,1179923:1179942|offset_103|00cc00&amp;v=1179629:1180142&amp;c=444444", "offset 103")</f>
        <v>offset 103</v>
      </c>
    </row>
    <row r="4135" customFormat="false" ht="12.8" hidden="false" customHeight="false" outlineLevel="0" collapsed="false">
      <c r="A4135" s="0" t="s">
        <v>12</v>
      </c>
      <c r="B4135" s="0" t="n">
        <v>1181542</v>
      </c>
      <c r="C4135" s="0" t="n">
        <v>1181562</v>
      </c>
      <c r="D4135" s="0" t="s">
        <v>13837</v>
      </c>
      <c r="E4135" s="0" t="s">
        <v>89</v>
      </c>
      <c r="F4135" s="0" t="s">
        <v>15</v>
      </c>
      <c r="G4135" s="0" t="s">
        <v>32</v>
      </c>
      <c r="H4135" s="0" t="n">
        <v>1</v>
      </c>
      <c r="I4135" s="0" t="s">
        <v>13838</v>
      </c>
      <c r="J4135" s="0" t="s">
        <v>13839</v>
      </c>
      <c r="K4135" s="0" t="s">
        <v>13840</v>
      </c>
      <c r="L4135" s="0" t="str">
        <f aca="false">HYPERLINK("https://www.ncbi.nlm.nih.gov/nuccore/CP000304.1?report=graph&amp;tracks=[key:gene_model_track,Options:GeneOnly]&amp;mk=1181543:1181562|offset_1|00cc00,1181576:1181595|offset_34|444444,1181612:1181631|offset_70|444444,1181638:1181657|offset_96|444444&amp;v=1181342:1181857&amp;c=444444", "offset 1")</f>
        <v>offset 1</v>
      </c>
    </row>
    <row r="4136" customFormat="false" ht="12.8" hidden="false" customHeight="false" outlineLevel="0" collapsed="false">
      <c r="A4136" s="0" t="s">
        <v>12</v>
      </c>
      <c r="B4136" s="0" t="n">
        <v>1181575</v>
      </c>
      <c r="C4136" s="0" t="n">
        <v>1181595</v>
      </c>
      <c r="D4136" s="0" t="s">
        <v>13837</v>
      </c>
      <c r="E4136" s="0" t="s">
        <v>89</v>
      </c>
      <c r="F4136" s="0" t="s">
        <v>15</v>
      </c>
      <c r="G4136" s="0" t="s">
        <v>36</v>
      </c>
      <c r="H4136" s="0" t="n">
        <v>34</v>
      </c>
      <c r="I4136" s="0" t="s">
        <v>13841</v>
      </c>
      <c r="J4136" s="0" t="s">
        <v>13842</v>
      </c>
      <c r="K4136" s="0" t="s">
        <v>13843</v>
      </c>
      <c r="L4136" s="0" t="str">
        <f aca="false">HYPERLINK("https://www.ncbi.nlm.nih.gov/nuccore/CP000304.1?report=graph&amp;tracks=[key:gene_model_track,Options:GeneOnly]&amp;mk=1181543:1181562|offset_1|444444,1181576:1181595|offset_34|00cc00,1181612:1181631|offset_70|444444,1181638:1181657|offset_96|444444&amp;v=1181342:1181857&amp;c=444444", "offset 34")</f>
        <v>offset 34</v>
      </c>
    </row>
    <row r="4137" customFormat="false" ht="12.8" hidden="false" customHeight="false" outlineLevel="0" collapsed="false">
      <c r="A4137" s="0" t="s">
        <v>12</v>
      </c>
      <c r="B4137" s="0" t="n">
        <v>1181611</v>
      </c>
      <c r="C4137" s="0" t="n">
        <v>1181631</v>
      </c>
      <c r="D4137" s="0" t="s">
        <v>13837</v>
      </c>
      <c r="E4137" s="0" t="s">
        <v>89</v>
      </c>
      <c r="F4137" s="0" t="s">
        <v>15</v>
      </c>
      <c r="G4137" s="0" t="s">
        <v>16</v>
      </c>
      <c r="H4137" s="0" t="n">
        <v>70</v>
      </c>
      <c r="I4137" s="0" t="s">
        <v>13844</v>
      </c>
      <c r="J4137" s="0" t="s">
        <v>13845</v>
      </c>
      <c r="K4137" s="0" t="s">
        <v>13846</v>
      </c>
      <c r="L4137" s="0" t="str">
        <f aca="false">HYPERLINK("https://www.ncbi.nlm.nih.gov/nuccore/CP000304.1?report=graph&amp;tracks=[key:gene_model_track,Options:GeneOnly]&amp;mk=1181543:1181562|offset_1|444444,1181576:1181595|offset_34|444444,1181612:1181631|offset_70|00cc00,1181638:1181657|offset_96|444444&amp;v=1181342:1181857&amp;c=444444", "offset 70")</f>
        <v>offset 70</v>
      </c>
    </row>
    <row r="4138" customFormat="false" ht="12.8" hidden="false" customHeight="false" outlineLevel="0" collapsed="false">
      <c r="A4138" s="0" t="s">
        <v>12</v>
      </c>
      <c r="B4138" s="0" t="n">
        <v>1181637</v>
      </c>
      <c r="C4138" s="0" t="n">
        <v>1181657</v>
      </c>
      <c r="D4138" s="0" t="s">
        <v>13837</v>
      </c>
      <c r="E4138" s="0" t="s">
        <v>89</v>
      </c>
      <c r="F4138" s="0" t="s">
        <v>15</v>
      </c>
      <c r="G4138" s="0" t="s">
        <v>32</v>
      </c>
      <c r="H4138" s="0" t="n">
        <v>96</v>
      </c>
      <c r="I4138" s="0" t="s">
        <v>13847</v>
      </c>
      <c r="J4138" s="0" t="s">
        <v>13848</v>
      </c>
      <c r="K4138" s="0" t="s">
        <v>13849</v>
      </c>
      <c r="L4138" s="0" t="str">
        <f aca="false">HYPERLINK("https://www.ncbi.nlm.nih.gov/nuccore/CP000304.1?report=graph&amp;tracks=[key:gene_model_track,Options:GeneOnly]&amp;mk=1181543:1181562|offset_1|444444,1181576:1181595|offset_34|444444,1181612:1181631|offset_70|444444,1181638:1181657|offset_96|00cc00&amp;v=1181342:1181857&amp;c=444444", "offset 96")</f>
        <v>offset 96</v>
      </c>
    </row>
    <row r="4139" customFormat="false" ht="12.8" hidden="false" customHeight="false" outlineLevel="0" collapsed="false">
      <c r="A4139" s="0" t="s">
        <v>12</v>
      </c>
      <c r="B4139" s="0" t="n">
        <v>1182018</v>
      </c>
      <c r="C4139" s="0" t="n">
        <v>1182038</v>
      </c>
      <c r="D4139" s="0" t="s">
        <v>13850</v>
      </c>
      <c r="E4139" s="0" t="s">
        <v>89</v>
      </c>
      <c r="F4139" s="0" t="s">
        <v>15</v>
      </c>
      <c r="G4139" s="0" t="s">
        <v>16</v>
      </c>
      <c r="H4139" s="0" t="n">
        <v>10</v>
      </c>
      <c r="I4139" s="0" t="s">
        <v>13851</v>
      </c>
      <c r="J4139" s="0" t="s">
        <v>13852</v>
      </c>
      <c r="K4139" s="0" t="s">
        <v>13853</v>
      </c>
      <c r="L4139" s="0" t="str">
        <f aca="false">HYPERLINK("https://www.ncbi.nlm.nih.gov/nuccore/CP000304.1?report=graph&amp;tracks=[key:gene_model_track,Options:GeneOnly]&amp;mk=1182019:1182038|offset_10|00cc00,1182043:1182062|offset_34|444444,1182065:1182084|offset_56|444444,1182090:1182109|offset_81|444444&amp;v=1181818:1182309&amp;c=444444", "offset 10")</f>
        <v>offset 10</v>
      </c>
    </row>
    <row r="4140" customFormat="false" ht="12.8" hidden="false" customHeight="false" outlineLevel="0" collapsed="false">
      <c r="A4140" s="0" t="s">
        <v>12</v>
      </c>
      <c r="B4140" s="0" t="n">
        <v>1182042</v>
      </c>
      <c r="C4140" s="0" t="n">
        <v>1182062</v>
      </c>
      <c r="D4140" s="0" t="s">
        <v>13850</v>
      </c>
      <c r="E4140" s="0" t="s">
        <v>89</v>
      </c>
      <c r="F4140" s="0" t="s">
        <v>15</v>
      </c>
      <c r="G4140" s="0" t="s">
        <v>26</v>
      </c>
      <c r="H4140" s="0" t="n">
        <v>34</v>
      </c>
      <c r="I4140" s="0" t="s">
        <v>13854</v>
      </c>
      <c r="J4140" s="0" t="s">
        <v>13855</v>
      </c>
      <c r="K4140" s="0" t="s">
        <v>13856</v>
      </c>
      <c r="L4140" s="0" t="str">
        <f aca="false">HYPERLINK("https://www.ncbi.nlm.nih.gov/nuccore/CP000304.1?report=graph&amp;tracks=[key:gene_model_track,Options:GeneOnly]&amp;mk=1182019:1182038|offset_10|444444,1182043:1182062|offset_34|00cc00,1182065:1182084|offset_56|444444,1182090:1182109|offset_81|444444&amp;v=1181818:1182309&amp;c=444444", "offset 34")</f>
        <v>offset 34</v>
      </c>
    </row>
    <row r="4141" customFormat="false" ht="12.8" hidden="false" customHeight="false" outlineLevel="0" collapsed="false">
      <c r="A4141" s="0" t="s">
        <v>12</v>
      </c>
      <c r="B4141" s="0" t="n">
        <v>1182064</v>
      </c>
      <c r="C4141" s="0" t="n">
        <v>1182084</v>
      </c>
      <c r="D4141" s="0" t="s">
        <v>13850</v>
      </c>
      <c r="E4141" s="0" t="s">
        <v>89</v>
      </c>
      <c r="F4141" s="0" t="s">
        <v>15</v>
      </c>
      <c r="G4141" s="0" t="s">
        <v>16</v>
      </c>
      <c r="H4141" s="0" t="n">
        <v>56</v>
      </c>
      <c r="I4141" s="0" t="s">
        <v>13857</v>
      </c>
      <c r="J4141" s="0" t="s">
        <v>13858</v>
      </c>
      <c r="K4141" s="0" t="s">
        <v>13859</v>
      </c>
      <c r="L4141" s="0" t="str">
        <f aca="false">HYPERLINK("https://www.ncbi.nlm.nih.gov/nuccore/CP000304.1?report=graph&amp;tracks=[key:gene_model_track,Options:GeneOnly]&amp;mk=1182019:1182038|offset_10|444444,1182043:1182062|offset_34|444444,1182065:1182084|offset_56|00cc00,1182090:1182109|offset_81|444444&amp;v=1181818:1182309&amp;c=444444", "offset 56")</f>
        <v>offset 56</v>
      </c>
    </row>
    <row r="4142" customFormat="false" ht="12.8" hidden="false" customHeight="false" outlineLevel="0" collapsed="false">
      <c r="A4142" s="0" t="s">
        <v>12</v>
      </c>
      <c r="B4142" s="0" t="n">
        <v>1182089</v>
      </c>
      <c r="C4142" s="0" t="n">
        <v>1182109</v>
      </c>
      <c r="D4142" s="0" t="s">
        <v>13850</v>
      </c>
      <c r="E4142" s="0" t="s">
        <v>89</v>
      </c>
      <c r="F4142" s="0" t="s">
        <v>15</v>
      </c>
      <c r="G4142" s="0" t="s">
        <v>26</v>
      </c>
      <c r="H4142" s="0" t="n">
        <v>81</v>
      </c>
      <c r="I4142" s="0" t="s">
        <v>13860</v>
      </c>
      <c r="J4142" s="0" t="s">
        <v>13861</v>
      </c>
      <c r="K4142" s="0" t="s">
        <v>13862</v>
      </c>
      <c r="L4142" s="0" t="str">
        <f aca="false">HYPERLINK("https://www.ncbi.nlm.nih.gov/nuccore/CP000304.1?report=graph&amp;tracks=[key:gene_model_track,Options:GeneOnly]&amp;mk=1182019:1182038|offset_10|444444,1182043:1182062|offset_34|444444,1182065:1182084|offset_56|444444,1182090:1182109|offset_81|00cc00&amp;v=1181818:1182309&amp;c=444444", "offset 81")</f>
        <v>offset 81</v>
      </c>
    </row>
    <row r="4143" customFormat="false" ht="12.8" hidden="false" customHeight="false" outlineLevel="0" collapsed="false">
      <c r="A4143" s="0" t="s">
        <v>12</v>
      </c>
      <c r="B4143" s="0" t="n">
        <v>1182894</v>
      </c>
      <c r="C4143" s="0" t="n">
        <v>1182914</v>
      </c>
      <c r="D4143" s="0" t="s">
        <v>13863</v>
      </c>
      <c r="E4143" s="0" t="s">
        <v>13864</v>
      </c>
      <c r="F4143" s="0" t="s">
        <v>15</v>
      </c>
      <c r="G4143" s="0" t="s">
        <v>16</v>
      </c>
      <c r="H4143" s="0" t="n">
        <v>8</v>
      </c>
      <c r="I4143" s="0" t="s">
        <v>13865</v>
      </c>
      <c r="J4143" s="0" t="s">
        <v>13866</v>
      </c>
      <c r="K4143" s="0" t="s">
        <v>13867</v>
      </c>
      <c r="L4143" s="0" t="str">
        <f aca="false">HYPERLINK("https://www.ncbi.nlm.nih.gov/nuccore/CP000304.1?report=graph&amp;tracks=[key:gene_model_track,Options:GeneOnly]&amp;mk=1182895:1182914|offset_8|00cc00,1182915:1182934|offset_28|444444,1182958:1182977|offset_71|444444,1182978:1182997|offset_91|444444&amp;v=1182694:1183197&amp;c=444444", "offset 8")</f>
        <v>offset 8</v>
      </c>
    </row>
    <row r="4144" customFormat="false" ht="12.8" hidden="false" customHeight="false" outlineLevel="0" collapsed="false">
      <c r="A4144" s="0" t="s">
        <v>12</v>
      </c>
      <c r="B4144" s="0" t="n">
        <v>1182914</v>
      </c>
      <c r="C4144" s="0" t="n">
        <v>1182934</v>
      </c>
      <c r="D4144" s="0" t="s">
        <v>13863</v>
      </c>
      <c r="E4144" s="0" t="s">
        <v>13864</v>
      </c>
      <c r="F4144" s="0" t="s">
        <v>15</v>
      </c>
      <c r="G4144" s="0" t="s">
        <v>32</v>
      </c>
      <c r="H4144" s="0" t="n">
        <v>28</v>
      </c>
      <c r="I4144" s="0" t="s">
        <v>13868</v>
      </c>
      <c r="J4144" s="0" t="s">
        <v>13869</v>
      </c>
      <c r="K4144" s="0" t="s">
        <v>13870</v>
      </c>
      <c r="L4144" s="0" t="str">
        <f aca="false">HYPERLINK("https://www.ncbi.nlm.nih.gov/nuccore/CP000304.1?report=graph&amp;tracks=[key:gene_model_track,Options:GeneOnly]&amp;mk=1182895:1182914|offset_8|444444,1182915:1182934|offset_28|00cc00,1182958:1182977|offset_71|444444,1182978:1182997|offset_91|444444&amp;v=1182694:1183197&amp;c=444444", "offset 28")</f>
        <v>offset 28</v>
      </c>
    </row>
    <row r="4145" customFormat="false" ht="12.8" hidden="false" customHeight="false" outlineLevel="0" collapsed="false">
      <c r="A4145" s="0" t="s">
        <v>12</v>
      </c>
      <c r="B4145" s="0" t="n">
        <v>1182957</v>
      </c>
      <c r="C4145" s="0" t="n">
        <v>1182977</v>
      </c>
      <c r="D4145" s="0" t="s">
        <v>13863</v>
      </c>
      <c r="E4145" s="0" t="s">
        <v>13864</v>
      </c>
      <c r="F4145" s="0" t="s">
        <v>15</v>
      </c>
      <c r="G4145" s="0" t="s">
        <v>26</v>
      </c>
      <c r="H4145" s="0" t="n">
        <v>71</v>
      </c>
      <c r="I4145" s="0" t="s">
        <v>13871</v>
      </c>
      <c r="J4145" s="0" t="s">
        <v>13872</v>
      </c>
      <c r="K4145" s="0" t="s">
        <v>13873</v>
      </c>
      <c r="L4145" s="0" t="str">
        <f aca="false">HYPERLINK("https://www.ncbi.nlm.nih.gov/nuccore/CP000304.1?report=graph&amp;tracks=[key:gene_model_track,Options:GeneOnly]&amp;mk=1182895:1182914|offset_8|444444,1182915:1182934|offset_28|444444,1182958:1182977|offset_71|00cc00,1182978:1182997|offset_91|444444&amp;v=1182694:1183197&amp;c=444444", "offset 71")</f>
        <v>offset 71</v>
      </c>
    </row>
    <row r="4146" customFormat="false" ht="12.8" hidden="false" customHeight="false" outlineLevel="0" collapsed="false">
      <c r="A4146" s="0" t="s">
        <v>12</v>
      </c>
      <c r="B4146" s="0" t="n">
        <v>1182977</v>
      </c>
      <c r="C4146" s="0" t="n">
        <v>1182997</v>
      </c>
      <c r="D4146" s="0" t="s">
        <v>13863</v>
      </c>
      <c r="E4146" s="0" t="s">
        <v>13864</v>
      </c>
      <c r="F4146" s="0" t="s">
        <v>15</v>
      </c>
      <c r="G4146" s="0" t="s">
        <v>26</v>
      </c>
      <c r="H4146" s="0" t="n">
        <v>91</v>
      </c>
      <c r="I4146" s="0" t="s">
        <v>13874</v>
      </c>
      <c r="J4146" s="0" t="s">
        <v>13875</v>
      </c>
      <c r="K4146" s="0" t="s">
        <v>13876</v>
      </c>
      <c r="L4146" s="0" t="str">
        <f aca="false">HYPERLINK("https://www.ncbi.nlm.nih.gov/nuccore/CP000304.1?report=graph&amp;tracks=[key:gene_model_track,Options:GeneOnly]&amp;mk=1182895:1182914|offset_8|444444,1182915:1182934|offset_28|444444,1182958:1182977|offset_71|444444,1182978:1182997|offset_91|00cc00&amp;v=1182694:1183197&amp;c=444444", "offset 91")</f>
        <v>offset 91</v>
      </c>
    </row>
    <row r="4147" customFormat="false" ht="12.8" hidden="false" customHeight="false" outlineLevel="0" collapsed="false">
      <c r="A4147" s="0" t="s">
        <v>12</v>
      </c>
      <c r="B4147" s="0" t="n">
        <v>1183203</v>
      </c>
      <c r="C4147" s="0" t="n">
        <v>1183223</v>
      </c>
      <c r="D4147" s="0" t="s">
        <v>13877</v>
      </c>
      <c r="E4147" s="0" t="s">
        <v>13878</v>
      </c>
      <c r="F4147" s="0" t="s">
        <v>15</v>
      </c>
      <c r="G4147" s="0" t="s">
        <v>36</v>
      </c>
      <c r="H4147" s="0" t="n">
        <v>27</v>
      </c>
      <c r="I4147" s="0" t="s">
        <v>13879</v>
      </c>
      <c r="J4147" s="0" t="s">
        <v>13880</v>
      </c>
      <c r="K4147" s="0" t="s">
        <v>13881</v>
      </c>
      <c r="L4147" s="0" t="str">
        <f aca="false">HYPERLINK("https://www.ncbi.nlm.nih.gov/nuccore/CP000304.1?report=graph&amp;tracks=[key:gene_model_track,Options:GeneOnly]&amp;mk=1183204:1183223|offset_27|00cc00,1183259:1183278|offset_82|444444,1183299:1183318|offset_122|444444,1183332:1183351|offset_155|444444&amp;v=1183003:1183551&amp;c=444444", "offset 27")</f>
        <v>offset 27</v>
      </c>
    </row>
    <row r="4148" customFormat="false" ht="12.8" hidden="false" customHeight="false" outlineLevel="0" collapsed="false">
      <c r="A4148" s="0" t="s">
        <v>12</v>
      </c>
      <c r="B4148" s="0" t="n">
        <v>1183258</v>
      </c>
      <c r="C4148" s="0" t="n">
        <v>1183278</v>
      </c>
      <c r="D4148" s="0" t="s">
        <v>13877</v>
      </c>
      <c r="E4148" s="0" t="s">
        <v>13878</v>
      </c>
      <c r="F4148" s="0" t="s">
        <v>15</v>
      </c>
      <c r="G4148" s="0" t="s">
        <v>26</v>
      </c>
      <c r="H4148" s="0" t="n">
        <v>82</v>
      </c>
      <c r="I4148" s="0" t="s">
        <v>13882</v>
      </c>
      <c r="J4148" s="0" t="s">
        <v>13883</v>
      </c>
      <c r="K4148" s="0" t="s">
        <v>13884</v>
      </c>
      <c r="L4148" s="0" t="str">
        <f aca="false">HYPERLINK("https://www.ncbi.nlm.nih.gov/nuccore/CP000304.1?report=graph&amp;tracks=[key:gene_model_track,Options:GeneOnly]&amp;mk=1183204:1183223|offset_27|444444,1183259:1183278|offset_82|00cc00,1183299:1183318|offset_122|444444,1183332:1183351|offset_155|444444&amp;v=1183003:1183551&amp;c=444444", "offset 82")</f>
        <v>offset 82</v>
      </c>
    </row>
    <row r="4149" customFormat="false" ht="12.8" hidden="false" customHeight="false" outlineLevel="0" collapsed="false">
      <c r="A4149" s="0" t="s">
        <v>12</v>
      </c>
      <c r="B4149" s="0" t="n">
        <v>1183298</v>
      </c>
      <c r="C4149" s="0" t="n">
        <v>1183318</v>
      </c>
      <c r="D4149" s="0" t="s">
        <v>13877</v>
      </c>
      <c r="E4149" s="0" t="s">
        <v>13878</v>
      </c>
      <c r="F4149" s="0" t="s">
        <v>15</v>
      </c>
      <c r="G4149" s="0" t="s">
        <v>26</v>
      </c>
      <c r="H4149" s="0" t="n">
        <v>122</v>
      </c>
      <c r="I4149" s="0" t="s">
        <v>13885</v>
      </c>
      <c r="J4149" s="0" t="s">
        <v>13886</v>
      </c>
      <c r="K4149" s="0" t="s">
        <v>13887</v>
      </c>
      <c r="L4149" s="0" t="str">
        <f aca="false">HYPERLINK("https://www.ncbi.nlm.nih.gov/nuccore/CP000304.1?report=graph&amp;tracks=[key:gene_model_track,Options:GeneOnly]&amp;mk=1183204:1183223|offset_27|444444,1183259:1183278|offset_82|444444,1183299:1183318|offset_122|00cc00,1183332:1183351|offset_155|444444&amp;v=1183003:1183551&amp;c=444444", "offset 122")</f>
        <v>offset 122</v>
      </c>
    </row>
    <row r="4150" customFormat="false" ht="12.8" hidden="false" customHeight="false" outlineLevel="0" collapsed="false">
      <c r="A4150" s="0" t="s">
        <v>12</v>
      </c>
      <c r="B4150" s="0" t="n">
        <v>1183331</v>
      </c>
      <c r="C4150" s="0" t="n">
        <v>1183351</v>
      </c>
      <c r="D4150" s="0" t="s">
        <v>13877</v>
      </c>
      <c r="E4150" s="0" t="s">
        <v>13878</v>
      </c>
      <c r="F4150" s="0" t="s">
        <v>15</v>
      </c>
      <c r="G4150" s="0" t="s">
        <v>32</v>
      </c>
      <c r="H4150" s="0" t="n">
        <v>155</v>
      </c>
      <c r="I4150" s="0" t="s">
        <v>13888</v>
      </c>
      <c r="J4150" s="0" t="s">
        <v>13889</v>
      </c>
      <c r="K4150" s="0" t="s">
        <v>13890</v>
      </c>
      <c r="L4150" s="0" t="str">
        <f aca="false">HYPERLINK("https://www.ncbi.nlm.nih.gov/nuccore/CP000304.1?report=graph&amp;tracks=[key:gene_model_track,Options:GeneOnly]&amp;mk=1183204:1183223|offset_27|444444,1183259:1183278|offset_82|444444,1183299:1183318|offset_122|444444,1183332:1183351|offset_155|00cc00&amp;v=1183003:1183551&amp;c=444444", "offset 155")</f>
        <v>offset 155</v>
      </c>
    </row>
    <row r="4151" customFormat="false" ht="12.8" hidden="false" customHeight="false" outlineLevel="0" collapsed="false">
      <c r="A4151" s="0" t="s">
        <v>12</v>
      </c>
      <c r="B4151" s="0" t="n">
        <v>1184909</v>
      </c>
      <c r="C4151" s="0" t="n">
        <v>1184929</v>
      </c>
      <c r="D4151" s="0" t="s">
        <v>13891</v>
      </c>
      <c r="E4151" s="0" t="s">
        <v>13892</v>
      </c>
      <c r="F4151" s="0" t="s">
        <v>15</v>
      </c>
      <c r="G4151" s="0" t="s">
        <v>16</v>
      </c>
      <c r="H4151" s="0" t="n">
        <v>6</v>
      </c>
      <c r="I4151" s="0" t="s">
        <v>13893</v>
      </c>
      <c r="J4151" s="0" t="s">
        <v>13894</v>
      </c>
      <c r="K4151" s="0" t="s">
        <v>13895</v>
      </c>
      <c r="L4151" s="0" t="str">
        <f aca="false">HYPERLINK("https://www.ncbi.nlm.nih.gov/nuccore/CP000304.1?report=graph&amp;tracks=[key:gene_model_track,Options:GeneOnly]&amp;mk=1184910:1184929|offset_6|00cc00,1184934:1184953|offset_30|444444,1184954:1184973|offset_50|444444,1184981:1185000|offset_77|444444&amp;v=1184709:1185200&amp;c=444444", "offset 6")</f>
        <v>offset 6</v>
      </c>
    </row>
    <row r="4152" customFormat="false" ht="12.8" hidden="false" customHeight="false" outlineLevel="0" collapsed="false">
      <c r="A4152" s="0" t="s">
        <v>12</v>
      </c>
      <c r="B4152" s="0" t="n">
        <v>1184933</v>
      </c>
      <c r="C4152" s="0" t="n">
        <v>1184953</v>
      </c>
      <c r="D4152" s="0" t="s">
        <v>13891</v>
      </c>
      <c r="E4152" s="0" t="s">
        <v>13892</v>
      </c>
      <c r="F4152" s="0" t="s">
        <v>15</v>
      </c>
      <c r="G4152" s="0" t="s">
        <v>36</v>
      </c>
      <c r="H4152" s="0" t="n">
        <v>30</v>
      </c>
      <c r="I4152" s="0" t="s">
        <v>13896</v>
      </c>
      <c r="J4152" s="0" t="s">
        <v>13897</v>
      </c>
      <c r="K4152" s="0" t="s">
        <v>13898</v>
      </c>
      <c r="L4152" s="0" t="str">
        <f aca="false">HYPERLINK("https://www.ncbi.nlm.nih.gov/nuccore/CP000304.1?report=graph&amp;tracks=[key:gene_model_track,Options:GeneOnly]&amp;mk=1184910:1184929|offset_6|444444,1184934:1184953|offset_30|00cc00,1184954:1184973|offset_50|444444,1184981:1185000|offset_77|444444&amp;v=1184709:1185200&amp;c=444444", "offset 30")</f>
        <v>offset 30</v>
      </c>
    </row>
    <row r="4153" customFormat="false" ht="12.8" hidden="false" customHeight="false" outlineLevel="0" collapsed="false">
      <c r="A4153" s="0" t="s">
        <v>12</v>
      </c>
      <c r="B4153" s="0" t="n">
        <v>1184953</v>
      </c>
      <c r="C4153" s="0" t="n">
        <v>1184973</v>
      </c>
      <c r="D4153" s="0" t="s">
        <v>13891</v>
      </c>
      <c r="E4153" s="0" t="s">
        <v>13892</v>
      </c>
      <c r="F4153" s="0" t="s">
        <v>15</v>
      </c>
      <c r="G4153" s="0" t="s">
        <v>26</v>
      </c>
      <c r="H4153" s="0" t="n">
        <v>50</v>
      </c>
      <c r="I4153" s="0" t="s">
        <v>13899</v>
      </c>
      <c r="J4153" s="0" t="s">
        <v>13900</v>
      </c>
      <c r="K4153" s="0" t="s">
        <v>13901</v>
      </c>
      <c r="L4153" s="0" t="str">
        <f aca="false">HYPERLINK("https://www.ncbi.nlm.nih.gov/nuccore/CP000304.1?report=graph&amp;tracks=[key:gene_model_track,Options:GeneOnly]&amp;mk=1184910:1184929|offset_6|444444,1184934:1184953|offset_30|444444,1184954:1184973|offset_50|00cc00,1184981:1185000|offset_77|444444&amp;v=1184709:1185200&amp;c=444444", "offset 50")</f>
        <v>offset 50</v>
      </c>
    </row>
    <row r="4154" customFormat="false" ht="12.8" hidden="false" customHeight="false" outlineLevel="0" collapsed="false">
      <c r="A4154" s="0" t="s">
        <v>12</v>
      </c>
      <c r="B4154" s="0" t="n">
        <v>1184980</v>
      </c>
      <c r="C4154" s="0" t="n">
        <v>1185000</v>
      </c>
      <c r="D4154" s="0" t="s">
        <v>13891</v>
      </c>
      <c r="E4154" s="0" t="s">
        <v>13892</v>
      </c>
      <c r="F4154" s="0" t="s">
        <v>15</v>
      </c>
      <c r="G4154" s="0" t="s">
        <v>16</v>
      </c>
      <c r="H4154" s="0" t="n">
        <v>77</v>
      </c>
      <c r="I4154" s="0" t="s">
        <v>13902</v>
      </c>
      <c r="J4154" s="0" t="s">
        <v>13903</v>
      </c>
      <c r="K4154" s="0" t="s">
        <v>13904</v>
      </c>
      <c r="L4154" s="0" t="str">
        <f aca="false">HYPERLINK("https://www.ncbi.nlm.nih.gov/nuccore/CP000304.1?report=graph&amp;tracks=[key:gene_model_track,Options:GeneOnly]&amp;mk=1184910:1184929|offset_6|444444,1184934:1184953|offset_30|444444,1184954:1184973|offset_50|444444,1184981:1185000|offset_77|00cc00&amp;v=1184709:1185200&amp;c=444444", "offset 77")</f>
        <v>offset 77</v>
      </c>
    </row>
    <row r="4155" customFormat="false" ht="12.8" hidden="false" customHeight="false" outlineLevel="0" collapsed="false">
      <c r="A4155" s="0" t="s">
        <v>12</v>
      </c>
      <c r="B4155" s="0" t="n">
        <v>1186372</v>
      </c>
      <c r="C4155" s="0" t="n">
        <v>1186392</v>
      </c>
      <c r="D4155" s="0" t="s">
        <v>13905</v>
      </c>
      <c r="E4155" s="0" t="s">
        <v>13906</v>
      </c>
      <c r="F4155" s="0" t="s">
        <v>15</v>
      </c>
      <c r="G4155" s="0" t="s">
        <v>32</v>
      </c>
      <c r="H4155" s="0" t="n">
        <v>13</v>
      </c>
      <c r="I4155" s="0" t="s">
        <v>13907</v>
      </c>
      <c r="J4155" s="0" t="s">
        <v>13908</v>
      </c>
      <c r="K4155" s="0" t="s">
        <v>13909</v>
      </c>
      <c r="L4155" s="0" t="str">
        <f aca="false">HYPERLINK("https://www.ncbi.nlm.nih.gov/nuccore/CP000304.1?report=graph&amp;tracks=[key:gene_model_track,Options:GeneOnly]&amp;mk=1186373:1186392|offset_13|00cc00,1186399:1186418|offset_39|444444,1186424:1186443|offset_64|444444,1186467:1186486|offset_107|444444&amp;v=1186172:1186686&amp;c=444444", "offset 13")</f>
        <v>offset 13</v>
      </c>
    </row>
    <row r="4156" customFormat="false" ht="12.8" hidden="false" customHeight="false" outlineLevel="0" collapsed="false">
      <c r="A4156" s="0" t="s">
        <v>12</v>
      </c>
      <c r="B4156" s="0" t="n">
        <v>1186398</v>
      </c>
      <c r="C4156" s="0" t="n">
        <v>1186418</v>
      </c>
      <c r="D4156" s="0" t="s">
        <v>13905</v>
      </c>
      <c r="E4156" s="0" t="s">
        <v>13906</v>
      </c>
      <c r="F4156" s="0" t="s">
        <v>15</v>
      </c>
      <c r="G4156" s="0" t="s">
        <v>16</v>
      </c>
      <c r="H4156" s="0" t="n">
        <v>39</v>
      </c>
      <c r="I4156" s="0" t="s">
        <v>13910</v>
      </c>
      <c r="J4156" s="0" t="s">
        <v>13911</v>
      </c>
      <c r="K4156" s="0" t="s">
        <v>13912</v>
      </c>
      <c r="L4156" s="0" t="str">
        <f aca="false">HYPERLINK("https://www.ncbi.nlm.nih.gov/nuccore/CP000304.1?report=graph&amp;tracks=[key:gene_model_track,Options:GeneOnly]&amp;mk=1186373:1186392|offset_13|444444,1186399:1186418|offset_39|00cc00,1186424:1186443|offset_64|444444,1186467:1186486|offset_107|444444&amp;v=1186172:1186686&amp;c=444444", "offset 39")</f>
        <v>offset 39</v>
      </c>
    </row>
    <row r="4157" customFormat="false" ht="12.8" hidden="false" customHeight="false" outlineLevel="0" collapsed="false">
      <c r="A4157" s="0" t="s">
        <v>12</v>
      </c>
      <c r="B4157" s="0" t="n">
        <v>1186423</v>
      </c>
      <c r="C4157" s="0" t="n">
        <v>1186443</v>
      </c>
      <c r="D4157" s="0" t="s">
        <v>13905</v>
      </c>
      <c r="E4157" s="0" t="s">
        <v>13906</v>
      </c>
      <c r="F4157" s="0" t="s">
        <v>15</v>
      </c>
      <c r="G4157" s="0" t="s">
        <v>16</v>
      </c>
      <c r="H4157" s="0" t="n">
        <v>64</v>
      </c>
      <c r="I4157" s="0" t="s">
        <v>13913</v>
      </c>
      <c r="J4157" s="0" t="s">
        <v>13914</v>
      </c>
      <c r="K4157" s="0" t="s">
        <v>13915</v>
      </c>
      <c r="L4157" s="0" t="str">
        <f aca="false">HYPERLINK("https://www.ncbi.nlm.nih.gov/nuccore/CP000304.1?report=graph&amp;tracks=[key:gene_model_track,Options:GeneOnly]&amp;mk=1186373:1186392|offset_13|444444,1186399:1186418|offset_39|444444,1186424:1186443|offset_64|00cc00,1186467:1186486|offset_107|444444&amp;v=1186172:1186686&amp;c=444444", "offset 64")</f>
        <v>offset 64</v>
      </c>
    </row>
    <row r="4158" customFormat="false" ht="12.8" hidden="false" customHeight="false" outlineLevel="0" collapsed="false">
      <c r="A4158" s="0" t="s">
        <v>12</v>
      </c>
      <c r="B4158" s="0" t="n">
        <v>1186466</v>
      </c>
      <c r="C4158" s="0" t="n">
        <v>1186486</v>
      </c>
      <c r="D4158" s="0" t="s">
        <v>13905</v>
      </c>
      <c r="E4158" s="0" t="s">
        <v>13906</v>
      </c>
      <c r="F4158" s="0" t="s">
        <v>15</v>
      </c>
      <c r="G4158" s="0" t="s">
        <v>32</v>
      </c>
      <c r="H4158" s="0" t="n">
        <v>107</v>
      </c>
      <c r="I4158" s="0" t="s">
        <v>13916</v>
      </c>
      <c r="J4158" s="0" t="s">
        <v>13917</v>
      </c>
      <c r="K4158" s="0" t="s">
        <v>13918</v>
      </c>
      <c r="L4158" s="0" t="str">
        <f aca="false">HYPERLINK("https://www.ncbi.nlm.nih.gov/nuccore/CP000304.1?report=graph&amp;tracks=[key:gene_model_track,Options:GeneOnly]&amp;mk=1186373:1186392|offset_13|444444,1186399:1186418|offset_39|444444,1186424:1186443|offset_64|444444,1186467:1186486|offset_107|00cc00&amp;v=1186172:1186686&amp;c=444444", "offset 107")</f>
        <v>offset 107</v>
      </c>
    </row>
    <row r="4159" customFormat="false" ht="12.8" hidden="false" customHeight="false" outlineLevel="0" collapsed="false">
      <c r="A4159" s="0" t="s">
        <v>12</v>
      </c>
      <c r="B4159" s="0" t="n">
        <v>1187754</v>
      </c>
      <c r="C4159" s="0" t="n">
        <v>1187774</v>
      </c>
      <c r="D4159" s="0" t="s">
        <v>13919</v>
      </c>
      <c r="E4159" s="0" t="s">
        <v>13920</v>
      </c>
      <c r="F4159" s="0" t="s">
        <v>15</v>
      </c>
      <c r="G4159" s="0" t="s">
        <v>16</v>
      </c>
      <c r="H4159" s="0" t="n">
        <v>19</v>
      </c>
      <c r="I4159" s="0" t="s">
        <v>13921</v>
      </c>
      <c r="J4159" s="0" t="s">
        <v>13922</v>
      </c>
      <c r="K4159" s="0" t="s">
        <v>13923</v>
      </c>
      <c r="L4159" s="0" t="str">
        <f aca="false">HYPERLINK("https://www.ncbi.nlm.nih.gov/nuccore/CP000304.1?report=graph&amp;tracks=[key:gene_model_track,Options:GeneOnly]&amp;mk=1187755:1187774|offset_19|00cc00,1187795:1187814|offset_59|444444,1187819:1187838|offset_83|444444,1187861:1187880|offset_125|444444&amp;v=1187554:1188080&amp;c=444444", "offset 19")</f>
        <v>offset 19</v>
      </c>
    </row>
    <row r="4160" customFormat="false" ht="12.8" hidden="false" customHeight="false" outlineLevel="0" collapsed="false">
      <c r="A4160" s="0" t="s">
        <v>12</v>
      </c>
      <c r="B4160" s="0" t="n">
        <v>1187794</v>
      </c>
      <c r="C4160" s="0" t="n">
        <v>1187814</v>
      </c>
      <c r="D4160" s="0" t="s">
        <v>13919</v>
      </c>
      <c r="E4160" s="0" t="s">
        <v>13920</v>
      </c>
      <c r="F4160" s="0" t="s">
        <v>15</v>
      </c>
      <c r="G4160" s="0" t="s">
        <v>32</v>
      </c>
      <c r="H4160" s="0" t="n">
        <v>59</v>
      </c>
      <c r="I4160" s="0" t="s">
        <v>13924</v>
      </c>
      <c r="J4160" s="0" t="s">
        <v>13925</v>
      </c>
      <c r="K4160" s="0" t="s">
        <v>13926</v>
      </c>
      <c r="L4160" s="0" t="str">
        <f aca="false">HYPERLINK("https://www.ncbi.nlm.nih.gov/nuccore/CP000304.1?report=graph&amp;tracks=[key:gene_model_track,Options:GeneOnly]&amp;mk=1187755:1187774|offset_19|444444,1187795:1187814|offset_59|00cc00,1187819:1187838|offset_83|444444,1187861:1187880|offset_125|444444&amp;v=1187554:1188080&amp;c=444444", "offset 59")</f>
        <v>offset 59</v>
      </c>
    </row>
    <row r="4161" customFormat="false" ht="12.8" hidden="false" customHeight="false" outlineLevel="0" collapsed="false">
      <c r="A4161" s="0" t="s">
        <v>12</v>
      </c>
      <c r="B4161" s="0" t="n">
        <v>1187818</v>
      </c>
      <c r="C4161" s="0" t="n">
        <v>1187838</v>
      </c>
      <c r="D4161" s="0" t="s">
        <v>13919</v>
      </c>
      <c r="E4161" s="0" t="s">
        <v>13920</v>
      </c>
      <c r="F4161" s="0" t="s">
        <v>15</v>
      </c>
      <c r="G4161" s="0" t="s">
        <v>26</v>
      </c>
      <c r="H4161" s="0" t="n">
        <v>83</v>
      </c>
      <c r="I4161" s="0" t="s">
        <v>13927</v>
      </c>
      <c r="J4161" s="0" t="s">
        <v>13928</v>
      </c>
      <c r="K4161" s="0" t="s">
        <v>13929</v>
      </c>
      <c r="L4161" s="0" t="str">
        <f aca="false">HYPERLINK("https://www.ncbi.nlm.nih.gov/nuccore/CP000304.1?report=graph&amp;tracks=[key:gene_model_track,Options:GeneOnly]&amp;mk=1187755:1187774|offset_19|444444,1187795:1187814|offset_59|444444,1187819:1187838|offset_83|00cc00,1187861:1187880|offset_125|444444&amp;v=1187554:1188080&amp;c=444444", "offset 83")</f>
        <v>offset 83</v>
      </c>
    </row>
    <row r="4162" customFormat="false" ht="12.8" hidden="false" customHeight="false" outlineLevel="0" collapsed="false">
      <c r="A4162" s="0" t="s">
        <v>12</v>
      </c>
      <c r="B4162" s="0" t="n">
        <v>1187860</v>
      </c>
      <c r="C4162" s="0" t="n">
        <v>1187880</v>
      </c>
      <c r="D4162" s="0" t="s">
        <v>13919</v>
      </c>
      <c r="E4162" s="0" t="s">
        <v>13920</v>
      </c>
      <c r="F4162" s="0" t="s">
        <v>15</v>
      </c>
      <c r="G4162" s="0" t="s">
        <v>36</v>
      </c>
      <c r="H4162" s="0" t="n">
        <v>125</v>
      </c>
      <c r="I4162" s="0" t="s">
        <v>13930</v>
      </c>
      <c r="J4162" s="0" t="s">
        <v>13931</v>
      </c>
      <c r="K4162" s="0" t="s">
        <v>13932</v>
      </c>
      <c r="L4162" s="0" t="str">
        <f aca="false">HYPERLINK("https://www.ncbi.nlm.nih.gov/nuccore/CP000304.1?report=graph&amp;tracks=[key:gene_model_track,Options:GeneOnly]&amp;mk=1187755:1187774|offset_19|444444,1187795:1187814|offset_59|444444,1187819:1187838|offset_83|444444,1187861:1187880|offset_125|00cc00&amp;v=1187554:1188080&amp;c=444444", "offset 125")</f>
        <v>offset 125</v>
      </c>
    </row>
    <row r="4163" customFormat="false" ht="12.8" hidden="false" customHeight="false" outlineLevel="0" collapsed="false">
      <c r="A4163" s="0" t="s">
        <v>12</v>
      </c>
      <c r="B4163" s="0" t="n">
        <v>1188840</v>
      </c>
      <c r="C4163" s="0" t="n">
        <v>1188860</v>
      </c>
      <c r="D4163" s="0" t="s">
        <v>13933</v>
      </c>
      <c r="E4163" s="0" t="s">
        <v>13934</v>
      </c>
      <c r="F4163" s="0" t="s">
        <v>15</v>
      </c>
      <c r="G4163" s="0" t="s">
        <v>16</v>
      </c>
      <c r="H4163" s="0" t="n">
        <v>16</v>
      </c>
      <c r="I4163" s="0" t="s">
        <v>13935</v>
      </c>
      <c r="J4163" s="0" t="s">
        <v>13936</v>
      </c>
      <c r="K4163" s="0" t="s">
        <v>13937</v>
      </c>
      <c r="L4163" s="0" t="str">
        <f aca="false">HYPERLINK("https://www.ncbi.nlm.nih.gov/nuccore/CP000304.1?report=graph&amp;tracks=[key:gene_model_track,Options:GeneOnly]&amp;mk=1188841:1188860|offset_16|00cc00,1188866:1188885|offset_41|444444,1188886:1188905|offset_61|444444,1188908:1188927|offset_83|444444&amp;v=1188640:1189127&amp;c=444444", "offset 16")</f>
        <v>offset 16</v>
      </c>
    </row>
    <row r="4164" customFormat="false" ht="12.8" hidden="false" customHeight="false" outlineLevel="0" collapsed="false">
      <c r="A4164" s="0" t="s">
        <v>12</v>
      </c>
      <c r="B4164" s="0" t="n">
        <v>1188865</v>
      </c>
      <c r="C4164" s="0" t="n">
        <v>1188885</v>
      </c>
      <c r="D4164" s="0" t="s">
        <v>13933</v>
      </c>
      <c r="E4164" s="0" t="s">
        <v>13934</v>
      </c>
      <c r="F4164" s="0" t="s">
        <v>15</v>
      </c>
      <c r="G4164" s="0" t="s">
        <v>26</v>
      </c>
      <c r="H4164" s="0" t="n">
        <v>41</v>
      </c>
      <c r="I4164" s="0" t="s">
        <v>13938</v>
      </c>
      <c r="J4164" s="0" t="s">
        <v>13939</v>
      </c>
      <c r="K4164" s="0" t="s">
        <v>13940</v>
      </c>
      <c r="L4164" s="0" t="str">
        <f aca="false">HYPERLINK("https://www.ncbi.nlm.nih.gov/nuccore/CP000304.1?report=graph&amp;tracks=[key:gene_model_track,Options:GeneOnly]&amp;mk=1188841:1188860|offset_16|444444,1188866:1188885|offset_41|00cc00,1188886:1188905|offset_61|444444,1188908:1188927|offset_83|444444&amp;v=1188640:1189127&amp;c=444444", "offset 41")</f>
        <v>offset 41</v>
      </c>
    </row>
    <row r="4165" customFormat="false" ht="12.8" hidden="false" customHeight="false" outlineLevel="0" collapsed="false">
      <c r="A4165" s="0" t="s">
        <v>12</v>
      </c>
      <c r="B4165" s="0" t="n">
        <v>1188885</v>
      </c>
      <c r="C4165" s="0" t="n">
        <v>1188905</v>
      </c>
      <c r="D4165" s="0" t="s">
        <v>13933</v>
      </c>
      <c r="E4165" s="0" t="s">
        <v>13934</v>
      </c>
      <c r="F4165" s="0" t="s">
        <v>15</v>
      </c>
      <c r="G4165" s="0" t="s">
        <v>36</v>
      </c>
      <c r="H4165" s="0" t="n">
        <v>61</v>
      </c>
      <c r="I4165" s="0" t="s">
        <v>13941</v>
      </c>
      <c r="J4165" s="0" t="s">
        <v>13942</v>
      </c>
      <c r="K4165" s="0" t="s">
        <v>13943</v>
      </c>
      <c r="L4165" s="0" t="str">
        <f aca="false">HYPERLINK("https://www.ncbi.nlm.nih.gov/nuccore/CP000304.1?report=graph&amp;tracks=[key:gene_model_track,Options:GeneOnly]&amp;mk=1188841:1188860|offset_16|444444,1188866:1188885|offset_41|444444,1188886:1188905|offset_61|00cc00,1188908:1188927|offset_83|444444&amp;v=1188640:1189127&amp;c=444444", "offset 61")</f>
        <v>offset 61</v>
      </c>
    </row>
    <row r="4166" customFormat="false" ht="12.8" hidden="false" customHeight="false" outlineLevel="0" collapsed="false">
      <c r="A4166" s="0" t="s">
        <v>12</v>
      </c>
      <c r="B4166" s="0" t="n">
        <v>1188907</v>
      </c>
      <c r="C4166" s="0" t="n">
        <v>1188927</v>
      </c>
      <c r="D4166" s="0" t="s">
        <v>13933</v>
      </c>
      <c r="E4166" s="0" t="s">
        <v>13934</v>
      </c>
      <c r="F4166" s="0" t="s">
        <v>15</v>
      </c>
      <c r="G4166" s="0" t="s">
        <v>16</v>
      </c>
      <c r="H4166" s="0" t="n">
        <v>83</v>
      </c>
      <c r="I4166" s="0" t="s">
        <v>13944</v>
      </c>
      <c r="J4166" s="0" t="s">
        <v>13945</v>
      </c>
      <c r="K4166" s="0" t="s">
        <v>13946</v>
      </c>
      <c r="L4166" s="0" t="str">
        <f aca="false">HYPERLINK("https://www.ncbi.nlm.nih.gov/nuccore/CP000304.1?report=graph&amp;tracks=[key:gene_model_track,Options:GeneOnly]&amp;mk=1188841:1188860|offset_16|444444,1188866:1188885|offset_41|444444,1188886:1188905|offset_61|444444,1188908:1188927|offset_83|00cc00&amp;v=1188640:1189127&amp;c=444444", "offset 83")</f>
        <v>offset 83</v>
      </c>
    </row>
    <row r="4167" customFormat="false" ht="12.8" hidden="false" customHeight="false" outlineLevel="0" collapsed="false">
      <c r="A4167" s="0" t="s">
        <v>12</v>
      </c>
      <c r="B4167" s="0" t="n">
        <v>1190177</v>
      </c>
      <c r="C4167" s="0" t="n">
        <v>1190197</v>
      </c>
      <c r="D4167" s="0" t="s">
        <v>13947</v>
      </c>
      <c r="E4167" s="0" t="s">
        <v>13948</v>
      </c>
      <c r="F4167" s="0" t="s">
        <v>15</v>
      </c>
      <c r="G4167" s="0" t="s">
        <v>26</v>
      </c>
      <c r="H4167" s="0" t="n">
        <v>10</v>
      </c>
      <c r="I4167" s="0" t="s">
        <v>13949</v>
      </c>
      <c r="J4167" s="0" t="s">
        <v>13950</v>
      </c>
      <c r="K4167" s="0" t="s">
        <v>13951</v>
      </c>
      <c r="L4167" s="0" t="str">
        <f aca="false">HYPERLINK("https://www.ncbi.nlm.nih.gov/nuccore/CP000304.1?report=graph&amp;tracks=[key:gene_model_track,Options:GeneOnly]&amp;mk=1190178:1190197|offset_10|00cc00,1190201:1190220|offset_33|444444,1190227:1190246|offset_59|444444,1190247:1190266|offset_79|444444&amp;v=1189977:1190466&amp;c=444444", "offset 10")</f>
        <v>offset 10</v>
      </c>
    </row>
    <row r="4168" customFormat="false" ht="12.8" hidden="false" customHeight="false" outlineLevel="0" collapsed="false">
      <c r="A4168" s="0" t="s">
        <v>12</v>
      </c>
      <c r="B4168" s="0" t="n">
        <v>1190200</v>
      </c>
      <c r="C4168" s="0" t="n">
        <v>1190220</v>
      </c>
      <c r="D4168" s="0" t="s">
        <v>13947</v>
      </c>
      <c r="E4168" s="0" t="s">
        <v>13948</v>
      </c>
      <c r="F4168" s="0" t="s">
        <v>15</v>
      </c>
      <c r="G4168" s="0" t="s">
        <v>36</v>
      </c>
      <c r="H4168" s="0" t="n">
        <v>33</v>
      </c>
      <c r="I4168" s="0" t="s">
        <v>13952</v>
      </c>
      <c r="J4168" s="0" t="s">
        <v>13953</v>
      </c>
      <c r="K4168" s="0" t="s">
        <v>13954</v>
      </c>
      <c r="L4168" s="0" t="str">
        <f aca="false">HYPERLINK("https://www.ncbi.nlm.nih.gov/nuccore/CP000304.1?report=graph&amp;tracks=[key:gene_model_track,Options:GeneOnly]&amp;mk=1190178:1190197|offset_10|444444,1190201:1190220|offset_33|00cc00,1190227:1190246|offset_59|444444,1190247:1190266|offset_79|444444&amp;v=1189977:1190466&amp;c=444444", "offset 33")</f>
        <v>offset 33</v>
      </c>
    </row>
    <row r="4169" customFormat="false" ht="12.8" hidden="false" customHeight="false" outlineLevel="0" collapsed="false">
      <c r="A4169" s="0" t="s">
        <v>12</v>
      </c>
      <c r="B4169" s="0" t="n">
        <v>1190226</v>
      </c>
      <c r="C4169" s="0" t="n">
        <v>1190246</v>
      </c>
      <c r="D4169" s="0" t="s">
        <v>13947</v>
      </c>
      <c r="E4169" s="0" t="s">
        <v>13948</v>
      </c>
      <c r="F4169" s="0" t="s">
        <v>15</v>
      </c>
      <c r="G4169" s="0" t="s">
        <v>26</v>
      </c>
      <c r="H4169" s="0" t="n">
        <v>59</v>
      </c>
      <c r="I4169" s="0" t="s">
        <v>13955</v>
      </c>
      <c r="J4169" s="0" t="s">
        <v>13956</v>
      </c>
      <c r="K4169" s="0" t="s">
        <v>13957</v>
      </c>
      <c r="L4169" s="0" t="str">
        <f aca="false">HYPERLINK("https://www.ncbi.nlm.nih.gov/nuccore/CP000304.1?report=graph&amp;tracks=[key:gene_model_track,Options:GeneOnly]&amp;mk=1190178:1190197|offset_10|444444,1190201:1190220|offset_33|444444,1190227:1190246|offset_59|00cc00,1190247:1190266|offset_79|444444&amp;v=1189977:1190466&amp;c=444444", "offset 59")</f>
        <v>offset 59</v>
      </c>
    </row>
    <row r="4170" customFormat="false" ht="12.8" hidden="false" customHeight="false" outlineLevel="0" collapsed="false">
      <c r="A4170" s="0" t="s">
        <v>12</v>
      </c>
      <c r="B4170" s="0" t="n">
        <v>1190246</v>
      </c>
      <c r="C4170" s="0" t="n">
        <v>1190266</v>
      </c>
      <c r="D4170" s="0" t="s">
        <v>13947</v>
      </c>
      <c r="E4170" s="0" t="s">
        <v>13948</v>
      </c>
      <c r="F4170" s="0" t="s">
        <v>15</v>
      </c>
      <c r="G4170" s="0" t="s">
        <v>16</v>
      </c>
      <c r="H4170" s="0" t="n">
        <v>79</v>
      </c>
      <c r="I4170" s="0" t="s">
        <v>13958</v>
      </c>
      <c r="J4170" s="0" t="s">
        <v>13959</v>
      </c>
      <c r="K4170" s="0" t="s">
        <v>13960</v>
      </c>
      <c r="L4170" s="0" t="str">
        <f aca="false">HYPERLINK("https://www.ncbi.nlm.nih.gov/nuccore/CP000304.1?report=graph&amp;tracks=[key:gene_model_track,Options:GeneOnly]&amp;mk=1190178:1190197|offset_10|444444,1190201:1190220|offset_33|444444,1190227:1190246|offset_59|444444,1190247:1190266|offset_79|00cc00&amp;v=1189977:1190466&amp;c=444444", "offset 79")</f>
        <v>offset 79</v>
      </c>
    </row>
    <row r="4171" customFormat="false" ht="12.8" hidden="false" customHeight="false" outlineLevel="0" collapsed="false">
      <c r="A4171" s="0" t="s">
        <v>12</v>
      </c>
      <c r="B4171" s="0" t="n">
        <v>1191397</v>
      </c>
      <c r="C4171" s="0" t="n">
        <v>1191417</v>
      </c>
      <c r="D4171" s="0" t="s">
        <v>13961</v>
      </c>
      <c r="E4171" s="0" t="s">
        <v>13962</v>
      </c>
      <c r="F4171" s="0" t="s">
        <v>15</v>
      </c>
      <c r="G4171" s="0" t="s">
        <v>26</v>
      </c>
      <c r="H4171" s="0" t="n">
        <v>17</v>
      </c>
      <c r="I4171" s="0" t="s">
        <v>13963</v>
      </c>
      <c r="J4171" s="0" t="s">
        <v>13964</v>
      </c>
      <c r="K4171" s="0" t="s">
        <v>13965</v>
      </c>
      <c r="L4171" s="0" t="str">
        <f aca="false">HYPERLINK("https://www.ncbi.nlm.nih.gov/nuccore/CP000304.1?report=graph&amp;tracks=[key:gene_model_track,Options:GeneOnly]&amp;mk=1191398:1191417|offset_17|00cc00,1191418:1191437|offset_37|444444,1191445:1191464|offset_64|444444,1191478:1191497|offset_97|444444&amp;v=1191197:1191697&amp;c=444444", "offset 17")</f>
        <v>offset 17</v>
      </c>
    </row>
    <row r="4172" customFormat="false" ht="12.8" hidden="false" customHeight="false" outlineLevel="0" collapsed="false">
      <c r="A4172" s="0" t="s">
        <v>12</v>
      </c>
      <c r="B4172" s="0" t="n">
        <v>1191417</v>
      </c>
      <c r="C4172" s="0" t="n">
        <v>1191437</v>
      </c>
      <c r="D4172" s="0" t="s">
        <v>13961</v>
      </c>
      <c r="E4172" s="0" t="s">
        <v>13962</v>
      </c>
      <c r="F4172" s="0" t="s">
        <v>15</v>
      </c>
      <c r="G4172" s="0" t="s">
        <v>16</v>
      </c>
      <c r="H4172" s="0" t="n">
        <v>37</v>
      </c>
      <c r="I4172" s="0" t="s">
        <v>13966</v>
      </c>
      <c r="J4172" s="0" t="s">
        <v>13967</v>
      </c>
      <c r="K4172" s="0" t="s">
        <v>13968</v>
      </c>
      <c r="L4172" s="0" t="str">
        <f aca="false">HYPERLINK("https://www.ncbi.nlm.nih.gov/nuccore/CP000304.1?report=graph&amp;tracks=[key:gene_model_track,Options:GeneOnly]&amp;mk=1191398:1191417|offset_17|444444,1191418:1191437|offset_37|00cc00,1191445:1191464|offset_64|444444,1191478:1191497|offset_97|444444&amp;v=1191197:1191697&amp;c=444444", "offset 37")</f>
        <v>offset 37</v>
      </c>
    </row>
    <row r="4173" customFormat="false" ht="12.8" hidden="false" customHeight="false" outlineLevel="0" collapsed="false">
      <c r="A4173" s="0" t="s">
        <v>12</v>
      </c>
      <c r="B4173" s="0" t="n">
        <v>1191444</v>
      </c>
      <c r="C4173" s="0" t="n">
        <v>1191464</v>
      </c>
      <c r="D4173" s="0" t="s">
        <v>13961</v>
      </c>
      <c r="E4173" s="0" t="s">
        <v>13962</v>
      </c>
      <c r="F4173" s="0" t="s">
        <v>15</v>
      </c>
      <c r="G4173" s="0" t="s">
        <v>26</v>
      </c>
      <c r="H4173" s="0" t="n">
        <v>64</v>
      </c>
      <c r="I4173" s="0" t="s">
        <v>13969</v>
      </c>
      <c r="J4173" s="0" t="s">
        <v>13970</v>
      </c>
      <c r="K4173" s="0" t="s">
        <v>13971</v>
      </c>
      <c r="L4173" s="0" t="str">
        <f aca="false">HYPERLINK("https://www.ncbi.nlm.nih.gov/nuccore/CP000304.1?report=graph&amp;tracks=[key:gene_model_track,Options:GeneOnly]&amp;mk=1191398:1191417|offset_17|444444,1191418:1191437|offset_37|444444,1191445:1191464|offset_64|00cc00,1191478:1191497|offset_97|444444&amp;v=1191197:1191697&amp;c=444444", "offset 64")</f>
        <v>offset 64</v>
      </c>
    </row>
    <row r="4174" customFormat="false" ht="12.8" hidden="false" customHeight="false" outlineLevel="0" collapsed="false">
      <c r="A4174" s="0" t="s">
        <v>12</v>
      </c>
      <c r="B4174" s="0" t="n">
        <v>1191477</v>
      </c>
      <c r="C4174" s="0" t="n">
        <v>1191497</v>
      </c>
      <c r="D4174" s="0" t="s">
        <v>13961</v>
      </c>
      <c r="E4174" s="0" t="s">
        <v>13962</v>
      </c>
      <c r="F4174" s="0" t="s">
        <v>15</v>
      </c>
      <c r="G4174" s="0" t="s">
        <v>16</v>
      </c>
      <c r="H4174" s="0" t="n">
        <v>97</v>
      </c>
      <c r="I4174" s="0" t="s">
        <v>13972</v>
      </c>
      <c r="J4174" s="0" t="s">
        <v>13973</v>
      </c>
      <c r="K4174" s="0" t="s">
        <v>13974</v>
      </c>
      <c r="L4174" s="0" t="str">
        <f aca="false">HYPERLINK("https://www.ncbi.nlm.nih.gov/nuccore/CP000304.1?report=graph&amp;tracks=[key:gene_model_track,Options:GeneOnly]&amp;mk=1191398:1191417|offset_17|444444,1191418:1191437|offset_37|444444,1191445:1191464|offset_64|444444,1191478:1191497|offset_97|00cc00&amp;v=1191197:1191697&amp;c=444444", "offset 97")</f>
        <v>offset 97</v>
      </c>
    </row>
    <row r="4175" customFormat="false" ht="12.8" hidden="false" customHeight="false" outlineLevel="0" collapsed="false">
      <c r="A4175" s="0" t="s">
        <v>12</v>
      </c>
      <c r="B4175" s="0" t="n">
        <v>1192458</v>
      </c>
      <c r="C4175" s="0" t="n">
        <v>1192478</v>
      </c>
      <c r="D4175" s="0" t="s">
        <v>13975</v>
      </c>
      <c r="E4175" s="0" t="s">
        <v>13976</v>
      </c>
      <c r="F4175" s="0" t="s">
        <v>15</v>
      </c>
      <c r="G4175" s="0" t="s">
        <v>36</v>
      </c>
      <c r="H4175" s="0" t="n">
        <v>15</v>
      </c>
      <c r="I4175" s="0" t="s">
        <v>13977</v>
      </c>
      <c r="J4175" s="0" t="s">
        <v>13978</v>
      </c>
      <c r="K4175" s="0" t="s">
        <v>13979</v>
      </c>
      <c r="L4175" s="0" t="str">
        <f aca="false">HYPERLINK("https://www.ncbi.nlm.nih.gov/nuccore/CP000304.1?report=graph&amp;tracks=[key:gene_model_track,Options:GeneOnly]&amp;mk=1192459:1192478|offset_15|00cc00,1192485:1192504|offset_41|444444,1192550:1192569|offset_106|444444,1192583:1192602|offset_139|444444&amp;v=1192258:1192802&amp;c=444444", "offset 15")</f>
        <v>offset 15</v>
      </c>
    </row>
    <row r="4176" customFormat="false" ht="12.8" hidden="false" customHeight="false" outlineLevel="0" collapsed="false">
      <c r="A4176" s="0" t="s">
        <v>12</v>
      </c>
      <c r="B4176" s="0" t="n">
        <v>1192484</v>
      </c>
      <c r="C4176" s="0" t="n">
        <v>1192504</v>
      </c>
      <c r="D4176" s="0" t="s">
        <v>13975</v>
      </c>
      <c r="E4176" s="0" t="s">
        <v>13976</v>
      </c>
      <c r="F4176" s="0" t="s">
        <v>15</v>
      </c>
      <c r="G4176" s="0" t="s">
        <v>16</v>
      </c>
      <c r="H4176" s="0" t="n">
        <v>41</v>
      </c>
      <c r="I4176" s="0" t="s">
        <v>13980</v>
      </c>
      <c r="J4176" s="0" t="s">
        <v>13981</v>
      </c>
      <c r="K4176" s="0" t="s">
        <v>13982</v>
      </c>
      <c r="L4176" s="0" t="str">
        <f aca="false">HYPERLINK("https://www.ncbi.nlm.nih.gov/nuccore/CP000304.1?report=graph&amp;tracks=[key:gene_model_track,Options:GeneOnly]&amp;mk=1192459:1192478|offset_15|444444,1192485:1192504|offset_41|00cc00,1192550:1192569|offset_106|444444,1192583:1192602|offset_139|444444&amp;v=1192258:1192802&amp;c=444444", "offset 41")</f>
        <v>offset 41</v>
      </c>
    </row>
    <row r="4177" customFormat="false" ht="12.8" hidden="false" customHeight="false" outlineLevel="0" collapsed="false">
      <c r="A4177" s="0" t="s">
        <v>12</v>
      </c>
      <c r="B4177" s="0" t="n">
        <v>1192549</v>
      </c>
      <c r="C4177" s="0" t="n">
        <v>1192569</v>
      </c>
      <c r="D4177" s="0" t="s">
        <v>13975</v>
      </c>
      <c r="E4177" s="0" t="s">
        <v>13976</v>
      </c>
      <c r="F4177" s="0" t="s">
        <v>15</v>
      </c>
      <c r="G4177" s="0" t="s">
        <v>16</v>
      </c>
      <c r="H4177" s="0" t="n">
        <v>106</v>
      </c>
      <c r="I4177" s="0" t="s">
        <v>13983</v>
      </c>
      <c r="J4177" s="0" t="s">
        <v>13984</v>
      </c>
      <c r="K4177" s="0" t="s">
        <v>13985</v>
      </c>
      <c r="L4177" s="0" t="str">
        <f aca="false">HYPERLINK("https://www.ncbi.nlm.nih.gov/nuccore/CP000304.1?report=graph&amp;tracks=[key:gene_model_track,Options:GeneOnly]&amp;mk=1192459:1192478|offset_15|444444,1192485:1192504|offset_41|444444,1192550:1192569|offset_106|00cc00,1192583:1192602|offset_139|444444&amp;v=1192258:1192802&amp;c=444444", "offset 106")</f>
        <v>offset 106</v>
      </c>
    </row>
    <row r="4178" customFormat="false" ht="12.8" hidden="false" customHeight="false" outlineLevel="0" collapsed="false">
      <c r="A4178" s="0" t="s">
        <v>12</v>
      </c>
      <c r="B4178" s="0" t="n">
        <v>1192582</v>
      </c>
      <c r="C4178" s="0" t="n">
        <v>1192602</v>
      </c>
      <c r="D4178" s="0" t="s">
        <v>13975</v>
      </c>
      <c r="E4178" s="0" t="s">
        <v>13976</v>
      </c>
      <c r="F4178" s="0" t="s">
        <v>15</v>
      </c>
      <c r="G4178" s="0" t="s">
        <v>16</v>
      </c>
      <c r="H4178" s="0" t="n">
        <v>139</v>
      </c>
      <c r="I4178" s="0" t="s">
        <v>13986</v>
      </c>
      <c r="J4178" s="0" t="s">
        <v>13987</v>
      </c>
      <c r="K4178" s="0" t="s">
        <v>13988</v>
      </c>
      <c r="L4178" s="0" t="str">
        <f aca="false">HYPERLINK("https://www.ncbi.nlm.nih.gov/nuccore/CP000304.1?report=graph&amp;tracks=[key:gene_model_track,Options:GeneOnly]&amp;mk=1192459:1192478|offset_15|444444,1192485:1192504|offset_41|444444,1192550:1192569|offset_106|444444,1192583:1192602|offset_139|00cc00&amp;v=1192258:1192802&amp;c=444444", "offset 139")</f>
        <v>offset 139</v>
      </c>
    </row>
    <row r="4179" customFormat="false" ht="12.8" hidden="false" customHeight="false" outlineLevel="0" collapsed="false">
      <c r="A4179" s="0" t="s">
        <v>12</v>
      </c>
      <c r="B4179" s="0" t="n">
        <v>1193926</v>
      </c>
      <c r="C4179" s="0" t="n">
        <v>1193946</v>
      </c>
      <c r="D4179" s="0" t="s">
        <v>13989</v>
      </c>
      <c r="E4179" s="0" t="s">
        <v>13990</v>
      </c>
      <c r="F4179" s="0" t="s">
        <v>15</v>
      </c>
      <c r="G4179" s="0" t="s">
        <v>36</v>
      </c>
      <c r="H4179" s="0" t="n">
        <v>29</v>
      </c>
      <c r="I4179" s="0" t="s">
        <v>13991</v>
      </c>
      <c r="J4179" s="0" t="s">
        <v>13992</v>
      </c>
      <c r="K4179" s="0" t="s">
        <v>13993</v>
      </c>
      <c r="L4179" s="0" t="str">
        <f aca="false">HYPERLINK("https://www.ncbi.nlm.nih.gov/nuccore/CP000304.1?report=graph&amp;tracks=[key:gene_model_track,Options:GeneOnly]&amp;mk=1193927:1193946|offset_29|00cc00,1193950:1193969|offset_52|444444,1193974:1193993|offset_76|444444,1193998:1194017|offset_100|444444&amp;v=1193726:1194217&amp;c=444444", "offset 29")</f>
        <v>offset 29</v>
      </c>
    </row>
    <row r="4180" customFormat="false" ht="12.8" hidden="false" customHeight="false" outlineLevel="0" collapsed="false">
      <c r="A4180" s="0" t="s">
        <v>12</v>
      </c>
      <c r="B4180" s="0" t="n">
        <v>1193949</v>
      </c>
      <c r="C4180" s="0" t="n">
        <v>1193969</v>
      </c>
      <c r="D4180" s="0" t="s">
        <v>13989</v>
      </c>
      <c r="E4180" s="0" t="s">
        <v>13990</v>
      </c>
      <c r="F4180" s="0" t="s">
        <v>15</v>
      </c>
      <c r="G4180" s="0" t="s">
        <v>16</v>
      </c>
      <c r="H4180" s="0" t="n">
        <v>52</v>
      </c>
      <c r="I4180" s="0" t="s">
        <v>13994</v>
      </c>
      <c r="J4180" s="0" t="s">
        <v>13995</v>
      </c>
      <c r="K4180" s="0" t="s">
        <v>13996</v>
      </c>
      <c r="L4180" s="0" t="str">
        <f aca="false">HYPERLINK("https://www.ncbi.nlm.nih.gov/nuccore/CP000304.1?report=graph&amp;tracks=[key:gene_model_track,Options:GeneOnly]&amp;mk=1193927:1193946|offset_29|444444,1193950:1193969|offset_52|00cc00,1193974:1193993|offset_76|444444,1193998:1194017|offset_100|444444&amp;v=1193726:1194217&amp;c=444444", "offset 52")</f>
        <v>offset 52</v>
      </c>
    </row>
    <row r="4181" customFormat="false" ht="12.8" hidden="false" customHeight="false" outlineLevel="0" collapsed="false">
      <c r="A4181" s="0" t="s">
        <v>12</v>
      </c>
      <c r="B4181" s="0" t="n">
        <v>1193973</v>
      </c>
      <c r="C4181" s="0" t="n">
        <v>1193993</v>
      </c>
      <c r="D4181" s="0" t="s">
        <v>13989</v>
      </c>
      <c r="E4181" s="0" t="s">
        <v>13990</v>
      </c>
      <c r="F4181" s="0" t="s">
        <v>15</v>
      </c>
      <c r="G4181" s="0" t="s">
        <v>16</v>
      </c>
      <c r="H4181" s="0" t="n">
        <v>76</v>
      </c>
      <c r="I4181" s="0" t="s">
        <v>13997</v>
      </c>
      <c r="J4181" s="0" t="s">
        <v>13998</v>
      </c>
      <c r="K4181" s="0" t="s">
        <v>13999</v>
      </c>
      <c r="L4181" s="0" t="str">
        <f aca="false">HYPERLINK("https://www.ncbi.nlm.nih.gov/nuccore/CP000304.1?report=graph&amp;tracks=[key:gene_model_track,Options:GeneOnly]&amp;mk=1193927:1193946|offset_29|444444,1193950:1193969|offset_52|444444,1193974:1193993|offset_76|00cc00,1193998:1194017|offset_100|444444&amp;v=1193726:1194217&amp;c=444444", "offset 76")</f>
        <v>offset 76</v>
      </c>
    </row>
    <row r="4182" customFormat="false" ht="12.8" hidden="false" customHeight="false" outlineLevel="0" collapsed="false">
      <c r="A4182" s="0" t="s">
        <v>12</v>
      </c>
      <c r="B4182" s="0" t="n">
        <v>1193997</v>
      </c>
      <c r="C4182" s="0" t="n">
        <v>1194017</v>
      </c>
      <c r="D4182" s="0" t="s">
        <v>13989</v>
      </c>
      <c r="E4182" s="0" t="s">
        <v>13990</v>
      </c>
      <c r="F4182" s="0" t="s">
        <v>15</v>
      </c>
      <c r="G4182" s="0" t="s">
        <v>16</v>
      </c>
      <c r="H4182" s="0" t="n">
        <v>100</v>
      </c>
      <c r="I4182" s="0" t="s">
        <v>14000</v>
      </c>
      <c r="J4182" s="0" t="s">
        <v>14001</v>
      </c>
      <c r="K4182" s="0" t="s">
        <v>14002</v>
      </c>
      <c r="L4182" s="0" t="str">
        <f aca="false">HYPERLINK("https://www.ncbi.nlm.nih.gov/nuccore/CP000304.1?report=graph&amp;tracks=[key:gene_model_track,Options:GeneOnly]&amp;mk=1193927:1193946|offset_29|444444,1193950:1193969|offset_52|444444,1193974:1193993|offset_76|444444,1193998:1194017|offset_100|00cc00&amp;v=1193726:1194217&amp;c=444444", "offset 100")</f>
        <v>offset 100</v>
      </c>
    </row>
    <row r="4183" customFormat="false" ht="12.8" hidden="false" customHeight="false" outlineLevel="0" collapsed="false">
      <c r="A4183" s="0" t="s">
        <v>12</v>
      </c>
      <c r="B4183" s="0" t="n">
        <v>1194846</v>
      </c>
      <c r="C4183" s="0" t="n">
        <v>1194866</v>
      </c>
      <c r="D4183" s="0" t="s">
        <v>14003</v>
      </c>
      <c r="E4183" s="0" t="s">
        <v>14004</v>
      </c>
      <c r="F4183" s="0" t="s">
        <v>15</v>
      </c>
      <c r="G4183" s="0" t="s">
        <v>32</v>
      </c>
      <c r="H4183" s="0" t="n">
        <v>1</v>
      </c>
      <c r="I4183" s="0" t="s">
        <v>14005</v>
      </c>
      <c r="J4183" s="0" t="s">
        <v>14006</v>
      </c>
      <c r="K4183" s="0" t="s">
        <v>14007</v>
      </c>
      <c r="L4183" s="0" t="str">
        <f aca="false">HYPERLINK("https://www.ncbi.nlm.nih.gov/nuccore/CP000304.1?report=graph&amp;tracks=[key:gene_model_track,Options:GeneOnly]&amp;mk=1194847:1194866|offset_1|00cc00,1194876:1194895|offset_30|444444,1194903:1194922|offset_57|444444,1194923:1194942|offset_77|444444&amp;v=1194646:1195142&amp;c=444444", "offset 1")</f>
        <v>offset 1</v>
      </c>
    </row>
    <row r="4184" customFormat="false" ht="12.8" hidden="false" customHeight="false" outlineLevel="0" collapsed="false">
      <c r="A4184" s="0" t="s">
        <v>12</v>
      </c>
      <c r="B4184" s="0" t="n">
        <v>1194875</v>
      </c>
      <c r="C4184" s="0" t="n">
        <v>1194895</v>
      </c>
      <c r="D4184" s="0" t="s">
        <v>14003</v>
      </c>
      <c r="E4184" s="0" t="s">
        <v>14004</v>
      </c>
      <c r="F4184" s="0" t="s">
        <v>15</v>
      </c>
      <c r="G4184" s="0" t="s">
        <v>36</v>
      </c>
      <c r="H4184" s="0" t="n">
        <v>30</v>
      </c>
      <c r="I4184" s="0" t="s">
        <v>14008</v>
      </c>
      <c r="J4184" s="0" t="s">
        <v>14009</v>
      </c>
      <c r="K4184" s="0" t="s">
        <v>14010</v>
      </c>
      <c r="L4184" s="0" t="str">
        <f aca="false">HYPERLINK("https://www.ncbi.nlm.nih.gov/nuccore/CP000304.1?report=graph&amp;tracks=[key:gene_model_track,Options:GeneOnly]&amp;mk=1194847:1194866|offset_1|444444,1194876:1194895|offset_30|00cc00,1194903:1194922|offset_57|444444,1194923:1194942|offset_77|444444&amp;v=1194646:1195142&amp;c=444444", "offset 30")</f>
        <v>offset 30</v>
      </c>
    </row>
    <row r="4185" customFormat="false" ht="12.8" hidden="false" customHeight="false" outlineLevel="0" collapsed="false">
      <c r="A4185" s="0" t="s">
        <v>12</v>
      </c>
      <c r="B4185" s="0" t="n">
        <v>1194902</v>
      </c>
      <c r="C4185" s="0" t="n">
        <v>1194922</v>
      </c>
      <c r="D4185" s="0" t="s">
        <v>14003</v>
      </c>
      <c r="E4185" s="0" t="s">
        <v>14004</v>
      </c>
      <c r="F4185" s="0" t="s">
        <v>15</v>
      </c>
      <c r="G4185" s="0" t="s">
        <v>36</v>
      </c>
      <c r="H4185" s="0" t="n">
        <v>57</v>
      </c>
      <c r="I4185" s="0" t="s">
        <v>14011</v>
      </c>
      <c r="J4185" s="0" t="s">
        <v>14012</v>
      </c>
      <c r="K4185" s="0" t="s">
        <v>14013</v>
      </c>
      <c r="L4185" s="0" t="str">
        <f aca="false">HYPERLINK("https://www.ncbi.nlm.nih.gov/nuccore/CP000304.1?report=graph&amp;tracks=[key:gene_model_track,Options:GeneOnly]&amp;mk=1194847:1194866|offset_1|444444,1194876:1194895|offset_30|444444,1194903:1194922|offset_57|00cc00,1194923:1194942|offset_77|444444&amp;v=1194646:1195142&amp;c=444444", "offset 57")</f>
        <v>offset 57</v>
      </c>
    </row>
    <row r="4186" customFormat="false" ht="12.8" hidden="false" customHeight="false" outlineLevel="0" collapsed="false">
      <c r="A4186" s="0" t="s">
        <v>12</v>
      </c>
      <c r="B4186" s="0" t="n">
        <v>1194922</v>
      </c>
      <c r="C4186" s="0" t="n">
        <v>1194942</v>
      </c>
      <c r="D4186" s="0" t="s">
        <v>14003</v>
      </c>
      <c r="E4186" s="0" t="s">
        <v>14004</v>
      </c>
      <c r="F4186" s="0" t="s">
        <v>15</v>
      </c>
      <c r="G4186" s="0" t="s">
        <v>16</v>
      </c>
      <c r="H4186" s="0" t="n">
        <v>77</v>
      </c>
      <c r="I4186" s="0" t="s">
        <v>14014</v>
      </c>
      <c r="J4186" s="0" t="s">
        <v>14015</v>
      </c>
      <c r="K4186" s="0" t="s">
        <v>14016</v>
      </c>
      <c r="L4186" s="0" t="str">
        <f aca="false">HYPERLINK("https://www.ncbi.nlm.nih.gov/nuccore/CP000304.1?report=graph&amp;tracks=[key:gene_model_track,Options:GeneOnly]&amp;mk=1194847:1194866|offset_1|444444,1194876:1194895|offset_30|444444,1194903:1194922|offset_57|444444,1194923:1194942|offset_77|00cc00&amp;v=1194646:1195142&amp;c=444444", "offset 77")</f>
        <v>offset 77</v>
      </c>
    </row>
    <row r="4187" customFormat="false" ht="12.8" hidden="false" customHeight="false" outlineLevel="0" collapsed="false">
      <c r="A4187" s="0" t="s">
        <v>12</v>
      </c>
      <c r="B4187" s="0" t="n">
        <v>1195753</v>
      </c>
      <c r="C4187" s="0" t="n">
        <v>1195773</v>
      </c>
      <c r="D4187" s="0" t="s">
        <v>14017</v>
      </c>
      <c r="E4187" s="0" t="s">
        <v>14018</v>
      </c>
      <c r="F4187" s="0" t="s">
        <v>15</v>
      </c>
      <c r="G4187" s="0" t="s">
        <v>26</v>
      </c>
      <c r="H4187" s="0" t="n">
        <v>38</v>
      </c>
      <c r="I4187" s="0" t="s">
        <v>14019</v>
      </c>
      <c r="J4187" s="0" t="s">
        <v>14020</v>
      </c>
      <c r="K4187" s="0" t="s">
        <v>14021</v>
      </c>
      <c r="L4187" s="0" t="str">
        <f aca="false">HYPERLINK("https://www.ncbi.nlm.nih.gov/nuccore/CP000304.1?report=graph&amp;tracks=[key:gene_model_track,Options:GeneOnly]&amp;mk=1195754:1195773|offset_38|00cc00,1195801:1195820|offset_85|444444,1195837:1195856|offset_121|444444,1195885:1195904|offset_169|444444&amp;v=1195553:1196104&amp;c=444444", "offset 38")</f>
        <v>offset 38</v>
      </c>
    </row>
    <row r="4188" customFormat="false" ht="12.8" hidden="false" customHeight="false" outlineLevel="0" collapsed="false">
      <c r="A4188" s="0" t="s">
        <v>12</v>
      </c>
      <c r="B4188" s="0" t="n">
        <v>1195800</v>
      </c>
      <c r="C4188" s="0" t="n">
        <v>1195820</v>
      </c>
      <c r="D4188" s="0" t="s">
        <v>14017</v>
      </c>
      <c r="E4188" s="0" t="s">
        <v>14018</v>
      </c>
      <c r="F4188" s="0" t="s">
        <v>15</v>
      </c>
      <c r="G4188" s="0" t="s">
        <v>16</v>
      </c>
      <c r="H4188" s="0" t="n">
        <v>85</v>
      </c>
      <c r="I4188" s="0" t="s">
        <v>14022</v>
      </c>
      <c r="J4188" s="0" t="s">
        <v>14023</v>
      </c>
      <c r="K4188" s="0" t="s">
        <v>14024</v>
      </c>
      <c r="L4188" s="0" t="str">
        <f aca="false">HYPERLINK("https://www.ncbi.nlm.nih.gov/nuccore/CP000304.1?report=graph&amp;tracks=[key:gene_model_track,Options:GeneOnly]&amp;mk=1195754:1195773|offset_38|444444,1195801:1195820|offset_85|00cc00,1195837:1195856|offset_121|444444,1195885:1195904|offset_169|444444&amp;v=1195553:1196104&amp;c=444444", "offset 85")</f>
        <v>offset 85</v>
      </c>
    </row>
    <row r="4189" customFormat="false" ht="12.8" hidden="false" customHeight="false" outlineLevel="0" collapsed="false">
      <c r="A4189" s="0" t="s">
        <v>12</v>
      </c>
      <c r="B4189" s="0" t="n">
        <v>1195836</v>
      </c>
      <c r="C4189" s="0" t="n">
        <v>1195856</v>
      </c>
      <c r="D4189" s="0" t="s">
        <v>14017</v>
      </c>
      <c r="E4189" s="0" t="s">
        <v>14018</v>
      </c>
      <c r="F4189" s="0" t="s">
        <v>15</v>
      </c>
      <c r="G4189" s="0" t="s">
        <v>36</v>
      </c>
      <c r="H4189" s="0" t="n">
        <v>121</v>
      </c>
      <c r="I4189" s="0" t="s">
        <v>14025</v>
      </c>
      <c r="J4189" s="0" t="s">
        <v>14026</v>
      </c>
      <c r="K4189" s="0" t="s">
        <v>14027</v>
      </c>
      <c r="L4189" s="0" t="str">
        <f aca="false">HYPERLINK("https://www.ncbi.nlm.nih.gov/nuccore/CP000304.1?report=graph&amp;tracks=[key:gene_model_track,Options:GeneOnly]&amp;mk=1195754:1195773|offset_38|444444,1195801:1195820|offset_85|444444,1195837:1195856|offset_121|00cc00,1195885:1195904|offset_169|444444&amp;v=1195553:1196104&amp;c=444444", "offset 121")</f>
        <v>offset 121</v>
      </c>
    </row>
    <row r="4190" customFormat="false" ht="12.8" hidden="false" customHeight="false" outlineLevel="0" collapsed="false">
      <c r="A4190" s="0" t="s">
        <v>12</v>
      </c>
      <c r="B4190" s="0" t="n">
        <v>1195884</v>
      </c>
      <c r="C4190" s="0" t="n">
        <v>1195904</v>
      </c>
      <c r="D4190" s="0" t="s">
        <v>14017</v>
      </c>
      <c r="E4190" s="0" t="s">
        <v>14018</v>
      </c>
      <c r="F4190" s="0" t="s">
        <v>15</v>
      </c>
      <c r="G4190" s="0" t="s">
        <v>32</v>
      </c>
      <c r="H4190" s="0" t="n">
        <v>169</v>
      </c>
      <c r="I4190" s="0" t="s">
        <v>14028</v>
      </c>
      <c r="J4190" s="0" t="s">
        <v>14029</v>
      </c>
      <c r="K4190" s="0" t="s">
        <v>14030</v>
      </c>
      <c r="L4190" s="0" t="str">
        <f aca="false">HYPERLINK("https://www.ncbi.nlm.nih.gov/nuccore/CP000304.1?report=graph&amp;tracks=[key:gene_model_track,Options:GeneOnly]&amp;mk=1195754:1195773|offset_38|444444,1195801:1195820|offset_85|444444,1195837:1195856|offset_121|444444,1195885:1195904|offset_169|00cc00&amp;v=1195553:1196104&amp;c=444444", "offset 169")</f>
        <v>offset 169</v>
      </c>
    </row>
    <row r="4191" customFormat="false" ht="12.8" hidden="false" customHeight="false" outlineLevel="0" collapsed="false">
      <c r="A4191" s="0" t="s">
        <v>12</v>
      </c>
      <c r="B4191" s="0" t="n">
        <v>1197036</v>
      </c>
      <c r="C4191" s="0" t="n">
        <v>1197056</v>
      </c>
      <c r="D4191" s="0" t="s">
        <v>14031</v>
      </c>
      <c r="E4191" s="0" t="s">
        <v>14032</v>
      </c>
      <c r="F4191" s="0" t="s">
        <v>15</v>
      </c>
      <c r="G4191" s="0" t="s">
        <v>36</v>
      </c>
      <c r="H4191" s="0" t="n">
        <v>25</v>
      </c>
      <c r="I4191" s="0" t="s">
        <v>14033</v>
      </c>
      <c r="J4191" s="0" t="s">
        <v>14034</v>
      </c>
      <c r="K4191" s="0" t="s">
        <v>14035</v>
      </c>
      <c r="L4191" s="0" t="str">
        <f aca="false">HYPERLINK("https://www.ncbi.nlm.nih.gov/nuccore/CP000304.1?report=graph&amp;tracks=[key:gene_model_track,Options:GeneOnly]&amp;mk=1197037:1197056|offset_25|00cc00,1197091:1197110|offset_79|444444,1197142:1197161|offset_130|444444,1197184:1197203|offset_172|444444&amp;v=1196836:1197403&amp;c=444444", "offset 25")</f>
        <v>offset 25</v>
      </c>
    </row>
    <row r="4192" customFormat="false" ht="12.8" hidden="false" customHeight="false" outlineLevel="0" collapsed="false">
      <c r="A4192" s="0" t="s">
        <v>12</v>
      </c>
      <c r="B4192" s="0" t="n">
        <v>1197090</v>
      </c>
      <c r="C4192" s="0" t="n">
        <v>1197110</v>
      </c>
      <c r="D4192" s="0" t="s">
        <v>14031</v>
      </c>
      <c r="E4192" s="0" t="s">
        <v>14032</v>
      </c>
      <c r="F4192" s="0" t="s">
        <v>15</v>
      </c>
      <c r="G4192" s="0" t="s">
        <v>16</v>
      </c>
      <c r="H4192" s="0" t="n">
        <v>79</v>
      </c>
      <c r="I4192" s="0" t="s">
        <v>14036</v>
      </c>
      <c r="J4192" s="0" t="s">
        <v>14037</v>
      </c>
      <c r="K4192" s="0" t="s">
        <v>14038</v>
      </c>
      <c r="L4192" s="0" t="str">
        <f aca="false">HYPERLINK("https://www.ncbi.nlm.nih.gov/nuccore/CP000304.1?report=graph&amp;tracks=[key:gene_model_track,Options:GeneOnly]&amp;mk=1197037:1197056|offset_25|444444,1197091:1197110|offset_79|00cc00,1197142:1197161|offset_130|444444,1197184:1197203|offset_172|444444&amp;v=1196836:1197403&amp;c=444444", "offset 79")</f>
        <v>offset 79</v>
      </c>
    </row>
    <row r="4193" customFormat="false" ht="12.8" hidden="false" customHeight="false" outlineLevel="0" collapsed="false">
      <c r="A4193" s="0" t="s">
        <v>12</v>
      </c>
      <c r="B4193" s="0" t="n">
        <v>1197141</v>
      </c>
      <c r="C4193" s="0" t="n">
        <v>1197161</v>
      </c>
      <c r="D4193" s="0" t="s">
        <v>14031</v>
      </c>
      <c r="E4193" s="0" t="s">
        <v>14032</v>
      </c>
      <c r="F4193" s="0" t="s">
        <v>15</v>
      </c>
      <c r="G4193" s="0" t="s">
        <v>32</v>
      </c>
      <c r="H4193" s="0" t="n">
        <v>130</v>
      </c>
      <c r="I4193" s="0" t="s">
        <v>14039</v>
      </c>
      <c r="J4193" s="0" t="s">
        <v>14040</v>
      </c>
      <c r="K4193" s="0" t="s">
        <v>14041</v>
      </c>
      <c r="L4193" s="0" t="str">
        <f aca="false">HYPERLINK("https://www.ncbi.nlm.nih.gov/nuccore/CP000304.1?report=graph&amp;tracks=[key:gene_model_track,Options:GeneOnly]&amp;mk=1197037:1197056|offset_25|444444,1197091:1197110|offset_79|444444,1197142:1197161|offset_130|00cc00,1197184:1197203|offset_172|444444&amp;v=1196836:1197403&amp;c=444444", "offset 130")</f>
        <v>offset 130</v>
      </c>
    </row>
    <row r="4194" customFormat="false" ht="12.8" hidden="false" customHeight="false" outlineLevel="0" collapsed="false">
      <c r="A4194" s="0" t="s">
        <v>12</v>
      </c>
      <c r="B4194" s="0" t="n">
        <v>1197183</v>
      </c>
      <c r="C4194" s="0" t="n">
        <v>1197203</v>
      </c>
      <c r="D4194" s="0" t="s">
        <v>14031</v>
      </c>
      <c r="E4194" s="0" t="s">
        <v>14032</v>
      </c>
      <c r="F4194" s="0" t="s">
        <v>15</v>
      </c>
      <c r="G4194" s="0" t="s">
        <v>16</v>
      </c>
      <c r="H4194" s="0" t="n">
        <v>172</v>
      </c>
      <c r="I4194" s="0" t="s">
        <v>14042</v>
      </c>
      <c r="J4194" s="0" t="s">
        <v>14043</v>
      </c>
      <c r="K4194" s="0" t="s">
        <v>14044</v>
      </c>
      <c r="L4194" s="0" t="str">
        <f aca="false">HYPERLINK("https://www.ncbi.nlm.nih.gov/nuccore/CP000304.1?report=graph&amp;tracks=[key:gene_model_track,Options:GeneOnly]&amp;mk=1197037:1197056|offset_25|444444,1197091:1197110|offset_79|444444,1197142:1197161|offset_130|444444,1197184:1197203|offset_172|00cc00&amp;v=1196836:1197403&amp;c=444444", "offset 172")</f>
        <v>offset 172</v>
      </c>
    </row>
    <row r="4195" customFormat="false" ht="12.8" hidden="false" customHeight="false" outlineLevel="0" collapsed="false">
      <c r="A4195" s="0" t="s">
        <v>12</v>
      </c>
      <c r="B4195" s="0" t="n">
        <v>1198404</v>
      </c>
      <c r="C4195" s="0" t="n">
        <v>1198424</v>
      </c>
      <c r="D4195" s="0" t="s">
        <v>14045</v>
      </c>
      <c r="E4195" s="0" t="s">
        <v>14046</v>
      </c>
      <c r="F4195" s="0" t="s">
        <v>15</v>
      </c>
      <c r="G4195" s="0" t="s">
        <v>16</v>
      </c>
      <c r="H4195" s="0" t="n">
        <v>0</v>
      </c>
      <c r="I4195" s="0" t="s">
        <v>14047</v>
      </c>
      <c r="J4195" s="0" t="s">
        <v>14048</v>
      </c>
      <c r="K4195" s="0" t="s">
        <v>14049</v>
      </c>
      <c r="L4195" s="0" t="str">
        <f aca="false">HYPERLINK("https://www.ncbi.nlm.nih.gov/nuccore/CP000304.1?report=graph&amp;tracks=[key:gene_model_track,Options:GeneOnly]&amp;mk=1198405:1198424|offset_0|00cc00,1198436:1198455|offset_31|444444,1198462:1198481|offset_57|444444,1198490:1198509|offset_85|444444&amp;v=1198204:1198709&amp;c=444444", "offset 0")</f>
        <v>offset 0</v>
      </c>
    </row>
    <row r="4196" customFormat="false" ht="12.8" hidden="false" customHeight="false" outlineLevel="0" collapsed="false">
      <c r="A4196" s="0" t="s">
        <v>12</v>
      </c>
      <c r="B4196" s="0" t="n">
        <v>1198435</v>
      </c>
      <c r="C4196" s="0" t="n">
        <v>1198455</v>
      </c>
      <c r="D4196" s="0" t="s">
        <v>14045</v>
      </c>
      <c r="E4196" s="0" t="s">
        <v>14046</v>
      </c>
      <c r="F4196" s="0" t="s">
        <v>15</v>
      </c>
      <c r="G4196" s="0" t="s">
        <v>16</v>
      </c>
      <c r="H4196" s="0" t="n">
        <v>31</v>
      </c>
      <c r="I4196" s="0" t="s">
        <v>14050</v>
      </c>
      <c r="J4196" s="0" t="s">
        <v>14051</v>
      </c>
      <c r="K4196" s="0" t="s">
        <v>14052</v>
      </c>
      <c r="L4196" s="0" t="str">
        <f aca="false">HYPERLINK("https://www.ncbi.nlm.nih.gov/nuccore/CP000304.1?report=graph&amp;tracks=[key:gene_model_track,Options:GeneOnly]&amp;mk=1198405:1198424|offset_0|444444,1198436:1198455|offset_31|00cc00,1198462:1198481|offset_57|444444,1198490:1198509|offset_85|444444&amp;v=1198204:1198709&amp;c=444444", "offset 31")</f>
        <v>offset 31</v>
      </c>
    </row>
    <row r="4197" customFormat="false" ht="12.8" hidden="false" customHeight="false" outlineLevel="0" collapsed="false">
      <c r="A4197" s="0" t="s">
        <v>12</v>
      </c>
      <c r="B4197" s="0" t="n">
        <v>1198461</v>
      </c>
      <c r="C4197" s="0" t="n">
        <v>1198481</v>
      </c>
      <c r="D4197" s="0" t="s">
        <v>14045</v>
      </c>
      <c r="E4197" s="0" t="s">
        <v>14046</v>
      </c>
      <c r="F4197" s="0" t="s">
        <v>15</v>
      </c>
      <c r="G4197" s="0" t="s">
        <v>36</v>
      </c>
      <c r="H4197" s="0" t="n">
        <v>57</v>
      </c>
      <c r="I4197" s="0" t="s">
        <v>14053</v>
      </c>
      <c r="J4197" s="0" t="s">
        <v>14054</v>
      </c>
      <c r="K4197" s="0" t="s">
        <v>14055</v>
      </c>
      <c r="L4197" s="0" t="str">
        <f aca="false">HYPERLINK("https://www.ncbi.nlm.nih.gov/nuccore/CP000304.1?report=graph&amp;tracks=[key:gene_model_track,Options:GeneOnly]&amp;mk=1198405:1198424|offset_0|444444,1198436:1198455|offset_31|444444,1198462:1198481|offset_57|00cc00,1198490:1198509|offset_85|444444&amp;v=1198204:1198709&amp;c=444444", "offset 57")</f>
        <v>offset 57</v>
      </c>
    </row>
    <row r="4198" customFormat="false" ht="12.8" hidden="false" customHeight="false" outlineLevel="0" collapsed="false">
      <c r="A4198" s="0" t="s">
        <v>12</v>
      </c>
      <c r="B4198" s="0" t="n">
        <v>1198489</v>
      </c>
      <c r="C4198" s="0" t="n">
        <v>1198509</v>
      </c>
      <c r="D4198" s="0" t="s">
        <v>14045</v>
      </c>
      <c r="E4198" s="0" t="s">
        <v>14046</v>
      </c>
      <c r="F4198" s="0" t="s">
        <v>15</v>
      </c>
      <c r="G4198" s="0" t="s">
        <v>32</v>
      </c>
      <c r="H4198" s="0" t="n">
        <v>85</v>
      </c>
      <c r="I4198" s="0" t="s">
        <v>14056</v>
      </c>
      <c r="J4198" s="0" t="s">
        <v>14057</v>
      </c>
      <c r="K4198" s="0" t="s">
        <v>14058</v>
      </c>
      <c r="L4198" s="0" t="str">
        <f aca="false">HYPERLINK("https://www.ncbi.nlm.nih.gov/nuccore/CP000304.1?report=graph&amp;tracks=[key:gene_model_track,Options:GeneOnly]&amp;mk=1198405:1198424|offset_0|444444,1198436:1198455|offset_31|444444,1198462:1198481|offset_57|444444,1198490:1198509|offset_85|00cc00&amp;v=1198204:1198709&amp;c=444444", "offset 85")</f>
        <v>offset 85</v>
      </c>
    </row>
    <row r="4199" customFormat="false" ht="12.8" hidden="false" customHeight="false" outlineLevel="0" collapsed="false">
      <c r="A4199" s="0" t="s">
        <v>12</v>
      </c>
      <c r="B4199" s="0" t="n">
        <v>1201090</v>
      </c>
      <c r="C4199" s="0" t="n">
        <v>1201110</v>
      </c>
      <c r="D4199" s="0" t="s">
        <v>14059</v>
      </c>
      <c r="E4199" s="0" t="s">
        <v>89</v>
      </c>
      <c r="F4199" s="0" t="s">
        <v>90</v>
      </c>
      <c r="G4199" s="0" t="s">
        <v>26</v>
      </c>
      <c r="H4199" s="0" t="n">
        <v>35</v>
      </c>
      <c r="I4199" s="0" t="s">
        <v>14060</v>
      </c>
      <c r="J4199" s="0" t="s">
        <v>14061</v>
      </c>
      <c r="K4199" s="0" t="s">
        <v>14062</v>
      </c>
      <c r="L4199" s="0" t="str">
        <f aca="false">HYPERLINK("https://www.ncbi.nlm.nih.gov/nuccore/CP000304.1?report=graph&amp;tracks=[key:gene_model_track,Options:GeneOnly]&amp;mk=1201091:1201110|offset_35|00cc00,1201047:1201066|offset_79|444444,1200990:1201009|offset_136|444444,1200939:1200958|offset_187|444444&amp;v=1200890:1201158&amp;c=444444", "offset 35")</f>
        <v>offset 35</v>
      </c>
    </row>
    <row r="4200" customFormat="false" ht="12.8" hidden="false" customHeight="false" outlineLevel="0" collapsed="false">
      <c r="A4200" s="0" t="s">
        <v>12</v>
      </c>
      <c r="B4200" s="0" t="n">
        <v>1201046</v>
      </c>
      <c r="C4200" s="0" t="n">
        <v>1201066</v>
      </c>
      <c r="D4200" s="0" t="s">
        <v>14059</v>
      </c>
      <c r="E4200" s="0" t="s">
        <v>89</v>
      </c>
      <c r="F4200" s="0" t="s">
        <v>90</v>
      </c>
      <c r="G4200" s="0" t="s">
        <v>16</v>
      </c>
      <c r="H4200" s="0" t="n">
        <v>79</v>
      </c>
      <c r="I4200" s="0" t="s">
        <v>14063</v>
      </c>
      <c r="J4200" s="0" t="s">
        <v>14064</v>
      </c>
      <c r="K4200" s="0" t="s">
        <v>14065</v>
      </c>
      <c r="L4200" s="0" t="str">
        <f aca="false">HYPERLINK("https://www.ncbi.nlm.nih.gov/nuccore/CP000304.1?report=graph&amp;tracks=[key:gene_model_track,Options:GeneOnly]&amp;mk=1201091:1201110|offset_35|444444,1201047:1201066|offset_79|00cc00,1200990:1201009|offset_136|444444,1200939:1200958|offset_187|444444&amp;v=1200890:1201158&amp;c=444444", "offset 79")</f>
        <v>offset 79</v>
      </c>
    </row>
    <row r="4201" customFormat="false" ht="12.8" hidden="false" customHeight="false" outlineLevel="0" collapsed="false">
      <c r="A4201" s="0" t="s">
        <v>12</v>
      </c>
      <c r="B4201" s="0" t="n">
        <v>1200989</v>
      </c>
      <c r="C4201" s="0" t="n">
        <v>1201009</v>
      </c>
      <c r="D4201" s="0" t="s">
        <v>14059</v>
      </c>
      <c r="E4201" s="0" t="s">
        <v>89</v>
      </c>
      <c r="F4201" s="0" t="s">
        <v>90</v>
      </c>
      <c r="G4201" s="0" t="s">
        <v>32</v>
      </c>
      <c r="H4201" s="0" t="n">
        <v>136</v>
      </c>
      <c r="I4201" s="0" t="s">
        <v>14066</v>
      </c>
      <c r="J4201" s="0" t="s">
        <v>14067</v>
      </c>
      <c r="K4201" s="0" t="s">
        <v>14068</v>
      </c>
      <c r="L4201" s="0" t="str">
        <f aca="false">HYPERLINK("https://www.ncbi.nlm.nih.gov/nuccore/CP000304.1?report=graph&amp;tracks=[key:gene_model_track,Options:GeneOnly]&amp;mk=1201091:1201110|offset_35|444444,1201047:1201066|offset_79|444444,1200990:1201009|offset_136|00cc00,1200939:1200958|offset_187|444444&amp;v=1200890:1201158&amp;c=444444", "offset 136")</f>
        <v>offset 136</v>
      </c>
    </row>
    <row r="4202" customFormat="false" ht="12.8" hidden="false" customHeight="false" outlineLevel="0" collapsed="false">
      <c r="A4202" s="0" t="s">
        <v>12</v>
      </c>
      <c r="B4202" s="0" t="n">
        <v>1200938</v>
      </c>
      <c r="C4202" s="0" t="n">
        <v>1200958</v>
      </c>
      <c r="D4202" s="0" t="s">
        <v>14059</v>
      </c>
      <c r="E4202" s="0" t="s">
        <v>89</v>
      </c>
      <c r="F4202" s="0" t="s">
        <v>90</v>
      </c>
      <c r="G4202" s="0" t="s">
        <v>16</v>
      </c>
      <c r="H4202" s="0" t="n">
        <v>187</v>
      </c>
      <c r="I4202" s="0" t="s">
        <v>14069</v>
      </c>
      <c r="J4202" s="0" t="s">
        <v>14070</v>
      </c>
      <c r="K4202" s="0" t="s">
        <v>14071</v>
      </c>
      <c r="L4202" s="0" t="str">
        <f aca="false">HYPERLINK("https://www.ncbi.nlm.nih.gov/nuccore/CP000304.1?report=graph&amp;tracks=[key:gene_model_track,Options:GeneOnly]&amp;mk=1201091:1201110|offset_35|444444,1201047:1201066|offset_79|444444,1200990:1201009|offset_136|444444,1200939:1200958|offset_187|00cc00&amp;v=1200890:1201158&amp;c=444444", "offset 187")</f>
        <v>offset 187</v>
      </c>
    </row>
    <row r="4203" customFormat="false" ht="12.8" hidden="false" customHeight="false" outlineLevel="0" collapsed="false">
      <c r="A4203" s="0" t="s">
        <v>12</v>
      </c>
      <c r="B4203" s="0" t="n">
        <v>1201748</v>
      </c>
      <c r="C4203" s="0" t="n">
        <v>1201768</v>
      </c>
      <c r="D4203" s="0" t="s">
        <v>14072</v>
      </c>
      <c r="E4203" s="0" t="s">
        <v>89</v>
      </c>
      <c r="F4203" s="0" t="s">
        <v>90</v>
      </c>
      <c r="G4203" s="0" t="s">
        <v>32</v>
      </c>
      <c r="H4203" s="0" t="n">
        <v>1</v>
      </c>
      <c r="I4203" s="0" t="s">
        <v>14073</v>
      </c>
      <c r="J4203" s="0" t="s">
        <v>14074</v>
      </c>
      <c r="K4203" s="0" t="s">
        <v>14075</v>
      </c>
      <c r="L4203" s="0" t="str">
        <f aca="false">HYPERLINK("https://www.ncbi.nlm.nih.gov/nuccore/CP000304.1?report=graph&amp;tracks=[key:gene_model_track,Options:GeneOnly]&amp;mk=1201749:1201768|offset_1|00cc00,1201728:1201747|offset_22|444444,1201698:1201717|offset_52|444444,1201647:1201666|offset_103|444444&amp;v=1201548:1201866&amp;c=444444", "offset 1")</f>
        <v>offset 1</v>
      </c>
    </row>
    <row r="4204" customFormat="false" ht="12.8" hidden="false" customHeight="false" outlineLevel="0" collapsed="false">
      <c r="A4204" s="0" t="s">
        <v>12</v>
      </c>
      <c r="B4204" s="0" t="n">
        <v>1201727</v>
      </c>
      <c r="C4204" s="0" t="n">
        <v>1201747</v>
      </c>
      <c r="D4204" s="0" t="s">
        <v>14072</v>
      </c>
      <c r="E4204" s="0" t="s">
        <v>89</v>
      </c>
      <c r="F4204" s="0" t="s">
        <v>90</v>
      </c>
      <c r="G4204" s="0" t="s">
        <v>32</v>
      </c>
      <c r="H4204" s="0" t="n">
        <v>22</v>
      </c>
      <c r="I4204" s="0" t="s">
        <v>14076</v>
      </c>
      <c r="J4204" s="0" t="s">
        <v>14077</v>
      </c>
      <c r="K4204" s="0" t="s">
        <v>14078</v>
      </c>
      <c r="L4204" s="0" t="str">
        <f aca="false">HYPERLINK("https://www.ncbi.nlm.nih.gov/nuccore/CP000304.1?report=graph&amp;tracks=[key:gene_model_track,Options:GeneOnly]&amp;mk=1201749:1201768|offset_1|444444,1201728:1201747|offset_22|00cc00,1201698:1201717|offset_52|444444,1201647:1201666|offset_103|444444&amp;v=1201548:1201866&amp;c=444444", "offset 22")</f>
        <v>offset 22</v>
      </c>
    </row>
    <row r="4205" customFormat="false" ht="12.8" hidden="false" customHeight="false" outlineLevel="0" collapsed="false">
      <c r="A4205" s="0" t="s">
        <v>12</v>
      </c>
      <c r="B4205" s="0" t="n">
        <v>1201697</v>
      </c>
      <c r="C4205" s="0" t="n">
        <v>1201717</v>
      </c>
      <c r="D4205" s="0" t="s">
        <v>14072</v>
      </c>
      <c r="E4205" s="0" t="s">
        <v>89</v>
      </c>
      <c r="F4205" s="0" t="s">
        <v>90</v>
      </c>
      <c r="G4205" s="0" t="s">
        <v>16</v>
      </c>
      <c r="H4205" s="0" t="n">
        <v>52</v>
      </c>
      <c r="I4205" s="0" t="s">
        <v>14079</v>
      </c>
      <c r="J4205" s="0" t="s">
        <v>14080</v>
      </c>
      <c r="K4205" s="0" t="s">
        <v>14081</v>
      </c>
      <c r="L4205" s="0" t="str">
        <f aca="false">HYPERLINK("https://www.ncbi.nlm.nih.gov/nuccore/CP000304.1?report=graph&amp;tracks=[key:gene_model_track,Options:GeneOnly]&amp;mk=1201749:1201768|offset_1|444444,1201728:1201747|offset_22|444444,1201698:1201717|offset_52|00cc00,1201647:1201666|offset_103|444444&amp;v=1201548:1201866&amp;c=444444", "offset 52")</f>
        <v>offset 52</v>
      </c>
    </row>
    <row r="4206" customFormat="false" ht="12.8" hidden="false" customHeight="false" outlineLevel="0" collapsed="false">
      <c r="A4206" s="0" t="s">
        <v>12</v>
      </c>
      <c r="B4206" s="0" t="n">
        <v>1201646</v>
      </c>
      <c r="C4206" s="0" t="n">
        <v>1201666</v>
      </c>
      <c r="D4206" s="0" t="s">
        <v>14072</v>
      </c>
      <c r="E4206" s="0" t="s">
        <v>89</v>
      </c>
      <c r="F4206" s="0" t="s">
        <v>90</v>
      </c>
      <c r="G4206" s="0" t="s">
        <v>16</v>
      </c>
      <c r="H4206" s="0" t="n">
        <v>103</v>
      </c>
      <c r="I4206" s="0" t="s">
        <v>14082</v>
      </c>
      <c r="J4206" s="0" t="s">
        <v>14083</v>
      </c>
      <c r="K4206" s="0" t="s">
        <v>14084</v>
      </c>
      <c r="L4206" s="0" t="str">
        <f aca="false">HYPERLINK("https://www.ncbi.nlm.nih.gov/nuccore/CP000304.1?report=graph&amp;tracks=[key:gene_model_track,Options:GeneOnly]&amp;mk=1201749:1201768|offset_1|444444,1201728:1201747|offset_22|444444,1201698:1201717|offset_52|444444,1201647:1201666|offset_103|00cc00&amp;v=1201548:1201866&amp;c=444444", "offset 103")</f>
        <v>offset 103</v>
      </c>
    </row>
    <row r="4207" customFormat="false" ht="12.8" hidden="false" customHeight="false" outlineLevel="0" collapsed="false">
      <c r="A4207" s="0" t="s">
        <v>12</v>
      </c>
      <c r="B4207" s="0" t="n">
        <v>1202126</v>
      </c>
      <c r="C4207" s="0" t="n">
        <v>1202146</v>
      </c>
      <c r="D4207" s="0" t="s">
        <v>14085</v>
      </c>
      <c r="E4207" s="0" t="s">
        <v>14086</v>
      </c>
      <c r="F4207" s="0" t="s">
        <v>90</v>
      </c>
      <c r="G4207" s="0" t="s">
        <v>36</v>
      </c>
      <c r="H4207" s="0" t="n">
        <v>16</v>
      </c>
      <c r="I4207" s="0" t="s">
        <v>14087</v>
      </c>
      <c r="J4207" s="0" t="s">
        <v>14088</v>
      </c>
      <c r="K4207" s="0" t="s">
        <v>14089</v>
      </c>
      <c r="L4207" s="0" t="str">
        <f aca="false">HYPERLINK("https://www.ncbi.nlm.nih.gov/nuccore/CP000304.1?report=graph&amp;tracks=[key:gene_model_track,Options:GeneOnly]&amp;mk=1202127:1202146|offset_16|00cc00,1202085:1202104|offset_58|444444,1202060:1202079|offset_83|444444,1202038:1202057|offset_105|444444&amp;v=1201926:1202257&amp;c=444444", "offset 16")</f>
        <v>offset 16</v>
      </c>
    </row>
    <row r="4208" customFormat="false" ht="12.8" hidden="false" customHeight="false" outlineLevel="0" collapsed="false">
      <c r="A4208" s="0" t="s">
        <v>12</v>
      </c>
      <c r="B4208" s="0" t="n">
        <v>1202084</v>
      </c>
      <c r="C4208" s="0" t="n">
        <v>1202104</v>
      </c>
      <c r="D4208" s="0" t="s">
        <v>14085</v>
      </c>
      <c r="E4208" s="0" t="s">
        <v>14086</v>
      </c>
      <c r="F4208" s="0" t="s">
        <v>90</v>
      </c>
      <c r="G4208" s="0" t="s">
        <v>16</v>
      </c>
      <c r="H4208" s="0" t="n">
        <v>58</v>
      </c>
      <c r="I4208" s="0" t="s">
        <v>14090</v>
      </c>
      <c r="J4208" s="0" t="s">
        <v>14091</v>
      </c>
      <c r="K4208" s="0" t="s">
        <v>14092</v>
      </c>
      <c r="L4208" s="0" t="str">
        <f aca="false">HYPERLINK("https://www.ncbi.nlm.nih.gov/nuccore/CP000304.1?report=graph&amp;tracks=[key:gene_model_track,Options:GeneOnly]&amp;mk=1202127:1202146|offset_16|444444,1202085:1202104|offset_58|00cc00,1202060:1202079|offset_83|444444,1202038:1202057|offset_105|444444&amp;v=1201926:1202257&amp;c=444444", "offset 58")</f>
        <v>offset 58</v>
      </c>
    </row>
    <row r="4209" customFormat="false" ht="12.8" hidden="false" customHeight="false" outlineLevel="0" collapsed="false">
      <c r="A4209" s="0" t="s">
        <v>12</v>
      </c>
      <c r="B4209" s="0" t="n">
        <v>1202059</v>
      </c>
      <c r="C4209" s="0" t="n">
        <v>1202079</v>
      </c>
      <c r="D4209" s="0" t="s">
        <v>14085</v>
      </c>
      <c r="E4209" s="0" t="s">
        <v>14086</v>
      </c>
      <c r="F4209" s="0" t="s">
        <v>90</v>
      </c>
      <c r="G4209" s="0" t="s">
        <v>16</v>
      </c>
      <c r="H4209" s="0" t="n">
        <v>83</v>
      </c>
      <c r="I4209" s="0" t="s">
        <v>14093</v>
      </c>
      <c r="J4209" s="0" t="s">
        <v>14094</v>
      </c>
      <c r="K4209" s="0" t="s">
        <v>14095</v>
      </c>
      <c r="L4209" s="0" t="str">
        <f aca="false">HYPERLINK("https://www.ncbi.nlm.nih.gov/nuccore/CP000304.1?report=graph&amp;tracks=[key:gene_model_track,Options:GeneOnly]&amp;mk=1202127:1202146|offset_16|444444,1202085:1202104|offset_58|444444,1202060:1202079|offset_83|00cc00,1202038:1202057|offset_105|444444&amp;v=1201926:1202257&amp;c=444444", "offset 83")</f>
        <v>offset 83</v>
      </c>
    </row>
    <row r="4210" customFormat="false" ht="12.8" hidden="false" customHeight="false" outlineLevel="0" collapsed="false">
      <c r="A4210" s="0" t="s">
        <v>12</v>
      </c>
      <c r="B4210" s="0" t="n">
        <v>1202037</v>
      </c>
      <c r="C4210" s="0" t="n">
        <v>1202057</v>
      </c>
      <c r="D4210" s="0" t="s">
        <v>14085</v>
      </c>
      <c r="E4210" s="0" t="s">
        <v>14086</v>
      </c>
      <c r="F4210" s="0" t="s">
        <v>90</v>
      </c>
      <c r="G4210" s="0" t="s">
        <v>16</v>
      </c>
      <c r="H4210" s="0" t="n">
        <v>105</v>
      </c>
      <c r="I4210" s="0" t="s">
        <v>14096</v>
      </c>
      <c r="J4210" s="0" t="s">
        <v>14097</v>
      </c>
      <c r="K4210" s="0" t="s">
        <v>14098</v>
      </c>
      <c r="L4210" s="0" t="str">
        <f aca="false">HYPERLINK("https://www.ncbi.nlm.nih.gov/nuccore/CP000304.1?report=graph&amp;tracks=[key:gene_model_track,Options:GeneOnly]&amp;mk=1202127:1202146|offset_16|444444,1202085:1202104|offset_58|444444,1202060:1202079|offset_83|444444,1202038:1202057|offset_105|00cc00&amp;v=1201926:1202257&amp;c=444444", "offset 105")</f>
        <v>offset 105</v>
      </c>
    </row>
    <row r="4211" customFormat="false" ht="12.8" hidden="false" customHeight="false" outlineLevel="0" collapsed="false">
      <c r="A4211" s="0" t="s">
        <v>12</v>
      </c>
      <c r="B4211" s="0" t="n">
        <v>1203542</v>
      </c>
      <c r="C4211" s="0" t="n">
        <v>1203562</v>
      </c>
      <c r="D4211" s="0" t="s">
        <v>14099</v>
      </c>
      <c r="E4211" s="0" t="s">
        <v>89</v>
      </c>
      <c r="F4211" s="0" t="s">
        <v>90</v>
      </c>
      <c r="G4211" s="0" t="s">
        <v>32</v>
      </c>
      <c r="H4211" s="0" t="n">
        <v>1</v>
      </c>
      <c r="I4211" s="0" t="s">
        <v>14100</v>
      </c>
      <c r="J4211" s="0" t="s">
        <v>14101</v>
      </c>
      <c r="K4211" s="0" t="s">
        <v>14102</v>
      </c>
      <c r="L4211" s="0" t="str">
        <f aca="false">HYPERLINK("https://www.ncbi.nlm.nih.gov/nuccore/CP000304.1?report=graph&amp;tracks=[key:gene_model_track,Options:GeneOnly]&amp;mk=1203543:1203562|offset_1|00cc00,1203504:1203523|offset_40|444444,1203471:1203490|offset_73|444444,1203440:1203459|offset_104|444444&amp;v=1203342:1203659&amp;c=444444", "offset 1")</f>
        <v>offset 1</v>
      </c>
    </row>
    <row r="4212" customFormat="false" ht="12.8" hidden="false" customHeight="false" outlineLevel="0" collapsed="false">
      <c r="A4212" s="0" t="s">
        <v>12</v>
      </c>
      <c r="B4212" s="0" t="n">
        <v>1203503</v>
      </c>
      <c r="C4212" s="0" t="n">
        <v>1203523</v>
      </c>
      <c r="D4212" s="0" t="s">
        <v>14099</v>
      </c>
      <c r="E4212" s="0" t="s">
        <v>89</v>
      </c>
      <c r="F4212" s="0" t="s">
        <v>90</v>
      </c>
      <c r="G4212" s="0" t="s">
        <v>16</v>
      </c>
      <c r="H4212" s="0" t="n">
        <v>40</v>
      </c>
      <c r="I4212" s="0" t="s">
        <v>14103</v>
      </c>
      <c r="J4212" s="0" t="s">
        <v>14104</v>
      </c>
      <c r="K4212" s="0" t="s">
        <v>14105</v>
      </c>
      <c r="L4212" s="0" t="str">
        <f aca="false">HYPERLINK("https://www.ncbi.nlm.nih.gov/nuccore/CP000304.1?report=graph&amp;tracks=[key:gene_model_track,Options:GeneOnly]&amp;mk=1203543:1203562|offset_1|444444,1203504:1203523|offset_40|00cc00,1203471:1203490|offset_73|444444,1203440:1203459|offset_104|444444&amp;v=1203342:1203659&amp;c=444444", "offset 40")</f>
        <v>offset 40</v>
      </c>
    </row>
    <row r="4213" customFormat="false" ht="12.8" hidden="false" customHeight="false" outlineLevel="0" collapsed="false">
      <c r="A4213" s="0" t="s">
        <v>12</v>
      </c>
      <c r="B4213" s="0" t="n">
        <v>1203470</v>
      </c>
      <c r="C4213" s="0" t="n">
        <v>1203490</v>
      </c>
      <c r="D4213" s="0" t="s">
        <v>14099</v>
      </c>
      <c r="E4213" s="0" t="s">
        <v>89</v>
      </c>
      <c r="F4213" s="0" t="s">
        <v>90</v>
      </c>
      <c r="G4213" s="0" t="s">
        <v>16</v>
      </c>
      <c r="H4213" s="0" t="n">
        <v>73</v>
      </c>
      <c r="I4213" s="0" t="s">
        <v>14106</v>
      </c>
      <c r="J4213" s="0" t="s">
        <v>14107</v>
      </c>
      <c r="K4213" s="0" t="s">
        <v>14108</v>
      </c>
      <c r="L4213" s="0" t="str">
        <f aca="false">HYPERLINK("https://www.ncbi.nlm.nih.gov/nuccore/CP000304.1?report=graph&amp;tracks=[key:gene_model_track,Options:GeneOnly]&amp;mk=1203543:1203562|offset_1|444444,1203504:1203523|offset_40|444444,1203471:1203490|offset_73|00cc00,1203440:1203459|offset_104|444444&amp;v=1203342:1203659&amp;c=444444", "offset 73")</f>
        <v>offset 73</v>
      </c>
    </row>
    <row r="4214" customFormat="false" ht="12.8" hidden="false" customHeight="false" outlineLevel="0" collapsed="false">
      <c r="A4214" s="0" t="s">
        <v>12</v>
      </c>
      <c r="B4214" s="0" t="n">
        <v>1203439</v>
      </c>
      <c r="C4214" s="0" t="n">
        <v>1203459</v>
      </c>
      <c r="D4214" s="0" t="s">
        <v>14099</v>
      </c>
      <c r="E4214" s="0" t="s">
        <v>89</v>
      </c>
      <c r="F4214" s="0" t="s">
        <v>90</v>
      </c>
      <c r="G4214" s="0" t="s">
        <v>36</v>
      </c>
      <c r="H4214" s="0" t="n">
        <v>104</v>
      </c>
      <c r="I4214" s="0" t="s">
        <v>14109</v>
      </c>
      <c r="J4214" s="0" t="s">
        <v>14110</v>
      </c>
      <c r="K4214" s="0" t="s">
        <v>14111</v>
      </c>
      <c r="L4214" s="0" t="str">
        <f aca="false">HYPERLINK("https://www.ncbi.nlm.nih.gov/nuccore/CP000304.1?report=graph&amp;tracks=[key:gene_model_track,Options:GeneOnly]&amp;mk=1203543:1203562|offset_1|444444,1203504:1203523|offset_40|444444,1203471:1203490|offset_73|444444,1203440:1203459|offset_104|00cc00&amp;v=1203342:1203659&amp;c=444444", "offset 104")</f>
        <v>offset 104</v>
      </c>
    </row>
    <row r="4215" customFormat="false" ht="12.8" hidden="false" customHeight="false" outlineLevel="0" collapsed="false">
      <c r="A4215" s="0" t="s">
        <v>12</v>
      </c>
      <c r="B4215" s="0" t="n">
        <v>1204060</v>
      </c>
      <c r="C4215" s="0" t="n">
        <v>1204080</v>
      </c>
      <c r="D4215" s="0" t="s">
        <v>14112</v>
      </c>
      <c r="E4215" s="0" t="s">
        <v>89</v>
      </c>
      <c r="F4215" s="0" t="s">
        <v>90</v>
      </c>
      <c r="G4215" s="0" t="s">
        <v>32</v>
      </c>
      <c r="H4215" s="0" t="n">
        <v>25</v>
      </c>
      <c r="I4215" s="0" t="s">
        <v>14113</v>
      </c>
      <c r="J4215" s="0" t="s">
        <v>14114</v>
      </c>
      <c r="K4215" s="0" t="s">
        <v>14115</v>
      </c>
      <c r="L4215" s="0" t="str">
        <f aca="false">HYPERLINK("https://www.ncbi.nlm.nih.gov/nuccore/CP000304.1?report=graph&amp;tracks=[key:gene_model_track,Options:GeneOnly]&amp;mk=1204061:1204080|offset_25|00cc00,1204037:1204056|offset_49|444444,1203997:1204016|offset_89|444444,1203967:1203986|offset_119|444444&amp;v=1203860:1204186&amp;c=444444", "offset 25")</f>
        <v>offset 25</v>
      </c>
    </row>
    <row r="4216" customFormat="false" ht="12.8" hidden="false" customHeight="false" outlineLevel="0" collapsed="false">
      <c r="A4216" s="0" t="s">
        <v>12</v>
      </c>
      <c r="B4216" s="0" t="n">
        <v>1204036</v>
      </c>
      <c r="C4216" s="0" t="n">
        <v>1204056</v>
      </c>
      <c r="D4216" s="0" t="s">
        <v>14112</v>
      </c>
      <c r="E4216" s="0" t="s">
        <v>89</v>
      </c>
      <c r="F4216" s="0" t="s">
        <v>90</v>
      </c>
      <c r="G4216" s="0" t="s">
        <v>16</v>
      </c>
      <c r="H4216" s="0" t="n">
        <v>49</v>
      </c>
      <c r="I4216" s="0" t="s">
        <v>14116</v>
      </c>
      <c r="J4216" s="0" t="s">
        <v>14117</v>
      </c>
      <c r="K4216" s="0" t="s">
        <v>14118</v>
      </c>
      <c r="L4216" s="0" t="str">
        <f aca="false">HYPERLINK("https://www.ncbi.nlm.nih.gov/nuccore/CP000304.1?report=graph&amp;tracks=[key:gene_model_track,Options:GeneOnly]&amp;mk=1204061:1204080|offset_25|444444,1204037:1204056|offset_49|00cc00,1203997:1204016|offset_89|444444,1203967:1203986|offset_119|444444&amp;v=1203860:1204186&amp;c=444444", "offset 49")</f>
        <v>offset 49</v>
      </c>
    </row>
    <row r="4217" customFormat="false" ht="12.8" hidden="false" customHeight="false" outlineLevel="0" collapsed="false">
      <c r="A4217" s="0" t="s">
        <v>12</v>
      </c>
      <c r="B4217" s="0" t="n">
        <v>1203996</v>
      </c>
      <c r="C4217" s="0" t="n">
        <v>1204016</v>
      </c>
      <c r="D4217" s="0" t="s">
        <v>14112</v>
      </c>
      <c r="E4217" s="0" t="s">
        <v>89</v>
      </c>
      <c r="F4217" s="0" t="s">
        <v>90</v>
      </c>
      <c r="G4217" s="0" t="s">
        <v>16</v>
      </c>
      <c r="H4217" s="0" t="n">
        <v>89</v>
      </c>
      <c r="I4217" s="0" t="s">
        <v>14119</v>
      </c>
      <c r="J4217" s="0" t="s">
        <v>14120</v>
      </c>
      <c r="K4217" s="0" t="s">
        <v>14121</v>
      </c>
      <c r="L4217" s="0" t="str">
        <f aca="false">HYPERLINK("https://www.ncbi.nlm.nih.gov/nuccore/CP000304.1?report=graph&amp;tracks=[key:gene_model_track,Options:GeneOnly]&amp;mk=1204061:1204080|offset_25|444444,1204037:1204056|offset_49|444444,1203997:1204016|offset_89|00cc00,1203967:1203986|offset_119|444444&amp;v=1203860:1204186&amp;c=444444", "offset 89")</f>
        <v>offset 89</v>
      </c>
    </row>
    <row r="4218" customFormat="false" ht="12.8" hidden="false" customHeight="false" outlineLevel="0" collapsed="false">
      <c r="A4218" s="0" t="s">
        <v>12</v>
      </c>
      <c r="B4218" s="0" t="n">
        <v>1203966</v>
      </c>
      <c r="C4218" s="0" t="n">
        <v>1203986</v>
      </c>
      <c r="D4218" s="0" t="s">
        <v>14112</v>
      </c>
      <c r="E4218" s="0" t="s">
        <v>89</v>
      </c>
      <c r="F4218" s="0" t="s">
        <v>90</v>
      </c>
      <c r="G4218" s="0" t="s">
        <v>26</v>
      </c>
      <c r="H4218" s="0" t="n">
        <v>119</v>
      </c>
      <c r="I4218" s="0" t="s">
        <v>14122</v>
      </c>
      <c r="J4218" s="0" t="s">
        <v>14123</v>
      </c>
      <c r="K4218" s="0" t="s">
        <v>14124</v>
      </c>
      <c r="L4218" s="0" t="str">
        <f aca="false">HYPERLINK("https://www.ncbi.nlm.nih.gov/nuccore/CP000304.1?report=graph&amp;tracks=[key:gene_model_track,Options:GeneOnly]&amp;mk=1204061:1204080|offset_25|444444,1204037:1204056|offset_49|444444,1203997:1204016|offset_89|444444,1203967:1203986|offset_119|00cc00&amp;v=1203860:1204186&amp;c=444444", "offset 119")</f>
        <v>offset 119</v>
      </c>
    </row>
    <row r="4219" customFormat="false" ht="12.8" hidden="false" customHeight="false" outlineLevel="0" collapsed="false">
      <c r="A4219" s="0" t="s">
        <v>12</v>
      </c>
      <c r="B4219" s="0" t="n">
        <v>1205151</v>
      </c>
      <c r="C4219" s="0" t="n">
        <v>1205171</v>
      </c>
      <c r="D4219" s="0" t="s">
        <v>14125</v>
      </c>
      <c r="E4219" s="0" t="s">
        <v>89</v>
      </c>
      <c r="F4219" s="0" t="s">
        <v>90</v>
      </c>
      <c r="G4219" s="0" t="s">
        <v>36</v>
      </c>
      <c r="H4219" s="0" t="n">
        <v>15</v>
      </c>
      <c r="I4219" s="0" t="s">
        <v>14126</v>
      </c>
      <c r="J4219" s="0" t="s">
        <v>14127</v>
      </c>
      <c r="K4219" s="0" t="s">
        <v>14128</v>
      </c>
      <c r="L4219" s="0" t="str">
        <f aca="false">HYPERLINK("https://www.ncbi.nlm.nih.gov/nuccore/CP000304.1?report=graph&amp;tracks=[key:gene_model_track,Options:GeneOnly]&amp;mk=1205152:1205171|offset_15|00cc00,1205111:1205130|offset_56|444444,1205070:1205089|offset_97|444444,1205039:1205058|offset_128|444444&amp;v=1204951:1205258&amp;c=444444", "offset 15")</f>
        <v>offset 15</v>
      </c>
    </row>
    <row r="4220" customFormat="false" ht="12.8" hidden="false" customHeight="false" outlineLevel="0" collapsed="false">
      <c r="A4220" s="0" t="s">
        <v>12</v>
      </c>
      <c r="B4220" s="0" t="n">
        <v>1205110</v>
      </c>
      <c r="C4220" s="0" t="n">
        <v>1205130</v>
      </c>
      <c r="D4220" s="0" t="s">
        <v>14125</v>
      </c>
      <c r="E4220" s="0" t="s">
        <v>89</v>
      </c>
      <c r="F4220" s="0" t="s">
        <v>90</v>
      </c>
      <c r="G4220" s="0" t="s">
        <v>16</v>
      </c>
      <c r="H4220" s="0" t="n">
        <v>56</v>
      </c>
      <c r="I4220" s="0" t="s">
        <v>14129</v>
      </c>
      <c r="J4220" s="0" t="s">
        <v>14130</v>
      </c>
      <c r="K4220" s="0" t="s">
        <v>14131</v>
      </c>
      <c r="L4220" s="0" t="str">
        <f aca="false">HYPERLINK("https://www.ncbi.nlm.nih.gov/nuccore/CP000304.1?report=graph&amp;tracks=[key:gene_model_track,Options:GeneOnly]&amp;mk=1205152:1205171|offset_15|444444,1205111:1205130|offset_56|00cc00,1205070:1205089|offset_97|444444,1205039:1205058|offset_128|444444&amp;v=1204951:1205258&amp;c=444444", "offset 56")</f>
        <v>offset 56</v>
      </c>
    </row>
    <row r="4221" customFormat="false" ht="12.8" hidden="false" customHeight="false" outlineLevel="0" collapsed="false">
      <c r="A4221" s="0" t="s">
        <v>12</v>
      </c>
      <c r="B4221" s="0" t="n">
        <v>1205069</v>
      </c>
      <c r="C4221" s="0" t="n">
        <v>1205089</v>
      </c>
      <c r="D4221" s="0" t="s">
        <v>14125</v>
      </c>
      <c r="E4221" s="0" t="s">
        <v>89</v>
      </c>
      <c r="F4221" s="0" t="s">
        <v>90</v>
      </c>
      <c r="G4221" s="0" t="s">
        <v>16</v>
      </c>
      <c r="H4221" s="0" t="n">
        <v>97</v>
      </c>
      <c r="I4221" s="0" t="s">
        <v>14132</v>
      </c>
      <c r="J4221" s="0" t="s">
        <v>14133</v>
      </c>
      <c r="K4221" s="0" t="s">
        <v>14134</v>
      </c>
      <c r="L4221" s="0" t="str">
        <f aca="false">HYPERLINK("https://www.ncbi.nlm.nih.gov/nuccore/CP000304.1?report=graph&amp;tracks=[key:gene_model_track,Options:GeneOnly]&amp;mk=1205152:1205171|offset_15|444444,1205111:1205130|offset_56|444444,1205070:1205089|offset_97|00cc00,1205039:1205058|offset_128|444444&amp;v=1204951:1205258&amp;c=444444", "offset 97")</f>
        <v>offset 97</v>
      </c>
    </row>
    <row r="4222" customFormat="false" ht="12.8" hidden="false" customHeight="false" outlineLevel="0" collapsed="false">
      <c r="A4222" s="0" t="s">
        <v>12</v>
      </c>
      <c r="B4222" s="0" t="n">
        <v>1205038</v>
      </c>
      <c r="C4222" s="0" t="n">
        <v>1205058</v>
      </c>
      <c r="D4222" s="0" t="s">
        <v>14125</v>
      </c>
      <c r="E4222" s="0" t="s">
        <v>89</v>
      </c>
      <c r="F4222" s="0" t="s">
        <v>90</v>
      </c>
      <c r="G4222" s="0" t="s">
        <v>32</v>
      </c>
      <c r="H4222" s="0" t="n">
        <v>128</v>
      </c>
      <c r="I4222" s="0" t="s">
        <v>14135</v>
      </c>
      <c r="J4222" s="0" t="s">
        <v>14136</v>
      </c>
      <c r="K4222" s="0" t="s">
        <v>14137</v>
      </c>
      <c r="L4222" s="0" t="str">
        <f aca="false">HYPERLINK("https://www.ncbi.nlm.nih.gov/nuccore/CP000304.1?report=graph&amp;tracks=[key:gene_model_track,Options:GeneOnly]&amp;mk=1205152:1205171|offset_15|444444,1205111:1205130|offset_56|444444,1205070:1205089|offset_97|444444,1205039:1205058|offset_128|00cc00&amp;v=1204951:1205258&amp;c=444444", "offset 128")</f>
        <v>offset 128</v>
      </c>
    </row>
    <row r="4223" customFormat="false" ht="12.8" hidden="false" customHeight="false" outlineLevel="0" collapsed="false">
      <c r="A4223" s="0" t="s">
        <v>12</v>
      </c>
      <c r="B4223" s="0" t="n">
        <v>1205795</v>
      </c>
      <c r="C4223" s="0" t="n">
        <v>1205815</v>
      </c>
      <c r="D4223" s="0" t="s">
        <v>14138</v>
      </c>
      <c r="E4223" s="0" t="s">
        <v>89</v>
      </c>
      <c r="F4223" s="0" t="s">
        <v>90</v>
      </c>
      <c r="G4223" s="0" t="s">
        <v>36</v>
      </c>
      <c r="H4223" s="0" t="n">
        <v>13</v>
      </c>
      <c r="I4223" s="0" t="s">
        <v>14139</v>
      </c>
      <c r="J4223" s="0" t="s">
        <v>14140</v>
      </c>
      <c r="K4223" s="0" t="s">
        <v>14141</v>
      </c>
      <c r="L4223" s="0" t="str">
        <f aca="false">HYPERLINK("https://www.ncbi.nlm.nih.gov/nuccore/CP000304.1?report=graph&amp;tracks=[key:gene_model_track,Options:GeneOnly]&amp;mk=1205796:1205815|offset_13|00cc00,1205772:1205791|offset_37|444444,1205742:1205761|offset_67|444444,1205720:1205739|offset_89|444444&amp;v=1205595:1205939&amp;c=444444", "offset 13")</f>
        <v>offset 13</v>
      </c>
    </row>
    <row r="4224" customFormat="false" ht="12.8" hidden="false" customHeight="false" outlineLevel="0" collapsed="false">
      <c r="A4224" s="0" t="s">
        <v>12</v>
      </c>
      <c r="B4224" s="0" t="n">
        <v>1205771</v>
      </c>
      <c r="C4224" s="0" t="n">
        <v>1205791</v>
      </c>
      <c r="D4224" s="0" t="s">
        <v>14138</v>
      </c>
      <c r="E4224" s="0" t="s">
        <v>89</v>
      </c>
      <c r="F4224" s="0" t="s">
        <v>90</v>
      </c>
      <c r="G4224" s="0" t="s">
        <v>36</v>
      </c>
      <c r="H4224" s="0" t="n">
        <v>37</v>
      </c>
      <c r="I4224" s="0" t="s">
        <v>14142</v>
      </c>
      <c r="J4224" s="0" t="s">
        <v>14143</v>
      </c>
      <c r="K4224" s="0" t="s">
        <v>14144</v>
      </c>
      <c r="L4224" s="0" t="str">
        <f aca="false">HYPERLINK("https://www.ncbi.nlm.nih.gov/nuccore/CP000304.1?report=graph&amp;tracks=[key:gene_model_track,Options:GeneOnly]&amp;mk=1205796:1205815|offset_13|444444,1205772:1205791|offset_37|00cc00,1205742:1205761|offset_67|444444,1205720:1205739|offset_89|444444&amp;v=1205595:1205939&amp;c=444444", "offset 37")</f>
        <v>offset 37</v>
      </c>
    </row>
    <row r="4225" customFormat="false" ht="12.8" hidden="false" customHeight="false" outlineLevel="0" collapsed="false">
      <c r="A4225" s="0" t="s">
        <v>12</v>
      </c>
      <c r="B4225" s="0" t="n">
        <v>1205741</v>
      </c>
      <c r="C4225" s="0" t="n">
        <v>1205761</v>
      </c>
      <c r="D4225" s="0" t="s">
        <v>14138</v>
      </c>
      <c r="E4225" s="0" t="s">
        <v>89</v>
      </c>
      <c r="F4225" s="0" t="s">
        <v>90</v>
      </c>
      <c r="G4225" s="0" t="s">
        <v>26</v>
      </c>
      <c r="H4225" s="0" t="n">
        <v>67</v>
      </c>
      <c r="I4225" s="0" t="s">
        <v>14145</v>
      </c>
      <c r="J4225" s="0" t="s">
        <v>14146</v>
      </c>
      <c r="K4225" s="0" t="s">
        <v>14147</v>
      </c>
      <c r="L4225" s="0" t="str">
        <f aca="false">HYPERLINK("https://www.ncbi.nlm.nih.gov/nuccore/CP000304.1?report=graph&amp;tracks=[key:gene_model_track,Options:GeneOnly]&amp;mk=1205796:1205815|offset_13|444444,1205772:1205791|offset_37|444444,1205742:1205761|offset_67|00cc00,1205720:1205739|offset_89|444444&amp;v=1205595:1205939&amp;c=444444", "offset 67")</f>
        <v>offset 67</v>
      </c>
    </row>
    <row r="4226" customFormat="false" ht="12.8" hidden="false" customHeight="false" outlineLevel="0" collapsed="false">
      <c r="A4226" s="0" t="s">
        <v>12</v>
      </c>
      <c r="B4226" s="0" t="n">
        <v>1205719</v>
      </c>
      <c r="C4226" s="0" t="n">
        <v>1205739</v>
      </c>
      <c r="D4226" s="0" t="s">
        <v>14138</v>
      </c>
      <c r="E4226" s="0" t="s">
        <v>89</v>
      </c>
      <c r="F4226" s="0" t="s">
        <v>90</v>
      </c>
      <c r="G4226" s="0" t="s">
        <v>32</v>
      </c>
      <c r="H4226" s="0" t="n">
        <v>89</v>
      </c>
      <c r="I4226" s="0" t="s">
        <v>14148</v>
      </c>
      <c r="J4226" s="0" t="s">
        <v>14149</v>
      </c>
      <c r="K4226" s="0" t="s">
        <v>14150</v>
      </c>
      <c r="L4226" s="0" t="str">
        <f aca="false">HYPERLINK("https://www.ncbi.nlm.nih.gov/nuccore/CP000304.1?report=graph&amp;tracks=[key:gene_model_track,Options:GeneOnly]&amp;mk=1205796:1205815|offset_13|444444,1205772:1205791|offset_37|444444,1205742:1205761|offset_67|444444,1205720:1205739|offset_89|00cc00&amp;v=1205595:1205939&amp;c=444444", "offset 89")</f>
        <v>offset 89</v>
      </c>
    </row>
    <row r="4227" customFormat="false" ht="12.8" hidden="false" customHeight="false" outlineLevel="0" collapsed="false">
      <c r="A4227" s="0" t="s">
        <v>12</v>
      </c>
      <c r="B4227" s="0" t="n">
        <v>1206393</v>
      </c>
      <c r="C4227" s="0" t="n">
        <v>1206413</v>
      </c>
      <c r="D4227" s="0" t="s">
        <v>14151</v>
      </c>
      <c r="E4227" s="0" t="s">
        <v>89</v>
      </c>
      <c r="F4227" s="0" t="s">
        <v>90</v>
      </c>
      <c r="G4227" s="0" t="s">
        <v>32</v>
      </c>
      <c r="H4227" s="0" t="n">
        <v>0</v>
      </c>
      <c r="I4227" s="0" t="s">
        <v>14152</v>
      </c>
      <c r="J4227" s="0" t="s">
        <v>14153</v>
      </c>
      <c r="K4227" s="0" t="s">
        <v>14154</v>
      </c>
      <c r="L4227" s="0" t="str">
        <f aca="false">HYPERLINK("https://www.ncbi.nlm.nih.gov/nuccore/CP000304.1?report=graph&amp;tracks=[key:gene_model_track,Options:GeneOnly]&amp;mk=1206394:1206413|offset_0|00cc00,1206323:1206342|offset_71|444444,1206296:1206315|offset_98|444444,1206212:1206231|offset_182|444444&amp;v=1206193:1206431&amp;c=444444", "offset 0")</f>
        <v>offset 0</v>
      </c>
    </row>
    <row r="4228" customFormat="false" ht="12.8" hidden="false" customHeight="false" outlineLevel="0" collapsed="false">
      <c r="A4228" s="0" t="s">
        <v>12</v>
      </c>
      <c r="B4228" s="0" t="n">
        <v>1206322</v>
      </c>
      <c r="C4228" s="0" t="n">
        <v>1206342</v>
      </c>
      <c r="D4228" s="0" t="s">
        <v>14151</v>
      </c>
      <c r="E4228" s="0" t="s">
        <v>89</v>
      </c>
      <c r="F4228" s="0" t="s">
        <v>90</v>
      </c>
      <c r="G4228" s="0" t="s">
        <v>32</v>
      </c>
      <c r="H4228" s="0" t="n">
        <v>71</v>
      </c>
      <c r="I4228" s="0" t="s">
        <v>14155</v>
      </c>
      <c r="J4228" s="0" t="s">
        <v>14156</v>
      </c>
      <c r="K4228" s="0" t="s">
        <v>14157</v>
      </c>
      <c r="L4228" s="0" t="str">
        <f aca="false">HYPERLINK("https://www.ncbi.nlm.nih.gov/nuccore/CP000304.1?report=graph&amp;tracks=[key:gene_model_track,Options:GeneOnly]&amp;mk=1206394:1206413|offset_0|444444,1206323:1206342|offset_71|00cc00,1206296:1206315|offset_98|444444,1206212:1206231|offset_182|444444&amp;v=1206193:1206431&amp;c=444444", "offset 71")</f>
        <v>offset 71</v>
      </c>
    </row>
    <row r="4229" customFormat="false" ht="12.8" hidden="false" customHeight="false" outlineLevel="0" collapsed="false">
      <c r="A4229" s="0" t="s">
        <v>12</v>
      </c>
      <c r="B4229" s="0" t="n">
        <v>1206295</v>
      </c>
      <c r="C4229" s="0" t="n">
        <v>1206315</v>
      </c>
      <c r="D4229" s="0" t="s">
        <v>14151</v>
      </c>
      <c r="E4229" s="0" t="s">
        <v>89</v>
      </c>
      <c r="F4229" s="0" t="s">
        <v>90</v>
      </c>
      <c r="G4229" s="0" t="s">
        <v>36</v>
      </c>
      <c r="H4229" s="0" t="n">
        <v>98</v>
      </c>
      <c r="I4229" s="0" t="s">
        <v>14158</v>
      </c>
      <c r="J4229" s="0" t="s">
        <v>14159</v>
      </c>
      <c r="K4229" s="0" t="s">
        <v>14160</v>
      </c>
      <c r="L4229" s="0" t="str">
        <f aca="false">HYPERLINK("https://www.ncbi.nlm.nih.gov/nuccore/CP000304.1?report=graph&amp;tracks=[key:gene_model_track,Options:GeneOnly]&amp;mk=1206394:1206413|offset_0|444444,1206323:1206342|offset_71|444444,1206296:1206315|offset_98|00cc00,1206212:1206231|offset_182|444444&amp;v=1206193:1206431&amp;c=444444", "offset 98")</f>
        <v>offset 98</v>
      </c>
    </row>
    <row r="4230" customFormat="false" ht="12.8" hidden="false" customHeight="false" outlineLevel="0" collapsed="false">
      <c r="A4230" s="0" t="s">
        <v>12</v>
      </c>
      <c r="B4230" s="0" t="n">
        <v>1206211</v>
      </c>
      <c r="C4230" s="0" t="n">
        <v>1206231</v>
      </c>
      <c r="D4230" s="0" t="s">
        <v>14151</v>
      </c>
      <c r="E4230" s="0" t="s">
        <v>89</v>
      </c>
      <c r="F4230" s="0" t="s">
        <v>90</v>
      </c>
      <c r="G4230" s="0" t="s">
        <v>26</v>
      </c>
      <c r="H4230" s="0" t="n">
        <v>182</v>
      </c>
      <c r="I4230" s="0" t="s">
        <v>14161</v>
      </c>
      <c r="J4230" s="0" t="s">
        <v>14162</v>
      </c>
      <c r="K4230" s="0" t="s">
        <v>14163</v>
      </c>
      <c r="L4230" s="0" t="str">
        <f aca="false">HYPERLINK("https://www.ncbi.nlm.nih.gov/nuccore/CP000304.1?report=graph&amp;tracks=[key:gene_model_track,Options:GeneOnly]&amp;mk=1206394:1206413|offset_0|444444,1206323:1206342|offset_71|444444,1206296:1206315|offset_98|444444,1206212:1206231|offset_182|00cc00&amp;v=1206193:1206431&amp;c=444444", "offset 182")</f>
        <v>offset 182</v>
      </c>
    </row>
    <row r="4231" customFormat="false" ht="12.8" hidden="false" customHeight="false" outlineLevel="0" collapsed="false">
      <c r="A4231" s="0" t="s">
        <v>12</v>
      </c>
      <c r="B4231" s="0" t="n">
        <v>1207346</v>
      </c>
      <c r="C4231" s="0" t="n">
        <v>1207366</v>
      </c>
      <c r="D4231" s="0" t="s">
        <v>14164</v>
      </c>
      <c r="E4231" s="0" t="s">
        <v>89</v>
      </c>
      <c r="F4231" s="0" t="s">
        <v>90</v>
      </c>
      <c r="G4231" s="0" t="s">
        <v>16</v>
      </c>
      <c r="H4231" s="0" t="n">
        <v>0</v>
      </c>
      <c r="I4231" s="0" t="s">
        <v>14165</v>
      </c>
      <c r="J4231" s="0" t="s">
        <v>14166</v>
      </c>
      <c r="K4231" s="0" t="s">
        <v>14167</v>
      </c>
      <c r="L4231" s="0" t="str">
        <f aca="false">HYPERLINK("https://www.ncbi.nlm.nih.gov/nuccore/CP000304.1?report=graph&amp;tracks=[key:gene_model_track,Options:GeneOnly]&amp;mk=1207347:1207366|offset_0|00cc00,1207310:1207329|offset_37|444444,1207277:1207296|offset_70|444444,1207256:1207275|offset_91|444444&amp;v=1207146:1207475&amp;c=444444", "offset 0")</f>
        <v>offset 0</v>
      </c>
    </row>
    <row r="4232" customFormat="false" ht="12.8" hidden="false" customHeight="false" outlineLevel="0" collapsed="false">
      <c r="A4232" s="0" t="s">
        <v>12</v>
      </c>
      <c r="B4232" s="0" t="n">
        <v>1207309</v>
      </c>
      <c r="C4232" s="0" t="n">
        <v>1207329</v>
      </c>
      <c r="D4232" s="0" t="s">
        <v>14164</v>
      </c>
      <c r="E4232" s="0" t="s">
        <v>89</v>
      </c>
      <c r="F4232" s="0" t="s">
        <v>90</v>
      </c>
      <c r="G4232" s="0" t="s">
        <v>32</v>
      </c>
      <c r="H4232" s="0" t="n">
        <v>37</v>
      </c>
      <c r="I4232" s="0" t="s">
        <v>14168</v>
      </c>
      <c r="J4232" s="0" t="s">
        <v>14169</v>
      </c>
      <c r="K4232" s="0" t="s">
        <v>14170</v>
      </c>
      <c r="L4232" s="0" t="str">
        <f aca="false">HYPERLINK("https://www.ncbi.nlm.nih.gov/nuccore/CP000304.1?report=graph&amp;tracks=[key:gene_model_track,Options:GeneOnly]&amp;mk=1207347:1207366|offset_0|444444,1207310:1207329|offset_37|00cc00,1207277:1207296|offset_70|444444,1207256:1207275|offset_91|444444&amp;v=1207146:1207475&amp;c=444444", "offset 37")</f>
        <v>offset 37</v>
      </c>
    </row>
    <row r="4233" customFormat="false" ht="12.8" hidden="false" customHeight="false" outlineLevel="0" collapsed="false">
      <c r="A4233" s="0" t="s">
        <v>12</v>
      </c>
      <c r="B4233" s="0" t="n">
        <v>1207276</v>
      </c>
      <c r="C4233" s="0" t="n">
        <v>1207296</v>
      </c>
      <c r="D4233" s="0" t="s">
        <v>14164</v>
      </c>
      <c r="E4233" s="0" t="s">
        <v>89</v>
      </c>
      <c r="F4233" s="0" t="s">
        <v>90</v>
      </c>
      <c r="G4233" s="0" t="s">
        <v>16</v>
      </c>
      <c r="H4233" s="0" t="n">
        <v>70</v>
      </c>
      <c r="I4233" s="0" t="s">
        <v>14171</v>
      </c>
      <c r="J4233" s="0" t="s">
        <v>14172</v>
      </c>
      <c r="K4233" s="0" t="s">
        <v>14173</v>
      </c>
      <c r="L4233" s="0" t="str">
        <f aca="false">HYPERLINK("https://www.ncbi.nlm.nih.gov/nuccore/CP000304.1?report=graph&amp;tracks=[key:gene_model_track,Options:GeneOnly]&amp;mk=1207347:1207366|offset_0|444444,1207310:1207329|offset_37|444444,1207277:1207296|offset_70|00cc00,1207256:1207275|offset_91|444444&amp;v=1207146:1207475&amp;c=444444", "offset 70")</f>
        <v>offset 70</v>
      </c>
    </row>
    <row r="4234" customFormat="false" ht="12.8" hidden="false" customHeight="false" outlineLevel="0" collapsed="false">
      <c r="A4234" s="0" t="s">
        <v>12</v>
      </c>
      <c r="B4234" s="0" t="n">
        <v>1207255</v>
      </c>
      <c r="C4234" s="0" t="n">
        <v>1207275</v>
      </c>
      <c r="D4234" s="0" t="s">
        <v>14164</v>
      </c>
      <c r="E4234" s="0" t="s">
        <v>89</v>
      </c>
      <c r="F4234" s="0" t="s">
        <v>90</v>
      </c>
      <c r="G4234" s="0" t="s">
        <v>36</v>
      </c>
      <c r="H4234" s="0" t="n">
        <v>91</v>
      </c>
      <c r="I4234" s="0" t="s">
        <v>14174</v>
      </c>
      <c r="J4234" s="0" t="s">
        <v>14175</v>
      </c>
      <c r="K4234" s="0" t="s">
        <v>14176</v>
      </c>
      <c r="L4234" s="0" t="str">
        <f aca="false">HYPERLINK("https://www.ncbi.nlm.nih.gov/nuccore/CP000304.1?report=graph&amp;tracks=[key:gene_model_track,Options:GeneOnly]&amp;mk=1207347:1207366|offset_0|444444,1207310:1207329|offset_37|444444,1207277:1207296|offset_70|444444,1207256:1207275|offset_91|00cc00&amp;v=1207146:1207475&amp;c=444444", "offset 91")</f>
        <v>offset 91</v>
      </c>
    </row>
    <row r="4235" customFormat="false" ht="12.8" hidden="false" customHeight="false" outlineLevel="0" collapsed="false">
      <c r="A4235" s="0" t="s">
        <v>12</v>
      </c>
      <c r="B4235" s="0" t="n">
        <v>1208092</v>
      </c>
      <c r="C4235" s="0" t="n">
        <v>1208112</v>
      </c>
      <c r="D4235" s="0" t="s">
        <v>14177</v>
      </c>
      <c r="E4235" s="0" t="s">
        <v>89</v>
      </c>
      <c r="F4235" s="0" t="s">
        <v>15</v>
      </c>
      <c r="G4235" s="0" t="s">
        <v>32</v>
      </c>
      <c r="H4235" s="0" t="n">
        <v>13</v>
      </c>
      <c r="I4235" s="0" t="s">
        <v>14178</v>
      </c>
      <c r="J4235" s="0" t="s">
        <v>14179</v>
      </c>
      <c r="K4235" s="0" t="s">
        <v>14180</v>
      </c>
      <c r="L4235" s="0" t="str">
        <f aca="false">HYPERLINK("https://www.ncbi.nlm.nih.gov/nuccore/CP000304.1?report=graph&amp;tracks=[key:gene_model_track,Options:GeneOnly]&amp;mk=1208093:1208112|offset_13|00cc00,1208126:1208145|offset_46|444444,1208153:1208172|offset_73|444444,1208175:1208194|offset_95|444444&amp;v=1207892:1208394&amp;c=444444", "offset 13")</f>
        <v>offset 13</v>
      </c>
    </row>
    <row r="4236" customFormat="false" ht="12.8" hidden="false" customHeight="false" outlineLevel="0" collapsed="false">
      <c r="A4236" s="0" t="s">
        <v>12</v>
      </c>
      <c r="B4236" s="0" t="n">
        <v>1208125</v>
      </c>
      <c r="C4236" s="0" t="n">
        <v>1208145</v>
      </c>
      <c r="D4236" s="0" t="s">
        <v>14177</v>
      </c>
      <c r="E4236" s="0" t="s">
        <v>89</v>
      </c>
      <c r="F4236" s="0" t="s">
        <v>15</v>
      </c>
      <c r="G4236" s="0" t="s">
        <v>16</v>
      </c>
      <c r="H4236" s="0" t="n">
        <v>46</v>
      </c>
      <c r="I4236" s="0" t="s">
        <v>14181</v>
      </c>
      <c r="J4236" s="0" t="s">
        <v>14182</v>
      </c>
      <c r="K4236" s="0" t="s">
        <v>14183</v>
      </c>
      <c r="L4236" s="0" t="str">
        <f aca="false">HYPERLINK("https://www.ncbi.nlm.nih.gov/nuccore/CP000304.1?report=graph&amp;tracks=[key:gene_model_track,Options:GeneOnly]&amp;mk=1208093:1208112|offset_13|444444,1208126:1208145|offset_46|00cc00,1208153:1208172|offset_73|444444,1208175:1208194|offset_95|444444&amp;v=1207892:1208394&amp;c=444444", "offset 46")</f>
        <v>offset 46</v>
      </c>
    </row>
    <row r="4237" customFormat="false" ht="12.8" hidden="false" customHeight="false" outlineLevel="0" collapsed="false">
      <c r="A4237" s="0" t="s">
        <v>12</v>
      </c>
      <c r="B4237" s="0" t="n">
        <v>1208152</v>
      </c>
      <c r="C4237" s="0" t="n">
        <v>1208172</v>
      </c>
      <c r="D4237" s="0" t="s">
        <v>14177</v>
      </c>
      <c r="E4237" s="0" t="s">
        <v>89</v>
      </c>
      <c r="F4237" s="0" t="s">
        <v>15</v>
      </c>
      <c r="G4237" s="0" t="s">
        <v>36</v>
      </c>
      <c r="H4237" s="0" t="n">
        <v>73</v>
      </c>
      <c r="I4237" s="0" t="s">
        <v>14184</v>
      </c>
      <c r="J4237" s="0" t="s">
        <v>14185</v>
      </c>
      <c r="K4237" s="0" t="s">
        <v>14186</v>
      </c>
      <c r="L4237" s="0" t="str">
        <f aca="false">HYPERLINK("https://www.ncbi.nlm.nih.gov/nuccore/CP000304.1?report=graph&amp;tracks=[key:gene_model_track,Options:GeneOnly]&amp;mk=1208093:1208112|offset_13|444444,1208126:1208145|offset_46|444444,1208153:1208172|offset_73|00cc00,1208175:1208194|offset_95|444444&amp;v=1207892:1208394&amp;c=444444", "offset 73")</f>
        <v>offset 73</v>
      </c>
    </row>
    <row r="4238" customFormat="false" ht="12.8" hidden="false" customHeight="false" outlineLevel="0" collapsed="false">
      <c r="A4238" s="0" t="s">
        <v>12</v>
      </c>
      <c r="B4238" s="0" t="n">
        <v>1208174</v>
      </c>
      <c r="C4238" s="0" t="n">
        <v>1208194</v>
      </c>
      <c r="D4238" s="0" t="s">
        <v>14177</v>
      </c>
      <c r="E4238" s="0" t="s">
        <v>89</v>
      </c>
      <c r="F4238" s="0" t="s">
        <v>15</v>
      </c>
      <c r="G4238" s="0" t="s">
        <v>32</v>
      </c>
      <c r="H4238" s="0" t="n">
        <v>95</v>
      </c>
      <c r="I4238" s="0" t="s">
        <v>14187</v>
      </c>
      <c r="J4238" s="0" t="s">
        <v>14188</v>
      </c>
      <c r="K4238" s="0" t="s">
        <v>14189</v>
      </c>
      <c r="L4238" s="0" t="str">
        <f aca="false">HYPERLINK("https://www.ncbi.nlm.nih.gov/nuccore/CP000304.1?report=graph&amp;tracks=[key:gene_model_track,Options:GeneOnly]&amp;mk=1208093:1208112|offset_13|444444,1208126:1208145|offset_46|444444,1208153:1208172|offset_73|444444,1208175:1208194|offset_95|00cc00&amp;v=1207892:1208394&amp;c=444444", "offset 95")</f>
        <v>offset 95</v>
      </c>
    </row>
    <row r="4239" customFormat="false" ht="12.8" hidden="false" customHeight="false" outlineLevel="0" collapsed="false">
      <c r="A4239" s="0" t="s">
        <v>12</v>
      </c>
      <c r="B4239" s="0" t="n">
        <v>1210735</v>
      </c>
      <c r="C4239" s="0" t="n">
        <v>1210755</v>
      </c>
      <c r="D4239" s="0" t="s">
        <v>14190</v>
      </c>
      <c r="E4239" s="0" t="s">
        <v>89</v>
      </c>
      <c r="F4239" s="0" t="s">
        <v>90</v>
      </c>
      <c r="G4239" s="0" t="s">
        <v>36</v>
      </c>
      <c r="H4239" s="0" t="n">
        <v>12</v>
      </c>
      <c r="I4239" s="0" t="s">
        <v>14191</v>
      </c>
      <c r="J4239" s="0" t="s">
        <v>14192</v>
      </c>
      <c r="K4239" s="0" t="s">
        <v>14193</v>
      </c>
      <c r="L4239" s="0" t="str">
        <f aca="false">HYPERLINK("https://www.ncbi.nlm.nih.gov/nuccore/CP000304.1?report=graph&amp;tracks=[key:gene_model_track,Options:GeneOnly]&amp;mk=1210736:1210755|offset_12|00cc00,1210708:1210727|offset_40|444444,1210687:1210706|offset_61|444444,1210660:1210679|offset_88|444444&amp;v=1210535:1210879&amp;c=444444", "offset 12")</f>
        <v>offset 12</v>
      </c>
    </row>
    <row r="4240" customFormat="false" ht="12.8" hidden="false" customHeight="false" outlineLevel="0" collapsed="false">
      <c r="A4240" s="0" t="s">
        <v>12</v>
      </c>
      <c r="B4240" s="0" t="n">
        <v>1210707</v>
      </c>
      <c r="C4240" s="0" t="n">
        <v>1210727</v>
      </c>
      <c r="D4240" s="0" t="s">
        <v>14190</v>
      </c>
      <c r="E4240" s="0" t="s">
        <v>89</v>
      </c>
      <c r="F4240" s="0" t="s">
        <v>90</v>
      </c>
      <c r="G4240" s="0" t="s">
        <v>26</v>
      </c>
      <c r="H4240" s="0" t="n">
        <v>40</v>
      </c>
      <c r="I4240" s="0" t="s">
        <v>14194</v>
      </c>
      <c r="J4240" s="0" t="s">
        <v>14195</v>
      </c>
      <c r="K4240" s="0" t="s">
        <v>14196</v>
      </c>
      <c r="L4240" s="0" t="str">
        <f aca="false">HYPERLINK("https://www.ncbi.nlm.nih.gov/nuccore/CP000304.1?report=graph&amp;tracks=[key:gene_model_track,Options:GeneOnly]&amp;mk=1210736:1210755|offset_12|444444,1210708:1210727|offset_40|00cc00,1210687:1210706|offset_61|444444,1210660:1210679|offset_88|444444&amp;v=1210535:1210879&amp;c=444444", "offset 40")</f>
        <v>offset 40</v>
      </c>
    </row>
    <row r="4241" customFormat="false" ht="12.8" hidden="false" customHeight="false" outlineLevel="0" collapsed="false">
      <c r="A4241" s="0" t="s">
        <v>12</v>
      </c>
      <c r="B4241" s="0" t="n">
        <v>1210686</v>
      </c>
      <c r="C4241" s="0" t="n">
        <v>1210706</v>
      </c>
      <c r="D4241" s="0" t="s">
        <v>14190</v>
      </c>
      <c r="E4241" s="0" t="s">
        <v>89</v>
      </c>
      <c r="F4241" s="0" t="s">
        <v>90</v>
      </c>
      <c r="G4241" s="0" t="s">
        <v>36</v>
      </c>
      <c r="H4241" s="0" t="n">
        <v>61</v>
      </c>
      <c r="I4241" s="0" t="s">
        <v>14197</v>
      </c>
      <c r="J4241" s="0" t="s">
        <v>14198</v>
      </c>
      <c r="K4241" s="0" t="s">
        <v>14199</v>
      </c>
      <c r="L4241" s="0" t="str">
        <f aca="false">HYPERLINK("https://www.ncbi.nlm.nih.gov/nuccore/CP000304.1?report=graph&amp;tracks=[key:gene_model_track,Options:GeneOnly]&amp;mk=1210736:1210755|offset_12|444444,1210708:1210727|offset_40|444444,1210687:1210706|offset_61|00cc00,1210660:1210679|offset_88|444444&amp;v=1210535:1210879&amp;c=444444", "offset 61")</f>
        <v>offset 61</v>
      </c>
    </row>
    <row r="4242" customFormat="false" ht="12.8" hidden="false" customHeight="false" outlineLevel="0" collapsed="false">
      <c r="A4242" s="0" t="s">
        <v>12</v>
      </c>
      <c r="B4242" s="0" t="n">
        <v>1210659</v>
      </c>
      <c r="C4242" s="0" t="n">
        <v>1210679</v>
      </c>
      <c r="D4242" s="0" t="s">
        <v>14190</v>
      </c>
      <c r="E4242" s="0" t="s">
        <v>89</v>
      </c>
      <c r="F4242" s="0" t="s">
        <v>90</v>
      </c>
      <c r="G4242" s="0" t="s">
        <v>16</v>
      </c>
      <c r="H4242" s="0" t="n">
        <v>88</v>
      </c>
      <c r="I4242" s="0" t="s">
        <v>14200</v>
      </c>
      <c r="J4242" s="0" t="s">
        <v>14201</v>
      </c>
      <c r="K4242" s="0" t="s">
        <v>14202</v>
      </c>
      <c r="L4242" s="0" t="str">
        <f aca="false">HYPERLINK("https://www.ncbi.nlm.nih.gov/nuccore/CP000304.1?report=graph&amp;tracks=[key:gene_model_track,Options:GeneOnly]&amp;mk=1210736:1210755|offset_12|444444,1210708:1210727|offset_40|444444,1210687:1210706|offset_61|444444,1210660:1210679|offset_88|00cc00&amp;v=1210535:1210879&amp;c=444444", "offset 88")</f>
        <v>offset 88</v>
      </c>
    </row>
    <row r="4243" customFormat="false" ht="12.8" hidden="false" customHeight="false" outlineLevel="0" collapsed="false">
      <c r="A4243" s="0" t="s">
        <v>12</v>
      </c>
      <c r="B4243" s="0" t="n">
        <v>1211032</v>
      </c>
      <c r="C4243" s="0" t="n">
        <v>1211052</v>
      </c>
      <c r="D4243" s="0" t="s">
        <v>14203</v>
      </c>
      <c r="E4243" s="0" t="s">
        <v>89</v>
      </c>
      <c r="F4243" s="0" t="s">
        <v>15</v>
      </c>
      <c r="G4243" s="0" t="s">
        <v>26</v>
      </c>
      <c r="H4243" s="0" t="n">
        <v>72</v>
      </c>
      <c r="I4243" s="0" t="s">
        <v>14204</v>
      </c>
      <c r="J4243" s="0" t="s">
        <v>14205</v>
      </c>
      <c r="K4243" s="0" t="s">
        <v>14206</v>
      </c>
      <c r="L4243" s="0" t="str">
        <f aca="false">HYPERLINK("https://www.ncbi.nlm.nih.gov/nuccore/CP000304.1?report=graph&amp;tracks=[key:gene_model_track,Options:GeneOnly]&amp;mk=1211033:1211052|offset_72|00cc00,1211053:1211072|offset_92|444444,1211082:1211101|offset_121|444444,1211139:1211158|offset_178|444444&amp;v=1210832:1211358&amp;c=444444", "offset 72")</f>
        <v>offset 72</v>
      </c>
    </row>
    <row r="4244" customFormat="false" ht="12.8" hidden="false" customHeight="false" outlineLevel="0" collapsed="false">
      <c r="A4244" s="0" t="s">
        <v>12</v>
      </c>
      <c r="B4244" s="0" t="n">
        <v>1211052</v>
      </c>
      <c r="C4244" s="0" t="n">
        <v>1211072</v>
      </c>
      <c r="D4244" s="0" t="s">
        <v>14203</v>
      </c>
      <c r="E4244" s="0" t="s">
        <v>89</v>
      </c>
      <c r="F4244" s="0" t="s">
        <v>15</v>
      </c>
      <c r="G4244" s="0" t="s">
        <v>36</v>
      </c>
      <c r="H4244" s="0" t="n">
        <v>92</v>
      </c>
      <c r="I4244" s="0" t="s">
        <v>14207</v>
      </c>
      <c r="J4244" s="0" t="s">
        <v>14208</v>
      </c>
      <c r="K4244" s="0" t="s">
        <v>14209</v>
      </c>
      <c r="L4244" s="0" t="str">
        <f aca="false">HYPERLINK("https://www.ncbi.nlm.nih.gov/nuccore/CP000304.1?report=graph&amp;tracks=[key:gene_model_track,Options:GeneOnly]&amp;mk=1211033:1211052|offset_72|444444,1211053:1211072|offset_92|00cc00,1211082:1211101|offset_121|444444,1211139:1211158|offset_178|444444&amp;v=1210832:1211358&amp;c=444444", "offset 92")</f>
        <v>offset 92</v>
      </c>
    </row>
    <row r="4245" customFormat="false" ht="12.8" hidden="false" customHeight="false" outlineLevel="0" collapsed="false">
      <c r="A4245" s="0" t="s">
        <v>12</v>
      </c>
      <c r="B4245" s="0" t="n">
        <v>1211081</v>
      </c>
      <c r="C4245" s="0" t="n">
        <v>1211101</v>
      </c>
      <c r="D4245" s="0" t="s">
        <v>14203</v>
      </c>
      <c r="E4245" s="0" t="s">
        <v>89</v>
      </c>
      <c r="F4245" s="0" t="s">
        <v>15</v>
      </c>
      <c r="G4245" s="0" t="s">
        <v>26</v>
      </c>
      <c r="H4245" s="0" t="n">
        <v>121</v>
      </c>
      <c r="I4245" s="0" t="s">
        <v>14210</v>
      </c>
      <c r="J4245" s="0" t="s">
        <v>14211</v>
      </c>
      <c r="K4245" s="0" t="s">
        <v>14212</v>
      </c>
      <c r="L4245" s="0" t="str">
        <f aca="false">HYPERLINK("https://www.ncbi.nlm.nih.gov/nuccore/CP000304.1?report=graph&amp;tracks=[key:gene_model_track,Options:GeneOnly]&amp;mk=1211033:1211052|offset_72|444444,1211053:1211072|offset_92|444444,1211082:1211101|offset_121|00cc00,1211139:1211158|offset_178|444444&amp;v=1210832:1211358&amp;c=444444", "offset 121")</f>
        <v>offset 121</v>
      </c>
    </row>
    <row r="4246" customFormat="false" ht="12.8" hidden="false" customHeight="false" outlineLevel="0" collapsed="false">
      <c r="A4246" s="0" t="s">
        <v>12</v>
      </c>
      <c r="B4246" s="0" t="n">
        <v>1211138</v>
      </c>
      <c r="C4246" s="0" t="n">
        <v>1211158</v>
      </c>
      <c r="D4246" s="0" t="s">
        <v>14203</v>
      </c>
      <c r="E4246" s="0" t="s">
        <v>89</v>
      </c>
      <c r="F4246" s="0" t="s">
        <v>15</v>
      </c>
      <c r="G4246" s="0" t="s">
        <v>16</v>
      </c>
      <c r="H4246" s="0" t="n">
        <v>178</v>
      </c>
      <c r="I4246" s="0" t="s">
        <v>14213</v>
      </c>
      <c r="J4246" s="0" t="s">
        <v>14214</v>
      </c>
      <c r="K4246" s="0" t="s">
        <v>14215</v>
      </c>
      <c r="L4246" s="0" t="str">
        <f aca="false">HYPERLINK("https://www.ncbi.nlm.nih.gov/nuccore/CP000304.1?report=graph&amp;tracks=[key:gene_model_track,Options:GeneOnly]&amp;mk=1211033:1211052|offset_72|444444,1211053:1211072|offset_92|444444,1211082:1211101|offset_121|444444,1211139:1211158|offset_178|00cc00&amp;v=1210832:1211358&amp;c=444444", "offset 178")</f>
        <v>offset 178</v>
      </c>
    </row>
    <row r="4247" customFormat="false" ht="12.8" hidden="false" customHeight="false" outlineLevel="0" collapsed="false">
      <c r="A4247" s="0" t="s">
        <v>12</v>
      </c>
      <c r="B4247" s="0" t="n">
        <v>1211667</v>
      </c>
      <c r="C4247" s="0" t="n">
        <v>1211687</v>
      </c>
      <c r="D4247" s="0" t="s">
        <v>14216</v>
      </c>
      <c r="E4247" s="0" t="s">
        <v>14217</v>
      </c>
      <c r="F4247" s="0" t="s">
        <v>15</v>
      </c>
      <c r="G4247" s="0" t="s">
        <v>36</v>
      </c>
      <c r="H4247" s="0" t="n">
        <v>13</v>
      </c>
      <c r="I4247" s="0" t="s">
        <v>14218</v>
      </c>
      <c r="J4247" s="0" t="s">
        <v>14219</v>
      </c>
      <c r="K4247" s="0" t="s">
        <v>14220</v>
      </c>
      <c r="L4247" s="0" t="str">
        <f aca="false">HYPERLINK("https://www.ncbi.nlm.nih.gov/nuccore/CP000304.1?report=graph&amp;tracks=[key:gene_model_track,Options:GeneOnly]&amp;mk=1211668:1211687|offset_13|00cc00,1211697:1211716|offset_42|444444,1211734:1211753|offset_79|444444,1211756:1211775|offset_101|444444&amp;v=1211467:1211975&amp;c=444444", "offset 13")</f>
        <v>offset 13</v>
      </c>
    </row>
    <row r="4248" customFormat="false" ht="12.8" hidden="false" customHeight="false" outlineLevel="0" collapsed="false">
      <c r="A4248" s="0" t="s">
        <v>12</v>
      </c>
      <c r="B4248" s="0" t="n">
        <v>1211696</v>
      </c>
      <c r="C4248" s="0" t="n">
        <v>1211716</v>
      </c>
      <c r="D4248" s="0" t="s">
        <v>14216</v>
      </c>
      <c r="E4248" s="0" t="s">
        <v>14217</v>
      </c>
      <c r="F4248" s="0" t="s">
        <v>15</v>
      </c>
      <c r="G4248" s="0" t="s">
        <v>36</v>
      </c>
      <c r="H4248" s="0" t="n">
        <v>42</v>
      </c>
      <c r="I4248" s="0" t="s">
        <v>14221</v>
      </c>
      <c r="J4248" s="0" t="s">
        <v>14222</v>
      </c>
      <c r="K4248" s="0" t="s">
        <v>14223</v>
      </c>
      <c r="L4248" s="0" t="str">
        <f aca="false">HYPERLINK("https://www.ncbi.nlm.nih.gov/nuccore/CP000304.1?report=graph&amp;tracks=[key:gene_model_track,Options:GeneOnly]&amp;mk=1211668:1211687|offset_13|444444,1211697:1211716|offset_42|00cc00,1211734:1211753|offset_79|444444,1211756:1211775|offset_101|444444&amp;v=1211467:1211975&amp;c=444444", "offset 42")</f>
        <v>offset 42</v>
      </c>
    </row>
    <row r="4249" customFormat="false" ht="12.8" hidden="false" customHeight="false" outlineLevel="0" collapsed="false">
      <c r="A4249" s="0" t="s">
        <v>12</v>
      </c>
      <c r="B4249" s="0" t="n">
        <v>1211733</v>
      </c>
      <c r="C4249" s="0" t="n">
        <v>1211753</v>
      </c>
      <c r="D4249" s="0" t="s">
        <v>14216</v>
      </c>
      <c r="E4249" s="0" t="s">
        <v>14217</v>
      </c>
      <c r="F4249" s="0" t="s">
        <v>15</v>
      </c>
      <c r="G4249" s="0" t="s">
        <v>16</v>
      </c>
      <c r="H4249" s="0" t="n">
        <v>79</v>
      </c>
      <c r="I4249" s="0" t="s">
        <v>14224</v>
      </c>
      <c r="J4249" s="0" t="s">
        <v>14225</v>
      </c>
      <c r="K4249" s="0" t="s">
        <v>14226</v>
      </c>
      <c r="L4249" s="0" t="str">
        <f aca="false">HYPERLINK("https://www.ncbi.nlm.nih.gov/nuccore/CP000304.1?report=graph&amp;tracks=[key:gene_model_track,Options:GeneOnly]&amp;mk=1211668:1211687|offset_13|444444,1211697:1211716|offset_42|444444,1211734:1211753|offset_79|00cc00,1211756:1211775|offset_101|444444&amp;v=1211467:1211975&amp;c=444444", "offset 79")</f>
        <v>offset 79</v>
      </c>
    </row>
    <row r="4250" customFormat="false" ht="12.8" hidden="false" customHeight="false" outlineLevel="0" collapsed="false">
      <c r="A4250" s="0" t="s">
        <v>12</v>
      </c>
      <c r="B4250" s="0" t="n">
        <v>1211755</v>
      </c>
      <c r="C4250" s="0" t="n">
        <v>1211775</v>
      </c>
      <c r="D4250" s="0" t="s">
        <v>14216</v>
      </c>
      <c r="E4250" s="0" t="s">
        <v>14217</v>
      </c>
      <c r="F4250" s="0" t="s">
        <v>15</v>
      </c>
      <c r="G4250" s="0" t="s">
        <v>36</v>
      </c>
      <c r="H4250" s="0" t="n">
        <v>101</v>
      </c>
      <c r="I4250" s="0" t="s">
        <v>14227</v>
      </c>
      <c r="J4250" s="0" t="s">
        <v>14228</v>
      </c>
      <c r="K4250" s="0" t="s">
        <v>14229</v>
      </c>
      <c r="L4250" s="0" t="str">
        <f aca="false">HYPERLINK("https://www.ncbi.nlm.nih.gov/nuccore/CP000304.1?report=graph&amp;tracks=[key:gene_model_track,Options:GeneOnly]&amp;mk=1211668:1211687|offset_13|444444,1211697:1211716|offset_42|444444,1211734:1211753|offset_79|444444,1211756:1211775|offset_101|00cc00&amp;v=1211467:1211975&amp;c=444444", "offset 101")</f>
        <v>offset 101</v>
      </c>
    </row>
    <row r="4251" customFormat="false" ht="12.8" hidden="false" customHeight="false" outlineLevel="0" collapsed="false">
      <c r="A4251" s="0" t="s">
        <v>12</v>
      </c>
      <c r="B4251" s="0" t="n">
        <v>1213339</v>
      </c>
      <c r="C4251" s="0" t="n">
        <v>1213359</v>
      </c>
      <c r="D4251" s="0" t="s">
        <v>14230</v>
      </c>
      <c r="E4251" s="0" t="s">
        <v>89</v>
      </c>
      <c r="F4251" s="0" t="s">
        <v>90</v>
      </c>
      <c r="G4251" s="0" t="s">
        <v>32</v>
      </c>
      <c r="H4251" s="0" t="n">
        <v>10</v>
      </c>
      <c r="I4251" s="0" t="s">
        <v>14231</v>
      </c>
      <c r="J4251" s="0" t="s">
        <v>14232</v>
      </c>
      <c r="K4251" s="0" t="s">
        <v>14233</v>
      </c>
      <c r="L4251" s="0" t="str">
        <f aca="false">HYPERLINK("https://www.ncbi.nlm.nih.gov/nuccore/CP000304.1?report=graph&amp;tracks=[key:gene_model_track,Options:GeneOnly]&amp;mk=1213340:1213359|offset_10|00cc00,1213319:1213338|offset_31|444444,1213294:1213313|offset_56|444444,1213267:1213286|offset_83|444444&amp;v=1213139:1213486&amp;c=444444", "offset 10")</f>
        <v>offset 10</v>
      </c>
    </row>
    <row r="4252" customFormat="false" ht="12.8" hidden="false" customHeight="false" outlineLevel="0" collapsed="false">
      <c r="A4252" s="0" t="s">
        <v>12</v>
      </c>
      <c r="B4252" s="0" t="n">
        <v>1213318</v>
      </c>
      <c r="C4252" s="0" t="n">
        <v>1213338</v>
      </c>
      <c r="D4252" s="0" t="s">
        <v>14230</v>
      </c>
      <c r="E4252" s="0" t="s">
        <v>89</v>
      </c>
      <c r="F4252" s="0" t="s">
        <v>90</v>
      </c>
      <c r="G4252" s="0" t="s">
        <v>36</v>
      </c>
      <c r="H4252" s="0" t="n">
        <v>31</v>
      </c>
      <c r="I4252" s="0" t="s">
        <v>14234</v>
      </c>
      <c r="J4252" s="0" t="s">
        <v>14235</v>
      </c>
      <c r="K4252" s="0" t="s">
        <v>14236</v>
      </c>
      <c r="L4252" s="0" t="str">
        <f aca="false">HYPERLINK("https://www.ncbi.nlm.nih.gov/nuccore/CP000304.1?report=graph&amp;tracks=[key:gene_model_track,Options:GeneOnly]&amp;mk=1213340:1213359|offset_10|444444,1213319:1213338|offset_31|00cc00,1213294:1213313|offset_56|444444,1213267:1213286|offset_83|444444&amp;v=1213139:1213486&amp;c=444444", "offset 31")</f>
        <v>offset 31</v>
      </c>
    </row>
    <row r="4253" customFormat="false" ht="12.8" hidden="false" customHeight="false" outlineLevel="0" collapsed="false">
      <c r="A4253" s="0" t="s">
        <v>12</v>
      </c>
      <c r="B4253" s="0" t="n">
        <v>1213293</v>
      </c>
      <c r="C4253" s="0" t="n">
        <v>1213313</v>
      </c>
      <c r="D4253" s="0" t="s">
        <v>14230</v>
      </c>
      <c r="E4253" s="0" t="s">
        <v>89</v>
      </c>
      <c r="F4253" s="0" t="s">
        <v>90</v>
      </c>
      <c r="G4253" s="0" t="s">
        <v>32</v>
      </c>
      <c r="H4253" s="0" t="n">
        <v>56</v>
      </c>
      <c r="I4253" s="0" t="s">
        <v>14237</v>
      </c>
      <c r="J4253" s="0" t="s">
        <v>14238</v>
      </c>
      <c r="K4253" s="0" t="s">
        <v>14239</v>
      </c>
      <c r="L4253" s="0" t="str">
        <f aca="false">HYPERLINK("https://www.ncbi.nlm.nih.gov/nuccore/CP000304.1?report=graph&amp;tracks=[key:gene_model_track,Options:GeneOnly]&amp;mk=1213340:1213359|offset_10|444444,1213319:1213338|offset_31|444444,1213294:1213313|offset_56|00cc00,1213267:1213286|offset_83|444444&amp;v=1213139:1213486&amp;c=444444", "offset 56")</f>
        <v>offset 56</v>
      </c>
    </row>
    <row r="4254" customFormat="false" ht="12.8" hidden="false" customHeight="false" outlineLevel="0" collapsed="false">
      <c r="A4254" s="0" t="s">
        <v>12</v>
      </c>
      <c r="B4254" s="0" t="n">
        <v>1213266</v>
      </c>
      <c r="C4254" s="0" t="n">
        <v>1213286</v>
      </c>
      <c r="D4254" s="0" t="s">
        <v>14230</v>
      </c>
      <c r="E4254" s="0" t="s">
        <v>89</v>
      </c>
      <c r="F4254" s="0" t="s">
        <v>90</v>
      </c>
      <c r="G4254" s="0" t="s">
        <v>16</v>
      </c>
      <c r="H4254" s="0" t="n">
        <v>83</v>
      </c>
      <c r="I4254" s="0" t="s">
        <v>14240</v>
      </c>
      <c r="J4254" s="0" t="s">
        <v>14241</v>
      </c>
      <c r="K4254" s="0" t="s">
        <v>14242</v>
      </c>
      <c r="L4254" s="0" t="str">
        <f aca="false">HYPERLINK("https://www.ncbi.nlm.nih.gov/nuccore/CP000304.1?report=graph&amp;tracks=[key:gene_model_track,Options:GeneOnly]&amp;mk=1213340:1213359|offset_10|444444,1213319:1213338|offset_31|444444,1213294:1213313|offset_56|444444,1213267:1213286|offset_83|00cc00&amp;v=1213139:1213486&amp;c=444444", "offset 83")</f>
        <v>offset 83</v>
      </c>
    </row>
    <row r="4255" customFormat="false" ht="12.8" hidden="false" customHeight="false" outlineLevel="0" collapsed="false">
      <c r="A4255" s="0" t="s">
        <v>12</v>
      </c>
      <c r="B4255" s="0" t="n">
        <v>1213545</v>
      </c>
      <c r="C4255" s="0" t="n">
        <v>1213565</v>
      </c>
      <c r="D4255" s="0" t="s">
        <v>14243</v>
      </c>
      <c r="E4255" s="0" t="s">
        <v>89</v>
      </c>
      <c r="F4255" s="0" t="s">
        <v>15</v>
      </c>
      <c r="G4255" s="0" t="s">
        <v>26</v>
      </c>
      <c r="H4255" s="0" t="n">
        <v>14</v>
      </c>
      <c r="I4255" s="0" t="s">
        <v>14244</v>
      </c>
      <c r="J4255" s="0" t="s">
        <v>14245</v>
      </c>
      <c r="K4255" s="0" t="s">
        <v>14246</v>
      </c>
      <c r="L4255" s="0" t="str">
        <f aca="false">HYPERLINK("https://www.ncbi.nlm.nih.gov/nuccore/CP000304.1?report=graph&amp;tracks=[key:gene_model_track,Options:GeneOnly]&amp;mk=1213546:1213565|offset_14|00cc00,1213566:1213585|offset_34|444444,1213596:1213615|offset_64|444444,1213618:1213637|offset_86|444444&amp;v=1213345:1213837&amp;c=444444", "offset 14")</f>
        <v>offset 14</v>
      </c>
    </row>
    <row r="4256" customFormat="false" ht="12.8" hidden="false" customHeight="false" outlineLevel="0" collapsed="false">
      <c r="A4256" s="0" t="s">
        <v>12</v>
      </c>
      <c r="B4256" s="0" t="n">
        <v>1213565</v>
      </c>
      <c r="C4256" s="0" t="n">
        <v>1213585</v>
      </c>
      <c r="D4256" s="0" t="s">
        <v>14243</v>
      </c>
      <c r="E4256" s="0" t="s">
        <v>89</v>
      </c>
      <c r="F4256" s="0" t="s">
        <v>15</v>
      </c>
      <c r="G4256" s="0" t="s">
        <v>16</v>
      </c>
      <c r="H4256" s="0" t="n">
        <v>34</v>
      </c>
      <c r="I4256" s="0" t="s">
        <v>14247</v>
      </c>
      <c r="J4256" s="0" t="s">
        <v>14248</v>
      </c>
      <c r="K4256" s="0" t="s">
        <v>14249</v>
      </c>
      <c r="L4256" s="0" t="str">
        <f aca="false">HYPERLINK("https://www.ncbi.nlm.nih.gov/nuccore/CP000304.1?report=graph&amp;tracks=[key:gene_model_track,Options:GeneOnly]&amp;mk=1213546:1213565|offset_14|444444,1213566:1213585|offset_34|00cc00,1213596:1213615|offset_64|444444,1213618:1213637|offset_86|444444&amp;v=1213345:1213837&amp;c=444444", "offset 34")</f>
        <v>offset 34</v>
      </c>
    </row>
    <row r="4257" customFormat="false" ht="12.8" hidden="false" customHeight="false" outlineLevel="0" collapsed="false">
      <c r="A4257" s="0" t="s">
        <v>12</v>
      </c>
      <c r="B4257" s="0" t="n">
        <v>1213595</v>
      </c>
      <c r="C4257" s="0" t="n">
        <v>1213615</v>
      </c>
      <c r="D4257" s="0" t="s">
        <v>14243</v>
      </c>
      <c r="E4257" s="0" t="s">
        <v>89</v>
      </c>
      <c r="F4257" s="0" t="s">
        <v>15</v>
      </c>
      <c r="G4257" s="0" t="s">
        <v>36</v>
      </c>
      <c r="H4257" s="0" t="n">
        <v>64</v>
      </c>
      <c r="I4257" s="0" t="s">
        <v>14250</v>
      </c>
      <c r="J4257" s="0" t="s">
        <v>14251</v>
      </c>
      <c r="K4257" s="0" t="s">
        <v>14252</v>
      </c>
      <c r="L4257" s="0" t="str">
        <f aca="false">HYPERLINK("https://www.ncbi.nlm.nih.gov/nuccore/CP000304.1?report=graph&amp;tracks=[key:gene_model_track,Options:GeneOnly]&amp;mk=1213546:1213565|offset_14|444444,1213566:1213585|offset_34|444444,1213596:1213615|offset_64|00cc00,1213618:1213637|offset_86|444444&amp;v=1213345:1213837&amp;c=444444", "offset 64")</f>
        <v>offset 64</v>
      </c>
    </row>
    <row r="4258" customFormat="false" ht="12.8" hidden="false" customHeight="false" outlineLevel="0" collapsed="false">
      <c r="A4258" s="0" t="s">
        <v>12</v>
      </c>
      <c r="B4258" s="0" t="n">
        <v>1213617</v>
      </c>
      <c r="C4258" s="0" t="n">
        <v>1213637</v>
      </c>
      <c r="D4258" s="0" t="s">
        <v>14243</v>
      </c>
      <c r="E4258" s="0" t="s">
        <v>89</v>
      </c>
      <c r="F4258" s="0" t="s">
        <v>15</v>
      </c>
      <c r="G4258" s="0" t="s">
        <v>36</v>
      </c>
      <c r="H4258" s="0" t="n">
        <v>86</v>
      </c>
      <c r="I4258" s="0" t="s">
        <v>14253</v>
      </c>
      <c r="J4258" s="0" t="s">
        <v>14254</v>
      </c>
      <c r="K4258" s="0" t="s">
        <v>14255</v>
      </c>
      <c r="L4258" s="0" t="str">
        <f aca="false">HYPERLINK("https://www.ncbi.nlm.nih.gov/nuccore/CP000304.1?report=graph&amp;tracks=[key:gene_model_track,Options:GeneOnly]&amp;mk=1213546:1213565|offset_14|444444,1213566:1213585|offset_34|444444,1213596:1213615|offset_64|444444,1213618:1213637|offset_86|00cc00&amp;v=1213345:1213837&amp;c=444444", "offset 86")</f>
        <v>offset 86</v>
      </c>
    </row>
    <row r="4259" customFormat="false" ht="12.8" hidden="false" customHeight="false" outlineLevel="0" collapsed="false">
      <c r="A4259" s="0" t="s">
        <v>12</v>
      </c>
      <c r="B4259" s="0" t="n">
        <v>1215692</v>
      </c>
      <c r="C4259" s="0" t="n">
        <v>1215712</v>
      </c>
      <c r="D4259" s="0" t="s">
        <v>14256</v>
      </c>
      <c r="E4259" s="0" t="s">
        <v>89</v>
      </c>
      <c r="F4259" s="0" t="s">
        <v>90</v>
      </c>
      <c r="G4259" s="0" t="s">
        <v>32</v>
      </c>
      <c r="H4259" s="0" t="n">
        <v>27</v>
      </c>
      <c r="I4259" s="0" t="s">
        <v>14257</v>
      </c>
      <c r="J4259" s="0" t="s">
        <v>14258</v>
      </c>
      <c r="K4259" s="0" t="s">
        <v>14259</v>
      </c>
      <c r="L4259" s="0" t="str">
        <f aca="false">HYPERLINK("https://www.ncbi.nlm.nih.gov/nuccore/CP000304.1?report=graph&amp;tracks=[key:gene_model_track,Options:GeneOnly]&amp;mk=1215693:1215712|offset_27|00cc00,1215669:1215688|offset_51|444444,1215637:1215656|offset_83|444444,1215600:1215619|offset_120|444444&amp;v=1215492:1215819&amp;c=444444", "offset 27")</f>
        <v>offset 27</v>
      </c>
    </row>
    <row r="4260" customFormat="false" ht="12.8" hidden="false" customHeight="false" outlineLevel="0" collapsed="false">
      <c r="A4260" s="0" t="s">
        <v>12</v>
      </c>
      <c r="B4260" s="0" t="n">
        <v>1215668</v>
      </c>
      <c r="C4260" s="0" t="n">
        <v>1215688</v>
      </c>
      <c r="D4260" s="0" t="s">
        <v>14256</v>
      </c>
      <c r="E4260" s="0" t="s">
        <v>89</v>
      </c>
      <c r="F4260" s="0" t="s">
        <v>90</v>
      </c>
      <c r="G4260" s="0" t="s">
        <v>16</v>
      </c>
      <c r="H4260" s="0" t="n">
        <v>51</v>
      </c>
      <c r="I4260" s="0" t="s">
        <v>14260</v>
      </c>
      <c r="J4260" s="0" t="s">
        <v>14261</v>
      </c>
      <c r="K4260" s="0" t="s">
        <v>14262</v>
      </c>
      <c r="L4260" s="0" t="str">
        <f aca="false">HYPERLINK("https://www.ncbi.nlm.nih.gov/nuccore/CP000304.1?report=graph&amp;tracks=[key:gene_model_track,Options:GeneOnly]&amp;mk=1215693:1215712|offset_27|444444,1215669:1215688|offset_51|00cc00,1215637:1215656|offset_83|444444,1215600:1215619|offset_120|444444&amp;v=1215492:1215819&amp;c=444444", "offset 51")</f>
        <v>offset 51</v>
      </c>
    </row>
    <row r="4261" customFormat="false" ht="12.8" hidden="false" customHeight="false" outlineLevel="0" collapsed="false">
      <c r="A4261" s="0" t="s">
        <v>12</v>
      </c>
      <c r="B4261" s="0" t="n">
        <v>1215636</v>
      </c>
      <c r="C4261" s="0" t="n">
        <v>1215656</v>
      </c>
      <c r="D4261" s="0" t="s">
        <v>14256</v>
      </c>
      <c r="E4261" s="0" t="s">
        <v>89</v>
      </c>
      <c r="F4261" s="0" t="s">
        <v>90</v>
      </c>
      <c r="G4261" s="0" t="s">
        <v>16</v>
      </c>
      <c r="H4261" s="0" t="n">
        <v>83</v>
      </c>
      <c r="I4261" s="0" t="s">
        <v>14263</v>
      </c>
      <c r="J4261" s="0" t="s">
        <v>14264</v>
      </c>
      <c r="K4261" s="0" t="s">
        <v>14265</v>
      </c>
      <c r="L4261" s="0" t="str">
        <f aca="false">HYPERLINK("https://www.ncbi.nlm.nih.gov/nuccore/CP000304.1?report=graph&amp;tracks=[key:gene_model_track,Options:GeneOnly]&amp;mk=1215693:1215712|offset_27|444444,1215669:1215688|offset_51|444444,1215637:1215656|offset_83|00cc00,1215600:1215619|offset_120|444444&amp;v=1215492:1215819&amp;c=444444", "offset 83")</f>
        <v>offset 83</v>
      </c>
    </row>
    <row r="4262" customFormat="false" ht="12.8" hidden="false" customHeight="false" outlineLevel="0" collapsed="false">
      <c r="A4262" s="0" t="s">
        <v>12</v>
      </c>
      <c r="B4262" s="0" t="n">
        <v>1215599</v>
      </c>
      <c r="C4262" s="0" t="n">
        <v>1215619</v>
      </c>
      <c r="D4262" s="0" t="s">
        <v>14256</v>
      </c>
      <c r="E4262" s="0" t="s">
        <v>89</v>
      </c>
      <c r="F4262" s="0" t="s">
        <v>90</v>
      </c>
      <c r="G4262" s="0" t="s">
        <v>32</v>
      </c>
      <c r="H4262" s="0" t="n">
        <v>120</v>
      </c>
      <c r="I4262" s="0" t="s">
        <v>14266</v>
      </c>
      <c r="J4262" s="0" t="s">
        <v>14267</v>
      </c>
      <c r="K4262" s="0" t="s">
        <v>14268</v>
      </c>
      <c r="L4262" s="0" t="str">
        <f aca="false">HYPERLINK("https://www.ncbi.nlm.nih.gov/nuccore/CP000304.1?report=graph&amp;tracks=[key:gene_model_track,Options:GeneOnly]&amp;mk=1215693:1215712|offset_27|444444,1215669:1215688|offset_51|444444,1215637:1215656|offset_83|444444,1215600:1215619|offset_120|00cc00&amp;v=1215492:1215819&amp;c=444444", "offset 120")</f>
        <v>offset 120</v>
      </c>
    </row>
    <row r="4263" customFormat="false" ht="12.8" hidden="false" customHeight="false" outlineLevel="0" collapsed="false">
      <c r="A4263" s="0" t="s">
        <v>12</v>
      </c>
      <c r="B4263" s="0" t="n">
        <v>1215948</v>
      </c>
      <c r="C4263" s="0" t="n">
        <v>1215968</v>
      </c>
      <c r="D4263" s="0" t="s">
        <v>14269</v>
      </c>
      <c r="E4263" s="0" t="s">
        <v>89</v>
      </c>
      <c r="F4263" s="0" t="s">
        <v>15</v>
      </c>
      <c r="G4263" s="0" t="s">
        <v>16</v>
      </c>
      <c r="H4263" s="0" t="n">
        <v>0</v>
      </c>
      <c r="I4263" s="0" t="s">
        <v>14270</v>
      </c>
      <c r="J4263" s="0" t="s">
        <v>14271</v>
      </c>
      <c r="K4263" s="0" t="s">
        <v>14272</v>
      </c>
      <c r="L4263" s="0" t="str">
        <f aca="false">HYPERLINK("https://www.ncbi.nlm.nih.gov/nuccore/CP000304.1?report=graph&amp;tracks=[key:gene_model_track,Options:GeneOnly]&amp;mk=1215949:1215968|offset_0|00cc00,1215971:1215990|offset_22|444444,1216055:1216074|offset_106|444444,1216076:1216095|offset_127|444444&amp;v=1215748:1216295&amp;c=444444", "offset 0")</f>
        <v>offset 0</v>
      </c>
    </row>
    <row r="4264" customFormat="false" ht="12.8" hidden="false" customHeight="false" outlineLevel="0" collapsed="false">
      <c r="A4264" s="0" t="s">
        <v>12</v>
      </c>
      <c r="B4264" s="0" t="n">
        <v>1215970</v>
      </c>
      <c r="C4264" s="0" t="n">
        <v>1215990</v>
      </c>
      <c r="D4264" s="0" t="s">
        <v>14269</v>
      </c>
      <c r="E4264" s="0" t="s">
        <v>89</v>
      </c>
      <c r="F4264" s="0" t="s">
        <v>15</v>
      </c>
      <c r="G4264" s="0" t="s">
        <v>16</v>
      </c>
      <c r="H4264" s="0" t="n">
        <v>22</v>
      </c>
      <c r="I4264" s="0" t="s">
        <v>14273</v>
      </c>
      <c r="J4264" s="0" t="s">
        <v>14274</v>
      </c>
      <c r="K4264" s="0" t="s">
        <v>14275</v>
      </c>
      <c r="L4264" s="0" t="str">
        <f aca="false">HYPERLINK("https://www.ncbi.nlm.nih.gov/nuccore/CP000304.1?report=graph&amp;tracks=[key:gene_model_track,Options:GeneOnly]&amp;mk=1215949:1215968|offset_0|444444,1215971:1215990|offset_22|00cc00,1216055:1216074|offset_106|444444,1216076:1216095|offset_127|444444&amp;v=1215748:1216295&amp;c=444444", "offset 22")</f>
        <v>offset 22</v>
      </c>
    </row>
    <row r="4265" customFormat="false" ht="12.8" hidden="false" customHeight="false" outlineLevel="0" collapsed="false">
      <c r="A4265" s="0" t="s">
        <v>12</v>
      </c>
      <c r="B4265" s="0" t="n">
        <v>1216054</v>
      </c>
      <c r="C4265" s="0" t="n">
        <v>1216074</v>
      </c>
      <c r="D4265" s="0" t="s">
        <v>14269</v>
      </c>
      <c r="E4265" s="0" t="s">
        <v>89</v>
      </c>
      <c r="F4265" s="0" t="s">
        <v>15</v>
      </c>
      <c r="G4265" s="0" t="s">
        <v>36</v>
      </c>
      <c r="H4265" s="0" t="n">
        <v>106</v>
      </c>
      <c r="I4265" s="0" t="s">
        <v>14276</v>
      </c>
      <c r="J4265" s="0" t="s">
        <v>14277</v>
      </c>
      <c r="K4265" s="0" t="s">
        <v>14278</v>
      </c>
      <c r="L4265" s="0" t="str">
        <f aca="false">HYPERLINK("https://www.ncbi.nlm.nih.gov/nuccore/CP000304.1?report=graph&amp;tracks=[key:gene_model_track,Options:GeneOnly]&amp;mk=1215949:1215968|offset_0|444444,1215971:1215990|offset_22|444444,1216055:1216074|offset_106|00cc00,1216076:1216095|offset_127|444444&amp;v=1215748:1216295&amp;c=444444", "offset 106")</f>
        <v>offset 106</v>
      </c>
    </row>
    <row r="4266" customFormat="false" ht="12.8" hidden="false" customHeight="false" outlineLevel="0" collapsed="false">
      <c r="A4266" s="0" t="s">
        <v>12</v>
      </c>
      <c r="B4266" s="0" t="n">
        <v>1216075</v>
      </c>
      <c r="C4266" s="0" t="n">
        <v>1216095</v>
      </c>
      <c r="D4266" s="0" t="s">
        <v>14269</v>
      </c>
      <c r="E4266" s="0" t="s">
        <v>89</v>
      </c>
      <c r="F4266" s="0" t="s">
        <v>15</v>
      </c>
      <c r="G4266" s="0" t="s">
        <v>16</v>
      </c>
      <c r="H4266" s="0" t="n">
        <v>127</v>
      </c>
      <c r="I4266" s="0" t="s">
        <v>14279</v>
      </c>
      <c r="J4266" s="0" t="s">
        <v>14280</v>
      </c>
      <c r="K4266" s="0" t="s">
        <v>14281</v>
      </c>
      <c r="L4266" s="0" t="str">
        <f aca="false">HYPERLINK("https://www.ncbi.nlm.nih.gov/nuccore/CP000304.1?report=graph&amp;tracks=[key:gene_model_track,Options:GeneOnly]&amp;mk=1215949:1215968|offset_0|444444,1215971:1215990|offset_22|444444,1216055:1216074|offset_106|444444,1216076:1216095|offset_127|00cc00&amp;v=1215748:1216295&amp;c=444444", "offset 127")</f>
        <v>offset 127</v>
      </c>
    </row>
    <row r="4267" customFormat="false" ht="12.8" hidden="false" customHeight="false" outlineLevel="0" collapsed="false">
      <c r="A4267" s="0" t="s">
        <v>12</v>
      </c>
      <c r="B4267" s="0" t="n">
        <v>1217267</v>
      </c>
      <c r="C4267" s="0" t="n">
        <v>1217287</v>
      </c>
      <c r="D4267" s="0" t="s">
        <v>14282</v>
      </c>
      <c r="E4267" s="0" t="s">
        <v>89</v>
      </c>
      <c r="F4267" s="0" t="s">
        <v>90</v>
      </c>
      <c r="G4267" s="0" t="s">
        <v>16</v>
      </c>
      <c r="H4267" s="0" t="n">
        <v>110</v>
      </c>
      <c r="I4267" s="0" t="s">
        <v>14283</v>
      </c>
      <c r="J4267" s="0" t="s">
        <v>14284</v>
      </c>
      <c r="K4267" s="0" t="s">
        <v>14285</v>
      </c>
      <c r="L4267" s="0" t="str">
        <f aca="false">HYPERLINK("https://www.ncbi.nlm.nih.gov/nuccore/CP000304.1?report=graph&amp;tracks=[key:gene_model_track,Options:GeneOnly]&amp;mk=1217268:1217287|offset_110|00cc00,1217225:1217244|offset_153|444444,1217191:1217210|offset_187|444444,1217170:1217189|offset_208|444444&amp;v=1217067:1217389&amp;c=444444", "offset 110")</f>
        <v>offset 110</v>
      </c>
    </row>
    <row r="4268" customFormat="false" ht="12.8" hidden="false" customHeight="false" outlineLevel="0" collapsed="false">
      <c r="A4268" s="0" t="s">
        <v>12</v>
      </c>
      <c r="B4268" s="0" t="n">
        <v>1217224</v>
      </c>
      <c r="C4268" s="0" t="n">
        <v>1217244</v>
      </c>
      <c r="D4268" s="0" t="s">
        <v>14282</v>
      </c>
      <c r="E4268" s="0" t="s">
        <v>89</v>
      </c>
      <c r="F4268" s="0" t="s">
        <v>90</v>
      </c>
      <c r="G4268" s="0" t="s">
        <v>16</v>
      </c>
      <c r="H4268" s="0" t="n">
        <v>153</v>
      </c>
      <c r="I4268" s="0" t="s">
        <v>14286</v>
      </c>
      <c r="J4268" s="0" t="s">
        <v>14287</v>
      </c>
      <c r="K4268" s="0" t="s">
        <v>14288</v>
      </c>
      <c r="L4268" s="0" t="str">
        <f aca="false">HYPERLINK("https://www.ncbi.nlm.nih.gov/nuccore/CP000304.1?report=graph&amp;tracks=[key:gene_model_track,Options:GeneOnly]&amp;mk=1217268:1217287|offset_110|444444,1217225:1217244|offset_153|00cc00,1217191:1217210|offset_187|444444,1217170:1217189|offset_208|444444&amp;v=1217067:1217389&amp;c=444444", "offset 153")</f>
        <v>offset 153</v>
      </c>
    </row>
    <row r="4269" customFormat="false" ht="12.8" hidden="false" customHeight="false" outlineLevel="0" collapsed="false">
      <c r="A4269" s="0" t="s">
        <v>12</v>
      </c>
      <c r="B4269" s="0" t="n">
        <v>1217190</v>
      </c>
      <c r="C4269" s="0" t="n">
        <v>1217210</v>
      </c>
      <c r="D4269" s="0" t="s">
        <v>14282</v>
      </c>
      <c r="E4269" s="0" t="s">
        <v>89</v>
      </c>
      <c r="F4269" s="0" t="s">
        <v>90</v>
      </c>
      <c r="G4269" s="0" t="s">
        <v>32</v>
      </c>
      <c r="H4269" s="0" t="n">
        <v>187</v>
      </c>
      <c r="I4269" s="0" t="s">
        <v>14289</v>
      </c>
      <c r="J4269" s="0" t="s">
        <v>14290</v>
      </c>
      <c r="K4269" s="0" t="s">
        <v>14291</v>
      </c>
      <c r="L4269" s="0" t="str">
        <f aca="false">HYPERLINK("https://www.ncbi.nlm.nih.gov/nuccore/CP000304.1?report=graph&amp;tracks=[key:gene_model_track,Options:GeneOnly]&amp;mk=1217268:1217287|offset_110|444444,1217225:1217244|offset_153|444444,1217191:1217210|offset_187|00cc00,1217170:1217189|offset_208|444444&amp;v=1217067:1217389&amp;c=444444", "offset 187")</f>
        <v>offset 187</v>
      </c>
    </row>
    <row r="4270" customFormat="false" ht="12.8" hidden="false" customHeight="false" outlineLevel="0" collapsed="false">
      <c r="A4270" s="0" t="s">
        <v>12</v>
      </c>
      <c r="B4270" s="0" t="n">
        <v>1217169</v>
      </c>
      <c r="C4270" s="0" t="n">
        <v>1217189</v>
      </c>
      <c r="D4270" s="0" t="s">
        <v>14282</v>
      </c>
      <c r="E4270" s="0" t="s">
        <v>89</v>
      </c>
      <c r="F4270" s="0" t="s">
        <v>90</v>
      </c>
      <c r="G4270" s="0" t="s">
        <v>36</v>
      </c>
      <c r="H4270" s="0" t="n">
        <v>208</v>
      </c>
      <c r="I4270" s="0" t="s">
        <v>14292</v>
      </c>
      <c r="J4270" s="0" t="s">
        <v>14293</v>
      </c>
      <c r="K4270" s="0" t="s">
        <v>14294</v>
      </c>
      <c r="L4270" s="0" t="str">
        <f aca="false">HYPERLINK("https://www.ncbi.nlm.nih.gov/nuccore/CP000304.1?report=graph&amp;tracks=[key:gene_model_track,Options:GeneOnly]&amp;mk=1217268:1217287|offset_110|444444,1217225:1217244|offset_153|444444,1217191:1217210|offset_187|444444,1217170:1217189|offset_208|00cc00&amp;v=1217067:1217389&amp;c=444444", "offset 208")</f>
        <v>offset 208</v>
      </c>
    </row>
    <row r="4271" customFormat="false" ht="12.8" hidden="false" customHeight="false" outlineLevel="0" collapsed="false">
      <c r="A4271" s="0" t="s">
        <v>12</v>
      </c>
      <c r="B4271" s="0" t="n">
        <v>1217428</v>
      </c>
      <c r="C4271" s="0" t="n">
        <v>1217448</v>
      </c>
      <c r="D4271" s="0" t="s">
        <v>14295</v>
      </c>
      <c r="E4271" s="0" t="s">
        <v>89</v>
      </c>
      <c r="F4271" s="0" t="s">
        <v>15</v>
      </c>
      <c r="G4271" s="0" t="s">
        <v>26</v>
      </c>
      <c r="H4271" s="0" t="n">
        <v>136</v>
      </c>
      <c r="I4271" s="0" t="s">
        <v>14296</v>
      </c>
      <c r="J4271" s="0" t="s">
        <v>14297</v>
      </c>
      <c r="K4271" s="0" t="s">
        <v>14298</v>
      </c>
      <c r="L4271" s="0" t="str">
        <f aca="false">HYPERLINK("https://www.ncbi.nlm.nih.gov/nuccore/CP000304.1?report=graph&amp;tracks=[key:gene_model_track,Options:GeneOnly]&amp;mk=1217429:1217448|offset_136|00cc00,1217464:1217483|offset_171|444444,1217501:1217520|offset_208|444444,1217521:1217540|offset_228|444444&amp;v=1217228:1217740&amp;c=444444", "offset 136")</f>
        <v>offset 136</v>
      </c>
    </row>
    <row r="4272" customFormat="false" ht="12.8" hidden="false" customHeight="false" outlineLevel="0" collapsed="false">
      <c r="A4272" s="0" t="s">
        <v>12</v>
      </c>
      <c r="B4272" s="0" t="n">
        <v>1217463</v>
      </c>
      <c r="C4272" s="0" t="n">
        <v>1217483</v>
      </c>
      <c r="D4272" s="0" t="s">
        <v>14295</v>
      </c>
      <c r="E4272" s="0" t="s">
        <v>89</v>
      </c>
      <c r="F4272" s="0" t="s">
        <v>15</v>
      </c>
      <c r="G4272" s="0" t="s">
        <v>16</v>
      </c>
      <c r="H4272" s="0" t="n">
        <v>171</v>
      </c>
      <c r="I4272" s="0" t="s">
        <v>14299</v>
      </c>
      <c r="J4272" s="0" t="s">
        <v>14300</v>
      </c>
      <c r="K4272" s="0" t="s">
        <v>14301</v>
      </c>
      <c r="L4272" s="0" t="str">
        <f aca="false">HYPERLINK("https://www.ncbi.nlm.nih.gov/nuccore/CP000304.1?report=graph&amp;tracks=[key:gene_model_track,Options:GeneOnly]&amp;mk=1217429:1217448|offset_136|444444,1217464:1217483|offset_171|00cc00,1217501:1217520|offset_208|444444,1217521:1217540|offset_228|444444&amp;v=1217228:1217740&amp;c=444444", "offset 171")</f>
        <v>offset 171</v>
      </c>
    </row>
    <row r="4273" customFormat="false" ht="12.8" hidden="false" customHeight="false" outlineLevel="0" collapsed="false">
      <c r="A4273" s="0" t="s">
        <v>12</v>
      </c>
      <c r="B4273" s="0" t="n">
        <v>1217500</v>
      </c>
      <c r="C4273" s="0" t="n">
        <v>1217520</v>
      </c>
      <c r="D4273" s="0" t="s">
        <v>14295</v>
      </c>
      <c r="E4273" s="0" t="s">
        <v>89</v>
      </c>
      <c r="F4273" s="0" t="s">
        <v>15</v>
      </c>
      <c r="G4273" s="0" t="s">
        <v>16</v>
      </c>
      <c r="H4273" s="0" t="n">
        <v>208</v>
      </c>
      <c r="I4273" s="0" t="s">
        <v>14302</v>
      </c>
      <c r="J4273" s="0" t="s">
        <v>14303</v>
      </c>
      <c r="K4273" s="0" t="s">
        <v>14304</v>
      </c>
      <c r="L4273" s="0" t="str">
        <f aca="false">HYPERLINK("https://www.ncbi.nlm.nih.gov/nuccore/CP000304.1?report=graph&amp;tracks=[key:gene_model_track,Options:GeneOnly]&amp;mk=1217429:1217448|offset_136|444444,1217464:1217483|offset_171|444444,1217501:1217520|offset_208|00cc00,1217521:1217540|offset_228|444444&amp;v=1217228:1217740&amp;c=444444", "offset 208")</f>
        <v>offset 208</v>
      </c>
    </row>
    <row r="4274" customFormat="false" ht="12.8" hidden="false" customHeight="false" outlineLevel="0" collapsed="false">
      <c r="A4274" s="0" t="s">
        <v>12</v>
      </c>
      <c r="B4274" s="0" t="n">
        <v>1217520</v>
      </c>
      <c r="C4274" s="0" t="n">
        <v>1217540</v>
      </c>
      <c r="D4274" s="0" t="s">
        <v>14295</v>
      </c>
      <c r="E4274" s="0" t="s">
        <v>89</v>
      </c>
      <c r="F4274" s="0" t="s">
        <v>15</v>
      </c>
      <c r="G4274" s="0" t="s">
        <v>16</v>
      </c>
      <c r="H4274" s="0" t="n">
        <v>228</v>
      </c>
      <c r="I4274" s="0" t="s">
        <v>14305</v>
      </c>
      <c r="J4274" s="0" t="s">
        <v>14306</v>
      </c>
      <c r="K4274" s="0" t="s">
        <v>14307</v>
      </c>
      <c r="L4274" s="0" t="str">
        <f aca="false">HYPERLINK("https://www.ncbi.nlm.nih.gov/nuccore/CP000304.1?report=graph&amp;tracks=[key:gene_model_track,Options:GeneOnly]&amp;mk=1217429:1217448|offset_136|444444,1217464:1217483|offset_171|444444,1217501:1217520|offset_208|444444,1217521:1217540|offset_228|00cc00&amp;v=1217228:1217740&amp;c=444444", "offset 228")</f>
        <v>offset 228</v>
      </c>
    </row>
    <row r="4275" customFormat="false" ht="12.8" hidden="false" customHeight="false" outlineLevel="0" collapsed="false">
      <c r="A4275" s="0" t="s">
        <v>12</v>
      </c>
      <c r="B4275" s="0" t="n">
        <v>1217837</v>
      </c>
      <c r="C4275" s="0" t="n">
        <v>1217857</v>
      </c>
      <c r="D4275" s="0" t="s">
        <v>14308</v>
      </c>
      <c r="E4275" s="0" t="s">
        <v>89</v>
      </c>
      <c r="F4275" s="0" t="s">
        <v>15</v>
      </c>
      <c r="G4275" s="0" t="s">
        <v>16</v>
      </c>
      <c r="H4275" s="0" t="n">
        <v>21</v>
      </c>
      <c r="I4275" s="0" t="s">
        <v>14309</v>
      </c>
      <c r="J4275" s="0" t="s">
        <v>14310</v>
      </c>
      <c r="K4275" s="0" t="s">
        <v>14311</v>
      </c>
      <c r="L4275" s="0" t="str">
        <f aca="false">HYPERLINK("https://www.ncbi.nlm.nih.gov/nuccore/CP000304.1?report=graph&amp;tracks=[key:gene_model_track,Options:GeneOnly]&amp;mk=1217838:1217857|offset_21|00cc00,1217884:1217903|offset_67|444444,1217908:1217927|offset_91|444444,1217929:1217948|offset_112|444444&amp;v=1217637:1218148&amp;c=444444", "offset 21")</f>
        <v>offset 21</v>
      </c>
    </row>
    <row r="4276" customFormat="false" ht="12.8" hidden="false" customHeight="false" outlineLevel="0" collapsed="false">
      <c r="A4276" s="0" t="s">
        <v>12</v>
      </c>
      <c r="B4276" s="0" t="n">
        <v>1217883</v>
      </c>
      <c r="C4276" s="0" t="n">
        <v>1217903</v>
      </c>
      <c r="D4276" s="0" t="s">
        <v>14308</v>
      </c>
      <c r="E4276" s="0" t="s">
        <v>89</v>
      </c>
      <c r="F4276" s="0" t="s">
        <v>15</v>
      </c>
      <c r="G4276" s="0" t="s">
        <v>16</v>
      </c>
      <c r="H4276" s="0" t="n">
        <v>67</v>
      </c>
      <c r="I4276" s="0" t="s">
        <v>14312</v>
      </c>
      <c r="J4276" s="0" t="s">
        <v>14313</v>
      </c>
      <c r="K4276" s="0" t="s">
        <v>14314</v>
      </c>
      <c r="L4276" s="0" t="str">
        <f aca="false">HYPERLINK("https://www.ncbi.nlm.nih.gov/nuccore/CP000304.1?report=graph&amp;tracks=[key:gene_model_track,Options:GeneOnly]&amp;mk=1217838:1217857|offset_21|444444,1217884:1217903|offset_67|00cc00,1217908:1217927|offset_91|444444,1217929:1217948|offset_112|444444&amp;v=1217637:1218148&amp;c=444444", "offset 67")</f>
        <v>offset 67</v>
      </c>
    </row>
    <row r="4277" customFormat="false" ht="12.8" hidden="false" customHeight="false" outlineLevel="0" collapsed="false">
      <c r="A4277" s="0" t="s">
        <v>12</v>
      </c>
      <c r="B4277" s="0" t="n">
        <v>1217907</v>
      </c>
      <c r="C4277" s="0" t="n">
        <v>1217927</v>
      </c>
      <c r="D4277" s="0" t="s">
        <v>14308</v>
      </c>
      <c r="E4277" s="0" t="s">
        <v>89</v>
      </c>
      <c r="F4277" s="0" t="s">
        <v>15</v>
      </c>
      <c r="G4277" s="0" t="s">
        <v>16</v>
      </c>
      <c r="H4277" s="0" t="n">
        <v>91</v>
      </c>
      <c r="I4277" s="0" t="s">
        <v>14315</v>
      </c>
      <c r="J4277" s="0" t="s">
        <v>14316</v>
      </c>
      <c r="K4277" s="0" t="s">
        <v>14317</v>
      </c>
      <c r="L4277" s="0" t="str">
        <f aca="false">HYPERLINK("https://www.ncbi.nlm.nih.gov/nuccore/CP000304.1?report=graph&amp;tracks=[key:gene_model_track,Options:GeneOnly]&amp;mk=1217838:1217857|offset_21|444444,1217884:1217903|offset_67|444444,1217908:1217927|offset_91|00cc00,1217929:1217948|offset_112|444444&amp;v=1217637:1218148&amp;c=444444", "offset 91")</f>
        <v>offset 91</v>
      </c>
    </row>
    <row r="4278" customFormat="false" ht="12.8" hidden="false" customHeight="false" outlineLevel="0" collapsed="false">
      <c r="A4278" s="0" t="s">
        <v>12</v>
      </c>
      <c r="B4278" s="0" t="n">
        <v>1217928</v>
      </c>
      <c r="C4278" s="0" t="n">
        <v>1217948</v>
      </c>
      <c r="D4278" s="0" t="s">
        <v>14308</v>
      </c>
      <c r="E4278" s="0" t="s">
        <v>89</v>
      </c>
      <c r="F4278" s="0" t="s">
        <v>15</v>
      </c>
      <c r="G4278" s="0" t="s">
        <v>32</v>
      </c>
      <c r="H4278" s="0" t="n">
        <v>112</v>
      </c>
      <c r="I4278" s="0" t="s">
        <v>14318</v>
      </c>
      <c r="J4278" s="0" t="s">
        <v>14319</v>
      </c>
      <c r="K4278" s="0" t="s">
        <v>14320</v>
      </c>
      <c r="L4278" s="0" t="str">
        <f aca="false">HYPERLINK("https://www.ncbi.nlm.nih.gov/nuccore/CP000304.1?report=graph&amp;tracks=[key:gene_model_track,Options:GeneOnly]&amp;mk=1217838:1217857|offset_21|444444,1217884:1217903|offset_67|444444,1217908:1217927|offset_91|444444,1217929:1217948|offset_112|00cc00&amp;v=1217637:1218148&amp;c=444444", "offset 112")</f>
        <v>offset 112</v>
      </c>
    </row>
    <row r="4279" customFormat="false" ht="12.8" hidden="false" customHeight="false" outlineLevel="0" collapsed="false">
      <c r="A4279" s="0" t="s">
        <v>12</v>
      </c>
      <c r="B4279" s="0" t="n">
        <v>1218098</v>
      </c>
      <c r="C4279" s="0" t="n">
        <v>1218118</v>
      </c>
      <c r="D4279" s="0" t="s">
        <v>14321</v>
      </c>
      <c r="E4279" s="0" t="s">
        <v>89</v>
      </c>
      <c r="F4279" s="0" t="s">
        <v>15</v>
      </c>
      <c r="G4279" s="0" t="s">
        <v>16</v>
      </c>
      <c r="H4279" s="0" t="n">
        <v>11</v>
      </c>
      <c r="I4279" s="0" t="s">
        <v>14322</v>
      </c>
      <c r="J4279" s="0" t="s">
        <v>14323</v>
      </c>
      <c r="K4279" s="0" t="s">
        <v>14324</v>
      </c>
      <c r="L4279" s="0" t="str">
        <f aca="false">HYPERLINK("https://www.ncbi.nlm.nih.gov/nuccore/CP000304.1?report=graph&amp;tracks=[key:gene_model_track,Options:GeneOnly]&amp;mk=1218099:1218118|offset_11|00cc00,1218134:1218153|offset_46|444444,1218155:1218174|offset_67|444444,1218184:1218203|offset_96|444444&amp;v=1217898:1218403&amp;c=444444", "offset 11")</f>
        <v>offset 11</v>
      </c>
    </row>
    <row r="4280" customFormat="false" ht="12.8" hidden="false" customHeight="false" outlineLevel="0" collapsed="false">
      <c r="A4280" s="0" t="s">
        <v>12</v>
      </c>
      <c r="B4280" s="0" t="n">
        <v>1218133</v>
      </c>
      <c r="C4280" s="0" t="n">
        <v>1218153</v>
      </c>
      <c r="D4280" s="0" t="s">
        <v>14321</v>
      </c>
      <c r="E4280" s="0" t="s">
        <v>89</v>
      </c>
      <c r="F4280" s="0" t="s">
        <v>15</v>
      </c>
      <c r="G4280" s="0" t="s">
        <v>16</v>
      </c>
      <c r="H4280" s="0" t="n">
        <v>46</v>
      </c>
      <c r="I4280" s="0" t="s">
        <v>14325</v>
      </c>
      <c r="J4280" s="0" t="s">
        <v>14326</v>
      </c>
      <c r="K4280" s="0" t="s">
        <v>14327</v>
      </c>
      <c r="L4280" s="0" t="str">
        <f aca="false">HYPERLINK("https://www.ncbi.nlm.nih.gov/nuccore/CP000304.1?report=graph&amp;tracks=[key:gene_model_track,Options:GeneOnly]&amp;mk=1218099:1218118|offset_11|444444,1218134:1218153|offset_46|00cc00,1218155:1218174|offset_67|444444,1218184:1218203|offset_96|444444&amp;v=1217898:1218403&amp;c=444444", "offset 46")</f>
        <v>offset 46</v>
      </c>
    </row>
    <row r="4281" customFormat="false" ht="12.8" hidden="false" customHeight="false" outlineLevel="0" collapsed="false">
      <c r="A4281" s="0" t="s">
        <v>12</v>
      </c>
      <c r="B4281" s="0" t="n">
        <v>1218154</v>
      </c>
      <c r="C4281" s="0" t="n">
        <v>1218174</v>
      </c>
      <c r="D4281" s="0" t="s">
        <v>14321</v>
      </c>
      <c r="E4281" s="0" t="s">
        <v>89</v>
      </c>
      <c r="F4281" s="0" t="s">
        <v>15</v>
      </c>
      <c r="G4281" s="0" t="s">
        <v>16</v>
      </c>
      <c r="H4281" s="0" t="n">
        <v>67</v>
      </c>
      <c r="I4281" s="0" t="s">
        <v>14328</v>
      </c>
      <c r="J4281" s="0" t="s">
        <v>14329</v>
      </c>
      <c r="K4281" s="0" t="s">
        <v>14330</v>
      </c>
      <c r="L4281" s="0" t="str">
        <f aca="false">HYPERLINK("https://www.ncbi.nlm.nih.gov/nuccore/CP000304.1?report=graph&amp;tracks=[key:gene_model_track,Options:GeneOnly]&amp;mk=1218099:1218118|offset_11|444444,1218134:1218153|offset_46|444444,1218155:1218174|offset_67|00cc00,1218184:1218203|offset_96|444444&amp;v=1217898:1218403&amp;c=444444", "offset 67")</f>
        <v>offset 67</v>
      </c>
    </row>
    <row r="4282" customFormat="false" ht="12.8" hidden="false" customHeight="false" outlineLevel="0" collapsed="false">
      <c r="A4282" s="0" t="s">
        <v>12</v>
      </c>
      <c r="B4282" s="0" t="n">
        <v>1218183</v>
      </c>
      <c r="C4282" s="0" t="n">
        <v>1218203</v>
      </c>
      <c r="D4282" s="0" t="s">
        <v>14321</v>
      </c>
      <c r="E4282" s="0" t="s">
        <v>89</v>
      </c>
      <c r="F4282" s="0" t="s">
        <v>15</v>
      </c>
      <c r="G4282" s="0" t="s">
        <v>16</v>
      </c>
      <c r="H4282" s="0" t="n">
        <v>96</v>
      </c>
      <c r="I4282" s="0" t="s">
        <v>14331</v>
      </c>
      <c r="J4282" s="0" t="s">
        <v>14332</v>
      </c>
      <c r="K4282" s="0" t="s">
        <v>14333</v>
      </c>
      <c r="L4282" s="0" t="str">
        <f aca="false">HYPERLINK("https://www.ncbi.nlm.nih.gov/nuccore/CP000304.1?report=graph&amp;tracks=[key:gene_model_track,Options:GeneOnly]&amp;mk=1218099:1218118|offset_11|444444,1218134:1218153|offset_46|444444,1218155:1218174|offset_67|444444,1218184:1218203|offset_96|00cc00&amp;v=1217898:1218403&amp;c=444444", "offset 96")</f>
        <v>offset 96</v>
      </c>
    </row>
    <row r="4283" customFormat="false" ht="12.8" hidden="false" customHeight="false" outlineLevel="0" collapsed="false">
      <c r="A4283" s="0" t="s">
        <v>12</v>
      </c>
      <c r="B4283" s="0" t="n">
        <v>1220987</v>
      </c>
      <c r="C4283" s="0" t="n">
        <v>1221007</v>
      </c>
      <c r="D4283" s="0" t="s">
        <v>14334</v>
      </c>
      <c r="E4283" s="0" t="s">
        <v>89</v>
      </c>
      <c r="F4283" s="0" t="s">
        <v>15</v>
      </c>
      <c r="G4283" s="0" t="s">
        <v>16</v>
      </c>
      <c r="H4283" s="0" t="n">
        <v>12</v>
      </c>
      <c r="I4283" s="0" t="s">
        <v>14335</v>
      </c>
      <c r="J4283" s="0" t="s">
        <v>14336</v>
      </c>
      <c r="K4283" s="0" t="s">
        <v>14337</v>
      </c>
      <c r="L4283" s="0" t="str">
        <f aca="false">HYPERLINK("https://www.ncbi.nlm.nih.gov/nuccore/CP000304.1?report=graph&amp;tracks=[key:gene_model_track,Options:GeneOnly]&amp;mk=1220988:1221007|offset_12|00cc00,1221013:1221032|offset_37|444444,1221040:1221059|offset_64|444444,1221064:1221083|offset_88|444444&amp;v=1220787:1221283&amp;c=444444", "offset 12")</f>
        <v>offset 12</v>
      </c>
    </row>
    <row r="4284" customFormat="false" ht="12.8" hidden="false" customHeight="false" outlineLevel="0" collapsed="false">
      <c r="A4284" s="0" t="s">
        <v>12</v>
      </c>
      <c r="B4284" s="0" t="n">
        <v>1221012</v>
      </c>
      <c r="C4284" s="0" t="n">
        <v>1221032</v>
      </c>
      <c r="D4284" s="0" t="s">
        <v>14334</v>
      </c>
      <c r="E4284" s="0" t="s">
        <v>89</v>
      </c>
      <c r="F4284" s="0" t="s">
        <v>15</v>
      </c>
      <c r="G4284" s="0" t="s">
        <v>16</v>
      </c>
      <c r="H4284" s="0" t="n">
        <v>37</v>
      </c>
      <c r="I4284" s="0" t="s">
        <v>14338</v>
      </c>
      <c r="J4284" s="0" t="s">
        <v>14339</v>
      </c>
      <c r="K4284" s="0" t="s">
        <v>14340</v>
      </c>
      <c r="L4284" s="0" t="str">
        <f aca="false">HYPERLINK("https://www.ncbi.nlm.nih.gov/nuccore/CP000304.1?report=graph&amp;tracks=[key:gene_model_track,Options:GeneOnly]&amp;mk=1220988:1221007|offset_12|444444,1221013:1221032|offset_37|00cc00,1221040:1221059|offset_64|444444,1221064:1221083|offset_88|444444&amp;v=1220787:1221283&amp;c=444444", "offset 37")</f>
        <v>offset 37</v>
      </c>
    </row>
    <row r="4285" customFormat="false" ht="12.8" hidden="false" customHeight="false" outlineLevel="0" collapsed="false">
      <c r="A4285" s="0" t="s">
        <v>12</v>
      </c>
      <c r="B4285" s="0" t="n">
        <v>1221039</v>
      </c>
      <c r="C4285" s="0" t="n">
        <v>1221059</v>
      </c>
      <c r="D4285" s="0" t="s">
        <v>14334</v>
      </c>
      <c r="E4285" s="0" t="s">
        <v>89</v>
      </c>
      <c r="F4285" s="0" t="s">
        <v>15</v>
      </c>
      <c r="G4285" s="0" t="s">
        <v>16</v>
      </c>
      <c r="H4285" s="0" t="n">
        <v>64</v>
      </c>
      <c r="I4285" s="0" t="s">
        <v>14341</v>
      </c>
      <c r="J4285" s="0" t="s">
        <v>14342</v>
      </c>
      <c r="K4285" s="0" t="s">
        <v>14343</v>
      </c>
      <c r="L4285" s="0" t="str">
        <f aca="false">HYPERLINK("https://www.ncbi.nlm.nih.gov/nuccore/CP000304.1?report=graph&amp;tracks=[key:gene_model_track,Options:GeneOnly]&amp;mk=1220988:1221007|offset_12|444444,1221013:1221032|offset_37|444444,1221040:1221059|offset_64|00cc00,1221064:1221083|offset_88|444444&amp;v=1220787:1221283&amp;c=444444", "offset 64")</f>
        <v>offset 64</v>
      </c>
    </row>
    <row r="4286" customFormat="false" ht="12.8" hidden="false" customHeight="false" outlineLevel="0" collapsed="false">
      <c r="A4286" s="0" t="s">
        <v>12</v>
      </c>
      <c r="B4286" s="0" t="n">
        <v>1221063</v>
      </c>
      <c r="C4286" s="0" t="n">
        <v>1221083</v>
      </c>
      <c r="D4286" s="0" t="s">
        <v>14334</v>
      </c>
      <c r="E4286" s="0" t="s">
        <v>89</v>
      </c>
      <c r="F4286" s="0" t="s">
        <v>15</v>
      </c>
      <c r="G4286" s="0" t="s">
        <v>16</v>
      </c>
      <c r="H4286" s="0" t="n">
        <v>88</v>
      </c>
      <c r="I4286" s="0" t="s">
        <v>14344</v>
      </c>
      <c r="J4286" s="0" t="s">
        <v>14345</v>
      </c>
      <c r="K4286" s="0" t="s">
        <v>14346</v>
      </c>
      <c r="L4286" s="0" t="str">
        <f aca="false">HYPERLINK("https://www.ncbi.nlm.nih.gov/nuccore/CP000304.1?report=graph&amp;tracks=[key:gene_model_track,Options:GeneOnly]&amp;mk=1220988:1221007|offset_12|444444,1221013:1221032|offset_37|444444,1221040:1221059|offset_64|444444,1221064:1221083|offset_88|00cc00&amp;v=1220787:1221283&amp;c=444444", "offset 88")</f>
        <v>offset 88</v>
      </c>
    </row>
    <row r="4287" customFormat="false" ht="12.8" hidden="false" customHeight="false" outlineLevel="0" collapsed="false">
      <c r="A4287" s="0" t="s">
        <v>12</v>
      </c>
      <c r="B4287" s="0" t="n">
        <v>1222200</v>
      </c>
      <c r="C4287" s="0" t="n">
        <v>1222220</v>
      </c>
      <c r="D4287" s="0" t="s">
        <v>14347</v>
      </c>
      <c r="E4287" s="0" t="s">
        <v>89</v>
      </c>
      <c r="F4287" s="0" t="s">
        <v>90</v>
      </c>
      <c r="G4287" s="0" t="s">
        <v>32</v>
      </c>
      <c r="H4287" s="0" t="n">
        <v>38</v>
      </c>
      <c r="I4287" s="0" t="s">
        <v>14348</v>
      </c>
      <c r="J4287" s="0" t="s">
        <v>14349</v>
      </c>
      <c r="K4287" s="0" t="s">
        <v>14350</v>
      </c>
      <c r="L4287" s="0" t="str">
        <f aca="false">HYPERLINK("https://www.ncbi.nlm.nih.gov/nuccore/CP000304.1?report=graph&amp;tracks=[key:gene_model_track,Options:GeneOnly]&amp;mk=1222201:1222220|offset_38|00cc00,1222174:1222193|offset_65|444444,1222133:1222152|offset_106|444444,1222111:1222130|offset_128|444444&amp;v=1222000:1222330&amp;c=444444", "offset 38")</f>
        <v>offset 38</v>
      </c>
    </row>
    <row r="4288" customFormat="false" ht="12.8" hidden="false" customHeight="false" outlineLevel="0" collapsed="false">
      <c r="A4288" s="0" t="s">
        <v>12</v>
      </c>
      <c r="B4288" s="0" t="n">
        <v>1222173</v>
      </c>
      <c r="C4288" s="0" t="n">
        <v>1222193</v>
      </c>
      <c r="D4288" s="0" t="s">
        <v>14347</v>
      </c>
      <c r="E4288" s="0" t="s">
        <v>89</v>
      </c>
      <c r="F4288" s="0" t="s">
        <v>90</v>
      </c>
      <c r="G4288" s="0" t="s">
        <v>16</v>
      </c>
      <c r="H4288" s="0" t="n">
        <v>65</v>
      </c>
      <c r="I4288" s="0" t="s">
        <v>14351</v>
      </c>
      <c r="J4288" s="0" t="s">
        <v>14352</v>
      </c>
      <c r="K4288" s="0" t="s">
        <v>14353</v>
      </c>
      <c r="L4288" s="0" t="str">
        <f aca="false">HYPERLINK("https://www.ncbi.nlm.nih.gov/nuccore/CP000304.1?report=graph&amp;tracks=[key:gene_model_track,Options:GeneOnly]&amp;mk=1222201:1222220|offset_38|444444,1222174:1222193|offset_65|00cc00,1222133:1222152|offset_106|444444,1222111:1222130|offset_128|444444&amp;v=1222000:1222330&amp;c=444444", "offset 65")</f>
        <v>offset 65</v>
      </c>
    </row>
    <row r="4289" customFormat="false" ht="12.8" hidden="false" customHeight="false" outlineLevel="0" collapsed="false">
      <c r="A4289" s="0" t="s">
        <v>12</v>
      </c>
      <c r="B4289" s="0" t="n">
        <v>1222132</v>
      </c>
      <c r="C4289" s="0" t="n">
        <v>1222152</v>
      </c>
      <c r="D4289" s="0" t="s">
        <v>14347</v>
      </c>
      <c r="E4289" s="0" t="s">
        <v>89</v>
      </c>
      <c r="F4289" s="0" t="s">
        <v>90</v>
      </c>
      <c r="G4289" s="0" t="s">
        <v>26</v>
      </c>
      <c r="H4289" s="0" t="n">
        <v>106</v>
      </c>
      <c r="I4289" s="0" t="s">
        <v>14354</v>
      </c>
      <c r="J4289" s="0" t="s">
        <v>14355</v>
      </c>
      <c r="K4289" s="0" t="s">
        <v>14356</v>
      </c>
      <c r="L4289" s="0" t="str">
        <f aca="false">HYPERLINK("https://www.ncbi.nlm.nih.gov/nuccore/CP000304.1?report=graph&amp;tracks=[key:gene_model_track,Options:GeneOnly]&amp;mk=1222201:1222220|offset_38|444444,1222174:1222193|offset_65|444444,1222133:1222152|offset_106|00cc00,1222111:1222130|offset_128|444444&amp;v=1222000:1222330&amp;c=444444", "offset 106")</f>
        <v>offset 106</v>
      </c>
    </row>
    <row r="4290" customFormat="false" ht="12.8" hidden="false" customHeight="false" outlineLevel="0" collapsed="false">
      <c r="A4290" s="0" t="s">
        <v>12</v>
      </c>
      <c r="B4290" s="0" t="n">
        <v>1222110</v>
      </c>
      <c r="C4290" s="0" t="n">
        <v>1222130</v>
      </c>
      <c r="D4290" s="0" t="s">
        <v>14347</v>
      </c>
      <c r="E4290" s="0" t="s">
        <v>89</v>
      </c>
      <c r="F4290" s="0" t="s">
        <v>90</v>
      </c>
      <c r="G4290" s="0" t="s">
        <v>32</v>
      </c>
      <c r="H4290" s="0" t="n">
        <v>128</v>
      </c>
      <c r="I4290" s="0" t="s">
        <v>14357</v>
      </c>
      <c r="J4290" s="0" t="s">
        <v>14358</v>
      </c>
      <c r="K4290" s="0" t="s">
        <v>14359</v>
      </c>
      <c r="L4290" s="0" t="str">
        <f aca="false">HYPERLINK("https://www.ncbi.nlm.nih.gov/nuccore/CP000304.1?report=graph&amp;tracks=[key:gene_model_track,Options:GeneOnly]&amp;mk=1222201:1222220|offset_38|444444,1222174:1222193|offset_65|444444,1222133:1222152|offset_106|444444,1222111:1222130|offset_128|00cc00&amp;v=1222000:1222330&amp;c=444444", "offset 128")</f>
        <v>offset 128</v>
      </c>
    </row>
    <row r="4291" customFormat="false" ht="12.8" hidden="false" customHeight="false" outlineLevel="0" collapsed="false">
      <c r="A4291" s="0" t="s">
        <v>12</v>
      </c>
      <c r="B4291" s="0" t="n">
        <v>1222889</v>
      </c>
      <c r="C4291" s="0" t="n">
        <v>1222909</v>
      </c>
      <c r="D4291" s="0" t="s">
        <v>14360</v>
      </c>
      <c r="E4291" s="0" t="s">
        <v>89</v>
      </c>
      <c r="F4291" s="0" t="s">
        <v>90</v>
      </c>
      <c r="G4291" s="0" t="s">
        <v>36</v>
      </c>
      <c r="H4291" s="0" t="n">
        <v>21</v>
      </c>
      <c r="I4291" s="0" t="s">
        <v>14361</v>
      </c>
      <c r="J4291" s="0" t="s">
        <v>14362</v>
      </c>
      <c r="K4291" s="0" t="s">
        <v>14363</v>
      </c>
      <c r="L4291" s="0" t="str">
        <f aca="false">HYPERLINK("https://www.ncbi.nlm.nih.gov/nuccore/CP000304.1?report=graph&amp;tracks=[key:gene_model_track,Options:GeneOnly]&amp;mk=1222890:1222909|offset_21|00cc00,1222868:1222887|offset_43|444444,1222823:1222842|offset_88|444444,1222803:1222822|offset_108|444444&amp;v=1222689:1223022&amp;c=444444", "offset 21")</f>
        <v>offset 21</v>
      </c>
    </row>
    <row r="4292" customFormat="false" ht="12.8" hidden="false" customHeight="false" outlineLevel="0" collapsed="false">
      <c r="A4292" s="0" t="s">
        <v>12</v>
      </c>
      <c r="B4292" s="0" t="n">
        <v>1222867</v>
      </c>
      <c r="C4292" s="0" t="n">
        <v>1222887</v>
      </c>
      <c r="D4292" s="0" t="s">
        <v>14360</v>
      </c>
      <c r="E4292" s="0" t="s">
        <v>89</v>
      </c>
      <c r="F4292" s="0" t="s">
        <v>90</v>
      </c>
      <c r="G4292" s="0" t="s">
        <v>16</v>
      </c>
      <c r="H4292" s="0" t="n">
        <v>43</v>
      </c>
      <c r="I4292" s="0" t="s">
        <v>14364</v>
      </c>
      <c r="J4292" s="0" t="s">
        <v>14365</v>
      </c>
      <c r="K4292" s="0" t="s">
        <v>14366</v>
      </c>
      <c r="L4292" s="0" t="str">
        <f aca="false">HYPERLINK("https://www.ncbi.nlm.nih.gov/nuccore/CP000304.1?report=graph&amp;tracks=[key:gene_model_track,Options:GeneOnly]&amp;mk=1222890:1222909|offset_21|444444,1222868:1222887|offset_43|00cc00,1222823:1222842|offset_88|444444,1222803:1222822|offset_108|444444&amp;v=1222689:1223022&amp;c=444444", "offset 43")</f>
        <v>offset 43</v>
      </c>
    </row>
    <row r="4293" customFormat="false" ht="12.8" hidden="false" customHeight="false" outlineLevel="0" collapsed="false">
      <c r="A4293" s="0" t="s">
        <v>12</v>
      </c>
      <c r="B4293" s="0" t="n">
        <v>1222822</v>
      </c>
      <c r="C4293" s="0" t="n">
        <v>1222842</v>
      </c>
      <c r="D4293" s="0" t="s">
        <v>14360</v>
      </c>
      <c r="E4293" s="0" t="s">
        <v>89</v>
      </c>
      <c r="F4293" s="0" t="s">
        <v>90</v>
      </c>
      <c r="G4293" s="0" t="s">
        <v>36</v>
      </c>
      <c r="H4293" s="0" t="n">
        <v>88</v>
      </c>
      <c r="I4293" s="0" t="s">
        <v>14367</v>
      </c>
      <c r="J4293" s="0" t="s">
        <v>14368</v>
      </c>
      <c r="K4293" s="0" t="s">
        <v>14369</v>
      </c>
      <c r="L4293" s="0" t="str">
        <f aca="false">HYPERLINK("https://www.ncbi.nlm.nih.gov/nuccore/CP000304.1?report=graph&amp;tracks=[key:gene_model_track,Options:GeneOnly]&amp;mk=1222890:1222909|offset_21|444444,1222868:1222887|offset_43|444444,1222823:1222842|offset_88|00cc00,1222803:1222822|offset_108|444444&amp;v=1222689:1223022&amp;c=444444", "offset 88")</f>
        <v>offset 88</v>
      </c>
    </row>
    <row r="4294" customFormat="false" ht="12.8" hidden="false" customHeight="false" outlineLevel="0" collapsed="false">
      <c r="A4294" s="0" t="s">
        <v>12</v>
      </c>
      <c r="B4294" s="0" t="n">
        <v>1222802</v>
      </c>
      <c r="C4294" s="0" t="n">
        <v>1222822</v>
      </c>
      <c r="D4294" s="0" t="s">
        <v>14360</v>
      </c>
      <c r="E4294" s="0" t="s">
        <v>89</v>
      </c>
      <c r="F4294" s="0" t="s">
        <v>90</v>
      </c>
      <c r="G4294" s="0" t="s">
        <v>16</v>
      </c>
      <c r="H4294" s="0" t="n">
        <v>108</v>
      </c>
      <c r="I4294" s="0" t="s">
        <v>14370</v>
      </c>
      <c r="J4294" s="0" t="s">
        <v>14371</v>
      </c>
      <c r="K4294" s="0" t="s">
        <v>14372</v>
      </c>
      <c r="L4294" s="0" t="str">
        <f aca="false">HYPERLINK("https://www.ncbi.nlm.nih.gov/nuccore/CP000304.1?report=graph&amp;tracks=[key:gene_model_track,Options:GeneOnly]&amp;mk=1222890:1222909|offset_21|444444,1222868:1222887|offset_43|444444,1222823:1222842|offset_88|444444,1222803:1222822|offset_108|00cc00&amp;v=1222689:1223022&amp;c=444444", "offset 108")</f>
        <v>offset 108</v>
      </c>
    </row>
    <row r="4295" customFormat="false" ht="12.8" hidden="false" customHeight="false" outlineLevel="0" collapsed="false">
      <c r="A4295" s="0" t="s">
        <v>12</v>
      </c>
      <c r="B4295" s="0" t="n">
        <v>1224170</v>
      </c>
      <c r="C4295" s="0" t="n">
        <v>1224190</v>
      </c>
      <c r="D4295" s="0" t="s">
        <v>14373</v>
      </c>
      <c r="E4295" s="0" t="s">
        <v>14374</v>
      </c>
      <c r="F4295" s="0" t="s">
        <v>90</v>
      </c>
      <c r="G4295" s="0" t="s">
        <v>32</v>
      </c>
      <c r="H4295" s="0" t="n">
        <v>0</v>
      </c>
      <c r="I4295" s="0" t="s">
        <v>14375</v>
      </c>
      <c r="J4295" s="0" t="s">
        <v>14376</v>
      </c>
      <c r="K4295" s="0" t="s">
        <v>14377</v>
      </c>
      <c r="L4295" s="0" t="str">
        <f aca="false">HYPERLINK("https://www.ncbi.nlm.nih.gov/nuccore/CP000304.1?report=graph&amp;tracks=[key:gene_model_track,Options:GeneOnly]&amp;mk=1224171:1224190|offset_0|00cc00,1224096:1224115|offset_75|444444,1224062:1224081|offset_109|444444,1224041:1224060|offset_130|444444&amp;v=1223970:1224260&amp;c=444444", "offset 0")</f>
        <v>offset 0</v>
      </c>
    </row>
    <row r="4296" customFormat="false" ht="12.8" hidden="false" customHeight="false" outlineLevel="0" collapsed="false">
      <c r="A4296" s="0" t="s">
        <v>12</v>
      </c>
      <c r="B4296" s="0" t="n">
        <v>1224095</v>
      </c>
      <c r="C4296" s="0" t="n">
        <v>1224115</v>
      </c>
      <c r="D4296" s="0" t="s">
        <v>14373</v>
      </c>
      <c r="E4296" s="0" t="s">
        <v>14374</v>
      </c>
      <c r="F4296" s="0" t="s">
        <v>90</v>
      </c>
      <c r="G4296" s="0" t="s">
        <v>16</v>
      </c>
      <c r="H4296" s="0" t="n">
        <v>75</v>
      </c>
      <c r="I4296" s="0" t="s">
        <v>14378</v>
      </c>
      <c r="J4296" s="0" t="s">
        <v>14379</v>
      </c>
      <c r="K4296" s="0" t="s">
        <v>14380</v>
      </c>
      <c r="L4296" s="0" t="str">
        <f aca="false">HYPERLINK("https://www.ncbi.nlm.nih.gov/nuccore/CP000304.1?report=graph&amp;tracks=[key:gene_model_track,Options:GeneOnly]&amp;mk=1224171:1224190|offset_0|444444,1224096:1224115|offset_75|00cc00,1224062:1224081|offset_109|444444,1224041:1224060|offset_130|444444&amp;v=1223970:1224260&amp;c=444444", "offset 75")</f>
        <v>offset 75</v>
      </c>
    </row>
    <row r="4297" customFormat="false" ht="12.8" hidden="false" customHeight="false" outlineLevel="0" collapsed="false">
      <c r="A4297" s="0" t="s">
        <v>12</v>
      </c>
      <c r="B4297" s="0" t="n">
        <v>1224061</v>
      </c>
      <c r="C4297" s="0" t="n">
        <v>1224081</v>
      </c>
      <c r="D4297" s="0" t="s">
        <v>14373</v>
      </c>
      <c r="E4297" s="0" t="s">
        <v>14374</v>
      </c>
      <c r="F4297" s="0" t="s">
        <v>90</v>
      </c>
      <c r="G4297" s="0" t="s">
        <v>32</v>
      </c>
      <c r="H4297" s="0" t="n">
        <v>109</v>
      </c>
      <c r="I4297" s="0" t="s">
        <v>14381</v>
      </c>
      <c r="J4297" s="0" t="s">
        <v>14382</v>
      </c>
      <c r="K4297" s="0" t="s">
        <v>14383</v>
      </c>
      <c r="L4297" s="0" t="str">
        <f aca="false">HYPERLINK("https://www.ncbi.nlm.nih.gov/nuccore/CP000304.1?report=graph&amp;tracks=[key:gene_model_track,Options:GeneOnly]&amp;mk=1224171:1224190|offset_0|444444,1224096:1224115|offset_75|444444,1224062:1224081|offset_109|00cc00,1224041:1224060|offset_130|444444&amp;v=1223970:1224260&amp;c=444444", "offset 109")</f>
        <v>offset 109</v>
      </c>
    </row>
    <row r="4298" customFormat="false" ht="12.8" hidden="false" customHeight="false" outlineLevel="0" collapsed="false">
      <c r="A4298" s="0" t="s">
        <v>12</v>
      </c>
      <c r="B4298" s="0" t="n">
        <v>1224040</v>
      </c>
      <c r="C4298" s="0" t="n">
        <v>1224060</v>
      </c>
      <c r="D4298" s="0" t="s">
        <v>14373</v>
      </c>
      <c r="E4298" s="0" t="s">
        <v>14374</v>
      </c>
      <c r="F4298" s="0" t="s">
        <v>90</v>
      </c>
      <c r="G4298" s="0" t="s">
        <v>16</v>
      </c>
      <c r="H4298" s="0" t="n">
        <v>130</v>
      </c>
      <c r="I4298" s="0" t="s">
        <v>14384</v>
      </c>
      <c r="J4298" s="0" t="s">
        <v>14385</v>
      </c>
      <c r="K4298" s="0" t="s">
        <v>14386</v>
      </c>
      <c r="L4298" s="0" t="str">
        <f aca="false">HYPERLINK("https://www.ncbi.nlm.nih.gov/nuccore/CP000304.1?report=graph&amp;tracks=[key:gene_model_track,Options:GeneOnly]&amp;mk=1224171:1224190|offset_0|444444,1224096:1224115|offset_75|444444,1224062:1224081|offset_109|444444,1224041:1224060|offset_130|00cc00&amp;v=1223970:1224260&amp;c=444444", "offset 130")</f>
        <v>offset 130</v>
      </c>
    </row>
    <row r="4299" customFormat="false" ht="12.8" hidden="false" customHeight="false" outlineLevel="0" collapsed="false">
      <c r="A4299" s="0" t="s">
        <v>12</v>
      </c>
      <c r="B4299" s="0" t="n">
        <v>1225195</v>
      </c>
      <c r="C4299" s="0" t="n">
        <v>1225215</v>
      </c>
      <c r="D4299" s="0" t="s">
        <v>14387</v>
      </c>
      <c r="E4299" s="0" t="s">
        <v>14388</v>
      </c>
      <c r="F4299" s="0" t="s">
        <v>90</v>
      </c>
      <c r="G4299" s="0" t="s">
        <v>36</v>
      </c>
      <c r="H4299" s="0" t="n">
        <v>9</v>
      </c>
      <c r="I4299" s="0" t="s">
        <v>14389</v>
      </c>
      <c r="J4299" s="0" t="s">
        <v>14390</v>
      </c>
      <c r="K4299" s="0" t="s">
        <v>14391</v>
      </c>
      <c r="L4299" s="0" t="str">
        <f aca="false">HYPERLINK("https://www.ncbi.nlm.nih.gov/nuccore/CP000304.1?report=graph&amp;tracks=[key:gene_model_track,Options:GeneOnly]&amp;mk=1225196:1225215|offset_9|00cc00,1225173:1225192|offset_32|444444,1225149:1225168|offset_56|444444,1225123:1225142|offset_82|444444&amp;v=1224995:1225342&amp;c=444444", "offset 9")</f>
        <v>offset 9</v>
      </c>
    </row>
    <row r="4300" customFormat="false" ht="12.8" hidden="false" customHeight="false" outlineLevel="0" collapsed="false">
      <c r="A4300" s="0" t="s">
        <v>12</v>
      </c>
      <c r="B4300" s="0" t="n">
        <v>1225172</v>
      </c>
      <c r="C4300" s="0" t="n">
        <v>1225192</v>
      </c>
      <c r="D4300" s="0" t="s">
        <v>14387</v>
      </c>
      <c r="E4300" s="0" t="s">
        <v>14388</v>
      </c>
      <c r="F4300" s="0" t="s">
        <v>90</v>
      </c>
      <c r="G4300" s="0" t="s">
        <v>26</v>
      </c>
      <c r="H4300" s="0" t="n">
        <v>32</v>
      </c>
      <c r="I4300" s="0" t="s">
        <v>14392</v>
      </c>
      <c r="J4300" s="0" t="s">
        <v>14393</v>
      </c>
      <c r="K4300" s="0" t="s">
        <v>14394</v>
      </c>
      <c r="L4300" s="0" t="str">
        <f aca="false">HYPERLINK("https://www.ncbi.nlm.nih.gov/nuccore/CP000304.1?report=graph&amp;tracks=[key:gene_model_track,Options:GeneOnly]&amp;mk=1225196:1225215|offset_9|444444,1225173:1225192|offset_32|00cc00,1225149:1225168|offset_56|444444,1225123:1225142|offset_82|444444&amp;v=1224995:1225342&amp;c=444444", "offset 32")</f>
        <v>offset 32</v>
      </c>
    </row>
    <row r="4301" customFormat="false" ht="12.8" hidden="false" customHeight="false" outlineLevel="0" collapsed="false">
      <c r="A4301" s="0" t="s">
        <v>12</v>
      </c>
      <c r="B4301" s="0" t="n">
        <v>1225148</v>
      </c>
      <c r="C4301" s="0" t="n">
        <v>1225168</v>
      </c>
      <c r="D4301" s="0" t="s">
        <v>14387</v>
      </c>
      <c r="E4301" s="0" t="s">
        <v>14388</v>
      </c>
      <c r="F4301" s="0" t="s">
        <v>90</v>
      </c>
      <c r="G4301" s="0" t="s">
        <v>26</v>
      </c>
      <c r="H4301" s="0" t="n">
        <v>56</v>
      </c>
      <c r="I4301" s="0" t="s">
        <v>14395</v>
      </c>
      <c r="J4301" s="0" t="s">
        <v>14396</v>
      </c>
      <c r="K4301" s="0" t="s">
        <v>14397</v>
      </c>
      <c r="L4301" s="0" t="str">
        <f aca="false">HYPERLINK("https://www.ncbi.nlm.nih.gov/nuccore/CP000304.1?report=graph&amp;tracks=[key:gene_model_track,Options:GeneOnly]&amp;mk=1225196:1225215|offset_9|444444,1225173:1225192|offset_32|444444,1225149:1225168|offset_56|00cc00,1225123:1225142|offset_82|444444&amp;v=1224995:1225342&amp;c=444444", "offset 56")</f>
        <v>offset 56</v>
      </c>
    </row>
    <row r="4302" customFormat="false" ht="12.8" hidden="false" customHeight="false" outlineLevel="0" collapsed="false">
      <c r="A4302" s="0" t="s">
        <v>12</v>
      </c>
      <c r="B4302" s="0" t="n">
        <v>1225122</v>
      </c>
      <c r="C4302" s="0" t="n">
        <v>1225142</v>
      </c>
      <c r="D4302" s="0" t="s">
        <v>14387</v>
      </c>
      <c r="E4302" s="0" t="s">
        <v>14388</v>
      </c>
      <c r="F4302" s="0" t="s">
        <v>90</v>
      </c>
      <c r="G4302" s="0" t="s">
        <v>26</v>
      </c>
      <c r="H4302" s="0" t="n">
        <v>82</v>
      </c>
      <c r="I4302" s="0" t="s">
        <v>14398</v>
      </c>
      <c r="J4302" s="0" t="s">
        <v>14399</v>
      </c>
      <c r="K4302" s="0" t="s">
        <v>14400</v>
      </c>
      <c r="L4302" s="0" t="str">
        <f aca="false">HYPERLINK("https://www.ncbi.nlm.nih.gov/nuccore/CP000304.1?report=graph&amp;tracks=[key:gene_model_track,Options:GeneOnly]&amp;mk=1225196:1225215|offset_9|444444,1225173:1225192|offset_32|444444,1225149:1225168|offset_56|444444,1225123:1225142|offset_82|00cc00&amp;v=1224995:1225342&amp;c=444444", "offset 82")</f>
        <v>offset 82</v>
      </c>
    </row>
    <row r="4303" customFormat="false" ht="12.8" hidden="false" customHeight="false" outlineLevel="0" collapsed="false">
      <c r="A4303" s="0" t="s">
        <v>12</v>
      </c>
      <c r="B4303" s="0" t="n">
        <v>1225317</v>
      </c>
      <c r="C4303" s="0" t="n">
        <v>1225337</v>
      </c>
      <c r="D4303" s="0" t="s">
        <v>14401</v>
      </c>
      <c r="E4303" s="0" t="s">
        <v>89</v>
      </c>
      <c r="F4303" s="0" t="s">
        <v>15</v>
      </c>
      <c r="G4303" s="0" t="s">
        <v>16</v>
      </c>
      <c r="H4303" s="0" t="n">
        <v>7</v>
      </c>
      <c r="I4303" s="0" t="s">
        <v>14402</v>
      </c>
      <c r="J4303" s="0" t="s">
        <v>14403</v>
      </c>
      <c r="K4303" s="0" t="s">
        <v>14404</v>
      </c>
      <c r="L4303" s="0" t="str">
        <f aca="false">HYPERLINK("https://www.ncbi.nlm.nih.gov/nuccore/CP000304.1?report=graph&amp;tracks=[key:gene_model_track,Options:GeneOnly]&amp;mk=1225318:1225337|offset_7|00cc00,1225352:1225371|offset_41|444444,1225400:1225419|offset_89|444444,1225451:1225470|offset_140|444444&amp;v=1225117:1225670&amp;c=444444", "offset 7")</f>
        <v>offset 7</v>
      </c>
    </row>
    <row r="4304" customFormat="false" ht="12.8" hidden="false" customHeight="false" outlineLevel="0" collapsed="false">
      <c r="A4304" s="0" t="s">
        <v>12</v>
      </c>
      <c r="B4304" s="0" t="n">
        <v>1225351</v>
      </c>
      <c r="C4304" s="0" t="n">
        <v>1225371</v>
      </c>
      <c r="D4304" s="0" t="s">
        <v>14401</v>
      </c>
      <c r="E4304" s="0" t="s">
        <v>89</v>
      </c>
      <c r="F4304" s="0" t="s">
        <v>15</v>
      </c>
      <c r="G4304" s="0" t="s">
        <v>36</v>
      </c>
      <c r="H4304" s="0" t="n">
        <v>41</v>
      </c>
      <c r="I4304" s="0" t="s">
        <v>14405</v>
      </c>
      <c r="J4304" s="0" t="s">
        <v>14406</v>
      </c>
      <c r="K4304" s="0" t="s">
        <v>14407</v>
      </c>
      <c r="L4304" s="0" t="str">
        <f aca="false">HYPERLINK("https://www.ncbi.nlm.nih.gov/nuccore/CP000304.1?report=graph&amp;tracks=[key:gene_model_track,Options:GeneOnly]&amp;mk=1225318:1225337|offset_7|444444,1225352:1225371|offset_41|00cc00,1225400:1225419|offset_89|444444,1225451:1225470|offset_140|444444&amp;v=1225117:1225670&amp;c=444444", "offset 41")</f>
        <v>offset 41</v>
      </c>
    </row>
    <row r="4305" customFormat="false" ht="12.8" hidden="false" customHeight="false" outlineLevel="0" collapsed="false">
      <c r="A4305" s="0" t="s">
        <v>12</v>
      </c>
      <c r="B4305" s="0" t="n">
        <v>1225399</v>
      </c>
      <c r="C4305" s="0" t="n">
        <v>1225419</v>
      </c>
      <c r="D4305" s="0" t="s">
        <v>14401</v>
      </c>
      <c r="E4305" s="0" t="s">
        <v>89</v>
      </c>
      <c r="F4305" s="0" t="s">
        <v>15</v>
      </c>
      <c r="G4305" s="0" t="s">
        <v>16</v>
      </c>
      <c r="H4305" s="0" t="n">
        <v>89</v>
      </c>
      <c r="I4305" s="0" t="s">
        <v>14408</v>
      </c>
      <c r="J4305" s="0" t="s">
        <v>14409</v>
      </c>
      <c r="K4305" s="0" t="s">
        <v>14410</v>
      </c>
      <c r="L4305" s="0" t="str">
        <f aca="false">HYPERLINK("https://www.ncbi.nlm.nih.gov/nuccore/CP000304.1?report=graph&amp;tracks=[key:gene_model_track,Options:GeneOnly]&amp;mk=1225318:1225337|offset_7|444444,1225352:1225371|offset_41|444444,1225400:1225419|offset_89|00cc00,1225451:1225470|offset_140|444444&amp;v=1225117:1225670&amp;c=444444", "offset 89")</f>
        <v>offset 89</v>
      </c>
    </row>
    <row r="4306" customFormat="false" ht="12.8" hidden="false" customHeight="false" outlineLevel="0" collapsed="false">
      <c r="A4306" s="0" t="s">
        <v>12</v>
      </c>
      <c r="B4306" s="0" t="n">
        <v>1225450</v>
      </c>
      <c r="C4306" s="0" t="n">
        <v>1225470</v>
      </c>
      <c r="D4306" s="0" t="s">
        <v>14401</v>
      </c>
      <c r="E4306" s="0" t="s">
        <v>89</v>
      </c>
      <c r="F4306" s="0" t="s">
        <v>15</v>
      </c>
      <c r="G4306" s="0" t="s">
        <v>32</v>
      </c>
      <c r="H4306" s="0" t="n">
        <v>140</v>
      </c>
      <c r="I4306" s="0" t="s">
        <v>14411</v>
      </c>
      <c r="J4306" s="0" t="s">
        <v>14412</v>
      </c>
      <c r="K4306" s="0" t="s">
        <v>14413</v>
      </c>
      <c r="L4306" s="0" t="str">
        <f aca="false">HYPERLINK("https://www.ncbi.nlm.nih.gov/nuccore/CP000304.1?report=graph&amp;tracks=[key:gene_model_track,Options:GeneOnly]&amp;mk=1225318:1225337|offset_7|444444,1225352:1225371|offset_41|444444,1225400:1225419|offset_89|444444,1225451:1225470|offset_140|00cc00&amp;v=1225117:1225670&amp;c=444444", "offset 140")</f>
        <v>offset 140</v>
      </c>
    </row>
    <row r="4307" customFormat="false" ht="12.8" hidden="false" customHeight="false" outlineLevel="0" collapsed="false">
      <c r="A4307" s="0" t="s">
        <v>12</v>
      </c>
      <c r="B4307" s="0" t="n">
        <v>1226025</v>
      </c>
      <c r="C4307" s="0" t="n">
        <v>1226045</v>
      </c>
      <c r="D4307" s="0" t="s">
        <v>14414</v>
      </c>
      <c r="E4307" s="0" t="s">
        <v>14415</v>
      </c>
      <c r="F4307" s="0" t="s">
        <v>15</v>
      </c>
      <c r="G4307" s="0" t="s">
        <v>36</v>
      </c>
      <c r="H4307" s="0" t="n">
        <v>6</v>
      </c>
      <c r="I4307" s="0" t="s">
        <v>14416</v>
      </c>
      <c r="J4307" s="0" t="s">
        <v>14417</v>
      </c>
      <c r="K4307" s="0" t="s">
        <v>14418</v>
      </c>
      <c r="L4307" s="0" t="str">
        <f aca="false">HYPERLINK("https://www.ncbi.nlm.nih.gov/nuccore/CP000304.1?report=graph&amp;tracks=[key:gene_model_track,Options:GeneOnly]&amp;mk=1226026:1226045|offset_6|00cc00,1226056:1226075|offset_36|444444,1226080:1226099|offset_60|444444,1226108:1226127|offset_88|444444&amp;v=1225825:1226327&amp;c=444444", "offset 6")</f>
        <v>offset 6</v>
      </c>
    </row>
    <row r="4308" customFormat="false" ht="12.8" hidden="false" customHeight="false" outlineLevel="0" collapsed="false">
      <c r="A4308" s="0" t="s">
        <v>12</v>
      </c>
      <c r="B4308" s="0" t="n">
        <v>1226055</v>
      </c>
      <c r="C4308" s="0" t="n">
        <v>1226075</v>
      </c>
      <c r="D4308" s="0" t="s">
        <v>14414</v>
      </c>
      <c r="E4308" s="0" t="s">
        <v>14415</v>
      </c>
      <c r="F4308" s="0" t="s">
        <v>15</v>
      </c>
      <c r="G4308" s="0" t="s">
        <v>36</v>
      </c>
      <c r="H4308" s="0" t="n">
        <v>36</v>
      </c>
      <c r="I4308" s="0" t="s">
        <v>14419</v>
      </c>
      <c r="J4308" s="0" t="s">
        <v>14420</v>
      </c>
      <c r="K4308" s="0" t="s">
        <v>14421</v>
      </c>
      <c r="L4308" s="0" t="str">
        <f aca="false">HYPERLINK("https://www.ncbi.nlm.nih.gov/nuccore/CP000304.1?report=graph&amp;tracks=[key:gene_model_track,Options:GeneOnly]&amp;mk=1226026:1226045|offset_6|444444,1226056:1226075|offset_36|00cc00,1226080:1226099|offset_60|444444,1226108:1226127|offset_88|444444&amp;v=1225825:1226327&amp;c=444444", "offset 36")</f>
        <v>offset 36</v>
      </c>
    </row>
    <row r="4309" customFormat="false" ht="12.8" hidden="false" customHeight="false" outlineLevel="0" collapsed="false">
      <c r="A4309" s="0" t="s">
        <v>12</v>
      </c>
      <c r="B4309" s="0" t="n">
        <v>1226079</v>
      </c>
      <c r="C4309" s="0" t="n">
        <v>1226099</v>
      </c>
      <c r="D4309" s="0" t="s">
        <v>14414</v>
      </c>
      <c r="E4309" s="0" t="s">
        <v>14415</v>
      </c>
      <c r="F4309" s="0" t="s">
        <v>15</v>
      </c>
      <c r="G4309" s="0" t="s">
        <v>36</v>
      </c>
      <c r="H4309" s="0" t="n">
        <v>60</v>
      </c>
      <c r="I4309" s="0" t="s">
        <v>14422</v>
      </c>
      <c r="J4309" s="0" t="s">
        <v>14423</v>
      </c>
      <c r="K4309" s="0" t="s">
        <v>14424</v>
      </c>
      <c r="L4309" s="0" t="str">
        <f aca="false">HYPERLINK("https://www.ncbi.nlm.nih.gov/nuccore/CP000304.1?report=graph&amp;tracks=[key:gene_model_track,Options:GeneOnly]&amp;mk=1226026:1226045|offset_6|444444,1226056:1226075|offset_36|444444,1226080:1226099|offset_60|00cc00,1226108:1226127|offset_88|444444&amp;v=1225825:1226327&amp;c=444444", "offset 60")</f>
        <v>offset 60</v>
      </c>
    </row>
    <row r="4310" customFormat="false" ht="12.8" hidden="false" customHeight="false" outlineLevel="0" collapsed="false">
      <c r="A4310" s="0" t="s">
        <v>12</v>
      </c>
      <c r="B4310" s="0" t="n">
        <v>1226107</v>
      </c>
      <c r="C4310" s="0" t="n">
        <v>1226127</v>
      </c>
      <c r="D4310" s="0" t="s">
        <v>14414</v>
      </c>
      <c r="E4310" s="0" t="s">
        <v>14415</v>
      </c>
      <c r="F4310" s="0" t="s">
        <v>15</v>
      </c>
      <c r="G4310" s="0" t="s">
        <v>16</v>
      </c>
      <c r="H4310" s="0" t="n">
        <v>88</v>
      </c>
      <c r="I4310" s="0" t="s">
        <v>14425</v>
      </c>
      <c r="J4310" s="0" t="s">
        <v>14426</v>
      </c>
      <c r="K4310" s="0" t="s">
        <v>14427</v>
      </c>
      <c r="L4310" s="0" t="str">
        <f aca="false">HYPERLINK("https://www.ncbi.nlm.nih.gov/nuccore/CP000304.1?report=graph&amp;tracks=[key:gene_model_track,Options:GeneOnly]&amp;mk=1226026:1226045|offset_6|444444,1226056:1226075|offset_36|444444,1226080:1226099|offset_60|444444,1226108:1226127|offset_88|00cc00&amp;v=1225825:1226327&amp;c=444444", "offset 88")</f>
        <v>offset 88</v>
      </c>
    </row>
    <row r="4311" customFormat="false" ht="12.8" hidden="false" customHeight="false" outlineLevel="0" collapsed="false">
      <c r="A4311" s="0" t="s">
        <v>12</v>
      </c>
      <c r="B4311" s="0" t="n">
        <v>1229727</v>
      </c>
      <c r="C4311" s="0" t="n">
        <v>1229747</v>
      </c>
      <c r="D4311" s="0" t="s">
        <v>14428</v>
      </c>
      <c r="E4311" s="0" t="s">
        <v>89</v>
      </c>
      <c r="F4311" s="0" t="s">
        <v>90</v>
      </c>
      <c r="G4311" s="0" t="s">
        <v>26</v>
      </c>
      <c r="H4311" s="0" t="n">
        <v>11</v>
      </c>
      <c r="I4311" s="0" t="s">
        <v>14429</v>
      </c>
      <c r="J4311" s="0" t="s">
        <v>14430</v>
      </c>
      <c r="K4311" s="0" t="s">
        <v>14431</v>
      </c>
      <c r="L4311" s="0" t="str">
        <f aca="false">HYPERLINK("https://www.ncbi.nlm.nih.gov/nuccore/CP000304.1?report=graph&amp;tracks=[key:gene_model_track,Options:GeneOnly]&amp;mk=1229728:1229747|offset_11|00cc00,1229707:1229726|offset_32|444444,1229672:1229691|offset_67|444444,1229627:1229646|offset_112|444444&amp;v=1229527:1229846&amp;c=444444", "offset 11")</f>
        <v>offset 11</v>
      </c>
    </row>
    <row r="4312" customFormat="false" ht="12.8" hidden="false" customHeight="false" outlineLevel="0" collapsed="false">
      <c r="A4312" s="0" t="s">
        <v>12</v>
      </c>
      <c r="B4312" s="0" t="n">
        <v>1229706</v>
      </c>
      <c r="C4312" s="0" t="n">
        <v>1229726</v>
      </c>
      <c r="D4312" s="0" t="s">
        <v>14428</v>
      </c>
      <c r="E4312" s="0" t="s">
        <v>89</v>
      </c>
      <c r="F4312" s="0" t="s">
        <v>90</v>
      </c>
      <c r="G4312" s="0" t="s">
        <v>26</v>
      </c>
      <c r="H4312" s="0" t="n">
        <v>32</v>
      </c>
      <c r="I4312" s="0" t="s">
        <v>14432</v>
      </c>
      <c r="J4312" s="0" t="s">
        <v>14433</v>
      </c>
      <c r="K4312" s="0" t="s">
        <v>14434</v>
      </c>
      <c r="L4312" s="0" t="str">
        <f aca="false">HYPERLINK("https://www.ncbi.nlm.nih.gov/nuccore/CP000304.1?report=graph&amp;tracks=[key:gene_model_track,Options:GeneOnly]&amp;mk=1229728:1229747|offset_11|444444,1229707:1229726|offset_32|00cc00,1229672:1229691|offset_67|444444,1229627:1229646|offset_112|444444&amp;v=1229527:1229846&amp;c=444444", "offset 32")</f>
        <v>offset 32</v>
      </c>
    </row>
    <row r="4313" customFormat="false" ht="12.8" hidden="false" customHeight="false" outlineLevel="0" collapsed="false">
      <c r="A4313" s="0" t="s">
        <v>12</v>
      </c>
      <c r="B4313" s="0" t="n">
        <v>1229671</v>
      </c>
      <c r="C4313" s="0" t="n">
        <v>1229691</v>
      </c>
      <c r="D4313" s="0" t="s">
        <v>14428</v>
      </c>
      <c r="E4313" s="0" t="s">
        <v>89</v>
      </c>
      <c r="F4313" s="0" t="s">
        <v>90</v>
      </c>
      <c r="G4313" s="0" t="s">
        <v>16</v>
      </c>
      <c r="H4313" s="0" t="n">
        <v>67</v>
      </c>
      <c r="I4313" s="0" t="s">
        <v>14435</v>
      </c>
      <c r="J4313" s="0" t="s">
        <v>14436</v>
      </c>
      <c r="K4313" s="0" t="s">
        <v>14437</v>
      </c>
      <c r="L4313" s="0" t="str">
        <f aca="false">HYPERLINK("https://www.ncbi.nlm.nih.gov/nuccore/CP000304.1?report=graph&amp;tracks=[key:gene_model_track,Options:GeneOnly]&amp;mk=1229728:1229747|offset_11|444444,1229707:1229726|offset_32|444444,1229672:1229691|offset_67|00cc00,1229627:1229646|offset_112|444444&amp;v=1229527:1229846&amp;c=444444", "offset 67")</f>
        <v>offset 67</v>
      </c>
    </row>
    <row r="4314" customFormat="false" ht="12.8" hidden="false" customHeight="false" outlineLevel="0" collapsed="false">
      <c r="A4314" s="0" t="s">
        <v>12</v>
      </c>
      <c r="B4314" s="0" t="n">
        <v>1229626</v>
      </c>
      <c r="C4314" s="0" t="n">
        <v>1229646</v>
      </c>
      <c r="D4314" s="0" t="s">
        <v>14428</v>
      </c>
      <c r="E4314" s="0" t="s">
        <v>89</v>
      </c>
      <c r="F4314" s="0" t="s">
        <v>90</v>
      </c>
      <c r="G4314" s="0" t="s">
        <v>32</v>
      </c>
      <c r="H4314" s="0" t="n">
        <v>112</v>
      </c>
      <c r="I4314" s="0" t="s">
        <v>14438</v>
      </c>
      <c r="J4314" s="0" t="s">
        <v>14439</v>
      </c>
      <c r="K4314" s="0" t="s">
        <v>14440</v>
      </c>
      <c r="L4314" s="0" t="str">
        <f aca="false">HYPERLINK("https://www.ncbi.nlm.nih.gov/nuccore/CP000304.1?report=graph&amp;tracks=[key:gene_model_track,Options:GeneOnly]&amp;mk=1229728:1229747|offset_11|444444,1229707:1229726|offset_32|444444,1229672:1229691|offset_67|444444,1229627:1229646|offset_112|00cc00&amp;v=1229527:1229846&amp;c=444444", "offset 112")</f>
        <v>offset 112</v>
      </c>
    </row>
    <row r="4315" customFormat="false" ht="12.8" hidden="false" customHeight="false" outlineLevel="0" collapsed="false">
      <c r="A4315" s="0" t="s">
        <v>12</v>
      </c>
      <c r="B4315" s="0" t="n">
        <v>1229946</v>
      </c>
      <c r="C4315" s="0" t="n">
        <v>1229966</v>
      </c>
      <c r="D4315" s="0" t="s">
        <v>14441</v>
      </c>
      <c r="E4315" s="0" t="s">
        <v>89</v>
      </c>
      <c r="F4315" s="0" t="s">
        <v>15</v>
      </c>
      <c r="G4315" s="0" t="s">
        <v>32</v>
      </c>
      <c r="H4315" s="0" t="n">
        <v>10</v>
      </c>
      <c r="I4315" s="0" t="s">
        <v>14442</v>
      </c>
      <c r="J4315" s="0" t="s">
        <v>14443</v>
      </c>
      <c r="K4315" s="0" t="s">
        <v>14444</v>
      </c>
      <c r="L4315" s="0" t="str">
        <f aca="false">HYPERLINK("https://www.ncbi.nlm.nih.gov/nuccore/CP000304.1?report=graph&amp;tracks=[key:gene_model_track,Options:GeneOnly]&amp;mk=1229947:1229966|offset_10|00cc00,1229974:1229993|offset_37|444444,1230007:1230026|offset_70|444444,1230037:1230056|offset_100|444444&amp;v=1229746:1230256&amp;c=444444", "offset 10")</f>
        <v>offset 10</v>
      </c>
    </row>
    <row r="4316" customFormat="false" ht="12.8" hidden="false" customHeight="false" outlineLevel="0" collapsed="false">
      <c r="A4316" s="0" t="s">
        <v>12</v>
      </c>
      <c r="B4316" s="0" t="n">
        <v>1229973</v>
      </c>
      <c r="C4316" s="0" t="n">
        <v>1229993</v>
      </c>
      <c r="D4316" s="0" t="s">
        <v>14441</v>
      </c>
      <c r="E4316" s="0" t="s">
        <v>89</v>
      </c>
      <c r="F4316" s="0" t="s">
        <v>15</v>
      </c>
      <c r="G4316" s="0" t="s">
        <v>26</v>
      </c>
      <c r="H4316" s="0" t="n">
        <v>37</v>
      </c>
      <c r="I4316" s="0" t="s">
        <v>14445</v>
      </c>
      <c r="J4316" s="0" t="s">
        <v>14446</v>
      </c>
      <c r="K4316" s="0" t="s">
        <v>14447</v>
      </c>
      <c r="L4316" s="0" t="str">
        <f aca="false">HYPERLINK("https://www.ncbi.nlm.nih.gov/nuccore/CP000304.1?report=graph&amp;tracks=[key:gene_model_track,Options:GeneOnly]&amp;mk=1229947:1229966|offset_10|444444,1229974:1229993|offset_37|00cc00,1230007:1230026|offset_70|444444,1230037:1230056|offset_100|444444&amp;v=1229746:1230256&amp;c=444444", "offset 37")</f>
        <v>offset 37</v>
      </c>
    </row>
    <row r="4317" customFormat="false" ht="12.8" hidden="false" customHeight="false" outlineLevel="0" collapsed="false">
      <c r="A4317" s="0" t="s">
        <v>12</v>
      </c>
      <c r="B4317" s="0" t="n">
        <v>1230006</v>
      </c>
      <c r="C4317" s="0" t="n">
        <v>1230026</v>
      </c>
      <c r="D4317" s="0" t="s">
        <v>14441</v>
      </c>
      <c r="E4317" s="0" t="s">
        <v>89</v>
      </c>
      <c r="F4317" s="0" t="s">
        <v>15</v>
      </c>
      <c r="G4317" s="0" t="s">
        <v>32</v>
      </c>
      <c r="H4317" s="0" t="n">
        <v>70</v>
      </c>
      <c r="I4317" s="0" t="s">
        <v>14448</v>
      </c>
      <c r="J4317" s="0" t="s">
        <v>14449</v>
      </c>
      <c r="K4317" s="0" t="s">
        <v>14450</v>
      </c>
      <c r="L4317" s="0" t="str">
        <f aca="false">HYPERLINK("https://www.ncbi.nlm.nih.gov/nuccore/CP000304.1?report=graph&amp;tracks=[key:gene_model_track,Options:GeneOnly]&amp;mk=1229947:1229966|offset_10|444444,1229974:1229993|offset_37|444444,1230007:1230026|offset_70|00cc00,1230037:1230056|offset_100|444444&amp;v=1229746:1230256&amp;c=444444", "offset 70")</f>
        <v>offset 70</v>
      </c>
    </row>
    <row r="4318" customFormat="false" ht="12.8" hidden="false" customHeight="false" outlineLevel="0" collapsed="false">
      <c r="A4318" s="0" t="s">
        <v>12</v>
      </c>
      <c r="B4318" s="0" t="n">
        <v>1230036</v>
      </c>
      <c r="C4318" s="0" t="n">
        <v>1230056</v>
      </c>
      <c r="D4318" s="0" t="s">
        <v>14441</v>
      </c>
      <c r="E4318" s="0" t="s">
        <v>89</v>
      </c>
      <c r="F4318" s="0" t="s">
        <v>15</v>
      </c>
      <c r="G4318" s="0" t="s">
        <v>32</v>
      </c>
      <c r="H4318" s="0" t="n">
        <v>100</v>
      </c>
      <c r="I4318" s="0" t="s">
        <v>14451</v>
      </c>
      <c r="J4318" s="0" t="s">
        <v>14452</v>
      </c>
      <c r="K4318" s="0" t="s">
        <v>14453</v>
      </c>
      <c r="L4318" s="0" t="str">
        <f aca="false">HYPERLINK("https://www.ncbi.nlm.nih.gov/nuccore/CP000304.1?report=graph&amp;tracks=[key:gene_model_track,Options:GeneOnly]&amp;mk=1229947:1229966|offset_10|444444,1229974:1229993|offset_37|444444,1230007:1230026|offset_70|444444,1230037:1230056|offset_100|00cc00&amp;v=1229746:1230256&amp;c=444444", "offset 100")</f>
        <v>offset 100</v>
      </c>
    </row>
    <row r="4319" customFormat="false" ht="12.8" hidden="false" customHeight="false" outlineLevel="0" collapsed="false">
      <c r="A4319" s="0" t="s">
        <v>12</v>
      </c>
      <c r="B4319" s="0" t="n">
        <v>1230741</v>
      </c>
      <c r="C4319" s="0" t="n">
        <v>1230761</v>
      </c>
      <c r="D4319" s="0" t="s">
        <v>14454</v>
      </c>
      <c r="E4319" s="0" t="s">
        <v>89</v>
      </c>
      <c r="F4319" s="0" t="s">
        <v>15</v>
      </c>
      <c r="G4319" s="0" t="s">
        <v>16</v>
      </c>
      <c r="H4319" s="0" t="n">
        <v>22</v>
      </c>
      <c r="I4319" s="0" t="s">
        <v>14455</v>
      </c>
      <c r="J4319" s="0" t="s">
        <v>14456</v>
      </c>
      <c r="K4319" s="0" t="s">
        <v>14457</v>
      </c>
      <c r="L4319" s="0" t="str">
        <f aca="false">HYPERLINK("https://www.ncbi.nlm.nih.gov/nuccore/CP000304.1?report=graph&amp;tracks=[key:gene_model_track,Options:GeneOnly]&amp;mk=1230742:1230761|offset_22|00cc00,1230781:1230800|offset_61|444444,1230811:1230830|offset_91|444444,1230868:1230887|offset_148|444444&amp;v=1230541:1231087&amp;c=444444", "offset 22")</f>
        <v>offset 22</v>
      </c>
    </row>
    <row r="4320" customFormat="false" ht="12.8" hidden="false" customHeight="false" outlineLevel="0" collapsed="false">
      <c r="A4320" s="0" t="s">
        <v>12</v>
      </c>
      <c r="B4320" s="0" t="n">
        <v>1230780</v>
      </c>
      <c r="C4320" s="0" t="n">
        <v>1230800</v>
      </c>
      <c r="D4320" s="0" t="s">
        <v>14454</v>
      </c>
      <c r="E4320" s="0" t="s">
        <v>89</v>
      </c>
      <c r="F4320" s="0" t="s">
        <v>15</v>
      </c>
      <c r="G4320" s="0" t="s">
        <v>32</v>
      </c>
      <c r="H4320" s="0" t="n">
        <v>61</v>
      </c>
      <c r="I4320" s="0" t="s">
        <v>14458</v>
      </c>
      <c r="J4320" s="0" t="s">
        <v>14459</v>
      </c>
      <c r="K4320" s="0" t="s">
        <v>14460</v>
      </c>
      <c r="L4320" s="0" t="str">
        <f aca="false">HYPERLINK("https://www.ncbi.nlm.nih.gov/nuccore/CP000304.1?report=graph&amp;tracks=[key:gene_model_track,Options:GeneOnly]&amp;mk=1230742:1230761|offset_22|444444,1230781:1230800|offset_61|00cc00,1230811:1230830|offset_91|444444,1230868:1230887|offset_148|444444&amp;v=1230541:1231087&amp;c=444444", "offset 61")</f>
        <v>offset 61</v>
      </c>
    </row>
    <row r="4321" customFormat="false" ht="12.8" hidden="false" customHeight="false" outlineLevel="0" collapsed="false">
      <c r="A4321" s="0" t="s">
        <v>12</v>
      </c>
      <c r="B4321" s="0" t="n">
        <v>1230810</v>
      </c>
      <c r="C4321" s="0" t="n">
        <v>1230830</v>
      </c>
      <c r="D4321" s="0" t="s">
        <v>14454</v>
      </c>
      <c r="E4321" s="0" t="s">
        <v>89</v>
      </c>
      <c r="F4321" s="0" t="s">
        <v>15</v>
      </c>
      <c r="G4321" s="0" t="s">
        <v>16</v>
      </c>
      <c r="H4321" s="0" t="n">
        <v>91</v>
      </c>
      <c r="I4321" s="0" t="s">
        <v>14461</v>
      </c>
      <c r="J4321" s="0" t="s">
        <v>14462</v>
      </c>
      <c r="K4321" s="0" t="s">
        <v>14463</v>
      </c>
      <c r="L4321" s="0" t="str">
        <f aca="false">HYPERLINK("https://www.ncbi.nlm.nih.gov/nuccore/CP000304.1?report=graph&amp;tracks=[key:gene_model_track,Options:GeneOnly]&amp;mk=1230742:1230761|offset_22|444444,1230781:1230800|offset_61|444444,1230811:1230830|offset_91|00cc00,1230868:1230887|offset_148|444444&amp;v=1230541:1231087&amp;c=444444", "offset 91")</f>
        <v>offset 91</v>
      </c>
    </row>
    <row r="4322" customFormat="false" ht="12.8" hidden="false" customHeight="false" outlineLevel="0" collapsed="false">
      <c r="A4322" s="0" t="s">
        <v>12</v>
      </c>
      <c r="B4322" s="0" t="n">
        <v>1230867</v>
      </c>
      <c r="C4322" s="0" t="n">
        <v>1230887</v>
      </c>
      <c r="D4322" s="0" t="s">
        <v>14454</v>
      </c>
      <c r="E4322" s="0" t="s">
        <v>89</v>
      </c>
      <c r="F4322" s="0" t="s">
        <v>15</v>
      </c>
      <c r="G4322" s="0" t="s">
        <v>16</v>
      </c>
      <c r="H4322" s="0" t="n">
        <v>148</v>
      </c>
      <c r="I4322" s="0" t="s">
        <v>14464</v>
      </c>
      <c r="J4322" s="0" t="s">
        <v>14465</v>
      </c>
      <c r="K4322" s="0" t="s">
        <v>14466</v>
      </c>
      <c r="L4322" s="0" t="str">
        <f aca="false">HYPERLINK("https://www.ncbi.nlm.nih.gov/nuccore/CP000304.1?report=graph&amp;tracks=[key:gene_model_track,Options:GeneOnly]&amp;mk=1230742:1230761|offset_22|444444,1230781:1230800|offset_61|444444,1230811:1230830|offset_91|444444,1230868:1230887|offset_148|00cc00&amp;v=1230541:1231087&amp;c=444444", "offset 148")</f>
        <v>offset 148</v>
      </c>
    </row>
    <row r="4323" customFormat="false" ht="12.8" hidden="false" customHeight="false" outlineLevel="0" collapsed="false">
      <c r="A4323" s="0" t="s">
        <v>12</v>
      </c>
      <c r="B4323" s="0" t="n">
        <v>1231535</v>
      </c>
      <c r="C4323" s="0" t="n">
        <v>1231555</v>
      </c>
      <c r="D4323" s="0" t="s">
        <v>14467</v>
      </c>
      <c r="E4323" s="0" t="s">
        <v>89</v>
      </c>
      <c r="F4323" s="0" t="s">
        <v>15</v>
      </c>
      <c r="G4323" s="0" t="s">
        <v>36</v>
      </c>
      <c r="H4323" s="0" t="n">
        <v>15</v>
      </c>
      <c r="I4323" s="0" t="s">
        <v>14468</v>
      </c>
      <c r="J4323" s="0" t="s">
        <v>14469</v>
      </c>
      <c r="K4323" s="0" t="s">
        <v>14470</v>
      </c>
      <c r="L4323" s="0" t="str">
        <f aca="false">HYPERLINK("https://www.ncbi.nlm.nih.gov/nuccore/CP000304.1?report=graph&amp;tracks=[key:gene_model_track,Options:GeneOnly]&amp;mk=1231536:1231555|offset_15|00cc00,1231558:1231577|offset_37|444444,1231585:1231604|offset_64|444444,1231631:1231650|offset_110|444444&amp;v=1231335:1231850&amp;c=444444", "offset 15")</f>
        <v>offset 15</v>
      </c>
    </row>
    <row r="4324" customFormat="false" ht="12.8" hidden="false" customHeight="false" outlineLevel="0" collapsed="false">
      <c r="A4324" s="0" t="s">
        <v>12</v>
      </c>
      <c r="B4324" s="0" t="n">
        <v>1231557</v>
      </c>
      <c r="C4324" s="0" t="n">
        <v>1231577</v>
      </c>
      <c r="D4324" s="0" t="s">
        <v>14467</v>
      </c>
      <c r="E4324" s="0" t="s">
        <v>89</v>
      </c>
      <c r="F4324" s="0" t="s">
        <v>15</v>
      </c>
      <c r="G4324" s="0" t="s">
        <v>26</v>
      </c>
      <c r="H4324" s="0" t="n">
        <v>37</v>
      </c>
      <c r="I4324" s="0" t="s">
        <v>14471</v>
      </c>
      <c r="J4324" s="0" t="s">
        <v>14472</v>
      </c>
      <c r="K4324" s="0" t="s">
        <v>14473</v>
      </c>
      <c r="L4324" s="0" t="str">
        <f aca="false">HYPERLINK("https://www.ncbi.nlm.nih.gov/nuccore/CP000304.1?report=graph&amp;tracks=[key:gene_model_track,Options:GeneOnly]&amp;mk=1231536:1231555|offset_15|444444,1231558:1231577|offset_37|00cc00,1231585:1231604|offset_64|444444,1231631:1231650|offset_110|444444&amp;v=1231335:1231850&amp;c=444444", "offset 37")</f>
        <v>offset 37</v>
      </c>
    </row>
    <row r="4325" customFormat="false" ht="12.8" hidden="false" customHeight="false" outlineLevel="0" collapsed="false">
      <c r="A4325" s="0" t="s">
        <v>12</v>
      </c>
      <c r="B4325" s="0" t="n">
        <v>1231584</v>
      </c>
      <c r="C4325" s="0" t="n">
        <v>1231604</v>
      </c>
      <c r="D4325" s="0" t="s">
        <v>14467</v>
      </c>
      <c r="E4325" s="0" t="s">
        <v>89</v>
      </c>
      <c r="F4325" s="0" t="s">
        <v>15</v>
      </c>
      <c r="G4325" s="0" t="s">
        <v>36</v>
      </c>
      <c r="H4325" s="0" t="n">
        <v>64</v>
      </c>
      <c r="I4325" s="0" t="s">
        <v>14474</v>
      </c>
      <c r="J4325" s="0" t="s">
        <v>14475</v>
      </c>
      <c r="K4325" s="0" t="s">
        <v>14476</v>
      </c>
      <c r="L4325" s="0" t="str">
        <f aca="false">HYPERLINK("https://www.ncbi.nlm.nih.gov/nuccore/CP000304.1?report=graph&amp;tracks=[key:gene_model_track,Options:GeneOnly]&amp;mk=1231536:1231555|offset_15|444444,1231558:1231577|offset_37|444444,1231585:1231604|offset_64|00cc00,1231631:1231650|offset_110|444444&amp;v=1231335:1231850&amp;c=444444", "offset 64")</f>
        <v>offset 64</v>
      </c>
    </row>
    <row r="4326" customFormat="false" ht="12.8" hidden="false" customHeight="false" outlineLevel="0" collapsed="false">
      <c r="A4326" s="0" t="s">
        <v>12</v>
      </c>
      <c r="B4326" s="0" t="n">
        <v>1231630</v>
      </c>
      <c r="C4326" s="0" t="n">
        <v>1231650</v>
      </c>
      <c r="D4326" s="0" t="s">
        <v>14467</v>
      </c>
      <c r="E4326" s="0" t="s">
        <v>89</v>
      </c>
      <c r="F4326" s="0" t="s">
        <v>15</v>
      </c>
      <c r="G4326" s="0" t="s">
        <v>32</v>
      </c>
      <c r="H4326" s="0" t="n">
        <v>110</v>
      </c>
      <c r="I4326" s="0" t="s">
        <v>14477</v>
      </c>
      <c r="J4326" s="0" t="s">
        <v>14478</v>
      </c>
      <c r="K4326" s="0" t="s">
        <v>14479</v>
      </c>
      <c r="L4326" s="0" t="str">
        <f aca="false">HYPERLINK("https://www.ncbi.nlm.nih.gov/nuccore/CP000304.1?report=graph&amp;tracks=[key:gene_model_track,Options:GeneOnly]&amp;mk=1231536:1231555|offset_15|444444,1231558:1231577|offset_37|444444,1231585:1231604|offset_64|444444,1231631:1231650|offset_110|00cc00&amp;v=1231335:1231850&amp;c=444444", "offset 110")</f>
        <v>offset 110</v>
      </c>
    </row>
    <row r="4327" customFormat="false" ht="12.8" hidden="false" customHeight="false" outlineLevel="0" collapsed="false">
      <c r="A4327" s="0" t="s">
        <v>12</v>
      </c>
      <c r="B4327" s="0" t="n">
        <v>1235391</v>
      </c>
      <c r="C4327" s="0" t="n">
        <v>1235411</v>
      </c>
      <c r="D4327" s="0" t="s">
        <v>14480</v>
      </c>
      <c r="E4327" s="0" t="s">
        <v>89</v>
      </c>
      <c r="F4327" s="0" t="s">
        <v>15</v>
      </c>
      <c r="G4327" s="0" t="s">
        <v>32</v>
      </c>
      <c r="H4327" s="0" t="n">
        <v>25</v>
      </c>
      <c r="I4327" s="0" t="s">
        <v>14481</v>
      </c>
      <c r="J4327" s="0" t="s">
        <v>14482</v>
      </c>
      <c r="K4327" s="0" t="s">
        <v>14483</v>
      </c>
      <c r="L4327" s="0" t="str">
        <f aca="false">HYPERLINK("https://www.ncbi.nlm.nih.gov/nuccore/CP000304.1?report=graph&amp;tracks=[key:gene_model_track,Options:GeneOnly]&amp;mk=1235392:1235411|offset_25|00cc00,1235437:1235456|offset_70|444444,1235491:1235510|offset_124|444444,1235612:1235631|offset_245|444444&amp;v=1235191:1235831&amp;c=444444", "offset 25")</f>
        <v>offset 25</v>
      </c>
    </row>
    <row r="4328" customFormat="false" ht="12.8" hidden="false" customHeight="false" outlineLevel="0" collapsed="false">
      <c r="A4328" s="0" t="s">
        <v>12</v>
      </c>
      <c r="B4328" s="0" t="n">
        <v>1235436</v>
      </c>
      <c r="C4328" s="0" t="n">
        <v>1235456</v>
      </c>
      <c r="D4328" s="0" t="s">
        <v>14480</v>
      </c>
      <c r="E4328" s="0" t="s">
        <v>89</v>
      </c>
      <c r="F4328" s="0" t="s">
        <v>15</v>
      </c>
      <c r="G4328" s="0" t="s">
        <v>32</v>
      </c>
      <c r="H4328" s="0" t="n">
        <v>70</v>
      </c>
      <c r="I4328" s="0" t="s">
        <v>14484</v>
      </c>
      <c r="J4328" s="0" t="s">
        <v>14485</v>
      </c>
      <c r="K4328" s="0" t="s">
        <v>14486</v>
      </c>
      <c r="L4328" s="0" t="str">
        <f aca="false">HYPERLINK("https://www.ncbi.nlm.nih.gov/nuccore/CP000304.1?report=graph&amp;tracks=[key:gene_model_track,Options:GeneOnly]&amp;mk=1235392:1235411|offset_25|444444,1235437:1235456|offset_70|00cc00,1235491:1235510|offset_124|444444,1235612:1235631|offset_245|444444&amp;v=1235191:1235831&amp;c=444444", "offset 70")</f>
        <v>offset 70</v>
      </c>
    </row>
    <row r="4329" customFormat="false" ht="12.8" hidden="false" customHeight="false" outlineLevel="0" collapsed="false">
      <c r="A4329" s="0" t="s">
        <v>12</v>
      </c>
      <c r="B4329" s="0" t="n">
        <v>1235490</v>
      </c>
      <c r="C4329" s="0" t="n">
        <v>1235510</v>
      </c>
      <c r="D4329" s="0" t="s">
        <v>14480</v>
      </c>
      <c r="E4329" s="0" t="s">
        <v>89</v>
      </c>
      <c r="F4329" s="0" t="s">
        <v>15</v>
      </c>
      <c r="G4329" s="0" t="s">
        <v>16</v>
      </c>
      <c r="H4329" s="0" t="n">
        <v>124</v>
      </c>
      <c r="I4329" s="0" t="s">
        <v>14487</v>
      </c>
      <c r="J4329" s="0" t="s">
        <v>14488</v>
      </c>
      <c r="K4329" s="0" t="s">
        <v>14489</v>
      </c>
      <c r="L4329" s="0" t="str">
        <f aca="false">HYPERLINK("https://www.ncbi.nlm.nih.gov/nuccore/CP000304.1?report=graph&amp;tracks=[key:gene_model_track,Options:GeneOnly]&amp;mk=1235392:1235411|offset_25|444444,1235437:1235456|offset_70|444444,1235491:1235510|offset_124|00cc00,1235612:1235631|offset_245|444444&amp;v=1235191:1235831&amp;c=444444", "offset 124")</f>
        <v>offset 124</v>
      </c>
    </row>
    <row r="4330" customFormat="false" ht="12.8" hidden="false" customHeight="false" outlineLevel="0" collapsed="false">
      <c r="A4330" s="0" t="s">
        <v>12</v>
      </c>
      <c r="B4330" s="0" t="n">
        <v>1235611</v>
      </c>
      <c r="C4330" s="0" t="n">
        <v>1235631</v>
      </c>
      <c r="D4330" s="0" t="s">
        <v>14480</v>
      </c>
      <c r="E4330" s="0" t="s">
        <v>89</v>
      </c>
      <c r="F4330" s="0" t="s">
        <v>15</v>
      </c>
      <c r="G4330" s="0" t="s">
        <v>36</v>
      </c>
      <c r="H4330" s="0" t="n">
        <v>245</v>
      </c>
      <c r="I4330" s="0" t="s">
        <v>14490</v>
      </c>
      <c r="J4330" s="0" t="s">
        <v>14491</v>
      </c>
      <c r="K4330" s="0" t="s">
        <v>14492</v>
      </c>
      <c r="L4330" s="0" t="str">
        <f aca="false">HYPERLINK("https://www.ncbi.nlm.nih.gov/nuccore/CP000304.1?report=graph&amp;tracks=[key:gene_model_track,Options:GeneOnly]&amp;mk=1235392:1235411|offset_25|444444,1235437:1235456|offset_70|444444,1235491:1235510|offset_124|444444,1235612:1235631|offset_245|00cc00&amp;v=1235191:1235831&amp;c=444444", "offset 245")</f>
        <v>offset 245</v>
      </c>
    </row>
    <row r="4331" customFormat="false" ht="12.8" hidden="false" customHeight="false" outlineLevel="0" collapsed="false">
      <c r="A4331" s="0" t="s">
        <v>12</v>
      </c>
      <c r="B4331" s="0" t="n">
        <v>1238369</v>
      </c>
      <c r="C4331" s="0" t="n">
        <v>1238389</v>
      </c>
      <c r="D4331" s="0" t="s">
        <v>14493</v>
      </c>
      <c r="E4331" s="0" t="s">
        <v>89</v>
      </c>
      <c r="F4331" s="0" t="s">
        <v>90</v>
      </c>
      <c r="G4331" s="0" t="s">
        <v>26</v>
      </c>
      <c r="H4331" s="0" t="n">
        <v>14</v>
      </c>
      <c r="I4331" s="0" t="s">
        <v>14494</v>
      </c>
      <c r="J4331" s="0" t="s">
        <v>14495</v>
      </c>
      <c r="K4331" s="0" t="s">
        <v>14496</v>
      </c>
      <c r="L4331" s="0" t="str">
        <f aca="false">HYPERLINK("https://www.ncbi.nlm.nih.gov/nuccore/CP000304.1?report=graph&amp;tracks=[key:gene_model_track,Options:GeneOnly]&amp;mk=1238370:1238389|offset_14|00cc00,1238341:1238360|offset_43|444444,1238317:1238336|offset_67|444444,1238290:1238309|offset_94|444444&amp;v=1238169:1238509&amp;c=444444", "offset 14")</f>
        <v>offset 14</v>
      </c>
    </row>
    <row r="4332" customFormat="false" ht="12.8" hidden="false" customHeight="false" outlineLevel="0" collapsed="false">
      <c r="A4332" s="0" t="s">
        <v>12</v>
      </c>
      <c r="B4332" s="0" t="n">
        <v>1238340</v>
      </c>
      <c r="C4332" s="0" t="n">
        <v>1238360</v>
      </c>
      <c r="D4332" s="0" t="s">
        <v>14493</v>
      </c>
      <c r="E4332" s="0" t="s">
        <v>89</v>
      </c>
      <c r="F4332" s="0" t="s">
        <v>90</v>
      </c>
      <c r="G4332" s="0" t="s">
        <v>16</v>
      </c>
      <c r="H4332" s="0" t="n">
        <v>43</v>
      </c>
      <c r="I4332" s="0" t="s">
        <v>14497</v>
      </c>
      <c r="J4332" s="0" t="s">
        <v>14498</v>
      </c>
      <c r="K4332" s="0" t="s">
        <v>14499</v>
      </c>
      <c r="L4332" s="0" t="str">
        <f aca="false">HYPERLINK("https://www.ncbi.nlm.nih.gov/nuccore/CP000304.1?report=graph&amp;tracks=[key:gene_model_track,Options:GeneOnly]&amp;mk=1238370:1238389|offset_14|444444,1238341:1238360|offset_43|00cc00,1238317:1238336|offset_67|444444,1238290:1238309|offset_94|444444&amp;v=1238169:1238509&amp;c=444444", "offset 43")</f>
        <v>offset 43</v>
      </c>
    </row>
    <row r="4333" customFormat="false" ht="12.8" hidden="false" customHeight="false" outlineLevel="0" collapsed="false">
      <c r="A4333" s="0" t="s">
        <v>12</v>
      </c>
      <c r="B4333" s="0" t="n">
        <v>1238316</v>
      </c>
      <c r="C4333" s="0" t="n">
        <v>1238336</v>
      </c>
      <c r="D4333" s="0" t="s">
        <v>14493</v>
      </c>
      <c r="E4333" s="0" t="s">
        <v>89</v>
      </c>
      <c r="F4333" s="0" t="s">
        <v>90</v>
      </c>
      <c r="G4333" s="0" t="s">
        <v>36</v>
      </c>
      <c r="H4333" s="0" t="n">
        <v>67</v>
      </c>
      <c r="I4333" s="0" t="s">
        <v>14500</v>
      </c>
      <c r="J4333" s="0" t="s">
        <v>14501</v>
      </c>
      <c r="K4333" s="0" t="s">
        <v>14502</v>
      </c>
      <c r="L4333" s="0" t="str">
        <f aca="false">HYPERLINK("https://www.ncbi.nlm.nih.gov/nuccore/CP000304.1?report=graph&amp;tracks=[key:gene_model_track,Options:GeneOnly]&amp;mk=1238370:1238389|offset_14|444444,1238341:1238360|offset_43|444444,1238317:1238336|offset_67|00cc00,1238290:1238309|offset_94|444444&amp;v=1238169:1238509&amp;c=444444", "offset 67")</f>
        <v>offset 67</v>
      </c>
    </row>
    <row r="4334" customFormat="false" ht="12.8" hidden="false" customHeight="false" outlineLevel="0" collapsed="false">
      <c r="A4334" s="0" t="s">
        <v>12</v>
      </c>
      <c r="B4334" s="0" t="n">
        <v>1238289</v>
      </c>
      <c r="C4334" s="0" t="n">
        <v>1238309</v>
      </c>
      <c r="D4334" s="0" t="s">
        <v>14493</v>
      </c>
      <c r="E4334" s="0" t="s">
        <v>89</v>
      </c>
      <c r="F4334" s="0" t="s">
        <v>90</v>
      </c>
      <c r="G4334" s="0" t="s">
        <v>36</v>
      </c>
      <c r="H4334" s="0" t="n">
        <v>94</v>
      </c>
      <c r="I4334" s="0" t="s">
        <v>14503</v>
      </c>
      <c r="J4334" s="0" t="s">
        <v>14504</v>
      </c>
      <c r="K4334" s="0" t="s">
        <v>14505</v>
      </c>
      <c r="L4334" s="0" t="str">
        <f aca="false">HYPERLINK("https://www.ncbi.nlm.nih.gov/nuccore/CP000304.1?report=graph&amp;tracks=[key:gene_model_track,Options:GeneOnly]&amp;mk=1238370:1238389|offset_14|444444,1238341:1238360|offset_43|444444,1238317:1238336|offset_67|444444,1238290:1238309|offset_94|00cc00&amp;v=1238169:1238509&amp;c=444444", "offset 94")</f>
        <v>offset 94</v>
      </c>
    </row>
    <row r="4335" customFormat="false" ht="12.8" hidden="false" customHeight="false" outlineLevel="0" collapsed="false">
      <c r="A4335" s="0" t="s">
        <v>12</v>
      </c>
      <c r="B4335" s="0" t="n">
        <v>1240611</v>
      </c>
      <c r="C4335" s="0" t="n">
        <v>1240631</v>
      </c>
      <c r="D4335" s="0" t="s">
        <v>14506</v>
      </c>
      <c r="E4335" s="0" t="s">
        <v>14507</v>
      </c>
      <c r="F4335" s="0" t="s">
        <v>90</v>
      </c>
      <c r="G4335" s="0" t="s">
        <v>32</v>
      </c>
      <c r="H4335" s="0" t="n">
        <v>1</v>
      </c>
      <c r="I4335" s="0" t="s">
        <v>14508</v>
      </c>
      <c r="J4335" s="0" t="s">
        <v>14509</v>
      </c>
      <c r="K4335" s="0" t="s">
        <v>14510</v>
      </c>
      <c r="L4335" s="0" t="str">
        <f aca="false">HYPERLINK("https://www.ncbi.nlm.nih.gov/nuccore/CP000304.1?report=graph&amp;tracks=[key:gene_model_track,Options:GeneOnly]&amp;mk=1240612:1240631|offset_1|00cc00,1240591:1240610|offset_22|444444,1240569:1240588|offset_44|444444,1240548:1240567|offset_65|444444&amp;v=1240411:1240767&amp;c=444444", "offset 1")</f>
        <v>offset 1</v>
      </c>
    </row>
    <row r="4336" customFormat="false" ht="12.8" hidden="false" customHeight="false" outlineLevel="0" collapsed="false">
      <c r="A4336" s="0" t="s">
        <v>12</v>
      </c>
      <c r="B4336" s="0" t="n">
        <v>1240590</v>
      </c>
      <c r="C4336" s="0" t="n">
        <v>1240610</v>
      </c>
      <c r="D4336" s="0" t="s">
        <v>14506</v>
      </c>
      <c r="E4336" s="0" t="s">
        <v>14507</v>
      </c>
      <c r="F4336" s="0" t="s">
        <v>90</v>
      </c>
      <c r="G4336" s="0" t="s">
        <v>36</v>
      </c>
      <c r="H4336" s="0" t="n">
        <v>22</v>
      </c>
      <c r="I4336" s="0" t="s">
        <v>14511</v>
      </c>
      <c r="J4336" s="0" t="s">
        <v>14512</v>
      </c>
      <c r="K4336" s="0" t="s">
        <v>14513</v>
      </c>
      <c r="L4336" s="0" t="str">
        <f aca="false">HYPERLINK("https://www.ncbi.nlm.nih.gov/nuccore/CP000304.1?report=graph&amp;tracks=[key:gene_model_track,Options:GeneOnly]&amp;mk=1240612:1240631|offset_1|444444,1240591:1240610|offset_22|00cc00,1240569:1240588|offset_44|444444,1240548:1240567|offset_65|444444&amp;v=1240411:1240767&amp;c=444444", "offset 22")</f>
        <v>offset 22</v>
      </c>
    </row>
    <row r="4337" customFormat="false" ht="12.8" hidden="false" customHeight="false" outlineLevel="0" collapsed="false">
      <c r="A4337" s="0" t="s">
        <v>12</v>
      </c>
      <c r="B4337" s="0" t="n">
        <v>1240568</v>
      </c>
      <c r="C4337" s="0" t="n">
        <v>1240588</v>
      </c>
      <c r="D4337" s="0" t="s">
        <v>14506</v>
      </c>
      <c r="E4337" s="0" t="s">
        <v>14507</v>
      </c>
      <c r="F4337" s="0" t="s">
        <v>90</v>
      </c>
      <c r="G4337" s="0" t="s">
        <v>26</v>
      </c>
      <c r="H4337" s="0" t="n">
        <v>44</v>
      </c>
      <c r="I4337" s="0" t="s">
        <v>14514</v>
      </c>
      <c r="J4337" s="0" t="s">
        <v>14515</v>
      </c>
      <c r="K4337" s="0" t="s">
        <v>14516</v>
      </c>
      <c r="L4337" s="0" t="str">
        <f aca="false">HYPERLINK("https://www.ncbi.nlm.nih.gov/nuccore/CP000304.1?report=graph&amp;tracks=[key:gene_model_track,Options:GeneOnly]&amp;mk=1240612:1240631|offset_1|444444,1240591:1240610|offset_22|444444,1240569:1240588|offset_44|00cc00,1240548:1240567|offset_65|444444&amp;v=1240411:1240767&amp;c=444444", "offset 44")</f>
        <v>offset 44</v>
      </c>
    </row>
    <row r="4338" customFormat="false" ht="12.8" hidden="false" customHeight="false" outlineLevel="0" collapsed="false">
      <c r="A4338" s="0" t="s">
        <v>12</v>
      </c>
      <c r="B4338" s="0" t="n">
        <v>1240547</v>
      </c>
      <c r="C4338" s="0" t="n">
        <v>1240567</v>
      </c>
      <c r="D4338" s="0" t="s">
        <v>14506</v>
      </c>
      <c r="E4338" s="0" t="s">
        <v>14507</v>
      </c>
      <c r="F4338" s="0" t="s">
        <v>90</v>
      </c>
      <c r="G4338" s="0" t="s">
        <v>26</v>
      </c>
      <c r="H4338" s="0" t="n">
        <v>65</v>
      </c>
      <c r="I4338" s="0" t="s">
        <v>14517</v>
      </c>
      <c r="J4338" s="0" t="s">
        <v>14518</v>
      </c>
      <c r="K4338" s="0" t="s">
        <v>14519</v>
      </c>
      <c r="L4338" s="0" t="str">
        <f aca="false">HYPERLINK("https://www.ncbi.nlm.nih.gov/nuccore/CP000304.1?report=graph&amp;tracks=[key:gene_model_track,Options:GeneOnly]&amp;mk=1240612:1240631|offset_1|444444,1240591:1240610|offset_22|444444,1240569:1240588|offset_44|444444,1240548:1240567|offset_65|00cc00&amp;v=1240411:1240767&amp;c=444444", "offset 65")</f>
        <v>offset 65</v>
      </c>
    </row>
    <row r="4339" customFormat="false" ht="12.8" hidden="false" customHeight="false" outlineLevel="0" collapsed="false">
      <c r="A4339" s="0" t="s">
        <v>12</v>
      </c>
      <c r="B4339" s="0" t="n">
        <v>1241964</v>
      </c>
      <c r="C4339" s="0" t="n">
        <v>1241984</v>
      </c>
      <c r="D4339" s="0" t="s">
        <v>14520</v>
      </c>
      <c r="E4339" s="0" t="s">
        <v>89</v>
      </c>
      <c r="F4339" s="0" t="s">
        <v>90</v>
      </c>
      <c r="G4339" s="0" t="s">
        <v>16</v>
      </c>
      <c r="H4339" s="0" t="n">
        <v>0</v>
      </c>
      <c r="I4339" s="0" t="s">
        <v>14521</v>
      </c>
      <c r="J4339" s="0" t="s">
        <v>14522</v>
      </c>
      <c r="K4339" s="0" t="s">
        <v>14523</v>
      </c>
      <c r="L4339" s="0" t="str">
        <f aca="false">HYPERLINK("https://www.ncbi.nlm.nih.gov/nuccore/CP000304.1?report=graph&amp;tracks=[key:gene_model_track,Options:GeneOnly]&amp;mk=1241965:1241984|offset_0|00cc00,1241945:1241964|offset_20|444444,1241907:1241926|offset_58|444444,1241883:1241902|offset_82|444444&amp;v=1241764:1242102&amp;c=444444", "offset 0")</f>
        <v>offset 0</v>
      </c>
    </row>
    <row r="4340" customFormat="false" ht="12.8" hidden="false" customHeight="false" outlineLevel="0" collapsed="false">
      <c r="A4340" s="0" t="s">
        <v>12</v>
      </c>
      <c r="B4340" s="0" t="n">
        <v>1241944</v>
      </c>
      <c r="C4340" s="0" t="n">
        <v>1241964</v>
      </c>
      <c r="D4340" s="0" t="s">
        <v>14520</v>
      </c>
      <c r="E4340" s="0" t="s">
        <v>89</v>
      </c>
      <c r="F4340" s="0" t="s">
        <v>90</v>
      </c>
      <c r="G4340" s="0" t="s">
        <v>26</v>
      </c>
      <c r="H4340" s="0" t="n">
        <v>20</v>
      </c>
      <c r="I4340" s="0" t="s">
        <v>14524</v>
      </c>
      <c r="J4340" s="0" t="s">
        <v>14525</v>
      </c>
      <c r="K4340" s="0" t="s">
        <v>14526</v>
      </c>
      <c r="L4340" s="0" t="str">
        <f aca="false">HYPERLINK("https://www.ncbi.nlm.nih.gov/nuccore/CP000304.1?report=graph&amp;tracks=[key:gene_model_track,Options:GeneOnly]&amp;mk=1241965:1241984|offset_0|444444,1241945:1241964|offset_20|00cc00,1241907:1241926|offset_58|444444,1241883:1241902|offset_82|444444&amp;v=1241764:1242102&amp;c=444444", "offset 20")</f>
        <v>offset 20</v>
      </c>
    </row>
    <row r="4341" customFormat="false" ht="12.8" hidden="false" customHeight="false" outlineLevel="0" collapsed="false">
      <c r="A4341" s="0" t="s">
        <v>12</v>
      </c>
      <c r="B4341" s="0" t="n">
        <v>1241906</v>
      </c>
      <c r="C4341" s="0" t="n">
        <v>1241926</v>
      </c>
      <c r="D4341" s="0" t="s">
        <v>14520</v>
      </c>
      <c r="E4341" s="0" t="s">
        <v>89</v>
      </c>
      <c r="F4341" s="0" t="s">
        <v>90</v>
      </c>
      <c r="G4341" s="0" t="s">
        <v>36</v>
      </c>
      <c r="H4341" s="0" t="n">
        <v>58</v>
      </c>
      <c r="I4341" s="0" t="s">
        <v>14527</v>
      </c>
      <c r="J4341" s="0" t="s">
        <v>14528</v>
      </c>
      <c r="K4341" s="0" t="s">
        <v>14529</v>
      </c>
      <c r="L4341" s="0" t="str">
        <f aca="false">HYPERLINK("https://www.ncbi.nlm.nih.gov/nuccore/CP000304.1?report=graph&amp;tracks=[key:gene_model_track,Options:GeneOnly]&amp;mk=1241965:1241984|offset_0|444444,1241945:1241964|offset_20|444444,1241907:1241926|offset_58|00cc00,1241883:1241902|offset_82|444444&amp;v=1241764:1242102&amp;c=444444", "offset 58")</f>
        <v>offset 58</v>
      </c>
    </row>
    <row r="4342" customFormat="false" ht="12.8" hidden="false" customHeight="false" outlineLevel="0" collapsed="false">
      <c r="A4342" s="0" t="s">
        <v>12</v>
      </c>
      <c r="B4342" s="0" t="n">
        <v>1241882</v>
      </c>
      <c r="C4342" s="0" t="n">
        <v>1241902</v>
      </c>
      <c r="D4342" s="0" t="s">
        <v>14520</v>
      </c>
      <c r="E4342" s="0" t="s">
        <v>89</v>
      </c>
      <c r="F4342" s="0" t="s">
        <v>90</v>
      </c>
      <c r="G4342" s="0" t="s">
        <v>26</v>
      </c>
      <c r="H4342" s="0" t="n">
        <v>82</v>
      </c>
      <c r="I4342" s="0" t="s">
        <v>14530</v>
      </c>
      <c r="J4342" s="0" t="s">
        <v>14531</v>
      </c>
      <c r="K4342" s="0" t="s">
        <v>14532</v>
      </c>
      <c r="L4342" s="0" t="str">
        <f aca="false">HYPERLINK("https://www.ncbi.nlm.nih.gov/nuccore/CP000304.1?report=graph&amp;tracks=[key:gene_model_track,Options:GeneOnly]&amp;mk=1241965:1241984|offset_0|444444,1241945:1241964|offset_20|444444,1241907:1241926|offset_58|444444,1241883:1241902|offset_82|00cc00&amp;v=1241764:1242102&amp;c=444444", "offset 82")</f>
        <v>offset 82</v>
      </c>
    </row>
    <row r="4343" customFormat="false" ht="12.8" hidden="false" customHeight="false" outlineLevel="0" collapsed="false">
      <c r="A4343" s="0" t="s">
        <v>12</v>
      </c>
      <c r="B4343" s="0" t="n">
        <v>1242222</v>
      </c>
      <c r="C4343" s="0" t="n">
        <v>1242242</v>
      </c>
      <c r="D4343" s="0" t="s">
        <v>14533</v>
      </c>
      <c r="E4343" s="0" t="s">
        <v>14534</v>
      </c>
      <c r="F4343" s="0" t="s">
        <v>15</v>
      </c>
      <c r="G4343" s="0" t="s">
        <v>36</v>
      </c>
      <c r="H4343" s="0" t="n">
        <v>0</v>
      </c>
      <c r="I4343" s="0" t="s">
        <v>14535</v>
      </c>
      <c r="J4343" s="0" t="s">
        <v>14536</v>
      </c>
      <c r="K4343" s="0" t="s">
        <v>14537</v>
      </c>
      <c r="L4343" s="0" t="str">
        <f aca="false">HYPERLINK("https://www.ncbi.nlm.nih.gov/nuccore/CP000304.1?report=graph&amp;tracks=[key:gene_model_track,Options:GeneOnly]&amp;mk=1242223:1242242|offset_0|00cc00,1242254:1242273|offset_31|444444,1242281:1242300|offset_58|444444,1242305:1242324|offset_82|444444&amp;v=1242022:1242524&amp;c=444444", "offset 0")</f>
        <v>offset 0</v>
      </c>
    </row>
    <row r="4344" customFormat="false" ht="12.8" hidden="false" customHeight="false" outlineLevel="0" collapsed="false">
      <c r="A4344" s="0" t="s">
        <v>12</v>
      </c>
      <c r="B4344" s="0" t="n">
        <v>1242253</v>
      </c>
      <c r="C4344" s="0" t="n">
        <v>1242273</v>
      </c>
      <c r="D4344" s="0" t="s">
        <v>14533</v>
      </c>
      <c r="E4344" s="0" t="s">
        <v>14534</v>
      </c>
      <c r="F4344" s="0" t="s">
        <v>15</v>
      </c>
      <c r="G4344" s="0" t="s">
        <v>32</v>
      </c>
      <c r="H4344" s="0" t="n">
        <v>31</v>
      </c>
      <c r="I4344" s="0" t="s">
        <v>14538</v>
      </c>
      <c r="J4344" s="0" t="s">
        <v>14539</v>
      </c>
      <c r="K4344" s="0" t="s">
        <v>14540</v>
      </c>
      <c r="L4344" s="0" t="str">
        <f aca="false">HYPERLINK("https://www.ncbi.nlm.nih.gov/nuccore/CP000304.1?report=graph&amp;tracks=[key:gene_model_track,Options:GeneOnly]&amp;mk=1242223:1242242|offset_0|444444,1242254:1242273|offset_31|00cc00,1242281:1242300|offset_58|444444,1242305:1242324|offset_82|444444&amp;v=1242022:1242524&amp;c=444444", "offset 31")</f>
        <v>offset 31</v>
      </c>
    </row>
    <row r="4345" customFormat="false" ht="12.8" hidden="false" customHeight="false" outlineLevel="0" collapsed="false">
      <c r="A4345" s="0" t="s">
        <v>12</v>
      </c>
      <c r="B4345" s="0" t="n">
        <v>1242280</v>
      </c>
      <c r="C4345" s="0" t="n">
        <v>1242300</v>
      </c>
      <c r="D4345" s="0" t="s">
        <v>14533</v>
      </c>
      <c r="E4345" s="0" t="s">
        <v>14534</v>
      </c>
      <c r="F4345" s="0" t="s">
        <v>15</v>
      </c>
      <c r="G4345" s="0" t="s">
        <v>16</v>
      </c>
      <c r="H4345" s="0" t="n">
        <v>58</v>
      </c>
      <c r="I4345" s="0" t="s">
        <v>14541</v>
      </c>
      <c r="J4345" s="0" t="s">
        <v>14542</v>
      </c>
      <c r="K4345" s="0" t="s">
        <v>14543</v>
      </c>
      <c r="L4345" s="0" t="str">
        <f aca="false">HYPERLINK("https://www.ncbi.nlm.nih.gov/nuccore/CP000304.1?report=graph&amp;tracks=[key:gene_model_track,Options:GeneOnly]&amp;mk=1242223:1242242|offset_0|444444,1242254:1242273|offset_31|444444,1242281:1242300|offset_58|00cc00,1242305:1242324|offset_82|444444&amp;v=1242022:1242524&amp;c=444444", "offset 58")</f>
        <v>offset 58</v>
      </c>
    </row>
    <row r="4346" customFormat="false" ht="12.8" hidden="false" customHeight="false" outlineLevel="0" collapsed="false">
      <c r="A4346" s="0" t="s">
        <v>12</v>
      </c>
      <c r="B4346" s="0" t="n">
        <v>1242304</v>
      </c>
      <c r="C4346" s="0" t="n">
        <v>1242324</v>
      </c>
      <c r="D4346" s="0" t="s">
        <v>14533</v>
      </c>
      <c r="E4346" s="0" t="s">
        <v>14534</v>
      </c>
      <c r="F4346" s="0" t="s">
        <v>15</v>
      </c>
      <c r="G4346" s="0" t="s">
        <v>16</v>
      </c>
      <c r="H4346" s="0" t="n">
        <v>82</v>
      </c>
      <c r="I4346" s="0" t="s">
        <v>14544</v>
      </c>
      <c r="J4346" s="0" t="s">
        <v>14545</v>
      </c>
      <c r="K4346" s="0" t="s">
        <v>14546</v>
      </c>
      <c r="L4346" s="0" t="str">
        <f aca="false">HYPERLINK("https://www.ncbi.nlm.nih.gov/nuccore/CP000304.1?report=graph&amp;tracks=[key:gene_model_track,Options:GeneOnly]&amp;mk=1242223:1242242|offset_0|444444,1242254:1242273|offset_31|444444,1242281:1242300|offset_58|444444,1242305:1242324|offset_82|00cc00&amp;v=1242022:1242524&amp;c=444444", "offset 82")</f>
        <v>offset 82</v>
      </c>
    </row>
    <row r="4347" customFormat="false" ht="12.8" hidden="false" customHeight="false" outlineLevel="0" collapsed="false">
      <c r="A4347" s="0" t="s">
        <v>12</v>
      </c>
      <c r="B4347" s="0" t="n">
        <v>1242836</v>
      </c>
      <c r="C4347" s="0" t="n">
        <v>1242856</v>
      </c>
      <c r="D4347" s="0" t="s">
        <v>14547</v>
      </c>
      <c r="E4347" s="0" t="s">
        <v>89</v>
      </c>
      <c r="F4347" s="0" t="s">
        <v>15</v>
      </c>
      <c r="G4347" s="0" t="s">
        <v>32</v>
      </c>
      <c r="H4347" s="0" t="n">
        <v>14</v>
      </c>
      <c r="I4347" s="0" t="s">
        <v>14548</v>
      </c>
      <c r="J4347" s="0" t="s">
        <v>14549</v>
      </c>
      <c r="K4347" s="0" t="s">
        <v>14550</v>
      </c>
      <c r="L4347" s="0" t="str">
        <f aca="false">HYPERLINK("https://www.ncbi.nlm.nih.gov/nuccore/CP000304.1?report=graph&amp;tracks=[key:gene_model_track,Options:GeneOnly]&amp;mk=1242837:1242856|offset_14|00cc00,1242858:1242877|offset_35|444444,1242923:1242942|offset_100|444444,1242943:1242962|offset_120|444444&amp;v=1242636:1243162&amp;c=444444", "offset 14")</f>
        <v>offset 14</v>
      </c>
    </row>
    <row r="4348" customFormat="false" ht="12.8" hidden="false" customHeight="false" outlineLevel="0" collapsed="false">
      <c r="A4348" s="0" t="s">
        <v>12</v>
      </c>
      <c r="B4348" s="0" t="n">
        <v>1242857</v>
      </c>
      <c r="C4348" s="0" t="n">
        <v>1242877</v>
      </c>
      <c r="D4348" s="0" t="s">
        <v>14547</v>
      </c>
      <c r="E4348" s="0" t="s">
        <v>89</v>
      </c>
      <c r="F4348" s="0" t="s">
        <v>15</v>
      </c>
      <c r="G4348" s="0" t="s">
        <v>26</v>
      </c>
      <c r="H4348" s="0" t="n">
        <v>35</v>
      </c>
      <c r="I4348" s="0" t="s">
        <v>14551</v>
      </c>
      <c r="J4348" s="0" t="s">
        <v>14552</v>
      </c>
      <c r="K4348" s="0" t="s">
        <v>14553</v>
      </c>
      <c r="L4348" s="0" t="str">
        <f aca="false">HYPERLINK("https://www.ncbi.nlm.nih.gov/nuccore/CP000304.1?report=graph&amp;tracks=[key:gene_model_track,Options:GeneOnly]&amp;mk=1242837:1242856|offset_14|444444,1242858:1242877|offset_35|00cc00,1242923:1242942|offset_100|444444,1242943:1242962|offset_120|444444&amp;v=1242636:1243162&amp;c=444444", "offset 35")</f>
        <v>offset 35</v>
      </c>
    </row>
    <row r="4349" customFormat="false" ht="12.8" hidden="false" customHeight="false" outlineLevel="0" collapsed="false">
      <c r="A4349" s="0" t="s">
        <v>12</v>
      </c>
      <c r="B4349" s="0" t="n">
        <v>1242922</v>
      </c>
      <c r="C4349" s="0" t="n">
        <v>1242942</v>
      </c>
      <c r="D4349" s="0" t="s">
        <v>14547</v>
      </c>
      <c r="E4349" s="0" t="s">
        <v>89</v>
      </c>
      <c r="F4349" s="0" t="s">
        <v>15</v>
      </c>
      <c r="G4349" s="0" t="s">
        <v>26</v>
      </c>
      <c r="H4349" s="0" t="n">
        <v>100</v>
      </c>
      <c r="I4349" s="0" t="s">
        <v>14554</v>
      </c>
      <c r="J4349" s="0" t="s">
        <v>14555</v>
      </c>
      <c r="K4349" s="0" t="s">
        <v>14556</v>
      </c>
      <c r="L4349" s="0" t="str">
        <f aca="false">HYPERLINK("https://www.ncbi.nlm.nih.gov/nuccore/CP000304.1?report=graph&amp;tracks=[key:gene_model_track,Options:GeneOnly]&amp;mk=1242837:1242856|offset_14|444444,1242858:1242877|offset_35|444444,1242923:1242942|offset_100|00cc00,1242943:1242962|offset_120|444444&amp;v=1242636:1243162&amp;c=444444", "offset 100")</f>
        <v>offset 100</v>
      </c>
    </row>
    <row r="4350" customFormat="false" ht="12.8" hidden="false" customHeight="false" outlineLevel="0" collapsed="false">
      <c r="A4350" s="0" t="s">
        <v>12</v>
      </c>
      <c r="B4350" s="0" t="n">
        <v>1242942</v>
      </c>
      <c r="C4350" s="0" t="n">
        <v>1242962</v>
      </c>
      <c r="D4350" s="0" t="s">
        <v>14547</v>
      </c>
      <c r="E4350" s="0" t="s">
        <v>89</v>
      </c>
      <c r="F4350" s="0" t="s">
        <v>15</v>
      </c>
      <c r="G4350" s="0" t="s">
        <v>16</v>
      </c>
      <c r="H4350" s="0" t="n">
        <v>120</v>
      </c>
      <c r="I4350" s="0" t="s">
        <v>14557</v>
      </c>
      <c r="J4350" s="0" t="s">
        <v>14558</v>
      </c>
      <c r="K4350" s="0" t="s">
        <v>14559</v>
      </c>
      <c r="L4350" s="0" t="str">
        <f aca="false">HYPERLINK("https://www.ncbi.nlm.nih.gov/nuccore/CP000304.1?report=graph&amp;tracks=[key:gene_model_track,Options:GeneOnly]&amp;mk=1242837:1242856|offset_14|444444,1242858:1242877|offset_35|444444,1242923:1242942|offset_100|444444,1242943:1242962|offset_120|00cc00&amp;v=1242636:1243162&amp;c=444444", "offset 120")</f>
        <v>offset 120</v>
      </c>
    </row>
    <row r="4351" customFormat="false" ht="12.8" hidden="false" customHeight="false" outlineLevel="0" collapsed="false">
      <c r="A4351" s="0" t="s">
        <v>12</v>
      </c>
      <c r="B4351" s="0" t="n">
        <v>1243511</v>
      </c>
      <c r="C4351" s="0" t="n">
        <v>1243531</v>
      </c>
      <c r="D4351" s="0" t="s">
        <v>14560</v>
      </c>
      <c r="E4351" s="0" t="s">
        <v>89</v>
      </c>
      <c r="F4351" s="0" t="s">
        <v>15</v>
      </c>
      <c r="G4351" s="0" t="s">
        <v>36</v>
      </c>
      <c r="H4351" s="0" t="n">
        <v>7</v>
      </c>
      <c r="I4351" s="0" t="s">
        <v>14561</v>
      </c>
      <c r="J4351" s="0" t="s">
        <v>14562</v>
      </c>
      <c r="K4351" s="0" t="s">
        <v>14563</v>
      </c>
      <c r="L4351" s="0" t="str">
        <f aca="false">HYPERLINK("https://www.ncbi.nlm.nih.gov/nuccore/CP000304.1?report=graph&amp;tracks=[key:gene_model_track,Options:GeneOnly]&amp;mk=1243512:1243531|offset_7|00cc00,1243533:1243552|offset_28|444444,1243557:1243576|offset_52|444444,1243596:1243615|offset_91|444444&amp;v=1243311:1243815&amp;c=444444", "offset 7")</f>
        <v>offset 7</v>
      </c>
    </row>
    <row r="4352" customFormat="false" ht="12.8" hidden="false" customHeight="false" outlineLevel="0" collapsed="false">
      <c r="A4352" s="0" t="s">
        <v>12</v>
      </c>
      <c r="B4352" s="0" t="n">
        <v>1243532</v>
      </c>
      <c r="C4352" s="0" t="n">
        <v>1243552</v>
      </c>
      <c r="D4352" s="0" t="s">
        <v>14560</v>
      </c>
      <c r="E4352" s="0" t="s">
        <v>89</v>
      </c>
      <c r="F4352" s="0" t="s">
        <v>15</v>
      </c>
      <c r="G4352" s="0" t="s">
        <v>16</v>
      </c>
      <c r="H4352" s="0" t="n">
        <v>28</v>
      </c>
      <c r="I4352" s="0" t="s">
        <v>14564</v>
      </c>
      <c r="J4352" s="0" t="s">
        <v>14565</v>
      </c>
      <c r="K4352" s="0" t="s">
        <v>14566</v>
      </c>
      <c r="L4352" s="0" t="str">
        <f aca="false">HYPERLINK("https://www.ncbi.nlm.nih.gov/nuccore/CP000304.1?report=graph&amp;tracks=[key:gene_model_track,Options:GeneOnly]&amp;mk=1243512:1243531|offset_7|444444,1243533:1243552|offset_28|00cc00,1243557:1243576|offset_52|444444,1243596:1243615|offset_91|444444&amp;v=1243311:1243815&amp;c=444444", "offset 28")</f>
        <v>offset 28</v>
      </c>
    </row>
    <row r="4353" customFormat="false" ht="12.8" hidden="false" customHeight="false" outlineLevel="0" collapsed="false">
      <c r="A4353" s="0" t="s">
        <v>12</v>
      </c>
      <c r="B4353" s="0" t="n">
        <v>1243556</v>
      </c>
      <c r="C4353" s="0" t="n">
        <v>1243576</v>
      </c>
      <c r="D4353" s="0" t="s">
        <v>14560</v>
      </c>
      <c r="E4353" s="0" t="s">
        <v>89</v>
      </c>
      <c r="F4353" s="0" t="s">
        <v>15</v>
      </c>
      <c r="G4353" s="0" t="s">
        <v>16</v>
      </c>
      <c r="H4353" s="0" t="n">
        <v>52</v>
      </c>
      <c r="I4353" s="0" t="s">
        <v>14567</v>
      </c>
      <c r="J4353" s="0" t="s">
        <v>14568</v>
      </c>
      <c r="K4353" s="0" t="s">
        <v>14569</v>
      </c>
      <c r="L4353" s="0" t="str">
        <f aca="false">HYPERLINK("https://www.ncbi.nlm.nih.gov/nuccore/CP000304.1?report=graph&amp;tracks=[key:gene_model_track,Options:GeneOnly]&amp;mk=1243512:1243531|offset_7|444444,1243533:1243552|offset_28|444444,1243557:1243576|offset_52|00cc00,1243596:1243615|offset_91|444444&amp;v=1243311:1243815&amp;c=444444", "offset 52")</f>
        <v>offset 52</v>
      </c>
    </row>
    <row r="4354" customFormat="false" ht="12.8" hidden="false" customHeight="false" outlineLevel="0" collapsed="false">
      <c r="A4354" s="0" t="s">
        <v>12</v>
      </c>
      <c r="B4354" s="0" t="n">
        <v>1243595</v>
      </c>
      <c r="C4354" s="0" t="n">
        <v>1243615</v>
      </c>
      <c r="D4354" s="0" t="s">
        <v>14560</v>
      </c>
      <c r="E4354" s="0" t="s">
        <v>89</v>
      </c>
      <c r="F4354" s="0" t="s">
        <v>15</v>
      </c>
      <c r="G4354" s="0" t="s">
        <v>32</v>
      </c>
      <c r="H4354" s="0" t="n">
        <v>91</v>
      </c>
      <c r="I4354" s="0" t="s">
        <v>14570</v>
      </c>
      <c r="J4354" s="0" t="s">
        <v>14571</v>
      </c>
      <c r="K4354" s="0" t="s">
        <v>14572</v>
      </c>
      <c r="L4354" s="0" t="str">
        <f aca="false">HYPERLINK("https://www.ncbi.nlm.nih.gov/nuccore/CP000304.1?report=graph&amp;tracks=[key:gene_model_track,Options:GeneOnly]&amp;mk=1243512:1243531|offset_7|444444,1243533:1243552|offset_28|444444,1243557:1243576|offset_52|444444,1243596:1243615|offset_91|00cc00&amp;v=1243311:1243815&amp;c=444444", "offset 91")</f>
        <v>offset 91</v>
      </c>
    </row>
    <row r="4355" customFormat="false" ht="12.8" hidden="false" customHeight="false" outlineLevel="0" collapsed="false">
      <c r="A4355" s="0" t="s">
        <v>12</v>
      </c>
      <c r="B4355" s="0" t="n">
        <v>1244112</v>
      </c>
      <c r="C4355" s="0" t="n">
        <v>1244132</v>
      </c>
      <c r="D4355" s="0" t="s">
        <v>14573</v>
      </c>
      <c r="E4355" s="0" t="s">
        <v>89</v>
      </c>
      <c r="F4355" s="0" t="s">
        <v>15</v>
      </c>
      <c r="G4355" s="0" t="s">
        <v>16</v>
      </c>
      <c r="H4355" s="0" t="n">
        <v>7</v>
      </c>
      <c r="I4355" s="0" t="s">
        <v>14574</v>
      </c>
      <c r="J4355" s="0" t="s">
        <v>14575</v>
      </c>
      <c r="K4355" s="0" t="s">
        <v>14576</v>
      </c>
      <c r="L4355" s="0" t="str">
        <f aca="false">HYPERLINK("https://www.ncbi.nlm.nih.gov/nuccore/CP000304.1?report=graph&amp;tracks=[key:gene_model_track,Options:GeneOnly]&amp;mk=1244113:1244132|offset_7|00cc00,1244139:1244158|offset_33|444444,1244166:1244185|offset_60|444444,1244187:1244206|offset_81|444444&amp;v=1243912:1244406&amp;c=444444", "offset 7")</f>
        <v>offset 7</v>
      </c>
    </row>
    <row r="4356" customFormat="false" ht="12.8" hidden="false" customHeight="false" outlineLevel="0" collapsed="false">
      <c r="A4356" s="0" t="s">
        <v>12</v>
      </c>
      <c r="B4356" s="0" t="n">
        <v>1244138</v>
      </c>
      <c r="C4356" s="0" t="n">
        <v>1244158</v>
      </c>
      <c r="D4356" s="0" t="s">
        <v>14573</v>
      </c>
      <c r="E4356" s="0" t="s">
        <v>89</v>
      </c>
      <c r="F4356" s="0" t="s">
        <v>15</v>
      </c>
      <c r="G4356" s="0" t="s">
        <v>36</v>
      </c>
      <c r="H4356" s="0" t="n">
        <v>33</v>
      </c>
      <c r="I4356" s="0" t="s">
        <v>14577</v>
      </c>
      <c r="J4356" s="0" t="s">
        <v>14578</v>
      </c>
      <c r="K4356" s="0" t="s">
        <v>14579</v>
      </c>
      <c r="L4356" s="0" t="str">
        <f aca="false">HYPERLINK("https://www.ncbi.nlm.nih.gov/nuccore/CP000304.1?report=graph&amp;tracks=[key:gene_model_track,Options:GeneOnly]&amp;mk=1244113:1244132|offset_7|444444,1244139:1244158|offset_33|00cc00,1244166:1244185|offset_60|444444,1244187:1244206|offset_81|444444&amp;v=1243912:1244406&amp;c=444444", "offset 33")</f>
        <v>offset 33</v>
      </c>
    </row>
    <row r="4357" customFormat="false" ht="12.8" hidden="false" customHeight="false" outlineLevel="0" collapsed="false">
      <c r="A4357" s="0" t="s">
        <v>12</v>
      </c>
      <c r="B4357" s="0" t="n">
        <v>1244165</v>
      </c>
      <c r="C4357" s="0" t="n">
        <v>1244185</v>
      </c>
      <c r="D4357" s="0" t="s">
        <v>14573</v>
      </c>
      <c r="E4357" s="0" t="s">
        <v>89</v>
      </c>
      <c r="F4357" s="0" t="s">
        <v>15</v>
      </c>
      <c r="G4357" s="0" t="s">
        <v>16</v>
      </c>
      <c r="H4357" s="0" t="n">
        <v>60</v>
      </c>
      <c r="I4357" s="0" t="s">
        <v>14580</v>
      </c>
      <c r="J4357" s="0" t="s">
        <v>14581</v>
      </c>
      <c r="K4357" s="0" t="s">
        <v>14582</v>
      </c>
      <c r="L4357" s="0" t="str">
        <f aca="false">HYPERLINK("https://www.ncbi.nlm.nih.gov/nuccore/CP000304.1?report=graph&amp;tracks=[key:gene_model_track,Options:GeneOnly]&amp;mk=1244113:1244132|offset_7|444444,1244139:1244158|offset_33|444444,1244166:1244185|offset_60|00cc00,1244187:1244206|offset_81|444444&amp;v=1243912:1244406&amp;c=444444", "offset 60")</f>
        <v>offset 60</v>
      </c>
    </row>
    <row r="4358" customFormat="false" ht="12.8" hidden="false" customHeight="false" outlineLevel="0" collapsed="false">
      <c r="A4358" s="0" t="s">
        <v>12</v>
      </c>
      <c r="B4358" s="0" t="n">
        <v>1244186</v>
      </c>
      <c r="C4358" s="0" t="n">
        <v>1244206</v>
      </c>
      <c r="D4358" s="0" t="s">
        <v>14573</v>
      </c>
      <c r="E4358" s="0" t="s">
        <v>89</v>
      </c>
      <c r="F4358" s="0" t="s">
        <v>15</v>
      </c>
      <c r="G4358" s="0" t="s">
        <v>16</v>
      </c>
      <c r="H4358" s="0" t="n">
        <v>81</v>
      </c>
      <c r="I4358" s="0" t="s">
        <v>14583</v>
      </c>
      <c r="J4358" s="0" t="s">
        <v>14584</v>
      </c>
      <c r="K4358" s="0" t="s">
        <v>14585</v>
      </c>
      <c r="L4358" s="0" t="str">
        <f aca="false">HYPERLINK("https://www.ncbi.nlm.nih.gov/nuccore/CP000304.1?report=graph&amp;tracks=[key:gene_model_track,Options:GeneOnly]&amp;mk=1244113:1244132|offset_7|444444,1244139:1244158|offset_33|444444,1244166:1244185|offset_60|444444,1244187:1244206|offset_81|00cc00&amp;v=1243912:1244406&amp;c=444444", "offset 81")</f>
        <v>offset 81</v>
      </c>
    </row>
    <row r="4359" customFormat="false" ht="12.8" hidden="false" customHeight="false" outlineLevel="0" collapsed="false">
      <c r="A4359" s="0" t="s">
        <v>12</v>
      </c>
      <c r="B4359" s="0" t="n">
        <v>1246122</v>
      </c>
      <c r="C4359" s="0" t="n">
        <v>1246142</v>
      </c>
      <c r="D4359" s="0" t="s">
        <v>14586</v>
      </c>
      <c r="E4359" s="0" t="s">
        <v>14587</v>
      </c>
      <c r="F4359" s="0" t="s">
        <v>90</v>
      </c>
      <c r="G4359" s="0" t="s">
        <v>32</v>
      </c>
      <c r="H4359" s="0" t="n">
        <v>1</v>
      </c>
      <c r="I4359" s="0" t="s">
        <v>14588</v>
      </c>
      <c r="J4359" s="0" t="s">
        <v>14589</v>
      </c>
      <c r="K4359" s="0" t="s">
        <v>14590</v>
      </c>
      <c r="L4359" s="0" t="str">
        <f aca="false">HYPERLINK("https://www.ncbi.nlm.nih.gov/nuccore/CP000304.1?report=graph&amp;tracks=[key:gene_model_track,Options:GeneOnly]&amp;mk=1246123:1246142|offset_1|00cc00,1246102:1246121|offset_22|444444,1246071:1246090|offset_53|444444,1246047:1246066|offset_77|444444&amp;v=1245922:1246266&amp;c=444444", "offset 1")</f>
        <v>offset 1</v>
      </c>
    </row>
    <row r="4360" customFormat="false" ht="12.8" hidden="false" customHeight="false" outlineLevel="0" collapsed="false">
      <c r="A4360" s="0" t="s">
        <v>12</v>
      </c>
      <c r="B4360" s="0" t="n">
        <v>1246101</v>
      </c>
      <c r="C4360" s="0" t="n">
        <v>1246121</v>
      </c>
      <c r="D4360" s="0" t="s">
        <v>14586</v>
      </c>
      <c r="E4360" s="0" t="s">
        <v>14587</v>
      </c>
      <c r="F4360" s="0" t="s">
        <v>90</v>
      </c>
      <c r="G4360" s="0" t="s">
        <v>16</v>
      </c>
      <c r="H4360" s="0" t="n">
        <v>22</v>
      </c>
      <c r="I4360" s="0" t="s">
        <v>14591</v>
      </c>
      <c r="J4360" s="0" t="s">
        <v>14592</v>
      </c>
      <c r="K4360" s="0" t="s">
        <v>14593</v>
      </c>
      <c r="L4360" s="0" t="str">
        <f aca="false">HYPERLINK("https://www.ncbi.nlm.nih.gov/nuccore/CP000304.1?report=graph&amp;tracks=[key:gene_model_track,Options:GeneOnly]&amp;mk=1246123:1246142|offset_1|444444,1246102:1246121|offset_22|00cc00,1246071:1246090|offset_53|444444,1246047:1246066|offset_77|444444&amp;v=1245922:1246266&amp;c=444444", "offset 22")</f>
        <v>offset 22</v>
      </c>
    </row>
    <row r="4361" customFormat="false" ht="12.8" hidden="false" customHeight="false" outlineLevel="0" collapsed="false">
      <c r="A4361" s="0" t="s">
        <v>12</v>
      </c>
      <c r="B4361" s="0" t="n">
        <v>1246070</v>
      </c>
      <c r="C4361" s="0" t="n">
        <v>1246090</v>
      </c>
      <c r="D4361" s="0" t="s">
        <v>14586</v>
      </c>
      <c r="E4361" s="0" t="s">
        <v>14587</v>
      </c>
      <c r="F4361" s="0" t="s">
        <v>90</v>
      </c>
      <c r="G4361" s="0" t="s">
        <v>26</v>
      </c>
      <c r="H4361" s="0" t="n">
        <v>53</v>
      </c>
      <c r="I4361" s="0" t="s">
        <v>14594</v>
      </c>
      <c r="J4361" s="0" t="s">
        <v>14595</v>
      </c>
      <c r="K4361" s="0" t="s">
        <v>14596</v>
      </c>
      <c r="L4361" s="0" t="str">
        <f aca="false">HYPERLINK("https://www.ncbi.nlm.nih.gov/nuccore/CP000304.1?report=graph&amp;tracks=[key:gene_model_track,Options:GeneOnly]&amp;mk=1246123:1246142|offset_1|444444,1246102:1246121|offset_22|444444,1246071:1246090|offset_53|00cc00,1246047:1246066|offset_77|444444&amp;v=1245922:1246266&amp;c=444444", "offset 53")</f>
        <v>offset 53</v>
      </c>
    </row>
    <row r="4362" customFormat="false" ht="12.8" hidden="false" customHeight="false" outlineLevel="0" collapsed="false">
      <c r="A4362" s="0" t="s">
        <v>12</v>
      </c>
      <c r="B4362" s="0" t="n">
        <v>1246046</v>
      </c>
      <c r="C4362" s="0" t="n">
        <v>1246066</v>
      </c>
      <c r="D4362" s="0" t="s">
        <v>14586</v>
      </c>
      <c r="E4362" s="0" t="s">
        <v>14587</v>
      </c>
      <c r="F4362" s="0" t="s">
        <v>90</v>
      </c>
      <c r="G4362" s="0" t="s">
        <v>26</v>
      </c>
      <c r="H4362" s="0" t="n">
        <v>77</v>
      </c>
      <c r="I4362" s="0" t="s">
        <v>14597</v>
      </c>
      <c r="J4362" s="0" t="s">
        <v>14598</v>
      </c>
      <c r="K4362" s="0" t="s">
        <v>14599</v>
      </c>
      <c r="L4362" s="0" t="str">
        <f aca="false">HYPERLINK("https://www.ncbi.nlm.nih.gov/nuccore/CP000304.1?report=graph&amp;tracks=[key:gene_model_track,Options:GeneOnly]&amp;mk=1246123:1246142|offset_1|444444,1246102:1246121|offset_22|444444,1246071:1246090|offset_53|444444,1246047:1246066|offset_77|00cc00&amp;v=1245922:1246266&amp;c=444444", "offset 77")</f>
        <v>offset 77</v>
      </c>
    </row>
    <row r="4363" customFormat="false" ht="12.8" hidden="false" customHeight="false" outlineLevel="0" collapsed="false">
      <c r="A4363" s="0" t="s">
        <v>12</v>
      </c>
      <c r="B4363" s="0" t="n">
        <v>1246663</v>
      </c>
      <c r="C4363" s="0" t="n">
        <v>1246683</v>
      </c>
      <c r="D4363" s="0" t="s">
        <v>14600</v>
      </c>
      <c r="E4363" s="0" t="s">
        <v>89</v>
      </c>
      <c r="F4363" s="0" t="s">
        <v>90</v>
      </c>
      <c r="G4363" s="0" t="s">
        <v>26</v>
      </c>
      <c r="H4363" s="0" t="n">
        <v>11</v>
      </c>
      <c r="I4363" s="0" t="s">
        <v>14601</v>
      </c>
      <c r="J4363" s="0" t="s">
        <v>14602</v>
      </c>
      <c r="K4363" s="0" t="s">
        <v>14603</v>
      </c>
      <c r="L4363" s="0" t="str">
        <f aca="false">HYPERLINK("https://www.ncbi.nlm.nih.gov/nuccore/CP000304.1?report=graph&amp;tracks=[key:gene_model_track,Options:GeneOnly]&amp;mk=1246664:1246683|offset_11|00cc00,1246643:1246662|offset_32|444444,1246610:1246629|offset_65|444444,1246576:1246595|offset_99|444444&amp;v=1246463:1246795&amp;c=444444", "offset 11")</f>
        <v>offset 11</v>
      </c>
    </row>
    <row r="4364" customFormat="false" ht="12.8" hidden="false" customHeight="false" outlineLevel="0" collapsed="false">
      <c r="A4364" s="0" t="s">
        <v>12</v>
      </c>
      <c r="B4364" s="0" t="n">
        <v>1246642</v>
      </c>
      <c r="C4364" s="0" t="n">
        <v>1246662</v>
      </c>
      <c r="D4364" s="0" t="s">
        <v>14600</v>
      </c>
      <c r="E4364" s="0" t="s">
        <v>89</v>
      </c>
      <c r="F4364" s="0" t="s">
        <v>90</v>
      </c>
      <c r="G4364" s="0" t="s">
        <v>26</v>
      </c>
      <c r="H4364" s="0" t="n">
        <v>32</v>
      </c>
      <c r="I4364" s="0" t="s">
        <v>14604</v>
      </c>
      <c r="J4364" s="0" t="s">
        <v>14605</v>
      </c>
      <c r="K4364" s="0" t="s">
        <v>14606</v>
      </c>
      <c r="L4364" s="0" t="str">
        <f aca="false">HYPERLINK("https://www.ncbi.nlm.nih.gov/nuccore/CP000304.1?report=graph&amp;tracks=[key:gene_model_track,Options:GeneOnly]&amp;mk=1246664:1246683|offset_11|444444,1246643:1246662|offset_32|00cc00,1246610:1246629|offset_65|444444,1246576:1246595|offset_99|444444&amp;v=1246463:1246795&amp;c=444444", "offset 32")</f>
        <v>offset 32</v>
      </c>
    </row>
    <row r="4365" customFormat="false" ht="12.8" hidden="false" customHeight="false" outlineLevel="0" collapsed="false">
      <c r="A4365" s="0" t="s">
        <v>12</v>
      </c>
      <c r="B4365" s="0" t="n">
        <v>1246609</v>
      </c>
      <c r="C4365" s="0" t="n">
        <v>1246629</v>
      </c>
      <c r="D4365" s="0" t="s">
        <v>14600</v>
      </c>
      <c r="E4365" s="0" t="s">
        <v>89</v>
      </c>
      <c r="F4365" s="0" t="s">
        <v>90</v>
      </c>
      <c r="G4365" s="0" t="s">
        <v>26</v>
      </c>
      <c r="H4365" s="0" t="n">
        <v>65</v>
      </c>
      <c r="I4365" s="0" t="s">
        <v>14607</v>
      </c>
      <c r="J4365" s="0" t="s">
        <v>14608</v>
      </c>
      <c r="K4365" s="0" t="s">
        <v>14609</v>
      </c>
      <c r="L4365" s="0" t="str">
        <f aca="false">HYPERLINK("https://www.ncbi.nlm.nih.gov/nuccore/CP000304.1?report=graph&amp;tracks=[key:gene_model_track,Options:GeneOnly]&amp;mk=1246664:1246683|offset_11|444444,1246643:1246662|offset_32|444444,1246610:1246629|offset_65|00cc00,1246576:1246595|offset_99|444444&amp;v=1246463:1246795&amp;c=444444", "offset 65")</f>
        <v>offset 65</v>
      </c>
    </row>
    <row r="4366" customFormat="false" ht="12.8" hidden="false" customHeight="false" outlineLevel="0" collapsed="false">
      <c r="A4366" s="0" t="s">
        <v>12</v>
      </c>
      <c r="B4366" s="0" t="n">
        <v>1246575</v>
      </c>
      <c r="C4366" s="0" t="n">
        <v>1246595</v>
      </c>
      <c r="D4366" s="0" t="s">
        <v>14600</v>
      </c>
      <c r="E4366" s="0" t="s">
        <v>89</v>
      </c>
      <c r="F4366" s="0" t="s">
        <v>90</v>
      </c>
      <c r="G4366" s="0" t="s">
        <v>16</v>
      </c>
      <c r="H4366" s="0" t="n">
        <v>99</v>
      </c>
      <c r="I4366" s="0" t="s">
        <v>14610</v>
      </c>
      <c r="J4366" s="0" t="s">
        <v>14611</v>
      </c>
      <c r="K4366" s="0" t="s">
        <v>14612</v>
      </c>
      <c r="L4366" s="0" t="str">
        <f aca="false">HYPERLINK("https://www.ncbi.nlm.nih.gov/nuccore/CP000304.1?report=graph&amp;tracks=[key:gene_model_track,Options:GeneOnly]&amp;mk=1246664:1246683|offset_11|444444,1246643:1246662|offset_32|444444,1246610:1246629|offset_65|444444,1246576:1246595|offset_99|00cc00&amp;v=1246463:1246795&amp;c=444444", "offset 99")</f>
        <v>offset 99</v>
      </c>
    </row>
    <row r="4367" customFormat="false" ht="12.8" hidden="false" customHeight="false" outlineLevel="0" collapsed="false">
      <c r="A4367" s="0" t="s">
        <v>12</v>
      </c>
      <c r="B4367" s="0" t="n">
        <v>1246991</v>
      </c>
      <c r="C4367" s="0" t="n">
        <v>1247011</v>
      </c>
      <c r="D4367" s="0" t="s">
        <v>14613</v>
      </c>
      <c r="E4367" s="0" t="s">
        <v>89</v>
      </c>
      <c r="F4367" s="0" t="s">
        <v>90</v>
      </c>
      <c r="G4367" s="0" t="s">
        <v>16</v>
      </c>
      <c r="H4367" s="0" t="n">
        <v>12</v>
      </c>
      <c r="I4367" s="0" t="s">
        <v>14614</v>
      </c>
      <c r="J4367" s="0" t="s">
        <v>14615</v>
      </c>
      <c r="K4367" s="0" t="s">
        <v>14616</v>
      </c>
      <c r="L4367" s="0" t="str">
        <f aca="false">HYPERLINK("https://www.ncbi.nlm.nih.gov/nuccore/CP000304.1?report=graph&amp;tracks=[key:gene_model_track,Options:GeneOnly]&amp;mk=1246992:1247011|offset_12|00cc00,1246970:1246989|offset_34|444444,1246931:1246950|offset_73|444444,1246909:1246928|offset_95|444444&amp;v=1246791:1247128&amp;c=444444", "offset 12")</f>
        <v>offset 12</v>
      </c>
    </row>
    <row r="4368" customFormat="false" ht="12.8" hidden="false" customHeight="false" outlineLevel="0" collapsed="false">
      <c r="A4368" s="0" t="s">
        <v>12</v>
      </c>
      <c r="B4368" s="0" t="n">
        <v>1246969</v>
      </c>
      <c r="C4368" s="0" t="n">
        <v>1246989</v>
      </c>
      <c r="D4368" s="0" t="s">
        <v>14613</v>
      </c>
      <c r="E4368" s="0" t="s">
        <v>89</v>
      </c>
      <c r="F4368" s="0" t="s">
        <v>90</v>
      </c>
      <c r="G4368" s="0" t="s">
        <v>36</v>
      </c>
      <c r="H4368" s="0" t="n">
        <v>34</v>
      </c>
      <c r="I4368" s="0" t="s">
        <v>14617</v>
      </c>
      <c r="J4368" s="0" t="s">
        <v>14618</v>
      </c>
      <c r="K4368" s="0" t="s">
        <v>14619</v>
      </c>
      <c r="L4368" s="0" t="str">
        <f aca="false">HYPERLINK("https://www.ncbi.nlm.nih.gov/nuccore/CP000304.1?report=graph&amp;tracks=[key:gene_model_track,Options:GeneOnly]&amp;mk=1246992:1247011|offset_12|444444,1246970:1246989|offset_34|00cc00,1246931:1246950|offset_73|444444,1246909:1246928|offset_95|444444&amp;v=1246791:1247128&amp;c=444444", "offset 34")</f>
        <v>offset 34</v>
      </c>
    </row>
    <row r="4369" customFormat="false" ht="12.8" hidden="false" customHeight="false" outlineLevel="0" collapsed="false">
      <c r="A4369" s="0" t="s">
        <v>12</v>
      </c>
      <c r="B4369" s="0" t="n">
        <v>1246930</v>
      </c>
      <c r="C4369" s="0" t="n">
        <v>1246950</v>
      </c>
      <c r="D4369" s="0" t="s">
        <v>14613</v>
      </c>
      <c r="E4369" s="0" t="s">
        <v>89</v>
      </c>
      <c r="F4369" s="0" t="s">
        <v>90</v>
      </c>
      <c r="G4369" s="0" t="s">
        <v>16</v>
      </c>
      <c r="H4369" s="0" t="n">
        <v>73</v>
      </c>
      <c r="I4369" s="0" t="s">
        <v>14620</v>
      </c>
      <c r="J4369" s="0" t="s">
        <v>14621</v>
      </c>
      <c r="K4369" s="0" t="s">
        <v>14622</v>
      </c>
      <c r="L4369" s="0" t="str">
        <f aca="false">HYPERLINK("https://www.ncbi.nlm.nih.gov/nuccore/CP000304.1?report=graph&amp;tracks=[key:gene_model_track,Options:GeneOnly]&amp;mk=1246992:1247011|offset_12|444444,1246970:1246989|offset_34|444444,1246931:1246950|offset_73|00cc00,1246909:1246928|offset_95|444444&amp;v=1246791:1247128&amp;c=444444", "offset 73")</f>
        <v>offset 73</v>
      </c>
    </row>
    <row r="4370" customFormat="false" ht="12.8" hidden="false" customHeight="false" outlineLevel="0" collapsed="false">
      <c r="A4370" s="0" t="s">
        <v>12</v>
      </c>
      <c r="B4370" s="0" t="n">
        <v>1246908</v>
      </c>
      <c r="C4370" s="0" t="n">
        <v>1246928</v>
      </c>
      <c r="D4370" s="0" t="s">
        <v>14613</v>
      </c>
      <c r="E4370" s="0" t="s">
        <v>89</v>
      </c>
      <c r="F4370" s="0" t="s">
        <v>90</v>
      </c>
      <c r="G4370" s="0" t="s">
        <v>32</v>
      </c>
      <c r="H4370" s="0" t="n">
        <v>95</v>
      </c>
      <c r="I4370" s="0" t="s">
        <v>14623</v>
      </c>
      <c r="J4370" s="0" t="s">
        <v>14624</v>
      </c>
      <c r="K4370" s="0" t="s">
        <v>14625</v>
      </c>
      <c r="L4370" s="0" t="str">
        <f aca="false">HYPERLINK("https://www.ncbi.nlm.nih.gov/nuccore/CP000304.1?report=graph&amp;tracks=[key:gene_model_track,Options:GeneOnly]&amp;mk=1246992:1247011|offset_12|444444,1246970:1246989|offset_34|444444,1246931:1246950|offset_73|444444,1246909:1246928|offset_95|00cc00&amp;v=1246791:1247128&amp;c=444444", "offset 95")</f>
        <v>offset 95</v>
      </c>
    </row>
    <row r="4371" customFormat="false" ht="12.8" hidden="false" customHeight="false" outlineLevel="0" collapsed="false">
      <c r="A4371" s="0" t="s">
        <v>12</v>
      </c>
      <c r="B4371" s="0" t="n">
        <v>1247409</v>
      </c>
      <c r="C4371" s="0" t="n">
        <v>1247429</v>
      </c>
      <c r="D4371" s="0" t="s">
        <v>14626</v>
      </c>
      <c r="E4371" s="0" t="s">
        <v>89</v>
      </c>
      <c r="F4371" s="0" t="s">
        <v>90</v>
      </c>
      <c r="G4371" s="0" t="s">
        <v>36</v>
      </c>
      <c r="H4371" s="0" t="n">
        <v>6</v>
      </c>
      <c r="I4371" s="0" t="s">
        <v>14627</v>
      </c>
      <c r="J4371" s="0" t="s">
        <v>14628</v>
      </c>
      <c r="K4371" s="0" t="s">
        <v>14629</v>
      </c>
      <c r="L4371" s="0" t="str">
        <f aca="false">HYPERLINK("https://www.ncbi.nlm.nih.gov/nuccore/CP000304.1?report=graph&amp;tracks=[key:gene_model_track,Options:GeneOnly]&amp;mk=1247410:1247429|offset_6|00cc00,1247381:1247400|offset_35|444444,1247327:1247346|offset_89|444444,1247300:1247319|offset_116|444444&amp;v=1247209:1247519&amp;c=444444", "offset 6")</f>
        <v>offset 6</v>
      </c>
    </row>
    <row r="4372" customFormat="false" ht="12.8" hidden="false" customHeight="false" outlineLevel="0" collapsed="false">
      <c r="A4372" s="0" t="s">
        <v>12</v>
      </c>
      <c r="B4372" s="0" t="n">
        <v>1247380</v>
      </c>
      <c r="C4372" s="0" t="n">
        <v>1247400</v>
      </c>
      <c r="D4372" s="0" t="s">
        <v>14626</v>
      </c>
      <c r="E4372" s="0" t="s">
        <v>89</v>
      </c>
      <c r="F4372" s="0" t="s">
        <v>90</v>
      </c>
      <c r="G4372" s="0" t="s">
        <v>16</v>
      </c>
      <c r="H4372" s="0" t="n">
        <v>35</v>
      </c>
      <c r="I4372" s="0" t="s">
        <v>14630</v>
      </c>
      <c r="J4372" s="0" t="s">
        <v>14631</v>
      </c>
      <c r="K4372" s="0" t="s">
        <v>14632</v>
      </c>
      <c r="L4372" s="0" t="str">
        <f aca="false">HYPERLINK("https://www.ncbi.nlm.nih.gov/nuccore/CP000304.1?report=graph&amp;tracks=[key:gene_model_track,Options:GeneOnly]&amp;mk=1247410:1247429|offset_6|444444,1247381:1247400|offset_35|00cc00,1247327:1247346|offset_89|444444,1247300:1247319|offset_116|444444&amp;v=1247209:1247519&amp;c=444444", "offset 35")</f>
        <v>offset 35</v>
      </c>
    </row>
    <row r="4373" customFormat="false" ht="12.8" hidden="false" customHeight="false" outlineLevel="0" collapsed="false">
      <c r="A4373" s="0" t="s">
        <v>12</v>
      </c>
      <c r="B4373" s="0" t="n">
        <v>1247326</v>
      </c>
      <c r="C4373" s="0" t="n">
        <v>1247346</v>
      </c>
      <c r="D4373" s="0" t="s">
        <v>14626</v>
      </c>
      <c r="E4373" s="0" t="s">
        <v>89</v>
      </c>
      <c r="F4373" s="0" t="s">
        <v>90</v>
      </c>
      <c r="G4373" s="0" t="s">
        <v>26</v>
      </c>
      <c r="H4373" s="0" t="n">
        <v>89</v>
      </c>
      <c r="I4373" s="0" t="s">
        <v>14633</v>
      </c>
      <c r="J4373" s="0" t="s">
        <v>14634</v>
      </c>
      <c r="K4373" s="0" t="s">
        <v>14635</v>
      </c>
      <c r="L4373" s="0" t="str">
        <f aca="false">HYPERLINK("https://www.ncbi.nlm.nih.gov/nuccore/CP000304.1?report=graph&amp;tracks=[key:gene_model_track,Options:GeneOnly]&amp;mk=1247410:1247429|offset_6|444444,1247381:1247400|offset_35|444444,1247327:1247346|offset_89|00cc00,1247300:1247319|offset_116|444444&amp;v=1247209:1247519&amp;c=444444", "offset 89")</f>
        <v>offset 89</v>
      </c>
    </row>
    <row r="4374" customFormat="false" ht="12.8" hidden="false" customHeight="false" outlineLevel="0" collapsed="false">
      <c r="A4374" s="0" t="s">
        <v>12</v>
      </c>
      <c r="B4374" s="0" t="n">
        <v>1247299</v>
      </c>
      <c r="C4374" s="0" t="n">
        <v>1247319</v>
      </c>
      <c r="D4374" s="0" t="s">
        <v>14626</v>
      </c>
      <c r="E4374" s="0" t="s">
        <v>89</v>
      </c>
      <c r="F4374" s="0" t="s">
        <v>90</v>
      </c>
      <c r="G4374" s="0" t="s">
        <v>26</v>
      </c>
      <c r="H4374" s="0" t="n">
        <v>116</v>
      </c>
      <c r="I4374" s="0" t="s">
        <v>14636</v>
      </c>
      <c r="J4374" s="0" t="s">
        <v>14637</v>
      </c>
      <c r="K4374" s="0" t="s">
        <v>14638</v>
      </c>
      <c r="L4374" s="0" t="str">
        <f aca="false">HYPERLINK("https://www.ncbi.nlm.nih.gov/nuccore/CP000304.1?report=graph&amp;tracks=[key:gene_model_track,Options:GeneOnly]&amp;mk=1247410:1247429|offset_6|444444,1247381:1247400|offset_35|444444,1247327:1247346|offset_89|444444,1247300:1247319|offset_116|00cc00&amp;v=1247209:1247519&amp;c=444444", "offset 116")</f>
        <v>offset 116</v>
      </c>
    </row>
    <row r="4375" customFormat="false" ht="12.8" hidden="false" customHeight="false" outlineLevel="0" collapsed="false">
      <c r="A4375" s="0" t="s">
        <v>12</v>
      </c>
      <c r="B4375" s="0" t="n">
        <v>1248124</v>
      </c>
      <c r="C4375" s="0" t="n">
        <v>1248144</v>
      </c>
      <c r="D4375" s="0" t="s">
        <v>14639</v>
      </c>
      <c r="E4375" s="0" t="s">
        <v>89</v>
      </c>
      <c r="F4375" s="0" t="s">
        <v>90</v>
      </c>
      <c r="G4375" s="0" t="s">
        <v>36</v>
      </c>
      <c r="H4375" s="0" t="n">
        <v>13</v>
      </c>
      <c r="I4375" s="0" t="s">
        <v>14640</v>
      </c>
      <c r="J4375" s="0" t="s">
        <v>14641</v>
      </c>
      <c r="K4375" s="0" t="s">
        <v>14642</v>
      </c>
      <c r="L4375" s="0" t="str">
        <f aca="false">HYPERLINK("https://www.ncbi.nlm.nih.gov/nuccore/CP000304.1?report=graph&amp;tracks=[key:gene_model_track,Options:GeneOnly]&amp;mk=1248125:1248144|offset_13|00cc00,1248104:1248123|offset_34|444444,1248077:1248096|offset_61|444444,1248052:1248071|offset_86|444444&amp;v=1247924:1248271&amp;c=444444", "offset 13")</f>
        <v>offset 13</v>
      </c>
    </row>
    <row r="4376" customFormat="false" ht="12.8" hidden="false" customHeight="false" outlineLevel="0" collapsed="false">
      <c r="A4376" s="0" t="s">
        <v>12</v>
      </c>
      <c r="B4376" s="0" t="n">
        <v>1248103</v>
      </c>
      <c r="C4376" s="0" t="n">
        <v>1248123</v>
      </c>
      <c r="D4376" s="0" t="s">
        <v>14639</v>
      </c>
      <c r="E4376" s="0" t="s">
        <v>89</v>
      </c>
      <c r="F4376" s="0" t="s">
        <v>90</v>
      </c>
      <c r="G4376" s="0" t="s">
        <v>32</v>
      </c>
      <c r="H4376" s="0" t="n">
        <v>34</v>
      </c>
      <c r="I4376" s="0" t="s">
        <v>14643</v>
      </c>
      <c r="J4376" s="0" t="s">
        <v>14644</v>
      </c>
      <c r="K4376" s="0" t="s">
        <v>14645</v>
      </c>
      <c r="L4376" s="0" t="str">
        <f aca="false">HYPERLINK("https://www.ncbi.nlm.nih.gov/nuccore/CP000304.1?report=graph&amp;tracks=[key:gene_model_track,Options:GeneOnly]&amp;mk=1248125:1248144|offset_13|444444,1248104:1248123|offset_34|00cc00,1248077:1248096|offset_61|444444,1248052:1248071|offset_86|444444&amp;v=1247924:1248271&amp;c=444444", "offset 34")</f>
        <v>offset 34</v>
      </c>
    </row>
    <row r="4377" customFormat="false" ht="12.8" hidden="false" customHeight="false" outlineLevel="0" collapsed="false">
      <c r="A4377" s="0" t="s">
        <v>12</v>
      </c>
      <c r="B4377" s="0" t="n">
        <v>1248076</v>
      </c>
      <c r="C4377" s="0" t="n">
        <v>1248096</v>
      </c>
      <c r="D4377" s="0" t="s">
        <v>14639</v>
      </c>
      <c r="E4377" s="0" t="s">
        <v>89</v>
      </c>
      <c r="F4377" s="0" t="s">
        <v>90</v>
      </c>
      <c r="G4377" s="0" t="s">
        <v>16</v>
      </c>
      <c r="H4377" s="0" t="n">
        <v>61</v>
      </c>
      <c r="I4377" s="0" t="s">
        <v>14646</v>
      </c>
      <c r="J4377" s="0" t="s">
        <v>14647</v>
      </c>
      <c r="K4377" s="0" t="s">
        <v>14648</v>
      </c>
      <c r="L4377" s="0" t="str">
        <f aca="false">HYPERLINK("https://www.ncbi.nlm.nih.gov/nuccore/CP000304.1?report=graph&amp;tracks=[key:gene_model_track,Options:GeneOnly]&amp;mk=1248125:1248144|offset_13|444444,1248104:1248123|offset_34|444444,1248077:1248096|offset_61|00cc00,1248052:1248071|offset_86|444444&amp;v=1247924:1248271&amp;c=444444", "offset 61")</f>
        <v>offset 61</v>
      </c>
    </row>
    <row r="4378" customFormat="false" ht="12.8" hidden="false" customHeight="false" outlineLevel="0" collapsed="false">
      <c r="A4378" s="0" t="s">
        <v>12</v>
      </c>
      <c r="B4378" s="0" t="n">
        <v>1248051</v>
      </c>
      <c r="C4378" s="0" t="n">
        <v>1248071</v>
      </c>
      <c r="D4378" s="0" t="s">
        <v>14639</v>
      </c>
      <c r="E4378" s="0" t="s">
        <v>89</v>
      </c>
      <c r="F4378" s="0" t="s">
        <v>90</v>
      </c>
      <c r="G4378" s="0" t="s">
        <v>36</v>
      </c>
      <c r="H4378" s="0" t="n">
        <v>86</v>
      </c>
      <c r="I4378" s="0" t="s">
        <v>14649</v>
      </c>
      <c r="J4378" s="0" t="s">
        <v>14650</v>
      </c>
      <c r="K4378" s="0" t="s">
        <v>14651</v>
      </c>
      <c r="L4378" s="0" t="str">
        <f aca="false">HYPERLINK("https://www.ncbi.nlm.nih.gov/nuccore/CP000304.1?report=graph&amp;tracks=[key:gene_model_track,Options:GeneOnly]&amp;mk=1248125:1248144|offset_13|444444,1248104:1248123|offset_34|444444,1248077:1248096|offset_61|444444,1248052:1248071|offset_86|00cc00&amp;v=1247924:1248271&amp;c=444444", "offset 86")</f>
        <v>offset 86</v>
      </c>
    </row>
    <row r="4379" customFormat="false" ht="12.8" hidden="false" customHeight="false" outlineLevel="0" collapsed="false">
      <c r="A4379" s="0" t="s">
        <v>12</v>
      </c>
      <c r="B4379" s="0" t="n">
        <v>1248814</v>
      </c>
      <c r="C4379" s="0" t="n">
        <v>1248834</v>
      </c>
      <c r="D4379" s="0" t="s">
        <v>14652</v>
      </c>
      <c r="E4379" s="0" t="s">
        <v>89</v>
      </c>
      <c r="F4379" s="0" t="s">
        <v>90</v>
      </c>
      <c r="G4379" s="0" t="s">
        <v>32</v>
      </c>
      <c r="H4379" s="0" t="n">
        <v>16</v>
      </c>
      <c r="I4379" s="0" t="s">
        <v>14653</v>
      </c>
      <c r="J4379" s="0" t="s">
        <v>14654</v>
      </c>
      <c r="K4379" s="0" t="s">
        <v>14655</v>
      </c>
      <c r="L4379" s="0" t="str">
        <f aca="false">HYPERLINK("https://www.ncbi.nlm.nih.gov/nuccore/CP000304.1?report=graph&amp;tracks=[key:gene_model_track,Options:GeneOnly]&amp;mk=1248815:1248834|offset_16|00cc00,1248791:1248810|offset_40|444444,1248740:1248759|offset_91|444444,1248707:1248726|offset_124|444444&amp;v=1248614:1248926&amp;c=444444", "offset 16")</f>
        <v>offset 16</v>
      </c>
    </row>
    <row r="4380" customFormat="false" ht="12.8" hidden="false" customHeight="false" outlineLevel="0" collapsed="false">
      <c r="A4380" s="0" t="s">
        <v>12</v>
      </c>
      <c r="B4380" s="0" t="n">
        <v>1248790</v>
      </c>
      <c r="C4380" s="0" t="n">
        <v>1248810</v>
      </c>
      <c r="D4380" s="0" t="s">
        <v>14652</v>
      </c>
      <c r="E4380" s="0" t="s">
        <v>89</v>
      </c>
      <c r="F4380" s="0" t="s">
        <v>90</v>
      </c>
      <c r="G4380" s="0" t="s">
        <v>26</v>
      </c>
      <c r="H4380" s="0" t="n">
        <v>40</v>
      </c>
      <c r="I4380" s="0" t="s">
        <v>14656</v>
      </c>
      <c r="J4380" s="0" t="s">
        <v>14657</v>
      </c>
      <c r="K4380" s="0" t="s">
        <v>14658</v>
      </c>
      <c r="L4380" s="0" t="str">
        <f aca="false">HYPERLINK("https://www.ncbi.nlm.nih.gov/nuccore/CP000304.1?report=graph&amp;tracks=[key:gene_model_track,Options:GeneOnly]&amp;mk=1248815:1248834|offset_16|444444,1248791:1248810|offset_40|00cc00,1248740:1248759|offset_91|444444,1248707:1248726|offset_124|444444&amp;v=1248614:1248926&amp;c=444444", "offset 40")</f>
        <v>offset 40</v>
      </c>
    </row>
    <row r="4381" customFormat="false" ht="12.8" hidden="false" customHeight="false" outlineLevel="0" collapsed="false">
      <c r="A4381" s="0" t="s">
        <v>12</v>
      </c>
      <c r="B4381" s="0" t="n">
        <v>1248739</v>
      </c>
      <c r="C4381" s="0" t="n">
        <v>1248759</v>
      </c>
      <c r="D4381" s="0" t="s">
        <v>14652</v>
      </c>
      <c r="E4381" s="0" t="s">
        <v>89</v>
      </c>
      <c r="F4381" s="0" t="s">
        <v>90</v>
      </c>
      <c r="G4381" s="0" t="s">
        <v>32</v>
      </c>
      <c r="H4381" s="0" t="n">
        <v>91</v>
      </c>
      <c r="I4381" s="0" t="s">
        <v>14659</v>
      </c>
      <c r="J4381" s="0" t="s">
        <v>14660</v>
      </c>
      <c r="K4381" s="0" t="s">
        <v>14661</v>
      </c>
      <c r="L4381" s="0" t="str">
        <f aca="false">HYPERLINK("https://www.ncbi.nlm.nih.gov/nuccore/CP000304.1?report=graph&amp;tracks=[key:gene_model_track,Options:GeneOnly]&amp;mk=1248815:1248834|offset_16|444444,1248791:1248810|offset_40|444444,1248740:1248759|offset_91|00cc00,1248707:1248726|offset_124|444444&amp;v=1248614:1248926&amp;c=444444", "offset 91")</f>
        <v>offset 91</v>
      </c>
    </row>
    <row r="4382" customFormat="false" ht="12.8" hidden="false" customHeight="false" outlineLevel="0" collapsed="false">
      <c r="A4382" s="0" t="s">
        <v>12</v>
      </c>
      <c r="B4382" s="0" t="n">
        <v>1248706</v>
      </c>
      <c r="C4382" s="0" t="n">
        <v>1248726</v>
      </c>
      <c r="D4382" s="0" t="s">
        <v>14652</v>
      </c>
      <c r="E4382" s="0" t="s">
        <v>89</v>
      </c>
      <c r="F4382" s="0" t="s">
        <v>90</v>
      </c>
      <c r="G4382" s="0" t="s">
        <v>32</v>
      </c>
      <c r="H4382" s="0" t="n">
        <v>124</v>
      </c>
      <c r="I4382" s="0" t="s">
        <v>14662</v>
      </c>
      <c r="J4382" s="0" t="s">
        <v>14663</v>
      </c>
      <c r="K4382" s="0" t="s">
        <v>14664</v>
      </c>
      <c r="L4382" s="0" t="str">
        <f aca="false">HYPERLINK("https://www.ncbi.nlm.nih.gov/nuccore/CP000304.1?report=graph&amp;tracks=[key:gene_model_track,Options:GeneOnly]&amp;mk=1248815:1248834|offset_16|444444,1248791:1248810|offset_40|444444,1248740:1248759|offset_91|444444,1248707:1248726|offset_124|00cc00&amp;v=1248614:1248926&amp;c=444444", "offset 124")</f>
        <v>offset 124</v>
      </c>
    </row>
    <row r="4383" customFormat="false" ht="12.8" hidden="false" customHeight="false" outlineLevel="0" collapsed="false">
      <c r="A4383" s="0" t="s">
        <v>12</v>
      </c>
      <c r="B4383" s="0" t="n">
        <v>1249078</v>
      </c>
      <c r="C4383" s="0" t="n">
        <v>1249098</v>
      </c>
      <c r="D4383" s="0" t="s">
        <v>14665</v>
      </c>
      <c r="E4383" s="0" t="s">
        <v>89</v>
      </c>
      <c r="F4383" s="0" t="s">
        <v>15</v>
      </c>
      <c r="G4383" s="0" t="s">
        <v>32</v>
      </c>
      <c r="H4383" s="0" t="n">
        <v>13</v>
      </c>
      <c r="I4383" s="0" t="s">
        <v>14666</v>
      </c>
      <c r="J4383" s="0" t="s">
        <v>14667</v>
      </c>
      <c r="K4383" s="0" t="s">
        <v>14668</v>
      </c>
      <c r="L4383" s="0" t="str">
        <f aca="false">HYPERLINK("https://www.ncbi.nlm.nih.gov/nuccore/CP000304.1?report=graph&amp;tracks=[key:gene_model_track,Options:GeneOnly]&amp;mk=1249079:1249098|offset_13|00cc00,1249109:1249128|offset_43|444444,1249130:1249149|offset_64|444444,1249151:1249170|offset_85|444444&amp;v=1248878:1249370&amp;c=444444", "offset 13")</f>
        <v>offset 13</v>
      </c>
    </row>
    <row r="4384" customFormat="false" ht="12.8" hidden="false" customHeight="false" outlineLevel="0" collapsed="false">
      <c r="A4384" s="0" t="s">
        <v>12</v>
      </c>
      <c r="B4384" s="0" t="n">
        <v>1249108</v>
      </c>
      <c r="C4384" s="0" t="n">
        <v>1249128</v>
      </c>
      <c r="D4384" s="0" t="s">
        <v>14665</v>
      </c>
      <c r="E4384" s="0" t="s">
        <v>89</v>
      </c>
      <c r="F4384" s="0" t="s">
        <v>15</v>
      </c>
      <c r="G4384" s="0" t="s">
        <v>16</v>
      </c>
      <c r="H4384" s="0" t="n">
        <v>43</v>
      </c>
      <c r="I4384" s="0" t="s">
        <v>14669</v>
      </c>
      <c r="J4384" s="0" t="s">
        <v>14670</v>
      </c>
      <c r="K4384" s="0" t="s">
        <v>14671</v>
      </c>
      <c r="L4384" s="0" t="str">
        <f aca="false">HYPERLINK("https://www.ncbi.nlm.nih.gov/nuccore/CP000304.1?report=graph&amp;tracks=[key:gene_model_track,Options:GeneOnly]&amp;mk=1249079:1249098|offset_13|444444,1249109:1249128|offset_43|00cc00,1249130:1249149|offset_64|444444,1249151:1249170|offset_85|444444&amp;v=1248878:1249370&amp;c=444444", "offset 43")</f>
        <v>offset 43</v>
      </c>
    </row>
    <row r="4385" customFormat="false" ht="12.8" hidden="false" customHeight="false" outlineLevel="0" collapsed="false">
      <c r="A4385" s="0" t="s">
        <v>12</v>
      </c>
      <c r="B4385" s="0" t="n">
        <v>1249129</v>
      </c>
      <c r="C4385" s="0" t="n">
        <v>1249149</v>
      </c>
      <c r="D4385" s="0" t="s">
        <v>14665</v>
      </c>
      <c r="E4385" s="0" t="s">
        <v>89</v>
      </c>
      <c r="F4385" s="0" t="s">
        <v>15</v>
      </c>
      <c r="G4385" s="0" t="s">
        <v>16</v>
      </c>
      <c r="H4385" s="0" t="n">
        <v>64</v>
      </c>
      <c r="I4385" s="0" t="s">
        <v>14672</v>
      </c>
      <c r="J4385" s="0" t="s">
        <v>14673</v>
      </c>
      <c r="K4385" s="0" t="s">
        <v>14674</v>
      </c>
      <c r="L4385" s="0" t="str">
        <f aca="false">HYPERLINK("https://www.ncbi.nlm.nih.gov/nuccore/CP000304.1?report=graph&amp;tracks=[key:gene_model_track,Options:GeneOnly]&amp;mk=1249079:1249098|offset_13|444444,1249109:1249128|offset_43|444444,1249130:1249149|offset_64|00cc00,1249151:1249170|offset_85|444444&amp;v=1248878:1249370&amp;c=444444", "offset 64")</f>
        <v>offset 64</v>
      </c>
    </row>
    <row r="4386" customFormat="false" ht="12.8" hidden="false" customHeight="false" outlineLevel="0" collapsed="false">
      <c r="A4386" s="0" t="s">
        <v>12</v>
      </c>
      <c r="B4386" s="0" t="n">
        <v>1249150</v>
      </c>
      <c r="C4386" s="0" t="n">
        <v>1249170</v>
      </c>
      <c r="D4386" s="0" t="s">
        <v>14665</v>
      </c>
      <c r="E4386" s="0" t="s">
        <v>89</v>
      </c>
      <c r="F4386" s="0" t="s">
        <v>15</v>
      </c>
      <c r="G4386" s="0" t="s">
        <v>16</v>
      </c>
      <c r="H4386" s="0" t="n">
        <v>85</v>
      </c>
      <c r="I4386" s="0" t="s">
        <v>14675</v>
      </c>
      <c r="J4386" s="0" t="s">
        <v>14676</v>
      </c>
      <c r="K4386" s="0" t="s">
        <v>14677</v>
      </c>
      <c r="L4386" s="0" t="str">
        <f aca="false">HYPERLINK("https://www.ncbi.nlm.nih.gov/nuccore/CP000304.1?report=graph&amp;tracks=[key:gene_model_track,Options:GeneOnly]&amp;mk=1249079:1249098|offset_13|444444,1249109:1249128|offset_43|444444,1249130:1249149|offset_64|444444,1249151:1249170|offset_85|00cc00&amp;v=1248878:1249370&amp;c=444444", "offset 85")</f>
        <v>offset 85</v>
      </c>
    </row>
    <row r="4387" customFormat="false" ht="12.8" hidden="false" customHeight="false" outlineLevel="0" collapsed="false">
      <c r="A4387" s="0" t="s">
        <v>12</v>
      </c>
      <c r="B4387" s="0" t="n">
        <v>1249643</v>
      </c>
      <c r="C4387" s="0" t="n">
        <v>1249663</v>
      </c>
      <c r="D4387" s="0" t="s">
        <v>14678</v>
      </c>
      <c r="E4387" s="0" t="s">
        <v>89</v>
      </c>
      <c r="F4387" s="0" t="s">
        <v>15</v>
      </c>
      <c r="G4387" s="0" t="s">
        <v>36</v>
      </c>
      <c r="H4387" s="0" t="n">
        <v>19</v>
      </c>
      <c r="I4387" s="0" t="s">
        <v>14679</v>
      </c>
      <c r="J4387" s="0" t="s">
        <v>14680</v>
      </c>
      <c r="K4387" s="0" t="s">
        <v>14681</v>
      </c>
      <c r="L4387" s="0" t="str">
        <f aca="false">HYPERLINK("https://www.ncbi.nlm.nih.gov/nuccore/CP000304.1?report=graph&amp;tracks=[key:gene_model_track,Options:GeneOnly]&amp;mk=1249644:1249663|offset_19|00cc00,1249672:1249691|offset_47|444444,1249699:1249718|offset_74|444444,1249744:1249763|offset_119|444444&amp;v=1249443:1249963&amp;c=444444", "offset 19")</f>
        <v>offset 19</v>
      </c>
    </row>
    <row r="4388" customFormat="false" ht="12.8" hidden="false" customHeight="false" outlineLevel="0" collapsed="false">
      <c r="A4388" s="0" t="s">
        <v>12</v>
      </c>
      <c r="B4388" s="0" t="n">
        <v>1249671</v>
      </c>
      <c r="C4388" s="0" t="n">
        <v>1249691</v>
      </c>
      <c r="D4388" s="0" t="s">
        <v>14678</v>
      </c>
      <c r="E4388" s="0" t="s">
        <v>89</v>
      </c>
      <c r="F4388" s="0" t="s">
        <v>15</v>
      </c>
      <c r="G4388" s="0" t="s">
        <v>36</v>
      </c>
      <c r="H4388" s="0" t="n">
        <v>47</v>
      </c>
      <c r="I4388" s="0" t="s">
        <v>14682</v>
      </c>
      <c r="J4388" s="0" t="s">
        <v>14683</v>
      </c>
      <c r="K4388" s="0" t="s">
        <v>14684</v>
      </c>
      <c r="L4388" s="0" t="str">
        <f aca="false">HYPERLINK("https://www.ncbi.nlm.nih.gov/nuccore/CP000304.1?report=graph&amp;tracks=[key:gene_model_track,Options:GeneOnly]&amp;mk=1249644:1249663|offset_19|444444,1249672:1249691|offset_47|00cc00,1249699:1249718|offset_74|444444,1249744:1249763|offset_119|444444&amp;v=1249443:1249963&amp;c=444444", "offset 47")</f>
        <v>offset 47</v>
      </c>
    </row>
    <row r="4389" customFormat="false" ht="12.8" hidden="false" customHeight="false" outlineLevel="0" collapsed="false">
      <c r="A4389" s="0" t="s">
        <v>12</v>
      </c>
      <c r="B4389" s="0" t="n">
        <v>1249698</v>
      </c>
      <c r="C4389" s="0" t="n">
        <v>1249718</v>
      </c>
      <c r="D4389" s="0" t="s">
        <v>14678</v>
      </c>
      <c r="E4389" s="0" t="s">
        <v>89</v>
      </c>
      <c r="F4389" s="0" t="s">
        <v>15</v>
      </c>
      <c r="G4389" s="0" t="s">
        <v>26</v>
      </c>
      <c r="H4389" s="0" t="n">
        <v>74</v>
      </c>
      <c r="I4389" s="0" t="s">
        <v>14685</v>
      </c>
      <c r="J4389" s="0" t="s">
        <v>14686</v>
      </c>
      <c r="K4389" s="0" t="s">
        <v>14687</v>
      </c>
      <c r="L4389" s="0" t="str">
        <f aca="false">HYPERLINK("https://www.ncbi.nlm.nih.gov/nuccore/CP000304.1?report=graph&amp;tracks=[key:gene_model_track,Options:GeneOnly]&amp;mk=1249644:1249663|offset_19|444444,1249672:1249691|offset_47|444444,1249699:1249718|offset_74|00cc00,1249744:1249763|offset_119|444444&amp;v=1249443:1249963&amp;c=444444", "offset 74")</f>
        <v>offset 74</v>
      </c>
    </row>
    <row r="4390" customFormat="false" ht="12.8" hidden="false" customHeight="false" outlineLevel="0" collapsed="false">
      <c r="A4390" s="0" t="s">
        <v>12</v>
      </c>
      <c r="B4390" s="0" t="n">
        <v>1249743</v>
      </c>
      <c r="C4390" s="0" t="n">
        <v>1249763</v>
      </c>
      <c r="D4390" s="0" t="s">
        <v>14678</v>
      </c>
      <c r="E4390" s="0" t="s">
        <v>89</v>
      </c>
      <c r="F4390" s="0" t="s">
        <v>15</v>
      </c>
      <c r="G4390" s="0" t="s">
        <v>26</v>
      </c>
      <c r="H4390" s="0" t="n">
        <v>119</v>
      </c>
      <c r="I4390" s="0" t="s">
        <v>14688</v>
      </c>
      <c r="J4390" s="0" t="s">
        <v>14689</v>
      </c>
      <c r="K4390" s="0" t="s">
        <v>14690</v>
      </c>
      <c r="L4390" s="0" t="str">
        <f aca="false">HYPERLINK("https://www.ncbi.nlm.nih.gov/nuccore/CP000304.1?report=graph&amp;tracks=[key:gene_model_track,Options:GeneOnly]&amp;mk=1249644:1249663|offset_19|444444,1249672:1249691|offset_47|444444,1249699:1249718|offset_74|444444,1249744:1249763|offset_119|00cc00&amp;v=1249443:1249963&amp;c=444444", "offset 119")</f>
        <v>offset 119</v>
      </c>
    </row>
    <row r="4391" customFormat="false" ht="12.8" hidden="false" customHeight="false" outlineLevel="0" collapsed="false">
      <c r="A4391" s="0" t="s">
        <v>12</v>
      </c>
      <c r="B4391" s="0" t="n">
        <v>1250963</v>
      </c>
      <c r="C4391" s="0" t="n">
        <v>1250983</v>
      </c>
      <c r="D4391" s="0" t="s">
        <v>14691</v>
      </c>
      <c r="E4391" s="0" t="s">
        <v>89</v>
      </c>
      <c r="F4391" s="0" t="s">
        <v>90</v>
      </c>
      <c r="G4391" s="0" t="s">
        <v>36</v>
      </c>
      <c r="H4391" s="0" t="n">
        <v>0</v>
      </c>
      <c r="I4391" s="0" t="s">
        <v>14692</v>
      </c>
      <c r="J4391" s="0" t="s">
        <v>14693</v>
      </c>
      <c r="K4391" s="0" t="s">
        <v>14694</v>
      </c>
      <c r="L4391" s="0" t="str">
        <f aca="false">HYPERLINK("https://www.ncbi.nlm.nih.gov/nuccore/CP000304.1?report=graph&amp;tracks=[key:gene_model_track,Options:GeneOnly]&amp;mk=1250964:1250983|offset_0|00cc00,1250938:1250957|offset_26|444444,1250914:1250933|offset_50|444444,1250877:1250896|offset_87|444444&amp;v=1250763:1251096&amp;c=444444", "offset 0")</f>
        <v>offset 0</v>
      </c>
    </row>
    <row r="4392" customFormat="false" ht="12.8" hidden="false" customHeight="false" outlineLevel="0" collapsed="false">
      <c r="A4392" s="0" t="s">
        <v>12</v>
      </c>
      <c r="B4392" s="0" t="n">
        <v>1250937</v>
      </c>
      <c r="C4392" s="0" t="n">
        <v>1250957</v>
      </c>
      <c r="D4392" s="0" t="s">
        <v>14691</v>
      </c>
      <c r="E4392" s="0" t="s">
        <v>89</v>
      </c>
      <c r="F4392" s="0" t="s">
        <v>90</v>
      </c>
      <c r="G4392" s="0" t="s">
        <v>26</v>
      </c>
      <c r="H4392" s="0" t="n">
        <v>26</v>
      </c>
      <c r="I4392" s="0" t="s">
        <v>14695</v>
      </c>
      <c r="J4392" s="0" t="s">
        <v>14696</v>
      </c>
      <c r="K4392" s="0" t="s">
        <v>14697</v>
      </c>
      <c r="L4392" s="0" t="str">
        <f aca="false">HYPERLINK("https://www.ncbi.nlm.nih.gov/nuccore/CP000304.1?report=graph&amp;tracks=[key:gene_model_track,Options:GeneOnly]&amp;mk=1250964:1250983|offset_0|444444,1250938:1250957|offset_26|00cc00,1250914:1250933|offset_50|444444,1250877:1250896|offset_87|444444&amp;v=1250763:1251096&amp;c=444444", "offset 26")</f>
        <v>offset 26</v>
      </c>
    </row>
    <row r="4393" customFormat="false" ht="12.8" hidden="false" customHeight="false" outlineLevel="0" collapsed="false">
      <c r="A4393" s="0" t="s">
        <v>12</v>
      </c>
      <c r="B4393" s="0" t="n">
        <v>1250913</v>
      </c>
      <c r="C4393" s="0" t="n">
        <v>1250933</v>
      </c>
      <c r="D4393" s="0" t="s">
        <v>14691</v>
      </c>
      <c r="E4393" s="0" t="s">
        <v>89</v>
      </c>
      <c r="F4393" s="0" t="s">
        <v>90</v>
      </c>
      <c r="G4393" s="0" t="s">
        <v>26</v>
      </c>
      <c r="H4393" s="0" t="n">
        <v>50</v>
      </c>
      <c r="I4393" s="0" t="s">
        <v>14698</v>
      </c>
      <c r="J4393" s="0" t="s">
        <v>14699</v>
      </c>
      <c r="K4393" s="0" t="s">
        <v>14700</v>
      </c>
      <c r="L4393" s="0" t="str">
        <f aca="false">HYPERLINK("https://www.ncbi.nlm.nih.gov/nuccore/CP000304.1?report=graph&amp;tracks=[key:gene_model_track,Options:GeneOnly]&amp;mk=1250964:1250983|offset_0|444444,1250938:1250957|offset_26|444444,1250914:1250933|offset_50|00cc00,1250877:1250896|offset_87|444444&amp;v=1250763:1251096&amp;c=444444", "offset 50")</f>
        <v>offset 50</v>
      </c>
    </row>
    <row r="4394" customFormat="false" ht="12.8" hidden="false" customHeight="false" outlineLevel="0" collapsed="false">
      <c r="A4394" s="0" t="s">
        <v>12</v>
      </c>
      <c r="B4394" s="0" t="n">
        <v>1250876</v>
      </c>
      <c r="C4394" s="0" t="n">
        <v>1250896</v>
      </c>
      <c r="D4394" s="0" t="s">
        <v>14691</v>
      </c>
      <c r="E4394" s="0" t="s">
        <v>89</v>
      </c>
      <c r="F4394" s="0" t="s">
        <v>90</v>
      </c>
      <c r="G4394" s="0" t="s">
        <v>16</v>
      </c>
      <c r="H4394" s="0" t="n">
        <v>87</v>
      </c>
      <c r="I4394" s="0" t="s">
        <v>14701</v>
      </c>
      <c r="J4394" s="0" t="s">
        <v>14702</v>
      </c>
      <c r="K4394" s="0" t="s">
        <v>14703</v>
      </c>
      <c r="L4394" s="0" t="str">
        <f aca="false">HYPERLINK("https://www.ncbi.nlm.nih.gov/nuccore/CP000304.1?report=graph&amp;tracks=[key:gene_model_track,Options:GeneOnly]&amp;mk=1250964:1250983|offset_0|444444,1250938:1250957|offset_26|444444,1250914:1250933|offset_50|444444,1250877:1250896|offset_87|00cc00&amp;v=1250763:1251096&amp;c=444444", "offset 87")</f>
        <v>offset 87</v>
      </c>
    </row>
    <row r="4395" customFormat="false" ht="12.8" hidden="false" customHeight="false" outlineLevel="0" collapsed="false">
      <c r="A4395" s="0" t="s">
        <v>12</v>
      </c>
      <c r="B4395" s="0" t="n">
        <v>1251790</v>
      </c>
      <c r="C4395" s="0" t="n">
        <v>1251810</v>
      </c>
      <c r="D4395" s="0" t="s">
        <v>14704</v>
      </c>
      <c r="E4395" s="0" t="s">
        <v>89</v>
      </c>
      <c r="F4395" s="0" t="s">
        <v>90</v>
      </c>
      <c r="G4395" s="0" t="s">
        <v>16</v>
      </c>
      <c r="H4395" s="0" t="n">
        <v>6</v>
      </c>
      <c r="I4395" s="0" t="s">
        <v>14705</v>
      </c>
      <c r="J4395" s="0" t="s">
        <v>14706</v>
      </c>
      <c r="K4395" s="0" t="s">
        <v>14707</v>
      </c>
      <c r="L4395" s="0" t="str">
        <f aca="false">HYPERLINK("https://www.ncbi.nlm.nih.gov/nuccore/CP000304.1?report=graph&amp;tracks=[key:gene_model_track,Options:GeneOnly]&amp;mk=1251791:1251810|offset_6|00cc00,1251768:1251787|offset_29|444444,1251724:1251743|offset_73|444444,1251689:1251708|offset_108|444444&amp;v=1251590:1251908&amp;c=444444", "offset 6")</f>
        <v>offset 6</v>
      </c>
    </row>
    <row r="4396" customFormat="false" ht="12.8" hidden="false" customHeight="false" outlineLevel="0" collapsed="false">
      <c r="A4396" s="0" t="s">
        <v>12</v>
      </c>
      <c r="B4396" s="0" t="n">
        <v>1251767</v>
      </c>
      <c r="C4396" s="0" t="n">
        <v>1251787</v>
      </c>
      <c r="D4396" s="0" t="s">
        <v>14704</v>
      </c>
      <c r="E4396" s="0" t="s">
        <v>89</v>
      </c>
      <c r="F4396" s="0" t="s">
        <v>90</v>
      </c>
      <c r="G4396" s="0" t="s">
        <v>26</v>
      </c>
      <c r="H4396" s="0" t="n">
        <v>29</v>
      </c>
      <c r="I4396" s="0" t="s">
        <v>14708</v>
      </c>
      <c r="J4396" s="0" t="s">
        <v>14709</v>
      </c>
      <c r="K4396" s="0" t="s">
        <v>14710</v>
      </c>
      <c r="L4396" s="0" t="str">
        <f aca="false">HYPERLINK("https://www.ncbi.nlm.nih.gov/nuccore/CP000304.1?report=graph&amp;tracks=[key:gene_model_track,Options:GeneOnly]&amp;mk=1251791:1251810|offset_6|444444,1251768:1251787|offset_29|00cc00,1251724:1251743|offset_73|444444,1251689:1251708|offset_108|444444&amp;v=1251590:1251908&amp;c=444444", "offset 29")</f>
        <v>offset 29</v>
      </c>
    </row>
    <row r="4397" customFormat="false" ht="12.8" hidden="false" customHeight="false" outlineLevel="0" collapsed="false">
      <c r="A4397" s="0" t="s">
        <v>12</v>
      </c>
      <c r="B4397" s="0" t="n">
        <v>1251723</v>
      </c>
      <c r="C4397" s="0" t="n">
        <v>1251743</v>
      </c>
      <c r="D4397" s="0" t="s">
        <v>14704</v>
      </c>
      <c r="E4397" s="0" t="s">
        <v>89</v>
      </c>
      <c r="F4397" s="0" t="s">
        <v>90</v>
      </c>
      <c r="G4397" s="0" t="s">
        <v>16</v>
      </c>
      <c r="H4397" s="0" t="n">
        <v>73</v>
      </c>
      <c r="I4397" s="0" t="s">
        <v>14711</v>
      </c>
      <c r="J4397" s="0" t="s">
        <v>14712</v>
      </c>
      <c r="K4397" s="0" t="s">
        <v>14713</v>
      </c>
      <c r="L4397" s="0" t="str">
        <f aca="false">HYPERLINK("https://www.ncbi.nlm.nih.gov/nuccore/CP000304.1?report=graph&amp;tracks=[key:gene_model_track,Options:GeneOnly]&amp;mk=1251791:1251810|offset_6|444444,1251768:1251787|offset_29|444444,1251724:1251743|offset_73|00cc00,1251689:1251708|offset_108|444444&amp;v=1251590:1251908&amp;c=444444", "offset 73")</f>
        <v>offset 73</v>
      </c>
    </row>
    <row r="4398" customFormat="false" ht="12.8" hidden="false" customHeight="false" outlineLevel="0" collapsed="false">
      <c r="A4398" s="0" t="s">
        <v>12</v>
      </c>
      <c r="B4398" s="0" t="n">
        <v>1251688</v>
      </c>
      <c r="C4398" s="0" t="n">
        <v>1251708</v>
      </c>
      <c r="D4398" s="0" t="s">
        <v>14704</v>
      </c>
      <c r="E4398" s="0" t="s">
        <v>89</v>
      </c>
      <c r="F4398" s="0" t="s">
        <v>90</v>
      </c>
      <c r="G4398" s="0" t="s">
        <v>36</v>
      </c>
      <c r="H4398" s="0" t="n">
        <v>108</v>
      </c>
      <c r="I4398" s="0" t="s">
        <v>14714</v>
      </c>
      <c r="J4398" s="0" t="s">
        <v>14715</v>
      </c>
      <c r="K4398" s="0" t="s">
        <v>14716</v>
      </c>
      <c r="L4398" s="0" t="str">
        <f aca="false">HYPERLINK("https://www.ncbi.nlm.nih.gov/nuccore/CP000304.1?report=graph&amp;tracks=[key:gene_model_track,Options:GeneOnly]&amp;mk=1251791:1251810|offset_6|444444,1251768:1251787|offset_29|444444,1251724:1251743|offset_73|444444,1251689:1251708|offset_108|00cc00&amp;v=1251590:1251908&amp;c=444444", "offset 108")</f>
        <v>offset 108</v>
      </c>
    </row>
    <row r="4399" customFormat="false" ht="12.8" hidden="false" customHeight="false" outlineLevel="0" collapsed="false">
      <c r="A4399" s="0" t="s">
        <v>12</v>
      </c>
      <c r="B4399" s="0" t="n">
        <v>1252530</v>
      </c>
      <c r="C4399" s="0" t="n">
        <v>1252550</v>
      </c>
      <c r="D4399" s="0" t="s">
        <v>14717</v>
      </c>
      <c r="E4399" s="0" t="s">
        <v>89</v>
      </c>
      <c r="F4399" s="0" t="s">
        <v>90</v>
      </c>
      <c r="G4399" s="0" t="s">
        <v>32</v>
      </c>
      <c r="H4399" s="0" t="n">
        <v>10</v>
      </c>
      <c r="I4399" s="0" t="s">
        <v>14718</v>
      </c>
      <c r="J4399" s="0" t="s">
        <v>14719</v>
      </c>
      <c r="K4399" s="0" t="s">
        <v>14720</v>
      </c>
      <c r="L4399" s="0" t="str">
        <f aca="false">HYPERLINK("https://www.ncbi.nlm.nih.gov/nuccore/CP000304.1?report=graph&amp;tracks=[key:gene_model_track,Options:GeneOnly]&amp;mk=1252531:1252550|offset_10|00cc00,1252509:1252528|offset_32|444444,1252474:1252493|offset_67|444444,1252446:1252465|offset_95|444444&amp;v=1252330:1252665&amp;c=444444", "offset 10")</f>
        <v>offset 10</v>
      </c>
    </row>
    <row r="4400" customFormat="false" ht="12.8" hidden="false" customHeight="false" outlineLevel="0" collapsed="false">
      <c r="A4400" s="0" t="s">
        <v>12</v>
      </c>
      <c r="B4400" s="0" t="n">
        <v>1252508</v>
      </c>
      <c r="C4400" s="0" t="n">
        <v>1252528</v>
      </c>
      <c r="D4400" s="0" t="s">
        <v>14717</v>
      </c>
      <c r="E4400" s="0" t="s">
        <v>89</v>
      </c>
      <c r="F4400" s="0" t="s">
        <v>90</v>
      </c>
      <c r="G4400" s="0" t="s">
        <v>32</v>
      </c>
      <c r="H4400" s="0" t="n">
        <v>32</v>
      </c>
      <c r="I4400" s="0" t="s">
        <v>14721</v>
      </c>
      <c r="J4400" s="0" t="s">
        <v>14722</v>
      </c>
      <c r="K4400" s="0" t="s">
        <v>14723</v>
      </c>
      <c r="L4400" s="0" t="str">
        <f aca="false">HYPERLINK("https://www.ncbi.nlm.nih.gov/nuccore/CP000304.1?report=graph&amp;tracks=[key:gene_model_track,Options:GeneOnly]&amp;mk=1252531:1252550|offset_10|444444,1252509:1252528|offset_32|00cc00,1252474:1252493|offset_67|444444,1252446:1252465|offset_95|444444&amp;v=1252330:1252665&amp;c=444444", "offset 32")</f>
        <v>offset 32</v>
      </c>
    </row>
    <row r="4401" customFormat="false" ht="12.8" hidden="false" customHeight="false" outlineLevel="0" collapsed="false">
      <c r="A4401" s="0" t="s">
        <v>12</v>
      </c>
      <c r="B4401" s="0" t="n">
        <v>1252473</v>
      </c>
      <c r="C4401" s="0" t="n">
        <v>1252493</v>
      </c>
      <c r="D4401" s="0" t="s">
        <v>14717</v>
      </c>
      <c r="E4401" s="0" t="s">
        <v>89</v>
      </c>
      <c r="F4401" s="0" t="s">
        <v>90</v>
      </c>
      <c r="G4401" s="0" t="s">
        <v>36</v>
      </c>
      <c r="H4401" s="0" t="n">
        <v>67</v>
      </c>
      <c r="I4401" s="0" t="s">
        <v>14724</v>
      </c>
      <c r="J4401" s="0" t="s">
        <v>14725</v>
      </c>
      <c r="K4401" s="0" t="s">
        <v>14726</v>
      </c>
      <c r="L4401" s="0" t="str">
        <f aca="false">HYPERLINK("https://www.ncbi.nlm.nih.gov/nuccore/CP000304.1?report=graph&amp;tracks=[key:gene_model_track,Options:GeneOnly]&amp;mk=1252531:1252550|offset_10|444444,1252509:1252528|offset_32|444444,1252474:1252493|offset_67|00cc00,1252446:1252465|offset_95|444444&amp;v=1252330:1252665&amp;c=444444", "offset 67")</f>
        <v>offset 67</v>
      </c>
    </row>
    <row r="4402" customFormat="false" ht="12.8" hidden="false" customHeight="false" outlineLevel="0" collapsed="false">
      <c r="A4402" s="0" t="s">
        <v>12</v>
      </c>
      <c r="B4402" s="0" t="n">
        <v>1252445</v>
      </c>
      <c r="C4402" s="0" t="n">
        <v>1252465</v>
      </c>
      <c r="D4402" s="0" t="s">
        <v>14717</v>
      </c>
      <c r="E4402" s="0" t="s">
        <v>89</v>
      </c>
      <c r="F4402" s="0" t="s">
        <v>90</v>
      </c>
      <c r="G4402" s="0" t="s">
        <v>16</v>
      </c>
      <c r="H4402" s="0" t="n">
        <v>95</v>
      </c>
      <c r="I4402" s="0" t="s">
        <v>14727</v>
      </c>
      <c r="J4402" s="0" t="s">
        <v>14728</v>
      </c>
      <c r="K4402" s="0" t="s">
        <v>14729</v>
      </c>
      <c r="L4402" s="0" t="str">
        <f aca="false">HYPERLINK("https://www.ncbi.nlm.nih.gov/nuccore/CP000304.1?report=graph&amp;tracks=[key:gene_model_track,Options:GeneOnly]&amp;mk=1252531:1252550|offset_10|444444,1252509:1252528|offset_32|444444,1252474:1252493|offset_67|444444,1252446:1252465|offset_95|00cc00&amp;v=1252330:1252665&amp;c=444444", "offset 95")</f>
        <v>offset 95</v>
      </c>
    </row>
    <row r="4403" customFormat="false" ht="12.8" hidden="false" customHeight="false" outlineLevel="0" collapsed="false">
      <c r="A4403" s="0" t="s">
        <v>12</v>
      </c>
      <c r="B4403" s="0" t="n">
        <v>1252759</v>
      </c>
      <c r="C4403" s="0" t="n">
        <v>1252779</v>
      </c>
      <c r="D4403" s="0" t="s">
        <v>14730</v>
      </c>
      <c r="E4403" s="0" t="s">
        <v>89</v>
      </c>
      <c r="F4403" s="0" t="s">
        <v>15</v>
      </c>
      <c r="G4403" s="0" t="s">
        <v>16</v>
      </c>
      <c r="H4403" s="0" t="n">
        <v>27</v>
      </c>
      <c r="I4403" s="0" t="s">
        <v>14731</v>
      </c>
      <c r="J4403" s="0" t="s">
        <v>14732</v>
      </c>
      <c r="K4403" s="0" t="s">
        <v>14733</v>
      </c>
      <c r="L4403" s="0" t="str">
        <f aca="false">HYPERLINK("https://www.ncbi.nlm.nih.gov/nuccore/CP000304.1?report=graph&amp;tracks=[key:gene_model_track,Options:GeneOnly]&amp;mk=1252760:1252779|offset_27|00cc00,1252785:1252804|offset_52|444444,1252890:1252909|offset_157|444444,1252931:1252950|offset_198|444444&amp;v=1252559:1253150&amp;c=444444", "offset 27")</f>
        <v>offset 27</v>
      </c>
    </row>
    <row r="4404" customFormat="false" ht="12.8" hidden="false" customHeight="false" outlineLevel="0" collapsed="false">
      <c r="A4404" s="0" t="s">
        <v>12</v>
      </c>
      <c r="B4404" s="0" t="n">
        <v>1252784</v>
      </c>
      <c r="C4404" s="0" t="n">
        <v>1252804</v>
      </c>
      <c r="D4404" s="0" t="s">
        <v>14730</v>
      </c>
      <c r="E4404" s="0" t="s">
        <v>89</v>
      </c>
      <c r="F4404" s="0" t="s">
        <v>15</v>
      </c>
      <c r="G4404" s="0" t="s">
        <v>16</v>
      </c>
      <c r="H4404" s="0" t="n">
        <v>52</v>
      </c>
      <c r="I4404" s="0" t="s">
        <v>14734</v>
      </c>
      <c r="J4404" s="0" t="s">
        <v>14735</v>
      </c>
      <c r="K4404" s="0" t="s">
        <v>14736</v>
      </c>
      <c r="L4404" s="0" t="str">
        <f aca="false">HYPERLINK("https://www.ncbi.nlm.nih.gov/nuccore/CP000304.1?report=graph&amp;tracks=[key:gene_model_track,Options:GeneOnly]&amp;mk=1252760:1252779|offset_27|444444,1252785:1252804|offset_52|00cc00,1252890:1252909|offset_157|444444,1252931:1252950|offset_198|444444&amp;v=1252559:1253150&amp;c=444444", "offset 52")</f>
        <v>offset 52</v>
      </c>
    </row>
    <row r="4405" customFormat="false" ht="12.8" hidden="false" customHeight="false" outlineLevel="0" collapsed="false">
      <c r="A4405" s="0" t="s">
        <v>12</v>
      </c>
      <c r="B4405" s="0" t="n">
        <v>1252889</v>
      </c>
      <c r="C4405" s="0" t="n">
        <v>1252909</v>
      </c>
      <c r="D4405" s="0" t="s">
        <v>14730</v>
      </c>
      <c r="E4405" s="0" t="s">
        <v>89</v>
      </c>
      <c r="F4405" s="0" t="s">
        <v>15</v>
      </c>
      <c r="G4405" s="0" t="s">
        <v>26</v>
      </c>
      <c r="H4405" s="0" t="n">
        <v>157</v>
      </c>
      <c r="I4405" s="0" t="s">
        <v>14737</v>
      </c>
      <c r="J4405" s="0" t="s">
        <v>14738</v>
      </c>
      <c r="K4405" s="0" t="s">
        <v>14739</v>
      </c>
      <c r="L4405" s="0" t="str">
        <f aca="false">HYPERLINK("https://www.ncbi.nlm.nih.gov/nuccore/CP000304.1?report=graph&amp;tracks=[key:gene_model_track,Options:GeneOnly]&amp;mk=1252760:1252779|offset_27|444444,1252785:1252804|offset_52|444444,1252890:1252909|offset_157|00cc00,1252931:1252950|offset_198|444444&amp;v=1252559:1253150&amp;c=444444", "offset 157")</f>
        <v>offset 157</v>
      </c>
    </row>
    <row r="4406" customFormat="false" ht="12.8" hidden="false" customHeight="false" outlineLevel="0" collapsed="false">
      <c r="A4406" s="0" t="s">
        <v>12</v>
      </c>
      <c r="B4406" s="0" t="n">
        <v>1252930</v>
      </c>
      <c r="C4406" s="0" t="n">
        <v>1252950</v>
      </c>
      <c r="D4406" s="0" t="s">
        <v>14730</v>
      </c>
      <c r="E4406" s="0" t="s">
        <v>89</v>
      </c>
      <c r="F4406" s="0" t="s">
        <v>15</v>
      </c>
      <c r="G4406" s="0" t="s">
        <v>36</v>
      </c>
      <c r="H4406" s="0" t="n">
        <v>198</v>
      </c>
      <c r="I4406" s="0" t="s">
        <v>14740</v>
      </c>
      <c r="J4406" s="0" t="s">
        <v>14741</v>
      </c>
      <c r="K4406" s="0" t="s">
        <v>14742</v>
      </c>
      <c r="L4406" s="0" t="str">
        <f aca="false">HYPERLINK("https://www.ncbi.nlm.nih.gov/nuccore/CP000304.1?report=graph&amp;tracks=[key:gene_model_track,Options:GeneOnly]&amp;mk=1252760:1252779|offset_27|444444,1252785:1252804|offset_52|444444,1252890:1252909|offset_157|444444,1252931:1252950|offset_198|00cc00&amp;v=1252559:1253150&amp;c=444444", "offset 198")</f>
        <v>offset 198</v>
      </c>
    </row>
    <row r="4407" customFormat="false" ht="12.8" hidden="false" customHeight="false" outlineLevel="0" collapsed="false">
      <c r="A4407" s="0" t="s">
        <v>12</v>
      </c>
      <c r="B4407" s="0" t="n">
        <v>1253921</v>
      </c>
      <c r="C4407" s="0" t="n">
        <v>1253941</v>
      </c>
      <c r="D4407" s="0" t="s">
        <v>14743</v>
      </c>
      <c r="E4407" s="0" t="s">
        <v>89</v>
      </c>
      <c r="F4407" s="0" t="s">
        <v>15</v>
      </c>
      <c r="G4407" s="0" t="s">
        <v>16</v>
      </c>
      <c r="H4407" s="0" t="n">
        <v>44</v>
      </c>
      <c r="I4407" s="0" t="s">
        <v>14744</v>
      </c>
      <c r="J4407" s="0" t="s">
        <v>14745</v>
      </c>
      <c r="K4407" s="0" t="s">
        <v>14746</v>
      </c>
      <c r="L4407" s="0" t="str">
        <f aca="false">HYPERLINK("https://www.ncbi.nlm.nih.gov/nuccore/CP000304.1?report=graph&amp;tracks=[key:gene_model_track,Options:GeneOnly]&amp;mk=1253922:1253941|offset_44|00cc00,1253947:1253966|offset_69|444444,1253987:1254006|offset_109|444444,1254055:1254074|offset_177|444444&amp;v=1253721:1254274&amp;c=444444", "offset 44")</f>
        <v>offset 44</v>
      </c>
    </row>
    <row r="4408" customFormat="false" ht="12.8" hidden="false" customHeight="false" outlineLevel="0" collapsed="false">
      <c r="A4408" s="0" t="s">
        <v>12</v>
      </c>
      <c r="B4408" s="0" t="n">
        <v>1253946</v>
      </c>
      <c r="C4408" s="0" t="n">
        <v>1253966</v>
      </c>
      <c r="D4408" s="0" t="s">
        <v>14743</v>
      </c>
      <c r="E4408" s="0" t="s">
        <v>89</v>
      </c>
      <c r="F4408" s="0" t="s">
        <v>15</v>
      </c>
      <c r="G4408" s="0" t="s">
        <v>16</v>
      </c>
      <c r="H4408" s="0" t="n">
        <v>69</v>
      </c>
      <c r="I4408" s="0" t="s">
        <v>14747</v>
      </c>
      <c r="J4408" s="0" t="s">
        <v>14748</v>
      </c>
      <c r="K4408" s="0" t="s">
        <v>14749</v>
      </c>
      <c r="L4408" s="0" t="str">
        <f aca="false">HYPERLINK("https://www.ncbi.nlm.nih.gov/nuccore/CP000304.1?report=graph&amp;tracks=[key:gene_model_track,Options:GeneOnly]&amp;mk=1253922:1253941|offset_44|444444,1253947:1253966|offset_69|00cc00,1253987:1254006|offset_109|444444,1254055:1254074|offset_177|444444&amp;v=1253721:1254274&amp;c=444444", "offset 69")</f>
        <v>offset 69</v>
      </c>
    </row>
    <row r="4409" customFormat="false" ht="12.8" hidden="false" customHeight="false" outlineLevel="0" collapsed="false">
      <c r="A4409" s="0" t="s">
        <v>12</v>
      </c>
      <c r="B4409" s="0" t="n">
        <v>1253986</v>
      </c>
      <c r="C4409" s="0" t="n">
        <v>1254006</v>
      </c>
      <c r="D4409" s="0" t="s">
        <v>14743</v>
      </c>
      <c r="E4409" s="0" t="s">
        <v>89</v>
      </c>
      <c r="F4409" s="0" t="s">
        <v>15</v>
      </c>
      <c r="G4409" s="0" t="s">
        <v>16</v>
      </c>
      <c r="H4409" s="0" t="n">
        <v>109</v>
      </c>
      <c r="I4409" s="0" t="s">
        <v>14750</v>
      </c>
      <c r="J4409" s="0" t="s">
        <v>14751</v>
      </c>
      <c r="K4409" s="0" t="s">
        <v>14752</v>
      </c>
      <c r="L4409" s="0" t="str">
        <f aca="false">HYPERLINK("https://www.ncbi.nlm.nih.gov/nuccore/CP000304.1?report=graph&amp;tracks=[key:gene_model_track,Options:GeneOnly]&amp;mk=1253922:1253941|offset_44|444444,1253947:1253966|offset_69|444444,1253987:1254006|offset_109|00cc00,1254055:1254074|offset_177|444444&amp;v=1253721:1254274&amp;c=444444", "offset 109")</f>
        <v>offset 109</v>
      </c>
    </row>
    <row r="4410" customFormat="false" ht="12.8" hidden="false" customHeight="false" outlineLevel="0" collapsed="false">
      <c r="A4410" s="0" t="s">
        <v>12</v>
      </c>
      <c r="B4410" s="0" t="n">
        <v>1254054</v>
      </c>
      <c r="C4410" s="0" t="n">
        <v>1254074</v>
      </c>
      <c r="D4410" s="0" t="s">
        <v>14743</v>
      </c>
      <c r="E4410" s="0" t="s">
        <v>89</v>
      </c>
      <c r="F4410" s="0" t="s">
        <v>15</v>
      </c>
      <c r="G4410" s="0" t="s">
        <v>16</v>
      </c>
      <c r="H4410" s="0" t="n">
        <v>177</v>
      </c>
      <c r="I4410" s="0" t="s">
        <v>14753</v>
      </c>
      <c r="J4410" s="0" t="s">
        <v>14754</v>
      </c>
      <c r="K4410" s="0" t="s">
        <v>14755</v>
      </c>
      <c r="L4410" s="0" t="str">
        <f aca="false">HYPERLINK("https://www.ncbi.nlm.nih.gov/nuccore/CP000304.1?report=graph&amp;tracks=[key:gene_model_track,Options:GeneOnly]&amp;mk=1253922:1253941|offset_44|444444,1253947:1253966|offset_69|444444,1253987:1254006|offset_109|444444,1254055:1254074|offset_177|00cc00&amp;v=1253721:1254274&amp;c=444444", "offset 177")</f>
        <v>offset 177</v>
      </c>
    </row>
    <row r="4411" customFormat="false" ht="12.8" hidden="false" customHeight="false" outlineLevel="0" collapsed="false">
      <c r="A4411" s="0" t="s">
        <v>12</v>
      </c>
      <c r="B4411" s="0" t="n">
        <v>1255043</v>
      </c>
      <c r="C4411" s="0" t="n">
        <v>1255063</v>
      </c>
      <c r="D4411" s="0" t="s">
        <v>14756</v>
      </c>
      <c r="E4411" s="0" t="s">
        <v>89</v>
      </c>
      <c r="F4411" s="0" t="s">
        <v>15</v>
      </c>
      <c r="G4411" s="0" t="s">
        <v>16</v>
      </c>
      <c r="H4411" s="0" t="n">
        <v>57</v>
      </c>
      <c r="I4411" s="0" t="s">
        <v>14757</v>
      </c>
      <c r="J4411" s="0" t="s">
        <v>14758</v>
      </c>
      <c r="K4411" s="0" t="s">
        <v>14759</v>
      </c>
      <c r="L4411" s="0" t="str">
        <f aca="false">HYPERLINK("https://www.ncbi.nlm.nih.gov/nuccore/CP000304.1?report=graph&amp;tracks=[key:gene_model_track,Options:GeneOnly]&amp;mk=1255044:1255063|offset_57|00cc00,1255067:1255086|offset_80|444444,1255135:1255154|offset_148|444444,1255158:1255177|offset_171|444444&amp;v=1254843:1255377&amp;c=444444", "offset 57")</f>
        <v>offset 57</v>
      </c>
    </row>
    <row r="4412" customFormat="false" ht="12.8" hidden="false" customHeight="false" outlineLevel="0" collapsed="false">
      <c r="A4412" s="0" t="s">
        <v>12</v>
      </c>
      <c r="B4412" s="0" t="n">
        <v>1255066</v>
      </c>
      <c r="C4412" s="0" t="n">
        <v>1255086</v>
      </c>
      <c r="D4412" s="0" t="s">
        <v>14756</v>
      </c>
      <c r="E4412" s="0" t="s">
        <v>89</v>
      </c>
      <c r="F4412" s="0" t="s">
        <v>15</v>
      </c>
      <c r="G4412" s="0" t="s">
        <v>32</v>
      </c>
      <c r="H4412" s="0" t="n">
        <v>80</v>
      </c>
      <c r="I4412" s="0" t="s">
        <v>14760</v>
      </c>
      <c r="J4412" s="0" t="s">
        <v>14761</v>
      </c>
      <c r="K4412" s="0" t="s">
        <v>14762</v>
      </c>
      <c r="L4412" s="0" t="str">
        <f aca="false">HYPERLINK("https://www.ncbi.nlm.nih.gov/nuccore/CP000304.1?report=graph&amp;tracks=[key:gene_model_track,Options:GeneOnly]&amp;mk=1255044:1255063|offset_57|444444,1255067:1255086|offset_80|00cc00,1255135:1255154|offset_148|444444,1255158:1255177|offset_171|444444&amp;v=1254843:1255377&amp;c=444444", "offset 80")</f>
        <v>offset 80</v>
      </c>
    </row>
    <row r="4413" customFormat="false" ht="12.8" hidden="false" customHeight="false" outlineLevel="0" collapsed="false">
      <c r="A4413" s="0" t="s">
        <v>12</v>
      </c>
      <c r="B4413" s="0" t="n">
        <v>1255134</v>
      </c>
      <c r="C4413" s="0" t="n">
        <v>1255154</v>
      </c>
      <c r="D4413" s="0" t="s">
        <v>14756</v>
      </c>
      <c r="E4413" s="0" t="s">
        <v>89</v>
      </c>
      <c r="F4413" s="0" t="s">
        <v>15</v>
      </c>
      <c r="G4413" s="0" t="s">
        <v>16</v>
      </c>
      <c r="H4413" s="0" t="n">
        <v>148</v>
      </c>
      <c r="I4413" s="0" t="s">
        <v>14763</v>
      </c>
      <c r="J4413" s="0" t="s">
        <v>14764</v>
      </c>
      <c r="K4413" s="0" t="s">
        <v>14765</v>
      </c>
      <c r="L4413" s="0" t="str">
        <f aca="false">HYPERLINK("https://www.ncbi.nlm.nih.gov/nuccore/CP000304.1?report=graph&amp;tracks=[key:gene_model_track,Options:GeneOnly]&amp;mk=1255044:1255063|offset_57|444444,1255067:1255086|offset_80|444444,1255135:1255154|offset_148|00cc00,1255158:1255177|offset_171|444444&amp;v=1254843:1255377&amp;c=444444", "offset 148")</f>
        <v>offset 148</v>
      </c>
    </row>
    <row r="4414" customFormat="false" ht="12.8" hidden="false" customHeight="false" outlineLevel="0" collapsed="false">
      <c r="A4414" s="0" t="s">
        <v>12</v>
      </c>
      <c r="B4414" s="0" t="n">
        <v>1255157</v>
      </c>
      <c r="C4414" s="0" t="n">
        <v>1255177</v>
      </c>
      <c r="D4414" s="0" t="s">
        <v>14756</v>
      </c>
      <c r="E4414" s="0" t="s">
        <v>89</v>
      </c>
      <c r="F4414" s="0" t="s">
        <v>15</v>
      </c>
      <c r="G4414" s="0" t="s">
        <v>16</v>
      </c>
      <c r="H4414" s="0" t="n">
        <v>171</v>
      </c>
      <c r="I4414" s="0" t="s">
        <v>14766</v>
      </c>
      <c r="J4414" s="0" t="s">
        <v>14767</v>
      </c>
      <c r="K4414" s="0" t="s">
        <v>14768</v>
      </c>
      <c r="L4414" s="0" t="str">
        <f aca="false">HYPERLINK("https://www.ncbi.nlm.nih.gov/nuccore/CP000304.1?report=graph&amp;tracks=[key:gene_model_track,Options:GeneOnly]&amp;mk=1255044:1255063|offset_57|444444,1255067:1255086|offset_80|444444,1255135:1255154|offset_148|444444,1255158:1255177|offset_171|00cc00&amp;v=1254843:1255377&amp;c=444444", "offset 171")</f>
        <v>offset 171</v>
      </c>
    </row>
    <row r="4415" customFormat="false" ht="12.8" hidden="false" customHeight="false" outlineLevel="0" collapsed="false">
      <c r="A4415" s="0" t="s">
        <v>12</v>
      </c>
      <c r="B4415" s="0" t="n">
        <v>1255722</v>
      </c>
      <c r="C4415" s="0" t="n">
        <v>1255742</v>
      </c>
      <c r="D4415" s="0" t="s">
        <v>14769</v>
      </c>
      <c r="E4415" s="0" t="s">
        <v>89</v>
      </c>
      <c r="F4415" s="0" t="s">
        <v>15</v>
      </c>
      <c r="G4415" s="0" t="s">
        <v>36</v>
      </c>
      <c r="H4415" s="0" t="n">
        <v>10</v>
      </c>
      <c r="I4415" s="0" t="s">
        <v>14770</v>
      </c>
      <c r="J4415" s="0" t="s">
        <v>14771</v>
      </c>
      <c r="K4415" s="0" t="s">
        <v>14772</v>
      </c>
      <c r="L4415" s="0" t="str">
        <f aca="false">HYPERLINK("https://www.ncbi.nlm.nih.gov/nuccore/CP000304.1?report=graph&amp;tracks=[key:gene_model_track,Options:GeneOnly]&amp;mk=1255723:1255742|offset_10|00cc00,1255755:1255774|offset_42|444444,1255782:1255801|offset_69|444444,1255807:1255826|offset_94|444444&amp;v=1255522:1256026&amp;c=444444", "offset 10")</f>
        <v>offset 10</v>
      </c>
    </row>
    <row r="4416" customFormat="false" ht="12.8" hidden="false" customHeight="false" outlineLevel="0" collapsed="false">
      <c r="A4416" s="0" t="s">
        <v>12</v>
      </c>
      <c r="B4416" s="0" t="n">
        <v>1255754</v>
      </c>
      <c r="C4416" s="0" t="n">
        <v>1255774</v>
      </c>
      <c r="D4416" s="0" t="s">
        <v>14769</v>
      </c>
      <c r="E4416" s="0" t="s">
        <v>89</v>
      </c>
      <c r="F4416" s="0" t="s">
        <v>15</v>
      </c>
      <c r="G4416" s="0" t="s">
        <v>32</v>
      </c>
      <c r="H4416" s="0" t="n">
        <v>42</v>
      </c>
      <c r="I4416" s="0" t="s">
        <v>14773</v>
      </c>
      <c r="J4416" s="0" t="s">
        <v>14774</v>
      </c>
      <c r="K4416" s="0" t="s">
        <v>14775</v>
      </c>
      <c r="L4416" s="0" t="str">
        <f aca="false">HYPERLINK("https://www.ncbi.nlm.nih.gov/nuccore/CP000304.1?report=graph&amp;tracks=[key:gene_model_track,Options:GeneOnly]&amp;mk=1255723:1255742|offset_10|444444,1255755:1255774|offset_42|00cc00,1255782:1255801|offset_69|444444,1255807:1255826|offset_94|444444&amp;v=1255522:1256026&amp;c=444444", "offset 42")</f>
        <v>offset 42</v>
      </c>
    </row>
    <row r="4417" customFormat="false" ht="12.8" hidden="false" customHeight="false" outlineLevel="0" collapsed="false">
      <c r="A4417" s="0" t="s">
        <v>12</v>
      </c>
      <c r="B4417" s="0" t="n">
        <v>1255781</v>
      </c>
      <c r="C4417" s="0" t="n">
        <v>1255801</v>
      </c>
      <c r="D4417" s="0" t="s">
        <v>14769</v>
      </c>
      <c r="E4417" s="0" t="s">
        <v>89</v>
      </c>
      <c r="F4417" s="0" t="s">
        <v>15</v>
      </c>
      <c r="G4417" s="0" t="s">
        <v>36</v>
      </c>
      <c r="H4417" s="0" t="n">
        <v>69</v>
      </c>
      <c r="I4417" s="0" t="s">
        <v>14776</v>
      </c>
      <c r="J4417" s="0" t="s">
        <v>14777</v>
      </c>
      <c r="K4417" s="0" t="s">
        <v>14778</v>
      </c>
      <c r="L4417" s="0" t="str">
        <f aca="false">HYPERLINK("https://www.ncbi.nlm.nih.gov/nuccore/CP000304.1?report=graph&amp;tracks=[key:gene_model_track,Options:GeneOnly]&amp;mk=1255723:1255742|offset_10|444444,1255755:1255774|offset_42|444444,1255782:1255801|offset_69|00cc00,1255807:1255826|offset_94|444444&amp;v=1255522:1256026&amp;c=444444", "offset 69")</f>
        <v>offset 69</v>
      </c>
    </row>
    <row r="4418" customFormat="false" ht="12.8" hidden="false" customHeight="false" outlineLevel="0" collapsed="false">
      <c r="A4418" s="0" t="s">
        <v>12</v>
      </c>
      <c r="B4418" s="0" t="n">
        <v>1255806</v>
      </c>
      <c r="C4418" s="0" t="n">
        <v>1255826</v>
      </c>
      <c r="D4418" s="0" t="s">
        <v>14769</v>
      </c>
      <c r="E4418" s="0" t="s">
        <v>89</v>
      </c>
      <c r="F4418" s="0" t="s">
        <v>15</v>
      </c>
      <c r="G4418" s="0" t="s">
        <v>32</v>
      </c>
      <c r="H4418" s="0" t="n">
        <v>94</v>
      </c>
      <c r="I4418" s="0" t="s">
        <v>14779</v>
      </c>
      <c r="J4418" s="0" t="s">
        <v>14780</v>
      </c>
      <c r="K4418" s="0" t="s">
        <v>14781</v>
      </c>
      <c r="L4418" s="0" t="str">
        <f aca="false">HYPERLINK("https://www.ncbi.nlm.nih.gov/nuccore/CP000304.1?report=graph&amp;tracks=[key:gene_model_track,Options:GeneOnly]&amp;mk=1255723:1255742|offset_10|444444,1255755:1255774|offset_42|444444,1255782:1255801|offset_69|444444,1255807:1255826|offset_94|00cc00&amp;v=1255522:1256026&amp;c=444444", "offset 94")</f>
        <v>offset 94</v>
      </c>
    </row>
    <row r="4419" customFormat="false" ht="12.8" hidden="false" customHeight="false" outlineLevel="0" collapsed="false">
      <c r="A4419" s="0" t="s">
        <v>12</v>
      </c>
      <c r="B4419" s="0" t="n">
        <v>1257547</v>
      </c>
      <c r="C4419" s="0" t="n">
        <v>1257567</v>
      </c>
      <c r="D4419" s="0" t="s">
        <v>14782</v>
      </c>
      <c r="E4419" s="0" t="s">
        <v>89</v>
      </c>
      <c r="F4419" s="0" t="s">
        <v>90</v>
      </c>
      <c r="G4419" s="0" t="s">
        <v>16</v>
      </c>
      <c r="H4419" s="0" t="n">
        <v>7</v>
      </c>
      <c r="I4419" s="0" t="s">
        <v>14783</v>
      </c>
      <c r="J4419" s="0" t="s">
        <v>14784</v>
      </c>
      <c r="K4419" s="0" t="s">
        <v>14785</v>
      </c>
      <c r="L4419" s="0" t="str">
        <f aca="false">HYPERLINK("https://www.ncbi.nlm.nih.gov/nuccore/CP000304.1?report=graph&amp;tracks=[key:gene_model_track,Options:GeneOnly]&amp;mk=1257548:1257567|offset_7|00cc00,1257512:1257531|offset_43|444444,1257484:1257503|offset_71|444444,1257449:1257468|offset_106|444444&amp;v=1257347:1257668&amp;c=444444", "offset 7")</f>
        <v>offset 7</v>
      </c>
    </row>
    <row r="4420" customFormat="false" ht="12.8" hidden="false" customHeight="false" outlineLevel="0" collapsed="false">
      <c r="A4420" s="0" t="s">
        <v>12</v>
      </c>
      <c r="B4420" s="0" t="n">
        <v>1257511</v>
      </c>
      <c r="C4420" s="0" t="n">
        <v>1257531</v>
      </c>
      <c r="D4420" s="0" t="s">
        <v>14782</v>
      </c>
      <c r="E4420" s="0" t="s">
        <v>89</v>
      </c>
      <c r="F4420" s="0" t="s">
        <v>90</v>
      </c>
      <c r="G4420" s="0" t="s">
        <v>16</v>
      </c>
      <c r="H4420" s="0" t="n">
        <v>43</v>
      </c>
      <c r="I4420" s="0" t="s">
        <v>14786</v>
      </c>
      <c r="J4420" s="0" t="s">
        <v>14787</v>
      </c>
      <c r="K4420" s="0" t="s">
        <v>14788</v>
      </c>
      <c r="L4420" s="0" t="str">
        <f aca="false">HYPERLINK("https://www.ncbi.nlm.nih.gov/nuccore/CP000304.1?report=graph&amp;tracks=[key:gene_model_track,Options:GeneOnly]&amp;mk=1257548:1257567|offset_7|444444,1257512:1257531|offset_43|00cc00,1257484:1257503|offset_71|444444,1257449:1257468|offset_106|444444&amp;v=1257347:1257668&amp;c=444444", "offset 43")</f>
        <v>offset 43</v>
      </c>
    </row>
    <row r="4421" customFormat="false" ht="12.8" hidden="false" customHeight="false" outlineLevel="0" collapsed="false">
      <c r="A4421" s="0" t="s">
        <v>12</v>
      </c>
      <c r="B4421" s="0" t="n">
        <v>1257483</v>
      </c>
      <c r="C4421" s="0" t="n">
        <v>1257503</v>
      </c>
      <c r="D4421" s="0" t="s">
        <v>14782</v>
      </c>
      <c r="E4421" s="0" t="s">
        <v>89</v>
      </c>
      <c r="F4421" s="0" t="s">
        <v>90</v>
      </c>
      <c r="G4421" s="0" t="s">
        <v>32</v>
      </c>
      <c r="H4421" s="0" t="n">
        <v>71</v>
      </c>
      <c r="I4421" s="0" t="s">
        <v>14789</v>
      </c>
      <c r="J4421" s="0" t="s">
        <v>14790</v>
      </c>
      <c r="K4421" s="0" t="s">
        <v>14791</v>
      </c>
      <c r="L4421" s="0" t="str">
        <f aca="false">HYPERLINK("https://www.ncbi.nlm.nih.gov/nuccore/CP000304.1?report=graph&amp;tracks=[key:gene_model_track,Options:GeneOnly]&amp;mk=1257548:1257567|offset_7|444444,1257512:1257531|offset_43|444444,1257484:1257503|offset_71|00cc00,1257449:1257468|offset_106|444444&amp;v=1257347:1257668&amp;c=444444", "offset 71")</f>
        <v>offset 71</v>
      </c>
    </row>
    <row r="4422" customFormat="false" ht="12.8" hidden="false" customHeight="false" outlineLevel="0" collapsed="false">
      <c r="A4422" s="0" t="s">
        <v>12</v>
      </c>
      <c r="B4422" s="0" t="n">
        <v>1257448</v>
      </c>
      <c r="C4422" s="0" t="n">
        <v>1257468</v>
      </c>
      <c r="D4422" s="0" t="s">
        <v>14782</v>
      </c>
      <c r="E4422" s="0" t="s">
        <v>89</v>
      </c>
      <c r="F4422" s="0" t="s">
        <v>90</v>
      </c>
      <c r="G4422" s="0" t="s">
        <v>26</v>
      </c>
      <c r="H4422" s="0" t="n">
        <v>106</v>
      </c>
      <c r="I4422" s="0" t="s">
        <v>14792</v>
      </c>
      <c r="J4422" s="0" t="s">
        <v>14793</v>
      </c>
      <c r="K4422" s="0" t="s">
        <v>14794</v>
      </c>
      <c r="L4422" s="0" t="str">
        <f aca="false">HYPERLINK("https://www.ncbi.nlm.nih.gov/nuccore/CP000304.1?report=graph&amp;tracks=[key:gene_model_track,Options:GeneOnly]&amp;mk=1257548:1257567|offset_7|444444,1257512:1257531|offset_43|444444,1257484:1257503|offset_71|444444,1257449:1257468|offset_106|00cc00&amp;v=1257347:1257668&amp;c=444444", "offset 106")</f>
        <v>offset 106</v>
      </c>
    </row>
    <row r="4423" customFormat="false" ht="12.8" hidden="false" customHeight="false" outlineLevel="0" collapsed="false">
      <c r="A4423" s="0" t="s">
        <v>12</v>
      </c>
      <c r="B4423" s="0" t="n">
        <v>1257769</v>
      </c>
      <c r="C4423" s="0" t="n">
        <v>1257789</v>
      </c>
      <c r="D4423" s="0" t="s">
        <v>14795</v>
      </c>
      <c r="E4423" s="0" t="s">
        <v>89</v>
      </c>
      <c r="F4423" s="0" t="s">
        <v>15</v>
      </c>
      <c r="G4423" s="0" t="s">
        <v>26</v>
      </c>
      <c r="H4423" s="0" t="n">
        <v>0</v>
      </c>
      <c r="I4423" s="0" t="s">
        <v>14796</v>
      </c>
      <c r="J4423" s="0" t="s">
        <v>14797</v>
      </c>
      <c r="K4423" s="0" t="s">
        <v>14798</v>
      </c>
      <c r="L4423" s="0" t="str">
        <f aca="false">HYPERLINK("https://www.ncbi.nlm.nih.gov/nuccore/CP000304.1?report=graph&amp;tracks=[key:gene_model_track,Options:GeneOnly]&amp;mk=1257770:1257789|offset_0|00cc00,1257795:1257814|offset_25|444444,1257846:1257865|offset_76|444444,1257876:1257895|offset_106|444444&amp;v=1257569:1258095&amp;c=444444", "offset 0")</f>
        <v>offset 0</v>
      </c>
    </row>
    <row r="4424" customFormat="false" ht="12.8" hidden="false" customHeight="false" outlineLevel="0" collapsed="false">
      <c r="A4424" s="0" t="s">
        <v>12</v>
      </c>
      <c r="B4424" s="0" t="n">
        <v>1257794</v>
      </c>
      <c r="C4424" s="0" t="n">
        <v>1257814</v>
      </c>
      <c r="D4424" s="0" t="s">
        <v>14795</v>
      </c>
      <c r="E4424" s="0" t="s">
        <v>89</v>
      </c>
      <c r="F4424" s="0" t="s">
        <v>15</v>
      </c>
      <c r="G4424" s="0" t="s">
        <v>16</v>
      </c>
      <c r="H4424" s="0" t="n">
        <v>25</v>
      </c>
      <c r="I4424" s="0" t="s">
        <v>14799</v>
      </c>
      <c r="J4424" s="0" t="s">
        <v>14800</v>
      </c>
      <c r="K4424" s="0" t="s">
        <v>14801</v>
      </c>
      <c r="L4424" s="0" t="str">
        <f aca="false">HYPERLINK("https://www.ncbi.nlm.nih.gov/nuccore/CP000304.1?report=graph&amp;tracks=[key:gene_model_track,Options:GeneOnly]&amp;mk=1257770:1257789|offset_0|444444,1257795:1257814|offset_25|00cc00,1257846:1257865|offset_76|444444,1257876:1257895|offset_106|444444&amp;v=1257569:1258095&amp;c=444444", "offset 25")</f>
        <v>offset 25</v>
      </c>
    </row>
    <row r="4425" customFormat="false" ht="12.8" hidden="false" customHeight="false" outlineLevel="0" collapsed="false">
      <c r="A4425" s="0" t="s">
        <v>12</v>
      </c>
      <c r="B4425" s="0" t="n">
        <v>1257845</v>
      </c>
      <c r="C4425" s="0" t="n">
        <v>1257865</v>
      </c>
      <c r="D4425" s="0" t="s">
        <v>14795</v>
      </c>
      <c r="E4425" s="0" t="s">
        <v>89</v>
      </c>
      <c r="F4425" s="0" t="s">
        <v>15</v>
      </c>
      <c r="G4425" s="0" t="s">
        <v>16</v>
      </c>
      <c r="H4425" s="0" t="n">
        <v>76</v>
      </c>
      <c r="I4425" s="0" t="s">
        <v>14802</v>
      </c>
      <c r="J4425" s="0" t="s">
        <v>14803</v>
      </c>
      <c r="K4425" s="0" t="s">
        <v>14804</v>
      </c>
      <c r="L4425" s="0" t="str">
        <f aca="false">HYPERLINK("https://www.ncbi.nlm.nih.gov/nuccore/CP000304.1?report=graph&amp;tracks=[key:gene_model_track,Options:GeneOnly]&amp;mk=1257770:1257789|offset_0|444444,1257795:1257814|offset_25|444444,1257846:1257865|offset_76|00cc00,1257876:1257895|offset_106|444444&amp;v=1257569:1258095&amp;c=444444", "offset 76")</f>
        <v>offset 76</v>
      </c>
    </row>
    <row r="4426" customFormat="false" ht="12.8" hidden="false" customHeight="false" outlineLevel="0" collapsed="false">
      <c r="A4426" s="0" t="s">
        <v>12</v>
      </c>
      <c r="B4426" s="0" t="n">
        <v>1257875</v>
      </c>
      <c r="C4426" s="0" t="n">
        <v>1257895</v>
      </c>
      <c r="D4426" s="0" t="s">
        <v>14795</v>
      </c>
      <c r="E4426" s="0" t="s">
        <v>89</v>
      </c>
      <c r="F4426" s="0" t="s">
        <v>15</v>
      </c>
      <c r="G4426" s="0" t="s">
        <v>26</v>
      </c>
      <c r="H4426" s="0" t="n">
        <v>106</v>
      </c>
      <c r="I4426" s="0" t="s">
        <v>14805</v>
      </c>
      <c r="J4426" s="0" t="s">
        <v>14806</v>
      </c>
      <c r="K4426" s="0" t="s">
        <v>14807</v>
      </c>
      <c r="L4426" s="0" t="str">
        <f aca="false">HYPERLINK("https://www.ncbi.nlm.nih.gov/nuccore/CP000304.1?report=graph&amp;tracks=[key:gene_model_track,Options:GeneOnly]&amp;mk=1257770:1257789|offset_0|444444,1257795:1257814|offset_25|444444,1257846:1257865|offset_76|444444,1257876:1257895|offset_106|00cc00&amp;v=1257569:1258095&amp;c=444444", "offset 106")</f>
        <v>offset 106</v>
      </c>
    </row>
    <row r="4427" customFormat="false" ht="12.8" hidden="false" customHeight="false" outlineLevel="0" collapsed="false">
      <c r="A4427" s="0" t="s">
        <v>12</v>
      </c>
      <c r="B4427" s="0" t="n">
        <v>1258906</v>
      </c>
      <c r="C4427" s="0" t="n">
        <v>1258926</v>
      </c>
      <c r="D4427" s="0" t="s">
        <v>14808</v>
      </c>
      <c r="E4427" s="0" t="s">
        <v>89</v>
      </c>
      <c r="F4427" s="0" t="s">
        <v>15</v>
      </c>
      <c r="G4427" s="0" t="s">
        <v>16</v>
      </c>
      <c r="H4427" s="0" t="n">
        <v>101</v>
      </c>
      <c r="I4427" s="0" t="s">
        <v>14809</v>
      </c>
      <c r="J4427" s="0" t="s">
        <v>14810</v>
      </c>
      <c r="K4427" s="0" t="s">
        <v>14811</v>
      </c>
      <c r="L4427" s="0" t="str">
        <f aca="false">HYPERLINK("https://www.ncbi.nlm.nih.gov/nuccore/CP000304.1?report=graph&amp;tracks=[key:gene_model_track,Options:GeneOnly]&amp;mk=1258907:1258926|offset_101|00cc00,1258930:1258949|offset_124|444444,1258986:1259005|offset_180|444444,1259012:1259031|offset_206|444444&amp;v=1258706:1259231&amp;c=444444", "offset 101")</f>
        <v>offset 101</v>
      </c>
    </row>
    <row r="4428" customFormat="false" ht="12.8" hidden="false" customHeight="false" outlineLevel="0" collapsed="false">
      <c r="A4428" s="0" t="s">
        <v>12</v>
      </c>
      <c r="B4428" s="0" t="n">
        <v>1258929</v>
      </c>
      <c r="C4428" s="0" t="n">
        <v>1258949</v>
      </c>
      <c r="D4428" s="0" t="s">
        <v>14808</v>
      </c>
      <c r="E4428" s="0" t="s">
        <v>89</v>
      </c>
      <c r="F4428" s="0" t="s">
        <v>15</v>
      </c>
      <c r="G4428" s="0" t="s">
        <v>16</v>
      </c>
      <c r="H4428" s="0" t="n">
        <v>124</v>
      </c>
      <c r="I4428" s="0" t="s">
        <v>14812</v>
      </c>
      <c r="J4428" s="0" t="s">
        <v>14813</v>
      </c>
      <c r="K4428" s="0" t="s">
        <v>14814</v>
      </c>
      <c r="L4428" s="0" t="str">
        <f aca="false">HYPERLINK("https://www.ncbi.nlm.nih.gov/nuccore/CP000304.1?report=graph&amp;tracks=[key:gene_model_track,Options:GeneOnly]&amp;mk=1258907:1258926|offset_101|444444,1258930:1258949|offset_124|00cc00,1258986:1259005|offset_180|444444,1259012:1259031|offset_206|444444&amp;v=1258706:1259231&amp;c=444444", "offset 124")</f>
        <v>offset 124</v>
      </c>
    </row>
    <row r="4429" customFormat="false" ht="12.8" hidden="false" customHeight="false" outlineLevel="0" collapsed="false">
      <c r="A4429" s="0" t="s">
        <v>12</v>
      </c>
      <c r="B4429" s="0" t="n">
        <v>1258985</v>
      </c>
      <c r="C4429" s="0" t="n">
        <v>1259005</v>
      </c>
      <c r="D4429" s="0" t="s">
        <v>14808</v>
      </c>
      <c r="E4429" s="0" t="s">
        <v>89</v>
      </c>
      <c r="F4429" s="0" t="s">
        <v>15</v>
      </c>
      <c r="G4429" s="0" t="s">
        <v>36</v>
      </c>
      <c r="H4429" s="0" t="n">
        <v>180</v>
      </c>
      <c r="I4429" s="0" t="s">
        <v>14815</v>
      </c>
      <c r="J4429" s="0" t="s">
        <v>14816</v>
      </c>
      <c r="K4429" s="0" t="s">
        <v>14817</v>
      </c>
      <c r="L4429" s="0" t="str">
        <f aca="false">HYPERLINK("https://www.ncbi.nlm.nih.gov/nuccore/CP000304.1?report=graph&amp;tracks=[key:gene_model_track,Options:GeneOnly]&amp;mk=1258907:1258926|offset_101|444444,1258930:1258949|offset_124|444444,1258986:1259005|offset_180|00cc00,1259012:1259031|offset_206|444444&amp;v=1258706:1259231&amp;c=444444", "offset 180")</f>
        <v>offset 180</v>
      </c>
    </row>
    <row r="4430" customFormat="false" ht="12.8" hidden="false" customHeight="false" outlineLevel="0" collapsed="false">
      <c r="A4430" s="0" t="s">
        <v>12</v>
      </c>
      <c r="B4430" s="0" t="n">
        <v>1259011</v>
      </c>
      <c r="C4430" s="0" t="n">
        <v>1259031</v>
      </c>
      <c r="D4430" s="0" t="s">
        <v>14808</v>
      </c>
      <c r="E4430" s="0" t="s">
        <v>89</v>
      </c>
      <c r="F4430" s="0" t="s">
        <v>15</v>
      </c>
      <c r="G4430" s="0" t="s">
        <v>32</v>
      </c>
      <c r="H4430" s="0" t="n">
        <v>206</v>
      </c>
      <c r="I4430" s="0" t="s">
        <v>14818</v>
      </c>
      <c r="J4430" s="0" t="s">
        <v>14819</v>
      </c>
      <c r="K4430" s="0" t="s">
        <v>14820</v>
      </c>
      <c r="L4430" s="0" t="str">
        <f aca="false">HYPERLINK("https://www.ncbi.nlm.nih.gov/nuccore/CP000304.1?report=graph&amp;tracks=[key:gene_model_track,Options:GeneOnly]&amp;mk=1258907:1258926|offset_101|444444,1258930:1258949|offset_124|444444,1258986:1259005|offset_180|444444,1259012:1259031|offset_206|00cc00&amp;v=1258706:1259231&amp;c=444444", "offset 206")</f>
        <v>offset 206</v>
      </c>
    </row>
    <row r="4431" customFormat="false" ht="12.8" hidden="false" customHeight="false" outlineLevel="0" collapsed="false">
      <c r="A4431" s="0" t="s">
        <v>12</v>
      </c>
      <c r="B4431" s="0" t="n">
        <v>1261301</v>
      </c>
      <c r="C4431" s="0" t="n">
        <v>1261321</v>
      </c>
      <c r="D4431" s="0" t="s">
        <v>14821</v>
      </c>
      <c r="E4431" s="0" t="s">
        <v>14822</v>
      </c>
      <c r="F4431" s="0" t="s">
        <v>90</v>
      </c>
      <c r="G4431" s="0" t="s">
        <v>32</v>
      </c>
      <c r="H4431" s="0" t="n">
        <v>19</v>
      </c>
      <c r="I4431" s="0" t="s">
        <v>14823</v>
      </c>
      <c r="J4431" s="0" t="s">
        <v>14824</v>
      </c>
      <c r="K4431" s="0" t="s">
        <v>14825</v>
      </c>
      <c r="L4431" s="0" t="str">
        <f aca="false">HYPERLINK("https://www.ncbi.nlm.nih.gov/nuccore/CP000304.1?report=graph&amp;tracks=[key:gene_model_track,Options:GeneOnly]&amp;mk=1261302:1261321|offset_19|00cc00,1261280:1261299|offset_41|444444,1261221:1261240|offset_100|444444,1261196:1261215|offset_125|444444&amp;v=1261101:1261415&amp;c=444444", "offset 19")</f>
        <v>offset 19</v>
      </c>
    </row>
    <row r="4432" customFormat="false" ht="12.8" hidden="false" customHeight="false" outlineLevel="0" collapsed="false">
      <c r="A4432" s="0" t="s">
        <v>12</v>
      </c>
      <c r="B4432" s="0" t="n">
        <v>1261279</v>
      </c>
      <c r="C4432" s="0" t="n">
        <v>1261299</v>
      </c>
      <c r="D4432" s="0" t="s">
        <v>14821</v>
      </c>
      <c r="E4432" s="0" t="s">
        <v>14822</v>
      </c>
      <c r="F4432" s="0" t="s">
        <v>90</v>
      </c>
      <c r="G4432" s="0" t="s">
        <v>36</v>
      </c>
      <c r="H4432" s="0" t="n">
        <v>41</v>
      </c>
      <c r="I4432" s="0" t="s">
        <v>14826</v>
      </c>
      <c r="J4432" s="0" t="s">
        <v>14827</v>
      </c>
      <c r="K4432" s="0" t="s">
        <v>14828</v>
      </c>
      <c r="L4432" s="0" t="str">
        <f aca="false">HYPERLINK("https://www.ncbi.nlm.nih.gov/nuccore/CP000304.1?report=graph&amp;tracks=[key:gene_model_track,Options:GeneOnly]&amp;mk=1261302:1261321|offset_19|444444,1261280:1261299|offset_41|00cc00,1261221:1261240|offset_100|444444,1261196:1261215|offset_125|444444&amp;v=1261101:1261415&amp;c=444444", "offset 41")</f>
        <v>offset 41</v>
      </c>
    </row>
    <row r="4433" customFormat="false" ht="12.8" hidden="false" customHeight="false" outlineLevel="0" collapsed="false">
      <c r="A4433" s="0" t="s">
        <v>12</v>
      </c>
      <c r="B4433" s="0" t="n">
        <v>1261220</v>
      </c>
      <c r="C4433" s="0" t="n">
        <v>1261240</v>
      </c>
      <c r="D4433" s="0" t="s">
        <v>14821</v>
      </c>
      <c r="E4433" s="0" t="s">
        <v>14822</v>
      </c>
      <c r="F4433" s="0" t="s">
        <v>90</v>
      </c>
      <c r="G4433" s="0" t="s">
        <v>36</v>
      </c>
      <c r="H4433" s="0" t="n">
        <v>100</v>
      </c>
      <c r="I4433" s="0" t="s">
        <v>14829</v>
      </c>
      <c r="J4433" s="0" t="s">
        <v>14830</v>
      </c>
      <c r="K4433" s="0" t="s">
        <v>14831</v>
      </c>
      <c r="L4433" s="0" t="str">
        <f aca="false">HYPERLINK("https://www.ncbi.nlm.nih.gov/nuccore/CP000304.1?report=graph&amp;tracks=[key:gene_model_track,Options:GeneOnly]&amp;mk=1261302:1261321|offset_19|444444,1261280:1261299|offset_41|444444,1261221:1261240|offset_100|00cc00,1261196:1261215|offset_125|444444&amp;v=1261101:1261415&amp;c=444444", "offset 100")</f>
        <v>offset 100</v>
      </c>
    </row>
    <row r="4434" customFormat="false" ht="12.8" hidden="false" customHeight="false" outlineLevel="0" collapsed="false">
      <c r="A4434" s="0" t="s">
        <v>12</v>
      </c>
      <c r="B4434" s="0" t="n">
        <v>1261195</v>
      </c>
      <c r="C4434" s="0" t="n">
        <v>1261215</v>
      </c>
      <c r="D4434" s="0" t="s">
        <v>14821</v>
      </c>
      <c r="E4434" s="0" t="s">
        <v>14822</v>
      </c>
      <c r="F4434" s="0" t="s">
        <v>90</v>
      </c>
      <c r="G4434" s="0" t="s">
        <v>36</v>
      </c>
      <c r="H4434" s="0" t="n">
        <v>125</v>
      </c>
      <c r="I4434" s="0" t="s">
        <v>14832</v>
      </c>
      <c r="J4434" s="0" t="s">
        <v>14833</v>
      </c>
      <c r="K4434" s="0" t="s">
        <v>14834</v>
      </c>
      <c r="L4434" s="0" t="str">
        <f aca="false">HYPERLINK("https://www.ncbi.nlm.nih.gov/nuccore/CP000304.1?report=graph&amp;tracks=[key:gene_model_track,Options:GeneOnly]&amp;mk=1261302:1261321|offset_19|444444,1261280:1261299|offset_41|444444,1261221:1261240|offset_100|444444,1261196:1261215|offset_125|00cc00&amp;v=1261101:1261415&amp;c=444444", "offset 125")</f>
        <v>offset 125</v>
      </c>
    </row>
    <row r="4435" customFormat="false" ht="12.8" hidden="false" customHeight="false" outlineLevel="0" collapsed="false">
      <c r="A4435" s="0" t="s">
        <v>12</v>
      </c>
      <c r="B4435" s="0" t="n">
        <v>1261490</v>
      </c>
      <c r="C4435" s="0" t="n">
        <v>1261510</v>
      </c>
      <c r="D4435" s="0" t="s">
        <v>14835</v>
      </c>
      <c r="E4435" s="0" t="s">
        <v>89</v>
      </c>
      <c r="F4435" s="0" t="s">
        <v>15</v>
      </c>
      <c r="G4435" s="0" t="s">
        <v>36</v>
      </c>
      <c r="H4435" s="0" t="n">
        <v>0</v>
      </c>
      <c r="I4435" s="0" t="s">
        <v>14836</v>
      </c>
      <c r="J4435" s="0" t="s">
        <v>14837</v>
      </c>
      <c r="K4435" s="0" t="s">
        <v>14838</v>
      </c>
      <c r="L4435" s="0" t="str">
        <f aca="false">HYPERLINK("https://www.ncbi.nlm.nih.gov/nuccore/CP000304.1?report=graph&amp;tracks=[key:gene_model_track,Options:GeneOnly]&amp;mk=1261491:1261510|offset_0|00cc00,1261522:1261541|offset_31|444444,1261546:1261565|offset_55|444444,1261583:1261602|offset_92|444444&amp;v=1261290:1261802&amp;c=444444", "offset 0")</f>
        <v>offset 0</v>
      </c>
    </row>
    <row r="4436" customFormat="false" ht="12.8" hidden="false" customHeight="false" outlineLevel="0" collapsed="false">
      <c r="A4436" s="0" t="s">
        <v>12</v>
      </c>
      <c r="B4436" s="0" t="n">
        <v>1261521</v>
      </c>
      <c r="C4436" s="0" t="n">
        <v>1261541</v>
      </c>
      <c r="D4436" s="0" t="s">
        <v>14835</v>
      </c>
      <c r="E4436" s="0" t="s">
        <v>89</v>
      </c>
      <c r="F4436" s="0" t="s">
        <v>15</v>
      </c>
      <c r="G4436" s="0" t="s">
        <v>36</v>
      </c>
      <c r="H4436" s="0" t="n">
        <v>31</v>
      </c>
      <c r="I4436" s="0" t="s">
        <v>14839</v>
      </c>
      <c r="J4436" s="0" t="s">
        <v>14840</v>
      </c>
      <c r="K4436" s="0" t="s">
        <v>14841</v>
      </c>
      <c r="L4436" s="0" t="str">
        <f aca="false">HYPERLINK("https://www.ncbi.nlm.nih.gov/nuccore/CP000304.1?report=graph&amp;tracks=[key:gene_model_track,Options:GeneOnly]&amp;mk=1261491:1261510|offset_0|444444,1261522:1261541|offset_31|00cc00,1261546:1261565|offset_55|444444,1261583:1261602|offset_92|444444&amp;v=1261290:1261802&amp;c=444444", "offset 31")</f>
        <v>offset 31</v>
      </c>
    </row>
    <row r="4437" customFormat="false" ht="12.8" hidden="false" customHeight="false" outlineLevel="0" collapsed="false">
      <c r="A4437" s="0" t="s">
        <v>12</v>
      </c>
      <c r="B4437" s="0" t="n">
        <v>1261545</v>
      </c>
      <c r="C4437" s="0" t="n">
        <v>1261565</v>
      </c>
      <c r="D4437" s="0" t="s">
        <v>14835</v>
      </c>
      <c r="E4437" s="0" t="s">
        <v>89</v>
      </c>
      <c r="F4437" s="0" t="s">
        <v>15</v>
      </c>
      <c r="G4437" s="0" t="s">
        <v>36</v>
      </c>
      <c r="H4437" s="0" t="n">
        <v>55</v>
      </c>
      <c r="I4437" s="0" t="s">
        <v>14842</v>
      </c>
      <c r="J4437" s="0" t="s">
        <v>14843</v>
      </c>
      <c r="K4437" s="0" t="s">
        <v>14844</v>
      </c>
      <c r="L4437" s="0" t="str">
        <f aca="false">HYPERLINK("https://www.ncbi.nlm.nih.gov/nuccore/CP000304.1?report=graph&amp;tracks=[key:gene_model_track,Options:GeneOnly]&amp;mk=1261491:1261510|offset_0|444444,1261522:1261541|offset_31|444444,1261546:1261565|offset_55|00cc00,1261583:1261602|offset_92|444444&amp;v=1261290:1261802&amp;c=444444", "offset 55")</f>
        <v>offset 55</v>
      </c>
    </row>
    <row r="4438" customFormat="false" ht="12.8" hidden="false" customHeight="false" outlineLevel="0" collapsed="false">
      <c r="A4438" s="0" t="s">
        <v>12</v>
      </c>
      <c r="B4438" s="0" t="n">
        <v>1261582</v>
      </c>
      <c r="C4438" s="0" t="n">
        <v>1261602</v>
      </c>
      <c r="D4438" s="0" t="s">
        <v>14835</v>
      </c>
      <c r="E4438" s="0" t="s">
        <v>89</v>
      </c>
      <c r="F4438" s="0" t="s">
        <v>15</v>
      </c>
      <c r="G4438" s="0" t="s">
        <v>16</v>
      </c>
      <c r="H4438" s="0" t="n">
        <v>92</v>
      </c>
      <c r="I4438" s="0" t="s">
        <v>14845</v>
      </c>
      <c r="J4438" s="0" t="s">
        <v>14846</v>
      </c>
      <c r="K4438" s="0" t="s">
        <v>14847</v>
      </c>
      <c r="L4438" s="0" t="str">
        <f aca="false">HYPERLINK("https://www.ncbi.nlm.nih.gov/nuccore/CP000304.1?report=graph&amp;tracks=[key:gene_model_track,Options:GeneOnly]&amp;mk=1261491:1261510|offset_0|444444,1261522:1261541|offset_31|444444,1261546:1261565|offset_55|444444,1261583:1261602|offset_92|00cc00&amp;v=1261290:1261802&amp;c=444444", "offset 92")</f>
        <v>offset 92</v>
      </c>
    </row>
    <row r="4439" customFormat="false" ht="12.8" hidden="false" customHeight="false" outlineLevel="0" collapsed="false">
      <c r="A4439" s="0" t="s">
        <v>12</v>
      </c>
      <c r="B4439" s="0" t="n">
        <v>1261916</v>
      </c>
      <c r="C4439" s="0" t="n">
        <v>1261936</v>
      </c>
      <c r="D4439" s="0" t="s">
        <v>14848</v>
      </c>
      <c r="E4439" s="0" t="s">
        <v>89</v>
      </c>
      <c r="F4439" s="0" t="s">
        <v>15</v>
      </c>
      <c r="G4439" s="0" t="s">
        <v>36</v>
      </c>
      <c r="H4439" s="0" t="n">
        <v>22</v>
      </c>
      <c r="I4439" s="0" t="s">
        <v>14849</v>
      </c>
      <c r="J4439" s="0" t="s">
        <v>14850</v>
      </c>
      <c r="K4439" s="0" t="s">
        <v>14851</v>
      </c>
      <c r="L4439" s="0" t="str">
        <f aca="false">HYPERLINK("https://www.ncbi.nlm.nih.gov/nuccore/CP000304.1?report=graph&amp;tracks=[key:gene_model_track,Options:GeneOnly]&amp;mk=1261917:1261936|offset_22|00cc00,1261944:1261963|offset_49|444444,1261971:1261990|offset_76|444444,1262000:1262019|offset_105|444444&amp;v=1261716:1262219&amp;c=444444", "offset 22")</f>
        <v>offset 22</v>
      </c>
    </row>
    <row r="4440" customFormat="false" ht="12.8" hidden="false" customHeight="false" outlineLevel="0" collapsed="false">
      <c r="A4440" s="0" t="s">
        <v>12</v>
      </c>
      <c r="B4440" s="0" t="n">
        <v>1261943</v>
      </c>
      <c r="C4440" s="0" t="n">
        <v>1261963</v>
      </c>
      <c r="D4440" s="0" t="s">
        <v>14848</v>
      </c>
      <c r="E4440" s="0" t="s">
        <v>89</v>
      </c>
      <c r="F4440" s="0" t="s">
        <v>15</v>
      </c>
      <c r="G4440" s="0" t="s">
        <v>16</v>
      </c>
      <c r="H4440" s="0" t="n">
        <v>49</v>
      </c>
      <c r="I4440" s="0" t="s">
        <v>14852</v>
      </c>
      <c r="J4440" s="0" t="s">
        <v>14853</v>
      </c>
      <c r="K4440" s="0" t="s">
        <v>14854</v>
      </c>
      <c r="L4440" s="0" t="str">
        <f aca="false">HYPERLINK("https://www.ncbi.nlm.nih.gov/nuccore/CP000304.1?report=graph&amp;tracks=[key:gene_model_track,Options:GeneOnly]&amp;mk=1261917:1261936|offset_22|444444,1261944:1261963|offset_49|00cc00,1261971:1261990|offset_76|444444,1262000:1262019|offset_105|444444&amp;v=1261716:1262219&amp;c=444444", "offset 49")</f>
        <v>offset 49</v>
      </c>
    </row>
    <row r="4441" customFormat="false" ht="12.8" hidden="false" customHeight="false" outlineLevel="0" collapsed="false">
      <c r="A4441" s="0" t="s">
        <v>12</v>
      </c>
      <c r="B4441" s="0" t="n">
        <v>1261970</v>
      </c>
      <c r="C4441" s="0" t="n">
        <v>1261990</v>
      </c>
      <c r="D4441" s="0" t="s">
        <v>14848</v>
      </c>
      <c r="E4441" s="0" t="s">
        <v>89</v>
      </c>
      <c r="F4441" s="0" t="s">
        <v>15</v>
      </c>
      <c r="G4441" s="0" t="s">
        <v>16</v>
      </c>
      <c r="H4441" s="0" t="n">
        <v>76</v>
      </c>
      <c r="I4441" s="0" t="s">
        <v>14855</v>
      </c>
      <c r="J4441" s="0" t="s">
        <v>14856</v>
      </c>
      <c r="K4441" s="0" t="s">
        <v>14857</v>
      </c>
      <c r="L4441" s="0" t="str">
        <f aca="false">HYPERLINK("https://www.ncbi.nlm.nih.gov/nuccore/CP000304.1?report=graph&amp;tracks=[key:gene_model_track,Options:GeneOnly]&amp;mk=1261917:1261936|offset_22|444444,1261944:1261963|offset_49|444444,1261971:1261990|offset_76|00cc00,1262000:1262019|offset_105|444444&amp;v=1261716:1262219&amp;c=444444", "offset 76")</f>
        <v>offset 76</v>
      </c>
    </row>
    <row r="4442" customFormat="false" ht="12.8" hidden="false" customHeight="false" outlineLevel="0" collapsed="false">
      <c r="A4442" s="0" t="s">
        <v>12</v>
      </c>
      <c r="B4442" s="0" t="n">
        <v>1261999</v>
      </c>
      <c r="C4442" s="0" t="n">
        <v>1262019</v>
      </c>
      <c r="D4442" s="0" t="s">
        <v>14848</v>
      </c>
      <c r="E4442" s="0" t="s">
        <v>89</v>
      </c>
      <c r="F4442" s="0" t="s">
        <v>15</v>
      </c>
      <c r="G4442" s="0" t="s">
        <v>16</v>
      </c>
      <c r="H4442" s="0" t="n">
        <v>105</v>
      </c>
      <c r="I4442" s="0" t="s">
        <v>14858</v>
      </c>
      <c r="J4442" s="0" t="s">
        <v>14859</v>
      </c>
      <c r="K4442" s="0" t="s">
        <v>14860</v>
      </c>
      <c r="L4442" s="0" t="str">
        <f aca="false">HYPERLINK("https://www.ncbi.nlm.nih.gov/nuccore/CP000304.1?report=graph&amp;tracks=[key:gene_model_track,Options:GeneOnly]&amp;mk=1261917:1261936|offset_22|444444,1261944:1261963|offset_49|444444,1261971:1261990|offset_76|444444,1262000:1262019|offset_105|00cc00&amp;v=1261716:1262219&amp;c=444444", "offset 105")</f>
        <v>offset 105</v>
      </c>
    </row>
    <row r="4443" customFormat="false" ht="12.8" hidden="false" customHeight="false" outlineLevel="0" collapsed="false">
      <c r="A4443" s="0" t="s">
        <v>12</v>
      </c>
      <c r="B4443" s="0" t="n">
        <v>1262380</v>
      </c>
      <c r="C4443" s="0" t="n">
        <v>1262400</v>
      </c>
      <c r="D4443" s="0" t="s">
        <v>14861</v>
      </c>
      <c r="E4443" s="0" t="s">
        <v>89</v>
      </c>
      <c r="F4443" s="0" t="s">
        <v>15</v>
      </c>
      <c r="G4443" s="0" t="s">
        <v>32</v>
      </c>
      <c r="H4443" s="0" t="n">
        <v>26</v>
      </c>
      <c r="I4443" s="0" t="s">
        <v>14862</v>
      </c>
      <c r="J4443" s="0" t="s">
        <v>14863</v>
      </c>
      <c r="K4443" s="0" t="s">
        <v>14864</v>
      </c>
      <c r="L4443" s="0" t="str">
        <f aca="false">HYPERLINK("https://www.ncbi.nlm.nih.gov/nuccore/CP000304.1?report=graph&amp;tracks=[key:gene_model_track,Options:GeneOnly]&amp;mk=1262381:1262400|offset_26|00cc00,1262409:1262428|offset_54|444444,1262432:1262451|offset_77|444444,1262473:1262492|offset_118|444444&amp;v=1262180:1262692&amp;c=444444", "offset 26")</f>
        <v>offset 26</v>
      </c>
    </row>
    <row r="4444" customFormat="false" ht="12.8" hidden="false" customHeight="false" outlineLevel="0" collapsed="false">
      <c r="A4444" s="0" t="s">
        <v>12</v>
      </c>
      <c r="B4444" s="0" t="n">
        <v>1262408</v>
      </c>
      <c r="C4444" s="0" t="n">
        <v>1262428</v>
      </c>
      <c r="D4444" s="0" t="s">
        <v>14861</v>
      </c>
      <c r="E4444" s="0" t="s">
        <v>89</v>
      </c>
      <c r="F4444" s="0" t="s">
        <v>15</v>
      </c>
      <c r="G4444" s="0" t="s">
        <v>16</v>
      </c>
      <c r="H4444" s="0" t="n">
        <v>54</v>
      </c>
      <c r="I4444" s="0" t="s">
        <v>14865</v>
      </c>
      <c r="J4444" s="0" t="s">
        <v>14866</v>
      </c>
      <c r="K4444" s="0" t="s">
        <v>14867</v>
      </c>
      <c r="L4444" s="0" t="str">
        <f aca="false">HYPERLINK("https://www.ncbi.nlm.nih.gov/nuccore/CP000304.1?report=graph&amp;tracks=[key:gene_model_track,Options:GeneOnly]&amp;mk=1262381:1262400|offset_26|444444,1262409:1262428|offset_54|00cc00,1262432:1262451|offset_77|444444,1262473:1262492|offset_118|444444&amp;v=1262180:1262692&amp;c=444444", "offset 54")</f>
        <v>offset 54</v>
      </c>
    </row>
    <row r="4445" customFormat="false" ht="12.8" hidden="false" customHeight="false" outlineLevel="0" collapsed="false">
      <c r="A4445" s="0" t="s">
        <v>12</v>
      </c>
      <c r="B4445" s="0" t="n">
        <v>1262431</v>
      </c>
      <c r="C4445" s="0" t="n">
        <v>1262451</v>
      </c>
      <c r="D4445" s="0" t="s">
        <v>14861</v>
      </c>
      <c r="E4445" s="0" t="s">
        <v>89</v>
      </c>
      <c r="F4445" s="0" t="s">
        <v>15</v>
      </c>
      <c r="G4445" s="0" t="s">
        <v>16</v>
      </c>
      <c r="H4445" s="0" t="n">
        <v>77</v>
      </c>
      <c r="I4445" s="0" t="s">
        <v>14868</v>
      </c>
      <c r="J4445" s="0" t="s">
        <v>14869</v>
      </c>
      <c r="K4445" s="0" t="s">
        <v>14870</v>
      </c>
      <c r="L4445" s="0" t="str">
        <f aca="false">HYPERLINK("https://www.ncbi.nlm.nih.gov/nuccore/CP000304.1?report=graph&amp;tracks=[key:gene_model_track,Options:GeneOnly]&amp;mk=1262381:1262400|offset_26|444444,1262409:1262428|offset_54|444444,1262432:1262451|offset_77|00cc00,1262473:1262492|offset_118|444444&amp;v=1262180:1262692&amp;c=444444", "offset 77")</f>
        <v>offset 77</v>
      </c>
    </row>
    <row r="4446" customFormat="false" ht="12.8" hidden="false" customHeight="false" outlineLevel="0" collapsed="false">
      <c r="A4446" s="0" t="s">
        <v>12</v>
      </c>
      <c r="B4446" s="0" t="n">
        <v>1262472</v>
      </c>
      <c r="C4446" s="0" t="n">
        <v>1262492</v>
      </c>
      <c r="D4446" s="0" t="s">
        <v>14861</v>
      </c>
      <c r="E4446" s="0" t="s">
        <v>89</v>
      </c>
      <c r="F4446" s="0" t="s">
        <v>15</v>
      </c>
      <c r="G4446" s="0" t="s">
        <v>16</v>
      </c>
      <c r="H4446" s="0" t="n">
        <v>118</v>
      </c>
      <c r="I4446" s="0" t="s">
        <v>14871</v>
      </c>
      <c r="J4446" s="0" t="s">
        <v>14872</v>
      </c>
      <c r="K4446" s="0" t="s">
        <v>14873</v>
      </c>
      <c r="L4446" s="0" t="str">
        <f aca="false">HYPERLINK("https://www.ncbi.nlm.nih.gov/nuccore/CP000304.1?report=graph&amp;tracks=[key:gene_model_track,Options:GeneOnly]&amp;mk=1262381:1262400|offset_26|444444,1262409:1262428|offset_54|444444,1262432:1262451|offset_77|444444,1262473:1262492|offset_118|00cc00&amp;v=1262180:1262692&amp;c=444444", "offset 118")</f>
        <v>offset 118</v>
      </c>
    </row>
    <row r="4447" customFormat="false" ht="12.8" hidden="false" customHeight="false" outlineLevel="0" collapsed="false">
      <c r="A4447" s="0" t="s">
        <v>12</v>
      </c>
      <c r="B4447" s="0" t="n">
        <v>1264124</v>
      </c>
      <c r="C4447" s="0" t="n">
        <v>1264144</v>
      </c>
      <c r="D4447" s="0" t="s">
        <v>14874</v>
      </c>
      <c r="E4447" s="0" t="s">
        <v>89</v>
      </c>
      <c r="F4447" s="0" t="s">
        <v>90</v>
      </c>
      <c r="G4447" s="0" t="s">
        <v>36</v>
      </c>
      <c r="H4447" s="0" t="n">
        <v>7</v>
      </c>
      <c r="I4447" s="0" t="s">
        <v>14875</v>
      </c>
      <c r="J4447" s="0" t="s">
        <v>14876</v>
      </c>
      <c r="K4447" s="0" t="s">
        <v>14877</v>
      </c>
      <c r="L4447" s="0" t="str">
        <f aca="false">HYPERLINK("https://www.ncbi.nlm.nih.gov/nuccore/CP000304.1?report=graph&amp;tracks=[key:gene_model_track,Options:GeneOnly]&amp;mk=1264125:1264144|offset_7|00cc00,1264039:1264058|offset_93|444444,1264007:1264026|offset_125|444444,1263987:1264006|offset_145|444444&amp;v=1263924:1264206&amp;c=444444", "offset 7")</f>
        <v>offset 7</v>
      </c>
    </row>
    <row r="4448" customFormat="false" ht="12.8" hidden="false" customHeight="false" outlineLevel="0" collapsed="false">
      <c r="A4448" s="0" t="s">
        <v>12</v>
      </c>
      <c r="B4448" s="0" t="n">
        <v>1264038</v>
      </c>
      <c r="C4448" s="0" t="n">
        <v>1264058</v>
      </c>
      <c r="D4448" s="0" t="s">
        <v>14874</v>
      </c>
      <c r="E4448" s="0" t="s">
        <v>89</v>
      </c>
      <c r="F4448" s="0" t="s">
        <v>90</v>
      </c>
      <c r="G4448" s="0" t="s">
        <v>16</v>
      </c>
      <c r="H4448" s="0" t="n">
        <v>93</v>
      </c>
      <c r="I4448" s="0" t="s">
        <v>14878</v>
      </c>
      <c r="J4448" s="0" t="s">
        <v>14879</v>
      </c>
      <c r="K4448" s="0" t="s">
        <v>14880</v>
      </c>
      <c r="L4448" s="0" t="str">
        <f aca="false">HYPERLINK("https://www.ncbi.nlm.nih.gov/nuccore/CP000304.1?report=graph&amp;tracks=[key:gene_model_track,Options:GeneOnly]&amp;mk=1264125:1264144|offset_7|444444,1264039:1264058|offset_93|00cc00,1264007:1264026|offset_125|444444,1263987:1264006|offset_145|444444&amp;v=1263924:1264206&amp;c=444444", "offset 93")</f>
        <v>offset 93</v>
      </c>
    </row>
    <row r="4449" customFormat="false" ht="12.8" hidden="false" customHeight="false" outlineLevel="0" collapsed="false">
      <c r="A4449" s="0" t="s">
        <v>12</v>
      </c>
      <c r="B4449" s="0" t="n">
        <v>1264006</v>
      </c>
      <c r="C4449" s="0" t="n">
        <v>1264026</v>
      </c>
      <c r="D4449" s="0" t="s">
        <v>14874</v>
      </c>
      <c r="E4449" s="0" t="s">
        <v>89</v>
      </c>
      <c r="F4449" s="0" t="s">
        <v>90</v>
      </c>
      <c r="G4449" s="0" t="s">
        <v>26</v>
      </c>
      <c r="H4449" s="0" t="n">
        <v>125</v>
      </c>
      <c r="I4449" s="0" t="s">
        <v>14881</v>
      </c>
      <c r="J4449" s="0" t="s">
        <v>14882</v>
      </c>
      <c r="K4449" s="0" t="s">
        <v>14883</v>
      </c>
      <c r="L4449" s="0" t="str">
        <f aca="false">HYPERLINK("https://www.ncbi.nlm.nih.gov/nuccore/CP000304.1?report=graph&amp;tracks=[key:gene_model_track,Options:GeneOnly]&amp;mk=1264125:1264144|offset_7|444444,1264039:1264058|offset_93|444444,1264007:1264026|offset_125|00cc00,1263987:1264006|offset_145|444444&amp;v=1263924:1264206&amp;c=444444", "offset 125")</f>
        <v>offset 125</v>
      </c>
    </row>
    <row r="4450" customFormat="false" ht="12.8" hidden="false" customHeight="false" outlineLevel="0" collapsed="false">
      <c r="A4450" s="0" t="s">
        <v>12</v>
      </c>
      <c r="B4450" s="0" t="n">
        <v>1263986</v>
      </c>
      <c r="C4450" s="0" t="n">
        <v>1264006</v>
      </c>
      <c r="D4450" s="0" t="s">
        <v>14874</v>
      </c>
      <c r="E4450" s="0" t="s">
        <v>89</v>
      </c>
      <c r="F4450" s="0" t="s">
        <v>90</v>
      </c>
      <c r="G4450" s="0" t="s">
        <v>36</v>
      </c>
      <c r="H4450" s="0" t="n">
        <v>145</v>
      </c>
      <c r="I4450" s="0" t="s">
        <v>14884</v>
      </c>
      <c r="J4450" s="0" t="s">
        <v>14885</v>
      </c>
      <c r="K4450" s="0" t="s">
        <v>14886</v>
      </c>
      <c r="L4450" s="0" t="str">
        <f aca="false">HYPERLINK("https://www.ncbi.nlm.nih.gov/nuccore/CP000304.1?report=graph&amp;tracks=[key:gene_model_track,Options:GeneOnly]&amp;mk=1264125:1264144|offset_7|444444,1264039:1264058|offset_93|444444,1264007:1264026|offset_125|444444,1263987:1264006|offset_145|00cc00&amp;v=1263924:1264206&amp;c=444444", "offset 145")</f>
        <v>offset 145</v>
      </c>
    </row>
    <row r="4451" customFormat="false" ht="12.8" hidden="false" customHeight="false" outlineLevel="0" collapsed="false">
      <c r="A4451" s="0" t="s">
        <v>12</v>
      </c>
      <c r="B4451" s="0" t="n">
        <v>1265124</v>
      </c>
      <c r="C4451" s="0" t="n">
        <v>1265144</v>
      </c>
      <c r="D4451" s="0" t="s">
        <v>14887</v>
      </c>
      <c r="E4451" s="0" t="s">
        <v>89</v>
      </c>
      <c r="F4451" s="0" t="s">
        <v>90</v>
      </c>
      <c r="G4451" s="0" t="s">
        <v>36</v>
      </c>
      <c r="H4451" s="0" t="n">
        <v>17</v>
      </c>
      <c r="I4451" s="0" t="s">
        <v>14888</v>
      </c>
      <c r="J4451" s="0" t="s">
        <v>14889</v>
      </c>
      <c r="K4451" s="0" t="s">
        <v>14890</v>
      </c>
      <c r="L4451" s="0" t="str">
        <f aca="false">HYPERLINK("https://www.ncbi.nlm.nih.gov/nuccore/CP000304.1?report=graph&amp;tracks=[key:gene_model_track,Options:GeneOnly]&amp;mk=1265125:1265144|offset_17|00cc00,1265105:1265124|offset_37|444444,1265017:1265036|offset_125|444444,1264988:1265007|offset_154|444444&amp;v=1264924:1265207&amp;c=444444", "offset 17")</f>
        <v>offset 17</v>
      </c>
    </row>
    <row r="4452" customFormat="false" ht="12.8" hidden="false" customHeight="false" outlineLevel="0" collapsed="false">
      <c r="A4452" s="0" t="s">
        <v>12</v>
      </c>
      <c r="B4452" s="0" t="n">
        <v>1265104</v>
      </c>
      <c r="C4452" s="0" t="n">
        <v>1265124</v>
      </c>
      <c r="D4452" s="0" t="s">
        <v>14887</v>
      </c>
      <c r="E4452" s="0" t="s">
        <v>89</v>
      </c>
      <c r="F4452" s="0" t="s">
        <v>90</v>
      </c>
      <c r="G4452" s="0" t="s">
        <v>36</v>
      </c>
      <c r="H4452" s="0" t="n">
        <v>37</v>
      </c>
      <c r="I4452" s="0" t="s">
        <v>14891</v>
      </c>
      <c r="J4452" s="0" t="s">
        <v>14892</v>
      </c>
      <c r="K4452" s="0" t="s">
        <v>14893</v>
      </c>
      <c r="L4452" s="0" t="str">
        <f aca="false">HYPERLINK("https://www.ncbi.nlm.nih.gov/nuccore/CP000304.1?report=graph&amp;tracks=[key:gene_model_track,Options:GeneOnly]&amp;mk=1265125:1265144|offset_17|444444,1265105:1265124|offset_37|00cc00,1265017:1265036|offset_125|444444,1264988:1265007|offset_154|444444&amp;v=1264924:1265207&amp;c=444444", "offset 37")</f>
        <v>offset 37</v>
      </c>
    </row>
    <row r="4453" customFormat="false" ht="12.8" hidden="false" customHeight="false" outlineLevel="0" collapsed="false">
      <c r="A4453" s="0" t="s">
        <v>12</v>
      </c>
      <c r="B4453" s="0" t="n">
        <v>1265016</v>
      </c>
      <c r="C4453" s="0" t="n">
        <v>1265036</v>
      </c>
      <c r="D4453" s="0" t="s">
        <v>14887</v>
      </c>
      <c r="E4453" s="0" t="s">
        <v>89</v>
      </c>
      <c r="F4453" s="0" t="s">
        <v>90</v>
      </c>
      <c r="G4453" s="0" t="s">
        <v>32</v>
      </c>
      <c r="H4453" s="0" t="n">
        <v>125</v>
      </c>
      <c r="I4453" s="0" t="s">
        <v>14894</v>
      </c>
      <c r="J4453" s="0" t="s">
        <v>14895</v>
      </c>
      <c r="K4453" s="0" t="s">
        <v>14896</v>
      </c>
      <c r="L4453" s="0" t="str">
        <f aca="false">HYPERLINK("https://www.ncbi.nlm.nih.gov/nuccore/CP000304.1?report=graph&amp;tracks=[key:gene_model_track,Options:GeneOnly]&amp;mk=1265125:1265144|offset_17|444444,1265105:1265124|offset_37|444444,1265017:1265036|offset_125|00cc00,1264988:1265007|offset_154|444444&amp;v=1264924:1265207&amp;c=444444", "offset 125")</f>
        <v>offset 125</v>
      </c>
    </row>
    <row r="4454" customFormat="false" ht="12.8" hidden="false" customHeight="false" outlineLevel="0" collapsed="false">
      <c r="A4454" s="0" t="s">
        <v>12</v>
      </c>
      <c r="B4454" s="0" t="n">
        <v>1264987</v>
      </c>
      <c r="C4454" s="0" t="n">
        <v>1265007</v>
      </c>
      <c r="D4454" s="0" t="s">
        <v>14887</v>
      </c>
      <c r="E4454" s="0" t="s">
        <v>89</v>
      </c>
      <c r="F4454" s="0" t="s">
        <v>90</v>
      </c>
      <c r="G4454" s="0" t="s">
        <v>16</v>
      </c>
      <c r="H4454" s="0" t="n">
        <v>154</v>
      </c>
      <c r="I4454" s="0" t="s">
        <v>14897</v>
      </c>
      <c r="J4454" s="0" t="s">
        <v>14898</v>
      </c>
      <c r="K4454" s="0" t="s">
        <v>14899</v>
      </c>
      <c r="L4454" s="0" t="str">
        <f aca="false">HYPERLINK("https://www.ncbi.nlm.nih.gov/nuccore/CP000304.1?report=graph&amp;tracks=[key:gene_model_track,Options:GeneOnly]&amp;mk=1265125:1265144|offset_17|444444,1265105:1265124|offset_37|444444,1265017:1265036|offset_125|444444,1264988:1265007|offset_154|00cc00&amp;v=1264924:1265207&amp;c=444444", "offset 154")</f>
        <v>offset 154</v>
      </c>
    </row>
    <row r="4455" customFormat="false" ht="12.8" hidden="false" customHeight="false" outlineLevel="0" collapsed="false">
      <c r="A4455" s="0" t="s">
        <v>12</v>
      </c>
      <c r="B4455" s="0" t="n">
        <v>1266299</v>
      </c>
      <c r="C4455" s="0" t="n">
        <v>1266319</v>
      </c>
      <c r="D4455" s="0" t="s">
        <v>14900</v>
      </c>
      <c r="E4455" s="0" t="s">
        <v>89</v>
      </c>
      <c r="F4455" s="0" t="s">
        <v>90</v>
      </c>
      <c r="G4455" s="0" t="s">
        <v>26</v>
      </c>
      <c r="H4455" s="0" t="n">
        <v>11</v>
      </c>
      <c r="I4455" s="0" t="s">
        <v>14901</v>
      </c>
      <c r="J4455" s="0" t="s">
        <v>14902</v>
      </c>
      <c r="K4455" s="0" t="s">
        <v>14903</v>
      </c>
      <c r="L4455" s="0" t="str">
        <f aca="false">HYPERLINK("https://www.ncbi.nlm.nih.gov/nuccore/CP000304.1?report=graph&amp;tracks=[key:gene_model_track,Options:GeneOnly]&amp;mk=1266300:1266319|offset_11|00cc00,1266277:1266296|offset_34|444444,1266255:1266274|offset_56|444444,1266235:1266254|offset_76|444444&amp;v=1266099:1266454&amp;c=444444", "offset 11")</f>
        <v>offset 11</v>
      </c>
    </row>
    <row r="4456" customFormat="false" ht="12.8" hidden="false" customHeight="false" outlineLevel="0" collapsed="false">
      <c r="A4456" s="0" t="s">
        <v>12</v>
      </c>
      <c r="B4456" s="0" t="n">
        <v>1266276</v>
      </c>
      <c r="C4456" s="0" t="n">
        <v>1266296</v>
      </c>
      <c r="D4456" s="0" t="s">
        <v>14900</v>
      </c>
      <c r="E4456" s="0" t="s">
        <v>89</v>
      </c>
      <c r="F4456" s="0" t="s">
        <v>90</v>
      </c>
      <c r="G4456" s="0" t="s">
        <v>16</v>
      </c>
      <c r="H4456" s="0" t="n">
        <v>34</v>
      </c>
      <c r="I4456" s="0" t="s">
        <v>14904</v>
      </c>
      <c r="J4456" s="0" t="s">
        <v>14905</v>
      </c>
      <c r="K4456" s="0" t="s">
        <v>14906</v>
      </c>
      <c r="L4456" s="0" t="str">
        <f aca="false">HYPERLINK("https://www.ncbi.nlm.nih.gov/nuccore/CP000304.1?report=graph&amp;tracks=[key:gene_model_track,Options:GeneOnly]&amp;mk=1266300:1266319|offset_11|444444,1266277:1266296|offset_34|00cc00,1266255:1266274|offset_56|444444,1266235:1266254|offset_76|444444&amp;v=1266099:1266454&amp;c=444444", "offset 34")</f>
        <v>offset 34</v>
      </c>
    </row>
    <row r="4457" customFormat="false" ht="12.8" hidden="false" customHeight="false" outlineLevel="0" collapsed="false">
      <c r="A4457" s="0" t="s">
        <v>12</v>
      </c>
      <c r="B4457" s="0" t="n">
        <v>1266254</v>
      </c>
      <c r="C4457" s="0" t="n">
        <v>1266274</v>
      </c>
      <c r="D4457" s="0" t="s">
        <v>14900</v>
      </c>
      <c r="E4457" s="0" t="s">
        <v>89</v>
      </c>
      <c r="F4457" s="0" t="s">
        <v>90</v>
      </c>
      <c r="G4457" s="0" t="s">
        <v>26</v>
      </c>
      <c r="H4457" s="0" t="n">
        <v>56</v>
      </c>
      <c r="I4457" s="0" t="s">
        <v>14907</v>
      </c>
      <c r="J4457" s="0" t="s">
        <v>14908</v>
      </c>
      <c r="K4457" s="0" t="s">
        <v>14909</v>
      </c>
      <c r="L4457" s="0" t="str">
        <f aca="false">HYPERLINK("https://www.ncbi.nlm.nih.gov/nuccore/CP000304.1?report=graph&amp;tracks=[key:gene_model_track,Options:GeneOnly]&amp;mk=1266300:1266319|offset_11|444444,1266277:1266296|offset_34|444444,1266255:1266274|offset_56|00cc00,1266235:1266254|offset_76|444444&amp;v=1266099:1266454&amp;c=444444", "offset 56")</f>
        <v>offset 56</v>
      </c>
    </row>
    <row r="4458" customFormat="false" ht="12.8" hidden="false" customHeight="false" outlineLevel="0" collapsed="false">
      <c r="A4458" s="0" t="s">
        <v>12</v>
      </c>
      <c r="B4458" s="0" t="n">
        <v>1266234</v>
      </c>
      <c r="C4458" s="0" t="n">
        <v>1266254</v>
      </c>
      <c r="D4458" s="0" t="s">
        <v>14900</v>
      </c>
      <c r="E4458" s="0" t="s">
        <v>89</v>
      </c>
      <c r="F4458" s="0" t="s">
        <v>90</v>
      </c>
      <c r="G4458" s="0" t="s">
        <v>32</v>
      </c>
      <c r="H4458" s="0" t="n">
        <v>76</v>
      </c>
      <c r="I4458" s="0" t="s">
        <v>14910</v>
      </c>
      <c r="J4458" s="0" t="s">
        <v>14911</v>
      </c>
      <c r="K4458" s="0" t="s">
        <v>14912</v>
      </c>
      <c r="L4458" s="0" t="str">
        <f aca="false">HYPERLINK("https://www.ncbi.nlm.nih.gov/nuccore/CP000304.1?report=graph&amp;tracks=[key:gene_model_track,Options:GeneOnly]&amp;mk=1266300:1266319|offset_11|444444,1266277:1266296|offset_34|444444,1266255:1266274|offset_56|444444,1266235:1266254|offset_76|00cc00&amp;v=1266099:1266454&amp;c=444444", "offset 76")</f>
        <v>offset 76</v>
      </c>
    </row>
    <row r="4459" customFormat="false" ht="12.8" hidden="false" customHeight="false" outlineLevel="0" collapsed="false">
      <c r="A4459" s="0" t="s">
        <v>12</v>
      </c>
      <c r="B4459" s="0" t="n">
        <v>1267841</v>
      </c>
      <c r="C4459" s="0" t="n">
        <v>1267861</v>
      </c>
      <c r="D4459" s="0" t="s">
        <v>14913</v>
      </c>
      <c r="E4459" s="0" t="s">
        <v>89</v>
      </c>
      <c r="F4459" s="0" t="s">
        <v>90</v>
      </c>
      <c r="G4459" s="0" t="s">
        <v>32</v>
      </c>
      <c r="H4459" s="0" t="n">
        <v>19</v>
      </c>
      <c r="I4459" s="0" t="s">
        <v>14914</v>
      </c>
      <c r="J4459" s="0" t="s">
        <v>14915</v>
      </c>
      <c r="K4459" s="0" t="s">
        <v>14916</v>
      </c>
      <c r="L4459" s="0" t="str">
        <f aca="false">HYPERLINK("https://www.ncbi.nlm.nih.gov/nuccore/CP000304.1?report=graph&amp;tracks=[key:gene_model_track,Options:GeneOnly]&amp;mk=1267842:1267861|offset_19|00cc00,1267790:1267809|offset_71|444444,1267770:1267789|offset_91|444444,1267743:1267762|offset_118|444444&amp;v=1267641:1267962&amp;c=444444", "offset 19")</f>
        <v>offset 19</v>
      </c>
    </row>
    <row r="4460" customFormat="false" ht="12.8" hidden="false" customHeight="false" outlineLevel="0" collapsed="false">
      <c r="A4460" s="0" t="s">
        <v>12</v>
      </c>
      <c r="B4460" s="0" t="n">
        <v>1267789</v>
      </c>
      <c r="C4460" s="0" t="n">
        <v>1267809</v>
      </c>
      <c r="D4460" s="0" t="s">
        <v>14913</v>
      </c>
      <c r="E4460" s="0" t="s">
        <v>89</v>
      </c>
      <c r="F4460" s="0" t="s">
        <v>90</v>
      </c>
      <c r="G4460" s="0" t="s">
        <v>32</v>
      </c>
      <c r="H4460" s="0" t="n">
        <v>71</v>
      </c>
      <c r="I4460" s="0" t="s">
        <v>14917</v>
      </c>
      <c r="J4460" s="0" t="s">
        <v>14918</v>
      </c>
      <c r="K4460" s="0" t="s">
        <v>14919</v>
      </c>
      <c r="L4460" s="0" t="str">
        <f aca="false">HYPERLINK("https://www.ncbi.nlm.nih.gov/nuccore/CP000304.1?report=graph&amp;tracks=[key:gene_model_track,Options:GeneOnly]&amp;mk=1267842:1267861|offset_19|444444,1267790:1267809|offset_71|00cc00,1267770:1267789|offset_91|444444,1267743:1267762|offset_118|444444&amp;v=1267641:1267962&amp;c=444444", "offset 71")</f>
        <v>offset 71</v>
      </c>
    </row>
    <row r="4461" customFormat="false" ht="12.8" hidden="false" customHeight="false" outlineLevel="0" collapsed="false">
      <c r="A4461" s="0" t="s">
        <v>12</v>
      </c>
      <c r="B4461" s="0" t="n">
        <v>1267769</v>
      </c>
      <c r="C4461" s="0" t="n">
        <v>1267789</v>
      </c>
      <c r="D4461" s="0" t="s">
        <v>14913</v>
      </c>
      <c r="E4461" s="0" t="s">
        <v>89</v>
      </c>
      <c r="F4461" s="0" t="s">
        <v>90</v>
      </c>
      <c r="G4461" s="0" t="s">
        <v>32</v>
      </c>
      <c r="H4461" s="0" t="n">
        <v>91</v>
      </c>
      <c r="I4461" s="0" t="s">
        <v>14920</v>
      </c>
      <c r="J4461" s="0" t="s">
        <v>14921</v>
      </c>
      <c r="K4461" s="0" t="s">
        <v>14922</v>
      </c>
      <c r="L4461" s="0" t="str">
        <f aca="false">HYPERLINK("https://www.ncbi.nlm.nih.gov/nuccore/CP000304.1?report=graph&amp;tracks=[key:gene_model_track,Options:GeneOnly]&amp;mk=1267842:1267861|offset_19|444444,1267790:1267809|offset_71|444444,1267770:1267789|offset_91|00cc00,1267743:1267762|offset_118|444444&amp;v=1267641:1267962&amp;c=444444", "offset 91")</f>
        <v>offset 91</v>
      </c>
    </row>
    <row r="4462" customFormat="false" ht="12.8" hidden="false" customHeight="false" outlineLevel="0" collapsed="false">
      <c r="A4462" s="0" t="s">
        <v>12</v>
      </c>
      <c r="B4462" s="0" t="n">
        <v>1267742</v>
      </c>
      <c r="C4462" s="0" t="n">
        <v>1267762</v>
      </c>
      <c r="D4462" s="0" t="s">
        <v>14913</v>
      </c>
      <c r="E4462" s="0" t="s">
        <v>89</v>
      </c>
      <c r="F4462" s="0" t="s">
        <v>90</v>
      </c>
      <c r="G4462" s="0" t="s">
        <v>16</v>
      </c>
      <c r="H4462" s="0" t="n">
        <v>118</v>
      </c>
      <c r="I4462" s="0" t="s">
        <v>14923</v>
      </c>
      <c r="J4462" s="0" t="s">
        <v>14924</v>
      </c>
      <c r="K4462" s="0" t="s">
        <v>14925</v>
      </c>
      <c r="L4462" s="0" t="str">
        <f aca="false">HYPERLINK("https://www.ncbi.nlm.nih.gov/nuccore/CP000304.1?report=graph&amp;tracks=[key:gene_model_track,Options:GeneOnly]&amp;mk=1267842:1267861|offset_19|444444,1267790:1267809|offset_71|444444,1267770:1267789|offset_91|444444,1267743:1267762|offset_118|00cc00&amp;v=1267641:1267962&amp;c=444444", "offset 118")</f>
        <v>offset 118</v>
      </c>
    </row>
    <row r="4463" customFormat="false" ht="12.8" hidden="false" customHeight="false" outlineLevel="0" collapsed="false">
      <c r="A4463" s="0" t="s">
        <v>12</v>
      </c>
      <c r="B4463" s="0" t="n">
        <v>1268814</v>
      </c>
      <c r="C4463" s="0" t="n">
        <v>1268834</v>
      </c>
      <c r="D4463" s="0" t="s">
        <v>14926</v>
      </c>
      <c r="E4463" s="0" t="s">
        <v>89</v>
      </c>
      <c r="F4463" s="0" t="s">
        <v>90</v>
      </c>
      <c r="G4463" s="0" t="s">
        <v>16</v>
      </c>
      <c r="H4463" s="0" t="n">
        <v>13</v>
      </c>
      <c r="I4463" s="0" t="s">
        <v>14927</v>
      </c>
      <c r="J4463" s="0" t="s">
        <v>14928</v>
      </c>
      <c r="K4463" s="0" t="s">
        <v>14929</v>
      </c>
      <c r="L4463" s="0" t="str">
        <f aca="false">HYPERLINK("https://www.ncbi.nlm.nih.gov/nuccore/CP000304.1?report=graph&amp;tracks=[key:gene_model_track,Options:GeneOnly]&amp;mk=1268815:1268834|offset_13|00cc00,1268719:1268738|offset_109|444444,1268680:1268699|offset_148|444444,1268652:1268671|offset_176|444444&amp;v=1268614:1268871&amp;c=444444", "offset 13")</f>
        <v>offset 13</v>
      </c>
    </row>
    <row r="4464" customFormat="false" ht="12.8" hidden="false" customHeight="false" outlineLevel="0" collapsed="false">
      <c r="A4464" s="0" t="s">
        <v>12</v>
      </c>
      <c r="B4464" s="0" t="n">
        <v>1268718</v>
      </c>
      <c r="C4464" s="0" t="n">
        <v>1268738</v>
      </c>
      <c r="D4464" s="0" t="s">
        <v>14926</v>
      </c>
      <c r="E4464" s="0" t="s">
        <v>89</v>
      </c>
      <c r="F4464" s="0" t="s">
        <v>90</v>
      </c>
      <c r="G4464" s="0" t="s">
        <v>26</v>
      </c>
      <c r="H4464" s="0" t="n">
        <v>109</v>
      </c>
      <c r="I4464" s="0" t="s">
        <v>14930</v>
      </c>
      <c r="J4464" s="0" t="s">
        <v>14931</v>
      </c>
      <c r="K4464" s="0" t="s">
        <v>14932</v>
      </c>
      <c r="L4464" s="0" t="str">
        <f aca="false">HYPERLINK("https://www.ncbi.nlm.nih.gov/nuccore/CP000304.1?report=graph&amp;tracks=[key:gene_model_track,Options:GeneOnly]&amp;mk=1268815:1268834|offset_13|444444,1268719:1268738|offset_109|00cc00,1268680:1268699|offset_148|444444,1268652:1268671|offset_176|444444&amp;v=1268614:1268871&amp;c=444444", "offset 109")</f>
        <v>offset 109</v>
      </c>
    </row>
    <row r="4465" customFormat="false" ht="12.8" hidden="false" customHeight="false" outlineLevel="0" collapsed="false">
      <c r="A4465" s="0" t="s">
        <v>12</v>
      </c>
      <c r="B4465" s="0" t="n">
        <v>1268679</v>
      </c>
      <c r="C4465" s="0" t="n">
        <v>1268699</v>
      </c>
      <c r="D4465" s="0" t="s">
        <v>14926</v>
      </c>
      <c r="E4465" s="0" t="s">
        <v>89</v>
      </c>
      <c r="F4465" s="0" t="s">
        <v>90</v>
      </c>
      <c r="G4465" s="0" t="s">
        <v>32</v>
      </c>
      <c r="H4465" s="0" t="n">
        <v>148</v>
      </c>
      <c r="I4465" s="0" t="s">
        <v>14933</v>
      </c>
      <c r="J4465" s="0" t="s">
        <v>14934</v>
      </c>
      <c r="K4465" s="0" t="s">
        <v>14935</v>
      </c>
      <c r="L4465" s="0" t="str">
        <f aca="false">HYPERLINK("https://www.ncbi.nlm.nih.gov/nuccore/CP000304.1?report=graph&amp;tracks=[key:gene_model_track,Options:GeneOnly]&amp;mk=1268815:1268834|offset_13|444444,1268719:1268738|offset_109|444444,1268680:1268699|offset_148|00cc00,1268652:1268671|offset_176|444444&amp;v=1268614:1268871&amp;c=444444", "offset 148")</f>
        <v>offset 148</v>
      </c>
    </row>
    <row r="4466" customFormat="false" ht="12.8" hidden="false" customHeight="false" outlineLevel="0" collapsed="false">
      <c r="A4466" s="0" t="s">
        <v>12</v>
      </c>
      <c r="B4466" s="0" t="n">
        <v>1268651</v>
      </c>
      <c r="C4466" s="0" t="n">
        <v>1268671</v>
      </c>
      <c r="D4466" s="0" t="s">
        <v>14926</v>
      </c>
      <c r="E4466" s="0" t="s">
        <v>89</v>
      </c>
      <c r="F4466" s="0" t="s">
        <v>90</v>
      </c>
      <c r="G4466" s="0" t="s">
        <v>32</v>
      </c>
      <c r="H4466" s="0" t="n">
        <v>176</v>
      </c>
      <c r="I4466" s="0" t="s">
        <v>14936</v>
      </c>
      <c r="J4466" s="0" t="s">
        <v>14937</v>
      </c>
      <c r="K4466" s="0" t="s">
        <v>14938</v>
      </c>
      <c r="L4466" s="0" t="str">
        <f aca="false">HYPERLINK("https://www.ncbi.nlm.nih.gov/nuccore/CP000304.1?report=graph&amp;tracks=[key:gene_model_track,Options:GeneOnly]&amp;mk=1268815:1268834|offset_13|444444,1268719:1268738|offset_109|444444,1268680:1268699|offset_148|444444,1268652:1268671|offset_176|00cc00&amp;v=1268614:1268871&amp;c=444444", "offset 176")</f>
        <v>offset 176</v>
      </c>
    </row>
    <row r="4467" customFormat="false" ht="12.8" hidden="false" customHeight="false" outlineLevel="0" collapsed="false">
      <c r="A4467" s="0" t="s">
        <v>12</v>
      </c>
      <c r="B4467" s="0" t="n">
        <v>1269536</v>
      </c>
      <c r="C4467" s="0" t="n">
        <v>1269556</v>
      </c>
      <c r="D4467" s="0" t="s">
        <v>14939</v>
      </c>
      <c r="E4467" s="0" t="s">
        <v>89</v>
      </c>
      <c r="F4467" s="0" t="s">
        <v>90</v>
      </c>
      <c r="G4467" s="0" t="s">
        <v>26</v>
      </c>
      <c r="H4467" s="0" t="n">
        <v>1</v>
      </c>
      <c r="I4467" s="0" t="s">
        <v>14940</v>
      </c>
      <c r="J4467" s="0" t="s">
        <v>14941</v>
      </c>
      <c r="K4467" s="0" t="s">
        <v>14942</v>
      </c>
      <c r="L4467" s="0" t="str">
        <f aca="false">HYPERLINK("https://www.ncbi.nlm.nih.gov/nuccore/CP000304.1?report=graph&amp;tracks=[key:gene_model_track,Options:GeneOnly]&amp;mk=1269537:1269556|offset_1|00cc00,1269512:1269531|offset_26|444444,1269492:1269511|offset_46|444444,1269472:1269491|offset_66|444444&amp;v=1269336:1269691&amp;c=444444", "offset 1")</f>
        <v>offset 1</v>
      </c>
    </row>
    <row r="4468" customFormat="false" ht="12.8" hidden="false" customHeight="false" outlineLevel="0" collapsed="false">
      <c r="A4468" s="0" t="s">
        <v>12</v>
      </c>
      <c r="B4468" s="0" t="n">
        <v>1269511</v>
      </c>
      <c r="C4468" s="0" t="n">
        <v>1269531</v>
      </c>
      <c r="D4468" s="0" t="s">
        <v>14939</v>
      </c>
      <c r="E4468" s="0" t="s">
        <v>89</v>
      </c>
      <c r="F4468" s="0" t="s">
        <v>90</v>
      </c>
      <c r="G4468" s="0" t="s">
        <v>16</v>
      </c>
      <c r="H4468" s="0" t="n">
        <v>26</v>
      </c>
      <c r="I4468" s="0" t="s">
        <v>14943</v>
      </c>
      <c r="J4468" s="0" t="s">
        <v>14944</v>
      </c>
      <c r="K4468" s="0" t="s">
        <v>14945</v>
      </c>
      <c r="L4468" s="0" t="str">
        <f aca="false">HYPERLINK("https://www.ncbi.nlm.nih.gov/nuccore/CP000304.1?report=graph&amp;tracks=[key:gene_model_track,Options:GeneOnly]&amp;mk=1269537:1269556|offset_1|444444,1269512:1269531|offset_26|00cc00,1269492:1269511|offset_46|444444,1269472:1269491|offset_66|444444&amp;v=1269336:1269691&amp;c=444444", "offset 26")</f>
        <v>offset 26</v>
      </c>
    </row>
    <row r="4469" customFormat="false" ht="12.8" hidden="false" customHeight="false" outlineLevel="0" collapsed="false">
      <c r="A4469" s="0" t="s">
        <v>12</v>
      </c>
      <c r="B4469" s="0" t="n">
        <v>1269491</v>
      </c>
      <c r="C4469" s="0" t="n">
        <v>1269511</v>
      </c>
      <c r="D4469" s="0" t="s">
        <v>14939</v>
      </c>
      <c r="E4469" s="0" t="s">
        <v>89</v>
      </c>
      <c r="F4469" s="0" t="s">
        <v>90</v>
      </c>
      <c r="G4469" s="0" t="s">
        <v>32</v>
      </c>
      <c r="H4469" s="0" t="n">
        <v>46</v>
      </c>
      <c r="I4469" s="0" t="s">
        <v>14946</v>
      </c>
      <c r="J4469" s="0" t="s">
        <v>14947</v>
      </c>
      <c r="K4469" s="0" t="s">
        <v>14948</v>
      </c>
      <c r="L4469" s="0" t="str">
        <f aca="false">HYPERLINK("https://www.ncbi.nlm.nih.gov/nuccore/CP000304.1?report=graph&amp;tracks=[key:gene_model_track,Options:GeneOnly]&amp;mk=1269537:1269556|offset_1|444444,1269512:1269531|offset_26|444444,1269492:1269511|offset_46|00cc00,1269472:1269491|offset_66|444444&amp;v=1269336:1269691&amp;c=444444", "offset 46")</f>
        <v>offset 46</v>
      </c>
    </row>
    <row r="4470" customFormat="false" ht="12.8" hidden="false" customHeight="false" outlineLevel="0" collapsed="false">
      <c r="A4470" s="0" t="s">
        <v>12</v>
      </c>
      <c r="B4470" s="0" t="n">
        <v>1269471</v>
      </c>
      <c r="C4470" s="0" t="n">
        <v>1269491</v>
      </c>
      <c r="D4470" s="0" t="s">
        <v>14939</v>
      </c>
      <c r="E4470" s="0" t="s">
        <v>89</v>
      </c>
      <c r="F4470" s="0" t="s">
        <v>90</v>
      </c>
      <c r="G4470" s="0" t="s">
        <v>32</v>
      </c>
      <c r="H4470" s="0" t="n">
        <v>66</v>
      </c>
      <c r="I4470" s="0" t="s">
        <v>14949</v>
      </c>
      <c r="J4470" s="0" t="s">
        <v>14950</v>
      </c>
      <c r="K4470" s="0" t="s">
        <v>14951</v>
      </c>
      <c r="L4470" s="0" t="str">
        <f aca="false">HYPERLINK("https://www.ncbi.nlm.nih.gov/nuccore/CP000304.1?report=graph&amp;tracks=[key:gene_model_track,Options:GeneOnly]&amp;mk=1269537:1269556|offset_1|444444,1269512:1269531|offset_26|444444,1269492:1269511|offset_46|444444,1269472:1269491|offset_66|00cc00&amp;v=1269336:1269691&amp;c=444444", "offset 66")</f>
        <v>offset 66</v>
      </c>
    </row>
    <row r="4471" customFormat="false" ht="12.8" hidden="false" customHeight="false" outlineLevel="0" collapsed="false">
      <c r="A4471" s="0" t="s">
        <v>12</v>
      </c>
      <c r="B4471" s="0" t="n">
        <v>1269777</v>
      </c>
      <c r="C4471" s="0" t="n">
        <v>1269797</v>
      </c>
      <c r="D4471" s="0" t="s">
        <v>14952</v>
      </c>
      <c r="E4471" s="0" t="s">
        <v>14953</v>
      </c>
      <c r="F4471" s="0" t="s">
        <v>15</v>
      </c>
      <c r="G4471" s="0" t="s">
        <v>36</v>
      </c>
      <c r="H4471" s="0" t="n">
        <v>0</v>
      </c>
      <c r="I4471" s="0" t="s">
        <v>14954</v>
      </c>
      <c r="J4471" s="0" t="s">
        <v>14955</v>
      </c>
      <c r="K4471" s="0" t="s">
        <v>14956</v>
      </c>
      <c r="L4471" s="0" t="str">
        <f aca="false">HYPERLINK("https://www.ncbi.nlm.nih.gov/nuccore/CP000304.1?report=graph&amp;tracks=[key:gene_model_track,Options:GeneOnly]&amp;mk=1269778:1269797|offset_0|00cc00,1269815:1269834|offset_37|444444,1269840:1269859|offset_62|444444,1269864:1269883|offset_86|444444&amp;v=1269577:1270083&amp;c=444444", "offset 0")</f>
        <v>offset 0</v>
      </c>
    </row>
    <row r="4472" customFormat="false" ht="12.8" hidden="false" customHeight="false" outlineLevel="0" collapsed="false">
      <c r="A4472" s="0" t="s">
        <v>12</v>
      </c>
      <c r="B4472" s="0" t="n">
        <v>1269814</v>
      </c>
      <c r="C4472" s="0" t="n">
        <v>1269834</v>
      </c>
      <c r="D4472" s="0" t="s">
        <v>14952</v>
      </c>
      <c r="E4472" s="0" t="s">
        <v>14953</v>
      </c>
      <c r="F4472" s="0" t="s">
        <v>15</v>
      </c>
      <c r="G4472" s="0" t="s">
        <v>32</v>
      </c>
      <c r="H4472" s="0" t="n">
        <v>37</v>
      </c>
      <c r="I4472" s="0" t="s">
        <v>14957</v>
      </c>
      <c r="J4472" s="0" t="s">
        <v>14958</v>
      </c>
      <c r="K4472" s="0" t="s">
        <v>14959</v>
      </c>
      <c r="L4472" s="0" t="str">
        <f aca="false">HYPERLINK("https://www.ncbi.nlm.nih.gov/nuccore/CP000304.1?report=graph&amp;tracks=[key:gene_model_track,Options:GeneOnly]&amp;mk=1269778:1269797|offset_0|444444,1269815:1269834|offset_37|00cc00,1269840:1269859|offset_62|444444,1269864:1269883|offset_86|444444&amp;v=1269577:1270083&amp;c=444444", "offset 37")</f>
        <v>offset 37</v>
      </c>
    </row>
    <row r="4473" customFormat="false" ht="12.8" hidden="false" customHeight="false" outlineLevel="0" collapsed="false">
      <c r="A4473" s="0" t="s">
        <v>12</v>
      </c>
      <c r="B4473" s="0" t="n">
        <v>1269839</v>
      </c>
      <c r="C4473" s="0" t="n">
        <v>1269859</v>
      </c>
      <c r="D4473" s="0" t="s">
        <v>14952</v>
      </c>
      <c r="E4473" s="0" t="s">
        <v>14953</v>
      </c>
      <c r="F4473" s="0" t="s">
        <v>15</v>
      </c>
      <c r="G4473" s="0" t="s">
        <v>16</v>
      </c>
      <c r="H4473" s="0" t="n">
        <v>62</v>
      </c>
      <c r="I4473" s="0" t="s">
        <v>14960</v>
      </c>
      <c r="J4473" s="0" t="s">
        <v>14961</v>
      </c>
      <c r="K4473" s="0" t="s">
        <v>14962</v>
      </c>
      <c r="L4473" s="0" t="str">
        <f aca="false">HYPERLINK("https://www.ncbi.nlm.nih.gov/nuccore/CP000304.1?report=graph&amp;tracks=[key:gene_model_track,Options:GeneOnly]&amp;mk=1269778:1269797|offset_0|444444,1269815:1269834|offset_37|444444,1269840:1269859|offset_62|00cc00,1269864:1269883|offset_86|444444&amp;v=1269577:1270083&amp;c=444444", "offset 62")</f>
        <v>offset 62</v>
      </c>
    </row>
    <row r="4474" customFormat="false" ht="12.8" hidden="false" customHeight="false" outlineLevel="0" collapsed="false">
      <c r="A4474" s="0" t="s">
        <v>12</v>
      </c>
      <c r="B4474" s="0" t="n">
        <v>1269863</v>
      </c>
      <c r="C4474" s="0" t="n">
        <v>1269883</v>
      </c>
      <c r="D4474" s="0" t="s">
        <v>14952</v>
      </c>
      <c r="E4474" s="0" t="s">
        <v>14953</v>
      </c>
      <c r="F4474" s="0" t="s">
        <v>15</v>
      </c>
      <c r="G4474" s="0" t="s">
        <v>16</v>
      </c>
      <c r="H4474" s="0" t="n">
        <v>86</v>
      </c>
      <c r="I4474" s="0" t="s">
        <v>14963</v>
      </c>
      <c r="J4474" s="0" t="s">
        <v>14964</v>
      </c>
      <c r="K4474" s="0" t="s">
        <v>14965</v>
      </c>
      <c r="L4474" s="0" t="str">
        <f aca="false">HYPERLINK("https://www.ncbi.nlm.nih.gov/nuccore/CP000304.1?report=graph&amp;tracks=[key:gene_model_track,Options:GeneOnly]&amp;mk=1269778:1269797|offset_0|444444,1269815:1269834|offset_37|444444,1269840:1269859|offset_62|444444,1269864:1269883|offset_86|00cc00&amp;v=1269577:1270083&amp;c=444444", "offset 86")</f>
        <v>offset 86</v>
      </c>
    </row>
    <row r="4475" customFormat="false" ht="12.8" hidden="false" customHeight="false" outlineLevel="0" collapsed="false">
      <c r="A4475" s="0" t="s">
        <v>12</v>
      </c>
      <c r="B4475" s="0" t="n">
        <v>1271717</v>
      </c>
      <c r="C4475" s="0" t="n">
        <v>1271737</v>
      </c>
      <c r="D4475" s="0" t="s">
        <v>14966</v>
      </c>
      <c r="E4475" s="0" t="s">
        <v>14967</v>
      </c>
      <c r="F4475" s="0" t="s">
        <v>90</v>
      </c>
      <c r="G4475" s="0" t="s">
        <v>26</v>
      </c>
      <c r="H4475" s="0" t="n">
        <v>14</v>
      </c>
      <c r="I4475" s="0" t="s">
        <v>14968</v>
      </c>
      <c r="J4475" s="0" t="s">
        <v>14969</v>
      </c>
      <c r="K4475" s="0" t="s">
        <v>14970</v>
      </c>
      <c r="L4475" s="0" t="str">
        <f aca="false">HYPERLINK("https://www.ncbi.nlm.nih.gov/nuccore/CP000304.1?report=graph&amp;tracks=[key:gene_model_track,Options:GeneOnly]&amp;mk=1271718:1271737|offset_14|00cc00,1271674:1271693|offset_58|444444,1271632:1271651|offset_100|444444,1271559:1271578|offset_173|444444&amp;v=1271517:1271778&amp;c=444444", "offset 14")</f>
        <v>offset 14</v>
      </c>
    </row>
    <row r="4476" customFormat="false" ht="12.8" hidden="false" customHeight="false" outlineLevel="0" collapsed="false">
      <c r="A4476" s="0" t="s">
        <v>12</v>
      </c>
      <c r="B4476" s="0" t="n">
        <v>1271673</v>
      </c>
      <c r="C4476" s="0" t="n">
        <v>1271693</v>
      </c>
      <c r="D4476" s="0" t="s">
        <v>14966</v>
      </c>
      <c r="E4476" s="0" t="s">
        <v>14967</v>
      </c>
      <c r="F4476" s="0" t="s">
        <v>90</v>
      </c>
      <c r="G4476" s="0" t="s">
        <v>32</v>
      </c>
      <c r="H4476" s="0" t="n">
        <v>58</v>
      </c>
      <c r="I4476" s="0" t="s">
        <v>14971</v>
      </c>
      <c r="J4476" s="0" t="s">
        <v>14972</v>
      </c>
      <c r="K4476" s="0" t="s">
        <v>14973</v>
      </c>
      <c r="L4476" s="0" t="str">
        <f aca="false">HYPERLINK("https://www.ncbi.nlm.nih.gov/nuccore/CP000304.1?report=graph&amp;tracks=[key:gene_model_track,Options:GeneOnly]&amp;mk=1271718:1271737|offset_14|444444,1271674:1271693|offset_58|00cc00,1271632:1271651|offset_100|444444,1271559:1271578|offset_173|444444&amp;v=1271517:1271778&amp;c=444444", "offset 58")</f>
        <v>offset 58</v>
      </c>
    </row>
    <row r="4477" customFormat="false" ht="12.8" hidden="false" customHeight="false" outlineLevel="0" collapsed="false">
      <c r="A4477" s="0" t="s">
        <v>12</v>
      </c>
      <c r="B4477" s="0" t="n">
        <v>1271631</v>
      </c>
      <c r="C4477" s="0" t="n">
        <v>1271651</v>
      </c>
      <c r="D4477" s="0" t="s">
        <v>14966</v>
      </c>
      <c r="E4477" s="0" t="s">
        <v>14967</v>
      </c>
      <c r="F4477" s="0" t="s">
        <v>90</v>
      </c>
      <c r="G4477" s="0" t="s">
        <v>36</v>
      </c>
      <c r="H4477" s="0" t="n">
        <v>100</v>
      </c>
      <c r="I4477" s="0" t="s">
        <v>14974</v>
      </c>
      <c r="J4477" s="0" t="s">
        <v>14975</v>
      </c>
      <c r="K4477" s="0" t="s">
        <v>14976</v>
      </c>
      <c r="L4477" s="0" t="str">
        <f aca="false">HYPERLINK("https://www.ncbi.nlm.nih.gov/nuccore/CP000304.1?report=graph&amp;tracks=[key:gene_model_track,Options:GeneOnly]&amp;mk=1271718:1271737|offset_14|444444,1271674:1271693|offset_58|444444,1271632:1271651|offset_100|00cc00,1271559:1271578|offset_173|444444&amp;v=1271517:1271778&amp;c=444444", "offset 100")</f>
        <v>offset 100</v>
      </c>
    </row>
    <row r="4478" customFormat="false" ht="12.8" hidden="false" customHeight="false" outlineLevel="0" collapsed="false">
      <c r="A4478" s="0" t="s">
        <v>12</v>
      </c>
      <c r="B4478" s="0" t="n">
        <v>1271558</v>
      </c>
      <c r="C4478" s="0" t="n">
        <v>1271578</v>
      </c>
      <c r="D4478" s="0" t="s">
        <v>14966</v>
      </c>
      <c r="E4478" s="0" t="s">
        <v>14967</v>
      </c>
      <c r="F4478" s="0" t="s">
        <v>90</v>
      </c>
      <c r="G4478" s="0" t="s">
        <v>32</v>
      </c>
      <c r="H4478" s="0" t="n">
        <v>173</v>
      </c>
      <c r="I4478" s="0" t="s">
        <v>14977</v>
      </c>
      <c r="J4478" s="0" t="s">
        <v>14978</v>
      </c>
      <c r="K4478" s="0" t="s">
        <v>14979</v>
      </c>
      <c r="L4478" s="0" t="str">
        <f aca="false">HYPERLINK("https://www.ncbi.nlm.nih.gov/nuccore/CP000304.1?report=graph&amp;tracks=[key:gene_model_track,Options:GeneOnly]&amp;mk=1271718:1271737|offset_14|444444,1271674:1271693|offset_58|444444,1271632:1271651|offset_100|444444,1271559:1271578|offset_173|00cc00&amp;v=1271517:1271778&amp;c=444444", "offset 173")</f>
        <v>offset 173</v>
      </c>
    </row>
    <row r="4479" customFormat="false" ht="12.8" hidden="false" customHeight="false" outlineLevel="0" collapsed="false">
      <c r="A4479" s="0" t="s">
        <v>12</v>
      </c>
      <c r="B4479" s="0" t="n">
        <v>1272364</v>
      </c>
      <c r="C4479" s="0" t="n">
        <v>1272384</v>
      </c>
      <c r="D4479" s="0" t="s">
        <v>14980</v>
      </c>
      <c r="E4479" s="0" t="s">
        <v>89</v>
      </c>
      <c r="F4479" s="0" t="s">
        <v>90</v>
      </c>
      <c r="G4479" s="0" t="s">
        <v>32</v>
      </c>
      <c r="H4479" s="0" t="n">
        <v>28</v>
      </c>
      <c r="I4479" s="0" t="s">
        <v>14981</v>
      </c>
      <c r="J4479" s="0" t="s">
        <v>14982</v>
      </c>
      <c r="K4479" s="0" t="s">
        <v>14983</v>
      </c>
      <c r="L4479" s="0" t="str">
        <f aca="false">HYPERLINK("https://www.ncbi.nlm.nih.gov/nuccore/CP000304.1?report=graph&amp;tracks=[key:gene_model_track,Options:GeneOnly]&amp;mk=1272365:1272384|offset_28|00cc00,1272193:1272212|offset_200|444444,1272079:1272098|offset_314|444444,1272059:1272078|offset_334|444444&amp;v=1272164:1272278&amp;c=444444", "offset 28")</f>
        <v>offset 28</v>
      </c>
    </row>
    <row r="4480" customFormat="false" ht="12.8" hidden="false" customHeight="false" outlineLevel="0" collapsed="false">
      <c r="A4480" s="0" t="s">
        <v>12</v>
      </c>
      <c r="B4480" s="0" t="n">
        <v>1272192</v>
      </c>
      <c r="C4480" s="0" t="n">
        <v>1272212</v>
      </c>
      <c r="D4480" s="0" t="s">
        <v>14980</v>
      </c>
      <c r="E4480" s="0" t="s">
        <v>89</v>
      </c>
      <c r="F4480" s="0" t="s">
        <v>90</v>
      </c>
      <c r="G4480" s="0" t="s">
        <v>36</v>
      </c>
      <c r="H4480" s="0" t="n">
        <v>200</v>
      </c>
      <c r="I4480" s="0" t="s">
        <v>14984</v>
      </c>
      <c r="J4480" s="0" t="s">
        <v>14985</v>
      </c>
      <c r="K4480" s="0" t="s">
        <v>14986</v>
      </c>
      <c r="L4480" s="0" t="str">
        <f aca="false">HYPERLINK("https://www.ncbi.nlm.nih.gov/nuccore/CP000304.1?report=graph&amp;tracks=[key:gene_model_track,Options:GeneOnly]&amp;mk=1272365:1272384|offset_28|444444,1272193:1272212|offset_200|00cc00,1272079:1272098|offset_314|444444,1272059:1272078|offset_334|444444&amp;v=1272164:1272278&amp;c=444444", "offset 200")</f>
        <v>offset 200</v>
      </c>
    </row>
    <row r="4481" customFormat="false" ht="12.8" hidden="false" customHeight="false" outlineLevel="0" collapsed="false">
      <c r="A4481" s="0" t="s">
        <v>12</v>
      </c>
      <c r="B4481" s="0" t="n">
        <v>1272078</v>
      </c>
      <c r="C4481" s="0" t="n">
        <v>1272098</v>
      </c>
      <c r="D4481" s="0" t="s">
        <v>14980</v>
      </c>
      <c r="E4481" s="0" t="s">
        <v>89</v>
      </c>
      <c r="F4481" s="0" t="s">
        <v>90</v>
      </c>
      <c r="G4481" s="0" t="s">
        <v>16</v>
      </c>
      <c r="H4481" s="0" t="n">
        <v>314</v>
      </c>
      <c r="I4481" s="0" t="s">
        <v>14987</v>
      </c>
      <c r="J4481" s="0" t="s">
        <v>14988</v>
      </c>
      <c r="K4481" s="0" t="s">
        <v>14989</v>
      </c>
      <c r="L4481" s="0" t="str">
        <f aca="false">HYPERLINK("https://www.ncbi.nlm.nih.gov/nuccore/CP000304.1?report=graph&amp;tracks=[key:gene_model_track,Options:GeneOnly]&amp;mk=1272365:1272384|offset_28|444444,1272193:1272212|offset_200|444444,1272079:1272098|offset_314|00cc00,1272059:1272078|offset_334|444444&amp;v=1272164:1272278&amp;c=444444", "offset 314")</f>
        <v>offset 314</v>
      </c>
    </row>
    <row r="4482" customFormat="false" ht="12.8" hidden="false" customHeight="false" outlineLevel="0" collapsed="false">
      <c r="A4482" s="0" t="s">
        <v>12</v>
      </c>
      <c r="B4482" s="0" t="n">
        <v>1272058</v>
      </c>
      <c r="C4482" s="0" t="n">
        <v>1272078</v>
      </c>
      <c r="D4482" s="0" t="s">
        <v>14980</v>
      </c>
      <c r="E4482" s="0" t="s">
        <v>89</v>
      </c>
      <c r="F4482" s="0" t="s">
        <v>90</v>
      </c>
      <c r="G4482" s="0" t="s">
        <v>16</v>
      </c>
      <c r="H4482" s="0" t="n">
        <v>334</v>
      </c>
      <c r="I4482" s="0" t="s">
        <v>14990</v>
      </c>
      <c r="J4482" s="0" t="s">
        <v>14991</v>
      </c>
      <c r="K4482" s="0" t="s">
        <v>14992</v>
      </c>
      <c r="L4482" s="0" t="str">
        <f aca="false">HYPERLINK("https://www.ncbi.nlm.nih.gov/nuccore/CP000304.1?report=graph&amp;tracks=[key:gene_model_track,Options:GeneOnly]&amp;mk=1272365:1272384|offset_28|444444,1272193:1272212|offset_200|444444,1272079:1272098|offset_314|444444,1272059:1272078|offset_334|00cc00&amp;v=1272164:1272278&amp;c=444444", "offset 334")</f>
        <v>offset 334</v>
      </c>
    </row>
    <row r="4483" customFormat="false" ht="12.8" hidden="false" customHeight="false" outlineLevel="0" collapsed="false">
      <c r="A4483" s="0" t="s">
        <v>12</v>
      </c>
      <c r="B4483" s="0" t="n">
        <v>1275021</v>
      </c>
      <c r="C4483" s="0" t="n">
        <v>1275041</v>
      </c>
      <c r="D4483" s="0" t="s">
        <v>14993</v>
      </c>
      <c r="E4483" s="0" t="s">
        <v>89</v>
      </c>
      <c r="F4483" s="0" t="s">
        <v>90</v>
      </c>
      <c r="G4483" s="0" t="s">
        <v>36</v>
      </c>
      <c r="H4483" s="0" t="n">
        <v>106</v>
      </c>
      <c r="I4483" s="0" t="s">
        <v>14994</v>
      </c>
      <c r="J4483" s="0" t="s">
        <v>14995</v>
      </c>
      <c r="K4483" s="0" t="s">
        <v>14996</v>
      </c>
      <c r="L4483" s="0" t="str">
        <f aca="false">HYPERLINK("https://www.ncbi.nlm.nih.gov/nuccore/CP000304.1?report=graph&amp;tracks=[key:gene_model_track,Options:GeneOnly]&amp;mk=1275022:1275041|offset_106|00cc00,1274972:1274991|offset_156|444444,1274949:1274968|offset_179|444444,1274916:1274935|offset_212|444444&amp;v=1274821:1275135&amp;c=444444", "offset 106")</f>
        <v>offset 106</v>
      </c>
    </row>
    <row r="4484" customFormat="false" ht="12.8" hidden="false" customHeight="false" outlineLevel="0" collapsed="false">
      <c r="A4484" s="0" t="s">
        <v>12</v>
      </c>
      <c r="B4484" s="0" t="n">
        <v>1274971</v>
      </c>
      <c r="C4484" s="0" t="n">
        <v>1274991</v>
      </c>
      <c r="D4484" s="0" t="s">
        <v>14993</v>
      </c>
      <c r="E4484" s="0" t="s">
        <v>89</v>
      </c>
      <c r="F4484" s="0" t="s">
        <v>90</v>
      </c>
      <c r="G4484" s="0" t="s">
        <v>16</v>
      </c>
      <c r="H4484" s="0" t="n">
        <v>156</v>
      </c>
      <c r="I4484" s="0" t="s">
        <v>14997</v>
      </c>
      <c r="J4484" s="0" t="s">
        <v>14998</v>
      </c>
      <c r="K4484" s="0" t="s">
        <v>14999</v>
      </c>
      <c r="L4484" s="0" t="str">
        <f aca="false">HYPERLINK("https://www.ncbi.nlm.nih.gov/nuccore/CP000304.1?report=graph&amp;tracks=[key:gene_model_track,Options:GeneOnly]&amp;mk=1275022:1275041|offset_106|444444,1274972:1274991|offset_156|00cc00,1274949:1274968|offset_179|444444,1274916:1274935|offset_212|444444&amp;v=1274821:1275135&amp;c=444444", "offset 156")</f>
        <v>offset 156</v>
      </c>
    </row>
    <row r="4485" customFormat="false" ht="12.8" hidden="false" customHeight="false" outlineLevel="0" collapsed="false">
      <c r="A4485" s="0" t="s">
        <v>12</v>
      </c>
      <c r="B4485" s="0" t="n">
        <v>1274948</v>
      </c>
      <c r="C4485" s="0" t="n">
        <v>1274968</v>
      </c>
      <c r="D4485" s="0" t="s">
        <v>14993</v>
      </c>
      <c r="E4485" s="0" t="s">
        <v>89</v>
      </c>
      <c r="F4485" s="0" t="s">
        <v>90</v>
      </c>
      <c r="G4485" s="0" t="s">
        <v>32</v>
      </c>
      <c r="H4485" s="0" t="n">
        <v>179</v>
      </c>
      <c r="I4485" s="0" t="s">
        <v>15000</v>
      </c>
      <c r="J4485" s="0" t="s">
        <v>15001</v>
      </c>
      <c r="K4485" s="0" t="s">
        <v>15002</v>
      </c>
      <c r="L4485" s="0" t="str">
        <f aca="false">HYPERLINK("https://www.ncbi.nlm.nih.gov/nuccore/CP000304.1?report=graph&amp;tracks=[key:gene_model_track,Options:GeneOnly]&amp;mk=1275022:1275041|offset_106|444444,1274972:1274991|offset_156|444444,1274949:1274968|offset_179|00cc00,1274916:1274935|offset_212|444444&amp;v=1274821:1275135&amp;c=444444", "offset 179")</f>
        <v>offset 179</v>
      </c>
    </row>
    <row r="4486" customFormat="false" ht="12.8" hidden="false" customHeight="false" outlineLevel="0" collapsed="false">
      <c r="A4486" s="0" t="s">
        <v>12</v>
      </c>
      <c r="B4486" s="0" t="n">
        <v>1274915</v>
      </c>
      <c r="C4486" s="0" t="n">
        <v>1274935</v>
      </c>
      <c r="D4486" s="0" t="s">
        <v>14993</v>
      </c>
      <c r="E4486" s="0" t="s">
        <v>89</v>
      </c>
      <c r="F4486" s="0" t="s">
        <v>90</v>
      </c>
      <c r="G4486" s="0" t="s">
        <v>36</v>
      </c>
      <c r="H4486" s="0" t="n">
        <v>212</v>
      </c>
      <c r="I4486" s="0" t="s">
        <v>15003</v>
      </c>
      <c r="J4486" s="0" t="s">
        <v>15004</v>
      </c>
      <c r="K4486" s="0" t="s">
        <v>15005</v>
      </c>
      <c r="L4486" s="0" t="str">
        <f aca="false">HYPERLINK("https://www.ncbi.nlm.nih.gov/nuccore/CP000304.1?report=graph&amp;tracks=[key:gene_model_track,Options:GeneOnly]&amp;mk=1275022:1275041|offset_106|444444,1274972:1274991|offset_156|444444,1274949:1274968|offset_179|444444,1274916:1274935|offset_212|00cc00&amp;v=1274821:1275135&amp;c=444444", "offset 212")</f>
        <v>offset 212</v>
      </c>
    </row>
    <row r="4487" customFormat="false" ht="12.8" hidden="false" customHeight="false" outlineLevel="0" collapsed="false">
      <c r="A4487" s="0" t="s">
        <v>12</v>
      </c>
      <c r="B4487" s="0" t="n">
        <v>1275476</v>
      </c>
      <c r="C4487" s="0" t="n">
        <v>1275496</v>
      </c>
      <c r="D4487" s="0" t="s">
        <v>15006</v>
      </c>
      <c r="E4487" s="0" t="s">
        <v>15007</v>
      </c>
      <c r="F4487" s="0" t="s">
        <v>15</v>
      </c>
      <c r="G4487" s="0" t="s">
        <v>26</v>
      </c>
      <c r="H4487" s="0" t="n">
        <v>10</v>
      </c>
      <c r="I4487" s="0" t="s">
        <v>15008</v>
      </c>
      <c r="J4487" s="0" t="s">
        <v>15009</v>
      </c>
      <c r="K4487" s="0" t="s">
        <v>15010</v>
      </c>
      <c r="L4487" s="0" t="str">
        <f aca="false">HYPERLINK("https://www.ncbi.nlm.nih.gov/nuccore/CP000304.1?report=graph&amp;tracks=[key:gene_model_track,Options:GeneOnly]&amp;mk=1275477:1275496|offset_10|00cc00,1275504:1275523|offset_37|444444,1275525:1275544|offset_58|444444,1275552:1275571|offset_85|444444&amp;v=1275276:1275771&amp;c=444444", "offset 10")</f>
        <v>offset 10</v>
      </c>
    </row>
    <row r="4488" customFormat="false" ht="12.8" hidden="false" customHeight="false" outlineLevel="0" collapsed="false">
      <c r="A4488" s="0" t="s">
        <v>12</v>
      </c>
      <c r="B4488" s="0" t="n">
        <v>1275503</v>
      </c>
      <c r="C4488" s="0" t="n">
        <v>1275523</v>
      </c>
      <c r="D4488" s="0" t="s">
        <v>15006</v>
      </c>
      <c r="E4488" s="0" t="s">
        <v>15007</v>
      </c>
      <c r="F4488" s="0" t="s">
        <v>15</v>
      </c>
      <c r="G4488" s="0" t="s">
        <v>32</v>
      </c>
      <c r="H4488" s="0" t="n">
        <v>37</v>
      </c>
      <c r="I4488" s="0" t="s">
        <v>15011</v>
      </c>
      <c r="J4488" s="0" t="s">
        <v>15012</v>
      </c>
      <c r="K4488" s="0" t="s">
        <v>15013</v>
      </c>
      <c r="L4488" s="0" t="str">
        <f aca="false">HYPERLINK("https://www.ncbi.nlm.nih.gov/nuccore/CP000304.1?report=graph&amp;tracks=[key:gene_model_track,Options:GeneOnly]&amp;mk=1275477:1275496|offset_10|444444,1275504:1275523|offset_37|00cc00,1275525:1275544|offset_58|444444,1275552:1275571|offset_85|444444&amp;v=1275276:1275771&amp;c=444444", "offset 37")</f>
        <v>offset 37</v>
      </c>
    </row>
    <row r="4489" customFormat="false" ht="12.8" hidden="false" customHeight="false" outlineLevel="0" collapsed="false">
      <c r="A4489" s="0" t="s">
        <v>12</v>
      </c>
      <c r="B4489" s="0" t="n">
        <v>1275524</v>
      </c>
      <c r="C4489" s="0" t="n">
        <v>1275544</v>
      </c>
      <c r="D4489" s="0" t="s">
        <v>15006</v>
      </c>
      <c r="E4489" s="0" t="s">
        <v>15007</v>
      </c>
      <c r="F4489" s="0" t="s">
        <v>15</v>
      </c>
      <c r="G4489" s="0" t="s">
        <v>32</v>
      </c>
      <c r="H4489" s="0" t="n">
        <v>58</v>
      </c>
      <c r="I4489" s="0" t="s">
        <v>15014</v>
      </c>
      <c r="J4489" s="0" t="s">
        <v>15015</v>
      </c>
      <c r="K4489" s="0" t="s">
        <v>15016</v>
      </c>
      <c r="L4489" s="0" t="str">
        <f aca="false">HYPERLINK("https://www.ncbi.nlm.nih.gov/nuccore/CP000304.1?report=graph&amp;tracks=[key:gene_model_track,Options:GeneOnly]&amp;mk=1275477:1275496|offset_10|444444,1275504:1275523|offset_37|444444,1275525:1275544|offset_58|00cc00,1275552:1275571|offset_85|444444&amp;v=1275276:1275771&amp;c=444444", "offset 58")</f>
        <v>offset 58</v>
      </c>
    </row>
    <row r="4490" customFormat="false" ht="12.8" hidden="false" customHeight="false" outlineLevel="0" collapsed="false">
      <c r="A4490" s="0" t="s">
        <v>12</v>
      </c>
      <c r="B4490" s="0" t="n">
        <v>1275551</v>
      </c>
      <c r="C4490" s="0" t="n">
        <v>1275571</v>
      </c>
      <c r="D4490" s="0" t="s">
        <v>15006</v>
      </c>
      <c r="E4490" s="0" t="s">
        <v>15007</v>
      </c>
      <c r="F4490" s="0" t="s">
        <v>15</v>
      </c>
      <c r="G4490" s="0" t="s">
        <v>32</v>
      </c>
      <c r="H4490" s="0" t="n">
        <v>85</v>
      </c>
      <c r="I4490" s="0" t="s">
        <v>15017</v>
      </c>
      <c r="J4490" s="0" t="s">
        <v>15018</v>
      </c>
      <c r="K4490" s="0" t="s">
        <v>15019</v>
      </c>
      <c r="L4490" s="0" t="str">
        <f aca="false">HYPERLINK("https://www.ncbi.nlm.nih.gov/nuccore/CP000304.1?report=graph&amp;tracks=[key:gene_model_track,Options:GeneOnly]&amp;mk=1275477:1275496|offset_10|444444,1275504:1275523|offset_37|444444,1275525:1275544|offset_58|444444,1275552:1275571|offset_85|00cc00&amp;v=1275276:1275771&amp;c=444444", "offset 85")</f>
        <v>offset 85</v>
      </c>
    </row>
    <row r="4491" customFormat="false" ht="12.8" hidden="false" customHeight="false" outlineLevel="0" collapsed="false">
      <c r="A4491" s="0" t="s">
        <v>12</v>
      </c>
      <c r="B4491" s="0" t="n">
        <v>1276316</v>
      </c>
      <c r="C4491" s="0" t="n">
        <v>1276336</v>
      </c>
      <c r="D4491" s="0" t="s">
        <v>15020</v>
      </c>
      <c r="E4491" s="0" t="s">
        <v>89</v>
      </c>
      <c r="F4491" s="0" t="s">
        <v>15</v>
      </c>
      <c r="G4491" s="0" t="s">
        <v>16</v>
      </c>
      <c r="H4491" s="0" t="n">
        <v>1</v>
      </c>
      <c r="I4491" s="0" t="s">
        <v>15021</v>
      </c>
      <c r="J4491" s="0" t="s">
        <v>15022</v>
      </c>
      <c r="K4491" s="0" t="s">
        <v>15023</v>
      </c>
      <c r="L4491" s="0" t="str">
        <f aca="false">HYPERLINK("https://www.ncbi.nlm.nih.gov/nuccore/CP000304.1?report=graph&amp;tracks=[key:gene_model_track,Options:GeneOnly]&amp;mk=1276317:1276336|offset_1|00cc00,1276347:1276366|offset_31|444444,1276380:1276399|offset_64|444444,1276410:1276429|offset_94|444444&amp;v=1276116:1276629&amp;c=444444", "offset 1")</f>
        <v>offset 1</v>
      </c>
    </row>
    <row r="4492" customFormat="false" ht="12.8" hidden="false" customHeight="false" outlineLevel="0" collapsed="false">
      <c r="A4492" s="0" t="s">
        <v>12</v>
      </c>
      <c r="B4492" s="0" t="n">
        <v>1276346</v>
      </c>
      <c r="C4492" s="0" t="n">
        <v>1276366</v>
      </c>
      <c r="D4492" s="0" t="s">
        <v>15020</v>
      </c>
      <c r="E4492" s="0" t="s">
        <v>89</v>
      </c>
      <c r="F4492" s="0" t="s">
        <v>15</v>
      </c>
      <c r="G4492" s="0" t="s">
        <v>32</v>
      </c>
      <c r="H4492" s="0" t="n">
        <v>31</v>
      </c>
      <c r="I4492" s="0" t="s">
        <v>15024</v>
      </c>
      <c r="J4492" s="0" t="s">
        <v>15025</v>
      </c>
      <c r="K4492" s="0" t="s">
        <v>15026</v>
      </c>
      <c r="L4492" s="0" t="str">
        <f aca="false">HYPERLINK("https://www.ncbi.nlm.nih.gov/nuccore/CP000304.1?report=graph&amp;tracks=[key:gene_model_track,Options:GeneOnly]&amp;mk=1276317:1276336|offset_1|444444,1276347:1276366|offset_31|00cc00,1276380:1276399|offset_64|444444,1276410:1276429|offset_94|444444&amp;v=1276116:1276629&amp;c=444444", "offset 31")</f>
        <v>offset 31</v>
      </c>
    </row>
    <row r="4493" customFormat="false" ht="12.8" hidden="false" customHeight="false" outlineLevel="0" collapsed="false">
      <c r="A4493" s="0" t="s">
        <v>12</v>
      </c>
      <c r="B4493" s="0" t="n">
        <v>1276379</v>
      </c>
      <c r="C4493" s="0" t="n">
        <v>1276399</v>
      </c>
      <c r="D4493" s="0" t="s">
        <v>15020</v>
      </c>
      <c r="E4493" s="0" t="s">
        <v>89</v>
      </c>
      <c r="F4493" s="0" t="s">
        <v>15</v>
      </c>
      <c r="G4493" s="0" t="s">
        <v>36</v>
      </c>
      <c r="H4493" s="0" t="n">
        <v>64</v>
      </c>
      <c r="I4493" s="0" t="s">
        <v>15027</v>
      </c>
      <c r="J4493" s="0" t="s">
        <v>15028</v>
      </c>
      <c r="K4493" s="0" t="s">
        <v>15029</v>
      </c>
      <c r="L4493" s="0" t="str">
        <f aca="false">HYPERLINK("https://www.ncbi.nlm.nih.gov/nuccore/CP000304.1?report=graph&amp;tracks=[key:gene_model_track,Options:GeneOnly]&amp;mk=1276317:1276336|offset_1|444444,1276347:1276366|offset_31|444444,1276380:1276399|offset_64|00cc00,1276410:1276429|offset_94|444444&amp;v=1276116:1276629&amp;c=444444", "offset 64")</f>
        <v>offset 64</v>
      </c>
    </row>
    <row r="4494" customFormat="false" ht="12.8" hidden="false" customHeight="false" outlineLevel="0" collapsed="false">
      <c r="A4494" s="0" t="s">
        <v>12</v>
      </c>
      <c r="B4494" s="0" t="n">
        <v>1276409</v>
      </c>
      <c r="C4494" s="0" t="n">
        <v>1276429</v>
      </c>
      <c r="D4494" s="0" t="s">
        <v>15020</v>
      </c>
      <c r="E4494" s="0" t="s">
        <v>89</v>
      </c>
      <c r="F4494" s="0" t="s">
        <v>15</v>
      </c>
      <c r="G4494" s="0" t="s">
        <v>16</v>
      </c>
      <c r="H4494" s="0" t="n">
        <v>94</v>
      </c>
      <c r="I4494" s="0" t="s">
        <v>15030</v>
      </c>
      <c r="J4494" s="0" t="s">
        <v>15031</v>
      </c>
      <c r="K4494" s="0" t="s">
        <v>15032</v>
      </c>
      <c r="L4494" s="0" t="str">
        <f aca="false">HYPERLINK("https://www.ncbi.nlm.nih.gov/nuccore/CP000304.1?report=graph&amp;tracks=[key:gene_model_track,Options:GeneOnly]&amp;mk=1276317:1276336|offset_1|444444,1276347:1276366|offset_31|444444,1276380:1276399|offset_64|444444,1276410:1276429|offset_94|00cc00&amp;v=1276116:1276629&amp;c=444444", "offset 94")</f>
        <v>offset 94</v>
      </c>
    </row>
    <row r="4495" customFormat="false" ht="12.8" hidden="false" customHeight="false" outlineLevel="0" collapsed="false">
      <c r="A4495" s="0" t="s">
        <v>12</v>
      </c>
      <c r="B4495" s="0" t="n">
        <v>1276580</v>
      </c>
      <c r="C4495" s="0" t="n">
        <v>1276600</v>
      </c>
      <c r="D4495" s="0" t="s">
        <v>15033</v>
      </c>
      <c r="E4495" s="0" t="s">
        <v>89</v>
      </c>
      <c r="F4495" s="0" t="s">
        <v>15</v>
      </c>
      <c r="G4495" s="0" t="s">
        <v>16</v>
      </c>
      <c r="H4495" s="0" t="n">
        <v>37</v>
      </c>
      <c r="I4495" s="0" t="s">
        <v>15034</v>
      </c>
      <c r="J4495" s="0" t="s">
        <v>15035</v>
      </c>
      <c r="K4495" s="0" t="s">
        <v>15036</v>
      </c>
      <c r="L4495" s="0" t="str">
        <f aca="false">HYPERLINK("https://www.ncbi.nlm.nih.gov/nuccore/CP000304.1?report=graph&amp;tracks=[key:gene_model_track,Options:GeneOnly]&amp;mk=1276581:1276600|offset_37|00cc00,1276623:1276642|offset_79|444444,1276644:1276663|offset_100|444444,1276674:1276693|offset_130|444444&amp;v=1276380:1276893&amp;c=444444", "offset 37")</f>
        <v>offset 37</v>
      </c>
    </row>
    <row r="4496" customFormat="false" ht="12.8" hidden="false" customHeight="false" outlineLevel="0" collapsed="false">
      <c r="A4496" s="0" t="s">
        <v>12</v>
      </c>
      <c r="B4496" s="0" t="n">
        <v>1276622</v>
      </c>
      <c r="C4496" s="0" t="n">
        <v>1276642</v>
      </c>
      <c r="D4496" s="0" t="s">
        <v>15033</v>
      </c>
      <c r="E4496" s="0" t="s">
        <v>89</v>
      </c>
      <c r="F4496" s="0" t="s">
        <v>15</v>
      </c>
      <c r="G4496" s="0" t="s">
        <v>32</v>
      </c>
      <c r="H4496" s="0" t="n">
        <v>79</v>
      </c>
      <c r="I4496" s="0" t="s">
        <v>15037</v>
      </c>
      <c r="J4496" s="0" t="s">
        <v>15038</v>
      </c>
      <c r="K4496" s="0" t="s">
        <v>15039</v>
      </c>
      <c r="L4496" s="0" t="str">
        <f aca="false">HYPERLINK("https://www.ncbi.nlm.nih.gov/nuccore/CP000304.1?report=graph&amp;tracks=[key:gene_model_track,Options:GeneOnly]&amp;mk=1276581:1276600|offset_37|444444,1276623:1276642|offset_79|00cc00,1276644:1276663|offset_100|444444,1276674:1276693|offset_130|444444&amp;v=1276380:1276893&amp;c=444444", "offset 79")</f>
        <v>offset 79</v>
      </c>
    </row>
    <row r="4497" customFormat="false" ht="12.8" hidden="false" customHeight="false" outlineLevel="0" collapsed="false">
      <c r="A4497" s="0" t="s">
        <v>12</v>
      </c>
      <c r="B4497" s="0" t="n">
        <v>1276643</v>
      </c>
      <c r="C4497" s="0" t="n">
        <v>1276663</v>
      </c>
      <c r="D4497" s="0" t="s">
        <v>15033</v>
      </c>
      <c r="E4497" s="0" t="s">
        <v>89</v>
      </c>
      <c r="F4497" s="0" t="s">
        <v>15</v>
      </c>
      <c r="G4497" s="0" t="s">
        <v>16</v>
      </c>
      <c r="H4497" s="0" t="n">
        <v>100</v>
      </c>
      <c r="I4497" s="0" t="s">
        <v>15040</v>
      </c>
      <c r="J4497" s="0" t="s">
        <v>15041</v>
      </c>
      <c r="K4497" s="0" t="s">
        <v>15042</v>
      </c>
      <c r="L4497" s="0" t="str">
        <f aca="false">HYPERLINK("https://www.ncbi.nlm.nih.gov/nuccore/CP000304.1?report=graph&amp;tracks=[key:gene_model_track,Options:GeneOnly]&amp;mk=1276581:1276600|offset_37|444444,1276623:1276642|offset_79|444444,1276644:1276663|offset_100|00cc00,1276674:1276693|offset_130|444444&amp;v=1276380:1276893&amp;c=444444", "offset 100")</f>
        <v>offset 100</v>
      </c>
    </row>
    <row r="4498" customFormat="false" ht="12.8" hidden="false" customHeight="false" outlineLevel="0" collapsed="false">
      <c r="A4498" s="0" t="s">
        <v>12</v>
      </c>
      <c r="B4498" s="0" t="n">
        <v>1276673</v>
      </c>
      <c r="C4498" s="0" t="n">
        <v>1276693</v>
      </c>
      <c r="D4498" s="0" t="s">
        <v>15033</v>
      </c>
      <c r="E4498" s="0" t="s">
        <v>89</v>
      </c>
      <c r="F4498" s="0" t="s">
        <v>15</v>
      </c>
      <c r="G4498" s="0" t="s">
        <v>26</v>
      </c>
      <c r="H4498" s="0" t="n">
        <v>130</v>
      </c>
      <c r="I4498" s="0" t="s">
        <v>15043</v>
      </c>
      <c r="J4498" s="0" t="s">
        <v>15044</v>
      </c>
      <c r="K4498" s="0" t="s">
        <v>15045</v>
      </c>
      <c r="L4498" s="0" t="str">
        <f aca="false">HYPERLINK("https://www.ncbi.nlm.nih.gov/nuccore/CP000304.1?report=graph&amp;tracks=[key:gene_model_track,Options:GeneOnly]&amp;mk=1276581:1276600|offset_37|444444,1276623:1276642|offset_79|444444,1276644:1276663|offset_100|444444,1276674:1276693|offset_130|00cc00&amp;v=1276380:1276893&amp;c=444444", "offset 130")</f>
        <v>offset 130</v>
      </c>
    </row>
    <row r="4499" customFormat="false" ht="12.8" hidden="false" customHeight="false" outlineLevel="0" collapsed="false">
      <c r="A4499" s="0" t="s">
        <v>12</v>
      </c>
      <c r="B4499" s="0" t="n">
        <v>1278373</v>
      </c>
      <c r="C4499" s="0" t="n">
        <v>1278393</v>
      </c>
      <c r="D4499" s="0" t="s">
        <v>15046</v>
      </c>
      <c r="E4499" s="0" t="s">
        <v>89</v>
      </c>
      <c r="F4499" s="0" t="s">
        <v>90</v>
      </c>
      <c r="G4499" s="0" t="s">
        <v>32</v>
      </c>
      <c r="H4499" s="0" t="n">
        <v>10</v>
      </c>
      <c r="I4499" s="0" t="s">
        <v>15047</v>
      </c>
      <c r="J4499" s="0" t="s">
        <v>15048</v>
      </c>
      <c r="K4499" s="0" t="s">
        <v>15049</v>
      </c>
      <c r="L4499" s="0" t="str">
        <f aca="false">HYPERLINK("https://www.ncbi.nlm.nih.gov/nuccore/CP000304.1?report=graph&amp;tracks=[key:gene_model_track,Options:GeneOnly]&amp;mk=1278374:1278393|offset_10|00cc00,1278345:1278364|offset_39|444444,1278319:1278338|offset_65|444444,1278298:1278317|offset_86|444444&amp;v=1278173:1278517&amp;c=444444", "offset 10")</f>
        <v>offset 10</v>
      </c>
    </row>
    <row r="4500" customFormat="false" ht="12.8" hidden="false" customHeight="false" outlineLevel="0" collapsed="false">
      <c r="A4500" s="0" t="s">
        <v>12</v>
      </c>
      <c r="B4500" s="0" t="n">
        <v>1278344</v>
      </c>
      <c r="C4500" s="0" t="n">
        <v>1278364</v>
      </c>
      <c r="D4500" s="0" t="s">
        <v>15046</v>
      </c>
      <c r="E4500" s="0" t="s">
        <v>89</v>
      </c>
      <c r="F4500" s="0" t="s">
        <v>90</v>
      </c>
      <c r="G4500" s="0" t="s">
        <v>16</v>
      </c>
      <c r="H4500" s="0" t="n">
        <v>39</v>
      </c>
      <c r="I4500" s="0" t="s">
        <v>15050</v>
      </c>
      <c r="J4500" s="0" t="s">
        <v>15051</v>
      </c>
      <c r="K4500" s="0" t="s">
        <v>15052</v>
      </c>
      <c r="L4500" s="0" t="str">
        <f aca="false">HYPERLINK("https://www.ncbi.nlm.nih.gov/nuccore/CP000304.1?report=graph&amp;tracks=[key:gene_model_track,Options:GeneOnly]&amp;mk=1278374:1278393|offset_10|444444,1278345:1278364|offset_39|00cc00,1278319:1278338|offset_65|444444,1278298:1278317|offset_86|444444&amp;v=1278173:1278517&amp;c=444444", "offset 39")</f>
        <v>offset 39</v>
      </c>
    </row>
    <row r="4501" customFormat="false" ht="12.8" hidden="false" customHeight="false" outlineLevel="0" collapsed="false">
      <c r="A4501" s="0" t="s">
        <v>12</v>
      </c>
      <c r="B4501" s="0" t="n">
        <v>1278318</v>
      </c>
      <c r="C4501" s="0" t="n">
        <v>1278338</v>
      </c>
      <c r="D4501" s="0" t="s">
        <v>15046</v>
      </c>
      <c r="E4501" s="0" t="s">
        <v>89</v>
      </c>
      <c r="F4501" s="0" t="s">
        <v>90</v>
      </c>
      <c r="G4501" s="0" t="s">
        <v>32</v>
      </c>
      <c r="H4501" s="0" t="n">
        <v>65</v>
      </c>
      <c r="I4501" s="0" t="s">
        <v>15053</v>
      </c>
      <c r="J4501" s="0" t="s">
        <v>15054</v>
      </c>
      <c r="K4501" s="0" t="s">
        <v>15055</v>
      </c>
      <c r="L4501" s="0" t="str">
        <f aca="false">HYPERLINK("https://www.ncbi.nlm.nih.gov/nuccore/CP000304.1?report=graph&amp;tracks=[key:gene_model_track,Options:GeneOnly]&amp;mk=1278374:1278393|offset_10|444444,1278345:1278364|offset_39|444444,1278319:1278338|offset_65|00cc00,1278298:1278317|offset_86|444444&amp;v=1278173:1278517&amp;c=444444", "offset 65")</f>
        <v>offset 65</v>
      </c>
    </row>
    <row r="4502" customFormat="false" ht="12.8" hidden="false" customHeight="false" outlineLevel="0" collapsed="false">
      <c r="A4502" s="0" t="s">
        <v>12</v>
      </c>
      <c r="B4502" s="0" t="n">
        <v>1278297</v>
      </c>
      <c r="C4502" s="0" t="n">
        <v>1278317</v>
      </c>
      <c r="D4502" s="0" t="s">
        <v>15046</v>
      </c>
      <c r="E4502" s="0" t="s">
        <v>89</v>
      </c>
      <c r="F4502" s="0" t="s">
        <v>90</v>
      </c>
      <c r="G4502" s="0" t="s">
        <v>32</v>
      </c>
      <c r="H4502" s="0" t="n">
        <v>86</v>
      </c>
      <c r="I4502" s="0" t="s">
        <v>15056</v>
      </c>
      <c r="J4502" s="0" t="s">
        <v>15057</v>
      </c>
      <c r="K4502" s="0" t="s">
        <v>15058</v>
      </c>
      <c r="L4502" s="0" t="str">
        <f aca="false">HYPERLINK("https://www.ncbi.nlm.nih.gov/nuccore/CP000304.1?report=graph&amp;tracks=[key:gene_model_track,Options:GeneOnly]&amp;mk=1278374:1278393|offset_10|444444,1278345:1278364|offset_39|444444,1278319:1278338|offset_65|444444,1278298:1278317|offset_86|00cc00&amp;v=1278173:1278517&amp;c=444444", "offset 86")</f>
        <v>offset 86</v>
      </c>
    </row>
    <row r="4503" customFormat="false" ht="12.8" hidden="false" customHeight="false" outlineLevel="0" collapsed="false">
      <c r="A4503" s="0" t="s">
        <v>12</v>
      </c>
      <c r="B4503" s="0" t="n">
        <v>1280003</v>
      </c>
      <c r="C4503" s="0" t="n">
        <v>1280023</v>
      </c>
      <c r="D4503" s="0" t="s">
        <v>15059</v>
      </c>
      <c r="E4503" s="0" t="s">
        <v>15060</v>
      </c>
      <c r="F4503" s="0" t="s">
        <v>90</v>
      </c>
      <c r="G4503" s="0" t="s">
        <v>36</v>
      </c>
      <c r="H4503" s="0" t="n">
        <v>8</v>
      </c>
      <c r="I4503" s="0" t="s">
        <v>15061</v>
      </c>
      <c r="J4503" s="0" t="s">
        <v>15062</v>
      </c>
      <c r="K4503" s="0" t="s">
        <v>15063</v>
      </c>
      <c r="L4503" s="0" t="str">
        <f aca="false">HYPERLINK("https://www.ncbi.nlm.nih.gov/nuccore/CP000304.1?report=graph&amp;tracks=[key:gene_model_track,Options:GeneOnly]&amp;mk=1280004:1280023|offset_8|00cc00,1279975:1279994|offset_37|444444,1279944:1279963|offset_68|444444,1279884:1279903|offset_128|444444&amp;v=1279803:1280103&amp;c=444444", "offset 8")</f>
        <v>offset 8</v>
      </c>
    </row>
    <row r="4504" customFormat="false" ht="12.8" hidden="false" customHeight="false" outlineLevel="0" collapsed="false">
      <c r="A4504" s="0" t="s">
        <v>12</v>
      </c>
      <c r="B4504" s="0" t="n">
        <v>1279974</v>
      </c>
      <c r="C4504" s="0" t="n">
        <v>1279994</v>
      </c>
      <c r="D4504" s="0" t="s">
        <v>15059</v>
      </c>
      <c r="E4504" s="0" t="s">
        <v>15060</v>
      </c>
      <c r="F4504" s="0" t="s">
        <v>90</v>
      </c>
      <c r="G4504" s="0" t="s">
        <v>36</v>
      </c>
      <c r="H4504" s="0" t="n">
        <v>37</v>
      </c>
      <c r="I4504" s="0" t="s">
        <v>15064</v>
      </c>
      <c r="J4504" s="0" t="s">
        <v>15065</v>
      </c>
      <c r="K4504" s="0" t="s">
        <v>15066</v>
      </c>
      <c r="L4504" s="0" t="str">
        <f aca="false">HYPERLINK("https://www.ncbi.nlm.nih.gov/nuccore/CP000304.1?report=graph&amp;tracks=[key:gene_model_track,Options:GeneOnly]&amp;mk=1280004:1280023|offset_8|444444,1279975:1279994|offset_37|00cc00,1279944:1279963|offset_68|444444,1279884:1279903|offset_128|444444&amp;v=1279803:1280103&amp;c=444444", "offset 37")</f>
        <v>offset 37</v>
      </c>
    </row>
    <row r="4505" customFormat="false" ht="12.8" hidden="false" customHeight="false" outlineLevel="0" collapsed="false">
      <c r="A4505" s="0" t="s">
        <v>12</v>
      </c>
      <c r="B4505" s="0" t="n">
        <v>1279943</v>
      </c>
      <c r="C4505" s="0" t="n">
        <v>1279963</v>
      </c>
      <c r="D4505" s="0" t="s">
        <v>15059</v>
      </c>
      <c r="E4505" s="0" t="s">
        <v>15060</v>
      </c>
      <c r="F4505" s="0" t="s">
        <v>90</v>
      </c>
      <c r="G4505" s="0" t="s">
        <v>36</v>
      </c>
      <c r="H4505" s="0" t="n">
        <v>68</v>
      </c>
      <c r="I4505" s="0" t="s">
        <v>15067</v>
      </c>
      <c r="J4505" s="0" t="s">
        <v>15068</v>
      </c>
      <c r="K4505" s="0" t="s">
        <v>15069</v>
      </c>
      <c r="L4505" s="0" t="str">
        <f aca="false">HYPERLINK("https://www.ncbi.nlm.nih.gov/nuccore/CP000304.1?report=graph&amp;tracks=[key:gene_model_track,Options:GeneOnly]&amp;mk=1280004:1280023|offset_8|444444,1279975:1279994|offset_37|444444,1279944:1279963|offset_68|00cc00,1279884:1279903|offset_128|444444&amp;v=1279803:1280103&amp;c=444444", "offset 68")</f>
        <v>offset 68</v>
      </c>
    </row>
    <row r="4506" customFormat="false" ht="12.8" hidden="false" customHeight="false" outlineLevel="0" collapsed="false">
      <c r="A4506" s="0" t="s">
        <v>12</v>
      </c>
      <c r="B4506" s="0" t="n">
        <v>1279883</v>
      </c>
      <c r="C4506" s="0" t="n">
        <v>1279903</v>
      </c>
      <c r="D4506" s="0" t="s">
        <v>15059</v>
      </c>
      <c r="E4506" s="0" t="s">
        <v>15060</v>
      </c>
      <c r="F4506" s="0" t="s">
        <v>90</v>
      </c>
      <c r="G4506" s="0" t="s">
        <v>26</v>
      </c>
      <c r="H4506" s="0" t="n">
        <v>128</v>
      </c>
      <c r="I4506" s="0" t="s">
        <v>15070</v>
      </c>
      <c r="J4506" s="0" t="s">
        <v>15071</v>
      </c>
      <c r="K4506" s="0" t="s">
        <v>15072</v>
      </c>
      <c r="L4506" s="0" t="str">
        <f aca="false">HYPERLINK("https://www.ncbi.nlm.nih.gov/nuccore/CP000304.1?report=graph&amp;tracks=[key:gene_model_track,Options:GeneOnly]&amp;mk=1280004:1280023|offset_8|444444,1279975:1279994|offset_37|444444,1279944:1279963|offset_68|444444,1279884:1279903|offset_128|00cc00&amp;v=1279803:1280103&amp;c=444444", "offset 128")</f>
        <v>offset 128</v>
      </c>
    </row>
    <row r="4507" customFormat="false" ht="12.8" hidden="false" customHeight="false" outlineLevel="0" collapsed="false">
      <c r="A4507" s="0" t="s">
        <v>12</v>
      </c>
      <c r="B4507" s="0" t="n">
        <v>1281510</v>
      </c>
      <c r="C4507" s="0" t="n">
        <v>1281530</v>
      </c>
      <c r="D4507" s="0" t="s">
        <v>15073</v>
      </c>
      <c r="E4507" s="0" t="s">
        <v>89</v>
      </c>
      <c r="F4507" s="0" t="s">
        <v>90</v>
      </c>
      <c r="G4507" s="0" t="s">
        <v>36</v>
      </c>
      <c r="H4507" s="0" t="n">
        <v>19</v>
      </c>
      <c r="I4507" s="0" t="s">
        <v>15074</v>
      </c>
      <c r="J4507" s="0" t="s">
        <v>15075</v>
      </c>
      <c r="K4507" s="0" t="s">
        <v>15076</v>
      </c>
      <c r="L4507" s="0" t="str">
        <f aca="false">HYPERLINK("https://www.ncbi.nlm.nih.gov/nuccore/CP000304.1?report=graph&amp;tracks=[key:gene_model_track,Options:GeneOnly]&amp;mk=1281511:1281530|offset_19|00cc00,1281482:1281501|offset_48|444444,1281460:1281479|offset_70|444444,1281401:1281420|offset_129|444444&amp;v=1281310:1281620&amp;c=444444", "offset 19")</f>
        <v>offset 19</v>
      </c>
    </row>
    <row r="4508" customFormat="false" ht="12.8" hidden="false" customHeight="false" outlineLevel="0" collapsed="false">
      <c r="A4508" s="0" t="s">
        <v>12</v>
      </c>
      <c r="B4508" s="0" t="n">
        <v>1281481</v>
      </c>
      <c r="C4508" s="0" t="n">
        <v>1281501</v>
      </c>
      <c r="D4508" s="0" t="s">
        <v>15073</v>
      </c>
      <c r="E4508" s="0" t="s">
        <v>89</v>
      </c>
      <c r="F4508" s="0" t="s">
        <v>90</v>
      </c>
      <c r="G4508" s="0" t="s">
        <v>36</v>
      </c>
      <c r="H4508" s="0" t="n">
        <v>48</v>
      </c>
      <c r="I4508" s="0" t="s">
        <v>15077</v>
      </c>
      <c r="J4508" s="0" t="s">
        <v>15078</v>
      </c>
      <c r="K4508" s="0" t="s">
        <v>15079</v>
      </c>
      <c r="L4508" s="0" t="str">
        <f aca="false">HYPERLINK("https://www.ncbi.nlm.nih.gov/nuccore/CP000304.1?report=graph&amp;tracks=[key:gene_model_track,Options:GeneOnly]&amp;mk=1281511:1281530|offset_19|444444,1281482:1281501|offset_48|00cc00,1281460:1281479|offset_70|444444,1281401:1281420|offset_129|444444&amp;v=1281310:1281620&amp;c=444444", "offset 48")</f>
        <v>offset 48</v>
      </c>
    </row>
    <row r="4509" customFormat="false" ht="12.8" hidden="false" customHeight="false" outlineLevel="0" collapsed="false">
      <c r="A4509" s="0" t="s">
        <v>12</v>
      </c>
      <c r="B4509" s="0" t="n">
        <v>1281459</v>
      </c>
      <c r="C4509" s="0" t="n">
        <v>1281479</v>
      </c>
      <c r="D4509" s="0" t="s">
        <v>15073</v>
      </c>
      <c r="E4509" s="0" t="s">
        <v>89</v>
      </c>
      <c r="F4509" s="0" t="s">
        <v>90</v>
      </c>
      <c r="G4509" s="0" t="s">
        <v>36</v>
      </c>
      <c r="H4509" s="0" t="n">
        <v>70</v>
      </c>
      <c r="I4509" s="0" t="s">
        <v>15080</v>
      </c>
      <c r="J4509" s="0" t="s">
        <v>15081</v>
      </c>
      <c r="K4509" s="0" t="s">
        <v>15082</v>
      </c>
      <c r="L4509" s="0" t="str">
        <f aca="false">HYPERLINK("https://www.ncbi.nlm.nih.gov/nuccore/CP000304.1?report=graph&amp;tracks=[key:gene_model_track,Options:GeneOnly]&amp;mk=1281511:1281530|offset_19|444444,1281482:1281501|offset_48|444444,1281460:1281479|offset_70|00cc00,1281401:1281420|offset_129|444444&amp;v=1281310:1281620&amp;c=444444", "offset 70")</f>
        <v>offset 70</v>
      </c>
    </row>
    <row r="4510" customFormat="false" ht="12.8" hidden="false" customHeight="false" outlineLevel="0" collapsed="false">
      <c r="A4510" s="0" t="s">
        <v>12</v>
      </c>
      <c r="B4510" s="0" t="n">
        <v>1281400</v>
      </c>
      <c r="C4510" s="0" t="n">
        <v>1281420</v>
      </c>
      <c r="D4510" s="0" t="s">
        <v>15073</v>
      </c>
      <c r="E4510" s="0" t="s">
        <v>89</v>
      </c>
      <c r="F4510" s="0" t="s">
        <v>90</v>
      </c>
      <c r="G4510" s="0" t="s">
        <v>16</v>
      </c>
      <c r="H4510" s="0" t="n">
        <v>129</v>
      </c>
      <c r="I4510" s="0" t="s">
        <v>15083</v>
      </c>
      <c r="J4510" s="0" t="s">
        <v>15084</v>
      </c>
      <c r="K4510" s="0" t="s">
        <v>15085</v>
      </c>
      <c r="L4510" s="0" t="str">
        <f aca="false">HYPERLINK("https://www.ncbi.nlm.nih.gov/nuccore/CP000304.1?report=graph&amp;tracks=[key:gene_model_track,Options:GeneOnly]&amp;mk=1281511:1281530|offset_19|444444,1281482:1281501|offset_48|444444,1281460:1281479|offset_70|444444,1281401:1281420|offset_129|00cc00&amp;v=1281310:1281620&amp;c=444444", "offset 129")</f>
        <v>offset 129</v>
      </c>
    </row>
    <row r="4511" customFormat="false" ht="12.8" hidden="false" customHeight="false" outlineLevel="0" collapsed="false">
      <c r="A4511" s="0" t="s">
        <v>12</v>
      </c>
      <c r="B4511" s="0" t="n">
        <v>1281717</v>
      </c>
      <c r="C4511" s="0" t="n">
        <v>1281737</v>
      </c>
      <c r="D4511" s="0" t="s">
        <v>15086</v>
      </c>
      <c r="E4511" s="0" t="s">
        <v>89</v>
      </c>
      <c r="F4511" s="0" t="s">
        <v>15</v>
      </c>
      <c r="G4511" s="0" t="s">
        <v>16</v>
      </c>
      <c r="H4511" s="0" t="n">
        <v>33</v>
      </c>
      <c r="I4511" s="0" t="s">
        <v>15087</v>
      </c>
      <c r="J4511" s="0" t="s">
        <v>15088</v>
      </c>
      <c r="K4511" s="0" t="s">
        <v>15089</v>
      </c>
      <c r="L4511" s="0" t="str">
        <f aca="false">HYPERLINK("https://www.ncbi.nlm.nih.gov/nuccore/CP000304.1?report=graph&amp;tracks=[key:gene_model_track,Options:GeneOnly]&amp;mk=1281718:1281737|offset_33|00cc00,1281747:1281766|offset_62|444444,1281812:1281831|offset_127|444444,1281833:1281852|offset_148|444444&amp;v=1281517:1282052&amp;c=444444", "offset 33")</f>
        <v>offset 33</v>
      </c>
    </row>
    <row r="4512" customFormat="false" ht="12.8" hidden="false" customHeight="false" outlineLevel="0" collapsed="false">
      <c r="A4512" s="0" t="s">
        <v>12</v>
      </c>
      <c r="B4512" s="0" t="n">
        <v>1281746</v>
      </c>
      <c r="C4512" s="0" t="n">
        <v>1281766</v>
      </c>
      <c r="D4512" s="0" t="s">
        <v>15086</v>
      </c>
      <c r="E4512" s="0" t="s">
        <v>89</v>
      </c>
      <c r="F4512" s="0" t="s">
        <v>15</v>
      </c>
      <c r="G4512" s="0" t="s">
        <v>16</v>
      </c>
      <c r="H4512" s="0" t="n">
        <v>62</v>
      </c>
      <c r="I4512" s="0" t="s">
        <v>15090</v>
      </c>
      <c r="J4512" s="0" t="s">
        <v>15091</v>
      </c>
      <c r="K4512" s="0" t="s">
        <v>15092</v>
      </c>
      <c r="L4512" s="0" t="str">
        <f aca="false">HYPERLINK("https://www.ncbi.nlm.nih.gov/nuccore/CP000304.1?report=graph&amp;tracks=[key:gene_model_track,Options:GeneOnly]&amp;mk=1281718:1281737|offset_33|444444,1281747:1281766|offset_62|00cc00,1281812:1281831|offset_127|444444,1281833:1281852|offset_148|444444&amp;v=1281517:1282052&amp;c=444444", "offset 62")</f>
        <v>offset 62</v>
      </c>
    </row>
    <row r="4513" customFormat="false" ht="12.8" hidden="false" customHeight="false" outlineLevel="0" collapsed="false">
      <c r="A4513" s="0" t="s">
        <v>12</v>
      </c>
      <c r="B4513" s="0" t="n">
        <v>1281811</v>
      </c>
      <c r="C4513" s="0" t="n">
        <v>1281831</v>
      </c>
      <c r="D4513" s="0" t="s">
        <v>15086</v>
      </c>
      <c r="E4513" s="0" t="s">
        <v>89</v>
      </c>
      <c r="F4513" s="0" t="s">
        <v>15</v>
      </c>
      <c r="G4513" s="0" t="s">
        <v>16</v>
      </c>
      <c r="H4513" s="0" t="n">
        <v>127</v>
      </c>
      <c r="I4513" s="0" t="s">
        <v>15093</v>
      </c>
      <c r="J4513" s="0" t="s">
        <v>15094</v>
      </c>
      <c r="K4513" s="0" t="s">
        <v>15095</v>
      </c>
      <c r="L4513" s="0" t="str">
        <f aca="false">HYPERLINK("https://www.ncbi.nlm.nih.gov/nuccore/CP000304.1?report=graph&amp;tracks=[key:gene_model_track,Options:GeneOnly]&amp;mk=1281718:1281737|offset_33|444444,1281747:1281766|offset_62|444444,1281812:1281831|offset_127|00cc00,1281833:1281852|offset_148|444444&amp;v=1281517:1282052&amp;c=444444", "offset 127")</f>
        <v>offset 127</v>
      </c>
    </row>
    <row r="4514" customFormat="false" ht="12.8" hidden="false" customHeight="false" outlineLevel="0" collapsed="false">
      <c r="A4514" s="0" t="s">
        <v>12</v>
      </c>
      <c r="B4514" s="0" t="n">
        <v>1281832</v>
      </c>
      <c r="C4514" s="0" t="n">
        <v>1281852</v>
      </c>
      <c r="D4514" s="0" t="s">
        <v>15086</v>
      </c>
      <c r="E4514" s="0" t="s">
        <v>89</v>
      </c>
      <c r="F4514" s="0" t="s">
        <v>15</v>
      </c>
      <c r="G4514" s="0" t="s">
        <v>32</v>
      </c>
      <c r="H4514" s="0" t="n">
        <v>148</v>
      </c>
      <c r="I4514" s="0" t="s">
        <v>15096</v>
      </c>
      <c r="J4514" s="0" t="s">
        <v>15097</v>
      </c>
      <c r="K4514" s="0" t="s">
        <v>15098</v>
      </c>
      <c r="L4514" s="0" t="str">
        <f aca="false">HYPERLINK("https://www.ncbi.nlm.nih.gov/nuccore/CP000304.1?report=graph&amp;tracks=[key:gene_model_track,Options:GeneOnly]&amp;mk=1281718:1281737|offset_33|444444,1281747:1281766|offset_62|444444,1281812:1281831|offset_127|444444,1281833:1281852|offset_148|00cc00&amp;v=1281517:1282052&amp;c=444444", "offset 148")</f>
        <v>offset 148</v>
      </c>
    </row>
    <row r="4515" customFormat="false" ht="12.8" hidden="false" customHeight="false" outlineLevel="0" collapsed="false">
      <c r="A4515" s="0" t="s">
        <v>12</v>
      </c>
      <c r="B4515" s="0" t="n">
        <v>1282953</v>
      </c>
      <c r="C4515" s="0" t="n">
        <v>1282973</v>
      </c>
      <c r="D4515" s="0" t="s">
        <v>15099</v>
      </c>
      <c r="E4515" s="0" t="s">
        <v>89</v>
      </c>
      <c r="F4515" s="0" t="s">
        <v>15</v>
      </c>
      <c r="G4515" s="0" t="s">
        <v>32</v>
      </c>
      <c r="H4515" s="0" t="n">
        <v>28</v>
      </c>
      <c r="I4515" s="0" t="s">
        <v>15100</v>
      </c>
      <c r="J4515" s="0" t="s">
        <v>15101</v>
      </c>
      <c r="K4515" s="0" t="s">
        <v>15102</v>
      </c>
      <c r="L4515" s="0" t="str">
        <f aca="false">HYPERLINK("https://www.ncbi.nlm.nih.gov/nuccore/CP000304.1?report=graph&amp;tracks=[key:gene_model_track,Options:GeneOnly]&amp;mk=1282954:1282973|offset_28|00cc00,1282976:1282995|offset_50|444444,1283004:1283023|offset_78|444444,1283024:1283043|offset_98|444444&amp;v=1282753:1283243&amp;c=444444", "offset 28")</f>
        <v>offset 28</v>
      </c>
    </row>
    <row r="4516" customFormat="false" ht="12.8" hidden="false" customHeight="false" outlineLevel="0" collapsed="false">
      <c r="A4516" s="0" t="s">
        <v>12</v>
      </c>
      <c r="B4516" s="0" t="n">
        <v>1282975</v>
      </c>
      <c r="C4516" s="0" t="n">
        <v>1282995</v>
      </c>
      <c r="D4516" s="0" t="s">
        <v>15099</v>
      </c>
      <c r="E4516" s="0" t="s">
        <v>89</v>
      </c>
      <c r="F4516" s="0" t="s">
        <v>15</v>
      </c>
      <c r="G4516" s="0" t="s">
        <v>26</v>
      </c>
      <c r="H4516" s="0" t="n">
        <v>50</v>
      </c>
      <c r="I4516" s="0" t="s">
        <v>15103</v>
      </c>
      <c r="J4516" s="0" t="s">
        <v>15104</v>
      </c>
      <c r="K4516" s="0" t="s">
        <v>15105</v>
      </c>
      <c r="L4516" s="0" t="str">
        <f aca="false">HYPERLINK("https://www.ncbi.nlm.nih.gov/nuccore/CP000304.1?report=graph&amp;tracks=[key:gene_model_track,Options:GeneOnly]&amp;mk=1282954:1282973|offset_28|444444,1282976:1282995|offset_50|00cc00,1283004:1283023|offset_78|444444,1283024:1283043|offset_98|444444&amp;v=1282753:1283243&amp;c=444444", "offset 50")</f>
        <v>offset 50</v>
      </c>
    </row>
    <row r="4517" customFormat="false" ht="12.8" hidden="false" customHeight="false" outlineLevel="0" collapsed="false">
      <c r="A4517" s="0" t="s">
        <v>12</v>
      </c>
      <c r="B4517" s="0" t="n">
        <v>1283003</v>
      </c>
      <c r="C4517" s="0" t="n">
        <v>1283023</v>
      </c>
      <c r="D4517" s="0" t="s">
        <v>15099</v>
      </c>
      <c r="E4517" s="0" t="s">
        <v>89</v>
      </c>
      <c r="F4517" s="0" t="s">
        <v>15</v>
      </c>
      <c r="G4517" s="0" t="s">
        <v>36</v>
      </c>
      <c r="H4517" s="0" t="n">
        <v>78</v>
      </c>
      <c r="I4517" s="0" t="s">
        <v>15106</v>
      </c>
      <c r="J4517" s="0" t="s">
        <v>15107</v>
      </c>
      <c r="K4517" s="0" t="s">
        <v>15108</v>
      </c>
      <c r="L4517" s="0" t="str">
        <f aca="false">HYPERLINK("https://www.ncbi.nlm.nih.gov/nuccore/CP000304.1?report=graph&amp;tracks=[key:gene_model_track,Options:GeneOnly]&amp;mk=1282954:1282973|offset_28|444444,1282976:1282995|offset_50|444444,1283004:1283023|offset_78|00cc00,1283024:1283043|offset_98|444444&amp;v=1282753:1283243&amp;c=444444", "offset 78")</f>
        <v>offset 78</v>
      </c>
    </row>
    <row r="4518" customFormat="false" ht="12.8" hidden="false" customHeight="false" outlineLevel="0" collapsed="false">
      <c r="A4518" s="0" t="s">
        <v>12</v>
      </c>
      <c r="B4518" s="0" t="n">
        <v>1283023</v>
      </c>
      <c r="C4518" s="0" t="n">
        <v>1283043</v>
      </c>
      <c r="D4518" s="0" t="s">
        <v>15099</v>
      </c>
      <c r="E4518" s="0" t="s">
        <v>89</v>
      </c>
      <c r="F4518" s="0" t="s">
        <v>15</v>
      </c>
      <c r="G4518" s="0" t="s">
        <v>32</v>
      </c>
      <c r="H4518" s="0" t="n">
        <v>98</v>
      </c>
      <c r="I4518" s="0" t="s">
        <v>15109</v>
      </c>
      <c r="J4518" s="0" t="s">
        <v>15110</v>
      </c>
      <c r="K4518" s="0" t="s">
        <v>15111</v>
      </c>
      <c r="L4518" s="0" t="str">
        <f aca="false">HYPERLINK("https://www.ncbi.nlm.nih.gov/nuccore/CP000304.1?report=graph&amp;tracks=[key:gene_model_track,Options:GeneOnly]&amp;mk=1282954:1282973|offset_28|444444,1282976:1282995|offset_50|444444,1283004:1283023|offset_78|444444,1283024:1283043|offset_98|00cc00&amp;v=1282753:1283243&amp;c=444444", "offset 98")</f>
        <v>offset 98</v>
      </c>
    </row>
    <row r="4519" customFormat="false" ht="12.8" hidden="false" customHeight="false" outlineLevel="0" collapsed="false">
      <c r="A4519" s="0" t="s">
        <v>12</v>
      </c>
      <c r="B4519" s="0" t="n">
        <v>1284426</v>
      </c>
      <c r="C4519" s="0" t="n">
        <v>1284446</v>
      </c>
      <c r="D4519" s="0" t="s">
        <v>15112</v>
      </c>
      <c r="E4519" s="0" t="s">
        <v>15113</v>
      </c>
      <c r="F4519" s="0" t="s">
        <v>15</v>
      </c>
      <c r="G4519" s="0" t="s">
        <v>36</v>
      </c>
      <c r="H4519" s="0" t="n">
        <v>10</v>
      </c>
      <c r="I4519" s="0" t="s">
        <v>15114</v>
      </c>
      <c r="J4519" s="0" t="s">
        <v>15115</v>
      </c>
      <c r="K4519" s="0" t="s">
        <v>15116</v>
      </c>
      <c r="L4519" s="0" t="str">
        <f aca="false">HYPERLINK("https://www.ncbi.nlm.nih.gov/nuccore/CP000304.1?report=graph&amp;tracks=[key:gene_model_track,Options:GeneOnly]&amp;mk=1284427:1284446|offset_10|00cc00,1284451:1284470|offset_34|444444,1284478:1284497|offset_61|444444,1284502:1284521|offset_85|444444&amp;v=1284226:1284721&amp;c=444444", "offset 10")</f>
        <v>offset 10</v>
      </c>
    </row>
    <row r="4520" customFormat="false" ht="12.8" hidden="false" customHeight="false" outlineLevel="0" collapsed="false">
      <c r="A4520" s="0" t="s">
        <v>12</v>
      </c>
      <c r="B4520" s="0" t="n">
        <v>1284450</v>
      </c>
      <c r="C4520" s="0" t="n">
        <v>1284470</v>
      </c>
      <c r="D4520" s="0" t="s">
        <v>15112</v>
      </c>
      <c r="E4520" s="0" t="s">
        <v>15113</v>
      </c>
      <c r="F4520" s="0" t="s">
        <v>15</v>
      </c>
      <c r="G4520" s="0" t="s">
        <v>32</v>
      </c>
      <c r="H4520" s="0" t="n">
        <v>34</v>
      </c>
      <c r="I4520" s="0" t="s">
        <v>15117</v>
      </c>
      <c r="J4520" s="0" t="s">
        <v>15118</v>
      </c>
      <c r="K4520" s="0" t="s">
        <v>15119</v>
      </c>
      <c r="L4520" s="0" t="str">
        <f aca="false">HYPERLINK("https://www.ncbi.nlm.nih.gov/nuccore/CP000304.1?report=graph&amp;tracks=[key:gene_model_track,Options:GeneOnly]&amp;mk=1284427:1284446|offset_10|444444,1284451:1284470|offset_34|00cc00,1284478:1284497|offset_61|444444,1284502:1284521|offset_85|444444&amp;v=1284226:1284721&amp;c=444444", "offset 34")</f>
        <v>offset 34</v>
      </c>
    </row>
    <row r="4521" customFormat="false" ht="12.8" hidden="false" customHeight="false" outlineLevel="0" collapsed="false">
      <c r="A4521" s="0" t="s">
        <v>12</v>
      </c>
      <c r="B4521" s="0" t="n">
        <v>1284477</v>
      </c>
      <c r="C4521" s="0" t="n">
        <v>1284497</v>
      </c>
      <c r="D4521" s="0" t="s">
        <v>15112</v>
      </c>
      <c r="E4521" s="0" t="s">
        <v>15113</v>
      </c>
      <c r="F4521" s="0" t="s">
        <v>15</v>
      </c>
      <c r="G4521" s="0" t="s">
        <v>16</v>
      </c>
      <c r="H4521" s="0" t="n">
        <v>61</v>
      </c>
      <c r="I4521" s="0" t="s">
        <v>15120</v>
      </c>
      <c r="J4521" s="0" t="s">
        <v>15121</v>
      </c>
      <c r="K4521" s="0" t="s">
        <v>15122</v>
      </c>
      <c r="L4521" s="0" t="str">
        <f aca="false">HYPERLINK("https://www.ncbi.nlm.nih.gov/nuccore/CP000304.1?report=graph&amp;tracks=[key:gene_model_track,Options:GeneOnly]&amp;mk=1284427:1284446|offset_10|444444,1284451:1284470|offset_34|444444,1284478:1284497|offset_61|00cc00,1284502:1284521|offset_85|444444&amp;v=1284226:1284721&amp;c=444444", "offset 61")</f>
        <v>offset 61</v>
      </c>
    </row>
    <row r="4522" customFormat="false" ht="12.8" hidden="false" customHeight="false" outlineLevel="0" collapsed="false">
      <c r="A4522" s="0" t="s">
        <v>12</v>
      </c>
      <c r="B4522" s="0" t="n">
        <v>1284501</v>
      </c>
      <c r="C4522" s="0" t="n">
        <v>1284521</v>
      </c>
      <c r="D4522" s="0" t="s">
        <v>15112</v>
      </c>
      <c r="E4522" s="0" t="s">
        <v>15113</v>
      </c>
      <c r="F4522" s="0" t="s">
        <v>15</v>
      </c>
      <c r="G4522" s="0" t="s">
        <v>16</v>
      </c>
      <c r="H4522" s="0" t="n">
        <v>85</v>
      </c>
      <c r="I4522" s="0" t="s">
        <v>15123</v>
      </c>
      <c r="J4522" s="0" t="s">
        <v>15124</v>
      </c>
      <c r="K4522" s="0" t="s">
        <v>15125</v>
      </c>
      <c r="L4522" s="0" t="str">
        <f aca="false">HYPERLINK("https://www.ncbi.nlm.nih.gov/nuccore/CP000304.1?report=graph&amp;tracks=[key:gene_model_track,Options:GeneOnly]&amp;mk=1284427:1284446|offset_10|444444,1284451:1284470|offset_34|444444,1284478:1284497|offset_61|444444,1284502:1284521|offset_85|00cc00&amp;v=1284226:1284721&amp;c=444444", "offset 85")</f>
        <v>offset 85</v>
      </c>
    </row>
    <row r="4523" customFormat="false" ht="12.8" hidden="false" customHeight="false" outlineLevel="0" collapsed="false">
      <c r="A4523" s="0" t="s">
        <v>12</v>
      </c>
      <c r="B4523" s="0" t="n">
        <v>1284908</v>
      </c>
      <c r="C4523" s="0" t="n">
        <v>1284928</v>
      </c>
      <c r="D4523" s="0" t="s">
        <v>15126</v>
      </c>
      <c r="E4523" s="0" t="s">
        <v>15127</v>
      </c>
      <c r="F4523" s="0" t="s">
        <v>15</v>
      </c>
      <c r="G4523" s="0" t="s">
        <v>36</v>
      </c>
      <c r="H4523" s="0" t="n">
        <v>25</v>
      </c>
      <c r="I4523" s="0" t="s">
        <v>15128</v>
      </c>
      <c r="J4523" s="0" t="s">
        <v>15129</v>
      </c>
      <c r="K4523" s="0" t="s">
        <v>15130</v>
      </c>
      <c r="L4523" s="0" t="str">
        <f aca="false">HYPERLINK("https://www.ncbi.nlm.nih.gov/nuccore/CP000304.1?report=graph&amp;tracks=[key:gene_model_track,Options:GeneOnly]&amp;mk=1284909:1284928|offset_25|00cc00,1284949:1284968|offset_65|444444,1284988:1285007|offset_104|444444,1285083:1285102|offset_199|444444&amp;v=1284708:1285302&amp;c=444444", "offset 25")</f>
        <v>offset 25</v>
      </c>
    </row>
    <row r="4524" customFormat="false" ht="12.8" hidden="false" customHeight="false" outlineLevel="0" collapsed="false">
      <c r="A4524" s="0" t="s">
        <v>12</v>
      </c>
      <c r="B4524" s="0" t="n">
        <v>1284948</v>
      </c>
      <c r="C4524" s="0" t="n">
        <v>1284968</v>
      </c>
      <c r="D4524" s="0" t="s">
        <v>15126</v>
      </c>
      <c r="E4524" s="0" t="s">
        <v>15127</v>
      </c>
      <c r="F4524" s="0" t="s">
        <v>15</v>
      </c>
      <c r="G4524" s="0" t="s">
        <v>32</v>
      </c>
      <c r="H4524" s="0" t="n">
        <v>65</v>
      </c>
      <c r="I4524" s="0" t="s">
        <v>15131</v>
      </c>
      <c r="J4524" s="0" t="s">
        <v>15132</v>
      </c>
      <c r="K4524" s="0" t="s">
        <v>15133</v>
      </c>
      <c r="L4524" s="0" t="str">
        <f aca="false">HYPERLINK("https://www.ncbi.nlm.nih.gov/nuccore/CP000304.1?report=graph&amp;tracks=[key:gene_model_track,Options:GeneOnly]&amp;mk=1284909:1284928|offset_25|444444,1284949:1284968|offset_65|00cc00,1284988:1285007|offset_104|444444,1285083:1285102|offset_199|444444&amp;v=1284708:1285302&amp;c=444444", "offset 65")</f>
        <v>offset 65</v>
      </c>
    </row>
    <row r="4525" customFormat="false" ht="12.8" hidden="false" customHeight="false" outlineLevel="0" collapsed="false">
      <c r="A4525" s="0" t="s">
        <v>12</v>
      </c>
      <c r="B4525" s="0" t="n">
        <v>1284987</v>
      </c>
      <c r="C4525" s="0" t="n">
        <v>1285007</v>
      </c>
      <c r="D4525" s="0" t="s">
        <v>15126</v>
      </c>
      <c r="E4525" s="0" t="s">
        <v>15127</v>
      </c>
      <c r="F4525" s="0" t="s">
        <v>15</v>
      </c>
      <c r="G4525" s="0" t="s">
        <v>32</v>
      </c>
      <c r="H4525" s="0" t="n">
        <v>104</v>
      </c>
      <c r="I4525" s="0" t="s">
        <v>15134</v>
      </c>
      <c r="J4525" s="0" t="s">
        <v>15135</v>
      </c>
      <c r="K4525" s="0" t="s">
        <v>15136</v>
      </c>
      <c r="L4525" s="0" t="str">
        <f aca="false">HYPERLINK("https://www.ncbi.nlm.nih.gov/nuccore/CP000304.1?report=graph&amp;tracks=[key:gene_model_track,Options:GeneOnly]&amp;mk=1284909:1284928|offset_25|444444,1284949:1284968|offset_65|444444,1284988:1285007|offset_104|00cc00,1285083:1285102|offset_199|444444&amp;v=1284708:1285302&amp;c=444444", "offset 104")</f>
        <v>offset 104</v>
      </c>
    </row>
    <row r="4526" customFormat="false" ht="12.8" hidden="false" customHeight="false" outlineLevel="0" collapsed="false">
      <c r="A4526" s="0" t="s">
        <v>12</v>
      </c>
      <c r="B4526" s="0" t="n">
        <v>1285082</v>
      </c>
      <c r="C4526" s="0" t="n">
        <v>1285102</v>
      </c>
      <c r="D4526" s="0" t="s">
        <v>15126</v>
      </c>
      <c r="E4526" s="0" t="s">
        <v>15127</v>
      </c>
      <c r="F4526" s="0" t="s">
        <v>15</v>
      </c>
      <c r="G4526" s="0" t="s">
        <v>16</v>
      </c>
      <c r="H4526" s="0" t="n">
        <v>199</v>
      </c>
      <c r="I4526" s="0" t="s">
        <v>15137</v>
      </c>
      <c r="J4526" s="0" t="s">
        <v>15138</v>
      </c>
      <c r="K4526" s="0" t="s">
        <v>15139</v>
      </c>
      <c r="L4526" s="0" t="str">
        <f aca="false">HYPERLINK("https://www.ncbi.nlm.nih.gov/nuccore/CP000304.1?report=graph&amp;tracks=[key:gene_model_track,Options:GeneOnly]&amp;mk=1284909:1284928|offset_25|444444,1284949:1284968|offset_65|444444,1284988:1285007|offset_104|444444,1285083:1285102|offset_199|00cc00&amp;v=1284708:1285302&amp;c=444444", "offset 199")</f>
        <v>offset 199</v>
      </c>
    </row>
    <row r="4527" customFormat="false" ht="12.8" hidden="false" customHeight="false" outlineLevel="0" collapsed="false">
      <c r="A4527" s="0" t="s">
        <v>12</v>
      </c>
      <c r="B4527" s="0" t="n">
        <v>1285170</v>
      </c>
      <c r="C4527" s="0" t="n">
        <v>1285190</v>
      </c>
      <c r="D4527" s="0" t="s">
        <v>15140</v>
      </c>
      <c r="E4527" s="0" t="s">
        <v>15141</v>
      </c>
      <c r="F4527" s="0" t="s">
        <v>15</v>
      </c>
      <c r="G4527" s="0" t="s">
        <v>36</v>
      </c>
      <c r="H4527" s="0" t="n">
        <v>36</v>
      </c>
      <c r="I4527" s="0" t="s">
        <v>15142</v>
      </c>
      <c r="J4527" s="0" t="s">
        <v>15143</v>
      </c>
      <c r="K4527" s="0" t="s">
        <v>15144</v>
      </c>
      <c r="L4527" s="0" t="str">
        <f aca="false">HYPERLINK("https://www.ncbi.nlm.nih.gov/nuccore/CP000304.1?report=graph&amp;tracks=[key:gene_model_track,Options:GeneOnly]&amp;mk=1285171:1285190|offset_36|00cc00,1285199:1285218|offset_64|444444,1285226:1285245|offset_91|444444,1285274:1285293|offset_139|444444&amp;v=1284970:1285493&amp;c=444444", "offset 36")</f>
        <v>offset 36</v>
      </c>
    </row>
    <row r="4528" customFormat="false" ht="12.8" hidden="false" customHeight="false" outlineLevel="0" collapsed="false">
      <c r="A4528" s="0" t="s">
        <v>12</v>
      </c>
      <c r="B4528" s="0" t="n">
        <v>1285198</v>
      </c>
      <c r="C4528" s="0" t="n">
        <v>1285218</v>
      </c>
      <c r="D4528" s="0" t="s">
        <v>15140</v>
      </c>
      <c r="E4528" s="0" t="s">
        <v>15141</v>
      </c>
      <c r="F4528" s="0" t="s">
        <v>15</v>
      </c>
      <c r="G4528" s="0" t="s">
        <v>16</v>
      </c>
      <c r="H4528" s="0" t="n">
        <v>64</v>
      </c>
      <c r="I4528" s="0" t="s">
        <v>15145</v>
      </c>
      <c r="J4528" s="0" t="s">
        <v>15146</v>
      </c>
      <c r="K4528" s="0" t="s">
        <v>15147</v>
      </c>
      <c r="L4528" s="0" t="str">
        <f aca="false">HYPERLINK("https://www.ncbi.nlm.nih.gov/nuccore/CP000304.1?report=graph&amp;tracks=[key:gene_model_track,Options:GeneOnly]&amp;mk=1285171:1285190|offset_36|444444,1285199:1285218|offset_64|00cc00,1285226:1285245|offset_91|444444,1285274:1285293|offset_139|444444&amp;v=1284970:1285493&amp;c=444444", "offset 64")</f>
        <v>offset 64</v>
      </c>
    </row>
    <row r="4529" customFormat="false" ht="12.8" hidden="false" customHeight="false" outlineLevel="0" collapsed="false">
      <c r="A4529" s="0" t="s">
        <v>12</v>
      </c>
      <c r="B4529" s="0" t="n">
        <v>1285225</v>
      </c>
      <c r="C4529" s="0" t="n">
        <v>1285245</v>
      </c>
      <c r="D4529" s="0" t="s">
        <v>15140</v>
      </c>
      <c r="E4529" s="0" t="s">
        <v>15141</v>
      </c>
      <c r="F4529" s="0" t="s">
        <v>15</v>
      </c>
      <c r="G4529" s="0" t="s">
        <v>16</v>
      </c>
      <c r="H4529" s="0" t="n">
        <v>91</v>
      </c>
      <c r="I4529" s="0" t="s">
        <v>15148</v>
      </c>
      <c r="J4529" s="0" t="s">
        <v>15149</v>
      </c>
      <c r="K4529" s="0" t="s">
        <v>15150</v>
      </c>
      <c r="L4529" s="0" t="str">
        <f aca="false">HYPERLINK("https://www.ncbi.nlm.nih.gov/nuccore/CP000304.1?report=graph&amp;tracks=[key:gene_model_track,Options:GeneOnly]&amp;mk=1285171:1285190|offset_36|444444,1285199:1285218|offset_64|444444,1285226:1285245|offset_91|00cc00,1285274:1285293|offset_139|444444&amp;v=1284970:1285493&amp;c=444444", "offset 91")</f>
        <v>offset 91</v>
      </c>
    </row>
    <row r="4530" customFormat="false" ht="12.8" hidden="false" customHeight="false" outlineLevel="0" collapsed="false">
      <c r="A4530" s="0" t="s">
        <v>12</v>
      </c>
      <c r="B4530" s="0" t="n">
        <v>1285273</v>
      </c>
      <c r="C4530" s="0" t="n">
        <v>1285293</v>
      </c>
      <c r="D4530" s="0" t="s">
        <v>15140</v>
      </c>
      <c r="E4530" s="0" t="s">
        <v>15141</v>
      </c>
      <c r="F4530" s="0" t="s">
        <v>15</v>
      </c>
      <c r="G4530" s="0" t="s">
        <v>16</v>
      </c>
      <c r="H4530" s="0" t="n">
        <v>139</v>
      </c>
      <c r="I4530" s="0" t="s">
        <v>15151</v>
      </c>
      <c r="J4530" s="0" t="s">
        <v>15152</v>
      </c>
      <c r="K4530" s="0" t="s">
        <v>15153</v>
      </c>
      <c r="L4530" s="0" t="str">
        <f aca="false">HYPERLINK("https://www.ncbi.nlm.nih.gov/nuccore/CP000304.1?report=graph&amp;tracks=[key:gene_model_track,Options:GeneOnly]&amp;mk=1285171:1285190|offset_36|444444,1285199:1285218|offset_64|444444,1285226:1285245|offset_91|444444,1285274:1285293|offset_139|00cc00&amp;v=1284970:1285493&amp;c=444444", "offset 139")</f>
        <v>offset 139</v>
      </c>
    </row>
    <row r="4531" customFormat="false" ht="12.8" hidden="false" customHeight="false" outlineLevel="0" collapsed="false">
      <c r="A4531" s="0" t="s">
        <v>12</v>
      </c>
      <c r="B4531" s="0" t="n">
        <v>1285742</v>
      </c>
      <c r="C4531" s="0" t="n">
        <v>1285762</v>
      </c>
      <c r="D4531" s="0" t="s">
        <v>15154</v>
      </c>
      <c r="E4531" s="0" t="s">
        <v>89</v>
      </c>
      <c r="F4531" s="0" t="s">
        <v>90</v>
      </c>
      <c r="G4531" s="0" t="s">
        <v>36</v>
      </c>
      <c r="H4531" s="0" t="n">
        <v>0</v>
      </c>
      <c r="I4531" s="0" t="s">
        <v>15155</v>
      </c>
      <c r="J4531" s="0" t="s">
        <v>15156</v>
      </c>
      <c r="K4531" s="0" t="s">
        <v>15157</v>
      </c>
      <c r="L4531" s="0" t="str">
        <f aca="false">HYPERLINK("https://www.ncbi.nlm.nih.gov/nuccore/CP000304.1?report=graph&amp;tracks=[key:gene_model_track,Options:GeneOnly]&amp;mk=1285743:1285762|offset_0|00cc00,1285669:1285688|offset_74|444444,1285636:1285655|offset_107|444444,1285613:1285632|offset_130|444444&amp;v=1285542:1285832&amp;c=444444", "offset 0")</f>
        <v>offset 0</v>
      </c>
    </row>
    <row r="4532" customFormat="false" ht="12.8" hidden="false" customHeight="false" outlineLevel="0" collapsed="false">
      <c r="A4532" s="0" t="s">
        <v>12</v>
      </c>
      <c r="B4532" s="0" t="n">
        <v>1285668</v>
      </c>
      <c r="C4532" s="0" t="n">
        <v>1285688</v>
      </c>
      <c r="D4532" s="0" t="s">
        <v>15154</v>
      </c>
      <c r="E4532" s="0" t="s">
        <v>89</v>
      </c>
      <c r="F4532" s="0" t="s">
        <v>90</v>
      </c>
      <c r="G4532" s="0" t="s">
        <v>16</v>
      </c>
      <c r="H4532" s="0" t="n">
        <v>74</v>
      </c>
      <c r="I4532" s="0" t="s">
        <v>15158</v>
      </c>
      <c r="J4532" s="0" t="s">
        <v>15159</v>
      </c>
      <c r="K4532" s="0" t="s">
        <v>15160</v>
      </c>
      <c r="L4532" s="0" t="str">
        <f aca="false">HYPERLINK("https://www.ncbi.nlm.nih.gov/nuccore/CP000304.1?report=graph&amp;tracks=[key:gene_model_track,Options:GeneOnly]&amp;mk=1285743:1285762|offset_0|444444,1285669:1285688|offset_74|00cc00,1285636:1285655|offset_107|444444,1285613:1285632|offset_130|444444&amp;v=1285542:1285832&amp;c=444444", "offset 74")</f>
        <v>offset 74</v>
      </c>
    </row>
    <row r="4533" customFormat="false" ht="12.8" hidden="false" customHeight="false" outlineLevel="0" collapsed="false">
      <c r="A4533" s="0" t="s">
        <v>12</v>
      </c>
      <c r="B4533" s="0" t="n">
        <v>1285635</v>
      </c>
      <c r="C4533" s="0" t="n">
        <v>1285655</v>
      </c>
      <c r="D4533" s="0" t="s">
        <v>15154</v>
      </c>
      <c r="E4533" s="0" t="s">
        <v>89</v>
      </c>
      <c r="F4533" s="0" t="s">
        <v>90</v>
      </c>
      <c r="G4533" s="0" t="s">
        <v>26</v>
      </c>
      <c r="H4533" s="0" t="n">
        <v>107</v>
      </c>
      <c r="I4533" s="0" t="s">
        <v>15161</v>
      </c>
      <c r="J4533" s="0" t="s">
        <v>15162</v>
      </c>
      <c r="K4533" s="0" t="s">
        <v>15163</v>
      </c>
      <c r="L4533" s="0" t="str">
        <f aca="false">HYPERLINK("https://www.ncbi.nlm.nih.gov/nuccore/CP000304.1?report=graph&amp;tracks=[key:gene_model_track,Options:GeneOnly]&amp;mk=1285743:1285762|offset_0|444444,1285669:1285688|offset_74|444444,1285636:1285655|offset_107|00cc00,1285613:1285632|offset_130|444444&amp;v=1285542:1285832&amp;c=444444", "offset 107")</f>
        <v>offset 107</v>
      </c>
    </row>
    <row r="4534" customFormat="false" ht="12.8" hidden="false" customHeight="false" outlineLevel="0" collapsed="false">
      <c r="A4534" s="0" t="s">
        <v>12</v>
      </c>
      <c r="B4534" s="0" t="n">
        <v>1285612</v>
      </c>
      <c r="C4534" s="0" t="n">
        <v>1285632</v>
      </c>
      <c r="D4534" s="0" t="s">
        <v>15154</v>
      </c>
      <c r="E4534" s="0" t="s">
        <v>89</v>
      </c>
      <c r="F4534" s="0" t="s">
        <v>90</v>
      </c>
      <c r="G4534" s="0" t="s">
        <v>32</v>
      </c>
      <c r="H4534" s="0" t="n">
        <v>130</v>
      </c>
      <c r="I4534" s="0" t="s">
        <v>15164</v>
      </c>
      <c r="J4534" s="0" t="s">
        <v>15165</v>
      </c>
      <c r="K4534" s="0" t="s">
        <v>15166</v>
      </c>
      <c r="L4534" s="0" t="str">
        <f aca="false">HYPERLINK("https://www.ncbi.nlm.nih.gov/nuccore/CP000304.1?report=graph&amp;tracks=[key:gene_model_track,Options:GeneOnly]&amp;mk=1285743:1285762|offset_0|444444,1285669:1285688|offset_74|444444,1285636:1285655|offset_107|444444,1285613:1285632|offset_130|00cc00&amp;v=1285542:1285832&amp;c=444444", "offset 130")</f>
        <v>offset 130</v>
      </c>
    </row>
    <row r="4535" customFormat="false" ht="12.8" hidden="false" customHeight="false" outlineLevel="0" collapsed="false">
      <c r="A4535" s="0" t="s">
        <v>12</v>
      </c>
      <c r="B4535" s="0" t="n">
        <v>1287454</v>
      </c>
      <c r="C4535" s="0" t="n">
        <v>1287474</v>
      </c>
      <c r="D4535" s="0" t="s">
        <v>15167</v>
      </c>
      <c r="E4535" s="0" t="s">
        <v>15168</v>
      </c>
      <c r="F4535" s="0" t="s">
        <v>90</v>
      </c>
      <c r="G4535" s="0" t="s">
        <v>16</v>
      </c>
      <c r="H4535" s="0" t="n">
        <v>11</v>
      </c>
      <c r="I4535" s="0" t="s">
        <v>15169</v>
      </c>
      <c r="J4535" s="0" t="s">
        <v>15170</v>
      </c>
      <c r="K4535" s="0" t="s">
        <v>15171</v>
      </c>
      <c r="L4535" s="0" t="str">
        <f aca="false">HYPERLINK("https://www.ncbi.nlm.nih.gov/nuccore/CP000304.1?report=graph&amp;tracks=[key:gene_model_track,Options:GeneOnly]&amp;mk=1287455:1287474|offset_11|00cc00,1287435:1287454|offset_31|444444,1287414:1287433|offset_52|444444,1287392:1287411|offset_74|444444&amp;v=1287254:1287611&amp;c=444444", "offset 11")</f>
        <v>offset 11</v>
      </c>
    </row>
    <row r="4536" customFormat="false" ht="12.8" hidden="false" customHeight="false" outlineLevel="0" collapsed="false">
      <c r="A4536" s="0" t="s">
        <v>12</v>
      </c>
      <c r="B4536" s="0" t="n">
        <v>1287434</v>
      </c>
      <c r="C4536" s="0" t="n">
        <v>1287454</v>
      </c>
      <c r="D4536" s="0" t="s">
        <v>15167</v>
      </c>
      <c r="E4536" s="0" t="s">
        <v>15168</v>
      </c>
      <c r="F4536" s="0" t="s">
        <v>90</v>
      </c>
      <c r="G4536" s="0" t="s">
        <v>32</v>
      </c>
      <c r="H4536" s="0" t="n">
        <v>31</v>
      </c>
      <c r="I4536" s="0" t="s">
        <v>15172</v>
      </c>
      <c r="J4536" s="0" t="s">
        <v>15173</v>
      </c>
      <c r="K4536" s="0" t="s">
        <v>15174</v>
      </c>
      <c r="L4536" s="0" t="str">
        <f aca="false">HYPERLINK("https://www.ncbi.nlm.nih.gov/nuccore/CP000304.1?report=graph&amp;tracks=[key:gene_model_track,Options:GeneOnly]&amp;mk=1287455:1287474|offset_11|444444,1287435:1287454|offset_31|00cc00,1287414:1287433|offset_52|444444,1287392:1287411|offset_74|444444&amp;v=1287254:1287611&amp;c=444444", "offset 31")</f>
        <v>offset 31</v>
      </c>
    </row>
    <row r="4537" customFormat="false" ht="12.8" hidden="false" customHeight="false" outlineLevel="0" collapsed="false">
      <c r="A4537" s="0" t="s">
        <v>12</v>
      </c>
      <c r="B4537" s="0" t="n">
        <v>1287413</v>
      </c>
      <c r="C4537" s="0" t="n">
        <v>1287433</v>
      </c>
      <c r="D4537" s="0" t="s">
        <v>15167</v>
      </c>
      <c r="E4537" s="0" t="s">
        <v>15168</v>
      </c>
      <c r="F4537" s="0" t="s">
        <v>90</v>
      </c>
      <c r="G4537" s="0" t="s">
        <v>26</v>
      </c>
      <c r="H4537" s="0" t="n">
        <v>52</v>
      </c>
      <c r="I4537" s="0" t="s">
        <v>15175</v>
      </c>
      <c r="J4537" s="0" t="s">
        <v>15176</v>
      </c>
      <c r="K4537" s="0" t="s">
        <v>15177</v>
      </c>
      <c r="L4537" s="0" t="str">
        <f aca="false">HYPERLINK("https://www.ncbi.nlm.nih.gov/nuccore/CP000304.1?report=graph&amp;tracks=[key:gene_model_track,Options:GeneOnly]&amp;mk=1287455:1287474|offset_11|444444,1287435:1287454|offset_31|444444,1287414:1287433|offset_52|00cc00,1287392:1287411|offset_74|444444&amp;v=1287254:1287611&amp;c=444444", "offset 52")</f>
        <v>offset 52</v>
      </c>
    </row>
    <row r="4538" customFormat="false" ht="12.8" hidden="false" customHeight="false" outlineLevel="0" collapsed="false">
      <c r="A4538" s="0" t="s">
        <v>12</v>
      </c>
      <c r="B4538" s="0" t="n">
        <v>1287391</v>
      </c>
      <c r="C4538" s="0" t="n">
        <v>1287411</v>
      </c>
      <c r="D4538" s="0" t="s">
        <v>15167</v>
      </c>
      <c r="E4538" s="0" t="s">
        <v>15168</v>
      </c>
      <c r="F4538" s="0" t="s">
        <v>90</v>
      </c>
      <c r="G4538" s="0" t="s">
        <v>32</v>
      </c>
      <c r="H4538" s="0" t="n">
        <v>74</v>
      </c>
      <c r="I4538" s="0" t="s">
        <v>15178</v>
      </c>
      <c r="J4538" s="0" t="s">
        <v>15179</v>
      </c>
      <c r="K4538" s="0" t="s">
        <v>15180</v>
      </c>
      <c r="L4538" s="0" t="str">
        <f aca="false">HYPERLINK("https://www.ncbi.nlm.nih.gov/nuccore/CP000304.1?report=graph&amp;tracks=[key:gene_model_track,Options:GeneOnly]&amp;mk=1287455:1287474|offset_11|444444,1287435:1287454|offset_31|444444,1287414:1287433|offset_52|444444,1287392:1287411|offset_74|00cc00&amp;v=1287254:1287611&amp;c=444444", "offset 74")</f>
        <v>offset 74</v>
      </c>
    </row>
    <row r="4539" customFormat="false" ht="12.8" hidden="false" customHeight="false" outlineLevel="0" collapsed="false">
      <c r="A4539" s="0" t="s">
        <v>12</v>
      </c>
      <c r="B4539" s="0" t="n">
        <v>1288148</v>
      </c>
      <c r="C4539" s="0" t="n">
        <v>1288168</v>
      </c>
      <c r="D4539" s="0" t="s">
        <v>15181</v>
      </c>
      <c r="E4539" s="0" t="s">
        <v>89</v>
      </c>
      <c r="F4539" s="0" t="s">
        <v>90</v>
      </c>
      <c r="G4539" s="0" t="s">
        <v>32</v>
      </c>
      <c r="H4539" s="0" t="n">
        <v>1</v>
      </c>
      <c r="I4539" s="0" t="s">
        <v>15182</v>
      </c>
      <c r="J4539" s="0" t="s">
        <v>15183</v>
      </c>
      <c r="K4539" s="0" t="s">
        <v>15184</v>
      </c>
      <c r="L4539" s="0" t="str">
        <f aca="false">HYPERLINK("https://www.ncbi.nlm.nih.gov/nuccore/CP000304.1?report=graph&amp;tracks=[key:gene_model_track,Options:GeneOnly]&amp;mk=1288149:1288168|offset_1|00cc00,1288122:1288141|offset_28|444444,1288082:1288101|offset_68|444444,1288054:1288073|offset_96|444444&amp;v=1287948:1288273&amp;c=444444", "offset 1")</f>
        <v>offset 1</v>
      </c>
    </row>
    <row r="4540" customFormat="false" ht="12.8" hidden="false" customHeight="false" outlineLevel="0" collapsed="false">
      <c r="A4540" s="0" t="s">
        <v>12</v>
      </c>
      <c r="B4540" s="0" t="n">
        <v>1288121</v>
      </c>
      <c r="C4540" s="0" t="n">
        <v>1288141</v>
      </c>
      <c r="D4540" s="0" t="s">
        <v>15181</v>
      </c>
      <c r="E4540" s="0" t="s">
        <v>89</v>
      </c>
      <c r="F4540" s="0" t="s">
        <v>90</v>
      </c>
      <c r="G4540" s="0" t="s">
        <v>32</v>
      </c>
      <c r="H4540" s="0" t="n">
        <v>28</v>
      </c>
      <c r="I4540" s="0" t="s">
        <v>15185</v>
      </c>
      <c r="J4540" s="0" t="s">
        <v>15186</v>
      </c>
      <c r="K4540" s="0" t="s">
        <v>15187</v>
      </c>
      <c r="L4540" s="0" t="str">
        <f aca="false">HYPERLINK("https://www.ncbi.nlm.nih.gov/nuccore/CP000304.1?report=graph&amp;tracks=[key:gene_model_track,Options:GeneOnly]&amp;mk=1288149:1288168|offset_1|444444,1288122:1288141|offset_28|00cc00,1288082:1288101|offset_68|444444,1288054:1288073|offset_96|444444&amp;v=1287948:1288273&amp;c=444444", "offset 28")</f>
        <v>offset 28</v>
      </c>
    </row>
    <row r="4541" customFormat="false" ht="12.8" hidden="false" customHeight="false" outlineLevel="0" collapsed="false">
      <c r="A4541" s="0" t="s">
        <v>12</v>
      </c>
      <c r="B4541" s="0" t="n">
        <v>1288081</v>
      </c>
      <c r="C4541" s="0" t="n">
        <v>1288101</v>
      </c>
      <c r="D4541" s="0" t="s">
        <v>15181</v>
      </c>
      <c r="E4541" s="0" t="s">
        <v>89</v>
      </c>
      <c r="F4541" s="0" t="s">
        <v>90</v>
      </c>
      <c r="G4541" s="0" t="s">
        <v>26</v>
      </c>
      <c r="H4541" s="0" t="n">
        <v>68</v>
      </c>
      <c r="I4541" s="0" t="s">
        <v>15188</v>
      </c>
      <c r="J4541" s="0" t="s">
        <v>15189</v>
      </c>
      <c r="K4541" s="0" t="s">
        <v>15190</v>
      </c>
      <c r="L4541" s="0" t="str">
        <f aca="false">HYPERLINK("https://www.ncbi.nlm.nih.gov/nuccore/CP000304.1?report=graph&amp;tracks=[key:gene_model_track,Options:GeneOnly]&amp;mk=1288149:1288168|offset_1|444444,1288122:1288141|offset_28|444444,1288082:1288101|offset_68|00cc00,1288054:1288073|offset_96|444444&amp;v=1287948:1288273&amp;c=444444", "offset 68")</f>
        <v>offset 68</v>
      </c>
    </row>
    <row r="4542" customFormat="false" ht="12.8" hidden="false" customHeight="false" outlineLevel="0" collapsed="false">
      <c r="A4542" s="0" t="s">
        <v>12</v>
      </c>
      <c r="B4542" s="0" t="n">
        <v>1288053</v>
      </c>
      <c r="C4542" s="0" t="n">
        <v>1288073</v>
      </c>
      <c r="D4542" s="0" t="s">
        <v>15181</v>
      </c>
      <c r="E4542" s="0" t="s">
        <v>89</v>
      </c>
      <c r="F4542" s="0" t="s">
        <v>90</v>
      </c>
      <c r="G4542" s="0" t="s">
        <v>16</v>
      </c>
      <c r="H4542" s="0" t="n">
        <v>96</v>
      </c>
      <c r="I4542" s="0" t="s">
        <v>15191</v>
      </c>
      <c r="J4542" s="0" t="s">
        <v>15192</v>
      </c>
      <c r="K4542" s="0" t="s">
        <v>15193</v>
      </c>
      <c r="L4542" s="0" t="str">
        <f aca="false">HYPERLINK("https://www.ncbi.nlm.nih.gov/nuccore/CP000304.1?report=graph&amp;tracks=[key:gene_model_track,Options:GeneOnly]&amp;mk=1288149:1288168|offset_1|444444,1288122:1288141|offset_28|444444,1288082:1288101|offset_68|444444,1288054:1288073|offset_96|00cc00&amp;v=1287948:1288273&amp;c=444444", "offset 96")</f>
        <v>offset 96</v>
      </c>
    </row>
    <row r="4543" customFormat="false" ht="12.8" hidden="false" customHeight="false" outlineLevel="0" collapsed="false">
      <c r="A4543" s="0" t="s">
        <v>12</v>
      </c>
      <c r="B4543" s="0" t="n">
        <v>1288693</v>
      </c>
      <c r="C4543" s="0" t="n">
        <v>1288713</v>
      </c>
      <c r="D4543" s="0" t="s">
        <v>15194</v>
      </c>
      <c r="E4543" s="0" t="s">
        <v>89</v>
      </c>
      <c r="F4543" s="0" t="s">
        <v>15</v>
      </c>
      <c r="G4543" s="0" t="s">
        <v>16</v>
      </c>
      <c r="H4543" s="0" t="n">
        <v>14</v>
      </c>
      <c r="I4543" s="0" t="s">
        <v>15195</v>
      </c>
      <c r="J4543" s="0" t="s">
        <v>15196</v>
      </c>
      <c r="K4543" s="0" t="s">
        <v>15197</v>
      </c>
      <c r="L4543" s="0" t="str">
        <f aca="false">HYPERLINK("https://www.ncbi.nlm.nih.gov/nuccore/CP000304.1?report=graph&amp;tracks=[key:gene_model_track,Options:GeneOnly]&amp;mk=1288694:1288713|offset_14|00cc00,1288729:1288748|offset_49|444444,1288753:1288772|offset_73|444444,1288813:1288832|offset_133|444444&amp;v=1288493:1289032&amp;c=444444", "offset 14")</f>
        <v>offset 14</v>
      </c>
    </row>
    <row r="4544" customFormat="false" ht="12.8" hidden="false" customHeight="false" outlineLevel="0" collapsed="false">
      <c r="A4544" s="0" t="s">
        <v>12</v>
      </c>
      <c r="B4544" s="0" t="n">
        <v>1288728</v>
      </c>
      <c r="C4544" s="0" t="n">
        <v>1288748</v>
      </c>
      <c r="D4544" s="0" t="s">
        <v>15194</v>
      </c>
      <c r="E4544" s="0" t="s">
        <v>89</v>
      </c>
      <c r="F4544" s="0" t="s">
        <v>15</v>
      </c>
      <c r="G4544" s="0" t="s">
        <v>32</v>
      </c>
      <c r="H4544" s="0" t="n">
        <v>49</v>
      </c>
      <c r="I4544" s="0" t="s">
        <v>15198</v>
      </c>
      <c r="J4544" s="0" t="s">
        <v>15199</v>
      </c>
      <c r="K4544" s="0" t="s">
        <v>15200</v>
      </c>
      <c r="L4544" s="0" t="str">
        <f aca="false">HYPERLINK("https://www.ncbi.nlm.nih.gov/nuccore/CP000304.1?report=graph&amp;tracks=[key:gene_model_track,Options:GeneOnly]&amp;mk=1288694:1288713|offset_14|444444,1288729:1288748|offset_49|00cc00,1288753:1288772|offset_73|444444,1288813:1288832|offset_133|444444&amp;v=1288493:1289032&amp;c=444444", "offset 49")</f>
        <v>offset 49</v>
      </c>
    </row>
    <row r="4545" customFormat="false" ht="12.8" hidden="false" customHeight="false" outlineLevel="0" collapsed="false">
      <c r="A4545" s="0" t="s">
        <v>12</v>
      </c>
      <c r="B4545" s="0" t="n">
        <v>1288752</v>
      </c>
      <c r="C4545" s="0" t="n">
        <v>1288772</v>
      </c>
      <c r="D4545" s="0" t="s">
        <v>15194</v>
      </c>
      <c r="E4545" s="0" t="s">
        <v>89</v>
      </c>
      <c r="F4545" s="0" t="s">
        <v>15</v>
      </c>
      <c r="G4545" s="0" t="s">
        <v>16</v>
      </c>
      <c r="H4545" s="0" t="n">
        <v>73</v>
      </c>
      <c r="I4545" s="0" t="s">
        <v>15201</v>
      </c>
      <c r="J4545" s="0" t="s">
        <v>15202</v>
      </c>
      <c r="K4545" s="0" t="s">
        <v>15203</v>
      </c>
      <c r="L4545" s="0" t="str">
        <f aca="false">HYPERLINK("https://www.ncbi.nlm.nih.gov/nuccore/CP000304.1?report=graph&amp;tracks=[key:gene_model_track,Options:GeneOnly]&amp;mk=1288694:1288713|offset_14|444444,1288729:1288748|offset_49|444444,1288753:1288772|offset_73|00cc00,1288813:1288832|offset_133|444444&amp;v=1288493:1289032&amp;c=444444", "offset 73")</f>
        <v>offset 73</v>
      </c>
    </row>
    <row r="4546" customFormat="false" ht="12.8" hidden="false" customHeight="false" outlineLevel="0" collapsed="false">
      <c r="A4546" s="0" t="s">
        <v>12</v>
      </c>
      <c r="B4546" s="0" t="n">
        <v>1288812</v>
      </c>
      <c r="C4546" s="0" t="n">
        <v>1288832</v>
      </c>
      <c r="D4546" s="0" t="s">
        <v>15194</v>
      </c>
      <c r="E4546" s="0" t="s">
        <v>89</v>
      </c>
      <c r="F4546" s="0" t="s">
        <v>15</v>
      </c>
      <c r="G4546" s="0" t="s">
        <v>32</v>
      </c>
      <c r="H4546" s="0" t="n">
        <v>133</v>
      </c>
      <c r="I4546" s="0" t="s">
        <v>15204</v>
      </c>
      <c r="J4546" s="0" t="s">
        <v>15205</v>
      </c>
      <c r="K4546" s="0" t="s">
        <v>15206</v>
      </c>
      <c r="L4546" s="0" t="str">
        <f aca="false">HYPERLINK("https://www.ncbi.nlm.nih.gov/nuccore/CP000304.1?report=graph&amp;tracks=[key:gene_model_track,Options:GeneOnly]&amp;mk=1288694:1288713|offset_14|444444,1288729:1288748|offset_49|444444,1288753:1288772|offset_73|444444,1288813:1288832|offset_133|00cc00&amp;v=1288493:1289032&amp;c=444444", "offset 133")</f>
        <v>offset 133</v>
      </c>
    </row>
    <row r="4547" customFormat="false" ht="12.8" hidden="false" customHeight="false" outlineLevel="0" collapsed="false">
      <c r="A4547" s="0" t="s">
        <v>12</v>
      </c>
      <c r="B4547" s="0" t="n">
        <v>1289396</v>
      </c>
      <c r="C4547" s="0" t="n">
        <v>1289416</v>
      </c>
      <c r="D4547" s="0" t="s">
        <v>15207</v>
      </c>
      <c r="E4547" s="0" t="s">
        <v>15208</v>
      </c>
      <c r="F4547" s="0" t="s">
        <v>15</v>
      </c>
      <c r="G4547" s="0" t="s">
        <v>26</v>
      </c>
      <c r="H4547" s="0" t="n">
        <v>11</v>
      </c>
      <c r="I4547" s="0" t="s">
        <v>15209</v>
      </c>
      <c r="J4547" s="0" t="s">
        <v>15210</v>
      </c>
      <c r="K4547" s="0" t="s">
        <v>15211</v>
      </c>
      <c r="L4547" s="0" t="str">
        <f aca="false">HYPERLINK("https://www.ncbi.nlm.nih.gov/nuccore/CP000304.1?report=graph&amp;tracks=[key:gene_model_track,Options:GeneOnly]&amp;mk=1289397:1289416|offset_11|00cc00,1289420:1289439|offset_34|444444,1289442:1289461|offset_56|444444,1289467:1289486|offset_81|444444&amp;v=1289196:1289686&amp;c=444444", "offset 11")</f>
        <v>offset 11</v>
      </c>
    </row>
    <row r="4548" customFormat="false" ht="12.8" hidden="false" customHeight="false" outlineLevel="0" collapsed="false">
      <c r="A4548" s="0" t="s">
        <v>12</v>
      </c>
      <c r="B4548" s="0" t="n">
        <v>1289419</v>
      </c>
      <c r="C4548" s="0" t="n">
        <v>1289439</v>
      </c>
      <c r="D4548" s="0" t="s">
        <v>15207</v>
      </c>
      <c r="E4548" s="0" t="s">
        <v>15208</v>
      </c>
      <c r="F4548" s="0" t="s">
        <v>15</v>
      </c>
      <c r="G4548" s="0" t="s">
        <v>16</v>
      </c>
      <c r="H4548" s="0" t="n">
        <v>34</v>
      </c>
      <c r="I4548" s="0" t="s">
        <v>15212</v>
      </c>
      <c r="J4548" s="0" t="s">
        <v>15213</v>
      </c>
      <c r="K4548" s="0" t="s">
        <v>15214</v>
      </c>
      <c r="L4548" s="0" t="str">
        <f aca="false">HYPERLINK("https://www.ncbi.nlm.nih.gov/nuccore/CP000304.1?report=graph&amp;tracks=[key:gene_model_track,Options:GeneOnly]&amp;mk=1289397:1289416|offset_11|444444,1289420:1289439|offset_34|00cc00,1289442:1289461|offset_56|444444,1289467:1289486|offset_81|444444&amp;v=1289196:1289686&amp;c=444444", "offset 34")</f>
        <v>offset 34</v>
      </c>
    </row>
    <row r="4549" customFormat="false" ht="12.8" hidden="false" customHeight="false" outlineLevel="0" collapsed="false">
      <c r="A4549" s="0" t="s">
        <v>12</v>
      </c>
      <c r="B4549" s="0" t="n">
        <v>1289441</v>
      </c>
      <c r="C4549" s="0" t="n">
        <v>1289461</v>
      </c>
      <c r="D4549" s="0" t="s">
        <v>15207</v>
      </c>
      <c r="E4549" s="0" t="s">
        <v>15208</v>
      </c>
      <c r="F4549" s="0" t="s">
        <v>15</v>
      </c>
      <c r="G4549" s="0" t="s">
        <v>26</v>
      </c>
      <c r="H4549" s="0" t="n">
        <v>56</v>
      </c>
      <c r="I4549" s="0" t="s">
        <v>15215</v>
      </c>
      <c r="J4549" s="0" t="s">
        <v>15216</v>
      </c>
      <c r="K4549" s="0" t="s">
        <v>15217</v>
      </c>
      <c r="L4549" s="0" t="str">
        <f aca="false">HYPERLINK("https://www.ncbi.nlm.nih.gov/nuccore/CP000304.1?report=graph&amp;tracks=[key:gene_model_track,Options:GeneOnly]&amp;mk=1289397:1289416|offset_11|444444,1289420:1289439|offset_34|444444,1289442:1289461|offset_56|00cc00,1289467:1289486|offset_81|444444&amp;v=1289196:1289686&amp;c=444444", "offset 56")</f>
        <v>offset 56</v>
      </c>
    </row>
    <row r="4550" customFormat="false" ht="12.8" hidden="false" customHeight="false" outlineLevel="0" collapsed="false">
      <c r="A4550" s="0" t="s">
        <v>12</v>
      </c>
      <c r="B4550" s="0" t="n">
        <v>1289466</v>
      </c>
      <c r="C4550" s="0" t="n">
        <v>1289486</v>
      </c>
      <c r="D4550" s="0" t="s">
        <v>15207</v>
      </c>
      <c r="E4550" s="0" t="s">
        <v>15208</v>
      </c>
      <c r="F4550" s="0" t="s">
        <v>15</v>
      </c>
      <c r="G4550" s="0" t="s">
        <v>36</v>
      </c>
      <c r="H4550" s="0" t="n">
        <v>81</v>
      </c>
      <c r="I4550" s="0" t="s">
        <v>15218</v>
      </c>
      <c r="J4550" s="0" t="s">
        <v>15219</v>
      </c>
      <c r="K4550" s="0" t="s">
        <v>15220</v>
      </c>
      <c r="L4550" s="0" t="str">
        <f aca="false">HYPERLINK("https://www.ncbi.nlm.nih.gov/nuccore/CP000304.1?report=graph&amp;tracks=[key:gene_model_track,Options:GeneOnly]&amp;mk=1289397:1289416|offset_11|444444,1289420:1289439|offset_34|444444,1289442:1289461|offset_56|444444,1289467:1289486|offset_81|00cc00&amp;v=1289196:1289686&amp;c=444444", "offset 81")</f>
        <v>offset 81</v>
      </c>
    </row>
    <row r="4551" customFormat="false" ht="12.8" hidden="false" customHeight="false" outlineLevel="0" collapsed="false">
      <c r="A4551" s="0" t="s">
        <v>12</v>
      </c>
      <c r="B4551" s="0" t="n">
        <v>1293670</v>
      </c>
      <c r="C4551" s="0" t="n">
        <v>1293690</v>
      </c>
      <c r="D4551" s="0" t="s">
        <v>15221</v>
      </c>
      <c r="E4551" s="0" t="s">
        <v>89</v>
      </c>
      <c r="F4551" s="0" t="s">
        <v>90</v>
      </c>
      <c r="G4551" s="0" t="s">
        <v>32</v>
      </c>
      <c r="H4551" s="0" t="n">
        <v>23</v>
      </c>
      <c r="I4551" s="0" t="s">
        <v>15222</v>
      </c>
      <c r="J4551" s="0" t="s">
        <v>15223</v>
      </c>
      <c r="K4551" s="0" t="s">
        <v>15224</v>
      </c>
      <c r="L4551" s="0" t="str">
        <f aca="false">HYPERLINK("https://www.ncbi.nlm.nih.gov/nuccore/CP000304.1?report=graph&amp;tracks=[key:gene_model_track,Options:GeneOnly]&amp;mk=1293671:1293690|offset_23|00cc00,1293650:1293669|offset_44|444444,1293630:1293649|offset_64|444444,1293603:1293622|offset_91|444444&amp;v=1293470:1293822&amp;c=444444", "offset 23")</f>
        <v>offset 23</v>
      </c>
    </row>
    <row r="4552" customFormat="false" ht="12.8" hidden="false" customHeight="false" outlineLevel="0" collapsed="false">
      <c r="A4552" s="0" t="s">
        <v>12</v>
      </c>
      <c r="B4552" s="0" t="n">
        <v>1293649</v>
      </c>
      <c r="C4552" s="0" t="n">
        <v>1293669</v>
      </c>
      <c r="D4552" s="0" t="s">
        <v>15221</v>
      </c>
      <c r="E4552" s="0" t="s">
        <v>89</v>
      </c>
      <c r="F4552" s="0" t="s">
        <v>90</v>
      </c>
      <c r="G4552" s="0" t="s">
        <v>16</v>
      </c>
      <c r="H4552" s="0" t="n">
        <v>44</v>
      </c>
      <c r="I4552" s="0" t="s">
        <v>15225</v>
      </c>
      <c r="J4552" s="0" t="s">
        <v>15226</v>
      </c>
      <c r="K4552" s="0" t="s">
        <v>15227</v>
      </c>
      <c r="L4552" s="0" t="str">
        <f aca="false">HYPERLINK("https://www.ncbi.nlm.nih.gov/nuccore/CP000304.1?report=graph&amp;tracks=[key:gene_model_track,Options:GeneOnly]&amp;mk=1293671:1293690|offset_23|444444,1293650:1293669|offset_44|00cc00,1293630:1293649|offset_64|444444,1293603:1293622|offset_91|444444&amp;v=1293470:1293822&amp;c=444444", "offset 44")</f>
        <v>offset 44</v>
      </c>
    </row>
    <row r="4553" customFormat="false" ht="12.8" hidden="false" customHeight="false" outlineLevel="0" collapsed="false">
      <c r="A4553" s="0" t="s">
        <v>12</v>
      </c>
      <c r="B4553" s="0" t="n">
        <v>1293629</v>
      </c>
      <c r="C4553" s="0" t="n">
        <v>1293649</v>
      </c>
      <c r="D4553" s="0" t="s">
        <v>15221</v>
      </c>
      <c r="E4553" s="0" t="s">
        <v>89</v>
      </c>
      <c r="F4553" s="0" t="s">
        <v>90</v>
      </c>
      <c r="G4553" s="0" t="s">
        <v>16</v>
      </c>
      <c r="H4553" s="0" t="n">
        <v>64</v>
      </c>
      <c r="I4553" s="0" t="s">
        <v>15228</v>
      </c>
      <c r="J4553" s="0" t="s">
        <v>15229</v>
      </c>
      <c r="K4553" s="0" t="s">
        <v>15230</v>
      </c>
      <c r="L4553" s="0" t="str">
        <f aca="false">HYPERLINK("https://www.ncbi.nlm.nih.gov/nuccore/CP000304.1?report=graph&amp;tracks=[key:gene_model_track,Options:GeneOnly]&amp;mk=1293671:1293690|offset_23|444444,1293650:1293669|offset_44|444444,1293630:1293649|offset_64|00cc00,1293603:1293622|offset_91|444444&amp;v=1293470:1293822&amp;c=444444", "offset 64")</f>
        <v>offset 64</v>
      </c>
    </row>
    <row r="4554" customFormat="false" ht="12.8" hidden="false" customHeight="false" outlineLevel="0" collapsed="false">
      <c r="A4554" s="0" t="s">
        <v>12</v>
      </c>
      <c r="B4554" s="0" t="n">
        <v>1293602</v>
      </c>
      <c r="C4554" s="0" t="n">
        <v>1293622</v>
      </c>
      <c r="D4554" s="0" t="s">
        <v>15221</v>
      </c>
      <c r="E4554" s="0" t="s">
        <v>89</v>
      </c>
      <c r="F4554" s="0" t="s">
        <v>90</v>
      </c>
      <c r="G4554" s="0" t="s">
        <v>26</v>
      </c>
      <c r="H4554" s="0" t="n">
        <v>91</v>
      </c>
      <c r="I4554" s="0" t="s">
        <v>15231</v>
      </c>
      <c r="J4554" s="0" t="s">
        <v>15232</v>
      </c>
      <c r="K4554" s="0" t="s">
        <v>15233</v>
      </c>
      <c r="L4554" s="0" t="str">
        <f aca="false">HYPERLINK("https://www.ncbi.nlm.nih.gov/nuccore/CP000304.1?report=graph&amp;tracks=[key:gene_model_track,Options:GeneOnly]&amp;mk=1293671:1293690|offset_23|444444,1293650:1293669|offset_44|444444,1293630:1293649|offset_64|444444,1293603:1293622|offset_91|00cc00&amp;v=1293470:1293822&amp;c=444444", "offset 91")</f>
        <v>offset 91</v>
      </c>
    </row>
    <row r="4555" customFormat="false" ht="12.8" hidden="false" customHeight="false" outlineLevel="0" collapsed="false">
      <c r="A4555" s="0" t="s">
        <v>12</v>
      </c>
      <c r="B4555" s="0" t="n">
        <v>1294321</v>
      </c>
      <c r="C4555" s="0" t="n">
        <v>1294341</v>
      </c>
      <c r="D4555" s="0" t="s">
        <v>15234</v>
      </c>
      <c r="E4555" s="0" t="s">
        <v>89</v>
      </c>
      <c r="F4555" s="0" t="s">
        <v>90</v>
      </c>
      <c r="G4555" s="0" t="s">
        <v>36</v>
      </c>
      <c r="H4555" s="0" t="n">
        <v>0</v>
      </c>
      <c r="I4555" s="0" t="s">
        <v>15235</v>
      </c>
      <c r="J4555" s="0" t="s">
        <v>15236</v>
      </c>
      <c r="K4555" s="0" t="s">
        <v>15237</v>
      </c>
      <c r="L4555" s="0" t="str">
        <f aca="false">HYPERLINK("https://www.ncbi.nlm.nih.gov/nuccore/CP000304.1?report=graph&amp;tracks=[key:gene_model_track,Options:GeneOnly]&amp;mk=1294322:1294341|offset_0|00cc00,1294293:1294312|offset_29|444444,1294273:1294292|offset_49|444444,1294251:1294270|offset_71|444444&amp;v=1294121:1294470&amp;c=444444", "offset 0")</f>
        <v>offset 0</v>
      </c>
    </row>
    <row r="4556" customFormat="false" ht="12.8" hidden="false" customHeight="false" outlineLevel="0" collapsed="false">
      <c r="A4556" s="0" t="s">
        <v>12</v>
      </c>
      <c r="B4556" s="0" t="n">
        <v>1294292</v>
      </c>
      <c r="C4556" s="0" t="n">
        <v>1294312</v>
      </c>
      <c r="D4556" s="0" t="s">
        <v>15234</v>
      </c>
      <c r="E4556" s="0" t="s">
        <v>89</v>
      </c>
      <c r="F4556" s="0" t="s">
        <v>90</v>
      </c>
      <c r="G4556" s="0" t="s">
        <v>26</v>
      </c>
      <c r="H4556" s="0" t="n">
        <v>29</v>
      </c>
      <c r="I4556" s="0" t="s">
        <v>15238</v>
      </c>
      <c r="J4556" s="0" t="s">
        <v>15239</v>
      </c>
      <c r="K4556" s="0" t="s">
        <v>15240</v>
      </c>
      <c r="L4556" s="0" t="str">
        <f aca="false">HYPERLINK("https://www.ncbi.nlm.nih.gov/nuccore/CP000304.1?report=graph&amp;tracks=[key:gene_model_track,Options:GeneOnly]&amp;mk=1294322:1294341|offset_0|444444,1294293:1294312|offset_29|00cc00,1294273:1294292|offset_49|444444,1294251:1294270|offset_71|444444&amp;v=1294121:1294470&amp;c=444444", "offset 29")</f>
        <v>offset 29</v>
      </c>
    </row>
    <row r="4557" customFormat="false" ht="12.8" hidden="false" customHeight="false" outlineLevel="0" collapsed="false">
      <c r="A4557" s="0" t="s">
        <v>12</v>
      </c>
      <c r="B4557" s="0" t="n">
        <v>1294272</v>
      </c>
      <c r="C4557" s="0" t="n">
        <v>1294292</v>
      </c>
      <c r="D4557" s="0" t="s">
        <v>15234</v>
      </c>
      <c r="E4557" s="0" t="s">
        <v>89</v>
      </c>
      <c r="F4557" s="0" t="s">
        <v>90</v>
      </c>
      <c r="G4557" s="0" t="s">
        <v>36</v>
      </c>
      <c r="H4557" s="0" t="n">
        <v>49</v>
      </c>
      <c r="I4557" s="0" t="s">
        <v>15241</v>
      </c>
      <c r="J4557" s="0" t="s">
        <v>15242</v>
      </c>
      <c r="K4557" s="0" t="s">
        <v>15243</v>
      </c>
      <c r="L4557" s="0" t="str">
        <f aca="false">HYPERLINK("https://www.ncbi.nlm.nih.gov/nuccore/CP000304.1?report=graph&amp;tracks=[key:gene_model_track,Options:GeneOnly]&amp;mk=1294322:1294341|offset_0|444444,1294293:1294312|offset_29|444444,1294273:1294292|offset_49|00cc00,1294251:1294270|offset_71|444444&amp;v=1294121:1294470&amp;c=444444", "offset 49")</f>
        <v>offset 49</v>
      </c>
    </row>
    <row r="4558" customFormat="false" ht="12.8" hidden="false" customHeight="false" outlineLevel="0" collapsed="false">
      <c r="A4558" s="0" t="s">
        <v>12</v>
      </c>
      <c r="B4558" s="0" t="n">
        <v>1294250</v>
      </c>
      <c r="C4558" s="0" t="n">
        <v>1294270</v>
      </c>
      <c r="D4558" s="0" t="s">
        <v>15234</v>
      </c>
      <c r="E4558" s="0" t="s">
        <v>89</v>
      </c>
      <c r="F4558" s="0" t="s">
        <v>90</v>
      </c>
      <c r="G4558" s="0" t="s">
        <v>26</v>
      </c>
      <c r="H4558" s="0" t="n">
        <v>71</v>
      </c>
      <c r="I4558" s="0" t="s">
        <v>15244</v>
      </c>
      <c r="J4558" s="0" t="s">
        <v>15245</v>
      </c>
      <c r="K4558" s="0" t="s">
        <v>15246</v>
      </c>
      <c r="L4558" s="0" t="str">
        <f aca="false">HYPERLINK("https://www.ncbi.nlm.nih.gov/nuccore/CP000304.1?report=graph&amp;tracks=[key:gene_model_track,Options:GeneOnly]&amp;mk=1294322:1294341|offset_0|444444,1294293:1294312|offset_29|444444,1294273:1294292|offset_49|444444,1294251:1294270|offset_71|00cc00&amp;v=1294121:1294470&amp;c=444444", "offset 71")</f>
        <v>offset 71</v>
      </c>
    </row>
    <row r="4559" customFormat="false" ht="12.8" hidden="false" customHeight="false" outlineLevel="0" collapsed="false">
      <c r="A4559" s="0" t="s">
        <v>12</v>
      </c>
      <c r="B4559" s="0" t="n">
        <v>1294933</v>
      </c>
      <c r="C4559" s="0" t="n">
        <v>1294953</v>
      </c>
      <c r="D4559" s="0" t="s">
        <v>15247</v>
      </c>
      <c r="E4559" s="0" t="s">
        <v>89</v>
      </c>
      <c r="F4559" s="0" t="s">
        <v>90</v>
      </c>
      <c r="G4559" s="0" t="s">
        <v>32</v>
      </c>
      <c r="H4559" s="0" t="n">
        <v>1</v>
      </c>
      <c r="I4559" s="0" t="s">
        <v>15248</v>
      </c>
      <c r="J4559" s="0" t="s">
        <v>15249</v>
      </c>
      <c r="K4559" s="0" t="s">
        <v>15250</v>
      </c>
      <c r="L4559" s="0" t="str">
        <f aca="false">HYPERLINK("https://www.ncbi.nlm.nih.gov/nuccore/CP000304.1?report=graph&amp;tracks=[key:gene_model_track,Options:GeneOnly]&amp;mk=1294934:1294953|offset_1|00cc00,1294906:1294925|offset_29|444444,1294873:1294892|offset_62|444444,1294846:1294865|offset_89|444444&amp;v=1294733:1295065&amp;c=444444", "offset 1")</f>
        <v>offset 1</v>
      </c>
    </row>
    <row r="4560" customFormat="false" ht="12.8" hidden="false" customHeight="false" outlineLevel="0" collapsed="false">
      <c r="A4560" s="0" t="s">
        <v>12</v>
      </c>
      <c r="B4560" s="0" t="n">
        <v>1294905</v>
      </c>
      <c r="C4560" s="0" t="n">
        <v>1294925</v>
      </c>
      <c r="D4560" s="0" t="s">
        <v>15247</v>
      </c>
      <c r="E4560" s="0" t="s">
        <v>89</v>
      </c>
      <c r="F4560" s="0" t="s">
        <v>90</v>
      </c>
      <c r="G4560" s="0" t="s">
        <v>36</v>
      </c>
      <c r="H4560" s="0" t="n">
        <v>29</v>
      </c>
      <c r="I4560" s="0" t="s">
        <v>15251</v>
      </c>
      <c r="J4560" s="0" t="s">
        <v>15252</v>
      </c>
      <c r="K4560" s="0" t="s">
        <v>15253</v>
      </c>
      <c r="L4560" s="0" t="str">
        <f aca="false">HYPERLINK("https://www.ncbi.nlm.nih.gov/nuccore/CP000304.1?report=graph&amp;tracks=[key:gene_model_track,Options:GeneOnly]&amp;mk=1294934:1294953|offset_1|444444,1294906:1294925|offset_29|00cc00,1294873:1294892|offset_62|444444,1294846:1294865|offset_89|444444&amp;v=1294733:1295065&amp;c=444444", "offset 29")</f>
        <v>offset 29</v>
      </c>
    </row>
    <row r="4561" customFormat="false" ht="12.8" hidden="false" customHeight="false" outlineLevel="0" collapsed="false">
      <c r="A4561" s="0" t="s">
        <v>12</v>
      </c>
      <c r="B4561" s="0" t="n">
        <v>1294872</v>
      </c>
      <c r="C4561" s="0" t="n">
        <v>1294892</v>
      </c>
      <c r="D4561" s="0" t="s">
        <v>15247</v>
      </c>
      <c r="E4561" s="0" t="s">
        <v>89</v>
      </c>
      <c r="F4561" s="0" t="s">
        <v>90</v>
      </c>
      <c r="G4561" s="0" t="s">
        <v>16</v>
      </c>
      <c r="H4561" s="0" t="n">
        <v>62</v>
      </c>
      <c r="I4561" s="0" t="s">
        <v>15254</v>
      </c>
      <c r="J4561" s="0" t="s">
        <v>15255</v>
      </c>
      <c r="K4561" s="0" t="s">
        <v>15256</v>
      </c>
      <c r="L4561" s="0" t="str">
        <f aca="false">HYPERLINK("https://www.ncbi.nlm.nih.gov/nuccore/CP000304.1?report=graph&amp;tracks=[key:gene_model_track,Options:GeneOnly]&amp;mk=1294934:1294953|offset_1|444444,1294906:1294925|offset_29|444444,1294873:1294892|offset_62|00cc00,1294846:1294865|offset_89|444444&amp;v=1294733:1295065&amp;c=444444", "offset 62")</f>
        <v>offset 62</v>
      </c>
    </row>
    <row r="4562" customFormat="false" ht="12.8" hidden="false" customHeight="false" outlineLevel="0" collapsed="false">
      <c r="A4562" s="0" t="s">
        <v>12</v>
      </c>
      <c r="B4562" s="0" t="n">
        <v>1294845</v>
      </c>
      <c r="C4562" s="0" t="n">
        <v>1294865</v>
      </c>
      <c r="D4562" s="0" t="s">
        <v>15247</v>
      </c>
      <c r="E4562" s="0" t="s">
        <v>89</v>
      </c>
      <c r="F4562" s="0" t="s">
        <v>90</v>
      </c>
      <c r="G4562" s="0" t="s">
        <v>32</v>
      </c>
      <c r="H4562" s="0" t="n">
        <v>89</v>
      </c>
      <c r="I4562" s="0" t="s">
        <v>15257</v>
      </c>
      <c r="J4562" s="0" t="s">
        <v>15258</v>
      </c>
      <c r="K4562" s="0" t="s">
        <v>15259</v>
      </c>
      <c r="L4562" s="0" t="str">
        <f aca="false">HYPERLINK("https://www.ncbi.nlm.nih.gov/nuccore/CP000304.1?report=graph&amp;tracks=[key:gene_model_track,Options:GeneOnly]&amp;mk=1294934:1294953|offset_1|444444,1294906:1294925|offset_29|444444,1294873:1294892|offset_62|444444,1294846:1294865|offset_89|00cc00&amp;v=1294733:1295065&amp;c=444444", "offset 89")</f>
        <v>offset 89</v>
      </c>
    </row>
    <row r="4563" customFormat="false" ht="12.8" hidden="false" customHeight="false" outlineLevel="0" collapsed="false">
      <c r="A4563" s="0" t="s">
        <v>12</v>
      </c>
      <c r="B4563" s="0" t="n">
        <v>1295159</v>
      </c>
      <c r="C4563" s="0" t="n">
        <v>1295179</v>
      </c>
      <c r="D4563" s="0" t="s">
        <v>15260</v>
      </c>
      <c r="E4563" s="0" t="s">
        <v>89</v>
      </c>
      <c r="F4563" s="0" t="s">
        <v>15</v>
      </c>
      <c r="G4563" s="0" t="s">
        <v>16</v>
      </c>
      <c r="H4563" s="0" t="n">
        <v>20</v>
      </c>
      <c r="I4563" s="0" t="s">
        <v>15261</v>
      </c>
      <c r="J4563" s="0" t="s">
        <v>15262</v>
      </c>
      <c r="K4563" s="0" t="s">
        <v>15263</v>
      </c>
      <c r="L4563" s="0" t="str">
        <f aca="false">HYPERLINK("https://www.ncbi.nlm.nih.gov/nuccore/CP000304.1?report=graph&amp;tracks=[key:gene_model_track,Options:GeneOnly]&amp;mk=1295160:1295179|offset_20|00cc00,1295181:1295200|offset_41|444444,1295205:1295224|offset_65|444444,1295233:1295252|offset_93|444444&amp;v=1294959:1295452&amp;c=444444", "offset 20")</f>
        <v>offset 20</v>
      </c>
    </row>
    <row r="4564" customFormat="false" ht="12.8" hidden="false" customHeight="false" outlineLevel="0" collapsed="false">
      <c r="A4564" s="0" t="s">
        <v>12</v>
      </c>
      <c r="B4564" s="0" t="n">
        <v>1295180</v>
      </c>
      <c r="C4564" s="0" t="n">
        <v>1295200</v>
      </c>
      <c r="D4564" s="0" t="s">
        <v>15260</v>
      </c>
      <c r="E4564" s="0" t="s">
        <v>89</v>
      </c>
      <c r="F4564" s="0" t="s">
        <v>15</v>
      </c>
      <c r="G4564" s="0" t="s">
        <v>36</v>
      </c>
      <c r="H4564" s="0" t="n">
        <v>41</v>
      </c>
      <c r="I4564" s="0" t="s">
        <v>15264</v>
      </c>
      <c r="J4564" s="0" t="s">
        <v>15265</v>
      </c>
      <c r="K4564" s="0" t="s">
        <v>15266</v>
      </c>
      <c r="L4564" s="0" t="str">
        <f aca="false">HYPERLINK("https://www.ncbi.nlm.nih.gov/nuccore/CP000304.1?report=graph&amp;tracks=[key:gene_model_track,Options:GeneOnly]&amp;mk=1295160:1295179|offset_20|444444,1295181:1295200|offset_41|00cc00,1295205:1295224|offset_65|444444,1295233:1295252|offset_93|444444&amp;v=1294959:1295452&amp;c=444444", "offset 41")</f>
        <v>offset 41</v>
      </c>
    </row>
    <row r="4565" customFormat="false" ht="12.8" hidden="false" customHeight="false" outlineLevel="0" collapsed="false">
      <c r="A4565" s="0" t="s">
        <v>12</v>
      </c>
      <c r="B4565" s="0" t="n">
        <v>1295204</v>
      </c>
      <c r="C4565" s="0" t="n">
        <v>1295224</v>
      </c>
      <c r="D4565" s="0" t="s">
        <v>15260</v>
      </c>
      <c r="E4565" s="0" t="s">
        <v>89</v>
      </c>
      <c r="F4565" s="0" t="s">
        <v>15</v>
      </c>
      <c r="G4565" s="0" t="s">
        <v>16</v>
      </c>
      <c r="H4565" s="0" t="n">
        <v>65</v>
      </c>
      <c r="I4565" s="0" t="s">
        <v>15267</v>
      </c>
      <c r="J4565" s="0" t="s">
        <v>15268</v>
      </c>
      <c r="K4565" s="0" t="s">
        <v>15269</v>
      </c>
      <c r="L4565" s="0" t="str">
        <f aca="false">HYPERLINK("https://www.ncbi.nlm.nih.gov/nuccore/CP000304.1?report=graph&amp;tracks=[key:gene_model_track,Options:GeneOnly]&amp;mk=1295160:1295179|offset_20|444444,1295181:1295200|offset_41|444444,1295205:1295224|offset_65|00cc00,1295233:1295252|offset_93|444444&amp;v=1294959:1295452&amp;c=444444", "offset 65")</f>
        <v>offset 65</v>
      </c>
    </row>
    <row r="4566" customFormat="false" ht="12.8" hidden="false" customHeight="false" outlineLevel="0" collapsed="false">
      <c r="A4566" s="0" t="s">
        <v>12</v>
      </c>
      <c r="B4566" s="0" t="n">
        <v>1295232</v>
      </c>
      <c r="C4566" s="0" t="n">
        <v>1295252</v>
      </c>
      <c r="D4566" s="0" t="s">
        <v>15260</v>
      </c>
      <c r="E4566" s="0" t="s">
        <v>89</v>
      </c>
      <c r="F4566" s="0" t="s">
        <v>15</v>
      </c>
      <c r="G4566" s="0" t="s">
        <v>16</v>
      </c>
      <c r="H4566" s="0" t="n">
        <v>93</v>
      </c>
      <c r="I4566" s="0" t="s">
        <v>15270</v>
      </c>
      <c r="J4566" s="0" t="s">
        <v>15271</v>
      </c>
      <c r="K4566" s="0" t="s">
        <v>15272</v>
      </c>
      <c r="L4566" s="0" t="str">
        <f aca="false">HYPERLINK("https://www.ncbi.nlm.nih.gov/nuccore/CP000304.1?report=graph&amp;tracks=[key:gene_model_track,Options:GeneOnly]&amp;mk=1295160:1295179|offset_20|444444,1295181:1295200|offset_41|444444,1295205:1295224|offset_65|444444,1295233:1295252|offset_93|00cc00&amp;v=1294959:1295452&amp;c=444444", "offset 93")</f>
        <v>offset 93</v>
      </c>
    </row>
    <row r="4567" customFormat="false" ht="12.8" hidden="false" customHeight="false" outlineLevel="0" collapsed="false">
      <c r="A4567" s="0" t="s">
        <v>12</v>
      </c>
      <c r="B4567" s="0" t="n">
        <v>1295878</v>
      </c>
      <c r="C4567" s="0" t="n">
        <v>1295898</v>
      </c>
      <c r="D4567" s="0" t="s">
        <v>15273</v>
      </c>
      <c r="E4567" s="0" t="s">
        <v>89</v>
      </c>
      <c r="F4567" s="0" t="s">
        <v>15</v>
      </c>
      <c r="G4567" s="0" t="s">
        <v>36</v>
      </c>
      <c r="H4567" s="0" t="n">
        <v>9</v>
      </c>
      <c r="I4567" s="0" t="s">
        <v>15274</v>
      </c>
      <c r="J4567" s="0" t="s">
        <v>15275</v>
      </c>
      <c r="K4567" s="0" t="s">
        <v>15276</v>
      </c>
      <c r="L4567" s="0" t="str">
        <f aca="false">HYPERLINK("https://www.ncbi.nlm.nih.gov/nuccore/CP000304.1?report=graph&amp;tracks=[key:gene_model_track,Options:GeneOnly]&amp;mk=1295879:1295898|offset_9|00cc00,1295922:1295941|offset_52|444444,1296015:1296034|offset_145|444444,1296069:1296088|offset_199|444444&amp;v=1295678:1296288&amp;c=444444", "offset 9")</f>
        <v>offset 9</v>
      </c>
    </row>
    <row r="4568" customFormat="false" ht="12.8" hidden="false" customHeight="false" outlineLevel="0" collapsed="false">
      <c r="A4568" s="0" t="s">
        <v>12</v>
      </c>
      <c r="B4568" s="0" t="n">
        <v>1295921</v>
      </c>
      <c r="C4568" s="0" t="n">
        <v>1295941</v>
      </c>
      <c r="D4568" s="0" t="s">
        <v>15273</v>
      </c>
      <c r="E4568" s="0" t="s">
        <v>89</v>
      </c>
      <c r="F4568" s="0" t="s">
        <v>15</v>
      </c>
      <c r="G4568" s="0" t="s">
        <v>32</v>
      </c>
      <c r="H4568" s="0" t="n">
        <v>52</v>
      </c>
      <c r="I4568" s="0" t="s">
        <v>15277</v>
      </c>
      <c r="J4568" s="0" t="s">
        <v>15278</v>
      </c>
      <c r="K4568" s="0" t="s">
        <v>15279</v>
      </c>
      <c r="L4568" s="0" t="str">
        <f aca="false">HYPERLINK("https://www.ncbi.nlm.nih.gov/nuccore/CP000304.1?report=graph&amp;tracks=[key:gene_model_track,Options:GeneOnly]&amp;mk=1295879:1295898|offset_9|444444,1295922:1295941|offset_52|00cc00,1296015:1296034|offset_145|444444,1296069:1296088|offset_199|444444&amp;v=1295678:1296288&amp;c=444444", "offset 52")</f>
        <v>offset 52</v>
      </c>
    </row>
    <row r="4569" customFormat="false" ht="12.8" hidden="false" customHeight="false" outlineLevel="0" collapsed="false">
      <c r="A4569" s="0" t="s">
        <v>12</v>
      </c>
      <c r="B4569" s="0" t="n">
        <v>1296014</v>
      </c>
      <c r="C4569" s="0" t="n">
        <v>1296034</v>
      </c>
      <c r="D4569" s="0" t="s">
        <v>15273</v>
      </c>
      <c r="E4569" s="0" t="s">
        <v>89</v>
      </c>
      <c r="F4569" s="0" t="s">
        <v>15</v>
      </c>
      <c r="G4569" s="0" t="s">
        <v>16</v>
      </c>
      <c r="H4569" s="0" t="n">
        <v>145</v>
      </c>
      <c r="I4569" s="0" t="s">
        <v>15280</v>
      </c>
      <c r="J4569" s="0" t="s">
        <v>15281</v>
      </c>
      <c r="K4569" s="0" t="s">
        <v>15282</v>
      </c>
      <c r="L4569" s="0" t="str">
        <f aca="false">HYPERLINK("https://www.ncbi.nlm.nih.gov/nuccore/CP000304.1?report=graph&amp;tracks=[key:gene_model_track,Options:GeneOnly]&amp;mk=1295879:1295898|offset_9|444444,1295922:1295941|offset_52|444444,1296015:1296034|offset_145|00cc00,1296069:1296088|offset_199|444444&amp;v=1295678:1296288&amp;c=444444", "offset 145")</f>
        <v>offset 145</v>
      </c>
    </row>
    <row r="4570" customFormat="false" ht="12.8" hidden="false" customHeight="false" outlineLevel="0" collapsed="false">
      <c r="A4570" s="0" t="s">
        <v>12</v>
      </c>
      <c r="B4570" s="0" t="n">
        <v>1296068</v>
      </c>
      <c r="C4570" s="0" t="n">
        <v>1296088</v>
      </c>
      <c r="D4570" s="0" t="s">
        <v>15273</v>
      </c>
      <c r="E4570" s="0" t="s">
        <v>89</v>
      </c>
      <c r="F4570" s="0" t="s">
        <v>15</v>
      </c>
      <c r="G4570" s="0" t="s">
        <v>32</v>
      </c>
      <c r="H4570" s="0" t="n">
        <v>199</v>
      </c>
      <c r="I4570" s="0" t="s">
        <v>15283</v>
      </c>
      <c r="J4570" s="0" t="s">
        <v>15284</v>
      </c>
      <c r="K4570" s="0" t="s">
        <v>15285</v>
      </c>
      <c r="L4570" s="0" t="str">
        <f aca="false">HYPERLINK("https://www.ncbi.nlm.nih.gov/nuccore/CP000304.1?report=graph&amp;tracks=[key:gene_model_track,Options:GeneOnly]&amp;mk=1295879:1295898|offset_9|444444,1295922:1295941|offset_52|444444,1296015:1296034|offset_145|444444,1296069:1296088|offset_199|00cc00&amp;v=1295678:1296288&amp;c=444444", "offset 199")</f>
        <v>offset 199</v>
      </c>
    </row>
    <row r="4571" customFormat="false" ht="12.8" hidden="false" customHeight="false" outlineLevel="0" collapsed="false">
      <c r="A4571" s="0" t="s">
        <v>12</v>
      </c>
      <c r="B4571" s="0" t="n">
        <v>1296357</v>
      </c>
      <c r="C4571" s="0" t="n">
        <v>1296377</v>
      </c>
      <c r="D4571" s="0" t="s">
        <v>15286</v>
      </c>
      <c r="E4571" s="0" t="s">
        <v>89</v>
      </c>
      <c r="F4571" s="0" t="s">
        <v>15</v>
      </c>
      <c r="G4571" s="0" t="s">
        <v>26</v>
      </c>
      <c r="H4571" s="0" t="n">
        <v>21</v>
      </c>
      <c r="I4571" s="0" t="s">
        <v>15287</v>
      </c>
      <c r="J4571" s="0" t="s">
        <v>15288</v>
      </c>
      <c r="K4571" s="0" t="s">
        <v>15289</v>
      </c>
      <c r="L4571" s="0" t="str">
        <f aca="false">HYPERLINK("https://www.ncbi.nlm.nih.gov/nuccore/CP000304.1?report=graph&amp;tracks=[key:gene_model_track,Options:GeneOnly]&amp;mk=1296358:1296377|offset_21|00cc00,1296381:1296400|offset_44|444444,1296405:1296424|offset_68|444444,1296444:1296463|offset_107|444444&amp;v=1296157:1296663&amp;c=444444", "offset 21")</f>
        <v>offset 21</v>
      </c>
    </row>
    <row r="4572" customFormat="false" ht="12.8" hidden="false" customHeight="false" outlineLevel="0" collapsed="false">
      <c r="A4572" s="0" t="s">
        <v>12</v>
      </c>
      <c r="B4572" s="0" t="n">
        <v>1296380</v>
      </c>
      <c r="C4572" s="0" t="n">
        <v>1296400</v>
      </c>
      <c r="D4572" s="0" t="s">
        <v>15286</v>
      </c>
      <c r="E4572" s="0" t="s">
        <v>89</v>
      </c>
      <c r="F4572" s="0" t="s">
        <v>15</v>
      </c>
      <c r="G4572" s="0" t="s">
        <v>26</v>
      </c>
      <c r="H4572" s="0" t="n">
        <v>44</v>
      </c>
      <c r="I4572" s="0" t="s">
        <v>15290</v>
      </c>
      <c r="J4572" s="0" t="s">
        <v>15291</v>
      </c>
      <c r="K4572" s="0" t="s">
        <v>15292</v>
      </c>
      <c r="L4572" s="0" t="str">
        <f aca="false">HYPERLINK("https://www.ncbi.nlm.nih.gov/nuccore/CP000304.1?report=graph&amp;tracks=[key:gene_model_track,Options:GeneOnly]&amp;mk=1296358:1296377|offset_21|444444,1296381:1296400|offset_44|00cc00,1296405:1296424|offset_68|444444,1296444:1296463|offset_107|444444&amp;v=1296157:1296663&amp;c=444444", "offset 44")</f>
        <v>offset 44</v>
      </c>
    </row>
    <row r="4573" customFormat="false" ht="12.8" hidden="false" customHeight="false" outlineLevel="0" collapsed="false">
      <c r="A4573" s="0" t="s">
        <v>12</v>
      </c>
      <c r="B4573" s="0" t="n">
        <v>1296404</v>
      </c>
      <c r="C4573" s="0" t="n">
        <v>1296424</v>
      </c>
      <c r="D4573" s="0" t="s">
        <v>15286</v>
      </c>
      <c r="E4573" s="0" t="s">
        <v>89</v>
      </c>
      <c r="F4573" s="0" t="s">
        <v>15</v>
      </c>
      <c r="G4573" s="0" t="s">
        <v>26</v>
      </c>
      <c r="H4573" s="0" t="n">
        <v>68</v>
      </c>
      <c r="I4573" s="0" t="s">
        <v>15293</v>
      </c>
      <c r="J4573" s="0" t="s">
        <v>15294</v>
      </c>
      <c r="K4573" s="0" t="s">
        <v>15295</v>
      </c>
      <c r="L4573" s="0" t="str">
        <f aca="false">HYPERLINK("https://www.ncbi.nlm.nih.gov/nuccore/CP000304.1?report=graph&amp;tracks=[key:gene_model_track,Options:GeneOnly]&amp;mk=1296358:1296377|offset_21|444444,1296381:1296400|offset_44|444444,1296405:1296424|offset_68|00cc00,1296444:1296463|offset_107|444444&amp;v=1296157:1296663&amp;c=444444", "offset 68")</f>
        <v>offset 68</v>
      </c>
    </row>
    <row r="4574" customFormat="false" ht="12.8" hidden="false" customHeight="false" outlineLevel="0" collapsed="false">
      <c r="A4574" s="0" t="s">
        <v>12</v>
      </c>
      <c r="B4574" s="0" t="n">
        <v>1296443</v>
      </c>
      <c r="C4574" s="0" t="n">
        <v>1296463</v>
      </c>
      <c r="D4574" s="0" t="s">
        <v>15286</v>
      </c>
      <c r="E4574" s="0" t="s">
        <v>89</v>
      </c>
      <c r="F4574" s="0" t="s">
        <v>15</v>
      </c>
      <c r="G4574" s="0" t="s">
        <v>16</v>
      </c>
      <c r="H4574" s="0" t="n">
        <v>107</v>
      </c>
      <c r="I4574" s="0" t="s">
        <v>15296</v>
      </c>
      <c r="J4574" s="0" t="s">
        <v>15297</v>
      </c>
      <c r="K4574" s="0" t="s">
        <v>15298</v>
      </c>
      <c r="L4574" s="0" t="str">
        <f aca="false">HYPERLINK("https://www.ncbi.nlm.nih.gov/nuccore/CP000304.1?report=graph&amp;tracks=[key:gene_model_track,Options:GeneOnly]&amp;mk=1296358:1296377|offset_21|444444,1296381:1296400|offset_44|444444,1296405:1296424|offset_68|444444,1296444:1296463|offset_107|00cc00&amp;v=1296157:1296663&amp;c=444444", "offset 107")</f>
        <v>offset 107</v>
      </c>
    </row>
    <row r="4575" customFormat="false" ht="12.8" hidden="false" customHeight="false" outlineLevel="0" collapsed="false">
      <c r="A4575" s="0" t="s">
        <v>12</v>
      </c>
      <c r="B4575" s="0" t="n">
        <v>1296575</v>
      </c>
      <c r="C4575" s="0" t="n">
        <v>1296595</v>
      </c>
      <c r="D4575" s="0" t="s">
        <v>15299</v>
      </c>
      <c r="E4575" s="0" t="s">
        <v>15300</v>
      </c>
      <c r="F4575" s="0" t="s">
        <v>15</v>
      </c>
      <c r="G4575" s="0" t="s">
        <v>36</v>
      </c>
      <c r="H4575" s="0" t="n">
        <v>0</v>
      </c>
      <c r="I4575" s="0" t="s">
        <v>15301</v>
      </c>
      <c r="J4575" s="0" t="s">
        <v>15302</v>
      </c>
      <c r="K4575" s="0" t="s">
        <v>15303</v>
      </c>
      <c r="L4575" s="0" t="str">
        <f aca="false">HYPERLINK("https://www.ncbi.nlm.nih.gov/nuccore/CP000304.1?report=graph&amp;tracks=[key:gene_model_track,Options:GeneOnly]&amp;mk=1296576:1296595|offset_0|00cc00,1296597:1296616|offset_21|444444,1296617:1296636|offset_41|444444,1296697:1296716|offset_121|444444&amp;v=1296375:1296916&amp;c=444444", "offset 0")</f>
        <v>offset 0</v>
      </c>
    </row>
    <row r="4576" customFormat="false" ht="12.8" hidden="false" customHeight="false" outlineLevel="0" collapsed="false">
      <c r="A4576" s="0" t="s">
        <v>12</v>
      </c>
      <c r="B4576" s="0" t="n">
        <v>1296596</v>
      </c>
      <c r="C4576" s="0" t="n">
        <v>1296616</v>
      </c>
      <c r="D4576" s="0" t="s">
        <v>15299</v>
      </c>
      <c r="E4576" s="0" t="s">
        <v>15300</v>
      </c>
      <c r="F4576" s="0" t="s">
        <v>15</v>
      </c>
      <c r="G4576" s="0" t="s">
        <v>16</v>
      </c>
      <c r="H4576" s="0" t="n">
        <v>21</v>
      </c>
      <c r="I4576" s="0" t="s">
        <v>15304</v>
      </c>
      <c r="J4576" s="0" t="s">
        <v>15305</v>
      </c>
      <c r="K4576" s="0" t="s">
        <v>15306</v>
      </c>
      <c r="L4576" s="0" t="str">
        <f aca="false">HYPERLINK("https://www.ncbi.nlm.nih.gov/nuccore/CP000304.1?report=graph&amp;tracks=[key:gene_model_track,Options:GeneOnly]&amp;mk=1296576:1296595|offset_0|444444,1296597:1296616|offset_21|00cc00,1296617:1296636|offset_41|444444,1296697:1296716|offset_121|444444&amp;v=1296375:1296916&amp;c=444444", "offset 21")</f>
        <v>offset 21</v>
      </c>
    </row>
    <row r="4577" customFormat="false" ht="12.8" hidden="false" customHeight="false" outlineLevel="0" collapsed="false">
      <c r="A4577" s="0" t="s">
        <v>12</v>
      </c>
      <c r="B4577" s="0" t="n">
        <v>1296616</v>
      </c>
      <c r="C4577" s="0" t="n">
        <v>1296636</v>
      </c>
      <c r="D4577" s="0" t="s">
        <v>15299</v>
      </c>
      <c r="E4577" s="0" t="s">
        <v>15300</v>
      </c>
      <c r="F4577" s="0" t="s">
        <v>15</v>
      </c>
      <c r="G4577" s="0" t="s">
        <v>16</v>
      </c>
      <c r="H4577" s="0" t="n">
        <v>41</v>
      </c>
      <c r="I4577" s="0" t="s">
        <v>15307</v>
      </c>
      <c r="J4577" s="0" t="s">
        <v>15308</v>
      </c>
      <c r="K4577" s="0" t="s">
        <v>15309</v>
      </c>
      <c r="L4577" s="0" t="str">
        <f aca="false">HYPERLINK("https://www.ncbi.nlm.nih.gov/nuccore/CP000304.1?report=graph&amp;tracks=[key:gene_model_track,Options:GeneOnly]&amp;mk=1296576:1296595|offset_0|444444,1296597:1296616|offset_21|444444,1296617:1296636|offset_41|00cc00,1296697:1296716|offset_121|444444&amp;v=1296375:1296916&amp;c=444444", "offset 41")</f>
        <v>offset 41</v>
      </c>
    </row>
    <row r="4578" customFormat="false" ht="12.8" hidden="false" customHeight="false" outlineLevel="0" collapsed="false">
      <c r="A4578" s="0" t="s">
        <v>12</v>
      </c>
      <c r="B4578" s="0" t="n">
        <v>1296696</v>
      </c>
      <c r="C4578" s="0" t="n">
        <v>1296716</v>
      </c>
      <c r="D4578" s="0" t="s">
        <v>15299</v>
      </c>
      <c r="E4578" s="0" t="s">
        <v>15300</v>
      </c>
      <c r="F4578" s="0" t="s">
        <v>15</v>
      </c>
      <c r="G4578" s="0" t="s">
        <v>16</v>
      </c>
      <c r="H4578" s="0" t="n">
        <v>121</v>
      </c>
      <c r="I4578" s="0" t="s">
        <v>15310</v>
      </c>
      <c r="J4578" s="0" t="s">
        <v>15311</v>
      </c>
      <c r="K4578" s="0" t="s">
        <v>15312</v>
      </c>
      <c r="L4578" s="0" t="str">
        <f aca="false">HYPERLINK("https://www.ncbi.nlm.nih.gov/nuccore/CP000304.1?report=graph&amp;tracks=[key:gene_model_track,Options:GeneOnly]&amp;mk=1296576:1296595|offset_0|444444,1296597:1296616|offset_21|444444,1296617:1296636|offset_41|444444,1296697:1296716|offset_121|00cc00&amp;v=1296375:1296916&amp;c=444444", "offset 121")</f>
        <v>offset 121</v>
      </c>
    </row>
    <row r="4579" customFormat="false" ht="12.8" hidden="false" customHeight="false" outlineLevel="0" collapsed="false">
      <c r="A4579" s="0" t="s">
        <v>12</v>
      </c>
      <c r="B4579" s="0" t="n">
        <v>1299035</v>
      </c>
      <c r="C4579" s="0" t="n">
        <v>1299055</v>
      </c>
      <c r="D4579" s="0" t="s">
        <v>15313</v>
      </c>
      <c r="E4579" s="0" t="s">
        <v>89</v>
      </c>
      <c r="F4579" s="0" t="s">
        <v>90</v>
      </c>
      <c r="G4579" s="0" t="s">
        <v>36</v>
      </c>
      <c r="H4579" s="0" t="n">
        <v>17</v>
      </c>
      <c r="I4579" s="0" t="s">
        <v>15314</v>
      </c>
      <c r="J4579" s="0" t="s">
        <v>15315</v>
      </c>
      <c r="K4579" s="0" t="s">
        <v>15316</v>
      </c>
      <c r="L4579" s="0" t="str">
        <f aca="false">HYPERLINK("https://www.ncbi.nlm.nih.gov/nuccore/CP000304.1?report=graph&amp;tracks=[key:gene_model_track,Options:GeneOnly]&amp;mk=1299036:1299055|offset_17|00cc00,1298980:1298999|offset_73|444444,1298955:1298974|offset_98|444444,1298926:1298945|offset_127|444444&amp;v=1298835:1299145&amp;c=444444", "offset 17")</f>
        <v>offset 17</v>
      </c>
    </row>
    <row r="4580" customFormat="false" ht="12.8" hidden="false" customHeight="false" outlineLevel="0" collapsed="false">
      <c r="A4580" s="0" t="s">
        <v>12</v>
      </c>
      <c r="B4580" s="0" t="n">
        <v>1298979</v>
      </c>
      <c r="C4580" s="0" t="n">
        <v>1298999</v>
      </c>
      <c r="D4580" s="0" t="s">
        <v>15313</v>
      </c>
      <c r="E4580" s="0" t="s">
        <v>89</v>
      </c>
      <c r="F4580" s="0" t="s">
        <v>90</v>
      </c>
      <c r="G4580" s="0" t="s">
        <v>32</v>
      </c>
      <c r="H4580" s="0" t="n">
        <v>73</v>
      </c>
      <c r="I4580" s="0" t="s">
        <v>15317</v>
      </c>
      <c r="J4580" s="0" t="s">
        <v>15318</v>
      </c>
      <c r="K4580" s="0" t="s">
        <v>15319</v>
      </c>
      <c r="L4580" s="0" t="str">
        <f aca="false">HYPERLINK("https://www.ncbi.nlm.nih.gov/nuccore/CP000304.1?report=graph&amp;tracks=[key:gene_model_track,Options:GeneOnly]&amp;mk=1299036:1299055|offset_17|444444,1298980:1298999|offset_73|00cc00,1298955:1298974|offset_98|444444,1298926:1298945|offset_127|444444&amp;v=1298835:1299145&amp;c=444444", "offset 73")</f>
        <v>offset 73</v>
      </c>
    </row>
    <row r="4581" customFormat="false" ht="12.8" hidden="false" customHeight="false" outlineLevel="0" collapsed="false">
      <c r="A4581" s="0" t="s">
        <v>12</v>
      </c>
      <c r="B4581" s="0" t="n">
        <v>1298954</v>
      </c>
      <c r="C4581" s="0" t="n">
        <v>1298974</v>
      </c>
      <c r="D4581" s="0" t="s">
        <v>15313</v>
      </c>
      <c r="E4581" s="0" t="s">
        <v>89</v>
      </c>
      <c r="F4581" s="0" t="s">
        <v>90</v>
      </c>
      <c r="G4581" s="0" t="s">
        <v>26</v>
      </c>
      <c r="H4581" s="0" t="n">
        <v>98</v>
      </c>
      <c r="I4581" s="0" t="s">
        <v>15320</v>
      </c>
      <c r="J4581" s="0" t="s">
        <v>15321</v>
      </c>
      <c r="K4581" s="0" t="s">
        <v>15322</v>
      </c>
      <c r="L4581" s="0" t="str">
        <f aca="false">HYPERLINK("https://www.ncbi.nlm.nih.gov/nuccore/CP000304.1?report=graph&amp;tracks=[key:gene_model_track,Options:GeneOnly]&amp;mk=1299036:1299055|offset_17|444444,1298980:1298999|offset_73|444444,1298955:1298974|offset_98|00cc00,1298926:1298945|offset_127|444444&amp;v=1298835:1299145&amp;c=444444", "offset 98")</f>
        <v>offset 98</v>
      </c>
    </row>
    <row r="4582" customFormat="false" ht="12.8" hidden="false" customHeight="false" outlineLevel="0" collapsed="false">
      <c r="A4582" s="0" t="s">
        <v>12</v>
      </c>
      <c r="B4582" s="0" t="n">
        <v>1298925</v>
      </c>
      <c r="C4582" s="0" t="n">
        <v>1298945</v>
      </c>
      <c r="D4582" s="0" t="s">
        <v>15313</v>
      </c>
      <c r="E4582" s="0" t="s">
        <v>89</v>
      </c>
      <c r="F4582" s="0" t="s">
        <v>90</v>
      </c>
      <c r="G4582" s="0" t="s">
        <v>32</v>
      </c>
      <c r="H4582" s="0" t="n">
        <v>127</v>
      </c>
      <c r="I4582" s="0" t="s">
        <v>15323</v>
      </c>
      <c r="J4582" s="0" t="s">
        <v>15324</v>
      </c>
      <c r="K4582" s="0" t="s">
        <v>15325</v>
      </c>
      <c r="L4582" s="0" t="str">
        <f aca="false">HYPERLINK("https://www.ncbi.nlm.nih.gov/nuccore/CP000304.1?report=graph&amp;tracks=[key:gene_model_track,Options:GeneOnly]&amp;mk=1299036:1299055|offset_17|444444,1298980:1298999|offset_73|444444,1298955:1298974|offset_98|444444,1298926:1298945|offset_127|00cc00&amp;v=1298835:1299145&amp;c=444444", "offset 127")</f>
        <v>offset 127</v>
      </c>
    </row>
    <row r="4583" customFormat="false" ht="12.8" hidden="false" customHeight="false" outlineLevel="0" collapsed="false">
      <c r="A4583" s="0" t="s">
        <v>12</v>
      </c>
      <c r="B4583" s="0" t="n">
        <v>1300016</v>
      </c>
      <c r="C4583" s="0" t="n">
        <v>1300036</v>
      </c>
      <c r="D4583" s="0" t="s">
        <v>15326</v>
      </c>
      <c r="E4583" s="0" t="s">
        <v>89</v>
      </c>
      <c r="F4583" s="0" t="s">
        <v>90</v>
      </c>
      <c r="G4583" s="0" t="s">
        <v>32</v>
      </c>
      <c r="H4583" s="0" t="n">
        <v>1</v>
      </c>
      <c r="I4583" s="0" t="s">
        <v>15327</v>
      </c>
      <c r="J4583" s="0" t="s">
        <v>15328</v>
      </c>
      <c r="K4583" s="0" t="s">
        <v>15329</v>
      </c>
      <c r="L4583" s="0" t="str">
        <f aca="false">HYPERLINK("https://www.ncbi.nlm.nih.gov/nuccore/CP000304.1?report=graph&amp;tracks=[key:gene_model_track,Options:GeneOnly]&amp;mk=1300017:1300036|offset_1|00cc00,1299975:1299994|offset_43|444444,1299954:1299973|offset_64|444444,1299934:1299953|offset_84|444444&amp;v=1299816:1300153&amp;c=444444", "offset 1")</f>
        <v>offset 1</v>
      </c>
    </row>
    <row r="4584" customFormat="false" ht="12.8" hidden="false" customHeight="false" outlineLevel="0" collapsed="false">
      <c r="A4584" s="0" t="s">
        <v>12</v>
      </c>
      <c r="B4584" s="0" t="n">
        <v>1299974</v>
      </c>
      <c r="C4584" s="0" t="n">
        <v>1299994</v>
      </c>
      <c r="D4584" s="0" t="s">
        <v>15326</v>
      </c>
      <c r="E4584" s="0" t="s">
        <v>89</v>
      </c>
      <c r="F4584" s="0" t="s">
        <v>90</v>
      </c>
      <c r="G4584" s="0" t="s">
        <v>36</v>
      </c>
      <c r="H4584" s="0" t="n">
        <v>43</v>
      </c>
      <c r="I4584" s="0" t="s">
        <v>15330</v>
      </c>
      <c r="J4584" s="0" t="s">
        <v>15331</v>
      </c>
      <c r="K4584" s="0" t="s">
        <v>15332</v>
      </c>
      <c r="L4584" s="0" t="str">
        <f aca="false">HYPERLINK("https://www.ncbi.nlm.nih.gov/nuccore/CP000304.1?report=graph&amp;tracks=[key:gene_model_track,Options:GeneOnly]&amp;mk=1300017:1300036|offset_1|444444,1299975:1299994|offset_43|00cc00,1299954:1299973|offset_64|444444,1299934:1299953|offset_84|444444&amp;v=1299816:1300153&amp;c=444444", "offset 43")</f>
        <v>offset 43</v>
      </c>
    </row>
    <row r="4585" customFormat="false" ht="12.8" hidden="false" customHeight="false" outlineLevel="0" collapsed="false">
      <c r="A4585" s="0" t="s">
        <v>12</v>
      </c>
      <c r="B4585" s="0" t="n">
        <v>1299953</v>
      </c>
      <c r="C4585" s="0" t="n">
        <v>1299973</v>
      </c>
      <c r="D4585" s="0" t="s">
        <v>15326</v>
      </c>
      <c r="E4585" s="0" t="s">
        <v>89</v>
      </c>
      <c r="F4585" s="0" t="s">
        <v>90</v>
      </c>
      <c r="G4585" s="0" t="s">
        <v>32</v>
      </c>
      <c r="H4585" s="0" t="n">
        <v>64</v>
      </c>
      <c r="I4585" s="0" t="s">
        <v>15333</v>
      </c>
      <c r="J4585" s="0" t="s">
        <v>15334</v>
      </c>
      <c r="K4585" s="0" t="s">
        <v>15335</v>
      </c>
      <c r="L4585" s="0" t="str">
        <f aca="false">HYPERLINK("https://www.ncbi.nlm.nih.gov/nuccore/CP000304.1?report=graph&amp;tracks=[key:gene_model_track,Options:GeneOnly]&amp;mk=1300017:1300036|offset_1|444444,1299975:1299994|offset_43|444444,1299954:1299973|offset_64|00cc00,1299934:1299953|offset_84|444444&amp;v=1299816:1300153&amp;c=444444", "offset 64")</f>
        <v>offset 64</v>
      </c>
    </row>
    <row r="4586" customFormat="false" ht="12.8" hidden="false" customHeight="false" outlineLevel="0" collapsed="false">
      <c r="A4586" s="0" t="s">
        <v>12</v>
      </c>
      <c r="B4586" s="0" t="n">
        <v>1299933</v>
      </c>
      <c r="C4586" s="0" t="n">
        <v>1299953</v>
      </c>
      <c r="D4586" s="0" t="s">
        <v>15326</v>
      </c>
      <c r="E4586" s="0" t="s">
        <v>89</v>
      </c>
      <c r="F4586" s="0" t="s">
        <v>90</v>
      </c>
      <c r="G4586" s="0" t="s">
        <v>16</v>
      </c>
      <c r="H4586" s="0" t="n">
        <v>84</v>
      </c>
      <c r="I4586" s="0" t="s">
        <v>15336</v>
      </c>
      <c r="J4586" s="0" t="s">
        <v>15337</v>
      </c>
      <c r="K4586" s="0" t="s">
        <v>15338</v>
      </c>
      <c r="L4586" s="0" t="str">
        <f aca="false">HYPERLINK("https://www.ncbi.nlm.nih.gov/nuccore/CP000304.1?report=graph&amp;tracks=[key:gene_model_track,Options:GeneOnly]&amp;mk=1300017:1300036|offset_1|444444,1299975:1299994|offset_43|444444,1299954:1299973|offset_64|444444,1299934:1299953|offset_84|00cc00&amp;v=1299816:1300153&amp;c=444444", "offset 84")</f>
        <v>offset 84</v>
      </c>
    </row>
    <row r="4587" customFormat="false" ht="12.8" hidden="false" customHeight="false" outlineLevel="0" collapsed="false">
      <c r="A4587" s="0" t="s">
        <v>12</v>
      </c>
      <c r="B4587" s="0" t="n">
        <v>1300078</v>
      </c>
      <c r="C4587" s="0" t="n">
        <v>1300098</v>
      </c>
      <c r="D4587" s="0" t="s">
        <v>15339</v>
      </c>
      <c r="E4587" s="0" t="s">
        <v>15340</v>
      </c>
      <c r="F4587" s="0" t="s">
        <v>15</v>
      </c>
      <c r="G4587" s="0" t="s">
        <v>16</v>
      </c>
      <c r="H4587" s="0" t="n">
        <v>13</v>
      </c>
      <c r="I4587" s="0" t="s">
        <v>15341</v>
      </c>
      <c r="J4587" s="0" t="s">
        <v>15342</v>
      </c>
      <c r="K4587" s="0" t="s">
        <v>15343</v>
      </c>
      <c r="L4587" s="0" t="str">
        <f aca="false">HYPERLINK("https://www.ncbi.nlm.nih.gov/nuccore/CP000304.1?report=graph&amp;tracks=[key:gene_model_track,Options:GeneOnly]&amp;mk=1300079:1300098|offset_13|00cc00,1300111:1300130|offset_45|444444,1300152:1300171|offset_86|444444,1300190:1300209|offset_124|444444&amp;v=1299878:1300409&amp;c=444444", "offset 13")</f>
        <v>offset 13</v>
      </c>
    </row>
    <row r="4588" customFormat="false" ht="12.8" hidden="false" customHeight="false" outlineLevel="0" collapsed="false">
      <c r="A4588" s="0" t="s">
        <v>12</v>
      </c>
      <c r="B4588" s="0" t="n">
        <v>1300110</v>
      </c>
      <c r="C4588" s="0" t="n">
        <v>1300130</v>
      </c>
      <c r="D4588" s="0" t="s">
        <v>15339</v>
      </c>
      <c r="E4588" s="0" t="s">
        <v>15340</v>
      </c>
      <c r="F4588" s="0" t="s">
        <v>15</v>
      </c>
      <c r="G4588" s="0" t="s">
        <v>36</v>
      </c>
      <c r="H4588" s="0" t="n">
        <v>45</v>
      </c>
      <c r="I4588" s="0" t="s">
        <v>15344</v>
      </c>
      <c r="J4588" s="0" t="s">
        <v>15345</v>
      </c>
      <c r="K4588" s="0" t="s">
        <v>15346</v>
      </c>
      <c r="L4588" s="0" t="str">
        <f aca="false">HYPERLINK("https://www.ncbi.nlm.nih.gov/nuccore/CP000304.1?report=graph&amp;tracks=[key:gene_model_track,Options:GeneOnly]&amp;mk=1300079:1300098|offset_13|444444,1300111:1300130|offset_45|00cc00,1300152:1300171|offset_86|444444,1300190:1300209|offset_124|444444&amp;v=1299878:1300409&amp;c=444444", "offset 45")</f>
        <v>offset 45</v>
      </c>
    </row>
    <row r="4589" customFormat="false" ht="12.8" hidden="false" customHeight="false" outlineLevel="0" collapsed="false">
      <c r="A4589" s="0" t="s">
        <v>12</v>
      </c>
      <c r="B4589" s="0" t="n">
        <v>1300151</v>
      </c>
      <c r="C4589" s="0" t="n">
        <v>1300171</v>
      </c>
      <c r="D4589" s="0" t="s">
        <v>15339</v>
      </c>
      <c r="E4589" s="0" t="s">
        <v>15340</v>
      </c>
      <c r="F4589" s="0" t="s">
        <v>15</v>
      </c>
      <c r="G4589" s="0" t="s">
        <v>26</v>
      </c>
      <c r="H4589" s="0" t="n">
        <v>86</v>
      </c>
      <c r="I4589" s="0" t="s">
        <v>15347</v>
      </c>
      <c r="J4589" s="0" t="s">
        <v>15348</v>
      </c>
      <c r="K4589" s="0" t="s">
        <v>15349</v>
      </c>
      <c r="L4589" s="0" t="str">
        <f aca="false">HYPERLINK("https://www.ncbi.nlm.nih.gov/nuccore/CP000304.1?report=graph&amp;tracks=[key:gene_model_track,Options:GeneOnly]&amp;mk=1300079:1300098|offset_13|444444,1300111:1300130|offset_45|444444,1300152:1300171|offset_86|00cc00,1300190:1300209|offset_124|444444&amp;v=1299878:1300409&amp;c=444444", "offset 86")</f>
        <v>offset 86</v>
      </c>
    </row>
    <row r="4590" customFormat="false" ht="12.8" hidden="false" customHeight="false" outlineLevel="0" collapsed="false">
      <c r="A4590" s="0" t="s">
        <v>12</v>
      </c>
      <c r="B4590" s="0" t="n">
        <v>1300189</v>
      </c>
      <c r="C4590" s="0" t="n">
        <v>1300209</v>
      </c>
      <c r="D4590" s="0" t="s">
        <v>15339</v>
      </c>
      <c r="E4590" s="0" t="s">
        <v>15340</v>
      </c>
      <c r="F4590" s="0" t="s">
        <v>15</v>
      </c>
      <c r="G4590" s="0" t="s">
        <v>16</v>
      </c>
      <c r="H4590" s="0" t="n">
        <v>124</v>
      </c>
      <c r="I4590" s="0" t="s">
        <v>15350</v>
      </c>
      <c r="J4590" s="0" t="s">
        <v>15351</v>
      </c>
      <c r="K4590" s="0" t="s">
        <v>15352</v>
      </c>
      <c r="L4590" s="0" t="str">
        <f aca="false">HYPERLINK("https://www.ncbi.nlm.nih.gov/nuccore/CP000304.1?report=graph&amp;tracks=[key:gene_model_track,Options:GeneOnly]&amp;mk=1300079:1300098|offset_13|444444,1300111:1300130|offset_45|444444,1300152:1300171|offset_86|444444,1300190:1300209|offset_124|00cc00&amp;v=1299878:1300409&amp;c=444444", "offset 124")</f>
        <v>offset 124</v>
      </c>
    </row>
    <row r="4591" customFormat="false" ht="12.8" hidden="false" customHeight="false" outlineLevel="0" collapsed="false">
      <c r="A4591" s="0" t="s">
        <v>12</v>
      </c>
      <c r="B4591" s="0" t="n">
        <v>1301730</v>
      </c>
      <c r="C4591" s="0" t="n">
        <v>1301750</v>
      </c>
      <c r="D4591" s="0" t="s">
        <v>15353</v>
      </c>
      <c r="E4591" s="0" t="s">
        <v>15354</v>
      </c>
      <c r="F4591" s="0" t="s">
        <v>15</v>
      </c>
      <c r="G4591" s="0" t="s">
        <v>36</v>
      </c>
      <c r="H4591" s="0" t="n">
        <v>22</v>
      </c>
      <c r="I4591" s="0" t="s">
        <v>15355</v>
      </c>
      <c r="J4591" s="0" t="s">
        <v>15356</v>
      </c>
      <c r="K4591" s="0" t="s">
        <v>15357</v>
      </c>
      <c r="L4591" s="0" t="str">
        <f aca="false">HYPERLINK("https://www.ncbi.nlm.nih.gov/nuccore/CP000304.1?report=graph&amp;tracks=[key:gene_model_track,Options:GeneOnly]&amp;mk=1301731:1301750|offset_22|00cc00,1301753:1301772|offset_44|444444,1301776:1301795|offset_67|444444,1301832:1301851|offset_123|444444&amp;v=1301530:1302051&amp;c=444444", "offset 22")</f>
        <v>offset 22</v>
      </c>
    </row>
    <row r="4592" customFormat="false" ht="12.8" hidden="false" customHeight="false" outlineLevel="0" collapsed="false">
      <c r="A4592" s="0" t="s">
        <v>12</v>
      </c>
      <c r="B4592" s="0" t="n">
        <v>1301752</v>
      </c>
      <c r="C4592" s="0" t="n">
        <v>1301772</v>
      </c>
      <c r="D4592" s="0" t="s">
        <v>15353</v>
      </c>
      <c r="E4592" s="0" t="s">
        <v>15354</v>
      </c>
      <c r="F4592" s="0" t="s">
        <v>15</v>
      </c>
      <c r="G4592" s="0" t="s">
        <v>36</v>
      </c>
      <c r="H4592" s="0" t="n">
        <v>44</v>
      </c>
      <c r="I4592" s="0" t="s">
        <v>15358</v>
      </c>
      <c r="J4592" s="0" t="s">
        <v>15359</v>
      </c>
      <c r="K4592" s="0" t="s">
        <v>15360</v>
      </c>
      <c r="L4592" s="0" t="str">
        <f aca="false">HYPERLINK("https://www.ncbi.nlm.nih.gov/nuccore/CP000304.1?report=graph&amp;tracks=[key:gene_model_track,Options:GeneOnly]&amp;mk=1301731:1301750|offset_22|444444,1301753:1301772|offset_44|00cc00,1301776:1301795|offset_67|444444,1301832:1301851|offset_123|444444&amp;v=1301530:1302051&amp;c=444444", "offset 44")</f>
        <v>offset 44</v>
      </c>
    </row>
    <row r="4593" customFormat="false" ht="12.8" hidden="false" customHeight="false" outlineLevel="0" collapsed="false">
      <c r="A4593" s="0" t="s">
        <v>12</v>
      </c>
      <c r="B4593" s="0" t="n">
        <v>1301775</v>
      </c>
      <c r="C4593" s="0" t="n">
        <v>1301795</v>
      </c>
      <c r="D4593" s="0" t="s">
        <v>15353</v>
      </c>
      <c r="E4593" s="0" t="s">
        <v>15354</v>
      </c>
      <c r="F4593" s="0" t="s">
        <v>15</v>
      </c>
      <c r="G4593" s="0" t="s">
        <v>32</v>
      </c>
      <c r="H4593" s="0" t="n">
        <v>67</v>
      </c>
      <c r="I4593" s="0" t="s">
        <v>15361</v>
      </c>
      <c r="J4593" s="0" t="s">
        <v>15362</v>
      </c>
      <c r="K4593" s="0" t="s">
        <v>15363</v>
      </c>
      <c r="L4593" s="0" t="str">
        <f aca="false">HYPERLINK("https://www.ncbi.nlm.nih.gov/nuccore/CP000304.1?report=graph&amp;tracks=[key:gene_model_track,Options:GeneOnly]&amp;mk=1301731:1301750|offset_22|444444,1301753:1301772|offset_44|444444,1301776:1301795|offset_67|00cc00,1301832:1301851|offset_123|444444&amp;v=1301530:1302051&amp;c=444444", "offset 67")</f>
        <v>offset 67</v>
      </c>
    </row>
    <row r="4594" customFormat="false" ht="12.8" hidden="false" customHeight="false" outlineLevel="0" collapsed="false">
      <c r="A4594" s="0" t="s">
        <v>12</v>
      </c>
      <c r="B4594" s="0" t="n">
        <v>1301831</v>
      </c>
      <c r="C4594" s="0" t="n">
        <v>1301851</v>
      </c>
      <c r="D4594" s="0" t="s">
        <v>15353</v>
      </c>
      <c r="E4594" s="0" t="s">
        <v>15354</v>
      </c>
      <c r="F4594" s="0" t="s">
        <v>15</v>
      </c>
      <c r="G4594" s="0" t="s">
        <v>16</v>
      </c>
      <c r="H4594" s="0" t="n">
        <v>123</v>
      </c>
      <c r="I4594" s="0" t="s">
        <v>15364</v>
      </c>
      <c r="J4594" s="0" t="s">
        <v>15365</v>
      </c>
      <c r="K4594" s="0" t="s">
        <v>15366</v>
      </c>
      <c r="L4594" s="0" t="str">
        <f aca="false">HYPERLINK("https://www.ncbi.nlm.nih.gov/nuccore/CP000304.1?report=graph&amp;tracks=[key:gene_model_track,Options:GeneOnly]&amp;mk=1301731:1301750|offset_22|444444,1301753:1301772|offset_44|444444,1301776:1301795|offset_67|444444,1301832:1301851|offset_123|00cc00&amp;v=1301530:1302051&amp;c=444444", "offset 123")</f>
        <v>offset 123</v>
      </c>
    </row>
    <row r="4595" customFormat="false" ht="12.8" hidden="false" customHeight="false" outlineLevel="0" collapsed="false">
      <c r="A4595" s="0" t="s">
        <v>12</v>
      </c>
      <c r="B4595" s="0" t="n">
        <v>1301965</v>
      </c>
      <c r="C4595" s="0" t="n">
        <v>1301985</v>
      </c>
      <c r="D4595" s="0" t="s">
        <v>15367</v>
      </c>
      <c r="E4595" s="0" t="s">
        <v>15368</v>
      </c>
      <c r="F4595" s="0" t="s">
        <v>15</v>
      </c>
      <c r="G4595" s="0" t="s">
        <v>26</v>
      </c>
      <c r="H4595" s="0" t="n">
        <v>0</v>
      </c>
      <c r="I4595" s="0" t="s">
        <v>15369</v>
      </c>
      <c r="J4595" s="0" t="s">
        <v>15370</v>
      </c>
      <c r="K4595" s="0" t="s">
        <v>15371</v>
      </c>
      <c r="L4595" s="0" t="str">
        <f aca="false">HYPERLINK("https://www.ncbi.nlm.nih.gov/nuccore/CP000304.1?report=graph&amp;tracks=[key:gene_model_track,Options:GeneOnly]&amp;mk=1301966:1301985|offset_0|00cc00,1301986:1302005|offset_20|444444,1302060:1302079|offset_94|444444,1302082:1302101|offset_116|444444&amp;v=1301765:1302301&amp;c=444444", "offset 0")</f>
        <v>offset 0</v>
      </c>
    </row>
    <row r="4596" customFormat="false" ht="12.8" hidden="false" customHeight="false" outlineLevel="0" collapsed="false">
      <c r="A4596" s="0" t="s">
        <v>12</v>
      </c>
      <c r="B4596" s="0" t="n">
        <v>1301985</v>
      </c>
      <c r="C4596" s="0" t="n">
        <v>1302005</v>
      </c>
      <c r="D4596" s="0" t="s">
        <v>15367</v>
      </c>
      <c r="E4596" s="0" t="s">
        <v>15368</v>
      </c>
      <c r="F4596" s="0" t="s">
        <v>15</v>
      </c>
      <c r="G4596" s="0" t="s">
        <v>36</v>
      </c>
      <c r="H4596" s="0" t="n">
        <v>20</v>
      </c>
      <c r="I4596" s="0" t="s">
        <v>15372</v>
      </c>
      <c r="J4596" s="0" t="s">
        <v>15373</v>
      </c>
      <c r="K4596" s="0" t="s">
        <v>15374</v>
      </c>
      <c r="L4596" s="0" t="str">
        <f aca="false">HYPERLINK("https://www.ncbi.nlm.nih.gov/nuccore/CP000304.1?report=graph&amp;tracks=[key:gene_model_track,Options:GeneOnly]&amp;mk=1301966:1301985|offset_0|444444,1301986:1302005|offset_20|00cc00,1302060:1302079|offset_94|444444,1302082:1302101|offset_116|444444&amp;v=1301765:1302301&amp;c=444444", "offset 20")</f>
        <v>offset 20</v>
      </c>
    </row>
    <row r="4597" customFormat="false" ht="12.8" hidden="false" customHeight="false" outlineLevel="0" collapsed="false">
      <c r="A4597" s="0" t="s">
        <v>12</v>
      </c>
      <c r="B4597" s="0" t="n">
        <v>1302059</v>
      </c>
      <c r="C4597" s="0" t="n">
        <v>1302079</v>
      </c>
      <c r="D4597" s="0" t="s">
        <v>15367</v>
      </c>
      <c r="E4597" s="0" t="s">
        <v>15368</v>
      </c>
      <c r="F4597" s="0" t="s">
        <v>15</v>
      </c>
      <c r="G4597" s="0" t="s">
        <v>26</v>
      </c>
      <c r="H4597" s="0" t="n">
        <v>94</v>
      </c>
      <c r="I4597" s="0" t="s">
        <v>15375</v>
      </c>
      <c r="J4597" s="0" t="s">
        <v>15376</v>
      </c>
      <c r="K4597" s="0" t="s">
        <v>15377</v>
      </c>
      <c r="L4597" s="0" t="str">
        <f aca="false">HYPERLINK("https://www.ncbi.nlm.nih.gov/nuccore/CP000304.1?report=graph&amp;tracks=[key:gene_model_track,Options:GeneOnly]&amp;mk=1301966:1301985|offset_0|444444,1301986:1302005|offset_20|444444,1302060:1302079|offset_94|00cc00,1302082:1302101|offset_116|444444&amp;v=1301765:1302301&amp;c=444444", "offset 94")</f>
        <v>offset 94</v>
      </c>
    </row>
    <row r="4598" customFormat="false" ht="12.8" hidden="false" customHeight="false" outlineLevel="0" collapsed="false">
      <c r="A4598" s="0" t="s">
        <v>12</v>
      </c>
      <c r="B4598" s="0" t="n">
        <v>1302081</v>
      </c>
      <c r="C4598" s="0" t="n">
        <v>1302101</v>
      </c>
      <c r="D4598" s="0" t="s">
        <v>15367</v>
      </c>
      <c r="E4598" s="0" t="s">
        <v>15368</v>
      </c>
      <c r="F4598" s="0" t="s">
        <v>15</v>
      </c>
      <c r="G4598" s="0" t="s">
        <v>26</v>
      </c>
      <c r="H4598" s="0" t="n">
        <v>116</v>
      </c>
      <c r="I4598" s="0" t="s">
        <v>15378</v>
      </c>
      <c r="J4598" s="0" t="s">
        <v>15379</v>
      </c>
      <c r="K4598" s="0" t="s">
        <v>15380</v>
      </c>
      <c r="L4598" s="0" t="str">
        <f aca="false">HYPERLINK("https://www.ncbi.nlm.nih.gov/nuccore/CP000304.1?report=graph&amp;tracks=[key:gene_model_track,Options:GeneOnly]&amp;mk=1301966:1301985|offset_0|444444,1301986:1302005|offset_20|444444,1302060:1302079|offset_94|444444,1302082:1302101|offset_116|00cc00&amp;v=1301765:1302301&amp;c=444444", "offset 116")</f>
        <v>offset 116</v>
      </c>
    </row>
    <row r="4599" customFormat="false" ht="12.8" hidden="false" customHeight="false" outlineLevel="0" collapsed="false">
      <c r="A4599" s="0" t="s">
        <v>12</v>
      </c>
      <c r="B4599" s="0" t="n">
        <v>1302514</v>
      </c>
      <c r="C4599" s="0" t="n">
        <v>1302534</v>
      </c>
      <c r="D4599" s="0" t="s">
        <v>15381</v>
      </c>
      <c r="E4599" s="0" t="s">
        <v>15382</v>
      </c>
      <c r="F4599" s="0" t="s">
        <v>15</v>
      </c>
      <c r="G4599" s="0" t="s">
        <v>16</v>
      </c>
      <c r="H4599" s="0" t="n">
        <v>7</v>
      </c>
      <c r="I4599" s="0" t="s">
        <v>15383</v>
      </c>
      <c r="J4599" s="0" t="s">
        <v>15384</v>
      </c>
      <c r="K4599" s="0" t="s">
        <v>15385</v>
      </c>
      <c r="L4599" s="0" t="str">
        <f aca="false">HYPERLINK("https://www.ncbi.nlm.nih.gov/nuccore/CP000304.1?report=graph&amp;tracks=[key:gene_model_track,Options:GeneOnly]&amp;mk=1302515:1302534|offset_7|00cc00,1302540:1302559|offset_32|444444,1302563:1302582|offset_55|444444,1302584:1302603|offset_76|444444&amp;v=1302314:1302803&amp;c=444444", "offset 7")</f>
        <v>offset 7</v>
      </c>
    </row>
    <row r="4600" customFormat="false" ht="12.8" hidden="false" customHeight="false" outlineLevel="0" collapsed="false">
      <c r="A4600" s="0" t="s">
        <v>12</v>
      </c>
      <c r="B4600" s="0" t="n">
        <v>1302539</v>
      </c>
      <c r="C4600" s="0" t="n">
        <v>1302559</v>
      </c>
      <c r="D4600" s="0" t="s">
        <v>15381</v>
      </c>
      <c r="E4600" s="0" t="s">
        <v>15382</v>
      </c>
      <c r="F4600" s="0" t="s">
        <v>15</v>
      </c>
      <c r="G4600" s="0" t="s">
        <v>26</v>
      </c>
      <c r="H4600" s="0" t="n">
        <v>32</v>
      </c>
      <c r="I4600" s="0" t="s">
        <v>15386</v>
      </c>
      <c r="J4600" s="0" t="s">
        <v>15387</v>
      </c>
      <c r="K4600" s="0" t="s">
        <v>15388</v>
      </c>
      <c r="L4600" s="0" t="str">
        <f aca="false">HYPERLINK("https://www.ncbi.nlm.nih.gov/nuccore/CP000304.1?report=graph&amp;tracks=[key:gene_model_track,Options:GeneOnly]&amp;mk=1302515:1302534|offset_7|444444,1302540:1302559|offset_32|00cc00,1302563:1302582|offset_55|444444,1302584:1302603|offset_76|444444&amp;v=1302314:1302803&amp;c=444444", "offset 32")</f>
        <v>offset 32</v>
      </c>
    </row>
    <row r="4601" customFormat="false" ht="12.8" hidden="false" customHeight="false" outlineLevel="0" collapsed="false">
      <c r="A4601" s="0" t="s">
        <v>12</v>
      </c>
      <c r="B4601" s="0" t="n">
        <v>1302562</v>
      </c>
      <c r="C4601" s="0" t="n">
        <v>1302582</v>
      </c>
      <c r="D4601" s="0" t="s">
        <v>15381</v>
      </c>
      <c r="E4601" s="0" t="s">
        <v>15382</v>
      </c>
      <c r="F4601" s="0" t="s">
        <v>15</v>
      </c>
      <c r="G4601" s="0" t="s">
        <v>32</v>
      </c>
      <c r="H4601" s="0" t="n">
        <v>55</v>
      </c>
      <c r="I4601" s="0" t="s">
        <v>15389</v>
      </c>
      <c r="J4601" s="0" t="s">
        <v>15390</v>
      </c>
      <c r="K4601" s="0" t="s">
        <v>15391</v>
      </c>
      <c r="L4601" s="0" t="str">
        <f aca="false">HYPERLINK("https://www.ncbi.nlm.nih.gov/nuccore/CP000304.1?report=graph&amp;tracks=[key:gene_model_track,Options:GeneOnly]&amp;mk=1302515:1302534|offset_7|444444,1302540:1302559|offset_32|444444,1302563:1302582|offset_55|00cc00,1302584:1302603|offset_76|444444&amp;v=1302314:1302803&amp;c=444444", "offset 55")</f>
        <v>offset 55</v>
      </c>
    </row>
    <row r="4602" customFormat="false" ht="12.8" hidden="false" customHeight="false" outlineLevel="0" collapsed="false">
      <c r="A4602" s="0" t="s">
        <v>12</v>
      </c>
      <c r="B4602" s="0" t="n">
        <v>1302583</v>
      </c>
      <c r="C4602" s="0" t="n">
        <v>1302603</v>
      </c>
      <c r="D4602" s="0" t="s">
        <v>15381</v>
      </c>
      <c r="E4602" s="0" t="s">
        <v>15382</v>
      </c>
      <c r="F4602" s="0" t="s">
        <v>15</v>
      </c>
      <c r="G4602" s="0" t="s">
        <v>32</v>
      </c>
      <c r="H4602" s="0" t="n">
        <v>76</v>
      </c>
      <c r="I4602" s="0" t="s">
        <v>15392</v>
      </c>
      <c r="J4602" s="0" t="s">
        <v>15393</v>
      </c>
      <c r="K4602" s="0" t="s">
        <v>15394</v>
      </c>
      <c r="L4602" s="0" t="str">
        <f aca="false">HYPERLINK("https://www.ncbi.nlm.nih.gov/nuccore/CP000304.1?report=graph&amp;tracks=[key:gene_model_track,Options:GeneOnly]&amp;mk=1302515:1302534|offset_7|444444,1302540:1302559|offset_32|444444,1302563:1302582|offset_55|444444,1302584:1302603|offset_76|00cc00&amp;v=1302314:1302803&amp;c=444444", "offset 76")</f>
        <v>offset 76</v>
      </c>
    </row>
    <row r="4603" customFormat="false" ht="12.8" hidden="false" customHeight="false" outlineLevel="0" collapsed="false">
      <c r="A4603" s="0" t="s">
        <v>12</v>
      </c>
      <c r="B4603" s="0" t="n">
        <v>1303312</v>
      </c>
      <c r="C4603" s="0" t="n">
        <v>1303332</v>
      </c>
      <c r="D4603" s="0" t="s">
        <v>15395</v>
      </c>
      <c r="E4603" s="0" t="s">
        <v>15396</v>
      </c>
      <c r="F4603" s="0" t="s">
        <v>15</v>
      </c>
      <c r="G4603" s="0" t="s">
        <v>32</v>
      </c>
      <c r="H4603" s="0" t="n">
        <v>7</v>
      </c>
      <c r="I4603" s="0" t="s">
        <v>15397</v>
      </c>
      <c r="J4603" s="0" t="s">
        <v>15398</v>
      </c>
      <c r="K4603" s="0" t="s">
        <v>15399</v>
      </c>
      <c r="L4603" s="0" t="str">
        <f aca="false">HYPERLINK("https://www.ncbi.nlm.nih.gov/nuccore/CP000304.1?report=graph&amp;tracks=[key:gene_model_track,Options:GeneOnly]&amp;mk=1303313:1303332|offset_7|00cc00,1303340:1303359|offset_34|444444,1303362:1303381|offset_56|444444,1303385:1303404|offset_79|444444&amp;v=1303112:1303604&amp;c=444444", "offset 7")</f>
        <v>offset 7</v>
      </c>
    </row>
    <row r="4604" customFormat="false" ht="12.8" hidden="false" customHeight="false" outlineLevel="0" collapsed="false">
      <c r="A4604" s="0" t="s">
        <v>12</v>
      </c>
      <c r="B4604" s="0" t="n">
        <v>1303339</v>
      </c>
      <c r="C4604" s="0" t="n">
        <v>1303359</v>
      </c>
      <c r="D4604" s="0" t="s">
        <v>15395</v>
      </c>
      <c r="E4604" s="0" t="s">
        <v>15396</v>
      </c>
      <c r="F4604" s="0" t="s">
        <v>15</v>
      </c>
      <c r="G4604" s="0" t="s">
        <v>16</v>
      </c>
      <c r="H4604" s="0" t="n">
        <v>34</v>
      </c>
      <c r="I4604" s="0" t="s">
        <v>15400</v>
      </c>
      <c r="J4604" s="0" t="s">
        <v>15401</v>
      </c>
      <c r="K4604" s="0" t="s">
        <v>15402</v>
      </c>
      <c r="L4604" s="0" t="str">
        <f aca="false">HYPERLINK("https://www.ncbi.nlm.nih.gov/nuccore/CP000304.1?report=graph&amp;tracks=[key:gene_model_track,Options:GeneOnly]&amp;mk=1303313:1303332|offset_7|444444,1303340:1303359|offset_34|00cc00,1303362:1303381|offset_56|444444,1303385:1303404|offset_79|444444&amp;v=1303112:1303604&amp;c=444444", "offset 34")</f>
        <v>offset 34</v>
      </c>
    </row>
    <row r="4605" customFormat="false" ht="12.8" hidden="false" customHeight="false" outlineLevel="0" collapsed="false">
      <c r="A4605" s="0" t="s">
        <v>12</v>
      </c>
      <c r="B4605" s="0" t="n">
        <v>1303361</v>
      </c>
      <c r="C4605" s="0" t="n">
        <v>1303381</v>
      </c>
      <c r="D4605" s="0" t="s">
        <v>15395</v>
      </c>
      <c r="E4605" s="0" t="s">
        <v>15396</v>
      </c>
      <c r="F4605" s="0" t="s">
        <v>15</v>
      </c>
      <c r="G4605" s="0" t="s">
        <v>36</v>
      </c>
      <c r="H4605" s="0" t="n">
        <v>56</v>
      </c>
      <c r="I4605" s="0" t="s">
        <v>15403</v>
      </c>
      <c r="J4605" s="0" t="s">
        <v>15404</v>
      </c>
      <c r="K4605" s="0" t="s">
        <v>15405</v>
      </c>
      <c r="L4605" s="0" t="str">
        <f aca="false">HYPERLINK("https://www.ncbi.nlm.nih.gov/nuccore/CP000304.1?report=graph&amp;tracks=[key:gene_model_track,Options:GeneOnly]&amp;mk=1303313:1303332|offset_7|444444,1303340:1303359|offset_34|444444,1303362:1303381|offset_56|00cc00,1303385:1303404|offset_79|444444&amp;v=1303112:1303604&amp;c=444444", "offset 56")</f>
        <v>offset 56</v>
      </c>
    </row>
    <row r="4606" customFormat="false" ht="12.8" hidden="false" customHeight="false" outlineLevel="0" collapsed="false">
      <c r="A4606" s="0" t="s">
        <v>12</v>
      </c>
      <c r="B4606" s="0" t="n">
        <v>1303384</v>
      </c>
      <c r="C4606" s="0" t="n">
        <v>1303404</v>
      </c>
      <c r="D4606" s="0" t="s">
        <v>15395</v>
      </c>
      <c r="E4606" s="0" t="s">
        <v>15396</v>
      </c>
      <c r="F4606" s="0" t="s">
        <v>15</v>
      </c>
      <c r="G4606" s="0" t="s">
        <v>16</v>
      </c>
      <c r="H4606" s="0" t="n">
        <v>79</v>
      </c>
      <c r="I4606" s="0" t="s">
        <v>15406</v>
      </c>
      <c r="J4606" s="0" t="s">
        <v>15407</v>
      </c>
      <c r="K4606" s="0" t="s">
        <v>15408</v>
      </c>
      <c r="L4606" s="0" t="str">
        <f aca="false">HYPERLINK("https://www.ncbi.nlm.nih.gov/nuccore/CP000304.1?report=graph&amp;tracks=[key:gene_model_track,Options:GeneOnly]&amp;mk=1303313:1303332|offset_7|444444,1303340:1303359|offset_34|444444,1303362:1303381|offset_56|444444,1303385:1303404|offset_79|00cc00&amp;v=1303112:1303604&amp;c=444444", "offset 79")</f>
        <v>offset 79</v>
      </c>
    </row>
    <row r="4607" customFormat="false" ht="12.8" hidden="false" customHeight="false" outlineLevel="0" collapsed="false">
      <c r="A4607" s="0" t="s">
        <v>12</v>
      </c>
      <c r="B4607" s="0" t="n">
        <v>1303838</v>
      </c>
      <c r="C4607" s="0" t="n">
        <v>1303858</v>
      </c>
      <c r="D4607" s="0" t="s">
        <v>15409</v>
      </c>
      <c r="E4607" s="0" t="s">
        <v>15410</v>
      </c>
      <c r="F4607" s="0" t="s">
        <v>15</v>
      </c>
      <c r="G4607" s="0" t="s">
        <v>32</v>
      </c>
      <c r="H4607" s="0" t="n">
        <v>1</v>
      </c>
      <c r="I4607" s="0" t="s">
        <v>15411</v>
      </c>
      <c r="J4607" s="0" t="s">
        <v>15412</v>
      </c>
      <c r="K4607" s="0" t="s">
        <v>15413</v>
      </c>
      <c r="L4607" s="0" t="str">
        <f aca="false">HYPERLINK("https://www.ncbi.nlm.nih.gov/nuccore/CP000304.1?report=graph&amp;tracks=[key:gene_model_track,Options:GeneOnly]&amp;mk=1303839:1303858|offset_1|00cc00,1303859:1303878|offset_21|444444,1303884:1303903|offset_46|444444,1303908:1303927|offset_70|444444&amp;v=1303638:1304127&amp;c=444444", "offset 1")</f>
        <v>offset 1</v>
      </c>
    </row>
    <row r="4608" customFormat="false" ht="12.8" hidden="false" customHeight="false" outlineLevel="0" collapsed="false">
      <c r="A4608" s="0" t="s">
        <v>12</v>
      </c>
      <c r="B4608" s="0" t="n">
        <v>1303858</v>
      </c>
      <c r="C4608" s="0" t="n">
        <v>1303878</v>
      </c>
      <c r="D4608" s="0" t="s">
        <v>15409</v>
      </c>
      <c r="E4608" s="0" t="s">
        <v>15410</v>
      </c>
      <c r="F4608" s="0" t="s">
        <v>15</v>
      </c>
      <c r="G4608" s="0" t="s">
        <v>36</v>
      </c>
      <c r="H4608" s="0" t="n">
        <v>21</v>
      </c>
      <c r="I4608" s="0" t="s">
        <v>15414</v>
      </c>
      <c r="J4608" s="0" t="s">
        <v>15415</v>
      </c>
      <c r="K4608" s="0" t="s">
        <v>15416</v>
      </c>
      <c r="L4608" s="0" t="str">
        <f aca="false">HYPERLINK("https://www.ncbi.nlm.nih.gov/nuccore/CP000304.1?report=graph&amp;tracks=[key:gene_model_track,Options:GeneOnly]&amp;mk=1303839:1303858|offset_1|444444,1303859:1303878|offset_21|00cc00,1303884:1303903|offset_46|444444,1303908:1303927|offset_70|444444&amp;v=1303638:1304127&amp;c=444444", "offset 21")</f>
        <v>offset 21</v>
      </c>
    </row>
    <row r="4609" customFormat="false" ht="12.8" hidden="false" customHeight="false" outlineLevel="0" collapsed="false">
      <c r="A4609" s="0" t="s">
        <v>12</v>
      </c>
      <c r="B4609" s="0" t="n">
        <v>1303883</v>
      </c>
      <c r="C4609" s="0" t="n">
        <v>1303903</v>
      </c>
      <c r="D4609" s="0" t="s">
        <v>15409</v>
      </c>
      <c r="E4609" s="0" t="s">
        <v>15410</v>
      </c>
      <c r="F4609" s="0" t="s">
        <v>15</v>
      </c>
      <c r="G4609" s="0" t="s">
        <v>36</v>
      </c>
      <c r="H4609" s="0" t="n">
        <v>46</v>
      </c>
      <c r="I4609" s="0" t="s">
        <v>15417</v>
      </c>
      <c r="J4609" s="0" t="s">
        <v>15418</v>
      </c>
      <c r="K4609" s="0" t="s">
        <v>15419</v>
      </c>
      <c r="L4609" s="0" t="str">
        <f aca="false">HYPERLINK("https://www.ncbi.nlm.nih.gov/nuccore/CP000304.1?report=graph&amp;tracks=[key:gene_model_track,Options:GeneOnly]&amp;mk=1303839:1303858|offset_1|444444,1303859:1303878|offset_21|444444,1303884:1303903|offset_46|00cc00,1303908:1303927|offset_70|444444&amp;v=1303638:1304127&amp;c=444444", "offset 46")</f>
        <v>offset 46</v>
      </c>
    </row>
    <row r="4610" customFormat="false" ht="12.8" hidden="false" customHeight="false" outlineLevel="0" collapsed="false">
      <c r="A4610" s="0" t="s">
        <v>12</v>
      </c>
      <c r="B4610" s="0" t="n">
        <v>1303907</v>
      </c>
      <c r="C4610" s="0" t="n">
        <v>1303927</v>
      </c>
      <c r="D4610" s="0" t="s">
        <v>15409</v>
      </c>
      <c r="E4610" s="0" t="s">
        <v>15410</v>
      </c>
      <c r="F4610" s="0" t="s">
        <v>15</v>
      </c>
      <c r="G4610" s="0" t="s">
        <v>16</v>
      </c>
      <c r="H4610" s="0" t="n">
        <v>70</v>
      </c>
      <c r="I4610" s="0" t="s">
        <v>15420</v>
      </c>
      <c r="J4610" s="0" t="s">
        <v>15421</v>
      </c>
      <c r="K4610" s="0" t="s">
        <v>15422</v>
      </c>
      <c r="L4610" s="0" t="str">
        <f aca="false">HYPERLINK("https://www.ncbi.nlm.nih.gov/nuccore/CP000304.1?report=graph&amp;tracks=[key:gene_model_track,Options:GeneOnly]&amp;mk=1303839:1303858|offset_1|444444,1303859:1303878|offset_21|444444,1303884:1303903|offset_46|444444,1303908:1303927|offset_70|00cc00&amp;v=1303638:1304127&amp;c=444444", "offset 70")</f>
        <v>offset 70</v>
      </c>
    </row>
    <row r="4611" customFormat="false" ht="12.8" hidden="false" customHeight="false" outlineLevel="0" collapsed="false">
      <c r="A4611" s="0" t="s">
        <v>12</v>
      </c>
      <c r="B4611" s="0" t="n">
        <v>1304880</v>
      </c>
      <c r="C4611" s="0" t="n">
        <v>1304900</v>
      </c>
      <c r="D4611" s="0" t="s">
        <v>15423</v>
      </c>
      <c r="E4611" s="0" t="s">
        <v>15424</v>
      </c>
      <c r="F4611" s="0" t="s">
        <v>15</v>
      </c>
      <c r="G4611" s="0" t="s">
        <v>36</v>
      </c>
      <c r="H4611" s="0" t="n">
        <v>0</v>
      </c>
      <c r="I4611" s="0" t="s">
        <v>15425</v>
      </c>
      <c r="J4611" s="0" t="s">
        <v>15426</v>
      </c>
      <c r="K4611" s="0" t="s">
        <v>15427</v>
      </c>
      <c r="L4611" s="0" t="str">
        <f aca="false">HYPERLINK("https://www.ncbi.nlm.nih.gov/nuccore/CP000304.1?report=graph&amp;tracks=[key:gene_model_track,Options:GeneOnly]&amp;mk=1304881:1304900|offset_0|00cc00,1304909:1304928|offset_28|444444,1304933:1304952|offset_52|444444,1304953:1304972|offset_72|444444&amp;v=1304680:1305172&amp;c=444444", "offset 0")</f>
        <v>offset 0</v>
      </c>
    </row>
    <row r="4612" customFormat="false" ht="12.8" hidden="false" customHeight="false" outlineLevel="0" collapsed="false">
      <c r="A4612" s="0" t="s">
        <v>12</v>
      </c>
      <c r="B4612" s="0" t="n">
        <v>1304908</v>
      </c>
      <c r="C4612" s="0" t="n">
        <v>1304928</v>
      </c>
      <c r="D4612" s="0" t="s">
        <v>15423</v>
      </c>
      <c r="E4612" s="0" t="s">
        <v>15424</v>
      </c>
      <c r="F4612" s="0" t="s">
        <v>15</v>
      </c>
      <c r="G4612" s="0" t="s">
        <v>16</v>
      </c>
      <c r="H4612" s="0" t="n">
        <v>28</v>
      </c>
      <c r="I4612" s="0" t="s">
        <v>15428</v>
      </c>
      <c r="J4612" s="0" t="s">
        <v>15429</v>
      </c>
      <c r="K4612" s="0" t="s">
        <v>15430</v>
      </c>
      <c r="L4612" s="0" t="str">
        <f aca="false">HYPERLINK("https://www.ncbi.nlm.nih.gov/nuccore/CP000304.1?report=graph&amp;tracks=[key:gene_model_track,Options:GeneOnly]&amp;mk=1304881:1304900|offset_0|444444,1304909:1304928|offset_28|00cc00,1304933:1304952|offset_52|444444,1304953:1304972|offset_72|444444&amp;v=1304680:1305172&amp;c=444444", "offset 28")</f>
        <v>offset 28</v>
      </c>
    </row>
    <row r="4613" customFormat="false" ht="12.8" hidden="false" customHeight="false" outlineLevel="0" collapsed="false">
      <c r="A4613" s="0" t="s">
        <v>12</v>
      </c>
      <c r="B4613" s="0" t="n">
        <v>1304932</v>
      </c>
      <c r="C4613" s="0" t="n">
        <v>1304952</v>
      </c>
      <c r="D4613" s="0" t="s">
        <v>15423</v>
      </c>
      <c r="E4613" s="0" t="s">
        <v>15424</v>
      </c>
      <c r="F4613" s="0" t="s">
        <v>15</v>
      </c>
      <c r="G4613" s="0" t="s">
        <v>16</v>
      </c>
      <c r="H4613" s="0" t="n">
        <v>52</v>
      </c>
      <c r="I4613" s="0" t="s">
        <v>15431</v>
      </c>
      <c r="J4613" s="0" t="s">
        <v>15432</v>
      </c>
      <c r="K4613" s="0" t="s">
        <v>15433</v>
      </c>
      <c r="L4613" s="0" t="str">
        <f aca="false">HYPERLINK("https://www.ncbi.nlm.nih.gov/nuccore/CP000304.1?report=graph&amp;tracks=[key:gene_model_track,Options:GeneOnly]&amp;mk=1304881:1304900|offset_0|444444,1304909:1304928|offset_28|444444,1304933:1304952|offset_52|00cc00,1304953:1304972|offset_72|444444&amp;v=1304680:1305172&amp;c=444444", "offset 52")</f>
        <v>offset 52</v>
      </c>
    </row>
    <row r="4614" customFormat="false" ht="12.8" hidden="false" customHeight="false" outlineLevel="0" collapsed="false">
      <c r="A4614" s="0" t="s">
        <v>12</v>
      </c>
      <c r="B4614" s="0" t="n">
        <v>1304952</v>
      </c>
      <c r="C4614" s="0" t="n">
        <v>1304972</v>
      </c>
      <c r="D4614" s="0" t="s">
        <v>15423</v>
      </c>
      <c r="E4614" s="0" t="s">
        <v>15424</v>
      </c>
      <c r="F4614" s="0" t="s">
        <v>15</v>
      </c>
      <c r="G4614" s="0" t="s">
        <v>16</v>
      </c>
      <c r="H4614" s="0" t="n">
        <v>72</v>
      </c>
      <c r="I4614" s="0" t="s">
        <v>15434</v>
      </c>
      <c r="J4614" s="0" t="s">
        <v>15435</v>
      </c>
      <c r="K4614" s="0" t="s">
        <v>15436</v>
      </c>
      <c r="L4614" s="0" t="str">
        <f aca="false">HYPERLINK("https://www.ncbi.nlm.nih.gov/nuccore/CP000304.1?report=graph&amp;tracks=[key:gene_model_track,Options:GeneOnly]&amp;mk=1304881:1304900|offset_0|444444,1304909:1304928|offset_28|444444,1304933:1304952|offset_52|444444,1304953:1304972|offset_72|00cc00&amp;v=1304680:1305172&amp;c=444444", "offset 72")</f>
        <v>offset 72</v>
      </c>
    </row>
    <row r="4615" customFormat="false" ht="12.8" hidden="false" customHeight="false" outlineLevel="0" collapsed="false">
      <c r="A4615" s="0" t="s">
        <v>12</v>
      </c>
      <c r="B4615" s="0" t="n">
        <v>1305732</v>
      </c>
      <c r="C4615" s="0" t="n">
        <v>1305752</v>
      </c>
      <c r="D4615" s="0" t="s">
        <v>15437</v>
      </c>
      <c r="E4615" s="0" t="s">
        <v>89</v>
      </c>
      <c r="F4615" s="0" t="s">
        <v>15</v>
      </c>
      <c r="G4615" s="0" t="s">
        <v>26</v>
      </c>
      <c r="H4615" s="0" t="n">
        <v>19</v>
      </c>
      <c r="I4615" s="0" t="s">
        <v>15438</v>
      </c>
      <c r="J4615" s="0" t="s">
        <v>15439</v>
      </c>
      <c r="K4615" s="0" t="s">
        <v>15440</v>
      </c>
      <c r="L4615" s="0" t="str">
        <f aca="false">HYPERLINK("https://www.ncbi.nlm.nih.gov/nuccore/CP000304.1?report=graph&amp;tracks=[key:gene_model_track,Options:GeneOnly]&amp;mk=1305733:1305752|offset_19|00cc00,1305769:1305788|offset_55|444444,1305812:1305831|offset_98|444444,1305841:1305860|offset_127|444444&amp;v=1305532:1306060&amp;c=444444", "offset 19")</f>
        <v>offset 19</v>
      </c>
    </row>
    <row r="4616" customFormat="false" ht="12.8" hidden="false" customHeight="false" outlineLevel="0" collapsed="false">
      <c r="A4616" s="0" t="s">
        <v>12</v>
      </c>
      <c r="B4616" s="0" t="n">
        <v>1305768</v>
      </c>
      <c r="C4616" s="0" t="n">
        <v>1305788</v>
      </c>
      <c r="D4616" s="0" t="s">
        <v>15437</v>
      </c>
      <c r="E4616" s="0" t="s">
        <v>89</v>
      </c>
      <c r="F4616" s="0" t="s">
        <v>15</v>
      </c>
      <c r="G4616" s="0" t="s">
        <v>16</v>
      </c>
      <c r="H4616" s="0" t="n">
        <v>55</v>
      </c>
      <c r="I4616" s="0" t="s">
        <v>15441</v>
      </c>
      <c r="J4616" s="0" t="s">
        <v>15442</v>
      </c>
      <c r="K4616" s="0" t="s">
        <v>15443</v>
      </c>
      <c r="L4616" s="0" t="str">
        <f aca="false">HYPERLINK("https://www.ncbi.nlm.nih.gov/nuccore/CP000304.1?report=graph&amp;tracks=[key:gene_model_track,Options:GeneOnly]&amp;mk=1305733:1305752|offset_19|444444,1305769:1305788|offset_55|00cc00,1305812:1305831|offset_98|444444,1305841:1305860|offset_127|444444&amp;v=1305532:1306060&amp;c=444444", "offset 55")</f>
        <v>offset 55</v>
      </c>
    </row>
    <row r="4617" customFormat="false" ht="12.8" hidden="false" customHeight="false" outlineLevel="0" collapsed="false">
      <c r="A4617" s="0" t="s">
        <v>12</v>
      </c>
      <c r="B4617" s="0" t="n">
        <v>1305811</v>
      </c>
      <c r="C4617" s="0" t="n">
        <v>1305831</v>
      </c>
      <c r="D4617" s="0" t="s">
        <v>15437</v>
      </c>
      <c r="E4617" s="0" t="s">
        <v>89</v>
      </c>
      <c r="F4617" s="0" t="s">
        <v>15</v>
      </c>
      <c r="G4617" s="0" t="s">
        <v>16</v>
      </c>
      <c r="H4617" s="0" t="n">
        <v>98</v>
      </c>
      <c r="I4617" s="0" t="s">
        <v>15444</v>
      </c>
      <c r="J4617" s="0" t="s">
        <v>15445</v>
      </c>
      <c r="K4617" s="0" t="s">
        <v>15446</v>
      </c>
      <c r="L4617" s="0" t="str">
        <f aca="false">HYPERLINK("https://www.ncbi.nlm.nih.gov/nuccore/CP000304.1?report=graph&amp;tracks=[key:gene_model_track,Options:GeneOnly]&amp;mk=1305733:1305752|offset_19|444444,1305769:1305788|offset_55|444444,1305812:1305831|offset_98|00cc00,1305841:1305860|offset_127|444444&amp;v=1305532:1306060&amp;c=444444", "offset 98")</f>
        <v>offset 98</v>
      </c>
    </row>
    <row r="4618" customFormat="false" ht="12.8" hidden="false" customHeight="false" outlineLevel="0" collapsed="false">
      <c r="A4618" s="0" t="s">
        <v>12</v>
      </c>
      <c r="B4618" s="0" t="n">
        <v>1305840</v>
      </c>
      <c r="C4618" s="0" t="n">
        <v>1305860</v>
      </c>
      <c r="D4618" s="0" t="s">
        <v>15437</v>
      </c>
      <c r="E4618" s="0" t="s">
        <v>89</v>
      </c>
      <c r="F4618" s="0" t="s">
        <v>15</v>
      </c>
      <c r="G4618" s="0" t="s">
        <v>32</v>
      </c>
      <c r="H4618" s="0" t="n">
        <v>127</v>
      </c>
      <c r="I4618" s="0" t="s">
        <v>15447</v>
      </c>
      <c r="J4618" s="0" t="s">
        <v>15448</v>
      </c>
      <c r="K4618" s="0" t="s">
        <v>15449</v>
      </c>
      <c r="L4618" s="0" t="str">
        <f aca="false">HYPERLINK("https://www.ncbi.nlm.nih.gov/nuccore/CP000304.1?report=graph&amp;tracks=[key:gene_model_track,Options:GeneOnly]&amp;mk=1305733:1305752|offset_19|444444,1305769:1305788|offset_55|444444,1305812:1305831|offset_98|444444,1305841:1305860|offset_127|00cc00&amp;v=1305532:1306060&amp;c=444444", "offset 127")</f>
        <v>offset 127</v>
      </c>
    </row>
    <row r="4619" customFormat="false" ht="12.8" hidden="false" customHeight="false" outlineLevel="0" collapsed="false">
      <c r="A4619" s="0" t="s">
        <v>12</v>
      </c>
      <c r="B4619" s="0" t="n">
        <v>1306313</v>
      </c>
      <c r="C4619" s="0" t="n">
        <v>1306333</v>
      </c>
      <c r="D4619" s="0" t="s">
        <v>15450</v>
      </c>
      <c r="E4619" s="0" t="s">
        <v>15451</v>
      </c>
      <c r="F4619" s="0" t="s">
        <v>15</v>
      </c>
      <c r="G4619" s="0" t="s">
        <v>16</v>
      </c>
      <c r="H4619" s="0" t="n">
        <v>0</v>
      </c>
      <c r="I4619" s="0" t="s">
        <v>15452</v>
      </c>
      <c r="J4619" s="0" t="s">
        <v>15453</v>
      </c>
      <c r="K4619" s="0" t="s">
        <v>15454</v>
      </c>
      <c r="L4619" s="0" t="str">
        <f aca="false">HYPERLINK("https://www.ncbi.nlm.nih.gov/nuccore/CP000304.1?report=graph&amp;tracks=[key:gene_model_track,Options:GeneOnly]&amp;mk=1306314:1306333|offset_0|00cc00,1306345:1306364|offset_31|444444,1306384:1306403|offset_70|444444,1306405:1306424|offset_91|444444&amp;v=1306113:1306624&amp;c=444444", "offset 0")</f>
        <v>offset 0</v>
      </c>
    </row>
    <row r="4620" customFormat="false" ht="12.8" hidden="false" customHeight="false" outlineLevel="0" collapsed="false">
      <c r="A4620" s="0" t="s">
        <v>12</v>
      </c>
      <c r="B4620" s="0" t="n">
        <v>1306344</v>
      </c>
      <c r="C4620" s="0" t="n">
        <v>1306364</v>
      </c>
      <c r="D4620" s="0" t="s">
        <v>15450</v>
      </c>
      <c r="E4620" s="0" t="s">
        <v>15451</v>
      </c>
      <c r="F4620" s="0" t="s">
        <v>15</v>
      </c>
      <c r="G4620" s="0" t="s">
        <v>16</v>
      </c>
      <c r="H4620" s="0" t="n">
        <v>31</v>
      </c>
      <c r="I4620" s="0" t="s">
        <v>15455</v>
      </c>
      <c r="J4620" s="0" t="s">
        <v>15456</v>
      </c>
      <c r="K4620" s="0" t="s">
        <v>15457</v>
      </c>
      <c r="L4620" s="0" t="str">
        <f aca="false">HYPERLINK("https://www.ncbi.nlm.nih.gov/nuccore/CP000304.1?report=graph&amp;tracks=[key:gene_model_track,Options:GeneOnly]&amp;mk=1306314:1306333|offset_0|444444,1306345:1306364|offset_31|00cc00,1306384:1306403|offset_70|444444,1306405:1306424|offset_91|444444&amp;v=1306113:1306624&amp;c=444444", "offset 31")</f>
        <v>offset 31</v>
      </c>
    </row>
    <row r="4621" customFormat="false" ht="12.8" hidden="false" customHeight="false" outlineLevel="0" collapsed="false">
      <c r="A4621" s="0" t="s">
        <v>12</v>
      </c>
      <c r="B4621" s="0" t="n">
        <v>1306383</v>
      </c>
      <c r="C4621" s="0" t="n">
        <v>1306403</v>
      </c>
      <c r="D4621" s="0" t="s">
        <v>15450</v>
      </c>
      <c r="E4621" s="0" t="s">
        <v>15451</v>
      </c>
      <c r="F4621" s="0" t="s">
        <v>15</v>
      </c>
      <c r="G4621" s="0" t="s">
        <v>16</v>
      </c>
      <c r="H4621" s="0" t="n">
        <v>70</v>
      </c>
      <c r="I4621" s="0" t="s">
        <v>15458</v>
      </c>
      <c r="J4621" s="0" t="s">
        <v>15459</v>
      </c>
      <c r="K4621" s="0" t="s">
        <v>15460</v>
      </c>
      <c r="L4621" s="0" t="str">
        <f aca="false">HYPERLINK("https://www.ncbi.nlm.nih.gov/nuccore/CP000304.1?report=graph&amp;tracks=[key:gene_model_track,Options:GeneOnly]&amp;mk=1306314:1306333|offset_0|444444,1306345:1306364|offset_31|444444,1306384:1306403|offset_70|00cc00,1306405:1306424|offset_91|444444&amp;v=1306113:1306624&amp;c=444444", "offset 70")</f>
        <v>offset 70</v>
      </c>
    </row>
    <row r="4622" customFormat="false" ht="12.8" hidden="false" customHeight="false" outlineLevel="0" collapsed="false">
      <c r="A4622" s="0" t="s">
        <v>12</v>
      </c>
      <c r="B4622" s="0" t="n">
        <v>1306404</v>
      </c>
      <c r="C4622" s="0" t="n">
        <v>1306424</v>
      </c>
      <c r="D4622" s="0" t="s">
        <v>15450</v>
      </c>
      <c r="E4622" s="0" t="s">
        <v>15451</v>
      </c>
      <c r="F4622" s="0" t="s">
        <v>15</v>
      </c>
      <c r="G4622" s="0" t="s">
        <v>16</v>
      </c>
      <c r="H4622" s="0" t="n">
        <v>91</v>
      </c>
      <c r="I4622" s="0" t="s">
        <v>15461</v>
      </c>
      <c r="J4622" s="0" t="s">
        <v>15462</v>
      </c>
      <c r="K4622" s="0" t="s">
        <v>15463</v>
      </c>
      <c r="L4622" s="0" t="str">
        <f aca="false">HYPERLINK("https://www.ncbi.nlm.nih.gov/nuccore/CP000304.1?report=graph&amp;tracks=[key:gene_model_track,Options:GeneOnly]&amp;mk=1306314:1306333|offset_0|444444,1306345:1306364|offset_31|444444,1306384:1306403|offset_70|444444,1306405:1306424|offset_91|00cc00&amp;v=1306113:1306624&amp;c=444444", "offset 91")</f>
        <v>offset 91</v>
      </c>
    </row>
    <row r="4623" customFormat="false" ht="12.8" hidden="false" customHeight="false" outlineLevel="0" collapsed="false">
      <c r="A4623" s="0" t="s">
        <v>12</v>
      </c>
      <c r="B4623" s="0" t="n">
        <v>1307699</v>
      </c>
      <c r="C4623" s="0" t="n">
        <v>1307719</v>
      </c>
      <c r="D4623" s="0" t="s">
        <v>15464</v>
      </c>
      <c r="E4623" s="0" t="s">
        <v>15465</v>
      </c>
      <c r="F4623" s="0" t="s">
        <v>15</v>
      </c>
      <c r="G4623" s="0" t="s">
        <v>36</v>
      </c>
      <c r="H4623" s="0" t="n">
        <v>19</v>
      </c>
      <c r="I4623" s="0" t="s">
        <v>15466</v>
      </c>
      <c r="J4623" s="0" t="s">
        <v>15467</v>
      </c>
      <c r="K4623" s="0" t="s">
        <v>15468</v>
      </c>
      <c r="L4623" s="0" t="str">
        <f aca="false">HYPERLINK("https://www.ncbi.nlm.nih.gov/nuccore/CP000304.1?report=graph&amp;tracks=[key:gene_model_track,Options:GeneOnly]&amp;mk=1307700:1307719|offset_19|00cc00,1307745:1307764|offset_64|444444,1307767:1307786|offset_86|444444,1307789:1307808|offset_108|444444&amp;v=1307499:1308008&amp;c=444444", "offset 19")</f>
        <v>offset 19</v>
      </c>
    </row>
    <row r="4624" customFormat="false" ht="12.8" hidden="false" customHeight="false" outlineLevel="0" collapsed="false">
      <c r="A4624" s="0" t="s">
        <v>12</v>
      </c>
      <c r="B4624" s="0" t="n">
        <v>1307744</v>
      </c>
      <c r="C4624" s="0" t="n">
        <v>1307764</v>
      </c>
      <c r="D4624" s="0" t="s">
        <v>15464</v>
      </c>
      <c r="E4624" s="0" t="s">
        <v>15465</v>
      </c>
      <c r="F4624" s="0" t="s">
        <v>15</v>
      </c>
      <c r="G4624" s="0" t="s">
        <v>16</v>
      </c>
      <c r="H4624" s="0" t="n">
        <v>64</v>
      </c>
      <c r="I4624" s="0" t="s">
        <v>15469</v>
      </c>
      <c r="J4624" s="0" t="s">
        <v>15470</v>
      </c>
      <c r="K4624" s="0" t="s">
        <v>15471</v>
      </c>
      <c r="L4624" s="0" t="str">
        <f aca="false">HYPERLINK("https://www.ncbi.nlm.nih.gov/nuccore/CP000304.1?report=graph&amp;tracks=[key:gene_model_track,Options:GeneOnly]&amp;mk=1307700:1307719|offset_19|444444,1307745:1307764|offset_64|00cc00,1307767:1307786|offset_86|444444,1307789:1307808|offset_108|444444&amp;v=1307499:1308008&amp;c=444444", "offset 64")</f>
        <v>offset 64</v>
      </c>
    </row>
    <row r="4625" customFormat="false" ht="12.8" hidden="false" customHeight="false" outlineLevel="0" collapsed="false">
      <c r="A4625" s="0" t="s">
        <v>12</v>
      </c>
      <c r="B4625" s="0" t="n">
        <v>1307766</v>
      </c>
      <c r="C4625" s="0" t="n">
        <v>1307786</v>
      </c>
      <c r="D4625" s="0" t="s">
        <v>15464</v>
      </c>
      <c r="E4625" s="0" t="s">
        <v>15465</v>
      </c>
      <c r="F4625" s="0" t="s">
        <v>15</v>
      </c>
      <c r="G4625" s="0" t="s">
        <v>26</v>
      </c>
      <c r="H4625" s="0" t="n">
        <v>86</v>
      </c>
      <c r="I4625" s="0" t="s">
        <v>15472</v>
      </c>
      <c r="J4625" s="0" t="s">
        <v>15473</v>
      </c>
      <c r="K4625" s="0" t="s">
        <v>15474</v>
      </c>
      <c r="L4625" s="0" t="str">
        <f aca="false">HYPERLINK("https://www.ncbi.nlm.nih.gov/nuccore/CP000304.1?report=graph&amp;tracks=[key:gene_model_track,Options:GeneOnly]&amp;mk=1307700:1307719|offset_19|444444,1307745:1307764|offset_64|444444,1307767:1307786|offset_86|00cc00,1307789:1307808|offset_108|444444&amp;v=1307499:1308008&amp;c=444444", "offset 86")</f>
        <v>offset 86</v>
      </c>
    </row>
    <row r="4626" customFormat="false" ht="12.8" hidden="false" customHeight="false" outlineLevel="0" collapsed="false">
      <c r="A4626" s="0" t="s">
        <v>12</v>
      </c>
      <c r="B4626" s="0" t="n">
        <v>1307788</v>
      </c>
      <c r="C4626" s="0" t="n">
        <v>1307808</v>
      </c>
      <c r="D4626" s="0" t="s">
        <v>15464</v>
      </c>
      <c r="E4626" s="0" t="s">
        <v>15465</v>
      </c>
      <c r="F4626" s="0" t="s">
        <v>15</v>
      </c>
      <c r="G4626" s="0" t="s">
        <v>16</v>
      </c>
      <c r="H4626" s="0" t="n">
        <v>108</v>
      </c>
      <c r="I4626" s="0" t="s">
        <v>15475</v>
      </c>
      <c r="J4626" s="0" t="s">
        <v>15476</v>
      </c>
      <c r="K4626" s="0" t="s">
        <v>15477</v>
      </c>
      <c r="L4626" s="0" t="str">
        <f aca="false">HYPERLINK("https://www.ncbi.nlm.nih.gov/nuccore/CP000304.1?report=graph&amp;tracks=[key:gene_model_track,Options:GeneOnly]&amp;mk=1307700:1307719|offset_19|444444,1307745:1307764|offset_64|444444,1307767:1307786|offset_86|444444,1307789:1307808|offset_108|00cc00&amp;v=1307499:1308008&amp;c=444444", "offset 108")</f>
        <v>offset 108</v>
      </c>
    </row>
    <row r="4627" customFormat="false" ht="12.8" hidden="false" customHeight="false" outlineLevel="0" collapsed="false">
      <c r="A4627" s="0" t="s">
        <v>12</v>
      </c>
      <c r="B4627" s="0" t="n">
        <v>1309782</v>
      </c>
      <c r="C4627" s="0" t="n">
        <v>1309802</v>
      </c>
      <c r="D4627" s="0" t="s">
        <v>15478</v>
      </c>
      <c r="E4627" s="0" t="s">
        <v>15479</v>
      </c>
      <c r="F4627" s="0" t="s">
        <v>90</v>
      </c>
      <c r="G4627" s="0" t="s">
        <v>36</v>
      </c>
      <c r="H4627" s="0" t="n">
        <v>0</v>
      </c>
      <c r="I4627" s="0" t="s">
        <v>15480</v>
      </c>
      <c r="J4627" s="0" t="s">
        <v>15481</v>
      </c>
      <c r="K4627" s="0" t="s">
        <v>15482</v>
      </c>
      <c r="L4627" s="0" t="str">
        <f aca="false">HYPERLINK("https://www.ncbi.nlm.nih.gov/nuccore/CP000304.1?report=graph&amp;tracks=[key:gene_model_track,Options:GeneOnly]&amp;mk=1309783:1309802|offset_0|00cc00,1309757:1309776|offset_26|444444,1309689:1309708|offset_94|444444,1309658:1309677|offset_125|444444&amp;v=1309582:1309877&amp;c=444444", "offset 0")</f>
        <v>offset 0</v>
      </c>
    </row>
    <row r="4628" customFormat="false" ht="12.8" hidden="false" customHeight="false" outlineLevel="0" collapsed="false">
      <c r="A4628" s="0" t="s">
        <v>12</v>
      </c>
      <c r="B4628" s="0" t="n">
        <v>1309756</v>
      </c>
      <c r="C4628" s="0" t="n">
        <v>1309776</v>
      </c>
      <c r="D4628" s="0" t="s">
        <v>15478</v>
      </c>
      <c r="E4628" s="0" t="s">
        <v>15479</v>
      </c>
      <c r="F4628" s="0" t="s">
        <v>90</v>
      </c>
      <c r="G4628" s="0" t="s">
        <v>26</v>
      </c>
      <c r="H4628" s="0" t="n">
        <v>26</v>
      </c>
      <c r="I4628" s="0" t="s">
        <v>15483</v>
      </c>
      <c r="J4628" s="0" t="s">
        <v>15484</v>
      </c>
      <c r="K4628" s="0" t="s">
        <v>15485</v>
      </c>
      <c r="L4628" s="0" t="str">
        <f aca="false">HYPERLINK("https://www.ncbi.nlm.nih.gov/nuccore/CP000304.1?report=graph&amp;tracks=[key:gene_model_track,Options:GeneOnly]&amp;mk=1309783:1309802|offset_0|444444,1309757:1309776|offset_26|00cc00,1309689:1309708|offset_94|444444,1309658:1309677|offset_125|444444&amp;v=1309582:1309877&amp;c=444444", "offset 26")</f>
        <v>offset 26</v>
      </c>
    </row>
    <row r="4629" customFormat="false" ht="12.8" hidden="false" customHeight="false" outlineLevel="0" collapsed="false">
      <c r="A4629" s="0" t="s">
        <v>12</v>
      </c>
      <c r="B4629" s="0" t="n">
        <v>1309688</v>
      </c>
      <c r="C4629" s="0" t="n">
        <v>1309708</v>
      </c>
      <c r="D4629" s="0" t="s">
        <v>15478</v>
      </c>
      <c r="E4629" s="0" t="s">
        <v>15479</v>
      </c>
      <c r="F4629" s="0" t="s">
        <v>90</v>
      </c>
      <c r="G4629" s="0" t="s">
        <v>16</v>
      </c>
      <c r="H4629" s="0" t="n">
        <v>94</v>
      </c>
      <c r="I4629" s="0" t="s">
        <v>15486</v>
      </c>
      <c r="J4629" s="0" t="s">
        <v>15487</v>
      </c>
      <c r="K4629" s="0" t="s">
        <v>15488</v>
      </c>
      <c r="L4629" s="0" t="str">
        <f aca="false">HYPERLINK("https://www.ncbi.nlm.nih.gov/nuccore/CP000304.1?report=graph&amp;tracks=[key:gene_model_track,Options:GeneOnly]&amp;mk=1309783:1309802|offset_0|444444,1309757:1309776|offset_26|444444,1309689:1309708|offset_94|00cc00,1309658:1309677|offset_125|444444&amp;v=1309582:1309877&amp;c=444444", "offset 94")</f>
        <v>offset 94</v>
      </c>
    </row>
    <row r="4630" customFormat="false" ht="12.8" hidden="false" customHeight="false" outlineLevel="0" collapsed="false">
      <c r="A4630" s="0" t="s">
        <v>12</v>
      </c>
      <c r="B4630" s="0" t="n">
        <v>1309657</v>
      </c>
      <c r="C4630" s="0" t="n">
        <v>1309677</v>
      </c>
      <c r="D4630" s="0" t="s">
        <v>15478</v>
      </c>
      <c r="E4630" s="0" t="s">
        <v>15479</v>
      </c>
      <c r="F4630" s="0" t="s">
        <v>90</v>
      </c>
      <c r="G4630" s="0" t="s">
        <v>26</v>
      </c>
      <c r="H4630" s="0" t="n">
        <v>125</v>
      </c>
      <c r="I4630" s="0" t="s">
        <v>15489</v>
      </c>
      <c r="J4630" s="0" t="s">
        <v>15490</v>
      </c>
      <c r="K4630" s="0" t="s">
        <v>15491</v>
      </c>
      <c r="L4630" s="0" t="str">
        <f aca="false">HYPERLINK("https://www.ncbi.nlm.nih.gov/nuccore/CP000304.1?report=graph&amp;tracks=[key:gene_model_track,Options:GeneOnly]&amp;mk=1309783:1309802|offset_0|444444,1309757:1309776|offset_26|444444,1309689:1309708|offset_94|444444,1309658:1309677|offset_125|00cc00&amp;v=1309582:1309877&amp;c=444444", "offset 125")</f>
        <v>offset 125</v>
      </c>
    </row>
    <row r="4631" customFormat="false" ht="12.8" hidden="false" customHeight="false" outlineLevel="0" collapsed="false">
      <c r="A4631" s="0" t="s">
        <v>12</v>
      </c>
      <c r="B4631" s="0" t="n">
        <v>1310878</v>
      </c>
      <c r="C4631" s="0" t="n">
        <v>1310898</v>
      </c>
      <c r="D4631" s="0" t="s">
        <v>15492</v>
      </c>
      <c r="E4631" s="0" t="s">
        <v>15493</v>
      </c>
      <c r="F4631" s="0" t="s">
        <v>90</v>
      </c>
      <c r="G4631" s="0" t="s">
        <v>16</v>
      </c>
      <c r="H4631" s="0" t="n">
        <v>7</v>
      </c>
      <c r="I4631" s="0" t="s">
        <v>15494</v>
      </c>
      <c r="J4631" s="0" t="s">
        <v>15495</v>
      </c>
      <c r="K4631" s="0" t="s">
        <v>15496</v>
      </c>
      <c r="L4631" s="0" t="str">
        <f aca="false">HYPERLINK("https://www.ncbi.nlm.nih.gov/nuccore/CP000304.1?report=graph&amp;tracks=[key:gene_model_track,Options:GeneOnly]&amp;mk=1310879:1310898|offset_7|00cc00,1310857:1310876|offset_29|444444,1310836:1310855|offset_50|444444,1310814:1310833|offset_72|444444&amp;v=1310678:1311033&amp;c=444444", "offset 7")</f>
        <v>offset 7</v>
      </c>
    </row>
    <row r="4632" customFormat="false" ht="12.8" hidden="false" customHeight="false" outlineLevel="0" collapsed="false">
      <c r="A4632" s="0" t="s">
        <v>12</v>
      </c>
      <c r="B4632" s="0" t="n">
        <v>1310856</v>
      </c>
      <c r="C4632" s="0" t="n">
        <v>1310876</v>
      </c>
      <c r="D4632" s="0" t="s">
        <v>15492</v>
      </c>
      <c r="E4632" s="0" t="s">
        <v>15493</v>
      </c>
      <c r="F4632" s="0" t="s">
        <v>90</v>
      </c>
      <c r="G4632" s="0" t="s">
        <v>36</v>
      </c>
      <c r="H4632" s="0" t="n">
        <v>29</v>
      </c>
      <c r="I4632" s="0" t="s">
        <v>15497</v>
      </c>
      <c r="J4632" s="0" t="s">
        <v>15498</v>
      </c>
      <c r="K4632" s="0" t="s">
        <v>15499</v>
      </c>
      <c r="L4632" s="0" t="str">
        <f aca="false">HYPERLINK("https://www.ncbi.nlm.nih.gov/nuccore/CP000304.1?report=graph&amp;tracks=[key:gene_model_track,Options:GeneOnly]&amp;mk=1310879:1310898|offset_7|444444,1310857:1310876|offset_29|00cc00,1310836:1310855|offset_50|444444,1310814:1310833|offset_72|444444&amp;v=1310678:1311033&amp;c=444444", "offset 29")</f>
        <v>offset 29</v>
      </c>
    </row>
    <row r="4633" customFormat="false" ht="12.8" hidden="false" customHeight="false" outlineLevel="0" collapsed="false">
      <c r="A4633" s="0" t="s">
        <v>12</v>
      </c>
      <c r="B4633" s="0" t="n">
        <v>1310835</v>
      </c>
      <c r="C4633" s="0" t="n">
        <v>1310855</v>
      </c>
      <c r="D4633" s="0" t="s">
        <v>15492</v>
      </c>
      <c r="E4633" s="0" t="s">
        <v>15493</v>
      </c>
      <c r="F4633" s="0" t="s">
        <v>90</v>
      </c>
      <c r="G4633" s="0" t="s">
        <v>26</v>
      </c>
      <c r="H4633" s="0" t="n">
        <v>50</v>
      </c>
      <c r="I4633" s="0" t="s">
        <v>15500</v>
      </c>
      <c r="J4633" s="0" t="s">
        <v>15501</v>
      </c>
      <c r="K4633" s="0" t="s">
        <v>15502</v>
      </c>
      <c r="L4633" s="0" t="str">
        <f aca="false">HYPERLINK("https://www.ncbi.nlm.nih.gov/nuccore/CP000304.1?report=graph&amp;tracks=[key:gene_model_track,Options:GeneOnly]&amp;mk=1310879:1310898|offset_7|444444,1310857:1310876|offset_29|444444,1310836:1310855|offset_50|00cc00,1310814:1310833|offset_72|444444&amp;v=1310678:1311033&amp;c=444444", "offset 50")</f>
        <v>offset 50</v>
      </c>
    </row>
    <row r="4634" customFormat="false" ht="12.8" hidden="false" customHeight="false" outlineLevel="0" collapsed="false">
      <c r="A4634" s="0" t="s">
        <v>12</v>
      </c>
      <c r="B4634" s="0" t="n">
        <v>1310813</v>
      </c>
      <c r="C4634" s="0" t="n">
        <v>1310833</v>
      </c>
      <c r="D4634" s="0" t="s">
        <v>15492</v>
      </c>
      <c r="E4634" s="0" t="s">
        <v>15493</v>
      </c>
      <c r="F4634" s="0" t="s">
        <v>90</v>
      </c>
      <c r="G4634" s="0" t="s">
        <v>36</v>
      </c>
      <c r="H4634" s="0" t="n">
        <v>72</v>
      </c>
      <c r="I4634" s="0" t="s">
        <v>15503</v>
      </c>
      <c r="J4634" s="0" t="s">
        <v>15504</v>
      </c>
      <c r="K4634" s="0" t="s">
        <v>15505</v>
      </c>
      <c r="L4634" s="0" t="str">
        <f aca="false">HYPERLINK("https://www.ncbi.nlm.nih.gov/nuccore/CP000304.1?report=graph&amp;tracks=[key:gene_model_track,Options:GeneOnly]&amp;mk=1310879:1310898|offset_7|444444,1310857:1310876|offset_29|444444,1310836:1310855|offset_50|444444,1310814:1310833|offset_72|00cc00&amp;v=1310678:1311033&amp;c=444444", "offset 72")</f>
        <v>offset 72</v>
      </c>
    </row>
    <row r="4635" customFormat="false" ht="12.8" hidden="false" customHeight="false" outlineLevel="0" collapsed="false">
      <c r="A4635" s="0" t="s">
        <v>12</v>
      </c>
      <c r="B4635" s="0" t="n">
        <v>1310947</v>
      </c>
      <c r="C4635" s="0" t="n">
        <v>1310967</v>
      </c>
      <c r="D4635" s="0" t="s">
        <v>15506</v>
      </c>
      <c r="E4635" s="0" t="s">
        <v>89</v>
      </c>
      <c r="F4635" s="0" t="s">
        <v>15</v>
      </c>
      <c r="G4635" s="0" t="s">
        <v>16</v>
      </c>
      <c r="H4635" s="0" t="n">
        <v>17</v>
      </c>
      <c r="I4635" s="0" t="s">
        <v>15507</v>
      </c>
      <c r="J4635" s="0" t="s">
        <v>15508</v>
      </c>
      <c r="K4635" s="0" t="s">
        <v>15509</v>
      </c>
      <c r="L4635" s="0" t="str">
        <f aca="false">HYPERLINK("https://www.ncbi.nlm.nih.gov/nuccore/CP000304.1?report=graph&amp;tracks=[key:gene_model_track,Options:GeneOnly]&amp;mk=1310948:1310967|offset_17|00cc00,1310970:1310989|offset_39|444444,1310995:1311014|offset_64|444444,1311025:1311044|offset_94|444444&amp;v=1310747:1311244&amp;c=444444", "offset 17")</f>
        <v>offset 17</v>
      </c>
    </row>
    <row r="4636" customFormat="false" ht="12.8" hidden="false" customHeight="false" outlineLevel="0" collapsed="false">
      <c r="A4636" s="0" t="s">
        <v>12</v>
      </c>
      <c r="B4636" s="0" t="n">
        <v>1310969</v>
      </c>
      <c r="C4636" s="0" t="n">
        <v>1310989</v>
      </c>
      <c r="D4636" s="0" t="s">
        <v>15506</v>
      </c>
      <c r="E4636" s="0" t="s">
        <v>89</v>
      </c>
      <c r="F4636" s="0" t="s">
        <v>15</v>
      </c>
      <c r="G4636" s="0" t="s">
        <v>26</v>
      </c>
      <c r="H4636" s="0" t="n">
        <v>39</v>
      </c>
      <c r="I4636" s="0" t="s">
        <v>15510</v>
      </c>
      <c r="J4636" s="0" t="s">
        <v>15511</v>
      </c>
      <c r="K4636" s="0" t="s">
        <v>15512</v>
      </c>
      <c r="L4636" s="0" t="str">
        <f aca="false">HYPERLINK("https://www.ncbi.nlm.nih.gov/nuccore/CP000304.1?report=graph&amp;tracks=[key:gene_model_track,Options:GeneOnly]&amp;mk=1310948:1310967|offset_17|444444,1310970:1310989|offset_39|00cc00,1310995:1311014|offset_64|444444,1311025:1311044|offset_94|444444&amp;v=1310747:1311244&amp;c=444444", "offset 39")</f>
        <v>offset 39</v>
      </c>
    </row>
    <row r="4637" customFormat="false" ht="12.8" hidden="false" customHeight="false" outlineLevel="0" collapsed="false">
      <c r="A4637" s="0" t="s">
        <v>12</v>
      </c>
      <c r="B4637" s="0" t="n">
        <v>1310994</v>
      </c>
      <c r="C4637" s="0" t="n">
        <v>1311014</v>
      </c>
      <c r="D4637" s="0" t="s">
        <v>15506</v>
      </c>
      <c r="E4637" s="0" t="s">
        <v>89</v>
      </c>
      <c r="F4637" s="0" t="s">
        <v>15</v>
      </c>
      <c r="G4637" s="0" t="s">
        <v>36</v>
      </c>
      <c r="H4637" s="0" t="n">
        <v>64</v>
      </c>
      <c r="I4637" s="0" t="s">
        <v>15513</v>
      </c>
      <c r="J4637" s="0" t="s">
        <v>15514</v>
      </c>
      <c r="K4637" s="0" t="s">
        <v>15515</v>
      </c>
      <c r="L4637" s="0" t="str">
        <f aca="false">HYPERLINK("https://www.ncbi.nlm.nih.gov/nuccore/CP000304.1?report=graph&amp;tracks=[key:gene_model_track,Options:GeneOnly]&amp;mk=1310948:1310967|offset_17|444444,1310970:1310989|offset_39|444444,1310995:1311014|offset_64|00cc00,1311025:1311044|offset_94|444444&amp;v=1310747:1311244&amp;c=444444", "offset 64")</f>
        <v>offset 64</v>
      </c>
    </row>
    <row r="4638" customFormat="false" ht="12.8" hidden="false" customHeight="false" outlineLevel="0" collapsed="false">
      <c r="A4638" s="0" t="s">
        <v>12</v>
      </c>
      <c r="B4638" s="0" t="n">
        <v>1311024</v>
      </c>
      <c r="C4638" s="0" t="n">
        <v>1311044</v>
      </c>
      <c r="D4638" s="0" t="s">
        <v>15506</v>
      </c>
      <c r="E4638" s="0" t="s">
        <v>89</v>
      </c>
      <c r="F4638" s="0" t="s">
        <v>15</v>
      </c>
      <c r="G4638" s="0" t="s">
        <v>16</v>
      </c>
      <c r="H4638" s="0" t="n">
        <v>94</v>
      </c>
      <c r="I4638" s="0" t="s">
        <v>15516</v>
      </c>
      <c r="J4638" s="0" t="s">
        <v>15517</v>
      </c>
      <c r="K4638" s="0" t="s">
        <v>15518</v>
      </c>
      <c r="L4638" s="0" t="str">
        <f aca="false">HYPERLINK("https://www.ncbi.nlm.nih.gov/nuccore/CP000304.1?report=graph&amp;tracks=[key:gene_model_track,Options:GeneOnly]&amp;mk=1310948:1310967|offset_17|444444,1310970:1310989|offset_39|444444,1310995:1311014|offset_64|444444,1311025:1311044|offset_94|00cc00&amp;v=1310747:1311244&amp;c=444444", "offset 94")</f>
        <v>offset 94</v>
      </c>
    </row>
    <row r="4639" customFormat="false" ht="12.8" hidden="false" customHeight="false" outlineLevel="0" collapsed="false">
      <c r="A4639" s="0" t="s">
        <v>12</v>
      </c>
      <c r="B4639" s="0" t="n">
        <v>1312077</v>
      </c>
      <c r="C4639" s="0" t="n">
        <v>1312097</v>
      </c>
      <c r="D4639" s="0" t="s">
        <v>15519</v>
      </c>
      <c r="E4639" s="0" t="s">
        <v>15520</v>
      </c>
      <c r="F4639" s="0" t="s">
        <v>15</v>
      </c>
      <c r="G4639" s="0" t="s">
        <v>26</v>
      </c>
      <c r="H4639" s="0" t="n">
        <v>31</v>
      </c>
      <c r="I4639" s="0" t="s">
        <v>15521</v>
      </c>
      <c r="J4639" s="0" t="s">
        <v>15522</v>
      </c>
      <c r="K4639" s="0" t="s">
        <v>15523</v>
      </c>
      <c r="L4639" s="0" t="str">
        <f aca="false">HYPERLINK("https://www.ncbi.nlm.nih.gov/nuccore/CP000304.1?report=graph&amp;tracks=[key:gene_model_track,Options:GeneOnly]&amp;mk=1312078:1312097|offset_31|00cc00,1312099:1312118|offset_52|444444,1312129:1312148|offset_82|444444,1312150:1312169|offset_103|444444&amp;v=1311877:1312369&amp;c=444444", "offset 31")</f>
        <v>offset 31</v>
      </c>
    </row>
    <row r="4640" customFormat="false" ht="12.8" hidden="false" customHeight="false" outlineLevel="0" collapsed="false">
      <c r="A4640" s="0" t="s">
        <v>12</v>
      </c>
      <c r="B4640" s="0" t="n">
        <v>1312098</v>
      </c>
      <c r="C4640" s="0" t="n">
        <v>1312118</v>
      </c>
      <c r="D4640" s="0" t="s">
        <v>15519</v>
      </c>
      <c r="E4640" s="0" t="s">
        <v>15520</v>
      </c>
      <c r="F4640" s="0" t="s">
        <v>15</v>
      </c>
      <c r="G4640" s="0" t="s">
        <v>26</v>
      </c>
      <c r="H4640" s="0" t="n">
        <v>52</v>
      </c>
      <c r="I4640" s="0" t="s">
        <v>15524</v>
      </c>
      <c r="J4640" s="0" t="s">
        <v>15525</v>
      </c>
      <c r="K4640" s="0" t="s">
        <v>15526</v>
      </c>
      <c r="L4640" s="0" t="str">
        <f aca="false">HYPERLINK("https://www.ncbi.nlm.nih.gov/nuccore/CP000304.1?report=graph&amp;tracks=[key:gene_model_track,Options:GeneOnly]&amp;mk=1312078:1312097|offset_31|444444,1312099:1312118|offset_52|00cc00,1312129:1312148|offset_82|444444,1312150:1312169|offset_103|444444&amp;v=1311877:1312369&amp;c=444444", "offset 52")</f>
        <v>offset 52</v>
      </c>
    </row>
    <row r="4641" customFormat="false" ht="12.8" hidden="false" customHeight="false" outlineLevel="0" collapsed="false">
      <c r="A4641" s="0" t="s">
        <v>12</v>
      </c>
      <c r="B4641" s="0" t="n">
        <v>1312128</v>
      </c>
      <c r="C4641" s="0" t="n">
        <v>1312148</v>
      </c>
      <c r="D4641" s="0" t="s">
        <v>15519</v>
      </c>
      <c r="E4641" s="0" t="s">
        <v>15520</v>
      </c>
      <c r="F4641" s="0" t="s">
        <v>15</v>
      </c>
      <c r="G4641" s="0" t="s">
        <v>26</v>
      </c>
      <c r="H4641" s="0" t="n">
        <v>82</v>
      </c>
      <c r="I4641" s="0" t="s">
        <v>15527</v>
      </c>
      <c r="J4641" s="0" t="s">
        <v>15528</v>
      </c>
      <c r="K4641" s="0" t="s">
        <v>15529</v>
      </c>
      <c r="L4641" s="0" t="str">
        <f aca="false">HYPERLINK("https://www.ncbi.nlm.nih.gov/nuccore/CP000304.1?report=graph&amp;tracks=[key:gene_model_track,Options:GeneOnly]&amp;mk=1312078:1312097|offset_31|444444,1312099:1312118|offset_52|444444,1312129:1312148|offset_82|00cc00,1312150:1312169|offset_103|444444&amp;v=1311877:1312369&amp;c=444444", "offset 82")</f>
        <v>offset 82</v>
      </c>
    </row>
    <row r="4642" customFormat="false" ht="12.8" hidden="false" customHeight="false" outlineLevel="0" collapsed="false">
      <c r="A4642" s="0" t="s">
        <v>12</v>
      </c>
      <c r="B4642" s="0" t="n">
        <v>1312149</v>
      </c>
      <c r="C4642" s="0" t="n">
        <v>1312169</v>
      </c>
      <c r="D4642" s="0" t="s">
        <v>15519</v>
      </c>
      <c r="E4642" s="0" t="s">
        <v>15520</v>
      </c>
      <c r="F4642" s="0" t="s">
        <v>15</v>
      </c>
      <c r="G4642" s="0" t="s">
        <v>26</v>
      </c>
      <c r="H4642" s="0" t="n">
        <v>103</v>
      </c>
      <c r="I4642" s="0" t="s">
        <v>15530</v>
      </c>
      <c r="J4642" s="0" t="s">
        <v>15531</v>
      </c>
      <c r="K4642" s="0" t="s">
        <v>15532</v>
      </c>
      <c r="L4642" s="0" t="str">
        <f aca="false">HYPERLINK("https://www.ncbi.nlm.nih.gov/nuccore/CP000304.1?report=graph&amp;tracks=[key:gene_model_track,Options:GeneOnly]&amp;mk=1312078:1312097|offset_31|444444,1312099:1312118|offset_52|444444,1312129:1312148|offset_82|444444,1312150:1312169|offset_103|00cc00&amp;v=1311877:1312369&amp;c=444444", "offset 103")</f>
        <v>offset 103</v>
      </c>
    </row>
    <row r="4643" customFormat="false" ht="12.8" hidden="false" customHeight="false" outlineLevel="0" collapsed="false">
      <c r="A4643" s="0" t="s">
        <v>12</v>
      </c>
      <c r="B4643" s="0" t="n">
        <v>1313378</v>
      </c>
      <c r="C4643" s="0" t="n">
        <v>1313398</v>
      </c>
      <c r="D4643" s="0" t="s">
        <v>15533</v>
      </c>
      <c r="E4643" s="0" t="s">
        <v>15534</v>
      </c>
      <c r="F4643" s="0" t="s">
        <v>15</v>
      </c>
      <c r="G4643" s="0" t="s">
        <v>32</v>
      </c>
      <c r="H4643" s="0" t="n">
        <v>19</v>
      </c>
      <c r="I4643" s="0" t="s">
        <v>15535</v>
      </c>
      <c r="J4643" s="0" t="s">
        <v>15536</v>
      </c>
      <c r="K4643" s="0" t="s">
        <v>15537</v>
      </c>
      <c r="L4643" s="0" t="str">
        <f aca="false">HYPERLINK("https://www.ncbi.nlm.nih.gov/nuccore/CP000304.1?report=graph&amp;tracks=[key:gene_model_track,Options:GeneOnly]&amp;mk=1313379:1313398|offset_19|00cc00,1313409:1313428|offset_49|444444,1313442:1313461|offset_82|444444,1313465:1313484|offset_105|444444&amp;v=1313178:1313684&amp;c=444444", "offset 19")</f>
        <v>offset 19</v>
      </c>
    </row>
    <row r="4644" customFormat="false" ht="12.8" hidden="false" customHeight="false" outlineLevel="0" collapsed="false">
      <c r="A4644" s="0" t="s">
        <v>12</v>
      </c>
      <c r="B4644" s="0" t="n">
        <v>1313408</v>
      </c>
      <c r="C4644" s="0" t="n">
        <v>1313428</v>
      </c>
      <c r="D4644" s="0" t="s">
        <v>15533</v>
      </c>
      <c r="E4644" s="0" t="s">
        <v>15534</v>
      </c>
      <c r="F4644" s="0" t="s">
        <v>15</v>
      </c>
      <c r="G4644" s="0" t="s">
        <v>32</v>
      </c>
      <c r="H4644" s="0" t="n">
        <v>49</v>
      </c>
      <c r="I4644" s="0" t="s">
        <v>15538</v>
      </c>
      <c r="J4644" s="0" t="s">
        <v>15539</v>
      </c>
      <c r="K4644" s="0" t="s">
        <v>15540</v>
      </c>
      <c r="L4644" s="0" t="str">
        <f aca="false">HYPERLINK("https://www.ncbi.nlm.nih.gov/nuccore/CP000304.1?report=graph&amp;tracks=[key:gene_model_track,Options:GeneOnly]&amp;mk=1313379:1313398|offset_19|444444,1313409:1313428|offset_49|00cc00,1313442:1313461|offset_82|444444,1313465:1313484|offset_105|444444&amp;v=1313178:1313684&amp;c=444444", "offset 49")</f>
        <v>offset 49</v>
      </c>
    </row>
    <row r="4645" customFormat="false" ht="12.8" hidden="false" customHeight="false" outlineLevel="0" collapsed="false">
      <c r="A4645" s="0" t="s">
        <v>12</v>
      </c>
      <c r="B4645" s="0" t="n">
        <v>1313441</v>
      </c>
      <c r="C4645" s="0" t="n">
        <v>1313461</v>
      </c>
      <c r="D4645" s="0" t="s">
        <v>15533</v>
      </c>
      <c r="E4645" s="0" t="s">
        <v>15534</v>
      </c>
      <c r="F4645" s="0" t="s">
        <v>15</v>
      </c>
      <c r="G4645" s="0" t="s">
        <v>36</v>
      </c>
      <c r="H4645" s="0" t="n">
        <v>82</v>
      </c>
      <c r="I4645" s="0" t="s">
        <v>15541</v>
      </c>
      <c r="J4645" s="0" t="s">
        <v>15542</v>
      </c>
      <c r="K4645" s="0" t="s">
        <v>15543</v>
      </c>
      <c r="L4645" s="0" t="str">
        <f aca="false">HYPERLINK("https://www.ncbi.nlm.nih.gov/nuccore/CP000304.1?report=graph&amp;tracks=[key:gene_model_track,Options:GeneOnly]&amp;mk=1313379:1313398|offset_19|444444,1313409:1313428|offset_49|444444,1313442:1313461|offset_82|00cc00,1313465:1313484|offset_105|444444&amp;v=1313178:1313684&amp;c=444444", "offset 82")</f>
        <v>offset 82</v>
      </c>
    </row>
    <row r="4646" customFormat="false" ht="12.8" hidden="false" customHeight="false" outlineLevel="0" collapsed="false">
      <c r="A4646" s="0" t="s">
        <v>12</v>
      </c>
      <c r="B4646" s="0" t="n">
        <v>1313464</v>
      </c>
      <c r="C4646" s="0" t="n">
        <v>1313484</v>
      </c>
      <c r="D4646" s="0" t="s">
        <v>15533</v>
      </c>
      <c r="E4646" s="0" t="s">
        <v>15534</v>
      </c>
      <c r="F4646" s="0" t="s">
        <v>15</v>
      </c>
      <c r="G4646" s="0" t="s">
        <v>16</v>
      </c>
      <c r="H4646" s="0" t="n">
        <v>105</v>
      </c>
      <c r="I4646" s="0" t="s">
        <v>15544</v>
      </c>
      <c r="J4646" s="0" t="s">
        <v>15545</v>
      </c>
      <c r="K4646" s="0" t="s">
        <v>15546</v>
      </c>
      <c r="L4646" s="0" t="str">
        <f aca="false">HYPERLINK("https://www.ncbi.nlm.nih.gov/nuccore/CP000304.1?report=graph&amp;tracks=[key:gene_model_track,Options:GeneOnly]&amp;mk=1313379:1313398|offset_19|444444,1313409:1313428|offset_49|444444,1313442:1313461|offset_82|444444,1313465:1313484|offset_105|00cc00&amp;v=1313178:1313684&amp;c=444444", "offset 105")</f>
        <v>offset 105</v>
      </c>
    </row>
    <row r="4647" customFormat="false" ht="12.8" hidden="false" customHeight="false" outlineLevel="0" collapsed="false">
      <c r="A4647" s="0" t="s">
        <v>12</v>
      </c>
      <c r="B4647" s="0" t="n">
        <v>1313945</v>
      </c>
      <c r="C4647" s="0" t="n">
        <v>1313965</v>
      </c>
      <c r="D4647" s="0" t="s">
        <v>15547</v>
      </c>
      <c r="E4647" s="0" t="s">
        <v>89</v>
      </c>
      <c r="F4647" s="0" t="s">
        <v>90</v>
      </c>
      <c r="G4647" s="0" t="s">
        <v>16</v>
      </c>
      <c r="H4647" s="0" t="n">
        <v>7</v>
      </c>
      <c r="I4647" s="0" t="s">
        <v>15548</v>
      </c>
      <c r="J4647" s="0" t="s">
        <v>15549</v>
      </c>
      <c r="K4647" s="0" t="s">
        <v>15550</v>
      </c>
      <c r="L4647" s="0" t="str">
        <f aca="false">HYPERLINK("https://www.ncbi.nlm.nih.gov/nuccore/CP000304.1?report=graph&amp;tracks=[key:gene_model_track,Options:GeneOnly]&amp;mk=1313946:1313965|offset_7|00cc00,1313907:1313926|offset_46|444444,1313880:1313899|offset_73|444444,1313843:1313862|offset_110|444444&amp;v=1313745:1314062&amp;c=444444", "offset 7")</f>
        <v>offset 7</v>
      </c>
    </row>
    <row r="4648" customFormat="false" ht="12.8" hidden="false" customHeight="false" outlineLevel="0" collapsed="false">
      <c r="A4648" s="0" t="s">
        <v>12</v>
      </c>
      <c r="B4648" s="0" t="n">
        <v>1313906</v>
      </c>
      <c r="C4648" s="0" t="n">
        <v>1313926</v>
      </c>
      <c r="D4648" s="0" t="s">
        <v>15547</v>
      </c>
      <c r="E4648" s="0" t="s">
        <v>89</v>
      </c>
      <c r="F4648" s="0" t="s">
        <v>90</v>
      </c>
      <c r="G4648" s="0" t="s">
        <v>16</v>
      </c>
      <c r="H4648" s="0" t="n">
        <v>46</v>
      </c>
      <c r="I4648" s="0" t="s">
        <v>15551</v>
      </c>
      <c r="J4648" s="0" t="s">
        <v>15552</v>
      </c>
      <c r="K4648" s="0" t="s">
        <v>15553</v>
      </c>
      <c r="L4648" s="0" t="str">
        <f aca="false">HYPERLINK("https://www.ncbi.nlm.nih.gov/nuccore/CP000304.1?report=graph&amp;tracks=[key:gene_model_track,Options:GeneOnly]&amp;mk=1313946:1313965|offset_7|444444,1313907:1313926|offset_46|00cc00,1313880:1313899|offset_73|444444,1313843:1313862|offset_110|444444&amp;v=1313745:1314062&amp;c=444444", "offset 46")</f>
        <v>offset 46</v>
      </c>
    </row>
    <row r="4649" customFormat="false" ht="12.8" hidden="false" customHeight="false" outlineLevel="0" collapsed="false">
      <c r="A4649" s="0" t="s">
        <v>12</v>
      </c>
      <c r="B4649" s="0" t="n">
        <v>1313879</v>
      </c>
      <c r="C4649" s="0" t="n">
        <v>1313899</v>
      </c>
      <c r="D4649" s="0" t="s">
        <v>15547</v>
      </c>
      <c r="E4649" s="0" t="s">
        <v>89</v>
      </c>
      <c r="F4649" s="0" t="s">
        <v>90</v>
      </c>
      <c r="G4649" s="0" t="s">
        <v>36</v>
      </c>
      <c r="H4649" s="0" t="n">
        <v>73</v>
      </c>
      <c r="I4649" s="0" t="s">
        <v>15554</v>
      </c>
      <c r="J4649" s="0" t="s">
        <v>15555</v>
      </c>
      <c r="K4649" s="0" t="s">
        <v>15556</v>
      </c>
      <c r="L4649" s="0" t="str">
        <f aca="false">HYPERLINK("https://www.ncbi.nlm.nih.gov/nuccore/CP000304.1?report=graph&amp;tracks=[key:gene_model_track,Options:GeneOnly]&amp;mk=1313946:1313965|offset_7|444444,1313907:1313926|offset_46|444444,1313880:1313899|offset_73|00cc00,1313843:1313862|offset_110|444444&amp;v=1313745:1314062&amp;c=444444", "offset 73")</f>
        <v>offset 73</v>
      </c>
    </row>
    <row r="4650" customFormat="false" ht="12.8" hidden="false" customHeight="false" outlineLevel="0" collapsed="false">
      <c r="A4650" s="0" t="s">
        <v>12</v>
      </c>
      <c r="B4650" s="0" t="n">
        <v>1313842</v>
      </c>
      <c r="C4650" s="0" t="n">
        <v>1313862</v>
      </c>
      <c r="D4650" s="0" t="s">
        <v>15547</v>
      </c>
      <c r="E4650" s="0" t="s">
        <v>89</v>
      </c>
      <c r="F4650" s="0" t="s">
        <v>90</v>
      </c>
      <c r="G4650" s="0" t="s">
        <v>16</v>
      </c>
      <c r="H4650" s="0" t="n">
        <v>110</v>
      </c>
      <c r="I4650" s="0" t="s">
        <v>15557</v>
      </c>
      <c r="J4650" s="0" t="s">
        <v>15558</v>
      </c>
      <c r="K4650" s="0" t="s">
        <v>15559</v>
      </c>
      <c r="L4650" s="0" t="str">
        <f aca="false">HYPERLINK("https://www.ncbi.nlm.nih.gov/nuccore/CP000304.1?report=graph&amp;tracks=[key:gene_model_track,Options:GeneOnly]&amp;mk=1313946:1313965|offset_7|444444,1313907:1313926|offset_46|444444,1313880:1313899|offset_73|444444,1313843:1313862|offset_110|00cc00&amp;v=1313745:1314062&amp;c=444444", "offset 110")</f>
        <v>offset 110</v>
      </c>
    </row>
    <row r="4651" customFormat="false" ht="12.8" hidden="false" customHeight="false" outlineLevel="0" collapsed="false">
      <c r="A4651" s="0" t="s">
        <v>12</v>
      </c>
      <c r="B4651" s="0" t="n">
        <v>1314689</v>
      </c>
      <c r="C4651" s="0" t="n">
        <v>1314709</v>
      </c>
      <c r="D4651" s="0" t="s">
        <v>15560</v>
      </c>
      <c r="E4651" s="0" t="s">
        <v>15561</v>
      </c>
      <c r="F4651" s="0" t="s">
        <v>90</v>
      </c>
      <c r="G4651" s="0" t="s">
        <v>16</v>
      </c>
      <c r="H4651" s="0" t="n">
        <v>10</v>
      </c>
      <c r="I4651" s="0" t="s">
        <v>15562</v>
      </c>
      <c r="J4651" s="0" t="s">
        <v>15563</v>
      </c>
      <c r="K4651" s="0" t="s">
        <v>15564</v>
      </c>
      <c r="L4651" s="0" t="str">
        <f aca="false">HYPERLINK("https://www.ncbi.nlm.nih.gov/nuccore/CP000304.1?report=graph&amp;tracks=[key:gene_model_track,Options:GeneOnly]&amp;mk=1314690:1314709|offset_10|00cc00,1314665:1314684|offset_35|444444,1314640:1314659|offset_60|444444,1314613:1314632|offset_87|444444&amp;v=1314489:1314832&amp;c=444444", "offset 10")</f>
        <v>offset 10</v>
      </c>
    </row>
    <row r="4652" customFormat="false" ht="12.8" hidden="false" customHeight="false" outlineLevel="0" collapsed="false">
      <c r="A4652" s="0" t="s">
        <v>12</v>
      </c>
      <c r="B4652" s="0" t="n">
        <v>1314664</v>
      </c>
      <c r="C4652" s="0" t="n">
        <v>1314684</v>
      </c>
      <c r="D4652" s="0" t="s">
        <v>15560</v>
      </c>
      <c r="E4652" s="0" t="s">
        <v>15561</v>
      </c>
      <c r="F4652" s="0" t="s">
        <v>90</v>
      </c>
      <c r="G4652" s="0" t="s">
        <v>16</v>
      </c>
      <c r="H4652" s="0" t="n">
        <v>35</v>
      </c>
      <c r="I4652" s="0" t="s">
        <v>15565</v>
      </c>
      <c r="J4652" s="0" t="s">
        <v>15566</v>
      </c>
      <c r="K4652" s="0" t="s">
        <v>15567</v>
      </c>
      <c r="L4652" s="0" t="str">
        <f aca="false">HYPERLINK("https://www.ncbi.nlm.nih.gov/nuccore/CP000304.1?report=graph&amp;tracks=[key:gene_model_track,Options:GeneOnly]&amp;mk=1314690:1314709|offset_10|444444,1314665:1314684|offset_35|00cc00,1314640:1314659|offset_60|444444,1314613:1314632|offset_87|444444&amp;v=1314489:1314832&amp;c=444444", "offset 35")</f>
        <v>offset 35</v>
      </c>
    </row>
    <row r="4653" customFormat="false" ht="12.8" hidden="false" customHeight="false" outlineLevel="0" collapsed="false">
      <c r="A4653" s="0" t="s">
        <v>12</v>
      </c>
      <c r="B4653" s="0" t="n">
        <v>1314639</v>
      </c>
      <c r="C4653" s="0" t="n">
        <v>1314659</v>
      </c>
      <c r="D4653" s="0" t="s">
        <v>15560</v>
      </c>
      <c r="E4653" s="0" t="s">
        <v>15561</v>
      </c>
      <c r="F4653" s="0" t="s">
        <v>90</v>
      </c>
      <c r="G4653" s="0" t="s">
        <v>16</v>
      </c>
      <c r="H4653" s="0" t="n">
        <v>60</v>
      </c>
      <c r="I4653" s="0" t="s">
        <v>15568</v>
      </c>
      <c r="J4653" s="0" t="s">
        <v>15569</v>
      </c>
      <c r="K4653" s="0" t="s">
        <v>15570</v>
      </c>
      <c r="L4653" s="0" t="str">
        <f aca="false">HYPERLINK("https://www.ncbi.nlm.nih.gov/nuccore/CP000304.1?report=graph&amp;tracks=[key:gene_model_track,Options:GeneOnly]&amp;mk=1314690:1314709|offset_10|444444,1314665:1314684|offset_35|444444,1314640:1314659|offset_60|00cc00,1314613:1314632|offset_87|444444&amp;v=1314489:1314832&amp;c=444444", "offset 60")</f>
        <v>offset 60</v>
      </c>
    </row>
    <row r="4654" customFormat="false" ht="12.8" hidden="false" customHeight="false" outlineLevel="0" collapsed="false">
      <c r="A4654" s="0" t="s">
        <v>12</v>
      </c>
      <c r="B4654" s="0" t="n">
        <v>1314612</v>
      </c>
      <c r="C4654" s="0" t="n">
        <v>1314632</v>
      </c>
      <c r="D4654" s="0" t="s">
        <v>15560</v>
      </c>
      <c r="E4654" s="0" t="s">
        <v>15561</v>
      </c>
      <c r="F4654" s="0" t="s">
        <v>90</v>
      </c>
      <c r="G4654" s="0" t="s">
        <v>36</v>
      </c>
      <c r="H4654" s="0" t="n">
        <v>87</v>
      </c>
      <c r="I4654" s="0" t="s">
        <v>15571</v>
      </c>
      <c r="J4654" s="0" t="s">
        <v>15572</v>
      </c>
      <c r="K4654" s="0" t="s">
        <v>15573</v>
      </c>
      <c r="L4654" s="0" t="str">
        <f aca="false">HYPERLINK("https://www.ncbi.nlm.nih.gov/nuccore/CP000304.1?report=graph&amp;tracks=[key:gene_model_track,Options:GeneOnly]&amp;mk=1314690:1314709|offset_10|444444,1314665:1314684|offset_35|444444,1314640:1314659|offset_60|444444,1314613:1314632|offset_87|00cc00&amp;v=1314489:1314832&amp;c=444444", "offset 87")</f>
        <v>offset 87</v>
      </c>
    </row>
    <row r="4655" customFormat="false" ht="12.8" hidden="false" customHeight="false" outlineLevel="0" collapsed="false">
      <c r="A4655" s="0" t="s">
        <v>12</v>
      </c>
      <c r="B4655" s="0" t="n">
        <v>1315411</v>
      </c>
      <c r="C4655" s="0" t="n">
        <v>1315431</v>
      </c>
      <c r="D4655" s="0" t="s">
        <v>15574</v>
      </c>
      <c r="E4655" s="0" t="s">
        <v>89</v>
      </c>
      <c r="F4655" s="0" t="s">
        <v>90</v>
      </c>
      <c r="G4655" s="0" t="s">
        <v>36</v>
      </c>
      <c r="H4655" s="0" t="n">
        <v>12</v>
      </c>
      <c r="I4655" s="0" t="s">
        <v>15575</v>
      </c>
      <c r="J4655" s="0" t="s">
        <v>15576</v>
      </c>
      <c r="K4655" s="0" t="s">
        <v>15577</v>
      </c>
      <c r="L4655" s="0" t="str">
        <f aca="false">HYPERLINK("https://www.ncbi.nlm.nih.gov/nuccore/CP000304.1?report=graph&amp;tracks=[key:gene_model_track,Options:GeneOnly]&amp;mk=1315412:1315431|offset_12|00cc00,1315383:1315402|offset_41|444444,1315338:1315357|offset_86|444444,1315302:1315321|offset_122|444444&amp;v=1315211:1315521&amp;c=444444", "offset 12")</f>
        <v>offset 12</v>
      </c>
    </row>
    <row r="4656" customFormat="false" ht="12.8" hidden="false" customHeight="false" outlineLevel="0" collapsed="false">
      <c r="A4656" s="0" t="s">
        <v>12</v>
      </c>
      <c r="B4656" s="0" t="n">
        <v>1315382</v>
      </c>
      <c r="C4656" s="0" t="n">
        <v>1315402</v>
      </c>
      <c r="D4656" s="0" t="s">
        <v>15574</v>
      </c>
      <c r="E4656" s="0" t="s">
        <v>89</v>
      </c>
      <c r="F4656" s="0" t="s">
        <v>90</v>
      </c>
      <c r="G4656" s="0" t="s">
        <v>26</v>
      </c>
      <c r="H4656" s="0" t="n">
        <v>41</v>
      </c>
      <c r="I4656" s="0" t="s">
        <v>15578</v>
      </c>
      <c r="J4656" s="0" t="s">
        <v>15579</v>
      </c>
      <c r="K4656" s="0" t="s">
        <v>15580</v>
      </c>
      <c r="L4656" s="0" t="str">
        <f aca="false">HYPERLINK("https://www.ncbi.nlm.nih.gov/nuccore/CP000304.1?report=graph&amp;tracks=[key:gene_model_track,Options:GeneOnly]&amp;mk=1315412:1315431|offset_12|444444,1315383:1315402|offset_41|00cc00,1315338:1315357|offset_86|444444,1315302:1315321|offset_122|444444&amp;v=1315211:1315521&amp;c=444444", "offset 41")</f>
        <v>offset 41</v>
      </c>
    </row>
    <row r="4657" customFormat="false" ht="12.8" hidden="false" customHeight="false" outlineLevel="0" collapsed="false">
      <c r="A4657" s="0" t="s">
        <v>12</v>
      </c>
      <c r="B4657" s="0" t="n">
        <v>1315337</v>
      </c>
      <c r="C4657" s="0" t="n">
        <v>1315357</v>
      </c>
      <c r="D4657" s="0" t="s">
        <v>15574</v>
      </c>
      <c r="E4657" s="0" t="s">
        <v>89</v>
      </c>
      <c r="F4657" s="0" t="s">
        <v>90</v>
      </c>
      <c r="G4657" s="0" t="s">
        <v>36</v>
      </c>
      <c r="H4657" s="0" t="n">
        <v>86</v>
      </c>
      <c r="I4657" s="0" t="s">
        <v>15581</v>
      </c>
      <c r="J4657" s="0" t="s">
        <v>15582</v>
      </c>
      <c r="K4657" s="0" t="s">
        <v>15583</v>
      </c>
      <c r="L4657" s="0" t="str">
        <f aca="false">HYPERLINK("https://www.ncbi.nlm.nih.gov/nuccore/CP000304.1?report=graph&amp;tracks=[key:gene_model_track,Options:GeneOnly]&amp;mk=1315412:1315431|offset_12|444444,1315383:1315402|offset_41|444444,1315338:1315357|offset_86|00cc00,1315302:1315321|offset_122|444444&amp;v=1315211:1315521&amp;c=444444", "offset 86")</f>
        <v>offset 86</v>
      </c>
    </row>
    <row r="4658" customFormat="false" ht="12.8" hidden="false" customHeight="false" outlineLevel="0" collapsed="false">
      <c r="A4658" s="0" t="s">
        <v>12</v>
      </c>
      <c r="B4658" s="0" t="n">
        <v>1315301</v>
      </c>
      <c r="C4658" s="0" t="n">
        <v>1315321</v>
      </c>
      <c r="D4658" s="0" t="s">
        <v>15574</v>
      </c>
      <c r="E4658" s="0" t="s">
        <v>89</v>
      </c>
      <c r="F4658" s="0" t="s">
        <v>90</v>
      </c>
      <c r="G4658" s="0" t="s">
        <v>26</v>
      </c>
      <c r="H4658" s="0" t="n">
        <v>122</v>
      </c>
      <c r="I4658" s="0" t="s">
        <v>15584</v>
      </c>
      <c r="J4658" s="0" t="s">
        <v>15585</v>
      </c>
      <c r="K4658" s="0" t="s">
        <v>15586</v>
      </c>
      <c r="L4658" s="0" t="str">
        <f aca="false">HYPERLINK("https://www.ncbi.nlm.nih.gov/nuccore/CP000304.1?report=graph&amp;tracks=[key:gene_model_track,Options:GeneOnly]&amp;mk=1315412:1315431|offset_12|444444,1315383:1315402|offset_41|444444,1315338:1315357|offset_86|444444,1315302:1315321|offset_122|00cc00&amp;v=1315211:1315521&amp;c=444444", "offset 122")</f>
        <v>offset 122</v>
      </c>
    </row>
    <row r="4659" customFormat="false" ht="12.8" hidden="false" customHeight="false" outlineLevel="0" collapsed="false">
      <c r="A4659" s="0" t="s">
        <v>12</v>
      </c>
      <c r="B4659" s="0" t="n">
        <v>1316181</v>
      </c>
      <c r="C4659" s="0" t="n">
        <v>1316201</v>
      </c>
      <c r="D4659" s="0" t="s">
        <v>15587</v>
      </c>
      <c r="E4659" s="0" t="s">
        <v>89</v>
      </c>
      <c r="F4659" s="0" t="s">
        <v>90</v>
      </c>
      <c r="G4659" s="0" t="s">
        <v>16</v>
      </c>
      <c r="H4659" s="0" t="n">
        <v>12</v>
      </c>
      <c r="I4659" s="0" t="s">
        <v>15588</v>
      </c>
      <c r="J4659" s="0" t="s">
        <v>15589</v>
      </c>
      <c r="K4659" s="0" t="s">
        <v>15590</v>
      </c>
      <c r="L4659" s="0" t="str">
        <f aca="false">HYPERLINK("https://www.ncbi.nlm.nih.gov/nuccore/CP000304.1?report=graph&amp;tracks=[key:gene_model_track,Options:GeneOnly]&amp;mk=1316182:1316201|offset_12|00cc00,1316151:1316170|offset_43|444444,1316130:1316149|offset_64|444444,1316105:1316124|offset_89|444444&amp;v=1315981:1316324&amp;c=444444", "offset 12")</f>
        <v>offset 12</v>
      </c>
    </row>
    <row r="4660" customFormat="false" ht="12.8" hidden="false" customHeight="false" outlineLevel="0" collapsed="false">
      <c r="A4660" s="0" t="s">
        <v>12</v>
      </c>
      <c r="B4660" s="0" t="n">
        <v>1316150</v>
      </c>
      <c r="C4660" s="0" t="n">
        <v>1316170</v>
      </c>
      <c r="D4660" s="0" t="s">
        <v>15587</v>
      </c>
      <c r="E4660" s="0" t="s">
        <v>89</v>
      </c>
      <c r="F4660" s="0" t="s">
        <v>90</v>
      </c>
      <c r="G4660" s="0" t="s">
        <v>32</v>
      </c>
      <c r="H4660" s="0" t="n">
        <v>43</v>
      </c>
      <c r="I4660" s="0" t="s">
        <v>15591</v>
      </c>
      <c r="J4660" s="0" t="s">
        <v>15592</v>
      </c>
      <c r="K4660" s="0" t="s">
        <v>15593</v>
      </c>
      <c r="L4660" s="0" t="str">
        <f aca="false">HYPERLINK("https://www.ncbi.nlm.nih.gov/nuccore/CP000304.1?report=graph&amp;tracks=[key:gene_model_track,Options:GeneOnly]&amp;mk=1316182:1316201|offset_12|444444,1316151:1316170|offset_43|00cc00,1316130:1316149|offset_64|444444,1316105:1316124|offset_89|444444&amp;v=1315981:1316324&amp;c=444444", "offset 43")</f>
        <v>offset 43</v>
      </c>
    </row>
    <row r="4661" customFormat="false" ht="12.8" hidden="false" customHeight="false" outlineLevel="0" collapsed="false">
      <c r="A4661" s="0" t="s">
        <v>12</v>
      </c>
      <c r="B4661" s="0" t="n">
        <v>1316129</v>
      </c>
      <c r="C4661" s="0" t="n">
        <v>1316149</v>
      </c>
      <c r="D4661" s="0" t="s">
        <v>15587</v>
      </c>
      <c r="E4661" s="0" t="s">
        <v>89</v>
      </c>
      <c r="F4661" s="0" t="s">
        <v>90</v>
      </c>
      <c r="G4661" s="0" t="s">
        <v>32</v>
      </c>
      <c r="H4661" s="0" t="n">
        <v>64</v>
      </c>
      <c r="I4661" s="0" t="s">
        <v>15594</v>
      </c>
      <c r="J4661" s="0" t="s">
        <v>15595</v>
      </c>
      <c r="K4661" s="0" t="s">
        <v>15596</v>
      </c>
      <c r="L4661" s="0" t="str">
        <f aca="false">HYPERLINK("https://www.ncbi.nlm.nih.gov/nuccore/CP000304.1?report=graph&amp;tracks=[key:gene_model_track,Options:GeneOnly]&amp;mk=1316182:1316201|offset_12|444444,1316151:1316170|offset_43|444444,1316130:1316149|offset_64|00cc00,1316105:1316124|offset_89|444444&amp;v=1315981:1316324&amp;c=444444", "offset 64")</f>
        <v>offset 64</v>
      </c>
    </row>
    <row r="4662" customFormat="false" ht="12.8" hidden="false" customHeight="false" outlineLevel="0" collapsed="false">
      <c r="A4662" s="0" t="s">
        <v>12</v>
      </c>
      <c r="B4662" s="0" t="n">
        <v>1316104</v>
      </c>
      <c r="C4662" s="0" t="n">
        <v>1316124</v>
      </c>
      <c r="D4662" s="0" t="s">
        <v>15587</v>
      </c>
      <c r="E4662" s="0" t="s">
        <v>89</v>
      </c>
      <c r="F4662" s="0" t="s">
        <v>90</v>
      </c>
      <c r="G4662" s="0" t="s">
        <v>26</v>
      </c>
      <c r="H4662" s="0" t="n">
        <v>89</v>
      </c>
      <c r="I4662" s="0" t="s">
        <v>15597</v>
      </c>
      <c r="J4662" s="0" t="s">
        <v>15598</v>
      </c>
      <c r="K4662" s="0" t="s">
        <v>15599</v>
      </c>
      <c r="L4662" s="0" t="str">
        <f aca="false">HYPERLINK("https://www.ncbi.nlm.nih.gov/nuccore/CP000304.1?report=graph&amp;tracks=[key:gene_model_track,Options:GeneOnly]&amp;mk=1316182:1316201|offset_12|444444,1316151:1316170|offset_43|444444,1316130:1316149|offset_64|444444,1316105:1316124|offset_89|00cc00&amp;v=1315981:1316324&amp;c=444444", "offset 89")</f>
        <v>offset 89</v>
      </c>
    </row>
    <row r="4663" customFormat="false" ht="12.8" hidden="false" customHeight="false" outlineLevel="0" collapsed="false">
      <c r="A4663" s="0" t="s">
        <v>12</v>
      </c>
      <c r="B4663" s="0" t="n">
        <v>1317223</v>
      </c>
      <c r="C4663" s="0" t="n">
        <v>1317243</v>
      </c>
      <c r="D4663" s="0" t="s">
        <v>15600</v>
      </c>
      <c r="E4663" s="0" t="s">
        <v>89</v>
      </c>
      <c r="F4663" s="0" t="s">
        <v>90</v>
      </c>
      <c r="G4663" s="0" t="s">
        <v>32</v>
      </c>
      <c r="H4663" s="0" t="n">
        <v>0</v>
      </c>
      <c r="I4663" s="0" t="s">
        <v>15601</v>
      </c>
      <c r="J4663" s="0" t="s">
        <v>15602</v>
      </c>
      <c r="K4663" s="0" t="s">
        <v>15603</v>
      </c>
      <c r="L4663" s="0" t="str">
        <f aca="false">HYPERLINK("https://www.ncbi.nlm.nih.gov/nuccore/CP000304.1?report=graph&amp;tracks=[key:gene_model_track,Options:GeneOnly]&amp;mk=1317224:1317243|offset_0|00cc00,1317202:1317221|offset_22|444444,1317181:1317200|offset_43|444444,1317142:1317161|offset_82|444444&amp;v=1317023:1317361&amp;c=444444", "offset 0")</f>
        <v>offset 0</v>
      </c>
    </row>
    <row r="4664" customFormat="false" ht="12.8" hidden="false" customHeight="false" outlineLevel="0" collapsed="false">
      <c r="A4664" s="0" t="s">
        <v>12</v>
      </c>
      <c r="B4664" s="0" t="n">
        <v>1317201</v>
      </c>
      <c r="C4664" s="0" t="n">
        <v>1317221</v>
      </c>
      <c r="D4664" s="0" t="s">
        <v>15600</v>
      </c>
      <c r="E4664" s="0" t="s">
        <v>89</v>
      </c>
      <c r="F4664" s="0" t="s">
        <v>90</v>
      </c>
      <c r="G4664" s="0" t="s">
        <v>26</v>
      </c>
      <c r="H4664" s="0" t="n">
        <v>22</v>
      </c>
      <c r="I4664" s="0" t="s">
        <v>15604</v>
      </c>
      <c r="J4664" s="0" t="s">
        <v>15605</v>
      </c>
      <c r="K4664" s="0" t="s">
        <v>15606</v>
      </c>
      <c r="L4664" s="0" t="str">
        <f aca="false">HYPERLINK("https://www.ncbi.nlm.nih.gov/nuccore/CP000304.1?report=graph&amp;tracks=[key:gene_model_track,Options:GeneOnly]&amp;mk=1317224:1317243|offset_0|444444,1317202:1317221|offset_22|00cc00,1317181:1317200|offset_43|444444,1317142:1317161|offset_82|444444&amp;v=1317023:1317361&amp;c=444444", "offset 22")</f>
        <v>offset 22</v>
      </c>
    </row>
    <row r="4665" customFormat="false" ht="12.8" hidden="false" customHeight="false" outlineLevel="0" collapsed="false">
      <c r="A4665" s="0" t="s">
        <v>12</v>
      </c>
      <c r="B4665" s="0" t="n">
        <v>1317180</v>
      </c>
      <c r="C4665" s="0" t="n">
        <v>1317200</v>
      </c>
      <c r="D4665" s="0" t="s">
        <v>15600</v>
      </c>
      <c r="E4665" s="0" t="s">
        <v>89</v>
      </c>
      <c r="F4665" s="0" t="s">
        <v>90</v>
      </c>
      <c r="G4665" s="0" t="s">
        <v>32</v>
      </c>
      <c r="H4665" s="0" t="n">
        <v>43</v>
      </c>
      <c r="I4665" s="0" t="s">
        <v>15607</v>
      </c>
      <c r="J4665" s="0" t="s">
        <v>15608</v>
      </c>
      <c r="K4665" s="0" t="s">
        <v>15609</v>
      </c>
      <c r="L4665" s="0" t="str">
        <f aca="false">HYPERLINK("https://www.ncbi.nlm.nih.gov/nuccore/CP000304.1?report=graph&amp;tracks=[key:gene_model_track,Options:GeneOnly]&amp;mk=1317224:1317243|offset_0|444444,1317202:1317221|offset_22|444444,1317181:1317200|offset_43|00cc00,1317142:1317161|offset_82|444444&amp;v=1317023:1317361&amp;c=444444", "offset 43")</f>
        <v>offset 43</v>
      </c>
    </row>
    <row r="4666" customFormat="false" ht="12.8" hidden="false" customHeight="false" outlineLevel="0" collapsed="false">
      <c r="A4666" s="0" t="s">
        <v>12</v>
      </c>
      <c r="B4666" s="0" t="n">
        <v>1317141</v>
      </c>
      <c r="C4666" s="0" t="n">
        <v>1317161</v>
      </c>
      <c r="D4666" s="0" t="s">
        <v>15600</v>
      </c>
      <c r="E4666" s="0" t="s">
        <v>89</v>
      </c>
      <c r="F4666" s="0" t="s">
        <v>90</v>
      </c>
      <c r="G4666" s="0" t="s">
        <v>32</v>
      </c>
      <c r="H4666" s="0" t="n">
        <v>82</v>
      </c>
      <c r="I4666" s="0" t="s">
        <v>15610</v>
      </c>
      <c r="J4666" s="0" t="s">
        <v>15611</v>
      </c>
      <c r="K4666" s="0" t="s">
        <v>15612</v>
      </c>
      <c r="L4666" s="0" t="str">
        <f aca="false">HYPERLINK("https://www.ncbi.nlm.nih.gov/nuccore/CP000304.1?report=graph&amp;tracks=[key:gene_model_track,Options:GeneOnly]&amp;mk=1317224:1317243|offset_0|444444,1317202:1317221|offset_22|444444,1317181:1317200|offset_43|444444,1317142:1317161|offset_82|00cc00&amp;v=1317023:1317361&amp;c=444444", "offset 82")</f>
        <v>offset 82</v>
      </c>
    </row>
    <row r="4667" customFormat="false" ht="12.8" hidden="false" customHeight="false" outlineLevel="0" collapsed="false">
      <c r="A4667" s="0" t="s">
        <v>12</v>
      </c>
      <c r="B4667" s="0" t="n">
        <v>1319807</v>
      </c>
      <c r="C4667" s="0" t="n">
        <v>1319827</v>
      </c>
      <c r="D4667" s="0" t="s">
        <v>15613</v>
      </c>
      <c r="E4667" s="0" t="s">
        <v>89</v>
      </c>
      <c r="F4667" s="0" t="s">
        <v>90</v>
      </c>
      <c r="G4667" s="0" t="s">
        <v>26</v>
      </c>
      <c r="H4667" s="0" t="n">
        <v>7</v>
      </c>
      <c r="I4667" s="0" t="s">
        <v>15614</v>
      </c>
      <c r="J4667" s="0" t="s">
        <v>15615</v>
      </c>
      <c r="K4667" s="0" t="s">
        <v>15616</v>
      </c>
      <c r="L4667" s="0" t="str">
        <f aca="false">HYPERLINK("https://www.ncbi.nlm.nih.gov/nuccore/CP000304.1?report=graph&amp;tracks=[key:gene_model_track,Options:GeneOnly]&amp;mk=1319808:1319827|offset_7|00cc00,1319786:1319805|offset_29|444444,1319748:1319767|offset_67|444444,1319728:1319747|offset_87|444444&amp;v=1319607:1319947&amp;c=444444", "offset 7")</f>
        <v>offset 7</v>
      </c>
    </row>
    <row r="4668" customFormat="false" ht="12.8" hidden="false" customHeight="false" outlineLevel="0" collapsed="false">
      <c r="A4668" s="0" t="s">
        <v>12</v>
      </c>
      <c r="B4668" s="0" t="n">
        <v>1319785</v>
      </c>
      <c r="C4668" s="0" t="n">
        <v>1319805</v>
      </c>
      <c r="D4668" s="0" t="s">
        <v>15613</v>
      </c>
      <c r="E4668" s="0" t="s">
        <v>89</v>
      </c>
      <c r="F4668" s="0" t="s">
        <v>90</v>
      </c>
      <c r="G4668" s="0" t="s">
        <v>32</v>
      </c>
      <c r="H4668" s="0" t="n">
        <v>29</v>
      </c>
      <c r="I4668" s="0" t="s">
        <v>15617</v>
      </c>
      <c r="J4668" s="0" t="s">
        <v>15618</v>
      </c>
      <c r="K4668" s="0" t="s">
        <v>15619</v>
      </c>
      <c r="L4668" s="0" t="str">
        <f aca="false">HYPERLINK("https://www.ncbi.nlm.nih.gov/nuccore/CP000304.1?report=graph&amp;tracks=[key:gene_model_track,Options:GeneOnly]&amp;mk=1319808:1319827|offset_7|444444,1319786:1319805|offset_29|00cc00,1319748:1319767|offset_67|444444,1319728:1319747|offset_87|444444&amp;v=1319607:1319947&amp;c=444444", "offset 29")</f>
        <v>offset 29</v>
      </c>
    </row>
    <row r="4669" customFormat="false" ht="12.8" hidden="false" customHeight="false" outlineLevel="0" collapsed="false">
      <c r="A4669" s="0" t="s">
        <v>12</v>
      </c>
      <c r="B4669" s="0" t="n">
        <v>1319747</v>
      </c>
      <c r="C4669" s="0" t="n">
        <v>1319767</v>
      </c>
      <c r="D4669" s="0" t="s">
        <v>15613</v>
      </c>
      <c r="E4669" s="0" t="s">
        <v>89</v>
      </c>
      <c r="F4669" s="0" t="s">
        <v>90</v>
      </c>
      <c r="G4669" s="0" t="s">
        <v>32</v>
      </c>
      <c r="H4669" s="0" t="n">
        <v>67</v>
      </c>
      <c r="I4669" s="0" t="s">
        <v>15620</v>
      </c>
      <c r="J4669" s="0" t="s">
        <v>15621</v>
      </c>
      <c r="K4669" s="0" t="s">
        <v>15622</v>
      </c>
      <c r="L4669" s="0" t="str">
        <f aca="false">HYPERLINK("https://www.ncbi.nlm.nih.gov/nuccore/CP000304.1?report=graph&amp;tracks=[key:gene_model_track,Options:GeneOnly]&amp;mk=1319808:1319827|offset_7|444444,1319786:1319805|offset_29|444444,1319748:1319767|offset_67|00cc00,1319728:1319747|offset_87|444444&amp;v=1319607:1319947&amp;c=444444", "offset 67")</f>
        <v>offset 67</v>
      </c>
    </row>
    <row r="4670" customFormat="false" ht="12.8" hidden="false" customHeight="false" outlineLevel="0" collapsed="false">
      <c r="A4670" s="0" t="s">
        <v>12</v>
      </c>
      <c r="B4670" s="0" t="n">
        <v>1319727</v>
      </c>
      <c r="C4670" s="0" t="n">
        <v>1319747</v>
      </c>
      <c r="D4670" s="0" t="s">
        <v>15613</v>
      </c>
      <c r="E4670" s="0" t="s">
        <v>89</v>
      </c>
      <c r="F4670" s="0" t="s">
        <v>90</v>
      </c>
      <c r="G4670" s="0" t="s">
        <v>16</v>
      </c>
      <c r="H4670" s="0" t="n">
        <v>87</v>
      </c>
      <c r="I4670" s="0" t="s">
        <v>15623</v>
      </c>
      <c r="J4670" s="0" t="s">
        <v>15624</v>
      </c>
      <c r="K4670" s="0" t="s">
        <v>15625</v>
      </c>
      <c r="L4670" s="0" t="str">
        <f aca="false">HYPERLINK("https://www.ncbi.nlm.nih.gov/nuccore/CP000304.1?report=graph&amp;tracks=[key:gene_model_track,Options:GeneOnly]&amp;mk=1319808:1319827|offset_7|444444,1319786:1319805|offset_29|444444,1319748:1319767|offset_67|444444,1319728:1319747|offset_87|00cc00&amp;v=1319607:1319947&amp;c=444444", "offset 87")</f>
        <v>offset 87</v>
      </c>
    </row>
    <row r="4671" customFormat="false" ht="12.8" hidden="false" customHeight="false" outlineLevel="0" collapsed="false">
      <c r="A4671" s="0" t="s">
        <v>12</v>
      </c>
      <c r="B4671" s="0" t="n">
        <v>1320346</v>
      </c>
      <c r="C4671" s="0" t="n">
        <v>1320366</v>
      </c>
      <c r="D4671" s="0" t="s">
        <v>15626</v>
      </c>
      <c r="E4671" s="0" t="s">
        <v>89</v>
      </c>
      <c r="F4671" s="0" t="s">
        <v>90</v>
      </c>
      <c r="G4671" s="0" t="s">
        <v>36</v>
      </c>
      <c r="H4671" s="0" t="n">
        <v>40</v>
      </c>
      <c r="I4671" s="0" t="s">
        <v>15627</v>
      </c>
      <c r="J4671" s="0" t="s">
        <v>15628</v>
      </c>
      <c r="K4671" s="0" t="s">
        <v>15629</v>
      </c>
      <c r="L4671" s="0" t="str">
        <f aca="false">HYPERLINK("https://www.ncbi.nlm.nih.gov/nuccore/CP000304.1?report=graph&amp;tracks=[key:gene_model_track,Options:GeneOnly]&amp;mk=1320347:1320366|offset_40|00cc00,1320326:1320345|offset_61|444444,1320282:1320301|offset_105|444444,1320260:1320279|offset_127|444444&amp;v=1320146:1320479&amp;c=444444", "offset 40")</f>
        <v>offset 40</v>
      </c>
    </row>
    <row r="4672" customFormat="false" ht="12.8" hidden="false" customHeight="false" outlineLevel="0" collapsed="false">
      <c r="A4672" s="0" t="s">
        <v>12</v>
      </c>
      <c r="B4672" s="0" t="n">
        <v>1320325</v>
      </c>
      <c r="C4672" s="0" t="n">
        <v>1320345</v>
      </c>
      <c r="D4672" s="0" t="s">
        <v>15626</v>
      </c>
      <c r="E4672" s="0" t="s">
        <v>89</v>
      </c>
      <c r="F4672" s="0" t="s">
        <v>90</v>
      </c>
      <c r="G4672" s="0" t="s">
        <v>32</v>
      </c>
      <c r="H4672" s="0" t="n">
        <v>61</v>
      </c>
      <c r="I4672" s="0" t="s">
        <v>15630</v>
      </c>
      <c r="J4672" s="0" t="s">
        <v>15631</v>
      </c>
      <c r="K4672" s="0" t="s">
        <v>15632</v>
      </c>
      <c r="L4672" s="0" t="str">
        <f aca="false">HYPERLINK("https://www.ncbi.nlm.nih.gov/nuccore/CP000304.1?report=graph&amp;tracks=[key:gene_model_track,Options:GeneOnly]&amp;mk=1320347:1320366|offset_40|444444,1320326:1320345|offset_61|00cc00,1320282:1320301|offset_105|444444,1320260:1320279|offset_127|444444&amp;v=1320146:1320479&amp;c=444444", "offset 61")</f>
        <v>offset 61</v>
      </c>
    </row>
    <row r="4673" customFormat="false" ht="12.8" hidden="false" customHeight="false" outlineLevel="0" collapsed="false">
      <c r="A4673" s="0" t="s">
        <v>12</v>
      </c>
      <c r="B4673" s="0" t="n">
        <v>1320281</v>
      </c>
      <c r="C4673" s="0" t="n">
        <v>1320301</v>
      </c>
      <c r="D4673" s="0" t="s">
        <v>15626</v>
      </c>
      <c r="E4673" s="0" t="s">
        <v>89</v>
      </c>
      <c r="F4673" s="0" t="s">
        <v>90</v>
      </c>
      <c r="G4673" s="0" t="s">
        <v>36</v>
      </c>
      <c r="H4673" s="0" t="n">
        <v>105</v>
      </c>
      <c r="I4673" s="0" t="s">
        <v>15633</v>
      </c>
      <c r="J4673" s="0" t="s">
        <v>15634</v>
      </c>
      <c r="K4673" s="0" t="s">
        <v>15635</v>
      </c>
      <c r="L4673" s="0" t="str">
        <f aca="false">HYPERLINK("https://www.ncbi.nlm.nih.gov/nuccore/CP000304.1?report=graph&amp;tracks=[key:gene_model_track,Options:GeneOnly]&amp;mk=1320347:1320366|offset_40|444444,1320326:1320345|offset_61|444444,1320282:1320301|offset_105|00cc00,1320260:1320279|offset_127|444444&amp;v=1320146:1320479&amp;c=444444", "offset 105")</f>
        <v>offset 105</v>
      </c>
    </row>
    <row r="4674" customFormat="false" ht="12.8" hidden="false" customHeight="false" outlineLevel="0" collapsed="false">
      <c r="A4674" s="0" t="s">
        <v>12</v>
      </c>
      <c r="B4674" s="0" t="n">
        <v>1320259</v>
      </c>
      <c r="C4674" s="0" t="n">
        <v>1320279</v>
      </c>
      <c r="D4674" s="0" t="s">
        <v>15626</v>
      </c>
      <c r="E4674" s="0" t="s">
        <v>89</v>
      </c>
      <c r="F4674" s="0" t="s">
        <v>90</v>
      </c>
      <c r="G4674" s="0" t="s">
        <v>26</v>
      </c>
      <c r="H4674" s="0" t="n">
        <v>127</v>
      </c>
      <c r="I4674" s="0" t="s">
        <v>15636</v>
      </c>
      <c r="J4674" s="0" t="s">
        <v>15637</v>
      </c>
      <c r="K4674" s="0" t="s">
        <v>15638</v>
      </c>
      <c r="L4674" s="0" t="str">
        <f aca="false">HYPERLINK("https://www.ncbi.nlm.nih.gov/nuccore/CP000304.1?report=graph&amp;tracks=[key:gene_model_track,Options:GeneOnly]&amp;mk=1320347:1320366|offset_40|444444,1320326:1320345|offset_61|444444,1320282:1320301|offset_105|444444,1320260:1320279|offset_127|00cc00&amp;v=1320146:1320479&amp;c=444444", "offset 127")</f>
        <v>offset 127</v>
      </c>
    </row>
    <row r="4675" customFormat="false" ht="12.8" hidden="false" customHeight="false" outlineLevel="0" collapsed="false">
      <c r="A4675" s="0" t="s">
        <v>12</v>
      </c>
      <c r="B4675" s="0" t="n">
        <v>1320960</v>
      </c>
      <c r="C4675" s="0" t="n">
        <v>1320980</v>
      </c>
      <c r="D4675" s="0" t="s">
        <v>15639</v>
      </c>
      <c r="E4675" s="0" t="s">
        <v>89</v>
      </c>
      <c r="F4675" s="0" t="s">
        <v>90</v>
      </c>
      <c r="G4675" s="0" t="s">
        <v>16</v>
      </c>
      <c r="H4675" s="0" t="n">
        <v>7</v>
      </c>
      <c r="I4675" s="0" t="s">
        <v>15640</v>
      </c>
      <c r="J4675" s="0" t="s">
        <v>15641</v>
      </c>
      <c r="K4675" s="0" t="s">
        <v>15642</v>
      </c>
      <c r="L4675" s="0" t="str">
        <f aca="false">HYPERLINK("https://www.ncbi.nlm.nih.gov/nuccore/CP000304.1?report=graph&amp;tracks=[key:gene_model_track,Options:GeneOnly]&amp;mk=1320961:1320980|offset_7|00cc00,1320934:1320953|offset_34|444444,1320900:1320919|offset_68|444444,1320846:1320865|offset_122|444444&amp;v=1320760:1321065&amp;c=444444", "offset 7")</f>
        <v>offset 7</v>
      </c>
    </row>
    <row r="4676" customFormat="false" ht="12.8" hidden="false" customHeight="false" outlineLevel="0" collapsed="false">
      <c r="A4676" s="0" t="s">
        <v>12</v>
      </c>
      <c r="B4676" s="0" t="n">
        <v>1320933</v>
      </c>
      <c r="C4676" s="0" t="n">
        <v>1320953</v>
      </c>
      <c r="D4676" s="0" t="s">
        <v>15639</v>
      </c>
      <c r="E4676" s="0" t="s">
        <v>89</v>
      </c>
      <c r="F4676" s="0" t="s">
        <v>90</v>
      </c>
      <c r="G4676" s="0" t="s">
        <v>32</v>
      </c>
      <c r="H4676" s="0" t="n">
        <v>34</v>
      </c>
      <c r="I4676" s="0" t="s">
        <v>15643</v>
      </c>
      <c r="J4676" s="0" t="s">
        <v>15644</v>
      </c>
      <c r="K4676" s="0" t="s">
        <v>15645</v>
      </c>
      <c r="L4676" s="0" t="str">
        <f aca="false">HYPERLINK("https://www.ncbi.nlm.nih.gov/nuccore/CP000304.1?report=graph&amp;tracks=[key:gene_model_track,Options:GeneOnly]&amp;mk=1320961:1320980|offset_7|444444,1320934:1320953|offset_34|00cc00,1320900:1320919|offset_68|444444,1320846:1320865|offset_122|444444&amp;v=1320760:1321065&amp;c=444444", "offset 34")</f>
        <v>offset 34</v>
      </c>
    </row>
    <row r="4677" customFormat="false" ht="12.8" hidden="false" customHeight="false" outlineLevel="0" collapsed="false">
      <c r="A4677" s="0" t="s">
        <v>12</v>
      </c>
      <c r="B4677" s="0" t="n">
        <v>1320899</v>
      </c>
      <c r="C4677" s="0" t="n">
        <v>1320919</v>
      </c>
      <c r="D4677" s="0" t="s">
        <v>15639</v>
      </c>
      <c r="E4677" s="0" t="s">
        <v>89</v>
      </c>
      <c r="F4677" s="0" t="s">
        <v>90</v>
      </c>
      <c r="G4677" s="0" t="s">
        <v>26</v>
      </c>
      <c r="H4677" s="0" t="n">
        <v>68</v>
      </c>
      <c r="I4677" s="0" t="s">
        <v>15646</v>
      </c>
      <c r="J4677" s="0" t="s">
        <v>15647</v>
      </c>
      <c r="K4677" s="0" t="s">
        <v>15648</v>
      </c>
      <c r="L4677" s="0" t="str">
        <f aca="false">HYPERLINK("https://www.ncbi.nlm.nih.gov/nuccore/CP000304.1?report=graph&amp;tracks=[key:gene_model_track,Options:GeneOnly]&amp;mk=1320961:1320980|offset_7|444444,1320934:1320953|offset_34|444444,1320900:1320919|offset_68|00cc00,1320846:1320865|offset_122|444444&amp;v=1320760:1321065&amp;c=444444", "offset 68")</f>
        <v>offset 68</v>
      </c>
    </row>
    <row r="4678" customFormat="false" ht="12.8" hidden="false" customHeight="false" outlineLevel="0" collapsed="false">
      <c r="A4678" s="0" t="s">
        <v>12</v>
      </c>
      <c r="B4678" s="0" t="n">
        <v>1320845</v>
      </c>
      <c r="C4678" s="0" t="n">
        <v>1320865</v>
      </c>
      <c r="D4678" s="0" t="s">
        <v>15639</v>
      </c>
      <c r="E4678" s="0" t="s">
        <v>89</v>
      </c>
      <c r="F4678" s="0" t="s">
        <v>90</v>
      </c>
      <c r="G4678" s="0" t="s">
        <v>26</v>
      </c>
      <c r="H4678" s="0" t="n">
        <v>122</v>
      </c>
      <c r="I4678" s="0" t="s">
        <v>15649</v>
      </c>
      <c r="J4678" s="0" t="s">
        <v>15650</v>
      </c>
      <c r="K4678" s="0" t="s">
        <v>15651</v>
      </c>
      <c r="L4678" s="0" t="str">
        <f aca="false">HYPERLINK("https://www.ncbi.nlm.nih.gov/nuccore/CP000304.1?report=graph&amp;tracks=[key:gene_model_track,Options:GeneOnly]&amp;mk=1320961:1320980|offset_7|444444,1320934:1320953|offset_34|444444,1320900:1320919|offset_68|444444,1320846:1320865|offset_122|00cc00&amp;v=1320760:1321065&amp;c=444444", "offset 122")</f>
        <v>offset 122</v>
      </c>
    </row>
    <row r="4679" customFormat="false" ht="12.8" hidden="false" customHeight="false" outlineLevel="0" collapsed="false">
      <c r="A4679" s="0" t="s">
        <v>12</v>
      </c>
      <c r="B4679" s="0" t="n">
        <v>1322736</v>
      </c>
      <c r="C4679" s="0" t="n">
        <v>1322756</v>
      </c>
      <c r="D4679" s="0" t="s">
        <v>15652</v>
      </c>
      <c r="E4679" s="0" t="s">
        <v>89</v>
      </c>
      <c r="F4679" s="0" t="s">
        <v>90</v>
      </c>
      <c r="G4679" s="0" t="s">
        <v>36</v>
      </c>
      <c r="H4679" s="0" t="n">
        <v>0</v>
      </c>
      <c r="I4679" s="0" t="s">
        <v>15653</v>
      </c>
      <c r="J4679" s="0" t="s">
        <v>15654</v>
      </c>
      <c r="K4679" s="0" t="s">
        <v>15655</v>
      </c>
      <c r="L4679" s="0" t="str">
        <f aca="false">HYPERLINK("https://www.ncbi.nlm.nih.gov/nuccore/CP000304.1?report=graph&amp;tracks=[key:gene_model_track,Options:GeneOnly]&amp;mk=1322737:1322756|offset_0|00cc00,1322711:1322730|offset_26|444444,1322685:1322704|offset_52|444444,1322665:1322684|offset_72|444444&amp;v=1322536:1322884&amp;c=444444", "offset 0")</f>
        <v>offset 0</v>
      </c>
    </row>
    <row r="4680" customFormat="false" ht="12.8" hidden="false" customHeight="false" outlineLevel="0" collapsed="false">
      <c r="A4680" s="0" t="s">
        <v>12</v>
      </c>
      <c r="B4680" s="0" t="n">
        <v>1322710</v>
      </c>
      <c r="C4680" s="0" t="n">
        <v>1322730</v>
      </c>
      <c r="D4680" s="0" t="s">
        <v>15652</v>
      </c>
      <c r="E4680" s="0" t="s">
        <v>89</v>
      </c>
      <c r="F4680" s="0" t="s">
        <v>90</v>
      </c>
      <c r="G4680" s="0" t="s">
        <v>36</v>
      </c>
      <c r="H4680" s="0" t="n">
        <v>26</v>
      </c>
      <c r="I4680" s="0" t="s">
        <v>15656</v>
      </c>
      <c r="J4680" s="0" t="s">
        <v>15657</v>
      </c>
      <c r="K4680" s="0" t="s">
        <v>15658</v>
      </c>
      <c r="L4680" s="0" t="str">
        <f aca="false">HYPERLINK("https://www.ncbi.nlm.nih.gov/nuccore/CP000304.1?report=graph&amp;tracks=[key:gene_model_track,Options:GeneOnly]&amp;mk=1322737:1322756|offset_0|444444,1322711:1322730|offset_26|00cc00,1322685:1322704|offset_52|444444,1322665:1322684|offset_72|444444&amp;v=1322536:1322884&amp;c=444444", "offset 26")</f>
        <v>offset 26</v>
      </c>
    </row>
    <row r="4681" customFormat="false" ht="12.8" hidden="false" customHeight="false" outlineLevel="0" collapsed="false">
      <c r="A4681" s="0" t="s">
        <v>12</v>
      </c>
      <c r="B4681" s="0" t="n">
        <v>1322684</v>
      </c>
      <c r="C4681" s="0" t="n">
        <v>1322704</v>
      </c>
      <c r="D4681" s="0" t="s">
        <v>15652</v>
      </c>
      <c r="E4681" s="0" t="s">
        <v>89</v>
      </c>
      <c r="F4681" s="0" t="s">
        <v>90</v>
      </c>
      <c r="G4681" s="0" t="s">
        <v>32</v>
      </c>
      <c r="H4681" s="0" t="n">
        <v>52</v>
      </c>
      <c r="I4681" s="0" t="s">
        <v>15659</v>
      </c>
      <c r="J4681" s="0" t="s">
        <v>15660</v>
      </c>
      <c r="K4681" s="0" t="s">
        <v>15661</v>
      </c>
      <c r="L4681" s="0" t="str">
        <f aca="false">HYPERLINK("https://www.ncbi.nlm.nih.gov/nuccore/CP000304.1?report=graph&amp;tracks=[key:gene_model_track,Options:GeneOnly]&amp;mk=1322737:1322756|offset_0|444444,1322711:1322730|offset_26|444444,1322685:1322704|offset_52|00cc00,1322665:1322684|offset_72|444444&amp;v=1322536:1322884&amp;c=444444", "offset 52")</f>
        <v>offset 52</v>
      </c>
    </row>
    <row r="4682" customFormat="false" ht="12.8" hidden="false" customHeight="false" outlineLevel="0" collapsed="false">
      <c r="A4682" s="0" t="s">
        <v>12</v>
      </c>
      <c r="B4682" s="0" t="n">
        <v>1322664</v>
      </c>
      <c r="C4682" s="0" t="n">
        <v>1322684</v>
      </c>
      <c r="D4682" s="0" t="s">
        <v>15652</v>
      </c>
      <c r="E4682" s="0" t="s">
        <v>89</v>
      </c>
      <c r="F4682" s="0" t="s">
        <v>90</v>
      </c>
      <c r="G4682" s="0" t="s">
        <v>32</v>
      </c>
      <c r="H4682" s="0" t="n">
        <v>72</v>
      </c>
      <c r="I4682" s="0" t="s">
        <v>15662</v>
      </c>
      <c r="J4682" s="0" t="s">
        <v>15663</v>
      </c>
      <c r="K4682" s="0" t="s">
        <v>15664</v>
      </c>
      <c r="L4682" s="0" t="str">
        <f aca="false">HYPERLINK("https://www.ncbi.nlm.nih.gov/nuccore/CP000304.1?report=graph&amp;tracks=[key:gene_model_track,Options:GeneOnly]&amp;mk=1322737:1322756|offset_0|444444,1322711:1322730|offset_26|444444,1322685:1322704|offset_52|444444,1322665:1322684|offset_72|00cc00&amp;v=1322536:1322884&amp;c=444444", "offset 72")</f>
        <v>offset 72</v>
      </c>
    </row>
    <row r="4683" customFormat="false" ht="12.8" hidden="false" customHeight="false" outlineLevel="0" collapsed="false">
      <c r="A4683" s="0" t="s">
        <v>12</v>
      </c>
      <c r="B4683" s="0" t="n">
        <v>1323587</v>
      </c>
      <c r="C4683" s="0" t="n">
        <v>1323607</v>
      </c>
      <c r="D4683" s="0" t="s">
        <v>15665</v>
      </c>
      <c r="E4683" s="0" t="s">
        <v>89</v>
      </c>
      <c r="F4683" s="0" t="s">
        <v>90</v>
      </c>
      <c r="G4683" s="0" t="s">
        <v>32</v>
      </c>
      <c r="H4683" s="0" t="n">
        <v>1</v>
      </c>
      <c r="I4683" s="0" t="s">
        <v>15666</v>
      </c>
      <c r="J4683" s="0" t="s">
        <v>15667</v>
      </c>
      <c r="K4683" s="0" t="s">
        <v>15668</v>
      </c>
      <c r="L4683" s="0" t="str">
        <f aca="false">HYPERLINK("https://www.ncbi.nlm.nih.gov/nuccore/CP000304.1?report=graph&amp;tracks=[key:gene_model_track,Options:GeneOnly]&amp;mk=1323588:1323607|offset_1|00cc00,1323568:1323587|offset_21|444444,1323545:1323564|offset_44|444444,1323512:1323531|offset_77|444444&amp;v=1323387:1323731&amp;c=444444", "offset 1")</f>
        <v>offset 1</v>
      </c>
    </row>
    <row r="4684" customFormat="false" ht="12.8" hidden="false" customHeight="false" outlineLevel="0" collapsed="false">
      <c r="A4684" s="0" t="s">
        <v>12</v>
      </c>
      <c r="B4684" s="0" t="n">
        <v>1323567</v>
      </c>
      <c r="C4684" s="0" t="n">
        <v>1323587</v>
      </c>
      <c r="D4684" s="0" t="s">
        <v>15665</v>
      </c>
      <c r="E4684" s="0" t="s">
        <v>89</v>
      </c>
      <c r="F4684" s="0" t="s">
        <v>90</v>
      </c>
      <c r="G4684" s="0" t="s">
        <v>36</v>
      </c>
      <c r="H4684" s="0" t="n">
        <v>21</v>
      </c>
      <c r="I4684" s="0" t="s">
        <v>15669</v>
      </c>
      <c r="J4684" s="0" t="s">
        <v>15670</v>
      </c>
      <c r="K4684" s="0" t="s">
        <v>15671</v>
      </c>
      <c r="L4684" s="0" t="str">
        <f aca="false">HYPERLINK("https://www.ncbi.nlm.nih.gov/nuccore/CP000304.1?report=graph&amp;tracks=[key:gene_model_track,Options:GeneOnly]&amp;mk=1323588:1323607|offset_1|444444,1323568:1323587|offset_21|00cc00,1323545:1323564|offset_44|444444,1323512:1323531|offset_77|444444&amp;v=1323387:1323731&amp;c=444444", "offset 21")</f>
        <v>offset 21</v>
      </c>
    </row>
    <row r="4685" customFormat="false" ht="12.8" hidden="false" customHeight="false" outlineLevel="0" collapsed="false">
      <c r="A4685" s="0" t="s">
        <v>12</v>
      </c>
      <c r="B4685" s="0" t="n">
        <v>1323544</v>
      </c>
      <c r="C4685" s="0" t="n">
        <v>1323564</v>
      </c>
      <c r="D4685" s="0" t="s">
        <v>15665</v>
      </c>
      <c r="E4685" s="0" t="s">
        <v>89</v>
      </c>
      <c r="F4685" s="0" t="s">
        <v>90</v>
      </c>
      <c r="G4685" s="0" t="s">
        <v>26</v>
      </c>
      <c r="H4685" s="0" t="n">
        <v>44</v>
      </c>
      <c r="I4685" s="0" t="s">
        <v>15672</v>
      </c>
      <c r="J4685" s="0" t="s">
        <v>15673</v>
      </c>
      <c r="K4685" s="0" t="s">
        <v>15674</v>
      </c>
      <c r="L4685" s="0" t="str">
        <f aca="false">HYPERLINK("https://www.ncbi.nlm.nih.gov/nuccore/CP000304.1?report=graph&amp;tracks=[key:gene_model_track,Options:GeneOnly]&amp;mk=1323588:1323607|offset_1|444444,1323568:1323587|offset_21|444444,1323545:1323564|offset_44|00cc00,1323512:1323531|offset_77|444444&amp;v=1323387:1323731&amp;c=444444", "offset 44")</f>
        <v>offset 44</v>
      </c>
    </row>
    <row r="4686" customFormat="false" ht="12.8" hidden="false" customHeight="false" outlineLevel="0" collapsed="false">
      <c r="A4686" s="0" t="s">
        <v>12</v>
      </c>
      <c r="B4686" s="0" t="n">
        <v>1323511</v>
      </c>
      <c r="C4686" s="0" t="n">
        <v>1323531</v>
      </c>
      <c r="D4686" s="0" t="s">
        <v>15665</v>
      </c>
      <c r="E4686" s="0" t="s">
        <v>89</v>
      </c>
      <c r="F4686" s="0" t="s">
        <v>90</v>
      </c>
      <c r="G4686" s="0" t="s">
        <v>32</v>
      </c>
      <c r="H4686" s="0" t="n">
        <v>77</v>
      </c>
      <c r="I4686" s="0" t="s">
        <v>15675</v>
      </c>
      <c r="J4686" s="0" t="s">
        <v>15676</v>
      </c>
      <c r="K4686" s="0" t="s">
        <v>15677</v>
      </c>
      <c r="L4686" s="0" t="str">
        <f aca="false">HYPERLINK("https://www.ncbi.nlm.nih.gov/nuccore/CP000304.1?report=graph&amp;tracks=[key:gene_model_track,Options:GeneOnly]&amp;mk=1323588:1323607|offset_1|444444,1323568:1323587|offset_21|444444,1323545:1323564|offset_44|444444,1323512:1323531|offset_77|00cc00&amp;v=1323387:1323731&amp;c=444444", "offset 77")</f>
        <v>offset 77</v>
      </c>
    </row>
    <row r="4687" customFormat="false" ht="12.8" hidden="false" customHeight="false" outlineLevel="0" collapsed="false">
      <c r="A4687" s="0" t="s">
        <v>12</v>
      </c>
      <c r="B4687" s="0" t="n">
        <v>1324981</v>
      </c>
      <c r="C4687" s="0" t="n">
        <v>1325001</v>
      </c>
      <c r="D4687" s="0" t="s">
        <v>15678</v>
      </c>
      <c r="E4687" s="0" t="s">
        <v>89</v>
      </c>
      <c r="F4687" s="0" t="s">
        <v>90</v>
      </c>
      <c r="G4687" s="0" t="s">
        <v>16</v>
      </c>
      <c r="H4687" s="0" t="n">
        <v>8</v>
      </c>
      <c r="I4687" s="0" t="s">
        <v>15679</v>
      </c>
      <c r="J4687" s="0" t="s">
        <v>15680</v>
      </c>
      <c r="K4687" s="0" t="s">
        <v>15681</v>
      </c>
      <c r="L4687" s="0" t="str">
        <f aca="false">HYPERLINK("https://www.ncbi.nlm.nih.gov/nuccore/CP000304.1?report=graph&amp;tracks=[key:gene_model_track,Options:GeneOnly]&amp;mk=1324982:1325001|offset_8|00cc00,1324929:1324948|offset_61|444444,1324900:1324919|offset_90|444444,1324871:1324890|offset_119|444444&amp;v=1324781:1325090&amp;c=444444", "offset 8")</f>
        <v>offset 8</v>
      </c>
    </row>
    <row r="4688" customFormat="false" ht="12.8" hidden="false" customHeight="false" outlineLevel="0" collapsed="false">
      <c r="A4688" s="0" t="s">
        <v>12</v>
      </c>
      <c r="B4688" s="0" t="n">
        <v>1324928</v>
      </c>
      <c r="C4688" s="0" t="n">
        <v>1324948</v>
      </c>
      <c r="D4688" s="0" t="s">
        <v>15678</v>
      </c>
      <c r="E4688" s="0" t="s">
        <v>89</v>
      </c>
      <c r="F4688" s="0" t="s">
        <v>90</v>
      </c>
      <c r="G4688" s="0" t="s">
        <v>16</v>
      </c>
      <c r="H4688" s="0" t="n">
        <v>61</v>
      </c>
      <c r="I4688" s="0" t="s">
        <v>15682</v>
      </c>
      <c r="J4688" s="0" t="s">
        <v>15683</v>
      </c>
      <c r="K4688" s="0" t="s">
        <v>15684</v>
      </c>
      <c r="L4688" s="0" t="str">
        <f aca="false">HYPERLINK("https://www.ncbi.nlm.nih.gov/nuccore/CP000304.1?report=graph&amp;tracks=[key:gene_model_track,Options:GeneOnly]&amp;mk=1324982:1325001|offset_8|444444,1324929:1324948|offset_61|00cc00,1324900:1324919|offset_90|444444,1324871:1324890|offset_119|444444&amp;v=1324781:1325090&amp;c=444444", "offset 61")</f>
        <v>offset 61</v>
      </c>
    </row>
    <row r="4689" customFormat="false" ht="12.8" hidden="false" customHeight="false" outlineLevel="0" collapsed="false">
      <c r="A4689" s="0" t="s">
        <v>12</v>
      </c>
      <c r="B4689" s="0" t="n">
        <v>1324899</v>
      </c>
      <c r="C4689" s="0" t="n">
        <v>1324919</v>
      </c>
      <c r="D4689" s="0" t="s">
        <v>15678</v>
      </c>
      <c r="E4689" s="0" t="s">
        <v>89</v>
      </c>
      <c r="F4689" s="0" t="s">
        <v>90</v>
      </c>
      <c r="G4689" s="0" t="s">
        <v>36</v>
      </c>
      <c r="H4689" s="0" t="n">
        <v>90</v>
      </c>
      <c r="I4689" s="0" t="s">
        <v>15685</v>
      </c>
      <c r="J4689" s="0" t="s">
        <v>15686</v>
      </c>
      <c r="K4689" s="0" t="s">
        <v>15687</v>
      </c>
      <c r="L4689" s="0" t="str">
        <f aca="false">HYPERLINK("https://www.ncbi.nlm.nih.gov/nuccore/CP000304.1?report=graph&amp;tracks=[key:gene_model_track,Options:GeneOnly]&amp;mk=1324982:1325001|offset_8|444444,1324929:1324948|offset_61|444444,1324900:1324919|offset_90|00cc00,1324871:1324890|offset_119|444444&amp;v=1324781:1325090&amp;c=444444", "offset 90")</f>
        <v>offset 90</v>
      </c>
    </row>
    <row r="4690" customFormat="false" ht="12.8" hidden="false" customHeight="false" outlineLevel="0" collapsed="false">
      <c r="A4690" s="0" t="s">
        <v>12</v>
      </c>
      <c r="B4690" s="0" t="n">
        <v>1324870</v>
      </c>
      <c r="C4690" s="0" t="n">
        <v>1324890</v>
      </c>
      <c r="D4690" s="0" t="s">
        <v>15678</v>
      </c>
      <c r="E4690" s="0" t="s">
        <v>89</v>
      </c>
      <c r="F4690" s="0" t="s">
        <v>90</v>
      </c>
      <c r="G4690" s="0" t="s">
        <v>26</v>
      </c>
      <c r="H4690" s="0" t="n">
        <v>119</v>
      </c>
      <c r="I4690" s="0" t="s">
        <v>15688</v>
      </c>
      <c r="J4690" s="0" t="s">
        <v>15689</v>
      </c>
      <c r="K4690" s="0" t="s">
        <v>15690</v>
      </c>
      <c r="L4690" s="0" t="str">
        <f aca="false">HYPERLINK("https://www.ncbi.nlm.nih.gov/nuccore/CP000304.1?report=graph&amp;tracks=[key:gene_model_track,Options:GeneOnly]&amp;mk=1324982:1325001|offset_8|444444,1324929:1324948|offset_61|444444,1324900:1324919|offset_90|444444,1324871:1324890|offset_119|00cc00&amp;v=1324781:1325090&amp;c=444444", "offset 119")</f>
        <v>offset 119</v>
      </c>
    </row>
    <row r="4691" customFormat="false" ht="12.8" hidden="false" customHeight="false" outlineLevel="0" collapsed="false">
      <c r="A4691" s="0" t="s">
        <v>12</v>
      </c>
      <c r="B4691" s="0" t="n">
        <v>1325353</v>
      </c>
      <c r="C4691" s="0" t="n">
        <v>1325373</v>
      </c>
      <c r="D4691" s="0" t="s">
        <v>15691</v>
      </c>
      <c r="E4691" s="0" t="s">
        <v>15692</v>
      </c>
      <c r="F4691" s="0" t="s">
        <v>15</v>
      </c>
      <c r="G4691" s="0" t="s">
        <v>26</v>
      </c>
      <c r="H4691" s="0" t="n">
        <v>19</v>
      </c>
      <c r="I4691" s="0" t="s">
        <v>15693</v>
      </c>
      <c r="J4691" s="0" t="s">
        <v>15694</v>
      </c>
      <c r="K4691" s="0" t="s">
        <v>15695</v>
      </c>
      <c r="L4691" s="0" t="str">
        <f aca="false">HYPERLINK("https://www.ncbi.nlm.nih.gov/nuccore/CP000304.1?report=graph&amp;tracks=[key:gene_model_track,Options:GeneOnly]&amp;mk=1325354:1325373|offset_19|00cc00,1325375:1325394|offset_40|444444,1325395:1325414|offset_60|444444,1325434:1325453|offset_99|444444&amp;v=1325153:1325653&amp;c=444444", "offset 19")</f>
        <v>offset 19</v>
      </c>
    </row>
    <row r="4692" customFormat="false" ht="12.8" hidden="false" customHeight="false" outlineLevel="0" collapsed="false">
      <c r="A4692" s="0" t="s">
        <v>12</v>
      </c>
      <c r="B4692" s="0" t="n">
        <v>1325374</v>
      </c>
      <c r="C4692" s="0" t="n">
        <v>1325394</v>
      </c>
      <c r="D4692" s="0" t="s">
        <v>15691</v>
      </c>
      <c r="E4692" s="0" t="s">
        <v>15692</v>
      </c>
      <c r="F4692" s="0" t="s">
        <v>15</v>
      </c>
      <c r="G4692" s="0" t="s">
        <v>16</v>
      </c>
      <c r="H4692" s="0" t="n">
        <v>40</v>
      </c>
      <c r="I4692" s="0" t="s">
        <v>15696</v>
      </c>
      <c r="J4692" s="0" t="s">
        <v>15697</v>
      </c>
      <c r="K4692" s="0" t="s">
        <v>15698</v>
      </c>
      <c r="L4692" s="0" t="str">
        <f aca="false">HYPERLINK("https://www.ncbi.nlm.nih.gov/nuccore/CP000304.1?report=graph&amp;tracks=[key:gene_model_track,Options:GeneOnly]&amp;mk=1325354:1325373|offset_19|444444,1325375:1325394|offset_40|00cc00,1325395:1325414|offset_60|444444,1325434:1325453|offset_99|444444&amp;v=1325153:1325653&amp;c=444444", "offset 40")</f>
        <v>offset 40</v>
      </c>
    </row>
    <row r="4693" customFormat="false" ht="12.8" hidden="false" customHeight="false" outlineLevel="0" collapsed="false">
      <c r="A4693" s="0" t="s">
        <v>12</v>
      </c>
      <c r="B4693" s="0" t="n">
        <v>1325394</v>
      </c>
      <c r="C4693" s="0" t="n">
        <v>1325414</v>
      </c>
      <c r="D4693" s="0" t="s">
        <v>15691</v>
      </c>
      <c r="E4693" s="0" t="s">
        <v>15692</v>
      </c>
      <c r="F4693" s="0" t="s">
        <v>15</v>
      </c>
      <c r="G4693" s="0" t="s">
        <v>32</v>
      </c>
      <c r="H4693" s="0" t="n">
        <v>60</v>
      </c>
      <c r="I4693" s="0" t="s">
        <v>15699</v>
      </c>
      <c r="J4693" s="0" t="s">
        <v>15700</v>
      </c>
      <c r="K4693" s="0" t="s">
        <v>15701</v>
      </c>
      <c r="L4693" s="0" t="str">
        <f aca="false">HYPERLINK("https://www.ncbi.nlm.nih.gov/nuccore/CP000304.1?report=graph&amp;tracks=[key:gene_model_track,Options:GeneOnly]&amp;mk=1325354:1325373|offset_19|444444,1325375:1325394|offset_40|444444,1325395:1325414|offset_60|00cc00,1325434:1325453|offset_99|444444&amp;v=1325153:1325653&amp;c=444444", "offset 60")</f>
        <v>offset 60</v>
      </c>
    </row>
    <row r="4694" customFormat="false" ht="12.8" hidden="false" customHeight="false" outlineLevel="0" collapsed="false">
      <c r="A4694" s="0" t="s">
        <v>12</v>
      </c>
      <c r="B4694" s="0" t="n">
        <v>1325433</v>
      </c>
      <c r="C4694" s="0" t="n">
        <v>1325453</v>
      </c>
      <c r="D4694" s="0" t="s">
        <v>15691</v>
      </c>
      <c r="E4694" s="0" t="s">
        <v>15692</v>
      </c>
      <c r="F4694" s="0" t="s">
        <v>15</v>
      </c>
      <c r="G4694" s="0" t="s">
        <v>16</v>
      </c>
      <c r="H4694" s="0" t="n">
        <v>99</v>
      </c>
      <c r="I4694" s="0" t="s">
        <v>15702</v>
      </c>
      <c r="J4694" s="0" t="s">
        <v>15703</v>
      </c>
      <c r="K4694" s="0" t="s">
        <v>15704</v>
      </c>
      <c r="L4694" s="0" t="str">
        <f aca="false">HYPERLINK("https://www.ncbi.nlm.nih.gov/nuccore/CP000304.1?report=graph&amp;tracks=[key:gene_model_track,Options:GeneOnly]&amp;mk=1325354:1325373|offset_19|444444,1325375:1325394|offset_40|444444,1325395:1325414|offset_60|444444,1325434:1325453|offset_99|00cc00&amp;v=1325153:1325653&amp;c=444444", "offset 99")</f>
        <v>offset 99</v>
      </c>
    </row>
    <row r="4695" customFormat="false" ht="12.8" hidden="false" customHeight="false" outlineLevel="0" collapsed="false">
      <c r="A4695" s="0" t="s">
        <v>12</v>
      </c>
      <c r="B4695" s="0" t="n">
        <v>1326471</v>
      </c>
      <c r="C4695" s="0" t="n">
        <v>1326491</v>
      </c>
      <c r="D4695" s="0" t="s">
        <v>15705</v>
      </c>
      <c r="E4695" s="0" t="s">
        <v>89</v>
      </c>
      <c r="F4695" s="0" t="s">
        <v>90</v>
      </c>
      <c r="G4695" s="0" t="s">
        <v>32</v>
      </c>
      <c r="H4695" s="0" t="n">
        <v>16</v>
      </c>
      <c r="I4695" s="0" t="s">
        <v>15706</v>
      </c>
      <c r="J4695" s="0" t="s">
        <v>15707</v>
      </c>
      <c r="K4695" s="0" t="s">
        <v>15708</v>
      </c>
      <c r="L4695" s="0" t="str">
        <f aca="false">HYPERLINK("https://www.ncbi.nlm.nih.gov/nuccore/CP000304.1?report=graph&amp;tracks=[key:gene_model_track,Options:GeneOnly]&amp;mk=1326472:1326491|offset_16|00cc00,1326445:1326464|offset_43|444444,1326424:1326443|offset_64|444444,1326379:1326398|offset_109|444444&amp;v=1326271:1326598&amp;c=444444", "offset 16")</f>
        <v>offset 16</v>
      </c>
    </row>
    <row r="4696" customFormat="false" ht="12.8" hidden="false" customHeight="false" outlineLevel="0" collapsed="false">
      <c r="A4696" s="0" t="s">
        <v>12</v>
      </c>
      <c r="B4696" s="0" t="n">
        <v>1326444</v>
      </c>
      <c r="C4696" s="0" t="n">
        <v>1326464</v>
      </c>
      <c r="D4696" s="0" t="s">
        <v>15705</v>
      </c>
      <c r="E4696" s="0" t="s">
        <v>89</v>
      </c>
      <c r="F4696" s="0" t="s">
        <v>90</v>
      </c>
      <c r="G4696" s="0" t="s">
        <v>26</v>
      </c>
      <c r="H4696" s="0" t="n">
        <v>43</v>
      </c>
      <c r="I4696" s="0" t="s">
        <v>15709</v>
      </c>
      <c r="J4696" s="0" t="s">
        <v>15710</v>
      </c>
      <c r="K4696" s="0" t="s">
        <v>15711</v>
      </c>
      <c r="L4696" s="0" t="str">
        <f aca="false">HYPERLINK("https://www.ncbi.nlm.nih.gov/nuccore/CP000304.1?report=graph&amp;tracks=[key:gene_model_track,Options:GeneOnly]&amp;mk=1326472:1326491|offset_16|444444,1326445:1326464|offset_43|00cc00,1326424:1326443|offset_64|444444,1326379:1326398|offset_109|444444&amp;v=1326271:1326598&amp;c=444444", "offset 43")</f>
        <v>offset 43</v>
      </c>
    </row>
    <row r="4697" customFormat="false" ht="12.8" hidden="false" customHeight="false" outlineLevel="0" collapsed="false">
      <c r="A4697" s="0" t="s">
        <v>12</v>
      </c>
      <c r="B4697" s="0" t="n">
        <v>1326423</v>
      </c>
      <c r="C4697" s="0" t="n">
        <v>1326443</v>
      </c>
      <c r="D4697" s="0" t="s">
        <v>15705</v>
      </c>
      <c r="E4697" s="0" t="s">
        <v>89</v>
      </c>
      <c r="F4697" s="0" t="s">
        <v>90</v>
      </c>
      <c r="G4697" s="0" t="s">
        <v>32</v>
      </c>
      <c r="H4697" s="0" t="n">
        <v>64</v>
      </c>
      <c r="I4697" s="0" t="s">
        <v>15712</v>
      </c>
      <c r="J4697" s="0" t="s">
        <v>15713</v>
      </c>
      <c r="K4697" s="0" t="s">
        <v>15714</v>
      </c>
      <c r="L4697" s="0" t="str">
        <f aca="false">HYPERLINK("https://www.ncbi.nlm.nih.gov/nuccore/CP000304.1?report=graph&amp;tracks=[key:gene_model_track,Options:GeneOnly]&amp;mk=1326472:1326491|offset_16|444444,1326445:1326464|offset_43|444444,1326424:1326443|offset_64|00cc00,1326379:1326398|offset_109|444444&amp;v=1326271:1326598&amp;c=444444", "offset 64")</f>
        <v>offset 64</v>
      </c>
    </row>
    <row r="4698" customFormat="false" ht="12.8" hidden="false" customHeight="false" outlineLevel="0" collapsed="false">
      <c r="A4698" s="0" t="s">
        <v>12</v>
      </c>
      <c r="B4698" s="0" t="n">
        <v>1326378</v>
      </c>
      <c r="C4698" s="0" t="n">
        <v>1326398</v>
      </c>
      <c r="D4698" s="0" t="s">
        <v>15705</v>
      </c>
      <c r="E4698" s="0" t="s">
        <v>89</v>
      </c>
      <c r="F4698" s="0" t="s">
        <v>90</v>
      </c>
      <c r="G4698" s="0" t="s">
        <v>26</v>
      </c>
      <c r="H4698" s="0" t="n">
        <v>109</v>
      </c>
      <c r="I4698" s="0" t="s">
        <v>15715</v>
      </c>
      <c r="J4698" s="0" t="s">
        <v>15716</v>
      </c>
      <c r="K4698" s="0" t="s">
        <v>15717</v>
      </c>
      <c r="L4698" s="0" t="str">
        <f aca="false">HYPERLINK("https://www.ncbi.nlm.nih.gov/nuccore/CP000304.1?report=graph&amp;tracks=[key:gene_model_track,Options:GeneOnly]&amp;mk=1326472:1326491|offset_16|444444,1326445:1326464|offset_43|444444,1326424:1326443|offset_64|444444,1326379:1326398|offset_109|00cc00&amp;v=1326271:1326598&amp;c=444444", "offset 109")</f>
        <v>offset 109</v>
      </c>
    </row>
    <row r="4699" customFormat="false" ht="12.8" hidden="false" customHeight="false" outlineLevel="0" collapsed="false">
      <c r="A4699" s="0" t="s">
        <v>12</v>
      </c>
      <c r="B4699" s="0" t="n">
        <v>1327456</v>
      </c>
      <c r="C4699" s="0" t="n">
        <v>1327476</v>
      </c>
      <c r="D4699" s="0" t="s">
        <v>15718</v>
      </c>
      <c r="E4699" s="0" t="s">
        <v>89</v>
      </c>
      <c r="F4699" s="0" t="s">
        <v>90</v>
      </c>
      <c r="G4699" s="0" t="s">
        <v>36</v>
      </c>
      <c r="H4699" s="0" t="n">
        <v>10</v>
      </c>
      <c r="I4699" s="0" t="s">
        <v>15719</v>
      </c>
      <c r="J4699" s="0" t="s">
        <v>15720</v>
      </c>
      <c r="K4699" s="0" t="s">
        <v>15721</v>
      </c>
      <c r="L4699" s="0" t="str">
        <f aca="false">HYPERLINK("https://www.ncbi.nlm.nih.gov/nuccore/CP000304.1?report=graph&amp;tracks=[key:gene_model_track,Options:GeneOnly]&amp;mk=1327457:1327476|offset_10|00cc00,1327427:1327446|offset_40|444444,1327399:1327418|offset_68|444444,1327355:1327374|offset_112|444444&amp;v=1327256:1327574&amp;c=444444", "offset 10")</f>
        <v>offset 10</v>
      </c>
    </row>
    <row r="4700" customFormat="false" ht="12.8" hidden="false" customHeight="false" outlineLevel="0" collapsed="false">
      <c r="A4700" s="0" t="s">
        <v>12</v>
      </c>
      <c r="B4700" s="0" t="n">
        <v>1327426</v>
      </c>
      <c r="C4700" s="0" t="n">
        <v>1327446</v>
      </c>
      <c r="D4700" s="0" t="s">
        <v>15718</v>
      </c>
      <c r="E4700" s="0" t="s">
        <v>89</v>
      </c>
      <c r="F4700" s="0" t="s">
        <v>90</v>
      </c>
      <c r="G4700" s="0" t="s">
        <v>36</v>
      </c>
      <c r="H4700" s="0" t="n">
        <v>40</v>
      </c>
      <c r="I4700" s="0" t="s">
        <v>15722</v>
      </c>
      <c r="J4700" s="0" t="s">
        <v>15723</v>
      </c>
      <c r="K4700" s="0" t="s">
        <v>15724</v>
      </c>
      <c r="L4700" s="0" t="str">
        <f aca="false">HYPERLINK("https://www.ncbi.nlm.nih.gov/nuccore/CP000304.1?report=graph&amp;tracks=[key:gene_model_track,Options:GeneOnly]&amp;mk=1327457:1327476|offset_10|444444,1327427:1327446|offset_40|00cc00,1327399:1327418|offset_68|444444,1327355:1327374|offset_112|444444&amp;v=1327256:1327574&amp;c=444444", "offset 40")</f>
        <v>offset 40</v>
      </c>
    </row>
    <row r="4701" customFormat="false" ht="12.8" hidden="false" customHeight="false" outlineLevel="0" collapsed="false">
      <c r="A4701" s="0" t="s">
        <v>12</v>
      </c>
      <c r="B4701" s="0" t="n">
        <v>1327398</v>
      </c>
      <c r="C4701" s="0" t="n">
        <v>1327418</v>
      </c>
      <c r="D4701" s="0" t="s">
        <v>15718</v>
      </c>
      <c r="E4701" s="0" t="s">
        <v>89</v>
      </c>
      <c r="F4701" s="0" t="s">
        <v>90</v>
      </c>
      <c r="G4701" s="0" t="s">
        <v>26</v>
      </c>
      <c r="H4701" s="0" t="n">
        <v>68</v>
      </c>
      <c r="I4701" s="0" t="s">
        <v>15725</v>
      </c>
      <c r="J4701" s="0" t="s">
        <v>15726</v>
      </c>
      <c r="K4701" s="0" t="s">
        <v>15727</v>
      </c>
      <c r="L4701" s="0" t="str">
        <f aca="false">HYPERLINK("https://www.ncbi.nlm.nih.gov/nuccore/CP000304.1?report=graph&amp;tracks=[key:gene_model_track,Options:GeneOnly]&amp;mk=1327457:1327476|offset_10|444444,1327427:1327446|offset_40|444444,1327399:1327418|offset_68|00cc00,1327355:1327374|offset_112|444444&amp;v=1327256:1327574&amp;c=444444", "offset 68")</f>
        <v>offset 68</v>
      </c>
    </row>
    <row r="4702" customFormat="false" ht="12.8" hidden="false" customHeight="false" outlineLevel="0" collapsed="false">
      <c r="A4702" s="0" t="s">
        <v>12</v>
      </c>
      <c r="B4702" s="0" t="n">
        <v>1327354</v>
      </c>
      <c r="C4702" s="0" t="n">
        <v>1327374</v>
      </c>
      <c r="D4702" s="0" t="s">
        <v>15718</v>
      </c>
      <c r="E4702" s="0" t="s">
        <v>89</v>
      </c>
      <c r="F4702" s="0" t="s">
        <v>90</v>
      </c>
      <c r="G4702" s="0" t="s">
        <v>16</v>
      </c>
      <c r="H4702" s="0" t="n">
        <v>112</v>
      </c>
      <c r="I4702" s="0" t="s">
        <v>15728</v>
      </c>
      <c r="J4702" s="0" t="s">
        <v>15729</v>
      </c>
      <c r="K4702" s="0" t="s">
        <v>15730</v>
      </c>
      <c r="L4702" s="0" t="str">
        <f aca="false">HYPERLINK("https://www.ncbi.nlm.nih.gov/nuccore/CP000304.1?report=graph&amp;tracks=[key:gene_model_track,Options:GeneOnly]&amp;mk=1327457:1327476|offset_10|444444,1327427:1327446|offset_40|444444,1327399:1327418|offset_68|444444,1327355:1327374|offset_112|00cc00&amp;v=1327256:1327574&amp;c=444444", "offset 112")</f>
        <v>offset 112</v>
      </c>
    </row>
    <row r="4703" customFormat="false" ht="12.8" hidden="false" customHeight="false" outlineLevel="0" collapsed="false">
      <c r="A4703" s="0" t="s">
        <v>12</v>
      </c>
      <c r="B4703" s="0" t="n">
        <v>1328342</v>
      </c>
      <c r="C4703" s="0" t="n">
        <v>1328362</v>
      </c>
      <c r="D4703" s="0" t="s">
        <v>15731</v>
      </c>
      <c r="E4703" s="0" t="s">
        <v>89</v>
      </c>
      <c r="F4703" s="0" t="s">
        <v>90</v>
      </c>
      <c r="G4703" s="0" t="s">
        <v>16</v>
      </c>
      <c r="H4703" s="0" t="n">
        <v>17</v>
      </c>
      <c r="I4703" s="0" t="s">
        <v>15732</v>
      </c>
      <c r="J4703" s="0" t="s">
        <v>15733</v>
      </c>
      <c r="K4703" s="0" t="s">
        <v>15734</v>
      </c>
      <c r="L4703" s="0" t="str">
        <f aca="false">HYPERLINK("https://www.ncbi.nlm.nih.gov/nuccore/CP000304.1?report=graph&amp;tracks=[key:gene_model_track,Options:GeneOnly]&amp;mk=1328343:1328362|offset_17|00cc00,1328285:1328304|offset_75|444444,1328248:1328267|offset_112|444444,1328221:1328240|offset_139|444444&amp;v=1328142:1328440&amp;c=444444", "offset 17")</f>
        <v>offset 17</v>
      </c>
    </row>
    <row r="4704" customFormat="false" ht="12.8" hidden="false" customHeight="false" outlineLevel="0" collapsed="false">
      <c r="A4704" s="0" t="s">
        <v>12</v>
      </c>
      <c r="B4704" s="0" t="n">
        <v>1328284</v>
      </c>
      <c r="C4704" s="0" t="n">
        <v>1328304</v>
      </c>
      <c r="D4704" s="0" t="s">
        <v>15731</v>
      </c>
      <c r="E4704" s="0" t="s">
        <v>89</v>
      </c>
      <c r="F4704" s="0" t="s">
        <v>90</v>
      </c>
      <c r="G4704" s="0" t="s">
        <v>16</v>
      </c>
      <c r="H4704" s="0" t="n">
        <v>75</v>
      </c>
      <c r="I4704" s="0" t="s">
        <v>15735</v>
      </c>
      <c r="J4704" s="0" t="s">
        <v>15736</v>
      </c>
      <c r="K4704" s="0" t="s">
        <v>15737</v>
      </c>
      <c r="L4704" s="0" t="str">
        <f aca="false">HYPERLINK("https://www.ncbi.nlm.nih.gov/nuccore/CP000304.1?report=graph&amp;tracks=[key:gene_model_track,Options:GeneOnly]&amp;mk=1328343:1328362|offset_17|444444,1328285:1328304|offset_75|00cc00,1328248:1328267|offset_112|444444,1328221:1328240|offset_139|444444&amp;v=1328142:1328440&amp;c=444444", "offset 75")</f>
        <v>offset 75</v>
      </c>
    </row>
    <row r="4705" customFormat="false" ht="12.8" hidden="false" customHeight="false" outlineLevel="0" collapsed="false">
      <c r="A4705" s="0" t="s">
        <v>12</v>
      </c>
      <c r="B4705" s="0" t="n">
        <v>1328247</v>
      </c>
      <c r="C4705" s="0" t="n">
        <v>1328267</v>
      </c>
      <c r="D4705" s="0" t="s">
        <v>15731</v>
      </c>
      <c r="E4705" s="0" t="s">
        <v>89</v>
      </c>
      <c r="F4705" s="0" t="s">
        <v>90</v>
      </c>
      <c r="G4705" s="0" t="s">
        <v>32</v>
      </c>
      <c r="H4705" s="0" t="n">
        <v>112</v>
      </c>
      <c r="I4705" s="0" t="s">
        <v>15738</v>
      </c>
      <c r="J4705" s="0" t="s">
        <v>15739</v>
      </c>
      <c r="K4705" s="0" t="s">
        <v>15740</v>
      </c>
      <c r="L4705" s="0" t="str">
        <f aca="false">HYPERLINK("https://www.ncbi.nlm.nih.gov/nuccore/CP000304.1?report=graph&amp;tracks=[key:gene_model_track,Options:GeneOnly]&amp;mk=1328343:1328362|offset_17|444444,1328285:1328304|offset_75|444444,1328248:1328267|offset_112|00cc00,1328221:1328240|offset_139|444444&amp;v=1328142:1328440&amp;c=444444", "offset 112")</f>
        <v>offset 112</v>
      </c>
    </row>
    <row r="4706" customFormat="false" ht="12.8" hidden="false" customHeight="false" outlineLevel="0" collapsed="false">
      <c r="A4706" s="0" t="s">
        <v>12</v>
      </c>
      <c r="B4706" s="0" t="n">
        <v>1328220</v>
      </c>
      <c r="C4706" s="0" t="n">
        <v>1328240</v>
      </c>
      <c r="D4706" s="0" t="s">
        <v>15731</v>
      </c>
      <c r="E4706" s="0" t="s">
        <v>89</v>
      </c>
      <c r="F4706" s="0" t="s">
        <v>90</v>
      </c>
      <c r="G4706" s="0" t="s">
        <v>16</v>
      </c>
      <c r="H4706" s="0" t="n">
        <v>139</v>
      </c>
      <c r="I4706" s="0" t="s">
        <v>15741</v>
      </c>
      <c r="J4706" s="0" t="s">
        <v>15742</v>
      </c>
      <c r="K4706" s="0" t="s">
        <v>15743</v>
      </c>
      <c r="L4706" s="0" t="str">
        <f aca="false">HYPERLINK("https://www.ncbi.nlm.nih.gov/nuccore/CP000304.1?report=graph&amp;tracks=[key:gene_model_track,Options:GeneOnly]&amp;mk=1328343:1328362|offset_17|444444,1328285:1328304|offset_75|444444,1328248:1328267|offset_112|444444,1328221:1328240|offset_139|00cc00&amp;v=1328142:1328440&amp;c=444444", "offset 139")</f>
        <v>offset 139</v>
      </c>
    </row>
    <row r="4707" customFormat="false" ht="12.8" hidden="false" customHeight="false" outlineLevel="0" collapsed="false">
      <c r="A4707" s="0" t="s">
        <v>12</v>
      </c>
      <c r="B4707" s="0" t="n">
        <v>1328694</v>
      </c>
      <c r="C4707" s="0" t="n">
        <v>1328714</v>
      </c>
      <c r="D4707" s="0" t="s">
        <v>15744</v>
      </c>
      <c r="E4707" s="0" t="s">
        <v>89</v>
      </c>
      <c r="F4707" s="0" t="s">
        <v>15</v>
      </c>
      <c r="G4707" s="0" t="s">
        <v>16</v>
      </c>
      <c r="H4707" s="0" t="n">
        <v>7</v>
      </c>
      <c r="I4707" s="0" t="s">
        <v>15745</v>
      </c>
      <c r="J4707" s="0" t="s">
        <v>15746</v>
      </c>
      <c r="K4707" s="0" t="s">
        <v>15747</v>
      </c>
      <c r="L4707" s="0" t="str">
        <f aca="false">HYPERLINK("https://www.ncbi.nlm.nih.gov/nuccore/CP000304.1?report=graph&amp;tracks=[key:gene_model_track,Options:GeneOnly]&amp;mk=1328695:1328714|offset_7|00cc00,1328759:1328778|offset_71|444444,1328790:1328809|offset_102|444444,1328810:1328829|offset_122|444444&amp;v=1328494:1329029&amp;c=444444", "offset 7")</f>
        <v>offset 7</v>
      </c>
    </row>
    <row r="4708" customFormat="false" ht="12.8" hidden="false" customHeight="false" outlineLevel="0" collapsed="false">
      <c r="A4708" s="0" t="s">
        <v>12</v>
      </c>
      <c r="B4708" s="0" t="n">
        <v>1328758</v>
      </c>
      <c r="C4708" s="0" t="n">
        <v>1328778</v>
      </c>
      <c r="D4708" s="0" t="s">
        <v>15744</v>
      </c>
      <c r="E4708" s="0" t="s">
        <v>89</v>
      </c>
      <c r="F4708" s="0" t="s">
        <v>15</v>
      </c>
      <c r="G4708" s="0" t="s">
        <v>26</v>
      </c>
      <c r="H4708" s="0" t="n">
        <v>71</v>
      </c>
      <c r="I4708" s="0" t="s">
        <v>15748</v>
      </c>
      <c r="J4708" s="0" t="s">
        <v>15749</v>
      </c>
      <c r="K4708" s="0" t="s">
        <v>15750</v>
      </c>
      <c r="L4708" s="0" t="str">
        <f aca="false">HYPERLINK("https://www.ncbi.nlm.nih.gov/nuccore/CP000304.1?report=graph&amp;tracks=[key:gene_model_track,Options:GeneOnly]&amp;mk=1328695:1328714|offset_7|444444,1328759:1328778|offset_71|00cc00,1328790:1328809|offset_102|444444,1328810:1328829|offset_122|444444&amp;v=1328494:1329029&amp;c=444444", "offset 71")</f>
        <v>offset 71</v>
      </c>
    </row>
    <row r="4709" customFormat="false" ht="12.8" hidden="false" customHeight="false" outlineLevel="0" collapsed="false">
      <c r="A4709" s="0" t="s">
        <v>12</v>
      </c>
      <c r="B4709" s="0" t="n">
        <v>1328789</v>
      </c>
      <c r="C4709" s="0" t="n">
        <v>1328809</v>
      </c>
      <c r="D4709" s="0" t="s">
        <v>15744</v>
      </c>
      <c r="E4709" s="0" t="s">
        <v>89</v>
      </c>
      <c r="F4709" s="0" t="s">
        <v>15</v>
      </c>
      <c r="G4709" s="0" t="s">
        <v>16</v>
      </c>
      <c r="H4709" s="0" t="n">
        <v>102</v>
      </c>
      <c r="I4709" s="0" t="s">
        <v>15751</v>
      </c>
      <c r="J4709" s="0" t="s">
        <v>15752</v>
      </c>
      <c r="K4709" s="0" t="s">
        <v>15753</v>
      </c>
      <c r="L4709" s="0" t="str">
        <f aca="false">HYPERLINK("https://www.ncbi.nlm.nih.gov/nuccore/CP000304.1?report=graph&amp;tracks=[key:gene_model_track,Options:GeneOnly]&amp;mk=1328695:1328714|offset_7|444444,1328759:1328778|offset_71|444444,1328790:1328809|offset_102|00cc00,1328810:1328829|offset_122|444444&amp;v=1328494:1329029&amp;c=444444", "offset 102")</f>
        <v>offset 102</v>
      </c>
    </row>
    <row r="4710" customFormat="false" ht="12.8" hidden="false" customHeight="false" outlineLevel="0" collapsed="false">
      <c r="A4710" s="0" t="s">
        <v>12</v>
      </c>
      <c r="B4710" s="0" t="n">
        <v>1328809</v>
      </c>
      <c r="C4710" s="0" t="n">
        <v>1328829</v>
      </c>
      <c r="D4710" s="0" t="s">
        <v>15744</v>
      </c>
      <c r="E4710" s="0" t="s">
        <v>89</v>
      </c>
      <c r="F4710" s="0" t="s">
        <v>15</v>
      </c>
      <c r="G4710" s="0" t="s">
        <v>32</v>
      </c>
      <c r="H4710" s="0" t="n">
        <v>122</v>
      </c>
      <c r="I4710" s="0" t="s">
        <v>15754</v>
      </c>
      <c r="J4710" s="0" t="s">
        <v>15755</v>
      </c>
      <c r="K4710" s="0" t="s">
        <v>15756</v>
      </c>
      <c r="L4710" s="0" t="str">
        <f aca="false">HYPERLINK("https://www.ncbi.nlm.nih.gov/nuccore/CP000304.1?report=graph&amp;tracks=[key:gene_model_track,Options:GeneOnly]&amp;mk=1328695:1328714|offset_7|444444,1328759:1328778|offset_71|444444,1328790:1328809|offset_102|444444,1328810:1328829|offset_122|00cc00&amp;v=1328494:1329029&amp;c=444444", "offset 122")</f>
        <v>offset 122</v>
      </c>
    </row>
    <row r="4711" customFormat="false" ht="12.8" hidden="false" customHeight="false" outlineLevel="0" collapsed="false">
      <c r="A4711" s="0" t="s">
        <v>12</v>
      </c>
      <c r="B4711" s="0" t="n">
        <v>1328946</v>
      </c>
      <c r="C4711" s="0" t="n">
        <v>1328966</v>
      </c>
      <c r="D4711" s="0" t="s">
        <v>15757</v>
      </c>
      <c r="E4711" s="0" t="s">
        <v>89</v>
      </c>
      <c r="F4711" s="0" t="s">
        <v>15</v>
      </c>
      <c r="G4711" s="0" t="s">
        <v>16</v>
      </c>
      <c r="H4711" s="0" t="n">
        <v>21</v>
      </c>
      <c r="I4711" s="0" t="s">
        <v>15758</v>
      </c>
      <c r="J4711" s="0" t="s">
        <v>15759</v>
      </c>
      <c r="K4711" s="0" t="s">
        <v>15760</v>
      </c>
      <c r="L4711" s="0" t="str">
        <f aca="false">HYPERLINK("https://www.ncbi.nlm.nih.gov/nuccore/CP000304.1?report=graph&amp;tracks=[key:gene_model_track,Options:GeneOnly]&amp;mk=1328947:1328966|offset_21|00cc00,1328975:1328994|offset_49|444444,1329002:1329021|offset_76|444444,1329026:1329045|offset_100|444444&amp;v=1328746:1329245&amp;c=444444", "offset 21")</f>
        <v>offset 21</v>
      </c>
    </row>
    <row r="4712" customFormat="false" ht="12.8" hidden="false" customHeight="false" outlineLevel="0" collapsed="false">
      <c r="A4712" s="0" t="s">
        <v>12</v>
      </c>
      <c r="B4712" s="0" t="n">
        <v>1328974</v>
      </c>
      <c r="C4712" s="0" t="n">
        <v>1328994</v>
      </c>
      <c r="D4712" s="0" t="s">
        <v>15757</v>
      </c>
      <c r="E4712" s="0" t="s">
        <v>89</v>
      </c>
      <c r="F4712" s="0" t="s">
        <v>15</v>
      </c>
      <c r="G4712" s="0" t="s">
        <v>16</v>
      </c>
      <c r="H4712" s="0" t="n">
        <v>49</v>
      </c>
      <c r="I4712" s="0" t="s">
        <v>15761</v>
      </c>
      <c r="J4712" s="0" t="s">
        <v>15762</v>
      </c>
      <c r="K4712" s="0" t="s">
        <v>15763</v>
      </c>
      <c r="L4712" s="0" t="str">
        <f aca="false">HYPERLINK("https://www.ncbi.nlm.nih.gov/nuccore/CP000304.1?report=graph&amp;tracks=[key:gene_model_track,Options:GeneOnly]&amp;mk=1328947:1328966|offset_21|444444,1328975:1328994|offset_49|00cc00,1329002:1329021|offset_76|444444,1329026:1329045|offset_100|444444&amp;v=1328746:1329245&amp;c=444444", "offset 49")</f>
        <v>offset 49</v>
      </c>
    </row>
    <row r="4713" customFormat="false" ht="12.8" hidden="false" customHeight="false" outlineLevel="0" collapsed="false">
      <c r="A4713" s="0" t="s">
        <v>12</v>
      </c>
      <c r="B4713" s="0" t="n">
        <v>1329001</v>
      </c>
      <c r="C4713" s="0" t="n">
        <v>1329021</v>
      </c>
      <c r="D4713" s="0" t="s">
        <v>15757</v>
      </c>
      <c r="E4713" s="0" t="s">
        <v>89</v>
      </c>
      <c r="F4713" s="0" t="s">
        <v>15</v>
      </c>
      <c r="G4713" s="0" t="s">
        <v>16</v>
      </c>
      <c r="H4713" s="0" t="n">
        <v>76</v>
      </c>
      <c r="I4713" s="0" t="s">
        <v>15764</v>
      </c>
      <c r="J4713" s="0" t="s">
        <v>15765</v>
      </c>
      <c r="K4713" s="0" t="s">
        <v>15766</v>
      </c>
      <c r="L4713" s="0" t="str">
        <f aca="false">HYPERLINK("https://www.ncbi.nlm.nih.gov/nuccore/CP000304.1?report=graph&amp;tracks=[key:gene_model_track,Options:GeneOnly]&amp;mk=1328947:1328966|offset_21|444444,1328975:1328994|offset_49|444444,1329002:1329021|offset_76|00cc00,1329026:1329045|offset_100|444444&amp;v=1328746:1329245&amp;c=444444", "offset 76")</f>
        <v>offset 76</v>
      </c>
    </row>
    <row r="4714" customFormat="false" ht="12.8" hidden="false" customHeight="false" outlineLevel="0" collapsed="false">
      <c r="A4714" s="0" t="s">
        <v>12</v>
      </c>
      <c r="B4714" s="0" t="n">
        <v>1329025</v>
      </c>
      <c r="C4714" s="0" t="n">
        <v>1329045</v>
      </c>
      <c r="D4714" s="0" t="s">
        <v>15757</v>
      </c>
      <c r="E4714" s="0" t="s">
        <v>89</v>
      </c>
      <c r="F4714" s="0" t="s">
        <v>15</v>
      </c>
      <c r="G4714" s="0" t="s">
        <v>32</v>
      </c>
      <c r="H4714" s="0" t="n">
        <v>100</v>
      </c>
      <c r="I4714" s="0" t="s">
        <v>15767</v>
      </c>
      <c r="J4714" s="0" t="s">
        <v>15768</v>
      </c>
      <c r="K4714" s="0" t="s">
        <v>15769</v>
      </c>
      <c r="L4714" s="0" t="str">
        <f aca="false">HYPERLINK("https://www.ncbi.nlm.nih.gov/nuccore/CP000304.1?report=graph&amp;tracks=[key:gene_model_track,Options:GeneOnly]&amp;mk=1328947:1328966|offset_21|444444,1328975:1328994|offset_49|444444,1329002:1329021|offset_76|444444,1329026:1329045|offset_100|00cc00&amp;v=1328746:1329245&amp;c=444444", "offset 100")</f>
        <v>offset 100</v>
      </c>
    </row>
    <row r="4715" customFormat="false" ht="12.8" hidden="false" customHeight="false" outlineLevel="0" collapsed="false">
      <c r="A4715" s="0" t="s">
        <v>12</v>
      </c>
      <c r="B4715" s="0" t="n">
        <v>1331048</v>
      </c>
      <c r="C4715" s="0" t="n">
        <v>1331068</v>
      </c>
      <c r="D4715" s="0" t="s">
        <v>15770</v>
      </c>
      <c r="E4715" s="0" t="s">
        <v>15771</v>
      </c>
      <c r="F4715" s="0" t="s">
        <v>90</v>
      </c>
      <c r="G4715" s="0" t="s">
        <v>16</v>
      </c>
      <c r="H4715" s="0" t="n">
        <v>12</v>
      </c>
      <c r="I4715" s="0" t="s">
        <v>15772</v>
      </c>
      <c r="J4715" s="0" t="s">
        <v>15773</v>
      </c>
      <c r="K4715" s="0" t="s">
        <v>15774</v>
      </c>
      <c r="L4715" s="0" t="str">
        <f aca="false">HYPERLINK("https://www.ncbi.nlm.nih.gov/nuccore/CP000304.1?report=graph&amp;tracks=[key:gene_model_track,Options:GeneOnly]&amp;mk=1331049:1331068|offset_12|00cc00,1330985:1331004|offset_76|444444,1330958:1330977|offset_103|444444,1330898:1330917|offset_163|444444&amp;v=1330848:1331117&amp;c=444444", "offset 12")</f>
        <v>offset 12</v>
      </c>
    </row>
    <row r="4716" customFormat="false" ht="12.8" hidden="false" customHeight="false" outlineLevel="0" collapsed="false">
      <c r="A4716" s="0" t="s">
        <v>12</v>
      </c>
      <c r="B4716" s="0" t="n">
        <v>1330984</v>
      </c>
      <c r="C4716" s="0" t="n">
        <v>1331004</v>
      </c>
      <c r="D4716" s="0" t="s">
        <v>15770</v>
      </c>
      <c r="E4716" s="0" t="s">
        <v>15771</v>
      </c>
      <c r="F4716" s="0" t="s">
        <v>90</v>
      </c>
      <c r="G4716" s="0" t="s">
        <v>36</v>
      </c>
      <c r="H4716" s="0" t="n">
        <v>76</v>
      </c>
      <c r="I4716" s="0" t="s">
        <v>15775</v>
      </c>
      <c r="J4716" s="0" t="s">
        <v>15776</v>
      </c>
      <c r="K4716" s="0" t="s">
        <v>15777</v>
      </c>
      <c r="L4716" s="0" t="str">
        <f aca="false">HYPERLINK("https://www.ncbi.nlm.nih.gov/nuccore/CP000304.1?report=graph&amp;tracks=[key:gene_model_track,Options:GeneOnly]&amp;mk=1331049:1331068|offset_12|444444,1330985:1331004|offset_76|00cc00,1330958:1330977|offset_103|444444,1330898:1330917|offset_163|444444&amp;v=1330848:1331117&amp;c=444444", "offset 76")</f>
        <v>offset 76</v>
      </c>
    </row>
    <row r="4717" customFormat="false" ht="12.8" hidden="false" customHeight="false" outlineLevel="0" collapsed="false">
      <c r="A4717" s="0" t="s">
        <v>12</v>
      </c>
      <c r="B4717" s="0" t="n">
        <v>1330957</v>
      </c>
      <c r="C4717" s="0" t="n">
        <v>1330977</v>
      </c>
      <c r="D4717" s="0" t="s">
        <v>15770</v>
      </c>
      <c r="E4717" s="0" t="s">
        <v>15771</v>
      </c>
      <c r="F4717" s="0" t="s">
        <v>90</v>
      </c>
      <c r="G4717" s="0" t="s">
        <v>16</v>
      </c>
      <c r="H4717" s="0" t="n">
        <v>103</v>
      </c>
      <c r="I4717" s="0" t="s">
        <v>15778</v>
      </c>
      <c r="J4717" s="0" t="s">
        <v>15779</v>
      </c>
      <c r="K4717" s="0" t="s">
        <v>15780</v>
      </c>
      <c r="L4717" s="0" t="str">
        <f aca="false">HYPERLINK("https://www.ncbi.nlm.nih.gov/nuccore/CP000304.1?report=graph&amp;tracks=[key:gene_model_track,Options:GeneOnly]&amp;mk=1331049:1331068|offset_12|444444,1330985:1331004|offset_76|444444,1330958:1330977|offset_103|00cc00,1330898:1330917|offset_163|444444&amp;v=1330848:1331117&amp;c=444444", "offset 103")</f>
        <v>offset 103</v>
      </c>
    </row>
    <row r="4718" customFormat="false" ht="12.8" hidden="false" customHeight="false" outlineLevel="0" collapsed="false">
      <c r="A4718" s="0" t="s">
        <v>12</v>
      </c>
      <c r="B4718" s="0" t="n">
        <v>1330897</v>
      </c>
      <c r="C4718" s="0" t="n">
        <v>1330917</v>
      </c>
      <c r="D4718" s="0" t="s">
        <v>15770</v>
      </c>
      <c r="E4718" s="0" t="s">
        <v>15771</v>
      </c>
      <c r="F4718" s="0" t="s">
        <v>90</v>
      </c>
      <c r="G4718" s="0" t="s">
        <v>16</v>
      </c>
      <c r="H4718" s="0" t="n">
        <v>163</v>
      </c>
      <c r="I4718" s="0" t="s">
        <v>15781</v>
      </c>
      <c r="J4718" s="0" t="s">
        <v>15782</v>
      </c>
      <c r="K4718" s="0" t="s">
        <v>15783</v>
      </c>
      <c r="L4718" s="0" t="str">
        <f aca="false">HYPERLINK("https://www.ncbi.nlm.nih.gov/nuccore/CP000304.1?report=graph&amp;tracks=[key:gene_model_track,Options:GeneOnly]&amp;mk=1331049:1331068|offset_12|444444,1330985:1331004|offset_76|444444,1330958:1330977|offset_103|444444,1330898:1330917|offset_163|00cc00&amp;v=1330848:1331117&amp;c=444444", "offset 163")</f>
        <v>offset 163</v>
      </c>
    </row>
    <row r="4719" customFormat="false" ht="12.8" hidden="false" customHeight="false" outlineLevel="0" collapsed="false">
      <c r="A4719" s="0" t="s">
        <v>12</v>
      </c>
      <c r="B4719" s="0" t="n">
        <v>1331336</v>
      </c>
      <c r="C4719" s="0" t="n">
        <v>1331356</v>
      </c>
      <c r="D4719" s="0" t="s">
        <v>15784</v>
      </c>
      <c r="E4719" s="0" t="s">
        <v>15785</v>
      </c>
      <c r="F4719" s="0" t="s">
        <v>15</v>
      </c>
      <c r="G4719" s="0" t="s">
        <v>32</v>
      </c>
      <c r="H4719" s="0" t="n">
        <v>23</v>
      </c>
      <c r="I4719" s="0" t="s">
        <v>15786</v>
      </c>
      <c r="J4719" s="0" t="s">
        <v>15787</v>
      </c>
      <c r="K4719" s="0" t="s">
        <v>15788</v>
      </c>
      <c r="L4719" s="0" t="str">
        <f aca="false">HYPERLINK("https://www.ncbi.nlm.nih.gov/nuccore/CP000304.1?report=graph&amp;tracks=[key:gene_model_track,Options:GeneOnly]&amp;mk=1331337:1331356|offset_23|00cc00,1331403:1331422|offset_89|444444,1331447:1331466|offset_133|444444,1331489:1331508|offset_175|444444&amp;v=1331136:1331708&amp;c=444444", "offset 23")</f>
        <v>offset 23</v>
      </c>
    </row>
    <row r="4720" customFormat="false" ht="12.8" hidden="false" customHeight="false" outlineLevel="0" collapsed="false">
      <c r="A4720" s="0" t="s">
        <v>12</v>
      </c>
      <c r="B4720" s="0" t="n">
        <v>1331402</v>
      </c>
      <c r="C4720" s="0" t="n">
        <v>1331422</v>
      </c>
      <c r="D4720" s="0" t="s">
        <v>15784</v>
      </c>
      <c r="E4720" s="0" t="s">
        <v>15785</v>
      </c>
      <c r="F4720" s="0" t="s">
        <v>15</v>
      </c>
      <c r="G4720" s="0" t="s">
        <v>32</v>
      </c>
      <c r="H4720" s="0" t="n">
        <v>89</v>
      </c>
      <c r="I4720" s="0" t="s">
        <v>15789</v>
      </c>
      <c r="J4720" s="0" t="s">
        <v>15790</v>
      </c>
      <c r="K4720" s="0" t="s">
        <v>15791</v>
      </c>
      <c r="L4720" s="0" t="str">
        <f aca="false">HYPERLINK("https://www.ncbi.nlm.nih.gov/nuccore/CP000304.1?report=graph&amp;tracks=[key:gene_model_track,Options:GeneOnly]&amp;mk=1331337:1331356|offset_23|444444,1331403:1331422|offset_89|00cc00,1331447:1331466|offset_133|444444,1331489:1331508|offset_175|444444&amp;v=1331136:1331708&amp;c=444444", "offset 89")</f>
        <v>offset 89</v>
      </c>
    </row>
    <row r="4721" customFormat="false" ht="12.8" hidden="false" customHeight="false" outlineLevel="0" collapsed="false">
      <c r="A4721" s="0" t="s">
        <v>12</v>
      </c>
      <c r="B4721" s="0" t="n">
        <v>1331446</v>
      </c>
      <c r="C4721" s="0" t="n">
        <v>1331466</v>
      </c>
      <c r="D4721" s="0" t="s">
        <v>15784</v>
      </c>
      <c r="E4721" s="0" t="s">
        <v>15785</v>
      </c>
      <c r="F4721" s="0" t="s">
        <v>15</v>
      </c>
      <c r="G4721" s="0" t="s">
        <v>36</v>
      </c>
      <c r="H4721" s="0" t="n">
        <v>133</v>
      </c>
      <c r="I4721" s="0" t="s">
        <v>15792</v>
      </c>
      <c r="J4721" s="0" t="s">
        <v>15793</v>
      </c>
      <c r="K4721" s="0" t="s">
        <v>15794</v>
      </c>
      <c r="L4721" s="0" t="str">
        <f aca="false">HYPERLINK("https://www.ncbi.nlm.nih.gov/nuccore/CP000304.1?report=graph&amp;tracks=[key:gene_model_track,Options:GeneOnly]&amp;mk=1331337:1331356|offset_23|444444,1331403:1331422|offset_89|444444,1331447:1331466|offset_133|00cc00,1331489:1331508|offset_175|444444&amp;v=1331136:1331708&amp;c=444444", "offset 133")</f>
        <v>offset 133</v>
      </c>
    </row>
    <row r="4722" customFormat="false" ht="12.8" hidden="false" customHeight="false" outlineLevel="0" collapsed="false">
      <c r="A4722" s="0" t="s">
        <v>12</v>
      </c>
      <c r="B4722" s="0" t="n">
        <v>1331488</v>
      </c>
      <c r="C4722" s="0" t="n">
        <v>1331508</v>
      </c>
      <c r="D4722" s="0" t="s">
        <v>15784</v>
      </c>
      <c r="E4722" s="0" t="s">
        <v>15785</v>
      </c>
      <c r="F4722" s="0" t="s">
        <v>15</v>
      </c>
      <c r="G4722" s="0" t="s">
        <v>26</v>
      </c>
      <c r="H4722" s="0" t="n">
        <v>175</v>
      </c>
      <c r="I4722" s="0" t="s">
        <v>15795</v>
      </c>
      <c r="J4722" s="0" t="s">
        <v>15796</v>
      </c>
      <c r="K4722" s="0" t="s">
        <v>15797</v>
      </c>
      <c r="L4722" s="0" t="str">
        <f aca="false">HYPERLINK("https://www.ncbi.nlm.nih.gov/nuccore/CP000304.1?report=graph&amp;tracks=[key:gene_model_track,Options:GeneOnly]&amp;mk=1331337:1331356|offset_23|444444,1331403:1331422|offset_89|444444,1331447:1331466|offset_133|444444,1331489:1331508|offset_175|00cc00&amp;v=1331136:1331708&amp;c=444444", "offset 175")</f>
        <v>offset 175</v>
      </c>
    </row>
    <row r="4723" customFormat="false" ht="12.8" hidden="false" customHeight="false" outlineLevel="0" collapsed="false">
      <c r="A4723" s="0" t="s">
        <v>12</v>
      </c>
      <c r="B4723" s="0" t="n">
        <v>1331912</v>
      </c>
      <c r="C4723" s="0" t="n">
        <v>1331932</v>
      </c>
      <c r="D4723" s="0" t="s">
        <v>15798</v>
      </c>
      <c r="E4723" s="0" t="s">
        <v>15799</v>
      </c>
      <c r="F4723" s="0" t="s">
        <v>15</v>
      </c>
      <c r="G4723" s="0" t="s">
        <v>32</v>
      </c>
      <c r="H4723" s="0" t="n">
        <v>28</v>
      </c>
      <c r="I4723" s="0" t="s">
        <v>15800</v>
      </c>
      <c r="J4723" s="0" t="s">
        <v>15801</v>
      </c>
      <c r="K4723" s="0" t="s">
        <v>15802</v>
      </c>
      <c r="L4723" s="0" t="str">
        <f aca="false">HYPERLINK("https://www.ncbi.nlm.nih.gov/nuccore/CP000304.1?report=graph&amp;tracks=[key:gene_model_track,Options:GeneOnly]&amp;mk=1331913:1331932|offset_28|00cc00,1331943:1331962|offset_58|444444,1332022:1332041|offset_137|444444,1332066:1332085|offset_181|444444&amp;v=1331712:1332285&amp;c=444444", "offset 28")</f>
        <v>offset 28</v>
      </c>
    </row>
    <row r="4724" customFormat="false" ht="12.8" hidden="false" customHeight="false" outlineLevel="0" collapsed="false">
      <c r="A4724" s="0" t="s">
        <v>12</v>
      </c>
      <c r="B4724" s="0" t="n">
        <v>1331942</v>
      </c>
      <c r="C4724" s="0" t="n">
        <v>1331962</v>
      </c>
      <c r="D4724" s="0" t="s">
        <v>15798</v>
      </c>
      <c r="E4724" s="0" t="s">
        <v>15799</v>
      </c>
      <c r="F4724" s="0" t="s">
        <v>15</v>
      </c>
      <c r="G4724" s="0" t="s">
        <v>36</v>
      </c>
      <c r="H4724" s="0" t="n">
        <v>58</v>
      </c>
      <c r="I4724" s="0" t="s">
        <v>15803</v>
      </c>
      <c r="J4724" s="0" t="s">
        <v>15804</v>
      </c>
      <c r="K4724" s="0" t="s">
        <v>15805</v>
      </c>
      <c r="L4724" s="0" t="str">
        <f aca="false">HYPERLINK("https://www.ncbi.nlm.nih.gov/nuccore/CP000304.1?report=graph&amp;tracks=[key:gene_model_track,Options:GeneOnly]&amp;mk=1331913:1331932|offset_28|444444,1331943:1331962|offset_58|00cc00,1332022:1332041|offset_137|444444,1332066:1332085|offset_181|444444&amp;v=1331712:1332285&amp;c=444444", "offset 58")</f>
        <v>offset 58</v>
      </c>
    </row>
    <row r="4725" customFormat="false" ht="12.8" hidden="false" customHeight="false" outlineLevel="0" collapsed="false">
      <c r="A4725" s="0" t="s">
        <v>12</v>
      </c>
      <c r="B4725" s="0" t="n">
        <v>1332021</v>
      </c>
      <c r="C4725" s="0" t="n">
        <v>1332041</v>
      </c>
      <c r="D4725" s="0" t="s">
        <v>15798</v>
      </c>
      <c r="E4725" s="0" t="s">
        <v>15799</v>
      </c>
      <c r="F4725" s="0" t="s">
        <v>15</v>
      </c>
      <c r="G4725" s="0" t="s">
        <v>36</v>
      </c>
      <c r="H4725" s="0" t="n">
        <v>137</v>
      </c>
      <c r="I4725" s="0" t="s">
        <v>15806</v>
      </c>
      <c r="J4725" s="0" t="s">
        <v>15807</v>
      </c>
      <c r="K4725" s="0" t="s">
        <v>15808</v>
      </c>
      <c r="L4725" s="0" t="str">
        <f aca="false">HYPERLINK("https://www.ncbi.nlm.nih.gov/nuccore/CP000304.1?report=graph&amp;tracks=[key:gene_model_track,Options:GeneOnly]&amp;mk=1331913:1331932|offset_28|444444,1331943:1331962|offset_58|444444,1332022:1332041|offset_137|00cc00,1332066:1332085|offset_181|444444&amp;v=1331712:1332285&amp;c=444444", "offset 137")</f>
        <v>offset 137</v>
      </c>
    </row>
    <row r="4726" customFormat="false" ht="12.8" hidden="false" customHeight="false" outlineLevel="0" collapsed="false">
      <c r="A4726" s="0" t="s">
        <v>12</v>
      </c>
      <c r="B4726" s="0" t="n">
        <v>1332065</v>
      </c>
      <c r="C4726" s="0" t="n">
        <v>1332085</v>
      </c>
      <c r="D4726" s="0" t="s">
        <v>15798</v>
      </c>
      <c r="E4726" s="0" t="s">
        <v>15799</v>
      </c>
      <c r="F4726" s="0" t="s">
        <v>15</v>
      </c>
      <c r="G4726" s="0" t="s">
        <v>16</v>
      </c>
      <c r="H4726" s="0" t="n">
        <v>181</v>
      </c>
      <c r="I4726" s="0" t="s">
        <v>15809</v>
      </c>
      <c r="J4726" s="0" t="s">
        <v>15810</v>
      </c>
      <c r="K4726" s="0" t="s">
        <v>15811</v>
      </c>
      <c r="L4726" s="0" t="str">
        <f aca="false">HYPERLINK("https://www.ncbi.nlm.nih.gov/nuccore/CP000304.1?report=graph&amp;tracks=[key:gene_model_track,Options:GeneOnly]&amp;mk=1331913:1331932|offset_28|444444,1331943:1331962|offset_58|444444,1332022:1332041|offset_137|444444,1332066:1332085|offset_181|00cc00&amp;v=1331712:1332285&amp;c=444444", "offset 181")</f>
        <v>offset 181</v>
      </c>
    </row>
    <row r="4727" customFormat="false" ht="12.8" hidden="false" customHeight="false" outlineLevel="0" collapsed="false">
      <c r="A4727" s="0" t="s">
        <v>12</v>
      </c>
      <c r="B4727" s="0" t="n">
        <v>1332537</v>
      </c>
      <c r="C4727" s="0" t="n">
        <v>1332557</v>
      </c>
      <c r="D4727" s="0" t="s">
        <v>15812</v>
      </c>
      <c r="E4727" s="0" t="s">
        <v>15813</v>
      </c>
      <c r="F4727" s="0" t="s">
        <v>15</v>
      </c>
      <c r="G4727" s="0" t="s">
        <v>16</v>
      </c>
      <c r="H4727" s="0" t="n">
        <v>15</v>
      </c>
      <c r="I4727" s="0" t="s">
        <v>15814</v>
      </c>
      <c r="J4727" s="0" t="s">
        <v>15815</v>
      </c>
      <c r="K4727" s="0" t="s">
        <v>15816</v>
      </c>
      <c r="L4727" s="0" t="str">
        <f aca="false">HYPERLINK("https://www.ncbi.nlm.nih.gov/nuccore/CP000304.1?report=graph&amp;tracks=[key:gene_model_track,Options:GeneOnly]&amp;mk=1332538:1332557|offset_15|00cc00,1332574:1332593|offset_51|444444,1332612:1332631|offset_89|444444,1332680:1332699|offset_157|444444&amp;v=1332337:1332899&amp;c=444444", "offset 15")</f>
        <v>offset 15</v>
      </c>
    </row>
    <row r="4728" customFormat="false" ht="12.8" hidden="false" customHeight="false" outlineLevel="0" collapsed="false">
      <c r="A4728" s="0" t="s">
        <v>12</v>
      </c>
      <c r="B4728" s="0" t="n">
        <v>1332573</v>
      </c>
      <c r="C4728" s="0" t="n">
        <v>1332593</v>
      </c>
      <c r="D4728" s="0" t="s">
        <v>15812</v>
      </c>
      <c r="E4728" s="0" t="s">
        <v>15813</v>
      </c>
      <c r="F4728" s="0" t="s">
        <v>15</v>
      </c>
      <c r="G4728" s="0" t="s">
        <v>16</v>
      </c>
      <c r="H4728" s="0" t="n">
        <v>51</v>
      </c>
      <c r="I4728" s="0" t="s">
        <v>15817</v>
      </c>
      <c r="J4728" s="0" t="s">
        <v>15818</v>
      </c>
      <c r="K4728" s="0" t="s">
        <v>15819</v>
      </c>
      <c r="L4728" s="0" t="str">
        <f aca="false">HYPERLINK("https://www.ncbi.nlm.nih.gov/nuccore/CP000304.1?report=graph&amp;tracks=[key:gene_model_track,Options:GeneOnly]&amp;mk=1332538:1332557|offset_15|444444,1332574:1332593|offset_51|00cc00,1332612:1332631|offset_89|444444,1332680:1332699|offset_157|444444&amp;v=1332337:1332899&amp;c=444444", "offset 51")</f>
        <v>offset 51</v>
      </c>
    </row>
    <row r="4729" customFormat="false" ht="12.8" hidden="false" customHeight="false" outlineLevel="0" collapsed="false">
      <c r="A4729" s="0" t="s">
        <v>12</v>
      </c>
      <c r="B4729" s="0" t="n">
        <v>1332611</v>
      </c>
      <c r="C4729" s="0" t="n">
        <v>1332631</v>
      </c>
      <c r="D4729" s="0" t="s">
        <v>15812</v>
      </c>
      <c r="E4729" s="0" t="s">
        <v>15813</v>
      </c>
      <c r="F4729" s="0" t="s">
        <v>15</v>
      </c>
      <c r="G4729" s="0" t="s">
        <v>26</v>
      </c>
      <c r="H4729" s="0" t="n">
        <v>89</v>
      </c>
      <c r="I4729" s="0" t="s">
        <v>15820</v>
      </c>
      <c r="J4729" s="0" t="s">
        <v>15821</v>
      </c>
      <c r="K4729" s="0" t="s">
        <v>15822</v>
      </c>
      <c r="L4729" s="0" t="str">
        <f aca="false">HYPERLINK("https://www.ncbi.nlm.nih.gov/nuccore/CP000304.1?report=graph&amp;tracks=[key:gene_model_track,Options:GeneOnly]&amp;mk=1332538:1332557|offset_15|444444,1332574:1332593|offset_51|444444,1332612:1332631|offset_89|00cc00,1332680:1332699|offset_157|444444&amp;v=1332337:1332899&amp;c=444444", "offset 89")</f>
        <v>offset 89</v>
      </c>
    </row>
    <row r="4730" customFormat="false" ht="12.8" hidden="false" customHeight="false" outlineLevel="0" collapsed="false">
      <c r="A4730" s="0" t="s">
        <v>12</v>
      </c>
      <c r="B4730" s="0" t="n">
        <v>1332679</v>
      </c>
      <c r="C4730" s="0" t="n">
        <v>1332699</v>
      </c>
      <c r="D4730" s="0" t="s">
        <v>15812</v>
      </c>
      <c r="E4730" s="0" t="s">
        <v>15813</v>
      </c>
      <c r="F4730" s="0" t="s">
        <v>15</v>
      </c>
      <c r="G4730" s="0" t="s">
        <v>32</v>
      </c>
      <c r="H4730" s="0" t="n">
        <v>157</v>
      </c>
      <c r="I4730" s="0" t="s">
        <v>15823</v>
      </c>
      <c r="J4730" s="0" t="s">
        <v>15824</v>
      </c>
      <c r="K4730" s="0" t="s">
        <v>15825</v>
      </c>
      <c r="L4730" s="0" t="str">
        <f aca="false">HYPERLINK("https://www.ncbi.nlm.nih.gov/nuccore/CP000304.1?report=graph&amp;tracks=[key:gene_model_track,Options:GeneOnly]&amp;mk=1332538:1332557|offset_15|444444,1332574:1332593|offset_51|444444,1332612:1332631|offset_89|444444,1332680:1332699|offset_157|00cc00&amp;v=1332337:1332899&amp;c=444444", "offset 157")</f>
        <v>offset 157</v>
      </c>
    </row>
    <row r="4731" customFormat="false" ht="12.8" hidden="false" customHeight="false" outlineLevel="0" collapsed="false">
      <c r="A4731" s="0" t="s">
        <v>12</v>
      </c>
      <c r="B4731" s="0" t="n">
        <v>1333478</v>
      </c>
      <c r="C4731" s="0" t="n">
        <v>1333498</v>
      </c>
      <c r="D4731" s="0" t="s">
        <v>15826</v>
      </c>
      <c r="E4731" s="0" t="s">
        <v>15827</v>
      </c>
      <c r="F4731" s="0" t="s">
        <v>15</v>
      </c>
      <c r="G4731" s="0" t="s">
        <v>16</v>
      </c>
      <c r="H4731" s="0" t="n">
        <v>15</v>
      </c>
      <c r="I4731" s="0" t="s">
        <v>15828</v>
      </c>
      <c r="J4731" s="0" t="s">
        <v>15829</v>
      </c>
      <c r="K4731" s="0" t="s">
        <v>15830</v>
      </c>
      <c r="L4731" s="0" t="str">
        <f aca="false">HYPERLINK("https://www.ncbi.nlm.nih.gov/nuccore/CP000304.1?report=graph&amp;tracks=[key:gene_model_track,Options:GeneOnly]&amp;mk=1333479:1333498|offset_15|00cc00,1333510:1333529|offset_46|444444,1333540:1333559|offset_76|444444,1333591:1333610|offset_127|444444&amp;v=1333278:1333810&amp;c=444444", "offset 15")</f>
        <v>offset 15</v>
      </c>
    </row>
    <row r="4732" customFormat="false" ht="12.8" hidden="false" customHeight="false" outlineLevel="0" collapsed="false">
      <c r="A4732" s="0" t="s">
        <v>12</v>
      </c>
      <c r="B4732" s="0" t="n">
        <v>1333509</v>
      </c>
      <c r="C4732" s="0" t="n">
        <v>1333529</v>
      </c>
      <c r="D4732" s="0" t="s">
        <v>15826</v>
      </c>
      <c r="E4732" s="0" t="s">
        <v>15827</v>
      </c>
      <c r="F4732" s="0" t="s">
        <v>15</v>
      </c>
      <c r="G4732" s="0" t="s">
        <v>16</v>
      </c>
      <c r="H4732" s="0" t="n">
        <v>46</v>
      </c>
      <c r="I4732" s="0" t="s">
        <v>15831</v>
      </c>
      <c r="J4732" s="0" t="s">
        <v>15832</v>
      </c>
      <c r="K4732" s="0" t="s">
        <v>15833</v>
      </c>
      <c r="L4732" s="0" t="str">
        <f aca="false">HYPERLINK("https://www.ncbi.nlm.nih.gov/nuccore/CP000304.1?report=graph&amp;tracks=[key:gene_model_track,Options:GeneOnly]&amp;mk=1333479:1333498|offset_15|444444,1333510:1333529|offset_46|00cc00,1333540:1333559|offset_76|444444,1333591:1333610|offset_127|444444&amp;v=1333278:1333810&amp;c=444444", "offset 46")</f>
        <v>offset 46</v>
      </c>
    </row>
    <row r="4733" customFormat="false" ht="12.8" hidden="false" customHeight="false" outlineLevel="0" collapsed="false">
      <c r="A4733" s="0" t="s">
        <v>12</v>
      </c>
      <c r="B4733" s="0" t="n">
        <v>1333539</v>
      </c>
      <c r="C4733" s="0" t="n">
        <v>1333559</v>
      </c>
      <c r="D4733" s="0" t="s">
        <v>15826</v>
      </c>
      <c r="E4733" s="0" t="s">
        <v>15827</v>
      </c>
      <c r="F4733" s="0" t="s">
        <v>15</v>
      </c>
      <c r="G4733" s="0" t="s">
        <v>26</v>
      </c>
      <c r="H4733" s="0" t="n">
        <v>76</v>
      </c>
      <c r="I4733" s="0" t="s">
        <v>15834</v>
      </c>
      <c r="J4733" s="0" t="s">
        <v>15835</v>
      </c>
      <c r="K4733" s="0" t="s">
        <v>15836</v>
      </c>
      <c r="L4733" s="0" t="str">
        <f aca="false">HYPERLINK("https://www.ncbi.nlm.nih.gov/nuccore/CP000304.1?report=graph&amp;tracks=[key:gene_model_track,Options:GeneOnly]&amp;mk=1333479:1333498|offset_15|444444,1333510:1333529|offset_46|444444,1333540:1333559|offset_76|00cc00,1333591:1333610|offset_127|444444&amp;v=1333278:1333810&amp;c=444444", "offset 76")</f>
        <v>offset 76</v>
      </c>
    </row>
    <row r="4734" customFormat="false" ht="12.8" hidden="false" customHeight="false" outlineLevel="0" collapsed="false">
      <c r="A4734" s="0" t="s">
        <v>12</v>
      </c>
      <c r="B4734" s="0" t="n">
        <v>1333590</v>
      </c>
      <c r="C4734" s="0" t="n">
        <v>1333610</v>
      </c>
      <c r="D4734" s="0" t="s">
        <v>15826</v>
      </c>
      <c r="E4734" s="0" t="s">
        <v>15827</v>
      </c>
      <c r="F4734" s="0" t="s">
        <v>15</v>
      </c>
      <c r="G4734" s="0" t="s">
        <v>36</v>
      </c>
      <c r="H4734" s="0" t="n">
        <v>127</v>
      </c>
      <c r="I4734" s="0" t="s">
        <v>15837</v>
      </c>
      <c r="J4734" s="0" t="s">
        <v>15838</v>
      </c>
      <c r="K4734" s="0" t="s">
        <v>15839</v>
      </c>
      <c r="L4734" s="0" t="str">
        <f aca="false">HYPERLINK("https://www.ncbi.nlm.nih.gov/nuccore/CP000304.1?report=graph&amp;tracks=[key:gene_model_track,Options:GeneOnly]&amp;mk=1333479:1333498|offset_15|444444,1333510:1333529|offset_46|444444,1333540:1333559|offset_76|444444,1333591:1333610|offset_127|00cc00&amp;v=1333278:1333810&amp;c=444444", "offset 127")</f>
        <v>offset 127</v>
      </c>
    </row>
    <row r="4735" customFormat="false" ht="12.8" hidden="false" customHeight="false" outlineLevel="0" collapsed="false">
      <c r="A4735" s="0" t="s">
        <v>12</v>
      </c>
      <c r="B4735" s="0" t="n">
        <v>1333979</v>
      </c>
      <c r="C4735" s="0" t="n">
        <v>1333999</v>
      </c>
      <c r="D4735" s="0" t="s">
        <v>15840</v>
      </c>
      <c r="E4735" s="0" t="s">
        <v>15841</v>
      </c>
      <c r="F4735" s="0" t="s">
        <v>15</v>
      </c>
      <c r="G4735" s="0" t="s">
        <v>26</v>
      </c>
      <c r="H4735" s="0" t="n">
        <v>28</v>
      </c>
      <c r="I4735" s="0" t="s">
        <v>15842</v>
      </c>
      <c r="J4735" s="0" t="s">
        <v>15843</v>
      </c>
      <c r="K4735" s="0" t="s">
        <v>15844</v>
      </c>
      <c r="L4735" s="0" t="str">
        <f aca="false">HYPERLINK("https://www.ncbi.nlm.nih.gov/nuccore/CP000304.1?report=graph&amp;tracks=[key:gene_model_track,Options:GeneOnly]&amp;mk=1333980:1333999|offset_28|00cc00,1334013:1334032|offset_61|444444,1334042:1334061|offset_90|444444,1334070:1334089|offset_118|444444&amp;v=1333779:1334289&amp;c=444444", "offset 28")</f>
        <v>offset 28</v>
      </c>
    </row>
    <row r="4736" customFormat="false" ht="12.8" hidden="false" customHeight="false" outlineLevel="0" collapsed="false">
      <c r="A4736" s="0" t="s">
        <v>12</v>
      </c>
      <c r="B4736" s="0" t="n">
        <v>1334012</v>
      </c>
      <c r="C4736" s="0" t="n">
        <v>1334032</v>
      </c>
      <c r="D4736" s="0" t="s">
        <v>15840</v>
      </c>
      <c r="E4736" s="0" t="s">
        <v>15841</v>
      </c>
      <c r="F4736" s="0" t="s">
        <v>15</v>
      </c>
      <c r="G4736" s="0" t="s">
        <v>16</v>
      </c>
      <c r="H4736" s="0" t="n">
        <v>61</v>
      </c>
      <c r="I4736" s="0" t="s">
        <v>15845</v>
      </c>
      <c r="J4736" s="0" t="s">
        <v>15846</v>
      </c>
      <c r="K4736" s="0" t="s">
        <v>15847</v>
      </c>
      <c r="L4736" s="0" t="str">
        <f aca="false">HYPERLINK("https://www.ncbi.nlm.nih.gov/nuccore/CP000304.1?report=graph&amp;tracks=[key:gene_model_track,Options:GeneOnly]&amp;mk=1333980:1333999|offset_28|444444,1334013:1334032|offset_61|00cc00,1334042:1334061|offset_90|444444,1334070:1334089|offset_118|444444&amp;v=1333779:1334289&amp;c=444444", "offset 61")</f>
        <v>offset 61</v>
      </c>
    </row>
    <row r="4737" customFormat="false" ht="12.8" hidden="false" customHeight="false" outlineLevel="0" collapsed="false">
      <c r="A4737" s="0" t="s">
        <v>12</v>
      </c>
      <c r="B4737" s="0" t="n">
        <v>1334041</v>
      </c>
      <c r="C4737" s="0" t="n">
        <v>1334061</v>
      </c>
      <c r="D4737" s="0" t="s">
        <v>15840</v>
      </c>
      <c r="E4737" s="0" t="s">
        <v>15841</v>
      </c>
      <c r="F4737" s="0" t="s">
        <v>15</v>
      </c>
      <c r="G4737" s="0" t="s">
        <v>26</v>
      </c>
      <c r="H4737" s="0" t="n">
        <v>90</v>
      </c>
      <c r="I4737" s="0" t="s">
        <v>15848</v>
      </c>
      <c r="J4737" s="0" t="s">
        <v>15849</v>
      </c>
      <c r="K4737" s="0" t="s">
        <v>15850</v>
      </c>
      <c r="L4737" s="0" t="str">
        <f aca="false">HYPERLINK("https://www.ncbi.nlm.nih.gov/nuccore/CP000304.1?report=graph&amp;tracks=[key:gene_model_track,Options:GeneOnly]&amp;mk=1333980:1333999|offset_28|444444,1334013:1334032|offset_61|444444,1334042:1334061|offset_90|00cc00,1334070:1334089|offset_118|444444&amp;v=1333779:1334289&amp;c=444444", "offset 90")</f>
        <v>offset 90</v>
      </c>
    </row>
    <row r="4738" customFormat="false" ht="12.8" hidden="false" customHeight="false" outlineLevel="0" collapsed="false">
      <c r="A4738" s="0" t="s">
        <v>12</v>
      </c>
      <c r="B4738" s="0" t="n">
        <v>1334069</v>
      </c>
      <c r="C4738" s="0" t="n">
        <v>1334089</v>
      </c>
      <c r="D4738" s="0" t="s">
        <v>15840</v>
      </c>
      <c r="E4738" s="0" t="s">
        <v>15841</v>
      </c>
      <c r="F4738" s="0" t="s">
        <v>15</v>
      </c>
      <c r="G4738" s="0" t="s">
        <v>26</v>
      </c>
      <c r="H4738" s="0" t="n">
        <v>118</v>
      </c>
      <c r="I4738" s="0" t="s">
        <v>15851</v>
      </c>
      <c r="J4738" s="0" t="s">
        <v>15852</v>
      </c>
      <c r="K4738" s="0" t="s">
        <v>15853</v>
      </c>
      <c r="L4738" s="0" t="str">
        <f aca="false">HYPERLINK("https://www.ncbi.nlm.nih.gov/nuccore/CP000304.1?report=graph&amp;tracks=[key:gene_model_track,Options:GeneOnly]&amp;mk=1333980:1333999|offset_28|444444,1334013:1334032|offset_61|444444,1334042:1334061|offset_90|444444,1334070:1334089|offset_118|00cc00&amp;v=1333779:1334289&amp;c=444444", "offset 118")</f>
        <v>offset 118</v>
      </c>
    </row>
    <row r="4739" customFormat="false" ht="12.8" hidden="false" customHeight="false" outlineLevel="0" collapsed="false">
      <c r="A4739" s="0" t="s">
        <v>12</v>
      </c>
      <c r="B4739" s="0" t="n">
        <v>1335563</v>
      </c>
      <c r="C4739" s="0" t="n">
        <v>1335583</v>
      </c>
      <c r="D4739" s="0" t="s">
        <v>15854</v>
      </c>
      <c r="E4739" s="0" t="s">
        <v>15855</v>
      </c>
      <c r="F4739" s="0" t="s">
        <v>15</v>
      </c>
      <c r="G4739" s="0" t="s">
        <v>26</v>
      </c>
      <c r="H4739" s="0" t="n">
        <v>11</v>
      </c>
      <c r="I4739" s="0" t="s">
        <v>15856</v>
      </c>
      <c r="J4739" s="0" t="s">
        <v>15857</v>
      </c>
      <c r="K4739" s="0" t="s">
        <v>15858</v>
      </c>
      <c r="L4739" s="0" t="str">
        <f aca="false">HYPERLINK("https://www.ncbi.nlm.nih.gov/nuccore/CP000304.1?report=graph&amp;tracks=[key:gene_model_track,Options:GeneOnly]&amp;mk=1335564:1335583|offset_11|00cc00,1335587:1335606|offset_34|444444,1335620:1335639|offset_67|444444,1335654:1335673|offset_101|444444&amp;v=1335363:1335873&amp;c=444444", "offset 11")</f>
        <v>offset 11</v>
      </c>
    </row>
    <row r="4740" customFormat="false" ht="12.8" hidden="false" customHeight="false" outlineLevel="0" collapsed="false">
      <c r="A4740" s="0" t="s">
        <v>12</v>
      </c>
      <c r="B4740" s="0" t="n">
        <v>1335586</v>
      </c>
      <c r="C4740" s="0" t="n">
        <v>1335606</v>
      </c>
      <c r="D4740" s="0" t="s">
        <v>15854</v>
      </c>
      <c r="E4740" s="0" t="s">
        <v>15855</v>
      </c>
      <c r="F4740" s="0" t="s">
        <v>15</v>
      </c>
      <c r="G4740" s="0" t="s">
        <v>32</v>
      </c>
      <c r="H4740" s="0" t="n">
        <v>34</v>
      </c>
      <c r="I4740" s="0" t="s">
        <v>15859</v>
      </c>
      <c r="J4740" s="0" t="s">
        <v>15860</v>
      </c>
      <c r="K4740" s="0" t="s">
        <v>15861</v>
      </c>
      <c r="L4740" s="0" t="str">
        <f aca="false">HYPERLINK("https://www.ncbi.nlm.nih.gov/nuccore/CP000304.1?report=graph&amp;tracks=[key:gene_model_track,Options:GeneOnly]&amp;mk=1335564:1335583|offset_11|444444,1335587:1335606|offset_34|00cc00,1335620:1335639|offset_67|444444,1335654:1335673|offset_101|444444&amp;v=1335363:1335873&amp;c=444444", "offset 34")</f>
        <v>offset 34</v>
      </c>
    </row>
    <row r="4741" customFormat="false" ht="12.8" hidden="false" customHeight="false" outlineLevel="0" collapsed="false">
      <c r="A4741" s="0" t="s">
        <v>12</v>
      </c>
      <c r="B4741" s="0" t="n">
        <v>1335619</v>
      </c>
      <c r="C4741" s="0" t="n">
        <v>1335639</v>
      </c>
      <c r="D4741" s="0" t="s">
        <v>15854</v>
      </c>
      <c r="E4741" s="0" t="s">
        <v>15855</v>
      </c>
      <c r="F4741" s="0" t="s">
        <v>15</v>
      </c>
      <c r="G4741" s="0" t="s">
        <v>36</v>
      </c>
      <c r="H4741" s="0" t="n">
        <v>67</v>
      </c>
      <c r="I4741" s="0" t="s">
        <v>15862</v>
      </c>
      <c r="J4741" s="0" t="s">
        <v>15863</v>
      </c>
      <c r="K4741" s="0" t="s">
        <v>15864</v>
      </c>
      <c r="L4741" s="0" t="str">
        <f aca="false">HYPERLINK("https://www.ncbi.nlm.nih.gov/nuccore/CP000304.1?report=graph&amp;tracks=[key:gene_model_track,Options:GeneOnly]&amp;mk=1335564:1335583|offset_11|444444,1335587:1335606|offset_34|444444,1335620:1335639|offset_67|00cc00,1335654:1335673|offset_101|444444&amp;v=1335363:1335873&amp;c=444444", "offset 67")</f>
        <v>offset 67</v>
      </c>
    </row>
    <row r="4742" customFormat="false" ht="12.8" hidden="false" customHeight="false" outlineLevel="0" collapsed="false">
      <c r="A4742" s="0" t="s">
        <v>12</v>
      </c>
      <c r="B4742" s="0" t="n">
        <v>1335653</v>
      </c>
      <c r="C4742" s="0" t="n">
        <v>1335673</v>
      </c>
      <c r="D4742" s="0" t="s">
        <v>15854</v>
      </c>
      <c r="E4742" s="0" t="s">
        <v>15855</v>
      </c>
      <c r="F4742" s="0" t="s">
        <v>15</v>
      </c>
      <c r="G4742" s="0" t="s">
        <v>26</v>
      </c>
      <c r="H4742" s="0" t="n">
        <v>101</v>
      </c>
      <c r="I4742" s="0" t="s">
        <v>15865</v>
      </c>
      <c r="J4742" s="0" t="s">
        <v>15866</v>
      </c>
      <c r="K4742" s="0" t="s">
        <v>15867</v>
      </c>
      <c r="L4742" s="0" t="str">
        <f aca="false">HYPERLINK("https://www.ncbi.nlm.nih.gov/nuccore/CP000304.1?report=graph&amp;tracks=[key:gene_model_track,Options:GeneOnly]&amp;mk=1335564:1335583|offset_11|444444,1335587:1335606|offset_34|444444,1335620:1335639|offset_67|444444,1335654:1335673|offset_101|00cc00&amp;v=1335363:1335873&amp;c=444444", "offset 101")</f>
        <v>offset 101</v>
      </c>
    </row>
    <row r="4743" customFormat="false" ht="12.8" hidden="false" customHeight="false" outlineLevel="0" collapsed="false">
      <c r="A4743" s="0" t="s">
        <v>12</v>
      </c>
      <c r="B4743" s="0" t="n">
        <v>1337370</v>
      </c>
      <c r="C4743" s="0" t="n">
        <v>1337390</v>
      </c>
      <c r="D4743" s="0" t="s">
        <v>15868</v>
      </c>
      <c r="E4743" s="0" t="s">
        <v>15869</v>
      </c>
      <c r="F4743" s="0" t="s">
        <v>15</v>
      </c>
      <c r="G4743" s="0" t="s">
        <v>36</v>
      </c>
      <c r="H4743" s="0" t="n">
        <v>17</v>
      </c>
      <c r="I4743" s="0" t="s">
        <v>15870</v>
      </c>
      <c r="J4743" s="0" t="s">
        <v>15871</v>
      </c>
      <c r="K4743" s="0" t="s">
        <v>15872</v>
      </c>
      <c r="L4743" s="0" t="str">
        <f aca="false">HYPERLINK("https://www.ncbi.nlm.nih.gov/nuccore/CP000304.1?report=graph&amp;tracks=[key:gene_model_track,Options:GeneOnly]&amp;mk=1337371:1337390|offset_17|00cc00,1337391:1337410|offset_37|444444,1337441:1337460|offset_87|444444,1337463:1337482|offset_109|444444&amp;v=1337170:1337682&amp;c=444444", "offset 17")</f>
        <v>offset 17</v>
      </c>
    </row>
    <row r="4744" customFormat="false" ht="12.8" hidden="false" customHeight="false" outlineLevel="0" collapsed="false">
      <c r="A4744" s="0" t="s">
        <v>12</v>
      </c>
      <c r="B4744" s="0" t="n">
        <v>1337390</v>
      </c>
      <c r="C4744" s="0" t="n">
        <v>1337410</v>
      </c>
      <c r="D4744" s="0" t="s">
        <v>15868</v>
      </c>
      <c r="E4744" s="0" t="s">
        <v>15869</v>
      </c>
      <c r="F4744" s="0" t="s">
        <v>15</v>
      </c>
      <c r="G4744" s="0" t="s">
        <v>16</v>
      </c>
      <c r="H4744" s="0" t="n">
        <v>37</v>
      </c>
      <c r="I4744" s="0" t="s">
        <v>15873</v>
      </c>
      <c r="J4744" s="0" t="s">
        <v>15874</v>
      </c>
      <c r="K4744" s="0" t="s">
        <v>15875</v>
      </c>
      <c r="L4744" s="0" t="str">
        <f aca="false">HYPERLINK("https://www.ncbi.nlm.nih.gov/nuccore/CP000304.1?report=graph&amp;tracks=[key:gene_model_track,Options:GeneOnly]&amp;mk=1337371:1337390|offset_17|444444,1337391:1337410|offset_37|00cc00,1337441:1337460|offset_87|444444,1337463:1337482|offset_109|444444&amp;v=1337170:1337682&amp;c=444444", "offset 37")</f>
        <v>offset 37</v>
      </c>
    </row>
    <row r="4745" customFormat="false" ht="12.8" hidden="false" customHeight="false" outlineLevel="0" collapsed="false">
      <c r="A4745" s="0" t="s">
        <v>12</v>
      </c>
      <c r="B4745" s="0" t="n">
        <v>1337440</v>
      </c>
      <c r="C4745" s="0" t="n">
        <v>1337460</v>
      </c>
      <c r="D4745" s="0" t="s">
        <v>15868</v>
      </c>
      <c r="E4745" s="0" t="s">
        <v>15869</v>
      </c>
      <c r="F4745" s="0" t="s">
        <v>15</v>
      </c>
      <c r="G4745" s="0" t="s">
        <v>36</v>
      </c>
      <c r="H4745" s="0" t="n">
        <v>87</v>
      </c>
      <c r="I4745" s="0" t="s">
        <v>15876</v>
      </c>
      <c r="J4745" s="0" t="s">
        <v>15877</v>
      </c>
      <c r="K4745" s="0" t="s">
        <v>15878</v>
      </c>
      <c r="L4745" s="0" t="str">
        <f aca="false">HYPERLINK("https://www.ncbi.nlm.nih.gov/nuccore/CP000304.1?report=graph&amp;tracks=[key:gene_model_track,Options:GeneOnly]&amp;mk=1337371:1337390|offset_17|444444,1337391:1337410|offset_37|444444,1337441:1337460|offset_87|00cc00,1337463:1337482|offset_109|444444&amp;v=1337170:1337682&amp;c=444444", "offset 87")</f>
        <v>offset 87</v>
      </c>
    </row>
    <row r="4746" customFormat="false" ht="12.8" hidden="false" customHeight="false" outlineLevel="0" collapsed="false">
      <c r="A4746" s="0" t="s">
        <v>12</v>
      </c>
      <c r="B4746" s="0" t="n">
        <v>1337462</v>
      </c>
      <c r="C4746" s="0" t="n">
        <v>1337482</v>
      </c>
      <c r="D4746" s="0" t="s">
        <v>15868</v>
      </c>
      <c r="E4746" s="0" t="s">
        <v>15869</v>
      </c>
      <c r="F4746" s="0" t="s">
        <v>15</v>
      </c>
      <c r="G4746" s="0" t="s">
        <v>32</v>
      </c>
      <c r="H4746" s="0" t="n">
        <v>109</v>
      </c>
      <c r="I4746" s="0" t="s">
        <v>15879</v>
      </c>
      <c r="J4746" s="0" t="s">
        <v>15880</v>
      </c>
      <c r="K4746" s="0" t="s">
        <v>15881</v>
      </c>
      <c r="L4746" s="0" t="str">
        <f aca="false">HYPERLINK("https://www.ncbi.nlm.nih.gov/nuccore/CP000304.1?report=graph&amp;tracks=[key:gene_model_track,Options:GeneOnly]&amp;mk=1337371:1337390|offset_17|444444,1337391:1337410|offset_37|444444,1337441:1337460|offset_87|444444,1337463:1337482|offset_109|00cc00&amp;v=1337170:1337682&amp;c=444444", "offset 109")</f>
        <v>offset 109</v>
      </c>
    </row>
    <row r="4747" customFormat="false" ht="12.8" hidden="false" customHeight="false" outlineLevel="0" collapsed="false">
      <c r="A4747" s="0" t="s">
        <v>12</v>
      </c>
      <c r="B4747" s="0" t="n">
        <v>1338334</v>
      </c>
      <c r="C4747" s="0" t="n">
        <v>1338354</v>
      </c>
      <c r="D4747" s="0" t="s">
        <v>15882</v>
      </c>
      <c r="E4747" s="0" t="s">
        <v>89</v>
      </c>
      <c r="F4747" s="0" t="s">
        <v>15</v>
      </c>
      <c r="G4747" s="0" t="s">
        <v>32</v>
      </c>
      <c r="H4747" s="0" t="n">
        <v>34</v>
      </c>
      <c r="I4747" s="0" t="s">
        <v>15883</v>
      </c>
      <c r="J4747" s="0" t="s">
        <v>15884</v>
      </c>
      <c r="K4747" s="0" t="s">
        <v>15885</v>
      </c>
      <c r="L4747" s="0" t="str">
        <f aca="false">HYPERLINK("https://www.ncbi.nlm.nih.gov/nuccore/CP000304.1?report=graph&amp;tracks=[key:gene_model_track,Options:GeneOnly]&amp;mk=1338335:1338354|offset_34|00cc00,1338357:1338376|offset_56|444444,1338380:1338399|offset_79|444444,1338402:1338421|offset_101|444444&amp;v=1338134:1338621&amp;c=444444", "offset 34")</f>
        <v>offset 34</v>
      </c>
    </row>
    <row r="4748" customFormat="false" ht="12.8" hidden="false" customHeight="false" outlineLevel="0" collapsed="false">
      <c r="A4748" s="0" t="s">
        <v>12</v>
      </c>
      <c r="B4748" s="0" t="n">
        <v>1338356</v>
      </c>
      <c r="C4748" s="0" t="n">
        <v>1338376</v>
      </c>
      <c r="D4748" s="0" t="s">
        <v>15882</v>
      </c>
      <c r="E4748" s="0" t="s">
        <v>89</v>
      </c>
      <c r="F4748" s="0" t="s">
        <v>15</v>
      </c>
      <c r="G4748" s="0" t="s">
        <v>26</v>
      </c>
      <c r="H4748" s="0" t="n">
        <v>56</v>
      </c>
      <c r="I4748" s="0" t="s">
        <v>15886</v>
      </c>
      <c r="J4748" s="0" t="s">
        <v>15887</v>
      </c>
      <c r="K4748" s="0" t="s">
        <v>15888</v>
      </c>
      <c r="L4748" s="0" t="str">
        <f aca="false">HYPERLINK("https://www.ncbi.nlm.nih.gov/nuccore/CP000304.1?report=graph&amp;tracks=[key:gene_model_track,Options:GeneOnly]&amp;mk=1338335:1338354|offset_34|444444,1338357:1338376|offset_56|00cc00,1338380:1338399|offset_79|444444,1338402:1338421|offset_101|444444&amp;v=1338134:1338621&amp;c=444444", "offset 56")</f>
        <v>offset 56</v>
      </c>
    </row>
    <row r="4749" customFormat="false" ht="12.8" hidden="false" customHeight="false" outlineLevel="0" collapsed="false">
      <c r="A4749" s="0" t="s">
        <v>12</v>
      </c>
      <c r="B4749" s="0" t="n">
        <v>1338379</v>
      </c>
      <c r="C4749" s="0" t="n">
        <v>1338399</v>
      </c>
      <c r="D4749" s="0" t="s">
        <v>15882</v>
      </c>
      <c r="E4749" s="0" t="s">
        <v>89</v>
      </c>
      <c r="F4749" s="0" t="s">
        <v>15</v>
      </c>
      <c r="G4749" s="0" t="s">
        <v>32</v>
      </c>
      <c r="H4749" s="0" t="n">
        <v>79</v>
      </c>
      <c r="I4749" s="0" t="s">
        <v>15889</v>
      </c>
      <c r="J4749" s="0" t="s">
        <v>15890</v>
      </c>
      <c r="K4749" s="0" t="s">
        <v>15891</v>
      </c>
      <c r="L4749" s="0" t="str">
        <f aca="false">HYPERLINK("https://www.ncbi.nlm.nih.gov/nuccore/CP000304.1?report=graph&amp;tracks=[key:gene_model_track,Options:GeneOnly]&amp;mk=1338335:1338354|offset_34|444444,1338357:1338376|offset_56|444444,1338380:1338399|offset_79|00cc00,1338402:1338421|offset_101|444444&amp;v=1338134:1338621&amp;c=444444", "offset 79")</f>
        <v>offset 79</v>
      </c>
    </row>
    <row r="4750" customFormat="false" ht="12.8" hidden="false" customHeight="false" outlineLevel="0" collapsed="false">
      <c r="A4750" s="0" t="s">
        <v>12</v>
      </c>
      <c r="B4750" s="0" t="n">
        <v>1338401</v>
      </c>
      <c r="C4750" s="0" t="n">
        <v>1338421</v>
      </c>
      <c r="D4750" s="0" t="s">
        <v>15882</v>
      </c>
      <c r="E4750" s="0" t="s">
        <v>89</v>
      </c>
      <c r="F4750" s="0" t="s">
        <v>15</v>
      </c>
      <c r="G4750" s="0" t="s">
        <v>36</v>
      </c>
      <c r="H4750" s="0" t="n">
        <v>101</v>
      </c>
      <c r="I4750" s="0" t="s">
        <v>15892</v>
      </c>
      <c r="J4750" s="0" t="s">
        <v>15893</v>
      </c>
      <c r="K4750" s="0" t="s">
        <v>15894</v>
      </c>
      <c r="L4750" s="0" t="str">
        <f aca="false">HYPERLINK("https://www.ncbi.nlm.nih.gov/nuccore/CP000304.1?report=graph&amp;tracks=[key:gene_model_track,Options:GeneOnly]&amp;mk=1338335:1338354|offset_34|444444,1338357:1338376|offset_56|444444,1338380:1338399|offset_79|444444,1338402:1338421|offset_101|00cc00&amp;v=1338134:1338621&amp;c=444444", "offset 101")</f>
        <v>offset 101</v>
      </c>
    </row>
    <row r="4751" customFormat="false" ht="12.8" hidden="false" customHeight="false" outlineLevel="0" collapsed="false">
      <c r="A4751" s="0" t="s">
        <v>12</v>
      </c>
      <c r="B4751" s="0" t="n">
        <v>1338745</v>
      </c>
      <c r="C4751" s="0" t="n">
        <v>1338765</v>
      </c>
      <c r="D4751" s="0" t="s">
        <v>15895</v>
      </c>
      <c r="E4751" s="0" t="s">
        <v>15896</v>
      </c>
      <c r="F4751" s="0" t="s">
        <v>15</v>
      </c>
      <c r="G4751" s="0" t="s">
        <v>26</v>
      </c>
      <c r="H4751" s="0" t="n">
        <v>8</v>
      </c>
      <c r="I4751" s="0" t="s">
        <v>15897</v>
      </c>
      <c r="J4751" s="0" t="s">
        <v>15898</v>
      </c>
      <c r="K4751" s="0" t="s">
        <v>15899</v>
      </c>
      <c r="L4751" s="0" t="str">
        <f aca="false">HYPERLINK("https://www.ncbi.nlm.nih.gov/nuccore/CP000304.1?report=graph&amp;tracks=[key:gene_model_track,Options:GeneOnly]&amp;mk=1338746:1338765|offset_8|00cc00,1338772:1338791|offset_34|444444,1338811:1338830|offset_73|444444,1338848:1338867|offset_110|444444&amp;v=1338545:1339067&amp;c=444444", "offset 8")</f>
        <v>offset 8</v>
      </c>
    </row>
    <row r="4752" customFormat="false" ht="12.8" hidden="false" customHeight="false" outlineLevel="0" collapsed="false">
      <c r="A4752" s="0" t="s">
        <v>12</v>
      </c>
      <c r="B4752" s="0" t="n">
        <v>1338771</v>
      </c>
      <c r="C4752" s="0" t="n">
        <v>1338791</v>
      </c>
      <c r="D4752" s="0" t="s">
        <v>15895</v>
      </c>
      <c r="E4752" s="0" t="s">
        <v>15896</v>
      </c>
      <c r="F4752" s="0" t="s">
        <v>15</v>
      </c>
      <c r="G4752" s="0" t="s">
        <v>16</v>
      </c>
      <c r="H4752" s="0" t="n">
        <v>34</v>
      </c>
      <c r="I4752" s="0" t="s">
        <v>15900</v>
      </c>
      <c r="J4752" s="0" t="s">
        <v>15901</v>
      </c>
      <c r="K4752" s="0" t="s">
        <v>15902</v>
      </c>
      <c r="L4752" s="0" t="str">
        <f aca="false">HYPERLINK("https://www.ncbi.nlm.nih.gov/nuccore/CP000304.1?report=graph&amp;tracks=[key:gene_model_track,Options:GeneOnly]&amp;mk=1338746:1338765|offset_8|444444,1338772:1338791|offset_34|00cc00,1338811:1338830|offset_73|444444,1338848:1338867|offset_110|444444&amp;v=1338545:1339067&amp;c=444444", "offset 34")</f>
        <v>offset 34</v>
      </c>
    </row>
    <row r="4753" customFormat="false" ht="12.8" hidden="false" customHeight="false" outlineLevel="0" collapsed="false">
      <c r="A4753" s="0" t="s">
        <v>12</v>
      </c>
      <c r="B4753" s="0" t="n">
        <v>1338810</v>
      </c>
      <c r="C4753" s="0" t="n">
        <v>1338830</v>
      </c>
      <c r="D4753" s="0" t="s">
        <v>15895</v>
      </c>
      <c r="E4753" s="0" t="s">
        <v>15896</v>
      </c>
      <c r="F4753" s="0" t="s">
        <v>15</v>
      </c>
      <c r="G4753" s="0" t="s">
        <v>32</v>
      </c>
      <c r="H4753" s="0" t="n">
        <v>73</v>
      </c>
      <c r="I4753" s="0" t="s">
        <v>15903</v>
      </c>
      <c r="J4753" s="0" t="s">
        <v>15904</v>
      </c>
      <c r="K4753" s="0" t="s">
        <v>15905</v>
      </c>
      <c r="L4753" s="0" t="str">
        <f aca="false">HYPERLINK("https://www.ncbi.nlm.nih.gov/nuccore/CP000304.1?report=graph&amp;tracks=[key:gene_model_track,Options:GeneOnly]&amp;mk=1338746:1338765|offset_8|444444,1338772:1338791|offset_34|444444,1338811:1338830|offset_73|00cc00,1338848:1338867|offset_110|444444&amp;v=1338545:1339067&amp;c=444444", "offset 73")</f>
        <v>offset 73</v>
      </c>
    </row>
    <row r="4754" customFormat="false" ht="12.8" hidden="false" customHeight="false" outlineLevel="0" collapsed="false">
      <c r="A4754" s="0" t="s">
        <v>12</v>
      </c>
      <c r="B4754" s="0" t="n">
        <v>1338847</v>
      </c>
      <c r="C4754" s="0" t="n">
        <v>1338867</v>
      </c>
      <c r="D4754" s="0" t="s">
        <v>15895</v>
      </c>
      <c r="E4754" s="0" t="s">
        <v>15896</v>
      </c>
      <c r="F4754" s="0" t="s">
        <v>15</v>
      </c>
      <c r="G4754" s="0" t="s">
        <v>32</v>
      </c>
      <c r="H4754" s="0" t="n">
        <v>110</v>
      </c>
      <c r="I4754" s="0" t="s">
        <v>15906</v>
      </c>
      <c r="J4754" s="0" t="s">
        <v>15907</v>
      </c>
      <c r="K4754" s="0" t="s">
        <v>15908</v>
      </c>
      <c r="L4754" s="0" t="str">
        <f aca="false">HYPERLINK("https://www.ncbi.nlm.nih.gov/nuccore/CP000304.1?report=graph&amp;tracks=[key:gene_model_track,Options:GeneOnly]&amp;mk=1338746:1338765|offset_8|444444,1338772:1338791|offset_34|444444,1338811:1338830|offset_73|444444,1338848:1338867|offset_110|00cc00&amp;v=1338545:1339067&amp;c=444444", "offset 110")</f>
        <v>offset 110</v>
      </c>
    </row>
    <row r="4755" customFormat="false" ht="12.8" hidden="false" customHeight="false" outlineLevel="0" collapsed="false">
      <c r="A4755" s="0" t="s">
        <v>12</v>
      </c>
      <c r="B4755" s="0" t="n">
        <v>1339381</v>
      </c>
      <c r="C4755" s="0" t="n">
        <v>1339401</v>
      </c>
      <c r="D4755" s="0" t="s">
        <v>15909</v>
      </c>
      <c r="E4755" s="0" t="s">
        <v>15910</v>
      </c>
      <c r="F4755" s="0" t="s">
        <v>15</v>
      </c>
      <c r="G4755" s="0" t="s">
        <v>16</v>
      </c>
      <c r="H4755" s="0" t="n">
        <v>31</v>
      </c>
      <c r="I4755" s="0" t="s">
        <v>15911</v>
      </c>
      <c r="J4755" s="0" t="s">
        <v>15912</v>
      </c>
      <c r="K4755" s="0" t="s">
        <v>15913</v>
      </c>
      <c r="L4755" s="0" t="str">
        <f aca="false">HYPERLINK("https://www.ncbi.nlm.nih.gov/nuccore/CP000304.1?report=graph&amp;tracks=[key:gene_model_track,Options:GeneOnly]&amp;mk=1339382:1339401|offset_31|00cc00,1339412:1339431|offset_61|444444,1339442:1339461|offset_91|444444,1339484:1339503|offset_133|444444&amp;v=1339181:1339703&amp;c=444444", "offset 31")</f>
        <v>offset 31</v>
      </c>
    </row>
    <row r="4756" customFormat="false" ht="12.8" hidden="false" customHeight="false" outlineLevel="0" collapsed="false">
      <c r="A4756" s="0" t="s">
        <v>12</v>
      </c>
      <c r="B4756" s="0" t="n">
        <v>1339411</v>
      </c>
      <c r="C4756" s="0" t="n">
        <v>1339431</v>
      </c>
      <c r="D4756" s="0" t="s">
        <v>15909</v>
      </c>
      <c r="E4756" s="0" t="s">
        <v>15910</v>
      </c>
      <c r="F4756" s="0" t="s">
        <v>15</v>
      </c>
      <c r="G4756" s="0" t="s">
        <v>32</v>
      </c>
      <c r="H4756" s="0" t="n">
        <v>61</v>
      </c>
      <c r="I4756" s="0" t="s">
        <v>15914</v>
      </c>
      <c r="J4756" s="0" t="s">
        <v>15915</v>
      </c>
      <c r="K4756" s="0" t="s">
        <v>15916</v>
      </c>
      <c r="L4756" s="0" t="str">
        <f aca="false">HYPERLINK("https://www.ncbi.nlm.nih.gov/nuccore/CP000304.1?report=graph&amp;tracks=[key:gene_model_track,Options:GeneOnly]&amp;mk=1339382:1339401|offset_31|444444,1339412:1339431|offset_61|00cc00,1339442:1339461|offset_91|444444,1339484:1339503|offset_133|444444&amp;v=1339181:1339703&amp;c=444444", "offset 61")</f>
        <v>offset 61</v>
      </c>
    </row>
    <row r="4757" customFormat="false" ht="12.8" hidden="false" customHeight="false" outlineLevel="0" collapsed="false">
      <c r="A4757" s="0" t="s">
        <v>12</v>
      </c>
      <c r="B4757" s="0" t="n">
        <v>1339441</v>
      </c>
      <c r="C4757" s="0" t="n">
        <v>1339461</v>
      </c>
      <c r="D4757" s="0" t="s">
        <v>15909</v>
      </c>
      <c r="E4757" s="0" t="s">
        <v>15910</v>
      </c>
      <c r="F4757" s="0" t="s">
        <v>15</v>
      </c>
      <c r="G4757" s="0" t="s">
        <v>32</v>
      </c>
      <c r="H4757" s="0" t="n">
        <v>91</v>
      </c>
      <c r="I4757" s="0" t="s">
        <v>15917</v>
      </c>
      <c r="J4757" s="0" t="s">
        <v>15918</v>
      </c>
      <c r="K4757" s="0" t="s">
        <v>15919</v>
      </c>
      <c r="L4757" s="0" t="str">
        <f aca="false">HYPERLINK("https://www.ncbi.nlm.nih.gov/nuccore/CP000304.1?report=graph&amp;tracks=[key:gene_model_track,Options:GeneOnly]&amp;mk=1339382:1339401|offset_31|444444,1339412:1339431|offset_61|444444,1339442:1339461|offset_91|00cc00,1339484:1339503|offset_133|444444&amp;v=1339181:1339703&amp;c=444444", "offset 91")</f>
        <v>offset 91</v>
      </c>
    </row>
    <row r="4758" customFormat="false" ht="12.8" hidden="false" customHeight="false" outlineLevel="0" collapsed="false">
      <c r="A4758" s="0" t="s">
        <v>12</v>
      </c>
      <c r="B4758" s="0" t="n">
        <v>1339483</v>
      </c>
      <c r="C4758" s="0" t="n">
        <v>1339503</v>
      </c>
      <c r="D4758" s="0" t="s">
        <v>15909</v>
      </c>
      <c r="E4758" s="0" t="s">
        <v>15910</v>
      </c>
      <c r="F4758" s="0" t="s">
        <v>15</v>
      </c>
      <c r="G4758" s="0" t="s">
        <v>26</v>
      </c>
      <c r="H4758" s="0" t="n">
        <v>133</v>
      </c>
      <c r="I4758" s="0" t="s">
        <v>15920</v>
      </c>
      <c r="J4758" s="0" t="s">
        <v>15921</v>
      </c>
      <c r="K4758" s="0" t="s">
        <v>15922</v>
      </c>
      <c r="L4758" s="0" t="str">
        <f aca="false">HYPERLINK("https://www.ncbi.nlm.nih.gov/nuccore/CP000304.1?report=graph&amp;tracks=[key:gene_model_track,Options:GeneOnly]&amp;mk=1339382:1339401|offset_31|444444,1339412:1339431|offset_61|444444,1339442:1339461|offset_91|444444,1339484:1339503|offset_133|00cc00&amp;v=1339181:1339703&amp;c=444444", "offset 133")</f>
        <v>offset 133</v>
      </c>
    </row>
    <row r="4759" customFormat="false" ht="12.8" hidden="false" customHeight="false" outlineLevel="0" collapsed="false">
      <c r="A4759" s="0" t="s">
        <v>12</v>
      </c>
      <c r="B4759" s="0" t="n">
        <v>1340305</v>
      </c>
      <c r="C4759" s="0" t="n">
        <v>1340325</v>
      </c>
      <c r="D4759" s="0" t="s">
        <v>15923</v>
      </c>
      <c r="E4759" s="0" t="s">
        <v>15924</v>
      </c>
      <c r="F4759" s="0" t="s">
        <v>15</v>
      </c>
      <c r="G4759" s="0" t="s">
        <v>36</v>
      </c>
      <c r="H4759" s="0" t="n">
        <v>10</v>
      </c>
      <c r="I4759" s="0" t="s">
        <v>15925</v>
      </c>
      <c r="J4759" s="0" t="s">
        <v>15926</v>
      </c>
      <c r="K4759" s="0" t="s">
        <v>15927</v>
      </c>
      <c r="L4759" s="0" t="str">
        <f aca="false">HYPERLINK("https://www.ncbi.nlm.nih.gov/nuccore/CP000304.1?report=graph&amp;tracks=[key:gene_model_track,Options:GeneOnly]&amp;mk=1340306:1340325|offset_10|00cc00,1340329:1340348|offset_33|444444,1340349:1340368|offset_53|444444,1340382:1340401|offset_86|444444&amp;v=1340105:1340601&amp;c=444444", "offset 10")</f>
        <v>offset 10</v>
      </c>
    </row>
    <row r="4760" customFormat="false" ht="12.8" hidden="false" customHeight="false" outlineLevel="0" collapsed="false">
      <c r="A4760" s="0" t="s">
        <v>12</v>
      </c>
      <c r="B4760" s="0" t="n">
        <v>1340328</v>
      </c>
      <c r="C4760" s="0" t="n">
        <v>1340348</v>
      </c>
      <c r="D4760" s="0" t="s">
        <v>15923</v>
      </c>
      <c r="E4760" s="0" t="s">
        <v>15924</v>
      </c>
      <c r="F4760" s="0" t="s">
        <v>15</v>
      </c>
      <c r="G4760" s="0" t="s">
        <v>26</v>
      </c>
      <c r="H4760" s="0" t="n">
        <v>33</v>
      </c>
      <c r="I4760" s="0" t="s">
        <v>15928</v>
      </c>
      <c r="J4760" s="0" t="s">
        <v>15929</v>
      </c>
      <c r="K4760" s="0" t="s">
        <v>15930</v>
      </c>
      <c r="L4760" s="0" t="str">
        <f aca="false">HYPERLINK("https://www.ncbi.nlm.nih.gov/nuccore/CP000304.1?report=graph&amp;tracks=[key:gene_model_track,Options:GeneOnly]&amp;mk=1340306:1340325|offset_10|444444,1340329:1340348|offset_33|00cc00,1340349:1340368|offset_53|444444,1340382:1340401|offset_86|444444&amp;v=1340105:1340601&amp;c=444444", "offset 33")</f>
        <v>offset 33</v>
      </c>
    </row>
    <row r="4761" customFormat="false" ht="12.8" hidden="false" customHeight="false" outlineLevel="0" collapsed="false">
      <c r="A4761" s="0" t="s">
        <v>12</v>
      </c>
      <c r="B4761" s="0" t="n">
        <v>1340348</v>
      </c>
      <c r="C4761" s="0" t="n">
        <v>1340368</v>
      </c>
      <c r="D4761" s="0" t="s">
        <v>15923</v>
      </c>
      <c r="E4761" s="0" t="s">
        <v>15924</v>
      </c>
      <c r="F4761" s="0" t="s">
        <v>15</v>
      </c>
      <c r="G4761" s="0" t="s">
        <v>16</v>
      </c>
      <c r="H4761" s="0" t="n">
        <v>53</v>
      </c>
      <c r="I4761" s="0" t="s">
        <v>15931</v>
      </c>
      <c r="J4761" s="0" t="s">
        <v>15932</v>
      </c>
      <c r="K4761" s="0" t="s">
        <v>15933</v>
      </c>
      <c r="L4761" s="0" t="str">
        <f aca="false">HYPERLINK("https://www.ncbi.nlm.nih.gov/nuccore/CP000304.1?report=graph&amp;tracks=[key:gene_model_track,Options:GeneOnly]&amp;mk=1340306:1340325|offset_10|444444,1340329:1340348|offset_33|444444,1340349:1340368|offset_53|00cc00,1340382:1340401|offset_86|444444&amp;v=1340105:1340601&amp;c=444444", "offset 53")</f>
        <v>offset 53</v>
      </c>
    </row>
    <row r="4762" customFormat="false" ht="12.8" hidden="false" customHeight="false" outlineLevel="0" collapsed="false">
      <c r="A4762" s="0" t="s">
        <v>12</v>
      </c>
      <c r="B4762" s="0" t="n">
        <v>1340381</v>
      </c>
      <c r="C4762" s="0" t="n">
        <v>1340401</v>
      </c>
      <c r="D4762" s="0" t="s">
        <v>15923</v>
      </c>
      <c r="E4762" s="0" t="s">
        <v>15924</v>
      </c>
      <c r="F4762" s="0" t="s">
        <v>15</v>
      </c>
      <c r="G4762" s="0" t="s">
        <v>26</v>
      </c>
      <c r="H4762" s="0" t="n">
        <v>86</v>
      </c>
      <c r="I4762" s="0" t="s">
        <v>15934</v>
      </c>
      <c r="J4762" s="0" t="s">
        <v>15935</v>
      </c>
      <c r="K4762" s="0" t="s">
        <v>15936</v>
      </c>
      <c r="L4762" s="0" t="str">
        <f aca="false">HYPERLINK("https://www.ncbi.nlm.nih.gov/nuccore/CP000304.1?report=graph&amp;tracks=[key:gene_model_track,Options:GeneOnly]&amp;mk=1340306:1340325|offset_10|444444,1340329:1340348|offset_33|444444,1340349:1340368|offset_53|444444,1340382:1340401|offset_86|00cc00&amp;v=1340105:1340601&amp;c=444444", "offset 86")</f>
        <v>offset 86</v>
      </c>
    </row>
    <row r="4763" customFormat="false" ht="12.8" hidden="false" customHeight="false" outlineLevel="0" collapsed="false">
      <c r="A4763" s="0" t="s">
        <v>12</v>
      </c>
      <c r="B4763" s="0" t="n">
        <v>1341011</v>
      </c>
      <c r="C4763" s="0" t="n">
        <v>1341031</v>
      </c>
      <c r="D4763" s="0" t="s">
        <v>15937</v>
      </c>
      <c r="E4763" s="0" t="s">
        <v>15938</v>
      </c>
      <c r="F4763" s="0" t="s">
        <v>15</v>
      </c>
      <c r="G4763" s="0" t="s">
        <v>32</v>
      </c>
      <c r="H4763" s="0" t="n">
        <v>13</v>
      </c>
      <c r="I4763" s="0" t="s">
        <v>15939</v>
      </c>
      <c r="J4763" s="0" t="s">
        <v>15940</v>
      </c>
      <c r="K4763" s="0" t="s">
        <v>15941</v>
      </c>
      <c r="L4763" s="0" t="str">
        <f aca="false">HYPERLINK("https://www.ncbi.nlm.nih.gov/nuccore/CP000304.1?report=graph&amp;tracks=[key:gene_model_track,Options:GeneOnly]&amp;mk=1341012:1341031|offset_13|00cc00,1341043:1341062|offset_44|444444,1341066:1341085|offset_67|444444,1341089:1341108|offset_90|444444&amp;v=1340811:1341308&amp;c=444444", "offset 13")</f>
        <v>offset 13</v>
      </c>
    </row>
    <row r="4764" customFormat="false" ht="12.8" hidden="false" customHeight="false" outlineLevel="0" collapsed="false">
      <c r="A4764" s="0" t="s">
        <v>12</v>
      </c>
      <c r="B4764" s="0" t="n">
        <v>1341042</v>
      </c>
      <c r="C4764" s="0" t="n">
        <v>1341062</v>
      </c>
      <c r="D4764" s="0" t="s">
        <v>15937</v>
      </c>
      <c r="E4764" s="0" t="s">
        <v>15938</v>
      </c>
      <c r="F4764" s="0" t="s">
        <v>15</v>
      </c>
      <c r="G4764" s="0" t="s">
        <v>32</v>
      </c>
      <c r="H4764" s="0" t="n">
        <v>44</v>
      </c>
      <c r="I4764" s="0" t="s">
        <v>15942</v>
      </c>
      <c r="J4764" s="0" t="s">
        <v>15943</v>
      </c>
      <c r="K4764" s="0" t="s">
        <v>15944</v>
      </c>
      <c r="L4764" s="0" t="str">
        <f aca="false">HYPERLINK("https://www.ncbi.nlm.nih.gov/nuccore/CP000304.1?report=graph&amp;tracks=[key:gene_model_track,Options:GeneOnly]&amp;mk=1341012:1341031|offset_13|444444,1341043:1341062|offset_44|00cc00,1341066:1341085|offset_67|444444,1341089:1341108|offset_90|444444&amp;v=1340811:1341308&amp;c=444444", "offset 44")</f>
        <v>offset 44</v>
      </c>
    </row>
    <row r="4765" customFormat="false" ht="12.8" hidden="false" customHeight="false" outlineLevel="0" collapsed="false">
      <c r="A4765" s="0" t="s">
        <v>12</v>
      </c>
      <c r="B4765" s="0" t="n">
        <v>1341065</v>
      </c>
      <c r="C4765" s="0" t="n">
        <v>1341085</v>
      </c>
      <c r="D4765" s="0" t="s">
        <v>15937</v>
      </c>
      <c r="E4765" s="0" t="s">
        <v>15938</v>
      </c>
      <c r="F4765" s="0" t="s">
        <v>15</v>
      </c>
      <c r="G4765" s="0" t="s">
        <v>36</v>
      </c>
      <c r="H4765" s="0" t="n">
        <v>67</v>
      </c>
      <c r="I4765" s="0" t="s">
        <v>15945</v>
      </c>
      <c r="J4765" s="0" t="s">
        <v>15946</v>
      </c>
      <c r="K4765" s="0" t="s">
        <v>15947</v>
      </c>
      <c r="L4765" s="0" t="str">
        <f aca="false">HYPERLINK("https://www.ncbi.nlm.nih.gov/nuccore/CP000304.1?report=graph&amp;tracks=[key:gene_model_track,Options:GeneOnly]&amp;mk=1341012:1341031|offset_13|444444,1341043:1341062|offset_44|444444,1341066:1341085|offset_67|00cc00,1341089:1341108|offset_90|444444&amp;v=1340811:1341308&amp;c=444444", "offset 67")</f>
        <v>offset 67</v>
      </c>
    </row>
    <row r="4766" customFormat="false" ht="12.8" hidden="false" customHeight="false" outlineLevel="0" collapsed="false">
      <c r="A4766" s="0" t="s">
        <v>12</v>
      </c>
      <c r="B4766" s="0" t="n">
        <v>1341088</v>
      </c>
      <c r="C4766" s="0" t="n">
        <v>1341108</v>
      </c>
      <c r="D4766" s="0" t="s">
        <v>15937</v>
      </c>
      <c r="E4766" s="0" t="s">
        <v>15938</v>
      </c>
      <c r="F4766" s="0" t="s">
        <v>15</v>
      </c>
      <c r="G4766" s="0" t="s">
        <v>16</v>
      </c>
      <c r="H4766" s="0" t="n">
        <v>90</v>
      </c>
      <c r="I4766" s="0" t="s">
        <v>15948</v>
      </c>
      <c r="J4766" s="0" t="s">
        <v>15949</v>
      </c>
      <c r="K4766" s="0" t="s">
        <v>15950</v>
      </c>
      <c r="L4766" s="0" t="str">
        <f aca="false">HYPERLINK("https://www.ncbi.nlm.nih.gov/nuccore/CP000304.1?report=graph&amp;tracks=[key:gene_model_track,Options:GeneOnly]&amp;mk=1341012:1341031|offset_13|444444,1341043:1341062|offset_44|444444,1341066:1341085|offset_67|444444,1341089:1341108|offset_90|00cc00&amp;v=1340811:1341308&amp;c=444444", "offset 90")</f>
        <v>offset 90</v>
      </c>
    </row>
    <row r="4767" customFormat="false" ht="12.8" hidden="false" customHeight="false" outlineLevel="0" collapsed="false">
      <c r="A4767" s="0" t="s">
        <v>12</v>
      </c>
      <c r="B4767" s="0" t="n">
        <v>1341968</v>
      </c>
      <c r="C4767" s="0" t="n">
        <v>1341988</v>
      </c>
      <c r="D4767" s="0" t="s">
        <v>15951</v>
      </c>
      <c r="E4767" s="0" t="s">
        <v>89</v>
      </c>
      <c r="F4767" s="0" t="s">
        <v>90</v>
      </c>
      <c r="G4767" s="0" t="s">
        <v>26</v>
      </c>
      <c r="H4767" s="0" t="n">
        <v>20</v>
      </c>
      <c r="I4767" s="0" t="s">
        <v>15952</v>
      </c>
      <c r="J4767" s="0" t="s">
        <v>15953</v>
      </c>
      <c r="K4767" s="0" t="s">
        <v>15954</v>
      </c>
      <c r="L4767" s="0" t="str">
        <f aca="false">HYPERLINK("https://www.ncbi.nlm.nih.gov/nuccore/CP000304.1?report=graph&amp;tracks=[key:gene_model_track,Options:GeneOnly]&amp;mk=1341969:1341988|offset_20|00cc00,1341934:1341953|offset_55|444444,1341897:1341916|offset_92|444444,1341868:1341887|offset_121|444444&amp;v=1341768:1342087&amp;c=444444", "offset 20")</f>
        <v>offset 20</v>
      </c>
    </row>
    <row r="4768" customFormat="false" ht="12.8" hidden="false" customHeight="false" outlineLevel="0" collapsed="false">
      <c r="A4768" s="0" t="s">
        <v>12</v>
      </c>
      <c r="B4768" s="0" t="n">
        <v>1341933</v>
      </c>
      <c r="C4768" s="0" t="n">
        <v>1341953</v>
      </c>
      <c r="D4768" s="0" t="s">
        <v>15951</v>
      </c>
      <c r="E4768" s="0" t="s">
        <v>89</v>
      </c>
      <c r="F4768" s="0" t="s">
        <v>90</v>
      </c>
      <c r="G4768" s="0" t="s">
        <v>26</v>
      </c>
      <c r="H4768" s="0" t="n">
        <v>55</v>
      </c>
      <c r="I4768" s="0" t="s">
        <v>15955</v>
      </c>
      <c r="J4768" s="0" t="s">
        <v>15956</v>
      </c>
      <c r="K4768" s="0" t="s">
        <v>15957</v>
      </c>
      <c r="L4768" s="0" t="str">
        <f aca="false">HYPERLINK("https://www.ncbi.nlm.nih.gov/nuccore/CP000304.1?report=graph&amp;tracks=[key:gene_model_track,Options:GeneOnly]&amp;mk=1341969:1341988|offset_20|444444,1341934:1341953|offset_55|00cc00,1341897:1341916|offset_92|444444,1341868:1341887|offset_121|444444&amp;v=1341768:1342087&amp;c=444444", "offset 55")</f>
        <v>offset 55</v>
      </c>
    </row>
    <row r="4769" customFormat="false" ht="12.8" hidden="false" customHeight="false" outlineLevel="0" collapsed="false">
      <c r="A4769" s="0" t="s">
        <v>12</v>
      </c>
      <c r="B4769" s="0" t="n">
        <v>1341896</v>
      </c>
      <c r="C4769" s="0" t="n">
        <v>1341916</v>
      </c>
      <c r="D4769" s="0" t="s">
        <v>15951</v>
      </c>
      <c r="E4769" s="0" t="s">
        <v>89</v>
      </c>
      <c r="F4769" s="0" t="s">
        <v>90</v>
      </c>
      <c r="G4769" s="0" t="s">
        <v>16</v>
      </c>
      <c r="H4769" s="0" t="n">
        <v>92</v>
      </c>
      <c r="I4769" s="0" t="s">
        <v>15958</v>
      </c>
      <c r="J4769" s="0" t="s">
        <v>15959</v>
      </c>
      <c r="K4769" s="0" t="s">
        <v>15960</v>
      </c>
      <c r="L4769" s="0" t="str">
        <f aca="false">HYPERLINK("https://www.ncbi.nlm.nih.gov/nuccore/CP000304.1?report=graph&amp;tracks=[key:gene_model_track,Options:GeneOnly]&amp;mk=1341969:1341988|offset_20|444444,1341934:1341953|offset_55|444444,1341897:1341916|offset_92|00cc00,1341868:1341887|offset_121|444444&amp;v=1341768:1342087&amp;c=444444", "offset 92")</f>
        <v>offset 92</v>
      </c>
    </row>
    <row r="4770" customFormat="false" ht="12.8" hidden="false" customHeight="false" outlineLevel="0" collapsed="false">
      <c r="A4770" s="0" t="s">
        <v>12</v>
      </c>
      <c r="B4770" s="0" t="n">
        <v>1341867</v>
      </c>
      <c r="C4770" s="0" t="n">
        <v>1341887</v>
      </c>
      <c r="D4770" s="0" t="s">
        <v>15951</v>
      </c>
      <c r="E4770" s="0" t="s">
        <v>89</v>
      </c>
      <c r="F4770" s="0" t="s">
        <v>90</v>
      </c>
      <c r="G4770" s="0" t="s">
        <v>16</v>
      </c>
      <c r="H4770" s="0" t="n">
        <v>121</v>
      </c>
      <c r="I4770" s="0" t="s">
        <v>15961</v>
      </c>
      <c r="J4770" s="0" t="s">
        <v>15962</v>
      </c>
      <c r="K4770" s="0" t="s">
        <v>15963</v>
      </c>
      <c r="L4770" s="0" t="str">
        <f aca="false">HYPERLINK("https://www.ncbi.nlm.nih.gov/nuccore/CP000304.1?report=graph&amp;tracks=[key:gene_model_track,Options:GeneOnly]&amp;mk=1341969:1341988|offset_20|444444,1341934:1341953|offset_55|444444,1341897:1341916|offset_92|444444,1341868:1341887|offset_121|00cc00&amp;v=1341768:1342087&amp;c=444444", "offset 121")</f>
        <v>offset 121</v>
      </c>
    </row>
    <row r="4771" customFormat="false" ht="12.8" hidden="false" customHeight="false" outlineLevel="0" collapsed="false">
      <c r="A4771" s="0" t="s">
        <v>12</v>
      </c>
      <c r="B4771" s="0" t="n">
        <v>1342923</v>
      </c>
      <c r="C4771" s="0" t="n">
        <v>1342943</v>
      </c>
      <c r="D4771" s="0" t="s">
        <v>15964</v>
      </c>
      <c r="E4771" s="0" t="s">
        <v>89</v>
      </c>
      <c r="F4771" s="0" t="s">
        <v>90</v>
      </c>
      <c r="G4771" s="0" t="s">
        <v>36</v>
      </c>
      <c r="H4771" s="0" t="n">
        <v>0</v>
      </c>
      <c r="I4771" s="0" t="s">
        <v>15965</v>
      </c>
      <c r="J4771" s="0" t="s">
        <v>15966</v>
      </c>
      <c r="K4771" s="0" t="s">
        <v>15967</v>
      </c>
      <c r="L4771" s="0" t="str">
        <f aca="false">HYPERLINK("https://www.ncbi.nlm.nih.gov/nuccore/CP000304.1?report=graph&amp;tracks=[key:gene_model_track,Options:GeneOnly]&amp;mk=1342924:1342943|offset_0|00cc00,1342904:1342923|offset_20|444444,1342851:1342870|offset_73|444444,1342818:1342837|offset_106|444444&amp;v=1342723:1343037&amp;c=444444", "offset 0")</f>
        <v>offset 0</v>
      </c>
    </row>
    <row r="4772" customFormat="false" ht="12.8" hidden="false" customHeight="false" outlineLevel="0" collapsed="false">
      <c r="A4772" s="0" t="s">
        <v>12</v>
      </c>
      <c r="B4772" s="0" t="n">
        <v>1342903</v>
      </c>
      <c r="C4772" s="0" t="n">
        <v>1342923</v>
      </c>
      <c r="D4772" s="0" t="s">
        <v>15964</v>
      </c>
      <c r="E4772" s="0" t="s">
        <v>89</v>
      </c>
      <c r="F4772" s="0" t="s">
        <v>90</v>
      </c>
      <c r="G4772" s="0" t="s">
        <v>36</v>
      </c>
      <c r="H4772" s="0" t="n">
        <v>20</v>
      </c>
      <c r="I4772" s="0" t="s">
        <v>15968</v>
      </c>
      <c r="J4772" s="0" t="s">
        <v>15969</v>
      </c>
      <c r="K4772" s="0" t="s">
        <v>15970</v>
      </c>
      <c r="L4772" s="0" t="str">
        <f aca="false">HYPERLINK("https://www.ncbi.nlm.nih.gov/nuccore/CP000304.1?report=graph&amp;tracks=[key:gene_model_track,Options:GeneOnly]&amp;mk=1342924:1342943|offset_0|444444,1342904:1342923|offset_20|00cc00,1342851:1342870|offset_73|444444,1342818:1342837|offset_106|444444&amp;v=1342723:1343037&amp;c=444444", "offset 20")</f>
        <v>offset 20</v>
      </c>
    </row>
    <row r="4773" customFormat="false" ht="12.8" hidden="false" customHeight="false" outlineLevel="0" collapsed="false">
      <c r="A4773" s="0" t="s">
        <v>12</v>
      </c>
      <c r="B4773" s="0" t="n">
        <v>1342850</v>
      </c>
      <c r="C4773" s="0" t="n">
        <v>1342870</v>
      </c>
      <c r="D4773" s="0" t="s">
        <v>15964</v>
      </c>
      <c r="E4773" s="0" t="s">
        <v>89</v>
      </c>
      <c r="F4773" s="0" t="s">
        <v>90</v>
      </c>
      <c r="G4773" s="0" t="s">
        <v>32</v>
      </c>
      <c r="H4773" s="0" t="n">
        <v>73</v>
      </c>
      <c r="I4773" s="0" t="s">
        <v>15971</v>
      </c>
      <c r="J4773" s="0" t="s">
        <v>15972</v>
      </c>
      <c r="K4773" s="0" t="s">
        <v>15973</v>
      </c>
      <c r="L4773" s="0" t="str">
        <f aca="false">HYPERLINK("https://www.ncbi.nlm.nih.gov/nuccore/CP000304.1?report=graph&amp;tracks=[key:gene_model_track,Options:GeneOnly]&amp;mk=1342924:1342943|offset_0|444444,1342904:1342923|offset_20|444444,1342851:1342870|offset_73|00cc00,1342818:1342837|offset_106|444444&amp;v=1342723:1343037&amp;c=444444", "offset 73")</f>
        <v>offset 73</v>
      </c>
    </row>
    <row r="4774" customFormat="false" ht="12.8" hidden="false" customHeight="false" outlineLevel="0" collapsed="false">
      <c r="A4774" s="0" t="s">
        <v>12</v>
      </c>
      <c r="B4774" s="0" t="n">
        <v>1342817</v>
      </c>
      <c r="C4774" s="0" t="n">
        <v>1342837</v>
      </c>
      <c r="D4774" s="0" t="s">
        <v>15964</v>
      </c>
      <c r="E4774" s="0" t="s">
        <v>89</v>
      </c>
      <c r="F4774" s="0" t="s">
        <v>90</v>
      </c>
      <c r="G4774" s="0" t="s">
        <v>16</v>
      </c>
      <c r="H4774" s="0" t="n">
        <v>106</v>
      </c>
      <c r="I4774" s="0" t="s">
        <v>15974</v>
      </c>
      <c r="J4774" s="0" t="s">
        <v>15975</v>
      </c>
      <c r="K4774" s="0" t="s">
        <v>15976</v>
      </c>
      <c r="L4774" s="0" t="str">
        <f aca="false">HYPERLINK("https://www.ncbi.nlm.nih.gov/nuccore/CP000304.1?report=graph&amp;tracks=[key:gene_model_track,Options:GeneOnly]&amp;mk=1342924:1342943|offset_0|444444,1342904:1342923|offset_20|444444,1342851:1342870|offset_73|444444,1342818:1342837|offset_106|00cc00&amp;v=1342723:1343037&amp;c=444444", "offset 106")</f>
        <v>offset 106</v>
      </c>
    </row>
    <row r="4775" customFormat="false" ht="12.8" hidden="false" customHeight="false" outlineLevel="0" collapsed="false">
      <c r="A4775" s="0" t="s">
        <v>12</v>
      </c>
      <c r="B4775" s="0" t="n">
        <v>1344302</v>
      </c>
      <c r="C4775" s="0" t="n">
        <v>1344322</v>
      </c>
      <c r="D4775" s="0" t="s">
        <v>15977</v>
      </c>
      <c r="E4775" s="0" t="s">
        <v>89</v>
      </c>
      <c r="F4775" s="0" t="s">
        <v>90</v>
      </c>
      <c r="G4775" s="0" t="s">
        <v>26</v>
      </c>
      <c r="H4775" s="0" t="n">
        <v>47</v>
      </c>
      <c r="I4775" s="0" t="s">
        <v>15978</v>
      </c>
      <c r="J4775" s="0" t="s">
        <v>15979</v>
      </c>
      <c r="K4775" s="0" t="s">
        <v>15980</v>
      </c>
      <c r="L4775" s="0" t="str">
        <f aca="false">HYPERLINK("https://www.ncbi.nlm.nih.gov/nuccore/CP000304.1?report=graph&amp;tracks=[key:gene_model_track,Options:GeneOnly]&amp;mk=1344303:1344322|offset_47|00cc00,1344282:1344301|offset_68|444444,1344259:1344278|offset_91|444444,1344226:1344245|offset_124|444444&amp;v=1344102:1344445&amp;c=444444", "offset 47")</f>
        <v>offset 47</v>
      </c>
    </row>
    <row r="4776" customFormat="false" ht="12.8" hidden="false" customHeight="false" outlineLevel="0" collapsed="false">
      <c r="A4776" s="0" t="s">
        <v>12</v>
      </c>
      <c r="B4776" s="0" t="n">
        <v>1344281</v>
      </c>
      <c r="C4776" s="0" t="n">
        <v>1344301</v>
      </c>
      <c r="D4776" s="0" t="s">
        <v>15977</v>
      </c>
      <c r="E4776" s="0" t="s">
        <v>89</v>
      </c>
      <c r="F4776" s="0" t="s">
        <v>90</v>
      </c>
      <c r="G4776" s="0" t="s">
        <v>26</v>
      </c>
      <c r="H4776" s="0" t="n">
        <v>68</v>
      </c>
      <c r="I4776" s="0" t="s">
        <v>15981</v>
      </c>
      <c r="J4776" s="0" t="s">
        <v>15982</v>
      </c>
      <c r="K4776" s="0" t="s">
        <v>15983</v>
      </c>
      <c r="L4776" s="0" t="str">
        <f aca="false">HYPERLINK("https://www.ncbi.nlm.nih.gov/nuccore/CP000304.1?report=graph&amp;tracks=[key:gene_model_track,Options:GeneOnly]&amp;mk=1344303:1344322|offset_47|444444,1344282:1344301|offset_68|00cc00,1344259:1344278|offset_91|444444,1344226:1344245|offset_124|444444&amp;v=1344102:1344445&amp;c=444444", "offset 68")</f>
        <v>offset 68</v>
      </c>
    </row>
    <row r="4777" customFormat="false" ht="12.8" hidden="false" customHeight="false" outlineLevel="0" collapsed="false">
      <c r="A4777" s="0" t="s">
        <v>12</v>
      </c>
      <c r="B4777" s="0" t="n">
        <v>1344258</v>
      </c>
      <c r="C4777" s="0" t="n">
        <v>1344278</v>
      </c>
      <c r="D4777" s="0" t="s">
        <v>15977</v>
      </c>
      <c r="E4777" s="0" t="s">
        <v>89</v>
      </c>
      <c r="F4777" s="0" t="s">
        <v>90</v>
      </c>
      <c r="G4777" s="0" t="s">
        <v>26</v>
      </c>
      <c r="H4777" s="0" t="n">
        <v>91</v>
      </c>
      <c r="I4777" s="0" t="s">
        <v>15984</v>
      </c>
      <c r="J4777" s="0" t="s">
        <v>15985</v>
      </c>
      <c r="K4777" s="0" t="s">
        <v>15986</v>
      </c>
      <c r="L4777" s="0" t="str">
        <f aca="false">HYPERLINK("https://www.ncbi.nlm.nih.gov/nuccore/CP000304.1?report=graph&amp;tracks=[key:gene_model_track,Options:GeneOnly]&amp;mk=1344303:1344322|offset_47|444444,1344282:1344301|offset_68|444444,1344259:1344278|offset_91|00cc00,1344226:1344245|offset_124|444444&amp;v=1344102:1344445&amp;c=444444", "offset 91")</f>
        <v>offset 91</v>
      </c>
    </row>
    <row r="4778" customFormat="false" ht="12.8" hidden="false" customHeight="false" outlineLevel="0" collapsed="false">
      <c r="A4778" s="0" t="s">
        <v>12</v>
      </c>
      <c r="B4778" s="0" t="n">
        <v>1344225</v>
      </c>
      <c r="C4778" s="0" t="n">
        <v>1344245</v>
      </c>
      <c r="D4778" s="0" t="s">
        <v>15977</v>
      </c>
      <c r="E4778" s="0" t="s">
        <v>89</v>
      </c>
      <c r="F4778" s="0" t="s">
        <v>90</v>
      </c>
      <c r="G4778" s="0" t="s">
        <v>32</v>
      </c>
      <c r="H4778" s="0" t="n">
        <v>124</v>
      </c>
      <c r="I4778" s="0" t="s">
        <v>15987</v>
      </c>
      <c r="J4778" s="0" t="s">
        <v>15988</v>
      </c>
      <c r="K4778" s="0" t="s">
        <v>15989</v>
      </c>
      <c r="L4778" s="0" t="str">
        <f aca="false">HYPERLINK("https://www.ncbi.nlm.nih.gov/nuccore/CP000304.1?report=graph&amp;tracks=[key:gene_model_track,Options:GeneOnly]&amp;mk=1344303:1344322|offset_47|444444,1344282:1344301|offset_68|444444,1344259:1344278|offset_91|444444,1344226:1344245|offset_124|00cc00&amp;v=1344102:1344445&amp;c=444444", "offset 124")</f>
        <v>offset 124</v>
      </c>
    </row>
    <row r="4779" customFormat="false" ht="12.8" hidden="false" customHeight="false" outlineLevel="0" collapsed="false">
      <c r="A4779" s="0" t="s">
        <v>12</v>
      </c>
      <c r="B4779" s="0" t="n">
        <v>1345111</v>
      </c>
      <c r="C4779" s="0" t="n">
        <v>1345131</v>
      </c>
      <c r="D4779" s="0" t="s">
        <v>15990</v>
      </c>
      <c r="E4779" s="0" t="s">
        <v>89</v>
      </c>
      <c r="F4779" s="0" t="s">
        <v>90</v>
      </c>
      <c r="G4779" s="0" t="s">
        <v>32</v>
      </c>
      <c r="H4779" s="0" t="n">
        <v>32</v>
      </c>
      <c r="I4779" s="0" t="s">
        <v>15991</v>
      </c>
      <c r="J4779" s="0" t="s">
        <v>15992</v>
      </c>
      <c r="K4779" s="0" t="s">
        <v>15993</v>
      </c>
      <c r="L4779" s="0" t="str">
        <f aca="false">HYPERLINK("https://www.ncbi.nlm.nih.gov/nuccore/CP000304.1?report=graph&amp;tracks=[key:gene_model_track,Options:GeneOnly]&amp;mk=1345112:1345131|offset_32|00cc00,1345086:1345105|offset_58|444444,1345065:1345084|offset_79|444444,1345042:1345061|offset_102|444444&amp;v=1344911:1345261&amp;c=444444", "offset 32")</f>
        <v>offset 32</v>
      </c>
    </row>
    <row r="4780" customFormat="false" ht="12.8" hidden="false" customHeight="false" outlineLevel="0" collapsed="false">
      <c r="A4780" s="0" t="s">
        <v>12</v>
      </c>
      <c r="B4780" s="0" t="n">
        <v>1345085</v>
      </c>
      <c r="C4780" s="0" t="n">
        <v>1345105</v>
      </c>
      <c r="D4780" s="0" t="s">
        <v>15990</v>
      </c>
      <c r="E4780" s="0" t="s">
        <v>89</v>
      </c>
      <c r="F4780" s="0" t="s">
        <v>90</v>
      </c>
      <c r="G4780" s="0" t="s">
        <v>16</v>
      </c>
      <c r="H4780" s="0" t="n">
        <v>58</v>
      </c>
      <c r="I4780" s="0" t="s">
        <v>15994</v>
      </c>
      <c r="J4780" s="0" t="s">
        <v>15995</v>
      </c>
      <c r="K4780" s="0" t="s">
        <v>15996</v>
      </c>
      <c r="L4780" s="0" t="str">
        <f aca="false">HYPERLINK("https://www.ncbi.nlm.nih.gov/nuccore/CP000304.1?report=graph&amp;tracks=[key:gene_model_track,Options:GeneOnly]&amp;mk=1345112:1345131|offset_32|444444,1345086:1345105|offset_58|00cc00,1345065:1345084|offset_79|444444,1345042:1345061|offset_102|444444&amp;v=1344911:1345261&amp;c=444444", "offset 58")</f>
        <v>offset 58</v>
      </c>
    </row>
    <row r="4781" customFormat="false" ht="12.8" hidden="false" customHeight="false" outlineLevel="0" collapsed="false">
      <c r="A4781" s="0" t="s">
        <v>12</v>
      </c>
      <c r="B4781" s="0" t="n">
        <v>1345064</v>
      </c>
      <c r="C4781" s="0" t="n">
        <v>1345084</v>
      </c>
      <c r="D4781" s="0" t="s">
        <v>15990</v>
      </c>
      <c r="E4781" s="0" t="s">
        <v>89</v>
      </c>
      <c r="F4781" s="0" t="s">
        <v>90</v>
      </c>
      <c r="G4781" s="0" t="s">
        <v>16</v>
      </c>
      <c r="H4781" s="0" t="n">
        <v>79</v>
      </c>
      <c r="I4781" s="0" t="s">
        <v>15997</v>
      </c>
      <c r="J4781" s="0" t="s">
        <v>15998</v>
      </c>
      <c r="K4781" s="0" t="s">
        <v>15999</v>
      </c>
      <c r="L4781" s="0" t="str">
        <f aca="false">HYPERLINK("https://www.ncbi.nlm.nih.gov/nuccore/CP000304.1?report=graph&amp;tracks=[key:gene_model_track,Options:GeneOnly]&amp;mk=1345112:1345131|offset_32|444444,1345086:1345105|offset_58|444444,1345065:1345084|offset_79|00cc00,1345042:1345061|offset_102|444444&amp;v=1344911:1345261&amp;c=444444", "offset 79")</f>
        <v>offset 79</v>
      </c>
    </row>
    <row r="4782" customFormat="false" ht="12.8" hidden="false" customHeight="false" outlineLevel="0" collapsed="false">
      <c r="A4782" s="0" t="s">
        <v>12</v>
      </c>
      <c r="B4782" s="0" t="n">
        <v>1345041</v>
      </c>
      <c r="C4782" s="0" t="n">
        <v>1345061</v>
      </c>
      <c r="D4782" s="0" t="s">
        <v>15990</v>
      </c>
      <c r="E4782" s="0" t="s">
        <v>89</v>
      </c>
      <c r="F4782" s="0" t="s">
        <v>90</v>
      </c>
      <c r="G4782" s="0" t="s">
        <v>36</v>
      </c>
      <c r="H4782" s="0" t="n">
        <v>102</v>
      </c>
      <c r="I4782" s="0" t="s">
        <v>16000</v>
      </c>
      <c r="J4782" s="0" t="s">
        <v>16001</v>
      </c>
      <c r="K4782" s="0" t="s">
        <v>16002</v>
      </c>
      <c r="L4782" s="0" t="str">
        <f aca="false">HYPERLINK("https://www.ncbi.nlm.nih.gov/nuccore/CP000304.1?report=graph&amp;tracks=[key:gene_model_track,Options:GeneOnly]&amp;mk=1345112:1345131|offset_32|444444,1345086:1345105|offset_58|444444,1345065:1345084|offset_79|444444,1345042:1345061|offset_102|00cc00&amp;v=1344911:1345261&amp;c=444444", "offset 102")</f>
        <v>offset 102</v>
      </c>
    </row>
    <row r="4783" customFormat="false" ht="12.8" hidden="false" customHeight="false" outlineLevel="0" collapsed="false">
      <c r="A4783" s="0" t="s">
        <v>12</v>
      </c>
      <c r="B4783" s="0" t="n">
        <v>1345529</v>
      </c>
      <c r="C4783" s="0" t="n">
        <v>1345549</v>
      </c>
      <c r="D4783" s="0" t="s">
        <v>16003</v>
      </c>
      <c r="E4783" s="0" t="s">
        <v>89</v>
      </c>
      <c r="F4783" s="0" t="s">
        <v>90</v>
      </c>
      <c r="G4783" s="0" t="s">
        <v>16</v>
      </c>
      <c r="H4783" s="0" t="n">
        <v>6</v>
      </c>
      <c r="I4783" s="0" t="s">
        <v>16004</v>
      </c>
      <c r="J4783" s="0" t="s">
        <v>16005</v>
      </c>
      <c r="K4783" s="0" t="s">
        <v>16006</v>
      </c>
      <c r="L4783" s="0" t="str">
        <f aca="false">HYPERLINK("https://www.ncbi.nlm.nih.gov/nuccore/CP000304.1?report=graph&amp;tracks=[key:gene_model_track,Options:GeneOnly]&amp;mk=1345530:1345549|offset_6|00cc00,1345510:1345529|offset_26|444444,1345490:1345509|offset_46|444444,1345469:1345488|offset_67|444444&amp;v=1345329:1345688&amp;c=444444", "offset 6")</f>
        <v>offset 6</v>
      </c>
    </row>
    <row r="4784" customFormat="false" ht="12.8" hidden="false" customHeight="false" outlineLevel="0" collapsed="false">
      <c r="A4784" s="0" t="s">
        <v>12</v>
      </c>
      <c r="B4784" s="0" t="n">
        <v>1345509</v>
      </c>
      <c r="C4784" s="0" t="n">
        <v>1345529</v>
      </c>
      <c r="D4784" s="0" t="s">
        <v>16003</v>
      </c>
      <c r="E4784" s="0" t="s">
        <v>89</v>
      </c>
      <c r="F4784" s="0" t="s">
        <v>90</v>
      </c>
      <c r="G4784" s="0" t="s">
        <v>36</v>
      </c>
      <c r="H4784" s="0" t="n">
        <v>26</v>
      </c>
      <c r="I4784" s="0" t="s">
        <v>16007</v>
      </c>
      <c r="J4784" s="0" t="s">
        <v>16008</v>
      </c>
      <c r="K4784" s="0" t="s">
        <v>16009</v>
      </c>
      <c r="L4784" s="0" t="str">
        <f aca="false">HYPERLINK("https://www.ncbi.nlm.nih.gov/nuccore/CP000304.1?report=graph&amp;tracks=[key:gene_model_track,Options:GeneOnly]&amp;mk=1345530:1345549|offset_6|444444,1345510:1345529|offset_26|00cc00,1345490:1345509|offset_46|444444,1345469:1345488|offset_67|444444&amp;v=1345329:1345688&amp;c=444444", "offset 26")</f>
        <v>offset 26</v>
      </c>
    </row>
    <row r="4785" customFormat="false" ht="12.8" hidden="false" customHeight="false" outlineLevel="0" collapsed="false">
      <c r="A4785" s="0" t="s">
        <v>12</v>
      </c>
      <c r="B4785" s="0" t="n">
        <v>1345489</v>
      </c>
      <c r="C4785" s="0" t="n">
        <v>1345509</v>
      </c>
      <c r="D4785" s="0" t="s">
        <v>16003</v>
      </c>
      <c r="E4785" s="0" t="s">
        <v>89</v>
      </c>
      <c r="F4785" s="0" t="s">
        <v>90</v>
      </c>
      <c r="G4785" s="0" t="s">
        <v>32</v>
      </c>
      <c r="H4785" s="0" t="n">
        <v>46</v>
      </c>
      <c r="I4785" s="0" t="s">
        <v>16010</v>
      </c>
      <c r="J4785" s="0" t="s">
        <v>16011</v>
      </c>
      <c r="K4785" s="0" t="s">
        <v>16012</v>
      </c>
      <c r="L4785" s="0" t="str">
        <f aca="false">HYPERLINK("https://www.ncbi.nlm.nih.gov/nuccore/CP000304.1?report=graph&amp;tracks=[key:gene_model_track,Options:GeneOnly]&amp;mk=1345530:1345549|offset_6|444444,1345510:1345529|offset_26|444444,1345490:1345509|offset_46|00cc00,1345469:1345488|offset_67|444444&amp;v=1345329:1345688&amp;c=444444", "offset 46")</f>
        <v>offset 46</v>
      </c>
    </row>
    <row r="4786" customFormat="false" ht="12.8" hidden="false" customHeight="false" outlineLevel="0" collapsed="false">
      <c r="A4786" s="0" t="s">
        <v>12</v>
      </c>
      <c r="B4786" s="0" t="n">
        <v>1345468</v>
      </c>
      <c r="C4786" s="0" t="n">
        <v>1345488</v>
      </c>
      <c r="D4786" s="0" t="s">
        <v>16003</v>
      </c>
      <c r="E4786" s="0" t="s">
        <v>89</v>
      </c>
      <c r="F4786" s="0" t="s">
        <v>90</v>
      </c>
      <c r="G4786" s="0" t="s">
        <v>26</v>
      </c>
      <c r="H4786" s="0" t="n">
        <v>67</v>
      </c>
      <c r="I4786" s="0" t="s">
        <v>16013</v>
      </c>
      <c r="J4786" s="0" t="s">
        <v>16014</v>
      </c>
      <c r="K4786" s="0" t="s">
        <v>16015</v>
      </c>
      <c r="L4786" s="0" t="str">
        <f aca="false">HYPERLINK("https://www.ncbi.nlm.nih.gov/nuccore/CP000304.1?report=graph&amp;tracks=[key:gene_model_track,Options:GeneOnly]&amp;mk=1345530:1345549|offset_6|444444,1345510:1345529|offset_26|444444,1345490:1345509|offset_46|444444,1345469:1345488|offset_67|00cc00&amp;v=1345329:1345688&amp;c=444444", "offset 67")</f>
        <v>offset 67</v>
      </c>
    </row>
    <row r="4787" customFormat="false" ht="12.8" hidden="false" customHeight="false" outlineLevel="0" collapsed="false">
      <c r="A4787" s="0" t="s">
        <v>12</v>
      </c>
      <c r="B4787" s="0" t="n">
        <v>1347990</v>
      </c>
      <c r="C4787" s="0" t="n">
        <v>1348010</v>
      </c>
      <c r="D4787" s="0" t="s">
        <v>16016</v>
      </c>
      <c r="E4787" s="0" t="s">
        <v>16017</v>
      </c>
      <c r="F4787" s="0" t="s">
        <v>90</v>
      </c>
      <c r="G4787" s="0" t="s">
        <v>32</v>
      </c>
      <c r="H4787" s="0" t="n">
        <v>40</v>
      </c>
      <c r="I4787" s="0" t="s">
        <v>16018</v>
      </c>
      <c r="J4787" s="0" t="s">
        <v>16019</v>
      </c>
      <c r="K4787" s="0" t="s">
        <v>16020</v>
      </c>
      <c r="L4787" s="0" t="str">
        <f aca="false">HYPERLINK("https://www.ncbi.nlm.nih.gov/nuccore/CP000304.1?report=graph&amp;tracks=[key:gene_model_track,Options:GeneOnly]&amp;mk=1347991:1348010|offset_40|00cc00,1347959:1347978|offset_72|444444,1347939:1347958|offset_92|444444,1347915:1347934|offset_116|444444&amp;v=1347790:1348134&amp;c=444444", "offset 40")</f>
        <v>offset 40</v>
      </c>
    </row>
    <row r="4788" customFormat="false" ht="12.8" hidden="false" customHeight="false" outlineLevel="0" collapsed="false">
      <c r="A4788" s="0" t="s">
        <v>12</v>
      </c>
      <c r="B4788" s="0" t="n">
        <v>1347958</v>
      </c>
      <c r="C4788" s="0" t="n">
        <v>1347978</v>
      </c>
      <c r="D4788" s="0" t="s">
        <v>16016</v>
      </c>
      <c r="E4788" s="0" t="s">
        <v>16017</v>
      </c>
      <c r="F4788" s="0" t="s">
        <v>90</v>
      </c>
      <c r="G4788" s="0" t="s">
        <v>16</v>
      </c>
      <c r="H4788" s="0" t="n">
        <v>72</v>
      </c>
      <c r="I4788" s="0" t="s">
        <v>16021</v>
      </c>
      <c r="J4788" s="0" t="s">
        <v>16022</v>
      </c>
      <c r="K4788" s="0" t="s">
        <v>16023</v>
      </c>
      <c r="L4788" s="0" t="str">
        <f aca="false">HYPERLINK("https://www.ncbi.nlm.nih.gov/nuccore/CP000304.1?report=graph&amp;tracks=[key:gene_model_track,Options:GeneOnly]&amp;mk=1347991:1348010|offset_40|444444,1347959:1347978|offset_72|00cc00,1347939:1347958|offset_92|444444,1347915:1347934|offset_116|444444&amp;v=1347790:1348134&amp;c=444444", "offset 72")</f>
        <v>offset 72</v>
      </c>
    </row>
    <row r="4789" customFormat="false" ht="12.8" hidden="false" customHeight="false" outlineLevel="0" collapsed="false">
      <c r="A4789" s="0" t="s">
        <v>12</v>
      </c>
      <c r="B4789" s="0" t="n">
        <v>1347938</v>
      </c>
      <c r="C4789" s="0" t="n">
        <v>1347958</v>
      </c>
      <c r="D4789" s="0" t="s">
        <v>16016</v>
      </c>
      <c r="E4789" s="0" t="s">
        <v>16017</v>
      </c>
      <c r="F4789" s="0" t="s">
        <v>90</v>
      </c>
      <c r="G4789" s="0" t="s">
        <v>36</v>
      </c>
      <c r="H4789" s="0" t="n">
        <v>92</v>
      </c>
      <c r="I4789" s="0" t="s">
        <v>16024</v>
      </c>
      <c r="J4789" s="0" t="s">
        <v>16025</v>
      </c>
      <c r="K4789" s="0" t="s">
        <v>16026</v>
      </c>
      <c r="L4789" s="0" t="str">
        <f aca="false">HYPERLINK("https://www.ncbi.nlm.nih.gov/nuccore/CP000304.1?report=graph&amp;tracks=[key:gene_model_track,Options:GeneOnly]&amp;mk=1347991:1348010|offset_40|444444,1347959:1347978|offset_72|444444,1347939:1347958|offset_92|00cc00,1347915:1347934|offset_116|444444&amp;v=1347790:1348134&amp;c=444444", "offset 92")</f>
        <v>offset 92</v>
      </c>
    </row>
    <row r="4790" customFormat="false" ht="12.8" hidden="false" customHeight="false" outlineLevel="0" collapsed="false">
      <c r="A4790" s="0" t="s">
        <v>12</v>
      </c>
      <c r="B4790" s="0" t="n">
        <v>1347914</v>
      </c>
      <c r="C4790" s="0" t="n">
        <v>1347934</v>
      </c>
      <c r="D4790" s="0" t="s">
        <v>16016</v>
      </c>
      <c r="E4790" s="0" t="s">
        <v>16017</v>
      </c>
      <c r="F4790" s="0" t="s">
        <v>90</v>
      </c>
      <c r="G4790" s="0" t="s">
        <v>36</v>
      </c>
      <c r="H4790" s="0" t="n">
        <v>116</v>
      </c>
      <c r="I4790" s="0" t="s">
        <v>16027</v>
      </c>
      <c r="J4790" s="0" t="s">
        <v>16028</v>
      </c>
      <c r="K4790" s="0" t="s">
        <v>16029</v>
      </c>
      <c r="L4790" s="0" t="str">
        <f aca="false">HYPERLINK("https://www.ncbi.nlm.nih.gov/nuccore/CP000304.1?report=graph&amp;tracks=[key:gene_model_track,Options:GeneOnly]&amp;mk=1347991:1348010|offset_40|444444,1347959:1347978|offset_72|444444,1347939:1347958|offset_92|444444,1347915:1347934|offset_116|00cc00&amp;v=1347790:1348134&amp;c=444444", "offset 116")</f>
        <v>offset 116</v>
      </c>
    </row>
    <row r="4791" customFormat="false" ht="12.8" hidden="false" customHeight="false" outlineLevel="0" collapsed="false">
      <c r="A4791" s="0" t="s">
        <v>12</v>
      </c>
      <c r="B4791" s="0" t="n">
        <v>1348348</v>
      </c>
      <c r="C4791" s="0" t="n">
        <v>1348368</v>
      </c>
      <c r="D4791" s="0" t="s">
        <v>16030</v>
      </c>
      <c r="E4791" s="0" t="s">
        <v>89</v>
      </c>
      <c r="F4791" s="0" t="s">
        <v>15</v>
      </c>
      <c r="G4791" s="0" t="s">
        <v>26</v>
      </c>
      <c r="H4791" s="0" t="n">
        <v>10</v>
      </c>
      <c r="I4791" s="0" t="s">
        <v>16031</v>
      </c>
      <c r="J4791" s="0" t="s">
        <v>16032</v>
      </c>
      <c r="K4791" s="0" t="s">
        <v>16033</v>
      </c>
      <c r="L4791" s="0" t="str">
        <f aca="false">HYPERLINK("https://www.ncbi.nlm.nih.gov/nuccore/CP000304.1?report=graph&amp;tracks=[key:gene_model_track,Options:GeneOnly]&amp;mk=1348349:1348368|offset_10|00cc00,1348370:1348389|offset_31|444444,1348401:1348420|offset_62|444444,1348442:1348461|offset_103|444444&amp;v=1348148:1348661&amp;c=444444", "offset 10")</f>
        <v>offset 10</v>
      </c>
    </row>
    <row r="4792" customFormat="false" ht="12.8" hidden="false" customHeight="false" outlineLevel="0" collapsed="false">
      <c r="A4792" s="0" t="s">
        <v>12</v>
      </c>
      <c r="B4792" s="0" t="n">
        <v>1348369</v>
      </c>
      <c r="C4792" s="0" t="n">
        <v>1348389</v>
      </c>
      <c r="D4792" s="0" t="s">
        <v>16030</v>
      </c>
      <c r="E4792" s="0" t="s">
        <v>89</v>
      </c>
      <c r="F4792" s="0" t="s">
        <v>15</v>
      </c>
      <c r="G4792" s="0" t="s">
        <v>16</v>
      </c>
      <c r="H4792" s="0" t="n">
        <v>31</v>
      </c>
      <c r="I4792" s="0" t="s">
        <v>16034</v>
      </c>
      <c r="J4792" s="0" t="s">
        <v>16035</v>
      </c>
      <c r="K4792" s="0" t="s">
        <v>16036</v>
      </c>
      <c r="L4792" s="0" t="str">
        <f aca="false">HYPERLINK("https://www.ncbi.nlm.nih.gov/nuccore/CP000304.1?report=graph&amp;tracks=[key:gene_model_track,Options:GeneOnly]&amp;mk=1348349:1348368|offset_10|444444,1348370:1348389|offset_31|00cc00,1348401:1348420|offset_62|444444,1348442:1348461|offset_103|444444&amp;v=1348148:1348661&amp;c=444444", "offset 31")</f>
        <v>offset 31</v>
      </c>
    </row>
    <row r="4793" customFormat="false" ht="12.8" hidden="false" customHeight="false" outlineLevel="0" collapsed="false">
      <c r="A4793" s="0" t="s">
        <v>12</v>
      </c>
      <c r="B4793" s="0" t="n">
        <v>1348400</v>
      </c>
      <c r="C4793" s="0" t="n">
        <v>1348420</v>
      </c>
      <c r="D4793" s="0" t="s">
        <v>16030</v>
      </c>
      <c r="E4793" s="0" t="s">
        <v>89</v>
      </c>
      <c r="F4793" s="0" t="s">
        <v>15</v>
      </c>
      <c r="G4793" s="0" t="s">
        <v>16</v>
      </c>
      <c r="H4793" s="0" t="n">
        <v>62</v>
      </c>
      <c r="I4793" s="0" t="s">
        <v>16037</v>
      </c>
      <c r="J4793" s="0" t="s">
        <v>16038</v>
      </c>
      <c r="K4793" s="0" t="s">
        <v>16039</v>
      </c>
      <c r="L4793" s="0" t="str">
        <f aca="false">HYPERLINK("https://www.ncbi.nlm.nih.gov/nuccore/CP000304.1?report=graph&amp;tracks=[key:gene_model_track,Options:GeneOnly]&amp;mk=1348349:1348368|offset_10|444444,1348370:1348389|offset_31|444444,1348401:1348420|offset_62|00cc00,1348442:1348461|offset_103|444444&amp;v=1348148:1348661&amp;c=444444", "offset 62")</f>
        <v>offset 62</v>
      </c>
    </row>
    <row r="4794" customFormat="false" ht="12.8" hidden="false" customHeight="false" outlineLevel="0" collapsed="false">
      <c r="A4794" s="0" t="s">
        <v>12</v>
      </c>
      <c r="B4794" s="0" t="n">
        <v>1348441</v>
      </c>
      <c r="C4794" s="0" t="n">
        <v>1348461</v>
      </c>
      <c r="D4794" s="0" t="s">
        <v>16030</v>
      </c>
      <c r="E4794" s="0" t="s">
        <v>89</v>
      </c>
      <c r="F4794" s="0" t="s">
        <v>15</v>
      </c>
      <c r="G4794" s="0" t="s">
        <v>16</v>
      </c>
      <c r="H4794" s="0" t="n">
        <v>103</v>
      </c>
      <c r="I4794" s="0" t="s">
        <v>16040</v>
      </c>
      <c r="J4794" s="0" t="s">
        <v>16041</v>
      </c>
      <c r="K4794" s="0" t="s">
        <v>16042</v>
      </c>
      <c r="L4794" s="0" t="str">
        <f aca="false">HYPERLINK("https://www.ncbi.nlm.nih.gov/nuccore/CP000304.1?report=graph&amp;tracks=[key:gene_model_track,Options:GeneOnly]&amp;mk=1348349:1348368|offset_10|444444,1348370:1348389|offset_31|444444,1348401:1348420|offset_62|444444,1348442:1348461|offset_103|00cc00&amp;v=1348148:1348661&amp;c=444444", "offset 103")</f>
        <v>offset 103</v>
      </c>
    </row>
    <row r="4795" customFormat="false" ht="12.8" hidden="false" customHeight="false" outlineLevel="0" collapsed="false">
      <c r="A4795" s="0" t="s">
        <v>12</v>
      </c>
      <c r="B4795" s="0" t="n">
        <v>1349238</v>
      </c>
      <c r="C4795" s="0" t="n">
        <v>1349258</v>
      </c>
      <c r="D4795" s="0" t="s">
        <v>16043</v>
      </c>
      <c r="E4795" s="0" t="s">
        <v>16044</v>
      </c>
      <c r="F4795" s="0" t="s">
        <v>15</v>
      </c>
      <c r="G4795" s="0" t="s">
        <v>16</v>
      </c>
      <c r="H4795" s="0" t="n">
        <v>13</v>
      </c>
      <c r="I4795" s="0" t="s">
        <v>16045</v>
      </c>
      <c r="J4795" s="0" t="s">
        <v>16046</v>
      </c>
      <c r="K4795" s="0" t="s">
        <v>16047</v>
      </c>
      <c r="L4795" s="0" t="str">
        <f aca="false">HYPERLINK("https://www.ncbi.nlm.nih.gov/nuccore/CP000304.1?report=graph&amp;tracks=[key:gene_model_track,Options:GeneOnly]&amp;mk=1349239:1349258|offset_13|00cc00,1349260:1349279|offset_34|444444,1349292:1349311|offset_66|444444,1349329:1349348|offset_103|444444&amp;v=1349038:1349548&amp;c=444444", "offset 13")</f>
        <v>offset 13</v>
      </c>
    </row>
    <row r="4796" customFormat="false" ht="12.8" hidden="false" customHeight="false" outlineLevel="0" collapsed="false">
      <c r="A4796" s="0" t="s">
        <v>12</v>
      </c>
      <c r="B4796" s="0" t="n">
        <v>1349259</v>
      </c>
      <c r="C4796" s="0" t="n">
        <v>1349279</v>
      </c>
      <c r="D4796" s="0" t="s">
        <v>16043</v>
      </c>
      <c r="E4796" s="0" t="s">
        <v>16044</v>
      </c>
      <c r="F4796" s="0" t="s">
        <v>15</v>
      </c>
      <c r="G4796" s="0" t="s">
        <v>26</v>
      </c>
      <c r="H4796" s="0" t="n">
        <v>34</v>
      </c>
      <c r="I4796" s="0" t="s">
        <v>16048</v>
      </c>
      <c r="J4796" s="0" t="s">
        <v>16049</v>
      </c>
      <c r="K4796" s="0" t="s">
        <v>16050</v>
      </c>
      <c r="L4796" s="0" t="str">
        <f aca="false">HYPERLINK("https://www.ncbi.nlm.nih.gov/nuccore/CP000304.1?report=graph&amp;tracks=[key:gene_model_track,Options:GeneOnly]&amp;mk=1349239:1349258|offset_13|444444,1349260:1349279|offset_34|00cc00,1349292:1349311|offset_66|444444,1349329:1349348|offset_103|444444&amp;v=1349038:1349548&amp;c=444444", "offset 34")</f>
        <v>offset 34</v>
      </c>
    </row>
    <row r="4797" customFormat="false" ht="12.8" hidden="false" customHeight="false" outlineLevel="0" collapsed="false">
      <c r="A4797" s="0" t="s">
        <v>12</v>
      </c>
      <c r="B4797" s="0" t="n">
        <v>1349291</v>
      </c>
      <c r="C4797" s="0" t="n">
        <v>1349311</v>
      </c>
      <c r="D4797" s="0" t="s">
        <v>16043</v>
      </c>
      <c r="E4797" s="0" t="s">
        <v>16044</v>
      </c>
      <c r="F4797" s="0" t="s">
        <v>15</v>
      </c>
      <c r="G4797" s="0" t="s">
        <v>36</v>
      </c>
      <c r="H4797" s="0" t="n">
        <v>66</v>
      </c>
      <c r="I4797" s="0" t="s">
        <v>16051</v>
      </c>
      <c r="J4797" s="0" t="s">
        <v>16052</v>
      </c>
      <c r="K4797" s="0" t="s">
        <v>16053</v>
      </c>
      <c r="L4797" s="0" t="str">
        <f aca="false">HYPERLINK("https://www.ncbi.nlm.nih.gov/nuccore/CP000304.1?report=graph&amp;tracks=[key:gene_model_track,Options:GeneOnly]&amp;mk=1349239:1349258|offset_13|444444,1349260:1349279|offset_34|444444,1349292:1349311|offset_66|00cc00,1349329:1349348|offset_103|444444&amp;v=1349038:1349548&amp;c=444444", "offset 66")</f>
        <v>offset 66</v>
      </c>
    </row>
    <row r="4798" customFormat="false" ht="12.8" hidden="false" customHeight="false" outlineLevel="0" collapsed="false">
      <c r="A4798" s="0" t="s">
        <v>12</v>
      </c>
      <c r="B4798" s="0" t="n">
        <v>1349328</v>
      </c>
      <c r="C4798" s="0" t="n">
        <v>1349348</v>
      </c>
      <c r="D4798" s="0" t="s">
        <v>16043</v>
      </c>
      <c r="E4798" s="0" t="s">
        <v>16044</v>
      </c>
      <c r="F4798" s="0" t="s">
        <v>15</v>
      </c>
      <c r="G4798" s="0" t="s">
        <v>26</v>
      </c>
      <c r="H4798" s="0" t="n">
        <v>103</v>
      </c>
      <c r="I4798" s="0" t="s">
        <v>16054</v>
      </c>
      <c r="J4798" s="0" t="s">
        <v>16055</v>
      </c>
      <c r="K4798" s="0" t="s">
        <v>16056</v>
      </c>
      <c r="L4798" s="0" t="str">
        <f aca="false">HYPERLINK("https://www.ncbi.nlm.nih.gov/nuccore/CP000304.1?report=graph&amp;tracks=[key:gene_model_track,Options:GeneOnly]&amp;mk=1349239:1349258|offset_13|444444,1349260:1349279|offset_34|444444,1349292:1349311|offset_66|444444,1349329:1349348|offset_103|00cc00&amp;v=1349038:1349548&amp;c=444444", "offset 103")</f>
        <v>offset 103</v>
      </c>
    </row>
    <row r="4799" customFormat="false" ht="12.8" hidden="false" customHeight="false" outlineLevel="0" collapsed="false">
      <c r="A4799" s="0" t="s">
        <v>12</v>
      </c>
      <c r="B4799" s="0" t="n">
        <v>1353251</v>
      </c>
      <c r="C4799" s="0" t="n">
        <v>1353271</v>
      </c>
      <c r="D4799" s="0" t="s">
        <v>16057</v>
      </c>
      <c r="E4799" s="0" t="s">
        <v>16058</v>
      </c>
      <c r="F4799" s="0" t="s">
        <v>15</v>
      </c>
      <c r="G4799" s="0" t="s">
        <v>16</v>
      </c>
      <c r="H4799" s="0" t="n">
        <v>441</v>
      </c>
      <c r="I4799" s="0" t="s">
        <v>16059</v>
      </c>
      <c r="J4799" s="0" t="s">
        <v>16060</v>
      </c>
      <c r="K4799" s="0" t="s">
        <v>16061</v>
      </c>
      <c r="L4799" s="0" t="str">
        <f aca="false">HYPERLINK("https://www.ncbi.nlm.nih.gov/nuccore/CP000304.1?report=graph&amp;tracks=[key:gene_model_track,Options:GeneOnly]&amp;mk=1353252:1353271|offset_441|00cc00,1353845:1353864|offset_1034|444444,1354108:1354127|offset_1297|444444&amp;v=1353051:1354327&amp;c=444444", "offset 441")</f>
        <v>offset 441</v>
      </c>
    </row>
    <row r="4800" customFormat="false" ht="12.8" hidden="false" customHeight="false" outlineLevel="0" collapsed="false">
      <c r="A4800" s="0" t="s">
        <v>12</v>
      </c>
      <c r="B4800" s="0" t="n">
        <v>1353844</v>
      </c>
      <c r="C4800" s="0" t="n">
        <v>1353864</v>
      </c>
      <c r="D4800" s="0" t="s">
        <v>16057</v>
      </c>
      <c r="E4800" s="0" t="s">
        <v>16058</v>
      </c>
      <c r="F4800" s="0" t="s">
        <v>15</v>
      </c>
      <c r="G4800" s="0" t="s">
        <v>26</v>
      </c>
      <c r="H4800" s="0" t="n">
        <v>1034</v>
      </c>
      <c r="I4800" s="0" t="s">
        <v>16062</v>
      </c>
      <c r="J4800" s="0" t="s">
        <v>16063</v>
      </c>
      <c r="K4800" s="0" t="s">
        <v>16064</v>
      </c>
      <c r="L4800" s="0" t="str">
        <f aca="false">HYPERLINK("https://www.ncbi.nlm.nih.gov/nuccore/CP000304.1?report=graph&amp;tracks=[key:gene_model_track,Options:GeneOnly]&amp;mk=1353252:1353271|offset_441|444444,1353845:1353864|offset_1034|00cc00,1354108:1354127|offset_1297|444444&amp;v=1353051:1354327&amp;c=444444", "offset 1034")</f>
        <v>offset 1034</v>
      </c>
    </row>
    <row r="4801" customFormat="false" ht="12.8" hidden="false" customHeight="false" outlineLevel="0" collapsed="false">
      <c r="A4801" s="0" t="s">
        <v>12</v>
      </c>
      <c r="B4801" s="0" t="n">
        <v>1354107</v>
      </c>
      <c r="C4801" s="0" t="n">
        <v>1354127</v>
      </c>
      <c r="D4801" s="0" t="s">
        <v>16057</v>
      </c>
      <c r="E4801" s="0" t="s">
        <v>16058</v>
      </c>
      <c r="F4801" s="0" t="s">
        <v>15</v>
      </c>
      <c r="G4801" s="0" t="s">
        <v>16</v>
      </c>
      <c r="H4801" s="0" t="n">
        <v>1297</v>
      </c>
      <c r="I4801" s="0" t="s">
        <v>16065</v>
      </c>
      <c r="J4801" s="0" t="s">
        <v>16066</v>
      </c>
      <c r="K4801" s="0" t="s">
        <v>16067</v>
      </c>
      <c r="L4801" s="0" t="str">
        <f aca="false">HYPERLINK("https://www.ncbi.nlm.nih.gov/nuccore/CP000304.1?report=graph&amp;tracks=[key:gene_model_track,Options:GeneOnly]&amp;mk=1353252:1353271|offset_441|444444,1353845:1353864|offset_1034|444444,1354108:1354127|offset_1297|00cc00&amp;v=1353051:1354327&amp;c=444444", "offset 1297")</f>
        <v>offset 1297</v>
      </c>
    </row>
    <row r="4802" customFormat="false" ht="12.8" hidden="false" customHeight="false" outlineLevel="0" collapsed="false">
      <c r="A4802" s="0" t="s">
        <v>12</v>
      </c>
      <c r="B4802" s="0" t="n">
        <v>1354472</v>
      </c>
      <c r="C4802" s="0" t="n">
        <v>1354492</v>
      </c>
      <c r="D4802" s="0" t="s">
        <v>16068</v>
      </c>
      <c r="E4802" s="0" t="s">
        <v>89</v>
      </c>
      <c r="F4802" s="0" t="s">
        <v>90</v>
      </c>
      <c r="G4802" s="0" t="s">
        <v>16</v>
      </c>
      <c r="H4802" s="0" t="n">
        <v>7</v>
      </c>
      <c r="I4802" s="0" t="s">
        <v>16069</v>
      </c>
      <c r="J4802" s="0" t="s">
        <v>16070</v>
      </c>
      <c r="K4802" s="0" t="s">
        <v>16071</v>
      </c>
      <c r="L4802" s="0" t="str">
        <f aca="false">HYPERLINK("https://www.ncbi.nlm.nih.gov/nuccore/CP000304.1?report=graph&amp;tracks=[key:gene_model_track,Options:GeneOnly]&amp;mk=1354473:1354492|offset_7|00cc00,1354452:1354471|offset_28|444444,1354415:1354434|offset_65|444444,1354386:1354405|offset_94|444444&amp;v=1354272:1354605&amp;c=444444", "offset 7")</f>
        <v>offset 7</v>
      </c>
    </row>
    <row r="4803" customFormat="false" ht="12.8" hidden="false" customHeight="false" outlineLevel="0" collapsed="false">
      <c r="A4803" s="0" t="s">
        <v>12</v>
      </c>
      <c r="B4803" s="0" t="n">
        <v>1354451</v>
      </c>
      <c r="C4803" s="0" t="n">
        <v>1354471</v>
      </c>
      <c r="D4803" s="0" t="s">
        <v>16068</v>
      </c>
      <c r="E4803" s="0" t="s">
        <v>89</v>
      </c>
      <c r="F4803" s="0" t="s">
        <v>90</v>
      </c>
      <c r="G4803" s="0" t="s">
        <v>16</v>
      </c>
      <c r="H4803" s="0" t="n">
        <v>28</v>
      </c>
      <c r="I4803" s="0" t="s">
        <v>16072</v>
      </c>
      <c r="J4803" s="0" t="s">
        <v>16073</v>
      </c>
      <c r="K4803" s="0" t="s">
        <v>16074</v>
      </c>
      <c r="L4803" s="0" t="str">
        <f aca="false">HYPERLINK("https://www.ncbi.nlm.nih.gov/nuccore/CP000304.1?report=graph&amp;tracks=[key:gene_model_track,Options:GeneOnly]&amp;mk=1354473:1354492|offset_7|444444,1354452:1354471|offset_28|00cc00,1354415:1354434|offset_65|444444,1354386:1354405|offset_94|444444&amp;v=1354272:1354605&amp;c=444444", "offset 28")</f>
        <v>offset 28</v>
      </c>
    </row>
    <row r="4804" customFormat="false" ht="12.8" hidden="false" customHeight="false" outlineLevel="0" collapsed="false">
      <c r="A4804" s="0" t="s">
        <v>12</v>
      </c>
      <c r="B4804" s="0" t="n">
        <v>1354414</v>
      </c>
      <c r="C4804" s="0" t="n">
        <v>1354434</v>
      </c>
      <c r="D4804" s="0" t="s">
        <v>16068</v>
      </c>
      <c r="E4804" s="0" t="s">
        <v>89</v>
      </c>
      <c r="F4804" s="0" t="s">
        <v>90</v>
      </c>
      <c r="G4804" s="0" t="s">
        <v>16</v>
      </c>
      <c r="H4804" s="0" t="n">
        <v>65</v>
      </c>
      <c r="I4804" s="0" t="s">
        <v>16075</v>
      </c>
      <c r="J4804" s="0" t="s">
        <v>16076</v>
      </c>
      <c r="K4804" s="0" t="s">
        <v>16077</v>
      </c>
      <c r="L4804" s="0" t="str">
        <f aca="false">HYPERLINK("https://www.ncbi.nlm.nih.gov/nuccore/CP000304.1?report=graph&amp;tracks=[key:gene_model_track,Options:GeneOnly]&amp;mk=1354473:1354492|offset_7|444444,1354452:1354471|offset_28|444444,1354415:1354434|offset_65|00cc00,1354386:1354405|offset_94|444444&amp;v=1354272:1354605&amp;c=444444", "offset 65")</f>
        <v>offset 65</v>
      </c>
    </row>
    <row r="4805" customFormat="false" ht="12.8" hidden="false" customHeight="false" outlineLevel="0" collapsed="false">
      <c r="A4805" s="0" t="s">
        <v>12</v>
      </c>
      <c r="B4805" s="0" t="n">
        <v>1354385</v>
      </c>
      <c r="C4805" s="0" t="n">
        <v>1354405</v>
      </c>
      <c r="D4805" s="0" t="s">
        <v>16068</v>
      </c>
      <c r="E4805" s="0" t="s">
        <v>89</v>
      </c>
      <c r="F4805" s="0" t="s">
        <v>90</v>
      </c>
      <c r="G4805" s="0" t="s">
        <v>32</v>
      </c>
      <c r="H4805" s="0" t="n">
        <v>94</v>
      </c>
      <c r="I4805" s="0" t="s">
        <v>16078</v>
      </c>
      <c r="J4805" s="0" t="s">
        <v>16079</v>
      </c>
      <c r="K4805" s="0" t="s">
        <v>16080</v>
      </c>
      <c r="L4805" s="0" t="str">
        <f aca="false">HYPERLINK("https://www.ncbi.nlm.nih.gov/nuccore/CP000304.1?report=graph&amp;tracks=[key:gene_model_track,Options:GeneOnly]&amp;mk=1354473:1354492|offset_7|444444,1354452:1354471|offset_28|444444,1354415:1354434|offset_65|444444,1354386:1354405|offset_94|00cc00&amp;v=1354272:1354605&amp;c=444444", "offset 94")</f>
        <v>offset 94</v>
      </c>
    </row>
    <row r="4806" customFormat="false" ht="12.8" hidden="false" customHeight="false" outlineLevel="0" collapsed="false">
      <c r="A4806" s="0" t="s">
        <v>12</v>
      </c>
      <c r="B4806" s="0" t="n">
        <v>1354744</v>
      </c>
      <c r="C4806" s="0" t="n">
        <v>1354764</v>
      </c>
      <c r="D4806" s="0" t="s">
        <v>16081</v>
      </c>
      <c r="E4806" s="0" t="s">
        <v>89</v>
      </c>
      <c r="F4806" s="0" t="s">
        <v>15</v>
      </c>
      <c r="G4806" s="0" t="s">
        <v>36</v>
      </c>
      <c r="H4806" s="0" t="n">
        <v>21</v>
      </c>
      <c r="I4806" s="0" t="s">
        <v>16082</v>
      </c>
      <c r="J4806" s="0" t="s">
        <v>16083</v>
      </c>
      <c r="K4806" s="0" t="s">
        <v>16084</v>
      </c>
      <c r="L4806" s="0" t="str">
        <f aca="false">HYPERLINK("https://www.ncbi.nlm.nih.gov/nuccore/CP000304.1?report=graph&amp;tracks=[key:gene_model_track,Options:GeneOnly]&amp;mk=1354745:1354764|offset_21|00cc00,1354765:1354784|offset_41|444444,1354785:1354804|offset_61|444444,1354837:1354856|offset_113|444444&amp;v=1354544:1355056&amp;c=444444", "offset 21")</f>
        <v>offset 21</v>
      </c>
    </row>
    <row r="4807" customFormat="false" ht="12.8" hidden="false" customHeight="false" outlineLevel="0" collapsed="false">
      <c r="A4807" s="0" t="s">
        <v>12</v>
      </c>
      <c r="B4807" s="0" t="n">
        <v>1354764</v>
      </c>
      <c r="C4807" s="0" t="n">
        <v>1354784</v>
      </c>
      <c r="D4807" s="0" t="s">
        <v>16081</v>
      </c>
      <c r="E4807" s="0" t="s">
        <v>89</v>
      </c>
      <c r="F4807" s="0" t="s">
        <v>15</v>
      </c>
      <c r="G4807" s="0" t="s">
        <v>26</v>
      </c>
      <c r="H4807" s="0" t="n">
        <v>41</v>
      </c>
      <c r="I4807" s="0" t="s">
        <v>16085</v>
      </c>
      <c r="J4807" s="0" t="s">
        <v>16086</v>
      </c>
      <c r="K4807" s="0" t="s">
        <v>16087</v>
      </c>
      <c r="L4807" s="0" t="str">
        <f aca="false">HYPERLINK("https://www.ncbi.nlm.nih.gov/nuccore/CP000304.1?report=graph&amp;tracks=[key:gene_model_track,Options:GeneOnly]&amp;mk=1354745:1354764|offset_21|444444,1354765:1354784|offset_41|00cc00,1354785:1354804|offset_61|444444,1354837:1354856|offset_113|444444&amp;v=1354544:1355056&amp;c=444444", "offset 41")</f>
        <v>offset 41</v>
      </c>
    </row>
    <row r="4808" customFormat="false" ht="12.8" hidden="false" customHeight="false" outlineLevel="0" collapsed="false">
      <c r="A4808" s="0" t="s">
        <v>12</v>
      </c>
      <c r="B4808" s="0" t="n">
        <v>1354784</v>
      </c>
      <c r="C4808" s="0" t="n">
        <v>1354804</v>
      </c>
      <c r="D4808" s="0" t="s">
        <v>16081</v>
      </c>
      <c r="E4808" s="0" t="s">
        <v>89</v>
      </c>
      <c r="F4808" s="0" t="s">
        <v>15</v>
      </c>
      <c r="G4808" s="0" t="s">
        <v>26</v>
      </c>
      <c r="H4808" s="0" t="n">
        <v>61</v>
      </c>
      <c r="I4808" s="0" t="s">
        <v>16088</v>
      </c>
      <c r="J4808" s="0" t="s">
        <v>16089</v>
      </c>
      <c r="K4808" s="0" t="s">
        <v>16090</v>
      </c>
      <c r="L4808" s="0" t="str">
        <f aca="false">HYPERLINK("https://www.ncbi.nlm.nih.gov/nuccore/CP000304.1?report=graph&amp;tracks=[key:gene_model_track,Options:GeneOnly]&amp;mk=1354745:1354764|offset_21|444444,1354765:1354784|offset_41|444444,1354785:1354804|offset_61|00cc00,1354837:1354856|offset_113|444444&amp;v=1354544:1355056&amp;c=444444", "offset 61")</f>
        <v>offset 61</v>
      </c>
    </row>
    <row r="4809" customFormat="false" ht="12.8" hidden="false" customHeight="false" outlineLevel="0" collapsed="false">
      <c r="A4809" s="0" t="s">
        <v>12</v>
      </c>
      <c r="B4809" s="0" t="n">
        <v>1354836</v>
      </c>
      <c r="C4809" s="0" t="n">
        <v>1354856</v>
      </c>
      <c r="D4809" s="0" t="s">
        <v>16081</v>
      </c>
      <c r="E4809" s="0" t="s">
        <v>89</v>
      </c>
      <c r="F4809" s="0" t="s">
        <v>15</v>
      </c>
      <c r="G4809" s="0" t="s">
        <v>26</v>
      </c>
      <c r="H4809" s="0" t="n">
        <v>113</v>
      </c>
      <c r="I4809" s="0" t="s">
        <v>16091</v>
      </c>
      <c r="J4809" s="0" t="s">
        <v>16092</v>
      </c>
      <c r="K4809" s="0" t="s">
        <v>16093</v>
      </c>
      <c r="L4809" s="0" t="str">
        <f aca="false">HYPERLINK("https://www.ncbi.nlm.nih.gov/nuccore/CP000304.1?report=graph&amp;tracks=[key:gene_model_track,Options:GeneOnly]&amp;mk=1354745:1354764|offset_21|444444,1354765:1354784|offset_41|444444,1354785:1354804|offset_61|444444,1354837:1354856|offset_113|00cc00&amp;v=1354544:1355056&amp;c=444444", "offset 113")</f>
        <v>offset 113</v>
      </c>
    </row>
    <row r="4810" customFormat="false" ht="12.8" hidden="false" customHeight="false" outlineLevel="0" collapsed="false">
      <c r="A4810" s="0" t="s">
        <v>12</v>
      </c>
      <c r="B4810" s="0" t="n">
        <v>1356761</v>
      </c>
      <c r="C4810" s="0" t="n">
        <v>1356781</v>
      </c>
      <c r="D4810" s="0" t="s">
        <v>16094</v>
      </c>
      <c r="E4810" s="0" t="s">
        <v>16095</v>
      </c>
      <c r="F4810" s="0" t="s">
        <v>15</v>
      </c>
      <c r="G4810" s="0" t="s">
        <v>32</v>
      </c>
      <c r="H4810" s="0" t="n">
        <v>8</v>
      </c>
      <c r="I4810" s="0" t="s">
        <v>16096</v>
      </c>
      <c r="J4810" s="0" t="s">
        <v>16097</v>
      </c>
      <c r="K4810" s="0" t="s">
        <v>16098</v>
      </c>
      <c r="L4810" s="0" t="str">
        <f aca="false">HYPERLINK("https://www.ncbi.nlm.nih.gov/nuccore/CP000304.1?report=graph&amp;tracks=[key:gene_model_track,Options:GeneOnly]&amp;mk=1356762:1356781|offset_8|00cc00,1356784:1356803|offset_30|444444,1356819:1356838|offset_65|444444,1356866:1356885|offset_112|444444&amp;v=1356561:1357085&amp;c=444444", "offset 8")</f>
        <v>offset 8</v>
      </c>
    </row>
    <row r="4811" customFormat="false" ht="12.8" hidden="false" customHeight="false" outlineLevel="0" collapsed="false">
      <c r="A4811" s="0" t="s">
        <v>12</v>
      </c>
      <c r="B4811" s="0" t="n">
        <v>1356783</v>
      </c>
      <c r="C4811" s="0" t="n">
        <v>1356803</v>
      </c>
      <c r="D4811" s="0" t="s">
        <v>16094</v>
      </c>
      <c r="E4811" s="0" t="s">
        <v>16095</v>
      </c>
      <c r="F4811" s="0" t="s">
        <v>15</v>
      </c>
      <c r="G4811" s="0" t="s">
        <v>16</v>
      </c>
      <c r="H4811" s="0" t="n">
        <v>30</v>
      </c>
      <c r="I4811" s="0" t="s">
        <v>16099</v>
      </c>
      <c r="J4811" s="0" t="s">
        <v>16100</v>
      </c>
      <c r="K4811" s="0" t="s">
        <v>16101</v>
      </c>
      <c r="L4811" s="0" t="str">
        <f aca="false">HYPERLINK("https://www.ncbi.nlm.nih.gov/nuccore/CP000304.1?report=graph&amp;tracks=[key:gene_model_track,Options:GeneOnly]&amp;mk=1356762:1356781|offset_8|444444,1356784:1356803|offset_30|00cc00,1356819:1356838|offset_65|444444,1356866:1356885|offset_112|444444&amp;v=1356561:1357085&amp;c=444444", "offset 30")</f>
        <v>offset 30</v>
      </c>
    </row>
    <row r="4812" customFormat="false" ht="12.8" hidden="false" customHeight="false" outlineLevel="0" collapsed="false">
      <c r="A4812" s="0" t="s">
        <v>12</v>
      </c>
      <c r="B4812" s="0" t="n">
        <v>1356818</v>
      </c>
      <c r="C4812" s="0" t="n">
        <v>1356838</v>
      </c>
      <c r="D4812" s="0" t="s">
        <v>16094</v>
      </c>
      <c r="E4812" s="0" t="s">
        <v>16095</v>
      </c>
      <c r="F4812" s="0" t="s">
        <v>15</v>
      </c>
      <c r="G4812" s="0" t="s">
        <v>26</v>
      </c>
      <c r="H4812" s="0" t="n">
        <v>65</v>
      </c>
      <c r="I4812" s="0" t="s">
        <v>16102</v>
      </c>
      <c r="J4812" s="0" t="s">
        <v>16103</v>
      </c>
      <c r="K4812" s="0" t="s">
        <v>16104</v>
      </c>
      <c r="L4812" s="0" t="str">
        <f aca="false">HYPERLINK("https://www.ncbi.nlm.nih.gov/nuccore/CP000304.1?report=graph&amp;tracks=[key:gene_model_track,Options:GeneOnly]&amp;mk=1356762:1356781|offset_8|444444,1356784:1356803|offset_30|444444,1356819:1356838|offset_65|00cc00,1356866:1356885|offset_112|444444&amp;v=1356561:1357085&amp;c=444444", "offset 65")</f>
        <v>offset 65</v>
      </c>
    </row>
    <row r="4813" customFormat="false" ht="12.8" hidden="false" customHeight="false" outlineLevel="0" collapsed="false">
      <c r="A4813" s="0" t="s">
        <v>12</v>
      </c>
      <c r="B4813" s="0" t="n">
        <v>1356865</v>
      </c>
      <c r="C4813" s="0" t="n">
        <v>1356885</v>
      </c>
      <c r="D4813" s="0" t="s">
        <v>16094</v>
      </c>
      <c r="E4813" s="0" t="s">
        <v>16095</v>
      </c>
      <c r="F4813" s="0" t="s">
        <v>15</v>
      </c>
      <c r="G4813" s="0" t="s">
        <v>26</v>
      </c>
      <c r="H4813" s="0" t="n">
        <v>112</v>
      </c>
      <c r="I4813" s="0" t="s">
        <v>16105</v>
      </c>
      <c r="J4813" s="0" t="s">
        <v>16106</v>
      </c>
      <c r="K4813" s="0" t="s">
        <v>16107</v>
      </c>
      <c r="L4813" s="0" t="str">
        <f aca="false">HYPERLINK("https://www.ncbi.nlm.nih.gov/nuccore/CP000304.1?report=graph&amp;tracks=[key:gene_model_track,Options:GeneOnly]&amp;mk=1356762:1356781|offset_8|444444,1356784:1356803|offset_30|444444,1356819:1356838|offset_65|444444,1356866:1356885|offset_112|00cc00&amp;v=1356561:1357085&amp;c=444444", "offset 112")</f>
        <v>offset 112</v>
      </c>
    </row>
    <row r="4814" customFormat="false" ht="12.8" hidden="false" customHeight="false" outlineLevel="0" collapsed="false">
      <c r="A4814" s="0" t="s">
        <v>12</v>
      </c>
      <c r="B4814" s="0" t="n">
        <v>1359368</v>
      </c>
      <c r="C4814" s="0" t="n">
        <v>1359388</v>
      </c>
      <c r="D4814" s="0" t="s">
        <v>16108</v>
      </c>
      <c r="E4814" s="0" t="s">
        <v>89</v>
      </c>
      <c r="F4814" s="0" t="s">
        <v>90</v>
      </c>
      <c r="G4814" s="0" t="s">
        <v>36</v>
      </c>
      <c r="H4814" s="0" t="n">
        <v>13</v>
      </c>
      <c r="I4814" s="0" t="s">
        <v>16109</v>
      </c>
      <c r="J4814" s="0" t="s">
        <v>16110</v>
      </c>
      <c r="K4814" s="0" t="s">
        <v>16111</v>
      </c>
      <c r="L4814" s="0" t="str">
        <f aca="false">HYPERLINK("https://www.ncbi.nlm.nih.gov/nuccore/CP000304.1?report=graph&amp;tracks=[key:gene_model_track,Options:GeneOnly]&amp;mk=1359369:1359388|offset_13|00cc00,1359323:1359342|offset_59|444444,1359294:1359313|offset_88|444444,1359264:1359283|offset_118|444444&amp;v=1359168:1359483&amp;c=444444", "offset 13")</f>
        <v>offset 13</v>
      </c>
    </row>
    <row r="4815" customFormat="false" ht="12.8" hidden="false" customHeight="false" outlineLevel="0" collapsed="false">
      <c r="A4815" s="0" t="s">
        <v>12</v>
      </c>
      <c r="B4815" s="0" t="n">
        <v>1359322</v>
      </c>
      <c r="C4815" s="0" t="n">
        <v>1359342</v>
      </c>
      <c r="D4815" s="0" t="s">
        <v>16108</v>
      </c>
      <c r="E4815" s="0" t="s">
        <v>89</v>
      </c>
      <c r="F4815" s="0" t="s">
        <v>90</v>
      </c>
      <c r="G4815" s="0" t="s">
        <v>26</v>
      </c>
      <c r="H4815" s="0" t="n">
        <v>59</v>
      </c>
      <c r="I4815" s="0" t="s">
        <v>16112</v>
      </c>
      <c r="J4815" s="0" t="s">
        <v>16113</v>
      </c>
      <c r="K4815" s="0" t="s">
        <v>16114</v>
      </c>
      <c r="L4815" s="0" t="str">
        <f aca="false">HYPERLINK("https://www.ncbi.nlm.nih.gov/nuccore/CP000304.1?report=graph&amp;tracks=[key:gene_model_track,Options:GeneOnly]&amp;mk=1359369:1359388|offset_13|444444,1359323:1359342|offset_59|00cc00,1359294:1359313|offset_88|444444,1359264:1359283|offset_118|444444&amp;v=1359168:1359483&amp;c=444444", "offset 59")</f>
        <v>offset 59</v>
      </c>
    </row>
    <row r="4816" customFormat="false" ht="12.8" hidden="false" customHeight="false" outlineLevel="0" collapsed="false">
      <c r="A4816" s="0" t="s">
        <v>12</v>
      </c>
      <c r="B4816" s="0" t="n">
        <v>1359293</v>
      </c>
      <c r="C4816" s="0" t="n">
        <v>1359313</v>
      </c>
      <c r="D4816" s="0" t="s">
        <v>16108</v>
      </c>
      <c r="E4816" s="0" t="s">
        <v>89</v>
      </c>
      <c r="F4816" s="0" t="s">
        <v>90</v>
      </c>
      <c r="G4816" s="0" t="s">
        <v>16</v>
      </c>
      <c r="H4816" s="0" t="n">
        <v>88</v>
      </c>
      <c r="I4816" s="0" t="s">
        <v>16115</v>
      </c>
      <c r="J4816" s="0" t="s">
        <v>16116</v>
      </c>
      <c r="K4816" s="0" t="s">
        <v>16117</v>
      </c>
      <c r="L4816" s="0" t="str">
        <f aca="false">HYPERLINK("https://www.ncbi.nlm.nih.gov/nuccore/CP000304.1?report=graph&amp;tracks=[key:gene_model_track,Options:GeneOnly]&amp;mk=1359369:1359388|offset_13|444444,1359323:1359342|offset_59|444444,1359294:1359313|offset_88|00cc00,1359264:1359283|offset_118|444444&amp;v=1359168:1359483&amp;c=444444", "offset 88")</f>
        <v>offset 88</v>
      </c>
    </row>
    <row r="4817" customFormat="false" ht="12.8" hidden="false" customHeight="false" outlineLevel="0" collapsed="false">
      <c r="A4817" s="0" t="s">
        <v>12</v>
      </c>
      <c r="B4817" s="0" t="n">
        <v>1359263</v>
      </c>
      <c r="C4817" s="0" t="n">
        <v>1359283</v>
      </c>
      <c r="D4817" s="0" t="s">
        <v>16108</v>
      </c>
      <c r="E4817" s="0" t="s">
        <v>89</v>
      </c>
      <c r="F4817" s="0" t="s">
        <v>90</v>
      </c>
      <c r="G4817" s="0" t="s">
        <v>16</v>
      </c>
      <c r="H4817" s="0" t="n">
        <v>118</v>
      </c>
      <c r="I4817" s="0" t="s">
        <v>16118</v>
      </c>
      <c r="J4817" s="0" t="s">
        <v>16119</v>
      </c>
      <c r="K4817" s="0" t="s">
        <v>16120</v>
      </c>
      <c r="L4817" s="0" t="str">
        <f aca="false">HYPERLINK("https://www.ncbi.nlm.nih.gov/nuccore/CP000304.1?report=graph&amp;tracks=[key:gene_model_track,Options:GeneOnly]&amp;mk=1359369:1359388|offset_13|444444,1359323:1359342|offset_59|444444,1359294:1359313|offset_88|444444,1359264:1359283|offset_118|00cc00&amp;v=1359168:1359483&amp;c=444444", "offset 118")</f>
        <v>offset 118</v>
      </c>
    </row>
    <row r="4818" customFormat="false" ht="12.8" hidden="false" customHeight="false" outlineLevel="0" collapsed="false">
      <c r="A4818" s="0" t="s">
        <v>12</v>
      </c>
      <c r="B4818" s="0" t="n">
        <v>1359537</v>
      </c>
      <c r="C4818" s="0" t="n">
        <v>1359557</v>
      </c>
      <c r="D4818" s="0" t="s">
        <v>16121</v>
      </c>
      <c r="E4818" s="0" t="s">
        <v>16122</v>
      </c>
      <c r="F4818" s="0" t="s">
        <v>15</v>
      </c>
      <c r="G4818" s="0" t="s">
        <v>16</v>
      </c>
      <c r="H4818" s="0" t="n">
        <v>0</v>
      </c>
      <c r="I4818" s="0" t="s">
        <v>16123</v>
      </c>
      <c r="J4818" s="0" t="s">
        <v>16124</v>
      </c>
      <c r="K4818" s="0" t="s">
        <v>16125</v>
      </c>
      <c r="L4818" s="0" t="str">
        <f aca="false">HYPERLINK("https://www.ncbi.nlm.nih.gov/nuccore/CP000304.1?report=graph&amp;tracks=[key:gene_model_track,Options:GeneOnly]&amp;mk=1359538:1359557|offset_0|00cc00,1359567:1359586|offset_29|444444,1359596:1359615|offset_58|444444,1359620:1359639|offset_82|444444&amp;v=1359337:1359839&amp;c=444444", "offset 0")</f>
        <v>offset 0</v>
      </c>
    </row>
    <row r="4819" customFormat="false" ht="12.8" hidden="false" customHeight="false" outlineLevel="0" collapsed="false">
      <c r="A4819" s="0" t="s">
        <v>12</v>
      </c>
      <c r="B4819" s="0" t="n">
        <v>1359566</v>
      </c>
      <c r="C4819" s="0" t="n">
        <v>1359586</v>
      </c>
      <c r="D4819" s="0" t="s">
        <v>16121</v>
      </c>
      <c r="E4819" s="0" t="s">
        <v>16122</v>
      </c>
      <c r="F4819" s="0" t="s">
        <v>15</v>
      </c>
      <c r="G4819" s="0" t="s">
        <v>16</v>
      </c>
      <c r="H4819" s="0" t="n">
        <v>29</v>
      </c>
      <c r="I4819" s="0" t="s">
        <v>16126</v>
      </c>
      <c r="J4819" s="0" t="s">
        <v>16127</v>
      </c>
      <c r="K4819" s="0" t="s">
        <v>16128</v>
      </c>
      <c r="L4819" s="0" t="str">
        <f aca="false">HYPERLINK("https://www.ncbi.nlm.nih.gov/nuccore/CP000304.1?report=graph&amp;tracks=[key:gene_model_track,Options:GeneOnly]&amp;mk=1359538:1359557|offset_0|444444,1359567:1359586|offset_29|00cc00,1359596:1359615|offset_58|444444,1359620:1359639|offset_82|444444&amp;v=1359337:1359839&amp;c=444444", "offset 29")</f>
        <v>offset 29</v>
      </c>
    </row>
    <row r="4820" customFormat="false" ht="12.8" hidden="false" customHeight="false" outlineLevel="0" collapsed="false">
      <c r="A4820" s="0" t="s">
        <v>12</v>
      </c>
      <c r="B4820" s="0" t="n">
        <v>1359595</v>
      </c>
      <c r="C4820" s="0" t="n">
        <v>1359615</v>
      </c>
      <c r="D4820" s="0" t="s">
        <v>16121</v>
      </c>
      <c r="E4820" s="0" t="s">
        <v>16122</v>
      </c>
      <c r="F4820" s="0" t="s">
        <v>15</v>
      </c>
      <c r="G4820" s="0" t="s">
        <v>36</v>
      </c>
      <c r="H4820" s="0" t="n">
        <v>58</v>
      </c>
      <c r="I4820" s="0" t="s">
        <v>16129</v>
      </c>
      <c r="J4820" s="0" t="s">
        <v>16130</v>
      </c>
      <c r="K4820" s="0" t="s">
        <v>16131</v>
      </c>
      <c r="L4820" s="0" t="str">
        <f aca="false">HYPERLINK("https://www.ncbi.nlm.nih.gov/nuccore/CP000304.1?report=graph&amp;tracks=[key:gene_model_track,Options:GeneOnly]&amp;mk=1359538:1359557|offset_0|444444,1359567:1359586|offset_29|444444,1359596:1359615|offset_58|00cc00,1359620:1359639|offset_82|444444&amp;v=1359337:1359839&amp;c=444444", "offset 58")</f>
        <v>offset 58</v>
      </c>
    </row>
    <row r="4821" customFormat="false" ht="12.8" hidden="false" customHeight="false" outlineLevel="0" collapsed="false">
      <c r="A4821" s="0" t="s">
        <v>12</v>
      </c>
      <c r="B4821" s="0" t="n">
        <v>1359619</v>
      </c>
      <c r="C4821" s="0" t="n">
        <v>1359639</v>
      </c>
      <c r="D4821" s="0" t="s">
        <v>16121</v>
      </c>
      <c r="E4821" s="0" t="s">
        <v>16122</v>
      </c>
      <c r="F4821" s="0" t="s">
        <v>15</v>
      </c>
      <c r="G4821" s="0" t="s">
        <v>16</v>
      </c>
      <c r="H4821" s="0" t="n">
        <v>82</v>
      </c>
      <c r="I4821" s="0" t="s">
        <v>16132</v>
      </c>
      <c r="J4821" s="0" t="s">
        <v>16133</v>
      </c>
      <c r="K4821" s="0" t="s">
        <v>16134</v>
      </c>
      <c r="L4821" s="0" t="str">
        <f aca="false">HYPERLINK("https://www.ncbi.nlm.nih.gov/nuccore/CP000304.1?report=graph&amp;tracks=[key:gene_model_track,Options:GeneOnly]&amp;mk=1359538:1359557|offset_0|444444,1359567:1359586|offset_29|444444,1359596:1359615|offset_58|444444,1359620:1359639|offset_82|00cc00&amp;v=1359337:1359839&amp;c=444444", "offset 82")</f>
        <v>offset 82</v>
      </c>
    </row>
    <row r="4822" customFormat="false" ht="12.8" hidden="false" customHeight="false" outlineLevel="0" collapsed="false">
      <c r="A4822" s="0" t="s">
        <v>12</v>
      </c>
      <c r="B4822" s="0" t="n">
        <v>1360563</v>
      </c>
      <c r="C4822" s="0" t="n">
        <v>1360583</v>
      </c>
      <c r="D4822" s="0" t="s">
        <v>16135</v>
      </c>
      <c r="E4822" s="0" t="s">
        <v>16136</v>
      </c>
      <c r="F4822" s="0" t="s">
        <v>15</v>
      </c>
      <c r="G4822" s="0" t="s">
        <v>32</v>
      </c>
      <c r="H4822" s="0" t="n">
        <v>1</v>
      </c>
      <c r="I4822" s="0" t="s">
        <v>16137</v>
      </c>
      <c r="J4822" s="0" t="s">
        <v>16138</v>
      </c>
      <c r="K4822" s="0" t="s">
        <v>16139</v>
      </c>
      <c r="L4822" s="0" t="str">
        <f aca="false">HYPERLINK("https://www.ncbi.nlm.nih.gov/nuccore/CP000304.1?report=graph&amp;tracks=[key:gene_model_track,Options:GeneOnly]&amp;mk=1360564:1360583|offset_1|00cc00,1360586:1360605|offset_23|444444,1360609:1360628|offset_46|444444,1360632:1360651|offset_69|444444&amp;v=1360363:1360851&amp;c=444444", "offset 1")</f>
        <v>offset 1</v>
      </c>
    </row>
    <row r="4823" customFormat="false" ht="12.8" hidden="false" customHeight="false" outlineLevel="0" collapsed="false">
      <c r="A4823" s="0" t="s">
        <v>12</v>
      </c>
      <c r="B4823" s="0" t="n">
        <v>1360585</v>
      </c>
      <c r="C4823" s="0" t="n">
        <v>1360605</v>
      </c>
      <c r="D4823" s="0" t="s">
        <v>16135</v>
      </c>
      <c r="E4823" s="0" t="s">
        <v>16136</v>
      </c>
      <c r="F4823" s="0" t="s">
        <v>15</v>
      </c>
      <c r="G4823" s="0" t="s">
        <v>26</v>
      </c>
      <c r="H4823" s="0" t="n">
        <v>23</v>
      </c>
      <c r="I4823" s="0" t="s">
        <v>16140</v>
      </c>
      <c r="J4823" s="0" t="s">
        <v>16141</v>
      </c>
      <c r="K4823" s="0" t="s">
        <v>16142</v>
      </c>
      <c r="L4823" s="0" t="str">
        <f aca="false">HYPERLINK("https://www.ncbi.nlm.nih.gov/nuccore/CP000304.1?report=graph&amp;tracks=[key:gene_model_track,Options:GeneOnly]&amp;mk=1360564:1360583|offset_1|444444,1360586:1360605|offset_23|00cc00,1360609:1360628|offset_46|444444,1360632:1360651|offset_69|444444&amp;v=1360363:1360851&amp;c=444444", "offset 23")</f>
        <v>offset 23</v>
      </c>
    </row>
    <row r="4824" customFormat="false" ht="12.8" hidden="false" customHeight="false" outlineLevel="0" collapsed="false">
      <c r="A4824" s="0" t="s">
        <v>12</v>
      </c>
      <c r="B4824" s="0" t="n">
        <v>1360608</v>
      </c>
      <c r="C4824" s="0" t="n">
        <v>1360628</v>
      </c>
      <c r="D4824" s="0" t="s">
        <v>16135</v>
      </c>
      <c r="E4824" s="0" t="s">
        <v>16136</v>
      </c>
      <c r="F4824" s="0" t="s">
        <v>15</v>
      </c>
      <c r="G4824" s="0" t="s">
        <v>26</v>
      </c>
      <c r="H4824" s="0" t="n">
        <v>46</v>
      </c>
      <c r="I4824" s="0" t="s">
        <v>16143</v>
      </c>
      <c r="J4824" s="0" t="s">
        <v>16144</v>
      </c>
      <c r="K4824" s="0" t="s">
        <v>16145</v>
      </c>
      <c r="L4824" s="0" t="str">
        <f aca="false">HYPERLINK("https://www.ncbi.nlm.nih.gov/nuccore/CP000304.1?report=graph&amp;tracks=[key:gene_model_track,Options:GeneOnly]&amp;mk=1360564:1360583|offset_1|444444,1360586:1360605|offset_23|444444,1360609:1360628|offset_46|00cc00,1360632:1360651|offset_69|444444&amp;v=1360363:1360851&amp;c=444444", "offset 46")</f>
        <v>offset 46</v>
      </c>
    </row>
    <row r="4825" customFormat="false" ht="12.8" hidden="false" customHeight="false" outlineLevel="0" collapsed="false">
      <c r="A4825" s="0" t="s">
        <v>12</v>
      </c>
      <c r="B4825" s="0" t="n">
        <v>1360631</v>
      </c>
      <c r="C4825" s="0" t="n">
        <v>1360651</v>
      </c>
      <c r="D4825" s="0" t="s">
        <v>16135</v>
      </c>
      <c r="E4825" s="0" t="s">
        <v>16136</v>
      </c>
      <c r="F4825" s="0" t="s">
        <v>15</v>
      </c>
      <c r="G4825" s="0" t="s">
        <v>36</v>
      </c>
      <c r="H4825" s="0" t="n">
        <v>69</v>
      </c>
      <c r="I4825" s="0" t="s">
        <v>16146</v>
      </c>
      <c r="J4825" s="0" t="s">
        <v>16147</v>
      </c>
      <c r="K4825" s="0" t="s">
        <v>16148</v>
      </c>
      <c r="L4825" s="0" t="str">
        <f aca="false">HYPERLINK("https://www.ncbi.nlm.nih.gov/nuccore/CP000304.1?report=graph&amp;tracks=[key:gene_model_track,Options:GeneOnly]&amp;mk=1360564:1360583|offset_1|444444,1360586:1360605|offset_23|444444,1360609:1360628|offset_46|444444,1360632:1360651|offset_69|00cc00&amp;v=1360363:1360851&amp;c=444444", "offset 69")</f>
        <v>offset 69</v>
      </c>
    </row>
    <row r="4826" customFormat="false" ht="12.8" hidden="false" customHeight="false" outlineLevel="0" collapsed="false">
      <c r="A4826" s="0" t="s">
        <v>12</v>
      </c>
      <c r="B4826" s="0" t="n">
        <v>1361300</v>
      </c>
      <c r="C4826" s="0" t="n">
        <v>1361320</v>
      </c>
      <c r="D4826" s="0" t="s">
        <v>16149</v>
      </c>
      <c r="E4826" s="0" t="s">
        <v>16150</v>
      </c>
      <c r="F4826" s="0" t="s">
        <v>15</v>
      </c>
      <c r="G4826" s="0" t="s">
        <v>36</v>
      </c>
      <c r="H4826" s="0" t="n">
        <v>6</v>
      </c>
      <c r="I4826" s="0" t="s">
        <v>16151</v>
      </c>
      <c r="J4826" s="0" t="s">
        <v>16152</v>
      </c>
      <c r="K4826" s="0" t="s">
        <v>16153</v>
      </c>
      <c r="L4826" s="0" t="str">
        <f aca="false">HYPERLINK("https://www.ncbi.nlm.nih.gov/nuccore/CP000304.1?report=graph&amp;tracks=[key:gene_model_track,Options:GeneOnly]&amp;mk=1361301:1361320|offset_6|00cc00,1361323:1361342|offset_28|444444,1361343:1361362|offset_48|444444,1361367:1361386|offset_72|444444&amp;v=1361100:1361586&amp;c=444444", "offset 6")</f>
        <v>offset 6</v>
      </c>
    </row>
    <row r="4827" customFormat="false" ht="12.8" hidden="false" customHeight="false" outlineLevel="0" collapsed="false">
      <c r="A4827" s="0" t="s">
        <v>12</v>
      </c>
      <c r="B4827" s="0" t="n">
        <v>1361322</v>
      </c>
      <c r="C4827" s="0" t="n">
        <v>1361342</v>
      </c>
      <c r="D4827" s="0" t="s">
        <v>16149</v>
      </c>
      <c r="E4827" s="0" t="s">
        <v>16150</v>
      </c>
      <c r="F4827" s="0" t="s">
        <v>15</v>
      </c>
      <c r="G4827" s="0" t="s">
        <v>36</v>
      </c>
      <c r="H4827" s="0" t="n">
        <v>28</v>
      </c>
      <c r="I4827" s="0" t="s">
        <v>16154</v>
      </c>
      <c r="J4827" s="0" t="s">
        <v>16155</v>
      </c>
      <c r="K4827" s="0" t="s">
        <v>16156</v>
      </c>
      <c r="L4827" s="0" t="str">
        <f aca="false">HYPERLINK("https://www.ncbi.nlm.nih.gov/nuccore/CP000304.1?report=graph&amp;tracks=[key:gene_model_track,Options:GeneOnly]&amp;mk=1361301:1361320|offset_6|444444,1361323:1361342|offset_28|00cc00,1361343:1361362|offset_48|444444,1361367:1361386|offset_72|444444&amp;v=1361100:1361586&amp;c=444444", "offset 28")</f>
        <v>offset 28</v>
      </c>
    </row>
    <row r="4828" customFormat="false" ht="12.8" hidden="false" customHeight="false" outlineLevel="0" collapsed="false">
      <c r="A4828" s="0" t="s">
        <v>12</v>
      </c>
      <c r="B4828" s="0" t="n">
        <v>1361342</v>
      </c>
      <c r="C4828" s="0" t="n">
        <v>1361362</v>
      </c>
      <c r="D4828" s="0" t="s">
        <v>16149</v>
      </c>
      <c r="E4828" s="0" t="s">
        <v>16150</v>
      </c>
      <c r="F4828" s="0" t="s">
        <v>15</v>
      </c>
      <c r="G4828" s="0" t="s">
        <v>36</v>
      </c>
      <c r="H4828" s="0" t="n">
        <v>48</v>
      </c>
      <c r="I4828" s="0" t="s">
        <v>16157</v>
      </c>
      <c r="J4828" s="0" t="s">
        <v>16158</v>
      </c>
      <c r="K4828" s="0" t="s">
        <v>16159</v>
      </c>
      <c r="L4828" s="0" t="str">
        <f aca="false">HYPERLINK("https://www.ncbi.nlm.nih.gov/nuccore/CP000304.1?report=graph&amp;tracks=[key:gene_model_track,Options:GeneOnly]&amp;mk=1361301:1361320|offset_6|444444,1361323:1361342|offset_28|444444,1361343:1361362|offset_48|00cc00,1361367:1361386|offset_72|444444&amp;v=1361100:1361586&amp;c=444444", "offset 48")</f>
        <v>offset 48</v>
      </c>
    </row>
    <row r="4829" customFormat="false" ht="12.8" hidden="false" customHeight="false" outlineLevel="0" collapsed="false">
      <c r="A4829" s="0" t="s">
        <v>12</v>
      </c>
      <c r="B4829" s="0" t="n">
        <v>1361366</v>
      </c>
      <c r="C4829" s="0" t="n">
        <v>1361386</v>
      </c>
      <c r="D4829" s="0" t="s">
        <v>16149</v>
      </c>
      <c r="E4829" s="0" t="s">
        <v>16150</v>
      </c>
      <c r="F4829" s="0" t="s">
        <v>15</v>
      </c>
      <c r="G4829" s="0" t="s">
        <v>16</v>
      </c>
      <c r="H4829" s="0" t="n">
        <v>72</v>
      </c>
      <c r="I4829" s="0" t="s">
        <v>16160</v>
      </c>
      <c r="J4829" s="0" t="s">
        <v>16161</v>
      </c>
      <c r="K4829" s="0" t="s">
        <v>16162</v>
      </c>
      <c r="L4829" s="0" t="str">
        <f aca="false">HYPERLINK("https://www.ncbi.nlm.nih.gov/nuccore/CP000304.1?report=graph&amp;tracks=[key:gene_model_track,Options:GeneOnly]&amp;mk=1361301:1361320|offset_6|444444,1361323:1361342|offset_28|444444,1361343:1361362|offset_48|444444,1361367:1361386|offset_72|00cc00&amp;v=1361100:1361586&amp;c=444444", "offset 72")</f>
        <v>offset 72</v>
      </c>
    </row>
    <row r="4830" customFormat="false" ht="12.8" hidden="false" customHeight="false" outlineLevel="0" collapsed="false">
      <c r="A4830" s="0" t="s">
        <v>12</v>
      </c>
      <c r="B4830" s="0" t="n">
        <v>1361911</v>
      </c>
      <c r="C4830" s="0" t="n">
        <v>1361931</v>
      </c>
      <c r="D4830" s="0" t="s">
        <v>16163</v>
      </c>
      <c r="E4830" s="0" t="s">
        <v>89</v>
      </c>
      <c r="F4830" s="0" t="s">
        <v>15</v>
      </c>
      <c r="G4830" s="0" t="s">
        <v>16</v>
      </c>
      <c r="H4830" s="0" t="n">
        <v>22</v>
      </c>
      <c r="I4830" s="0" t="s">
        <v>16164</v>
      </c>
      <c r="J4830" s="0" t="s">
        <v>16165</v>
      </c>
      <c r="K4830" s="0" t="s">
        <v>16166</v>
      </c>
      <c r="L4830" s="0" t="str">
        <f aca="false">HYPERLINK("https://www.ncbi.nlm.nih.gov/nuccore/CP000304.1?report=graph&amp;tracks=[key:gene_model_track,Options:GeneOnly]&amp;mk=1361912:1361931|offset_22|00cc00,1361942:1361961|offset_52|444444,1361966:1361985|offset_76|444444,1361991:1362010|offset_101|444444&amp;v=1361711:1362210&amp;c=444444", "offset 22")</f>
        <v>offset 22</v>
      </c>
    </row>
    <row r="4831" customFormat="false" ht="12.8" hidden="false" customHeight="false" outlineLevel="0" collapsed="false">
      <c r="A4831" s="0" t="s">
        <v>12</v>
      </c>
      <c r="B4831" s="0" t="n">
        <v>1361941</v>
      </c>
      <c r="C4831" s="0" t="n">
        <v>1361961</v>
      </c>
      <c r="D4831" s="0" t="s">
        <v>16163</v>
      </c>
      <c r="E4831" s="0" t="s">
        <v>89</v>
      </c>
      <c r="F4831" s="0" t="s">
        <v>15</v>
      </c>
      <c r="G4831" s="0" t="s">
        <v>36</v>
      </c>
      <c r="H4831" s="0" t="n">
        <v>52</v>
      </c>
      <c r="I4831" s="0" t="s">
        <v>16167</v>
      </c>
      <c r="J4831" s="0" t="s">
        <v>16168</v>
      </c>
      <c r="K4831" s="0" t="s">
        <v>16169</v>
      </c>
      <c r="L4831" s="0" t="str">
        <f aca="false">HYPERLINK("https://www.ncbi.nlm.nih.gov/nuccore/CP000304.1?report=graph&amp;tracks=[key:gene_model_track,Options:GeneOnly]&amp;mk=1361912:1361931|offset_22|444444,1361942:1361961|offset_52|00cc00,1361966:1361985|offset_76|444444,1361991:1362010|offset_101|444444&amp;v=1361711:1362210&amp;c=444444", "offset 52")</f>
        <v>offset 52</v>
      </c>
    </row>
    <row r="4832" customFormat="false" ht="12.8" hidden="false" customHeight="false" outlineLevel="0" collapsed="false">
      <c r="A4832" s="0" t="s">
        <v>12</v>
      </c>
      <c r="B4832" s="0" t="n">
        <v>1361965</v>
      </c>
      <c r="C4832" s="0" t="n">
        <v>1361985</v>
      </c>
      <c r="D4832" s="0" t="s">
        <v>16163</v>
      </c>
      <c r="E4832" s="0" t="s">
        <v>89</v>
      </c>
      <c r="F4832" s="0" t="s">
        <v>15</v>
      </c>
      <c r="G4832" s="0" t="s">
        <v>16</v>
      </c>
      <c r="H4832" s="0" t="n">
        <v>76</v>
      </c>
      <c r="I4832" s="0" t="s">
        <v>16170</v>
      </c>
      <c r="J4832" s="0" t="s">
        <v>16171</v>
      </c>
      <c r="K4832" s="0" t="s">
        <v>16172</v>
      </c>
      <c r="L4832" s="0" t="str">
        <f aca="false">HYPERLINK("https://www.ncbi.nlm.nih.gov/nuccore/CP000304.1?report=graph&amp;tracks=[key:gene_model_track,Options:GeneOnly]&amp;mk=1361912:1361931|offset_22|444444,1361942:1361961|offset_52|444444,1361966:1361985|offset_76|00cc00,1361991:1362010|offset_101|444444&amp;v=1361711:1362210&amp;c=444444", "offset 76")</f>
        <v>offset 76</v>
      </c>
    </row>
    <row r="4833" customFormat="false" ht="12.8" hidden="false" customHeight="false" outlineLevel="0" collapsed="false">
      <c r="A4833" s="0" t="s">
        <v>12</v>
      </c>
      <c r="B4833" s="0" t="n">
        <v>1361990</v>
      </c>
      <c r="C4833" s="0" t="n">
        <v>1362010</v>
      </c>
      <c r="D4833" s="0" t="s">
        <v>16163</v>
      </c>
      <c r="E4833" s="0" t="s">
        <v>89</v>
      </c>
      <c r="F4833" s="0" t="s">
        <v>15</v>
      </c>
      <c r="G4833" s="0" t="s">
        <v>16</v>
      </c>
      <c r="H4833" s="0" t="n">
        <v>101</v>
      </c>
      <c r="I4833" s="0" t="s">
        <v>16173</v>
      </c>
      <c r="J4833" s="0" t="s">
        <v>16174</v>
      </c>
      <c r="K4833" s="0" t="s">
        <v>16175</v>
      </c>
      <c r="L4833" s="0" t="str">
        <f aca="false">HYPERLINK("https://www.ncbi.nlm.nih.gov/nuccore/CP000304.1?report=graph&amp;tracks=[key:gene_model_track,Options:GeneOnly]&amp;mk=1361912:1361931|offset_22|444444,1361942:1361961|offset_52|444444,1361966:1361985|offset_76|444444,1361991:1362010|offset_101|00cc00&amp;v=1361711:1362210&amp;c=444444", "offset 101")</f>
        <v>offset 101</v>
      </c>
    </row>
    <row r="4834" customFormat="false" ht="12.8" hidden="false" customHeight="false" outlineLevel="0" collapsed="false">
      <c r="A4834" s="0" t="s">
        <v>12</v>
      </c>
      <c r="B4834" s="0" t="n">
        <v>1363118</v>
      </c>
      <c r="C4834" s="0" t="n">
        <v>1363138</v>
      </c>
      <c r="D4834" s="0" t="s">
        <v>16176</v>
      </c>
      <c r="E4834" s="0" t="s">
        <v>89</v>
      </c>
      <c r="F4834" s="0" t="s">
        <v>15</v>
      </c>
      <c r="G4834" s="0" t="s">
        <v>26</v>
      </c>
      <c r="H4834" s="0" t="n">
        <v>22</v>
      </c>
      <c r="I4834" s="0" t="s">
        <v>16177</v>
      </c>
      <c r="J4834" s="0" t="s">
        <v>16178</v>
      </c>
      <c r="K4834" s="0" t="s">
        <v>16179</v>
      </c>
      <c r="L4834" s="0" t="str">
        <f aca="false">HYPERLINK("https://www.ncbi.nlm.nih.gov/nuccore/CP000304.1?report=graph&amp;tracks=[key:gene_model_track,Options:GeneOnly]&amp;mk=1363119:1363138|offset_22|00cc00,1363163:1363182|offset_66|444444,1363192:1363211|offset_95|444444,1363230:1363249|offset_133|444444&amp;v=1362918:1363449&amp;c=444444", "offset 22")</f>
        <v>offset 22</v>
      </c>
    </row>
    <row r="4835" customFormat="false" ht="12.8" hidden="false" customHeight="false" outlineLevel="0" collapsed="false">
      <c r="A4835" s="0" t="s">
        <v>12</v>
      </c>
      <c r="B4835" s="0" t="n">
        <v>1363162</v>
      </c>
      <c r="C4835" s="0" t="n">
        <v>1363182</v>
      </c>
      <c r="D4835" s="0" t="s">
        <v>16176</v>
      </c>
      <c r="E4835" s="0" t="s">
        <v>89</v>
      </c>
      <c r="F4835" s="0" t="s">
        <v>15</v>
      </c>
      <c r="G4835" s="0" t="s">
        <v>16</v>
      </c>
      <c r="H4835" s="0" t="n">
        <v>66</v>
      </c>
      <c r="I4835" s="0" t="s">
        <v>16180</v>
      </c>
      <c r="J4835" s="0" t="s">
        <v>16181</v>
      </c>
      <c r="K4835" s="0" t="s">
        <v>16182</v>
      </c>
      <c r="L4835" s="0" t="str">
        <f aca="false">HYPERLINK("https://www.ncbi.nlm.nih.gov/nuccore/CP000304.1?report=graph&amp;tracks=[key:gene_model_track,Options:GeneOnly]&amp;mk=1363119:1363138|offset_22|444444,1363163:1363182|offset_66|00cc00,1363192:1363211|offset_95|444444,1363230:1363249|offset_133|444444&amp;v=1362918:1363449&amp;c=444444", "offset 66")</f>
        <v>offset 66</v>
      </c>
    </row>
    <row r="4836" customFormat="false" ht="12.8" hidden="false" customHeight="false" outlineLevel="0" collapsed="false">
      <c r="A4836" s="0" t="s">
        <v>12</v>
      </c>
      <c r="B4836" s="0" t="n">
        <v>1363191</v>
      </c>
      <c r="C4836" s="0" t="n">
        <v>1363211</v>
      </c>
      <c r="D4836" s="0" t="s">
        <v>16176</v>
      </c>
      <c r="E4836" s="0" t="s">
        <v>89</v>
      </c>
      <c r="F4836" s="0" t="s">
        <v>15</v>
      </c>
      <c r="G4836" s="0" t="s">
        <v>26</v>
      </c>
      <c r="H4836" s="0" t="n">
        <v>95</v>
      </c>
      <c r="I4836" s="0" t="s">
        <v>16183</v>
      </c>
      <c r="J4836" s="0" t="s">
        <v>16184</v>
      </c>
      <c r="K4836" s="0" t="s">
        <v>16185</v>
      </c>
      <c r="L4836" s="0" t="str">
        <f aca="false">HYPERLINK("https://www.ncbi.nlm.nih.gov/nuccore/CP000304.1?report=graph&amp;tracks=[key:gene_model_track,Options:GeneOnly]&amp;mk=1363119:1363138|offset_22|444444,1363163:1363182|offset_66|444444,1363192:1363211|offset_95|00cc00,1363230:1363249|offset_133|444444&amp;v=1362918:1363449&amp;c=444444", "offset 95")</f>
        <v>offset 95</v>
      </c>
    </row>
    <row r="4837" customFormat="false" ht="12.8" hidden="false" customHeight="false" outlineLevel="0" collapsed="false">
      <c r="A4837" s="0" t="s">
        <v>12</v>
      </c>
      <c r="B4837" s="0" t="n">
        <v>1363229</v>
      </c>
      <c r="C4837" s="0" t="n">
        <v>1363249</v>
      </c>
      <c r="D4837" s="0" t="s">
        <v>16176</v>
      </c>
      <c r="E4837" s="0" t="s">
        <v>89</v>
      </c>
      <c r="F4837" s="0" t="s">
        <v>15</v>
      </c>
      <c r="G4837" s="0" t="s">
        <v>36</v>
      </c>
      <c r="H4837" s="0" t="n">
        <v>133</v>
      </c>
      <c r="I4837" s="0" t="s">
        <v>16186</v>
      </c>
      <c r="J4837" s="0" t="s">
        <v>16187</v>
      </c>
      <c r="K4837" s="0" t="s">
        <v>16188</v>
      </c>
      <c r="L4837" s="0" t="str">
        <f aca="false">HYPERLINK("https://www.ncbi.nlm.nih.gov/nuccore/CP000304.1?report=graph&amp;tracks=[key:gene_model_track,Options:GeneOnly]&amp;mk=1363119:1363138|offset_22|444444,1363163:1363182|offset_66|444444,1363192:1363211|offset_95|444444,1363230:1363249|offset_133|00cc00&amp;v=1362918:1363449&amp;c=444444", "offset 133")</f>
        <v>offset 133</v>
      </c>
    </row>
    <row r="4838" customFormat="false" ht="12.8" hidden="false" customHeight="false" outlineLevel="0" collapsed="false">
      <c r="A4838" s="0" t="s">
        <v>12</v>
      </c>
      <c r="B4838" s="0" t="n">
        <v>1363993</v>
      </c>
      <c r="C4838" s="0" t="n">
        <v>1364013</v>
      </c>
      <c r="D4838" s="0" t="s">
        <v>16189</v>
      </c>
      <c r="E4838" s="0" t="s">
        <v>16190</v>
      </c>
      <c r="F4838" s="0" t="s">
        <v>15</v>
      </c>
      <c r="G4838" s="0" t="s">
        <v>32</v>
      </c>
      <c r="H4838" s="0" t="n">
        <v>1</v>
      </c>
      <c r="I4838" s="0" t="s">
        <v>16191</v>
      </c>
      <c r="J4838" s="0" t="s">
        <v>16192</v>
      </c>
      <c r="K4838" s="0" t="s">
        <v>16193</v>
      </c>
      <c r="L4838" s="0" t="str">
        <f aca="false">HYPERLINK("https://www.ncbi.nlm.nih.gov/nuccore/CP000304.1?report=graph&amp;tracks=[key:gene_model_track,Options:GeneOnly]&amp;mk=1363994:1364013|offset_1|00cc00,1364019:1364038|offset_26|444444,1364039:1364058|offset_46|444444,1364078:1364097|offset_85|444444&amp;v=1363793:1364297&amp;c=444444", "offset 1")</f>
        <v>offset 1</v>
      </c>
    </row>
    <row r="4839" customFormat="false" ht="12.8" hidden="false" customHeight="false" outlineLevel="0" collapsed="false">
      <c r="A4839" s="0" t="s">
        <v>12</v>
      </c>
      <c r="B4839" s="0" t="n">
        <v>1364018</v>
      </c>
      <c r="C4839" s="0" t="n">
        <v>1364038</v>
      </c>
      <c r="D4839" s="0" t="s">
        <v>16189</v>
      </c>
      <c r="E4839" s="0" t="s">
        <v>16190</v>
      </c>
      <c r="F4839" s="0" t="s">
        <v>15</v>
      </c>
      <c r="G4839" s="0" t="s">
        <v>32</v>
      </c>
      <c r="H4839" s="0" t="n">
        <v>26</v>
      </c>
      <c r="I4839" s="0" t="s">
        <v>16194</v>
      </c>
      <c r="J4839" s="0" t="s">
        <v>16195</v>
      </c>
      <c r="K4839" s="0" t="s">
        <v>16196</v>
      </c>
      <c r="L4839" s="0" t="str">
        <f aca="false">HYPERLINK("https://www.ncbi.nlm.nih.gov/nuccore/CP000304.1?report=graph&amp;tracks=[key:gene_model_track,Options:GeneOnly]&amp;mk=1363994:1364013|offset_1|444444,1364019:1364038|offset_26|00cc00,1364039:1364058|offset_46|444444,1364078:1364097|offset_85|444444&amp;v=1363793:1364297&amp;c=444444", "offset 26")</f>
        <v>offset 26</v>
      </c>
    </row>
    <row r="4840" customFormat="false" ht="12.8" hidden="false" customHeight="false" outlineLevel="0" collapsed="false">
      <c r="A4840" s="0" t="s">
        <v>12</v>
      </c>
      <c r="B4840" s="0" t="n">
        <v>1364038</v>
      </c>
      <c r="C4840" s="0" t="n">
        <v>1364058</v>
      </c>
      <c r="D4840" s="0" t="s">
        <v>16189</v>
      </c>
      <c r="E4840" s="0" t="s">
        <v>16190</v>
      </c>
      <c r="F4840" s="0" t="s">
        <v>15</v>
      </c>
      <c r="G4840" s="0" t="s">
        <v>32</v>
      </c>
      <c r="H4840" s="0" t="n">
        <v>46</v>
      </c>
      <c r="I4840" s="0" t="s">
        <v>16197</v>
      </c>
      <c r="J4840" s="0" t="s">
        <v>16198</v>
      </c>
      <c r="K4840" s="0" t="s">
        <v>16199</v>
      </c>
      <c r="L4840" s="0" t="str">
        <f aca="false">HYPERLINK("https://www.ncbi.nlm.nih.gov/nuccore/CP000304.1?report=graph&amp;tracks=[key:gene_model_track,Options:GeneOnly]&amp;mk=1363994:1364013|offset_1|444444,1364019:1364038|offset_26|444444,1364039:1364058|offset_46|00cc00,1364078:1364097|offset_85|444444&amp;v=1363793:1364297&amp;c=444444", "offset 46")</f>
        <v>offset 46</v>
      </c>
    </row>
    <row r="4841" customFormat="false" ht="12.8" hidden="false" customHeight="false" outlineLevel="0" collapsed="false">
      <c r="A4841" s="0" t="s">
        <v>12</v>
      </c>
      <c r="B4841" s="0" t="n">
        <v>1364077</v>
      </c>
      <c r="C4841" s="0" t="n">
        <v>1364097</v>
      </c>
      <c r="D4841" s="0" t="s">
        <v>16189</v>
      </c>
      <c r="E4841" s="0" t="s">
        <v>16190</v>
      </c>
      <c r="F4841" s="0" t="s">
        <v>15</v>
      </c>
      <c r="G4841" s="0" t="s">
        <v>16</v>
      </c>
      <c r="H4841" s="0" t="n">
        <v>85</v>
      </c>
      <c r="I4841" s="0" t="s">
        <v>16200</v>
      </c>
      <c r="J4841" s="0" t="s">
        <v>16201</v>
      </c>
      <c r="K4841" s="0" t="s">
        <v>16202</v>
      </c>
      <c r="L4841" s="0" t="str">
        <f aca="false">HYPERLINK("https://www.ncbi.nlm.nih.gov/nuccore/CP000304.1?report=graph&amp;tracks=[key:gene_model_track,Options:GeneOnly]&amp;mk=1363994:1364013|offset_1|444444,1364019:1364038|offset_26|444444,1364039:1364058|offset_46|444444,1364078:1364097|offset_85|00cc00&amp;v=1363793:1364297&amp;c=444444", "offset 85")</f>
        <v>offset 85</v>
      </c>
    </row>
    <row r="4842" customFormat="false" ht="12.8" hidden="false" customHeight="false" outlineLevel="0" collapsed="false">
      <c r="A4842" s="0" t="s">
        <v>12</v>
      </c>
      <c r="B4842" s="0" t="n">
        <v>1364960</v>
      </c>
      <c r="C4842" s="0" t="n">
        <v>1364980</v>
      </c>
      <c r="D4842" s="0" t="s">
        <v>16203</v>
      </c>
      <c r="E4842" s="0" t="s">
        <v>16204</v>
      </c>
      <c r="F4842" s="0" t="s">
        <v>15</v>
      </c>
      <c r="G4842" s="0" t="s">
        <v>36</v>
      </c>
      <c r="H4842" s="0" t="n">
        <v>24</v>
      </c>
      <c r="I4842" s="0" t="s">
        <v>16205</v>
      </c>
      <c r="J4842" s="0" t="s">
        <v>16206</v>
      </c>
      <c r="K4842" s="0" t="s">
        <v>16207</v>
      </c>
      <c r="L4842" s="0" t="str">
        <f aca="false">HYPERLINK("https://www.ncbi.nlm.nih.gov/nuccore/CP000304.1?report=graph&amp;tracks=[key:gene_model_track,Options:GeneOnly]&amp;mk=1364961:1364980|offset_24|00cc00,1365005:1365024|offset_68|444444,1365041:1365060|offset_104|444444,1365074:1365093|offset_137|444444&amp;v=1364760:1365293&amp;c=444444", "offset 24")</f>
        <v>offset 24</v>
      </c>
    </row>
    <row r="4843" customFormat="false" ht="12.8" hidden="false" customHeight="false" outlineLevel="0" collapsed="false">
      <c r="A4843" s="0" t="s">
        <v>12</v>
      </c>
      <c r="B4843" s="0" t="n">
        <v>1365004</v>
      </c>
      <c r="C4843" s="0" t="n">
        <v>1365024</v>
      </c>
      <c r="D4843" s="0" t="s">
        <v>16203</v>
      </c>
      <c r="E4843" s="0" t="s">
        <v>16204</v>
      </c>
      <c r="F4843" s="0" t="s">
        <v>15</v>
      </c>
      <c r="G4843" s="0" t="s">
        <v>16</v>
      </c>
      <c r="H4843" s="0" t="n">
        <v>68</v>
      </c>
      <c r="I4843" s="0" t="s">
        <v>16208</v>
      </c>
      <c r="J4843" s="0" t="s">
        <v>16209</v>
      </c>
      <c r="K4843" s="0" t="s">
        <v>16210</v>
      </c>
      <c r="L4843" s="0" t="str">
        <f aca="false">HYPERLINK("https://www.ncbi.nlm.nih.gov/nuccore/CP000304.1?report=graph&amp;tracks=[key:gene_model_track,Options:GeneOnly]&amp;mk=1364961:1364980|offset_24|444444,1365005:1365024|offset_68|00cc00,1365041:1365060|offset_104|444444,1365074:1365093|offset_137|444444&amp;v=1364760:1365293&amp;c=444444", "offset 68")</f>
        <v>offset 68</v>
      </c>
    </row>
    <row r="4844" customFormat="false" ht="12.8" hidden="false" customHeight="false" outlineLevel="0" collapsed="false">
      <c r="A4844" s="0" t="s">
        <v>12</v>
      </c>
      <c r="B4844" s="0" t="n">
        <v>1365040</v>
      </c>
      <c r="C4844" s="0" t="n">
        <v>1365060</v>
      </c>
      <c r="D4844" s="0" t="s">
        <v>16203</v>
      </c>
      <c r="E4844" s="0" t="s">
        <v>16204</v>
      </c>
      <c r="F4844" s="0" t="s">
        <v>15</v>
      </c>
      <c r="G4844" s="0" t="s">
        <v>26</v>
      </c>
      <c r="H4844" s="0" t="n">
        <v>104</v>
      </c>
      <c r="I4844" s="0" t="s">
        <v>16211</v>
      </c>
      <c r="J4844" s="0" t="s">
        <v>16212</v>
      </c>
      <c r="K4844" s="0" t="s">
        <v>16213</v>
      </c>
      <c r="L4844" s="0" t="str">
        <f aca="false">HYPERLINK("https://www.ncbi.nlm.nih.gov/nuccore/CP000304.1?report=graph&amp;tracks=[key:gene_model_track,Options:GeneOnly]&amp;mk=1364961:1364980|offset_24|444444,1365005:1365024|offset_68|444444,1365041:1365060|offset_104|00cc00,1365074:1365093|offset_137|444444&amp;v=1364760:1365293&amp;c=444444", "offset 104")</f>
        <v>offset 104</v>
      </c>
    </row>
    <row r="4845" customFormat="false" ht="12.8" hidden="false" customHeight="false" outlineLevel="0" collapsed="false">
      <c r="A4845" s="0" t="s">
        <v>12</v>
      </c>
      <c r="B4845" s="0" t="n">
        <v>1365073</v>
      </c>
      <c r="C4845" s="0" t="n">
        <v>1365093</v>
      </c>
      <c r="D4845" s="0" t="s">
        <v>16203</v>
      </c>
      <c r="E4845" s="0" t="s">
        <v>16204</v>
      </c>
      <c r="F4845" s="0" t="s">
        <v>15</v>
      </c>
      <c r="G4845" s="0" t="s">
        <v>32</v>
      </c>
      <c r="H4845" s="0" t="n">
        <v>137</v>
      </c>
      <c r="I4845" s="0" t="s">
        <v>16214</v>
      </c>
      <c r="J4845" s="0" t="s">
        <v>16215</v>
      </c>
      <c r="K4845" s="0" t="s">
        <v>16216</v>
      </c>
      <c r="L4845" s="0" t="str">
        <f aca="false">HYPERLINK("https://www.ncbi.nlm.nih.gov/nuccore/CP000304.1?report=graph&amp;tracks=[key:gene_model_track,Options:GeneOnly]&amp;mk=1364961:1364980|offset_24|444444,1365005:1365024|offset_68|444444,1365041:1365060|offset_104|444444,1365074:1365093|offset_137|00cc00&amp;v=1364760:1365293&amp;c=444444", "offset 137")</f>
        <v>offset 137</v>
      </c>
    </row>
    <row r="4846" customFormat="false" ht="12.8" hidden="false" customHeight="false" outlineLevel="0" collapsed="false">
      <c r="A4846" s="0" t="s">
        <v>12</v>
      </c>
      <c r="B4846" s="0" t="n">
        <v>1365893</v>
      </c>
      <c r="C4846" s="0" t="n">
        <v>1365913</v>
      </c>
      <c r="D4846" s="0" t="s">
        <v>16217</v>
      </c>
      <c r="E4846" s="0" t="s">
        <v>16218</v>
      </c>
      <c r="F4846" s="0" t="s">
        <v>15</v>
      </c>
      <c r="G4846" s="0" t="s">
        <v>26</v>
      </c>
      <c r="H4846" s="0" t="n">
        <v>10</v>
      </c>
      <c r="I4846" s="0" t="s">
        <v>16219</v>
      </c>
      <c r="J4846" s="0" t="s">
        <v>16220</v>
      </c>
      <c r="K4846" s="0" t="s">
        <v>16221</v>
      </c>
      <c r="L4846" s="0" t="str">
        <f aca="false">HYPERLINK("https://www.ncbi.nlm.nih.gov/nuccore/CP000304.1?report=graph&amp;tracks=[key:gene_model_track,Options:GeneOnly]&amp;mk=1365894:1365913|offset_10|00cc00,1365918:1365937|offset_34|444444,1365973:1365992|offset_89|444444,1365994:1366013|offset_110|444444&amp;v=1365693:1366213&amp;c=444444", "offset 10")</f>
        <v>offset 10</v>
      </c>
    </row>
    <row r="4847" customFormat="false" ht="12.8" hidden="false" customHeight="false" outlineLevel="0" collapsed="false">
      <c r="A4847" s="0" t="s">
        <v>12</v>
      </c>
      <c r="B4847" s="0" t="n">
        <v>1365917</v>
      </c>
      <c r="C4847" s="0" t="n">
        <v>1365937</v>
      </c>
      <c r="D4847" s="0" t="s">
        <v>16217</v>
      </c>
      <c r="E4847" s="0" t="s">
        <v>16218</v>
      </c>
      <c r="F4847" s="0" t="s">
        <v>15</v>
      </c>
      <c r="G4847" s="0" t="s">
        <v>16</v>
      </c>
      <c r="H4847" s="0" t="n">
        <v>34</v>
      </c>
      <c r="I4847" s="0" t="s">
        <v>16222</v>
      </c>
      <c r="J4847" s="0" t="s">
        <v>16223</v>
      </c>
      <c r="K4847" s="0" t="s">
        <v>16224</v>
      </c>
      <c r="L4847" s="0" t="str">
        <f aca="false">HYPERLINK("https://www.ncbi.nlm.nih.gov/nuccore/CP000304.1?report=graph&amp;tracks=[key:gene_model_track,Options:GeneOnly]&amp;mk=1365894:1365913|offset_10|444444,1365918:1365937|offset_34|00cc00,1365973:1365992|offset_89|444444,1365994:1366013|offset_110|444444&amp;v=1365693:1366213&amp;c=444444", "offset 34")</f>
        <v>offset 34</v>
      </c>
    </row>
    <row r="4848" customFormat="false" ht="12.8" hidden="false" customHeight="false" outlineLevel="0" collapsed="false">
      <c r="A4848" s="0" t="s">
        <v>12</v>
      </c>
      <c r="B4848" s="0" t="n">
        <v>1365972</v>
      </c>
      <c r="C4848" s="0" t="n">
        <v>1365992</v>
      </c>
      <c r="D4848" s="0" t="s">
        <v>16217</v>
      </c>
      <c r="E4848" s="0" t="s">
        <v>16218</v>
      </c>
      <c r="F4848" s="0" t="s">
        <v>15</v>
      </c>
      <c r="G4848" s="0" t="s">
        <v>26</v>
      </c>
      <c r="H4848" s="0" t="n">
        <v>89</v>
      </c>
      <c r="I4848" s="0" t="s">
        <v>16225</v>
      </c>
      <c r="J4848" s="0" t="s">
        <v>16226</v>
      </c>
      <c r="K4848" s="0" t="s">
        <v>16227</v>
      </c>
      <c r="L4848" s="0" t="str">
        <f aca="false">HYPERLINK("https://www.ncbi.nlm.nih.gov/nuccore/CP000304.1?report=graph&amp;tracks=[key:gene_model_track,Options:GeneOnly]&amp;mk=1365894:1365913|offset_10|444444,1365918:1365937|offset_34|444444,1365973:1365992|offset_89|00cc00,1365994:1366013|offset_110|444444&amp;v=1365693:1366213&amp;c=444444", "offset 89")</f>
        <v>offset 89</v>
      </c>
    </row>
    <row r="4849" customFormat="false" ht="12.8" hidden="false" customHeight="false" outlineLevel="0" collapsed="false">
      <c r="A4849" s="0" t="s">
        <v>12</v>
      </c>
      <c r="B4849" s="0" t="n">
        <v>1365993</v>
      </c>
      <c r="C4849" s="0" t="n">
        <v>1366013</v>
      </c>
      <c r="D4849" s="0" t="s">
        <v>16217</v>
      </c>
      <c r="E4849" s="0" t="s">
        <v>16218</v>
      </c>
      <c r="F4849" s="0" t="s">
        <v>15</v>
      </c>
      <c r="G4849" s="0" t="s">
        <v>26</v>
      </c>
      <c r="H4849" s="0" t="n">
        <v>110</v>
      </c>
      <c r="I4849" s="0" t="s">
        <v>16228</v>
      </c>
      <c r="J4849" s="0" t="s">
        <v>16229</v>
      </c>
      <c r="K4849" s="0" t="s">
        <v>16230</v>
      </c>
      <c r="L4849" s="0" t="str">
        <f aca="false">HYPERLINK("https://www.ncbi.nlm.nih.gov/nuccore/CP000304.1?report=graph&amp;tracks=[key:gene_model_track,Options:GeneOnly]&amp;mk=1365894:1365913|offset_10|444444,1365918:1365937|offset_34|444444,1365973:1365992|offset_89|444444,1365994:1366013|offset_110|00cc00&amp;v=1365693:1366213&amp;c=444444", "offset 110")</f>
        <v>offset 110</v>
      </c>
    </row>
    <row r="4850" customFormat="false" ht="12.8" hidden="false" customHeight="false" outlineLevel="0" collapsed="false">
      <c r="A4850" s="0" t="s">
        <v>12</v>
      </c>
      <c r="B4850" s="0" t="n">
        <v>1366670</v>
      </c>
      <c r="C4850" s="0" t="n">
        <v>1366690</v>
      </c>
      <c r="D4850" s="0" t="s">
        <v>16231</v>
      </c>
      <c r="E4850" s="0" t="s">
        <v>16232</v>
      </c>
      <c r="F4850" s="0" t="s">
        <v>15</v>
      </c>
      <c r="G4850" s="0" t="s">
        <v>16</v>
      </c>
      <c r="H4850" s="0" t="n">
        <v>8</v>
      </c>
      <c r="I4850" s="0" t="s">
        <v>16233</v>
      </c>
      <c r="J4850" s="0" t="s">
        <v>16234</v>
      </c>
      <c r="K4850" s="0" t="s">
        <v>16235</v>
      </c>
      <c r="L4850" s="0" t="str">
        <f aca="false">HYPERLINK("https://www.ncbi.nlm.nih.gov/nuccore/CP000304.1?report=graph&amp;tracks=[key:gene_model_track,Options:GeneOnly]&amp;mk=1366671:1366690|offset_8|00cc00,1366694:1366713|offset_31|444444,1366745:1366764|offset_82|444444,1366765:1366784|offset_102|444444&amp;v=1366470:1366984&amp;c=444444", "offset 8")</f>
        <v>offset 8</v>
      </c>
    </row>
    <row r="4851" customFormat="false" ht="12.8" hidden="false" customHeight="false" outlineLevel="0" collapsed="false">
      <c r="A4851" s="0" t="s">
        <v>12</v>
      </c>
      <c r="B4851" s="0" t="n">
        <v>1366693</v>
      </c>
      <c r="C4851" s="0" t="n">
        <v>1366713</v>
      </c>
      <c r="D4851" s="0" t="s">
        <v>16231</v>
      </c>
      <c r="E4851" s="0" t="s">
        <v>16232</v>
      </c>
      <c r="F4851" s="0" t="s">
        <v>15</v>
      </c>
      <c r="G4851" s="0" t="s">
        <v>16</v>
      </c>
      <c r="H4851" s="0" t="n">
        <v>31</v>
      </c>
      <c r="I4851" s="0" t="s">
        <v>16236</v>
      </c>
      <c r="J4851" s="0" t="s">
        <v>16237</v>
      </c>
      <c r="K4851" s="0" t="s">
        <v>16238</v>
      </c>
      <c r="L4851" s="0" t="str">
        <f aca="false">HYPERLINK("https://www.ncbi.nlm.nih.gov/nuccore/CP000304.1?report=graph&amp;tracks=[key:gene_model_track,Options:GeneOnly]&amp;mk=1366671:1366690|offset_8|444444,1366694:1366713|offset_31|00cc00,1366745:1366764|offset_82|444444,1366765:1366784|offset_102|444444&amp;v=1366470:1366984&amp;c=444444", "offset 31")</f>
        <v>offset 31</v>
      </c>
    </row>
    <row r="4852" customFormat="false" ht="12.8" hidden="false" customHeight="false" outlineLevel="0" collapsed="false">
      <c r="A4852" s="0" t="s">
        <v>12</v>
      </c>
      <c r="B4852" s="0" t="n">
        <v>1366744</v>
      </c>
      <c r="C4852" s="0" t="n">
        <v>1366764</v>
      </c>
      <c r="D4852" s="0" t="s">
        <v>16231</v>
      </c>
      <c r="E4852" s="0" t="s">
        <v>16232</v>
      </c>
      <c r="F4852" s="0" t="s">
        <v>15</v>
      </c>
      <c r="G4852" s="0" t="s">
        <v>16</v>
      </c>
      <c r="H4852" s="0" t="n">
        <v>82</v>
      </c>
      <c r="I4852" s="0" t="s">
        <v>16239</v>
      </c>
      <c r="J4852" s="0" t="s">
        <v>16240</v>
      </c>
      <c r="K4852" s="0" t="s">
        <v>16241</v>
      </c>
      <c r="L4852" s="0" t="str">
        <f aca="false">HYPERLINK("https://www.ncbi.nlm.nih.gov/nuccore/CP000304.1?report=graph&amp;tracks=[key:gene_model_track,Options:GeneOnly]&amp;mk=1366671:1366690|offset_8|444444,1366694:1366713|offset_31|444444,1366745:1366764|offset_82|00cc00,1366765:1366784|offset_102|444444&amp;v=1366470:1366984&amp;c=444444", "offset 82")</f>
        <v>offset 82</v>
      </c>
    </row>
    <row r="4853" customFormat="false" ht="12.8" hidden="false" customHeight="false" outlineLevel="0" collapsed="false">
      <c r="A4853" s="0" t="s">
        <v>12</v>
      </c>
      <c r="B4853" s="0" t="n">
        <v>1366764</v>
      </c>
      <c r="C4853" s="0" t="n">
        <v>1366784</v>
      </c>
      <c r="D4853" s="0" t="s">
        <v>16231</v>
      </c>
      <c r="E4853" s="0" t="s">
        <v>16232</v>
      </c>
      <c r="F4853" s="0" t="s">
        <v>15</v>
      </c>
      <c r="G4853" s="0" t="s">
        <v>16</v>
      </c>
      <c r="H4853" s="0" t="n">
        <v>102</v>
      </c>
      <c r="I4853" s="0" t="s">
        <v>16242</v>
      </c>
      <c r="J4853" s="0" t="s">
        <v>16243</v>
      </c>
      <c r="K4853" s="0" t="s">
        <v>16244</v>
      </c>
      <c r="L4853" s="0" t="str">
        <f aca="false">HYPERLINK("https://www.ncbi.nlm.nih.gov/nuccore/CP000304.1?report=graph&amp;tracks=[key:gene_model_track,Options:GeneOnly]&amp;mk=1366671:1366690|offset_8|444444,1366694:1366713|offset_31|444444,1366745:1366764|offset_82|444444,1366765:1366784|offset_102|00cc00&amp;v=1366470:1366984&amp;c=444444", "offset 102")</f>
        <v>offset 102</v>
      </c>
    </row>
    <row r="4854" customFormat="false" ht="12.8" hidden="false" customHeight="false" outlineLevel="0" collapsed="false">
      <c r="A4854" s="0" t="s">
        <v>12</v>
      </c>
      <c r="B4854" s="0" t="n">
        <v>1368098</v>
      </c>
      <c r="C4854" s="0" t="n">
        <v>1368118</v>
      </c>
      <c r="D4854" s="0" t="s">
        <v>16245</v>
      </c>
      <c r="E4854" s="0" t="s">
        <v>16246</v>
      </c>
      <c r="F4854" s="0" t="s">
        <v>15</v>
      </c>
      <c r="G4854" s="0" t="s">
        <v>16</v>
      </c>
      <c r="H4854" s="0" t="n">
        <v>8</v>
      </c>
      <c r="I4854" s="0" t="s">
        <v>16247</v>
      </c>
      <c r="J4854" s="0" t="s">
        <v>16248</v>
      </c>
      <c r="K4854" s="0" t="s">
        <v>16249</v>
      </c>
      <c r="L4854" s="0" t="str">
        <f aca="false">HYPERLINK("https://www.ncbi.nlm.nih.gov/nuccore/CP000304.1?report=graph&amp;tracks=[key:gene_model_track,Options:GeneOnly]&amp;mk=1368099:1368118|offset_8|00cc00,1368134:1368153|offset_43|444444,1368161:1368180|offset_70|444444,1368209:1368228|offset_118|444444&amp;v=1367898:1368428&amp;c=444444", "offset 8")</f>
        <v>offset 8</v>
      </c>
    </row>
    <row r="4855" customFormat="false" ht="12.8" hidden="false" customHeight="false" outlineLevel="0" collapsed="false">
      <c r="A4855" s="0" t="s">
        <v>12</v>
      </c>
      <c r="B4855" s="0" t="n">
        <v>1368133</v>
      </c>
      <c r="C4855" s="0" t="n">
        <v>1368153</v>
      </c>
      <c r="D4855" s="0" t="s">
        <v>16245</v>
      </c>
      <c r="E4855" s="0" t="s">
        <v>16246</v>
      </c>
      <c r="F4855" s="0" t="s">
        <v>15</v>
      </c>
      <c r="G4855" s="0" t="s">
        <v>32</v>
      </c>
      <c r="H4855" s="0" t="n">
        <v>43</v>
      </c>
      <c r="I4855" s="0" t="s">
        <v>16250</v>
      </c>
      <c r="J4855" s="0" t="s">
        <v>16251</v>
      </c>
      <c r="K4855" s="0" t="s">
        <v>16252</v>
      </c>
      <c r="L4855" s="0" t="str">
        <f aca="false">HYPERLINK("https://www.ncbi.nlm.nih.gov/nuccore/CP000304.1?report=graph&amp;tracks=[key:gene_model_track,Options:GeneOnly]&amp;mk=1368099:1368118|offset_8|444444,1368134:1368153|offset_43|00cc00,1368161:1368180|offset_70|444444,1368209:1368228|offset_118|444444&amp;v=1367898:1368428&amp;c=444444", "offset 43")</f>
        <v>offset 43</v>
      </c>
    </row>
    <row r="4856" customFormat="false" ht="12.8" hidden="false" customHeight="false" outlineLevel="0" collapsed="false">
      <c r="A4856" s="0" t="s">
        <v>12</v>
      </c>
      <c r="B4856" s="0" t="n">
        <v>1368160</v>
      </c>
      <c r="C4856" s="0" t="n">
        <v>1368180</v>
      </c>
      <c r="D4856" s="0" t="s">
        <v>16245</v>
      </c>
      <c r="E4856" s="0" t="s">
        <v>16246</v>
      </c>
      <c r="F4856" s="0" t="s">
        <v>15</v>
      </c>
      <c r="G4856" s="0" t="s">
        <v>16</v>
      </c>
      <c r="H4856" s="0" t="n">
        <v>70</v>
      </c>
      <c r="I4856" s="0" t="s">
        <v>16253</v>
      </c>
      <c r="J4856" s="0" t="s">
        <v>16254</v>
      </c>
      <c r="K4856" s="0" t="s">
        <v>16255</v>
      </c>
      <c r="L4856" s="0" t="str">
        <f aca="false">HYPERLINK("https://www.ncbi.nlm.nih.gov/nuccore/CP000304.1?report=graph&amp;tracks=[key:gene_model_track,Options:GeneOnly]&amp;mk=1368099:1368118|offset_8|444444,1368134:1368153|offset_43|444444,1368161:1368180|offset_70|00cc00,1368209:1368228|offset_118|444444&amp;v=1367898:1368428&amp;c=444444", "offset 70")</f>
        <v>offset 70</v>
      </c>
    </row>
    <row r="4857" customFormat="false" ht="12.8" hidden="false" customHeight="false" outlineLevel="0" collapsed="false">
      <c r="A4857" s="0" t="s">
        <v>12</v>
      </c>
      <c r="B4857" s="0" t="n">
        <v>1368208</v>
      </c>
      <c r="C4857" s="0" t="n">
        <v>1368228</v>
      </c>
      <c r="D4857" s="0" t="s">
        <v>16245</v>
      </c>
      <c r="E4857" s="0" t="s">
        <v>16246</v>
      </c>
      <c r="F4857" s="0" t="s">
        <v>15</v>
      </c>
      <c r="G4857" s="0" t="s">
        <v>36</v>
      </c>
      <c r="H4857" s="0" t="n">
        <v>118</v>
      </c>
      <c r="I4857" s="0" t="s">
        <v>16256</v>
      </c>
      <c r="J4857" s="0" t="s">
        <v>16257</v>
      </c>
      <c r="K4857" s="0" t="s">
        <v>16258</v>
      </c>
      <c r="L4857" s="0" t="str">
        <f aca="false">HYPERLINK("https://www.ncbi.nlm.nih.gov/nuccore/CP000304.1?report=graph&amp;tracks=[key:gene_model_track,Options:GeneOnly]&amp;mk=1368099:1368118|offset_8|444444,1368134:1368153|offset_43|444444,1368161:1368180|offset_70|444444,1368209:1368228|offset_118|00cc00&amp;v=1367898:1368428&amp;c=444444", "offset 118")</f>
        <v>offset 118</v>
      </c>
    </row>
    <row r="4858" customFormat="false" ht="12.8" hidden="false" customHeight="false" outlineLevel="0" collapsed="false">
      <c r="A4858" s="0" t="s">
        <v>12</v>
      </c>
      <c r="B4858" s="0" t="n">
        <v>1369466</v>
      </c>
      <c r="C4858" s="0" t="n">
        <v>1369486</v>
      </c>
      <c r="D4858" s="0" t="s">
        <v>16259</v>
      </c>
      <c r="E4858" s="0" t="s">
        <v>16260</v>
      </c>
      <c r="F4858" s="0" t="s">
        <v>15</v>
      </c>
      <c r="G4858" s="0" t="s">
        <v>16</v>
      </c>
      <c r="H4858" s="0" t="n">
        <v>6</v>
      </c>
      <c r="I4858" s="0" t="s">
        <v>16261</v>
      </c>
      <c r="J4858" s="0" t="s">
        <v>16262</v>
      </c>
      <c r="K4858" s="0" t="s">
        <v>16263</v>
      </c>
      <c r="L4858" s="0" t="str">
        <f aca="false">HYPERLINK("https://www.ncbi.nlm.nih.gov/nuccore/CP000304.1?report=graph&amp;tracks=[key:gene_model_track,Options:GeneOnly]&amp;mk=1369467:1369486|offset_6|00cc00,1369493:1369512|offset_32|444444,1369514:1369533|offset_53|444444,1369543:1369562|offset_82|444444&amp;v=1369266:1369762&amp;c=444444", "offset 6")</f>
        <v>offset 6</v>
      </c>
    </row>
    <row r="4859" customFormat="false" ht="12.8" hidden="false" customHeight="false" outlineLevel="0" collapsed="false">
      <c r="A4859" s="0" t="s">
        <v>12</v>
      </c>
      <c r="B4859" s="0" t="n">
        <v>1369492</v>
      </c>
      <c r="C4859" s="0" t="n">
        <v>1369512</v>
      </c>
      <c r="D4859" s="0" t="s">
        <v>16259</v>
      </c>
      <c r="E4859" s="0" t="s">
        <v>16260</v>
      </c>
      <c r="F4859" s="0" t="s">
        <v>15</v>
      </c>
      <c r="G4859" s="0" t="s">
        <v>26</v>
      </c>
      <c r="H4859" s="0" t="n">
        <v>32</v>
      </c>
      <c r="I4859" s="0" t="s">
        <v>16264</v>
      </c>
      <c r="J4859" s="0" t="s">
        <v>16265</v>
      </c>
      <c r="K4859" s="0" t="s">
        <v>16266</v>
      </c>
      <c r="L4859" s="0" t="str">
        <f aca="false">HYPERLINK("https://www.ncbi.nlm.nih.gov/nuccore/CP000304.1?report=graph&amp;tracks=[key:gene_model_track,Options:GeneOnly]&amp;mk=1369467:1369486|offset_6|444444,1369493:1369512|offset_32|00cc00,1369514:1369533|offset_53|444444,1369543:1369562|offset_82|444444&amp;v=1369266:1369762&amp;c=444444", "offset 32")</f>
        <v>offset 32</v>
      </c>
    </row>
    <row r="4860" customFormat="false" ht="12.8" hidden="false" customHeight="false" outlineLevel="0" collapsed="false">
      <c r="A4860" s="0" t="s">
        <v>12</v>
      </c>
      <c r="B4860" s="0" t="n">
        <v>1369513</v>
      </c>
      <c r="C4860" s="0" t="n">
        <v>1369533</v>
      </c>
      <c r="D4860" s="0" t="s">
        <v>16259</v>
      </c>
      <c r="E4860" s="0" t="s">
        <v>16260</v>
      </c>
      <c r="F4860" s="0" t="s">
        <v>15</v>
      </c>
      <c r="G4860" s="0" t="s">
        <v>36</v>
      </c>
      <c r="H4860" s="0" t="n">
        <v>53</v>
      </c>
      <c r="I4860" s="0" t="s">
        <v>16267</v>
      </c>
      <c r="J4860" s="0" t="s">
        <v>16268</v>
      </c>
      <c r="K4860" s="0" t="s">
        <v>16269</v>
      </c>
      <c r="L4860" s="0" t="str">
        <f aca="false">HYPERLINK("https://www.ncbi.nlm.nih.gov/nuccore/CP000304.1?report=graph&amp;tracks=[key:gene_model_track,Options:GeneOnly]&amp;mk=1369467:1369486|offset_6|444444,1369493:1369512|offset_32|444444,1369514:1369533|offset_53|00cc00,1369543:1369562|offset_82|444444&amp;v=1369266:1369762&amp;c=444444", "offset 53")</f>
        <v>offset 53</v>
      </c>
    </row>
    <row r="4861" customFormat="false" ht="12.8" hidden="false" customHeight="false" outlineLevel="0" collapsed="false">
      <c r="A4861" s="0" t="s">
        <v>12</v>
      </c>
      <c r="B4861" s="0" t="n">
        <v>1369542</v>
      </c>
      <c r="C4861" s="0" t="n">
        <v>1369562</v>
      </c>
      <c r="D4861" s="0" t="s">
        <v>16259</v>
      </c>
      <c r="E4861" s="0" t="s">
        <v>16260</v>
      </c>
      <c r="F4861" s="0" t="s">
        <v>15</v>
      </c>
      <c r="G4861" s="0" t="s">
        <v>32</v>
      </c>
      <c r="H4861" s="0" t="n">
        <v>82</v>
      </c>
      <c r="I4861" s="0" t="s">
        <v>16270</v>
      </c>
      <c r="J4861" s="0" t="s">
        <v>16271</v>
      </c>
      <c r="K4861" s="0" t="s">
        <v>16272</v>
      </c>
      <c r="L4861" s="0" t="str">
        <f aca="false">HYPERLINK("https://www.ncbi.nlm.nih.gov/nuccore/CP000304.1?report=graph&amp;tracks=[key:gene_model_track,Options:GeneOnly]&amp;mk=1369467:1369486|offset_6|444444,1369493:1369512|offset_32|444444,1369514:1369533|offset_53|444444,1369543:1369562|offset_82|00cc00&amp;v=1369266:1369762&amp;c=444444", "offset 82")</f>
        <v>offset 82</v>
      </c>
    </row>
    <row r="4862" customFormat="false" ht="12.8" hidden="false" customHeight="false" outlineLevel="0" collapsed="false">
      <c r="A4862" s="0" t="s">
        <v>12</v>
      </c>
      <c r="B4862" s="0" t="n">
        <v>1370372</v>
      </c>
      <c r="C4862" s="0" t="n">
        <v>1370392</v>
      </c>
      <c r="D4862" s="0" t="s">
        <v>16273</v>
      </c>
      <c r="E4862" s="0" t="s">
        <v>16274</v>
      </c>
      <c r="F4862" s="0" t="s">
        <v>15</v>
      </c>
      <c r="G4862" s="0" t="s">
        <v>16</v>
      </c>
      <c r="H4862" s="0" t="n">
        <v>28</v>
      </c>
      <c r="I4862" s="0" t="s">
        <v>16275</v>
      </c>
      <c r="J4862" s="0" t="s">
        <v>16276</v>
      </c>
      <c r="K4862" s="0" t="s">
        <v>16277</v>
      </c>
      <c r="L4862" s="0" t="str">
        <f aca="false">HYPERLINK("https://www.ncbi.nlm.nih.gov/nuccore/CP000304.1?report=graph&amp;tracks=[key:gene_model_track,Options:GeneOnly]&amp;mk=1370373:1370392|offset_28|00cc00,1370409:1370428|offset_64|444444,1370451:1370470|offset_106|444444,1370472:1370491|offset_127|444444&amp;v=1370172:1370691&amp;c=444444", "offset 28")</f>
        <v>offset 28</v>
      </c>
    </row>
    <row r="4863" customFormat="false" ht="12.8" hidden="false" customHeight="false" outlineLevel="0" collapsed="false">
      <c r="A4863" s="0" t="s">
        <v>12</v>
      </c>
      <c r="B4863" s="0" t="n">
        <v>1370408</v>
      </c>
      <c r="C4863" s="0" t="n">
        <v>1370428</v>
      </c>
      <c r="D4863" s="0" t="s">
        <v>16273</v>
      </c>
      <c r="E4863" s="0" t="s">
        <v>16274</v>
      </c>
      <c r="F4863" s="0" t="s">
        <v>15</v>
      </c>
      <c r="G4863" s="0" t="s">
        <v>36</v>
      </c>
      <c r="H4863" s="0" t="n">
        <v>64</v>
      </c>
      <c r="I4863" s="0" t="s">
        <v>16278</v>
      </c>
      <c r="J4863" s="0" t="s">
        <v>16279</v>
      </c>
      <c r="K4863" s="0" t="s">
        <v>16280</v>
      </c>
      <c r="L4863" s="0" t="str">
        <f aca="false">HYPERLINK("https://www.ncbi.nlm.nih.gov/nuccore/CP000304.1?report=graph&amp;tracks=[key:gene_model_track,Options:GeneOnly]&amp;mk=1370373:1370392|offset_28|444444,1370409:1370428|offset_64|00cc00,1370451:1370470|offset_106|444444,1370472:1370491|offset_127|444444&amp;v=1370172:1370691&amp;c=444444", "offset 64")</f>
        <v>offset 64</v>
      </c>
    </row>
    <row r="4864" customFormat="false" ht="12.8" hidden="false" customHeight="false" outlineLevel="0" collapsed="false">
      <c r="A4864" s="0" t="s">
        <v>12</v>
      </c>
      <c r="B4864" s="0" t="n">
        <v>1370450</v>
      </c>
      <c r="C4864" s="0" t="n">
        <v>1370470</v>
      </c>
      <c r="D4864" s="0" t="s">
        <v>16273</v>
      </c>
      <c r="E4864" s="0" t="s">
        <v>16274</v>
      </c>
      <c r="F4864" s="0" t="s">
        <v>15</v>
      </c>
      <c r="G4864" s="0" t="s">
        <v>16</v>
      </c>
      <c r="H4864" s="0" t="n">
        <v>106</v>
      </c>
      <c r="I4864" s="0" t="s">
        <v>16281</v>
      </c>
      <c r="J4864" s="0" t="s">
        <v>16282</v>
      </c>
      <c r="K4864" s="0" t="s">
        <v>16283</v>
      </c>
      <c r="L4864" s="0" t="str">
        <f aca="false">HYPERLINK("https://www.ncbi.nlm.nih.gov/nuccore/CP000304.1?report=graph&amp;tracks=[key:gene_model_track,Options:GeneOnly]&amp;mk=1370373:1370392|offset_28|444444,1370409:1370428|offset_64|444444,1370451:1370470|offset_106|00cc00,1370472:1370491|offset_127|444444&amp;v=1370172:1370691&amp;c=444444", "offset 106")</f>
        <v>offset 106</v>
      </c>
    </row>
    <row r="4865" customFormat="false" ht="12.8" hidden="false" customHeight="false" outlineLevel="0" collapsed="false">
      <c r="A4865" s="0" t="s">
        <v>12</v>
      </c>
      <c r="B4865" s="0" t="n">
        <v>1370471</v>
      </c>
      <c r="C4865" s="0" t="n">
        <v>1370491</v>
      </c>
      <c r="D4865" s="0" t="s">
        <v>16273</v>
      </c>
      <c r="E4865" s="0" t="s">
        <v>16274</v>
      </c>
      <c r="F4865" s="0" t="s">
        <v>15</v>
      </c>
      <c r="G4865" s="0" t="s">
        <v>36</v>
      </c>
      <c r="H4865" s="0" t="n">
        <v>127</v>
      </c>
      <c r="I4865" s="0" t="s">
        <v>16284</v>
      </c>
      <c r="J4865" s="0" t="s">
        <v>16285</v>
      </c>
      <c r="K4865" s="0" t="s">
        <v>16286</v>
      </c>
      <c r="L4865" s="0" t="str">
        <f aca="false">HYPERLINK("https://www.ncbi.nlm.nih.gov/nuccore/CP000304.1?report=graph&amp;tracks=[key:gene_model_track,Options:GeneOnly]&amp;mk=1370373:1370392|offset_28|444444,1370409:1370428|offset_64|444444,1370451:1370470|offset_106|444444,1370472:1370491|offset_127|00cc00&amp;v=1370172:1370691&amp;c=444444", "offset 127")</f>
        <v>offset 127</v>
      </c>
    </row>
    <row r="4866" customFormat="false" ht="12.8" hidden="false" customHeight="false" outlineLevel="0" collapsed="false">
      <c r="A4866" s="0" t="s">
        <v>12</v>
      </c>
      <c r="B4866" s="0" t="n">
        <v>1371780</v>
      </c>
      <c r="C4866" s="0" t="n">
        <v>1371800</v>
      </c>
      <c r="D4866" s="0" t="s">
        <v>16287</v>
      </c>
      <c r="E4866" s="0" t="s">
        <v>89</v>
      </c>
      <c r="F4866" s="0" t="s">
        <v>90</v>
      </c>
      <c r="G4866" s="0" t="s">
        <v>26</v>
      </c>
      <c r="H4866" s="0" t="n">
        <v>8</v>
      </c>
      <c r="I4866" s="0" t="s">
        <v>16288</v>
      </c>
      <c r="J4866" s="0" t="s">
        <v>16289</v>
      </c>
      <c r="K4866" s="0" t="s">
        <v>16290</v>
      </c>
      <c r="L4866" s="0" t="str">
        <f aca="false">HYPERLINK("https://www.ncbi.nlm.nih.gov/nuccore/CP000304.1?report=graph&amp;tracks=[key:gene_model_track,Options:GeneOnly]&amp;mk=1371781:1371800|offset_8|00cc00,1371745:1371764|offset_44|444444,1371712:1371731|offset_77|444444,1371680:1371699|offset_109|444444&amp;v=1371580:1371899&amp;c=444444", "offset 8")</f>
        <v>offset 8</v>
      </c>
    </row>
    <row r="4867" customFormat="false" ht="12.8" hidden="false" customHeight="false" outlineLevel="0" collapsed="false">
      <c r="A4867" s="0" t="s">
        <v>12</v>
      </c>
      <c r="B4867" s="0" t="n">
        <v>1371744</v>
      </c>
      <c r="C4867" s="0" t="n">
        <v>1371764</v>
      </c>
      <c r="D4867" s="0" t="s">
        <v>16287</v>
      </c>
      <c r="E4867" s="0" t="s">
        <v>89</v>
      </c>
      <c r="F4867" s="0" t="s">
        <v>90</v>
      </c>
      <c r="G4867" s="0" t="s">
        <v>16</v>
      </c>
      <c r="H4867" s="0" t="n">
        <v>44</v>
      </c>
      <c r="I4867" s="0" t="s">
        <v>16291</v>
      </c>
      <c r="J4867" s="0" t="s">
        <v>16292</v>
      </c>
      <c r="K4867" s="0" t="s">
        <v>16293</v>
      </c>
      <c r="L4867" s="0" t="str">
        <f aca="false">HYPERLINK("https://www.ncbi.nlm.nih.gov/nuccore/CP000304.1?report=graph&amp;tracks=[key:gene_model_track,Options:GeneOnly]&amp;mk=1371781:1371800|offset_8|444444,1371745:1371764|offset_44|00cc00,1371712:1371731|offset_77|444444,1371680:1371699|offset_109|444444&amp;v=1371580:1371899&amp;c=444444", "offset 44")</f>
        <v>offset 44</v>
      </c>
    </row>
    <row r="4868" customFormat="false" ht="12.8" hidden="false" customHeight="false" outlineLevel="0" collapsed="false">
      <c r="A4868" s="0" t="s">
        <v>12</v>
      </c>
      <c r="B4868" s="0" t="n">
        <v>1371711</v>
      </c>
      <c r="C4868" s="0" t="n">
        <v>1371731</v>
      </c>
      <c r="D4868" s="0" t="s">
        <v>16287</v>
      </c>
      <c r="E4868" s="0" t="s">
        <v>89</v>
      </c>
      <c r="F4868" s="0" t="s">
        <v>90</v>
      </c>
      <c r="G4868" s="0" t="s">
        <v>16</v>
      </c>
      <c r="H4868" s="0" t="n">
        <v>77</v>
      </c>
      <c r="I4868" s="0" t="s">
        <v>16294</v>
      </c>
      <c r="J4868" s="0" t="s">
        <v>16295</v>
      </c>
      <c r="K4868" s="0" t="s">
        <v>16296</v>
      </c>
      <c r="L4868" s="0" t="str">
        <f aca="false">HYPERLINK("https://www.ncbi.nlm.nih.gov/nuccore/CP000304.1?report=graph&amp;tracks=[key:gene_model_track,Options:GeneOnly]&amp;mk=1371781:1371800|offset_8|444444,1371745:1371764|offset_44|444444,1371712:1371731|offset_77|00cc00,1371680:1371699|offset_109|444444&amp;v=1371580:1371899&amp;c=444444", "offset 77")</f>
        <v>offset 77</v>
      </c>
    </row>
    <row r="4869" customFormat="false" ht="12.8" hidden="false" customHeight="false" outlineLevel="0" collapsed="false">
      <c r="A4869" s="0" t="s">
        <v>12</v>
      </c>
      <c r="B4869" s="0" t="n">
        <v>1371679</v>
      </c>
      <c r="C4869" s="0" t="n">
        <v>1371699</v>
      </c>
      <c r="D4869" s="0" t="s">
        <v>16287</v>
      </c>
      <c r="E4869" s="0" t="s">
        <v>89</v>
      </c>
      <c r="F4869" s="0" t="s">
        <v>90</v>
      </c>
      <c r="G4869" s="0" t="s">
        <v>36</v>
      </c>
      <c r="H4869" s="0" t="n">
        <v>109</v>
      </c>
      <c r="I4869" s="0" t="s">
        <v>16297</v>
      </c>
      <c r="J4869" s="0" t="s">
        <v>16298</v>
      </c>
      <c r="K4869" s="0" t="s">
        <v>16299</v>
      </c>
      <c r="L4869" s="0" t="str">
        <f aca="false">HYPERLINK("https://www.ncbi.nlm.nih.gov/nuccore/CP000304.1?report=graph&amp;tracks=[key:gene_model_track,Options:GeneOnly]&amp;mk=1371781:1371800|offset_8|444444,1371745:1371764|offset_44|444444,1371712:1371731|offset_77|444444,1371680:1371699|offset_109|00cc00&amp;v=1371580:1371899&amp;c=444444", "offset 109")</f>
        <v>offset 109</v>
      </c>
    </row>
    <row r="4870" customFormat="false" ht="12.8" hidden="false" customHeight="false" outlineLevel="0" collapsed="false">
      <c r="A4870" s="0" t="s">
        <v>12</v>
      </c>
      <c r="B4870" s="0" t="n">
        <v>1374110</v>
      </c>
      <c r="C4870" s="0" t="n">
        <v>1374130</v>
      </c>
      <c r="D4870" s="0" t="s">
        <v>16300</v>
      </c>
      <c r="E4870" s="0" t="s">
        <v>16301</v>
      </c>
      <c r="F4870" s="0" t="s">
        <v>90</v>
      </c>
      <c r="G4870" s="0" t="s">
        <v>32</v>
      </c>
      <c r="H4870" s="0" t="n">
        <v>20</v>
      </c>
      <c r="I4870" s="0" t="s">
        <v>16302</v>
      </c>
      <c r="J4870" s="0" t="s">
        <v>16303</v>
      </c>
      <c r="K4870" s="0" t="s">
        <v>16304</v>
      </c>
      <c r="L4870" s="0" t="str">
        <f aca="false">HYPERLINK("https://www.ncbi.nlm.nih.gov/nuccore/CP000304.1?report=graph&amp;tracks=[key:gene_model_track,Options:GeneOnly]&amp;mk=1374111:1374130|offset_20|00cc00,1374091:1374110|offset_40|444444,1374069:1374088|offset_62|444444,1374049:1374068|offset_82|444444&amp;v=1373910:1374268&amp;c=444444", "offset 20")</f>
        <v>offset 20</v>
      </c>
    </row>
    <row r="4871" customFormat="false" ht="12.8" hidden="false" customHeight="false" outlineLevel="0" collapsed="false">
      <c r="A4871" s="0" t="s">
        <v>12</v>
      </c>
      <c r="B4871" s="0" t="n">
        <v>1374090</v>
      </c>
      <c r="C4871" s="0" t="n">
        <v>1374110</v>
      </c>
      <c r="D4871" s="0" t="s">
        <v>16300</v>
      </c>
      <c r="E4871" s="0" t="s">
        <v>16301</v>
      </c>
      <c r="F4871" s="0" t="s">
        <v>90</v>
      </c>
      <c r="G4871" s="0" t="s">
        <v>32</v>
      </c>
      <c r="H4871" s="0" t="n">
        <v>40</v>
      </c>
      <c r="I4871" s="0" t="s">
        <v>16305</v>
      </c>
      <c r="J4871" s="0" t="s">
        <v>16306</v>
      </c>
      <c r="K4871" s="0" t="s">
        <v>16307</v>
      </c>
      <c r="L4871" s="0" t="str">
        <f aca="false">HYPERLINK("https://www.ncbi.nlm.nih.gov/nuccore/CP000304.1?report=graph&amp;tracks=[key:gene_model_track,Options:GeneOnly]&amp;mk=1374111:1374130|offset_20|444444,1374091:1374110|offset_40|00cc00,1374069:1374088|offset_62|444444,1374049:1374068|offset_82|444444&amp;v=1373910:1374268&amp;c=444444", "offset 40")</f>
        <v>offset 40</v>
      </c>
    </row>
    <row r="4872" customFormat="false" ht="12.8" hidden="false" customHeight="false" outlineLevel="0" collapsed="false">
      <c r="A4872" s="0" t="s">
        <v>12</v>
      </c>
      <c r="B4872" s="0" t="n">
        <v>1374068</v>
      </c>
      <c r="C4872" s="0" t="n">
        <v>1374088</v>
      </c>
      <c r="D4872" s="0" t="s">
        <v>16300</v>
      </c>
      <c r="E4872" s="0" t="s">
        <v>16301</v>
      </c>
      <c r="F4872" s="0" t="s">
        <v>90</v>
      </c>
      <c r="G4872" s="0" t="s">
        <v>26</v>
      </c>
      <c r="H4872" s="0" t="n">
        <v>62</v>
      </c>
      <c r="I4872" s="0" t="s">
        <v>16308</v>
      </c>
      <c r="J4872" s="0" t="s">
        <v>16309</v>
      </c>
      <c r="K4872" s="0" t="s">
        <v>16310</v>
      </c>
      <c r="L4872" s="0" t="str">
        <f aca="false">HYPERLINK("https://www.ncbi.nlm.nih.gov/nuccore/CP000304.1?report=graph&amp;tracks=[key:gene_model_track,Options:GeneOnly]&amp;mk=1374111:1374130|offset_20|444444,1374091:1374110|offset_40|444444,1374069:1374088|offset_62|00cc00,1374049:1374068|offset_82|444444&amp;v=1373910:1374268&amp;c=444444", "offset 62")</f>
        <v>offset 62</v>
      </c>
    </row>
    <row r="4873" customFormat="false" ht="12.8" hidden="false" customHeight="false" outlineLevel="0" collapsed="false">
      <c r="A4873" s="0" t="s">
        <v>12</v>
      </c>
      <c r="B4873" s="0" t="n">
        <v>1374048</v>
      </c>
      <c r="C4873" s="0" t="n">
        <v>1374068</v>
      </c>
      <c r="D4873" s="0" t="s">
        <v>16300</v>
      </c>
      <c r="E4873" s="0" t="s">
        <v>16301</v>
      </c>
      <c r="F4873" s="0" t="s">
        <v>90</v>
      </c>
      <c r="G4873" s="0" t="s">
        <v>26</v>
      </c>
      <c r="H4873" s="0" t="n">
        <v>82</v>
      </c>
      <c r="I4873" s="0" t="s">
        <v>16311</v>
      </c>
      <c r="J4873" s="0" t="s">
        <v>16312</v>
      </c>
      <c r="K4873" s="0" t="s">
        <v>16313</v>
      </c>
      <c r="L4873" s="0" t="str">
        <f aca="false">HYPERLINK("https://www.ncbi.nlm.nih.gov/nuccore/CP000304.1?report=graph&amp;tracks=[key:gene_model_track,Options:GeneOnly]&amp;mk=1374111:1374130|offset_20|444444,1374091:1374110|offset_40|444444,1374069:1374088|offset_62|444444,1374049:1374068|offset_82|00cc00&amp;v=1373910:1374268&amp;c=444444", "offset 82")</f>
        <v>offset 82</v>
      </c>
    </row>
    <row r="4874" customFormat="false" ht="12.8" hidden="false" customHeight="false" outlineLevel="0" collapsed="false">
      <c r="A4874" s="0" t="s">
        <v>12</v>
      </c>
      <c r="B4874" s="0" t="n">
        <v>1374282</v>
      </c>
      <c r="C4874" s="0" t="n">
        <v>1374302</v>
      </c>
      <c r="D4874" s="0" t="s">
        <v>16314</v>
      </c>
      <c r="E4874" s="0" t="s">
        <v>89</v>
      </c>
      <c r="F4874" s="0" t="s">
        <v>15</v>
      </c>
      <c r="G4874" s="0" t="s">
        <v>32</v>
      </c>
      <c r="H4874" s="0" t="n">
        <v>1</v>
      </c>
      <c r="I4874" s="0" t="s">
        <v>16315</v>
      </c>
      <c r="J4874" s="0" t="s">
        <v>16316</v>
      </c>
      <c r="K4874" s="0" t="s">
        <v>16317</v>
      </c>
      <c r="L4874" s="0" t="str">
        <f aca="false">HYPERLINK("https://www.ncbi.nlm.nih.gov/nuccore/CP000304.1?report=graph&amp;tracks=[key:gene_model_track,Options:GeneOnly]&amp;mk=1374283:1374302|offset_1|00cc00,1374313:1374332|offset_31|444444,1374335:1374354|offset_53|444444,1374364:1374383|offset_82|444444&amp;v=1374082:1374583&amp;c=444444", "offset 1")</f>
        <v>offset 1</v>
      </c>
    </row>
    <row r="4875" customFormat="false" ht="12.8" hidden="false" customHeight="false" outlineLevel="0" collapsed="false">
      <c r="A4875" s="0" t="s">
        <v>12</v>
      </c>
      <c r="B4875" s="0" t="n">
        <v>1374312</v>
      </c>
      <c r="C4875" s="0" t="n">
        <v>1374332</v>
      </c>
      <c r="D4875" s="0" t="s">
        <v>16314</v>
      </c>
      <c r="E4875" s="0" t="s">
        <v>89</v>
      </c>
      <c r="F4875" s="0" t="s">
        <v>15</v>
      </c>
      <c r="G4875" s="0" t="s">
        <v>16</v>
      </c>
      <c r="H4875" s="0" t="n">
        <v>31</v>
      </c>
      <c r="I4875" s="0" t="s">
        <v>16318</v>
      </c>
      <c r="J4875" s="0" t="s">
        <v>16319</v>
      </c>
      <c r="K4875" s="0" t="s">
        <v>16320</v>
      </c>
      <c r="L4875" s="0" t="str">
        <f aca="false">HYPERLINK("https://www.ncbi.nlm.nih.gov/nuccore/CP000304.1?report=graph&amp;tracks=[key:gene_model_track,Options:GeneOnly]&amp;mk=1374283:1374302|offset_1|444444,1374313:1374332|offset_31|00cc00,1374335:1374354|offset_53|444444,1374364:1374383|offset_82|444444&amp;v=1374082:1374583&amp;c=444444", "offset 31")</f>
        <v>offset 31</v>
      </c>
    </row>
    <row r="4876" customFormat="false" ht="12.8" hidden="false" customHeight="false" outlineLevel="0" collapsed="false">
      <c r="A4876" s="0" t="s">
        <v>12</v>
      </c>
      <c r="B4876" s="0" t="n">
        <v>1374334</v>
      </c>
      <c r="C4876" s="0" t="n">
        <v>1374354</v>
      </c>
      <c r="D4876" s="0" t="s">
        <v>16314</v>
      </c>
      <c r="E4876" s="0" t="s">
        <v>89</v>
      </c>
      <c r="F4876" s="0" t="s">
        <v>15</v>
      </c>
      <c r="G4876" s="0" t="s">
        <v>36</v>
      </c>
      <c r="H4876" s="0" t="n">
        <v>53</v>
      </c>
      <c r="I4876" s="0" t="s">
        <v>16321</v>
      </c>
      <c r="J4876" s="0" t="s">
        <v>16322</v>
      </c>
      <c r="K4876" s="0" t="s">
        <v>16323</v>
      </c>
      <c r="L4876" s="0" t="str">
        <f aca="false">HYPERLINK("https://www.ncbi.nlm.nih.gov/nuccore/CP000304.1?report=graph&amp;tracks=[key:gene_model_track,Options:GeneOnly]&amp;mk=1374283:1374302|offset_1|444444,1374313:1374332|offset_31|444444,1374335:1374354|offset_53|00cc00,1374364:1374383|offset_82|444444&amp;v=1374082:1374583&amp;c=444444", "offset 53")</f>
        <v>offset 53</v>
      </c>
    </row>
    <row r="4877" customFormat="false" ht="12.8" hidden="false" customHeight="false" outlineLevel="0" collapsed="false">
      <c r="A4877" s="0" t="s">
        <v>12</v>
      </c>
      <c r="B4877" s="0" t="n">
        <v>1374363</v>
      </c>
      <c r="C4877" s="0" t="n">
        <v>1374383</v>
      </c>
      <c r="D4877" s="0" t="s">
        <v>16314</v>
      </c>
      <c r="E4877" s="0" t="s">
        <v>89</v>
      </c>
      <c r="F4877" s="0" t="s">
        <v>15</v>
      </c>
      <c r="G4877" s="0" t="s">
        <v>16</v>
      </c>
      <c r="H4877" s="0" t="n">
        <v>82</v>
      </c>
      <c r="I4877" s="0" t="s">
        <v>16324</v>
      </c>
      <c r="J4877" s="0" t="s">
        <v>16325</v>
      </c>
      <c r="K4877" s="0" t="s">
        <v>16326</v>
      </c>
      <c r="L4877" s="0" t="str">
        <f aca="false">HYPERLINK("https://www.ncbi.nlm.nih.gov/nuccore/CP000304.1?report=graph&amp;tracks=[key:gene_model_track,Options:GeneOnly]&amp;mk=1374283:1374302|offset_1|444444,1374313:1374332|offset_31|444444,1374335:1374354|offset_53|444444,1374364:1374383|offset_82|00cc00&amp;v=1374082:1374583&amp;c=444444", "offset 82")</f>
        <v>offset 82</v>
      </c>
    </row>
    <row r="4878" customFormat="false" ht="12.8" hidden="false" customHeight="false" outlineLevel="0" collapsed="false">
      <c r="A4878" s="0" t="s">
        <v>12</v>
      </c>
      <c r="B4878" s="0" t="n">
        <v>1375662</v>
      </c>
      <c r="C4878" s="0" t="n">
        <v>1375682</v>
      </c>
      <c r="D4878" s="0" t="s">
        <v>16327</v>
      </c>
      <c r="E4878" s="0" t="s">
        <v>89</v>
      </c>
      <c r="F4878" s="0" t="s">
        <v>90</v>
      </c>
      <c r="G4878" s="0" t="s">
        <v>32</v>
      </c>
      <c r="H4878" s="0" t="n">
        <v>7</v>
      </c>
      <c r="I4878" s="0" t="s">
        <v>16328</v>
      </c>
      <c r="J4878" s="0" t="s">
        <v>16329</v>
      </c>
      <c r="K4878" s="0" t="s">
        <v>16330</v>
      </c>
      <c r="L4878" s="0" t="str">
        <f aca="false">HYPERLINK("https://www.ncbi.nlm.nih.gov/nuccore/CP000304.1?report=graph&amp;tracks=[key:gene_model_track,Options:GeneOnly]&amp;mk=1375663:1375682|offset_7|00cc00,1375601:1375620|offset_69|444444,1375569:1375588|offset_101|444444,1375527:1375546|offset_143|444444&amp;v=1375462:1375746&amp;c=444444", "offset 7")</f>
        <v>offset 7</v>
      </c>
    </row>
    <row r="4879" customFormat="false" ht="12.8" hidden="false" customHeight="false" outlineLevel="0" collapsed="false">
      <c r="A4879" s="0" t="s">
        <v>12</v>
      </c>
      <c r="B4879" s="0" t="n">
        <v>1375600</v>
      </c>
      <c r="C4879" s="0" t="n">
        <v>1375620</v>
      </c>
      <c r="D4879" s="0" t="s">
        <v>16327</v>
      </c>
      <c r="E4879" s="0" t="s">
        <v>89</v>
      </c>
      <c r="F4879" s="0" t="s">
        <v>90</v>
      </c>
      <c r="G4879" s="0" t="s">
        <v>16</v>
      </c>
      <c r="H4879" s="0" t="n">
        <v>69</v>
      </c>
      <c r="I4879" s="0" t="s">
        <v>16331</v>
      </c>
      <c r="J4879" s="0" t="s">
        <v>16332</v>
      </c>
      <c r="K4879" s="0" t="s">
        <v>16333</v>
      </c>
      <c r="L4879" s="0" t="str">
        <f aca="false">HYPERLINK("https://www.ncbi.nlm.nih.gov/nuccore/CP000304.1?report=graph&amp;tracks=[key:gene_model_track,Options:GeneOnly]&amp;mk=1375663:1375682|offset_7|444444,1375601:1375620|offset_69|00cc00,1375569:1375588|offset_101|444444,1375527:1375546|offset_143|444444&amp;v=1375462:1375746&amp;c=444444", "offset 69")</f>
        <v>offset 69</v>
      </c>
    </row>
    <row r="4880" customFormat="false" ht="12.8" hidden="false" customHeight="false" outlineLevel="0" collapsed="false">
      <c r="A4880" s="0" t="s">
        <v>12</v>
      </c>
      <c r="B4880" s="0" t="n">
        <v>1375568</v>
      </c>
      <c r="C4880" s="0" t="n">
        <v>1375588</v>
      </c>
      <c r="D4880" s="0" t="s">
        <v>16327</v>
      </c>
      <c r="E4880" s="0" t="s">
        <v>89</v>
      </c>
      <c r="F4880" s="0" t="s">
        <v>90</v>
      </c>
      <c r="G4880" s="0" t="s">
        <v>16</v>
      </c>
      <c r="H4880" s="0" t="n">
        <v>101</v>
      </c>
      <c r="I4880" s="0" t="s">
        <v>16334</v>
      </c>
      <c r="J4880" s="0" t="s">
        <v>16335</v>
      </c>
      <c r="K4880" s="0" t="s">
        <v>16336</v>
      </c>
      <c r="L4880" s="0" t="str">
        <f aca="false">HYPERLINK("https://www.ncbi.nlm.nih.gov/nuccore/CP000304.1?report=graph&amp;tracks=[key:gene_model_track,Options:GeneOnly]&amp;mk=1375663:1375682|offset_7|444444,1375601:1375620|offset_69|444444,1375569:1375588|offset_101|00cc00,1375527:1375546|offset_143|444444&amp;v=1375462:1375746&amp;c=444444", "offset 101")</f>
        <v>offset 101</v>
      </c>
    </row>
    <row r="4881" customFormat="false" ht="12.8" hidden="false" customHeight="false" outlineLevel="0" collapsed="false">
      <c r="A4881" s="0" t="s">
        <v>12</v>
      </c>
      <c r="B4881" s="0" t="n">
        <v>1375526</v>
      </c>
      <c r="C4881" s="0" t="n">
        <v>1375546</v>
      </c>
      <c r="D4881" s="0" t="s">
        <v>16327</v>
      </c>
      <c r="E4881" s="0" t="s">
        <v>89</v>
      </c>
      <c r="F4881" s="0" t="s">
        <v>90</v>
      </c>
      <c r="G4881" s="0" t="s">
        <v>32</v>
      </c>
      <c r="H4881" s="0" t="n">
        <v>143</v>
      </c>
      <c r="I4881" s="0" t="s">
        <v>16337</v>
      </c>
      <c r="J4881" s="0" t="s">
        <v>16338</v>
      </c>
      <c r="K4881" s="0" t="s">
        <v>16339</v>
      </c>
      <c r="L4881" s="0" t="str">
        <f aca="false">HYPERLINK("https://www.ncbi.nlm.nih.gov/nuccore/CP000304.1?report=graph&amp;tracks=[key:gene_model_track,Options:GeneOnly]&amp;mk=1375663:1375682|offset_7|444444,1375601:1375620|offset_69|444444,1375569:1375588|offset_101|444444,1375527:1375546|offset_143|00cc00&amp;v=1375462:1375746&amp;c=444444", "offset 143")</f>
        <v>offset 143</v>
      </c>
    </row>
    <row r="4882" customFormat="false" ht="12.8" hidden="false" customHeight="false" outlineLevel="0" collapsed="false">
      <c r="A4882" s="0" t="s">
        <v>12</v>
      </c>
      <c r="B4882" s="0" t="n">
        <v>1376093</v>
      </c>
      <c r="C4882" s="0" t="n">
        <v>1376113</v>
      </c>
      <c r="D4882" s="0" t="s">
        <v>16340</v>
      </c>
      <c r="E4882" s="0" t="s">
        <v>16341</v>
      </c>
      <c r="F4882" s="0" t="s">
        <v>15</v>
      </c>
      <c r="G4882" s="0" t="s">
        <v>32</v>
      </c>
      <c r="H4882" s="0" t="n">
        <v>26</v>
      </c>
      <c r="I4882" s="0" t="s">
        <v>16342</v>
      </c>
      <c r="J4882" s="0" t="s">
        <v>16343</v>
      </c>
      <c r="K4882" s="0" t="s">
        <v>16344</v>
      </c>
      <c r="L4882" s="0" t="str">
        <f aca="false">HYPERLINK("https://www.ncbi.nlm.nih.gov/nuccore/CP000304.1?report=graph&amp;tracks=[key:gene_model_track,Options:GeneOnly]&amp;mk=1376094:1376113|offset_26|00cc00,1376118:1376137|offset_50|444444,1376141:1376160|offset_73|444444,1376189:1376208|offset_121|444444&amp;v=1375893:1376408&amp;c=444444", "offset 26")</f>
        <v>offset 26</v>
      </c>
    </row>
    <row r="4883" customFormat="false" ht="12.8" hidden="false" customHeight="false" outlineLevel="0" collapsed="false">
      <c r="A4883" s="0" t="s">
        <v>12</v>
      </c>
      <c r="B4883" s="0" t="n">
        <v>1376117</v>
      </c>
      <c r="C4883" s="0" t="n">
        <v>1376137</v>
      </c>
      <c r="D4883" s="0" t="s">
        <v>16340</v>
      </c>
      <c r="E4883" s="0" t="s">
        <v>16341</v>
      </c>
      <c r="F4883" s="0" t="s">
        <v>15</v>
      </c>
      <c r="G4883" s="0" t="s">
        <v>16</v>
      </c>
      <c r="H4883" s="0" t="n">
        <v>50</v>
      </c>
      <c r="I4883" s="0" t="s">
        <v>16345</v>
      </c>
      <c r="J4883" s="0" t="s">
        <v>16346</v>
      </c>
      <c r="K4883" s="0" t="s">
        <v>16347</v>
      </c>
      <c r="L4883" s="0" t="str">
        <f aca="false">HYPERLINK("https://www.ncbi.nlm.nih.gov/nuccore/CP000304.1?report=graph&amp;tracks=[key:gene_model_track,Options:GeneOnly]&amp;mk=1376094:1376113|offset_26|444444,1376118:1376137|offset_50|00cc00,1376141:1376160|offset_73|444444,1376189:1376208|offset_121|444444&amp;v=1375893:1376408&amp;c=444444", "offset 50")</f>
        <v>offset 50</v>
      </c>
    </row>
    <row r="4884" customFormat="false" ht="12.8" hidden="false" customHeight="false" outlineLevel="0" collapsed="false">
      <c r="A4884" s="0" t="s">
        <v>12</v>
      </c>
      <c r="B4884" s="0" t="n">
        <v>1376140</v>
      </c>
      <c r="C4884" s="0" t="n">
        <v>1376160</v>
      </c>
      <c r="D4884" s="0" t="s">
        <v>16340</v>
      </c>
      <c r="E4884" s="0" t="s">
        <v>16341</v>
      </c>
      <c r="F4884" s="0" t="s">
        <v>15</v>
      </c>
      <c r="G4884" s="0" t="s">
        <v>32</v>
      </c>
      <c r="H4884" s="0" t="n">
        <v>73</v>
      </c>
      <c r="I4884" s="0" t="s">
        <v>16348</v>
      </c>
      <c r="J4884" s="0" t="s">
        <v>16349</v>
      </c>
      <c r="K4884" s="0" t="s">
        <v>16350</v>
      </c>
      <c r="L4884" s="0" t="str">
        <f aca="false">HYPERLINK("https://www.ncbi.nlm.nih.gov/nuccore/CP000304.1?report=graph&amp;tracks=[key:gene_model_track,Options:GeneOnly]&amp;mk=1376094:1376113|offset_26|444444,1376118:1376137|offset_50|444444,1376141:1376160|offset_73|00cc00,1376189:1376208|offset_121|444444&amp;v=1375893:1376408&amp;c=444444", "offset 73")</f>
        <v>offset 73</v>
      </c>
    </row>
    <row r="4885" customFormat="false" ht="12.8" hidden="false" customHeight="false" outlineLevel="0" collapsed="false">
      <c r="A4885" s="0" t="s">
        <v>12</v>
      </c>
      <c r="B4885" s="0" t="n">
        <v>1376188</v>
      </c>
      <c r="C4885" s="0" t="n">
        <v>1376208</v>
      </c>
      <c r="D4885" s="0" t="s">
        <v>16340</v>
      </c>
      <c r="E4885" s="0" t="s">
        <v>16341</v>
      </c>
      <c r="F4885" s="0" t="s">
        <v>15</v>
      </c>
      <c r="G4885" s="0" t="s">
        <v>32</v>
      </c>
      <c r="H4885" s="0" t="n">
        <v>121</v>
      </c>
      <c r="I4885" s="0" t="s">
        <v>16351</v>
      </c>
      <c r="J4885" s="0" t="s">
        <v>16352</v>
      </c>
      <c r="K4885" s="0" t="s">
        <v>16353</v>
      </c>
      <c r="L4885" s="0" t="str">
        <f aca="false">HYPERLINK("https://www.ncbi.nlm.nih.gov/nuccore/CP000304.1?report=graph&amp;tracks=[key:gene_model_track,Options:GeneOnly]&amp;mk=1376094:1376113|offset_26|444444,1376118:1376137|offset_50|444444,1376141:1376160|offset_73|444444,1376189:1376208|offset_121|00cc00&amp;v=1375893:1376408&amp;c=444444", "offset 121")</f>
        <v>offset 121</v>
      </c>
    </row>
    <row r="4886" customFormat="false" ht="12.8" hidden="false" customHeight="false" outlineLevel="0" collapsed="false">
      <c r="A4886" s="0" t="s">
        <v>12</v>
      </c>
      <c r="B4886" s="0" t="n">
        <v>1377180</v>
      </c>
      <c r="C4886" s="0" t="n">
        <v>1377200</v>
      </c>
      <c r="D4886" s="0" t="s">
        <v>16354</v>
      </c>
      <c r="E4886" s="0" t="s">
        <v>16355</v>
      </c>
      <c r="F4886" s="0" t="s">
        <v>90</v>
      </c>
      <c r="G4886" s="0" t="s">
        <v>16</v>
      </c>
      <c r="H4886" s="0" t="n">
        <v>40</v>
      </c>
      <c r="I4886" s="0" t="s">
        <v>16356</v>
      </c>
      <c r="J4886" s="0" t="s">
        <v>16357</v>
      </c>
      <c r="K4886" s="0" t="s">
        <v>16358</v>
      </c>
      <c r="L4886" s="0" t="str">
        <f aca="false">HYPERLINK("https://www.ncbi.nlm.nih.gov/nuccore/CP000304.1?report=graph&amp;tracks=[key:gene_model_track,Options:GeneOnly]&amp;mk=1377181:1377200|offset_40|00cc00,1377150:1377169|offset_71|444444,1377076:1377095|offset_145|444444,1377049:1377068|offset_172|444444&amp;v=1376980:1377268&amp;c=444444", "offset 40")</f>
        <v>offset 40</v>
      </c>
    </row>
    <row r="4887" customFormat="false" ht="12.8" hidden="false" customHeight="false" outlineLevel="0" collapsed="false">
      <c r="A4887" s="0" t="s">
        <v>12</v>
      </c>
      <c r="B4887" s="0" t="n">
        <v>1377149</v>
      </c>
      <c r="C4887" s="0" t="n">
        <v>1377169</v>
      </c>
      <c r="D4887" s="0" t="s">
        <v>16354</v>
      </c>
      <c r="E4887" s="0" t="s">
        <v>16355</v>
      </c>
      <c r="F4887" s="0" t="s">
        <v>90</v>
      </c>
      <c r="G4887" s="0" t="s">
        <v>26</v>
      </c>
      <c r="H4887" s="0" t="n">
        <v>71</v>
      </c>
      <c r="I4887" s="0" t="s">
        <v>16359</v>
      </c>
      <c r="J4887" s="0" t="s">
        <v>16360</v>
      </c>
      <c r="K4887" s="0" t="s">
        <v>16361</v>
      </c>
      <c r="L4887" s="0" t="str">
        <f aca="false">HYPERLINK("https://www.ncbi.nlm.nih.gov/nuccore/CP000304.1?report=graph&amp;tracks=[key:gene_model_track,Options:GeneOnly]&amp;mk=1377181:1377200|offset_40|444444,1377150:1377169|offset_71|00cc00,1377076:1377095|offset_145|444444,1377049:1377068|offset_172|444444&amp;v=1376980:1377268&amp;c=444444", "offset 71")</f>
        <v>offset 71</v>
      </c>
    </row>
    <row r="4888" customFormat="false" ht="12.8" hidden="false" customHeight="false" outlineLevel="0" collapsed="false">
      <c r="A4888" s="0" t="s">
        <v>12</v>
      </c>
      <c r="B4888" s="0" t="n">
        <v>1377075</v>
      </c>
      <c r="C4888" s="0" t="n">
        <v>1377095</v>
      </c>
      <c r="D4888" s="0" t="s">
        <v>16354</v>
      </c>
      <c r="E4888" s="0" t="s">
        <v>16355</v>
      </c>
      <c r="F4888" s="0" t="s">
        <v>90</v>
      </c>
      <c r="G4888" s="0" t="s">
        <v>32</v>
      </c>
      <c r="H4888" s="0" t="n">
        <v>145</v>
      </c>
      <c r="I4888" s="0" t="s">
        <v>16362</v>
      </c>
      <c r="J4888" s="0" t="s">
        <v>16363</v>
      </c>
      <c r="K4888" s="0" t="s">
        <v>16364</v>
      </c>
      <c r="L4888" s="0" t="str">
        <f aca="false">HYPERLINK("https://www.ncbi.nlm.nih.gov/nuccore/CP000304.1?report=graph&amp;tracks=[key:gene_model_track,Options:GeneOnly]&amp;mk=1377181:1377200|offset_40|444444,1377150:1377169|offset_71|444444,1377076:1377095|offset_145|00cc00,1377049:1377068|offset_172|444444&amp;v=1376980:1377268&amp;c=444444", "offset 145")</f>
        <v>offset 145</v>
      </c>
    </row>
    <row r="4889" customFormat="false" ht="12.8" hidden="false" customHeight="false" outlineLevel="0" collapsed="false">
      <c r="A4889" s="0" t="s">
        <v>12</v>
      </c>
      <c r="B4889" s="0" t="n">
        <v>1377048</v>
      </c>
      <c r="C4889" s="0" t="n">
        <v>1377068</v>
      </c>
      <c r="D4889" s="0" t="s">
        <v>16354</v>
      </c>
      <c r="E4889" s="0" t="s">
        <v>16355</v>
      </c>
      <c r="F4889" s="0" t="s">
        <v>90</v>
      </c>
      <c r="G4889" s="0" t="s">
        <v>26</v>
      </c>
      <c r="H4889" s="0" t="n">
        <v>172</v>
      </c>
      <c r="I4889" s="0" t="s">
        <v>16365</v>
      </c>
      <c r="J4889" s="0" t="s">
        <v>16366</v>
      </c>
      <c r="K4889" s="0" t="s">
        <v>16367</v>
      </c>
      <c r="L4889" s="0" t="str">
        <f aca="false">HYPERLINK("https://www.ncbi.nlm.nih.gov/nuccore/CP000304.1?report=graph&amp;tracks=[key:gene_model_track,Options:GeneOnly]&amp;mk=1377181:1377200|offset_40|444444,1377150:1377169|offset_71|444444,1377076:1377095|offset_145|444444,1377049:1377068|offset_172|00cc00&amp;v=1376980:1377268&amp;c=444444", "offset 172")</f>
        <v>offset 172</v>
      </c>
    </row>
    <row r="4890" customFormat="false" ht="12.8" hidden="false" customHeight="false" outlineLevel="0" collapsed="false">
      <c r="A4890" s="0" t="s">
        <v>12</v>
      </c>
      <c r="B4890" s="0" t="n">
        <v>1377718</v>
      </c>
      <c r="C4890" s="0" t="n">
        <v>1377738</v>
      </c>
      <c r="D4890" s="0" t="s">
        <v>16368</v>
      </c>
      <c r="E4890" s="0" t="s">
        <v>16369</v>
      </c>
      <c r="F4890" s="0" t="s">
        <v>90</v>
      </c>
      <c r="G4890" s="0" t="s">
        <v>32</v>
      </c>
      <c r="H4890" s="0" t="n">
        <v>1</v>
      </c>
      <c r="I4890" s="0" t="s">
        <v>16370</v>
      </c>
      <c r="J4890" s="0" t="s">
        <v>16371</v>
      </c>
      <c r="K4890" s="0" t="s">
        <v>16372</v>
      </c>
      <c r="L4890" s="0" t="str">
        <f aca="false">HYPERLINK("https://www.ncbi.nlm.nih.gov/nuccore/CP000304.1?report=graph&amp;tracks=[key:gene_model_track,Options:GeneOnly]&amp;mk=1377719:1377738|offset_1|00cc00,1377699:1377718|offset_21|444444,1377662:1377681|offset_58|444444,1377634:1377653|offset_86|444444&amp;v=1377518:1377853&amp;c=444444", "offset 1")</f>
        <v>offset 1</v>
      </c>
    </row>
    <row r="4891" customFormat="false" ht="12.8" hidden="false" customHeight="false" outlineLevel="0" collapsed="false">
      <c r="A4891" s="0" t="s">
        <v>12</v>
      </c>
      <c r="B4891" s="0" t="n">
        <v>1377698</v>
      </c>
      <c r="C4891" s="0" t="n">
        <v>1377718</v>
      </c>
      <c r="D4891" s="0" t="s">
        <v>16368</v>
      </c>
      <c r="E4891" s="0" t="s">
        <v>16369</v>
      </c>
      <c r="F4891" s="0" t="s">
        <v>90</v>
      </c>
      <c r="G4891" s="0" t="s">
        <v>16</v>
      </c>
      <c r="H4891" s="0" t="n">
        <v>21</v>
      </c>
      <c r="I4891" s="0" t="s">
        <v>16373</v>
      </c>
      <c r="J4891" s="0" t="s">
        <v>16374</v>
      </c>
      <c r="K4891" s="0" t="s">
        <v>16375</v>
      </c>
      <c r="L4891" s="0" t="str">
        <f aca="false">HYPERLINK("https://www.ncbi.nlm.nih.gov/nuccore/CP000304.1?report=graph&amp;tracks=[key:gene_model_track,Options:GeneOnly]&amp;mk=1377719:1377738|offset_1|444444,1377699:1377718|offset_21|00cc00,1377662:1377681|offset_58|444444,1377634:1377653|offset_86|444444&amp;v=1377518:1377853&amp;c=444444", "offset 21")</f>
        <v>offset 21</v>
      </c>
    </row>
    <row r="4892" customFormat="false" ht="12.8" hidden="false" customHeight="false" outlineLevel="0" collapsed="false">
      <c r="A4892" s="0" t="s">
        <v>12</v>
      </c>
      <c r="B4892" s="0" t="n">
        <v>1377661</v>
      </c>
      <c r="C4892" s="0" t="n">
        <v>1377681</v>
      </c>
      <c r="D4892" s="0" t="s">
        <v>16368</v>
      </c>
      <c r="E4892" s="0" t="s">
        <v>16369</v>
      </c>
      <c r="F4892" s="0" t="s">
        <v>90</v>
      </c>
      <c r="G4892" s="0" t="s">
        <v>16</v>
      </c>
      <c r="H4892" s="0" t="n">
        <v>58</v>
      </c>
      <c r="I4892" s="0" t="s">
        <v>16376</v>
      </c>
      <c r="J4892" s="0" t="s">
        <v>16377</v>
      </c>
      <c r="K4892" s="0" t="s">
        <v>16378</v>
      </c>
      <c r="L4892" s="0" t="str">
        <f aca="false">HYPERLINK("https://www.ncbi.nlm.nih.gov/nuccore/CP000304.1?report=graph&amp;tracks=[key:gene_model_track,Options:GeneOnly]&amp;mk=1377719:1377738|offset_1|444444,1377699:1377718|offset_21|444444,1377662:1377681|offset_58|00cc00,1377634:1377653|offset_86|444444&amp;v=1377518:1377853&amp;c=444444", "offset 58")</f>
        <v>offset 58</v>
      </c>
    </row>
    <row r="4893" customFormat="false" ht="12.8" hidden="false" customHeight="false" outlineLevel="0" collapsed="false">
      <c r="A4893" s="0" t="s">
        <v>12</v>
      </c>
      <c r="B4893" s="0" t="n">
        <v>1377633</v>
      </c>
      <c r="C4893" s="0" t="n">
        <v>1377653</v>
      </c>
      <c r="D4893" s="0" t="s">
        <v>16368</v>
      </c>
      <c r="E4893" s="0" t="s">
        <v>16369</v>
      </c>
      <c r="F4893" s="0" t="s">
        <v>90</v>
      </c>
      <c r="G4893" s="0" t="s">
        <v>36</v>
      </c>
      <c r="H4893" s="0" t="n">
        <v>86</v>
      </c>
      <c r="I4893" s="0" t="s">
        <v>16379</v>
      </c>
      <c r="J4893" s="0" t="s">
        <v>16380</v>
      </c>
      <c r="K4893" s="0" t="s">
        <v>16381</v>
      </c>
      <c r="L4893" s="0" t="str">
        <f aca="false">HYPERLINK("https://www.ncbi.nlm.nih.gov/nuccore/CP000304.1?report=graph&amp;tracks=[key:gene_model_track,Options:GeneOnly]&amp;mk=1377719:1377738|offset_1|444444,1377699:1377718|offset_21|444444,1377662:1377681|offset_58|444444,1377634:1377653|offset_86|00cc00&amp;v=1377518:1377853&amp;c=444444", "offset 86")</f>
        <v>offset 86</v>
      </c>
    </row>
    <row r="4894" customFormat="false" ht="12.8" hidden="false" customHeight="false" outlineLevel="0" collapsed="false">
      <c r="A4894" s="0" t="s">
        <v>12</v>
      </c>
      <c r="B4894" s="0" t="n">
        <v>1380227</v>
      </c>
      <c r="C4894" s="0" t="n">
        <v>1380247</v>
      </c>
      <c r="D4894" s="0" t="s">
        <v>16382</v>
      </c>
      <c r="E4894" s="0" t="s">
        <v>16383</v>
      </c>
      <c r="F4894" s="0" t="s">
        <v>90</v>
      </c>
      <c r="G4894" s="0" t="s">
        <v>26</v>
      </c>
      <c r="H4894" s="0" t="n">
        <v>8</v>
      </c>
      <c r="I4894" s="0" t="s">
        <v>16384</v>
      </c>
      <c r="J4894" s="0" t="s">
        <v>16385</v>
      </c>
      <c r="K4894" s="0" t="s">
        <v>16386</v>
      </c>
      <c r="L4894" s="0" t="str">
        <f aca="false">HYPERLINK("https://www.ncbi.nlm.nih.gov/nuccore/CP000304.1?report=graph&amp;tracks=[key:gene_model_track,Options:GeneOnly]&amp;mk=1380228:1380247|offset_8|00cc00,1380208:1380227|offset_28|444444,1380178:1380197|offset_58|444444,1380151:1380170|offset_85|444444&amp;v=1380027:1380370&amp;c=444444", "offset 8")</f>
        <v>offset 8</v>
      </c>
    </row>
    <row r="4895" customFormat="false" ht="12.8" hidden="false" customHeight="false" outlineLevel="0" collapsed="false">
      <c r="A4895" s="0" t="s">
        <v>12</v>
      </c>
      <c r="B4895" s="0" t="n">
        <v>1380207</v>
      </c>
      <c r="C4895" s="0" t="n">
        <v>1380227</v>
      </c>
      <c r="D4895" s="0" t="s">
        <v>16382</v>
      </c>
      <c r="E4895" s="0" t="s">
        <v>16383</v>
      </c>
      <c r="F4895" s="0" t="s">
        <v>90</v>
      </c>
      <c r="G4895" s="0" t="s">
        <v>32</v>
      </c>
      <c r="H4895" s="0" t="n">
        <v>28</v>
      </c>
      <c r="I4895" s="0" t="s">
        <v>16387</v>
      </c>
      <c r="J4895" s="0" t="s">
        <v>16388</v>
      </c>
      <c r="K4895" s="0" t="s">
        <v>16389</v>
      </c>
      <c r="L4895" s="0" t="str">
        <f aca="false">HYPERLINK("https://www.ncbi.nlm.nih.gov/nuccore/CP000304.1?report=graph&amp;tracks=[key:gene_model_track,Options:GeneOnly]&amp;mk=1380228:1380247|offset_8|444444,1380208:1380227|offset_28|00cc00,1380178:1380197|offset_58|444444,1380151:1380170|offset_85|444444&amp;v=1380027:1380370&amp;c=444444", "offset 28")</f>
        <v>offset 28</v>
      </c>
    </row>
    <row r="4896" customFormat="false" ht="12.8" hidden="false" customHeight="false" outlineLevel="0" collapsed="false">
      <c r="A4896" s="0" t="s">
        <v>12</v>
      </c>
      <c r="B4896" s="0" t="n">
        <v>1380177</v>
      </c>
      <c r="C4896" s="0" t="n">
        <v>1380197</v>
      </c>
      <c r="D4896" s="0" t="s">
        <v>16382</v>
      </c>
      <c r="E4896" s="0" t="s">
        <v>16383</v>
      </c>
      <c r="F4896" s="0" t="s">
        <v>90</v>
      </c>
      <c r="G4896" s="0" t="s">
        <v>16</v>
      </c>
      <c r="H4896" s="0" t="n">
        <v>58</v>
      </c>
      <c r="I4896" s="0" t="s">
        <v>16390</v>
      </c>
      <c r="J4896" s="0" t="s">
        <v>16391</v>
      </c>
      <c r="K4896" s="0" t="s">
        <v>16392</v>
      </c>
      <c r="L4896" s="0" t="str">
        <f aca="false">HYPERLINK("https://www.ncbi.nlm.nih.gov/nuccore/CP000304.1?report=graph&amp;tracks=[key:gene_model_track,Options:GeneOnly]&amp;mk=1380228:1380247|offset_8|444444,1380208:1380227|offset_28|444444,1380178:1380197|offset_58|00cc00,1380151:1380170|offset_85|444444&amp;v=1380027:1380370&amp;c=444444", "offset 58")</f>
        <v>offset 58</v>
      </c>
    </row>
    <row r="4897" customFormat="false" ht="12.8" hidden="false" customHeight="false" outlineLevel="0" collapsed="false">
      <c r="A4897" s="0" t="s">
        <v>12</v>
      </c>
      <c r="B4897" s="0" t="n">
        <v>1380150</v>
      </c>
      <c r="C4897" s="0" t="n">
        <v>1380170</v>
      </c>
      <c r="D4897" s="0" t="s">
        <v>16382</v>
      </c>
      <c r="E4897" s="0" t="s">
        <v>16383</v>
      </c>
      <c r="F4897" s="0" t="s">
        <v>90</v>
      </c>
      <c r="G4897" s="0" t="s">
        <v>16</v>
      </c>
      <c r="H4897" s="0" t="n">
        <v>85</v>
      </c>
      <c r="I4897" s="0" t="s">
        <v>16393</v>
      </c>
      <c r="J4897" s="0" t="s">
        <v>16394</v>
      </c>
      <c r="K4897" s="0" t="s">
        <v>16395</v>
      </c>
      <c r="L4897" s="0" t="str">
        <f aca="false">HYPERLINK("https://www.ncbi.nlm.nih.gov/nuccore/CP000304.1?report=graph&amp;tracks=[key:gene_model_track,Options:GeneOnly]&amp;mk=1380228:1380247|offset_8|444444,1380208:1380227|offset_28|444444,1380178:1380197|offset_58|444444,1380151:1380170|offset_85|00cc00&amp;v=1380027:1380370&amp;c=444444", "offset 85")</f>
        <v>offset 85</v>
      </c>
    </row>
    <row r="4898" customFormat="false" ht="12.8" hidden="false" customHeight="false" outlineLevel="0" collapsed="false">
      <c r="A4898" s="0" t="s">
        <v>12</v>
      </c>
      <c r="B4898" s="0" t="n">
        <v>1380537</v>
      </c>
      <c r="C4898" s="0" t="n">
        <v>1380557</v>
      </c>
      <c r="D4898" s="0" t="s">
        <v>16396</v>
      </c>
      <c r="E4898" s="0" t="s">
        <v>16397</v>
      </c>
      <c r="F4898" s="0" t="s">
        <v>90</v>
      </c>
      <c r="G4898" s="0" t="s">
        <v>32</v>
      </c>
      <c r="H4898" s="0" t="n">
        <v>0</v>
      </c>
      <c r="I4898" s="0" t="s">
        <v>16398</v>
      </c>
      <c r="J4898" s="0" t="s">
        <v>16399</v>
      </c>
      <c r="K4898" s="0" t="s">
        <v>16400</v>
      </c>
      <c r="L4898" s="0" t="str">
        <f aca="false">HYPERLINK("https://www.ncbi.nlm.nih.gov/nuccore/CP000304.1?report=graph&amp;tracks=[key:gene_model_track,Options:GeneOnly]&amp;mk=1380538:1380557|offset_0|00cc00,1380517:1380536|offset_21|444444,1380479:1380498|offset_59|444444,1380458:1380477|offset_80|444444&amp;v=1380337:1380677&amp;c=444444", "offset 0")</f>
        <v>offset 0</v>
      </c>
    </row>
    <row r="4899" customFormat="false" ht="12.8" hidden="false" customHeight="false" outlineLevel="0" collapsed="false">
      <c r="A4899" s="0" t="s">
        <v>12</v>
      </c>
      <c r="B4899" s="0" t="n">
        <v>1380516</v>
      </c>
      <c r="C4899" s="0" t="n">
        <v>1380536</v>
      </c>
      <c r="D4899" s="0" t="s">
        <v>16396</v>
      </c>
      <c r="E4899" s="0" t="s">
        <v>16397</v>
      </c>
      <c r="F4899" s="0" t="s">
        <v>90</v>
      </c>
      <c r="G4899" s="0" t="s">
        <v>36</v>
      </c>
      <c r="H4899" s="0" t="n">
        <v>21</v>
      </c>
      <c r="I4899" s="0" t="s">
        <v>16401</v>
      </c>
      <c r="J4899" s="0" t="s">
        <v>16402</v>
      </c>
      <c r="K4899" s="0" t="s">
        <v>16403</v>
      </c>
      <c r="L4899" s="0" t="str">
        <f aca="false">HYPERLINK("https://www.ncbi.nlm.nih.gov/nuccore/CP000304.1?report=graph&amp;tracks=[key:gene_model_track,Options:GeneOnly]&amp;mk=1380538:1380557|offset_0|444444,1380517:1380536|offset_21|00cc00,1380479:1380498|offset_59|444444,1380458:1380477|offset_80|444444&amp;v=1380337:1380677&amp;c=444444", "offset 21")</f>
        <v>offset 21</v>
      </c>
    </row>
    <row r="4900" customFormat="false" ht="12.8" hidden="false" customHeight="false" outlineLevel="0" collapsed="false">
      <c r="A4900" s="0" t="s">
        <v>12</v>
      </c>
      <c r="B4900" s="0" t="n">
        <v>1380478</v>
      </c>
      <c r="C4900" s="0" t="n">
        <v>1380498</v>
      </c>
      <c r="D4900" s="0" t="s">
        <v>16396</v>
      </c>
      <c r="E4900" s="0" t="s">
        <v>16397</v>
      </c>
      <c r="F4900" s="0" t="s">
        <v>90</v>
      </c>
      <c r="G4900" s="0" t="s">
        <v>36</v>
      </c>
      <c r="H4900" s="0" t="n">
        <v>59</v>
      </c>
      <c r="I4900" s="0" t="s">
        <v>16404</v>
      </c>
      <c r="J4900" s="0" t="s">
        <v>16405</v>
      </c>
      <c r="K4900" s="0" t="s">
        <v>16406</v>
      </c>
      <c r="L4900" s="0" t="str">
        <f aca="false">HYPERLINK("https://www.ncbi.nlm.nih.gov/nuccore/CP000304.1?report=graph&amp;tracks=[key:gene_model_track,Options:GeneOnly]&amp;mk=1380538:1380557|offset_0|444444,1380517:1380536|offset_21|444444,1380479:1380498|offset_59|00cc00,1380458:1380477|offset_80|444444&amp;v=1380337:1380677&amp;c=444444", "offset 59")</f>
        <v>offset 59</v>
      </c>
    </row>
    <row r="4901" customFormat="false" ht="12.8" hidden="false" customHeight="false" outlineLevel="0" collapsed="false">
      <c r="A4901" s="0" t="s">
        <v>12</v>
      </c>
      <c r="B4901" s="0" t="n">
        <v>1380457</v>
      </c>
      <c r="C4901" s="0" t="n">
        <v>1380477</v>
      </c>
      <c r="D4901" s="0" t="s">
        <v>16396</v>
      </c>
      <c r="E4901" s="0" t="s">
        <v>16397</v>
      </c>
      <c r="F4901" s="0" t="s">
        <v>90</v>
      </c>
      <c r="G4901" s="0" t="s">
        <v>26</v>
      </c>
      <c r="H4901" s="0" t="n">
        <v>80</v>
      </c>
      <c r="I4901" s="0" t="s">
        <v>16407</v>
      </c>
      <c r="J4901" s="0" t="s">
        <v>16408</v>
      </c>
      <c r="K4901" s="0" t="s">
        <v>16409</v>
      </c>
      <c r="L4901" s="0" t="str">
        <f aca="false">HYPERLINK("https://www.ncbi.nlm.nih.gov/nuccore/CP000304.1?report=graph&amp;tracks=[key:gene_model_track,Options:GeneOnly]&amp;mk=1380538:1380557|offset_0|444444,1380517:1380536|offset_21|444444,1380479:1380498|offset_59|444444,1380458:1380477|offset_80|00cc00&amp;v=1380337:1380677&amp;c=444444", "offset 80")</f>
        <v>offset 80</v>
      </c>
    </row>
    <row r="4902" customFormat="false" ht="12.8" hidden="false" customHeight="false" outlineLevel="0" collapsed="false">
      <c r="A4902" s="0" t="s">
        <v>12</v>
      </c>
      <c r="B4902" s="0" t="n">
        <v>1380713</v>
      </c>
      <c r="C4902" s="0" t="n">
        <v>1380733</v>
      </c>
      <c r="D4902" s="0" t="s">
        <v>16410</v>
      </c>
      <c r="E4902" s="0" t="s">
        <v>16411</v>
      </c>
      <c r="F4902" s="0" t="s">
        <v>90</v>
      </c>
      <c r="G4902" s="0" t="s">
        <v>16</v>
      </c>
      <c r="H4902" s="0" t="n">
        <v>15</v>
      </c>
      <c r="I4902" s="0" t="s">
        <v>16412</v>
      </c>
      <c r="J4902" s="0" t="s">
        <v>16413</v>
      </c>
      <c r="K4902" s="0" t="s">
        <v>16414</v>
      </c>
      <c r="L4902" s="0" t="str">
        <f aca="false">HYPERLINK("https://www.ncbi.nlm.nih.gov/nuccore/CP000304.1?report=graph&amp;tracks=[key:gene_model_track,Options:GeneOnly]&amp;mk=1380714:1380733|offset_15|00cc00,1380689:1380708|offset_40|444444,1380668:1380687|offset_61|444444,1380633:1380652|offset_96|444444&amp;v=1380513:1380852&amp;c=444444", "offset 15")</f>
        <v>offset 15</v>
      </c>
    </row>
    <row r="4903" customFormat="false" ht="12.8" hidden="false" customHeight="false" outlineLevel="0" collapsed="false">
      <c r="A4903" s="0" t="s">
        <v>12</v>
      </c>
      <c r="B4903" s="0" t="n">
        <v>1380688</v>
      </c>
      <c r="C4903" s="0" t="n">
        <v>1380708</v>
      </c>
      <c r="D4903" s="0" t="s">
        <v>16410</v>
      </c>
      <c r="E4903" s="0" t="s">
        <v>16411</v>
      </c>
      <c r="F4903" s="0" t="s">
        <v>90</v>
      </c>
      <c r="G4903" s="0" t="s">
        <v>26</v>
      </c>
      <c r="H4903" s="0" t="n">
        <v>40</v>
      </c>
      <c r="I4903" s="0" t="s">
        <v>16415</v>
      </c>
      <c r="J4903" s="0" t="s">
        <v>16416</v>
      </c>
      <c r="K4903" s="0" t="s">
        <v>16417</v>
      </c>
      <c r="L4903" s="0" t="str">
        <f aca="false">HYPERLINK("https://www.ncbi.nlm.nih.gov/nuccore/CP000304.1?report=graph&amp;tracks=[key:gene_model_track,Options:GeneOnly]&amp;mk=1380714:1380733|offset_15|444444,1380689:1380708|offset_40|00cc00,1380668:1380687|offset_61|444444,1380633:1380652|offset_96|444444&amp;v=1380513:1380852&amp;c=444444", "offset 40")</f>
        <v>offset 40</v>
      </c>
    </row>
    <row r="4904" customFormat="false" ht="12.8" hidden="false" customHeight="false" outlineLevel="0" collapsed="false">
      <c r="A4904" s="0" t="s">
        <v>12</v>
      </c>
      <c r="B4904" s="0" t="n">
        <v>1380667</v>
      </c>
      <c r="C4904" s="0" t="n">
        <v>1380687</v>
      </c>
      <c r="D4904" s="0" t="s">
        <v>16410</v>
      </c>
      <c r="E4904" s="0" t="s">
        <v>16411</v>
      </c>
      <c r="F4904" s="0" t="s">
        <v>90</v>
      </c>
      <c r="G4904" s="0" t="s">
        <v>36</v>
      </c>
      <c r="H4904" s="0" t="n">
        <v>61</v>
      </c>
      <c r="I4904" s="0" t="s">
        <v>16418</v>
      </c>
      <c r="J4904" s="0" t="s">
        <v>16419</v>
      </c>
      <c r="K4904" s="0" t="s">
        <v>16420</v>
      </c>
      <c r="L4904" s="0" t="str">
        <f aca="false">HYPERLINK("https://www.ncbi.nlm.nih.gov/nuccore/CP000304.1?report=graph&amp;tracks=[key:gene_model_track,Options:GeneOnly]&amp;mk=1380714:1380733|offset_15|444444,1380689:1380708|offset_40|444444,1380668:1380687|offset_61|00cc00,1380633:1380652|offset_96|444444&amp;v=1380513:1380852&amp;c=444444", "offset 61")</f>
        <v>offset 61</v>
      </c>
    </row>
    <row r="4905" customFormat="false" ht="12.8" hidden="false" customHeight="false" outlineLevel="0" collapsed="false">
      <c r="A4905" s="0" t="s">
        <v>12</v>
      </c>
      <c r="B4905" s="0" t="n">
        <v>1380632</v>
      </c>
      <c r="C4905" s="0" t="n">
        <v>1380652</v>
      </c>
      <c r="D4905" s="0" t="s">
        <v>16410</v>
      </c>
      <c r="E4905" s="0" t="s">
        <v>16411</v>
      </c>
      <c r="F4905" s="0" t="s">
        <v>90</v>
      </c>
      <c r="G4905" s="0" t="s">
        <v>36</v>
      </c>
      <c r="H4905" s="0" t="n">
        <v>96</v>
      </c>
      <c r="I4905" s="0" t="s">
        <v>16421</v>
      </c>
      <c r="J4905" s="0" t="s">
        <v>16422</v>
      </c>
      <c r="K4905" s="0" t="s">
        <v>16423</v>
      </c>
      <c r="L4905" s="0" t="str">
        <f aca="false">HYPERLINK("https://www.ncbi.nlm.nih.gov/nuccore/CP000304.1?report=graph&amp;tracks=[key:gene_model_track,Options:GeneOnly]&amp;mk=1380714:1380733|offset_15|444444,1380689:1380708|offset_40|444444,1380668:1380687|offset_61|444444,1380633:1380652|offset_96|00cc00&amp;v=1380513:1380852&amp;c=444444", "offset 96")</f>
        <v>offset 96</v>
      </c>
    </row>
    <row r="4906" customFormat="false" ht="12.8" hidden="false" customHeight="false" outlineLevel="0" collapsed="false">
      <c r="A4906" s="0" t="s">
        <v>12</v>
      </c>
      <c r="B4906" s="0" t="n">
        <v>1380944</v>
      </c>
      <c r="C4906" s="0" t="n">
        <v>1380964</v>
      </c>
      <c r="D4906" s="0" t="s">
        <v>16424</v>
      </c>
      <c r="E4906" s="0" t="s">
        <v>89</v>
      </c>
      <c r="F4906" s="0" t="s">
        <v>15</v>
      </c>
      <c r="G4906" s="0" t="s">
        <v>26</v>
      </c>
      <c r="H4906" s="0" t="n">
        <v>13</v>
      </c>
      <c r="I4906" s="0" t="s">
        <v>16425</v>
      </c>
      <c r="J4906" s="0" t="s">
        <v>16426</v>
      </c>
      <c r="K4906" s="0" t="s">
        <v>16427</v>
      </c>
      <c r="L4906" s="0" t="str">
        <f aca="false">HYPERLINK("https://www.ncbi.nlm.nih.gov/nuccore/CP000304.1?report=graph&amp;tracks=[key:gene_model_track,Options:GeneOnly]&amp;mk=1380945:1380964|offset_13|00cc00,1380969:1380988|offset_37|444444,1381014:1381033|offset_82|444444,1381039:1381058|offset_107|444444&amp;v=1380744:1381258&amp;c=444444", "offset 13")</f>
        <v>offset 13</v>
      </c>
    </row>
    <row r="4907" customFormat="false" ht="12.8" hidden="false" customHeight="false" outlineLevel="0" collapsed="false">
      <c r="A4907" s="0" t="s">
        <v>12</v>
      </c>
      <c r="B4907" s="0" t="n">
        <v>1380968</v>
      </c>
      <c r="C4907" s="0" t="n">
        <v>1380988</v>
      </c>
      <c r="D4907" s="0" t="s">
        <v>16424</v>
      </c>
      <c r="E4907" s="0" t="s">
        <v>89</v>
      </c>
      <c r="F4907" s="0" t="s">
        <v>15</v>
      </c>
      <c r="G4907" s="0" t="s">
        <v>16</v>
      </c>
      <c r="H4907" s="0" t="n">
        <v>37</v>
      </c>
      <c r="I4907" s="0" t="s">
        <v>16428</v>
      </c>
      <c r="J4907" s="0" t="s">
        <v>16429</v>
      </c>
      <c r="K4907" s="0" t="s">
        <v>16430</v>
      </c>
      <c r="L4907" s="0" t="str">
        <f aca="false">HYPERLINK("https://www.ncbi.nlm.nih.gov/nuccore/CP000304.1?report=graph&amp;tracks=[key:gene_model_track,Options:GeneOnly]&amp;mk=1380945:1380964|offset_13|444444,1380969:1380988|offset_37|00cc00,1381014:1381033|offset_82|444444,1381039:1381058|offset_107|444444&amp;v=1380744:1381258&amp;c=444444", "offset 37")</f>
        <v>offset 37</v>
      </c>
    </row>
    <row r="4908" customFormat="false" ht="12.8" hidden="false" customHeight="false" outlineLevel="0" collapsed="false">
      <c r="A4908" s="0" t="s">
        <v>12</v>
      </c>
      <c r="B4908" s="0" t="n">
        <v>1381013</v>
      </c>
      <c r="C4908" s="0" t="n">
        <v>1381033</v>
      </c>
      <c r="D4908" s="0" t="s">
        <v>16424</v>
      </c>
      <c r="E4908" s="0" t="s">
        <v>89</v>
      </c>
      <c r="F4908" s="0" t="s">
        <v>15</v>
      </c>
      <c r="G4908" s="0" t="s">
        <v>32</v>
      </c>
      <c r="H4908" s="0" t="n">
        <v>82</v>
      </c>
      <c r="I4908" s="0" t="s">
        <v>16431</v>
      </c>
      <c r="J4908" s="0" t="s">
        <v>16432</v>
      </c>
      <c r="K4908" s="0" t="s">
        <v>16433</v>
      </c>
      <c r="L4908" s="0" t="str">
        <f aca="false">HYPERLINK("https://www.ncbi.nlm.nih.gov/nuccore/CP000304.1?report=graph&amp;tracks=[key:gene_model_track,Options:GeneOnly]&amp;mk=1380945:1380964|offset_13|444444,1380969:1380988|offset_37|444444,1381014:1381033|offset_82|00cc00,1381039:1381058|offset_107|444444&amp;v=1380744:1381258&amp;c=444444", "offset 82")</f>
        <v>offset 82</v>
      </c>
    </row>
    <row r="4909" customFormat="false" ht="12.8" hidden="false" customHeight="false" outlineLevel="0" collapsed="false">
      <c r="A4909" s="0" t="s">
        <v>12</v>
      </c>
      <c r="B4909" s="0" t="n">
        <v>1381038</v>
      </c>
      <c r="C4909" s="0" t="n">
        <v>1381058</v>
      </c>
      <c r="D4909" s="0" t="s">
        <v>16424</v>
      </c>
      <c r="E4909" s="0" t="s">
        <v>89</v>
      </c>
      <c r="F4909" s="0" t="s">
        <v>15</v>
      </c>
      <c r="G4909" s="0" t="s">
        <v>32</v>
      </c>
      <c r="H4909" s="0" t="n">
        <v>107</v>
      </c>
      <c r="I4909" s="0" t="s">
        <v>16434</v>
      </c>
      <c r="J4909" s="0" t="s">
        <v>16435</v>
      </c>
      <c r="K4909" s="0" t="s">
        <v>16436</v>
      </c>
      <c r="L4909" s="0" t="str">
        <f aca="false">HYPERLINK("https://www.ncbi.nlm.nih.gov/nuccore/CP000304.1?report=graph&amp;tracks=[key:gene_model_track,Options:GeneOnly]&amp;mk=1380945:1380964|offset_13|444444,1380969:1380988|offset_37|444444,1381014:1381033|offset_82|444444,1381039:1381058|offset_107|00cc00&amp;v=1380744:1381258&amp;c=444444", "offset 107")</f>
        <v>offset 107</v>
      </c>
    </row>
    <row r="4910" customFormat="false" ht="12.8" hidden="false" customHeight="false" outlineLevel="0" collapsed="false">
      <c r="A4910" s="0" t="s">
        <v>12</v>
      </c>
      <c r="B4910" s="0" t="n">
        <v>1382591</v>
      </c>
      <c r="C4910" s="0" t="n">
        <v>1382611</v>
      </c>
      <c r="D4910" s="0" t="s">
        <v>16437</v>
      </c>
      <c r="E4910" s="0" t="s">
        <v>89</v>
      </c>
      <c r="F4910" s="0" t="s">
        <v>90</v>
      </c>
      <c r="G4910" s="0" t="s">
        <v>36</v>
      </c>
      <c r="H4910" s="0" t="n">
        <v>6</v>
      </c>
      <c r="I4910" s="0" t="s">
        <v>16438</v>
      </c>
      <c r="J4910" s="0" t="s">
        <v>16439</v>
      </c>
      <c r="K4910" s="0" t="s">
        <v>16440</v>
      </c>
      <c r="L4910" s="0" t="str">
        <f aca="false">HYPERLINK("https://www.ncbi.nlm.nih.gov/nuccore/CP000304.1?report=graph&amp;tracks=[key:gene_model_track,Options:GeneOnly]&amp;mk=1382592:1382611|offset_6|00cc00,1382564:1382583|offset_34|444444,1382530:1382549|offset_68|444444,1382506:1382525|offset_92|444444&amp;v=1382391:1382725&amp;c=444444", "offset 6")</f>
        <v>offset 6</v>
      </c>
    </row>
    <row r="4911" customFormat="false" ht="12.8" hidden="false" customHeight="false" outlineLevel="0" collapsed="false">
      <c r="A4911" s="0" t="s">
        <v>12</v>
      </c>
      <c r="B4911" s="0" t="n">
        <v>1382563</v>
      </c>
      <c r="C4911" s="0" t="n">
        <v>1382583</v>
      </c>
      <c r="D4911" s="0" t="s">
        <v>16437</v>
      </c>
      <c r="E4911" s="0" t="s">
        <v>89</v>
      </c>
      <c r="F4911" s="0" t="s">
        <v>90</v>
      </c>
      <c r="G4911" s="0" t="s">
        <v>26</v>
      </c>
      <c r="H4911" s="0" t="n">
        <v>34</v>
      </c>
      <c r="I4911" s="0" t="s">
        <v>16441</v>
      </c>
      <c r="J4911" s="0" t="s">
        <v>16442</v>
      </c>
      <c r="K4911" s="0" t="s">
        <v>16443</v>
      </c>
      <c r="L4911" s="0" t="str">
        <f aca="false">HYPERLINK("https://www.ncbi.nlm.nih.gov/nuccore/CP000304.1?report=graph&amp;tracks=[key:gene_model_track,Options:GeneOnly]&amp;mk=1382592:1382611|offset_6|444444,1382564:1382583|offset_34|00cc00,1382530:1382549|offset_68|444444,1382506:1382525|offset_92|444444&amp;v=1382391:1382725&amp;c=444444", "offset 34")</f>
        <v>offset 34</v>
      </c>
    </row>
    <row r="4912" customFormat="false" ht="12.8" hidden="false" customHeight="false" outlineLevel="0" collapsed="false">
      <c r="A4912" s="0" t="s">
        <v>12</v>
      </c>
      <c r="B4912" s="0" t="n">
        <v>1382529</v>
      </c>
      <c r="C4912" s="0" t="n">
        <v>1382549</v>
      </c>
      <c r="D4912" s="0" t="s">
        <v>16437</v>
      </c>
      <c r="E4912" s="0" t="s">
        <v>89</v>
      </c>
      <c r="F4912" s="0" t="s">
        <v>90</v>
      </c>
      <c r="G4912" s="0" t="s">
        <v>16</v>
      </c>
      <c r="H4912" s="0" t="n">
        <v>68</v>
      </c>
      <c r="I4912" s="0" t="s">
        <v>16444</v>
      </c>
      <c r="J4912" s="0" t="s">
        <v>16445</v>
      </c>
      <c r="K4912" s="0" t="s">
        <v>16446</v>
      </c>
      <c r="L4912" s="0" t="str">
        <f aca="false">HYPERLINK("https://www.ncbi.nlm.nih.gov/nuccore/CP000304.1?report=graph&amp;tracks=[key:gene_model_track,Options:GeneOnly]&amp;mk=1382592:1382611|offset_6|444444,1382564:1382583|offset_34|444444,1382530:1382549|offset_68|00cc00,1382506:1382525|offset_92|444444&amp;v=1382391:1382725&amp;c=444444", "offset 68")</f>
        <v>offset 68</v>
      </c>
    </row>
    <row r="4913" customFormat="false" ht="12.8" hidden="false" customHeight="false" outlineLevel="0" collapsed="false">
      <c r="A4913" s="0" t="s">
        <v>12</v>
      </c>
      <c r="B4913" s="0" t="n">
        <v>1382505</v>
      </c>
      <c r="C4913" s="0" t="n">
        <v>1382525</v>
      </c>
      <c r="D4913" s="0" t="s">
        <v>16437</v>
      </c>
      <c r="E4913" s="0" t="s">
        <v>89</v>
      </c>
      <c r="F4913" s="0" t="s">
        <v>90</v>
      </c>
      <c r="G4913" s="0" t="s">
        <v>26</v>
      </c>
      <c r="H4913" s="0" t="n">
        <v>92</v>
      </c>
      <c r="I4913" s="0" t="s">
        <v>16447</v>
      </c>
      <c r="J4913" s="0" t="s">
        <v>16448</v>
      </c>
      <c r="K4913" s="0" t="s">
        <v>16449</v>
      </c>
      <c r="L4913" s="0" t="str">
        <f aca="false">HYPERLINK("https://www.ncbi.nlm.nih.gov/nuccore/CP000304.1?report=graph&amp;tracks=[key:gene_model_track,Options:GeneOnly]&amp;mk=1382592:1382611|offset_6|444444,1382564:1382583|offset_34|444444,1382530:1382549|offset_68|444444,1382506:1382525|offset_92|00cc00&amp;v=1382391:1382725&amp;c=444444", "offset 92")</f>
        <v>offset 92</v>
      </c>
    </row>
    <row r="4914" customFormat="false" ht="12.8" hidden="false" customHeight="false" outlineLevel="0" collapsed="false">
      <c r="A4914" s="0" t="s">
        <v>12</v>
      </c>
      <c r="B4914" s="0" t="n">
        <v>1383354</v>
      </c>
      <c r="C4914" s="0" t="n">
        <v>1383374</v>
      </c>
      <c r="D4914" s="0" t="s">
        <v>16450</v>
      </c>
      <c r="E4914" s="0" t="s">
        <v>89</v>
      </c>
      <c r="F4914" s="0" t="s">
        <v>90</v>
      </c>
      <c r="G4914" s="0" t="s">
        <v>36</v>
      </c>
      <c r="H4914" s="0" t="n">
        <v>8</v>
      </c>
      <c r="I4914" s="0" t="s">
        <v>16451</v>
      </c>
      <c r="J4914" s="0" t="s">
        <v>16452</v>
      </c>
      <c r="K4914" s="0" t="s">
        <v>16453</v>
      </c>
      <c r="L4914" s="0" t="str">
        <f aca="false">HYPERLINK("https://www.ncbi.nlm.nih.gov/nuccore/CP000304.1?report=graph&amp;tracks=[key:gene_model_track,Options:GeneOnly]&amp;mk=1383355:1383374|offset_8|00cc00,1383332:1383351|offset_31|444444,1383311:1383330|offset_52|444444,1383278:1383297|offset_85|444444&amp;v=1383154:1383497&amp;c=444444", "offset 8")</f>
        <v>offset 8</v>
      </c>
    </row>
    <row r="4915" customFormat="false" ht="12.8" hidden="false" customHeight="false" outlineLevel="0" collapsed="false">
      <c r="A4915" s="0" t="s">
        <v>12</v>
      </c>
      <c r="B4915" s="0" t="n">
        <v>1383331</v>
      </c>
      <c r="C4915" s="0" t="n">
        <v>1383351</v>
      </c>
      <c r="D4915" s="0" t="s">
        <v>16450</v>
      </c>
      <c r="E4915" s="0" t="s">
        <v>89</v>
      </c>
      <c r="F4915" s="0" t="s">
        <v>90</v>
      </c>
      <c r="G4915" s="0" t="s">
        <v>36</v>
      </c>
      <c r="H4915" s="0" t="n">
        <v>31</v>
      </c>
      <c r="I4915" s="0" t="s">
        <v>16454</v>
      </c>
      <c r="J4915" s="0" t="s">
        <v>16455</v>
      </c>
      <c r="K4915" s="0" t="s">
        <v>16456</v>
      </c>
      <c r="L4915" s="0" t="str">
        <f aca="false">HYPERLINK("https://www.ncbi.nlm.nih.gov/nuccore/CP000304.1?report=graph&amp;tracks=[key:gene_model_track,Options:GeneOnly]&amp;mk=1383355:1383374|offset_8|444444,1383332:1383351|offset_31|00cc00,1383311:1383330|offset_52|444444,1383278:1383297|offset_85|444444&amp;v=1383154:1383497&amp;c=444444", "offset 31")</f>
        <v>offset 31</v>
      </c>
    </row>
    <row r="4916" customFormat="false" ht="12.8" hidden="false" customHeight="false" outlineLevel="0" collapsed="false">
      <c r="A4916" s="0" t="s">
        <v>12</v>
      </c>
      <c r="B4916" s="0" t="n">
        <v>1383310</v>
      </c>
      <c r="C4916" s="0" t="n">
        <v>1383330</v>
      </c>
      <c r="D4916" s="0" t="s">
        <v>16450</v>
      </c>
      <c r="E4916" s="0" t="s">
        <v>89</v>
      </c>
      <c r="F4916" s="0" t="s">
        <v>90</v>
      </c>
      <c r="G4916" s="0" t="s">
        <v>16</v>
      </c>
      <c r="H4916" s="0" t="n">
        <v>52</v>
      </c>
      <c r="I4916" s="0" t="s">
        <v>16457</v>
      </c>
      <c r="J4916" s="0" t="s">
        <v>16458</v>
      </c>
      <c r="K4916" s="0" t="s">
        <v>16459</v>
      </c>
      <c r="L4916" s="0" t="str">
        <f aca="false">HYPERLINK("https://www.ncbi.nlm.nih.gov/nuccore/CP000304.1?report=graph&amp;tracks=[key:gene_model_track,Options:GeneOnly]&amp;mk=1383355:1383374|offset_8|444444,1383332:1383351|offset_31|444444,1383311:1383330|offset_52|00cc00,1383278:1383297|offset_85|444444&amp;v=1383154:1383497&amp;c=444444", "offset 52")</f>
        <v>offset 52</v>
      </c>
    </row>
    <row r="4917" customFormat="false" ht="12.8" hidden="false" customHeight="false" outlineLevel="0" collapsed="false">
      <c r="A4917" s="0" t="s">
        <v>12</v>
      </c>
      <c r="B4917" s="0" t="n">
        <v>1383277</v>
      </c>
      <c r="C4917" s="0" t="n">
        <v>1383297</v>
      </c>
      <c r="D4917" s="0" t="s">
        <v>16450</v>
      </c>
      <c r="E4917" s="0" t="s">
        <v>89</v>
      </c>
      <c r="F4917" s="0" t="s">
        <v>90</v>
      </c>
      <c r="G4917" s="0" t="s">
        <v>32</v>
      </c>
      <c r="H4917" s="0" t="n">
        <v>85</v>
      </c>
      <c r="I4917" s="0" t="s">
        <v>16460</v>
      </c>
      <c r="J4917" s="0" t="s">
        <v>16461</v>
      </c>
      <c r="K4917" s="0" t="s">
        <v>16462</v>
      </c>
      <c r="L4917" s="0" t="str">
        <f aca="false">HYPERLINK("https://www.ncbi.nlm.nih.gov/nuccore/CP000304.1?report=graph&amp;tracks=[key:gene_model_track,Options:GeneOnly]&amp;mk=1383355:1383374|offset_8|444444,1383332:1383351|offset_31|444444,1383311:1383330|offset_52|444444,1383278:1383297|offset_85|00cc00&amp;v=1383154:1383497&amp;c=444444", "offset 85")</f>
        <v>offset 85</v>
      </c>
    </row>
    <row r="4918" customFormat="false" ht="12.8" hidden="false" customHeight="false" outlineLevel="0" collapsed="false">
      <c r="A4918" s="0" t="s">
        <v>12</v>
      </c>
      <c r="B4918" s="0" t="n">
        <v>1384116</v>
      </c>
      <c r="C4918" s="0" t="n">
        <v>1384136</v>
      </c>
      <c r="D4918" s="0" t="s">
        <v>16463</v>
      </c>
      <c r="E4918" s="0" t="s">
        <v>89</v>
      </c>
      <c r="F4918" s="0" t="s">
        <v>90</v>
      </c>
      <c r="G4918" s="0" t="s">
        <v>32</v>
      </c>
      <c r="H4918" s="0" t="n">
        <v>8</v>
      </c>
      <c r="I4918" s="0" t="s">
        <v>16464</v>
      </c>
      <c r="J4918" s="0" t="s">
        <v>16465</v>
      </c>
      <c r="K4918" s="0" t="s">
        <v>16466</v>
      </c>
      <c r="L4918" s="0" t="str">
        <f aca="false">HYPERLINK("https://www.ncbi.nlm.nih.gov/nuccore/CP000304.1?report=graph&amp;tracks=[key:gene_model_track,Options:GeneOnly]&amp;mk=1384117:1384136|offset_8|00cc00,1384094:1384113|offset_31|444444,1384066:1384085|offset_59|444444,1384042:1384061|offset_83|444444&amp;v=1383916:1384261&amp;c=444444", "offset 8")</f>
        <v>offset 8</v>
      </c>
    </row>
    <row r="4919" customFormat="false" ht="12.8" hidden="false" customHeight="false" outlineLevel="0" collapsed="false">
      <c r="A4919" s="0" t="s">
        <v>12</v>
      </c>
      <c r="B4919" s="0" t="n">
        <v>1384093</v>
      </c>
      <c r="C4919" s="0" t="n">
        <v>1384113</v>
      </c>
      <c r="D4919" s="0" t="s">
        <v>16463</v>
      </c>
      <c r="E4919" s="0" t="s">
        <v>89</v>
      </c>
      <c r="F4919" s="0" t="s">
        <v>90</v>
      </c>
      <c r="G4919" s="0" t="s">
        <v>36</v>
      </c>
      <c r="H4919" s="0" t="n">
        <v>31</v>
      </c>
      <c r="I4919" s="0" t="s">
        <v>16467</v>
      </c>
      <c r="J4919" s="0" t="s">
        <v>16468</v>
      </c>
      <c r="K4919" s="0" t="s">
        <v>16469</v>
      </c>
      <c r="L4919" s="0" t="str">
        <f aca="false">HYPERLINK("https://www.ncbi.nlm.nih.gov/nuccore/CP000304.1?report=graph&amp;tracks=[key:gene_model_track,Options:GeneOnly]&amp;mk=1384117:1384136|offset_8|444444,1384094:1384113|offset_31|00cc00,1384066:1384085|offset_59|444444,1384042:1384061|offset_83|444444&amp;v=1383916:1384261&amp;c=444444", "offset 31")</f>
        <v>offset 31</v>
      </c>
    </row>
    <row r="4920" customFormat="false" ht="12.8" hidden="false" customHeight="false" outlineLevel="0" collapsed="false">
      <c r="A4920" s="0" t="s">
        <v>12</v>
      </c>
      <c r="B4920" s="0" t="n">
        <v>1384065</v>
      </c>
      <c r="C4920" s="0" t="n">
        <v>1384085</v>
      </c>
      <c r="D4920" s="0" t="s">
        <v>16463</v>
      </c>
      <c r="E4920" s="0" t="s">
        <v>89</v>
      </c>
      <c r="F4920" s="0" t="s">
        <v>90</v>
      </c>
      <c r="G4920" s="0" t="s">
        <v>16</v>
      </c>
      <c r="H4920" s="0" t="n">
        <v>59</v>
      </c>
      <c r="I4920" s="0" t="s">
        <v>16470</v>
      </c>
      <c r="J4920" s="0" t="s">
        <v>16471</v>
      </c>
      <c r="K4920" s="0" t="s">
        <v>16472</v>
      </c>
      <c r="L4920" s="0" t="str">
        <f aca="false">HYPERLINK("https://www.ncbi.nlm.nih.gov/nuccore/CP000304.1?report=graph&amp;tracks=[key:gene_model_track,Options:GeneOnly]&amp;mk=1384117:1384136|offset_8|444444,1384094:1384113|offset_31|444444,1384066:1384085|offset_59|00cc00,1384042:1384061|offset_83|444444&amp;v=1383916:1384261&amp;c=444444", "offset 59")</f>
        <v>offset 59</v>
      </c>
    </row>
    <row r="4921" customFormat="false" ht="12.8" hidden="false" customHeight="false" outlineLevel="0" collapsed="false">
      <c r="A4921" s="0" t="s">
        <v>12</v>
      </c>
      <c r="B4921" s="0" t="n">
        <v>1384041</v>
      </c>
      <c r="C4921" s="0" t="n">
        <v>1384061</v>
      </c>
      <c r="D4921" s="0" t="s">
        <v>16463</v>
      </c>
      <c r="E4921" s="0" t="s">
        <v>89</v>
      </c>
      <c r="F4921" s="0" t="s">
        <v>90</v>
      </c>
      <c r="G4921" s="0" t="s">
        <v>32</v>
      </c>
      <c r="H4921" s="0" t="n">
        <v>83</v>
      </c>
      <c r="I4921" s="0" t="s">
        <v>16473</v>
      </c>
      <c r="J4921" s="0" t="s">
        <v>16474</v>
      </c>
      <c r="K4921" s="0" t="s">
        <v>16475</v>
      </c>
      <c r="L4921" s="0" t="str">
        <f aca="false">HYPERLINK("https://www.ncbi.nlm.nih.gov/nuccore/CP000304.1?report=graph&amp;tracks=[key:gene_model_track,Options:GeneOnly]&amp;mk=1384117:1384136|offset_8|444444,1384094:1384113|offset_31|444444,1384066:1384085|offset_59|444444,1384042:1384061|offset_83|00cc00&amp;v=1383916:1384261&amp;c=444444", "offset 83")</f>
        <v>offset 83</v>
      </c>
    </row>
    <row r="4922" customFormat="false" ht="12.8" hidden="false" customHeight="false" outlineLevel="0" collapsed="false">
      <c r="A4922" s="0" t="s">
        <v>12</v>
      </c>
      <c r="B4922" s="0" t="n">
        <v>1384857</v>
      </c>
      <c r="C4922" s="0" t="n">
        <v>1384877</v>
      </c>
      <c r="D4922" s="0" t="s">
        <v>16476</v>
      </c>
      <c r="E4922" s="0" t="s">
        <v>89</v>
      </c>
      <c r="F4922" s="0" t="s">
        <v>90</v>
      </c>
      <c r="G4922" s="0" t="s">
        <v>16</v>
      </c>
      <c r="H4922" s="0" t="n">
        <v>0</v>
      </c>
      <c r="I4922" s="0" t="s">
        <v>16477</v>
      </c>
      <c r="J4922" s="0" t="s">
        <v>16478</v>
      </c>
      <c r="K4922" s="0" t="s">
        <v>16479</v>
      </c>
      <c r="L4922" s="0" t="str">
        <f aca="false">HYPERLINK("https://www.ncbi.nlm.nih.gov/nuccore/CP000304.1?report=graph&amp;tracks=[key:gene_model_track,Options:GeneOnly]&amp;mk=1384858:1384877|offset_0|00cc00,1384825:1384844|offset_33|444444,1384792:1384811|offset_66|444444,1384763:1384782|offset_95|444444&amp;v=1384657:1384982&amp;c=444444", "offset 0")</f>
        <v>offset 0</v>
      </c>
    </row>
    <row r="4923" customFormat="false" ht="12.8" hidden="false" customHeight="false" outlineLevel="0" collapsed="false">
      <c r="A4923" s="0" t="s">
        <v>12</v>
      </c>
      <c r="B4923" s="0" t="n">
        <v>1384824</v>
      </c>
      <c r="C4923" s="0" t="n">
        <v>1384844</v>
      </c>
      <c r="D4923" s="0" t="s">
        <v>16476</v>
      </c>
      <c r="E4923" s="0" t="s">
        <v>89</v>
      </c>
      <c r="F4923" s="0" t="s">
        <v>90</v>
      </c>
      <c r="G4923" s="0" t="s">
        <v>32</v>
      </c>
      <c r="H4923" s="0" t="n">
        <v>33</v>
      </c>
      <c r="I4923" s="0" t="s">
        <v>16480</v>
      </c>
      <c r="J4923" s="0" t="s">
        <v>16481</v>
      </c>
      <c r="K4923" s="0" t="s">
        <v>16482</v>
      </c>
      <c r="L4923" s="0" t="str">
        <f aca="false">HYPERLINK("https://www.ncbi.nlm.nih.gov/nuccore/CP000304.1?report=graph&amp;tracks=[key:gene_model_track,Options:GeneOnly]&amp;mk=1384858:1384877|offset_0|444444,1384825:1384844|offset_33|00cc00,1384792:1384811|offset_66|444444,1384763:1384782|offset_95|444444&amp;v=1384657:1384982&amp;c=444444", "offset 33")</f>
        <v>offset 33</v>
      </c>
    </row>
    <row r="4924" customFormat="false" ht="12.8" hidden="false" customHeight="false" outlineLevel="0" collapsed="false">
      <c r="A4924" s="0" t="s">
        <v>12</v>
      </c>
      <c r="B4924" s="0" t="n">
        <v>1384791</v>
      </c>
      <c r="C4924" s="0" t="n">
        <v>1384811</v>
      </c>
      <c r="D4924" s="0" t="s">
        <v>16476</v>
      </c>
      <c r="E4924" s="0" t="s">
        <v>89</v>
      </c>
      <c r="F4924" s="0" t="s">
        <v>90</v>
      </c>
      <c r="G4924" s="0" t="s">
        <v>36</v>
      </c>
      <c r="H4924" s="0" t="n">
        <v>66</v>
      </c>
      <c r="I4924" s="0" t="s">
        <v>16483</v>
      </c>
      <c r="J4924" s="0" t="s">
        <v>16484</v>
      </c>
      <c r="K4924" s="0" t="s">
        <v>16485</v>
      </c>
      <c r="L4924" s="0" t="str">
        <f aca="false">HYPERLINK("https://www.ncbi.nlm.nih.gov/nuccore/CP000304.1?report=graph&amp;tracks=[key:gene_model_track,Options:GeneOnly]&amp;mk=1384858:1384877|offset_0|444444,1384825:1384844|offset_33|444444,1384792:1384811|offset_66|00cc00,1384763:1384782|offset_95|444444&amp;v=1384657:1384982&amp;c=444444", "offset 66")</f>
        <v>offset 66</v>
      </c>
    </row>
    <row r="4925" customFormat="false" ht="12.8" hidden="false" customHeight="false" outlineLevel="0" collapsed="false">
      <c r="A4925" s="0" t="s">
        <v>12</v>
      </c>
      <c r="B4925" s="0" t="n">
        <v>1384762</v>
      </c>
      <c r="C4925" s="0" t="n">
        <v>1384782</v>
      </c>
      <c r="D4925" s="0" t="s">
        <v>16476</v>
      </c>
      <c r="E4925" s="0" t="s">
        <v>89</v>
      </c>
      <c r="F4925" s="0" t="s">
        <v>90</v>
      </c>
      <c r="G4925" s="0" t="s">
        <v>32</v>
      </c>
      <c r="H4925" s="0" t="n">
        <v>95</v>
      </c>
      <c r="I4925" s="0" t="s">
        <v>16486</v>
      </c>
      <c r="J4925" s="0" t="s">
        <v>16487</v>
      </c>
      <c r="K4925" s="0" t="s">
        <v>16488</v>
      </c>
      <c r="L4925" s="0" t="str">
        <f aca="false">HYPERLINK("https://www.ncbi.nlm.nih.gov/nuccore/CP000304.1?report=graph&amp;tracks=[key:gene_model_track,Options:GeneOnly]&amp;mk=1384858:1384877|offset_0|444444,1384825:1384844|offset_33|444444,1384792:1384811|offset_66|444444,1384763:1384782|offset_95|00cc00&amp;v=1384657:1384982&amp;c=444444", "offset 95")</f>
        <v>offset 95</v>
      </c>
    </row>
    <row r="4926" customFormat="false" ht="12.8" hidden="false" customHeight="false" outlineLevel="0" collapsed="false">
      <c r="A4926" s="0" t="s">
        <v>12</v>
      </c>
      <c r="B4926" s="0" t="n">
        <v>1385021</v>
      </c>
      <c r="C4926" s="0" t="n">
        <v>1385041</v>
      </c>
      <c r="D4926" s="0" t="s">
        <v>16489</v>
      </c>
      <c r="E4926" s="0" t="s">
        <v>89</v>
      </c>
      <c r="F4926" s="0" t="s">
        <v>15</v>
      </c>
      <c r="G4926" s="0" t="s">
        <v>26</v>
      </c>
      <c r="H4926" s="0" t="n">
        <v>11</v>
      </c>
      <c r="I4926" s="0" t="s">
        <v>16490</v>
      </c>
      <c r="J4926" s="0" t="s">
        <v>16491</v>
      </c>
      <c r="K4926" s="0" t="s">
        <v>16492</v>
      </c>
      <c r="L4926" s="0" t="str">
        <f aca="false">HYPERLINK("https://www.ncbi.nlm.nih.gov/nuccore/CP000304.1?report=graph&amp;tracks=[key:gene_model_track,Options:GeneOnly]&amp;mk=1385022:1385041|offset_11|00cc00,1385055:1385074|offset_44|444444,1385078:1385097|offset_67|444444,1385132:1385151|offset_121|444444&amp;v=1384821:1385351&amp;c=444444", "offset 11")</f>
        <v>offset 11</v>
      </c>
    </row>
    <row r="4927" customFormat="false" ht="12.8" hidden="false" customHeight="false" outlineLevel="0" collapsed="false">
      <c r="A4927" s="0" t="s">
        <v>12</v>
      </c>
      <c r="B4927" s="0" t="n">
        <v>1385054</v>
      </c>
      <c r="C4927" s="0" t="n">
        <v>1385074</v>
      </c>
      <c r="D4927" s="0" t="s">
        <v>16489</v>
      </c>
      <c r="E4927" s="0" t="s">
        <v>89</v>
      </c>
      <c r="F4927" s="0" t="s">
        <v>15</v>
      </c>
      <c r="G4927" s="0" t="s">
        <v>26</v>
      </c>
      <c r="H4927" s="0" t="n">
        <v>44</v>
      </c>
      <c r="I4927" s="0" t="s">
        <v>16493</v>
      </c>
      <c r="J4927" s="0" t="s">
        <v>16494</v>
      </c>
      <c r="K4927" s="0" t="s">
        <v>16495</v>
      </c>
      <c r="L4927" s="0" t="str">
        <f aca="false">HYPERLINK("https://www.ncbi.nlm.nih.gov/nuccore/CP000304.1?report=graph&amp;tracks=[key:gene_model_track,Options:GeneOnly]&amp;mk=1385022:1385041|offset_11|444444,1385055:1385074|offset_44|00cc00,1385078:1385097|offset_67|444444,1385132:1385151|offset_121|444444&amp;v=1384821:1385351&amp;c=444444", "offset 44")</f>
        <v>offset 44</v>
      </c>
    </row>
    <row r="4928" customFormat="false" ht="12.8" hidden="false" customHeight="false" outlineLevel="0" collapsed="false">
      <c r="A4928" s="0" t="s">
        <v>12</v>
      </c>
      <c r="B4928" s="0" t="n">
        <v>1385077</v>
      </c>
      <c r="C4928" s="0" t="n">
        <v>1385097</v>
      </c>
      <c r="D4928" s="0" t="s">
        <v>16489</v>
      </c>
      <c r="E4928" s="0" t="s">
        <v>89</v>
      </c>
      <c r="F4928" s="0" t="s">
        <v>15</v>
      </c>
      <c r="G4928" s="0" t="s">
        <v>16</v>
      </c>
      <c r="H4928" s="0" t="n">
        <v>67</v>
      </c>
      <c r="I4928" s="0" t="s">
        <v>16496</v>
      </c>
      <c r="J4928" s="0" t="s">
        <v>16497</v>
      </c>
      <c r="K4928" s="0" t="s">
        <v>16498</v>
      </c>
      <c r="L4928" s="0" t="str">
        <f aca="false">HYPERLINK("https://www.ncbi.nlm.nih.gov/nuccore/CP000304.1?report=graph&amp;tracks=[key:gene_model_track,Options:GeneOnly]&amp;mk=1385022:1385041|offset_11|444444,1385055:1385074|offset_44|444444,1385078:1385097|offset_67|00cc00,1385132:1385151|offset_121|444444&amp;v=1384821:1385351&amp;c=444444", "offset 67")</f>
        <v>offset 67</v>
      </c>
    </row>
    <row r="4929" customFormat="false" ht="12.8" hidden="false" customHeight="false" outlineLevel="0" collapsed="false">
      <c r="A4929" s="0" t="s">
        <v>12</v>
      </c>
      <c r="B4929" s="0" t="n">
        <v>1385131</v>
      </c>
      <c r="C4929" s="0" t="n">
        <v>1385151</v>
      </c>
      <c r="D4929" s="0" t="s">
        <v>16489</v>
      </c>
      <c r="E4929" s="0" t="s">
        <v>89</v>
      </c>
      <c r="F4929" s="0" t="s">
        <v>15</v>
      </c>
      <c r="G4929" s="0" t="s">
        <v>16</v>
      </c>
      <c r="H4929" s="0" t="n">
        <v>121</v>
      </c>
      <c r="I4929" s="0" t="s">
        <v>16499</v>
      </c>
      <c r="J4929" s="0" t="s">
        <v>16500</v>
      </c>
      <c r="K4929" s="0" t="s">
        <v>16501</v>
      </c>
      <c r="L4929" s="0" t="str">
        <f aca="false">HYPERLINK("https://www.ncbi.nlm.nih.gov/nuccore/CP000304.1?report=graph&amp;tracks=[key:gene_model_track,Options:GeneOnly]&amp;mk=1385022:1385041|offset_11|444444,1385055:1385074|offset_44|444444,1385078:1385097|offset_67|444444,1385132:1385151|offset_121|00cc00&amp;v=1384821:1385351&amp;c=444444", "offset 121")</f>
        <v>offset 121</v>
      </c>
    </row>
    <row r="4930" customFormat="false" ht="12.8" hidden="false" customHeight="false" outlineLevel="0" collapsed="false">
      <c r="A4930" s="0" t="s">
        <v>12</v>
      </c>
      <c r="B4930" s="0" t="n">
        <v>1386403</v>
      </c>
      <c r="C4930" s="0" t="n">
        <v>1386423</v>
      </c>
      <c r="D4930" s="0" t="s">
        <v>16502</v>
      </c>
      <c r="E4930" s="0" t="s">
        <v>16503</v>
      </c>
      <c r="F4930" s="0" t="s">
        <v>15</v>
      </c>
      <c r="G4930" s="0" t="s">
        <v>16</v>
      </c>
      <c r="H4930" s="0" t="n">
        <v>13</v>
      </c>
      <c r="I4930" s="0" t="s">
        <v>16504</v>
      </c>
      <c r="J4930" s="0" t="s">
        <v>16505</v>
      </c>
      <c r="K4930" s="0" t="s">
        <v>16506</v>
      </c>
      <c r="L4930" s="0" t="str">
        <f aca="false">HYPERLINK("https://www.ncbi.nlm.nih.gov/nuccore/CP000304.1?report=graph&amp;tracks=[key:gene_model_track,Options:GeneOnly]&amp;mk=1386404:1386423|offset_13|00cc00,1386427:1386446|offset_36|444444,1386459:1386478|offset_68|444444,1386483:1386502|offset_92|444444&amp;v=1386203:1386702&amp;c=444444", "offset 13")</f>
        <v>offset 13</v>
      </c>
    </row>
    <row r="4931" customFormat="false" ht="12.8" hidden="false" customHeight="false" outlineLevel="0" collapsed="false">
      <c r="A4931" s="0" t="s">
        <v>12</v>
      </c>
      <c r="B4931" s="0" t="n">
        <v>1386426</v>
      </c>
      <c r="C4931" s="0" t="n">
        <v>1386446</v>
      </c>
      <c r="D4931" s="0" t="s">
        <v>16502</v>
      </c>
      <c r="E4931" s="0" t="s">
        <v>16503</v>
      </c>
      <c r="F4931" s="0" t="s">
        <v>15</v>
      </c>
      <c r="G4931" s="0" t="s">
        <v>36</v>
      </c>
      <c r="H4931" s="0" t="n">
        <v>36</v>
      </c>
      <c r="I4931" s="0" t="s">
        <v>16507</v>
      </c>
      <c r="J4931" s="0" t="s">
        <v>16508</v>
      </c>
      <c r="K4931" s="0" t="s">
        <v>16509</v>
      </c>
      <c r="L4931" s="0" t="str">
        <f aca="false">HYPERLINK("https://www.ncbi.nlm.nih.gov/nuccore/CP000304.1?report=graph&amp;tracks=[key:gene_model_track,Options:GeneOnly]&amp;mk=1386404:1386423|offset_13|444444,1386427:1386446|offset_36|00cc00,1386459:1386478|offset_68|444444,1386483:1386502|offset_92|444444&amp;v=1386203:1386702&amp;c=444444", "offset 36")</f>
        <v>offset 36</v>
      </c>
    </row>
    <row r="4932" customFormat="false" ht="12.8" hidden="false" customHeight="false" outlineLevel="0" collapsed="false">
      <c r="A4932" s="0" t="s">
        <v>12</v>
      </c>
      <c r="B4932" s="0" t="n">
        <v>1386458</v>
      </c>
      <c r="C4932" s="0" t="n">
        <v>1386478</v>
      </c>
      <c r="D4932" s="0" t="s">
        <v>16502</v>
      </c>
      <c r="E4932" s="0" t="s">
        <v>16503</v>
      </c>
      <c r="F4932" s="0" t="s">
        <v>15</v>
      </c>
      <c r="G4932" s="0" t="s">
        <v>16</v>
      </c>
      <c r="H4932" s="0" t="n">
        <v>68</v>
      </c>
      <c r="I4932" s="0" t="s">
        <v>16510</v>
      </c>
      <c r="J4932" s="0" t="s">
        <v>16511</v>
      </c>
      <c r="K4932" s="0" t="s">
        <v>16512</v>
      </c>
      <c r="L4932" s="0" t="str">
        <f aca="false">HYPERLINK("https://www.ncbi.nlm.nih.gov/nuccore/CP000304.1?report=graph&amp;tracks=[key:gene_model_track,Options:GeneOnly]&amp;mk=1386404:1386423|offset_13|444444,1386427:1386446|offset_36|444444,1386459:1386478|offset_68|00cc00,1386483:1386502|offset_92|444444&amp;v=1386203:1386702&amp;c=444444", "offset 68")</f>
        <v>offset 68</v>
      </c>
    </row>
    <row r="4933" customFormat="false" ht="12.8" hidden="false" customHeight="false" outlineLevel="0" collapsed="false">
      <c r="A4933" s="0" t="s">
        <v>12</v>
      </c>
      <c r="B4933" s="0" t="n">
        <v>1386482</v>
      </c>
      <c r="C4933" s="0" t="n">
        <v>1386502</v>
      </c>
      <c r="D4933" s="0" t="s">
        <v>16502</v>
      </c>
      <c r="E4933" s="0" t="s">
        <v>16503</v>
      </c>
      <c r="F4933" s="0" t="s">
        <v>15</v>
      </c>
      <c r="G4933" s="0" t="s">
        <v>36</v>
      </c>
      <c r="H4933" s="0" t="n">
        <v>92</v>
      </c>
      <c r="I4933" s="0" t="s">
        <v>16513</v>
      </c>
      <c r="J4933" s="0" t="s">
        <v>16514</v>
      </c>
      <c r="K4933" s="0" t="s">
        <v>16515</v>
      </c>
      <c r="L4933" s="0" t="str">
        <f aca="false">HYPERLINK("https://www.ncbi.nlm.nih.gov/nuccore/CP000304.1?report=graph&amp;tracks=[key:gene_model_track,Options:GeneOnly]&amp;mk=1386404:1386423|offset_13|444444,1386427:1386446|offset_36|444444,1386459:1386478|offset_68|444444,1386483:1386502|offset_92|00cc00&amp;v=1386203:1386702&amp;c=444444", "offset 92")</f>
        <v>offset 92</v>
      </c>
    </row>
    <row r="4934" customFormat="false" ht="12.8" hidden="false" customHeight="false" outlineLevel="0" collapsed="false">
      <c r="A4934" s="0" t="s">
        <v>12</v>
      </c>
      <c r="B4934" s="0" t="n">
        <v>1387575</v>
      </c>
      <c r="C4934" s="0" t="n">
        <v>1387595</v>
      </c>
      <c r="D4934" s="0" t="s">
        <v>16516</v>
      </c>
      <c r="E4934" s="0" t="s">
        <v>89</v>
      </c>
      <c r="F4934" s="0" t="s">
        <v>15</v>
      </c>
      <c r="G4934" s="0" t="s">
        <v>26</v>
      </c>
      <c r="H4934" s="0" t="n">
        <v>0</v>
      </c>
      <c r="I4934" s="0" t="s">
        <v>16517</v>
      </c>
      <c r="J4934" s="0" t="s">
        <v>16518</v>
      </c>
      <c r="K4934" s="0" t="s">
        <v>16519</v>
      </c>
      <c r="L4934" s="0" t="str">
        <f aca="false">HYPERLINK("https://www.ncbi.nlm.nih.gov/nuccore/CP000304.1?report=graph&amp;tracks=[key:gene_model_track,Options:GeneOnly]&amp;mk=1387576:1387595|offset_0|00cc00,1387597:1387616|offset_21|444444,1387644:1387663|offset_68|444444,1387687:1387706|offset_111|444444&amp;v=1387375:1387906&amp;c=444444", "offset 0")</f>
        <v>offset 0</v>
      </c>
    </row>
    <row r="4935" customFormat="false" ht="12.8" hidden="false" customHeight="false" outlineLevel="0" collapsed="false">
      <c r="A4935" s="0" t="s">
        <v>12</v>
      </c>
      <c r="B4935" s="0" t="n">
        <v>1387596</v>
      </c>
      <c r="C4935" s="0" t="n">
        <v>1387616</v>
      </c>
      <c r="D4935" s="0" t="s">
        <v>16516</v>
      </c>
      <c r="E4935" s="0" t="s">
        <v>89</v>
      </c>
      <c r="F4935" s="0" t="s">
        <v>15</v>
      </c>
      <c r="G4935" s="0" t="s">
        <v>16</v>
      </c>
      <c r="H4935" s="0" t="n">
        <v>21</v>
      </c>
      <c r="I4935" s="0" t="s">
        <v>16520</v>
      </c>
      <c r="J4935" s="0" t="s">
        <v>16521</v>
      </c>
      <c r="K4935" s="0" t="s">
        <v>16522</v>
      </c>
      <c r="L4935" s="0" t="str">
        <f aca="false">HYPERLINK("https://www.ncbi.nlm.nih.gov/nuccore/CP000304.1?report=graph&amp;tracks=[key:gene_model_track,Options:GeneOnly]&amp;mk=1387576:1387595|offset_0|444444,1387597:1387616|offset_21|00cc00,1387644:1387663|offset_68|444444,1387687:1387706|offset_111|444444&amp;v=1387375:1387906&amp;c=444444", "offset 21")</f>
        <v>offset 21</v>
      </c>
    </row>
    <row r="4936" customFormat="false" ht="12.8" hidden="false" customHeight="false" outlineLevel="0" collapsed="false">
      <c r="A4936" s="0" t="s">
        <v>12</v>
      </c>
      <c r="B4936" s="0" t="n">
        <v>1387643</v>
      </c>
      <c r="C4936" s="0" t="n">
        <v>1387663</v>
      </c>
      <c r="D4936" s="0" t="s">
        <v>16516</v>
      </c>
      <c r="E4936" s="0" t="s">
        <v>89</v>
      </c>
      <c r="F4936" s="0" t="s">
        <v>15</v>
      </c>
      <c r="G4936" s="0" t="s">
        <v>26</v>
      </c>
      <c r="H4936" s="0" t="n">
        <v>68</v>
      </c>
      <c r="I4936" s="0" t="s">
        <v>16523</v>
      </c>
      <c r="J4936" s="0" t="s">
        <v>16524</v>
      </c>
      <c r="K4936" s="0" t="s">
        <v>16525</v>
      </c>
      <c r="L4936" s="0" t="str">
        <f aca="false">HYPERLINK("https://www.ncbi.nlm.nih.gov/nuccore/CP000304.1?report=graph&amp;tracks=[key:gene_model_track,Options:GeneOnly]&amp;mk=1387576:1387595|offset_0|444444,1387597:1387616|offset_21|444444,1387644:1387663|offset_68|00cc00,1387687:1387706|offset_111|444444&amp;v=1387375:1387906&amp;c=444444", "offset 68")</f>
        <v>offset 68</v>
      </c>
    </row>
    <row r="4937" customFormat="false" ht="12.8" hidden="false" customHeight="false" outlineLevel="0" collapsed="false">
      <c r="A4937" s="0" t="s">
        <v>12</v>
      </c>
      <c r="B4937" s="0" t="n">
        <v>1387686</v>
      </c>
      <c r="C4937" s="0" t="n">
        <v>1387706</v>
      </c>
      <c r="D4937" s="0" t="s">
        <v>16516</v>
      </c>
      <c r="E4937" s="0" t="s">
        <v>89</v>
      </c>
      <c r="F4937" s="0" t="s">
        <v>15</v>
      </c>
      <c r="G4937" s="0" t="s">
        <v>16</v>
      </c>
      <c r="H4937" s="0" t="n">
        <v>111</v>
      </c>
      <c r="I4937" s="0" t="s">
        <v>16526</v>
      </c>
      <c r="J4937" s="0" t="s">
        <v>16527</v>
      </c>
      <c r="K4937" s="0" t="s">
        <v>16528</v>
      </c>
      <c r="L4937" s="0" t="str">
        <f aca="false">HYPERLINK("https://www.ncbi.nlm.nih.gov/nuccore/CP000304.1?report=graph&amp;tracks=[key:gene_model_track,Options:GeneOnly]&amp;mk=1387576:1387595|offset_0|444444,1387597:1387616|offset_21|444444,1387644:1387663|offset_68|444444,1387687:1387706|offset_111|00cc00&amp;v=1387375:1387906&amp;c=444444", "offset 111")</f>
        <v>offset 111</v>
      </c>
    </row>
    <row r="4938" customFormat="false" ht="12.8" hidden="false" customHeight="false" outlineLevel="0" collapsed="false">
      <c r="A4938" s="0" t="s">
        <v>12</v>
      </c>
      <c r="B4938" s="0" t="n">
        <v>1388345</v>
      </c>
      <c r="C4938" s="0" t="n">
        <v>1388365</v>
      </c>
      <c r="D4938" s="0" t="s">
        <v>16529</v>
      </c>
      <c r="E4938" s="0" t="s">
        <v>89</v>
      </c>
      <c r="F4938" s="0" t="s">
        <v>15</v>
      </c>
      <c r="G4938" s="0" t="s">
        <v>32</v>
      </c>
      <c r="H4938" s="0" t="n">
        <v>7</v>
      </c>
      <c r="I4938" s="0" t="s">
        <v>16530</v>
      </c>
      <c r="J4938" s="0" t="s">
        <v>16531</v>
      </c>
      <c r="K4938" s="0" t="s">
        <v>16532</v>
      </c>
      <c r="L4938" s="0" t="str">
        <f aca="false">HYPERLINK("https://www.ncbi.nlm.nih.gov/nuccore/CP000304.1?report=graph&amp;tracks=[key:gene_model_track,Options:GeneOnly]&amp;mk=1388346:1388365|offset_7|00cc00,1388391:1388410|offset_52|444444,1388422:1388441|offset_83|444444,1388457:1388476|offset_118|444444&amp;v=1388145:1388676&amp;c=444444", "offset 7")</f>
        <v>offset 7</v>
      </c>
    </row>
    <row r="4939" customFormat="false" ht="12.8" hidden="false" customHeight="false" outlineLevel="0" collapsed="false">
      <c r="A4939" s="0" t="s">
        <v>12</v>
      </c>
      <c r="B4939" s="0" t="n">
        <v>1388390</v>
      </c>
      <c r="C4939" s="0" t="n">
        <v>1388410</v>
      </c>
      <c r="D4939" s="0" t="s">
        <v>16529</v>
      </c>
      <c r="E4939" s="0" t="s">
        <v>89</v>
      </c>
      <c r="F4939" s="0" t="s">
        <v>15</v>
      </c>
      <c r="G4939" s="0" t="s">
        <v>26</v>
      </c>
      <c r="H4939" s="0" t="n">
        <v>52</v>
      </c>
      <c r="I4939" s="0" t="s">
        <v>16533</v>
      </c>
      <c r="J4939" s="0" t="s">
        <v>16534</v>
      </c>
      <c r="K4939" s="0" t="s">
        <v>16535</v>
      </c>
      <c r="L4939" s="0" t="str">
        <f aca="false">HYPERLINK("https://www.ncbi.nlm.nih.gov/nuccore/CP000304.1?report=graph&amp;tracks=[key:gene_model_track,Options:GeneOnly]&amp;mk=1388346:1388365|offset_7|444444,1388391:1388410|offset_52|00cc00,1388422:1388441|offset_83|444444,1388457:1388476|offset_118|444444&amp;v=1388145:1388676&amp;c=444444", "offset 52")</f>
        <v>offset 52</v>
      </c>
    </row>
    <row r="4940" customFormat="false" ht="12.8" hidden="false" customHeight="false" outlineLevel="0" collapsed="false">
      <c r="A4940" s="0" t="s">
        <v>12</v>
      </c>
      <c r="B4940" s="0" t="n">
        <v>1388421</v>
      </c>
      <c r="C4940" s="0" t="n">
        <v>1388441</v>
      </c>
      <c r="D4940" s="0" t="s">
        <v>16529</v>
      </c>
      <c r="E4940" s="0" t="s">
        <v>89</v>
      </c>
      <c r="F4940" s="0" t="s">
        <v>15</v>
      </c>
      <c r="G4940" s="0" t="s">
        <v>26</v>
      </c>
      <c r="H4940" s="0" t="n">
        <v>83</v>
      </c>
      <c r="I4940" s="0" t="s">
        <v>16536</v>
      </c>
      <c r="J4940" s="0" t="s">
        <v>16537</v>
      </c>
      <c r="K4940" s="0" t="s">
        <v>16538</v>
      </c>
      <c r="L4940" s="0" t="str">
        <f aca="false">HYPERLINK("https://www.ncbi.nlm.nih.gov/nuccore/CP000304.1?report=graph&amp;tracks=[key:gene_model_track,Options:GeneOnly]&amp;mk=1388346:1388365|offset_7|444444,1388391:1388410|offset_52|444444,1388422:1388441|offset_83|00cc00,1388457:1388476|offset_118|444444&amp;v=1388145:1388676&amp;c=444444", "offset 83")</f>
        <v>offset 83</v>
      </c>
    </row>
    <row r="4941" customFormat="false" ht="12.8" hidden="false" customHeight="false" outlineLevel="0" collapsed="false">
      <c r="A4941" s="0" t="s">
        <v>12</v>
      </c>
      <c r="B4941" s="0" t="n">
        <v>1388456</v>
      </c>
      <c r="C4941" s="0" t="n">
        <v>1388476</v>
      </c>
      <c r="D4941" s="0" t="s">
        <v>16529</v>
      </c>
      <c r="E4941" s="0" t="s">
        <v>89</v>
      </c>
      <c r="F4941" s="0" t="s">
        <v>15</v>
      </c>
      <c r="G4941" s="0" t="s">
        <v>32</v>
      </c>
      <c r="H4941" s="0" t="n">
        <v>118</v>
      </c>
      <c r="I4941" s="0" t="s">
        <v>16539</v>
      </c>
      <c r="J4941" s="0" t="s">
        <v>16540</v>
      </c>
      <c r="K4941" s="0" t="s">
        <v>16541</v>
      </c>
      <c r="L4941" s="0" t="str">
        <f aca="false">HYPERLINK("https://www.ncbi.nlm.nih.gov/nuccore/CP000304.1?report=graph&amp;tracks=[key:gene_model_track,Options:GeneOnly]&amp;mk=1388346:1388365|offset_7|444444,1388391:1388410|offset_52|444444,1388422:1388441|offset_83|444444,1388457:1388476|offset_118|00cc00&amp;v=1388145:1388676&amp;c=444444", "offset 118")</f>
        <v>offset 118</v>
      </c>
    </row>
    <row r="4942" customFormat="false" ht="12.8" hidden="false" customHeight="false" outlineLevel="0" collapsed="false">
      <c r="A4942" s="0" t="s">
        <v>12</v>
      </c>
      <c r="B4942" s="0" t="n">
        <v>1388816</v>
      </c>
      <c r="C4942" s="0" t="n">
        <v>1388836</v>
      </c>
      <c r="D4942" s="0" t="s">
        <v>16542</v>
      </c>
      <c r="E4942" s="0" t="s">
        <v>89</v>
      </c>
      <c r="F4942" s="0" t="s">
        <v>15</v>
      </c>
      <c r="G4942" s="0" t="s">
        <v>32</v>
      </c>
      <c r="H4942" s="0" t="n">
        <v>7</v>
      </c>
      <c r="I4942" s="0" t="s">
        <v>16543</v>
      </c>
      <c r="J4942" s="0" t="s">
        <v>16544</v>
      </c>
      <c r="K4942" s="0" t="s">
        <v>16545</v>
      </c>
      <c r="L4942" s="0" t="str">
        <f aca="false">HYPERLINK("https://www.ncbi.nlm.nih.gov/nuccore/CP000304.1?report=graph&amp;tracks=[key:gene_model_track,Options:GeneOnly]&amp;mk=1388817:1388836|offset_7|00cc00,1388841:1388860|offset_31|444444,1388867:1388886|offset_57|444444,1388916:1388935|offset_106|444444&amp;v=1388616:1389135&amp;c=444444", "offset 7")</f>
        <v>offset 7</v>
      </c>
    </row>
    <row r="4943" customFormat="false" ht="12.8" hidden="false" customHeight="false" outlineLevel="0" collapsed="false">
      <c r="A4943" s="0" t="s">
        <v>12</v>
      </c>
      <c r="B4943" s="0" t="n">
        <v>1388840</v>
      </c>
      <c r="C4943" s="0" t="n">
        <v>1388860</v>
      </c>
      <c r="D4943" s="0" t="s">
        <v>16542</v>
      </c>
      <c r="E4943" s="0" t="s">
        <v>89</v>
      </c>
      <c r="F4943" s="0" t="s">
        <v>15</v>
      </c>
      <c r="G4943" s="0" t="s">
        <v>16</v>
      </c>
      <c r="H4943" s="0" t="n">
        <v>31</v>
      </c>
      <c r="I4943" s="0" t="s">
        <v>16546</v>
      </c>
      <c r="J4943" s="0" t="s">
        <v>16547</v>
      </c>
      <c r="K4943" s="0" t="s">
        <v>16548</v>
      </c>
      <c r="L4943" s="0" t="str">
        <f aca="false">HYPERLINK("https://www.ncbi.nlm.nih.gov/nuccore/CP000304.1?report=graph&amp;tracks=[key:gene_model_track,Options:GeneOnly]&amp;mk=1388817:1388836|offset_7|444444,1388841:1388860|offset_31|00cc00,1388867:1388886|offset_57|444444,1388916:1388935|offset_106|444444&amp;v=1388616:1389135&amp;c=444444", "offset 31")</f>
        <v>offset 31</v>
      </c>
    </row>
    <row r="4944" customFormat="false" ht="12.8" hidden="false" customHeight="false" outlineLevel="0" collapsed="false">
      <c r="A4944" s="0" t="s">
        <v>12</v>
      </c>
      <c r="B4944" s="0" t="n">
        <v>1388866</v>
      </c>
      <c r="C4944" s="0" t="n">
        <v>1388886</v>
      </c>
      <c r="D4944" s="0" t="s">
        <v>16542</v>
      </c>
      <c r="E4944" s="0" t="s">
        <v>89</v>
      </c>
      <c r="F4944" s="0" t="s">
        <v>15</v>
      </c>
      <c r="G4944" s="0" t="s">
        <v>26</v>
      </c>
      <c r="H4944" s="0" t="n">
        <v>57</v>
      </c>
      <c r="I4944" s="0" t="s">
        <v>16549</v>
      </c>
      <c r="J4944" s="0" t="s">
        <v>16550</v>
      </c>
      <c r="K4944" s="0" t="s">
        <v>16551</v>
      </c>
      <c r="L4944" s="0" t="str">
        <f aca="false">HYPERLINK("https://www.ncbi.nlm.nih.gov/nuccore/CP000304.1?report=graph&amp;tracks=[key:gene_model_track,Options:GeneOnly]&amp;mk=1388817:1388836|offset_7|444444,1388841:1388860|offset_31|444444,1388867:1388886|offset_57|00cc00,1388916:1388935|offset_106|444444&amp;v=1388616:1389135&amp;c=444444", "offset 57")</f>
        <v>offset 57</v>
      </c>
    </row>
    <row r="4945" customFormat="false" ht="12.8" hidden="false" customHeight="false" outlineLevel="0" collapsed="false">
      <c r="A4945" s="0" t="s">
        <v>12</v>
      </c>
      <c r="B4945" s="0" t="n">
        <v>1388915</v>
      </c>
      <c r="C4945" s="0" t="n">
        <v>1388935</v>
      </c>
      <c r="D4945" s="0" t="s">
        <v>16542</v>
      </c>
      <c r="E4945" s="0" t="s">
        <v>89</v>
      </c>
      <c r="F4945" s="0" t="s">
        <v>15</v>
      </c>
      <c r="G4945" s="0" t="s">
        <v>32</v>
      </c>
      <c r="H4945" s="0" t="n">
        <v>106</v>
      </c>
      <c r="I4945" s="0" t="s">
        <v>16552</v>
      </c>
      <c r="J4945" s="0" t="s">
        <v>16553</v>
      </c>
      <c r="K4945" s="0" t="s">
        <v>16554</v>
      </c>
      <c r="L4945" s="0" t="str">
        <f aca="false">HYPERLINK("https://www.ncbi.nlm.nih.gov/nuccore/CP000304.1?report=graph&amp;tracks=[key:gene_model_track,Options:GeneOnly]&amp;mk=1388817:1388836|offset_7|444444,1388841:1388860|offset_31|444444,1388867:1388886|offset_57|444444,1388916:1388935|offset_106|00cc00&amp;v=1388616:1389135&amp;c=444444", "offset 106")</f>
        <v>offset 106</v>
      </c>
    </row>
    <row r="4946" customFormat="false" ht="12.8" hidden="false" customHeight="false" outlineLevel="0" collapsed="false">
      <c r="A4946" s="0" t="s">
        <v>12</v>
      </c>
      <c r="B4946" s="0" t="n">
        <v>1389911</v>
      </c>
      <c r="C4946" s="0" t="n">
        <v>1389931</v>
      </c>
      <c r="D4946" s="0" t="s">
        <v>16555</v>
      </c>
      <c r="E4946" s="0" t="s">
        <v>16556</v>
      </c>
      <c r="F4946" s="0" t="s">
        <v>15</v>
      </c>
      <c r="G4946" s="0" t="s">
        <v>36</v>
      </c>
      <c r="H4946" s="0" t="n">
        <v>31</v>
      </c>
      <c r="I4946" s="0" t="s">
        <v>16557</v>
      </c>
      <c r="J4946" s="0" t="s">
        <v>16558</v>
      </c>
      <c r="K4946" s="0" t="s">
        <v>16559</v>
      </c>
      <c r="L4946" s="0" t="str">
        <f aca="false">HYPERLINK("https://www.ncbi.nlm.nih.gov/nuccore/CP000304.1?report=graph&amp;tracks=[key:gene_model_track,Options:GeneOnly]&amp;mk=1389912:1389931|offset_31|00cc00,1389943:1389962|offset_62|444444,1389966:1389985|offset_85|444444,1389990:1390009|offset_109|444444&amp;v=1389711:1390209&amp;c=444444", "offset 31")</f>
        <v>offset 31</v>
      </c>
    </row>
    <row r="4947" customFormat="false" ht="12.8" hidden="false" customHeight="false" outlineLevel="0" collapsed="false">
      <c r="A4947" s="0" t="s">
        <v>12</v>
      </c>
      <c r="B4947" s="0" t="n">
        <v>1389942</v>
      </c>
      <c r="C4947" s="0" t="n">
        <v>1389962</v>
      </c>
      <c r="D4947" s="0" t="s">
        <v>16555</v>
      </c>
      <c r="E4947" s="0" t="s">
        <v>16556</v>
      </c>
      <c r="F4947" s="0" t="s">
        <v>15</v>
      </c>
      <c r="G4947" s="0" t="s">
        <v>32</v>
      </c>
      <c r="H4947" s="0" t="n">
        <v>62</v>
      </c>
      <c r="I4947" s="0" t="s">
        <v>16560</v>
      </c>
      <c r="J4947" s="0" t="s">
        <v>16561</v>
      </c>
      <c r="K4947" s="0" t="s">
        <v>16562</v>
      </c>
      <c r="L4947" s="0" t="str">
        <f aca="false">HYPERLINK("https://www.ncbi.nlm.nih.gov/nuccore/CP000304.1?report=graph&amp;tracks=[key:gene_model_track,Options:GeneOnly]&amp;mk=1389912:1389931|offset_31|444444,1389943:1389962|offset_62|00cc00,1389966:1389985|offset_85|444444,1389990:1390009|offset_109|444444&amp;v=1389711:1390209&amp;c=444444", "offset 62")</f>
        <v>offset 62</v>
      </c>
    </row>
    <row r="4948" customFormat="false" ht="12.8" hidden="false" customHeight="false" outlineLevel="0" collapsed="false">
      <c r="A4948" s="0" t="s">
        <v>12</v>
      </c>
      <c r="B4948" s="0" t="n">
        <v>1389965</v>
      </c>
      <c r="C4948" s="0" t="n">
        <v>1389985</v>
      </c>
      <c r="D4948" s="0" t="s">
        <v>16555</v>
      </c>
      <c r="E4948" s="0" t="s">
        <v>16556</v>
      </c>
      <c r="F4948" s="0" t="s">
        <v>15</v>
      </c>
      <c r="G4948" s="0" t="s">
        <v>36</v>
      </c>
      <c r="H4948" s="0" t="n">
        <v>85</v>
      </c>
      <c r="I4948" s="0" t="s">
        <v>16563</v>
      </c>
      <c r="J4948" s="0" t="s">
        <v>16564</v>
      </c>
      <c r="K4948" s="0" t="s">
        <v>16565</v>
      </c>
      <c r="L4948" s="0" t="str">
        <f aca="false">HYPERLINK("https://www.ncbi.nlm.nih.gov/nuccore/CP000304.1?report=graph&amp;tracks=[key:gene_model_track,Options:GeneOnly]&amp;mk=1389912:1389931|offset_31|444444,1389943:1389962|offset_62|444444,1389966:1389985|offset_85|00cc00,1389990:1390009|offset_109|444444&amp;v=1389711:1390209&amp;c=444444", "offset 85")</f>
        <v>offset 85</v>
      </c>
    </row>
    <row r="4949" customFormat="false" ht="12.8" hidden="false" customHeight="false" outlineLevel="0" collapsed="false">
      <c r="A4949" s="0" t="s">
        <v>12</v>
      </c>
      <c r="B4949" s="0" t="n">
        <v>1389989</v>
      </c>
      <c r="C4949" s="0" t="n">
        <v>1390009</v>
      </c>
      <c r="D4949" s="0" t="s">
        <v>16555</v>
      </c>
      <c r="E4949" s="0" t="s">
        <v>16556</v>
      </c>
      <c r="F4949" s="0" t="s">
        <v>15</v>
      </c>
      <c r="G4949" s="0" t="s">
        <v>32</v>
      </c>
      <c r="H4949" s="0" t="n">
        <v>109</v>
      </c>
      <c r="I4949" s="0" t="s">
        <v>16566</v>
      </c>
      <c r="J4949" s="0" t="s">
        <v>16567</v>
      </c>
      <c r="K4949" s="0" t="s">
        <v>16568</v>
      </c>
      <c r="L4949" s="0" t="str">
        <f aca="false">HYPERLINK("https://www.ncbi.nlm.nih.gov/nuccore/CP000304.1?report=graph&amp;tracks=[key:gene_model_track,Options:GeneOnly]&amp;mk=1389912:1389931|offset_31|444444,1389943:1389962|offset_62|444444,1389966:1389985|offset_85|444444,1389990:1390009|offset_109|00cc00&amp;v=1389711:1390209&amp;c=444444", "offset 109")</f>
        <v>offset 109</v>
      </c>
    </row>
    <row r="4950" customFormat="false" ht="12.8" hidden="false" customHeight="false" outlineLevel="0" collapsed="false">
      <c r="A4950" s="0" t="s">
        <v>12</v>
      </c>
      <c r="B4950" s="0" t="n">
        <v>1391592</v>
      </c>
      <c r="C4950" s="0" t="n">
        <v>1391612</v>
      </c>
      <c r="D4950" s="0" t="s">
        <v>16569</v>
      </c>
      <c r="E4950" s="0" t="s">
        <v>16570</v>
      </c>
      <c r="F4950" s="0" t="s">
        <v>15</v>
      </c>
      <c r="G4950" s="0" t="s">
        <v>36</v>
      </c>
      <c r="H4950" s="0" t="n">
        <v>136</v>
      </c>
      <c r="I4950" s="0" t="s">
        <v>16571</v>
      </c>
      <c r="J4950" s="0" t="s">
        <v>16572</v>
      </c>
      <c r="K4950" s="0" t="s">
        <v>16573</v>
      </c>
      <c r="L4950" s="0" t="str">
        <f aca="false">HYPERLINK("https://www.ncbi.nlm.nih.gov/nuccore/CP000304.1?report=graph&amp;tracks=[key:gene_model_track,Options:GeneOnly]&amp;mk=1391593:1391612|offset_136|00cc00,1391620:1391639|offset_163|444444,1391680:1391699|offset_223|444444,1391705:1391724|offset_248|444444&amp;v=1391392:1391924&amp;c=444444", "offset 136")</f>
        <v>offset 136</v>
      </c>
    </row>
    <row r="4951" customFormat="false" ht="12.8" hidden="false" customHeight="false" outlineLevel="0" collapsed="false">
      <c r="A4951" s="0" t="s">
        <v>12</v>
      </c>
      <c r="B4951" s="0" t="n">
        <v>1391619</v>
      </c>
      <c r="C4951" s="0" t="n">
        <v>1391639</v>
      </c>
      <c r="D4951" s="0" t="s">
        <v>16569</v>
      </c>
      <c r="E4951" s="0" t="s">
        <v>16570</v>
      </c>
      <c r="F4951" s="0" t="s">
        <v>15</v>
      </c>
      <c r="G4951" s="0" t="s">
        <v>32</v>
      </c>
      <c r="H4951" s="0" t="n">
        <v>163</v>
      </c>
      <c r="I4951" s="0" t="s">
        <v>16574</v>
      </c>
      <c r="J4951" s="0" t="s">
        <v>16575</v>
      </c>
      <c r="K4951" s="0" t="s">
        <v>16576</v>
      </c>
      <c r="L4951" s="0" t="str">
        <f aca="false">HYPERLINK("https://www.ncbi.nlm.nih.gov/nuccore/CP000304.1?report=graph&amp;tracks=[key:gene_model_track,Options:GeneOnly]&amp;mk=1391593:1391612|offset_136|444444,1391620:1391639|offset_163|00cc00,1391680:1391699|offset_223|444444,1391705:1391724|offset_248|444444&amp;v=1391392:1391924&amp;c=444444", "offset 163")</f>
        <v>offset 163</v>
      </c>
    </row>
    <row r="4952" customFormat="false" ht="12.8" hidden="false" customHeight="false" outlineLevel="0" collapsed="false">
      <c r="A4952" s="0" t="s">
        <v>12</v>
      </c>
      <c r="B4952" s="0" t="n">
        <v>1391679</v>
      </c>
      <c r="C4952" s="0" t="n">
        <v>1391699</v>
      </c>
      <c r="D4952" s="0" t="s">
        <v>16569</v>
      </c>
      <c r="E4952" s="0" t="s">
        <v>16570</v>
      </c>
      <c r="F4952" s="0" t="s">
        <v>15</v>
      </c>
      <c r="G4952" s="0" t="s">
        <v>32</v>
      </c>
      <c r="H4952" s="0" t="n">
        <v>223</v>
      </c>
      <c r="I4952" s="0" t="s">
        <v>16577</v>
      </c>
      <c r="J4952" s="0" t="s">
        <v>16578</v>
      </c>
      <c r="K4952" s="0" t="s">
        <v>16579</v>
      </c>
      <c r="L4952" s="0" t="str">
        <f aca="false">HYPERLINK("https://www.ncbi.nlm.nih.gov/nuccore/CP000304.1?report=graph&amp;tracks=[key:gene_model_track,Options:GeneOnly]&amp;mk=1391593:1391612|offset_136|444444,1391620:1391639|offset_163|444444,1391680:1391699|offset_223|00cc00,1391705:1391724|offset_248|444444&amp;v=1391392:1391924&amp;c=444444", "offset 223")</f>
        <v>offset 223</v>
      </c>
    </row>
    <row r="4953" customFormat="false" ht="12.8" hidden="false" customHeight="false" outlineLevel="0" collapsed="false">
      <c r="A4953" s="0" t="s">
        <v>12</v>
      </c>
      <c r="B4953" s="0" t="n">
        <v>1391704</v>
      </c>
      <c r="C4953" s="0" t="n">
        <v>1391724</v>
      </c>
      <c r="D4953" s="0" t="s">
        <v>16569</v>
      </c>
      <c r="E4953" s="0" t="s">
        <v>16570</v>
      </c>
      <c r="F4953" s="0" t="s">
        <v>15</v>
      </c>
      <c r="G4953" s="0" t="s">
        <v>32</v>
      </c>
      <c r="H4953" s="0" t="n">
        <v>248</v>
      </c>
      <c r="I4953" s="0" t="s">
        <v>16580</v>
      </c>
      <c r="J4953" s="0" t="s">
        <v>16581</v>
      </c>
      <c r="K4953" s="0" t="s">
        <v>16582</v>
      </c>
      <c r="L4953" s="0" t="str">
        <f aca="false">HYPERLINK("https://www.ncbi.nlm.nih.gov/nuccore/CP000304.1?report=graph&amp;tracks=[key:gene_model_track,Options:GeneOnly]&amp;mk=1391593:1391612|offset_136|444444,1391620:1391639|offset_163|444444,1391680:1391699|offset_223|444444,1391705:1391724|offset_248|00cc00&amp;v=1391392:1391924&amp;c=444444", "offset 248")</f>
        <v>offset 248</v>
      </c>
    </row>
    <row r="4954" customFormat="false" ht="12.8" hidden="false" customHeight="false" outlineLevel="0" collapsed="false">
      <c r="A4954" s="0" t="s">
        <v>12</v>
      </c>
      <c r="B4954" s="0" t="n">
        <v>1392684</v>
      </c>
      <c r="C4954" s="0" t="n">
        <v>1392704</v>
      </c>
      <c r="D4954" s="0" t="s">
        <v>16583</v>
      </c>
      <c r="E4954" s="0" t="s">
        <v>89</v>
      </c>
      <c r="F4954" s="0" t="s">
        <v>15</v>
      </c>
      <c r="G4954" s="0" t="s">
        <v>16</v>
      </c>
      <c r="H4954" s="0" t="n">
        <v>11</v>
      </c>
      <c r="I4954" s="0" t="s">
        <v>16584</v>
      </c>
      <c r="J4954" s="0" t="s">
        <v>16585</v>
      </c>
      <c r="K4954" s="0" t="s">
        <v>16586</v>
      </c>
      <c r="L4954" s="0" t="str">
        <f aca="false">HYPERLINK("https://www.ncbi.nlm.nih.gov/nuccore/CP000304.1?report=graph&amp;tracks=[key:gene_model_track,Options:GeneOnly]&amp;mk=1392685:1392704|offset_11|00cc00,1392830:1392849|offset_156|444444,1392850:1392869|offset_176|444444,1392905:1392924|offset_231|444444&amp;v=1392484:1393124&amp;c=444444", "offset 11")</f>
        <v>offset 11</v>
      </c>
    </row>
    <row r="4955" customFormat="false" ht="12.8" hidden="false" customHeight="false" outlineLevel="0" collapsed="false">
      <c r="A4955" s="0" t="s">
        <v>12</v>
      </c>
      <c r="B4955" s="0" t="n">
        <v>1392829</v>
      </c>
      <c r="C4955" s="0" t="n">
        <v>1392849</v>
      </c>
      <c r="D4955" s="0" t="s">
        <v>16583</v>
      </c>
      <c r="E4955" s="0" t="s">
        <v>89</v>
      </c>
      <c r="F4955" s="0" t="s">
        <v>15</v>
      </c>
      <c r="G4955" s="0" t="s">
        <v>16</v>
      </c>
      <c r="H4955" s="0" t="n">
        <v>156</v>
      </c>
      <c r="I4955" s="0" t="s">
        <v>16587</v>
      </c>
      <c r="J4955" s="0" t="s">
        <v>16588</v>
      </c>
      <c r="K4955" s="0" t="s">
        <v>16589</v>
      </c>
      <c r="L4955" s="0" t="str">
        <f aca="false">HYPERLINK("https://www.ncbi.nlm.nih.gov/nuccore/CP000304.1?report=graph&amp;tracks=[key:gene_model_track,Options:GeneOnly]&amp;mk=1392685:1392704|offset_11|444444,1392830:1392849|offset_156|00cc00,1392850:1392869|offset_176|444444,1392905:1392924|offset_231|444444&amp;v=1392484:1393124&amp;c=444444", "offset 156")</f>
        <v>offset 156</v>
      </c>
    </row>
    <row r="4956" customFormat="false" ht="12.8" hidden="false" customHeight="false" outlineLevel="0" collapsed="false">
      <c r="A4956" s="0" t="s">
        <v>12</v>
      </c>
      <c r="B4956" s="0" t="n">
        <v>1392849</v>
      </c>
      <c r="C4956" s="0" t="n">
        <v>1392869</v>
      </c>
      <c r="D4956" s="0" t="s">
        <v>16583</v>
      </c>
      <c r="E4956" s="0" t="s">
        <v>89</v>
      </c>
      <c r="F4956" s="0" t="s">
        <v>15</v>
      </c>
      <c r="G4956" s="0" t="s">
        <v>16</v>
      </c>
      <c r="H4956" s="0" t="n">
        <v>176</v>
      </c>
      <c r="I4956" s="0" t="s">
        <v>16590</v>
      </c>
      <c r="J4956" s="0" t="s">
        <v>16591</v>
      </c>
      <c r="K4956" s="0" t="s">
        <v>16592</v>
      </c>
      <c r="L4956" s="0" t="str">
        <f aca="false">HYPERLINK("https://www.ncbi.nlm.nih.gov/nuccore/CP000304.1?report=graph&amp;tracks=[key:gene_model_track,Options:GeneOnly]&amp;mk=1392685:1392704|offset_11|444444,1392830:1392849|offset_156|444444,1392850:1392869|offset_176|00cc00,1392905:1392924|offset_231|444444&amp;v=1392484:1393124&amp;c=444444", "offset 176")</f>
        <v>offset 176</v>
      </c>
    </row>
    <row r="4957" customFormat="false" ht="12.8" hidden="false" customHeight="false" outlineLevel="0" collapsed="false">
      <c r="A4957" s="0" t="s">
        <v>12</v>
      </c>
      <c r="B4957" s="0" t="n">
        <v>1392904</v>
      </c>
      <c r="C4957" s="0" t="n">
        <v>1392924</v>
      </c>
      <c r="D4957" s="0" t="s">
        <v>16583</v>
      </c>
      <c r="E4957" s="0" t="s">
        <v>89</v>
      </c>
      <c r="F4957" s="0" t="s">
        <v>15</v>
      </c>
      <c r="G4957" s="0" t="s">
        <v>32</v>
      </c>
      <c r="H4957" s="0" t="n">
        <v>231</v>
      </c>
      <c r="I4957" s="0" t="s">
        <v>16593</v>
      </c>
      <c r="J4957" s="0" t="s">
        <v>16594</v>
      </c>
      <c r="K4957" s="0" t="s">
        <v>16595</v>
      </c>
      <c r="L4957" s="0" t="str">
        <f aca="false">HYPERLINK("https://www.ncbi.nlm.nih.gov/nuccore/CP000304.1?report=graph&amp;tracks=[key:gene_model_track,Options:GeneOnly]&amp;mk=1392685:1392704|offset_11|444444,1392830:1392849|offset_156|444444,1392850:1392869|offset_176|444444,1392905:1392924|offset_231|00cc00&amp;v=1392484:1393124&amp;c=444444", "offset 231")</f>
        <v>offset 231</v>
      </c>
    </row>
    <row r="4958" customFormat="false" ht="12.8" hidden="false" customHeight="false" outlineLevel="0" collapsed="false">
      <c r="A4958" s="0" t="s">
        <v>12</v>
      </c>
      <c r="B4958" s="0" t="n">
        <v>1394042</v>
      </c>
      <c r="C4958" s="0" t="n">
        <v>1394062</v>
      </c>
      <c r="D4958" s="0" t="s">
        <v>16596</v>
      </c>
      <c r="E4958" s="0" t="s">
        <v>89</v>
      </c>
      <c r="F4958" s="0" t="s">
        <v>15</v>
      </c>
      <c r="G4958" s="0" t="s">
        <v>36</v>
      </c>
      <c r="H4958" s="0" t="n">
        <v>0</v>
      </c>
      <c r="I4958" s="0" t="s">
        <v>16597</v>
      </c>
      <c r="J4958" s="0" t="s">
        <v>16598</v>
      </c>
      <c r="K4958" s="0" t="s">
        <v>16599</v>
      </c>
      <c r="L4958" s="0" t="str">
        <f aca="false">HYPERLINK("https://www.ncbi.nlm.nih.gov/nuccore/CP000304.1?report=graph&amp;tracks=[key:gene_model_track,Options:GeneOnly]&amp;mk=1394043:1394062|offset_0|00cc00,1394064:1394083|offset_21|444444,1394101:1394120|offset_58|444444,1394125:1394144|offset_82|444444&amp;v=1393842:1394344&amp;c=444444", "offset 0")</f>
        <v>offset 0</v>
      </c>
    </row>
    <row r="4959" customFormat="false" ht="12.8" hidden="false" customHeight="false" outlineLevel="0" collapsed="false">
      <c r="A4959" s="0" t="s">
        <v>12</v>
      </c>
      <c r="B4959" s="0" t="n">
        <v>1394063</v>
      </c>
      <c r="C4959" s="0" t="n">
        <v>1394083</v>
      </c>
      <c r="D4959" s="0" t="s">
        <v>16596</v>
      </c>
      <c r="E4959" s="0" t="s">
        <v>89</v>
      </c>
      <c r="F4959" s="0" t="s">
        <v>15</v>
      </c>
      <c r="G4959" s="0" t="s">
        <v>36</v>
      </c>
      <c r="H4959" s="0" t="n">
        <v>21</v>
      </c>
      <c r="I4959" s="0" t="s">
        <v>16600</v>
      </c>
      <c r="J4959" s="0" t="s">
        <v>16601</v>
      </c>
      <c r="K4959" s="0" t="s">
        <v>16602</v>
      </c>
      <c r="L4959" s="0" t="str">
        <f aca="false">HYPERLINK("https://www.ncbi.nlm.nih.gov/nuccore/CP000304.1?report=graph&amp;tracks=[key:gene_model_track,Options:GeneOnly]&amp;mk=1394043:1394062|offset_0|444444,1394064:1394083|offset_21|00cc00,1394101:1394120|offset_58|444444,1394125:1394144|offset_82|444444&amp;v=1393842:1394344&amp;c=444444", "offset 21")</f>
        <v>offset 21</v>
      </c>
    </row>
    <row r="4960" customFormat="false" ht="12.8" hidden="false" customHeight="false" outlineLevel="0" collapsed="false">
      <c r="A4960" s="0" t="s">
        <v>12</v>
      </c>
      <c r="B4960" s="0" t="n">
        <v>1394100</v>
      </c>
      <c r="C4960" s="0" t="n">
        <v>1394120</v>
      </c>
      <c r="D4960" s="0" t="s">
        <v>16596</v>
      </c>
      <c r="E4960" s="0" t="s">
        <v>89</v>
      </c>
      <c r="F4960" s="0" t="s">
        <v>15</v>
      </c>
      <c r="G4960" s="0" t="s">
        <v>26</v>
      </c>
      <c r="H4960" s="0" t="n">
        <v>58</v>
      </c>
      <c r="I4960" s="0" t="s">
        <v>16603</v>
      </c>
      <c r="J4960" s="0" t="s">
        <v>16604</v>
      </c>
      <c r="K4960" s="0" t="s">
        <v>16605</v>
      </c>
      <c r="L4960" s="0" t="str">
        <f aca="false">HYPERLINK("https://www.ncbi.nlm.nih.gov/nuccore/CP000304.1?report=graph&amp;tracks=[key:gene_model_track,Options:GeneOnly]&amp;mk=1394043:1394062|offset_0|444444,1394064:1394083|offset_21|444444,1394101:1394120|offset_58|00cc00,1394125:1394144|offset_82|444444&amp;v=1393842:1394344&amp;c=444444", "offset 58")</f>
        <v>offset 58</v>
      </c>
    </row>
    <row r="4961" customFormat="false" ht="12.8" hidden="false" customHeight="false" outlineLevel="0" collapsed="false">
      <c r="A4961" s="0" t="s">
        <v>12</v>
      </c>
      <c r="B4961" s="0" t="n">
        <v>1394124</v>
      </c>
      <c r="C4961" s="0" t="n">
        <v>1394144</v>
      </c>
      <c r="D4961" s="0" t="s">
        <v>16596</v>
      </c>
      <c r="E4961" s="0" t="s">
        <v>89</v>
      </c>
      <c r="F4961" s="0" t="s">
        <v>15</v>
      </c>
      <c r="G4961" s="0" t="s">
        <v>16</v>
      </c>
      <c r="H4961" s="0" t="n">
        <v>82</v>
      </c>
      <c r="I4961" s="0" t="s">
        <v>16606</v>
      </c>
      <c r="J4961" s="0" t="s">
        <v>16607</v>
      </c>
      <c r="K4961" s="0" t="s">
        <v>16608</v>
      </c>
      <c r="L4961" s="0" t="str">
        <f aca="false">HYPERLINK("https://www.ncbi.nlm.nih.gov/nuccore/CP000304.1?report=graph&amp;tracks=[key:gene_model_track,Options:GeneOnly]&amp;mk=1394043:1394062|offset_0|444444,1394064:1394083|offset_21|444444,1394101:1394120|offset_58|444444,1394125:1394144|offset_82|00cc00&amp;v=1393842:1394344&amp;c=444444", "offset 82")</f>
        <v>offset 82</v>
      </c>
    </row>
    <row r="4962" customFormat="false" ht="12.8" hidden="false" customHeight="false" outlineLevel="0" collapsed="false">
      <c r="A4962" s="0" t="s">
        <v>12</v>
      </c>
      <c r="B4962" s="0" t="n">
        <v>1394752</v>
      </c>
      <c r="C4962" s="0" t="n">
        <v>1394772</v>
      </c>
      <c r="D4962" s="0" t="s">
        <v>16609</v>
      </c>
      <c r="E4962" s="0" t="s">
        <v>89</v>
      </c>
      <c r="F4962" s="0" t="s">
        <v>15</v>
      </c>
      <c r="G4962" s="0" t="s">
        <v>32</v>
      </c>
      <c r="H4962" s="0" t="n">
        <v>1</v>
      </c>
      <c r="I4962" s="0" t="s">
        <v>16610</v>
      </c>
      <c r="J4962" s="0" t="s">
        <v>16611</v>
      </c>
      <c r="K4962" s="0" t="s">
        <v>16612</v>
      </c>
      <c r="L4962" s="0" t="str">
        <f aca="false">HYPERLINK("https://www.ncbi.nlm.nih.gov/nuccore/CP000304.1?report=graph&amp;tracks=[key:gene_model_track,Options:GeneOnly]&amp;mk=1394753:1394772|offset_1|00cc00,1394774:1394793|offset_22|444444,1394795:1394814|offset_43|444444,1394821:1394840|offset_69|444444&amp;v=1394552:1395040&amp;c=444444", "offset 1")</f>
        <v>offset 1</v>
      </c>
    </row>
    <row r="4963" customFormat="false" ht="12.8" hidden="false" customHeight="false" outlineLevel="0" collapsed="false">
      <c r="A4963" s="0" t="s">
        <v>12</v>
      </c>
      <c r="B4963" s="0" t="n">
        <v>1394773</v>
      </c>
      <c r="C4963" s="0" t="n">
        <v>1394793</v>
      </c>
      <c r="D4963" s="0" t="s">
        <v>16609</v>
      </c>
      <c r="E4963" s="0" t="s">
        <v>89</v>
      </c>
      <c r="F4963" s="0" t="s">
        <v>15</v>
      </c>
      <c r="G4963" s="0" t="s">
        <v>32</v>
      </c>
      <c r="H4963" s="0" t="n">
        <v>22</v>
      </c>
      <c r="I4963" s="0" t="s">
        <v>16613</v>
      </c>
      <c r="J4963" s="0" t="s">
        <v>16614</v>
      </c>
      <c r="K4963" s="0" t="s">
        <v>16615</v>
      </c>
      <c r="L4963" s="0" t="str">
        <f aca="false">HYPERLINK("https://www.ncbi.nlm.nih.gov/nuccore/CP000304.1?report=graph&amp;tracks=[key:gene_model_track,Options:GeneOnly]&amp;mk=1394753:1394772|offset_1|444444,1394774:1394793|offset_22|00cc00,1394795:1394814|offset_43|444444,1394821:1394840|offset_69|444444&amp;v=1394552:1395040&amp;c=444444", "offset 22")</f>
        <v>offset 22</v>
      </c>
    </row>
    <row r="4964" customFormat="false" ht="12.8" hidden="false" customHeight="false" outlineLevel="0" collapsed="false">
      <c r="A4964" s="0" t="s">
        <v>12</v>
      </c>
      <c r="B4964" s="0" t="n">
        <v>1394794</v>
      </c>
      <c r="C4964" s="0" t="n">
        <v>1394814</v>
      </c>
      <c r="D4964" s="0" t="s">
        <v>16609</v>
      </c>
      <c r="E4964" s="0" t="s">
        <v>89</v>
      </c>
      <c r="F4964" s="0" t="s">
        <v>15</v>
      </c>
      <c r="G4964" s="0" t="s">
        <v>26</v>
      </c>
      <c r="H4964" s="0" t="n">
        <v>43</v>
      </c>
      <c r="I4964" s="0" t="s">
        <v>16616</v>
      </c>
      <c r="J4964" s="0" t="s">
        <v>16617</v>
      </c>
      <c r="K4964" s="0" t="s">
        <v>16618</v>
      </c>
      <c r="L4964" s="0" t="str">
        <f aca="false">HYPERLINK("https://www.ncbi.nlm.nih.gov/nuccore/CP000304.1?report=graph&amp;tracks=[key:gene_model_track,Options:GeneOnly]&amp;mk=1394753:1394772|offset_1|444444,1394774:1394793|offset_22|444444,1394795:1394814|offset_43|00cc00,1394821:1394840|offset_69|444444&amp;v=1394552:1395040&amp;c=444444", "offset 43")</f>
        <v>offset 43</v>
      </c>
    </row>
    <row r="4965" customFormat="false" ht="12.8" hidden="false" customHeight="false" outlineLevel="0" collapsed="false">
      <c r="A4965" s="0" t="s">
        <v>12</v>
      </c>
      <c r="B4965" s="0" t="n">
        <v>1394820</v>
      </c>
      <c r="C4965" s="0" t="n">
        <v>1394840</v>
      </c>
      <c r="D4965" s="0" t="s">
        <v>16609</v>
      </c>
      <c r="E4965" s="0" t="s">
        <v>89</v>
      </c>
      <c r="F4965" s="0" t="s">
        <v>15</v>
      </c>
      <c r="G4965" s="0" t="s">
        <v>16</v>
      </c>
      <c r="H4965" s="0" t="n">
        <v>69</v>
      </c>
      <c r="I4965" s="0" t="s">
        <v>16619</v>
      </c>
      <c r="J4965" s="0" t="s">
        <v>16620</v>
      </c>
      <c r="K4965" s="0" t="s">
        <v>16621</v>
      </c>
      <c r="L4965" s="0" t="str">
        <f aca="false">HYPERLINK("https://www.ncbi.nlm.nih.gov/nuccore/CP000304.1?report=graph&amp;tracks=[key:gene_model_track,Options:GeneOnly]&amp;mk=1394753:1394772|offset_1|444444,1394774:1394793|offset_22|444444,1394795:1394814|offset_43|444444,1394821:1394840|offset_69|00cc00&amp;v=1394552:1395040&amp;c=444444", "offset 69")</f>
        <v>offset 69</v>
      </c>
    </row>
    <row r="4966" customFormat="false" ht="12.8" hidden="false" customHeight="false" outlineLevel="0" collapsed="false">
      <c r="A4966" s="0" t="s">
        <v>12</v>
      </c>
      <c r="B4966" s="0" t="n">
        <v>1395469</v>
      </c>
      <c r="C4966" s="0" t="n">
        <v>1395489</v>
      </c>
      <c r="D4966" s="0" t="s">
        <v>16622</v>
      </c>
      <c r="E4966" s="0" t="s">
        <v>89</v>
      </c>
      <c r="F4966" s="0" t="s">
        <v>15</v>
      </c>
      <c r="G4966" s="0" t="s">
        <v>26</v>
      </c>
      <c r="H4966" s="0" t="n">
        <v>6</v>
      </c>
      <c r="I4966" s="0" t="s">
        <v>16623</v>
      </c>
      <c r="J4966" s="0" t="s">
        <v>16624</v>
      </c>
      <c r="K4966" s="0" t="s">
        <v>16625</v>
      </c>
      <c r="L4966" s="0" t="str">
        <f aca="false">HYPERLINK("https://www.ncbi.nlm.nih.gov/nuccore/CP000304.1?report=graph&amp;tracks=[key:gene_model_track,Options:GeneOnly]&amp;mk=1395470:1395489|offset_6|00cc00,1395543:1395562|offset_79|444444,1395582:1395601|offset_118|444444,1395612:1395631|offset_148|444444&amp;v=1395269:1395831&amp;c=444444", "offset 6")</f>
        <v>offset 6</v>
      </c>
    </row>
    <row r="4967" customFormat="false" ht="12.8" hidden="false" customHeight="false" outlineLevel="0" collapsed="false">
      <c r="A4967" s="0" t="s">
        <v>12</v>
      </c>
      <c r="B4967" s="0" t="n">
        <v>1395542</v>
      </c>
      <c r="C4967" s="0" t="n">
        <v>1395562</v>
      </c>
      <c r="D4967" s="0" t="s">
        <v>16622</v>
      </c>
      <c r="E4967" s="0" t="s">
        <v>89</v>
      </c>
      <c r="F4967" s="0" t="s">
        <v>15</v>
      </c>
      <c r="G4967" s="0" t="s">
        <v>36</v>
      </c>
      <c r="H4967" s="0" t="n">
        <v>79</v>
      </c>
      <c r="I4967" s="0" t="s">
        <v>16626</v>
      </c>
      <c r="J4967" s="0" t="s">
        <v>16627</v>
      </c>
      <c r="K4967" s="0" t="s">
        <v>16628</v>
      </c>
      <c r="L4967" s="0" t="str">
        <f aca="false">HYPERLINK("https://www.ncbi.nlm.nih.gov/nuccore/CP000304.1?report=graph&amp;tracks=[key:gene_model_track,Options:GeneOnly]&amp;mk=1395470:1395489|offset_6|444444,1395543:1395562|offset_79|00cc00,1395582:1395601|offset_118|444444,1395612:1395631|offset_148|444444&amp;v=1395269:1395831&amp;c=444444", "offset 79")</f>
        <v>offset 79</v>
      </c>
    </row>
    <row r="4968" customFormat="false" ht="12.8" hidden="false" customHeight="false" outlineLevel="0" collapsed="false">
      <c r="A4968" s="0" t="s">
        <v>12</v>
      </c>
      <c r="B4968" s="0" t="n">
        <v>1395581</v>
      </c>
      <c r="C4968" s="0" t="n">
        <v>1395601</v>
      </c>
      <c r="D4968" s="0" t="s">
        <v>16622</v>
      </c>
      <c r="E4968" s="0" t="s">
        <v>89</v>
      </c>
      <c r="F4968" s="0" t="s">
        <v>15</v>
      </c>
      <c r="G4968" s="0" t="s">
        <v>36</v>
      </c>
      <c r="H4968" s="0" t="n">
        <v>118</v>
      </c>
      <c r="I4968" s="0" t="s">
        <v>16629</v>
      </c>
      <c r="J4968" s="0" t="s">
        <v>16630</v>
      </c>
      <c r="K4968" s="0" t="s">
        <v>16631</v>
      </c>
      <c r="L4968" s="0" t="str">
        <f aca="false">HYPERLINK("https://www.ncbi.nlm.nih.gov/nuccore/CP000304.1?report=graph&amp;tracks=[key:gene_model_track,Options:GeneOnly]&amp;mk=1395470:1395489|offset_6|444444,1395543:1395562|offset_79|444444,1395582:1395601|offset_118|00cc00,1395612:1395631|offset_148|444444&amp;v=1395269:1395831&amp;c=444444", "offset 118")</f>
        <v>offset 118</v>
      </c>
    </row>
    <row r="4969" customFormat="false" ht="12.8" hidden="false" customHeight="false" outlineLevel="0" collapsed="false">
      <c r="A4969" s="0" t="s">
        <v>12</v>
      </c>
      <c r="B4969" s="0" t="n">
        <v>1395611</v>
      </c>
      <c r="C4969" s="0" t="n">
        <v>1395631</v>
      </c>
      <c r="D4969" s="0" t="s">
        <v>16622</v>
      </c>
      <c r="E4969" s="0" t="s">
        <v>89</v>
      </c>
      <c r="F4969" s="0" t="s">
        <v>15</v>
      </c>
      <c r="G4969" s="0" t="s">
        <v>36</v>
      </c>
      <c r="H4969" s="0" t="n">
        <v>148</v>
      </c>
      <c r="I4969" s="0" t="s">
        <v>16632</v>
      </c>
      <c r="J4969" s="0" t="s">
        <v>16633</v>
      </c>
      <c r="K4969" s="0" t="s">
        <v>16634</v>
      </c>
      <c r="L4969" s="0" t="str">
        <f aca="false">HYPERLINK("https://www.ncbi.nlm.nih.gov/nuccore/CP000304.1?report=graph&amp;tracks=[key:gene_model_track,Options:GeneOnly]&amp;mk=1395470:1395489|offset_6|444444,1395543:1395562|offset_79|444444,1395582:1395601|offset_118|444444,1395612:1395631|offset_148|00cc00&amp;v=1395269:1395831&amp;c=444444", "offset 148")</f>
        <v>offset 148</v>
      </c>
    </row>
    <row r="4970" customFormat="false" ht="12.8" hidden="false" customHeight="false" outlineLevel="0" collapsed="false">
      <c r="A4970" s="0" t="s">
        <v>12</v>
      </c>
      <c r="B4970" s="0" t="n">
        <v>1397840</v>
      </c>
      <c r="C4970" s="0" t="n">
        <v>1397860</v>
      </c>
      <c r="D4970" s="0" t="s">
        <v>16635</v>
      </c>
      <c r="E4970" s="0" t="s">
        <v>89</v>
      </c>
      <c r="F4970" s="0" t="s">
        <v>90</v>
      </c>
      <c r="G4970" s="0" t="s">
        <v>26</v>
      </c>
      <c r="H4970" s="0" t="n">
        <v>1</v>
      </c>
      <c r="I4970" s="0" t="s">
        <v>16636</v>
      </c>
      <c r="J4970" s="0" t="s">
        <v>16637</v>
      </c>
      <c r="K4970" s="0" t="s">
        <v>16638</v>
      </c>
      <c r="L4970" s="0" t="str">
        <f aca="false">HYPERLINK("https://www.ncbi.nlm.nih.gov/nuccore/CP000304.1?report=graph&amp;tracks=[key:gene_model_track,Options:GeneOnly]&amp;mk=1397841:1397860|offset_1|00cc00,1397818:1397837|offset_24|444444,1397793:1397812|offset_49|444444,1397772:1397791|offset_70|444444&amp;v=1397640:1397991&amp;c=444444", "offset 1")</f>
        <v>offset 1</v>
      </c>
    </row>
    <row r="4971" customFormat="false" ht="12.8" hidden="false" customHeight="false" outlineLevel="0" collapsed="false">
      <c r="A4971" s="0" t="s">
        <v>12</v>
      </c>
      <c r="B4971" s="0" t="n">
        <v>1397817</v>
      </c>
      <c r="C4971" s="0" t="n">
        <v>1397837</v>
      </c>
      <c r="D4971" s="0" t="s">
        <v>16635</v>
      </c>
      <c r="E4971" s="0" t="s">
        <v>89</v>
      </c>
      <c r="F4971" s="0" t="s">
        <v>90</v>
      </c>
      <c r="G4971" s="0" t="s">
        <v>26</v>
      </c>
      <c r="H4971" s="0" t="n">
        <v>24</v>
      </c>
      <c r="I4971" s="0" t="s">
        <v>16639</v>
      </c>
      <c r="J4971" s="0" t="s">
        <v>16640</v>
      </c>
      <c r="K4971" s="0" t="s">
        <v>16641</v>
      </c>
      <c r="L4971" s="0" t="str">
        <f aca="false">HYPERLINK("https://www.ncbi.nlm.nih.gov/nuccore/CP000304.1?report=graph&amp;tracks=[key:gene_model_track,Options:GeneOnly]&amp;mk=1397841:1397860|offset_1|444444,1397818:1397837|offset_24|00cc00,1397793:1397812|offset_49|444444,1397772:1397791|offset_70|444444&amp;v=1397640:1397991&amp;c=444444", "offset 24")</f>
        <v>offset 24</v>
      </c>
    </row>
    <row r="4972" customFormat="false" ht="12.8" hidden="false" customHeight="false" outlineLevel="0" collapsed="false">
      <c r="A4972" s="0" t="s">
        <v>12</v>
      </c>
      <c r="B4972" s="0" t="n">
        <v>1397792</v>
      </c>
      <c r="C4972" s="0" t="n">
        <v>1397812</v>
      </c>
      <c r="D4972" s="0" t="s">
        <v>16635</v>
      </c>
      <c r="E4972" s="0" t="s">
        <v>89</v>
      </c>
      <c r="F4972" s="0" t="s">
        <v>90</v>
      </c>
      <c r="G4972" s="0" t="s">
        <v>16</v>
      </c>
      <c r="H4972" s="0" t="n">
        <v>49</v>
      </c>
      <c r="I4972" s="0" t="s">
        <v>16642</v>
      </c>
      <c r="J4972" s="0" t="s">
        <v>16643</v>
      </c>
      <c r="K4972" s="0" t="s">
        <v>16644</v>
      </c>
      <c r="L4972" s="0" t="str">
        <f aca="false">HYPERLINK("https://www.ncbi.nlm.nih.gov/nuccore/CP000304.1?report=graph&amp;tracks=[key:gene_model_track,Options:GeneOnly]&amp;mk=1397841:1397860|offset_1|444444,1397818:1397837|offset_24|444444,1397793:1397812|offset_49|00cc00,1397772:1397791|offset_70|444444&amp;v=1397640:1397991&amp;c=444444", "offset 49")</f>
        <v>offset 49</v>
      </c>
    </row>
    <row r="4973" customFormat="false" ht="12.8" hidden="false" customHeight="false" outlineLevel="0" collapsed="false">
      <c r="A4973" s="0" t="s">
        <v>12</v>
      </c>
      <c r="B4973" s="0" t="n">
        <v>1397771</v>
      </c>
      <c r="C4973" s="0" t="n">
        <v>1397791</v>
      </c>
      <c r="D4973" s="0" t="s">
        <v>16635</v>
      </c>
      <c r="E4973" s="0" t="s">
        <v>89</v>
      </c>
      <c r="F4973" s="0" t="s">
        <v>90</v>
      </c>
      <c r="G4973" s="0" t="s">
        <v>26</v>
      </c>
      <c r="H4973" s="0" t="n">
        <v>70</v>
      </c>
      <c r="I4973" s="0" t="s">
        <v>16645</v>
      </c>
      <c r="J4973" s="0" t="s">
        <v>16646</v>
      </c>
      <c r="K4973" s="0" t="s">
        <v>16647</v>
      </c>
      <c r="L4973" s="0" t="str">
        <f aca="false">HYPERLINK("https://www.ncbi.nlm.nih.gov/nuccore/CP000304.1?report=graph&amp;tracks=[key:gene_model_track,Options:GeneOnly]&amp;mk=1397841:1397860|offset_1|444444,1397818:1397837|offset_24|444444,1397793:1397812|offset_49|444444,1397772:1397791|offset_70|00cc00&amp;v=1397640:1397991&amp;c=444444", "offset 70")</f>
        <v>offset 70</v>
      </c>
    </row>
    <row r="4974" customFormat="false" ht="12.8" hidden="false" customHeight="false" outlineLevel="0" collapsed="false">
      <c r="A4974" s="0" t="s">
        <v>12</v>
      </c>
      <c r="B4974" s="0" t="n">
        <v>1398083</v>
      </c>
      <c r="C4974" s="0" t="n">
        <v>1398103</v>
      </c>
      <c r="D4974" s="0" t="s">
        <v>16648</v>
      </c>
      <c r="E4974" s="0" t="s">
        <v>89</v>
      </c>
      <c r="F4974" s="0" t="s">
        <v>15</v>
      </c>
      <c r="G4974" s="0" t="s">
        <v>26</v>
      </c>
      <c r="H4974" s="0" t="n">
        <v>21</v>
      </c>
      <c r="I4974" s="0" t="s">
        <v>16649</v>
      </c>
      <c r="J4974" s="0" t="s">
        <v>16650</v>
      </c>
      <c r="K4974" s="0" t="s">
        <v>16651</v>
      </c>
      <c r="L4974" s="0" t="str">
        <f aca="false">HYPERLINK("https://www.ncbi.nlm.nih.gov/nuccore/CP000304.1?report=graph&amp;tracks=[key:gene_model_track,Options:GeneOnly]&amp;mk=1398084:1398103|offset_21|00cc00,1398106:1398125|offset_43|444444,1398142:1398161|offset_79|444444,1398163:1398182|offset_100|444444&amp;v=1397883:1398382&amp;c=444444", "offset 21")</f>
        <v>offset 21</v>
      </c>
    </row>
    <row r="4975" customFormat="false" ht="12.8" hidden="false" customHeight="false" outlineLevel="0" collapsed="false">
      <c r="A4975" s="0" t="s">
        <v>12</v>
      </c>
      <c r="B4975" s="0" t="n">
        <v>1398105</v>
      </c>
      <c r="C4975" s="0" t="n">
        <v>1398125</v>
      </c>
      <c r="D4975" s="0" t="s">
        <v>16648</v>
      </c>
      <c r="E4975" s="0" t="s">
        <v>89</v>
      </c>
      <c r="F4975" s="0" t="s">
        <v>15</v>
      </c>
      <c r="G4975" s="0" t="s">
        <v>16</v>
      </c>
      <c r="H4975" s="0" t="n">
        <v>43</v>
      </c>
      <c r="I4975" s="0" t="s">
        <v>16652</v>
      </c>
      <c r="J4975" s="0" t="s">
        <v>16653</v>
      </c>
      <c r="K4975" s="0" t="s">
        <v>16654</v>
      </c>
      <c r="L4975" s="0" t="str">
        <f aca="false">HYPERLINK("https://www.ncbi.nlm.nih.gov/nuccore/CP000304.1?report=graph&amp;tracks=[key:gene_model_track,Options:GeneOnly]&amp;mk=1398084:1398103|offset_21|444444,1398106:1398125|offset_43|00cc00,1398142:1398161|offset_79|444444,1398163:1398182|offset_100|444444&amp;v=1397883:1398382&amp;c=444444", "offset 43")</f>
        <v>offset 43</v>
      </c>
    </row>
    <row r="4976" customFormat="false" ht="12.8" hidden="false" customHeight="false" outlineLevel="0" collapsed="false">
      <c r="A4976" s="0" t="s">
        <v>12</v>
      </c>
      <c r="B4976" s="0" t="n">
        <v>1398141</v>
      </c>
      <c r="C4976" s="0" t="n">
        <v>1398161</v>
      </c>
      <c r="D4976" s="0" t="s">
        <v>16648</v>
      </c>
      <c r="E4976" s="0" t="s">
        <v>89</v>
      </c>
      <c r="F4976" s="0" t="s">
        <v>15</v>
      </c>
      <c r="G4976" s="0" t="s">
        <v>16</v>
      </c>
      <c r="H4976" s="0" t="n">
        <v>79</v>
      </c>
      <c r="I4976" s="0" t="s">
        <v>16655</v>
      </c>
      <c r="J4976" s="0" t="s">
        <v>16656</v>
      </c>
      <c r="K4976" s="0" t="s">
        <v>16657</v>
      </c>
      <c r="L4976" s="0" t="str">
        <f aca="false">HYPERLINK("https://www.ncbi.nlm.nih.gov/nuccore/CP000304.1?report=graph&amp;tracks=[key:gene_model_track,Options:GeneOnly]&amp;mk=1398084:1398103|offset_21|444444,1398106:1398125|offset_43|444444,1398142:1398161|offset_79|00cc00,1398163:1398182|offset_100|444444&amp;v=1397883:1398382&amp;c=444444", "offset 79")</f>
        <v>offset 79</v>
      </c>
    </row>
    <row r="4977" customFormat="false" ht="12.8" hidden="false" customHeight="false" outlineLevel="0" collapsed="false">
      <c r="A4977" s="0" t="s">
        <v>12</v>
      </c>
      <c r="B4977" s="0" t="n">
        <v>1398162</v>
      </c>
      <c r="C4977" s="0" t="n">
        <v>1398182</v>
      </c>
      <c r="D4977" s="0" t="s">
        <v>16648</v>
      </c>
      <c r="E4977" s="0" t="s">
        <v>89</v>
      </c>
      <c r="F4977" s="0" t="s">
        <v>15</v>
      </c>
      <c r="G4977" s="0" t="s">
        <v>16</v>
      </c>
      <c r="H4977" s="0" t="n">
        <v>100</v>
      </c>
      <c r="I4977" s="0" t="s">
        <v>16658</v>
      </c>
      <c r="J4977" s="0" t="s">
        <v>16659</v>
      </c>
      <c r="K4977" s="0" t="s">
        <v>16660</v>
      </c>
      <c r="L4977" s="0" t="str">
        <f aca="false">HYPERLINK("https://www.ncbi.nlm.nih.gov/nuccore/CP000304.1?report=graph&amp;tracks=[key:gene_model_track,Options:GeneOnly]&amp;mk=1398084:1398103|offset_21|444444,1398106:1398125|offset_43|444444,1398142:1398161|offset_79|444444,1398163:1398182|offset_100|00cc00&amp;v=1397883:1398382&amp;c=444444", "offset 100")</f>
        <v>offset 100</v>
      </c>
    </row>
    <row r="4978" customFormat="false" ht="12.8" hidden="false" customHeight="false" outlineLevel="0" collapsed="false">
      <c r="A4978" s="0" t="s">
        <v>12</v>
      </c>
      <c r="B4978" s="0" t="n">
        <v>1399942</v>
      </c>
      <c r="C4978" s="0" t="n">
        <v>1399962</v>
      </c>
      <c r="D4978" s="0" t="s">
        <v>16661</v>
      </c>
      <c r="E4978" s="0" t="s">
        <v>89</v>
      </c>
      <c r="F4978" s="0" t="s">
        <v>15</v>
      </c>
      <c r="G4978" s="0" t="s">
        <v>36</v>
      </c>
      <c r="H4978" s="0" t="n">
        <v>16</v>
      </c>
      <c r="I4978" s="0" t="s">
        <v>16662</v>
      </c>
      <c r="J4978" s="0" t="s">
        <v>16663</v>
      </c>
      <c r="K4978" s="0" t="s">
        <v>16664</v>
      </c>
      <c r="L4978" s="0" t="str">
        <f aca="false">HYPERLINK("https://www.ncbi.nlm.nih.gov/nuccore/CP000304.1?report=graph&amp;tracks=[key:gene_model_track,Options:GeneOnly]&amp;mk=1399943:1399962|offset_16|00cc00,1399968:1399987|offset_41|444444,1399991:1400010|offset_64|444444,1400029:1400048|offset_102|444444&amp;v=1399742:1400248&amp;c=444444", "offset 16")</f>
        <v>offset 16</v>
      </c>
    </row>
    <row r="4979" customFormat="false" ht="12.8" hidden="false" customHeight="false" outlineLevel="0" collapsed="false">
      <c r="A4979" s="0" t="s">
        <v>12</v>
      </c>
      <c r="B4979" s="0" t="n">
        <v>1399967</v>
      </c>
      <c r="C4979" s="0" t="n">
        <v>1399987</v>
      </c>
      <c r="D4979" s="0" t="s">
        <v>16661</v>
      </c>
      <c r="E4979" s="0" t="s">
        <v>89</v>
      </c>
      <c r="F4979" s="0" t="s">
        <v>15</v>
      </c>
      <c r="G4979" s="0" t="s">
        <v>26</v>
      </c>
      <c r="H4979" s="0" t="n">
        <v>41</v>
      </c>
      <c r="I4979" s="0" t="s">
        <v>16665</v>
      </c>
      <c r="J4979" s="0" t="s">
        <v>16666</v>
      </c>
      <c r="K4979" s="0" t="s">
        <v>16667</v>
      </c>
      <c r="L4979" s="0" t="str">
        <f aca="false">HYPERLINK("https://www.ncbi.nlm.nih.gov/nuccore/CP000304.1?report=graph&amp;tracks=[key:gene_model_track,Options:GeneOnly]&amp;mk=1399943:1399962|offset_16|444444,1399968:1399987|offset_41|00cc00,1399991:1400010|offset_64|444444,1400029:1400048|offset_102|444444&amp;v=1399742:1400248&amp;c=444444", "offset 41")</f>
        <v>offset 41</v>
      </c>
    </row>
    <row r="4980" customFormat="false" ht="12.8" hidden="false" customHeight="false" outlineLevel="0" collapsed="false">
      <c r="A4980" s="0" t="s">
        <v>12</v>
      </c>
      <c r="B4980" s="0" t="n">
        <v>1399990</v>
      </c>
      <c r="C4980" s="0" t="n">
        <v>1400010</v>
      </c>
      <c r="D4980" s="0" t="s">
        <v>16661</v>
      </c>
      <c r="E4980" s="0" t="s">
        <v>89</v>
      </c>
      <c r="F4980" s="0" t="s">
        <v>15</v>
      </c>
      <c r="G4980" s="0" t="s">
        <v>32</v>
      </c>
      <c r="H4980" s="0" t="n">
        <v>64</v>
      </c>
      <c r="I4980" s="0" t="s">
        <v>16668</v>
      </c>
      <c r="J4980" s="0" t="s">
        <v>16669</v>
      </c>
      <c r="K4980" s="0" t="s">
        <v>16670</v>
      </c>
      <c r="L4980" s="0" t="str">
        <f aca="false">HYPERLINK("https://www.ncbi.nlm.nih.gov/nuccore/CP000304.1?report=graph&amp;tracks=[key:gene_model_track,Options:GeneOnly]&amp;mk=1399943:1399962|offset_16|444444,1399968:1399987|offset_41|444444,1399991:1400010|offset_64|00cc00,1400029:1400048|offset_102|444444&amp;v=1399742:1400248&amp;c=444444", "offset 64")</f>
        <v>offset 64</v>
      </c>
    </row>
    <row r="4981" customFormat="false" ht="12.8" hidden="false" customHeight="false" outlineLevel="0" collapsed="false">
      <c r="A4981" s="0" t="s">
        <v>12</v>
      </c>
      <c r="B4981" s="0" t="n">
        <v>1400028</v>
      </c>
      <c r="C4981" s="0" t="n">
        <v>1400048</v>
      </c>
      <c r="D4981" s="0" t="s">
        <v>16661</v>
      </c>
      <c r="E4981" s="0" t="s">
        <v>89</v>
      </c>
      <c r="F4981" s="0" t="s">
        <v>15</v>
      </c>
      <c r="G4981" s="0" t="s">
        <v>36</v>
      </c>
      <c r="H4981" s="0" t="n">
        <v>102</v>
      </c>
      <c r="I4981" s="0" t="s">
        <v>16671</v>
      </c>
      <c r="J4981" s="0" t="s">
        <v>16672</v>
      </c>
      <c r="K4981" s="0" t="s">
        <v>16673</v>
      </c>
      <c r="L4981" s="0" t="str">
        <f aca="false">HYPERLINK("https://www.ncbi.nlm.nih.gov/nuccore/CP000304.1?report=graph&amp;tracks=[key:gene_model_track,Options:GeneOnly]&amp;mk=1399943:1399962|offset_16|444444,1399968:1399987|offset_41|444444,1399991:1400010|offset_64|444444,1400029:1400048|offset_102|00cc00&amp;v=1399742:1400248&amp;c=444444", "offset 102")</f>
        <v>offset 102</v>
      </c>
    </row>
    <row r="4982" customFormat="false" ht="12.8" hidden="false" customHeight="false" outlineLevel="0" collapsed="false">
      <c r="A4982" s="0" t="s">
        <v>12</v>
      </c>
      <c r="B4982" s="0" t="n">
        <v>1400524</v>
      </c>
      <c r="C4982" s="0" t="n">
        <v>1400544</v>
      </c>
      <c r="D4982" s="0" t="s">
        <v>16674</v>
      </c>
      <c r="E4982" s="0" t="s">
        <v>16675</v>
      </c>
      <c r="F4982" s="0" t="s">
        <v>15</v>
      </c>
      <c r="G4982" s="0" t="s">
        <v>32</v>
      </c>
      <c r="H4982" s="0" t="n">
        <v>32</v>
      </c>
      <c r="I4982" s="0" t="s">
        <v>16676</v>
      </c>
      <c r="J4982" s="0" t="s">
        <v>16677</v>
      </c>
      <c r="K4982" s="0" t="s">
        <v>16678</v>
      </c>
      <c r="L4982" s="0" t="str">
        <f aca="false">HYPERLINK("https://www.ncbi.nlm.nih.gov/nuccore/CP000304.1?report=graph&amp;tracks=[key:gene_model_track,Options:GeneOnly]&amp;mk=1400525:1400544|offset_32|00cc00,1400575:1400594|offset_82|444444,1400614:1400633|offset_121|444444,1400644:1400663|offset_151|444444&amp;v=1400324:1400863&amp;c=444444", "offset 32")</f>
        <v>offset 32</v>
      </c>
    </row>
    <row r="4983" customFormat="false" ht="12.8" hidden="false" customHeight="false" outlineLevel="0" collapsed="false">
      <c r="A4983" s="0" t="s">
        <v>12</v>
      </c>
      <c r="B4983" s="0" t="n">
        <v>1400574</v>
      </c>
      <c r="C4983" s="0" t="n">
        <v>1400594</v>
      </c>
      <c r="D4983" s="0" t="s">
        <v>16674</v>
      </c>
      <c r="E4983" s="0" t="s">
        <v>16675</v>
      </c>
      <c r="F4983" s="0" t="s">
        <v>15</v>
      </c>
      <c r="G4983" s="0" t="s">
        <v>16</v>
      </c>
      <c r="H4983" s="0" t="n">
        <v>82</v>
      </c>
      <c r="I4983" s="0" t="s">
        <v>16679</v>
      </c>
      <c r="J4983" s="0" t="s">
        <v>16680</v>
      </c>
      <c r="K4983" s="0" t="s">
        <v>16681</v>
      </c>
      <c r="L4983" s="0" t="str">
        <f aca="false">HYPERLINK("https://www.ncbi.nlm.nih.gov/nuccore/CP000304.1?report=graph&amp;tracks=[key:gene_model_track,Options:GeneOnly]&amp;mk=1400525:1400544|offset_32|444444,1400575:1400594|offset_82|00cc00,1400614:1400633|offset_121|444444,1400644:1400663|offset_151|444444&amp;v=1400324:1400863&amp;c=444444", "offset 82")</f>
        <v>offset 82</v>
      </c>
    </row>
    <row r="4984" customFormat="false" ht="12.8" hidden="false" customHeight="false" outlineLevel="0" collapsed="false">
      <c r="A4984" s="0" t="s">
        <v>12</v>
      </c>
      <c r="B4984" s="0" t="n">
        <v>1400613</v>
      </c>
      <c r="C4984" s="0" t="n">
        <v>1400633</v>
      </c>
      <c r="D4984" s="0" t="s">
        <v>16674</v>
      </c>
      <c r="E4984" s="0" t="s">
        <v>16675</v>
      </c>
      <c r="F4984" s="0" t="s">
        <v>15</v>
      </c>
      <c r="G4984" s="0" t="s">
        <v>16</v>
      </c>
      <c r="H4984" s="0" t="n">
        <v>121</v>
      </c>
      <c r="I4984" s="0" t="s">
        <v>16682</v>
      </c>
      <c r="J4984" s="0" t="s">
        <v>16683</v>
      </c>
      <c r="K4984" s="0" t="s">
        <v>16684</v>
      </c>
      <c r="L4984" s="0" t="str">
        <f aca="false">HYPERLINK("https://www.ncbi.nlm.nih.gov/nuccore/CP000304.1?report=graph&amp;tracks=[key:gene_model_track,Options:GeneOnly]&amp;mk=1400525:1400544|offset_32|444444,1400575:1400594|offset_82|444444,1400614:1400633|offset_121|00cc00,1400644:1400663|offset_151|444444&amp;v=1400324:1400863&amp;c=444444", "offset 121")</f>
        <v>offset 121</v>
      </c>
    </row>
    <row r="4985" customFormat="false" ht="12.8" hidden="false" customHeight="false" outlineLevel="0" collapsed="false">
      <c r="A4985" s="0" t="s">
        <v>12</v>
      </c>
      <c r="B4985" s="0" t="n">
        <v>1400643</v>
      </c>
      <c r="C4985" s="0" t="n">
        <v>1400663</v>
      </c>
      <c r="D4985" s="0" t="s">
        <v>16674</v>
      </c>
      <c r="E4985" s="0" t="s">
        <v>16675</v>
      </c>
      <c r="F4985" s="0" t="s">
        <v>15</v>
      </c>
      <c r="G4985" s="0" t="s">
        <v>26</v>
      </c>
      <c r="H4985" s="0" t="n">
        <v>151</v>
      </c>
      <c r="I4985" s="0" t="s">
        <v>16685</v>
      </c>
      <c r="J4985" s="0" t="s">
        <v>16686</v>
      </c>
      <c r="K4985" s="0" t="s">
        <v>16687</v>
      </c>
      <c r="L4985" s="0" t="str">
        <f aca="false">HYPERLINK("https://www.ncbi.nlm.nih.gov/nuccore/CP000304.1?report=graph&amp;tracks=[key:gene_model_track,Options:GeneOnly]&amp;mk=1400525:1400544|offset_32|444444,1400575:1400594|offset_82|444444,1400614:1400633|offset_121|444444,1400644:1400663|offset_151|00cc00&amp;v=1400324:1400863&amp;c=444444", "offset 151")</f>
        <v>offset 151</v>
      </c>
    </row>
    <row r="4986" customFormat="false" ht="12.8" hidden="false" customHeight="false" outlineLevel="0" collapsed="false">
      <c r="A4986" s="0" t="s">
        <v>12</v>
      </c>
      <c r="B4986" s="0" t="n">
        <v>1401243</v>
      </c>
      <c r="C4986" s="0" t="n">
        <v>1401263</v>
      </c>
      <c r="D4986" s="0" t="s">
        <v>16688</v>
      </c>
      <c r="E4986" s="0" t="s">
        <v>16689</v>
      </c>
      <c r="F4986" s="0" t="s">
        <v>15</v>
      </c>
      <c r="G4986" s="0" t="s">
        <v>32</v>
      </c>
      <c r="H4986" s="0" t="n">
        <v>7</v>
      </c>
      <c r="I4986" s="0" t="s">
        <v>16690</v>
      </c>
      <c r="J4986" s="0" t="s">
        <v>16691</v>
      </c>
      <c r="K4986" s="0" t="s">
        <v>16692</v>
      </c>
      <c r="L4986" s="0" t="str">
        <f aca="false">HYPERLINK("https://www.ncbi.nlm.nih.gov/nuccore/CP000304.1?report=graph&amp;tracks=[key:gene_model_track,Options:GeneOnly]&amp;mk=1401244:1401263|offset_7|00cc00,1401274:1401293|offset_37|444444,1401301:1401320|offset_64|444444,1401372:1401391|offset_135|444444&amp;v=1401043:1401591&amp;c=444444", "offset 7")</f>
        <v>offset 7</v>
      </c>
    </row>
    <row r="4987" customFormat="false" ht="12.8" hidden="false" customHeight="false" outlineLevel="0" collapsed="false">
      <c r="A4987" s="0" t="s">
        <v>12</v>
      </c>
      <c r="B4987" s="0" t="n">
        <v>1401273</v>
      </c>
      <c r="C4987" s="0" t="n">
        <v>1401293</v>
      </c>
      <c r="D4987" s="0" t="s">
        <v>16688</v>
      </c>
      <c r="E4987" s="0" t="s">
        <v>16689</v>
      </c>
      <c r="F4987" s="0" t="s">
        <v>15</v>
      </c>
      <c r="G4987" s="0" t="s">
        <v>16</v>
      </c>
      <c r="H4987" s="0" t="n">
        <v>37</v>
      </c>
      <c r="I4987" s="0" t="s">
        <v>16693</v>
      </c>
      <c r="J4987" s="0" t="s">
        <v>16694</v>
      </c>
      <c r="K4987" s="0" t="s">
        <v>16695</v>
      </c>
      <c r="L4987" s="0" t="str">
        <f aca="false">HYPERLINK("https://www.ncbi.nlm.nih.gov/nuccore/CP000304.1?report=graph&amp;tracks=[key:gene_model_track,Options:GeneOnly]&amp;mk=1401244:1401263|offset_7|444444,1401274:1401293|offset_37|00cc00,1401301:1401320|offset_64|444444,1401372:1401391|offset_135|444444&amp;v=1401043:1401591&amp;c=444444", "offset 37")</f>
        <v>offset 37</v>
      </c>
    </row>
    <row r="4988" customFormat="false" ht="12.8" hidden="false" customHeight="false" outlineLevel="0" collapsed="false">
      <c r="A4988" s="0" t="s">
        <v>12</v>
      </c>
      <c r="B4988" s="0" t="n">
        <v>1401300</v>
      </c>
      <c r="C4988" s="0" t="n">
        <v>1401320</v>
      </c>
      <c r="D4988" s="0" t="s">
        <v>16688</v>
      </c>
      <c r="E4988" s="0" t="s">
        <v>16689</v>
      </c>
      <c r="F4988" s="0" t="s">
        <v>15</v>
      </c>
      <c r="G4988" s="0" t="s">
        <v>32</v>
      </c>
      <c r="H4988" s="0" t="n">
        <v>64</v>
      </c>
      <c r="I4988" s="0" t="s">
        <v>16696</v>
      </c>
      <c r="J4988" s="0" t="s">
        <v>16697</v>
      </c>
      <c r="K4988" s="0" t="s">
        <v>16698</v>
      </c>
      <c r="L4988" s="0" t="str">
        <f aca="false">HYPERLINK("https://www.ncbi.nlm.nih.gov/nuccore/CP000304.1?report=graph&amp;tracks=[key:gene_model_track,Options:GeneOnly]&amp;mk=1401244:1401263|offset_7|444444,1401274:1401293|offset_37|444444,1401301:1401320|offset_64|00cc00,1401372:1401391|offset_135|444444&amp;v=1401043:1401591&amp;c=444444", "offset 64")</f>
        <v>offset 64</v>
      </c>
    </row>
    <row r="4989" customFormat="false" ht="12.8" hidden="false" customHeight="false" outlineLevel="0" collapsed="false">
      <c r="A4989" s="0" t="s">
        <v>12</v>
      </c>
      <c r="B4989" s="0" t="n">
        <v>1401371</v>
      </c>
      <c r="C4989" s="0" t="n">
        <v>1401391</v>
      </c>
      <c r="D4989" s="0" t="s">
        <v>16688</v>
      </c>
      <c r="E4989" s="0" t="s">
        <v>16689</v>
      </c>
      <c r="F4989" s="0" t="s">
        <v>15</v>
      </c>
      <c r="G4989" s="0" t="s">
        <v>16</v>
      </c>
      <c r="H4989" s="0" t="n">
        <v>135</v>
      </c>
      <c r="I4989" s="0" t="s">
        <v>16699</v>
      </c>
      <c r="J4989" s="0" t="s">
        <v>16700</v>
      </c>
      <c r="K4989" s="0" t="s">
        <v>16701</v>
      </c>
      <c r="L4989" s="0" t="str">
        <f aca="false">HYPERLINK("https://www.ncbi.nlm.nih.gov/nuccore/CP000304.1?report=graph&amp;tracks=[key:gene_model_track,Options:GeneOnly]&amp;mk=1401244:1401263|offset_7|444444,1401274:1401293|offset_37|444444,1401301:1401320|offset_64|444444,1401372:1401391|offset_135|00cc00&amp;v=1401043:1401591&amp;c=444444", "offset 135")</f>
        <v>offset 135</v>
      </c>
    </row>
    <row r="4990" customFormat="false" ht="12.8" hidden="false" customHeight="false" outlineLevel="0" collapsed="false">
      <c r="A4990" s="0" t="s">
        <v>12</v>
      </c>
      <c r="B4990" s="0" t="n">
        <v>1402602</v>
      </c>
      <c r="C4990" s="0" t="n">
        <v>1402622</v>
      </c>
      <c r="D4990" s="0" t="s">
        <v>16702</v>
      </c>
      <c r="E4990" s="0" t="s">
        <v>89</v>
      </c>
      <c r="F4990" s="0" t="s">
        <v>15</v>
      </c>
      <c r="G4990" s="0" t="s">
        <v>32</v>
      </c>
      <c r="H4990" s="0" t="n">
        <v>8</v>
      </c>
      <c r="I4990" s="0" t="s">
        <v>16703</v>
      </c>
      <c r="J4990" s="0" t="s">
        <v>16704</v>
      </c>
      <c r="K4990" s="0" t="s">
        <v>16705</v>
      </c>
      <c r="L4990" s="0" t="str">
        <f aca="false">HYPERLINK("https://www.ncbi.nlm.nih.gov/nuccore/CP000304.1?report=graph&amp;tracks=[key:gene_model_track,Options:GeneOnly]&amp;mk=1402603:1402622|offset_8|00cc00,1402628:1402647|offset_33|444444,1402663:1402682|offset_68|444444,1402691:1402710|offset_96|444444&amp;v=1402402:1402910&amp;c=444444", "offset 8")</f>
        <v>offset 8</v>
      </c>
    </row>
    <row r="4991" customFormat="false" ht="12.8" hidden="false" customHeight="false" outlineLevel="0" collapsed="false">
      <c r="A4991" s="0" t="s">
        <v>12</v>
      </c>
      <c r="B4991" s="0" t="n">
        <v>1402627</v>
      </c>
      <c r="C4991" s="0" t="n">
        <v>1402647</v>
      </c>
      <c r="D4991" s="0" t="s">
        <v>16702</v>
      </c>
      <c r="E4991" s="0" t="s">
        <v>89</v>
      </c>
      <c r="F4991" s="0" t="s">
        <v>15</v>
      </c>
      <c r="G4991" s="0" t="s">
        <v>16</v>
      </c>
      <c r="H4991" s="0" t="n">
        <v>33</v>
      </c>
      <c r="I4991" s="0" t="s">
        <v>16706</v>
      </c>
      <c r="J4991" s="0" t="s">
        <v>16707</v>
      </c>
      <c r="K4991" s="0" t="s">
        <v>16708</v>
      </c>
      <c r="L4991" s="0" t="str">
        <f aca="false">HYPERLINK("https://www.ncbi.nlm.nih.gov/nuccore/CP000304.1?report=graph&amp;tracks=[key:gene_model_track,Options:GeneOnly]&amp;mk=1402603:1402622|offset_8|444444,1402628:1402647|offset_33|00cc00,1402663:1402682|offset_68|444444,1402691:1402710|offset_96|444444&amp;v=1402402:1402910&amp;c=444444", "offset 33")</f>
        <v>offset 33</v>
      </c>
    </row>
    <row r="4992" customFormat="false" ht="12.8" hidden="false" customHeight="false" outlineLevel="0" collapsed="false">
      <c r="A4992" s="0" t="s">
        <v>12</v>
      </c>
      <c r="B4992" s="0" t="n">
        <v>1402662</v>
      </c>
      <c r="C4992" s="0" t="n">
        <v>1402682</v>
      </c>
      <c r="D4992" s="0" t="s">
        <v>16702</v>
      </c>
      <c r="E4992" s="0" t="s">
        <v>89</v>
      </c>
      <c r="F4992" s="0" t="s">
        <v>15</v>
      </c>
      <c r="G4992" s="0" t="s">
        <v>32</v>
      </c>
      <c r="H4992" s="0" t="n">
        <v>68</v>
      </c>
      <c r="I4992" s="0" t="s">
        <v>16709</v>
      </c>
      <c r="J4992" s="0" t="s">
        <v>16710</v>
      </c>
      <c r="K4992" s="0" t="s">
        <v>16711</v>
      </c>
      <c r="L4992" s="0" t="str">
        <f aca="false">HYPERLINK("https://www.ncbi.nlm.nih.gov/nuccore/CP000304.1?report=graph&amp;tracks=[key:gene_model_track,Options:GeneOnly]&amp;mk=1402603:1402622|offset_8|444444,1402628:1402647|offset_33|444444,1402663:1402682|offset_68|00cc00,1402691:1402710|offset_96|444444&amp;v=1402402:1402910&amp;c=444444", "offset 68")</f>
        <v>offset 68</v>
      </c>
    </row>
    <row r="4993" customFormat="false" ht="12.8" hidden="false" customHeight="false" outlineLevel="0" collapsed="false">
      <c r="A4993" s="0" t="s">
        <v>12</v>
      </c>
      <c r="B4993" s="0" t="n">
        <v>1402690</v>
      </c>
      <c r="C4993" s="0" t="n">
        <v>1402710</v>
      </c>
      <c r="D4993" s="0" t="s">
        <v>16702</v>
      </c>
      <c r="E4993" s="0" t="s">
        <v>89</v>
      </c>
      <c r="F4993" s="0" t="s">
        <v>15</v>
      </c>
      <c r="G4993" s="0" t="s">
        <v>16</v>
      </c>
      <c r="H4993" s="0" t="n">
        <v>96</v>
      </c>
      <c r="I4993" s="0" t="s">
        <v>16712</v>
      </c>
      <c r="J4993" s="0" t="s">
        <v>16713</v>
      </c>
      <c r="K4993" s="0" t="s">
        <v>16714</v>
      </c>
      <c r="L4993" s="0" t="str">
        <f aca="false">HYPERLINK("https://www.ncbi.nlm.nih.gov/nuccore/CP000304.1?report=graph&amp;tracks=[key:gene_model_track,Options:GeneOnly]&amp;mk=1402603:1402622|offset_8|444444,1402628:1402647|offset_33|444444,1402663:1402682|offset_68|444444,1402691:1402710|offset_96|00cc00&amp;v=1402402:1402910&amp;c=444444", "offset 96")</f>
        <v>offset 96</v>
      </c>
    </row>
    <row r="4994" customFormat="false" ht="12.8" hidden="false" customHeight="false" outlineLevel="0" collapsed="false">
      <c r="A4994" s="0" t="s">
        <v>12</v>
      </c>
      <c r="B4994" s="0" t="n">
        <v>1403184</v>
      </c>
      <c r="C4994" s="0" t="n">
        <v>1403204</v>
      </c>
      <c r="D4994" s="0" t="s">
        <v>16715</v>
      </c>
      <c r="E4994" s="0" t="s">
        <v>89</v>
      </c>
      <c r="F4994" s="0" t="s">
        <v>15</v>
      </c>
      <c r="G4994" s="0" t="s">
        <v>16</v>
      </c>
      <c r="H4994" s="0" t="n">
        <v>15</v>
      </c>
      <c r="I4994" s="0" t="s">
        <v>16716</v>
      </c>
      <c r="J4994" s="0" t="s">
        <v>16717</v>
      </c>
      <c r="K4994" s="0" t="s">
        <v>16718</v>
      </c>
      <c r="L4994" s="0" t="str">
        <f aca="false">HYPERLINK("https://www.ncbi.nlm.nih.gov/nuccore/CP000304.1?report=graph&amp;tracks=[key:gene_model_track,Options:GeneOnly]&amp;mk=1403185:1403204|offset_15|00cc00,1403207:1403226|offset_37|444444,1403267:1403286|offset_97|444444,1403287:1403306|offset_117|444444&amp;v=1402984:1403506&amp;c=444444", "offset 15")</f>
        <v>offset 15</v>
      </c>
    </row>
    <row r="4995" customFormat="false" ht="12.8" hidden="false" customHeight="false" outlineLevel="0" collapsed="false">
      <c r="A4995" s="0" t="s">
        <v>12</v>
      </c>
      <c r="B4995" s="0" t="n">
        <v>1403206</v>
      </c>
      <c r="C4995" s="0" t="n">
        <v>1403226</v>
      </c>
      <c r="D4995" s="0" t="s">
        <v>16715</v>
      </c>
      <c r="E4995" s="0" t="s">
        <v>89</v>
      </c>
      <c r="F4995" s="0" t="s">
        <v>15</v>
      </c>
      <c r="G4995" s="0" t="s">
        <v>32</v>
      </c>
      <c r="H4995" s="0" t="n">
        <v>37</v>
      </c>
      <c r="I4995" s="0" t="s">
        <v>16719</v>
      </c>
      <c r="J4995" s="0" t="s">
        <v>16720</v>
      </c>
      <c r="K4995" s="0" t="s">
        <v>16721</v>
      </c>
      <c r="L4995" s="0" t="str">
        <f aca="false">HYPERLINK("https://www.ncbi.nlm.nih.gov/nuccore/CP000304.1?report=graph&amp;tracks=[key:gene_model_track,Options:GeneOnly]&amp;mk=1403185:1403204|offset_15|444444,1403207:1403226|offset_37|00cc00,1403267:1403286|offset_97|444444,1403287:1403306|offset_117|444444&amp;v=1402984:1403506&amp;c=444444", "offset 37")</f>
        <v>offset 37</v>
      </c>
    </row>
    <row r="4996" customFormat="false" ht="12.8" hidden="false" customHeight="false" outlineLevel="0" collapsed="false">
      <c r="A4996" s="0" t="s">
        <v>12</v>
      </c>
      <c r="B4996" s="0" t="n">
        <v>1403266</v>
      </c>
      <c r="C4996" s="0" t="n">
        <v>1403286</v>
      </c>
      <c r="D4996" s="0" t="s">
        <v>16715</v>
      </c>
      <c r="E4996" s="0" t="s">
        <v>89</v>
      </c>
      <c r="F4996" s="0" t="s">
        <v>15</v>
      </c>
      <c r="G4996" s="0" t="s">
        <v>16</v>
      </c>
      <c r="H4996" s="0" t="n">
        <v>97</v>
      </c>
      <c r="I4996" s="0" t="s">
        <v>16722</v>
      </c>
      <c r="J4996" s="0" t="s">
        <v>16723</v>
      </c>
      <c r="K4996" s="0" t="s">
        <v>16724</v>
      </c>
      <c r="L4996" s="0" t="str">
        <f aca="false">HYPERLINK("https://www.ncbi.nlm.nih.gov/nuccore/CP000304.1?report=graph&amp;tracks=[key:gene_model_track,Options:GeneOnly]&amp;mk=1403185:1403204|offset_15|444444,1403207:1403226|offset_37|444444,1403267:1403286|offset_97|00cc00,1403287:1403306|offset_117|444444&amp;v=1402984:1403506&amp;c=444444", "offset 97")</f>
        <v>offset 97</v>
      </c>
    </row>
    <row r="4997" customFormat="false" ht="12.8" hidden="false" customHeight="false" outlineLevel="0" collapsed="false">
      <c r="A4997" s="0" t="s">
        <v>12</v>
      </c>
      <c r="B4997" s="0" t="n">
        <v>1403286</v>
      </c>
      <c r="C4997" s="0" t="n">
        <v>1403306</v>
      </c>
      <c r="D4997" s="0" t="s">
        <v>16715</v>
      </c>
      <c r="E4997" s="0" t="s">
        <v>89</v>
      </c>
      <c r="F4997" s="0" t="s">
        <v>15</v>
      </c>
      <c r="G4997" s="0" t="s">
        <v>16</v>
      </c>
      <c r="H4997" s="0" t="n">
        <v>117</v>
      </c>
      <c r="I4997" s="0" t="s">
        <v>16725</v>
      </c>
      <c r="J4997" s="0" t="s">
        <v>16726</v>
      </c>
      <c r="K4997" s="0" t="s">
        <v>16727</v>
      </c>
      <c r="L4997" s="0" t="str">
        <f aca="false">HYPERLINK("https://www.ncbi.nlm.nih.gov/nuccore/CP000304.1?report=graph&amp;tracks=[key:gene_model_track,Options:GeneOnly]&amp;mk=1403185:1403204|offset_15|444444,1403207:1403226|offset_37|444444,1403267:1403286|offset_97|444444,1403287:1403306|offset_117|00cc00&amp;v=1402984:1403506&amp;c=444444", "offset 117")</f>
        <v>offset 117</v>
      </c>
    </row>
    <row r="4998" customFormat="false" ht="12.8" hidden="false" customHeight="false" outlineLevel="0" collapsed="false">
      <c r="A4998" s="0" t="s">
        <v>12</v>
      </c>
      <c r="B4998" s="0" t="n">
        <v>1403980</v>
      </c>
      <c r="C4998" s="0" t="n">
        <v>1404000</v>
      </c>
      <c r="D4998" s="0" t="s">
        <v>16728</v>
      </c>
      <c r="E4998" s="0" t="s">
        <v>16729</v>
      </c>
      <c r="F4998" s="0" t="s">
        <v>15</v>
      </c>
      <c r="G4998" s="0" t="s">
        <v>26</v>
      </c>
      <c r="H4998" s="0" t="n">
        <v>14</v>
      </c>
      <c r="I4998" s="0" t="s">
        <v>16730</v>
      </c>
      <c r="J4998" s="0" t="s">
        <v>16731</v>
      </c>
      <c r="K4998" s="0" t="s">
        <v>16732</v>
      </c>
      <c r="L4998" s="0" t="str">
        <f aca="false">HYPERLINK("https://www.ncbi.nlm.nih.gov/nuccore/CP000304.1?report=graph&amp;tracks=[key:gene_model_track,Options:GeneOnly]&amp;mk=1403981:1404000|offset_14|00cc00,1404027:1404046|offset_60|444444,1404074:1404093|offset_107|444444,1404104:1404123|offset_137|444444&amp;v=1403780:1404323&amp;c=444444", "offset 14")</f>
        <v>offset 14</v>
      </c>
    </row>
    <row r="4999" customFormat="false" ht="12.8" hidden="false" customHeight="false" outlineLevel="0" collapsed="false">
      <c r="A4999" s="0" t="s">
        <v>12</v>
      </c>
      <c r="B4999" s="0" t="n">
        <v>1404026</v>
      </c>
      <c r="C4999" s="0" t="n">
        <v>1404046</v>
      </c>
      <c r="D4999" s="0" t="s">
        <v>16728</v>
      </c>
      <c r="E4999" s="0" t="s">
        <v>16729</v>
      </c>
      <c r="F4999" s="0" t="s">
        <v>15</v>
      </c>
      <c r="G4999" s="0" t="s">
        <v>16</v>
      </c>
      <c r="H4999" s="0" t="n">
        <v>60</v>
      </c>
      <c r="I4999" s="0" t="s">
        <v>16733</v>
      </c>
      <c r="J4999" s="0" t="s">
        <v>16734</v>
      </c>
      <c r="K4999" s="0" t="s">
        <v>16735</v>
      </c>
      <c r="L4999" s="0" t="str">
        <f aca="false">HYPERLINK("https://www.ncbi.nlm.nih.gov/nuccore/CP000304.1?report=graph&amp;tracks=[key:gene_model_track,Options:GeneOnly]&amp;mk=1403981:1404000|offset_14|444444,1404027:1404046|offset_60|00cc00,1404074:1404093|offset_107|444444,1404104:1404123|offset_137|444444&amp;v=1403780:1404323&amp;c=444444", "offset 60")</f>
        <v>offset 60</v>
      </c>
    </row>
    <row r="5000" customFormat="false" ht="12.8" hidden="false" customHeight="false" outlineLevel="0" collapsed="false">
      <c r="A5000" s="0" t="s">
        <v>12</v>
      </c>
      <c r="B5000" s="0" t="n">
        <v>1404073</v>
      </c>
      <c r="C5000" s="0" t="n">
        <v>1404093</v>
      </c>
      <c r="D5000" s="0" t="s">
        <v>16728</v>
      </c>
      <c r="E5000" s="0" t="s">
        <v>16729</v>
      </c>
      <c r="F5000" s="0" t="s">
        <v>15</v>
      </c>
      <c r="G5000" s="0" t="s">
        <v>26</v>
      </c>
      <c r="H5000" s="0" t="n">
        <v>107</v>
      </c>
      <c r="I5000" s="0" t="s">
        <v>16736</v>
      </c>
      <c r="J5000" s="0" t="s">
        <v>16737</v>
      </c>
      <c r="K5000" s="0" t="s">
        <v>16738</v>
      </c>
      <c r="L5000" s="0" t="str">
        <f aca="false">HYPERLINK("https://www.ncbi.nlm.nih.gov/nuccore/CP000304.1?report=graph&amp;tracks=[key:gene_model_track,Options:GeneOnly]&amp;mk=1403981:1404000|offset_14|444444,1404027:1404046|offset_60|444444,1404074:1404093|offset_107|00cc00,1404104:1404123|offset_137|444444&amp;v=1403780:1404323&amp;c=444444", "offset 107")</f>
        <v>offset 107</v>
      </c>
    </row>
    <row r="5001" customFormat="false" ht="12.8" hidden="false" customHeight="false" outlineLevel="0" collapsed="false">
      <c r="A5001" s="0" t="s">
        <v>12</v>
      </c>
      <c r="B5001" s="0" t="n">
        <v>1404103</v>
      </c>
      <c r="C5001" s="0" t="n">
        <v>1404123</v>
      </c>
      <c r="D5001" s="0" t="s">
        <v>16728</v>
      </c>
      <c r="E5001" s="0" t="s">
        <v>16729</v>
      </c>
      <c r="F5001" s="0" t="s">
        <v>15</v>
      </c>
      <c r="G5001" s="0" t="s">
        <v>16</v>
      </c>
      <c r="H5001" s="0" t="n">
        <v>137</v>
      </c>
      <c r="I5001" s="0" t="s">
        <v>16739</v>
      </c>
      <c r="J5001" s="0" t="s">
        <v>16740</v>
      </c>
      <c r="K5001" s="0" t="s">
        <v>16741</v>
      </c>
      <c r="L5001" s="0" t="str">
        <f aca="false">HYPERLINK("https://www.ncbi.nlm.nih.gov/nuccore/CP000304.1?report=graph&amp;tracks=[key:gene_model_track,Options:GeneOnly]&amp;mk=1403981:1404000|offset_14|444444,1404027:1404046|offset_60|444444,1404074:1404093|offset_107|444444,1404104:1404123|offset_137|00cc00&amp;v=1403780:1404323&amp;c=444444", "offset 137")</f>
        <v>offset 137</v>
      </c>
    </row>
    <row r="5002" customFormat="false" ht="12.8" hidden="false" customHeight="false" outlineLevel="0" collapsed="false">
      <c r="A5002" s="0" t="s">
        <v>12</v>
      </c>
      <c r="B5002" s="0" t="n">
        <v>1404904</v>
      </c>
      <c r="C5002" s="0" t="n">
        <v>1404924</v>
      </c>
      <c r="D5002" s="0" t="s">
        <v>16742</v>
      </c>
      <c r="E5002" s="0" t="s">
        <v>16743</v>
      </c>
      <c r="F5002" s="0" t="s">
        <v>15</v>
      </c>
      <c r="G5002" s="0" t="s">
        <v>16</v>
      </c>
      <c r="H5002" s="0" t="n">
        <v>34</v>
      </c>
      <c r="I5002" s="0" t="s">
        <v>16744</v>
      </c>
      <c r="J5002" s="0" t="s">
        <v>16745</v>
      </c>
      <c r="K5002" s="0" t="s">
        <v>16746</v>
      </c>
      <c r="L5002" s="0" t="str">
        <f aca="false">HYPERLINK("https://www.ncbi.nlm.nih.gov/nuccore/CP000304.1?report=graph&amp;tracks=[key:gene_model_track,Options:GeneOnly]&amp;mk=1404905:1404924|offset_34|00cc00,1404925:1404944|offset_54|444444,1404945:1404964|offset_74|444444,1404965:1404984|offset_94|444444&amp;v=1404704:1405184&amp;c=444444", "offset 34")</f>
        <v>offset 34</v>
      </c>
    </row>
    <row r="5003" customFormat="false" ht="12.8" hidden="false" customHeight="false" outlineLevel="0" collapsed="false">
      <c r="A5003" s="0" t="s">
        <v>12</v>
      </c>
      <c r="B5003" s="0" t="n">
        <v>1404924</v>
      </c>
      <c r="C5003" s="0" t="n">
        <v>1404944</v>
      </c>
      <c r="D5003" s="0" t="s">
        <v>16742</v>
      </c>
      <c r="E5003" s="0" t="s">
        <v>16743</v>
      </c>
      <c r="F5003" s="0" t="s">
        <v>15</v>
      </c>
      <c r="G5003" s="0" t="s">
        <v>16</v>
      </c>
      <c r="H5003" s="0" t="n">
        <v>54</v>
      </c>
      <c r="I5003" s="0" t="s">
        <v>16747</v>
      </c>
      <c r="J5003" s="0" t="s">
        <v>16748</v>
      </c>
      <c r="K5003" s="0" t="s">
        <v>16749</v>
      </c>
      <c r="L5003" s="0" t="str">
        <f aca="false">HYPERLINK("https://www.ncbi.nlm.nih.gov/nuccore/CP000304.1?report=graph&amp;tracks=[key:gene_model_track,Options:GeneOnly]&amp;mk=1404905:1404924|offset_34|444444,1404925:1404944|offset_54|00cc00,1404945:1404964|offset_74|444444,1404965:1404984|offset_94|444444&amp;v=1404704:1405184&amp;c=444444", "offset 54")</f>
        <v>offset 54</v>
      </c>
    </row>
    <row r="5004" customFormat="false" ht="12.8" hidden="false" customHeight="false" outlineLevel="0" collapsed="false">
      <c r="A5004" s="0" t="s">
        <v>12</v>
      </c>
      <c r="B5004" s="0" t="n">
        <v>1404944</v>
      </c>
      <c r="C5004" s="0" t="n">
        <v>1404964</v>
      </c>
      <c r="D5004" s="0" t="s">
        <v>16742</v>
      </c>
      <c r="E5004" s="0" t="s">
        <v>16743</v>
      </c>
      <c r="F5004" s="0" t="s">
        <v>15</v>
      </c>
      <c r="G5004" s="0" t="s">
        <v>26</v>
      </c>
      <c r="H5004" s="0" t="n">
        <v>74</v>
      </c>
      <c r="I5004" s="0" t="s">
        <v>16750</v>
      </c>
      <c r="J5004" s="0" t="s">
        <v>16751</v>
      </c>
      <c r="K5004" s="0" t="s">
        <v>16752</v>
      </c>
      <c r="L5004" s="0" t="str">
        <f aca="false">HYPERLINK("https://www.ncbi.nlm.nih.gov/nuccore/CP000304.1?report=graph&amp;tracks=[key:gene_model_track,Options:GeneOnly]&amp;mk=1404905:1404924|offset_34|444444,1404925:1404944|offset_54|444444,1404945:1404964|offset_74|00cc00,1404965:1404984|offset_94|444444&amp;v=1404704:1405184&amp;c=444444", "offset 74")</f>
        <v>offset 74</v>
      </c>
    </row>
    <row r="5005" customFormat="false" ht="12.8" hidden="false" customHeight="false" outlineLevel="0" collapsed="false">
      <c r="A5005" s="0" t="s">
        <v>12</v>
      </c>
      <c r="B5005" s="0" t="n">
        <v>1404964</v>
      </c>
      <c r="C5005" s="0" t="n">
        <v>1404984</v>
      </c>
      <c r="D5005" s="0" t="s">
        <v>16742</v>
      </c>
      <c r="E5005" s="0" t="s">
        <v>16743</v>
      </c>
      <c r="F5005" s="0" t="s">
        <v>15</v>
      </c>
      <c r="G5005" s="0" t="s">
        <v>26</v>
      </c>
      <c r="H5005" s="0" t="n">
        <v>94</v>
      </c>
      <c r="I5005" s="0" t="s">
        <v>16753</v>
      </c>
      <c r="J5005" s="0" t="s">
        <v>16754</v>
      </c>
      <c r="K5005" s="0" t="s">
        <v>16755</v>
      </c>
      <c r="L5005" s="0" t="str">
        <f aca="false">HYPERLINK("https://www.ncbi.nlm.nih.gov/nuccore/CP000304.1?report=graph&amp;tracks=[key:gene_model_track,Options:GeneOnly]&amp;mk=1404905:1404924|offset_34|444444,1404925:1404944|offset_54|444444,1404945:1404964|offset_74|444444,1404965:1404984|offset_94|00cc00&amp;v=1404704:1405184&amp;c=444444", "offset 94")</f>
        <v>offset 94</v>
      </c>
    </row>
    <row r="5006" customFormat="false" ht="12.8" hidden="false" customHeight="false" outlineLevel="0" collapsed="false">
      <c r="A5006" s="0" t="s">
        <v>12</v>
      </c>
      <c r="B5006" s="0" t="n">
        <v>1405863</v>
      </c>
      <c r="C5006" s="0" t="n">
        <v>1405883</v>
      </c>
      <c r="D5006" s="0" t="s">
        <v>16756</v>
      </c>
      <c r="E5006" s="0" t="s">
        <v>16757</v>
      </c>
      <c r="F5006" s="0" t="s">
        <v>15</v>
      </c>
      <c r="G5006" s="0" t="s">
        <v>32</v>
      </c>
      <c r="H5006" s="0" t="n">
        <v>7</v>
      </c>
      <c r="I5006" s="0" t="s">
        <v>16758</v>
      </c>
      <c r="J5006" s="0" t="s">
        <v>16759</v>
      </c>
      <c r="K5006" s="0" t="s">
        <v>16760</v>
      </c>
      <c r="L5006" s="0" t="str">
        <f aca="false">HYPERLINK("https://www.ncbi.nlm.nih.gov/nuccore/CP000304.1?report=graph&amp;tracks=[key:gene_model_track,Options:GeneOnly]&amp;mk=1405864:1405883|offset_7|00cc00,1405885:1405904|offset_28|444444,1405943:1405962|offset_86|444444,1405971:1405990|offset_114|444444&amp;v=1405663:1406190&amp;c=444444", "offset 7")</f>
        <v>offset 7</v>
      </c>
    </row>
    <row r="5007" customFormat="false" ht="12.8" hidden="false" customHeight="false" outlineLevel="0" collapsed="false">
      <c r="A5007" s="0" t="s">
        <v>12</v>
      </c>
      <c r="B5007" s="0" t="n">
        <v>1405884</v>
      </c>
      <c r="C5007" s="0" t="n">
        <v>1405904</v>
      </c>
      <c r="D5007" s="0" t="s">
        <v>16756</v>
      </c>
      <c r="E5007" s="0" t="s">
        <v>16757</v>
      </c>
      <c r="F5007" s="0" t="s">
        <v>15</v>
      </c>
      <c r="G5007" s="0" t="s">
        <v>32</v>
      </c>
      <c r="H5007" s="0" t="n">
        <v>28</v>
      </c>
      <c r="I5007" s="0" t="s">
        <v>16761</v>
      </c>
      <c r="J5007" s="0" t="s">
        <v>16762</v>
      </c>
      <c r="K5007" s="0" t="s">
        <v>16763</v>
      </c>
      <c r="L5007" s="0" t="str">
        <f aca="false">HYPERLINK("https://www.ncbi.nlm.nih.gov/nuccore/CP000304.1?report=graph&amp;tracks=[key:gene_model_track,Options:GeneOnly]&amp;mk=1405864:1405883|offset_7|444444,1405885:1405904|offset_28|00cc00,1405943:1405962|offset_86|444444,1405971:1405990|offset_114|444444&amp;v=1405663:1406190&amp;c=444444", "offset 28")</f>
        <v>offset 28</v>
      </c>
    </row>
    <row r="5008" customFormat="false" ht="12.8" hidden="false" customHeight="false" outlineLevel="0" collapsed="false">
      <c r="A5008" s="0" t="s">
        <v>12</v>
      </c>
      <c r="B5008" s="0" t="n">
        <v>1405942</v>
      </c>
      <c r="C5008" s="0" t="n">
        <v>1405962</v>
      </c>
      <c r="D5008" s="0" t="s">
        <v>16756</v>
      </c>
      <c r="E5008" s="0" t="s">
        <v>16757</v>
      </c>
      <c r="F5008" s="0" t="s">
        <v>15</v>
      </c>
      <c r="G5008" s="0" t="s">
        <v>32</v>
      </c>
      <c r="H5008" s="0" t="n">
        <v>86</v>
      </c>
      <c r="I5008" s="0" t="s">
        <v>16764</v>
      </c>
      <c r="J5008" s="0" t="s">
        <v>16765</v>
      </c>
      <c r="K5008" s="0" t="s">
        <v>16766</v>
      </c>
      <c r="L5008" s="0" t="str">
        <f aca="false">HYPERLINK("https://www.ncbi.nlm.nih.gov/nuccore/CP000304.1?report=graph&amp;tracks=[key:gene_model_track,Options:GeneOnly]&amp;mk=1405864:1405883|offset_7|444444,1405885:1405904|offset_28|444444,1405943:1405962|offset_86|00cc00,1405971:1405990|offset_114|444444&amp;v=1405663:1406190&amp;c=444444", "offset 86")</f>
        <v>offset 86</v>
      </c>
    </row>
    <row r="5009" customFormat="false" ht="12.8" hidden="false" customHeight="false" outlineLevel="0" collapsed="false">
      <c r="A5009" s="0" t="s">
        <v>12</v>
      </c>
      <c r="B5009" s="0" t="n">
        <v>1405970</v>
      </c>
      <c r="C5009" s="0" t="n">
        <v>1405990</v>
      </c>
      <c r="D5009" s="0" t="s">
        <v>16756</v>
      </c>
      <c r="E5009" s="0" t="s">
        <v>16757</v>
      </c>
      <c r="F5009" s="0" t="s">
        <v>15</v>
      </c>
      <c r="G5009" s="0" t="s">
        <v>16</v>
      </c>
      <c r="H5009" s="0" t="n">
        <v>114</v>
      </c>
      <c r="I5009" s="0" t="s">
        <v>16767</v>
      </c>
      <c r="J5009" s="0" t="s">
        <v>16768</v>
      </c>
      <c r="K5009" s="0" t="s">
        <v>16769</v>
      </c>
      <c r="L5009" s="0" t="str">
        <f aca="false">HYPERLINK("https://www.ncbi.nlm.nih.gov/nuccore/CP000304.1?report=graph&amp;tracks=[key:gene_model_track,Options:GeneOnly]&amp;mk=1405864:1405883|offset_7|444444,1405885:1405904|offset_28|444444,1405943:1405962|offset_86|444444,1405971:1405990|offset_114|00cc00&amp;v=1405663:1406190&amp;c=444444", "offset 114")</f>
        <v>offset 114</v>
      </c>
    </row>
    <row r="5010" customFormat="false" ht="12.8" hidden="false" customHeight="false" outlineLevel="0" collapsed="false">
      <c r="A5010" s="0" t="s">
        <v>12</v>
      </c>
      <c r="B5010" s="0" t="n">
        <v>1407333</v>
      </c>
      <c r="C5010" s="0" t="n">
        <v>1407353</v>
      </c>
      <c r="D5010" s="0" t="s">
        <v>16770</v>
      </c>
      <c r="E5010" s="0" t="s">
        <v>16771</v>
      </c>
      <c r="F5010" s="0" t="s">
        <v>15</v>
      </c>
      <c r="G5010" s="0" t="s">
        <v>26</v>
      </c>
      <c r="H5010" s="0" t="n">
        <v>17</v>
      </c>
      <c r="I5010" s="0" t="s">
        <v>16772</v>
      </c>
      <c r="J5010" s="0" t="s">
        <v>16773</v>
      </c>
      <c r="K5010" s="0" t="s">
        <v>16774</v>
      </c>
      <c r="L5010" s="0" t="str">
        <f aca="false">HYPERLINK("https://www.ncbi.nlm.nih.gov/nuccore/CP000304.1?report=graph&amp;tracks=[key:gene_model_track,Options:GeneOnly]&amp;mk=1407334:1407353|offset_17|00cc00,1407361:1407380|offset_44|444444,1407384:1407403|offset_67|444444,1407405:1407424|offset_88|444444&amp;v=1407133:1407624&amp;c=444444", "offset 17")</f>
        <v>offset 17</v>
      </c>
    </row>
    <row r="5011" customFormat="false" ht="12.8" hidden="false" customHeight="false" outlineLevel="0" collapsed="false">
      <c r="A5011" s="0" t="s">
        <v>12</v>
      </c>
      <c r="B5011" s="0" t="n">
        <v>1407360</v>
      </c>
      <c r="C5011" s="0" t="n">
        <v>1407380</v>
      </c>
      <c r="D5011" s="0" t="s">
        <v>16770</v>
      </c>
      <c r="E5011" s="0" t="s">
        <v>16771</v>
      </c>
      <c r="F5011" s="0" t="s">
        <v>15</v>
      </c>
      <c r="G5011" s="0" t="s">
        <v>16</v>
      </c>
      <c r="H5011" s="0" t="n">
        <v>44</v>
      </c>
      <c r="I5011" s="0" t="s">
        <v>16775</v>
      </c>
      <c r="J5011" s="0" t="s">
        <v>16776</v>
      </c>
      <c r="K5011" s="0" t="s">
        <v>16777</v>
      </c>
      <c r="L5011" s="0" t="str">
        <f aca="false">HYPERLINK("https://www.ncbi.nlm.nih.gov/nuccore/CP000304.1?report=graph&amp;tracks=[key:gene_model_track,Options:GeneOnly]&amp;mk=1407334:1407353|offset_17|444444,1407361:1407380|offset_44|00cc00,1407384:1407403|offset_67|444444,1407405:1407424|offset_88|444444&amp;v=1407133:1407624&amp;c=444444", "offset 44")</f>
        <v>offset 44</v>
      </c>
    </row>
    <row r="5012" customFormat="false" ht="12.8" hidden="false" customHeight="false" outlineLevel="0" collapsed="false">
      <c r="A5012" s="0" t="s">
        <v>12</v>
      </c>
      <c r="B5012" s="0" t="n">
        <v>1407383</v>
      </c>
      <c r="C5012" s="0" t="n">
        <v>1407403</v>
      </c>
      <c r="D5012" s="0" t="s">
        <v>16770</v>
      </c>
      <c r="E5012" s="0" t="s">
        <v>16771</v>
      </c>
      <c r="F5012" s="0" t="s">
        <v>15</v>
      </c>
      <c r="G5012" s="0" t="s">
        <v>16</v>
      </c>
      <c r="H5012" s="0" t="n">
        <v>67</v>
      </c>
      <c r="I5012" s="0" t="s">
        <v>16778</v>
      </c>
      <c r="J5012" s="0" t="s">
        <v>16779</v>
      </c>
      <c r="K5012" s="0" t="s">
        <v>16780</v>
      </c>
      <c r="L5012" s="0" t="str">
        <f aca="false">HYPERLINK("https://www.ncbi.nlm.nih.gov/nuccore/CP000304.1?report=graph&amp;tracks=[key:gene_model_track,Options:GeneOnly]&amp;mk=1407334:1407353|offset_17|444444,1407361:1407380|offset_44|444444,1407384:1407403|offset_67|00cc00,1407405:1407424|offset_88|444444&amp;v=1407133:1407624&amp;c=444444", "offset 67")</f>
        <v>offset 67</v>
      </c>
    </row>
    <row r="5013" customFormat="false" ht="12.8" hidden="false" customHeight="false" outlineLevel="0" collapsed="false">
      <c r="A5013" s="0" t="s">
        <v>12</v>
      </c>
      <c r="B5013" s="0" t="n">
        <v>1407404</v>
      </c>
      <c r="C5013" s="0" t="n">
        <v>1407424</v>
      </c>
      <c r="D5013" s="0" t="s">
        <v>16770</v>
      </c>
      <c r="E5013" s="0" t="s">
        <v>16771</v>
      </c>
      <c r="F5013" s="0" t="s">
        <v>15</v>
      </c>
      <c r="G5013" s="0" t="s">
        <v>26</v>
      </c>
      <c r="H5013" s="0" t="n">
        <v>88</v>
      </c>
      <c r="I5013" s="0" t="s">
        <v>16781</v>
      </c>
      <c r="J5013" s="0" t="s">
        <v>16782</v>
      </c>
      <c r="K5013" s="0" t="s">
        <v>16783</v>
      </c>
      <c r="L5013" s="0" t="str">
        <f aca="false">HYPERLINK("https://www.ncbi.nlm.nih.gov/nuccore/CP000304.1?report=graph&amp;tracks=[key:gene_model_track,Options:GeneOnly]&amp;mk=1407334:1407353|offset_17|444444,1407361:1407380|offset_44|444444,1407384:1407403|offset_67|444444,1407405:1407424|offset_88|00cc00&amp;v=1407133:1407624&amp;c=444444", "offset 88")</f>
        <v>offset 88</v>
      </c>
    </row>
    <row r="5014" customFormat="false" ht="12.8" hidden="false" customHeight="false" outlineLevel="0" collapsed="false">
      <c r="A5014" s="0" t="s">
        <v>12</v>
      </c>
      <c r="B5014" s="0" t="n">
        <v>1407858</v>
      </c>
      <c r="C5014" s="0" t="n">
        <v>1407878</v>
      </c>
      <c r="D5014" s="0" t="s">
        <v>16784</v>
      </c>
      <c r="E5014" s="0" t="s">
        <v>16785</v>
      </c>
      <c r="F5014" s="0" t="s">
        <v>15</v>
      </c>
      <c r="G5014" s="0" t="s">
        <v>36</v>
      </c>
      <c r="H5014" s="0" t="n">
        <v>24</v>
      </c>
      <c r="I5014" s="0" t="s">
        <v>16786</v>
      </c>
      <c r="J5014" s="0" t="s">
        <v>16787</v>
      </c>
      <c r="K5014" s="0" t="s">
        <v>16788</v>
      </c>
      <c r="L5014" s="0" t="str">
        <f aca="false">HYPERLINK("https://www.ncbi.nlm.nih.gov/nuccore/CP000304.1?report=graph&amp;tracks=[key:gene_model_track,Options:GeneOnly]&amp;mk=1407859:1407878|offset_24|00cc00,1407881:1407900|offset_46|444444,1407906:1407925|offset_71|444444,1407966:1407985|offset_131|444444&amp;v=1407658:1408185&amp;c=444444", "offset 24")</f>
        <v>offset 24</v>
      </c>
    </row>
    <row r="5015" customFormat="false" ht="12.8" hidden="false" customHeight="false" outlineLevel="0" collapsed="false">
      <c r="A5015" s="0" t="s">
        <v>12</v>
      </c>
      <c r="B5015" s="0" t="n">
        <v>1407880</v>
      </c>
      <c r="C5015" s="0" t="n">
        <v>1407900</v>
      </c>
      <c r="D5015" s="0" t="s">
        <v>16784</v>
      </c>
      <c r="E5015" s="0" t="s">
        <v>16785</v>
      </c>
      <c r="F5015" s="0" t="s">
        <v>15</v>
      </c>
      <c r="G5015" s="0" t="s">
        <v>16</v>
      </c>
      <c r="H5015" s="0" t="n">
        <v>46</v>
      </c>
      <c r="I5015" s="0" t="s">
        <v>16789</v>
      </c>
      <c r="J5015" s="0" t="s">
        <v>16790</v>
      </c>
      <c r="K5015" s="0" t="s">
        <v>16791</v>
      </c>
      <c r="L5015" s="0" t="str">
        <f aca="false">HYPERLINK("https://www.ncbi.nlm.nih.gov/nuccore/CP000304.1?report=graph&amp;tracks=[key:gene_model_track,Options:GeneOnly]&amp;mk=1407859:1407878|offset_24|444444,1407881:1407900|offset_46|00cc00,1407906:1407925|offset_71|444444,1407966:1407985|offset_131|444444&amp;v=1407658:1408185&amp;c=444444", "offset 46")</f>
        <v>offset 46</v>
      </c>
    </row>
    <row r="5016" customFormat="false" ht="12.8" hidden="false" customHeight="false" outlineLevel="0" collapsed="false">
      <c r="A5016" s="0" t="s">
        <v>12</v>
      </c>
      <c r="B5016" s="0" t="n">
        <v>1407905</v>
      </c>
      <c r="C5016" s="0" t="n">
        <v>1407925</v>
      </c>
      <c r="D5016" s="0" t="s">
        <v>16784</v>
      </c>
      <c r="E5016" s="0" t="s">
        <v>16785</v>
      </c>
      <c r="F5016" s="0" t="s">
        <v>15</v>
      </c>
      <c r="G5016" s="0" t="s">
        <v>32</v>
      </c>
      <c r="H5016" s="0" t="n">
        <v>71</v>
      </c>
      <c r="I5016" s="0" t="s">
        <v>16792</v>
      </c>
      <c r="J5016" s="0" t="s">
        <v>16793</v>
      </c>
      <c r="K5016" s="0" t="s">
        <v>16794</v>
      </c>
      <c r="L5016" s="0" t="str">
        <f aca="false">HYPERLINK("https://www.ncbi.nlm.nih.gov/nuccore/CP000304.1?report=graph&amp;tracks=[key:gene_model_track,Options:GeneOnly]&amp;mk=1407859:1407878|offset_24|444444,1407881:1407900|offset_46|444444,1407906:1407925|offset_71|00cc00,1407966:1407985|offset_131|444444&amp;v=1407658:1408185&amp;c=444444", "offset 71")</f>
        <v>offset 71</v>
      </c>
    </row>
    <row r="5017" customFormat="false" ht="12.8" hidden="false" customHeight="false" outlineLevel="0" collapsed="false">
      <c r="A5017" s="0" t="s">
        <v>12</v>
      </c>
      <c r="B5017" s="0" t="n">
        <v>1407965</v>
      </c>
      <c r="C5017" s="0" t="n">
        <v>1407985</v>
      </c>
      <c r="D5017" s="0" t="s">
        <v>16784</v>
      </c>
      <c r="E5017" s="0" t="s">
        <v>16785</v>
      </c>
      <c r="F5017" s="0" t="s">
        <v>15</v>
      </c>
      <c r="G5017" s="0" t="s">
        <v>26</v>
      </c>
      <c r="H5017" s="0" t="n">
        <v>131</v>
      </c>
      <c r="I5017" s="0" t="s">
        <v>16795</v>
      </c>
      <c r="J5017" s="0" t="s">
        <v>16796</v>
      </c>
      <c r="K5017" s="0" t="s">
        <v>16797</v>
      </c>
      <c r="L5017" s="0" t="str">
        <f aca="false">HYPERLINK("https://www.ncbi.nlm.nih.gov/nuccore/CP000304.1?report=graph&amp;tracks=[key:gene_model_track,Options:GeneOnly]&amp;mk=1407859:1407878|offset_24|444444,1407881:1407900|offset_46|444444,1407906:1407925|offset_71|444444,1407966:1407985|offset_131|00cc00&amp;v=1407658:1408185&amp;c=444444", "offset 131")</f>
        <v>offset 131</v>
      </c>
    </row>
    <row r="5018" customFormat="false" ht="12.8" hidden="false" customHeight="false" outlineLevel="0" collapsed="false">
      <c r="A5018" s="0" t="s">
        <v>12</v>
      </c>
      <c r="B5018" s="0" t="n">
        <v>1408900</v>
      </c>
      <c r="C5018" s="0" t="n">
        <v>1408920</v>
      </c>
      <c r="D5018" s="0" t="s">
        <v>16798</v>
      </c>
      <c r="E5018" s="0" t="s">
        <v>89</v>
      </c>
      <c r="F5018" s="0" t="s">
        <v>15</v>
      </c>
      <c r="G5018" s="0" t="s">
        <v>26</v>
      </c>
      <c r="H5018" s="0" t="n">
        <v>80</v>
      </c>
      <c r="I5018" s="0" t="s">
        <v>16799</v>
      </c>
      <c r="J5018" s="0" t="s">
        <v>16800</v>
      </c>
      <c r="K5018" s="0" t="s">
        <v>16801</v>
      </c>
      <c r="L5018" s="0" t="str">
        <f aca="false">HYPERLINK("https://www.ncbi.nlm.nih.gov/nuccore/CP000304.1?report=graph&amp;tracks=[key:gene_model_track,Options:GeneOnly]&amp;mk=1408901:1408920|offset_80|00cc00,1408921:1408940|offset_100|444444,1408949:1408968|offset_128|444444,1409012:1409031|offset_191|444444&amp;v=1408700:1409231&amp;c=444444", "offset 80")</f>
        <v>offset 80</v>
      </c>
    </row>
    <row r="5019" customFormat="false" ht="12.8" hidden="false" customHeight="false" outlineLevel="0" collapsed="false">
      <c r="A5019" s="0" t="s">
        <v>12</v>
      </c>
      <c r="B5019" s="0" t="n">
        <v>1408920</v>
      </c>
      <c r="C5019" s="0" t="n">
        <v>1408940</v>
      </c>
      <c r="D5019" s="0" t="s">
        <v>16798</v>
      </c>
      <c r="E5019" s="0" t="s">
        <v>89</v>
      </c>
      <c r="F5019" s="0" t="s">
        <v>15</v>
      </c>
      <c r="G5019" s="0" t="s">
        <v>16</v>
      </c>
      <c r="H5019" s="0" t="n">
        <v>100</v>
      </c>
      <c r="I5019" s="0" t="s">
        <v>16802</v>
      </c>
      <c r="J5019" s="0" t="s">
        <v>16803</v>
      </c>
      <c r="K5019" s="0" t="s">
        <v>16804</v>
      </c>
      <c r="L5019" s="0" t="str">
        <f aca="false">HYPERLINK("https://www.ncbi.nlm.nih.gov/nuccore/CP000304.1?report=graph&amp;tracks=[key:gene_model_track,Options:GeneOnly]&amp;mk=1408901:1408920|offset_80|444444,1408921:1408940|offset_100|00cc00,1408949:1408968|offset_128|444444,1409012:1409031|offset_191|444444&amp;v=1408700:1409231&amp;c=444444", "offset 100")</f>
        <v>offset 100</v>
      </c>
    </row>
    <row r="5020" customFormat="false" ht="12.8" hidden="false" customHeight="false" outlineLevel="0" collapsed="false">
      <c r="A5020" s="0" t="s">
        <v>12</v>
      </c>
      <c r="B5020" s="0" t="n">
        <v>1408948</v>
      </c>
      <c r="C5020" s="0" t="n">
        <v>1408968</v>
      </c>
      <c r="D5020" s="0" t="s">
        <v>16798</v>
      </c>
      <c r="E5020" s="0" t="s">
        <v>89</v>
      </c>
      <c r="F5020" s="0" t="s">
        <v>15</v>
      </c>
      <c r="G5020" s="0" t="s">
        <v>26</v>
      </c>
      <c r="H5020" s="0" t="n">
        <v>128</v>
      </c>
      <c r="I5020" s="0" t="s">
        <v>16805</v>
      </c>
      <c r="J5020" s="0" t="s">
        <v>16806</v>
      </c>
      <c r="K5020" s="0" t="s">
        <v>16807</v>
      </c>
      <c r="L5020" s="0" t="str">
        <f aca="false">HYPERLINK("https://www.ncbi.nlm.nih.gov/nuccore/CP000304.1?report=graph&amp;tracks=[key:gene_model_track,Options:GeneOnly]&amp;mk=1408901:1408920|offset_80|444444,1408921:1408940|offset_100|444444,1408949:1408968|offset_128|00cc00,1409012:1409031|offset_191|444444&amp;v=1408700:1409231&amp;c=444444", "offset 128")</f>
        <v>offset 128</v>
      </c>
    </row>
    <row r="5021" customFormat="false" ht="12.8" hidden="false" customHeight="false" outlineLevel="0" collapsed="false">
      <c r="A5021" s="0" t="s">
        <v>12</v>
      </c>
      <c r="B5021" s="0" t="n">
        <v>1409011</v>
      </c>
      <c r="C5021" s="0" t="n">
        <v>1409031</v>
      </c>
      <c r="D5021" s="0" t="s">
        <v>16798</v>
      </c>
      <c r="E5021" s="0" t="s">
        <v>89</v>
      </c>
      <c r="F5021" s="0" t="s">
        <v>15</v>
      </c>
      <c r="G5021" s="0" t="s">
        <v>36</v>
      </c>
      <c r="H5021" s="0" t="n">
        <v>191</v>
      </c>
      <c r="I5021" s="0" t="s">
        <v>16808</v>
      </c>
      <c r="J5021" s="0" t="s">
        <v>16809</v>
      </c>
      <c r="K5021" s="0" t="s">
        <v>16810</v>
      </c>
      <c r="L5021" s="0" t="str">
        <f aca="false">HYPERLINK("https://www.ncbi.nlm.nih.gov/nuccore/CP000304.1?report=graph&amp;tracks=[key:gene_model_track,Options:GeneOnly]&amp;mk=1408901:1408920|offset_80|444444,1408921:1408940|offset_100|444444,1408949:1408968|offset_128|444444,1409012:1409031|offset_191|00cc00&amp;v=1408700:1409231&amp;c=444444", "offset 191")</f>
        <v>offset 191</v>
      </c>
    </row>
    <row r="5022" customFormat="false" ht="12.8" hidden="false" customHeight="false" outlineLevel="0" collapsed="false">
      <c r="A5022" s="0" t="s">
        <v>12</v>
      </c>
      <c r="B5022" s="0" t="n">
        <v>1409468</v>
      </c>
      <c r="C5022" s="0" t="n">
        <v>1409488</v>
      </c>
      <c r="D5022" s="0" t="s">
        <v>16811</v>
      </c>
      <c r="E5022" s="0" t="s">
        <v>16812</v>
      </c>
      <c r="F5022" s="0" t="s">
        <v>15</v>
      </c>
      <c r="G5022" s="0" t="s">
        <v>16</v>
      </c>
      <c r="H5022" s="0" t="n">
        <v>0</v>
      </c>
      <c r="I5022" s="0" t="s">
        <v>16813</v>
      </c>
      <c r="J5022" s="0" t="s">
        <v>16814</v>
      </c>
      <c r="K5022" s="0" t="s">
        <v>16815</v>
      </c>
      <c r="L5022" s="0" t="str">
        <f aca="false">HYPERLINK("https://www.ncbi.nlm.nih.gov/nuccore/CP000304.1?report=graph&amp;tracks=[key:gene_model_track,Options:GeneOnly]&amp;mk=1409469:1409488|offset_0|00cc00,1409506:1409525|offset_37|444444,1409526:1409545|offset_57|444444,1409555:1409574|offset_86|444444&amp;v=1409268:1409774&amp;c=444444", "offset 0")</f>
        <v>offset 0</v>
      </c>
    </row>
    <row r="5023" customFormat="false" ht="12.8" hidden="false" customHeight="false" outlineLevel="0" collapsed="false">
      <c r="A5023" s="0" t="s">
        <v>12</v>
      </c>
      <c r="B5023" s="0" t="n">
        <v>1409505</v>
      </c>
      <c r="C5023" s="0" t="n">
        <v>1409525</v>
      </c>
      <c r="D5023" s="0" t="s">
        <v>16811</v>
      </c>
      <c r="E5023" s="0" t="s">
        <v>16812</v>
      </c>
      <c r="F5023" s="0" t="s">
        <v>15</v>
      </c>
      <c r="G5023" s="0" t="s">
        <v>32</v>
      </c>
      <c r="H5023" s="0" t="n">
        <v>37</v>
      </c>
      <c r="I5023" s="0" t="s">
        <v>16816</v>
      </c>
      <c r="J5023" s="0" t="s">
        <v>16817</v>
      </c>
      <c r="K5023" s="0" t="s">
        <v>16818</v>
      </c>
      <c r="L5023" s="0" t="str">
        <f aca="false">HYPERLINK("https://www.ncbi.nlm.nih.gov/nuccore/CP000304.1?report=graph&amp;tracks=[key:gene_model_track,Options:GeneOnly]&amp;mk=1409469:1409488|offset_0|444444,1409506:1409525|offset_37|00cc00,1409526:1409545|offset_57|444444,1409555:1409574|offset_86|444444&amp;v=1409268:1409774&amp;c=444444", "offset 37")</f>
        <v>offset 37</v>
      </c>
    </row>
    <row r="5024" customFormat="false" ht="12.8" hidden="false" customHeight="false" outlineLevel="0" collapsed="false">
      <c r="A5024" s="0" t="s">
        <v>12</v>
      </c>
      <c r="B5024" s="0" t="n">
        <v>1409525</v>
      </c>
      <c r="C5024" s="0" t="n">
        <v>1409545</v>
      </c>
      <c r="D5024" s="0" t="s">
        <v>16811</v>
      </c>
      <c r="E5024" s="0" t="s">
        <v>16812</v>
      </c>
      <c r="F5024" s="0" t="s">
        <v>15</v>
      </c>
      <c r="G5024" s="0" t="s">
        <v>26</v>
      </c>
      <c r="H5024" s="0" t="n">
        <v>57</v>
      </c>
      <c r="I5024" s="0" t="s">
        <v>16819</v>
      </c>
      <c r="J5024" s="0" t="s">
        <v>16820</v>
      </c>
      <c r="K5024" s="0" t="s">
        <v>16821</v>
      </c>
      <c r="L5024" s="0" t="str">
        <f aca="false">HYPERLINK("https://www.ncbi.nlm.nih.gov/nuccore/CP000304.1?report=graph&amp;tracks=[key:gene_model_track,Options:GeneOnly]&amp;mk=1409469:1409488|offset_0|444444,1409506:1409525|offset_37|444444,1409526:1409545|offset_57|00cc00,1409555:1409574|offset_86|444444&amp;v=1409268:1409774&amp;c=444444", "offset 57")</f>
        <v>offset 57</v>
      </c>
    </row>
    <row r="5025" customFormat="false" ht="12.8" hidden="false" customHeight="false" outlineLevel="0" collapsed="false">
      <c r="A5025" s="0" t="s">
        <v>12</v>
      </c>
      <c r="B5025" s="0" t="n">
        <v>1409554</v>
      </c>
      <c r="C5025" s="0" t="n">
        <v>1409574</v>
      </c>
      <c r="D5025" s="0" t="s">
        <v>16811</v>
      </c>
      <c r="E5025" s="0" t="s">
        <v>16812</v>
      </c>
      <c r="F5025" s="0" t="s">
        <v>15</v>
      </c>
      <c r="G5025" s="0" t="s">
        <v>16</v>
      </c>
      <c r="H5025" s="0" t="n">
        <v>86</v>
      </c>
      <c r="I5025" s="0" t="s">
        <v>16822</v>
      </c>
      <c r="J5025" s="0" t="s">
        <v>16823</v>
      </c>
      <c r="K5025" s="0" t="s">
        <v>16824</v>
      </c>
      <c r="L5025" s="0" t="str">
        <f aca="false">HYPERLINK("https://www.ncbi.nlm.nih.gov/nuccore/CP000304.1?report=graph&amp;tracks=[key:gene_model_track,Options:GeneOnly]&amp;mk=1409469:1409488|offset_0|444444,1409506:1409525|offset_37|444444,1409526:1409545|offset_57|444444,1409555:1409574|offset_86|00cc00&amp;v=1409268:1409774&amp;c=444444", "offset 86")</f>
        <v>offset 86</v>
      </c>
    </row>
    <row r="5026" customFormat="false" ht="12.8" hidden="false" customHeight="false" outlineLevel="0" collapsed="false">
      <c r="A5026" s="0" t="s">
        <v>12</v>
      </c>
      <c r="B5026" s="0" t="n">
        <v>1410579</v>
      </c>
      <c r="C5026" s="0" t="n">
        <v>1410599</v>
      </c>
      <c r="D5026" s="0" t="s">
        <v>16825</v>
      </c>
      <c r="E5026" s="0" t="s">
        <v>89</v>
      </c>
      <c r="F5026" s="0" t="s">
        <v>90</v>
      </c>
      <c r="G5026" s="0" t="s">
        <v>16</v>
      </c>
      <c r="H5026" s="0" t="n">
        <v>19</v>
      </c>
      <c r="I5026" s="0" t="s">
        <v>16826</v>
      </c>
      <c r="J5026" s="0" t="s">
        <v>16827</v>
      </c>
      <c r="K5026" s="0" t="s">
        <v>16828</v>
      </c>
      <c r="L5026" s="0" t="str">
        <f aca="false">HYPERLINK("https://www.ncbi.nlm.nih.gov/nuccore/CP000304.1?report=graph&amp;tracks=[key:gene_model_track,Options:GeneOnly]&amp;mk=1410580:1410599|offset_19|00cc00,1410553:1410572|offset_46|444444,1410518:1410537|offset_81|444444,1410493:1410512|offset_106|444444&amp;v=1410379:1410712&amp;c=444444", "offset 19")</f>
        <v>offset 19</v>
      </c>
    </row>
    <row r="5027" customFormat="false" ht="12.8" hidden="false" customHeight="false" outlineLevel="0" collapsed="false">
      <c r="A5027" s="0" t="s">
        <v>12</v>
      </c>
      <c r="B5027" s="0" t="n">
        <v>1410552</v>
      </c>
      <c r="C5027" s="0" t="n">
        <v>1410572</v>
      </c>
      <c r="D5027" s="0" t="s">
        <v>16825</v>
      </c>
      <c r="E5027" s="0" t="s">
        <v>89</v>
      </c>
      <c r="F5027" s="0" t="s">
        <v>90</v>
      </c>
      <c r="G5027" s="0" t="s">
        <v>16</v>
      </c>
      <c r="H5027" s="0" t="n">
        <v>46</v>
      </c>
      <c r="I5027" s="0" t="s">
        <v>16829</v>
      </c>
      <c r="J5027" s="0" t="s">
        <v>16830</v>
      </c>
      <c r="K5027" s="0" t="s">
        <v>16831</v>
      </c>
      <c r="L5027" s="0" t="str">
        <f aca="false">HYPERLINK("https://www.ncbi.nlm.nih.gov/nuccore/CP000304.1?report=graph&amp;tracks=[key:gene_model_track,Options:GeneOnly]&amp;mk=1410580:1410599|offset_19|444444,1410553:1410572|offset_46|00cc00,1410518:1410537|offset_81|444444,1410493:1410512|offset_106|444444&amp;v=1410379:1410712&amp;c=444444", "offset 46")</f>
        <v>offset 46</v>
      </c>
    </row>
    <row r="5028" customFormat="false" ht="12.8" hidden="false" customHeight="false" outlineLevel="0" collapsed="false">
      <c r="A5028" s="0" t="s">
        <v>12</v>
      </c>
      <c r="B5028" s="0" t="n">
        <v>1410517</v>
      </c>
      <c r="C5028" s="0" t="n">
        <v>1410537</v>
      </c>
      <c r="D5028" s="0" t="s">
        <v>16825</v>
      </c>
      <c r="E5028" s="0" t="s">
        <v>89</v>
      </c>
      <c r="F5028" s="0" t="s">
        <v>90</v>
      </c>
      <c r="G5028" s="0" t="s">
        <v>16</v>
      </c>
      <c r="H5028" s="0" t="n">
        <v>81</v>
      </c>
      <c r="I5028" s="0" t="s">
        <v>16832</v>
      </c>
      <c r="J5028" s="0" t="s">
        <v>16833</v>
      </c>
      <c r="K5028" s="0" t="s">
        <v>16834</v>
      </c>
      <c r="L5028" s="0" t="str">
        <f aca="false">HYPERLINK("https://www.ncbi.nlm.nih.gov/nuccore/CP000304.1?report=graph&amp;tracks=[key:gene_model_track,Options:GeneOnly]&amp;mk=1410580:1410599|offset_19|444444,1410553:1410572|offset_46|444444,1410518:1410537|offset_81|00cc00,1410493:1410512|offset_106|444444&amp;v=1410379:1410712&amp;c=444444", "offset 81")</f>
        <v>offset 81</v>
      </c>
    </row>
    <row r="5029" customFormat="false" ht="12.8" hidden="false" customHeight="false" outlineLevel="0" collapsed="false">
      <c r="A5029" s="0" t="s">
        <v>12</v>
      </c>
      <c r="B5029" s="0" t="n">
        <v>1410492</v>
      </c>
      <c r="C5029" s="0" t="n">
        <v>1410512</v>
      </c>
      <c r="D5029" s="0" t="s">
        <v>16825</v>
      </c>
      <c r="E5029" s="0" t="s">
        <v>89</v>
      </c>
      <c r="F5029" s="0" t="s">
        <v>90</v>
      </c>
      <c r="G5029" s="0" t="s">
        <v>36</v>
      </c>
      <c r="H5029" s="0" t="n">
        <v>106</v>
      </c>
      <c r="I5029" s="0" t="s">
        <v>16835</v>
      </c>
      <c r="J5029" s="0" t="s">
        <v>16836</v>
      </c>
      <c r="K5029" s="0" t="s">
        <v>16837</v>
      </c>
      <c r="L5029" s="0" t="str">
        <f aca="false">HYPERLINK("https://www.ncbi.nlm.nih.gov/nuccore/CP000304.1?report=graph&amp;tracks=[key:gene_model_track,Options:GeneOnly]&amp;mk=1410580:1410599|offset_19|444444,1410553:1410572|offset_46|444444,1410518:1410537|offset_81|444444,1410493:1410512|offset_106|00cc00&amp;v=1410379:1410712&amp;c=444444", "offset 106")</f>
        <v>offset 106</v>
      </c>
    </row>
    <row r="5030" customFormat="false" ht="12.8" hidden="false" customHeight="false" outlineLevel="0" collapsed="false">
      <c r="A5030" s="0" t="s">
        <v>12</v>
      </c>
      <c r="B5030" s="0" t="n">
        <v>1410948</v>
      </c>
      <c r="C5030" s="0" t="n">
        <v>1410968</v>
      </c>
      <c r="D5030" s="0" t="s">
        <v>16838</v>
      </c>
      <c r="E5030" s="0" t="s">
        <v>89</v>
      </c>
      <c r="F5030" s="0" t="s">
        <v>90</v>
      </c>
      <c r="G5030" s="0" t="s">
        <v>32</v>
      </c>
      <c r="H5030" s="0" t="n">
        <v>14</v>
      </c>
      <c r="I5030" s="0" t="s">
        <v>16839</v>
      </c>
      <c r="J5030" s="0" t="s">
        <v>16840</v>
      </c>
      <c r="K5030" s="0" t="s">
        <v>16841</v>
      </c>
      <c r="L5030" s="0" t="str">
        <f aca="false">HYPERLINK("https://www.ncbi.nlm.nih.gov/nuccore/CP000304.1?report=graph&amp;tracks=[key:gene_model_track,Options:GeneOnly]&amp;mk=1410949:1410968|offset_14|00cc00,1410926:1410945|offset_37|444444,1410899:1410918|offset_64|444444,1410875:1410894|offset_88|444444&amp;v=1410748:1411094&amp;c=444444", "offset 14")</f>
        <v>offset 14</v>
      </c>
    </row>
    <row r="5031" customFormat="false" ht="12.8" hidden="false" customHeight="false" outlineLevel="0" collapsed="false">
      <c r="A5031" s="0" t="s">
        <v>12</v>
      </c>
      <c r="B5031" s="0" t="n">
        <v>1410925</v>
      </c>
      <c r="C5031" s="0" t="n">
        <v>1410945</v>
      </c>
      <c r="D5031" s="0" t="s">
        <v>16838</v>
      </c>
      <c r="E5031" s="0" t="s">
        <v>89</v>
      </c>
      <c r="F5031" s="0" t="s">
        <v>90</v>
      </c>
      <c r="G5031" s="0" t="s">
        <v>36</v>
      </c>
      <c r="H5031" s="0" t="n">
        <v>37</v>
      </c>
      <c r="I5031" s="0" t="s">
        <v>16842</v>
      </c>
      <c r="J5031" s="0" t="s">
        <v>16843</v>
      </c>
      <c r="K5031" s="0" t="s">
        <v>16844</v>
      </c>
      <c r="L5031" s="0" t="str">
        <f aca="false">HYPERLINK("https://www.ncbi.nlm.nih.gov/nuccore/CP000304.1?report=graph&amp;tracks=[key:gene_model_track,Options:GeneOnly]&amp;mk=1410949:1410968|offset_14|444444,1410926:1410945|offset_37|00cc00,1410899:1410918|offset_64|444444,1410875:1410894|offset_88|444444&amp;v=1410748:1411094&amp;c=444444", "offset 37")</f>
        <v>offset 37</v>
      </c>
    </row>
    <row r="5032" customFormat="false" ht="12.8" hidden="false" customHeight="false" outlineLevel="0" collapsed="false">
      <c r="A5032" s="0" t="s">
        <v>12</v>
      </c>
      <c r="B5032" s="0" t="n">
        <v>1410898</v>
      </c>
      <c r="C5032" s="0" t="n">
        <v>1410918</v>
      </c>
      <c r="D5032" s="0" t="s">
        <v>16838</v>
      </c>
      <c r="E5032" s="0" t="s">
        <v>89</v>
      </c>
      <c r="F5032" s="0" t="s">
        <v>90</v>
      </c>
      <c r="G5032" s="0" t="s">
        <v>32</v>
      </c>
      <c r="H5032" s="0" t="n">
        <v>64</v>
      </c>
      <c r="I5032" s="0" t="s">
        <v>16845</v>
      </c>
      <c r="J5032" s="0" t="s">
        <v>16846</v>
      </c>
      <c r="K5032" s="0" t="s">
        <v>16847</v>
      </c>
      <c r="L5032" s="0" t="str">
        <f aca="false">HYPERLINK("https://www.ncbi.nlm.nih.gov/nuccore/CP000304.1?report=graph&amp;tracks=[key:gene_model_track,Options:GeneOnly]&amp;mk=1410949:1410968|offset_14|444444,1410926:1410945|offset_37|444444,1410899:1410918|offset_64|00cc00,1410875:1410894|offset_88|444444&amp;v=1410748:1411094&amp;c=444444", "offset 64")</f>
        <v>offset 64</v>
      </c>
    </row>
    <row r="5033" customFormat="false" ht="12.8" hidden="false" customHeight="false" outlineLevel="0" collapsed="false">
      <c r="A5033" s="0" t="s">
        <v>12</v>
      </c>
      <c r="B5033" s="0" t="n">
        <v>1410874</v>
      </c>
      <c r="C5033" s="0" t="n">
        <v>1410894</v>
      </c>
      <c r="D5033" s="0" t="s">
        <v>16838</v>
      </c>
      <c r="E5033" s="0" t="s">
        <v>89</v>
      </c>
      <c r="F5033" s="0" t="s">
        <v>90</v>
      </c>
      <c r="G5033" s="0" t="s">
        <v>36</v>
      </c>
      <c r="H5033" s="0" t="n">
        <v>88</v>
      </c>
      <c r="I5033" s="0" t="s">
        <v>16848</v>
      </c>
      <c r="J5033" s="0" t="s">
        <v>16849</v>
      </c>
      <c r="K5033" s="0" t="s">
        <v>16850</v>
      </c>
      <c r="L5033" s="0" t="str">
        <f aca="false">HYPERLINK("https://www.ncbi.nlm.nih.gov/nuccore/CP000304.1?report=graph&amp;tracks=[key:gene_model_track,Options:GeneOnly]&amp;mk=1410949:1410968|offset_14|444444,1410926:1410945|offset_37|444444,1410899:1410918|offset_64|444444,1410875:1410894|offset_88|00cc00&amp;v=1410748:1411094&amp;c=444444", "offset 88")</f>
        <v>offset 88</v>
      </c>
    </row>
    <row r="5034" customFormat="false" ht="12.8" hidden="false" customHeight="false" outlineLevel="0" collapsed="false">
      <c r="A5034" s="0" t="s">
        <v>12</v>
      </c>
      <c r="B5034" s="0" t="n">
        <v>1411503</v>
      </c>
      <c r="C5034" s="0" t="n">
        <v>1411523</v>
      </c>
      <c r="D5034" s="0" t="s">
        <v>16851</v>
      </c>
      <c r="E5034" s="0" t="s">
        <v>16852</v>
      </c>
      <c r="F5034" s="0" t="s">
        <v>90</v>
      </c>
      <c r="G5034" s="0" t="s">
        <v>16</v>
      </c>
      <c r="H5034" s="0" t="n">
        <v>13</v>
      </c>
      <c r="I5034" s="0" t="s">
        <v>16853</v>
      </c>
      <c r="J5034" s="0" t="s">
        <v>16854</v>
      </c>
      <c r="K5034" s="0" t="s">
        <v>16855</v>
      </c>
      <c r="L5034" s="0" t="str">
        <f aca="false">HYPERLINK("https://www.ncbi.nlm.nih.gov/nuccore/CP000304.1?report=graph&amp;tracks=[key:gene_model_track,Options:GeneOnly]&amp;mk=1411504:1411523|offset_13|00cc00,1411470:1411489|offset_47|444444,1411446:1411465|offset_71|444444,1411419:1411438|offset_98|444444&amp;v=1411303:1411638&amp;c=444444", "offset 13")</f>
        <v>offset 13</v>
      </c>
    </row>
    <row r="5035" customFormat="false" ht="12.8" hidden="false" customHeight="false" outlineLevel="0" collapsed="false">
      <c r="A5035" s="0" t="s">
        <v>12</v>
      </c>
      <c r="B5035" s="0" t="n">
        <v>1411469</v>
      </c>
      <c r="C5035" s="0" t="n">
        <v>1411489</v>
      </c>
      <c r="D5035" s="0" t="s">
        <v>16851</v>
      </c>
      <c r="E5035" s="0" t="s">
        <v>16852</v>
      </c>
      <c r="F5035" s="0" t="s">
        <v>90</v>
      </c>
      <c r="G5035" s="0" t="s">
        <v>36</v>
      </c>
      <c r="H5035" s="0" t="n">
        <v>47</v>
      </c>
      <c r="I5035" s="0" t="s">
        <v>16856</v>
      </c>
      <c r="J5035" s="0" t="s">
        <v>16857</v>
      </c>
      <c r="K5035" s="0" t="s">
        <v>16858</v>
      </c>
      <c r="L5035" s="0" t="str">
        <f aca="false">HYPERLINK("https://www.ncbi.nlm.nih.gov/nuccore/CP000304.1?report=graph&amp;tracks=[key:gene_model_track,Options:GeneOnly]&amp;mk=1411504:1411523|offset_13|444444,1411470:1411489|offset_47|00cc00,1411446:1411465|offset_71|444444,1411419:1411438|offset_98|444444&amp;v=1411303:1411638&amp;c=444444", "offset 47")</f>
        <v>offset 47</v>
      </c>
    </row>
    <row r="5036" customFormat="false" ht="12.8" hidden="false" customHeight="false" outlineLevel="0" collapsed="false">
      <c r="A5036" s="0" t="s">
        <v>12</v>
      </c>
      <c r="B5036" s="0" t="n">
        <v>1411445</v>
      </c>
      <c r="C5036" s="0" t="n">
        <v>1411465</v>
      </c>
      <c r="D5036" s="0" t="s">
        <v>16851</v>
      </c>
      <c r="E5036" s="0" t="s">
        <v>16852</v>
      </c>
      <c r="F5036" s="0" t="s">
        <v>90</v>
      </c>
      <c r="G5036" s="0" t="s">
        <v>16</v>
      </c>
      <c r="H5036" s="0" t="n">
        <v>71</v>
      </c>
      <c r="I5036" s="0" t="s">
        <v>16859</v>
      </c>
      <c r="J5036" s="0" t="s">
        <v>16860</v>
      </c>
      <c r="K5036" s="0" t="s">
        <v>16861</v>
      </c>
      <c r="L5036" s="0" t="str">
        <f aca="false">HYPERLINK("https://www.ncbi.nlm.nih.gov/nuccore/CP000304.1?report=graph&amp;tracks=[key:gene_model_track,Options:GeneOnly]&amp;mk=1411504:1411523|offset_13|444444,1411470:1411489|offset_47|444444,1411446:1411465|offset_71|00cc00,1411419:1411438|offset_98|444444&amp;v=1411303:1411638&amp;c=444444", "offset 71")</f>
        <v>offset 71</v>
      </c>
    </row>
    <row r="5037" customFormat="false" ht="12.8" hidden="false" customHeight="false" outlineLevel="0" collapsed="false">
      <c r="A5037" s="0" t="s">
        <v>12</v>
      </c>
      <c r="B5037" s="0" t="n">
        <v>1411418</v>
      </c>
      <c r="C5037" s="0" t="n">
        <v>1411438</v>
      </c>
      <c r="D5037" s="0" t="s">
        <v>16851</v>
      </c>
      <c r="E5037" s="0" t="s">
        <v>16852</v>
      </c>
      <c r="F5037" s="0" t="s">
        <v>90</v>
      </c>
      <c r="G5037" s="0" t="s">
        <v>26</v>
      </c>
      <c r="H5037" s="0" t="n">
        <v>98</v>
      </c>
      <c r="I5037" s="0" t="s">
        <v>16862</v>
      </c>
      <c r="J5037" s="0" t="s">
        <v>16863</v>
      </c>
      <c r="K5037" s="0" t="s">
        <v>16864</v>
      </c>
      <c r="L5037" s="0" t="str">
        <f aca="false">HYPERLINK("https://www.ncbi.nlm.nih.gov/nuccore/CP000304.1?report=graph&amp;tracks=[key:gene_model_track,Options:GeneOnly]&amp;mk=1411504:1411523|offset_13|444444,1411470:1411489|offset_47|444444,1411446:1411465|offset_71|444444,1411419:1411438|offset_98|00cc00&amp;v=1411303:1411638&amp;c=444444", "offset 98")</f>
        <v>offset 98</v>
      </c>
    </row>
    <row r="5038" customFormat="false" ht="12.8" hidden="false" customHeight="false" outlineLevel="0" collapsed="false">
      <c r="A5038" s="0" t="s">
        <v>12</v>
      </c>
      <c r="B5038" s="0" t="n">
        <v>1411958</v>
      </c>
      <c r="C5038" s="0" t="n">
        <v>1411978</v>
      </c>
      <c r="D5038" s="0" t="s">
        <v>16865</v>
      </c>
      <c r="E5038" s="0" t="s">
        <v>89</v>
      </c>
      <c r="F5038" s="0" t="s">
        <v>90</v>
      </c>
      <c r="G5038" s="0" t="s">
        <v>32</v>
      </c>
      <c r="H5038" s="0" t="n">
        <v>1</v>
      </c>
      <c r="I5038" s="0" t="s">
        <v>16866</v>
      </c>
      <c r="J5038" s="0" t="s">
        <v>16867</v>
      </c>
      <c r="K5038" s="0" t="s">
        <v>16868</v>
      </c>
      <c r="L5038" s="0" t="str">
        <f aca="false">HYPERLINK("https://www.ncbi.nlm.nih.gov/nuccore/CP000304.1?report=graph&amp;tracks=[key:gene_model_track,Options:GeneOnly]&amp;mk=1411959:1411978|offset_1|00cc00,1411930:1411949|offset_30|444444,1411910:1411929|offset_50|444444,1411859:1411878|offset_101|444444&amp;v=1411758:1412078&amp;c=444444", "offset 1")</f>
        <v>offset 1</v>
      </c>
    </row>
    <row r="5039" customFormat="false" ht="12.8" hidden="false" customHeight="false" outlineLevel="0" collapsed="false">
      <c r="A5039" s="0" t="s">
        <v>12</v>
      </c>
      <c r="B5039" s="0" t="n">
        <v>1411929</v>
      </c>
      <c r="C5039" s="0" t="n">
        <v>1411949</v>
      </c>
      <c r="D5039" s="0" t="s">
        <v>16865</v>
      </c>
      <c r="E5039" s="0" t="s">
        <v>89</v>
      </c>
      <c r="F5039" s="0" t="s">
        <v>90</v>
      </c>
      <c r="G5039" s="0" t="s">
        <v>36</v>
      </c>
      <c r="H5039" s="0" t="n">
        <v>30</v>
      </c>
      <c r="I5039" s="0" t="s">
        <v>16869</v>
      </c>
      <c r="J5039" s="0" t="s">
        <v>16870</v>
      </c>
      <c r="K5039" s="0" t="s">
        <v>16871</v>
      </c>
      <c r="L5039" s="0" t="str">
        <f aca="false">HYPERLINK("https://www.ncbi.nlm.nih.gov/nuccore/CP000304.1?report=graph&amp;tracks=[key:gene_model_track,Options:GeneOnly]&amp;mk=1411959:1411978|offset_1|444444,1411930:1411949|offset_30|00cc00,1411910:1411929|offset_50|444444,1411859:1411878|offset_101|444444&amp;v=1411758:1412078&amp;c=444444", "offset 30")</f>
        <v>offset 30</v>
      </c>
    </row>
    <row r="5040" customFormat="false" ht="12.8" hidden="false" customHeight="false" outlineLevel="0" collapsed="false">
      <c r="A5040" s="0" t="s">
        <v>12</v>
      </c>
      <c r="B5040" s="0" t="n">
        <v>1411909</v>
      </c>
      <c r="C5040" s="0" t="n">
        <v>1411929</v>
      </c>
      <c r="D5040" s="0" t="s">
        <v>16865</v>
      </c>
      <c r="E5040" s="0" t="s">
        <v>89</v>
      </c>
      <c r="F5040" s="0" t="s">
        <v>90</v>
      </c>
      <c r="G5040" s="0" t="s">
        <v>26</v>
      </c>
      <c r="H5040" s="0" t="n">
        <v>50</v>
      </c>
      <c r="I5040" s="0" t="s">
        <v>16872</v>
      </c>
      <c r="J5040" s="0" t="s">
        <v>16873</v>
      </c>
      <c r="K5040" s="0" t="s">
        <v>16874</v>
      </c>
      <c r="L5040" s="0" t="str">
        <f aca="false">HYPERLINK("https://www.ncbi.nlm.nih.gov/nuccore/CP000304.1?report=graph&amp;tracks=[key:gene_model_track,Options:GeneOnly]&amp;mk=1411959:1411978|offset_1|444444,1411930:1411949|offset_30|444444,1411910:1411929|offset_50|00cc00,1411859:1411878|offset_101|444444&amp;v=1411758:1412078&amp;c=444444", "offset 50")</f>
        <v>offset 50</v>
      </c>
    </row>
    <row r="5041" customFormat="false" ht="12.8" hidden="false" customHeight="false" outlineLevel="0" collapsed="false">
      <c r="A5041" s="0" t="s">
        <v>12</v>
      </c>
      <c r="B5041" s="0" t="n">
        <v>1411858</v>
      </c>
      <c r="C5041" s="0" t="n">
        <v>1411878</v>
      </c>
      <c r="D5041" s="0" t="s">
        <v>16865</v>
      </c>
      <c r="E5041" s="0" t="s">
        <v>89</v>
      </c>
      <c r="F5041" s="0" t="s">
        <v>90</v>
      </c>
      <c r="G5041" s="0" t="s">
        <v>26</v>
      </c>
      <c r="H5041" s="0" t="n">
        <v>101</v>
      </c>
      <c r="I5041" s="0" t="s">
        <v>16875</v>
      </c>
      <c r="J5041" s="0" t="s">
        <v>16876</v>
      </c>
      <c r="K5041" s="0" t="s">
        <v>16877</v>
      </c>
      <c r="L5041" s="0" t="str">
        <f aca="false">HYPERLINK("https://www.ncbi.nlm.nih.gov/nuccore/CP000304.1?report=graph&amp;tracks=[key:gene_model_track,Options:GeneOnly]&amp;mk=1411959:1411978|offset_1|444444,1411930:1411949|offset_30|444444,1411910:1411929|offset_50|444444,1411859:1411878|offset_101|00cc00&amp;v=1411758:1412078&amp;c=444444", "offset 101")</f>
        <v>offset 101</v>
      </c>
    </row>
    <row r="5042" customFormat="false" ht="12.8" hidden="false" customHeight="false" outlineLevel="0" collapsed="false">
      <c r="A5042" s="0" t="s">
        <v>12</v>
      </c>
      <c r="B5042" s="0" t="n">
        <v>1412205</v>
      </c>
      <c r="C5042" s="0" t="n">
        <v>1412225</v>
      </c>
      <c r="D5042" s="0" t="s">
        <v>16878</v>
      </c>
      <c r="E5042" s="0" t="s">
        <v>16879</v>
      </c>
      <c r="F5042" s="0" t="s">
        <v>90</v>
      </c>
      <c r="G5042" s="0" t="s">
        <v>26</v>
      </c>
      <c r="H5042" s="0" t="n">
        <v>43</v>
      </c>
      <c r="I5042" s="0" t="s">
        <v>16880</v>
      </c>
      <c r="J5042" s="0" t="s">
        <v>16881</v>
      </c>
      <c r="K5042" s="0" t="s">
        <v>16882</v>
      </c>
      <c r="L5042" s="0" t="str">
        <f aca="false">HYPERLINK("https://www.ncbi.nlm.nih.gov/nuccore/CP000304.1?report=graph&amp;tracks=[key:gene_model_track,Options:GeneOnly]&amp;mk=1412206:1412225|offset_43|00cc00,1412172:1412191|offset_77|444444,1412131:1412150|offset_118|444444,1412110:1412129|offset_139|444444&amp;v=1412005:1412329&amp;c=444444", "offset 43")</f>
        <v>offset 43</v>
      </c>
    </row>
    <row r="5043" customFormat="false" ht="12.8" hidden="false" customHeight="false" outlineLevel="0" collapsed="false">
      <c r="A5043" s="0" t="s">
        <v>12</v>
      </c>
      <c r="B5043" s="0" t="n">
        <v>1412171</v>
      </c>
      <c r="C5043" s="0" t="n">
        <v>1412191</v>
      </c>
      <c r="D5043" s="0" t="s">
        <v>16878</v>
      </c>
      <c r="E5043" s="0" t="s">
        <v>16879</v>
      </c>
      <c r="F5043" s="0" t="s">
        <v>90</v>
      </c>
      <c r="G5043" s="0" t="s">
        <v>36</v>
      </c>
      <c r="H5043" s="0" t="n">
        <v>77</v>
      </c>
      <c r="I5043" s="0" t="s">
        <v>16883</v>
      </c>
      <c r="J5043" s="0" t="s">
        <v>16884</v>
      </c>
      <c r="K5043" s="0" t="s">
        <v>16885</v>
      </c>
      <c r="L5043" s="0" t="str">
        <f aca="false">HYPERLINK("https://www.ncbi.nlm.nih.gov/nuccore/CP000304.1?report=graph&amp;tracks=[key:gene_model_track,Options:GeneOnly]&amp;mk=1412206:1412225|offset_43|444444,1412172:1412191|offset_77|00cc00,1412131:1412150|offset_118|444444,1412110:1412129|offset_139|444444&amp;v=1412005:1412329&amp;c=444444", "offset 77")</f>
        <v>offset 77</v>
      </c>
    </row>
    <row r="5044" customFormat="false" ht="12.8" hidden="false" customHeight="false" outlineLevel="0" collapsed="false">
      <c r="A5044" s="0" t="s">
        <v>12</v>
      </c>
      <c r="B5044" s="0" t="n">
        <v>1412130</v>
      </c>
      <c r="C5044" s="0" t="n">
        <v>1412150</v>
      </c>
      <c r="D5044" s="0" t="s">
        <v>16878</v>
      </c>
      <c r="E5044" s="0" t="s">
        <v>16879</v>
      </c>
      <c r="F5044" s="0" t="s">
        <v>90</v>
      </c>
      <c r="G5044" s="0" t="s">
        <v>16</v>
      </c>
      <c r="H5044" s="0" t="n">
        <v>118</v>
      </c>
      <c r="I5044" s="0" t="s">
        <v>16886</v>
      </c>
      <c r="J5044" s="0" t="s">
        <v>16887</v>
      </c>
      <c r="K5044" s="0" t="s">
        <v>16888</v>
      </c>
      <c r="L5044" s="0" t="str">
        <f aca="false">HYPERLINK("https://www.ncbi.nlm.nih.gov/nuccore/CP000304.1?report=graph&amp;tracks=[key:gene_model_track,Options:GeneOnly]&amp;mk=1412206:1412225|offset_43|444444,1412172:1412191|offset_77|444444,1412131:1412150|offset_118|00cc00,1412110:1412129|offset_139|444444&amp;v=1412005:1412329&amp;c=444444", "offset 118")</f>
        <v>offset 118</v>
      </c>
    </row>
    <row r="5045" customFormat="false" ht="12.8" hidden="false" customHeight="false" outlineLevel="0" collapsed="false">
      <c r="A5045" s="0" t="s">
        <v>12</v>
      </c>
      <c r="B5045" s="0" t="n">
        <v>1412109</v>
      </c>
      <c r="C5045" s="0" t="n">
        <v>1412129</v>
      </c>
      <c r="D5045" s="0" t="s">
        <v>16878</v>
      </c>
      <c r="E5045" s="0" t="s">
        <v>16879</v>
      </c>
      <c r="F5045" s="0" t="s">
        <v>90</v>
      </c>
      <c r="G5045" s="0" t="s">
        <v>16</v>
      </c>
      <c r="H5045" s="0" t="n">
        <v>139</v>
      </c>
      <c r="I5045" s="0" t="s">
        <v>16889</v>
      </c>
      <c r="J5045" s="0" t="s">
        <v>16890</v>
      </c>
      <c r="K5045" s="0" t="s">
        <v>16891</v>
      </c>
      <c r="L5045" s="0" t="str">
        <f aca="false">HYPERLINK("https://www.ncbi.nlm.nih.gov/nuccore/CP000304.1?report=graph&amp;tracks=[key:gene_model_track,Options:GeneOnly]&amp;mk=1412206:1412225|offset_43|444444,1412172:1412191|offset_77|444444,1412131:1412150|offset_118|444444,1412110:1412129|offset_139|00cc00&amp;v=1412005:1412329&amp;c=444444", "offset 139")</f>
        <v>offset 139</v>
      </c>
    </row>
    <row r="5046" customFormat="false" ht="12.8" hidden="false" customHeight="false" outlineLevel="0" collapsed="false">
      <c r="A5046" s="0" t="s">
        <v>12</v>
      </c>
      <c r="B5046" s="0" t="n">
        <v>1413582</v>
      </c>
      <c r="C5046" s="0" t="n">
        <v>1413602</v>
      </c>
      <c r="D5046" s="0" t="s">
        <v>16892</v>
      </c>
      <c r="E5046" s="0" t="s">
        <v>16893</v>
      </c>
      <c r="F5046" s="0" t="s">
        <v>90</v>
      </c>
      <c r="G5046" s="0" t="s">
        <v>16</v>
      </c>
      <c r="H5046" s="0" t="n">
        <v>21</v>
      </c>
      <c r="I5046" s="0" t="s">
        <v>16894</v>
      </c>
      <c r="J5046" s="0" t="s">
        <v>16895</v>
      </c>
      <c r="K5046" s="0" t="s">
        <v>16896</v>
      </c>
      <c r="L5046" s="0" t="str">
        <f aca="false">HYPERLINK("https://www.ncbi.nlm.nih.gov/nuccore/CP000304.1?report=graph&amp;tracks=[key:gene_model_track,Options:GeneOnly]&amp;mk=1413583:1413602|offset_21|00cc00,1413563:1413582|offset_41|444444,1413534:1413553|offset_70|444444,1413493:1413512|offset_111|444444&amp;v=1413382:1413712&amp;c=444444", "offset 21")</f>
        <v>offset 21</v>
      </c>
    </row>
    <row r="5047" customFormat="false" ht="12.8" hidden="false" customHeight="false" outlineLevel="0" collapsed="false">
      <c r="A5047" s="0" t="s">
        <v>12</v>
      </c>
      <c r="B5047" s="0" t="n">
        <v>1413562</v>
      </c>
      <c r="C5047" s="0" t="n">
        <v>1413582</v>
      </c>
      <c r="D5047" s="0" t="s">
        <v>16892</v>
      </c>
      <c r="E5047" s="0" t="s">
        <v>16893</v>
      </c>
      <c r="F5047" s="0" t="s">
        <v>90</v>
      </c>
      <c r="G5047" s="0" t="s">
        <v>32</v>
      </c>
      <c r="H5047" s="0" t="n">
        <v>41</v>
      </c>
      <c r="I5047" s="0" t="s">
        <v>16897</v>
      </c>
      <c r="J5047" s="0" t="s">
        <v>16898</v>
      </c>
      <c r="K5047" s="0" t="s">
        <v>16899</v>
      </c>
      <c r="L5047" s="0" t="str">
        <f aca="false">HYPERLINK("https://www.ncbi.nlm.nih.gov/nuccore/CP000304.1?report=graph&amp;tracks=[key:gene_model_track,Options:GeneOnly]&amp;mk=1413583:1413602|offset_21|444444,1413563:1413582|offset_41|00cc00,1413534:1413553|offset_70|444444,1413493:1413512|offset_111|444444&amp;v=1413382:1413712&amp;c=444444", "offset 41")</f>
        <v>offset 41</v>
      </c>
    </row>
    <row r="5048" customFormat="false" ht="12.8" hidden="false" customHeight="false" outlineLevel="0" collapsed="false">
      <c r="A5048" s="0" t="s">
        <v>12</v>
      </c>
      <c r="B5048" s="0" t="n">
        <v>1413533</v>
      </c>
      <c r="C5048" s="0" t="n">
        <v>1413553</v>
      </c>
      <c r="D5048" s="0" t="s">
        <v>16892</v>
      </c>
      <c r="E5048" s="0" t="s">
        <v>16893</v>
      </c>
      <c r="F5048" s="0" t="s">
        <v>90</v>
      </c>
      <c r="G5048" s="0" t="s">
        <v>32</v>
      </c>
      <c r="H5048" s="0" t="n">
        <v>70</v>
      </c>
      <c r="I5048" s="0" t="s">
        <v>16900</v>
      </c>
      <c r="J5048" s="0" t="s">
        <v>16901</v>
      </c>
      <c r="K5048" s="0" t="s">
        <v>16902</v>
      </c>
      <c r="L5048" s="0" t="str">
        <f aca="false">HYPERLINK("https://www.ncbi.nlm.nih.gov/nuccore/CP000304.1?report=graph&amp;tracks=[key:gene_model_track,Options:GeneOnly]&amp;mk=1413583:1413602|offset_21|444444,1413563:1413582|offset_41|444444,1413534:1413553|offset_70|00cc00,1413493:1413512|offset_111|444444&amp;v=1413382:1413712&amp;c=444444", "offset 70")</f>
        <v>offset 70</v>
      </c>
    </row>
    <row r="5049" customFormat="false" ht="12.8" hidden="false" customHeight="false" outlineLevel="0" collapsed="false">
      <c r="A5049" s="0" t="s">
        <v>12</v>
      </c>
      <c r="B5049" s="0" t="n">
        <v>1413492</v>
      </c>
      <c r="C5049" s="0" t="n">
        <v>1413512</v>
      </c>
      <c r="D5049" s="0" t="s">
        <v>16892</v>
      </c>
      <c r="E5049" s="0" t="s">
        <v>16893</v>
      </c>
      <c r="F5049" s="0" t="s">
        <v>90</v>
      </c>
      <c r="G5049" s="0" t="s">
        <v>16</v>
      </c>
      <c r="H5049" s="0" t="n">
        <v>111</v>
      </c>
      <c r="I5049" s="0" t="s">
        <v>16903</v>
      </c>
      <c r="J5049" s="0" t="s">
        <v>16904</v>
      </c>
      <c r="K5049" s="0" t="s">
        <v>16905</v>
      </c>
      <c r="L5049" s="0" t="str">
        <f aca="false">HYPERLINK("https://www.ncbi.nlm.nih.gov/nuccore/CP000304.1?report=graph&amp;tracks=[key:gene_model_track,Options:GeneOnly]&amp;mk=1413583:1413602|offset_21|444444,1413563:1413582|offset_41|444444,1413534:1413553|offset_70|444444,1413493:1413512|offset_111|00cc00&amp;v=1413382:1413712&amp;c=444444", "offset 111")</f>
        <v>offset 111</v>
      </c>
    </row>
    <row r="5050" customFormat="false" ht="12.8" hidden="false" customHeight="false" outlineLevel="0" collapsed="false">
      <c r="A5050" s="0" t="s">
        <v>12</v>
      </c>
      <c r="B5050" s="0" t="n">
        <v>1414673</v>
      </c>
      <c r="C5050" s="0" t="n">
        <v>1414693</v>
      </c>
      <c r="D5050" s="0" t="s">
        <v>16906</v>
      </c>
      <c r="E5050" s="0" t="s">
        <v>89</v>
      </c>
      <c r="F5050" s="0" t="s">
        <v>15</v>
      </c>
      <c r="G5050" s="0" t="s">
        <v>32</v>
      </c>
      <c r="H5050" s="0" t="n">
        <v>19</v>
      </c>
      <c r="I5050" s="0" t="s">
        <v>16907</v>
      </c>
      <c r="J5050" s="0" t="s">
        <v>16908</v>
      </c>
      <c r="K5050" s="0" t="s">
        <v>16909</v>
      </c>
      <c r="L5050" s="0" t="str">
        <f aca="false">HYPERLINK("https://www.ncbi.nlm.nih.gov/nuccore/CP000304.1?report=graph&amp;tracks=[key:gene_model_track,Options:GeneOnly]&amp;mk=1414674:1414693|offset_19|00cc00,1414736:1414755|offset_81|444444,1414769:1414788|offset_114|444444,1414789:1414808|offset_134|444444&amp;v=1414473:1415008&amp;c=444444", "offset 19")</f>
        <v>offset 19</v>
      </c>
    </row>
    <row r="5051" customFormat="false" ht="12.8" hidden="false" customHeight="false" outlineLevel="0" collapsed="false">
      <c r="A5051" s="0" t="s">
        <v>12</v>
      </c>
      <c r="B5051" s="0" t="n">
        <v>1414735</v>
      </c>
      <c r="C5051" s="0" t="n">
        <v>1414755</v>
      </c>
      <c r="D5051" s="0" t="s">
        <v>16906</v>
      </c>
      <c r="E5051" s="0" t="s">
        <v>89</v>
      </c>
      <c r="F5051" s="0" t="s">
        <v>15</v>
      </c>
      <c r="G5051" s="0" t="s">
        <v>16</v>
      </c>
      <c r="H5051" s="0" t="n">
        <v>81</v>
      </c>
      <c r="I5051" s="0" t="s">
        <v>16910</v>
      </c>
      <c r="J5051" s="0" t="s">
        <v>16911</v>
      </c>
      <c r="K5051" s="0" t="s">
        <v>16912</v>
      </c>
      <c r="L5051" s="0" t="str">
        <f aca="false">HYPERLINK("https://www.ncbi.nlm.nih.gov/nuccore/CP000304.1?report=graph&amp;tracks=[key:gene_model_track,Options:GeneOnly]&amp;mk=1414674:1414693|offset_19|444444,1414736:1414755|offset_81|00cc00,1414769:1414788|offset_114|444444,1414789:1414808|offset_134|444444&amp;v=1414473:1415008&amp;c=444444", "offset 81")</f>
        <v>offset 81</v>
      </c>
    </row>
    <row r="5052" customFormat="false" ht="12.8" hidden="false" customHeight="false" outlineLevel="0" collapsed="false">
      <c r="A5052" s="0" t="s">
        <v>12</v>
      </c>
      <c r="B5052" s="0" t="n">
        <v>1414768</v>
      </c>
      <c r="C5052" s="0" t="n">
        <v>1414788</v>
      </c>
      <c r="D5052" s="0" t="s">
        <v>16906</v>
      </c>
      <c r="E5052" s="0" t="s">
        <v>89</v>
      </c>
      <c r="F5052" s="0" t="s">
        <v>15</v>
      </c>
      <c r="G5052" s="0" t="s">
        <v>36</v>
      </c>
      <c r="H5052" s="0" t="n">
        <v>114</v>
      </c>
      <c r="I5052" s="0" t="s">
        <v>16913</v>
      </c>
      <c r="J5052" s="0" t="s">
        <v>16914</v>
      </c>
      <c r="K5052" s="0" t="s">
        <v>16915</v>
      </c>
      <c r="L5052" s="0" t="str">
        <f aca="false">HYPERLINK("https://www.ncbi.nlm.nih.gov/nuccore/CP000304.1?report=graph&amp;tracks=[key:gene_model_track,Options:GeneOnly]&amp;mk=1414674:1414693|offset_19|444444,1414736:1414755|offset_81|444444,1414769:1414788|offset_114|00cc00,1414789:1414808|offset_134|444444&amp;v=1414473:1415008&amp;c=444444", "offset 114")</f>
        <v>offset 114</v>
      </c>
    </row>
    <row r="5053" customFormat="false" ht="12.8" hidden="false" customHeight="false" outlineLevel="0" collapsed="false">
      <c r="A5053" s="0" t="s">
        <v>12</v>
      </c>
      <c r="B5053" s="0" t="n">
        <v>1414788</v>
      </c>
      <c r="C5053" s="0" t="n">
        <v>1414808</v>
      </c>
      <c r="D5053" s="0" t="s">
        <v>16906</v>
      </c>
      <c r="E5053" s="0" t="s">
        <v>89</v>
      </c>
      <c r="F5053" s="0" t="s">
        <v>15</v>
      </c>
      <c r="G5053" s="0" t="s">
        <v>32</v>
      </c>
      <c r="H5053" s="0" t="n">
        <v>134</v>
      </c>
      <c r="I5053" s="0" t="s">
        <v>16916</v>
      </c>
      <c r="J5053" s="0" t="s">
        <v>16917</v>
      </c>
      <c r="K5053" s="0" t="s">
        <v>16918</v>
      </c>
      <c r="L5053" s="0" t="str">
        <f aca="false">HYPERLINK("https://www.ncbi.nlm.nih.gov/nuccore/CP000304.1?report=graph&amp;tracks=[key:gene_model_track,Options:GeneOnly]&amp;mk=1414674:1414693|offset_19|444444,1414736:1414755|offset_81|444444,1414769:1414788|offset_114|444444,1414789:1414808|offset_134|00cc00&amp;v=1414473:1415008&amp;c=444444", "offset 134")</f>
        <v>offset 134</v>
      </c>
    </row>
    <row r="5054" customFormat="false" ht="12.8" hidden="false" customHeight="false" outlineLevel="0" collapsed="false">
      <c r="A5054" s="0" t="s">
        <v>12</v>
      </c>
      <c r="B5054" s="0" t="n">
        <v>1416059</v>
      </c>
      <c r="C5054" s="0" t="n">
        <v>1416079</v>
      </c>
      <c r="D5054" s="0" t="s">
        <v>16919</v>
      </c>
      <c r="E5054" s="0" t="s">
        <v>89</v>
      </c>
      <c r="F5054" s="0" t="s">
        <v>90</v>
      </c>
      <c r="G5054" s="0" t="s">
        <v>16</v>
      </c>
      <c r="H5054" s="0" t="n">
        <v>8</v>
      </c>
      <c r="I5054" s="0" t="s">
        <v>16920</v>
      </c>
      <c r="J5054" s="0" t="s">
        <v>16921</v>
      </c>
      <c r="K5054" s="0" t="s">
        <v>16922</v>
      </c>
      <c r="L5054" s="0" t="str">
        <f aca="false">HYPERLINK("https://www.ncbi.nlm.nih.gov/nuccore/CP000304.1?report=graph&amp;tracks=[key:gene_model_track,Options:GeneOnly]&amp;mk=1416060:1416079|offset_8|00cc00,1416040:1416059|offset_28|444444,1416019:1416038|offset_49|444444,1415998:1416017|offset_70|444444&amp;v=1415859:1416217&amp;c=444444", "offset 8")</f>
        <v>offset 8</v>
      </c>
    </row>
    <row r="5055" customFormat="false" ht="12.8" hidden="false" customHeight="false" outlineLevel="0" collapsed="false">
      <c r="A5055" s="0" t="s">
        <v>12</v>
      </c>
      <c r="B5055" s="0" t="n">
        <v>1416039</v>
      </c>
      <c r="C5055" s="0" t="n">
        <v>1416059</v>
      </c>
      <c r="D5055" s="0" t="s">
        <v>16919</v>
      </c>
      <c r="E5055" s="0" t="s">
        <v>89</v>
      </c>
      <c r="F5055" s="0" t="s">
        <v>90</v>
      </c>
      <c r="G5055" s="0" t="s">
        <v>26</v>
      </c>
      <c r="H5055" s="0" t="n">
        <v>28</v>
      </c>
      <c r="I5055" s="0" t="s">
        <v>16923</v>
      </c>
      <c r="J5055" s="0" t="s">
        <v>16924</v>
      </c>
      <c r="K5055" s="0" t="s">
        <v>16925</v>
      </c>
      <c r="L5055" s="0" t="str">
        <f aca="false">HYPERLINK("https://www.ncbi.nlm.nih.gov/nuccore/CP000304.1?report=graph&amp;tracks=[key:gene_model_track,Options:GeneOnly]&amp;mk=1416060:1416079|offset_8|444444,1416040:1416059|offset_28|00cc00,1416019:1416038|offset_49|444444,1415998:1416017|offset_70|444444&amp;v=1415859:1416217&amp;c=444444", "offset 28")</f>
        <v>offset 28</v>
      </c>
    </row>
    <row r="5056" customFormat="false" ht="12.8" hidden="false" customHeight="false" outlineLevel="0" collapsed="false">
      <c r="A5056" s="0" t="s">
        <v>12</v>
      </c>
      <c r="B5056" s="0" t="n">
        <v>1416018</v>
      </c>
      <c r="C5056" s="0" t="n">
        <v>1416038</v>
      </c>
      <c r="D5056" s="0" t="s">
        <v>16919</v>
      </c>
      <c r="E5056" s="0" t="s">
        <v>89</v>
      </c>
      <c r="F5056" s="0" t="s">
        <v>90</v>
      </c>
      <c r="G5056" s="0" t="s">
        <v>16</v>
      </c>
      <c r="H5056" s="0" t="n">
        <v>49</v>
      </c>
      <c r="I5056" s="0" t="s">
        <v>16926</v>
      </c>
      <c r="J5056" s="0" t="s">
        <v>16927</v>
      </c>
      <c r="K5056" s="0" t="s">
        <v>16928</v>
      </c>
      <c r="L5056" s="0" t="str">
        <f aca="false">HYPERLINK("https://www.ncbi.nlm.nih.gov/nuccore/CP000304.1?report=graph&amp;tracks=[key:gene_model_track,Options:GeneOnly]&amp;mk=1416060:1416079|offset_8|444444,1416040:1416059|offset_28|444444,1416019:1416038|offset_49|00cc00,1415998:1416017|offset_70|444444&amp;v=1415859:1416217&amp;c=444444", "offset 49")</f>
        <v>offset 49</v>
      </c>
    </row>
    <row r="5057" customFormat="false" ht="12.8" hidden="false" customHeight="false" outlineLevel="0" collapsed="false">
      <c r="A5057" s="0" t="s">
        <v>12</v>
      </c>
      <c r="B5057" s="0" t="n">
        <v>1415997</v>
      </c>
      <c r="C5057" s="0" t="n">
        <v>1416017</v>
      </c>
      <c r="D5057" s="0" t="s">
        <v>16919</v>
      </c>
      <c r="E5057" s="0" t="s">
        <v>89</v>
      </c>
      <c r="F5057" s="0" t="s">
        <v>90</v>
      </c>
      <c r="G5057" s="0" t="s">
        <v>16</v>
      </c>
      <c r="H5057" s="0" t="n">
        <v>70</v>
      </c>
      <c r="I5057" s="0" t="s">
        <v>16929</v>
      </c>
      <c r="J5057" s="0" t="s">
        <v>16930</v>
      </c>
      <c r="K5057" s="0" t="s">
        <v>16931</v>
      </c>
      <c r="L5057" s="0" t="str">
        <f aca="false">HYPERLINK("https://www.ncbi.nlm.nih.gov/nuccore/CP000304.1?report=graph&amp;tracks=[key:gene_model_track,Options:GeneOnly]&amp;mk=1416060:1416079|offset_8|444444,1416040:1416059|offset_28|444444,1416019:1416038|offset_49|444444,1415998:1416017|offset_70|00cc00&amp;v=1415859:1416217&amp;c=444444", "offset 70")</f>
        <v>offset 70</v>
      </c>
    </row>
    <row r="5058" customFormat="false" ht="12.8" hidden="false" customHeight="false" outlineLevel="0" collapsed="false">
      <c r="A5058" s="0" t="s">
        <v>12</v>
      </c>
      <c r="B5058" s="0" t="n">
        <v>1416157</v>
      </c>
      <c r="C5058" s="0" t="n">
        <v>1416177</v>
      </c>
      <c r="D5058" s="0" t="s">
        <v>16932</v>
      </c>
      <c r="E5058" s="0" t="s">
        <v>89</v>
      </c>
      <c r="F5058" s="0" t="s">
        <v>15</v>
      </c>
      <c r="G5058" s="0" t="s">
        <v>32</v>
      </c>
      <c r="H5058" s="0" t="n">
        <v>48</v>
      </c>
      <c r="I5058" s="0" t="s">
        <v>16933</v>
      </c>
      <c r="J5058" s="0" t="s">
        <v>16934</v>
      </c>
      <c r="K5058" s="0" t="s">
        <v>16935</v>
      </c>
      <c r="L5058" s="0" t="str">
        <f aca="false">HYPERLINK("https://www.ncbi.nlm.nih.gov/nuccore/CP000304.1?report=graph&amp;tracks=[key:gene_model_track,Options:GeneOnly]&amp;mk=1416158:1416177|offset_48|00cc00,1416182:1416201|offset_72|444444,1416212:1416231|offset_102|444444,1416237:1416256|offset_127|444444&amp;v=1415957:1416456&amp;c=444444", "offset 48")</f>
        <v>offset 48</v>
      </c>
    </row>
    <row r="5059" customFormat="false" ht="12.8" hidden="false" customHeight="false" outlineLevel="0" collapsed="false">
      <c r="A5059" s="0" t="s">
        <v>12</v>
      </c>
      <c r="B5059" s="0" t="n">
        <v>1416181</v>
      </c>
      <c r="C5059" s="0" t="n">
        <v>1416201</v>
      </c>
      <c r="D5059" s="0" t="s">
        <v>16932</v>
      </c>
      <c r="E5059" s="0" t="s">
        <v>89</v>
      </c>
      <c r="F5059" s="0" t="s">
        <v>15</v>
      </c>
      <c r="G5059" s="0" t="s">
        <v>36</v>
      </c>
      <c r="H5059" s="0" t="n">
        <v>72</v>
      </c>
      <c r="I5059" s="0" t="s">
        <v>16936</v>
      </c>
      <c r="J5059" s="0" t="s">
        <v>16937</v>
      </c>
      <c r="K5059" s="0" t="s">
        <v>16938</v>
      </c>
      <c r="L5059" s="0" t="str">
        <f aca="false">HYPERLINK("https://www.ncbi.nlm.nih.gov/nuccore/CP000304.1?report=graph&amp;tracks=[key:gene_model_track,Options:GeneOnly]&amp;mk=1416158:1416177|offset_48|444444,1416182:1416201|offset_72|00cc00,1416212:1416231|offset_102|444444,1416237:1416256|offset_127|444444&amp;v=1415957:1416456&amp;c=444444", "offset 72")</f>
        <v>offset 72</v>
      </c>
    </row>
    <row r="5060" customFormat="false" ht="12.8" hidden="false" customHeight="false" outlineLevel="0" collapsed="false">
      <c r="A5060" s="0" t="s">
        <v>12</v>
      </c>
      <c r="B5060" s="0" t="n">
        <v>1416211</v>
      </c>
      <c r="C5060" s="0" t="n">
        <v>1416231</v>
      </c>
      <c r="D5060" s="0" t="s">
        <v>16932</v>
      </c>
      <c r="E5060" s="0" t="s">
        <v>89</v>
      </c>
      <c r="F5060" s="0" t="s">
        <v>15</v>
      </c>
      <c r="G5060" s="0" t="s">
        <v>36</v>
      </c>
      <c r="H5060" s="0" t="n">
        <v>102</v>
      </c>
      <c r="I5060" s="0" t="s">
        <v>16939</v>
      </c>
      <c r="J5060" s="0" t="s">
        <v>16940</v>
      </c>
      <c r="K5060" s="0" t="s">
        <v>16941</v>
      </c>
      <c r="L5060" s="0" t="str">
        <f aca="false">HYPERLINK("https://www.ncbi.nlm.nih.gov/nuccore/CP000304.1?report=graph&amp;tracks=[key:gene_model_track,Options:GeneOnly]&amp;mk=1416158:1416177|offset_48|444444,1416182:1416201|offset_72|444444,1416212:1416231|offset_102|00cc00,1416237:1416256|offset_127|444444&amp;v=1415957:1416456&amp;c=444444", "offset 102")</f>
        <v>offset 102</v>
      </c>
    </row>
    <row r="5061" customFormat="false" ht="12.8" hidden="false" customHeight="false" outlineLevel="0" collapsed="false">
      <c r="A5061" s="0" t="s">
        <v>12</v>
      </c>
      <c r="B5061" s="0" t="n">
        <v>1416236</v>
      </c>
      <c r="C5061" s="0" t="n">
        <v>1416256</v>
      </c>
      <c r="D5061" s="0" t="s">
        <v>16932</v>
      </c>
      <c r="E5061" s="0" t="s">
        <v>89</v>
      </c>
      <c r="F5061" s="0" t="s">
        <v>15</v>
      </c>
      <c r="G5061" s="0" t="s">
        <v>32</v>
      </c>
      <c r="H5061" s="0" t="n">
        <v>127</v>
      </c>
      <c r="I5061" s="0" t="s">
        <v>16942</v>
      </c>
      <c r="J5061" s="0" t="s">
        <v>16943</v>
      </c>
      <c r="K5061" s="0" t="s">
        <v>16944</v>
      </c>
      <c r="L5061" s="0" t="str">
        <f aca="false">HYPERLINK("https://www.ncbi.nlm.nih.gov/nuccore/CP000304.1?report=graph&amp;tracks=[key:gene_model_track,Options:GeneOnly]&amp;mk=1416158:1416177|offset_48|444444,1416182:1416201|offset_72|444444,1416212:1416231|offset_102|444444,1416237:1416256|offset_127|00cc00&amp;v=1415957:1416456&amp;c=444444", "offset 127")</f>
        <v>offset 127</v>
      </c>
    </row>
    <row r="5062" customFormat="false" ht="12.8" hidden="false" customHeight="false" outlineLevel="0" collapsed="false">
      <c r="A5062" s="0" t="s">
        <v>12</v>
      </c>
      <c r="B5062" s="0" t="n">
        <v>1417544</v>
      </c>
      <c r="C5062" s="0" t="n">
        <v>1417564</v>
      </c>
      <c r="D5062" s="0" t="s">
        <v>16945</v>
      </c>
      <c r="E5062" s="0" t="s">
        <v>89</v>
      </c>
      <c r="F5062" s="0" t="s">
        <v>90</v>
      </c>
      <c r="G5062" s="0" t="s">
        <v>32</v>
      </c>
      <c r="H5062" s="0" t="n">
        <v>1</v>
      </c>
      <c r="I5062" s="0" t="s">
        <v>16946</v>
      </c>
      <c r="J5062" s="0" t="s">
        <v>16947</v>
      </c>
      <c r="K5062" s="0" t="s">
        <v>16948</v>
      </c>
      <c r="L5062" s="0" t="str">
        <f aca="false">HYPERLINK("https://www.ncbi.nlm.nih.gov/nuccore/CP000304.1?report=graph&amp;tracks=[key:gene_model_track,Options:GeneOnly]&amp;mk=1417545:1417564|offset_1|00cc00,1417480:1417499|offset_66|444444,1417444:1417463|offset_102|444444,1417419:1417438|offset_127|444444&amp;v=1417344:1417638&amp;c=444444", "offset 1")</f>
        <v>offset 1</v>
      </c>
    </row>
    <row r="5063" customFormat="false" ht="12.8" hidden="false" customHeight="false" outlineLevel="0" collapsed="false">
      <c r="A5063" s="0" t="s">
        <v>12</v>
      </c>
      <c r="B5063" s="0" t="n">
        <v>1417479</v>
      </c>
      <c r="C5063" s="0" t="n">
        <v>1417499</v>
      </c>
      <c r="D5063" s="0" t="s">
        <v>16945</v>
      </c>
      <c r="E5063" s="0" t="s">
        <v>89</v>
      </c>
      <c r="F5063" s="0" t="s">
        <v>90</v>
      </c>
      <c r="G5063" s="0" t="s">
        <v>36</v>
      </c>
      <c r="H5063" s="0" t="n">
        <v>66</v>
      </c>
      <c r="I5063" s="0" t="s">
        <v>16949</v>
      </c>
      <c r="J5063" s="0" t="s">
        <v>16950</v>
      </c>
      <c r="K5063" s="0" t="s">
        <v>16951</v>
      </c>
      <c r="L5063" s="0" t="str">
        <f aca="false">HYPERLINK("https://www.ncbi.nlm.nih.gov/nuccore/CP000304.1?report=graph&amp;tracks=[key:gene_model_track,Options:GeneOnly]&amp;mk=1417545:1417564|offset_1|444444,1417480:1417499|offset_66|00cc00,1417444:1417463|offset_102|444444,1417419:1417438|offset_127|444444&amp;v=1417344:1417638&amp;c=444444", "offset 66")</f>
        <v>offset 66</v>
      </c>
    </row>
    <row r="5064" customFormat="false" ht="12.8" hidden="false" customHeight="false" outlineLevel="0" collapsed="false">
      <c r="A5064" s="0" t="s">
        <v>12</v>
      </c>
      <c r="B5064" s="0" t="n">
        <v>1417443</v>
      </c>
      <c r="C5064" s="0" t="n">
        <v>1417463</v>
      </c>
      <c r="D5064" s="0" t="s">
        <v>16945</v>
      </c>
      <c r="E5064" s="0" t="s">
        <v>89</v>
      </c>
      <c r="F5064" s="0" t="s">
        <v>90</v>
      </c>
      <c r="G5064" s="0" t="s">
        <v>36</v>
      </c>
      <c r="H5064" s="0" t="n">
        <v>102</v>
      </c>
      <c r="I5064" s="0" t="s">
        <v>16952</v>
      </c>
      <c r="J5064" s="0" t="s">
        <v>16953</v>
      </c>
      <c r="K5064" s="0" t="s">
        <v>16954</v>
      </c>
      <c r="L5064" s="0" t="str">
        <f aca="false">HYPERLINK("https://www.ncbi.nlm.nih.gov/nuccore/CP000304.1?report=graph&amp;tracks=[key:gene_model_track,Options:GeneOnly]&amp;mk=1417545:1417564|offset_1|444444,1417480:1417499|offset_66|444444,1417444:1417463|offset_102|00cc00,1417419:1417438|offset_127|444444&amp;v=1417344:1417638&amp;c=444444", "offset 102")</f>
        <v>offset 102</v>
      </c>
    </row>
    <row r="5065" customFormat="false" ht="12.8" hidden="false" customHeight="false" outlineLevel="0" collapsed="false">
      <c r="A5065" s="0" t="s">
        <v>12</v>
      </c>
      <c r="B5065" s="0" t="n">
        <v>1417418</v>
      </c>
      <c r="C5065" s="0" t="n">
        <v>1417438</v>
      </c>
      <c r="D5065" s="0" t="s">
        <v>16945</v>
      </c>
      <c r="E5065" s="0" t="s">
        <v>89</v>
      </c>
      <c r="F5065" s="0" t="s">
        <v>90</v>
      </c>
      <c r="G5065" s="0" t="s">
        <v>16</v>
      </c>
      <c r="H5065" s="0" t="n">
        <v>127</v>
      </c>
      <c r="I5065" s="0" t="s">
        <v>16955</v>
      </c>
      <c r="J5065" s="0" t="s">
        <v>16956</v>
      </c>
      <c r="K5065" s="0" t="s">
        <v>16957</v>
      </c>
      <c r="L5065" s="0" t="str">
        <f aca="false">HYPERLINK("https://www.ncbi.nlm.nih.gov/nuccore/CP000304.1?report=graph&amp;tracks=[key:gene_model_track,Options:GeneOnly]&amp;mk=1417545:1417564|offset_1|444444,1417480:1417499|offset_66|444444,1417444:1417463|offset_102|444444,1417419:1417438|offset_127|00cc00&amp;v=1417344:1417638&amp;c=444444", "offset 127")</f>
        <v>offset 127</v>
      </c>
    </row>
    <row r="5066" customFormat="false" ht="12.8" hidden="false" customHeight="false" outlineLevel="0" collapsed="false">
      <c r="A5066" s="0" t="s">
        <v>12</v>
      </c>
      <c r="B5066" s="0" t="n">
        <v>1417709</v>
      </c>
      <c r="C5066" s="0" t="n">
        <v>1417729</v>
      </c>
      <c r="D5066" s="0" t="s">
        <v>16958</v>
      </c>
      <c r="E5066" s="0" t="s">
        <v>16959</v>
      </c>
      <c r="F5066" s="0" t="s">
        <v>15</v>
      </c>
      <c r="G5066" s="0" t="s">
        <v>32</v>
      </c>
      <c r="H5066" s="0" t="n">
        <v>7</v>
      </c>
      <c r="I5066" s="0" t="s">
        <v>16960</v>
      </c>
      <c r="J5066" s="0" t="s">
        <v>16961</v>
      </c>
      <c r="K5066" s="0" t="s">
        <v>16962</v>
      </c>
      <c r="L5066" s="0" t="str">
        <f aca="false">HYPERLINK("https://www.ncbi.nlm.nih.gov/nuccore/CP000304.1?report=graph&amp;tracks=[key:gene_model_track,Options:GeneOnly]&amp;mk=1417710:1417729|offset_7|00cc00,1417734:1417753|offset_31|444444,1417755:1417774|offset_52|444444,1417785:1417804|offset_82|444444&amp;v=1417509:1418004&amp;c=444444", "offset 7")</f>
        <v>offset 7</v>
      </c>
    </row>
    <row r="5067" customFormat="false" ht="12.8" hidden="false" customHeight="false" outlineLevel="0" collapsed="false">
      <c r="A5067" s="0" t="s">
        <v>12</v>
      </c>
      <c r="B5067" s="0" t="n">
        <v>1417733</v>
      </c>
      <c r="C5067" s="0" t="n">
        <v>1417753</v>
      </c>
      <c r="D5067" s="0" t="s">
        <v>16958</v>
      </c>
      <c r="E5067" s="0" t="s">
        <v>16959</v>
      </c>
      <c r="F5067" s="0" t="s">
        <v>15</v>
      </c>
      <c r="G5067" s="0" t="s">
        <v>16</v>
      </c>
      <c r="H5067" s="0" t="n">
        <v>31</v>
      </c>
      <c r="I5067" s="0" t="s">
        <v>16963</v>
      </c>
      <c r="J5067" s="0" t="s">
        <v>16964</v>
      </c>
      <c r="K5067" s="0" t="s">
        <v>16965</v>
      </c>
      <c r="L5067" s="0" t="str">
        <f aca="false">HYPERLINK("https://www.ncbi.nlm.nih.gov/nuccore/CP000304.1?report=graph&amp;tracks=[key:gene_model_track,Options:GeneOnly]&amp;mk=1417710:1417729|offset_7|444444,1417734:1417753|offset_31|00cc00,1417755:1417774|offset_52|444444,1417785:1417804|offset_82|444444&amp;v=1417509:1418004&amp;c=444444", "offset 31")</f>
        <v>offset 31</v>
      </c>
    </row>
    <row r="5068" customFormat="false" ht="12.8" hidden="false" customHeight="false" outlineLevel="0" collapsed="false">
      <c r="A5068" s="0" t="s">
        <v>12</v>
      </c>
      <c r="B5068" s="0" t="n">
        <v>1417754</v>
      </c>
      <c r="C5068" s="0" t="n">
        <v>1417774</v>
      </c>
      <c r="D5068" s="0" t="s">
        <v>16958</v>
      </c>
      <c r="E5068" s="0" t="s">
        <v>16959</v>
      </c>
      <c r="F5068" s="0" t="s">
        <v>15</v>
      </c>
      <c r="G5068" s="0" t="s">
        <v>32</v>
      </c>
      <c r="H5068" s="0" t="n">
        <v>52</v>
      </c>
      <c r="I5068" s="0" t="s">
        <v>16966</v>
      </c>
      <c r="J5068" s="0" t="s">
        <v>16967</v>
      </c>
      <c r="K5068" s="0" t="s">
        <v>16968</v>
      </c>
      <c r="L5068" s="0" t="str">
        <f aca="false">HYPERLINK("https://www.ncbi.nlm.nih.gov/nuccore/CP000304.1?report=graph&amp;tracks=[key:gene_model_track,Options:GeneOnly]&amp;mk=1417710:1417729|offset_7|444444,1417734:1417753|offset_31|444444,1417755:1417774|offset_52|00cc00,1417785:1417804|offset_82|444444&amp;v=1417509:1418004&amp;c=444444", "offset 52")</f>
        <v>offset 52</v>
      </c>
    </row>
    <row r="5069" customFormat="false" ht="12.8" hidden="false" customHeight="false" outlineLevel="0" collapsed="false">
      <c r="A5069" s="0" t="s">
        <v>12</v>
      </c>
      <c r="B5069" s="0" t="n">
        <v>1417784</v>
      </c>
      <c r="C5069" s="0" t="n">
        <v>1417804</v>
      </c>
      <c r="D5069" s="0" t="s">
        <v>16958</v>
      </c>
      <c r="E5069" s="0" t="s">
        <v>16959</v>
      </c>
      <c r="F5069" s="0" t="s">
        <v>15</v>
      </c>
      <c r="G5069" s="0" t="s">
        <v>26</v>
      </c>
      <c r="H5069" s="0" t="n">
        <v>82</v>
      </c>
      <c r="I5069" s="0" t="s">
        <v>16969</v>
      </c>
      <c r="J5069" s="0" t="s">
        <v>16970</v>
      </c>
      <c r="K5069" s="0" t="s">
        <v>16971</v>
      </c>
      <c r="L5069" s="0" t="str">
        <f aca="false">HYPERLINK("https://www.ncbi.nlm.nih.gov/nuccore/CP000304.1?report=graph&amp;tracks=[key:gene_model_track,Options:GeneOnly]&amp;mk=1417710:1417729|offset_7|444444,1417734:1417753|offset_31|444444,1417755:1417774|offset_52|444444,1417785:1417804|offset_82|00cc00&amp;v=1417509:1418004&amp;c=444444", "offset 82")</f>
        <v>offset 82</v>
      </c>
    </row>
    <row r="5070" customFormat="false" ht="12.8" hidden="false" customHeight="false" outlineLevel="0" collapsed="false">
      <c r="A5070" s="0" t="s">
        <v>12</v>
      </c>
      <c r="B5070" s="0" t="n">
        <v>1419724</v>
      </c>
      <c r="C5070" s="0" t="n">
        <v>1419744</v>
      </c>
      <c r="D5070" s="0" t="s">
        <v>16972</v>
      </c>
      <c r="E5070" s="0" t="s">
        <v>16973</v>
      </c>
      <c r="F5070" s="0" t="s">
        <v>90</v>
      </c>
      <c r="G5070" s="0" t="s">
        <v>32</v>
      </c>
      <c r="H5070" s="0" t="n">
        <v>11</v>
      </c>
      <c r="I5070" s="0" t="s">
        <v>16974</v>
      </c>
      <c r="J5070" s="0" t="s">
        <v>16975</v>
      </c>
      <c r="K5070" s="0" t="s">
        <v>16976</v>
      </c>
      <c r="L5070" s="0" t="str">
        <f aca="false">HYPERLINK("https://www.ncbi.nlm.nih.gov/nuccore/CP000304.1?report=graph&amp;tracks=[key:gene_model_track,Options:GeneOnly]&amp;mk=1419725:1419744|offset_11|00cc00,1419686:1419705|offset_50|444444,1419656:1419675|offset_80|444444,1419634:1419653|offset_102|444444&amp;v=1419524:1419853&amp;c=444444", "offset 11")</f>
        <v>offset 11</v>
      </c>
    </row>
    <row r="5071" customFormat="false" ht="12.8" hidden="false" customHeight="false" outlineLevel="0" collapsed="false">
      <c r="A5071" s="0" t="s">
        <v>12</v>
      </c>
      <c r="B5071" s="0" t="n">
        <v>1419685</v>
      </c>
      <c r="C5071" s="0" t="n">
        <v>1419705</v>
      </c>
      <c r="D5071" s="0" t="s">
        <v>16972</v>
      </c>
      <c r="E5071" s="0" t="s">
        <v>16973</v>
      </c>
      <c r="F5071" s="0" t="s">
        <v>90</v>
      </c>
      <c r="G5071" s="0" t="s">
        <v>16</v>
      </c>
      <c r="H5071" s="0" t="n">
        <v>50</v>
      </c>
      <c r="I5071" s="0" t="s">
        <v>16977</v>
      </c>
      <c r="J5071" s="0" t="s">
        <v>16978</v>
      </c>
      <c r="K5071" s="0" t="s">
        <v>16979</v>
      </c>
      <c r="L5071" s="0" t="str">
        <f aca="false">HYPERLINK("https://www.ncbi.nlm.nih.gov/nuccore/CP000304.1?report=graph&amp;tracks=[key:gene_model_track,Options:GeneOnly]&amp;mk=1419725:1419744|offset_11|444444,1419686:1419705|offset_50|00cc00,1419656:1419675|offset_80|444444,1419634:1419653|offset_102|444444&amp;v=1419524:1419853&amp;c=444444", "offset 50")</f>
        <v>offset 50</v>
      </c>
    </row>
    <row r="5072" customFormat="false" ht="12.8" hidden="false" customHeight="false" outlineLevel="0" collapsed="false">
      <c r="A5072" s="0" t="s">
        <v>12</v>
      </c>
      <c r="B5072" s="0" t="n">
        <v>1419655</v>
      </c>
      <c r="C5072" s="0" t="n">
        <v>1419675</v>
      </c>
      <c r="D5072" s="0" t="s">
        <v>16972</v>
      </c>
      <c r="E5072" s="0" t="s">
        <v>16973</v>
      </c>
      <c r="F5072" s="0" t="s">
        <v>90</v>
      </c>
      <c r="G5072" s="0" t="s">
        <v>26</v>
      </c>
      <c r="H5072" s="0" t="n">
        <v>80</v>
      </c>
      <c r="I5072" s="0" t="s">
        <v>16980</v>
      </c>
      <c r="J5072" s="0" t="s">
        <v>16981</v>
      </c>
      <c r="K5072" s="0" t="s">
        <v>16982</v>
      </c>
      <c r="L5072" s="0" t="str">
        <f aca="false">HYPERLINK("https://www.ncbi.nlm.nih.gov/nuccore/CP000304.1?report=graph&amp;tracks=[key:gene_model_track,Options:GeneOnly]&amp;mk=1419725:1419744|offset_11|444444,1419686:1419705|offset_50|444444,1419656:1419675|offset_80|00cc00,1419634:1419653|offset_102|444444&amp;v=1419524:1419853&amp;c=444444", "offset 80")</f>
        <v>offset 80</v>
      </c>
    </row>
    <row r="5073" customFormat="false" ht="12.8" hidden="false" customHeight="false" outlineLevel="0" collapsed="false">
      <c r="A5073" s="0" t="s">
        <v>12</v>
      </c>
      <c r="B5073" s="0" t="n">
        <v>1419633</v>
      </c>
      <c r="C5073" s="0" t="n">
        <v>1419653</v>
      </c>
      <c r="D5073" s="0" t="s">
        <v>16972</v>
      </c>
      <c r="E5073" s="0" t="s">
        <v>16973</v>
      </c>
      <c r="F5073" s="0" t="s">
        <v>90</v>
      </c>
      <c r="G5073" s="0" t="s">
        <v>36</v>
      </c>
      <c r="H5073" s="0" t="n">
        <v>102</v>
      </c>
      <c r="I5073" s="0" t="s">
        <v>16983</v>
      </c>
      <c r="J5073" s="0" t="s">
        <v>16984</v>
      </c>
      <c r="K5073" s="0" t="s">
        <v>16985</v>
      </c>
      <c r="L5073" s="0" t="str">
        <f aca="false">HYPERLINK("https://www.ncbi.nlm.nih.gov/nuccore/CP000304.1?report=graph&amp;tracks=[key:gene_model_track,Options:GeneOnly]&amp;mk=1419725:1419744|offset_11|444444,1419686:1419705|offset_50|444444,1419656:1419675|offset_80|444444,1419634:1419653|offset_102|00cc00&amp;v=1419524:1419853&amp;c=444444", "offset 102")</f>
        <v>offset 102</v>
      </c>
    </row>
    <row r="5074" customFormat="false" ht="12.8" hidden="false" customHeight="false" outlineLevel="0" collapsed="false">
      <c r="A5074" s="0" t="s">
        <v>12</v>
      </c>
      <c r="B5074" s="0" t="n">
        <v>1421391</v>
      </c>
      <c r="C5074" s="0" t="n">
        <v>1421411</v>
      </c>
      <c r="D5074" s="0" t="s">
        <v>16986</v>
      </c>
      <c r="E5074" s="0" t="s">
        <v>16987</v>
      </c>
      <c r="F5074" s="0" t="s">
        <v>90</v>
      </c>
      <c r="G5074" s="0" t="s">
        <v>32</v>
      </c>
      <c r="H5074" s="0" t="n">
        <v>10</v>
      </c>
      <c r="I5074" s="0" t="s">
        <v>16988</v>
      </c>
      <c r="J5074" s="0" t="s">
        <v>16989</v>
      </c>
      <c r="K5074" s="0" t="s">
        <v>16990</v>
      </c>
      <c r="L5074" s="0" t="str">
        <f aca="false">HYPERLINK("https://www.ncbi.nlm.nih.gov/nuccore/CP000304.1?report=graph&amp;tracks=[key:gene_model_track,Options:GeneOnly]&amp;mk=1421392:1421411|offset_10|00cc00,1421366:1421385|offset_36|444444,1421341:1421360|offset_61|444444,1421314:1421333|offset_88|444444&amp;v=1421191:1421533&amp;c=444444", "offset 10")</f>
        <v>offset 10</v>
      </c>
    </row>
    <row r="5075" customFormat="false" ht="12.8" hidden="false" customHeight="false" outlineLevel="0" collapsed="false">
      <c r="A5075" s="0" t="s">
        <v>12</v>
      </c>
      <c r="B5075" s="0" t="n">
        <v>1421365</v>
      </c>
      <c r="C5075" s="0" t="n">
        <v>1421385</v>
      </c>
      <c r="D5075" s="0" t="s">
        <v>16986</v>
      </c>
      <c r="E5075" s="0" t="s">
        <v>16987</v>
      </c>
      <c r="F5075" s="0" t="s">
        <v>90</v>
      </c>
      <c r="G5075" s="0" t="s">
        <v>32</v>
      </c>
      <c r="H5075" s="0" t="n">
        <v>36</v>
      </c>
      <c r="I5075" s="0" t="s">
        <v>16991</v>
      </c>
      <c r="J5075" s="0" t="s">
        <v>16992</v>
      </c>
      <c r="K5075" s="0" t="s">
        <v>16993</v>
      </c>
      <c r="L5075" s="0" t="str">
        <f aca="false">HYPERLINK("https://www.ncbi.nlm.nih.gov/nuccore/CP000304.1?report=graph&amp;tracks=[key:gene_model_track,Options:GeneOnly]&amp;mk=1421392:1421411|offset_10|444444,1421366:1421385|offset_36|00cc00,1421341:1421360|offset_61|444444,1421314:1421333|offset_88|444444&amp;v=1421191:1421533&amp;c=444444", "offset 36")</f>
        <v>offset 36</v>
      </c>
    </row>
    <row r="5076" customFormat="false" ht="12.8" hidden="false" customHeight="false" outlineLevel="0" collapsed="false">
      <c r="A5076" s="0" t="s">
        <v>12</v>
      </c>
      <c r="B5076" s="0" t="n">
        <v>1421340</v>
      </c>
      <c r="C5076" s="0" t="n">
        <v>1421360</v>
      </c>
      <c r="D5076" s="0" t="s">
        <v>16986</v>
      </c>
      <c r="E5076" s="0" t="s">
        <v>16987</v>
      </c>
      <c r="F5076" s="0" t="s">
        <v>90</v>
      </c>
      <c r="G5076" s="0" t="s">
        <v>36</v>
      </c>
      <c r="H5076" s="0" t="n">
        <v>61</v>
      </c>
      <c r="I5076" s="0" t="s">
        <v>16994</v>
      </c>
      <c r="J5076" s="0" t="s">
        <v>16995</v>
      </c>
      <c r="K5076" s="0" t="s">
        <v>16996</v>
      </c>
      <c r="L5076" s="0" t="str">
        <f aca="false">HYPERLINK("https://www.ncbi.nlm.nih.gov/nuccore/CP000304.1?report=graph&amp;tracks=[key:gene_model_track,Options:GeneOnly]&amp;mk=1421392:1421411|offset_10|444444,1421366:1421385|offset_36|444444,1421341:1421360|offset_61|00cc00,1421314:1421333|offset_88|444444&amp;v=1421191:1421533&amp;c=444444", "offset 61")</f>
        <v>offset 61</v>
      </c>
    </row>
    <row r="5077" customFormat="false" ht="12.8" hidden="false" customHeight="false" outlineLevel="0" collapsed="false">
      <c r="A5077" s="0" t="s">
        <v>12</v>
      </c>
      <c r="B5077" s="0" t="n">
        <v>1421313</v>
      </c>
      <c r="C5077" s="0" t="n">
        <v>1421333</v>
      </c>
      <c r="D5077" s="0" t="s">
        <v>16986</v>
      </c>
      <c r="E5077" s="0" t="s">
        <v>16987</v>
      </c>
      <c r="F5077" s="0" t="s">
        <v>90</v>
      </c>
      <c r="G5077" s="0" t="s">
        <v>36</v>
      </c>
      <c r="H5077" s="0" t="n">
        <v>88</v>
      </c>
      <c r="I5077" s="0" t="s">
        <v>16997</v>
      </c>
      <c r="J5077" s="0" t="s">
        <v>16998</v>
      </c>
      <c r="K5077" s="0" t="s">
        <v>16999</v>
      </c>
      <c r="L5077" s="0" t="str">
        <f aca="false">HYPERLINK("https://www.ncbi.nlm.nih.gov/nuccore/CP000304.1?report=graph&amp;tracks=[key:gene_model_track,Options:GeneOnly]&amp;mk=1421392:1421411|offset_10|444444,1421366:1421385|offset_36|444444,1421341:1421360|offset_61|444444,1421314:1421333|offset_88|00cc00&amp;v=1421191:1421533&amp;c=444444", "offset 88")</f>
        <v>offset 88</v>
      </c>
    </row>
    <row r="5078" customFormat="false" ht="12.8" hidden="false" customHeight="false" outlineLevel="0" collapsed="false">
      <c r="A5078" s="0" t="s">
        <v>12</v>
      </c>
      <c r="B5078" s="0" t="n">
        <v>1423008</v>
      </c>
      <c r="C5078" s="0" t="n">
        <v>1423028</v>
      </c>
      <c r="D5078" s="0" t="s">
        <v>17000</v>
      </c>
      <c r="E5078" s="0" t="s">
        <v>17001</v>
      </c>
      <c r="F5078" s="0" t="s">
        <v>90</v>
      </c>
      <c r="G5078" s="0" t="s">
        <v>16</v>
      </c>
      <c r="H5078" s="0" t="n">
        <v>21</v>
      </c>
      <c r="I5078" s="0" t="s">
        <v>17002</v>
      </c>
      <c r="J5078" s="0" t="s">
        <v>17003</v>
      </c>
      <c r="K5078" s="0" t="s">
        <v>17004</v>
      </c>
      <c r="L5078" s="0" t="str">
        <f aca="false">HYPERLINK("https://www.ncbi.nlm.nih.gov/nuccore/CP000304.1?report=graph&amp;tracks=[key:gene_model_track,Options:GeneOnly]&amp;mk=1423009:1423028|offset_21|00cc00,1422986:1423005|offset_44|444444,1422960:1422979|offset_70|444444,1422928:1422947|offset_102|444444&amp;v=1422808:1423147&amp;c=444444", "offset 21")</f>
        <v>offset 21</v>
      </c>
    </row>
    <row r="5079" customFormat="false" ht="12.8" hidden="false" customHeight="false" outlineLevel="0" collapsed="false">
      <c r="A5079" s="0" t="s">
        <v>12</v>
      </c>
      <c r="B5079" s="0" t="n">
        <v>1422985</v>
      </c>
      <c r="C5079" s="0" t="n">
        <v>1423005</v>
      </c>
      <c r="D5079" s="0" t="s">
        <v>17000</v>
      </c>
      <c r="E5079" s="0" t="s">
        <v>17001</v>
      </c>
      <c r="F5079" s="0" t="s">
        <v>90</v>
      </c>
      <c r="G5079" s="0" t="s">
        <v>16</v>
      </c>
      <c r="H5079" s="0" t="n">
        <v>44</v>
      </c>
      <c r="I5079" s="0" t="s">
        <v>17005</v>
      </c>
      <c r="J5079" s="0" t="s">
        <v>17006</v>
      </c>
      <c r="K5079" s="0" t="s">
        <v>17007</v>
      </c>
      <c r="L5079" s="0" t="str">
        <f aca="false">HYPERLINK("https://www.ncbi.nlm.nih.gov/nuccore/CP000304.1?report=graph&amp;tracks=[key:gene_model_track,Options:GeneOnly]&amp;mk=1423009:1423028|offset_21|444444,1422986:1423005|offset_44|00cc00,1422960:1422979|offset_70|444444,1422928:1422947|offset_102|444444&amp;v=1422808:1423147&amp;c=444444", "offset 44")</f>
        <v>offset 44</v>
      </c>
    </row>
    <row r="5080" customFormat="false" ht="12.8" hidden="false" customHeight="false" outlineLevel="0" collapsed="false">
      <c r="A5080" s="0" t="s">
        <v>12</v>
      </c>
      <c r="B5080" s="0" t="n">
        <v>1422959</v>
      </c>
      <c r="C5080" s="0" t="n">
        <v>1422979</v>
      </c>
      <c r="D5080" s="0" t="s">
        <v>17000</v>
      </c>
      <c r="E5080" s="0" t="s">
        <v>17001</v>
      </c>
      <c r="F5080" s="0" t="s">
        <v>90</v>
      </c>
      <c r="G5080" s="0" t="s">
        <v>36</v>
      </c>
      <c r="H5080" s="0" t="n">
        <v>70</v>
      </c>
      <c r="I5080" s="0" t="s">
        <v>17008</v>
      </c>
      <c r="J5080" s="0" t="s">
        <v>17009</v>
      </c>
      <c r="K5080" s="0" t="s">
        <v>17010</v>
      </c>
      <c r="L5080" s="0" t="str">
        <f aca="false">HYPERLINK("https://www.ncbi.nlm.nih.gov/nuccore/CP000304.1?report=graph&amp;tracks=[key:gene_model_track,Options:GeneOnly]&amp;mk=1423009:1423028|offset_21|444444,1422986:1423005|offset_44|444444,1422960:1422979|offset_70|00cc00,1422928:1422947|offset_102|444444&amp;v=1422808:1423147&amp;c=444444", "offset 70")</f>
        <v>offset 70</v>
      </c>
    </row>
    <row r="5081" customFormat="false" ht="12.8" hidden="false" customHeight="false" outlineLevel="0" collapsed="false">
      <c r="A5081" s="0" t="s">
        <v>12</v>
      </c>
      <c r="B5081" s="0" t="n">
        <v>1422927</v>
      </c>
      <c r="C5081" s="0" t="n">
        <v>1422947</v>
      </c>
      <c r="D5081" s="0" t="s">
        <v>17000</v>
      </c>
      <c r="E5081" s="0" t="s">
        <v>17001</v>
      </c>
      <c r="F5081" s="0" t="s">
        <v>90</v>
      </c>
      <c r="G5081" s="0" t="s">
        <v>36</v>
      </c>
      <c r="H5081" s="0" t="n">
        <v>102</v>
      </c>
      <c r="I5081" s="0" t="s">
        <v>17011</v>
      </c>
      <c r="J5081" s="0" t="s">
        <v>17012</v>
      </c>
      <c r="K5081" s="0" t="s">
        <v>17013</v>
      </c>
      <c r="L5081" s="0" t="str">
        <f aca="false">HYPERLINK("https://www.ncbi.nlm.nih.gov/nuccore/CP000304.1?report=graph&amp;tracks=[key:gene_model_track,Options:GeneOnly]&amp;mk=1423009:1423028|offset_21|444444,1422986:1423005|offset_44|444444,1422960:1422979|offset_70|444444,1422928:1422947|offset_102|00cc00&amp;v=1422808:1423147&amp;c=444444", "offset 102")</f>
        <v>offset 102</v>
      </c>
    </row>
    <row r="5082" customFormat="false" ht="12.8" hidden="false" customHeight="false" outlineLevel="0" collapsed="false">
      <c r="A5082" s="0" t="s">
        <v>12</v>
      </c>
      <c r="B5082" s="0" t="n">
        <v>1423490</v>
      </c>
      <c r="C5082" s="0" t="n">
        <v>1423510</v>
      </c>
      <c r="D5082" s="0" t="s">
        <v>17014</v>
      </c>
      <c r="E5082" s="0" t="s">
        <v>17015</v>
      </c>
      <c r="F5082" s="0" t="s">
        <v>15</v>
      </c>
      <c r="G5082" s="0" t="s">
        <v>16</v>
      </c>
      <c r="H5082" s="0" t="n">
        <v>31</v>
      </c>
      <c r="I5082" s="0" t="s">
        <v>17016</v>
      </c>
      <c r="J5082" s="0" t="s">
        <v>17017</v>
      </c>
      <c r="K5082" s="0" t="s">
        <v>17018</v>
      </c>
      <c r="L5082" s="0" t="str">
        <f aca="false">HYPERLINK("https://www.ncbi.nlm.nih.gov/nuccore/CP000304.1?report=graph&amp;tracks=[key:gene_model_track,Options:GeneOnly]&amp;mk=1423491:1423510|offset_31|00cc00,1423525:1423544|offset_65|444444,1423554:1423573|offset_94|444444,1423597:1423616|offset_137|444444&amp;v=1423290:1423816&amp;c=444444", "offset 31")</f>
        <v>offset 31</v>
      </c>
    </row>
    <row r="5083" customFormat="false" ht="12.8" hidden="false" customHeight="false" outlineLevel="0" collapsed="false">
      <c r="A5083" s="0" t="s">
        <v>12</v>
      </c>
      <c r="B5083" s="0" t="n">
        <v>1423524</v>
      </c>
      <c r="C5083" s="0" t="n">
        <v>1423544</v>
      </c>
      <c r="D5083" s="0" t="s">
        <v>17014</v>
      </c>
      <c r="E5083" s="0" t="s">
        <v>17015</v>
      </c>
      <c r="F5083" s="0" t="s">
        <v>15</v>
      </c>
      <c r="G5083" s="0" t="s">
        <v>26</v>
      </c>
      <c r="H5083" s="0" t="n">
        <v>65</v>
      </c>
      <c r="I5083" s="0" t="s">
        <v>17019</v>
      </c>
      <c r="J5083" s="0" t="s">
        <v>17020</v>
      </c>
      <c r="K5083" s="0" t="s">
        <v>17021</v>
      </c>
      <c r="L5083" s="0" t="str">
        <f aca="false">HYPERLINK("https://www.ncbi.nlm.nih.gov/nuccore/CP000304.1?report=graph&amp;tracks=[key:gene_model_track,Options:GeneOnly]&amp;mk=1423491:1423510|offset_31|444444,1423525:1423544|offset_65|00cc00,1423554:1423573|offset_94|444444,1423597:1423616|offset_137|444444&amp;v=1423290:1423816&amp;c=444444", "offset 65")</f>
        <v>offset 65</v>
      </c>
    </row>
    <row r="5084" customFormat="false" ht="12.8" hidden="false" customHeight="false" outlineLevel="0" collapsed="false">
      <c r="A5084" s="0" t="s">
        <v>12</v>
      </c>
      <c r="B5084" s="0" t="n">
        <v>1423553</v>
      </c>
      <c r="C5084" s="0" t="n">
        <v>1423573</v>
      </c>
      <c r="D5084" s="0" t="s">
        <v>17014</v>
      </c>
      <c r="E5084" s="0" t="s">
        <v>17015</v>
      </c>
      <c r="F5084" s="0" t="s">
        <v>15</v>
      </c>
      <c r="G5084" s="0" t="s">
        <v>16</v>
      </c>
      <c r="H5084" s="0" t="n">
        <v>94</v>
      </c>
      <c r="I5084" s="0" t="s">
        <v>17022</v>
      </c>
      <c r="J5084" s="0" t="s">
        <v>17023</v>
      </c>
      <c r="K5084" s="0" t="s">
        <v>17024</v>
      </c>
      <c r="L5084" s="0" t="str">
        <f aca="false">HYPERLINK("https://www.ncbi.nlm.nih.gov/nuccore/CP000304.1?report=graph&amp;tracks=[key:gene_model_track,Options:GeneOnly]&amp;mk=1423491:1423510|offset_31|444444,1423525:1423544|offset_65|444444,1423554:1423573|offset_94|00cc00,1423597:1423616|offset_137|444444&amp;v=1423290:1423816&amp;c=444444", "offset 94")</f>
        <v>offset 94</v>
      </c>
    </row>
    <row r="5085" customFormat="false" ht="12.8" hidden="false" customHeight="false" outlineLevel="0" collapsed="false">
      <c r="A5085" s="0" t="s">
        <v>12</v>
      </c>
      <c r="B5085" s="0" t="n">
        <v>1423596</v>
      </c>
      <c r="C5085" s="0" t="n">
        <v>1423616</v>
      </c>
      <c r="D5085" s="0" t="s">
        <v>17014</v>
      </c>
      <c r="E5085" s="0" t="s">
        <v>17015</v>
      </c>
      <c r="F5085" s="0" t="s">
        <v>15</v>
      </c>
      <c r="G5085" s="0" t="s">
        <v>26</v>
      </c>
      <c r="H5085" s="0" t="n">
        <v>137</v>
      </c>
      <c r="I5085" s="0" t="s">
        <v>17025</v>
      </c>
      <c r="J5085" s="0" t="s">
        <v>17026</v>
      </c>
      <c r="K5085" s="0" t="s">
        <v>17027</v>
      </c>
      <c r="L5085" s="0" t="str">
        <f aca="false">HYPERLINK("https://www.ncbi.nlm.nih.gov/nuccore/CP000304.1?report=graph&amp;tracks=[key:gene_model_track,Options:GeneOnly]&amp;mk=1423491:1423510|offset_31|444444,1423525:1423544|offset_65|444444,1423554:1423573|offset_94|444444,1423597:1423616|offset_137|00cc00&amp;v=1423290:1423816&amp;c=444444", "offset 137")</f>
        <v>offset 137</v>
      </c>
    </row>
    <row r="5086" customFormat="false" ht="12.8" hidden="false" customHeight="false" outlineLevel="0" collapsed="false">
      <c r="A5086" s="0" t="s">
        <v>12</v>
      </c>
      <c r="B5086" s="0" t="n">
        <v>1424125</v>
      </c>
      <c r="C5086" s="0" t="n">
        <v>1424145</v>
      </c>
      <c r="D5086" s="0" t="s">
        <v>17028</v>
      </c>
      <c r="E5086" s="0" t="s">
        <v>17029</v>
      </c>
      <c r="F5086" s="0" t="s">
        <v>15</v>
      </c>
      <c r="G5086" s="0" t="s">
        <v>26</v>
      </c>
      <c r="H5086" s="0" t="n">
        <v>56</v>
      </c>
      <c r="I5086" s="0" t="s">
        <v>17030</v>
      </c>
      <c r="J5086" s="0" t="s">
        <v>17031</v>
      </c>
      <c r="K5086" s="0" t="s">
        <v>17032</v>
      </c>
      <c r="L5086" s="0" t="str">
        <f aca="false">HYPERLINK("https://www.ncbi.nlm.nih.gov/nuccore/CP000304.1?report=graph&amp;tracks=[key:gene_model_track,Options:GeneOnly]&amp;mk=1424126:1424145|offset_56|00cc00,1424168:1424187|offset_98|444444,1424199:1424218|offset_129|444444,1424229:1424248|offset_159|444444&amp;v=1423925:1424448&amp;c=444444", "offset 56")</f>
        <v>offset 56</v>
      </c>
    </row>
    <row r="5087" customFormat="false" ht="12.8" hidden="false" customHeight="false" outlineLevel="0" collapsed="false">
      <c r="A5087" s="0" t="s">
        <v>12</v>
      </c>
      <c r="B5087" s="0" t="n">
        <v>1424167</v>
      </c>
      <c r="C5087" s="0" t="n">
        <v>1424187</v>
      </c>
      <c r="D5087" s="0" t="s">
        <v>17028</v>
      </c>
      <c r="E5087" s="0" t="s">
        <v>17029</v>
      </c>
      <c r="F5087" s="0" t="s">
        <v>15</v>
      </c>
      <c r="G5087" s="0" t="s">
        <v>36</v>
      </c>
      <c r="H5087" s="0" t="n">
        <v>98</v>
      </c>
      <c r="I5087" s="0" t="s">
        <v>17033</v>
      </c>
      <c r="J5087" s="0" t="s">
        <v>17034</v>
      </c>
      <c r="K5087" s="0" t="s">
        <v>17035</v>
      </c>
      <c r="L5087" s="0" t="str">
        <f aca="false">HYPERLINK("https://www.ncbi.nlm.nih.gov/nuccore/CP000304.1?report=graph&amp;tracks=[key:gene_model_track,Options:GeneOnly]&amp;mk=1424126:1424145|offset_56|444444,1424168:1424187|offset_98|00cc00,1424199:1424218|offset_129|444444,1424229:1424248|offset_159|444444&amp;v=1423925:1424448&amp;c=444444", "offset 98")</f>
        <v>offset 98</v>
      </c>
    </row>
    <row r="5088" customFormat="false" ht="12.8" hidden="false" customHeight="false" outlineLevel="0" collapsed="false">
      <c r="A5088" s="0" t="s">
        <v>12</v>
      </c>
      <c r="B5088" s="0" t="n">
        <v>1424198</v>
      </c>
      <c r="C5088" s="0" t="n">
        <v>1424218</v>
      </c>
      <c r="D5088" s="0" t="s">
        <v>17028</v>
      </c>
      <c r="E5088" s="0" t="s">
        <v>17029</v>
      </c>
      <c r="F5088" s="0" t="s">
        <v>15</v>
      </c>
      <c r="G5088" s="0" t="s">
        <v>36</v>
      </c>
      <c r="H5088" s="0" t="n">
        <v>129</v>
      </c>
      <c r="I5088" s="0" t="s">
        <v>17036</v>
      </c>
      <c r="J5088" s="0" t="s">
        <v>17037</v>
      </c>
      <c r="K5088" s="0" t="s">
        <v>17038</v>
      </c>
      <c r="L5088" s="0" t="str">
        <f aca="false">HYPERLINK("https://www.ncbi.nlm.nih.gov/nuccore/CP000304.1?report=graph&amp;tracks=[key:gene_model_track,Options:GeneOnly]&amp;mk=1424126:1424145|offset_56|444444,1424168:1424187|offset_98|444444,1424199:1424218|offset_129|00cc00,1424229:1424248|offset_159|444444&amp;v=1423925:1424448&amp;c=444444", "offset 129")</f>
        <v>offset 129</v>
      </c>
    </row>
    <row r="5089" customFormat="false" ht="12.8" hidden="false" customHeight="false" outlineLevel="0" collapsed="false">
      <c r="A5089" s="0" t="s">
        <v>12</v>
      </c>
      <c r="B5089" s="0" t="n">
        <v>1424228</v>
      </c>
      <c r="C5089" s="0" t="n">
        <v>1424248</v>
      </c>
      <c r="D5089" s="0" t="s">
        <v>17028</v>
      </c>
      <c r="E5089" s="0" t="s">
        <v>17029</v>
      </c>
      <c r="F5089" s="0" t="s">
        <v>15</v>
      </c>
      <c r="G5089" s="0" t="s">
        <v>16</v>
      </c>
      <c r="H5089" s="0" t="n">
        <v>159</v>
      </c>
      <c r="I5089" s="0" t="s">
        <v>17039</v>
      </c>
      <c r="J5089" s="0" t="s">
        <v>17040</v>
      </c>
      <c r="K5089" s="0" t="s">
        <v>17041</v>
      </c>
      <c r="L5089" s="0" t="str">
        <f aca="false">HYPERLINK("https://www.ncbi.nlm.nih.gov/nuccore/CP000304.1?report=graph&amp;tracks=[key:gene_model_track,Options:GeneOnly]&amp;mk=1424126:1424145|offset_56|444444,1424168:1424187|offset_98|444444,1424199:1424218|offset_129|444444,1424229:1424248|offset_159|00cc00&amp;v=1423925:1424448&amp;c=444444", "offset 159")</f>
        <v>offset 159</v>
      </c>
    </row>
    <row r="5090" customFormat="false" ht="12.8" hidden="false" customHeight="false" outlineLevel="0" collapsed="false">
      <c r="A5090" s="0" t="s">
        <v>12</v>
      </c>
      <c r="B5090" s="0" t="n">
        <v>1424647</v>
      </c>
      <c r="C5090" s="0" t="n">
        <v>1424667</v>
      </c>
      <c r="D5090" s="0" t="s">
        <v>17042</v>
      </c>
      <c r="E5090" s="0" t="s">
        <v>17043</v>
      </c>
      <c r="F5090" s="0" t="s">
        <v>15</v>
      </c>
      <c r="G5090" s="0" t="s">
        <v>26</v>
      </c>
      <c r="H5090" s="0" t="n">
        <v>11</v>
      </c>
      <c r="I5090" s="0" t="s">
        <v>17044</v>
      </c>
      <c r="J5090" s="0" t="s">
        <v>17045</v>
      </c>
      <c r="K5090" s="0" t="s">
        <v>17046</v>
      </c>
      <c r="L5090" s="0" t="str">
        <f aca="false">HYPERLINK("https://www.ncbi.nlm.nih.gov/nuccore/CP000304.1?report=graph&amp;tracks=[key:gene_model_track,Options:GeneOnly]&amp;mk=1424648:1424667|offset_11|00cc00,1424672:1424691|offset_35|444444,1424693:1424712|offset_56|444444,1424716:1424735|offset_79|444444&amp;v=1424447:1424935&amp;c=444444", "offset 11")</f>
        <v>offset 11</v>
      </c>
    </row>
    <row r="5091" customFormat="false" ht="12.8" hidden="false" customHeight="false" outlineLevel="0" collapsed="false">
      <c r="A5091" s="0" t="s">
        <v>12</v>
      </c>
      <c r="B5091" s="0" t="n">
        <v>1424671</v>
      </c>
      <c r="C5091" s="0" t="n">
        <v>1424691</v>
      </c>
      <c r="D5091" s="0" t="s">
        <v>17042</v>
      </c>
      <c r="E5091" s="0" t="s">
        <v>17043</v>
      </c>
      <c r="F5091" s="0" t="s">
        <v>15</v>
      </c>
      <c r="G5091" s="0" t="s">
        <v>32</v>
      </c>
      <c r="H5091" s="0" t="n">
        <v>35</v>
      </c>
      <c r="I5091" s="0" t="s">
        <v>17047</v>
      </c>
      <c r="J5091" s="0" t="s">
        <v>17048</v>
      </c>
      <c r="K5091" s="0" t="s">
        <v>17049</v>
      </c>
      <c r="L5091" s="0" t="str">
        <f aca="false">HYPERLINK("https://www.ncbi.nlm.nih.gov/nuccore/CP000304.1?report=graph&amp;tracks=[key:gene_model_track,Options:GeneOnly]&amp;mk=1424648:1424667|offset_11|444444,1424672:1424691|offset_35|00cc00,1424693:1424712|offset_56|444444,1424716:1424735|offset_79|444444&amp;v=1424447:1424935&amp;c=444444", "offset 35")</f>
        <v>offset 35</v>
      </c>
    </row>
    <row r="5092" customFormat="false" ht="12.8" hidden="false" customHeight="false" outlineLevel="0" collapsed="false">
      <c r="A5092" s="0" t="s">
        <v>12</v>
      </c>
      <c r="B5092" s="0" t="n">
        <v>1424692</v>
      </c>
      <c r="C5092" s="0" t="n">
        <v>1424712</v>
      </c>
      <c r="D5092" s="0" t="s">
        <v>17042</v>
      </c>
      <c r="E5092" s="0" t="s">
        <v>17043</v>
      </c>
      <c r="F5092" s="0" t="s">
        <v>15</v>
      </c>
      <c r="G5092" s="0" t="s">
        <v>16</v>
      </c>
      <c r="H5092" s="0" t="n">
        <v>56</v>
      </c>
      <c r="I5092" s="0" t="s">
        <v>17050</v>
      </c>
      <c r="J5092" s="0" t="s">
        <v>17051</v>
      </c>
      <c r="K5092" s="0" t="s">
        <v>17052</v>
      </c>
      <c r="L5092" s="0" t="str">
        <f aca="false">HYPERLINK("https://www.ncbi.nlm.nih.gov/nuccore/CP000304.1?report=graph&amp;tracks=[key:gene_model_track,Options:GeneOnly]&amp;mk=1424648:1424667|offset_11|444444,1424672:1424691|offset_35|444444,1424693:1424712|offset_56|00cc00,1424716:1424735|offset_79|444444&amp;v=1424447:1424935&amp;c=444444", "offset 56")</f>
        <v>offset 56</v>
      </c>
    </row>
    <row r="5093" customFormat="false" ht="12.8" hidden="false" customHeight="false" outlineLevel="0" collapsed="false">
      <c r="A5093" s="0" t="s">
        <v>12</v>
      </c>
      <c r="B5093" s="0" t="n">
        <v>1424715</v>
      </c>
      <c r="C5093" s="0" t="n">
        <v>1424735</v>
      </c>
      <c r="D5093" s="0" t="s">
        <v>17042</v>
      </c>
      <c r="E5093" s="0" t="s">
        <v>17043</v>
      </c>
      <c r="F5093" s="0" t="s">
        <v>15</v>
      </c>
      <c r="G5093" s="0" t="s">
        <v>16</v>
      </c>
      <c r="H5093" s="0" t="n">
        <v>79</v>
      </c>
      <c r="I5093" s="0" t="s">
        <v>17053</v>
      </c>
      <c r="J5093" s="0" t="s">
        <v>17054</v>
      </c>
      <c r="K5093" s="0" t="s">
        <v>17055</v>
      </c>
      <c r="L5093" s="0" t="str">
        <f aca="false">HYPERLINK("https://www.ncbi.nlm.nih.gov/nuccore/CP000304.1?report=graph&amp;tracks=[key:gene_model_track,Options:GeneOnly]&amp;mk=1424648:1424667|offset_11|444444,1424672:1424691|offset_35|444444,1424693:1424712|offset_56|444444,1424716:1424735|offset_79|00cc00&amp;v=1424447:1424935&amp;c=444444", "offset 79")</f>
        <v>offset 79</v>
      </c>
    </row>
    <row r="5094" customFormat="false" ht="12.8" hidden="false" customHeight="false" outlineLevel="0" collapsed="false">
      <c r="A5094" s="0" t="s">
        <v>12</v>
      </c>
      <c r="B5094" s="0" t="n">
        <v>1426126</v>
      </c>
      <c r="C5094" s="0" t="n">
        <v>1426146</v>
      </c>
      <c r="D5094" s="0" t="s">
        <v>17056</v>
      </c>
      <c r="E5094" s="0" t="s">
        <v>17057</v>
      </c>
      <c r="F5094" s="0" t="s">
        <v>15</v>
      </c>
      <c r="G5094" s="0" t="s">
        <v>16</v>
      </c>
      <c r="H5094" s="0" t="n">
        <v>30</v>
      </c>
      <c r="I5094" s="0" t="s">
        <v>17058</v>
      </c>
      <c r="J5094" s="0" t="s">
        <v>17059</v>
      </c>
      <c r="K5094" s="0" t="s">
        <v>17060</v>
      </c>
      <c r="L5094" s="0" t="str">
        <f aca="false">HYPERLINK("https://www.ncbi.nlm.nih.gov/nuccore/CP000304.1?report=graph&amp;tracks=[key:gene_model_track,Options:GeneOnly]&amp;mk=1426127:1426146|offset_30|00cc00,1426156:1426175|offset_59|444444,1426177:1426196|offset_80|444444,1426200:1426219|offset_103|444444&amp;v=1425926:1426419&amp;c=444444", "offset 30")</f>
        <v>offset 30</v>
      </c>
    </row>
    <row r="5095" customFormat="false" ht="12.8" hidden="false" customHeight="false" outlineLevel="0" collapsed="false">
      <c r="A5095" s="0" t="s">
        <v>12</v>
      </c>
      <c r="B5095" s="0" t="n">
        <v>1426155</v>
      </c>
      <c r="C5095" s="0" t="n">
        <v>1426175</v>
      </c>
      <c r="D5095" s="0" t="s">
        <v>17056</v>
      </c>
      <c r="E5095" s="0" t="s">
        <v>17057</v>
      </c>
      <c r="F5095" s="0" t="s">
        <v>15</v>
      </c>
      <c r="G5095" s="0" t="s">
        <v>16</v>
      </c>
      <c r="H5095" s="0" t="n">
        <v>59</v>
      </c>
      <c r="I5095" s="0" t="s">
        <v>17061</v>
      </c>
      <c r="J5095" s="0" t="s">
        <v>17062</v>
      </c>
      <c r="K5095" s="0" t="s">
        <v>17063</v>
      </c>
      <c r="L5095" s="0" t="str">
        <f aca="false">HYPERLINK("https://www.ncbi.nlm.nih.gov/nuccore/CP000304.1?report=graph&amp;tracks=[key:gene_model_track,Options:GeneOnly]&amp;mk=1426127:1426146|offset_30|444444,1426156:1426175|offset_59|00cc00,1426177:1426196|offset_80|444444,1426200:1426219|offset_103|444444&amp;v=1425926:1426419&amp;c=444444", "offset 59")</f>
        <v>offset 59</v>
      </c>
    </row>
    <row r="5096" customFormat="false" ht="12.8" hidden="false" customHeight="false" outlineLevel="0" collapsed="false">
      <c r="A5096" s="0" t="s">
        <v>12</v>
      </c>
      <c r="B5096" s="0" t="n">
        <v>1426176</v>
      </c>
      <c r="C5096" s="0" t="n">
        <v>1426196</v>
      </c>
      <c r="D5096" s="0" t="s">
        <v>17056</v>
      </c>
      <c r="E5096" s="0" t="s">
        <v>17057</v>
      </c>
      <c r="F5096" s="0" t="s">
        <v>15</v>
      </c>
      <c r="G5096" s="0" t="s">
        <v>26</v>
      </c>
      <c r="H5096" s="0" t="n">
        <v>80</v>
      </c>
      <c r="I5096" s="0" t="s">
        <v>17064</v>
      </c>
      <c r="J5096" s="0" t="s">
        <v>17065</v>
      </c>
      <c r="K5096" s="0" t="s">
        <v>17066</v>
      </c>
      <c r="L5096" s="0" t="str">
        <f aca="false">HYPERLINK("https://www.ncbi.nlm.nih.gov/nuccore/CP000304.1?report=graph&amp;tracks=[key:gene_model_track,Options:GeneOnly]&amp;mk=1426127:1426146|offset_30|444444,1426156:1426175|offset_59|444444,1426177:1426196|offset_80|00cc00,1426200:1426219|offset_103|444444&amp;v=1425926:1426419&amp;c=444444", "offset 80")</f>
        <v>offset 80</v>
      </c>
    </row>
    <row r="5097" customFormat="false" ht="12.8" hidden="false" customHeight="false" outlineLevel="0" collapsed="false">
      <c r="A5097" s="0" t="s">
        <v>12</v>
      </c>
      <c r="B5097" s="0" t="n">
        <v>1426199</v>
      </c>
      <c r="C5097" s="0" t="n">
        <v>1426219</v>
      </c>
      <c r="D5097" s="0" t="s">
        <v>17056</v>
      </c>
      <c r="E5097" s="0" t="s">
        <v>17057</v>
      </c>
      <c r="F5097" s="0" t="s">
        <v>15</v>
      </c>
      <c r="G5097" s="0" t="s">
        <v>26</v>
      </c>
      <c r="H5097" s="0" t="n">
        <v>103</v>
      </c>
      <c r="I5097" s="0" t="s">
        <v>17067</v>
      </c>
      <c r="J5097" s="0" t="s">
        <v>17068</v>
      </c>
      <c r="K5097" s="0" t="s">
        <v>17069</v>
      </c>
      <c r="L5097" s="0" t="str">
        <f aca="false">HYPERLINK("https://www.ncbi.nlm.nih.gov/nuccore/CP000304.1?report=graph&amp;tracks=[key:gene_model_track,Options:GeneOnly]&amp;mk=1426127:1426146|offset_30|444444,1426156:1426175|offset_59|444444,1426177:1426196|offset_80|444444,1426200:1426219|offset_103|00cc00&amp;v=1425926:1426419&amp;c=444444", "offset 103")</f>
        <v>offset 103</v>
      </c>
    </row>
    <row r="5098" customFormat="false" ht="12.8" hidden="false" customHeight="false" outlineLevel="0" collapsed="false">
      <c r="A5098" s="0" t="s">
        <v>12</v>
      </c>
      <c r="B5098" s="0" t="n">
        <v>1427209</v>
      </c>
      <c r="C5098" s="0" t="n">
        <v>1427229</v>
      </c>
      <c r="D5098" s="0" t="s">
        <v>17070</v>
      </c>
      <c r="E5098" s="0" t="s">
        <v>17071</v>
      </c>
      <c r="F5098" s="0" t="s">
        <v>15</v>
      </c>
      <c r="G5098" s="0" t="s">
        <v>36</v>
      </c>
      <c r="H5098" s="0" t="n">
        <v>16</v>
      </c>
      <c r="I5098" s="0" t="s">
        <v>17072</v>
      </c>
      <c r="J5098" s="0" t="s">
        <v>17073</v>
      </c>
      <c r="K5098" s="0" t="s">
        <v>17074</v>
      </c>
      <c r="L5098" s="0" t="str">
        <f aca="false">HYPERLINK("https://www.ncbi.nlm.nih.gov/nuccore/CP000304.1?report=graph&amp;tracks=[key:gene_model_track,Options:GeneOnly]&amp;mk=1427210:1427229|offset_16|00cc00,1427242:1427261|offset_48|444444,1427262:1427281|offset_68|444444,1427295:1427314|offset_101|444444&amp;v=1427009:1427514&amp;c=444444", "offset 16")</f>
        <v>offset 16</v>
      </c>
    </row>
    <row r="5099" customFormat="false" ht="12.8" hidden="false" customHeight="false" outlineLevel="0" collapsed="false">
      <c r="A5099" s="0" t="s">
        <v>12</v>
      </c>
      <c r="B5099" s="0" t="n">
        <v>1427241</v>
      </c>
      <c r="C5099" s="0" t="n">
        <v>1427261</v>
      </c>
      <c r="D5099" s="0" t="s">
        <v>17070</v>
      </c>
      <c r="E5099" s="0" t="s">
        <v>17071</v>
      </c>
      <c r="F5099" s="0" t="s">
        <v>15</v>
      </c>
      <c r="G5099" s="0" t="s">
        <v>16</v>
      </c>
      <c r="H5099" s="0" t="n">
        <v>48</v>
      </c>
      <c r="I5099" s="0" t="s">
        <v>17075</v>
      </c>
      <c r="J5099" s="0" t="s">
        <v>17076</v>
      </c>
      <c r="K5099" s="0" t="s">
        <v>17077</v>
      </c>
      <c r="L5099" s="0" t="str">
        <f aca="false">HYPERLINK("https://www.ncbi.nlm.nih.gov/nuccore/CP000304.1?report=graph&amp;tracks=[key:gene_model_track,Options:GeneOnly]&amp;mk=1427210:1427229|offset_16|444444,1427242:1427261|offset_48|00cc00,1427262:1427281|offset_68|444444,1427295:1427314|offset_101|444444&amp;v=1427009:1427514&amp;c=444444", "offset 48")</f>
        <v>offset 48</v>
      </c>
    </row>
    <row r="5100" customFormat="false" ht="12.8" hidden="false" customHeight="false" outlineLevel="0" collapsed="false">
      <c r="A5100" s="0" t="s">
        <v>12</v>
      </c>
      <c r="B5100" s="0" t="n">
        <v>1427261</v>
      </c>
      <c r="C5100" s="0" t="n">
        <v>1427281</v>
      </c>
      <c r="D5100" s="0" t="s">
        <v>17070</v>
      </c>
      <c r="E5100" s="0" t="s">
        <v>17071</v>
      </c>
      <c r="F5100" s="0" t="s">
        <v>15</v>
      </c>
      <c r="G5100" s="0" t="s">
        <v>26</v>
      </c>
      <c r="H5100" s="0" t="n">
        <v>68</v>
      </c>
      <c r="I5100" s="0" t="s">
        <v>17078</v>
      </c>
      <c r="J5100" s="0" t="s">
        <v>17079</v>
      </c>
      <c r="K5100" s="0" t="s">
        <v>17080</v>
      </c>
      <c r="L5100" s="0" t="str">
        <f aca="false">HYPERLINK("https://www.ncbi.nlm.nih.gov/nuccore/CP000304.1?report=graph&amp;tracks=[key:gene_model_track,Options:GeneOnly]&amp;mk=1427210:1427229|offset_16|444444,1427242:1427261|offset_48|444444,1427262:1427281|offset_68|00cc00,1427295:1427314|offset_101|444444&amp;v=1427009:1427514&amp;c=444444", "offset 68")</f>
        <v>offset 68</v>
      </c>
    </row>
    <row r="5101" customFormat="false" ht="12.8" hidden="false" customHeight="false" outlineLevel="0" collapsed="false">
      <c r="A5101" s="0" t="s">
        <v>12</v>
      </c>
      <c r="B5101" s="0" t="n">
        <v>1427294</v>
      </c>
      <c r="C5101" s="0" t="n">
        <v>1427314</v>
      </c>
      <c r="D5101" s="0" t="s">
        <v>17070</v>
      </c>
      <c r="E5101" s="0" t="s">
        <v>17071</v>
      </c>
      <c r="F5101" s="0" t="s">
        <v>15</v>
      </c>
      <c r="G5101" s="0" t="s">
        <v>32</v>
      </c>
      <c r="H5101" s="0" t="n">
        <v>101</v>
      </c>
      <c r="I5101" s="0" t="s">
        <v>17081</v>
      </c>
      <c r="J5101" s="0" t="s">
        <v>17082</v>
      </c>
      <c r="K5101" s="0" t="s">
        <v>17083</v>
      </c>
      <c r="L5101" s="0" t="str">
        <f aca="false">HYPERLINK("https://www.ncbi.nlm.nih.gov/nuccore/CP000304.1?report=graph&amp;tracks=[key:gene_model_track,Options:GeneOnly]&amp;mk=1427210:1427229|offset_16|444444,1427242:1427261|offset_48|444444,1427262:1427281|offset_68|444444,1427295:1427314|offset_101|00cc00&amp;v=1427009:1427514&amp;c=444444", "offset 101")</f>
        <v>offset 101</v>
      </c>
    </row>
    <row r="5102" customFormat="false" ht="12.8" hidden="false" customHeight="false" outlineLevel="0" collapsed="false">
      <c r="A5102" s="0" t="s">
        <v>12</v>
      </c>
      <c r="B5102" s="0" t="n">
        <v>1427887</v>
      </c>
      <c r="C5102" s="0" t="n">
        <v>1427907</v>
      </c>
      <c r="D5102" s="0" t="s">
        <v>17084</v>
      </c>
      <c r="E5102" s="0" t="s">
        <v>17085</v>
      </c>
      <c r="F5102" s="0" t="s">
        <v>15</v>
      </c>
      <c r="G5102" s="0" t="s">
        <v>32</v>
      </c>
      <c r="H5102" s="0" t="n">
        <v>11</v>
      </c>
      <c r="I5102" s="0" t="s">
        <v>17086</v>
      </c>
      <c r="J5102" s="0" t="s">
        <v>17087</v>
      </c>
      <c r="K5102" s="0" t="s">
        <v>17088</v>
      </c>
      <c r="L5102" s="0" t="str">
        <f aca="false">HYPERLINK("https://www.ncbi.nlm.nih.gov/nuccore/CP000304.1?report=graph&amp;tracks=[key:gene_model_track,Options:GeneOnly]&amp;mk=1427888:1427907|offset_11|00cc00,1427916:1427935|offset_39|444444,1427974:1427993|offset_97|444444,1428016:1428035|offset_139|444444&amp;v=1427687:1428235&amp;c=444444", "offset 11")</f>
        <v>offset 11</v>
      </c>
    </row>
    <row r="5103" customFormat="false" ht="12.8" hidden="false" customHeight="false" outlineLevel="0" collapsed="false">
      <c r="A5103" s="0" t="s">
        <v>12</v>
      </c>
      <c r="B5103" s="0" t="n">
        <v>1427915</v>
      </c>
      <c r="C5103" s="0" t="n">
        <v>1427935</v>
      </c>
      <c r="D5103" s="0" t="s">
        <v>17084</v>
      </c>
      <c r="E5103" s="0" t="s">
        <v>17085</v>
      </c>
      <c r="F5103" s="0" t="s">
        <v>15</v>
      </c>
      <c r="G5103" s="0" t="s">
        <v>36</v>
      </c>
      <c r="H5103" s="0" t="n">
        <v>39</v>
      </c>
      <c r="I5103" s="0" t="s">
        <v>17089</v>
      </c>
      <c r="J5103" s="0" t="s">
        <v>17090</v>
      </c>
      <c r="K5103" s="0" t="s">
        <v>17091</v>
      </c>
      <c r="L5103" s="0" t="str">
        <f aca="false">HYPERLINK("https://www.ncbi.nlm.nih.gov/nuccore/CP000304.1?report=graph&amp;tracks=[key:gene_model_track,Options:GeneOnly]&amp;mk=1427888:1427907|offset_11|444444,1427916:1427935|offset_39|00cc00,1427974:1427993|offset_97|444444,1428016:1428035|offset_139|444444&amp;v=1427687:1428235&amp;c=444444", "offset 39")</f>
        <v>offset 39</v>
      </c>
    </row>
    <row r="5104" customFormat="false" ht="12.8" hidden="false" customHeight="false" outlineLevel="0" collapsed="false">
      <c r="A5104" s="0" t="s">
        <v>12</v>
      </c>
      <c r="B5104" s="0" t="n">
        <v>1427973</v>
      </c>
      <c r="C5104" s="0" t="n">
        <v>1427993</v>
      </c>
      <c r="D5104" s="0" t="s">
        <v>17084</v>
      </c>
      <c r="E5104" s="0" t="s">
        <v>17085</v>
      </c>
      <c r="F5104" s="0" t="s">
        <v>15</v>
      </c>
      <c r="G5104" s="0" t="s">
        <v>36</v>
      </c>
      <c r="H5104" s="0" t="n">
        <v>97</v>
      </c>
      <c r="I5104" s="0" t="s">
        <v>17092</v>
      </c>
      <c r="J5104" s="0" t="s">
        <v>17093</v>
      </c>
      <c r="K5104" s="0" t="s">
        <v>17094</v>
      </c>
      <c r="L5104" s="0" t="str">
        <f aca="false">HYPERLINK("https://www.ncbi.nlm.nih.gov/nuccore/CP000304.1?report=graph&amp;tracks=[key:gene_model_track,Options:GeneOnly]&amp;mk=1427888:1427907|offset_11|444444,1427916:1427935|offset_39|444444,1427974:1427993|offset_97|00cc00,1428016:1428035|offset_139|444444&amp;v=1427687:1428235&amp;c=444444", "offset 97")</f>
        <v>offset 97</v>
      </c>
    </row>
    <row r="5105" customFormat="false" ht="12.8" hidden="false" customHeight="false" outlineLevel="0" collapsed="false">
      <c r="A5105" s="0" t="s">
        <v>12</v>
      </c>
      <c r="B5105" s="0" t="n">
        <v>1428015</v>
      </c>
      <c r="C5105" s="0" t="n">
        <v>1428035</v>
      </c>
      <c r="D5105" s="0" t="s">
        <v>17084</v>
      </c>
      <c r="E5105" s="0" t="s">
        <v>17085</v>
      </c>
      <c r="F5105" s="0" t="s">
        <v>15</v>
      </c>
      <c r="G5105" s="0" t="s">
        <v>32</v>
      </c>
      <c r="H5105" s="0" t="n">
        <v>139</v>
      </c>
      <c r="I5105" s="0" t="s">
        <v>17095</v>
      </c>
      <c r="J5105" s="0" t="s">
        <v>17096</v>
      </c>
      <c r="K5105" s="0" t="s">
        <v>17097</v>
      </c>
      <c r="L5105" s="0" t="str">
        <f aca="false">HYPERLINK("https://www.ncbi.nlm.nih.gov/nuccore/CP000304.1?report=graph&amp;tracks=[key:gene_model_track,Options:GeneOnly]&amp;mk=1427888:1427907|offset_11|444444,1427916:1427935|offset_39|444444,1427974:1427993|offset_97|444444,1428016:1428035|offset_139|00cc00&amp;v=1427687:1428235&amp;c=444444", "offset 139")</f>
        <v>offset 139</v>
      </c>
    </row>
    <row r="5106" customFormat="false" ht="12.8" hidden="false" customHeight="false" outlineLevel="0" collapsed="false">
      <c r="A5106" s="0" t="s">
        <v>12</v>
      </c>
      <c r="B5106" s="0" t="n">
        <v>1428634</v>
      </c>
      <c r="C5106" s="0" t="n">
        <v>1428654</v>
      </c>
      <c r="D5106" s="0" t="s">
        <v>17098</v>
      </c>
      <c r="E5106" s="0" t="s">
        <v>17099</v>
      </c>
      <c r="F5106" s="0" t="s">
        <v>15</v>
      </c>
      <c r="G5106" s="0" t="s">
        <v>16</v>
      </c>
      <c r="H5106" s="0" t="n">
        <v>13</v>
      </c>
      <c r="I5106" s="0" t="s">
        <v>17100</v>
      </c>
      <c r="J5106" s="0" t="s">
        <v>17101</v>
      </c>
      <c r="K5106" s="0" t="s">
        <v>17102</v>
      </c>
      <c r="L5106" s="0" t="str">
        <f aca="false">HYPERLINK("https://www.ncbi.nlm.nih.gov/nuccore/CP000304.1?report=graph&amp;tracks=[key:gene_model_track,Options:GeneOnly]&amp;mk=1428635:1428654|offset_13|00cc00,1428661:1428680|offset_39|444444,1428695:1428714|offset_73|444444,1428722:1428741|offset_100|444444&amp;v=1428434:1428941&amp;c=444444", "offset 13")</f>
        <v>offset 13</v>
      </c>
    </row>
    <row r="5107" customFormat="false" ht="12.8" hidden="false" customHeight="false" outlineLevel="0" collapsed="false">
      <c r="A5107" s="0" t="s">
        <v>12</v>
      </c>
      <c r="B5107" s="0" t="n">
        <v>1428660</v>
      </c>
      <c r="C5107" s="0" t="n">
        <v>1428680</v>
      </c>
      <c r="D5107" s="0" t="s">
        <v>17098</v>
      </c>
      <c r="E5107" s="0" t="s">
        <v>17099</v>
      </c>
      <c r="F5107" s="0" t="s">
        <v>15</v>
      </c>
      <c r="G5107" s="0" t="s">
        <v>36</v>
      </c>
      <c r="H5107" s="0" t="n">
        <v>39</v>
      </c>
      <c r="I5107" s="0" t="s">
        <v>17103</v>
      </c>
      <c r="J5107" s="0" t="s">
        <v>17104</v>
      </c>
      <c r="K5107" s="0" t="s">
        <v>17105</v>
      </c>
      <c r="L5107" s="0" t="str">
        <f aca="false">HYPERLINK("https://www.ncbi.nlm.nih.gov/nuccore/CP000304.1?report=graph&amp;tracks=[key:gene_model_track,Options:GeneOnly]&amp;mk=1428635:1428654|offset_13|444444,1428661:1428680|offset_39|00cc00,1428695:1428714|offset_73|444444,1428722:1428741|offset_100|444444&amp;v=1428434:1428941&amp;c=444444", "offset 39")</f>
        <v>offset 39</v>
      </c>
    </row>
    <row r="5108" customFormat="false" ht="12.8" hidden="false" customHeight="false" outlineLevel="0" collapsed="false">
      <c r="A5108" s="0" t="s">
        <v>12</v>
      </c>
      <c r="B5108" s="0" t="n">
        <v>1428694</v>
      </c>
      <c r="C5108" s="0" t="n">
        <v>1428714</v>
      </c>
      <c r="D5108" s="0" t="s">
        <v>17098</v>
      </c>
      <c r="E5108" s="0" t="s">
        <v>17099</v>
      </c>
      <c r="F5108" s="0" t="s">
        <v>15</v>
      </c>
      <c r="G5108" s="0" t="s">
        <v>32</v>
      </c>
      <c r="H5108" s="0" t="n">
        <v>73</v>
      </c>
      <c r="I5108" s="0" t="s">
        <v>17106</v>
      </c>
      <c r="J5108" s="0" t="s">
        <v>17107</v>
      </c>
      <c r="K5108" s="0" t="s">
        <v>17108</v>
      </c>
      <c r="L5108" s="0" t="str">
        <f aca="false">HYPERLINK("https://www.ncbi.nlm.nih.gov/nuccore/CP000304.1?report=graph&amp;tracks=[key:gene_model_track,Options:GeneOnly]&amp;mk=1428635:1428654|offset_13|444444,1428661:1428680|offset_39|444444,1428695:1428714|offset_73|00cc00,1428722:1428741|offset_100|444444&amp;v=1428434:1428941&amp;c=444444", "offset 73")</f>
        <v>offset 73</v>
      </c>
    </row>
    <row r="5109" customFormat="false" ht="12.8" hidden="false" customHeight="false" outlineLevel="0" collapsed="false">
      <c r="A5109" s="0" t="s">
        <v>12</v>
      </c>
      <c r="B5109" s="0" t="n">
        <v>1428721</v>
      </c>
      <c r="C5109" s="0" t="n">
        <v>1428741</v>
      </c>
      <c r="D5109" s="0" t="s">
        <v>17098</v>
      </c>
      <c r="E5109" s="0" t="s">
        <v>17099</v>
      </c>
      <c r="F5109" s="0" t="s">
        <v>15</v>
      </c>
      <c r="G5109" s="0" t="s">
        <v>16</v>
      </c>
      <c r="H5109" s="0" t="n">
        <v>100</v>
      </c>
      <c r="I5109" s="0" t="s">
        <v>17109</v>
      </c>
      <c r="J5109" s="0" t="s">
        <v>17110</v>
      </c>
      <c r="K5109" s="0" t="s">
        <v>17111</v>
      </c>
      <c r="L5109" s="0" t="str">
        <f aca="false">HYPERLINK("https://www.ncbi.nlm.nih.gov/nuccore/CP000304.1?report=graph&amp;tracks=[key:gene_model_track,Options:GeneOnly]&amp;mk=1428635:1428654|offset_13|444444,1428661:1428680|offset_39|444444,1428695:1428714|offset_73|444444,1428722:1428741|offset_100|00cc00&amp;v=1428434:1428941&amp;c=444444", "offset 100")</f>
        <v>offset 100</v>
      </c>
    </row>
    <row r="5110" customFormat="false" ht="12.8" hidden="false" customHeight="false" outlineLevel="0" collapsed="false">
      <c r="A5110" s="0" t="s">
        <v>12</v>
      </c>
      <c r="B5110" s="0" t="n">
        <v>1428922</v>
      </c>
      <c r="C5110" s="0" t="n">
        <v>1428942</v>
      </c>
      <c r="D5110" s="0" t="s">
        <v>17112</v>
      </c>
      <c r="E5110" s="0" t="s">
        <v>17113</v>
      </c>
      <c r="F5110" s="0" t="s">
        <v>15</v>
      </c>
      <c r="G5110" s="0" t="s">
        <v>16</v>
      </c>
      <c r="H5110" s="0" t="n">
        <v>0</v>
      </c>
      <c r="I5110" s="0" t="s">
        <v>17114</v>
      </c>
      <c r="J5110" s="0" t="s">
        <v>17115</v>
      </c>
      <c r="K5110" s="0" t="s">
        <v>17116</v>
      </c>
      <c r="L5110" s="0" t="str">
        <f aca="false">HYPERLINK("https://www.ncbi.nlm.nih.gov/nuccore/CP000304.1?report=graph&amp;tracks=[key:gene_model_track,Options:GeneOnly]&amp;mk=1428923:1428942|offset_0|00cc00,1428952:1428971|offset_29|444444,1428984:1429003|offset_61|444444,1429012:1429031|offset_89|444444&amp;v=1428722:1429231&amp;c=444444", "offset 0")</f>
        <v>offset 0</v>
      </c>
    </row>
    <row r="5111" customFormat="false" ht="12.8" hidden="false" customHeight="false" outlineLevel="0" collapsed="false">
      <c r="A5111" s="0" t="s">
        <v>12</v>
      </c>
      <c r="B5111" s="0" t="n">
        <v>1428951</v>
      </c>
      <c r="C5111" s="0" t="n">
        <v>1428971</v>
      </c>
      <c r="D5111" s="0" t="s">
        <v>17112</v>
      </c>
      <c r="E5111" s="0" t="s">
        <v>17113</v>
      </c>
      <c r="F5111" s="0" t="s">
        <v>15</v>
      </c>
      <c r="G5111" s="0" t="s">
        <v>16</v>
      </c>
      <c r="H5111" s="0" t="n">
        <v>29</v>
      </c>
      <c r="I5111" s="0" t="s">
        <v>17117</v>
      </c>
      <c r="J5111" s="0" t="s">
        <v>17118</v>
      </c>
      <c r="K5111" s="0" t="s">
        <v>17119</v>
      </c>
      <c r="L5111" s="0" t="str">
        <f aca="false">HYPERLINK("https://www.ncbi.nlm.nih.gov/nuccore/CP000304.1?report=graph&amp;tracks=[key:gene_model_track,Options:GeneOnly]&amp;mk=1428923:1428942|offset_0|444444,1428952:1428971|offset_29|00cc00,1428984:1429003|offset_61|444444,1429012:1429031|offset_89|444444&amp;v=1428722:1429231&amp;c=444444", "offset 29")</f>
        <v>offset 29</v>
      </c>
    </row>
    <row r="5112" customFormat="false" ht="12.8" hidden="false" customHeight="false" outlineLevel="0" collapsed="false">
      <c r="A5112" s="0" t="s">
        <v>12</v>
      </c>
      <c r="B5112" s="0" t="n">
        <v>1428983</v>
      </c>
      <c r="C5112" s="0" t="n">
        <v>1429003</v>
      </c>
      <c r="D5112" s="0" t="s">
        <v>17112</v>
      </c>
      <c r="E5112" s="0" t="s">
        <v>17113</v>
      </c>
      <c r="F5112" s="0" t="s">
        <v>15</v>
      </c>
      <c r="G5112" s="0" t="s">
        <v>36</v>
      </c>
      <c r="H5112" s="0" t="n">
        <v>61</v>
      </c>
      <c r="I5112" s="0" t="s">
        <v>17120</v>
      </c>
      <c r="J5112" s="0" t="s">
        <v>17121</v>
      </c>
      <c r="K5112" s="0" t="s">
        <v>17122</v>
      </c>
      <c r="L5112" s="0" t="str">
        <f aca="false">HYPERLINK("https://www.ncbi.nlm.nih.gov/nuccore/CP000304.1?report=graph&amp;tracks=[key:gene_model_track,Options:GeneOnly]&amp;mk=1428923:1428942|offset_0|444444,1428952:1428971|offset_29|444444,1428984:1429003|offset_61|00cc00,1429012:1429031|offset_89|444444&amp;v=1428722:1429231&amp;c=444444", "offset 61")</f>
        <v>offset 61</v>
      </c>
    </row>
    <row r="5113" customFormat="false" ht="12.8" hidden="false" customHeight="false" outlineLevel="0" collapsed="false">
      <c r="A5113" s="0" t="s">
        <v>12</v>
      </c>
      <c r="B5113" s="0" t="n">
        <v>1429011</v>
      </c>
      <c r="C5113" s="0" t="n">
        <v>1429031</v>
      </c>
      <c r="D5113" s="0" t="s">
        <v>17112</v>
      </c>
      <c r="E5113" s="0" t="s">
        <v>17113</v>
      </c>
      <c r="F5113" s="0" t="s">
        <v>15</v>
      </c>
      <c r="G5113" s="0" t="s">
        <v>16</v>
      </c>
      <c r="H5113" s="0" t="n">
        <v>89</v>
      </c>
      <c r="I5113" s="0" t="s">
        <v>17123</v>
      </c>
      <c r="J5113" s="0" t="s">
        <v>17124</v>
      </c>
      <c r="K5113" s="0" t="s">
        <v>17125</v>
      </c>
      <c r="L5113" s="0" t="str">
        <f aca="false">HYPERLINK("https://www.ncbi.nlm.nih.gov/nuccore/CP000304.1?report=graph&amp;tracks=[key:gene_model_track,Options:GeneOnly]&amp;mk=1428923:1428942|offset_0|444444,1428952:1428971|offset_29|444444,1428984:1429003|offset_61|444444,1429012:1429031|offset_89|00cc00&amp;v=1428722:1429231&amp;c=444444", "offset 89")</f>
        <v>offset 89</v>
      </c>
    </row>
    <row r="5114" customFormat="false" ht="12.8" hidden="false" customHeight="false" outlineLevel="0" collapsed="false">
      <c r="A5114" s="0" t="s">
        <v>12</v>
      </c>
      <c r="B5114" s="0" t="n">
        <v>1429678</v>
      </c>
      <c r="C5114" s="0" t="n">
        <v>1429698</v>
      </c>
      <c r="D5114" s="0" t="s">
        <v>17126</v>
      </c>
      <c r="E5114" s="0" t="s">
        <v>89</v>
      </c>
      <c r="F5114" s="0" t="s">
        <v>15</v>
      </c>
      <c r="G5114" s="0" t="s">
        <v>16</v>
      </c>
      <c r="H5114" s="0" t="n">
        <v>28</v>
      </c>
      <c r="I5114" s="0" t="s">
        <v>17127</v>
      </c>
      <c r="J5114" s="0" t="s">
        <v>17128</v>
      </c>
      <c r="K5114" s="0" t="s">
        <v>17129</v>
      </c>
      <c r="L5114" s="0" t="str">
        <f aca="false">HYPERLINK("https://www.ncbi.nlm.nih.gov/nuccore/CP000304.1?report=graph&amp;tracks=[key:gene_model_track,Options:GeneOnly]&amp;mk=1429679:1429698|offset_28|00cc00,1429709:1429728|offset_58|444444,1429731:1429750|offset_80|444444,1429756:1429775|offset_105|444444&amp;v=1429478:1429975&amp;c=444444", "offset 28")</f>
        <v>offset 28</v>
      </c>
    </row>
    <row r="5115" customFormat="false" ht="12.8" hidden="false" customHeight="false" outlineLevel="0" collapsed="false">
      <c r="A5115" s="0" t="s">
        <v>12</v>
      </c>
      <c r="B5115" s="0" t="n">
        <v>1429708</v>
      </c>
      <c r="C5115" s="0" t="n">
        <v>1429728</v>
      </c>
      <c r="D5115" s="0" t="s">
        <v>17126</v>
      </c>
      <c r="E5115" s="0" t="s">
        <v>89</v>
      </c>
      <c r="F5115" s="0" t="s">
        <v>15</v>
      </c>
      <c r="G5115" s="0" t="s">
        <v>16</v>
      </c>
      <c r="H5115" s="0" t="n">
        <v>58</v>
      </c>
      <c r="I5115" s="0" t="s">
        <v>17130</v>
      </c>
      <c r="J5115" s="0" t="s">
        <v>17131</v>
      </c>
      <c r="K5115" s="0" t="s">
        <v>17132</v>
      </c>
      <c r="L5115" s="0" t="str">
        <f aca="false">HYPERLINK("https://www.ncbi.nlm.nih.gov/nuccore/CP000304.1?report=graph&amp;tracks=[key:gene_model_track,Options:GeneOnly]&amp;mk=1429679:1429698|offset_28|444444,1429709:1429728|offset_58|00cc00,1429731:1429750|offset_80|444444,1429756:1429775|offset_105|444444&amp;v=1429478:1429975&amp;c=444444", "offset 58")</f>
        <v>offset 58</v>
      </c>
    </row>
    <row r="5116" customFormat="false" ht="12.8" hidden="false" customHeight="false" outlineLevel="0" collapsed="false">
      <c r="A5116" s="0" t="s">
        <v>12</v>
      </c>
      <c r="B5116" s="0" t="n">
        <v>1429730</v>
      </c>
      <c r="C5116" s="0" t="n">
        <v>1429750</v>
      </c>
      <c r="D5116" s="0" t="s">
        <v>17126</v>
      </c>
      <c r="E5116" s="0" t="s">
        <v>89</v>
      </c>
      <c r="F5116" s="0" t="s">
        <v>15</v>
      </c>
      <c r="G5116" s="0" t="s">
        <v>32</v>
      </c>
      <c r="H5116" s="0" t="n">
        <v>80</v>
      </c>
      <c r="I5116" s="0" t="s">
        <v>17133</v>
      </c>
      <c r="J5116" s="0" t="s">
        <v>17134</v>
      </c>
      <c r="K5116" s="0" t="s">
        <v>17135</v>
      </c>
      <c r="L5116" s="0" t="str">
        <f aca="false">HYPERLINK("https://www.ncbi.nlm.nih.gov/nuccore/CP000304.1?report=graph&amp;tracks=[key:gene_model_track,Options:GeneOnly]&amp;mk=1429679:1429698|offset_28|444444,1429709:1429728|offset_58|444444,1429731:1429750|offset_80|00cc00,1429756:1429775|offset_105|444444&amp;v=1429478:1429975&amp;c=444444", "offset 80")</f>
        <v>offset 80</v>
      </c>
    </row>
    <row r="5117" customFormat="false" ht="12.8" hidden="false" customHeight="false" outlineLevel="0" collapsed="false">
      <c r="A5117" s="0" t="s">
        <v>12</v>
      </c>
      <c r="B5117" s="0" t="n">
        <v>1429755</v>
      </c>
      <c r="C5117" s="0" t="n">
        <v>1429775</v>
      </c>
      <c r="D5117" s="0" t="s">
        <v>17126</v>
      </c>
      <c r="E5117" s="0" t="s">
        <v>89</v>
      </c>
      <c r="F5117" s="0" t="s">
        <v>15</v>
      </c>
      <c r="G5117" s="0" t="s">
        <v>36</v>
      </c>
      <c r="H5117" s="0" t="n">
        <v>105</v>
      </c>
      <c r="I5117" s="0" t="s">
        <v>17136</v>
      </c>
      <c r="J5117" s="0" t="s">
        <v>17137</v>
      </c>
      <c r="K5117" s="0" t="s">
        <v>17138</v>
      </c>
      <c r="L5117" s="0" t="str">
        <f aca="false">HYPERLINK("https://www.ncbi.nlm.nih.gov/nuccore/CP000304.1?report=graph&amp;tracks=[key:gene_model_track,Options:GeneOnly]&amp;mk=1429679:1429698|offset_28|444444,1429709:1429728|offset_58|444444,1429731:1429750|offset_80|444444,1429756:1429775|offset_105|00cc00&amp;v=1429478:1429975&amp;c=444444", "offset 105")</f>
        <v>offset 105</v>
      </c>
    </row>
    <row r="5118" customFormat="false" ht="12.8" hidden="false" customHeight="false" outlineLevel="0" collapsed="false">
      <c r="A5118" s="0" t="s">
        <v>12</v>
      </c>
      <c r="B5118" s="0" t="n">
        <v>1430947</v>
      </c>
      <c r="C5118" s="0" t="n">
        <v>1430967</v>
      </c>
      <c r="D5118" s="0" t="s">
        <v>17139</v>
      </c>
      <c r="E5118" s="0" t="s">
        <v>89</v>
      </c>
      <c r="F5118" s="0" t="s">
        <v>90</v>
      </c>
      <c r="G5118" s="0" t="s">
        <v>32</v>
      </c>
      <c r="H5118" s="0" t="n">
        <v>1</v>
      </c>
      <c r="I5118" s="0" t="s">
        <v>17140</v>
      </c>
      <c r="J5118" s="0" t="s">
        <v>17141</v>
      </c>
      <c r="K5118" s="0" t="s">
        <v>17142</v>
      </c>
      <c r="L5118" s="0" t="str">
        <f aca="false">HYPERLINK("https://www.ncbi.nlm.nih.gov/nuccore/CP000304.1?report=graph&amp;tracks=[key:gene_model_track,Options:GeneOnly]&amp;mk=1430948:1430967|offset_1|00cc00,1430917:1430936|offset_32|444444,1430860:1430879|offset_89|444444,1430825:1430844|offset_124|444444&amp;v=1430747:1431044&amp;c=444444", "offset 1")</f>
        <v>offset 1</v>
      </c>
    </row>
    <row r="5119" customFormat="false" ht="12.8" hidden="false" customHeight="false" outlineLevel="0" collapsed="false">
      <c r="A5119" s="0" t="s">
        <v>12</v>
      </c>
      <c r="B5119" s="0" t="n">
        <v>1430916</v>
      </c>
      <c r="C5119" s="0" t="n">
        <v>1430936</v>
      </c>
      <c r="D5119" s="0" t="s">
        <v>17139</v>
      </c>
      <c r="E5119" s="0" t="s">
        <v>89</v>
      </c>
      <c r="F5119" s="0" t="s">
        <v>90</v>
      </c>
      <c r="G5119" s="0" t="s">
        <v>26</v>
      </c>
      <c r="H5119" s="0" t="n">
        <v>32</v>
      </c>
      <c r="I5119" s="0" t="s">
        <v>17143</v>
      </c>
      <c r="J5119" s="0" t="s">
        <v>17144</v>
      </c>
      <c r="K5119" s="0" t="s">
        <v>17145</v>
      </c>
      <c r="L5119" s="0" t="str">
        <f aca="false">HYPERLINK("https://www.ncbi.nlm.nih.gov/nuccore/CP000304.1?report=graph&amp;tracks=[key:gene_model_track,Options:GeneOnly]&amp;mk=1430948:1430967|offset_1|444444,1430917:1430936|offset_32|00cc00,1430860:1430879|offset_89|444444,1430825:1430844|offset_124|444444&amp;v=1430747:1431044&amp;c=444444", "offset 32")</f>
        <v>offset 32</v>
      </c>
    </row>
    <row r="5120" customFormat="false" ht="12.8" hidden="false" customHeight="false" outlineLevel="0" collapsed="false">
      <c r="A5120" s="0" t="s">
        <v>12</v>
      </c>
      <c r="B5120" s="0" t="n">
        <v>1430859</v>
      </c>
      <c r="C5120" s="0" t="n">
        <v>1430879</v>
      </c>
      <c r="D5120" s="0" t="s">
        <v>17139</v>
      </c>
      <c r="E5120" s="0" t="s">
        <v>89</v>
      </c>
      <c r="F5120" s="0" t="s">
        <v>90</v>
      </c>
      <c r="G5120" s="0" t="s">
        <v>16</v>
      </c>
      <c r="H5120" s="0" t="n">
        <v>89</v>
      </c>
      <c r="I5120" s="0" t="s">
        <v>17146</v>
      </c>
      <c r="J5120" s="0" t="s">
        <v>17147</v>
      </c>
      <c r="K5120" s="0" t="s">
        <v>17148</v>
      </c>
      <c r="L5120" s="0" t="str">
        <f aca="false">HYPERLINK("https://www.ncbi.nlm.nih.gov/nuccore/CP000304.1?report=graph&amp;tracks=[key:gene_model_track,Options:GeneOnly]&amp;mk=1430948:1430967|offset_1|444444,1430917:1430936|offset_32|444444,1430860:1430879|offset_89|00cc00,1430825:1430844|offset_124|444444&amp;v=1430747:1431044&amp;c=444444", "offset 89")</f>
        <v>offset 89</v>
      </c>
    </row>
    <row r="5121" customFormat="false" ht="12.8" hidden="false" customHeight="false" outlineLevel="0" collapsed="false">
      <c r="A5121" s="0" t="s">
        <v>12</v>
      </c>
      <c r="B5121" s="0" t="n">
        <v>1430824</v>
      </c>
      <c r="C5121" s="0" t="n">
        <v>1430844</v>
      </c>
      <c r="D5121" s="0" t="s">
        <v>17139</v>
      </c>
      <c r="E5121" s="0" t="s">
        <v>89</v>
      </c>
      <c r="F5121" s="0" t="s">
        <v>90</v>
      </c>
      <c r="G5121" s="0" t="s">
        <v>16</v>
      </c>
      <c r="H5121" s="0" t="n">
        <v>124</v>
      </c>
      <c r="I5121" s="0" t="s">
        <v>17149</v>
      </c>
      <c r="J5121" s="0" t="s">
        <v>17150</v>
      </c>
      <c r="K5121" s="0" t="s">
        <v>17151</v>
      </c>
      <c r="L5121" s="0" t="str">
        <f aca="false">HYPERLINK("https://www.ncbi.nlm.nih.gov/nuccore/CP000304.1?report=graph&amp;tracks=[key:gene_model_track,Options:GeneOnly]&amp;mk=1430948:1430967|offset_1|444444,1430917:1430936|offset_32|444444,1430860:1430879|offset_89|444444,1430825:1430844|offset_124|00cc00&amp;v=1430747:1431044&amp;c=444444", "offset 124")</f>
        <v>offset 124</v>
      </c>
    </row>
    <row r="5122" customFormat="false" ht="12.8" hidden="false" customHeight="false" outlineLevel="0" collapsed="false">
      <c r="A5122" s="0" t="s">
        <v>12</v>
      </c>
      <c r="B5122" s="0" t="n">
        <v>1431826</v>
      </c>
      <c r="C5122" s="0" t="n">
        <v>1431846</v>
      </c>
      <c r="D5122" s="0" t="s">
        <v>17152</v>
      </c>
      <c r="E5122" s="0" t="s">
        <v>89</v>
      </c>
      <c r="F5122" s="0" t="s">
        <v>90</v>
      </c>
      <c r="G5122" s="0" t="s">
        <v>16</v>
      </c>
      <c r="H5122" s="0" t="n">
        <v>1</v>
      </c>
      <c r="I5122" s="0" t="s">
        <v>17153</v>
      </c>
      <c r="J5122" s="0" t="s">
        <v>17154</v>
      </c>
      <c r="K5122" s="0" t="s">
        <v>17155</v>
      </c>
      <c r="L5122" s="0" t="str">
        <f aca="false">HYPERLINK("https://www.ncbi.nlm.nih.gov/nuccore/CP000304.1?report=graph&amp;tracks=[key:gene_model_track,Options:GeneOnly]&amp;mk=1431827:1431846|offset_1|00cc00,1431800:1431819|offset_28|444444,1431771:1431790|offset_57|444444,1431733:1431752|offset_95|444444&amp;v=1431626:1431952&amp;c=444444", "offset 1")</f>
        <v>offset 1</v>
      </c>
    </row>
    <row r="5123" customFormat="false" ht="12.8" hidden="false" customHeight="false" outlineLevel="0" collapsed="false">
      <c r="A5123" s="0" t="s">
        <v>12</v>
      </c>
      <c r="B5123" s="0" t="n">
        <v>1431799</v>
      </c>
      <c r="C5123" s="0" t="n">
        <v>1431819</v>
      </c>
      <c r="D5123" s="0" t="s">
        <v>17152</v>
      </c>
      <c r="E5123" s="0" t="s">
        <v>89</v>
      </c>
      <c r="F5123" s="0" t="s">
        <v>90</v>
      </c>
      <c r="G5123" s="0" t="s">
        <v>16</v>
      </c>
      <c r="H5123" s="0" t="n">
        <v>28</v>
      </c>
      <c r="I5123" s="0" t="s">
        <v>17156</v>
      </c>
      <c r="J5123" s="0" t="s">
        <v>17157</v>
      </c>
      <c r="K5123" s="0" t="s">
        <v>17158</v>
      </c>
      <c r="L5123" s="0" t="str">
        <f aca="false">HYPERLINK("https://www.ncbi.nlm.nih.gov/nuccore/CP000304.1?report=graph&amp;tracks=[key:gene_model_track,Options:GeneOnly]&amp;mk=1431827:1431846|offset_1|444444,1431800:1431819|offset_28|00cc00,1431771:1431790|offset_57|444444,1431733:1431752|offset_95|444444&amp;v=1431626:1431952&amp;c=444444", "offset 28")</f>
        <v>offset 28</v>
      </c>
    </row>
    <row r="5124" customFormat="false" ht="12.8" hidden="false" customHeight="false" outlineLevel="0" collapsed="false">
      <c r="A5124" s="0" t="s">
        <v>12</v>
      </c>
      <c r="B5124" s="0" t="n">
        <v>1431770</v>
      </c>
      <c r="C5124" s="0" t="n">
        <v>1431790</v>
      </c>
      <c r="D5124" s="0" t="s">
        <v>17152</v>
      </c>
      <c r="E5124" s="0" t="s">
        <v>89</v>
      </c>
      <c r="F5124" s="0" t="s">
        <v>90</v>
      </c>
      <c r="G5124" s="0" t="s">
        <v>36</v>
      </c>
      <c r="H5124" s="0" t="n">
        <v>57</v>
      </c>
      <c r="I5124" s="0" t="s">
        <v>17159</v>
      </c>
      <c r="J5124" s="0" t="s">
        <v>17160</v>
      </c>
      <c r="K5124" s="0" t="s">
        <v>17161</v>
      </c>
      <c r="L5124" s="0" t="str">
        <f aca="false">HYPERLINK("https://www.ncbi.nlm.nih.gov/nuccore/CP000304.1?report=graph&amp;tracks=[key:gene_model_track,Options:GeneOnly]&amp;mk=1431827:1431846|offset_1|444444,1431800:1431819|offset_28|444444,1431771:1431790|offset_57|00cc00,1431733:1431752|offset_95|444444&amp;v=1431626:1431952&amp;c=444444", "offset 57")</f>
        <v>offset 57</v>
      </c>
    </row>
    <row r="5125" customFormat="false" ht="12.8" hidden="false" customHeight="false" outlineLevel="0" collapsed="false">
      <c r="A5125" s="0" t="s">
        <v>12</v>
      </c>
      <c r="B5125" s="0" t="n">
        <v>1431732</v>
      </c>
      <c r="C5125" s="0" t="n">
        <v>1431752</v>
      </c>
      <c r="D5125" s="0" t="s">
        <v>17152</v>
      </c>
      <c r="E5125" s="0" t="s">
        <v>89</v>
      </c>
      <c r="F5125" s="0" t="s">
        <v>90</v>
      </c>
      <c r="G5125" s="0" t="s">
        <v>16</v>
      </c>
      <c r="H5125" s="0" t="n">
        <v>95</v>
      </c>
      <c r="I5125" s="0" t="s">
        <v>17162</v>
      </c>
      <c r="J5125" s="0" t="s">
        <v>17163</v>
      </c>
      <c r="K5125" s="0" t="s">
        <v>17164</v>
      </c>
      <c r="L5125" s="0" t="str">
        <f aca="false">HYPERLINK("https://www.ncbi.nlm.nih.gov/nuccore/CP000304.1?report=graph&amp;tracks=[key:gene_model_track,Options:GeneOnly]&amp;mk=1431827:1431846|offset_1|444444,1431800:1431819|offset_28|444444,1431771:1431790|offset_57|444444,1431733:1431752|offset_95|00cc00&amp;v=1431626:1431952&amp;c=444444", "offset 95")</f>
        <v>offset 95</v>
      </c>
    </row>
    <row r="5126" customFormat="false" ht="12.8" hidden="false" customHeight="false" outlineLevel="0" collapsed="false">
      <c r="A5126" s="0" t="s">
        <v>12</v>
      </c>
      <c r="B5126" s="0" t="n">
        <v>1432315</v>
      </c>
      <c r="C5126" s="0" t="n">
        <v>1432335</v>
      </c>
      <c r="D5126" s="0" t="s">
        <v>17165</v>
      </c>
      <c r="E5126" s="0" t="s">
        <v>17166</v>
      </c>
      <c r="F5126" s="0" t="s">
        <v>15</v>
      </c>
      <c r="G5126" s="0" t="s">
        <v>32</v>
      </c>
      <c r="H5126" s="0" t="n">
        <v>52</v>
      </c>
      <c r="I5126" s="0" t="s">
        <v>17167</v>
      </c>
      <c r="J5126" s="0" t="s">
        <v>17168</v>
      </c>
      <c r="K5126" s="0" t="s">
        <v>17169</v>
      </c>
      <c r="L5126" s="0" t="str">
        <f aca="false">HYPERLINK("https://www.ncbi.nlm.nih.gov/nuccore/CP000304.1?report=graph&amp;tracks=[key:gene_model_track,Options:GeneOnly]&amp;mk=1432316:1432335|offset_52|00cc00,1432343:1432362|offset_79|444444,1432386:1432405|offset_122|444444,1432407:1432426|offset_143|444444&amp;v=1432115:1432626&amp;c=444444", "offset 52")</f>
        <v>offset 52</v>
      </c>
    </row>
    <row r="5127" customFormat="false" ht="12.8" hidden="false" customHeight="false" outlineLevel="0" collapsed="false">
      <c r="A5127" s="0" t="s">
        <v>12</v>
      </c>
      <c r="B5127" s="0" t="n">
        <v>1432342</v>
      </c>
      <c r="C5127" s="0" t="n">
        <v>1432362</v>
      </c>
      <c r="D5127" s="0" t="s">
        <v>17165</v>
      </c>
      <c r="E5127" s="0" t="s">
        <v>17166</v>
      </c>
      <c r="F5127" s="0" t="s">
        <v>15</v>
      </c>
      <c r="G5127" s="0" t="s">
        <v>36</v>
      </c>
      <c r="H5127" s="0" t="n">
        <v>79</v>
      </c>
      <c r="I5127" s="0" t="s">
        <v>17170</v>
      </c>
      <c r="J5127" s="0" t="s">
        <v>17171</v>
      </c>
      <c r="K5127" s="0" t="s">
        <v>17172</v>
      </c>
      <c r="L5127" s="0" t="str">
        <f aca="false">HYPERLINK("https://www.ncbi.nlm.nih.gov/nuccore/CP000304.1?report=graph&amp;tracks=[key:gene_model_track,Options:GeneOnly]&amp;mk=1432316:1432335|offset_52|444444,1432343:1432362|offset_79|00cc00,1432386:1432405|offset_122|444444,1432407:1432426|offset_143|444444&amp;v=1432115:1432626&amp;c=444444", "offset 79")</f>
        <v>offset 79</v>
      </c>
    </row>
    <row r="5128" customFormat="false" ht="12.8" hidden="false" customHeight="false" outlineLevel="0" collapsed="false">
      <c r="A5128" s="0" t="s">
        <v>12</v>
      </c>
      <c r="B5128" s="0" t="n">
        <v>1432385</v>
      </c>
      <c r="C5128" s="0" t="n">
        <v>1432405</v>
      </c>
      <c r="D5128" s="0" t="s">
        <v>17165</v>
      </c>
      <c r="E5128" s="0" t="s">
        <v>17166</v>
      </c>
      <c r="F5128" s="0" t="s">
        <v>15</v>
      </c>
      <c r="G5128" s="0" t="s">
        <v>36</v>
      </c>
      <c r="H5128" s="0" t="n">
        <v>122</v>
      </c>
      <c r="I5128" s="0" t="s">
        <v>17173</v>
      </c>
      <c r="J5128" s="0" t="s">
        <v>17174</v>
      </c>
      <c r="K5128" s="0" t="s">
        <v>17175</v>
      </c>
      <c r="L5128" s="0" t="str">
        <f aca="false">HYPERLINK("https://www.ncbi.nlm.nih.gov/nuccore/CP000304.1?report=graph&amp;tracks=[key:gene_model_track,Options:GeneOnly]&amp;mk=1432316:1432335|offset_52|444444,1432343:1432362|offset_79|444444,1432386:1432405|offset_122|00cc00,1432407:1432426|offset_143|444444&amp;v=1432115:1432626&amp;c=444444", "offset 122")</f>
        <v>offset 122</v>
      </c>
    </row>
    <row r="5129" customFormat="false" ht="12.8" hidden="false" customHeight="false" outlineLevel="0" collapsed="false">
      <c r="A5129" s="0" t="s">
        <v>12</v>
      </c>
      <c r="B5129" s="0" t="n">
        <v>1432406</v>
      </c>
      <c r="C5129" s="0" t="n">
        <v>1432426</v>
      </c>
      <c r="D5129" s="0" t="s">
        <v>17165</v>
      </c>
      <c r="E5129" s="0" t="s">
        <v>17166</v>
      </c>
      <c r="F5129" s="0" t="s">
        <v>15</v>
      </c>
      <c r="G5129" s="0" t="s">
        <v>26</v>
      </c>
      <c r="H5129" s="0" t="n">
        <v>143</v>
      </c>
      <c r="I5129" s="0" t="s">
        <v>17176</v>
      </c>
      <c r="J5129" s="0" t="s">
        <v>17177</v>
      </c>
      <c r="K5129" s="0" t="s">
        <v>17178</v>
      </c>
      <c r="L5129" s="0" t="str">
        <f aca="false">HYPERLINK("https://www.ncbi.nlm.nih.gov/nuccore/CP000304.1?report=graph&amp;tracks=[key:gene_model_track,Options:GeneOnly]&amp;mk=1432316:1432335|offset_52|444444,1432343:1432362|offset_79|444444,1432386:1432405|offset_122|444444,1432407:1432426|offset_143|00cc00&amp;v=1432115:1432626&amp;c=444444", "offset 143")</f>
        <v>offset 143</v>
      </c>
    </row>
    <row r="5130" customFormat="false" ht="12.8" hidden="false" customHeight="false" outlineLevel="0" collapsed="false">
      <c r="A5130" s="0" t="s">
        <v>12</v>
      </c>
      <c r="B5130" s="0" t="n">
        <v>1433263</v>
      </c>
      <c r="C5130" s="0" t="n">
        <v>1433283</v>
      </c>
      <c r="D5130" s="0" t="s">
        <v>17179</v>
      </c>
      <c r="E5130" s="0" t="s">
        <v>17180</v>
      </c>
      <c r="F5130" s="0" t="s">
        <v>15</v>
      </c>
      <c r="G5130" s="0" t="s">
        <v>16</v>
      </c>
      <c r="H5130" s="0" t="n">
        <v>7</v>
      </c>
      <c r="I5130" s="0" t="s">
        <v>17181</v>
      </c>
      <c r="J5130" s="0" t="s">
        <v>17182</v>
      </c>
      <c r="K5130" s="0" t="s">
        <v>17183</v>
      </c>
      <c r="L5130" s="0" t="str">
        <f aca="false">HYPERLINK("https://www.ncbi.nlm.nih.gov/nuccore/CP000304.1?report=graph&amp;tracks=[key:gene_model_track,Options:GeneOnly]&amp;mk=1433264:1433283|offset_7|00cc00,1433291:1433310|offset_34|444444,1433320:1433339|offset_63|444444,1433340:1433359|offset_83|444444&amp;v=1433063:1433559&amp;c=444444", "offset 7")</f>
        <v>offset 7</v>
      </c>
    </row>
    <row r="5131" customFormat="false" ht="12.8" hidden="false" customHeight="false" outlineLevel="0" collapsed="false">
      <c r="A5131" s="0" t="s">
        <v>12</v>
      </c>
      <c r="B5131" s="0" t="n">
        <v>1433290</v>
      </c>
      <c r="C5131" s="0" t="n">
        <v>1433310</v>
      </c>
      <c r="D5131" s="0" t="s">
        <v>17179</v>
      </c>
      <c r="E5131" s="0" t="s">
        <v>17180</v>
      </c>
      <c r="F5131" s="0" t="s">
        <v>15</v>
      </c>
      <c r="G5131" s="0" t="s">
        <v>36</v>
      </c>
      <c r="H5131" s="0" t="n">
        <v>34</v>
      </c>
      <c r="I5131" s="0" t="s">
        <v>17184</v>
      </c>
      <c r="J5131" s="0" t="s">
        <v>17185</v>
      </c>
      <c r="K5131" s="0" t="s">
        <v>17186</v>
      </c>
      <c r="L5131" s="0" t="str">
        <f aca="false">HYPERLINK("https://www.ncbi.nlm.nih.gov/nuccore/CP000304.1?report=graph&amp;tracks=[key:gene_model_track,Options:GeneOnly]&amp;mk=1433264:1433283|offset_7|444444,1433291:1433310|offset_34|00cc00,1433320:1433339|offset_63|444444,1433340:1433359|offset_83|444444&amp;v=1433063:1433559&amp;c=444444", "offset 34")</f>
        <v>offset 34</v>
      </c>
    </row>
    <row r="5132" customFormat="false" ht="12.8" hidden="false" customHeight="false" outlineLevel="0" collapsed="false">
      <c r="A5132" s="0" t="s">
        <v>12</v>
      </c>
      <c r="B5132" s="0" t="n">
        <v>1433319</v>
      </c>
      <c r="C5132" s="0" t="n">
        <v>1433339</v>
      </c>
      <c r="D5132" s="0" t="s">
        <v>17179</v>
      </c>
      <c r="E5132" s="0" t="s">
        <v>17180</v>
      </c>
      <c r="F5132" s="0" t="s">
        <v>15</v>
      </c>
      <c r="G5132" s="0" t="s">
        <v>16</v>
      </c>
      <c r="H5132" s="0" t="n">
        <v>63</v>
      </c>
      <c r="I5132" s="0" t="s">
        <v>17187</v>
      </c>
      <c r="J5132" s="0" t="s">
        <v>17188</v>
      </c>
      <c r="K5132" s="0" t="s">
        <v>17189</v>
      </c>
      <c r="L5132" s="0" t="str">
        <f aca="false">HYPERLINK("https://www.ncbi.nlm.nih.gov/nuccore/CP000304.1?report=graph&amp;tracks=[key:gene_model_track,Options:GeneOnly]&amp;mk=1433264:1433283|offset_7|444444,1433291:1433310|offset_34|444444,1433320:1433339|offset_63|00cc00,1433340:1433359|offset_83|444444&amp;v=1433063:1433559&amp;c=444444", "offset 63")</f>
        <v>offset 63</v>
      </c>
    </row>
    <row r="5133" customFormat="false" ht="12.8" hidden="false" customHeight="false" outlineLevel="0" collapsed="false">
      <c r="A5133" s="0" t="s">
        <v>12</v>
      </c>
      <c r="B5133" s="0" t="n">
        <v>1433339</v>
      </c>
      <c r="C5133" s="0" t="n">
        <v>1433359</v>
      </c>
      <c r="D5133" s="0" t="s">
        <v>17179</v>
      </c>
      <c r="E5133" s="0" t="s">
        <v>17180</v>
      </c>
      <c r="F5133" s="0" t="s">
        <v>15</v>
      </c>
      <c r="G5133" s="0" t="s">
        <v>16</v>
      </c>
      <c r="H5133" s="0" t="n">
        <v>83</v>
      </c>
      <c r="I5133" s="0" t="s">
        <v>17190</v>
      </c>
      <c r="J5133" s="0" t="s">
        <v>17191</v>
      </c>
      <c r="K5133" s="0" t="s">
        <v>17192</v>
      </c>
      <c r="L5133" s="0" t="str">
        <f aca="false">HYPERLINK("https://www.ncbi.nlm.nih.gov/nuccore/CP000304.1?report=graph&amp;tracks=[key:gene_model_track,Options:GeneOnly]&amp;mk=1433264:1433283|offset_7|444444,1433291:1433310|offset_34|444444,1433320:1433339|offset_63|444444,1433340:1433359|offset_83|00cc00&amp;v=1433063:1433559&amp;c=444444", "offset 83")</f>
        <v>offset 83</v>
      </c>
    </row>
    <row r="5134" customFormat="false" ht="12.8" hidden="false" customHeight="false" outlineLevel="0" collapsed="false">
      <c r="A5134" s="0" t="s">
        <v>12</v>
      </c>
      <c r="B5134" s="0" t="n">
        <v>1434848</v>
      </c>
      <c r="C5134" s="0" t="n">
        <v>1434868</v>
      </c>
      <c r="D5134" s="0" t="s">
        <v>17193</v>
      </c>
      <c r="E5134" s="0" t="s">
        <v>17194</v>
      </c>
      <c r="F5134" s="0" t="s">
        <v>15</v>
      </c>
      <c r="G5134" s="0" t="s">
        <v>32</v>
      </c>
      <c r="H5134" s="0" t="n">
        <v>8</v>
      </c>
      <c r="I5134" s="0" t="s">
        <v>17195</v>
      </c>
      <c r="J5134" s="0" t="s">
        <v>17196</v>
      </c>
      <c r="K5134" s="0" t="s">
        <v>17197</v>
      </c>
      <c r="L5134" s="0" t="str">
        <f aca="false">HYPERLINK("https://www.ncbi.nlm.nih.gov/nuccore/CP000304.1?report=graph&amp;tracks=[key:gene_model_track,Options:GeneOnly]&amp;mk=1434849:1434868|offset_8|00cc00,1434871:1434890|offset_30|444444,1434917:1434936|offset_76|444444,1434949:1434968|offset_108|444444&amp;v=1434648:1435168&amp;c=444444", "offset 8")</f>
        <v>offset 8</v>
      </c>
    </row>
    <row r="5135" customFormat="false" ht="12.8" hidden="false" customHeight="false" outlineLevel="0" collapsed="false">
      <c r="A5135" s="0" t="s">
        <v>12</v>
      </c>
      <c r="B5135" s="0" t="n">
        <v>1434870</v>
      </c>
      <c r="C5135" s="0" t="n">
        <v>1434890</v>
      </c>
      <c r="D5135" s="0" t="s">
        <v>17193</v>
      </c>
      <c r="E5135" s="0" t="s">
        <v>17194</v>
      </c>
      <c r="F5135" s="0" t="s">
        <v>15</v>
      </c>
      <c r="G5135" s="0" t="s">
        <v>36</v>
      </c>
      <c r="H5135" s="0" t="n">
        <v>30</v>
      </c>
      <c r="I5135" s="0" t="s">
        <v>17198</v>
      </c>
      <c r="J5135" s="0" t="s">
        <v>17199</v>
      </c>
      <c r="K5135" s="0" t="s">
        <v>17200</v>
      </c>
      <c r="L5135" s="0" t="str">
        <f aca="false">HYPERLINK("https://www.ncbi.nlm.nih.gov/nuccore/CP000304.1?report=graph&amp;tracks=[key:gene_model_track,Options:GeneOnly]&amp;mk=1434849:1434868|offset_8|444444,1434871:1434890|offset_30|00cc00,1434917:1434936|offset_76|444444,1434949:1434968|offset_108|444444&amp;v=1434648:1435168&amp;c=444444", "offset 30")</f>
        <v>offset 30</v>
      </c>
    </row>
    <row r="5136" customFormat="false" ht="12.8" hidden="false" customHeight="false" outlineLevel="0" collapsed="false">
      <c r="A5136" s="0" t="s">
        <v>12</v>
      </c>
      <c r="B5136" s="0" t="n">
        <v>1434916</v>
      </c>
      <c r="C5136" s="0" t="n">
        <v>1434936</v>
      </c>
      <c r="D5136" s="0" t="s">
        <v>17193</v>
      </c>
      <c r="E5136" s="0" t="s">
        <v>17194</v>
      </c>
      <c r="F5136" s="0" t="s">
        <v>15</v>
      </c>
      <c r="G5136" s="0" t="s">
        <v>32</v>
      </c>
      <c r="H5136" s="0" t="n">
        <v>76</v>
      </c>
      <c r="I5136" s="0" t="s">
        <v>17201</v>
      </c>
      <c r="J5136" s="0" t="s">
        <v>17202</v>
      </c>
      <c r="K5136" s="0" t="s">
        <v>17203</v>
      </c>
      <c r="L5136" s="0" t="str">
        <f aca="false">HYPERLINK("https://www.ncbi.nlm.nih.gov/nuccore/CP000304.1?report=graph&amp;tracks=[key:gene_model_track,Options:GeneOnly]&amp;mk=1434849:1434868|offset_8|444444,1434871:1434890|offset_30|444444,1434917:1434936|offset_76|00cc00,1434949:1434968|offset_108|444444&amp;v=1434648:1435168&amp;c=444444", "offset 76")</f>
        <v>offset 76</v>
      </c>
    </row>
    <row r="5137" customFormat="false" ht="12.8" hidden="false" customHeight="false" outlineLevel="0" collapsed="false">
      <c r="A5137" s="0" t="s">
        <v>12</v>
      </c>
      <c r="B5137" s="0" t="n">
        <v>1434948</v>
      </c>
      <c r="C5137" s="0" t="n">
        <v>1434968</v>
      </c>
      <c r="D5137" s="0" t="s">
        <v>17193</v>
      </c>
      <c r="E5137" s="0" t="s">
        <v>17194</v>
      </c>
      <c r="F5137" s="0" t="s">
        <v>15</v>
      </c>
      <c r="G5137" s="0" t="s">
        <v>16</v>
      </c>
      <c r="H5137" s="0" t="n">
        <v>108</v>
      </c>
      <c r="I5137" s="0" t="s">
        <v>17204</v>
      </c>
      <c r="J5137" s="0" t="s">
        <v>17205</v>
      </c>
      <c r="K5137" s="0" t="s">
        <v>17206</v>
      </c>
      <c r="L5137" s="0" t="str">
        <f aca="false">HYPERLINK("https://www.ncbi.nlm.nih.gov/nuccore/CP000304.1?report=graph&amp;tracks=[key:gene_model_track,Options:GeneOnly]&amp;mk=1434849:1434868|offset_8|444444,1434871:1434890|offset_30|444444,1434917:1434936|offset_76|444444,1434949:1434968|offset_108|00cc00&amp;v=1434648:1435168&amp;c=444444", "offset 108")</f>
        <v>offset 108</v>
      </c>
    </row>
    <row r="5138" customFormat="false" ht="12.8" hidden="false" customHeight="false" outlineLevel="0" collapsed="false">
      <c r="A5138" s="0" t="s">
        <v>12</v>
      </c>
      <c r="B5138" s="0" t="n">
        <v>1436503</v>
      </c>
      <c r="C5138" s="0" t="n">
        <v>1436523</v>
      </c>
      <c r="D5138" s="0" t="s">
        <v>17207</v>
      </c>
      <c r="E5138" s="0" t="s">
        <v>17208</v>
      </c>
      <c r="F5138" s="0" t="s">
        <v>15</v>
      </c>
      <c r="G5138" s="0" t="s">
        <v>36</v>
      </c>
      <c r="H5138" s="0" t="n">
        <v>0</v>
      </c>
      <c r="I5138" s="0" t="s">
        <v>17209</v>
      </c>
      <c r="J5138" s="0" t="s">
        <v>17210</v>
      </c>
      <c r="K5138" s="0" t="s">
        <v>17211</v>
      </c>
      <c r="L5138" s="0" t="str">
        <f aca="false">HYPERLINK("https://www.ncbi.nlm.nih.gov/nuccore/CP000304.1?report=graph&amp;tracks=[key:gene_model_track,Options:GeneOnly]&amp;mk=1436504:1436523|offset_0|00cc00,1436527:1436546|offset_23|444444,1436550:1436569|offset_46|444444,1436572:1436591|offset_68|444444&amp;v=1436303:1436791&amp;c=444444", "offset 0")</f>
        <v>offset 0</v>
      </c>
    </row>
    <row r="5139" customFormat="false" ht="12.8" hidden="false" customHeight="false" outlineLevel="0" collapsed="false">
      <c r="A5139" s="0" t="s">
        <v>12</v>
      </c>
      <c r="B5139" s="0" t="n">
        <v>1436526</v>
      </c>
      <c r="C5139" s="0" t="n">
        <v>1436546</v>
      </c>
      <c r="D5139" s="0" t="s">
        <v>17207</v>
      </c>
      <c r="E5139" s="0" t="s">
        <v>17208</v>
      </c>
      <c r="F5139" s="0" t="s">
        <v>15</v>
      </c>
      <c r="G5139" s="0" t="s">
        <v>16</v>
      </c>
      <c r="H5139" s="0" t="n">
        <v>23</v>
      </c>
      <c r="I5139" s="0" t="s">
        <v>17212</v>
      </c>
      <c r="J5139" s="0" t="s">
        <v>17213</v>
      </c>
      <c r="K5139" s="0" t="s">
        <v>17214</v>
      </c>
      <c r="L5139" s="0" t="str">
        <f aca="false">HYPERLINK("https://www.ncbi.nlm.nih.gov/nuccore/CP000304.1?report=graph&amp;tracks=[key:gene_model_track,Options:GeneOnly]&amp;mk=1436504:1436523|offset_0|444444,1436527:1436546|offset_23|00cc00,1436550:1436569|offset_46|444444,1436572:1436591|offset_68|444444&amp;v=1436303:1436791&amp;c=444444", "offset 23")</f>
        <v>offset 23</v>
      </c>
    </row>
    <row r="5140" customFormat="false" ht="12.8" hidden="false" customHeight="false" outlineLevel="0" collapsed="false">
      <c r="A5140" s="0" t="s">
        <v>12</v>
      </c>
      <c r="B5140" s="0" t="n">
        <v>1436549</v>
      </c>
      <c r="C5140" s="0" t="n">
        <v>1436569</v>
      </c>
      <c r="D5140" s="0" t="s">
        <v>17207</v>
      </c>
      <c r="E5140" s="0" t="s">
        <v>17208</v>
      </c>
      <c r="F5140" s="0" t="s">
        <v>15</v>
      </c>
      <c r="G5140" s="0" t="s">
        <v>26</v>
      </c>
      <c r="H5140" s="0" t="n">
        <v>46</v>
      </c>
      <c r="I5140" s="0" t="s">
        <v>17215</v>
      </c>
      <c r="J5140" s="0" t="s">
        <v>17216</v>
      </c>
      <c r="K5140" s="0" t="s">
        <v>17217</v>
      </c>
      <c r="L5140" s="0" t="str">
        <f aca="false">HYPERLINK("https://www.ncbi.nlm.nih.gov/nuccore/CP000304.1?report=graph&amp;tracks=[key:gene_model_track,Options:GeneOnly]&amp;mk=1436504:1436523|offset_0|444444,1436527:1436546|offset_23|444444,1436550:1436569|offset_46|00cc00,1436572:1436591|offset_68|444444&amp;v=1436303:1436791&amp;c=444444", "offset 46")</f>
        <v>offset 46</v>
      </c>
    </row>
    <row r="5141" customFormat="false" ht="12.8" hidden="false" customHeight="false" outlineLevel="0" collapsed="false">
      <c r="A5141" s="0" t="s">
        <v>12</v>
      </c>
      <c r="B5141" s="0" t="n">
        <v>1436571</v>
      </c>
      <c r="C5141" s="0" t="n">
        <v>1436591</v>
      </c>
      <c r="D5141" s="0" t="s">
        <v>17207</v>
      </c>
      <c r="E5141" s="0" t="s">
        <v>17208</v>
      </c>
      <c r="F5141" s="0" t="s">
        <v>15</v>
      </c>
      <c r="G5141" s="0" t="s">
        <v>32</v>
      </c>
      <c r="H5141" s="0" t="n">
        <v>68</v>
      </c>
      <c r="I5141" s="0" t="s">
        <v>17218</v>
      </c>
      <c r="J5141" s="0" t="s">
        <v>17219</v>
      </c>
      <c r="K5141" s="0" t="s">
        <v>17220</v>
      </c>
      <c r="L5141" s="0" t="str">
        <f aca="false">HYPERLINK("https://www.ncbi.nlm.nih.gov/nuccore/CP000304.1?report=graph&amp;tracks=[key:gene_model_track,Options:GeneOnly]&amp;mk=1436504:1436523|offset_0|444444,1436527:1436546|offset_23|444444,1436550:1436569|offset_46|444444,1436572:1436591|offset_68|00cc00&amp;v=1436303:1436791&amp;c=444444", "offset 68")</f>
        <v>offset 68</v>
      </c>
    </row>
    <row r="5142" customFormat="false" ht="12.8" hidden="false" customHeight="false" outlineLevel="0" collapsed="false">
      <c r="A5142" s="0" t="s">
        <v>12</v>
      </c>
      <c r="B5142" s="0" t="n">
        <v>1436737</v>
      </c>
      <c r="C5142" s="0" t="n">
        <v>1436757</v>
      </c>
      <c r="D5142" s="0" t="s">
        <v>17221</v>
      </c>
      <c r="E5142" s="0" t="s">
        <v>17222</v>
      </c>
      <c r="F5142" s="0" t="s">
        <v>15</v>
      </c>
      <c r="G5142" s="0" t="s">
        <v>36</v>
      </c>
      <c r="H5142" s="0" t="n">
        <v>9</v>
      </c>
      <c r="I5142" s="0" t="s">
        <v>17223</v>
      </c>
      <c r="J5142" s="0" t="s">
        <v>17224</v>
      </c>
      <c r="K5142" s="0" t="s">
        <v>17225</v>
      </c>
      <c r="L5142" s="0" t="str">
        <f aca="false">HYPERLINK("https://www.ncbi.nlm.nih.gov/nuccore/CP000304.1?report=graph&amp;tracks=[key:gene_model_track,Options:GeneOnly]&amp;mk=1436738:1436757|offset_9|00cc00,1436762:1436781|offset_33|444444,1436787:1436806|offset_58|444444,1436820:1436839|offset_91|444444&amp;v=1436537:1437039&amp;c=444444", "offset 9")</f>
        <v>offset 9</v>
      </c>
    </row>
    <row r="5143" customFormat="false" ht="12.8" hidden="false" customHeight="false" outlineLevel="0" collapsed="false">
      <c r="A5143" s="0" t="s">
        <v>12</v>
      </c>
      <c r="B5143" s="0" t="n">
        <v>1436761</v>
      </c>
      <c r="C5143" s="0" t="n">
        <v>1436781</v>
      </c>
      <c r="D5143" s="0" t="s">
        <v>17221</v>
      </c>
      <c r="E5143" s="0" t="s">
        <v>17222</v>
      </c>
      <c r="F5143" s="0" t="s">
        <v>15</v>
      </c>
      <c r="G5143" s="0" t="s">
        <v>16</v>
      </c>
      <c r="H5143" s="0" t="n">
        <v>33</v>
      </c>
      <c r="I5143" s="0" t="s">
        <v>17226</v>
      </c>
      <c r="J5143" s="0" t="s">
        <v>17227</v>
      </c>
      <c r="K5143" s="0" t="s">
        <v>17228</v>
      </c>
      <c r="L5143" s="0" t="str">
        <f aca="false">HYPERLINK("https://www.ncbi.nlm.nih.gov/nuccore/CP000304.1?report=graph&amp;tracks=[key:gene_model_track,Options:GeneOnly]&amp;mk=1436738:1436757|offset_9|444444,1436762:1436781|offset_33|00cc00,1436787:1436806|offset_58|444444,1436820:1436839|offset_91|444444&amp;v=1436537:1437039&amp;c=444444", "offset 33")</f>
        <v>offset 33</v>
      </c>
    </row>
    <row r="5144" customFormat="false" ht="12.8" hidden="false" customHeight="false" outlineLevel="0" collapsed="false">
      <c r="A5144" s="0" t="s">
        <v>12</v>
      </c>
      <c r="B5144" s="0" t="n">
        <v>1436786</v>
      </c>
      <c r="C5144" s="0" t="n">
        <v>1436806</v>
      </c>
      <c r="D5144" s="0" t="s">
        <v>17221</v>
      </c>
      <c r="E5144" s="0" t="s">
        <v>17222</v>
      </c>
      <c r="F5144" s="0" t="s">
        <v>15</v>
      </c>
      <c r="G5144" s="0" t="s">
        <v>36</v>
      </c>
      <c r="H5144" s="0" t="n">
        <v>58</v>
      </c>
      <c r="I5144" s="0" t="s">
        <v>17229</v>
      </c>
      <c r="J5144" s="0" t="s">
        <v>17230</v>
      </c>
      <c r="K5144" s="0" t="s">
        <v>17231</v>
      </c>
      <c r="L5144" s="0" t="str">
        <f aca="false">HYPERLINK("https://www.ncbi.nlm.nih.gov/nuccore/CP000304.1?report=graph&amp;tracks=[key:gene_model_track,Options:GeneOnly]&amp;mk=1436738:1436757|offset_9|444444,1436762:1436781|offset_33|444444,1436787:1436806|offset_58|00cc00,1436820:1436839|offset_91|444444&amp;v=1436537:1437039&amp;c=444444", "offset 58")</f>
        <v>offset 58</v>
      </c>
    </row>
    <row r="5145" customFormat="false" ht="12.8" hidden="false" customHeight="false" outlineLevel="0" collapsed="false">
      <c r="A5145" s="0" t="s">
        <v>12</v>
      </c>
      <c r="B5145" s="0" t="n">
        <v>1436819</v>
      </c>
      <c r="C5145" s="0" t="n">
        <v>1436839</v>
      </c>
      <c r="D5145" s="0" t="s">
        <v>17221</v>
      </c>
      <c r="E5145" s="0" t="s">
        <v>17222</v>
      </c>
      <c r="F5145" s="0" t="s">
        <v>15</v>
      </c>
      <c r="G5145" s="0" t="s">
        <v>16</v>
      </c>
      <c r="H5145" s="0" t="n">
        <v>91</v>
      </c>
      <c r="I5145" s="0" t="s">
        <v>17232</v>
      </c>
      <c r="J5145" s="0" t="s">
        <v>17233</v>
      </c>
      <c r="K5145" s="0" t="s">
        <v>17234</v>
      </c>
      <c r="L5145" s="0" t="str">
        <f aca="false">HYPERLINK("https://www.ncbi.nlm.nih.gov/nuccore/CP000304.1?report=graph&amp;tracks=[key:gene_model_track,Options:GeneOnly]&amp;mk=1436738:1436757|offset_9|444444,1436762:1436781|offset_33|444444,1436787:1436806|offset_58|444444,1436820:1436839|offset_91|00cc00&amp;v=1436537:1437039&amp;c=444444", "offset 91")</f>
        <v>offset 91</v>
      </c>
    </row>
    <row r="5146" customFormat="false" ht="12.8" hidden="false" customHeight="false" outlineLevel="0" collapsed="false">
      <c r="A5146" s="0" t="s">
        <v>12</v>
      </c>
      <c r="B5146" s="0" t="n">
        <v>1437475</v>
      </c>
      <c r="C5146" s="0" t="n">
        <v>1437495</v>
      </c>
      <c r="D5146" s="0" t="s">
        <v>17235</v>
      </c>
      <c r="E5146" s="0" t="s">
        <v>89</v>
      </c>
      <c r="F5146" s="0" t="s">
        <v>15</v>
      </c>
      <c r="G5146" s="0" t="s">
        <v>36</v>
      </c>
      <c r="H5146" s="0" t="n">
        <v>16</v>
      </c>
      <c r="I5146" s="0" t="s">
        <v>17236</v>
      </c>
      <c r="J5146" s="0" t="s">
        <v>17237</v>
      </c>
      <c r="K5146" s="0" t="s">
        <v>17238</v>
      </c>
      <c r="L5146" s="0" t="str">
        <f aca="false">HYPERLINK("https://www.ncbi.nlm.nih.gov/nuccore/CP000304.1?report=graph&amp;tracks=[key:gene_model_track,Options:GeneOnly]&amp;mk=1437476:1437495|offset_16|00cc00,1437498:1437517|offset_38|444444,1437536:1437555|offset_76|444444,1437556:1437575|offset_96|444444&amp;v=1437275:1437775&amp;c=444444", "offset 16")</f>
        <v>offset 16</v>
      </c>
    </row>
    <row r="5147" customFormat="false" ht="12.8" hidden="false" customHeight="false" outlineLevel="0" collapsed="false">
      <c r="A5147" s="0" t="s">
        <v>12</v>
      </c>
      <c r="B5147" s="0" t="n">
        <v>1437497</v>
      </c>
      <c r="C5147" s="0" t="n">
        <v>1437517</v>
      </c>
      <c r="D5147" s="0" t="s">
        <v>17235</v>
      </c>
      <c r="E5147" s="0" t="s">
        <v>89</v>
      </c>
      <c r="F5147" s="0" t="s">
        <v>15</v>
      </c>
      <c r="G5147" s="0" t="s">
        <v>32</v>
      </c>
      <c r="H5147" s="0" t="n">
        <v>38</v>
      </c>
      <c r="I5147" s="0" t="s">
        <v>17239</v>
      </c>
      <c r="J5147" s="0" t="s">
        <v>17240</v>
      </c>
      <c r="K5147" s="0" t="s">
        <v>17241</v>
      </c>
      <c r="L5147" s="0" t="str">
        <f aca="false">HYPERLINK("https://www.ncbi.nlm.nih.gov/nuccore/CP000304.1?report=graph&amp;tracks=[key:gene_model_track,Options:GeneOnly]&amp;mk=1437476:1437495|offset_16|444444,1437498:1437517|offset_38|00cc00,1437536:1437555|offset_76|444444,1437556:1437575|offset_96|444444&amp;v=1437275:1437775&amp;c=444444", "offset 38")</f>
        <v>offset 38</v>
      </c>
    </row>
    <row r="5148" customFormat="false" ht="12.8" hidden="false" customHeight="false" outlineLevel="0" collapsed="false">
      <c r="A5148" s="0" t="s">
        <v>12</v>
      </c>
      <c r="B5148" s="0" t="n">
        <v>1437535</v>
      </c>
      <c r="C5148" s="0" t="n">
        <v>1437555</v>
      </c>
      <c r="D5148" s="0" t="s">
        <v>17235</v>
      </c>
      <c r="E5148" s="0" t="s">
        <v>89</v>
      </c>
      <c r="F5148" s="0" t="s">
        <v>15</v>
      </c>
      <c r="G5148" s="0" t="s">
        <v>32</v>
      </c>
      <c r="H5148" s="0" t="n">
        <v>76</v>
      </c>
      <c r="I5148" s="0" t="s">
        <v>17242</v>
      </c>
      <c r="J5148" s="0" t="s">
        <v>17243</v>
      </c>
      <c r="K5148" s="0" t="s">
        <v>17244</v>
      </c>
      <c r="L5148" s="0" t="str">
        <f aca="false">HYPERLINK("https://www.ncbi.nlm.nih.gov/nuccore/CP000304.1?report=graph&amp;tracks=[key:gene_model_track,Options:GeneOnly]&amp;mk=1437476:1437495|offset_16|444444,1437498:1437517|offset_38|444444,1437536:1437555|offset_76|00cc00,1437556:1437575|offset_96|444444&amp;v=1437275:1437775&amp;c=444444", "offset 76")</f>
        <v>offset 76</v>
      </c>
    </row>
    <row r="5149" customFormat="false" ht="12.8" hidden="false" customHeight="false" outlineLevel="0" collapsed="false">
      <c r="A5149" s="0" t="s">
        <v>12</v>
      </c>
      <c r="B5149" s="0" t="n">
        <v>1437555</v>
      </c>
      <c r="C5149" s="0" t="n">
        <v>1437575</v>
      </c>
      <c r="D5149" s="0" t="s">
        <v>17235</v>
      </c>
      <c r="E5149" s="0" t="s">
        <v>89</v>
      </c>
      <c r="F5149" s="0" t="s">
        <v>15</v>
      </c>
      <c r="G5149" s="0" t="s">
        <v>26</v>
      </c>
      <c r="H5149" s="0" t="n">
        <v>96</v>
      </c>
      <c r="I5149" s="0" t="s">
        <v>17245</v>
      </c>
      <c r="J5149" s="0" t="s">
        <v>17246</v>
      </c>
      <c r="K5149" s="0" t="s">
        <v>17247</v>
      </c>
      <c r="L5149" s="0" t="str">
        <f aca="false">HYPERLINK("https://www.ncbi.nlm.nih.gov/nuccore/CP000304.1?report=graph&amp;tracks=[key:gene_model_track,Options:GeneOnly]&amp;mk=1437476:1437495|offset_16|444444,1437498:1437517|offset_38|444444,1437536:1437555|offset_76|444444,1437556:1437575|offset_96|00cc00&amp;v=1437275:1437775&amp;c=444444", "offset 96")</f>
        <v>offset 96</v>
      </c>
    </row>
    <row r="5150" customFormat="false" ht="12.8" hidden="false" customHeight="false" outlineLevel="0" collapsed="false">
      <c r="A5150" s="0" t="s">
        <v>12</v>
      </c>
      <c r="B5150" s="0" t="n">
        <v>1437992</v>
      </c>
      <c r="C5150" s="0" t="n">
        <v>1438012</v>
      </c>
      <c r="D5150" s="0" t="s">
        <v>17248</v>
      </c>
      <c r="E5150" s="0" t="s">
        <v>89</v>
      </c>
      <c r="F5150" s="0" t="s">
        <v>15</v>
      </c>
      <c r="G5150" s="0" t="s">
        <v>32</v>
      </c>
      <c r="H5150" s="0" t="n">
        <v>8</v>
      </c>
      <c r="I5150" s="0" t="s">
        <v>17249</v>
      </c>
      <c r="J5150" s="0" t="s">
        <v>17250</v>
      </c>
      <c r="K5150" s="0" t="s">
        <v>17251</v>
      </c>
      <c r="L5150" s="0" t="str">
        <f aca="false">HYPERLINK("https://www.ncbi.nlm.nih.gov/nuccore/CP000304.1?report=graph&amp;tracks=[key:gene_model_track,Options:GeneOnly]&amp;mk=1437993:1438012|offset_8|00cc00,1438022:1438041|offset_37|444444,1438050:1438069|offset_65|444444,1438071:1438090|offset_86|444444&amp;v=1437792:1438290&amp;c=444444", "offset 8")</f>
        <v>offset 8</v>
      </c>
    </row>
    <row r="5151" customFormat="false" ht="12.8" hidden="false" customHeight="false" outlineLevel="0" collapsed="false">
      <c r="A5151" s="0" t="s">
        <v>12</v>
      </c>
      <c r="B5151" s="0" t="n">
        <v>1438021</v>
      </c>
      <c r="C5151" s="0" t="n">
        <v>1438041</v>
      </c>
      <c r="D5151" s="0" t="s">
        <v>17248</v>
      </c>
      <c r="E5151" s="0" t="s">
        <v>89</v>
      </c>
      <c r="F5151" s="0" t="s">
        <v>15</v>
      </c>
      <c r="G5151" s="0" t="s">
        <v>16</v>
      </c>
      <c r="H5151" s="0" t="n">
        <v>37</v>
      </c>
      <c r="I5151" s="0" t="s">
        <v>17252</v>
      </c>
      <c r="J5151" s="0" t="s">
        <v>17253</v>
      </c>
      <c r="K5151" s="0" t="s">
        <v>17254</v>
      </c>
      <c r="L5151" s="0" t="str">
        <f aca="false">HYPERLINK("https://www.ncbi.nlm.nih.gov/nuccore/CP000304.1?report=graph&amp;tracks=[key:gene_model_track,Options:GeneOnly]&amp;mk=1437993:1438012|offset_8|444444,1438022:1438041|offset_37|00cc00,1438050:1438069|offset_65|444444,1438071:1438090|offset_86|444444&amp;v=1437792:1438290&amp;c=444444", "offset 37")</f>
        <v>offset 37</v>
      </c>
    </row>
    <row r="5152" customFormat="false" ht="12.8" hidden="false" customHeight="false" outlineLevel="0" collapsed="false">
      <c r="A5152" s="0" t="s">
        <v>12</v>
      </c>
      <c r="B5152" s="0" t="n">
        <v>1438049</v>
      </c>
      <c r="C5152" s="0" t="n">
        <v>1438069</v>
      </c>
      <c r="D5152" s="0" t="s">
        <v>17248</v>
      </c>
      <c r="E5152" s="0" t="s">
        <v>89</v>
      </c>
      <c r="F5152" s="0" t="s">
        <v>15</v>
      </c>
      <c r="G5152" s="0" t="s">
        <v>26</v>
      </c>
      <c r="H5152" s="0" t="n">
        <v>65</v>
      </c>
      <c r="I5152" s="0" t="s">
        <v>17255</v>
      </c>
      <c r="J5152" s="0" t="s">
        <v>17256</v>
      </c>
      <c r="K5152" s="0" t="s">
        <v>17257</v>
      </c>
      <c r="L5152" s="0" t="str">
        <f aca="false">HYPERLINK("https://www.ncbi.nlm.nih.gov/nuccore/CP000304.1?report=graph&amp;tracks=[key:gene_model_track,Options:GeneOnly]&amp;mk=1437993:1438012|offset_8|444444,1438022:1438041|offset_37|444444,1438050:1438069|offset_65|00cc00,1438071:1438090|offset_86|444444&amp;v=1437792:1438290&amp;c=444444", "offset 65")</f>
        <v>offset 65</v>
      </c>
    </row>
    <row r="5153" customFormat="false" ht="12.8" hidden="false" customHeight="false" outlineLevel="0" collapsed="false">
      <c r="A5153" s="0" t="s">
        <v>12</v>
      </c>
      <c r="B5153" s="0" t="n">
        <v>1438070</v>
      </c>
      <c r="C5153" s="0" t="n">
        <v>1438090</v>
      </c>
      <c r="D5153" s="0" t="s">
        <v>17248</v>
      </c>
      <c r="E5153" s="0" t="s">
        <v>89</v>
      </c>
      <c r="F5153" s="0" t="s">
        <v>15</v>
      </c>
      <c r="G5153" s="0" t="s">
        <v>36</v>
      </c>
      <c r="H5153" s="0" t="n">
        <v>86</v>
      </c>
      <c r="I5153" s="0" t="s">
        <v>17258</v>
      </c>
      <c r="J5153" s="0" t="s">
        <v>17259</v>
      </c>
      <c r="K5153" s="0" t="s">
        <v>17260</v>
      </c>
      <c r="L5153" s="0" t="str">
        <f aca="false">HYPERLINK("https://www.ncbi.nlm.nih.gov/nuccore/CP000304.1?report=graph&amp;tracks=[key:gene_model_track,Options:GeneOnly]&amp;mk=1437993:1438012|offset_8|444444,1438022:1438041|offset_37|444444,1438050:1438069|offset_65|444444,1438071:1438090|offset_86|00cc00&amp;v=1437792:1438290&amp;c=444444", "offset 86")</f>
        <v>offset 86</v>
      </c>
    </row>
    <row r="5154" customFormat="false" ht="12.8" hidden="false" customHeight="false" outlineLevel="0" collapsed="false">
      <c r="A5154" s="0" t="s">
        <v>12</v>
      </c>
      <c r="B5154" s="0" t="n">
        <v>1438920</v>
      </c>
      <c r="C5154" s="0" t="n">
        <v>1438940</v>
      </c>
      <c r="D5154" s="0" t="s">
        <v>17261</v>
      </c>
      <c r="E5154" s="0" t="s">
        <v>17262</v>
      </c>
      <c r="F5154" s="0" t="s">
        <v>15</v>
      </c>
      <c r="G5154" s="0" t="s">
        <v>36</v>
      </c>
      <c r="H5154" s="0" t="n">
        <v>39</v>
      </c>
      <c r="I5154" s="0" t="s">
        <v>17263</v>
      </c>
      <c r="J5154" s="0" t="s">
        <v>17264</v>
      </c>
      <c r="K5154" s="0" t="s">
        <v>17265</v>
      </c>
      <c r="L5154" s="0" t="str">
        <f aca="false">HYPERLINK("https://www.ncbi.nlm.nih.gov/nuccore/CP000304.1?report=graph&amp;tracks=[key:gene_model_track,Options:GeneOnly]&amp;mk=1438921:1438940|offset_39|00cc00,1438972:1438991|offset_90|444444,1438997:1439016|offset_115|444444,1439033:1439052|offset_151|444444&amp;v=1438720:1439252&amp;c=444444", "offset 39")</f>
        <v>offset 39</v>
      </c>
    </row>
    <row r="5155" customFormat="false" ht="12.8" hidden="false" customHeight="false" outlineLevel="0" collapsed="false">
      <c r="A5155" s="0" t="s">
        <v>12</v>
      </c>
      <c r="B5155" s="0" t="n">
        <v>1438971</v>
      </c>
      <c r="C5155" s="0" t="n">
        <v>1438991</v>
      </c>
      <c r="D5155" s="0" t="s">
        <v>17261</v>
      </c>
      <c r="E5155" s="0" t="s">
        <v>17262</v>
      </c>
      <c r="F5155" s="0" t="s">
        <v>15</v>
      </c>
      <c r="G5155" s="0" t="s">
        <v>16</v>
      </c>
      <c r="H5155" s="0" t="n">
        <v>90</v>
      </c>
      <c r="I5155" s="0" t="s">
        <v>17266</v>
      </c>
      <c r="J5155" s="0" t="s">
        <v>17267</v>
      </c>
      <c r="K5155" s="0" t="s">
        <v>17268</v>
      </c>
      <c r="L5155" s="0" t="str">
        <f aca="false">HYPERLINK("https://www.ncbi.nlm.nih.gov/nuccore/CP000304.1?report=graph&amp;tracks=[key:gene_model_track,Options:GeneOnly]&amp;mk=1438921:1438940|offset_39|444444,1438972:1438991|offset_90|00cc00,1438997:1439016|offset_115|444444,1439033:1439052|offset_151|444444&amp;v=1438720:1439252&amp;c=444444", "offset 90")</f>
        <v>offset 90</v>
      </c>
    </row>
    <row r="5156" customFormat="false" ht="12.8" hidden="false" customHeight="false" outlineLevel="0" collapsed="false">
      <c r="A5156" s="0" t="s">
        <v>12</v>
      </c>
      <c r="B5156" s="0" t="n">
        <v>1438996</v>
      </c>
      <c r="C5156" s="0" t="n">
        <v>1439016</v>
      </c>
      <c r="D5156" s="0" t="s">
        <v>17261</v>
      </c>
      <c r="E5156" s="0" t="s">
        <v>17262</v>
      </c>
      <c r="F5156" s="0" t="s">
        <v>15</v>
      </c>
      <c r="G5156" s="0" t="s">
        <v>26</v>
      </c>
      <c r="H5156" s="0" t="n">
        <v>115</v>
      </c>
      <c r="I5156" s="0" t="s">
        <v>17269</v>
      </c>
      <c r="J5156" s="0" t="s">
        <v>17270</v>
      </c>
      <c r="K5156" s="0" t="s">
        <v>17271</v>
      </c>
      <c r="L5156" s="0" t="str">
        <f aca="false">HYPERLINK("https://www.ncbi.nlm.nih.gov/nuccore/CP000304.1?report=graph&amp;tracks=[key:gene_model_track,Options:GeneOnly]&amp;mk=1438921:1438940|offset_39|444444,1438972:1438991|offset_90|444444,1438997:1439016|offset_115|00cc00,1439033:1439052|offset_151|444444&amp;v=1438720:1439252&amp;c=444444", "offset 115")</f>
        <v>offset 115</v>
      </c>
    </row>
    <row r="5157" customFormat="false" ht="12.8" hidden="false" customHeight="false" outlineLevel="0" collapsed="false">
      <c r="A5157" s="0" t="s">
        <v>12</v>
      </c>
      <c r="B5157" s="0" t="n">
        <v>1439032</v>
      </c>
      <c r="C5157" s="0" t="n">
        <v>1439052</v>
      </c>
      <c r="D5157" s="0" t="s">
        <v>17261</v>
      </c>
      <c r="E5157" s="0" t="s">
        <v>17262</v>
      </c>
      <c r="F5157" s="0" t="s">
        <v>15</v>
      </c>
      <c r="G5157" s="0" t="s">
        <v>16</v>
      </c>
      <c r="H5157" s="0" t="n">
        <v>151</v>
      </c>
      <c r="I5157" s="0" t="s">
        <v>17272</v>
      </c>
      <c r="J5157" s="0" t="s">
        <v>17273</v>
      </c>
      <c r="K5157" s="0" t="s">
        <v>17274</v>
      </c>
      <c r="L5157" s="0" t="str">
        <f aca="false">HYPERLINK("https://www.ncbi.nlm.nih.gov/nuccore/CP000304.1?report=graph&amp;tracks=[key:gene_model_track,Options:GeneOnly]&amp;mk=1438921:1438940|offset_39|444444,1438972:1438991|offset_90|444444,1438997:1439016|offset_115|444444,1439033:1439052|offset_151|00cc00&amp;v=1438720:1439252&amp;c=444444", "offset 151")</f>
        <v>offset 151</v>
      </c>
    </row>
    <row r="5158" customFormat="false" ht="12.8" hidden="false" customHeight="false" outlineLevel="0" collapsed="false">
      <c r="A5158" s="0" t="s">
        <v>12</v>
      </c>
      <c r="B5158" s="0" t="n">
        <v>1440330</v>
      </c>
      <c r="C5158" s="0" t="n">
        <v>1440350</v>
      </c>
      <c r="D5158" s="0" t="s">
        <v>17275</v>
      </c>
      <c r="E5158" s="0" t="s">
        <v>17276</v>
      </c>
      <c r="F5158" s="0" t="s">
        <v>15</v>
      </c>
      <c r="G5158" s="0" t="s">
        <v>16</v>
      </c>
      <c r="H5158" s="0" t="n">
        <v>20</v>
      </c>
      <c r="I5158" s="0" t="s">
        <v>17277</v>
      </c>
      <c r="J5158" s="0" t="s">
        <v>17278</v>
      </c>
      <c r="K5158" s="0" t="s">
        <v>17279</v>
      </c>
      <c r="L5158" s="0" t="str">
        <f aca="false">HYPERLINK("https://www.ncbi.nlm.nih.gov/nuccore/CP000304.1?report=graph&amp;tracks=[key:gene_model_track,Options:GeneOnly]&amp;mk=1440331:1440350|offset_20|00cc00,1440355:1440374|offset_44|444444,1440375:1440394|offset_64|444444,1440397:1440416|offset_86|444444&amp;v=1440130:1440616&amp;c=444444", "offset 20")</f>
        <v>offset 20</v>
      </c>
    </row>
    <row r="5159" customFormat="false" ht="12.8" hidden="false" customHeight="false" outlineLevel="0" collapsed="false">
      <c r="A5159" s="0" t="s">
        <v>12</v>
      </c>
      <c r="B5159" s="0" t="n">
        <v>1440354</v>
      </c>
      <c r="C5159" s="0" t="n">
        <v>1440374</v>
      </c>
      <c r="D5159" s="0" t="s">
        <v>17275</v>
      </c>
      <c r="E5159" s="0" t="s">
        <v>17276</v>
      </c>
      <c r="F5159" s="0" t="s">
        <v>15</v>
      </c>
      <c r="G5159" s="0" t="s">
        <v>36</v>
      </c>
      <c r="H5159" s="0" t="n">
        <v>44</v>
      </c>
      <c r="I5159" s="0" t="s">
        <v>17280</v>
      </c>
      <c r="J5159" s="0" t="s">
        <v>17281</v>
      </c>
      <c r="K5159" s="0" t="s">
        <v>17282</v>
      </c>
      <c r="L5159" s="0" t="str">
        <f aca="false">HYPERLINK("https://www.ncbi.nlm.nih.gov/nuccore/CP000304.1?report=graph&amp;tracks=[key:gene_model_track,Options:GeneOnly]&amp;mk=1440331:1440350|offset_20|444444,1440355:1440374|offset_44|00cc00,1440375:1440394|offset_64|444444,1440397:1440416|offset_86|444444&amp;v=1440130:1440616&amp;c=444444", "offset 44")</f>
        <v>offset 44</v>
      </c>
    </row>
    <row r="5160" customFormat="false" ht="12.8" hidden="false" customHeight="false" outlineLevel="0" collapsed="false">
      <c r="A5160" s="0" t="s">
        <v>12</v>
      </c>
      <c r="B5160" s="0" t="n">
        <v>1440374</v>
      </c>
      <c r="C5160" s="0" t="n">
        <v>1440394</v>
      </c>
      <c r="D5160" s="0" t="s">
        <v>17275</v>
      </c>
      <c r="E5160" s="0" t="s">
        <v>17276</v>
      </c>
      <c r="F5160" s="0" t="s">
        <v>15</v>
      </c>
      <c r="G5160" s="0" t="s">
        <v>32</v>
      </c>
      <c r="H5160" s="0" t="n">
        <v>64</v>
      </c>
      <c r="I5160" s="0" t="s">
        <v>17283</v>
      </c>
      <c r="J5160" s="0" t="s">
        <v>17284</v>
      </c>
      <c r="K5160" s="0" t="s">
        <v>17285</v>
      </c>
      <c r="L5160" s="0" t="str">
        <f aca="false">HYPERLINK("https://www.ncbi.nlm.nih.gov/nuccore/CP000304.1?report=graph&amp;tracks=[key:gene_model_track,Options:GeneOnly]&amp;mk=1440331:1440350|offset_20|444444,1440355:1440374|offset_44|444444,1440375:1440394|offset_64|00cc00,1440397:1440416|offset_86|444444&amp;v=1440130:1440616&amp;c=444444", "offset 64")</f>
        <v>offset 64</v>
      </c>
    </row>
    <row r="5161" customFormat="false" ht="12.8" hidden="false" customHeight="false" outlineLevel="0" collapsed="false">
      <c r="A5161" s="0" t="s">
        <v>12</v>
      </c>
      <c r="B5161" s="0" t="n">
        <v>1440396</v>
      </c>
      <c r="C5161" s="0" t="n">
        <v>1440416</v>
      </c>
      <c r="D5161" s="0" t="s">
        <v>17275</v>
      </c>
      <c r="E5161" s="0" t="s">
        <v>17276</v>
      </c>
      <c r="F5161" s="0" t="s">
        <v>15</v>
      </c>
      <c r="G5161" s="0" t="s">
        <v>26</v>
      </c>
      <c r="H5161" s="0" t="n">
        <v>86</v>
      </c>
      <c r="I5161" s="0" t="s">
        <v>17286</v>
      </c>
      <c r="J5161" s="0" t="s">
        <v>17287</v>
      </c>
      <c r="K5161" s="0" t="s">
        <v>17288</v>
      </c>
      <c r="L5161" s="0" t="str">
        <f aca="false">HYPERLINK("https://www.ncbi.nlm.nih.gov/nuccore/CP000304.1?report=graph&amp;tracks=[key:gene_model_track,Options:GeneOnly]&amp;mk=1440331:1440350|offset_20|444444,1440355:1440374|offset_44|444444,1440375:1440394|offset_64|444444,1440397:1440416|offset_86|00cc00&amp;v=1440130:1440616&amp;c=444444", "offset 86")</f>
        <v>offset 86</v>
      </c>
    </row>
    <row r="5162" customFormat="false" ht="12.8" hidden="false" customHeight="false" outlineLevel="0" collapsed="false">
      <c r="A5162" s="0" t="s">
        <v>12</v>
      </c>
      <c r="B5162" s="0" t="n">
        <v>1441691</v>
      </c>
      <c r="C5162" s="0" t="n">
        <v>1441711</v>
      </c>
      <c r="D5162" s="0" t="s">
        <v>17289</v>
      </c>
      <c r="E5162" s="0" t="s">
        <v>17290</v>
      </c>
      <c r="F5162" s="0" t="s">
        <v>15</v>
      </c>
      <c r="G5162" s="0" t="s">
        <v>32</v>
      </c>
      <c r="H5162" s="0" t="n">
        <v>1</v>
      </c>
      <c r="I5162" s="0" t="s">
        <v>17291</v>
      </c>
      <c r="J5162" s="0" t="s">
        <v>17292</v>
      </c>
      <c r="K5162" s="0" t="s">
        <v>17293</v>
      </c>
      <c r="L5162" s="0" t="str">
        <f aca="false">HYPERLINK("https://www.ncbi.nlm.nih.gov/nuccore/CP000304.1?report=graph&amp;tracks=[key:gene_model_track,Options:GeneOnly]&amp;mk=1441692:1441711|offset_1|00cc00,1441761:1441780|offset_70|444444,1441792:1441811|offset_101|444444,1441837:1441856|offset_146|444444&amp;v=1441491:1442056&amp;c=444444", "offset 1")</f>
        <v>offset 1</v>
      </c>
    </row>
    <row r="5163" customFormat="false" ht="12.8" hidden="false" customHeight="false" outlineLevel="0" collapsed="false">
      <c r="A5163" s="0" t="s">
        <v>12</v>
      </c>
      <c r="B5163" s="0" t="n">
        <v>1441760</v>
      </c>
      <c r="C5163" s="0" t="n">
        <v>1441780</v>
      </c>
      <c r="D5163" s="0" t="s">
        <v>17289</v>
      </c>
      <c r="E5163" s="0" t="s">
        <v>17290</v>
      </c>
      <c r="F5163" s="0" t="s">
        <v>15</v>
      </c>
      <c r="G5163" s="0" t="s">
        <v>26</v>
      </c>
      <c r="H5163" s="0" t="n">
        <v>70</v>
      </c>
      <c r="I5163" s="0" t="s">
        <v>17294</v>
      </c>
      <c r="J5163" s="0" t="s">
        <v>17295</v>
      </c>
      <c r="K5163" s="0" t="s">
        <v>17296</v>
      </c>
      <c r="L5163" s="0" t="str">
        <f aca="false">HYPERLINK("https://www.ncbi.nlm.nih.gov/nuccore/CP000304.1?report=graph&amp;tracks=[key:gene_model_track,Options:GeneOnly]&amp;mk=1441692:1441711|offset_1|444444,1441761:1441780|offset_70|00cc00,1441792:1441811|offset_101|444444,1441837:1441856|offset_146|444444&amp;v=1441491:1442056&amp;c=444444", "offset 70")</f>
        <v>offset 70</v>
      </c>
    </row>
    <row r="5164" customFormat="false" ht="12.8" hidden="false" customHeight="false" outlineLevel="0" collapsed="false">
      <c r="A5164" s="0" t="s">
        <v>12</v>
      </c>
      <c r="B5164" s="0" t="n">
        <v>1441791</v>
      </c>
      <c r="C5164" s="0" t="n">
        <v>1441811</v>
      </c>
      <c r="D5164" s="0" t="s">
        <v>17289</v>
      </c>
      <c r="E5164" s="0" t="s">
        <v>17290</v>
      </c>
      <c r="F5164" s="0" t="s">
        <v>15</v>
      </c>
      <c r="G5164" s="0" t="s">
        <v>32</v>
      </c>
      <c r="H5164" s="0" t="n">
        <v>101</v>
      </c>
      <c r="I5164" s="0" t="s">
        <v>17297</v>
      </c>
      <c r="J5164" s="0" t="s">
        <v>17298</v>
      </c>
      <c r="K5164" s="0" t="s">
        <v>17299</v>
      </c>
      <c r="L5164" s="0" t="str">
        <f aca="false">HYPERLINK("https://www.ncbi.nlm.nih.gov/nuccore/CP000304.1?report=graph&amp;tracks=[key:gene_model_track,Options:GeneOnly]&amp;mk=1441692:1441711|offset_1|444444,1441761:1441780|offset_70|444444,1441792:1441811|offset_101|00cc00,1441837:1441856|offset_146|444444&amp;v=1441491:1442056&amp;c=444444", "offset 101")</f>
        <v>offset 101</v>
      </c>
    </row>
    <row r="5165" customFormat="false" ht="12.8" hidden="false" customHeight="false" outlineLevel="0" collapsed="false">
      <c r="A5165" s="0" t="s">
        <v>12</v>
      </c>
      <c r="B5165" s="0" t="n">
        <v>1441836</v>
      </c>
      <c r="C5165" s="0" t="n">
        <v>1441856</v>
      </c>
      <c r="D5165" s="0" t="s">
        <v>17289</v>
      </c>
      <c r="E5165" s="0" t="s">
        <v>17290</v>
      </c>
      <c r="F5165" s="0" t="s">
        <v>15</v>
      </c>
      <c r="G5165" s="0" t="s">
        <v>36</v>
      </c>
      <c r="H5165" s="0" t="n">
        <v>146</v>
      </c>
      <c r="I5165" s="0" t="s">
        <v>17300</v>
      </c>
      <c r="J5165" s="0" t="s">
        <v>17301</v>
      </c>
      <c r="K5165" s="0" t="s">
        <v>17302</v>
      </c>
      <c r="L5165" s="0" t="str">
        <f aca="false">HYPERLINK("https://www.ncbi.nlm.nih.gov/nuccore/CP000304.1?report=graph&amp;tracks=[key:gene_model_track,Options:GeneOnly]&amp;mk=1441692:1441711|offset_1|444444,1441761:1441780|offset_70|444444,1441792:1441811|offset_101|444444,1441837:1441856|offset_146|00cc00&amp;v=1441491:1442056&amp;c=444444", "offset 146")</f>
        <v>offset 146</v>
      </c>
    </row>
    <row r="5166" customFormat="false" ht="12.8" hidden="false" customHeight="false" outlineLevel="0" collapsed="false">
      <c r="A5166" s="0" t="s">
        <v>12</v>
      </c>
      <c r="B5166" s="0" t="n">
        <v>1442241</v>
      </c>
      <c r="C5166" s="0" t="n">
        <v>1442261</v>
      </c>
      <c r="D5166" s="0" t="s">
        <v>17303</v>
      </c>
      <c r="E5166" s="0" t="s">
        <v>89</v>
      </c>
      <c r="F5166" s="0" t="s">
        <v>15</v>
      </c>
      <c r="G5166" s="0" t="s">
        <v>36</v>
      </c>
      <c r="H5166" s="0" t="n">
        <v>43</v>
      </c>
      <c r="I5166" s="0" t="s">
        <v>17304</v>
      </c>
      <c r="J5166" s="0" t="s">
        <v>17305</v>
      </c>
      <c r="K5166" s="0" t="s">
        <v>17306</v>
      </c>
      <c r="L5166" s="0" t="str">
        <f aca="false">HYPERLINK("https://www.ncbi.nlm.nih.gov/nuccore/CP000304.1?report=graph&amp;tracks=[key:gene_model_track,Options:GeneOnly]&amp;mk=1442242:1442261|offset_43|00cc00,1442293:1442312|offset_94|444444,1442320:1442339|offset_121|444444,1442345:1442364|offset_146|444444&amp;v=1442041:1442564&amp;c=444444", "offset 43")</f>
        <v>offset 43</v>
      </c>
    </row>
    <row r="5167" customFormat="false" ht="12.8" hidden="false" customHeight="false" outlineLevel="0" collapsed="false">
      <c r="A5167" s="0" t="s">
        <v>12</v>
      </c>
      <c r="B5167" s="0" t="n">
        <v>1442292</v>
      </c>
      <c r="C5167" s="0" t="n">
        <v>1442312</v>
      </c>
      <c r="D5167" s="0" t="s">
        <v>17303</v>
      </c>
      <c r="E5167" s="0" t="s">
        <v>89</v>
      </c>
      <c r="F5167" s="0" t="s">
        <v>15</v>
      </c>
      <c r="G5167" s="0" t="s">
        <v>32</v>
      </c>
      <c r="H5167" s="0" t="n">
        <v>94</v>
      </c>
      <c r="I5167" s="0" t="s">
        <v>17307</v>
      </c>
      <c r="J5167" s="0" t="s">
        <v>17308</v>
      </c>
      <c r="K5167" s="0" t="s">
        <v>17309</v>
      </c>
      <c r="L5167" s="0" t="str">
        <f aca="false">HYPERLINK("https://www.ncbi.nlm.nih.gov/nuccore/CP000304.1?report=graph&amp;tracks=[key:gene_model_track,Options:GeneOnly]&amp;mk=1442242:1442261|offset_43|444444,1442293:1442312|offset_94|00cc00,1442320:1442339|offset_121|444444,1442345:1442364|offset_146|444444&amp;v=1442041:1442564&amp;c=444444", "offset 94")</f>
        <v>offset 94</v>
      </c>
    </row>
    <row r="5168" customFormat="false" ht="12.8" hidden="false" customHeight="false" outlineLevel="0" collapsed="false">
      <c r="A5168" s="0" t="s">
        <v>12</v>
      </c>
      <c r="B5168" s="0" t="n">
        <v>1442319</v>
      </c>
      <c r="C5168" s="0" t="n">
        <v>1442339</v>
      </c>
      <c r="D5168" s="0" t="s">
        <v>17303</v>
      </c>
      <c r="E5168" s="0" t="s">
        <v>89</v>
      </c>
      <c r="F5168" s="0" t="s">
        <v>15</v>
      </c>
      <c r="G5168" s="0" t="s">
        <v>26</v>
      </c>
      <c r="H5168" s="0" t="n">
        <v>121</v>
      </c>
      <c r="I5168" s="0" t="s">
        <v>17310</v>
      </c>
      <c r="J5168" s="0" t="s">
        <v>17311</v>
      </c>
      <c r="K5168" s="0" t="s">
        <v>17312</v>
      </c>
      <c r="L5168" s="0" t="str">
        <f aca="false">HYPERLINK("https://www.ncbi.nlm.nih.gov/nuccore/CP000304.1?report=graph&amp;tracks=[key:gene_model_track,Options:GeneOnly]&amp;mk=1442242:1442261|offset_43|444444,1442293:1442312|offset_94|444444,1442320:1442339|offset_121|00cc00,1442345:1442364|offset_146|444444&amp;v=1442041:1442564&amp;c=444444", "offset 121")</f>
        <v>offset 121</v>
      </c>
    </row>
    <row r="5169" customFormat="false" ht="12.8" hidden="false" customHeight="false" outlineLevel="0" collapsed="false">
      <c r="A5169" s="0" t="s">
        <v>12</v>
      </c>
      <c r="B5169" s="0" t="n">
        <v>1442344</v>
      </c>
      <c r="C5169" s="0" t="n">
        <v>1442364</v>
      </c>
      <c r="D5169" s="0" t="s">
        <v>17303</v>
      </c>
      <c r="E5169" s="0" t="s">
        <v>89</v>
      </c>
      <c r="F5169" s="0" t="s">
        <v>15</v>
      </c>
      <c r="G5169" s="0" t="s">
        <v>36</v>
      </c>
      <c r="H5169" s="0" t="n">
        <v>146</v>
      </c>
      <c r="I5169" s="0" t="s">
        <v>17313</v>
      </c>
      <c r="J5169" s="0" t="s">
        <v>17314</v>
      </c>
      <c r="K5169" s="0" t="s">
        <v>17315</v>
      </c>
      <c r="L5169" s="0" t="str">
        <f aca="false">HYPERLINK("https://www.ncbi.nlm.nih.gov/nuccore/CP000304.1?report=graph&amp;tracks=[key:gene_model_track,Options:GeneOnly]&amp;mk=1442242:1442261|offset_43|444444,1442293:1442312|offset_94|444444,1442320:1442339|offset_121|444444,1442345:1442364|offset_146|00cc00&amp;v=1442041:1442564&amp;c=444444", "offset 146")</f>
        <v>offset 146</v>
      </c>
    </row>
    <row r="5170" customFormat="false" ht="12.8" hidden="false" customHeight="false" outlineLevel="0" collapsed="false">
      <c r="A5170" s="0" t="s">
        <v>12</v>
      </c>
      <c r="B5170" s="0" t="n">
        <v>1442699</v>
      </c>
      <c r="C5170" s="0" t="n">
        <v>1442719</v>
      </c>
      <c r="D5170" s="0" t="s">
        <v>17316</v>
      </c>
      <c r="E5170" s="0" t="s">
        <v>89</v>
      </c>
      <c r="F5170" s="0" t="s">
        <v>15</v>
      </c>
      <c r="G5170" s="0" t="s">
        <v>16</v>
      </c>
      <c r="H5170" s="0" t="n">
        <v>7</v>
      </c>
      <c r="I5170" s="0" t="s">
        <v>17317</v>
      </c>
      <c r="J5170" s="0" t="s">
        <v>17318</v>
      </c>
      <c r="K5170" s="0" t="s">
        <v>17319</v>
      </c>
      <c r="L5170" s="0" t="str">
        <f aca="false">HYPERLINK("https://www.ncbi.nlm.nih.gov/nuccore/CP000304.1?report=graph&amp;tracks=[key:gene_model_track,Options:GeneOnly]&amp;mk=1442700:1442719|offset_7|00cc00,1442737:1442756|offset_44|444444,1442757:1442776|offset_64|444444,1442782:1442801|offset_89|444444&amp;v=1442499:1443001&amp;c=444444", "offset 7")</f>
        <v>offset 7</v>
      </c>
    </row>
    <row r="5171" customFormat="false" ht="12.8" hidden="false" customHeight="false" outlineLevel="0" collapsed="false">
      <c r="A5171" s="0" t="s">
        <v>12</v>
      </c>
      <c r="B5171" s="0" t="n">
        <v>1442736</v>
      </c>
      <c r="C5171" s="0" t="n">
        <v>1442756</v>
      </c>
      <c r="D5171" s="0" t="s">
        <v>17316</v>
      </c>
      <c r="E5171" s="0" t="s">
        <v>89</v>
      </c>
      <c r="F5171" s="0" t="s">
        <v>15</v>
      </c>
      <c r="G5171" s="0" t="s">
        <v>32</v>
      </c>
      <c r="H5171" s="0" t="n">
        <v>44</v>
      </c>
      <c r="I5171" s="0" t="s">
        <v>17320</v>
      </c>
      <c r="J5171" s="0" t="s">
        <v>17321</v>
      </c>
      <c r="K5171" s="0" t="s">
        <v>17322</v>
      </c>
      <c r="L5171" s="0" t="str">
        <f aca="false">HYPERLINK("https://www.ncbi.nlm.nih.gov/nuccore/CP000304.1?report=graph&amp;tracks=[key:gene_model_track,Options:GeneOnly]&amp;mk=1442700:1442719|offset_7|444444,1442737:1442756|offset_44|00cc00,1442757:1442776|offset_64|444444,1442782:1442801|offset_89|444444&amp;v=1442499:1443001&amp;c=444444", "offset 44")</f>
        <v>offset 44</v>
      </c>
    </row>
    <row r="5172" customFormat="false" ht="12.8" hidden="false" customHeight="false" outlineLevel="0" collapsed="false">
      <c r="A5172" s="0" t="s">
        <v>12</v>
      </c>
      <c r="B5172" s="0" t="n">
        <v>1442756</v>
      </c>
      <c r="C5172" s="0" t="n">
        <v>1442776</v>
      </c>
      <c r="D5172" s="0" t="s">
        <v>17316</v>
      </c>
      <c r="E5172" s="0" t="s">
        <v>89</v>
      </c>
      <c r="F5172" s="0" t="s">
        <v>15</v>
      </c>
      <c r="G5172" s="0" t="s">
        <v>16</v>
      </c>
      <c r="H5172" s="0" t="n">
        <v>64</v>
      </c>
      <c r="I5172" s="0" t="s">
        <v>17323</v>
      </c>
      <c r="J5172" s="0" t="s">
        <v>17324</v>
      </c>
      <c r="K5172" s="0" t="s">
        <v>17325</v>
      </c>
      <c r="L5172" s="0" t="str">
        <f aca="false">HYPERLINK("https://www.ncbi.nlm.nih.gov/nuccore/CP000304.1?report=graph&amp;tracks=[key:gene_model_track,Options:GeneOnly]&amp;mk=1442700:1442719|offset_7|444444,1442737:1442756|offset_44|444444,1442757:1442776|offset_64|00cc00,1442782:1442801|offset_89|444444&amp;v=1442499:1443001&amp;c=444444", "offset 64")</f>
        <v>offset 64</v>
      </c>
    </row>
    <row r="5173" customFormat="false" ht="12.8" hidden="false" customHeight="false" outlineLevel="0" collapsed="false">
      <c r="A5173" s="0" t="s">
        <v>12</v>
      </c>
      <c r="B5173" s="0" t="n">
        <v>1442781</v>
      </c>
      <c r="C5173" s="0" t="n">
        <v>1442801</v>
      </c>
      <c r="D5173" s="0" t="s">
        <v>17316</v>
      </c>
      <c r="E5173" s="0" t="s">
        <v>89</v>
      </c>
      <c r="F5173" s="0" t="s">
        <v>15</v>
      </c>
      <c r="G5173" s="0" t="s">
        <v>26</v>
      </c>
      <c r="H5173" s="0" t="n">
        <v>89</v>
      </c>
      <c r="I5173" s="0" t="s">
        <v>17326</v>
      </c>
      <c r="J5173" s="0" t="s">
        <v>17327</v>
      </c>
      <c r="K5173" s="0" t="s">
        <v>17328</v>
      </c>
      <c r="L5173" s="0" t="str">
        <f aca="false">HYPERLINK("https://www.ncbi.nlm.nih.gov/nuccore/CP000304.1?report=graph&amp;tracks=[key:gene_model_track,Options:GeneOnly]&amp;mk=1442700:1442719|offset_7|444444,1442737:1442756|offset_44|444444,1442757:1442776|offset_64|444444,1442782:1442801|offset_89|00cc00&amp;v=1442499:1443001&amp;c=444444", "offset 89")</f>
        <v>offset 89</v>
      </c>
    </row>
    <row r="5174" customFormat="false" ht="12.8" hidden="false" customHeight="false" outlineLevel="0" collapsed="false">
      <c r="A5174" s="0" t="s">
        <v>12</v>
      </c>
      <c r="B5174" s="0" t="n">
        <v>1443003</v>
      </c>
      <c r="C5174" s="0" t="n">
        <v>1443023</v>
      </c>
      <c r="D5174" s="0" t="s">
        <v>17329</v>
      </c>
      <c r="E5174" s="0" t="s">
        <v>89</v>
      </c>
      <c r="F5174" s="0" t="s">
        <v>15</v>
      </c>
      <c r="G5174" s="0" t="s">
        <v>16</v>
      </c>
      <c r="H5174" s="0" t="n">
        <v>19</v>
      </c>
      <c r="I5174" s="0" t="s">
        <v>17330</v>
      </c>
      <c r="J5174" s="0" t="s">
        <v>17331</v>
      </c>
      <c r="K5174" s="0" t="s">
        <v>17332</v>
      </c>
      <c r="L5174" s="0" t="str">
        <f aca="false">HYPERLINK("https://www.ncbi.nlm.nih.gov/nuccore/CP000304.1?report=graph&amp;tracks=[key:gene_model_track,Options:GeneOnly]&amp;mk=1443004:1443023|offset_19|00cc00,1443025:1443044|offset_40|444444,1443049:1443068|offset_64|444444,1443101:1443120|offset_116|444444&amp;v=1442803:1443320&amp;c=444444", "offset 19")</f>
        <v>offset 19</v>
      </c>
    </row>
    <row r="5175" customFormat="false" ht="12.8" hidden="false" customHeight="false" outlineLevel="0" collapsed="false">
      <c r="A5175" s="0" t="s">
        <v>12</v>
      </c>
      <c r="B5175" s="0" t="n">
        <v>1443024</v>
      </c>
      <c r="C5175" s="0" t="n">
        <v>1443044</v>
      </c>
      <c r="D5175" s="0" t="s">
        <v>17329</v>
      </c>
      <c r="E5175" s="0" t="s">
        <v>89</v>
      </c>
      <c r="F5175" s="0" t="s">
        <v>15</v>
      </c>
      <c r="G5175" s="0" t="s">
        <v>16</v>
      </c>
      <c r="H5175" s="0" t="n">
        <v>40</v>
      </c>
      <c r="I5175" s="0" t="s">
        <v>17333</v>
      </c>
      <c r="J5175" s="0" t="s">
        <v>17334</v>
      </c>
      <c r="K5175" s="0" t="s">
        <v>17335</v>
      </c>
      <c r="L5175" s="0" t="str">
        <f aca="false">HYPERLINK("https://www.ncbi.nlm.nih.gov/nuccore/CP000304.1?report=graph&amp;tracks=[key:gene_model_track,Options:GeneOnly]&amp;mk=1443004:1443023|offset_19|444444,1443025:1443044|offset_40|00cc00,1443049:1443068|offset_64|444444,1443101:1443120|offset_116|444444&amp;v=1442803:1443320&amp;c=444444", "offset 40")</f>
        <v>offset 40</v>
      </c>
    </row>
    <row r="5176" customFormat="false" ht="12.8" hidden="false" customHeight="false" outlineLevel="0" collapsed="false">
      <c r="A5176" s="0" t="s">
        <v>12</v>
      </c>
      <c r="B5176" s="0" t="n">
        <v>1443048</v>
      </c>
      <c r="C5176" s="0" t="n">
        <v>1443068</v>
      </c>
      <c r="D5176" s="0" t="s">
        <v>17329</v>
      </c>
      <c r="E5176" s="0" t="s">
        <v>89</v>
      </c>
      <c r="F5176" s="0" t="s">
        <v>15</v>
      </c>
      <c r="G5176" s="0" t="s">
        <v>16</v>
      </c>
      <c r="H5176" s="0" t="n">
        <v>64</v>
      </c>
      <c r="I5176" s="0" t="s">
        <v>17336</v>
      </c>
      <c r="J5176" s="0" t="s">
        <v>17337</v>
      </c>
      <c r="K5176" s="0" t="s">
        <v>17338</v>
      </c>
      <c r="L5176" s="0" t="str">
        <f aca="false">HYPERLINK("https://www.ncbi.nlm.nih.gov/nuccore/CP000304.1?report=graph&amp;tracks=[key:gene_model_track,Options:GeneOnly]&amp;mk=1443004:1443023|offset_19|444444,1443025:1443044|offset_40|444444,1443049:1443068|offset_64|00cc00,1443101:1443120|offset_116|444444&amp;v=1442803:1443320&amp;c=444444", "offset 64")</f>
        <v>offset 64</v>
      </c>
    </row>
    <row r="5177" customFormat="false" ht="12.8" hidden="false" customHeight="false" outlineLevel="0" collapsed="false">
      <c r="A5177" s="0" t="s">
        <v>12</v>
      </c>
      <c r="B5177" s="0" t="n">
        <v>1443100</v>
      </c>
      <c r="C5177" s="0" t="n">
        <v>1443120</v>
      </c>
      <c r="D5177" s="0" t="s">
        <v>17329</v>
      </c>
      <c r="E5177" s="0" t="s">
        <v>89</v>
      </c>
      <c r="F5177" s="0" t="s">
        <v>15</v>
      </c>
      <c r="G5177" s="0" t="s">
        <v>36</v>
      </c>
      <c r="H5177" s="0" t="n">
        <v>116</v>
      </c>
      <c r="I5177" s="0" t="s">
        <v>17339</v>
      </c>
      <c r="J5177" s="0" t="s">
        <v>17340</v>
      </c>
      <c r="K5177" s="0" t="s">
        <v>17341</v>
      </c>
      <c r="L5177" s="0" t="str">
        <f aca="false">HYPERLINK("https://www.ncbi.nlm.nih.gov/nuccore/CP000304.1?report=graph&amp;tracks=[key:gene_model_track,Options:GeneOnly]&amp;mk=1443004:1443023|offset_19|444444,1443025:1443044|offset_40|444444,1443049:1443068|offset_64|444444,1443101:1443120|offset_116|00cc00&amp;v=1442803:1443320&amp;c=444444", "offset 116")</f>
        <v>offset 116</v>
      </c>
    </row>
    <row r="5178" customFormat="false" ht="12.8" hidden="false" customHeight="false" outlineLevel="0" collapsed="false">
      <c r="A5178" s="0" t="s">
        <v>12</v>
      </c>
      <c r="B5178" s="0" t="n">
        <v>1443299</v>
      </c>
      <c r="C5178" s="0" t="n">
        <v>1443319</v>
      </c>
      <c r="D5178" s="0" t="s">
        <v>17342</v>
      </c>
      <c r="E5178" s="0" t="s">
        <v>89</v>
      </c>
      <c r="F5178" s="0" t="s">
        <v>15</v>
      </c>
      <c r="G5178" s="0" t="s">
        <v>32</v>
      </c>
      <c r="H5178" s="0" t="n">
        <v>6</v>
      </c>
      <c r="I5178" s="0" t="s">
        <v>17343</v>
      </c>
      <c r="J5178" s="0" t="s">
        <v>17344</v>
      </c>
      <c r="K5178" s="0" t="s">
        <v>17345</v>
      </c>
      <c r="L5178" s="0" t="str">
        <f aca="false">HYPERLINK("https://www.ncbi.nlm.nih.gov/nuccore/CP000304.1?report=graph&amp;tracks=[key:gene_model_track,Options:GeneOnly]&amp;mk=1443300:1443319|offset_6|00cc00,1443338:1443357|offset_44|444444,1443388:1443407|offset_94|444444,1443412:1443431|offset_118|444444&amp;v=1443099:1443631&amp;c=444444", "offset 6")</f>
        <v>offset 6</v>
      </c>
    </row>
    <row r="5179" customFormat="false" ht="12.8" hidden="false" customHeight="false" outlineLevel="0" collapsed="false">
      <c r="A5179" s="0" t="s">
        <v>12</v>
      </c>
      <c r="B5179" s="0" t="n">
        <v>1443337</v>
      </c>
      <c r="C5179" s="0" t="n">
        <v>1443357</v>
      </c>
      <c r="D5179" s="0" t="s">
        <v>17342</v>
      </c>
      <c r="E5179" s="0" t="s">
        <v>89</v>
      </c>
      <c r="F5179" s="0" t="s">
        <v>15</v>
      </c>
      <c r="G5179" s="0" t="s">
        <v>16</v>
      </c>
      <c r="H5179" s="0" t="n">
        <v>44</v>
      </c>
      <c r="I5179" s="0" t="s">
        <v>17346</v>
      </c>
      <c r="J5179" s="0" t="s">
        <v>17347</v>
      </c>
      <c r="K5179" s="0" t="s">
        <v>17348</v>
      </c>
      <c r="L5179" s="0" t="str">
        <f aca="false">HYPERLINK("https://www.ncbi.nlm.nih.gov/nuccore/CP000304.1?report=graph&amp;tracks=[key:gene_model_track,Options:GeneOnly]&amp;mk=1443300:1443319|offset_6|444444,1443338:1443357|offset_44|00cc00,1443388:1443407|offset_94|444444,1443412:1443431|offset_118|444444&amp;v=1443099:1443631&amp;c=444444", "offset 44")</f>
        <v>offset 44</v>
      </c>
    </row>
    <row r="5180" customFormat="false" ht="12.8" hidden="false" customHeight="false" outlineLevel="0" collapsed="false">
      <c r="A5180" s="0" t="s">
        <v>12</v>
      </c>
      <c r="B5180" s="0" t="n">
        <v>1443387</v>
      </c>
      <c r="C5180" s="0" t="n">
        <v>1443407</v>
      </c>
      <c r="D5180" s="0" t="s">
        <v>17342</v>
      </c>
      <c r="E5180" s="0" t="s">
        <v>89</v>
      </c>
      <c r="F5180" s="0" t="s">
        <v>15</v>
      </c>
      <c r="G5180" s="0" t="s">
        <v>36</v>
      </c>
      <c r="H5180" s="0" t="n">
        <v>94</v>
      </c>
      <c r="I5180" s="0" t="s">
        <v>17349</v>
      </c>
      <c r="J5180" s="0" t="s">
        <v>17350</v>
      </c>
      <c r="K5180" s="0" t="s">
        <v>17351</v>
      </c>
      <c r="L5180" s="0" t="str">
        <f aca="false">HYPERLINK("https://www.ncbi.nlm.nih.gov/nuccore/CP000304.1?report=graph&amp;tracks=[key:gene_model_track,Options:GeneOnly]&amp;mk=1443300:1443319|offset_6|444444,1443338:1443357|offset_44|444444,1443388:1443407|offset_94|00cc00,1443412:1443431|offset_118|444444&amp;v=1443099:1443631&amp;c=444444", "offset 94")</f>
        <v>offset 94</v>
      </c>
    </row>
    <row r="5181" customFormat="false" ht="12.8" hidden="false" customHeight="false" outlineLevel="0" collapsed="false">
      <c r="A5181" s="0" t="s">
        <v>12</v>
      </c>
      <c r="B5181" s="0" t="n">
        <v>1443411</v>
      </c>
      <c r="C5181" s="0" t="n">
        <v>1443431</v>
      </c>
      <c r="D5181" s="0" t="s">
        <v>17342</v>
      </c>
      <c r="E5181" s="0" t="s">
        <v>89</v>
      </c>
      <c r="F5181" s="0" t="s">
        <v>15</v>
      </c>
      <c r="G5181" s="0" t="s">
        <v>36</v>
      </c>
      <c r="H5181" s="0" t="n">
        <v>118</v>
      </c>
      <c r="I5181" s="0" t="s">
        <v>17352</v>
      </c>
      <c r="J5181" s="0" t="s">
        <v>17353</v>
      </c>
      <c r="K5181" s="0" t="s">
        <v>17354</v>
      </c>
      <c r="L5181" s="0" t="str">
        <f aca="false">HYPERLINK("https://www.ncbi.nlm.nih.gov/nuccore/CP000304.1?report=graph&amp;tracks=[key:gene_model_track,Options:GeneOnly]&amp;mk=1443300:1443319|offset_6|444444,1443338:1443357|offset_44|444444,1443388:1443407|offset_94|444444,1443412:1443431|offset_118|00cc00&amp;v=1443099:1443631&amp;c=444444", "offset 118")</f>
        <v>offset 118</v>
      </c>
    </row>
    <row r="5182" customFormat="false" ht="12.8" hidden="false" customHeight="false" outlineLevel="0" collapsed="false">
      <c r="A5182" s="0" t="s">
        <v>12</v>
      </c>
      <c r="B5182" s="0" t="n">
        <v>1443644</v>
      </c>
      <c r="C5182" s="0" t="n">
        <v>1443664</v>
      </c>
      <c r="D5182" s="0" t="s">
        <v>17355</v>
      </c>
      <c r="E5182" s="0" t="s">
        <v>89</v>
      </c>
      <c r="F5182" s="0" t="s">
        <v>15</v>
      </c>
      <c r="G5182" s="0" t="s">
        <v>36</v>
      </c>
      <c r="H5182" s="0" t="n">
        <v>27</v>
      </c>
      <c r="I5182" s="0" t="s">
        <v>17356</v>
      </c>
      <c r="J5182" s="0" t="s">
        <v>17357</v>
      </c>
      <c r="K5182" s="0" t="s">
        <v>17358</v>
      </c>
      <c r="L5182" s="0" t="str">
        <f aca="false">HYPERLINK("https://www.ncbi.nlm.nih.gov/nuccore/CP000304.1?report=graph&amp;tracks=[key:gene_model_track,Options:GeneOnly]&amp;mk=1443645:1443664|offset_27|00cc00,1443668:1443687|offset_50|444444,1443692:1443711|offset_74|444444,1443713:1443732|offset_95|444444&amp;v=1443444:1443932&amp;c=444444", "offset 27")</f>
        <v>offset 27</v>
      </c>
    </row>
    <row r="5183" customFormat="false" ht="12.8" hidden="false" customHeight="false" outlineLevel="0" collapsed="false">
      <c r="A5183" s="0" t="s">
        <v>12</v>
      </c>
      <c r="B5183" s="0" t="n">
        <v>1443667</v>
      </c>
      <c r="C5183" s="0" t="n">
        <v>1443687</v>
      </c>
      <c r="D5183" s="0" t="s">
        <v>17355</v>
      </c>
      <c r="E5183" s="0" t="s">
        <v>89</v>
      </c>
      <c r="F5183" s="0" t="s">
        <v>15</v>
      </c>
      <c r="G5183" s="0" t="s">
        <v>16</v>
      </c>
      <c r="H5183" s="0" t="n">
        <v>50</v>
      </c>
      <c r="I5183" s="0" t="s">
        <v>17359</v>
      </c>
      <c r="J5183" s="0" t="s">
        <v>17360</v>
      </c>
      <c r="K5183" s="0" t="s">
        <v>17361</v>
      </c>
      <c r="L5183" s="0" t="str">
        <f aca="false">HYPERLINK("https://www.ncbi.nlm.nih.gov/nuccore/CP000304.1?report=graph&amp;tracks=[key:gene_model_track,Options:GeneOnly]&amp;mk=1443645:1443664|offset_27|444444,1443668:1443687|offset_50|00cc00,1443692:1443711|offset_74|444444,1443713:1443732|offset_95|444444&amp;v=1443444:1443932&amp;c=444444", "offset 50")</f>
        <v>offset 50</v>
      </c>
    </row>
    <row r="5184" customFormat="false" ht="12.8" hidden="false" customHeight="false" outlineLevel="0" collapsed="false">
      <c r="A5184" s="0" t="s">
        <v>12</v>
      </c>
      <c r="B5184" s="0" t="n">
        <v>1443691</v>
      </c>
      <c r="C5184" s="0" t="n">
        <v>1443711</v>
      </c>
      <c r="D5184" s="0" t="s">
        <v>17355</v>
      </c>
      <c r="E5184" s="0" t="s">
        <v>89</v>
      </c>
      <c r="F5184" s="0" t="s">
        <v>15</v>
      </c>
      <c r="G5184" s="0" t="s">
        <v>26</v>
      </c>
      <c r="H5184" s="0" t="n">
        <v>74</v>
      </c>
      <c r="I5184" s="0" t="s">
        <v>17362</v>
      </c>
      <c r="J5184" s="0" t="s">
        <v>17363</v>
      </c>
      <c r="K5184" s="0" t="s">
        <v>17364</v>
      </c>
      <c r="L5184" s="0" t="str">
        <f aca="false">HYPERLINK("https://www.ncbi.nlm.nih.gov/nuccore/CP000304.1?report=graph&amp;tracks=[key:gene_model_track,Options:GeneOnly]&amp;mk=1443645:1443664|offset_27|444444,1443668:1443687|offset_50|444444,1443692:1443711|offset_74|00cc00,1443713:1443732|offset_95|444444&amp;v=1443444:1443932&amp;c=444444", "offset 74")</f>
        <v>offset 74</v>
      </c>
    </row>
    <row r="5185" customFormat="false" ht="12.8" hidden="false" customHeight="false" outlineLevel="0" collapsed="false">
      <c r="A5185" s="0" t="s">
        <v>12</v>
      </c>
      <c r="B5185" s="0" t="n">
        <v>1443712</v>
      </c>
      <c r="C5185" s="0" t="n">
        <v>1443732</v>
      </c>
      <c r="D5185" s="0" t="s">
        <v>17355</v>
      </c>
      <c r="E5185" s="0" t="s">
        <v>89</v>
      </c>
      <c r="F5185" s="0" t="s">
        <v>15</v>
      </c>
      <c r="G5185" s="0" t="s">
        <v>26</v>
      </c>
      <c r="H5185" s="0" t="n">
        <v>95</v>
      </c>
      <c r="I5185" s="0" t="s">
        <v>17365</v>
      </c>
      <c r="J5185" s="0" t="s">
        <v>17366</v>
      </c>
      <c r="K5185" s="0" t="s">
        <v>17367</v>
      </c>
      <c r="L5185" s="0" t="str">
        <f aca="false">HYPERLINK("https://www.ncbi.nlm.nih.gov/nuccore/CP000304.1?report=graph&amp;tracks=[key:gene_model_track,Options:GeneOnly]&amp;mk=1443645:1443664|offset_27|444444,1443668:1443687|offset_50|444444,1443692:1443711|offset_74|444444,1443713:1443732|offset_95|00cc00&amp;v=1443444:1443932&amp;c=444444", "offset 95")</f>
        <v>offset 95</v>
      </c>
    </row>
    <row r="5186" customFormat="false" ht="12.8" hidden="false" customHeight="false" outlineLevel="0" collapsed="false">
      <c r="A5186" s="0" t="s">
        <v>12</v>
      </c>
      <c r="B5186" s="0" t="n">
        <v>1444140</v>
      </c>
      <c r="C5186" s="0" t="n">
        <v>1444160</v>
      </c>
      <c r="D5186" s="0" t="s">
        <v>17368</v>
      </c>
      <c r="E5186" s="0" t="s">
        <v>89</v>
      </c>
      <c r="F5186" s="0" t="s">
        <v>15</v>
      </c>
      <c r="G5186" s="0" t="s">
        <v>26</v>
      </c>
      <c r="H5186" s="0" t="n">
        <v>26</v>
      </c>
      <c r="I5186" s="0" t="s">
        <v>17369</v>
      </c>
      <c r="J5186" s="0" t="s">
        <v>17370</v>
      </c>
      <c r="K5186" s="0" t="s">
        <v>17371</v>
      </c>
      <c r="L5186" s="0" t="str">
        <f aca="false">HYPERLINK("https://www.ncbi.nlm.nih.gov/nuccore/CP000304.1?report=graph&amp;tracks=[key:gene_model_track,Options:GeneOnly]&amp;mk=1444141:1444160|offset_26|00cc00,1444174:1444193|offset_59|444444,1444195:1444214|offset_80|444444,1444216:1444235|offset_101|444444&amp;v=1443940:1444435&amp;c=444444", "offset 26")</f>
        <v>offset 26</v>
      </c>
    </row>
    <row r="5187" customFormat="false" ht="12.8" hidden="false" customHeight="false" outlineLevel="0" collapsed="false">
      <c r="A5187" s="0" t="s">
        <v>12</v>
      </c>
      <c r="B5187" s="0" t="n">
        <v>1444173</v>
      </c>
      <c r="C5187" s="0" t="n">
        <v>1444193</v>
      </c>
      <c r="D5187" s="0" t="s">
        <v>17368</v>
      </c>
      <c r="E5187" s="0" t="s">
        <v>89</v>
      </c>
      <c r="F5187" s="0" t="s">
        <v>15</v>
      </c>
      <c r="G5187" s="0" t="s">
        <v>32</v>
      </c>
      <c r="H5187" s="0" t="n">
        <v>59</v>
      </c>
      <c r="I5187" s="0" t="s">
        <v>17372</v>
      </c>
      <c r="J5187" s="0" t="s">
        <v>17373</v>
      </c>
      <c r="K5187" s="0" t="s">
        <v>17374</v>
      </c>
      <c r="L5187" s="0" t="str">
        <f aca="false">HYPERLINK("https://www.ncbi.nlm.nih.gov/nuccore/CP000304.1?report=graph&amp;tracks=[key:gene_model_track,Options:GeneOnly]&amp;mk=1444141:1444160|offset_26|444444,1444174:1444193|offset_59|00cc00,1444195:1444214|offset_80|444444,1444216:1444235|offset_101|444444&amp;v=1443940:1444435&amp;c=444444", "offset 59")</f>
        <v>offset 59</v>
      </c>
    </row>
    <row r="5188" customFormat="false" ht="12.8" hidden="false" customHeight="false" outlineLevel="0" collapsed="false">
      <c r="A5188" s="0" t="s">
        <v>12</v>
      </c>
      <c r="B5188" s="0" t="n">
        <v>1444194</v>
      </c>
      <c r="C5188" s="0" t="n">
        <v>1444214</v>
      </c>
      <c r="D5188" s="0" t="s">
        <v>17368</v>
      </c>
      <c r="E5188" s="0" t="s">
        <v>89</v>
      </c>
      <c r="F5188" s="0" t="s">
        <v>15</v>
      </c>
      <c r="G5188" s="0" t="s">
        <v>26</v>
      </c>
      <c r="H5188" s="0" t="n">
        <v>80</v>
      </c>
      <c r="I5188" s="0" t="s">
        <v>17375</v>
      </c>
      <c r="J5188" s="0" t="s">
        <v>17376</v>
      </c>
      <c r="K5188" s="0" t="s">
        <v>17377</v>
      </c>
      <c r="L5188" s="0" t="str">
        <f aca="false">HYPERLINK("https://www.ncbi.nlm.nih.gov/nuccore/CP000304.1?report=graph&amp;tracks=[key:gene_model_track,Options:GeneOnly]&amp;mk=1444141:1444160|offset_26|444444,1444174:1444193|offset_59|444444,1444195:1444214|offset_80|00cc00,1444216:1444235|offset_101|444444&amp;v=1443940:1444435&amp;c=444444", "offset 80")</f>
        <v>offset 80</v>
      </c>
    </row>
    <row r="5189" customFormat="false" ht="12.8" hidden="false" customHeight="false" outlineLevel="0" collapsed="false">
      <c r="A5189" s="0" t="s">
        <v>12</v>
      </c>
      <c r="B5189" s="0" t="n">
        <v>1444215</v>
      </c>
      <c r="C5189" s="0" t="n">
        <v>1444235</v>
      </c>
      <c r="D5189" s="0" t="s">
        <v>17368</v>
      </c>
      <c r="E5189" s="0" t="s">
        <v>89</v>
      </c>
      <c r="F5189" s="0" t="s">
        <v>15</v>
      </c>
      <c r="G5189" s="0" t="s">
        <v>26</v>
      </c>
      <c r="H5189" s="0" t="n">
        <v>101</v>
      </c>
      <c r="I5189" s="0" t="s">
        <v>17378</v>
      </c>
      <c r="J5189" s="0" t="s">
        <v>17379</v>
      </c>
      <c r="K5189" s="0" t="s">
        <v>17380</v>
      </c>
      <c r="L5189" s="0" t="str">
        <f aca="false">HYPERLINK("https://www.ncbi.nlm.nih.gov/nuccore/CP000304.1?report=graph&amp;tracks=[key:gene_model_track,Options:GeneOnly]&amp;mk=1444141:1444160|offset_26|444444,1444174:1444193|offset_59|444444,1444195:1444214|offset_80|444444,1444216:1444235|offset_101|00cc00&amp;v=1443940:1444435&amp;c=444444", "offset 101")</f>
        <v>offset 101</v>
      </c>
    </row>
    <row r="5190" customFormat="false" ht="12.8" hidden="false" customHeight="false" outlineLevel="0" collapsed="false">
      <c r="A5190" s="0" t="s">
        <v>12</v>
      </c>
      <c r="B5190" s="0" t="n">
        <v>1444518</v>
      </c>
      <c r="C5190" s="0" t="n">
        <v>1444538</v>
      </c>
      <c r="D5190" s="0" t="s">
        <v>17381</v>
      </c>
      <c r="E5190" s="0" t="s">
        <v>89</v>
      </c>
      <c r="F5190" s="0" t="s">
        <v>15</v>
      </c>
      <c r="G5190" s="0" t="s">
        <v>16</v>
      </c>
      <c r="H5190" s="0" t="n">
        <v>37</v>
      </c>
      <c r="I5190" s="0" t="s">
        <v>17382</v>
      </c>
      <c r="J5190" s="0" t="s">
        <v>17383</v>
      </c>
      <c r="K5190" s="0" t="s">
        <v>17384</v>
      </c>
      <c r="L5190" s="0" t="str">
        <f aca="false">HYPERLINK("https://www.ncbi.nlm.nih.gov/nuccore/CP000304.1?report=graph&amp;tracks=[key:gene_model_track,Options:GeneOnly]&amp;mk=1444519:1444538|offset_37|00cc00,1444550:1444569|offset_68|444444,1444573:1444592|offset_91|444444,1444600:1444619|offset_118|444444&amp;v=1444318:1444819&amp;c=444444", "offset 37")</f>
        <v>offset 37</v>
      </c>
    </row>
    <row r="5191" customFormat="false" ht="12.8" hidden="false" customHeight="false" outlineLevel="0" collapsed="false">
      <c r="A5191" s="0" t="s">
        <v>12</v>
      </c>
      <c r="B5191" s="0" t="n">
        <v>1444549</v>
      </c>
      <c r="C5191" s="0" t="n">
        <v>1444569</v>
      </c>
      <c r="D5191" s="0" t="s">
        <v>17381</v>
      </c>
      <c r="E5191" s="0" t="s">
        <v>89</v>
      </c>
      <c r="F5191" s="0" t="s">
        <v>15</v>
      </c>
      <c r="G5191" s="0" t="s">
        <v>26</v>
      </c>
      <c r="H5191" s="0" t="n">
        <v>68</v>
      </c>
      <c r="I5191" s="0" t="s">
        <v>17385</v>
      </c>
      <c r="J5191" s="0" t="s">
        <v>17386</v>
      </c>
      <c r="K5191" s="0" t="s">
        <v>17387</v>
      </c>
      <c r="L5191" s="0" t="str">
        <f aca="false">HYPERLINK("https://www.ncbi.nlm.nih.gov/nuccore/CP000304.1?report=graph&amp;tracks=[key:gene_model_track,Options:GeneOnly]&amp;mk=1444519:1444538|offset_37|444444,1444550:1444569|offset_68|00cc00,1444573:1444592|offset_91|444444,1444600:1444619|offset_118|444444&amp;v=1444318:1444819&amp;c=444444", "offset 68")</f>
        <v>offset 68</v>
      </c>
    </row>
    <row r="5192" customFormat="false" ht="12.8" hidden="false" customHeight="false" outlineLevel="0" collapsed="false">
      <c r="A5192" s="0" t="s">
        <v>12</v>
      </c>
      <c r="B5192" s="0" t="n">
        <v>1444572</v>
      </c>
      <c r="C5192" s="0" t="n">
        <v>1444592</v>
      </c>
      <c r="D5192" s="0" t="s">
        <v>17381</v>
      </c>
      <c r="E5192" s="0" t="s">
        <v>89</v>
      </c>
      <c r="F5192" s="0" t="s">
        <v>15</v>
      </c>
      <c r="G5192" s="0" t="s">
        <v>16</v>
      </c>
      <c r="H5192" s="0" t="n">
        <v>91</v>
      </c>
      <c r="I5192" s="0" t="s">
        <v>17388</v>
      </c>
      <c r="J5192" s="0" t="s">
        <v>17389</v>
      </c>
      <c r="K5192" s="0" t="s">
        <v>17390</v>
      </c>
      <c r="L5192" s="0" t="str">
        <f aca="false">HYPERLINK("https://www.ncbi.nlm.nih.gov/nuccore/CP000304.1?report=graph&amp;tracks=[key:gene_model_track,Options:GeneOnly]&amp;mk=1444519:1444538|offset_37|444444,1444550:1444569|offset_68|444444,1444573:1444592|offset_91|00cc00,1444600:1444619|offset_118|444444&amp;v=1444318:1444819&amp;c=444444", "offset 91")</f>
        <v>offset 91</v>
      </c>
    </row>
    <row r="5193" customFormat="false" ht="12.8" hidden="false" customHeight="false" outlineLevel="0" collapsed="false">
      <c r="A5193" s="0" t="s">
        <v>12</v>
      </c>
      <c r="B5193" s="0" t="n">
        <v>1444599</v>
      </c>
      <c r="C5193" s="0" t="n">
        <v>1444619</v>
      </c>
      <c r="D5193" s="0" t="s">
        <v>17381</v>
      </c>
      <c r="E5193" s="0" t="s">
        <v>89</v>
      </c>
      <c r="F5193" s="0" t="s">
        <v>15</v>
      </c>
      <c r="G5193" s="0" t="s">
        <v>26</v>
      </c>
      <c r="H5193" s="0" t="n">
        <v>118</v>
      </c>
      <c r="I5193" s="0" t="s">
        <v>17391</v>
      </c>
      <c r="J5193" s="0" t="s">
        <v>17392</v>
      </c>
      <c r="K5193" s="0" t="s">
        <v>17393</v>
      </c>
      <c r="L5193" s="0" t="str">
        <f aca="false">HYPERLINK("https://www.ncbi.nlm.nih.gov/nuccore/CP000304.1?report=graph&amp;tracks=[key:gene_model_track,Options:GeneOnly]&amp;mk=1444519:1444538|offset_37|444444,1444550:1444569|offset_68|444444,1444573:1444592|offset_91|444444,1444600:1444619|offset_118|00cc00&amp;v=1444318:1444819&amp;c=444444", "offset 118")</f>
        <v>offset 118</v>
      </c>
    </row>
    <row r="5194" customFormat="false" ht="12.8" hidden="false" customHeight="false" outlineLevel="0" collapsed="false">
      <c r="A5194" s="0" t="s">
        <v>12</v>
      </c>
      <c r="B5194" s="0" t="n">
        <v>1445247</v>
      </c>
      <c r="C5194" s="0" t="n">
        <v>1445267</v>
      </c>
      <c r="D5194" s="0" t="s">
        <v>17394</v>
      </c>
      <c r="E5194" s="0" t="s">
        <v>89</v>
      </c>
      <c r="F5194" s="0" t="s">
        <v>15</v>
      </c>
      <c r="G5194" s="0" t="s">
        <v>16</v>
      </c>
      <c r="H5194" s="0" t="n">
        <v>20</v>
      </c>
      <c r="I5194" s="0" t="s">
        <v>17395</v>
      </c>
      <c r="J5194" s="0" t="s">
        <v>17396</v>
      </c>
      <c r="K5194" s="0" t="s">
        <v>17397</v>
      </c>
      <c r="L5194" s="0" t="str">
        <f aca="false">HYPERLINK("https://www.ncbi.nlm.nih.gov/nuccore/CP000304.1?report=graph&amp;tracks=[key:gene_model_track,Options:GeneOnly]&amp;mk=1445248:1445267|offset_20|00cc00,1445284:1445303|offset_56|444444,1445308:1445327|offset_80|444444,1445339:1445358|offset_111|444444&amp;v=1445047:1445558&amp;c=444444", "offset 20")</f>
        <v>offset 20</v>
      </c>
    </row>
    <row r="5195" customFormat="false" ht="12.8" hidden="false" customHeight="false" outlineLevel="0" collapsed="false">
      <c r="A5195" s="0" t="s">
        <v>12</v>
      </c>
      <c r="B5195" s="0" t="n">
        <v>1445283</v>
      </c>
      <c r="C5195" s="0" t="n">
        <v>1445303</v>
      </c>
      <c r="D5195" s="0" t="s">
        <v>17394</v>
      </c>
      <c r="E5195" s="0" t="s">
        <v>89</v>
      </c>
      <c r="F5195" s="0" t="s">
        <v>15</v>
      </c>
      <c r="G5195" s="0" t="s">
        <v>36</v>
      </c>
      <c r="H5195" s="0" t="n">
        <v>56</v>
      </c>
      <c r="I5195" s="0" t="s">
        <v>17398</v>
      </c>
      <c r="J5195" s="0" t="s">
        <v>17399</v>
      </c>
      <c r="K5195" s="0" t="s">
        <v>17400</v>
      </c>
      <c r="L5195" s="0" t="str">
        <f aca="false">HYPERLINK("https://www.ncbi.nlm.nih.gov/nuccore/CP000304.1?report=graph&amp;tracks=[key:gene_model_track,Options:GeneOnly]&amp;mk=1445248:1445267|offset_20|444444,1445284:1445303|offset_56|00cc00,1445308:1445327|offset_80|444444,1445339:1445358|offset_111|444444&amp;v=1445047:1445558&amp;c=444444", "offset 56")</f>
        <v>offset 56</v>
      </c>
    </row>
    <row r="5196" customFormat="false" ht="12.8" hidden="false" customHeight="false" outlineLevel="0" collapsed="false">
      <c r="A5196" s="0" t="s">
        <v>12</v>
      </c>
      <c r="B5196" s="0" t="n">
        <v>1445307</v>
      </c>
      <c r="C5196" s="0" t="n">
        <v>1445327</v>
      </c>
      <c r="D5196" s="0" t="s">
        <v>17394</v>
      </c>
      <c r="E5196" s="0" t="s">
        <v>89</v>
      </c>
      <c r="F5196" s="0" t="s">
        <v>15</v>
      </c>
      <c r="G5196" s="0" t="s">
        <v>26</v>
      </c>
      <c r="H5196" s="0" t="n">
        <v>80</v>
      </c>
      <c r="I5196" s="0" t="s">
        <v>17401</v>
      </c>
      <c r="J5196" s="0" t="s">
        <v>17402</v>
      </c>
      <c r="K5196" s="0" t="s">
        <v>17403</v>
      </c>
      <c r="L5196" s="0" t="str">
        <f aca="false">HYPERLINK("https://www.ncbi.nlm.nih.gov/nuccore/CP000304.1?report=graph&amp;tracks=[key:gene_model_track,Options:GeneOnly]&amp;mk=1445248:1445267|offset_20|444444,1445284:1445303|offset_56|444444,1445308:1445327|offset_80|00cc00,1445339:1445358|offset_111|444444&amp;v=1445047:1445558&amp;c=444444", "offset 80")</f>
        <v>offset 80</v>
      </c>
    </row>
    <row r="5197" customFormat="false" ht="12.8" hidden="false" customHeight="false" outlineLevel="0" collapsed="false">
      <c r="A5197" s="0" t="s">
        <v>12</v>
      </c>
      <c r="B5197" s="0" t="n">
        <v>1445338</v>
      </c>
      <c r="C5197" s="0" t="n">
        <v>1445358</v>
      </c>
      <c r="D5197" s="0" t="s">
        <v>17394</v>
      </c>
      <c r="E5197" s="0" t="s">
        <v>89</v>
      </c>
      <c r="F5197" s="0" t="s">
        <v>15</v>
      </c>
      <c r="G5197" s="0" t="s">
        <v>16</v>
      </c>
      <c r="H5197" s="0" t="n">
        <v>111</v>
      </c>
      <c r="I5197" s="0" t="s">
        <v>17404</v>
      </c>
      <c r="J5197" s="0" t="s">
        <v>17405</v>
      </c>
      <c r="K5197" s="0" t="s">
        <v>17406</v>
      </c>
      <c r="L5197" s="0" t="str">
        <f aca="false">HYPERLINK("https://www.ncbi.nlm.nih.gov/nuccore/CP000304.1?report=graph&amp;tracks=[key:gene_model_track,Options:GeneOnly]&amp;mk=1445248:1445267|offset_20|444444,1445284:1445303|offset_56|444444,1445308:1445327|offset_80|444444,1445339:1445358|offset_111|00cc00&amp;v=1445047:1445558&amp;c=444444", "offset 111")</f>
        <v>offset 111</v>
      </c>
    </row>
    <row r="5198" customFormat="false" ht="12.8" hidden="false" customHeight="false" outlineLevel="0" collapsed="false">
      <c r="A5198" s="0" t="s">
        <v>12</v>
      </c>
      <c r="B5198" s="0" t="n">
        <v>1446388</v>
      </c>
      <c r="C5198" s="0" t="n">
        <v>1446408</v>
      </c>
      <c r="D5198" s="0" t="s">
        <v>17407</v>
      </c>
      <c r="E5198" s="0" t="s">
        <v>89</v>
      </c>
      <c r="F5198" s="0" t="s">
        <v>90</v>
      </c>
      <c r="G5198" s="0" t="s">
        <v>32</v>
      </c>
      <c r="H5198" s="0" t="n">
        <v>11</v>
      </c>
      <c r="I5198" s="0" t="s">
        <v>17408</v>
      </c>
      <c r="J5198" s="0" t="s">
        <v>17409</v>
      </c>
      <c r="K5198" s="0" t="s">
        <v>17410</v>
      </c>
      <c r="L5198" s="0" t="str">
        <f aca="false">HYPERLINK("https://www.ncbi.nlm.nih.gov/nuccore/CP000304.1?report=graph&amp;tracks=[key:gene_model_track,Options:GeneOnly]&amp;mk=1446389:1446408|offset_11|00cc00,1446369:1446388|offset_31|444444,1446347:1446366|offset_53|444444,1446326:1446345|offset_74|444444&amp;v=1446188:1446545&amp;c=444444", "offset 11")</f>
        <v>offset 11</v>
      </c>
    </row>
    <row r="5199" customFormat="false" ht="12.8" hidden="false" customHeight="false" outlineLevel="0" collapsed="false">
      <c r="A5199" s="0" t="s">
        <v>12</v>
      </c>
      <c r="B5199" s="0" t="n">
        <v>1446368</v>
      </c>
      <c r="C5199" s="0" t="n">
        <v>1446388</v>
      </c>
      <c r="D5199" s="0" t="s">
        <v>17407</v>
      </c>
      <c r="E5199" s="0" t="s">
        <v>89</v>
      </c>
      <c r="F5199" s="0" t="s">
        <v>90</v>
      </c>
      <c r="G5199" s="0" t="s">
        <v>32</v>
      </c>
      <c r="H5199" s="0" t="n">
        <v>31</v>
      </c>
      <c r="I5199" s="0" t="s">
        <v>17411</v>
      </c>
      <c r="J5199" s="0" t="s">
        <v>17412</v>
      </c>
      <c r="K5199" s="0" t="s">
        <v>17413</v>
      </c>
      <c r="L5199" s="0" t="str">
        <f aca="false">HYPERLINK("https://www.ncbi.nlm.nih.gov/nuccore/CP000304.1?report=graph&amp;tracks=[key:gene_model_track,Options:GeneOnly]&amp;mk=1446389:1446408|offset_11|444444,1446369:1446388|offset_31|00cc00,1446347:1446366|offset_53|444444,1446326:1446345|offset_74|444444&amp;v=1446188:1446545&amp;c=444444", "offset 31")</f>
        <v>offset 31</v>
      </c>
    </row>
    <row r="5200" customFormat="false" ht="12.8" hidden="false" customHeight="false" outlineLevel="0" collapsed="false">
      <c r="A5200" s="0" t="s">
        <v>12</v>
      </c>
      <c r="B5200" s="0" t="n">
        <v>1446346</v>
      </c>
      <c r="C5200" s="0" t="n">
        <v>1446366</v>
      </c>
      <c r="D5200" s="0" t="s">
        <v>17407</v>
      </c>
      <c r="E5200" s="0" t="s">
        <v>89</v>
      </c>
      <c r="F5200" s="0" t="s">
        <v>90</v>
      </c>
      <c r="G5200" s="0" t="s">
        <v>36</v>
      </c>
      <c r="H5200" s="0" t="n">
        <v>53</v>
      </c>
      <c r="I5200" s="0" t="s">
        <v>17414</v>
      </c>
      <c r="J5200" s="0" t="s">
        <v>17415</v>
      </c>
      <c r="K5200" s="0" t="s">
        <v>17416</v>
      </c>
      <c r="L5200" s="0" t="str">
        <f aca="false">HYPERLINK("https://www.ncbi.nlm.nih.gov/nuccore/CP000304.1?report=graph&amp;tracks=[key:gene_model_track,Options:GeneOnly]&amp;mk=1446389:1446408|offset_11|444444,1446369:1446388|offset_31|444444,1446347:1446366|offset_53|00cc00,1446326:1446345|offset_74|444444&amp;v=1446188:1446545&amp;c=444444", "offset 53")</f>
        <v>offset 53</v>
      </c>
    </row>
    <row r="5201" customFormat="false" ht="12.8" hidden="false" customHeight="false" outlineLevel="0" collapsed="false">
      <c r="A5201" s="0" t="s">
        <v>12</v>
      </c>
      <c r="B5201" s="0" t="n">
        <v>1446325</v>
      </c>
      <c r="C5201" s="0" t="n">
        <v>1446345</v>
      </c>
      <c r="D5201" s="0" t="s">
        <v>17407</v>
      </c>
      <c r="E5201" s="0" t="s">
        <v>89</v>
      </c>
      <c r="F5201" s="0" t="s">
        <v>90</v>
      </c>
      <c r="G5201" s="0" t="s">
        <v>32</v>
      </c>
      <c r="H5201" s="0" t="n">
        <v>74</v>
      </c>
      <c r="I5201" s="0" t="s">
        <v>17417</v>
      </c>
      <c r="J5201" s="0" t="s">
        <v>17418</v>
      </c>
      <c r="K5201" s="0" t="s">
        <v>17419</v>
      </c>
      <c r="L5201" s="0" t="str">
        <f aca="false">HYPERLINK("https://www.ncbi.nlm.nih.gov/nuccore/CP000304.1?report=graph&amp;tracks=[key:gene_model_track,Options:GeneOnly]&amp;mk=1446389:1446408|offset_11|444444,1446369:1446388|offset_31|444444,1446347:1446366|offset_53|444444,1446326:1446345|offset_74|00cc00&amp;v=1446188:1446545&amp;c=444444", "offset 74")</f>
        <v>offset 74</v>
      </c>
    </row>
    <row r="5202" customFormat="false" ht="12.8" hidden="false" customHeight="false" outlineLevel="0" collapsed="false">
      <c r="A5202" s="0" t="s">
        <v>12</v>
      </c>
      <c r="B5202" s="0" t="n">
        <v>1447590</v>
      </c>
      <c r="C5202" s="0" t="n">
        <v>1447610</v>
      </c>
      <c r="D5202" s="0" t="s">
        <v>17420</v>
      </c>
      <c r="E5202" s="0" t="s">
        <v>17421</v>
      </c>
      <c r="F5202" s="0" t="s">
        <v>90</v>
      </c>
      <c r="G5202" s="0" t="s">
        <v>32</v>
      </c>
      <c r="H5202" s="0" t="n">
        <v>15</v>
      </c>
      <c r="I5202" s="0" t="s">
        <v>17422</v>
      </c>
      <c r="J5202" s="0" t="s">
        <v>17423</v>
      </c>
      <c r="K5202" s="0" t="s">
        <v>17424</v>
      </c>
      <c r="L5202" s="0" t="str">
        <f aca="false">HYPERLINK("https://www.ncbi.nlm.nih.gov/nuccore/CP000304.1?report=graph&amp;tracks=[key:gene_model_track,Options:GeneOnly]&amp;mk=1447591:1447610|offset_15|00cc00,1447569:1447588|offset_37|444444,1447549:1447568|offset_57|444444,1447526:1447545|offset_80|444444&amp;v=1447390:1447745&amp;c=444444", "offset 15")</f>
        <v>offset 15</v>
      </c>
    </row>
    <row r="5203" customFormat="false" ht="12.8" hidden="false" customHeight="false" outlineLevel="0" collapsed="false">
      <c r="A5203" s="0" t="s">
        <v>12</v>
      </c>
      <c r="B5203" s="0" t="n">
        <v>1447568</v>
      </c>
      <c r="C5203" s="0" t="n">
        <v>1447588</v>
      </c>
      <c r="D5203" s="0" t="s">
        <v>17420</v>
      </c>
      <c r="E5203" s="0" t="s">
        <v>17421</v>
      </c>
      <c r="F5203" s="0" t="s">
        <v>90</v>
      </c>
      <c r="G5203" s="0" t="s">
        <v>36</v>
      </c>
      <c r="H5203" s="0" t="n">
        <v>37</v>
      </c>
      <c r="I5203" s="0" t="s">
        <v>17425</v>
      </c>
      <c r="J5203" s="0" t="s">
        <v>17426</v>
      </c>
      <c r="K5203" s="0" t="s">
        <v>17427</v>
      </c>
      <c r="L5203" s="0" t="str">
        <f aca="false">HYPERLINK("https://www.ncbi.nlm.nih.gov/nuccore/CP000304.1?report=graph&amp;tracks=[key:gene_model_track,Options:GeneOnly]&amp;mk=1447591:1447610|offset_15|444444,1447569:1447588|offset_37|00cc00,1447549:1447568|offset_57|444444,1447526:1447545|offset_80|444444&amp;v=1447390:1447745&amp;c=444444", "offset 37")</f>
        <v>offset 37</v>
      </c>
    </row>
    <row r="5204" customFormat="false" ht="12.8" hidden="false" customHeight="false" outlineLevel="0" collapsed="false">
      <c r="A5204" s="0" t="s">
        <v>12</v>
      </c>
      <c r="B5204" s="0" t="n">
        <v>1447548</v>
      </c>
      <c r="C5204" s="0" t="n">
        <v>1447568</v>
      </c>
      <c r="D5204" s="0" t="s">
        <v>17420</v>
      </c>
      <c r="E5204" s="0" t="s">
        <v>17421</v>
      </c>
      <c r="F5204" s="0" t="s">
        <v>90</v>
      </c>
      <c r="G5204" s="0" t="s">
        <v>36</v>
      </c>
      <c r="H5204" s="0" t="n">
        <v>57</v>
      </c>
      <c r="I5204" s="0" t="s">
        <v>17428</v>
      </c>
      <c r="J5204" s="0" t="s">
        <v>17429</v>
      </c>
      <c r="K5204" s="0" t="s">
        <v>17430</v>
      </c>
      <c r="L5204" s="0" t="str">
        <f aca="false">HYPERLINK("https://www.ncbi.nlm.nih.gov/nuccore/CP000304.1?report=graph&amp;tracks=[key:gene_model_track,Options:GeneOnly]&amp;mk=1447591:1447610|offset_15|444444,1447569:1447588|offset_37|444444,1447549:1447568|offset_57|00cc00,1447526:1447545|offset_80|444444&amp;v=1447390:1447745&amp;c=444444", "offset 57")</f>
        <v>offset 57</v>
      </c>
    </row>
    <row r="5205" customFormat="false" ht="12.8" hidden="false" customHeight="false" outlineLevel="0" collapsed="false">
      <c r="A5205" s="0" t="s">
        <v>12</v>
      </c>
      <c r="B5205" s="0" t="n">
        <v>1447525</v>
      </c>
      <c r="C5205" s="0" t="n">
        <v>1447545</v>
      </c>
      <c r="D5205" s="0" t="s">
        <v>17420</v>
      </c>
      <c r="E5205" s="0" t="s">
        <v>17421</v>
      </c>
      <c r="F5205" s="0" t="s">
        <v>90</v>
      </c>
      <c r="G5205" s="0" t="s">
        <v>26</v>
      </c>
      <c r="H5205" s="0" t="n">
        <v>80</v>
      </c>
      <c r="I5205" s="0" t="s">
        <v>17431</v>
      </c>
      <c r="J5205" s="0" t="s">
        <v>17432</v>
      </c>
      <c r="K5205" s="0" t="s">
        <v>17433</v>
      </c>
      <c r="L5205" s="0" t="str">
        <f aca="false">HYPERLINK("https://www.ncbi.nlm.nih.gov/nuccore/CP000304.1?report=graph&amp;tracks=[key:gene_model_track,Options:GeneOnly]&amp;mk=1447591:1447610|offset_15|444444,1447569:1447588|offset_37|444444,1447549:1447568|offset_57|444444,1447526:1447545|offset_80|00cc00&amp;v=1447390:1447745&amp;c=444444", "offset 80")</f>
        <v>offset 80</v>
      </c>
    </row>
    <row r="5206" customFormat="false" ht="12.8" hidden="false" customHeight="false" outlineLevel="0" collapsed="false">
      <c r="A5206" s="0" t="s">
        <v>12</v>
      </c>
      <c r="B5206" s="0" t="n">
        <v>1448255</v>
      </c>
      <c r="C5206" s="0" t="n">
        <v>1448275</v>
      </c>
      <c r="D5206" s="0" t="s">
        <v>17434</v>
      </c>
      <c r="E5206" s="0" t="s">
        <v>17435</v>
      </c>
      <c r="F5206" s="0" t="s">
        <v>90</v>
      </c>
      <c r="G5206" s="0" t="s">
        <v>26</v>
      </c>
      <c r="H5206" s="0" t="n">
        <v>43</v>
      </c>
      <c r="I5206" s="0" t="s">
        <v>17436</v>
      </c>
      <c r="J5206" s="0" t="s">
        <v>17437</v>
      </c>
      <c r="K5206" s="0" t="s">
        <v>17438</v>
      </c>
      <c r="L5206" s="0" t="str">
        <f aca="false">HYPERLINK("https://www.ncbi.nlm.nih.gov/nuccore/CP000304.1?report=graph&amp;tracks=[key:gene_model_track,Options:GeneOnly]&amp;mk=1448256:1448275|offset_43|00cc00,1448235:1448254|offset_64|444444,1448206:1448225|offset_93|444444,1448173:1448192|offset_126|444444&amp;v=1448055:1448392&amp;c=444444", "offset 43")</f>
        <v>offset 43</v>
      </c>
    </row>
    <row r="5207" customFormat="false" ht="12.8" hidden="false" customHeight="false" outlineLevel="0" collapsed="false">
      <c r="A5207" s="0" t="s">
        <v>12</v>
      </c>
      <c r="B5207" s="0" t="n">
        <v>1448234</v>
      </c>
      <c r="C5207" s="0" t="n">
        <v>1448254</v>
      </c>
      <c r="D5207" s="0" t="s">
        <v>17434</v>
      </c>
      <c r="E5207" s="0" t="s">
        <v>17435</v>
      </c>
      <c r="F5207" s="0" t="s">
        <v>90</v>
      </c>
      <c r="G5207" s="0" t="s">
        <v>32</v>
      </c>
      <c r="H5207" s="0" t="n">
        <v>64</v>
      </c>
      <c r="I5207" s="0" t="s">
        <v>17439</v>
      </c>
      <c r="J5207" s="0" t="s">
        <v>17440</v>
      </c>
      <c r="K5207" s="0" t="s">
        <v>17441</v>
      </c>
      <c r="L5207" s="0" t="str">
        <f aca="false">HYPERLINK("https://www.ncbi.nlm.nih.gov/nuccore/CP000304.1?report=graph&amp;tracks=[key:gene_model_track,Options:GeneOnly]&amp;mk=1448256:1448275|offset_43|444444,1448235:1448254|offset_64|00cc00,1448206:1448225|offset_93|444444,1448173:1448192|offset_126|444444&amp;v=1448055:1448392&amp;c=444444", "offset 64")</f>
        <v>offset 64</v>
      </c>
    </row>
    <row r="5208" customFormat="false" ht="12.8" hidden="false" customHeight="false" outlineLevel="0" collapsed="false">
      <c r="A5208" s="0" t="s">
        <v>12</v>
      </c>
      <c r="B5208" s="0" t="n">
        <v>1448205</v>
      </c>
      <c r="C5208" s="0" t="n">
        <v>1448225</v>
      </c>
      <c r="D5208" s="0" t="s">
        <v>17434</v>
      </c>
      <c r="E5208" s="0" t="s">
        <v>17435</v>
      </c>
      <c r="F5208" s="0" t="s">
        <v>90</v>
      </c>
      <c r="G5208" s="0" t="s">
        <v>16</v>
      </c>
      <c r="H5208" s="0" t="n">
        <v>93</v>
      </c>
      <c r="I5208" s="0" t="s">
        <v>17442</v>
      </c>
      <c r="J5208" s="0" t="s">
        <v>17443</v>
      </c>
      <c r="K5208" s="0" t="s">
        <v>17444</v>
      </c>
      <c r="L5208" s="0" t="str">
        <f aca="false">HYPERLINK("https://www.ncbi.nlm.nih.gov/nuccore/CP000304.1?report=graph&amp;tracks=[key:gene_model_track,Options:GeneOnly]&amp;mk=1448256:1448275|offset_43|444444,1448235:1448254|offset_64|444444,1448206:1448225|offset_93|00cc00,1448173:1448192|offset_126|444444&amp;v=1448055:1448392&amp;c=444444", "offset 93")</f>
        <v>offset 93</v>
      </c>
    </row>
    <row r="5209" customFormat="false" ht="12.8" hidden="false" customHeight="false" outlineLevel="0" collapsed="false">
      <c r="A5209" s="0" t="s">
        <v>12</v>
      </c>
      <c r="B5209" s="0" t="n">
        <v>1448172</v>
      </c>
      <c r="C5209" s="0" t="n">
        <v>1448192</v>
      </c>
      <c r="D5209" s="0" t="s">
        <v>17434</v>
      </c>
      <c r="E5209" s="0" t="s">
        <v>17435</v>
      </c>
      <c r="F5209" s="0" t="s">
        <v>90</v>
      </c>
      <c r="G5209" s="0" t="s">
        <v>16</v>
      </c>
      <c r="H5209" s="0" t="n">
        <v>126</v>
      </c>
      <c r="I5209" s="0" t="s">
        <v>17445</v>
      </c>
      <c r="J5209" s="0" t="s">
        <v>17446</v>
      </c>
      <c r="K5209" s="0" t="s">
        <v>17447</v>
      </c>
      <c r="L5209" s="0" t="str">
        <f aca="false">HYPERLINK("https://www.ncbi.nlm.nih.gov/nuccore/CP000304.1?report=graph&amp;tracks=[key:gene_model_track,Options:GeneOnly]&amp;mk=1448256:1448275|offset_43|444444,1448235:1448254|offset_64|444444,1448206:1448225|offset_93|444444,1448173:1448192|offset_126|00cc00&amp;v=1448055:1448392&amp;c=444444", "offset 126")</f>
        <v>offset 126</v>
      </c>
    </row>
    <row r="5210" customFormat="false" ht="12.8" hidden="false" customHeight="false" outlineLevel="0" collapsed="false">
      <c r="A5210" s="0" t="s">
        <v>12</v>
      </c>
      <c r="B5210" s="0" t="n">
        <v>1449056</v>
      </c>
      <c r="C5210" s="0" t="n">
        <v>1449076</v>
      </c>
      <c r="D5210" s="0" t="s">
        <v>17448</v>
      </c>
      <c r="E5210" s="0" t="s">
        <v>17449</v>
      </c>
      <c r="F5210" s="0" t="s">
        <v>90</v>
      </c>
      <c r="G5210" s="0" t="s">
        <v>32</v>
      </c>
      <c r="H5210" s="0" t="n">
        <v>1</v>
      </c>
      <c r="I5210" s="0" t="s">
        <v>17450</v>
      </c>
      <c r="J5210" s="0" t="s">
        <v>17451</v>
      </c>
      <c r="K5210" s="0" t="s">
        <v>17452</v>
      </c>
      <c r="L5210" s="0" t="str">
        <f aca="false">HYPERLINK("https://www.ncbi.nlm.nih.gov/nuccore/CP000304.1?report=graph&amp;tracks=[key:gene_model_track,Options:GeneOnly]&amp;mk=1449057:1449076|offset_1|00cc00,1449027:1449046|offset_31|444444,1449003:1449022|offset_55|444444,1448967:1448986|offset_91|444444&amp;v=1448856:1449186&amp;c=444444", "offset 1")</f>
        <v>offset 1</v>
      </c>
    </row>
    <row r="5211" customFormat="false" ht="12.8" hidden="false" customHeight="false" outlineLevel="0" collapsed="false">
      <c r="A5211" s="0" t="s">
        <v>12</v>
      </c>
      <c r="B5211" s="0" t="n">
        <v>1449026</v>
      </c>
      <c r="C5211" s="0" t="n">
        <v>1449046</v>
      </c>
      <c r="D5211" s="0" t="s">
        <v>17448</v>
      </c>
      <c r="E5211" s="0" t="s">
        <v>17449</v>
      </c>
      <c r="F5211" s="0" t="s">
        <v>90</v>
      </c>
      <c r="G5211" s="0" t="s">
        <v>36</v>
      </c>
      <c r="H5211" s="0" t="n">
        <v>31</v>
      </c>
      <c r="I5211" s="0" t="s">
        <v>17453</v>
      </c>
      <c r="J5211" s="0" t="s">
        <v>17454</v>
      </c>
      <c r="K5211" s="0" t="s">
        <v>17455</v>
      </c>
      <c r="L5211" s="0" t="str">
        <f aca="false">HYPERLINK("https://www.ncbi.nlm.nih.gov/nuccore/CP000304.1?report=graph&amp;tracks=[key:gene_model_track,Options:GeneOnly]&amp;mk=1449057:1449076|offset_1|444444,1449027:1449046|offset_31|00cc00,1449003:1449022|offset_55|444444,1448967:1448986|offset_91|444444&amp;v=1448856:1449186&amp;c=444444", "offset 31")</f>
        <v>offset 31</v>
      </c>
    </row>
    <row r="5212" customFormat="false" ht="12.8" hidden="false" customHeight="false" outlineLevel="0" collapsed="false">
      <c r="A5212" s="0" t="s">
        <v>12</v>
      </c>
      <c r="B5212" s="0" t="n">
        <v>1449002</v>
      </c>
      <c r="C5212" s="0" t="n">
        <v>1449022</v>
      </c>
      <c r="D5212" s="0" t="s">
        <v>17448</v>
      </c>
      <c r="E5212" s="0" t="s">
        <v>17449</v>
      </c>
      <c r="F5212" s="0" t="s">
        <v>90</v>
      </c>
      <c r="G5212" s="0" t="s">
        <v>16</v>
      </c>
      <c r="H5212" s="0" t="n">
        <v>55</v>
      </c>
      <c r="I5212" s="0" t="s">
        <v>17456</v>
      </c>
      <c r="J5212" s="0" t="s">
        <v>17457</v>
      </c>
      <c r="K5212" s="0" t="s">
        <v>17458</v>
      </c>
      <c r="L5212" s="0" t="str">
        <f aca="false">HYPERLINK("https://www.ncbi.nlm.nih.gov/nuccore/CP000304.1?report=graph&amp;tracks=[key:gene_model_track,Options:GeneOnly]&amp;mk=1449057:1449076|offset_1|444444,1449027:1449046|offset_31|444444,1449003:1449022|offset_55|00cc00,1448967:1448986|offset_91|444444&amp;v=1448856:1449186&amp;c=444444", "offset 55")</f>
        <v>offset 55</v>
      </c>
    </row>
    <row r="5213" customFormat="false" ht="12.8" hidden="false" customHeight="false" outlineLevel="0" collapsed="false">
      <c r="A5213" s="0" t="s">
        <v>12</v>
      </c>
      <c r="B5213" s="0" t="n">
        <v>1448966</v>
      </c>
      <c r="C5213" s="0" t="n">
        <v>1448986</v>
      </c>
      <c r="D5213" s="0" t="s">
        <v>17448</v>
      </c>
      <c r="E5213" s="0" t="s">
        <v>17449</v>
      </c>
      <c r="F5213" s="0" t="s">
        <v>90</v>
      </c>
      <c r="G5213" s="0" t="s">
        <v>32</v>
      </c>
      <c r="H5213" s="0" t="n">
        <v>91</v>
      </c>
      <c r="I5213" s="0" t="s">
        <v>17459</v>
      </c>
      <c r="J5213" s="0" t="s">
        <v>17460</v>
      </c>
      <c r="K5213" s="0" t="s">
        <v>17461</v>
      </c>
      <c r="L5213" s="0" t="str">
        <f aca="false">HYPERLINK("https://www.ncbi.nlm.nih.gov/nuccore/CP000304.1?report=graph&amp;tracks=[key:gene_model_track,Options:GeneOnly]&amp;mk=1449057:1449076|offset_1|444444,1449027:1449046|offset_31|444444,1449003:1449022|offset_55|444444,1448967:1448986|offset_91|00cc00&amp;v=1448856:1449186&amp;c=444444", "offset 91")</f>
        <v>offset 91</v>
      </c>
    </row>
    <row r="5214" customFormat="false" ht="12.8" hidden="false" customHeight="false" outlineLevel="0" collapsed="false">
      <c r="A5214" s="0" t="s">
        <v>12</v>
      </c>
      <c r="B5214" s="0" t="n">
        <v>1449858</v>
      </c>
      <c r="C5214" s="0" t="n">
        <v>1449878</v>
      </c>
      <c r="D5214" s="0" t="s">
        <v>17462</v>
      </c>
      <c r="E5214" s="0" t="s">
        <v>89</v>
      </c>
      <c r="F5214" s="0" t="s">
        <v>90</v>
      </c>
      <c r="G5214" s="0" t="s">
        <v>26</v>
      </c>
      <c r="H5214" s="0" t="n">
        <v>17</v>
      </c>
      <c r="I5214" s="0" t="s">
        <v>17463</v>
      </c>
      <c r="J5214" s="0" t="s">
        <v>17464</v>
      </c>
      <c r="K5214" s="0" t="s">
        <v>17465</v>
      </c>
      <c r="L5214" s="0" t="str">
        <f aca="false">HYPERLINK("https://www.ncbi.nlm.nih.gov/nuccore/CP000304.1?report=graph&amp;tracks=[key:gene_model_track,Options:GeneOnly]&amp;mk=1449859:1449878|offset_17|00cc00,1449838:1449857|offset_38|444444,1449764:1449783|offset_112|444444,1449743:1449762|offset_133|444444&amp;v=1449658:1449962&amp;c=444444", "offset 17")</f>
        <v>offset 17</v>
      </c>
    </row>
    <row r="5215" customFormat="false" ht="12.8" hidden="false" customHeight="false" outlineLevel="0" collapsed="false">
      <c r="A5215" s="0" t="s">
        <v>12</v>
      </c>
      <c r="B5215" s="0" t="n">
        <v>1449837</v>
      </c>
      <c r="C5215" s="0" t="n">
        <v>1449857</v>
      </c>
      <c r="D5215" s="0" t="s">
        <v>17462</v>
      </c>
      <c r="E5215" s="0" t="s">
        <v>89</v>
      </c>
      <c r="F5215" s="0" t="s">
        <v>90</v>
      </c>
      <c r="G5215" s="0" t="s">
        <v>32</v>
      </c>
      <c r="H5215" s="0" t="n">
        <v>38</v>
      </c>
      <c r="I5215" s="0" t="s">
        <v>17466</v>
      </c>
      <c r="J5215" s="0" t="s">
        <v>17467</v>
      </c>
      <c r="K5215" s="0" t="s">
        <v>17468</v>
      </c>
      <c r="L5215" s="0" t="str">
        <f aca="false">HYPERLINK("https://www.ncbi.nlm.nih.gov/nuccore/CP000304.1?report=graph&amp;tracks=[key:gene_model_track,Options:GeneOnly]&amp;mk=1449859:1449878|offset_17|444444,1449838:1449857|offset_38|00cc00,1449764:1449783|offset_112|444444,1449743:1449762|offset_133|444444&amp;v=1449658:1449962&amp;c=444444", "offset 38")</f>
        <v>offset 38</v>
      </c>
    </row>
    <row r="5216" customFormat="false" ht="12.8" hidden="false" customHeight="false" outlineLevel="0" collapsed="false">
      <c r="A5216" s="0" t="s">
        <v>12</v>
      </c>
      <c r="B5216" s="0" t="n">
        <v>1449763</v>
      </c>
      <c r="C5216" s="0" t="n">
        <v>1449783</v>
      </c>
      <c r="D5216" s="0" t="s">
        <v>17462</v>
      </c>
      <c r="E5216" s="0" t="s">
        <v>89</v>
      </c>
      <c r="F5216" s="0" t="s">
        <v>90</v>
      </c>
      <c r="G5216" s="0" t="s">
        <v>32</v>
      </c>
      <c r="H5216" s="0" t="n">
        <v>112</v>
      </c>
      <c r="I5216" s="0" t="s">
        <v>17469</v>
      </c>
      <c r="J5216" s="0" t="s">
        <v>17470</v>
      </c>
      <c r="K5216" s="0" t="s">
        <v>17471</v>
      </c>
      <c r="L5216" s="0" t="str">
        <f aca="false">HYPERLINK("https://www.ncbi.nlm.nih.gov/nuccore/CP000304.1?report=graph&amp;tracks=[key:gene_model_track,Options:GeneOnly]&amp;mk=1449859:1449878|offset_17|444444,1449838:1449857|offset_38|444444,1449764:1449783|offset_112|00cc00,1449743:1449762|offset_133|444444&amp;v=1449658:1449962&amp;c=444444", "offset 112")</f>
        <v>offset 112</v>
      </c>
    </row>
    <row r="5217" customFormat="false" ht="12.8" hidden="false" customHeight="false" outlineLevel="0" collapsed="false">
      <c r="A5217" s="0" t="s">
        <v>12</v>
      </c>
      <c r="B5217" s="0" t="n">
        <v>1449742</v>
      </c>
      <c r="C5217" s="0" t="n">
        <v>1449762</v>
      </c>
      <c r="D5217" s="0" t="s">
        <v>17462</v>
      </c>
      <c r="E5217" s="0" t="s">
        <v>89</v>
      </c>
      <c r="F5217" s="0" t="s">
        <v>90</v>
      </c>
      <c r="G5217" s="0" t="s">
        <v>16</v>
      </c>
      <c r="H5217" s="0" t="n">
        <v>133</v>
      </c>
      <c r="I5217" s="0" t="s">
        <v>17472</v>
      </c>
      <c r="J5217" s="0" t="s">
        <v>17473</v>
      </c>
      <c r="K5217" s="0" t="s">
        <v>17474</v>
      </c>
      <c r="L5217" s="0" t="str">
        <f aca="false">HYPERLINK("https://www.ncbi.nlm.nih.gov/nuccore/CP000304.1?report=graph&amp;tracks=[key:gene_model_track,Options:GeneOnly]&amp;mk=1449859:1449878|offset_17|444444,1449838:1449857|offset_38|444444,1449764:1449783|offset_112|444444,1449743:1449762|offset_133|00cc00&amp;v=1449658:1449962&amp;c=444444", "offset 133")</f>
        <v>offset 133</v>
      </c>
    </row>
    <row r="5218" customFormat="false" ht="12.8" hidden="false" customHeight="false" outlineLevel="0" collapsed="false">
      <c r="A5218" s="0" t="s">
        <v>12</v>
      </c>
      <c r="B5218" s="0" t="n">
        <v>1450285</v>
      </c>
      <c r="C5218" s="0" t="n">
        <v>1450305</v>
      </c>
      <c r="D5218" s="0" t="s">
        <v>17475</v>
      </c>
      <c r="E5218" s="0" t="s">
        <v>17476</v>
      </c>
      <c r="F5218" s="0" t="s">
        <v>15</v>
      </c>
      <c r="G5218" s="0" t="s">
        <v>16</v>
      </c>
      <c r="H5218" s="0" t="n">
        <v>0</v>
      </c>
      <c r="I5218" s="0" t="s">
        <v>17477</v>
      </c>
      <c r="J5218" s="0" t="s">
        <v>17478</v>
      </c>
      <c r="K5218" s="0" t="s">
        <v>17479</v>
      </c>
      <c r="L5218" s="0" t="str">
        <f aca="false">HYPERLINK("https://www.ncbi.nlm.nih.gov/nuccore/CP000304.1?report=graph&amp;tracks=[key:gene_model_track,Options:GeneOnly]&amp;mk=1450286:1450305|offset_0|00cc00,1450311:1450330|offset_25|444444,1450344:1450363|offset_58|444444,1450372:1450391|offset_86|444444&amp;v=1450085:1450591&amp;c=444444", "offset 0")</f>
        <v>offset 0</v>
      </c>
    </row>
    <row r="5219" customFormat="false" ht="12.8" hidden="false" customHeight="false" outlineLevel="0" collapsed="false">
      <c r="A5219" s="0" t="s">
        <v>12</v>
      </c>
      <c r="B5219" s="0" t="n">
        <v>1450310</v>
      </c>
      <c r="C5219" s="0" t="n">
        <v>1450330</v>
      </c>
      <c r="D5219" s="0" t="s">
        <v>17475</v>
      </c>
      <c r="E5219" s="0" t="s">
        <v>17476</v>
      </c>
      <c r="F5219" s="0" t="s">
        <v>15</v>
      </c>
      <c r="G5219" s="0" t="s">
        <v>32</v>
      </c>
      <c r="H5219" s="0" t="n">
        <v>25</v>
      </c>
      <c r="I5219" s="0" t="s">
        <v>17480</v>
      </c>
      <c r="J5219" s="0" t="s">
        <v>17481</v>
      </c>
      <c r="K5219" s="0" t="s">
        <v>17482</v>
      </c>
      <c r="L5219" s="0" t="str">
        <f aca="false">HYPERLINK("https://www.ncbi.nlm.nih.gov/nuccore/CP000304.1?report=graph&amp;tracks=[key:gene_model_track,Options:GeneOnly]&amp;mk=1450286:1450305|offset_0|444444,1450311:1450330|offset_25|00cc00,1450344:1450363|offset_58|444444,1450372:1450391|offset_86|444444&amp;v=1450085:1450591&amp;c=444444", "offset 25")</f>
        <v>offset 25</v>
      </c>
    </row>
    <row r="5220" customFormat="false" ht="12.8" hidden="false" customHeight="false" outlineLevel="0" collapsed="false">
      <c r="A5220" s="0" t="s">
        <v>12</v>
      </c>
      <c r="B5220" s="0" t="n">
        <v>1450343</v>
      </c>
      <c r="C5220" s="0" t="n">
        <v>1450363</v>
      </c>
      <c r="D5220" s="0" t="s">
        <v>17475</v>
      </c>
      <c r="E5220" s="0" t="s">
        <v>17476</v>
      </c>
      <c r="F5220" s="0" t="s">
        <v>15</v>
      </c>
      <c r="G5220" s="0" t="s">
        <v>16</v>
      </c>
      <c r="H5220" s="0" t="n">
        <v>58</v>
      </c>
      <c r="I5220" s="0" t="s">
        <v>17483</v>
      </c>
      <c r="J5220" s="0" t="s">
        <v>17484</v>
      </c>
      <c r="K5220" s="0" t="s">
        <v>17485</v>
      </c>
      <c r="L5220" s="0" t="str">
        <f aca="false">HYPERLINK("https://www.ncbi.nlm.nih.gov/nuccore/CP000304.1?report=graph&amp;tracks=[key:gene_model_track,Options:GeneOnly]&amp;mk=1450286:1450305|offset_0|444444,1450311:1450330|offset_25|444444,1450344:1450363|offset_58|00cc00,1450372:1450391|offset_86|444444&amp;v=1450085:1450591&amp;c=444444", "offset 58")</f>
        <v>offset 58</v>
      </c>
    </row>
    <row r="5221" customFormat="false" ht="12.8" hidden="false" customHeight="false" outlineLevel="0" collapsed="false">
      <c r="A5221" s="0" t="s">
        <v>12</v>
      </c>
      <c r="B5221" s="0" t="n">
        <v>1450371</v>
      </c>
      <c r="C5221" s="0" t="n">
        <v>1450391</v>
      </c>
      <c r="D5221" s="0" t="s">
        <v>17475</v>
      </c>
      <c r="E5221" s="0" t="s">
        <v>17476</v>
      </c>
      <c r="F5221" s="0" t="s">
        <v>15</v>
      </c>
      <c r="G5221" s="0" t="s">
        <v>16</v>
      </c>
      <c r="H5221" s="0" t="n">
        <v>86</v>
      </c>
      <c r="I5221" s="0" t="s">
        <v>17486</v>
      </c>
      <c r="J5221" s="0" t="s">
        <v>17487</v>
      </c>
      <c r="K5221" s="0" t="s">
        <v>17488</v>
      </c>
      <c r="L5221" s="0" t="str">
        <f aca="false">HYPERLINK("https://www.ncbi.nlm.nih.gov/nuccore/CP000304.1?report=graph&amp;tracks=[key:gene_model_track,Options:GeneOnly]&amp;mk=1450286:1450305|offset_0|444444,1450311:1450330|offset_25|444444,1450344:1450363|offset_58|444444,1450372:1450391|offset_86|00cc00&amp;v=1450085:1450591&amp;c=444444", "offset 86")</f>
        <v>offset 86</v>
      </c>
    </row>
    <row r="5222" customFormat="false" ht="12.8" hidden="false" customHeight="false" outlineLevel="0" collapsed="false">
      <c r="A5222" s="0" t="s">
        <v>12</v>
      </c>
      <c r="B5222" s="0" t="n">
        <v>1450715</v>
      </c>
      <c r="C5222" s="0" t="n">
        <v>1450735</v>
      </c>
      <c r="D5222" s="0" t="s">
        <v>17489</v>
      </c>
      <c r="E5222" s="0" t="s">
        <v>17490</v>
      </c>
      <c r="F5222" s="0" t="s">
        <v>15</v>
      </c>
      <c r="G5222" s="0" t="s">
        <v>16</v>
      </c>
      <c r="H5222" s="0" t="n">
        <v>45</v>
      </c>
      <c r="I5222" s="0" t="s">
        <v>17491</v>
      </c>
      <c r="J5222" s="0" t="s">
        <v>17492</v>
      </c>
      <c r="K5222" s="0" t="s">
        <v>17493</v>
      </c>
      <c r="L5222" s="0" t="str">
        <f aca="false">HYPERLINK("https://www.ncbi.nlm.nih.gov/nuccore/CP000304.1?report=graph&amp;tracks=[key:gene_model_track,Options:GeneOnly]&amp;mk=1450716:1450735|offset_45|00cc00,1450738:1450757|offset_67|444444,1450786:1450805|offset_115|444444,1450812:1450831|offset_141|444444&amp;v=1450515:1451031&amp;c=444444", "offset 45")</f>
        <v>offset 45</v>
      </c>
    </row>
    <row r="5223" customFormat="false" ht="12.8" hidden="false" customHeight="false" outlineLevel="0" collapsed="false">
      <c r="A5223" s="0" t="s">
        <v>12</v>
      </c>
      <c r="B5223" s="0" t="n">
        <v>1450737</v>
      </c>
      <c r="C5223" s="0" t="n">
        <v>1450757</v>
      </c>
      <c r="D5223" s="0" t="s">
        <v>17489</v>
      </c>
      <c r="E5223" s="0" t="s">
        <v>17490</v>
      </c>
      <c r="F5223" s="0" t="s">
        <v>15</v>
      </c>
      <c r="G5223" s="0" t="s">
        <v>16</v>
      </c>
      <c r="H5223" s="0" t="n">
        <v>67</v>
      </c>
      <c r="I5223" s="0" t="s">
        <v>17494</v>
      </c>
      <c r="J5223" s="0" t="s">
        <v>17495</v>
      </c>
      <c r="K5223" s="0" t="s">
        <v>17496</v>
      </c>
      <c r="L5223" s="0" t="str">
        <f aca="false">HYPERLINK("https://www.ncbi.nlm.nih.gov/nuccore/CP000304.1?report=graph&amp;tracks=[key:gene_model_track,Options:GeneOnly]&amp;mk=1450716:1450735|offset_45|444444,1450738:1450757|offset_67|00cc00,1450786:1450805|offset_115|444444,1450812:1450831|offset_141|444444&amp;v=1450515:1451031&amp;c=444444", "offset 67")</f>
        <v>offset 67</v>
      </c>
    </row>
    <row r="5224" customFormat="false" ht="12.8" hidden="false" customHeight="false" outlineLevel="0" collapsed="false">
      <c r="A5224" s="0" t="s">
        <v>12</v>
      </c>
      <c r="B5224" s="0" t="n">
        <v>1450785</v>
      </c>
      <c r="C5224" s="0" t="n">
        <v>1450805</v>
      </c>
      <c r="D5224" s="0" t="s">
        <v>17489</v>
      </c>
      <c r="E5224" s="0" t="s">
        <v>17490</v>
      </c>
      <c r="F5224" s="0" t="s">
        <v>15</v>
      </c>
      <c r="G5224" s="0" t="s">
        <v>36</v>
      </c>
      <c r="H5224" s="0" t="n">
        <v>115</v>
      </c>
      <c r="I5224" s="0" t="s">
        <v>17497</v>
      </c>
      <c r="J5224" s="0" t="s">
        <v>17498</v>
      </c>
      <c r="K5224" s="0" t="s">
        <v>17499</v>
      </c>
      <c r="L5224" s="0" t="str">
        <f aca="false">HYPERLINK("https://www.ncbi.nlm.nih.gov/nuccore/CP000304.1?report=graph&amp;tracks=[key:gene_model_track,Options:GeneOnly]&amp;mk=1450716:1450735|offset_45|444444,1450738:1450757|offset_67|444444,1450786:1450805|offset_115|00cc00,1450812:1450831|offset_141|444444&amp;v=1450515:1451031&amp;c=444444", "offset 115")</f>
        <v>offset 115</v>
      </c>
    </row>
    <row r="5225" customFormat="false" ht="12.8" hidden="false" customHeight="false" outlineLevel="0" collapsed="false">
      <c r="A5225" s="0" t="s">
        <v>12</v>
      </c>
      <c r="B5225" s="0" t="n">
        <v>1450811</v>
      </c>
      <c r="C5225" s="0" t="n">
        <v>1450831</v>
      </c>
      <c r="D5225" s="0" t="s">
        <v>17489</v>
      </c>
      <c r="E5225" s="0" t="s">
        <v>17490</v>
      </c>
      <c r="F5225" s="0" t="s">
        <v>15</v>
      </c>
      <c r="G5225" s="0" t="s">
        <v>16</v>
      </c>
      <c r="H5225" s="0" t="n">
        <v>141</v>
      </c>
      <c r="I5225" s="0" t="s">
        <v>17500</v>
      </c>
      <c r="J5225" s="0" t="s">
        <v>17501</v>
      </c>
      <c r="K5225" s="0" t="s">
        <v>17502</v>
      </c>
      <c r="L5225" s="0" t="str">
        <f aca="false">HYPERLINK("https://www.ncbi.nlm.nih.gov/nuccore/CP000304.1?report=graph&amp;tracks=[key:gene_model_track,Options:GeneOnly]&amp;mk=1450716:1450735|offset_45|444444,1450738:1450757|offset_67|444444,1450786:1450805|offset_115|444444,1450812:1450831|offset_141|00cc00&amp;v=1450515:1451031&amp;c=444444", "offset 141")</f>
        <v>offset 141</v>
      </c>
    </row>
    <row r="5226" customFormat="false" ht="12.8" hidden="false" customHeight="false" outlineLevel="0" collapsed="false">
      <c r="A5226" s="0" t="s">
        <v>12</v>
      </c>
      <c r="B5226" s="0" t="n">
        <v>1451656</v>
      </c>
      <c r="C5226" s="0" t="n">
        <v>1451676</v>
      </c>
      <c r="D5226" s="0" t="s">
        <v>17503</v>
      </c>
      <c r="E5226" s="0" t="s">
        <v>17504</v>
      </c>
      <c r="F5226" s="0" t="s">
        <v>15</v>
      </c>
      <c r="G5226" s="0" t="s">
        <v>32</v>
      </c>
      <c r="H5226" s="0" t="n">
        <v>34</v>
      </c>
      <c r="I5226" s="0" t="s">
        <v>17505</v>
      </c>
      <c r="J5226" s="0" t="s">
        <v>17506</v>
      </c>
      <c r="K5226" s="0" t="s">
        <v>17507</v>
      </c>
      <c r="L5226" s="0" t="str">
        <f aca="false">HYPERLINK("https://www.ncbi.nlm.nih.gov/nuccore/CP000304.1?report=graph&amp;tracks=[key:gene_model_track,Options:GeneOnly]&amp;mk=1451657:1451676|offset_34|00cc00,1451687:1451706|offset_64|444444,1451721:1451740|offset_98|444444,1451748:1451767|offset_125|444444&amp;v=1451456:1451967&amp;c=444444", "offset 34")</f>
        <v>offset 34</v>
      </c>
    </row>
    <row r="5227" customFormat="false" ht="12.8" hidden="false" customHeight="false" outlineLevel="0" collapsed="false">
      <c r="A5227" s="0" t="s">
        <v>12</v>
      </c>
      <c r="B5227" s="0" t="n">
        <v>1451686</v>
      </c>
      <c r="C5227" s="0" t="n">
        <v>1451706</v>
      </c>
      <c r="D5227" s="0" t="s">
        <v>17503</v>
      </c>
      <c r="E5227" s="0" t="s">
        <v>17504</v>
      </c>
      <c r="F5227" s="0" t="s">
        <v>15</v>
      </c>
      <c r="G5227" s="0" t="s">
        <v>32</v>
      </c>
      <c r="H5227" s="0" t="n">
        <v>64</v>
      </c>
      <c r="I5227" s="0" t="s">
        <v>17508</v>
      </c>
      <c r="J5227" s="0" t="s">
        <v>17509</v>
      </c>
      <c r="K5227" s="0" t="s">
        <v>17510</v>
      </c>
      <c r="L5227" s="0" t="str">
        <f aca="false">HYPERLINK("https://www.ncbi.nlm.nih.gov/nuccore/CP000304.1?report=graph&amp;tracks=[key:gene_model_track,Options:GeneOnly]&amp;mk=1451657:1451676|offset_34|444444,1451687:1451706|offset_64|00cc00,1451721:1451740|offset_98|444444,1451748:1451767|offset_125|444444&amp;v=1451456:1451967&amp;c=444444", "offset 64")</f>
        <v>offset 64</v>
      </c>
    </row>
    <row r="5228" customFormat="false" ht="12.8" hidden="false" customHeight="false" outlineLevel="0" collapsed="false">
      <c r="A5228" s="0" t="s">
        <v>12</v>
      </c>
      <c r="B5228" s="0" t="n">
        <v>1451720</v>
      </c>
      <c r="C5228" s="0" t="n">
        <v>1451740</v>
      </c>
      <c r="D5228" s="0" t="s">
        <v>17503</v>
      </c>
      <c r="E5228" s="0" t="s">
        <v>17504</v>
      </c>
      <c r="F5228" s="0" t="s">
        <v>15</v>
      </c>
      <c r="G5228" s="0" t="s">
        <v>36</v>
      </c>
      <c r="H5228" s="0" t="n">
        <v>98</v>
      </c>
      <c r="I5228" s="0" t="s">
        <v>17511</v>
      </c>
      <c r="J5228" s="0" t="s">
        <v>17512</v>
      </c>
      <c r="K5228" s="0" t="s">
        <v>17513</v>
      </c>
      <c r="L5228" s="0" t="str">
        <f aca="false">HYPERLINK("https://www.ncbi.nlm.nih.gov/nuccore/CP000304.1?report=graph&amp;tracks=[key:gene_model_track,Options:GeneOnly]&amp;mk=1451657:1451676|offset_34|444444,1451687:1451706|offset_64|444444,1451721:1451740|offset_98|00cc00,1451748:1451767|offset_125|444444&amp;v=1451456:1451967&amp;c=444444", "offset 98")</f>
        <v>offset 98</v>
      </c>
    </row>
    <row r="5229" customFormat="false" ht="12.8" hidden="false" customHeight="false" outlineLevel="0" collapsed="false">
      <c r="A5229" s="0" t="s">
        <v>12</v>
      </c>
      <c r="B5229" s="0" t="n">
        <v>1451747</v>
      </c>
      <c r="C5229" s="0" t="n">
        <v>1451767</v>
      </c>
      <c r="D5229" s="0" t="s">
        <v>17503</v>
      </c>
      <c r="E5229" s="0" t="s">
        <v>17504</v>
      </c>
      <c r="F5229" s="0" t="s">
        <v>15</v>
      </c>
      <c r="G5229" s="0" t="s">
        <v>32</v>
      </c>
      <c r="H5229" s="0" t="n">
        <v>125</v>
      </c>
      <c r="I5229" s="0" t="s">
        <v>17514</v>
      </c>
      <c r="J5229" s="0" t="s">
        <v>17515</v>
      </c>
      <c r="K5229" s="0" t="s">
        <v>17516</v>
      </c>
      <c r="L5229" s="0" t="str">
        <f aca="false">HYPERLINK("https://www.ncbi.nlm.nih.gov/nuccore/CP000304.1?report=graph&amp;tracks=[key:gene_model_track,Options:GeneOnly]&amp;mk=1451657:1451676|offset_34|444444,1451687:1451706|offset_64|444444,1451721:1451740|offset_98|444444,1451748:1451767|offset_125|00cc00&amp;v=1451456:1451967&amp;c=444444", "offset 125")</f>
        <v>offset 125</v>
      </c>
    </row>
    <row r="5230" customFormat="false" ht="12.8" hidden="false" customHeight="false" outlineLevel="0" collapsed="false">
      <c r="A5230" s="0" t="s">
        <v>12</v>
      </c>
      <c r="B5230" s="0" t="n">
        <v>1452900</v>
      </c>
      <c r="C5230" s="0" t="n">
        <v>1452920</v>
      </c>
      <c r="D5230" s="0" t="s">
        <v>17517</v>
      </c>
      <c r="E5230" s="0" t="s">
        <v>17518</v>
      </c>
      <c r="F5230" s="0" t="s">
        <v>15</v>
      </c>
      <c r="G5230" s="0" t="s">
        <v>26</v>
      </c>
      <c r="H5230" s="0" t="n">
        <v>29</v>
      </c>
      <c r="I5230" s="0" t="s">
        <v>17519</v>
      </c>
      <c r="J5230" s="0" t="s">
        <v>17520</v>
      </c>
      <c r="K5230" s="0" t="s">
        <v>17521</v>
      </c>
      <c r="L5230" s="0" t="str">
        <f aca="false">HYPERLINK("https://www.ncbi.nlm.nih.gov/nuccore/CP000304.1?report=graph&amp;tracks=[key:gene_model_track,Options:GeneOnly]&amp;mk=1452901:1452920|offset_29|00cc00,1452924:1452943|offset_52|444444,1452957:1452976|offset_85|444444,1453010:1453029|offset_138|444444&amp;v=1452700:1453229&amp;c=444444", "offset 29")</f>
        <v>offset 29</v>
      </c>
    </row>
    <row r="5231" customFormat="false" ht="12.8" hidden="false" customHeight="false" outlineLevel="0" collapsed="false">
      <c r="A5231" s="0" t="s">
        <v>12</v>
      </c>
      <c r="B5231" s="0" t="n">
        <v>1452923</v>
      </c>
      <c r="C5231" s="0" t="n">
        <v>1452943</v>
      </c>
      <c r="D5231" s="0" t="s">
        <v>17517</v>
      </c>
      <c r="E5231" s="0" t="s">
        <v>17518</v>
      </c>
      <c r="F5231" s="0" t="s">
        <v>15</v>
      </c>
      <c r="G5231" s="0" t="s">
        <v>16</v>
      </c>
      <c r="H5231" s="0" t="n">
        <v>52</v>
      </c>
      <c r="I5231" s="0" t="s">
        <v>17522</v>
      </c>
      <c r="J5231" s="0" t="s">
        <v>17523</v>
      </c>
      <c r="K5231" s="0" t="s">
        <v>17524</v>
      </c>
      <c r="L5231" s="0" t="str">
        <f aca="false">HYPERLINK("https://www.ncbi.nlm.nih.gov/nuccore/CP000304.1?report=graph&amp;tracks=[key:gene_model_track,Options:GeneOnly]&amp;mk=1452901:1452920|offset_29|444444,1452924:1452943|offset_52|00cc00,1452957:1452976|offset_85|444444,1453010:1453029|offset_138|444444&amp;v=1452700:1453229&amp;c=444444", "offset 52")</f>
        <v>offset 52</v>
      </c>
    </row>
    <row r="5232" customFormat="false" ht="12.8" hidden="false" customHeight="false" outlineLevel="0" collapsed="false">
      <c r="A5232" s="0" t="s">
        <v>12</v>
      </c>
      <c r="B5232" s="0" t="n">
        <v>1452956</v>
      </c>
      <c r="C5232" s="0" t="n">
        <v>1452976</v>
      </c>
      <c r="D5232" s="0" t="s">
        <v>17517</v>
      </c>
      <c r="E5232" s="0" t="s">
        <v>17518</v>
      </c>
      <c r="F5232" s="0" t="s">
        <v>15</v>
      </c>
      <c r="G5232" s="0" t="s">
        <v>32</v>
      </c>
      <c r="H5232" s="0" t="n">
        <v>85</v>
      </c>
      <c r="I5232" s="0" t="s">
        <v>17525</v>
      </c>
      <c r="J5232" s="0" t="s">
        <v>17526</v>
      </c>
      <c r="K5232" s="0" t="s">
        <v>17527</v>
      </c>
      <c r="L5232" s="0" t="str">
        <f aca="false">HYPERLINK("https://www.ncbi.nlm.nih.gov/nuccore/CP000304.1?report=graph&amp;tracks=[key:gene_model_track,Options:GeneOnly]&amp;mk=1452901:1452920|offset_29|444444,1452924:1452943|offset_52|444444,1452957:1452976|offset_85|00cc00,1453010:1453029|offset_138|444444&amp;v=1452700:1453229&amp;c=444444", "offset 85")</f>
        <v>offset 85</v>
      </c>
    </row>
    <row r="5233" customFormat="false" ht="12.8" hidden="false" customHeight="false" outlineLevel="0" collapsed="false">
      <c r="A5233" s="0" t="s">
        <v>12</v>
      </c>
      <c r="B5233" s="0" t="n">
        <v>1453009</v>
      </c>
      <c r="C5233" s="0" t="n">
        <v>1453029</v>
      </c>
      <c r="D5233" s="0" t="s">
        <v>17517</v>
      </c>
      <c r="E5233" s="0" t="s">
        <v>17518</v>
      </c>
      <c r="F5233" s="0" t="s">
        <v>15</v>
      </c>
      <c r="G5233" s="0" t="s">
        <v>36</v>
      </c>
      <c r="H5233" s="0" t="n">
        <v>138</v>
      </c>
      <c r="I5233" s="0" t="s">
        <v>17528</v>
      </c>
      <c r="J5233" s="0" t="s">
        <v>17529</v>
      </c>
      <c r="K5233" s="0" t="s">
        <v>17530</v>
      </c>
      <c r="L5233" s="0" t="str">
        <f aca="false">HYPERLINK("https://www.ncbi.nlm.nih.gov/nuccore/CP000304.1?report=graph&amp;tracks=[key:gene_model_track,Options:GeneOnly]&amp;mk=1452901:1452920|offset_29|444444,1452924:1452943|offset_52|444444,1452957:1452976|offset_85|444444,1453010:1453029|offset_138|00cc00&amp;v=1452700:1453229&amp;c=444444", "offset 138")</f>
        <v>offset 138</v>
      </c>
    </row>
    <row r="5234" customFormat="false" ht="12.8" hidden="false" customHeight="false" outlineLevel="0" collapsed="false">
      <c r="A5234" s="0" t="s">
        <v>12</v>
      </c>
      <c r="B5234" s="0" t="n">
        <v>1454021</v>
      </c>
      <c r="C5234" s="0" t="n">
        <v>1454041</v>
      </c>
      <c r="D5234" s="0" t="s">
        <v>17531</v>
      </c>
      <c r="E5234" s="0" t="s">
        <v>17532</v>
      </c>
      <c r="F5234" s="0" t="s">
        <v>15</v>
      </c>
      <c r="G5234" s="0" t="s">
        <v>26</v>
      </c>
      <c r="H5234" s="0" t="n">
        <v>8</v>
      </c>
      <c r="I5234" s="0" t="s">
        <v>17533</v>
      </c>
      <c r="J5234" s="0" t="s">
        <v>17534</v>
      </c>
      <c r="K5234" s="0" t="s">
        <v>17535</v>
      </c>
      <c r="L5234" s="0" t="str">
        <f aca="false">HYPERLINK("https://www.ncbi.nlm.nih.gov/nuccore/CP000304.1?report=graph&amp;tracks=[key:gene_model_track,Options:GeneOnly]&amp;mk=1454022:1454041|offset_8|00cc00,1454049:1454068|offset_35|444444,1454070:1454089|offset_56|444444,1454102:1454121|offset_88|444444&amp;v=1453821:1454321&amp;c=444444", "offset 8")</f>
        <v>offset 8</v>
      </c>
    </row>
    <row r="5235" customFormat="false" ht="12.8" hidden="false" customHeight="false" outlineLevel="0" collapsed="false">
      <c r="A5235" s="0" t="s">
        <v>12</v>
      </c>
      <c r="B5235" s="0" t="n">
        <v>1454048</v>
      </c>
      <c r="C5235" s="0" t="n">
        <v>1454068</v>
      </c>
      <c r="D5235" s="0" t="s">
        <v>17531</v>
      </c>
      <c r="E5235" s="0" t="s">
        <v>17532</v>
      </c>
      <c r="F5235" s="0" t="s">
        <v>15</v>
      </c>
      <c r="G5235" s="0" t="s">
        <v>16</v>
      </c>
      <c r="H5235" s="0" t="n">
        <v>35</v>
      </c>
      <c r="I5235" s="0" t="s">
        <v>17536</v>
      </c>
      <c r="J5235" s="0" t="s">
        <v>17537</v>
      </c>
      <c r="K5235" s="0" t="s">
        <v>17538</v>
      </c>
      <c r="L5235" s="0" t="str">
        <f aca="false">HYPERLINK("https://www.ncbi.nlm.nih.gov/nuccore/CP000304.1?report=graph&amp;tracks=[key:gene_model_track,Options:GeneOnly]&amp;mk=1454022:1454041|offset_8|444444,1454049:1454068|offset_35|00cc00,1454070:1454089|offset_56|444444,1454102:1454121|offset_88|444444&amp;v=1453821:1454321&amp;c=444444", "offset 35")</f>
        <v>offset 35</v>
      </c>
    </row>
    <row r="5236" customFormat="false" ht="12.8" hidden="false" customHeight="false" outlineLevel="0" collapsed="false">
      <c r="A5236" s="0" t="s">
        <v>12</v>
      </c>
      <c r="B5236" s="0" t="n">
        <v>1454069</v>
      </c>
      <c r="C5236" s="0" t="n">
        <v>1454089</v>
      </c>
      <c r="D5236" s="0" t="s">
        <v>17531</v>
      </c>
      <c r="E5236" s="0" t="s">
        <v>17532</v>
      </c>
      <c r="F5236" s="0" t="s">
        <v>15</v>
      </c>
      <c r="G5236" s="0" t="s">
        <v>36</v>
      </c>
      <c r="H5236" s="0" t="n">
        <v>56</v>
      </c>
      <c r="I5236" s="0" t="s">
        <v>17539</v>
      </c>
      <c r="J5236" s="0" t="s">
        <v>17540</v>
      </c>
      <c r="K5236" s="0" t="s">
        <v>17541</v>
      </c>
      <c r="L5236" s="0" t="str">
        <f aca="false">HYPERLINK("https://www.ncbi.nlm.nih.gov/nuccore/CP000304.1?report=graph&amp;tracks=[key:gene_model_track,Options:GeneOnly]&amp;mk=1454022:1454041|offset_8|444444,1454049:1454068|offset_35|444444,1454070:1454089|offset_56|00cc00,1454102:1454121|offset_88|444444&amp;v=1453821:1454321&amp;c=444444", "offset 56")</f>
        <v>offset 56</v>
      </c>
    </row>
    <row r="5237" customFormat="false" ht="12.8" hidden="false" customHeight="false" outlineLevel="0" collapsed="false">
      <c r="A5237" s="0" t="s">
        <v>12</v>
      </c>
      <c r="B5237" s="0" t="n">
        <v>1454101</v>
      </c>
      <c r="C5237" s="0" t="n">
        <v>1454121</v>
      </c>
      <c r="D5237" s="0" t="s">
        <v>17531</v>
      </c>
      <c r="E5237" s="0" t="s">
        <v>17532</v>
      </c>
      <c r="F5237" s="0" t="s">
        <v>15</v>
      </c>
      <c r="G5237" s="0" t="s">
        <v>32</v>
      </c>
      <c r="H5237" s="0" t="n">
        <v>88</v>
      </c>
      <c r="I5237" s="0" t="s">
        <v>17542</v>
      </c>
      <c r="J5237" s="0" t="s">
        <v>17543</v>
      </c>
      <c r="K5237" s="0" t="s">
        <v>17544</v>
      </c>
      <c r="L5237" s="0" t="str">
        <f aca="false">HYPERLINK("https://www.ncbi.nlm.nih.gov/nuccore/CP000304.1?report=graph&amp;tracks=[key:gene_model_track,Options:GeneOnly]&amp;mk=1454022:1454041|offset_8|444444,1454049:1454068|offset_35|444444,1454070:1454089|offset_56|444444,1454102:1454121|offset_88|00cc00&amp;v=1453821:1454321&amp;c=444444", "offset 88")</f>
        <v>offset 88</v>
      </c>
    </row>
    <row r="5238" customFormat="false" ht="12.8" hidden="false" customHeight="false" outlineLevel="0" collapsed="false">
      <c r="A5238" s="0" t="s">
        <v>12</v>
      </c>
      <c r="B5238" s="0" t="n">
        <v>1454769</v>
      </c>
      <c r="C5238" s="0" t="n">
        <v>1454789</v>
      </c>
      <c r="D5238" s="0" t="s">
        <v>17545</v>
      </c>
      <c r="E5238" s="0" t="s">
        <v>89</v>
      </c>
      <c r="F5238" s="0" t="s">
        <v>15</v>
      </c>
      <c r="G5238" s="0" t="s">
        <v>36</v>
      </c>
      <c r="H5238" s="0" t="n">
        <v>0</v>
      </c>
      <c r="I5238" s="0" t="s">
        <v>17546</v>
      </c>
      <c r="J5238" s="0" t="s">
        <v>17547</v>
      </c>
      <c r="K5238" s="0" t="s">
        <v>17548</v>
      </c>
      <c r="L5238" s="0" t="str">
        <f aca="false">HYPERLINK("https://www.ncbi.nlm.nih.gov/nuccore/CP000304.1?report=graph&amp;tracks=[key:gene_model_track,Options:GeneOnly]&amp;mk=1454770:1454789|offset_0|00cc00,1454798:1454817|offset_28|444444,1454823:1454842|offset_53|444444,1454870:1454889|offset_100|444444&amp;v=1454569:1455089&amp;c=444444", "offset 0")</f>
        <v>offset 0</v>
      </c>
    </row>
    <row r="5239" customFormat="false" ht="12.8" hidden="false" customHeight="false" outlineLevel="0" collapsed="false">
      <c r="A5239" s="0" t="s">
        <v>12</v>
      </c>
      <c r="B5239" s="0" t="n">
        <v>1454797</v>
      </c>
      <c r="C5239" s="0" t="n">
        <v>1454817</v>
      </c>
      <c r="D5239" s="0" t="s">
        <v>17545</v>
      </c>
      <c r="E5239" s="0" t="s">
        <v>89</v>
      </c>
      <c r="F5239" s="0" t="s">
        <v>15</v>
      </c>
      <c r="G5239" s="0" t="s">
        <v>16</v>
      </c>
      <c r="H5239" s="0" t="n">
        <v>28</v>
      </c>
      <c r="I5239" s="0" t="s">
        <v>17549</v>
      </c>
      <c r="J5239" s="0" t="s">
        <v>17550</v>
      </c>
      <c r="K5239" s="0" t="s">
        <v>17551</v>
      </c>
      <c r="L5239" s="0" t="str">
        <f aca="false">HYPERLINK("https://www.ncbi.nlm.nih.gov/nuccore/CP000304.1?report=graph&amp;tracks=[key:gene_model_track,Options:GeneOnly]&amp;mk=1454770:1454789|offset_0|444444,1454798:1454817|offset_28|00cc00,1454823:1454842|offset_53|444444,1454870:1454889|offset_100|444444&amp;v=1454569:1455089&amp;c=444444", "offset 28")</f>
        <v>offset 28</v>
      </c>
    </row>
    <row r="5240" customFormat="false" ht="12.8" hidden="false" customHeight="false" outlineLevel="0" collapsed="false">
      <c r="A5240" s="0" t="s">
        <v>12</v>
      </c>
      <c r="B5240" s="0" t="n">
        <v>1454822</v>
      </c>
      <c r="C5240" s="0" t="n">
        <v>1454842</v>
      </c>
      <c r="D5240" s="0" t="s">
        <v>17545</v>
      </c>
      <c r="E5240" s="0" t="s">
        <v>89</v>
      </c>
      <c r="F5240" s="0" t="s">
        <v>15</v>
      </c>
      <c r="G5240" s="0" t="s">
        <v>32</v>
      </c>
      <c r="H5240" s="0" t="n">
        <v>53</v>
      </c>
      <c r="I5240" s="0" t="s">
        <v>17552</v>
      </c>
      <c r="J5240" s="0" t="s">
        <v>17553</v>
      </c>
      <c r="K5240" s="0" t="s">
        <v>17554</v>
      </c>
      <c r="L5240" s="0" t="str">
        <f aca="false">HYPERLINK("https://www.ncbi.nlm.nih.gov/nuccore/CP000304.1?report=graph&amp;tracks=[key:gene_model_track,Options:GeneOnly]&amp;mk=1454770:1454789|offset_0|444444,1454798:1454817|offset_28|444444,1454823:1454842|offset_53|00cc00,1454870:1454889|offset_100|444444&amp;v=1454569:1455089&amp;c=444444", "offset 53")</f>
        <v>offset 53</v>
      </c>
    </row>
    <row r="5241" customFormat="false" ht="12.8" hidden="false" customHeight="false" outlineLevel="0" collapsed="false">
      <c r="A5241" s="0" t="s">
        <v>12</v>
      </c>
      <c r="B5241" s="0" t="n">
        <v>1454869</v>
      </c>
      <c r="C5241" s="0" t="n">
        <v>1454889</v>
      </c>
      <c r="D5241" s="0" t="s">
        <v>17545</v>
      </c>
      <c r="E5241" s="0" t="s">
        <v>89</v>
      </c>
      <c r="F5241" s="0" t="s">
        <v>15</v>
      </c>
      <c r="G5241" s="0" t="s">
        <v>32</v>
      </c>
      <c r="H5241" s="0" t="n">
        <v>100</v>
      </c>
      <c r="I5241" s="0" t="s">
        <v>17555</v>
      </c>
      <c r="J5241" s="0" t="s">
        <v>17556</v>
      </c>
      <c r="K5241" s="0" t="s">
        <v>17557</v>
      </c>
      <c r="L5241" s="0" t="str">
        <f aca="false">HYPERLINK("https://www.ncbi.nlm.nih.gov/nuccore/CP000304.1?report=graph&amp;tracks=[key:gene_model_track,Options:GeneOnly]&amp;mk=1454770:1454789|offset_0|444444,1454798:1454817|offset_28|444444,1454823:1454842|offset_53|444444,1454870:1454889|offset_100|00cc00&amp;v=1454569:1455089&amp;c=444444", "offset 100")</f>
        <v>offset 100</v>
      </c>
    </row>
    <row r="5242" customFormat="false" ht="12.8" hidden="false" customHeight="false" outlineLevel="0" collapsed="false">
      <c r="A5242" s="0" t="s">
        <v>12</v>
      </c>
      <c r="B5242" s="0" t="n">
        <v>1455321</v>
      </c>
      <c r="C5242" s="0" t="n">
        <v>1455341</v>
      </c>
      <c r="D5242" s="0" t="s">
        <v>17558</v>
      </c>
      <c r="E5242" s="0" t="s">
        <v>17559</v>
      </c>
      <c r="F5242" s="0" t="s">
        <v>15</v>
      </c>
      <c r="G5242" s="0" t="s">
        <v>16</v>
      </c>
      <c r="H5242" s="0" t="n">
        <v>16</v>
      </c>
      <c r="I5242" s="0" t="s">
        <v>17560</v>
      </c>
      <c r="J5242" s="0" t="s">
        <v>17561</v>
      </c>
      <c r="K5242" s="0" t="s">
        <v>17562</v>
      </c>
      <c r="L5242" s="0" t="str">
        <f aca="false">HYPERLINK("https://www.ncbi.nlm.nih.gov/nuccore/CP000304.1?report=graph&amp;tracks=[key:gene_model_track,Options:GeneOnly]&amp;mk=1455322:1455341|offset_16|00cc00,1455345:1455364|offset_39|444444,1455379:1455398|offset_73|444444,1455408:1455427|offset_102|444444&amp;v=1455121:1455627&amp;c=444444", "offset 16")</f>
        <v>offset 16</v>
      </c>
    </row>
    <row r="5243" customFormat="false" ht="12.8" hidden="false" customHeight="false" outlineLevel="0" collapsed="false">
      <c r="A5243" s="0" t="s">
        <v>12</v>
      </c>
      <c r="B5243" s="0" t="n">
        <v>1455344</v>
      </c>
      <c r="C5243" s="0" t="n">
        <v>1455364</v>
      </c>
      <c r="D5243" s="0" t="s">
        <v>17558</v>
      </c>
      <c r="E5243" s="0" t="s">
        <v>17559</v>
      </c>
      <c r="F5243" s="0" t="s">
        <v>15</v>
      </c>
      <c r="G5243" s="0" t="s">
        <v>36</v>
      </c>
      <c r="H5243" s="0" t="n">
        <v>39</v>
      </c>
      <c r="I5243" s="0" t="s">
        <v>17563</v>
      </c>
      <c r="J5243" s="0" t="s">
        <v>17564</v>
      </c>
      <c r="K5243" s="0" t="s">
        <v>17565</v>
      </c>
      <c r="L5243" s="0" t="str">
        <f aca="false">HYPERLINK("https://www.ncbi.nlm.nih.gov/nuccore/CP000304.1?report=graph&amp;tracks=[key:gene_model_track,Options:GeneOnly]&amp;mk=1455322:1455341|offset_16|444444,1455345:1455364|offset_39|00cc00,1455379:1455398|offset_73|444444,1455408:1455427|offset_102|444444&amp;v=1455121:1455627&amp;c=444444", "offset 39")</f>
        <v>offset 39</v>
      </c>
    </row>
    <row r="5244" customFormat="false" ht="12.8" hidden="false" customHeight="false" outlineLevel="0" collapsed="false">
      <c r="A5244" s="0" t="s">
        <v>12</v>
      </c>
      <c r="B5244" s="0" t="n">
        <v>1455378</v>
      </c>
      <c r="C5244" s="0" t="n">
        <v>1455398</v>
      </c>
      <c r="D5244" s="0" t="s">
        <v>17558</v>
      </c>
      <c r="E5244" s="0" t="s">
        <v>17559</v>
      </c>
      <c r="F5244" s="0" t="s">
        <v>15</v>
      </c>
      <c r="G5244" s="0" t="s">
        <v>16</v>
      </c>
      <c r="H5244" s="0" t="n">
        <v>73</v>
      </c>
      <c r="I5244" s="0" t="s">
        <v>17566</v>
      </c>
      <c r="J5244" s="0" t="s">
        <v>17567</v>
      </c>
      <c r="K5244" s="0" t="s">
        <v>17568</v>
      </c>
      <c r="L5244" s="0" t="str">
        <f aca="false">HYPERLINK("https://www.ncbi.nlm.nih.gov/nuccore/CP000304.1?report=graph&amp;tracks=[key:gene_model_track,Options:GeneOnly]&amp;mk=1455322:1455341|offset_16|444444,1455345:1455364|offset_39|444444,1455379:1455398|offset_73|00cc00,1455408:1455427|offset_102|444444&amp;v=1455121:1455627&amp;c=444444", "offset 73")</f>
        <v>offset 73</v>
      </c>
    </row>
    <row r="5245" customFormat="false" ht="12.8" hidden="false" customHeight="false" outlineLevel="0" collapsed="false">
      <c r="A5245" s="0" t="s">
        <v>12</v>
      </c>
      <c r="B5245" s="0" t="n">
        <v>1455407</v>
      </c>
      <c r="C5245" s="0" t="n">
        <v>1455427</v>
      </c>
      <c r="D5245" s="0" t="s">
        <v>17558</v>
      </c>
      <c r="E5245" s="0" t="s">
        <v>17559</v>
      </c>
      <c r="F5245" s="0" t="s">
        <v>15</v>
      </c>
      <c r="G5245" s="0" t="s">
        <v>36</v>
      </c>
      <c r="H5245" s="0" t="n">
        <v>102</v>
      </c>
      <c r="I5245" s="0" t="s">
        <v>17569</v>
      </c>
      <c r="J5245" s="0" t="s">
        <v>17570</v>
      </c>
      <c r="K5245" s="0" t="s">
        <v>17571</v>
      </c>
      <c r="L5245" s="0" t="str">
        <f aca="false">HYPERLINK("https://www.ncbi.nlm.nih.gov/nuccore/CP000304.1?report=graph&amp;tracks=[key:gene_model_track,Options:GeneOnly]&amp;mk=1455322:1455341|offset_16|444444,1455345:1455364|offset_39|444444,1455379:1455398|offset_73|444444,1455408:1455427|offset_102|00cc00&amp;v=1455121:1455627&amp;c=444444", "offset 102")</f>
        <v>offset 102</v>
      </c>
    </row>
    <row r="5246" customFormat="false" ht="12.8" hidden="false" customHeight="false" outlineLevel="0" collapsed="false">
      <c r="A5246" s="0" t="s">
        <v>12</v>
      </c>
      <c r="B5246" s="0" t="n">
        <v>1455673</v>
      </c>
      <c r="C5246" s="0" t="n">
        <v>1455693</v>
      </c>
      <c r="D5246" s="0" t="s">
        <v>17572</v>
      </c>
      <c r="E5246" s="0" t="s">
        <v>17573</v>
      </c>
      <c r="F5246" s="0" t="s">
        <v>15</v>
      </c>
      <c r="G5246" s="0" t="s">
        <v>32</v>
      </c>
      <c r="H5246" s="0" t="n">
        <v>1</v>
      </c>
      <c r="I5246" s="0" t="s">
        <v>17574</v>
      </c>
      <c r="J5246" s="0" t="s">
        <v>17575</v>
      </c>
      <c r="K5246" s="0" t="s">
        <v>17576</v>
      </c>
      <c r="L5246" s="0" t="str">
        <f aca="false">HYPERLINK("https://www.ncbi.nlm.nih.gov/nuccore/CP000304.1?report=graph&amp;tracks=[key:gene_model_track,Options:GeneOnly]&amp;mk=1455674:1455693|offset_1|00cc00,1455702:1455721|offset_29|444444,1455743:1455762|offset_70|444444,1455768:1455787|offset_95|444444&amp;v=1455473:1455987&amp;c=444444", "offset 1")</f>
        <v>offset 1</v>
      </c>
    </row>
    <row r="5247" customFormat="false" ht="12.8" hidden="false" customHeight="false" outlineLevel="0" collapsed="false">
      <c r="A5247" s="0" t="s">
        <v>12</v>
      </c>
      <c r="B5247" s="0" t="n">
        <v>1455701</v>
      </c>
      <c r="C5247" s="0" t="n">
        <v>1455721</v>
      </c>
      <c r="D5247" s="0" t="s">
        <v>17572</v>
      </c>
      <c r="E5247" s="0" t="s">
        <v>17573</v>
      </c>
      <c r="F5247" s="0" t="s">
        <v>15</v>
      </c>
      <c r="G5247" s="0" t="s">
        <v>32</v>
      </c>
      <c r="H5247" s="0" t="n">
        <v>29</v>
      </c>
      <c r="I5247" s="0" t="s">
        <v>17577</v>
      </c>
      <c r="J5247" s="0" t="s">
        <v>17578</v>
      </c>
      <c r="K5247" s="0" t="s">
        <v>17579</v>
      </c>
      <c r="L5247" s="0" t="str">
        <f aca="false">HYPERLINK("https://www.ncbi.nlm.nih.gov/nuccore/CP000304.1?report=graph&amp;tracks=[key:gene_model_track,Options:GeneOnly]&amp;mk=1455674:1455693|offset_1|444444,1455702:1455721|offset_29|00cc00,1455743:1455762|offset_70|444444,1455768:1455787|offset_95|444444&amp;v=1455473:1455987&amp;c=444444", "offset 29")</f>
        <v>offset 29</v>
      </c>
    </row>
    <row r="5248" customFormat="false" ht="12.8" hidden="false" customHeight="false" outlineLevel="0" collapsed="false">
      <c r="A5248" s="0" t="s">
        <v>12</v>
      </c>
      <c r="B5248" s="0" t="n">
        <v>1455742</v>
      </c>
      <c r="C5248" s="0" t="n">
        <v>1455762</v>
      </c>
      <c r="D5248" s="0" t="s">
        <v>17572</v>
      </c>
      <c r="E5248" s="0" t="s">
        <v>17573</v>
      </c>
      <c r="F5248" s="0" t="s">
        <v>15</v>
      </c>
      <c r="G5248" s="0" t="s">
        <v>26</v>
      </c>
      <c r="H5248" s="0" t="n">
        <v>70</v>
      </c>
      <c r="I5248" s="0" t="s">
        <v>17580</v>
      </c>
      <c r="J5248" s="0" t="s">
        <v>17581</v>
      </c>
      <c r="K5248" s="0" t="s">
        <v>17582</v>
      </c>
      <c r="L5248" s="0" t="str">
        <f aca="false">HYPERLINK("https://www.ncbi.nlm.nih.gov/nuccore/CP000304.1?report=graph&amp;tracks=[key:gene_model_track,Options:GeneOnly]&amp;mk=1455674:1455693|offset_1|444444,1455702:1455721|offset_29|444444,1455743:1455762|offset_70|00cc00,1455768:1455787|offset_95|444444&amp;v=1455473:1455987&amp;c=444444", "offset 70")</f>
        <v>offset 70</v>
      </c>
    </row>
    <row r="5249" customFormat="false" ht="12.8" hidden="false" customHeight="false" outlineLevel="0" collapsed="false">
      <c r="A5249" s="0" t="s">
        <v>12</v>
      </c>
      <c r="B5249" s="0" t="n">
        <v>1455767</v>
      </c>
      <c r="C5249" s="0" t="n">
        <v>1455787</v>
      </c>
      <c r="D5249" s="0" t="s">
        <v>17572</v>
      </c>
      <c r="E5249" s="0" t="s">
        <v>17573</v>
      </c>
      <c r="F5249" s="0" t="s">
        <v>15</v>
      </c>
      <c r="G5249" s="0" t="s">
        <v>26</v>
      </c>
      <c r="H5249" s="0" t="n">
        <v>95</v>
      </c>
      <c r="I5249" s="0" t="s">
        <v>17583</v>
      </c>
      <c r="J5249" s="0" t="s">
        <v>17584</v>
      </c>
      <c r="K5249" s="0" t="s">
        <v>17585</v>
      </c>
      <c r="L5249" s="0" t="str">
        <f aca="false">HYPERLINK("https://www.ncbi.nlm.nih.gov/nuccore/CP000304.1?report=graph&amp;tracks=[key:gene_model_track,Options:GeneOnly]&amp;mk=1455674:1455693|offset_1|444444,1455702:1455721|offset_29|444444,1455743:1455762|offset_70|444444,1455768:1455787|offset_95|00cc00&amp;v=1455473:1455987&amp;c=444444", "offset 95")</f>
        <v>offset 95</v>
      </c>
    </row>
    <row r="5250" customFormat="false" ht="12.8" hidden="false" customHeight="false" outlineLevel="0" collapsed="false">
      <c r="A5250" s="0" t="s">
        <v>12</v>
      </c>
      <c r="B5250" s="0" t="n">
        <v>1456166</v>
      </c>
      <c r="C5250" s="0" t="n">
        <v>1456186</v>
      </c>
      <c r="D5250" s="0" t="s">
        <v>17586</v>
      </c>
      <c r="E5250" s="0" t="s">
        <v>17587</v>
      </c>
      <c r="F5250" s="0" t="s">
        <v>15</v>
      </c>
      <c r="G5250" s="0" t="s">
        <v>36</v>
      </c>
      <c r="H5250" s="0" t="n">
        <v>34</v>
      </c>
      <c r="I5250" s="0" t="s">
        <v>17588</v>
      </c>
      <c r="J5250" s="0" t="s">
        <v>17589</v>
      </c>
      <c r="K5250" s="0" t="s">
        <v>17590</v>
      </c>
      <c r="L5250" s="0" t="str">
        <f aca="false">HYPERLINK("https://www.ncbi.nlm.nih.gov/nuccore/CP000304.1?report=graph&amp;tracks=[key:gene_model_track,Options:GeneOnly]&amp;mk=1456167:1456186|offset_34|00cc00,1456191:1456210|offset_58|444444,1456212:1456231|offset_79|444444,1456248:1456267|offset_115|444444&amp;v=1455966:1456467&amp;c=444444", "offset 34")</f>
        <v>offset 34</v>
      </c>
    </row>
    <row r="5251" customFormat="false" ht="12.8" hidden="false" customHeight="false" outlineLevel="0" collapsed="false">
      <c r="A5251" s="0" t="s">
        <v>12</v>
      </c>
      <c r="B5251" s="0" t="n">
        <v>1456190</v>
      </c>
      <c r="C5251" s="0" t="n">
        <v>1456210</v>
      </c>
      <c r="D5251" s="0" t="s">
        <v>17586</v>
      </c>
      <c r="E5251" s="0" t="s">
        <v>17587</v>
      </c>
      <c r="F5251" s="0" t="s">
        <v>15</v>
      </c>
      <c r="G5251" s="0" t="s">
        <v>36</v>
      </c>
      <c r="H5251" s="0" t="n">
        <v>58</v>
      </c>
      <c r="I5251" s="0" t="s">
        <v>17591</v>
      </c>
      <c r="J5251" s="0" t="s">
        <v>17592</v>
      </c>
      <c r="K5251" s="0" t="s">
        <v>17593</v>
      </c>
      <c r="L5251" s="0" t="str">
        <f aca="false">HYPERLINK("https://www.ncbi.nlm.nih.gov/nuccore/CP000304.1?report=graph&amp;tracks=[key:gene_model_track,Options:GeneOnly]&amp;mk=1456167:1456186|offset_34|444444,1456191:1456210|offset_58|00cc00,1456212:1456231|offset_79|444444,1456248:1456267|offset_115|444444&amp;v=1455966:1456467&amp;c=444444", "offset 58")</f>
        <v>offset 58</v>
      </c>
    </row>
    <row r="5252" customFormat="false" ht="12.8" hidden="false" customHeight="false" outlineLevel="0" collapsed="false">
      <c r="A5252" s="0" t="s">
        <v>12</v>
      </c>
      <c r="B5252" s="0" t="n">
        <v>1456211</v>
      </c>
      <c r="C5252" s="0" t="n">
        <v>1456231</v>
      </c>
      <c r="D5252" s="0" t="s">
        <v>17586</v>
      </c>
      <c r="E5252" s="0" t="s">
        <v>17587</v>
      </c>
      <c r="F5252" s="0" t="s">
        <v>15</v>
      </c>
      <c r="G5252" s="0" t="s">
        <v>36</v>
      </c>
      <c r="H5252" s="0" t="n">
        <v>79</v>
      </c>
      <c r="I5252" s="0" t="s">
        <v>17594</v>
      </c>
      <c r="J5252" s="0" t="s">
        <v>17595</v>
      </c>
      <c r="K5252" s="0" t="s">
        <v>17596</v>
      </c>
      <c r="L5252" s="0" t="str">
        <f aca="false">HYPERLINK("https://www.ncbi.nlm.nih.gov/nuccore/CP000304.1?report=graph&amp;tracks=[key:gene_model_track,Options:GeneOnly]&amp;mk=1456167:1456186|offset_34|444444,1456191:1456210|offset_58|444444,1456212:1456231|offset_79|00cc00,1456248:1456267|offset_115|444444&amp;v=1455966:1456467&amp;c=444444", "offset 79")</f>
        <v>offset 79</v>
      </c>
    </row>
    <row r="5253" customFormat="false" ht="12.8" hidden="false" customHeight="false" outlineLevel="0" collapsed="false">
      <c r="A5253" s="0" t="s">
        <v>12</v>
      </c>
      <c r="B5253" s="0" t="n">
        <v>1456247</v>
      </c>
      <c r="C5253" s="0" t="n">
        <v>1456267</v>
      </c>
      <c r="D5253" s="0" t="s">
        <v>17586</v>
      </c>
      <c r="E5253" s="0" t="s">
        <v>17587</v>
      </c>
      <c r="F5253" s="0" t="s">
        <v>15</v>
      </c>
      <c r="G5253" s="0" t="s">
        <v>16</v>
      </c>
      <c r="H5253" s="0" t="n">
        <v>115</v>
      </c>
      <c r="I5253" s="0" t="s">
        <v>17597</v>
      </c>
      <c r="J5253" s="0" t="s">
        <v>17598</v>
      </c>
      <c r="K5253" s="0" t="s">
        <v>17599</v>
      </c>
      <c r="L5253" s="0" t="str">
        <f aca="false">HYPERLINK("https://www.ncbi.nlm.nih.gov/nuccore/CP000304.1?report=graph&amp;tracks=[key:gene_model_track,Options:GeneOnly]&amp;mk=1456167:1456186|offset_34|444444,1456191:1456210|offset_58|444444,1456212:1456231|offset_79|444444,1456248:1456267|offset_115|00cc00&amp;v=1455966:1456467&amp;c=444444", "offset 115")</f>
        <v>offset 115</v>
      </c>
    </row>
    <row r="5254" customFormat="false" ht="12.8" hidden="false" customHeight="false" outlineLevel="0" collapsed="false">
      <c r="A5254" s="0" t="s">
        <v>12</v>
      </c>
      <c r="B5254" s="0" t="n">
        <v>1457020</v>
      </c>
      <c r="C5254" s="0" t="n">
        <v>1457040</v>
      </c>
      <c r="D5254" s="0" t="s">
        <v>17600</v>
      </c>
      <c r="E5254" s="0" t="s">
        <v>89</v>
      </c>
      <c r="F5254" s="0" t="s">
        <v>15</v>
      </c>
      <c r="G5254" s="0" t="s">
        <v>16</v>
      </c>
      <c r="H5254" s="0" t="n">
        <v>13</v>
      </c>
      <c r="I5254" s="0" t="s">
        <v>17601</v>
      </c>
      <c r="J5254" s="0" t="s">
        <v>17602</v>
      </c>
      <c r="K5254" s="0" t="s">
        <v>17603</v>
      </c>
      <c r="L5254" s="0" t="str">
        <f aca="false">HYPERLINK("https://www.ncbi.nlm.nih.gov/nuccore/CP000304.1?report=graph&amp;tracks=[key:gene_model_track,Options:GeneOnly]&amp;mk=1457021:1457040|offset_13|00cc00,1457062:1457081|offset_54|444444,1457094:1457113|offset_86|444444,1457123:1457142|offset_115|444444&amp;v=1456820:1457342&amp;c=444444", "offset 13")</f>
        <v>offset 13</v>
      </c>
    </row>
    <row r="5255" customFormat="false" ht="12.8" hidden="false" customHeight="false" outlineLevel="0" collapsed="false">
      <c r="A5255" s="0" t="s">
        <v>12</v>
      </c>
      <c r="B5255" s="0" t="n">
        <v>1457061</v>
      </c>
      <c r="C5255" s="0" t="n">
        <v>1457081</v>
      </c>
      <c r="D5255" s="0" t="s">
        <v>17600</v>
      </c>
      <c r="E5255" s="0" t="s">
        <v>89</v>
      </c>
      <c r="F5255" s="0" t="s">
        <v>15</v>
      </c>
      <c r="G5255" s="0" t="s">
        <v>16</v>
      </c>
      <c r="H5255" s="0" t="n">
        <v>54</v>
      </c>
      <c r="I5255" s="0" t="s">
        <v>17604</v>
      </c>
      <c r="J5255" s="0" t="s">
        <v>17605</v>
      </c>
      <c r="K5255" s="0" t="s">
        <v>17606</v>
      </c>
      <c r="L5255" s="0" t="str">
        <f aca="false">HYPERLINK("https://www.ncbi.nlm.nih.gov/nuccore/CP000304.1?report=graph&amp;tracks=[key:gene_model_track,Options:GeneOnly]&amp;mk=1457021:1457040|offset_13|444444,1457062:1457081|offset_54|00cc00,1457094:1457113|offset_86|444444,1457123:1457142|offset_115|444444&amp;v=1456820:1457342&amp;c=444444", "offset 54")</f>
        <v>offset 54</v>
      </c>
    </row>
    <row r="5256" customFormat="false" ht="12.8" hidden="false" customHeight="false" outlineLevel="0" collapsed="false">
      <c r="A5256" s="0" t="s">
        <v>12</v>
      </c>
      <c r="B5256" s="0" t="n">
        <v>1457093</v>
      </c>
      <c r="C5256" s="0" t="n">
        <v>1457113</v>
      </c>
      <c r="D5256" s="0" t="s">
        <v>17600</v>
      </c>
      <c r="E5256" s="0" t="s">
        <v>89</v>
      </c>
      <c r="F5256" s="0" t="s">
        <v>15</v>
      </c>
      <c r="G5256" s="0" t="s">
        <v>16</v>
      </c>
      <c r="H5256" s="0" t="n">
        <v>86</v>
      </c>
      <c r="I5256" s="0" t="s">
        <v>17607</v>
      </c>
      <c r="J5256" s="0" t="s">
        <v>17608</v>
      </c>
      <c r="K5256" s="0" t="s">
        <v>17609</v>
      </c>
      <c r="L5256" s="0" t="str">
        <f aca="false">HYPERLINK("https://www.ncbi.nlm.nih.gov/nuccore/CP000304.1?report=graph&amp;tracks=[key:gene_model_track,Options:GeneOnly]&amp;mk=1457021:1457040|offset_13|444444,1457062:1457081|offset_54|444444,1457094:1457113|offset_86|00cc00,1457123:1457142|offset_115|444444&amp;v=1456820:1457342&amp;c=444444", "offset 86")</f>
        <v>offset 86</v>
      </c>
    </row>
    <row r="5257" customFormat="false" ht="12.8" hidden="false" customHeight="false" outlineLevel="0" collapsed="false">
      <c r="A5257" s="0" t="s">
        <v>12</v>
      </c>
      <c r="B5257" s="0" t="n">
        <v>1457122</v>
      </c>
      <c r="C5257" s="0" t="n">
        <v>1457142</v>
      </c>
      <c r="D5257" s="0" t="s">
        <v>17600</v>
      </c>
      <c r="E5257" s="0" t="s">
        <v>89</v>
      </c>
      <c r="F5257" s="0" t="s">
        <v>15</v>
      </c>
      <c r="G5257" s="0" t="s">
        <v>36</v>
      </c>
      <c r="H5257" s="0" t="n">
        <v>115</v>
      </c>
      <c r="I5257" s="0" t="s">
        <v>17610</v>
      </c>
      <c r="J5257" s="0" t="s">
        <v>17611</v>
      </c>
      <c r="K5257" s="0" t="s">
        <v>17612</v>
      </c>
      <c r="L5257" s="0" t="str">
        <f aca="false">HYPERLINK("https://www.ncbi.nlm.nih.gov/nuccore/CP000304.1?report=graph&amp;tracks=[key:gene_model_track,Options:GeneOnly]&amp;mk=1457021:1457040|offset_13|444444,1457062:1457081|offset_54|444444,1457094:1457113|offset_86|444444,1457123:1457142|offset_115|00cc00&amp;v=1456820:1457342&amp;c=444444", "offset 115")</f>
        <v>offset 115</v>
      </c>
    </row>
    <row r="5258" customFormat="false" ht="12.8" hidden="false" customHeight="false" outlineLevel="0" collapsed="false">
      <c r="A5258" s="0" t="s">
        <v>12</v>
      </c>
      <c r="B5258" s="0" t="n">
        <v>1458530</v>
      </c>
      <c r="C5258" s="0" t="n">
        <v>1458550</v>
      </c>
      <c r="D5258" s="0" t="s">
        <v>17613</v>
      </c>
      <c r="E5258" s="0" t="s">
        <v>17614</v>
      </c>
      <c r="F5258" s="0" t="s">
        <v>15</v>
      </c>
      <c r="G5258" s="0" t="s">
        <v>32</v>
      </c>
      <c r="H5258" s="0" t="n">
        <v>7</v>
      </c>
      <c r="I5258" s="0" t="s">
        <v>17615</v>
      </c>
      <c r="J5258" s="0" t="s">
        <v>17616</v>
      </c>
      <c r="K5258" s="0" t="s">
        <v>17617</v>
      </c>
      <c r="L5258" s="0" t="str">
        <f aca="false">HYPERLINK("https://www.ncbi.nlm.nih.gov/nuccore/CP000304.1?report=graph&amp;tracks=[key:gene_model_track,Options:GeneOnly]&amp;mk=1458531:1458550|offset_7|00cc00,1458582:1458601|offset_58|444444,1458615:1458634|offset_91|444444,1458640:1458659|offset_116|444444&amp;v=1458330:1458859&amp;c=444444", "offset 7")</f>
        <v>offset 7</v>
      </c>
    </row>
    <row r="5259" customFormat="false" ht="12.8" hidden="false" customHeight="false" outlineLevel="0" collapsed="false">
      <c r="A5259" s="0" t="s">
        <v>12</v>
      </c>
      <c r="B5259" s="0" t="n">
        <v>1458581</v>
      </c>
      <c r="C5259" s="0" t="n">
        <v>1458601</v>
      </c>
      <c r="D5259" s="0" t="s">
        <v>17613</v>
      </c>
      <c r="E5259" s="0" t="s">
        <v>17614</v>
      </c>
      <c r="F5259" s="0" t="s">
        <v>15</v>
      </c>
      <c r="G5259" s="0" t="s">
        <v>32</v>
      </c>
      <c r="H5259" s="0" t="n">
        <v>58</v>
      </c>
      <c r="I5259" s="0" t="s">
        <v>17618</v>
      </c>
      <c r="J5259" s="0" t="s">
        <v>17619</v>
      </c>
      <c r="K5259" s="0" t="s">
        <v>17620</v>
      </c>
      <c r="L5259" s="0" t="str">
        <f aca="false">HYPERLINK("https://www.ncbi.nlm.nih.gov/nuccore/CP000304.1?report=graph&amp;tracks=[key:gene_model_track,Options:GeneOnly]&amp;mk=1458531:1458550|offset_7|444444,1458582:1458601|offset_58|00cc00,1458615:1458634|offset_91|444444,1458640:1458659|offset_116|444444&amp;v=1458330:1458859&amp;c=444444", "offset 58")</f>
        <v>offset 58</v>
      </c>
    </row>
    <row r="5260" customFormat="false" ht="12.8" hidden="false" customHeight="false" outlineLevel="0" collapsed="false">
      <c r="A5260" s="0" t="s">
        <v>12</v>
      </c>
      <c r="B5260" s="0" t="n">
        <v>1458614</v>
      </c>
      <c r="C5260" s="0" t="n">
        <v>1458634</v>
      </c>
      <c r="D5260" s="0" t="s">
        <v>17613</v>
      </c>
      <c r="E5260" s="0" t="s">
        <v>17614</v>
      </c>
      <c r="F5260" s="0" t="s">
        <v>15</v>
      </c>
      <c r="G5260" s="0" t="s">
        <v>36</v>
      </c>
      <c r="H5260" s="0" t="n">
        <v>91</v>
      </c>
      <c r="I5260" s="0" t="s">
        <v>17621</v>
      </c>
      <c r="J5260" s="0" t="s">
        <v>17622</v>
      </c>
      <c r="K5260" s="0" t="s">
        <v>17623</v>
      </c>
      <c r="L5260" s="0" t="str">
        <f aca="false">HYPERLINK("https://www.ncbi.nlm.nih.gov/nuccore/CP000304.1?report=graph&amp;tracks=[key:gene_model_track,Options:GeneOnly]&amp;mk=1458531:1458550|offset_7|444444,1458582:1458601|offset_58|444444,1458615:1458634|offset_91|00cc00,1458640:1458659|offset_116|444444&amp;v=1458330:1458859&amp;c=444444", "offset 91")</f>
        <v>offset 91</v>
      </c>
    </row>
    <row r="5261" customFormat="false" ht="12.8" hidden="false" customHeight="false" outlineLevel="0" collapsed="false">
      <c r="A5261" s="0" t="s">
        <v>12</v>
      </c>
      <c r="B5261" s="0" t="n">
        <v>1458639</v>
      </c>
      <c r="C5261" s="0" t="n">
        <v>1458659</v>
      </c>
      <c r="D5261" s="0" t="s">
        <v>17613</v>
      </c>
      <c r="E5261" s="0" t="s">
        <v>17614</v>
      </c>
      <c r="F5261" s="0" t="s">
        <v>15</v>
      </c>
      <c r="G5261" s="0" t="s">
        <v>16</v>
      </c>
      <c r="H5261" s="0" t="n">
        <v>116</v>
      </c>
      <c r="I5261" s="0" t="s">
        <v>17624</v>
      </c>
      <c r="J5261" s="0" t="s">
        <v>17625</v>
      </c>
      <c r="K5261" s="0" t="s">
        <v>17626</v>
      </c>
      <c r="L5261" s="0" t="str">
        <f aca="false">HYPERLINK("https://www.ncbi.nlm.nih.gov/nuccore/CP000304.1?report=graph&amp;tracks=[key:gene_model_track,Options:GeneOnly]&amp;mk=1458531:1458550|offset_7|444444,1458582:1458601|offset_58|444444,1458615:1458634|offset_91|444444,1458640:1458659|offset_116|00cc00&amp;v=1458330:1458859&amp;c=444444", "offset 116")</f>
        <v>offset 116</v>
      </c>
    </row>
    <row r="5262" customFormat="false" ht="12.8" hidden="false" customHeight="false" outlineLevel="0" collapsed="false">
      <c r="A5262" s="0" t="s">
        <v>12</v>
      </c>
      <c r="B5262" s="0" t="n">
        <v>1459253</v>
      </c>
      <c r="C5262" s="0" t="n">
        <v>1459273</v>
      </c>
      <c r="D5262" s="0" t="s">
        <v>17627</v>
      </c>
      <c r="E5262" s="0" t="s">
        <v>89</v>
      </c>
      <c r="F5262" s="0" t="s">
        <v>15</v>
      </c>
      <c r="G5262" s="0" t="s">
        <v>32</v>
      </c>
      <c r="H5262" s="0" t="n">
        <v>1</v>
      </c>
      <c r="I5262" s="0" t="s">
        <v>17628</v>
      </c>
      <c r="J5262" s="0" t="s">
        <v>17629</v>
      </c>
      <c r="K5262" s="0" t="s">
        <v>17630</v>
      </c>
      <c r="L5262" s="0" t="str">
        <f aca="false">HYPERLINK("https://www.ncbi.nlm.nih.gov/nuccore/CP000304.1?report=graph&amp;tracks=[key:gene_model_track,Options:GeneOnly]&amp;mk=1459254:1459273|offset_1|00cc00,1459278:1459297|offset_25|444444,1459298:1459317|offset_45|444444,1459328:1459347|offset_75|444444&amp;v=1459053:1459547&amp;c=444444", "offset 1")</f>
        <v>offset 1</v>
      </c>
    </row>
    <row r="5263" customFormat="false" ht="12.8" hidden="false" customHeight="false" outlineLevel="0" collapsed="false">
      <c r="A5263" s="0" t="s">
        <v>12</v>
      </c>
      <c r="B5263" s="0" t="n">
        <v>1459277</v>
      </c>
      <c r="C5263" s="0" t="n">
        <v>1459297</v>
      </c>
      <c r="D5263" s="0" t="s">
        <v>17627</v>
      </c>
      <c r="E5263" s="0" t="s">
        <v>89</v>
      </c>
      <c r="F5263" s="0" t="s">
        <v>15</v>
      </c>
      <c r="G5263" s="0" t="s">
        <v>36</v>
      </c>
      <c r="H5263" s="0" t="n">
        <v>25</v>
      </c>
      <c r="I5263" s="0" t="s">
        <v>17631</v>
      </c>
      <c r="J5263" s="0" t="s">
        <v>17632</v>
      </c>
      <c r="K5263" s="0" t="s">
        <v>17633</v>
      </c>
      <c r="L5263" s="0" t="str">
        <f aca="false">HYPERLINK("https://www.ncbi.nlm.nih.gov/nuccore/CP000304.1?report=graph&amp;tracks=[key:gene_model_track,Options:GeneOnly]&amp;mk=1459254:1459273|offset_1|444444,1459278:1459297|offset_25|00cc00,1459298:1459317|offset_45|444444,1459328:1459347|offset_75|444444&amp;v=1459053:1459547&amp;c=444444", "offset 25")</f>
        <v>offset 25</v>
      </c>
    </row>
    <row r="5264" customFormat="false" ht="12.8" hidden="false" customHeight="false" outlineLevel="0" collapsed="false">
      <c r="A5264" s="0" t="s">
        <v>12</v>
      </c>
      <c r="B5264" s="0" t="n">
        <v>1459297</v>
      </c>
      <c r="C5264" s="0" t="n">
        <v>1459317</v>
      </c>
      <c r="D5264" s="0" t="s">
        <v>17627</v>
      </c>
      <c r="E5264" s="0" t="s">
        <v>89</v>
      </c>
      <c r="F5264" s="0" t="s">
        <v>15</v>
      </c>
      <c r="G5264" s="0" t="s">
        <v>16</v>
      </c>
      <c r="H5264" s="0" t="n">
        <v>45</v>
      </c>
      <c r="I5264" s="0" t="s">
        <v>17634</v>
      </c>
      <c r="J5264" s="0" t="s">
        <v>17635</v>
      </c>
      <c r="K5264" s="0" t="s">
        <v>17636</v>
      </c>
      <c r="L5264" s="0" t="str">
        <f aca="false">HYPERLINK("https://www.ncbi.nlm.nih.gov/nuccore/CP000304.1?report=graph&amp;tracks=[key:gene_model_track,Options:GeneOnly]&amp;mk=1459254:1459273|offset_1|444444,1459278:1459297|offset_25|444444,1459298:1459317|offset_45|00cc00,1459328:1459347|offset_75|444444&amp;v=1459053:1459547&amp;c=444444", "offset 45")</f>
        <v>offset 45</v>
      </c>
    </row>
    <row r="5265" customFormat="false" ht="12.8" hidden="false" customHeight="false" outlineLevel="0" collapsed="false">
      <c r="A5265" s="0" t="s">
        <v>12</v>
      </c>
      <c r="B5265" s="0" t="n">
        <v>1459327</v>
      </c>
      <c r="C5265" s="0" t="n">
        <v>1459347</v>
      </c>
      <c r="D5265" s="0" t="s">
        <v>17627</v>
      </c>
      <c r="E5265" s="0" t="s">
        <v>89</v>
      </c>
      <c r="F5265" s="0" t="s">
        <v>15</v>
      </c>
      <c r="G5265" s="0" t="s">
        <v>16</v>
      </c>
      <c r="H5265" s="0" t="n">
        <v>75</v>
      </c>
      <c r="I5265" s="0" t="s">
        <v>17637</v>
      </c>
      <c r="J5265" s="0" t="s">
        <v>17638</v>
      </c>
      <c r="K5265" s="0" t="s">
        <v>17639</v>
      </c>
      <c r="L5265" s="0" t="str">
        <f aca="false">HYPERLINK("https://www.ncbi.nlm.nih.gov/nuccore/CP000304.1?report=graph&amp;tracks=[key:gene_model_track,Options:GeneOnly]&amp;mk=1459254:1459273|offset_1|444444,1459278:1459297|offset_25|444444,1459298:1459317|offset_45|444444,1459328:1459347|offset_75|00cc00&amp;v=1459053:1459547&amp;c=444444", "offset 75")</f>
        <v>offset 75</v>
      </c>
    </row>
    <row r="5266" customFormat="false" ht="12.8" hidden="false" customHeight="false" outlineLevel="0" collapsed="false">
      <c r="A5266" s="0" t="s">
        <v>12</v>
      </c>
      <c r="B5266" s="0" t="n">
        <v>1461104</v>
      </c>
      <c r="C5266" s="0" t="n">
        <v>1461124</v>
      </c>
      <c r="D5266" s="0" t="s">
        <v>17640</v>
      </c>
      <c r="E5266" s="0" t="s">
        <v>89</v>
      </c>
      <c r="F5266" s="0" t="s">
        <v>90</v>
      </c>
      <c r="G5266" s="0" t="s">
        <v>16</v>
      </c>
      <c r="H5266" s="0" t="n">
        <v>25</v>
      </c>
      <c r="I5266" s="0" t="s">
        <v>17641</v>
      </c>
      <c r="J5266" s="0" t="s">
        <v>17642</v>
      </c>
      <c r="K5266" s="0" t="s">
        <v>17643</v>
      </c>
      <c r="L5266" s="0" t="str">
        <f aca="false">HYPERLINK("https://www.ncbi.nlm.nih.gov/nuccore/CP000304.1?report=graph&amp;tracks=[key:gene_model_track,Options:GeneOnly]&amp;mk=1461105:1461124|offset_25|00cc00,1461081:1461100|offset_49|444444,1461057:1461076|offset_73|444444,1461015:1461034|offset_115|444444&amp;v=1460904:1461234&amp;c=444444", "offset 25")</f>
        <v>offset 25</v>
      </c>
    </row>
    <row r="5267" customFormat="false" ht="12.8" hidden="false" customHeight="false" outlineLevel="0" collapsed="false">
      <c r="A5267" s="0" t="s">
        <v>12</v>
      </c>
      <c r="B5267" s="0" t="n">
        <v>1461080</v>
      </c>
      <c r="C5267" s="0" t="n">
        <v>1461100</v>
      </c>
      <c r="D5267" s="0" t="s">
        <v>17640</v>
      </c>
      <c r="E5267" s="0" t="s">
        <v>89</v>
      </c>
      <c r="F5267" s="0" t="s">
        <v>90</v>
      </c>
      <c r="G5267" s="0" t="s">
        <v>26</v>
      </c>
      <c r="H5267" s="0" t="n">
        <v>49</v>
      </c>
      <c r="I5267" s="0" t="s">
        <v>17644</v>
      </c>
      <c r="J5267" s="0" t="s">
        <v>17645</v>
      </c>
      <c r="K5267" s="0" t="s">
        <v>17646</v>
      </c>
      <c r="L5267" s="0" t="str">
        <f aca="false">HYPERLINK("https://www.ncbi.nlm.nih.gov/nuccore/CP000304.1?report=graph&amp;tracks=[key:gene_model_track,Options:GeneOnly]&amp;mk=1461105:1461124|offset_25|444444,1461081:1461100|offset_49|00cc00,1461057:1461076|offset_73|444444,1461015:1461034|offset_115|444444&amp;v=1460904:1461234&amp;c=444444", "offset 49")</f>
        <v>offset 49</v>
      </c>
    </row>
    <row r="5268" customFormat="false" ht="12.8" hidden="false" customHeight="false" outlineLevel="0" collapsed="false">
      <c r="A5268" s="0" t="s">
        <v>12</v>
      </c>
      <c r="B5268" s="0" t="n">
        <v>1461056</v>
      </c>
      <c r="C5268" s="0" t="n">
        <v>1461076</v>
      </c>
      <c r="D5268" s="0" t="s">
        <v>17640</v>
      </c>
      <c r="E5268" s="0" t="s">
        <v>89</v>
      </c>
      <c r="F5268" s="0" t="s">
        <v>90</v>
      </c>
      <c r="G5268" s="0" t="s">
        <v>16</v>
      </c>
      <c r="H5268" s="0" t="n">
        <v>73</v>
      </c>
      <c r="I5268" s="0" t="s">
        <v>17647</v>
      </c>
      <c r="J5268" s="0" t="s">
        <v>17648</v>
      </c>
      <c r="K5268" s="0" t="s">
        <v>17649</v>
      </c>
      <c r="L5268" s="0" t="str">
        <f aca="false">HYPERLINK("https://www.ncbi.nlm.nih.gov/nuccore/CP000304.1?report=graph&amp;tracks=[key:gene_model_track,Options:GeneOnly]&amp;mk=1461105:1461124|offset_25|444444,1461081:1461100|offset_49|444444,1461057:1461076|offset_73|00cc00,1461015:1461034|offset_115|444444&amp;v=1460904:1461234&amp;c=444444", "offset 73")</f>
        <v>offset 73</v>
      </c>
    </row>
    <row r="5269" customFormat="false" ht="12.8" hidden="false" customHeight="false" outlineLevel="0" collapsed="false">
      <c r="A5269" s="0" t="s">
        <v>12</v>
      </c>
      <c r="B5269" s="0" t="n">
        <v>1461014</v>
      </c>
      <c r="C5269" s="0" t="n">
        <v>1461034</v>
      </c>
      <c r="D5269" s="0" t="s">
        <v>17640</v>
      </c>
      <c r="E5269" s="0" t="s">
        <v>89</v>
      </c>
      <c r="F5269" s="0" t="s">
        <v>90</v>
      </c>
      <c r="G5269" s="0" t="s">
        <v>26</v>
      </c>
      <c r="H5269" s="0" t="n">
        <v>115</v>
      </c>
      <c r="I5269" s="0" t="s">
        <v>17650</v>
      </c>
      <c r="J5269" s="0" t="s">
        <v>17651</v>
      </c>
      <c r="K5269" s="0" t="s">
        <v>17652</v>
      </c>
      <c r="L5269" s="0" t="str">
        <f aca="false">HYPERLINK("https://www.ncbi.nlm.nih.gov/nuccore/CP000304.1?report=graph&amp;tracks=[key:gene_model_track,Options:GeneOnly]&amp;mk=1461105:1461124|offset_25|444444,1461081:1461100|offset_49|444444,1461057:1461076|offset_73|444444,1461015:1461034|offset_115|00cc00&amp;v=1460904:1461234&amp;c=444444", "offset 115")</f>
        <v>offset 115</v>
      </c>
    </row>
    <row r="5270" customFormat="false" ht="12.8" hidden="false" customHeight="false" outlineLevel="0" collapsed="false">
      <c r="A5270" s="0" t="s">
        <v>12</v>
      </c>
      <c r="B5270" s="0" t="n">
        <v>1462165</v>
      </c>
      <c r="C5270" s="0" t="n">
        <v>1462185</v>
      </c>
      <c r="D5270" s="0" t="s">
        <v>17653</v>
      </c>
      <c r="E5270" s="0" t="s">
        <v>89</v>
      </c>
      <c r="F5270" s="0" t="s">
        <v>90</v>
      </c>
      <c r="G5270" s="0" t="s">
        <v>32</v>
      </c>
      <c r="H5270" s="0" t="n">
        <v>6</v>
      </c>
      <c r="I5270" s="0" t="s">
        <v>17654</v>
      </c>
      <c r="J5270" s="0" t="s">
        <v>17655</v>
      </c>
      <c r="K5270" s="0" t="s">
        <v>17656</v>
      </c>
      <c r="L5270" s="0" t="str">
        <f aca="false">HYPERLINK("https://www.ncbi.nlm.nih.gov/nuccore/CP000304.1?report=graph&amp;tracks=[key:gene_model_track,Options:GeneOnly]&amp;mk=1462166:1462185|offset_6|00cc00,1462144:1462163|offset_28|444444,1462115:1462134|offset_57|444444,1462092:1462111|offset_80|444444&amp;v=1461965:1462311&amp;c=444444", "offset 6")</f>
        <v>offset 6</v>
      </c>
    </row>
    <row r="5271" customFormat="false" ht="12.8" hidden="false" customHeight="false" outlineLevel="0" collapsed="false">
      <c r="A5271" s="0" t="s">
        <v>12</v>
      </c>
      <c r="B5271" s="0" t="n">
        <v>1462143</v>
      </c>
      <c r="C5271" s="0" t="n">
        <v>1462163</v>
      </c>
      <c r="D5271" s="0" t="s">
        <v>17653</v>
      </c>
      <c r="E5271" s="0" t="s">
        <v>89</v>
      </c>
      <c r="F5271" s="0" t="s">
        <v>90</v>
      </c>
      <c r="G5271" s="0" t="s">
        <v>16</v>
      </c>
      <c r="H5271" s="0" t="n">
        <v>28</v>
      </c>
      <c r="I5271" s="0" t="s">
        <v>17657</v>
      </c>
      <c r="J5271" s="0" t="s">
        <v>17658</v>
      </c>
      <c r="K5271" s="0" t="s">
        <v>17659</v>
      </c>
      <c r="L5271" s="0" t="str">
        <f aca="false">HYPERLINK("https://www.ncbi.nlm.nih.gov/nuccore/CP000304.1?report=graph&amp;tracks=[key:gene_model_track,Options:GeneOnly]&amp;mk=1462166:1462185|offset_6|444444,1462144:1462163|offset_28|00cc00,1462115:1462134|offset_57|444444,1462092:1462111|offset_80|444444&amp;v=1461965:1462311&amp;c=444444", "offset 28")</f>
        <v>offset 28</v>
      </c>
    </row>
    <row r="5272" customFormat="false" ht="12.8" hidden="false" customHeight="false" outlineLevel="0" collapsed="false">
      <c r="A5272" s="0" t="s">
        <v>12</v>
      </c>
      <c r="B5272" s="0" t="n">
        <v>1462114</v>
      </c>
      <c r="C5272" s="0" t="n">
        <v>1462134</v>
      </c>
      <c r="D5272" s="0" t="s">
        <v>17653</v>
      </c>
      <c r="E5272" s="0" t="s">
        <v>89</v>
      </c>
      <c r="F5272" s="0" t="s">
        <v>90</v>
      </c>
      <c r="G5272" s="0" t="s">
        <v>36</v>
      </c>
      <c r="H5272" s="0" t="n">
        <v>57</v>
      </c>
      <c r="I5272" s="0" t="s">
        <v>17660</v>
      </c>
      <c r="J5272" s="0" t="s">
        <v>17661</v>
      </c>
      <c r="K5272" s="0" t="s">
        <v>17662</v>
      </c>
      <c r="L5272" s="0" t="str">
        <f aca="false">HYPERLINK("https://www.ncbi.nlm.nih.gov/nuccore/CP000304.1?report=graph&amp;tracks=[key:gene_model_track,Options:GeneOnly]&amp;mk=1462166:1462185|offset_6|444444,1462144:1462163|offset_28|444444,1462115:1462134|offset_57|00cc00,1462092:1462111|offset_80|444444&amp;v=1461965:1462311&amp;c=444444", "offset 57")</f>
        <v>offset 57</v>
      </c>
    </row>
    <row r="5273" customFormat="false" ht="12.8" hidden="false" customHeight="false" outlineLevel="0" collapsed="false">
      <c r="A5273" s="0" t="s">
        <v>12</v>
      </c>
      <c r="B5273" s="0" t="n">
        <v>1462091</v>
      </c>
      <c r="C5273" s="0" t="n">
        <v>1462111</v>
      </c>
      <c r="D5273" s="0" t="s">
        <v>17653</v>
      </c>
      <c r="E5273" s="0" t="s">
        <v>89</v>
      </c>
      <c r="F5273" s="0" t="s">
        <v>90</v>
      </c>
      <c r="G5273" s="0" t="s">
        <v>16</v>
      </c>
      <c r="H5273" s="0" t="n">
        <v>80</v>
      </c>
      <c r="I5273" s="0" t="s">
        <v>17663</v>
      </c>
      <c r="J5273" s="0" t="s">
        <v>17664</v>
      </c>
      <c r="K5273" s="0" t="s">
        <v>17665</v>
      </c>
      <c r="L5273" s="0" t="str">
        <f aca="false">HYPERLINK("https://www.ncbi.nlm.nih.gov/nuccore/CP000304.1?report=graph&amp;tracks=[key:gene_model_track,Options:GeneOnly]&amp;mk=1462166:1462185|offset_6|444444,1462144:1462163|offset_28|444444,1462115:1462134|offset_57|444444,1462092:1462111|offset_80|00cc00&amp;v=1461965:1462311&amp;c=444444", "offset 80")</f>
        <v>offset 80</v>
      </c>
    </row>
    <row r="5274" customFormat="false" ht="12.8" hidden="false" customHeight="false" outlineLevel="0" collapsed="false">
      <c r="A5274" s="0" t="s">
        <v>12</v>
      </c>
      <c r="B5274" s="0" t="n">
        <v>1462252</v>
      </c>
      <c r="C5274" s="0" t="n">
        <v>1462272</v>
      </c>
      <c r="D5274" s="0" t="s">
        <v>17666</v>
      </c>
      <c r="E5274" s="0" t="s">
        <v>17667</v>
      </c>
      <c r="F5274" s="0" t="s">
        <v>15</v>
      </c>
      <c r="G5274" s="0" t="s">
        <v>36</v>
      </c>
      <c r="H5274" s="0" t="n">
        <v>6</v>
      </c>
      <c r="I5274" s="0" t="s">
        <v>17668</v>
      </c>
      <c r="J5274" s="0" t="s">
        <v>17669</v>
      </c>
      <c r="K5274" s="0" t="s">
        <v>17670</v>
      </c>
      <c r="L5274" s="0" t="str">
        <f aca="false">HYPERLINK("https://www.ncbi.nlm.nih.gov/nuccore/CP000304.1?report=graph&amp;tracks=[key:gene_model_track,Options:GeneOnly]&amp;mk=1462253:1462272|offset_6|00cc00,1462287:1462306|offset_40|444444,1462315:1462334|offset_68|444444,1462335:1462354|offset_88|444444&amp;v=1462052:1462554&amp;c=444444", "offset 6")</f>
        <v>offset 6</v>
      </c>
    </row>
    <row r="5275" customFormat="false" ht="12.8" hidden="false" customHeight="false" outlineLevel="0" collapsed="false">
      <c r="A5275" s="0" t="s">
        <v>12</v>
      </c>
      <c r="B5275" s="0" t="n">
        <v>1462286</v>
      </c>
      <c r="C5275" s="0" t="n">
        <v>1462306</v>
      </c>
      <c r="D5275" s="0" t="s">
        <v>17666</v>
      </c>
      <c r="E5275" s="0" t="s">
        <v>17667</v>
      </c>
      <c r="F5275" s="0" t="s">
        <v>15</v>
      </c>
      <c r="G5275" s="0" t="s">
        <v>26</v>
      </c>
      <c r="H5275" s="0" t="n">
        <v>40</v>
      </c>
      <c r="I5275" s="0" t="s">
        <v>17671</v>
      </c>
      <c r="J5275" s="0" t="s">
        <v>17672</v>
      </c>
      <c r="K5275" s="0" t="s">
        <v>17673</v>
      </c>
      <c r="L5275" s="0" t="str">
        <f aca="false">HYPERLINK("https://www.ncbi.nlm.nih.gov/nuccore/CP000304.1?report=graph&amp;tracks=[key:gene_model_track,Options:GeneOnly]&amp;mk=1462253:1462272|offset_6|444444,1462287:1462306|offset_40|00cc00,1462315:1462334|offset_68|444444,1462335:1462354|offset_88|444444&amp;v=1462052:1462554&amp;c=444444", "offset 40")</f>
        <v>offset 40</v>
      </c>
    </row>
    <row r="5276" customFormat="false" ht="12.8" hidden="false" customHeight="false" outlineLevel="0" collapsed="false">
      <c r="A5276" s="0" t="s">
        <v>12</v>
      </c>
      <c r="B5276" s="0" t="n">
        <v>1462314</v>
      </c>
      <c r="C5276" s="0" t="n">
        <v>1462334</v>
      </c>
      <c r="D5276" s="0" t="s">
        <v>17666</v>
      </c>
      <c r="E5276" s="0" t="s">
        <v>17667</v>
      </c>
      <c r="F5276" s="0" t="s">
        <v>15</v>
      </c>
      <c r="G5276" s="0" t="s">
        <v>16</v>
      </c>
      <c r="H5276" s="0" t="n">
        <v>68</v>
      </c>
      <c r="I5276" s="0" t="s">
        <v>17674</v>
      </c>
      <c r="J5276" s="0" t="s">
        <v>17675</v>
      </c>
      <c r="K5276" s="0" t="s">
        <v>17676</v>
      </c>
      <c r="L5276" s="0" t="str">
        <f aca="false">HYPERLINK("https://www.ncbi.nlm.nih.gov/nuccore/CP000304.1?report=graph&amp;tracks=[key:gene_model_track,Options:GeneOnly]&amp;mk=1462253:1462272|offset_6|444444,1462287:1462306|offset_40|444444,1462315:1462334|offset_68|00cc00,1462335:1462354|offset_88|444444&amp;v=1462052:1462554&amp;c=444444", "offset 68")</f>
        <v>offset 68</v>
      </c>
    </row>
    <row r="5277" customFormat="false" ht="12.8" hidden="false" customHeight="false" outlineLevel="0" collapsed="false">
      <c r="A5277" s="0" t="s">
        <v>12</v>
      </c>
      <c r="B5277" s="0" t="n">
        <v>1462334</v>
      </c>
      <c r="C5277" s="0" t="n">
        <v>1462354</v>
      </c>
      <c r="D5277" s="0" t="s">
        <v>17666</v>
      </c>
      <c r="E5277" s="0" t="s">
        <v>17667</v>
      </c>
      <c r="F5277" s="0" t="s">
        <v>15</v>
      </c>
      <c r="G5277" s="0" t="s">
        <v>32</v>
      </c>
      <c r="H5277" s="0" t="n">
        <v>88</v>
      </c>
      <c r="I5277" s="0" t="s">
        <v>17677</v>
      </c>
      <c r="J5277" s="0" t="s">
        <v>17678</v>
      </c>
      <c r="K5277" s="0" t="s">
        <v>17679</v>
      </c>
      <c r="L5277" s="0" t="str">
        <f aca="false">HYPERLINK("https://www.ncbi.nlm.nih.gov/nuccore/CP000304.1?report=graph&amp;tracks=[key:gene_model_track,Options:GeneOnly]&amp;mk=1462253:1462272|offset_6|444444,1462287:1462306|offset_40|444444,1462315:1462334|offset_68|444444,1462335:1462354|offset_88|00cc00&amp;v=1462052:1462554&amp;c=444444", "offset 88")</f>
        <v>offset 88</v>
      </c>
    </row>
    <row r="5278" customFormat="false" ht="12.8" hidden="false" customHeight="false" outlineLevel="0" collapsed="false">
      <c r="A5278" s="0" t="s">
        <v>12</v>
      </c>
      <c r="B5278" s="0" t="n">
        <v>1463467</v>
      </c>
      <c r="C5278" s="0" t="n">
        <v>1463487</v>
      </c>
      <c r="D5278" s="0" t="s">
        <v>17680</v>
      </c>
      <c r="E5278" s="0" t="s">
        <v>89</v>
      </c>
      <c r="F5278" s="0" t="s">
        <v>15</v>
      </c>
      <c r="G5278" s="0" t="s">
        <v>32</v>
      </c>
      <c r="H5278" s="0" t="n">
        <v>19</v>
      </c>
      <c r="I5278" s="0" t="s">
        <v>17681</v>
      </c>
      <c r="J5278" s="0" t="s">
        <v>17682</v>
      </c>
      <c r="K5278" s="0" t="s">
        <v>17683</v>
      </c>
      <c r="L5278" s="0" t="str">
        <f aca="false">HYPERLINK("https://www.ncbi.nlm.nih.gov/nuccore/CP000304.1?report=graph&amp;tracks=[key:gene_model_track,Options:GeneOnly]&amp;mk=1463468:1463487|offset_19|00cc00,1463502:1463521|offset_53|444444,1463539:1463558|offset_90|444444,1463569:1463588|offset_120|444444&amp;v=1463267:1463788&amp;c=444444", "offset 19")</f>
        <v>offset 19</v>
      </c>
    </row>
    <row r="5279" customFormat="false" ht="12.8" hidden="false" customHeight="false" outlineLevel="0" collapsed="false">
      <c r="A5279" s="0" t="s">
        <v>12</v>
      </c>
      <c r="B5279" s="0" t="n">
        <v>1463501</v>
      </c>
      <c r="C5279" s="0" t="n">
        <v>1463521</v>
      </c>
      <c r="D5279" s="0" t="s">
        <v>17680</v>
      </c>
      <c r="E5279" s="0" t="s">
        <v>89</v>
      </c>
      <c r="F5279" s="0" t="s">
        <v>15</v>
      </c>
      <c r="G5279" s="0" t="s">
        <v>26</v>
      </c>
      <c r="H5279" s="0" t="n">
        <v>53</v>
      </c>
      <c r="I5279" s="0" t="s">
        <v>17684</v>
      </c>
      <c r="J5279" s="0" t="s">
        <v>17685</v>
      </c>
      <c r="K5279" s="0" t="s">
        <v>17686</v>
      </c>
      <c r="L5279" s="0" t="str">
        <f aca="false">HYPERLINK("https://www.ncbi.nlm.nih.gov/nuccore/CP000304.1?report=graph&amp;tracks=[key:gene_model_track,Options:GeneOnly]&amp;mk=1463468:1463487|offset_19|444444,1463502:1463521|offset_53|00cc00,1463539:1463558|offset_90|444444,1463569:1463588|offset_120|444444&amp;v=1463267:1463788&amp;c=444444", "offset 53")</f>
        <v>offset 53</v>
      </c>
    </row>
    <row r="5280" customFormat="false" ht="12.8" hidden="false" customHeight="false" outlineLevel="0" collapsed="false">
      <c r="A5280" s="0" t="s">
        <v>12</v>
      </c>
      <c r="B5280" s="0" t="n">
        <v>1463538</v>
      </c>
      <c r="C5280" s="0" t="n">
        <v>1463558</v>
      </c>
      <c r="D5280" s="0" t="s">
        <v>17680</v>
      </c>
      <c r="E5280" s="0" t="s">
        <v>89</v>
      </c>
      <c r="F5280" s="0" t="s">
        <v>15</v>
      </c>
      <c r="G5280" s="0" t="s">
        <v>36</v>
      </c>
      <c r="H5280" s="0" t="n">
        <v>90</v>
      </c>
      <c r="I5280" s="0" t="s">
        <v>17687</v>
      </c>
      <c r="J5280" s="0" t="s">
        <v>17688</v>
      </c>
      <c r="K5280" s="0" t="s">
        <v>17689</v>
      </c>
      <c r="L5280" s="0" t="str">
        <f aca="false">HYPERLINK("https://www.ncbi.nlm.nih.gov/nuccore/CP000304.1?report=graph&amp;tracks=[key:gene_model_track,Options:GeneOnly]&amp;mk=1463468:1463487|offset_19|444444,1463502:1463521|offset_53|444444,1463539:1463558|offset_90|00cc00,1463569:1463588|offset_120|444444&amp;v=1463267:1463788&amp;c=444444", "offset 90")</f>
        <v>offset 90</v>
      </c>
    </row>
    <row r="5281" customFormat="false" ht="12.8" hidden="false" customHeight="false" outlineLevel="0" collapsed="false">
      <c r="A5281" s="0" t="s">
        <v>12</v>
      </c>
      <c r="B5281" s="0" t="n">
        <v>1463568</v>
      </c>
      <c r="C5281" s="0" t="n">
        <v>1463588</v>
      </c>
      <c r="D5281" s="0" t="s">
        <v>17680</v>
      </c>
      <c r="E5281" s="0" t="s">
        <v>89</v>
      </c>
      <c r="F5281" s="0" t="s">
        <v>15</v>
      </c>
      <c r="G5281" s="0" t="s">
        <v>16</v>
      </c>
      <c r="H5281" s="0" t="n">
        <v>120</v>
      </c>
      <c r="I5281" s="0" t="s">
        <v>17690</v>
      </c>
      <c r="J5281" s="0" t="s">
        <v>17691</v>
      </c>
      <c r="K5281" s="0" t="s">
        <v>17692</v>
      </c>
      <c r="L5281" s="0" t="str">
        <f aca="false">HYPERLINK("https://www.ncbi.nlm.nih.gov/nuccore/CP000304.1?report=graph&amp;tracks=[key:gene_model_track,Options:GeneOnly]&amp;mk=1463468:1463487|offset_19|444444,1463502:1463521|offset_53|444444,1463539:1463558|offset_90|444444,1463569:1463588|offset_120|00cc00&amp;v=1463267:1463788&amp;c=444444", "offset 120")</f>
        <v>offset 120</v>
      </c>
    </row>
    <row r="5282" customFormat="false" ht="12.8" hidden="false" customHeight="false" outlineLevel="0" collapsed="false">
      <c r="A5282" s="0" t="s">
        <v>12</v>
      </c>
      <c r="B5282" s="0" t="n">
        <v>1463848</v>
      </c>
      <c r="C5282" s="0" t="n">
        <v>1463868</v>
      </c>
      <c r="D5282" s="0" t="s">
        <v>17693</v>
      </c>
      <c r="E5282" s="0" t="s">
        <v>89</v>
      </c>
      <c r="F5282" s="0" t="s">
        <v>15</v>
      </c>
      <c r="G5282" s="0" t="s">
        <v>26</v>
      </c>
      <c r="H5282" s="0" t="n">
        <v>16</v>
      </c>
      <c r="I5282" s="0" t="s">
        <v>17694</v>
      </c>
      <c r="J5282" s="0" t="s">
        <v>17695</v>
      </c>
      <c r="K5282" s="0" t="s">
        <v>17696</v>
      </c>
      <c r="L5282" s="0" t="str">
        <f aca="false">HYPERLINK("https://www.ncbi.nlm.nih.gov/nuccore/CP000304.1?report=graph&amp;tracks=[key:gene_model_track,Options:GeneOnly]&amp;mk=1463849:1463868|offset_16|00cc00,1463873:1463892|offset_40|444444,1463902:1463921|offset_69|444444,1463927:1463946|offset_94|444444&amp;v=1463648:1464146&amp;c=444444", "offset 16")</f>
        <v>offset 16</v>
      </c>
    </row>
    <row r="5283" customFormat="false" ht="12.8" hidden="false" customHeight="false" outlineLevel="0" collapsed="false">
      <c r="A5283" s="0" t="s">
        <v>12</v>
      </c>
      <c r="B5283" s="0" t="n">
        <v>1463872</v>
      </c>
      <c r="C5283" s="0" t="n">
        <v>1463892</v>
      </c>
      <c r="D5283" s="0" t="s">
        <v>17693</v>
      </c>
      <c r="E5283" s="0" t="s">
        <v>89</v>
      </c>
      <c r="F5283" s="0" t="s">
        <v>15</v>
      </c>
      <c r="G5283" s="0" t="s">
        <v>16</v>
      </c>
      <c r="H5283" s="0" t="n">
        <v>40</v>
      </c>
      <c r="I5283" s="0" t="s">
        <v>17697</v>
      </c>
      <c r="J5283" s="0" t="s">
        <v>17698</v>
      </c>
      <c r="K5283" s="0" t="s">
        <v>17699</v>
      </c>
      <c r="L5283" s="0" t="str">
        <f aca="false">HYPERLINK("https://www.ncbi.nlm.nih.gov/nuccore/CP000304.1?report=graph&amp;tracks=[key:gene_model_track,Options:GeneOnly]&amp;mk=1463849:1463868|offset_16|444444,1463873:1463892|offset_40|00cc00,1463902:1463921|offset_69|444444,1463927:1463946|offset_94|444444&amp;v=1463648:1464146&amp;c=444444", "offset 40")</f>
        <v>offset 40</v>
      </c>
    </row>
    <row r="5284" customFormat="false" ht="12.8" hidden="false" customHeight="false" outlineLevel="0" collapsed="false">
      <c r="A5284" s="0" t="s">
        <v>12</v>
      </c>
      <c r="B5284" s="0" t="n">
        <v>1463901</v>
      </c>
      <c r="C5284" s="0" t="n">
        <v>1463921</v>
      </c>
      <c r="D5284" s="0" t="s">
        <v>17693</v>
      </c>
      <c r="E5284" s="0" t="s">
        <v>89</v>
      </c>
      <c r="F5284" s="0" t="s">
        <v>15</v>
      </c>
      <c r="G5284" s="0" t="s">
        <v>16</v>
      </c>
      <c r="H5284" s="0" t="n">
        <v>69</v>
      </c>
      <c r="I5284" s="0" t="s">
        <v>17700</v>
      </c>
      <c r="J5284" s="0" t="s">
        <v>17701</v>
      </c>
      <c r="K5284" s="0" t="s">
        <v>17702</v>
      </c>
      <c r="L5284" s="0" t="str">
        <f aca="false">HYPERLINK("https://www.ncbi.nlm.nih.gov/nuccore/CP000304.1?report=graph&amp;tracks=[key:gene_model_track,Options:GeneOnly]&amp;mk=1463849:1463868|offset_16|444444,1463873:1463892|offset_40|444444,1463902:1463921|offset_69|00cc00,1463927:1463946|offset_94|444444&amp;v=1463648:1464146&amp;c=444444", "offset 69")</f>
        <v>offset 69</v>
      </c>
    </row>
    <row r="5285" customFormat="false" ht="12.8" hidden="false" customHeight="false" outlineLevel="0" collapsed="false">
      <c r="A5285" s="0" t="s">
        <v>12</v>
      </c>
      <c r="B5285" s="0" t="n">
        <v>1463926</v>
      </c>
      <c r="C5285" s="0" t="n">
        <v>1463946</v>
      </c>
      <c r="D5285" s="0" t="s">
        <v>17693</v>
      </c>
      <c r="E5285" s="0" t="s">
        <v>89</v>
      </c>
      <c r="F5285" s="0" t="s">
        <v>15</v>
      </c>
      <c r="G5285" s="0" t="s">
        <v>26</v>
      </c>
      <c r="H5285" s="0" t="n">
        <v>94</v>
      </c>
      <c r="I5285" s="0" t="s">
        <v>17703</v>
      </c>
      <c r="J5285" s="0" t="s">
        <v>17704</v>
      </c>
      <c r="K5285" s="0" t="s">
        <v>17705</v>
      </c>
      <c r="L5285" s="0" t="str">
        <f aca="false">HYPERLINK("https://www.ncbi.nlm.nih.gov/nuccore/CP000304.1?report=graph&amp;tracks=[key:gene_model_track,Options:GeneOnly]&amp;mk=1463849:1463868|offset_16|444444,1463873:1463892|offset_40|444444,1463902:1463921|offset_69|444444,1463927:1463946|offset_94|00cc00&amp;v=1463648:1464146&amp;c=444444", "offset 94")</f>
        <v>offset 94</v>
      </c>
    </row>
    <row r="5286" customFormat="false" ht="12.8" hidden="false" customHeight="false" outlineLevel="0" collapsed="false">
      <c r="A5286" s="0" t="s">
        <v>12</v>
      </c>
      <c r="B5286" s="0" t="n">
        <v>1464342</v>
      </c>
      <c r="C5286" s="0" t="n">
        <v>1464362</v>
      </c>
      <c r="D5286" s="0" t="s">
        <v>17706</v>
      </c>
      <c r="E5286" s="0" t="s">
        <v>89</v>
      </c>
      <c r="F5286" s="0" t="s">
        <v>15</v>
      </c>
      <c r="G5286" s="0" t="s">
        <v>16</v>
      </c>
      <c r="H5286" s="0" t="n">
        <v>6</v>
      </c>
      <c r="I5286" s="0" t="s">
        <v>17707</v>
      </c>
      <c r="J5286" s="0" t="s">
        <v>17708</v>
      </c>
      <c r="K5286" s="0" t="s">
        <v>17709</v>
      </c>
      <c r="L5286" s="0" t="str">
        <f aca="false">HYPERLINK("https://www.ncbi.nlm.nih.gov/nuccore/CP000304.1?report=graph&amp;tracks=[key:gene_model_track,Options:GeneOnly]&amp;mk=1464343:1464362|offset_6|00cc00,1464377:1464396|offset_40|444444,1464407:1464426|offset_70|444444,1464428:1464447|offset_91|444444&amp;v=1464142:1464647&amp;c=444444", "offset 6")</f>
        <v>offset 6</v>
      </c>
    </row>
    <row r="5287" customFormat="false" ht="12.8" hidden="false" customHeight="false" outlineLevel="0" collapsed="false">
      <c r="A5287" s="0" t="s">
        <v>12</v>
      </c>
      <c r="B5287" s="0" t="n">
        <v>1464376</v>
      </c>
      <c r="C5287" s="0" t="n">
        <v>1464396</v>
      </c>
      <c r="D5287" s="0" t="s">
        <v>17706</v>
      </c>
      <c r="E5287" s="0" t="s">
        <v>89</v>
      </c>
      <c r="F5287" s="0" t="s">
        <v>15</v>
      </c>
      <c r="G5287" s="0" t="s">
        <v>32</v>
      </c>
      <c r="H5287" s="0" t="n">
        <v>40</v>
      </c>
      <c r="I5287" s="0" t="s">
        <v>17710</v>
      </c>
      <c r="J5287" s="0" t="s">
        <v>17711</v>
      </c>
      <c r="K5287" s="0" t="s">
        <v>17712</v>
      </c>
      <c r="L5287" s="0" t="str">
        <f aca="false">HYPERLINK("https://www.ncbi.nlm.nih.gov/nuccore/CP000304.1?report=graph&amp;tracks=[key:gene_model_track,Options:GeneOnly]&amp;mk=1464343:1464362|offset_6|444444,1464377:1464396|offset_40|00cc00,1464407:1464426|offset_70|444444,1464428:1464447|offset_91|444444&amp;v=1464142:1464647&amp;c=444444", "offset 40")</f>
        <v>offset 40</v>
      </c>
    </row>
    <row r="5288" customFormat="false" ht="12.8" hidden="false" customHeight="false" outlineLevel="0" collapsed="false">
      <c r="A5288" s="0" t="s">
        <v>12</v>
      </c>
      <c r="B5288" s="0" t="n">
        <v>1464406</v>
      </c>
      <c r="C5288" s="0" t="n">
        <v>1464426</v>
      </c>
      <c r="D5288" s="0" t="s">
        <v>17706</v>
      </c>
      <c r="E5288" s="0" t="s">
        <v>89</v>
      </c>
      <c r="F5288" s="0" t="s">
        <v>15</v>
      </c>
      <c r="G5288" s="0" t="s">
        <v>36</v>
      </c>
      <c r="H5288" s="0" t="n">
        <v>70</v>
      </c>
      <c r="I5288" s="0" t="s">
        <v>17713</v>
      </c>
      <c r="J5288" s="0" t="s">
        <v>17714</v>
      </c>
      <c r="K5288" s="0" t="s">
        <v>17715</v>
      </c>
      <c r="L5288" s="0" t="str">
        <f aca="false">HYPERLINK("https://www.ncbi.nlm.nih.gov/nuccore/CP000304.1?report=graph&amp;tracks=[key:gene_model_track,Options:GeneOnly]&amp;mk=1464343:1464362|offset_6|444444,1464377:1464396|offset_40|444444,1464407:1464426|offset_70|00cc00,1464428:1464447|offset_91|444444&amp;v=1464142:1464647&amp;c=444444", "offset 70")</f>
        <v>offset 70</v>
      </c>
    </row>
    <row r="5289" customFormat="false" ht="12.8" hidden="false" customHeight="false" outlineLevel="0" collapsed="false">
      <c r="A5289" s="0" t="s">
        <v>12</v>
      </c>
      <c r="B5289" s="0" t="n">
        <v>1464427</v>
      </c>
      <c r="C5289" s="0" t="n">
        <v>1464447</v>
      </c>
      <c r="D5289" s="0" t="s">
        <v>17706</v>
      </c>
      <c r="E5289" s="0" t="s">
        <v>89</v>
      </c>
      <c r="F5289" s="0" t="s">
        <v>15</v>
      </c>
      <c r="G5289" s="0" t="s">
        <v>16</v>
      </c>
      <c r="H5289" s="0" t="n">
        <v>91</v>
      </c>
      <c r="I5289" s="0" t="s">
        <v>17716</v>
      </c>
      <c r="J5289" s="0" t="s">
        <v>17717</v>
      </c>
      <c r="K5289" s="0" t="s">
        <v>17718</v>
      </c>
      <c r="L5289" s="0" t="str">
        <f aca="false">HYPERLINK("https://www.ncbi.nlm.nih.gov/nuccore/CP000304.1?report=graph&amp;tracks=[key:gene_model_track,Options:GeneOnly]&amp;mk=1464343:1464362|offset_6|444444,1464377:1464396|offset_40|444444,1464407:1464426|offset_70|444444,1464428:1464447|offset_91|00cc00&amp;v=1464142:1464647&amp;c=444444", "offset 91")</f>
        <v>offset 91</v>
      </c>
    </row>
    <row r="5290" customFormat="false" ht="12.8" hidden="false" customHeight="false" outlineLevel="0" collapsed="false">
      <c r="A5290" s="0" t="s">
        <v>12</v>
      </c>
      <c r="B5290" s="0" t="n">
        <v>1464941</v>
      </c>
      <c r="C5290" s="0" t="n">
        <v>1464961</v>
      </c>
      <c r="D5290" s="0" t="s">
        <v>17719</v>
      </c>
      <c r="E5290" s="0" t="s">
        <v>89</v>
      </c>
      <c r="F5290" s="0" t="s">
        <v>15</v>
      </c>
      <c r="G5290" s="0" t="s">
        <v>36</v>
      </c>
      <c r="H5290" s="0" t="n">
        <v>53</v>
      </c>
      <c r="I5290" s="0" t="s">
        <v>17720</v>
      </c>
      <c r="J5290" s="0" t="s">
        <v>17721</v>
      </c>
      <c r="K5290" s="0" t="s">
        <v>17722</v>
      </c>
      <c r="L5290" s="0" t="str">
        <f aca="false">HYPERLINK("https://www.ncbi.nlm.nih.gov/nuccore/CP000304.1?report=graph&amp;tracks=[key:gene_model_track,Options:GeneOnly]&amp;mk=1464942:1464961|offset_53|00cc00,1464990:1465009|offset_101|444444,1465026:1465045|offset_137|444444,1465047:1465066|offset_158|444444&amp;v=1464741:1465266&amp;c=444444", "offset 53")</f>
        <v>offset 53</v>
      </c>
    </row>
    <row r="5291" customFormat="false" ht="12.8" hidden="false" customHeight="false" outlineLevel="0" collapsed="false">
      <c r="A5291" s="0" t="s">
        <v>12</v>
      </c>
      <c r="B5291" s="0" t="n">
        <v>1464989</v>
      </c>
      <c r="C5291" s="0" t="n">
        <v>1465009</v>
      </c>
      <c r="D5291" s="0" t="s">
        <v>17719</v>
      </c>
      <c r="E5291" s="0" t="s">
        <v>89</v>
      </c>
      <c r="F5291" s="0" t="s">
        <v>15</v>
      </c>
      <c r="G5291" s="0" t="s">
        <v>26</v>
      </c>
      <c r="H5291" s="0" t="n">
        <v>101</v>
      </c>
      <c r="I5291" s="0" t="s">
        <v>17723</v>
      </c>
      <c r="J5291" s="0" t="s">
        <v>17724</v>
      </c>
      <c r="K5291" s="0" t="s">
        <v>17725</v>
      </c>
      <c r="L5291" s="0" t="str">
        <f aca="false">HYPERLINK("https://www.ncbi.nlm.nih.gov/nuccore/CP000304.1?report=graph&amp;tracks=[key:gene_model_track,Options:GeneOnly]&amp;mk=1464942:1464961|offset_53|444444,1464990:1465009|offset_101|00cc00,1465026:1465045|offset_137|444444,1465047:1465066|offset_158|444444&amp;v=1464741:1465266&amp;c=444444", "offset 101")</f>
        <v>offset 101</v>
      </c>
    </row>
    <row r="5292" customFormat="false" ht="12.8" hidden="false" customHeight="false" outlineLevel="0" collapsed="false">
      <c r="A5292" s="0" t="s">
        <v>12</v>
      </c>
      <c r="B5292" s="0" t="n">
        <v>1465025</v>
      </c>
      <c r="C5292" s="0" t="n">
        <v>1465045</v>
      </c>
      <c r="D5292" s="0" t="s">
        <v>17719</v>
      </c>
      <c r="E5292" s="0" t="s">
        <v>89</v>
      </c>
      <c r="F5292" s="0" t="s">
        <v>15</v>
      </c>
      <c r="G5292" s="0" t="s">
        <v>26</v>
      </c>
      <c r="H5292" s="0" t="n">
        <v>137</v>
      </c>
      <c r="I5292" s="0" t="s">
        <v>17726</v>
      </c>
      <c r="J5292" s="0" t="s">
        <v>17727</v>
      </c>
      <c r="K5292" s="0" t="s">
        <v>17728</v>
      </c>
      <c r="L5292" s="0" t="str">
        <f aca="false">HYPERLINK("https://www.ncbi.nlm.nih.gov/nuccore/CP000304.1?report=graph&amp;tracks=[key:gene_model_track,Options:GeneOnly]&amp;mk=1464942:1464961|offset_53|444444,1464990:1465009|offset_101|444444,1465026:1465045|offset_137|00cc00,1465047:1465066|offset_158|444444&amp;v=1464741:1465266&amp;c=444444", "offset 137")</f>
        <v>offset 137</v>
      </c>
    </row>
    <row r="5293" customFormat="false" ht="12.8" hidden="false" customHeight="false" outlineLevel="0" collapsed="false">
      <c r="A5293" s="0" t="s">
        <v>12</v>
      </c>
      <c r="B5293" s="0" t="n">
        <v>1465046</v>
      </c>
      <c r="C5293" s="0" t="n">
        <v>1465066</v>
      </c>
      <c r="D5293" s="0" t="s">
        <v>17719</v>
      </c>
      <c r="E5293" s="0" t="s">
        <v>89</v>
      </c>
      <c r="F5293" s="0" t="s">
        <v>15</v>
      </c>
      <c r="G5293" s="0" t="s">
        <v>16</v>
      </c>
      <c r="H5293" s="0" t="n">
        <v>158</v>
      </c>
      <c r="I5293" s="0" t="s">
        <v>17729</v>
      </c>
      <c r="J5293" s="0" t="s">
        <v>17730</v>
      </c>
      <c r="K5293" s="0" t="s">
        <v>17731</v>
      </c>
      <c r="L5293" s="0" t="str">
        <f aca="false">HYPERLINK("https://www.ncbi.nlm.nih.gov/nuccore/CP000304.1?report=graph&amp;tracks=[key:gene_model_track,Options:GeneOnly]&amp;mk=1464942:1464961|offset_53|444444,1464990:1465009|offset_101|444444,1465026:1465045|offset_137|444444,1465047:1465066|offset_158|00cc00&amp;v=1464741:1465266&amp;c=444444", "offset 158")</f>
        <v>offset 158</v>
      </c>
    </row>
    <row r="5294" customFormat="false" ht="12.8" hidden="false" customHeight="false" outlineLevel="0" collapsed="false">
      <c r="A5294" s="0" t="s">
        <v>12</v>
      </c>
      <c r="B5294" s="0" t="n">
        <v>1466158</v>
      </c>
      <c r="C5294" s="0" t="n">
        <v>1466178</v>
      </c>
      <c r="D5294" s="0" t="s">
        <v>17732</v>
      </c>
      <c r="E5294" s="0" t="s">
        <v>89</v>
      </c>
      <c r="F5294" s="0" t="s">
        <v>15</v>
      </c>
      <c r="G5294" s="0" t="s">
        <v>32</v>
      </c>
      <c r="H5294" s="0" t="n">
        <v>7</v>
      </c>
      <c r="I5294" s="0" t="s">
        <v>17733</v>
      </c>
      <c r="J5294" s="0" t="s">
        <v>17734</v>
      </c>
      <c r="K5294" s="0" t="s">
        <v>17735</v>
      </c>
      <c r="L5294" s="0" t="str">
        <f aca="false">HYPERLINK("https://www.ncbi.nlm.nih.gov/nuccore/CP000304.1?report=graph&amp;tracks=[key:gene_model_track,Options:GeneOnly]&amp;mk=1466159:1466178|offset_7|00cc00,1466183:1466202|offset_31|444444,1466234:1466253|offset_82|444444,1466259:1466278|offset_107|444444&amp;v=1465958:1466478&amp;c=444444", "offset 7")</f>
        <v>offset 7</v>
      </c>
    </row>
    <row r="5295" customFormat="false" ht="12.8" hidden="false" customHeight="false" outlineLevel="0" collapsed="false">
      <c r="A5295" s="0" t="s">
        <v>12</v>
      </c>
      <c r="B5295" s="0" t="n">
        <v>1466182</v>
      </c>
      <c r="C5295" s="0" t="n">
        <v>1466202</v>
      </c>
      <c r="D5295" s="0" t="s">
        <v>17732</v>
      </c>
      <c r="E5295" s="0" t="s">
        <v>89</v>
      </c>
      <c r="F5295" s="0" t="s">
        <v>15</v>
      </c>
      <c r="G5295" s="0" t="s">
        <v>16</v>
      </c>
      <c r="H5295" s="0" t="n">
        <v>31</v>
      </c>
      <c r="I5295" s="0" t="s">
        <v>17736</v>
      </c>
      <c r="J5295" s="0" t="s">
        <v>17737</v>
      </c>
      <c r="K5295" s="0" t="s">
        <v>17738</v>
      </c>
      <c r="L5295" s="0" t="str">
        <f aca="false">HYPERLINK("https://www.ncbi.nlm.nih.gov/nuccore/CP000304.1?report=graph&amp;tracks=[key:gene_model_track,Options:GeneOnly]&amp;mk=1466159:1466178|offset_7|444444,1466183:1466202|offset_31|00cc00,1466234:1466253|offset_82|444444,1466259:1466278|offset_107|444444&amp;v=1465958:1466478&amp;c=444444", "offset 31")</f>
        <v>offset 31</v>
      </c>
    </row>
    <row r="5296" customFormat="false" ht="12.8" hidden="false" customHeight="false" outlineLevel="0" collapsed="false">
      <c r="A5296" s="0" t="s">
        <v>12</v>
      </c>
      <c r="B5296" s="0" t="n">
        <v>1466233</v>
      </c>
      <c r="C5296" s="0" t="n">
        <v>1466253</v>
      </c>
      <c r="D5296" s="0" t="s">
        <v>17732</v>
      </c>
      <c r="E5296" s="0" t="s">
        <v>89</v>
      </c>
      <c r="F5296" s="0" t="s">
        <v>15</v>
      </c>
      <c r="G5296" s="0" t="s">
        <v>16</v>
      </c>
      <c r="H5296" s="0" t="n">
        <v>82</v>
      </c>
      <c r="I5296" s="0" t="s">
        <v>17739</v>
      </c>
      <c r="J5296" s="0" t="s">
        <v>17740</v>
      </c>
      <c r="K5296" s="0" t="s">
        <v>17741</v>
      </c>
      <c r="L5296" s="0" t="str">
        <f aca="false">HYPERLINK("https://www.ncbi.nlm.nih.gov/nuccore/CP000304.1?report=graph&amp;tracks=[key:gene_model_track,Options:GeneOnly]&amp;mk=1466159:1466178|offset_7|444444,1466183:1466202|offset_31|444444,1466234:1466253|offset_82|00cc00,1466259:1466278|offset_107|444444&amp;v=1465958:1466478&amp;c=444444", "offset 82")</f>
        <v>offset 82</v>
      </c>
    </row>
    <row r="5297" customFormat="false" ht="12.8" hidden="false" customHeight="false" outlineLevel="0" collapsed="false">
      <c r="A5297" s="0" t="s">
        <v>12</v>
      </c>
      <c r="B5297" s="0" t="n">
        <v>1466258</v>
      </c>
      <c r="C5297" s="0" t="n">
        <v>1466278</v>
      </c>
      <c r="D5297" s="0" t="s">
        <v>17732</v>
      </c>
      <c r="E5297" s="0" t="s">
        <v>89</v>
      </c>
      <c r="F5297" s="0" t="s">
        <v>15</v>
      </c>
      <c r="G5297" s="0" t="s">
        <v>36</v>
      </c>
      <c r="H5297" s="0" t="n">
        <v>107</v>
      </c>
      <c r="I5297" s="0" t="s">
        <v>17742</v>
      </c>
      <c r="J5297" s="0" t="s">
        <v>17743</v>
      </c>
      <c r="K5297" s="0" t="s">
        <v>17744</v>
      </c>
      <c r="L5297" s="0" t="str">
        <f aca="false">HYPERLINK("https://www.ncbi.nlm.nih.gov/nuccore/CP000304.1?report=graph&amp;tracks=[key:gene_model_track,Options:GeneOnly]&amp;mk=1466159:1466178|offset_7|444444,1466183:1466202|offset_31|444444,1466234:1466253|offset_82|444444,1466259:1466278|offset_107|00cc00&amp;v=1465958:1466478&amp;c=444444", "offset 107")</f>
        <v>offset 107</v>
      </c>
    </row>
    <row r="5298" customFormat="false" ht="12.8" hidden="false" customHeight="false" outlineLevel="0" collapsed="false">
      <c r="A5298" s="0" t="s">
        <v>12</v>
      </c>
      <c r="B5298" s="0" t="n">
        <v>1467270</v>
      </c>
      <c r="C5298" s="0" t="n">
        <v>1467290</v>
      </c>
      <c r="D5298" s="0" t="s">
        <v>17745</v>
      </c>
      <c r="E5298" s="0" t="s">
        <v>17746</v>
      </c>
      <c r="F5298" s="0" t="s">
        <v>15</v>
      </c>
      <c r="G5298" s="0" t="s">
        <v>16</v>
      </c>
      <c r="H5298" s="0" t="n">
        <v>10</v>
      </c>
      <c r="I5298" s="0" t="s">
        <v>17747</v>
      </c>
      <c r="J5298" s="0" t="s">
        <v>17748</v>
      </c>
      <c r="K5298" s="0" t="s">
        <v>17749</v>
      </c>
      <c r="L5298" s="0" t="str">
        <f aca="false">HYPERLINK("https://www.ncbi.nlm.nih.gov/nuccore/CP000304.1?report=graph&amp;tracks=[key:gene_model_track,Options:GeneOnly]&amp;mk=1467271:1467290|offset_10|00cc00,1467295:1467314|offset_34|444444,1467319:1467338|offset_58|444444,1467359:1467378|offset_98|444444&amp;v=1467070:1467578&amp;c=444444", "offset 10")</f>
        <v>offset 10</v>
      </c>
    </row>
    <row r="5299" customFormat="false" ht="12.8" hidden="false" customHeight="false" outlineLevel="0" collapsed="false">
      <c r="A5299" s="0" t="s">
        <v>12</v>
      </c>
      <c r="B5299" s="0" t="n">
        <v>1467294</v>
      </c>
      <c r="C5299" s="0" t="n">
        <v>1467314</v>
      </c>
      <c r="D5299" s="0" t="s">
        <v>17745</v>
      </c>
      <c r="E5299" s="0" t="s">
        <v>17746</v>
      </c>
      <c r="F5299" s="0" t="s">
        <v>15</v>
      </c>
      <c r="G5299" s="0" t="s">
        <v>16</v>
      </c>
      <c r="H5299" s="0" t="n">
        <v>34</v>
      </c>
      <c r="I5299" s="0" t="s">
        <v>17750</v>
      </c>
      <c r="J5299" s="0" t="s">
        <v>17751</v>
      </c>
      <c r="K5299" s="0" t="s">
        <v>17752</v>
      </c>
      <c r="L5299" s="0" t="str">
        <f aca="false">HYPERLINK("https://www.ncbi.nlm.nih.gov/nuccore/CP000304.1?report=graph&amp;tracks=[key:gene_model_track,Options:GeneOnly]&amp;mk=1467271:1467290|offset_10|444444,1467295:1467314|offset_34|00cc00,1467319:1467338|offset_58|444444,1467359:1467378|offset_98|444444&amp;v=1467070:1467578&amp;c=444444", "offset 34")</f>
        <v>offset 34</v>
      </c>
    </row>
    <row r="5300" customFormat="false" ht="12.8" hidden="false" customHeight="false" outlineLevel="0" collapsed="false">
      <c r="A5300" s="0" t="s">
        <v>12</v>
      </c>
      <c r="B5300" s="0" t="n">
        <v>1467318</v>
      </c>
      <c r="C5300" s="0" t="n">
        <v>1467338</v>
      </c>
      <c r="D5300" s="0" t="s">
        <v>17745</v>
      </c>
      <c r="E5300" s="0" t="s">
        <v>17746</v>
      </c>
      <c r="F5300" s="0" t="s">
        <v>15</v>
      </c>
      <c r="G5300" s="0" t="s">
        <v>16</v>
      </c>
      <c r="H5300" s="0" t="n">
        <v>58</v>
      </c>
      <c r="I5300" s="0" t="s">
        <v>17753</v>
      </c>
      <c r="J5300" s="0" t="s">
        <v>17754</v>
      </c>
      <c r="K5300" s="0" t="s">
        <v>17755</v>
      </c>
      <c r="L5300" s="0" t="str">
        <f aca="false">HYPERLINK("https://www.ncbi.nlm.nih.gov/nuccore/CP000304.1?report=graph&amp;tracks=[key:gene_model_track,Options:GeneOnly]&amp;mk=1467271:1467290|offset_10|444444,1467295:1467314|offset_34|444444,1467319:1467338|offset_58|00cc00,1467359:1467378|offset_98|444444&amp;v=1467070:1467578&amp;c=444444", "offset 58")</f>
        <v>offset 58</v>
      </c>
    </row>
    <row r="5301" customFormat="false" ht="12.8" hidden="false" customHeight="false" outlineLevel="0" collapsed="false">
      <c r="A5301" s="0" t="s">
        <v>12</v>
      </c>
      <c r="B5301" s="0" t="n">
        <v>1467358</v>
      </c>
      <c r="C5301" s="0" t="n">
        <v>1467378</v>
      </c>
      <c r="D5301" s="0" t="s">
        <v>17745</v>
      </c>
      <c r="E5301" s="0" t="s">
        <v>17746</v>
      </c>
      <c r="F5301" s="0" t="s">
        <v>15</v>
      </c>
      <c r="G5301" s="0" t="s">
        <v>16</v>
      </c>
      <c r="H5301" s="0" t="n">
        <v>98</v>
      </c>
      <c r="I5301" s="0" t="s">
        <v>17756</v>
      </c>
      <c r="J5301" s="0" t="s">
        <v>17757</v>
      </c>
      <c r="K5301" s="0" t="s">
        <v>17758</v>
      </c>
      <c r="L5301" s="0" t="str">
        <f aca="false">HYPERLINK("https://www.ncbi.nlm.nih.gov/nuccore/CP000304.1?report=graph&amp;tracks=[key:gene_model_track,Options:GeneOnly]&amp;mk=1467271:1467290|offset_10|444444,1467295:1467314|offset_34|444444,1467319:1467338|offset_58|444444,1467359:1467378|offset_98|00cc00&amp;v=1467070:1467578&amp;c=444444", "offset 98")</f>
        <v>offset 98</v>
      </c>
    </row>
    <row r="5302" customFormat="false" ht="12.8" hidden="false" customHeight="false" outlineLevel="0" collapsed="false">
      <c r="A5302" s="0" t="s">
        <v>12</v>
      </c>
      <c r="B5302" s="0" t="n">
        <v>1470076</v>
      </c>
      <c r="C5302" s="0" t="n">
        <v>1470096</v>
      </c>
      <c r="D5302" s="0" t="s">
        <v>17759</v>
      </c>
      <c r="E5302" s="0" t="s">
        <v>17760</v>
      </c>
      <c r="F5302" s="0" t="s">
        <v>15</v>
      </c>
      <c r="G5302" s="0" t="s">
        <v>26</v>
      </c>
      <c r="H5302" s="0" t="n">
        <v>34</v>
      </c>
      <c r="I5302" s="0" t="s">
        <v>17761</v>
      </c>
      <c r="J5302" s="0" t="s">
        <v>17762</v>
      </c>
      <c r="K5302" s="0" t="s">
        <v>17763</v>
      </c>
      <c r="L5302" s="0" t="str">
        <f aca="false">HYPERLINK("https://www.ncbi.nlm.nih.gov/nuccore/CP000304.1?report=graph&amp;tracks=[key:gene_model_track,Options:GeneOnly]&amp;mk=1470077:1470096|offset_34|00cc00,1470113:1470132|offset_70|444444,1470185:1470204|offset_142|444444,1470206:1470225|offset_163|444444&amp;v=1469876:1470425&amp;c=444444", "offset 34")</f>
        <v>offset 34</v>
      </c>
    </row>
    <row r="5303" customFormat="false" ht="12.8" hidden="false" customHeight="false" outlineLevel="0" collapsed="false">
      <c r="A5303" s="0" t="s">
        <v>12</v>
      </c>
      <c r="B5303" s="0" t="n">
        <v>1470112</v>
      </c>
      <c r="C5303" s="0" t="n">
        <v>1470132</v>
      </c>
      <c r="D5303" s="0" t="s">
        <v>17759</v>
      </c>
      <c r="E5303" s="0" t="s">
        <v>17760</v>
      </c>
      <c r="F5303" s="0" t="s">
        <v>15</v>
      </c>
      <c r="G5303" s="0" t="s">
        <v>16</v>
      </c>
      <c r="H5303" s="0" t="n">
        <v>70</v>
      </c>
      <c r="I5303" s="0" t="s">
        <v>17764</v>
      </c>
      <c r="J5303" s="0" t="s">
        <v>17765</v>
      </c>
      <c r="K5303" s="0" t="s">
        <v>17766</v>
      </c>
      <c r="L5303" s="0" t="str">
        <f aca="false">HYPERLINK("https://www.ncbi.nlm.nih.gov/nuccore/CP000304.1?report=graph&amp;tracks=[key:gene_model_track,Options:GeneOnly]&amp;mk=1470077:1470096|offset_34|444444,1470113:1470132|offset_70|00cc00,1470185:1470204|offset_142|444444,1470206:1470225|offset_163|444444&amp;v=1469876:1470425&amp;c=444444", "offset 70")</f>
        <v>offset 70</v>
      </c>
    </row>
    <row r="5304" customFormat="false" ht="12.8" hidden="false" customHeight="false" outlineLevel="0" collapsed="false">
      <c r="A5304" s="0" t="s">
        <v>12</v>
      </c>
      <c r="B5304" s="0" t="n">
        <v>1470184</v>
      </c>
      <c r="C5304" s="0" t="n">
        <v>1470204</v>
      </c>
      <c r="D5304" s="0" t="s">
        <v>17759</v>
      </c>
      <c r="E5304" s="0" t="s">
        <v>17760</v>
      </c>
      <c r="F5304" s="0" t="s">
        <v>15</v>
      </c>
      <c r="G5304" s="0" t="s">
        <v>32</v>
      </c>
      <c r="H5304" s="0" t="n">
        <v>142</v>
      </c>
      <c r="I5304" s="0" t="s">
        <v>17767</v>
      </c>
      <c r="J5304" s="0" t="s">
        <v>17768</v>
      </c>
      <c r="K5304" s="0" t="s">
        <v>17769</v>
      </c>
      <c r="L5304" s="0" t="str">
        <f aca="false">HYPERLINK("https://www.ncbi.nlm.nih.gov/nuccore/CP000304.1?report=graph&amp;tracks=[key:gene_model_track,Options:GeneOnly]&amp;mk=1470077:1470096|offset_34|444444,1470113:1470132|offset_70|444444,1470185:1470204|offset_142|00cc00,1470206:1470225|offset_163|444444&amp;v=1469876:1470425&amp;c=444444", "offset 142")</f>
        <v>offset 142</v>
      </c>
    </row>
    <row r="5305" customFormat="false" ht="12.8" hidden="false" customHeight="false" outlineLevel="0" collapsed="false">
      <c r="A5305" s="0" t="s">
        <v>12</v>
      </c>
      <c r="B5305" s="0" t="n">
        <v>1470205</v>
      </c>
      <c r="C5305" s="0" t="n">
        <v>1470225</v>
      </c>
      <c r="D5305" s="0" t="s">
        <v>17759</v>
      </c>
      <c r="E5305" s="0" t="s">
        <v>17760</v>
      </c>
      <c r="F5305" s="0" t="s">
        <v>15</v>
      </c>
      <c r="G5305" s="0" t="s">
        <v>32</v>
      </c>
      <c r="H5305" s="0" t="n">
        <v>163</v>
      </c>
      <c r="I5305" s="0" t="s">
        <v>17770</v>
      </c>
      <c r="J5305" s="0" t="s">
        <v>17771</v>
      </c>
      <c r="K5305" s="0" t="s">
        <v>17772</v>
      </c>
      <c r="L5305" s="0" t="str">
        <f aca="false">HYPERLINK("https://www.ncbi.nlm.nih.gov/nuccore/CP000304.1?report=graph&amp;tracks=[key:gene_model_track,Options:GeneOnly]&amp;mk=1470077:1470096|offset_34|444444,1470113:1470132|offset_70|444444,1470185:1470204|offset_142|444444,1470206:1470225|offset_163|00cc00&amp;v=1469876:1470425&amp;c=444444", "offset 163")</f>
        <v>offset 163</v>
      </c>
    </row>
    <row r="5306" customFormat="false" ht="12.8" hidden="false" customHeight="false" outlineLevel="0" collapsed="false">
      <c r="A5306" s="0" t="s">
        <v>12</v>
      </c>
      <c r="B5306" s="0" t="n">
        <v>1471481</v>
      </c>
      <c r="C5306" s="0" t="n">
        <v>1471501</v>
      </c>
      <c r="D5306" s="0" t="s">
        <v>17773</v>
      </c>
      <c r="E5306" s="0" t="s">
        <v>17774</v>
      </c>
      <c r="F5306" s="0" t="s">
        <v>15</v>
      </c>
      <c r="G5306" s="0" t="s">
        <v>16</v>
      </c>
      <c r="H5306" s="0" t="n">
        <v>20</v>
      </c>
      <c r="I5306" s="0" t="s">
        <v>17775</v>
      </c>
      <c r="J5306" s="0" t="s">
        <v>17776</v>
      </c>
      <c r="K5306" s="0" t="s">
        <v>17777</v>
      </c>
      <c r="L5306" s="0" t="str">
        <f aca="false">HYPERLINK("https://www.ncbi.nlm.nih.gov/nuccore/CP000304.1?report=graph&amp;tracks=[key:gene_model_track,Options:GeneOnly]&amp;mk=1471482:1471501|offset_20|00cc00,1471548:1471567|offset_86|444444,1471573:1471592|offset_111|444444,1471608:1471627|offset_146|444444&amp;v=1471281:1471827&amp;c=444444", "offset 20")</f>
        <v>offset 20</v>
      </c>
    </row>
    <row r="5307" customFormat="false" ht="12.8" hidden="false" customHeight="false" outlineLevel="0" collapsed="false">
      <c r="A5307" s="0" t="s">
        <v>12</v>
      </c>
      <c r="B5307" s="0" t="n">
        <v>1471547</v>
      </c>
      <c r="C5307" s="0" t="n">
        <v>1471567</v>
      </c>
      <c r="D5307" s="0" t="s">
        <v>17773</v>
      </c>
      <c r="E5307" s="0" t="s">
        <v>17774</v>
      </c>
      <c r="F5307" s="0" t="s">
        <v>15</v>
      </c>
      <c r="G5307" s="0" t="s">
        <v>32</v>
      </c>
      <c r="H5307" s="0" t="n">
        <v>86</v>
      </c>
      <c r="I5307" s="0" t="s">
        <v>17778</v>
      </c>
      <c r="J5307" s="0" t="s">
        <v>17779</v>
      </c>
      <c r="K5307" s="0" t="s">
        <v>17780</v>
      </c>
      <c r="L5307" s="0" t="str">
        <f aca="false">HYPERLINK("https://www.ncbi.nlm.nih.gov/nuccore/CP000304.1?report=graph&amp;tracks=[key:gene_model_track,Options:GeneOnly]&amp;mk=1471482:1471501|offset_20|444444,1471548:1471567|offset_86|00cc00,1471573:1471592|offset_111|444444,1471608:1471627|offset_146|444444&amp;v=1471281:1471827&amp;c=444444", "offset 86")</f>
        <v>offset 86</v>
      </c>
    </row>
    <row r="5308" customFormat="false" ht="12.8" hidden="false" customHeight="false" outlineLevel="0" collapsed="false">
      <c r="A5308" s="0" t="s">
        <v>12</v>
      </c>
      <c r="B5308" s="0" t="n">
        <v>1471572</v>
      </c>
      <c r="C5308" s="0" t="n">
        <v>1471592</v>
      </c>
      <c r="D5308" s="0" t="s">
        <v>17773</v>
      </c>
      <c r="E5308" s="0" t="s">
        <v>17774</v>
      </c>
      <c r="F5308" s="0" t="s">
        <v>15</v>
      </c>
      <c r="G5308" s="0" t="s">
        <v>36</v>
      </c>
      <c r="H5308" s="0" t="n">
        <v>111</v>
      </c>
      <c r="I5308" s="0" t="s">
        <v>17781</v>
      </c>
      <c r="J5308" s="0" t="s">
        <v>17782</v>
      </c>
      <c r="K5308" s="0" t="s">
        <v>17783</v>
      </c>
      <c r="L5308" s="0" t="str">
        <f aca="false">HYPERLINK("https://www.ncbi.nlm.nih.gov/nuccore/CP000304.1?report=graph&amp;tracks=[key:gene_model_track,Options:GeneOnly]&amp;mk=1471482:1471501|offset_20|444444,1471548:1471567|offset_86|444444,1471573:1471592|offset_111|00cc00,1471608:1471627|offset_146|444444&amp;v=1471281:1471827&amp;c=444444", "offset 111")</f>
        <v>offset 111</v>
      </c>
    </row>
    <row r="5309" customFormat="false" ht="12.8" hidden="false" customHeight="false" outlineLevel="0" collapsed="false">
      <c r="A5309" s="0" t="s">
        <v>12</v>
      </c>
      <c r="B5309" s="0" t="n">
        <v>1471607</v>
      </c>
      <c r="C5309" s="0" t="n">
        <v>1471627</v>
      </c>
      <c r="D5309" s="0" t="s">
        <v>17773</v>
      </c>
      <c r="E5309" s="0" t="s">
        <v>17774</v>
      </c>
      <c r="F5309" s="0" t="s">
        <v>15</v>
      </c>
      <c r="G5309" s="0" t="s">
        <v>32</v>
      </c>
      <c r="H5309" s="0" t="n">
        <v>146</v>
      </c>
      <c r="I5309" s="0" t="s">
        <v>17784</v>
      </c>
      <c r="J5309" s="0" t="s">
        <v>17785</v>
      </c>
      <c r="K5309" s="0" t="s">
        <v>17786</v>
      </c>
      <c r="L5309" s="0" t="str">
        <f aca="false">HYPERLINK("https://www.ncbi.nlm.nih.gov/nuccore/CP000304.1?report=graph&amp;tracks=[key:gene_model_track,Options:GeneOnly]&amp;mk=1471482:1471501|offset_20|444444,1471548:1471567|offset_86|444444,1471573:1471592|offset_111|444444,1471608:1471627|offset_146|00cc00&amp;v=1471281:1471827&amp;c=444444", "offset 146")</f>
        <v>offset 146</v>
      </c>
    </row>
    <row r="5310" customFormat="false" ht="12.8" hidden="false" customHeight="false" outlineLevel="0" collapsed="false">
      <c r="A5310" s="0" t="s">
        <v>12</v>
      </c>
      <c r="B5310" s="0" t="n">
        <v>1472616</v>
      </c>
      <c r="C5310" s="0" t="n">
        <v>1472636</v>
      </c>
      <c r="D5310" s="0" t="s">
        <v>17787</v>
      </c>
      <c r="E5310" s="0" t="s">
        <v>89</v>
      </c>
      <c r="F5310" s="0" t="s">
        <v>90</v>
      </c>
      <c r="G5310" s="0" t="s">
        <v>26</v>
      </c>
      <c r="H5310" s="0" t="n">
        <v>29</v>
      </c>
      <c r="I5310" s="0" t="s">
        <v>17788</v>
      </c>
      <c r="J5310" s="0" t="s">
        <v>17789</v>
      </c>
      <c r="K5310" s="0" t="s">
        <v>17790</v>
      </c>
      <c r="L5310" s="0" t="str">
        <f aca="false">HYPERLINK("https://www.ncbi.nlm.nih.gov/nuccore/CP000304.1?report=graph&amp;tracks=[key:gene_model_track,Options:GeneOnly]&amp;mk=1472617:1472636|offset_29|00cc00,1472588:1472607|offset_58|444444,1472561:1472580|offset_85|444444,1472527:1472546|offset_119|444444&amp;v=1472416:1472746&amp;c=444444", "offset 29")</f>
        <v>offset 29</v>
      </c>
    </row>
    <row r="5311" customFormat="false" ht="12.8" hidden="false" customHeight="false" outlineLevel="0" collapsed="false">
      <c r="A5311" s="0" t="s">
        <v>12</v>
      </c>
      <c r="B5311" s="0" t="n">
        <v>1472587</v>
      </c>
      <c r="C5311" s="0" t="n">
        <v>1472607</v>
      </c>
      <c r="D5311" s="0" t="s">
        <v>17787</v>
      </c>
      <c r="E5311" s="0" t="s">
        <v>89</v>
      </c>
      <c r="F5311" s="0" t="s">
        <v>90</v>
      </c>
      <c r="G5311" s="0" t="s">
        <v>16</v>
      </c>
      <c r="H5311" s="0" t="n">
        <v>58</v>
      </c>
      <c r="I5311" s="0" t="s">
        <v>17791</v>
      </c>
      <c r="J5311" s="0" t="s">
        <v>17792</v>
      </c>
      <c r="K5311" s="0" t="s">
        <v>17793</v>
      </c>
      <c r="L5311" s="0" t="str">
        <f aca="false">HYPERLINK("https://www.ncbi.nlm.nih.gov/nuccore/CP000304.1?report=graph&amp;tracks=[key:gene_model_track,Options:GeneOnly]&amp;mk=1472617:1472636|offset_29|444444,1472588:1472607|offset_58|00cc00,1472561:1472580|offset_85|444444,1472527:1472546|offset_119|444444&amp;v=1472416:1472746&amp;c=444444", "offset 58")</f>
        <v>offset 58</v>
      </c>
    </row>
    <row r="5312" customFormat="false" ht="12.8" hidden="false" customHeight="false" outlineLevel="0" collapsed="false">
      <c r="A5312" s="0" t="s">
        <v>12</v>
      </c>
      <c r="B5312" s="0" t="n">
        <v>1472560</v>
      </c>
      <c r="C5312" s="0" t="n">
        <v>1472580</v>
      </c>
      <c r="D5312" s="0" t="s">
        <v>17787</v>
      </c>
      <c r="E5312" s="0" t="s">
        <v>89</v>
      </c>
      <c r="F5312" s="0" t="s">
        <v>90</v>
      </c>
      <c r="G5312" s="0" t="s">
        <v>16</v>
      </c>
      <c r="H5312" s="0" t="n">
        <v>85</v>
      </c>
      <c r="I5312" s="0" t="s">
        <v>17794</v>
      </c>
      <c r="J5312" s="0" t="s">
        <v>17795</v>
      </c>
      <c r="K5312" s="0" t="s">
        <v>17796</v>
      </c>
      <c r="L5312" s="0" t="str">
        <f aca="false">HYPERLINK("https://www.ncbi.nlm.nih.gov/nuccore/CP000304.1?report=graph&amp;tracks=[key:gene_model_track,Options:GeneOnly]&amp;mk=1472617:1472636|offset_29|444444,1472588:1472607|offset_58|444444,1472561:1472580|offset_85|00cc00,1472527:1472546|offset_119|444444&amp;v=1472416:1472746&amp;c=444444", "offset 85")</f>
        <v>offset 85</v>
      </c>
    </row>
    <row r="5313" customFormat="false" ht="12.8" hidden="false" customHeight="false" outlineLevel="0" collapsed="false">
      <c r="A5313" s="0" t="s">
        <v>12</v>
      </c>
      <c r="B5313" s="0" t="n">
        <v>1472526</v>
      </c>
      <c r="C5313" s="0" t="n">
        <v>1472546</v>
      </c>
      <c r="D5313" s="0" t="s">
        <v>17787</v>
      </c>
      <c r="E5313" s="0" t="s">
        <v>89</v>
      </c>
      <c r="F5313" s="0" t="s">
        <v>90</v>
      </c>
      <c r="G5313" s="0" t="s">
        <v>36</v>
      </c>
      <c r="H5313" s="0" t="n">
        <v>119</v>
      </c>
      <c r="I5313" s="0" t="s">
        <v>17797</v>
      </c>
      <c r="J5313" s="0" t="s">
        <v>17798</v>
      </c>
      <c r="K5313" s="0" t="s">
        <v>17799</v>
      </c>
      <c r="L5313" s="0" t="str">
        <f aca="false">HYPERLINK("https://www.ncbi.nlm.nih.gov/nuccore/CP000304.1?report=graph&amp;tracks=[key:gene_model_track,Options:GeneOnly]&amp;mk=1472617:1472636|offset_29|444444,1472588:1472607|offset_58|444444,1472561:1472580|offset_85|444444,1472527:1472546|offset_119|00cc00&amp;v=1472416:1472746&amp;c=444444", "offset 119")</f>
        <v>offset 119</v>
      </c>
    </row>
    <row r="5314" customFormat="false" ht="12.8" hidden="false" customHeight="false" outlineLevel="0" collapsed="false">
      <c r="A5314" s="0" t="s">
        <v>12</v>
      </c>
      <c r="B5314" s="0" t="n">
        <v>1472995</v>
      </c>
      <c r="C5314" s="0" t="n">
        <v>1473015</v>
      </c>
      <c r="D5314" s="0" t="s">
        <v>17800</v>
      </c>
      <c r="E5314" s="0" t="s">
        <v>17801</v>
      </c>
      <c r="F5314" s="0" t="s">
        <v>15</v>
      </c>
      <c r="G5314" s="0" t="s">
        <v>32</v>
      </c>
      <c r="H5314" s="0" t="n">
        <v>1</v>
      </c>
      <c r="I5314" s="0" t="s">
        <v>17802</v>
      </c>
      <c r="J5314" s="0" t="s">
        <v>17803</v>
      </c>
      <c r="K5314" s="0" t="s">
        <v>17804</v>
      </c>
      <c r="L5314" s="0" t="str">
        <f aca="false">HYPERLINK("https://www.ncbi.nlm.nih.gov/nuccore/CP000304.1?report=graph&amp;tracks=[key:gene_model_track,Options:GeneOnly]&amp;mk=1472996:1473015|offset_1|00cc00,1473022:1473041|offset_27|444444,1473042:1473061|offset_47|444444,1473075:1473094|offset_80|444444&amp;v=1472795:1473294&amp;c=444444", "offset 1")</f>
        <v>offset 1</v>
      </c>
    </row>
    <row r="5315" customFormat="false" ht="12.8" hidden="false" customHeight="false" outlineLevel="0" collapsed="false">
      <c r="A5315" s="0" t="s">
        <v>12</v>
      </c>
      <c r="B5315" s="0" t="n">
        <v>1473021</v>
      </c>
      <c r="C5315" s="0" t="n">
        <v>1473041</v>
      </c>
      <c r="D5315" s="0" t="s">
        <v>17800</v>
      </c>
      <c r="E5315" s="0" t="s">
        <v>17801</v>
      </c>
      <c r="F5315" s="0" t="s">
        <v>15</v>
      </c>
      <c r="G5315" s="0" t="s">
        <v>32</v>
      </c>
      <c r="H5315" s="0" t="n">
        <v>27</v>
      </c>
      <c r="I5315" s="0" t="s">
        <v>17805</v>
      </c>
      <c r="J5315" s="0" t="s">
        <v>17806</v>
      </c>
      <c r="K5315" s="0" t="s">
        <v>17807</v>
      </c>
      <c r="L5315" s="0" t="str">
        <f aca="false">HYPERLINK("https://www.ncbi.nlm.nih.gov/nuccore/CP000304.1?report=graph&amp;tracks=[key:gene_model_track,Options:GeneOnly]&amp;mk=1472996:1473015|offset_1|444444,1473022:1473041|offset_27|00cc00,1473042:1473061|offset_47|444444,1473075:1473094|offset_80|444444&amp;v=1472795:1473294&amp;c=444444", "offset 27")</f>
        <v>offset 27</v>
      </c>
    </row>
    <row r="5316" customFormat="false" ht="12.8" hidden="false" customHeight="false" outlineLevel="0" collapsed="false">
      <c r="A5316" s="0" t="s">
        <v>12</v>
      </c>
      <c r="B5316" s="0" t="n">
        <v>1473041</v>
      </c>
      <c r="C5316" s="0" t="n">
        <v>1473061</v>
      </c>
      <c r="D5316" s="0" t="s">
        <v>17800</v>
      </c>
      <c r="E5316" s="0" t="s">
        <v>17801</v>
      </c>
      <c r="F5316" s="0" t="s">
        <v>15</v>
      </c>
      <c r="G5316" s="0" t="s">
        <v>16</v>
      </c>
      <c r="H5316" s="0" t="n">
        <v>47</v>
      </c>
      <c r="I5316" s="0" t="s">
        <v>17808</v>
      </c>
      <c r="J5316" s="0" t="s">
        <v>17809</v>
      </c>
      <c r="K5316" s="0" t="s">
        <v>17810</v>
      </c>
      <c r="L5316" s="0" t="str">
        <f aca="false">HYPERLINK("https://www.ncbi.nlm.nih.gov/nuccore/CP000304.1?report=graph&amp;tracks=[key:gene_model_track,Options:GeneOnly]&amp;mk=1472996:1473015|offset_1|444444,1473022:1473041|offset_27|444444,1473042:1473061|offset_47|00cc00,1473075:1473094|offset_80|444444&amp;v=1472795:1473294&amp;c=444444", "offset 47")</f>
        <v>offset 47</v>
      </c>
    </row>
    <row r="5317" customFormat="false" ht="12.8" hidden="false" customHeight="false" outlineLevel="0" collapsed="false">
      <c r="A5317" s="0" t="s">
        <v>12</v>
      </c>
      <c r="B5317" s="0" t="n">
        <v>1473074</v>
      </c>
      <c r="C5317" s="0" t="n">
        <v>1473094</v>
      </c>
      <c r="D5317" s="0" t="s">
        <v>17800</v>
      </c>
      <c r="E5317" s="0" t="s">
        <v>17801</v>
      </c>
      <c r="F5317" s="0" t="s">
        <v>15</v>
      </c>
      <c r="G5317" s="0" t="s">
        <v>32</v>
      </c>
      <c r="H5317" s="0" t="n">
        <v>80</v>
      </c>
      <c r="I5317" s="0" t="s">
        <v>17811</v>
      </c>
      <c r="J5317" s="0" t="s">
        <v>17812</v>
      </c>
      <c r="K5317" s="0" t="s">
        <v>17813</v>
      </c>
      <c r="L5317" s="0" t="str">
        <f aca="false">HYPERLINK("https://www.ncbi.nlm.nih.gov/nuccore/CP000304.1?report=graph&amp;tracks=[key:gene_model_track,Options:GeneOnly]&amp;mk=1472996:1473015|offset_1|444444,1473022:1473041|offset_27|444444,1473042:1473061|offset_47|444444,1473075:1473094|offset_80|00cc00&amp;v=1472795:1473294&amp;c=444444", "offset 80")</f>
        <v>offset 80</v>
      </c>
    </row>
    <row r="5318" customFormat="false" ht="12.8" hidden="false" customHeight="false" outlineLevel="0" collapsed="false">
      <c r="A5318" s="0" t="s">
        <v>12</v>
      </c>
      <c r="B5318" s="0" t="n">
        <v>1474843</v>
      </c>
      <c r="C5318" s="0" t="n">
        <v>1474863</v>
      </c>
      <c r="D5318" s="0" t="s">
        <v>17814</v>
      </c>
      <c r="E5318" s="0" t="s">
        <v>89</v>
      </c>
      <c r="F5318" s="0" t="s">
        <v>15</v>
      </c>
      <c r="G5318" s="0" t="s">
        <v>32</v>
      </c>
      <c r="H5318" s="0" t="n">
        <v>1</v>
      </c>
      <c r="I5318" s="0" t="s">
        <v>17815</v>
      </c>
      <c r="J5318" s="0" t="s">
        <v>17816</v>
      </c>
      <c r="K5318" s="0" t="s">
        <v>17817</v>
      </c>
      <c r="L5318" s="0" t="str">
        <f aca="false">HYPERLINK("https://www.ncbi.nlm.nih.gov/nuccore/CP000304.1?report=graph&amp;tracks=[key:gene_model_track,Options:GeneOnly]&amp;mk=1474844:1474863|offset_1|00cc00,1474864:1474883|offset_21|444444,1474898:1474917|offset_55|444444,1474919:1474938|offset_76|444444&amp;v=1474643:1475138&amp;c=444444", "offset 1")</f>
        <v>offset 1</v>
      </c>
    </row>
    <row r="5319" customFormat="false" ht="12.8" hidden="false" customHeight="false" outlineLevel="0" collapsed="false">
      <c r="A5319" s="0" t="s">
        <v>12</v>
      </c>
      <c r="B5319" s="0" t="n">
        <v>1474863</v>
      </c>
      <c r="C5319" s="0" t="n">
        <v>1474883</v>
      </c>
      <c r="D5319" s="0" t="s">
        <v>17814</v>
      </c>
      <c r="E5319" s="0" t="s">
        <v>89</v>
      </c>
      <c r="F5319" s="0" t="s">
        <v>15</v>
      </c>
      <c r="G5319" s="0" t="s">
        <v>16</v>
      </c>
      <c r="H5319" s="0" t="n">
        <v>21</v>
      </c>
      <c r="I5319" s="0" t="s">
        <v>17818</v>
      </c>
      <c r="J5319" s="0" t="s">
        <v>17819</v>
      </c>
      <c r="K5319" s="0" t="s">
        <v>17820</v>
      </c>
      <c r="L5319" s="0" t="str">
        <f aca="false">HYPERLINK("https://www.ncbi.nlm.nih.gov/nuccore/CP000304.1?report=graph&amp;tracks=[key:gene_model_track,Options:GeneOnly]&amp;mk=1474844:1474863|offset_1|444444,1474864:1474883|offset_21|00cc00,1474898:1474917|offset_55|444444,1474919:1474938|offset_76|444444&amp;v=1474643:1475138&amp;c=444444", "offset 21")</f>
        <v>offset 21</v>
      </c>
    </row>
    <row r="5320" customFormat="false" ht="12.8" hidden="false" customHeight="false" outlineLevel="0" collapsed="false">
      <c r="A5320" s="0" t="s">
        <v>12</v>
      </c>
      <c r="B5320" s="0" t="n">
        <v>1474897</v>
      </c>
      <c r="C5320" s="0" t="n">
        <v>1474917</v>
      </c>
      <c r="D5320" s="0" t="s">
        <v>17814</v>
      </c>
      <c r="E5320" s="0" t="s">
        <v>89</v>
      </c>
      <c r="F5320" s="0" t="s">
        <v>15</v>
      </c>
      <c r="G5320" s="0" t="s">
        <v>36</v>
      </c>
      <c r="H5320" s="0" t="n">
        <v>55</v>
      </c>
      <c r="I5320" s="0" t="s">
        <v>17821</v>
      </c>
      <c r="J5320" s="0" t="s">
        <v>17822</v>
      </c>
      <c r="K5320" s="0" t="s">
        <v>17823</v>
      </c>
      <c r="L5320" s="0" t="str">
        <f aca="false">HYPERLINK("https://www.ncbi.nlm.nih.gov/nuccore/CP000304.1?report=graph&amp;tracks=[key:gene_model_track,Options:GeneOnly]&amp;mk=1474844:1474863|offset_1|444444,1474864:1474883|offset_21|444444,1474898:1474917|offset_55|00cc00,1474919:1474938|offset_76|444444&amp;v=1474643:1475138&amp;c=444444", "offset 55")</f>
        <v>offset 55</v>
      </c>
    </row>
    <row r="5321" customFormat="false" ht="12.8" hidden="false" customHeight="false" outlineLevel="0" collapsed="false">
      <c r="A5321" s="0" t="s">
        <v>12</v>
      </c>
      <c r="B5321" s="0" t="n">
        <v>1474918</v>
      </c>
      <c r="C5321" s="0" t="n">
        <v>1474938</v>
      </c>
      <c r="D5321" s="0" t="s">
        <v>17814</v>
      </c>
      <c r="E5321" s="0" t="s">
        <v>89</v>
      </c>
      <c r="F5321" s="0" t="s">
        <v>15</v>
      </c>
      <c r="G5321" s="0" t="s">
        <v>36</v>
      </c>
      <c r="H5321" s="0" t="n">
        <v>76</v>
      </c>
      <c r="I5321" s="0" t="s">
        <v>17824</v>
      </c>
      <c r="J5321" s="0" t="s">
        <v>17825</v>
      </c>
      <c r="K5321" s="0" t="s">
        <v>17826</v>
      </c>
      <c r="L5321" s="0" t="str">
        <f aca="false">HYPERLINK("https://www.ncbi.nlm.nih.gov/nuccore/CP000304.1?report=graph&amp;tracks=[key:gene_model_track,Options:GeneOnly]&amp;mk=1474844:1474863|offset_1|444444,1474864:1474883|offset_21|444444,1474898:1474917|offset_55|444444,1474919:1474938|offset_76|00cc00&amp;v=1474643:1475138&amp;c=444444", "offset 76")</f>
        <v>offset 76</v>
      </c>
    </row>
    <row r="5322" customFormat="false" ht="12.8" hidden="false" customHeight="false" outlineLevel="0" collapsed="false">
      <c r="A5322" s="0" t="s">
        <v>12</v>
      </c>
      <c r="B5322" s="0" t="n">
        <v>1476671</v>
      </c>
      <c r="C5322" s="0" t="n">
        <v>1476691</v>
      </c>
      <c r="D5322" s="0" t="s">
        <v>17827</v>
      </c>
      <c r="E5322" s="0" t="s">
        <v>89</v>
      </c>
      <c r="F5322" s="0" t="s">
        <v>15</v>
      </c>
      <c r="G5322" s="0" t="s">
        <v>16</v>
      </c>
      <c r="H5322" s="0" t="n">
        <v>34</v>
      </c>
      <c r="I5322" s="0" t="s">
        <v>17828</v>
      </c>
      <c r="J5322" s="0" t="s">
        <v>17829</v>
      </c>
      <c r="K5322" s="0" t="s">
        <v>17830</v>
      </c>
      <c r="L5322" s="0" t="str">
        <f aca="false">HYPERLINK("https://www.ncbi.nlm.nih.gov/nuccore/CP000304.1?report=graph&amp;tracks=[key:gene_model_track,Options:GeneOnly]&amp;mk=1476672:1476691|offset_34|00cc00,1476692:1476711|offset_54|444444,1476721:1476740|offset_83|444444,1476745:1476764|offset_107|444444&amp;v=1476471:1476964&amp;c=444444", "offset 34")</f>
        <v>offset 34</v>
      </c>
    </row>
    <row r="5323" customFormat="false" ht="12.8" hidden="false" customHeight="false" outlineLevel="0" collapsed="false">
      <c r="A5323" s="0" t="s">
        <v>12</v>
      </c>
      <c r="B5323" s="0" t="n">
        <v>1476691</v>
      </c>
      <c r="C5323" s="0" t="n">
        <v>1476711</v>
      </c>
      <c r="D5323" s="0" t="s">
        <v>17827</v>
      </c>
      <c r="E5323" s="0" t="s">
        <v>89</v>
      </c>
      <c r="F5323" s="0" t="s">
        <v>15</v>
      </c>
      <c r="G5323" s="0" t="s">
        <v>16</v>
      </c>
      <c r="H5323" s="0" t="n">
        <v>54</v>
      </c>
      <c r="I5323" s="0" t="s">
        <v>17831</v>
      </c>
      <c r="J5323" s="0" t="s">
        <v>17832</v>
      </c>
      <c r="K5323" s="0" t="s">
        <v>17833</v>
      </c>
      <c r="L5323" s="0" t="str">
        <f aca="false">HYPERLINK("https://www.ncbi.nlm.nih.gov/nuccore/CP000304.1?report=graph&amp;tracks=[key:gene_model_track,Options:GeneOnly]&amp;mk=1476672:1476691|offset_34|444444,1476692:1476711|offset_54|00cc00,1476721:1476740|offset_83|444444,1476745:1476764|offset_107|444444&amp;v=1476471:1476964&amp;c=444444", "offset 54")</f>
        <v>offset 54</v>
      </c>
    </row>
    <row r="5324" customFormat="false" ht="12.8" hidden="false" customHeight="false" outlineLevel="0" collapsed="false">
      <c r="A5324" s="0" t="s">
        <v>12</v>
      </c>
      <c r="B5324" s="0" t="n">
        <v>1476720</v>
      </c>
      <c r="C5324" s="0" t="n">
        <v>1476740</v>
      </c>
      <c r="D5324" s="0" t="s">
        <v>17827</v>
      </c>
      <c r="E5324" s="0" t="s">
        <v>89</v>
      </c>
      <c r="F5324" s="0" t="s">
        <v>15</v>
      </c>
      <c r="G5324" s="0" t="s">
        <v>26</v>
      </c>
      <c r="H5324" s="0" t="n">
        <v>83</v>
      </c>
      <c r="I5324" s="0" t="s">
        <v>17834</v>
      </c>
      <c r="J5324" s="0" t="s">
        <v>17835</v>
      </c>
      <c r="K5324" s="0" t="s">
        <v>17836</v>
      </c>
      <c r="L5324" s="0" t="str">
        <f aca="false">HYPERLINK("https://www.ncbi.nlm.nih.gov/nuccore/CP000304.1?report=graph&amp;tracks=[key:gene_model_track,Options:GeneOnly]&amp;mk=1476672:1476691|offset_34|444444,1476692:1476711|offset_54|444444,1476721:1476740|offset_83|00cc00,1476745:1476764|offset_107|444444&amp;v=1476471:1476964&amp;c=444444", "offset 83")</f>
        <v>offset 83</v>
      </c>
    </row>
    <row r="5325" customFormat="false" ht="12.8" hidden="false" customHeight="false" outlineLevel="0" collapsed="false">
      <c r="A5325" s="0" t="s">
        <v>12</v>
      </c>
      <c r="B5325" s="0" t="n">
        <v>1476744</v>
      </c>
      <c r="C5325" s="0" t="n">
        <v>1476764</v>
      </c>
      <c r="D5325" s="0" t="s">
        <v>17827</v>
      </c>
      <c r="E5325" s="0" t="s">
        <v>89</v>
      </c>
      <c r="F5325" s="0" t="s">
        <v>15</v>
      </c>
      <c r="G5325" s="0" t="s">
        <v>16</v>
      </c>
      <c r="H5325" s="0" t="n">
        <v>107</v>
      </c>
      <c r="I5325" s="0" t="s">
        <v>17837</v>
      </c>
      <c r="J5325" s="0" t="s">
        <v>17838</v>
      </c>
      <c r="K5325" s="0" t="s">
        <v>17839</v>
      </c>
      <c r="L5325" s="0" t="str">
        <f aca="false">HYPERLINK("https://www.ncbi.nlm.nih.gov/nuccore/CP000304.1?report=graph&amp;tracks=[key:gene_model_track,Options:GeneOnly]&amp;mk=1476672:1476691|offset_34|444444,1476692:1476711|offset_54|444444,1476721:1476740|offset_83|444444,1476745:1476764|offset_107|00cc00&amp;v=1476471:1476964&amp;c=444444", "offset 107")</f>
        <v>offset 107</v>
      </c>
    </row>
    <row r="5326" customFormat="false" ht="12.8" hidden="false" customHeight="false" outlineLevel="0" collapsed="false">
      <c r="A5326" s="0" t="s">
        <v>12</v>
      </c>
      <c r="B5326" s="0" t="n">
        <v>1478251</v>
      </c>
      <c r="C5326" s="0" t="n">
        <v>1478271</v>
      </c>
      <c r="D5326" s="0" t="s">
        <v>17840</v>
      </c>
      <c r="E5326" s="0" t="s">
        <v>17841</v>
      </c>
      <c r="F5326" s="0" t="s">
        <v>90</v>
      </c>
      <c r="G5326" s="0" t="s">
        <v>32</v>
      </c>
      <c r="H5326" s="0" t="n">
        <v>1</v>
      </c>
      <c r="I5326" s="0" t="s">
        <v>17842</v>
      </c>
      <c r="J5326" s="0" t="s">
        <v>17843</v>
      </c>
      <c r="K5326" s="0" t="s">
        <v>17844</v>
      </c>
      <c r="L5326" s="0" t="str">
        <f aca="false">HYPERLINK("https://www.ncbi.nlm.nih.gov/nuccore/CP000304.1?report=graph&amp;tracks=[key:gene_model_track,Options:GeneOnly]&amp;mk=1478252:1478271|offset_1|00cc00,1478190:1478209|offset_63|444444,1478167:1478186|offset_86|444444,1478146:1478165|offset_107|444444&amp;v=1478051:1478365&amp;c=444444", "offset 1")</f>
        <v>offset 1</v>
      </c>
    </row>
    <row r="5327" customFormat="false" ht="12.8" hidden="false" customHeight="false" outlineLevel="0" collapsed="false">
      <c r="A5327" s="0" t="s">
        <v>12</v>
      </c>
      <c r="B5327" s="0" t="n">
        <v>1478189</v>
      </c>
      <c r="C5327" s="0" t="n">
        <v>1478209</v>
      </c>
      <c r="D5327" s="0" t="s">
        <v>17840</v>
      </c>
      <c r="E5327" s="0" t="s">
        <v>17841</v>
      </c>
      <c r="F5327" s="0" t="s">
        <v>90</v>
      </c>
      <c r="G5327" s="0" t="s">
        <v>16</v>
      </c>
      <c r="H5327" s="0" t="n">
        <v>63</v>
      </c>
      <c r="I5327" s="0" t="s">
        <v>17845</v>
      </c>
      <c r="J5327" s="0" t="s">
        <v>17846</v>
      </c>
      <c r="K5327" s="0" t="s">
        <v>17847</v>
      </c>
      <c r="L5327" s="0" t="str">
        <f aca="false">HYPERLINK("https://www.ncbi.nlm.nih.gov/nuccore/CP000304.1?report=graph&amp;tracks=[key:gene_model_track,Options:GeneOnly]&amp;mk=1478252:1478271|offset_1|444444,1478190:1478209|offset_63|00cc00,1478167:1478186|offset_86|444444,1478146:1478165|offset_107|444444&amp;v=1478051:1478365&amp;c=444444", "offset 63")</f>
        <v>offset 63</v>
      </c>
    </row>
    <row r="5328" customFormat="false" ht="12.8" hidden="false" customHeight="false" outlineLevel="0" collapsed="false">
      <c r="A5328" s="0" t="s">
        <v>12</v>
      </c>
      <c r="B5328" s="0" t="n">
        <v>1478166</v>
      </c>
      <c r="C5328" s="0" t="n">
        <v>1478186</v>
      </c>
      <c r="D5328" s="0" t="s">
        <v>17840</v>
      </c>
      <c r="E5328" s="0" t="s">
        <v>17841</v>
      </c>
      <c r="F5328" s="0" t="s">
        <v>90</v>
      </c>
      <c r="G5328" s="0" t="s">
        <v>32</v>
      </c>
      <c r="H5328" s="0" t="n">
        <v>86</v>
      </c>
      <c r="I5328" s="0" t="s">
        <v>17848</v>
      </c>
      <c r="J5328" s="0" t="s">
        <v>17849</v>
      </c>
      <c r="K5328" s="0" t="s">
        <v>17850</v>
      </c>
      <c r="L5328" s="0" t="str">
        <f aca="false">HYPERLINK("https://www.ncbi.nlm.nih.gov/nuccore/CP000304.1?report=graph&amp;tracks=[key:gene_model_track,Options:GeneOnly]&amp;mk=1478252:1478271|offset_1|444444,1478190:1478209|offset_63|444444,1478167:1478186|offset_86|00cc00,1478146:1478165|offset_107|444444&amp;v=1478051:1478365&amp;c=444444", "offset 86")</f>
        <v>offset 86</v>
      </c>
    </row>
    <row r="5329" customFormat="false" ht="12.8" hidden="false" customHeight="false" outlineLevel="0" collapsed="false">
      <c r="A5329" s="0" t="s">
        <v>12</v>
      </c>
      <c r="B5329" s="0" t="n">
        <v>1478145</v>
      </c>
      <c r="C5329" s="0" t="n">
        <v>1478165</v>
      </c>
      <c r="D5329" s="0" t="s">
        <v>17840</v>
      </c>
      <c r="E5329" s="0" t="s">
        <v>17841</v>
      </c>
      <c r="F5329" s="0" t="s">
        <v>90</v>
      </c>
      <c r="G5329" s="0" t="s">
        <v>16</v>
      </c>
      <c r="H5329" s="0" t="n">
        <v>107</v>
      </c>
      <c r="I5329" s="0" t="s">
        <v>17851</v>
      </c>
      <c r="J5329" s="0" t="s">
        <v>17852</v>
      </c>
      <c r="K5329" s="0" t="s">
        <v>17853</v>
      </c>
      <c r="L5329" s="0" t="str">
        <f aca="false">HYPERLINK("https://www.ncbi.nlm.nih.gov/nuccore/CP000304.1?report=graph&amp;tracks=[key:gene_model_track,Options:GeneOnly]&amp;mk=1478252:1478271|offset_1|444444,1478190:1478209|offset_63|444444,1478167:1478186|offset_86|444444,1478146:1478165|offset_107|00cc00&amp;v=1478051:1478365&amp;c=444444", "offset 107")</f>
        <v>offset 107</v>
      </c>
    </row>
    <row r="5330" customFormat="false" ht="12.8" hidden="false" customHeight="false" outlineLevel="0" collapsed="false">
      <c r="A5330" s="0" t="s">
        <v>12</v>
      </c>
      <c r="B5330" s="0" t="n">
        <v>1478847</v>
      </c>
      <c r="C5330" s="0" t="n">
        <v>1478867</v>
      </c>
      <c r="D5330" s="0" t="s">
        <v>17854</v>
      </c>
      <c r="E5330" s="0" t="s">
        <v>89</v>
      </c>
      <c r="F5330" s="0" t="s">
        <v>90</v>
      </c>
      <c r="G5330" s="0" t="s">
        <v>26</v>
      </c>
      <c r="H5330" s="0" t="n">
        <v>21</v>
      </c>
      <c r="I5330" s="0" t="s">
        <v>17855</v>
      </c>
      <c r="J5330" s="0" t="s">
        <v>17856</v>
      </c>
      <c r="K5330" s="0" t="s">
        <v>17857</v>
      </c>
      <c r="L5330" s="0" t="str">
        <f aca="false">HYPERLINK("https://www.ncbi.nlm.nih.gov/nuccore/CP000304.1?report=graph&amp;tracks=[key:gene_model_track,Options:GeneOnly]&amp;mk=1478848:1478867|offset_21|00cc00,1478778:1478797|offset_91|444444,1478751:1478770|offset_118|444444,1478729:1478748|offset_140|444444&amp;v=1478647:1478948&amp;c=444444", "offset 21")</f>
        <v>offset 21</v>
      </c>
    </row>
    <row r="5331" customFormat="false" ht="12.8" hidden="false" customHeight="false" outlineLevel="0" collapsed="false">
      <c r="A5331" s="0" t="s">
        <v>12</v>
      </c>
      <c r="B5331" s="0" t="n">
        <v>1478777</v>
      </c>
      <c r="C5331" s="0" t="n">
        <v>1478797</v>
      </c>
      <c r="D5331" s="0" t="s">
        <v>17854</v>
      </c>
      <c r="E5331" s="0" t="s">
        <v>89</v>
      </c>
      <c r="F5331" s="0" t="s">
        <v>90</v>
      </c>
      <c r="G5331" s="0" t="s">
        <v>32</v>
      </c>
      <c r="H5331" s="0" t="n">
        <v>91</v>
      </c>
      <c r="I5331" s="0" t="s">
        <v>17858</v>
      </c>
      <c r="J5331" s="0" t="s">
        <v>17859</v>
      </c>
      <c r="K5331" s="0" t="s">
        <v>17860</v>
      </c>
      <c r="L5331" s="0" t="str">
        <f aca="false">HYPERLINK("https://www.ncbi.nlm.nih.gov/nuccore/CP000304.1?report=graph&amp;tracks=[key:gene_model_track,Options:GeneOnly]&amp;mk=1478848:1478867|offset_21|444444,1478778:1478797|offset_91|00cc00,1478751:1478770|offset_118|444444,1478729:1478748|offset_140|444444&amp;v=1478647:1478948&amp;c=444444", "offset 91")</f>
        <v>offset 91</v>
      </c>
    </row>
    <row r="5332" customFormat="false" ht="12.8" hidden="false" customHeight="false" outlineLevel="0" collapsed="false">
      <c r="A5332" s="0" t="s">
        <v>12</v>
      </c>
      <c r="B5332" s="0" t="n">
        <v>1478750</v>
      </c>
      <c r="C5332" s="0" t="n">
        <v>1478770</v>
      </c>
      <c r="D5332" s="0" t="s">
        <v>17854</v>
      </c>
      <c r="E5332" s="0" t="s">
        <v>89</v>
      </c>
      <c r="F5332" s="0" t="s">
        <v>90</v>
      </c>
      <c r="G5332" s="0" t="s">
        <v>36</v>
      </c>
      <c r="H5332" s="0" t="n">
        <v>118</v>
      </c>
      <c r="I5332" s="0" t="s">
        <v>17861</v>
      </c>
      <c r="J5332" s="0" t="s">
        <v>17862</v>
      </c>
      <c r="K5332" s="0" t="s">
        <v>17863</v>
      </c>
      <c r="L5332" s="0" t="str">
        <f aca="false">HYPERLINK("https://www.ncbi.nlm.nih.gov/nuccore/CP000304.1?report=graph&amp;tracks=[key:gene_model_track,Options:GeneOnly]&amp;mk=1478848:1478867|offset_21|444444,1478778:1478797|offset_91|444444,1478751:1478770|offset_118|00cc00,1478729:1478748|offset_140|444444&amp;v=1478647:1478948&amp;c=444444", "offset 118")</f>
        <v>offset 118</v>
      </c>
    </row>
    <row r="5333" customFormat="false" ht="12.8" hidden="false" customHeight="false" outlineLevel="0" collapsed="false">
      <c r="A5333" s="0" t="s">
        <v>12</v>
      </c>
      <c r="B5333" s="0" t="n">
        <v>1478728</v>
      </c>
      <c r="C5333" s="0" t="n">
        <v>1478748</v>
      </c>
      <c r="D5333" s="0" t="s">
        <v>17854</v>
      </c>
      <c r="E5333" s="0" t="s">
        <v>89</v>
      </c>
      <c r="F5333" s="0" t="s">
        <v>90</v>
      </c>
      <c r="G5333" s="0" t="s">
        <v>32</v>
      </c>
      <c r="H5333" s="0" t="n">
        <v>140</v>
      </c>
      <c r="I5333" s="0" t="s">
        <v>17864</v>
      </c>
      <c r="J5333" s="0" t="s">
        <v>17865</v>
      </c>
      <c r="K5333" s="0" t="s">
        <v>17866</v>
      </c>
      <c r="L5333" s="0" t="str">
        <f aca="false">HYPERLINK("https://www.ncbi.nlm.nih.gov/nuccore/CP000304.1?report=graph&amp;tracks=[key:gene_model_track,Options:GeneOnly]&amp;mk=1478848:1478867|offset_21|444444,1478778:1478797|offset_91|444444,1478751:1478770|offset_118|444444,1478729:1478748|offset_140|00cc00&amp;v=1478647:1478948&amp;c=444444", "offset 140")</f>
        <v>offset 140</v>
      </c>
    </row>
    <row r="5334" customFormat="false" ht="12.8" hidden="false" customHeight="false" outlineLevel="0" collapsed="false">
      <c r="A5334" s="0" t="s">
        <v>12</v>
      </c>
      <c r="B5334" s="0" t="n">
        <v>1480122</v>
      </c>
      <c r="C5334" s="0" t="n">
        <v>1480142</v>
      </c>
      <c r="D5334" s="0" t="s">
        <v>17867</v>
      </c>
      <c r="E5334" s="0" t="s">
        <v>89</v>
      </c>
      <c r="F5334" s="0" t="s">
        <v>90</v>
      </c>
      <c r="G5334" s="0" t="s">
        <v>32</v>
      </c>
      <c r="H5334" s="0" t="n">
        <v>12</v>
      </c>
      <c r="I5334" s="0" t="s">
        <v>17868</v>
      </c>
      <c r="J5334" s="0" t="s">
        <v>17869</v>
      </c>
      <c r="K5334" s="0" t="s">
        <v>17870</v>
      </c>
      <c r="L5334" s="0" t="str">
        <f aca="false">HYPERLINK("https://www.ncbi.nlm.nih.gov/nuccore/CP000304.1?report=graph&amp;tracks=[key:gene_model_track,Options:GeneOnly]&amp;mk=1480123:1480142|offset_12|00cc00,1480103:1480122|offset_32|444444,1480075:1480094|offset_60|444444,1480055:1480074|offset_80|444444&amp;v=1479922:1480274&amp;c=444444", "offset 12")</f>
        <v>offset 12</v>
      </c>
    </row>
    <row r="5335" customFormat="false" ht="12.8" hidden="false" customHeight="false" outlineLevel="0" collapsed="false">
      <c r="A5335" s="0" t="s">
        <v>12</v>
      </c>
      <c r="B5335" s="0" t="n">
        <v>1480102</v>
      </c>
      <c r="C5335" s="0" t="n">
        <v>1480122</v>
      </c>
      <c r="D5335" s="0" t="s">
        <v>17867</v>
      </c>
      <c r="E5335" s="0" t="s">
        <v>89</v>
      </c>
      <c r="F5335" s="0" t="s">
        <v>90</v>
      </c>
      <c r="G5335" s="0" t="s">
        <v>36</v>
      </c>
      <c r="H5335" s="0" t="n">
        <v>32</v>
      </c>
      <c r="I5335" s="0" t="s">
        <v>17871</v>
      </c>
      <c r="J5335" s="0" t="s">
        <v>17872</v>
      </c>
      <c r="K5335" s="0" t="s">
        <v>17873</v>
      </c>
      <c r="L5335" s="0" t="str">
        <f aca="false">HYPERLINK("https://www.ncbi.nlm.nih.gov/nuccore/CP000304.1?report=graph&amp;tracks=[key:gene_model_track,Options:GeneOnly]&amp;mk=1480123:1480142|offset_12|444444,1480103:1480122|offset_32|00cc00,1480075:1480094|offset_60|444444,1480055:1480074|offset_80|444444&amp;v=1479922:1480274&amp;c=444444", "offset 32")</f>
        <v>offset 32</v>
      </c>
    </row>
    <row r="5336" customFormat="false" ht="12.8" hidden="false" customHeight="false" outlineLevel="0" collapsed="false">
      <c r="A5336" s="0" t="s">
        <v>12</v>
      </c>
      <c r="B5336" s="0" t="n">
        <v>1480074</v>
      </c>
      <c r="C5336" s="0" t="n">
        <v>1480094</v>
      </c>
      <c r="D5336" s="0" t="s">
        <v>17867</v>
      </c>
      <c r="E5336" s="0" t="s">
        <v>89</v>
      </c>
      <c r="F5336" s="0" t="s">
        <v>90</v>
      </c>
      <c r="G5336" s="0" t="s">
        <v>16</v>
      </c>
      <c r="H5336" s="0" t="n">
        <v>60</v>
      </c>
      <c r="I5336" s="0" t="s">
        <v>17874</v>
      </c>
      <c r="J5336" s="0" t="s">
        <v>17875</v>
      </c>
      <c r="K5336" s="0" t="s">
        <v>17876</v>
      </c>
      <c r="L5336" s="0" t="str">
        <f aca="false">HYPERLINK("https://www.ncbi.nlm.nih.gov/nuccore/CP000304.1?report=graph&amp;tracks=[key:gene_model_track,Options:GeneOnly]&amp;mk=1480123:1480142|offset_12|444444,1480103:1480122|offset_32|444444,1480075:1480094|offset_60|00cc00,1480055:1480074|offset_80|444444&amp;v=1479922:1480274&amp;c=444444", "offset 60")</f>
        <v>offset 60</v>
      </c>
    </row>
    <row r="5337" customFormat="false" ht="12.8" hidden="false" customHeight="false" outlineLevel="0" collapsed="false">
      <c r="A5337" s="0" t="s">
        <v>12</v>
      </c>
      <c r="B5337" s="0" t="n">
        <v>1480054</v>
      </c>
      <c r="C5337" s="0" t="n">
        <v>1480074</v>
      </c>
      <c r="D5337" s="0" t="s">
        <v>17867</v>
      </c>
      <c r="E5337" s="0" t="s">
        <v>89</v>
      </c>
      <c r="F5337" s="0" t="s">
        <v>90</v>
      </c>
      <c r="G5337" s="0" t="s">
        <v>26</v>
      </c>
      <c r="H5337" s="0" t="n">
        <v>80</v>
      </c>
      <c r="I5337" s="0" t="s">
        <v>17877</v>
      </c>
      <c r="J5337" s="0" t="s">
        <v>17878</v>
      </c>
      <c r="K5337" s="0" t="s">
        <v>17879</v>
      </c>
      <c r="L5337" s="0" t="str">
        <f aca="false">HYPERLINK("https://www.ncbi.nlm.nih.gov/nuccore/CP000304.1?report=graph&amp;tracks=[key:gene_model_track,Options:GeneOnly]&amp;mk=1480123:1480142|offset_12|444444,1480103:1480122|offset_32|444444,1480075:1480094|offset_60|444444,1480055:1480074|offset_80|00cc00&amp;v=1479922:1480274&amp;c=444444", "offset 80")</f>
        <v>offset 80</v>
      </c>
    </row>
    <row r="5338" customFormat="false" ht="12.8" hidden="false" customHeight="false" outlineLevel="0" collapsed="false">
      <c r="A5338" s="0" t="s">
        <v>12</v>
      </c>
      <c r="B5338" s="0" t="n">
        <v>1480281</v>
      </c>
      <c r="C5338" s="0" t="n">
        <v>1480301</v>
      </c>
      <c r="D5338" s="0" t="s">
        <v>17880</v>
      </c>
      <c r="E5338" s="0" t="s">
        <v>89</v>
      </c>
      <c r="F5338" s="0" t="s">
        <v>90</v>
      </c>
      <c r="G5338" s="0" t="s">
        <v>26</v>
      </c>
      <c r="H5338" s="0" t="n">
        <v>23</v>
      </c>
      <c r="I5338" s="0" t="s">
        <v>17881</v>
      </c>
      <c r="J5338" s="0" t="s">
        <v>17882</v>
      </c>
      <c r="K5338" s="0" t="s">
        <v>17883</v>
      </c>
      <c r="L5338" s="0" t="str">
        <f aca="false">HYPERLINK("https://www.ncbi.nlm.nih.gov/nuccore/CP000304.1?report=graph&amp;tracks=[key:gene_model_track,Options:GeneOnly]&amp;mk=1480282:1480301|offset_23|00cc00,1480262:1480281|offset_43|444444,1480232:1480251|offset_73|444444&amp;v=1480081:1480451&amp;c=444444", "offset 23")</f>
        <v>offset 23</v>
      </c>
    </row>
    <row r="5339" customFormat="false" ht="12.8" hidden="false" customHeight="false" outlineLevel="0" collapsed="false">
      <c r="A5339" s="0" t="s">
        <v>12</v>
      </c>
      <c r="B5339" s="0" t="n">
        <v>1480261</v>
      </c>
      <c r="C5339" s="0" t="n">
        <v>1480281</v>
      </c>
      <c r="D5339" s="0" t="s">
        <v>17880</v>
      </c>
      <c r="E5339" s="0" t="s">
        <v>89</v>
      </c>
      <c r="F5339" s="0" t="s">
        <v>90</v>
      </c>
      <c r="G5339" s="0" t="s">
        <v>36</v>
      </c>
      <c r="H5339" s="0" t="n">
        <v>43</v>
      </c>
      <c r="I5339" s="0" t="s">
        <v>17884</v>
      </c>
      <c r="J5339" s="0" t="s">
        <v>17885</v>
      </c>
      <c r="K5339" s="0" t="s">
        <v>17886</v>
      </c>
      <c r="L5339" s="0" t="str">
        <f aca="false">HYPERLINK("https://www.ncbi.nlm.nih.gov/nuccore/CP000304.1?report=graph&amp;tracks=[key:gene_model_track,Options:GeneOnly]&amp;mk=1480282:1480301|offset_23|444444,1480262:1480281|offset_43|00cc00,1480232:1480251|offset_73|444444&amp;v=1480081:1480451&amp;c=444444", "offset 43")</f>
        <v>offset 43</v>
      </c>
    </row>
    <row r="5340" customFormat="false" ht="12.8" hidden="false" customHeight="false" outlineLevel="0" collapsed="false">
      <c r="A5340" s="0" t="s">
        <v>12</v>
      </c>
      <c r="B5340" s="0" t="n">
        <v>1480231</v>
      </c>
      <c r="C5340" s="0" t="n">
        <v>1480251</v>
      </c>
      <c r="D5340" s="0" t="s">
        <v>17880</v>
      </c>
      <c r="E5340" s="0" t="s">
        <v>89</v>
      </c>
      <c r="F5340" s="0" t="s">
        <v>90</v>
      </c>
      <c r="G5340" s="0" t="s">
        <v>16</v>
      </c>
      <c r="H5340" s="0" t="n">
        <v>73</v>
      </c>
      <c r="I5340" s="0" t="s">
        <v>17887</v>
      </c>
      <c r="J5340" s="0" t="s">
        <v>17888</v>
      </c>
      <c r="K5340" s="0" t="s">
        <v>17889</v>
      </c>
      <c r="L5340" s="0" t="str">
        <f aca="false">HYPERLINK("https://www.ncbi.nlm.nih.gov/nuccore/CP000304.1?report=graph&amp;tracks=[key:gene_model_track,Options:GeneOnly]&amp;mk=1480282:1480301|offset_23|444444,1480262:1480281|offset_43|444444,1480232:1480251|offset_73|00cc00&amp;v=1480081:1480451&amp;c=444444", "offset 73")</f>
        <v>offset 73</v>
      </c>
    </row>
    <row r="5341" customFormat="false" ht="12.8" hidden="false" customHeight="false" outlineLevel="0" collapsed="false">
      <c r="A5341" s="0" t="s">
        <v>12</v>
      </c>
      <c r="B5341" s="0" t="n">
        <v>1481016</v>
      </c>
      <c r="C5341" s="0" t="n">
        <v>1481036</v>
      </c>
      <c r="D5341" s="0" t="s">
        <v>17890</v>
      </c>
      <c r="E5341" s="0" t="s">
        <v>17891</v>
      </c>
      <c r="F5341" s="0" t="s">
        <v>90</v>
      </c>
      <c r="G5341" s="0" t="s">
        <v>16</v>
      </c>
      <c r="H5341" s="0" t="n">
        <v>20</v>
      </c>
      <c r="I5341" s="0" t="s">
        <v>17892</v>
      </c>
      <c r="J5341" s="0" t="s">
        <v>17893</v>
      </c>
      <c r="K5341" s="0" t="s">
        <v>17894</v>
      </c>
      <c r="L5341" s="0" t="str">
        <f aca="false">HYPERLINK("https://www.ncbi.nlm.nih.gov/nuccore/CP000304.1?report=graph&amp;tracks=[key:gene_model_track,Options:GeneOnly]&amp;mk=1481017:1481036|offset_20|00cc00,1480994:1481013|offset_43|444444,1480955:1480974|offset_82|444444,1480935:1480954|offset_102|444444&amp;v=1480816:1481154&amp;c=444444", "offset 20")</f>
        <v>offset 20</v>
      </c>
    </row>
    <row r="5342" customFormat="false" ht="12.8" hidden="false" customHeight="false" outlineLevel="0" collapsed="false">
      <c r="A5342" s="0" t="s">
        <v>12</v>
      </c>
      <c r="B5342" s="0" t="n">
        <v>1480993</v>
      </c>
      <c r="C5342" s="0" t="n">
        <v>1481013</v>
      </c>
      <c r="D5342" s="0" t="s">
        <v>17890</v>
      </c>
      <c r="E5342" s="0" t="s">
        <v>17891</v>
      </c>
      <c r="F5342" s="0" t="s">
        <v>90</v>
      </c>
      <c r="G5342" s="0" t="s">
        <v>36</v>
      </c>
      <c r="H5342" s="0" t="n">
        <v>43</v>
      </c>
      <c r="I5342" s="0" t="s">
        <v>17895</v>
      </c>
      <c r="J5342" s="0" t="s">
        <v>17896</v>
      </c>
      <c r="K5342" s="0" t="s">
        <v>17897</v>
      </c>
      <c r="L5342" s="0" t="str">
        <f aca="false">HYPERLINK("https://www.ncbi.nlm.nih.gov/nuccore/CP000304.1?report=graph&amp;tracks=[key:gene_model_track,Options:GeneOnly]&amp;mk=1481017:1481036|offset_20|444444,1480994:1481013|offset_43|00cc00,1480955:1480974|offset_82|444444,1480935:1480954|offset_102|444444&amp;v=1480816:1481154&amp;c=444444", "offset 43")</f>
        <v>offset 43</v>
      </c>
    </row>
    <row r="5343" customFormat="false" ht="12.8" hidden="false" customHeight="false" outlineLevel="0" collapsed="false">
      <c r="A5343" s="0" t="s">
        <v>12</v>
      </c>
      <c r="B5343" s="0" t="n">
        <v>1480954</v>
      </c>
      <c r="C5343" s="0" t="n">
        <v>1480974</v>
      </c>
      <c r="D5343" s="0" t="s">
        <v>17890</v>
      </c>
      <c r="E5343" s="0" t="s">
        <v>17891</v>
      </c>
      <c r="F5343" s="0" t="s">
        <v>90</v>
      </c>
      <c r="G5343" s="0" t="s">
        <v>16</v>
      </c>
      <c r="H5343" s="0" t="n">
        <v>82</v>
      </c>
      <c r="I5343" s="0" t="s">
        <v>17898</v>
      </c>
      <c r="J5343" s="0" t="s">
        <v>17899</v>
      </c>
      <c r="K5343" s="0" t="s">
        <v>17900</v>
      </c>
      <c r="L5343" s="0" t="str">
        <f aca="false">HYPERLINK("https://www.ncbi.nlm.nih.gov/nuccore/CP000304.1?report=graph&amp;tracks=[key:gene_model_track,Options:GeneOnly]&amp;mk=1481017:1481036|offset_20|444444,1480994:1481013|offset_43|444444,1480955:1480974|offset_82|00cc00,1480935:1480954|offset_102|444444&amp;v=1480816:1481154&amp;c=444444", "offset 82")</f>
        <v>offset 82</v>
      </c>
    </row>
    <row r="5344" customFormat="false" ht="12.8" hidden="false" customHeight="false" outlineLevel="0" collapsed="false">
      <c r="A5344" s="0" t="s">
        <v>12</v>
      </c>
      <c r="B5344" s="0" t="n">
        <v>1480934</v>
      </c>
      <c r="C5344" s="0" t="n">
        <v>1480954</v>
      </c>
      <c r="D5344" s="0" t="s">
        <v>17890</v>
      </c>
      <c r="E5344" s="0" t="s">
        <v>17891</v>
      </c>
      <c r="F5344" s="0" t="s">
        <v>90</v>
      </c>
      <c r="G5344" s="0" t="s">
        <v>16</v>
      </c>
      <c r="H5344" s="0" t="n">
        <v>102</v>
      </c>
      <c r="I5344" s="0" t="s">
        <v>17901</v>
      </c>
      <c r="J5344" s="0" t="s">
        <v>17902</v>
      </c>
      <c r="K5344" s="0" t="s">
        <v>17903</v>
      </c>
      <c r="L5344" s="0" t="str">
        <f aca="false">HYPERLINK("https://www.ncbi.nlm.nih.gov/nuccore/CP000304.1?report=graph&amp;tracks=[key:gene_model_track,Options:GeneOnly]&amp;mk=1481017:1481036|offset_20|444444,1480994:1481013|offset_43|444444,1480955:1480974|offset_82|444444,1480935:1480954|offset_102|00cc00&amp;v=1480816:1481154&amp;c=444444", "offset 102")</f>
        <v>offset 102</v>
      </c>
    </row>
    <row r="5345" customFormat="false" ht="12.8" hidden="false" customHeight="false" outlineLevel="0" collapsed="false">
      <c r="A5345" s="0" t="s">
        <v>12</v>
      </c>
      <c r="B5345" s="0" t="n">
        <v>1481895</v>
      </c>
      <c r="C5345" s="0" t="n">
        <v>1481915</v>
      </c>
      <c r="D5345" s="0" t="s">
        <v>17904</v>
      </c>
      <c r="E5345" s="0" t="s">
        <v>17905</v>
      </c>
      <c r="F5345" s="0" t="s">
        <v>90</v>
      </c>
      <c r="G5345" s="0" t="s">
        <v>36</v>
      </c>
      <c r="H5345" s="0" t="n">
        <v>10</v>
      </c>
      <c r="I5345" s="0" t="s">
        <v>17906</v>
      </c>
      <c r="J5345" s="0" t="s">
        <v>17907</v>
      </c>
      <c r="K5345" s="0" t="s">
        <v>17908</v>
      </c>
      <c r="L5345" s="0" t="str">
        <f aca="false">HYPERLINK("https://www.ncbi.nlm.nih.gov/nuccore/CP000304.1?report=graph&amp;tracks=[key:gene_model_track,Options:GeneOnly]&amp;mk=1481896:1481915|offset_10|00cc00,1481868:1481887|offset_38|444444,1481840:1481859|offset_66|444444,1481820:1481839|offset_86|444444&amp;v=1481695:1482039&amp;c=444444", "offset 10")</f>
        <v>offset 10</v>
      </c>
    </row>
    <row r="5346" customFormat="false" ht="12.8" hidden="false" customHeight="false" outlineLevel="0" collapsed="false">
      <c r="A5346" s="0" t="s">
        <v>12</v>
      </c>
      <c r="B5346" s="0" t="n">
        <v>1481867</v>
      </c>
      <c r="C5346" s="0" t="n">
        <v>1481887</v>
      </c>
      <c r="D5346" s="0" t="s">
        <v>17904</v>
      </c>
      <c r="E5346" s="0" t="s">
        <v>17905</v>
      </c>
      <c r="F5346" s="0" t="s">
        <v>90</v>
      </c>
      <c r="G5346" s="0" t="s">
        <v>32</v>
      </c>
      <c r="H5346" s="0" t="n">
        <v>38</v>
      </c>
      <c r="I5346" s="0" t="s">
        <v>17909</v>
      </c>
      <c r="J5346" s="0" t="s">
        <v>17910</v>
      </c>
      <c r="K5346" s="0" t="s">
        <v>17911</v>
      </c>
      <c r="L5346" s="0" t="str">
        <f aca="false">HYPERLINK("https://www.ncbi.nlm.nih.gov/nuccore/CP000304.1?report=graph&amp;tracks=[key:gene_model_track,Options:GeneOnly]&amp;mk=1481896:1481915|offset_10|444444,1481868:1481887|offset_38|00cc00,1481840:1481859|offset_66|444444,1481820:1481839|offset_86|444444&amp;v=1481695:1482039&amp;c=444444", "offset 38")</f>
        <v>offset 38</v>
      </c>
    </row>
    <row r="5347" customFormat="false" ht="12.8" hidden="false" customHeight="false" outlineLevel="0" collapsed="false">
      <c r="A5347" s="0" t="s">
        <v>12</v>
      </c>
      <c r="B5347" s="0" t="n">
        <v>1481839</v>
      </c>
      <c r="C5347" s="0" t="n">
        <v>1481859</v>
      </c>
      <c r="D5347" s="0" t="s">
        <v>17904</v>
      </c>
      <c r="E5347" s="0" t="s">
        <v>17905</v>
      </c>
      <c r="F5347" s="0" t="s">
        <v>90</v>
      </c>
      <c r="G5347" s="0" t="s">
        <v>16</v>
      </c>
      <c r="H5347" s="0" t="n">
        <v>66</v>
      </c>
      <c r="I5347" s="0" t="s">
        <v>17912</v>
      </c>
      <c r="J5347" s="0" t="s">
        <v>17913</v>
      </c>
      <c r="K5347" s="0" t="s">
        <v>17914</v>
      </c>
      <c r="L5347" s="0" t="str">
        <f aca="false">HYPERLINK("https://www.ncbi.nlm.nih.gov/nuccore/CP000304.1?report=graph&amp;tracks=[key:gene_model_track,Options:GeneOnly]&amp;mk=1481896:1481915|offset_10|444444,1481868:1481887|offset_38|444444,1481840:1481859|offset_66|00cc00,1481820:1481839|offset_86|444444&amp;v=1481695:1482039&amp;c=444444", "offset 66")</f>
        <v>offset 66</v>
      </c>
    </row>
    <row r="5348" customFormat="false" ht="12.8" hidden="false" customHeight="false" outlineLevel="0" collapsed="false">
      <c r="A5348" s="0" t="s">
        <v>12</v>
      </c>
      <c r="B5348" s="0" t="n">
        <v>1481819</v>
      </c>
      <c r="C5348" s="0" t="n">
        <v>1481839</v>
      </c>
      <c r="D5348" s="0" t="s">
        <v>17904</v>
      </c>
      <c r="E5348" s="0" t="s">
        <v>17905</v>
      </c>
      <c r="F5348" s="0" t="s">
        <v>90</v>
      </c>
      <c r="G5348" s="0" t="s">
        <v>32</v>
      </c>
      <c r="H5348" s="0" t="n">
        <v>86</v>
      </c>
      <c r="I5348" s="0" t="s">
        <v>17915</v>
      </c>
      <c r="J5348" s="0" t="s">
        <v>17916</v>
      </c>
      <c r="K5348" s="0" t="s">
        <v>17917</v>
      </c>
      <c r="L5348" s="0" t="str">
        <f aca="false">HYPERLINK("https://www.ncbi.nlm.nih.gov/nuccore/CP000304.1?report=graph&amp;tracks=[key:gene_model_track,Options:GeneOnly]&amp;mk=1481896:1481915|offset_10|444444,1481868:1481887|offset_38|444444,1481840:1481859|offset_66|444444,1481820:1481839|offset_86|00cc00&amp;v=1481695:1482039&amp;c=444444", "offset 86")</f>
        <v>offset 86</v>
      </c>
    </row>
    <row r="5349" customFormat="false" ht="12.8" hidden="false" customHeight="false" outlineLevel="0" collapsed="false">
      <c r="A5349" s="0" t="s">
        <v>12</v>
      </c>
      <c r="B5349" s="0" t="n">
        <v>1482009</v>
      </c>
      <c r="C5349" s="0" t="n">
        <v>1482029</v>
      </c>
      <c r="D5349" s="0" t="s">
        <v>17918</v>
      </c>
      <c r="E5349" s="0" t="s">
        <v>17919</v>
      </c>
      <c r="F5349" s="0" t="s">
        <v>15</v>
      </c>
      <c r="G5349" s="0" t="s">
        <v>16</v>
      </c>
      <c r="H5349" s="0" t="n">
        <v>7</v>
      </c>
      <c r="I5349" s="0" t="s">
        <v>17920</v>
      </c>
      <c r="J5349" s="0" t="s">
        <v>17921</v>
      </c>
      <c r="K5349" s="0" t="s">
        <v>17922</v>
      </c>
      <c r="L5349" s="0" t="str">
        <f aca="false">HYPERLINK("https://www.ncbi.nlm.nih.gov/nuccore/CP000304.1?report=graph&amp;tracks=[key:gene_model_track,Options:GeneOnly]&amp;mk=1482010:1482029|offset_7|00cc00,1482032:1482051|offset_29|444444,1482059:1482078|offset_56|444444,1482143:1482162|offset_140|444444&amp;v=1481809:1482362&amp;c=444444", "offset 7")</f>
        <v>offset 7</v>
      </c>
    </row>
    <row r="5350" customFormat="false" ht="12.8" hidden="false" customHeight="false" outlineLevel="0" collapsed="false">
      <c r="A5350" s="0" t="s">
        <v>12</v>
      </c>
      <c r="B5350" s="0" t="n">
        <v>1482031</v>
      </c>
      <c r="C5350" s="0" t="n">
        <v>1482051</v>
      </c>
      <c r="D5350" s="0" t="s">
        <v>17918</v>
      </c>
      <c r="E5350" s="0" t="s">
        <v>17919</v>
      </c>
      <c r="F5350" s="0" t="s">
        <v>15</v>
      </c>
      <c r="G5350" s="0" t="s">
        <v>32</v>
      </c>
      <c r="H5350" s="0" t="n">
        <v>29</v>
      </c>
      <c r="I5350" s="0" t="s">
        <v>17923</v>
      </c>
      <c r="J5350" s="0" t="s">
        <v>17924</v>
      </c>
      <c r="K5350" s="0" t="s">
        <v>17925</v>
      </c>
      <c r="L5350" s="0" t="str">
        <f aca="false">HYPERLINK("https://www.ncbi.nlm.nih.gov/nuccore/CP000304.1?report=graph&amp;tracks=[key:gene_model_track,Options:GeneOnly]&amp;mk=1482010:1482029|offset_7|444444,1482032:1482051|offset_29|00cc00,1482059:1482078|offset_56|444444,1482143:1482162|offset_140|444444&amp;v=1481809:1482362&amp;c=444444", "offset 29")</f>
        <v>offset 29</v>
      </c>
    </row>
    <row r="5351" customFormat="false" ht="12.8" hidden="false" customHeight="false" outlineLevel="0" collapsed="false">
      <c r="A5351" s="0" t="s">
        <v>12</v>
      </c>
      <c r="B5351" s="0" t="n">
        <v>1482058</v>
      </c>
      <c r="C5351" s="0" t="n">
        <v>1482078</v>
      </c>
      <c r="D5351" s="0" t="s">
        <v>17918</v>
      </c>
      <c r="E5351" s="0" t="s">
        <v>17919</v>
      </c>
      <c r="F5351" s="0" t="s">
        <v>15</v>
      </c>
      <c r="G5351" s="0" t="s">
        <v>16</v>
      </c>
      <c r="H5351" s="0" t="n">
        <v>56</v>
      </c>
      <c r="I5351" s="0" t="s">
        <v>17926</v>
      </c>
      <c r="J5351" s="0" t="s">
        <v>17927</v>
      </c>
      <c r="K5351" s="0" t="s">
        <v>17928</v>
      </c>
      <c r="L5351" s="0" t="str">
        <f aca="false">HYPERLINK("https://www.ncbi.nlm.nih.gov/nuccore/CP000304.1?report=graph&amp;tracks=[key:gene_model_track,Options:GeneOnly]&amp;mk=1482010:1482029|offset_7|444444,1482032:1482051|offset_29|444444,1482059:1482078|offset_56|00cc00,1482143:1482162|offset_140|444444&amp;v=1481809:1482362&amp;c=444444", "offset 56")</f>
        <v>offset 56</v>
      </c>
    </row>
    <row r="5352" customFormat="false" ht="12.8" hidden="false" customHeight="false" outlineLevel="0" collapsed="false">
      <c r="A5352" s="0" t="s">
        <v>12</v>
      </c>
      <c r="B5352" s="0" t="n">
        <v>1482142</v>
      </c>
      <c r="C5352" s="0" t="n">
        <v>1482162</v>
      </c>
      <c r="D5352" s="0" t="s">
        <v>17918</v>
      </c>
      <c r="E5352" s="0" t="s">
        <v>17919</v>
      </c>
      <c r="F5352" s="0" t="s">
        <v>15</v>
      </c>
      <c r="G5352" s="0" t="s">
        <v>36</v>
      </c>
      <c r="H5352" s="0" t="n">
        <v>140</v>
      </c>
      <c r="I5352" s="0" t="s">
        <v>17929</v>
      </c>
      <c r="J5352" s="0" t="s">
        <v>17930</v>
      </c>
      <c r="K5352" s="0" t="s">
        <v>17931</v>
      </c>
      <c r="L5352" s="0" t="str">
        <f aca="false">HYPERLINK("https://www.ncbi.nlm.nih.gov/nuccore/CP000304.1?report=graph&amp;tracks=[key:gene_model_track,Options:GeneOnly]&amp;mk=1482010:1482029|offset_7|444444,1482032:1482051|offset_29|444444,1482059:1482078|offset_56|444444,1482143:1482162|offset_140|00cc00&amp;v=1481809:1482362&amp;c=444444", "offset 140")</f>
        <v>offset 140</v>
      </c>
    </row>
    <row r="5353" customFormat="false" ht="12.8" hidden="false" customHeight="false" outlineLevel="0" collapsed="false">
      <c r="A5353" s="0" t="s">
        <v>12</v>
      </c>
      <c r="B5353" s="0" t="n">
        <v>1483068</v>
      </c>
      <c r="C5353" s="0" t="n">
        <v>1483088</v>
      </c>
      <c r="D5353" s="0" t="s">
        <v>17932</v>
      </c>
      <c r="E5353" s="0" t="s">
        <v>17933</v>
      </c>
      <c r="F5353" s="0" t="s">
        <v>15</v>
      </c>
      <c r="G5353" s="0" t="s">
        <v>32</v>
      </c>
      <c r="H5353" s="0" t="n">
        <v>7</v>
      </c>
      <c r="I5353" s="0" t="s">
        <v>17934</v>
      </c>
      <c r="J5353" s="0" t="s">
        <v>17935</v>
      </c>
      <c r="K5353" s="0" t="s">
        <v>17936</v>
      </c>
      <c r="L5353" s="0" t="str">
        <f aca="false">HYPERLINK("https://www.ncbi.nlm.nih.gov/nuccore/CP000304.1?report=graph&amp;tracks=[key:gene_model_track,Options:GeneOnly]&amp;mk=1483069:1483088|offset_7|00cc00,1483136:1483155|offset_74|444444,1483186:1483205|offset_124|444444,1483216:1483235|offset_154|444444&amp;v=1482868:1483435&amp;c=444444", "offset 7")</f>
        <v>offset 7</v>
      </c>
    </row>
    <row r="5354" customFormat="false" ht="12.8" hidden="false" customHeight="false" outlineLevel="0" collapsed="false">
      <c r="A5354" s="0" t="s">
        <v>12</v>
      </c>
      <c r="B5354" s="0" t="n">
        <v>1483135</v>
      </c>
      <c r="C5354" s="0" t="n">
        <v>1483155</v>
      </c>
      <c r="D5354" s="0" t="s">
        <v>17932</v>
      </c>
      <c r="E5354" s="0" t="s">
        <v>17933</v>
      </c>
      <c r="F5354" s="0" t="s">
        <v>15</v>
      </c>
      <c r="G5354" s="0" t="s">
        <v>32</v>
      </c>
      <c r="H5354" s="0" t="n">
        <v>74</v>
      </c>
      <c r="I5354" s="0" t="s">
        <v>17937</v>
      </c>
      <c r="J5354" s="0" t="s">
        <v>17938</v>
      </c>
      <c r="K5354" s="0" t="s">
        <v>17939</v>
      </c>
      <c r="L5354" s="0" t="str">
        <f aca="false">HYPERLINK("https://www.ncbi.nlm.nih.gov/nuccore/CP000304.1?report=graph&amp;tracks=[key:gene_model_track,Options:GeneOnly]&amp;mk=1483069:1483088|offset_7|444444,1483136:1483155|offset_74|00cc00,1483186:1483205|offset_124|444444,1483216:1483235|offset_154|444444&amp;v=1482868:1483435&amp;c=444444", "offset 74")</f>
        <v>offset 74</v>
      </c>
    </row>
    <row r="5355" customFormat="false" ht="12.8" hidden="false" customHeight="false" outlineLevel="0" collapsed="false">
      <c r="A5355" s="0" t="s">
        <v>12</v>
      </c>
      <c r="B5355" s="0" t="n">
        <v>1483185</v>
      </c>
      <c r="C5355" s="0" t="n">
        <v>1483205</v>
      </c>
      <c r="D5355" s="0" t="s">
        <v>17932</v>
      </c>
      <c r="E5355" s="0" t="s">
        <v>17933</v>
      </c>
      <c r="F5355" s="0" t="s">
        <v>15</v>
      </c>
      <c r="G5355" s="0" t="s">
        <v>32</v>
      </c>
      <c r="H5355" s="0" t="n">
        <v>124</v>
      </c>
      <c r="I5355" s="0" t="s">
        <v>17940</v>
      </c>
      <c r="J5355" s="0" t="s">
        <v>17941</v>
      </c>
      <c r="K5355" s="0" t="s">
        <v>17942</v>
      </c>
      <c r="L5355" s="0" t="str">
        <f aca="false">HYPERLINK("https://www.ncbi.nlm.nih.gov/nuccore/CP000304.1?report=graph&amp;tracks=[key:gene_model_track,Options:GeneOnly]&amp;mk=1483069:1483088|offset_7|444444,1483136:1483155|offset_74|444444,1483186:1483205|offset_124|00cc00,1483216:1483235|offset_154|444444&amp;v=1482868:1483435&amp;c=444444", "offset 124")</f>
        <v>offset 124</v>
      </c>
    </row>
    <row r="5356" customFormat="false" ht="12.8" hidden="false" customHeight="false" outlineLevel="0" collapsed="false">
      <c r="A5356" s="0" t="s">
        <v>12</v>
      </c>
      <c r="B5356" s="0" t="n">
        <v>1483215</v>
      </c>
      <c r="C5356" s="0" t="n">
        <v>1483235</v>
      </c>
      <c r="D5356" s="0" t="s">
        <v>17932</v>
      </c>
      <c r="E5356" s="0" t="s">
        <v>17933</v>
      </c>
      <c r="F5356" s="0" t="s">
        <v>15</v>
      </c>
      <c r="G5356" s="0" t="s">
        <v>26</v>
      </c>
      <c r="H5356" s="0" t="n">
        <v>154</v>
      </c>
      <c r="I5356" s="0" t="s">
        <v>17943</v>
      </c>
      <c r="J5356" s="0" t="s">
        <v>17944</v>
      </c>
      <c r="K5356" s="0" t="s">
        <v>17945</v>
      </c>
      <c r="L5356" s="0" t="str">
        <f aca="false">HYPERLINK("https://www.ncbi.nlm.nih.gov/nuccore/CP000304.1?report=graph&amp;tracks=[key:gene_model_track,Options:GeneOnly]&amp;mk=1483069:1483088|offset_7|444444,1483136:1483155|offset_74|444444,1483186:1483205|offset_124|444444,1483216:1483235|offset_154|00cc00&amp;v=1482868:1483435&amp;c=444444", "offset 154")</f>
        <v>offset 154</v>
      </c>
    </row>
    <row r="5357" customFormat="false" ht="12.8" hidden="false" customHeight="false" outlineLevel="0" collapsed="false">
      <c r="A5357" s="0" t="s">
        <v>12</v>
      </c>
      <c r="B5357" s="0" t="n">
        <v>1483988</v>
      </c>
      <c r="C5357" s="0" t="n">
        <v>1484008</v>
      </c>
      <c r="D5357" s="0" t="s">
        <v>17946</v>
      </c>
      <c r="E5357" s="0" t="s">
        <v>17947</v>
      </c>
      <c r="F5357" s="0" t="s">
        <v>15</v>
      </c>
      <c r="G5357" s="0" t="s">
        <v>32</v>
      </c>
      <c r="H5357" s="0" t="n">
        <v>1</v>
      </c>
      <c r="I5357" s="0" t="s">
        <v>17948</v>
      </c>
      <c r="J5357" s="0" t="s">
        <v>17949</v>
      </c>
      <c r="K5357" s="0" t="s">
        <v>17950</v>
      </c>
      <c r="L5357" s="0" t="str">
        <f aca="false">HYPERLINK("https://www.ncbi.nlm.nih.gov/nuccore/CP000304.1?report=graph&amp;tracks=[key:gene_model_track,Options:GeneOnly]&amp;mk=1483989:1484008|offset_1|00cc00,1484013:1484032|offset_25|444444,1484058:1484077|offset_70|444444,1484082:1484101|offset_94|444444&amp;v=1483788:1484301&amp;c=444444", "offset 1")</f>
        <v>offset 1</v>
      </c>
    </row>
    <row r="5358" customFormat="false" ht="12.8" hidden="false" customHeight="false" outlineLevel="0" collapsed="false">
      <c r="A5358" s="0" t="s">
        <v>12</v>
      </c>
      <c r="B5358" s="0" t="n">
        <v>1484012</v>
      </c>
      <c r="C5358" s="0" t="n">
        <v>1484032</v>
      </c>
      <c r="D5358" s="0" t="s">
        <v>17946</v>
      </c>
      <c r="E5358" s="0" t="s">
        <v>17947</v>
      </c>
      <c r="F5358" s="0" t="s">
        <v>15</v>
      </c>
      <c r="G5358" s="0" t="s">
        <v>26</v>
      </c>
      <c r="H5358" s="0" t="n">
        <v>25</v>
      </c>
      <c r="I5358" s="0" t="s">
        <v>17951</v>
      </c>
      <c r="J5358" s="0" t="s">
        <v>17952</v>
      </c>
      <c r="K5358" s="0" t="s">
        <v>17953</v>
      </c>
      <c r="L5358" s="0" t="str">
        <f aca="false">HYPERLINK("https://www.ncbi.nlm.nih.gov/nuccore/CP000304.1?report=graph&amp;tracks=[key:gene_model_track,Options:GeneOnly]&amp;mk=1483989:1484008|offset_1|444444,1484013:1484032|offset_25|00cc00,1484058:1484077|offset_70|444444,1484082:1484101|offset_94|444444&amp;v=1483788:1484301&amp;c=444444", "offset 25")</f>
        <v>offset 25</v>
      </c>
    </row>
    <row r="5359" customFormat="false" ht="12.8" hidden="false" customHeight="false" outlineLevel="0" collapsed="false">
      <c r="A5359" s="0" t="s">
        <v>12</v>
      </c>
      <c r="B5359" s="0" t="n">
        <v>1484057</v>
      </c>
      <c r="C5359" s="0" t="n">
        <v>1484077</v>
      </c>
      <c r="D5359" s="0" t="s">
        <v>17946</v>
      </c>
      <c r="E5359" s="0" t="s">
        <v>17947</v>
      </c>
      <c r="F5359" s="0" t="s">
        <v>15</v>
      </c>
      <c r="G5359" s="0" t="s">
        <v>16</v>
      </c>
      <c r="H5359" s="0" t="n">
        <v>70</v>
      </c>
      <c r="I5359" s="0" t="s">
        <v>17954</v>
      </c>
      <c r="J5359" s="0" t="s">
        <v>17955</v>
      </c>
      <c r="K5359" s="0" t="s">
        <v>17956</v>
      </c>
      <c r="L5359" s="0" t="str">
        <f aca="false">HYPERLINK("https://www.ncbi.nlm.nih.gov/nuccore/CP000304.1?report=graph&amp;tracks=[key:gene_model_track,Options:GeneOnly]&amp;mk=1483989:1484008|offset_1|444444,1484013:1484032|offset_25|444444,1484058:1484077|offset_70|00cc00,1484082:1484101|offset_94|444444&amp;v=1483788:1484301&amp;c=444444", "offset 70")</f>
        <v>offset 70</v>
      </c>
    </row>
    <row r="5360" customFormat="false" ht="12.8" hidden="false" customHeight="false" outlineLevel="0" collapsed="false">
      <c r="A5360" s="0" t="s">
        <v>12</v>
      </c>
      <c r="B5360" s="0" t="n">
        <v>1484081</v>
      </c>
      <c r="C5360" s="0" t="n">
        <v>1484101</v>
      </c>
      <c r="D5360" s="0" t="s">
        <v>17946</v>
      </c>
      <c r="E5360" s="0" t="s">
        <v>17947</v>
      </c>
      <c r="F5360" s="0" t="s">
        <v>15</v>
      </c>
      <c r="G5360" s="0" t="s">
        <v>32</v>
      </c>
      <c r="H5360" s="0" t="n">
        <v>94</v>
      </c>
      <c r="I5360" s="0" t="s">
        <v>17957</v>
      </c>
      <c r="J5360" s="0" t="s">
        <v>17958</v>
      </c>
      <c r="K5360" s="0" t="s">
        <v>17959</v>
      </c>
      <c r="L5360" s="0" t="str">
        <f aca="false">HYPERLINK("https://www.ncbi.nlm.nih.gov/nuccore/CP000304.1?report=graph&amp;tracks=[key:gene_model_track,Options:GeneOnly]&amp;mk=1483989:1484008|offset_1|444444,1484013:1484032|offset_25|444444,1484058:1484077|offset_70|444444,1484082:1484101|offset_94|00cc00&amp;v=1483788:1484301&amp;c=444444", "offset 94")</f>
        <v>offset 94</v>
      </c>
    </row>
    <row r="5361" customFormat="false" ht="12.8" hidden="false" customHeight="false" outlineLevel="0" collapsed="false">
      <c r="A5361" s="0" t="s">
        <v>12</v>
      </c>
      <c r="B5361" s="0" t="n">
        <v>1484457</v>
      </c>
      <c r="C5361" s="0" t="n">
        <v>1484477</v>
      </c>
      <c r="D5361" s="0" t="s">
        <v>17960</v>
      </c>
      <c r="E5361" s="0" t="s">
        <v>17961</v>
      </c>
      <c r="F5361" s="0" t="s">
        <v>15</v>
      </c>
      <c r="G5361" s="0" t="s">
        <v>36</v>
      </c>
      <c r="H5361" s="0" t="n">
        <v>10</v>
      </c>
      <c r="I5361" s="0" t="s">
        <v>17962</v>
      </c>
      <c r="J5361" s="0" t="s">
        <v>17963</v>
      </c>
      <c r="K5361" s="0" t="s">
        <v>17964</v>
      </c>
      <c r="L5361" s="0" t="str">
        <f aca="false">HYPERLINK("https://www.ncbi.nlm.nih.gov/nuccore/CP000304.1?report=graph&amp;tracks=[key:gene_model_track,Options:GeneOnly]&amp;mk=1484458:1484477|offset_10|00cc00,1484479:1484498|offset_31|444444,1484503:1484522|offset_55|444444,1484528:1484547|offset_80|444444&amp;v=1484257:1484747&amp;c=444444", "offset 10")</f>
        <v>offset 10</v>
      </c>
    </row>
    <row r="5362" customFormat="false" ht="12.8" hidden="false" customHeight="false" outlineLevel="0" collapsed="false">
      <c r="A5362" s="0" t="s">
        <v>12</v>
      </c>
      <c r="B5362" s="0" t="n">
        <v>1484478</v>
      </c>
      <c r="C5362" s="0" t="n">
        <v>1484498</v>
      </c>
      <c r="D5362" s="0" t="s">
        <v>17960</v>
      </c>
      <c r="E5362" s="0" t="s">
        <v>17961</v>
      </c>
      <c r="F5362" s="0" t="s">
        <v>15</v>
      </c>
      <c r="G5362" s="0" t="s">
        <v>32</v>
      </c>
      <c r="H5362" s="0" t="n">
        <v>31</v>
      </c>
      <c r="I5362" s="0" t="s">
        <v>17965</v>
      </c>
      <c r="J5362" s="0" t="s">
        <v>17966</v>
      </c>
      <c r="K5362" s="0" t="s">
        <v>17967</v>
      </c>
      <c r="L5362" s="0" t="str">
        <f aca="false">HYPERLINK("https://www.ncbi.nlm.nih.gov/nuccore/CP000304.1?report=graph&amp;tracks=[key:gene_model_track,Options:GeneOnly]&amp;mk=1484458:1484477|offset_10|444444,1484479:1484498|offset_31|00cc00,1484503:1484522|offset_55|444444,1484528:1484547|offset_80|444444&amp;v=1484257:1484747&amp;c=444444", "offset 31")</f>
        <v>offset 31</v>
      </c>
    </row>
    <row r="5363" customFormat="false" ht="12.8" hidden="false" customHeight="false" outlineLevel="0" collapsed="false">
      <c r="A5363" s="0" t="s">
        <v>12</v>
      </c>
      <c r="B5363" s="0" t="n">
        <v>1484502</v>
      </c>
      <c r="C5363" s="0" t="n">
        <v>1484522</v>
      </c>
      <c r="D5363" s="0" t="s">
        <v>17960</v>
      </c>
      <c r="E5363" s="0" t="s">
        <v>17961</v>
      </c>
      <c r="F5363" s="0" t="s">
        <v>15</v>
      </c>
      <c r="G5363" s="0" t="s">
        <v>16</v>
      </c>
      <c r="H5363" s="0" t="n">
        <v>55</v>
      </c>
      <c r="I5363" s="0" t="s">
        <v>17968</v>
      </c>
      <c r="J5363" s="0" t="s">
        <v>17969</v>
      </c>
      <c r="K5363" s="0" t="s">
        <v>17970</v>
      </c>
      <c r="L5363" s="0" t="str">
        <f aca="false">HYPERLINK("https://www.ncbi.nlm.nih.gov/nuccore/CP000304.1?report=graph&amp;tracks=[key:gene_model_track,Options:GeneOnly]&amp;mk=1484458:1484477|offset_10|444444,1484479:1484498|offset_31|444444,1484503:1484522|offset_55|00cc00,1484528:1484547|offset_80|444444&amp;v=1484257:1484747&amp;c=444444", "offset 55")</f>
        <v>offset 55</v>
      </c>
    </row>
    <row r="5364" customFormat="false" ht="12.8" hidden="false" customHeight="false" outlineLevel="0" collapsed="false">
      <c r="A5364" s="0" t="s">
        <v>12</v>
      </c>
      <c r="B5364" s="0" t="n">
        <v>1484527</v>
      </c>
      <c r="C5364" s="0" t="n">
        <v>1484547</v>
      </c>
      <c r="D5364" s="0" t="s">
        <v>17960</v>
      </c>
      <c r="E5364" s="0" t="s">
        <v>17961</v>
      </c>
      <c r="F5364" s="0" t="s">
        <v>15</v>
      </c>
      <c r="G5364" s="0" t="s">
        <v>32</v>
      </c>
      <c r="H5364" s="0" t="n">
        <v>80</v>
      </c>
      <c r="I5364" s="0" t="s">
        <v>17971</v>
      </c>
      <c r="J5364" s="0" t="s">
        <v>17972</v>
      </c>
      <c r="K5364" s="0" t="s">
        <v>17973</v>
      </c>
      <c r="L5364" s="0" t="str">
        <f aca="false">HYPERLINK("https://www.ncbi.nlm.nih.gov/nuccore/CP000304.1?report=graph&amp;tracks=[key:gene_model_track,Options:GeneOnly]&amp;mk=1484458:1484477|offset_10|444444,1484479:1484498|offset_31|444444,1484503:1484522|offset_55|444444,1484528:1484547|offset_80|00cc00&amp;v=1484257:1484747&amp;c=444444", "offset 80")</f>
        <v>offset 80</v>
      </c>
    </row>
    <row r="5365" customFormat="false" ht="12.8" hidden="false" customHeight="false" outlineLevel="0" collapsed="false">
      <c r="A5365" s="0" t="s">
        <v>12</v>
      </c>
      <c r="B5365" s="0" t="n">
        <v>1484880</v>
      </c>
      <c r="C5365" s="0" t="n">
        <v>1484900</v>
      </c>
      <c r="D5365" s="0" t="s">
        <v>17974</v>
      </c>
      <c r="E5365" s="0" t="s">
        <v>17975</v>
      </c>
      <c r="F5365" s="0" t="s">
        <v>15</v>
      </c>
      <c r="G5365" s="0" t="s">
        <v>32</v>
      </c>
      <c r="H5365" s="0" t="n">
        <v>16</v>
      </c>
      <c r="I5365" s="0" t="s">
        <v>17976</v>
      </c>
      <c r="J5365" s="0" t="s">
        <v>17977</v>
      </c>
      <c r="K5365" s="0" t="s">
        <v>17978</v>
      </c>
      <c r="L5365" s="0" t="str">
        <f aca="false">HYPERLINK("https://www.ncbi.nlm.nih.gov/nuccore/CP000304.1?report=graph&amp;tracks=[key:gene_model_track,Options:GeneOnly]&amp;mk=1484881:1484900|offset_16|00cc00,1484917:1484936|offset_52|444444,1485006:1485025|offset_141|444444,1485049:1485068|offset_184|444444&amp;v=1484680:1485268&amp;c=444444", "offset 16")</f>
        <v>offset 16</v>
      </c>
    </row>
    <row r="5366" customFormat="false" ht="12.8" hidden="false" customHeight="false" outlineLevel="0" collapsed="false">
      <c r="A5366" s="0" t="s">
        <v>12</v>
      </c>
      <c r="B5366" s="0" t="n">
        <v>1484916</v>
      </c>
      <c r="C5366" s="0" t="n">
        <v>1484936</v>
      </c>
      <c r="D5366" s="0" t="s">
        <v>17974</v>
      </c>
      <c r="E5366" s="0" t="s">
        <v>17975</v>
      </c>
      <c r="F5366" s="0" t="s">
        <v>15</v>
      </c>
      <c r="G5366" s="0" t="s">
        <v>16</v>
      </c>
      <c r="H5366" s="0" t="n">
        <v>52</v>
      </c>
      <c r="I5366" s="0" t="s">
        <v>17979</v>
      </c>
      <c r="J5366" s="0" t="s">
        <v>17980</v>
      </c>
      <c r="K5366" s="0" t="s">
        <v>17981</v>
      </c>
      <c r="L5366" s="0" t="str">
        <f aca="false">HYPERLINK("https://www.ncbi.nlm.nih.gov/nuccore/CP000304.1?report=graph&amp;tracks=[key:gene_model_track,Options:GeneOnly]&amp;mk=1484881:1484900|offset_16|444444,1484917:1484936|offset_52|00cc00,1485006:1485025|offset_141|444444,1485049:1485068|offset_184|444444&amp;v=1484680:1485268&amp;c=444444", "offset 52")</f>
        <v>offset 52</v>
      </c>
    </row>
    <row r="5367" customFormat="false" ht="12.8" hidden="false" customHeight="false" outlineLevel="0" collapsed="false">
      <c r="A5367" s="0" t="s">
        <v>12</v>
      </c>
      <c r="B5367" s="0" t="n">
        <v>1485005</v>
      </c>
      <c r="C5367" s="0" t="n">
        <v>1485025</v>
      </c>
      <c r="D5367" s="0" t="s">
        <v>17974</v>
      </c>
      <c r="E5367" s="0" t="s">
        <v>17975</v>
      </c>
      <c r="F5367" s="0" t="s">
        <v>15</v>
      </c>
      <c r="G5367" s="0" t="s">
        <v>26</v>
      </c>
      <c r="H5367" s="0" t="n">
        <v>141</v>
      </c>
      <c r="I5367" s="0" t="s">
        <v>17982</v>
      </c>
      <c r="J5367" s="0" t="s">
        <v>17983</v>
      </c>
      <c r="K5367" s="0" t="s">
        <v>17984</v>
      </c>
      <c r="L5367" s="0" t="str">
        <f aca="false">HYPERLINK("https://www.ncbi.nlm.nih.gov/nuccore/CP000304.1?report=graph&amp;tracks=[key:gene_model_track,Options:GeneOnly]&amp;mk=1484881:1484900|offset_16|444444,1484917:1484936|offset_52|444444,1485006:1485025|offset_141|00cc00,1485049:1485068|offset_184|444444&amp;v=1484680:1485268&amp;c=444444", "offset 141")</f>
        <v>offset 141</v>
      </c>
    </row>
    <row r="5368" customFormat="false" ht="12.8" hidden="false" customHeight="false" outlineLevel="0" collapsed="false">
      <c r="A5368" s="0" t="s">
        <v>12</v>
      </c>
      <c r="B5368" s="0" t="n">
        <v>1485048</v>
      </c>
      <c r="C5368" s="0" t="n">
        <v>1485068</v>
      </c>
      <c r="D5368" s="0" t="s">
        <v>17974</v>
      </c>
      <c r="E5368" s="0" t="s">
        <v>17975</v>
      </c>
      <c r="F5368" s="0" t="s">
        <v>15</v>
      </c>
      <c r="G5368" s="0" t="s">
        <v>36</v>
      </c>
      <c r="H5368" s="0" t="n">
        <v>184</v>
      </c>
      <c r="I5368" s="0" t="s">
        <v>17985</v>
      </c>
      <c r="J5368" s="0" t="s">
        <v>17986</v>
      </c>
      <c r="K5368" s="0" t="s">
        <v>17987</v>
      </c>
      <c r="L5368" s="0" t="str">
        <f aca="false">HYPERLINK("https://www.ncbi.nlm.nih.gov/nuccore/CP000304.1?report=graph&amp;tracks=[key:gene_model_track,Options:GeneOnly]&amp;mk=1484881:1484900|offset_16|444444,1484917:1484936|offset_52|444444,1485006:1485025|offset_141|444444,1485049:1485068|offset_184|00cc00&amp;v=1484680:1485268&amp;c=444444", "offset 184")</f>
        <v>offset 184</v>
      </c>
    </row>
    <row r="5369" customFormat="false" ht="12.8" hidden="false" customHeight="false" outlineLevel="0" collapsed="false">
      <c r="A5369" s="0" t="s">
        <v>12</v>
      </c>
      <c r="B5369" s="0" t="n">
        <v>1485596</v>
      </c>
      <c r="C5369" s="0" t="n">
        <v>1485616</v>
      </c>
      <c r="D5369" s="0" t="s">
        <v>17988</v>
      </c>
      <c r="E5369" s="0" t="s">
        <v>17989</v>
      </c>
      <c r="F5369" s="0" t="s">
        <v>15</v>
      </c>
      <c r="G5369" s="0" t="s">
        <v>26</v>
      </c>
      <c r="H5369" s="0" t="n">
        <v>29</v>
      </c>
      <c r="I5369" s="0" t="s">
        <v>17990</v>
      </c>
      <c r="J5369" s="0" t="s">
        <v>17991</v>
      </c>
      <c r="K5369" s="0" t="s">
        <v>17992</v>
      </c>
      <c r="L5369" s="0" t="str">
        <f aca="false">HYPERLINK("https://www.ncbi.nlm.nih.gov/nuccore/CP000304.1?report=graph&amp;tracks=[key:gene_model_track,Options:GeneOnly]&amp;mk=1485597:1485616|offset_29|00cc00,1485659:1485678|offset_91|444444,1485701:1485720|offset_133|444444,1485764:1485783|offset_196|444444&amp;v=1485396:1485983&amp;c=444444", "offset 29")</f>
        <v>offset 29</v>
      </c>
    </row>
    <row r="5370" customFormat="false" ht="12.8" hidden="false" customHeight="false" outlineLevel="0" collapsed="false">
      <c r="A5370" s="0" t="s">
        <v>12</v>
      </c>
      <c r="B5370" s="0" t="n">
        <v>1485658</v>
      </c>
      <c r="C5370" s="0" t="n">
        <v>1485678</v>
      </c>
      <c r="D5370" s="0" t="s">
        <v>17988</v>
      </c>
      <c r="E5370" s="0" t="s">
        <v>17989</v>
      </c>
      <c r="F5370" s="0" t="s">
        <v>15</v>
      </c>
      <c r="G5370" s="0" t="s">
        <v>16</v>
      </c>
      <c r="H5370" s="0" t="n">
        <v>91</v>
      </c>
      <c r="I5370" s="0" t="s">
        <v>17993</v>
      </c>
      <c r="J5370" s="0" t="s">
        <v>17994</v>
      </c>
      <c r="K5370" s="0" t="s">
        <v>17995</v>
      </c>
      <c r="L5370" s="0" t="str">
        <f aca="false">HYPERLINK("https://www.ncbi.nlm.nih.gov/nuccore/CP000304.1?report=graph&amp;tracks=[key:gene_model_track,Options:GeneOnly]&amp;mk=1485597:1485616|offset_29|444444,1485659:1485678|offset_91|00cc00,1485701:1485720|offset_133|444444,1485764:1485783|offset_196|444444&amp;v=1485396:1485983&amp;c=444444", "offset 91")</f>
        <v>offset 91</v>
      </c>
    </row>
    <row r="5371" customFormat="false" ht="12.8" hidden="false" customHeight="false" outlineLevel="0" collapsed="false">
      <c r="A5371" s="0" t="s">
        <v>12</v>
      </c>
      <c r="B5371" s="0" t="n">
        <v>1485700</v>
      </c>
      <c r="C5371" s="0" t="n">
        <v>1485720</v>
      </c>
      <c r="D5371" s="0" t="s">
        <v>17988</v>
      </c>
      <c r="E5371" s="0" t="s">
        <v>17989</v>
      </c>
      <c r="F5371" s="0" t="s">
        <v>15</v>
      </c>
      <c r="G5371" s="0" t="s">
        <v>32</v>
      </c>
      <c r="H5371" s="0" t="n">
        <v>133</v>
      </c>
      <c r="I5371" s="0" t="s">
        <v>17996</v>
      </c>
      <c r="J5371" s="0" t="s">
        <v>17997</v>
      </c>
      <c r="K5371" s="0" t="s">
        <v>17998</v>
      </c>
      <c r="L5371" s="0" t="str">
        <f aca="false">HYPERLINK("https://www.ncbi.nlm.nih.gov/nuccore/CP000304.1?report=graph&amp;tracks=[key:gene_model_track,Options:GeneOnly]&amp;mk=1485597:1485616|offset_29|444444,1485659:1485678|offset_91|444444,1485701:1485720|offset_133|00cc00,1485764:1485783|offset_196|444444&amp;v=1485396:1485983&amp;c=444444", "offset 133")</f>
        <v>offset 133</v>
      </c>
    </row>
    <row r="5372" customFormat="false" ht="12.8" hidden="false" customHeight="false" outlineLevel="0" collapsed="false">
      <c r="A5372" s="0" t="s">
        <v>12</v>
      </c>
      <c r="B5372" s="0" t="n">
        <v>1485763</v>
      </c>
      <c r="C5372" s="0" t="n">
        <v>1485783</v>
      </c>
      <c r="D5372" s="0" t="s">
        <v>17988</v>
      </c>
      <c r="E5372" s="0" t="s">
        <v>17989</v>
      </c>
      <c r="F5372" s="0" t="s">
        <v>15</v>
      </c>
      <c r="G5372" s="0" t="s">
        <v>36</v>
      </c>
      <c r="H5372" s="0" t="n">
        <v>196</v>
      </c>
      <c r="I5372" s="0" t="s">
        <v>17999</v>
      </c>
      <c r="J5372" s="0" t="s">
        <v>18000</v>
      </c>
      <c r="K5372" s="0" t="s">
        <v>18001</v>
      </c>
      <c r="L5372" s="0" t="str">
        <f aca="false">HYPERLINK("https://www.ncbi.nlm.nih.gov/nuccore/CP000304.1?report=graph&amp;tracks=[key:gene_model_track,Options:GeneOnly]&amp;mk=1485597:1485616|offset_29|444444,1485659:1485678|offset_91|444444,1485701:1485720|offset_133|444444,1485764:1485783|offset_196|00cc00&amp;v=1485396:1485983&amp;c=444444", "offset 196")</f>
        <v>offset 196</v>
      </c>
    </row>
    <row r="5373" customFormat="false" ht="12.8" hidden="false" customHeight="false" outlineLevel="0" collapsed="false">
      <c r="A5373" s="0" t="s">
        <v>12</v>
      </c>
      <c r="B5373" s="0" t="n">
        <v>1487237</v>
      </c>
      <c r="C5373" s="0" t="n">
        <v>1487257</v>
      </c>
      <c r="D5373" s="0" t="s">
        <v>18002</v>
      </c>
      <c r="E5373" s="0" t="s">
        <v>18003</v>
      </c>
      <c r="F5373" s="0" t="s">
        <v>15</v>
      </c>
      <c r="G5373" s="0" t="s">
        <v>16</v>
      </c>
      <c r="H5373" s="0" t="n">
        <v>27</v>
      </c>
      <c r="I5373" s="0" t="s">
        <v>18004</v>
      </c>
      <c r="J5373" s="0" t="s">
        <v>18005</v>
      </c>
      <c r="K5373" s="0" t="s">
        <v>18006</v>
      </c>
      <c r="L5373" s="0" t="str">
        <f aca="false">HYPERLINK("https://www.ncbi.nlm.nih.gov/nuccore/CP000304.1?report=graph&amp;tracks=[key:gene_model_track,Options:GeneOnly]&amp;mk=1487238:1487257|offset_27|00cc00,1487268:1487287|offset_57|444444,1487305:1487324|offset_94|444444,1487326:1487345|offset_115|444444&amp;v=1487037:1487545&amp;c=444444", "offset 27")</f>
        <v>offset 27</v>
      </c>
    </row>
    <row r="5374" customFormat="false" ht="12.8" hidden="false" customHeight="false" outlineLevel="0" collapsed="false">
      <c r="A5374" s="0" t="s">
        <v>12</v>
      </c>
      <c r="B5374" s="0" t="n">
        <v>1487267</v>
      </c>
      <c r="C5374" s="0" t="n">
        <v>1487287</v>
      </c>
      <c r="D5374" s="0" t="s">
        <v>18002</v>
      </c>
      <c r="E5374" s="0" t="s">
        <v>18003</v>
      </c>
      <c r="F5374" s="0" t="s">
        <v>15</v>
      </c>
      <c r="G5374" s="0" t="s">
        <v>16</v>
      </c>
      <c r="H5374" s="0" t="n">
        <v>57</v>
      </c>
      <c r="I5374" s="0" t="s">
        <v>18007</v>
      </c>
      <c r="J5374" s="0" t="s">
        <v>18008</v>
      </c>
      <c r="K5374" s="0" t="s">
        <v>18009</v>
      </c>
      <c r="L5374" s="0" t="str">
        <f aca="false">HYPERLINK("https://www.ncbi.nlm.nih.gov/nuccore/CP000304.1?report=graph&amp;tracks=[key:gene_model_track,Options:GeneOnly]&amp;mk=1487238:1487257|offset_27|444444,1487268:1487287|offset_57|00cc00,1487305:1487324|offset_94|444444,1487326:1487345|offset_115|444444&amp;v=1487037:1487545&amp;c=444444", "offset 57")</f>
        <v>offset 57</v>
      </c>
    </row>
    <row r="5375" customFormat="false" ht="12.8" hidden="false" customHeight="false" outlineLevel="0" collapsed="false">
      <c r="A5375" s="0" t="s">
        <v>12</v>
      </c>
      <c r="B5375" s="0" t="n">
        <v>1487304</v>
      </c>
      <c r="C5375" s="0" t="n">
        <v>1487324</v>
      </c>
      <c r="D5375" s="0" t="s">
        <v>18002</v>
      </c>
      <c r="E5375" s="0" t="s">
        <v>18003</v>
      </c>
      <c r="F5375" s="0" t="s">
        <v>15</v>
      </c>
      <c r="G5375" s="0" t="s">
        <v>16</v>
      </c>
      <c r="H5375" s="0" t="n">
        <v>94</v>
      </c>
      <c r="I5375" s="0" t="s">
        <v>18010</v>
      </c>
      <c r="J5375" s="0" t="s">
        <v>18011</v>
      </c>
      <c r="K5375" s="0" t="s">
        <v>18012</v>
      </c>
      <c r="L5375" s="0" t="str">
        <f aca="false">HYPERLINK("https://www.ncbi.nlm.nih.gov/nuccore/CP000304.1?report=graph&amp;tracks=[key:gene_model_track,Options:GeneOnly]&amp;mk=1487238:1487257|offset_27|444444,1487268:1487287|offset_57|444444,1487305:1487324|offset_94|00cc00,1487326:1487345|offset_115|444444&amp;v=1487037:1487545&amp;c=444444", "offset 94")</f>
        <v>offset 94</v>
      </c>
    </row>
    <row r="5376" customFormat="false" ht="12.8" hidden="false" customHeight="false" outlineLevel="0" collapsed="false">
      <c r="A5376" s="0" t="s">
        <v>12</v>
      </c>
      <c r="B5376" s="0" t="n">
        <v>1487325</v>
      </c>
      <c r="C5376" s="0" t="n">
        <v>1487345</v>
      </c>
      <c r="D5376" s="0" t="s">
        <v>18002</v>
      </c>
      <c r="E5376" s="0" t="s">
        <v>18003</v>
      </c>
      <c r="F5376" s="0" t="s">
        <v>15</v>
      </c>
      <c r="G5376" s="0" t="s">
        <v>32</v>
      </c>
      <c r="H5376" s="0" t="n">
        <v>115</v>
      </c>
      <c r="I5376" s="0" t="s">
        <v>18013</v>
      </c>
      <c r="J5376" s="0" t="s">
        <v>18014</v>
      </c>
      <c r="K5376" s="0" t="s">
        <v>18015</v>
      </c>
      <c r="L5376" s="0" t="str">
        <f aca="false">HYPERLINK("https://www.ncbi.nlm.nih.gov/nuccore/CP000304.1?report=graph&amp;tracks=[key:gene_model_track,Options:GeneOnly]&amp;mk=1487238:1487257|offset_27|444444,1487268:1487287|offset_57|444444,1487305:1487324|offset_94|444444,1487326:1487345|offset_115|00cc00&amp;v=1487037:1487545&amp;c=444444", "offset 115")</f>
        <v>offset 115</v>
      </c>
    </row>
    <row r="5377" customFormat="false" ht="12.8" hidden="false" customHeight="false" outlineLevel="0" collapsed="false">
      <c r="A5377" s="0" t="s">
        <v>12</v>
      </c>
      <c r="B5377" s="0" t="n">
        <v>1487873</v>
      </c>
      <c r="C5377" s="0" t="n">
        <v>1487893</v>
      </c>
      <c r="D5377" s="0" t="s">
        <v>18016</v>
      </c>
      <c r="E5377" s="0" t="s">
        <v>18017</v>
      </c>
      <c r="F5377" s="0" t="s">
        <v>15</v>
      </c>
      <c r="G5377" s="0" t="s">
        <v>32</v>
      </c>
      <c r="H5377" s="0" t="n">
        <v>9</v>
      </c>
      <c r="I5377" s="0" t="s">
        <v>18018</v>
      </c>
      <c r="J5377" s="0" t="s">
        <v>18019</v>
      </c>
      <c r="K5377" s="0" t="s">
        <v>18020</v>
      </c>
      <c r="L5377" s="0" t="str">
        <f aca="false">HYPERLINK("https://www.ncbi.nlm.nih.gov/nuccore/CP000304.1?report=graph&amp;tracks=[key:gene_model_track,Options:GeneOnly]&amp;mk=1487874:1487893|offset_9|00cc00,1487896:1487915|offset_31|444444,1487921:1487940|offset_56|444444,1487942:1487961|offset_77|444444&amp;v=1487673:1488161&amp;c=444444", "offset 9")</f>
        <v>offset 9</v>
      </c>
    </row>
    <row r="5378" customFormat="false" ht="12.8" hidden="false" customHeight="false" outlineLevel="0" collapsed="false">
      <c r="A5378" s="0" t="s">
        <v>12</v>
      </c>
      <c r="B5378" s="0" t="n">
        <v>1487895</v>
      </c>
      <c r="C5378" s="0" t="n">
        <v>1487915</v>
      </c>
      <c r="D5378" s="0" t="s">
        <v>18016</v>
      </c>
      <c r="E5378" s="0" t="s">
        <v>18017</v>
      </c>
      <c r="F5378" s="0" t="s">
        <v>15</v>
      </c>
      <c r="G5378" s="0" t="s">
        <v>16</v>
      </c>
      <c r="H5378" s="0" t="n">
        <v>31</v>
      </c>
      <c r="I5378" s="0" t="s">
        <v>18021</v>
      </c>
      <c r="J5378" s="0" t="s">
        <v>18022</v>
      </c>
      <c r="K5378" s="0" t="s">
        <v>18023</v>
      </c>
      <c r="L5378" s="0" t="str">
        <f aca="false">HYPERLINK("https://www.ncbi.nlm.nih.gov/nuccore/CP000304.1?report=graph&amp;tracks=[key:gene_model_track,Options:GeneOnly]&amp;mk=1487874:1487893|offset_9|444444,1487896:1487915|offset_31|00cc00,1487921:1487940|offset_56|444444,1487942:1487961|offset_77|444444&amp;v=1487673:1488161&amp;c=444444", "offset 31")</f>
        <v>offset 31</v>
      </c>
    </row>
    <row r="5379" customFormat="false" ht="12.8" hidden="false" customHeight="false" outlineLevel="0" collapsed="false">
      <c r="A5379" s="0" t="s">
        <v>12</v>
      </c>
      <c r="B5379" s="0" t="n">
        <v>1487920</v>
      </c>
      <c r="C5379" s="0" t="n">
        <v>1487940</v>
      </c>
      <c r="D5379" s="0" t="s">
        <v>18016</v>
      </c>
      <c r="E5379" s="0" t="s">
        <v>18017</v>
      </c>
      <c r="F5379" s="0" t="s">
        <v>15</v>
      </c>
      <c r="G5379" s="0" t="s">
        <v>26</v>
      </c>
      <c r="H5379" s="0" t="n">
        <v>56</v>
      </c>
      <c r="I5379" s="0" t="s">
        <v>18024</v>
      </c>
      <c r="J5379" s="0" t="s">
        <v>18025</v>
      </c>
      <c r="K5379" s="0" t="s">
        <v>18026</v>
      </c>
      <c r="L5379" s="0" t="str">
        <f aca="false">HYPERLINK("https://www.ncbi.nlm.nih.gov/nuccore/CP000304.1?report=graph&amp;tracks=[key:gene_model_track,Options:GeneOnly]&amp;mk=1487874:1487893|offset_9|444444,1487896:1487915|offset_31|444444,1487921:1487940|offset_56|00cc00,1487942:1487961|offset_77|444444&amp;v=1487673:1488161&amp;c=444444", "offset 56")</f>
        <v>offset 56</v>
      </c>
    </row>
    <row r="5380" customFormat="false" ht="12.8" hidden="false" customHeight="false" outlineLevel="0" collapsed="false">
      <c r="A5380" s="0" t="s">
        <v>12</v>
      </c>
      <c r="B5380" s="0" t="n">
        <v>1487941</v>
      </c>
      <c r="C5380" s="0" t="n">
        <v>1487961</v>
      </c>
      <c r="D5380" s="0" t="s">
        <v>18016</v>
      </c>
      <c r="E5380" s="0" t="s">
        <v>18017</v>
      </c>
      <c r="F5380" s="0" t="s">
        <v>15</v>
      </c>
      <c r="G5380" s="0" t="s">
        <v>26</v>
      </c>
      <c r="H5380" s="0" t="n">
        <v>77</v>
      </c>
      <c r="I5380" s="0" t="s">
        <v>18027</v>
      </c>
      <c r="J5380" s="0" t="s">
        <v>18028</v>
      </c>
      <c r="K5380" s="0" t="s">
        <v>18029</v>
      </c>
      <c r="L5380" s="0" t="str">
        <f aca="false">HYPERLINK("https://www.ncbi.nlm.nih.gov/nuccore/CP000304.1?report=graph&amp;tracks=[key:gene_model_track,Options:GeneOnly]&amp;mk=1487874:1487893|offset_9|444444,1487896:1487915|offset_31|444444,1487921:1487940|offset_56|444444,1487942:1487961|offset_77|00cc00&amp;v=1487673:1488161&amp;c=444444", "offset 77")</f>
        <v>offset 77</v>
      </c>
    </row>
    <row r="5381" customFormat="false" ht="12.8" hidden="false" customHeight="false" outlineLevel="0" collapsed="false">
      <c r="A5381" s="0" t="s">
        <v>12</v>
      </c>
      <c r="B5381" s="0" t="n">
        <v>1488729</v>
      </c>
      <c r="C5381" s="0" t="n">
        <v>1488749</v>
      </c>
      <c r="D5381" s="0" t="s">
        <v>18030</v>
      </c>
      <c r="E5381" s="0" t="s">
        <v>18031</v>
      </c>
      <c r="F5381" s="0" t="s">
        <v>15</v>
      </c>
      <c r="G5381" s="0" t="s">
        <v>16</v>
      </c>
      <c r="H5381" s="0" t="n">
        <v>8</v>
      </c>
      <c r="I5381" s="0" t="s">
        <v>18032</v>
      </c>
      <c r="J5381" s="0" t="s">
        <v>18033</v>
      </c>
      <c r="K5381" s="0" t="s">
        <v>18034</v>
      </c>
      <c r="L5381" s="0" t="str">
        <f aca="false">HYPERLINK("https://www.ncbi.nlm.nih.gov/nuccore/CP000304.1?report=graph&amp;tracks=[key:gene_model_track,Options:GeneOnly]&amp;mk=1488730:1488749|offset_8|00cc00,1488759:1488778|offset_37|444444,1488786:1488805|offset_64|444444,1488809:1488828|offset_87|444444&amp;v=1488529:1489028&amp;c=444444", "offset 8")</f>
        <v>offset 8</v>
      </c>
    </row>
    <row r="5382" customFormat="false" ht="12.8" hidden="false" customHeight="false" outlineLevel="0" collapsed="false">
      <c r="A5382" s="0" t="s">
        <v>12</v>
      </c>
      <c r="B5382" s="0" t="n">
        <v>1488758</v>
      </c>
      <c r="C5382" s="0" t="n">
        <v>1488778</v>
      </c>
      <c r="D5382" s="0" t="s">
        <v>18030</v>
      </c>
      <c r="E5382" s="0" t="s">
        <v>18031</v>
      </c>
      <c r="F5382" s="0" t="s">
        <v>15</v>
      </c>
      <c r="G5382" s="0" t="s">
        <v>16</v>
      </c>
      <c r="H5382" s="0" t="n">
        <v>37</v>
      </c>
      <c r="I5382" s="0" t="s">
        <v>18035</v>
      </c>
      <c r="J5382" s="0" t="s">
        <v>18036</v>
      </c>
      <c r="K5382" s="0" t="s">
        <v>18037</v>
      </c>
      <c r="L5382" s="0" t="str">
        <f aca="false">HYPERLINK("https://www.ncbi.nlm.nih.gov/nuccore/CP000304.1?report=graph&amp;tracks=[key:gene_model_track,Options:GeneOnly]&amp;mk=1488730:1488749|offset_8|444444,1488759:1488778|offset_37|00cc00,1488786:1488805|offset_64|444444,1488809:1488828|offset_87|444444&amp;v=1488529:1489028&amp;c=444444", "offset 37")</f>
        <v>offset 37</v>
      </c>
    </row>
    <row r="5383" customFormat="false" ht="12.8" hidden="false" customHeight="false" outlineLevel="0" collapsed="false">
      <c r="A5383" s="0" t="s">
        <v>12</v>
      </c>
      <c r="B5383" s="0" t="n">
        <v>1488785</v>
      </c>
      <c r="C5383" s="0" t="n">
        <v>1488805</v>
      </c>
      <c r="D5383" s="0" t="s">
        <v>18030</v>
      </c>
      <c r="E5383" s="0" t="s">
        <v>18031</v>
      </c>
      <c r="F5383" s="0" t="s">
        <v>15</v>
      </c>
      <c r="G5383" s="0" t="s">
        <v>36</v>
      </c>
      <c r="H5383" s="0" t="n">
        <v>64</v>
      </c>
      <c r="I5383" s="0" t="s">
        <v>18038</v>
      </c>
      <c r="J5383" s="0" t="s">
        <v>18039</v>
      </c>
      <c r="K5383" s="0" t="s">
        <v>18040</v>
      </c>
      <c r="L5383" s="0" t="str">
        <f aca="false">HYPERLINK("https://www.ncbi.nlm.nih.gov/nuccore/CP000304.1?report=graph&amp;tracks=[key:gene_model_track,Options:GeneOnly]&amp;mk=1488730:1488749|offset_8|444444,1488759:1488778|offset_37|444444,1488786:1488805|offset_64|00cc00,1488809:1488828|offset_87|444444&amp;v=1488529:1489028&amp;c=444444", "offset 64")</f>
        <v>offset 64</v>
      </c>
    </row>
    <row r="5384" customFormat="false" ht="12.8" hidden="false" customHeight="false" outlineLevel="0" collapsed="false">
      <c r="A5384" s="0" t="s">
        <v>12</v>
      </c>
      <c r="B5384" s="0" t="n">
        <v>1488808</v>
      </c>
      <c r="C5384" s="0" t="n">
        <v>1488828</v>
      </c>
      <c r="D5384" s="0" t="s">
        <v>18030</v>
      </c>
      <c r="E5384" s="0" t="s">
        <v>18031</v>
      </c>
      <c r="F5384" s="0" t="s">
        <v>15</v>
      </c>
      <c r="G5384" s="0" t="s">
        <v>36</v>
      </c>
      <c r="H5384" s="0" t="n">
        <v>87</v>
      </c>
      <c r="I5384" s="0" t="s">
        <v>18041</v>
      </c>
      <c r="J5384" s="0" t="s">
        <v>18042</v>
      </c>
      <c r="K5384" s="0" t="s">
        <v>18043</v>
      </c>
      <c r="L5384" s="0" t="str">
        <f aca="false">HYPERLINK("https://www.ncbi.nlm.nih.gov/nuccore/CP000304.1?report=graph&amp;tracks=[key:gene_model_track,Options:GeneOnly]&amp;mk=1488730:1488749|offset_8|444444,1488759:1488778|offset_37|444444,1488786:1488805|offset_64|444444,1488809:1488828|offset_87|00cc00&amp;v=1488529:1489028&amp;c=444444", "offset 87")</f>
        <v>offset 87</v>
      </c>
    </row>
    <row r="5385" customFormat="false" ht="12.8" hidden="false" customHeight="false" outlineLevel="0" collapsed="false">
      <c r="A5385" s="0" t="s">
        <v>12</v>
      </c>
      <c r="B5385" s="0" t="n">
        <v>1489451</v>
      </c>
      <c r="C5385" s="0" t="n">
        <v>1489471</v>
      </c>
      <c r="D5385" s="0" t="s">
        <v>18044</v>
      </c>
      <c r="E5385" s="0" t="s">
        <v>18045</v>
      </c>
      <c r="F5385" s="0" t="s">
        <v>15</v>
      </c>
      <c r="G5385" s="0" t="s">
        <v>26</v>
      </c>
      <c r="H5385" s="0" t="n">
        <v>20</v>
      </c>
      <c r="I5385" s="0" t="s">
        <v>18046</v>
      </c>
      <c r="J5385" s="0" t="s">
        <v>18047</v>
      </c>
      <c r="K5385" s="0" t="s">
        <v>18048</v>
      </c>
      <c r="L5385" s="0" t="str">
        <f aca="false">HYPERLINK("https://www.ncbi.nlm.nih.gov/nuccore/CP000304.1?report=graph&amp;tracks=[key:gene_model_track,Options:GeneOnly]&amp;mk=1489452:1489471|offset_20|00cc00,1489484:1489503|offset_52|444444,1489517:1489536|offset_85|444444,1489539:1489558|offset_107|444444&amp;v=1489251:1489758&amp;c=444444", "offset 20")</f>
        <v>offset 20</v>
      </c>
    </row>
    <row r="5386" customFormat="false" ht="12.8" hidden="false" customHeight="false" outlineLevel="0" collapsed="false">
      <c r="A5386" s="0" t="s">
        <v>12</v>
      </c>
      <c r="B5386" s="0" t="n">
        <v>1489483</v>
      </c>
      <c r="C5386" s="0" t="n">
        <v>1489503</v>
      </c>
      <c r="D5386" s="0" t="s">
        <v>18044</v>
      </c>
      <c r="E5386" s="0" t="s">
        <v>18045</v>
      </c>
      <c r="F5386" s="0" t="s">
        <v>15</v>
      </c>
      <c r="G5386" s="0" t="s">
        <v>16</v>
      </c>
      <c r="H5386" s="0" t="n">
        <v>52</v>
      </c>
      <c r="I5386" s="0" t="s">
        <v>18049</v>
      </c>
      <c r="J5386" s="0" t="s">
        <v>18050</v>
      </c>
      <c r="K5386" s="0" t="s">
        <v>18051</v>
      </c>
      <c r="L5386" s="0" t="str">
        <f aca="false">HYPERLINK("https://www.ncbi.nlm.nih.gov/nuccore/CP000304.1?report=graph&amp;tracks=[key:gene_model_track,Options:GeneOnly]&amp;mk=1489452:1489471|offset_20|444444,1489484:1489503|offset_52|00cc00,1489517:1489536|offset_85|444444,1489539:1489558|offset_107|444444&amp;v=1489251:1489758&amp;c=444444", "offset 52")</f>
        <v>offset 52</v>
      </c>
    </row>
    <row r="5387" customFormat="false" ht="12.8" hidden="false" customHeight="false" outlineLevel="0" collapsed="false">
      <c r="A5387" s="0" t="s">
        <v>12</v>
      </c>
      <c r="B5387" s="0" t="n">
        <v>1489516</v>
      </c>
      <c r="C5387" s="0" t="n">
        <v>1489536</v>
      </c>
      <c r="D5387" s="0" t="s">
        <v>18044</v>
      </c>
      <c r="E5387" s="0" t="s">
        <v>18045</v>
      </c>
      <c r="F5387" s="0" t="s">
        <v>15</v>
      </c>
      <c r="G5387" s="0" t="s">
        <v>32</v>
      </c>
      <c r="H5387" s="0" t="n">
        <v>85</v>
      </c>
      <c r="I5387" s="0" t="s">
        <v>18052</v>
      </c>
      <c r="J5387" s="0" t="s">
        <v>18053</v>
      </c>
      <c r="K5387" s="0" t="s">
        <v>18054</v>
      </c>
      <c r="L5387" s="0" t="str">
        <f aca="false">HYPERLINK("https://www.ncbi.nlm.nih.gov/nuccore/CP000304.1?report=graph&amp;tracks=[key:gene_model_track,Options:GeneOnly]&amp;mk=1489452:1489471|offset_20|444444,1489484:1489503|offset_52|444444,1489517:1489536|offset_85|00cc00,1489539:1489558|offset_107|444444&amp;v=1489251:1489758&amp;c=444444", "offset 85")</f>
        <v>offset 85</v>
      </c>
    </row>
    <row r="5388" customFormat="false" ht="12.8" hidden="false" customHeight="false" outlineLevel="0" collapsed="false">
      <c r="A5388" s="0" t="s">
        <v>12</v>
      </c>
      <c r="B5388" s="0" t="n">
        <v>1489538</v>
      </c>
      <c r="C5388" s="0" t="n">
        <v>1489558</v>
      </c>
      <c r="D5388" s="0" t="s">
        <v>18044</v>
      </c>
      <c r="E5388" s="0" t="s">
        <v>18045</v>
      </c>
      <c r="F5388" s="0" t="s">
        <v>15</v>
      </c>
      <c r="G5388" s="0" t="s">
        <v>32</v>
      </c>
      <c r="H5388" s="0" t="n">
        <v>107</v>
      </c>
      <c r="I5388" s="0" t="s">
        <v>18055</v>
      </c>
      <c r="J5388" s="0" t="s">
        <v>18056</v>
      </c>
      <c r="K5388" s="0" t="s">
        <v>18057</v>
      </c>
      <c r="L5388" s="0" t="str">
        <f aca="false">HYPERLINK("https://www.ncbi.nlm.nih.gov/nuccore/CP000304.1?report=graph&amp;tracks=[key:gene_model_track,Options:GeneOnly]&amp;mk=1489452:1489471|offset_20|444444,1489484:1489503|offset_52|444444,1489517:1489536|offset_85|444444,1489539:1489558|offset_107|00cc00&amp;v=1489251:1489758&amp;c=444444", "offset 107")</f>
        <v>offset 107</v>
      </c>
    </row>
    <row r="5389" customFormat="false" ht="12.8" hidden="false" customHeight="false" outlineLevel="0" collapsed="false">
      <c r="A5389" s="0" t="s">
        <v>12</v>
      </c>
      <c r="B5389" s="0" t="n">
        <v>1490547</v>
      </c>
      <c r="C5389" s="0" t="n">
        <v>1490567</v>
      </c>
      <c r="D5389" s="0" t="s">
        <v>18058</v>
      </c>
      <c r="E5389" s="0" t="s">
        <v>18059</v>
      </c>
      <c r="F5389" s="0" t="s">
        <v>15</v>
      </c>
      <c r="G5389" s="0" t="s">
        <v>32</v>
      </c>
      <c r="H5389" s="0" t="n">
        <v>1</v>
      </c>
      <c r="I5389" s="0" t="s">
        <v>18060</v>
      </c>
      <c r="J5389" s="0" t="s">
        <v>18061</v>
      </c>
      <c r="K5389" s="0" t="s">
        <v>18062</v>
      </c>
      <c r="L5389" s="0" t="str">
        <f aca="false">HYPERLINK("https://www.ncbi.nlm.nih.gov/nuccore/CP000304.1?report=graph&amp;tracks=[key:gene_model_track,Options:GeneOnly]&amp;mk=1490548:1490567|offset_1|00cc00,1490582:1490601|offset_35|444444,1490602:1490621|offset_55|444444,1490642:1490661|offset_95|444444&amp;v=1490347:1490861&amp;c=444444", "offset 1")</f>
        <v>offset 1</v>
      </c>
    </row>
    <row r="5390" customFormat="false" ht="12.8" hidden="false" customHeight="false" outlineLevel="0" collapsed="false">
      <c r="A5390" s="0" t="s">
        <v>12</v>
      </c>
      <c r="B5390" s="0" t="n">
        <v>1490581</v>
      </c>
      <c r="C5390" s="0" t="n">
        <v>1490601</v>
      </c>
      <c r="D5390" s="0" t="s">
        <v>18058</v>
      </c>
      <c r="E5390" s="0" t="s">
        <v>18059</v>
      </c>
      <c r="F5390" s="0" t="s">
        <v>15</v>
      </c>
      <c r="G5390" s="0" t="s">
        <v>26</v>
      </c>
      <c r="H5390" s="0" t="n">
        <v>35</v>
      </c>
      <c r="I5390" s="0" t="s">
        <v>18063</v>
      </c>
      <c r="J5390" s="0" t="s">
        <v>18064</v>
      </c>
      <c r="K5390" s="0" t="s">
        <v>18065</v>
      </c>
      <c r="L5390" s="0" t="str">
        <f aca="false">HYPERLINK("https://www.ncbi.nlm.nih.gov/nuccore/CP000304.1?report=graph&amp;tracks=[key:gene_model_track,Options:GeneOnly]&amp;mk=1490548:1490567|offset_1|444444,1490582:1490601|offset_35|00cc00,1490602:1490621|offset_55|444444,1490642:1490661|offset_95|444444&amp;v=1490347:1490861&amp;c=444444", "offset 35")</f>
        <v>offset 35</v>
      </c>
    </row>
    <row r="5391" customFormat="false" ht="12.8" hidden="false" customHeight="false" outlineLevel="0" collapsed="false">
      <c r="A5391" s="0" t="s">
        <v>12</v>
      </c>
      <c r="B5391" s="0" t="n">
        <v>1490601</v>
      </c>
      <c r="C5391" s="0" t="n">
        <v>1490621</v>
      </c>
      <c r="D5391" s="0" t="s">
        <v>18058</v>
      </c>
      <c r="E5391" s="0" t="s">
        <v>18059</v>
      </c>
      <c r="F5391" s="0" t="s">
        <v>15</v>
      </c>
      <c r="G5391" s="0" t="s">
        <v>16</v>
      </c>
      <c r="H5391" s="0" t="n">
        <v>55</v>
      </c>
      <c r="I5391" s="0" t="s">
        <v>18066</v>
      </c>
      <c r="J5391" s="0" t="s">
        <v>18067</v>
      </c>
      <c r="K5391" s="0" t="s">
        <v>18068</v>
      </c>
      <c r="L5391" s="0" t="str">
        <f aca="false">HYPERLINK("https://www.ncbi.nlm.nih.gov/nuccore/CP000304.1?report=graph&amp;tracks=[key:gene_model_track,Options:GeneOnly]&amp;mk=1490548:1490567|offset_1|444444,1490582:1490601|offset_35|444444,1490602:1490621|offset_55|00cc00,1490642:1490661|offset_95|444444&amp;v=1490347:1490861&amp;c=444444", "offset 55")</f>
        <v>offset 55</v>
      </c>
    </row>
    <row r="5392" customFormat="false" ht="12.8" hidden="false" customHeight="false" outlineLevel="0" collapsed="false">
      <c r="A5392" s="0" t="s">
        <v>12</v>
      </c>
      <c r="B5392" s="0" t="n">
        <v>1490641</v>
      </c>
      <c r="C5392" s="0" t="n">
        <v>1490661</v>
      </c>
      <c r="D5392" s="0" t="s">
        <v>18058</v>
      </c>
      <c r="E5392" s="0" t="s">
        <v>18059</v>
      </c>
      <c r="F5392" s="0" t="s">
        <v>15</v>
      </c>
      <c r="G5392" s="0" t="s">
        <v>16</v>
      </c>
      <c r="H5392" s="0" t="n">
        <v>95</v>
      </c>
      <c r="I5392" s="0" t="s">
        <v>18069</v>
      </c>
      <c r="J5392" s="0" t="s">
        <v>18070</v>
      </c>
      <c r="K5392" s="0" t="s">
        <v>18071</v>
      </c>
      <c r="L5392" s="0" t="str">
        <f aca="false">HYPERLINK("https://www.ncbi.nlm.nih.gov/nuccore/CP000304.1?report=graph&amp;tracks=[key:gene_model_track,Options:GeneOnly]&amp;mk=1490548:1490567|offset_1|444444,1490582:1490601|offset_35|444444,1490602:1490621|offset_55|444444,1490642:1490661|offset_95|00cc00&amp;v=1490347:1490861&amp;c=444444", "offset 95")</f>
        <v>offset 95</v>
      </c>
    </row>
    <row r="5393" customFormat="false" ht="12.8" hidden="false" customHeight="false" outlineLevel="0" collapsed="false">
      <c r="A5393" s="0" t="s">
        <v>12</v>
      </c>
      <c r="B5393" s="0" t="n">
        <v>1491729</v>
      </c>
      <c r="C5393" s="0" t="n">
        <v>1491749</v>
      </c>
      <c r="D5393" s="0" t="s">
        <v>18072</v>
      </c>
      <c r="E5393" s="0" t="s">
        <v>18073</v>
      </c>
      <c r="F5393" s="0" t="s">
        <v>15</v>
      </c>
      <c r="G5393" s="0" t="s">
        <v>32</v>
      </c>
      <c r="H5393" s="0" t="n">
        <v>19</v>
      </c>
      <c r="I5393" s="0" t="s">
        <v>18074</v>
      </c>
      <c r="J5393" s="0" t="s">
        <v>18075</v>
      </c>
      <c r="K5393" s="0" t="s">
        <v>18076</v>
      </c>
      <c r="L5393" s="0" t="str">
        <f aca="false">HYPERLINK("https://www.ncbi.nlm.nih.gov/nuccore/CP000304.1?report=graph&amp;tracks=[key:gene_model_track,Options:GeneOnly]&amp;mk=1491730:1491749|offset_19|00cc00,1491751:1491770|offset_40|444444,1491778:1491797|offset_67|444444,1491805:1491824|offset_94|444444&amp;v=1491529:1492024&amp;c=444444", "offset 19")</f>
        <v>offset 19</v>
      </c>
    </row>
    <row r="5394" customFormat="false" ht="12.8" hidden="false" customHeight="false" outlineLevel="0" collapsed="false">
      <c r="A5394" s="0" t="s">
        <v>12</v>
      </c>
      <c r="B5394" s="0" t="n">
        <v>1491750</v>
      </c>
      <c r="C5394" s="0" t="n">
        <v>1491770</v>
      </c>
      <c r="D5394" s="0" t="s">
        <v>18072</v>
      </c>
      <c r="E5394" s="0" t="s">
        <v>18073</v>
      </c>
      <c r="F5394" s="0" t="s">
        <v>15</v>
      </c>
      <c r="G5394" s="0" t="s">
        <v>16</v>
      </c>
      <c r="H5394" s="0" t="n">
        <v>40</v>
      </c>
      <c r="I5394" s="0" t="s">
        <v>18077</v>
      </c>
      <c r="J5394" s="0" t="s">
        <v>18078</v>
      </c>
      <c r="K5394" s="0" t="s">
        <v>18079</v>
      </c>
      <c r="L5394" s="0" t="str">
        <f aca="false">HYPERLINK("https://www.ncbi.nlm.nih.gov/nuccore/CP000304.1?report=graph&amp;tracks=[key:gene_model_track,Options:GeneOnly]&amp;mk=1491730:1491749|offset_19|444444,1491751:1491770|offset_40|00cc00,1491778:1491797|offset_67|444444,1491805:1491824|offset_94|444444&amp;v=1491529:1492024&amp;c=444444", "offset 40")</f>
        <v>offset 40</v>
      </c>
    </row>
    <row r="5395" customFormat="false" ht="12.8" hidden="false" customHeight="false" outlineLevel="0" collapsed="false">
      <c r="A5395" s="0" t="s">
        <v>12</v>
      </c>
      <c r="B5395" s="0" t="n">
        <v>1491777</v>
      </c>
      <c r="C5395" s="0" t="n">
        <v>1491797</v>
      </c>
      <c r="D5395" s="0" t="s">
        <v>18072</v>
      </c>
      <c r="E5395" s="0" t="s">
        <v>18073</v>
      </c>
      <c r="F5395" s="0" t="s">
        <v>15</v>
      </c>
      <c r="G5395" s="0" t="s">
        <v>16</v>
      </c>
      <c r="H5395" s="0" t="n">
        <v>67</v>
      </c>
      <c r="I5395" s="0" t="s">
        <v>18080</v>
      </c>
      <c r="J5395" s="0" t="s">
        <v>18081</v>
      </c>
      <c r="K5395" s="0" t="s">
        <v>18082</v>
      </c>
      <c r="L5395" s="0" t="str">
        <f aca="false">HYPERLINK("https://www.ncbi.nlm.nih.gov/nuccore/CP000304.1?report=graph&amp;tracks=[key:gene_model_track,Options:GeneOnly]&amp;mk=1491730:1491749|offset_19|444444,1491751:1491770|offset_40|444444,1491778:1491797|offset_67|00cc00,1491805:1491824|offset_94|444444&amp;v=1491529:1492024&amp;c=444444", "offset 67")</f>
        <v>offset 67</v>
      </c>
    </row>
    <row r="5396" customFormat="false" ht="12.8" hidden="false" customHeight="false" outlineLevel="0" collapsed="false">
      <c r="A5396" s="0" t="s">
        <v>12</v>
      </c>
      <c r="B5396" s="0" t="n">
        <v>1491804</v>
      </c>
      <c r="C5396" s="0" t="n">
        <v>1491824</v>
      </c>
      <c r="D5396" s="0" t="s">
        <v>18072</v>
      </c>
      <c r="E5396" s="0" t="s">
        <v>18073</v>
      </c>
      <c r="F5396" s="0" t="s">
        <v>15</v>
      </c>
      <c r="G5396" s="0" t="s">
        <v>16</v>
      </c>
      <c r="H5396" s="0" t="n">
        <v>94</v>
      </c>
      <c r="I5396" s="0" t="s">
        <v>18083</v>
      </c>
      <c r="J5396" s="0" t="s">
        <v>18084</v>
      </c>
      <c r="K5396" s="0" t="s">
        <v>18085</v>
      </c>
      <c r="L5396" s="0" t="str">
        <f aca="false">HYPERLINK("https://www.ncbi.nlm.nih.gov/nuccore/CP000304.1?report=graph&amp;tracks=[key:gene_model_track,Options:GeneOnly]&amp;mk=1491730:1491749|offset_19|444444,1491751:1491770|offset_40|444444,1491778:1491797|offset_67|444444,1491805:1491824|offset_94|00cc00&amp;v=1491529:1492024&amp;c=444444", "offset 94")</f>
        <v>offset 94</v>
      </c>
    </row>
    <row r="5397" customFormat="false" ht="12.8" hidden="false" customHeight="false" outlineLevel="0" collapsed="false">
      <c r="A5397" s="0" t="s">
        <v>12</v>
      </c>
      <c r="B5397" s="0" t="n">
        <v>1493744</v>
      </c>
      <c r="C5397" s="0" t="n">
        <v>1493764</v>
      </c>
      <c r="D5397" s="0" t="s">
        <v>18086</v>
      </c>
      <c r="E5397" s="0" t="s">
        <v>18087</v>
      </c>
      <c r="F5397" s="0" t="s">
        <v>15</v>
      </c>
      <c r="G5397" s="0" t="s">
        <v>32</v>
      </c>
      <c r="H5397" s="0" t="n">
        <v>13</v>
      </c>
      <c r="I5397" s="0" t="s">
        <v>18088</v>
      </c>
      <c r="J5397" s="0" t="s">
        <v>18089</v>
      </c>
      <c r="K5397" s="0" t="s">
        <v>18090</v>
      </c>
      <c r="L5397" s="0" t="str">
        <f aca="false">HYPERLINK("https://www.ncbi.nlm.nih.gov/nuccore/CP000304.1?report=graph&amp;tracks=[key:gene_model_track,Options:GeneOnly]&amp;mk=1493745:1493764|offset_13|00cc00,1493775:1493794|offset_43|444444,1493842:1493861|offset_110|444444,1493920:1493939|offset_188|444444&amp;v=1493544:1494139&amp;c=444444", "offset 13")</f>
        <v>offset 13</v>
      </c>
    </row>
    <row r="5398" customFormat="false" ht="12.8" hidden="false" customHeight="false" outlineLevel="0" collapsed="false">
      <c r="A5398" s="0" t="s">
        <v>12</v>
      </c>
      <c r="B5398" s="0" t="n">
        <v>1493774</v>
      </c>
      <c r="C5398" s="0" t="n">
        <v>1493794</v>
      </c>
      <c r="D5398" s="0" t="s">
        <v>18086</v>
      </c>
      <c r="E5398" s="0" t="s">
        <v>18087</v>
      </c>
      <c r="F5398" s="0" t="s">
        <v>15</v>
      </c>
      <c r="G5398" s="0" t="s">
        <v>32</v>
      </c>
      <c r="H5398" s="0" t="n">
        <v>43</v>
      </c>
      <c r="I5398" s="0" t="s">
        <v>18091</v>
      </c>
      <c r="J5398" s="0" t="s">
        <v>18092</v>
      </c>
      <c r="K5398" s="0" t="s">
        <v>18093</v>
      </c>
      <c r="L5398" s="0" t="str">
        <f aca="false">HYPERLINK("https://www.ncbi.nlm.nih.gov/nuccore/CP000304.1?report=graph&amp;tracks=[key:gene_model_track,Options:GeneOnly]&amp;mk=1493745:1493764|offset_13|444444,1493775:1493794|offset_43|00cc00,1493842:1493861|offset_110|444444,1493920:1493939|offset_188|444444&amp;v=1493544:1494139&amp;c=444444", "offset 43")</f>
        <v>offset 43</v>
      </c>
    </row>
    <row r="5399" customFormat="false" ht="12.8" hidden="false" customHeight="false" outlineLevel="0" collapsed="false">
      <c r="A5399" s="0" t="s">
        <v>12</v>
      </c>
      <c r="B5399" s="0" t="n">
        <v>1493841</v>
      </c>
      <c r="C5399" s="0" t="n">
        <v>1493861</v>
      </c>
      <c r="D5399" s="0" t="s">
        <v>18086</v>
      </c>
      <c r="E5399" s="0" t="s">
        <v>18087</v>
      </c>
      <c r="F5399" s="0" t="s">
        <v>15</v>
      </c>
      <c r="G5399" s="0" t="s">
        <v>32</v>
      </c>
      <c r="H5399" s="0" t="n">
        <v>110</v>
      </c>
      <c r="I5399" s="0" t="s">
        <v>18094</v>
      </c>
      <c r="J5399" s="0" t="s">
        <v>18095</v>
      </c>
      <c r="K5399" s="0" t="s">
        <v>18096</v>
      </c>
      <c r="L5399" s="0" t="str">
        <f aca="false">HYPERLINK("https://www.ncbi.nlm.nih.gov/nuccore/CP000304.1?report=graph&amp;tracks=[key:gene_model_track,Options:GeneOnly]&amp;mk=1493745:1493764|offset_13|444444,1493775:1493794|offset_43|444444,1493842:1493861|offset_110|00cc00,1493920:1493939|offset_188|444444&amp;v=1493544:1494139&amp;c=444444", "offset 110")</f>
        <v>offset 110</v>
      </c>
    </row>
    <row r="5400" customFormat="false" ht="12.8" hidden="false" customHeight="false" outlineLevel="0" collapsed="false">
      <c r="A5400" s="0" t="s">
        <v>12</v>
      </c>
      <c r="B5400" s="0" t="n">
        <v>1493919</v>
      </c>
      <c r="C5400" s="0" t="n">
        <v>1493939</v>
      </c>
      <c r="D5400" s="0" t="s">
        <v>18086</v>
      </c>
      <c r="E5400" s="0" t="s">
        <v>18087</v>
      </c>
      <c r="F5400" s="0" t="s">
        <v>15</v>
      </c>
      <c r="G5400" s="0" t="s">
        <v>32</v>
      </c>
      <c r="H5400" s="0" t="n">
        <v>188</v>
      </c>
      <c r="I5400" s="0" t="s">
        <v>18097</v>
      </c>
      <c r="J5400" s="0" t="s">
        <v>18098</v>
      </c>
      <c r="K5400" s="0" t="s">
        <v>18099</v>
      </c>
      <c r="L5400" s="0" t="str">
        <f aca="false">HYPERLINK("https://www.ncbi.nlm.nih.gov/nuccore/CP000304.1?report=graph&amp;tracks=[key:gene_model_track,Options:GeneOnly]&amp;mk=1493745:1493764|offset_13|444444,1493775:1493794|offset_43|444444,1493842:1493861|offset_110|444444,1493920:1493939|offset_188|00cc00&amp;v=1493544:1494139&amp;c=444444", "offset 188")</f>
        <v>offset 188</v>
      </c>
    </row>
    <row r="5401" customFormat="false" ht="12.8" hidden="false" customHeight="false" outlineLevel="0" collapsed="false">
      <c r="A5401" s="0" t="s">
        <v>12</v>
      </c>
      <c r="B5401" s="0" t="n">
        <v>1495556</v>
      </c>
      <c r="C5401" s="0" t="n">
        <v>1495576</v>
      </c>
      <c r="D5401" s="0" t="s">
        <v>18100</v>
      </c>
      <c r="E5401" s="0" t="s">
        <v>89</v>
      </c>
      <c r="F5401" s="0" t="s">
        <v>15</v>
      </c>
      <c r="G5401" s="0" t="s">
        <v>36</v>
      </c>
      <c r="H5401" s="0" t="n">
        <v>55</v>
      </c>
      <c r="I5401" s="0" t="s">
        <v>18101</v>
      </c>
      <c r="J5401" s="0" t="s">
        <v>18102</v>
      </c>
      <c r="K5401" s="0" t="s">
        <v>18103</v>
      </c>
      <c r="L5401" s="0" t="str">
        <f aca="false">HYPERLINK("https://www.ncbi.nlm.nih.gov/nuccore/CP000304.1?report=graph&amp;tracks=[key:gene_model_track,Options:GeneOnly]&amp;mk=1495557:1495576|offset_55|00cc00,1495595:1495614|offset_93|444444&amp;v=1495356:1495814&amp;c=444444", "offset 55")</f>
        <v>offset 55</v>
      </c>
    </row>
    <row r="5402" customFormat="false" ht="12.8" hidden="false" customHeight="false" outlineLevel="0" collapsed="false">
      <c r="A5402" s="0" t="s">
        <v>12</v>
      </c>
      <c r="B5402" s="0" t="n">
        <v>1495594</v>
      </c>
      <c r="C5402" s="0" t="n">
        <v>1495614</v>
      </c>
      <c r="D5402" s="0" t="s">
        <v>18100</v>
      </c>
      <c r="E5402" s="0" t="s">
        <v>89</v>
      </c>
      <c r="F5402" s="0" t="s">
        <v>15</v>
      </c>
      <c r="G5402" s="0" t="s">
        <v>36</v>
      </c>
      <c r="H5402" s="0" t="n">
        <v>93</v>
      </c>
      <c r="I5402" s="0" t="s">
        <v>18104</v>
      </c>
      <c r="J5402" s="0" t="s">
        <v>18105</v>
      </c>
      <c r="K5402" s="0" t="s">
        <v>18106</v>
      </c>
      <c r="L5402" s="0" t="str">
        <f aca="false">HYPERLINK("https://www.ncbi.nlm.nih.gov/nuccore/CP000304.1?report=graph&amp;tracks=[key:gene_model_track,Options:GeneOnly]&amp;mk=1495557:1495576|offset_55|444444,1495595:1495614|offset_93|00cc00&amp;v=1495356:1495814&amp;c=444444", "offset 93")</f>
        <v>offset 93</v>
      </c>
    </row>
    <row r="5403" customFormat="false" ht="12.8" hidden="false" customHeight="false" outlineLevel="0" collapsed="false">
      <c r="A5403" s="0" t="s">
        <v>12</v>
      </c>
      <c r="B5403" s="0" t="n">
        <v>1496098</v>
      </c>
      <c r="C5403" s="0" t="n">
        <v>1496118</v>
      </c>
      <c r="D5403" s="0" t="s">
        <v>18107</v>
      </c>
      <c r="E5403" s="0" t="s">
        <v>18108</v>
      </c>
      <c r="F5403" s="0" t="s">
        <v>15</v>
      </c>
      <c r="G5403" s="0" t="s">
        <v>32</v>
      </c>
      <c r="H5403" s="0" t="n">
        <v>11</v>
      </c>
      <c r="I5403" s="0" t="s">
        <v>18109</v>
      </c>
      <c r="J5403" s="0" t="s">
        <v>18110</v>
      </c>
      <c r="K5403" s="0" t="s">
        <v>18111</v>
      </c>
      <c r="L5403" s="0" t="str">
        <f aca="false">HYPERLINK("https://www.ncbi.nlm.nih.gov/nuccore/CP000304.1?report=graph&amp;tracks=[key:gene_model_track,Options:GeneOnly]&amp;mk=1496099:1496118|offset_11|00cc00,1496137:1496156|offset_49|444444,1496180:1496199|offset_92|444444,1496206:1496225|offset_118|444444&amp;v=1495898:1496425&amp;c=444444", "offset 11")</f>
        <v>offset 11</v>
      </c>
    </row>
    <row r="5404" customFormat="false" ht="12.8" hidden="false" customHeight="false" outlineLevel="0" collapsed="false">
      <c r="A5404" s="0" t="s">
        <v>12</v>
      </c>
      <c r="B5404" s="0" t="n">
        <v>1496136</v>
      </c>
      <c r="C5404" s="0" t="n">
        <v>1496156</v>
      </c>
      <c r="D5404" s="0" t="s">
        <v>18107</v>
      </c>
      <c r="E5404" s="0" t="s">
        <v>18108</v>
      </c>
      <c r="F5404" s="0" t="s">
        <v>15</v>
      </c>
      <c r="G5404" s="0" t="s">
        <v>32</v>
      </c>
      <c r="H5404" s="0" t="n">
        <v>49</v>
      </c>
      <c r="I5404" s="0" t="s">
        <v>18112</v>
      </c>
      <c r="J5404" s="0" t="s">
        <v>18113</v>
      </c>
      <c r="K5404" s="0" t="s">
        <v>18114</v>
      </c>
      <c r="L5404" s="0" t="str">
        <f aca="false">HYPERLINK("https://www.ncbi.nlm.nih.gov/nuccore/CP000304.1?report=graph&amp;tracks=[key:gene_model_track,Options:GeneOnly]&amp;mk=1496099:1496118|offset_11|444444,1496137:1496156|offset_49|00cc00,1496180:1496199|offset_92|444444,1496206:1496225|offset_118|444444&amp;v=1495898:1496425&amp;c=444444", "offset 49")</f>
        <v>offset 49</v>
      </c>
    </row>
    <row r="5405" customFormat="false" ht="12.8" hidden="false" customHeight="false" outlineLevel="0" collapsed="false">
      <c r="A5405" s="0" t="s">
        <v>12</v>
      </c>
      <c r="B5405" s="0" t="n">
        <v>1496179</v>
      </c>
      <c r="C5405" s="0" t="n">
        <v>1496199</v>
      </c>
      <c r="D5405" s="0" t="s">
        <v>18107</v>
      </c>
      <c r="E5405" s="0" t="s">
        <v>18108</v>
      </c>
      <c r="F5405" s="0" t="s">
        <v>15</v>
      </c>
      <c r="G5405" s="0" t="s">
        <v>32</v>
      </c>
      <c r="H5405" s="0" t="n">
        <v>92</v>
      </c>
      <c r="I5405" s="0" t="s">
        <v>18115</v>
      </c>
      <c r="J5405" s="0" t="s">
        <v>18116</v>
      </c>
      <c r="K5405" s="0" t="s">
        <v>18117</v>
      </c>
      <c r="L5405" s="0" t="str">
        <f aca="false">HYPERLINK("https://www.ncbi.nlm.nih.gov/nuccore/CP000304.1?report=graph&amp;tracks=[key:gene_model_track,Options:GeneOnly]&amp;mk=1496099:1496118|offset_11|444444,1496137:1496156|offset_49|444444,1496180:1496199|offset_92|00cc00,1496206:1496225|offset_118|444444&amp;v=1495898:1496425&amp;c=444444", "offset 92")</f>
        <v>offset 92</v>
      </c>
    </row>
    <row r="5406" customFormat="false" ht="12.8" hidden="false" customHeight="false" outlineLevel="0" collapsed="false">
      <c r="A5406" s="0" t="s">
        <v>12</v>
      </c>
      <c r="B5406" s="0" t="n">
        <v>1496205</v>
      </c>
      <c r="C5406" s="0" t="n">
        <v>1496225</v>
      </c>
      <c r="D5406" s="0" t="s">
        <v>18107</v>
      </c>
      <c r="E5406" s="0" t="s">
        <v>18108</v>
      </c>
      <c r="F5406" s="0" t="s">
        <v>15</v>
      </c>
      <c r="G5406" s="0" t="s">
        <v>16</v>
      </c>
      <c r="H5406" s="0" t="n">
        <v>118</v>
      </c>
      <c r="I5406" s="0" t="s">
        <v>18118</v>
      </c>
      <c r="J5406" s="0" t="s">
        <v>18119</v>
      </c>
      <c r="K5406" s="0" t="s">
        <v>18120</v>
      </c>
      <c r="L5406" s="0" t="str">
        <f aca="false">HYPERLINK("https://www.ncbi.nlm.nih.gov/nuccore/CP000304.1?report=graph&amp;tracks=[key:gene_model_track,Options:GeneOnly]&amp;mk=1496099:1496118|offset_11|444444,1496137:1496156|offset_49|444444,1496180:1496199|offset_92|444444,1496206:1496225|offset_118|00cc00&amp;v=1495898:1496425&amp;c=444444", "offset 118")</f>
        <v>offset 118</v>
      </c>
    </row>
    <row r="5407" customFormat="false" ht="12.8" hidden="false" customHeight="false" outlineLevel="0" collapsed="false">
      <c r="A5407" s="0" t="s">
        <v>12</v>
      </c>
      <c r="B5407" s="0" t="n">
        <v>1496828</v>
      </c>
      <c r="C5407" s="0" t="n">
        <v>1496848</v>
      </c>
      <c r="D5407" s="0" t="s">
        <v>18121</v>
      </c>
      <c r="E5407" s="0" t="s">
        <v>89</v>
      </c>
      <c r="F5407" s="0" t="s">
        <v>15</v>
      </c>
      <c r="G5407" s="0" t="s">
        <v>16</v>
      </c>
      <c r="H5407" s="0" t="n">
        <v>55</v>
      </c>
      <c r="I5407" s="0" t="s">
        <v>18122</v>
      </c>
      <c r="J5407" s="0" t="s">
        <v>18123</v>
      </c>
      <c r="K5407" s="0" t="s">
        <v>18124</v>
      </c>
      <c r="L5407" s="0" t="str">
        <f aca="false">HYPERLINK("https://www.ncbi.nlm.nih.gov/nuccore/CP000304.1?report=graph&amp;tracks=[key:gene_model_track,Options:GeneOnly]&amp;mk=1496829:1496848|offset_55|00cc00,1496857:1496876|offset_83|444444,1496880:1496899|offset_106|444444,1496902:1496921|offset_128|444444&amp;v=1496628:1497121&amp;c=444444", "offset 55")</f>
        <v>offset 55</v>
      </c>
    </row>
    <row r="5408" customFormat="false" ht="12.8" hidden="false" customHeight="false" outlineLevel="0" collapsed="false">
      <c r="A5408" s="0" t="s">
        <v>12</v>
      </c>
      <c r="B5408" s="0" t="n">
        <v>1496856</v>
      </c>
      <c r="C5408" s="0" t="n">
        <v>1496876</v>
      </c>
      <c r="D5408" s="0" t="s">
        <v>18121</v>
      </c>
      <c r="E5408" s="0" t="s">
        <v>89</v>
      </c>
      <c r="F5408" s="0" t="s">
        <v>15</v>
      </c>
      <c r="G5408" s="0" t="s">
        <v>32</v>
      </c>
      <c r="H5408" s="0" t="n">
        <v>83</v>
      </c>
      <c r="I5408" s="0" t="s">
        <v>18125</v>
      </c>
      <c r="J5408" s="0" t="s">
        <v>18126</v>
      </c>
      <c r="K5408" s="0" t="s">
        <v>18127</v>
      </c>
      <c r="L5408" s="0" t="str">
        <f aca="false">HYPERLINK("https://www.ncbi.nlm.nih.gov/nuccore/CP000304.1?report=graph&amp;tracks=[key:gene_model_track,Options:GeneOnly]&amp;mk=1496829:1496848|offset_55|444444,1496857:1496876|offset_83|00cc00,1496880:1496899|offset_106|444444,1496902:1496921|offset_128|444444&amp;v=1496628:1497121&amp;c=444444", "offset 83")</f>
        <v>offset 83</v>
      </c>
    </row>
    <row r="5409" customFormat="false" ht="12.8" hidden="false" customHeight="false" outlineLevel="0" collapsed="false">
      <c r="A5409" s="0" t="s">
        <v>12</v>
      </c>
      <c r="B5409" s="0" t="n">
        <v>1496879</v>
      </c>
      <c r="C5409" s="0" t="n">
        <v>1496899</v>
      </c>
      <c r="D5409" s="0" t="s">
        <v>18121</v>
      </c>
      <c r="E5409" s="0" t="s">
        <v>89</v>
      </c>
      <c r="F5409" s="0" t="s">
        <v>15</v>
      </c>
      <c r="G5409" s="0" t="s">
        <v>32</v>
      </c>
      <c r="H5409" s="0" t="n">
        <v>106</v>
      </c>
      <c r="I5409" s="0" t="s">
        <v>18128</v>
      </c>
      <c r="J5409" s="0" t="s">
        <v>18129</v>
      </c>
      <c r="K5409" s="0" t="s">
        <v>18130</v>
      </c>
      <c r="L5409" s="0" t="str">
        <f aca="false">HYPERLINK("https://www.ncbi.nlm.nih.gov/nuccore/CP000304.1?report=graph&amp;tracks=[key:gene_model_track,Options:GeneOnly]&amp;mk=1496829:1496848|offset_55|444444,1496857:1496876|offset_83|444444,1496880:1496899|offset_106|00cc00,1496902:1496921|offset_128|444444&amp;v=1496628:1497121&amp;c=444444", "offset 106")</f>
        <v>offset 106</v>
      </c>
    </row>
    <row r="5410" customFormat="false" ht="12.8" hidden="false" customHeight="false" outlineLevel="0" collapsed="false">
      <c r="A5410" s="0" t="s">
        <v>12</v>
      </c>
      <c r="B5410" s="0" t="n">
        <v>1496901</v>
      </c>
      <c r="C5410" s="0" t="n">
        <v>1496921</v>
      </c>
      <c r="D5410" s="0" t="s">
        <v>18121</v>
      </c>
      <c r="E5410" s="0" t="s">
        <v>89</v>
      </c>
      <c r="F5410" s="0" t="s">
        <v>15</v>
      </c>
      <c r="G5410" s="0" t="s">
        <v>16</v>
      </c>
      <c r="H5410" s="0" t="n">
        <v>128</v>
      </c>
      <c r="I5410" s="0" t="s">
        <v>18131</v>
      </c>
      <c r="J5410" s="0" t="s">
        <v>18132</v>
      </c>
      <c r="K5410" s="0" t="s">
        <v>18133</v>
      </c>
      <c r="L5410" s="0" t="str">
        <f aca="false">HYPERLINK("https://www.ncbi.nlm.nih.gov/nuccore/CP000304.1?report=graph&amp;tracks=[key:gene_model_track,Options:GeneOnly]&amp;mk=1496829:1496848|offset_55|444444,1496857:1496876|offset_83|444444,1496880:1496899|offset_106|444444,1496902:1496921|offset_128|00cc00&amp;v=1496628:1497121&amp;c=444444", "offset 128")</f>
        <v>offset 128</v>
      </c>
    </row>
    <row r="5411" customFormat="false" ht="12.8" hidden="false" customHeight="false" outlineLevel="0" collapsed="false">
      <c r="A5411" s="0" t="s">
        <v>12</v>
      </c>
      <c r="B5411" s="0" t="n">
        <v>1497543</v>
      </c>
      <c r="C5411" s="0" t="n">
        <v>1497563</v>
      </c>
      <c r="D5411" s="0" t="s">
        <v>18134</v>
      </c>
      <c r="E5411" s="0" t="s">
        <v>89</v>
      </c>
      <c r="F5411" s="0" t="s">
        <v>15</v>
      </c>
      <c r="G5411" s="0" t="s">
        <v>32</v>
      </c>
      <c r="H5411" s="0" t="n">
        <v>35</v>
      </c>
      <c r="I5411" s="0" t="s">
        <v>18135</v>
      </c>
      <c r="J5411" s="0" t="s">
        <v>18136</v>
      </c>
      <c r="K5411" s="0" t="s">
        <v>18137</v>
      </c>
      <c r="L5411" s="0" t="str">
        <f aca="false">HYPERLINK("https://www.ncbi.nlm.nih.gov/nuccore/CP000304.1?report=graph&amp;tracks=[key:gene_model_track,Options:GeneOnly]&amp;mk=1497544:1497563|offset_35|00cc00,1497582:1497601|offset_73|444444,1497606:1497625|offset_97|444444,1497675:1497694|offset_166|444444&amp;v=1497343:1497894&amp;c=444444", "offset 35")</f>
        <v>offset 35</v>
      </c>
    </row>
    <row r="5412" customFormat="false" ht="12.8" hidden="false" customHeight="false" outlineLevel="0" collapsed="false">
      <c r="A5412" s="0" t="s">
        <v>12</v>
      </c>
      <c r="B5412" s="0" t="n">
        <v>1497581</v>
      </c>
      <c r="C5412" s="0" t="n">
        <v>1497601</v>
      </c>
      <c r="D5412" s="0" t="s">
        <v>18134</v>
      </c>
      <c r="E5412" s="0" t="s">
        <v>89</v>
      </c>
      <c r="F5412" s="0" t="s">
        <v>15</v>
      </c>
      <c r="G5412" s="0" t="s">
        <v>36</v>
      </c>
      <c r="H5412" s="0" t="n">
        <v>73</v>
      </c>
      <c r="I5412" s="0" t="s">
        <v>18138</v>
      </c>
      <c r="J5412" s="0" t="s">
        <v>18139</v>
      </c>
      <c r="K5412" s="0" t="s">
        <v>18140</v>
      </c>
      <c r="L5412" s="0" t="str">
        <f aca="false">HYPERLINK("https://www.ncbi.nlm.nih.gov/nuccore/CP000304.1?report=graph&amp;tracks=[key:gene_model_track,Options:GeneOnly]&amp;mk=1497544:1497563|offset_35|444444,1497582:1497601|offset_73|00cc00,1497606:1497625|offset_97|444444,1497675:1497694|offset_166|444444&amp;v=1497343:1497894&amp;c=444444", "offset 73")</f>
        <v>offset 73</v>
      </c>
    </row>
    <row r="5413" customFormat="false" ht="12.8" hidden="false" customHeight="false" outlineLevel="0" collapsed="false">
      <c r="A5413" s="0" t="s">
        <v>12</v>
      </c>
      <c r="B5413" s="0" t="n">
        <v>1497605</v>
      </c>
      <c r="C5413" s="0" t="n">
        <v>1497625</v>
      </c>
      <c r="D5413" s="0" t="s">
        <v>18134</v>
      </c>
      <c r="E5413" s="0" t="s">
        <v>89</v>
      </c>
      <c r="F5413" s="0" t="s">
        <v>15</v>
      </c>
      <c r="G5413" s="0" t="s">
        <v>32</v>
      </c>
      <c r="H5413" s="0" t="n">
        <v>97</v>
      </c>
      <c r="I5413" s="0" t="s">
        <v>18141</v>
      </c>
      <c r="J5413" s="0" t="s">
        <v>18142</v>
      </c>
      <c r="K5413" s="0" t="s">
        <v>18143</v>
      </c>
      <c r="L5413" s="0" t="str">
        <f aca="false">HYPERLINK("https://www.ncbi.nlm.nih.gov/nuccore/CP000304.1?report=graph&amp;tracks=[key:gene_model_track,Options:GeneOnly]&amp;mk=1497544:1497563|offset_35|444444,1497582:1497601|offset_73|444444,1497606:1497625|offset_97|00cc00,1497675:1497694|offset_166|444444&amp;v=1497343:1497894&amp;c=444444", "offset 97")</f>
        <v>offset 97</v>
      </c>
    </row>
    <row r="5414" customFormat="false" ht="12.8" hidden="false" customHeight="false" outlineLevel="0" collapsed="false">
      <c r="A5414" s="0" t="s">
        <v>12</v>
      </c>
      <c r="B5414" s="0" t="n">
        <v>1497674</v>
      </c>
      <c r="C5414" s="0" t="n">
        <v>1497694</v>
      </c>
      <c r="D5414" s="0" t="s">
        <v>18134</v>
      </c>
      <c r="E5414" s="0" t="s">
        <v>89</v>
      </c>
      <c r="F5414" s="0" t="s">
        <v>15</v>
      </c>
      <c r="G5414" s="0" t="s">
        <v>26</v>
      </c>
      <c r="H5414" s="0" t="n">
        <v>166</v>
      </c>
      <c r="I5414" s="0" t="s">
        <v>18144</v>
      </c>
      <c r="J5414" s="0" t="s">
        <v>18145</v>
      </c>
      <c r="K5414" s="0" t="s">
        <v>18146</v>
      </c>
      <c r="L5414" s="0" t="str">
        <f aca="false">HYPERLINK("https://www.ncbi.nlm.nih.gov/nuccore/CP000304.1?report=graph&amp;tracks=[key:gene_model_track,Options:GeneOnly]&amp;mk=1497544:1497563|offset_35|444444,1497582:1497601|offset_73|444444,1497606:1497625|offset_97|444444,1497675:1497694|offset_166|00cc00&amp;v=1497343:1497894&amp;c=444444", "offset 166")</f>
        <v>offset 166</v>
      </c>
    </row>
    <row r="5415" customFormat="false" ht="12.8" hidden="false" customHeight="false" outlineLevel="0" collapsed="false">
      <c r="A5415" s="0" t="s">
        <v>12</v>
      </c>
      <c r="B5415" s="0" t="n">
        <v>1502376</v>
      </c>
      <c r="C5415" s="0" t="n">
        <v>1502396</v>
      </c>
      <c r="D5415" s="0" t="s">
        <v>18147</v>
      </c>
      <c r="E5415" s="0" t="s">
        <v>89</v>
      </c>
      <c r="F5415" s="0" t="s">
        <v>15</v>
      </c>
      <c r="G5415" s="0" t="s">
        <v>36</v>
      </c>
      <c r="H5415" s="0" t="n">
        <v>24</v>
      </c>
      <c r="I5415" s="0" t="s">
        <v>18148</v>
      </c>
      <c r="J5415" s="0" t="s">
        <v>18149</v>
      </c>
      <c r="K5415" s="0" t="s">
        <v>18150</v>
      </c>
      <c r="L5415" s="0" t="str">
        <f aca="false">HYPERLINK("https://www.ncbi.nlm.nih.gov/nuccore/CP000304.1?report=graph&amp;tracks=[key:gene_model_track,Options:GeneOnly]&amp;mk=1502377:1502396|offset_24|00cc00,1502430:1502449|offset_77|444444,1502457:1502476|offset_104|444444,1502507:1502526|offset_154|444444&amp;v=1502176:1502726&amp;c=444444", "offset 24")</f>
        <v>offset 24</v>
      </c>
    </row>
    <row r="5416" customFormat="false" ht="12.8" hidden="false" customHeight="false" outlineLevel="0" collapsed="false">
      <c r="A5416" s="0" t="s">
        <v>12</v>
      </c>
      <c r="B5416" s="0" t="n">
        <v>1502429</v>
      </c>
      <c r="C5416" s="0" t="n">
        <v>1502449</v>
      </c>
      <c r="D5416" s="0" t="s">
        <v>18147</v>
      </c>
      <c r="E5416" s="0" t="s">
        <v>89</v>
      </c>
      <c r="F5416" s="0" t="s">
        <v>15</v>
      </c>
      <c r="G5416" s="0" t="s">
        <v>26</v>
      </c>
      <c r="H5416" s="0" t="n">
        <v>77</v>
      </c>
      <c r="I5416" s="0" t="s">
        <v>18151</v>
      </c>
      <c r="J5416" s="0" t="s">
        <v>18152</v>
      </c>
      <c r="K5416" s="0" t="s">
        <v>18153</v>
      </c>
      <c r="L5416" s="0" t="str">
        <f aca="false">HYPERLINK("https://www.ncbi.nlm.nih.gov/nuccore/CP000304.1?report=graph&amp;tracks=[key:gene_model_track,Options:GeneOnly]&amp;mk=1502377:1502396|offset_24|444444,1502430:1502449|offset_77|00cc00,1502457:1502476|offset_104|444444,1502507:1502526|offset_154|444444&amp;v=1502176:1502726&amp;c=444444", "offset 77")</f>
        <v>offset 77</v>
      </c>
    </row>
    <row r="5417" customFormat="false" ht="12.8" hidden="false" customHeight="false" outlineLevel="0" collapsed="false">
      <c r="A5417" s="0" t="s">
        <v>12</v>
      </c>
      <c r="B5417" s="0" t="n">
        <v>1502456</v>
      </c>
      <c r="C5417" s="0" t="n">
        <v>1502476</v>
      </c>
      <c r="D5417" s="0" t="s">
        <v>18147</v>
      </c>
      <c r="E5417" s="0" t="s">
        <v>89</v>
      </c>
      <c r="F5417" s="0" t="s">
        <v>15</v>
      </c>
      <c r="G5417" s="0" t="s">
        <v>26</v>
      </c>
      <c r="H5417" s="0" t="n">
        <v>104</v>
      </c>
      <c r="I5417" s="0" t="s">
        <v>18154</v>
      </c>
      <c r="J5417" s="0" t="s">
        <v>18155</v>
      </c>
      <c r="K5417" s="0" t="s">
        <v>18156</v>
      </c>
      <c r="L5417" s="0" t="str">
        <f aca="false">HYPERLINK("https://www.ncbi.nlm.nih.gov/nuccore/CP000304.1?report=graph&amp;tracks=[key:gene_model_track,Options:GeneOnly]&amp;mk=1502377:1502396|offset_24|444444,1502430:1502449|offset_77|444444,1502457:1502476|offset_104|00cc00,1502507:1502526|offset_154|444444&amp;v=1502176:1502726&amp;c=444444", "offset 104")</f>
        <v>offset 104</v>
      </c>
    </row>
    <row r="5418" customFormat="false" ht="12.8" hidden="false" customHeight="false" outlineLevel="0" collapsed="false">
      <c r="A5418" s="0" t="s">
        <v>12</v>
      </c>
      <c r="B5418" s="0" t="n">
        <v>1502506</v>
      </c>
      <c r="C5418" s="0" t="n">
        <v>1502526</v>
      </c>
      <c r="D5418" s="0" t="s">
        <v>18147</v>
      </c>
      <c r="E5418" s="0" t="s">
        <v>89</v>
      </c>
      <c r="F5418" s="0" t="s">
        <v>15</v>
      </c>
      <c r="G5418" s="0" t="s">
        <v>16</v>
      </c>
      <c r="H5418" s="0" t="n">
        <v>154</v>
      </c>
      <c r="I5418" s="0" t="s">
        <v>18157</v>
      </c>
      <c r="J5418" s="0" t="s">
        <v>18158</v>
      </c>
      <c r="K5418" s="0" t="s">
        <v>18159</v>
      </c>
      <c r="L5418" s="0" t="str">
        <f aca="false">HYPERLINK("https://www.ncbi.nlm.nih.gov/nuccore/CP000304.1?report=graph&amp;tracks=[key:gene_model_track,Options:GeneOnly]&amp;mk=1502377:1502396|offset_24|444444,1502430:1502449|offset_77|444444,1502457:1502476|offset_104|444444,1502507:1502526|offset_154|00cc00&amp;v=1502176:1502726&amp;c=444444", "offset 154")</f>
        <v>offset 154</v>
      </c>
    </row>
    <row r="5419" customFormat="false" ht="12.8" hidden="false" customHeight="false" outlineLevel="0" collapsed="false">
      <c r="A5419" s="0" t="s">
        <v>12</v>
      </c>
      <c r="B5419" s="0" t="n">
        <v>1502794</v>
      </c>
      <c r="C5419" s="0" t="n">
        <v>1502814</v>
      </c>
      <c r="D5419" s="0" t="s">
        <v>18160</v>
      </c>
      <c r="E5419" s="0" t="s">
        <v>18161</v>
      </c>
      <c r="F5419" s="0" t="s">
        <v>15</v>
      </c>
      <c r="G5419" s="0" t="s">
        <v>16</v>
      </c>
      <c r="H5419" s="0" t="n">
        <v>13</v>
      </c>
      <c r="I5419" s="0" t="s">
        <v>18162</v>
      </c>
      <c r="J5419" s="0" t="s">
        <v>18163</v>
      </c>
      <c r="K5419" s="0" t="s">
        <v>18164</v>
      </c>
      <c r="L5419" s="0" t="str">
        <f aca="false">HYPERLINK("https://www.ncbi.nlm.nih.gov/nuccore/CP000304.1?report=graph&amp;tracks=[key:gene_model_track,Options:GeneOnly]&amp;mk=1502795:1502814|offset_13|00cc00,1502825:1502844|offset_43|444444,1502846:1502865|offset_64|444444,1502877:1502896|offset_95|444444&amp;v=1502594:1503096&amp;c=444444", "offset 13")</f>
        <v>offset 13</v>
      </c>
    </row>
    <row r="5420" customFormat="false" ht="12.8" hidden="false" customHeight="false" outlineLevel="0" collapsed="false">
      <c r="A5420" s="0" t="s">
        <v>12</v>
      </c>
      <c r="B5420" s="0" t="n">
        <v>1502824</v>
      </c>
      <c r="C5420" s="0" t="n">
        <v>1502844</v>
      </c>
      <c r="D5420" s="0" t="s">
        <v>18160</v>
      </c>
      <c r="E5420" s="0" t="s">
        <v>18161</v>
      </c>
      <c r="F5420" s="0" t="s">
        <v>15</v>
      </c>
      <c r="G5420" s="0" t="s">
        <v>36</v>
      </c>
      <c r="H5420" s="0" t="n">
        <v>43</v>
      </c>
      <c r="I5420" s="0" t="s">
        <v>18165</v>
      </c>
      <c r="J5420" s="0" t="s">
        <v>18166</v>
      </c>
      <c r="K5420" s="0" t="s">
        <v>18167</v>
      </c>
      <c r="L5420" s="0" t="str">
        <f aca="false">HYPERLINK("https://www.ncbi.nlm.nih.gov/nuccore/CP000304.1?report=graph&amp;tracks=[key:gene_model_track,Options:GeneOnly]&amp;mk=1502795:1502814|offset_13|444444,1502825:1502844|offset_43|00cc00,1502846:1502865|offset_64|444444,1502877:1502896|offset_95|444444&amp;v=1502594:1503096&amp;c=444444", "offset 43")</f>
        <v>offset 43</v>
      </c>
    </row>
    <row r="5421" customFormat="false" ht="12.8" hidden="false" customHeight="false" outlineLevel="0" collapsed="false">
      <c r="A5421" s="0" t="s">
        <v>12</v>
      </c>
      <c r="B5421" s="0" t="n">
        <v>1502845</v>
      </c>
      <c r="C5421" s="0" t="n">
        <v>1502865</v>
      </c>
      <c r="D5421" s="0" t="s">
        <v>18160</v>
      </c>
      <c r="E5421" s="0" t="s">
        <v>18161</v>
      </c>
      <c r="F5421" s="0" t="s">
        <v>15</v>
      </c>
      <c r="G5421" s="0" t="s">
        <v>26</v>
      </c>
      <c r="H5421" s="0" t="n">
        <v>64</v>
      </c>
      <c r="I5421" s="0" t="s">
        <v>18168</v>
      </c>
      <c r="J5421" s="0" t="s">
        <v>18169</v>
      </c>
      <c r="K5421" s="0" t="s">
        <v>18170</v>
      </c>
      <c r="L5421" s="0" t="str">
        <f aca="false">HYPERLINK("https://www.ncbi.nlm.nih.gov/nuccore/CP000304.1?report=graph&amp;tracks=[key:gene_model_track,Options:GeneOnly]&amp;mk=1502795:1502814|offset_13|444444,1502825:1502844|offset_43|444444,1502846:1502865|offset_64|00cc00,1502877:1502896|offset_95|444444&amp;v=1502594:1503096&amp;c=444444", "offset 64")</f>
        <v>offset 64</v>
      </c>
    </row>
    <row r="5422" customFormat="false" ht="12.8" hidden="false" customHeight="false" outlineLevel="0" collapsed="false">
      <c r="A5422" s="0" t="s">
        <v>12</v>
      </c>
      <c r="B5422" s="0" t="n">
        <v>1502876</v>
      </c>
      <c r="C5422" s="0" t="n">
        <v>1502896</v>
      </c>
      <c r="D5422" s="0" t="s">
        <v>18160</v>
      </c>
      <c r="E5422" s="0" t="s">
        <v>18161</v>
      </c>
      <c r="F5422" s="0" t="s">
        <v>15</v>
      </c>
      <c r="G5422" s="0" t="s">
        <v>26</v>
      </c>
      <c r="H5422" s="0" t="n">
        <v>95</v>
      </c>
      <c r="I5422" s="0" t="s">
        <v>18171</v>
      </c>
      <c r="J5422" s="0" t="s">
        <v>18172</v>
      </c>
      <c r="K5422" s="0" t="s">
        <v>18173</v>
      </c>
      <c r="L5422" s="0" t="str">
        <f aca="false">HYPERLINK("https://www.ncbi.nlm.nih.gov/nuccore/CP000304.1?report=graph&amp;tracks=[key:gene_model_track,Options:GeneOnly]&amp;mk=1502795:1502814|offset_13|444444,1502825:1502844|offset_43|444444,1502846:1502865|offset_64|444444,1502877:1502896|offset_95|00cc00&amp;v=1502594:1503096&amp;c=444444", "offset 95")</f>
        <v>offset 95</v>
      </c>
    </row>
    <row r="5423" customFormat="false" ht="12.8" hidden="false" customHeight="false" outlineLevel="0" collapsed="false">
      <c r="A5423" s="0" t="s">
        <v>12</v>
      </c>
      <c r="B5423" s="0" t="n">
        <v>1504297</v>
      </c>
      <c r="C5423" s="0" t="n">
        <v>1504317</v>
      </c>
      <c r="D5423" s="0" t="s">
        <v>18174</v>
      </c>
      <c r="E5423" s="0" t="s">
        <v>89</v>
      </c>
      <c r="F5423" s="0" t="s">
        <v>15</v>
      </c>
      <c r="G5423" s="0" t="s">
        <v>32</v>
      </c>
      <c r="H5423" s="0" t="n">
        <v>1</v>
      </c>
      <c r="I5423" s="0" t="s">
        <v>18175</v>
      </c>
      <c r="J5423" s="0" t="s">
        <v>18176</v>
      </c>
      <c r="K5423" s="0" t="s">
        <v>18177</v>
      </c>
      <c r="L5423" s="0" t="str">
        <f aca="false">HYPERLINK("https://www.ncbi.nlm.nih.gov/nuccore/CP000304.1?report=graph&amp;tracks=[key:gene_model_track,Options:GeneOnly]&amp;mk=1504298:1504317|offset_1|00cc00,1504319:1504338|offset_22|444444,1504342:1504361|offset_45|444444,1504364:1504383|offset_67|444444&amp;v=1504097:1504583&amp;c=444444", "offset 1")</f>
        <v>offset 1</v>
      </c>
    </row>
    <row r="5424" customFormat="false" ht="12.8" hidden="false" customHeight="false" outlineLevel="0" collapsed="false">
      <c r="A5424" s="0" t="s">
        <v>12</v>
      </c>
      <c r="B5424" s="0" t="n">
        <v>1504318</v>
      </c>
      <c r="C5424" s="0" t="n">
        <v>1504338</v>
      </c>
      <c r="D5424" s="0" t="s">
        <v>18174</v>
      </c>
      <c r="E5424" s="0" t="s">
        <v>89</v>
      </c>
      <c r="F5424" s="0" t="s">
        <v>15</v>
      </c>
      <c r="G5424" s="0" t="s">
        <v>36</v>
      </c>
      <c r="H5424" s="0" t="n">
        <v>22</v>
      </c>
      <c r="I5424" s="0" t="s">
        <v>18178</v>
      </c>
      <c r="J5424" s="0" t="s">
        <v>18179</v>
      </c>
      <c r="K5424" s="0" t="s">
        <v>18180</v>
      </c>
      <c r="L5424" s="0" t="str">
        <f aca="false">HYPERLINK("https://www.ncbi.nlm.nih.gov/nuccore/CP000304.1?report=graph&amp;tracks=[key:gene_model_track,Options:GeneOnly]&amp;mk=1504298:1504317|offset_1|444444,1504319:1504338|offset_22|00cc00,1504342:1504361|offset_45|444444,1504364:1504383|offset_67|444444&amp;v=1504097:1504583&amp;c=444444", "offset 22")</f>
        <v>offset 22</v>
      </c>
    </row>
    <row r="5425" customFormat="false" ht="12.8" hidden="false" customHeight="false" outlineLevel="0" collapsed="false">
      <c r="A5425" s="0" t="s">
        <v>12</v>
      </c>
      <c r="B5425" s="0" t="n">
        <v>1504341</v>
      </c>
      <c r="C5425" s="0" t="n">
        <v>1504361</v>
      </c>
      <c r="D5425" s="0" t="s">
        <v>18174</v>
      </c>
      <c r="E5425" s="0" t="s">
        <v>89</v>
      </c>
      <c r="F5425" s="0" t="s">
        <v>15</v>
      </c>
      <c r="G5425" s="0" t="s">
        <v>36</v>
      </c>
      <c r="H5425" s="0" t="n">
        <v>45</v>
      </c>
      <c r="I5425" s="0" t="s">
        <v>18181</v>
      </c>
      <c r="J5425" s="0" t="s">
        <v>18182</v>
      </c>
      <c r="K5425" s="0" t="s">
        <v>18183</v>
      </c>
      <c r="L5425" s="0" t="str">
        <f aca="false">HYPERLINK("https://www.ncbi.nlm.nih.gov/nuccore/CP000304.1?report=graph&amp;tracks=[key:gene_model_track,Options:GeneOnly]&amp;mk=1504298:1504317|offset_1|444444,1504319:1504338|offset_22|444444,1504342:1504361|offset_45|00cc00,1504364:1504383|offset_67|444444&amp;v=1504097:1504583&amp;c=444444", "offset 45")</f>
        <v>offset 45</v>
      </c>
    </row>
    <row r="5426" customFormat="false" ht="12.8" hidden="false" customHeight="false" outlineLevel="0" collapsed="false">
      <c r="A5426" s="0" t="s">
        <v>12</v>
      </c>
      <c r="B5426" s="0" t="n">
        <v>1504363</v>
      </c>
      <c r="C5426" s="0" t="n">
        <v>1504383</v>
      </c>
      <c r="D5426" s="0" t="s">
        <v>18174</v>
      </c>
      <c r="E5426" s="0" t="s">
        <v>89</v>
      </c>
      <c r="F5426" s="0" t="s">
        <v>15</v>
      </c>
      <c r="G5426" s="0" t="s">
        <v>16</v>
      </c>
      <c r="H5426" s="0" t="n">
        <v>67</v>
      </c>
      <c r="I5426" s="0" t="s">
        <v>18184</v>
      </c>
      <c r="J5426" s="0" t="s">
        <v>18185</v>
      </c>
      <c r="K5426" s="0" t="s">
        <v>18186</v>
      </c>
      <c r="L5426" s="0" t="str">
        <f aca="false">HYPERLINK("https://www.ncbi.nlm.nih.gov/nuccore/CP000304.1?report=graph&amp;tracks=[key:gene_model_track,Options:GeneOnly]&amp;mk=1504298:1504317|offset_1|444444,1504319:1504338|offset_22|444444,1504342:1504361|offset_45|444444,1504364:1504383|offset_67|00cc00&amp;v=1504097:1504583&amp;c=444444", "offset 67")</f>
        <v>offset 67</v>
      </c>
    </row>
    <row r="5427" customFormat="false" ht="12.8" hidden="false" customHeight="false" outlineLevel="0" collapsed="false">
      <c r="A5427" s="0" t="s">
        <v>12</v>
      </c>
      <c r="B5427" s="0" t="n">
        <v>1504811</v>
      </c>
      <c r="C5427" s="0" t="n">
        <v>1504831</v>
      </c>
      <c r="D5427" s="0" t="s">
        <v>18187</v>
      </c>
      <c r="E5427" s="0" t="s">
        <v>89</v>
      </c>
      <c r="F5427" s="0" t="s">
        <v>15</v>
      </c>
      <c r="G5427" s="0" t="s">
        <v>16</v>
      </c>
      <c r="H5427" s="0" t="n">
        <v>22</v>
      </c>
      <c r="I5427" s="0" t="s">
        <v>18188</v>
      </c>
      <c r="J5427" s="0" t="s">
        <v>18189</v>
      </c>
      <c r="K5427" s="0" t="s">
        <v>18190</v>
      </c>
      <c r="L5427" s="0" t="str">
        <f aca="false">HYPERLINK("https://www.ncbi.nlm.nih.gov/nuccore/CP000304.1?report=graph&amp;tracks=[key:gene_model_track,Options:GeneOnly]&amp;mk=1504812:1504831|offset_22|00cc00,1504851:1504870|offset_61|444444,1504877:1504896|offset_87|444444,1504897:1504916|offset_107|444444&amp;v=1504611:1505116&amp;c=444444", "offset 22")</f>
        <v>offset 22</v>
      </c>
    </row>
    <row r="5428" customFormat="false" ht="12.8" hidden="false" customHeight="false" outlineLevel="0" collapsed="false">
      <c r="A5428" s="0" t="s">
        <v>12</v>
      </c>
      <c r="B5428" s="0" t="n">
        <v>1504850</v>
      </c>
      <c r="C5428" s="0" t="n">
        <v>1504870</v>
      </c>
      <c r="D5428" s="0" t="s">
        <v>18187</v>
      </c>
      <c r="E5428" s="0" t="s">
        <v>89</v>
      </c>
      <c r="F5428" s="0" t="s">
        <v>15</v>
      </c>
      <c r="G5428" s="0" t="s">
        <v>16</v>
      </c>
      <c r="H5428" s="0" t="n">
        <v>61</v>
      </c>
      <c r="I5428" s="0" t="s">
        <v>18191</v>
      </c>
      <c r="J5428" s="0" t="s">
        <v>18192</v>
      </c>
      <c r="K5428" s="0" t="s">
        <v>18193</v>
      </c>
      <c r="L5428" s="0" t="str">
        <f aca="false">HYPERLINK("https://www.ncbi.nlm.nih.gov/nuccore/CP000304.1?report=graph&amp;tracks=[key:gene_model_track,Options:GeneOnly]&amp;mk=1504812:1504831|offset_22|444444,1504851:1504870|offset_61|00cc00,1504877:1504896|offset_87|444444,1504897:1504916|offset_107|444444&amp;v=1504611:1505116&amp;c=444444", "offset 61")</f>
        <v>offset 61</v>
      </c>
    </row>
    <row r="5429" customFormat="false" ht="12.8" hidden="false" customHeight="false" outlineLevel="0" collapsed="false">
      <c r="A5429" s="0" t="s">
        <v>12</v>
      </c>
      <c r="B5429" s="0" t="n">
        <v>1504876</v>
      </c>
      <c r="C5429" s="0" t="n">
        <v>1504896</v>
      </c>
      <c r="D5429" s="0" t="s">
        <v>18187</v>
      </c>
      <c r="E5429" s="0" t="s">
        <v>89</v>
      </c>
      <c r="F5429" s="0" t="s">
        <v>15</v>
      </c>
      <c r="G5429" s="0" t="s">
        <v>36</v>
      </c>
      <c r="H5429" s="0" t="n">
        <v>87</v>
      </c>
      <c r="I5429" s="0" t="s">
        <v>18194</v>
      </c>
      <c r="J5429" s="0" t="s">
        <v>18195</v>
      </c>
      <c r="K5429" s="0" t="s">
        <v>18196</v>
      </c>
      <c r="L5429" s="0" t="str">
        <f aca="false">HYPERLINK("https://www.ncbi.nlm.nih.gov/nuccore/CP000304.1?report=graph&amp;tracks=[key:gene_model_track,Options:GeneOnly]&amp;mk=1504812:1504831|offset_22|444444,1504851:1504870|offset_61|444444,1504877:1504896|offset_87|00cc00,1504897:1504916|offset_107|444444&amp;v=1504611:1505116&amp;c=444444", "offset 87")</f>
        <v>offset 87</v>
      </c>
    </row>
    <row r="5430" customFormat="false" ht="12.8" hidden="false" customHeight="false" outlineLevel="0" collapsed="false">
      <c r="A5430" s="0" t="s">
        <v>12</v>
      </c>
      <c r="B5430" s="0" t="n">
        <v>1504896</v>
      </c>
      <c r="C5430" s="0" t="n">
        <v>1504916</v>
      </c>
      <c r="D5430" s="0" t="s">
        <v>18187</v>
      </c>
      <c r="E5430" s="0" t="s">
        <v>89</v>
      </c>
      <c r="F5430" s="0" t="s">
        <v>15</v>
      </c>
      <c r="G5430" s="0" t="s">
        <v>16</v>
      </c>
      <c r="H5430" s="0" t="n">
        <v>107</v>
      </c>
      <c r="I5430" s="0" t="s">
        <v>18197</v>
      </c>
      <c r="J5430" s="0" t="s">
        <v>18198</v>
      </c>
      <c r="K5430" s="0" t="s">
        <v>18199</v>
      </c>
      <c r="L5430" s="0" t="str">
        <f aca="false">HYPERLINK("https://www.ncbi.nlm.nih.gov/nuccore/CP000304.1?report=graph&amp;tracks=[key:gene_model_track,Options:GeneOnly]&amp;mk=1504812:1504831|offset_22|444444,1504851:1504870|offset_61|444444,1504877:1504896|offset_87|444444,1504897:1504916|offset_107|00cc00&amp;v=1504611:1505116&amp;c=444444", "offset 107")</f>
        <v>offset 107</v>
      </c>
    </row>
    <row r="5431" customFormat="false" ht="12.8" hidden="false" customHeight="false" outlineLevel="0" collapsed="false">
      <c r="A5431" s="0" t="s">
        <v>12</v>
      </c>
      <c r="B5431" s="0" t="n">
        <v>1506331</v>
      </c>
      <c r="C5431" s="0" t="n">
        <v>1506351</v>
      </c>
      <c r="D5431" s="0" t="s">
        <v>18200</v>
      </c>
      <c r="E5431" s="0" t="s">
        <v>89</v>
      </c>
      <c r="F5431" s="0" t="s">
        <v>15</v>
      </c>
      <c r="G5431" s="0" t="s">
        <v>32</v>
      </c>
      <c r="H5431" s="0" t="n">
        <v>7</v>
      </c>
      <c r="I5431" s="0" t="s">
        <v>18201</v>
      </c>
      <c r="J5431" s="0" t="s">
        <v>18202</v>
      </c>
      <c r="K5431" s="0" t="s">
        <v>18203</v>
      </c>
      <c r="L5431" s="0" t="str">
        <f aca="false">HYPERLINK("https://www.ncbi.nlm.nih.gov/nuccore/CP000304.1?report=graph&amp;tracks=[key:gene_model_track,Options:GeneOnly]&amp;mk=1506332:1506351|offset_7|00cc00,1506356:1506375|offset_31|444444,1506380:1506399|offset_55|444444,1506401:1506420|offset_76|444444&amp;v=1506131:1506620&amp;c=444444", "offset 7")</f>
        <v>offset 7</v>
      </c>
    </row>
    <row r="5432" customFormat="false" ht="12.8" hidden="false" customHeight="false" outlineLevel="0" collapsed="false">
      <c r="A5432" s="0" t="s">
        <v>12</v>
      </c>
      <c r="B5432" s="0" t="n">
        <v>1506355</v>
      </c>
      <c r="C5432" s="0" t="n">
        <v>1506375</v>
      </c>
      <c r="D5432" s="0" t="s">
        <v>18200</v>
      </c>
      <c r="E5432" s="0" t="s">
        <v>89</v>
      </c>
      <c r="F5432" s="0" t="s">
        <v>15</v>
      </c>
      <c r="G5432" s="0" t="s">
        <v>26</v>
      </c>
      <c r="H5432" s="0" t="n">
        <v>31</v>
      </c>
      <c r="I5432" s="0" t="s">
        <v>18204</v>
      </c>
      <c r="J5432" s="0" t="s">
        <v>18205</v>
      </c>
      <c r="K5432" s="0" t="s">
        <v>18206</v>
      </c>
      <c r="L5432" s="0" t="str">
        <f aca="false">HYPERLINK("https://www.ncbi.nlm.nih.gov/nuccore/CP000304.1?report=graph&amp;tracks=[key:gene_model_track,Options:GeneOnly]&amp;mk=1506332:1506351|offset_7|444444,1506356:1506375|offset_31|00cc00,1506380:1506399|offset_55|444444,1506401:1506420|offset_76|444444&amp;v=1506131:1506620&amp;c=444444", "offset 31")</f>
        <v>offset 31</v>
      </c>
    </row>
    <row r="5433" customFormat="false" ht="12.8" hidden="false" customHeight="false" outlineLevel="0" collapsed="false">
      <c r="A5433" s="0" t="s">
        <v>12</v>
      </c>
      <c r="B5433" s="0" t="n">
        <v>1506379</v>
      </c>
      <c r="C5433" s="0" t="n">
        <v>1506399</v>
      </c>
      <c r="D5433" s="0" t="s">
        <v>18200</v>
      </c>
      <c r="E5433" s="0" t="s">
        <v>89</v>
      </c>
      <c r="F5433" s="0" t="s">
        <v>15</v>
      </c>
      <c r="G5433" s="0" t="s">
        <v>36</v>
      </c>
      <c r="H5433" s="0" t="n">
        <v>55</v>
      </c>
      <c r="I5433" s="0" t="s">
        <v>18207</v>
      </c>
      <c r="J5433" s="0" t="s">
        <v>18208</v>
      </c>
      <c r="K5433" s="0" t="s">
        <v>18209</v>
      </c>
      <c r="L5433" s="0" t="str">
        <f aca="false">HYPERLINK("https://www.ncbi.nlm.nih.gov/nuccore/CP000304.1?report=graph&amp;tracks=[key:gene_model_track,Options:GeneOnly]&amp;mk=1506332:1506351|offset_7|444444,1506356:1506375|offset_31|444444,1506380:1506399|offset_55|00cc00,1506401:1506420|offset_76|444444&amp;v=1506131:1506620&amp;c=444444", "offset 55")</f>
        <v>offset 55</v>
      </c>
    </row>
    <row r="5434" customFormat="false" ht="12.8" hidden="false" customHeight="false" outlineLevel="0" collapsed="false">
      <c r="A5434" s="0" t="s">
        <v>12</v>
      </c>
      <c r="B5434" s="0" t="n">
        <v>1506400</v>
      </c>
      <c r="C5434" s="0" t="n">
        <v>1506420</v>
      </c>
      <c r="D5434" s="0" t="s">
        <v>18200</v>
      </c>
      <c r="E5434" s="0" t="s">
        <v>89</v>
      </c>
      <c r="F5434" s="0" t="s">
        <v>15</v>
      </c>
      <c r="G5434" s="0" t="s">
        <v>36</v>
      </c>
      <c r="H5434" s="0" t="n">
        <v>76</v>
      </c>
      <c r="I5434" s="0" t="s">
        <v>18210</v>
      </c>
      <c r="J5434" s="0" t="s">
        <v>18211</v>
      </c>
      <c r="K5434" s="0" t="s">
        <v>18212</v>
      </c>
      <c r="L5434" s="0" t="str">
        <f aca="false">HYPERLINK("https://www.ncbi.nlm.nih.gov/nuccore/CP000304.1?report=graph&amp;tracks=[key:gene_model_track,Options:GeneOnly]&amp;mk=1506332:1506351|offset_7|444444,1506356:1506375|offset_31|444444,1506380:1506399|offset_55|444444,1506401:1506420|offset_76|00cc00&amp;v=1506131:1506620&amp;c=444444", "offset 76")</f>
        <v>offset 76</v>
      </c>
    </row>
    <row r="5435" customFormat="false" ht="12.8" hidden="false" customHeight="false" outlineLevel="0" collapsed="false">
      <c r="A5435" s="0" t="s">
        <v>12</v>
      </c>
      <c r="B5435" s="0" t="n">
        <v>1507051</v>
      </c>
      <c r="C5435" s="0" t="n">
        <v>1507071</v>
      </c>
      <c r="D5435" s="0" t="s">
        <v>18213</v>
      </c>
      <c r="E5435" s="0" t="s">
        <v>89</v>
      </c>
      <c r="F5435" s="0" t="s">
        <v>15</v>
      </c>
      <c r="G5435" s="0" t="s">
        <v>32</v>
      </c>
      <c r="H5435" s="0" t="n">
        <v>12</v>
      </c>
      <c r="I5435" s="0" t="s">
        <v>18214</v>
      </c>
      <c r="J5435" s="0" t="s">
        <v>18215</v>
      </c>
      <c r="K5435" s="0" t="s">
        <v>18216</v>
      </c>
      <c r="L5435" s="0" t="str">
        <f aca="false">HYPERLINK("https://www.ncbi.nlm.nih.gov/nuccore/CP000304.1?report=graph&amp;tracks=[key:gene_model_track,Options:GeneOnly]&amp;mk=1507052:1507071|offset_12|00cc00,1507076:1507095|offset_36|444444,1507096:1507115|offset_56|444444,1507128:1507147|offset_88|444444&amp;v=1506851:1507347&amp;c=444444", "offset 12")</f>
        <v>offset 12</v>
      </c>
    </row>
    <row r="5436" customFormat="false" ht="12.8" hidden="false" customHeight="false" outlineLevel="0" collapsed="false">
      <c r="A5436" s="0" t="s">
        <v>12</v>
      </c>
      <c r="B5436" s="0" t="n">
        <v>1507075</v>
      </c>
      <c r="C5436" s="0" t="n">
        <v>1507095</v>
      </c>
      <c r="D5436" s="0" t="s">
        <v>18213</v>
      </c>
      <c r="E5436" s="0" t="s">
        <v>89</v>
      </c>
      <c r="F5436" s="0" t="s">
        <v>15</v>
      </c>
      <c r="G5436" s="0" t="s">
        <v>36</v>
      </c>
      <c r="H5436" s="0" t="n">
        <v>36</v>
      </c>
      <c r="I5436" s="0" t="s">
        <v>18217</v>
      </c>
      <c r="J5436" s="0" t="s">
        <v>18218</v>
      </c>
      <c r="K5436" s="0" t="s">
        <v>18219</v>
      </c>
      <c r="L5436" s="0" t="str">
        <f aca="false">HYPERLINK("https://www.ncbi.nlm.nih.gov/nuccore/CP000304.1?report=graph&amp;tracks=[key:gene_model_track,Options:GeneOnly]&amp;mk=1507052:1507071|offset_12|444444,1507076:1507095|offset_36|00cc00,1507096:1507115|offset_56|444444,1507128:1507147|offset_88|444444&amp;v=1506851:1507347&amp;c=444444", "offset 36")</f>
        <v>offset 36</v>
      </c>
    </row>
    <row r="5437" customFormat="false" ht="12.8" hidden="false" customHeight="false" outlineLevel="0" collapsed="false">
      <c r="A5437" s="0" t="s">
        <v>12</v>
      </c>
      <c r="B5437" s="0" t="n">
        <v>1507095</v>
      </c>
      <c r="C5437" s="0" t="n">
        <v>1507115</v>
      </c>
      <c r="D5437" s="0" t="s">
        <v>18213</v>
      </c>
      <c r="E5437" s="0" t="s">
        <v>89</v>
      </c>
      <c r="F5437" s="0" t="s">
        <v>15</v>
      </c>
      <c r="G5437" s="0" t="s">
        <v>16</v>
      </c>
      <c r="H5437" s="0" t="n">
        <v>56</v>
      </c>
      <c r="I5437" s="0" t="s">
        <v>18220</v>
      </c>
      <c r="J5437" s="0" t="s">
        <v>18221</v>
      </c>
      <c r="K5437" s="0" t="s">
        <v>18222</v>
      </c>
      <c r="L5437" s="0" t="str">
        <f aca="false">HYPERLINK("https://www.ncbi.nlm.nih.gov/nuccore/CP000304.1?report=graph&amp;tracks=[key:gene_model_track,Options:GeneOnly]&amp;mk=1507052:1507071|offset_12|444444,1507076:1507095|offset_36|444444,1507096:1507115|offset_56|00cc00,1507128:1507147|offset_88|444444&amp;v=1506851:1507347&amp;c=444444", "offset 56")</f>
        <v>offset 56</v>
      </c>
    </row>
    <row r="5438" customFormat="false" ht="12.8" hidden="false" customHeight="false" outlineLevel="0" collapsed="false">
      <c r="A5438" s="0" t="s">
        <v>12</v>
      </c>
      <c r="B5438" s="0" t="n">
        <v>1507127</v>
      </c>
      <c r="C5438" s="0" t="n">
        <v>1507147</v>
      </c>
      <c r="D5438" s="0" t="s">
        <v>18213</v>
      </c>
      <c r="E5438" s="0" t="s">
        <v>89</v>
      </c>
      <c r="F5438" s="0" t="s">
        <v>15</v>
      </c>
      <c r="G5438" s="0" t="s">
        <v>16</v>
      </c>
      <c r="H5438" s="0" t="n">
        <v>88</v>
      </c>
      <c r="I5438" s="0" t="s">
        <v>18223</v>
      </c>
      <c r="J5438" s="0" t="s">
        <v>18224</v>
      </c>
      <c r="K5438" s="0" t="s">
        <v>18225</v>
      </c>
      <c r="L5438" s="0" t="str">
        <f aca="false">HYPERLINK("https://www.ncbi.nlm.nih.gov/nuccore/CP000304.1?report=graph&amp;tracks=[key:gene_model_track,Options:GeneOnly]&amp;mk=1507052:1507071|offset_12|444444,1507076:1507095|offset_36|444444,1507096:1507115|offset_56|444444,1507128:1507147|offset_88|00cc00&amp;v=1506851:1507347&amp;c=444444", "offset 88")</f>
        <v>offset 88</v>
      </c>
    </row>
    <row r="5439" customFormat="false" ht="12.8" hidden="false" customHeight="false" outlineLevel="0" collapsed="false">
      <c r="A5439" s="0" t="s">
        <v>12</v>
      </c>
      <c r="B5439" s="0" t="n">
        <v>1507683</v>
      </c>
      <c r="C5439" s="0" t="n">
        <v>1507703</v>
      </c>
      <c r="D5439" s="0" t="s">
        <v>18226</v>
      </c>
      <c r="E5439" s="0" t="s">
        <v>89</v>
      </c>
      <c r="F5439" s="0" t="s">
        <v>15</v>
      </c>
      <c r="G5439" s="0" t="s">
        <v>16</v>
      </c>
      <c r="H5439" s="0" t="n">
        <v>36</v>
      </c>
      <c r="I5439" s="0" t="s">
        <v>18227</v>
      </c>
      <c r="J5439" s="0" t="s">
        <v>18228</v>
      </c>
      <c r="K5439" s="0" t="s">
        <v>18229</v>
      </c>
      <c r="L5439" s="0" t="str">
        <f aca="false">HYPERLINK("https://www.ncbi.nlm.nih.gov/nuccore/CP000304.1?report=graph&amp;tracks=[key:gene_model_track,Options:GeneOnly]&amp;mk=1507684:1507703|offset_36|00cc00,1507716:1507735|offset_68|444444,1507742:1507761|offset_94|444444,1507783:1507802|offset_135|444444&amp;v=1507483:1508002&amp;c=444444", "offset 36")</f>
        <v>offset 36</v>
      </c>
    </row>
    <row r="5440" customFormat="false" ht="12.8" hidden="false" customHeight="false" outlineLevel="0" collapsed="false">
      <c r="A5440" s="0" t="s">
        <v>12</v>
      </c>
      <c r="B5440" s="0" t="n">
        <v>1507715</v>
      </c>
      <c r="C5440" s="0" t="n">
        <v>1507735</v>
      </c>
      <c r="D5440" s="0" t="s">
        <v>18226</v>
      </c>
      <c r="E5440" s="0" t="s">
        <v>89</v>
      </c>
      <c r="F5440" s="0" t="s">
        <v>15</v>
      </c>
      <c r="G5440" s="0" t="s">
        <v>32</v>
      </c>
      <c r="H5440" s="0" t="n">
        <v>68</v>
      </c>
      <c r="I5440" s="0" t="s">
        <v>18230</v>
      </c>
      <c r="J5440" s="0" t="s">
        <v>18231</v>
      </c>
      <c r="K5440" s="0" t="s">
        <v>18232</v>
      </c>
      <c r="L5440" s="0" t="str">
        <f aca="false">HYPERLINK("https://www.ncbi.nlm.nih.gov/nuccore/CP000304.1?report=graph&amp;tracks=[key:gene_model_track,Options:GeneOnly]&amp;mk=1507684:1507703|offset_36|444444,1507716:1507735|offset_68|00cc00,1507742:1507761|offset_94|444444,1507783:1507802|offset_135|444444&amp;v=1507483:1508002&amp;c=444444", "offset 68")</f>
        <v>offset 68</v>
      </c>
    </row>
    <row r="5441" customFormat="false" ht="12.8" hidden="false" customHeight="false" outlineLevel="0" collapsed="false">
      <c r="A5441" s="0" t="s">
        <v>12</v>
      </c>
      <c r="B5441" s="0" t="n">
        <v>1507741</v>
      </c>
      <c r="C5441" s="0" t="n">
        <v>1507761</v>
      </c>
      <c r="D5441" s="0" t="s">
        <v>18226</v>
      </c>
      <c r="E5441" s="0" t="s">
        <v>89</v>
      </c>
      <c r="F5441" s="0" t="s">
        <v>15</v>
      </c>
      <c r="G5441" s="0" t="s">
        <v>36</v>
      </c>
      <c r="H5441" s="0" t="n">
        <v>94</v>
      </c>
      <c r="I5441" s="0" t="s">
        <v>18233</v>
      </c>
      <c r="J5441" s="0" t="s">
        <v>18234</v>
      </c>
      <c r="K5441" s="0" t="s">
        <v>18235</v>
      </c>
      <c r="L5441" s="0" t="str">
        <f aca="false">HYPERLINK("https://www.ncbi.nlm.nih.gov/nuccore/CP000304.1?report=graph&amp;tracks=[key:gene_model_track,Options:GeneOnly]&amp;mk=1507684:1507703|offset_36|444444,1507716:1507735|offset_68|444444,1507742:1507761|offset_94|00cc00,1507783:1507802|offset_135|444444&amp;v=1507483:1508002&amp;c=444444", "offset 94")</f>
        <v>offset 94</v>
      </c>
    </row>
    <row r="5442" customFormat="false" ht="12.8" hidden="false" customHeight="false" outlineLevel="0" collapsed="false">
      <c r="A5442" s="0" t="s">
        <v>12</v>
      </c>
      <c r="B5442" s="0" t="n">
        <v>1507782</v>
      </c>
      <c r="C5442" s="0" t="n">
        <v>1507802</v>
      </c>
      <c r="D5442" s="0" t="s">
        <v>18226</v>
      </c>
      <c r="E5442" s="0" t="s">
        <v>89</v>
      </c>
      <c r="F5442" s="0" t="s">
        <v>15</v>
      </c>
      <c r="G5442" s="0" t="s">
        <v>16</v>
      </c>
      <c r="H5442" s="0" t="n">
        <v>135</v>
      </c>
      <c r="I5442" s="0" t="s">
        <v>18236</v>
      </c>
      <c r="J5442" s="0" t="s">
        <v>18237</v>
      </c>
      <c r="K5442" s="0" t="s">
        <v>18238</v>
      </c>
      <c r="L5442" s="0" t="str">
        <f aca="false">HYPERLINK("https://www.ncbi.nlm.nih.gov/nuccore/CP000304.1?report=graph&amp;tracks=[key:gene_model_track,Options:GeneOnly]&amp;mk=1507684:1507703|offset_36|444444,1507716:1507735|offset_68|444444,1507742:1507761|offset_94|444444,1507783:1507802|offset_135|00cc00&amp;v=1507483:1508002&amp;c=444444", "offset 135")</f>
        <v>offset 135</v>
      </c>
    </row>
    <row r="5443" customFormat="false" ht="12.8" hidden="false" customHeight="false" outlineLevel="0" collapsed="false">
      <c r="A5443" s="0" t="s">
        <v>12</v>
      </c>
      <c r="B5443" s="0" t="n">
        <v>1507992</v>
      </c>
      <c r="C5443" s="0" t="n">
        <v>1508012</v>
      </c>
      <c r="D5443" s="0" t="s">
        <v>18239</v>
      </c>
      <c r="E5443" s="0" t="s">
        <v>89</v>
      </c>
      <c r="F5443" s="0" t="s">
        <v>15</v>
      </c>
      <c r="G5443" s="0" t="s">
        <v>16</v>
      </c>
      <c r="H5443" s="0" t="n">
        <v>1</v>
      </c>
      <c r="I5443" s="0" t="s">
        <v>18240</v>
      </c>
      <c r="J5443" s="0" t="s">
        <v>18241</v>
      </c>
      <c r="K5443" s="0" t="s">
        <v>18242</v>
      </c>
      <c r="L5443" s="0" t="str">
        <f aca="false">HYPERLINK("https://www.ncbi.nlm.nih.gov/nuccore/CP000304.1?report=graph&amp;tracks=[key:gene_model_track,Options:GeneOnly]&amp;mk=1507993:1508012|offset_1|00cc00,1508041:1508060|offset_49|444444,1508071:1508090|offset_79|444444,1508093:1508112|offset_101|444444&amp;v=1507792:1508312&amp;c=444444", "offset 1")</f>
        <v>offset 1</v>
      </c>
    </row>
    <row r="5444" customFormat="false" ht="12.8" hidden="false" customHeight="false" outlineLevel="0" collapsed="false">
      <c r="A5444" s="0" t="s">
        <v>12</v>
      </c>
      <c r="B5444" s="0" t="n">
        <v>1508040</v>
      </c>
      <c r="C5444" s="0" t="n">
        <v>1508060</v>
      </c>
      <c r="D5444" s="0" t="s">
        <v>18239</v>
      </c>
      <c r="E5444" s="0" t="s">
        <v>89</v>
      </c>
      <c r="F5444" s="0" t="s">
        <v>15</v>
      </c>
      <c r="G5444" s="0" t="s">
        <v>16</v>
      </c>
      <c r="H5444" s="0" t="n">
        <v>49</v>
      </c>
      <c r="I5444" s="0" t="s">
        <v>18243</v>
      </c>
      <c r="J5444" s="0" t="s">
        <v>18244</v>
      </c>
      <c r="K5444" s="0" t="s">
        <v>18245</v>
      </c>
      <c r="L5444" s="0" t="str">
        <f aca="false">HYPERLINK("https://www.ncbi.nlm.nih.gov/nuccore/CP000304.1?report=graph&amp;tracks=[key:gene_model_track,Options:GeneOnly]&amp;mk=1507993:1508012|offset_1|444444,1508041:1508060|offset_49|00cc00,1508071:1508090|offset_79|444444,1508093:1508112|offset_101|444444&amp;v=1507792:1508312&amp;c=444444", "offset 49")</f>
        <v>offset 49</v>
      </c>
    </row>
    <row r="5445" customFormat="false" ht="12.8" hidden="false" customHeight="false" outlineLevel="0" collapsed="false">
      <c r="A5445" s="0" t="s">
        <v>12</v>
      </c>
      <c r="B5445" s="0" t="n">
        <v>1508070</v>
      </c>
      <c r="C5445" s="0" t="n">
        <v>1508090</v>
      </c>
      <c r="D5445" s="0" t="s">
        <v>18239</v>
      </c>
      <c r="E5445" s="0" t="s">
        <v>89</v>
      </c>
      <c r="F5445" s="0" t="s">
        <v>15</v>
      </c>
      <c r="G5445" s="0" t="s">
        <v>26</v>
      </c>
      <c r="H5445" s="0" t="n">
        <v>79</v>
      </c>
      <c r="I5445" s="0" t="s">
        <v>18246</v>
      </c>
      <c r="J5445" s="0" t="s">
        <v>18247</v>
      </c>
      <c r="K5445" s="0" t="s">
        <v>18248</v>
      </c>
      <c r="L5445" s="0" t="str">
        <f aca="false">HYPERLINK("https://www.ncbi.nlm.nih.gov/nuccore/CP000304.1?report=graph&amp;tracks=[key:gene_model_track,Options:GeneOnly]&amp;mk=1507993:1508012|offset_1|444444,1508041:1508060|offset_49|444444,1508071:1508090|offset_79|00cc00,1508093:1508112|offset_101|444444&amp;v=1507792:1508312&amp;c=444444", "offset 79")</f>
        <v>offset 79</v>
      </c>
    </row>
    <row r="5446" customFormat="false" ht="12.8" hidden="false" customHeight="false" outlineLevel="0" collapsed="false">
      <c r="A5446" s="0" t="s">
        <v>12</v>
      </c>
      <c r="B5446" s="0" t="n">
        <v>1508092</v>
      </c>
      <c r="C5446" s="0" t="n">
        <v>1508112</v>
      </c>
      <c r="D5446" s="0" t="s">
        <v>18239</v>
      </c>
      <c r="E5446" s="0" t="s">
        <v>89</v>
      </c>
      <c r="F5446" s="0" t="s">
        <v>15</v>
      </c>
      <c r="G5446" s="0" t="s">
        <v>26</v>
      </c>
      <c r="H5446" s="0" t="n">
        <v>101</v>
      </c>
      <c r="I5446" s="0" t="s">
        <v>18249</v>
      </c>
      <c r="J5446" s="0" t="s">
        <v>18250</v>
      </c>
      <c r="K5446" s="0" t="s">
        <v>18251</v>
      </c>
      <c r="L5446" s="0" t="str">
        <f aca="false">HYPERLINK("https://www.ncbi.nlm.nih.gov/nuccore/CP000304.1?report=graph&amp;tracks=[key:gene_model_track,Options:GeneOnly]&amp;mk=1507993:1508012|offset_1|444444,1508041:1508060|offset_49|444444,1508071:1508090|offset_79|444444,1508093:1508112|offset_101|00cc00&amp;v=1507792:1508312&amp;c=444444", "offset 101")</f>
        <v>offset 101</v>
      </c>
    </row>
    <row r="5447" customFormat="false" ht="12.8" hidden="false" customHeight="false" outlineLevel="0" collapsed="false">
      <c r="A5447" s="0" t="s">
        <v>12</v>
      </c>
      <c r="B5447" s="0" t="n">
        <v>1508408</v>
      </c>
      <c r="C5447" s="0" t="n">
        <v>1508428</v>
      </c>
      <c r="D5447" s="0" t="s">
        <v>18252</v>
      </c>
      <c r="E5447" s="0" t="s">
        <v>89</v>
      </c>
      <c r="F5447" s="0" t="s">
        <v>15</v>
      </c>
      <c r="G5447" s="0" t="s">
        <v>26</v>
      </c>
      <c r="H5447" s="0" t="n">
        <v>7</v>
      </c>
      <c r="I5447" s="0" t="s">
        <v>18253</v>
      </c>
      <c r="J5447" s="0" t="s">
        <v>18254</v>
      </c>
      <c r="K5447" s="0" t="s">
        <v>18255</v>
      </c>
      <c r="L5447" s="0" t="str">
        <f aca="false">HYPERLINK("https://www.ncbi.nlm.nih.gov/nuccore/CP000304.1?report=graph&amp;tracks=[key:gene_model_track,Options:GeneOnly]&amp;mk=1508409:1508428|offset_7|00cc00,1508432:1508451|offset_30|444444,1508458:1508477|offset_56|444444,1508496:1508515|offset_94|444444&amp;v=1508208:1508715&amp;c=444444", "offset 7")</f>
        <v>offset 7</v>
      </c>
    </row>
    <row r="5448" customFormat="false" ht="12.8" hidden="false" customHeight="false" outlineLevel="0" collapsed="false">
      <c r="A5448" s="0" t="s">
        <v>12</v>
      </c>
      <c r="B5448" s="0" t="n">
        <v>1508431</v>
      </c>
      <c r="C5448" s="0" t="n">
        <v>1508451</v>
      </c>
      <c r="D5448" s="0" t="s">
        <v>18252</v>
      </c>
      <c r="E5448" s="0" t="s">
        <v>89</v>
      </c>
      <c r="F5448" s="0" t="s">
        <v>15</v>
      </c>
      <c r="G5448" s="0" t="s">
        <v>16</v>
      </c>
      <c r="H5448" s="0" t="n">
        <v>30</v>
      </c>
      <c r="I5448" s="0" t="s">
        <v>18256</v>
      </c>
      <c r="J5448" s="0" t="s">
        <v>18257</v>
      </c>
      <c r="K5448" s="0" t="s">
        <v>18258</v>
      </c>
      <c r="L5448" s="0" t="str">
        <f aca="false">HYPERLINK("https://www.ncbi.nlm.nih.gov/nuccore/CP000304.1?report=graph&amp;tracks=[key:gene_model_track,Options:GeneOnly]&amp;mk=1508409:1508428|offset_7|444444,1508432:1508451|offset_30|00cc00,1508458:1508477|offset_56|444444,1508496:1508515|offset_94|444444&amp;v=1508208:1508715&amp;c=444444", "offset 30")</f>
        <v>offset 30</v>
      </c>
    </row>
    <row r="5449" customFormat="false" ht="12.8" hidden="false" customHeight="false" outlineLevel="0" collapsed="false">
      <c r="A5449" s="0" t="s">
        <v>12</v>
      </c>
      <c r="B5449" s="0" t="n">
        <v>1508457</v>
      </c>
      <c r="C5449" s="0" t="n">
        <v>1508477</v>
      </c>
      <c r="D5449" s="0" t="s">
        <v>18252</v>
      </c>
      <c r="E5449" s="0" t="s">
        <v>89</v>
      </c>
      <c r="F5449" s="0" t="s">
        <v>15</v>
      </c>
      <c r="G5449" s="0" t="s">
        <v>32</v>
      </c>
      <c r="H5449" s="0" t="n">
        <v>56</v>
      </c>
      <c r="I5449" s="0" t="s">
        <v>18259</v>
      </c>
      <c r="J5449" s="0" t="s">
        <v>18260</v>
      </c>
      <c r="K5449" s="0" t="s">
        <v>18261</v>
      </c>
      <c r="L5449" s="0" t="str">
        <f aca="false">HYPERLINK("https://www.ncbi.nlm.nih.gov/nuccore/CP000304.1?report=graph&amp;tracks=[key:gene_model_track,Options:GeneOnly]&amp;mk=1508409:1508428|offset_7|444444,1508432:1508451|offset_30|444444,1508458:1508477|offset_56|00cc00,1508496:1508515|offset_94|444444&amp;v=1508208:1508715&amp;c=444444", "offset 56")</f>
        <v>offset 56</v>
      </c>
    </row>
    <row r="5450" customFormat="false" ht="12.8" hidden="false" customHeight="false" outlineLevel="0" collapsed="false">
      <c r="A5450" s="0" t="s">
        <v>12</v>
      </c>
      <c r="B5450" s="0" t="n">
        <v>1508495</v>
      </c>
      <c r="C5450" s="0" t="n">
        <v>1508515</v>
      </c>
      <c r="D5450" s="0" t="s">
        <v>18252</v>
      </c>
      <c r="E5450" s="0" t="s">
        <v>89</v>
      </c>
      <c r="F5450" s="0" t="s">
        <v>15</v>
      </c>
      <c r="G5450" s="0" t="s">
        <v>36</v>
      </c>
      <c r="H5450" s="0" t="n">
        <v>94</v>
      </c>
      <c r="I5450" s="0" t="s">
        <v>18262</v>
      </c>
      <c r="J5450" s="0" t="s">
        <v>18263</v>
      </c>
      <c r="K5450" s="0" t="s">
        <v>18264</v>
      </c>
      <c r="L5450" s="0" t="str">
        <f aca="false">HYPERLINK("https://www.ncbi.nlm.nih.gov/nuccore/CP000304.1?report=graph&amp;tracks=[key:gene_model_track,Options:GeneOnly]&amp;mk=1508409:1508428|offset_7|444444,1508432:1508451|offset_30|444444,1508458:1508477|offset_56|444444,1508496:1508515|offset_94|00cc00&amp;v=1508208:1508715&amp;c=444444", "offset 94")</f>
        <v>offset 94</v>
      </c>
    </row>
    <row r="5451" customFormat="false" ht="12.8" hidden="false" customHeight="false" outlineLevel="0" collapsed="false">
      <c r="A5451" s="0" t="s">
        <v>12</v>
      </c>
      <c r="B5451" s="0" t="n">
        <v>1510932</v>
      </c>
      <c r="C5451" s="0" t="n">
        <v>1510952</v>
      </c>
      <c r="D5451" s="0" t="s">
        <v>18265</v>
      </c>
      <c r="E5451" s="0" t="s">
        <v>89</v>
      </c>
      <c r="F5451" s="0" t="s">
        <v>90</v>
      </c>
      <c r="G5451" s="0" t="s">
        <v>26</v>
      </c>
      <c r="H5451" s="0" t="n">
        <v>17</v>
      </c>
      <c r="I5451" s="0" t="s">
        <v>18266</v>
      </c>
      <c r="J5451" s="0" t="s">
        <v>18267</v>
      </c>
      <c r="K5451" s="0" t="s">
        <v>18268</v>
      </c>
      <c r="L5451" s="0" t="str">
        <f aca="false">HYPERLINK("https://www.ncbi.nlm.nih.gov/nuccore/CP000304.1?report=graph&amp;tracks=[key:gene_model_track,Options:GeneOnly]&amp;mk=1510933:1510952|offset_17|00cc00,1510913:1510932|offset_37|444444,1510883:1510902|offset_67|444444,1510843:1510862|offset_107|444444&amp;v=1510732:1511062&amp;c=444444", "offset 17")</f>
        <v>offset 17</v>
      </c>
    </row>
    <row r="5452" customFormat="false" ht="12.8" hidden="false" customHeight="false" outlineLevel="0" collapsed="false">
      <c r="A5452" s="0" t="s">
        <v>12</v>
      </c>
      <c r="B5452" s="0" t="n">
        <v>1510912</v>
      </c>
      <c r="C5452" s="0" t="n">
        <v>1510932</v>
      </c>
      <c r="D5452" s="0" t="s">
        <v>18265</v>
      </c>
      <c r="E5452" s="0" t="s">
        <v>89</v>
      </c>
      <c r="F5452" s="0" t="s">
        <v>90</v>
      </c>
      <c r="G5452" s="0" t="s">
        <v>32</v>
      </c>
      <c r="H5452" s="0" t="n">
        <v>37</v>
      </c>
      <c r="I5452" s="0" t="s">
        <v>18269</v>
      </c>
      <c r="J5452" s="0" t="s">
        <v>18270</v>
      </c>
      <c r="K5452" s="0" t="s">
        <v>18271</v>
      </c>
      <c r="L5452" s="0" t="str">
        <f aca="false">HYPERLINK("https://www.ncbi.nlm.nih.gov/nuccore/CP000304.1?report=graph&amp;tracks=[key:gene_model_track,Options:GeneOnly]&amp;mk=1510933:1510952|offset_17|444444,1510913:1510932|offset_37|00cc00,1510883:1510902|offset_67|444444,1510843:1510862|offset_107|444444&amp;v=1510732:1511062&amp;c=444444", "offset 37")</f>
        <v>offset 37</v>
      </c>
    </row>
    <row r="5453" customFormat="false" ht="12.8" hidden="false" customHeight="false" outlineLevel="0" collapsed="false">
      <c r="A5453" s="0" t="s">
        <v>12</v>
      </c>
      <c r="B5453" s="0" t="n">
        <v>1510882</v>
      </c>
      <c r="C5453" s="0" t="n">
        <v>1510902</v>
      </c>
      <c r="D5453" s="0" t="s">
        <v>18265</v>
      </c>
      <c r="E5453" s="0" t="s">
        <v>89</v>
      </c>
      <c r="F5453" s="0" t="s">
        <v>90</v>
      </c>
      <c r="G5453" s="0" t="s">
        <v>16</v>
      </c>
      <c r="H5453" s="0" t="n">
        <v>67</v>
      </c>
      <c r="I5453" s="0" t="s">
        <v>18272</v>
      </c>
      <c r="J5453" s="0" t="s">
        <v>18273</v>
      </c>
      <c r="K5453" s="0" t="s">
        <v>18274</v>
      </c>
      <c r="L5453" s="0" t="str">
        <f aca="false">HYPERLINK("https://www.ncbi.nlm.nih.gov/nuccore/CP000304.1?report=graph&amp;tracks=[key:gene_model_track,Options:GeneOnly]&amp;mk=1510933:1510952|offset_17|444444,1510913:1510932|offset_37|444444,1510883:1510902|offset_67|00cc00,1510843:1510862|offset_107|444444&amp;v=1510732:1511062&amp;c=444444", "offset 67")</f>
        <v>offset 67</v>
      </c>
    </row>
    <row r="5454" customFormat="false" ht="12.8" hidden="false" customHeight="false" outlineLevel="0" collapsed="false">
      <c r="A5454" s="0" t="s">
        <v>12</v>
      </c>
      <c r="B5454" s="0" t="n">
        <v>1510842</v>
      </c>
      <c r="C5454" s="0" t="n">
        <v>1510862</v>
      </c>
      <c r="D5454" s="0" t="s">
        <v>18265</v>
      </c>
      <c r="E5454" s="0" t="s">
        <v>89</v>
      </c>
      <c r="F5454" s="0" t="s">
        <v>90</v>
      </c>
      <c r="G5454" s="0" t="s">
        <v>36</v>
      </c>
      <c r="H5454" s="0" t="n">
        <v>107</v>
      </c>
      <c r="I5454" s="0" t="s">
        <v>18275</v>
      </c>
      <c r="J5454" s="0" t="s">
        <v>18276</v>
      </c>
      <c r="K5454" s="0" t="s">
        <v>18277</v>
      </c>
      <c r="L5454" s="0" t="str">
        <f aca="false">HYPERLINK("https://www.ncbi.nlm.nih.gov/nuccore/CP000304.1?report=graph&amp;tracks=[key:gene_model_track,Options:GeneOnly]&amp;mk=1510933:1510952|offset_17|444444,1510913:1510932|offset_37|444444,1510883:1510902|offset_67|444444,1510843:1510862|offset_107|00cc00&amp;v=1510732:1511062&amp;c=444444", "offset 107")</f>
        <v>offset 107</v>
      </c>
    </row>
    <row r="5455" customFormat="false" ht="12.8" hidden="false" customHeight="false" outlineLevel="0" collapsed="false">
      <c r="A5455" s="0" t="s">
        <v>12</v>
      </c>
      <c r="B5455" s="0" t="n">
        <v>1513646</v>
      </c>
      <c r="C5455" s="0" t="n">
        <v>1513666</v>
      </c>
      <c r="D5455" s="0" t="s">
        <v>18278</v>
      </c>
      <c r="E5455" s="0" t="s">
        <v>18279</v>
      </c>
      <c r="F5455" s="0" t="s">
        <v>90</v>
      </c>
      <c r="G5455" s="0" t="s">
        <v>26</v>
      </c>
      <c r="H5455" s="0" t="n">
        <v>52</v>
      </c>
      <c r="I5455" s="0" t="s">
        <v>18280</v>
      </c>
      <c r="J5455" s="0" t="s">
        <v>18281</v>
      </c>
      <c r="K5455" s="0" t="s">
        <v>18282</v>
      </c>
      <c r="L5455" s="0" t="str">
        <f aca="false">HYPERLINK("https://www.ncbi.nlm.nih.gov/nuccore/CP000304.1?report=graph&amp;tracks=[key:gene_model_track,Options:GeneOnly]&amp;mk=1513647:1513666|offset_52|00cc00,1513623:1513642|offset_76|444444,1513594:1513613|offset_105|444444,1513567:1513586|offset_132|444444&amp;v=1513446:1513786&amp;c=444444", "offset 52")</f>
        <v>offset 52</v>
      </c>
    </row>
    <row r="5456" customFormat="false" ht="12.8" hidden="false" customHeight="false" outlineLevel="0" collapsed="false">
      <c r="A5456" s="0" t="s">
        <v>12</v>
      </c>
      <c r="B5456" s="0" t="n">
        <v>1513622</v>
      </c>
      <c r="C5456" s="0" t="n">
        <v>1513642</v>
      </c>
      <c r="D5456" s="0" t="s">
        <v>18278</v>
      </c>
      <c r="E5456" s="0" t="s">
        <v>18279</v>
      </c>
      <c r="F5456" s="0" t="s">
        <v>90</v>
      </c>
      <c r="G5456" s="0" t="s">
        <v>36</v>
      </c>
      <c r="H5456" s="0" t="n">
        <v>76</v>
      </c>
      <c r="I5456" s="0" t="s">
        <v>18283</v>
      </c>
      <c r="J5456" s="0" t="s">
        <v>18284</v>
      </c>
      <c r="K5456" s="0" t="s">
        <v>18285</v>
      </c>
      <c r="L5456" s="0" t="str">
        <f aca="false">HYPERLINK("https://www.ncbi.nlm.nih.gov/nuccore/CP000304.1?report=graph&amp;tracks=[key:gene_model_track,Options:GeneOnly]&amp;mk=1513647:1513666|offset_52|444444,1513623:1513642|offset_76|00cc00,1513594:1513613|offset_105|444444,1513567:1513586|offset_132|444444&amp;v=1513446:1513786&amp;c=444444", "offset 76")</f>
        <v>offset 76</v>
      </c>
    </row>
    <row r="5457" customFormat="false" ht="12.8" hidden="false" customHeight="false" outlineLevel="0" collapsed="false">
      <c r="A5457" s="0" t="s">
        <v>12</v>
      </c>
      <c r="B5457" s="0" t="n">
        <v>1513593</v>
      </c>
      <c r="C5457" s="0" t="n">
        <v>1513613</v>
      </c>
      <c r="D5457" s="0" t="s">
        <v>18278</v>
      </c>
      <c r="E5457" s="0" t="s">
        <v>18279</v>
      </c>
      <c r="F5457" s="0" t="s">
        <v>90</v>
      </c>
      <c r="G5457" s="0" t="s">
        <v>32</v>
      </c>
      <c r="H5457" s="0" t="n">
        <v>105</v>
      </c>
      <c r="I5457" s="0" t="s">
        <v>18286</v>
      </c>
      <c r="J5457" s="0" t="s">
        <v>18287</v>
      </c>
      <c r="K5457" s="0" t="s">
        <v>18288</v>
      </c>
      <c r="L5457" s="0" t="str">
        <f aca="false">HYPERLINK("https://www.ncbi.nlm.nih.gov/nuccore/CP000304.1?report=graph&amp;tracks=[key:gene_model_track,Options:GeneOnly]&amp;mk=1513647:1513666|offset_52|444444,1513623:1513642|offset_76|444444,1513594:1513613|offset_105|00cc00,1513567:1513586|offset_132|444444&amp;v=1513446:1513786&amp;c=444444", "offset 105")</f>
        <v>offset 105</v>
      </c>
    </row>
    <row r="5458" customFormat="false" ht="12.8" hidden="false" customHeight="false" outlineLevel="0" collapsed="false">
      <c r="A5458" s="0" t="s">
        <v>12</v>
      </c>
      <c r="B5458" s="0" t="n">
        <v>1513566</v>
      </c>
      <c r="C5458" s="0" t="n">
        <v>1513586</v>
      </c>
      <c r="D5458" s="0" t="s">
        <v>18278</v>
      </c>
      <c r="E5458" s="0" t="s">
        <v>18279</v>
      </c>
      <c r="F5458" s="0" t="s">
        <v>90</v>
      </c>
      <c r="G5458" s="0" t="s">
        <v>32</v>
      </c>
      <c r="H5458" s="0" t="n">
        <v>132</v>
      </c>
      <c r="I5458" s="0" t="s">
        <v>18289</v>
      </c>
      <c r="J5458" s="0" t="s">
        <v>18290</v>
      </c>
      <c r="K5458" s="0" t="s">
        <v>18291</v>
      </c>
      <c r="L5458" s="0" t="str">
        <f aca="false">HYPERLINK("https://www.ncbi.nlm.nih.gov/nuccore/CP000304.1?report=graph&amp;tracks=[key:gene_model_track,Options:GeneOnly]&amp;mk=1513647:1513666|offset_52|444444,1513623:1513642|offset_76|444444,1513594:1513613|offset_105|444444,1513567:1513586|offset_132|00cc00&amp;v=1513446:1513786&amp;c=444444", "offset 132")</f>
        <v>offset 132</v>
      </c>
    </row>
    <row r="5459" customFormat="false" ht="12.8" hidden="false" customHeight="false" outlineLevel="0" collapsed="false">
      <c r="A5459" s="0" t="s">
        <v>12</v>
      </c>
      <c r="B5459" s="0" t="n">
        <v>1513730</v>
      </c>
      <c r="C5459" s="0" t="n">
        <v>1513750</v>
      </c>
      <c r="D5459" s="0" t="s">
        <v>18292</v>
      </c>
      <c r="E5459" s="0" t="s">
        <v>89</v>
      </c>
      <c r="F5459" s="0" t="s">
        <v>15</v>
      </c>
      <c r="G5459" s="0" t="s">
        <v>16</v>
      </c>
      <c r="H5459" s="0" t="n">
        <v>57</v>
      </c>
      <c r="I5459" s="0" t="s">
        <v>18293</v>
      </c>
      <c r="J5459" s="0" t="s">
        <v>18294</v>
      </c>
      <c r="K5459" s="0" t="s">
        <v>18295</v>
      </c>
      <c r="L5459" s="0" t="str">
        <f aca="false">HYPERLINK("https://www.ncbi.nlm.nih.gov/nuccore/CP000304.1?report=graph&amp;tracks=[key:gene_model_track,Options:GeneOnly]&amp;mk=1513731:1513750|offset_57|00cc00,1513768:1513787|offset_94|444444,1513793:1513812|offset_119|444444,1513817:1513836|offset_143|444444&amp;v=1513530:1514036&amp;c=444444", "offset 57")</f>
        <v>offset 57</v>
      </c>
    </row>
    <row r="5460" customFormat="false" ht="12.8" hidden="false" customHeight="false" outlineLevel="0" collapsed="false">
      <c r="A5460" s="0" t="s">
        <v>12</v>
      </c>
      <c r="B5460" s="0" t="n">
        <v>1513767</v>
      </c>
      <c r="C5460" s="0" t="n">
        <v>1513787</v>
      </c>
      <c r="D5460" s="0" t="s">
        <v>18292</v>
      </c>
      <c r="E5460" s="0" t="s">
        <v>89</v>
      </c>
      <c r="F5460" s="0" t="s">
        <v>15</v>
      </c>
      <c r="G5460" s="0" t="s">
        <v>16</v>
      </c>
      <c r="H5460" s="0" t="n">
        <v>94</v>
      </c>
      <c r="I5460" s="0" t="s">
        <v>18296</v>
      </c>
      <c r="J5460" s="0" t="s">
        <v>18297</v>
      </c>
      <c r="K5460" s="0" t="s">
        <v>18298</v>
      </c>
      <c r="L5460" s="0" t="str">
        <f aca="false">HYPERLINK("https://www.ncbi.nlm.nih.gov/nuccore/CP000304.1?report=graph&amp;tracks=[key:gene_model_track,Options:GeneOnly]&amp;mk=1513731:1513750|offset_57|444444,1513768:1513787|offset_94|00cc00,1513793:1513812|offset_119|444444,1513817:1513836|offset_143|444444&amp;v=1513530:1514036&amp;c=444444", "offset 94")</f>
        <v>offset 94</v>
      </c>
    </row>
    <row r="5461" customFormat="false" ht="12.8" hidden="false" customHeight="false" outlineLevel="0" collapsed="false">
      <c r="A5461" s="0" t="s">
        <v>12</v>
      </c>
      <c r="B5461" s="0" t="n">
        <v>1513792</v>
      </c>
      <c r="C5461" s="0" t="n">
        <v>1513812</v>
      </c>
      <c r="D5461" s="0" t="s">
        <v>18292</v>
      </c>
      <c r="E5461" s="0" t="s">
        <v>89</v>
      </c>
      <c r="F5461" s="0" t="s">
        <v>15</v>
      </c>
      <c r="G5461" s="0" t="s">
        <v>26</v>
      </c>
      <c r="H5461" s="0" t="n">
        <v>119</v>
      </c>
      <c r="I5461" s="0" t="s">
        <v>18299</v>
      </c>
      <c r="J5461" s="0" t="s">
        <v>18300</v>
      </c>
      <c r="K5461" s="0" t="s">
        <v>18301</v>
      </c>
      <c r="L5461" s="0" t="str">
        <f aca="false">HYPERLINK("https://www.ncbi.nlm.nih.gov/nuccore/CP000304.1?report=graph&amp;tracks=[key:gene_model_track,Options:GeneOnly]&amp;mk=1513731:1513750|offset_57|444444,1513768:1513787|offset_94|444444,1513793:1513812|offset_119|00cc00,1513817:1513836|offset_143|444444&amp;v=1513530:1514036&amp;c=444444", "offset 119")</f>
        <v>offset 119</v>
      </c>
    </row>
    <row r="5462" customFormat="false" ht="12.8" hidden="false" customHeight="false" outlineLevel="0" collapsed="false">
      <c r="A5462" s="0" t="s">
        <v>12</v>
      </c>
      <c r="B5462" s="0" t="n">
        <v>1513816</v>
      </c>
      <c r="C5462" s="0" t="n">
        <v>1513836</v>
      </c>
      <c r="D5462" s="0" t="s">
        <v>18292</v>
      </c>
      <c r="E5462" s="0" t="s">
        <v>89</v>
      </c>
      <c r="F5462" s="0" t="s">
        <v>15</v>
      </c>
      <c r="G5462" s="0" t="s">
        <v>36</v>
      </c>
      <c r="H5462" s="0" t="n">
        <v>143</v>
      </c>
      <c r="I5462" s="0" t="s">
        <v>18302</v>
      </c>
      <c r="J5462" s="0" t="s">
        <v>18303</v>
      </c>
      <c r="K5462" s="0" t="s">
        <v>18304</v>
      </c>
      <c r="L5462" s="0" t="str">
        <f aca="false">HYPERLINK("https://www.ncbi.nlm.nih.gov/nuccore/CP000304.1?report=graph&amp;tracks=[key:gene_model_track,Options:GeneOnly]&amp;mk=1513731:1513750|offset_57|444444,1513768:1513787|offset_94|444444,1513793:1513812|offset_119|444444,1513817:1513836|offset_143|00cc00&amp;v=1513530:1514036&amp;c=444444", "offset 143")</f>
        <v>offset 143</v>
      </c>
    </row>
    <row r="5463" customFormat="false" ht="12.8" hidden="false" customHeight="false" outlineLevel="0" collapsed="false">
      <c r="A5463" s="0" t="s">
        <v>12</v>
      </c>
      <c r="B5463" s="0" t="n">
        <v>1515849</v>
      </c>
      <c r="C5463" s="0" t="n">
        <v>1515869</v>
      </c>
      <c r="D5463" s="0" t="s">
        <v>18305</v>
      </c>
      <c r="E5463" s="0" t="s">
        <v>89</v>
      </c>
      <c r="F5463" s="0" t="s">
        <v>90</v>
      </c>
      <c r="G5463" s="0" t="s">
        <v>16</v>
      </c>
      <c r="H5463" s="0" t="n">
        <v>7</v>
      </c>
      <c r="I5463" s="0" t="s">
        <v>18306</v>
      </c>
      <c r="J5463" s="0" t="s">
        <v>18307</v>
      </c>
      <c r="K5463" s="0" t="s">
        <v>18308</v>
      </c>
      <c r="L5463" s="0" t="str">
        <f aca="false">HYPERLINK("https://www.ncbi.nlm.nih.gov/nuccore/CP000304.1?report=graph&amp;tracks=[key:gene_model_track,Options:GeneOnly]&amp;mk=1515850:1515869|offset_7|00cc00,1515828:1515847|offset_29|444444,1515807:1515826|offset_50|444444,1515778:1515797|offset_79|444444&amp;v=1515649:1515997&amp;c=444444", "offset 7")</f>
        <v>offset 7</v>
      </c>
    </row>
    <row r="5464" customFormat="false" ht="12.8" hidden="false" customHeight="false" outlineLevel="0" collapsed="false">
      <c r="A5464" s="0" t="s">
        <v>12</v>
      </c>
      <c r="B5464" s="0" t="n">
        <v>1515827</v>
      </c>
      <c r="C5464" s="0" t="n">
        <v>1515847</v>
      </c>
      <c r="D5464" s="0" t="s">
        <v>18305</v>
      </c>
      <c r="E5464" s="0" t="s">
        <v>89</v>
      </c>
      <c r="F5464" s="0" t="s">
        <v>90</v>
      </c>
      <c r="G5464" s="0" t="s">
        <v>26</v>
      </c>
      <c r="H5464" s="0" t="n">
        <v>29</v>
      </c>
      <c r="I5464" s="0" t="s">
        <v>18309</v>
      </c>
      <c r="J5464" s="0" t="s">
        <v>18310</v>
      </c>
      <c r="K5464" s="0" t="s">
        <v>18311</v>
      </c>
      <c r="L5464" s="0" t="str">
        <f aca="false">HYPERLINK("https://www.ncbi.nlm.nih.gov/nuccore/CP000304.1?report=graph&amp;tracks=[key:gene_model_track,Options:GeneOnly]&amp;mk=1515850:1515869|offset_7|444444,1515828:1515847|offset_29|00cc00,1515807:1515826|offset_50|444444,1515778:1515797|offset_79|444444&amp;v=1515649:1515997&amp;c=444444", "offset 29")</f>
        <v>offset 29</v>
      </c>
    </row>
    <row r="5465" customFormat="false" ht="12.8" hidden="false" customHeight="false" outlineLevel="0" collapsed="false">
      <c r="A5465" s="0" t="s">
        <v>12</v>
      </c>
      <c r="B5465" s="0" t="n">
        <v>1515806</v>
      </c>
      <c r="C5465" s="0" t="n">
        <v>1515826</v>
      </c>
      <c r="D5465" s="0" t="s">
        <v>18305</v>
      </c>
      <c r="E5465" s="0" t="s">
        <v>89</v>
      </c>
      <c r="F5465" s="0" t="s">
        <v>90</v>
      </c>
      <c r="G5465" s="0" t="s">
        <v>26</v>
      </c>
      <c r="H5465" s="0" t="n">
        <v>50</v>
      </c>
      <c r="I5465" s="0" t="s">
        <v>18312</v>
      </c>
      <c r="J5465" s="0" t="s">
        <v>18313</v>
      </c>
      <c r="K5465" s="0" t="s">
        <v>18314</v>
      </c>
      <c r="L5465" s="0" t="str">
        <f aca="false">HYPERLINK("https://www.ncbi.nlm.nih.gov/nuccore/CP000304.1?report=graph&amp;tracks=[key:gene_model_track,Options:GeneOnly]&amp;mk=1515850:1515869|offset_7|444444,1515828:1515847|offset_29|444444,1515807:1515826|offset_50|00cc00,1515778:1515797|offset_79|444444&amp;v=1515649:1515997&amp;c=444444", "offset 50")</f>
        <v>offset 50</v>
      </c>
    </row>
    <row r="5466" customFormat="false" ht="12.8" hidden="false" customHeight="false" outlineLevel="0" collapsed="false">
      <c r="A5466" s="0" t="s">
        <v>12</v>
      </c>
      <c r="B5466" s="0" t="n">
        <v>1515777</v>
      </c>
      <c r="C5466" s="0" t="n">
        <v>1515797</v>
      </c>
      <c r="D5466" s="0" t="s">
        <v>18305</v>
      </c>
      <c r="E5466" s="0" t="s">
        <v>89</v>
      </c>
      <c r="F5466" s="0" t="s">
        <v>90</v>
      </c>
      <c r="G5466" s="0" t="s">
        <v>26</v>
      </c>
      <c r="H5466" s="0" t="n">
        <v>79</v>
      </c>
      <c r="I5466" s="0" t="s">
        <v>18315</v>
      </c>
      <c r="J5466" s="0" t="s">
        <v>18316</v>
      </c>
      <c r="K5466" s="0" t="s">
        <v>18317</v>
      </c>
      <c r="L5466" s="0" t="str">
        <f aca="false">HYPERLINK("https://www.ncbi.nlm.nih.gov/nuccore/CP000304.1?report=graph&amp;tracks=[key:gene_model_track,Options:GeneOnly]&amp;mk=1515850:1515869|offset_7|444444,1515828:1515847|offset_29|444444,1515807:1515826|offset_50|444444,1515778:1515797|offset_79|00cc00&amp;v=1515649:1515997&amp;c=444444", "offset 79")</f>
        <v>offset 79</v>
      </c>
    </row>
    <row r="5467" customFormat="false" ht="12.8" hidden="false" customHeight="false" outlineLevel="0" collapsed="false">
      <c r="A5467" s="0" t="s">
        <v>12</v>
      </c>
      <c r="B5467" s="0" t="n">
        <v>1516214</v>
      </c>
      <c r="C5467" s="0" t="n">
        <v>1516234</v>
      </c>
      <c r="D5467" s="0" t="s">
        <v>18318</v>
      </c>
      <c r="E5467" s="0" t="s">
        <v>89</v>
      </c>
      <c r="F5467" s="0" t="s">
        <v>90</v>
      </c>
      <c r="G5467" s="0" t="s">
        <v>16</v>
      </c>
      <c r="H5467" s="0" t="n">
        <v>16</v>
      </c>
      <c r="I5467" s="0" t="s">
        <v>18319</v>
      </c>
      <c r="J5467" s="0" t="s">
        <v>18320</v>
      </c>
      <c r="K5467" s="0" t="s">
        <v>18321</v>
      </c>
      <c r="L5467" s="0" t="str">
        <f aca="false">HYPERLINK("https://www.ncbi.nlm.nih.gov/nuccore/CP000304.1?report=graph&amp;tracks=[key:gene_model_track,Options:GeneOnly]&amp;mk=1516215:1516234|offset_16|00cc00,1516176:1516195|offset_55|444444,1516107:1516126|offset_124|444444,1516085:1516104|offset_146|444444&amp;v=1516014:1516304&amp;c=444444", "offset 16")</f>
        <v>offset 16</v>
      </c>
    </row>
    <row r="5468" customFormat="false" ht="12.8" hidden="false" customHeight="false" outlineLevel="0" collapsed="false">
      <c r="A5468" s="0" t="s">
        <v>12</v>
      </c>
      <c r="B5468" s="0" t="n">
        <v>1516175</v>
      </c>
      <c r="C5468" s="0" t="n">
        <v>1516195</v>
      </c>
      <c r="D5468" s="0" t="s">
        <v>18318</v>
      </c>
      <c r="E5468" s="0" t="s">
        <v>89</v>
      </c>
      <c r="F5468" s="0" t="s">
        <v>90</v>
      </c>
      <c r="G5468" s="0" t="s">
        <v>26</v>
      </c>
      <c r="H5468" s="0" t="n">
        <v>55</v>
      </c>
      <c r="I5468" s="0" t="s">
        <v>18322</v>
      </c>
      <c r="J5468" s="0" t="s">
        <v>18323</v>
      </c>
      <c r="K5468" s="0" t="s">
        <v>18324</v>
      </c>
      <c r="L5468" s="0" t="str">
        <f aca="false">HYPERLINK("https://www.ncbi.nlm.nih.gov/nuccore/CP000304.1?report=graph&amp;tracks=[key:gene_model_track,Options:GeneOnly]&amp;mk=1516215:1516234|offset_16|444444,1516176:1516195|offset_55|00cc00,1516107:1516126|offset_124|444444,1516085:1516104|offset_146|444444&amp;v=1516014:1516304&amp;c=444444", "offset 55")</f>
        <v>offset 55</v>
      </c>
    </row>
    <row r="5469" customFormat="false" ht="12.8" hidden="false" customHeight="false" outlineLevel="0" collapsed="false">
      <c r="A5469" s="0" t="s">
        <v>12</v>
      </c>
      <c r="B5469" s="0" t="n">
        <v>1516106</v>
      </c>
      <c r="C5469" s="0" t="n">
        <v>1516126</v>
      </c>
      <c r="D5469" s="0" t="s">
        <v>18318</v>
      </c>
      <c r="E5469" s="0" t="s">
        <v>89</v>
      </c>
      <c r="F5469" s="0" t="s">
        <v>90</v>
      </c>
      <c r="G5469" s="0" t="s">
        <v>26</v>
      </c>
      <c r="H5469" s="0" t="n">
        <v>124</v>
      </c>
      <c r="I5469" s="0" t="s">
        <v>18325</v>
      </c>
      <c r="J5469" s="0" t="s">
        <v>18326</v>
      </c>
      <c r="K5469" s="0" t="s">
        <v>18327</v>
      </c>
      <c r="L5469" s="0" t="str">
        <f aca="false">HYPERLINK("https://www.ncbi.nlm.nih.gov/nuccore/CP000304.1?report=graph&amp;tracks=[key:gene_model_track,Options:GeneOnly]&amp;mk=1516215:1516234|offset_16|444444,1516176:1516195|offset_55|444444,1516107:1516126|offset_124|00cc00,1516085:1516104|offset_146|444444&amp;v=1516014:1516304&amp;c=444444", "offset 124")</f>
        <v>offset 124</v>
      </c>
    </row>
    <row r="5470" customFormat="false" ht="12.8" hidden="false" customHeight="false" outlineLevel="0" collapsed="false">
      <c r="A5470" s="0" t="s">
        <v>12</v>
      </c>
      <c r="B5470" s="0" t="n">
        <v>1516084</v>
      </c>
      <c r="C5470" s="0" t="n">
        <v>1516104</v>
      </c>
      <c r="D5470" s="0" t="s">
        <v>18318</v>
      </c>
      <c r="E5470" s="0" t="s">
        <v>89</v>
      </c>
      <c r="F5470" s="0" t="s">
        <v>90</v>
      </c>
      <c r="G5470" s="0" t="s">
        <v>26</v>
      </c>
      <c r="H5470" s="0" t="n">
        <v>146</v>
      </c>
      <c r="I5470" s="0" t="s">
        <v>18328</v>
      </c>
      <c r="J5470" s="0" t="s">
        <v>18329</v>
      </c>
      <c r="K5470" s="0" t="s">
        <v>18330</v>
      </c>
      <c r="L5470" s="0" t="str">
        <f aca="false">HYPERLINK("https://www.ncbi.nlm.nih.gov/nuccore/CP000304.1?report=graph&amp;tracks=[key:gene_model_track,Options:GeneOnly]&amp;mk=1516215:1516234|offset_16|444444,1516176:1516195|offset_55|444444,1516107:1516126|offset_124|444444,1516085:1516104|offset_146|00cc00&amp;v=1516014:1516304&amp;c=444444", "offset 146")</f>
        <v>offset 146</v>
      </c>
    </row>
    <row r="5471" customFormat="false" ht="12.8" hidden="false" customHeight="false" outlineLevel="0" collapsed="false">
      <c r="A5471" s="0" t="s">
        <v>12</v>
      </c>
      <c r="B5471" s="0" t="n">
        <v>1516505</v>
      </c>
      <c r="C5471" s="0" t="n">
        <v>1516525</v>
      </c>
      <c r="D5471" s="0" t="s">
        <v>18331</v>
      </c>
      <c r="E5471" s="0" t="s">
        <v>89</v>
      </c>
      <c r="F5471" s="0" t="s">
        <v>90</v>
      </c>
      <c r="G5471" s="0" t="s">
        <v>16</v>
      </c>
      <c r="H5471" s="0" t="n">
        <v>8</v>
      </c>
      <c r="I5471" s="0" t="s">
        <v>18332</v>
      </c>
      <c r="J5471" s="0" t="s">
        <v>18333</v>
      </c>
      <c r="K5471" s="0" t="s">
        <v>18334</v>
      </c>
      <c r="L5471" s="0" t="str">
        <f aca="false">HYPERLINK("https://www.ncbi.nlm.nih.gov/nuccore/CP000304.1?report=graph&amp;tracks=[key:gene_model_track,Options:GeneOnly]&amp;mk=1516506:1516525|offset_8|00cc00,1516480:1516499|offset_34|444444,1516455:1516474|offset_59|444444,1516431:1516450|offset_83|444444&amp;v=1516305:1516650&amp;c=444444", "offset 8")</f>
        <v>offset 8</v>
      </c>
    </row>
    <row r="5472" customFormat="false" ht="12.8" hidden="false" customHeight="false" outlineLevel="0" collapsed="false">
      <c r="A5472" s="0" t="s">
        <v>12</v>
      </c>
      <c r="B5472" s="0" t="n">
        <v>1516479</v>
      </c>
      <c r="C5472" s="0" t="n">
        <v>1516499</v>
      </c>
      <c r="D5472" s="0" t="s">
        <v>18331</v>
      </c>
      <c r="E5472" s="0" t="s">
        <v>89</v>
      </c>
      <c r="F5472" s="0" t="s">
        <v>90</v>
      </c>
      <c r="G5472" s="0" t="s">
        <v>36</v>
      </c>
      <c r="H5472" s="0" t="n">
        <v>34</v>
      </c>
      <c r="I5472" s="0" t="s">
        <v>18335</v>
      </c>
      <c r="J5472" s="0" t="s">
        <v>18336</v>
      </c>
      <c r="K5472" s="0" t="s">
        <v>18337</v>
      </c>
      <c r="L5472" s="0" t="str">
        <f aca="false">HYPERLINK("https://www.ncbi.nlm.nih.gov/nuccore/CP000304.1?report=graph&amp;tracks=[key:gene_model_track,Options:GeneOnly]&amp;mk=1516506:1516525|offset_8|444444,1516480:1516499|offset_34|00cc00,1516455:1516474|offset_59|444444,1516431:1516450|offset_83|444444&amp;v=1516305:1516650&amp;c=444444", "offset 34")</f>
        <v>offset 34</v>
      </c>
    </row>
    <row r="5473" customFormat="false" ht="12.8" hidden="false" customHeight="false" outlineLevel="0" collapsed="false">
      <c r="A5473" s="0" t="s">
        <v>12</v>
      </c>
      <c r="B5473" s="0" t="n">
        <v>1516454</v>
      </c>
      <c r="C5473" s="0" t="n">
        <v>1516474</v>
      </c>
      <c r="D5473" s="0" t="s">
        <v>18331</v>
      </c>
      <c r="E5473" s="0" t="s">
        <v>89</v>
      </c>
      <c r="F5473" s="0" t="s">
        <v>90</v>
      </c>
      <c r="G5473" s="0" t="s">
        <v>16</v>
      </c>
      <c r="H5473" s="0" t="n">
        <v>59</v>
      </c>
      <c r="I5473" s="0" t="s">
        <v>18338</v>
      </c>
      <c r="J5473" s="0" t="s">
        <v>18339</v>
      </c>
      <c r="K5473" s="0" t="s">
        <v>18340</v>
      </c>
      <c r="L5473" s="0" t="str">
        <f aca="false">HYPERLINK("https://www.ncbi.nlm.nih.gov/nuccore/CP000304.1?report=graph&amp;tracks=[key:gene_model_track,Options:GeneOnly]&amp;mk=1516506:1516525|offset_8|444444,1516480:1516499|offset_34|444444,1516455:1516474|offset_59|00cc00,1516431:1516450|offset_83|444444&amp;v=1516305:1516650&amp;c=444444", "offset 59")</f>
        <v>offset 59</v>
      </c>
    </row>
    <row r="5474" customFormat="false" ht="12.8" hidden="false" customHeight="false" outlineLevel="0" collapsed="false">
      <c r="A5474" s="0" t="s">
        <v>12</v>
      </c>
      <c r="B5474" s="0" t="n">
        <v>1516430</v>
      </c>
      <c r="C5474" s="0" t="n">
        <v>1516450</v>
      </c>
      <c r="D5474" s="0" t="s">
        <v>18331</v>
      </c>
      <c r="E5474" s="0" t="s">
        <v>89</v>
      </c>
      <c r="F5474" s="0" t="s">
        <v>90</v>
      </c>
      <c r="G5474" s="0" t="s">
        <v>26</v>
      </c>
      <c r="H5474" s="0" t="n">
        <v>83</v>
      </c>
      <c r="I5474" s="0" t="s">
        <v>18341</v>
      </c>
      <c r="J5474" s="0" t="s">
        <v>18342</v>
      </c>
      <c r="K5474" s="0" t="s">
        <v>18343</v>
      </c>
      <c r="L5474" s="0" t="str">
        <f aca="false">HYPERLINK("https://www.ncbi.nlm.nih.gov/nuccore/CP000304.1?report=graph&amp;tracks=[key:gene_model_track,Options:GeneOnly]&amp;mk=1516506:1516525|offset_8|444444,1516480:1516499|offset_34|444444,1516455:1516474|offset_59|444444,1516431:1516450|offset_83|00cc00&amp;v=1516305:1516650&amp;c=444444", "offset 83")</f>
        <v>offset 83</v>
      </c>
    </row>
    <row r="5475" customFormat="false" ht="12.8" hidden="false" customHeight="false" outlineLevel="0" collapsed="false">
      <c r="A5475" s="0" t="s">
        <v>12</v>
      </c>
      <c r="B5475" s="0" t="n">
        <v>1519927</v>
      </c>
      <c r="C5475" s="0" t="n">
        <v>1519947</v>
      </c>
      <c r="D5475" s="0" t="s">
        <v>18344</v>
      </c>
      <c r="E5475" s="0" t="s">
        <v>89</v>
      </c>
      <c r="F5475" s="0" t="s">
        <v>90</v>
      </c>
      <c r="G5475" s="0" t="s">
        <v>36</v>
      </c>
      <c r="H5475" s="0" t="n">
        <v>12</v>
      </c>
      <c r="I5475" s="0" t="s">
        <v>18345</v>
      </c>
      <c r="J5475" s="0" t="s">
        <v>18346</v>
      </c>
      <c r="K5475" s="0" t="s">
        <v>18347</v>
      </c>
      <c r="L5475" s="0" t="str">
        <f aca="false">HYPERLINK("https://www.ncbi.nlm.nih.gov/nuccore/CP000304.1?report=graph&amp;tracks=[key:gene_model_track,Options:GeneOnly]&amp;mk=1519928:1519947|offset_12|00cc00,1519900:1519919|offset_40|444444,1519875:1519894|offset_65|444444,1519840:1519859|offset_100|444444&amp;v=1519727:1520059&amp;c=444444", "offset 12")</f>
        <v>offset 12</v>
      </c>
    </row>
    <row r="5476" customFormat="false" ht="12.8" hidden="false" customHeight="false" outlineLevel="0" collapsed="false">
      <c r="A5476" s="0" t="s">
        <v>12</v>
      </c>
      <c r="B5476" s="0" t="n">
        <v>1519899</v>
      </c>
      <c r="C5476" s="0" t="n">
        <v>1519919</v>
      </c>
      <c r="D5476" s="0" t="s">
        <v>18344</v>
      </c>
      <c r="E5476" s="0" t="s">
        <v>89</v>
      </c>
      <c r="F5476" s="0" t="s">
        <v>90</v>
      </c>
      <c r="G5476" s="0" t="s">
        <v>32</v>
      </c>
      <c r="H5476" s="0" t="n">
        <v>40</v>
      </c>
      <c r="I5476" s="0" t="s">
        <v>18348</v>
      </c>
      <c r="J5476" s="0" t="s">
        <v>18349</v>
      </c>
      <c r="K5476" s="0" t="s">
        <v>18350</v>
      </c>
      <c r="L5476" s="0" t="str">
        <f aca="false">HYPERLINK("https://www.ncbi.nlm.nih.gov/nuccore/CP000304.1?report=graph&amp;tracks=[key:gene_model_track,Options:GeneOnly]&amp;mk=1519928:1519947|offset_12|444444,1519900:1519919|offset_40|00cc00,1519875:1519894|offset_65|444444,1519840:1519859|offset_100|444444&amp;v=1519727:1520059&amp;c=444444", "offset 40")</f>
        <v>offset 40</v>
      </c>
    </row>
    <row r="5477" customFormat="false" ht="12.8" hidden="false" customHeight="false" outlineLevel="0" collapsed="false">
      <c r="A5477" s="0" t="s">
        <v>12</v>
      </c>
      <c r="B5477" s="0" t="n">
        <v>1519874</v>
      </c>
      <c r="C5477" s="0" t="n">
        <v>1519894</v>
      </c>
      <c r="D5477" s="0" t="s">
        <v>18344</v>
      </c>
      <c r="E5477" s="0" t="s">
        <v>89</v>
      </c>
      <c r="F5477" s="0" t="s">
        <v>90</v>
      </c>
      <c r="G5477" s="0" t="s">
        <v>16</v>
      </c>
      <c r="H5477" s="0" t="n">
        <v>65</v>
      </c>
      <c r="I5477" s="0" t="s">
        <v>18351</v>
      </c>
      <c r="J5477" s="0" t="s">
        <v>18352</v>
      </c>
      <c r="K5477" s="0" t="s">
        <v>18353</v>
      </c>
      <c r="L5477" s="0" t="str">
        <f aca="false">HYPERLINK("https://www.ncbi.nlm.nih.gov/nuccore/CP000304.1?report=graph&amp;tracks=[key:gene_model_track,Options:GeneOnly]&amp;mk=1519928:1519947|offset_12|444444,1519900:1519919|offset_40|444444,1519875:1519894|offset_65|00cc00,1519840:1519859|offset_100|444444&amp;v=1519727:1520059&amp;c=444444", "offset 65")</f>
        <v>offset 65</v>
      </c>
    </row>
    <row r="5478" customFormat="false" ht="12.8" hidden="false" customHeight="false" outlineLevel="0" collapsed="false">
      <c r="A5478" s="0" t="s">
        <v>12</v>
      </c>
      <c r="B5478" s="0" t="n">
        <v>1519839</v>
      </c>
      <c r="C5478" s="0" t="n">
        <v>1519859</v>
      </c>
      <c r="D5478" s="0" t="s">
        <v>18344</v>
      </c>
      <c r="E5478" s="0" t="s">
        <v>89</v>
      </c>
      <c r="F5478" s="0" t="s">
        <v>90</v>
      </c>
      <c r="G5478" s="0" t="s">
        <v>26</v>
      </c>
      <c r="H5478" s="0" t="n">
        <v>100</v>
      </c>
      <c r="I5478" s="0" t="s">
        <v>18354</v>
      </c>
      <c r="J5478" s="0" t="s">
        <v>18355</v>
      </c>
      <c r="K5478" s="0" t="s">
        <v>18356</v>
      </c>
      <c r="L5478" s="0" t="str">
        <f aca="false">HYPERLINK("https://www.ncbi.nlm.nih.gov/nuccore/CP000304.1?report=graph&amp;tracks=[key:gene_model_track,Options:GeneOnly]&amp;mk=1519928:1519947|offset_12|444444,1519900:1519919|offset_40|444444,1519875:1519894|offset_65|444444,1519840:1519859|offset_100|00cc00&amp;v=1519727:1520059&amp;c=444444", "offset 100")</f>
        <v>offset 100</v>
      </c>
    </row>
    <row r="5479" customFormat="false" ht="12.8" hidden="false" customHeight="false" outlineLevel="0" collapsed="false">
      <c r="A5479" s="0" t="s">
        <v>12</v>
      </c>
      <c r="B5479" s="0" t="n">
        <v>1520513</v>
      </c>
      <c r="C5479" s="0" t="n">
        <v>1520533</v>
      </c>
      <c r="D5479" s="0" t="s">
        <v>18357</v>
      </c>
      <c r="E5479" s="0" t="s">
        <v>89</v>
      </c>
      <c r="F5479" s="0" t="s">
        <v>90</v>
      </c>
      <c r="G5479" s="0" t="s">
        <v>32</v>
      </c>
      <c r="H5479" s="0" t="n">
        <v>13</v>
      </c>
      <c r="I5479" s="0" t="s">
        <v>18358</v>
      </c>
      <c r="J5479" s="0" t="s">
        <v>18359</v>
      </c>
      <c r="K5479" s="0" t="s">
        <v>18360</v>
      </c>
      <c r="L5479" s="0" t="str">
        <f aca="false">HYPERLINK("https://www.ncbi.nlm.nih.gov/nuccore/CP000304.1?report=graph&amp;tracks=[key:gene_model_track,Options:GeneOnly]&amp;mk=1520514:1520533|offset_13|00cc00,1520478:1520497|offset_49|444444,1520456:1520475|offset_71|444444,1520417:1520436|offset_110|444444&amp;v=1520313:1520636&amp;c=444444", "offset 13")</f>
        <v>offset 13</v>
      </c>
    </row>
    <row r="5480" customFormat="false" ht="12.8" hidden="false" customHeight="false" outlineLevel="0" collapsed="false">
      <c r="A5480" s="0" t="s">
        <v>12</v>
      </c>
      <c r="B5480" s="0" t="n">
        <v>1520477</v>
      </c>
      <c r="C5480" s="0" t="n">
        <v>1520497</v>
      </c>
      <c r="D5480" s="0" t="s">
        <v>18357</v>
      </c>
      <c r="E5480" s="0" t="s">
        <v>89</v>
      </c>
      <c r="F5480" s="0" t="s">
        <v>90</v>
      </c>
      <c r="G5480" s="0" t="s">
        <v>36</v>
      </c>
      <c r="H5480" s="0" t="n">
        <v>49</v>
      </c>
      <c r="I5480" s="0" t="s">
        <v>18361</v>
      </c>
      <c r="J5480" s="0" t="s">
        <v>18362</v>
      </c>
      <c r="K5480" s="0" t="s">
        <v>18363</v>
      </c>
      <c r="L5480" s="0" t="str">
        <f aca="false">HYPERLINK("https://www.ncbi.nlm.nih.gov/nuccore/CP000304.1?report=graph&amp;tracks=[key:gene_model_track,Options:GeneOnly]&amp;mk=1520514:1520533|offset_13|444444,1520478:1520497|offset_49|00cc00,1520456:1520475|offset_71|444444,1520417:1520436|offset_110|444444&amp;v=1520313:1520636&amp;c=444444", "offset 49")</f>
        <v>offset 49</v>
      </c>
    </row>
    <row r="5481" customFormat="false" ht="12.8" hidden="false" customHeight="false" outlineLevel="0" collapsed="false">
      <c r="A5481" s="0" t="s">
        <v>12</v>
      </c>
      <c r="B5481" s="0" t="n">
        <v>1520455</v>
      </c>
      <c r="C5481" s="0" t="n">
        <v>1520475</v>
      </c>
      <c r="D5481" s="0" t="s">
        <v>18357</v>
      </c>
      <c r="E5481" s="0" t="s">
        <v>89</v>
      </c>
      <c r="F5481" s="0" t="s">
        <v>90</v>
      </c>
      <c r="G5481" s="0" t="s">
        <v>16</v>
      </c>
      <c r="H5481" s="0" t="n">
        <v>71</v>
      </c>
      <c r="I5481" s="0" t="s">
        <v>18364</v>
      </c>
      <c r="J5481" s="0" t="s">
        <v>18365</v>
      </c>
      <c r="K5481" s="0" t="s">
        <v>18366</v>
      </c>
      <c r="L5481" s="0" t="str">
        <f aca="false">HYPERLINK("https://www.ncbi.nlm.nih.gov/nuccore/CP000304.1?report=graph&amp;tracks=[key:gene_model_track,Options:GeneOnly]&amp;mk=1520514:1520533|offset_13|444444,1520478:1520497|offset_49|444444,1520456:1520475|offset_71|00cc00,1520417:1520436|offset_110|444444&amp;v=1520313:1520636&amp;c=444444", "offset 71")</f>
        <v>offset 71</v>
      </c>
    </row>
    <row r="5482" customFormat="false" ht="12.8" hidden="false" customHeight="false" outlineLevel="0" collapsed="false">
      <c r="A5482" s="0" t="s">
        <v>12</v>
      </c>
      <c r="B5482" s="0" t="n">
        <v>1520416</v>
      </c>
      <c r="C5482" s="0" t="n">
        <v>1520436</v>
      </c>
      <c r="D5482" s="0" t="s">
        <v>18357</v>
      </c>
      <c r="E5482" s="0" t="s">
        <v>89</v>
      </c>
      <c r="F5482" s="0" t="s">
        <v>90</v>
      </c>
      <c r="G5482" s="0" t="s">
        <v>16</v>
      </c>
      <c r="H5482" s="0" t="n">
        <v>110</v>
      </c>
      <c r="I5482" s="0" t="s">
        <v>18367</v>
      </c>
      <c r="J5482" s="0" t="s">
        <v>18368</v>
      </c>
      <c r="K5482" s="0" t="s">
        <v>18369</v>
      </c>
      <c r="L5482" s="0" t="str">
        <f aca="false">HYPERLINK("https://www.ncbi.nlm.nih.gov/nuccore/CP000304.1?report=graph&amp;tracks=[key:gene_model_track,Options:GeneOnly]&amp;mk=1520514:1520533|offset_13|444444,1520478:1520497|offset_49|444444,1520456:1520475|offset_71|444444,1520417:1520436|offset_110|00cc00&amp;v=1520313:1520636&amp;c=444444", "offset 110")</f>
        <v>offset 110</v>
      </c>
    </row>
    <row r="5483" customFormat="false" ht="12.8" hidden="false" customHeight="false" outlineLevel="0" collapsed="false">
      <c r="A5483" s="0" t="s">
        <v>12</v>
      </c>
      <c r="B5483" s="0" t="n">
        <v>1521942</v>
      </c>
      <c r="C5483" s="0" t="n">
        <v>1521962</v>
      </c>
      <c r="D5483" s="0" t="s">
        <v>18370</v>
      </c>
      <c r="E5483" s="0" t="s">
        <v>89</v>
      </c>
      <c r="F5483" s="0" t="s">
        <v>90</v>
      </c>
      <c r="G5483" s="0" t="s">
        <v>36</v>
      </c>
      <c r="H5483" s="0" t="n">
        <v>25</v>
      </c>
      <c r="I5483" s="0" t="s">
        <v>18371</v>
      </c>
      <c r="J5483" s="0" t="s">
        <v>18372</v>
      </c>
      <c r="K5483" s="0" t="s">
        <v>18373</v>
      </c>
      <c r="L5483" s="0" t="str">
        <f aca="false">HYPERLINK("https://www.ncbi.nlm.nih.gov/nuccore/CP000304.1?report=graph&amp;tracks=[key:gene_model_track,Options:GeneOnly]&amp;mk=1521943:1521962|offset_25|00cc00,1521922:1521941|offset_46|444444,1521900:1521919|offset_68|444444,1521876:1521895|offset_92|444444&amp;v=1521742:1522095&amp;c=444444", "offset 25")</f>
        <v>offset 25</v>
      </c>
    </row>
    <row r="5484" customFormat="false" ht="12.8" hidden="false" customHeight="false" outlineLevel="0" collapsed="false">
      <c r="A5484" s="0" t="s">
        <v>12</v>
      </c>
      <c r="B5484" s="0" t="n">
        <v>1521921</v>
      </c>
      <c r="C5484" s="0" t="n">
        <v>1521941</v>
      </c>
      <c r="D5484" s="0" t="s">
        <v>18370</v>
      </c>
      <c r="E5484" s="0" t="s">
        <v>89</v>
      </c>
      <c r="F5484" s="0" t="s">
        <v>90</v>
      </c>
      <c r="G5484" s="0" t="s">
        <v>26</v>
      </c>
      <c r="H5484" s="0" t="n">
        <v>46</v>
      </c>
      <c r="I5484" s="0" t="s">
        <v>18374</v>
      </c>
      <c r="J5484" s="0" t="s">
        <v>18375</v>
      </c>
      <c r="K5484" s="0" t="s">
        <v>18376</v>
      </c>
      <c r="L5484" s="0" t="str">
        <f aca="false">HYPERLINK("https://www.ncbi.nlm.nih.gov/nuccore/CP000304.1?report=graph&amp;tracks=[key:gene_model_track,Options:GeneOnly]&amp;mk=1521943:1521962|offset_25|444444,1521922:1521941|offset_46|00cc00,1521900:1521919|offset_68|444444,1521876:1521895|offset_92|444444&amp;v=1521742:1522095&amp;c=444444", "offset 46")</f>
        <v>offset 46</v>
      </c>
    </row>
    <row r="5485" customFormat="false" ht="12.8" hidden="false" customHeight="false" outlineLevel="0" collapsed="false">
      <c r="A5485" s="0" t="s">
        <v>12</v>
      </c>
      <c r="B5485" s="0" t="n">
        <v>1521899</v>
      </c>
      <c r="C5485" s="0" t="n">
        <v>1521919</v>
      </c>
      <c r="D5485" s="0" t="s">
        <v>18370</v>
      </c>
      <c r="E5485" s="0" t="s">
        <v>89</v>
      </c>
      <c r="F5485" s="0" t="s">
        <v>90</v>
      </c>
      <c r="G5485" s="0" t="s">
        <v>32</v>
      </c>
      <c r="H5485" s="0" t="n">
        <v>68</v>
      </c>
      <c r="I5485" s="0" t="s">
        <v>18377</v>
      </c>
      <c r="J5485" s="0" t="s">
        <v>18378</v>
      </c>
      <c r="K5485" s="0" t="s">
        <v>18379</v>
      </c>
      <c r="L5485" s="0" t="str">
        <f aca="false">HYPERLINK("https://www.ncbi.nlm.nih.gov/nuccore/CP000304.1?report=graph&amp;tracks=[key:gene_model_track,Options:GeneOnly]&amp;mk=1521943:1521962|offset_25|444444,1521922:1521941|offset_46|444444,1521900:1521919|offset_68|00cc00,1521876:1521895|offset_92|444444&amp;v=1521742:1522095&amp;c=444444", "offset 68")</f>
        <v>offset 68</v>
      </c>
    </row>
    <row r="5486" customFormat="false" ht="12.8" hidden="false" customHeight="false" outlineLevel="0" collapsed="false">
      <c r="A5486" s="0" t="s">
        <v>12</v>
      </c>
      <c r="B5486" s="0" t="n">
        <v>1521875</v>
      </c>
      <c r="C5486" s="0" t="n">
        <v>1521895</v>
      </c>
      <c r="D5486" s="0" t="s">
        <v>18370</v>
      </c>
      <c r="E5486" s="0" t="s">
        <v>89</v>
      </c>
      <c r="F5486" s="0" t="s">
        <v>90</v>
      </c>
      <c r="G5486" s="0" t="s">
        <v>26</v>
      </c>
      <c r="H5486" s="0" t="n">
        <v>92</v>
      </c>
      <c r="I5486" s="0" t="s">
        <v>18380</v>
      </c>
      <c r="J5486" s="0" t="s">
        <v>18381</v>
      </c>
      <c r="K5486" s="0" t="s">
        <v>18382</v>
      </c>
      <c r="L5486" s="0" t="str">
        <f aca="false">HYPERLINK("https://www.ncbi.nlm.nih.gov/nuccore/CP000304.1?report=graph&amp;tracks=[key:gene_model_track,Options:GeneOnly]&amp;mk=1521943:1521962|offset_25|444444,1521922:1521941|offset_46|444444,1521900:1521919|offset_68|444444,1521876:1521895|offset_92|00cc00&amp;v=1521742:1522095&amp;c=444444", "offset 92")</f>
        <v>offset 92</v>
      </c>
    </row>
    <row r="5487" customFormat="false" ht="12.8" hidden="false" customHeight="false" outlineLevel="0" collapsed="false">
      <c r="A5487" s="0" t="s">
        <v>12</v>
      </c>
      <c r="B5487" s="0" t="n">
        <v>1523256</v>
      </c>
      <c r="C5487" s="0" t="n">
        <v>1523276</v>
      </c>
      <c r="D5487" s="0" t="s">
        <v>18383</v>
      </c>
      <c r="E5487" s="0" t="s">
        <v>89</v>
      </c>
      <c r="F5487" s="0" t="s">
        <v>90</v>
      </c>
      <c r="G5487" s="0" t="s">
        <v>36</v>
      </c>
      <c r="H5487" s="0" t="n">
        <v>0</v>
      </c>
      <c r="I5487" s="0" t="s">
        <v>18384</v>
      </c>
      <c r="J5487" s="0" t="s">
        <v>18385</v>
      </c>
      <c r="K5487" s="0" t="s">
        <v>18386</v>
      </c>
      <c r="L5487" s="0" t="str">
        <f aca="false">HYPERLINK("https://www.ncbi.nlm.nih.gov/nuccore/CP000304.1?report=graph&amp;tracks=[key:gene_model_track,Options:GeneOnly]&amp;mk=1523257:1523276|offset_0|00cc00,1523237:1523256|offset_20|444444,1523211:1523230|offset_46|444444,1523190:1523209|offset_67|444444&amp;v=1523056:1523409&amp;c=444444", "offset 0")</f>
        <v>offset 0</v>
      </c>
    </row>
    <row r="5488" customFormat="false" ht="12.8" hidden="false" customHeight="false" outlineLevel="0" collapsed="false">
      <c r="A5488" s="0" t="s">
        <v>12</v>
      </c>
      <c r="B5488" s="0" t="n">
        <v>1523236</v>
      </c>
      <c r="C5488" s="0" t="n">
        <v>1523256</v>
      </c>
      <c r="D5488" s="0" t="s">
        <v>18383</v>
      </c>
      <c r="E5488" s="0" t="s">
        <v>89</v>
      </c>
      <c r="F5488" s="0" t="s">
        <v>90</v>
      </c>
      <c r="G5488" s="0" t="s">
        <v>32</v>
      </c>
      <c r="H5488" s="0" t="n">
        <v>20</v>
      </c>
      <c r="I5488" s="0" t="s">
        <v>18387</v>
      </c>
      <c r="J5488" s="0" t="s">
        <v>18388</v>
      </c>
      <c r="K5488" s="0" t="s">
        <v>18389</v>
      </c>
      <c r="L5488" s="0" t="str">
        <f aca="false">HYPERLINK("https://www.ncbi.nlm.nih.gov/nuccore/CP000304.1?report=graph&amp;tracks=[key:gene_model_track,Options:GeneOnly]&amp;mk=1523257:1523276|offset_0|444444,1523237:1523256|offset_20|00cc00,1523211:1523230|offset_46|444444,1523190:1523209|offset_67|444444&amp;v=1523056:1523409&amp;c=444444", "offset 20")</f>
        <v>offset 20</v>
      </c>
    </row>
    <row r="5489" customFormat="false" ht="12.8" hidden="false" customHeight="false" outlineLevel="0" collapsed="false">
      <c r="A5489" s="0" t="s">
        <v>12</v>
      </c>
      <c r="B5489" s="0" t="n">
        <v>1523210</v>
      </c>
      <c r="C5489" s="0" t="n">
        <v>1523230</v>
      </c>
      <c r="D5489" s="0" t="s">
        <v>18383</v>
      </c>
      <c r="E5489" s="0" t="s">
        <v>89</v>
      </c>
      <c r="F5489" s="0" t="s">
        <v>90</v>
      </c>
      <c r="G5489" s="0" t="s">
        <v>26</v>
      </c>
      <c r="H5489" s="0" t="n">
        <v>46</v>
      </c>
      <c r="I5489" s="0" t="s">
        <v>18390</v>
      </c>
      <c r="J5489" s="0" t="s">
        <v>18391</v>
      </c>
      <c r="K5489" s="0" t="s">
        <v>18392</v>
      </c>
      <c r="L5489" s="0" t="str">
        <f aca="false">HYPERLINK("https://www.ncbi.nlm.nih.gov/nuccore/CP000304.1?report=graph&amp;tracks=[key:gene_model_track,Options:GeneOnly]&amp;mk=1523257:1523276|offset_0|444444,1523237:1523256|offset_20|444444,1523211:1523230|offset_46|00cc00,1523190:1523209|offset_67|444444&amp;v=1523056:1523409&amp;c=444444", "offset 46")</f>
        <v>offset 46</v>
      </c>
    </row>
    <row r="5490" customFormat="false" ht="12.8" hidden="false" customHeight="false" outlineLevel="0" collapsed="false">
      <c r="A5490" s="0" t="s">
        <v>12</v>
      </c>
      <c r="B5490" s="0" t="n">
        <v>1523189</v>
      </c>
      <c r="C5490" s="0" t="n">
        <v>1523209</v>
      </c>
      <c r="D5490" s="0" t="s">
        <v>18383</v>
      </c>
      <c r="E5490" s="0" t="s">
        <v>89</v>
      </c>
      <c r="F5490" s="0" t="s">
        <v>90</v>
      </c>
      <c r="G5490" s="0" t="s">
        <v>32</v>
      </c>
      <c r="H5490" s="0" t="n">
        <v>67</v>
      </c>
      <c r="I5490" s="0" t="s">
        <v>18393</v>
      </c>
      <c r="J5490" s="0" t="s">
        <v>18394</v>
      </c>
      <c r="K5490" s="0" t="s">
        <v>18395</v>
      </c>
      <c r="L5490" s="0" t="str">
        <f aca="false">HYPERLINK("https://www.ncbi.nlm.nih.gov/nuccore/CP000304.1?report=graph&amp;tracks=[key:gene_model_track,Options:GeneOnly]&amp;mk=1523257:1523276|offset_0|444444,1523237:1523256|offset_20|444444,1523211:1523230|offset_46|444444,1523190:1523209|offset_67|00cc00&amp;v=1523056:1523409&amp;c=444444", "offset 67")</f>
        <v>offset 67</v>
      </c>
    </row>
    <row r="5491" customFormat="false" ht="12.8" hidden="false" customHeight="false" outlineLevel="0" collapsed="false">
      <c r="A5491" s="0" t="s">
        <v>12</v>
      </c>
      <c r="B5491" s="0" t="n">
        <v>1524092</v>
      </c>
      <c r="C5491" s="0" t="n">
        <v>1524112</v>
      </c>
      <c r="D5491" s="0" t="s">
        <v>18396</v>
      </c>
      <c r="E5491" s="0" t="s">
        <v>18397</v>
      </c>
      <c r="F5491" s="0" t="s">
        <v>90</v>
      </c>
      <c r="G5491" s="0" t="s">
        <v>16</v>
      </c>
      <c r="H5491" s="0" t="n">
        <v>46</v>
      </c>
      <c r="I5491" s="0" t="s">
        <v>18398</v>
      </c>
      <c r="J5491" s="0" t="s">
        <v>18399</v>
      </c>
      <c r="K5491" s="0" t="s">
        <v>18400</v>
      </c>
      <c r="L5491" s="0" t="str">
        <f aca="false">HYPERLINK("https://www.ncbi.nlm.nih.gov/nuccore/CP000304.1?report=graph&amp;tracks=[key:gene_model_track,Options:GeneOnly]&amp;mk=1524093:1524112|offset_46|00cc00,1524073:1524092|offset_66|444444,1524034:1524053|offset_105|444444,1524011:1524030|offset_128|444444&amp;v=1523892:1524230&amp;c=444444", "offset 46")</f>
        <v>offset 46</v>
      </c>
    </row>
    <row r="5492" customFormat="false" ht="12.8" hidden="false" customHeight="false" outlineLevel="0" collapsed="false">
      <c r="A5492" s="0" t="s">
        <v>12</v>
      </c>
      <c r="B5492" s="0" t="n">
        <v>1524072</v>
      </c>
      <c r="C5492" s="0" t="n">
        <v>1524092</v>
      </c>
      <c r="D5492" s="0" t="s">
        <v>18396</v>
      </c>
      <c r="E5492" s="0" t="s">
        <v>18397</v>
      </c>
      <c r="F5492" s="0" t="s">
        <v>90</v>
      </c>
      <c r="G5492" s="0" t="s">
        <v>32</v>
      </c>
      <c r="H5492" s="0" t="n">
        <v>66</v>
      </c>
      <c r="I5492" s="0" t="s">
        <v>18401</v>
      </c>
      <c r="J5492" s="0" t="s">
        <v>18402</v>
      </c>
      <c r="K5492" s="0" t="s">
        <v>18403</v>
      </c>
      <c r="L5492" s="0" t="str">
        <f aca="false">HYPERLINK("https://www.ncbi.nlm.nih.gov/nuccore/CP000304.1?report=graph&amp;tracks=[key:gene_model_track,Options:GeneOnly]&amp;mk=1524093:1524112|offset_46|444444,1524073:1524092|offset_66|00cc00,1524034:1524053|offset_105|444444,1524011:1524030|offset_128|444444&amp;v=1523892:1524230&amp;c=444444", "offset 66")</f>
        <v>offset 66</v>
      </c>
    </row>
    <row r="5493" customFormat="false" ht="12.8" hidden="false" customHeight="false" outlineLevel="0" collapsed="false">
      <c r="A5493" s="0" t="s">
        <v>12</v>
      </c>
      <c r="B5493" s="0" t="n">
        <v>1524033</v>
      </c>
      <c r="C5493" s="0" t="n">
        <v>1524053</v>
      </c>
      <c r="D5493" s="0" t="s">
        <v>18396</v>
      </c>
      <c r="E5493" s="0" t="s">
        <v>18397</v>
      </c>
      <c r="F5493" s="0" t="s">
        <v>90</v>
      </c>
      <c r="G5493" s="0" t="s">
        <v>36</v>
      </c>
      <c r="H5493" s="0" t="n">
        <v>105</v>
      </c>
      <c r="I5493" s="0" t="s">
        <v>18404</v>
      </c>
      <c r="J5493" s="0" t="s">
        <v>18405</v>
      </c>
      <c r="K5493" s="0" t="s">
        <v>18406</v>
      </c>
      <c r="L5493" s="0" t="str">
        <f aca="false">HYPERLINK("https://www.ncbi.nlm.nih.gov/nuccore/CP000304.1?report=graph&amp;tracks=[key:gene_model_track,Options:GeneOnly]&amp;mk=1524093:1524112|offset_46|444444,1524073:1524092|offset_66|444444,1524034:1524053|offset_105|00cc00,1524011:1524030|offset_128|444444&amp;v=1523892:1524230&amp;c=444444", "offset 105")</f>
        <v>offset 105</v>
      </c>
    </row>
    <row r="5494" customFormat="false" ht="12.8" hidden="false" customHeight="false" outlineLevel="0" collapsed="false">
      <c r="A5494" s="0" t="s">
        <v>12</v>
      </c>
      <c r="B5494" s="0" t="n">
        <v>1524010</v>
      </c>
      <c r="C5494" s="0" t="n">
        <v>1524030</v>
      </c>
      <c r="D5494" s="0" t="s">
        <v>18396</v>
      </c>
      <c r="E5494" s="0" t="s">
        <v>18397</v>
      </c>
      <c r="F5494" s="0" t="s">
        <v>90</v>
      </c>
      <c r="G5494" s="0" t="s">
        <v>32</v>
      </c>
      <c r="H5494" s="0" t="n">
        <v>128</v>
      </c>
      <c r="I5494" s="0" t="s">
        <v>18407</v>
      </c>
      <c r="J5494" s="0" t="s">
        <v>18408</v>
      </c>
      <c r="K5494" s="0" t="s">
        <v>18409</v>
      </c>
      <c r="L5494" s="0" t="str">
        <f aca="false">HYPERLINK("https://www.ncbi.nlm.nih.gov/nuccore/CP000304.1?report=graph&amp;tracks=[key:gene_model_track,Options:GeneOnly]&amp;mk=1524093:1524112|offset_46|444444,1524073:1524092|offset_66|444444,1524034:1524053|offset_105|444444,1524011:1524030|offset_128|00cc00&amp;v=1523892:1524230&amp;c=444444", "offset 128")</f>
        <v>offset 128</v>
      </c>
    </row>
    <row r="5495" customFormat="false" ht="12.8" hidden="false" customHeight="false" outlineLevel="0" collapsed="false">
      <c r="A5495" s="0" t="s">
        <v>12</v>
      </c>
      <c r="B5495" s="0" t="n">
        <v>1524454</v>
      </c>
      <c r="C5495" s="0" t="n">
        <v>1524474</v>
      </c>
      <c r="D5495" s="0" t="s">
        <v>18410</v>
      </c>
      <c r="E5495" s="0" t="s">
        <v>18411</v>
      </c>
      <c r="F5495" s="0" t="s">
        <v>90</v>
      </c>
      <c r="G5495" s="0" t="s">
        <v>36</v>
      </c>
      <c r="H5495" s="0" t="n">
        <v>46</v>
      </c>
      <c r="I5495" s="0" t="s">
        <v>18412</v>
      </c>
      <c r="J5495" s="0" t="s">
        <v>18413</v>
      </c>
      <c r="K5495" s="0" t="s">
        <v>18414</v>
      </c>
      <c r="L5495" s="0" t="str">
        <f aca="false">HYPERLINK("https://www.ncbi.nlm.nih.gov/nuccore/CP000304.1?report=graph&amp;tracks=[key:gene_model_track,Options:GeneOnly]&amp;mk=1524455:1524474|offset_46|00cc00,1524400:1524419|offset_101|444444,1524375:1524394|offset_126|444444,1524343:1524362|offset_158|444444&amp;v=1524254:1524562&amp;c=444444", "offset 46")</f>
        <v>offset 46</v>
      </c>
    </row>
    <row r="5496" customFormat="false" ht="12.8" hidden="false" customHeight="false" outlineLevel="0" collapsed="false">
      <c r="A5496" s="0" t="s">
        <v>12</v>
      </c>
      <c r="B5496" s="0" t="n">
        <v>1524399</v>
      </c>
      <c r="C5496" s="0" t="n">
        <v>1524419</v>
      </c>
      <c r="D5496" s="0" t="s">
        <v>18410</v>
      </c>
      <c r="E5496" s="0" t="s">
        <v>18411</v>
      </c>
      <c r="F5496" s="0" t="s">
        <v>90</v>
      </c>
      <c r="G5496" s="0" t="s">
        <v>32</v>
      </c>
      <c r="H5496" s="0" t="n">
        <v>101</v>
      </c>
      <c r="I5496" s="0" t="s">
        <v>18415</v>
      </c>
      <c r="J5496" s="0" t="s">
        <v>18416</v>
      </c>
      <c r="K5496" s="0" t="s">
        <v>18417</v>
      </c>
      <c r="L5496" s="0" t="str">
        <f aca="false">HYPERLINK("https://www.ncbi.nlm.nih.gov/nuccore/CP000304.1?report=graph&amp;tracks=[key:gene_model_track,Options:GeneOnly]&amp;mk=1524455:1524474|offset_46|444444,1524400:1524419|offset_101|00cc00,1524375:1524394|offset_126|444444,1524343:1524362|offset_158|444444&amp;v=1524254:1524562&amp;c=444444", "offset 101")</f>
        <v>offset 101</v>
      </c>
    </row>
    <row r="5497" customFormat="false" ht="12.8" hidden="false" customHeight="false" outlineLevel="0" collapsed="false">
      <c r="A5497" s="0" t="s">
        <v>12</v>
      </c>
      <c r="B5497" s="0" t="n">
        <v>1524374</v>
      </c>
      <c r="C5497" s="0" t="n">
        <v>1524394</v>
      </c>
      <c r="D5497" s="0" t="s">
        <v>18410</v>
      </c>
      <c r="E5497" s="0" t="s">
        <v>18411</v>
      </c>
      <c r="F5497" s="0" t="s">
        <v>90</v>
      </c>
      <c r="G5497" s="0" t="s">
        <v>16</v>
      </c>
      <c r="H5497" s="0" t="n">
        <v>126</v>
      </c>
      <c r="I5497" s="0" t="s">
        <v>18418</v>
      </c>
      <c r="J5497" s="0" t="s">
        <v>18419</v>
      </c>
      <c r="K5497" s="0" t="s">
        <v>18420</v>
      </c>
      <c r="L5497" s="0" t="str">
        <f aca="false">HYPERLINK("https://www.ncbi.nlm.nih.gov/nuccore/CP000304.1?report=graph&amp;tracks=[key:gene_model_track,Options:GeneOnly]&amp;mk=1524455:1524474|offset_46|444444,1524400:1524419|offset_101|444444,1524375:1524394|offset_126|00cc00,1524343:1524362|offset_158|444444&amp;v=1524254:1524562&amp;c=444444", "offset 126")</f>
        <v>offset 126</v>
      </c>
    </row>
    <row r="5498" customFormat="false" ht="12.8" hidden="false" customHeight="false" outlineLevel="0" collapsed="false">
      <c r="A5498" s="0" t="s">
        <v>12</v>
      </c>
      <c r="B5498" s="0" t="n">
        <v>1524342</v>
      </c>
      <c r="C5498" s="0" t="n">
        <v>1524362</v>
      </c>
      <c r="D5498" s="0" t="s">
        <v>18410</v>
      </c>
      <c r="E5498" s="0" t="s">
        <v>18411</v>
      </c>
      <c r="F5498" s="0" t="s">
        <v>90</v>
      </c>
      <c r="G5498" s="0" t="s">
        <v>16</v>
      </c>
      <c r="H5498" s="0" t="n">
        <v>158</v>
      </c>
      <c r="I5498" s="0" t="s">
        <v>18421</v>
      </c>
      <c r="J5498" s="0" t="s">
        <v>18422</v>
      </c>
      <c r="K5498" s="0" t="s">
        <v>18423</v>
      </c>
      <c r="L5498" s="0" t="str">
        <f aca="false">HYPERLINK("https://www.ncbi.nlm.nih.gov/nuccore/CP000304.1?report=graph&amp;tracks=[key:gene_model_track,Options:GeneOnly]&amp;mk=1524455:1524474|offset_46|444444,1524400:1524419|offset_101|444444,1524375:1524394|offset_126|444444,1524343:1524362|offset_158|00cc00&amp;v=1524254:1524562&amp;c=444444", "offset 158")</f>
        <v>offset 158</v>
      </c>
    </row>
    <row r="5499" customFormat="false" ht="12.8" hidden="false" customHeight="false" outlineLevel="0" collapsed="false">
      <c r="A5499" s="0" t="s">
        <v>12</v>
      </c>
      <c r="B5499" s="0" t="n">
        <v>1525098</v>
      </c>
      <c r="C5499" s="0" t="n">
        <v>1525118</v>
      </c>
      <c r="D5499" s="0" t="s">
        <v>18424</v>
      </c>
      <c r="E5499" s="0" t="s">
        <v>18425</v>
      </c>
      <c r="F5499" s="0" t="s">
        <v>90</v>
      </c>
      <c r="G5499" s="0" t="s">
        <v>36</v>
      </c>
      <c r="H5499" s="0" t="n">
        <v>49</v>
      </c>
      <c r="I5499" s="0" t="s">
        <v>18426</v>
      </c>
      <c r="J5499" s="0" t="s">
        <v>18427</v>
      </c>
      <c r="K5499" s="0" t="s">
        <v>18428</v>
      </c>
      <c r="L5499" s="0" t="str">
        <f aca="false">HYPERLINK("https://www.ncbi.nlm.nih.gov/nuccore/CP000304.1?report=graph&amp;tracks=[key:gene_model_track,Options:GeneOnly]&amp;mk=1525099:1525118|offset_49|00cc00,1525074:1525093|offset_74|444444,1525048:1525067|offset_100|444444,1525024:1525043|offset_124|444444&amp;v=1524898:1525243&amp;c=444444", "offset 49")</f>
        <v>offset 49</v>
      </c>
    </row>
    <row r="5500" customFormat="false" ht="12.8" hidden="false" customHeight="false" outlineLevel="0" collapsed="false">
      <c r="A5500" s="0" t="s">
        <v>12</v>
      </c>
      <c r="B5500" s="0" t="n">
        <v>1525073</v>
      </c>
      <c r="C5500" s="0" t="n">
        <v>1525093</v>
      </c>
      <c r="D5500" s="0" t="s">
        <v>18424</v>
      </c>
      <c r="E5500" s="0" t="s">
        <v>18425</v>
      </c>
      <c r="F5500" s="0" t="s">
        <v>90</v>
      </c>
      <c r="G5500" s="0" t="s">
        <v>26</v>
      </c>
      <c r="H5500" s="0" t="n">
        <v>74</v>
      </c>
      <c r="I5500" s="0" t="s">
        <v>18429</v>
      </c>
      <c r="J5500" s="0" t="s">
        <v>18430</v>
      </c>
      <c r="K5500" s="0" t="s">
        <v>18431</v>
      </c>
      <c r="L5500" s="0" t="str">
        <f aca="false">HYPERLINK("https://www.ncbi.nlm.nih.gov/nuccore/CP000304.1?report=graph&amp;tracks=[key:gene_model_track,Options:GeneOnly]&amp;mk=1525099:1525118|offset_49|444444,1525074:1525093|offset_74|00cc00,1525048:1525067|offset_100|444444,1525024:1525043|offset_124|444444&amp;v=1524898:1525243&amp;c=444444", "offset 74")</f>
        <v>offset 74</v>
      </c>
    </row>
    <row r="5501" customFormat="false" ht="12.8" hidden="false" customHeight="false" outlineLevel="0" collapsed="false">
      <c r="A5501" s="0" t="s">
        <v>12</v>
      </c>
      <c r="B5501" s="0" t="n">
        <v>1525047</v>
      </c>
      <c r="C5501" s="0" t="n">
        <v>1525067</v>
      </c>
      <c r="D5501" s="0" t="s">
        <v>18424</v>
      </c>
      <c r="E5501" s="0" t="s">
        <v>18425</v>
      </c>
      <c r="F5501" s="0" t="s">
        <v>90</v>
      </c>
      <c r="G5501" s="0" t="s">
        <v>32</v>
      </c>
      <c r="H5501" s="0" t="n">
        <v>100</v>
      </c>
      <c r="I5501" s="0" t="s">
        <v>18432</v>
      </c>
      <c r="J5501" s="0" t="s">
        <v>18433</v>
      </c>
      <c r="K5501" s="0" t="s">
        <v>18434</v>
      </c>
      <c r="L5501" s="0" t="str">
        <f aca="false">HYPERLINK("https://www.ncbi.nlm.nih.gov/nuccore/CP000304.1?report=graph&amp;tracks=[key:gene_model_track,Options:GeneOnly]&amp;mk=1525099:1525118|offset_49|444444,1525074:1525093|offset_74|444444,1525048:1525067|offset_100|00cc00,1525024:1525043|offset_124|444444&amp;v=1524898:1525243&amp;c=444444", "offset 100")</f>
        <v>offset 100</v>
      </c>
    </row>
    <row r="5502" customFormat="false" ht="12.8" hidden="false" customHeight="false" outlineLevel="0" collapsed="false">
      <c r="A5502" s="0" t="s">
        <v>12</v>
      </c>
      <c r="B5502" s="0" t="n">
        <v>1525023</v>
      </c>
      <c r="C5502" s="0" t="n">
        <v>1525043</v>
      </c>
      <c r="D5502" s="0" t="s">
        <v>18424</v>
      </c>
      <c r="E5502" s="0" t="s">
        <v>18425</v>
      </c>
      <c r="F5502" s="0" t="s">
        <v>90</v>
      </c>
      <c r="G5502" s="0" t="s">
        <v>36</v>
      </c>
      <c r="H5502" s="0" t="n">
        <v>124</v>
      </c>
      <c r="I5502" s="0" t="s">
        <v>18435</v>
      </c>
      <c r="J5502" s="0" t="s">
        <v>18436</v>
      </c>
      <c r="K5502" s="0" t="s">
        <v>18437</v>
      </c>
      <c r="L5502" s="0" t="str">
        <f aca="false">HYPERLINK("https://www.ncbi.nlm.nih.gov/nuccore/CP000304.1?report=graph&amp;tracks=[key:gene_model_track,Options:GeneOnly]&amp;mk=1525099:1525118|offset_49|444444,1525074:1525093|offset_74|444444,1525048:1525067|offset_100|444444,1525024:1525043|offset_124|00cc00&amp;v=1524898:1525243&amp;c=444444", "offset 124")</f>
        <v>offset 124</v>
      </c>
    </row>
    <row r="5503" customFormat="false" ht="12.8" hidden="false" customHeight="false" outlineLevel="0" collapsed="false">
      <c r="A5503" s="0" t="s">
        <v>12</v>
      </c>
      <c r="B5503" s="0" t="n">
        <v>1526134</v>
      </c>
      <c r="C5503" s="0" t="n">
        <v>1526154</v>
      </c>
      <c r="D5503" s="0" t="s">
        <v>18438</v>
      </c>
      <c r="E5503" s="0" t="s">
        <v>18439</v>
      </c>
      <c r="F5503" s="0" t="s">
        <v>90</v>
      </c>
      <c r="G5503" s="0" t="s">
        <v>32</v>
      </c>
      <c r="H5503" s="0" t="n">
        <v>1</v>
      </c>
      <c r="I5503" s="0" t="s">
        <v>18440</v>
      </c>
      <c r="J5503" s="0" t="s">
        <v>18441</v>
      </c>
      <c r="K5503" s="0" t="s">
        <v>18442</v>
      </c>
      <c r="L5503" s="0" t="str">
        <f aca="false">HYPERLINK("https://www.ncbi.nlm.nih.gov/nuccore/CP000304.1?report=graph&amp;tracks=[key:gene_model_track,Options:GeneOnly]&amp;mk=1526135:1526154|offset_1|00cc00,1526115:1526134|offset_21|444444,1526095:1526114|offset_41|444444,1526072:1526091|offset_64|444444&amp;v=1525934:1526291&amp;c=444444", "offset 1")</f>
        <v>offset 1</v>
      </c>
    </row>
    <row r="5504" customFormat="false" ht="12.8" hidden="false" customHeight="false" outlineLevel="0" collapsed="false">
      <c r="A5504" s="0" t="s">
        <v>12</v>
      </c>
      <c r="B5504" s="0" t="n">
        <v>1526114</v>
      </c>
      <c r="C5504" s="0" t="n">
        <v>1526134</v>
      </c>
      <c r="D5504" s="0" t="s">
        <v>18438</v>
      </c>
      <c r="E5504" s="0" t="s">
        <v>18439</v>
      </c>
      <c r="F5504" s="0" t="s">
        <v>90</v>
      </c>
      <c r="G5504" s="0" t="s">
        <v>36</v>
      </c>
      <c r="H5504" s="0" t="n">
        <v>21</v>
      </c>
      <c r="I5504" s="0" t="s">
        <v>18443</v>
      </c>
      <c r="J5504" s="0" t="s">
        <v>18444</v>
      </c>
      <c r="K5504" s="0" t="s">
        <v>18445</v>
      </c>
      <c r="L5504" s="0" t="str">
        <f aca="false">HYPERLINK("https://www.ncbi.nlm.nih.gov/nuccore/CP000304.1?report=graph&amp;tracks=[key:gene_model_track,Options:GeneOnly]&amp;mk=1526135:1526154|offset_1|444444,1526115:1526134|offset_21|00cc00,1526095:1526114|offset_41|444444,1526072:1526091|offset_64|444444&amp;v=1525934:1526291&amp;c=444444", "offset 21")</f>
        <v>offset 21</v>
      </c>
    </row>
    <row r="5505" customFormat="false" ht="12.8" hidden="false" customHeight="false" outlineLevel="0" collapsed="false">
      <c r="A5505" s="0" t="s">
        <v>12</v>
      </c>
      <c r="B5505" s="0" t="n">
        <v>1526094</v>
      </c>
      <c r="C5505" s="0" t="n">
        <v>1526114</v>
      </c>
      <c r="D5505" s="0" t="s">
        <v>18438</v>
      </c>
      <c r="E5505" s="0" t="s">
        <v>18439</v>
      </c>
      <c r="F5505" s="0" t="s">
        <v>90</v>
      </c>
      <c r="G5505" s="0" t="s">
        <v>32</v>
      </c>
      <c r="H5505" s="0" t="n">
        <v>41</v>
      </c>
      <c r="I5505" s="0" t="s">
        <v>18446</v>
      </c>
      <c r="J5505" s="0" t="s">
        <v>18447</v>
      </c>
      <c r="K5505" s="0" t="s">
        <v>18448</v>
      </c>
      <c r="L5505" s="0" t="str">
        <f aca="false">HYPERLINK("https://www.ncbi.nlm.nih.gov/nuccore/CP000304.1?report=graph&amp;tracks=[key:gene_model_track,Options:GeneOnly]&amp;mk=1526135:1526154|offset_1|444444,1526115:1526134|offset_21|444444,1526095:1526114|offset_41|00cc00,1526072:1526091|offset_64|444444&amp;v=1525934:1526291&amp;c=444444", "offset 41")</f>
        <v>offset 41</v>
      </c>
    </row>
    <row r="5506" customFormat="false" ht="12.8" hidden="false" customHeight="false" outlineLevel="0" collapsed="false">
      <c r="A5506" s="0" t="s">
        <v>12</v>
      </c>
      <c r="B5506" s="0" t="n">
        <v>1526071</v>
      </c>
      <c r="C5506" s="0" t="n">
        <v>1526091</v>
      </c>
      <c r="D5506" s="0" t="s">
        <v>18438</v>
      </c>
      <c r="E5506" s="0" t="s">
        <v>18439</v>
      </c>
      <c r="F5506" s="0" t="s">
        <v>90</v>
      </c>
      <c r="G5506" s="0" t="s">
        <v>32</v>
      </c>
      <c r="H5506" s="0" t="n">
        <v>64</v>
      </c>
      <c r="I5506" s="0" t="s">
        <v>18449</v>
      </c>
      <c r="J5506" s="0" t="s">
        <v>18450</v>
      </c>
      <c r="K5506" s="0" t="s">
        <v>18451</v>
      </c>
      <c r="L5506" s="0" t="str">
        <f aca="false">HYPERLINK("https://www.ncbi.nlm.nih.gov/nuccore/CP000304.1?report=graph&amp;tracks=[key:gene_model_track,Options:GeneOnly]&amp;mk=1526135:1526154|offset_1|444444,1526115:1526134|offset_21|444444,1526095:1526114|offset_41|444444,1526072:1526091|offset_64|00cc00&amp;v=1525934:1526291&amp;c=444444", "offset 64")</f>
        <v>offset 64</v>
      </c>
    </row>
    <row r="5507" customFormat="false" ht="12.8" hidden="false" customHeight="false" outlineLevel="0" collapsed="false">
      <c r="A5507" s="0" t="s">
        <v>12</v>
      </c>
      <c r="B5507" s="0" t="n">
        <v>1526203</v>
      </c>
      <c r="C5507" s="0" t="n">
        <v>1526223</v>
      </c>
      <c r="D5507" s="0" t="s">
        <v>18452</v>
      </c>
      <c r="E5507" s="0" t="s">
        <v>18453</v>
      </c>
      <c r="F5507" s="0" t="s">
        <v>15</v>
      </c>
      <c r="G5507" s="0" t="s">
        <v>16</v>
      </c>
      <c r="H5507" s="0" t="n">
        <v>29</v>
      </c>
      <c r="I5507" s="0" t="s">
        <v>18454</v>
      </c>
      <c r="J5507" s="0" t="s">
        <v>18455</v>
      </c>
      <c r="K5507" s="0" t="s">
        <v>18456</v>
      </c>
      <c r="L5507" s="0" t="str">
        <f aca="false">HYPERLINK("https://www.ncbi.nlm.nih.gov/nuccore/CP000304.1?report=graph&amp;tracks=[key:gene_model_track,Options:GeneOnly]&amp;mk=1526204:1526223|offset_29|00cc00,1526242:1526261|offset_67|444444,1526268:1526287|offset_93|444444,1526299:1526318|offset_124|444444&amp;v=1526003:1526518&amp;c=444444", "offset 29")</f>
        <v>offset 29</v>
      </c>
    </row>
    <row r="5508" customFormat="false" ht="12.8" hidden="false" customHeight="false" outlineLevel="0" collapsed="false">
      <c r="A5508" s="0" t="s">
        <v>12</v>
      </c>
      <c r="B5508" s="0" t="n">
        <v>1526241</v>
      </c>
      <c r="C5508" s="0" t="n">
        <v>1526261</v>
      </c>
      <c r="D5508" s="0" t="s">
        <v>18452</v>
      </c>
      <c r="E5508" s="0" t="s">
        <v>18453</v>
      </c>
      <c r="F5508" s="0" t="s">
        <v>15</v>
      </c>
      <c r="G5508" s="0" t="s">
        <v>16</v>
      </c>
      <c r="H5508" s="0" t="n">
        <v>67</v>
      </c>
      <c r="I5508" s="0" t="s">
        <v>18457</v>
      </c>
      <c r="J5508" s="0" t="s">
        <v>18458</v>
      </c>
      <c r="K5508" s="0" t="s">
        <v>18459</v>
      </c>
      <c r="L5508" s="0" t="str">
        <f aca="false">HYPERLINK("https://www.ncbi.nlm.nih.gov/nuccore/CP000304.1?report=graph&amp;tracks=[key:gene_model_track,Options:GeneOnly]&amp;mk=1526204:1526223|offset_29|444444,1526242:1526261|offset_67|00cc00,1526268:1526287|offset_93|444444,1526299:1526318|offset_124|444444&amp;v=1526003:1526518&amp;c=444444", "offset 67")</f>
        <v>offset 67</v>
      </c>
    </row>
    <row r="5509" customFormat="false" ht="12.8" hidden="false" customHeight="false" outlineLevel="0" collapsed="false">
      <c r="A5509" s="0" t="s">
        <v>12</v>
      </c>
      <c r="B5509" s="0" t="n">
        <v>1526267</v>
      </c>
      <c r="C5509" s="0" t="n">
        <v>1526287</v>
      </c>
      <c r="D5509" s="0" t="s">
        <v>18452</v>
      </c>
      <c r="E5509" s="0" t="s">
        <v>18453</v>
      </c>
      <c r="F5509" s="0" t="s">
        <v>15</v>
      </c>
      <c r="G5509" s="0" t="s">
        <v>16</v>
      </c>
      <c r="H5509" s="0" t="n">
        <v>93</v>
      </c>
      <c r="I5509" s="0" t="s">
        <v>18460</v>
      </c>
      <c r="J5509" s="0" t="s">
        <v>18461</v>
      </c>
      <c r="K5509" s="0" t="s">
        <v>18462</v>
      </c>
      <c r="L5509" s="0" t="str">
        <f aca="false">HYPERLINK("https://www.ncbi.nlm.nih.gov/nuccore/CP000304.1?report=graph&amp;tracks=[key:gene_model_track,Options:GeneOnly]&amp;mk=1526204:1526223|offset_29|444444,1526242:1526261|offset_67|444444,1526268:1526287|offset_93|00cc00,1526299:1526318|offset_124|444444&amp;v=1526003:1526518&amp;c=444444", "offset 93")</f>
        <v>offset 93</v>
      </c>
    </row>
    <row r="5510" customFormat="false" ht="12.8" hidden="false" customHeight="false" outlineLevel="0" collapsed="false">
      <c r="A5510" s="0" t="s">
        <v>12</v>
      </c>
      <c r="B5510" s="0" t="n">
        <v>1526298</v>
      </c>
      <c r="C5510" s="0" t="n">
        <v>1526318</v>
      </c>
      <c r="D5510" s="0" t="s">
        <v>18452</v>
      </c>
      <c r="E5510" s="0" t="s">
        <v>18453</v>
      </c>
      <c r="F5510" s="0" t="s">
        <v>15</v>
      </c>
      <c r="G5510" s="0" t="s">
        <v>36</v>
      </c>
      <c r="H5510" s="0" t="n">
        <v>124</v>
      </c>
      <c r="I5510" s="0" t="s">
        <v>18463</v>
      </c>
      <c r="J5510" s="0" t="s">
        <v>18464</v>
      </c>
      <c r="K5510" s="0" t="s">
        <v>18465</v>
      </c>
      <c r="L5510" s="0" t="str">
        <f aca="false">HYPERLINK("https://www.ncbi.nlm.nih.gov/nuccore/CP000304.1?report=graph&amp;tracks=[key:gene_model_track,Options:GeneOnly]&amp;mk=1526204:1526223|offset_29|444444,1526242:1526261|offset_67|444444,1526268:1526287|offset_93|444444,1526299:1526318|offset_124|00cc00&amp;v=1526003:1526518&amp;c=444444", "offset 124")</f>
        <v>offset 124</v>
      </c>
    </row>
    <row r="5511" customFormat="false" ht="12.8" hidden="false" customHeight="false" outlineLevel="0" collapsed="false">
      <c r="A5511" s="0" t="s">
        <v>12</v>
      </c>
      <c r="B5511" s="0" t="n">
        <v>1528118</v>
      </c>
      <c r="C5511" s="0" t="n">
        <v>1528138</v>
      </c>
      <c r="D5511" s="0" t="s">
        <v>18466</v>
      </c>
      <c r="E5511" s="0" t="s">
        <v>89</v>
      </c>
      <c r="F5511" s="0" t="s">
        <v>90</v>
      </c>
      <c r="G5511" s="0" t="s">
        <v>32</v>
      </c>
      <c r="H5511" s="0" t="n">
        <v>1</v>
      </c>
      <c r="I5511" s="0" t="s">
        <v>18467</v>
      </c>
      <c r="J5511" s="0" t="s">
        <v>18468</v>
      </c>
      <c r="K5511" s="0" t="s">
        <v>18469</v>
      </c>
      <c r="L5511" s="0" t="str">
        <f aca="false">HYPERLINK("https://www.ncbi.nlm.nih.gov/nuccore/CP000304.1?report=graph&amp;tracks=[key:gene_model_track,Options:GeneOnly]&amp;mk=1528119:1528138|offset_1|00cc00,1528095:1528114|offset_25|444444,1528074:1528093|offset_46|444444,1528052:1528071|offset_68|444444&amp;v=1527918:1528271&amp;c=444444", "offset 1")</f>
        <v>offset 1</v>
      </c>
    </row>
    <row r="5512" customFormat="false" ht="12.8" hidden="false" customHeight="false" outlineLevel="0" collapsed="false">
      <c r="A5512" s="0" t="s">
        <v>12</v>
      </c>
      <c r="B5512" s="0" t="n">
        <v>1528094</v>
      </c>
      <c r="C5512" s="0" t="n">
        <v>1528114</v>
      </c>
      <c r="D5512" s="0" t="s">
        <v>18466</v>
      </c>
      <c r="E5512" s="0" t="s">
        <v>89</v>
      </c>
      <c r="F5512" s="0" t="s">
        <v>90</v>
      </c>
      <c r="G5512" s="0" t="s">
        <v>32</v>
      </c>
      <c r="H5512" s="0" t="n">
        <v>25</v>
      </c>
      <c r="I5512" s="0" t="s">
        <v>18470</v>
      </c>
      <c r="J5512" s="0" t="s">
        <v>18471</v>
      </c>
      <c r="K5512" s="0" t="s">
        <v>18472</v>
      </c>
      <c r="L5512" s="0" t="str">
        <f aca="false">HYPERLINK("https://www.ncbi.nlm.nih.gov/nuccore/CP000304.1?report=graph&amp;tracks=[key:gene_model_track,Options:GeneOnly]&amp;mk=1528119:1528138|offset_1|444444,1528095:1528114|offset_25|00cc00,1528074:1528093|offset_46|444444,1528052:1528071|offset_68|444444&amp;v=1527918:1528271&amp;c=444444", "offset 25")</f>
        <v>offset 25</v>
      </c>
    </row>
    <row r="5513" customFormat="false" ht="12.8" hidden="false" customHeight="false" outlineLevel="0" collapsed="false">
      <c r="A5513" s="0" t="s">
        <v>12</v>
      </c>
      <c r="B5513" s="0" t="n">
        <v>1528073</v>
      </c>
      <c r="C5513" s="0" t="n">
        <v>1528093</v>
      </c>
      <c r="D5513" s="0" t="s">
        <v>18466</v>
      </c>
      <c r="E5513" s="0" t="s">
        <v>89</v>
      </c>
      <c r="F5513" s="0" t="s">
        <v>90</v>
      </c>
      <c r="G5513" s="0" t="s">
        <v>26</v>
      </c>
      <c r="H5513" s="0" t="n">
        <v>46</v>
      </c>
      <c r="I5513" s="0" t="s">
        <v>18473</v>
      </c>
      <c r="J5513" s="0" t="s">
        <v>18474</v>
      </c>
      <c r="K5513" s="0" t="s">
        <v>18475</v>
      </c>
      <c r="L5513" s="0" t="str">
        <f aca="false">HYPERLINK("https://www.ncbi.nlm.nih.gov/nuccore/CP000304.1?report=graph&amp;tracks=[key:gene_model_track,Options:GeneOnly]&amp;mk=1528119:1528138|offset_1|444444,1528095:1528114|offset_25|444444,1528074:1528093|offset_46|00cc00,1528052:1528071|offset_68|444444&amp;v=1527918:1528271&amp;c=444444", "offset 46")</f>
        <v>offset 46</v>
      </c>
    </row>
    <row r="5514" customFormat="false" ht="12.8" hidden="false" customHeight="false" outlineLevel="0" collapsed="false">
      <c r="A5514" s="0" t="s">
        <v>12</v>
      </c>
      <c r="B5514" s="0" t="n">
        <v>1528051</v>
      </c>
      <c r="C5514" s="0" t="n">
        <v>1528071</v>
      </c>
      <c r="D5514" s="0" t="s">
        <v>18466</v>
      </c>
      <c r="E5514" s="0" t="s">
        <v>89</v>
      </c>
      <c r="F5514" s="0" t="s">
        <v>90</v>
      </c>
      <c r="G5514" s="0" t="s">
        <v>26</v>
      </c>
      <c r="H5514" s="0" t="n">
        <v>68</v>
      </c>
      <c r="I5514" s="0" t="s">
        <v>18476</v>
      </c>
      <c r="J5514" s="0" t="s">
        <v>18477</v>
      </c>
      <c r="K5514" s="0" t="s">
        <v>18478</v>
      </c>
      <c r="L5514" s="0" t="str">
        <f aca="false">HYPERLINK("https://www.ncbi.nlm.nih.gov/nuccore/CP000304.1?report=graph&amp;tracks=[key:gene_model_track,Options:GeneOnly]&amp;mk=1528119:1528138|offset_1|444444,1528095:1528114|offset_25|444444,1528074:1528093|offset_46|444444,1528052:1528071|offset_68|00cc00&amp;v=1527918:1528271&amp;c=444444", "offset 68")</f>
        <v>offset 68</v>
      </c>
    </row>
    <row r="5515" customFormat="false" ht="12.8" hidden="false" customHeight="false" outlineLevel="0" collapsed="false">
      <c r="A5515" s="0" t="s">
        <v>12</v>
      </c>
      <c r="B5515" s="0" t="n">
        <v>1529065</v>
      </c>
      <c r="C5515" s="0" t="n">
        <v>1529085</v>
      </c>
      <c r="D5515" s="0" t="s">
        <v>18479</v>
      </c>
      <c r="E5515" s="0" t="s">
        <v>89</v>
      </c>
      <c r="F5515" s="0" t="s">
        <v>90</v>
      </c>
      <c r="G5515" s="0" t="s">
        <v>16</v>
      </c>
      <c r="H5515" s="0" t="n">
        <v>60</v>
      </c>
      <c r="I5515" s="0" t="s">
        <v>18480</v>
      </c>
      <c r="J5515" s="0" t="s">
        <v>18481</v>
      </c>
      <c r="K5515" s="0" t="s">
        <v>18482</v>
      </c>
      <c r="L5515" s="0" t="str">
        <f aca="false">HYPERLINK("https://www.ncbi.nlm.nih.gov/nuccore/CP000304.1?report=graph&amp;tracks=[key:gene_model_track,Options:GeneOnly]&amp;mk=1529066:1529085|offset_60|00cc00,1529003:1529022|offset_123|444444,1528957:1528976|offset_169|444444,1528933:1528952|offset_193|444444&amp;v=1528865:1529152&amp;c=444444", "offset 60")</f>
        <v>offset 60</v>
      </c>
    </row>
    <row r="5516" customFormat="false" ht="12.8" hidden="false" customHeight="false" outlineLevel="0" collapsed="false">
      <c r="A5516" s="0" t="s">
        <v>12</v>
      </c>
      <c r="B5516" s="0" t="n">
        <v>1529002</v>
      </c>
      <c r="C5516" s="0" t="n">
        <v>1529022</v>
      </c>
      <c r="D5516" s="0" t="s">
        <v>18479</v>
      </c>
      <c r="E5516" s="0" t="s">
        <v>89</v>
      </c>
      <c r="F5516" s="0" t="s">
        <v>90</v>
      </c>
      <c r="G5516" s="0" t="s">
        <v>32</v>
      </c>
      <c r="H5516" s="0" t="n">
        <v>123</v>
      </c>
      <c r="I5516" s="0" t="s">
        <v>18483</v>
      </c>
      <c r="J5516" s="0" t="s">
        <v>18484</v>
      </c>
      <c r="K5516" s="0" t="s">
        <v>18485</v>
      </c>
      <c r="L5516" s="0" t="str">
        <f aca="false">HYPERLINK("https://www.ncbi.nlm.nih.gov/nuccore/CP000304.1?report=graph&amp;tracks=[key:gene_model_track,Options:GeneOnly]&amp;mk=1529066:1529085|offset_60|444444,1529003:1529022|offset_123|00cc00,1528957:1528976|offset_169|444444,1528933:1528952|offset_193|444444&amp;v=1528865:1529152&amp;c=444444", "offset 123")</f>
        <v>offset 123</v>
      </c>
    </row>
    <row r="5517" customFormat="false" ht="12.8" hidden="false" customHeight="false" outlineLevel="0" collapsed="false">
      <c r="A5517" s="0" t="s">
        <v>12</v>
      </c>
      <c r="B5517" s="0" t="n">
        <v>1528956</v>
      </c>
      <c r="C5517" s="0" t="n">
        <v>1528976</v>
      </c>
      <c r="D5517" s="0" t="s">
        <v>18479</v>
      </c>
      <c r="E5517" s="0" t="s">
        <v>89</v>
      </c>
      <c r="F5517" s="0" t="s">
        <v>90</v>
      </c>
      <c r="G5517" s="0" t="s">
        <v>36</v>
      </c>
      <c r="H5517" s="0" t="n">
        <v>169</v>
      </c>
      <c r="I5517" s="0" t="s">
        <v>18486</v>
      </c>
      <c r="J5517" s="0" t="s">
        <v>18487</v>
      </c>
      <c r="K5517" s="0" t="s">
        <v>18488</v>
      </c>
      <c r="L5517" s="0" t="str">
        <f aca="false">HYPERLINK("https://www.ncbi.nlm.nih.gov/nuccore/CP000304.1?report=graph&amp;tracks=[key:gene_model_track,Options:GeneOnly]&amp;mk=1529066:1529085|offset_60|444444,1529003:1529022|offset_123|444444,1528957:1528976|offset_169|00cc00,1528933:1528952|offset_193|444444&amp;v=1528865:1529152&amp;c=444444", "offset 169")</f>
        <v>offset 169</v>
      </c>
    </row>
    <row r="5518" customFormat="false" ht="12.8" hidden="false" customHeight="false" outlineLevel="0" collapsed="false">
      <c r="A5518" s="0" t="s">
        <v>12</v>
      </c>
      <c r="B5518" s="0" t="n">
        <v>1528932</v>
      </c>
      <c r="C5518" s="0" t="n">
        <v>1528952</v>
      </c>
      <c r="D5518" s="0" t="s">
        <v>18479</v>
      </c>
      <c r="E5518" s="0" t="s">
        <v>89</v>
      </c>
      <c r="F5518" s="0" t="s">
        <v>90</v>
      </c>
      <c r="G5518" s="0" t="s">
        <v>36</v>
      </c>
      <c r="H5518" s="0" t="n">
        <v>193</v>
      </c>
      <c r="I5518" s="0" t="s">
        <v>18489</v>
      </c>
      <c r="J5518" s="0" t="s">
        <v>18490</v>
      </c>
      <c r="K5518" s="0" t="s">
        <v>18491</v>
      </c>
      <c r="L5518" s="0" t="str">
        <f aca="false">HYPERLINK("https://www.ncbi.nlm.nih.gov/nuccore/CP000304.1?report=graph&amp;tracks=[key:gene_model_track,Options:GeneOnly]&amp;mk=1529066:1529085|offset_60|444444,1529003:1529022|offset_123|444444,1528957:1528976|offset_169|444444,1528933:1528952|offset_193|00cc00&amp;v=1528865:1529152&amp;c=444444", "offset 193")</f>
        <v>offset 193</v>
      </c>
    </row>
    <row r="5519" customFormat="false" ht="12.8" hidden="false" customHeight="false" outlineLevel="0" collapsed="false">
      <c r="A5519" s="0" t="s">
        <v>12</v>
      </c>
      <c r="B5519" s="0" t="n">
        <v>1530404</v>
      </c>
      <c r="C5519" s="0" t="n">
        <v>1530424</v>
      </c>
      <c r="D5519" s="0" t="s">
        <v>18492</v>
      </c>
      <c r="E5519" s="0" t="s">
        <v>89</v>
      </c>
      <c r="F5519" s="0" t="s">
        <v>90</v>
      </c>
      <c r="G5519" s="0" t="s">
        <v>16</v>
      </c>
      <c r="H5519" s="0" t="n">
        <v>6</v>
      </c>
      <c r="I5519" s="0" t="s">
        <v>18493</v>
      </c>
      <c r="J5519" s="0" t="s">
        <v>18494</v>
      </c>
      <c r="K5519" s="0" t="s">
        <v>18495</v>
      </c>
      <c r="L5519" s="0" t="str">
        <f aca="false">HYPERLINK("https://www.ncbi.nlm.nih.gov/nuccore/CP000304.1?report=graph&amp;tracks=[key:gene_model_track,Options:GeneOnly]&amp;mk=1530405:1530424|offset_6|00cc00,1530383:1530402|offset_28|444444,1530350:1530369|offset_61|444444,1530319:1530338|offset_92|444444&amp;v=1530204:1530538&amp;c=444444", "offset 6")</f>
        <v>offset 6</v>
      </c>
    </row>
    <row r="5520" customFormat="false" ht="12.8" hidden="false" customHeight="false" outlineLevel="0" collapsed="false">
      <c r="A5520" s="0" t="s">
        <v>12</v>
      </c>
      <c r="B5520" s="0" t="n">
        <v>1530382</v>
      </c>
      <c r="C5520" s="0" t="n">
        <v>1530402</v>
      </c>
      <c r="D5520" s="0" t="s">
        <v>18492</v>
      </c>
      <c r="E5520" s="0" t="s">
        <v>89</v>
      </c>
      <c r="F5520" s="0" t="s">
        <v>90</v>
      </c>
      <c r="G5520" s="0" t="s">
        <v>36</v>
      </c>
      <c r="H5520" s="0" t="n">
        <v>28</v>
      </c>
      <c r="I5520" s="0" t="s">
        <v>18496</v>
      </c>
      <c r="J5520" s="0" t="s">
        <v>18497</v>
      </c>
      <c r="K5520" s="0" t="s">
        <v>18498</v>
      </c>
      <c r="L5520" s="0" t="str">
        <f aca="false">HYPERLINK("https://www.ncbi.nlm.nih.gov/nuccore/CP000304.1?report=graph&amp;tracks=[key:gene_model_track,Options:GeneOnly]&amp;mk=1530405:1530424|offset_6|444444,1530383:1530402|offset_28|00cc00,1530350:1530369|offset_61|444444,1530319:1530338|offset_92|444444&amp;v=1530204:1530538&amp;c=444444", "offset 28")</f>
        <v>offset 28</v>
      </c>
    </row>
    <row r="5521" customFormat="false" ht="12.8" hidden="false" customHeight="false" outlineLevel="0" collapsed="false">
      <c r="A5521" s="0" t="s">
        <v>12</v>
      </c>
      <c r="B5521" s="0" t="n">
        <v>1530349</v>
      </c>
      <c r="C5521" s="0" t="n">
        <v>1530369</v>
      </c>
      <c r="D5521" s="0" t="s">
        <v>18492</v>
      </c>
      <c r="E5521" s="0" t="s">
        <v>89</v>
      </c>
      <c r="F5521" s="0" t="s">
        <v>90</v>
      </c>
      <c r="G5521" s="0" t="s">
        <v>16</v>
      </c>
      <c r="H5521" s="0" t="n">
        <v>61</v>
      </c>
      <c r="I5521" s="0" t="s">
        <v>18499</v>
      </c>
      <c r="J5521" s="0" t="s">
        <v>18500</v>
      </c>
      <c r="K5521" s="0" t="s">
        <v>18501</v>
      </c>
      <c r="L5521" s="0" t="str">
        <f aca="false">HYPERLINK("https://www.ncbi.nlm.nih.gov/nuccore/CP000304.1?report=graph&amp;tracks=[key:gene_model_track,Options:GeneOnly]&amp;mk=1530405:1530424|offset_6|444444,1530383:1530402|offset_28|444444,1530350:1530369|offset_61|00cc00,1530319:1530338|offset_92|444444&amp;v=1530204:1530538&amp;c=444444", "offset 61")</f>
        <v>offset 61</v>
      </c>
    </row>
    <row r="5522" customFormat="false" ht="12.8" hidden="false" customHeight="false" outlineLevel="0" collapsed="false">
      <c r="A5522" s="0" t="s">
        <v>12</v>
      </c>
      <c r="B5522" s="0" t="n">
        <v>1530318</v>
      </c>
      <c r="C5522" s="0" t="n">
        <v>1530338</v>
      </c>
      <c r="D5522" s="0" t="s">
        <v>18492</v>
      </c>
      <c r="E5522" s="0" t="s">
        <v>89</v>
      </c>
      <c r="F5522" s="0" t="s">
        <v>90</v>
      </c>
      <c r="G5522" s="0" t="s">
        <v>36</v>
      </c>
      <c r="H5522" s="0" t="n">
        <v>92</v>
      </c>
      <c r="I5522" s="0" t="s">
        <v>18502</v>
      </c>
      <c r="J5522" s="0" t="s">
        <v>18503</v>
      </c>
      <c r="K5522" s="0" t="s">
        <v>18504</v>
      </c>
      <c r="L5522" s="0" t="str">
        <f aca="false">HYPERLINK("https://www.ncbi.nlm.nih.gov/nuccore/CP000304.1?report=graph&amp;tracks=[key:gene_model_track,Options:GeneOnly]&amp;mk=1530405:1530424|offset_6|444444,1530383:1530402|offset_28|444444,1530350:1530369|offset_61|444444,1530319:1530338|offset_92|00cc00&amp;v=1530204:1530538&amp;c=444444", "offset 92")</f>
        <v>offset 92</v>
      </c>
    </row>
    <row r="5523" customFormat="false" ht="12.8" hidden="false" customHeight="false" outlineLevel="0" collapsed="false">
      <c r="A5523" s="0" t="s">
        <v>12</v>
      </c>
      <c r="B5523" s="0" t="n">
        <v>1530757</v>
      </c>
      <c r="C5523" s="0" t="n">
        <v>1530777</v>
      </c>
      <c r="D5523" s="0" t="s">
        <v>18505</v>
      </c>
      <c r="E5523" s="0" t="s">
        <v>89</v>
      </c>
      <c r="F5523" s="0" t="s">
        <v>90</v>
      </c>
      <c r="G5523" s="0" t="s">
        <v>26</v>
      </c>
      <c r="H5523" s="0" t="n">
        <v>31</v>
      </c>
      <c r="I5523" s="0" t="s">
        <v>18506</v>
      </c>
      <c r="J5523" s="0" t="s">
        <v>18507</v>
      </c>
      <c r="K5523" s="0" t="s">
        <v>18508</v>
      </c>
      <c r="L5523" s="0" t="str">
        <f aca="false">HYPERLINK("https://www.ncbi.nlm.nih.gov/nuccore/CP000304.1?report=graph&amp;tracks=[key:gene_model_track,Options:GeneOnly]&amp;mk=1530758:1530777|offset_31|00cc00,1530705:1530724|offset_84|444444,1530644:1530663|offset_145|444444,1530623:1530642|offset_166|444444&amp;v=1530557:1530842&amp;c=444444", "offset 31")</f>
        <v>offset 31</v>
      </c>
    </row>
    <row r="5524" customFormat="false" ht="12.8" hidden="false" customHeight="false" outlineLevel="0" collapsed="false">
      <c r="A5524" s="0" t="s">
        <v>12</v>
      </c>
      <c r="B5524" s="0" t="n">
        <v>1530704</v>
      </c>
      <c r="C5524" s="0" t="n">
        <v>1530724</v>
      </c>
      <c r="D5524" s="0" t="s">
        <v>18505</v>
      </c>
      <c r="E5524" s="0" t="s">
        <v>89</v>
      </c>
      <c r="F5524" s="0" t="s">
        <v>90</v>
      </c>
      <c r="G5524" s="0" t="s">
        <v>16</v>
      </c>
      <c r="H5524" s="0" t="n">
        <v>84</v>
      </c>
      <c r="I5524" s="0" t="s">
        <v>18509</v>
      </c>
      <c r="J5524" s="0" t="s">
        <v>18510</v>
      </c>
      <c r="K5524" s="0" t="s">
        <v>18511</v>
      </c>
      <c r="L5524" s="0" t="str">
        <f aca="false">HYPERLINK("https://www.ncbi.nlm.nih.gov/nuccore/CP000304.1?report=graph&amp;tracks=[key:gene_model_track,Options:GeneOnly]&amp;mk=1530758:1530777|offset_31|444444,1530705:1530724|offset_84|00cc00,1530644:1530663|offset_145|444444,1530623:1530642|offset_166|444444&amp;v=1530557:1530842&amp;c=444444", "offset 84")</f>
        <v>offset 84</v>
      </c>
    </row>
    <row r="5525" customFormat="false" ht="12.8" hidden="false" customHeight="false" outlineLevel="0" collapsed="false">
      <c r="A5525" s="0" t="s">
        <v>12</v>
      </c>
      <c r="B5525" s="0" t="n">
        <v>1530643</v>
      </c>
      <c r="C5525" s="0" t="n">
        <v>1530663</v>
      </c>
      <c r="D5525" s="0" t="s">
        <v>18505</v>
      </c>
      <c r="E5525" s="0" t="s">
        <v>89</v>
      </c>
      <c r="F5525" s="0" t="s">
        <v>90</v>
      </c>
      <c r="G5525" s="0" t="s">
        <v>36</v>
      </c>
      <c r="H5525" s="0" t="n">
        <v>145</v>
      </c>
      <c r="I5525" s="0" t="s">
        <v>18512</v>
      </c>
      <c r="J5525" s="0" t="s">
        <v>18513</v>
      </c>
      <c r="K5525" s="0" t="s">
        <v>18514</v>
      </c>
      <c r="L5525" s="0" t="str">
        <f aca="false">HYPERLINK("https://www.ncbi.nlm.nih.gov/nuccore/CP000304.1?report=graph&amp;tracks=[key:gene_model_track,Options:GeneOnly]&amp;mk=1530758:1530777|offset_31|444444,1530705:1530724|offset_84|444444,1530644:1530663|offset_145|00cc00,1530623:1530642|offset_166|444444&amp;v=1530557:1530842&amp;c=444444", "offset 145")</f>
        <v>offset 145</v>
      </c>
    </row>
    <row r="5526" customFormat="false" ht="12.8" hidden="false" customHeight="false" outlineLevel="0" collapsed="false">
      <c r="A5526" s="0" t="s">
        <v>12</v>
      </c>
      <c r="B5526" s="0" t="n">
        <v>1530622</v>
      </c>
      <c r="C5526" s="0" t="n">
        <v>1530642</v>
      </c>
      <c r="D5526" s="0" t="s">
        <v>18505</v>
      </c>
      <c r="E5526" s="0" t="s">
        <v>89</v>
      </c>
      <c r="F5526" s="0" t="s">
        <v>90</v>
      </c>
      <c r="G5526" s="0" t="s">
        <v>36</v>
      </c>
      <c r="H5526" s="0" t="n">
        <v>166</v>
      </c>
      <c r="I5526" s="0" t="s">
        <v>18515</v>
      </c>
      <c r="J5526" s="0" t="s">
        <v>18516</v>
      </c>
      <c r="K5526" s="0" t="s">
        <v>18517</v>
      </c>
      <c r="L5526" s="0" t="str">
        <f aca="false">HYPERLINK("https://www.ncbi.nlm.nih.gov/nuccore/CP000304.1?report=graph&amp;tracks=[key:gene_model_track,Options:GeneOnly]&amp;mk=1530758:1530777|offset_31|444444,1530705:1530724|offset_84|444444,1530644:1530663|offset_145|444444,1530623:1530642|offset_166|00cc00&amp;v=1530557:1530842&amp;c=444444", "offset 166")</f>
        <v>offset 166</v>
      </c>
    </row>
    <row r="5527" customFormat="false" ht="12.8" hidden="false" customHeight="false" outlineLevel="0" collapsed="false">
      <c r="A5527" s="0" t="s">
        <v>12</v>
      </c>
      <c r="B5527" s="0" t="n">
        <v>1531116</v>
      </c>
      <c r="C5527" s="0" t="n">
        <v>1531136</v>
      </c>
      <c r="D5527" s="0" t="s">
        <v>18518</v>
      </c>
      <c r="E5527" s="0" t="s">
        <v>89</v>
      </c>
      <c r="F5527" s="0" t="s">
        <v>15</v>
      </c>
      <c r="G5527" s="0" t="s">
        <v>32</v>
      </c>
      <c r="H5527" s="0" t="n">
        <v>0</v>
      </c>
      <c r="I5527" s="0" t="s">
        <v>18519</v>
      </c>
      <c r="J5527" s="0" t="s">
        <v>18520</v>
      </c>
      <c r="K5527" s="0" t="s">
        <v>18521</v>
      </c>
      <c r="L5527" s="0" t="str">
        <f aca="false">HYPERLINK("https://www.ncbi.nlm.nih.gov/nuccore/CP000304.1?report=graph&amp;tracks=[key:gene_model_track,Options:GeneOnly]&amp;mk=1531117:1531136|offset_0|00cc00,1531140:1531159|offset_23|444444,1531167:1531186|offset_50|444444,1531199:1531218|offset_82|444444&amp;v=1530916:1531418&amp;c=444444", "offset 0")</f>
        <v>offset 0</v>
      </c>
    </row>
    <row r="5528" customFormat="false" ht="12.8" hidden="false" customHeight="false" outlineLevel="0" collapsed="false">
      <c r="A5528" s="0" t="s">
        <v>12</v>
      </c>
      <c r="B5528" s="0" t="n">
        <v>1531139</v>
      </c>
      <c r="C5528" s="0" t="n">
        <v>1531159</v>
      </c>
      <c r="D5528" s="0" t="s">
        <v>18518</v>
      </c>
      <c r="E5528" s="0" t="s">
        <v>89</v>
      </c>
      <c r="F5528" s="0" t="s">
        <v>15</v>
      </c>
      <c r="G5528" s="0" t="s">
        <v>16</v>
      </c>
      <c r="H5528" s="0" t="n">
        <v>23</v>
      </c>
      <c r="I5528" s="0" t="s">
        <v>18522</v>
      </c>
      <c r="J5528" s="0" t="s">
        <v>18523</v>
      </c>
      <c r="K5528" s="0" t="s">
        <v>18524</v>
      </c>
      <c r="L5528" s="0" t="str">
        <f aca="false">HYPERLINK("https://www.ncbi.nlm.nih.gov/nuccore/CP000304.1?report=graph&amp;tracks=[key:gene_model_track,Options:GeneOnly]&amp;mk=1531117:1531136|offset_0|444444,1531140:1531159|offset_23|00cc00,1531167:1531186|offset_50|444444,1531199:1531218|offset_82|444444&amp;v=1530916:1531418&amp;c=444444", "offset 23")</f>
        <v>offset 23</v>
      </c>
    </row>
    <row r="5529" customFormat="false" ht="12.8" hidden="false" customHeight="false" outlineLevel="0" collapsed="false">
      <c r="A5529" s="0" t="s">
        <v>12</v>
      </c>
      <c r="B5529" s="0" t="n">
        <v>1531166</v>
      </c>
      <c r="C5529" s="0" t="n">
        <v>1531186</v>
      </c>
      <c r="D5529" s="0" t="s">
        <v>18518</v>
      </c>
      <c r="E5529" s="0" t="s">
        <v>89</v>
      </c>
      <c r="F5529" s="0" t="s">
        <v>15</v>
      </c>
      <c r="G5529" s="0" t="s">
        <v>32</v>
      </c>
      <c r="H5529" s="0" t="n">
        <v>50</v>
      </c>
      <c r="I5529" s="0" t="s">
        <v>18525</v>
      </c>
      <c r="J5529" s="0" t="s">
        <v>18526</v>
      </c>
      <c r="K5529" s="0" t="s">
        <v>18527</v>
      </c>
      <c r="L5529" s="0" t="str">
        <f aca="false">HYPERLINK("https://www.ncbi.nlm.nih.gov/nuccore/CP000304.1?report=graph&amp;tracks=[key:gene_model_track,Options:GeneOnly]&amp;mk=1531117:1531136|offset_0|444444,1531140:1531159|offset_23|444444,1531167:1531186|offset_50|00cc00,1531199:1531218|offset_82|444444&amp;v=1530916:1531418&amp;c=444444", "offset 50")</f>
        <v>offset 50</v>
      </c>
    </row>
    <row r="5530" customFormat="false" ht="12.8" hidden="false" customHeight="false" outlineLevel="0" collapsed="false">
      <c r="A5530" s="0" t="s">
        <v>12</v>
      </c>
      <c r="B5530" s="0" t="n">
        <v>1531198</v>
      </c>
      <c r="C5530" s="0" t="n">
        <v>1531218</v>
      </c>
      <c r="D5530" s="0" t="s">
        <v>18518</v>
      </c>
      <c r="E5530" s="0" t="s">
        <v>89</v>
      </c>
      <c r="F5530" s="0" t="s">
        <v>15</v>
      </c>
      <c r="G5530" s="0" t="s">
        <v>26</v>
      </c>
      <c r="H5530" s="0" t="n">
        <v>82</v>
      </c>
      <c r="I5530" s="0" t="s">
        <v>18528</v>
      </c>
      <c r="J5530" s="0" t="s">
        <v>18529</v>
      </c>
      <c r="K5530" s="0" t="s">
        <v>18530</v>
      </c>
      <c r="L5530" s="0" t="str">
        <f aca="false">HYPERLINK("https://www.ncbi.nlm.nih.gov/nuccore/CP000304.1?report=graph&amp;tracks=[key:gene_model_track,Options:GeneOnly]&amp;mk=1531117:1531136|offset_0|444444,1531140:1531159|offset_23|444444,1531167:1531186|offset_50|444444,1531199:1531218|offset_82|00cc00&amp;v=1530916:1531418&amp;c=444444", "offset 82")</f>
        <v>offset 82</v>
      </c>
    </row>
    <row r="5531" customFormat="false" ht="12.8" hidden="false" customHeight="false" outlineLevel="0" collapsed="false">
      <c r="A5531" s="0" t="s">
        <v>12</v>
      </c>
      <c r="B5531" s="0" t="n">
        <v>1531458</v>
      </c>
      <c r="C5531" s="0" t="n">
        <v>1531478</v>
      </c>
      <c r="D5531" s="0" t="s">
        <v>18531</v>
      </c>
      <c r="E5531" s="0" t="s">
        <v>89</v>
      </c>
      <c r="F5531" s="0" t="s">
        <v>15</v>
      </c>
      <c r="G5531" s="0" t="s">
        <v>16</v>
      </c>
      <c r="H5531" s="0" t="n">
        <v>28</v>
      </c>
      <c r="I5531" s="0" t="s">
        <v>18532</v>
      </c>
      <c r="J5531" s="0" t="s">
        <v>18533</v>
      </c>
      <c r="K5531" s="0" t="s">
        <v>18534</v>
      </c>
      <c r="L5531" s="0" t="str">
        <f aca="false">HYPERLINK("https://www.ncbi.nlm.nih.gov/nuccore/CP000304.1?report=graph&amp;tracks=[key:gene_model_track,Options:GeneOnly]&amp;mk=1531459:1531478|offset_28|00cc00,1531479:1531498|offset_48|444444,1531504:1531523|offset_73|444444,1531528:1531547|offset_97|444444&amp;v=1531258:1531747&amp;c=444444", "offset 28")</f>
        <v>offset 28</v>
      </c>
    </row>
    <row r="5532" customFormat="false" ht="12.8" hidden="false" customHeight="false" outlineLevel="0" collapsed="false">
      <c r="A5532" s="0" t="s">
        <v>12</v>
      </c>
      <c r="B5532" s="0" t="n">
        <v>1531478</v>
      </c>
      <c r="C5532" s="0" t="n">
        <v>1531498</v>
      </c>
      <c r="D5532" s="0" t="s">
        <v>18531</v>
      </c>
      <c r="E5532" s="0" t="s">
        <v>89</v>
      </c>
      <c r="F5532" s="0" t="s">
        <v>15</v>
      </c>
      <c r="G5532" s="0" t="s">
        <v>16</v>
      </c>
      <c r="H5532" s="0" t="n">
        <v>48</v>
      </c>
      <c r="I5532" s="0" t="s">
        <v>18535</v>
      </c>
      <c r="J5532" s="0" t="s">
        <v>18536</v>
      </c>
      <c r="K5532" s="0" t="s">
        <v>18537</v>
      </c>
      <c r="L5532" s="0" t="str">
        <f aca="false">HYPERLINK("https://www.ncbi.nlm.nih.gov/nuccore/CP000304.1?report=graph&amp;tracks=[key:gene_model_track,Options:GeneOnly]&amp;mk=1531459:1531478|offset_28|444444,1531479:1531498|offset_48|00cc00,1531504:1531523|offset_73|444444,1531528:1531547|offset_97|444444&amp;v=1531258:1531747&amp;c=444444", "offset 48")</f>
        <v>offset 48</v>
      </c>
    </row>
    <row r="5533" customFormat="false" ht="12.8" hidden="false" customHeight="false" outlineLevel="0" collapsed="false">
      <c r="A5533" s="0" t="s">
        <v>12</v>
      </c>
      <c r="B5533" s="0" t="n">
        <v>1531503</v>
      </c>
      <c r="C5533" s="0" t="n">
        <v>1531523</v>
      </c>
      <c r="D5533" s="0" t="s">
        <v>18531</v>
      </c>
      <c r="E5533" s="0" t="s">
        <v>89</v>
      </c>
      <c r="F5533" s="0" t="s">
        <v>15</v>
      </c>
      <c r="G5533" s="0" t="s">
        <v>16</v>
      </c>
      <c r="H5533" s="0" t="n">
        <v>73</v>
      </c>
      <c r="I5533" s="0" t="s">
        <v>18538</v>
      </c>
      <c r="J5533" s="0" t="s">
        <v>18539</v>
      </c>
      <c r="K5533" s="0" t="s">
        <v>18540</v>
      </c>
      <c r="L5533" s="0" t="str">
        <f aca="false">HYPERLINK("https://www.ncbi.nlm.nih.gov/nuccore/CP000304.1?report=graph&amp;tracks=[key:gene_model_track,Options:GeneOnly]&amp;mk=1531459:1531478|offset_28|444444,1531479:1531498|offset_48|444444,1531504:1531523|offset_73|00cc00,1531528:1531547|offset_97|444444&amp;v=1531258:1531747&amp;c=444444", "offset 73")</f>
        <v>offset 73</v>
      </c>
    </row>
    <row r="5534" customFormat="false" ht="12.8" hidden="false" customHeight="false" outlineLevel="0" collapsed="false">
      <c r="A5534" s="0" t="s">
        <v>12</v>
      </c>
      <c r="B5534" s="0" t="n">
        <v>1531527</v>
      </c>
      <c r="C5534" s="0" t="n">
        <v>1531547</v>
      </c>
      <c r="D5534" s="0" t="s">
        <v>18531</v>
      </c>
      <c r="E5534" s="0" t="s">
        <v>89</v>
      </c>
      <c r="F5534" s="0" t="s">
        <v>15</v>
      </c>
      <c r="G5534" s="0" t="s">
        <v>32</v>
      </c>
      <c r="H5534" s="0" t="n">
        <v>97</v>
      </c>
      <c r="I5534" s="0" t="s">
        <v>18541</v>
      </c>
      <c r="J5534" s="0" t="s">
        <v>18542</v>
      </c>
      <c r="K5534" s="0" t="s">
        <v>18543</v>
      </c>
      <c r="L5534" s="0" t="str">
        <f aca="false">HYPERLINK("https://www.ncbi.nlm.nih.gov/nuccore/CP000304.1?report=graph&amp;tracks=[key:gene_model_track,Options:GeneOnly]&amp;mk=1531459:1531478|offset_28|444444,1531479:1531498|offset_48|444444,1531504:1531523|offset_73|444444,1531528:1531547|offset_97|00cc00&amp;v=1531258:1531747&amp;c=444444", "offset 97")</f>
        <v>offset 97</v>
      </c>
    </row>
    <row r="5535" customFormat="false" ht="12.8" hidden="false" customHeight="false" outlineLevel="0" collapsed="false">
      <c r="A5535" s="0" t="s">
        <v>12</v>
      </c>
      <c r="B5535" s="0" t="n">
        <v>1533352</v>
      </c>
      <c r="C5535" s="0" t="n">
        <v>1533372</v>
      </c>
      <c r="D5535" s="0" t="s">
        <v>18544</v>
      </c>
      <c r="E5535" s="0" t="s">
        <v>89</v>
      </c>
      <c r="F5535" s="0" t="s">
        <v>15</v>
      </c>
      <c r="G5535" s="0" t="s">
        <v>16</v>
      </c>
      <c r="H5535" s="0" t="n">
        <v>31</v>
      </c>
      <c r="I5535" s="0" t="s">
        <v>18545</v>
      </c>
      <c r="J5535" s="0" t="s">
        <v>18546</v>
      </c>
      <c r="K5535" s="0" t="s">
        <v>18547</v>
      </c>
      <c r="L5535" s="0" t="str">
        <f aca="false">HYPERLINK("https://www.ncbi.nlm.nih.gov/nuccore/CP000304.1?report=graph&amp;tracks=[key:gene_model_track,Options:GeneOnly]&amp;mk=1533353:1533372|offset_31|00cc00,1533380:1533399|offset_58|444444,1533419:1533438|offset_97|444444,1533449:1533468|offset_127|444444&amp;v=1533152:1533668&amp;c=444444", "offset 31")</f>
        <v>offset 31</v>
      </c>
    </row>
    <row r="5536" customFormat="false" ht="12.8" hidden="false" customHeight="false" outlineLevel="0" collapsed="false">
      <c r="A5536" s="0" t="s">
        <v>12</v>
      </c>
      <c r="B5536" s="0" t="n">
        <v>1533379</v>
      </c>
      <c r="C5536" s="0" t="n">
        <v>1533399</v>
      </c>
      <c r="D5536" s="0" t="s">
        <v>18544</v>
      </c>
      <c r="E5536" s="0" t="s">
        <v>89</v>
      </c>
      <c r="F5536" s="0" t="s">
        <v>15</v>
      </c>
      <c r="G5536" s="0" t="s">
        <v>36</v>
      </c>
      <c r="H5536" s="0" t="n">
        <v>58</v>
      </c>
      <c r="I5536" s="0" t="s">
        <v>18548</v>
      </c>
      <c r="J5536" s="0" t="s">
        <v>18549</v>
      </c>
      <c r="K5536" s="0" t="s">
        <v>18550</v>
      </c>
      <c r="L5536" s="0" t="str">
        <f aca="false">HYPERLINK("https://www.ncbi.nlm.nih.gov/nuccore/CP000304.1?report=graph&amp;tracks=[key:gene_model_track,Options:GeneOnly]&amp;mk=1533353:1533372|offset_31|444444,1533380:1533399|offset_58|00cc00,1533419:1533438|offset_97|444444,1533449:1533468|offset_127|444444&amp;v=1533152:1533668&amp;c=444444", "offset 58")</f>
        <v>offset 58</v>
      </c>
    </row>
    <row r="5537" customFormat="false" ht="12.8" hidden="false" customHeight="false" outlineLevel="0" collapsed="false">
      <c r="A5537" s="0" t="s">
        <v>12</v>
      </c>
      <c r="B5537" s="0" t="n">
        <v>1533418</v>
      </c>
      <c r="C5537" s="0" t="n">
        <v>1533438</v>
      </c>
      <c r="D5537" s="0" t="s">
        <v>18544</v>
      </c>
      <c r="E5537" s="0" t="s">
        <v>89</v>
      </c>
      <c r="F5537" s="0" t="s">
        <v>15</v>
      </c>
      <c r="G5537" s="0" t="s">
        <v>16</v>
      </c>
      <c r="H5537" s="0" t="n">
        <v>97</v>
      </c>
      <c r="I5537" s="0" t="s">
        <v>18551</v>
      </c>
      <c r="J5537" s="0" t="s">
        <v>18552</v>
      </c>
      <c r="K5537" s="0" t="s">
        <v>18553</v>
      </c>
      <c r="L5537" s="0" t="str">
        <f aca="false">HYPERLINK("https://www.ncbi.nlm.nih.gov/nuccore/CP000304.1?report=graph&amp;tracks=[key:gene_model_track,Options:GeneOnly]&amp;mk=1533353:1533372|offset_31|444444,1533380:1533399|offset_58|444444,1533419:1533438|offset_97|00cc00,1533449:1533468|offset_127|444444&amp;v=1533152:1533668&amp;c=444444", "offset 97")</f>
        <v>offset 97</v>
      </c>
    </row>
    <row r="5538" customFormat="false" ht="12.8" hidden="false" customHeight="false" outlineLevel="0" collapsed="false">
      <c r="A5538" s="0" t="s">
        <v>12</v>
      </c>
      <c r="B5538" s="0" t="n">
        <v>1533448</v>
      </c>
      <c r="C5538" s="0" t="n">
        <v>1533468</v>
      </c>
      <c r="D5538" s="0" t="s">
        <v>18544</v>
      </c>
      <c r="E5538" s="0" t="s">
        <v>89</v>
      </c>
      <c r="F5538" s="0" t="s">
        <v>15</v>
      </c>
      <c r="G5538" s="0" t="s">
        <v>36</v>
      </c>
      <c r="H5538" s="0" t="n">
        <v>127</v>
      </c>
      <c r="I5538" s="0" t="s">
        <v>18554</v>
      </c>
      <c r="J5538" s="0" t="s">
        <v>18555</v>
      </c>
      <c r="K5538" s="0" t="s">
        <v>18556</v>
      </c>
      <c r="L5538" s="0" t="str">
        <f aca="false">HYPERLINK("https://www.ncbi.nlm.nih.gov/nuccore/CP000304.1?report=graph&amp;tracks=[key:gene_model_track,Options:GeneOnly]&amp;mk=1533353:1533372|offset_31|444444,1533380:1533399|offset_58|444444,1533419:1533438|offset_97|444444,1533449:1533468|offset_127|00cc00&amp;v=1533152:1533668&amp;c=444444", "offset 127")</f>
        <v>offset 127</v>
      </c>
    </row>
    <row r="5539" customFormat="false" ht="12.8" hidden="false" customHeight="false" outlineLevel="0" collapsed="false">
      <c r="A5539" s="0" t="s">
        <v>12</v>
      </c>
      <c r="B5539" s="0" t="n">
        <v>1534247</v>
      </c>
      <c r="C5539" s="0" t="n">
        <v>1534267</v>
      </c>
      <c r="D5539" s="0" t="s">
        <v>18557</v>
      </c>
      <c r="E5539" s="0" t="s">
        <v>89</v>
      </c>
      <c r="F5539" s="0" t="s">
        <v>15</v>
      </c>
      <c r="G5539" s="0" t="s">
        <v>26</v>
      </c>
      <c r="H5539" s="0" t="n">
        <v>13</v>
      </c>
      <c r="I5539" s="0" t="s">
        <v>18558</v>
      </c>
      <c r="J5539" s="0" t="s">
        <v>18559</v>
      </c>
      <c r="K5539" s="0" t="s">
        <v>18560</v>
      </c>
      <c r="L5539" s="0" t="str">
        <f aca="false">HYPERLINK("https://www.ncbi.nlm.nih.gov/nuccore/CP000304.1?report=graph&amp;tracks=[key:gene_model_track,Options:GeneOnly]&amp;mk=1534248:1534267|offset_13|00cc00,1534273:1534292|offset_38|444444,1534294:1534313|offset_59|444444,1534314:1534333|offset_79|444444&amp;v=1534047:1534533&amp;c=444444", "offset 13")</f>
        <v>offset 13</v>
      </c>
    </row>
    <row r="5540" customFormat="false" ht="12.8" hidden="false" customHeight="false" outlineLevel="0" collapsed="false">
      <c r="A5540" s="0" t="s">
        <v>12</v>
      </c>
      <c r="B5540" s="0" t="n">
        <v>1534272</v>
      </c>
      <c r="C5540" s="0" t="n">
        <v>1534292</v>
      </c>
      <c r="D5540" s="0" t="s">
        <v>18557</v>
      </c>
      <c r="E5540" s="0" t="s">
        <v>89</v>
      </c>
      <c r="F5540" s="0" t="s">
        <v>15</v>
      </c>
      <c r="G5540" s="0" t="s">
        <v>26</v>
      </c>
      <c r="H5540" s="0" t="n">
        <v>38</v>
      </c>
      <c r="I5540" s="0" t="s">
        <v>18561</v>
      </c>
      <c r="J5540" s="0" t="s">
        <v>18562</v>
      </c>
      <c r="K5540" s="0" t="s">
        <v>18563</v>
      </c>
      <c r="L5540" s="0" t="str">
        <f aca="false">HYPERLINK("https://www.ncbi.nlm.nih.gov/nuccore/CP000304.1?report=graph&amp;tracks=[key:gene_model_track,Options:GeneOnly]&amp;mk=1534248:1534267|offset_13|444444,1534273:1534292|offset_38|00cc00,1534294:1534313|offset_59|444444,1534314:1534333|offset_79|444444&amp;v=1534047:1534533&amp;c=444444", "offset 38")</f>
        <v>offset 38</v>
      </c>
    </row>
    <row r="5541" customFormat="false" ht="12.8" hidden="false" customHeight="false" outlineLevel="0" collapsed="false">
      <c r="A5541" s="0" t="s">
        <v>12</v>
      </c>
      <c r="B5541" s="0" t="n">
        <v>1534293</v>
      </c>
      <c r="C5541" s="0" t="n">
        <v>1534313</v>
      </c>
      <c r="D5541" s="0" t="s">
        <v>18557</v>
      </c>
      <c r="E5541" s="0" t="s">
        <v>89</v>
      </c>
      <c r="F5541" s="0" t="s">
        <v>15</v>
      </c>
      <c r="G5541" s="0" t="s">
        <v>26</v>
      </c>
      <c r="H5541" s="0" t="n">
        <v>59</v>
      </c>
      <c r="I5541" s="0" t="s">
        <v>18564</v>
      </c>
      <c r="J5541" s="0" t="s">
        <v>18565</v>
      </c>
      <c r="K5541" s="0" t="s">
        <v>18566</v>
      </c>
      <c r="L5541" s="0" t="str">
        <f aca="false">HYPERLINK("https://www.ncbi.nlm.nih.gov/nuccore/CP000304.1?report=graph&amp;tracks=[key:gene_model_track,Options:GeneOnly]&amp;mk=1534248:1534267|offset_13|444444,1534273:1534292|offset_38|444444,1534294:1534313|offset_59|00cc00,1534314:1534333|offset_79|444444&amp;v=1534047:1534533&amp;c=444444", "offset 59")</f>
        <v>offset 59</v>
      </c>
    </row>
    <row r="5542" customFormat="false" ht="12.8" hidden="false" customHeight="false" outlineLevel="0" collapsed="false">
      <c r="A5542" s="0" t="s">
        <v>12</v>
      </c>
      <c r="B5542" s="0" t="n">
        <v>1534313</v>
      </c>
      <c r="C5542" s="0" t="n">
        <v>1534333</v>
      </c>
      <c r="D5542" s="0" t="s">
        <v>18557</v>
      </c>
      <c r="E5542" s="0" t="s">
        <v>89</v>
      </c>
      <c r="F5542" s="0" t="s">
        <v>15</v>
      </c>
      <c r="G5542" s="0" t="s">
        <v>26</v>
      </c>
      <c r="H5542" s="0" t="n">
        <v>79</v>
      </c>
      <c r="I5542" s="0" t="s">
        <v>18567</v>
      </c>
      <c r="J5542" s="0" t="s">
        <v>18568</v>
      </c>
      <c r="K5542" s="0" t="s">
        <v>18569</v>
      </c>
      <c r="L5542" s="0" t="str">
        <f aca="false">HYPERLINK("https://www.ncbi.nlm.nih.gov/nuccore/CP000304.1?report=graph&amp;tracks=[key:gene_model_track,Options:GeneOnly]&amp;mk=1534248:1534267|offset_13|444444,1534273:1534292|offset_38|444444,1534294:1534313|offset_59|444444,1534314:1534333|offset_79|00cc00&amp;v=1534047:1534533&amp;c=444444", "offset 79")</f>
        <v>offset 79</v>
      </c>
    </row>
    <row r="5543" customFormat="false" ht="12.8" hidden="false" customHeight="false" outlineLevel="0" collapsed="false">
      <c r="A5543" s="0" t="s">
        <v>12</v>
      </c>
      <c r="B5543" s="0" t="n">
        <v>1535520</v>
      </c>
      <c r="C5543" s="0" t="n">
        <v>1535540</v>
      </c>
      <c r="D5543" s="0" t="s">
        <v>18570</v>
      </c>
      <c r="E5543" s="0" t="s">
        <v>89</v>
      </c>
      <c r="F5543" s="0" t="s">
        <v>15</v>
      </c>
      <c r="G5543" s="0" t="s">
        <v>32</v>
      </c>
      <c r="H5543" s="0" t="n">
        <v>16</v>
      </c>
      <c r="I5543" s="0" t="s">
        <v>18571</v>
      </c>
      <c r="J5543" s="0" t="s">
        <v>18572</v>
      </c>
      <c r="K5543" s="0" t="s">
        <v>18573</v>
      </c>
      <c r="L5543" s="0" t="str">
        <f aca="false">HYPERLINK("https://www.ncbi.nlm.nih.gov/nuccore/CP000304.1?report=graph&amp;tracks=[key:gene_model_track,Options:GeneOnly]&amp;mk=1535521:1535540|offset_16|00cc00,1535550:1535569|offset_45|444444,1535573:1535592|offset_68|444444,1535599:1535618|offset_94|444444&amp;v=1535320:1535818&amp;c=444444", "offset 16")</f>
        <v>offset 16</v>
      </c>
    </row>
    <row r="5544" customFormat="false" ht="12.8" hidden="false" customHeight="false" outlineLevel="0" collapsed="false">
      <c r="A5544" s="0" t="s">
        <v>12</v>
      </c>
      <c r="B5544" s="0" t="n">
        <v>1535549</v>
      </c>
      <c r="C5544" s="0" t="n">
        <v>1535569</v>
      </c>
      <c r="D5544" s="0" t="s">
        <v>18570</v>
      </c>
      <c r="E5544" s="0" t="s">
        <v>89</v>
      </c>
      <c r="F5544" s="0" t="s">
        <v>15</v>
      </c>
      <c r="G5544" s="0" t="s">
        <v>16</v>
      </c>
      <c r="H5544" s="0" t="n">
        <v>45</v>
      </c>
      <c r="I5544" s="0" t="s">
        <v>18574</v>
      </c>
      <c r="J5544" s="0" t="s">
        <v>18575</v>
      </c>
      <c r="K5544" s="0" t="s">
        <v>18576</v>
      </c>
      <c r="L5544" s="0" t="str">
        <f aca="false">HYPERLINK("https://www.ncbi.nlm.nih.gov/nuccore/CP000304.1?report=graph&amp;tracks=[key:gene_model_track,Options:GeneOnly]&amp;mk=1535521:1535540|offset_16|444444,1535550:1535569|offset_45|00cc00,1535573:1535592|offset_68|444444,1535599:1535618|offset_94|444444&amp;v=1535320:1535818&amp;c=444444", "offset 45")</f>
        <v>offset 45</v>
      </c>
    </row>
    <row r="5545" customFormat="false" ht="12.8" hidden="false" customHeight="false" outlineLevel="0" collapsed="false">
      <c r="A5545" s="0" t="s">
        <v>12</v>
      </c>
      <c r="B5545" s="0" t="n">
        <v>1535572</v>
      </c>
      <c r="C5545" s="0" t="n">
        <v>1535592</v>
      </c>
      <c r="D5545" s="0" t="s">
        <v>18570</v>
      </c>
      <c r="E5545" s="0" t="s">
        <v>89</v>
      </c>
      <c r="F5545" s="0" t="s">
        <v>15</v>
      </c>
      <c r="G5545" s="0" t="s">
        <v>16</v>
      </c>
      <c r="H5545" s="0" t="n">
        <v>68</v>
      </c>
      <c r="I5545" s="0" t="s">
        <v>18577</v>
      </c>
      <c r="J5545" s="0" t="s">
        <v>18578</v>
      </c>
      <c r="K5545" s="0" t="s">
        <v>18579</v>
      </c>
      <c r="L5545" s="0" t="str">
        <f aca="false">HYPERLINK("https://www.ncbi.nlm.nih.gov/nuccore/CP000304.1?report=graph&amp;tracks=[key:gene_model_track,Options:GeneOnly]&amp;mk=1535521:1535540|offset_16|444444,1535550:1535569|offset_45|444444,1535573:1535592|offset_68|00cc00,1535599:1535618|offset_94|444444&amp;v=1535320:1535818&amp;c=444444", "offset 68")</f>
        <v>offset 68</v>
      </c>
    </row>
    <row r="5546" customFormat="false" ht="12.8" hidden="false" customHeight="false" outlineLevel="0" collapsed="false">
      <c r="A5546" s="0" t="s">
        <v>12</v>
      </c>
      <c r="B5546" s="0" t="n">
        <v>1535598</v>
      </c>
      <c r="C5546" s="0" t="n">
        <v>1535618</v>
      </c>
      <c r="D5546" s="0" t="s">
        <v>18570</v>
      </c>
      <c r="E5546" s="0" t="s">
        <v>89</v>
      </c>
      <c r="F5546" s="0" t="s">
        <v>15</v>
      </c>
      <c r="G5546" s="0" t="s">
        <v>16</v>
      </c>
      <c r="H5546" s="0" t="n">
        <v>94</v>
      </c>
      <c r="I5546" s="0" t="s">
        <v>18580</v>
      </c>
      <c r="J5546" s="0" t="s">
        <v>18581</v>
      </c>
      <c r="K5546" s="0" t="s">
        <v>18582</v>
      </c>
      <c r="L5546" s="0" t="str">
        <f aca="false">HYPERLINK("https://www.ncbi.nlm.nih.gov/nuccore/CP000304.1?report=graph&amp;tracks=[key:gene_model_track,Options:GeneOnly]&amp;mk=1535521:1535540|offset_16|444444,1535550:1535569|offset_45|444444,1535573:1535592|offset_68|444444,1535599:1535618|offset_94|00cc00&amp;v=1535320:1535818&amp;c=444444", "offset 94")</f>
        <v>offset 94</v>
      </c>
    </row>
    <row r="5547" customFormat="false" ht="12.8" hidden="false" customHeight="false" outlineLevel="0" collapsed="false">
      <c r="A5547" s="0" t="s">
        <v>12</v>
      </c>
      <c r="B5547" s="0" t="n">
        <v>1536153</v>
      </c>
      <c r="C5547" s="0" t="n">
        <v>1536173</v>
      </c>
      <c r="D5547" s="0" t="s">
        <v>18583</v>
      </c>
      <c r="E5547" s="0" t="s">
        <v>89</v>
      </c>
      <c r="F5547" s="0" t="s">
        <v>90</v>
      </c>
      <c r="G5547" s="0" t="s">
        <v>36</v>
      </c>
      <c r="H5547" s="0" t="n">
        <v>0</v>
      </c>
      <c r="I5547" s="0" t="s">
        <v>18584</v>
      </c>
      <c r="J5547" s="0" t="s">
        <v>18585</v>
      </c>
      <c r="K5547" s="0" t="s">
        <v>18586</v>
      </c>
      <c r="L5547" s="0" t="str">
        <f aca="false">HYPERLINK("https://www.ncbi.nlm.nih.gov/nuccore/CP000304.1?report=graph&amp;tracks=[key:gene_model_track,Options:GeneOnly]&amp;mk=1536154:1536173|offset_0|00cc00,1536134:1536153|offset_20|444444,1536111:1536130|offset_43|444444,1536087:1536106|offset_67|444444&amp;v=1535953:1536306&amp;c=444444", "offset 0")</f>
        <v>offset 0</v>
      </c>
    </row>
    <row r="5548" customFormat="false" ht="12.8" hidden="false" customHeight="false" outlineLevel="0" collapsed="false">
      <c r="A5548" s="0" t="s">
        <v>12</v>
      </c>
      <c r="B5548" s="0" t="n">
        <v>1536133</v>
      </c>
      <c r="C5548" s="0" t="n">
        <v>1536153</v>
      </c>
      <c r="D5548" s="0" t="s">
        <v>18583</v>
      </c>
      <c r="E5548" s="0" t="s">
        <v>89</v>
      </c>
      <c r="F5548" s="0" t="s">
        <v>90</v>
      </c>
      <c r="G5548" s="0" t="s">
        <v>32</v>
      </c>
      <c r="H5548" s="0" t="n">
        <v>20</v>
      </c>
      <c r="I5548" s="0" t="s">
        <v>18587</v>
      </c>
      <c r="J5548" s="0" t="s">
        <v>18588</v>
      </c>
      <c r="K5548" s="0" t="s">
        <v>18589</v>
      </c>
      <c r="L5548" s="0" t="str">
        <f aca="false">HYPERLINK("https://www.ncbi.nlm.nih.gov/nuccore/CP000304.1?report=graph&amp;tracks=[key:gene_model_track,Options:GeneOnly]&amp;mk=1536154:1536173|offset_0|444444,1536134:1536153|offset_20|00cc00,1536111:1536130|offset_43|444444,1536087:1536106|offset_67|444444&amp;v=1535953:1536306&amp;c=444444", "offset 20")</f>
        <v>offset 20</v>
      </c>
    </row>
    <row r="5549" customFormat="false" ht="12.8" hidden="false" customHeight="false" outlineLevel="0" collapsed="false">
      <c r="A5549" s="0" t="s">
        <v>12</v>
      </c>
      <c r="B5549" s="0" t="n">
        <v>1536110</v>
      </c>
      <c r="C5549" s="0" t="n">
        <v>1536130</v>
      </c>
      <c r="D5549" s="0" t="s">
        <v>18583</v>
      </c>
      <c r="E5549" s="0" t="s">
        <v>89</v>
      </c>
      <c r="F5549" s="0" t="s">
        <v>90</v>
      </c>
      <c r="G5549" s="0" t="s">
        <v>36</v>
      </c>
      <c r="H5549" s="0" t="n">
        <v>43</v>
      </c>
      <c r="I5549" s="0" t="s">
        <v>18590</v>
      </c>
      <c r="J5549" s="0" t="s">
        <v>18591</v>
      </c>
      <c r="K5549" s="0" t="s">
        <v>18592</v>
      </c>
      <c r="L5549" s="0" t="str">
        <f aca="false">HYPERLINK("https://www.ncbi.nlm.nih.gov/nuccore/CP000304.1?report=graph&amp;tracks=[key:gene_model_track,Options:GeneOnly]&amp;mk=1536154:1536173|offset_0|444444,1536134:1536153|offset_20|444444,1536111:1536130|offset_43|00cc00,1536087:1536106|offset_67|444444&amp;v=1535953:1536306&amp;c=444444", "offset 43")</f>
        <v>offset 43</v>
      </c>
    </row>
    <row r="5550" customFormat="false" ht="12.8" hidden="false" customHeight="false" outlineLevel="0" collapsed="false">
      <c r="A5550" s="0" t="s">
        <v>12</v>
      </c>
      <c r="B5550" s="0" t="n">
        <v>1536086</v>
      </c>
      <c r="C5550" s="0" t="n">
        <v>1536106</v>
      </c>
      <c r="D5550" s="0" t="s">
        <v>18583</v>
      </c>
      <c r="E5550" s="0" t="s">
        <v>89</v>
      </c>
      <c r="F5550" s="0" t="s">
        <v>90</v>
      </c>
      <c r="G5550" s="0" t="s">
        <v>36</v>
      </c>
      <c r="H5550" s="0" t="n">
        <v>67</v>
      </c>
      <c r="I5550" s="0" t="s">
        <v>18593</v>
      </c>
      <c r="J5550" s="0" t="s">
        <v>18594</v>
      </c>
      <c r="K5550" s="0" t="s">
        <v>18595</v>
      </c>
      <c r="L5550" s="0" t="str">
        <f aca="false">HYPERLINK("https://www.ncbi.nlm.nih.gov/nuccore/CP000304.1?report=graph&amp;tracks=[key:gene_model_track,Options:GeneOnly]&amp;mk=1536154:1536173|offset_0|444444,1536134:1536153|offset_20|444444,1536111:1536130|offset_43|444444,1536087:1536106|offset_67|00cc00&amp;v=1535953:1536306&amp;c=444444", "offset 67")</f>
        <v>offset 67</v>
      </c>
    </row>
    <row r="5551" customFormat="false" ht="12.8" hidden="false" customHeight="false" outlineLevel="0" collapsed="false">
      <c r="A5551" s="0" t="s">
        <v>12</v>
      </c>
      <c r="B5551" s="0" t="n">
        <v>1538932</v>
      </c>
      <c r="C5551" s="0" t="n">
        <v>1538952</v>
      </c>
      <c r="D5551" s="0" t="s">
        <v>18596</v>
      </c>
      <c r="E5551" s="0" t="s">
        <v>89</v>
      </c>
      <c r="F5551" s="0" t="s">
        <v>90</v>
      </c>
      <c r="G5551" s="0" t="s">
        <v>16</v>
      </c>
      <c r="H5551" s="0" t="n">
        <v>9</v>
      </c>
      <c r="I5551" s="0" t="s">
        <v>18597</v>
      </c>
      <c r="J5551" s="0" t="s">
        <v>18598</v>
      </c>
      <c r="K5551" s="0" t="s">
        <v>18599</v>
      </c>
      <c r="L5551" s="0" t="str">
        <f aca="false">HYPERLINK("https://www.ncbi.nlm.nih.gov/nuccore/CP000304.1?report=graph&amp;tracks=[key:gene_model_track,Options:GeneOnly]&amp;mk=1538933:1538952|offset_9|00cc00,1538901:1538920|offset_41|444444,1538873:1538892|offset_69|444444,1538844:1538863|offset_98|444444&amp;v=1538732:1539063&amp;c=444444", "offset 9")</f>
        <v>offset 9</v>
      </c>
    </row>
    <row r="5552" customFormat="false" ht="12.8" hidden="false" customHeight="false" outlineLevel="0" collapsed="false">
      <c r="A5552" s="0" t="s">
        <v>12</v>
      </c>
      <c r="B5552" s="0" t="n">
        <v>1538900</v>
      </c>
      <c r="C5552" s="0" t="n">
        <v>1538920</v>
      </c>
      <c r="D5552" s="0" t="s">
        <v>18596</v>
      </c>
      <c r="E5552" s="0" t="s">
        <v>89</v>
      </c>
      <c r="F5552" s="0" t="s">
        <v>90</v>
      </c>
      <c r="G5552" s="0" t="s">
        <v>26</v>
      </c>
      <c r="H5552" s="0" t="n">
        <v>41</v>
      </c>
      <c r="I5552" s="0" t="s">
        <v>18600</v>
      </c>
      <c r="J5552" s="0" t="s">
        <v>18601</v>
      </c>
      <c r="K5552" s="0" t="s">
        <v>18602</v>
      </c>
      <c r="L5552" s="0" t="str">
        <f aca="false">HYPERLINK("https://www.ncbi.nlm.nih.gov/nuccore/CP000304.1?report=graph&amp;tracks=[key:gene_model_track,Options:GeneOnly]&amp;mk=1538933:1538952|offset_9|444444,1538901:1538920|offset_41|00cc00,1538873:1538892|offset_69|444444,1538844:1538863|offset_98|444444&amp;v=1538732:1539063&amp;c=444444", "offset 41")</f>
        <v>offset 41</v>
      </c>
    </row>
    <row r="5553" customFormat="false" ht="12.8" hidden="false" customHeight="false" outlineLevel="0" collapsed="false">
      <c r="A5553" s="0" t="s">
        <v>12</v>
      </c>
      <c r="B5553" s="0" t="n">
        <v>1538872</v>
      </c>
      <c r="C5553" s="0" t="n">
        <v>1538892</v>
      </c>
      <c r="D5553" s="0" t="s">
        <v>18596</v>
      </c>
      <c r="E5553" s="0" t="s">
        <v>89</v>
      </c>
      <c r="F5553" s="0" t="s">
        <v>90</v>
      </c>
      <c r="G5553" s="0" t="s">
        <v>26</v>
      </c>
      <c r="H5553" s="0" t="n">
        <v>69</v>
      </c>
      <c r="I5553" s="0" t="s">
        <v>18603</v>
      </c>
      <c r="J5553" s="0" t="s">
        <v>18604</v>
      </c>
      <c r="K5553" s="0" t="s">
        <v>18605</v>
      </c>
      <c r="L5553" s="0" t="str">
        <f aca="false">HYPERLINK("https://www.ncbi.nlm.nih.gov/nuccore/CP000304.1?report=graph&amp;tracks=[key:gene_model_track,Options:GeneOnly]&amp;mk=1538933:1538952|offset_9|444444,1538901:1538920|offset_41|444444,1538873:1538892|offset_69|00cc00,1538844:1538863|offset_98|444444&amp;v=1538732:1539063&amp;c=444444", "offset 69")</f>
        <v>offset 69</v>
      </c>
    </row>
    <row r="5554" customFormat="false" ht="12.8" hidden="false" customHeight="false" outlineLevel="0" collapsed="false">
      <c r="A5554" s="0" t="s">
        <v>12</v>
      </c>
      <c r="B5554" s="0" t="n">
        <v>1538843</v>
      </c>
      <c r="C5554" s="0" t="n">
        <v>1538863</v>
      </c>
      <c r="D5554" s="0" t="s">
        <v>18596</v>
      </c>
      <c r="E5554" s="0" t="s">
        <v>89</v>
      </c>
      <c r="F5554" s="0" t="s">
        <v>90</v>
      </c>
      <c r="G5554" s="0" t="s">
        <v>32</v>
      </c>
      <c r="H5554" s="0" t="n">
        <v>98</v>
      </c>
      <c r="I5554" s="0" t="s">
        <v>18606</v>
      </c>
      <c r="J5554" s="0" t="s">
        <v>18607</v>
      </c>
      <c r="K5554" s="0" t="s">
        <v>18608</v>
      </c>
      <c r="L5554" s="0" t="str">
        <f aca="false">HYPERLINK("https://www.ncbi.nlm.nih.gov/nuccore/CP000304.1?report=graph&amp;tracks=[key:gene_model_track,Options:GeneOnly]&amp;mk=1538933:1538952|offset_9|444444,1538901:1538920|offset_41|444444,1538873:1538892|offset_69|444444,1538844:1538863|offset_98|00cc00&amp;v=1538732:1539063&amp;c=444444", "offset 98")</f>
        <v>offset 98</v>
      </c>
    </row>
    <row r="5555" customFormat="false" ht="12.8" hidden="false" customHeight="false" outlineLevel="0" collapsed="false">
      <c r="A5555" s="0" t="s">
        <v>12</v>
      </c>
      <c r="B5555" s="0" t="n">
        <v>1540342</v>
      </c>
      <c r="C5555" s="0" t="n">
        <v>1540362</v>
      </c>
      <c r="D5555" s="0" t="s">
        <v>18609</v>
      </c>
      <c r="E5555" s="0" t="s">
        <v>89</v>
      </c>
      <c r="F5555" s="0" t="s">
        <v>90</v>
      </c>
      <c r="G5555" s="0" t="s">
        <v>32</v>
      </c>
      <c r="H5555" s="0" t="n">
        <v>1</v>
      </c>
      <c r="I5555" s="0" t="s">
        <v>18610</v>
      </c>
      <c r="J5555" s="0" t="s">
        <v>18611</v>
      </c>
      <c r="K5555" s="0" t="s">
        <v>18612</v>
      </c>
      <c r="L5555" s="0" t="str">
        <f aca="false">HYPERLINK("https://www.ncbi.nlm.nih.gov/nuccore/CP000304.1?report=graph&amp;tracks=[key:gene_model_track,Options:GeneOnly]&amp;mk=1540343:1540362|offset_1|00cc00,1540320:1540339|offset_24|444444,1540277:1540296|offset_67|444444,1540253:1540272|offset_91|444444&amp;v=1540142:1540472&amp;c=444444", "offset 1")</f>
        <v>offset 1</v>
      </c>
    </row>
    <row r="5556" customFormat="false" ht="12.8" hidden="false" customHeight="false" outlineLevel="0" collapsed="false">
      <c r="A5556" s="0" t="s">
        <v>12</v>
      </c>
      <c r="B5556" s="0" t="n">
        <v>1540319</v>
      </c>
      <c r="C5556" s="0" t="n">
        <v>1540339</v>
      </c>
      <c r="D5556" s="0" t="s">
        <v>18609</v>
      </c>
      <c r="E5556" s="0" t="s">
        <v>89</v>
      </c>
      <c r="F5556" s="0" t="s">
        <v>90</v>
      </c>
      <c r="G5556" s="0" t="s">
        <v>36</v>
      </c>
      <c r="H5556" s="0" t="n">
        <v>24</v>
      </c>
      <c r="I5556" s="0" t="s">
        <v>18613</v>
      </c>
      <c r="J5556" s="0" t="s">
        <v>18614</v>
      </c>
      <c r="K5556" s="0" t="s">
        <v>18615</v>
      </c>
      <c r="L5556" s="0" t="str">
        <f aca="false">HYPERLINK("https://www.ncbi.nlm.nih.gov/nuccore/CP000304.1?report=graph&amp;tracks=[key:gene_model_track,Options:GeneOnly]&amp;mk=1540343:1540362|offset_1|444444,1540320:1540339|offset_24|00cc00,1540277:1540296|offset_67|444444,1540253:1540272|offset_91|444444&amp;v=1540142:1540472&amp;c=444444", "offset 24")</f>
        <v>offset 24</v>
      </c>
    </row>
    <row r="5557" customFormat="false" ht="12.8" hidden="false" customHeight="false" outlineLevel="0" collapsed="false">
      <c r="A5557" s="0" t="s">
        <v>12</v>
      </c>
      <c r="B5557" s="0" t="n">
        <v>1540276</v>
      </c>
      <c r="C5557" s="0" t="n">
        <v>1540296</v>
      </c>
      <c r="D5557" s="0" t="s">
        <v>18609</v>
      </c>
      <c r="E5557" s="0" t="s">
        <v>89</v>
      </c>
      <c r="F5557" s="0" t="s">
        <v>90</v>
      </c>
      <c r="G5557" s="0" t="s">
        <v>32</v>
      </c>
      <c r="H5557" s="0" t="n">
        <v>67</v>
      </c>
      <c r="I5557" s="0" t="s">
        <v>18616</v>
      </c>
      <c r="J5557" s="0" t="s">
        <v>18617</v>
      </c>
      <c r="K5557" s="0" t="s">
        <v>18618</v>
      </c>
      <c r="L5557" s="0" t="str">
        <f aca="false">HYPERLINK("https://www.ncbi.nlm.nih.gov/nuccore/CP000304.1?report=graph&amp;tracks=[key:gene_model_track,Options:GeneOnly]&amp;mk=1540343:1540362|offset_1|444444,1540320:1540339|offset_24|444444,1540277:1540296|offset_67|00cc00,1540253:1540272|offset_91|444444&amp;v=1540142:1540472&amp;c=444444", "offset 67")</f>
        <v>offset 67</v>
      </c>
    </row>
    <row r="5558" customFormat="false" ht="12.8" hidden="false" customHeight="false" outlineLevel="0" collapsed="false">
      <c r="A5558" s="0" t="s">
        <v>12</v>
      </c>
      <c r="B5558" s="0" t="n">
        <v>1540252</v>
      </c>
      <c r="C5558" s="0" t="n">
        <v>1540272</v>
      </c>
      <c r="D5558" s="0" t="s">
        <v>18609</v>
      </c>
      <c r="E5558" s="0" t="s">
        <v>89</v>
      </c>
      <c r="F5558" s="0" t="s">
        <v>90</v>
      </c>
      <c r="G5558" s="0" t="s">
        <v>16</v>
      </c>
      <c r="H5558" s="0" t="n">
        <v>91</v>
      </c>
      <c r="I5558" s="0" t="s">
        <v>18619</v>
      </c>
      <c r="J5558" s="0" t="s">
        <v>18620</v>
      </c>
      <c r="K5558" s="0" t="s">
        <v>18621</v>
      </c>
      <c r="L5558" s="0" t="str">
        <f aca="false">HYPERLINK("https://www.ncbi.nlm.nih.gov/nuccore/CP000304.1?report=graph&amp;tracks=[key:gene_model_track,Options:GeneOnly]&amp;mk=1540343:1540362|offset_1|444444,1540320:1540339|offset_24|444444,1540277:1540296|offset_67|444444,1540253:1540272|offset_91|00cc00&amp;v=1540142:1540472&amp;c=444444", "offset 91")</f>
        <v>offset 91</v>
      </c>
    </row>
    <row r="5559" customFormat="false" ht="12.8" hidden="false" customHeight="false" outlineLevel="0" collapsed="false">
      <c r="A5559" s="0" t="s">
        <v>12</v>
      </c>
      <c r="B5559" s="0" t="n">
        <v>1542207</v>
      </c>
      <c r="C5559" s="0" t="n">
        <v>1542227</v>
      </c>
      <c r="D5559" s="0" t="s">
        <v>18622</v>
      </c>
      <c r="E5559" s="0" t="s">
        <v>89</v>
      </c>
      <c r="F5559" s="0" t="s">
        <v>90</v>
      </c>
      <c r="G5559" s="0" t="s">
        <v>32</v>
      </c>
      <c r="H5559" s="0" t="n">
        <v>1</v>
      </c>
      <c r="I5559" s="0" t="s">
        <v>18623</v>
      </c>
      <c r="J5559" s="0" t="s">
        <v>18624</v>
      </c>
      <c r="K5559" s="0" t="s">
        <v>18625</v>
      </c>
      <c r="L5559" s="0" t="str">
        <f aca="false">HYPERLINK("https://www.ncbi.nlm.nih.gov/nuccore/CP000304.1?report=graph&amp;tracks=[key:gene_model_track,Options:GeneOnly]&amp;mk=1542208:1542227|offset_1|00cc00,1542177:1542196|offset_32|444444,1542154:1542173|offset_55|444444,1542107:1542126|offset_102|444444&amp;v=1542007:1542326&amp;c=444444", "offset 1")</f>
        <v>offset 1</v>
      </c>
    </row>
    <row r="5560" customFormat="false" ht="12.8" hidden="false" customHeight="false" outlineLevel="0" collapsed="false">
      <c r="A5560" s="0" t="s">
        <v>12</v>
      </c>
      <c r="B5560" s="0" t="n">
        <v>1542176</v>
      </c>
      <c r="C5560" s="0" t="n">
        <v>1542196</v>
      </c>
      <c r="D5560" s="0" t="s">
        <v>18622</v>
      </c>
      <c r="E5560" s="0" t="s">
        <v>89</v>
      </c>
      <c r="F5560" s="0" t="s">
        <v>90</v>
      </c>
      <c r="G5560" s="0" t="s">
        <v>26</v>
      </c>
      <c r="H5560" s="0" t="n">
        <v>32</v>
      </c>
      <c r="I5560" s="0" t="s">
        <v>18626</v>
      </c>
      <c r="J5560" s="0" t="s">
        <v>18627</v>
      </c>
      <c r="K5560" s="0" t="s">
        <v>18628</v>
      </c>
      <c r="L5560" s="0" t="str">
        <f aca="false">HYPERLINK("https://www.ncbi.nlm.nih.gov/nuccore/CP000304.1?report=graph&amp;tracks=[key:gene_model_track,Options:GeneOnly]&amp;mk=1542208:1542227|offset_1|444444,1542177:1542196|offset_32|00cc00,1542154:1542173|offset_55|444444,1542107:1542126|offset_102|444444&amp;v=1542007:1542326&amp;c=444444", "offset 32")</f>
        <v>offset 32</v>
      </c>
    </row>
    <row r="5561" customFormat="false" ht="12.8" hidden="false" customHeight="false" outlineLevel="0" collapsed="false">
      <c r="A5561" s="0" t="s">
        <v>12</v>
      </c>
      <c r="B5561" s="0" t="n">
        <v>1542153</v>
      </c>
      <c r="C5561" s="0" t="n">
        <v>1542173</v>
      </c>
      <c r="D5561" s="0" t="s">
        <v>18622</v>
      </c>
      <c r="E5561" s="0" t="s">
        <v>89</v>
      </c>
      <c r="F5561" s="0" t="s">
        <v>90</v>
      </c>
      <c r="G5561" s="0" t="s">
        <v>26</v>
      </c>
      <c r="H5561" s="0" t="n">
        <v>55</v>
      </c>
      <c r="I5561" s="0" t="s">
        <v>18629</v>
      </c>
      <c r="J5561" s="0" t="s">
        <v>18630</v>
      </c>
      <c r="K5561" s="0" t="s">
        <v>18631</v>
      </c>
      <c r="L5561" s="0" t="str">
        <f aca="false">HYPERLINK("https://www.ncbi.nlm.nih.gov/nuccore/CP000304.1?report=graph&amp;tracks=[key:gene_model_track,Options:GeneOnly]&amp;mk=1542208:1542227|offset_1|444444,1542177:1542196|offset_32|444444,1542154:1542173|offset_55|00cc00,1542107:1542126|offset_102|444444&amp;v=1542007:1542326&amp;c=444444", "offset 55")</f>
        <v>offset 55</v>
      </c>
    </row>
    <row r="5562" customFormat="false" ht="12.8" hidden="false" customHeight="false" outlineLevel="0" collapsed="false">
      <c r="A5562" s="0" t="s">
        <v>12</v>
      </c>
      <c r="B5562" s="0" t="n">
        <v>1542106</v>
      </c>
      <c r="C5562" s="0" t="n">
        <v>1542126</v>
      </c>
      <c r="D5562" s="0" t="s">
        <v>18622</v>
      </c>
      <c r="E5562" s="0" t="s">
        <v>89</v>
      </c>
      <c r="F5562" s="0" t="s">
        <v>90</v>
      </c>
      <c r="G5562" s="0" t="s">
        <v>36</v>
      </c>
      <c r="H5562" s="0" t="n">
        <v>102</v>
      </c>
      <c r="I5562" s="0" t="s">
        <v>18632</v>
      </c>
      <c r="J5562" s="0" t="s">
        <v>18633</v>
      </c>
      <c r="K5562" s="0" t="s">
        <v>18634</v>
      </c>
      <c r="L5562" s="0" t="str">
        <f aca="false">HYPERLINK("https://www.ncbi.nlm.nih.gov/nuccore/CP000304.1?report=graph&amp;tracks=[key:gene_model_track,Options:GeneOnly]&amp;mk=1542208:1542227|offset_1|444444,1542177:1542196|offset_32|444444,1542154:1542173|offset_55|444444,1542107:1542126|offset_102|00cc00&amp;v=1542007:1542326&amp;c=444444", "offset 102")</f>
        <v>offset 102</v>
      </c>
    </row>
    <row r="5563" customFormat="false" ht="12.8" hidden="false" customHeight="false" outlineLevel="0" collapsed="false">
      <c r="A5563" s="0" t="s">
        <v>12</v>
      </c>
      <c r="B5563" s="0" t="n">
        <v>1544080</v>
      </c>
      <c r="C5563" s="0" t="n">
        <v>1544100</v>
      </c>
      <c r="D5563" s="0" t="s">
        <v>18635</v>
      </c>
      <c r="E5563" s="0" t="s">
        <v>18636</v>
      </c>
      <c r="F5563" s="0" t="s">
        <v>90</v>
      </c>
      <c r="G5563" s="0" t="s">
        <v>16</v>
      </c>
      <c r="H5563" s="0" t="n">
        <v>38</v>
      </c>
      <c r="I5563" s="0" t="s">
        <v>18637</v>
      </c>
      <c r="J5563" s="0" t="s">
        <v>18638</v>
      </c>
      <c r="K5563" s="0" t="s">
        <v>18639</v>
      </c>
      <c r="L5563" s="0" t="str">
        <f aca="false">HYPERLINK("https://www.ncbi.nlm.nih.gov/nuccore/CP000304.1?report=graph&amp;tracks=[key:gene_model_track,Options:GeneOnly]&amp;mk=1544081:1544100|offset_38|00cc00,1544046:1544065|offset_73|444444,1544024:1544043|offset_95|444444,1544000:1544019|offset_119|444444&amp;v=1543880:1544219&amp;c=444444", "offset 38")</f>
        <v>offset 38</v>
      </c>
    </row>
    <row r="5564" customFormat="false" ht="12.8" hidden="false" customHeight="false" outlineLevel="0" collapsed="false">
      <c r="A5564" s="0" t="s">
        <v>12</v>
      </c>
      <c r="B5564" s="0" t="n">
        <v>1544045</v>
      </c>
      <c r="C5564" s="0" t="n">
        <v>1544065</v>
      </c>
      <c r="D5564" s="0" t="s">
        <v>18635</v>
      </c>
      <c r="E5564" s="0" t="s">
        <v>18636</v>
      </c>
      <c r="F5564" s="0" t="s">
        <v>90</v>
      </c>
      <c r="G5564" s="0" t="s">
        <v>36</v>
      </c>
      <c r="H5564" s="0" t="n">
        <v>73</v>
      </c>
      <c r="I5564" s="0" t="s">
        <v>18640</v>
      </c>
      <c r="J5564" s="0" t="s">
        <v>18641</v>
      </c>
      <c r="K5564" s="0" t="s">
        <v>18642</v>
      </c>
      <c r="L5564" s="0" t="str">
        <f aca="false">HYPERLINK("https://www.ncbi.nlm.nih.gov/nuccore/CP000304.1?report=graph&amp;tracks=[key:gene_model_track,Options:GeneOnly]&amp;mk=1544081:1544100|offset_38|444444,1544046:1544065|offset_73|00cc00,1544024:1544043|offset_95|444444,1544000:1544019|offset_119|444444&amp;v=1543880:1544219&amp;c=444444", "offset 73")</f>
        <v>offset 73</v>
      </c>
    </row>
    <row r="5565" customFormat="false" ht="12.8" hidden="false" customHeight="false" outlineLevel="0" collapsed="false">
      <c r="A5565" s="0" t="s">
        <v>12</v>
      </c>
      <c r="B5565" s="0" t="n">
        <v>1544023</v>
      </c>
      <c r="C5565" s="0" t="n">
        <v>1544043</v>
      </c>
      <c r="D5565" s="0" t="s">
        <v>18635</v>
      </c>
      <c r="E5565" s="0" t="s">
        <v>18636</v>
      </c>
      <c r="F5565" s="0" t="s">
        <v>90</v>
      </c>
      <c r="G5565" s="0" t="s">
        <v>36</v>
      </c>
      <c r="H5565" s="0" t="n">
        <v>95</v>
      </c>
      <c r="I5565" s="0" t="s">
        <v>18643</v>
      </c>
      <c r="J5565" s="0" t="s">
        <v>18644</v>
      </c>
      <c r="K5565" s="0" t="s">
        <v>18645</v>
      </c>
      <c r="L5565" s="0" t="str">
        <f aca="false">HYPERLINK("https://www.ncbi.nlm.nih.gov/nuccore/CP000304.1?report=graph&amp;tracks=[key:gene_model_track,Options:GeneOnly]&amp;mk=1544081:1544100|offset_38|444444,1544046:1544065|offset_73|444444,1544024:1544043|offset_95|00cc00,1544000:1544019|offset_119|444444&amp;v=1543880:1544219&amp;c=444444", "offset 95")</f>
        <v>offset 95</v>
      </c>
    </row>
    <row r="5566" customFormat="false" ht="12.8" hidden="false" customHeight="false" outlineLevel="0" collapsed="false">
      <c r="A5566" s="0" t="s">
        <v>12</v>
      </c>
      <c r="B5566" s="0" t="n">
        <v>1543999</v>
      </c>
      <c r="C5566" s="0" t="n">
        <v>1544019</v>
      </c>
      <c r="D5566" s="0" t="s">
        <v>18635</v>
      </c>
      <c r="E5566" s="0" t="s">
        <v>18636</v>
      </c>
      <c r="F5566" s="0" t="s">
        <v>90</v>
      </c>
      <c r="G5566" s="0" t="s">
        <v>32</v>
      </c>
      <c r="H5566" s="0" t="n">
        <v>119</v>
      </c>
      <c r="I5566" s="0" t="s">
        <v>18646</v>
      </c>
      <c r="J5566" s="0" t="s">
        <v>18647</v>
      </c>
      <c r="K5566" s="0" t="s">
        <v>18648</v>
      </c>
      <c r="L5566" s="0" t="str">
        <f aca="false">HYPERLINK("https://www.ncbi.nlm.nih.gov/nuccore/CP000304.1?report=graph&amp;tracks=[key:gene_model_track,Options:GeneOnly]&amp;mk=1544081:1544100|offset_38|444444,1544046:1544065|offset_73|444444,1544024:1544043|offset_95|444444,1544000:1544019|offset_119|00cc00&amp;v=1543880:1544219&amp;c=444444", "offset 119")</f>
        <v>offset 119</v>
      </c>
    </row>
    <row r="5567" customFormat="false" ht="12.8" hidden="false" customHeight="false" outlineLevel="0" collapsed="false">
      <c r="A5567" s="0" t="s">
        <v>12</v>
      </c>
      <c r="B5567" s="0" t="n">
        <v>1544366</v>
      </c>
      <c r="C5567" s="0" t="n">
        <v>1544386</v>
      </c>
      <c r="D5567" s="0" t="s">
        <v>18649</v>
      </c>
      <c r="E5567" s="0" t="s">
        <v>89</v>
      </c>
      <c r="F5567" s="0" t="s">
        <v>15</v>
      </c>
      <c r="G5567" s="0" t="s">
        <v>26</v>
      </c>
      <c r="H5567" s="0" t="n">
        <v>58</v>
      </c>
      <c r="I5567" s="0" t="s">
        <v>18650</v>
      </c>
      <c r="J5567" s="0" t="s">
        <v>18651</v>
      </c>
      <c r="K5567" s="0" t="s">
        <v>18652</v>
      </c>
      <c r="L5567" s="0" t="str">
        <f aca="false">HYPERLINK("https://www.ncbi.nlm.nih.gov/nuccore/CP000304.1?report=graph&amp;tracks=[key:gene_model_track,Options:GeneOnly]&amp;mk=1544367:1544386|offset_58|00cc00,1544391:1544410|offset_82|444444,1544415:1544434|offset_106|444444,1544452:1544471|offset_143|444444&amp;v=1544166:1544671&amp;c=444444", "offset 58")</f>
        <v>offset 58</v>
      </c>
    </row>
    <row r="5568" customFormat="false" ht="12.8" hidden="false" customHeight="false" outlineLevel="0" collapsed="false">
      <c r="A5568" s="0" t="s">
        <v>12</v>
      </c>
      <c r="B5568" s="0" t="n">
        <v>1544390</v>
      </c>
      <c r="C5568" s="0" t="n">
        <v>1544410</v>
      </c>
      <c r="D5568" s="0" t="s">
        <v>18649</v>
      </c>
      <c r="E5568" s="0" t="s">
        <v>89</v>
      </c>
      <c r="F5568" s="0" t="s">
        <v>15</v>
      </c>
      <c r="G5568" s="0" t="s">
        <v>32</v>
      </c>
      <c r="H5568" s="0" t="n">
        <v>82</v>
      </c>
      <c r="I5568" s="0" t="s">
        <v>18653</v>
      </c>
      <c r="J5568" s="0" t="s">
        <v>18654</v>
      </c>
      <c r="K5568" s="0" t="s">
        <v>18655</v>
      </c>
      <c r="L5568" s="0" t="str">
        <f aca="false">HYPERLINK("https://www.ncbi.nlm.nih.gov/nuccore/CP000304.1?report=graph&amp;tracks=[key:gene_model_track,Options:GeneOnly]&amp;mk=1544367:1544386|offset_58|444444,1544391:1544410|offset_82|00cc00,1544415:1544434|offset_106|444444,1544452:1544471|offset_143|444444&amp;v=1544166:1544671&amp;c=444444", "offset 82")</f>
        <v>offset 82</v>
      </c>
    </row>
    <row r="5569" customFormat="false" ht="12.8" hidden="false" customHeight="false" outlineLevel="0" collapsed="false">
      <c r="A5569" s="0" t="s">
        <v>12</v>
      </c>
      <c r="B5569" s="0" t="n">
        <v>1544414</v>
      </c>
      <c r="C5569" s="0" t="n">
        <v>1544434</v>
      </c>
      <c r="D5569" s="0" t="s">
        <v>18649</v>
      </c>
      <c r="E5569" s="0" t="s">
        <v>89</v>
      </c>
      <c r="F5569" s="0" t="s">
        <v>15</v>
      </c>
      <c r="G5569" s="0" t="s">
        <v>16</v>
      </c>
      <c r="H5569" s="0" t="n">
        <v>106</v>
      </c>
      <c r="I5569" s="0" t="s">
        <v>18656</v>
      </c>
      <c r="J5569" s="0" t="s">
        <v>18657</v>
      </c>
      <c r="K5569" s="0" t="s">
        <v>18658</v>
      </c>
      <c r="L5569" s="0" t="str">
        <f aca="false">HYPERLINK("https://www.ncbi.nlm.nih.gov/nuccore/CP000304.1?report=graph&amp;tracks=[key:gene_model_track,Options:GeneOnly]&amp;mk=1544367:1544386|offset_58|444444,1544391:1544410|offset_82|444444,1544415:1544434|offset_106|00cc00,1544452:1544471|offset_143|444444&amp;v=1544166:1544671&amp;c=444444", "offset 106")</f>
        <v>offset 106</v>
      </c>
    </row>
    <row r="5570" customFormat="false" ht="12.8" hidden="false" customHeight="false" outlineLevel="0" collapsed="false">
      <c r="A5570" s="0" t="s">
        <v>12</v>
      </c>
      <c r="B5570" s="0" t="n">
        <v>1544451</v>
      </c>
      <c r="C5570" s="0" t="n">
        <v>1544471</v>
      </c>
      <c r="D5570" s="0" t="s">
        <v>18649</v>
      </c>
      <c r="E5570" s="0" t="s">
        <v>89</v>
      </c>
      <c r="F5570" s="0" t="s">
        <v>15</v>
      </c>
      <c r="G5570" s="0" t="s">
        <v>26</v>
      </c>
      <c r="H5570" s="0" t="n">
        <v>143</v>
      </c>
      <c r="I5570" s="0" t="s">
        <v>18659</v>
      </c>
      <c r="J5570" s="0" t="s">
        <v>18660</v>
      </c>
      <c r="K5570" s="0" t="s">
        <v>18661</v>
      </c>
      <c r="L5570" s="0" t="str">
        <f aca="false">HYPERLINK("https://www.ncbi.nlm.nih.gov/nuccore/CP000304.1?report=graph&amp;tracks=[key:gene_model_track,Options:GeneOnly]&amp;mk=1544367:1544386|offset_58|444444,1544391:1544410|offset_82|444444,1544415:1544434|offset_106|444444,1544452:1544471|offset_143|00cc00&amp;v=1544166:1544671&amp;c=444444", "offset 143")</f>
        <v>offset 143</v>
      </c>
    </row>
    <row r="5571" customFormat="false" ht="12.8" hidden="false" customHeight="false" outlineLevel="0" collapsed="false">
      <c r="A5571" s="0" t="s">
        <v>12</v>
      </c>
      <c r="B5571" s="0" t="n">
        <v>1546544</v>
      </c>
      <c r="C5571" s="0" t="n">
        <v>1546564</v>
      </c>
      <c r="D5571" s="0" t="s">
        <v>18662</v>
      </c>
      <c r="E5571" s="0" t="s">
        <v>89</v>
      </c>
      <c r="F5571" s="0" t="s">
        <v>90</v>
      </c>
      <c r="G5571" s="0" t="s">
        <v>36</v>
      </c>
      <c r="H5571" s="0" t="n">
        <v>0</v>
      </c>
      <c r="I5571" s="0" t="s">
        <v>18663</v>
      </c>
      <c r="J5571" s="0" t="s">
        <v>18664</v>
      </c>
      <c r="K5571" s="0" t="s">
        <v>18665</v>
      </c>
      <c r="L5571" s="0" t="str">
        <f aca="false">HYPERLINK("https://www.ncbi.nlm.nih.gov/nuccore/CP000304.1?report=graph&amp;tracks=[key:gene_model_track,Options:GeneOnly]&amp;mk=1546545:1546564|offset_0|00cc00,1546514:1546533|offset_31|444444,1546484:1546503|offset_61|444444,1546445:1546464|offset_100|444444&amp;v=1546344:1546664&amp;c=444444", "offset 0")</f>
        <v>offset 0</v>
      </c>
    </row>
    <row r="5572" customFormat="false" ht="12.8" hidden="false" customHeight="false" outlineLevel="0" collapsed="false">
      <c r="A5572" s="0" t="s">
        <v>12</v>
      </c>
      <c r="B5572" s="0" t="n">
        <v>1546513</v>
      </c>
      <c r="C5572" s="0" t="n">
        <v>1546533</v>
      </c>
      <c r="D5572" s="0" t="s">
        <v>18662</v>
      </c>
      <c r="E5572" s="0" t="s">
        <v>89</v>
      </c>
      <c r="F5572" s="0" t="s">
        <v>90</v>
      </c>
      <c r="G5572" s="0" t="s">
        <v>36</v>
      </c>
      <c r="H5572" s="0" t="n">
        <v>31</v>
      </c>
      <c r="I5572" s="0" t="s">
        <v>18666</v>
      </c>
      <c r="J5572" s="0" t="s">
        <v>18667</v>
      </c>
      <c r="K5572" s="0" t="s">
        <v>18668</v>
      </c>
      <c r="L5572" s="0" t="str">
        <f aca="false">HYPERLINK("https://www.ncbi.nlm.nih.gov/nuccore/CP000304.1?report=graph&amp;tracks=[key:gene_model_track,Options:GeneOnly]&amp;mk=1546545:1546564|offset_0|444444,1546514:1546533|offset_31|00cc00,1546484:1546503|offset_61|444444,1546445:1546464|offset_100|444444&amp;v=1546344:1546664&amp;c=444444", "offset 31")</f>
        <v>offset 31</v>
      </c>
    </row>
    <row r="5573" customFormat="false" ht="12.8" hidden="false" customHeight="false" outlineLevel="0" collapsed="false">
      <c r="A5573" s="0" t="s">
        <v>12</v>
      </c>
      <c r="B5573" s="0" t="n">
        <v>1546483</v>
      </c>
      <c r="C5573" s="0" t="n">
        <v>1546503</v>
      </c>
      <c r="D5573" s="0" t="s">
        <v>18662</v>
      </c>
      <c r="E5573" s="0" t="s">
        <v>89</v>
      </c>
      <c r="F5573" s="0" t="s">
        <v>90</v>
      </c>
      <c r="G5573" s="0" t="s">
        <v>32</v>
      </c>
      <c r="H5573" s="0" t="n">
        <v>61</v>
      </c>
      <c r="I5573" s="0" t="s">
        <v>18669</v>
      </c>
      <c r="J5573" s="0" t="s">
        <v>18670</v>
      </c>
      <c r="K5573" s="0" t="s">
        <v>18671</v>
      </c>
      <c r="L5573" s="0" t="str">
        <f aca="false">HYPERLINK("https://www.ncbi.nlm.nih.gov/nuccore/CP000304.1?report=graph&amp;tracks=[key:gene_model_track,Options:GeneOnly]&amp;mk=1546545:1546564|offset_0|444444,1546514:1546533|offset_31|444444,1546484:1546503|offset_61|00cc00,1546445:1546464|offset_100|444444&amp;v=1546344:1546664&amp;c=444444", "offset 61")</f>
        <v>offset 61</v>
      </c>
    </row>
    <row r="5574" customFormat="false" ht="12.8" hidden="false" customHeight="false" outlineLevel="0" collapsed="false">
      <c r="A5574" s="0" t="s">
        <v>12</v>
      </c>
      <c r="B5574" s="0" t="n">
        <v>1546444</v>
      </c>
      <c r="C5574" s="0" t="n">
        <v>1546464</v>
      </c>
      <c r="D5574" s="0" t="s">
        <v>18662</v>
      </c>
      <c r="E5574" s="0" t="s">
        <v>89</v>
      </c>
      <c r="F5574" s="0" t="s">
        <v>90</v>
      </c>
      <c r="G5574" s="0" t="s">
        <v>36</v>
      </c>
      <c r="H5574" s="0" t="n">
        <v>100</v>
      </c>
      <c r="I5574" s="0" t="s">
        <v>18672</v>
      </c>
      <c r="J5574" s="0" t="s">
        <v>18673</v>
      </c>
      <c r="K5574" s="0" t="s">
        <v>18674</v>
      </c>
      <c r="L5574" s="0" t="str">
        <f aca="false">HYPERLINK("https://www.ncbi.nlm.nih.gov/nuccore/CP000304.1?report=graph&amp;tracks=[key:gene_model_track,Options:GeneOnly]&amp;mk=1546545:1546564|offset_0|444444,1546514:1546533|offset_31|444444,1546484:1546503|offset_61|444444,1546445:1546464|offset_100|00cc00&amp;v=1546344:1546664&amp;c=444444", "offset 100")</f>
        <v>offset 100</v>
      </c>
    </row>
    <row r="5575" customFormat="false" ht="12.8" hidden="false" customHeight="false" outlineLevel="0" collapsed="false">
      <c r="A5575" s="0" t="s">
        <v>12</v>
      </c>
      <c r="B5575" s="0" t="n">
        <v>1547468</v>
      </c>
      <c r="C5575" s="0" t="n">
        <v>1547488</v>
      </c>
      <c r="D5575" s="0" t="s">
        <v>18675</v>
      </c>
      <c r="E5575" s="0" t="s">
        <v>89</v>
      </c>
      <c r="F5575" s="0" t="s">
        <v>90</v>
      </c>
      <c r="G5575" s="0" t="s">
        <v>16</v>
      </c>
      <c r="H5575" s="0" t="n">
        <v>42</v>
      </c>
      <c r="I5575" s="0" t="s">
        <v>18676</v>
      </c>
      <c r="J5575" s="0" t="s">
        <v>18677</v>
      </c>
      <c r="K5575" s="0" t="s">
        <v>18678</v>
      </c>
      <c r="L5575" s="0" t="str">
        <f aca="false">HYPERLINK("https://www.ncbi.nlm.nih.gov/nuccore/CP000304.1?report=graph&amp;tracks=[key:gene_model_track,Options:GeneOnly]&amp;mk=1547469:1547488|offset_42|00cc00,1547441:1547460|offset_70|444444,1547418:1547437|offset_93|444444,1547375:1547394|offset_136|444444&amp;v=1547268:1547594&amp;c=444444", "offset 42")</f>
        <v>offset 42</v>
      </c>
    </row>
    <row r="5576" customFormat="false" ht="12.8" hidden="false" customHeight="false" outlineLevel="0" collapsed="false">
      <c r="A5576" s="0" t="s">
        <v>12</v>
      </c>
      <c r="B5576" s="0" t="n">
        <v>1547440</v>
      </c>
      <c r="C5576" s="0" t="n">
        <v>1547460</v>
      </c>
      <c r="D5576" s="0" t="s">
        <v>18675</v>
      </c>
      <c r="E5576" s="0" t="s">
        <v>89</v>
      </c>
      <c r="F5576" s="0" t="s">
        <v>90</v>
      </c>
      <c r="G5576" s="0" t="s">
        <v>36</v>
      </c>
      <c r="H5576" s="0" t="n">
        <v>70</v>
      </c>
      <c r="I5576" s="0" t="s">
        <v>18679</v>
      </c>
      <c r="J5576" s="0" t="s">
        <v>18680</v>
      </c>
      <c r="K5576" s="0" t="s">
        <v>18681</v>
      </c>
      <c r="L5576" s="0" t="str">
        <f aca="false">HYPERLINK("https://www.ncbi.nlm.nih.gov/nuccore/CP000304.1?report=graph&amp;tracks=[key:gene_model_track,Options:GeneOnly]&amp;mk=1547469:1547488|offset_42|444444,1547441:1547460|offset_70|00cc00,1547418:1547437|offset_93|444444,1547375:1547394|offset_136|444444&amp;v=1547268:1547594&amp;c=444444", "offset 70")</f>
        <v>offset 70</v>
      </c>
    </row>
    <row r="5577" customFormat="false" ht="12.8" hidden="false" customHeight="false" outlineLevel="0" collapsed="false">
      <c r="A5577" s="0" t="s">
        <v>12</v>
      </c>
      <c r="B5577" s="0" t="n">
        <v>1547417</v>
      </c>
      <c r="C5577" s="0" t="n">
        <v>1547437</v>
      </c>
      <c r="D5577" s="0" t="s">
        <v>18675</v>
      </c>
      <c r="E5577" s="0" t="s">
        <v>89</v>
      </c>
      <c r="F5577" s="0" t="s">
        <v>90</v>
      </c>
      <c r="G5577" s="0" t="s">
        <v>36</v>
      </c>
      <c r="H5577" s="0" t="n">
        <v>93</v>
      </c>
      <c r="I5577" s="0" t="s">
        <v>18682</v>
      </c>
      <c r="J5577" s="0" t="s">
        <v>18683</v>
      </c>
      <c r="K5577" s="0" t="s">
        <v>18684</v>
      </c>
      <c r="L5577" s="0" t="str">
        <f aca="false">HYPERLINK("https://www.ncbi.nlm.nih.gov/nuccore/CP000304.1?report=graph&amp;tracks=[key:gene_model_track,Options:GeneOnly]&amp;mk=1547469:1547488|offset_42|444444,1547441:1547460|offset_70|444444,1547418:1547437|offset_93|00cc00,1547375:1547394|offset_136|444444&amp;v=1547268:1547594&amp;c=444444", "offset 93")</f>
        <v>offset 93</v>
      </c>
    </row>
    <row r="5578" customFormat="false" ht="12.8" hidden="false" customHeight="false" outlineLevel="0" collapsed="false">
      <c r="A5578" s="0" t="s">
        <v>12</v>
      </c>
      <c r="B5578" s="0" t="n">
        <v>1547374</v>
      </c>
      <c r="C5578" s="0" t="n">
        <v>1547394</v>
      </c>
      <c r="D5578" s="0" t="s">
        <v>18675</v>
      </c>
      <c r="E5578" s="0" t="s">
        <v>89</v>
      </c>
      <c r="F5578" s="0" t="s">
        <v>90</v>
      </c>
      <c r="G5578" s="0" t="s">
        <v>16</v>
      </c>
      <c r="H5578" s="0" t="n">
        <v>136</v>
      </c>
      <c r="I5578" s="0" t="s">
        <v>18685</v>
      </c>
      <c r="J5578" s="0" t="s">
        <v>18686</v>
      </c>
      <c r="K5578" s="0" t="s">
        <v>18687</v>
      </c>
      <c r="L5578" s="0" t="str">
        <f aca="false">HYPERLINK("https://www.ncbi.nlm.nih.gov/nuccore/CP000304.1?report=graph&amp;tracks=[key:gene_model_track,Options:GeneOnly]&amp;mk=1547469:1547488|offset_42|444444,1547441:1547460|offset_70|444444,1547418:1547437|offset_93|444444,1547375:1547394|offset_136|00cc00&amp;v=1547268:1547594&amp;c=444444", "offset 136")</f>
        <v>offset 136</v>
      </c>
    </row>
    <row r="5579" customFormat="false" ht="12.8" hidden="false" customHeight="false" outlineLevel="0" collapsed="false">
      <c r="A5579" s="0" t="s">
        <v>12</v>
      </c>
      <c r="B5579" s="0" t="n">
        <v>1548807</v>
      </c>
      <c r="C5579" s="0" t="n">
        <v>1548827</v>
      </c>
      <c r="D5579" s="0" t="s">
        <v>18688</v>
      </c>
      <c r="E5579" s="0" t="s">
        <v>89</v>
      </c>
      <c r="F5579" s="0" t="s">
        <v>90</v>
      </c>
      <c r="G5579" s="0" t="s">
        <v>32</v>
      </c>
      <c r="H5579" s="0" t="n">
        <v>1</v>
      </c>
      <c r="I5579" s="0" t="s">
        <v>18689</v>
      </c>
      <c r="J5579" s="0" t="s">
        <v>18690</v>
      </c>
      <c r="K5579" s="0" t="s">
        <v>18691</v>
      </c>
      <c r="L5579" s="0" t="str">
        <f aca="false">HYPERLINK("https://www.ncbi.nlm.nih.gov/nuccore/CP000304.1?report=graph&amp;tracks=[key:gene_model_track,Options:GeneOnly]&amp;mk=1548808:1548827|offset_1|00cc00,1548785:1548804|offset_24|444444,1548763:1548782|offset_46|444444,1548735:1548754|offset_74|444444&amp;v=1548607:1548954&amp;c=444444", "offset 1")</f>
        <v>offset 1</v>
      </c>
    </row>
    <row r="5580" customFormat="false" ht="12.8" hidden="false" customHeight="false" outlineLevel="0" collapsed="false">
      <c r="A5580" s="0" t="s">
        <v>12</v>
      </c>
      <c r="B5580" s="0" t="n">
        <v>1548784</v>
      </c>
      <c r="C5580" s="0" t="n">
        <v>1548804</v>
      </c>
      <c r="D5580" s="0" t="s">
        <v>18688</v>
      </c>
      <c r="E5580" s="0" t="s">
        <v>89</v>
      </c>
      <c r="F5580" s="0" t="s">
        <v>90</v>
      </c>
      <c r="G5580" s="0" t="s">
        <v>32</v>
      </c>
      <c r="H5580" s="0" t="n">
        <v>24</v>
      </c>
      <c r="I5580" s="0" t="s">
        <v>18692</v>
      </c>
      <c r="J5580" s="0" t="s">
        <v>18693</v>
      </c>
      <c r="K5580" s="0" t="s">
        <v>18694</v>
      </c>
      <c r="L5580" s="0" t="str">
        <f aca="false">HYPERLINK("https://www.ncbi.nlm.nih.gov/nuccore/CP000304.1?report=graph&amp;tracks=[key:gene_model_track,Options:GeneOnly]&amp;mk=1548808:1548827|offset_1|444444,1548785:1548804|offset_24|00cc00,1548763:1548782|offset_46|444444,1548735:1548754|offset_74|444444&amp;v=1548607:1548954&amp;c=444444", "offset 24")</f>
        <v>offset 24</v>
      </c>
    </row>
    <row r="5581" customFormat="false" ht="12.8" hidden="false" customHeight="false" outlineLevel="0" collapsed="false">
      <c r="A5581" s="0" t="s">
        <v>12</v>
      </c>
      <c r="B5581" s="0" t="n">
        <v>1548762</v>
      </c>
      <c r="C5581" s="0" t="n">
        <v>1548782</v>
      </c>
      <c r="D5581" s="0" t="s">
        <v>18688</v>
      </c>
      <c r="E5581" s="0" t="s">
        <v>89</v>
      </c>
      <c r="F5581" s="0" t="s">
        <v>90</v>
      </c>
      <c r="G5581" s="0" t="s">
        <v>16</v>
      </c>
      <c r="H5581" s="0" t="n">
        <v>46</v>
      </c>
      <c r="I5581" s="0" t="s">
        <v>18695</v>
      </c>
      <c r="J5581" s="0" t="s">
        <v>18696</v>
      </c>
      <c r="K5581" s="0" t="s">
        <v>18697</v>
      </c>
      <c r="L5581" s="0" t="str">
        <f aca="false">HYPERLINK("https://www.ncbi.nlm.nih.gov/nuccore/CP000304.1?report=graph&amp;tracks=[key:gene_model_track,Options:GeneOnly]&amp;mk=1548808:1548827|offset_1|444444,1548785:1548804|offset_24|444444,1548763:1548782|offset_46|00cc00,1548735:1548754|offset_74|444444&amp;v=1548607:1548954&amp;c=444444", "offset 46")</f>
        <v>offset 46</v>
      </c>
    </row>
    <row r="5582" customFormat="false" ht="12.8" hidden="false" customHeight="false" outlineLevel="0" collapsed="false">
      <c r="A5582" s="0" t="s">
        <v>12</v>
      </c>
      <c r="B5582" s="0" t="n">
        <v>1548734</v>
      </c>
      <c r="C5582" s="0" t="n">
        <v>1548754</v>
      </c>
      <c r="D5582" s="0" t="s">
        <v>18688</v>
      </c>
      <c r="E5582" s="0" t="s">
        <v>89</v>
      </c>
      <c r="F5582" s="0" t="s">
        <v>90</v>
      </c>
      <c r="G5582" s="0" t="s">
        <v>16</v>
      </c>
      <c r="H5582" s="0" t="n">
        <v>74</v>
      </c>
      <c r="I5582" s="0" t="s">
        <v>18698</v>
      </c>
      <c r="J5582" s="0" t="s">
        <v>18699</v>
      </c>
      <c r="K5582" s="0" t="s">
        <v>18700</v>
      </c>
      <c r="L5582" s="0" t="str">
        <f aca="false">HYPERLINK("https://www.ncbi.nlm.nih.gov/nuccore/CP000304.1?report=graph&amp;tracks=[key:gene_model_track,Options:GeneOnly]&amp;mk=1548808:1548827|offset_1|444444,1548785:1548804|offset_24|444444,1548763:1548782|offset_46|444444,1548735:1548754|offset_74|00cc00&amp;v=1548607:1548954&amp;c=444444", "offset 74")</f>
        <v>offset 74</v>
      </c>
    </row>
    <row r="5583" customFormat="false" ht="12.8" hidden="false" customHeight="false" outlineLevel="0" collapsed="false">
      <c r="A5583" s="0" t="s">
        <v>12</v>
      </c>
      <c r="B5583" s="0" t="n">
        <v>1548969</v>
      </c>
      <c r="C5583" s="0" t="n">
        <v>1548989</v>
      </c>
      <c r="D5583" s="0" t="s">
        <v>18701</v>
      </c>
      <c r="E5583" s="0" t="s">
        <v>89</v>
      </c>
      <c r="F5583" s="0" t="s">
        <v>15</v>
      </c>
      <c r="G5583" s="0" t="s">
        <v>32</v>
      </c>
      <c r="H5583" s="0" t="n">
        <v>1</v>
      </c>
      <c r="I5583" s="0" t="s">
        <v>18702</v>
      </c>
      <c r="J5583" s="0" t="s">
        <v>18703</v>
      </c>
      <c r="K5583" s="0" t="s">
        <v>18704</v>
      </c>
      <c r="L5583" s="0" t="str">
        <f aca="false">HYPERLINK("https://www.ncbi.nlm.nih.gov/nuccore/CP000304.1?report=graph&amp;tracks=[key:gene_model_track,Options:GeneOnly]&amp;mk=1548970:1548989|offset_1|00cc00,1549012:1549031|offset_43|444444,1549033:1549052|offset_64|444444,1549062:1549081|offset_93|444444&amp;v=1548769:1549281&amp;c=444444", "offset 1")</f>
        <v>offset 1</v>
      </c>
    </row>
    <row r="5584" customFormat="false" ht="12.8" hidden="false" customHeight="false" outlineLevel="0" collapsed="false">
      <c r="A5584" s="0" t="s">
        <v>12</v>
      </c>
      <c r="B5584" s="0" t="n">
        <v>1549011</v>
      </c>
      <c r="C5584" s="0" t="n">
        <v>1549031</v>
      </c>
      <c r="D5584" s="0" t="s">
        <v>18701</v>
      </c>
      <c r="E5584" s="0" t="s">
        <v>89</v>
      </c>
      <c r="F5584" s="0" t="s">
        <v>15</v>
      </c>
      <c r="G5584" s="0" t="s">
        <v>16</v>
      </c>
      <c r="H5584" s="0" t="n">
        <v>43</v>
      </c>
      <c r="I5584" s="0" t="s">
        <v>18705</v>
      </c>
      <c r="J5584" s="0" t="s">
        <v>18706</v>
      </c>
      <c r="K5584" s="0" t="s">
        <v>18707</v>
      </c>
      <c r="L5584" s="0" t="str">
        <f aca="false">HYPERLINK("https://www.ncbi.nlm.nih.gov/nuccore/CP000304.1?report=graph&amp;tracks=[key:gene_model_track,Options:GeneOnly]&amp;mk=1548970:1548989|offset_1|444444,1549012:1549031|offset_43|00cc00,1549033:1549052|offset_64|444444,1549062:1549081|offset_93|444444&amp;v=1548769:1549281&amp;c=444444", "offset 43")</f>
        <v>offset 43</v>
      </c>
    </row>
    <row r="5585" customFormat="false" ht="12.8" hidden="false" customHeight="false" outlineLevel="0" collapsed="false">
      <c r="A5585" s="0" t="s">
        <v>12</v>
      </c>
      <c r="B5585" s="0" t="n">
        <v>1549032</v>
      </c>
      <c r="C5585" s="0" t="n">
        <v>1549052</v>
      </c>
      <c r="D5585" s="0" t="s">
        <v>18701</v>
      </c>
      <c r="E5585" s="0" t="s">
        <v>89</v>
      </c>
      <c r="F5585" s="0" t="s">
        <v>15</v>
      </c>
      <c r="G5585" s="0" t="s">
        <v>16</v>
      </c>
      <c r="H5585" s="0" t="n">
        <v>64</v>
      </c>
      <c r="I5585" s="0" t="s">
        <v>18708</v>
      </c>
      <c r="J5585" s="0" t="s">
        <v>18709</v>
      </c>
      <c r="K5585" s="0" t="s">
        <v>18710</v>
      </c>
      <c r="L5585" s="0" t="str">
        <f aca="false">HYPERLINK("https://www.ncbi.nlm.nih.gov/nuccore/CP000304.1?report=graph&amp;tracks=[key:gene_model_track,Options:GeneOnly]&amp;mk=1548970:1548989|offset_1|444444,1549012:1549031|offset_43|444444,1549033:1549052|offset_64|00cc00,1549062:1549081|offset_93|444444&amp;v=1548769:1549281&amp;c=444444", "offset 64")</f>
        <v>offset 64</v>
      </c>
    </row>
    <row r="5586" customFormat="false" ht="12.8" hidden="false" customHeight="false" outlineLevel="0" collapsed="false">
      <c r="A5586" s="0" t="s">
        <v>12</v>
      </c>
      <c r="B5586" s="0" t="n">
        <v>1549061</v>
      </c>
      <c r="C5586" s="0" t="n">
        <v>1549081</v>
      </c>
      <c r="D5586" s="0" t="s">
        <v>18701</v>
      </c>
      <c r="E5586" s="0" t="s">
        <v>89</v>
      </c>
      <c r="F5586" s="0" t="s">
        <v>15</v>
      </c>
      <c r="G5586" s="0" t="s">
        <v>16</v>
      </c>
      <c r="H5586" s="0" t="n">
        <v>93</v>
      </c>
      <c r="I5586" s="0" t="s">
        <v>18711</v>
      </c>
      <c r="J5586" s="0" t="s">
        <v>18712</v>
      </c>
      <c r="K5586" s="0" t="s">
        <v>18713</v>
      </c>
      <c r="L5586" s="0" t="str">
        <f aca="false">HYPERLINK("https://www.ncbi.nlm.nih.gov/nuccore/CP000304.1?report=graph&amp;tracks=[key:gene_model_track,Options:GeneOnly]&amp;mk=1548970:1548989|offset_1|444444,1549012:1549031|offset_43|444444,1549033:1549052|offset_64|444444,1549062:1549081|offset_93|00cc00&amp;v=1548769:1549281&amp;c=444444", "offset 93")</f>
        <v>offset 93</v>
      </c>
    </row>
    <row r="5587" customFormat="false" ht="12.8" hidden="false" customHeight="false" outlineLevel="0" collapsed="false">
      <c r="A5587" s="0" t="s">
        <v>12</v>
      </c>
      <c r="B5587" s="0" t="n">
        <v>1550457</v>
      </c>
      <c r="C5587" s="0" t="n">
        <v>1550477</v>
      </c>
      <c r="D5587" s="0" t="s">
        <v>18714</v>
      </c>
      <c r="E5587" s="0" t="s">
        <v>89</v>
      </c>
      <c r="F5587" s="0" t="s">
        <v>90</v>
      </c>
      <c r="G5587" s="0" t="s">
        <v>36</v>
      </c>
      <c r="H5587" s="0" t="n">
        <v>12</v>
      </c>
      <c r="I5587" s="0" t="s">
        <v>18715</v>
      </c>
      <c r="J5587" s="0" t="s">
        <v>18716</v>
      </c>
      <c r="K5587" s="0" t="s">
        <v>18717</v>
      </c>
      <c r="L5587" s="0" t="str">
        <f aca="false">HYPERLINK("https://www.ncbi.nlm.nih.gov/nuccore/CP000304.1?report=graph&amp;tracks=[key:gene_model_track,Options:GeneOnly]&amp;mk=1550458:1550477|offset_12|00cc00,1550436:1550455|offset_34|444444,1550415:1550434|offset_55|444444,1550391:1550410|offset_79|444444&amp;v=1550257:1550610&amp;c=444444", "offset 12")</f>
        <v>offset 12</v>
      </c>
    </row>
    <row r="5588" customFormat="false" ht="12.8" hidden="false" customHeight="false" outlineLevel="0" collapsed="false">
      <c r="A5588" s="0" t="s">
        <v>12</v>
      </c>
      <c r="B5588" s="0" t="n">
        <v>1550435</v>
      </c>
      <c r="C5588" s="0" t="n">
        <v>1550455</v>
      </c>
      <c r="D5588" s="0" t="s">
        <v>18714</v>
      </c>
      <c r="E5588" s="0" t="s">
        <v>89</v>
      </c>
      <c r="F5588" s="0" t="s">
        <v>90</v>
      </c>
      <c r="G5588" s="0" t="s">
        <v>26</v>
      </c>
      <c r="H5588" s="0" t="n">
        <v>34</v>
      </c>
      <c r="I5588" s="0" t="s">
        <v>18718</v>
      </c>
      <c r="J5588" s="0" t="s">
        <v>18719</v>
      </c>
      <c r="K5588" s="0" t="s">
        <v>18720</v>
      </c>
      <c r="L5588" s="0" t="str">
        <f aca="false">HYPERLINK("https://www.ncbi.nlm.nih.gov/nuccore/CP000304.1?report=graph&amp;tracks=[key:gene_model_track,Options:GeneOnly]&amp;mk=1550458:1550477|offset_12|444444,1550436:1550455|offset_34|00cc00,1550415:1550434|offset_55|444444,1550391:1550410|offset_79|444444&amp;v=1550257:1550610&amp;c=444444", "offset 34")</f>
        <v>offset 34</v>
      </c>
    </row>
    <row r="5589" customFormat="false" ht="12.8" hidden="false" customHeight="false" outlineLevel="0" collapsed="false">
      <c r="A5589" s="0" t="s">
        <v>12</v>
      </c>
      <c r="B5589" s="0" t="n">
        <v>1550414</v>
      </c>
      <c r="C5589" s="0" t="n">
        <v>1550434</v>
      </c>
      <c r="D5589" s="0" t="s">
        <v>18714</v>
      </c>
      <c r="E5589" s="0" t="s">
        <v>89</v>
      </c>
      <c r="F5589" s="0" t="s">
        <v>90</v>
      </c>
      <c r="G5589" s="0" t="s">
        <v>32</v>
      </c>
      <c r="H5589" s="0" t="n">
        <v>55</v>
      </c>
      <c r="I5589" s="0" t="s">
        <v>18721</v>
      </c>
      <c r="J5589" s="0" t="s">
        <v>18722</v>
      </c>
      <c r="K5589" s="0" t="s">
        <v>18723</v>
      </c>
      <c r="L5589" s="0" t="str">
        <f aca="false">HYPERLINK("https://www.ncbi.nlm.nih.gov/nuccore/CP000304.1?report=graph&amp;tracks=[key:gene_model_track,Options:GeneOnly]&amp;mk=1550458:1550477|offset_12|444444,1550436:1550455|offset_34|444444,1550415:1550434|offset_55|00cc00,1550391:1550410|offset_79|444444&amp;v=1550257:1550610&amp;c=444444", "offset 55")</f>
        <v>offset 55</v>
      </c>
    </row>
    <row r="5590" customFormat="false" ht="12.8" hidden="false" customHeight="false" outlineLevel="0" collapsed="false">
      <c r="A5590" s="0" t="s">
        <v>12</v>
      </c>
      <c r="B5590" s="0" t="n">
        <v>1550390</v>
      </c>
      <c r="C5590" s="0" t="n">
        <v>1550410</v>
      </c>
      <c r="D5590" s="0" t="s">
        <v>18714</v>
      </c>
      <c r="E5590" s="0" t="s">
        <v>89</v>
      </c>
      <c r="F5590" s="0" t="s">
        <v>90</v>
      </c>
      <c r="G5590" s="0" t="s">
        <v>16</v>
      </c>
      <c r="H5590" s="0" t="n">
        <v>79</v>
      </c>
      <c r="I5590" s="0" t="s">
        <v>18724</v>
      </c>
      <c r="J5590" s="0" t="s">
        <v>18725</v>
      </c>
      <c r="K5590" s="0" t="s">
        <v>18726</v>
      </c>
      <c r="L5590" s="0" t="str">
        <f aca="false">HYPERLINK("https://www.ncbi.nlm.nih.gov/nuccore/CP000304.1?report=graph&amp;tracks=[key:gene_model_track,Options:GeneOnly]&amp;mk=1550458:1550477|offset_12|444444,1550436:1550455|offset_34|444444,1550415:1550434|offset_55|444444,1550391:1550410|offset_79|00cc00&amp;v=1550257:1550610&amp;c=444444", "offset 79")</f>
        <v>offset 79</v>
      </c>
    </row>
    <row r="5591" customFormat="false" ht="12.8" hidden="false" customHeight="false" outlineLevel="0" collapsed="false">
      <c r="A5591" s="0" t="s">
        <v>12</v>
      </c>
      <c r="B5591" s="0" t="n">
        <v>1550897</v>
      </c>
      <c r="C5591" s="0" t="n">
        <v>1550917</v>
      </c>
      <c r="D5591" s="0" t="s">
        <v>18727</v>
      </c>
      <c r="E5591" s="0" t="s">
        <v>89</v>
      </c>
      <c r="F5591" s="0" t="s">
        <v>90</v>
      </c>
      <c r="G5591" s="0" t="s">
        <v>16</v>
      </c>
      <c r="H5591" s="0" t="n">
        <v>43</v>
      </c>
      <c r="I5591" s="0" t="s">
        <v>18728</v>
      </c>
      <c r="J5591" s="0" t="s">
        <v>18729</v>
      </c>
      <c r="K5591" s="0" t="s">
        <v>18730</v>
      </c>
      <c r="L5591" s="0" t="str">
        <f aca="false">HYPERLINK("https://www.ncbi.nlm.nih.gov/nuccore/CP000304.1?report=graph&amp;tracks=[key:gene_model_track,Options:GeneOnly]&amp;mk=1550898:1550917|offset_43|00cc00,1550878:1550897|offset_63|444444,1550856:1550875|offset_85|444444,1550832:1550851|offset_109|444444&amp;v=1550697:1551051&amp;c=444444", "offset 43")</f>
        <v>offset 43</v>
      </c>
    </row>
    <row r="5592" customFormat="false" ht="12.8" hidden="false" customHeight="false" outlineLevel="0" collapsed="false">
      <c r="A5592" s="0" t="s">
        <v>12</v>
      </c>
      <c r="B5592" s="0" t="n">
        <v>1550877</v>
      </c>
      <c r="C5592" s="0" t="n">
        <v>1550897</v>
      </c>
      <c r="D5592" s="0" t="s">
        <v>18727</v>
      </c>
      <c r="E5592" s="0" t="s">
        <v>89</v>
      </c>
      <c r="F5592" s="0" t="s">
        <v>90</v>
      </c>
      <c r="G5592" s="0" t="s">
        <v>26</v>
      </c>
      <c r="H5592" s="0" t="n">
        <v>63</v>
      </c>
      <c r="I5592" s="0" t="s">
        <v>18731</v>
      </c>
      <c r="J5592" s="0" t="s">
        <v>18732</v>
      </c>
      <c r="K5592" s="0" t="s">
        <v>18733</v>
      </c>
      <c r="L5592" s="0" t="str">
        <f aca="false">HYPERLINK("https://www.ncbi.nlm.nih.gov/nuccore/CP000304.1?report=graph&amp;tracks=[key:gene_model_track,Options:GeneOnly]&amp;mk=1550898:1550917|offset_43|444444,1550878:1550897|offset_63|00cc00,1550856:1550875|offset_85|444444,1550832:1550851|offset_109|444444&amp;v=1550697:1551051&amp;c=444444", "offset 63")</f>
        <v>offset 63</v>
      </c>
    </row>
    <row r="5593" customFormat="false" ht="12.8" hidden="false" customHeight="false" outlineLevel="0" collapsed="false">
      <c r="A5593" s="0" t="s">
        <v>12</v>
      </c>
      <c r="B5593" s="0" t="n">
        <v>1550855</v>
      </c>
      <c r="C5593" s="0" t="n">
        <v>1550875</v>
      </c>
      <c r="D5593" s="0" t="s">
        <v>18727</v>
      </c>
      <c r="E5593" s="0" t="s">
        <v>89</v>
      </c>
      <c r="F5593" s="0" t="s">
        <v>90</v>
      </c>
      <c r="G5593" s="0" t="s">
        <v>16</v>
      </c>
      <c r="H5593" s="0" t="n">
        <v>85</v>
      </c>
      <c r="I5593" s="0" t="s">
        <v>18734</v>
      </c>
      <c r="J5593" s="0" t="s">
        <v>18735</v>
      </c>
      <c r="K5593" s="0" t="s">
        <v>18736</v>
      </c>
      <c r="L5593" s="0" t="str">
        <f aca="false">HYPERLINK("https://www.ncbi.nlm.nih.gov/nuccore/CP000304.1?report=graph&amp;tracks=[key:gene_model_track,Options:GeneOnly]&amp;mk=1550898:1550917|offset_43|444444,1550878:1550897|offset_63|444444,1550856:1550875|offset_85|00cc00,1550832:1550851|offset_109|444444&amp;v=1550697:1551051&amp;c=444444", "offset 85")</f>
        <v>offset 85</v>
      </c>
    </row>
    <row r="5594" customFormat="false" ht="12.8" hidden="false" customHeight="false" outlineLevel="0" collapsed="false">
      <c r="A5594" s="0" t="s">
        <v>12</v>
      </c>
      <c r="B5594" s="0" t="n">
        <v>1550831</v>
      </c>
      <c r="C5594" s="0" t="n">
        <v>1550851</v>
      </c>
      <c r="D5594" s="0" t="s">
        <v>18727</v>
      </c>
      <c r="E5594" s="0" t="s">
        <v>89</v>
      </c>
      <c r="F5594" s="0" t="s">
        <v>90</v>
      </c>
      <c r="G5594" s="0" t="s">
        <v>16</v>
      </c>
      <c r="H5594" s="0" t="n">
        <v>109</v>
      </c>
      <c r="I5594" s="0" t="s">
        <v>18737</v>
      </c>
      <c r="J5594" s="0" t="s">
        <v>18738</v>
      </c>
      <c r="K5594" s="0" t="s">
        <v>18739</v>
      </c>
      <c r="L5594" s="0" t="str">
        <f aca="false">HYPERLINK("https://www.ncbi.nlm.nih.gov/nuccore/CP000304.1?report=graph&amp;tracks=[key:gene_model_track,Options:GeneOnly]&amp;mk=1550898:1550917|offset_43|444444,1550878:1550897|offset_63|444444,1550856:1550875|offset_85|444444,1550832:1550851|offset_109|00cc00&amp;v=1550697:1551051&amp;c=444444", "offset 109")</f>
        <v>offset 109</v>
      </c>
    </row>
    <row r="5595" customFormat="false" ht="12.8" hidden="false" customHeight="false" outlineLevel="0" collapsed="false">
      <c r="A5595" s="0" t="s">
        <v>12</v>
      </c>
      <c r="B5595" s="0" t="n">
        <v>1550963</v>
      </c>
      <c r="C5595" s="0" t="n">
        <v>1550983</v>
      </c>
      <c r="D5595" s="0" t="s">
        <v>18740</v>
      </c>
      <c r="E5595" s="0" t="s">
        <v>89</v>
      </c>
      <c r="F5595" s="0" t="s">
        <v>15</v>
      </c>
      <c r="G5595" s="0" t="s">
        <v>36</v>
      </c>
      <c r="H5595" s="0" t="n">
        <v>36</v>
      </c>
      <c r="I5595" s="0" t="s">
        <v>18741</v>
      </c>
      <c r="J5595" s="0" t="s">
        <v>18742</v>
      </c>
      <c r="K5595" s="0" t="s">
        <v>18743</v>
      </c>
      <c r="L5595" s="0" t="str">
        <f aca="false">HYPERLINK("https://www.ncbi.nlm.nih.gov/nuccore/CP000304.1?report=graph&amp;tracks=[key:gene_model_track,Options:GeneOnly]&amp;mk=1550964:1550983|offset_36|00cc00,1550986:1551005|offset_58|444444,1551025:1551044|offset_97|444444,1551055:1551074|offset_127|444444&amp;v=1550763:1551274&amp;c=444444", "offset 36")</f>
        <v>offset 36</v>
      </c>
    </row>
    <row r="5596" customFormat="false" ht="12.8" hidden="false" customHeight="false" outlineLevel="0" collapsed="false">
      <c r="A5596" s="0" t="s">
        <v>12</v>
      </c>
      <c r="B5596" s="0" t="n">
        <v>1550985</v>
      </c>
      <c r="C5596" s="0" t="n">
        <v>1551005</v>
      </c>
      <c r="D5596" s="0" t="s">
        <v>18740</v>
      </c>
      <c r="E5596" s="0" t="s">
        <v>89</v>
      </c>
      <c r="F5596" s="0" t="s">
        <v>15</v>
      </c>
      <c r="G5596" s="0" t="s">
        <v>36</v>
      </c>
      <c r="H5596" s="0" t="n">
        <v>58</v>
      </c>
      <c r="I5596" s="0" t="s">
        <v>18744</v>
      </c>
      <c r="J5596" s="0" t="s">
        <v>18745</v>
      </c>
      <c r="K5596" s="0" t="s">
        <v>18746</v>
      </c>
      <c r="L5596" s="0" t="str">
        <f aca="false">HYPERLINK("https://www.ncbi.nlm.nih.gov/nuccore/CP000304.1?report=graph&amp;tracks=[key:gene_model_track,Options:GeneOnly]&amp;mk=1550964:1550983|offset_36|444444,1550986:1551005|offset_58|00cc00,1551025:1551044|offset_97|444444,1551055:1551074|offset_127|444444&amp;v=1550763:1551274&amp;c=444444", "offset 58")</f>
        <v>offset 58</v>
      </c>
    </row>
    <row r="5597" customFormat="false" ht="12.8" hidden="false" customHeight="false" outlineLevel="0" collapsed="false">
      <c r="A5597" s="0" t="s">
        <v>12</v>
      </c>
      <c r="B5597" s="0" t="n">
        <v>1551024</v>
      </c>
      <c r="C5597" s="0" t="n">
        <v>1551044</v>
      </c>
      <c r="D5597" s="0" t="s">
        <v>18740</v>
      </c>
      <c r="E5597" s="0" t="s">
        <v>89</v>
      </c>
      <c r="F5597" s="0" t="s">
        <v>15</v>
      </c>
      <c r="G5597" s="0" t="s">
        <v>26</v>
      </c>
      <c r="H5597" s="0" t="n">
        <v>97</v>
      </c>
      <c r="I5597" s="0" t="s">
        <v>18747</v>
      </c>
      <c r="J5597" s="0" t="s">
        <v>18748</v>
      </c>
      <c r="K5597" s="0" t="s">
        <v>18749</v>
      </c>
      <c r="L5597" s="0" t="str">
        <f aca="false">HYPERLINK("https://www.ncbi.nlm.nih.gov/nuccore/CP000304.1?report=graph&amp;tracks=[key:gene_model_track,Options:GeneOnly]&amp;mk=1550964:1550983|offset_36|444444,1550986:1551005|offset_58|444444,1551025:1551044|offset_97|00cc00,1551055:1551074|offset_127|444444&amp;v=1550763:1551274&amp;c=444444", "offset 97")</f>
        <v>offset 97</v>
      </c>
    </row>
    <row r="5598" customFormat="false" ht="12.8" hidden="false" customHeight="false" outlineLevel="0" collapsed="false">
      <c r="A5598" s="0" t="s">
        <v>12</v>
      </c>
      <c r="B5598" s="0" t="n">
        <v>1551054</v>
      </c>
      <c r="C5598" s="0" t="n">
        <v>1551074</v>
      </c>
      <c r="D5598" s="0" t="s">
        <v>18740</v>
      </c>
      <c r="E5598" s="0" t="s">
        <v>89</v>
      </c>
      <c r="F5598" s="0" t="s">
        <v>15</v>
      </c>
      <c r="G5598" s="0" t="s">
        <v>36</v>
      </c>
      <c r="H5598" s="0" t="n">
        <v>127</v>
      </c>
      <c r="I5598" s="0" t="s">
        <v>18750</v>
      </c>
      <c r="J5598" s="0" t="s">
        <v>18751</v>
      </c>
      <c r="K5598" s="0" t="s">
        <v>18752</v>
      </c>
      <c r="L5598" s="0" t="str">
        <f aca="false">HYPERLINK("https://www.ncbi.nlm.nih.gov/nuccore/CP000304.1?report=graph&amp;tracks=[key:gene_model_track,Options:GeneOnly]&amp;mk=1550964:1550983|offset_36|444444,1550986:1551005|offset_58|444444,1551025:1551044|offset_97|444444,1551055:1551074|offset_127|00cc00&amp;v=1550763:1551274&amp;c=444444", "offset 127")</f>
        <v>offset 127</v>
      </c>
    </row>
    <row r="5599" customFormat="false" ht="12.8" hidden="false" customHeight="false" outlineLevel="0" collapsed="false">
      <c r="A5599" s="0" t="s">
        <v>12</v>
      </c>
      <c r="B5599" s="0" t="n">
        <v>1556085</v>
      </c>
      <c r="C5599" s="0" t="n">
        <v>1556105</v>
      </c>
      <c r="D5599" s="0" t="s">
        <v>18753</v>
      </c>
      <c r="E5599" s="0" t="s">
        <v>89</v>
      </c>
      <c r="F5599" s="0" t="s">
        <v>90</v>
      </c>
      <c r="G5599" s="0" t="s">
        <v>32</v>
      </c>
      <c r="H5599" s="0" t="n">
        <v>10</v>
      </c>
      <c r="I5599" s="0" t="s">
        <v>18754</v>
      </c>
      <c r="J5599" s="0" t="s">
        <v>18755</v>
      </c>
      <c r="K5599" s="0" t="s">
        <v>18756</v>
      </c>
      <c r="L5599" s="0" t="str">
        <f aca="false">HYPERLINK("https://www.ncbi.nlm.nih.gov/nuccore/CP000304.1?report=graph&amp;tracks=[key:gene_model_track,Options:GeneOnly]&amp;mk=1556086:1556105|offset_10|00cc00,1556046:1556065|offset_50|444444,1556020:1556039|offset_76|444444,1555988:1556007|offset_108|444444&amp;v=1555885:1556207&amp;c=444444", "offset 10")</f>
        <v>offset 10</v>
      </c>
    </row>
    <row r="5600" customFormat="false" ht="12.8" hidden="false" customHeight="false" outlineLevel="0" collapsed="false">
      <c r="A5600" s="0" t="s">
        <v>12</v>
      </c>
      <c r="B5600" s="0" t="n">
        <v>1556045</v>
      </c>
      <c r="C5600" s="0" t="n">
        <v>1556065</v>
      </c>
      <c r="D5600" s="0" t="s">
        <v>18753</v>
      </c>
      <c r="E5600" s="0" t="s">
        <v>89</v>
      </c>
      <c r="F5600" s="0" t="s">
        <v>90</v>
      </c>
      <c r="G5600" s="0" t="s">
        <v>26</v>
      </c>
      <c r="H5600" s="0" t="n">
        <v>50</v>
      </c>
      <c r="I5600" s="0" t="s">
        <v>18757</v>
      </c>
      <c r="J5600" s="0" t="s">
        <v>18758</v>
      </c>
      <c r="K5600" s="0" t="s">
        <v>18759</v>
      </c>
      <c r="L5600" s="0" t="str">
        <f aca="false">HYPERLINK("https://www.ncbi.nlm.nih.gov/nuccore/CP000304.1?report=graph&amp;tracks=[key:gene_model_track,Options:GeneOnly]&amp;mk=1556086:1556105|offset_10|444444,1556046:1556065|offset_50|00cc00,1556020:1556039|offset_76|444444,1555988:1556007|offset_108|444444&amp;v=1555885:1556207&amp;c=444444", "offset 50")</f>
        <v>offset 50</v>
      </c>
    </row>
    <row r="5601" customFormat="false" ht="12.8" hidden="false" customHeight="false" outlineLevel="0" collapsed="false">
      <c r="A5601" s="0" t="s">
        <v>12</v>
      </c>
      <c r="B5601" s="0" t="n">
        <v>1556019</v>
      </c>
      <c r="C5601" s="0" t="n">
        <v>1556039</v>
      </c>
      <c r="D5601" s="0" t="s">
        <v>18753</v>
      </c>
      <c r="E5601" s="0" t="s">
        <v>89</v>
      </c>
      <c r="F5601" s="0" t="s">
        <v>90</v>
      </c>
      <c r="G5601" s="0" t="s">
        <v>36</v>
      </c>
      <c r="H5601" s="0" t="n">
        <v>76</v>
      </c>
      <c r="I5601" s="0" t="s">
        <v>18760</v>
      </c>
      <c r="J5601" s="0" t="s">
        <v>18761</v>
      </c>
      <c r="K5601" s="0" t="s">
        <v>18762</v>
      </c>
      <c r="L5601" s="0" t="str">
        <f aca="false">HYPERLINK("https://www.ncbi.nlm.nih.gov/nuccore/CP000304.1?report=graph&amp;tracks=[key:gene_model_track,Options:GeneOnly]&amp;mk=1556086:1556105|offset_10|444444,1556046:1556065|offset_50|444444,1556020:1556039|offset_76|00cc00,1555988:1556007|offset_108|444444&amp;v=1555885:1556207&amp;c=444444", "offset 76")</f>
        <v>offset 76</v>
      </c>
    </row>
    <row r="5602" customFormat="false" ht="12.8" hidden="false" customHeight="false" outlineLevel="0" collapsed="false">
      <c r="A5602" s="0" t="s">
        <v>12</v>
      </c>
      <c r="B5602" s="0" t="n">
        <v>1555987</v>
      </c>
      <c r="C5602" s="0" t="n">
        <v>1556007</v>
      </c>
      <c r="D5602" s="0" t="s">
        <v>18753</v>
      </c>
      <c r="E5602" s="0" t="s">
        <v>89</v>
      </c>
      <c r="F5602" s="0" t="s">
        <v>90</v>
      </c>
      <c r="G5602" s="0" t="s">
        <v>36</v>
      </c>
      <c r="H5602" s="0" t="n">
        <v>108</v>
      </c>
      <c r="I5602" s="0" t="s">
        <v>18763</v>
      </c>
      <c r="J5602" s="0" t="s">
        <v>18764</v>
      </c>
      <c r="K5602" s="0" t="s">
        <v>18765</v>
      </c>
      <c r="L5602" s="0" t="str">
        <f aca="false">HYPERLINK("https://www.ncbi.nlm.nih.gov/nuccore/CP000304.1?report=graph&amp;tracks=[key:gene_model_track,Options:GeneOnly]&amp;mk=1556086:1556105|offset_10|444444,1556046:1556065|offset_50|444444,1556020:1556039|offset_76|444444,1555988:1556007|offset_108|00cc00&amp;v=1555885:1556207&amp;c=444444", "offset 108")</f>
        <v>offset 108</v>
      </c>
    </row>
    <row r="5603" customFormat="false" ht="12.8" hidden="false" customHeight="false" outlineLevel="0" collapsed="false">
      <c r="A5603" s="0" t="s">
        <v>12</v>
      </c>
      <c r="B5603" s="0" t="n">
        <v>1557036</v>
      </c>
      <c r="C5603" s="0" t="n">
        <v>1557056</v>
      </c>
      <c r="D5603" s="0" t="s">
        <v>18766</v>
      </c>
      <c r="E5603" s="0" t="s">
        <v>89</v>
      </c>
      <c r="F5603" s="0" t="s">
        <v>90</v>
      </c>
      <c r="G5603" s="0" t="s">
        <v>32</v>
      </c>
      <c r="H5603" s="0" t="n">
        <v>1</v>
      </c>
      <c r="I5603" s="0" t="s">
        <v>18767</v>
      </c>
      <c r="J5603" s="0" t="s">
        <v>18768</v>
      </c>
      <c r="K5603" s="0" t="s">
        <v>18769</v>
      </c>
      <c r="L5603" s="0" t="str">
        <f aca="false">HYPERLINK("https://www.ncbi.nlm.nih.gov/nuccore/CP000304.1?report=graph&amp;tracks=[key:gene_model_track,Options:GeneOnly]&amp;mk=1557037:1557056|offset_1|00cc00,1557012:1557031|offset_26|444444,1556986:1557005|offset_52|444444,1556965:1556984|offset_73|444444&amp;v=1556836:1557184&amp;c=444444", "offset 1")</f>
        <v>offset 1</v>
      </c>
    </row>
    <row r="5604" customFormat="false" ht="12.8" hidden="false" customHeight="false" outlineLevel="0" collapsed="false">
      <c r="A5604" s="0" t="s">
        <v>12</v>
      </c>
      <c r="B5604" s="0" t="n">
        <v>1557011</v>
      </c>
      <c r="C5604" s="0" t="n">
        <v>1557031</v>
      </c>
      <c r="D5604" s="0" t="s">
        <v>18766</v>
      </c>
      <c r="E5604" s="0" t="s">
        <v>89</v>
      </c>
      <c r="F5604" s="0" t="s">
        <v>90</v>
      </c>
      <c r="G5604" s="0" t="s">
        <v>26</v>
      </c>
      <c r="H5604" s="0" t="n">
        <v>26</v>
      </c>
      <c r="I5604" s="0" t="s">
        <v>18770</v>
      </c>
      <c r="J5604" s="0" t="s">
        <v>18771</v>
      </c>
      <c r="K5604" s="0" t="s">
        <v>18772</v>
      </c>
      <c r="L5604" s="0" t="str">
        <f aca="false">HYPERLINK("https://www.ncbi.nlm.nih.gov/nuccore/CP000304.1?report=graph&amp;tracks=[key:gene_model_track,Options:GeneOnly]&amp;mk=1557037:1557056|offset_1|444444,1557012:1557031|offset_26|00cc00,1556986:1557005|offset_52|444444,1556965:1556984|offset_73|444444&amp;v=1556836:1557184&amp;c=444444", "offset 26")</f>
        <v>offset 26</v>
      </c>
    </row>
    <row r="5605" customFormat="false" ht="12.8" hidden="false" customHeight="false" outlineLevel="0" collapsed="false">
      <c r="A5605" s="0" t="s">
        <v>12</v>
      </c>
      <c r="B5605" s="0" t="n">
        <v>1556985</v>
      </c>
      <c r="C5605" s="0" t="n">
        <v>1557005</v>
      </c>
      <c r="D5605" s="0" t="s">
        <v>18766</v>
      </c>
      <c r="E5605" s="0" t="s">
        <v>89</v>
      </c>
      <c r="F5605" s="0" t="s">
        <v>90</v>
      </c>
      <c r="G5605" s="0" t="s">
        <v>32</v>
      </c>
      <c r="H5605" s="0" t="n">
        <v>52</v>
      </c>
      <c r="I5605" s="0" t="s">
        <v>18773</v>
      </c>
      <c r="J5605" s="0" t="s">
        <v>18774</v>
      </c>
      <c r="K5605" s="0" t="s">
        <v>18775</v>
      </c>
      <c r="L5605" s="0" t="str">
        <f aca="false">HYPERLINK("https://www.ncbi.nlm.nih.gov/nuccore/CP000304.1?report=graph&amp;tracks=[key:gene_model_track,Options:GeneOnly]&amp;mk=1557037:1557056|offset_1|444444,1557012:1557031|offset_26|444444,1556986:1557005|offset_52|00cc00,1556965:1556984|offset_73|444444&amp;v=1556836:1557184&amp;c=444444", "offset 52")</f>
        <v>offset 52</v>
      </c>
    </row>
    <row r="5606" customFormat="false" ht="12.8" hidden="false" customHeight="false" outlineLevel="0" collapsed="false">
      <c r="A5606" s="0" t="s">
        <v>12</v>
      </c>
      <c r="B5606" s="0" t="n">
        <v>1556964</v>
      </c>
      <c r="C5606" s="0" t="n">
        <v>1556984</v>
      </c>
      <c r="D5606" s="0" t="s">
        <v>18766</v>
      </c>
      <c r="E5606" s="0" t="s">
        <v>89</v>
      </c>
      <c r="F5606" s="0" t="s">
        <v>90</v>
      </c>
      <c r="G5606" s="0" t="s">
        <v>26</v>
      </c>
      <c r="H5606" s="0" t="n">
        <v>73</v>
      </c>
      <c r="I5606" s="0" t="s">
        <v>18776</v>
      </c>
      <c r="J5606" s="0" t="s">
        <v>18777</v>
      </c>
      <c r="K5606" s="0" t="s">
        <v>18778</v>
      </c>
      <c r="L5606" s="0" t="str">
        <f aca="false">HYPERLINK("https://www.ncbi.nlm.nih.gov/nuccore/CP000304.1?report=graph&amp;tracks=[key:gene_model_track,Options:GeneOnly]&amp;mk=1557037:1557056|offset_1|444444,1557012:1557031|offset_26|444444,1556986:1557005|offset_52|444444,1556965:1556984|offset_73|00cc00&amp;v=1556836:1557184&amp;c=444444", "offset 73")</f>
        <v>offset 73</v>
      </c>
    </row>
    <row r="5607" customFormat="false" ht="12.8" hidden="false" customHeight="false" outlineLevel="0" collapsed="false">
      <c r="A5607" s="0" t="s">
        <v>12</v>
      </c>
      <c r="B5607" s="0" t="n">
        <v>1557837</v>
      </c>
      <c r="C5607" s="0" t="n">
        <v>1557857</v>
      </c>
      <c r="D5607" s="0" t="s">
        <v>18779</v>
      </c>
      <c r="E5607" s="0" t="s">
        <v>89</v>
      </c>
      <c r="F5607" s="0" t="s">
        <v>90</v>
      </c>
      <c r="G5607" s="0" t="s">
        <v>36</v>
      </c>
      <c r="H5607" s="0" t="n">
        <v>49</v>
      </c>
      <c r="I5607" s="0" t="s">
        <v>18780</v>
      </c>
      <c r="J5607" s="0" t="s">
        <v>18781</v>
      </c>
      <c r="K5607" s="0" t="s">
        <v>18782</v>
      </c>
      <c r="L5607" s="0" t="str">
        <f aca="false">HYPERLINK("https://www.ncbi.nlm.nih.gov/nuccore/CP000304.1?report=graph&amp;tracks=[key:gene_model_track,Options:GeneOnly]&amp;mk=1557838:1557857|offset_49|00cc00,1557808:1557827|offset_79|444444,1557784:1557803|offset_103|444444,1557760:1557779|offset_127|444444&amp;v=1557637:1557979&amp;c=444444", "offset 49")</f>
        <v>offset 49</v>
      </c>
    </row>
    <row r="5608" customFormat="false" ht="12.8" hidden="false" customHeight="false" outlineLevel="0" collapsed="false">
      <c r="A5608" s="0" t="s">
        <v>12</v>
      </c>
      <c r="B5608" s="0" t="n">
        <v>1557807</v>
      </c>
      <c r="C5608" s="0" t="n">
        <v>1557827</v>
      </c>
      <c r="D5608" s="0" t="s">
        <v>18779</v>
      </c>
      <c r="E5608" s="0" t="s">
        <v>89</v>
      </c>
      <c r="F5608" s="0" t="s">
        <v>90</v>
      </c>
      <c r="G5608" s="0" t="s">
        <v>26</v>
      </c>
      <c r="H5608" s="0" t="n">
        <v>79</v>
      </c>
      <c r="I5608" s="0" t="s">
        <v>18783</v>
      </c>
      <c r="J5608" s="0" t="s">
        <v>18784</v>
      </c>
      <c r="K5608" s="0" t="s">
        <v>18785</v>
      </c>
      <c r="L5608" s="0" t="str">
        <f aca="false">HYPERLINK("https://www.ncbi.nlm.nih.gov/nuccore/CP000304.1?report=graph&amp;tracks=[key:gene_model_track,Options:GeneOnly]&amp;mk=1557838:1557857|offset_49|444444,1557808:1557827|offset_79|00cc00,1557784:1557803|offset_103|444444,1557760:1557779|offset_127|444444&amp;v=1557637:1557979&amp;c=444444", "offset 79")</f>
        <v>offset 79</v>
      </c>
    </row>
    <row r="5609" customFormat="false" ht="12.8" hidden="false" customHeight="false" outlineLevel="0" collapsed="false">
      <c r="A5609" s="0" t="s">
        <v>12</v>
      </c>
      <c r="B5609" s="0" t="n">
        <v>1557783</v>
      </c>
      <c r="C5609" s="0" t="n">
        <v>1557803</v>
      </c>
      <c r="D5609" s="0" t="s">
        <v>18779</v>
      </c>
      <c r="E5609" s="0" t="s">
        <v>89</v>
      </c>
      <c r="F5609" s="0" t="s">
        <v>90</v>
      </c>
      <c r="G5609" s="0" t="s">
        <v>26</v>
      </c>
      <c r="H5609" s="0" t="n">
        <v>103</v>
      </c>
      <c r="I5609" s="0" t="s">
        <v>18786</v>
      </c>
      <c r="J5609" s="0" t="s">
        <v>18787</v>
      </c>
      <c r="K5609" s="0" t="s">
        <v>18788</v>
      </c>
      <c r="L5609" s="0" t="str">
        <f aca="false">HYPERLINK("https://www.ncbi.nlm.nih.gov/nuccore/CP000304.1?report=graph&amp;tracks=[key:gene_model_track,Options:GeneOnly]&amp;mk=1557838:1557857|offset_49|444444,1557808:1557827|offset_79|444444,1557784:1557803|offset_103|00cc00,1557760:1557779|offset_127|444444&amp;v=1557637:1557979&amp;c=444444", "offset 103")</f>
        <v>offset 103</v>
      </c>
    </row>
    <row r="5610" customFormat="false" ht="12.8" hidden="false" customHeight="false" outlineLevel="0" collapsed="false">
      <c r="A5610" s="0" t="s">
        <v>12</v>
      </c>
      <c r="B5610" s="0" t="n">
        <v>1557759</v>
      </c>
      <c r="C5610" s="0" t="n">
        <v>1557779</v>
      </c>
      <c r="D5610" s="0" t="s">
        <v>18779</v>
      </c>
      <c r="E5610" s="0" t="s">
        <v>89</v>
      </c>
      <c r="F5610" s="0" t="s">
        <v>90</v>
      </c>
      <c r="G5610" s="0" t="s">
        <v>16</v>
      </c>
      <c r="H5610" s="0" t="n">
        <v>127</v>
      </c>
      <c r="I5610" s="0" t="s">
        <v>18789</v>
      </c>
      <c r="J5610" s="0" t="s">
        <v>18790</v>
      </c>
      <c r="K5610" s="0" t="s">
        <v>18791</v>
      </c>
      <c r="L5610" s="0" t="str">
        <f aca="false">HYPERLINK("https://www.ncbi.nlm.nih.gov/nuccore/CP000304.1?report=graph&amp;tracks=[key:gene_model_track,Options:GeneOnly]&amp;mk=1557838:1557857|offset_49|444444,1557808:1557827|offset_79|444444,1557784:1557803|offset_103|444444,1557760:1557779|offset_127|00cc00&amp;v=1557637:1557979&amp;c=444444", "offset 127")</f>
        <v>offset 127</v>
      </c>
    </row>
    <row r="5611" customFormat="false" ht="12.8" hidden="false" customHeight="false" outlineLevel="0" collapsed="false">
      <c r="A5611" s="0" t="s">
        <v>12</v>
      </c>
      <c r="B5611" s="0" t="n">
        <v>1558730</v>
      </c>
      <c r="C5611" s="0" t="n">
        <v>1558750</v>
      </c>
      <c r="D5611" s="0" t="s">
        <v>18792</v>
      </c>
      <c r="E5611" s="0" t="s">
        <v>89</v>
      </c>
      <c r="F5611" s="0" t="s">
        <v>90</v>
      </c>
      <c r="G5611" s="0" t="s">
        <v>36</v>
      </c>
      <c r="H5611" s="0" t="n">
        <v>0</v>
      </c>
      <c r="I5611" s="0" t="s">
        <v>18793</v>
      </c>
      <c r="J5611" s="0" t="s">
        <v>18794</v>
      </c>
      <c r="K5611" s="0" t="s">
        <v>18795</v>
      </c>
      <c r="L5611" s="0" t="str">
        <f aca="false">HYPERLINK("https://www.ncbi.nlm.nih.gov/nuccore/CP000304.1?report=graph&amp;tracks=[key:gene_model_track,Options:GeneOnly]&amp;mk=1558731:1558750|offset_0|00cc00,1558711:1558730|offset_20|444444,1558676:1558695|offset_55|444444,1558608:1558627|offset_123|444444&amp;v=1558530:1558827&amp;c=444444", "offset 0")</f>
        <v>offset 0</v>
      </c>
    </row>
    <row r="5612" customFormat="false" ht="12.8" hidden="false" customHeight="false" outlineLevel="0" collapsed="false">
      <c r="A5612" s="0" t="s">
        <v>12</v>
      </c>
      <c r="B5612" s="0" t="n">
        <v>1558710</v>
      </c>
      <c r="C5612" s="0" t="n">
        <v>1558730</v>
      </c>
      <c r="D5612" s="0" t="s">
        <v>18792</v>
      </c>
      <c r="E5612" s="0" t="s">
        <v>89</v>
      </c>
      <c r="F5612" s="0" t="s">
        <v>90</v>
      </c>
      <c r="G5612" s="0" t="s">
        <v>26</v>
      </c>
      <c r="H5612" s="0" t="n">
        <v>20</v>
      </c>
      <c r="I5612" s="0" t="s">
        <v>18796</v>
      </c>
      <c r="J5612" s="0" t="s">
        <v>18797</v>
      </c>
      <c r="K5612" s="0" t="s">
        <v>18798</v>
      </c>
      <c r="L5612" s="0" t="str">
        <f aca="false">HYPERLINK("https://www.ncbi.nlm.nih.gov/nuccore/CP000304.1?report=graph&amp;tracks=[key:gene_model_track,Options:GeneOnly]&amp;mk=1558731:1558750|offset_0|444444,1558711:1558730|offset_20|00cc00,1558676:1558695|offset_55|444444,1558608:1558627|offset_123|444444&amp;v=1558530:1558827&amp;c=444444", "offset 20")</f>
        <v>offset 20</v>
      </c>
    </row>
    <row r="5613" customFormat="false" ht="12.8" hidden="false" customHeight="false" outlineLevel="0" collapsed="false">
      <c r="A5613" s="0" t="s">
        <v>12</v>
      </c>
      <c r="B5613" s="0" t="n">
        <v>1558675</v>
      </c>
      <c r="C5613" s="0" t="n">
        <v>1558695</v>
      </c>
      <c r="D5613" s="0" t="s">
        <v>18792</v>
      </c>
      <c r="E5613" s="0" t="s">
        <v>89</v>
      </c>
      <c r="F5613" s="0" t="s">
        <v>90</v>
      </c>
      <c r="G5613" s="0" t="s">
        <v>36</v>
      </c>
      <c r="H5613" s="0" t="n">
        <v>55</v>
      </c>
      <c r="I5613" s="0" t="s">
        <v>18799</v>
      </c>
      <c r="J5613" s="0" t="s">
        <v>18800</v>
      </c>
      <c r="K5613" s="0" t="s">
        <v>18801</v>
      </c>
      <c r="L5613" s="0" t="str">
        <f aca="false">HYPERLINK("https://www.ncbi.nlm.nih.gov/nuccore/CP000304.1?report=graph&amp;tracks=[key:gene_model_track,Options:GeneOnly]&amp;mk=1558731:1558750|offset_0|444444,1558711:1558730|offset_20|444444,1558676:1558695|offset_55|00cc00,1558608:1558627|offset_123|444444&amp;v=1558530:1558827&amp;c=444444", "offset 55")</f>
        <v>offset 55</v>
      </c>
    </row>
    <row r="5614" customFormat="false" ht="12.8" hidden="false" customHeight="false" outlineLevel="0" collapsed="false">
      <c r="A5614" s="0" t="s">
        <v>12</v>
      </c>
      <c r="B5614" s="0" t="n">
        <v>1558607</v>
      </c>
      <c r="C5614" s="0" t="n">
        <v>1558627</v>
      </c>
      <c r="D5614" s="0" t="s">
        <v>18792</v>
      </c>
      <c r="E5614" s="0" t="s">
        <v>89</v>
      </c>
      <c r="F5614" s="0" t="s">
        <v>90</v>
      </c>
      <c r="G5614" s="0" t="s">
        <v>36</v>
      </c>
      <c r="H5614" s="0" t="n">
        <v>123</v>
      </c>
      <c r="I5614" s="0" t="s">
        <v>18802</v>
      </c>
      <c r="J5614" s="0" t="s">
        <v>18803</v>
      </c>
      <c r="K5614" s="0" t="s">
        <v>18804</v>
      </c>
      <c r="L5614" s="0" t="str">
        <f aca="false">HYPERLINK("https://www.ncbi.nlm.nih.gov/nuccore/CP000304.1?report=graph&amp;tracks=[key:gene_model_track,Options:GeneOnly]&amp;mk=1558731:1558750|offset_0|444444,1558711:1558730|offset_20|444444,1558676:1558695|offset_55|444444,1558608:1558627|offset_123|00cc00&amp;v=1558530:1558827&amp;c=444444", "offset 123")</f>
        <v>offset 123</v>
      </c>
    </row>
    <row r="5615" customFormat="false" ht="12.8" hidden="false" customHeight="false" outlineLevel="0" collapsed="false">
      <c r="A5615" s="0" t="s">
        <v>12</v>
      </c>
      <c r="B5615" s="0" t="n">
        <v>1558993</v>
      </c>
      <c r="C5615" s="0" t="n">
        <v>1559013</v>
      </c>
      <c r="D5615" s="0" t="s">
        <v>18805</v>
      </c>
      <c r="E5615" s="0" t="s">
        <v>89</v>
      </c>
      <c r="F5615" s="0" t="s">
        <v>90</v>
      </c>
      <c r="G5615" s="0" t="s">
        <v>32</v>
      </c>
      <c r="H5615" s="0" t="n">
        <v>19</v>
      </c>
      <c r="I5615" s="0" t="s">
        <v>18806</v>
      </c>
      <c r="J5615" s="0" t="s">
        <v>18807</v>
      </c>
      <c r="K5615" s="0" t="s">
        <v>18808</v>
      </c>
      <c r="L5615" s="0" t="str">
        <f aca="false">HYPERLINK("https://www.ncbi.nlm.nih.gov/nuccore/CP000304.1?report=graph&amp;tracks=[key:gene_model_track,Options:GeneOnly]&amp;mk=1558994:1559013|offset_19|00cc00,1558970:1558989|offset_43|444444,1558946:1558965|offset_67|444444,1558913:1558932|offset_100|444444&amp;v=1558793:1559132&amp;c=444444", "offset 19")</f>
        <v>offset 19</v>
      </c>
    </row>
    <row r="5616" customFormat="false" ht="12.8" hidden="false" customHeight="false" outlineLevel="0" collapsed="false">
      <c r="A5616" s="0" t="s">
        <v>12</v>
      </c>
      <c r="B5616" s="0" t="n">
        <v>1558969</v>
      </c>
      <c r="C5616" s="0" t="n">
        <v>1558989</v>
      </c>
      <c r="D5616" s="0" t="s">
        <v>18805</v>
      </c>
      <c r="E5616" s="0" t="s">
        <v>89</v>
      </c>
      <c r="F5616" s="0" t="s">
        <v>90</v>
      </c>
      <c r="G5616" s="0" t="s">
        <v>32</v>
      </c>
      <c r="H5616" s="0" t="n">
        <v>43</v>
      </c>
      <c r="I5616" s="0" t="s">
        <v>18809</v>
      </c>
      <c r="J5616" s="0" t="s">
        <v>18810</v>
      </c>
      <c r="K5616" s="0" t="s">
        <v>18811</v>
      </c>
      <c r="L5616" s="0" t="str">
        <f aca="false">HYPERLINK("https://www.ncbi.nlm.nih.gov/nuccore/CP000304.1?report=graph&amp;tracks=[key:gene_model_track,Options:GeneOnly]&amp;mk=1558994:1559013|offset_19|444444,1558970:1558989|offset_43|00cc00,1558946:1558965|offset_67|444444,1558913:1558932|offset_100|444444&amp;v=1558793:1559132&amp;c=444444", "offset 43")</f>
        <v>offset 43</v>
      </c>
    </row>
    <row r="5617" customFormat="false" ht="12.8" hidden="false" customHeight="false" outlineLevel="0" collapsed="false">
      <c r="A5617" s="0" t="s">
        <v>12</v>
      </c>
      <c r="B5617" s="0" t="n">
        <v>1558945</v>
      </c>
      <c r="C5617" s="0" t="n">
        <v>1558965</v>
      </c>
      <c r="D5617" s="0" t="s">
        <v>18805</v>
      </c>
      <c r="E5617" s="0" t="s">
        <v>89</v>
      </c>
      <c r="F5617" s="0" t="s">
        <v>90</v>
      </c>
      <c r="G5617" s="0" t="s">
        <v>16</v>
      </c>
      <c r="H5617" s="0" t="n">
        <v>67</v>
      </c>
      <c r="I5617" s="0" t="s">
        <v>18812</v>
      </c>
      <c r="J5617" s="0" t="s">
        <v>18813</v>
      </c>
      <c r="K5617" s="0" t="s">
        <v>18814</v>
      </c>
      <c r="L5617" s="0" t="str">
        <f aca="false">HYPERLINK("https://www.ncbi.nlm.nih.gov/nuccore/CP000304.1?report=graph&amp;tracks=[key:gene_model_track,Options:GeneOnly]&amp;mk=1558994:1559013|offset_19|444444,1558970:1558989|offset_43|444444,1558946:1558965|offset_67|00cc00,1558913:1558932|offset_100|444444&amp;v=1558793:1559132&amp;c=444444", "offset 67")</f>
        <v>offset 67</v>
      </c>
    </row>
    <row r="5618" customFormat="false" ht="12.8" hidden="false" customHeight="false" outlineLevel="0" collapsed="false">
      <c r="A5618" s="0" t="s">
        <v>12</v>
      </c>
      <c r="B5618" s="0" t="n">
        <v>1558912</v>
      </c>
      <c r="C5618" s="0" t="n">
        <v>1558932</v>
      </c>
      <c r="D5618" s="0" t="s">
        <v>18805</v>
      </c>
      <c r="E5618" s="0" t="s">
        <v>89</v>
      </c>
      <c r="F5618" s="0" t="s">
        <v>90</v>
      </c>
      <c r="G5618" s="0" t="s">
        <v>16</v>
      </c>
      <c r="H5618" s="0" t="n">
        <v>100</v>
      </c>
      <c r="I5618" s="0" t="s">
        <v>18815</v>
      </c>
      <c r="J5618" s="0" t="s">
        <v>18816</v>
      </c>
      <c r="K5618" s="0" t="s">
        <v>18817</v>
      </c>
      <c r="L5618" s="0" t="str">
        <f aca="false">HYPERLINK("https://www.ncbi.nlm.nih.gov/nuccore/CP000304.1?report=graph&amp;tracks=[key:gene_model_track,Options:GeneOnly]&amp;mk=1558994:1559013|offset_19|444444,1558970:1558989|offset_43|444444,1558946:1558965|offset_67|444444,1558913:1558932|offset_100|00cc00&amp;v=1558793:1559132&amp;c=444444", "offset 100")</f>
        <v>offset 100</v>
      </c>
    </row>
    <row r="5619" customFormat="false" ht="12.8" hidden="false" customHeight="false" outlineLevel="0" collapsed="false">
      <c r="A5619" s="0" t="s">
        <v>12</v>
      </c>
      <c r="B5619" s="0" t="n">
        <v>1559207</v>
      </c>
      <c r="C5619" s="0" t="n">
        <v>1559227</v>
      </c>
      <c r="D5619" s="0" t="s">
        <v>18818</v>
      </c>
      <c r="E5619" s="0" t="s">
        <v>89</v>
      </c>
      <c r="F5619" s="0" t="s">
        <v>15</v>
      </c>
      <c r="G5619" s="0" t="s">
        <v>32</v>
      </c>
      <c r="H5619" s="0" t="n">
        <v>16</v>
      </c>
      <c r="I5619" s="0" t="s">
        <v>18819</v>
      </c>
      <c r="J5619" s="0" t="s">
        <v>18820</v>
      </c>
      <c r="K5619" s="0" t="s">
        <v>18821</v>
      </c>
      <c r="L5619" s="0" t="str">
        <f aca="false">HYPERLINK("https://www.ncbi.nlm.nih.gov/nuccore/CP000304.1?report=graph&amp;tracks=[key:gene_model_track,Options:GeneOnly]&amp;mk=1559208:1559227|offset_16|00cc00,1559241:1559260|offset_49|444444,1559279:1559298|offset_87|444444,1559301:1559320|offset_109|444444&amp;v=1559007:1559520&amp;c=444444", "offset 16")</f>
        <v>offset 16</v>
      </c>
    </row>
    <row r="5620" customFormat="false" ht="12.8" hidden="false" customHeight="false" outlineLevel="0" collapsed="false">
      <c r="A5620" s="0" t="s">
        <v>12</v>
      </c>
      <c r="B5620" s="0" t="n">
        <v>1559240</v>
      </c>
      <c r="C5620" s="0" t="n">
        <v>1559260</v>
      </c>
      <c r="D5620" s="0" t="s">
        <v>18818</v>
      </c>
      <c r="E5620" s="0" t="s">
        <v>89</v>
      </c>
      <c r="F5620" s="0" t="s">
        <v>15</v>
      </c>
      <c r="G5620" s="0" t="s">
        <v>16</v>
      </c>
      <c r="H5620" s="0" t="n">
        <v>49</v>
      </c>
      <c r="I5620" s="0" t="s">
        <v>18822</v>
      </c>
      <c r="J5620" s="0" t="s">
        <v>18823</v>
      </c>
      <c r="K5620" s="0" t="s">
        <v>18824</v>
      </c>
      <c r="L5620" s="0" t="str">
        <f aca="false">HYPERLINK("https://www.ncbi.nlm.nih.gov/nuccore/CP000304.1?report=graph&amp;tracks=[key:gene_model_track,Options:GeneOnly]&amp;mk=1559208:1559227|offset_16|444444,1559241:1559260|offset_49|00cc00,1559279:1559298|offset_87|444444,1559301:1559320|offset_109|444444&amp;v=1559007:1559520&amp;c=444444", "offset 49")</f>
        <v>offset 49</v>
      </c>
    </row>
    <row r="5621" customFormat="false" ht="12.8" hidden="false" customHeight="false" outlineLevel="0" collapsed="false">
      <c r="A5621" s="0" t="s">
        <v>12</v>
      </c>
      <c r="B5621" s="0" t="n">
        <v>1559278</v>
      </c>
      <c r="C5621" s="0" t="n">
        <v>1559298</v>
      </c>
      <c r="D5621" s="0" t="s">
        <v>18818</v>
      </c>
      <c r="E5621" s="0" t="s">
        <v>89</v>
      </c>
      <c r="F5621" s="0" t="s">
        <v>15</v>
      </c>
      <c r="G5621" s="0" t="s">
        <v>36</v>
      </c>
      <c r="H5621" s="0" t="n">
        <v>87</v>
      </c>
      <c r="I5621" s="0" t="s">
        <v>18825</v>
      </c>
      <c r="J5621" s="0" t="s">
        <v>18826</v>
      </c>
      <c r="K5621" s="0" t="s">
        <v>18827</v>
      </c>
      <c r="L5621" s="0" t="str">
        <f aca="false">HYPERLINK("https://www.ncbi.nlm.nih.gov/nuccore/CP000304.1?report=graph&amp;tracks=[key:gene_model_track,Options:GeneOnly]&amp;mk=1559208:1559227|offset_16|444444,1559241:1559260|offset_49|444444,1559279:1559298|offset_87|00cc00,1559301:1559320|offset_109|444444&amp;v=1559007:1559520&amp;c=444444", "offset 87")</f>
        <v>offset 87</v>
      </c>
    </row>
    <row r="5622" customFormat="false" ht="12.8" hidden="false" customHeight="false" outlineLevel="0" collapsed="false">
      <c r="A5622" s="0" t="s">
        <v>12</v>
      </c>
      <c r="B5622" s="0" t="n">
        <v>1559300</v>
      </c>
      <c r="C5622" s="0" t="n">
        <v>1559320</v>
      </c>
      <c r="D5622" s="0" t="s">
        <v>18818</v>
      </c>
      <c r="E5622" s="0" t="s">
        <v>89</v>
      </c>
      <c r="F5622" s="0" t="s">
        <v>15</v>
      </c>
      <c r="G5622" s="0" t="s">
        <v>16</v>
      </c>
      <c r="H5622" s="0" t="n">
        <v>109</v>
      </c>
      <c r="I5622" s="0" t="s">
        <v>18828</v>
      </c>
      <c r="J5622" s="0" t="s">
        <v>18829</v>
      </c>
      <c r="K5622" s="0" t="s">
        <v>18830</v>
      </c>
      <c r="L5622" s="0" t="str">
        <f aca="false">HYPERLINK("https://www.ncbi.nlm.nih.gov/nuccore/CP000304.1?report=graph&amp;tracks=[key:gene_model_track,Options:GeneOnly]&amp;mk=1559208:1559227|offset_16|444444,1559241:1559260|offset_49|444444,1559279:1559298|offset_87|444444,1559301:1559320|offset_109|00cc00&amp;v=1559007:1559520&amp;c=444444", "offset 109")</f>
        <v>offset 109</v>
      </c>
    </row>
    <row r="5623" customFormat="false" ht="12.8" hidden="false" customHeight="false" outlineLevel="0" collapsed="false">
      <c r="A5623" s="0" t="s">
        <v>12</v>
      </c>
      <c r="B5623" s="0" t="n">
        <v>1560496</v>
      </c>
      <c r="C5623" s="0" t="n">
        <v>1560516</v>
      </c>
      <c r="D5623" s="0" t="s">
        <v>18831</v>
      </c>
      <c r="E5623" s="0" t="s">
        <v>89</v>
      </c>
      <c r="F5623" s="0" t="s">
        <v>15</v>
      </c>
      <c r="G5623" s="0" t="s">
        <v>16</v>
      </c>
      <c r="H5623" s="0" t="n">
        <v>1</v>
      </c>
      <c r="I5623" s="0" t="s">
        <v>18832</v>
      </c>
      <c r="J5623" s="0" t="s">
        <v>18833</v>
      </c>
      <c r="K5623" s="0" t="s">
        <v>18834</v>
      </c>
      <c r="L5623" s="0" t="str">
        <f aca="false">HYPERLINK("https://www.ncbi.nlm.nih.gov/nuccore/CP000304.1?report=graph&amp;tracks=[key:gene_model_track,Options:GeneOnly]&amp;mk=1560497:1560516|offset_1|00cc00,1560576:1560595|offset_80|444444,1560603:1560622|offset_107|444444,1560626:1560645|offset_130|444444&amp;v=1560296:1560845&amp;c=444444", "offset 1")</f>
        <v>offset 1</v>
      </c>
    </row>
    <row r="5624" customFormat="false" ht="12.8" hidden="false" customHeight="false" outlineLevel="0" collapsed="false">
      <c r="A5624" s="0" t="s">
        <v>12</v>
      </c>
      <c r="B5624" s="0" t="n">
        <v>1560575</v>
      </c>
      <c r="C5624" s="0" t="n">
        <v>1560595</v>
      </c>
      <c r="D5624" s="0" t="s">
        <v>18831</v>
      </c>
      <c r="E5624" s="0" t="s">
        <v>89</v>
      </c>
      <c r="F5624" s="0" t="s">
        <v>15</v>
      </c>
      <c r="G5624" s="0" t="s">
        <v>26</v>
      </c>
      <c r="H5624" s="0" t="n">
        <v>80</v>
      </c>
      <c r="I5624" s="0" t="s">
        <v>18835</v>
      </c>
      <c r="J5624" s="0" t="s">
        <v>18836</v>
      </c>
      <c r="K5624" s="0" t="s">
        <v>18837</v>
      </c>
      <c r="L5624" s="0" t="str">
        <f aca="false">HYPERLINK("https://www.ncbi.nlm.nih.gov/nuccore/CP000304.1?report=graph&amp;tracks=[key:gene_model_track,Options:GeneOnly]&amp;mk=1560497:1560516|offset_1|444444,1560576:1560595|offset_80|00cc00,1560603:1560622|offset_107|444444,1560626:1560645|offset_130|444444&amp;v=1560296:1560845&amp;c=444444", "offset 80")</f>
        <v>offset 80</v>
      </c>
    </row>
    <row r="5625" customFormat="false" ht="12.8" hidden="false" customHeight="false" outlineLevel="0" collapsed="false">
      <c r="A5625" s="0" t="s">
        <v>12</v>
      </c>
      <c r="B5625" s="0" t="n">
        <v>1560602</v>
      </c>
      <c r="C5625" s="0" t="n">
        <v>1560622</v>
      </c>
      <c r="D5625" s="0" t="s">
        <v>18831</v>
      </c>
      <c r="E5625" s="0" t="s">
        <v>89</v>
      </c>
      <c r="F5625" s="0" t="s">
        <v>15</v>
      </c>
      <c r="G5625" s="0" t="s">
        <v>26</v>
      </c>
      <c r="H5625" s="0" t="n">
        <v>107</v>
      </c>
      <c r="I5625" s="0" t="s">
        <v>18838</v>
      </c>
      <c r="J5625" s="0" t="s">
        <v>18839</v>
      </c>
      <c r="K5625" s="0" t="s">
        <v>18840</v>
      </c>
      <c r="L5625" s="0" t="str">
        <f aca="false">HYPERLINK("https://www.ncbi.nlm.nih.gov/nuccore/CP000304.1?report=graph&amp;tracks=[key:gene_model_track,Options:GeneOnly]&amp;mk=1560497:1560516|offset_1|444444,1560576:1560595|offset_80|444444,1560603:1560622|offset_107|00cc00,1560626:1560645|offset_130|444444&amp;v=1560296:1560845&amp;c=444444", "offset 107")</f>
        <v>offset 107</v>
      </c>
    </row>
    <row r="5626" customFormat="false" ht="12.8" hidden="false" customHeight="false" outlineLevel="0" collapsed="false">
      <c r="A5626" s="0" t="s">
        <v>12</v>
      </c>
      <c r="B5626" s="0" t="n">
        <v>1560625</v>
      </c>
      <c r="C5626" s="0" t="n">
        <v>1560645</v>
      </c>
      <c r="D5626" s="0" t="s">
        <v>18831</v>
      </c>
      <c r="E5626" s="0" t="s">
        <v>89</v>
      </c>
      <c r="F5626" s="0" t="s">
        <v>15</v>
      </c>
      <c r="G5626" s="0" t="s">
        <v>16</v>
      </c>
      <c r="H5626" s="0" t="n">
        <v>130</v>
      </c>
      <c r="I5626" s="0" t="s">
        <v>18841</v>
      </c>
      <c r="J5626" s="0" t="s">
        <v>18842</v>
      </c>
      <c r="K5626" s="0" t="s">
        <v>18843</v>
      </c>
      <c r="L5626" s="0" t="str">
        <f aca="false">HYPERLINK("https://www.ncbi.nlm.nih.gov/nuccore/CP000304.1?report=graph&amp;tracks=[key:gene_model_track,Options:GeneOnly]&amp;mk=1560497:1560516|offset_1|444444,1560576:1560595|offset_80|444444,1560603:1560622|offset_107|444444,1560626:1560645|offset_130|00cc00&amp;v=1560296:1560845&amp;c=444444", "offset 130")</f>
        <v>offset 130</v>
      </c>
    </row>
    <row r="5627" customFormat="false" ht="12.8" hidden="false" customHeight="false" outlineLevel="0" collapsed="false">
      <c r="A5627" s="0" t="s">
        <v>12</v>
      </c>
      <c r="B5627" s="0" t="n">
        <v>1562837</v>
      </c>
      <c r="C5627" s="0" t="n">
        <v>1562857</v>
      </c>
      <c r="D5627" s="0" t="s">
        <v>18844</v>
      </c>
      <c r="E5627" s="0" t="s">
        <v>89</v>
      </c>
      <c r="F5627" s="0" t="s">
        <v>15</v>
      </c>
      <c r="G5627" s="0" t="s">
        <v>16</v>
      </c>
      <c r="H5627" s="0" t="n">
        <v>28</v>
      </c>
      <c r="I5627" s="0" t="s">
        <v>18845</v>
      </c>
      <c r="J5627" s="0" t="s">
        <v>18846</v>
      </c>
      <c r="K5627" s="0" t="s">
        <v>18847</v>
      </c>
      <c r="L5627" s="0" t="str">
        <f aca="false">HYPERLINK("https://www.ncbi.nlm.nih.gov/nuccore/CP000304.1?report=graph&amp;tracks=[key:gene_model_track,Options:GeneOnly]&amp;mk=1562838:1562857|offset_28|00cc00,1562858:1562877|offset_48|444444,1562910:1562929|offset_100|444444,1562939:1562958|offset_129|444444&amp;v=1562637:1563158&amp;c=444444", "offset 28")</f>
        <v>offset 28</v>
      </c>
    </row>
    <row r="5628" customFormat="false" ht="12.8" hidden="false" customHeight="false" outlineLevel="0" collapsed="false">
      <c r="A5628" s="0" t="s">
        <v>12</v>
      </c>
      <c r="B5628" s="0" t="n">
        <v>1562857</v>
      </c>
      <c r="C5628" s="0" t="n">
        <v>1562877</v>
      </c>
      <c r="D5628" s="0" t="s">
        <v>18844</v>
      </c>
      <c r="E5628" s="0" t="s">
        <v>89</v>
      </c>
      <c r="F5628" s="0" t="s">
        <v>15</v>
      </c>
      <c r="G5628" s="0" t="s">
        <v>36</v>
      </c>
      <c r="H5628" s="0" t="n">
        <v>48</v>
      </c>
      <c r="I5628" s="0" t="s">
        <v>18848</v>
      </c>
      <c r="J5628" s="0" t="s">
        <v>18849</v>
      </c>
      <c r="K5628" s="0" t="s">
        <v>18850</v>
      </c>
      <c r="L5628" s="0" t="str">
        <f aca="false">HYPERLINK("https://www.ncbi.nlm.nih.gov/nuccore/CP000304.1?report=graph&amp;tracks=[key:gene_model_track,Options:GeneOnly]&amp;mk=1562838:1562857|offset_28|444444,1562858:1562877|offset_48|00cc00,1562910:1562929|offset_100|444444,1562939:1562958|offset_129|444444&amp;v=1562637:1563158&amp;c=444444", "offset 48")</f>
        <v>offset 48</v>
      </c>
    </row>
    <row r="5629" customFormat="false" ht="12.8" hidden="false" customHeight="false" outlineLevel="0" collapsed="false">
      <c r="A5629" s="0" t="s">
        <v>12</v>
      </c>
      <c r="B5629" s="0" t="n">
        <v>1562909</v>
      </c>
      <c r="C5629" s="0" t="n">
        <v>1562929</v>
      </c>
      <c r="D5629" s="0" t="s">
        <v>18844</v>
      </c>
      <c r="E5629" s="0" t="s">
        <v>89</v>
      </c>
      <c r="F5629" s="0" t="s">
        <v>15</v>
      </c>
      <c r="G5629" s="0" t="s">
        <v>16</v>
      </c>
      <c r="H5629" s="0" t="n">
        <v>100</v>
      </c>
      <c r="I5629" s="0" t="s">
        <v>18851</v>
      </c>
      <c r="J5629" s="0" t="s">
        <v>18852</v>
      </c>
      <c r="K5629" s="0" t="s">
        <v>18853</v>
      </c>
      <c r="L5629" s="0" t="str">
        <f aca="false">HYPERLINK("https://www.ncbi.nlm.nih.gov/nuccore/CP000304.1?report=graph&amp;tracks=[key:gene_model_track,Options:GeneOnly]&amp;mk=1562838:1562857|offset_28|444444,1562858:1562877|offset_48|444444,1562910:1562929|offset_100|00cc00,1562939:1562958|offset_129|444444&amp;v=1562637:1563158&amp;c=444444", "offset 100")</f>
        <v>offset 100</v>
      </c>
    </row>
    <row r="5630" customFormat="false" ht="12.8" hidden="false" customHeight="false" outlineLevel="0" collapsed="false">
      <c r="A5630" s="0" t="s">
        <v>12</v>
      </c>
      <c r="B5630" s="0" t="n">
        <v>1562938</v>
      </c>
      <c r="C5630" s="0" t="n">
        <v>1562958</v>
      </c>
      <c r="D5630" s="0" t="s">
        <v>18844</v>
      </c>
      <c r="E5630" s="0" t="s">
        <v>89</v>
      </c>
      <c r="F5630" s="0" t="s">
        <v>15</v>
      </c>
      <c r="G5630" s="0" t="s">
        <v>16</v>
      </c>
      <c r="H5630" s="0" t="n">
        <v>129</v>
      </c>
      <c r="I5630" s="0" t="s">
        <v>18854</v>
      </c>
      <c r="J5630" s="0" t="s">
        <v>18855</v>
      </c>
      <c r="K5630" s="0" t="s">
        <v>18856</v>
      </c>
      <c r="L5630" s="0" t="str">
        <f aca="false">HYPERLINK("https://www.ncbi.nlm.nih.gov/nuccore/CP000304.1?report=graph&amp;tracks=[key:gene_model_track,Options:GeneOnly]&amp;mk=1562838:1562857|offset_28|444444,1562858:1562877|offset_48|444444,1562910:1562929|offset_100|444444,1562939:1562958|offset_129|00cc00&amp;v=1562637:1563158&amp;c=444444", "offset 129")</f>
        <v>offset 129</v>
      </c>
    </row>
    <row r="5631" customFormat="false" ht="12.8" hidden="false" customHeight="false" outlineLevel="0" collapsed="false">
      <c r="A5631" s="0" t="s">
        <v>12</v>
      </c>
      <c r="B5631" s="0" t="n">
        <v>1564250</v>
      </c>
      <c r="C5631" s="0" t="n">
        <v>1564270</v>
      </c>
      <c r="D5631" s="0" t="s">
        <v>18857</v>
      </c>
      <c r="E5631" s="0" t="s">
        <v>89</v>
      </c>
      <c r="F5631" s="0" t="s">
        <v>90</v>
      </c>
      <c r="G5631" s="0" t="s">
        <v>16</v>
      </c>
      <c r="H5631" s="0" t="n">
        <v>19</v>
      </c>
      <c r="I5631" s="0" t="s">
        <v>18858</v>
      </c>
      <c r="J5631" s="0" t="s">
        <v>18859</v>
      </c>
      <c r="K5631" s="0" t="s">
        <v>18860</v>
      </c>
      <c r="L5631" s="0" t="str">
        <f aca="false">HYPERLINK("https://www.ncbi.nlm.nih.gov/nuccore/CP000304.1?report=graph&amp;tracks=[key:gene_model_track,Options:GeneOnly]&amp;mk=1564251:1564270|offset_19|00cc00,1564226:1564245|offset_44|444444,1564176:1564195|offset_94|444444,1564154:1564173|offset_116|444444&amp;v=1564050:1564373&amp;c=444444", "offset 19")</f>
        <v>offset 19</v>
      </c>
    </row>
    <row r="5632" customFormat="false" ht="12.8" hidden="false" customHeight="false" outlineLevel="0" collapsed="false">
      <c r="A5632" s="0" t="s">
        <v>12</v>
      </c>
      <c r="B5632" s="0" t="n">
        <v>1564225</v>
      </c>
      <c r="C5632" s="0" t="n">
        <v>1564245</v>
      </c>
      <c r="D5632" s="0" t="s">
        <v>18857</v>
      </c>
      <c r="E5632" s="0" t="s">
        <v>89</v>
      </c>
      <c r="F5632" s="0" t="s">
        <v>90</v>
      </c>
      <c r="G5632" s="0" t="s">
        <v>16</v>
      </c>
      <c r="H5632" s="0" t="n">
        <v>44</v>
      </c>
      <c r="I5632" s="0" t="s">
        <v>18861</v>
      </c>
      <c r="J5632" s="0" t="s">
        <v>18862</v>
      </c>
      <c r="K5632" s="0" t="s">
        <v>18863</v>
      </c>
      <c r="L5632" s="0" t="str">
        <f aca="false">HYPERLINK("https://www.ncbi.nlm.nih.gov/nuccore/CP000304.1?report=graph&amp;tracks=[key:gene_model_track,Options:GeneOnly]&amp;mk=1564251:1564270|offset_19|444444,1564226:1564245|offset_44|00cc00,1564176:1564195|offset_94|444444,1564154:1564173|offset_116|444444&amp;v=1564050:1564373&amp;c=444444", "offset 44")</f>
        <v>offset 44</v>
      </c>
    </row>
    <row r="5633" customFormat="false" ht="12.8" hidden="false" customHeight="false" outlineLevel="0" collapsed="false">
      <c r="A5633" s="0" t="s">
        <v>12</v>
      </c>
      <c r="B5633" s="0" t="n">
        <v>1564175</v>
      </c>
      <c r="C5633" s="0" t="n">
        <v>1564195</v>
      </c>
      <c r="D5633" s="0" t="s">
        <v>18857</v>
      </c>
      <c r="E5633" s="0" t="s">
        <v>89</v>
      </c>
      <c r="F5633" s="0" t="s">
        <v>90</v>
      </c>
      <c r="G5633" s="0" t="s">
        <v>32</v>
      </c>
      <c r="H5633" s="0" t="n">
        <v>94</v>
      </c>
      <c r="I5633" s="0" t="s">
        <v>18864</v>
      </c>
      <c r="J5633" s="0" t="s">
        <v>18865</v>
      </c>
      <c r="K5633" s="0" t="s">
        <v>18866</v>
      </c>
      <c r="L5633" s="0" t="str">
        <f aca="false">HYPERLINK("https://www.ncbi.nlm.nih.gov/nuccore/CP000304.1?report=graph&amp;tracks=[key:gene_model_track,Options:GeneOnly]&amp;mk=1564251:1564270|offset_19|444444,1564226:1564245|offset_44|444444,1564176:1564195|offset_94|00cc00,1564154:1564173|offset_116|444444&amp;v=1564050:1564373&amp;c=444444", "offset 94")</f>
        <v>offset 94</v>
      </c>
    </row>
    <row r="5634" customFormat="false" ht="12.8" hidden="false" customHeight="false" outlineLevel="0" collapsed="false">
      <c r="A5634" s="0" t="s">
        <v>12</v>
      </c>
      <c r="B5634" s="0" t="n">
        <v>1564153</v>
      </c>
      <c r="C5634" s="0" t="n">
        <v>1564173</v>
      </c>
      <c r="D5634" s="0" t="s">
        <v>18857</v>
      </c>
      <c r="E5634" s="0" t="s">
        <v>89</v>
      </c>
      <c r="F5634" s="0" t="s">
        <v>90</v>
      </c>
      <c r="G5634" s="0" t="s">
        <v>36</v>
      </c>
      <c r="H5634" s="0" t="n">
        <v>116</v>
      </c>
      <c r="I5634" s="0" t="s">
        <v>18867</v>
      </c>
      <c r="J5634" s="0" t="s">
        <v>18868</v>
      </c>
      <c r="K5634" s="0" t="s">
        <v>18869</v>
      </c>
      <c r="L5634" s="0" t="str">
        <f aca="false">HYPERLINK("https://www.ncbi.nlm.nih.gov/nuccore/CP000304.1?report=graph&amp;tracks=[key:gene_model_track,Options:GeneOnly]&amp;mk=1564251:1564270|offset_19|444444,1564226:1564245|offset_44|444444,1564176:1564195|offset_94|444444,1564154:1564173|offset_116|00cc00&amp;v=1564050:1564373&amp;c=444444", "offset 116")</f>
        <v>offset 116</v>
      </c>
    </row>
    <row r="5635" customFormat="false" ht="12.8" hidden="false" customHeight="false" outlineLevel="0" collapsed="false">
      <c r="A5635" s="0" t="s">
        <v>12</v>
      </c>
      <c r="B5635" s="0" t="n">
        <v>1564478</v>
      </c>
      <c r="C5635" s="0" t="n">
        <v>1564498</v>
      </c>
      <c r="D5635" s="0" t="s">
        <v>18870</v>
      </c>
      <c r="E5635" s="0" t="s">
        <v>89</v>
      </c>
      <c r="F5635" s="0" t="s">
        <v>90</v>
      </c>
      <c r="G5635" s="0" t="s">
        <v>32</v>
      </c>
      <c r="H5635" s="0" t="n">
        <v>41</v>
      </c>
      <c r="I5635" s="0" t="s">
        <v>18871</v>
      </c>
      <c r="J5635" s="0" t="s">
        <v>18872</v>
      </c>
      <c r="K5635" s="0" t="s">
        <v>18873</v>
      </c>
      <c r="L5635" s="0" t="str">
        <f aca="false">HYPERLINK("https://www.ncbi.nlm.nih.gov/nuccore/CP000304.1?report=graph&amp;tracks=[key:gene_model_track,Options:GeneOnly]&amp;mk=1564479:1564498|offset_41|00cc00,1564425:1564444|offset_95|444444,1564396:1564415|offset_124|444444,1564372:1564391|offset_148|444444&amp;v=1564278:1564591&amp;c=444444", "offset 41")</f>
        <v>offset 41</v>
      </c>
    </row>
    <row r="5636" customFormat="false" ht="12.8" hidden="false" customHeight="false" outlineLevel="0" collapsed="false">
      <c r="A5636" s="0" t="s">
        <v>12</v>
      </c>
      <c r="B5636" s="0" t="n">
        <v>1564424</v>
      </c>
      <c r="C5636" s="0" t="n">
        <v>1564444</v>
      </c>
      <c r="D5636" s="0" t="s">
        <v>18870</v>
      </c>
      <c r="E5636" s="0" t="s">
        <v>89</v>
      </c>
      <c r="F5636" s="0" t="s">
        <v>90</v>
      </c>
      <c r="G5636" s="0" t="s">
        <v>16</v>
      </c>
      <c r="H5636" s="0" t="n">
        <v>95</v>
      </c>
      <c r="I5636" s="0" t="s">
        <v>18874</v>
      </c>
      <c r="J5636" s="0" t="s">
        <v>18875</v>
      </c>
      <c r="K5636" s="0" t="s">
        <v>18876</v>
      </c>
      <c r="L5636" s="0" t="str">
        <f aca="false">HYPERLINK("https://www.ncbi.nlm.nih.gov/nuccore/CP000304.1?report=graph&amp;tracks=[key:gene_model_track,Options:GeneOnly]&amp;mk=1564479:1564498|offset_41|444444,1564425:1564444|offset_95|00cc00,1564396:1564415|offset_124|444444,1564372:1564391|offset_148|444444&amp;v=1564278:1564591&amp;c=444444", "offset 95")</f>
        <v>offset 95</v>
      </c>
    </row>
    <row r="5637" customFormat="false" ht="12.8" hidden="false" customHeight="false" outlineLevel="0" collapsed="false">
      <c r="A5637" s="0" t="s">
        <v>12</v>
      </c>
      <c r="B5637" s="0" t="n">
        <v>1564395</v>
      </c>
      <c r="C5637" s="0" t="n">
        <v>1564415</v>
      </c>
      <c r="D5637" s="0" t="s">
        <v>18870</v>
      </c>
      <c r="E5637" s="0" t="s">
        <v>89</v>
      </c>
      <c r="F5637" s="0" t="s">
        <v>90</v>
      </c>
      <c r="G5637" s="0" t="s">
        <v>16</v>
      </c>
      <c r="H5637" s="0" t="n">
        <v>124</v>
      </c>
      <c r="I5637" s="0" t="s">
        <v>18877</v>
      </c>
      <c r="J5637" s="0" t="s">
        <v>18878</v>
      </c>
      <c r="K5637" s="0" t="s">
        <v>18879</v>
      </c>
      <c r="L5637" s="0" t="str">
        <f aca="false">HYPERLINK("https://www.ncbi.nlm.nih.gov/nuccore/CP000304.1?report=graph&amp;tracks=[key:gene_model_track,Options:GeneOnly]&amp;mk=1564479:1564498|offset_41|444444,1564425:1564444|offset_95|444444,1564396:1564415|offset_124|00cc00,1564372:1564391|offset_148|444444&amp;v=1564278:1564591&amp;c=444444", "offset 124")</f>
        <v>offset 124</v>
      </c>
    </row>
    <row r="5638" customFormat="false" ht="12.8" hidden="false" customHeight="false" outlineLevel="0" collapsed="false">
      <c r="A5638" s="0" t="s">
        <v>12</v>
      </c>
      <c r="B5638" s="0" t="n">
        <v>1564371</v>
      </c>
      <c r="C5638" s="0" t="n">
        <v>1564391</v>
      </c>
      <c r="D5638" s="0" t="s">
        <v>18870</v>
      </c>
      <c r="E5638" s="0" t="s">
        <v>89</v>
      </c>
      <c r="F5638" s="0" t="s">
        <v>90</v>
      </c>
      <c r="G5638" s="0" t="s">
        <v>36</v>
      </c>
      <c r="H5638" s="0" t="n">
        <v>148</v>
      </c>
      <c r="I5638" s="0" t="s">
        <v>18880</v>
      </c>
      <c r="J5638" s="0" t="s">
        <v>18881</v>
      </c>
      <c r="K5638" s="0" t="s">
        <v>18882</v>
      </c>
      <c r="L5638" s="0" t="str">
        <f aca="false">HYPERLINK("https://www.ncbi.nlm.nih.gov/nuccore/CP000304.1?report=graph&amp;tracks=[key:gene_model_track,Options:GeneOnly]&amp;mk=1564479:1564498|offset_41|444444,1564425:1564444|offset_95|444444,1564396:1564415|offset_124|444444,1564372:1564391|offset_148|00cc00&amp;v=1564278:1564591&amp;c=444444", "offset 148")</f>
        <v>offset 148</v>
      </c>
    </row>
    <row r="5639" customFormat="false" ht="12.8" hidden="false" customHeight="false" outlineLevel="0" collapsed="false">
      <c r="A5639" s="0" t="s">
        <v>12</v>
      </c>
      <c r="B5639" s="0" t="n">
        <v>1565046</v>
      </c>
      <c r="C5639" s="0" t="n">
        <v>1565066</v>
      </c>
      <c r="D5639" s="0" t="s">
        <v>18883</v>
      </c>
      <c r="E5639" s="0" t="s">
        <v>89</v>
      </c>
      <c r="F5639" s="0" t="s">
        <v>15</v>
      </c>
      <c r="G5639" s="0" t="s">
        <v>32</v>
      </c>
      <c r="H5639" s="0" t="n">
        <v>7</v>
      </c>
      <c r="I5639" s="0" t="s">
        <v>18884</v>
      </c>
      <c r="J5639" s="0" t="s">
        <v>18885</v>
      </c>
      <c r="K5639" s="0" t="s">
        <v>18886</v>
      </c>
      <c r="L5639" s="0" t="str">
        <f aca="false">HYPERLINK("https://www.ncbi.nlm.nih.gov/nuccore/CP000304.1?report=graph&amp;tracks=[key:gene_model_track,Options:GeneOnly]&amp;mk=1565047:1565066|offset_7|00cc00,1565068:1565087|offset_28|444444,1565089:1565108|offset_49|444444,1565122:1565141|offset_82|444444&amp;v=1564846:1565341&amp;c=444444", "offset 7")</f>
        <v>offset 7</v>
      </c>
    </row>
    <row r="5640" customFormat="false" ht="12.8" hidden="false" customHeight="false" outlineLevel="0" collapsed="false">
      <c r="A5640" s="0" t="s">
        <v>12</v>
      </c>
      <c r="B5640" s="0" t="n">
        <v>1565067</v>
      </c>
      <c r="C5640" s="0" t="n">
        <v>1565087</v>
      </c>
      <c r="D5640" s="0" t="s">
        <v>18883</v>
      </c>
      <c r="E5640" s="0" t="s">
        <v>89</v>
      </c>
      <c r="F5640" s="0" t="s">
        <v>15</v>
      </c>
      <c r="G5640" s="0" t="s">
        <v>36</v>
      </c>
      <c r="H5640" s="0" t="n">
        <v>28</v>
      </c>
      <c r="I5640" s="0" t="s">
        <v>18887</v>
      </c>
      <c r="J5640" s="0" t="s">
        <v>18888</v>
      </c>
      <c r="K5640" s="0" t="s">
        <v>18889</v>
      </c>
      <c r="L5640" s="0" t="str">
        <f aca="false">HYPERLINK("https://www.ncbi.nlm.nih.gov/nuccore/CP000304.1?report=graph&amp;tracks=[key:gene_model_track,Options:GeneOnly]&amp;mk=1565047:1565066|offset_7|444444,1565068:1565087|offset_28|00cc00,1565089:1565108|offset_49|444444,1565122:1565141|offset_82|444444&amp;v=1564846:1565341&amp;c=444444", "offset 28")</f>
        <v>offset 28</v>
      </c>
    </row>
    <row r="5641" customFormat="false" ht="12.8" hidden="false" customHeight="false" outlineLevel="0" collapsed="false">
      <c r="A5641" s="0" t="s">
        <v>12</v>
      </c>
      <c r="B5641" s="0" t="n">
        <v>1565088</v>
      </c>
      <c r="C5641" s="0" t="n">
        <v>1565108</v>
      </c>
      <c r="D5641" s="0" t="s">
        <v>18883</v>
      </c>
      <c r="E5641" s="0" t="s">
        <v>89</v>
      </c>
      <c r="F5641" s="0" t="s">
        <v>15</v>
      </c>
      <c r="G5641" s="0" t="s">
        <v>32</v>
      </c>
      <c r="H5641" s="0" t="n">
        <v>49</v>
      </c>
      <c r="I5641" s="0" t="s">
        <v>18890</v>
      </c>
      <c r="J5641" s="0" t="s">
        <v>18891</v>
      </c>
      <c r="K5641" s="0" t="s">
        <v>18892</v>
      </c>
      <c r="L5641" s="0" t="str">
        <f aca="false">HYPERLINK("https://www.ncbi.nlm.nih.gov/nuccore/CP000304.1?report=graph&amp;tracks=[key:gene_model_track,Options:GeneOnly]&amp;mk=1565047:1565066|offset_7|444444,1565068:1565087|offset_28|444444,1565089:1565108|offset_49|00cc00,1565122:1565141|offset_82|444444&amp;v=1564846:1565341&amp;c=444444", "offset 49")</f>
        <v>offset 49</v>
      </c>
    </row>
    <row r="5642" customFormat="false" ht="12.8" hidden="false" customHeight="false" outlineLevel="0" collapsed="false">
      <c r="A5642" s="0" t="s">
        <v>12</v>
      </c>
      <c r="B5642" s="0" t="n">
        <v>1565121</v>
      </c>
      <c r="C5642" s="0" t="n">
        <v>1565141</v>
      </c>
      <c r="D5642" s="0" t="s">
        <v>18883</v>
      </c>
      <c r="E5642" s="0" t="s">
        <v>89</v>
      </c>
      <c r="F5642" s="0" t="s">
        <v>15</v>
      </c>
      <c r="G5642" s="0" t="s">
        <v>16</v>
      </c>
      <c r="H5642" s="0" t="n">
        <v>82</v>
      </c>
      <c r="I5642" s="0" t="s">
        <v>18893</v>
      </c>
      <c r="J5642" s="0" t="s">
        <v>18894</v>
      </c>
      <c r="K5642" s="0" t="s">
        <v>18895</v>
      </c>
      <c r="L5642" s="0" t="str">
        <f aca="false">HYPERLINK("https://www.ncbi.nlm.nih.gov/nuccore/CP000304.1?report=graph&amp;tracks=[key:gene_model_track,Options:GeneOnly]&amp;mk=1565047:1565066|offset_7|444444,1565068:1565087|offset_28|444444,1565089:1565108|offset_49|444444,1565122:1565141|offset_82|00cc00&amp;v=1564846:1565341&amp;c=444444", "offset 82")</f>
        <v>offset 82</v>
      </c>
    </row>
    <row r="5643" customFormat="false" ht="12.8" hidden="false" customHeight="false" outlineLevel="0" collapsed="false">
      <c r="A5643" s="0" t="s">
        <v>12</v>
      </c>
      <c r="B5643" s="0" t="n">
        <v>1567342</v>
      </c>
      <c r="C5643" s="0" t="n">
        <v>1567362</v>
      </c>
      <c r="D5643" s="0" t="s">
        <v>18896</v>
      </c>
      <c r="E5643" s="0" t="s">
        <v>89</v>
      </c>
      <c r="F5643" s="0" t="s">
        <v>15</v>
      </c>
      <c r="G5643" s="0" t="s">
        <v>32</v>
      </c>
      <c r="H5643" s="0" t="n">
        <v>15</v>
      </c>
      <c r="I5643" s="0" t="s">
        <v>18897</v>
      </c>
      <c r="J5643" s="0" t="s">
        <v>18898</v>
      </c>
      <c r="K5643" s="0" t="s">
        <v>18899</v>
      </c>
      <c r="L5643" s="0" t="str">
        <f aca="false">HYPERLINK("https://www.ncbi.nlm.nih.gov/nuccore/CP000304.1?report=graph&amp;tracks=[key:gene_model_track,Options:GeneOnly]&amp;mk=1567343:1567362|offset_15|00cc00,1567374:1567393|offset_46|444444,1567398:1567417|offset_70|444444,1567418:1567437|offset_90|444444&amp;v=1567142:1567637&amp;c=444444", "offset 15")</f>
        <v>offset 15</v>
      </c>
    </row>
    <row r="5644" customFormat="false" ht="12.8" hidden="false" customHeight="false" outlineLevel="0" collapsed="false">
      <c r="A5644" s="0" t="s">
        <v>12</v>
      </c>
      <c r="B5644" s="0" t="n">
        <v>1567373</v>
      </c>
      <c r="C5644" s="0" t="n">
        <v>1567393</v>
      </c>
      <c r="D5644" s="0" t="s">
        <v>18896</v>
      </c>
      <c r="E5644" s="0" t="s">
        <v>89</v>
      </c>
      <c r="F5644" s="0" t="s">
        <v>15</v>
      </c>
      <c r="G5644" s="0" t="s">
        <v>32</v>
      </c>
      <c r="H5644" s="0" t="n">
        <v>46</v>
      </c>
      <c r="I5644" s="0" t="s">
        <v>18900</v>
      </c>
      <c r="J5644" s="0" t="s">
        <v>18901</v>
      </c>
      <c r="K5644" s="0" t="s">
        <v>18902</v>
      </c>
      <c r="L5644" s="0" t="str">
        <f aca="false">HYPERLINK("https://www.ncbi.nlm.nih.gov/nuccore/CP000304.1?report=graph&amp;tracks=[key:gene_model_track,Options:GeneOnly]&amp;mk=1567343:1567362|offset_15|444444,1567374:1567393|offset_46|00cc00,1567398:1567417|offset_70|444444,1567418:1567437|offset_90|444444&amp;v=1567142:1567637&amp;c=444444", "offset 46")</f>
        <v>offset 46</v>
      </c>
    </row>
    <row r="5645" customFormat="false" ht="12.8" hidden="false" customHeight="false" outlineLevel="0" collapsed="false">
      <c r="A5645" s="0" t="s">
        <v>12</v>
      </c>
      <c r="B5645" s="0" t="n">
        <v>1567397</v>
      </c>
      <c r="C5645" s="0" t="n">
        <v>1567417</v>
      </c>
      <c r="D5645" s="0" t="s">
        <v>18896</v>
      </c>
      <c r="E5645" s="0" t="s">
        <v>89</v>
      </c>
      <c r="F5645" s="0" t="s">
        <v>15</v>
      </c>
      <c r="G5645" s="0" t="s">
        <v>36</v>
      </c>
      <c r="H5645" s="0" t="n">
        <v>70</v>
      </c>
      <c r="I5645" s="0" t="s">
        <v>18903</v>
      </c>
      <c r="J5645" s="0" t="s">
        <v>18904</v>
      </c>
      <c r="K5645" s="0" t="s">
        <v>18905</v>
      </c>
      <c r="L5645" s="0" t="str">
        <f aca="false">HYPERLINK("https://www.ncbi.nlm.nih.gov/nuccore/CP000304.1?report=graph&amp;tracks=[key:gene_model_track,Options:GeneOnly]&amp;mk=1567343:1567362|offset_15|444444,1567374:1567393|offset_46|444444,1567398:1567417|offset_70|00cc00,1567418:1567437|offset_90|444444&amp;v=1567142:1567637&amp;c=444444", "offset 70")</f>
        <v>offset 70</v>
      </c>
    </row>
    <row r="5646" customFormat="false" ht="12.8" hidden="false" customHeight="false" outlineLevel="0" collapsed="false">
      <c r="A5646" s="0" t="s">
        <v>12</v>
      </c>
      <c r="B5646" s="0" t="n">
        <v>1567417</v>
      </c>
      <c r="C5646" s="0" t="n">
        <v>1567437</v>
      </c>
      <c r="D5646" s="0" t="s">
        <v>18896</v>
      </c>
      <c r="E5646" s="0" t="s">
        <v>89</v>
      </c>
      <c r="F5646" s="0" t="s">
        <v>15</v>
      </c>
      <c r="G5646" s="0" t="s">
        <v>16</v>
      </c>
      <c r="H5646" s="0" t="n">
        <v>90</v>
      </c>
      <c r="I5646" s="0" t="s">
        <v>18906</v>
      </c>
      <c r="J5646" s="0" t="s">
        <v>18907</v>
      </c>
      <c r="K5646" s="0" t="s">
        <v>18908</v>
      </c>
      <c r="L5646" s="0" t="str">
        <f aca="false">HYPERLINK("https://www.ncbi.nlm.nih.gov/nuccore/CP000304.1?report=graph&amp;tracks=[key:gene_model_track,Options:GeneOnly]&amp;mk=1567343:1567362|offset_15|444444,1567374:1567393|offset_46|444444,1567398:1567417|offset_70|444444,1567418:1567437|offset_90|00cc00&amp;v=1567142:1567637&amp;c=444444", "offset 90")</f>
        <v>offset 90</v>
      </c>
    </row>
    <row r="5647" customFormat="false" ht="12.8" hidden="false" customHeight="false" outlineLevel="0" collapsed="false">
      <c r="A5647" s="0" t="s">
        <v>12</v>
      </c>
      <c r="B5647" s="0" t="n">
        <v>1568351</v>
      </c>
      <c r="C5647" s="0" t="n">
        <v>1568371</v>
      </c>
      <c r="D5647" s="0" t="s">
        <v>18909</v>
      </c>
      <c r="E5647" s="0" t="s">
        <v>89</v>
      </c>
      <c r="F5647" s="0" t="s">
        <v>15</v>
      </c>
      <c r="G5647" s="0" t="s">
        <v>26</v>
      </c>
      <c r="H5647" s="0" t="n">
        <v>20</v>
      </c>
      <c r="I5647" s="0" t="s">
        <v>18910</v>
      </c>
      <c r="J5647" s="0" t="s">
        <v>18911</v>
      </c>
      <c r="K5647" s="0" t="s">
        <v>18912</v>
      </c>
      <c r="L5647" s="0" t="str">
        <f aca="false">HYPERLINK("https://www.ncbi.nlm.nih.gov/nuccore/CP000304.1?report=graph&amp;tracks=[key:gene_model_track,Options:GeneOnly]&amp;mk=1568352:1568371|offset_20|00cc00,1568382:1568401|offset_50|444444,1568409:1568428|offset_77|444444,1568437:1568456|offset_105|444444&amp;v=1568151:1568656&amp;c=444444", "offset 20")</f>
        <v>offset 20</v>
      </c>
    </row>
    <row r="5648" customFormat="false" ht="12.8" hidden="false" customHeight="false" outlineLevel="0" collapsed="false">
      <c r="A5648" s="0" t="s">
        <v>12</v>
      </c>
      <c r="B5648" s="0" t="n">
        <v>1568381</v>
      </c>
      <c r="C5648" s="0" t="n">
        <v>1568401</v>
      </c>
      <c r="D5648" s="0" t="s">
        <v>18909</v>
      </c>
      <c r="E5648" s="0" t="s">
        <v>89</v>
      </c>
      <c r="F5648" s="0" t="s">
        <v>15</v>
      </c>
      <c r="G5648" s="0" t="s">
        <v>36</v>
      </c>
      <c r="H5648" s="0" t="n">
        <v>50</v>
      </c>
      <c r="I5648" s="0" t="s">
        <v>18913</v>
      </c>
      <c r="J5648" s="0" t="s">
        <v>18914</v>
      </c>
      <c r="K5648" s="0" t="s">
        <v>18915</v>
      </c>
      <c r="L5648" s="0" t="str">
        <f aca="false">HYPERLINK("https://www.ncbi.nlm.nih.gov/nuccore/CP000304.1?report=graph&amp;tracks=[key:gene_model_track,Options:GeneOnly]&amp;mk=1568352:1568371|offset_20|444444,1568382:1568401|offset_50|00cc00,1568409:1568428|offset_77|444444,1568437:1568456|offset_105|444444&amp;v=1568151:1568656&amp;c=444444", "offset 50")</f>
        <v>offset 50</v>
      </c>
    </row>
    <row r="5649" customFormat="false" ht="12.8" hidden="false" customHeight="false" outlineLevel="0" collapsed="false">
      <c r="A5649" s="0" t="s">
        <v>12</v>
      </c>
      <c r="B5649" s="0" t="n">
        <v>1568408</v>
      </c>
      <c r="C5649" s="0" t="n">
        <v>1568428</v>
      </c>
      <c r="D5649" s="0" t="s">
        <v>18909</v>
      </c>
      <c r="E5649" s="0" t="s">
        <v>89</v>
      </c>
      <c r="F5649" s="0" t="s">
        <v>15</v>
      </c>
      <c r="G5649" s="0" t="s">
        <v>26</v>
      </c>
      <c r="H5649" s="0" t="n">
        <v>77</v>
      </c>
      <c r="I5649" s="0" t="s">
        <v>18916</v>
      </c>
      <c r="J5649" s="0" t="s">
        <v>18917</v>
      </c>
      <c r="K5649" s="0" t="s">
        <v>18918</v>
      </c>
      <c r="L5649" s="0" t="str">
        <f aca="false">HYPERLINK("https://www.ncbi.nlm.nih.gov/nuccore/CP000304.1?report=graph&amp;tracks=[key:gene_model_track,Options:GeneOnly]&amp;mk=1568352:1568371|offset_20|444444,1568382:1568401|offset_50|444444,1568409:1568428|offset_77|00cc00,1568437:1568456|offset_105|444444&amp;v=1568151:1568656&amp;c=444444", "offset 77")</f>
        <v>offset 77</v>
      </c>
    </row>
    <row r="5650" customFormat="false" ht="12.8" hidden="false" customHeight="false" outlineLevel="0" collapsed="false">
      <c r="A5650" s="0" t="s">
        <v>12</v>
      </c>
      <c r="B5650" s="0" t="n">
        <v>1568436</v>
      </c>
      <c r="C5650" s="0" t="n">
        <v>1568456</v>
      </c>
      <c r="D5650" s="0" t="s">
        <v>18909</v>
      </c>
      <c r="E5650" s="0" t="s">
        <v>89</v>
      </c>
      <c r="F5650" s="0" t="s">
        <v>15</v>
      </c>
      <c r="G5650" s="0" t="s">
        <v>16</v>
      </c>
      <c r="H5650" s="0" t="n">
        <v>105</v>
      </c>
      <c r="I5650" s="0" t="s">
        <v>18919</v>
      </c>
      <c r="J5650" s="0" t="s">
        <v>18920</v>
      </c>
      <c r="K5650" s="0" t="s">
        <v>18921</v>
      </c>
      <c r="L5650" s="0" t="str">
        <f aca="false">HYPERLINK("https://www.ncbi.nlm.nih.gov/nuccore/CP000304.1?report=graph&amp;tracks=[key:gene_model_track,Options:GeneOnly]&amp;mk=1568352:1568371|offset_20|444444,1568382:1568401|offset_50|444444,1568409:1568428|offset_77|444444,1568437:1568456|offset_105|00cc00&amp;v=1568151:1568656&amp;c=444444", "offset 105")</f>
        <v>offset 105</v>
      </c>
    </row>
    <row r="5651" customFormat="false" ht="12.8" hidden="false" customHeight="false" outlineLevel="0" collapsed="false">
      <c r="A5651" s="0" t="s">
        <v>12</v>
      </c>
      <c r="B5651" s="0" t="n">
        <v>1568800</v>
      </c>
      <c r="C5651" s="0" t="n">
        <v>1568820</v>
      </c>
      <c r="D5651" s="0" t="s">
        <v>18922</v>
      </c>
      <c r="E5651" s="0" t="s">
        <v>89</v>
      </c>
      <c r="F5651" s="0" t="s">
        <v>15</v>
      </c>
      <c r="G5651" s="0" t="s">
        <v>36</v>
      </c>
      <c r="H5651" s="0" t="n">
        <v>44</v>
      </c>
      <c r="I5651" s="0" t="s">
        <v>18923</v>
      </c>
      <c r="J5651" s="0" t="s">
        <v>18924</v>
      </c>
      <c r="K5651" s="0" t="s">
        <v>18925</v>
      </c>
      <c r="L5651" s="0" t="str">
        <f aca="false">HYPERLINK("https://www.ncbi.nlm.nih.gov/nuccore/CP000304.1?report=graph&amp;tracks=[key:gene_model_track,Options:GeneOnly]&amp;mk=1568801:1568820|offset_44|00cc00,1568839:1568858|offset_82|444444,1568883:1568902|offset_126|444444,1568917:1568936|offset_160|444444&amp;v=1568600:1569136&amp;c=444444", "offset 44")</f>
        <v>offset 44</v>
      </c>
    </row>
    <row r="5652" customFormat="false" ht="12.8" hidden="false" customHeight="false" outlineLevel="0" collapsed="false">
      <c r="A5652" s="0" t="s">
        <v>12</v>
      </c>
      <c r="B5652" s="0" t="n">
        <v>1568838</v>
      </c>
      <c r="C5652" s="0" t="n">
        <v>1568858</v>
      </c>
      <c r="D5652" s="0" t="s">
        <v>18922</v>
      </c>
      <c r="E5652" s="0" t="s">
        <v>89</v>
      </c>
      <c r="F5652" s="0" t="s">
        <v>15</v>
      </c>
      <c r="G5652" s="0" t="s">
        <v>16</v>
      </c>
      <c r="H5652" s="0" t="n">
        <v>82</v>
      </c>
      <c r="I5652" s="0" t="s">
        <v>18926</v>
      </c>
      <c r="J5652" s="0" t="s">
        <v>18927</v>
      </c>
      <c r="K5652" s="0" t="s">
        <v>18928</v>
      </c>
      <c r="L5652" s="0" t="str">
        <f aca="false">HYPERLINK("https://www.ncbi.nlm.nih.gov/nuccore/CP000304.1?report=graph&amp;tracks=[key:gene_model_track,Options:GeneOnly]&amp;mk=1568801:1568820|offset_44|444444,1568839:1568858|offset_82|00cc00,1568883:1568902|offset_126|444444,1568917:1568936|offset_160|444444&amp;v=1568600:1569136&amp;c=444444", "offset 82")</f>
        <v>offset 82</v>
      </c>
    </row>
    <row r="5653" customFormat="false" ht="12.8" hidden="false" customHeight="false" outlineLevel="0" collapsed="false">
      <c r="A5653" s="0" t="s">
        <v>12</v>
      </c>
      <c r="B5653" s="0" t="n">
        <v>1568882</v>
      </c>
      <c r="C5653" s="0" t="n">
        <v>1568902</v>
      </c>
      <c r="D5653" s="0" t="s">
        <v>18922</v>
      </c>
      <c r="E5653" s="0" t="s">
        <v>89</v>
      </c>
      <c r="F5653" s="0" t="s">
        <v>15</v>
      </c>
      <c r="G5653" s="0" t="s">
        <v>16</v>
      </c>
      <c r="H5653" s="0" t="n">
        <v>126</v>
      </c>
      <c r="I5653" s="0" t="s">
        <v>18929</v>
      </c>
      <c r="J5653" s="0" t="s">
        <v>18930</v>
      </c>
      <c r="K5653" s="0" t="s">
        <v>18931</v>
      </c>
      <c r="L5653" s="0" t="str">
        <f aca="false">HYPERLINK("https://www.ncbi.nlm.nih.gov/nuccore/CP000304.1?report=graph&amp;tracks=[key:gene_model_track,Options:GeneOnly]&amp;mk=1568801:1568820|offset_44|444444,1568839:1568858|offset_82|444444,1568883:1568902|offset_126|00cc00,1568917:1568936|offset_160|444444&amp;v=1568600:1569136&amp;c=444444", "offset 126")</f>
        <v>offset 126</v>
      </c>
    </row>
    <row r="5654" customFormat="false" ht="12.8" hidden="false" customHeight="false" outlineLevel="0" collapsed="false">
      <c r="A5654" s="0" t="s">
        <v>12</v>
      </c>
      <c r="B5654" s="0" t="n">
        <v>1568916</v>
      </c>
      <c r="C5654" s="0" t="n">
        <v>1568936</v>
      </c>
      <c r="D5654" s="0" t="s">
        <v>18922</v>
      </c>
      <c r="E5654" s="0" t="s">
        <v>89</v>
      </c>
      <c r="F5654" s="0" t="s">
        <v>15</v>
      </c>
      <c r="G5654" s="0" t="s">
        <v>32</v>
      </c>
      <c r="H5654" s="0" t="n">
        <v>160</v>
      </c>
      <c r="I5654" s="0" t="s">
        <v>18932</v>
      </c>
      <c r="J5654" s="0" t="s">
        <v>18933</v>
      </c>
      <c r="K5654" s="0" t="s">
        <v>18934</v>
      </c>
      <c r="L5654" s="0" t="str">
        <f aca="false">HYPERLINK("https://www.ncbi.nlm.nih.gov/nuccore/CP000304.1?report=graph&amp;tracks=[key:gene_model_track,Options:GeneOnly]&amp;mk=1568801:1568820|offset_44|444444,1568839:1568858|offset_82|444444,1568883:1568902|offset_126|444444,1568917:1568936|offset_160|00cc00&amp;v=1568600:1569136&amp;c=444444", "offset 160")</f>
        <v>offset 160</v>
      </c>
    </row>
    <row r="5655" customFormat="false" ht="12.8" hidden="false" customHeight="false" outlineLevel="0" collapsed="false">
      <c r="A5655" s="0" t="s">
        <v>12</v>
      </c>
      <c r="B5655" s="0" t="n">
        <v>1569772</v>
      </c>
      <c r="C5655" s="0" t="n">
        <v>1569792</v>
      </c>
      <c r="D5655" s="0" t="s">
        <v>18935</v>
      </c>
      <c r="E5655" s="0" t="s">
        <v>89</v>
      </c>
      <c r="F5655" s="0" t="s">
        <v>15</v>
      </c>
      <c r="G5655" s="0" t="s">
        <v>16</v>
      </c>
      <c r="H5655" s="0" t="n">
        <v>13</v>
      </c>
      <c r="I5655" s="0" t="s">
        <v>18936</v>
      </c>
      <c r="J5655" s="0" t="s">
        <v>18937</v>
      </c>
      <c r="K5655" s="0" t="s">
        <v>18938</v>
      </c>
      <c r="L5655" s="0" t="str">
        <f aca="false">HYPERLINK("https://www.ncbi.nlm.nih.gov/nuccore/CP000304.1?report=graph&amp;tracks=[key:gene_model_track,Options:GeneOnly]&amp;mk=1569773:1569792|offset_13|00cc00,1569837:1569856|offset_77|444444,1569863:1569882|offset_103|444444,1569903:1569922|offset_143|444444&amp;v=1569572:1570122&amp;c=444444", "offset 13")</f>
        <v>offset 13</v>
      </c>
    </row>
    <row r="5656" customFormat="false" ht="12.8" hidden="false" customHeight="false" outlineLevel="0" collapsed="false">
      <c r="A5656" s="0" t="s">
        <v>12</v>
      </c>
      <c r="B5656" s="0" t="n">
        <v>1569836</v>
      </c>
      <c r="C5656" s="0" t="n">
        <v>1569856</v>
      </c>
      <c r="D5656" s="0" t="s">
        <v>18935</v>
      </c>
      <c r="E5656" s="0" t="s">
        <v>89</v>
      </c>
      <c r="F5656" s="0" t="s">
        <v>15</v>
      </c>
      <c r="G5656" s="0" t="s">
        <v>26</v>
      </c>
      <c r="H5656" s="0" t="n">
        <v>77</v>
      </c>
      <c r="I5656" s="0" t="s">
        <v>18939</v>
      </c>
      <c r="J5656" s="0" t="s">
        <v>18940</v>
      </c>
      <c r="K5656" s="0" t="s">
        <v>18941</v>
      </c>
      <c r="L5656" s="0" t="str">
        <f aca="false">HYPERLINK("https://www.ncbi.nlm.nih.gov/nuccore/CP000304.1?report=graph&amp;tracks=[key:gene_model_track,Options:GeneOnly]&amp;mk=1569773:1569792|offset_13|444444,1569837:1569856|offset_77|00cc00,1569863:1569882|offset_103|444444,1569903:1569922|offset_143|444444&amp;v=1569572:1570122&amp;c=444444", "offset 77")</f>
        <v>offset 77</v>
      </c>
    </row>
    <row r="5657" customFormat="false" ht="12.8" hidden="false" customHeight="false" outlineLevel="0" collapsed="false">
      <c r="A5657" s="0" t="s">
        <v>12</v>
      </c>
      <c r="B5657" s="0" t="n">
        <v>1569862</v>
      </c>
      <c r="C5657" s="0" t="n">
        <v>1569882</v>
      </c>
      <c r="D5657" s="0" t="s">
        <v>18935</v>
      </c>
      <c r="E5657" s="0" t="s">
        <v>89</v>
      </c>
      <c r="F5657" s="0" t="s">
        <v>15</v>
      </c>
      <c r="G5657" s="0" t="s">
        <v>26</v>
      </c>
      <c r="H5657" s="0" t="n">
        <v>103</v>
      </c>
      <c r="I5657" s="0" t="s">
        <v>18942</v>
      </c>
      <c r="J5657" s="0" t="s">
        <v>18943</v>
      </c>
      <c r="K5657" s="0" t="s">
        <v>18944</v>
      </c>
      <c r="L5657" s="0" t="str">
        <f aca="false">HYPERLINK("https://www.ncbi.nlm.nih.gov/nuccore/CP000304.1?report=graph&amp;tracks=[key:gene_model_track,Options:GeneOnly]&amp;mk=1569773:1569792|offset_13|444444,1569837:1569856|offset_77|444444,1569863:1569882|offset_103|00cc00,1569903:1569922|offset_143|444444&amp;v=1569572:1570122&amp;c=444444", "offset 103")</f>
        <v>offset 103</v>
      </c>
    </row>
    <row r="5658" customFormat="false" ht="12.8" hidden="false" customHeight="false" outlineLevel="0" collapsed="false">
      <c r="A5658" s="0" t="s">
        <v>12</v>
      </c>
      <c r="B5658" s="0" t="n">
        <v>1569902</v>
      </c>
      <c r="C5658" s="0" t="n">
        <v>1569922</v>
      </c>
      <c r="D5658" s="0" t="s">
        <v>18935</v>
      </c>
      <c r="E5658" s="0" t="s">
        <v>89</v>
      </c>
      <c r="F5658" s="0" t="s">
        <v>15</v>
      </c>
      <c r="G5658" s="0" t="s">
        <v>16</v>
      </c>
      <c r="H5658" s="0" t="n">
        <v>143</v>
      </c>
      <c r="I5658" s="0" t="s">
        <v>18945</v>
      </c>
      <c r="J5658" s="0" t="s">
        <v>18946</v>
      </c>
      <c r="K5658" s="0" t="s">
        <v>18947</v>
      </c>
      <c r="L5658" s="0" t="str">
        <f aca="false">HYPERLINK("https://www.ncbi.nlm.nih.gov/nuccore/CP000304.1?report=graph&amp;tracks=[key:gene_model_track,Options:GeneOnly]&amp;mk=1569773:1569792|offset_13|444444,1569837:1569856|offset_77|444444,1569863:1569882|offset_103|444444,1569903:1569922|offset_143|00cc00&amp;v=1569572:1570122&amp;c=444444", "offset 143")</f>
        <v>offset 143</v>
      </c>
    </row>
    <row r="5659" customFormat="false" ht="12.8" hidden="false" customHeight="false" outlineLevel="0" collapsed="false">
      <c r="A5659" s="0" t="s">
        <v>12</v>
      </c>
      <c r="B5659" s="0" t="n">
        <v>1570131</v>
      </c>
      <c r="C5659" s="0" t="n">
        <v>1570151</v>
      </c>
      <c r="D5659" s="0" t="s">
        <v>18948</v>
      </c>
      <c r="E5659" s="0" t="s">
        <v>89</v>
      </c>
      <c r="F5659" s="0" t="s">
        <v>15</v>
      </c>
      <c r="G5659" s="0" t="s">
        <v>26</v>
      </c>
      <c r="H5659" s="0" t="n">
        <v>38</v>
      </c>
      <c r="I5659" s="0" t="s">
        <v>18949</v>
      </c>
      <c r="J5659" s="0" t="s">
        <v>18950</v>
      </c>
      <c r="K5659" s="0" t="s">
        <v>18951</v>
      </c>
      <c r="L5659" s="0" t="str">
        <f aca="false">HYPERLINK("https://www.ncbi.nlm.nih.gov/nuccore/CP000304.1?report=graph&amp;tracks=[key:gene_model_track,Options:GeneOnly]&amp;mk=1570132:1570151|offset_38|00cc00,1570171:1570190|offset_77|444444,1570203:1570222|offset_109|444444,1570230:1570249|offset_136|444444&amp;v=1569931:1570449&amp;c=444444", "offset 38")</f>
        <v>offset 38</v>
      </c>
    </row>
    <row r="5660" customFormat="false" ht="12.8" hidden="false" customHeight="false" outlineLevel="0" collapsed="false">
      <c r="A5660" s="0" t="s">
        <v>12</v>
      </c>
      <c r="B5660" s="0" t="n">
        <v>1570170</v>
      </c>
      <c r="C5660" s="0" t="n">
        <v>1570190</v>
      </c>
      <c r="D5660" s="0" t="s">
        <v>18948</v>
      </c>
      <c r="E5660" s="0" t="s">
        <v>89</v>
      </c>
      <c r="F5660" s="0" t="s">
        <v>15</v>
      </c>
      <c r="G5660" s="0" t="s">
        <v>16</v>
      </c>
      <c r="H5660" s="0" t="n">
        <v>77</v>
      </c>
      <c r="I5660" s="0" t="s">
        <v>18952</v>
      </c>
      <c r="J5660" s="0" t="s">
        <v>18953</v>
      </c>
      <c r="K5660" s="0" t="s">
        <v>18954</v>
      </c>
      <c r="L5660" s="0" t="str">
        <f aca="false">HYPERLINK("https://www.ncbi.nlm.nih.gov/nuccore/CP000304.1?report=graph&amp;tracks=[key:gene_model_track,Options:GeneOnly]&amp;mk=1570132:1570151|offset_38|444444,1570171:1570190|offset_77|00cc00,1570203:1570222|offset_109|444444,1570230:1570249|offset_136|444444&amp;v=1569931:1570449&amp;c=444444", "offset 77")</f>
        <v>offset 77</v>
      </c>
    </row>
    <row r="5661" customFormat="false" ht="12.8" hidden="false" customHeight="false" outlineLevel="0" collapsed="false">
      <c r="A5661" s="0" t="s">
        <v>12</v>
      </c>
      <c r="B5661" s="0" t="n">
        <v>1570202</v>
      </c>
      <c r="C5661" s="0" t="n">
        <v>1570222</v>
      </c>
      <c r="D5661" s="0" t="s">
        <v>18948</v>
      </c>
      <c r="E5661" s="0" t="s">
        <v>89</v>
      </c>
      <c r="F5661" s="0" t="s">
        <v>15</v>
      </c>
      <c r="G5661" s="0" t="s">
        <v>26</v>
      </c>
      <c r="H5661" s="0" t="n">
        <v>109</v>
      </c>
      <c r="I5661" s="0" t="s">
        <v>18955</v>
      </c>
      <c r="J5661" s="0" t="s">
        <v>18956</v>
      </c>
      <c r="K5661" s="0" t="s">
        <v>18957</v>
      </c>
      <c r="L5661" s="0" t="str">
        <f aca="false">HYPERLINK("https://www.ncbi.nlm.nih.gov/nuccore/CP000304.1?report=graph&amp;tracks=[key:gene_model_track,Options:GeneOnly]&amp;mk=1570132:1570151|offset_38|444444,1570171:1570190|offset_77|444444,1570203:1570222|offset_109|00cc00,1570230:1570249|offset_136|444444&amp;v=1569931:1570449&amp;c=444444", "offset 109")</f>
        <v>offset 109</v>
      </c>
    </row>
    <row r="5662" customFormat="false" ht="12.8" hidden="false" customHeight="false" outlineLevel="0" collapsed="false">
      <c r="A5662" s="0" t="s">
        <v>12</v>
      </c>
      <c r="B5662" s="0" t="n">
        <v>1570229</v>
      </c>
      <c r="C5662" s="0" t="n">
        <v>1570249</v>
      </c>
      <c r="D5662" s="0" t="s">
        <v>18948</v>
      </c>
      <c r="E5662" s="0" t="s">
        <v>89</v>
      </c>
      <c r="F5662" s="0" t="s">
        <v>15</v>
      </c>
      <c r="G5662" s="0" t="s">
        <v>26</v>
      </c>
      <c r="H5662" s="0" t="n">
        <v>136</v>
      </c>
      <c r="I5662" s="0" t="s">
        <v>18958</v>
      </c>
      <c r="J5662" s="0" t="s">
        <v>18959</v>
      </c>
      <c r="K5662" s="0" t="s">
        <v>18960</v>
      </c>
      <c r="L5662" s="0" t="str">
        <f aca="false">HYPERLINK("https://www.ncbi.nlm.nih.gov/nuccore/CP000304.1?report=graph&amp;tracks=[key:gene_model_track,Options:GeneOnly]&amp;mk=1570132:1570151|offset_38|444444,1570171:1570190|offset_77|444444,1570203:1570222|offset_109|444444,1570230:1570249|offset_136|00cc00&amp;v=1569931:1570449&amp;c=444444", "offset 136")</f>
        <v>offset 136</v>
      </c>
    </row>
    <row r="5663" customFormat="false" ht="12.8" hidden="false" customHeight="false" outlineLevel="0" collapsed="false">
      <c r="A5663" s="0" t="s">
        <v>12</v>
      </c>
      <c r="B5663" s="0" t="n">
        <v>1570397</v>
      </c>
      <c r="C5663" s="0" t="n">
        <v>1570417</v>
      </c>
      <c r="D5663" s="0" t="s">
        <v>18961</v>
      </c>
      <c r="E5663" s="0" t="s">
        <v>89</v>
      </c>
      <c r="F5663" s="0" t="s">
        <v>15</v>
      </c>
      <c r="G5663" s="0" t="s">
        <v>16</v>
      </c>
      <c r="H5663" s="0" t="n">
        <v>12</v>
      </c>
      <c r="I5663" s="0" t="s">
        <v>18962</v>
      </c>
      <c r="J5663" s="0" t="s">
        <v>18963</v>
      </c>
      <c r="K5663" s="0" t="s">
        <v>18964</v>
      </c>
      <c r="L5663" s="0" t="str">
        <f aca="false">HYPERLINK("https://www.ncbi.nlm.nih.gov/nuccore/CP000304.1?report=graph&amp;tracks=[key:gene_model_track,Options:GeneOnly]&amp;mk=1570398:1570417|offset_12|00cc00,1570444:1570463|offset_58|444444,1570469:1570488|offset_83|444444,1570503:1570522|offset_117|444444&amp;v=1570197:1570722&amp;c=444444", "offset 12")</f>
        <v>offset 12</v>
      </c>
    </row>
    <row r="5664" customFormat="false" ht="12.8" hidden="false" customHeight="false" outlineLevel="0" collapsed="false">
      <c r="A5664" s="0" t="s">
        <v>12</v>
      </c>
      <c r="B5664" s="0" t="n">
        <v>1570443</v>
      </c>
      <c r="C5664" s="0" t="n">
        <v>1570463</v>
      </c>
      <c r="D5664" s="0" t="s">
        <v>18961</v>
      </c>
      <c r="E5664" s="0" t="s">
        <v>89</v>
      </c>
      <c r="F5664" s="0" t="s">
        <v>15</v>
      </c>
      <c r="G5664" s="0" t="s">
        <v>32</v>
      </c>
      <c r="H5664" s="0" t="n">
        <v>58</v>
      </c>
      <c r="I5664" s="0" t="s">
        <v>18965</v>
      </c>
      <c r="J5664" s="0" t="s">
        <v>18966</v>
      </c>
      <c r="K5664" s="0" t="s">
        <v>18967</v>
      </c>
      <c r="L5664" s="0" t="str">
        <f aca="false">HYPERLINK("https://www.ncbi.nlm.nih.gov/nuccore/CP000304.1?report=graph&amp;tracks=[key:gene_model_track,Options:GeneOnly]&amp;mk=1570398:1570417|offset_12|444444,1570444:1570463|offset_58|00cc00,1570469:1570488|offset_83|444444,1570503:1570522|offset_117|444444&amp;v=1570197:1570722&amp;c=444444", "offset 58")</f>
        <v>offset 58</v>
      </c>
    </row>
    <row r="5665" customFormat="false" ht="12.8" hidden="false" customHeight="false" outlineLevel="0" collapsed="false">
      <c r="A5665" s="0" t="s">
        <v>12</v>
      </c>
      <c r="B5665" s="0" t="n">
        <v>1570468</v>
      </c>
      <c r="C5665" s="0" t="n">
        <v>1570488</v>
      </c>
      <c r="D5665" s="0" t="s">
        <v>18961</v>
      </c>
      <c r="E5665" s="0" t="s">
        <v>89</v>
      </c>
      <c r="F5665" s="0" t="s">
        <v>15</v>
      </c>
      <c r="G5665" s="0" t="s">
        <v>26</v>
      </c>
      <c r="H5665" s="0" t="n">
        <v>83</v>
      </c>
      <c r="I5665" s="0" t="s">
        <v>18968</v>
      </c>
      <c r="J5665" s="0" t="s">
        <v>18969</v>
      </c>
      <c r="K5665" s="0" t="s">
        <v>18970</v>
      </c>
      <c r="L5665" s="0" t="str">
        <f aca="false">HYPERLINK("https://www.ncbi.nlm.nih.gov/nuccore/CP000304.1?report=graph&amp;tracks=[key:gene_model_track,Options:GeneOnly]&amp;mk=1570398:1570417|offset_12|444444,1570444:1570463|offset_58|444444,1570469:1570488|offset_83|00cc00,1570503:1570522|offset_117|444444&amp;v=1570197:1570722&amp;c=444444", "offset 83")</f>
        <v>offset 83</v>
      </c>
    </row>
    <row r="5666" customFormat="false" ht="12.8" hidden="false" customHeight="false" outlineLevel="0" collapsed="false">
      <c r="A5666" s="0" t="s">
        <v>12</v>
      </c>
      <c r="B5666" s="0" t="n">
        <v>1570502</v>
      </c>
      <c r="C5666" s="0" t="n">
        <v>1570522</v>
      </c>
      <c r="D5666" s="0" t="s">
        <v>18961</v>
      </c>
      <c r="E5666" s="0" t="s">
        <v>89</v>
      </c>
      <c r="F5666" s="0" t="s">
        <v>15</v>
      </c>
      <c r="G5666" s="0" t="s">
        <v>36</v>
      </c>
      <c r="H5666" s="0" t="n">
        <v>117</v>
      </c>
      <c r="I5666" s="0" t="s">
        <v>18971</v>
      </c>
      <c r="J5666" s="0" t="s">
        <v>18972</v>
      </c>
      <c r="K5666" s="0" t="s">
        <v>18973</v>
      </c>
      <c r="L5666" s="0" t="str">
        <f aca="false">HYPERLINK("https://www.ncbi.nlm.nih.gov/nuccore/CP000304.1?report=graph&amp;tracks=[key:gene_model_track,Options:GeneOnly]&amp;mk=1570398:1570417|offset_12|444444,1570444:1570463|offset_58|444444,1570469:1570488|offset_83|444444,1570503:1570522|offset_117|00cc00&amp;v=1570197:1570722&amp;c=444444", "offset 117")</f>
        <v>offset 117</v>
      </c>
    </row>
    <row r="5667" customFormat="false" ht="12.8" hidden="false" customHeight="false" outlineLevel="0" collapsed="false">
      <c r="A5667" s="0" t="s">
        <v>12</v>
      </c>
      <c r="B5667" s="0" t="n">
        <v>1571203</v>
      </c>
      <c r="C5667" s="0" t="n">
        <v>1571223</v>
      </c>
      <c r="D5667" s="0" t="s">
        <v>18974</v>
      </c>
      <c r="E5667" s="0" t="s">
        <v>18975</v>
      </c>
      <c r="F5667" s="0" t="s">
        <v>15</v>
      </c>
      <c r="G5667" s="0" t="s">
        <v>26</v>
      </c>
      <c r="H5667" s="0" t="n">
        <v>7</v>
      </c>
      <c r="I5667" s="0" t="s">
        <v>18976</v>
      </c>
      <c r="J5667" s="0" t="s">
        <v>18977</v>
      </c>
      <c r="K5667" s="0" t="s">
        <v>18978</v>
      </c>
      <c r="L5667" s="0" t="str">
        <f aca="false">HYPERLINK("https://www.ncbi.nlm.nih.gov/nuccore/CP000304.1?report=graph&amp;tracks=[key:gene_model_track,Options:GeneOnly]&amp;mk=1571204:1571223|offset_7|00cc00,1571239:1571258|offset_42|444444,1571269:1571288|offset_72|444444,1571307:1571326|offset_110|444444&amp;v=1571003:1571526&amp;c=444444", "offset 7")</f>
        <v>offset 7</v>
      </c>
    </row>
    <row r="5668" customFormat="false" ht="12.8" hidden="false" customHeight="false" outlineLevel="0" collapsed="false">
      <c r="A5668" s="0" t="s">
        <v>12</v>
      </c>
      <c r="B5668" s="0" t="n">
        <v>1571238</v>
      </c>
      <c r="C5668" s="0" t="n">
        <v>1571258</v>
      </c>
      <c r="D5668" s="0" t="s">
        <v>18974</v>
      </c>
      <c r="E5668" s="0" t="s">
        <v>18975</v>
      </c>
      <c r="F5668" s="0" t="s">
        <v>15</v>
      </c>
      <c r="G5668" s="0" t="s">
        <v>26</v>
      </c>
      <c r="H5668" s="0" t="n">
        <v>42</v>
      </c>
      <c r="I5668" s="0" t="s">
        <v>18979</v>
      </c>
      <c r="J5668" s="0" t="s">
        <v>18980</v>
      </c>
      <c r="K5668" s="0" t="s">
        <v>18981</v>
      </c>
      <c r="L5668" s="0" t="str">
        <f aca="false">HYPERLINK("https://www.ncbi.nlm.nih.gov/nuccore/CP000304.1?report=graph&amp;tracks=[key:gene_model_track,Options:GeneOnly]&amp;mk=1571204:1571223|offset_7|444444,1571239:1571258|offset_42|00cc00,1571269:1571288|offset_72|444444,1571307:1571326|offset_110|444444&amp;v=1571003:1571526&amp;c=444444", "offset 42")</f>
        <v>offset 42</v>
      </c>
    </row>
    <row r="5669" customFormat="false" ht="12.8" hidden="false" customHeight="false" outlineLevel="0" collapsed="false">
      <c r="A5669" s="0" t="s">
        <v>12</v>
      </c>
      <c r="B5669" s="0" t="n">
        <v>1571268</v>
      </c>
      <c r="C5669" s="0" t="n">
        <v>1571288</v>
      </c>
      <c r="D5669" s="0" t="s">
        <v>18974</v>
      </c>
      <c r="E5669" s="0" t="s">
        <v>18975</v>
      </c>
      <c r="F5669" s="0" t="s">
        <v>15</v>
      </c>
      <c r="G5669" s="0" t="s">
        <v>36</v>
      </c>
      <c r="H5669" s="0" t="n">
        <v>72</v>
      </c>
      <c r="I5669" s="0" t="s">
        <v>18982</v>
      </c>
      <c r="J5669" s="0" t="s">
        <v>18983</v>
      </c>
      <c r="K5669" s="0" t="s">
        <v>18984</v>
      </c>
      <c r="L5669" s="0" t="str">
        <f aca="false">HYPERLINK("https://www.ncbi.nlm.nih.gov/nuccore/CP000304.1?report=graph&amp;tracks=[key:gene_model_track,Options:GeneOnly]&amp;mk=1571204:1571223|offset_7|444444,1571239:1571258|offset_42|444444,1571269:1571288|offset_72|00cc00,1571307:1571326|offset_110|444444&amp;v=1571003:1571526&amp;c=444444", "offset 72")</f>
        <v>offset 72</v>
      </c>
    </row>
    <row r="5670" customFormat="false" ht="12.8" hidden="false" customHeight="false" outlineLevel="0" collapsed="false">
      <c r="A5670" s="0" t="s">
        <v>12</v>
      </c>
      <c r="B5670" s="0" t="n">
        <v>1571306</v>
      </c>
      <c r="C5670" s="0" t="n">
        <v>1571326</v>
      </c>
      <c r="D5670" s="0" t="s">
        <v>18974</v>
      </c>
      <c r="E5670" s="0" t="s">
        <v>18975</v>
      </c>
      <c r="F5670" s="0" t="s">
        <v>15</v>
      </c>
      <c r="G5670" s="0" t="s">
        <v>16</v>
      </c>
      <c r="H5670" s="0" t="n">
        <v>110</v>
      </c>
      <c r="I5670" s="0" t="s">
        <v>18985</v>
      </c>
      <c r="J5670" s="0" t="s">
        <v>18986</v>
      </c>
      <c r="K5670" s="0" t="s">
        <v>18987</v>
      </c>
      <c r="L5670" s="0" t="str">
        <f aca="false">HYPERLINK("https://www.ncbi.nlm.nih.gov/nuccore/CP000304.1?report=graph&amp;tracks=[key:gene_model_track,Options:GeneOnly]&amp;mk=1571204:1571223|offset_7|444444,1571239:1571258|offset_42|444444,1571269:1571288|offset_72|444444,1571307:1571326|offset_110|00cc00&amp;v=1571003:1571526&amp;c=444444", "offset 110")</f>
        <v>offset 110</v>
      </c>
    </row>
    <row r="5671" customFormat="false" ht="12.8" hidden="false" customHeight="false" outlineLevel="0" collapsed="false">
      <c r="A5671" s="0" t="s">
        <v>12</v>
      </c>
      <c r="B5671" s="0" t="n">
        <v>1573769</v>
      </c>
      <c r="C5671" s="0" t="n">
        <v>1573789</v>
      </c>
      <c r="D5671" s="0" t="s">
        <v>18988</v>
      </c>
      <c r="E5671" s="0" t="s">
        <v>89</v>
      </c>
      <c r="F5671" s="0" t="s">
        <v>15</v>
      </c>
      <c r="G5671" s="0" t="s">
        <v>36</v>
      </c>
      <c r="H5671" s="0" t="n">
        <v>27</v>
      </c>
      <c r="I5671" s="0" t="s">
        <v>18989</v>
      </c>
      <c r="J5671" s="0" t="s">
        <v>18990</v>
      </c>
      <c r="K5671" s="0" t="s">
        <v>18991</v>
      </c>
      <c r="L5671" s="0" t="str">
        <f aca="false">HYPERLINK("https://www.ncbi.nlm.nih.gov/nuccore/CP000304.1?report=graph&amp;tracks=[key:gene_model_track,Options:GeneOnly]&amp;mk=1573770:1573789|offset_27|00cc00,1573798:1573817|offset_55|444444,1573823:1573842|offset_80|444444,1573845:1573864|offset_102|444444&amp;v=1573569:1574064&amp;c=444444", "offset 27")</f>
        <v>offset 27</v>
      </c>
    </row>
    <row r="5672" customFormat="false" ht="12.8" hidden="false" customHeight="false" outlineLevel="0" collapsed="false">
      <c r="A5672" s="0" t="s">
        <v>12</v>
      </c>
      <c r="B5672" s="0" t="n">
        <v>1573797</v>
      </c>
      <c r="C5672" s="0" t="n">
        <v>1573817</v>
      </c>
      <c r="D5672" s="0" t="s">
        <v>18988</v>
      </c>
      <c r="E5672" s="0" t="s">
        <v>89</v>
      </c>
      <c r="F5672" s="0" t="s">
        <v>15</v>
      </c>
      <c r="G5672" s="0" t="s">
        <v>36</v>
      </c>
      <c r="H5672" s="0" t="n">
        <v>55</v>
      </c>
      <c r="I5672" s="0" t="s">
        <v>18992</v>
      </c>
      <c r="J5672" s="0" t="s">
        <v>18993</v>
      </c>
      <c r="K5672" s="0" t="s">
        <v>18994</v>
      </c>
      <c r="L5672" s="0" t="str">
        <f aca="false">HYPERLINK("https://www.ncbi.nlm.nih.gov/nuccore/CP000304.1?report=graph&amp;tracks=[key:gene_model_track,Options:GeneOnly]&amp;mk=1573770:1573789|offset_27|444444,1573798:1573817|offset_55|00cc00,1573823:1573842|offset_80|444444,1573845:1573864|offset_102|444444&amp;v=1573569:1574064&amp;c=444444", "offset 55")</f>
        <v>offset 55</v>
      </c>
    </row>
    <row r="5673" customFormat="false" ht="12.8" hidden="false" customHeight="false" outlineLevel="0" collapsed="false">
      <c r="A5673" s="0" t="s">
        <v>12</v>
      </c>
      <c r="B5673" s="0" t="n">
        <v>1573822</v>
      </c>
      <c r="C5673" s="0" t="n">
        <v>1573842</v>
      </c>
      <c r="D5673" s="0" t="s">
        <v>18988</v>
      </c>
      <c r="E5673" s="0" t="s">
        <v>89</v>
      </c>
      <c r="F5673" s="0" t="s">
        <v>15</v>
      </c>
      <c r="G5673" s="0" t="s">
        <v>16</v>
      </c>
      <c r="H5673" s="0" t="n">
        <v>80</v>
      </c>
      <c r="I5673" s="0" t="s">
        <v>18995</v>
      </c>
      <c r="J5673" s="0" t="s">
        <v>18996</v>
      </c>
      <c r="K5673" s="0" t="s">
        <v>18997</v>
      </c>
      <c r="L5673" s="0" t="str">
        <f aca="false">HYPERLINK("https://www.ncbi.nlm.nih.gov/nuccore/CP000304.1?report=graph&amp;tracks=[key:gene_model_track,Options:GeneOnly]&amp;mk=1573770:1573789|offset_27|444444,1573798:1573817|offset_55|444444,1573823:1573842|offset_80|00cc00,1573845:1573864|offset_102|444444&amp;v=1573569:1574064&amp;c=444444", "offset 80")</f>
        <v>offset 80</v>
      </c>
    </row>
    <row r="5674" customFormat="false" ht="12.8" hidden="false" customHeight="false" outlineLevel="0" collapsed="false">
      <c r="A5674" s="0" t="s">
        <v>12</v>
      </c>
      <c r="B5674" s="0" t="n">
        <v>1573844</v>
      </c>
      <c r="C5674" s="0" t="n">
        <v>1573864</v>
      </c>
      <c r="D5674" s="0" t="s">
        <v>18988</v>
      </c>
      <c r="E5674" s="0" t="s">
        <v>89</v>
      </c>
      <c r="F5674" s="0" t="s">
        <v>15</v>
      </c>
      <c r="G5674" s="0" t="s">
        <v>32</v>
      </c>
      <c r="H5674" s="0" t="n">
        <v>102</v>
      </c>
      <c r="I5674" s="0" t="s">
        <v>18998</v>
      </c>
      <c r="J5674" s="0" t="s">
        <v>18999</v>
      </c>
      <c r="K5674" s="0" t="s">
        <v>19000</v>
      </c>
      <c r="L5674" s="0" t="str">
        <f aca="false">HYPERLINK("https://www.ncbi.nlm.nih.gov/nuccore/CP000304.1?report=graph&amp;tracks=[key:gene_model_track,Options:GeneOnly]&amp;mk=1573770:1573789|offset_27|444444,1573798:1573817|offset_55|444444,1573823:1573842|offset_80|444444,1573845:1573864|offset_102|00cc00&amp;v=1573569:1574064&amp;c=444444", "offset 102")</f>
        <v>offset 102</v>
      </c>
    </row>
    <row r="5675" customFormat="false" ht="12.8" hidden="false" customHeight="false" outlineLevel="0" collapsed="false">
      <c r="A5675" s="0" t="s">
        <v>12</v>
      </c>
      <c r="B5675" s="0" t="n">
        <v>1575210</v>
      </c>
      <c r="C5675" s="0" t="n">
        <v>1575230</v>
      </c>
      <c r="D5675" s="0" t="s">
        <v>19001</v>
      </c>
      <c r="E5675" s="0" t="s">
        <v>89</v>
      </c>
      <c r="F5675" s="0" t="s">
        <v>15</v>
      </c>
      <c r="G5675" s="0" t="s">
        <v>16</v>
      </c>
      <c r="H5675" s="0" t="n">
        <v>17</v>
      </c>
      <c r="I5675" s="0" t="s">
        <v>19002</v>
      </c>
      <c r="J5675" s="0" t="s">
        <v>19003</v>
      </c>
      <c r="K5675" s="0" t="s">
        <v>19004</v>
      </c>
      <c r="L5675" s="0" t="str">
        <f aca="false">HYPERLINK("https://www.ncbi.nlm.nih.gov/nuccore/CP000304.1?report=graph&amp;tracks=[key:gene_model_track,Options:GeneOnly]&amp;mk=1575211:1575230|offset_17|00cc00,1575235:1575254|offset_41|444444,1575259:1575278|offset_65|444444,1575307:1575326|offset_113|444444&amp;v=1575010:1575526&amp;c=444444", "offset 17")</f>
        <v>offset 17</v>
      </c>
    </row>
    <row r="5676" customFormat="false" ht="12.8" hidden="false" customHeight="false" outlineLevel="0" collapsed="false">
      <c r="A5676" s="0" t="s">
        <v>12</v>
      </c>
      <c r="B5676" s="0" t="n">
        <v>1575234</v>
      </c>
      <c r="C5676" s="0" t="n">
        <v>1575254</v>
      </c>
      <c r="D5676" s="0" t="s">
        <v>19001</v>
      </c>
      <c r="E5676" s="0" t="s">
        <v>89</v>
      </c>
      <c r="F5676" s="0" t="s">
        <v>15</v>
      </c>
      <c r="G5676" s="0" t="s">
        <v>16</v>
      </c>
      <c r="H5676" s="0" t="n">
        <v>41</v>
      </c>
      <c r="I5676" s="0" t="s">
        <v>19005</v>
      </c>
      <c r="J5676" s="0" t="s">
        <v>19006</v>
      </c>
      <c r="K5676" s="0" t="s">
        <v>19007</v>
      </c>
      <c r="L5676" s="0" t="str">
        <f aca="false">HYPERLINK("https://www.ncbi.nlm.nih.gov/nuccore/CP000304.1?report=graph&amp;tracks=[key:gene_model_track,Options:GeneOnly]&amp;mk=1575211:1575230|offset_17|444444,1575235:1575254|offset_41|00cc00,1575259:1575278|offset_65|444444,1575307:1575326|offset_113|444444&amp;v=1575010:1575526&amp;c=444444", "offset 41")</f>
        <v>offset 41</v>
      </c>
    </row>
    <row r="5677" customFormat="false" ht="12.8" hidden="false" customHeight="false" outlineLevel="0" collapsed="false">
      <c r="A5677" s="0" t="s">
        <v>12</v>
      </c>
      <c r="B5677" s="0" t="n">
        <v>1575258</v>
      </c>
      <c r="C5677" s="0" t="n">
        <v>1575278</v>
      </c>
      <c r="D5677" s="0" t="s">
        <v>19001</v>
      </c>
      <c r="E5677" s="0" t="s">
        <v>89</v>
      </c>
      <c r="F5677" s="0" t="s">
        <v>15</v>
      </c>
      <c r="G5677" s="0" t="s">
        <v>36</v>
      </c>
      <c r="H5677" s="0" t="n">
        <v>65</v>
      </c>
      <c r="I5677" s="0" t="s">
        <v>19008</v>
      </c>
      <c r="J5677" s="0" t="s">
        <v>19009</v>
      </c>
      <c r="K5677" s="0" t="s">
        <v>19010</v>
      </c>
      <c r="L5677" s="0" t="str">
        <f aca="false">HYPERLINK("https://www.ncbi.nlm.nih.gov/nuccore/CP000304.1?report=graph&amp;tracks=[key:gene_model_track,Options:GeneOnly]&amp;mk=1575211:1575230|offset_17|444444,1575235:1575254|offset_41|444444,1575259:1575278|offset_65|00cc00,1575307:1575326|offset_113|444444&amp;v=1575010:1575526&amp;c=444444", "offset 65")</f>
        <v>offset 65</v>
      </c>
    </row>
    <row r="5678" customFormat="false" ht="12.8" hidden="false" customHeight="false" outlineLevel="0" collapsed="false">
      <c r="A5678" s="0" t="s">
        <v>12</v>
      </c>
      <c r="B5678" s="0" t="n">
        <v>1575306</v>
      </c>
      <c r="C5678" s="0" t="n">
        <v>1575326</v>
      </c>
      <c r="D5678" s="0" t="s">
        <v>19001</v>
      </c>
      <c r="E5678" s="0" t="s">
        <v>89</v>
      </c>
      <c r="F5678" s="0" t="s">
        <v>15</v>
      </c>
      <c r="G5678" s="0" t="s">
        <v>26</v>
      </c>
      <c r="H5678" s="0" t="n">
        <v>113</v>
      </c>
      <c r="I5678" s="0" t="s">
        <v>19011</v>
      </c>
      <c r="J5678" s="0" t="s">
        <v>19012</v>
      </c>
      <c r="K5678" s="0" t="s">
        <v>19013</v>
      </c>
      <c r="L5678" s="0" t="str">
        <f aca="false">HYPERLINK("https://www.ncbi.nlm.nih.gov/nuccore/CP000304.1?report=graph&amp;tracks=[key:gene_model_track,Options:GeneOnly]&amp;mk=1575211:1575230|offset_17|444444,1575235:1575254|offset_41|444444,1575259:1575278|offset_65|444444,1575307:1575326|offset_113|00cc00&amp;v=1575010:1575526&amp;c=444444", "offset 113")</f>
        <v>offset 113</v>
      </c>
    </row>
    <row r="5679" customFormat="false" ht="12.8" hidden="false" customHeight="false" outlineLevel="0" collapsed="false">
      <c r="A5679" s="0" t="s">
        <v>12</v>
      </c>
      <c r="B5679" s="0" t="n">
        <v>1576543</v>
      </c>
      <c r="C5679" s="0" t="n">
        <v>1576563</v>
      </c>
      <c r="D5679" s="0" t="s">
        <v>19014</v>
      </c>
      <c r="E5679" s="0" t="s">
        <v>89</v>
      </c>
      <c r="F5679" s="0" t="s">
        <v>15</v>
      </c>
      <c r="G5679" s="0" t="s">
        <v>32</v>
      </c>
      <c r="H5679" s="0" t="n">
        <v>31</v>
      </c>
      <c r="I5679" s="0" t="s">
        <v>19015</v>
      </c>
      <c r="J5679" s="0" t="s">
        <v>19016</v>
      </c>
      <c r="K5679" s="0" t="s">
        <v>19017</v>
      </c>
      <c r="L5679" s="0" t="str">
        <f aca="false">HYPERLINK("https://www.ncbi.nlm.nih.gov/nuccore/CP000304.1?report=graph&amp;tracks=[key:gene_model_track,Options:GeneOnly]&amp;mk=1576544:1576563|offset_31|00cc00,1576607:1576626|offset_94|444444,1576631:1576650|offset_118|444444,1576664:1576683|offset_151|444444&amp;v=1576343:1576883&amp;c=444444", "offset 31")</f>
        <v>offset 31</v>
      </c>
    </row>
    <row r="5680" customFormat="false" ht="12.8" hidden="false" customHeight="false" outlineLevel="0" collapsed="false">
      <c r="A5680" s="0" t="s">
        <v>12</v>
      </c>
      <c r="B5680" s="0" t="n">
        <v>1576606</v>
      </c>
      <c r="C5680" s="0" t="n">
        <v>1576626</v>
      </c>
      <c r="D5680" s="0" t="s">
        <v>19014</v>
      </c>
      <c r="E5680" s="0" t="s">
        <v>89</v>
      </c>
      <c r="F5680" s="0" t="s">
        <v>15</v>
      </c>
      <c r="G5680" s="0" t="s">
        <v>16</v>
      </c>
      <c r="H5680" s="0" t="n">
        <v>94</v>
      </c>
      <c r="I5680" s="0" t="s">
        <v>19018</v>
      </c>
      <c r="J5680" s="0" t="s">
        <v>19019</v>
      </c>
      <c r="K5680" s="0" t="s">
        <v>19020</v>
      </c>
      <c r="L5680" s="0" t="str">
        <f aca="false">HYPERLINK("https://www.ncbi.nlm.nih.gov/nuccore/CP000304.1?report=graph&amp;tracks=[key:gene_model_track,Options:GeneOnly]&amp;mk=1576544:1576563|offset_31|444444,1576607:1576626|offset_94|00cc00,1576631:1576650|offset_118|444444,1576664:1576683|offset_151|444444&amp;v=1576343:1576883&amp;c=444444", "offset 94")</f>
        <v>offset 94</v>
      </c>
    </row>
    <row r="5681" customFormat="false" ht="12.8" hidden="false" customHeight="false" outlineLevel="0" collapsed="false">
      <c r="A5681" s="0" t="s">
        <v>12</v>
      </c>
      <c r="B5681" s="0" t="n">
        <v>1576630</v>
      </c>
      <c r="C5681" s="0" t="n">
        <v>1576650</v>
      </c>
      <c r="D5681" s="0" t="s">
        <v>19014</v>
      </c>
      <c r="E5681" s="0" t="s">
        <v>89</v>
      </c>
      <c r="F5681" s="0" t="s">
        <v>15</v>
      </c>
      <c r="G5681" s="0" t="s">
        <v>16</v>
      </c>
      <c r="H5681" s="0" t="n">
        <v>118</v>
      </c>
      <c r="I5681" s="0" t="s">
        <v>19021</v>
      </c>
      <c r="J5681" s="0" t="s">
        <v>19022</v>
      </c>
      <c r="K5681" s="0" t="s">
        <v>19023</v>
      </c>
      <c r="L5681" s="0" t="str">
        <f aca="false">HYPERLINK("https://www.ncbi.nlm.nih.gov/nuccore/CP000304.1?report=graph&amp;tracks=[key:gene_model_track,Options:GeneOnly]&amp;mk=1576544:1576563|offset_31|444444,1576607:1576626|offset_94|444444,1576631:1576650|offset_118|00cc00,1576664:1576683|offset_151|444444&amp;v=1576343:1576883&amp;c=444444", "offset 118")</f>
        <v>offset 118</v>
      </c>
    </row>
    <row r="5682" customFormat="false" ht="12.8" hidden="false" customHeight="false" outlineLevel="0" collapsed="false">
      <c r="A5682" s="0" t="s">
        <v>12</v>
      </c>
      <c r="B5682" s="0" t="n">
        <v>1576663</v>
      </c>
      <c r="C5682" s="0" t="n">
        <v>1576683</v>
      </c>
      <c r="D5682" s="0" t="s">
        <v>19014</v>
      </c>
      <c r="E5682" s="0" t="s">
        <v>89</v>
      </c>
      <c r="F5682" s="0" t="s">
        <v>15</v>
      </c>
      <c r="G5682" s="0" t="s">
        <v>16</v>
      </c>
      <c r="H5682" s="0" t="n">
        <v>151</v>
      </c>
      <c r="I5682" s="0" t="s">
        <v>19024</v>
      </c>
      <c r="J5682" s="0" t="s">
        <v>19025</v>
      </c>
      <c r="K5682" s="0" t="s">
        <v>19026</v>
      </c>
      <c r="L5682" s="0" t="str">
        <f aca="false">HYPERLINK("https://www.ncbi.nlm.nih.gov/nuccore/CP000304.1?report=graph&amp;tracks=[key:gene_model_track,Options:GeneOnly]&amp;mk=1576544:1576563|offset_31|444444,1576607:1576626|offset_94|444444,1576631:1576650|offset_118|444444,1576664:1576683|offset_151|00cc00&amp;v=1576343:1576883&amp;c=444444", "offset 151")</f>
        <v>offset 151</v>
      </c>
    </row>
    <row r="5683" customFormat="false" ht="12.8" hidden="false" customHeight="false" outlineLevel="0" collapsed="false">
      <c r="A5683" s="0" t="s">
        <v>12</v>
      </c>
      <c r="B5683" s="0" t="n">
        <v>1577484</v>
      </c>
      <c r="C5683" s="0" t="n">
        <v>1577504</v>
      </c>
      <c r="D5683" s="0" t="s">
        <v>19027</v>
      </c>
      <c r="E5683" s="0" t="s">
        <v>19028</v>
      </c>
      <c r="F5683" s="0" t="s">
        <v>15</v>
      </c>
      <c r="G5683" s="0" t="s">
        <v>16</v>
      </c>
      <c r="H5683" s="0" t="n">
        <v>7</v>
      </c>
      <c r="I5683" s="0" t="s">
        <v>19029</v>
      </c>
      <c r="J5683" s="0" t="s">
        <v>19030</v>
      </c>
      <c r="K5683" s="0" t="s">
        <v>19031</v>
      </c>
      <c r="L5683" s="0" t="str">
        <f aca="false">HYPERLINK("https://www.ncbi.nlm.nih.gov/nuccore/CP000304.1?report=graph&amp;tracks=[key:gene_model_track,Options:GeneOnly]&amp;mk=1577485:1577504|offset_7|00cc00,1577526:1577545|offset_48|444444,1577589:1577608|offset_111|444444,1577610:1577629|offset_132|444444&amp;v=1577284:1577829&amp;c=444444", "offset 7")</f>
        <v>offset 7</v>
      </c>
    </row>
    <row r="5684" customFormat="false" ht="12.8" hidden="false" customHeight="false" outlineLevel="0" collapsed="false">
      <c r="A5684" s="0" t="s">
        <v>12</v>
      </c>
      <c r="B5684" s="0" t="n">
        <v>1577525</v>
      </c>
      <c r="C5684" s="0" t="n">
        <v>1577545</v>
      </c>
      <c r="D5684" s="0" t="s">
        <v>19027</v>
      </c>
      <c r="E5684" s="0" t="s">
        <v>19028</v>
      </c>
      <c r="F5684" s="0" t="s">
        <v>15</v>
      </c>
      <c r="G5684" s="0" t="s">
        <v>36</v>
      </c>
      <c r="H5684" s="0" t="n">
        <v>48</v>
      </c>
      <c r="I5684" s="0" t="s">
        <v>19032</v>
      </c>
      <c r="J5684" s="0" t="s">
        <v>19033</v>
      </c>
      <c r="K5684" s="0" t="s">
        <v>19034</v>
      </c>
      <c r="L5684" s="0" t="str">
        <f aca="false">HYPERLINK("https://www.ncbi.nlm.nih.gov/nuccore/CP000304.1?report=graph&amp;tracks=[key:gene_model_track,Options:GeneOnly]&amp;mk=1577485:1577504|offset_7|444444,1577526:1577545|offset_48|00cc00,1577589:1577608|offset_111|444444,1577610:1577629|offset_132|444444&amp;v=1577284:1577829&amp;c=444444", "offset 48")</f>
        <v>offset 48</v>
      </c>
    </row>
    <row r="5685" customFormat="false" ht="12.8" hidden="false" customHeight="false" outlineLevel="0" collapsed="false">
      <c r="A5685" s="0" t="s">
        <v>12</v>
      </c>
      <c r="B5685" s="0" t="n">
        <v>1577588</v>
      </c>
      <c r="C5685" s="0" t="n">
        <v>1577608</v>
      </c>
      <c r="D5685" s="0" t="s">
        <v>19027</v>
      </c>
      <c r="E5685" s="0" t="s">
        <v>19028</v>
      </c>
      <c r="F5685" s="0" t="s">
        <v>15</v>
      </c>
      <c r="G5685" s="0" t="s">
        <v>16</v>
      </c>
      <c r="H5685" s="0" t="n">
        <v>111</v>
      </c>
      <c r="I5685" s="0" t="s">
        <v>19035</v>
      </c>
      <c r="J5685" s="0" t="s">
        <v>19036</v>
      </c>
      <c r="K5685" s="0" t="s">
        <v>19037</v>
      </c>
      <c r="L5685" s="0" t="str">
        <f aca="false">HYPERLINK("https://www.ncbi.nlm.nih.gov/nuccore/CP000304.1?report=graph&amp;tracks=[key:gene_model_track,Options:GeneOnly]&amp;mk=1577485:1577504|offset_7|444444,1577526:1577545|offset_48|444444,1577589:1577608|offset_111|00cc00,1577610:1577629|offset_132|444444&amp;v=1577284:1577829&amp;c=444444", "offset 111")</f>
        <v>offset 111</v>
      </c>
    </row>
    <row r="5686" customFormat="false" ht="12.8" hidden="false" customHeight="false" outlineLevel="0" collapsed="false">
      <c r="A5686" s="0" t="s">
        <v>12</v>
      </c>
      <c r="B5686" s="0" t="n">
        <v>1577609</v>
      </c>
      <c r="C5686" s="0" t="n">
        <v>1577629</v>
      </c>
      <c r="D5686" s="0" t="s">
        <v>19027</v>
      </c>
      <c r="E5686" s="0" t="s">
        <v>19028</v>
      </c>
      <c r="F5686" s="0" t="s">
        <v>15</v>
      </c>
      <c r="G5686" s="0" t="s">
        <v>16</v>
      </c>
      <c r="H5686" s="0" t="n">
        <v>132</v>
      </c>
      <c r="I5686" s="0" t="s">
        <v>19038</v>
      </c>
      <c r="J5686" s="0" t="s">
        <v>19039</v>
      </c>
      <c r="K5686" s="0" t="s">
        <v>19040</v>
      </c>
      <c r="L5686" s="0" t="str">
        <f aca="false">HYPERLINK("https://www.ncbi.nlm.nih.gov/nuccore/CP000304.1?report=graph&amp;tracks=[key:gene_model_track,Options:GeneOnly]&amp;mk=1577485:1577504|offset_7|444444,1577526:1577545|offset_48|444444,1577589:1577608|offset_111|444444,1577610:1577629|offset_132|00cc00&amp;v=1577284:1577829&amp;c=444444", "offset 132")</f>
        <v>offset 132</v>
      </c>
    </row>
    <row r="5687" customFormat="false" ht="12.8" hidden="false" customHeight="false" outlineLevel="0" collapsed="false">
      <c r="A5687" s="0" t="s">
        <v>12</v>
      </c>
      <c r="B5687" s="0" t="n">
        <v>1579083</v>
      </c>
      <c r="C5687" s="0" t="n">
        <v>1579103</v>
      </c>
      <c r="D5687" s="0" t="s">
        <v>19041</v>
      </c>
      <c r="E5687" s="0" t="s">
        <v>89</v>
      </c>
      <c r="F5687" s="0" t="s">
        <v>15</v>
      </c>
      <c r="G5687" s="0" t="s">
        <v>26</v>
      </c>
      <c r="H5687" s="0" t="n">
        <v>6</v>
      </c>
      <c r="I5687" s="0" t="s">
        <v>19042</v>
      </c>
      <c r="J5687" s="0" t="s">
        <v>19043</v>
      </c>
      <c r="K5687" s="0" t="s">
        <v>19044</v>
      </c>
      <c r="L5687" s="0" t="str">
        <f aca="false">HYPERLINK("https://www.ncbi.nlm.nih.gov/nuccore/CP000304.1?report=graph&amp;tracks=[key:gene_model_track,Options:GeneOnly]&amp;mk=1579084:1579103|offset_6|00cc00,1579120:1579139|offset_42|444444,1579186:1579205|offset_108|444444,1579221:1579240|offset_143|444444&amp;v=1578883:1579440&amp;c=444444", "offset 6")</f>
        <v>offset 6</v>
      </c>
    </row>
    <row r="5688" customFormat="false" ht="12.8" hidden="false" customHeight="false" outlineLevel="0" collapsed="false">
      <c r="A5688" s="0" t="s">
        <v>12</v>
      </c>
      <c r="B5688" s="0" t="n">
        <v>1579119</v>
      </c>
      <c r="C5688" s="0" t="n">
        <v>1579139</v>
      </c>
      <c r="D5688" s="0" t="s">
        <v>19041</v>
      </c>
      <c r="E5688" s="0" t="s">
        <v>89</v>
      </c>
      <c r="F5688" s="0" t="s">
        <v>15</v>
      </c>
      <c r="G5688" s="0" t="s">
        <v>36</v>
      </c>
      <c r="H5688" s="0" t="n">
        <v>42</v>
      </c>
      <c r="I5688" s="0" t="s">
        <v>19045</v>
      </c>
      <c r="J5688" s="0" t="s">
        <v>19046</v>
      </c>
      <c r="K5688" s="0" t="s">
        <v>19047</v>
      </c>
      <c r="L5688" s="0" t="str">
        <f aca="false">HYPERLINK("https://www.ncbi.nlm.nih.gov/nuccore/CP000304.1?report=graph&amp;tracks=[key:gene_model_track,Options:GeneOnly]&amp;mk=1579084:1579103|offset_6|444444,1579120:1579139|offset_42|00cc00,1579186:1579205|offset_108|444444,1579221:1579240|offset_143|444444&amp;v=1578883:1579440&amp;c=444444", "offset 42")</f>
        <v>offset 42</v>
      </c>
    </row>
    <row r="5689" customFormat="false" ht="12.8" hidden="false" customHeight="false" outlineLevel="0" collapsed="false">
      <c r="A5689" s="0" t="s">
        <v>12</v>
      </c>
      <c r="B5689" s="0" t="n">
        <v>1579185</v>
      </c>
      <c r="C5689" s="0" t="n">
        <v>1579205</v>
      </c>
      <c r="D5689" s="0" t="s">
        <v>19041</v>
      </c>
      <c r="E5689" s="0" t="s">
        <v>89</v>
      </c>
      <c r="F5689" s="0" t="s">
        <v>15</v>
      </c>
      <c r="G5689" s="0" t="s">
        <v>32</v>
      </c>
      <c r="H5689" s="0" t="n">
        <v>108</v>
      </c>
      <c r="I5689" s="0" t="s">
        <v>19048</v>
      </c>
      <c r="J5689" s="0" t="s">
        <v>19049</v>
      </c>
      <c r="K5689" s="0" t="s">
        <v>19050</v>
      </c>
      <c r="L5689" s="0" t="str">
        <f aca="false">HYPERLINK("https://www.ncbi.nlm.nih.gov/nuccore/CP000304.1?report=graph&amp;tracks=[key:gene_model_track,Options:GeneOnly]&amp;mk=1579084:1579103|offset_6|444444,1579120:1579139|offset_42|444444,1579186:1579205|offset_108|00cc00,1579221:1579240|offset_143|444444&amp;v=1578883:1579440&amp;c=444444", "offset 108")</f>
        <v>offset 108</v>
      </c>
    </row>
    <row r="5690" customFormat="false" ht="12.8" hidden="false" customHeight="false" outlineLevel="0" collapsed="false">
      <c r="A5690" s="0" t="s">
        <v>12</v>
      </c>
      <c r="B5690" s="0" t="n">
        <v>1579220</v>
      </c>
      <c r="C5690" s="0" t="n">
        <v>1579240</v>
      </c>
      <c r="D5690" s="0" t="s">
        <v>19041</v>
      </c>
      <c r="E5690" s="0" t="s">
        <v>89</v>
      </c>
      <c r="F5690" s="0" t="s">
        <v>15</v>
      </c>
      <c r="G5690" s="0" t="s">
        <v>32</v>
      </c>
      <c r="H5690" s="0" t="n">
        <v>143</v>
      </c>
      <c r="I5690" s="0" t="s">
        <v>19051</v>
      </c>
      <c r="J5690" s="0" t="s">
        <v>19052</v>
      </c>
      <c r="K5690" s="0" t="s">
        <v>19053</v>
      </c>
      <c r="L5690" s="0" t="str">
        <f aca="false">HYPERLINK("https://www.ncbi.nlm.nih.gov/nuccore/CP000304.1?report=graph&amp;tracks=[key:gene_model_track,Options:GeneOnly]&amp;mk=1579084:1579103|offset_6|444444,1579120:1579139|offset_42|444444,1579186:1579205|offset_108|444444,1579221:1579240|offset_143|00cc00&amp;v=1578883:1579440&amp;c=444444", "offset 143")</f>
        <v>offset 143</v>
      </c>
    </row>
    <row r="5691" customFormat="false" ht="12.8" hidden="false" customHeight="false" outlineLevel="0" collapsed="false">
      <c r="A5691" s="0" t="s">
        <v>12</v>
      </c>
      <c r="B5691" s="0" t="n">
        <v>1580233</v>
      </c>
      <c r="C5691" s="0" t="n">
        <v>1580253</v>
      </c>
      <c r="D5691" s="0" t="s">
        <v>19054</v>
      </c>
      <c r="E5691" s="0" t="s">
        <v>89</v>
      </c>
      <c r="F5691" s="0" t="s">
        <v>15</v>
      </c>
      <c r="G5691" s="0" t="s">
        <v>26</v>
      </c>
      <c r="H5691" s="0" t="n">
        <v>29</v>
      </c>
      <c r="I5691" s="0" t="s">
        <v>19055</v>
      </c>
      <c r="J5691" s="0" t="s">
        <v>19056</v>
      </c>
      <c r="K5691" s="0" t="s">
        <v>19057</v>
      </c>
      <c r="L5691" s="0" t="str">
        <f aca="false">HYPERLINK("https://www.ncbi.nlm.nih.gov/nuccore/CP000304.1?report=graph&amp;tracks=[key:gene_model_track,Options:GeneOnly]&amp;mk=1580234:1580253|offset_29|00cc00,1580266:1580285|offset_61|444444,1580287:1580306|offset_82|444444,1580336:1580355|offset_131|444444&amp;v=1580033:1580555&amp;c=444444", "offset 29")</f>
        <v>offset 29</v>
      </c>
    </row>
    <row r="5692" customFormat="false" ht="12.8" hidden="false" customHeight="false" outlineLevel="0" collapsed="false">
      <c r="A5692" s="0" t="s">
        <v>12</v>
      </c>
      <c r="B5692" s="0" t="n">
        <v>1580265</v>
      </c>
      <c r="C5692" s="0" t="n">
        <v>1580285</v>
      </c>
      <c r="D5692" s="0" t="s">
        <v>19054</v>
      </c>
      <c r="E5692" s="0" t="s">
        <v>89</v>
      </c>
      <c r="F5692" s="0" t="s">
        <v>15</v>
      </c>
      <c r="G5692" s="0" t="s">
        <v>32</v>
      </c>
      <c r="H5692" s="0" t="n">
        <v>61</v>
      </c>
      <c r="I5692" s="0" t="s">
        <v>19058</v>
      </c>
      <c r="J5692" s="0" t="s">
        <v>19059</v>
      </c>
      <c r="K5692" s="0" t="s">
        <v>19060</v>
      </c>
      <c r="L5692" s="0" t="str">
        <f aca="false">HYPERLINK("https://www.ncbi.nlm.nih.gov/nuccore/CP000304.1?report=graph&amp;tracks=[key:gene_model_track,Options:GeneOnly]&amp;mk=1580234:1580253|offset_29|444444,1580266:1580285|offset_61|00cc00,1580287:1580306|offset_82|444444,1580336:1580355|offset_131|444444&amp;v=1580033:1580555&amp;c=444444", "offset 61")</f>
        <v>offset 61</v>
      </c>
    </row>
    <row r="5693" customFormat="false" ht="12.8" hidden="false" customHeight="false" outlineLevel="0" collapsed="false">
      <c r="A5693" s="0" t="s">
        <v>12</v>
      </c>
      <c r="B5693" s="0" t="n">
        <v>1580286</v>
      </c>
      <c r="C5693" s="0" t="n">
        <v>1580306</v>
      </c>
      <c r="D5693" s="0" t="s">
        <v>19054</v>
      </c>
      <c r="E5693" s="0" t="s">
        <v>89</v>
      </c>
      <c r="F5693" s="0" t="s">
        <v>15</v>
      </c>
      <c r="G5693" s="0" t="s">
        <v>26</v>
      </c>
      <c r="H5693" s="0" t="n">
        <v>82</v>
      </c>
      <c r="I5693" s="0" t="s">
        <v>19061</v>
      </c>
      <c r="J5693" s="0" t="s">
        <v>19062</v>
      </c>
      <c r="K5693" s="0" t="s">
        <v>19063</v>
      </c>
      <c r="L5693" s="0" t="str">
        <f aca="false">HYPERLINK("https://www.ncbi.nlm.nih.gov/nuccore/CP000304.1?report=graph&amp;tracks=[key:gene_model_track,Options:GeneOnly]&amp;mk=1580234:1580253|offset_29|444444,1580266:1580285|offset_61|444444,1580287:1580306|offset_82|00cc00,1580336:1580355|offset_131|444444&amp;v=1580033:1580555&amp;c=444444", "offset 82")</f>
        <v>offset 82</v>
      </c>
    </row>
    <row r="5694" customFormat="false" ht="12.8" hidden="false" customHeight="false" outlineLevel="0" collapsed="false">
      <c r="A5694" s="0" t="s">
        <v>12</v>
      </c>
      <c r="B5694" s="0" t="n">
        <v>1580335</v>
      </c>
      <c r="C5694" s="0" t="n">
        <v>1580355</v>
      </c>
      <c r="D5694" s="0" t="s">
        <v>19054</v>
      </c>
      <c r="E5694" s="0" t="s">
        <v>89</v>
      </c>
      <c r="F5694" s="0" t="s">
        <v>15</v>
      </c>
      <c r="G5694" s="0" t="s">
        <v>26</v>
      </c>
      <c r="H5694" s="0" t="n">
        <v>131</v>
      </c>
      <c r="I5694" s="0" t="s">
        <v>19064</v>
      </c>
      <c r="J5694" s="0" t="s">
        <v>19065</v>
      </c>
      <c r="K5694" s="0" t="s">
        <v>19066</v>
      </c>
      <c r="L5694" s="0" t="str">
        <f aca="false">HYPERLINK("https://www.ncbi.nlm.nih.gov/nuccore/CP000304.1?report=graph&amp;tracks=[key:gene_model_track,Options:GeneOnly]&amp;mk=1580234:1580253|offset_29|444444,1580266:1580285|offset_61|444444,1580287:1580306|offset_82|444444,1580336:1580355|offset_131|00cc00&amp;v=1580033:1580555&amp;c=444444", "offset 131")</f>
        <v>offset 131</v>
      </c>
    </row>
    <row r="5695" customFormat="false" ht="12.8" hidden="false" customHeight="false" outlineLevel="0" collapsed="false">
      <c r="A5695" s="0" t="s">
        <v>12</v>
      </c>
      <c r="B5695" s="0" t="n">
        <v>1582586</v>
      </c>
      <c r="C5695" s="0" t="n">
        <v>1582606</v>
      </c>
      <c r="D5695" s="0" t="s">
        <v>19067</v>
      </c>
      <c r="E5695" s="0" t="s">
        <v>89</v>
      </c>
      <c r="F5695" s="0" t="s">
        <v>15</v>
      </c>
      <c r="G5695" s="0" t="s">
        <v>16</v>
      </c>
      <c r="H5695" s="0" t="n">
        <v>31</v>
      </c>
      <c r="I5695" s="0" t="s">
        <v>19068</v>
      </c>
      <c r="J5695" s="0" t="s">
        <v>19069</v>
      </c>
      <c r="K5695" s="0" t="s">
        <v>19070</v>
      </c>
      <c r="L5695" s="0" t="str">
        <f aca="false">HYPERLINK("https://www.ncbi.nlm.nih.gov/nuccore/CP000304.1?report=graph&amp;tracks=[key:gene_model_track,Options:GeneOnly]&amp;mk=1582587:1582606|offset_31|00cc00,1582617:1582636|offset_61|444444,1582672:1582691|offset_116|444444,1582723:1582742|offset_167|444444&amp;v=1582386:1582942&amp;c=444444", "offset 31")</f>
        <v>offset 31</v>
      </c>
    </row>
    <row r="5696" customFormat="false" ht="12.8" hidden="false" customHeight="false" outlineLevel="0" collapsed="false">
      <c r="A5696" s="0" t="s">
        <v>12</v>
      </c>
      <c r="B5696" s="0" t="n">
        <v>1582616</v>
      </c>
      <c r="C5696" s="0" t="n">
        <v>1582636</v>
      </c>
      <c r="D5696" s="0" t="s">
        <v>19067</v>
      </c>
      <c r="E5696" s="0" t="s">
        <v>89</v>
      </c>
      <c r="F5696" s="0" t="s">
        <v>15</v>
      </c>
      <c r="G5696" s="0" t="s">
        <v>26</v>
      </c>
      <c r="H5696" s="0" t="n">
        <v>61</v>
      </c>
      <c r="I5696" s="0" t="s">
        <v>19071</v>
      </c>
      <c r="J5696" s="0" t="s">
        <v>19072</v>
      </c>
      <c r="K5696" s="0" t="s">
        <v>19073</v>
      </c>
      <c r="L5696" s="0" t="str">
        <f aca="false">HYPERLINK("https://www.ncbi.nlm.nih.gov/nuccore/CP000304.1?report=graph&amp;tracks=[key:gene_model_track,Options:GeneOnly]&amp;mk=1582587:1582606|offset_31|444444,1582617:1582636|offset_61|00cc00,1582672:1582691|offset_116|444444,1582723:1582742|offset_167|444444&amp;v=1582386:1582942&amp;c=444444", "offset 61")</f>
        <v>offset 61</v>
      </c>
    </row>
    <row r="5697" customFormat="false" ht="12.8" hidden="false" customHeight="false" outlineLevel="0" collapsed="false">
      <c r="A5697" s="0" t="s">
        <v>12</v>
      </c>
      <c r="B5697" s="0" t="n">
        <v>1582671</v>
      </c>
      <c r="C5697" s="0" t="n">
        <v>1582691</v>
      </c>
      <c r="D5697" s="0" t="s">
        <v>19067</v>
      </c>
      <c r="E5697" s="0" t="s">
        <v>89</v>
      </c>
      <c r="F5697" s="0" t="s">
        <v>15</v>
      </c>
      <c r="G5697" s="0" t="s">
        <v>26</v>
      </c>
      <c r="H5697" s="0" t="n">
        <v>116</v>
      </c>
      <c r="I5697" s="0" t="s">
        <v>19074</v>
      </c>
      <c r="J5697" s="0" t="s">
        <v>19075</v>
      </c>
      <c r="K5697" s="0" t="s">
        <v>19076</v>
      </c>
      <c r="L5697" s="0" t="str">
        <f aca="false">HYPERLINK("https://www.ncbi.nlm.nih.gov/nuccore/CP000304.1?report=graph&amp;tracks=[key:gene_model_track,Options:GeneOnly]&amp;mk=1582587:1582606|offset_31|444444,1582617:1582636|offset_61|444444,1582672:1582691|offset_116|00cc00,1582723:1582742|offset_167|444444&amp;v=1582386:1582942&amp;c=444444", "offset 116")</f>
        <v>offset 116</v>
      </c>
    </row>
    <row r="5698" customFormat="false" ht="12.8" hidden="false" customHeight="false" outlineLevel="0" collapsed="false">
      <c r="A5698" s="0" t="s">
        <v>12</v>
      </c>
      <c r="B5698" s="0" t="n">
        <v>1582722</v>
      </c>
      <c r="C5698" s="0" t="n">
        <v>1582742</v>
      </c>
      <c r="D5698" s="0" t="s">
        <v>19067</v>
      </c>
      <c r="E5698" s="0" t="s">
        <v>89</v>
      </c>
      <c r="F5698" s="0" t="s">
        <v>15</v>
      </c>
      <c r="G5698" s="0" t="s">
        <v>32</v>
      </c>
      <c r="H5698" s="0" t="n">
        <v>167</v>
      </c>
      <c r="I5698" s="0" t="s">
        <v>19077</v>
      </c>
      <c r="J5698" s="0" t="s">
        <v>19078</v>
      </c>
      <c r="K5698" s="0" t="s">
        <v>19079</v>
      </c>
      <c r="L5698" s="0" t="str">
        <f aca="false">HYPERLINK("https://www.ncbi.nlm.nih.gov/nuccore/CP000304.1?report=graph&amp;tracks=[key:gene_model_track,Options:GeneOnly]&amp;mk=1582587:1582606|offset_31|444444,1582617:1582636|offset_61|444444,1582672:1582691|offset_116|444444,1582723:1582742|offset_167|00cc00&amp;v=1582386:1582942&amp;c=444444", "offset 167")</f>
        <v>offset 167</v>
      </c>
    </row>
    <row r="5699" customFormat="false" ht="12.8" hidden="false" customHeight="false" outlineLevel="0" collapsed="false">
      <c r="A5699" s="0" t="s">
        <v>12</v>
      </c>
      <c r="B5699" s="0" t="n">
        <v>1583328</v>
      </c>
      <c r="C5699" s="0" t="n">
        <v>1583348</v>
      </c>
      <c r="D5699" s="0" t="s">
        <v>19080</v>
      </c>
      <c r="E5699" s="0" t="s">
        <v>89</v>
      </c>
      <c r="F5699" s="0" t="s">
        <v>15</v>
      </c>
      <c r="G5699" s="0" t="s">
        <v>26</v>
      </c>
      <c r="H5699" s="0" t="n">
        <v>12</v>
      </c>
      <c r="I5699" s="0" t="s">
        <v>19081</v>
      </c>
      <c r="J5699" s="0" t="s">
        <v>19082</v>
      </c>
      <c r="K5699" s="0" t="s">
        <v>19083</v>
      </c>
      <c r="L5699" s="0" t="str">
        <f aca="false">HYPERLINK("https://www.ncbi.nlm.nih.gov/nuccore/CP000304.1?report=graph&amp;tracks=[key:gene_model_track,Options:GeneOnly]&amp;mk=1583329:1583348|offset_12|00cc00,1583351:1583370|offset_34|444444,1583405:1583424|offset_88|444444,1583474:1583493|offset_157|444444&amp;v=1583128:1583693&amp;c=444444", "offset 12")</f>
        <v>offset 12</v>
      </c>
    </row>
    <row r="5700" customFormat="false" ht="12.8" hidden="false" customHeight="false" outlineLevel="0" collapsed="false">
      <c r="A5700" s="0" t="s">
        <v>12</v>
      </c>
      <c r="B5700" s="0" t="n">
        <v>1583350</v>
      </c>
      <c r="C5700" s="0" t="n">
        <v>1583370</v>
      </c>
      <c r="D5700" s="0" t="s">
        <v>19080</v>
      </c>
      <c r="E5700" s="0" t="s">
        <v>89</v>
      </c>
      <c r="F5700" s="0" t="s">
        <v>15</v>
      </c>
      <c r="G5700" s="0" t="s">
        <v>32</v>
      </c>
      <c r="H5700" s="0" t="n">
        <v>34</v>
      </c>
      <c r="I5700" s="0" t="s">
        <v>19084</v>
      </c>
      <c r="J5700" s="0" t="s">
        <v>19085</v>
      </c>
      <c r="K5700" s="0" t="s">
        <v>19086</v>
      </c>
      <c r="L5700" s="0" t="str">
        <f aca="false">HYPERLINK("https://www.ncbi.nlm.nih.gov/nuccore/CP000304.1?report=graph&amp;tracks=[key:gene_model_track,Options:GeneOnly]&amp;mk=1583329:1583348|offset_12|444444,1583351:1583370|offset_34|00cc00,1583405:1583424|offset_88|444444,1583474:1583493|offset_157|444444&amp;v=1583128:1583693&amp;c=444444", "offset 34")</f>
        <v>offset 34</v>
      </c>
    </row>
    <row r="5701" customFormat="false" ht="12.8" hidden="false" customHeight="false" outlineLevel="0" collapsed="false">
      <c r="A5701" s="0" t="s">
        <v>12</v>
      </c>
      <c r="B5701" s="0" t="n">
        <v>1583404</v>
      </c>
      <c r="C5701" s="0" t="n">
        <v>1583424</v>
      </c>
      <c r="D5701" s="0" t="s">
        <v>19080</v>
      </c>
      <c r="E5701" s="0" t="s">
        <v>89</v>
      </c>
      <c r="F5701" s="0" t="s">
        <v>15</v>
      </c>
      <c r="G5701" s="0" t="s">
        <v>32</v>
      </c>
      <c r="H5701" s="0" t="n">
        <v>88</v>
      </c>
      <c r="I5701" s="0" t="s">
        <v>19087</v>
      </c>
      <c r="J5701" s="0" t="s">
        <v>19088</v>
      </c>
      <c r="K5701" s="0" t="s">
        <v>19089</v>
      </c>
      <c r="L5701" s="0" t="str">
        <f aca="false">HYPERLINK("https://www.ncbi.nlm.nih.gov/nuccore/CP000304.1?report=graph&amp;tracks=[key:gene_model_track,Options:GeneOnly]&amp;mk=1583329:1583348|offset_12|444444,1583351:1583370|offset_34|444444,1583405:1583424|offset_88|00cc00,1583474:1583493|offset_157|444444&amp;v=1583128:1583693&amp;c=444444", "offset 88")</f>
        <v>offset 88</v>
      </c>
    </row>
    <row r="5702" customFormat="false" ht="12.8" hidden="false" customHeight="false" outlineLevel="0" collapsed="false">
      <c r="A5702" s="0" t="s">
        <v>12</v>
      </c>
      <c r="B5702" s="0" t="n">
        <v>1583473</v>
      </c>
      <c r="C5702" s="0" t="n">
        <v>1583493</v>
      </c>
      <c r="D5702" s="0" t="s">
        <v>19080</v>
      </c>
      <c r="E5702" s="0" t="s">
        <v>89</v>
      </c>
      <c r="F5702" s="0" t="s">
        <v>15</v>
      </c>
      <c r="G5702" s="0" t="s">
        <v>26</v>
      </c>
      <c r="H5702" s="0" t="n">
        <v>157</v>
      </c>
      <c r="I5702" s="0" t="s">
        <v>19090</v>
      </c>
      <c r="J5702" s="0" t="s">
        <v>19091</v>
      </c>
      <c r="K5702" s="0" t="s">
        <v>19092</v>
      </c>
      <c r="L5702" s="0" t="str">
        <f aca="false">HYPERLINK("https://www.ncbi.nlm.nih.gov/nuccore/CP000304.1?report=graph&amp;tracks=[key:gene_model_track,Options:GeneOnly]&amp;mk=1583329:1583348|offset_12|444444,1583351:1583370|offset_34|444444,1583405:1583424|offset_88|444444,1583474:1583493|offset_157|00cc00&amp;v=1583128:1583693&amp;c=444444", "offset 157")</f>
        <v>offset 157</v>
      </c>
    </row>
    <row r="5703" customFormat="false" ht="12.8" hidden="false" customHeight="false" outlineLevel="0" collapsed="false">
      <c r="A5703" s="0" t="s">
        <v>12</v>
      </c>
      <c r="B5703" s="0" t="n">
        <v>1583973</v>
      </c>
      <c r="C5703" s="0" t="n">
        <v>1583993</v>
      </c>
      <c r="D5703" s="0" t="s">
        <v>19093</v>
      </c>
      <c r="E5703" s="0" t="s">
        <v>89</v>
      </c>
      <c r="F5703" s="0" t="s">
        <v>15</v>
      </c>
      <c r="G5703" s="0" t="s">
        <v>36</v>
      </c>
      <c r="H5703" s="0" t="n">
        <v>6</v>
      </c>
      <c r="I5703" s="0" t="s">
        <v>19094</v>
      </c>
      <c r="J5703" s="0" t="s">
        <v>19095</v>
      </c>
      <c r="K5703" s="0" t="s">
        <v>19096</v>
      </c>
      <c r="L5703" s="0" t="str">
        <f aca="false">HYPERLINK("https://www.ncbi.nlm.nih.gov/nuccore/CP000304.1?report=graph&amp;tracks=[key:gene_model_track,Options:GeneOnly]&amp;mk=1583974:1583993|offset_6|00cc00,1584016:1584035|offset_48|444444,1584060:1584079|offset_92|444444,1584104:1584123|offset_136|444444&amp;v=1583773:1584323&amp;c=444444", "offset 6")</f>
        <v>offset 6</v>
      </c>
    </row>
    <row r="5704" customFormat="false" ht="12.8" hidden="false" customHeight="false" outlineLevel="0" collapsed="false">
      <c r="A5704" s="0" t="s">
        <v>12</v>
      </c>
      <c r="B5704" s="0" t="n">
        <v>1584015</v>
      </c>
      <c r="C5704" s="0" t="n">
        <v>1584035</v>
      </c>
      <c r="D5704" s="0" t="s">
        <v>19093</v>
      </c>
      <c r="E5704" s="0" t="s">
        <v>89</v>
      </c>
      <c r="F5704" s="0" t="s">
        <v>15</v>
      </c>
      <c r="G5704" s="0" t="s">
        <v>32</v>
      </c>
      <c r="H5704" s="0" t="n">
        <v>48</v>
      </c>
      <c r="I5704" s="0" t="s">
        <v>19097</v>
      </c>
      <c r="J5704" s="0" t="s">
        <v>19098</v>
      </c>
      <c r="K5704" s="0" t="s">
        <v>19099</v>
      </c>
      <c r="L5704" s="0" t="str">
        <f aca="false">HYPERLINK("https://www.ncbi.nlm.nih.gov/nuccore/CP000304.1?report=graph&amp;tracks=[key:gene_model_track,Options:GeneOnly]&amp;mk=1583974:1583993|offset_6|444444,1584016:1584035|offset_48|00cc00,1584060:1584079|offset_92|444444,1584104:1584123|offset_136|444444&amp;v=1583773:1584323&amp;c=444444", "offset 48")</f>
        <v>offset 48</v>
      </c>
    </row>
    <row r="5705" customFormat="false" ht="12.8" hidden="false" customHeight="false" outlineLevel="0" collapsed="false">
      <c r="A5705" s="0" t="s">
        <v>12</v>
      </c>
      <c r="B5705" s="0" t="n">
        <v>1584059</v>
      </c>
      <c r="C5705" s="0" t="n">
        <v>1584079</v>
      </c>
      <c r="D5705" s="0" t="s">
        <v>19093</v>
      </c>
      <c r="E5705" s="0" t="s">
        <v>89</v>
      </c>
      <c r="F5705" s="0" t="s">
        <v>15</v>
      </c>
      <c r="G5705" s="0" t="s">
        <v>32</v>
      </c>
      <c r="H5705" s="0" t="n">
        <v>92</v>
      </c>
      <c r="I5705" s="0" t="s">
        <v>19100</v>
      </c>
      <c r="J5705" s="0" t="s">
        <v>19101</v>
      </c>
      <c r="K5705" s="0" t="s">
        <v>19102</v>
      </c>
      <c r="L5705" s="0" t="str">
        <f aca="false">HYPERLINK("https://www.ncbi.nlm.nih.gov/nuccore/CP000304.1?report=graph&amp;tracks=[key:gene_model_track,Options:GeneOnly]&amp;mk=1583974:1583993|offset_6|444444,1584016:1584035|offset_48|444444,1584060:1584079|offset_92|00cc00,1584104:1584123|offset_136|444444&amp;v=1583773:1584323&amp;c=444444", "offset 92")</f>
        <v>offset 92</v>
      </c>
    </row>
    <row r="5706" customFormat="false" ht="12.8" hidden="false" customHeight="false" outlineLevel="0" collapsed="false">
      <c r="A5706" s="0" t="s">
        <v>12</v>
      </c>
      <c r="B5706" s="0" t="n">
        <v>1584103</v>
      </c>
      <c r="C5706" s="0" t="n">
        <v>1584123</v>
      </c>
      <c r="D5706" s="0" t="s">
        <v>19093</v>
      </c>
      <c r="E5706" s="0" t="s">
        <v>89</v>
      </c>
      <c r="F5706" s="0" t="s">
        <v>15</v>
      </c>
      <c r="G5706" s="0" t="s">
        <v>16</v>
      </c>
      <c r="H5706" s="0" t="n">
        <v>136</v>
      </c>
      <c r="I5706" s="0" t="s">
        <v>19103</v>
      </c>
      <c r="J5706" s="0" t="s">
        <v>19104</v>
      </c>
      <c r="K5706" s="0" t="s">
        <v>19105</v>
      </c>
      <c r="L5706" s="0" t="str">
        <f aca="false">HYPERLINK("https://www.ncbi.nlm.nih.gov/nuccore/CP000304.1?report=graph&amp;tracks=[key:gene_model_track,Options:GeneOnly]&amp;mk=1583974:1583993|offset_6|444444,1584016:1584035|offset_48|444444,1584060:1584079|offset_92|444444,1584104:1584123|offset_136|00cc00&amp;v=1583773:1584323&amp;c=444444", "offset 136")</f>
        <v>offset 136</v>
      </c>
    </row>
    <row r="5707" customFormat="false" ht="12.8" hidden="false" customHeight="false" outlineLevel="0" collapsed="false">
      <c r="A5707" s="0" t="s">
        <v>12</v>
      </c>
      <c r="B5707" s="0" t="n">
        <v>1587012</v>
      </c>
      <c r="C5707" s="0" t="n">
        <v>1587032</v>
      </c>
      <c r="D5707" s="0" t="s">
        <v>19106</v>
      </c>
      <c r="E5707" s="0" t="s">
        <v>89</v>
      </c>
      <c r="F5707" s="0" t="s">
        <v>15</v>
      </c>
      <c r="G5707" s="0" t="s">
        <v>16</v>
      </c>
      <c r="H5707" s="0" t="n">
        <v>44</v>
      </c>
      <c r="I5707" s="0" t="s">
        <v>19107</v>
      </c>
      <c r="J5707" s="0" t="s">
        <v>19108</v>
      </c>
      <c r="K5707" s="0" t="s">
        <v>19109</v>
      </c>
      <c r="L5707" s="0" t="str">
        <f aca="false">HYPERLINK("https://www.ncbi.nlm.nih.gov/nuccore/CP000304.1?report=graph&amp;tracks=[key:gene_model_track,Options:GeneOnly]&amp;mk=1587013:1587032|offset_44|00cc00,1587087:1587106|offset_118|444444,1587110:1587129|offset_141|444444,1587154:1587173|offset_185|444444&amp;v=1586812:1587373&amp;c=444444", "offset 44")</f>
        <v>offset 44</v>
      </c>
    </row>
    <row r="5708" customFormat="false" ht="12.8" hidden="false" customHeight="false" outlineLevel="0" collapsed="false">
      <c r="A5708" s="0" t="s">
        <v>12</v>
      </c>
      <c r="B5708" s="0" t="n">
        <v>1587086</v>
      </c>
      <c r="C5708" s="0" t="n">
        <v>1587106</v>
      </c>
      <c r="D5708" s="0" t="s">
        <v>19106</v>
      </c>
      <c r="E5708" s="0" t="s">
        <v>89</v>
      </c>
      <c r="F5708" s="0" t="s">
        <v>15</v>
      </c>
      <c r="G5708" s="0" t="s">
        <v>32</v>
      </c>
      <c r="H5708" s="0" t="n">
        <v>118</v>
      </c>
      <c r="I5708" s="0" t="s">
        <v>19110</v>
      </c>
      <c r="J5708" s="0" t="s">
        <v>19111</v>
      </c>
      <c r="K5708" s="0" t="s">
        <v>19112</v>
      </c>
      <c r="L5708" s="0" t="str">
        <f aca="false">HYPERLINK("https://www.ncbi.nlm.nih.gov/nuccore/CP000304.1?report=graph&amp;tracks=[key:gene_model_track,Options:GeneOnly]&amp;mk=1587013:1587032|offset_44|444444,1587087:1587106|offset_118|00cc00,1587110:1587129|offset_141|444444,1587154:1587173|offset_185|444444&amp;v=1586812:1587373&amp;c=444444", "offset 118")</f>
        <v>offset 118</v>
      </c>
    </row>
    <row r="5709" customFormat="false" ht="12.8" hidden="false" customHeight="false" outlineLevel="0" collapsed="false">
      <c r="A5709" s="0" t="s">
        <v>12</v>
      </c>
      <c r="B5709" s="0" t="n">
        <v>1587109</v>
      </c>
      <c r="C5709" s="0" t="n">
        <v>1587129</v>
      </c>
      <c r="D5709" s="0" t="s">
        <v>19106</v>
      </c>
      <c r="E5709" s="0" t="s">
        <v>89</v>
      </c>
      <c r="F5709" s="0" t="s">
        <v>15</v>
      </c>
      <c r="G5709" s="0" t="s">
        <v>16</v>
      </c>
      <c r="H5709" s="0" t="n">
        <v>141</v>
      </c>
      <c r="I5709" s="0" t="s">
        <v>19113</v>
      </c>
      <c r="J5709" s="0" t="s">
        <v>19114</v>
      </c>
      <c r="K5709" s="0" t="s">
        <v>19115</v>
      </c>
      <c r="L5709" s="0" t="str">
        <f aca="false">HYPERLINK("https://www.ncbi.nlm.nih.gov/nuccore/CP000304.1?report=graph&amp;tracks=[key:gene_model_track,Options:GeneOnly]&amp;mk=1587013:1587032|offset_44|444444,1587087:1587106|offset_118|444444,1587110:1587129|offset_141|00cc00,1587154:1587173|offset_185|444444&amp;v=1586812:1587373&amp;c=444444", "offset 141")</f>
        <v>offset 141</v>
      </c>
    </row>
    <row r="5710" customFormat="false" ht="12.8" hidden="false" customHeight="false" outlineLevel="0" collapsed="false">
      <c r="A5710" s="0" t="s">
        <v>12</v>
      </c>
      <c r="B5710" s="0" t="n">
        <v>1587153</v>
      </c>
      <c r="C5710" s="0" t="n">
        <v>1587173</v>
      </c>
      <c r="D5710" s="0" t="s">
        <v>19106</v>
      </c>
      <c r="E5710" s="0" t="s">
        <v>89</v>
      </c>
      <c r="F5710" s="0" t="s">
        <v>15</v>
      </c>
      <c r="G5710" s="0" t="s">
        <v>32</v>
      </c>
      <c r="H5710" s="0" t="n">
        <v>185</v>
      </c>
      <c r="I5710" s="0" t="s">
        <v>19116</v>
      </c>
      <c r="J5710" s="0" t="s">
        <v>19117</v>
      </c>
      <c r="K5710" s="0" t="s">
        <v>19118</v>
      </c>
      <c r="L5710" s="0" t="str">
        <f aca="false">HYPERLINK("https://www.ncbi.nlm.nih.gov/nuccore/CP000304.1?report=graph&amp;tracks=[key:gene_model_track,Options:GeneOnly]&amp;mk=1587013:1587032|offset_44|444444,1587087:1587106|offset_118|444444,1587110:1587129|offset_141|444444,1587154:1587173|offset_185|00cc00&amp;v=1586812:1587373&amp;c=444444", "offset 185")</f>
        <v>offset 185</v>
      </c>
    </row>
    <row r="5711" customFormat="false" ht="12.8" hidden="false" customHeight="false" outlineLevel="0" collapsed="false">
      <c r="A5711" s="0" t="s">
        <v>12</v>
      </c>
      <c r="B5711" s="0" t="n">
        <v>1588309</v>
      </c>
      <c r="C5711" s="0" t="n">
        <v>1588329</v>
      </c>
      <c r="D5711" s="0" t="s">
        <v>19119</v>
      </c>
      <c r="E5711" s="0" t="s">
        <v>89</v>
      </c>
      <c r="F5711" s="0" t="s">
        <v>15</v>
      </c>
      <c r="G5711" s="0" t="s">
        <v>32</v>
      </c>
      <c r="H5711" s="0" t="n">
        <v>91</v>
      </c>
      <c r="I5711" s="0" t="s">
        <v>19120</v>
      </c>
      <c r="J5711" s="0" t="s">
        <v>19121</v>
      </c>
      <c r="K5711" s="0" t="s">
        <v>19122</v>
      </c>
      <c r="L5711" s="0" t="str">
        <f aca="false">HYPERLINK("https://www.ncbi.nlm.nih.gov/nuccore/CP000304.1?report=graph&amp;tracks=[key:gene_model_track,Options:GeneOnly]&amp;mk=1588310:1588329|offset_91|00cc00,1588333:1588352|offset_114|444444,1588401:1588420|offset_182|444444,1588442:1588461|offset_223|444444&amp;v=1588109:1588661&amp;c=444444", "offset 91")</f>
        <v>offset 91</v>
      </c>
    </row>
    <row r="5712" customFormat="false" ht="12.8" hidden="false" customHeight="false" outlineLevel="0" collapsed="false">
      <c r="A5712" s="0" t="s">
        <v>12</v>
      </c>
      <c r="B5712" s="0" t="n">
        <v>1588332</v>
      </c>
      <c r="C5712" s="0" t="n">
        <v>1588352</v>
      </c>
      <c r="D5712" s="0" t="s">
        <v>19119</v>
      </c>
      <c r="E5712" s="0" t="s">
        <v>89</v>
      </c>
      <c r="F5712" s="0" t="s">
        <v>15</v>
      </c>
      <c r="G5712" s="0" t="s">
        <v>36</v>
      </c>
      <c r="H5712" s="0" t="n">
        <v>114</v>
      </c>
      <c r="I5712" s="0" t="s">
        <v>19123</v>
      </c>
      <c r="J5712" s="0" t="s">
        <v>19124</v>
      </c>
      <c r="K5712" s="0" t="s">
        <v>19125</v>
      </c>
      <c r="L5712" s="0" t="str">
        <f aca="false">HYPERLINK("https://www.ncbi.nlm.nih.gov/nuccore/CP000304.1?report=graph&amp;tracks=[key:gene_model_track,Options:GeneOnly]&amp;mk=1588310:1588329|offset_91|444444,1588333:1588352|offset_114|00cc00,1588401:1588420|offset_182|444444,1588442:1588461|offset_223|444444&amp;v=1588109:1588661&amp;c=444444", "offset 114")</f>
        <v>offset 114</v>
      </c>
    </row>
    <row r="5713" customFormat="false" ht="12.8" hidden="false" customHeight="false" outlineLevel="0" collapsed="false">
      <c r="A5713" s="0" t="s">
        <v>12</v>
      </c>
      <c r="B5713" s="0" t="n">
        <v>1588400</v>
      </c>
      <c r="C5713" s="0" t="n">
        <v>1588420</v>
      </c>
      <c r="D5713" s="0" t="s">
        <v>19119</v>
      </c>
      <c r="E5713" s="0" t="s">
        <v>89</v>
      </c>
      <c r="F5713" s="0" t="s">
        <v>15</v>
      </c>
      <c r="G5713" s="0" t="s">
        <v>26</v>
      </c>
      <c r="H5713" s="0" t="n">
        <v>182</v>
      </c>
      <c r="I5713" s="0" t="s">
        <v>19126</v>
      </c>
      <c r="J5713" s="0" t="s">
        <v>19127</v>
      </c>
      <c r="K5713" s="0" t="s">
        <v>19128</v>
      </c>
      <c r="L5713" s="0" t="str">
        <f aca="false">HYPERLINK("https://www.ncbi.nlm.nih.gov/nuccore/CP000304.1?report=graph&amp;tracks=[key:gene_model_track,Options:GeneOnly]&amp;mk=1588310:1588329|offset_91|444444,1588333:1588352|offset_114|444444,1588401:1588420|offset_182|00cc00,1588442:1588461|offset_223|444444&amp;v=1588109:1588661&amp;c=444444", "offset 182")</f>
        <v>offset 182</v>
      </c>
    </row>
    <row r="5714" customFormat="false" ht="12.8" hidden="false" customHeight="false" outlineLevel="0" collapsed="false">
      <c r="A5714" s="0" t="s">
        <v>12</v>
      </c>
      <c r="B5714" s="0" t="n">
        <v>1588441</v>
      </c>
      <c r="C5714" s="0" t="n">
        <v>1588461</v>
      </c>
      <c r="D5714" s="0" t="s">
        <v>19119</v>
      </c>
      <c r="E5714" s="0" t="s">
        <v>89</v>
      </c>
      <c r="F5714" s="0" t="s">
        <v>15</v>
      </c>
      <c r="G5714" s="0" t="s">
        <v>32</v>
      </c>
      <c r="H5714" s="0" t="n">
        <v>223</v>
      </c>
      <c r="I5714" s="0" t="s">
        <v>19129</v>
      </c>
      <c r="J5714" s="0" t="s">
        <v>19130</v>
      </c>
      <c r="K5714" s="0" t="s">
        <v>19131</v>
      </c>
      <c r="L5714" s="0" t="str">
        <f aca="false">HYPERLINK("https://www.ncbi.nlm.nih.gov/nuccore/CP000304.1?report=graph&amp;tracks=[key:gene_model_track,Options:GeneOnly]&amp;mk=1588310:1588329|offset_91|444444,1588333:1588352|offset_114|444444,1588401:1588420|offset_182|444444,1588442:1588461|offset_223|00cc00&amp;v=1588109:1588661&amp;c=444444", "offset 223")</f>
        <v>offset 223</v>
      </c>
    </row>
    <row r="5715" customFormat="false" ht="12.8" hidden="false" customHeight="false" outlineLevel="0" collapsed="false">
      <c r="A5715" s="0" t="s">
        <v>12</v>
      </c>
      <c r="B5715" s="0" t="n">
        <v>1591582</v>
      </c>
      <c r="C5715" s="0" t="n">
        <v>1591602</v>
      </c>
      <c r="D5715" s="0" t="s">
        <v>19132</v>
      </c>
      <c r="E5715" s="0" t="s">
        <v>89</v>
      </c>
      <c r="F5715" s="0" t="s">
        <v>15</v>
      </c>
      <c r="G5715" s="0" t="s">
        <v>16</v>
      </c>
      <c r="H5715" s="0" t="n">
        <v>76</v>
      </c>
      <c r="I5715" s="0" t="s">
        <v>19133</v>
      </c>
      <c r="J5715" s="0" t="s">
        <v>19134</v>
      </c>
      <c r="K5715" s="0" t="s">
        <v>19135</v>
      </c>
      <c r="L5715" s="0" t="str">
        <f aca="false">HYPERLINK("https://www.ncbi.nlm.nih.gov/nuccore/CP000304.1?report=graph&amp;tracks=[key:gene_model_track,Options:GeneOnly]&amp;mk=1591583:1591602|offset_76|00cc00,1591640:1591659|offset_133|444444,1591663:1591682|offset_156|444444,1591707:1591726|offset_200|444444&amp;v=1591382:1591926&amp;c=444444", "offset 76")</f>
        <v>offset 76</v>
      </c>
    </row>
    <row r="5716" customFormat="false" ht="12.8" hidden="false" customHeight="false" outlineLevel="0" collapsed="false">
      <c r="A5716" s="0" t="s">
        <v>12</v>
      </c>
      <c r="B5716" s="0" t="n">
        <v>1591639</v>
      </c>
      <c r="C5716" s="0" t="n">
        <v>1591659</v>
      </c>
      <c r="D5716" s="0" t="s">
        <v>19132</v>
      </c>
      <c r="E5716" s="0" t="s">
        <v>89</v>
      </c>
      <c r="F5716" s="0" t="s">
        <v>15</v>
      </c>
      <c r="G5716" s="0" t="s">
        <v>36</v>
      </c>
      <c r="H5716" s="0" t="n">
        <v>133</v>
      </c>
      <c r="I5716" s="0" t="s">
        <v>19136</v>
      </c>
      <c r="J5716" s="0" t="s">
        <v>19137</v>
      </c>
      <c r="K5716" s="0" t="s">
        <v>19138</v>
      </c>
      <c r="L5716" s="0" t="str">
        <f aca="false">HYPERLINK("https://www.ncbi.nlm.nih.gov/nuccore/CP000304.1?report=graph&amp;tracks=[key:gene_model_track,Options:GeneOnly]&amp;mk=1591583:1591602|offset_76|444444,1591640:1591659|offset_133|00cc00,1591663:1591682|offset_156|444444,1591707:1591726|offset_200|444444&amp;v=1591382:1591926&amp;c=444444", "offset 133")</f>
        <v>offset 133</v>
      </c>
    </row>
    <row r="5717" customFormat="false" ht="12.8" hidden="false" customHeight="false" outlineLevel="0" collapsed="false">
      <c r="A5717" s="0" t="s">
        <v>12</v>
      </c>
      <c r="B5717" s="0" t="n">
        <v>1591662</v>
      </c>
      <c r="C5717" s="0" t="n">
        <v>1591682</v>
      </c>
      <c r="D5717" s="0" t="s">
        <v>19132</v>
      </c>
      <c r="E5717" s="0" t="s">
        <v>89</v>
      </c>
      <c r="F5717" s="0" t="s">
        <v>15</v>
      </c>
      <c r="G5717" s="0" t="s">
        <v>16</v>
      </c>
      <c r="H5717" s="0" t="n">
        <v>156</v>
      </c>
      <c r="I5717" s="0" t="s">
        <v>19139</v>
      </c>
      <c r="J5717" s="0" t="s">
        <v>19140</v>
      </c>
      <c r="K5717" s="0" t="s">
        <v>19141</v>
      </c>
      <c r="L5717" s="0" t="str">
        <f aca="false">HYPERLINK("https://www.ncbi.nlm.nih.gov/nuccore/CP000304.1?report=graph&amp;tracks=[key:gene_model_track,Options:GeneOnly]&amp;mk=1591583:1591602|offset_76|444444,1591640:1591659|offset_133|444444,1591663:1591682|offset_156|00cc00,1591707:1591726|offset_200|444444&amp;v=1591382:1591926&amp;c=444444", "offset 156")</f>
        <v>offset 156</v>
      </c>
    </row>
    <row r="5718" customFormat="false" ht="12.8" hidden="false" customHeight="false" outlineLevel="0" collapsed="false">
      <c r="A5718" s="0" t="s">
        <v>12</v>
      </c>
      <c r="B5718" s="0" t="n">
        <v>1591706</v>
      </c>
      <c r="C5718" s="0" t="n">
        <v>1591726</v>
      </c>
      <c r="D5718" s="0" t="s">
        <v>19132</v>
      </c>
      <c r="E5718" s="0" t="s">
        <v>89</v>
      </c>
      <c r="F5718" s="0" t="s">
        <v>15</v>
      </c>
      <c r="G5718" s="0" t="s">
        <v>26</v>
      </c>
      <c r="H5718" s="0" t="n">
        <v>200</v>
      </c>
      <c r="I5718" s="0" t="s">
        <v>19142</v>
      </c>
      <c r="J5718" s="0" t="s">
        <v>19143</v>
      </c>
      <c r="K5718" s="0" t="s">
        <v>19144</v>
      </c>
      <c r="L5718" s="0" t="str">
        <f aca="false">HYPERLINK("https://www.ncbi.nlm.nih.gov/nuccore/CP000304.1?report=graph&amp;tracks=[key:gene_model_track,Options:GeneOnly]&amp;mk=1591583:1591602|offset_76|444444,1591640:1591659|offset_133|444444,1591663:1591682|offset_156|444444,1591707:1591726|offset_200|00cc00&amp;v=1591382:1591926&amp;c=444444", "offset 200")</f>
        <v>offset 200</v>
      </c>
    </row>
    <row r="5719" customFormat="false" ht="12.8" hidden="false" customHeight="false" outlineLevel="0" collapsed="false">
      <c r="A5719" s="0" t="s">
        <v>12</v>
      </c>
      <c r="B5719" s="0" t="n">
        <v>1592502</v>
      </c>
      <c r="C5719" s="0" t="n">
        <v>1592522</v>
      </c>
      <c r="D5719" s="0" t="s">
        <v>19145</v>
      </c>
      <c r="E5719" s="0" t="s">
        <v>89</v>
      </c>
      <c r="F5719" s="0" t="s">
        <v>15</v>
      </c>
      <c r="G5719" s="0" t="s">
        <v>36</v>
      </c>
      <c r="H5719" s="0" t="n">
        <v>0</v>
      </c>
      <c r="I5719" s="0" t="s">
        <v>19146</v>
      </c>
      <c r="J5719" s="0" t="s">
        <v>19147</v>
      </c>
      <c r="K5719" s="0" t="s">
        <v>19148</v>
      </c>
      <c r="L5719" s="0" t="str">
        <f aca="false">HYPERLINK("https://www.ncbi.nlm.nih.gov/nuccore/CP000304.1?report=graph&amp;tracks=[key:gene_model_track,Options:GeneOnly]&amp;mk=1592503:1592522|offset_0|00cc00,1592523:1592542|offset_20|444444,1592556:1592575|offset_53|444444,1592580:1592599|offset_77|444444&amp;v=1592302:1592799&amp;c=444444", "offset 0")</f>
        <v>offset 0</v>
      </c>
    </row>
    <row r="5720" customFormat="false" ht="12.8" hidden="false" customHeight="false" outlineLevel="0" collapsed="false">
      <c r="A5720" s="0" t="s">
        <v>12</v>
      </c>
      <c r="B5720" s="0" t="n">
        <v>1592522</v>
      </c>
      <c r="C5720" s="0" t="n">
        <v>1592542</v>
      </c>
      <c r="D5720" s="0" t="s">
        <v>19145</v>
      </c>
      <c r="E5720" s="0" t="s">
        <v>89</v>
      </c>
      <c r="F5720" s="0" t="s">
        <v>15</v>
      </c>
      <c r="G5720" s="0" t="s">
        <v>16</v>
      </c>
      <c r="H5720" s="0" t="n">
        <v>20</v>
      </c>
      <c r="I5720" s="0" t="s">
        <v>19149</v>
      </c>
      <c r="J5720" s="0" t="s">
        <v>19150</v>
      </c>
      <c r="K5720" s="0" t="s">
        <v>19151</v>
      </c>
      <c r="L5720" s="0" t="str">
        <f aca="false">HYPERLINK("https://www.ncbi.nlm.nih.gov/nuccore/CP000304.1?report=graph&amp;tracks=[key:gene_model_track,Options:GeneOnly]&amp;mk=1592503:1592522|offset_0|444444,1592523:1592542|offset_20|00cc00,1592556:1592575|offset_53|444444,1592580:1592599|offset_77|444444&amp;v=1592302:1592799&amp;c=444444", "offset 20")</f>
        <v>offset 20</v>
      </c>
    </row>
    <row r="5721" customFormat="false" ht="12.8" hidden="false" customHeight="false" outlineLevel="0" collapsed="false">
      <c r="A5721" s="0" t="s">
        <v>12</v>
      </c>
      <c r="B5721" s="0" t="n">
        <v>1592555</v>
      </c>
      <c r="C5721" s="0" t="n">
        <v>1592575</v>
      </c>
      <c r="D5721" s="0" t="s">
        <v>19145</v>
      </c>
      <c r="E5721" s="0" t="s">
        <v>89</v>
      </c>
      <c r="F5721" s="0" t="s">
        <v>15</v>
      </c>
      <c r="G5721" s="0" t="s">
        <v>16</v>
      </c>
      <c r="H5721" s="0" t="n">
        <v>53</v>
      </c>
      <c r="I5721" s="0" t="s">
        <v>19152</v>
      </c>
      <c r="J5721" s="0" t="s">
        <v>19153</v>
      </c>
      <c r="K5721" s="0" t="s">
        <v>19154</v>
      </c>
      <c r="L5721" s="0" t="str">
        <f aca="false">HYPERLINK("https://www.ncbi.nlm.nih.gov/nuccore/CP000304.1?report=graph&amp;tracks=[key:gene_model_track,Options:GeneOnly]&amp;mk=1592503:1592522|offset_0|444444,1592523:1592542|offset_20|444444,1592556:1592575|offset_53|00cc00,1592580:1592599|offset_77|444444&amp;v=1592302:1592799&amp;c=444444", "offset 53")</f>
        <v>offset 53</v>
      </c>
    </row>
    <row r="5722" customFormat="false" ht="12.8" hidden="false" customHeight="false" outlineLevel="0" collapsed="false">
      <c r="A5722" s="0" t="s">
        <v>12</v>
      </c>
      <c r="B5722" s="0" t="n">
        <v>1592579</v>
      </c>
      <c r="C5722" s="0" t="n">
        <v>1592599</v>
      </c>
      <c r="D5722" s="0" t="s">
        <v>19145</v>
      </c>
      <c r="E5722" s="0" t="s">
        <v>89</v>
      </c>
      <c r="F5722" s="0" t="s">
        <v>15</v>
      </c>
      <c r="G5722" s="0" t="s">
        <v>26</v>
      </c>
      <c r="H5722" s="0" t="n">
        <v>77</v>
      </c>
      <c r="I5722" s="0" t="s">
        <v>19155</v>
      </c>
      <c r="J5722" s="0" t="s">
        <v>19156</v>
      </c>
      <c r="K5722" s="0" t="s">
        <v>19157</v>
      </c>
      <c r="L5722" s="0" t="str">
        <f aca="false">HYPERLINK("https://www.ncbi.nlm.nih.gov/nuccore/CP000304.1?report=graph&amp;tracks=[key:gene_model_track,Options:GeneOnly]&amp;mk=1592503:1592522|offset_0|444444,1592523:1592542|offset_20|444444,1592556:1592575|offset_53|444444,1592580:1592599|offset_77|00cc00&amp;v=1592302:1592799&amp;c=444444", "offset 77")</f>
        <v>offset 77</v>
      </c>
    </row>
    <row r="5723" customFormat="false" ht="12.8" hidden="false" customHeight="false" outlineLevel="0" collapsed="false">
      <c r="A5723" s="0" t="s">
        <v>12</v>
      </c>
      <c r="B5723" s="0" t="n">
        <v>1593325</v>
      </c>
      <c r="C5723" s="0" t="n">
        <v>1593345</v>
      </c>
      <c r="D5723" s="0" t="s">
        <v>19158</v>
      </c>
      <c r="E5723" s="0" t="s">
        <v>89</v>
      </c>
      <c r="F5723" s="0" t="s">
        <v>90</v>
      </c>
      <c r="G5723" s="0" t="s">
        <v>32</v>
      </c>
      <c r="H5723" s="0" t="n">
        <v>29</v>
      </c>
      <c r="I5723" s="0" t="s">
        <v>19159</v>
      </c>
      <c r="J5723" s="0" t="s">
        <v>19160</v>
      </c>
      <c r="K5723" s="0" t="s">
        <v>19161</v>
      </c>
      <c r="L5723" s="0" t="str">
        <f aca="false">HYPERLINK("https://www.ncbi.nlm.nih.gov/nuccore/CP000304.1?report=graph&amp;tracks=[key:gene_model_track,Options:GeneOnly]&amp;mk=1593326:1593345|offset_29|00cc00,1593303:1593322|offset_52|444444,1593283:1593302|offset_72|444444,1593219:1593238|offset_136|444444&amp;v=1593125:1593438&amp;c=444444", "offset 29")</f>
        <v>offset 29</v>
      </c>
    </row>
    <row r="5724" customFormat="false" ht="12.8" hidden="false" customHeight="false" outlineLevel="0" collapsed="false">
      <c r="A5724" s="0" t="s">
        <v>12</v>
      </c>
      <c r="B5724" s="0" t="n">
        <v>1593302</v>
      </c>
      <c r="C5724" s="0" t="n">
        <v>1593322</v>
      </c>
      <c r="D5724" s="0" t="s">
        <v>19158</v>
      </c>
      <c r="E5724" s="0" t="s">
        <v>89</v>
      </c>
      <c r="F5724" s="0" t="s">
        <v>90</v>
      </c>
      <c r="G5724" s="0" t="s">
        <v>36</v>
      </c>
      <c r="H5724" s="0" t="n">
        <v>52</v>
      </c>
      <c r="I5724" s="0" t="s">
        <v>19162</v>
      </c>
      <c r="J5724" s="0" t="s">
        <v>19163</v>
      </c>
      <c r="K5724" s="0" t="s">
        <v>19164</v>
      </c>
      <c r="L5724" s="0" t="str">
        <f aca="false">HYPERLINK("https://www.ncbi.nlm.nih.gov/nuccore/CP000304.1?report=graph&amp;tracks=[key:gene_model_track,Options:GeneOnly]&amp;mk=1593326:1593345|offset_29|444444,1593303:1593322|offset_52|00cc00,1593283:1593302|offset_72|444444,1593219:1593238|offset_136|444444&amp;v=1593125:1593438&amp;c=444444", "offset 52")</f>
        <v>offset 52</v>
      </c>
    </row>
    <row r="5725" customFormat="false" ht="12.8" hidden="false" customHeight="false" outlineLevel="0" collapsed="false">
      <c r="A5725" s="0" t="s">
        <v>12</v>
      </c>
      <c r="B5725" s="0" t="n">
        <v>1593282</v>
      </c>
      <c r="C5725" s="0" t="n">
        <v>1593302</v>
      </c>
      <c r="D5725" s="0" t="s">
        <v>19158</v>
      </c>
      <c r="E5725" s="0" t="s">
        <v>89</v>
      </c>
      <c r="F5725" s="0" t="s">
        <v>90</v>
      </c>
      <c r="G5725" s="0" t="s">
        <v>16</v>
      </c>
      <c r="H5725" s="0" t="n">
        <v>72</v>
      </c>
      <c r="I5725" s="0" t="s">
        <v>19165</v>
      </c>
      <c r="J5725" s="0" t="s">
        <v>19166</v>
      </c>
      <c r="K5725" s="0" t="s">
        <v>19167</v>
      </c>
      <c r="L5725" s="0" t="str">
        <f aca="false">HYPERLINK("https://www.ncbi.nlm.nih.gov/nuccore/CP000304.1?report=graph&amp;tracks=[key:gene_model_track,Options:GeneOnly]&amp;mk=1593326:1593345|offset_29|444444,1593303:1593322|offset_52|444444,1593283:1593302|offset_72|00cc00,1593219:1593238|offset_136|444444&amp;v=1593125:1593438&amp;c=444444", "offset 72")</f>
        <v>offset 72</v>
      </c>
    </row>
    <row r="5726" customFormat="false" ht="12.8" hidden="false" customHeight="false" outlineLevel="0" collapsed="false">
      <c r="A5726" s="0" t="s">
        <v>12</v>
      </c>
      <c r="B5726" s="0" t="n">
        <v>1593218</v>
      </c>
      <c r="C5726" s="0" t="n">
        <v>1593238</v>
      </c>
      <c r="D5726" s="0" t="s">
        <v>19158</v>
      </c>
      <c r="E5726" s="0" t="s">
        <v>89</v>
      </c>
      <c r="F5726" s="0" t="s">
        <v>90</v>
      </c>
      <c r="G5726" s="0" t="s">
        <v>16</v>
      </c>
      <c r="H5726" s="0" t="n">
        <v>136</v>
      </c>
      <c r="I5726" s="0" t="s">
        <v>19168</v>
      </c>
      <c r="J5726" s="0" t="s">
        <v>19169</v>
      </c>
      <c r="K5726" s="0" t="s">
        <v>19170</v>
      </c>
      <c r="L5726" s="0" t="str">
        <f aca="false">HYPERLINK("https://www.ncbi.nlm.nih.gov/nuccore/CP000304.1?report=graph&amp;tracks=[key:gene_model_track,Options:GeneOnly]&amp;mk=1593326:1593345|offset_29|444444,1593303:1593322|offset_52|444444,1593283:1593302|offset_72|444444,1593219:1593238|offset_136|00cc00&amp;v=1593125:1593438&amp;c=444444", "offset 136")</f>
        <v>offset 136</v>
      </c>
    </row>
    <row r="5727" customFormat="false" ht="12.8" hidden="false" customHeight="false" outlineLevel="0" collapsed="false">
      <c r="A5727" s="0" t="s">
        <v>12</v>
      </c>
      <c r="B5727" s="0" t="n">
        <v>1595291</v>
      </c>
      <c r="C5727" s="0" t="n">
        <v>1595311</v>
      </c>
      <c r="D5727" s="0" t="s">
        <v>19171</v>
      </c>
      <c r="E5727" s="0" t="s">
        <v>89</v>
      </c>
      <c r="F5727" s="0" t="s">
        <v>90</v>
      </c>
      <c r="G5727" s="0" t="s">
        <v>16</v>
      </c>
      <c r="H5727" s="0" t="n">
        <v>9</v>
      </c>
      <c r="I5727" s="0" t="s">
        <v>19172</v>
      </c>
      <c r="J5727" s="0" t="s">
        <v>19173</v>
      </c>
      <c r="K5727" s="0" t="s">
        <v>19174</v>
      </c>
      <c r="L5727" s="0" t="str">
        <f aca="false">HYPERLINK("https://www.ncbi.nlm.nih.gov/nuccore/CP000304.1?report=graph&amp;tracks=[key:gene_model_track,Options:GeneOnly]&amp;mk=1595292:1595311|offset_9|00cc00,1595266:1595285|offset_35|444444,1595244:1595263|offset_57|444444,1595223:1595242|offset_78|444444&amp;v=1595091:1595442&amp;c=444444", "offset 9")</f>
        <v>offset 9</v>
      </c>
    </row>
    <row r="5728" customFormat="false" ht="12.8" hidden="false" customHeight="false" outlineLevel="0" collapsed="false">
      <c r="A5728" s="0" t="s">
        <v>12</v>
      </c>
      <c r="B5728" s="0" t="n">
        <v>1595265</v>
      </c>
      <c r="C5728" s="0" t="n">
        <v>1595285</v>
      </c>
      <c r="D5728" s="0" t="s">
        <v>19171</v>
      </c>
      <c r="E5728" s="0" t="s">
        <v>89</v>
      </c>
      <c r="F5728" s="0" t="s">
        <v>90</v>
      </c>
      <c r="G5728" s="0" t="s">
        <v>36</v>
      </c>
      <c r="H5728" s="0" t="n">
        <v>35</v>
      </c>
      <c r="I5728" s="0" t="s">
        <v>19175</v>
      </c>
      <c r="J5728" s="0" t="s">
        <v>19176</v>
      </c>
      <c r="K5728" s="0" t="s">
        <v>19177</v>
      </c>
      <c r="L5728" s="0" t="str">
        <f aca="false">HYPERLINK("https://www.ncbi.nlm.nih.gov/nuccore/CP000304.1?report=graph&amp;tracks=[key:gene_model_track,Options:GeneOnly]&amp;mk=1595292:1595311|offset_9|444444,1595266:1595285|offset_35|00cc00,1595244:1595263|offset_57|444444,1595223:1595242|offset_78|444444&amp;v=1595091:1595442&amp;c=444444", "offset 35")</f>
        <v>offset 35</v>
      </c>
    </row>
    <row r="5729" customFormat="false" ht="12.8" hidden="false" customHeight="false" outlineLevel="0" collapsed="false">
      <c r="A5729" s="0" t="s">
        <v>12</v>
      </c>
      <c r="B5729" s="0" t="n">
        <v>1595243</v>
      </c>
      <c r="C5729" s="0" t="n">
        <v>1595263</v>
      </c>
      <c r="D5729" s="0" t="s">
        <v>19171</v>
      </c>
      <c r="E5729" s="0" t="s">
        <v>89</v>
      </c>
      <c r="F5729" s="0" t="s">
        <v>90</v>
      </c>
      <c r="G5729" s="0" t="s">
        <v>26</v>
      </c>
      <c r="H5729" s="0" t="n">
        <v>57</v>
      </c>
      <c r="I5729" s="0" t="s">
        <v>19178</v>
      </c>
      <c r="J5729" s="0" t="s">
        <v>19179</v>
      </c>
      <c r="K5729" s="0" t="s">
        <v>19180</v>
      </c>
      <c r="L5729" s="0" t="str">
        <f aca="false">HYPERLINK("https://www.ncbi.nlm.nih.gov/nuccore/CP000304.1?report=graph&amp;tracks=[key:gene_model_track,Options:GeneOnly]&amp;mk=1595292:1595311|offset_9|444444,1595266:1595285|offset_35|444444,1595244:1595263|offset_57|00cc00,1595223:1595242|offset_78|444444&amp;v=1595091:1595442&amp;c=444444", "offset 57")</f>
        <v>offset 57</v>
      </c>
    </row>
    <row r="5730" customFormat="false" ht="12.8" hidden="false" customHeight="false" outlineLevel="0" collapsed="false">
      <c r="A5730" s="0" t="s">
        <v>12</v>
      </c>
      <c r="B5730" s="0" t="n">
        <v>1595222</v>
      </c>
      <c r="C5730" s="0" t="n">
        <v>1595242</v>
      </c>
      <c r="D5730" s="0" t="s">
        <v>19171</v>
      </c>
      <c r="E5730" s="0" t="s">
        <v>89</v>
      </c>
      <c r="F5730" s="0" t="s">
        <v>90</v>
      </c>
      <c r="G5730" s="0" t="s">
        <v>36</v>
      </c>
      <c r="H5730" s="0" t="n">
        <v>78</v>
      </c>
      <c r="I5730" s="0" t="s">
        <v>19181</v>
      </c>
      <c r="J5730" s="0" t="s">
        <v>19182</v>
      </c>
      <c r="K5730" s="0" t="s">
        <v>19183</v>
      </c>
      <c r="L5730" s="0" t="str">
        <f aca="false">HYPERLINK("https://www.ncbi.nlm.nih.gov/nuccore/CP000304.1?report=graph&amp;tracks=[key:gene_model_track,Options:GeneOnly]&amp;mk=1595292:1595311|offset_9|444444,1595266:1595285|offset_35|444444,1595244:1595263|offset_57|444444,1595223:1595242|offset_78|00cc00&amp;v=1595091:1595442&amp;c=444444", "offset 78")</f>
        <v>offset 78</v>
      </c>
    </row>
    <row r="5731" customFormat="false" ht="12.8" hidden="false" customHeight="false" outlineLevel="0" collapsed="false">
      <c r="A5731" s="0" t="s">
        <v>12</v>
      </c>
      <c r="B5731" s="0" t="n">
        <v>1596162</v>
      </c>
      <c r="C5731" s="0" t="n">
        <v>1596182</v>
      </c>
      <c r="D5731" s="0" t="s">
        <v>19184</v>
      </c>
      <c r="E5731" s="0" t="s">
        <v>89</v>
      </c>
      <c r="F5731" s="0" t="s">
        <v>90</v>
      </c>
      <c r="G5731" s="0" t="s">
        <v>36</v>
      </c>
      <c r="H5731" s="0" t="n">
        <v>13</v>
      </c>
      <c r="I5731" s="0" t="s">
        <v>19185</v>
      </c>
      <c r="J5731" s="0" t="s">
        <v>19186</v>
      </c>
      <c r="K5731" s="0" t="s">
        <v>19187</v>
      </c>
      <c r="L5731" s="0" t="str">
        <f aca="false">HYPERLINK("https://www.ncbi.nlm.nih.gov/nuccore/CP000304.1?report=graph&amp;tracks=[key:gene_model_track,Options:GeneOnly]&amp;mk=1596163:1596182|offset_13|00cc00,1596135:1596154|offset_41|444444,1596113:1596132|offset_63|444444,1596093:1596112|offset_83|444444&amp;v=1595962:1596312&amp;c=444444", "offset 13")</f>
        <v>offset 13</v>
      </c>
    </row>
    <row r="5732" customFormat="false" ht="12.8" hidden="false" customHeight="false" outlineLevel="0" collapsed="false">
      <c r="A5732" s="0" t="s">
        <v>12</v>
      </c>
      <c r="B5732" s="0" t="n">
        <v>1596134</v>
      </c>
      <c r="C5732" s="0" t="n">
        <v>1596154</v>
      </c>
      <c r="D5732" s="0" t="s">
        <v>19184</v>
      </c>
      <c r="E5732" s="0" t="s">
        <v>89</v>
      </c>
      <c r="F5732" s="0" t="s">
        <v>90</v>
      </c>
      <c r="G5732" s="0" t="s">
        <v>32</v>
      </c>
      <c r="H5732" s="0" t="n">
        <v>41</v>
      </c>
      <c r="I5732" s="0" t="s">
        <v>19188</v>
      </c>
      <c r="J5732" s="0" t="s">
        <v>19189</v>
      </c>
      <c r="K5732" s="0" t="s">
        <v>19190</v>
      </c>
      <c r="L5732" s="0" t="str">
        <f aca="false">HYPERLINK("https://www.ncbi.nlm.nih.gov/nuccore/CP000304.1?report=graph&amp;tracks=[key:gene_model_track,Options:GeneOnly]&amp;mk=1596163:1596182|offset_13|444444,1596135:1596154|offset_41|00cc00,1596113:1596132|offset_63|444444,1596093:1596112|offset_83|444444&amp;v=1595962:1596312&amp;c=444444", "offset 41")</f>
        <v>offset 41</v>
      </c>
    </row>
    <row r="5733" customFormat="false" ht="12.8" hidden="false" customHeight="false" outlineLevel="0" collapsed="false">
      <c r="A5733" s="0" t="s">
        <v>12</v>
      </c>
      <c r="B5733" s="0" t="n">
        <v>1596112</v>
      </c>
      <c r="C5733" s="0" t="n">
        <v>1596132</v>
      </c>
      <c r="D5733" s="0" t="s">
        <v>19184</v>
      </c>
      <c r="E5733" s="0" t="s">
        <v>89</v>
      </c>
      <c r="F5733" s="0" t="s">
        <v>90</v>
      </c>
      <c r="G5733" s="0" t="s">
        <v>36</v>
      </c>
      <c r="H5733" s="0" t="n">
        <v>63</v>
      </c>
      <c r="I5733" s="0" t="s">
        <v>19191</v>
      </c>
      <c r="J5733" s="0" t="s">
        <v>19192</v>
      </c>
      <c r="K5733" s="0" t="s">
        <v>19193</v>
      </c>
      <c r="L5733" s="0" t="str">
        <f aca="false">HYPERLINK("https://www.ncbi.nlm.nih.gov/nuccore/CP000304.1?report=graph&amp;tracks=[key:gene_model_track,Options:GeneOnly]&amp;mk=1596163:1596182|offset_13|444444,1596135:1596154|offset_41|444444,1596113:1596132|offset_63|00cc00,1596093:1596112|offset_83|444444&amp;v=1595962:1596312&amp;c=444444", "offset 63")</f>
        <v>offset 63</v>
      </c>
    </row>
    <row r="5734" customFormat="false" ht="12.8" hidden="false" customHeight="false" outlineLevel="0" collapsed="false">
      <c r="A5734" s="0" t="s">
        <v>12</v>
      </c>
      <c r="B5734" s="0" t="n">
        <v>1596092</v>
      </c>
      <c r="C5734" s="0" t="n">
        <v>1596112</v>
      </c>
      <c r="D5734" s="0" t="s">
        <v>19184</v>
      </c>
      <c r="E5734" s="0" t="s">
        <v>89</v>
      </c>
      <c r="F5734" s="0" t="s">
        <v>90</v>
      </c>
      <c r="G5734" s="0" t="s">
        <v>32</v>
      </c>
      <c r="H5734" s="0" t="n">
        <v>83</v>
      </c>
      <c r="I5734" s="0" t="s">
        <v>19194</v>
      </c>
      <c r="J5734" s="0" t="s">
        <v>19195</v>
      </c>
      <c r="K5734" s="0" t="s">
        <v>19196</v>
      </c>
      <c r="L5734" s="0" t="str">
        <f aca="false">HYPERLINK("https://www.ncbi.nlm.nih.gov/nuccore/CP000304.1?report=graph&amp;tracks=[key:gene_model_track,Options:GeneOnly]&amp;mk=1596163:1596182|offset_13|444444,1596135:1596154|offset_41|444444,1596113:1596132|offset_63|444444,1596093:1596112|offset_83|00cc00&amp;v=1595962:1596312&amp;c=444444", "offset 83")</f>
        <v>offset 83</v>
      </c>
    </row>
    <row r="5735" customFormat="false" ht="12.8" hidden="false" customHeight="false" outlineLevel="0" collapsed="false">
      <c r="A5735" s="0" t="s">
        <v>12</v>
      </c>
      <c r="B5735" s="0" t="n">
        <v>1597903</v>
      </c>
      <c r="C5735" s="0" t="n">
        <v>1597923</v>
      </c>
      <c r="D5735" s="0" t="s">
        <v>19197</v>
      </c>
      <c r="E5735" s="0" t="s">
        <v>89</v>
      </c>
      <c r="F5735" s="0" t="s">
        <v>90</v>
      </c>
      <c r="G5735" s="0" t="s">
        <v>32</v>
      </c>
      <c r="H5735" s="0" t="n">
        <v>52</v>
      </c>
      <c r="I5735" s="0" t="s">
        <v>19198</v>
      </c>
      <c r="J5735" s="0" t="s">
        <v>19199</v>
      </c>
      <c r="K5735" s="0" t="s">
        <v>19200</v>
      </c>
      <c r="L5735" s="0" t="str">
        <f aca="false">HYPERLINK("https://www.ncbi.nlm.nih.gov/nuccore/CP000304.1?report=graph&amp;tracks=[key:gene_model_track,Options:GeneOnly]&amp;mk=1597904:1597923|offset_52|00cc00,1597867:1597886|offset_89|444444,1597832:1597851|offset_124|444444,1597806:1597825|offset_150|444444&amp;v=1597703:1598025&amp;c=444444", "offset 52")</f>
        <v>offset 52</v>
      </c>
    </row>
    <row r="5736" customFormat="false" ht="12.8" hidden="false" customHeight="false" outlineLevel="0" collapsed="false">
      <c r="A5736" s="0" t="s">
        <v>12</v>
      </c>
      <c r="B5736" s="0" t="n">
        <v>1597866</v>
      </c>
      <c r="C5736" s="0" t="n">
        <v>1597886</v>
      </c>
      <c r="D5736" s="0" t="s">
        <v>19197</v>
      </c>
      <c r="E5736" s="0" t="s">
        <v>89</v>
      </c>
      <c r="F5736" s="0" t="s">
        <v>90</v>
      </c>
      <c r="G5736" s="0" t="s">
        <v>26</v>
      </c>
      <c r="H5736" s="0" t="n">
        <v>89</v>
      </c>
      <c r="I5736" s="0" t="s">
        <v>19201</v>
      </c>
      <c r="J5736" s="0" t="s">
        <v>19202</v>
      </c>
      <c r="K5736" s="0" t="s">
        <v>19203</v>
      </c>
      <c r="L5736" s="0" t="str">
        <f aca="false">HYPERLINK("https://www.ncbi.nlm.nih.gov/nuccore/CP000304.1?report=graph&amp;tracks=[key:gene_model_track,Options:GeneOnly]&amp;mk=1597904:1597923|offset_52|444444,1597867:1597886|offset_89|00cc00,1597832:1597851|offset_124|444444,1597806:1597825|offset_150|444444&amp;v=1597703:1598025&amp;c=444444", "offset 89")</f>
        <v>offset 89</v>
      </c>
    </row>
    <row r="5737" customFormat="false" ht="12.8" hidden="false" customHeight="false" outlineLevel="0" collapsed="false">
      <c r="A5737" s="0" t="s">
        <v>12</v>
      </c>
      <c r="B5737" s="0" t="n">
        <v>1597831</v>
      </c>
      <c r="C5737" s="0" t="n">
        <v>1597851</v>
      </c>
      <c r="D5737" s="0" t="s">
        <v>19197</v>
      </c>
      <c r="E5737" s="0" t="s">
        <v>89</v>
      </c>
      <c r="F5737" s="0" t="s">
        <v>90</v>
      </c>
      <c r="G5737" s="0" t="s">
        <v>26</v>
      </c>
      <c r="H5737" s="0" t="n">
        <v>124</v>
      </c>
      <c r="I5737" s="0" t="s">
        <v>19204</v>
      </c>
      <c r="J5737" s="0" t="s">
        <v>19205</v>
      </c>
      <c r="K5737" s="0" t="s">
        <v>19206</v>
      </c>
      <c r="L5737" s="0" t="str">
        <f aca="false">HYPERLINK("https://www.ncbi.nlm.nih.gov/nuccore/CP000304.1?report=graph&amp;tracks=[key:gene_model_track,Options:GeneOnly]&amp;mk=1597904:1597923|offset_52|444444,1597867:1597886|offset_89|444444,1597832:1597851|offset_124|00cc00,1597806:1597825|offset_150|444444&amp;v=1597703:1598025&amp;c=444444", "offset 124")</f>
        <v>offset 124</v>
      </c>
    </row>
    <row r="5738" customFormat="false" ht="12.8" hidden="false" customHeight="false" outlineLevel="0" collapsed="false">
      <c r="A5738" s="0" t="s">
        <v>12</v>
      </c>
      <c r="B5738" s="0" t="n">
        <v>1597805</v>
      </c>
      <c r="C5738" s="0" t="n">
        <v>1597825</v>
      </c>
      <c r="D5738" s="0" t="s">
        <v>19197</v>
      </c>
      <c r="E5738" s="0" t="s">
        <v>89</v>
      </c>
      <c r="F5738" s="0" t="s">
        <v>90</v>
      </c>
      <c r="G5738" s="0" t="s">
        <v>26</v>
      </c>
      <c r="H5738" s="0" t="n">
        <v>150</v>
      </c>
      <c r="I5738" s="0" t="s">
        <v>19207</v>
      </c>
      <c r="J5738" s="0" t="s">
        <v>19208</v>
      </c>
      <c r="K5738" s="0" t="s">
        <v>19209</v>
      </c>
      <c r="L5738" s="0" t="str">
        <f aca="false">HYPERLINK("https://www.ncbi.nlm.nih.gov/nuccore/CP000304.1?report=graph&amp;tracks=[key:gene_model_track,Options:GeneOnly]&amp;mk=1597904:1597923|offset_52|444444,1597867:1597886|offset_89|444444,1597832:1597851|offset_124|444444,1597806:1597825|offset_150|00cc00&amp;v=1597703:1598025&amp;c=444444", "offset 150")</f>
        <v>offset 150</v>
      </c>
    </row>
    <row r="5739" customFormat="false" ht="12.8" hidden="false" customHeight="false" outlineLevel="0" collapsed="false">
      <c r="A5739" s="0" t="s">
        <v>12</v>
      </c>
      <c r="B5739" s="0" t="n">
        <v>1599348</v>
      </c>
      <c r="C5739" s="0" t="n">
        <v>1599368</v>
      </c>
      <c r="D5739" s="0" t="s">
        <v>19210</v>
      </c>
      <c r="E5739" s="0" t="s">
        <v>89</v>
      </c>
      <c r="F5739" s="0" t="s">
        <v>90</v>
      </c>
      <c r="G5739" s="0" t="s">
        <v>16</v>
      </c>
      <c r="H5739" s="0" t="n">
        <v>7</v>
      </c>
      <c r="I5739" s="0" t="s">
        <v>19211</v>
      </c>
      <c r="J5739" s="0" t="s">
        <v>19212</v>
      </c>
      <c r="K5739" s="0" t="s">
        <v>19213</v>
      </c>
      <c r="L5739" s="0" t="str">
        <f aca="false">HYPERLINK("https://www.ncbi.nlm.nih.gov/nuccore/CP000304.1?report=graph&amp;tracks=[key:gene_model_track,Options:GeneOnly]&amp;mk=1599349:1599368|offset_7|00cc00,1599302:1599321|offset_54|444444,1599277:1599296|offset_79|444444,1599230:1599249|offset_126|444444&amp;v=1599148:1599449&amp;c=444444", "offset 7")</f>
        <v>offset 7</v>
      </c>
    </row>
    <row r="5740" customFormat="false" ht="12.8" hidden="false" customHeight="false" outlineLevel="0" collapsed="false">
      <c r="A5740" s="0" t="s">
        <v>12</v>
      </c>
      <c r="B5740" s="0" t="n">
        <v>1599301</v>
      </c>
      <c r="C5740" s="0" t="n">
        <v>1599321</v>
      </c>
      <c r="D5740" s="0" t="s">
        <v>19210</v>
      </c>
      <c r="E5740" s="0" t="s">
        <v>89</v>
      </c>
      <c r="F5740" s="0" t="s">
        <v>90</v>
      </c>
      <c r="G5740" s="0" t="s">
        <v>32</v>
      </c>
      <c r="H5740" s="0" t="n">
        <v>54</v>
      </c>
      <c r="I5740" s="0" t="s">
        <v>19214</v>
      </c>
      <c r="J5740" s="0" t="s">
        <v>19215</v>
      </c>
      <c r="K5740" s="0" t="s">
        <v>19216</v>
      </c>
      <c r="L5740" s="0" t="str">
        <f aca="false">HYPERLINK("https://www.ncbi.nlm.nih.gov/nuccore/CP000304.1?report=graph&amp;tracks=[key:gene_model_track,Options:GeneOnly]&amp;mk=1599349:1599368|offset_7|444444,1599302:1599321|offset_54|00cc00,1599277:1599296|offset_79|444444,1599230:1599249|offset_126|444444&amp;v=1599148:1599449&amp;c=444444", "offset 54")</f>
        <v>offset 54</v>
      </c>
    </row>
    <row r="5741" customFormat="false" ht="12.8" hidden="false" customHeight="false" outlineLevel="0" collapsed="false">
      <c r="A5741" s="0" t="s">
        <v>12</v>
      </c>
      <c r="B5741" s="0" t="n">
        <v>1599276</v>
      </c>
      <c r="C5741" s="0" t="n">
        <v>1599296</v>
      </c>
      <c r="D5741" s="0" t="s">
        <v>19210</v>
      </c>
      <c r="E5741" s="0" t="s">
        <v>89</v>
      </c>
      <c r="F5741" s="0" t="s">
        <v>90</v>
      </c>
      <c r="G5741" s="0" t="s">
        <v>32</v>
      </c>
      <c r="H5741" s="0" t="n">
        <v>79</v>
      </c>
      <c r="I5741" s="0" t="s">
        <v>19217</v>
      </c>
      <c r="J5741" s="0" t="s">
        <v>19218</v>
      </c>
      <c r="K5741" s="0" t="s">
        <v>19219</v>
      </c>
      <c r="L5741" s="0" t="str">
        <f aca="false">HYPERLINK("https://www.ncbi.nlm.nih.gov/nuccore/CP000304.1?report=graph&amp;tracks=[key:gene_model_track,Options:GeneOnly]&amp;mk=1599349:1599368|offset_7|444444,1599302:1599321|offset_54|444444,1599277:1599296|offset_79|00cc00,1599230:1599249|offset_126|444444&amp;v=1599148:1599449&amp;c=444444", "offset 79")</f>
        <v>offset 79</v>
      </c>
    </row>
    <row r="5742" customFormat="false" ht="12.8" hidden="false" customHeight="false" outlineLevel="0" collapsed="false">
      <c r="A5742" s="0" t="s">
        <v>12</v>
      </c>
      <c r="B5742" s="0" t="n">
        <v>1599229</v>
      </c>
      <c r="C5742" s="0" t="n">
        <v>1599249</v>
      </c>
      <c r="D5742" s="0" t="s">
        <v>19210</v>
      </c>
      <c r="E5742" s="0" t="s">
        <v>89</v>
      </c>
      <c r="F5742" s="0" t="s">
        <v>90</v>
      </c>
      <c r="G5742" s="0" t="s">
        <v>32</v>
      </c>
      <c r="H5742" s="0" t="n">
        <v>126</v>
      </c>
      <c r="I5742" s="0" t="s">
        <v>19220</v>
      </c>
      <c r="J5742" s="0" t="s">
        <v>19221</v>
      </c>
      <c r="K5742" s="0" t="s">
        <v>19222</v>
      </c>
      <c r="L5742" s="0" t="str">
        <f aca="false">HYPERLINK("https://www.ncbi.nlm.nih.gov/nuccore/CP000304.1?report=graph&amp;tracks=[key:gene_model_track,Options:GeneOnly]&amp;mk=1599349:1599368|offset_7|444444,1599302:1599321|offset_54|444444,1599277:1599296|offset_79|444444,1599230:1599249|offset_126|00cc00&amp;v=1599148:1599449&amp;c=444444", "offset 126")</f>
        <v>offset 126</v>
      </c>
    </row>
    <row r="5743" customFormat="false" ht="12.8" hidden="false" customHeight="false" outlineLevel="0" collapsed="false">
      <c r="A5743" s="0" t="s">
        <v>12</v>
      </c>
      <c r="B5743" s="0" t="n">
        <v>1601092</v>
      </c>
      <c r="C5743" s="0" t="n">
        <v>1601112</v>
      </c>
      <c r="D5743" s="0" t="s">
        <v>19223</v>
      </c>
      <c r="E5743" s="0" t="s">
        <v>89</v>
      </c>
      <c r="F5743" s="0" t="s">
        <v>90</v>
      </c>
      <c r="G5743" s="0" t="s">
        <v>26</v>
      </c>
      <c r="H5743" s="0" t="n">
        <v>12</v>
      </c>
      <c r="I5743" s="0" t="s">
        <v>19224</v>
      </c>
      <c r="J5743" s="0" t="s">
        <v>19225</v>
      </c>
      <c r="K5743" s="0" t="s">
        <v>19226</v>
      </c>
      <c r="L5743" s="0" t="str">
        <f aca="false">HYPERLINK("https://www.ncbi.nlm.nih.gov/nuccore/CP000304.1?report=graph&amp;tracks=[key:gene_model_track,Options:GeneOnly]&amp;mk=1601093:1601112|offset_12|00cc00,1601067:1601086|offset_38|444444,1601019:1601038|offset_86|444444,1600999:1601018|offset_106|444444&amp;v=1600892:1601218&amp;c=444444", "offset 12")</f>
        <v>offset 12</v>
      </c>
    </row>
    <row r="5744" customFormat="false" ht="12.8" hidden="false" customHeight="false" outlineLevel="0" collapsed="false">
      <c r="A5744" s="0" t="s">
        <v>12</v>
      </c>
      <c r="B5744" s="0" t="n">
        <v>1601066</v>
      </c>
      <c r="C5744" s="0" t="n">
        <v>1601086</v>
      </c>
      <c r="D5744" s="0" t="s">
        <v>19223</v>
      </c>
      <c r="E5744" s="0" t="s">
        <v>89</v>
      </c>
      <c r="F5744" s="0" t="s">
        <v>90</v>
      </c>
      <c r="G5744" s="0" t="s">
        <v>26</v>
      </c>
      <c r="H5744" s="0" t="n">
        <v>38</v>
      </c>
      <c r="I5744" s="0" t="s">
        <v>19227</v>
      </c>
      <c r="J5744" s="0" t="s">
        <v>19228</v>
      </c>
      <c r="K5744" s="0" t="s">
        <v>19229</v>
      </c>
      <c r="L5744" s="0" t="str">
        <f aca="false">HYPERLINK("https://www.ncbi.nlm.nih.gov/nuccore/CP000304.1?report=graph&amp;tracks=[key:gene_model_track,Options:GeneOnly]&amp;mk=1601093:1601112|offset_12|444444,1601067:1601086|offset_38|00cc00,1601019:1601038|offset_86|444444,1600999:1601018|offset_106|444444&amp;v=1600892:1601218&amp;c=444444", "offset 38")</f>
        <v>offset 38</v>
      </c>
    </row>
    <row r="5745" customFormat="false" ht="12.8" hidden="false" customHeight="false" outlineLevel="0" collapsed="false">
      <c r="A5745" s="0" t="s">
        <v>12</v>
      </c>
      <c r="B5745" s="0" t="n">
        <v>1601018</v>
      </c>
      <c r="C5745" s="0" t="n">
        <v>1601038</v>
      </c>
      <c r="D5745" s="0" t="s">
        <v>19223</v>
      </c>
      <c r="E5745" s="0" t="s">
        <v>89</v>
      </c>
      <c r="F5745" s="0" t="s">
        <v>90</v>
      </c>
      <c r="G5745" s="0" t="s">
        <v>26</v>
      </c>
      <c r="H5745" s="0" t="n">
        <v>86</v>
      </c>
      <c r="I5745" s="0" t="s">
        <v>19230</v>
      </c>
      <c r="J5745" s="0" t="s">
        <v>19231</v>
      </c>
      <c r="K5745" s="0" t="s">
        <v>19232</v>
      </c>
      <c r="L5745" s="0" t="str">
        <f aca="false">HYPERLINK("https://www.ncbi.nlm.nih.gov/nuccore/CP000304.1?report=graph&amp;tracks=[key:gene_model_track,Options:GeneOnly]&amp;mk=1601093:1601112|offset_12|444444,1601067:1601086|offset_38|444444,1601019:1601038|offset_86|00cc00,1600999:1601018|offset_106|444444&amp;v=1600892:1601218&amp;c=444444", "offset 86")</f>
        <v>offset 86</v>
      </c>
    </row>
    <row r="5746" customFormat="false" ht="12.8" hidden="false" customHeight="false" outlineLevel="0" collapsed="false">
      <c r="A5746" s="0" t="s">
        <v>12</v>
      </c>
      <c r="B5746" s="0" t="n">
        <v>1600998</v>
      </c>
      <c r="C5746" s="0" t="n">
        <v>1601018</v>
      </c>
      <c r="D5746" s="0" t="s">
        <v>19223</v>
      </c>
      <c r="E5746" s="0" t="s">
        <v>89</v>
      </c>
      <c r="F5746" s="0" t="s">
        <v>90</v>
      </c>
      <c r="G5746" s="0" t="s">
        <v>26</v>
      </c>
      <c r="H5746" s="0" t="n">
        <v>106</v>
      </c>
      <c r="I5746" s="0" t="s">
        <v>19233</v>
      </c>
      <c r="J5746" s="0" t="s">
        <v>19234</v>
      </c>
      <c r="K5746" s="0" t="s">
        <v>19235</v>
      </c>
      <c r="L5746" s="0" t="str">
        <f aca="false">HYPERLINK("https://www.ncbi.nlm.nih.gov/nuccore/CP000304.1?report=graph&amp;tracks=[key:gene_model_track,Options:GeneOnly]&amp;mk=1601093:1601112|offset_12|444444,1601067:1601086|offset_38|444444,1601019:1601038|offset_86|444444,1600999:1601018|offset_106|00cc00&amp;v=1600892:1601218&amp;c=444444", "offset 106")</f>
        <v>offset 106</v>
      </c>
    </row>
    <row r="5747" customFormat="false" ht="12.8" hidden="false" customHeight="false" outlineLevel="0" collapsed="false">
      <c r="A5747" s="0" t="s">
        <v>12</v>
      </c>
      <c r="B5747" s="0" t="n">
        <v>1602811</v>
      </c>
      <c r="C5747" s="0" t="n">
        <v>1602831</v>
      </c>
      <c r="D5747" s="0" t="s">
        <v>19236</v>
      </c>
      <c r="E5747" s="0" t="s">
        <v>19237</v>
      </c>
      <c r="F5747" s="0" t="s">
        <v>15</v>
      </c>
      <c r="G5747" s="0" t="s">
        <v>32</v>
      </c>
      <c r="H5747" s="0" t="n">
        <v>1</v>
      </c>
      <c r="I5747" s="0" t="s">
        <v>19238</v>
      </c>
      <c r="J5747" s="0" t="s">
        <v>19239</v>
      </c>
      <c r="K5747" s="0" t="s">
        <v>19240</v>
      </c>
      <c r="L5747" s="0" t="str">
        <f aca="false">HYPERLINK("https://www.ncbi.nlm.nih.gov/nuccore/CP000304.1?report=graph&amp;tracks=[key:gene_model_track,Options:GeneOnly]&amp;mk=1602812:1602831|offset_1|00cc00,1602842:1602861|offset_31|444444,1602891:1602910|offset_80|444444,1602942:1602961|offset_131|444444&amp;v=1602611:1603161&amp;c=444444", "offset 1")</f>
        <v>offset 1</v>
      </c>
    </row>
    <row r="5748" customFormat="false" ht="12.8" hidden="false" customHeight="false" outlineLevel="0" collapsed="false">
      <c r="A5748" s="0" t="s">
        <v>12</v>
      </c>
      <c r="B5748" s="0" t="n">
        <v>1602841</v>
      </c>
      <c r="C5748" s="0" t="n">
        <v>1602861</v>
      </c>
      <c r="D5748" s="0" t="s">
        <v>19236</v>
      </c>
      <c r="E5748" s="0" t="s">
        <v>19237</v>
      </c>
      <c r="F5748" s="0" t="s">
        <v>15</v>
      </c>
      <c r="G5748" s="0" t="s">
        <v>16</v>
      </c>
      <c r="H5748" s="0" t="n">
        <v>31</v>
      </c>
      <c r="I5748" s="0" t="s">
        <v>19241</v>
      </c>
      <c r="J5748" s="0" t="s">
        <v>19242</v>
      </c>
      <c r="K5748" s="0" t="s">
        <v>19243</v>
      </c>
      <c r="L5748" s="0" t="str">
        <f aca="false">HYPERLINK("https://www.ncbi.nlm.nih.gov/nuccore/CP000304.1?report=graph&amp;tracks=[key:gene_model_track,Options:GeneOnly]&amp;mk=1602812:1602831|offset_1|444444,1602842:1602861|offset_31|00cc00,1602891:1602910|offset_80|444444,1602942:1602961|offset_131|444444&amp;v=1602611:1603161&amp;c=444444", "offset 31")</f>
        <v>offset 31</v>
      </c>
    </row>
    <row r="5749" customFormat="false" ht="12.8" hidden="false" customHeight="false" outlineLevel="0" collapsed="false">
      <c r="A5749" s="0" t="s">
        <v>12</v>
      </c>
      <c r="B5749" s="0" t="n">
        <v>1602890</v>
      </c>
      <c r="C5749" s="0" t="n">
        <v>1602910</v>
      </c>
      <c r="D5749" s="0" t="s">
        <v>19236</v>
      </c>
      <c r="E5749" s="0" t="s">
        <v>19237</v>
      </c>
      <c r="F5749" s="0" t="s">
        <v>15</v>
      </c>
      <c r="G5749" s="0" t="s">
        <v>36</v>
      </c>
      <c r="H5749" s="0" t="n">
        <v>80</v>
      </c>
      <c r="I5749" s="0" t="s">
        <v>19244</v>
      </c>
      <c r="J5749" s="0" t="s">
        <v>19245</v>
      </c>
      <c r="K5749" s="0" t="s">
        <v>19246</v>
      </c>
      <c r="L5749" s="0" t="str">
        <f aca="false">HYPERLINK("https://www.ncbi.nlm.nih.gov/nuccore/CP000304.1?report=graph&amp;tracks=[key:gene_model_track,Options:GeneOnly]&amp;mk=1602812:1602831|offset_1|444444,1602842:1602861|offset_31|444444,1602891:1602910|offset_80|00cc00,1602942:1602961|offset_131|444444&amp;v=1602611:1603161&amp;c=444444", "offset 80")</f>
        <v>offset 80</v>
      </c>
    </row>
    <row r="5750" customFormat="false" ht="12.8" hidden="false" customHeight="false" outlineLevel="0" collapsed="false">
      <c r="A5750" s="0" t="s">
        <v>12</v>
      </c>
      <c r="B5750" s="0" t="n">
        <v>1602941</v>
      </c>
      <c r="C5750" s="0" t="n">
        <v>1602961</v>
      </c>
      <c r="D5750" s="0" t="s">
        <v>19236</v>
      </c>
      <c r="E5750" s="0" t="s">
        <v>19237</v>
      </c>
      <c r="F5750" s="0" t="s">
        <v>15</v>
      </c>
      <c r="G5750" s="0" t="s">
        <v>16</v>
      </c>
      <c r="H5750" s="0" t="n">
        <v>131</v>
      </c>
      <c r="I5750" s="0" t="s">
        <v>19247</v>
      </c>
      <c r="J5750" s="0" t="s">
        <v>19248</v>
      </c>
      <c r="K5750" s="0" t="s">
        <v>19249</v>
      </c>
      <c r="L5750" s="0" t="str">
        <f aca="false">HYPERLINK("https://www.ncbi.nlm.nih.gov/nuccore/CP000304.1?report=graph&amp;tracks=[key:gene_model_track,Options:GeneOnly]&amp;mk=1602812:1602831|offset_1|444444,1602842:1602861|offset_31|444444,1602891:1602910|offset_80|444444,1602942:1602961|offset_131|00cc00&amp;v=1602611:1603161&amp;c=444444", "offset 131")</f>
        <v>offset 131</v>
      </c>
    </row>
    <row r="5751" customFormat="false" ht="12.8" hidden="false" customHeight="false" outlineLevel="0" collapsed="false">
      <c r="A5751" s="0" t="s">
        <v>12</v>
      </c>
      <c r="B5751" s="0" t="n">
        <v>1607835</v>
      </c>
      <c r="C5751" s="0" t="n">
        <v>1607855</v>
      </c>
      <c r="D5751" s="0" t="s">
        <v>19250</v>
      </c>
      <c r="E5751" s="0" t="s">
        <v>89</v>
      </c>
      <c r="F5751" s="0" t="s">
        <v>90</v>
      </c>
      <c r="G5751" s="0" t="s">
        <v>26</v>
      </c>
      <c r="H5751" s="0" t="n">
        <v>11</v>
      </c>
      <c r="I5751" s="0" t="s">
        <v>19251</v>
      </c>
      <c r="J5751" s="0" t="s">
        <v>19252</v>
      </c>
      <c r="K5751" s="0" t="s">
        <v>19253</v>
      </c>
      <c r="L5751" s="0" t="str">
        <f aca="false">HYPERLINK("https://www.ncbi.nlm.nih.gov/nuccore/CP000304.1?report=graph&amp;tracks=[key:gene_model_track,Options:GeneOnly]&amp;mk=1607836:1607855|offset_11|00cc00,1607795:1607814|offset_52|444444,1607759:1607778|offset_88|444444,1607732:1607751|offset_115|444444&amp;v=1607635:1607951&amp;c=444444", "offset 11")</f>
        <v>offset 11</v>
      </c>
    </row>
    <row r="5752" customFormat="false" ht="12.8" hidden="false" customHeight="false" outlineLevel="0" collapsed="false">
      <c r="A5752" s="0" t="s">
        <v>12</v>
      </c>
      <c r="B5752" s="0" t="n">
        <v>1607794</v>
      </c>
      <c r="C5752" s="0" t="n">
        <v>1607814</v>
      </c>
      <c r="D5752" s="0" t="s">
        <v>19250</v>
      </c>
      <c r="E5752" s="0" t="s">
        <v>89</v>
      </c>
      <c r="F5752" s="0" t="s">
        <v>90</v>
      </c>
      <c r="G5752" s="0" t="s">
        <v>36</v>
      </c>
      <c r="H5752" s="0" t="n">
        <v>52</v>
      </c>
      <c r="I5752" s="0" t="s">
        <v>19254</v>
      </c>
      <c r="J5752" s="0" t="s">
        <v>19255</v>
      </c>
      <c r="K5752" s="0" t="s">
        <v>19256</v>
      </c>
      <c r="L5752" s="0" t="str">
        <f aca="false">HYPERLINK("https://www.ncbi.nlm.nih.gov/nuccore/CP000304.1?report=graph&amp;tracks=[key:gene_model_track,Options:GeneOnly]&amp;mk=1607836:1607855|offset_11|444444,1607795:1607814|offset_52|00cc00,1607759:1607778|offset_88|444444,1607732:1607751|offset_115|444444&amp;v=1607635:1607951&amp;c=444444", "offset 52")</f>
        <v>offset 52</v>
      </c>
    </row>
    <row r="5753" customFormat="false" ht="12.8" hidden="false" customHeight="false" outlineLevel="0" collapsed="false">
      <c r="A5753" s="0" t="s">
        <v>12</v>
      </c>
      <c r="B5753" s="0" t="n">
        <v>1607758</v>
      </c>
      <c r="C5753" s="0" t="n">
        <v>1607778</v>
      </c>
      <c r="D5753" s="0" t="s">
        <v>19250</v>
      </c>
      <c r="E5753" s="0" t="s">
        <v>89</v>
      </c>
      <c r="F5753" s="0" t="s">
        <v>90</v>
      </c>
      <c r="G5753" s="0" t="s">
        <v>32</v>
      </c>
      <c r="H5753" s="0" t="n">
        <v>88</v>
      </c>
      <c r="I5753" s="0" t="s">
        <v>19257</v>
      </c>
      <c r="J5753" s="0" t="s">
        <v>19258</v>
      </c>
      <c r="K5753" s="0" t="s">
        <v>19259</v>
      </c>
      <c r="L5753" s="0" t="str">
        <f aca="false">HYPERLINK("https://www.ncbi.nlm.nih.gov/nuccore/CP000304.1?report=graph&amp;tracks=[key:gene_model_track,Options:GeneOnly]&amp;mk=1607836:1607855|offset_11|444444,1607795:1607814|offset_52|444444,1607759:1607778|offset_88|00cc00,1607732:1607751|offset_115|444444&amp;v=1607635:1607951&amp;c=444444", "offset 88")</f>
        <v>offset 88</v>
      </c>
    </row>
    <row r="5754" customFormat="false" ht="12.8" hidden="false" customHeight="false" outlineLevel="0" collapsed="false">
      <c r="A5754" s="0" t="s">
        <v>12</v>
      </c>
      <c r="B5754" s="0" t="n">
        <v>1607731</v>
      </c>
      <c r="C5754" s="0" t="n">
        <v>1607751</v>
      </c>
      <c r="D5754" s="0" t="s">
        <v>19250</v>
      </c>
      <c r="E5754" s="0" t="s">
        <v>89</v>
      </c>
      <c r="F5754" s="0" t="s">
        <v>90</v>
      </c>
      <c r="G5754" s="0" t="s">
        <v>16</v>
      </c>
      <c r="H5754" s="0" t="n">
        <v>115</v>
      </c>
      <c r="I5754" s="0" t="s">
        <v>19260</v>
      </c>
      <c r="J5754" s="0" t="s">
        <v>19261</v>
      </c>
      <c r="K5754" s="0" t="s">
        <v>19262</v>
      </c>
      <c r="L5754" s="0" t="str">
        <f aca="false">HYPERLINK("https://www.ncbi.nlm.nih.gov/nuccore/CP000304.1?report=graph&amp;tracks=[key:gene_model_track,Options:GeneOnly]&amp;mk=1607836:1607855|offset_11|444444,1607795:1607814|offset_52|444444,1607759:1607778|offset_88|444444,1607732:1607751|offset_115|00cc00&amp;v=1607635:1607951&amp;c=444444", "offset 115")</f>
        <v>offset 115</v>
      </c>
    </row>
    <row r="5755" customFormat="false" ht="12.8" hidden="false" customHeight="false" outlineLevel="0" collapsed="false">
      <c r="A5755" s="0" t="s">
        <v>12</v>
      </c>
      <c r="B5755" s="0" t="n">
        <v>1609220</v>
      </c>
      <c r="C5755" s="0" t="n">
        <v>1609240</v>
      </c>
      <c r="D5755" s="0" t="s">
        <v>19263</v>
      </c>
      <c r="E5755" s="0" t="s">
        <v>89</v>
      </c>
      <c r="F5755" s="0" t="s">
        <v>90</v>
      </c>
      <c r="G5755" s="0" t="s">
        <v>26</v>
      </c>
      <c r="H5755" s="0" t="n">
        <v>32</v>
      </c>
      <c r="I5755" s="0" t="s">
        <v>19264</v>
      </c>
      <c r="J5755" s="0" t="s">
        <v>19265</v>
      </c>
      <c r="K5755" s="0" t="s">
        <v>19266</v>
      </c>
      <c r="L5755" s="0" t="str">
        <f aca="false">HYPERLINK("https://www.ncbi.nlm.nih.gov/nuccore/CP000304.1?report=graph&amp;tracks=[key:gene_model_track,Options:GeneOnly]&amp;mk=1609221:1609240|offset_32|00cc00,1609201:1609220|offset_52|444444,1609168:1609187|offset_85|444444,1609141:1609160|offset_112|444444&amp;v=1609020:1609360&amp;c=444444", "offset 32")</f>
        <v>offset 32</v>
      </c>
    </row>
    <row r="5756" customFormat="false" ht="12.8" hidden="false" customHeight="false" outlineLevel="0" collapsed="false">
      <c r="A5756" s="0" t="s">
        <v>12</v>
      </c>
      <c r="B5756" s="0" t="n">
        <v>1609200</v>
      </c>
      <c r="C5756" s="0" t="n">
        <v>1609220</v>
      </c>
      <c r="D5756" s="0" t="s">
        <v>19263</v>
      </c>
      <c r="E5756" s="0" t="s">
        <v>89</v>
      </c>
      <c r="F5756" s="0" t="s">
        <v>90</v>
      </c>
      <c r="G5756" s="0" t="s">
        <v>16</v>
      </c>
      <c r="H5756" s="0" t="n">
        <v>52</v>
      </c>
      <c r="I5756" s="0" t="s">
        <v>19267</v>
      </c>
      <c r="J5756" s="0" t="s">
        <v>19268</v>
      </c>
      <c r="K5756" s="0" t="s">
        <v>19269</v>
      </c>
      <c r="L5756" s="0" t="str">
        <f aca="false">HYPERLINK("https://www.ncbi.nlm.nih.gov/nuccore/CP000304.1?report=graph&amp;tracks=[key:gene_model_track,Options:GeneOnly]&amp;mk=1609221:1609240|offset_32|444444,1609201:1609220|offset_52|00cc00,1609168:1609187|offset_85|444444,1609141:1609160|offset_112|444444&amp;v=1609020:1609360&amp;c=444444", "offset 52")</f>
        <v>offset 52</v>
      </c>
    </row>
    <row r="5757" customFormat="false" ht="12.8" hidden="false" customHeight="false" outlineLevel="0" collapsed="false">
      <c r="A5757" s="0" t="s">
        <v>12</v>
      </c>
      <c r="B5757" s="0" t="n">
        <v>1609167</v>
      </c>
      <c r="C5757" s="0" t="n">
        <v>1609187</v>
      </c>
      <c r="D5757" s="0" t="s">
        <v>19263</v>
      </c>
      <c r="E5757" s="0" t="s">
        <v>89</v>
      </c>
      <c r="F5757" s="0" t="s">
        <v>90</v>
      </c>
      <c r="G5757" s="0" t="s">
        <v>32</v>
      </c>
      <c r="H5757" s="0" t="n">
        <v>85</v>
      </c>
      <c r="I5757" s="0" t="s">
        <v>19270</v>
      </c>
      <c r="J5757" s="0" t="s">
        <v>19271</v>
      </c>
      <c r="K5757" s="0" t="s">
        <v>19272</v>
      </c>
      <c r="L5757" s="0" t="str">
        <f aca="false">HYPERLINK("https://www.ncbi.nlm.nih.gov/nuccore/CP000304.1?report=graph&amp;tracks=[key:gene_model_track,Options:GeneOnly]&amp;mk=1609221:1609240|offset_32|444444,1609201:1609220|offset_52|444444,1609168:1609187|offset_85|00cc00,1609141:1609160|offset_112|444444&amp;v=1609020:1609360&amp;c=444444", "offset 85")</f>
        <v>offset 85</v>
      </c>
    </row>
    <row r="5758" customFormat="false" ht="12.8" hidden="false" customHeight="false" outlineLevel="0" collapsed="false">
      <c r="A5758" s="0" t="s">
        <v>12</v>
      </c>
      <c r="B5758" s="0" t="n">
        <v>1609140</v>
      </c>
      <c r="C5758" s="0" t="n">
        <v>1609160</v>
      </c>
      <c r="D5758" s="0" t="s">
        <v>19263</v>
      </c>
      <c r="E5758" s="0" t="s">
        <v>89</v>
      </c>
      <c r="F5758" s="0" t="s">
        <v>90</v>
      </c>
      <c r="G5758" s="0" t="s">
        <v>26</v>
      </c>
      <c r="H5758" s="0" t="n">
        <v>112</v>
      </c>
      <c r="I5758" s="0" t="s">
        <v>19273</v>
      </c>
      <c r="J5758" s="0" t="s">
        <v>19274</v>
      </c>
      <c r="K5758" s="0" t="s">
        <v>19275</v>
      </c>
      <c r="L5758" s="0" t="str">
        <f aca="false">HYPERLINK("https://www.ncbi.nlm.nih.gov/nuccore/CP000304.1?report=graph&amp;tracks=[key:gene_model_track,Options:GeneOnly]&amp;mk=1609221:1609240|offset_32|444444,1609201:1609220|offset_52|444444,1609168:1609187|offset_85|444444,1609141:1609160|offset_112|00cc00&amp;v=1609020:1609360&amp;c=444444", "offset 112")</f>
        <v>offset 112</v>
      </c>
    </row>
    <row r="5759" customFormat="false" ht="12.8" hidden="false" customHeight="false" outlineLevel="0" collapsed="false">
      <c r="A5759" s="0" t="s">
        <v>12</v>
      </c>
      <c r="B5759" s="0" t="n">
        <v>1610177</v>
      </c>
      <c r="C5759" s="0" t="n">
        <v>1610197</v>
      </c>
      <c r="D5759" s="0" t="s">
        <v>19276</v>
      </c>
      <c r="E5759" s="0" t="s">
        <v>89</v>
      </c>
      <c r="F5759" s="0" t="s">
        <v>15</v>
      </c>
      <c r="G5759" s="0" t="s">
        <v>26</v>
      </c>
      <c r="H5759" s="0" t="n">
        <v>10</v>
      </c>
      <c r="I5759" s="0" t="s">
        <v>19277</v>
      </c>
      <c r="J5759" s="0" t="s">
        <v>19278</v>
      </c>
      <c r="K5759" s="0" t="s">
        <v>19279</v>
      </c>
      <c r="L5759" s="0" t="str">
        <f aca="false">HYPERLINK("https://www.ncbi.nlm.nih.gov/nuccore/CP000304.1?report=graph&amp;tracks=[key:gene_model_track,Options:GeneOnly]&amp;mk=1610178:1610197|offset_10|00cc00,1610221:1610240|offset_53|444444,1610244:1610263|offset_76|444444,1610312:1610331|offset_144|444444&amp;v=1609977:1610531&amp;c=444444", "offset 10")</f>
        <v>offset 10</v>
      </c>
    </row>
    <row r="5760" customFormat="false" ht="12.8" hidden="false" customHeight="false" outlineLevel="0" collapsed="false">
      <c r="A5760" s="0" t="s">
        <v>12</v>
      </c>
      <c r="B5760" s="0" t="n">
        <v>1610220</v>
      </c>
      <c r="C5760" s="0" t="n">
        <v>1610240</v>
      </c>
      <c r="D5760" s="0" t="s">
        <v>19276</v>
      </c>
      <c r="E5760" s="0" t="s">
        <v>89</v>
      </c>
      <c r="F5760" s="0" t="s">
        <v>15</v>
      </c>
      <c r="G5760" s="0" t="s">
        <v>36</v>
      </c>
      <c r="H5760" s="0" t="n">
        <v>53</v>
      </c>
      <c r="I5760" s="0" t="s">
        <v>19280</v>
      </c>
      <c r="J5760" s="0" t="s">
        <v>19281</v>
      </c>
      <c r="K5760" s="0" t="s">
        <v>19282</v>
      </c>
      <c r="L5760" s="0" t="str">
        <f aca="false">HYPERLINK("https://www.ncbi.nlm.nih.gov/nuccore/CP000304.1?report=graph&amp;tracks=[key:gene_model_track,Options:GeneOnly]&amp;mk=1610178:1610197|offset_10|444444,1610221:1610240|offset_53|00cc00,1610244:1610263|offset_76|444444,1610312:1610331|offset_144|444444&amp;v=1609977:1610531&amp;c=444444", "offset 53")</f>
        <v>offset 53</v>
      </c>
    </row>
    <row r="5761" customFormat="false" ht="12.8" hidden="false" customHeight="false" outlineLevel="0" collapsed="false">
      <c r="A5761" s="0" t="s">
        <v>12</v>
      </c>
      <c r="B5761" s="0" t="n">
        <v>1610243</v>
      </c>
      <c r="C5761" s="0" t="n">
        <v>1610263</v>
      </c>
      <c r="D5761" s="0" t="s">
        <v>19276</v>
      </c>
      <c r="E5761" s="0" t="s">
        <v>89</v>
      </c>
      <c r="F5761" s="0" t="s">
        <v>15</v>
      </c>
      <c r="G5761" s="0" t="s">
        <v>26</v>
      </c>
      <c r="H5761" s="0" t="n">
        <v>76</v>
      </c>
      <c r="I5761" s="0" t="s">
        <v>19283</v>
      </c>
      <c r="J5761" s="0" t="s">
        <v>19284</v>
      </c>
      <c r="K5761" s="0" t="s">
        <v>19285</v>
      </c>
      <c r="L5761" s="0" t="str">
        <f aca="false">HYPERLINK("https://www.ncbi.nlm.nih.gov/nuccore/CP000304.1?report=graph&amp;tracks=[key:gene_model_track,Options:GeneOnly]&amp;mk=1610178:1610197|offset_10|444444,1610221:1610240|offset_53|444444,1610244:1610263|offset_76|00cc00,1610312:1610331|offset_144|444444&amp;v=1609977:1610531&amp;c=444444", "offset 76")</f>
        <v>offset 76</v>
      </c>
    </row>
    <row r="5762" customFormat="false" ht="12.8" hidden="false" customHeight="false" outlineLevel="0" collapsed="false">
      <c r="A5762" s="0" t="s">
        <v>12</v>
      </c>
      <c r="B5762" s="0" t="n">
        <v>1610311</v>
      </c>
      <c r="C5762" s="0" t="n">
        <v>1610331</v>
      </c>
      <c r="D5762" s="0" t="s">
        <v>19276</v>
      </c>
      <c r="E5762" s="0" t="s">
        <v>89</v>
      </c>
      <c r="F5762" s="0" t="s">
        <v>15</v>
      </c>
      <c r="G5762" s="0" t="s">
        <v>16</v>
      </c>
      <c r="H5762" s="0" t="n">
        <v>144</v>
      </c>
      <c r="I5762" s="0" t="s">
        <v>19286</v>
      </c>
      <c r="J5762" s="0" t="s">
        <v>19287</v>
      </c>
      <c r="K5762" s="0" t="s">
        <v>19288</v>
      </c>
      <c r="L5762" s="0" t="str">
        <f aca="false">HYPERLINK("https://www.ncbi.nlm.nih.gov/nuccore/CP000304.1?report=graph&amp;tracks=[key:gene_model_track,Options:GeneOnly]&amp;mk=1610178:1610197|offset_10|444444,1610221:1610240|offset_53|444444,1610244:1610263|offset_76|444444,1610312:1610331|offset_144|00cc00&amp;v=1609977:1610531&amp;c=444444", "offset 144")</f>
        <v>offset 144</v>
      </c>
    </row>
    <row r="5763" customFormat="false" ht="12.8" hidden="false" customHeight="false" outlineLevel="0" collapsed="false">
      <c r="A5763" s="0" t="s">
        <v>12</v>
      </c>
      <c r="B5763" s="0" t="n">
        <v>1611143</v>
      </c>
      <c r="C5763" s="0" t="n">
        <v>1611163</v>
      </c>
      <c r="D5763" s="0" t="s">
        <v>19289</v>
      </c>
      <c r="E5763" s="0" t="s">
        <v>89</v>
      </c>
      <c r="F5763" s="0" t="s">
        <v>15</v>
      </c>
      <c r="G5763" s="0" t="s">
        <v>32</v>
      </c>
      <c r="H5763" s="0" t="n">
        <v>1</v>
      </c>
      <c r="I5763" s="0" t="s">
        <v>19290</v>
      </c>
      <c r="J5763" s="0" t="s">
        <v>19291</v>
      </c>
      <c r="K5763" s="0" t="s">
        <v>19292</v>
      </c>
      <c r="L5763" s="0" t="str">
        <f aca="false">HYPERLINK("https://www.ncbi.nlm.nih.gov/nuccore/CP000304.1?report=graph&amp;tracks=[key:gene_model_track,Options:GeneOnly]&amp;mk=1611144:1611163|offset_1|00cc00,1611180:1611199|offset_37|444444,1611202:1611221|offset_59|444444,1611238:1611257|offset_95|444444&amp;v=1610943:1611457&amp;c=444444", "offset 1")</f>
        <v>offset 1</v>
      </c>
    </row>
    <row r="5764" customFormat="false" ht="12.8" hidden="false" customHeight="false" outlineLevel="0" collapsed="false">
      <c r="A5764" s="0" t="s">
        <v>12</v>
      </c>
      <c r="B5764" s="0" t="n">
        <v>1611179</v>
      </c>
      <c r="C5764" s="0" t="n">
        <v>1611199</v>
      </c>
      <c r="D5764" s="0" t="s">
        <v>19289</v>
      </c>
      <c r="E5764" s="0" t="s">
        <v>89</v>
      </c>
      <c r="F5764" s="0" t="s">
        <v>15</v>
      </c>
      <c r="G5764" s="0" t="s">
        <v>26</v>
      </c>
      <c r="H5764" s="0" t="n">
        <v>37</v>
      </c>
      <c r="I5764" s="0" t="s">
        <v>19293</v>
      </c>
      <c r="J5764" s="0" t="s">
        <v>19294</v>
      </c>
      <c r="K5764" s="0" t="s">
        <v>19295</v>
      </c>
      <c r="L5764" s="0" t="str">
        <f aca="false">HYPERLINK("https://www.ncbi.nlm.nih.gov/nuccore/CP000304.1?report=graph&amp;tracks=[key:gene_model_track,Options:GeneOnly]&amp;mk=1611144:1611163|offset_1|444444,1611180:1611199|offset_37|00cc00,1611202:1611221|offset_59|444444,1611238:1611257|offset_95|444444&amp;v=1610943:1611457&amp;c=444444", "offset 37")</f>
        <v>offset 37</v>
      </c>
    </row>
    <row r="5765" customFormat="false" ht="12.8" hidden="false" customHeight="false" outlineLevel="0" collapsed="false">
      <c r="A5765" s="0" t="s">
        <v>12</v>
      </c>
      <c r="B5765" s="0" t="n">
        <v>1611201</v>
      </c>
      <c r="C5765" s="0" t="n">
        <v>1611221</v>
      </c>
      <c r="D5765" s="0" t="s">
        <v>19289</v>
      </c>
      <c r="E5765" s="0" t="s">
        <v>89</v>
      </c>
      <c r="F5765" s="0" t="s">
        <v>15</v>
      </c>
      <c r="G5765" s="0" t="s">
        <v>16</v>
      </c>
      <c r="H5765" s="0" t="n">
        <v>59</v>
      </c>
      <c r="I5765" s="0" t="s">
        <v>19296</v>
      </c>
      <c r="J5765" s="0" t="s">
        <v>19297</v>
      </c>
      <c r="K5765" s="0" t="s">
        <v>19298</v>
      </c>
      <c r="L5765" s="0" t="str">
        <f aca="false">HYPERLINK("https://www.ncbi.nlm.nih.gov/nuccore/CP000304.1?report=graph&amp;tracks=[key:gene_model_track,Options:GeneOnly]&amp;mk=1611144:1611163|offset_1|444444,1611180:1611199|offset_37|444444,1611202:1611221|offset_59|00cc00,1611238:1611257|offset_95|444444&amp;v=1610943:1611457&amp;c=444444", "offset 59")</f>
        <v>offset 59</v>
      </c>
    </row>
    <row r="5766" customFormat="false" ht="12.8" hidden="false" customHeight="false" outlineLevel="0" collapsed="false">
      <c r="A5766" s="0" t="s">
        <v>12</v>
      </c>
      <c r="B5766" s="0" t="n">
        <v>1611237</v>
      </c>
      <c r="C5766" s="0" t="n">
        <v>1611257</v>
      </c>
      <c r="D5766" s="0" t="s">
        <v>19289</v>
      </c>
      <c r="E5766" s="0" t="s">
        <v>89</v>
      </c>
      <c r="F5766" s="0" t="s">
        <v>15</v>
      </c>
      <c r="G5766" s="0" t="s">
        <v>26</v>
      </c>
      <c r="H5766" s="0" t="n">
        <v>95</v>
      </c>
      <c r="I5766" s="0" t="s">
        <v>19299</v>
      </c>
      <c r="J5766" s="0" t="s">
        <v>19300</v>
      </c>
      <c r="K5766" s="0" t="s">
        <v>19301</v>
      </c>
      <c r="L5766" s="0" t="str">
        <f aca="false">HYPERLINK("https://www.ncbi.nlm.nih.gov/nuccore/CP000304.1?report=graph&amp;tracks=[key:gene_model_track,Options:GeneOnly]&amp;mk=1611144:1611163|offset_1|444444,1611180:1611199|offset_37|444444,1611202:1611221|offset_59|444444,1611238:1611257|offset_95|00cc00&amp;v=1610943:1611457&amp;c=444444", "offset 95")</f>
        <v>offset 95</v>
      </c>
    </row>
    <row r="5767" customFormat="false" ht="12.8" hidden="false" customHeight="false" outlineLevel="0" collapsed="false">
      <c r="A5767" s="0" t="s">
        <v>12</v>
      </c>
      <c r="B5767" s="0" t="n">
        <v>1612245</v>
      </c>
      <c r="C5767" s="0" t="n">
        <v>1612265</v>
      </c>
      <c r="D5767" s="0" t="s">
        <v>19302</v>
      </c>
      <c r="E5767" s="0" t="s">
        <v>89</v>
      </c>
      <c r="F5767" s="0" t="s">
        <v>15</v>
      </c>
      <c r="G5767" s="0" t="s">
        <v>36</v>
      </c>
      <c r="H5767" s="0" t="n">
        <v>16</v>
      </c>
      <c r="I5767" s="0" t="s">
        <v>19303</v>
      </c>
      <c r="J5767" s="0" t="s">
        <v>19304</v>
      </c>
      <c r="K5767" s="0" t="s">
        <v>19305</v>
      </c>
      <c r="L5767" s="0" t="str">
        <f aca="false">HYPERLINK("https://www.ncbi.nlm.nih.gov/nuccore/CP000304.1?report=graph&amp;tracks=[key:gene_model_track,Options:GeneOnly]&amp;mk=1612246:1612265|offset_16|00cc00,1612282:1612301|offset_52|444444,1612321:1612340|offset_91|444444,1612342:1612361|offset_112|444444&amp;v=1612045:1612561&amp;c=444444", "offset 16")</f>
        <v>offset 16</v>
      </c>
    </row>
    <row r="5768" customFormat="false" ht="12.8" hidden="false" customHeight="false" outlineLevel="0" collapsed="false">
      <c r="A5768" s="0" t="s">
        <v>12</v>
      </c>
      <c r="B5768" s="0" t="n">
        <v>1612281</v>
      </c>
      <c r="C5768" s="0" t="n">
        <v>1612301</v>
      </c>
      <c r="D5768" s="0" t="s">
        <v>19302</v>
      </c>
      <c r="E5768" s="0" t="s">
        <v>89</v>
      </c>
      <c r="F5768" s="0" t="s">
        <v>15</v>
      </c>
      <c r="G5768" s="0" t="s">
        <v>26</v>
      </c>
      <c r="H5768" s="0" t="n">
        <v>52</v>
      </c>
      <c r="I5768" s="0" t="s">
        <v>19306</v>
      </c>
      <c r="J5768" s="0" t="s">
        <v>19307</v>
      </c>
      <c r="K5768" s="0" t="s">
        <v>19308</v>
      </c>
      <c r="L5768" s="0" t="str">
        <f aca="false">HYPERLINK("https://www.ncbi.nlm.nih.gov/nuccore/CP000304.1?report=graph&amp;tracks=[key:gene_model_track,Options:GeneOnly]&amp;mk=1612246:1612265|offset_16|444444,1612282:1612301|offset_52|00cc00,1612321:1612340|offset_91|444444,1612342:1612361|offset_112|444444&amp;v=1612045:1612561&amp;c=444444", "offset 52")</f>
        <v>offset 52</v>
      </c>
    </row>
    <row r="5769" customFormat="false" ht="12.8" hidden="false" customHeight="false" outlineLevel="0" collapsed="false">
      <c r="A5769" s="0" t="s">
        <v>12</v>
      </c>
      <c r="B5769" s="0" t="n">
        <v>1612320</v>
      </c>
      <c r="C5769" s="0" t="n">
        <v>1612340</v>
      </c>
      <c r="D5769" s="0" t="s">
        <v>19302</v>
      </c>
      <c r="E5769" s="0" t="s">
        <v>89</v>
      </c>
      <c r="F5769" s="0" t="s">
        <v>15</v>
      </c>
      <c r="G5769" s="0" t="s">
        <v>32</v>
      </c>
      <c r="H5769" s="0" t="n">
        <v>91</v>
      </c>
      <c r="I5769" s="0" t="s">
        <v>19309</v>
      </c>
      <c r="J5769" s="0" t="s">
        <v>19310</v>
      </c>
      <c r="K5769" s="0" t="s">
        <v>19311</v>
      </c>
      <c r="L5769" s="0" t="str">
        <f aca="false">HYPERLINK("https://www.ncbi.nlm.nih.gov/nuccore/CP000304.1?report=graph&amp;tracks=[key:gene_model_track,Options:GeneOnly]&amp;mk=1612246:1612265|offset_16|444444,1612282:1612301|offset_52|444444,1612321:1612340|offset_91|00cc00,1612342:1612361|offset_112|444444&amp;v=1612045:1612561&amp;c=444444", "offset 91")</f>
        <v>offset 91</v>
      </c>
    </row>
    <row r="5770" customFormat="false" ht="12.8" hidden="false" customHeight="false" outlineLevel="0" collapsed="false">
      <c r="A5770" s="0" t="s">
        <v>12</v>
      </c>
      <c r="B5770" s="0" t="n">
        <v>1612341</v>
      </c>
      <c r="C5770" s="0" t="n">
        <v>1612361</v>
      </c>
      <c r="D5770" s="0" t="s">
        <v>19302</v>
      </c>
      <c r="E5770" s="0" t="s">
        <v>89</v>
      </c>
      <c r="F5770" s="0" t="s">
        <v>15</v>
      </c>
      <c r="G5770" s="0" t="s">
        <v>26</v>
      </c>
      <c r="H5770" s="0" t="n">
        <v>112</v>
      </c>
      <c r="I5770" s="0" t="s">
        <v>19312</v>
      </c>
      <c r="J5770" s="0" t="s">
        <v>19313</v>
      </c>
      <c r="K5770" s="0" t="s">
        <v>19314</v>
      </c>
      <c r="L5770" s="0" t="str">
        <f aca="false">HYPERLINK("https://www.ncbi.nlm.nih.gov/nuccore/CP000304.1?report=graph&amp;tracks=[key:gene_model_track,Options:GeneOnly]&amp;mk=1612246:1612265|offset_16|444444,1612282:1612301|offset_52|444444,1612321:1612340|offset_91|444444,1612342:1612361|offset_112|00cc00&amp;v=1612045:1612561&amp;c=444444", "offset 112")</f>
        <v>offset 112</v>
      </c>
    </row>
    <row r="5771" customFormat="false" ht="12.8" hidden="false" customHeight="false" outlineLevel="0" collapsed="false">
      <c r="A5771" s="0" t="s">
        <v>12</v>
      </c>
      <c r="B5771" s="0" t="n">
        <v>1613044</v>
      </c>
      <c r="C5771" s="0" t="n">
        <v>1613064</v>
      </c>
      <c r="D5771" s="0" t="s">
        <v>19315</v>
      </c>
      <c r="E5771" s="0" t="s">
        <v>89</v>
      </c>
      <c r="F5771" s="0" t="s">
        <v>15</v>
      </c>
      <c r="G5771" s="0" t="s">
        <v>16</v>
      </c>
      <c r="H5771" s="0" t="n">
        <v>57</v>
      </c>
      <c r="I5771" s="0" t="s">
        <v>19316</v>
      </c>
      <c r="J5771" s="0" t="s">
        <v>19317</v>
      </c>
      <c r="K5771" s="0" t="s">
        <v>19318</v>
      </c>
      <c r="L5771" s="0" t="str">
        <f aca="false">HYPERLINK("https://www.ncbi.nlm.nih.gov/nuccore/CP000304.1?report=graph&amp;tracks=[key:gene_model_track,Options:GeneOnly]&amp;mk=1613045:1613064|offset_57|00cc00,1613068:1613087|offset_80|444444,1613092:1613111|offset_104|444444,1613121:1613140|offset_133|444444&amp;v=1612844:1613340&amp;c=444444", "offset 57")</f>
        <v>offset 57</v>
      </c>
    </row>
    <row r="5772" customFormat="false" ht="12.8" hidden="false" customHeight="false" outlineLevel="0" collapsed="false">
      <c r="A5772" s="0" t="s">
        <v>12</v>
      </c>
      <c r="B5772" s="0" t="n">
        <v>1613067</v>
      </c>
      <c r="C5772" s="0" t="n">
        <v>1613087</v>
      </c>
      <c r="D5772" s="0" t="s">
        <v>19315</v>
      </c>
      <c r="E5772" s="0" t="s">
        <v>89</v>
      </c>
      <c r="F5772" s="0" t="s">
        <v>15</v>
      </c>
      <c r="G5772" s="0" t="s">
        <v>26</v>
      </c>
      <c r="H5772" s="0" t="n">
        <v>80</v>
      </c>
      <c r="I5772" s="0" t="s">
        <v>19319</v>
      </c>
      <c r="J5772" s="0" t="s">
        <v>19320</v>
      </c>
      <c r="K5772" s="0" t="s">
        <v>19321</v>
      </c>
      <c r="L5772" s="0" t="str">
        <f aca="false">HYPERLINK("https://www.ncbi.nlm.nih.gov/nuccore/CP000304.1?report=graph&amp;tracks=[key:gene_model_track,Options:GeneOnly]&amp;mk=1613045:1613064|offset_57|444444,1613068:1613087|offset_80|00cc00,1613092:1613111|offset_104|444444,1613121:1613140|offset_133|444444&amp;v=1612844:1613340&amp;c=444444", "offset 80")</f>
        <v>offset 80</v>
      </c>
    </row>
    <row r="5773" customFormat="false" ht="12.8" hidden="false" customHeight="false" outlineLevel="0" collapsed="false">
      <c r="A5773" s="0" t="s">
        <v>12</v>
      </c>
      <c r="B5773" s="0" t="n">
        <v>1613091</v>
      </c>
      <c r="C5773" s="0" t="n">
        <v>1613111</v>
      </c>
      <c r="D5773" s="0" t="s">
        <v>19315</v>
      </c>
      <c r="E5773" s="0" t="s">
        <v>89</v>
      </c>
      <c r="F5773" s="0" t="s">
        <v>15</v>
      </c>
      <c r="G5773" s="0" t="s">
        <v>36</v>
      </c>
      <c r="H5773" s="0" t="n">
        <v>104</v>
      </c>
      <c r="I5773" s="0" t="s">
        <v>19322</v>
      </c>
      <c r="J5773" s="0" t="s">
        <v>19323</v>
      </c>
      <c r="K5773" s="0" t="s">
        <v>19324</v>
      </c>
      <c r="L5773" s="0" t="str">
        <f aca="false">HYPERLINK("https://www.ncbi.nlm.nih.gov/nuccore/CP000304.1?report=graph&amp;tracks=[key:gene_model_track,Options:GeneOnly]&amp;mk=1613045:1613064|offset_57|444444,1613068:1613087|offset_80|444444,1613092:1613111|offset_104|00cc00,1613121:1613140|offset_133|444444&amp;v=1612844:1613340&amp;c=444444", "offset 104")</f>
        <v>offset 104</v>
      </c>
    </row>
    <row r="5774" customFormat="false" ht="12.8" hidden="false" customHeight="false" outlineLevel="0" collapsed="false">
      <c r="A5774" s="0" t="s">
        <v>12</v>
      </c>
      <c r="B5774" s="0" t="n">
        <v>1613120</v>
      </c>
      <c r="C5774" s="0" t="n">
        <v>1613140</v>
      </c>
      <c r="D5774" s="0" t="s">
        <v>19315</v>
      </c>
      <c r="E5774" s="0" t="s">
        <v>89</v>
      </c>
      <c r="F5774" s="0" t="s">
        <v>15</v>
      </c>
      <c r="G5774" s="0" t="s">
        <v>32</v>
      </c>
      <c r="H5774" s="0" t="n">
        <v>133</v>
      </c>
      <c r="I5774" s="0" t="s">
        <v>19325</v>
      </c>
      <c r="J5774" s="0" t="s">
        <v>19326</v>
      </c>
      <c r="K5774" s="0" t="s">
        <v>19327</v>
      </c>
      <c r="L5774" s="0" t="str">
        <f aca="false">HYPERLINK("https://www.ncbi.nlm.nih.gov/nuccore/CP000304.1?report=graph&amp;tracks=[key:gene_model_track,Options:GeneOnly]&amp;mk=1613045:1613064|offset_57|444444,1613068:1613087|offset_80|444444,1613092:1613111|offset_104|444444,1613121:1613140|offset_133|00cc00&amp;v=1612844:1613340&amp;c=444444", "offset 133")</f>
        <v>offset 133</v>
      </c>
    </row>
    <row r="5775" customFormat="false" ht="12.8" hidden="false" customHeight="false" outlineLevel="0" collapsed="false">
      <c r="A5775" s="0" t="s">
        <v>12</v>
      </c>
      <c r="B5775" s="0" t="n">
        <v>1614080</v>
      </c>
      <c r="C5775" s="0" t="n">
        <v>1614100</v>
      </c>
      <c r="D5775" s="0" t="s">
        <v>19328</v>
      </c>
      <c r="E5775" s="0" t="s">
        <v>89</v>
      </c>
      <c r="F5775" s="0" t="s">
        <v>15</v>
      </c>
      <c r="G5775" s="0" t="s">
        <v>16</v>
      </c>
      <c r="H5775" s="0" t="n">
        <v>13</v>
      </c>
      <c r="I5775" s="0" t="s">
        <v>19329</v>
      </c>
      <c r="J5775" s="0" t="s">
        <v>19330</v>
      </c>
      <c r="K5775" s="0" t="s">
        <v>19331</v>
      </c>
      <c r="L5775" s="0" t="str">
        <f aca="false">HYPERLINK("https://www.ncbi.nlm.nih.gov/nuccore/CP000304.1?report=graph&amp;tracks=[key:gene_model_track,Options:GeneOnly]&amp;mk=1614081:1614100|offset_13|00cc00,1614105:1614124|offset_37|444444,1614150:1614169|offset_82|444444,1614178:1614197|offset_110|444444&amp;v=1613880:1614397&amp;c=444444", "offset 13")</f>
        <v>offset 13</v>
      </c>
    </row>
    <row r="5776" customFormat="false" ht="12.8" hidden="false" customHeight="false" outlineLevel="0" collapsed="false">
      <c r="A5776" s="0" t="s">
        <v>12</v>
      </c>
      <c r="B5776" s="0" t="n">
        <v>1614104</v>
      </c>
      <c r="C5776" s="0" t="n">
        <v>1614124</v>
      </c>
      <c r="D5776" s="0" t="s">
        <v>19328</v>
      </c>
      <c r="E5776" s="0" t="s">
        <v>89</v>
      </c>
      <c r="F5776" s="0" t="s">
        <v>15</v>
      </c>
      <c r="G5776" s="0" t="s">
        <v>32</v>
      </c>
      <c r="H5776" s="0" t="n">
        <v>37</v>
      </c>
      <c r="I5776" s="0" t="s">
        <v>19332</v>
      </c>
      <c r="J5776" s="0" t="s">
        <v>19333</v>
      </c>
      <c r="K5776" s="0" t="s">
        <v>19334</v>
      </c>
      <c r="L5776" s="0" t="str">
        <f aca="false">HYPERLINK("https://www.ncbi.nlm.nih.gov/nuccore/CP000304.1?report=graph&amp;tracks=[key:gene_model_track,Options:GeneOnly]&amp;mk=1614081:1614100|offset_13|444444,1614105:1614124|offset_37|00cc00,1614150:1614169|offset_82|444444,1614178:1614197|offset_110|444444&amp;v=1613880:1614397&amp;c=444444", "offset 37")</f>
        <v>offset 37</v>
      </c>
    </row>
    <row r="5777" customFormat="false" ht="12.8" hidden="false" customHeight="false" outlineLevel="0" collapsed="false">
      <c r="A5777" s="0" t="s">
        <v>12</v>
      </c>
      <c r="B5777" s="0" t="n">
        <v>1614149</v>
      </c>
      <c r="C5777" s="0" t="n">
        <v>1614169</v>
      </c>
      <c r="D5777" s="0" t="s">
        <v>19328</v>
      </c>
      <c r="E5777" s="0" t="s">
        <v>89</v>
      </c>
      <c r="F5777" s="0" t="s">
        <v>15</v>
      </c>
      <c r="G5777" s="0" t="s">
        <v>16</v>
      </c>
      <c r="H5777" s="0" t="n">
        <v>82</v>
      </c>
      <c r="I5777" s="0" t="s">
        <v>19335</v>
      </c>
      <c r="J5777" s="0" t="s">
        <v>19336</v>
      </c>
      <c r="K5777" s="0" t="s">
        <v>19337</v>
      </c>
      <c r="L5777" s="0" t="str">
        <f aca="false">HYPERLINK("https://www.ncbi.nlm.nih.gov/nuccore/CP000304.1?report=graph&amp;tracks=[key:gene_model_track,Options:GeneOnly]&amp;mk=1614081:1614100|offset_13|444444,1614105:1614124|offset_37|444444,1614150:1614169|offset_82|00cc00,1614178:1614197|offset_110|444444&amp;v=1613880:1614397&amp;c=444444", "offset 82")</f>
        <v>offset 82</v>
      </c>
    </row>
    <row r="5778" customFormat="false" ht="12.8" hidden="false" customHeight="false" outlineLevel="0" collapsed="false">
      <c r="A5778" s="0" t="s">
        <v>12</v>
      </c>
      <c r="B5778" s="0" t="n">
        <v>1614177</v>
      </c>
      <c r="C5778" s="0" t="n">
        <v>1614197</v>
      </c>
      <c r="D5778" s="0" t="s">
        <v>19328</v>
      </c>
      <c r="E5778" s="0" t="s">
        <v>89</v>
      </c>
      <c r="F5778" s="0" t="s">
        <v>15</v>
      </c>
      <c r="G5778" s="0" t="s">
        <v>32</v>
      </c>
      <c r="H5778" s="0" t="n">
        <v>110</v>
      </c>
      <c r="I5778" s="0" t="s">
        <v>19338</v>
      </c>
      <c r="J5778" s="0" t="s">
        <v>19339</v>
      </c>
      <c r="K5778" s="0" t="s">
        <v>19340</v>
      </c>
      <c r="L5778" s="0" t="str">
        <f aca="false">HYPERLINK("https://www.ncbi.nlm.nih.gov/nuccore/CP000304.1?report=graph&amp;tracks=[key:gene_model_track,Options:GeneOnly]&amp;mk=1614081:1614100|offset_13|444444,1614105:1614124|offset_37|444444,1614150:1614169|offset_82|444444,1614178:1614197|offset_110|00cc00&amp;v=1613880:1614397&amp;c=444444", "offset 110")</f>
        <v>offset 110</v>
      </c>
    </row>
    <row r="5779" customFormat="false" ht="12.8" hidden="false" customHeight="false" outlineLevel="0" collapsed="false">
      <c r="A5779" s="0" t="s">
        <v>12</v>
      </c>
      <c r="B5779" s="0" t="n">
        <v>1614610</v>
      </c>
      <c r="C5779" s="0" t="n">
        <v>1614630</v>
      </c>
      <c r="D5779" s="0" t="s">
        <v>19341</v>
      </c>
      <c r="E5779" s="0" t="s">
        <v>19342</v>
      </c>
      <c r="F5779" s="0" t="s">
        <v>90</v>
      </c>
      <c r="G5779" s="0" t="s">
        <v>16</v>
      </c>
      <c r="H5779" s="0" t="n">
        <v>19</v>
      </c>
      <c r="I5779" s="0" t="s">
        <v>19343</v>
      </c>
      <c r="J5779" s="0" t="s">
        <v>19344</v>
      </c>
      <c r="K5779" s="0" t="s">
        <v>19345</v>
      </c>
      <c r="L5779" s="0" t="str">
        <f aca="false">HYPERLINK("https://www.ncbi.nlm.nih.gov/nuccore/CP000304.1?report=graph&amp;tracks=[key:gene_model_track,Options:GeneOnly]&amp;mk=1614611:1614630|offset_19|00cc00,1614584:1614603|offset_46|444444,1614564:1614583|offset_66|444444,1614541:1614560|offset_89|444444&amp;v=1614410:1614760&amp;c=444444", "offset 19")</f>
        <v>offset 19</v>
      </c>
    </row>
    <row r="5780" customFormat="false" ht="12.8" hidden="false" customHeight="false" outlineLevel="0" collapsed="false">
      <c r="A5780" s="0" t="s">
        <v>12</v>
      </c>
      <c r="B5780" s="0" t="n">
        <v>1614583</v>
      </c>
      <c r="C5780" s="0" t="n">
        <v>1614603</v>
      </c>
      <c r="D5780" s="0" t="s">
        <v>19341</v>
      </c>
      <c r="E5780" s="0" t="s">
        <v>19342</v>
      </c>
      <c r="F5780" s="0" t="s">
        <v>90</v>
      </c>
      <c r="G5780" s="0" t="s">
        <v>16</v>
      </c>
      <c r="H5780" s="0" t="n">
        <v>46</v>
      </c>
      <c r="I5780" s="0" t="s">
        <v>19346</v>
      </c>
      <c r="J5780" s="0" t="s">
        <v>19347</v>
      </c>
      <c r="K5780" s="0" t="s">
        <v>19348</v>
      </c>
      <c r="L5780" s="0" t="str">
        <f aca="false">HYPERLINK("https://www.ncbi.nlm.nih.gov/nuccore/CP000304.1?report=graph&amp;tracks=[key:gene_model_track,Options:GeneOnly]&amp;mk=1614611:1614630|offset_19|444444,1614584:1614603|offset_46|00cc00,1614564:1614583|offset_66|444444,1614541:1614560|offset_89|444444&amp;v=1614410:1614760&amp;c=444444", "offset 46")</f>
        <v>offset 46</v>
      </c>
    </row>
    <row r="5781" customFormat="false" ht="12.8" hidden="false" customHeight="false" outlineLevel="0" collapsed="false">
      <c r="A5781" s="0" t="s">
        <v>12</v>
      </c>
      <c r="B5781" s="0" t="n">
        <v>1614563</v>
      </c>
      <c r="C5781" s="0" t="n">
        <v>1614583</v>
      </c>
      <c r="D5781" s="0" t="s">
        <v>19341</v>
      </c>
      <c r="E5781" s="0" t="s">
        <v>19342</v>
      </c>
      <c r="F5781" s="0" t="s">
        <v>90</v>
      </c>
      <c r="G5781" s="0" t="s">
        <v>16</v>
      </c>
      <c r="H5781" s="0" t="n">
        <v>66</v>
      </c>
      <c r="I5781" s="0" t="s">
        <v>19349</v>
      </c>
      <c r="J5781" s="0" t="s">
        <v>19350</v>
      </c>
      <c r="K5781" s="0" t="s">
        <v>19351</v>
      </c>
      <c r="L5781" s="0" t="str">
        <f aca="false">HYPERLINK("https://www.ncbi.nlm.nih.gov/nuccore/CP000304.1?report=graph&amp;tracks=[key:gene_model_track,Options:GeneOnly]&amp;mk=1614611:1614630|offset_19|444444,1614584:1614603|offset_46|444444,1614564:1614583|offset_66|00cc00,1614541:1614560|offset_89|444444&amp;v=1614410:1614760&amp;c=444444", "offset 66")</f>
        <v>offset 66</v>
      </c>
    </row>
    <row r="5782" customFormat="false" ht="12.8" hidden="false" customHeight="false" outlineLevel="0" collapsed="false">
      <c r="A5782" s="0" t="s">
        <v>12</v>
      </c>
      <c r="B5782" s="0" t="n">
        <v>1614540</v>
      </c>
      <c r="C5782" s="0" t="n">
        <v>1614560</v>
      </c>
      <c r="D5782" s="0" t="s">
        <v>19341</v>
      </c>
      <c r="E5782" s="0" t="s">
        <v>19342</v>
      </c>
      <c r="F5782" s="0" t="s">
        <v>90</v>
      </c>
      <c r="G5782" s="0" t="s">
        <v>36</v>
      </c>
      <c r="H5782" s="0" t="n">
        <v>89</v>
      </c>
      <c r="I5782" s="0" t="s">
        <v>19352</v>
      </c>
      <c r="J5782" s="0" t="s">
        <v>19353</v>
      </c>
      <c r="K5782" s="0" t="s">
        <v>19354</v>
      </c>
      <c r="L5782" s="0" t="str">
        <f aca="false">HYPERLINK("https://www.ncbi.nlm.nih.gov/nuccore/CP000304.1?report=graph&amp;tracks=[key:gene_model_track,Options:GeneOnly]&amp;mk=1614611:1614630|offset_19|444444,1614584:1614603|offset_46|444444,1614564:1614583|offset_66|444444,1614541:1614560|offset_89|00cc00&amp;v=1614410:1614760&amp;c=444444", "offset 89")</f>
        <v>offset 89</v>
      </c>
    </row>
    <row r="5783" customFormat="false" ht="12.8" hidden="false" customHeight="false" outlineLevel="0" collapsed="false">
      <c r="A5783" s="0" t="s">
        <v>12</v>
      </c>
      <c r="B5783" s="0" t="n">
        <v>1617416</v>
      </c>
      <c r="C5783" s="0" t="n">
        <v>1617436</v>
      </c>
      <c r="D5783" s="0" t="s">
        <v>19355</v>
      </c>
      <c r="E5783" s="0" t="s">
        <v>19356</v>
      </c>
      <c r="F5783" s="0" t="s">
        <v>90</v>
      </c>
      <c r="G5783" s="0" t="s">
        <v>26</v>
      </c>
      <c r="H5783" s="0" t="n">
        <v>10</v>
      </c>
      <c r="I5783" s="0" t="s">
        <v>19357</v>
      </c>
      <c r="J5783" s="0" t="s">
        <v>19358</v>
      </c>
      <c r="K5783" s="0" t="s">
        <v>19359</v>
      </c>
      <c r="L5783" s="0" t="str">
        <f aca="false">HYPERLINK("https://www.ncbi.nlm.nih.gov/nuccore/CP000304.1?report=graph&amp;tracks=[key:gene_model_track,Options:GeneOnly]&amp;mk=1617417:1617436|offset_10|00cc00,1617396:1617415|offset_31|444444,1617372:1617391|offset_55|444444,1617352:1617371|offset_75|444444&amp;v=1617216:1617571&amp;c=444444", "offset 10")</f>
        <v>offset 10</v>
      </c>
    </row>
    <row r="5784" customFormat="false" ht="12.8" hidden="false" customHeight="false" outlineLevel="0" collapsed="false">
      <c r="A5784" s="0" t="s">
        <v>12</v>
      </c>
      <c r="B5784" s="0" t="n">
        <v>1617395</v>
      </c>
      <c r="C5784" s="0" t="n">
        <v>1617415</v>
      </c>
      <c r="D5784" s="0" t="s">
        <v>19355</v>
      </c>
      <c r="E5784" s="0" t="s">
        <v>19356</v>
      </c>
      <c r="F5784" s="0" t="s">
        <v>90</v>
      </c>
      <c r="G5784" s="0" t="s">
        <v>36</v>
      </c>
      <c r="H5784" s="0" t="n">
        <v>31</v>
      </c>
      <c r="I5784" s="0" t="s">
        <v>19360</v>
      </c>
      <c r="J5784" s="0" t="s">
        <v>19361</v>
      </c>
      <c r="K5784" s="0" t="s">
        <v>19362</v>
      </c>
      <c r="L5784" s="0" t="str">
        <f aca="false">HYPERLINK("https://www.ncbi.nlm.nih.gov/nuccore/CP000304.1?report=graph&amp;tracks=[key:gene_model_track,Options:GeneOnly]&amp;mk=1617417:1617436|offset_10|444444,1617396:1617415|offset_31|00cc00,1617372:1617391|offset_55|444444,1617352:1617371|offset_75|444444&amp;v=1617216:1617571&amp;c=444444", "offset 31")</f>
        <v>offset 31</v>
      </c>
    </row>
    <row r="5785" customFormat="false" ht="12.8" hidden="false" customHeight="false" outlineLevel="0" collapsed="false">
      <c r="A5785" s="0" t="s">
        <v>12</v>
      </c>
      <c r="B5785" s="0" t="n">
        <v>1617371</v>
      </c>
      <c r="C5785" s="0" t="n">
        <v>1617391</v>
      </c>
      <c r="D5785" s="0" t="s">
        <v>19355</v>
      </c>
      <c r="E5785" s="0" t="s">
        <v>19356</v>
      </c>
      <c r="F5785" s="0" t="s">
        <v>90</v>
      </c>
      <c r="G5785" s="0" t="s">
        <v>36</v>
      </c>
      <c r="H5785" s="0" t="n">
        <v>55</v>
      </c>
      <c r="I5785" s="0" t="s">
        <v>19363</v>
      </c>
      <c r="J5785" s="0" t="s">
        <v>19364</v>
      </c>
      <c r="K5785" s="0" t="s">
        <v>19365</v>
      </c>
      <c r="L5785" s="0" t="str">
        <f aca="false">HYPERLINK("https://www.ncbi.nlm.nih.gov/nuccore/CP000304.1?report=graph&amp;tracks=[key:gene_model_track,Options:GeneOnly]&amp;mk=1617417:1617436|offset_10|444444,1617396:1617415|offset_31|444444,1617372:1617391|offset_55|00cc00,1617352:1617371|offset_75|444444&amp;v=1617216:1617571&amp;c=444444", "offset 55")</f>
        <v>offset 55</v>
      </c>
    </row>
    <row r="5786" customFormat="false" ht="12.8" hidden="false" customHeight="false" outlineLevel="0" collapsed="false">
      <c r="A5786" s="0" t="s">
        <v>12</v>
      </c>
      <c r="B5786" s="0" t="n">
        <v>1617351</v>
      </c>
      <c r="C5786" s="0" t="n">
        <v>1617371</v>
      </c>
      <c r="D5786" s="0" t="s">
        <v>19355</v>
      </c>
      <c r="E5786" s="0" t="s">
        <v>19356</v>
      </c>
      <c r="F5786" s="0" t="s">
        <v>90</v>
      </c>
      <c r="G5786" s="0" t="s">
        <v>26</v>
      </c>
      <c r="H5786" s="0" t="n">
        <v>75</v>
      </c>
      <c r="I5786" s="0" t="s">
        <v>19366</v>
      </c>
      <c r="J5786" s="0" t="s">
        <v>19367</v>
      </c>
      <c r="K5786" s="0" t="s">
        <v>19368</v>
      </c>
      <c r="L5786" s="0" t="str">
        <f aca="false">HYPERLINK("https://www.ncbi.nlm.nih.gov/nuccore/CP000304.1?report=graph&amp;tracks=[key:gene_model_track,Options:GeneOnly]&amp;mk=1617417:1617436|offset_10|444444,1617396:1617415|offset_31|444444,1617372:1617391|offset_55|444444,1617352:1617371|offset_75|00cc00&amp;v=1617216:1617571&amp;c=444444", "offset 75")</f>
        <v>offset 75</v>
      </c>
    </row>
    <row r="5787" customFormat="false" ht="12.8" hidden="false" customHeight="false" outlineLevel="0" collapsed="false">
      <c r="A5787" s="0" t="s">
        <v>12</v>
      </c>
      <c r="B5787" s="0" t="n">
        <v>1617824</v>
      </c>
      <c r="C5787" s="0" t="n">
        <v>1617844</v>
      </c>
      <c r="D5787" s="0" t="s">
        <v>19369</v>
      </c>
      <c r="E5787" s="0" t="s">
        <v>89</v>
      </c>
      <c r="F5787" s="0" t="s">
        <v>15</v>
      </c>
      <c r="G5787" s="0" t="s">
        <v>36</v>
      </c>
      <c r="H5787" s="0" t="n">
        <v>7</v>
      </c>
      <c r="I5787" s="0" t="s">
        <v>19370</v>
      </c>
      <c r="J5787" s="0" t="s">
        <v>19371</v>
      </c>
      <c r="K5787" s="0" t="s">
        <v>19372</v>
      </c>
      <c r="L5787" s="0" t="str">
        <f aca="false">HYPERLINK("https://www.ncbi.nlm.nih.gov/nuccore/CP000304.1?report=graph&amp;tracks=[key:gene_model_track,Options:GeneOnly]&amp;mk=1617825:1617844|offset_7|00cc00,1617846:1617865|offset_28|444444,1617876:1617895|offset_58|444444,1617933:1617952|offset_115|444444&amp;v=1617624:1618152&amp;c=444444", "offset 7")</f>
        <v>offset 7</v>
      </c>
    </row>
    <row r="5788" customFormat="false" ht="12.8" hidden="false" customHeight="false" outlineLevel="0" collapsed="false">
      <c r="A5788" s="0" t="s">
        <v>12</v>
      </c>
      <c r="B5788" s="0" t="n">
        <v>1617845</v>
      </c>
      <c r="C5788" s="0" t="n">
        <v>1617865</v>
      </c>
      <c r="D5788" s="0" t="s">
        <v>19369</v>
      </c>
      <c r="E5788" s="0" t="s">
        <v>89</v>
      </c>
      <c r="F5788" s="0" t="s">
        <v>15</v>
      </c>
      <c r="G5788" s="0" t="s">
        <v>36</v>
      </c>
      <c r="H5788" s="0" t="n">
        <v>28</v>
      </c>
      <c r="I5788" s="0" t="s">
        <v>19373</v>
      </c>
      <c r="J5788" s="0" t="s">
        <v>19374</v>
      </c>
      <c r="K5788" s="0" t="s">
        <v>19375</v>
      </c>
      <c r="L5788" s="0" t="str">
        <f aca="false">HYPERLINK("https://www.ncbi.nlm.nih.gov/nuccore/CP000304.1?report=graph&amp;tracks=[key:gene_model_track,Options:GeneOnly]&amp;mk=1617825:1617844|offset_7|444444,1617846:1617865|offset_28|00cc00,1617876:1617895|offset_58|444444,1617933:1617952|offset_115|444444&amp;v=1617624:1618152&amp;c=444444", "offset 28")</f>
        <v>offset 28</v>
      </c>
    </row>
    <row r="5789" customFormat="false" ht="12.8" hidden="false" customHeight="false" outlineLevel="0" collapsed="false">
      <c r="A5789" s="0" t="s">
        <v>12</v>
      </c>
      <c r="B5789" s="0" t="n">
        <v>1617875</v>
      </c>
      <c r="C5789" s="0" t="n">
        <v>1617895</v>
      </c>
      <c r="D5789" s="0" t="s">
        <v>19369</v>
      </c>
      <c r="E5789" s="0" t="s">
        <v>89</v>
      </c>
      <c r="F5789" s="0" t="s">
        <v>15</v>
      </c>
      <c r="G5789" s="0" t="s">
        <v>26</v>
      </c>
      <c r="H5789" s="0" t="n">
        <v>58</v>
      </c>
      <c r="I5789" s="0" t="s">
        <v>19376</v>
      </c>
      <c r="J5789" s="0" t="s">
        <v>19377</v>
      </c>
      <c r="K5789" s="0" t="s">
        <v>19378</v>
      </c>
      <c r="L5789" s="0" t="str">
        <f aca="false">HYPERLINK("https://www.ncbi.nlm.nih.gov/nuccore/CP000304.1?report=graph&amp;tracks=[key:gene_model_track,Options:GeneOnly]&amp;mk=1617825:1617844|offset_7|444444,1617846:1617865|offset_28|444444,1617876:1617895|offset_58|00cc00,1617933:1617952|offset_115|444444&amp;v=1617624:1618152&amp;c=444444", "offset 58")</f>
        <v>offset 58</v>
      </c>
    </row>
    <row r="5790" customFormat="false" ht="12.8" hidden="false" customHeight="false" outlineLevel="0" collapsed="false">
      <c r="A5790" s="0" t="s">
        <v>12</v>
      </c>
      <c r="B5790" s="0" t="n">
        <v>1617932</v>
      </c>
      <c r="C5790" s="0" t="n">
        <v>1617952</v>
      </c>
      <c r="D5790" s="0" t="s">
        <v>19369</v>
      </c>
      <c r="E5790" s="0" t="s">
        <v>89</v>
      </c>
      <c r="F5790" s="0" t="s">
        <v>15</v>
      </c>
      <c r="G5790" s="0" t="s">
        <v>36</v>
      </c>
      <c r="H5790" s="0" t="n">
        <v>115</v>
      </c>
      <c r="I5790" s="0" t="s">
        <v>19379</v>
      </c>
      <c r="J5790" s="0" t="s">
        <v>19380</v>
      </c>
      <c r="K5790" s="0" t="s">
        <v>19381</v>
      </c>
      <c r="L5790" s="0" t="str">
        <f aca="false">HYPERLINK("https://www.ncbi.nlm.nih.gov/nuccore/CP000304.1?report=graph&amp;tracks=[key:gene_model_track,Options:GeneOnly]&amp;mk=1617825:1617844|offset_7|444444,1617846:1617865|offset_28|444444,1617876:1617895|offset_58|444444,1617933:1617952|offset_115|00cc00&amp;v=1617624:1618152&amp;c=444444", "offset 115")</f>
        <v>offset 115</v>
      </c>
    </row>
    <row r="5791" customFormat="false" ht="12.8" hidden="false" customHeight="false" outlineLevel="0" collapsed="false">
      <c r="A5791" s="0" t="s">
        <v>12</v>
      </c>
      <c r="B5791" s="0" t="n">
        <v>1618928</v>
      </c>
      <c r="C5791" s="0" t="n">
        <v>1618948</v>
      </c>
      <c r="D5791" s="0" t="s">
        <v>19382</v>
      </c>
      <c r="E5791" s="0" t="s">
        <v>89</v>
      </c>
      <c r="F5791" s="0" t="s">
        <v>15</v>
      </c>
      <c r="G5791" s="0" t="s">
        <v>26</v>
      </c>
      <c r="H5791" s="0" t="n">
        <v>36</v>
      </c>
      <c r="I5791" s="0" t="s">
        <v>19383</v>
      </c>
      <c r="J5791" s="0" t="s">
        <v>19384</v>
      </c>
      <c r="K5791" s="0" t="s">
        <v>19385</v>
      </c>
      <c r="L5791" s="0" t="str">
        <f aca="false">HYPERLINK("https://www.ncbi.nlm.nih.gov/nuccore/CP000304.1?report=graph&amp;tracks=[key:gene_model_track,Options:GeneOnly]&amp;mk=1618929:1618948|offset_36|00cc00,1618952:1618971|offset_59|444444,1619014:1619033|offset_121|444444,1619059:1619078|offset_166|444444&amp;v=1618728:1619278&amp;c=444444", "offset 36")</f>
        <v>offset 36</v>
      </c>
    </row>
    <row r="5792" customFormat="false" ht="12.8" hidden="false" customHeight="false" outlineLevel="0" collapsed="false">
      <c r="A5792" s="0" t="s">
        <v>12</v>
      </c>
      <c r="B5792" s="0" t="n">
        <v>1618951</v>
      </c>
      <c r="C5792" s="0" t="n">
        <v>1618971</v>
      </c>
      <c r="D5792" s="0" t="s">
        <v>19382</v>
      </c>
      <c r="E5792" s="0" t="s">
        <v>89</v>
      </c>
      <c r="F5792" s="0" t="s">
        <v>15</v>
      </c>
      <c r="G5792" s="0" t="s">
        <v>32</v>
      </c>
      <c r="H5792" s="0" t="n">
        <v>59</v>
      </c>
      <c r="I5792" s="0" t="s">
        <v>19386</v>
      </c>
      <c r="J5792" s="0" t="s">
        <v>19387</v>
      </c>
      <c r="K5792" s="0" t="s">
        <v>19388</v>
      </c>
      <c r="L5792" s="0" t="str">
        <f aca="false">HYPERLINK("https://www.ncbi.nlm.nih.gov/nuccore/CP000304.1?report=graph&amp;tracks=[key:gene_model_track,Options:GeneOnly]&amp;mk=1618929:1618948|offset_36|444444,1618952:1618971|offset_59|00cc00,1619014:1619033|offset_121|444444,1619059:1619078|offset_166|444444&amp;v=1618728:1619278&amp;c=444444", "offset 59")</f>
        <v>offset 59</v>
      </c>
    </row>
    <row r="5793" customFormat="false" ht="12.8" hidden="false" customHeight="false" outlineLevel="0" collapsed="false">
      <c r="A5793" s="0" t="s">
        <v>12</v>
      </c>
      <c r="B5793" s="0" t="n">
        <v>1619013</v>
      </c>
      <c r="C5793" s="0" t="n">
        <v>1619033</v>
      </c>
      <c r="D5793" s="0" t="s">
        <v>19382</v>
      </c>
      <c r="E5793" s="0" t="s">
        <v>89</v>
      </c>
      <c r="F5793" s="0" t="s">
        <v>15</v>
      </c>
      <c r="G5793" s="0" t="s">
        <v>32</v>
      </c>
      <c r="H5793" s="0" t="n">
        <v>121</v>
      </c>
      <c r="I5793" s="0" t="s">
        <v>19389</v>
      </c>
      <c r="J5793" s="0" t="s">
        <v>19390</v>
      </c>
      <c r="K5793" s="0" t="s">
        <v>19391</v>
      </c>
      <c r="L5793" s="0" t="str">
        <f aca="false">HYPERLINK("https://www.ncbi.nlm.nih.gov/nuccore/CP000304.1?report=graph&amp;tracks=[key:gene_model_track,Options:GeneOnly]&amp;mk=1618929:1618948|offset_36|444444,1618952:1618971|offset_59|444444,1619014:1619033|offset_121|00cc00,1619059:1619078|offset_166|444444&amp;v=1618728:1619278&amp;c=444444", "offset 121")</f>
        <v>offset 121</v>
      </c>
    </row>
    <row r="5794" customFormat="false" ht="12.8" hidden="false" customHeight="false" outlineLevel="0" collapsed="false">
      <c r="A5794" s="0" t="s">
        <v>12</v>
      </c>
      <c r="B5794" s="0" t="n">
        <v>1619058</v>
      </c>
      <c r="C5794" s="0" t="n">
        <v>1619078</v>
      </c>
      <c r="D5794" s="0" t="s">
        <v>19382</v>
      </c>
      <c r="E5794" s="0" t="s">
        <v>89</v>
      </c>
      <c r="F5794" s="0" t="s">
        <v>15</v>
      </c>
      <c r="G5794" s="0" t="s">
        <v>16</v>
      </c>
      <c r="H5794" s="0" t="n">
        <v>166</v>
      </c>
      <c r="I5794" s="0" t="s">
        <v>19392</v>
      </c>
      <c r="J5794" s="0" t="s">
        <v>19393</v>
      </c>
      <c r="K5794" s="0" t="s">
        <v>19394</v>
      </c>
      <c r="L5794" s="0" t="str">
        <f aca="false">HYPERLINK("https://www.ncbi.nlm.nih.gov/nuccore/CP000304.1?report=graph&amp;tracks=[key:gene_model_track,Options:GeneOnly]&amp;mk=1618929:1618948|offset_36|444444,1618952:1618971|offset_59|444444,1619014:1619033|offset_121|444444,1619059:1619078|offset_166|00cc00&amp;v=1618728:1619278&amp;c=444444", "offset 166")</f>
        <v>offset 166</v>
      </c>
    </row>
    <row r="5795" customFormat="false" ht="12.8" hidden="false" customHeight="false" outlineLevel="0" collapsed="false">
      <c r="A5795" s="0" t="s">
        <v>12</v>
      </c>
      <c r="B5795" s="0" t="n">
        <v>1619718</v>
      </c>
      <c r="C5795" s="0" t="n">
        <v>1619738</v>
      </c>
      <c r="D5795" s="0" t="s">
        <v>19395</v>
      </c>
      <c r="E5795" s="0" t="s">
        <v>19396</v>
      </c>
      <c r="F5795" s="0" t="s">
        <v>15</v>
      </c>
      <c r="G5795" s="0" t="s">
        <v>32</v>
      </c>
      <c r="H5795" s="0" t="n">
        <v>26</v>
      </c>
      <c r="I5795" s="0" t="s">
        <v>19397</v>
      </c>
      <c r="J5795" s="0" t="s">
        <v>19398</v>
      </c>
      <c r="K5795" s="0" t="s">
        <v>19399</v>
      </c>
      <c r="L5795" s="0" t="str">
        <f aca="false">HYPERLINK("https://www.ncbi.nlm.nih.gov/nuccore/CP000304.1?report=graph&amp;tracks=[key:gene_model_track,Options:GeneOnly]&amp;mk=1619719:1619738|offset_26|00cc00,1619742:1619761|offset_49|444444,1619782:1619801|offset_89|444444,1619816:1619835|offset_123|444444&amp;v=1619518:1620035&amp;c=444444", "offset 26")</f>
        <v>offset 26</v>
      </c>
    </row>
    <row r="5796" customFormat="false" ht="12.8" hidden="false" customHeight="false" outlineLevel="0" collapsed="false">
      <c r="A5796" s="0" t="s">
        <v>12</v>
      </c>
      <c r="B5796" s="0" t="n">
        <v>1619741</v>
      </c>
      <c r="C5796" s="0" t="n">
        <v>1619761</v>
      </c>
      <c r="D5796" s="0" t="s">
        <v>19395</v>
      </c>
      <c r="E5796" s="0" t="s">
        <v>19396</v>
      </c>
      <c r="F5796" s="0" t="s">
        <v>15</v>
      </c>
      <c r="G5796" s="0" t="s">
        <v>16</v>
      </c>
      <c r="H5796" s="0" t="n">
        <v>49</v>
      </c>
      <c r="I5796" s="0" t="s">
        <v>19400</v>
      </c>
      <c r="J5796" s="0" t="s">
        <v>19401</v>
      </c>
      <c r="K5796" s="0" t="s">
        <v>19402</v>
      </c>
      <c r="L5796" s="0" t="str">
        <f aca="false">HYPERLINK("https://www.ncbi.nlm.nih.gov/nuccore/CP000304.1?report=graph&amp;tracks=[key:gene_model_track,Options:GeneOnly]&amp;mk=1619719:1619738|offset_26|444444,1619742:1619761|offset_49|00cc00,1619782:1619801|offset_89|444444,1619816:1619835|offset_123|444444&amp;v=1619518:1620035&amp;c=444444", "offset 49")</f>
        <v>offset 49</v>
      </c>
    </row>
    <row r="5797" customFormat="false" ht="12.8" hidden="false" customHeight="false" outlineLevel="0" collapsed="false">
      <c r="A5797" s="0" t="s">
        <v>12</v>
      </c>
      <c r="B5797" s="0" t="n">
        <v>1619781</v>
      </c>
      <c r="C5797" s="0" t="n">
        <v>1619801</v>
      </c>
      <c r="D5797" s="0" t="s">
        <v>19395</v>
      </c>
      <c r="E5797" s="0" t="s">
        <v>19396</v>
      </c>
      <c r="F5797" s="0" t="s">
        <v>15</v>
      </c>
      <c r="G5797" s="0" t="s">
        <v>26</v>
      </c>
      <c r="H5797" s="0" t="n">
        <v>89</v>
      </c>
      <c r="I5797" s="0" t="s">
        <v>19403</v>
      </c>
      <c r="J5797" s="0" t="s">
        <v>19404</v>
      </c>
      <c r="K5797" s="0" t="s">
        <v>19405</v>
      </c>
      <c r="L5797" s="0" t="str">
        <f aca="false">HYPERLINK("https://www.ncbi.nlm.nih.gov/nuccore/CP000304.1?report=graph&amp;tracks=[key:gene_model_track,Options:GeneOnly]&amp;mk=1619719:1619738|offset_26|444444,1619742:1619761|offset_49|444444,1619782:1619801|offset_89|00cc00,1619816:1619835|offset_123|444444&amp;v=1619518:1620035&amp;c=444444", "offset 89")</f>
        <v>offset 89</v>
      </c>
    </row>
    <row r="5798" customFormat="false" ht="12.8" hidden="false" customHeight="false" outlineLevel="0" collapsed="false">
      <c r="A5798" s="0" t="s">
        <v>12</v>
      </c>
      <c r="B5798" s="0" t="n">
        <v>1619815</v>
      </c>
      <c r="C5798" s="0" t="n">
        <v>1619835</v>
      </c>
      <c r="D5798" s="0" t="s">
        <v>19395</v>
      </c>
      <c r="E5798" s="0" t="s">
        <v>19396</v>
      </c>
      <c r="F5798" s="0" t="s">
        <v>15</v>
      </c>
      <c r="G5798" s="0" t="s">
        <v>16</v>
      </c>
      <c r="H5798" s="0" t="n">
        <v>123</v>
      </c>
      <c r="I5798" s="0" t="s">
        <v>19406</v>
      </c>
      <c r="J5798" s="0" t="s">
        <v>19407</v>
      </c>
      <c r="K5798" s="0" t="s">
        <v>19408</v>
      </c>
      <c r="L5798" s="0" t="str">
        <f aca="false">HYPERLINK("https://www.ncbi.nlm.nih.gov/nuccore/CP000304.1?report=graph&amp;tracks=[key:gene_model_track,Options:GeneOnly]&amp;mk=1619719:1619738|offset_26|444444,1619742:1619761|offset_49|444444,1619782:1619801|offset_89|444444,1619816:1619835|offset_123|00cc00&amp;v=1619518:1620035&amp;c=444444", "offset 123")</f>
        <v>offset 123</v>
      </c>
    </row>
    <row r="5799" customFormat="false" ht="12.8" hidden="false" customHeight="false" outlineLevel="0" collapsed="false">
      <c r="A5799" s="0" t="s">
        <v>12</v>
      </c>
      <c r="B5799" s="0" t="n">
        <v>1620715</v>
      </c>
      <c r="C5799" s="0" t="n">
        <v>1620735</v>
      </c>
      <c r="D5799" s="0" t="s">
        <v>19409</v>
      </c>
      <c r="E5799" s="0" t="s">
        <v>19410</v>
      </c>
      <c r="F5799" s="0" t="s">
        <v>15</v>
      </c>
      <c r="G5799" s="0" t="s">
        <v>32</v>
      </c>
      <c r="H5799" s="0" t="n">
        <v>1</v>
      </c>
      <c r="I5799" s="0" t="s">
        <v>19411</v>
      </c>
      <c r="J5799" s="0" t="s">
        <v>19412</v>
      </c>
      <c r="K5799" s="0" t="s">
        <v>19413</v>
      </c>
      <c r="L5799" s="0" t="str">
        <f aca="false">HYPERLINK("https://www.ncbi.nlm.nih.gov/nuccore/CP000304.1?report=graph&amp;tracks=[key:gene_model_track,Options:GeneOnly]&amp;mk=1620716:1620735|offset_1|00cc00,1620761:1620780|offset_46|444444,1620785:1620804|offset_70|444444,1620819:1620838|offset_104|444444&amp;v=1620515:1621038&amp;c=444444", "offset 1")</f>
        <v>offset 1</v>
      </c>
    </row>
    <row r="5800" customFormat="false" ht="12.8" hidden="false" customHeight="false" outlineLevel="0" collapsed="false">
      <c r="A5800" s="0" t="s">
        <v>12</v>
      </c>
      <c r="B5800" s="0" t="n">
        <v>1620760</v>
      </c>
      <c r="C5800" s="0" t="n">
        <v>1620780</v>
      </c>
      <c r="D5800" s="0" t="s">
        <v>19409</v>
      </c>
      <c r="E5800" s="0" t="s">
        <v>19410</v>
      </c>
      <c r="F5800" s="0" t="s">
        <v>15</v>
      </c>
      <c r="G5800" s="0" t="s">
        <v>36</v>
      </c>
      <c r="H5800" s="0" t="n">
        <v>46</v>
      </c>
      <c r="I5800" s="0" t="s">
        <v>19414</v>
      </c>
      <c r="J5800" s="0" t="s">
        <v>19415</v>
      </c>
      <c r="K5800" s="0" t="s">
        <v>19416</v>
      </c>
      <c r="L5800" s="0" t="str">
        <f aca="false">HYPERLINK("https://www.ncbi.nlm.nih.gov/nuccore/CP000304.1?report=graph&amp;tracks=[key:gene_model_track,Options:GeneOnly]&amp;mk=1620716:1620735|offset_1|444444,1620761:1620780|offset_46|00cc00,1620785:1620804|offset_70|444444,1620819:1620838|offset_104|444444&amp;v=1620515:1621038&amp;c=444444", "offset 46")</f>
        <v>offset 46</v>
      </c>
    </row>
    <row r="5801" customFormat="false" ht="12.8" hidden="false" customHeight="false" outlineLevel="0" collapsed="false">
      <c r="A5801" s="0" t="s">
        <v>12</v>
      </c>
      <c r="B5801" s="0" t="n">
        <v>1620784</v>
      </c>
      <c r="C5801" s="0" t="n">
        <v>1620804</v>
      </c>
      <c r="D5801" s="0" t="s">
        <v>19409</v>
      </c>
      <c r="E5801" s="0" t="s">
        <v>19410</v>
      </c>
      <c r="F5801" s="0" t="s">
        <v>15</v>
      </c>
      <c r="G5801" s="0" t="s">
        <v>36</v>
      </c>
      <c r="H5801" s="0" t="n">
        <v>70</v>
      </c>
      <c r="I5801" s="0" t="s">
        <v>19417</v>
      </c>
      <c r="J5801" s="0" t="s">
        <v>19418</v>
      </c>
      <c r="K5801" s="0" t="s">
        <v>19419</v>
      </c>
      <c r="L5801" s="0" t="str">
        <f aca="false">HYPERLINK("https://www.ncbi.nlm.nih.gov/nuccore/CP000304.1?report=graph&amp;tracks=[key:gene_model_track,Options:GeneOnly]&amp;mk=1620716:1620735|offset_1|444444,1620761:1620780|offset_46|444444,1620785:1620804|offset_70|00cc00,1620819:1620838|offset_104|444444&amp;v=1620515:1621038&amp;c=444444", "offset 70")</f>
        <v>offset 70</v>
      </c>
    </row>
    <row r="5802" customFormat="false" ht="12.8" hidden="false" customHeight="false" outlineLevel="0" collapsed="false">
      <c r="A5802" s="0" t="s">
        <v>12</v>
      </c>
      <c r="B5802" s="0" t="n">
        <v>1620818</v>
      </c>
      <c r="C5802" s="0" t="n">
        <v>1620838</v>
      </c>
      <c r="D5802" s="0" t="s">
        <v>19409</v>
      </c>
      <c r="E5802" s="0" t="s">
        <v>19410</v>
      </c>
      <c r="F5802" s="0" t="s">
        <v>15</v>
      </c>
      <c r="G5802" s="0" t="s">
        <v>26</v>
      </c>
      <c r="H5802" s="0" t="n">
        <v>104</v>
      </c>
      <c r="I5802" s="0" t="s">
        <v>19420</v>
      </c>
      <c r="J5802" s="0" t="s">
        <v>19421</v>
      </c>
      <c r="K5802" s="0" t="s">
        <v>19422</v>
      </c>
      <c r="L5802" s="0" t="str">
        <f aca="false">HYPERLINK("https://www.ncbi.nlm.nih.gov/nuccore/CP000304.1?report=graph&amp;tracks=[key:gene_model_track,Options:GeneOnly]&amp;mk=1620716:1620735|offset_1|444444,1620761:1620780|offset_46|444444,1620785:1620804|offset_70|444444,1620819:1620838|offset_104|00cc00&amp;v=1620515:1621038&amp;c=444444", "offset 104")</f>
        <v>offset 104</v>
      </c>
    </row>
    <row r="5803" customFormat="false" ht="12.8" hidden="false" customHeight="false" outlineLevel="0" collapsed="false">
      <c r="A5803" s="0" t="s">
        <v>12</v>
      </c>
      <c r="B5803" s="0" t="n">
        <v>1622278</v>
      </c>
      <c r="C5803" s="0" t="n">
        <v>1622298</v>
      </c>
      <c r="D5803" s="0" t="s">
        <v>19423</v>
      </c>
      <c r="E5803" s="0" t="s">
        <v>89</v>
      </c>
      <c r="F5803" s="0" t="s">
        <v>90</v>
      </c>
      <c r="G5803" s="0" t="s">
        <v>26</v>
      </c>
      <c r="H5803" s="0" t="n">
        <v>7</v>
      </c>
      <c r="I5803" s="0" t="s">
        <v>19424</v>
      </c>
      <c r="J5803" s="0" t="s">
        <v>19425</v>
      </c>
      <c r="K5803" s="0" t="s">
        <v>19426</v>
      </c>
      <c r="L5803" s="0" t="str">
        <f aca="false">HYPERLINK("https://www.ncbi.nlm.nih.gov/nuccore/CP000304.1?report=graph&amp;tracks=[key:gene_model_track,Options:GeneOnly]&amp;mk=1622279:1622298|offset_7|00cc00,1622245:1622264|offset_41|444444,1622198:1622217|offset_88|444444,1622175:1622194|offset_111|444444&amp;v=1622078:1622394&amp;c=444444", "offset 7")</f>
        <v>offset 7</v>
      </c>
    </row>
    <row r="5804" customFormat="false" ht="12.8" hidden="false" customHeight="false" outlineLevel="0" collapsed="false">
      <c r="A5804" s="0" t="s">
        <v>12</v>
      </c>
      <c r="B5804" s="0" t="n">
        <v>1622244</v>
      </c>
      <c r="C5804" s="0" t="n">
        <v>1622264</v>
      </c>
      <c r="D5804" s="0" t="s">
        <v>19423</v>
      </c>
      <c r="E5804" s="0" t="s">
        <v>89</v>
      </c>
      <c r="F5804" s="0" t="s">
        <v>90</v>
      </c>
      <c r="G5804" s="0" t="s">
        <v>32</v>
      </c>
      <c r="H5804" s="0" t="n">
        <v>41</v>
      </c>
      <c r="I5804" s="0" t="s">
        <v>19427</v>
      </c>
      <c r="J5804" s="0" t="s">
        <v>19428</v>
      </c>
      <c r="K5804" s="0" t="s">
        <v>19429</v>
      </c>
      <c r="L5804" s="0" t="str">
        <f aca="false">HYPERLINK("https://www.ncbi.nlm.nih.gov/nuccore/CP000304.1?report=graph&amp;tracks=[key:gene_model_track,Options:GeneOnly]&amp;mk=1622279:1622298|offset_7|444444,1622245:1622264|offset_41|00cc00,1622198:1622217|offset_88|444444,1622175:1622194|offset_111|444444&amp;v=1622078:1622394&amp;c=444444", "offset 41")</f>
        <v>offset 41</v>
      </c>
    </row>
    <row r="5805" customFormat="false" ht="12.8" hidden="false" customHeight="false" outlineLevel="0" collapsed="false">
      <c r="A5805" s="0" t="s">
        <v>12</v>
      </c>
      <c r="B5805" s="0" t="n">
        <v>1622197</v>
      </c>
      <c r="C5805" s="0" t="n">
        <v>1622217</v>
      </c>
      <c r="D5805" s="0" t="s">
        <v>19423</v>
      </c>
      <c r="E5805" s="0" t="s">
        <v>89</v>
      </c>
      <c r="F5805" s="0" t="s">
        <v>90</v>
      </c>
      <c r="G5805" s="0" t="s">
        <v>32</v>
      </c>
      <c r="H5805" s="0" t="n">
        <v>88</v>
      </c>
      <c r="I5805" s="0" t="s">
        <v>19430</v>
      </c>
      <c r="J5805" s="0" t="s">
        <v>19431</v>
      </c>
      <c r="K5805" s="0" t="s">
        <v>19432</v>
      </c>
      <c r="L5805" s="0" t="str">
        <f aca="false">HYPERLINK("https://www.ncbi.nlm.nih.gov/nuccore/CP000304.1?report=graph&amp;tracks=[key:gene_model_track,Options:GeneOnly]&amp;mk=1622279:1622298|offset_7|444444,1622245:1622264|offset_41|444444,1622198:1622217|offset_88|00cc00,1622175:1622194|offset_111|444444&amp;v=1622078:1622394&amp;c=444444", "offset 88")</f>
        <v>offset 88</v>
      </c>
    </row>
    <row r="5806" customFormat="false" ht="12.8" hidden="false" customHeight="false" outlineLevel="0" collapsed="false">
      <c r="A5806" s="0" t="s">
        <v>12</v>
      </c>
      <c r="B5806" s="0" t="n">
        <v>1622174</v>
      </c>
      <c r="C5806" s="0" t="n">
        <v>1622194</v>
      </c>
      <c r="D5806" s="0" t="s">
        <v>19423</v>
      </c>
      <c r="E5806" s="0" t="s">
        <v>89</v>
      </c>
      <c r="F5806" s="0" t="s">
        <v>90</v>
      </c>
      <c r="G5806" s="0" t="s">
        <v>36</v>
      </c>
      <c r="H5806" s="0" t="n">
        <v>111</v>
      </c>
      <c r="I5806" s="0" t="s">
        <v>19433</v>
      </c>
      <c r="J5806" s="0" t="s">
        <v>19434</v>
      </c>
      <c r="K5806" s="0" t="s">
        <v>19435</v>
      </c>
      <c r="L5806" s="0" t="str">
        <f aca="false">HYPERLINK("https://www.ncbi.nlm.nih.gov/nuccore/CP000304.1?report=graph&amp;tracks=[key:gene_model_track,Options:GeneOnly]&amp;mk=1622279:1622298|offset_7|444444,1622245:1622264|offset_41|444444,1622198:1622217|offset_88|444444,1622175:1622194|offset_111|00cc00&amp;v=1622078:1622394&amp;c=444444", "offset 111")</f>
        <v>offset 111</v>
      </c>
    </row>
    <row r="5807" customFormat="false" ht="12.8" hidden="false" customHeight="false" outlineLevel="0" collapsed="false">
      <c r="A5807" s="0" t="s">
        <v>12</v>
      </c>
      <c r="B5807" s="0" t="n">
        <v>1623848</v>
      </c>
      <c r="C5807" s="0" t="n">
        <v>1623868</v>
      </c>
      <c r="D5807" s="0" t="s">
        <v>19436</v>
      </c>
      <c r="E5807" s="0" t="s">
        <v>89</v>
      </c>
      <c r="F5807" s="0" t="s">
        <v>90</v>
      </c>
      <c r="G5807" s="0" t="s">
        <v>16</v>
      </c>
      <c r="H5807" s="0" t="n">
        <v>67</v>
      </c>
      <c r="I5807" s="0" t="s">
        <v>19437</v>
      </c>
      <c r="J5807" s="0" t="s">
        <v>19438</v>
      </c>
      <c r="K5807" s="0" t="s">
        <v>19439</v>
      </c>
      <c r="L5807" s="0" t="str">
        <f aca="false">HYPERLINK("https://www.ncbi.nlm.nih.gov/nuccore/CP000304.1?report=graph&amp;tracks=[key:gene_model_track,Options:GeneOnly]&amp;mk=1623849:1623868|offset_67|00cc00,1623780:1623799|offset_136|444444,1623759:1623778|offset_157|444444,1623695:1623714|offset_221|444444&amp;v=1623648:1623914&amp;c=444444", "offset 67")</f>
        <v>offset 67</v>
      </c>
    </row>
    <row r="5808" customFormat="false" ht="12.8" hidden="false" customHeight="false" outlineLevel="0" collapsed="false">
      <c r="A5808" s="0" t="s">
        <v>12</v>
      </c>
      <c r="B5808" s="0" t="n">
        <v>1623779</v>
      </c>
      <c r="C5808" s="0" t="n">
        <v>1623799</v>
      </c>
      <c r="D5808" s="0" t="s">
        <v>19436</v>
      </c>
      <c r="E5808" s="0" t="s">
        <v>89</v>
      </c>
      <c r="F5808" s="0" t="s">
        <v>90</v>
      </c>
      <c r="G5808" s="0" t="s">
        <v>32</v>
      </c>
      <c r="H5808" s="0" t="n">
        <v>136</v>
      </c>
      <c r="I5808" s="0" t="s">
        <v>19440</v>
      </c>
      <c r="J5808" s="0" t="s">
        <v>19441</v>
      </c>
      <c r="K5808" s="0" t="s">
        <v>19442</v>
      </c>
      <c r="L5808" s="0" t="str">
        <f aca="false">HYPERLINK("https://www.ncbi.nlm.nih.gov/nuccore/CP000304.1?report=graph&amp;tracks=[key:gene_model_track,Options:GeneOnly]&amp;mk=1623849:1623868|offset_67|444444,1623780:1623799|offset_136|00cc00,1623759:1623778|offset_157|444444,1623695:1623714|offset_221|444444&amp;v=1623648:1623914&amp;c=444444", "offset 136")</f>
        <v>offset 136</v>
      </c>
    </row>
    <row r="5809" customFormat="false" ht="12.8" hidden="false" customHeight="false" outlineLevel="0" collapsed="false">
      <c r="A5809" s="0" t="s">
        <v>12</v>
      </c>
      <c r="B5809" s="0" t="n">
        <v>1623758</v>
      </c>
      <c r="C5809" s="0" t="n">
        <v>1623778</v>
      </c>
      <c r="D5809" s="0" t="s">
        <v>19436</v>
      </c>
      <c r="E5809" s="0" t="s">
        <v>89</v>
      </c>
      <c r="F5809" s="0" t="s">
        <v>90</v>
      </c>
      <c r="G5809" s="0" t="s">
        <v>26</v>
      </c>
      <c r="H5809" s="0" t="n">
        <v>157</v>
      </c>
      <c r="I5809" s="0" t="s">
        <v>19443</v>
      </c>
      <c r="J5809" s="0" t="s">
        <v>19444</v>
      </c>
      <c r="K5809" s="0" t="s">
        <v>19445</v>
      </c>
      <c r="L5809" s="0" t="str">
        <f aca="false">HYPERLINK("https://www.ncbi.nlm.nih.gov/nuccore/CP000304.1?report=graph&amp;tracks=[key:gene_model_track,Options:GeneOnly]&amp;mk=1623849:1623868|offset_67|444444,1623780:1623799|offset_136|444444,1623759:1623778|offset_157|00cc00,1623695:1623714|offset_221|444444&amp;v=1623648:1623914&amp;c=444444", "offset 157")</f>
        <v>offset 157</v>
      </c>
    </row>
    <row r="5810" customFormat="false" ht="12.8" hidden="false" customHeight="false" outlineLevel="0" collapsed="false">
      <c r="A5810" s="0" t="s">
        <v>12</v>
      </c>
      <c r="B5810" s="0" t="n">
        <v>1623694</v>
      </c>
      <c r="C5810" s="0" t="n">
        <v>1623714</v>
      </c>
      <c r="D5810" s="0" t="s">
        <v>19436</v>
      </c>
      <c r="E5810" s="0" t="s">
        <v>89</v>
      </c>
      <c r="F5810" s="0" t="s">
        <v>90</v>
      </c>
      <c r="G5810" s="0" t="s">
        <v>16</v>
      </c>
      <c r="H5810" s="0" t="n">
        <v>221</v>
      </c>
      <c r="I5810" s="0" t="s">
        <v>19446</v>
      </c>
      <c r="J5810" s="0" t="s">
        <v>19447</v>
      </c>
      <c r="K5810" s="0" t="s">
        <v>19448</v>
      </c>
      <c r="L5810" s="0" t="str">
        <f aca="false">HYPERLINK("https://www.ncbi.nlm.nih.gov/nuccore/CP000304.1?report=graph&amp;tracks=[key:gene_model_track,Options:GeneOnly]&amp;mk=1623849:1623868|offset_67|444444,1623780:1623799|offset_136|444444,1623759:1623778|offset_157|444444,1623695:1623714|offset_221|00cc00&amp;v=1623648:1623914&amp;c=444444", "offset 221")</f>
        <v>offset 221</v>
      </c>
    </row>
    <row r="5811" customFormat="false" ht="12.8" hidden="false" customHeight="false" outlineLevel="0" collapsed="false">
      <c r="A5811" s="0" t="s">
        <v>12</v>
      </c>
      <c r="B5811" s="0" t="n">
        <v>1623959</v>
      </c>
      <c r="C5811" s="0" t="n">
        <v>1623979</v>
      </c>
      <c r="D5811" s="0" t="s">
        <v>19449</v>
      </c>
      <c r="E5811" s="0" t="s">
        <v>89</v>
      </c>
      <c r="F5811" s="0" t="s">
        <v>15</v>
      </c>
      <c r="G5811" s="0" t="s">
        <v>36</v>
      </c>
      <c r="H5811" s="0" t="n">
        <v>0</v>
      </c>
      <c r="I5811" s="0" t="s">
        <v>19450</v>
      </c>
      <c r="J5811" s="0" t="s">
        <v>19451</v>
      </c>
      <c r="K5811" s="0" t="s">
        <v>19452</v>
      </c>
      <c r="L5811" s="0" t="str">
        <f aca="false">HYPERLINK("https://www.ncbi.nlm.nih.gov/nuccore/CP000304.1?report=graph&amp;tracks=[key:gene_model_track,Options:GeneOnly]&amp;mk=1623960:1623979|offset_0|00cc00,1623983:1624002|offset_23|444444,1624012:1624031|offset_52|444444,1624050:1624069|offset_90|444444&amp;v=1623759:1624269&amp;c=444444", "offset 0")</f>
        <v>offset 0</v>
      </c>
    </row>
    <row r="5812" customFormat="false" ht="12.8" hidden="false" customHeight="false" outlineLevel="0" collapsed="false">
      <c r="A5812" s="0" t="s">
        <v>12</v>
      </c>
      <c r="B5812" s="0" t="n">
        <v>1623982</v>
      </c>
      <c r="C5812" s="0" t="n">
        <v>1624002</v>
      </c>
      <c r="D5812" s="0" t="s">
        <v>19449</v>
      </c>
      <c r="E5812" s="0" t="s">
        <v>89</v>
      </c>
      <c r="F5812" s="0" t="s">
        <v>15</v>
      </c>
      <c r="G5812" s="0" t="s">
        <v>26</v>
      </c>
      <c r="H5812" s="0" t="n">
        <v>23</v>
      </c>
      <c r="I5812" s="0" t="s">
        <v>19453</v>
      </c>
      <c r="J5812" s="0" t="s">
        <v>19454</v>
      </c>
      <c r="K5812" s="0" t="s">
        <v>19455</v>
      </c>
      <c r="L5812" s="0" t="str">
        <f aca="false">HYPERLINK("https://www.ncbi.nlm.nih.gov/nuccore/CP000304.1?report=graph&amp;tracks=[key:gene_model_track,Options:GeneOnly]&amp;mk=1623960:1623979|offset_0|444444,1623983:1624002|offset_23|00cc00,1624012:1624031|offset_52|444444,1624050:1624069|offset_90|444444&amp;v=1623759:1624269&amp;c=444444", "offset 23")</f>
        <v>offset 23</v>
      </c>
    </row>
    <row r="5813" customFormat="false" ht="12.8" hidden="false" customHeight="false" outlineLevel="0" collapsed="false">
      <c r="A5813" s="0" t="s">
        <v>12</v>
      </c>
      <c r="B5813" s="0" t="n">
        <v>1624011</v>
      </c>
      <c r="C5813" s="0" t="n">
        <v>1624031</v>
      </c>
      <c r="D5813" s="0" t="s">
        <v>19449</v>
      </c>
      <c r="E5813" s="0" t="s">
        <v>89</v>
      </c>
      <c r="F5813" s="0" t="s">
        <v>15</v>
      </c>
      <c r="G5813" s="0" t="s">
        <v>16</v>
      </c>
      <c r="H5813" s="0" t="n">
        <v>52</v>
      </c>
      <c r="I5813" s="0" t="s">
        <v>19456</v>
      </c>
      <c r="J5813" s="0" t="s">
        <v>19457</v>
      </c>
      <c r="K5813" s="0" t="s">
        <v>19458</v>
      </c>
      <c r="L5813" s="0" t="str">
        <f aca="false">HYPERLINK("https://www.ncbi.nlm.nih.gov/nuccore/CP000304.1?report=graph&amp;tracks=[key:gene_model_track,Options:GeneOnly]&amp;mk=1623960:1623979|offset_0|444444,1623983:1624002|offset_23|444444,1624012:1624031|offset_52|00cc00,1624050:1624069|offset_90|444444&amp;v=1623759:1624269&amp;c=444444", "offset 52")</f>
        <v>offset 52</v>
      </c>
    </row>
    <row r="5814" customFormat="false" ht="12.8" hidden="false" customHeight="false" outlineLevel="0" collapsed="false">
      <c r="A5814" s="0" t="s">
        <v>12</v>
      </c>
      <c r="B5814" s="0" t="n">
        <v>1624049</v>
      </c>
      <c r="C5814" s="0" t="n">
        <v>1624069</v>
      </c>
      <c r="D5814" s="0" t="s">
        <v>19449</v>
      </c>
      <c r="E5814" s="0" t="s">
        <v>89</v>
      </c>
      <c r="F5814" s="0" t="s">
        <v>15</v>
      </c>
      <c r="G5814" s="0" t="s">
        <v>16</v>
      </c>
      <c r="H5814" s="0" t="n">
        <v>90</v>
      </c>
      <c r="I5814" s="0" t="s">
        <v>19459</v>
      </c>
      <c r="J5814" s="0" t="s">
        <v>19460</v>
      </c>
      <c r="K5814" s="0" t="s">
        <v>19461</v>
      </c>
      <c r="L5814" s="0" t="str">
        <f aca="false">HYPERLINK("https://www.ncbi.nlm.nih.gov/nuccore/CP000304.1?report=graph&amp;tracks=[key:gene_model_track,Options:GeneOnly]&amp;mk=1623960:1623979|offset_0|444444,1623983:1624002|offset_23|444444,1624012:1624031|offset_52|444444,1624050:1624069|offset_90|00cc00&amp;v=1623759:1624269&amp;c=444444", "offset 90")</f>
        <v>offset 90</v>
      </c>
    </row>
    <row r="5815" customFormat="false" ht="12.8" hidden="false" customHeight="false" outlineLevel="0" collapsed="false">
      <c r="A5815" s="0" t="s">
        <v>12</v>
      </c>
      <c r="B5815" s="0" t="n">
        <v>1626806</v>
      </c>
      <c r="C5815" s="0" t="n">
        <v>1626826</v>
      </c>
      <c r="D5815" s="0" t="s">
        <v>19462</v>
      </c>
      <c r="E5815" s="0" t="s">
        <v>89</v>
      </c>
      <c r="F5815" s="0" t="s">
        <v>90</v>
      </c>
      <c r="G5815" s="0" t="s">
        <v>32</v>
      </c>
      <c r="H5815" s="0" t="n">
        <v>1</v>
      </c>
      <c r="I5815" s="0" t="s">
        <v>19463</v>
      </c>
      <c r="J5815" s="0" t="s">
        <v>19464</v>
      </c>
      <c r="K5815" s="0" t="s">
        <v>19465</v>
      </c>
      <c r="L5815" s="0" t="str">
        <f aca="false">HYPERLINK("https://www.ncbi.nlm.nih.gov/nuccore/CP000304.1?report=graph&amp;tracks=[key:gene_model_track,Options:GeneOnly]&amp;mk=1626807:1626826|offset_1|00cc00,1626780:1626799|offset_28|444444,1626756:1626775|offset_52|444444,1626722:1626741|offset_86|444444&amp;v=1626606:1626941&amp;c=444444", "offset 1")</f>
        <v>offset 1</v>
      </c>
    </row>
    <row r="5816" customFormat="false" ht="12.8" hidden="false" customHeight="false" outlineLevel="0" collapsed="false">
      <c r="A5816" s="0" t="s">
        <v>12</v>
      </c>
      <c r="B5816" s="0" t="n">
        <v>1626779</v>
      </c>
      <c r="C5816" s="0" t="n">
        <v>1626799</v>
      </c>
      <c r="D5816" s="0" t="s">
        <v>19462</v>
      </c>
      <c r="E5816" s="0" t="s">
        <v>89</v>
      </c>
      <c r="F5816" s="0" t="s">
        <v>90</v>
      </c>
      <c r="G5816" s="0" t="s">
        <v>36</v>
      </c>
      <c r="H5816" s="0" t="n">
        <v>28</v>
      </c>
      <c r="I5816" s="0" t="s">
        <v>19466</v>
      </c>
      <c r="J5816" s="0" t="s">
        <v>19467</v>
      </c>
      <c r="K5816" s="0" t="s">
        <v>19468</v>
      </c>
      <c r="L5816" s="0" t="str">
        <f aca="false">HYPERLINK("https://www.ncbi.nlm.nih.gov/nuccore/CP000304.1?report=graph&amp;tracks=[key:gene_model_track,Options:GeneOnly]&amp;mk=1626807:1626826|offset_1|444444,1626780:1626799|offset_28|00cc00,1626756:1626775|offset_52|444444,1626722:1626741|offset_86|444444&amp;v=1626606:1626941&amp;c=444444", "offset 28")</f>
        <v>offset 28</v>
      </c>
    </row>
    <row r="5817" customFormat="false" ht="12.8" hidden="false" customHeight="false" outlineLevel="0" collapsed="false">
      <c r="A5817" s="0" t="s">
        <v>12</v>
      </c>
      <c r="B5817" s="0" t="n">
        <v>1626755</v>
      </c>
      <c r="C5817" s="0" t="n">
        <v>1626775</v>
      </c>
      <c r="D5817" s="0" t="s">
        <v>19462</v>
      </c>
      <c r="E5817" s="0" t="s">
        <v>89</v>
      </c>
      <c r="F5817" s="0" t="s">
        <v>90</v>
      </c>
      <c r="G5817" s="0" t="s">
        <v>36</v>
      </c>
      <c r="H5817" s="0" t="n">
        <v>52</v>
      </c>
      <c r="I5817" s="0" t="s">
        <v>19469</v>
      </c>
      <c r="J5817" s="0" t="s">
        <v>19470</v>
      </c>
      <c r="K5817" s="0" t="s">
        <v>19471</v>
      </c>
      <c r="L5817" s="0" t="str">
        <f aca="false">HYPERLINK("https://www.ncbi.nlm.nih.gov/nuccore/CP000304.1?report=graph&amp;tracks=[key:gene_model_track,Options:GeneOnly]&amp;mk=1626807:1626826|offset_1|444444,1626780:1626799|offset_28|444444,1626756:1626775|offset_52|00cc00,1626722:1626741|offset_86|444444&amp;v=1626606:1626941&amp;c=444444", "offset 52")</f>
        <v>offset 52</v>
      </c>
    </row>
    <row r="5818" customFormat="false" ht="12.8" hidden="false" customHeight="false" outlineLevel="0" collapsed="false">
      <c r="A5818" s="0" t="s">
        <v>12</v>
      </c>
      <c r="B5818" s="0" t="n">
        <v>1626721</v>
      </c>
      <c r="C5818" s="0" t="n">
        <v>1626741</v>
      </c>
      <c r="D5818" s="0" t="s">
        <v>19462</v>
      </c>
      <c r="E5818" s="0" t="s">
        <v>89</v>
      </c>
      <c r="F5818" s="0" t="s">
        <v>90</v>
      </c>
      <c r="G5818" s="0" t="s">
        <v>32</v>
      </c>
      <c r="H5818" s="0" t="n">
        <v>86</v>
      </c>
      <c r="I5818" s="0" t="s">
        <v>19472</v>
      </c>
      <c r="J5818" s="0" t="s">
        <v>19473</v>
      </c>
      <c r="K5818" s="0" t="s">
        <v>19474</v>
      </c>
      <c r="L5818" s="0" t="str">
        <f aca="false">HYPERLINK("https://www.ncbi.nlm.nih.gov/nuccore/CP000304.1?report=graph&amp;tracks=[key:gene_model_track,Options:GeneOnly]&amp;mk=1626807:1626826|offset_1|444444,1626780:1626799|offset_28|444444,1626756:1626775|offset_52|444444,1626722:1626741|offset_86|00cc00&amp;v=1626606:1626941&amp;c=444444", "offset 86")</f>
        <v>offset 86</v>
      </c>
    </row>
    <row r="5819" customFormat="false" ht="12.8" hidden="false" customHeight="false" outlineLevel="0" collapsed="false">
      <c r="A5819" s="0" t="s">
        <v>12</v>
      </c>
      <c r="B5819" s="0" t="n">
        <v>1626953</v>
      </c>
      <c r="C5819" s="0" t="n">
        <v>1626973</v>
      </c>
      <c r="D5819" s="0" t="s">
        <v>19475</v>
      </c>
      <c r="E5819" s="0" t="s">
        <v>89</v>
      </c>
      <c r="F5819" s="0" t="s">
        <v>15</v>
      </c>
      <c r="G5819" s="0" t="s">
        <v>32</v>
      </c>
      <c r="H5819" s="0" t="n">
        <v>1</v>
      </c>
      <c r="I5819" s="0" t="s">
        <v>19476</v>
      </c>
      <c r="J5819" s="0" t="s">
        <v>19477</v>
      </c>
      <c r="K5819" s="0" t="s">
        <v>19478</v>
      </c>
      <c r="L5819" s="0" t="str">
        <f aca="false">HYPERLINK("https://www.ncbi.nlm.nih.gov/nuccore/CP000304.1?report=graph&amp;tracks=[key:gene_model_track,Options:GeneOnly]&amp;mk=1626954:1626973|offset_1|00cc00,1626991:1627010|offset_38|444444,1627011:1627030|offset_58|444444,1627037:1627056|offset_84|444444&amp;v=1626753:1627256&amp;c=444444", "offset 1")</f>
        <v>offset 1</v>
      </c>
    </row>
    <row r="5820" customFormat="false" ht="12.8" hidden="false" customHeight="false" outlineLevel="0" collapsed="false">
      <c r="A5820" s="0" t="s">
        <v>12</v>
      </c>
      <c r="B5820" s="0" t="n">
        <v>1626990</v>
      </c>
      <c r="C5820" s="0" t="n">
        <v>1627010</v>
      </c>
      <c r="D5820" s="0" t="s">
        <v>19475</v>
      </c>
      <c r="E5820" s="0" t="s">
        <v>89</v>
      </c>
      <c r="F5820" s="0" t="s">
        <v>15</v>
      </c>
      <c r="G5820" s="0" t="s">
        <v>26</v>
      </c>
      <c r="H5820" s="0" t="n">
        <v>38</v>
      </c>
      <c r="I5820" s="0" t="s">
        <v>19479</v>
      </c>
      <c r="J5820" s="0" t="s">
        <v>19480</v>
      </c>
      <c r="K5820" s="0" t="s">
        <v>19481</v>
      </c>
      <c r="L5820" s="0" t="str">
        <f aca="false">HYPERLINK("https://www.ncbi.nlm.nih.gov/nuccore/CP000304.1?report=graph&amp;tracks=[key:gene_model_track,Options:GeneOnly]&amp;mk=1626954:1626973|offset_1|444444,1626991:1627010|offset_38|00cc00,1627011:1627030|offset_58|444444,1627037:1627056|offset_84|444444&amp;v=1626753:1627256&amp;c=444444", "offset 38")</f>
        <v>offset 38</v>
      </c>
    </row>
    <row r="5821" customFormat="false" ht="12.8" hidden="false" customHeight="false" outlineLevel="0" collapsed="false">
      <c r="A5821" s="0" t="s">
        <v>12</v>
      </c>
      <c r="B5821" s="0" t="n">
        <v>1627010</v>
      </c>
      <c r="C5821" s="0" t="n">
        <v>1627030</v>
      </c>
      <c r="D5821" s="0" t="s">
        <v>19475</v>
      </c>
      <c r="E5821" s="0" t="s">
        <v>89</v>
      </c>
      <c r="F5821" s="0" t="s">
        <v>15</v>
      </c>
      <c r="G5821" s="0" t="s">
        <v>26</v>
      </c>
      <c r="H5821" s="0" t="n">
        <v>58</v>
      </c>
      <c r="I5821" s="0" t="s">
        <v>19482</v>
      </c>
      <c r="J5821" s="0" t="s">
        <v>19483</v>
      </c>
      <c r="K5821" s="0" t="s">
        <v>19484</v>
      </c>
      <c r="L5821" s="0" t="str">
        <f aca="false">HYPERLINK("https://www.ncbi.nlm.nih.gov/nuccore/CP000304.1?report=graph&amp;tracks=[key:gene_model_track,Options:GeneOnly]&amp;mk=1626954:1626973|offset_1|444444,1626991:1627010|offset_38|444444,1627011:1627030|offset_58|00cc00,1627037:1627056|offset_84|444444&amp;v=1626753:1627256&amp;c=444444", "offset 58")</f>
        <v>offset 58</v>
      </c>
    </row>
    <row r="5822" customFormat="false" ht="12.8" hidden="false" customHeight="false" outlineLevel="0" collapsed="false">
      <c r="A5822" s="0" t="s">
        <v>12</v>
      </c>
      <c r="B5822" s="0" t="n">
        <v>1627036</v>
      </c>
      <c r="C5822" s="0" t="n">
        <v>1627056</v>
      </c>
      <c r="D5822" s="0" t="s">
        <v>19475</v>
      </c>
      <c r="E5822" s="0" t="s">
        <v>89</v>
      </c>
      <c r="F5822" s="0" t="s">
        <v>15</v>
      </c>
      <c r="G5822" s="0" t="s">
        <v>16</v>
      </c>
      <c r="H5822" s="0" t="n">
        <v>84</v>
      </c>
      <c r="I5822" s="0" t="s">
        <v>19485</v>
      </c>
      <c r="J5822" s="0" t="s">
        <v>19486</v>
      </c>
      <c r="K5822" s="0" t="s">
        <v>19487</v>
      </c>
      <c r="L5822" s="0" t="str">
        <f aca="false">HYPERLINK("https://www.ncbi.nlm.nih.gov/nuccore/CP000304.1?report=graph&amp;tracks=[key:gene_model_track,Options:GeneOnly]&amp;mk=1626954:1626973|offset_1|444444,1626991:1627010|offset_38|444444,1627011:1627030|offset_58|444444,1627037:1627056|offset_84|00cc00&amp;v=1626753:1627256&amp;c=444444", "offset 84")</f>
        <v>offset 84</v>
      </c>
    </row>
    <row r="5823" customFormat="false" ht="12.8" hidden="false" customHeight="false" outlineLevel="0" collapsed="false">
      <c r="A5823" s="0" t="s">
        <v>12</v>
      </c>
      <c r="B5823" s="0" t="n">
        <v>1628557</v>
      </c>
      <c r="C5823" s="0" t="n">
        <v>1628577</v>
      </c>
      <c r="D5823" s="0" t="s">
        <v>19488</v>
      </c>
      <c r="E5823" s="0" t="s">
        <v>89</v>
      </c>
      <c r="F5823" s="0" t="s">
        <v>90</v>
      </c>
      <c r="G5823" s="0" t="s">
        <v>32</v>
      </c>
      <c r="H5823" s="0" t="n">
        <v>11</v>
      </c>
      <c r="I5823" s="0" t="s">
        <v>19489</v>
      </c>
      <c r="J5823" s="0" t="s">
        <v>19490</v>
      </c>
      <c r="K5823" s="0" t="s">
        <v>19491</v>
      </c>
      <c r="L5823" s="0" t="str">
        <f aca="false">HYPERLINK("https://www.ncbi.nlm.nih.gov/nuccore/CP000304.1?report=graph&amp;tracks=[key:gene_model_track,Options:GeneOnly]&amp;mk=1628558:1628577|offset_11|00cc00,1628537:1628556|offset_32|444444,1628505:1628524|offset_64|444444,1628465:1628484|offset_104|444444&amp;v=1628357:1628684&amp;c=444444", "offset 11")</f>
        <v>offset 11</v>
      </c>
    </row>
    <row r="5824" customFormat="false" ht="12.8" hidden="false" customHeight="false" outlineLevel="0" collapsed="false">
      <c r="A5824" s="0" t="s">
        <v>12</v>
      </c>
      <c r="B5824" s="0" t="n">
        <v>1628536</v>
      </c>
      <c r="C5824" s="0" t="n">
        <v>1628556</v>
      </c>
      <c r="D5824" s="0" t="s">
        <v>19488</v>
      </c>
      <c r="E5824" s="0" t="s">
        <v>89</v>
      </c>
      <c r="F5824" s="0" t="s">
        <v>90</v>
      </c>
      <c r="G5824" s="0" t="s">
        <v>26</v>
      </c>
      <c r="H5824" s="0" t="n">
        <v>32</v>
      </c>
      <c r="I5824" s="0" t="s">
        <v>19492</v>
      </c>
      <c r="J5824" s="0" t="s">
        <v>19493</v>
      </c>
      <c r="K5824" s="0" t="s">
        <v>19494</v>
      </c>
      <c r="L5824" s="0" t="str">
        <f aca="false">HYPERLINK("https://www.ncbi.nlm.nih.gov/nuccore/CP000304.1?report=graph&amp;tracks=[key:gene_model_track,Options:GeneOnly]&amp;mk=1628558:1628577|offset_11|444444,1628537:1628556|offset_32|00cc00,1628505:1628524|offset_64|444444,1628465:1628484|offset_104|444444&amp;v=1628357:1628684&amp;c=444444", "offset 32")</f>
        <v>offset 32</v>
      </c>
    </row>
    <row r="5825" customFormat="false" ht="12.8" hidden="false" customHeight="false" outlineLevel="0" collapsed="false">
      <c r="A5825" s="0" t="s">
        <v>12</v>
      </c>
      <c r="B5825" s="0" t="n">
        <v>1628504</v>
      </c>
      <c r="C5825" s="0" t="n">
        <v>1628524</v>
      </c>
      <c r="D5825" s="0" t="s">
        <v>19488</v>
      </c>
      <c r="E5825" s="0" t="s">
        <v>89</v>
      </c>
      <c r="F5825" s="0" t="s">
        <v>90</v>
      </c>
      <c r="G5825" s="0" t="s">
        <v>16</v>
      </c>
      <c r="H5825" s="0" t="n">
        <v>64</v>
      </c>
      <c r="I5825" s="0" t="s">
        <v>19495</v>
      </c>
      <c r="J5825" s="0" t="s">
        <v>19496</v>
      </c>
      <c r="K5825" s="0" t="s">
        <v>19497</v>
      </c>
      <c r="L5825" s="0" t="str">
        <f aca="false">HYPERLINK("https://www.ncbi.nlm.nih.gov/nuccore/CP000304.1?report=graph&amp;tracks=[key:gene_model_track,Options:GeneOnly]&amp;mk=1628558:1628577|offset_11|444444,1628537:1628556|offset_32|444444,1628505:1628524|offset_64|00cc00,1628465:1628484|offset_104|444444&amp;v=1628357:1628684&amp;c=444444", "offset 64")</f>
        <v>offset 64</v>
      </c>
    </row>
    <row r="5826" customFormat="false" ht="12.8" hidden="false" customHeight="false" outlineLevel="0" collapsed="false">
      <c r="A5826" s="0" t="s">
        <v>12</v>
      </c>
      <c r="B5826" s="0" t="n">
        <v>1628464</v>
      </c>
      <c r="C5826" s="0" t="n">
        <v>1628484</v>
      </c>
      <c r="D5826" s="0" t="s">
        <v>19488</v>
      </c>
      <c r="E5826" s="0" t="s">
        <v>89</v>
      </c>
      <c r="F5826" s="0" t="s">
        <v>90</v>
      </c>
      <c r="G5826" s="0" t="s">
        <v>36</v>
      </c>
      <c r="H5826" s="0" t="n">
        <v>104</v>
      </c>
      <c r="I5826" s="0" t="s">
        <v>19498</v>
      </c>
      <c r="J5826" s="0" t="s">
        <v>19499</v>
      </c>
      <c r="K5826" s="0" t="s">
        <v>19500</v>
      </c>
      <c r="L5826" s="0" t="str">
        <f aca="false">HYPERLINK("https://www.ncbi.nlm.nih.gov/nuccore/CP000304.1?report=graph&amp;tracks=[key:gene_model_track,Options:GeneOnly]&amp;mk=1628558:1628577|offset_11|444444,1628537:1628556|offset_32|444444,1628505:1628524|offset_64|444444,1628465:1628484|offset_104|00cc00&amp;v=1628357:1628684&amp;c=444444", "offset 104")</f>
        <v>offset 104</v>
      </c>
    </row>
    <row r="5827" customFormat="false" ht="12.8" hidden="false" customHeight="false" outlineLevel="0" collapsed="false">
      <c r="A5827" s="0" t="s">
        <v>12</v>
      </c>
      <c r="B5827" s="0" t="n">
        <v>1628905</v>
      </c>
      <c r="C5827" s="0" t="n">
        <v>1628925</v>
      </c>
      <c r="D5827" s="0" t="s">
        <v>19501</v>
      </c>
      <c r="E5827" s="0" t="s">
        <v>89</v>
      </c>
      <c r="F5827" s="0" t="s">
        <v>15</v>
      </c>
      <c r="G5827" s="0" t="s">
        <v>32</v>
      </c>
      <c r="H5827" s="0" t="n">
        <v>1</v>
      </c>
      <c r="I5827" s="0" t="s">
        <v>19502</v>
      </c>
      <c r="J5827" s="0" t="s">
        <v>19503</v>
      </c>
      <c r="K5827" s="0" t="s">
        <v>19504</v>
      </c>
      <c r="L5827" s="0" t="str">
        <f aca="false">HYPERLINK("https://www.ncbi.nlm.nih.gov/nuccore/CP000304.1?report=graph&amp;tracks=[key:gene_model_track,Options:GeneOnly]&amp;mk=1628906:1628925|offset_1|00cc00,1628945:1628964|offset_40|444444,1628976:1628995|offset_71|444444,1629000:1629019|offset_95|444444&amp;v=1628705:1629219&amp;c=444444", "offset 1")</f>
        <v>offset 1</v>
      </c>
    </row>
    <row r="5828" customFormat="false" ht="12.8" hidden="false" customHeight="false" outlineLevel="0" collapsed="false">
      <c r="A5828" s="0" t="s">
        <v>12</v>
      </c>
      <c r="B5828" s="0" t="n">
        <v>1628944</v>
      </c>
      <c r="C5828" s="0" t="n">
        <v>1628964</v>
      </c>
      <c r="D5828" s="0" t="s">
        <v>19501</v>
      </c>
      <c r="E5828" s="0" t="s">
        <v>89</v>
      </c>
      <c r="F5828" s="0" t="s">
        <v>15</v>
      </c>
      <c r="G5828" s="0" t="s">
        <v>32</v>
      </c>
      <c r="H5828" s="0" t="n">
        <v>40</v>
      </c>
      <c r="I5828" s="0" t="s">
        <v>19505</v>
      </c>
      <c r="J5828" s="0" t="s">
        <v>19506</v>
      </c>
      <c r="K5828" s="0" t="s">
        <v>19507</v>
      </c>
      <c r="L5828" s="0" t="str">
        <f aca="false">HYPERLINK("https://www.ncbi.nlm.nih.gov/nuccore/CP000304.1?report=graph&amp;tracks=[key:gene_model_track,Options:GeneOnly]&amp;mk=1628906:1628925|offset_1|444444,1628945:1628964|offset_40|00cc00,1628976:1628995|offset_71|444444,1629000:1629019|offset_95|444444&amp;v=1628705:1629219&amp;c=444444", "offset 40")</f>
        <v>offset 40</v>
      </c>
    </row>
    <row r="5829" customFormat="false" ht="12.8" hidden="false" customHeight="false" outlineLevel="0" collapsed="false">
      <c r="A5829" s="0" t="s">
        <v>12</v>
      </c>
      <c r="B5829" s="0" t="n">
        <v>1628975</v>
      </c>
      <c r="C5829" s="0" t="n">
        <v>1628995</v>
      </c>
      <c r="D5829" s="0" t="s">
        <v>19501</v>
      </c>
      <c r="E5829" s="0" t="s">
        <v>89</v>
      </c>
      <c r="F5829" s="0" t="s">
        <v>15</v>
      </c>
      <c r="G5829" s="0" t="s">
        <v>32</v>
      </c>
      <c r="H5829" s="0" t="n">
        <v>71</v>
      </c>
      <c r="I5829" s="0" t="s">
        <v>19508</v>
      </c>
      <c r="J5829" s="0" t="s">
        <v>19509</v>
      </c>
      <c r="K5829" s="0" t="s">
        <v>19510</v>
      </c>
      <c r="L5829" s="0" t="str">
        <f aca="false">HYPERLINK("https://www.ncbi.nlm.nih.gov/nuccore/CP000304.1?report=graph&amp;tracks=[key:gene_model_track,Options:GeneOnly]&amp;mk=1628906:1628925|offset_1|444444,1628945:1628964|offset_40|444444,1628976:1628995|offset_71|00cc00,1629000:1629019|offset_95|444444&amp;v=1628705:1629219&amp;c=444444", "offset 71")</f>
        <v>offset 71</v>
      </c>
    </row>
    <row r="5830" customFormat="false" ht="12.8" hidden="false" customHeight="false" outlineLevel="0" collapsed="false">
      <c r="A5830" s="0" t="s">
        <v>12</v>
      </c>
      <c r="B5830" s="0" t="n">
        <v>1628999</v>
      </c>
      <c r="C5830" s="0" t="n">
        <v>1629019</v>
      </c>
      <c r="D5830" s="0" t="s">
        <v>19501</v>
      </c>
      <c r="E5830" s="0" t="s">
        <v>89</v>
      </c>
      <c r="F5830" s="0" t="s">
        <v>15</v>
      </c>
      <c r="G5830" s="0" t="s">
        <v>26</v>
      </c>
      <c r="H5830" s="0" t="n">
        <v>95</v>
      </c>
      <c r="I5830" s="0" t="s">
        <v>19511</v>
      </c>
      <c r="J5830" s="0" t="s">
        <v>19512</v>
      </c>
      <c r="K5830" s="0" t="s">
        <v>19513</v>
      </c>
      <c r="L5830" s="0" t="str">
        <f aca="false">HYPERLINK("https://www.ncbi.nlm.nih.gov/nuccore/CP000304.1?report=graph&amp;tracks=[key:gene_model_track,Options:GeneOnly]&amp;mk=1628906:1628925|offset_1|444444,1628945:1628964|offset_40|444444,1628976:1628995|offset_71|444444,1629000:1629019|offset_95|00cc00&amp;v=1628705:1629219&amp;c=444444", "offset 95")</f>
        <v>offset 95</v>
      </c>
    </row>
    <row r="5831" customFormat="false" ht="12.8" hidden="false" customHeight="false" outlineLevel="0" collapsed="false">
      <c r="A5831" s="0" t="s">
        <v>12</v>
      </c>
      <c r="B5831" s="0" t="n">
        <v>1630388</v>
      </c>
      <c r="C5831" s="0" t="n">
        <v>1630408</v>
      </c>
      <c r="D5831" s="0" t="s">
        <v>19514</v>
      </c>
      <c r="E5831" s="0" t="s">
        <v>89</v>
      </c>
      <c r="F5831" s="0" t="s">
        <v>90</v>
      </c>
      <c r="G5831" s="0" t="s">
        <v>32</v>
      </c>
      <c r="H5831" s="0" t="n">
        <v>20</v>
      </c>
      <c r="I5831" s="0" t="s">
        <v>19515</v>
      </c>
      <c r="J5831" s="0" t="s">
        <v>19516</v>
      </c>
      <c r="K5831" s="0" t="s">
        <v>19517</v>
      </c>
      <c r="L5831" s="0" t="str">
        <f aca="false">HYPERLINK("https://www.ncbi.nlm.nih.gov/nuccore/CP000304.1?report=graph&amp;tracks=[key:gene_model_track,Options:GeneOnly]&amp;mk=1630389:1630408|offset_20|00cc00,1630369:1630388|offset_40|444444,1630345:1630364|offset_64|444444,1630318:1630337|offset_91|444444&amp;v=1630188:1630537&amp;c=444444", "offset 20")</f>
        <v>offset 20</v>
      </c>
    </row>
    <row r="5832" customFormat="false" ht="12.8" hidden="false" customHeight="false" outlineLevel="0" collapsed="false">
      <c r="A5832" s="0" t="s">
        <v>12</v>
      </c>
      <c r="B5832" s="0" t="n">
        <v>1630368</v>
      </c>
      <c r="C5832" s="0" t="n">
        <v>1630388</v>
      </c>
      <c r="D5832" s="0" t="s">
        <v>19514</v>
      </c>
      <c r="E5832" s="0" t="s">
        <v>89</v>
      </c>
      <c r="F5832" s="0" t="s">
        <v>90</v>
      </c>
      <c r="G5832" s="0" t="s">
        <v>32</v>
      </c>
      <c r="H5832" s="0" t="n">
        <v>40</v>
      </c>
      <c r="I5832" s="0" t="s">
        <v>19518</v>
      </c>
      <c r="J5832" s="0" t="s">
        <v>19519</v>
      </c>
      <c r="K5832" s="0" t="s">
        <v>19520</v>
      </c>
      <c r="L5832" s="0" t="str">
        <f aca="false">HYPERLINK("https://www.ncbi.nlm.nih.gov/nuccore/CP000304.1?report=graph&amp;tracks=[key:gene_model_track,Options:GeneOnly]&amp;mk=1630389:1630408|offset_20|444444,1630369:1630388|offset_40|00cc00,1630345:1630364|offset_64|444444,1630318:1630337|offset_91|444444&amp;v=1630188:1630537&amp;c=444444", "offset 40")</f>
        <v>offset 40</v>
      </c>
    </row>
    <row r="5833" customFormat="false" ht="12.8" hidden="false" customHeight="false" outlineLevel="0" collapsed="false">
      <c r="A5833" s="0" t="s">
        <v>12</v>
      </c>
      <c r="B5833" s="0" t="n">
        <v>1630344</v>
      </c>
      <c r="C5833" s="0" t="n">
        <v>1630364</v>
      </c>
      <c r="D5833" s="0" t="s">
        <v>19514</v>
      </c>
      <c r="E5833" s="0" t="s">
        <v>89</v>
      </c>
      <c r="F5833" s="0" t="s">
        <v>90</v>
      </c>
      <c r="G5833" s="0" t="s">
        <v>32</v>
      </c>
      <c r="H5833" s="0" t="n">
        <v>64</v>
      </c>
      <c r="I5833" s="0" t="s">
        <v>19521</v>
      </c>
      <c r="J5833" s="0" t="s">
        <v>19522</v>
      </c>
      <c r="K5833" s="0" t="s">
        <v>19523</v>
      </c>
      <c r="L5833" s="0" t="str">
        <f aca="false">HYPERLINK("https://www.ncbi.nlm.nih.gov/nuccore/CP000304.1?report=graph&amp;tracks=[key:gene_model_track,Options:GeneOnly]&amp;mk=1630389:1630408|offset_20|444444,1630369:1630388|offset_40|444444,1630345:1630364|offset_64|00cc00,1630318:1630337|offset_91|444444&amp;v=1630188:1630537&amp;c=444444", "offset 64")</f>
        <v>offset 64</v>
      </c>
    </row>
    <row r="5834" customFormat="false" ht="12.8" hidden="false" customHeight="false" outlineLevel="0" collapsed="false">
      <c r="A5834" s="0" t="s">
        <v>12</v>
      </c>
      <c r="B5834" s="0" t="n">
        <v>1630317</v>
      </c>
      <c r="C5834" s="0" t="n">
        <v>1630337</v>
      </c>
      <c r="D5834" s="0" t="s">
        <v>19514</v>
      </c>
      <c r="E5834" s="0" t="s">
        <v>89</v>
      </c>
      <c r="F5834" s="0" t="s">
        <v>90</v>
      </c>
      <c r="G5834" s="0" t="s">
        <v>36</v>
      </c>
      <c r="H5834" s="0" t="n">
        <v>91</v>
      </c>
      <c r="I5834" s="0" t="s">
        <v>19524</v>
      </c>
      <c r="J5834" s="0" t="s">
        <v>19525</v>
      </c>
      <c r="K5834" s="0" t="s">
        <v>19526</v>
      </c>
      <c r="L5834" s="0" t="str">
        <f aca="false">HYPERLINK("https://www.ncbi.nlm.nih.gov/nuccore/CP000304.1?report=graph&amp;tracks=[key:gene_model_track,Options:GeneOnly]&amp;mk=1630389:1630408|offset_20|444444,1630369:1630388|offset_40|444444,1630345:1630364|offset_64|444444,1630318:1630337|offset_91|00cc00&amp;v=1630188:1630537&amp;c=444444", "offset 91")</f>
        <v>offset 91</v>
      </c>
    </row>
    <row r="5835" customFormat="false" ht="12.8" hidden="false" customHeight="false" outlineLevel="0" collapsed="false">
      <c r="A5835" s="0" t="s">
        <v>12</v>
      </c>
      <c r="B5835" s="0" t="n">
        <v>1630551</v>
      </c>
      <c r="C5835" s="0" t="n">
        <v>1630571</v>
      </c>
      <c r="D5835" s="0" t="s">
        <v>19527</v>
      </c>
      <c r="E5835" s="0" t="s">
        <v>19528</v>
      </c>
      <c r="F5835" s="0" t="s">
        <v>15</v>
      </c>
      <c r="G5835" s="0" t="s">
        <v>26</v>
      </c>
      <c r="H5835" s="0" t="n">
        <v>11</v>
      </c>
      <c r="I5835" s="0" t="s">
        <v>19529</v>
      </c>
      <c r="J5835" s="0" t="s">
        <v>19530</v>
      </c>
      <c r="K5835" s="0" t="s">
        <v>19531</v>
      </c>
      <c r="L5835" s="0" t="str">
        <f aca="false">HYPERLINK("https://www.ncbi.nlm.nih.gov/nuccore/CP000304.1?report=graph&amp;tracks=[key:gene_model_track,Options:GeneOnly]&amp;mk=1630552:1630571|offset_11|00cc00,1630582:1630601|offset_41|444444,1630614:1630633|offset_73|444444,1630666:1630685|offset_125|444444&amp;v=1630351:1630885&amp;c=444444", "offset 11")</f>
        <v>offset 11</v>
      </c>
    </row>
    <row r="5836" customFormat="false" ht="12.8" hidden="false" customHeight="false" outlineLevel="0" collapsed="false">
      <c r="A5836" s="0" t="s">
        <v>12</v>
      </c>
      <c r="B5836" s="0" t="n">
        <v>1630581</v>
      </c>
      <c r="C5836" s="0" t="n">
        <v>1630601</v>
      </c>
      <c r="D5836" s="0" t="s">
        <v>19527</v>
      </c>
      <c r="E5836" s="0" t="s">
        <v>19528</v>
      </c>
      <c r="F5836" s="0" t="s">
        <v>15</v>
      </c>
      <c r="G5836" s="0" t="s">
        <v>32</v>
      </c>
      <c r="H5836" s="0" t="n">
        <v>41</v>
      </c>
      <c r="I5836" s="0" t="s">
        <v>19532</v>
      </c>
      <c r="J5836" s="0" t="s">
        <v>19533</v>
      </c>
      <c r="K5836" s="0" t="s">
        <v>19534</v>
      </c>
      <c r="L5836" s="0" t="str">
        <f aca="false">HYPERLINK("https://www.ncbi.nlm.nih.gov/nuccore/CP000304.1?report=graph&amp;tracks=[key:gene_model_track,Options:GeneOnly]&amp;mk=1630552:1630571|offset_11|444444,1630582:1630601|offset_41|00cc00,1630614:1630633|offset_73|444444,1630666:1630685|offset_125|444444&amp;v=1630351:1630885&amp;c=444444", "offset 41")</f>
        <v>offset 41</v>
      </c>
    </row>
    <row r="5837" customFormat="false" ht="12.8" hidden="false" customHeight="false" outlineLevel="0" collapsed="false">
      <c r="A5837" s="0" t="s">
        <v>12</v>
      </c>
      <c r="B5837" s="0" t="n">
        <v>1630613</v>
      </c>
      <c r="C5837" s="0" t="n">
        <v>1630633</v>
      </c>
      <c r="D5837" s="0" t="s">
        <v>19527</v>
      </c>
      <c r="E5837" s="0" t="s">
        <v>19528</v>
      </c>
      <c r="F5837" s="0" t="s">
        <v>15</v>
      </c>
      <c r="G5837" s="0" t="s">
        <v>32</v>
      </c>
      <c r="H5837" s="0" t="n">
        <v>73</v>
      </c>
      <c r="I5837" s="0" t="s">
        <v>19535</v>
      </c>
      <c r="J5837" s="0" t="s">
        <v>19536</v>
      </c>
      <c r="K5837" s="0" t="s">
        <v>19537</v>
      </c>
      <c r="L5837" s="0" t="str">
        <f aca="false">HYPERLINK("https://www.ncbi.nlm.nih.gov/nuccore/CP000304.1?report=graph&amp;tracks=[key:gene_model_track,Options:GeneOnly]&amp;mk=1630552:1630571|offset_11|444444,1630582:1630601|offset_41|444444,1630614:1630633|offset_73|00cc00,1630666:1630685|offset_125|444444&amp;v=1630351:1630885&amp;c=444444", "offset 73")</f>
        <v>offset 73</v>
      </c>
    </row>
    <row r="5838" customFormat="false" ht="12.8" hidden="false" customHeight="false" outlineLevel="0" collapsed="false">
      <c r="A5838" s="0" t="s">
        <v>12</v>
      </c>
      <c r="B5838" s="0" t="n">
        <v>1630665</v>
      </c>
      <c r="C5838" s="0" t="n">
        <v>1630685</v>
      </c>
      <c r="D5838" s="0" t="s">
        <v>19527</v>
      </c>
      <c r="E5838" s="0" t="s">
        <v>19528</v>
      </c>
      <c r="F5838" s="0" t="s">
        <v>15</v>
      </c>
      <c r="G5838" s="0" t="s">
        <v>26</v>
      </c>
      <c r="H5838" s="0" t="n">
        <v>125</v>
      </c>
      <c r="I5838" s="0" t="s">
        <v>19538</v>
      </c>
      <c r="J5838" s="0" t="s">
        <v>19539</v>
      </c>
      <c r="K5838" s="0" t="s">
        <v>19540</v>
      </c>
      <c r="L5838" s="0" t="str">
        <f aca="false">HYPERLINK("https://www.ncbi.nlm.nih.gov/nuccore/CP000304.1?report=graph&amp;tracks=[key:gene_model_track,Options:GeneOnly]&amp;mk=1630552:1630571|offset_11|444444,1630582:1630601|offset_41|444444,1630614:1630633|offset_73|444444,1630666:1630685|offset_125|00cc00&amp;v=1630351:1630885&amp;c=444444", "offset 125")</f>
        <v>offset 125</v>
      </c>
    </row>
    <row r="5839" customFormat="false" ht="12.8" hidden="false" customHeight="false" outlineLevel="0" collapsed="false">
      <c r="A5839" s="0" t="s">
        <v>12</v>
      </c>
      <c r="B5839" s="0" t="n">
        <v>1631831</v>
      </c>
      <c r="C5839" s="0" t="n">
        <v>1631851</v>
      </c>
      <c r="D5839" s="0" t="s">
        <v>19541</v>
      </c>
      <c r="E5839" s="0" t="s">
        <v>89</v>
      </c>
      <c r="F5839" s="0" t="s">
        <v>90</v>
      </c>
      <c r="G5839" s="0" t="s">
        <v>16</v>
      </c>
      <c r="H5839" s="0" t="n">
        <v>63</v>
      </c>
      <c r="I5839" s="0" t="s">
        <v>19542</v>
      </c>
      <c r="J5839" s="0" t="s">
        <v>19543</v>
      </c>
      <c r="K5839" s="0" t="s">
        <v>19544</v>
      </c>
      <c r="L5839" s="0" t="str">
        <f aca="false">HYPERLINK("https://www.ncbi.nlm.nih.gov/nuccore/CP000304.1?report=graph&amp;tracks=[key:gene_model_track,Options:GeneOnly]&amp;mk=1631832:1631851|offset_63|00cc00,1631809:1631828|offset_86|444444,1631789:1631808|offset_106|444444,1631750:1631769|offset_145|444444&amp;v=1631631:1631969&amp;c=444444", "offset 63")</f>
        <v>offset 63</v>
      </c>
    </row>
    <row r="5840" customFormat="false" ht="12.8" hidden="false" customHeight="false" outlineLevel="0" collapsed="false">
      <c r="A5840" s="0" t="s">
        <v>12</v>
      </c>
      <c r="B5840" s="0" t="n">
        <v>1631808</v>
      </c>
      <c r="C5840" s="0" t="n">
        <v>1631828</v>
      </c>
      <c r="D5840" s="0" t="s">
        <v>19541</v>
      </c>
      <c r="E5840" s="0" t="s">
        <v>89</v>
      </c>
      <c r="F5840" s="0" t="s">
        <v>90</v>
      </c>
      <c r="G5840" s="0" t="s">
        <v>36</v>
      </c>
      <c r="H5840" s="0" t="n">
        <v>86</v>
      </c>
      <c r="I5840" s="0" t="s">
        <v>19545</v>
      </c>
      <c r="J5840" s="0" t="s">
        <v>19546</v>
      </c>
      <c r="K5840" s="0" t="s">
        <v>19547</v>
      </c>
      <c r="L5840" s="0" t="str">
        <f aca="false">HYPERLINK("https://www.ncbi.nlm.nih.gov/nuccore/CP000304.1?report=graph&amp;tracks=[key:gene_model_track,Options:GeneOnly]&amp;mk=1631832:1631851|offset_63|444444,1631809:1631828|offset_86|00cc00,1631789:1631808|offset_106|444444,1631750:1631769|offset_145|444444&amp;v=1631631:1631969&amp;c=444444", "offset 86")</f>
        <v>offset 86</v>
      </c>
    </row>
    <row r="5841" customFormat="false" ht="12.8" hidden="false" customHeight="false" outlineLevel="0" collapsed="false">
      <c r="A5841" s="0" t="s">
        <v>12</v>
      </c>
      <c r="B5841" s="0" t="n">
        <v>1631788</v>
      </c>
      <c r="C5841" s="0" t="n">
        <v>1631808</v>
      </c>
      <c r="D5841" s="0" t="s">
        <v>19541</v>
      </c>
      <c r="E5841" s="0" t="s">
        <v>89</v>
      </c>
      <c r="F5841" s="0" t="s">
        <v>90</v>
      </c>
      <c r="G5841" s="0" t="s">
        <v>36</v>
      </c>
      <c r="H5841" s="0" t="n">
        <v>106</v>
      </c>
      <c r="I5841" s="0" t="s">
        <v>19548</v>
      </c>
      <c r="J5841" s="0" t="s">
        <v>19549</v>
      </c>
      <c r="K5841" s="0" t="s">
        <v>19550</v>
      </c>
      <c r="L5841" s="0" t="str">
        <f aca="false">HYPERLINK("https://www.ncbi.nlm.nih.gov/nuccore/CP000304.1?report=graph&amp;tracks=[key:gene_model_track,Options:GeneOnly]&amp;mk=1631832:1631851|offset_63|444444,1631809:1631828|offset_86|444444,1631789:1631808|offset_106|00cc00,1631750:1631769|offset_145|444444&amp;v=1631631:1631969&amp;c=444444", "offset 106")</f>
        <v>offset 106</v>
      </c>
    </row>
    <row r="5842" customFormat="false" ht="12.8" hidden="false" customHeight="false" outlineLevel="0" collapsed="false">
      <c r="A5842" s="0" t="s">
        <v>12</v>
      </c>
      <c r="B5842" s="0" t="n">
        <v>1631749</v>
      </c>
      <c r="C5842" s="0" t="n">
        <v>1631769</v>
      </c>
      <c r="D5842" s="0" t="s">
        <v>19541</v>
      </c>
      <c r="E5842" s="0" t="s">
        <v>89</v>
      </c>
      <c r="F5842" s="0" t="s">
        <v>90</v>
      </c>
      <c r="G5842" s="0" t="s">
        <v>16</v>
      </c>
      <c r="H5842" s="0" t="n">
        <v>145</v>
      </c>
      <c r="I5842" s="0" t="s">
        <v>19551</v>
      </c>
      <c r="J5842" s="0" t="s">
        <v>19552</v>
      </c>
      <c r="K5842" s="0" t="s">
        <v>19553</v>
      </c>
      <c r="L5842" s="0" t="str">
        <f aca="false">HYPERLINK("https://www.ncbi.nlm.nih.gov/nuccore/CP000304.1?report=graph&amp;tracks=[key:gene_model_track,Options:GeneOnly]&amp;mk=1631832:1631851|offset_63|444444,1631809:1631828|offset_86|444444,1631789:1631808|offset_106|444444,1631750:1631769|offset_145|00cc00&amp;v=1631631:1631969&amp;c=444444", "offset 145")</f>
        <v>offset 145</v>
      </c>
    </row>
    <row r="5843" customFormat="false" ht="12.8" hidden="false" customHeight="false" outlineLevel="0" collapsed="false">
      <c r="A5843" s="0" t="s">
        <v>12</v>
      </c>
      <c r="B5843" s="0" t="n">
        <v>1632331</v>
      </c>
      <c r="C5843" s="0" t="n">
        <v>1632351</v>
      </c>
      <c r="D5843" s="0" t="s">
        <v>19554</v>
      </c>
      <c r="E5843" s="0" t="s">
        <v>89</v>
      </c>
      <c r="F5843" s="0" t="s">
        <v>90</v>
      </c>
      <c r="G5843" s="0" t="s">
        <v>36</v>
      </c>
      <c r="H5843" s="0" t="n">
        <v>14</v>
      </c>
      <c r="I5843" s="0" t="s">
        <v>19555</v>
      </c>
      <c r="J5843" s="0" t="s">
        <v>19556</v>
      </c>
      <c r="K5843" s="0" t="s">
        <v>19557</v>
      </c>
      <c r="L5843" s="0" t="str">
        <f aca="false">HYPERLINK("https://www.ncbi.nlm.nih.gov/nuccore/CP000304.1?report=graph&amp;tracks=[key:gene_model_track,Options:GeneOnly]&amp;mk=1632332:1632351|offset_14|00cc00,1632284:1632303|offset_62|444444,1632238:1632257|offset_108|444444,1632212:1632231|offset_134|444444&amp;v=1632131:1632431&amp;c=444444", "offset 14")</f>
        <v>offset 14</v>
      </c>
    </row>
    <row r="5844" customFormat="false" ht="12.8" hidden="false" customHeight="false" outlineLevel="0" collapsed="false">
      <c r="A5844" s="0" t="s">
        <v>12</v>
      </c>
      <c r="B5844" s="0" t="n">
        <v>1632283</v>
      </c>
      <c r="C5844" s="0" t="n">
        <v>1632303</v>
      </c>
      <c r="D5844" s="0" t="s">
        <v>19554</v>
      </c>
      <c r="E5844" s="0" t="s">
        <v>89</v>
      </c>
      <c r="F5844" s="0" t="s">
        <v>90</v>
      </c>
      <c r="G5844" s="0" t="s">
        <v>32</v>
      </c>
      <c r="H5844" s="0" t="n">
        <v>62</v>
      </c>
      <c r="I5844" s="0" t="s">
        <v>19558</v>
      </c>
      <c r="J5844" s="0" t="s">
        <v>19559</v>
      </c>
      <c r="K5844" s="0" t="s">
        <v>19560</v>
      </c>
      <c r="L5844" s="0" t="str">
        <f aca="false">HYPERLINK("https://www.ncbi.nlm.nih.gov/nuccore/CP000304.1?report=graph&amp;tracks=[key:gene_model_track,Options:GeneOnly]&amp;mk=1632332:1632351|offset_14|444444,1632284:1632303|offset_62|00cc00,1632238:1632257|offset_108|444444,1632212:1632231|offset_134|444444&amp;v=1632131:1632431&amp;c=444444", "offset 62")</f>
        <v>offset 62</v>
      </c>
    </row>
    <row r="5845" customFormat="false" ht="12.8" hidden="false" customHeight="false" outlineLevel="0" collapsed="false">
      <c r="A5845" s="0" t="s">
        <v>12</v>
      </c>
      <c r="B5845" s="0" t="n">
        <v>1632237</v>
      </c>
      <c r="C5845" s="0" t="n">
        <v>1632257</v>
      </c>
      <c r="D5845" s="0" t="s">
        <v>19554</v>
      </c>
      <c r="E5845" s="0" t="s">
        <v>89</v>
      </c>
      <c r="F5845" s="0" t="s">
        <v>90</v>
      </c>
      <c r="G5845" s="0" t="s">
        <v>26</v>
      </c>
      <c r="H5845" s="0" t="n">
        <v>108</v>
      </c>
      <c r="I5845" s="0" t="s">
        <v>19561</v>
      </c>
      <c r="J5845" s="0" t="s">
        <v>19562</v>
      </c>
      <c r="K5845" s="0" t="s">
        <v>19563</v>
      </c>
      <c r="L5845" s="0" t="str">
        <f aca="false">HYPERLINK("https://www.ncbi.nlm.nih.gov/nuccore/CP000304.1?report=graph&amp;tracks=[key:gene_model_track,Options:GeneOnly]&amp;mk=1632332:1632351|offset_14|444444,1632284:1632303|offset_62|444444,1632238:1632257|offset_108|00cc00,1632212:1632231|offset_134|444444&amp;v=1632131:1632431&amp;c=444444", "offset 108")</f>
        <v>offset 108</v>
      </c>
    </row>
    <row r="5846" customFormat="false" ht="12.8" hidden="false" customHeight="false" outlineLevel="0" collapsed="false">
      <c r="A5846" s="0" t="s">
        <v>12</v>
      </c>
      <c r="B5846" s="0" t="n">
        <v>1632211</v>
      </c>
      <c r="C5846" s="0" t="n">
        <v>1632231</v>
      </c>
      <c r="D5846" s="0" t="s">
        <v>19554</v>
      </c>
      <c r="E5846" s="0" t="s">
        <v>89</v>
      </c>
      <c r="F5846" s="0" t="s">
        <v>90</v>
      </c>
      <c r="G5846" s="0" t="s">
        <v>32</v>
      </c>
      <c r="H5846" s="0" t="n">
        <v>134</v>
      </c>
      <c r="I5846" s="0" t="s">
        <v>19564</v>
      </c>
      <c r="J5846" s="0" t="s">
        <v>19565</v>
      </c>
      <c r="K5846" s="0" t="s">
        <v>19566</v>
      </c>
      <c r="L5846" s="0" t="str">
        <f aca="false">HYPERLINK("https://www.ncbi.nlm.nih.gov/nuccore/CP000304.1?report=graph&amp;tracks=[key:gene_model_track,Options:GeneOnly]&amp;mk=1632332:1632351|offset_14|444444,1632284:1632303|offset_62|444444,1632238:1632257|offset_108|444444,1632212:1632231|offset_134|00cc00&amp;v=1632131:1632431&amp;c=444444", "offset 134")</f>
        <v>offset 134</v>
      </c>
    </row>
    <row r="5847" customFormat="false" ht="12.8" hidden="false" customHeight="false" outlineLevel="0" collapsed="false">
      <c r="A5847" s="0" t="s">
        <v>12</v>
      </c>
      <c r="B5847" s="0" t="n">
        <v>1632525</v>
      </c>
      <c r="C5847" s="0" t="n">
        <v>1632545</v>
      </c>
      <c r="D5847" s="0" t="s">
        <v>19567</v>
      </c>
      <c r="E5847" s="0" t="s">
        <v>89</v>
      </c>
      <c r="F5847" s="0" t="s">
        <v>15</v>
      </c>
      <c r="G5847" s="0" t="s">
        <v>36</v>
      </c>
      <c r="H5847" s="0" t="n">
        <v>27</v>
      </c>
      <c r="I5847" s="0" t="s">
        <v>19568</v>
      </c>
      <c r="J5847" s="0" t="s">
        <v>19569</v>
      </c>
      <c r="K5847" s="0" t="s">
        <v>19570</v>
      </c>
      <c r="L5847" s="0" t="str">
        <f aca="false">HYPERLINK("https://www.ncbi.nlm.nih.gov/nuccore/CP000304.1?report=graph&amp;tracks=[key:gene_model_track,Options:GeneOnly]&amp;mk=1632526:1632545|offset_27|00cc00,1632549:1632568|offset_50|444444,1632586:1632605|offset_87|444444,1632620:1632639|offset_121|444444&amp;v=1632325:1632839&amp;c=444444", "offset 27")</f>
        <v>offset 27</v>
      </c>
    </row>
    <row r="5848" customFormat="false" ht="12.8" hidden="false" customHeight="false" outlineLevel="0" collapsed="false">
      <c r="A5848" s="0" t="s">
        <v>12</v>
      </c>
      <c r="B5848" s="0" t="n">
        <v>1632548</v>
      </c>
      <c r="C5848" s="0" t="n">
        <v>1632568</v>
      </c>
      <c r="D5848" s="0" t="s">
        <v>19567</v>
      </c>
      <c r="E5848" s="0" t="s">
        <v>89</v>
      </c>
      <c r="F5848" s="0" t="s">
        <v>15</v>
      </c>
      <c r="G5848" s="0" t="s">
        <v>26</v>
      </c>
      <c r="H5848" s="0" t="n">
        <v>50</v>
      </c>
      <c r="I5848" s="0" t="s">
        <v>19571</v>
      </c>
      <c r="J5848" s="0" t="s">
        <v>19572</v>
      </c>
      <c r="K5848" s="0" t="s">
        <v>19573</v>
      </c>
      <c r="L5848" s="0" t="str">
        <f aca="false">HYPERLINK("https://www.ncbi.nlm.nih.gov/nuccore/CP000304.1?report=graph&amp;tracks=[key:gene_model_track,Options:GeneOnly]&amp;mk=1632526:1632545|offset_27|444444,1632549:1632568|offset_50|00cc00,1632586:1632605|offset_87|444444,1632620:1632639|offset_121|444444&amp;v=1632325:1632839&amp;c=444444", "offset 50")</f>
        <v>offset 50</v>
      </c>
    </row>
    <row r="5849" customFormat="false" ht="12.8" hidden="false" customHeight="false" outlineLevel="0" collapsed="false">
      <c r="A5849" s="0" t="s">
        <v>12</v>
      </c>
      <c r="B5849" s="0" t="n">
        <v>1632585</v>
      </c>
      <c r="C5849" s="0" t="n">
        <v>1632605</v>
      </c>
      <c r="D5849" s="0" t="s">
        <v>19567</v>
      </c>
      <c r="E5849" s="0" t="s">
        <v>89</v>
      </c>
      <c r="F5849" s="0" t="s">
        <v>15</v>
      </c>
      <c r="G5849" s="0" t="s">
        <v>16</v>
      </c>
      <c r="H5849" s="0" t="n">
        <v>87</v>
      </c>
      <c r="I5849" s="0" t="s">
        <v>19574</v>
      </c>
      <c r="J5849" s="0" t="s">
        <v>19575</v>
      </c>
      <c r="K5849" s="0" t="s">
        <v>19576</v>
      </c>
      <c r="L5849" s="0" t="str">
        <f aca="false">HYPERLINK("https://www.ncbi.nlm.nih.gov/nuccore/CP000304.1?report=graph&amp;tracks=[key:gene_model_track,Options:GeneOnly]&amp;mk=1632526:1632545|offset_27|444444,1632549:1632568|offset_50|444444,1632586:1632605|offset_87|00cc00,1632620:1632639|offset_121|444444&amp;v=1632325:1632839&amp;c=444444", "offset 87")</f>
        <v>offset 87</v>
      </c>
    </row>
    <row r="5850" customFormat="false" ht="12.8" hidden="false" customHeight="false" outlineLevel="0" collapsed="false">
      <c r="A5850" s="0" t="s">
        <v>12</v>
      </c>
      <c r="B5850" s="0" t="n">
        <v>1632619</v>
      </c>
      <c r="C5850" s="0" t="n">
        <v>1632639</v>
      </c>
      <c r="D5850" s="0" t="s">
        <v>19567</v>
      </c>
      <c r="E5850" s="0" t="s">
        <v>89</v>
      </c>
      <c r="F5850" s="0" t="s">
        <v>15</v>
      </c>
      <c r="G5850" s="0" t="s">
        <v>16</v>
      </c>
      <c r="H5850" s="0" t="n">
        <v>121</v>
      </c>
      <c r="I5850" s="0" t="s">
        <v>19577</v>
      </c>
      <c r="J5850" s="0" t="s">
        <v>19578</v>
      </c>
      <c r="K5850" s="0" t="s">
        <v>19579</v>
      </c>
      <c r="L5850" s="0" t="str">
        <f aca="false">HYPERLINK("https://www.ncbi.nlm.nih.gov/nuccore/CP000304.1?report=graph&amp;tracks=[key:gene_model_track,Options:GeneOnly]&amp;mk=1632526:1632545|offset_27|444444,1632549:1632568|offset_50|444444,1632586:1632605|offset_87|444444,1632620:1632639|offset_121|00cc00&amp;v=1632325:1632839&amp;c=444444", "offset 121")</f>
        <v>offset 121</v>
      </c>
    </row>
    <row r="5851" customFormat="false" ht="12.8" hidden="false" customHeight="false" outlineLevel="0" collapsed="false">
      <c r="A5851" s="0" t="s">
        <v>12</v>
      </c>
      <c r="B5851" s="0" t="n">
        <v>1633640</v>
      </c>
      <c r="C5851" s="0" t="n">
        <v>1633660</v>
      </c>
      <c r="D5851" s="0" t="s">
        <v>19580</v>
      </c>
      <c r="E5851" s="0" t="s">
        <v>89</v>
      </c>
      <c r="F5851" s="0" t="s">
        <v>90</v>
      </c>
      <c r="G5851" s="0" t="s">
        <v>36</v>
      </c>
      <c r="H5851" s="0" t="n">
        <v>0</v>
      </c>
      <c r="I5851" s="0" t="s">
        <v>19581</v>
      </c>
      <c r="J5851" s="0" t="s">
        <v>19582</v>
      </c>
      <c r="K5851" s="0" t="s">
        <v>19583</v>
      </c>
      <c r="L5851" s="0" t="str">
        <f aca="false">HYPERLINK("https://www.ncbi.nlm.nih.gov/nuccore/CP000304.1?report=graph&amp;tracks=[key:gene_model_track,Options:GeneOnly]&amp;mk=1633641:1633660|offset_0|00cc00,1633598:1633617|offset_43|444444,1633565:1633584|offset_76|444444,1633521:1633540|offset_120|444444&amp;v=1633440:1633740&amp;c=444444", "offset 0")</f>
        <v>offset 0</v>
      </c>
    </row>
    <row r="5852" customFormat="false" ht="12.8" hidden="false" customHeight="false" outlineLevel="0" collapsed="false">
      <c r="A5852" s="0" t="s">
        <v>12</v>
      </c>
      <c r="B5852" s="0" t="n">
        <v>1633597</v>
      </c>
      <c r="C5852" s="0" t="n">
        <v>1633617</v>
      </c>
      <c r="D5852" s="0" t="s">
        <v>19580</v>
      </c>
      <c r="E5852" s="0" t="s">
        <v>89</v>
      </c>
      <c r="F5852" s="0" t="s">
        <v>90</v>
      </c>
      <c r="G5852" s="0" t="s">
        <v>16</v>
      </c>
      <c r="H5852" s="0" t="n">
        <v>43</v>
      </c>
      <c r="I5852" s="0" t="s">
        <v>19584</v>
      </c>
      <c r="J5852" s="0" t="s">
        <v>19585</v>
      </c>
      <c r="K5852" s="0" t="s">
        <v>19586</v>
      </c>
      <c r="L5852" s="0" t="str">
        <f aca="false">HYPERLINK("https://www.ncbi.nlm.nih.gov/nuccore/CP000304.1?report=graph&amp;tracks=[key:gene_model_track,Options:GeneOnly]&amp;mk=1633641:1633660|offset_0|444444,1633598:1633617|offset_43|00cc00,1633565:1633584|offset_76|444444,1633521:1633540|offset_120|444444&amp;v=1633440:1633740&amp;c=444444", "offset 43")</f>
        <v>offset 43</v>
      </c>
    </row>
    <row r="5853" customFormat="false" ht="12.8" hidden="false" customHeight="false" outlineLevel="0" collapsed="false">
      <c r="A5853" s="0" t="s">
        <v>12</v>
      </c>
      <c r="B5853" s="0" t="n">
        <v>1633564</v>
      </c>
      <c r="C5853" s="0" t="n">
        <v>1633584</v>
      </c>
      <c r="D5853" s="0" t="s">
        <v>19580</v>
      </c>
      <c r="E5853" s="0" t="s">
        <v>89</v>
      </c>
      <c r="F5853" s="0" t="s">
        <v>90</v>
      </c>
      <c r="G5853" s="0" t="s">
        <v>26</v>
      </c>
      <c r="H5853" s="0" t="n">
        <v>76</v>
      </c>
      <c r="I5853" s="0" t="s">
        <v>19587</v>
      </c>
      <c r="J5853" s="0" t="s">
        <v>19588</v>
      </c>
      <c r="K5853" s="0" t="s">
        <v>19589</v>
      </c>
      <c r="L5853" s="0" t="str">
        <f aca="false">HYPERLINK("https://www.ncbi.nlm.nih.gov/nuccore/CP000304.1?report=graph&amp;tracks=[key:gene_model_track,Options:GeneOnly]&amp;mk=1633641:1633660|offset_0|444444,1633598:1633617|offset_43|444444,1633565:1633584|offset_76|00cc00,1633521:1633540|offset_120|444444&amp;v=1633440:1633740&amp;c=444444", "offset 76")</f>
        <v>offset 76</v>
      </c>
    </row>
    <row r="5854" customFormat="false" ht="12.8" hidden="false" customHeight="false" outlineLevel="0" collapsed="false">
      <c r="A5854" s="0" t="s">
        <v>12</v>
      </c>
      <c r="B5854" s="0" t="n">
        <v>1633520</v>
      </c>
      <c r="C5854" s="0" t="n">
        <v>1633540</v>
      </c>
      <c r="D5854" s="0" t="s">
        <v>19580</v>
      </c>
      <c r="E5854" s="0" t="s">
        <v>89</v>
      </c>
      <c r="F5854" s="0" t="s">
        <v>90</v>
      </c>
      <c r="G5854" s="0" t="s">
        <v>16</v>
      </c>
      <c r="H5854" s="0" t="n">
        <v>120</v>
      </c>
      <c r="I5854" s="0" t="s">
        <v>19590</v>
      </c>
      <c r="J5854" s="0" t="s">
        <v>19591</v>
      </c>
      <c r="K5854" s="0" t="s">
        <v>19592</v>
      </c>
      <c r="L5854" s="0" t="str">
        <f aca="false">HYPERLINK("https://www.ncbi.nlm.nih.gov/nuccore/CP000304.1?report=graph&amp;tracks=[key:gene_model_track,Options:GeneOnly]&amp;mk=1633641:1633660|offset_0|444444,1633598:1633617|offset_43|444444,1633565:1633584|offset_76|444444,1633521:1633540|offset_120|00cc00&amp;v=1633440:1633740&amp;c=444444", "offset 120")</f>
        <v>offset 120</v>
      </c>
    </row>
    <row r="5855" customFormat="false" ht="12.8" hidden="false" customHeight="false" outlineLevel="0" collapsed="false">
      <c r="A5855" s="0" t="s">
        <v>12</v>
      </c>
      <c r="B5855" s="0" t="n">
        <v>1633849</v>
      </c>
      <c r="C5855" s="0" t="n">
        <v>1633869</v>
      </c>
      <c r="D5855" s="0" t="s">
        <v>19593</v>
      </c>
      <c r="E5855" s="0" t="s">
        <v>89</v>
      </c>
      <c r="F5855" s="0" t="s">
        <v>15</v>
      </c>
      <c r="G5855" s="0" t="s">
        <v>16</v>
      </c>
      <c r="H5855" s="0" t="n">
        <v>10</v>
      </c>
      <c r="I5855" s="0" t="s">
        <v>19594</v>
      </c>
      <c r="J5855" s="0" t="s">
        <v>19595</v>
      </c>
      <c r="K5855" s="0" t="s">
        <v>19596</v>
      </c>
      <c r="L5855" s="0" t="str">
        <f aca="false">HYPERLINK("https://www.ncbi.nlm.nih.gov/nuccore/CP000304.1?report=graph&amp;tracks=[key:gene_model_track,Options:GeneOnly]&amp;mk=1633850:1633869|offset_10|00cc00,1633912:1633931|offset_72|444444,1633946:1633965|offset_106|444444,1633968:1633987|offset_128|444444&amp;v=1633649:1634187&amp;c=444444", "offset 10")</f>
        <v>offset 10</v>
      </c>
    </row>
    <row r="5856" customFormat="false" ht="12.8" hidden="false" customHeight="false" outlineLevel="0" collapsed="false">
      <c r="A5856" s="0" t="s">
        <v>12</v>
      </c>
      <c r="B5856" s="0" t="n">
        <v>1633911</v>
      </c>
      <c r="C5856" s="0" t="n">
        <v>1633931</v>
      </c>
      <c r="D5856" s="0" t="s">
        <v>19593</v>
      </c>
      <c r="E5856" s="0" t="s">
        <v>89</v>
      </c>
      <c r="F5856" s="0" t="s">
        <v>15</v>
      </c>
      <c r="G5856" s="0" t="s">
        <v>16</v>
      </c>
      <c r="H5856" s="0" t="n">
        <v>72</v>
      </c>
      <c r="I5856" s="0" t="s">
        <v>19597</v>
      </c>
      <c r="J5856" s="0" t="s">
        <v>19598</v>
      </c>
      <c r="K5856" s="0" t="s">
        <v>19599</v>
      </c>
      <c r="L5856" s="0" t="str">
        <f aca="false">HYPERLINK("https://www.ncbi.nlm.nih.gov/nuccore/CP000304.1?report=graph&amp;tracks=[key:gene_model_track,Options:GeneOnly]&amp;mk=1633850:1633869|offset_10|444444,1633912:1633931|offset_72|00cc00,1633946:1633965|offset_106|444444,1633968:1633987|offset_128|444444&amp;v=1633649:1634187&amp;c=444444", "offset 72")</f>
        <v>offset 72</v>
      </c>
    </row>
    <row r="5857" customFormat="false" ht="12.8" hidden="false" customHeight="false" outlineLevel="0" collapsed="false">
      <c r="A5857" s="0" t="s">
        <v>12</v>
      </c>
      <c r="B5857" s="0" t="n">
        <v>1633945</v>
      </c>
      <c r="C5857" s="0" t="n">
        <v>1633965</v>
      </c>
      <c r="D5857" s="0" t="s">
        <v>19593</v>
      </c>
      <c r="E5857" s="0" t="s">
        <v>89</v>
      </c>
      <c r="F5857" s="0" t="s">
        <v>15</v>
      </c>
      <c r="G5857" s="0" t="s">
        <v>16</v>
      </c>
      <c r="H5857" s="0" t="n">
        <v>106</v>
      </c>
      <c r="I5857" s="0" t="s">
        <v>19600</v>
      </c>
      <c r="J5857" s="0" t="s">
        <v>19601</v>
      </c>
      <c r="K5857" s="0" t="s">
        <v>19602</v>
      </c>
      <c r="L5857" s="0" t="str">
        <f aca="false">HYPERLINK("https://www.ncbi.nlm.nih.gov/nuccore/CP000304.1?report=graph&amp;tracks=[key:gene_model_track,Options:GeneOnly]&amp;mk=1633850:1633869|offset_10|444444,1633912:1633931|offset_72|444444,1633946:1633965|offset_106|00cc00,1633968:1633987|offset_128|444444&amp;v=1633649:1634187&amp;c=444444", "offset 106")</f>
        <v>offset 106</v>
      </c>
    </row>
    <row r="5858" customFormat="false" ht="12.8" hidden="false" customHeight="false" outlineLevel="0" collapsed="false">
      <c r="A5858" s="0" t="s">
        <v>12</v>
      </c>
      <c r="B5858" s="0" t="n">
        <v>1633967</v>
      </c>
      <c r="C5858" s="0" t="n">
        <v>1633987</v>
      </c>
      <c r="D5858" s="0" t="s">
        <v>19593</v>
      </c>
      <c r="E5858" s="0" t="s">
        <v>89</v>
      </c>
      <c r="F5858" s="0" t="s">
        <v>15</v>
      </c>
      <c r="G5858" s="0" t="s">
        <v>26</v>
      </c>
      <c r="H5858" s="0" t="n">
        <v>128</v>
      </c>
      <c r="I5858" s="0" t="s">
        <v>19603</v>
      </c>
      <c r="J5858" s="0" t="s">
        <v>19604</v>
      </c>
      <c r="K5858" s="0" t="s">
        <v>19605</v>
      </c>
      <c r="L5858" s="0" t="str">
        <f aca="false">HYPERLINK("https://www.ncbi.nlm.nih.gov/nuccore/CP000304.1?report=graph&amp;tracks=[key:gene_model_track,Options:GeneOnly]&amp;mk=1633850:1633869|offset_10|444444,1633912:1633931|offset_72|444444,1633946:1633965|offset_106|444444,1633968:1633987|offset_128|00cc00&amp;v=1633649:1634187&amp;c=444444", "offset 128")</f>
        <v>offset 128</v>
      </c>
    </row>
    <row r="5859" customFormat="false" ht="12.8" hidden="false" customHeight="false" outlineLevel="0" collapsed="false">
      <c r="A5859" s="0" t="s">
        <v>12</v>
      </c>
      <c r="B5859" s="0" t="n">
        <v>1636060</v>
      </c>
      <c r="C5859" s="0" t="n">
        <v>1636080</v>
      </c>
      <c r="D5859" s="0" t="s">
        <v>19606</v>
      </c>
      <c r="E5859" s="0" t="s">
        <v>19607</v>
      </c>
      <c r="F5859" s="0" t="s">
        <v>15</v>
      </c>
      <c r="G5859" s="0" t="s">
        <v>16</v>
      </c>
      <c r="H5859" s="0" t="n">
        <v>58</v>
      </c>
      <c r="I5859" s="0" t="s">
        <v>19608</v>
      </c>
      <c r="J5859" s="0" t="s">
        <v>19609</v>
      </c>
      <c r="K5859" s="0" t="s">
        <v>19610</v>
      </c>
      <c r="L5859" s="0" t="str">
        <f aca="false">HYPERLINK("https://www.ncbi.nlm.nih.gov/nuccore/CP000304.1?report=graph&amp;tracks=[key:gene_model_track,Options:GeneOnly]&amp;mk=1636061:1636080|offset_58|00cc00,1636094:1636113|offset_91|444444,1636151:1636170|offset_148|444444,1636172:1636191|offset_169|444444&amp;v=1635860:1636391&amp;c=444444", "offset 58")</f>
        <v>offset 58</v>
      </c>
    </row>
    <row r="5860" customFormat="false" ht="12.8" hidden="false" customHeight="false" outlineLevel="0" collapsed="false">
      <c r="A5860" s="0" t="s">
        <v>12</v>
      </c>
      <c r="B5860" s="0" t="n">
        <v>1636093</v>
      </c>
      <c r="C5860" s="0" t="n">
        <v>1636113</v>
      </c>
      <c r="D5860" s="0" t="s">
        <v>19606</v>
      </c>
      <c r="E5860" s="0" t="s">
        <v>19607</v>
      </c>
      <c r="F5860" s="0" t="s">
        <v>15</v>
      </c>
      <c r="G5860" s="0" t="s">
        <v>16</v>
      </c>
      <c r="H5860" s="0" t="n">
        <v>91</v>
      </c>
      <c r="I5860" s="0" t="s">
        <v>19611</v>
      </c>
      <c r="J5860" s="0" t="s">
        <v>19612</v>
      </c>
      <c r="K5860" s="0" t="s">
        <v>19613</v>
      </c>
      <c r="L5860" s="0" t="str">
        <f aca="false">HYPERLINK("https://www.ncbi.nlm.nih.gov/nuccore/CP000304.1?report=graph&amp;tracks=[key:gene_model_track,Options:GeneOnly]&amp;mk=1636061:1636080|offset_58|444444,1636094:1636113|offset_91|00cc00,1636151:1636170|offset_148|444444,1636172:1636191|offset_169|444444&amp;v=1635860:1636391&amp;c=444444", "offset 91")</f>
        <v>offset 91</v>
      </c>
    </row>
    <row r="5861" customFormat="false" ht="12.8" hidden="false" customHeight="false" outlineLevel="0" collapsed="false">
      <c r="A5861" s="0" t="s">
        <v>12</v>
      </c>
      <c r="B5861" s="0" t="n">
        <v>1636150</v>
      </c>
      <c r="C5861" s="0" t="n">
        <v>1636170</v>
      </c>
      <c r="D5861" s="0" t="s">
        <v>19606</v>
      </c>
      <c r="E5861" s="0" t="s">
        <v>19607</v>
      </c>
      <c r="F5861" s="0" t="s">
        <v>15</v>
      </c>
      <c r="G5861" s="0" t="s">
        <v>16</v>
      </c>
      <c r="H5861" s="0" t="n">
        <v>148</v>
      </c>
      <c r="I5861" s="0" t="s">
        <v>19614</v>
      </c>
      <c r="J5861" s="0" t="s">
        <v>19615</v>
      </c>
      <c r="K5861" s="0" t="s">
        <v>19616</v>
      </c>
      <c r="L5861" s="0" t="str">
        <f aca="false">HYPERLINK("https://www.ncbi.nlm.nih.gov/nuccore/CP000304.1?report=graph&amp;tracks=[key:gene_model_track,Options:GeneOnly]&amp;mk=1636061:1636080|offset_58|444444,1636094:1636113|offset_91|444444,1636151:1636170|offset_148|00cc00,1636172:1636191|offset_169|444444&amp;v=1635860:1636391&amp;c=444444", "offset 148")</f>
        <v>offset 148</v>
      </c>
    </row>
    <row r="5862" customFormat="false" ht="12.8" hidden="false" customHeight="false" outlineLevel="0" collapsed="false">
      <c r="A5862" s="0" t="s">
        <v>12</v>
      </c>
      <c r="B5862" s="0" t="n">
        <v>1636171</v>
      </c>
      <c r="C5862" s="0" t="n">
        <v>1636191</v>
      </c>
      <c r="D5862" s="0" t="s">
        <v>19606</v>
      </c>
      <c r="E5862" s="0" t="s">
        <v>19607</v>
      </c>
      <c r="F5862" s="0" t="s">
        <v>15</v>
      </c>
      <c r="G5862" s="0" t="s">
        <v>26</v>
      </c>
      <c r="H5862" s="0" t="n">
        <v>169</v>
      </c>
      <c r="I5862" s="0" t="s">
        <v>19617</v>
      </c>
      <c r="J5862" s="0" t="s">
        <v>19618</v>
      </c>
      <c r="K5862" s="0" t="s">
        <v>19619</v>
      </c>
      <c r="L5862" s="0" t="str">
        <f aca="false">HYPERLINK("https://www.ncbi.nlm.nih.gov/nuccore/CP000304.1?report=graph&amp;tracks=[key:gene_model_track,Options:GeneOnly]&amp;mk=1636061:1636080|offset_58|444444,1636094:1636113|offset_91|444444,1636151:1636170|offset_148|444444,1636172:1636191|offset_169|00cc00&amp;v=1635860:1636391&amp;c=444444", "offset 169")</f>
        <v>offset 169</v>
      </c>
    </row>
    <row r="5863" customFormat="false" ht="12.8" hidden="false" customHeight="false" outlineLevel="0" collapsed="false">
      <c r="A5863" s="0" t="s">
        <v>12</v>
      </c>
      <c r="B5863" s="0" t="n">
        <v>1637250</v>
      </c>
      <c r="C5863" s="0" t="n">
        <v>1637270</v>
      </c>
      <c r="D5863" s="0" t="s">
        <v>19620</v>
      </c>
      <c r="E5863" s="0" t="s">
        <v>89</v>
      </c>
      <c r="F5863" s="0" t="s">
        <v>15</v>
      </c>
      <c r="G5863" s="0" t="s">
        <v>16</v>
      </c>
      <c r="H5863" s="0" t="n">
        <v>24</v>
      </c>
      <c r="I5863" s="0" t="s">
        <v>19621</v>
      </c>
      <c r="J5863" s="0" t="s">
        <v>19622</v>
      </c>
      <c r="K5863" s="0" t="s">
        <v>19623</v>
      </c>
      <c r="L5863" s="0" t="str">
        <f aca="false">HYPERLINK("https://www.ncbi.nlm.nih.gov/nuccore/CP000304.1?report=graph&amp;tracks=[key:gene_model_track,Options:GeneOnly]&amp;mk=1637251:1637270|offset_24|00cc00,1637295:1637314|offset_68|444444,1637339:1637358|offset_112|444444,1637368:1637387|offset_141|444444&amp;v=1637050:1637587&amp;c=444444", "offset 24")</f>
        <v>offset 24</v>
      </c>
    </row>
    <row r="5864" customFormat="false" ht="12.8" hidden="false" customHeight="false" outlineLevel="0" collapsed="false">
      <c r="A5864" s="0" t="s">
        <v>12</v>
      </c>
      <c r="B5864" s="0" t="n">
        <v>1637294</v>
      </c>
      <c r="C5864" s="0" t="n">
        <v>1637314</v>
      </c>
      <c r="D5864" s="0" t="s">
        <v>19620</v>
      </c>
      <c r="E5864" s="0" t="s">
        <v>89</v>
      </c>
      <c r="F5864" s="0" t="s">
        <v>15</v>
      </c>
      <c r="G5864" s="0" t="s">
        <v>26</v>
      </c>
      <c r="H5864" s="0" t="n">
        <v>68</v>
      </c>
      <c r="I5864" s="0" t="s">
        <v>19624</v>
      </c>
      <c r="J5864" s="0" t="s">
        <v>19625</v>
      </c>
      <c r="K5864" s="0" t="s">
        <v>19626</v>
      </c>
      <c r="L5864" s="0" t="str">
        <f aca="false">HYPERLINK("https://www.ncbi.nlm.nih.gov/nuccore/CP000304.1?report=graph&amp;tracks=[key:gene_model_track,Options:GeneOnly]&amp;mk=1637251:1637270|offset_24|444444,1637295:1637314|offset_68|00cc00,1637339:1637358|offset_112|444444,1637368:1637387|offset_141|444444&amp;v=1637050:1637587&amp;c=444444", "offset 68")</f>
        <v>offset 68</v>
      </c>
    </row>
    <row r="5865" customFormat="false" ht="12.8" hidden="false" customHeight="false" outlineLevel="0" collapsed="false">
      <c r="A5865" s="0" t="s">
        <v>12</v>
      </c>
      <c r="B5865" s="0" t="n">
        <v>1637338</v>
      </c>
      <c r="C5865" s="0" t="n">
        <v>1637358</v>
      </c>
      <c r="D5865" s="0" t="s">
        <v>19620</v>
      </c>
      <c r="E5865" s="0" t="s">
        <v>89</v>
      </c>
      <c r="F5865" s="0" t="s">
        <v>15</v>
      </c>
      <c r="G5865" s="0" t="s">
        <v>16</v>
      </c>
      <c r="H5865" s="0" t="n">
        <v>112</v>
      </c>
      <c r="I5865" s="0" t="s">
        <v>19627</v>
      </c>
      <c r="J5865" s="0" t="s">
        <v>19628</v>
      </c>
      <c r="K5865" s="0" t="s">
        <v>19629</v>
      </c>
      <c r="L5865" s="0" t="str">
        <f aca="false">HYPERLINK("https://www.ncbi.nlm.nih.gov/nuccore/CP000304.1?report=graph&amp;tracks=[key:gene_model_track,Options:GeneOnly]&amp;mk=1637251:1637270|offset_24|444444,1637295:1637314|offset_68|444444,1637339:1637358|offset_112|00cc00,1637368:1637387|offset_141|444444&amp;v=1637050:1637587&amp;c=444444", "offset 112")</f>
        <v>offset 112</v>
      </c>
    </row>
    <row r="5866" customFormat="false" ht="12.8" hidden="false" customHeight="false" outlineLevel="0" collapsed="false">
      <c r="A5866" s="0" t="s">
        <v>12</v>
      </c>
      <c r="B5866" s="0" t="n">
        <v>1637367</v>
      </c>
      <c r="C5866" s="0" t="n">
        <v>1637387</v>
      </c>
      <c r="D5866" s="0" t="s">
        <v>19620</v>
      </c>
      <c r="E5866" s="0" t="s">
        <v>89</v>
      </c>
      <c r="F5866" s="0" t="s">
        <v>15</v>
      </c>
      <c r="G5866" s="0" t="s">
        <v>36</v>
      </c>
      <c r="H5866" s="0" t="n">
        <v>141</v>
      </c>
      <c r="I5866" s="0" t="s">
        <v>19630</v>
      </c>
      <c r="J5866" s="0" t="s">
        <v>19631</v>
      </c>
      <c r="K5866" s="0" t="s">
        <v>19632</v>
      </c>
      <c r="L5866" s="0" t="str">
        <f aca="false">HYPERLINK("https://www.ncbi.nlm.nih.gov/nuccore/CP000304.1?report=graph&amp;tracks=[key:gene_model_track,Options:GeneOnly]&amp;mk=1637251:1637270|offset_24|444444,1637295:1637314|offset_68|444444,1637339:1637358|offset_112|444444,1637368:1637387|offset_141|00cc00&amp;v=1637050:1637587&amp;c=444444", "offset 141")</f>
        <v>offset 141</v>
      </c>
    </row>
    <row r="5867" customFormat="false" ht="12.8" hidden="false" customHeight="false" outlineLevel="0" collapsed="false">
      <c r="A5867" s="0" t="s">
        <v>12</v>
      </c>
      <c r="B5867" s="0" t="n">
        <v>1638115</v>
      </c>
      <c r="C5867" s="0" t="n">
        <v>1638135</v>
      </c>
      <c r="D5867" s="0" t="s">
        <v>19633</v>
      </c>
      <c r="E5867" s="0" t="s">
        <v>19634</v>
      </c>
      <c r="F5867" s="0" t="s">
        <v>15</v>
      </c>
      <c r="G5867" s="0" t="s">
        <v>32</v>
      </c>
      <c r="H5867" s="0" t="n">
        <v>8</v>
      </c>
      <c r="I5867" s="0" t="s">
        <v>19635</v>
      </c>
      <c r="J5867" s="0" t="s">
        <v>19636</v>
      </c>
      <c r="K5867" s="0" t="s">
        <v>19637</v>
      </c>
      <c r="L5867" s="0" t="str">
        <f aca="false">HYPERLINK("https://www.ncbi.nlm.nih.gov/nuccore/CP000304.1?report=graph&amp;tracks=[key:gene_model_track,Options:GeneOnly]&amp;mk=1638116:1638135|offset_8|00cc00,1638137:1638156|offset_29|444444,1638169:1638188|offset_61|444444,1638240:1638259|offset_132|444444&amp;v=1637915:1638459&amp;c=444444", "offset 8")</f>
        <v>offset 8</v>
      </c>
    </row>
    <row r="5868" customFormat="false" ht="12.8" hidden="false" customHeight="false" outlineLevel="0" collapsed="false">
      <c r="A5868" s="0" t="s">
        <v>12</v>
      </c>
      <c r="B5868" s="0" t="n">
        <v>1638136</v>
      </c>
      <c r="C5868" s="0" t="n">
        <v>1638156</v>
      </c>
      <c r="D5868" s="0" t="s">
        <v>19633</v>
      </c>
      <c r="E5868" s="0" t="s">
        <v>19634</v>
      </c>
      <c r="F5868" s="0" t="s">
        <v>15</v>
      </c>
      <c r="G5868" s="0" t="s">
        <v>16</v>
      </c>
      <c r="H5868" s="0" t="n">
        <v>29</v>
      </c>
      <c r="I5868" s="0" t="s">
        <v>19638</v>
      </c>
      <c r="J5868" s="0" t="s">
        <v>19639</v>
      </c>
      <c r="K5868" s="0" t="s">
        <v>19640</v>
      </c>
      <c r="L5868" s="0" t="str">
        <f aca="false">HYPERLINK("https://www.ncbi.nlm.nih.gov/nuccore/CP000304.1?report=graph&amp;tracks=[key:gene_model_track,Options:GeneOnly]&amp;mk=1638116:1638135|offset_8|444444,1638137:1638156|offset_29|00cc00,1638169:1638188|offset_61|444444,1638240:1638259|offset_132|444444&amp;v=1637915:1638459&amp;c=444444", "offset 29")</f>
        <v>offset 29</v>
      </c>
    </row>
    <row r="5869" customFormat="false" ht="12.8" hidden="false" customHeight="false" outlineLevel="0" collapsed="false">
      <c r="A5869" s="0" t="s">
        <v>12</v>
      </c>
      <c r="B5869" s="0" t="n">
        <v>1638168</v>
      </c>
      <c r="C5869" s="0" t="n">
        <v>1638188</v>
      </c>
      <c r="D5869" s="0" t="s">
        <v>19633</v>
      </c>
      <c r="E5869" s="0" t="s">
        <v>19634</v>
      </c>
      <c r="F5869" s="0" t="s">
        <v>15</v>
      </c>
      <c r="G5869" s="0" t="s">
        <v>32</v>
      </c>
      <c r="H5869" s="0" t="n">
        <v>61</v>
      </c>
      <c r="I5869" s="0" t="s">
        <v>19641</v>
      </c>
      <c r="J5869" s="0" t="s">
        <v>19642</v>
      </c>
      <c r="K5869" s="0" t="s">
        <v>19643</v>
      </c>
      <c r="L5869" s="0" t="str">
        <f aca="false">HYPERLINK("https://www.ncbi.nlm.nih.gov/nuccore/CP000304.1?report=graph&amp;tracks=[key:gene_model_track,Options:GeneOnly]&amp;mk=1638116:1638135|offset_8|444444,1638137:1638156|offset_29|444444,1638169:1638188|offset_61|00cc00,1638240:1638259|offset_132|444444&amp;v=1637915:1638459&amp;c=444444", "offset 61")</f>
        <v>offset 61</v>
      </c>
    </row>
    <row r="5870" customFormat="false" ht="12.8" hidden="false" customHeight="false" outlineLevel="0" collapsed="false">
      <c r="A5870" s="0" t="s">
        <v>12</v>
      </c>
      <c r="B5870" s="0" t="n">
        <v>1638239</v>
      </c>
      <c r="C5870" s="0" t="n">
        <v>1638259</v>
      </c>
      <c r="D5870" s="0" t="s">
        <v>19633</v>
      </c>
      <c r="E5870" s="0" t="s">
        <v>19634</v>
      </c>
      <c r="F5870" s="0" t="s">
        <v>15</v>
      </c>
      <c r="G5870" s="0" t="s">
        <v>36</v>
      </c>
      <c r="H5870" s="0" t="n">
        <v>132</v>
      </c>
      <c r="I5870" s="0" t="s">
        <v>19644</v>
      </c>
      <c r="J5870" s="0" t="s">
        <v>19645</v>
      </c>
      <c r="K5870" s="0" t="s">
        <v>19646</v>
      </c>
      <c r="L5870" s="0" t="str">
        <f aca="false">HYPERLINK("https://www.ncbi.nlm.nih.gov/nuccore/CP000304.1?report=graph&amp;tracks=[key:gene_model_track,Options:GeneOnly]&amp;mk=1638116:1638135|offset_8|444444,1638137:1638156|offset_29|444444,1638169:1638188|offset_61|444444,1638240:1638259|offset_132|00cc00&amp;v=1637915:1638459&amp;c=444444", "offset 132")</f>
        <v>offset 132</v>
      </c>
    </row>
    <row r="5871" customFormat="false" ht="12.8" hidden="false" customHeight="false" outlineLevel="0" collapsed="false">
      <c r="A5871" s="0" t="s">
        <v>12</v>
      </c>
      <c r="B5871" s="0" t="n">
        <v>1639146</v>
      </c>
      <c r="C5871" s="0" t="n">
        <v>1639166</v>
      </c>
      <c r="D5871" s="0" t="s">
        <v>19647</v>
      </c>
      <c r="E5871" s="0" t="s">
        <v>89</v>
      </c>
      <c r="F5871" s="0" t="s">
        <v>90</v>
      </c>
      <c r="G5871" s="0" t="s">
        <v>32</v>
      </c>
      <c r="H5871" s="0" t="n">
        <v>1</v>
      </c>
      <c r="I5871" s="0" t="s">
        <v>19648</v>
      </c>
      <c r="J5871" s="0" t="s">
        <v>19649</v>
      </c>
      <c r="K5871" s="0" t="s">
        <v>19650</v>
      </c>
      <c r="L5871" s="0" t="str">
        <f aca="false">HYPERLINK("https://www.ncbi.nlm.nih.gov/nuccore/CP000304.1?report=graph&amp;tracks=[key:gene_model_track,Options:GeneOnly]&amp;mk=1639147:1639166|offset_1|00cc00,1639126:1639145|offset_22|444444,1639074:1639093|offset_74|444444,1639036:1639055|offset_112|444444&amp;v=1638946:1639255&amp;c=444444", "offset 1")</f>
        <v>offset 1</v>
      </c>
    </row>
    <row r="5872" customFormat="false" ht="12.8" hidden="false" customHeight="false" outlineLevel="0" collapsed="false">
      <c r="A5872" s="0" t="s">
        <v>12</v>
      </c>
      <c r="B5872" s="0" t="n">
        <v>1639125</v>
      </c>
      <c r="C5872" s="0" t="n">
        <v>1639145</v>
      </c>
      <c r="D5872" s="0" t="s">
        <v>19647</v>
      </c>
      <c r="E5872" s="0" t="s">
        <v>89</v>
      </c>
      <c r="F5872" s="0" t="s">
        <v>90</v>
      </c>
      <c r="G5872" s="0" t="s">
        <v>32</v>
      </c>
      <c r="H5872" s="0" t="n">
        <v>22</v>
      </c>
      <c r="I5872" s="0" t="s">
        <v>19651</v>
      </c>
      <c r="J5872" s="0" t="s">
        <v>19652</v>
      </c>
      <c r="K5872" s="0" t="s">
        <v>19653</v>
      </c>
      <c r="L5872" s="0" t="str">
        <f aca="false">HYPERLINK("https://www.ncbi.nlm.nih.gov/nuccore/CP000304.1?report=graph&amp;tracks=[key:gene_model_track,Options:GeneOnly]&amp;mk=1639147:1639166|offset_1|444444,1639126:1639145|offset_22|00cc00,1639074:1639093|offset_74|444444,1639036:1639055|offset_112|444444&amp;v=1638946:1639255&amp;c=444444", "offset 22")</f>
        <v>offset 22</v>
      </c>
    </row>
    <row r="5873" customFormat="false" ht="12.8" hidden="false" customHeight="false" outlineLevel="0" collapsed="false">
      <c r="A5873" s="0" t="s">
        <v>12</v>
      </c>
      <c r="B5873" s="0" t="n">
        <v>1639073</v>
      </c>
      <c r="C5873" s="0" t="n">
        <v>1639093</v>
      </c>
      <c r="D5873" s="0" t="s">
        <v>19647</v>
      </c>
      <c r="E5873" s="0" t="s">
        <v>89</v>
      </c>
      <c r="F5873" s="0" t="s">
        <v>90</v>
      </c>
      <c r="G5873" s="0" t="s">
        <v>16</v>
      </c>
      <c r="H5873" s="0" t="n">
        <v>74</v>
      </c>
      <c r="I5873" s="0" t="s">
        <v>19654</v>
      </c>
      <c r="J5873" s="0" t="s">
        <v>19655</v>
      </c>
      <c r="K5873" s="0" t="s">
        <v>19656</v>
      </c>
      <c r="L5873" s="0" t="str">
        <f aca="false">HYPERLINK("https://www.ncbi.nlm.nih.gov/nuccore/CP000304.1?report=graph&amp;tracks=[key:gene_model_track,Options:GeneOnly]&amp;mk=1639147:1639166|offset_1|444444,1639126:1639145|offset_22|444444,1639074:1639093|offset_74|00cc00,1639036:1639055|offset_112|444444&amp;v=1638946:1639255&amp;c=444444", "offset 74")</f>
        <v>offset 74</v>
      </c>
    </row>
    <row r="5874" customFormat="false" ht="12.8" hidden="false" customHeight="false" outlineLevel="0" collapsed="false">
      <c r="A5874" s="0" t="s">
        <v>12</v>
      </c>
      <c r="B5874" s="0" t="n">
        <v>1639035</v>
      </c>
      <c r="C5874" s="0" t="n">
        <v>1639055</v>
      </c>
      <c r="D5874" s="0" t="s">
        <v>19647</v>
      </c>
      <c r="E5874" s="0" t="s">
        <v>89</v>
      </c>
      <c r="F5874" s="0" t="s">
        <v>90</v>
      </c>
      <c r="G5874" s="0" t="s">
        <v>16</v>
      </c>
      <c r="H5874" s="0" t="n">
        <v>112</v>
      </c>
      <c r="I5874" s="0" t="s">
        <v>19657</v>
      </c>
      <c r="J5874" s="0" t="s">
        <v>19658</v>
      </c>
      <c r="K5874" s="0" t="s">
        <v>19659</v>
      </c>
      <c r="L5874" s="0" t="str">
        <f aca="false">HYPERLINK("https://www.ncbi.nlm.nih.gov/nuccore/CP000304.1?report=graph&amp;tracks=[key:gene_model_track,Options:GeneOnly]&amp;mk=1639147:1639166|offset_1|444444,1639126:1639145|offset_22|444444,1639074:1639093|offset_74|444444,1639036:1639055|offset_112|00cc00&amp;v=1638946:1639255&amp;c=444444", "offset 112")</f>
        <v>offset 112</v>
      </c>
    </row>
    <row r="5875" customFormat="false" ht="12.8" hidden="false" customHeight="false" outlineLevel="0" collapsed="false">
      <c r="A5875" s="0" t="s">
        <v>12</v>
      </c>
      <c r="B5875" s="0" t="n">
        <v>1639345</v>
      </c>
      <c r="C5875" s="0" t="n">
        <v>1639365</v>
      </c>
      <c r="D5875" s="0" t="s">
        <v>19660</v>
      </c>
      <c r="E5875" s="0" t="s">
        <v>89</v>
      </c>
      <c r="F5875" s="0" t="s">
        <v>15</v>
      </c>
      <c r="G5875" s="0" t="s">
        <v>32</v>
      </c>
      <c r="H5875" s="0" t="n">
        <v>13</v>
      </c>
      <c r="I5875" s="0" t="s">
        <v>19661</v>
      </c>
      <c r="J5875" s="0" t="s">
        <v>19662</v>
      </c>
      <c r="K5875" s="0" t="s">
        <v>19663</v>
      </c>
      <c r="L5875" s="0" t="str">
        <f aca="false">HYPERLINK("https://www.ncbi.nlm.nih.gov/nuccore/CP000304.1?report=graph&amp;tracks=[key:gene_model_track,Options:GeneOnly]&amp;mk=1639346:1639365|offset_13|00cc00,1639367:1639386|offset_34|444444,1639397:1639416|offset_64|444444,1639418:1639437|offset_85|444444&amp;v=1639145:1639637&amp;c=444444", "offset 13")</f>
        <v>offset 13</v>
      </c>
    </row>
    <row r="5876" customFormat="false" ht="12.8" hidden="false" customHeight="false" outlineLevel="0" collapsed="false">
      <c r="A5876" s="0" t="s">
        <v>12</v>
      </c>
      <c r="B5876" s="0" t="n">
        <v>1639366</v>
      </c>
      <c r="C5876" s="0" t="n">
        <v>1639386</v>
      </c>
      <c r="D5876" s="0" t="s">
        <v>19660</v>
      </c>
      <c r="E5876" s="0" t="s">
        <v>89</v>
      </c>
      <c r="F5876" s="0" t="s">
        <v>15</v>
      </c>
      <c r="G5876" s="0" t="s">
        <v>16</v>
      </c>
      <c r="H5876" s="0" t="n">
        <v>34</v>
      </c>
      <c r="I5876" s="0" t="s">
        <v>19664</v>
      </c>
      <c r="J5876" s="0" t="s">
        <v>19665</v>
      </c>
      <c r="K5876" s="0" t="s">
        <v>19666</v>
      </c>
      <c r="L5876" s="0" t="str">
        <f aca="false">HYPERLINK("https://www.ncbi.nlm.nih.gov/nuccore/CP000304.1?report=graph&amp;tracks=[key:gene_model_track,Options:GeneOnly]&amp;mk=1639346:1639365|offset_13|444444,1639367:1639386|offset_34|00cc00,1639397:1639416|offset_64|444444,1639418:1639437|offset_85|444444&amp;v=1639145:1639637&amp;c=444444", "offset 34")</f>
        <v>offset 34</v>
      </c>
    </row>
    <row r="5877" customFormat="false" ht="12.8" hidden="false" customHeight="false" outlineLevel="0" collapsed="false">
      <c r="A5877" s="0" t="s">
        <v>12</v>
      </c>
      <c r="B5877" s="0" t="n">
        <v>1639396</v>
      </c>
      <c r="C5877" s="0" t="n">
        <v>1639416</v>
      </c>
      <c r="D5877" s="0" t="s">
        <v>19660</v>
      </c>
      <c r="E5877" s="0" t="s">
        <v>89</v>
      </c>
      <c r="F5877" s="0" t="s">
        <v>15</v>
      </c>
      <c r="G5877" s="0" t="s">
        <v>26</v>
      </c>
      <c r="H5877" s="0" t="n">
        <v>64</v>
      </c>
      <c r="I5877" s="0" t="s">
        <v>19667</v>
      </c>
      <c r="J5877" s="0" t="s">
        <v>19668</v>
      </c>
      <c r="K5877" s="0" t="s">
        <v>19669</v>
      </c>
      <c r="L5877" s="0" t="str">
        <f aca="false">HYPERLINK("https://www.ncbi.nlm.nih.gov/nuccore/CP000304.1?report=graph&amp;tracks=[key:gene_model_track,Options:GeneOnly]&amp;mk=1639346:1639365|offset_13|444444,1639367:1639386|offset_34|444444,1639397:1639416|offset_64|00cc00,1639418:1639437|offset_85|444444&amp;v=1639145:1639637&amp;c=444444", "offset 64")</f>
        <v>offset 64</v>
      </c>
    </row>
    <row r="5878" customFormat="false" ht="12.8" hidden="false" customHeight="false" outlineLevel="0" collapsed="false">
      <c r="A5878" s="0" t="s">
        <v>12</v>
      </c>
      <c r="B5878" s="0" t="n">
        <v>1639417</v>
      </c>
      <c r="C5878" s="0" t="n">
        <v>1639437</v>
      </c>
      <c r="D5878" s="0" t="s">
        <v>19660</v>
      </c>
      <c r="E5878" s="0" t="s">
        <v>89</v>
      </c>
      <c r="F5878" s="0" t="s">
        <v>15</v>
      </c>
      <c r="G5878" s="0" t="s">
        <v>26</v>
      </c>
      <c r="H5878" s="0" t="n">
        <v>85</v>
      </c>
      <c r="I5878" s="0" t="s">
        <v>19670</v>
      </c>
      <c r="J5878" s="0" t="s">
        <v>19671</v>
      </c>
      <c r="K5878" s="0" t="s">
        <v>19672</v>
      </c>
      <c r="L5878" s="0" t="str">
        <f aca="false">HYPERLINK("https://www.ncbi.nlm.nih.gov/nuccore/CP000304.1?report=graph&amp;tracks=[key:gene_model_track,Options:GeneOnly]&amp;mk=1639346:1639365|offset_13|444444,1639367:1639386|offset_34|444444,1639397:1639416|offset_64|444444,1639418:1639437|offset_85|00cc00&amp;v=1639145:1639637&amp;c=444444", "offset 85")</f>
        <v>offset 85</v>
      </c>
    </row>
    <row r="5879" customFormat="false" ht="12.8" hidden="false" customHeight="false" outlineLevel="0" collapsed="false">
      <c r="A5879" s="0" t="s">
        <v>12</v>
      </c>
      <c r="B5879" s="0" t="n">
        <v>1640044</v>
      </c>
      <c r="C5879" s="0" t="n">
        <v>1640064</v>
      </c>
      <c r="D5879" s="0" t="s">
        <v>19673</v>
      </c>
      <c r="E5879" s="0" t="s">
        <v>89</v>
      </c>
      <c r="F5879" s="0" t="s">
        <v>15</v>
      </c>
      <c r="G5879" s="0" t="s">
        <v>32</v>
      </c>
      <c r="H5879" s="0" t="n">
        <v>30</v>
      </c>
      <c r="I5879" s="0" t="s">
        <v>19674</v>
      </c>
      <c r="J5879" s="0" t="s">
        <v>19675</v>
      </c>
      <c r="K5879" s="0" t="s">
        <v>19676</v>
      </c>
      <c r="L5879" s="0" t="str">
        <f aca="false">HYPERLINK("https://www.ncbi.nlm.nih.gov/nuccore/CP000304.1?report=graph&amp;tracks=[key:gene_model_track,Options:GeneOnly]&amp;mk=1640045:1640064|offset_30|00cc00,1640066:1640085|offset_51|444444,1640094:1640113|offset_79|444444,1640151:1640170|offset_136|444444&amp;v=1639844:1640370&amp;c=444444", "offset 30")</f>
        <v>offset 30</v>
      </c>
    </row>
    <row r="5880" customFormat="false" ht="12.8" hidden="false" customHeight="false" outlineLevel="0" collapsed="false">
      <c r="A5880" s="0" t="s">
        <v>12</v>
      </c>
      <c r="B5880" s="0" t="n">
        <v>1640065</v>
      </c>
      <c r="C5880" s="0" t="n">
        <v>1640085</v>
      </c>
      <c r="D5880" s="0" t="s">
        <v>19673</v>
      </c>
      <c r="E5880" s="0" t="s">
        <v>89</v>
      </c>
      <c r="F5880" s="0" t="s">
        <v>15</v>
      </c>
      <c r="G5880" s="0" t="s">
        <v>36</v>
      </c>
      <c r="H5880" s="0" t="n">
        <v>51</v>
      </c>
      <c r="I5880" s="0" t="s">
        <v>19677</v>
      </c>
      <c r="J5880" s="0" t="s">
        <v>19678</v>
      </c>
      <c r="K5880" s="0" t="s">
        <v>19679</v>
      </c>
      <c r="L5880" s="0" t="str">
        <f aca="false">HYPERLINK("https://www.ncbi.nlm.nih.gov/nuccore/CP000304.1?report=graph&amp;tracks=[key:gene_model_track,Options:GeneOnly]&amp;mk=1640045:1640064|offset_30|444444,1640066:1640085|offset_51|00cc00,1640094:1640113|offset_79|444444,1640151:1640170|offset_136|444444&amp;v=1639844:1640370&amp;c=444444", "offset 51")</f>
        <v>offset 51</v>
      </c>
    </row>
    <row r="5881" customFormat="false" ht="12.8" hidden="false" customHeight="false" outlineLevel="0" collapsed="false">
      <c r="A5881" s="0" t="s">
        <v>12</v>
      </c>
      <c r="B5881" s="0" t="n">
        <v>1640093</v>
      </c>
      <c r="C5881" s="0" t="n">
        <v>1640113</v>
      </c>
      <c r="D5881" s="0" t="s">
        <v>19673</v>
      </c>
      <c r="E5881" s="0" t="s">
        <v>89</v>
      </c>
      <c r="F5881" s="0" t="s">
        <v>15</v>
      </c>
      <c r="G5881" s="0" t="s">
        <v>16</v>
      </c>
      <c r="H5881" s="0" t="n">
        <v>79</v>
      </c>
      <c r="I5881" s="0" t="s">
        <v>19680</v>
      </c>
      <c r="J5881" s="0" t="s">
        <v>19681</v>
      </c>
      <c r="K5881" s="0" t="s">
        <v>19682</v>
      </c>
      <c r="L5881" s="0" t="str">
        <f aca="false">HYPERLINK("https://www.ncbi.nlm.nih.gov/nuccore/CP000304.1?report=graph&amp;tracks=[key:gene_model_track,Options:GeneOnly]&amp;mk=1640045:1640064|offset_30|444444,1640066:1640085|offset_51|444444,1640094:1640113|offset_79|00cc00,1640151:1640170|offset_136|444444&amp;v=1639844:1640370&amp;c=444444", "offset 79")</f>
        <v>offset 79</v>
      </c>
    </row>
    <row r="5882" customFormat="false" ht="12.8" hidden="false" customHeight="false" outlineLevel="0" collapsed="false">
      <c r="A5882" s="0" t="s">
        <v>12</v>
      </c>
      <c r="B5882" s="0" t="n">
        <v>1640150</v>
      </c>
      <c r="C5882" s="0" t="n">
        <v>1640170</v>
      </c>
      <c r="D5882" s="0" t="s">
        <v>19673</v>
      </c>
      <c r="E5882" s="0" t="s">
        <v>89</v>
      </c>
      <c r="F5882" s="0" t="s">
        <v>15</v>
      </c>
      <c r="G5882" s="0" t="s">
        <v>32</v>
      </c>
      <c r="H5882" s="0" t="n">
        <v>136</v>
      </c>
      <c r="I5882" s="0" t="s">
        <v>19683</v>
      </c>
      <c r="J5882" s="0" t="s">
        <v>19684</v>
      </c>
      <c r="K5882" s="0" t="s">
        <v>19685</v>
      </c>
      <c r="L5882" s="0" t="str">
        <f aca="false">HYPERLINK("https://www.ncbi.nlm.nih.gov/nuccore/CP000304.1?report=graph&amp;tracks=[key:gene_model_track,Options:GeneOnly]&amp;mk=1640045:1640064|offset_30|444444,1640066:1640085|offset_51|444444,1640094:1640113|offset_79|444444,1640151:1640170|offset_136|00cc00&amp;v=1639844:1640370&amp;c=444444", "offset 136")</f>
        <v>offset 136</v>
      </c>
    </row>
    <row r="5883" customFormat="false" ht="12.8" hidden="false" customHeight="false" outlineLevel="0" collapsed="false">
      <c r="A5883" s="0" t="s">
        <v>12</v>
      </c>
      <c r="B5883" s="0" t="n">
        <v>1642868</v>
      </c>
      <c r="C5883" s="0" t="n">
        <v>1642888</v>
      </c>
      <c r="D5883" s="0" t="s">
        <v>19686</v>
      </c>
      <c r="E5883" s="0" t="s">
        <v>89</v>
      </c>
      <c r="F5883" s="0" t="s">
        <v>15</v>
      </c>
      <c r="G5883" s="0" t="s">
        <v>26</v>
      </c>
      <c r="H5883" s="0" t="n">
        <v>62</v>
      </c>
      <c r="I5883" s="0" t="s">
        <v>19687</v>
      </c>
      <c r="J5883" s="0" t="s">
        <v>19688</v>
      </c>
      <c r="K5883" s="0" t="s">
        <v>19689</v>
      </c>
      <c r="L5883" s="0" t="str">
        <f aca="false">HYPERLINK("https://www.ncbi.nlm.nih.gov/nuccore/CP000304.1?report=graph&amp;tracks=[key:gene_model_track,Options:GeneOnly]&amp;mk=1642869:1642888|offset_62|00cc00,1642916:1642935|offset_109|444444,1642943:1642962|offset_136|444444,1642969:1642988|offset_162|444444&amp;v=1642668:1643188&amp;c=444444", "offset 62")</f>
        <v>offset 62</v>
      </c>
    </row>
    <row r="5884" customFormat="false" ht="12.8" hidden="false" customHeight="false" outlineLevel="0" collapsed="false">
      <c r="A5884" s="0" t="s">
        <v>12</v>
      </c>
      <c r="B5884" s="0" t="n">
        <v>1642915</v>
      </c>
      <c r="C5884" s="0" t="n">
        <v>1642935</v>
      </c>
      <c r="D5884" s="0" t="s">
        <v>19686</v>
      </c>
      <c r="E5884" s="0" t="s">
        <v>89</v>
      </c>
      <c r="F5884" s="0" t="s">
        <v>15</v>
      </c>
      <c r="G5884" s="0" t="s">
        <v>26</v>
      </c>
      <c r="H5884" s="0" t="n">
        <v>109</v>
      </c>
      <c r="I5884" s="0" t="s">
        <v>19690</v>
      </c>
      <c r="J5884" s="0" t="s">
        <v>19691</v>
      </c>
      <c r="K5884" s="0" t="s">
        <v>19692</v>
      </c>
      <c r="L5884" s="0" t="str">
        <f aca="false">HYPERLINK("https://www.ncbi.nlm.nih.gov/nuccore/CP000304.1?report=graph&amp;tracks=[key:gene_model_track,Options:GeneOnly]&amp;mk=1642869:1642888|offset_62|444444,1642916:1642935|offset_109|00cc00,1642943:1642962|offset_136|444444,1642969:1642988|offset_162|444444&amp;v=1642668:1643188&amp;c=444444", "offset 109")</f>
        <v>offset 109</v>
      </c>
    </row>
    <row r="5885" customFormat="false" ht="12.8" hidden="false" customHeight="false" outlineLevel="0" collapsed="false">
      <c r="A5885" s="0" t="s">
        <v>12</v>
      </c>
      <c r="B5885" s="0" t="n">
        <v>1642942</v>
      </c>
      <c r="C5885" s="0" t="n">
        <v>1642962</v>
      </c>
      <c r="D5885" s="0" t="s">
        <v>19686</v>
      </c>
      <c r="E5885" s="0" t="s">
        <v>89</v>
      </c>
      <c r="F5885" s="0" t="s">
        <v>15</v>
      </c>
      <c r="G5885" s="0" t="s">
        <v>32</v>
      </c>
      <c r="H5885" s="0" t="n">
        <v>136</v>
      </c>
      <c r="I5885" s="0" t="s">
        <v>19693</v>
      </c>
      <c r="J5885" s="0" t="s">
        <v>19694</v>
      </c>
      <c r="K5885" s="0" t="s">
        <v>19695</v>
      </c>
      <c r="L5885" s="0" t="str">
        <f aca="false">HYPERLINK("https://www.ncbi.nlm.nih.gov/nuccore/CP000304.1?report=graph&amp;tracks=[key:gene_model_track,Options:GeneOnly]&amp;mk=1642869:1642888|offset_62|444444,1642916:1642935|offset_109|444444,1642943:1642962|offset_136|00cc00,1642969:1642988|offset_162|444444&amp;v=1642668:1643188&amp;c=444444", "offset 136")</f>
        <v>offset 136</v>
      </c>
    </row>
    <row r="5886" customFormat="false" ht="12.8" hidden="false" customHeight="false" outlineLevel="0" collapsed="false">
      <c r="A5886" s="0" t="s">
        <v>12</v>
      </c>
      <c r="B5886" s="0" t="n">
        <v>1642968</v>
      </c>
      <c r="C5886" s="0" t="n">
        <v>1642988</v>
      </c>
      <c r="D5886" s="0" t="s">
        <v>19686</v>
      </c>
      <c r="E5886" s="0" t="s">
        <v>89</v>
      </c>
      <c r="F5886" s="0" t="s">
        <v>15</v>
      </c>
      <c r="G5886" s="0" t="s">
        <v>16</v>
      </c>
      <c r="H5886" s="0" t="n">
        <v>162</v>
      </c>
      <c r="I5886" s="0" t="s">
        <v>19696</v>
      </c>
      <c r="J5886" s="0" t="s">
        <v>19697</v>
      </c>
      <c r="K5886" s="0" t="s">
        <v>19698</v>
      </c>
      <c r="L5886" s="0" t="str">
        <f aca="false">HYPERLINK("https://www.ncbi.nlm.nih.gov/nuccore/CP000304.1?report=graph&amp;tracks=[key:gene_model_track,Options:GeneOnly]&amp;mk=1642869:1642888|offset_62|444444,1642916:1642935|offset_109|444444,1642943:1642962|offset_136|444444,1642969:1642988|offset_162|00cc00&amp;v=1642668:1643188&amp;c=444444", "offset 162")</f>
        <v>offset 162</v>
      </c>
    </row>
    <row r="5887" customFormat="false" ht="12.8" hidden="false" customHeight="false" outlineLevel="0" collapsed="false">
      <c r="A5887" s="0" t="s">
        <v>12</v>
      </c>
      <c r="B5887" s="0" t="n">
        <v>1643168</v>
      </c>
      <c r="C5887" s="0" t="n">
        <v>1643188</v>
      </c>
      <c r="D5887" s="0" t="s">
        <v>19699</v>
      </c>
      <c r="E5887" s="0" t="s">
        <v>89</v>
      </c>
      <c r="F5887" s="0" t="s">
        <v>15</v>
      </c>
      <c r="G5887" s="0" t="s">
        <v>16</v>
      </c>
      <c r="H5887" s="0" t="n">
        <v>36</v>
      </c>
      <c r="I5887" s="0" t="s">
        <v>19700</v>
      </c>
      <c r="J5887" s="0" t="s">
        <v>19701</v>
      </c>
      <c r="K5887" s="0" t="s">
        <v>19702</v>
      </c>
      <c r="L5887" s="0" t="str">
        <f aca="false">HYPERLINK("https://www.ncbi.nlm.nih.gov/nuccore/CP000304.1?report=graph&amp;tracks=[key:gene_model_track,Options:GeneOnly]&amp;mk=1643169:1643188|offset_36|00cc00,1643201:1643220|offset_68|444444,1643221:1643240|offset_88|444444,1643262:1643281|offset_129|444444&amp;v=1642968:1643481&amp;c=444444", "offset 36")</f>
        <v>offset 36</v>
      </c>
    </row>
    <row r="5888" customFormat="false" ht="12.8" hidden="false" customHeight="false" outlineLevel="0" collapsed="false">
      <c r="A5888" s="0" t="s">
        <v>12</v>
      </c>
      <c r="B5888" s="0" t="n">
        <v>1643200</v>
      </c>
      <c r="C5888" s="0" t="n">
        <v>1643220</v>
      </c>
      <c r="D5888" s="0" t="s">
        <v>19699</v>
      </c>
      <c r="E5888" s="0" t="s">
        <v>89</v>
      </c>
      <c r="F5888" s="0" t="s">
        <v>15</v>
      </c>
      <c r="G5888" s="0" t="s">
        <v>32</v>
      </c>
      <c r="H5888" s="0" t="n">
        <v>68</v>
      </c>
      <c r="I5888" s="0" t="s">
        <v>19703</v>
      </c>
      <c r="J5888" s="0" t="s">
        <v>19704</v>
      </c>
      <c r="K5888" s="0" t="s">
        <v>19705</v>
      </c>
      <c r="L5888" s="0" t="str">
        <f aca="false">HYPERLINK("https://www.ncbi.nlm.nih.gov/nuccore/CP000304.1?report=graph&amp;tracks=[key:gene_model_track,Options:GeneOnly]&amp;mk=1643169:1643188|offset_36|444444,1643201:1643220|offset_68|00cc00,1643221:1643240|offset_88|444444,1643262:1643281|offset_129|444444&amp;v=1642968:1643481&amp;c=444444", "offset 68")</f>
        <v>offset 68</v>
      </c>
    </row>
    <row r="5889" customFormat="false" ht="12.8" hidden="false" customHeight="false" outlineLevel="0" collapsed="false">
      <c r="A5889" s="0" t="s">
        <v>12</v>
      </c>
      <c r="B5889" s="0" t="n">
        <v>1643220</v>
      </c>
      <c r="C5889" s="0" t="n">
        <v>1643240</v>
      </c>
      <c r="D5889" s="0" t="s">
        <v>19699</v>
      </c>
      <c r="E5889" s="0" t="s">
        <v>89</v>
      </c>
      <c r="F5889" s="0" t="s">
        <v>15</v>
      </c>
      <c r="G5889" s="0" t="s">
        <v>32</v>
      </c>
      <c r="H5889" s="0" t="n">
        <v>88</v>
      </c>
      <c r="I5889" s="0" t="s">
        <v>19706</v>
      </c>
      <c r="J5889" s="0" t="s">
        <v>19707</v>
      </c>
      <c r="K5889" s="0" t="s">
        <v>19708</v>
      </c>
      <c r="L5889" s="0" t="str">
        <f aca="false">HYPERLINK("https://www.ncbi.nlm.nih.gov/nuccore/CP000304.1?report=graph&amp;tracks=[key:gene_model_track,Options:GeneOnly]&amp;mk=1643169:1643188|offset_36|444444,1643201:1643220|offset_68|444444,1643221:1643240|offset_88|00cc00,1643262:1643281|offset_129|444444&amp;v=1642968:1643481&amp;c=444444", "offset 88")</f>
        <v>offset 88</v>
      </c>
    </row>
    <row r="5890" customFormat="false" ht="12.8" hidden="false" customHeight="false" outlineLevel="0" collapsed="false">
      <c r="A5890" s="0" t="s">
        <v>12</v>
      </c>
      <c r="B5890" s="0" t="n">
        <v>1643261</v>
      </c>
      <c r="C5890" s="0" t="n">
        <v>1643281</v>
      </c>
      <c r="D5890" s="0" t="s">
        <v>19699</v>
      </c>
      <c r="E5890" s="0" t="s">
        <v>89</v>
      </c>
      <c r="F5890" s="0" t="s">
        <v>15</v>
      </c>
      <c r="G5890" s="0" t="s">
        <v>36</v>
      </c>
      <c r="H5890" s="0" t="n">
        <v>129</v>
      </c>
      <c r="I5890" s="0" t="s">
        <v>19709</v>
      </c>
      <c r="J5890" s="0" t="s">
        <v>19710</v>
      </c>
      <c r="K5890" s="0" t="s">
        <v>19711</v>
      </c>
      <c r="L5890" s="0" t="str">
        <f aca="false">HYPERLINK("https://www.ncbi.nlm.nih.gov/nuccore/CP000304.1?report=graph&amp;tracks=[key:gene_model_track,Options:GeneOnly]&amp;mk=1643169:1643188|offset_36|444444,1643201:1643220|offset_68|444444,1643221:1643240|offset_88|444444,1643262:1643281|offset_129|00cc00&amp;v=1642968:1643481&amp;c=444444", "offset 129")</f>
        <v>offset 129</v>
      </c>
    </row>
    <row r="5891" customFormat="false" ht="12.8" hidden="false" customHeight="false" outlineLevel="0" collapsed="false">
      <c r="A5891" s="0" t="s">
        <v>12</v>
      </c>
      <c r="B5891" s="0" t="n">
        <v>1644649</v>
      </c>
      <c r="C5891" s="0" t="n">
        <v>1644669</v>
      </c>
      <c r="D5891" s="0" t="s">
        <v>19712</v>
      </c>
      <c r="E5891" s="0" t="s">
        <v>89</v>
      </c>
      <c r="F5891" s="0" t="s">
        <v>15</v>
      </c>
      <c r="G5891" s="0" t="s">
        <v>36</v>
      </c>
      <c r="H5891" s="0" t="n">
        <v>21</v>
      </c>
      <c r="I5891" s="0" t="s">
        <v>19713</v>
      </c>
      <c r="J5891" s="0" t="s">
        <v>19714</v>
      </c>
      <c r="K5891" s="0" t="s">
        <v>19715</v>
      </c>
      <c r="L5891" s="0" t="str">
        <f aca="false">HYPERLINK("https://www.ncbi.nlm.nih.gov/nuccore/CP000304.1?report=graph&amp;tracks=[key:gene_model_track,Options:GeneOnly]&amp;mk=1644650:1644669|offset_21|00cc00,1644673:1644692|offset_44|444444,1644718:1644737|offset_89|444444,1644739:1644758|offset_110|444444&amp;v=1644449:1644958&amp;c=444444", "offset 21")</f>
        <v>offset 21</v>
      </c>
    </row>
    <row r="5892" customFormat="false" ht="12.8" hidden="false" customHeight="false" outlineLevel="0" collapsed="false">
      <c r="A5892" s="0" t="s">
        <v>12</v>
      </c>
      <c r="B5892" s="0" t="n">
        <v>1644672</v>
      </c>
      <c r="C5892" s="0" t="n">
        <v>1644692</v>
      </c>
      <c r="D5892" s="0" t="s">
        <v>19712</v>
      </c>
      <c r="E5892" s="0" t="s">
        <v>89</v>
      </c>
      <c r="F5892" s="0" t="s">
        <v>15</v>
      </c>
      <c r="G5892" s="0" t="s">
        <v>26</v>
      </c>
      <c r="H5892" s="0" t="n">
        <v>44</v>
      </c>
      <c r="I5892" s="0" t="s">
        <v>19716</v>
      </c>
      <c r="J5892" s="0" t="s">
        <v>19717</v>
      </c>
      <c r="K5892" s="0" t="s">
        <v>19718</v>
      </c>
      <c r="L5892" s="0" t="str">
        <f aca="false">HYPERLINK("https://www.ncbi.nlm.nih.gov/nuccore/CP000304.1?report=graph&amp;tracks=[key:gene_model_track,Options:GeneOnly]&amp;mk=1644650:1644669|offset_21|444444,1644673:1644692|offset_44|00cc00,1644718:1644737|offset_89|444444,1644739:1644758|offset_110|444444&amp;v=1644449:1644958&amp;c=444444", "offset 44")</f>
        <v>offset 44</v>
      </c>
    </row>
    <row r="5893" customFormat="false" ht="12.8" hidden="false" customHeight="false" outlineLevel="0" collapsed="false">
      <c r="A5893" s="0" t="s">
        <v>12</v>
      </c>
      <c r="B5893" s="0" t="n">
        <v>1644717</v>
      </c>
      <c r="C5893" s="0" t="n">
        <v>1644737</v>
      </c>
      <c r="D5893" s="0" t="s">
        <v>19712</v>
      </c>
      <c r="E5893" s="0" t="s">
        <v>89</v>
      </c>
      <c r="F5893" s="0" t="s">
        <v>15</v>
      </c>
      <c r="G5893" s="0" t="s">
        <v>32</v>
      </c>
      <c r="H5893" s="0" t="n">
        <v>89</v>
      </c>
      <c r="I5893" s="0" t="s">
        <v>19719</v>
      </c>
      <c r="J5893" s="0" t="s">
        <v>19720</v>
      </c>
      <c r="K5893" s="0" t="s">
        <v>19721</v>
      </c>
      <c r="L5893" s="0" t="str">
        <f aca="false">HYPERLINK("https://www.ncbi.nlm.nih.gov/nuccore/CP000304.1?report=graph&amp;tracks=[key:gene_model_track,Options:GeneOnly]&amp;mk=1644650:1644669|offset_21|444444,1644673:1644692|offset_44|444444,1644718:1644737|offset_89|00cc00,1644739:1644758|offset_110|444444&amp;v=1644449:1644958&amp;c=444444", "offset 89")</f>
        <v>offset 89</v>
      </c>
    </row>
    <row r="5894" customFormat="false" ht="12.8" hidden="false" customHeight="false" outlineLevel="0" collapsed="false">
      <c r="A5894" s="0" t="s">
        <v>12</v>
      </c>
      <c r="B5894" s="0" t="n">
        <v>1644738</v>
      </c>
      <c r="C5894" s="0" t="n">
        <v>1644758</v>
      </c>
      <c r="D5894" s="0" t="s">
        <v>19712</v>
      </c>
      <c r="E5894" s="0" t="s">
        <v>89</v>
      </c>
      <c r="F5894" s="0" t="s">
        <v>15</v>
      </c>
      <c r="G5894" s="0" t="s">
        <v>26</v>
      </c>
      <c r="H5894" s="0" t="n">
        <v>110</v>
      </c>
      <c r="I5894" s="0" t="s">
        <v>19722</v>
      </c>
      <c r="J5894" s="0" t="s">
        <v>19723</v>
      </c>
      <c r="K5894" s="0" t="s">
        <v>19724</v>
      </c>
      <c r="L5894" s="0" t="str">
        <f aca="false">HYPERLINK("https://www.ncbi.nlm.nih.gov/nuccore/CP000304.1?report=graph&amp;tracks=[key:gene_model_track,Options:GeneOnly]&amp;mk=1644650:1644669|offset_21|444444,1644673:1644692|offset_44|444444,1644718:1644737|offset_89|444444,1644739:1644758|offset_110|00cc00&amp;v=1644449:1644958&amp;c=444444", "offset 110")</f>
        <v>offset 110</v>
      </c>
    </row>
    <row r="5895" customFormat="false" ht="12.8" hidden="false" customHeight="false" outlineLevel="0" collapsed="false">
      <c r="A5895" s="0" t="s">
        <v>12</v>
      </c>
      <c r="B5895" s="0" t="n">
        <v>1645134</v>
      </c>
      <c r="C5895" s="0" t="n">
        <v>1645154</v>
      </c>
      <c r="D5895" s="0" t="s">
        <v>19725</v>
      </c>
      <c r="E5895" s="0" t="s">
        <v>89</v>
      </c>
      <c r="F5895" s="0" t="s">
        <v>15</v>
      </c>
      <c r="G5895" s="0" t="s">
        <v>16</v>
      </c>
      <c r="H5895" s="0" t="n">
        <v>21</v>
      </c>
      <c r="I5895" s="0" t="s">
        <v>19726</v>
      </c>
      <c r="J5895" s="0" t="s">
        <v>19727</v>
      </c>
      <c r="K5895" s="0" t="s">
        <v>19728</v>
      </c>
      <c r="L5895" s="0" t="str">
        <f aca="false">HYPERLINK("https://www.ncbi.nlm.nih.gov/nuccore/CP000304.1?report=graph&amp;tracks=[key:gene_model_track,Options:GeneOnly]&amp;mk=1645135:1645154|offset_21|00cc00,1645163:1645182|offset_49|444444,1645185:1645204|offset_71|444444,1645207:1645226|offset_93|444444&amp;v=1644934:1645426&amp;c=444444", "offset 21")</f>
        <v>offset 21</v>
      </c>
    </row>
    <row r="5896" customFormat="false" ht="12.8" hidden="false" customHeight="false" outlineLevel="0" collapsed="false">
      <c r="A5896" s="0" t="s">
        <v>12</v>
      </c>
      <c r="B5896" s="0" t="n">
        <v>1645162</v>
      </c>
      <c r="C5896" s="0" t="n">
        <v>1645182</v>
      </c>
      <c r="D5896" s="0" t="s">
        <v>19725</v>
      </c>
      <c r="E5896" s="0" t="s">
        <v>89</v>
      </c>
      <c r="F5896" s="0" t="s">
        <v>15</v>
      </c>
      <c r="G5896" s="0" t="s">
        <v>16</v>
      </c>
      <c r="H5896" s="0" t="n">
        <v>49</v>
      </c>
      <c r="I5896" s="0" t="s">
        <v>19729</v>
      </c>
      <c r="J5896" s="0" t="s">
        <v>19730</v>
      </c>
      <c r="K5896" s="0" t="s">
        <v>19731</v>
      </c>
      <c r="L5896" s="0" t="str">
        <f aca="false">HYPERLINK("https://www.ncbi.nlm.nih.gov/nuccore/CP000304.1?report=graph&amp;tracks=[key:gene_model_track,Options:GeneOnly]&amp;mk=1645135:1645154|offset_21|444444,1645163:1645182|offset_49|00cc00,1645185:1645204|offset_71|444444,1645207:1645226|offset_93|444444&amp;v=1644934:1645426&amp;c=444444", "offset 49")</f>
        <v>offset 49</v>
      </c>
    </row>
    <row r="5897" customFormat="false" ht="12.8" hidden="false" customHeight="false" outlineLevel="0" collapsed="false">
      <c r="A5897" s="0" t="s">
        <v>12</v>
      </c>
      <c r="B5897" s="0" t="n">
        <v>1645184</v>
      </c>
      <c r="C5897" s="0" t="n">
        <v>1645204</v>
      </c>
      <c r="D5897" s="0" t="s">
        <v>19725</v>
      </c>
      <c r="E5897" s="0" t="s">
        <v>89</v>
      </c>
      <c r="F5897" s="0" t="s">
        <v>15</v>
      </c>
      <c r="G5897" s="0" t="s">
        <v>26</v>
      </c>
      <c r="H5897" s="0" t="n">
        <v>71</v>
      </c>
      <c r="I5897" s="0" t="s">
        <v>19732</v>
      </c>
      <c r="J5897" s="0" t="s">
        <v>19733</v>
      </c>
      <c r="K5897" s="0" t="s">
        <v>19734</v>
      </c>
      <c r="L5897" s="0" t="str">
        <f aca="false">HYPERLINK("https://www.ncbi.nlm.nih.gov/nuccore/CP000304.1?report=graph&amp;tracks=[key:gene_model_track,Options:GeneOnly]&amp;mk=1645135:1645154|offset_21|444444,1645163:1645182|offset_49|444444,1645185:1645204|offset_71|00cc00,1645207:1645226|offset_93|444444&amp;v=1644934:1645426&amp;c=444444", "offset 71")</f>
        <v>offset 71</v>
      </c>
    </row>
    <row r="5898" customFormat="false" ht="12.8" hidden="false" customHeight="false" outlineLevel="0" collapsed="false">
      <c r="A5898" s="0" t="s">
        <v>12</v>
      </c>
      <c r="B5898" s="0" t="n">
        <v>1645206</v>
      </c>
      <c r="C5898" s="0" t="n">
        <v>1645226</v>
      </c>
      <c r="D5898" s="0" t="s">
        <v>19725</v>
      </c>
      <c r="E5898" s="0" t="s">
        <v>89</v>
      </c>
      <c r="F5898" s="0" t="s">
        <v>15</v>
      </c>
      <c r="G5898" s="0" t="s">
        <v>26</v>
      </c>
      <c r="H5898" s="0" t="n">
        <v>93</v>
      </c>
      <c r="I5898" s="0" t="s">
        <v>19735</v>
      </c>
      <c r="J5898" s="0" t="s">
        <v>19736</v>
      </c>
      <c r="K5898" s="0" t="s">
        <v>19737</v>
      </c>
      <c r="L5898" s="0" t="str">
        <f aca="false">HYPERLINK("https://www.ncbi.nlm.nih.gov/nuccore/CP000304.1?report=graph&amp;tracks=[key:gene_model_track,Options:GeneOnly]&amp;mk=1645135:1645154|offset_21|444444,1645163:1645182|offset_49|444444,1645185:1645204|offset_71|444444,1645207:1645226|offset_93|00cc00&amp;v=1644934:1645426&amp;c=444444", "offset 93")</f>
        <v>offset 93</v>
      </c>
    </row>
    <row r="5899" customFormat="false" ht="12.8" hidden="false" customHeight="false" outlineLevel="0" collapsed="false">
      <c r="A5899" s="0" t="s">
        <v>12</v>
      </c>
      <c r="B5899" s="0" t="n">
        <v>1645430</v>
      </c>
      <c r="C5899" s="0" t="n">
        <v>1645450</v>
      </c>
      <c r="D5899" s="0" t="s">
        <v>19738</v>
      </c>
      <c r="E5899" s="0" t="s">
        <v>89</v>
      </c>
      <c r="F5899" s="0" t="s">
        <v>15</v>
      </c>
      <c r="G5899" s="0" t="s">
        <v>26</v>
      </c>
      <c r="H5899" s="0" t="n">
        <v>38</v>
      </c>
      <c r="I5899" s="0" t="s">
        <v>19739</v>
      </c>
      <c r="J5899" s="0" t="s">
        <v>19740</v>
      </c>
      <c r="K5899" s="0" t="s">
        <v>19741</v>
      </c>
      <c r="L5899" s="0" t="str">
        <f aca="false">HYPERLINK("https://www.ncbi.nlm.nih.gov/nuccore/CP000304.1?report=graph&amp;tracks=[key:gene_model_track,Options:GeneOnly]&amp;mk=1645431:1645450|offset_38|00cc00,1645479:1645498|offset_86|444444,1645513:1645532|offset_120|444444,1645578:1645597|offset_185|444444&amp;v=1645230:1645797&amp;c=444444", "offset 38")</f>
        <v>offset 38</v>
      </c>
    </row>
    <row r="5900" customFormat="false" ht="12.8" hidden="false" customHeight="false" outlineLevel="0" collapsed="false">
      <c r="A5900" s="0" t="s">
        <v>12</v>
      </c>
      <c r="B5900" s="0" t="n">
        <v>1645478</v>
      </c>
      <c r="C5900" s="0" t="n">
        <v>1645498</v>
      </c>
      <c r="D5900" s="0" t="s">
        <v>19738</v>
      </c>
      <c r="E5900" s="0" t="s">
        <v>89</v>
      </c>
      <c r="F5900" s="0" t="s">
        <v>15</v>
      </c>
      <c r="G5900" s="0" t="s">
        <v>16</v>
      </c>
      <c r="H5900" s="0" t="n">
        <v>86</v>
      </c>
      <c r="I5900" s="0" t="s">
        <v>19742</v>
      </c>
      <c r="J5900" s="0" t="s">
        <v>19743</v>
      </c>
      <c r="K5900" s="0" t="s">
        <v>19744</v>
      </c>
      <c r="L5900" s="0" t="str">
        <f aca="false">HYPERLINK("https://www.ncbi.nlm.nih.gov/nuccore/CP000304.1?report=graph&amp;tracks=[key:gene_model_track,Options:GeneOnly]&amp;mk=1645431:1645450|offset_38|444444,1645479:1645498|offset_86|00cc00,1645513:1645532|offset_120|444444,1645578:1645597|offset_185|444444&amp;v=1645230:1645797&amp;c=444444", "offset 86")</f>
        <v>offset 86</v>
      </c>
    </row>
    <row r="5901" customFormat="false" ht="12.8" hidden="false" customHeight="false" outlineLevel="0" collapsed="false">
      <c r="A5901" s="0" t="s">
        <v>12</v>
      </c>
      <c r="B5901" s="0" t="n">
        <v>1645512</v>
      </c>
      <c r="C5901" s="0" t="n">
        <v>1645532</v>
      </c>
      <c r="D5901" s="0" t="s">
        <v>19738</v>
      </c>
      <c r="E5901" s="0" t="s">
        <v>89</v>
      </c>
      <c r="F5901" s="0" t="s">
        <v>15</v>
      </c>
      <c r="G5901" s="0" t="s">
        <v>16</v>
      </c>
      <c r="H5901" s="0" t="n">
        <v>120</v>
      </c>
      <c r="I5901" s="0" t="s">
        <v>19745</v>
      </c>
      <c r="J5901" s="0" t="s">
        <v>19746</v>
      </c>
      <c r="K5901" s="0" t="s">
        <v>19747</v>
      </c>
      <c r="L5901" s="0" t="str">
        <f aca="false">HYPERLINK("https://www.ncbi.nlm.nih.gov/nuccore/CP000304.1?report=graph&amp;tracks=[key:gene_model_track,Options:GeneOnly]&amp;mk=1645431:1645450|offset_38|444444,1645479:1645498|offset_86|444444,1645513:1645532|offset_120|00cc00,1645578:1645597|offset_185|444444&amp;v=1645230:1645797&amp;c=444444", "offset 120")</f>
        <v>offset 120</v>
      </c>
    </row>
    <row r="5902" customFormat="false" ht="12.8" hidden="false" customHeight="false" outlineLevel="0" collapsed="false">
      <c r="A5902" s="0" t="s">
        <v>12</v>
      </c>
      <c r="B5902" s="0" t="n">
        <v>1645577</v>
      </c>
      <c r="C5902" s="0" t="n">
        <v>1645597</v>
      </c>
      <c r="D5902" s="0" t="s">
        <v>19738</v>
      </c>
      <c r="E5902" s="0" t="s">
        <v>89</v>
      </c>
      <c r="F5902" s="0" t="s">
        <v>15</v>
      </c>
      <c r="G5902" s="0" t="s">
        <v>16</v>
      </c>
      <c r="H5902" s="0" t="n">
        <v>185</v>
      </c>
      <c r="I5902" s="0" t="s">
        <v>19748</v>
      </c>
      <c r="J5902" s="0" t="s">
        <v>19749</v>
      </c>
      <c r="K5902" s="0" t="s">
        <v>19750</v>
      </c>
      <c r="L5902" s="0" t="str">
        <f aca="false">HYPERLINK("https://www.ncbi.nlm.nih.gov/nuccore/CP000304.1?report=graph&amp;tracks=[key:gene_model_track,Options:GeneOnly]&amp;mk=1645431:1645450|offset_38|444444,1645479:1645498|offset_86|444444,1645513:1645532|offset_120|444444,1645578:1645597|offset_185|00cc00&amp;v=1645230:1645797&amp;c=444444", "offset 185")</f>
        <v>offset 185</v>
      </c>
    </row>
    <row r="5903" customFormat="false" ht="12.8" hidden="false" customHeight="false" outlineLevel="0" collapsed="false">
      <c r="A5903" s="0" t="s">
        <v>12</v>
      </c>
      <c r="B5903" s="0" t="n">
        <v>1648440</v>
      </c>
      <c r="C5903" s="0" t="n">
        <v>1648460</v>
      </c>
      <c r="D5903" s="0" t="s">
        <v>19751</v>
      </c>
      <c r="E5903" s="0" t="s">
        <v>19752</v>
      </c>
      <c r="F5903" s="0" t="s">
        <v>90</v>
      </c>
      <c r="G5903" s="0" t="s">
        <v>36</v>
      </c>
      <c r="H5903" s="0" t="n">
        <v>7</v>
      </c>
      <c r="I5903" s="0" t="s">
        <v>19753</v>
      </c>
      <c r="J5903" s="0" t="s">
        <v>19754</v>
      </c>
      <c r="K5903" s="0" t="s">
        <v>19755</v>
      </c>
      <c r="L5903" s="0" t="str">
        <f aca="false">HYPERLINK("https://www.ncbi.nlm.nih.gov/nuccore/CP000304.1?report=graph&amp;tracks=[key:gene_model_track,Options:GeneOnly]&amp;mk=1648441:1648460|offset_7|00cc00,1648416:1648435|offset_32|444444,1648381:1648400|offset_67|444444,1648354:1648373|offset_94|444444&amp;v=1648240:1648573&amp;c=444444", "offset 7")</f>
        <v>offset 7</v>
      </c>
    </row>
    <row r="5904" customFormat="false" ht="12.8" hidden="false" customHeight="false" outlineLevel="0" collapsed="false">
      <c r="A5904" s="0" t="s">
        <v>12</v>
      </c>
      <c r="B5904" s="0" t="n">
        <v>1648415</v>
      </c>
      <c r="C5904" s="0" t="n">
        <v>1648435</v>
      </c>
      <c r="D5904" s="0" t="s">
        <v>19751</v>
      </c>
      <c r="E5904" s="0" t="s">
        <v>19752</v>
      </c>
      <c r="F5904" s="0" t="s">
        <v>90</v>
      </c>
      <c r="G5904" s="0" t="s">
        <v>16</v>
      </c>
      <c r="H5904" s="0" t="n">
        <v>32</v>
      </c>
      <c r="I5904" s="0" t="s">
        <v>19756</v>
      </c>
      <c r="J5904" s="0" t="s">
        <v>19757</v>
      </c>
      <c r="K5904" s="0" t="s">
        <v>19758</v>
      </c>
      <c r="L5904" s="0" t="str">
        <f aca="false">HYPERLINK("https://www.ncbi.nlm.nih.gov/nuccore/CP000304.1?report=graph&amp;tracks=[key:gene_model_track,Options:GeneOnly]&amp;mk=1648441:1648460|offset_7|444444,1648416:1648435|offset_32|00cc00,1648381:1648400|offset_67|444444,1648354:1648373|offset_94|444444&amp;v=1648240:1648573&amp;c=444444", "offset 32")</f>
        <v>offset 32</v>
      </c>
    </row>
    <row r="5905" customFormat="false" ht="12.8" hidden="false" customHeight="false" outlineLevel="0" collapsed="false">
      <c r="A5905" s="0" t="s">
        <v>12</v>
      </c>
      <c r="B5905" s="0" t="n">
        <v>1648380</v>
      </c>
      <c r="C5905" s="0" t="n">
        <v>1648400</v>
      </c>
      <c r="D5905" s="0" t="s">
        <v>19751</v>
      </c>
      <c r="E5905" s="0" t="s">
        <v>19752</v>
      </c>
      <c r="F5905" s="0" t="s">
        <v>90</v>
      </c>
      <c r="G5905" s="0" t="s">
        <v>32</v>
      </c>
      <c r="H5905" s="0" t="n">
        <v>67</v>
      </c>
      <c r="I5905" s="0" t="s">
        <v>19759</v>
      </c>
      <c r="J5905" s="0" t="s">
        <v>19760</v>
      </c>
      <c r="K5905" s="0" t="s">
        <v>19761</v>
      </c>
      <c r="L5905" s="0" t="str">
        <f aca="false">HYPERLINK("https://www.ncbi.nlm.nih.gov/nuccore/CP000304.1?report=graph&amp;tracks=[key:gene_model_track,Options:GeneOnly]&amp;mk=1648441:1648460|offset_7|444444,1648416:1648435|offset_32|444444,1648381:1648400|offset_67|00cc00,1648354:1648373|offset_94|444444&amp;v=1648240:1648573&amp;c=444444", "offset 67")</f>
        <v>offset 67</v>
      </c>
    </row>
    <row r="5906" customFormat="false" ht="12.8" hidden="false" customHeight="false" outlineLevel="0" collapsed="false">
      <c r="A5906" s="0" t="s">
        <v>12</v>
      </c>
      <c r="B5906" s="0" t="n">
        <v>1648353</v>
      </c>
      <c r="C5906" s="0" t="n">
        <v>1648373</v>
      </c>
      <c r="D5906" s="0" t="s">
        <v>19751</v>
      </c>
      <c r="E5906" s="0" t="s">
        <v>19752</v>
      </c>
      <c r="F5906" s="0" t="s">
        <v>90</v>
      </c>
      <c r="G5906" s="0" t="s">
        <v>32</v>
      </c>
      <c r="H5906" s="0" t="n">
        <v>94</v>
      </c>
      <c r="I5906" s="0" t="s">
        <v>19762</v>
      </c>
      <c r="J5906" s="0" t="s">
        <v>19763</v>
      </c>
      <c r="K5906" s="0" t="s">
        <v>19764</v>
      </c>
      <c r="L5906" s="0" t="str">
        <f aca="false">HYPERLINK("https://www.ncbi.nlm.nih.gov/nuccore/CP000304.1?report=graph&amp;tracks=[key:gene_model_track,Options:GeneOnly]&amp;mk=1648441:1648460|offset_7|444444,1648416:1648435|offset_32|444444,1648381:1648400|offset_67|444444,1648354:1648373|offset_94|00cc00&amp;v=1648240:1648573&amp;c=444444", "offset 94")</f>
        <v>offset 94</v>
      </c>
    </row>
    <row r="5907" customFormat="false" ht="12.8" hidden="false" customHeight="false" outlineLevel="0" collapsed="false">
      <c r="A5907" s="0" t="s">
        <v>12</v>
      </c>
      <c r="B5907" s="0" t="n">
        <v>1649253</v>
      </c>
      <c r="C5907" s="0" t="n">
        <v>1649273</v>
      </c>
      <c r="D5907" s="0" t="s">
        <v>19765</v>
      </c>
      <c r="E5907" s="0" t="s">
        <v>19766</v>
      </c>
      <c r="F5907" s="0" t="s">
        <v>90</v>
      </c>
      <c r="G5907" s="0" t="s">
        <v>32</v>
      </c>
      <c r="H5907" s="0" t="n">
        <v>13</v>
      </c>
      <c r="I5907" s="0" t="s">
        <v>19767</v>
      </c>
      <c r="J5907" s="0" t="s">
        <v>19768</v>
      </c>
      <c r="K5907" s="0" t="s">
        <v>19769</v>
      </c>
      <c r="L5907" s="0" t="str">
        <f aca="false">HYPERLINK("https://www.ncbi.nlm.nih.gov/nuccore/CP000304.1?report=graph&amp;tracks=[key:gene_model_track,Options:GeneOnly]&amp;mk=1649254:1649273|offset_13|00cc00,1649215:1649234|offset_52|444444,1649165:1649184|offset_102|444444,1649139:1649158|offset_128|444444&amp;v=1649053:1649358&amp;c=444444", "offset 13")</f>
        <v>offset 13</v>
      </c>
    </row>
    <row r="5908" customFormat="false" ht="12.8" hidden="false" customHeight="false" outlineLevel="0" collapsed="false">
      <c r="A5908" s="0" t="s">
        <v>12</v>
      </c>
      <c r="B5908" s="0" t="n">
        <v>1649214</v>
      </c>
      <c r="C5908" s="0" t="n">
        <v>1649234</v>
      </c>
      <c r="D5908" s="0" t="s">
        <v>19765</v>
      </c>
      <c r="E5908" s="0" t="s">
        <v>19766</v>
      </c>
      <c r="F5908" s="0" t="s">
        <v>90</v>
      </c>
      <c r="G5908" s="0" t="s">
        <v>16</v>
      </c>
      <c r="H5908" s="0" t="n">
        <v>52</v>
      </c>
      <c r="I5908" s="0" t="s">
        <v>19770</v>
      </c>
      <c r="J5908" s="0" t="s">
        <v>19771</v>
      </c>
      <c r="K5908" s="0" t="s">
        <v>19772</v>
      </c>
      <c r="L5908" s="0" t="str">
        <f aca="false">HYPERLINK("https://www.ncbi.nlm.nih.gov/nuccore/CP000304.1?report=graph&amp;tracks=[key:gene_model_track,Options:GeneOnly]&amp;mk=1649254:1649273|offset_13|444444,1649215:1649234|offset_52|00cc00,1649165:1649184|offset_102|444444,1649139:1649158|offset_128|444444&amp;v=1649053:1649358&amp;c=444444", "offset 52")</f>
        <v>offset 52</v>
      </c>
    </row>
    <row r="5909" customFormat="false" ht="12.8" hidden="false" customHeight="false" outlineLevel="0" collapsed="false">
      <c r="A5909" s="0" t="s">
        <v>12</v>
      </c>
      <c r="B5909" s="0" t="n">
        <v>1649164</v>
      </c>
      <c r="C5909" s="0" t="n">
        <v>1649184</v>
      </c>
      <c r="D5909" s="0" t="s">
        <v>19765</v>
      </c>
      <c r="E5909" s="0" t="s">
        <v>19766</v>
      </c>
      <c r="F5909" s="0" t="s">
        <v>90</v>
      </c>
      <c r="G5909" s="0" t="s">
        <v>16</v>
      </c>
      <c r="H5909" s="0" t="n">
        <v>102</v>
      </c>
      <c r="I5909" s="0" t="s">
        <v>19773</v>
      </c>
      <c r="J5909" s="0" t="s">
        <v>19774</v>
      </c>
      <c r="K5909" s="0" t="s">
        <v>19775</v>
      </c>
      <c r="L5909" s="0" t="str">
        <f aca="false">HYPERLINK("https://www.ncbi.nlm.nih.gov/nuccore/CP000304.1?report=graph&amp;tracks=[key:gene_model_track,Options:GeneOnly]&amp;mk=1649254:1649273|offset_13|444444,1649215:1649234|offset_52|444444,1649165:1649184|offset_102|00cc00,1649139:1649158|offset_128|444444&amp;v=1649053:1649358&amp;c=444444", "offset 102")</f>
        <v>offset 102</v>
      </c>
    </row>
    <row r="5910" customFormat="false" ht="12.8" hidden="false" customHeight="false" outlineLevel="0" collapsed="false">
      <c r="A5910" s="0" t="s">
        <v>12</v>
      </c>
      <c r="B5910" s="0" t="n">
        <v>1649138</v>
      </c>
      <c r="C5910" s="0" t="n">
        <v>1649158</v>
      </c>
      <c r="D5910" s="0" t="s">
        <v>19765</v>
      </c>
      <c r="E5910" s="0" t="s">
        <v>19766</v>
      </c>
      <c r="F5910" s="0" t="s">
        <v>90</v>
      </c>
      <c r="G5910" s="0" t="s">
        <v>16</v>
      </c>
      <c r="H5910" s="0" t="n">
        <v>128</v>
      </c>
      <c r="I5910" s="0" t="s">
        <v>19776</v>
      </c>
      <c r="J5910" s="0" t="s">
        <v>19777</v>
      </c>
      <c r="K5910" s="0" t="s">
        <v>19778</v>
      </c>
      <c r="L5910" s="0" t="str">
        <f aca="false">HYPERLINK("https://www.ncbi.nlm.nih.gov/nuccore/CP000304.1?report=graph&amp;tracks=[key:gene_model_track,Options:GeneOnly]&amp;mk=1649254:1649273|offset_13|444444,1649215:1649234|offset_52|444444,1649165:1649184|offset_102|444444,1649139:1649158|offset_128|00cc00&amp;v=1649053:1649358&amp;c=444444", "offset 128")</f>
        <v>offset 128</v>
      </c>
    </row>
    <row r="5911" customFormat="false" ht="12.8" hidden="false" customHeight="false" outlineLevel="0" collapsed="false">
      <c r="A5911" s="0" t="s">
        <v>12</v>
      </c>
      <c r="B5911" s="0" t="n">
        <v>1649588</v>
      </c>
      <c r="C5911" s="0" t="n">
        <v>1649608</v>
      </c>
      <c r="D5911" s="0" t="s">
        <v>19779</v>
      </c>
      <c r="E5911" s="0" t="s">
        <v>19780</v>
      </c>
      <c r="F5911" s="0" t="s">
        <v>15</v>
      </c>
      <c r="G5911" s="0" t="s">
        <v>32</v>
      </c>
      <c r="H5911" s="0" t="n">
        <v>16</v>
      </c>
      <c r="I5911" s="0" t="s">
        <v>19781</v>
      </c>
      <c r="J5911" s="0" t="s">
        <v>19782</v>
      </c>
      <c r="K5911" s="0" t="s">
        <v>19783</v>
      </c>
      <c r="L5911" s="0" t="str">
        <f aca="false">HYPERLINK("https://www.ncbi.nlm.nih.gov/nuccore/CP000304.1?report=graph&amp;tracks=[key:gene_model_track,Options:GeneOnly]&amp;mk=1649589:1649608|offset_16|00cc00,1649610:1649629|offset_37|444444,1649634:1649653|offset_61|444444,1649689:1649708|offset_116|444444&amp;v=1649388:1649908&amp;c=444444", "offset 16")</f>
        <v>offset 16</v>
      </c>
    </row>
    <row r="5912" customFormat="false" ht="12.8" hidden="false" customHeight="false" outlineLevel="0" collapsed="false">
      <c r="A5912" s="0" t="s">
        <v>12</v>
      </c>
      <c r="B5912" s="0" t="n">
        <v>1649609</v>
      </c>
      <c r="C5912" s="0" t="n">
        <v>1649629</v>
      </c>
      <c r="D5912" s="0" t="s">
        <v>19779</v>
      </c>
      <c r="E5912" s="0" t="s">
        <v>19780</v>
      </c>
      <c r="F5912" s="0" t="s">
        <v>15</v>
      </c>
      <c r="G5912" s="0" t="s">
        <v>16</v>
      </c>
      <c r="H5912" s="0" t="n">
        <v>37</v>
      </c>
      <c r="I5912" s="0" t="s">
        <v>19784</v>
      </c>
      <c r="J5912" s="0" t="s">
        <v>19785</v>
      </c>
      <c r="K5912" s="0" t="s">
        <v>19786</v>
      </c>
      <c r="L5912" s="0" t="str">
        <f aca="false">HYPERLINK("https://www.ncbi.nlm.nih.gov/nuccore/CP000304.1?report=graph&amp;tracks=[key:gene_model_track,Options:GeneOnly]&amp;mk=1649589:1649608|offset_16|444444,1649610:1649629|offset_37|00cc00,1649634:1649653|offset_61|444444,1649689:1649708|offset_116|444444&amp;v=1649388:1649908&amp;c=444444", "offset 37")</f>
        <v>offset 37</v>
      </c>
    </row>
    <row r="5913" customFormat="false" ht="12.8" hidden="false" customHeight="false" outlineLevel="0" collapsed="false">
      <c r="A5913" s="0" t="s">
        <v>12</v>
      </c>
      <c r="B5913" s="0" t="n">
        <v>1649633</v>
      </c>
      <c r="C5913" s="0" t="n">
        <v>1649653</v>
      </c>
      <c r="D5913" s="0" t="s">
        <v>19779</v>
      </c>
      <c r="E5913" s="0" t="s">
        <v>19780</v>
      </c>
      <c r="F5913" s="0" t="s">
        <v>15</v>
      </c>
      <c r="G5913" s="0" t="s">
        <v>36</v>
      </c>
      <c r="H5913" s="0" t="n">
        <v>61</v>
      </c>
      <c r="I5913" s="0" t="s">
        <v>19787</v>
      </c>
      <c r="J5913" s="0" t="s">
        <v>19788</v>
      </c>
      <c r="K5913" s="0" t="s">
        <v>19789</v>
      </c>
      <c r="L5913" s="0" t="str">
        <f aca="false">HYPERLINK("https://www.ncbi.nlm.nih.gov/nuccore/CP000304.1?report=graph&amp;tracks=[key:gene_model_track,Options:GeneOnly]&amp;mk=1649589:1649608|offset_16|444444,1649610:1649629|offset_37|444444,1649634:1649653|offset_61|00cc00,1649689:1649708|offset_116|444444&amp;v=1649388:1649908&amp;c=444444", "offset 61")</f>
        <v>offset 61</v>
      </c>
    </row>
    <row r="5914" customFormat="false" ht="12.8" hidden="false" customHeight="false" outlineLevel="0" collapsed="false">
      <c r="A5914" s="0" t="s">
        <v>12</v>
      </c>
      <c r="B5914" s="0" t="n">
        <v>1649688</v>
      </c>
      <c r="C5914" s="0" t="n">
        <v>1649708</v>
      </c>
      <c r="D5914" s="0" t="s">
        <v>19779</v>
      </c>
      <c r="E5914" s="0" t="s">
        <v>19780</v>
      </c>
      <c r="F5914" s="0" t="s">
        <v>15</v>
      </c>
      <c r="G5914" s="0" t="s">
        <v>32</v>
      </c>
      <c r="H5914" s="0" t="n">
        <v>116</v>
      </c>
      <c r="I5914" s="0" t="s">
        <v>19790</v>
      </c>
      <c r="J5914" s="0" t="s">
        <v>19791</v>
      </c>
      <c r="K5914" s="0" t="s">
        <v>19792</v>
      </c>
      <c r="L5914" s="0" t="str">
        <f aca="false">HYPERLINK("https://www.ncbi.nlm.nih.gov/nuccore/CP000304.1?report=graph&amp;tracks=[key:gene_model_track,Options:GeneOnly]&amp;mk=1649589:1649608|offset_16|444444,1649610:1649629|offset_37|444444,1649634:1649653|offset_61|444444,1649689:1649708|offset_116|00cc00&amp;v=1649388:1649908&amp;c=444444", "offset 116")</f>
        <v>offset 116</v>
      </c>
    </row>
    <row r="5915" customFormat="false" ht="12.8" hidden="false" customHeight="false" outlineLevel="0" collapsed="false">
      <c r="A5915" s="0" t="s">
        <v>12</v>
      </c>
      <c r="B5915" s="0" t="n">
        <v>1650462</v>
      </c>
      <c r="C5915" s="0" t="n">
        <v>1650482</v>
      </c>
      <c r="D5915" s="0" t="s">
        <v>19793</v>
      </c>
      <c r="E5915" s="0" t="s">
        <v>19794</v>
      </c>
      <c r="F5915" s="0" t="s">
        <v>15</v>
      </c>
      <c r="G5915" s="0" t="s">
        <v>26</v>
      </c>
      <c r="H5915" s="0" t="n">
        <v>22</v>
      </c>
      <c r="I5915" s="0" t="s">
        <v>19795</v>
      </c>
      <c r="J5915" s="0" t="s">
        <v>19796</v>
      </c>
      <c r="K5915" s="0" t="s">
        <v>19797</v>
      </c>
      <c r="L5915" s="0" t="str">
        <f aca="false">HYPERLINK("https://www.ncbi.nlm.nih.gov/nuccore/CP000304.1?report=graph&amp;tracks=[key:gene_model_track,Options:GeneOnly]&amp;mk=1650463:1650482|offset_22|00cc00,1650490:1650509|offset_49|444444,1650529:1650548|offset_88|444444,1650553:1650572|offset_112|444444&amp;v=1650262:1650772&amp;c=444444", "offset 22")</f>
        <v>offset 22</v>
      </c>
    </row>
    <row r="5916" customFormat="false" ht="12.8" hidden="false" customHeight="false" outlineLevel="0" collapsed="false">
      <c r="A5916" s="0" t="s">
        <v>12</v>
      </c>
      <c r="B5916" s="0" t="n">
        <v>1650489</v>
      </c>
      <c r="C5916" s="0" t="n">
        <v>1650509</v>
      </c>
      <c r="D5916" s="0" t="s">
        <v>19793</v>
      </c>
      <c r="E5916" s="0" t="s">
        <v>19794</v>
      </c>
      <c r="F5916" s="0" t="s">
        <v>15</v>
      </c>
      <c r="G5916" s="0" t="s">
        <v>16</v>
      </c>
      <c r="H5916" s="0" t="n">
        <v>49</v>
      </c>
      <c r="I5916" s="0" t="s">
        <v>19798</v>
      </c>
      <c r="J5916" s="0" t="s">
        <v>19799</v>
      </c>
      <c r="K5916" s="0" t="s">
        <v>19800</v>
      </c>
      <c r="L5916" s="0" t="str">
        <f aca="false">HYPERLINK("https://www.ncbi.nlm.nih.gov/nuccore/CP000304.1?report=graph&amp;tracks=[key:gene_model_track,Options:GeneOnly]&amp;mk=1650463:1650482|offset_22|444444,1650490:1650509|offset_49|00cc00,1650529:1650548|offset_88|444444,1650553:1650572|offset_112|444444&amp;v=1650262:1650772&amp;c=444444", "offset 49")</f>
        <v>offset 49</v>
      </c>
    </row>
    <row r="5917" customFormat="false" ht="12.8" hidden="false" customHeight="false" outlineLevel="0" collapsed="false">
      <c r="A5917" s="0" t="s">
        <v>12</v>
      </c>
      <c r="B5917" s="0" t="n">
        <v>1650528</v>
      </c>
      <c r="C5917" s="0" t="n">
        <v>1650548</v>
      </c>
      <c r="D5917" s="0" t="s">
        <v>19793</v>
      </c>
      <c r="E5917" s="0" t="s">
        <v>19794</v>
      </c>
      <c r="F5917" s="0" t="s">
        <v>15</v>
      </c>
      <c r="G5917" s="0" t="s">
        <v>16</v>
      </c>
      <c r="H5917" s="0" t="n">
        <v>88</v>
      </c>
      <c r="I5917" s="0" t="s">
        <v>19801</v>
      </c>
      <c r="J5917" s="0" t="s">
        <v>19802</v>
      </c>
      <c r="K5917" s="0" t="s">
        <v>19803</v>
      </c>
      <c r="L5917" s="0" t="str">
        <f aca="false">HYPERLINK("https://www.ncbi.nlm.nih.gov/nuccore/CP000304.1?report=graph&amp;tracks=[key:gene_model_track,Options:GeneOnly]&amp;mk=1650463:1650482|offset_22|444444,1650490:1650509|offset_49|444444,1650529:1650548|offset_88|00cc00,1650553:1650572|offset_112|444444&amp;v=1650262:1650772&amp;c=444444", "offset 88")</f>
        <v>offset 88</v>
      </c>
    </row>
    <row r="5918" customFormat="false" ht="12.8" hidden="false" customHeight="false" outlineLevel="0" collapsed="false">
      <c r="A5918" s="0" t="s">
        <v>12</v>
      </c>
      <c r="B5918" s="0" t="n">
        <v>1650552</v>
      </c>
      <c r="C5918" s="0" t="n">
        <v>1650572</v>
      </c>
      <c r="D5918" s="0" t="s">
        <v>19793</v>
      </c>
      <c r="E5918" s="0" t="s">
        <v>19794</v>
      </c>
      <c r="F5918" s="0" t="s">
        <v>15</v>
      </c>
      <c r="G5918" s="0" t="s">
        <v>32</v>
      </c>
      <c r="H5918" s="0" t="n">
        <v>112</v>
      </c>
      <c r="I5918" s="0" t="s">
        <v>19804</v>
      </c>
      <c r="J5918" s="0" t="s">
        <v>19805</v>
      </c>
      <c r="K5918" s="0" t="s">
        <v>19806</v>
      </c>
      <c r="L5918" s="0" t="str">
        <f aca="false">HYPERLINK("https://www.ncbi.nlm.nih.gov/nuccore/CP000304.1?report=graph&amp;tracks=[key:gene_model_track,Options:GeneOnly]&amp;mk=1650463:1650482|offset_22|444444,1650490:1650509|offset_49|444444,1650529:1650548|offset_88|444444,1650553:1650572|offset_112|00cc00&amp;v=1650262:1650772&amp;c=444444", "offset 112")</f>
        <v>offset 112</v>
      </c>
    </row>
    <row r="5919" customFormat="false" ht="12.8" hidden="false" customHeight="false" outlineLevel="0" collapsed="false">
      <c r="A5919" s="0" t="s">
        <v>12</v>
      </c>
      <c r="B5919" s="0" t="n">
        <v>1651503</v>
      </c>
      <c r="C5919" s="0" t="n">
        <v>1651523</v>
      </c>
      <c r="D5919" s="0" t="s">
        <v>19807</v>
      </c>
      <c r="E5919" s="0" t="s">
        <v>19808</v>
      </c>
      <c r="F5919" s="0" t="s">
        <v>15</v>
      </c>
      <c r="G5919" s="0" t="s">
        <v>32</v>
      </c>
      <c r="H5919" s="0" t="n">
        <v>0</v>
      </c>
      <c r="I5919" s="0" t="s">
        <v>19809</v>
      </c>
      <c r="J5919" s="0" t="s">
        <v>19810</v>
      </c>
      <c r="K5919" s="0" t="s">
        <v>19811</v>
      </c>
      <c r="L5919" s="0" t="str">
        <f aca="false">HYPERLINK("https://www.ncbi.nlm.nih.gov/nuccore/CP000304.1?report=graph&amp;tracks=[key:gene_model_track,Options:GeneOnly]&amp;mk=1651504:1651523|offset_0|00cc00,1651534:1651553|offset_30|444444,1651574:1651593|offset_70|444444,1651606:1651625|offset_102|444444&amp;v=1651303:1651825&amp;c=444444", "offset 0")</f>
        <v>offset 0</v>
      </c>
    </row>
    <row r="5920" customFormat="false" ht="12.8" hidden="false" customHeight="false" outlineLevel="0" collapsed="false">
      <c r="A5920" s="0" t="s">
        <v>12</v>
      </c>
      <c r="B5920" s="0" t="n">
        <v>1651533</v>
      </c>
      <c r="C5920" s="0" t="n">
        <v>1651553</v>
      </c>
      <c r="D5920" s="0" t="s">
        <v>19807</v>
      </c>
      <c r="E5920" s="0" t="s">
        <v>19808</v>
      </c>
      <c r="F5920" s="0" t="s">
        <v>15</v>
      </c>
      <c r="G5920" s="0" t="s">
        <v>26</v>
      </c>
      <c r="H5920" s="0" t="n">
        <v>30</v>
      </c>
      <c r="I5920" s="0" t="s">
        <v>19812</v>
      </c>
      <c r="J5920" s="0" t="s">
        <v>19813</v>
      </c>
      <c r="K5920" s="0" t="s">
        <v>19814</v>
      </c>
      <c r="L5920" s="0" t="str">
        <f aca="false">HYPERLINK("https://www.ncbi.nlm.nih.gov/nuccore/CP000304.1?report=graph&amp;tracks=[key:gene_model_track,Options:GeneOnly]&amp;mk=1651504:1651523|offset_0|444444,1651534:1651553|offset_30|00cc00,1651574:1651593|offset_70|444444,1651606:1651625|offset_102|444444&amp;v=1651303:1651825&amp;c=444444", "offset 30")</f>
        <v>offset 30</v>
      </c>
    </row>
    <row r="5921" customFormat="false" ht="12.8" hidden="false" customHeight="false" outlineLevel="0" collapsed="false">
      <c r="A5921" s="0" t="s">
        <v>12</v>
      </c>
      <c r="B5921" s="0" t="n">
        <v>1651573</v>
      </c>
      <c r="C5921" s="0" t="n">
        <v>1651593</v>
      </c>
      <c r="D5921" s="0" t="s">
        <v>19807</v>
      </c>
      <c r="E5921" s="0" t="s">
        <v>19808</v>
      </c>
      <c r="F5921" s="0" t="s">
        <v>15</v>
      </c>
      <c r="G5921" s="0" t="s">
        <v>36</v>
      </c>
      <c r="H5921" s="0" t="n">
        <v>70</v>
      </c>
      <c r="I5921" s="0" t="s">
        <v>19815</v>
      </c>
      <c r="J5921" s="0" t="s">
        <v>19816</v>
      </c>
      <c r="K5921" s="0" t="s">
        <v>19817</v>
      </c>
      <c r="L5921" s="0" t="str">
        <f aca="false">HYPERLINK("https://www.ncbi.nlm.nih.gov/nuccore/CP000304.1?report=graph&amp;tracks=[key:gene_model_track,Options:GeneOnly]&amp;mk=1651504:1651523|offset_0|444444,1651534:1651553|offset_30|444444,1651574:1651593|offset_70|00cc00,1651606:1651625|offset_102|444444&amp;v=1651303:1651825&amp;c=444444", "offset 70")</f>
        <v>offset 70</v>
      </c>
    </row>
    <row r="5922" customFormat="false" ht="12.8" hidden="false" customHeight="false" outlineLevel="0" collapsed="false">
      <c r="A5922" s="0" t="s">
        <v>12</v>
      </c>
      <c r="B5922" s="0" t="n">
        <v>1651605</v>
      </c>
      <c r="C5922" s="0" t="n">
        <v>1651625</v>
      </c>
      <c r="D5922" s="0" t="s">
        <v>19807</v>
      </c>
      <c r="E5922" s="0" t="s">
        <v>19808</v>
      </c>
      <c r="F5922" s="0" t="s">
        <v>15</v>
      </c>
      <c r="G5922" s="0" t="s">
        <v>36</v>
      </c>
      <c r="H5922" s="0" t="n">
        <v>102</v>
      </c>
      <c r="I5922" s="0" t="s">
        <v>19818</v>
      </c>
      <c r="J5922" s="0" t="s">
        <v>19819</v>
      </c>
      <c r="K5922" s="0" t="s">
        <v>19820</v>
      </c>
      <c r="L5922" s="0" t="str">
        <f aca="false">HYPERLINK("https://www.ncbi.nlm.nih.gov/nuccore/CP000304.1?report=graph&amp;tracks=[key:gene_model_track,Options:GeneOnly]&amp;mk=1651504:1651523|offset_0|444444,1651534:1651553|offset_30|444444,1651574:1651593|offset_70|444444,1651606:1651625|offset_102|00cc00&amp;v=1651303:1651825&amp;c=444444", "offset 102")</f>
        <v>offset 102</v>
      </c>
    </row>
    <row r="5923" customFormat="false" ht="12.8" hidden="false" customHeight="false" outlineLevel="0" collapsed="false">
      <c r="A5923" s="0" t="s">
        <v>12</v>
      </c>
      <c r="B5923" s="0" t="n">
        <v>1652292</v>
      </c>
      <c r="C5923" s="0" t="n">
        <v>1652312</v>
      </c>
      <c r="D5923" s="0" t="s">
        <v>19821</v>
      </c>
      <c r="E5923" s="0" t="s">
        <v>19822</v>
      </c>
      <c r="F5923" s="0" t="s">
        <v>15</v>
      </c>
      <c r="G5923" s="0" t="s">
        <v>36</v>
      </c>
      <c r="H5923" s="0" t="n">
        <v>13</v>
      </c>
      <c r="I5923" s="0" t="s">
        <v>19823</v>
      </c>
      <c r="J5923" s="0" t="s">
        <v>19824</v>
      </c>
      <c r="K5923" s="0" t="s">
        <v>19825</v>
      </c>
      <c r="L5923" s="0" t="str">
        <f aca="false">HYPERLINK("https://www.ncbi.nlm.nih.gov/nuccore/CP000304.1?report=graph&amp;tracks=[key:gene_model_track,Options:GeneOnly]&amp;mk=1652293:1652312|offset_13|00cc00,1652320:1652339|offset_40|444444,1652341:1652360|offset_61|444444,1652374:1652393|offset_94|444444&amp;v=1652092:1652593&amp;c=444444", "offset 13")</f>
        <v>offset 13</v>
      </c>
    </row>
    <row r="5924" customFormat="false" ht="12.8" hidden="false" customHeight="false" outlineLevel="0" collapsed="false">
      <c r="A5924" s="0" t="s">
        <v>12</v>
      </c>
      <c r="B5924" s="0" t="n">
        <v>1652319</v>
      </c>
      <c r="C5924" s="0" t="n">
        <v>1652339</v>
      </c>
      <c r="D5924" s="0" t="s">
        <v>19821</v>
      </c>
      <c r="E5924" s="0" t="s">
        <v>19822</v>
      </c>
      <c r="F5924" s="0" t="s">
        <v>15</v>
      </c>
      <c r="G5924" s="0" t="s">
        <v>32</v>
      </c>
      <c r="H5924" s="0" t="n">
        <v>40</v>
      </c>
      <c r="I5924" s="0" t="s">
        <v>19826</v>
      </c>
      <c r="J5924" s="0" t="s">
        <v>19827</v>
      </c>
      <c r="K5924" s="0" t="s">
        <v>19828</v>
      </c>
      <c r="L5924" s="0" t="str">
        <f aca="false">HYPERLINK("https://www.ncbi.nlm.nih.gov/nuccore/CP000304.1?report=graph&amp;tracks=[key:gene_model_track,Options:GeneOnly]&amp;mk=1652293:1652312|offset_13|444444,1652320:1652339|offset_40|00cc00,1652341:1652360|offset_61|444444,1652374:1652393|offset_94|444444&amp;v=1652092:1652593&amp;c=444444", "offset 40")</f>
        <v>offset 40</v>
      </c>
    </row>
    <row r="5925" customFormat="false" ht="12.8" hidden="false" customHeight="false" outlineLevel="0" collapsed="false">
      <c r="A5925" s="0" t="s">
        <v>12</v>
      </c>
      <c r="B5925" s="0" t="n">
        <v>1652340</v>
      </c>
      <c r="C5925" s="0" t="n">
        <v>1652360</v>
      </c>
      <c r="D5925" s="0" t="s">
        <v>19821</v>
      </c>
      <c r="E5925" s="0" t="s">
        <v>19822</v>
      </c>
      <c r="F5925" s="0" t="s">
        <v>15</v>
      </c>
      <c r="G5925" s="0" t="s">
        <v>36</v>
      </c>
      <c r="H5925" s="0" t="n">
        <v>61</v>
      </c>
      <c r="I5925" s="0" t="s">
        <v>19829</v>
      </c>
      <c r="J5925" s="0" t="s">
        <v>19830</v>
      </c>
      <c r="K5925" s="0" t="s">
        <v>19831</v>
      </c>
      <c r="L5925" s="0" t="str">
        <f aca="false">HYPERLINK("https://www.ncbi.nlm.nih.gov/nuccore/CP000304.1?report=graph&amp;tracks=[key:gene_model_track,Options:GeneOnly]&amp;mk=1652293:1652312|offset_13|444444,1652320:1652339|offset_40|444444,1652341:1652360|offset_61|00cc00,1652374:1652393|offset_94|444444&amp;v=1652092:1652593&amp;c=444444", "offset 61")</f>
        <v>offset 61</v>
      </c>
    </row>
    <row r="5926" customFormat="false" ht="12.8" hidden="false" customHeight="false" outlineLevel="0" collapsed="false">
      <c r="A5926" s="0" t="s">
        <v>12</v>
      </c>
      <c r="B5926" s="0" t="n">
        <v>1652373</v>
      </c>
      <c r="C5926" s="0" t="n">
        <v>1652393</v>
      </c>
      <c r="D5926" s="0" t="s">
        <v>19821</v>
      </c>
      <c r="E5926" s="0" t="s">
        <v>19822</v>
      </c>
      <c r="F5926" s="0" t="s">
        <v>15</v>
      </c>
      <c r="G5926" s="0" t="s">
        <v>26</v>
      </c>
      <c r="H5926" s="0" t="n">
        <v>94</v>
      </c>
      <c r="I5926" s="0" t="s">
        <v>19832</v>
      </c>
      <c r="J5926" s="0" t="s">
        <v>19833</v>
      </c>
      <c r="K5926" s="0" t="s">
        <v>19834</v>
      </c>
      <c r="L5926" s="0" t="str">
        <f aca="false">HYPERLINK("https://www.ncbi.nlm.nih.gov/nuccore/CP000304.1?report=graph&amp;tracks=[key:gene_model_track,Options:GeneOnly]&amp;mk=1652293:1652312|offset_13|444444,1652320:1652339|offset_40|444444,1652341:1652360|offset_61|444444,1652374:1652393|offset_94|00cc00&amp;v=1652092:1652593&amp;c=444444", "offset 94")</f>
        <v>offset 94</v>
      </c>
    </row>
    <row r="5927" customFormat="false" ht="12.8" hidden="false" customHeight="false" outlineLevel="0" collapsed="false">
      <c r="A5927" s="0" t="s">
        <v>12</v>
      </c>
      <c r="B5927" s="0" t="n">
        <v>1652841</v>
      </c>
      <c r="C5927" s="0" t="n">
        <v>1652861</v>
      </c>
      <c r="D5927" s="0" t="s">
        <v>19835</v>
      </c>
      <c r="E5927" s="0" t="s">
        <v>19836</v>
      </c>
      <c r="F5927" s="0" t="s">
        <v>15</v>
      </c>
      <c r="G5927" s="0" t="s">
        <v>16</v>
      </c>
      <c r="H5927" s="0" t="n">
        <v>0</v>
      </c>
      <c r="I5927" s="0" t="s">
        <v>19837</v>
      </c>
      <c r="J5927" s="0" t="s">
        <v>19838</v>
      </c>
      <c r="K5927" s="0" t="s">
        <v>19839</v>
      </c>
      <c r="L5927" s="0" t="str">
        <f aca="false">HYPERLINK("https://www.ncbi.nlm.nih.gov/nuccore/CP000304.1?report=graph&amp;tracks=[key:gene_model_track,Options:GeneOnly]&amp;mk=1652842:1652861|offset_0|00cc00,1652949:1652968|offset_107|444444,1653025:1653044|offset_183|444444,1653068:1653087|offset_226|444444&amp;v=1652641:1653287&amp;c=444444", "offset 0")</f>
        <v>offset 0</v>
      </c>
    </row>
    <row r="5928" customFormat="false" ht="12.8" hidden="false" customHeight="false" outlineLevel="0" collapsed="false">
      <c r="A5928" s="0" t="s">
        <v>12</v>
      </c>
      <c r="B5928" s="0" t="n">
        <v>1652948</v>
      </c>
      <c r="C5928" s="0" t="n">
        <v>1652968</v>
      </c>
      <c r="D5928" s="0" t="s">
        <v>19835</v>
      </c>
      <c r="E5928" s="0" t="s">
        <v>19836</v>
      </c>
      <c r="F5928" s="0" t="s">
        <v>15</v>
      </c>
      <c r="G5928" s="0" t="s">
        <v>36</v>
      </c>
      <c r="H5928" s="0" t="n">
        <v>107</v>
      </c>
      <c r="I5928" s="0" t="s">
        <v>19840</v>
      </c>
      <c r="J5928" s="0" t="s">
        <v>19841</v>
      </c>
      <c r="K5928" s="0" t="s">
        <v>19842</v>
      </c>
      <c r="L5928" s="0" t="str">
        <f aca="false">HYPERLINK("https://www.ncbi.nlm.nih.gov/nuccore/CP000304.1?report=graph&amp;tracks=[key:gene_model_track,Options:GeneOnly]&amp;mk=1652842:1652861|offset_0|444444,1652949:1652968|offset_107|00cc00,1653025:1653044|offset_183|444444,1653068:1653087|offset_226|444444&amp;v=1652641:1653287&amp;c=444444", "offset 107")</f>
        <v>offset 107</v>
      </c>
    </row>
    <row r="5929" customFormat="false" ht="12.8" hidden="false" customHeight="false" outlineLevel="0" collapsed="false">
      <c r="A5929" s="0" t="s">
        <v>12</v>
      </c>
      <c r="B5929" s="0" t="n">
        <v>1653024</v>
      </c>
      <c r="C5929" s="0" t="n">
        <v>1653044</v>
      </c>
      <c r="D5929" s="0" t="s">
        <v>19835</v>
      </c>
      <c r="E5929" s="0" t="s">
        <v>19836</v>
      </c>
      <c r="F5929" s="0" t="s">
        <v>15</v>
      </c>
      <c r="G5929" s="0" t="s">
        <v>26</v>
      </c>
      <c r="H5929" s="0" t="n">
        <v>183</v>
      </c>
      <c r="I5929" s="0" t="s">
        <v>19843</v>
      </c>
      <c r="J5929" s="0" t="s">
        <v>19844</v>
      </c>
      <c r="K5929" s="0" t="s">
        <v>19845</v>
      </c>
      <c r="L5929" s="0" t="str">
        <f aca="false">HYPERLINK("https://www.ncbi.nlm.nih.gov/nuccore/CP000304.1?report=graph&amp;tracks=[key:gene_model_track,Options:GeneOnly]&amp;mk=1652842:1652861|offset_0|444444,1652949:1652968|offset_107|444444,1653025:1653044|offset_183|00cc00,1653068:1653087|offset_226|444444&amp;v=1652641:1653287&amp;c=444444", "offset 183")</f>
        <v>offset 183</v>
      </c>
    </row>
    <row r="5930" customFormat="false" ht="12.8" hidden="false" customHeight="false" outlineLevel="0" collapsed="false">
      <c r="A5930" s="0" t="s">
        <v>12</v>
      </c>
      <c r="B5930" s="0" t="n">
        <v>1653067</v>
      </c>
      <c r="C5930" s="0" t="n">
        <v>1653087</v>
      </c>
      <c r="D5930" s="0" t="s">
        <v>19835</v>
      </c>
      <c r="E5930" s="0" t="s">
        <v>19836</v>
      </c>
      <c r="F5930" s="0" t="s">
        <v>15</v>
      </c>
      <c r="G5930" s="0" t="s">
        <v>16</v>
      </c>
      <c r="H5930" s="0" t="n">
        <v>226</v>
      </c>
      <c r="I5930" s="0" t="s">
        <v>19846</v>
      </c>
      <c r="J5930" s="0" t="s">
        <v>19847</v>
      </c>
      <c r="K5930" s="0" t="s">
        <v>19848</v>
      </c>
      <c r="L5930" s="0" t="str">
        <f aca="false">HYPERLINK("https://www.ncbi.nlm.nih.gov/nuccore/CP000304.1?report=graph&amp;tracks=[key:gene_model_track,Options:GeneOnly]&amp;mk=1652842:1652861|offset_0|444444,1652949:1652968|offset_107|444444,1653025:1653044|offset_183|444444,1653068:1653087|offset_226|00cc00&amp;v=1652641:1653287&amp;c=444444", "offset 226")</f>
        <v>offset 226</v>
      </c>
    </row>
    <row r="5931" customFormat="false" ht="12.8" hidden="false" customHeight="false" outlineLevel="0" collapsed="false">
      <c r="A5931" s="0" t="s">
        <v>12</v>
      </c>
      <c r="B5931" s="0" t="n">
        <v>1653831</v>
      </c>
      <c r="C5931" s="0" t="n">
        <v>1653851</v>
      </c>
      <c r="D5931" s="0" t="s">
        <v>19849</v>
      </c>
      <c r="E5931" s="0" t="s">
        <v>19850</v>
      </c>
      <c r="F5931" s="0" t="s">
        <v>15</v>
      </c>
      <c r="G5931" s="0" t="s">
        <v>32</v>
      </c>
      <c r="H5931" s="0" t="n">
        <v>16</v>
      </c>
      <c r="I5931" s="0" t="s">
        <v>19851</v>
      </c>
      <c r="J5931" s="0" t="s">
        <v>19852</v>
      </c>
      <c r="K5931" s="0" t="s">
        <v>19853</v>
      </c>
      <c r="L5931" s="0" t="str">
        <f aca="false">HYPERLINK("https://www.ncbi.nlm.nih.gov/nuccore/CP000304.1?report=graph&amp;tracks=[key:gene_model_track,Options:GeneOnly]&amp;mk=1653832:1653851|offset_16|00cc00,1653859:1653878|offset_43|444444,1653884:1653903|offset_68|444444,1653931:1653950|offset_115|444444&amp;v=1653631:1654150&amp;c=444444", "offset 16")</f>
        <v>offset 16</v>
      </c>
    </row>
    <row r="5932" customFormat="false" ht="12.8" hidden="false" customHeight="false" outlineLevel="0" collapsed="false">
      <c r="A5932" s="0" t="s">
        <v>12</v>
      </c>
      <c r="B5932" s="0" t="n">
        <v>1653858</v>
      </c>
      <c r="C5932" s="0" t="n">
        <v>1653878</v>
      </c>
      <c r="D5932" s="0" t="s">
        <v>19849</v>
      </c>
      <c r="E5932" s="0" t="s">
        <v>19850</v>
      </c>
      <c r="F5932" s="0" t="s">
        <v>15</v>
      </c>
      <c r="G5932" s="0" t="s">
        <v>16</v>
      </c>
      <c r="H5932" s="0" t="n">
        <v>43</v>
      </c>
      <c r="I5932" s="0" t="s">
        <v>19854</v>
      </c>
      <c r="J5932" s="0" t="s">
        <v>19855</v>
      </c>
      <c r="K5932" s="0" t="s">
        <v>19856</v>
      </c>
      <c r="L5932" s="0" t="str">
        <f aca="false">HYPERLINK("https://www.ncbi.nlm.nih.gov/nuccore/CP000304.1?report=graph&amp;tracks=[key:gene_model_track,Options:GeneOnly]&amp;mk=1653832:1653851|offset_16|444444,1653859:1653878|offset_43|00cc00,1653884:1653903|offset_68|444444,1653931:1653950|offset_115|444444&amp;v=1653631:1654150&amp;c=444444", "offset 43")</f>
        <v>offset 43</v>
      </c>
    </row>
    <row r="5933" customFormat="false" ht="12.8" hidden="false" customHeight="false" outlineLevel="0" collapsed="false">
      <c r="A5933" s="0" t="s">
        <v>12</v>
      </c>
      <c r="B5933" s="0" t="n">
        <v>1653883</v>
      </c>
      <c r="C5933" s="0" t="n">
        <v>1653903</v>
      </c>
      <c r="D5933" s="0" t="s">
        <v>19849</v>
      </c>
      <c r="E5933" s="0" t="s">
        <v>19850</v>
      </c>
      <c r="F5933" s="0" t="s">
        <v>15</v>
      </c>
      <c r="G5933" s="0" t="s">
        <v>26</v>
      </c>
      <c r="H5933" s="0" t="n">
        <v>68</v>
      </c>
      <c r="I5933" s="0" t="s">
        <v>19857</v>
      </c>
      <c r="J5933" s="0" t="s">
        <v>19858</v>
      </c>
      <c r="K5933" s="0" t="s">
        <v>19859</v>
      </c>
      <c r="L5933" s="0" t="str">
        <f aca="false">HYPERLINK("https://www.ncbi.nlm.nih.gov/nuccore/CP000304.1?report=graph&amp;tracks=[key:gene_model_track,Options:GeneOnly]&amp;mk=1653832:1653851|offset_16|444444,1653859:1653878|offset_43|444444,1653884:1653903|offset_68|00cc00,1653931:1653950|offset_115|444444&amp;v=1653631:1654150&amp;c=444444", "offset 68")</f>
        <v>offset 68</v>
      </c>
    </row>
    <row r="5934" customFormat="false" ht="12.8" hidden="false" customHeight="false" outlineLevel="0" collapsed="false">
      <c r="A5934" s="0" t="s">
        <v>12</v>
      </c>
      <c r="B5934" s="0" t="n">
        <v>1653930</v>
      </c>
      <c r="C5934" s="0" t="n">
        <v>1653950</v>
      </c>
      <c r="D5934" s="0" t="s">
        <v>19849</v>
      </c>
      <c r="E5934" s="0" t="s">
        <v>19850</v>
      </c>
      <c r="F5934" s="0" t="s">
        <v>15</v>
      </c>
      <c r="G5934" s="0" t="s">
        <v>16</v>
      </c>
      <c r="H5934" s="0" t="n">
        <v>115</v>
      </c>
      <c r="I5934" s="0" t="s">
        <v>19860</v>
      </c>
      <c r="J5934" s="0" t="s">
        <v>19861</v>
      </c>
      <c r="K5934" s="0" t="s">
        <v>19862</v>
      </c>
      <c r="L5934" s="0" t="str">
        <f aca="false">HYPERLINK("https://www.ncbi.nlm.nih.gov/nuccore/CP000304.1?report=graph&amp;tracks=[key:gene_model_track,Options:GeneOnly]&amp;mk=1653832:1653851|offset_16|444444,1653859:1653878|offset_43|444444,1653884:1653903|offset_68|444444,1653931:1653950|offset_115|00cc00&amp;v=1653631:1654150&amp;c=444444", "offset 115")</f>
        <v>offset 115</v>
      </c>
    </row>
    <row r="5935" customFormat="false" ht="12.8" hidden="false" customHeight="false" outlineLevel="0" collapsed="false">
      <c r="A5935" s="0" t="s">
        <v>12</v>
      </c>
      <c r="B5935" s="0" t="n">
        <v>1654504</v>
      </c>
      <c r="C5935" s="0" t="n">
        <v>1654524</v>
      </c>
      <c r="D5935" s="0" t="s">
        <v>19863</v>
      </c>
      <c r="E5935" s="0" t="s">
        <v>19864</v>
      </c>
      <c r="F5935" s="0" t="s">
        <v>15</v>
      </c>
      <c r="G5935" s="0" t="s">
        <v>26</v>
      </c>
      <c r="H5935" s="0" t="n">
        <v>12</v>
      </c>
      <c r="I5935" s="0" t="s">
        <v>19865</v>
      </c>
      <c r="J5935" s="0" t="s">
        <v>19866</v>
      </c>
      <c r="K5935" s="0" t="s">
        <v>19867</v>
      </c>
      <c r="L5935" s="0" t="str">
        <f aca="false">HYPERLINK("https://www.ncbi.nlm.nih.gov/nuccore/CP000304.1?report=graph&amp;tracks=[key:gene_model_track,Options:GeneOnly]&amp;mk=1654505:1654524|offset_12|00cc00,1654533:1654552|offset_40|444444,1654569:1654588|offset_76|444444,1654599:1654618|offset_106|444444&amp;v=1654304:1654818&amp;c=444444", "offset 12")</f>
        <v>offset 12</v>
      </c>
    </row>
    <row r="5936" customFormat="false" ht="12.8" hidden="false" customHeight="false" outlineLevel="0" collapsed="false">
      <c r="A5936" s="0" t="s">
        <v>12</v>
      </c>
      <c r="B5936" s="0" t="n">
        <v>1654532</v>
      </c>
      <c r="C5936" s="0" t="n">
        <v>1654552</v>
      </c>
      <c r="D5936" s="0" t="s">
        <v>19863</v>
      </c>
      <c r="E5936" s="0" t="s">
        <v>19864</v>
      </c>
      <c r="F5936" s="0" t="s">
        <v>15</v>
      </c>
      <c r="G5936" s="0" t="s">
        <v>16</v>
      </c>
      <c r="H5936" s="0" t="n">
        <v>40</v>
      </c>
      <c r="I5936" s="0" t="s">
        <v>19868</v>
      </c>
      <c r="J5936" s="0" t="s">
        <v>19869</v>
      </c>
      <c r="K5936" s="0" t="s">
        <v>19870</v>
      </c>
      <c r="L5936" s="0" t="str">
        <f aca="false">HYPERLINK("https://www.ncbi.nlm.nih.gov/nuccore/CP000304.1?report=graph&amp;tracks=[key:gene_model_track,Options:GeneOnly]&amp;mk=1654505:1654524|offset_12|444444,1654533:1654552|offset_40|00cc00,1654569:1654588|offset_76|444444,1654599:1654618|offset_106|444444&amp;v=1654304:1654818&amp;c=444444", "offset 40")</f>
        <v>offset 40</v>
      </c>
    </row>
    <row r="5937" customFormat="false" ht="12.8" hidden="false" customHeight="false" outlineLevel="0" collapsed="false">
      <c r="A5937" s="0" t="s">
        <v>12</v>
      </c>
      <c r="B5937" s="0" t="n">
        <v>1654568</v>
      </c>
      <c r="C5937" s="0" t="n">
        <v>1654588</v>
      </c>
      <c r="D5937" s="0" t="s">
        <v>19863</v>
      </c>
      <c r="E5937" s="0" t="s">
        <v>19864</v>
      </c>
      <c r="F5937" s="0" t="s">
        <v>15</v>
      </c>
      <c r="G5937" s="0" t="s">
        <v>36</v>
      </c>
      <c r="H5937" s="0" t="n">
        <v>76</v>
      </c>
      <c r="I5937" s="0" t="s">
        <v>19871</v>
      </c>
      <c r="J5937" s="0" t="s">
        <v>19872</v>
      </c>
      <c r="K5937" s="0" t="s">
        <v>19873</v>
      </c>
      <c r="L5937" s="0" t="str">
        <f aca="false">HYPERLINK("https://www.ncbi.nlm.nih.gov/nuccore/CP000304.1?report=graph&amp;tracks=[key:gene_model_track,Options:GeneOnly]&amp;mk=1654505:1654524|offset_12|444444,1654533:1654552|offset_40|444444,1654569:1654588|offset_76|00cc00,1654599:1654618|offset_106|444444&amp;v=1654304:1654818&amp;c=444444", "offset 76")</f>
        <v>offset 76</v>
      </c>
    </row>
    <row r="5938" customFormat="false" ht="12.8" hidden="false" customHeight="false" outlineLevel="0" collapsed="false">
      <c r="A5938" s="0" t="s">
        <v>12</v>
      </c>
      <c r="B5938" s="0" t="n">
        <v>1654598</v>
      </c>
      <c r="C5938" s="0" t="n">
        <v>1654618</v>
      </c>
      <c r="D5938" s="0" t="s">
        <v>19863</v>
      </c>
      <c r="E5938" s="0" t="s">
        <v>19864</v>
      </c>
      <c r="F5938" s="0" t="s">
        <v>15</v>
      </c>
      <c r="G5938" s="0" t="s">
        <v>36</v>
      </c>
      <c r="H5938" s="0" t="n">
        <v>106</v>
      </c>
      <c r="I5938" s="0" t="s">
        <v>19874</v>
      </c>
      <c r="J5938" s="0" t="s">
        <v>19875</v>
      </c>
      <c r="K5938" s="0" t="s">
        <v>19876</v>
      </c>
      <c r="L5938" s="0" t="str">
        <f aca="false">HYPERLINK("https://www.ncbi.nlm.nih.gov/nuccore/CP000304.1?report=graph&amp;tracks=[key:gene_model_track,Options:GeneOnly]&amp;mk=1654505:1654524|offset_12|444444,1654533:1654552|offset_40|444444,1654569:1654588|offset_76|444444,1654599:1654618|offset_106|00cc00&amp;v=1654304:1654818&amp;c=444444", "offset 106")</f>
        <v>offset 106</v>
      </c>
    </row>
    <row r="5939" customFormat="false" ht="12.8" hidden="false" customHeight="false" outlineLevel="0" collapsed="false">
      <c r="A5939" s="0" t="s">
        <v>12</v>
      </c>
      <c r="B5939" s="0" t="n">
        <v>1655774</v>
      </c>
      <c r="C5939" s="0" t="n">
        <v>1655794</v>
      </c>
      <c r="D5939" s="0" t="s">
        <v>19877</v>
      </c>
      <c r="E5939" s="0" t="s">
        <v>89</v>
      </c>
      <c r="F5939" s="0" t="s">
        <v>15</v>
      </c>
      <c r="G5939" s="0" t="s">
        <v>36</v>
      </c>
      <c r="H5939" s="0" t="n">
        <v>31</v>
      </c>
      <c r="I5939" s="0" t="s">
        <v>19878</v>
      </c>
      <c r="J5939" s="0" t="s">
        <v>19879</v>
      </c>
      <c r="K5939" s="0" t="s">
        <v>19880</v>
      </c>
      <c r="L5939" s="0" t="str">
        <f aca="false">HYPERLINK("https://www.ncbi.nlm.nih.gov/nuccore/CP000304.1?report=graph&amp;tracks=[key:gene_model_track,Options:GeneOnly]&amp;mk=1655775:1655794|offset_31|00cc00,1655802:1655821|offset_58|444444,1655882:1655901|offset_138|444444,1655913:1655932|offset_169|444444&amp;v=1655574:1656132&amp;c=444444", "offset 31")</f>
        <v>offset 31</v>
      </c>
    </row>
    <row r="5940" customFormat="false" ht="12.8" hidden="false" customHeight="false" outlineLevel="0" collapsed="false">
      <c r="A5940" s="0" t="s">
        <v>12</v>
      </c>
      <c r="B5940" s="0" t="n">
        <v>1655801</v>
      </c>
      <c r="C5940" s="0" t="n">
        <v>1655821</v>
      </c>
      <c r="D5940" s="0" t="s">
        <v>19877</v>
      </c>
      <c r="E5940" s="0" t="s">
        <v>89</v>
      </c>
      <c r="F5940" s="0" t="s">
        <v>15</v>
      </c>
      <c r="G5940" s="0" t="s">
        <v>26</v>
      </c>
      <c r="H5940" s="0" t="n">
        <v>58</v>
      </c>
      <c r="I5940" s="0" t="s">
        <v>19881</v>
      </c>
      <c r="J5940" s="0" t="s">
        <v>19882</v>
      </c>
      <c r="K5940" s="0" t="s">
        <v>19883</v>
      </c>
      <c r="L5940" s="0" t="str">
        <f aca="false">HYPERLINK("https://www.ncbi.nlm.nih.gov/nuccore/CP000304.1?report=graph&amp;tracks=[key:gene_model_track,Options:GeneOnly]&amp;mk=1655775:1655794|offset_31|444444,1655802:1655821|offset_58|00cc00,1655882:1655901|offset_138|444444,1655913:1655932|offset_169|444444&amp;v=1655574:1656132&amp;c=444444", "offset 58")</f>
        <v>offset 58</v>
      </c>
    </row>
    <row r="5941" customFormat="false" ht="12.8" hidden="false" customHeight="false" outlineLevel="0" collapsed="false">
      <c r="A5941" s="0" t="s">
        <v>12</v>
      </c>
      <c r="B5941" s="0" t="n">
        <v>1655881</v>
      </c>
      <c r="C5941" s="0" t="n">
        <v>1655901</v>
      </c>
      <c r="D5941" s="0" t="s">
        <v>19877</v>
      </c>
      <c r="E5941" s="0" t="s">
        <v>89</v>
      </c>
      <c r="F5941" s="0" t="s">
        <v>15</v>
      </c>
      <c r="G5941" s="0" t="s">
        <v>16</v>
      </c>
      <c r="H5941" s="0" t="n">
        <v>138</v>
      </c>
      <c r="I5941" s="0" t="s">
        <v>19884</v>
      </c>
      <c r="J5941" s="0" t="s">
        <v>19885</v>
      </c>
      <c r="K5941" s="0" t="s">
        <v>19886</v>
      </c>
      <c r="L5941" s="0" t="str">
        <f aca="false">HYPERLINK("https://www.ncbi.nlm.nih.gov/nuccore/CP000304.1?report=graph&amp;tracks=[key:gene_model_track,Options:GeneOnly]&amp;mk=1655775:1655794|offset_31|444444,1655802:1655821|offset_58|444444,1655882:1655901|offset_138|00cc00,1655913:1655932|offset_169|444444&amp;v=1655574:1656132&amp;c=444444", "offset 138")</f>
        <v>offset 138</v>
      </c>
    </row>
    <row r="5942" customFormat="false" ht="12.8" hidden="false" customHeight="false" outlineLevel="0" collapsed="false">
      <c r="A5942" s="0" t="s">
        <v>12</v>
      </c>
      <c r="B5942" s="0" t="n">
        <v>1655912</v>
      </c>
      <c r="C5942" s="0" t="n">
        <v>1655932</v>
      </c>
      <c r="D5942" s="0" t="s">
        <v>19877</v>
      </c>
      <c r="E5942" s="0" t="s">
        <v>89</v>
      </c>
      <c r="F5942" s="0" t="s">
        <v>15</v>
      </c>
      <c r="G5942" s="0" t="s">
        <v>16</v>
      </c>
      <c r="H5942" s="0" t="n">
        <v>169</v>
      </c>
      <c r="I5942" s="0" t="s">
        <v>19887</v>
      </c>
      <c r="J5942" s="0" t="s">
        <v>19888</v>
      </c>
      <c r="K5942" s="0" t="s">
        <v>19889</v>
      </c>
      <c r="L5942" s="0" t="str">
        <f aca="false">HYPERLINK("https://www.ncbi.nlm.nih.gov/nuccore/CP000304.1?report=graph&amp;tracks=[key:gene_model_track,Options:GeneOnly]&amp;mk=1655775:1655794|offset_31|444444,1655802:1655821|offset_58|444444,1655882:1655901|offset_138|444444,1655913:1655932|offset_169|00cc00&amp;v=1655574:1656132&amp;c=444444", "offset 169")</f>
        <v>offset 169</v>
      </c>
    </row>
    <row r="5943" customFormat="false" ht="12.8" hidden="false" customHeight="false" outlineLevel="0" collapsed="false">
      <c r="A5943" s="0" t="s">
        <v>12</v>
      </c>
      <c r="B5943" s="0" t="n">
        <v>1657214</v>
      </c>
      <c r="C5943" s="0" t="n">
        <v>1657234</v>
      </c>
      <c r="D5943" s="0" t="s">
        <v>19890</v>
      </c>
      <c r="E5943" s="0" t="s">
        <v>89</v>
      </c>
      <c r="F5943" s="0" t="s">
        <v>15</v>
      </c>
      <c r="G5943" s="0" t="s">
        <v>16</v>
      </c>
      <c r="H5943" s="0" t="n">
        <v>13</v>
      </c>
      <c r="I5943" s="0" t="s">
        <v>19891</v>
      </c>
      <c r="J5943" s="0" t="s">
        <v>19892</v>
      </c>
      <c r="K5943" s="0" t="s">
        <v>19893</v>
      </c>
      <c r="L5943" s="0" t="str">
        <f aca="false">HYPERLINK("https://www.ncbi.nlm.nih.gov/nuccore/CP000304.1?report=graph&amp;tracks=[key:gene_model_track,Options:GeneOnly]&amp;mk=1657215:1657234|offset_13|00cc00,1657245:1657264|offset_43|444444,1657278:1657297|offset_76|444444,1657304:1657323|offset_102|444444&amp;v=1657014:1657523&amp;c=444444", "offset 13")</f>
        <v>offset 13</v>
      </c>
    </row>
    <row r="5944" customFormat="false" ht="12.8" hidden="false" customHeight="false" outlineLevel="0" collapsed="false">
      <c r="A5944" s="0" t="s">
        <v>12</v>
      </c>
      <c r="B5944" s="0" t="n">
        <v>1657244</v>
      </c>
      <c r="C5944" s="0" t="n">
        <v>1657264</v>
      </c>
      <c r="D5944" s="0" t="s">
        <v>19890</v>
      </c>
      <c r="E5944" s="0" t="s">
        <v>89</v>
      </c>
      <c r="F5944" s="0" t="s">
        <v>15</v>
      </c>
      <c r="G5944" s="0" t="s">
        <v>16</v>
      </c>
      <c r="H5944" s="0" t="n">
        <v>43</v>
      </c>
      <c r="I5944" s="0" t="s">
        <v>19894</v>
      </c>
      <c r="J5944" s="0" t="s">
        <v>19895</v>
      </c>
      <c r="K5944" s="0" t="s">
        <v>19896</v>
      </c>
      <c r="L5944" s="0" t="str">
        <f aca="false">HYPERLINK("https://www.ncbi.nlm.nih.gov/nuccore/CP000304.1?report=graph&amp;tracks=[key:gene_model_track,Options:GeneOnly]&amp;mk=1657215:1657234|offset_13|444444,1657245:1657264|offset_43|00cc00,1657278:1657297|offset_76|444444,1657304:1657323|offset_102|444444&amp;v=1657014:1657523&amp;c=444444", "offset 43")</f>
        <v>offset 43</v>
      </c>
    </row>
    <row r="5945" customFormat="false" ht="12.8" hidden="false" customHeight="false" outlineLevel="0" collapsed="false">
      <c r="A5945" s="0" t="s">
        <v>12</v>
      </c>
      <c r="B5945" s="0" t="n">
        <v>1657277</v>
      </c>
      <c r="C5945" s="0" t="n">
        <v>1657297</v>
      </c>
      <c r="D5945" s="0" t="s">
        <v>19890</v>
      </c>
      <c r="E5945" s="0" t="s">
        <v>89</v>
      </c>
      <c r="F5945" s="0" t="s">
        <v>15</v>
      </c>
      <c r="G5945" s="0" t="s">
        <v>16</v>
      </c>
      <c r="H5945" s="0" t="n">
        <v>76</v>
      </c>
      <c r="I5945" s="0" t="s">
        <v>19897</v>
      </c>
      <c r="J5945" s="0" t="s">
        <v>19898</v>
      </c>
      <c r="K5945" s="0" t="s">
        <v>19899</v>
      </c>
      <c r="L5945" s="0" t="str">
        <f aca="false">HYPERLINK("https://www.ncbi.nlm.nih.gov/nuccore/CP000304.1?report=graph&amp;tracks=[key:gene_model_track,Options:GeneOnly]&amp;mk=1657215:1657234|offset_13|444444,1657245:1657264|offset_43|444444,1657278:1657297|offset_76|00cc00,1657304:1657323|offset_102|444444&amp;v=1657014:1657523&amp;c=444444", "offset 76")</f>
        <v>offset 76</v>
      </c>
    </row>
    <row r="5946" customFormat="false" ht="12.8" hidden="false" customHeight="false" outlineLevel="0" collapsed="false">
      <c r="A5946" s="0" t="s">
        <v>12</v>
      </c>
      <c r="B5946" s="0" t="n">
        <v>1657303</v>
      </c>
      <c r="C5946" s="0" t="n">
        <v>1657323</v>
      </c>
      <c r="D5946" s="0" t="s">
        <v>19890</v>
      </c>
      <c r="E5946" s="0" t="s">
        <v>89</v>
      </c>
      <c r="F5946" s="0" t="s">
        <v>15</v>
      </c>
      <c r="G5946" s="0" t="s">
        <v>16</v>
      </c>
      <c r="H5946" s="0" t="n">
        <v>102</v>
      </c>
      <c r="I5946" s="0" t="s">
        <v>19900</v>
      </c>
      <c r="J5946" s="0" t="s">
        <v>19901</v>
      </c>
      <c r="K5946" s="0" t="s">
        <v>19902</v>
      </c>
      <c r="L5946" s="0" t="str">
        <f aca="false">HYPERLINK("https://www.ncbi.nlm.nih.gov/nuccore/CP000304.1?report=graph&amp;tracks=[key:gene_model_track,Options:GeneOnly]&amp;mk=1657215:1657234|offset_13|444444,1657245:1657264|offset_43|444444,1657278:1657297|offset_76|444444,1657304:1657323|offset_102|00cc00&amp;v=1657014:1657523&amp;c=444444", "offset 102")</f>
        <v>offset 102</v>
      </c>
    </row>
    <row r="5947" customFormat="false" ht="12.8" hidden="false" customHeight="false" outlineLevel="0" collapsed="false">
      <c r="A5947" s="0" t="s">
        <v>12</v>
      </c>
      <c r="B5947" s="0" t="n">
        <v>1659530</v>
      </c>
      <c r="C5947" s="0" t="n">
        <v>1659550</v>
      </c>
      <c r="D5947" s="0" t="s">
        <v>19903</v>
      </c>
      <c r="E5947" s="0" t="s">
        <v>19904</v>
      </c>
      <c r="F5947" s="0" t="s">
        <v>15</v>
      </c>
      <c r="G5947" s="0" t="s">
        <v>32</v>
      </c>
      <c r="H5947" s="0" t="n">
        <v>1</v>
      </c>
      <c r="I5947" s="0" t="s">
        <v>19905</v>
      </c>
      <c r="J5947" s="0" t="s">
        <v>19906</v>
      </c>
      <c r="K5947" s="0" t="s">
        <v>19907</v>
      </c>
      <c r="L5947" s="0" t="str">
        <f aca="false">HYPERLINK("https://www.ncbi.nlm.nih.gov/nuccore/CP000304.1?report=graph&amp;tracks=[key:gene_model_track,Options:GeneOnly]&amp;mk=1659531:1659550|offset_1|00cc00,1659567:1659586|offset_37|444444,1659620:1659639|offset_90|444444,1659645:1659664|offset_115|444444&amp;v=1659330:1659864&amp;c=444444", "offset 1")</f>
        <v>offset 1</v>
      </c>
    </row>
    <row r="5948" customFormat="false" ht="12.8" hidden="false" customHeight="false" outlineLevel="0" collapsed="false">
      <c r="A5948" s="0" t="s">
        <v>12</v>
      </c>
      <c r="B5948" s="0" t="n">
        <v>1659566</v>
      </c>
      <c r="C5948" s="0" t="n">
        <v>1659586</v>
      </c>
      <c r="D5948" s="0" t="s">
        <v>19903</v>
      </c>
      <c r="E5948" s="0" t="s">
        <v>19904</v>
      </c>
      <c r="F5948" s="0" t="s">
        <v>15</v>
      </c>
      <c r="G5948" s="0" t="s">
        <v>16</v>
      </c>
      <c r="H5948" s="0" t="n">
        <v>37</v>
      </c>
      <c r="I5948" s="0" t="s">
        <v>19908</v>
      </c>
      <c r="J5948" s="0" t="s">
        <v>19909</v>
      </c>
      <c r="K5948" s="0" t="s">
        <v>19910</v>
      </c>
      <c r="L5948" s="0" t="str">
        <f aca="false">HYPERLINK("https://www.ncbi.nlm.nih.gov/nuccore/CP000304.1?report=graph&amp;tracks=[key:gene_model_track,Options:GeneOnly]&amp;mk=1659531:1659550|offset_1|444444,1659567:1659586|offset_37|00cc00,1659620:1659639|offset_90|444444,1659645:1659664|offset_115|444444&amp;v=1659330:1659864&amp;c=444444", "offset 37")</f>
        <v>offset 37</v>
      </c>
    </row>
    <row r="5949" customFormat="false" ht="12.8" hidden="false" customHeight="false" outlineLevel="0" collapsed="false">
      <c r="A5949" s="0" t="s">
        <v>12</v>
      </c>
      <c r="B5949" s="0" t="n">
        <v>1659619</v>
      </c>
      <c r="C5949" s="0" t="n">
        <v>1659639</v>
      </c>
      <c r="D5949" s="0" t="s">
        <v>19903</v>
      </c>
      <c r="E5949" s="0" t="s">
        <v>19904</v>
      </c>
      <c r="F5949" s="0" t="s">
        <v>15</v>
      </c>
      <c r="G5949" s="0" t="s">
        <v>36</v>
      </c>
      <c r="H5949" s="0" t="n">
        <v>90</v>
      </c>
      <c r="I5949" s="0" t="s">
        <v>19911</v>
      </c>
      <c r="J5949" s="0" t="s">
        <v>19912</v>
      </c>
      <c r="K5949" s="0" t="s">
        <v>19913</v>
      </c>
      <c r="L5949" s="0" t="str">
        <f aca="false">HYPERLINK("https://www.ncbi.nlm.nih.gov/nuccore/CP000304.1?report=graph&amp;tracks=[key:gene_model_track,Options:GeneOnly]&amp;mk=1659531:1659550|offset_1|444444,1659567:1659586|offset_37|444444,1659620:1659639|offset_90|00cc00,1659645:1659664|offset_115|444444&amp;v=1659330:1659864&amp;c=444444", "offset 90")</f>
        <v>offset 90</v>
      </c>
    </row>
    <row r="5950" customFormat="false" ht="12.8" hidden="false" customHeight="false" outlineLevel="0" collapsed="false">
      <c r="A5950" s="0" t="s">
        <v>12</v>
      </c>
      <c r="B5950" s="0" t="n">
        <v>1659644</v>
      </c>
      <c r="C5950" s="0" t="n">
        <v>1659664</v>
      </c>
      <c r="D5950" s="0" t="s">
        <v>19903</v>
      </c>
      <c r="E5950" s="0" t="s">
        <v>19904</v>
      </c>
      <c r="F5950" s="0" t="s">
        <v>15</v>
      </c>
      <c r="G5950" s="0" t="s">
        <v>16</v>
      </c>
      <c r="H5950" s="0" t="n">
        <v>115</v>
      </c>
      <c r="I5950" s="0" t="s">
        <v>19914</v>
      </c>
      <c r="J5950" s="0" t="s">
        <v>19915</v>
      </c>
      <c r="K5950" s="0" t="s">
        <v>19916</v>
      </c>
      <c r="L5950" s="0" t="str">
        <f aca="false">HYPERLINK("https://www.ncbi.nlm.nih.gov/nuccore/CP000304.1?report=graph&amp;tracks=[key:gene_model_track,Options:GeneOnly]&amp;mk=1659531:1659550|offset_1|444444,1659567:1659586|offset_37|444444,1659620:1659639|offset_90|444444,1659645:1659664|offset_115|00cc00&amp;v=1659330:1659864&amp;c=444444", "offset 115")</f>
        <v>offset 115</v>
      </c>
    </row>
    <row r="5951" customFormat="false" ht="12.8" hidden="false" customHeight="false" outlineLevel="0" collapsed="false">
      <c r="A5951" s="0" t="s">
        <v>12</v>
      </c>
      <c r="B5951" s="0" t="n">
        <v>1660107</v>
      </c>
      <c r="C5951" s="0" t="n">
        <v>1660127</v>
      </c>
      <c r="D5951" s="0" t="s">
        <v>19917</v>
      </c>
      <c r="E5951" s="0" t="s">
        <v>19918</v>
      </c>
      <c r="F5951" s="0" t="s">
        <v>15</v>
      </c>
      <c r="G5951" s="0" t="s">
        <v>16</v>
      </c>
      <c r="H5951" s="0" t="n">
        <v>25</v>
      </c>
      <c r="I5951" s="0" t="s">
        <v>19919</v>
      </c>
      <c r="J5951" s="0" t="s">
        <v>19920</v>
      </c>
      <c r="K5951" s="0" t="s">
        <v>19921</v>
      </c>
      <c r="L5951" s="0" t="str">
        <f aca="false">HYPERLINK("https://www.ncbi.nlm.nih.gov/nuccore/CP000304.1?report=graph&amp;tracks=[key:gene_model_track,Options:GeneOnly]&amp;mk=1660108:1660127|offset_25|00cc00,1660141:1660160|offset_58|444444,1660165:1660184|offset_82|444444,1660185:1660204|offset_102|444444&amp;v=1659907:1660404&amp;c=444444", "offset 25")</f>
        <v>offset 25</v>
      </c>
    </row>
    <row r="5952" customFormat="false" ht="12.8" hidden="false" customHeight="false" outlineLevel="0" collapsed="false">
      <c r="A5952" s="0" t="s">
        <v>12</v>
      </c>
      <c r="B5952" s="0" t="n">
        <v>1660140</v>
      </c>
      <c r="C5952" s="0" t="n">
        <v>1660160</v>
      </c>
      <c r="D5952" s="0" t="s">
        <v>19917</v>
      </c>
      <c r="E5952" s="0" t="s">
        <v>19918</v>
      </c>
      <c r="F5952" s="0" t="s">
        <v>15</v>
      </c>
      <c r="G5952" s="0" t="s">
        <v>16</v>
      </c>
      <c r="H5952" s="0" t="n">
        <v>58</v>
      </c>
      <c r="I5952" s="0" t="s">
        <v>19922</v>
      </c>
      <c r="J5952" s="0" t="s">
        <v>19923</v>
      </c>
      <c r="K5952" s="0" t="s">
        <v>19924</v>
      </c>
      <c r="L5952" s="0" t="str">
        <f aca="false">HYPERLINK("https://www.ncbi.nlm.nih.gov/nuccore/CP000304.1?report=graph&amp;tracks=[key:gene_model_track,Options:GeneOnly]&amp;mk=1660108:1660127|offset_25|444444,1660141:1660160|offset_58|00cc00,1660165:1660184|offset_82|444444,1660185:1660204|offset_102|444444&amp;v=1659907:1660404&amp;c=444444", "offset 58")</f>
        <v>offset 58</v>
      </c>
    </row>
    <row r="5953" customFormat="false" ht="12.8" hidden="false" customHeight="false" outlineLevel="0" collapsed="false">
      <c r="A5953" s="0" t="s">
        <v>12</v>
      </c>
      <c r="B5953" s="0" t="n">
        <v>1660164</v>
      </c>
      <c r="C5953" s="0" t="n">
        <v>1660184</v>
      </c>
      <c r="D5953" s="0" t="s">
        <v>19917</v>
      </c>
      <c r="E5953" s="0" t="s">
        <v>19918</v>
      </c>
      <c r="F5953" s="0" t="s">
        <v>15</v>
      </c>
      <c r="G5953" s="0" t="s">
        <v>32</v>
      </c>
      <c r="H5953" s="0" t="n">
        <v>82</v>
      </c>
      <c r="I5953" s="0" t="s">
        <v>19925</v>
      </c>
      <c r="J5953" s="0" t="s">
        <v>19926</v>
      </c>
      <c r="K5953" s="0" t="s">
        <v>19927</v>
      </c>
      <c r="L5953" s="0" t="str">
        <f aca="false">HYPERLINK("https://www.ncbi.nlm.nih.gov/nuccore/CP000304.1?report=graph&amp;tracks=[key:gene_model_track,Options:GeneOnly]&amp;mk=1660108:1660127|offset_25|444444,1660141:1660160|offset_58|444444,1660165:1660184|offset_82|00cc00,1660185:1660204|offset_102|444444&amp;v=1659907:1660404&amp;c=444444", "offset 82")</f>
        <v>offset 82</v>
      </c>
    </row>
    <row r="5954" customFormat="false" ht="12.8" hidden="false" customHeight="false" outlineLevel="0" collapsed="false">
      <c r="A5954" s="0" t="s">
        <v>12</v>
      </c>
      <c r="B5954" s="0" t="n">
        <v>1660184</v>
      </c>
      <c r="C5954" s="0" t="n">
        <v>1660204</v>
      </c>
      <c r="D5954" s="0" t="s">
        <v>19917</v>
      </c>
      <c r="E5954" s="0" t="s">
        <v>19918</v>
      </c>
      <c r="F5954" s="0" t="s">
        <v>15</v>
      </c>
      <c r="G5954" s="0" t="s">
        <v>16</v>
      </c>
      <c r="H5954" s="0" t="n">
        <v>102</v>
      </c>
      <c r="I5954" s="0" t="s">
        <v>19928</v>
      </c>
      <c r="J5954" s="0" t="s">
        <v>19929</v>
      </c>
      <c r="K5954" s="0" t="s">
        <v>19930</v>
      </c>
      <c r="L5954" s="0" t="str">
        <f aca="false">HYPERLINK("https://www.ncbi.nlm.nih.gov/nuccore/CP000304.1?report=graph&amp;tracks=[key:gene_model_track,Options:GeneOnly]&amp;mk=1660108:1660127|offset_25|444444,1660141:1660160|offset_58|444444,1660165:1660184|offset_82|444444,1660185:1660204|offset_102|00cc00&amp;v=1659907:1660404&amp;c=444444", "offset 102")</f>
        <v>offset 102</v>
      </c>
    </row>
    <row r="5955" customFormat="false" ht="12.8" hidden="false" customHeight="false" outlineLevel="0" collapsed="false">
      <c r="A5955" s="0" t="s">
        <v>12</v>
      </c>
      <c r="B5955" s="0" t="n">
        <v>1661266</v>
      </c>
      <c r="C5955" s="0" t="n">
        <v>1661286</v>
      </c>
      <c r="D5955" s="0" t="s">
        <v>19931</v>
      </c>
      <c r="E5955" s="0" t="s">
        <v>19932</v>
      </c>
      <c r="F5955" s="0" t="s">
        <v>15</v>
      </c>
      <c r="G5955" s="0" t="s">
        <v>26</v>
      </c>
      <c r="H5955" s="0" t="n">
        <v>33</v>
      </c>
      <c r="I5955" s="0" t="s">
        <v>19933</v>
      </c>
      <c r="J5955" s="0" t="s">
        <v>19934</v>
      </c>
      <c r="K5955" s="0" t="s">
        <v>19935</v>
      </c>
      <c r="L5955" s="0" t="str">
        <f aca="false">HYPERLINK("https://www.ncbi.nlm.nih.gov/nuccore/CP000304.1?report=graph&amp;tracks=[key:gene_model_track,Options:GeneOnly]&amp;mk=1661267:1661286|offset_33|00cc00,1661322:1661341|offset_88|444444,1661352:1661371|offset_118|444444,1661383:1661402|offset_149|444444&amp;v=1661066:1661602&amp;c=444444", "offset 33")</f>
        <v>offset 33</v>
      </c>
    </row>
    <row r="5956" customFormat="false" ht="12.8" hidden="false" customHeight="false" outlineLevel="0" collapsed="false">
      <c r="A5956" s="0" t="s">
        <v>12</v>
      </c>
      <c r="B5956" s="0" t="n">
        <v>1661321</v>
      </c>
      <c r="C5956" s="0" t="n">
        <v>1661341</v>
      </c>
      <c r="D5956" s="0" t="s">
        <v>19931</v>
      </c>
      <c r="E5956" s="0" t="s">
        <v>19932</v>
      </c>
      <c r="F5956" s="0" t="s">
        <v>15</v>
      </c>
      <c r="G5956" s="0" t="s">
        <v>32</v>
      </c>
      <c r="H5956" s="0" t="n">
        <v>88</v>
      </c>
      <c r="I5956" s="0" t="s">
        <v>19936</v>
      </c>
      <c r="J5956" s="0" t="s">
        <v>19937</v>
      </c>
      <c r="K5956" s="0" t="s">
        <v>19938</v>
      </c>
      <c r="L5956" s="0" t="str">
        <f aca="false">HYPERLINK("https://www.ncbi.nlm.nih.gov/nuccore/CP000304.1?report=graph&amp;tracks=[key:gene_model_track,Options:GeneOnly]&amp;mk=1661267:1661286|offset_33|444444,1661322:1661341|offset_88|00cc00,1661352:1661371|offset_118|444444,1661383:1661402|offset_149|444444&amp;v=1661066:1661602&amp;c=444444", "offset 88")</f>
        <v>offset 88</v>
      </c>
    </row>
    <row r="5957" customFormat="false" ht="12.8" hidden="false" customHeight="false" outlineLevel="0" collapsed="false">
      <c r="A5957" s="0" t="s">
        <v>12</v>
      </c>
      <c r="B5957" s="0" t="n">
        <v>1661351</v>
      </c>
      <c r="C5957" s="0" t="n">
        <v>1661371</v>
      </c>
      <c r="D5957" s="0" t="s">
        <v>19931</v>
      </c>
      <c r="E5957" s="0" t="s">
        <v>19932</v>
      </c>
      <c r="F5957" s="0" t="s">
        <v>15</v>
      </c>
      <c r="G5957" s="0" t="s">
        <v>32</v>
      </c>
      <c r="H5957" s="0" t="n">
        <v>118</v>
      </c>
      <c r="I5957" s="0" t="s">
        <v>19939</v>
      </c>
      <c r="J5957" s="0" t="s">
        <v>19940</v>
      </c>
      <c r="K5957" s="0" t="s">
        <v>19941</v>
      </c>
      <c r="L5957" s="0" t="str">
        <f aca="false">HYPERLINK("https://www.ncbi.nlm.nih.gov/nuccore/CP000304.1?report=graph&amp;tracks=[key:gene_model_track,Options:GeneOnly]&amp;mk=1661267:1661286|offset_33|444444,1661322:1661341|offset_88|444444,1661352:1661371|offset_118|00cc00,1661383:1661402|offset_149|444444&amp;v=1661066:1661602&amp;c=444444", "offset 118")</f>
        <v>offset 118</v>
      </c>
    </row>
    <row r="5958" customFormat="false" ht="12.8" hidden="false" customHeight="false" outlineLevel="0" collapsed="false">
      <c r="A5958" s="0" t="s">
        <v>12</v>
      </c>
      <c r="B5958" s="0" t="n">
        <v>1661382</v>
      </c>
      <c r="C5958" s="0" t="n">
        <v>1661402</v>
      </c>
      <c r="D5958" s="0" t="s">
        <v>19931</v>
      </c>
      <c r="E5958" s="0" t="s">
        <v>19932</v>
      </c>
      <c r="F5958" s="0" t="s">
        <v>15</v>
      </c>
      <c r="G5958" s="0" t="s">
        <v>36</v>
      </c>
      <c r="H5958" s="0" t="n">
        <v>149</v>
      </c>
      <c r="I5958" s="0" t="s">
        <v>19942</v>
      </c>
      <c r="J5958" s="0" t="s">
        <v>19943</v>
      </c>
      <c r="K5958" s="0" t="s">
        <v>19944</v>
      </c>
      <c r="L5958" s="0" t="str">
        <f aca="false">HYPERLINK("https://www.ncbi.nlm.nih.gov/nuccore/CP000304.1?report=graph&amp;tracks=[key:gene_model_track,Options:GeneOnly]&amp;mk=1661267:1661286|offset_33|444444,1661322:1661341|offset_88|444444,1661352:1661371|offset_118|444444,1661383:1661402|offset_149|00cc00&amp;v=1661066:1661602&amp;c=444444", "offset 149")</f>
        <v>offset 149</v>
      </c>
    </row>
    <row r="5959" customFormat="false" ht="12.8" hidden="false" customHeight="false" outlineLevel="0" collapsed="false">
      <c r="A5959" s="0" t="s">
        <v>12</v>
      </c>
      <c r="B5959" s="0" t="n">
        <v>1661684</v>
      </c>
      <c r="C5959" s="0" t="n">
        <v>1661704</v>
      </c>
      <c r="D5959" s="0" t="s">
        <v>19945</v>
      </c>
      <c r="E5959" s="0" t="s">
        <v>19946</v>
      </c>
      <c r="F5959" s="0" t="s">
        <v>15</v>
      </c>
      <c r="G5959" s="0" t="s">
        <v>36</v>
      </c>
      <c r="H5959" s="0" t="n">
        <v>17</v>
      </c>
      <c r="I5959" s="0" t="s">
        <v>19947</v>
      </c>
      <c r="J5959" s="0" t="s">
        <v>19948</v>
      </c>
      <c r="K5959" s="0" t="s">
        <v>19949</v>
      </c>
      <c r="L5959" s="0" t="str">
        <f aca="false">HYPERLINK("https://www.ncbi.nlm.nih.gov/nuccore/CP000304.1?report=graph&amp;tracks=[key:gene_model_track,Options:GeneOnly]&amp;mk=1661685:1661704|offset_17|00cc00,1661730:1661749|offset_62|444444,1661758:1661777|offset_90|444444,1661815:1661834|offset_147|444444&amp;v=1661484:1662034&amp;c=444444", "offset 17")</f>
        <v>offset 17</v>
      </c>
    </row>
    <row r="5960" customFormat="false" ht="12.8" hidden="false" customHeight="false" outlineLevel="0" collapsed="false">
      <c r="A5960" s="0" t="s">
        <v>12</v>
      </c>
      <c r="B5960" s="0" t="n">
        <v>1661729</v>
      </c>
      <c r="C5960" s="0" t="n">
        <v>1661749</v>
      </c>
      <c r="D5960" s="0" t="s">
        <v>19945</v>
      </c>
      <c r="E5960" s="0" t="s">
        <v>19946</v>
      </c>
      <c r="F5960" s="0" t="s">
        <v>15</v>
      </c>
      <c r="G5960" s="0" t="s">
        <v>32</v>
      </c>
      <c r="H5960" s="0" t="n">
        <v>62</v>
      </c>
      <c r="I5960" s="0" t="s">
        <v>19950</v>
      </c>
      <c r="J5960" s="0" t="s">
        <v>19951</v>
      </c>
      <c r="K5960" s="0" t="s">
        <v>19952</v>
      </c>
      <c r="L5960" s="0" t="str">
        <f aca="false">HYPERLINK("https://www.ncbi.nlm.nih.gov/nuccore/CP000304.1?report=graph&amp;tracks=[key:gene_model_track,Options:GeneOnly]&amp;mk=1661685:1661704|offset_17|444444,1661730:1661749|offset_62|00cc00,1661758:1661777|offset_90|444444,1661815:1661834|offset_147|444444&amp;v=1661484:1662034&amp;c=444444", "offset 62")</f>
        <v>offset 62</v>
      </c>
    </row>
    <row r="5961" customFormat="false" ht="12.8" hidden="false" customHeight="false" outlineLevel="0" collapsed="false">
      <c r="A5961" s="0" t="s">
        <v>12</v>
      </c>
      <c r="B5961" s="0" t="n">
        <v>1661757</v>
      </c>
      <c r="C5961" s="0" t="n">
        <v>1661777</v>
      </c>
      <c r="D5961" s="0" t="s">
        <v>19945</v>
      </c>
      <c r="E5961" s="0" t="s">
        <v>19946</v>
      </c>
      <c r="F5961" s="0" t="s">
        <v>15</v>
      </c>
      <c r="G5961" s="0" t="s">
        <v>16</v>
      </c>
      <c r="H5961" s="0" t="n">
        <v>90</v>
      </c>
      <c r="I5961" s="0" t="s">
        <v>19953</v>
      </c>
      <c r="J5961" s="0" t="s">
        <v>19954</v>
      </c>
      <c r="K5961" s="0" t="s">
        <v>19955</v>
      </c>
      <c r="L5961" s="0" t="str">
        <f aca="false">HYPERLINK("https://www.ncbi.nlm.nih.gov/nuccore/CP000304.1?report=graph&amp;tracks=[key:gene_model_track,Options:GeneOnly]&amp;mk=1661685:1661704|offset_17|444444,1661730:1661749|offset_62|444444,1661758:1661777|offset_90|00cc00,1661815:1661834|offset_147|444444&amp;v=1661484:1662034&amp;c=444444", "offset 90")</f>
        <v>offset 90</v>
      </c>
    </row>
    <row r="5962" customFormat="false" ht="12.8" hidden="false" customHeight="false" outlineLevel="0" collapsed="false">
      <c r="A5962" s="0" t="s">
        <v>12</v>
      </c>
      <c r="B5962" s="0" t="n">
        <v>1661814</v>
      </c>
      <c r="C5962" s="0" t="n">
        <v>1661834</v>
      </c>
      <c r="D5962" s="0" t="s">
        <v>19945</v>
      </c>
      <c r="E5962" s="0" t="s">
        <v>19946</v>
      </c>
      <c r="F5962" s="0" t="s">
        <v>15</v>
      </c>
      <c r="G5962" s="0" t="s">
        <v>16</v>
      </c>
      <c r="H5962" s="0" t="n">
        <v>147</v>
      </c>
      <c r="I5962" s="0" t="s">
        <v>19956</v>
      </c>
      <c r="J5962" s="0" t="s">
        <v>19957</v>
      </c>
      <c r="K5962" s="0" t="s">
        <v>19958</v>
      </c>
      <c r="L5962" s="0" t="str">
        <f aca="false">HYPERLINK("https://www.ncbi.nlm.nih.gov/nuccore/CP000304.1?report=graph&amp;tracks=[key:gene_model_track,Options:GeneOnly]&amp;mk=1661685:1661704|offset_17|444444,1661730:1661749|offset_62|444444,1661758:1661777|offset_90|444444,1661815:1661834|offset_147|00cc00&amp;v=1661484:1662034&amp;c=444444", "offset 147")</f>
        <v>offset 147</v>
      </c>
    </row>
    <row r="5963" customFormat="false" ht="12.8" hidden="false" customHeight="false" outlineLevel="0" collapsed="false">
      <c r="A5963" s="0" t="s">
        <v>12</v>
      </c>
      <c r="B5963" s="0" t="n">
        <v>1662584</v>
      </c>
      <c r="C5963" s="0" t="n">
        <v>1662604</v>
      </c>
      <c r="D5963" s="0" t="s">
        <v>19959</v>
      </c>
      <c r="E5963" s="0" t="s">
        <v>19960</v>
      </c>
      <c r="F5963" s="0" t="s">
        <v>15</v>
      </c>
      <c r="G5963" s="0" t="s">
        <v>16</v>
      </c>
      <c r="H5963" s="0" t="n">
        <v>10</v>
      </c>
      <c r="I5963" s="0" t="s">
        <v>19961</v>
      </c>
      <c r="J5963" s="0" t="s">
        <v>19962</v>
      </c>
      <c r="K5963" s="0" t="s">
        <v>19963</v>
      </c>
      <c r="L5963" s="0" t="str">
        <f aca="false">HYPERLINK("https://www.ncbi.nlm.nih.gov/nuccore/CP000304.1?report=graph&amp;tracks=[key:gene_model_track,Options:GeneOnly]&amp;mk=1662585:1662604|offset_10|00cc00,1662607:1662626|offset_32|444444,1662676:1662695|offset_101|444444,1662703:1662722|offset_128|444444&amp;v=1662384:1662922&amp;c=444444", "offset 10")</f>
        <v>offset 10</v>
      </c>
    </row>
    <row r="5964" customFormat="false" ht="12.8" hidden="false" customHeight="false" outlineLevel="0" collapsed="false">
      <c r="A5964" s="0" t="s">
        <v>12</v>
      </c>
      <c r="B5964" s="0" t="n">
        <v>1662606</v>
      </c>
      <c r="C5964" s="0" t="n">
        <v>1662626</v>
      </c>
      <c r="D5964" s="0" t="s">
        <v>19959</v>
      </c>
      <c r="E5964" s="0" t="s">
        <v>19960</v>
      </c>
      <c r="F5964" s="0" t="s">
        <v>15</v>
      </c>
      <c r="G5964" s="0" t="s">
        <v>36</v>
      </c>
      <c r="H5964" s="0" t="n">
        <v>32</v>
      </c>
      <c r="I5964" s="0" t="s">
        <v>19964</v>
      </c>
      <c r="J5964" s="0" t="s">
        <v>19965</v>
      </c>
      <c r="K5964" s="0" t="s">
        <v>19966</v>
      </c>
      <c r="L5964" s="0" t="str">
        <f aca="false">HYPERLINK("https://www.ncbi.nlm.nih.gov/nuccore/CP000304.1?report=graph&amp;tracks=[key:gene_model_track,Options:GeneOnly]&amp;mk=1662585:1662604|offset_10|444444,1662607:1662626|offset_32|00cc00,1662676:1662695|offset_101|444444,1662703:1662722|offset_128|444444&amp;v=1662384:1662922&amp;c=444444", "offset 32")</f>
        <v>offset 32</v>
      </c>
    </row>
    <row r="5965" customFormat="false" ht="12.8" hidden="false" customHeight="false" outlineLevel="0" collapsed="false">
      <c r="A5965" s="0" t="s">
        <v>12</v>
      </c>
      <c r="B5965" s="0" t="n">
        <v>1662675</v>
      </c>
      <c r="C5965" s="0" t="n">
        <v>1662695</v>
      </c>
      <c r="D5965" s="0" t="s">
        <v>19959</v>
      </c>
      <c r="E5965" s="0" t="s">
        <v>19960</v>
      </c>
      <c r="F5965" s="0" t="s">
        <v>15</v>
      </c>
      <c r="G5965" s="0" t="s">
        <v>16</v>
      </c>
      <c r="H5965" s="0" t="n">
        <v>101</v>
      </c>
      <c r="I5965" s="0" t="s">
        <v>19967</v>
      </c>
      <c r="J5965" s="0" t="s">
        <v>19968</v>
      </c>
      <c r="K5965" s="0" t="s">
        <v>19969</v>
      </c>
      <c r="L5965" s="0" t="str">
        <f aca="false">HYPERLINK("https://www.ncbi.nlm.nih.gov/nuccore/CP000304.1?report=graph&amp;tracks=[key:gene_model_track,Options:GeneOnly]&amp;mk=1662585:1662604|offset_10|444444,1662607:1662626|offset_32|444444,1662676:1662695|offset_101|00cc00,1662703:1662722|offset_128|444444&amp;v=1662384:1662922&amp;c=444444", "offset 101")</f>
        <v>offset 101</v>
      </c>
    </row>
    <row r="5966" customFormat="false" ht="12.8" hidden="false" customHeight="false" outlineLevel="0" collapsed="false">
      <c r="A5966" s="0" t="s">
        <v>12</v>
      </c>
      <c r="B5966" s="0" t="n">
        <v>1662702</v>
      </c>
      <c r="C5966" s="0" t="n">
        <v>1662722</v>
      </c>
      <c r="D5966" s="0" t="s">
        <v>19959</v>
      </c>
      <c r="E5966" s="0" t="s">
        <v>19960</v>
      </c>
      <c r="F5966" s="0" t="s">
        <v>15</v>
      </c>
      <c r="G5966" s="0" t="s">
        <v>32</v>
      </c>
      <c r="H5966" s="0" t="n">
        <v>128</v>
      </c>
      <c r="I5966" s="0" t="s">
        <v>19970</v>
      </c>
      <c r="J5966" s="0" t="s">
        <v>19971</v>
      </c>
      <c r="K5966" s="0" t="s">
        <v>19972</v>
      </c>
      <c r="L5966" s="0" t="str">
        <f aca="false">HYPERLINK("https://www.ncbi.nlm.nih.gov/nuccore/CP000304.1?report=graph&amp;tracks=[key:gene_model_track,Options:GeneOnly]&amp;mk=1662585:1662604|offset_10|444444,1662607:1662626|offset_32|444444,1662676:1662695|offset_101|444444,1662703:1662722|offset_128|00cc00&amp;v=1662384:1662922&amp;c=444444", "offset 128")</f>
        <v>offset 128</v>
      </c>
    </row>
    <row r="5967" customFormat="false" ht="12.8" hidden="false" customHeight="false" outlineLevel="0" collapsed="false">
      <c r="A5967" s="0" t="s">
        <v>12</v>
      </c>
      <c r="B5967" s="0" t="n">
        <v>1663650</v>
      </c>
      <c r="C5967" s="0" t="n">
        <v>1663670</v>
      </c>
      <c r="D5967" s="0" t="s">
        <v>19973</v>
      </c>
      <c r="E5967" s="0" t="s">
        <v>19974</v>
      </c>
      <c r="F5967" s="0" t="s">
        <v>15</v>
      </c>
      <c r="G5967" s="0" t="s">
        <v>16</v>
      </c>
      <c r="H5967" s="0" t="n">
        <v>72</v>
      </c>
      <c r="I5967" s="0" t="s">
        <v>19975</v>
      </c>
      <c r="J5967" s="0" t="s">
        <v>19976</v>
      </c>
      <c r="K5967" s="0" t="s">
        <v>19977</v>
      </c>
      <c r="L5967" s="0" t="str">
        <f aca="false">HYPERLINK("https://www.ncbi.nlm.nih.gov/nuccore/CP000304.1?report=graph&amp;tracks=[key:gene_model_track,Options:GeneOnly]&amp;mk=1663651:1663670|offset_72|00cc00,1663679:1663698|offset_100|444444,1663702:1663721|offset_123|444444,1663736:1663755|offset_157|444444&amp;v=1663450:1663955&amp;c=444444", "offset 72")</f>
        <v>offset 72</v>
      </c>
    </row>
    <row r="5968" customFormat="false" ht="12.8" hidden="false" customHeight="false" outlineLevel="0" collapsed="false">
      <c r="A5968" s="0" t="s">
        <v>12</v>
      </c>
      <c r="B5968" s="0" t="n">
        <v>1663678</v>
      </c>
      <c r="C5968" s="0" t="n">
        <v>1663698</v>
      </c>
      <c r="D5968" s="0" t="s">
        <v>19973</v>
      </c>
      <c r="E5968" s="0" t="s">
        <v>19974</v>
      </c>
      <c r="F5968" s="0" t="s">
        <v>15</v>
      </c>
      <c r="G5968" s="0" t="s">
        <v>16</v>
      </c>
      <c r="H5968" s="0" t="n">
        <v>100</v>
      </c>
      <c r="I5968" s="0" t="s">
        <v>19978</v>
      </c>
      <c r="J5968" s="0" t="s">
        <v>19979</v>
      </c>
      <c r="K5968" s="0" t="s">
        <v>19980</v>
      </c>
      <c r="L5968" s="0" t="str">
        <f aca="false">HYPERLINK("https://www.ncbi.nlm.nih.gov/nuccore/CP000304.1?report=graph&amp;tracks=[key:gene_model_track,Options:GeneOnly]&amp;mk=1663651:1663670|offset_72|444444,1663679:1663698|offset_100|00cc00,1663702:1663721|offset_123|444444,1663736:1663755|offset_157|444444&amp;v=1663450:1663955&amp;c=444444", "offset 100")</f>
        <v>offset 100</v>
      </c>
    </row>
    <row r="5969" customFormat="false" ht="12.8" hidden="false" customHeight="false" outlineLevel="0" collapsed="false">
      <c r="A5969" s="0" t="s">
        <v>12</v>
      </c>
      <c r="B5969" s="0" t="n">
        <v>1663701</v>
      </c>
      <c r="C5969" s="0" t="n">
        <v>1663721</v>
      </c>
      <c r="D5969" s="0" t="s">
        <v>19973</v>
      </c>
      <c r="E5969" s="0" t="s">
        <v>19974</v>
      </c>
      <c r="F5969" s="0" t="s">
        <v>15</v>
      </c>
      <c r="G5969" s="0" t="s">
        <v>16</v>
      </c>
      <c r="H5969" s="0" t="n">
        <v>123</v>
      </c>
      <c r="I5969" s="0" t="s">
        <v>19981</v>
      </c>
      <c r="J5969" s="0" t="s">
        <v>19982</v>
      </c>
      <c r="K5969" s="0" t="s">
        <v>19983</v>
      </c>
      <c r="L5969" s="0" t="str">
        <f aca="false">HYPERLINK("https://www.ncbi.nlm.nih.gov/nuccore/CP000304.1?report=graph&amp;tracks=[key:gene_model_track,Options:GeneOnly]&amp;mk=1663651:1663670|offset_72|444444,1663679:1663698|offset_100|444444,1663702:1663721|offset_123|00cc00,1663736:1663755|offset_157|444444&amp;v=1663450:1663955&amp;c=444444", "offset 123")</f>
        <v>offset 123</v>
      </c>
    </row>
    <row r="5970" customFormat="false" ht="12.8" hidden="false" customHeight="false" outlineLevel="0" collapsed="false">
      <c r="A5970" s="0" t="s">
        <v>12</v>
      </c>
      <c r="B5970" s="0" t="n">
        <v>1663735</v>
      </c>
      <c r="C5970" s="0" t="n">
        <v>1663755</v>
      </c>
      <c r="D5970" s="0" t="s">
        <v>19973</v>
      </c>
      <c r="E5970" s="0" t="s">
        <v>19974</v>
      </c>
      <c r="F5970" s="0" t="s">
        <v>15</v>
      </c>
      <c r="G5970" s="0" t="s">
        <v>16</v>
      </c>
      <c r="H5970" s="0" t="n">
        <v>157</v>
      </c>
      <c r="I5970" s="0" t="s">
        <v>19984</v>
      </c>
      <c r="J5970" s="0" t="s">
        <v>19985</v>
      </c>
      <c r="K5970" s="0" t="s">
        <v>19986</v>
      </c>
      <c r="L5970" s="0" t="str">
        <f aca="false">HYPERLINK("https://www.ncbi.nlm.nih.gov/nuccore/CP000304.1?report=graph&amp;tracks=[key:gene_model_track,Options:GeneOnly]&amp;mk=1663651:1663670|offset_72|444444,1663679:1663698|offset_100|444444,1663702:1663721|offset_123|444444,1663736:1663755|offset_157|00cc00&amp;v=1663450:1663955&amp;c=444444", "offset 157")</f>
        <v>offset 157</v>
      </c>
    </row>
    <row r="5971" customFormat="false" ht="12.8" hidden="false" customHeight="false" outlineLevel="0" collapsed="false">
      <c r="A5971" s="0" t="s">
        <v>12</v>
      </c>
      <c r="B5971" s="0" t="n">
        <v>1664555</v>
      </c>
      <c r="C5971" s="0" t="n">
        <v>1664575</v>
      </c>
      <c r="D5971" s="0" t="s">
        <v>19987</v>
      </c>
      <c r="E5971" s="0" t="s">
        <v>19988</v>
      </c>
      <c r="F5971" s="0" t="s">
        <v>15</v>
      </c>
      <c r="G5971" s="0" t="s">
        <v>16</v>
      </c>
      <c r="H5971" s="0" t="n">
        <v>52</v>
      </c>
      <c r="I5971" s="0" t="s">
        <v>19989</v>
      </c>
      <c r="J5971" s="0" t="s">
        <v>19990</v>
      </c>
      <c r="K5971" s="0" t="s">
        <v>19991</v>
      </c>
      <c r="L5971" s="0" t="str">
        <f aca="false">HYPERLINK("https://www.ncbi.nlm.nih.gov/nuccore/CP000304.1?report=graph&amp;tracks=[key:gene_model_track,Options:GeneOnly]&amp;mk=1664556:1664575|offset_52|00cc00,1664580:1664599|offset_76|444444,1664615:1664634|offset_111|444444,1664647:1664666|offset_143|444444&amp;v=1664355:1664866&amp;c=444444", "offset 52")</f>
        <v>offset 52</v>
      </c>
    </row>
    <row r="5972" customFormat="false" ht="12.8" hidden="false" customHeight="false" outlineLevel="0" collapsed="false">
      <c r="A5972" s="0" t="s">
        <v>12</v>
      </c>
      <c r="B5972" s="0" t="n">
        <v>1664579</v>
      </c>
      <c r="C5972" s="0" t="n">
        <v>1664599</v>
      </c>
      <c r="D5972" s="0" t="s">
        <v>19987</v>
      </c>
      <c r="E5972" s="0" t="s">
        <v>19988</v>
      </c>
      <c r="F5972" s="0" t="s">
        <v>15</v>
      </c>
      <c r="G5972" s="0" t="s">
        <v>16</v>
      </c>
      <c r="H5972" s="0" t="n">
        <v>76</v>
      </c>
      <c r="I5972" s="0" t="s">
        <v>19992</v>
      </c>
      <c r="J5972" s="0" t="s">
        <v>19993</v>
      </c>
      <c r="K5972" s="0" t="s">
        <v>19994</v>
      </c>
      <c r="L5972" s="0" t="str">
        <f aca="false">HYPERLINK("https://www.ncbi.nlm.nih.gov/nuccore/CP000304.1?report=graph&amp;tracks=[key:gene_model_track,Options:GeneOnly]&amp;mk=1664556:1664575|offset_52|444444,1664580:1664599|offset_76|00cc00,1664615:1664634|offset_111|444444,1664647:1664666|offset_143|444444&amp;v=1664355:1664866&amp;c=444444", "offset 76")</f>
        <v>offset 76</v>
      </c>
    </row>
    <row r="5973" customFormat="false" ht="12.8" hidden="false" customHeight="false" outlineLevel="0" collapsed="false">
      <c r="A5973" s="0" t="s">
        <v>12</v>
      </c>
      <c r="B5973" s="0" t="n">
        <v>1664614</v>
      </c>
      <c r="C5973" s="0" t="n">
        <v>1664634</v>
      </c>
      <c r="D5973" s="0" t="s">
        <v>19987</v>
      </c>
      <c r="E5973" s="0" t="s">
        <v>19988</v>
      </c>
      <c r="F5973" s="0" t="s">
        <v>15</v>
      </c>
      <c r="G5973" s="0" t="s">
        <v>26</v>
      </c>
      <c r="H5973" s="0" t="n">
        <v>111</v>
      </c>
      <c r="I5973" s="0" t="s">
        <v>19995</v>
      </c>
      <c r="J5973" s="0" t="s">
        <v>19996</v>
      </c>
      <c r="K5973" s="0" t="s">
        <v>19997</v>
      </c>
      <c r="L5973" s="0" t="str">
        <f aca="false">HYPERLINK("https://www.ncbi.nlm.nih.gov/nuccore/CP000304.1?report=graph&amp;tracks=[key:gene_model_track,Options:GeneOnly]&amp;mk=1664556:1664575|offset_52|444444,1664580:1664599|offset_76|444444,1664615:1664634|offset_111|00cc00,1664647:1664666|offset_143|444444&amp;v=1664355:1664866&amp;c=444444", "offset 111")</f>
        <v>offset 111</v>
      </c>
    </row>
    <row r="5974" customFormat="false" ht="12.8" hidden="false" customHeight="false" outlineLevel="0" collapsed="false">
      <c r="A5974" s="0" t="s">
        <v>12</v>
      </c>
      <c r="B5974" s="0" t="n">
        <v>1664646</v>
      </c>
      <c r="C5974" s="0" t="n">
        <v>1664666</v>
      </c>
      <c r="D5974" s="0" t="s">
        <v>19987</v>
      </c>
      <c r="E5974" s="0" t="s">
        <v>19988</v>
      </c>
      <c r="F5974" s="0" t="s">
        <v>15</v>
      </c>
      <c r="G5974" s="0" t="s">
        <v>36</v>
      </c>
      <c r="H5974" s="0" t="n">
        <v>143</v>
      </c>
      <c r="I5974" s="0" t="s">
        <v>19998</v>
      </c>
      <c r="J5974" s="0" t="s">
        <v>19999</v>
      </c>
      <c r="K5974" s="0" t="s">
        <v>20000</v>
      </c>
      <c r="L5974" s="0" t="str">
        <f aca="false">HYPERLINK("https://www.ncbi.nlm.nih.gov/nuccore/CP000304.1?report=graph&amp;tracks=[key:gene_model_track,Options:GeneOnly]&amp;mk=1664556:1664575|offset_52|444444,1664580:1664599|offset_76|444444,1664615:1664634|offset_111|444444,1664647:1664666|offset_143|00cc00&amp;v=1664355:1664866&amp;c=444444", "offset 143")</f>
        <v>offset 143</v>
      </c>
    </row>
    <row r="5975" customFormat="false" ht="12.8" hidden="false" customHeight="false" outlineLevel="0" collapsed="false">
      <c r="A5975" s="0" t="s">
        <v>12</v>
      </c>
      <c r="B5975" s="0" t="n">
        <v>1668083</v>
      </c>
      <c r="C5975" s="0" t="n">
        <v>1668103</v>
      </c>
      <c r="D5975" s="0" t="s">
        <v>20001</v>
      </c>
      <c r="E5975" s="0" t="s">
        <v>20002</v>
      </c>
      <c r="F5975" s="0" t="s">
        <v>15</v>
      </c>
      <c r="G5975" s="0" t="s">
        <v>26</v>
      </c>
      <c r="H5975" s="0" t="n">
        <v>0</v>
      </c>
      <c r="I5975" s="0" t="s">
        <v>20003</v>
      </c>
      <c r="J5975" s="0" t="s">
        <v>20004</v>
      </c>
      <c r="K5975" s="0" t="s">
        <v>20005</v>
      </c>
      <c r="L5975" s="0" t="str">
        <f aca="false">HYPERLINK("https://www.ncbi.nlm.nih.gov/nuccore/CP000304.1?report=graph&amp;tracks=[key:gene_model_track,Options:GeneOnly]&amp;mk=1668084:1668103|offset_0|00cc00,1668124:1668143|offset_40|444444,1668155:1668174|offset_71|444444,1668199:1668218|offset_115|444444&amp;v=1667883:1668418&amp;c=444444", "offset 0")</f>
        <v>offset 0</v>
      </c>
    </row>
    <row r="5976" customFormat="false" ht="12.8" hidden="false" customHeight="false" outlineLevel="0" collapsed="false">
      <c r="A5976" s="0" t="s">
        <v>12</v>
      </c>
      <c r="B5976" s="0" t="n">
        <v>1668123</v>
      </c>
      <c r="C5976" s="0" t="n">
        <v>1668143</v>
      </c>
      <c r="D5976" s="0" t="s">
        <v>20001</v>
      </c>
      <c r="E5976" s="0" t="s">
        <v>20002</v>
      </c>
      <c r="F5976" s="0" t="s">
        <v>15</v>
      </c>
      <c r="G5976" s="0" t="s">
        <v>16</v>
      </c>
      <c r="H5976" s="0" t="n">
        <v>40</v>
      </c>
      <c r="I5976" s="0" t="s">
        <v>20006</v>
      </c>
      <c r="J5976" s="0" t="s">
        <v>20007</v>
      </c>
      <c r="K5976" s="0" t="s">
        <v>20008</v>
      </c>
      <c r="L5976" s="0" t="str">
        <f aca="false">HYPERLINK("https://www.ncbi.nlm.nih.gov/nuccore/CP000304.1?report=graph&amp;tracks=[key:gene_model_track,Options:GeneOnly]&amp;mk=1668084:1668103|offset_0|444444,1668124:1668143|offset_40|00cc00,1668155:1668174|offset_71|444444,1668199:1668218|offset_115|444444&amp;v=1667883:1668418&amp;c=444444", "offset 40")</f>
        <v>offset 40</v>
      </c>
    </row>
    <row r="5977" customFormat="false" ht="12.8" hidden="false" customHeight="false" outlineLevel="0" collapsed="false">
      <c r="A5977" s="0" t="s">
        <v>12</v>
      </c>
      <c r="B5977" s="0" t="n">
        <v>1668154</v>
      </c>
      <c r="C5977" s="0" t="n">
        <v>1668174</v>
      </c>
      <c r="D5977" s="0" t="s">
        <v>20001</v>
      </c>
      <c r="E5977" s="0" t="s">
        <v>20002</v>
      </c>
      <c r="F5977" s="0" t="s">
        <v>15</v>
      </c>
      <c r="G5977" s="0" t="s">
        <v>26</v>
      </c>
      <c r="H5977" s="0" t="n">
        <v>71</v>
      </c>
      <c r="I5977" s="0" t="s">
        <v>20009</v>
      </c>
      <c r="J5977" s="0" t="s">
        <v>20010</v>
      </c>
      <c r="K5977" s="0" t="s">
        <v>20011</v>
      </c>
      <c r="L5977" s="0" t="str">
        <f aca="false">HYPERLINK("https://www.ncbi.nlm.nih.gov/nuccore/CP000304.1?report=graph&amp;tracks=[key:gene_model_track,Options:GeneOnly]&amp;mk=1668084:1668103|offset_0|444444,1668124:1668143|offset_40|444444,1668155:1668174|offset_71|00cc00,1668199:1668218|offset_115|444444&amp;v=1667883:1668418&amp;c=444444", "offset 71")</f>
        <v>offset 71</v>
      </c>
    </row>
    <row r="5978" customFormat="false" ht="12.8" hidden="false" customHeight="false" outlineLevel="0" collapsed="false">
      <c r="A5978" s="0" t="s">
        <v>12</v>
      </c>
      <c r="B5978" s="0" t="n">
        <v>1668198</v>
      </c>
      <c r="C5978" s="0" t="n">
        <v>1668218</v>
      </c>
      <c r="D5978" s="0" t="s">
        <v>20001</v>
      </c>
      <c r="E5978" s="0" t="s">
        <v>20002</v>
      </c>
      <c r="F5978" s="0" t="s">
        <v>15</v>
      </c>
      <c r="G5978" s="0" t="s">
        <v>36</v>
      </c>
      <c r="H5978" s="0" t="n">
        <v>115</v>
      </c>
      <c r="I5978" s="0" t="s">
        <v>20012</v>
      </c>
      <c r="J5978" s="0" t="s">
        <v>20013</v>
      </c>
      <c r="K5978" s="0" t="s">
        <v>20014</v>
      </c>
      <c r="L5978" s="0" t="str">
        <f aca="false">HYPERLINK("https://www.ncbi.nlm.nih.gov/nuccore/CP000304.1?report=graph&amp;tracks=[key:gene_model_track,Options:GeneOnly]&amp;mk=1668084:1668103|offset_0|444444,1668124:1668143|offset_40|444444,1668155:1668174|offset_71|444444,1668199:1668218|offset_115|00cc00&amp;v=1667883:1668418&amp;c=444444", "offset 115")</f>
        <v>offset 115</v>
      </c>
    </row>
    <row r="5979" customFormat="false" ht="12.8" hidden="false" customHeight="false" outlineLevel="0" collapsed="false">
      <c r="A5979" s="0" t="s">
        <v>12</v>
      </c>
      <c r="B5979" s="0" t="n">
        <v>1669300</v>
      </c>
      <c r="C5979" s="0" t="n">
        <v>1669320</v>
      </c>
      <c r="D5979" s="0" t="s">
        <v>20015</v>
      </c>
      <c r="E5979" s="0" t="s">
        <v>89</v>
      </c>
      <c r="F5979" s="0" t="s">
        <v>15</v>
      </c>
      <c r="G5979" s="0" t="s">
        <v>16</v>
      </c>
      <c r="H5979" s="0" t="n">
        <v>0</v>
      </c>
      <c r="I5979" s="0" t="s">
        <v>20016</v>
      </c>
      <c r="J5979" s="0" t="s">
        <v>20017</v>
      </c>
      <c r="K5979" s="0" t="s">
        <v>20018</v>
      </c>
      <c r="L5979" s="0" t="str">
        <f aca="false">HYPERLINK("https://www.ncbi.nlm.nih.gov/nuccore/CP000304.1?report=graph&amp;tracks=[key:gene_model_track,Options:GeneOnly]&amp;mk=1669301:1669320|offset_0|00cc00,1669333:1669352|offset_32|444444,1669358:1669377|offset_57|444444,1669384:1669403|offset_83|444444&amp;v=1669100:1669603&amp;c=444444", "offset 0")</f>
        <v>offset 0</v>
      </c>
    </row>
    <row r="5980" customFormat="false" ht="12.8" hidden="false" customHeight="false" outlineLevel="0" collapsed="false">
      <c r="A5980" s="0" t="s">
        <v>12</v>
      </c>
      <c r="B5980" s="0" t="n">
        <v>1669332</v>
      </c>
      <c r="C5980" s="0" t="n">
        <v>1669352</v>
      </c>
      <c r="D5980" s="0" t="s">
        <v>20015</v>
      </c>
      <c r="E5980" s="0" t="s">
        <v>89</v>
      </c>
      <c r="F5980" s="0" t="s">
        <v>15</v>
      </c>
      <c r="G5980" s="0" t="s">
        <v>26</v>
      </c>
      <c r="H5980" s="0" t="n">
        <v>32</v>
      </c>
      <c r="I5980" s="0" t="s">
        <v>20019</v>
      </c>
      <c r="J5980" s="0" t="s">
        <v>20020</v>
      </c>
      <c r="K5980" s="0" t="s">
        <v>20021</v>
      </c>
      <c r="L5980" s="0" t="str">
        <f aca="false">HYPERLINK("https://www.ncbi.nlm.nih.gov/nuccore/CP000304.1?report=graph&amp;tracks=[key:gene_model_track,Options:GeneOnly]&amp;mk=1669301:1669320|offset_0|444444,1669333:1669352|offset_32|00cc00,1669358:1669377|offset_57|444444,1669384:1669403|offset_83|444444&amp;v=1669100:1669603&amp;c=444444", "offset 32")</f>
        <v>offset 32</v>
      </c>
    </row>
    <row r="5981" customFormat="false" ht="12.8" hidden="false" customHeight="false" outlineLevel="0" collapsed="false">
      <c r="A5981" s="0" t="s">
        <v>12</v>
      </c>
      <c r="B5981" s="0" t="n">
        <v>1669357</v>
      </c>
      <c r="C5981" s="0" t="n">
        <v>1669377</v>
      </c>
      <c r="D5981" s="0" t="s">
        <v>20015</v>
      </c>
      <c r="E5981" s="0" t="s">
        <v>89</v>
      </c>
      <c r="F5981" s="0" t="s">
        <v>15</v>
      </c>
      <c r="G5981" s="0" t="s">
        <v>16</v>
      </c>
      <c r="H5981" s="0" t="n">
        <v>57</v>
      </c>
      <c r="I5981" s="0" t="s">
        <v>20022</v>
      </c>
      <c r="J5981" s="0" t="s">
        <v>20023</v>
      </c>
      <c r="K5981" s="0" t="s">
        <v>20024</v>
      </c>
      <c r="L5981" s="0" t="str">
        <f aca="false">HYPERLINK("https://www.ncbi.nlm.nih.gov/nuccore/CP000304.1?report=graph&amp;tracks=[key:gene_model_track,Options:GeneOnly]&amp;mk=1669301:1669320|offset_0|444444,1669333:1669352|offset_32|444444,1669358:1669377|offset_57|00cc00,1669384:1669403|offset_83|444444&amp;v=1669100:1669603&amp;c=444444", "offset 57")</f>
        <v>offset 57</v>
      </c>
    </row>
    <row r="5982" customFormat="false" ht="12.8" hidden="false" customHeight="false" outlineLevel="0" collapsed="false">
      <c r="A5982" s="0" t="s">
        <v>12</v>
      </c>
      <c r="B5982" s="0" t="n">
        <v>1669383</v>
      </c>
      <c r="C5982" s="0" t="n">
        <v>1669403</v>
      </c>
      <c r="D5982" s="0" t="s">
        <v>20015</v>
      </c>
      <c r="E5982" s="0" t="s">
        <v>89</v>
      </c>
      <c r="F5982" s="0" t="s">
        <v>15</v>
      </c>
      <c r="G5982" s="0" t="s">
        <v>32</v>
      </c>
      <c r="H5982" s="0" t="n">
        <v>83</v>
      </c>
      <c r="I5982" s="0" t="s">
        <v>20025</v>
      </c>
      <c r="J5982" s="0" t="s">
        <v>20026</v>
      </c>
      <c r="K5982" s="0" t="s">
        <v>20027</v>
      </c>
      <c r="L5982" s="0" t="str">
        <f aca="false">HYPERLINK("https://www.ncbi.nlm.nih.gov/nuccore/CP000304.1?report=graph&amp;tracks=[key:gene_model_track,Options:GeneOnly]&amp;mk=1669301:1669320|offset_0|444444,1669333:1669352|offset_32|444444,1669358:1669377|offset_57|444444,1669384:1669403|offset_83|00cc00&amp;v=1669100:1669603&amp;c=444444", "offset 83")</f>
        <v>offset 83</v>
      </c>
    </row>
    <row r="5983" customFormat="false" ht="12.8" hidden="false" customHeight="false" outlineLevel="0" collapsed="false">
      <c r="A5983" s="0" t="s">
        <v>12</v>
      </c>
      <c r="B5983" s="0" t="n">
        <v>1670677</v>
      </c>
      <c r="C5983" s="0" t="n">
        <v>1670697</v>
      </c>
      <c r="D5983" s="0" t="s">
        <v>20028</v>
      </c>
      <c r="E5983" s="0" t="s">
        <v>20029</v>
      </c>
      <c r="F5983" s="0" t="s">
        <v>15</v>
      </c>
      <c r="G5983" s="0" t="s">
        <v>26</v>
      </c>
      <c r="H5983" s="0" t="n">
        <v>61</v>
      </c>
      <c r="I5983" s="0" t="s">
        <v>20030</v>
      </c>
      <c r="J5983" s="0" t="s">
        <v>20031</v>
      </c>
      <c r="K5983" s="0" t="s">
        <v>20032</v>
      </c>
      <c r="L5983" s="0" t="str">
        <f aca="false">HYPERLINK("https://www.ncbi.nlm.nih.gov/nuccore/CP000304.1?report=graph&amp;tracks=[key:gene_model_track,Options:GeneOnly]&amp;mk=1670678:1670697|offset_61|00cc00,1670700:1670719|offset_83|444444,1670742:1670761|offset_125|444444,1670768:1670787|offset_151|444444&amp;v=1670477:1670987&amp;c=444444", "offset 61")</f>
        <v>offset 61</v>
      </c>
    </row>
    <row r="5984" customFormat="false" ht="12.8" hidden="false" customHeight="false" outlineLevel="0" collapsed="false">
      <c r="A5984" s="0" t="s">
        <v>12</v>
      </c>
      <c r="B5984" s="0" t="n">
        <v>1670699</v>
      </c>
      <c r="C5984" s="0" t="n">
        <v>1670719</v>
      </c>
      <c r="D5984" s="0" t="s">
        <v>20028</v>
      </c>
      <c r="E5984" s="0" t="s">
        <v>20029</v>
      </c>
      <c r="F5984" s="0" t="s">
        <v>15</v>
      </c>
      <c r="G5984" s="0" t="s">
        <v>26</v>
      </c>
      <c r="H5984" s="0" t="n">
        <v>83</v>
      </c>
      <c r="I5984" s="0" t="s">
        <v>20033</v>
      </c>
      <c r="J5984" s="0" t="s">
        <v>20034</v>
      </c>
      <c r="K5984" s="0" t="s">
        <v>20035</v>
      </c>
      <c r="L5984" s="0" t="str">
        <f aca="false">HYPERLINK("https://www.ncbi.nlm.nih.gov/nuccore/CP000304.1?report=graph&amp;tracks=[key:gene_model_track,Options:GeneOnly]&amp;mk=1670678:1670697|offset_61|444444,1670700:1670719|offset_83|00cc00,1670742:1670761|offset_125|444444,1670768:1670787|offset_151|444444&amp;v=1670477:1670987&amp;c=444444", "offset 83")</f>
        <v>offset 83</v>
      </c>
    </row>
    <row r="5985" customFormat="false" ht="12.8" hidden="false" customHeight="false" outlineLevel="0" collapsed="false">
      <c r="A5985" s="0" t="s">
        <v>12</v>
      </c>
      <c r="B5985" s="0" t="n">
        <v>1670741</v>
      </c>
      <c r="C5985" s="0" t="n">
        <v>1670761</v>
      </c>
      <c r="D5985" s="0" t="s">
        <v>20028</v>
      </c>
      <c r="E5985" s="0" t="s">
        <v>20029</v>
      </c>
      <c r="F5985" s="0" t="s">
        <v>15</v>
      </c>
      <c r="G5985" s="0" t="s">
        <v>36</v>
      </c>
      <c r="H5985" s="0" t="n">
        <v>125</v>
      </c>
      <c r="I5985" s="0" t="s">
        <v>20036</v>
      </c>
      <c r="J5985" s="0" t="s">
        <v>20037</v>
      </c>
      <c r="K5985" s="0" t="s">
        <v>20038</v>
      </c>
      <c r="L5985" s="0" t="str">
        <f aca="false">HYPERLINK("https://www.ncbi.nlm.nih.gov/nuccore/CP000304.1?report=graph&amp;tracks=[key:gene_model_track,Options:GeneOnly]&amp;mk=1670678:1670697|offset_61|444444,1670700:1670719|offset_83|444444,1670742:1670761|offset_125|00cc00,1670768:1670787|offset_151|444444&amp;v=1670477:1670987&amp;c=444444", "offset 125")</f>
        <v>offset 125</v>
      </c>
    </row>
    <row r="5986" customFormat="false" ht="12.8" hidden="false" customHeight="false" outlineLevel="0" collapsed="false">
      <c r="A5986" s="0" t="s">
        <v>12</v>
      </c>
      <c r="B5986" s="0" t="n">
        <v>1670767</v>
      </c>
      <c r="C5986" s="0" t="n">
        <v>1670787</v>
      </c>
      <c r="D5986" s="0" t="s">
        <v>20028</v>
      </c>
      <c r="E5986" s="0" t="s">
        <v>20029</v>
      </c>
      <c r="F5986" s="0" t="s">
        <v>15</v>
      </c>
      <c r="G5986" s="0" t="s">
        <v>32</v>
      </c>
      <c r="H5986" s="0" t="n">
        <v>151</v>
      </c>
      <c r="I5986" s="0" t="s">
        <v>20039</v>
      </c>
      <c r="J5986" s="0" t="s">
        <v>20040</v>
      </c>
      <c r="K5986" s="0" t="s">
        <v>20041</v>
      </c>
      <c r="L5986" s="0" t="str">
        <f aca="false">HYPERLINK("https://www.ncbi.nlm.nih.gov/nuccore/CP000304.1?report=graph&amp;tracks=[key:gene_model_track,Options:GeneOnly]&amp;mk=1670678:1670697|offset_61|444444,1670700:1670719|offset_83|444444,1670742:1670761|offset_125|444444,1670768:1670787|offset_151|00cc00&amp;v=1670477:1670987&amp;c=444444", "offset 151")</f>
        <v>offset 151</v>
      </c>
    </row>
    <row r="5987" customFormat="false" ht="12.8" hidden="false" customHeight="false" outlineLevel="0" collapsed="false">
      <c r="A5987" s="0" t="s">
        <v>12</v>
      </c>
      <c r="B5987" s="0" t="n">
        <v>1672260</v>
      </c>
      <c r="C5987" s="0" t="n">
        <v>1672280</v>
      </c>
      <c r="D5987" s="0" t="s">
        <v>20042</v>
      </c>
      <c r="E5987" s="0" t="s">
        <v>20043</v>
      </c>
      <c r="F5987" s="0" t="s">
        <v>15</v>
      </c>
      <c r="G5987" s="0" t="s">
        <v>32</v>
      </c>
      <c r="H5987" s="0" t="n">
        <v>16</v>
      </c>
      <c r="I5987" s="0" t="s">
        <v>20044</v>
      </c>
      <c r="J5987" s="0" t="s">
        <v>20045</v>
      </c>
      <c r="K5987" s="0" t="s">
        <v>20046</v>
      </c>
      <c r="L5987" s="0" t="str">
        <f aca="false">HYPERLINK("https://www.ncbi.nlm.nih.gov/nuccore/CP000304.1?report=graph&amp;tracks=[key:gene_model_track,Options:GeneOnly]&amp;mk=1672261:1672280|offset_16|00cc00,1672328:1672347|offset_83|444444,1672348:1672367|offset_103|444444,1672381:1672400|offset_136|444444&amp;v=1672060:1672600&amp;c=444444", "offset 16")</f>
        <v>offset 16</v>
      </c>
    </row>
    <row r="5988" customFormat="false" ht="12.8" hidden="false" customHeight="false" outlineLevel="0" collapsed="false">
      <c r="A5988" s="0" t="s">
        <v>12</v>
      </c>
      <c r="B5988" s="0" t="n">
        <v>1672327</v>
      </c>
      <c r="C5988" s="0" t="n">
        <v>1672347</v>
      </c>
      <c r="D5988" s="0" t="s">
        <v>20042</v>
      </c>
      <c r="E5988" s="0" t="s">
        <v>20043</v>
      </c>
      <c r="F5988" s="0" t="s">
        <v>15</v>
      </c>
      <c r="G5988" s="0" t="s">
        <v>26</v>
      </c>
      <c r="H5988" s="0" t="n">
        <v>83</v>
      </c>
      <c r="I5988" s="0" t="s">
        <v>20047</v>
      </c>
      <c r="J5988" s="0" t="s">
        <v>20048</v>
      </c>
      <c r="K5988" s="0" t="s">
        <v>20049</v>
      </c>
      <c r="L5988" s="0" t="str">
        <f aca="false">HYPERLINK("https://www.ncbi.nlm.nih.gov/nuccore/CP000304.1?report=graph&amp;tracks=[key:gene_model_track,Options:GeneOnly]&amp;mk=1672261:1672280|offset_16|444444,1672328:1672347|offset_83|00cc00,1672348:1672367|offset_103|444444,1672381:1672400|offset_136|444444&amp;v=1672060:1672600&amp;c=444444", "offset 83")</f>
        <v>offset 83</v>
      </c>
    </row>
    <row r="5989" customFormat="false" ht="12.8" hidden="false" customHeight="false" outlineLevel="0" collapsed="false">
      <c r="A5989" s="0" t="s">
        <v>12</v>
      </c>
      <c r="B5989" s="0" t="n">
        <v>1672347</v>
      </c>
      <c r="C5989" s="0" t="n">
        <v>1672367</v>
      </c>
      <c r="D5989" s="0" t="s">
        <v>20042</v>
      </c>
      <c r="E5989" s="0" t="s">
        <v>20043</v>
      </c>
      <c r="F5989" s="0" t="s">
        <v>15</v>
      </c>
      <c r="G5989" s="0" t="s">
        <v>32</v>
      </c>
      <c r="H5989" s="0" t="n">
        <v>103</v>
      </c>
      <c r="I5989" s="0" t="s">
        <v>20050</v>
      </c>
      <c r="J5989" s="0" t="s">
        <v>20051</v>
      </c>
      <c r="K5989" s="0" t="s">
        <v>20052</v>
      </c>
      <c r="L5989" s="0" t="str">
        <f aca="false">HYPERLINK("https://www.ncbi.nlm.nih.gov/nuccore/CP000304.1?report=graph&amp;tracks=[key:gene_model_track,Options:GeneOnly]&amp;mk=1672261:1672280|offset_16|444444,1672328:1672347|offset_83|444444,1672348:1672367|offset_103|00cc00,1672381:1672400|offset_136|444444&amp;v=1672060:1672600&amp;c=444444", "offset 103")</f>
        <v>offset 103</v>
      </c>
    </row>
    <row r="5990" customFormat="false" ht="12.8" hidden="false" customHeight="false" outlineLevel="0" collapsed="false">
      <c r="A5990" s="0" t="s">
        <v>12</v>
      </c>
      <c r="B5990" s="0" t="n">
        <v>1672380</v>
      </c>
      <c r="C5990" s="0" t="n">
        <v>1672400</v>
      </c>
      <c r="D5990" s="0" t="s">
        <v>20042</v>
      </c>
      <c r="E5990" s="0" t="s">
        <v>20043</v>
      </c>
      <c r="F5990" s="0" t="s">
        <v>15</v>
      </c>
      <c r="G5990" s="0" t="s">
        <v>16</v>
      </c>
      <c r="H5990" s="0" t="n">
        <v>136</v>
      </c>
      <c r="I5990" s="0" t="s">
        <v>20053</v>
      </c>
      <c r="J5990" s="0" t="s">
        <v>20054</v>
      </c>
      <c r="K5990" s="0" t="s">
        <v>20055</v>
      </c>
      <c r="L5990" s="0" t="str">
        <f aca="false">HYPERLINK("https://www.ncbi.nlm.nih.gov/nuccore/CP000304.1?report=graph&amp;tracks=[key:gene_model_track,Options:GeneOnly]&amp;mk=1672261:1672280|offset_16|444444,1672328:1672347|offset_83|444444,1672348:1672367|offset_103|444444,1672381:1672400|offset_136|00cc00&amp;v=1672060:1672600&amp;c=444444", "offset 136")</f>
        <v>offset 136</v>
      </c>
    </row>
    <row r="5991" customFormat="false" ht="12.8" hidden="false" customHeight="false" outlineLevel="0" collapsed="false">
      <c r="A5991" s="0" t="s">
        <v>12</v>
      </c>
      <c r="B5991" s="0" t="n">
        <v>1673096</v>
      </c>
      <c r="C5991" s="0" t="n">
        <v>1673116</v>
      </c>
      <c r="D5991" s="0" t="s">
        <v>20056</v>
      </c>
      <c r="E5991" s="0" t="s">
        <v>20057</v>
      </c>
      <c r="F5991" s="0" t="s">
        <v>15</v>
      </c>
      <c r="G5991" s="0" t="s">
        <v>26</v>
      </c>
      <c r="H5991" s="0" t="n">
        <v>47</v>
      </c>
      <c r="I5991" s="0" t="s">
        <v>20058</v>
      </c>
      <c r="J5991" s="0" t="s">
        <v>20059</v>
      </c>
      <c r="K5991" s="0" t="s">
        <v>20060</v>
      </c>
      <c r="L5991" s="0" t="str">
        <f aca="false">HYPERLINK("https://www.ncbi.nlm.nih.gov/nuccore/CP000304.1?report=graph&amp;tracks=[key:gene_model_track,Options:GeneOnly]&amp;mk=1673097:1673116|offset_47|00cc00,1673171:1673190|offset_121|444444,1673195:1673214|offset_145|444444,1673231:1673250|offset_181|444444&amp;v=1672896:1673450&amp;c=444444", "offset 47")</f>
        <v>offset 47</v>
      </c>
    </row>
    <row r="5992" customFormat="false" ht="12.8" hidden="false" customHeight="false" outlineLevel="0" collapsed="false">
      <c r="A5992" s="0" t="s">
        <v>12</v>
      </c>
      <c r="B5992" s="0" t="n">
        <v>1673170</v>
      </c>
      <c r="C5992" s="0" t="n">
        <v>1673190</v>
      </c>
      <c r="D5992" s="0" t="s">
        <v>20056</v>
      </c>
      <c r="E5992" s="0" t="s">
        <v>20057</v>
      </c>
      <c r="F5992" s="0" t="s">
        <v>15</v>
      </c>
      <c r="G5992" s="0" t="s">
        <v>36</v>
      </c>
      <c r="H5992" s="0" t="n">
        <v>121</v>
      </c>
      <c r="I5992" s="0" t="s">
        <v>20061</v>
      </c>
      <c r="J5992" s="0" t="s">
        <v>20062</v>
      </c>
      <c r="K5992" s="0" t="s">
        <v>20063</v>
      </c>
      <c r="L5992" s="0" t="str">
        <f aca="false">HYPERLINK("https://www.ncbi.nlm.nih.gov/nuccore/CP000304.1?report=graph&amp;tracks=[key:gene_model_track,Options:GeneOnly]&amp;mk=1673097:1673116|offset_47|444444,1673171:1673190|offset_121|00cc00,1673195:1673214|offset_145|444444,1673231:1673250|offset_181|444444&amp;v=1672896:1673450&amp;c=444444", "offset 121")</f>
        <v>offset 121</v>
      </c>
    </row>
    <row r="5993" customFormat="false" ht="12.8" hidden="false" customHeight="false" outlineLevel="0" collapsed="false">
      <c r="A5993" s="0" t="s">
        <v>12</v>
      </c>
      <c r="B5993" s="0" t="n">
        <v>1673194</v>
      </c>
      <c r="C5993" s="0" t="n">
        <v>1673214</v>
      </c>
      <c r="D5993" s="0" t="s">
        <v>20056</v>
      </c>
      <c r="E5993" s="0" t="s">
        <v>20057</v>
      </c>
      <c r="F5993" s="0" t="s">
        <v>15</v>
      </c>
      <c r="G5993" s="0" t="s">
        <v>16</v>
      </c>
      <c r="H5993" s="0" t="n">
        <v>145</v>
      </c>
      <c r="I5993" s="0" t="s">
        <v>20064</v>
      </c>
      <c r="J5993" s="0" t="s">
        <v>20065</v>
      </c>
      <c r="K5993" s="0" t="s">
        <v>20066</v>
      </c>
      <c r="L5993" s="0" t="str">
        <f aca="false">HYPERLINK("https://www.ncbi.nlm.nih.gov/nuccore/CP000304.1?report=graph&amp;tracks=[key:gene_model_track,Options:GeneOnly]&amp;mk=1673097:1673116|offset_47|444444,1673171:1673190|offset_121|444444,1673195:1673214|offset_145|00cc00,1673231:1673250|offset_181|444444&amp;v=1672896:1673450&amp;c=444444", "offset 145")</f>
        <v>offset 145</v>
      </c>
    </row>
    <row r="5994" customFormat="false" ht="12.8" hidden="false" customHeight="false" outlineLevel="0" collapsed="false">
      <c r="A5994" s="0" t="s">
        <v>12</v>
      </c>
      <c r="B5994" s="0" t="n">
        <v>1673230</v>
      </c>
      <c r="C5994" s="0" t="n">
        <v>1673250</v>
      </c>
      <c r="D5994" s="0" t="s">
        <v>20056</v>
      </c>
      <c r="E5994" s="0" t="s">
        <v>20057</v>
      </c>
      <c r="F5994" s="0" t="s">
        <v>15</v>
      </c>
      <c r="G5994" s="0" t="s">
        <v>26</v>
      </c>
      <c r="H5994" s="0" t="n">
        <v>181</v>
      </c>
      <c r="I5994" s="0" t="s">
        <v>20067</v>
      </c>
      <c r="J5994" s="0" t="s">
        <v>20068</v>
      </c>
      <c r="K5994" s="0" t="s">
        <v>20069</v>
      </c>
      <c r="L5994" s="0" t="str">
        <f aca="false">HYPERLINK("https://www.ncbi.nlm.nih.gov/nuccore/CP000304.1?report=graph&amp;tracks=[key:gene_model_track,Options:GeneOnly]&amp;mk=1673097:1673116|offset_47|444444,1673171:1673190|offset_121|444444,1673195:1673214|offset_145|444444,1673231:1673250|offset_181|00cc00&amp;v=1672896:1673450&amp;c=444444", "offset 181")</f>
        <v>offset 181</v>
      </c>
    </row>
    <row r="5995" customFormat="false" ht="12.8" hidden="false" customHeight="false" outlineLevel="0" collapsed="false">
      <c r="A5995" s="0" t="s">
        <v>12</v>
      </c>
      <c r="B5995" s="0" t="n">
        <v>1674506</v>
      </c>
      <c r="C5995" s="0" t="n">
        <v>1674526</v>
      </c>
      <c r="D5995" s="0" t="s">
        <v>20070</v>
      </c>
      <c r="E5995" s="0" t="s">
        <v>89</v>
      </c>
      <c r="F5995" s="0" t="s">
        <v>15</v>
      </c>
      <c r="G5995" s="0" t="s">
        <v>16</v>
      </c>
      <c r="H5995" s="0" t="n">
        <v>0</v>
      </c>
      <c r="I5995" s="0" t="s">
        <v>20071</v>
      </c>
      <c r="J5995" s="0" t="s">
        <v>20072</v>
      </c>
      <c r="K5995" s="0" t="s">
        <v>20073</v>
      </c>
      <c r="L5995" s="0" t="str">
        <f aca="false">HYPERLINK("https://www.ncbi.nlm.nih.gov/nuccore/CP000304.1?report=graph&amp;tracks=[key:gene_model_track,Options:GeneOnly]&amp;mk=1674507:1674526|offset_0|00cc00,1674536:1674555|offset_29|444444,1674566:1674585|offset_59|444444,1674617:1674636|offset_110|444444&amp;v=1674306:1674836&amp;c=444444", "offset 0")</f>
        <v>offset 0</v>
      </c>
    </row>
    <row r="5996" customFormat="false" ht="12.8" hidden="false" customHeight="false" outlineLevel="0" collapsed="false">
      <c r="A5996" s="0" t="s">
        <v>12</v>
      </c>
      <c r="B5996" s="0" t="n">
        <v>1674535</v>
      </c>
      <c r="C5996" s="0" t="n">
        <v>1674555</v>
      </c>
      <c r="D5996" s="0" t="s">
        <v>20070</v>
      </c>
      <c r="E5996" s="0" t="s">
        <v>89</v>
      </c>
      <c r="F5996" s="0" t="s">
        <v>15</v>
      </c>
      <c r="G5996" s="0" t="s">
        <v>16</v>
      </c>
      <c r="H5996" s="0" t="n">
        <v>29</v>
      </c>
      <c r="I5996" s="0" t="s">
        <v>20074</v>
      </c>
      <c r="J5996" s="0" t="s">
        <v>20075</v>
      </c>
      <c r="K5996" s="0" t="s">
        <v>20076</v>
      </c>
      <c r="L5996" s="0" t="str">
        <f aca="false">HYPERLINK("https://www.ncbi.nlm.nih.gov/nuccore/CP000304.1?report=graph&amp;tracks=[key:gene_model_track,Options:GeneOnly]&amp;mk=1674507:1674526|offset_0|444444,1674536:1674555|offset_29|00cc00,1674566:1674585|offset_59|444444,1674617:1674636|offset_110|444444&amp;v=1674306:1674836&amp;c=444444", "offset 29")</f>
        <v>offset 29</v>
      </c>
    </row>
    <row r="5997" customFormat="false" ht="12.8" hidden="false" customHeight="false" outlineLevel="0" collapsed="false">
      <c r="A5997" s="0" t="s">
        <v>12</v>
      </c>
      <c r="B5997" s="0" t="n">
        <v>1674565</v>
      </c>
      <c r="C5997" s="0" t="n">
        <v>1674585</v>
      </c>
      <c r="D5997" s="0" t="s">
        <v>20070</v>
      </c>
      <c r="E5997" s="0" t="s">
        <v>89</v>
      </c>
      <c r="F5997" s="0" t="s">
        <v>15</v>
      </c>
      <c r="G5997" s="0" t="s">
        <v>36</v>
      </c>
      <c r="H5997" s="0" t="n">
        <v>59</v>
      </c>
      <c r="I5997" s="0" t="s">
        <v>20077</v>
      </c>
      <c r="J5997" s="0" t="s">
        <v>20078</v>
      </c>
      <c r="K5997" s="0" t="s">
        <v>20079</v>
      </c>
      <c r="L5997" s="0" t="str">
        <f aca="false">HYPERLINK("https://www.ncbi.nlm.nih.gov/nuccore/CP000304.1?report=graph&amp;tracks=[key:gene_model_track,Options:GeneOnly]&amp;mk=1674507:1674526|offset_0|444444,1674536:1674555|offset_29|444444,1674566:1674585|offset_59|00cc00,1674617:1674636|offset_110|444444&amp;v=1674306:1674836&amp;c=444444", "offset 59")</f>
        <v>offset 59</v>
      </c>
    </row>
    <row r="5998" customFormat="false" ht="12.8" hidden="false" customHeight="false" outlineLevel="0" collapsed="false">
      <c r="A5998" s="0" t="s">
        <v>12</v>
      </c>
      <c r="B5998" s="0" t="n">
        <v>1674616</v>
      </c>
      <c r="C5998" s="0" t="n">
        <v>1674636</v>
      </c>
      <c r="D5998" s="0" t="s">
        <v>20070</v>
      </c>
      <c r="E5998" s="0" t="s">
        <v>89</v>
      </c>
      <c r="F5998" s="0" t="s">
        <v>15</v>
      </c>
      <c r="G5998" s="0" t="s">
        <v>16</v>
      </c>
      <c r="H5998" s="0" t="n">
        <v>110</v>
      </c>
      <c r="I5998" s="0" t="s">
        <v>20080</v>
      </c>
      <c r="J5998" s="0" t="s">
        <v>20081</v>
      </c>
      <c r="K5998" s="0" t="s">
        <v>20082</v>
      </c>
      <c r="L5998" s="0" t="str">
        <f aca="false">HYPERLINK("https://www.ncbi.nlm.nih.gov/nuccore/CP000304.1?report=graph&amp;tracks=[key:gene_model_track,Options:GeneOnly]&amp;mk=1674507:1674526|offset_0|444444,1674536:1674555|offset_29|444444,1674566:1674585|offset_59|444444,1674617:1674636|offset_110|00cc00&amp;v=1674306:1674836&amp;c=444444", "offset 110")</f>
        <v>offset 110</v>
      </c>
    </row>
    <row r="5999" customFormat="false" ht="12.8" hidden="false" customHeight="false" outlineLevel="0" collapsed="false">
      <c r="A5999" s="0" t="s">
        <v>12</v>
      </c>
      <c r="B5999" s="0" t="n">
        <v>1674837</v>
      </c>
      <c r="C5999" s="0" t="n">
        <v>1674857</v>
      </c>
      <c r="D5999" s="0" t="s">
        <v>20083</v>
      </c>
      <c r="E5999" s="0" t="s">
        <v>20084</v>
      </c>
      <c r="F5999" s="0" t="s">
        <v>15</v>
      </c>
      <c r="G5999" s="0" t="s">
        <v>32</v>
      </c>
      <c r="H5999" s="0" t="n">
        <v>8</v>
      </c>
      <c r="I5999" s="0" t="s">
        <v>20085</v>
      </c>
      <c r="J5999" s="0" t="s">
        <v>20086</v>
      </c>
      <c r="K5999" s="0" t="s">
        <v>20087</v>
      </c>
      <c r="L5999" s="0" t="str">
        <f aca="false">HYPERLINK("https://www.ncbi.nlm.nih.gov/nuccore/CP000304.1?report=graph&amp;tracks=[key:gene_model_track,Options:GeneOnly]&amp;mk=1674838:1674857|offset_8|00cc00,1674863:1674882|offset_33|444444,1674883:1674902|offset_53|444444,1674903:1674922|offset_73|444444&amp;v=1674637:1675122&amp;c=444444", "offset 8")</f>
        <v>offset 8</v>
      </c>
    </row>
    <row r="6000" customFormat="false" ht="12.8" hidden="false" customHeight="false" outlineLevel="0" collapsed="false">
      <c r="A6000" s="0" t="s">
        <v>12</v>
      </c>
      <c r="B6000" s="0" t="n">
        <v>1674862</v>
      </c>
      <c r="C6000" s="0" t="n">
        <v>1674882</v>
      </c>
      <c r="D6000" s="0" t="s">
        <v>20083</v>
      </c>
      <c r="E6000" s="0" t="s">
        <v>20084</v>
      </c>
      <c r="F6000" s="0" t="s">
        <v>15</v>
      </c>
      <c r="G6000" s="0" t="s">
        <v>16</v>
      </c>
      <c r="H6000" s="0" t="n">
        <v>33</v>
      </c>
      <c r="I6000" s="0" t="s">
        <v>20088</v>
      </c>
      <c r="J6000" s="0" t="s">
        <v>20089</v>
      </c>
      <c r="K6000" s="0" t="s">
        <v>20090</v>
      </c>
      <c r="L6000" s="0" t="str">
        <f aca="false">HYPERLINK("https://www.ncbi.nlm.nih.gov/nuccore/CP000304.1?report=graph&amp;tracks=[key:gene_model_track,Options:GeneOnly]&amp;mk=1674838:1674857|offset_8|444444,1674863:1674882|offset_33|00cc00,1674883:1674902|offset_53|444444,1674903:1674922|offset_73|444444&amp;v=1674637:1675122&amp;c=444444", "offset 33")</f>
        <v>offset 33</v>
      </c>
    </row>
    <row r="6001" customFormat="false" ht="12.8" hidden="false" customHeight="false" outlineLevel="0" collapsed="false">
      <c r="A6001" s="0" t="s">
        <v>12</v>
      </c>
      <c r="B6001" s="0" t="n">
        <v>1674882</v>
      </c>
      <c r="C6001" s="0" t="n">
        <v>1674902</v>
      </c>
      <c r="D6001" s="0" t="s">
        <v>20083</v>
      </c>
      <c r="E6001" s="0" t="s">
        <v>20084</v>
      </c>
      <c r="F6001" s="0" t="s">
        <v>15</v>
      </c>
      <c r="G6001" s="0" t="s">
        <v>16</v>
      </c>
      <c r="H6001" s="0" t="n">
        <v>53</v>
      </c>
      <c r="I6001" s="0" t="s">
        <v>20091</v>
      </c>
      <c r="J6001" s="0" t="s">
        <v>20092</v>
      </c>
      <c r="K6001" s="0" t="s">
        <v>20093</v>
      </c>
      <c r="L6001" s="0" t="str">
        <f aca="false">HYPERLINK("https://www.ncbi.nlm.nih.gov/nuccore/CP000304.1?report=graph&amp;tracks=[key:gene_model_track,Options:GeneOnly]&amp;mk=1674838:1674857|offset_8|444444,1674863:1674882|offset_33|444444,1674883:1674902|offset_53|00cc00,1674903:1674922|offset_73|444444&amp;v=1674637:1675122&amp;c=444444", "offset 53")</f>
        <v>offset 53</v>
      </c>
    </row>
    <row r="6002" customFormat="false" ht="12.8" hidden="false" customHeight="false" outlineLevel="0" collapsed="false">
      <c r="A6002" s="0" t="s">
        <v>12</v>
      </c>
      <c r="B6002" s="0" t="n">
        <v>1674902</v>
      </c>
      <c r="C6002" s="0" t="n">
        <v>1674922</v>
      </c>
      <c r="D6002" s="0" t="s">
        <v>20083</v>
      </c>
      <c r="E6002" s="0" t="s">
        <v>20084</v>
      </c>
      <c r="F6002" s="0" t="s">
        <v>15</v>
      </c>
      <c r="G6002" s="0" t="s">
        <v>32</v>
      </c>
      <c r="H6002" s="0" t="n">
        <v>73</v>
      </c>
      <c r="I6002" s="0" t="s">
        <v>20094</v>
      </c>
      <c r="J6002" s="0" t="s">
        <v>20095</v>
      </c>
      <c r="K6002" s="0" t="s">
        <v>20096</v>
      </c>
      <c r="L6002" s="0" t="str">
        <f aca="false">HYPERLINK("https://www.ncbi.nlm.nih.gov/nuccore/CP000304.1?report=graph&amp;tracks=[key:gene_model_track,Options:GeneOnly]&amp;mk=1674838:1674857|offset_8|444444,1674863:1674882|offset_33|444444,1674883:1674902|offset_53|444444,1674903:1674922|offset_73|00cc00&amp;v=1674637:1675122&amp;c=444444", "offset 73")</f>
        <v>offset 73</v>
      </c>
    </row>
    <row r="6003" customFormat="false" ht="12.8" hidden="false" customHeight="false" outlineLevel="0" collapsed="false">
      <c r="A6003" s="0" t="s">
        <v>12</v>
      </c>
      <c r="B6003" s="0" t="n">
        <v>1676701</v>
      </c>
      <c r="C6003" s="0" t="n">
        <v>1676721</v>
      </c>
      <c r="D6003" s="0" t="s">
        <v>20097</v>
      </c>
      <c r="E6003" s="0" t="s">
        <v>89</v>
      </c>
      <c r="F6003" s="0" t="s">
        <v>90</v>
      </c>
      <c r="G6003" s="0" t="s">
        <v>16</v>
      </c>
      <c r="H6003" s="0" t="n">
        <v>8</v>
      </c>
      <c r="I6003" s="0" t="s">
        <v>20098</v>
      </c>
      <c r="J6003" s="0" t="s">
        <v>20099</v>
      </c>
      <c r="K6003" s="0" t="s">
        <v>20100</v>
      </c>
      <c r="L6003" s="0" t="str">
        <f aca="false">HYPERLINK("https://www.ncbi.nlm.nih.gov/nuccore/CP000304.1?report=graph&amp;tracks=[key:gene_model_track,Options:GeneOnly]&amp;mk=1676702:1676721|offset_8|00cc00,1676682:1676701|offset_28|444444,1676660:1676679|offset_50|444444,1676640:1676659|offset_70|444444&amp;v=1676501:1676859&amp;c=444444", "offset 8")</f>
        <v>offset 8</v>
      </c>
    </row>
    <row r="6004" customFormat="false" ht="12.8" hidden="false" customHeight="false" outlineLevel="0" collapsed="false">
      <c r="A6004" s="0" t="s">
        <v>12</v>
      </c>
      <c r="B6004" s="0" t="n">
        <v>1676681</v>
      </c>
      <c r="C6004" s="0" t="n">
        <v>1676701</v>
      </c>
      <c r="D6004" s="0" t="s">
        <v>20097</v>
      </c>
      <c r="E6004" s="0" t="s">
        <v>89</v>
      </c>
      <c r="F6004" s="0" t="s">
        <v>90</v>
      </c>
      <c r="G6004" s="0" t="s">
        <v>36</v>
      </c>
      <c r="H6004" s="0" t="n">
        <v>28</v>
      </c>
      <c r="I6004" s="0" t="s">
        <v>20101</v>
      </c>
      <c r="J6004" s="0" t="s">
        <v>20102</v>
      </c>
      <c r="K6004" s="0" t="s">
        <v>20103</v>
      </c>
      <c r="L6004" s="0" t="str">
        <f aca="false">HYPERLINK("https://www.ncbi.nlm.nih.gov/nuccore/CP000304.1?report=graph&amp;tracks=[key:gene_model_track,Options:GeneOnly]&amp;mk=1676702:1676721|offset_8|444444,1676682:1676701|offset_28|00cc00,1676660:1676679|offset_50|444444,1676640:1676659|offset_70|444444&amp;v=1676501:1676859&amp;c=444444", "offset 28")</f>
        <v>offset 28</v>
      </c>
    </row>
    <row r="6005" customFormat="false" ht="12.8" hidden="false" customHeight="false" outlineLevel="0" collapsed="false">
      <c r="A6005" s="0" t="s">
        <v>12</v>
      </c>
      <c r="B6005" s="0" t="n">
        <v>1676659</v>
      </c>
      <c r="C6005" s="0" t="n">
        <v>1676679</v>
      </c>
      <c r="D6005" s="0" t="s">
        <v>20097</v>
      </c>
      <c r="E6005" s="0" t="s">
        <v>89</v>
      </c>
      <c r="F6005" s="0" t="s">
        <v>90</v>
      </c>
      <c r="G6005" s="0" t="s">
        <v>16</v>
      </c>
      <c r="H6005" s="0" t="n">
        <v>50</v>
      </c>
      <c r="I6005" s="0" t="s">
        <v>20104</v>
      </c>
      <c r="J6005" s="0" t="s">
        <v>20105</v>
      </c>
      <c r="K6005" s="0" t="s">
        <v>20106</v>
      </c>
      <c r="L6005" s="0" t="str">
        <f aca="false">HYPERLINK("https://www.ncbi.nlm.nih.gov/nuccore/CP000304.1?report=graph&amp;tracks=[key:gene_model_track,Options:GeneOnly]&amp;mk=1676702:1676721|offset_8|444444,1676682:1676701|offset_28|444444,1676660:1676679|offset_50|00cc00,1676640:1676659|offset_70|444444&amp;v=1676501:1676859&amp;c=444444", "offset 50")</f>
        <v>offset 50</v>
      </c>
    </row>
    <row r="6006" customFormat="false" ht="12.8" hidden="false" customHeight="false" outlineLevel="0" collapsed="false">
      <c r="A6006" s="0" t="s">
        <v>12</v>
      </c>
      <c r="B6006" s="0" t="n">
        <v>1676639</v>
      </c>
      <c r="C6006" s="0" t="n">
        <v>1676659</v>
      </c>
      <c r="D6006" s="0" t="s">
        <v>20097</v>
      </c>
      <c r="E6006" s="0" t="s">
        <v>89</v>
      </c>
      <c r="F6006" s="0" t="s">
        <v>90</v>
      </c>
      <c r="G6006" s="0" t="s">
        <v>36</v>
      </c>
      <c r="H6006" s="0" t="n">
        <v>70</v>
      </c>
      <c r="I6006" s="0" t="s">
        <v>20107</v>
      </c>
      <c r="J6006" s="0" t="s">
        <v>20108</v>
      </c>
      <c r="K6006" s="0" t="s">
        <v>20109</v>
      </c>
      <c r="L6006" s="0" t="str">
        <f aca="false">HYPERLINK("https://www.ncbi.nlm.nih.gov/nuccore/CP000304.1?report=graph&amp;tracks=[key:gene_model_track,Options:GeneOnly]&amp;mk=1676702:1676721|offset_8|444444,1676682:1676701|offset_28|444444,1676660:1676679|offset_50|444444,1676640:1676659|offset_70|00cc00&amp;v=1676501:1676859&amp;c=444444", "offset 70")</f>
        <v>offset 70</v>
      </c>
    </row>
    <row r="6007" customFormat="false" ht="12.8" hidden="false" customHeight="false" outlineLevel="0" collapsed="false">
      <c r="A6007" s="0" t="s">
        <v>12</v>
      </c>
      <c r="B6007" s="0" t="n">
        <v>1677099</v>
      </c>
      <c r="C6007" s="0" t="n">
        <v>1677119</v>
      </c>
      <c r="D6007" s="0" t="s">
        <v>20110</v>
      </c>
      <c r="E6007" s="0" t="s">
        <v>89</v>
      </c>
      <c r="F6007" s="0" t="s">
        <v>90</v>
      </c>
      <c r="G6007" s="0" t="s">
        <v>32</v>
      </c>
      <c r="H6007" s="0" t="n">
        <v>1</v>
      </c>
      <c r="I6007" s="0" t="s">
        <v>20111</v>
      </c>
      <c r="J6007" s="0" t="s">
        <v>20112</v>
      </c>
      <c r="K6007" s="0" t="s">
        <v>20113</v>
      </c>
      <c r="L6007" s="0" t="str">
        <f aca="false">HYPERLINK("https://www.ncbi.nlm.nih.gov/nuccore/CP000304.1?report=graph&amp;tracks=[key:gene_model_track,Options:GeneOnly]&amp;mk=1677100:1677119|offset_1|00cc00,1677075:1677094|offset_26|444444,1677055:1677074|offset_46|444444,1677009:1677028|offset_92|444444&amp;v=1676899:1677228&amp;c=444444", "offset 1")</f>
        <v>offset 1</v>
      </c>
    </row>
    <row r="6008" customFormat="false" ht="12.8" hidden="false" customHeight="false" outlineLevel="0" collapsed="false">
      <c r="A6008" s="0" t="s">
        <v>12</v>
      </c>
      <c r="B6008" s="0" t="n">
        <v>1677074</v>
      </c>
      <c r="C6008" s="0" t="n">
        <v>1677094</v>
      </c>
      <c r="D6008" s="0" t="s">
        <v>20110</v>
      </c>
      <c r="E6008" s="0" t="s">
        <v>89</v>
      </c>
      <c r="F6008" s="0" t="s">
        <v>90</v>
      </c>
      <c r="G6008" s="0" t="s">
        <v>32</v>
      </c>
      <c r="H6008" s="0" t="n">
        <v>26</v>
      </c>
      <c r="I6008" s="0" t="s">
        <v>20114</v>
      </c>
      <c r="J6008" s="0" t="s">
        <v>20115</v>
      </c>
      <c r="K6008" s="0" t="s">
        <v>20116</v>
      </c>
      <c r="L6008" s="0" t="str">
        <f aca="false">HYPERLINK("https://www.ncbi.nlm.nih.gov/nuccore/CP000304.1?report=graph&amp;tracks=[key:gene_model_track,Options:GeneOnly]&amp;mk=1677100:1677119|offset_1|444444,1677075:1677094|offset_26|00cc00,1677055:1677074|offset_46|444444,1677009:1677028|offset_92|444444&amp;v=1676899:1677228&amp;c=444444", "offset 26")</f>
        <v>offset 26</v>
      </c>
    </row>
    <row r="6009" customFormat="false" ht="12.8" hidden="false" customHeight="false" outlineLevel="0" collapsed="false">
      <c r="A6009" s="0" t="s">
        <v>12</v>
      </c>
      <c r="B6009" s="0" t="n">
        <v>1677054</v>
      </c>
      <c r="C6009" s="0" t="n">
        <v>1677074</v>
      </c>
      <c r="D6009" s="0" t="s">
        <v>20110</v>
      </c>
      <c r="E6009" s="0" t="s">
        <v>89</v>
      </c>
      <c r="F6009" s="0" t="s">
        <v>90</v>
      </c>
      <c r="G6009" s="0" t="s">
        <v>16</v>
      </c>
      <c r="H6009" s="0" t="n">
        <v>46</v>
      </c>
      <c r="I6009" s="0" t="s">
        <v>20117</v>
      </c>
      <c r="J6009" s="0" t="s">
        <v>20118</v>
      </c>
      <c r="K6009" s="0" t="s">
        <v>20119</v>
      </c>
      <c r="L6009" s="0" t="str">
        <f aca="false">HYPERLINK("https://www.ncbi.nlm.nih.gov/nuccore/CP000304.1?report=graph&amp;tracks=[key:gene_model_track,Options:GeneOnly]&amp;mk=1677100:1677119|offset_1|444444,1677075:1677094|offset_26|444444,1677055:1677074|offset_46|00cc00,1677009:1677028|offset_92|444444&amp;v=1676899:1677228&amp;c=444444", "offset 46")</f>
        <v>offset 46</v>
      </c>
    </row>
    <row r="6010" customFormat="false" ht="12.8" hidden="false" customHeight="false" outlineLevel="0" collapsed="false">
      <c r="A6010" s="0" t="s">
        <v>12</v>
      </c>
      <c r="B6010" s="0" t="n">
        <v>1677008</v>
      </c>
      <c r="C6010" s="0" t="n">
        <v>1677028</v>
      </c>
      <c r="D6010" s="0" t="s">
        <v>20110</v>
      </c>
      <c r="E6010" s="0" t="s">
        <v>89</v>
      </c>
      <c r="F6010" s="0" t="s">
        <v>90</v>
      </c>
      <c r="G6010" s="0" t="s">
        <v>16</v>
      </c>
      <c r="H6010" s="0" t="n">
        <v>92</v>
      </c>
      <c r="I6010" s="0" t="s">
        <v>20120</v>
      </c>
      <c r="J6010" s="0" t="s">
        <v>20121</v>
      </c>
      <c r="K6010" s="0" t="s">
        <v>20122</v>
      </c>
      <c r="L6010" s="0" t="str">
        <f aca="false">HYPERLINK("https://www.ncbi.nlm.nih.gov/nuccore/CP000304.1?report=graph&amp;tracks=[key:gene_model_track,Options:GeneOnly]&amp;mk=1677100:1677119|offset_1|444444,1677075:1677094|offset_26|444444,1677055:1677074|offset_46|444444,1677009:1677028|offset_92|00cc00&amp;v=1676899:1677228&amp;c=444444", "offset 92")</f>
        <v>offset 92</v>
      </c>
    </row>
    <row r="6011" customFormat="false" ht="12.8" hidden="false" customHeight="false" outlineLevel="0" collapsed="false">
      <c r="A6011" s="0" t="s">
        <v>12</v>
      </c>
      <c r="B6011" s="0" t="n">
        <v>1678047</v>
      </c>
      <c r="C6011" s="0" t="n">
        <v>1678067</v>
      </c>
      <c r="D6011" s="0" t="s">
        <v>20123</v>
      </c>
      <c r="E6011" s="0" t="s">
        <v>89</v>
      </c>
      <c r="F6011" s="0" t="s">
        <v>90</v>
      </c>
      <c r="G6011" s="0" t="s">
        <v>16</v>
      </c>
      <c r="H6011" s="0" t="n">
        <v>70</v>
      </c>
      <c r="I6011" s="0" t="s">
        <v>20124</v>
      </c>
      <c r="J6011" s="0" t="s">
        <v>20125</v>
      </c>
      <c r="K6011" s="0" t="s">
        <v>20126</v>
      </c>
      <c r="L6011" s="0" t="str">
        <f aca="false">HYPERLINK("https://www.ncbi.nlm.nih.gov/nuccore/CP000304.1?report=graph&amp;tracks=[key:gene_model_track,Options:GeneOnly]&amp;mk=1678048:1678067|offset_70|00cc00,1678027:1678046|offset_91|444444,1678003:1678022|offset_115|444444,1677979:1677998|offset_139|444444&amp;v=1677847:1678198&amp;c=444444", "offset 70")</f>
        <v>offset 70</v>
      </c>
    </row>
    <row r="6012" customFormat="false" ht="12.8" hidden="false" customHeight="false" outlineLevel="0" collapsed="false">
      <c r="A6012" s="0" t="s">
        <v>12</v>
      </c>
      <c r="B6012" s="0" t="n">
        <v>1678026</v>
      </c>
      <c r="C6012" s="0" t="n">
        <v>1678046</v>
      </c>
      <c r="D6012" s="0" t="s">
        <v>20123</v>
      </c>
      <c r="E6012" s="0" t="s">
        <v>89</v>
      </c>
      <c r="F6012" s="0" t="s">
        <v>90</v>
      </c>
      <c r="G6012" s="0" t="s">
        <v>26</v>
      </c>
      <c r="H6012" s="0" t="n">
        <v>91</v>
      </c>
      <c r="I6012" s="0" t="s">
        <v>20127</v>
      </c>
      <c r="J6012" s="0" t="s">
        <v>20128</v>
      </c>
      <c r="K6012" s="0" t="s">
        <v>20129</v>
      </c>
      <c r="L6012" s="0" t="str">
        <f aca="false">HYPERLINK("https://www.ncbi.nlm.nih.gov/nuccore/CP000304.1?report=graph&amp;tracks=[key:gene_model_track,Options:GeneOnly]&amp;mk=1678048:1678067|offset_70|444444,1678027:1678046|offset_91|00cc00,1678003:1678022|offset_115|444444,1677979:1677998|offset_139|444444&amp;v=1677847:1678198&amp;c=444444", "offset 91")</f>
        <v>offset 91</v>
      </c>
    </row>
    <row r="6013" customFormat="false" ht="12.8" hidden="false" customHeight="false" outlineLevel="0" collapsed="false">
      <c r="A6013" s="0" t="s">
        <v>12</v>
      </c>
      <c r="B6013" s="0" t="n">
        <v>1678002</v>
      </c>
      <c r="C6013" s="0" t="n">
        <v>1678022</v>
      </c>
      <c r="D6013" s="0" t="s">
        <v>20123</v>
      </c>
      <c r="E6013" s="0" t="s">
        <v>89</v>
      </c>
      <c r="F6013" s="0" t="s">
        <v>90</v>
      </c>
      <c r="G6013" s="0" t="s">
        <v>36</v>
      </c>
      <c r="H6013" s="0" t="n">
        <v>115</v>
      </c>
      <c r="I6013" s="0" t="s">
        <v>20130</v>
      </c>
      <c r="J6013" s="0" t="s">
        <v>20131</v>
      </c>
      <c r="K6013" s="0" t="s">
        <v>20132</v>
      </c>
      <c r="L6013" s="0" t="str">
        <f aca="false">HYPERLINK("https://www.ncbi.nlm.nih.gov/nuccore/CP000304.1?report=graph&amp;tracks=[key:gene_model_track,Options:GeneOnly]&amp;mk=1678048:1678067|offset_70|444444,1678027:1678046|offset_91|444444,1678003:1678022|offset_115|00cc00,1677979:1677998|offset_139|444444&amp;v=1677847:1678198&amp;c=444444", "offset 115")</f>
        <v>offset 115</v>
      </c>
    </row>
    <row r="6014" customFormat="false" ht="12.8" hidden="false" customHeight="false" outlineLevel="0" collapsed="false">
      <c r="A6014" s="0" t="s">
        <v>12</v>
      </c>
      <c r="B6014" s="0" t="n">
        <v>1677978</v>
      </c>
      <c r="C6014" s="0" t="n">
        <v>1677998</v>
      </c>
      <c r="D6014" s="0" t="s">
        <v>20123</v>
      </c>
      <c r="E6014" s="0" t="s">
        <v>89</v>
      </c>
      <c r="F6014" s="0" t="s">
        <v>90</v>
      </c>
      <c r="G6014" s="0" t="s">
        <v>36</v>
      </c>
      <c r="H6014" s="0" t="n">
        <v>139</v>
      </c>
      <c r="I6014" s="0" t="s">
        <v>20133</v>
      </c>
      <c r="J6014" s="0" t="s">
        <v>20134</v>
      </c>
      <c r="K6014" s="0" t="s">
        <v>20135</v>
      </c>
      <c r="L6014" s="0" t="str">
        <f aca="false">HYPERLINK("https://www.ncbi.nlm.nih.gov/nuccore/CP000304.1?report=graph&amp;tracks=[key:gene_model_track,Options:GeneOnly]&amp;mk=1678048:1678067|offset_70|444444,1678027:1678046|offset_91|444444,1678003:1678022|offset_115|444444,1677979:1677998|offset_139|00cc00&amp;v=1677847:1678198&amp;c=444444", "offset 139")</f>
        <v>offset 139</v>
      </c>
    </row>
    <row r="6015" customFormat="false" ht="12.8" hidden="false" customHeight="false" outlineLevel="0" collapsed="false">
      <c r="A6015" s="0" t="s">
        <v>12</v>
      </c>
      <c r="B6015" s="0" t="n">
        <v>1678296</v>
      </c>
      <c r="C6015" s="0" t="n">
        <v>1678316</v>
      </c>
      <c r="D6015" s="0" t="s">
        <v>20136</v>
      </c>
      <c r="E6015" s="0" t="s">
        <v>20137</v>
      </c>
      <c r="F6015" s="0" t="s">
        <v>15</v>
      </c>
      <c r="G6015" s="0" t="s">
        <v>32</v>
      </c>
      <c r="H6015" s="0" t="n">
        <v>16</v>
      </c>
      <c r="I6015" s="0" t="s">
        <v>20138</v>
      </c>
      <c r="J6015" s="0" t="s">
        <v>20139</v>
      </c>
      <c r="K6015" s="0" t="s">
        <v>20140</v>
      </c>
      <c r="L6015" s="0" t="str">
        <f aca="false">HYPERLINK("https://www.ncbi.nlm.nih.gov/nuccore/CP000304.1?report=graph&amp;tracks=[key:gene_model_track,Options:GeneOnly]&amp;mk=1678297:1678316|offset_16|00cc00,1678321:1678340|offset_40|444444,1678368:1678387|offset_87|444444,1678388:1678407|offset_107|444444&amp;v=1678096:1678607&amp;c=444444", "offset 16")</f>
        <v>offset 16</v>
      </c>
    </row>
    <row r="6016" customFormat="false" ht="12.8" hidden="false" customHeight="false" outlineLevel="0" collapsed="false">
      <c r="A6016" s="0" t="s">
        <v>12</v>
      </c>
      <c r="B6016" s="0" t="n">
        <v>1678320</v>
      </c>
      <c r="C6016" s="0" t="n">
        <v>1678340</v>
      </c>
      <c r="D6016" s="0" t="s">
        <v>20136</v>
      </c>
      <c r="E6016" s="0" t="s">
        <v>20137</v>
      </c>
      <c r="F6016" s="0" t="s">
        <v>15</v>
      </c>
      <c r="G6016" s="0" t="s">
        <v>26</v>
      </c>
      <c r="H6016" s="0" t="n">
        <v>40</v>
      </c>
      <c r="I6016" s="0" t="s">
        <v>20141</v>
      </c>
      <c r="J6016" s="0" t="s">
        <v>20142</v>
      </c>
      <c r="K6016" s="0" t="s">
        <v>20143</v>
      </c>
      <c r="L6016" s="0" t="str">
        <f aca="false">HYPERLINK("https://www.ncbi.nlm.nih.gov/nuccore/CP000304.1?report=graph&amp;tracks=[key:gene_model_track,Options:GeneOnly]&amp;mk=1678297:1678316|offset_16|444444,1678321:1678340|offset_40|00cc00,1678368:1678387|offset_87|444444,1678388:1678407|offset_107|444444&amp;v=1678096:1678607&amp;c=444444", "offset 40")</f>
        <v>offset 40</v>
      </c>
    </row>
    <row r="6017" customFormat="false" ht="12.8" hidden="false" customHeight="false" outlineLevel="0" collapsed="false">
      <c r="A6017" s="0" t="s">
        <v>12</v>
      </c>
      <c r="B6017" s="0" t="n">
        <v>1678367</v>
      </c>
      <c r="C6017" s="0" t="n">
        <v>1678387</v>
      </c>
      <c r="D6017" s="0" t="s">
        <v>20136</v>
      </c>
      <c r="E6017" s="0" t="s">
        <v>20137</v>
      </c>
      <c r="F6017" s="0" t="s">
        <v>15</v>
      </c>
      <c r="G6017" s="0" t="s">
        <v>16</v>
      </c>
      <c r="H6017" s="0" t="n">
        <v>87</v>
      </c>
      <c r="I6017" s="0" t="s">
        <v>20144</v>
      </c>
      <c r="J6017" s="0" t="s">
        <v>20145</v>
      </c>
      <c r="K6017" s="0" t="s">
        <v>20146</v>
      </c>
      <c r="L6017" s="0" t="str">
        <f aca="false">HYPERLINK("https://www.ncbi.nlm.nih.gov/nuccore/CP000304.1?report=graph&amp;tracks=[key:gene_model_track,Options:GeneOnly]&amp;mk=1678297:1678316|offset_16|444444,1678321:1678340|offset_40|444444,1678368:1678387|offset_87|00cc00,1678388:1678407|offset_107|444444&amp;v=1678096:1678607&amp;c=444444", "offset 87")</f>
        <v>offset 87</v>
      </c>
    </row>
    <row r="6018" customFormat="false" ht="12.8" hidden="false" customHeight="false" outlineLevel="0" collapsed="false">
      <c r="A6018" s="0" t="s">
        <v>12</v>
      </c>
      <c r="B6018" s="0" t="n">
        <v>1678387</v>
      </c>
      <c r="C6018" s="0" t="n">
        <v>1678407</v>
      </c>
      <c r="D6018" s="0" t="s">
        <v>20136</v>
      </c>
      <c r="E6018" s="0" t="s">
        <v>20137</v>
      </c>
      <c r="F6018" s="0" t="s">
        <v>15</v>
      </c>
      <c r="G6018" s="0" t="s">
        <v>26</v>
      </c>
      <c r="H6018" s="0" t="n">
        <v>107</v>
      </c>
      <c r="I6018" s="0" t="s">
        <v>20147</v>
      </c>
      <c r="J6018" s="0" t="s">
        <v>20148</v>
      </c>
      <c r="K6018" s="0" t="s">
        <v>20149</v>
      </c>
      <c r="L6018" s="0" t="str">
        <f aca="false">HYPERLINK("https://www.ncbi.nlm.nih.gov/nuccore/CP000304.1?report=graph&amp;tracks=[key:gene_model_track,Options:GeneOnly]&amp;mk=1678297:1678316|offset_16|444444,1678321:1678340|offset_40|444444,1678368:1678387|offset_87|444444,1678388:1678407|offset_107|00cc00&amp;v=1678096:1678607&amp;c=444444", "offset 107")</f>
        <v>offset 107</v>
      </c>
    </row>
    <row r="6019" customFormat="false" ht="12.8" hidden="false" customHeight="false" outlineLevel="0" collapsed="false">
      <c r="A6019" s="0" t="s">
        <v>12</v>
      </c>
      <c r="B6019" s="0" t="n">
        <v>1679500</v>
      </c>
      <c r="C6019" s="0" t="n">
        <v>1679520</v>
      </c>
      <c r="D6019" s="0" t="s">
        <v>20150</v>
      </c>
      <c r="E6019" s="0" t="s">
        <v>89</v>
      </c>
      <c r="F6019" s="0" t="s">
        <v>15</v>
      </c>
      <c r="G6019" s="0" t="s">
        <v>36</v>
      </c>
      <c r="H6019" s="0" t="n">
        <v>7</v>
      </c>
      <c r="I6019" s="0" t="s">
        <v>20151</v>
      </c>
      <c r="J6019" s="0" t="s">
        <v>20152</v>
      </c>
      <c r="K6019" s="0" t="s">
        <v>20153</v>
      </c>
      <c r="L6019" s="0" t="str">
        <f aca="false">HYPERLINK("https://www.ncbi.nlm.nih.gov/nuccore/CP000304.1?report=graph&amp;tracks=[key:gene_model_track,Options:GeneOnly]&amp;mk=1679501:1679520|offset_7|00cc00,1679553:1679572|offset_59|444444,1679594:1679613|offset_100|444444,1679615:1679634|offset_121|444444&amp;v=1679300:1679834&amp;c=444444", "offset 7")</f>
        <v>offset 7</v>
      </c>
    </row>
    <row r="6020" customFormat="false" ht="12.8" hidden="false" customHeight="false" outlineLevel="0" collapsed="false">
      <c r="A6020" s="0" t="s">
        <v>12</v>
      </c>
      <c r="B6020" s="0" t="n">
        <v>1679552</v>
      </c>
      <c r="C6020" s="0" t="n">
        <v>1679572</v>
      </c>
      <c r="D6020" s="0" t="s">
        <v>20150</v>
      </c>
      <c r="E6020" s="0" t="s">
        <v>89</v>
      </c>
      <c r="F6020" s="0" t="s">
        <v>15</v>
      </c>
      <c r="G6020" s="0" t="s">
        <v>16</v>
      </c>
      <c r="H6020" s="0" t="n">
        <v>59</v>
      </c>
      <c r="I6020" s="0" t="s">
        <v>20154</v>
      </c>
      <c r="J6020" s="0" t="s">
        <v>20155</v>
      </c>
      <c r="K6020" s="0" t="s">
        <v>20156</v>
      </c>
      <c r="L6020" s="0" t="str">
        <f aca="false">HYPERLINK("https://www.ncbi.nlm.nih.gov/nuccore/CP000304.1?report=graph&amp;tracks=[key:gene_model_track,Options:GeneOnly]&amp;mk=1679501:1679520|offset_7|444444,1679553:1679572|offset_59|00cc00,1679594:1679613|offset_100|444444,1679615:1679634|offset_121|444444&amp;v=1679300:1679834&amp;c=444444", "offset 59")</f>
        <v>offset 59</v>
      </c>
    </row>
    <row r="6021" customFormat="false" ht="12.8" hidden="false" customHeight="false" outlineLevel="0" collapsed="false">
      <c r="A6021" s="0" t="s">
        <v>12</v>
      </c>
      <c r="B6021" s="0" t="n">
        <v>1679593</v>
      </c>
      <c r="C6021" s="0" t="n">
        <v>1679613</v>
      </c>
      <c r="D6021" s="0" t="s">
        <v>20150</v>
      </c>
      <c r="E6021" s="0" t="s">
        <v>89</v>
      </c>
      <c r="F6021" s="0" t="s">
        <v>15</v>
      </c>
      <c r="G6021" s="0" t="s">
        <v>16</v>
      </c>
      <c r="H6021" s="0" t="n">
        <v>100</v>
      </c>
      <c r="I6021" s="0" t="s">
        <v>20157</v>
      </c>
      <c r="J6021" s="0" t="s">
        <v>20158</v>
      </c>
      <c r="K6021" s="0" t="s">
        <v>20159</v>
      </c>
      <c r="L6021" s="0" t="str">
        <f aca="false">HYPERLINK("https://www.ncbi.nlm.nih.gov/nuccore/CP000304.1?report=graph&amp;tracks=[key:gene_model_track,Options:GeneOnly]&amp;mk=1679501:1679520|offset_7|444444,1679553:1679572|offset_59|444444,1679594:1679613|offset_100|00cc00,1679615:1679634|offset_121|444444&amp;v=1679300:1679834&amp;c=444444", "offset 100")</f>
        <v>offset 100</v>
      </c>
    </row>
    <row r="6022" customFormat="false" ht="12.8" hidden="false" customHeight="false" outlineLevel="0" collapsed="false">
      <c r="A6022" s="0" t="s">
        <v>12</v>
      </c>
      <c r="B6022" s="0" t="n">
        <v>1679614</v>
      </c>
      <c r="C6022" s="0" t="n">
        <v>1679634</v>
      </c>
      <c r="D6022" s="0" t="s">
        <v>20150</v>
      </c>
      <c r="E6022" s="0" t="s">
        <v>89</v>
      </c>
      <c r="F6022" s="0" t="s">
        <v>15</v>
      </c>
      <c r="G6022" s="0" t="s">
        <v>16</v>
      </c>
      <c r="H6022" s="0" t="n">
        <v>121</v>
      </c>
      <c r="I6022" s="0" t="s">
        <v>20160</v>
      </c>
      <c r="J6022" s="0" t="s">
        <v>20161</v>
      </c>
      <c r="K6022" s="0" t="s">
        <v>20162</v>
      </c>
      <c r="L6022" s="0" t="str">
        <f aca="false">HYPERLINK("https://www.ncbi.nlm.nih.gov/nuccore/CP000304.1?report=graph&amp;tracks=[key:gene_model_track,Options:GeneOnly]&amp;mk=1679501:1679520|offset_7|444444,1679553:1679572|offset_59|444444,1679594:1679613|offset_100|444444,1679615:1679634|offset_121|00cc00&amp;v=1679300:1679834&amp;c=444444", "offset 121")</f>
        <v>offset 121</v>
      </c>
    </row>
    <row r="6023" customFormat="false" ht="12.8" hidden="false" customHeight="false" outlineLevel="0" collapsed="false">
      <c r="A6023" s="0" t="s">
        <v>12</v>
      </c>
      <c r="B6023" s="0" t="n">
        <v>1681852</v>
      </c>
      <c r="C6023" s="0" t="n">
        <v>1681872</v>
      </c>
      <c r="D6023" s="0" t="s">
        <v>20163</v>
      </c>
      <c r="E6023" s="0" t="s">
        <v>20164</v>
      </c>
      <c r="F6023" s="0" t="s">
        <v>90</v>
      </c>
      <c r="G6023" s="0" t="s">
        <v>32</v>
      </c>
      <c r="H6023" s="0" t="n">
        <v>11</v>
      </c>
      <c r="I6023" s="0" t="s">
        <v>20165</v>
      </c>
      <c r="J6023" s="0" t="s">
        <v>20166</v>
      </c>
      <c r="K6023" s="0" t="s">
        <v>20167</v>
      </c>
      <c r="L6023" s="0" t="str">
        <f aca="false">HYPERLINK("https://www.ncbi.nlm.nih.gov/nuccore/CP000304.1?report=graph&amp;tracks=[key:gene_model_track,Options:GeneOnly]&amp;mk=1681853:1681872|offset_11|00cc00,1681824:1681843|offset_40|444444,1681770:1681789|offset_94|444444,1681724:1681743|offset_140|444444&amp;v=1681652:1681943&amp;c=444444", "offset 11")</f>
        <v>offset 11</v>
      </c>
    </row>
    <row r="6024" customFormat="false" ht="12.8" hidden="false" customHeight="false" outlineLevel="0" collapsed="false">
      <c r="A6024" s="0" t="s">
        <v>12</v>
      </c>
      <c r="B6024" s="0" t="n">
        <v>1681823</v>
      </c>
      <c r="C6024" s="0" t="n">
        <v>1681843</v>
      </c>
      <c r="D6024" s="0" t="s">
        <v>20163</v>
      </c>
      <c r="E6024" s="0" t="s">
        <v>20164</v>
      </c>
      <c r="F6024" s="0" t="s">
        <v>90</v>
      </c>
      <c r="G6024" s="0" t="s">
        <v>16</v>
      </c>
      <c r="H6024" s="0" t="n">
        <v>40</v>
      </c>
      <c r="I6024" s="0" t="s">
        <v>20168</v>
      </c>
      <c r="J6024" s="0" t="s">
        <v>20169</v>
      </c>
      <c r="K6024" s="0" t="s">
        <v>20170</v>
      </c>
      <c r="L6024" s="0" t="str">
        <f aca="false">HYPERLINK("https://www.ncbi.nlm.nih.gov/nuccore/CP000304.1?report=graph&amp;tracks=[key:gene_model_track,Options:GeneOnly]&amp;mk=1681853:1681872|offset_11|444444,1681824:1681843|offset_40|00cc00,1681770:1681789|offset_94|444444,1681724:1681743|offset_140|444444&amp;v=1681652:1681943&amp;c=444444", "offset 40")</f>
        <v>offset 40</v>
      </c>
    </row>
    <row r="6025" customFormat="false" ht="12.8" hidden="false" customHeight="false" outlineLevel="0" collapsed="false">
      <c r="A6025" s="0" t="s">
        <v>12</v>
      </c>
      <c r="B6025" s="0" t="n">
        <v>1681769</v>
      </c>
      <c r="C6025" s="0" t="n">
        <v>1681789</v>
      </c>
      <c r="D6025" s="0" t="s">
        <v>20163</v>
      </c>
      <c r="E6025" s="0" t="s">
        <v>20164</v>
      </c>
      <c r="F6025" s="0" t="s">
        <v>90</v>
      </c>
      <c r="G6025" s="0" t="s">
        <v>26</v>
      </c>
      <c r="H6025" s="0" t="n">
        <v>94</v>
      </c>
      <c r="I6025" s="0" t="s">
        <v>20171</v>
      </c>
      <c r="J6025" s="0" t="s">
        <v>20172</v>
      </c>
      <c r="K6025" s="0" t="s">
        <v>20173</v>
      </c>
      <c r="L6025" s="0" t="str">
        <f aca="false">HYPERLINK("https://www.ncbi.nlm.nih.gov/nuccore/CP000304.1?report=graph&amp;tracks=[key:gene_model_track,Options:GeneOnly]&amp;mk=1681853:1681872|offset_11|444444,1681824:1681843|offset_40|444444,1681770:1681789|offset_94|00cc00,1681724:1681743|offset_140|444444&amp;v=1681652:1681943&amp;c=444444", "offset 94")</f>
        <v>offset 94</v>
      </c>
    </row>
    <row r="6026" customFormat="false" ht="12.8" hidden="false" customHeight="false" outlineLevel="0" collapsed="false">
      <c r="A6026" s="0" t="s">
        <v>12</v>
      </c>
      <c r="B6026" s="0" t="n">
        <v>1681723</v>
      </c>
      <c r="C6026" s="0" t="n">
        <v>1681743</v>
      </c>
      <c r="D6026" s="0" t="s">
        <v>20163</v>
      </c>
      <c r="E6026" s="0" t="s">
        <v>20164</v>
      </c>
      <c r="F6026" s="0" t="s">
        <v>90</v>
      </c>
      <c r="G6026" s="0" t="s">
        <v>16</v>
      </c>
      <c r="H6026" s="0" t="n">
        <v>140</v>
      </c>
      <c r="I6026" s="0" t="s">
        <v>20174</v>
      </c>
      <c r="J6026" s="0" t="s">
        <v>20175</v>
      </c>
      <c r="K6026" s="0" t="s">
        <v>20176</v>
      </c>
      <c r="L6026" s="0" t="str">
        <f aca="false">HYPERLINK("https://www.ncbi.nlm.nih.gov/nuccore/CP000304.1?report=graph&amp;tracks=[key:gene_model_track,Options:GeneOnly]&amp;mk=1681853:1681872|offset_11|444444,1681824:1681843|offset_40|444444,1681770:1681789|offset_94|444444,1681724:1681743|offset_140|00cc00&amp;v=1681652:1681943&amp;c=444444", "offset 140")</f>
        <v>offset 140</v>
      </c>
    </row>
    <row r="6027" customFormat="false" ht="12.8" hidden="false" customHeight="false" outlineLevel="0" collapsed="false">
      <c r="A6027" s="0" t="s">
        <v>12</v>
      </c>
      <c r="B6027" s="0" t="n">
        <v>1682019</v>
      </c>
      <c r="C6027" s="0" t="n">
        <v>1682039</v>
      </c>
      <c r="D6027" s="0" t="s">
        <v>20177</v>
      </c>
      <c r="E6027" s="0" t="s">
        <v>20178</v>
      </c>
      <c r="F6027" s="0" t="s">
        <v>15</v>
      </c>
      <c r="G6027" s="0" t="s">
        <v>32</v>
      </c>
      <c r="H6027" s="0" t="n">
        <v>14</v>
      </c>
      <c r="I6027" s="0" t="s">
        <v>20179</v>
      </c>
      <c r="J6027" s="0" t="s">
        <v>20180</v>
      </c>
      <c r="K6027" s="0" t="s">
        <v>20181</v>
      </c>
      <c r="L6027" s="0" t="str">
        <f aca="false">HYPERLINK("https://www.ncbi.nlm.nih.gov/nuccore/CP000304.1?report=graph&amp;tracks=[key:gene_model_track,Options:GeneOnly]&amp;mk=1682020:1682039|offset_14|00cc00,1682056:1682075|offset_50|444444,1682084:1682103|offset_78|444444,1682106:1682125|offset_100|444444&amp;v=1681819:1682325&amp;c=444444", "offset 14")</f>
        <v>offset 14</v>
      </c>
    </row>
    <row r="6028" customFormat="false" ht="12.8" hidden="false" customHeight="false" outlineLevel="0" collapsed="false">
      <c r="A6028" s="0" t="s">
        <v>12</v>
      </c>
      <c r="B6028" s="0" t="n">
        <v>1682055</v>
      </c>
      <c r="C6028" s="0" t="n">
        <v>1682075</v>
      </c>
      <c r="D6028" s="0" t="s">
        <v>20177</v>
      </c>
      <c r="E6028" s="0" t="s">
        <v>20178</v>
      </c>
      <c r="F6028" s="0" t="s">
        <v>15</v>
      </c>
      <c r="G6028" s="0" t="s">
        <v>32</v>
      </c>
      <c r="H6028" s="0" t="n">
        <v>50</v>
      </c>
      <c r="I6028" s="0" t="s">
        <v>20182</v>
      </c>
      <c r="J6028" s="0" t="s">
        <v>20183</v>
      </c>
      <c r="K6028" s="0" t="s">
        <v>20184</v>
      </c>
      <c r="L6028" s="0" t="str">
        <f aca="false">HYPERLINK("https://www.ncbi.nlm.nih.gov/nuccore/CP000304.1?report=graph&amp;tracks=[key:gene_model_track,Options:GeneOnly]&amp;mk=1682020:1682039|offset_14|444444,1682056:1682075|offset_50|00cc00,1682084:1682103|offset_78|444444,1682106:1682125|offset_100|444444&amp;v=1681819:1682325&amp;c=444444", "offset 50")</f>
        <v>offset 50</v>
      </c>
    </row>
    <row r="6029" customFormat="false" ht="12.8" hidden="false" customHeight="false" outlineLevel="0" collapsed="false">
      <c r="A6029" s="0" t="s">
        <v>12</v>
      </c>
      <c r="B6029" s="0" t="n">
        <v>1682083</v>
      </c>
      <c r="C6029" s="0" t="n">
        <v>1682103</v>
      </c>
      <c r="D6029" s="0" t="s">
        <v>20177</v>
      </c>
      <c r="E6029" s="0" t="s">
        <v>20178</v>
      </c>
      <c r="F6029" s="0" t="s">
        <v>15</v>
      </c>
      <c r="G6029" s="0" t="s">
        <v>32</v>
      </c>
      <c r="H6029" s="0" t="n">
        <v>78</v>
      </c>
      <c r="I6029" s="0" t="s">
        <v>20185</v>
      </c>
      <c r="J6029" s="0" t="s">
        <v>20186</v>
      </c>
      <c r="K6029" s="0" t="s">
        <v>20187</v>
      </c>
      <c r="L6029" s="0" t="str">
        <f aca="false">HYPERLINK("https://www.ncbi.nlm.nih.gov/nuccore/CP000304.1?report=graph&amp;tracks=[key:gene_model_track,Options:GeneOnly]&amp;mk=1682020:1682039|offset_14|444444,1682056:1682075|offset_50|444444,1682084:1682103|offset_78|00cc00,1682106:1682125|offset_100|444444&amp;v=1681819:1682325&amp;c=444444", "offset 78")</f>
        <v>offset 78</v>
      </c>
    </row>
    <row r="6030" customFormat="false" ht="12.8" hidden="false" customHeight="false" outlineLevel="0" collapsed="false">
      <c r="A6030" s="0" t="s">
        <v>12</v>
      </c>
      <c r="B6030" s="0" t="n">
        <v>1682105</v>
      </c>
      <c r="C6030" s="0" t="n">
        <v>1682125</v>
      </c>
      <c r="D6030" s="0" t="s">
        <v>20177</v>
      </c>
      <c r="E6030" s="0" t="s">
        <v>20178</v>
      </c>
      <c r="F6030" s="0" t="s">
        <v>15</v>
      </c>
      <c r="G6030" s="0" t="s">
        <v>36</v>
      </c>
      <c r="H6030" s="0" t="n">
        <v>100</v>
      </c>
      <c r="I6030" s="0" t="s">
        <v>20188</v>
      </c>
      <c r="J6030" s="0" t="s">
        <v>20189</v>
      </c>
      <c r="K6030" s="0" t="s">
        <v>20190</v>
      </c>
      <c r="L6030" s="0" t="str">
        <f aca="false">HYPERLINK("https://www.ncbi.nlm.nih.gov/nuccore/CP000304.1?report=graph&amp;tracks=[key:gene_model_track,Options:GeneOnly]&amp;mk=1682020:1682039|offset_14|444444,1682056:1682075|offset_50|444444,1682084:1682103|offset_78|444444,1682106:1682125|offset_100|00cc00&amp;v=1681819:1682325&amp;c=444444", "offset 100")</f>
        <v>offset 100</v>
      </c>
    </row>
    <row r="6031" customFormat="false" ht="12.8" hidden="false" customHeight="false" outlineLevel="0" collapsed="false">
      <c r="A6031" s="0" t="s">
        <v>12</v>
      </c>
      <c r="B6031" s="0" t="n">
        <v>1682501</v>
      </c>
      <c r="C6031" s="0" t="n">
        <v>1682521</v>
      </c>
      <c r="D6031" s="0" t="s">
        <v>20191</v>
      </c>
      <c r="E6031" s="0" t="s">
        <v>89</v>
      </c>
      <c r="F6031" s="0" t="s">
        <v>15</v>
      </c>
      <c r="G6031" s="0" t="s">
        <v>36</v>
      </c>
      <c r="H6031" s="0" t="n">
        <v>26</v>
      </c>
      <c r="I6031" s="0" t="s">
        <v>20192</v>
      </c>
      <c r="J6031" s="0" t="s">
        <v>20193</v>
      </c>
      <c r="K6031" s="0" t="s">
        <v>20194</v>
      </c>
      <c r="L6031" s="0" t="str">
        <f aca="false">HYPERLINK("https://www.ncbi.nlm.nih.gov/nuccore/CP000304.1?report=graph&amp;tracks=[key:gene_model_track,Options:GeneOnly]&amp;mk=1682502:1682521|offset_26|00cc00,1682552:1682571|offset_76|444444,1682586:1682605|offset_110|444444,1682610:1682629|offset_134|444444&amp;v=1682301:1682829&amp;c=444444", "offset 26")</f>
        <v>offset 26</v>
      </c>
    </row>
    <row r="6032" customFormat="false" ht="12.8" hidden="false" customHeight="false" outlineLevel="0" collapsed="false">
      <c r="A6032" s="0" t="s">
        <v>12</v>
      </c>
      <c r="B6032" s="0" t="n">
        <v>1682551</v>
      </c>
      <c r="C6032" s="0" t="n">
        <v>1682571</v>
      </c>
      <c r="D6032" s="0" t="s">
        <v>20191</v>
      </c>
      <c r="E6032" s="0" t="s">
        <v>89</v>
      </c>
      <c r="F6032" s="0" t="s">
        <v>15</v>
      </c>
      <c r="G6032" s="0" t="s">
        <v>16</v>
      </c>
      <c r="H6032" s="0" t="n">
        <v>76</v>
      </c>
      <c r="I6032" s="0" t="s">
        <v>20195</v>
      </c>
      <c r="J6032" s="0" t="s">
        <v>20196</v>
      </c>
      <c r="K6032" s="0" t="s">
        <v>20197</v>
      </c>
      <c r="L6032" s="0" t="str">
        <f aca="false">HYPERLINK("https://www.ncbi.nlm.nih.gov/nuccore/CP000304.1?report=graph&amp;tracks=[key:gene_model_track,Options:GeneOnly]&amp;mk=1682502:1682521|offset_26|444444,1682552:1682571|offset_76|00cc00,1682586:1682605|offset_110|444444,1682610:1682629|offset_134|444444&amp;v=1682301:1682829&amp;c=444444", "offset 76")</f>
        <v>offset 76</v>
      </c>
    </row>
    <row r="6033" customFormat="false" ht="12.8" hidden="false" customHeight="false" outlineLevel="0" collapsed="false">
      <c r="A6033" s="0" t="s">
        <v>12</v>
      </c>
      <c r="B6033" s="0" t="n">
        <v>1682585</v>
      </c>
      <c r="C6033" s="0" t="n">
        <v>1682605</v>
      </c>
      <c r="D6033" s="0" t="s">
        <v>20191</v>
      </c>
      <c r="E6033" s="0" t="s">
        <v>89</v>
      </c>
      <c r="F6033" s="0" t="s">
        <v>15</v>
      </c>
      <c r="G6033" s="0" t="s">
        <v>36</v>
      </c>
      <c r="H6033" s="0" t="n">
        <v>110</v>
      </c>
      <c r="I6033" s="0" t="s">
        <v>20198</v>
      </c>
      <c r="J6033" s="0" t="s">
        <v>20199</v>
      </c>
      <c r="K6033" s="0" t="s">
        <v>20200</v>
      </c>
      <c r="L6033" s="0" t="str">
        <f aca="false">HYPERLINK("https://www.ncbi.nlm.nih.gov/nuccore/CP000304.1?report=graph&amp;tracks=[key:gene_model_track,Options:GeneOnly]&amp;mk=1682502:1682521|offset_26|444444,1682552:1682571|offset_76|444444,1682586:1682605|offset_110|00cc00,1682610:1682629|offset_134|444444&amp;v=1682301:1682829&amp;c=444444", "offset 110")</f>
        <v>offset 110</v>
      </c>
    </row>
    <row r="6034" customFormat="false" ht="12.8" hidden="false" customHeight="false" outlineLevel="0" collapsed="false">
      <c r="A6034" s="0" t="s">
        <v>12</v>
      </c>
      <c r="B6034" s="0" t="n">
        <v>1682609</v>
      </c>
      <c r="C6034" s="0" t="n">
        <v>1682629</v>
      </c>
      <c r="D6034" s="0" t="s">
        <v>20191</v>
      </c>
      <c r="E6034" s="0" t="s">
        <v>89</v>
      </c>
      <c r="F6034" s="0" t="s">
        <v>15</v>
      </c>
      <c r="G6034" s="0" t="s">
        <v>26</v>
      </c>
      <c r="H6034" s="0" t="n">
        <v>134</v>
      </c>
      <c r="I6034" s="0" t="s">
        <v>20201</v>
      </c>
      <c r="J6034" s="0" t="s">
        <v>20202</v>
      </c>
      <c r="K6034" s="0" t="s">
        <v>20203</v>
      </c>
      <c r="L6034" s="0" t="str">
        <f aca="false">HYPERLINK("https://www.ncbi.nlm.nih.gov/nuccore/CP000304.1?report=graph&amp;tracks=[key:gene_model_track,Options:GeneOnly]&amp;mk=1682502:1682521|offset_26|444444,1682552:1682571|offset_76|444444,1682586:1682605|offset_110|444444,1682610:1682629|offset_134|00cc00&amp;v=1682301:1682829&amp;c=444444", "offset 134")</f>
        <v>offset 134</v>
      </c>
    </row>
    <row r="6035" customFormat="false" ht="12.8" hidden="false" customHeight="false" outlineLevel="0" collapsed="false">
      <c r="A6035" s="0" t="s">
        <v>12</v>
      </c>
      <c r="B6035" s="0" t="n">
        <v>1683534</v>
      </c>
      <c r="C6035" s="0" t="n">
        <v>1683554</v>
      </c>
      <c r="D6035" s="0" t="s">
        <v>20204</v>
      </c>
      <c r="E6035" s="0" t="s">
        <v>20205</v>
      </c>
      <c r="F6035" s="0" t="s">
        <v>15</v>
      </c>
      <c r="G6035" s="0" t="s">
        <v>32</v>
      </c>
      <c r="H6035" s="0" t="n">
        <v>19</v>
      </c>
      <c r="I6035" s="0" t="s">
        <v>20206</v>
      </c>
      <c r="J6035" s="0" t="s">
        <v>20207</v>
      </c>
      <c r="K6035" s="0" t="s">
        <v>20208</v>
      </c>
      <c r="L6035" s="0" t="str">
        <f aca="false">HYPERLINK("https://www.ncbi.nlm.nih.gov/nuccore/CP000304.1?report=graph&amp;tracks=[key:gene_model_track,Options:GeneOnly]&amp;mk=1683535:1683554|offset_19|00cc00,1683558:1683577|offset_42|444444,1683598:1683617|offset_82|444444,1683618:1683637|offset_102|444444&amp;v=1683334:1683837&amp;c=444444", "offset 19")</f>
        <v>offset 19</v>
      </c>
    </row>
    <row r="6036" customFormat="false" ht="12.8" hidden="false" customHeight="false" outlineLevel="0" collapsed="false">
      <c r="A6036" s="0" t="s">
        <v>12</v>
      </c>
      <c r="B6036" s="0" t="n">
        <v>1683557</v>
      </c>
      <c r="C6036" s="0" t="n">
        <v>1683577</v>
      </c>
      <c r="D6036" s="0" t="s">
        <v>20204</v>
      </c>
      <c r="E6036" s="0" t="s">
        <v>20205</v>
      </c>
      <c r="F6036" s="0" t="s">
        <v>15</v>
      </c>
      <c r="G6036" s="0" t="s">
        <v>36</v>
      </c>
      <c r="H6036" s="0" t="n">
        <v>42</v>
      </c>
      <c r="I6036" s="0" t="s">
        <v>20209</v>
      </c>
      <c r="J6036" s="0" t="s">
        <v>20210</v>
      </c>
      <c r="K6036" s="0" t="s">
        <v>20211</v>
      </c>
      <c r="L6036" s="0" t="str">
        <f aca="false">HYPERLINK("https://www.ncbi.nlm.nih.gov/nuccore/CP000304.1?report=graph&amp;tracks=[key:gene_model_track,Options:GeneOnly]&amp;mk=1683535:1683554|offset_19|444444,1683558:1683577|offset_42|00cc00,1683598:1683617|offset_82|444444,1683618:1683637|offset_102|444444&amp;v=1683334:1683837&amp;c=444444", "offset 42")</f>
        <v>offset 42</v>
      </c>
    </row>
    <row r="6037" customFormat="false" ht="12.8" hidden="false" customHeight="false" outlineLevel="0" collapsed="false">
      <c r="A6037" s="0" t="s">
        <v>12</v>
      </c>
      <c r="B6037" s="0" t="n">
        <v>1683597</v>
      </c>
      <c r="C6037" s="0" t="n">
        <v>1683617</v>
      </c>
      <c r="D6037" s="0" t="s">
        <v>20204</v>
      </c>
      <c r="E6037" s="0" t="s">
        <v>20205</v>
      </c>
      <c r="F6037" s="0" t="s">
        <v>15</v>
      </c>
      <c r="G6037" s="0" t="s">
        <v>16</v>
      </c>
      <c r="H6037" s="0" t="n">
        <v>82</v>
      </c>
      <c r="I6037" s="0" t="s">
        <v>20212</v>
      </c>
      <c r="J6037" s="0" t="s">
        <v>20213</v>
      </c>
      <c r="K6037" s="0" t="s">
        <v>20214</v>
      </c>
      <c r="L6037" s="0" t="str">
        <f aca="false">HYPERLINK("https://www.ncbi.nlm.nih.gov/nuccore/CP000304.1?report=graph&amp;tracks=[key:gene_model_track,Options:GeneOnly]&amp;mk=1683535:1683554|offset_19|444444,1683558:1683577|offset_42|444444,1683598:1683617|offset_82|00cc00,1683618:1683637|offset_102|444444&amp;v=1683334:1683837&amp;c=444444", "offset 82")</f>
        <v>offset 82</v>
      </c>
    </row>
    <row r="6038" customFormat="false" ht="12.8" hidden="false" customHeight="false" outlineLevel="0" collapsed="false">
      <c r="A6038" s="0" t="s">
        <v>12</v>
      </c>
      <c r="B6038" s="0" t="n">
        <v>1683617</v>
      </c>
      <c r="C6038" s="0" t="n">
        <v>1683637</v>
      </c>
      <c r="D6038" s="0" t="s">
        <v>20204</v>
      </c>
      <c r="E6038" s="0" t="s">
        <v>20205</v>
      </c>
      <c r="F6038" s="0" t="s">
        <v>15</v>
      </c>
      <c r="G6038" s="0" t="s">
        <v>16</v>
      </c>
      <c r="H6038" s="0" t="n">
        <v>102</v>
      </c>
      <c r="I6038" s="0" t="s">
        <v>20215</v>
      </c>
      <c r="J6038" s="0" t="s">
        <v>20216</v>
      </c>
      <c r="K6038" s="0" t="s">
        <v>20217</v>
      </c>
      <c r="L6038" s="0" t="str">
        <f aca="false">HYPERLINK("https://www.ncbi.nlm.nih.gov/nuccore/CP000304.1?report=graph&amp;tracks=[key:gene_model_track,Options:GeneOnly]&amp;mk=1683535:1683554|offset_19|444444,1683558:1683577|offset_42|444444,1683598:1683617|offset_82|444444,1683618:1683637|offset_102|00cc00&amp;v=1683334:1683837&amp;c=444444", "offset 102")</f>
        <v>offset 102</v>
      </c>
    </row>
    <row r="6039" customFormat="false" ht="12.8" hidden="false" customHeight="false" outlineLevel="0" collapsed="false">
      <c r="A6039" s="0" t="s">
        <v>12</v>
      </c>
      <c r="B6039" s="0" t="n">
        <v>1684287</v>
      </c>
      <c r="C6039" s="0" t="n">
        <v>1684307</v>
      </c>
      <c r="D6039" s="0" t="s">
        <v>20218</v>
      </c>
      <c r="E6039" s="0" t="s">
        <v>20219</v>
      </c>
      <c r="F6039" s="0" t="s">
        <v>15</v>
      </c>
      <c r="G6039" s="0" t="s">
        <v>26</v>
      </c>
      <c r="H6039" s="0" t="n">
        <v>26</v>
      </c>
      <c r="I6039" s="0" t="s">
        <v>20220</v>
      </c>
      <c r="J6039" s="0" t="s">
        <v>20221</v>
      </c>
      <c r="K6039" s="0" t="s">
        <v>20222</v>
      </c>
      <c r="L6039" s="0" t="str">
        <f aca="false">HYPERLINK("https://www.ncbi.nlm.nih.gov/nuccore/CP000304.1?report=graph&amp;tracks=[key:gene_model_track,Options:GeneOnly]&amp;mk=1684288:1684307|offset_26|00cc00,1684311:1684330|offset_49|444444,1684360:1684379|offset_98|444444,1684390:1684409|offset_128|444444&amp;v=1684087:1684609&amp;c=444444", "offset 26")</f>
        <v>offset 26</v>
      </c>
    </row>
    <row r="6040" customFormat="false" ht="12.8" hidden="false" customHeight="false" outlineLevel="0" collapsed="false">
      <c r="A6040" s="0" t="s">
        <v>12</v>
      </c>
      <c r="B6040" s="0" t="n">
        <v>1684310</v>
      </c>
      <c r="C6040" s="0" t="n">
        <v>1684330</v>
      </c>
      <c r="D6040" s="0" t="s">
        <v>20218</v>
      </c>
      <c r="E6040" s="0" t="s">
        <v>20219</v>
      </c>
      <c r="F6040" s="0" t="s">
        <v>15</v>
      </c>
      <c r="G6040" s="0" t="s">
        <v>26</v>
      </c>
      <c r="H6040" s="0" t="n">
        <v>49</v>
      </c>
      <c r="I6040" s="0" t="s">
        <v>20223</v>
      </c>
      <c r="J6040" s="0" t="s">
        <v>20224</v>
      </c>
      <c r="K6040" s="0" t="s">
        <v>20225</v>
      </c>
      <c r="L6040" s="0" t="str">
        <f aca="false">HYPERLINK("https://www.ncbi.nlm.nih.gov/nuccore/CP000304.1?report=graph&amp;tracks=[key:gene_model_track,Options:GeneOnly]&amp;mk=1684288:1684307|offset_26|444444,1684311:1684330|offset_49|00cc00,1684360:1684379|offset_98|444444,1684390:1684409|offset_128|444444&amp;v=1684087:1684609&amp;c=444444", "offset 49")</f>
        <v>offset 49</v>
      </c>
    </row>
    <row r="6041" customFormat="false" ht="12.8" hidden="false" customHeight="false" outlineLevel="0" collapsed="false">
      <c r="A6041" s="0" t="s">
        <v>12</v>
      </c>
      <c r="B6041" s="0" t="n">
        <v>1684359</v>
      </c>
      <c r="C6041" s="0" t="n">
        <v>1684379</v>
      </c>
      <c r="D6041" s="0" t="s">
        <v>20218</v>
      </c>
      <c r="E6041" s="0" t="s">
        <v>20219</v>
      </c>
      <c r="F6041" s="0" t="s">
        <v>15</v>
      </c>
      <c r="G6041" s="0" t="s">
        <v>26</v>
      </c>
      <c r="H6041" s="0" t="n">
        <v>98</v>
      </c>
      <c r="I6041" s="0" t="s">
        <v>20226</v>
      </c>
      <c r="J6041" s="0" t="s">
        <v>20227</v>
      </c>
      <c r="K6041" s="0" t="s">
        <v>20228</v>
      </c>
      <c r="L6041" s="0" t="str">
        <f aca="false">HYPERLINK("https://www.ncbi.nlm.nih.gov/nuccore/CP000304.1?report=graph&amp;tracks=[key:gene_model_track,Options:GeneOnly]&amp;mk=1684288:1684307|offset_26|444444,1684311:1684330|offset_49|444444,1684360:1684379|offset_98|00cc00,1684390:1684409|offset_128|444444&amp;v=1684087:1684609&amp;c=444444", "offset 98")</f>
        <v>offset 98</v>
      </c>
    </row>
    <row r="6042" customFormat="false" ht="12.8" hidden="false" customHeight="false" outlineLevel="0" collapsed="false">
      <c r="A6042" s="0" t="s">
        <v>12</v>
      </c>
      <c r="B6042" s="0" t="n">
        <v>1684389</v>
      </c>
      <c r="C6042" s="0" t="n">
        <v>1684409</v>
      </c>
      <c r="D6042" s="0" t="s">
        <v>20218</v>
      </c>
      <c r="E6042" s="0" t="s">
        <v>20219</v>
      </c>
      <c r="F6042" s="0" t="s">
        <v>15</v>
      </c>
      <c r="G6042" s="0" t="s">
        <v>16</v>
      </c>
      <c r="H6042" s="0" t="n">
        <v>128</v>
      </c>
      <c r="I6042" s="0" t="s">
        <v>20229</v>
      </c>
      <c r="J6042" s="0" t="s">
        <v>20230</v>
      </c>
      <c r="K6042" s="0" t="s">
        <v>20231</v>
      </c>
      <c r="L6042" s="0" t="str">
        <f aca="false">HYPERLINK("https://www.ncbi.nlm.nih.gov/nuccore/CP000304.1?report=graph&amp;tracks=[key:gene_model_track,Options:GeneOnly]&amp;mk=1684288:1684307|offset_26|444444,1684311:1684330|offset_49|444444,1684360:1684379|offset_98|444444,1684390:1684409|offset_128|00cc00&amp;v=1684087:1684609&amp;c=444444", "offset 128")</f>
        <v>offset 128</v>
      </c>
    </row>
    <row r="6043" customFormat="false" ht="12.8" hidden="false" customHeight="false" outlineLevel="0" collapsed="false">
      <c r="A6043" s="0" t="s">
        <v>12</v>
      </c>
      <c r="B6043" s="0" t="n">
        <v>1684986</v>
      </c>
      <c r="C6043" s="0" t="n">
        <v>1685006</v>
      </c>
      <c r="D6043" s="0" t="s">
        <v>20232</v>
      </c>
      <c r="E6043" s="0" t="s">
        <v>89</v>
      </c>
      <c r="F6043" s="0" t="s">
        <v>15</v>
      </c>
      <c r="G6043" s="0" t="s">
        <v>32</v>
      </c>
      <c r="H6043" s="0" t="n">
        <v>28</v>
      </c>
      <c r="I6043" s="0" t="s">
        <v>20233</v>
      </c>
      <c r="J6043" s="0" t="s">
        <v>20234</v>
      </c>
      <c r="K6043" s="0" t="s">
        <v>20235</v>
      </c>
      <c r="L6043" s="0" t="str">
        <f aca="false">HYPERLINK("https://www.ncbi.nlm.nih.gov/nuccore/CP000304.1?report=graph&amp;tracks=[key:gene_model_track,Options:GeneOnly]&amp;mk=1684987:1685006|offset_28|00cc00,1685022:1685041|offset_63|444444,1685056:1685075|offset_97|444444,1685083:1685102|offset_124|444444&amp;v=1684786:1685302&amp;c=444444", "offset 28")</f>
        <v>offset 28</v>
      </c>
    </row>
    <row r="6044" customFormat="false" ht="12.8" hidden="false" customHeight="false" outlineLevel="0" collapsed="false">
      <c r="A6044" s="0" t="s">
        <v>12</v>
      </c>
      <c r="B6044" s="0" t="n">
        <v>1685021</v>
      </c>
      <c r="C6044" s="0" t="n">
        <v>1685041</v>
      </c>
      <c r="D6044" s="0" t="s">
        <v>20232</v>
      </c>
      <c r="E6044" s="0" t="s">
        <v>89</v>
      </c>
      <c r="F6044" s="0" t="s">
        <v>15</v>
      </c>
      <c r="G6044" s="0" t="s">
        <v>36</v>
      </c>
      <c r="H6044" s="0" t="n">
        <v>63</v>
      </c>
      <c r="I6044" s="0" t="s">
        <v>20236</v>
      </c>
      <c r="J6044" s="0" t="s">
        <v>20237</v>
      </c>
      <c r="K6044" s="0" t="s">
        <v>20238</v>
      </c>
      <c r="L6044" s="0" t="str">
        <f aca="false">HYPERLINK("https://www.ncbi.nlm.nih.gov/nuccore/CP000304.1?report=graph&amp;tracks=[key:gene_model_track,Options:GeneOnly]&amp;mk=1684987:1685006|offset_28|444444,1685022:1685041|offset_63|00cc00,1685056:1685075|offset_97|444444,1685083:1685102|offset_124|444444&amp;v=1684786:1685302&amp;c=444444", "offset 63")</f>
        <v>offset 63</v>
      </c>
    </row>
    <row r="6045" customFormat="false" ht="12.8" hidden="false" customHeight="false" outlineLevel="0" collapsed="false">
      <c r="A6045" s="0" t="s">
        <v>12</v>
      </c>
      <c r="B6045" s="0" t="n">
        <v>1685055</v>
      </c>
      <c r="C6045" s="0" t="n">
        <v>1685075</v>
      </c>
      <c r="D6045" s="0" t="s">
        <v>20232</v>
      </c>
      <c r="E6045" s="0" t="s">
        <v>89</v>
      </c>
      <c r="F6045" s="0" t="s">
        <v>15</v>
      </c>
      <c r="G6045" s="0" t="s">
        <v>16</v>
      </c>
      <c r="H6045" s="0" t="n">
        <v>97</v>
      </c>
      <c r="I6045" s="0" t="s">
        <v>20239</v>
      </c>
      <c r="J6045" s="0" t="s">
        <v>20240</v>
      </c>
      <c r="K6045" s="0" t="s">
        <v>20241</v>
      </c>
      <c r="L6045" s="0" t="str">
        <f aca="false">HYPERLINK("https://www.ncbi.nlm.nih.gov/nuccore/CP000304.1?report=graph&amp;tracks=[key:gene_model_track,Options:GeneOnly]&amp;mk=1684987:1685006|offset_28|444444,1685022:1685041|offset_63|444444,1685056:1685075|offset_97|00cc00,1685083:1685102|offset_124|444444&amp;v=1684786:1685302&amp;c=444444", "offset 97")</f>
        <v>offset 97</v>
      </c>
    </row>
    <row r="6046" customFormat="false" ht="12.8" hidden="false" customHeight="false" outlineLevel="0" collapsed="false">
      <c r="A6046" s="0" t="s">
        <v>12</v>
      </c>
      <c r="B6046" s="0" t="n">
        <v>1685082</v>
      </c>
      <c r="C6046" s="0" t="n">
        <v>1685102</v>
      </c>
      <c r="D6046" s="0" t="s">
        <v>20232</v>
      </c>
      <c r="E6046" s="0" t="s">
        <v>89</v>
      </c>
      <c r="F6046" s="0" t="s">
        <v>15</v>
      </c>
      <c r="G6046" s="0" t="s">
        <v>32</v>
      </c>
      <c r="H6046" s="0" t="n">
        <v>124</v>
      </c>
      <c r="I6046" s="0" t="s">
        <v>20242</v>
      </c>
      <c r="J6046" s="0" t="s">
        <v>20243</v>
      </c>
      <c r="K6046" s="0" t="s">
        <v>20244</v>
      </c>
      <c r="L6046" s="0" t="str">
        <f aca="false">HYPERLINK("https://www.ncbi.nlm.nih.gov/nuccore/CP000304.1?report=graph&amp;tracks=[key:gene_model_track,Options:GeneOnly]&amp;mk=1684987:1685006|offset_28|444444,1685022:1685041|offset_63|444444,1685056:1685075|offset_97|444444,1685083:1685102|offset_124|00cc00&amp;v=1684786:1685302&amp;c=444444", "offset 124")</f>
        <v>offset 124</v>
      </c>
    </row>
    <row r="6047" customFormat="false" ht="12.8" hidden="false" customHeight="false" outlineLevel="0" collapsed="false">
      <c r="A6047" s="0" t="s">
        <v>12</v>
      </c>
      <c r="B6047" s="0" t="n">
        <v>1685961</v>
      </c>
      <c r="C6047" s="0" t="n">
        <v>1685981</v>
      </c>
      <c r="D6047" s="0" t="s">
        <v>20245</v>
      </c>
      <c r="E6047" s="0" t="s">
        <v>20246</v>
      </c>
      <c r="F6047" s="0" t="s">
        <v>15</v>
      </c>
      <c r="G6047" s="0" t="s">
        <v>36</v>
      </c>
      <c r="H6047" s="0" t="n">
        <v>0</v>
      </c>
      <c r="I6047" s="0" t="s">
        <v>20247</v>
      </c>
      <c r="J6047" s="0" t="s">
        <v>20248</v>
      </c>
      <c r="K6047" s="0" t="s">
        <v>20249</v>
      </c>
      <c r="L6047" s="0" t="str">
        <f aca="false">HYPERLINK("https://www.ncbi.nlm.nih.gov/nuccore/CP000304.1?report=graph&amp;tracks=[key:gene_model_track,Options:GeneOnly]&amp;mk=1685962:1685981|offset_0|00cc00,1685999:1686018|offset_37|444444,1686028:1686047|offset_66|444444,1686063:1686082|offset_101|444444&amp;v=1685761:1686282&amp;c=444444", "offset 0")</f>
        <v>offset 0</v>
      </c>
    </row>
    <row r="6048" customFormat="false" ht="12.8" hidden="false" customHeight="false" outlineLevel="0" collapsed="false">
      <c r="A6048" s="0" t="s">
        <v>12</v>
      </c>
      <c r="B6048" s="0" t="n">
        <v>1685998</v>
      </c>
      <c r="C6048" s="0" t="n">
        <v>1686018</v>
      </c>
      <c r="D6048" s="0" t="s">
        <v>20245</v>
      </c>
      <c r="E6048" s="0" t="s">
        <v>20246</v>
      </c>
      <c r="F6048" s="0" t="s">
        <v>15</v>
      </c>
      <c r="G6048" s="0" t="s">
        <v>16</v>
      </c>
      <c r="H6048" s="0" t="n">
        <v>37</v>
      </c>
      <c r="I6048" s="0" t="s">
        <v>20250</v>
      </c>
      <c r="J6048" s="0" t="s">
        <v>20251</v>
      </c>
      <c r="K6048" s="0" t="s">
        <v>20252</v>
      </c>
      <c r="L6048" s="0" t="str">
        <f aca="false">HYPERLINK("https://www.ncbi.nlm.nih.gov/nuccore/CP000304.1?report=graph&amp;tracks=[key:gene_model_track,Options:GeneOnly]&amp;mk=1685962:1685981|offset_0|444444,1685999:1686018|offset_37|00cc00,1686028:1686047|offset_66|444444,1686063:1686082|offset_101|444444&amp;v=1685761:1686282&amp;c=444444", "offset 37")</f>
        <v>offset 37</v>
      </c>
    </row>
    <row r="6049" customFormat="false" ht="12.8" hidden="false" customHeight="false" outlineLevel="0" collapsed="false">
      <c r="A6049" s="0" t="s">
        <v>12</v>
      </c>
      <c r="B6049" s="0" t="n">
        <v>1686027</v>
      </c>
      <c r="C6049" s="0" t="n">
        <v>1686047</v>
      </c>
      <c r="D6049" s="0" t="s">
        <v>20245</v>
      </c>
      <c r="E6049" s="0" t="s">
        <v>20246</v>
      </c>
      <c r="F6049" s="0" t="s">
        <v>15</v>
      </c>
      <c r="G6049" s="0" t="s">
        <v>26</v>
      </c>
      <c r="H6049" s="0" t="n">
        <v>66</v>
      </c>
      <c r="I6049" s="0" t="s">
        <v>20253</v>
      </c>
      <c r="J6049" s="0" t="s">
        <v>20254</v>
      </c>
      <c r="K6049" s="0" t="s">
        <v>20255</v>
      </c>
      <c r="L6049" s="0" t="str">
        <f aca="false">HYPERLINK("https://www.ncbi.nlm.nih.gov/nuccore/CP000304.1?report=graph&amp;tracks=[key:gene_model_track,Options:GeneOnly]&amp;mk=1685962:1685981|offset_0|444444,1685999:1686018|offset_37|444444,1686028:1686047|offset_66|00cc00,1686063:1686082|offset_101|444444&amp;v=1685761:1686282&amp;c=444444", "offset 66")</f>
        <v>offset 66</v>
      </c>
    </row>
    <row r="6050" customFormat="false" ht="12.8" hidden="false" customHeight="false" outlineLevel="0" collapsed="false">
      <c r="A6050" s="0" t="s">
        <v>12</v>
      </c>
      <c r="B6050" s="0" t="n">
        <v>1686062</v>
      </c>
      <c r="C6050" s="0" t="n">
        <v>1686082</v>
      </c>
      <c r="D6050" s="0" t="s">
        <v>20245</v>
      </c>
      <c r="E6050" s="0" t="s">
        <v>20246</v>
      </c>
      <c r="F6050" s="0" t="s">
        <v>15</v>
      </c>
      <c r="G6050" s="0" t="s">
        <v>32</v>
      </c>
      <c r="H6050" s="0" t="n">
        <v>101</v>
      </c>
      <c r="I6050" s="0" t="s">
        <v>20256</v>
      </c>
      <c r="J6050" s="0" t="s">
        <v>20257</v>
      </c>
      <c r="K6050" s="0" t="s">
        <v>20258</v>
      </c>
      <c r="L6050" s="0" t="str">
        <f aca="false">HYPERLINK("https://www.ncbi.nlm.nih.gov/nuccore/CP000304.1?report=graph&amp;tracks=[key:gene_model_track,Options:GeneOnly]&amp;mk=1685962:1685981|offset_0|444444,1685999:1686018|offset_37|444444,1686028:1686047|offset_66|444444,1686063:1686082|offset_101|00cc00&amp;v=1685761:1686282&amp;c=444444", "offset 101")</f>
        <v>offset 101</v>
      </c>
    </row>
    <row r="6051" customFormat="false" ht="12.8" hidden="false" customHeight="false" outlineLevel="0" collapsed="false">
      <c r="A6051" s="0" t="s">
        <v>12</v>
      </c>
      <c r="B6051" s="0" t="n">
        <v>1686892</v>
      </c>
      <c r="C6051" s="0" t="n">
        <v>1686912</v>
      </c>
      <c r="D6051" s="0" t="s">
        <v>20259</v>
      </c>
      <c r="E6051" s="0" t="s">
        <v>20260</v>
      </c>
      <c r="F6051" s="0" t="s">
        <v>15</v>
      </c>
      <c r="G6051" s="0" t="s">
        <v>32</v>
      </c>
      <c r="H6051" s="0" t="n">
        <v>17</v>
      </c>
      <c r="I6051" s="0" t="s">
        <v>20261</v>
      </c>
      <c r="J6051" s="0" t="s">
        <v>20262</v>
      </c>
      <c r="K6051" s="0" t="s">
        <v>20263</v>
      </c>
      <c r="L6051" s="0" t="str">
        <f aca="false">HYPERLINK("https://www.ncbi.nlm.nih.gov/nuccore/CP000304.1?report=graph&amp;tracks=[key:gene_model_track,Options:GeneOnly]&amp;mk=1686893:1686912|offset_17|00cc00,1686942:1686961|offset_66|444444,1686973:1686992|offset_97|444444,1686996:1687015|offset_120|444444&amp;v=1686692:1687215&amp;c=444444", "offset 17")</f>
        <v>offset 17</v>
      </c>
    </row>
    <row r="6052" customFormat="false" ht="12.8" hidden="false" customHeight="false" outlineLevel="0" collapsed="false">
      <c r="A6052" s="0" t="s">
        <v>12</v>
      </c>
      <c r="B6052" s="0" t="n">
        <v>1686941</v>
      </c>
      <c r="C6052" s="0" t="n">
        <v>1686961</v>
      </c>
      <c r="D6052" s="0" t="s">
        <v>20259</v>
      </c>
      <c r="E6052" s="0" t="s">
        <v>20260</v>
      </c>
      <c r="F6052" s="0" t="s">
        <v>15</v>
      </c>
      <c r="G6052" s="0" t="s">
        <v>36</v>
      </c>
      <c r="H6052" s="0" t="n">
        <v>66</v>
      </c>
      <c r="I6052" s="0" t="s">
        <v>20264</v>
      </c>
      <c r="J6052" s="0" t="s">
        <v>20265</v>
      </c>
      <c r="K6052" s="0" t="s">
        <v>20266</v>
      </c>
      <c r="L6052" s="0" t="str">
        <f aca="false">HYPERLINK("https://www.ncbi.nlm.nih.gov/nuccore/CP000304.1?report=graph&amp;tracks=[key:gene_model_track,Options:GeneOnly]&amp;mk=1686893:1686912|offset_17|444444,1686942:1686961|offset_66|00cc00,1686973:1686992|offset_97|444444,1686996:1687015|offset_120|444444&amp;v=1686692:1687215&amp;c=444444", "offset 66")</f>
        <v>offset 66</v>
      </c>
    </row>
    <row r="6053" customFormat="false" ht="12.8" hidden="false" customHeight="false" outlineLevel="0" collapsed="false">
      <c r="A6053" s="0" t="s">
        <v>12</v>
      </c>
      <c r="B6053" s="0" t="n">
        <v>1686972</v>
      </c>
      <c r="C6053" s="0" t="n">
        <v>1686992</v>
      </c>
      <c r="D6053" s="0" t="s">
        <v>20259</v>
      </c>
      <c r="E6053" s="0" t="s">
        <v>20260</v>
      </c>
      <c r="F6053" s="0" t="s">
        <v>15</v>
      </c>
      <c r="G6053" s="0" t="s">
        <v>32</v>
      </c>
      <c r="H6053" s="0" t="n">
        <v>97</v>
      </c>
      <c r="I6053" s="0" t="s">
        <v>20267</v>
      </c>
      <c r="J6053" s="0" t="s">
        <v>20268</v>
      </c>
      <c r="K6053" s="0" t="s">
        <v>20269</v>
      </c>
      <c r="L6053" s="0" t="str">
        <f aca="false">HYPERLINK("https://www.ncbi.nlm.nih.gov/nuccore/CP000304.1?report=graph&amp;tracks=[key:gene_model_track,Options:GeneOnly]&amp;mk=1686893:1686912|offset_17|444444,1686942:1686961|offset_66|444444,1686973:1686992|offset_97|00cc00,1686996:1687015|offset_120|444444&amp;v=1686692:1687215&amp;c=444444", "offset 97")</f>
        <v>offset 97</v>
      </c>
    </row>
    <row r="6054" customFormat="false" ht="12.8" hidden="false" customHeight="false" outlineLevel="0" collapsed="false">
      <c r="A6054" s="0" t="s">
        <v>12</v>
      </c>
      <c r="B6054" s="0" t="n">
        <v>1686995</v>
      </c>
      <c r="C6054" s="0" t="n">
        <v>1687015</v>
      </c>
      <c r="D6054" s="0" t="s">
        <v>20259</v>
      </c>
      <c r="E6054" s="0" t="s">
        <v>20260</v>
      </c>
      <c r="F6054" s="0" t="s">
        <v>15</v>
      </c>
      <c r="G6054" s="0" t="s">
        <v>36</v>
      </c>
      <c r="H6054" s="0" t="n">
        <v>120</v>
      </c>
      <c r="I6054" s="0" t="s">
        <v>20270</v>
      </c>
      <c r="J6054" s="0" t="s">
        <v>20271</v>
      </c>
      <c r="K6054" s="0" t="s">
        <v>20272</v>
      </c>
      <c r="L6054" s="0" t="str">
        <f aca="false">HYPERLINK("https://www.ncbi.nlm.nih.gov/nuccore/CP000304.1?report=graph&amp;tracks=[key:gene_model_track,Options:GeneOnly]&amp;mk=1686893:1686912|offset_17|444444,1686942:1686961|offset_66|444444,1686973:1686992|offset_97|444444,1686996:1687015|offset_120|00cc00&amp;v=1686692:1687215&amp;c=444444", "offset 120")</f>
        <v>offset 120</v>
      </c>
    </row>
    <row r="6055" customFormat="false" ht="12.8" hidden="false" customHeight="false" outlineLevel="0" collapsed="false">
      <c r="A6055" s="0" t="s">
        <v>12</v>
      </c>
      <c r="B6055" s="0" t="n">
        <v>1688376</v>
      </c>
      <c r="C6055" s="0" t="n">
        <v>1688396</v>
      </c>
      <c r="D6055" s="0" t="s">
        <v>20273</v>
      </c>
      <c r="E6055" s="0" t="s">
        <v>89</v>
      </c>
      <c r="F6055" s="0" t="s">
        <v>15</v>
      </c>
      <c r="G6055" s="0" t="s">
        <v>32</v>
      </c>
      <c r="H6055" s="0" t="n">
        <v>0</v>
      </c>
      <c r="I6055" s="0" t="s">
        <v>20274</v>
      </c>
      <c r="J6055" s="0" t="s">
        <v>20275</v>
      </c>
      <c r="K6055" s="0" t="s">
        <v>20276</v>
      </c>
      <c r="L6055" s="0" t="str">
        <f aca="false">HYPERLINK("https://www.ncbi.nlm.nih.gov/nuccore/CP000304.1?report=graph&amp;tracks=[key:gene_model_track,Options:GeneOnly]&amp;mk=1688377:1688396|offset_0|00cc00,1688409:1688428|offset_32|444444,1688455:1688474|offset_78|444444,1688488:1688507|offset_111|444444&amp;v=1688176:1688707&amp;c=444444", "offset 0")</f>
        <v>offset 0</v>
      </c>
    </row>
    <row r="6056" customFormat="false" ht="12.8" hidden="false" customHeight="false" outlineLevel="0" collapsed="false">
      <c r="A6056" s="0" t="s">
        <v>12</v>
      </c>
      <c r="B6056" s="0" t="n">
        <v>1688408</v>
      </c>
      <c r="C6056" s="0" t="n">
        <v>1688428</v>
      </c>
      <c r="D6056" s="0" t="s">
        <v>20273</v>
      </c>
      <c r="E6056" s="0" t="s">
        <v>89</v>
      </c>
      <c r="F6056" s="0" t="s">
        <v>15</v>
      </c>
      <c r="G6056" s="0" t="s">
        <v>36</v>
      </c>
      <c r="H6056" s="0" t="n">
        <v>32</v>
      </c>
      <c r="I6056" s="0" t="s">
        <v>20277</v>
      </c>
      <c r="J6056" s="0" t="s">
        <v>20278</v>
      </c>
      <c r="K6056" s="0" t="s">
        <v>20279</v>
      </c>
      <c r="L6056" s="0" t="str">
        <f aca="false">HYPERLINK("https://www.ncbi.nlm.nih.gov/nuccore/CP000304.1?report=graph&amp;tracks=[key:gene_model_track,Options:GeneOnly]&amp;mk=1688377:1688396|offset_0|444444,1688409:1688428|offset_32|00cc00,1688455:1688474|offset_78|444444,1688488:1688507|offset_111|444444&amp;v=1688176:1688707&amp;c=444444", "offset 32")</f>
        <v>offset 32</v>
      </c>
    </row>
    <row r="6057" customFormat="false" ht="12.8" hidden="false" customHeight="false" outlineLevel="0" collapsed="false">
      <c r="A6057" s="0" t="s">
        <v>12</v>
      </c>
      <c r="B6057" s="0" t="n">
        <v>1688454</v>
      </c>
      <c r="C6057" s="0" t="n">
        <v>1688474</v>
      </c>
      <c r="D6057" s="0" t="s">
        <v>20273</v>
      </c>
      <c r="E6057" s="0" t="s">
        <v>89</v>
      </c>
      <c r="F6057" s="0" t="s">
        <v>15</v>
      </c>
      <c r="G6057" s="0" t="s">
        <v>32</v>
      </c>
      <c r="H6057" s="0" t="n">
        <v>78</v>
      </c>
      <c r="I6057" s="0" t="s">
        <v>20280</v>
      </c>
      <c r="J6057" s="0" t="s">
        <v>20281</v>
      </c>
      <c r="K6057" s="0" t="s">
        <v>20282</v>
      </c>
      <c r="L6057" s="0" t="str">
        <f aca="false">HYPERLINK("https://www.ncbi.nlm.nih.gov/nuccore/CP000304.1?report=graph&amp;tracks=[key:gene_model_track,Options:GeneOnly]&amp;mk=1688377:1688396|offset_0|444444,1688409:1688428|offset_32|444444,1688455:1688474|offset_78|00cc00,1688488:1688507|offset_111|444444&amp;v=1688176:1688707&amp;c=444444", "offset 78")</f>
        <v>offset 78</v>
      </c>
    </row>
    <row r="6058" customFormat="false" ht="12.8" hidden="false" customHeight="false" outlineLevel="0" collapsed="false">
      <c r="A6058" s="0" t="s">
        <v>12</v>
      </c>
      <c r="B6058" s="0" t="n">
        <v>1688487</v>
      </c>
      <c r="C6058" s="0" t="n">
        <v>1688507</v>
      </c>
      <c r="D6058" s="0" t="s">
        <v>20273</v>
      </c>
      <c r="E6058" s="0" t="s">
        <v>89</v>
      </c>
      <c r="F6058" s="0" t="s">
        <v>15</v>
      </c>
      <c r="G6058" s="0" t="s">
        <v>16</v>
      </c>
      <c r="H6058" s="0" t="n">
        <v>111</v>
      </c>
      <c r="I6058" s="0" t="s">
        <v>20283</v>
      </c>
      <c r="J6058" s="0" t="s">
        <v>20284</v>
      </c>
      <c r="K6058" s="0" t="s">
        <v>20285</v>
      </c>
      <c r="L6058" s="0" t="str">
        <f aca="false">HYPERLINK("https://www.ncbi.nlm.nih.gov/nuccore/CP000304.1?report=graph&amp;tracks=[key:gene_model_track,Options:GeneOnly]&amp;mk=1688377:1688396|offset_0|444444,1688409:1688428|offset_32|444444,1688455:1688474|offset_78|444444,1688488:1688507|offset_111|00cc00&amp;v=1688176:1688707&amp;c=444444", "offset 111")</f>
        <v>offset 111</v>
      </c>
    </row>
    <row r="6059" customFormat="false" ht="12.8" hidden="false" customHeight="false" outlineLevel="0" collapsed="false">
      <c r="A6059" s="0" t="s">
        <v>12</v>
      </c>
      <c r="B6059" s="0" t="n">
        <v>1689370</v>
      </c>
      <c r="C6059" s="0" t="n">
        <v>1689390</v>
      </c>
      <c r="D6059" s="0" t="s">
        <v>20286</v>
      </c>
      <c r="E6059" s="0" t="s">
        <v>89</v>
      </c>
      <c r="F6059" s="0" t="s">
        <v>90</v>
      </c>
      <c r="G6059" s="0" t="s">
        <v>36</v>
      </c>
      <c r="H6059" s="0" t="n">
        <v>37</v>
      </c>
      <c r="I6059" s="0" t="s">
        <v>20287</v>
      </c>
      <c r="J6059" s="0" t="s">
        <v>20288</v>
      </c>
      <c r="K6059" s="0" t="s">
        <v>20289</v>
      </c>
      <c r="L6059" s="0" t="str">
        <f aca="false">HYPERLINK("https://www.ncbi.nlm.nih.gov/nuccore/CP000304.1?report=graph&amp;tracks=[key:gene_model_track,Options:GeneOnly]&amp;mk=1689371:1689390|offset_37|00cc00,1689328:1689347|offset_80|444444,1689290:1689309|offset_118|444444,1689259:1689278|offset_149|444444&amp;v=1689170:1689478&amp;c=444444", "offset 37")</f>
        <v>offset 37</v>
      </c>
    </row>
    <row r="6060" customFormat="false" ht="12.8" hidden="false" customHeight="false" outlineLevel="0" collapsed="false">
      <c r="A6060" s="0" t="s">
        <v>12</v>
      </c>
      <c r="B6060" s="0" t="n">
        <v>1689327</v>
      </c>
      <c r="C6060" s="0" t="n">
        <v>1689347</v>
      </c>
      <c r="D6060" s="0" t="s">
        <v>20286</v>
      </c>
      <c r="E6060" s="0" t="s">
        <v>89</v>
      </c>
      <c r="F6060" s="0" t="s">
        <v>90</v>
      </c>
      <c r="G6060" s="0" t="s">
        <v>16</v>
      </c>
      <c r="H6060" s="0" t="n">
        <v>80</v>
      </c>
      <c r="I6060" s="0" t="s">
        <v>20290</v>
      </c>
      <c r="J6060" s="0" t="s">
        <v>20291</v>
      </c>
      <c r="K6060" s="0" t="s">
        <v>20292</v>
      </c>
      <c r="L6060" s="0" t="str">
        <f aca="false">HYPERLINK("https://www.ncbi.nlm.nih.gov/nuccore/CP000304.1?report=graph&amp;tracks=[key:gene_model_track,Options:GeneOnly]&amp;mk=1689371:1689390|offset_37|444444,1689328:1689347|offset_80|00cc00,1689290:1689309|offset_118|444444,1689259:1689278|offset_149|444444&amp;v=1689170:1689478&amp;c=444444", "offset 80")</f>
        <v>offset 80</v>
      </c>
    </row>
    <row r="6061" customFormat="false" ht="12.8" hidden="false" customHeight="false" outlineLevel="0" collapsed="false">
      <c r="A6061" s="0" t="s">
        <v>12</v>
      </c>
      <c r="B6061" s="0" t="n">
        <v>1689289</v>
      </c>
      <c r="C6061" s="0" t="n">
        <v>1689309</v>
      </c>
      <c r="D6061" s="0" t="s">
        <v>20286</v>
      </c>
      <c r="E6061" s="0" t="s">
        <v>89</v>
      </c>
      <c r="F6061" s="0" t="s">
        <v>90</v>
      </c>
      <c r="G6061" s="0" t="s">
        <v>32</v>
      </c>
      <c r="H6061" s="0" t="n">
        <v>118</v>
      </c>
      <c r="I6061" s="0" t="s">
        <v>20293</v>
      </c>
      <c r="J6061" s="0" t="s">
        <v>20294</v>
      </c>
      <c r="K6061" s="0" t="s">
        <v>20295</v>
      </c>
      <c r="L6061" s="0" t="str">
        <f aca="false">HYPERLINK("https://www.ncbi.nlm.nih.gov/nuccore/CP000304.1?report=graph&amp;tracks=[key:gene_model_track,Options:GeneOnly]&amp;mk=1689371:1689390|offset_37|444444,1689328:1689347|offset_80|444444,1689290:1689309|offset_118|00cc00,1689259:1689278|offset_149|444444&amp;v=1689170:1689478&amp;c=444444", "offset 118")</f>
        <v>offset 118</v>
      </c>
    </row>
    <row r="6062" customFormat="false" ht="12.8" hidden="false" customHeight="false" outlineLevel="0" collapsed="false">
      <c r="A6062" s="0" t="s">
        <v>12</v>
      </c>
      <c r="B6062" s="0" t="n">
        <v>1689258</v>
      </c>
      <c r="C6062" s="0" t="n">
        <v>1689278</v>
      </c>
      <c r="D6062" s="0" t="s">
        <v>20286</v>
      </c>
      <c r="E6062" s="0" t="s">
        <v>89</v>
      </c>
      <c r="F6062" s="0" t="s">
        <v>90</v>
      </c>
      <c r="G6062" s="0" t="s">
        <v>26</v>
      </c>
      <c r="H6062" s="0" t="n">
        <v>149</v>
      </c>
      <c r="I6062" s="0" t="s">
        <v>20296</v>
      </c>
      <c r="J6062" s="0" t="s">
        <v>20297</v>
      </c>
      <c r="K6062" s="0" t="s">
        <v>20298</v>
      </c>
      <c r="L6062" s="0" t="str">
        <f aca="false">HYPERLINK("https://www.ncbi.nlm.nih.gov/nuccore/CP000304.1?report=graph&amp;tracks=[key:gene_model_track,Options:GeneOnly]&amp;mk=1689371:1689390|offset_37|444444,1689328:1689347|offset_80|444444,1689290:1689309|offset_118|444444,1689259:1689278|offset_149|00cc00&amp;v=1689170:1689478&amp;c=444444", "offset 149")</f>
        <v>offset 149</v>
      </c>
    </row>
    <row r="6063" customFormat="false" ht="12.8" hidden="false" customHeight="false" outlineLevel="0" collapsed="false">
      <c r="A6063" s="0" t="s">
        <v>12</v>
      </c>
      <c r="B6063" s="0" t="n">
        <v>1689432</v>
      </c>
      <c r="C6063" s="0" t="n">
        <v>1689452</v>
      </c>
      <c r="D6063" s="0" t="s">
        <v>20299</v>
      </c>
      <c r="E6063" s="0" t="s">
        <v>89</v>
      </c>
      <c r="F6063" s="0" t="s">
        <v>15</v>
      </c>
      <c r="G6063" s="0" t="s">
        <v>32</v>
      </c>
      <c r="H6063" s="0" t="n">
        <v>36</v>
      </c>
      <c r="I6063" s="0" t="s">
        <v>20300</v>
      </c>
      <c r="J6063" s="0" t="s">
        <v>20301</v>
      </c>
      <c r="K6063" s="0" t="s">
        <v>20302</v>
      </c>
      <c r="L6063" s="0" t="str">
        <f aca="false">HYPERLINK("https://www.ncbi.nlm.nih.gov/nuccore/CP000304.1?report=graph&amp;tracks=[key:gene_model_track,Options:GeneOnly]&amp;mk=1689433:1689452|offset_36|00cc00,1689454:1689473|offset_57|444444,1689475:1689494|offset_78|444444,1689498:1689517|offset_101|444444&amp;v=1689232:1689717&amp;c=444444", "offset 36")</f>
        <v>offset 36</v>
      </c>
    </row>
    <row r="6064" customFormat="false" ht="12.8" hidden="false" customHeight="false" outlineLevel="0" collapsed="false">
      <c r="A6064" s="0" t="s">
        <v>12</v>
      </c>
      <c r="B6064" s="0" t="n">
        <v>1689453</v>
      </c>
      <c r="C6064" s="0" t="n">
        <v>1689473</v>
      </c>
      <c r="D6064" s="0" t="s">
        <v>20299</v>
      </c>
      <c r="E6064" s="0" t="s">
        <v>89</v>
      </c>
      <c r="F6064" s="0" t="s">
        <v>15</v>
      </c>
      <c r="G6064" s="0" t="s">
        <v>36</v>
      </c>
      <c r="H6064" s="0" t="n">
        <v>57</v>
      </c>
      <c r="I6064" s="0" t="s">
        <v>20303</v>
      </c>
      <c r="J6064" s="0" t="s">
        <v>20304</v>
      </c>
      <c r="K6064" s="0" t="s">
        <v>20305</v>
      </c>
      <c r="L6064" s="0" t="str">
        <f aca="false">HYPERLINK("https://www.ncbi.nlm.nih.gov/nuccore/CP000304.1?report=graph&amp;tracks=[key:gene_model_track,Options:GeneOnly]&amp;mk=1689433:1689452|offset_36|444444,1689454:1689473|offset_57|00cc00,1689475:1689494|offset_78|444444,1689498:1689517|offset_101|444444&amp;v=1689232:1689717&amp;c=444444", "offset 57")</f>
        <v>offset 57</v>
      </c>
    </row>
    <row r="6065" customFormat="false" ht="12.8" hidden="false" customHeight="false" outlineLevel="0" collapsed="false">
      <c r="A6065" s="0" t="s">
        <v>12</v>
      </c>
      <c r="B6065" s="0" t="n">
        <v>1689474</v>
      </c>
      <c r="C6065" s="0" t="n">
        <v>1689494</v>
      </c>
      <c r="D6065" s="0" t="s">
        <v>20299</v>
      </c>
      <c r="E6065" s="0" t="s">
        <v>89</v>
      </c>
      <c r="F6065" s="0" t="s">
        <v>15</v>
      </c>
      <c r="G6065" s="0" t="s">
        <v>16</v>
      </c>
      <c r="H6065" s="0" t="n">
        <v>78</v>
      </c>
      <c r="I6065" s="0" t="s">
        <v>20306</v>
      </c>
      <c r="J6065" s="0" t="s">
        <v>20307</v>
      </c>
      <c r="K6065" s="0" t="s">
        <v>20308</v>
      </c>
      <c r="L6065" s="0" t="str">
        <f aca="false">HYPERLINK("https://www.ncbi.nlm.nih.gov/nuccore/CP000304.1?report=graph&amp;tracks=[key:gene_model_track,Options:GeneOnly]&amp;mk=1689433:1689452|offset_36|444444,1689454:1689473|offset_57|444444,1689475:1689494|offset_78|00cc00,1689498:1689517|offset_101|444444&amp;v=1689232:1689717&amp;c=444444", "offset 78")</f>
        <v>offset 78</v>
      </c>
    </row>
    <row r="6066" customFormat="false" ht="12.8" hidden="false" customHeight="false" outlineLevel="0" collapsed="false">
      <c r="A6066" s="0" t="s">
        <v>12</v>
      </c>
      <c r="B6066" s="0" t="n">
        <v>1689497</v>
      </c>
      <c r="C6066" s="0" t="n">
        <v>1689517</v>
      </c>
      <c r="D6066" s="0" t="s">
        <v>20299</v>
      </c>
      <c r="E6066" s="0" t="s">
        <v>89</v>
      </c>
      <c r="F6066" s="0" t="s">
        <v>15</v>
      </c>
      <c r="G6066" s="0" t="s">
        <v>16</v>
      </c>
      <c r="H6066" s="0" t="n">
        <v>101</v>
      </c>
      <c r="I6066" s="0" t="s">
        <v>20309</v>
      </c>
      <c r="J6066" s="0" t="s">
        <v>20310</v>
      </c>
      <c r="K6066" s="0" t="s">
        <v>20311</v>
      </c>
      <c r="L6066" s="0" t="str">
        <f aca="false">HYPERLINK("https://www.ncbi.nlm.nih.gov/nuccore/CP000304.1?report=graph&amp;tracks=[key:gene_model_track,Options:GeneOnly]&amp;mk=1689433:1689452|offset_36|444444,1689454:1689473|offset_57|444444,1689475:1689494|offset_78|444444,1689498:1689517|offset_101|00cc00&amp;v=1689232:1689717&amp;c=444444", "offset 101")</f>
        <v>offset 101</v>
      </c>
    </row>
    <row r="6067" customFormat="false" ht="12.8" hidden="false" customHeight="false" outlineLevel="0" collapsed="false">
      <c r="A6067" s="0" t="s">
        <v>12</v>
      </c>
      <c r="B6067" s="0" t="n">
        <v>1691834</v>
      </c>
      <c r="C6067" s="0" t="n">
        <v>1691854</v>
      </c>
      <c r="D6067" s="0" t="s">
        <v>20312</v>
      </c>
      <c r="E6067" s="0" t="s">
        <v>89</v>
      </c>
      <c r="F6067" s="0" t="s">
        <v>15</v>
      </c>
      <c r="G6067" s="0" t="s">
        <v>36</v>
      </c>
      <c r="H6067" s="0" t="n">
        <v>8</v>
      </c>
      <c r="I6067" s="0" t="s">
        <v>20313</v>
      </c>
      <c r="J6067" s="0" t="s">
        <v>20314</v>
      </c>
      <c r="K6067" s="0" t="s">
        <v>20315</v>
      </c>
      <c r="L6067" s="0" t="str">
        <f aca="false">HYPERLINK("https://www.ncbi.nlm.nih.gov/nuccore/CP000304.1?report=graph&amp;tracks=[key:gene_model_track,Options:GeneOnly]&amp;mk=1691835:1691854|offset_8|00cc00,1691857:1691876|offset_30|444444,1691933:1691952|offset_106|444444,1691972:1691991|offset_145|444444&amp;v=1691634:1692191&amp;c=444444", "offset 8")</f>
        <v>offset 8</v>
      </c>
    </row>
    <row r="6068" customFormat="false" ht="12.8" hidden="false" customHeight="false" outlineLevel="0" collapsed="false">
      <c r="A6068" s="0" t="s">
        <v>12</v>
      </c>
      <c r="B6068" s="0" t="n">
        <v>1691856</v>
      </c>
      <c r="C6068" s="0" t="n">
        <v>1691876</v>
      </c>
      <c r="D6068" s="0" t="s">
        <v>20312</v>
      </c>
      <c r="E6068" s="0" t="s">
        <v>89</v>
      </c>
      <c r="F6068" s="0" t="s">
        <v>15</v>
      </c>
      <c r="G6068" s="0" t="s">
        <v>16</v>
      </c>
      <c r="H6068" s="0" t="n">
        <v>30</v>
      </c>
      <c r="I6068" s="0" t="s">
        <v>20316</v>
      </c>
      <c r="J6068" s="0" t="s">
        <v>20317</v>
      </c>
      <c r="K6068" s="0" t="s">
        <v>20318</v>
      </c>
      <c r="L6068" s="0" t="str">
        <f aca="false">HYPERLINK("https://www.ncbi.nlm.nih.gov/nuccore/CP000304.1?report=graph&amp;tracks=[key:gene_model_track,Options:GeneOnly]&amp;mk=1691835:1691854|offset_8|444444,1691857:1691876|offset_30|00cc00,1691933:1691952|offset_106|444444,1691972:1691991|offset_145|444444&amp;v=1691634:1692191&amp;c=444444", "offset 30")</f>
        <v>offset 30</v>
      </c>
    </row>
    <row r="6069" customFormat="false" ht="12.8" hidden="false" customHeight="false" outlineLevel="0" collapsed="false">
      <c r="A6069" s="0" t="s">
        <v>12</v>
      </c>
      <c r="B6069" s="0" t="n">
        <v>1691932</v>
      </c>
      <c r="C6069" s="0" t="n">
        <v>1691952</v>
      </c>
      <c r="D6069" s="0" t="s">
        <v>20312</v>
      </c>
      <c r="E6069" s="0" t="s">
        <v>89</v>
      </c>
      <c r="F6069" s="0" t="s">
        <v>15</v>
      </c>
      <c r="G6069" s="0" t="s">
        <v>16</v>
      </c>
      <c r="H6069" s="0" t="n">
        <v>106</v>
      </c>
      <c r="I6069" s="0" t="s">
        <v>20319</v>
      </c>
      <c r="J6069" s="0" t="s">
        <v>20320</v>
      </c>
      <c r="K6069" s="0" t="s">
        <v>20321</v>
      </c>
      <c r="L6069" s="0" t="str">
        <f aca="false">HYPERLINK("https://www.ncbi.nlm.nih.gov/nuccore/CP000304.1?report=graph&amp;tracks=[key:gene_model_track,Options:GeneOnly]&amp;mk=1691835:1691854|offset_8|444444,1691857:1691876|offset_30|444444,1691933:1691952|offset_106|00cc00,1691972:1691991|offset_145|444444&amp;v=1691634:1692191&amp;c=444444", "offset 106")</f>
        <v>offset 106</v>
      </c>
    </row>
    <row r="6070" customFormat="false" ht="12.8" hidden="false" customHeight="false" outlineLevel="0" collapsed="false">
      <c r="A6070" s="0" t="s">
        <v>12</v>
      </c>
      <c r="B6070" s="0" t="n">
        <v>1691971</v>
      </c>
      <c r="C6070" s="0" t="n">
        <v>1691991</v>
      </c>
      <c r="D6070" s="0" t="s">
        <v>20312</v>
      </c>
      <c r="E6070" s="0" t="s">
        <v>89</v>
      </c>
      <c r="F6070" s="0" t="s">
        <v>15</v>
      </c>
      <c r="G6070" s="0" t="s">
        <v>26</v>
      </c>
      <c r="H6070" s="0" t="n">
        <v>145</v>
      </c>
      <c r="I6070" s="0" t="s">
        <v>20322</v>
      </c>
      <c r="J6070" s="0" t="s">
        <v>20323</v>
      </c>
      <c r="K6070" s="0" t="s">
        <v>20324</v>
      </c>
      <c r="L6070" s="0" t="str">
        <f aca="false">HYPERLINK("https://www.ncbi.nlm.nih.gov/nuccore/CP000304.1?report=graph&amp;tracks=[key:gene_model_track,Options:GeneOnly]&amp;mk=1691835:1691854|offset_8|444444,1691857:1691876|offset_30|444444,1691933:1691952|offset_106|444444,1691972:1691991|offset_145|00cc00&amp;v=1691634:1692191&amp;c=444444", "offset 145")</f>
        <v>offset 145</v>
      </c>
    </row>
    <row r="6071" customFormat="false" ht="12.8" hidden="false" customHeight="false" outlineLevel="0" collapsed="false">
      <c r="A6071" s="0" t="s">
        <v>12</v>
      </c>
      <c r="B6071" s="0" t="n">
        <v>1693133</v>
      </c>
      <c r="C6071" s="0" t="n">
        <v>1693153</v>
      </c>
      <c r="D6071" s="0" t="s">
        <v>20325</v>
      </c>
      <c r="E6071" s="0" t="s">
        <v>89</v>
      </c>
      <c r="F6071" s="0" t="s">
        <v>90</v>
      </c>
      <c r="G6071" s="0" t="s">
        <v>32</v>
      </c>
      <c r="H6071" s="0" t="n">
        <v>8</v>
      </c>
      <c r="I6071" s="0" t="s">
        <v>20326</v>
      </c>
      <c r="J6071" s="0" t="s">
        <v>20327</v>
      </c>
      <c r="K6071" s="0" t="s">
        <v>20328</v>
      </c>
      <c r="L6071" s="0" t="str">
        <f aca="false">HYPERLINK("https://www.ncbi.nlm.nih.gov/nuccore/CP000304.1?report=graph&amp;tracks=[key:gene_model_track,Options:GeneOnly]&amp;mk=1693134:1693153|offset_8|00cc00,1693098:1693117|offset_44|444444,1693072:1693091|offset_70|444444,1693027:1693046|offset_115|444444&amp;v=1692933:1693246&amp;c=444444", "offset 8")</f>
        <v>offset 8</v>
      </c>
    </row>
    <row r="6072" customFormat="false" ht="12.8" hidden="false" customHeight="false" outlineLevel="0" collapsed="false">
      <c r="A6072" s="0" t="s">
        <v>12</v>
      </c>
      <c r="B6072" s="0" t="n">
        <v>1693097</v>
      </c>
      <c r="C6072" s="0" t="n">
        <v>1693117</v>
      </c>
      <c r="D6072" s="0" t="s">
        <v>20325</v>
      </c>
      <c r="E6072" s="0" t="s">
        <v>89</v>
      </c>
      <c r="F6072" s="0" t="s">
        <v>90</v>
      </c>
      <c r="G6072" s="0" t="s">
        <v>26</v>
      </c>
      <c r="H6072" s="0" t="n">
        <v>44</v>
      </c>
      <c r="I6072" s="0" t="s">
        <v>20329</v>
      </c>
      <c r="J6072" s="0" t="s">
        <v>20330</v>
      </c>
      <c r="K6072" s="0" t="s">
        <v>20331</v>
      </c>
      <c r="L6072" s="0" t="str">
        <f aca="false">HYPERLINK("https://www.ncbi.nlm.nih.gov/nuccore/CP000304.1?report=graph&amp;tracks=[key:gene_model_track,Options:GeneOnly]&amp;mk=1693134:1693153|offset_8|444444,1693098:1693117|offset_44|00cc00,1693072:1693091|offset_70|444444,1693027:1693046|offset_115|444444&amp;v=1692933:1693246&amp;c=444444", "offset 44")</f>
        <v>offset 44</v>
      </c>
    </row>
    <row r="6073" customFormat="false" ht="12.8" hidden="false" customHeight="false" outlineLevel="0" collapsed="false">
      <c r="A6073" s="0" t="s">
        <v>12</v>
      </c>
      <c r="B6073" s="0" t="n">
        <v>1693071</v>
      </c>
      <c r="C6073" s="0" t="n">
        <v>1693091</v>
      </c>
      <c r="D6073" s="0" t="s">
        <v>20325</v>
      </c>
      <c r="E6073" s="0" t="s">
        <v>89</v>
      </c>
      <c r="F6073" s="0" t="s">
        <v>90</v>
      </c>
      <c r="G6073" s="0" t="s">
        <v>32</v>
      </c>
      <c r="H6073" s="0" t="n">
        <v>70</v>
      </c>
      <c r="I6073" s="0" t="s">
        <v>20332</v>
      </c>
      <c r="J6073" s="0" t="s">
        <v>20333</v>
      </c>
      <c r="K6073" s="0" t="s">
        <v>20334</v>
      </c>
      <c r="L6073" s="0" t="str">
        <f aca="false">HYPERLINK("https://www.ncbi.nlm.nih.gov/nuccore/CP000304.1?report=graph&amp;tracks=[key:gene_model_track,Options:GeneOnly]&amp;mk=1693134:1693153|offset_8|444444,1693098:1693117|offset_44|444444,1693072:1693091|offset_70|00cc00,1693027:1693046|offset_115|444444&amp;v=1692933:1693246&amp;c=444444", "offset 70")</f>
        <v>offset 70</v>
      </c>
    </row>
    <row r="6074" customFormat="false" ht="12.8" hidden="false" customHeight="false" outlineLevel="0" collapsed="false">
      <c r="A6074" s="0" t="s">
        <v>12</v>
      </c>
      <c r="B6074" s="0" t="n">
        <v>1693026</v>
      </c>
      <c r="C6074" s="0" t="n">
        <v>1693046</v>
      </c>
      <c r="D6074" s="0" t="s">
        <v>20325</v>
      </c>
      <c r="E6074" s="0" t="s">
        <v>89</v>
      </c>
      <c r="F6074" s="0" t="s">
        <v>90</v>
      </c>
      <c r="G6074" s="0" t="s">
        <v>16</v>
      </c>
      <c r="H6074" s="0" t="n">
        <v>115</v>
      </c>
      <c r="I6074" s="0" t="s">
        <v>20335</v>
      </c>
      <c r="J6074" s="0" t="s">
        <v>20336</v>
      </c>
      <c r="K6074" s="0" t="s">
        <v>20337</v>
      </c>
      <c r="L6074" s="0" t="str">
        <f aca="false">HYPERLINK("https://www.ncbi.nlm.nih.gov/nuccore/CP000304.1?report=graph&amp;tracks=[key:gene_model_track,Options:GeneOnly]&amp;mk=1693134:1693153|offset_8|444444,1693098:1693117|offset_44|444444,1693072:1693091|offset_70|444444,1693027:1693046|offset_115|00cc00&amp;v=1692933:1693246&amp;c=444444", "offset 115")</f>
        <v>offset 115</v>
      </c>
    </row>
    <row r="6075" customFormat="false" ht="12.8" hidden="false" customHeight="false" outlineLevel="0" collapsed="false">
      <c r="A6075" s="0" t="s">
        <v>12</v>
      </c>
      <c r="B6075" s="0" t="n">
        <v>1693738</v>
      </c>
      <c r="C6075" s="0" t="n">
        <v>1693758</v>
      </c>
      <c r="D6075" s="0" t="s">
        <v>20338</v>
      </c>
      <c r="E6075" s="0" t="s">
        <v>89</v>
      </c>
      <c r="F6075" s="0" t="s">
        <v>90</v>
      </c>
      <c r="G6075" s="0" t="s">
        <v>16</v>
      </c>
      <c r="H6075" s="0" t="n">
        <v>12</v>
      </c>
      <c r="I6075" s="0" t="s">
        <v>20339</v>
      </c>
      <c r="J6075" s="0" t="s">
        <v>20340</v>
      </c>
      <c r="K6075" s="0" t="s">
        <v>20341</v>
      </c>
      <c r="L6075" s="0" t="str">
        <f aca="false">HYPERLINK("https://www.ncbi.nlm.nih.gov/nuccore/CP000304.1?report=graph&amp;tracks=[key:gene_model_track,Options:GeneOnly]&amp;mk=1693739:1693758|offset_12|00cc00,1693712:1693731|offset_39|444444,1693686:1693705|offset_65|444444,1693638:1693657|offset_113|444444&amp;v=1693538:1693857&amp;c=444444", "offset 12")</f>
        <v>offset 12</v>
      </c>
    </row>
    <row r="6076" customFormat="false" ht="12.8" hidden="false" customHeight="false" outlineLevel="0" collapsed="false">
      <c r="A6076" s="0" t="s">
        <v>12</v>
      </c>
      <c r="B6076" s="0" t="n">
        <v>1693711</v>
      </c>
      <c r="C6076" s="0" t="n">
        <v>1693731</v>
      </c>
      <c r="D6076" s="0" t="s">
        <v>20338</v>
      </c>
      <c r="E6076" s="0" t="s">
        <v>89</v>
      </c>
      <c r="F6076" s="0" t="s">
        <v>90</v>
      </c>
      <c r="G6076" s="0" t="s">
        <v>16</v>
      </c>
      <c r="H6076" s="0" t="n">
        <v>39</v>
      </c>
      <c r="I6076" s="0" t="s">
        <v>20342</v>
      </c>
      <c r="J6076" s="0" t="s">
        <v>20343</v>
      </c>
      <c r="K6076" s="0" t="s">
        <v>20344</v>
      </c>
      <c r="L6076" s="0" t="str">
        <f aca="false">HYPERLINK("https://www.ncbi.nlm.nih.gov/nuccore/CP000304.1?report=graph&amp;tracks=[key:gene_model_track,Options:GeneOnly]&amp;mk=1693739:1693758|offset_12|444444,1693712:1693731|offset_39|00cc00,1693686:1693705|offset_65|444444,1693638:1693657|offset_113|444444&amp;v=1693538:1693857&amp;c=444444", "offset 39")</f>
        <v>offset 39</v>
      </c>
    </row>
    <row r="6077" customFormat="false" ht="12.8" hidden="false" customHeight="false" outlineLevel="0" collapsed="false">
      <c r="A6077" s="0" t="s">
        <v>12</v>
      </c>
      <c r="B6077" s="0" t="n">
        <v>1693685</v>
      </c>
      <c r="C6077" s="0" t="n">
        <v>1693705</v>
      </c>
      <c r="D6077" s="0" t="s">
        <v>20338</v>
      </c>
      <c r="E6077" s="0" t="s">
        <v>89</v>
      </c>
      <c r="F6077" s="0" t="s">
        <v>90</v>
      </c>
      <c r="G6077" s="0" t="s">
        <v>16</v>
      </c>
      <c r="H6077" s="0" t="n">
        <v>65</v>
      </c>
      <c r="I6077" s="0" t="s">
        <v>20345</v>
      </c>
      <c r="J6077" s="0" t="s">
        <v>20346</v>
      </c>
      <c r="K6077" s="0" t="s">
        <v>20347</v>
      </c>
      <c r="L6077" s="0" t="str">
        <f aca="false">HYPERLINK("https://www.ncbi.nlm.nih.gov/nuccore/CP000304.1?report=graph&amp;tracks=[key:gene_model_track,Options:GeneOnly]&amp;mk=1693739:1693758|offset_12|444444,1693712:1693731|offset_39|444444,1693686:1693705|offset_65|00cc00,1693638:1693657|offset_113|444444&amp;v=1693538:1693857&amp;c=444444", "offset 65")</f>
        <v>offset 65</v>
      </c>
    </row>
    <row r="6078" customFormat="false" ht="12.8" hidden="false" customHeight="false" outlineLevel="0" collapsed="false">
      <c r="A6078" s="0" t="s">
        <v>12</v>
      </c>
      <c r="B6078" s="0" t="n">
        <v>1693637</v>
      </c>
      <c r="C6078" s="0" t="n">
        <v>1693657</v>
      </c>
      <c r="D6078" s="0" t="s">
        <v>20338</v>
      </c>
      <c r="E6078" s="0" t="s">
        <v>89</v>
      </c>
      <c r="F6078" s="0" t="s">
        <v>90</v>
      </c>
      <c r="G6078" s="0" t="s">
        <v>26</v>
      </c>
      <c r="H6078" s="0" t="n">
        <v>113</v>
      </c>
      <c r="I6078" s="0" t="s">
        <v>20348</v>
      </c>
      <c r="J6078" s="0" t="s">
        <v>20349</v>
      </c>
      <c r="K6078" s="0" t="s">
        <v>20350</v>
      </c>
      <c r="L6078" s="0" t="str">
        <f aca="false">HYPERLINK("https://www.ncbi.nlm.nih.gov/nuccore/CP000304.1?report=graph&amp;tracks=[key:gene_model_track,Options:GeneOnly]&amp;mk=1693739:1693758|offset_12|444444,1693712:1693731|offset_39|444444,1693686:1693705|offset_65|444444,1693638:1693657|offset_113|00cc00&amp;v=1693538:1693857&amp;c=444444", "offset 113")</f>
        <v>offset 113</v>
      </c>
    </row>
    <row r="6079" customFormat="false" ht="12.8" hidden="false" customHeight="false" outlineLevel="0" collapsed="false">
      <c r="A6079" s="0" t="s">
        <v>12</v>
      </c>
      <c r="B6079" s="0" t="n">
        <v>1694452</v>
      </c>
      <c r="C6079" s="0" t="n">
        <v>1694472</v>
      </c>
      <c r="D6079" s="0" t="s">
        <v>20351</v>
      </c>
      <c r="E6079" s="0" t="s">
        <v>89</v>
      </c>
      <c r="F6079" s="0" t="s">
        <v>90</v>
      </c>
      <c r="G6079" s="0" t="s">
        <v>32</v>
      </c>
      <c r="H6079" s="0" t="n">
        <v>9</v>
      </c>
      <c r="I6079" s="0" t="s">
        <v>20352</v>
      </c>
      <c r="J6079" s="0" t="s">
        <v>20353</v>
      </c>
      <c r="K6079" s="0" t="s">
        <v>20354</v>
      </c>
      <c r="L6079" s="0" t="str">
        <f aca="false">HYPERLINK("https://www.ncbi.nlm.nih.gov/nuccore/CP000304.1?report=graph&amp;tracks=[key:gene_model_track,Options:GeneOnly]&amp;mk=1694453:1694472|offset_9|00cc00,1694410:1694429|offset_52|444444,1694372:1694391|offset_90|444444,1694338:1694357|offset_124|444444&amp;v=1694252:1694557&amp;c=444444", "offset 9")</f>
        <v>offset 9</v>
      </c>
    </row>
    <row r="6080" customFormat="false" ht="12.8" hidden="false" customHeight="false" outlineLevel="0" collapsed="false">
      <c r="A6080" s="0" t="s">
        <v>12</v>
      </c>
      <c r="B6080" s="0" t="n">
        <v>1694409</v>
      </c>
      <c r="C6080" s="0" t="n">
        <v>1694429</v>
      </c>
      <c r="D6080" s="0" t="s">
        <v>20351</v>
      </c>
      <c r="E6080" s="0" t="s">
        <v>89</v>
      </c>
      <c r="F6080" s="0" t="s">
        <v>90</v>
      </c>
      <c r="G6080" s="0" t="s">
        <v>36</v>
      </c>
      <c r="H6080" s="0" t="n">
        <v>52</v>
      </c>
      <c r="I6080" s="0" t="s">
        <v>20355</v>
      </c>
      <c r="J6080" s="0" t="s">
        <v>20356</v>
      </c>
      <c r="K6080" s="0" t="s">
        <v>20357</v>
      </c>
      <c r="L6080" s="0" t="str">
        <f aca="false">HYPERLINK("https://www.ncbi.nlm.nih.gov/nuccore/CP000304.1?report=graph&amp;tracks=[key:gene_model_track,Options:GeneOnly]&amp;mk=1694453:1694472|offset_9|444444,1694410:1694429|offset_52|00cc00,1694372:1694391|offset_90|444444,1694338:1694357|offset_124|444444&amp;v=1694252:1694557&amp;c=444444", "offset 52")</f>
        <v>offset 52</v>
      </c>
    </row>
    <row r="6081" customFormat="false" ht="12.8" hidden="false" customHeight="false" outlineLevel="0" collapsed="false">
      <c r="A6081" s="0" t="s">
        <v>12</v>
      </c>
      <c r="B6081" s="0" t="n">
        <v>1694371</v>
      </c>
      <c r="C6081" s="0" t="n">
        <v>1694391</v>
      </c>
      <c r="D6081" s="0" t="s">
        <v>20351</v>
      </c>
      <c r="E6081" s="0" t="s">
        <v>89</v>
      </c>
      <c r="F6081" s="0" t="s">
        <v>90</v>
      </c>
      <c r="G6081" s="0" t="s">
        <v>36</v>
      </c>
      <c r="H6081" s="0" t="n">
        <v>90</v>
      </c>
      <c r="I6081" s="0" t="s">
        <v>20358</v>
      </c>
      <c r="J6081" s="0" t="s">
        <v>20359</v>
      </c>
      <c r="K6081" s="0" t="s">
        <v>20360</v>
      </c>
      <c r="L6081" s="0" t="str">
        <f aca="false">HYPERLINK("https://www.ncbi.nlm.nih.gov/nuccore/CP000304.1?report=graph&amp;tracks=[key:gene_model_track,Options:GeneOnly]&amp;mk=1694453:1694472|offset_9|444444,1694410:1694429|offset_52|444444,1694372:1694391|offset_90|00cc00,1694338:1694357|offset_124|444444&amp;v=1694252:1694557&amp;c=444444", "offset 90")</f>
        <v>offset 90</v>
      </c>
    </row>
    <row r="6082" customFormat="false" ht="12.8" hidden="false" customHeight="false" outlineLevel="0" collapsed="false">
      <c r="A6082" s="0" t="s">
        <v>12</v>
      </c>
      <c r="B6082" s="0" t="n">
        <v>1694337</v>
      </c>
      <c r="C6082" s="0" t="n">
        <v>1694357</v>
      </c>
      <c r="D6082" s="0" t="s">
        <v>20351</v>
      </c>
      <c r="E6082" s="0" t="s">
        <v>89</v>
      </c>
      <c r="F6082" s="0" t="s">
        <v>90</v>
      </c>
      <c r="G6082" s="0" t="s">
        <v>26</v>
      </c>
      <c r="H6082" s="0" t="n">
        <v>124</v>
      </c>
      <c r="I6082" s="0" t="s">
        <v>20361</v>
      </c>
      <c r="J6082" s="0" t="s">
        <v>20362</v>
      </c>
      <c r="K6082" s="0" t="s">
        <v>20363</v>
      </c>
      <c r="L6082" s="0" t="str">
        <f aca="false">HYPERLINK("https://www.ncbi.nlm.nih.gov/nuccore/CP000304.1?report=graph&amp;tracks=[key:gene_model_track,Options:GeneOnly]&amp;mk=1694453:1694472|offset_9|444444,1694410:1694429|offset_52|444444,1694372:1694391|offset_90|444444,1694338:1694357|offset_124|00cc00&amp;v=1694252:1694557&amp;c=444444", "offset 124")</f>
        <v>offset 124</v>
      </c>
    </row>
    <row r="6083" customFormat="false" ht="12.8" hidden="false" customHeight="false" outlineLevel="0" collapsed="false">
      <c r="A6083" s="0" t="s">
        <v>12</v>
      </c>
      <c r="B6083" s="0" t="n">
        <v>1694637</v>
      </c>
      <c r="C6083" s="0" t="n">
        <v>1694657</v>
      </c>
      <c r="D6083" s="0" t="s">
        <v>20364</v>
      </c>
      <c r="E6083" s="0" t="s">
        <v>89</v>
      </c>
      <c r="F6083" s="0" t="s">
        <v>15</v>
      </c>
      <c r="G6083" s="0" t="s">
        <v>32</v>
      </c>
      <c r="H6083" s="0" t="n">
        <v>17</v>
      </c>
      <c r="I6083" s="0" t="s">
        <v>20365</v>
      </c>
      <c r="J6083" s="0" t="s">
        <v>20366</v>
      </c>
      <c r="K6083" s="0" t="s">
        <v>20367</v>
      </c>
      <c r="L6083" s="0" t="str">
        <f aca="false">HYPERLINK("https://www.ncbi.nlm.nih.gov/nuccore/CP000304.1?report=graph&amp;tracks=[key:gene_model_track,Options:GeneOnly]&amp;mk=1694638:1694657|offset_17|00cc00,1694663:1694682|offset_42|444444,1694688:1694707|offset_67|444444,1694719:1694738|offset_98|444444&amp;v=1694437:1694938&amp;c=444444", "offset 17")</f>
        <v>offset 17</v>
      </c>
    </row>
    <row r="6084" customFormat="false" ht="12.8" hidden="false" customHeight="false" outlineLevel="0" collapsed="false">
      <c r="A6084" s="0" t="s">
        <v>12</v>
      </c>
      <c r="B6084" s="0" t="n">
        <v>1694662</v>
      </c>
      <c r="C6084" s="0" t="n">
        <v>1694682</v>
      </c>
      <c r="D6084" s="0" t="s">
        <v>20364</v>
      </c>
      <c r="E6084" s="0" t="s">
        <v>89</v>
      </c>
      <c r="F6084" s="0" t="s">
        <v>15</v>
      </c>
      <c r="G6084" s="0" t="s">
        <v>16</v>
      </c>
      <c r="H6084" s="0" t="n">
        <v>42</v>
      </c>
      <c r="I6084" s="0" t="s">
        <v>20368</v>
      </c>
      <c r="J6084" s="0" t="s">
        <v>20369</v>
      </c>
      <c r="K6084" s="0" t="s">
        <v>20370</v>
      </c>
      <c r="L6084" s="0" t="str">
        <f aca="false">HYPERLINK("https://www.ncbi.nlm.nih.gov/nuccore/CP000304.1?report=graph&amp;tracks=[key:gene_model_track,Options:GeneOnly]&amp;mk=1694638:1694657|offset_17|444444,1694663:1694682|offset_42|00cc00,1694688:1694707|offset_67|444444,1694719:1694738|offset_98|444444&amp;v=1694437:1694938&amp;c=444444", "offset 42")</f>
        <v>offset 42</v>
      </c>
    </row>
    <row r="6085" customFormat="false" ht="12.8" hidden="false" customHeight="false" outlineLevel="0" collapsed="false">
      <c r="A6085" s="0" t="s">
        <v>12</v>
      </c>
      <c r="B6085" s="0" t="n">
        <v>1694687</v>
      </c>
      <c r="C6085" s="0" t="n">
        <v>1694707</v>
      </c>
      <c r="D6085" s="0" t="s">
        <v>20364</v>
      </c>
      <c r="E6085" s="0" t="s">
        <v>89</v>
      </c>
      <c r="F6085" s="0" t="s">
        <v>15</v>
      </c>
      <c r="G6085" s="0" t="s">
        <v>26</v>
      </c>
      <c r="H6085" s="0" t="n">
        <v>67</v>
      </c>
      <c r="I6085" s="0" t="s">
        <v>20371</v>
      </c>
      <c r="J6085" s="0" t="s">
        <v>20372</v>
      </c>
      <c r="K6085" s="0" t="s">
        <v>20373</v>
      </c>
      <c r="L6085" s="0" t="str">
        <f aca="false">HYPERLINK("https://www.ncbi.nlm.nih.gov/nuccore/CP000304.1?report=graph&amp;tracks=[key:gene_model_track,Options:GeneOnly]&amp;mk=1694638:1694657|offset_17|444444,1694663:1694682|offset_42|444444,1694688:1694707|offset_67|00cc00,1694719:1694738|offset_98|444444&amp;v=1694437:1694938&amp;c=444444", "offset 67")</f>
        <v>offset 67</v>
      </c>
    </row>
    <row r="6086" customFormat="false" ht="12.8" hidden="false" customHeight="false" outlineLevel="0" collapsed="false">
      <c r="A6086" s="0" t="s">
        <v>12</v>
      </c>
      <c r="B6086" s="0" t="n">
        <v>1694718</v>
      </c>
      <c r="C6086" s="0" t="n">
        <v>1694738</v>
      </c>
      <c r="D6086" s="0" t="s">
        <v>20364</v>
      </c>
      <c r="E6086" s="0" t="s">
        <v>89</v>
      </c>
      <c r="F6086" s="0" t="s">
        <v>15</v>
      </c>
      <c r="G6086" s="0" t="s">
        <v>26</v>
      </c>
      <c r="H6086" s="0" t="n">
        <v>98</v>
      </c>
      <c r="I6086" s="0" t="s">
        <v>20374</v>
      </c>
      <c r="J6086" s="0" t="s">
        <v>20375</v>
      </c>
      <c r="K6086" s="0" t="s">
        <v>20376</v>
      </c>
      <c r="L6086" s="0" t="str">
        <f aca="false">HYPERLINK("https://www.ncbi.nlm.nih.gov/nuccore/CP000304.1?report=graph&amp;tracks=[key:gene_model_track,Options:GeneOnly]&amp;mk=1694638:1694657|offset_17|444444,1694663:1694682|offset_42|444444,1694688:1694707|offset_67|444444,1694719:1694738|offset_98|00cc00&amp;v=1694437:1694938&amp;c=444444", "offset 98")</f>
        <v>offset 98</v>
      </c>
    </row>
    <row r="6087" customFormat="false" ht="12.8" hidden="false" customHeight="false" outlineLevel="0" collapsed="false">
      <c r="A6087" s="0" t="s">
        <v>12</v>
      </c>
      <c r="B6087" s="0" t="n">
        <v>1695294</v>
      </c>
      <c r="C6087" s="0" t="n">
        <v>1695314</v>
      </c>
      <c r="D6087" s="0" t="s">
        <v>20377</v>
      </c>
      <c r="E6087" s="0" t="s">
        <v>89</v>
      </c>
      <c r="F6087" s="0" t="s">
        <v>90</v>
      </c>
      <c r="G6087" s="0" t="s">
        <v>32</v>
      </c>
      <c r="H6087" s="0" t="n">
        <v>19</v>
      </c>
      <c r="I6087" s="0" t="s">
        <v>20378</v>
      </c>
      <c r="J6087" s="0" t="s">
        <v>20379</v>
      </c>
      <c r="K6087" s="0" t="s">
        <v>20380</v>
      </c>
      <c r="L6087" s="0" t="str">
        <f aca="false">HYPERLINK("https://www.ncbi.nlm.nih.gov/nuccore/CP000304.1?report=graph&amp;tracks=[key:gene_model_track,Options:GeneOnly]&amp;mk=1695295:1695314|offset_19|00cc00,1695236:1695255|offset_78|444444,1695202:1695221|offset_112|444444,1695174:1695193|offset_140|444444&amp;v=1695094:1695393&amp;c=444444", "offset 19")</f>
        <v>offset 19</v>
      </c>
    </row>
    <row r="6088" customFormat="false" ht="12.8" hidden="false" customHeight="false" outlineLevel="0" collapsed="false">
      <c r="A6088" s="0" t="s">
        <v>12</v>
      </c>
      <c r="B6088" s="0" t="n">
        <v>1695235</v>
      </c>
      <c r="C6088" s="0" t="n">
        <v>1695255</v>
      </c>
      <c r="D6088" s="0" t="s">
        <v>20377</v>
      </c>
      <c r="E6088" s="0" t="s">
        <v>89</v>
      </c>
      <c r="F6088" s="0" t="s">
        <v>90</v>
      </c>
      <c r="G6088" s="0" t="s">
        <v>36</v>
      </c>
      <c r="H6088" s="0" t="n">
        <v>78</v>
      </c>
      <c r="I6088" s="0" t="s">
        <v>20381</v>
      </c>
      <c r="J6088" s="0" t="s">
        <v>20382</v>
      </c>
      <c r="K6088" s="0" t="s">
        <v>20383</v>
      </c>
      <c r="L6088" s="0" t="str">
        <f aca="false">HYPERLINK("https://www.ncbi.nlm.nih.gov/nuccore/CP000304.1?report=graph&amp;tracks=[key:gene_model_track,Options:GeneOnly]&amp;mk=1695295:1695314|offset_19|444444,1695236:1695255|offset_78|00cc00,1695202:1695221|offset_112|444444,1695174:1695193|offset_140|444444&amp;v=1695094:1695393&amp;c=444444", "offset 78")</f>
        <v>offset 78</v>
      </c>
    </row>
    <row r="6089" customFormat="false" ht="12.8" hidden="false" customHeight="false" outlineLevel="0" collapsed="false">
      <c r="A6089" s="0" t="s">
        <v>12</v>
      </c>
      <c r="B6089" s="0" t="n">
        <v>1695201</v>
      </c>
      <c r="C6089" s="0" t="n">
        <v>1695221</v>
      </c>
      <c r="D6089" s="0" t="s">
        <v>20377</v>
      </c>
      <c r="E6089" s="0" t="s">
        <v>89</v>
      </c>
      <c r="F6089" s="0" t="s">
        <v>90</v>
      </c>
      <c r="G6089" s="0" t="s">
        <v>16</v>
      </c>
      <c r="H6089" s="0" t="n">
        <v>112</v>
      </c>
      <c r="I6089" s="0" t="s">
        <v>20384</v>
      </c>
      <c r="J6089" s="0" t="s">
        <v>20385</v>
      </c>
      <c r="K6089" s="0" t="s">
        <v>20386</v>
      </c>
      <c r="L6089" s="0" t="str">
        <f aca="false">HYPERLINK("https://www.ncbi.nlm.nih.gov/nuccore/CP000304.1?report=graph&amp;tracks=[key:gene_model_track,Options:GeneOnly]&amp;mk=1695295:1695314|offset_19|444444,1695236:1695255|offset_78|444444,1695202:1695221|offset_112|00cc00,1695174:1695193|offset_140|444444&amp;v=1695094:1695393&amp;c=444444", "offset 112")</f>
        <v>offset 112</v>
      </c>
    </row>
    <row r="6090" customFormat="false" ht="12.8" hidden="false" customHeight="false" outlineLevel="0" collapsed="false">
      <c r="A6090" s="0" t="s">
        <v>12</v>
      </c>
      <c r="B6090" s="0" t="n">
        <v>1695173</v>
      </c>
      <c r="C6090" s="0" t="n">
        <v>1695193</v>
      </c>
      <c r="D6090" s="0" t="s">
        <v>20377</v>
      </c>
      <c r="E6090" s="0" t="s">
        <v>89</v>
      </c>
      <c r="F6090" s="0" t="s">
        <v>90</v>
      </c>
      <c r="G6090" s="0" t="s">
        <v>32</v>
      </c>
      <c r="H6090" s="0" t="n">
        <v>140</v>
      </c>
      <c r="I6090" s="0" t="s">
        <v>20387</v>
      </c>
      <c r="J6090" s="0" t="s">
        <v>20388</v>
      </c>
      <c r="K6090" s="0" t="s">
        <v>20389</v>
      </c>
      <c r="L6090" s="0" t="str">
        <f aca="false">HYPERLINK("https://www.ncbi.nlm.nih.gov/nuccore/CP000304.1?report=graph&amp;tracks=[key:gene_model_track,Options:GeneOnly]&amp;mk=1695295:1695314|offset_19|444444,1695236:1695255|offset_78|444444,1695202:1695221|offset_112|444444,1695174:1695193|offset_140|00cc00&amp;v=1695094:1695393&amp;c=444444", "offset 140")</f>
        <v>offset 140</v>
      </c>
    </row>
    <row r="6091" customFormat="false" ht="12.8" hidden="false" customHeight="false" outlineLevel="0" collapsed="false">
      <c r="A6091" s="0" t="s">
        <v>12</v>
      </c>
      <c r="B6091" s="0" t="n">
        <v>1696060</v>
      </c>
      <c r="C6091" s="0" t="n">
        <v>1696080</v>
      </c>
      <c r="D6091" s="0" t="s">
        <v>20390</v>
      </c>
      <c r="E6091" s="0" t="s">
        <v>89</v>
      </c>
      <c r="F6091" s="0" t="s">
        <v>90</v>
      </c>
      <c r="G6091" s="0" t="s">
        <v>32</v>
      </c>
      <c r="H6091" s="0" t="n">
        <v>49</v>
      </c>
      <c r="I6091" s="0" t="s">
        <v>20391</v>
      </c>
      <c r="J6091" s="0" t="s">
        <v>20392</v>
      </c>
      <c r="K6091" s="0" t="s">
        <v>20393</v>
      </c>
      <c r="L6091" s="0" t="str">
        <f aca="false">HYPERLINK("https://www.ncbi.nlm.nih.gov/nuccore/CP000304.1?report=graph&amp;tracks=[key:gene_model_track,Options:GeneOnly]&amp;mk=1696061:1696080|offset_49|00cc00,1696013:1696032|offset_97|444444,1695985:1696004|offset_125|444444,1695956:1695975|offset_154|444444&amp;v=1695860:1696175&amp;c=444444", "offset 49")</f>
        <v>offset 49</v>
      </c>
    </row>
    <row r="6092" customFormat="false" ht="12.8" hidden="false" customHeight="false" outlineLevel="0" collapsed="false">
      <c r="A6092" s="0" t="s">
        <v>12</v>
      </c>
      <c r="B6092" s="0" t="n">
        <v>1696012</v>
      </c>
      <c r="C6092" s="0" t="n">
        <v>1696032</v>
      </c>
      <c r="D6092" s="0" t="s">
        <v>20390</v>
      </c>
      <c r="E6092" s="0" t="s">
        <v>89</v>
      </c>
      <c r="F6092" s="0" t="s">
        <v>90</v>
      </c>
      <c r="G6092" s="0" t="s">
        <v>36</v>
      </c>
      <c r="H6092" s="0" t="n">
        <v>97</v>
      </c>
      <c r="I6092" s="0" t="s">
        <v>20394</v>
      </c>
      <c r="J6092" s="0" t="s">
        <v>20395</v>
      </c>
      <c r="K6092" s="0" t="s">
        <v>20396</v>
      </c>
      <c r="L6092" s="0" t="str">
        <f aca="false">HYPERLINK("https://www.ncbi.nlm.nih.gov/nuccore/CP000304.1?report=graph&amp;tracks=[key:gene_model_track,Options:GeneOnly]&amp;mk=1696061:1696080|offset_49|444444,1696013:1696032|offset_97|00cc00,1695985:1696004|offset_125|444444,1695956:1695975|offset_154|444444&amp;v=1695860:1696175&amp;c=444444", "offset 97")</f>
        <v>offset 97</v>
      </c>
    </row>
    <row r="6093" customFormat="false" ht="12.8" hidden="false" customHeight="false" outlineLevel="0" collapsed="false">
      <c r="A6093" s="0" t="s">
        <v>12</v>
      </c>
      <c r="B6093" s="0" t="n">
        <v>1695984</v>
      </c>
      <c r="C6093" s="0" t="n">
        <v>1696004</v>
      </c>
      <c r="D6093" s="0" t="s">
        <v>20390</v>
      </c>
      <c r="E6093" s="0" t="s">
        <v>89</v>
      </c>
      <c r="F6093" s="0" t="s">
        <v>90</v>
      </c>
      <c r="G6093" s="0" t="s">
        <v>36</v>
      </c>
      <c r="H6093" s="0" t="n">
        <v>125</v>
      </c>
      <c r="I6093" s="0" t="s">
        <v>20397</v>
      </c>
      <c r="J6093" s="0" t="s">
        <v>20398</v>
      </c>
      <c r="K6093" s="0" t="s">
        <v>20399</v>
      </c>
      <c r="L6093" s="0" t="str">
        <f aca="false">HYPERLINK("https://www.ncbi.nlm.nih.gov/nuccore/CP000304.1?report=graph&amp;tracks=[key:gene_model_track,Options:GeneOnly]&amp;mk=1696061:1696080|offset_49|444444,1696013:1696032|offset_97|444444,1695985:1696004|offset_125|00cc00,1695956:1695975|offset_154|444444&amp;v=1695860:1696175&amp;c=444444", "offset 125")</f>
        <v>offset 125</v>
      </c>
    </row>
    <row r="6094" customFormat="false" ht="12.8" hidden="false" customHeight="false" outlineLevel="0" collapsed="false">
      <c r="A6094" s="0" t="s">
        <v>12</v>
      </c>
      <c r="B6094" s="0" t="n">
        <v>1695955</v>
      </c>
      <c r="C6094" s="0" t="n">
        <v>1695975</v>
      </c>
      <c r="D6094" s="0" t="s">
        <v>20390</v>
      </c>
      <c r="E6094" s="0" t="s">
        <v>89</v>
      </c>
      <c r="F6094" s="0" t="s">
        <v>90</v>
      </c>
      <c r="G6094" s="0" t="s">
        <v>32</v>
      </c>
      <c r="H6094" s="0" t="n">
        <v>154</v>
      </c>
      <c r="I6094" s="0" t="s">
        <v>20400</v>
      </c>
      <c r="J6094" s="0" t="s">
        <v>20401</v>
      </c>
      <c r="K6094" s="0" t="s">
        <v>20402</v>
      </c>
      <c r="L6094" s="0" t="str">
        <f aca="false">HYPERLINK("https://www.ncbi.nlm.nih.gov/nuccore/CP000304.1?report=graph&amp;tracks=[key:gene_model_track,Options:GeneOnly]&amp;mk=1696061:1696080|offset_49|444444,1696013:1696032|offset_97|444444,1695985:1696004|offset_125|444444,1695956:1695975|offset_154|00cc00&amp;v=1695860:1696175&amp;c=444444", "offset 154")</f>
        <v>offset 154</v>
      </c>
    </row>
    <row r="6095" customFormat="false" ht="12.8" hidden="false" customHeight="false" outlineLevel="0" collapsed="false">
      <c r="A6095" s="0" t="s">
        <v>12</v>
      </c>
      <c r="B6095" s="0" t="n">
        <v>1697455</v>
      </c>
      <c r="C6095" s="0" t="n">
        <v>1697475</v>
      </c>
      <c r="D6095" s="0" t="s">
        <v>20403</v>
      </c>
      <c r="E6095" s="0" t="s">
        <v>89</v>
      </c>
      <c r="F6095" s="0" t="s">
        <v>15</v>
      </c>
      <c r="G6095" s="0" t="s">
        <v>26</v>
      </c>
      <c r="H6095" s="0" t="n">
        <v>9</v>
      </c>
      <c r="I6095" s="0" t="s">
        <v>20404</v>
      </c>
      <c r="J6095" s="0" t="s">
        <v>20405</v>
      </c>
      <c r="K6095" s="0" t="s">
        <v>20406</v>
      </c>
      <c r="L6095" s="0" t="str">
        <f aca="false">HYPERLINK("https://www.ncbi.nlm.nih.gov/nuccore/CP000304.1?report=graph&amp;tracks=[key:gene_model_track,Options:GeneOnly]&amp;mk=1697456:1697475|offset_9|00cc00,1697539:1697558|offset_92|444444,1697559:1697578|offset_112|444444,1697585:1697604|offset_138|444444&amp;v=1697255:1697804&amp;c=444444", "offset 9")</f>
        <v>offset 9</v>
      </c>
    </row>
    <row r="6096" customFormat="false" ht="12.8" hidden="false" customHeight="false" outlineLevel="0" collapsed="false">
      <c r="A6096" s="0" t="s">
        <v>12</v>
      </c>
      <c r="B6096" s="0" t="n">
        <v>1697538</v>
      </c>
      <c r="C6096" s="0" t="n">
        <v>1697558</v>
      </c>
      <c r="D6096" s="0" t="s">
        <v>20403</v>
      </c>
      <c r="E6096" s="0" t="s">
        <v>89</v>
      </c>
      <c r="F6096" s="0" t="s">
        <v>15</v>
      </c>
      <c r="G6096" s="0" t="s">
        <v>36</v>
      </c>
      <c r="H6096" s="0" t="n">
        <v>92</v>
      </c>
      <c r="I6096" s="0" t="s">
        <v>20407</v>
      </c>
      <c r="J6096" s="0" t="s">
        <v>20408</v>
      </c>
      <c r="K6096" s="0" t="s">
        <v>20409</v>
      </c>
      <c r="L6096" s="0" t="str">
        <f aca="false">HYPERLINK("https://www.ncbi.nlm.nih.gov/nuccore/CP000304.1?report=graph&amp;tracks=[key:gene_model_track,Options:GeneOnly]&amp;mk=1697456:1697475|offset_9|444444,1697539:1697558|offset_92|00cc00,1697559:1697578|offset_112|444444,1697585:1697604|offset_138|444444&amp;v=1697255:1697804&amp;c=444444", "offset 92")</f>
        <v>offset 92</v>
      </c>
    </row>
    <row r="6097" customFormat="false" ht="12.8" hidden="false" customHeight="false" outlineLevel="0" collapsed="false">
      <c r="A6097" s="0" t="s">
        <v>12</v>
      </c>
      <c r="B6097" s="0" t="n">
        <v>1697558</v>
      </c>
      <c r="C6097" s="0" t="n">
        <v>1697578</v>
      </c>
      <c r="D6097" s="0" t="s">
        <v>20403</v>
      </c>
      <c r="E6097" s="0" t="s">
        <v>89</v>
      </c>
      <c r="F6097" s="0" t="s">
        <v>15</v>
      </c>
      <c r="G6097" s="0" t="s">
        <v>36</v>
      </c>
      <c r="H6097" s="0" t="n">
        <v>112</v>
      </c>
      <c r="I6097" s="0" t="s">
        <v>20410</v>
      </c>
      <c r="J6097" s="0" t="s">
        <v>20411</v>
      </c>
      <c r="K6097" s="0" t="s">
        <v>20412</v>
      </c>
      <c r="L6097" s="0" t="str">
        <f aca="false">HYPERLINK("https://www.ncbi.nlm.nih.gov/nuccore/CP000304.1?report=graph&amp;tracks=[key:gene_model_track,Options:GeneOnly]&amp;mk=1697456:1697475|offset_9|444444,1697539:1697558|offset_92|444444,1697559:1697578|offset_112|00cc00,1697585:1697604|offset_138|444444&amp;v=1697255:1697804&amp;c=444444", "offset 112")</f>
        <v>offset 112</v>
      </c>
    </row>
    <row r="6098" customFormat="false" ht="12.8" hidden="false" customHeight="false" outlineLevel="0" collapsed="false">
      <c r="A6098" s="0" t="s">
        <v>12</v>
      </c>
      <c r="B6098" s="0" t="n">
        <v>1697584</v>
      </c>
      <c r="C6098" s="0" t="n">
        <v>1697604</v>
      </c>
      <c r="D6098" s="0" t="s">
        <v>20403</v>
      </c>
      <c r="E6098" s="0" t="s">
        <v>89</v>
      </c>
      <c r="F6098" s="0" t="s">
        <v>15</v>
      </c>
      <c r="G6098" s="0" t="s">
        <v>16</v>
      </c>
      <c r="H6098" s="0" t="n">
        <v>138</v>
      </c>
      <c r="I6098" s="0" t="s">
        <v>20413</v>
      </c>
      <c r="J6098" s="0" t="s">
        <v>20414</v>
      </c>
      <c r="K6098" s="0" t="s">
        <v>20415</v>
      </c>
      <c r="L6098" s="0" t="str">
        <f aca="false">HYPERLINK("https://www.ncbi.nlm.nih.gov/nuccore/CP000304.1?report=graph&amp;tracks=[key:gene_model_track,Options:GeneOnly]&amp;mk=1697456:1697475|offset_9|444444,1697539:1697558|offset_92|444444,1697559:1697578|offset_112|444444,1697585:1697604|offset_138|00cc00&amp;v=1697255:1697804&amp;c=444444", "offset 138")</f>
        <v>offset 138</v>
      </c>
    </row>
    <row r="6099" customFormat="false" ht="12.8" hidden="false" customHeight="false" outlineLevel="0" collapsed="false">
      <c r="A6099" s="0" t="s">
        <v>12</v>
      </c>
      <c r="B6099" s="0" t="n">
        <v>1698605</v>
      </c>
      <c r="C6099" s="0" t="n">
        <v>1698625</v>
      </c>
      <c r="D6099" s="0" t="s">
        <v>20416</v>
      </c>
      <c r="E6099" s="0" t="s">
        <v>89</v>
      </c>
      <c r="F6099" s="0" t="s">
        <v>90</v>
      </c>
      <c r="G6099" s="0" t="s">
        <v>36</v>
      </c>
      <c r="H6099" s="0" t="n">
        <v>14</v>
      </c>
      <c r="I6099" s="0" t="s">
        <v>20417</v>
      </c>
      <c r="J6099" s="0" t="s">
        <v>20418</v>
      </c>
      <c r="K6099" s="0" t="s">
        <v>20419</v>
      </c>
      <c r="L6099" s="0" t="str">
        <f aca="false">HYPERLINK("https://www.ncbi.nlm.nih.gov/nuccore/CP000304.1?report=graph&amp;tracks=[key:gene_model_track,Options:GeneOnly]&amp;mk=1698606:1698625|offset_14|00cc00,1698565:1698584|offset_55|444444,1698529:1698548|offset_91|444444,1698508:1698527|offset_112|444444&amp;v=1698405:1698727&amp;c=444444", "offset 14")</f>
        <v>offset 14</v>
      </c>
    </row>
    <row r="6100" customFormat="false" ht="12.8" hidden="false" customHeight="false" outlineLevel="0" collapsed="false">
      <c r="A6100" s="0" t="s">
        <v>12</v>
      </c>
      <c r="B6100" s="0" t="n">
        <v>1698564</v>
      </c>
      <c r="C6100" s="0" t="n">
        <v>1698584</v>
      </c>
      <c r="D6100" s="0" t="s">
        <v>20416</v>
      </c>
      <c r="E6100" s="0" t="s">
        <v>89</v>
      </c>
      <c r="F6100" s="0" t="s">
        <v>90</v>
      </c>
      <c r="G6100" s="0" t="s">
        <v>16</v>
      </c>
      <c r="H6100" s="0" t="n">
        <v>55</v>
      </c>
      <c r="I6100" s="0" t="s">
        <v>20420</v>
      </c>
      <c r="J6100" s="0" t="s">
        <v>20421</v>
      </c>
      <c r="K6100" s="0" t="s">
        <v>20422</v>
      </c>
      <c r="L6100" s="0" t="str">
        <f aca="false">HYPERLINK("https://www.ncbi.nlm.nih.gov/nuccore/CP000304.1?report=graph&amp;tracks=[key:gene_model_track,Options:GeneOnly]&amp;mk=1698606:1698625|offset_14|444444,1698565:1698584|offset_55|00cc00,1698529:1698548|offset_91|444444,1698508:1698527|offset_112|444444&amp;v=1698405:1698727&amp;c=444444", "offset 55")</f>
        <v>offset 55</v>
      </c>
    </row>
    <row r="6101" customFormat="false" ht="12.8" hidden="false" customHeight="false" outlineLevel="0" collapsed="false">
      <c r="A6101" s="0" t="s">
        <v>12</v>
      </c>
      <c r="B6101" s="0" t="n">
        <v>1698528</v>
      </c>
      <c r="C6101" s="0" t="n">
        <v>1698548</v>
      </c>
      <c r="D6101" s="0" t="s">
        <v>20416</v>
      </c>
      <c r="E6101" s="0" t="s">
        <v>89</v>
      </c>
      <c r="F6101" s="0" t="s">
        <v>90</v>
      </c>
      <c r="G6101" s="0" t="s">
        <v>26</v>
      </c>
      <c r="H6101" s="0" t="n">
        <v>91</v>
      </c>
      <c r="I6101" s="0" t="s">
        <v>20423</v>
      </c>
      <c r="J6101" s="0" t="s">
        <v>20424</v>
      </c>
      <c r="K6101" s="0" t="s">
        <v>20425</v>
      </c>
      <c r="L6101" s="0" t="str">
        <f aca="false">HYPERLINK("https://www.ncbi.nlm.nih.gov/nuccore/CP000304.1?report=graph&amp;tracks=[key:gene_model_track,Options:GeneOnly]&amp;mk=1698606:1698625|offset_14|444444,1698565:1698584|offset_55|444444,1698529:1698548|offset_91|00cc00,1698508:1698527|offset_112|444444&amp;v=1698405:1698727&amp;c=444444", "offset 91")</f>
        <v>offset 91</v>
      </c>
    </row>
    <row r="6102" customFormat="false" ht="12.8" hidden="false" customHeight="false" outlineLevel="0" collapsed="false">
      <c r="A6102" s="0" t="s">
        <v>12</v>
      </c>
      <c r="B6102" s="0" t="n">
        <v>1698507</v>
      </c>
      <c r="C6102" s="0" t="n">
        <v>1698527</v>
      </c>
      <c r="D6102" s="0" t="s">
        <v>20416</v>
      </c>
      <c r="E6102" s="0" t="s">
        <v>89</v>
      </c>
      <c r="F6102" s="0" t="s">
        <v>90</v>
      </c>
      <c r="G6102" s="0" t="s">
        <v>32</v>
      </c>
      <c r="H6102" s="0" t="n">
        <v>112</v>
      </c>
      <c r="I6102" s="0" t="s">
        <v>20426</v>
      </c>
      <c r="J6102" s="0" t="s">
        <v>20427</v>
      </c>
      <c r="K6102" s="0" t="s">
        <v>20428</v>
      </c>
      <c r="L6102" s="0" t="str">
        <f aca="false">HYPERLINK("https://www.ncbi.nlm.nih.gov/nuccore/CP000304.1?report=graph&amp;tracks=[key:gene_model_track,Options:GeneOnly]&amp;mk=1698606:1698625|offset_14|444444,1698565:1698584|offset_55|444444,1698529:1698548|offset_91|444444,1698508:1698527|offset_112|00cc00&amp;v=1698405:1698727&amp;c=444444", "offset 112")</f>
        <v>offset 112</v>
      </c>
    </row>
    <row r="6103" customFormat="false" ht="12.8" hidden="false" customHeight="false" outlineLevel="0" collapsed="false">
      <c r="A6103" s="0" t="s">
        <v>12</v>
      </c>
      <c r="B6103" s="0" t="n">
        <v>1699315</v>
      </c>
      <c r="C6103" s="0" t="n">
        <v>1699335</v>
      </c>
      <c r="D6103" s="0" t="s">
        <v>20429</v>
      </c>
      <c r="E6103" s="0" t="s">
        <v>89</v>
      </c>
      <c r="F6103" s="0" t="s">
        <v>90</v>
      </c>
      <c r="G6103" s="0" t="s">
        <v>16</v>
      </c>
      <c r="H6103" s="0" t="n">
        <v>15</v>
      </c>
      <c r="I6103" s="0" t="s">
        <v>20430</v>
      </c>
      <c r="J6103" s="0" t="s">
        <v>20431</v>
      </c>
      <c r="K6103" s="0" t="s">
        <v>20432</v>
      </c>
      <c r="L6103" s="0" t="str">
        <f aca="false">HYPERLINK("https://www.ncbi.nlm.nih.gov/nuccore/CP000304.1?report=graph&amp;tracks=[key:gene_model_track,Options:GeneOnly]&amp;mk=1699316:1699335|offset_15|00cc00,1699290:1699309|offset_41|444444,1699269:1699288|offset_62|444444,1699238:1699257|offset_93|444444&amp;v=1699115:1699457&amp;c=444444", "offset 15")</f>
        <v>offset 15</v>
      </c>
    </row>
    <row r="6104" customFormat="false" ht="12.8" hidden="false" customHeight="false" outlineLevel="0" collapsed="false">
      <c r="A6104" s="0" t="s">
        <v>12</v>
      </c>
      <c r="B6104" s="0" t="n">
        <v>1699289</v>
      </c>
      <c r="C6104" s="0" t="n">
        <v>1699309</v>
      </c>
      <c r="D6104" s="0" t="s">
        <v>20429</v>
      </c>
      <c r="E6104" s="0" t="s">
        <v>89</v>
      </c>
      <c r="F6104" s="0" t="s">
        <v>90</v>
      </c>
      <c r="G6104" s="0" t="s">
        <v>16</v>
      </c>
      <c r="H6104" s="0" t="n">
        <v>41</v>
      </c>
      <c r="I6104" s="0" t="s">
        <v>20433</v>
      </c>
      <c r="J6104" s="0" t="s">
        <v>20434</v>
      </c>
      <c r="K6104" s="0" t="s">
        <v>20435</v>
      </c>
      <c r="L6104" s="0" t="str">
        <f aca="false">HYPERLINK("https://www.ncbi.nlm.nih.gov/nuccore/CP000304.1?report=graph&amp;tracks=[key:gene_model_track,Options:GeneOnly]&amp;mk=1699316:1699335|offset_15|444444,1699290:1699309|offset_41|00cc00,1699269:1699288|offset_62|444444,1699238:1699257|offset_93|444444&amp;v=1699115:1699457&amp;c=444444", "offset 41")</f>
        <v>offset 41</v>
      </c>
    </row>
    <row r="6105" customFormat="false" ht="12.8" hidden="false" customHeight="false" outlineLevel="0" collapsed="false">
      <c r="A6105" s="0" t="s">
        <v>12</v>
      </c>
      <c r="B6105" s="0" t="n">
        <v>1699268</v>
      </c>
      <c r="C6105" s="0" t="n">
        <v>1699288</v>
      </c>
      <c r="D6105" s="0" t="s">
        <v>20429</v>
      </c>
      <c r="E6105" s="0" t="s">
        <v>89</v>
      </c>
      <c r="F6105" s="0" t="s">
        <v>90</v>
      </c>
      <c r="G6105" s="0" t="s">
        <v>16</v>
      </c>
      <c r="H6105" s="0" t="n">
        <v>62</v>
      </c>
      <c r="I6105" s="0" t="s">
        <v>20436</v>
      </c>
      <c r="J6105" s="0" t="s">
        <v>20437</v>
      </c>
      <c r="K6105" s="0" t="s">
        <v>20438</v>
      </c>
      <c r="L6105" s="0" t="str">
        <f aca="false">HYPERLINK("https://www.ncbi.nlm.nih.gov/nuccore/CP000304.1?report=graph&amp;tracks=[key:gene_model_track,Options:GeneOnly]&amp;mk=1699316:1699335|offset_15|444444,1699290:1699309|offset_41|444444,1699269:1699288|offset_62|00cc00,1699238:1699257|offset_93|444444&amp;v=1699115:1699457&amp;c=444444", "offset 62")</f>
        <v>offset 62</v>
      </c>
    </row>
    <row r="6106" customFormat="false" ht="12.8" hidden="false" customHeight="false" outlineLevel="0" collapsed="false">
      <c r="A6106" s="0" t="s">
        <v>12</v>
      </c>
      <c r="B6106" s="0" t="n">
        <v>1699237</v>
      </c>
      <c r="C6106" s="0" t="n">
        <v>1699257</v>
      </c>
      <c r="D6106" s="0" t="s">
        <v>20429</v>
      </c>
      <c r="E6106" s="0" t="s">
        <v>89</v>
      </c>
      <c r="F6106" s="0" t="s">
        <v>90</v>
      </c>
      <c r="G6106" s="0" t="s">
        <v>16</v>
      </c>
      <c r="H6106" s="0" t="n">
        <v>93</v>
      </c>
      <c r="I6106" s="0" t="s">
        <v>20439</v>
      </c>
      <c r="J6106" s="0" t="s">
        <v>20440</v>
      </c>
      <c r="K6106" s="0" t="s">
        <v>20441</v>
      </c>
      <c r="L6106" s="0" t="str">
        <f aca="false">HYPERLINK("https://www.ncbi.nlm.nih.gov/nuccore/CP000304.1?report=graph&amp;tracks=[key:gene_model_track,Options:GeneOnly]&amp;mk=1699316:1699335|offset_15|444444,1699290:1699309|offset_41|444444,1699269:1699288|offset_62|444444,1699238:1699257|offset_93|00cc00&amp;v=1699115:1699457&amp;c=444444", "offset 93")</f>
        <v>offset 93</v>
      </c>
    </row>
    <row r="6107" customFormat="false" ht="12.8" hidden="false" customHeight="false" outlineLevel="0" collapsed="false">
      <c r="A6107" s="0" t="s">
        <v>12</v>
      </c>
      <c r="B6107" s="0" t="n">
        <v>1699607</v>
      </c>
      <c r="C6107" s="0" t="n">
        <v>1699627</v>
      </c>
      <c r="D6107" s="0" t="s">
        <v>20442</v>
      </c>
      <c r="E6107" s="0" t="s">
        <v>89</v>
      </c>
      <c r="F6107" s="0" t="s">
        <v>90</v>
      </c>
      <c r="G6107" s="0" t="s">
        <v>16</v>
      </c>
      <c r="H6107" s="0" t="n">
        <v>1</v>
      </c>
      <c r="I6107" s="0" t="s">
        <v>20443</v>
      </c>
      <c r="J6107" s="0" t="s">
        <v>20444</v>
      </c>
      <c r="K6107" s="0" t="s">
        <v>20445</v>
      </c>
      <c r="L6107" s="0" t="str">
        <f aca="false">HYPERLINK("https://www.ncbi.nlm.nih.gov/nuccore/CP000304.1?report=graph&amp;tracks=[key:gene_model_track,Options:GeneOnly]&amp;mk=1699608:1699627|offset_1|00cc00,1699583:1699602|offset_26|444444,1699560:1699579|offset_49|444444,1699530:1699549|offset_79|444444&amp;v=1699407:1699749&amp;c=444444", "offset 1")</f>
        <v>offset 1</v>
      </c>
    </row>
    <row r="6108" customFormat="false" ht="12.8" hidden="false" customHeight="false" outlineLevel="0" collapsed="false">
      <c r="A6108" s="0" t="s">
        <v>12</v>
      </c>
      <c r="B6108" s="0" t="n">
        <v>1699582</v>
      </c>
      <c r="C6108" s="0" t="n">
        <v>1699602</v>
      </c>
      <c r="D6108" s="0" t="s">
        <v>20442</v>
      </c>
      <c r="E6108" s="0" t="s">
        <v>89</v>
      </c>
      <c r="F6108" s="0" t="s">
        <v>90</v>
      </c>
      <c r="G6108" s="0" t="s">
        <v>32</v>
      </c>
      <c r="H6108" s="0" t="n">
        <v>26</v>
      </c>
      <c r="I6108" s="0" t="s">
        <v>20446</v>
      </c>
      <c r="J6108" s="0" t="s">
        <v>20447</v>
      </c>
      <c r="K6108" s="0" t="s">
        <v>20448</v>
      </c>
      <c r="L6108" s="0" t="str">
        <f aca="false">HYPERLINK("https://www.ncbi.nlm.nih.gov/nuccore/CP000304.1?report=graph&amp;tracks=[key:gene_model_track,Options:GeneOnly]&amp;mk=1699608:1699627|offset_1|444444,1699583:1699602|offset_26|00cc00,1699560:1699579|offset_49|444444,1699530:1699549|offset_79|444444&amp;v=1699407:1699749&amp;c=444444", "offset 26")</f>
        <v>offset 26</v>
      </c>
    </row>
    <row r="6109" customFormat="false" ht="12.8" hidden="false" customHeight="false" outlineLevel="0" collapsed="false">
      <c r="A6109" s="0" t="s">
        <v>12</v>
      </c>
      <c r="B6109" s="0" t="n">
        <v>1699559</v>
      </c>
      <c r="C6109" s="0" t="n">
        <v>1699579</v>
      </c>
      <c r="D6109" s="0" t="s">
        <v>20442</v>
      </c>
      <c r="E6109" s="0" t="s">
        <v>89</v>
      </c>
      <c r="F6109" s="0" t="s">
        <v>90</v>
      </c>
      <c r="G6109" s="0" t="s">
        <v>16</v>
      </c>
      <c r="H6109" s="0" t="n">
        <v>49</v>
      </c>
      <c r="I6109" s="0" t="s">
        <v>20449</v>
      </c>
      <c r="J6109" s="0" t="s">
        <v>20450</v>
      </c>
      <c r="K6109" s="0" t="s">
        <v>20451</v>
      </c>
      <c r="L6109" s="0" t="str">
        <f aca="false">HYPERLINK("https://www.ncbi.nlm.nih.gov/nuccore/CP000304.1?report=graph&amp;tracks=[key:gene_model_track,Options:GeneOnly]&amp;mk=1699608:1699627|offset_1|444444,1699583:1699602|offset_26|444444,1699560:1699579|offset_49|00cc00,1699530:1699549|offset_79|444444&amp;v=1699407:1699749&amp;c=444444", "offset 49")</f>
        <v>offset 49</v>
      </c>
    </row>
    <row r="6110" customFormat="false" ht="12.8" hidden="false" customHeight="false" outlineLevel="0" collapsed="false">
      <c r="A6110" s="0" t="s">
        <v>12</v>
      </c>
      <c r="B6110" s="0" t="n">
        <v>1699529</v>
      </c>
      <c r="C6110" s="0" t="n">
        <v>1699549</v>
      </c>
      <c r="D6110" s="0" t="s">
        <v>20442</v>
      </c>
      <c r="E6110" s="0" t="s">
        <v>89</v>
      </c>
      <c r="F6110" s="0" t="s">
        <v>90</v>
      </c>
      <c r="G6110" s="0" t="s">
        <v>32</v>
      </c>
      <c r="H6110" s="0" t="n">
        <v>79</v>
      </c>
      <c r="I6110" s="0" t="s">
        <v>20452</v>
      </c>
      <c r="J6110" s="0" t="s">
        <v>20453</v>
      </c>
      <c r="K6110" s="0" t="s">
        <v>20454</v>
      </c>
      <c r="L6110" s="0" t="str">
        <f aca="false">HYPERLINK("https://www.ncbi.nlm.nih.gov/nuccore/CP000304.1?report=graph&amp;tracks=[key:gene_model_track,Options:GeneOnly]&amp;mk=1699608:1699627|offset_1|444444,1699583:1699602|offset_26|444444,1699560:1699579|offset_49|444444,1699530:1699549|offset_79|00cc00&amp;v=1699407:1699749&amp;c=444444", "offset 79")</f>
        <v>offset 79</v>
      </c>
    </row>
    <row r="6111" customFormat="false" ht="12.8" hidden="false" customHeight="false" outlineLevel="0" collapsed="false">
      <c r="A6111" s="0" t="s">
        <v>12</v>
      </c>
      <c r="B6111" s="0" t="n">
        <v>1699740</v>
      </c>
      <c r="C6111" s="0" t="n">
        <v>1699760</v>
      </c>
      <c r="D6111" s="0" t="s">
        <v>20455</v>
      </c>
      <c r="E6111" s="0" t="s">
        <v>20456</v>
      </c>
      <c r="F6111" s="0" t="s">
        <v>15</v>
      </c>
      <c r="G6111" s="0" t="s">
        <v>16</v>
      </c>
      <c r="H6111" s="0" t="n">
        <v>6</v>
      </c>
      <c r="I6111" s="0" t="s">
        <v>20457</v>
      </c>
      <c r="J6111" s="0" t="s">
        <v>20458</v>
      </c>
      <c r="K6111" s="0" t="s">
        <v>20459</v>
      </c>
      <c r="L6111" s="0" t="str">
        <f aca="false">HYPERLINK("https://www.ncbi.nlm.nih.gov/nuccore/CP000304.1?report=graph&amp;tracks=[key:gene_model_track,Options:GeneOnly]&amp;mk=1699741:1699760|offset_6|00cc00,1699772:1699791|offset_37|444444,1699801:1699820|offset_66|444444,1699845:1699864|offset_110|444444&amp;v=1699540:1700064&amp;c=444444", "offset 6")</f>
        <v>offset 6</v>
      </c>
    </row>
    <row r="6112" customFormat="false" ht="12.8" hidden="false" customHeight="false" outlineLevel="0" collapsed="false">
      <c r="A6112" s="0" t="s">
        <v>12</v>
      </c>
      <c r="B6112" s="0" t="n">
        <v>1699771</v>
      </c>
      <c r="C6112" s="0" t="n">
        <v>1699791</v>
      </c>
      <c r="D6112" s="0" t="s">
        <v>20455</v>
      </c>
      <c r="E6112" s="0" t="s">
        <v>20456</v>
      </c>
      <c r="F6112" s="0" t="s">
        <v>15</v>
      </c>
      <c r="G6112" s="0" t="s">
        <v>36</v>
      </c>
      <c r="H6112" s="0" t="n">
        <v>37</v>
      </c>
      <c r="I6112" s="0" t="s">
        <v>20460</v>
      </c>
      <c r="J6112" s="0" t="s">
        <v>20461</v>
      </c>
      <c r="K6112" s="0" t="s">
        <v>20462</v>
      </c>
      <c r="L6112" s="0" t="str">
        <f aca="false">HYPERLINK("https://www.ncbi.nlm.nih.gov/nuccore/CP000304.1?report=graph&amp;tracks=[key:gene_model_track,Options:GeneOnly]&amp;mk=1699741:1699760|offset_6|444444,1699772:1699791|offset_37|00cc00,1699801:1699820|offset_66|444444,1699845:1699864|offset_110|444444&amp;v=1699540:1700064&amp;c=444444", "offset 37")</f>
        <v>offset 37</v>
      </c>
    </row>
    <row r="6113" customFormat="false" ht="12.8" hidden="false" customHeight="false" outlineLevel="0" collapsed="false">
      <c r="A6113" s="0" t="s">
        <v>12</v>
      </c>
      <c r="B6113" s="0" t="n">
        <v>1699800</v>
      </c>
      <c r="C6113" s="0" t="n">
        <v>1699820</v>
      </c>
      <c r="D6113" s="0" t="s">
        <v>20455</v>
      </c>
      <c r="E6113" s="0" t="s">
        <v>20456</v>
      </c>
      <c r="F6113" s="0" t="s">
        <v>15</v>
      </c>
      <c r="G6113" s="0" t="s">
        <v>36</v>
      </c>
      <c r="H6113" s="0" t="n">
        <v>66</v>
      </c>
      <c r="I6113" s="0" t="s">
        <v>20463</v>
      </c>
      <c r="J6113" s="0" t="s">
        <v>20464</v>
      </c>
      <c r="K6113" s="0" t="s">
        <v>20465</v>
      </c>
      <c r="L6113" s="0" t="str">
        <f aca="false">HYPERLINK("https://www.ncbi.nlm.nih.gov/nuccore/CP000304.1?report=graph&amp;tracks=[key:gene_model_track,Options:GeneOnly]&amp;mk=1699741:1699760|offset_6|444444,1699772:1699791|offset_37|444444,1699801:1699820|offset_66|00cc00,1699845:1699864|offset_110|444444&amp;v=1699540:1700064&amp;c=444444", "offset 66")</f>
        <v>offset 66</v>
      </c>
    </row>
    <row r="6114" customFormat="false" ht="12.8" hidden="false" customHeight="false" outlineLevel="0" collapsed="false">
      <c r="A6114" s="0" t="s">
        <v>12</v>
      </c>
      <c r="B6114" s="0" t="n">
        <v>1699844</v>
      </c>
      <c r="C6114" s="0" t="n">
        <v>1699864</v>
      </c>
      <c r="D6114" s="0" t="s">
        <v>20455</v>
      </c>
      <c r="E6114" s="0" t="s">
        <v>20456</v>
      </c>
      <c r="F6114" s="0" t="s">
        <v>15</v>
      </c>
      <c r="G6114" s="0" t="s">
        <v>32</v>
      </c>
      <c r="H6114" s="0" t="n">
        <v>110</v>
      </c>
      <c r="I6114" s="0" t="s">
        <v>20466</v>
      </c>
      <c r="J6114" s="0" t="s">
        <v>20467</v>
      </c>
      <c r="K6114" s="0" t="s">
        <v>20468</v>
      </c>
      <c r="L6114" s="0" t="str">
        <f aca="false">HYPERLINK("https://www.ncbi.nlm.nih.gov/nuccore/CP000304.1?report=graph&amp;tracks=[key:gene_model_track,Options:GeneOnly]&amp;mk=1699741:1699760|offset_6|444444,1699772:1699791|offset_37|444444,1699801:1699820|offset_66|444444,1699845:1699864|offset_110|00cc00&amp;v=1699540:1700064&amp;c=444444", "offset 110")</f>
        <v>offset 110</v>
      </c>
    </row>
    <row r="6115" customFormat="false" ht="12.8" hidden="false" customHeight="false" outlineLevel="0" collapsed="false">
      <c r="A6115" s="0" t="s">
        <v>12</v>
      </c>
      <c r="B6115" s="0" t="n">
        <v>1701644</v>
      </c>
      <c r="C6115" s="0" t="n">
        <v>1701664</v>
      </c>
      <c r="D6115" s="0" t="s">
        <v>20469</v>
      </c>
      <c r="E6115" s="0" t="s">
        <v>89</v>
      </c>
      <c r="F6115" s="0" t="s">
        <v>15</v>
      </c>
      <c r="G6115" s="0" t="s">
        <v>32</v>
      </c>
      <c r="H6115" s="0" t="n">
        <v>13</v>
      </c>
      <c r="I6115" s="0" t="s">
        <v>20470</v>
      </c>
      <c r="J6115" s="0" t="s">
        <v>20471</v>
      </c>
      <c r="K6115" s="0" t="s">
        <v>20472</v>
      </c>
      <c r="L6115" s="0" t="str">
        <f aca="false">HYPERLINK("https://www.ncbi.nlm.nih.gov/nuccore/CP000304.1?report=graph&amp;tracks=[key:gene_model_track,Options:GeneOnly]&amp;mk=1701645:1701664|offset_13|00cc00,1701681:1701700|offset_49|444444,1701708:1701727|offset_76|444444,1701735:1701754|offset_103|444444&amp;v=1701444:1701954&amp;c=444444", "offset 13")</f>
        <v>offset 13</v>
      </c>
    </row>
    <row r="6116" customFormat="false" ht="12.8" hidden="false" customHeight="false" outlineLevel="0" collapsed="false">
      <c r="A6116" s="0" t="s">
        <v>12</v>
      </c>
      <c r="B6116" s="0" t="n">
        <v>1701680</v>
      </c>
      <c r="C6116" s="0" t="n">
        <v>1701700</v>
      </c>
      <c r="D6116" s="0" t="s">
        <v>20469</v>
      </c>
      <c r="E6116" s="0" t="s">
        <v>89</v>
      </c>
      <c r="F6116" s="0" t="s">
        <v>15</v>
      </c>
      <c r="G6116" s="0" t="s">
        <v>16</v>
      </c>
      <c r="H6116" s="0" t="n">
        <v>49</v>
      </c>
      <c r="I6116" s="0" t="s">
        <v>20473</v>
      </c>
      <c r="J6116" s="0" t="s">
        <v>20474</v>
      </c>
      <c r="K6116" s="0" t="s">
        <v>20475</v>
      </c>
      <c r="L6116" s="0" t="str">
        <f aca="false">HYPERLINK("https://www.ncbi.nlm.nih.gov/nuccore/CP000304.1?report=graph&amp;tracks=[key:gene_model_track,Options:GeneOnly]&amp;mk=1701645:1701664|offset_13|444444,1701681:1701700|offset_49|00cc00,1701708:1701727|offset_76|444444,1701735:1701754|offset_103|444444&amp;v=1701444:1701954&amp;c=444444", "offset 49")</f>
        <v>offset 49</v>
      </c>
    </row>
    <row r="6117" customFormat="false" ht="12.8" hidden="false" customHeight="false" outlineLevel="0" collapsed="false">
      <c r="A6117" s="0" t="s">
        <v>12</v>
      </c>
      <c r="B6117" s="0" t="n">
        <v>1701707</v>
      </c>
      <c r="C6117" s="0" t="n">
        <v>1701727</v>
      </c>
      <c r="D6117" s="0" t="s">
        <v>20469</v>
      </c>
      <c r="E6117" s="0" t="s">
        <v>89</v>
      </c>
      <c r="F6117" s="0" t="s">
        <v>15</v>
      </c>
      <c r="G6117" s="0" t="s">
        <v>36</v>
      </c>
      <c r="H6117" s="0" t="n">
        <v>76</v>
      </c>
      <c r="I6117" s="0" t="s">
        <v>20476</v>
      </c>
      <c r="J6117" s="0" t="s">
        <v>20477</v>
      </c>
      <c r="K6117" s="0" t="s">
        <v>20478</v>
      </c>
      <c r="L6117" s="0" t="str">
        <f aca="false">HYPERLINK("https://www.ncbi.nlm.nih.gov/nuccore/CP000304.1?report=graph&amp;tracks=[key:gene_model_track,Options:GeneOnly]&amp;mk=1701645:1701664|offset_13|444444,1701681:1701700|offset_49|444444,1701708:1701727|offset_76|00cc00,1701735:1701754|offset_103|444444&amp;v=1701444:1701954&amp;c=444444", "offset 76")</f>
        <v>offset 76</v>
      </c>
    </row>
    <row r="6118" customFormat="false" ht="12.8" hidden="false" customHeight="false" outlineLevel="0" collapsed="false">
      <c r="A6118" s="0" t="s">
        <v>12</v>
      </c>
      <c r="B6118" s="0" t="n">
        <v>1701734</v>
      </c>
      <c r="C6118" s="0" t="n">
        <v>1701754</v>
      </c>
      <c r="D6118" s="0" t="s">
        <v>20469</v>
      </c>
      <c r="E6118" s="0" t="s">
        <v>89</v>
      </c>
      <c r="F6118" s="0" t="s">
        <v>15</v>
      </c>
      <c r="G6118" s="0" t="s">
        <v>16</v>
      </c>
      <c r="H6118" s="0" t="n">
        <v>103</v>
      </c>
      <c r="I6118" s="0" t="s">
        <v>20479</v>
      </c>
      <c r="J6118" s="0" t="s">
        <v>20480</v>
      </c>
      <c r="K6118" s="0" t="s">
        <v>20481</v>
      </c>
      <c r="L6118" s="0" t="str">
        <f aca="false">HYPERLINK("https://www.ncbi.nlm.nih.gov/nuccore/CP000304.1?report=graph&amp;tracks=[key:gene_model_track,Options:GeneOnly]&amp;mk=1701645:1701664|offset_13|444444,1701681:1701700|offset_49|444444,1701708:1701727|offset_76|444444,1701735:1701754|offset_103|00cc00&amp;v=1701444:1701954&amp;c=444444", "offset 103")</f>
        <v>offset 103</v>
      </c>
    </row>
    <row r="6119" customFormat="false" ht="12.8" hidden="false" customHeight="false" outlineLevel="0" collapsed="false">
      <c r="A6119" s="0" t="s">
        <v>12</v>
      </c>
      <c r="B6119" s="0" t="n">
        <v>1703703</v>
      </c>
      <c r="C6119" s="0" t="n">
        <v>1703723</v>
      </c>
      <c r="D6119" s="0" t="s">
        <v>20482</v>
      </c>
      <c r="E6119" s="0" t="s">
        <v>89</v>
      </c>
      <c r="F6119" s="0" t="s">
        <v>90</v>
      </c>
      <c r="G6119" s="0" t="s">
        <v>32</v>
      </c>
      <c r="H6119" s="0" t="n">
        <v>1</v>
      </c>
      <c r="I6119" s="0" t="s">
        <v>20483</v>
      </c>
      <c r="J6119" s="0" t="s">
        <v>20484</v>
      </c>
      <c r="K6119" s="0" t="s">
        <v>20485</v>
      </c>
      <c r="L6119" s="0" t="str">
        <f aca="false">HYPERLINK("https://www.ncbi.nlm.nih.gov/nuccore/CP000304.1?report=graph&amp;tracks=[key:gene_model_track,Options:GeneOnly]&amp;mk=1703704:1703723|offset_1|00cc00,1703656:1703675|offset_49|444444,1703632:1703651|offset_73|444444,1703610:1703629|offset_95|444444&amp;v=1703503:1703829&amp;c=444444", "offset 1")</f>
        <v>offset 1</v>
      </c>
    </row>
    <row r="6120" customFormat="false" ht="12.8" hidden="false" customHeight="false" outlineLevel="0" collapsed="false">
      <c r="A6120" s="0" t="s">
        <v>12</v>
      </c>
      <c r="B6120" s="0" t="n">
        <v>1703655</v>
      </c>
      <c r="C6120" s="0" t="n">
        <v>1703675</v>
      </c>
      <c r="D6120" s="0" t="s">
        <v>20482</v>
      </c>
      <c r="E6120" s="0" t="s">
        <v>89</v>
      </c>
      <c r="F6120" s="0" t="s">
        <v>90</v>
      </c>
      <c r="G6120" s="0" t="s">
        <v>26</v>
      </c>
      <c r="H6120" s="0" t="n">
        <v>49</v>
      </c>
      <c r="I6120" s="0" t="s">
        <v>20486</v>
      </c>
      <c r="J6120" s="0" t="s">
        <v>20487</v>
      </c>
      <c r="K6120" s="0" t="s">
        <v>20488</v>
      </c>
      <c r="L6120" s="0" t="str">
        <f aca="false">HYPERLINK("https://www.ncbi.nlm.nih.gov/nuccore/CP000304.1?report=graph&amp;tracks=[key:gene_model_track,Options:GeneOnly]&amp;mk=1703704:1703723|offset_1|444444,1703656:1703675|offset_49|00cc00,1703632:1703651|offset_73|444444,1703610:1703629|offset_95|444444&amp;v=1703503:1703829&amp;c=444444", "offset 49")</f>
        <v>offset 49</v>
      </c>
    </row>
    <row r="6121" customFormat="false" ht="12.8" hidden="false" customHeight="false" outlineLevel="0" collapsed="false">
      <c r="A6121" s="0" t="s">
        <v>12</v>
      </c>
      <c r="B6121" s="0" t="n">
        <v>1703631</v>
      </c>
      <c r="C6121" s="0" t="n">
        <v>1703651</v>
      </c>
      <c r="D6121" s="0" t="s">
        <v>20482</v>
      </c>
      <c r="E6121" s="0" t="s">
        <v>89</v>
      </c>
      <c r="F6121" s="0" t="s">
        <v>90</v>
      </c>
      <c r="G6121" s="0" t="s">
        <v>32</v>
      </c>
      <c r="H6121" s="0" t="n">
        <v>73</v>
      </c>
      <c r="I6121" s="0" t="s">
        <v>20489</v>
      </c>
      <c r="J6121" s="0" t="s">
        <v>20490</v>
      </c>
      <c r="K6121" s="0" t="s">
        <v>20491</v>
      </c>
      <c r="L6121" s="0" t="str">
        <f aca="false">HYPERLINK("https://www.ncbi.nlm.nih.gov/nuccore/CP000304.1?report=graph&amp;tracks=[key:gene_model_track,Options:GeneOnly]&amp;mk=1703704:1703723|offset_1|444444,1703656:1703675|offset_49|444444,1703632:1703651|offset_73|00cc00,1703610:1703629|offset_95|444444&amp;v=1703503:1703829&amp;c=444444", "offset 73")</f>
        <v>offset 73</v>
      </c>
    </row>
    <row r="6122" customFormat="false" ht="12.8" hidden="false" customHeight="false" outlineLevel="0" collapsed="false">
      <c r="A6122" s="0" t="s">
        <v>12</v>
      </c>
      <c r="B6122" s="0" t="n">
        <v>1703609</v>
      </c>
      <c r="C6122" s="0" t="n">
        <v>1703629</v>
      </c>
      <c r="D6122" s="0" t="s">
        <v>20482</v>
      </c>
      <c r="E6122" s="0" t="s">
        <v>89</v>
      </c>
      <c r="F6122" s="0" t="s">
        <v>90</v>
      </c>
      <c r="G6122" s="0" t="s">
        <v>26</v>
      </c>
      <c r="H6122" s="0" t="n">
        <v>95</v>
      </c>
      <c r="I6122" s="0" t="s">
        <v>20492</v>
      </c>
      <c r="J6122" s="0" t="s">
        <v>20493</v>
      </c>
      <c r="K6122" s="0" t="s">
        <v>20494</v>
      </c>
      <c r="L6122" s="0" t="str">
        <f aca="false">HYPERLINK("https://www.ncbi.nlm.nih.gov/nuccore/CP000304.1?report=graph&amp;tracks=[key:gene_model_track,Options:GeneOnly]&amp;mk=1703704:1703723|offset_1|444444,1703656:1703675|offset_49|444444,1703632:1703651|offset_73|444444,1703610:1703629|offset_95|00cc00&amp;v=1703503:1703829&amp;c=444444", "offset 95")</f>
        <v>offset 95</v>
      </c>
    </row>
    <row r="6123" customFormat="false" ht="12.8" hidden="false" customHeight="false" outlineLevel="0" collapsed="false">
      <c r="A6123" s="0" t="s">
        <v>12</v>
      </c>
      <c r="B6123" s="0" t="n">
        <v>1703852</v>
      </c>
      <c r="C6123" s="0" t="n">
        <v>1703872</v>
      </c>
      <c r="D6123" s="0" t="s">
        <v>20495</v>
      </c>
      <c r="E6123" s="0" t="s">
        <v>89</v>
      </c>
      <c r="F6123" s="0" t="s">
        <v>15</v>
      </c>
      <c r="G6123" s="0" t="s">
        <v>36</v>
      </c>
      <c r="H6123" s="0" t="n">
        <v>12</v>
      </c>
      <c r="I6123" s="0" t="s">
        <v>20496</v>
      </c>
      <c r="J6123" s="0" t="s">
        <v>20497</v>
      </c>
      <c r="K6123" s="0" t="s">
        <v>20498</v>
      </c>
      <c r="L6123" s="0" t="str">
        <f aca="false">HYPERLINK("https://www.ncbi.nlm.nih.gov/nuccore/CP000304.1?report=graph&amp;tracks=[key:gene_model_track,Options:GeneOnly]&amp;mk=1703853:1703872|offset_12|00cc00,1703891:1703910|offset_50|444444,1703920:1703939|offset_79|444444,1703946:1703965|offset_105|444444&amp;v=1703652:1704165&amp;c=444444", "offset 12")</f>
        <v>offset 12</v>
      </c>
    </row>
    <row r="6124" customFormat="false" ht="12.8" hidden="false" customHeight="false" outlineLevel="0" collapsed="false">
      <c r="A6124" s="0" t="s">
        <v>12</v>
      </c>
      <c r="B6124" s="0" t="n">
        <v>1703890</v>
      </c>
      <c r="C6124" s="0" t="n">
        <v>1703910</v>
      </c>
      <c r="D6124" s="0" t="s">
        <v>20495</v>
      </c>
      <c r="E6124" s="0" t="s">
        <v>89</v>
      </c>
      <c r="F6124" s="0" t="s">
        <v>15</v>
      </c>
      <c r="G6124" s="0" t="s">
        <v>26</v>
      </c>
      <c r="H6124" s="0" t="n">
        <v>50</v>
      </c>
      <c r="I6124" s="0" t="s">
        <v>20499</v>
      </c>
      <c r="J6124" s="0" t="s">
        <v>20500</v>
      </c>
      <c r="K6124" s="0" t="s">
        <v>20501</v>
      </c>
      <c r="L6124" s="0" t="str">
        <f aca="false">HYPERLINK("https://www.ncbi.nlm.nih.gov/nuccore/CP000304.1?report=graph&amp;tracks=[key:gene_model_track,Options:GeneOnly]&amp;mk=1703853:1703872|offset_12|444444,1703891:1703910|offset_50|00cc00,1703920:1703939|offset_79|444444,1703946:1703965|offset_105|444444&amp;v=1703652:1704165&amp;c=444444", "offset 50")</f>
        <v>offset 50</v>
      </c>
    </row>
    <row r="6125" customFormat="false" ht="12.8" hidden="false" customHeight="false" outlineLevel="0" collapsed="false">
      <c r="A6125" s="0" t="s">
        <v>12</v>
      </c>
      <c r="B6125" s="0" t="n">
        <v>1703919</v>
      </c>
      <c r="C6125" s="0" t="n">
        <v>1703939</v>
      </c>
      <c r="D6125" s="0" t="s">
        <v>20495</v>
      </c>
      <c r="E6125" s="0" t="s">
        <v>89</v>
      </c>
      <c r="F6125" s="0" t="s">
        <v>15</v>
      </c>
      <c r="G6125" s="0" t="s">
        <v>26</v>
      </c>
      <c r="H6125" s="0" t="n">
        <v>79</v>
      </c>
      <c r="I6125" s="0" t="s">
        <v>20502</v>
      </c>
      <c r="J6125" s="0" t="s">
        <v>20503</v>
      </c>
      <c r="K6125" s="0" t="s">
        <v>20504</v>
      </c>
      <c r="L6125" s="0" t="str">
        <f aca="false">HYPERLINK("https://www.ncbi.nlm.nih.gov/nuccore/CP000304.1?report=graph&amp;tracks=[key:gene_model_track,Options:GeneOnly]&amp;mk=1703853:1703872|offset_12|444444,1703891:1703910|offset_50|444444,1703920:1703939|offset_79|00cc00,1703946:1703965|offset_105|444444&amp;v=1703652:1704165&amp;c=444444", "offset 79")</f>
        <v>offset 79</v>
      </c>
    </row>
    <row r="6126" customFormat="false" ht="12.8" hidden="false" customHeight="false" outlineLevel="0" collapsed="false">
      <c r="A6126" s="0" t="s">
        <v>12</v>
      </c>
      <c r="B6126" s="0" t="n">
        <v>1703945</v>
      </c>
      <c r="C6126" s="0" t="n">
        <v>1703965</v>
      </c>
      <c r="D6126" s="0" t="s">
        <v>20495</v>
      </c>
      <c r="E6126" s="0" t="s">
        <v>89</v>
      </c>
      <c r="F6126" s="0" t="s">
        <v>15</v>
      </c>
      <c r="G6126" s="0" t="s">
        <v>16</v>
      </c>
      <c r="H6126" s="0" t="n">
        <v>105</v>
      </c>
      <c r="I6126" s="0" t="s">
        <v>20505</v>
      </c>
      <c r="J6126" s="0" t="s">
        <v>20506</v>
      </c>
      <c r="K6126" s="0" t="s">
        <v>20507</v>
      </c>
      <c r="L6126" s="0" t="str">
        <f aca="false">HYPERLINK("https://www.ncbi.nlm.nih.gov/nuccore/CP000304.1?report=graph&amp;tracks=[key:gene_model_track,Options:GeneOnly]&amp;mk=1703853:1703872|offset_12|444444,1703891:1703910|offset_50|444444,1703920:1703939|offset_79|444444,1703946:1703965|offset_105|00cc00&amp;v=1703652:1704165&amp;c=444444", "offset 105")</f>
        <v>offset 105</v>
      </c>
    </row>
    <row r="6127" customFormat="false" ht="12.8" hidden="false" customHeight="false" outlineLevel="0" collapsed="false">
      <c r="A6127" s="0" t="s">
        <v>12</v>
      </c>
      <c r="B6127" s="0" t="n">
        <v>1704456</v>
      </c>
      <c r="C6127" s="0" t="n">
        <v>1704476</v>
      </c>
      <c r="D6127" s="0" t="s">
        <v>20508</v>
      </c>
      <c r="E6127" s="0" t="s">
        <v>89</v>
      </c>
      <c r="F6127" s="0" t="s">
        <v>90</v>
      </c>
      <c r="G6127" s="0" t="s">
        <v>16</v>
      </c>
      <c r="H6127" s="0" t="n">
        <v>44</v>
      </c>
      <c r="I6127" s="0" t="s">
        <v>20509</v>
      </c>
      <c r="J6127" s="0" t="s">
        <v>20510</v>
      </c>
      <c r="K6127" s="0" t="s">
        <v>20511</v>
      </c>
      <c r="L6127" s="0" t="str">
        <f aca="false">HYPERLINK("https://www.ncbi.nlm.nih.gov/nuccore/CP000304.1?report=graph&amp;tracks=[key:gene_model_track,Options:GeneOnly]&amp;mk=1704457:1704476|offset_44|00cc00,1704431:1704450|offset_70|444444,1704404:1704423|offset_97|444444,1704384:1704403|offset_117|444444&amp;v=1704256:1704603&amp;c=444444", "offset 44")</f>
        <v>offset 44</v>
      </c>
    </row>
    <row r="6128" customFormat="false" ht="12.8" hidden="false" customHeight="false" outlineLevel="0" collapsed="false">
      <c r="A6128" s="0" t="s">
        <v>12</v>
      </c>
      <c r="B6128" s="0" t="n">
        <v>1704430</v>
      </c>
      <c r="C6128" s="0" t="n">
        <v>1704450</v>
      </c>
      <c r="D6128" s="0" t="s">
        <v>20508</v>
      </c>
      <c r="E6128" s="0" t="s">
        <v>89</v>
      </c>
      <c r="F6128" s="0" t="s">
        <v>90</v>
      </c>
      <c r="G6128" s="0" t="s">
        <v>16</v>
      </c>
      <c r="H6128" s="0" t="n">
        <v>70</v>
      </c>
      <c r="I6128" s="0" t="s">
        <v>20512</v>
      </c>
      <c r="J6128" s="0" t="s">
        <v>20513</v>
      </c>
      <c r="K6128" s="0" t="s">
        <v>20514</v>
      </c>
      <c r="L6128" s="0" t="str">
        <f aca="false">HYPERLINK("https://www.ncbi.nlm.nih.gov/nuccore/CP000304.1?report=graph&amp;tracks=[key:gene_model_track,Options:GeneOnly]&amp;mk=1704457:1704476|offset_44|444444,1704431:1704450|offset_70|00cc00,1704404:1704423|offset_97|444444,1704384:1704403|offset_117|444444&amp;v=1704256:1704603&amp;c=444444", "offset 70")</f>
        <v>offset 70</v>
      </c>
    </row>
    <row r="6129" customFormat="false" ht="12.8" hidden="false" customHeight="false" outlineLevel="0" collapsed="false">
      <c r="A6129" s="0" t="s">
        <v>12</v>
      </c>
      <c r="B6129" s="0" t="n">
        <v>1704403</v>
      </c>
      <c r="C6129" s="0" t="n">
        <v>1704423</v>
      </c>
      <c r="D6129" s="0" t="s">
        <v>20508</v>
      </c>
      <c r="E6129" s="0" t="s">
        <v>89</v>
      </c>
      <c r="F6129" s="0" t="s">
        <v>90</v>
      </c>
      <c r="G6129" s="0" t="s">
        <v>32</v>
      </c>
      <c r="H6129" s="0" t="n">
        <v>97</v>
      </c>
      <c r="I6129" s="0" t="s">
        <v>20515</v>
      </c>
      <c r="J6129" s="0" t="s">
        <v>20516</v>
      </c>
      <c r="K6129" s="0" t="s">
        <v>20517</v>
      </c>
      <c r="L6129" s="0" t="str">
        <f aca="false">HYPERLINK("https://www.ncbi.nlm.nih.gov/nuccore/CP000304.1?report=graph&amp;tracks=[key:gene_model_track,Options:GeneOnly]&amp;mk=1704457:1704476|offset_44|444444,1704431:1704450|offset_70|444444,1704404:1704423|offset_97|00cc00,1704384:1704403|offset_117|444444&amp;v=1704256:1704603&amp;c=444444", "offset 97")</f>
        <v>offset 97</v>
      </c>
    </row>
    <row r="6130" customFormat="false" ht="12.8" hidden="false" customHeight="false" outlineLevel="0" collapsed="false">
      <c r="A6130" s="0" t="s">
        <v>12</v>
      </c>
      <c r="B6130" s="0" t="n">
        <v>1704383</v>
      </c>
      <c r="C6130" s="0" t="n">
        <v>1704403</v>
      </c>
      <c r="D6130" s="0" t="s">
        <v>20508</v>
      </c>
      <c r="E6130" s="0" t="s">
        <v>89</v>
      </c>
      <c r="F6130" s="0" t="s">
        <v>90</v>
      </c>
      <c r="G6130" s="0" t="s">
        <v>36</v>
      </c>
      <c r="H6130" s="0" t="n">
        <v>117</v>
      </c>
      <c r="I6130" s="0" t="s">
        <v>20518</v>
      </c>
      <c r="J6130" s="0" t="s">
        <v>20519</v>
      </c>
      <c r="K6130" s="0" t="s">
        <v>20520</v>
      </c>
      <c r="L6130" s="0" t="str">
        <f aca="false">HYPERLINK("https://www.ncbi.nlm.nih.gov/nuccore/CP000304.1?report=graph&amp;tracks=[key:gene_model_track,Options:GeneOnly]&amp;mk=1704457:1704476|offset_44|444444,1704431:1704450|offset_70|444444,1704404:1704423|offset_97|444444,1704384:1704403|offset_117|00cc00&amp;v=1704256:1704603&amp;c=444444", "offset 117")</f>
        <v>offset 117</v>
      </c>
    </row>
    <row r="6131" customFormat="false" ht="12.8" hidden="false" customHeight="false" outlineLevel="0" collapsed="false">
      <c r="A6131" s="0" t="s">
        <v>12</v>
      </c>
      <c r="B6131" s="0" t="n">
        <v>1704554</v>
      </c>
      <c r="C6131" s="0" t="n">
        <v>1704574</v>
      </c>
      <c r="D6131" s="0" t="s">
        <v>20521</v>
      </c>
      <c r="E6131" s="0" t="s">
        <v>89</v>
      </c>
      <c r="F6131" s="0" t="s">
        <v>15</v>
      </c>
      <c r="G6131" s="0" t="s">
        <v>26</v>
      </c>
      <c r="H6131" s="0" t="n">
        <v>8</v>
      </c>
      <c r="I6131" s="0" t="s">
        <v>20522</v>
      </c>
      <c r="J6131" s="0" t="s">
        <v>20523</v>
      </c>
      <c r="K6131" s="0" t="s">
        <v>20524</v>
      </c>
      <c r="L6131" s="0" t="str">
        <f aca="false">HYPERLINK("https://www.ncbi.nlm.nih.gov/nuccore/CP000304.1?report=graph&amp;tracks=[key:gene_model_track,Options:GeneOnly]&amp;mk=1704555:1704574|offset_8|00cc00,1704577:1704596|offset_30|444444,1704598:1704617|offset_51|444444,1704620:1704639|offset_73|444444&amp;v=1704354:1704839&amp;c=444444", "offset 8")</f>
        <v>offset 8</v>
      </c>
    </row>
    <row r="6132" customFormat="false" ht="12.8" hidden="false" customHeight="false" outlineLevel="0" collapsed="false">
      <c r="A6132" s="0" t="s">
        <v>12</v>
      </c>
      <c r="B6132" s="0" t="n">
        <v>1704576</v>
      </c>
      <c r="C6132" s="0" t="n">
        <v>1704596</v>
      </c>
      <c r="D6132" s="0" t="s">
        <v>20521</v>
      </c>
      <c r="E6132" s="0" t="s">
        <v>89</v>
      </c>
      <c r="F6132" s="0" t="s">
        <v>15</v>
      </c>
      <c r="G6132" s="0" t="s">
        <v>16</v>
      </c>
      <c r="H6132" s="0" t="n">
        <v>30</v>
      </c>
      <c r="I6132" s="0" t="s">
        <v>20525</v>
      </c>
      <c r="J6132" s="0" t="s">
        <v>20526</v>
      </c>
      <c r="K6132" s="0" t="s">
        <v>20527</v>
      </c>
      <c r="L6132" s="0" t="str">
        <f aca="false">HYPERLINK("https://www.ncbi.nlm.nih.gov/nuccore/CP000304.1?report=graph&amp;tracks=[key:gene_model_track,Options:GeneOnly]&amp;mk=1704555:1704574|offset_8|444444,1704577:1704596|offset_30|00cc00,1704598:1704617|offset_51|444444,1704620:1704639|offset_73|444444&amp;v=1704354:1704839&amp;c=444444", "offset 30")</f>
        <v>offset 30</v>
      </c>
    </row>
    <row r="6133" customFormat="false" ht="12.8" hidden="false" customHeight="false" outlineLevel="0" collapsed="false">
      <c r="A6133" s="0" t="s">
        <v>12</v>
      </c>
      <c r="B6133" s="0" t="n">
        <v>1704597</v>
      </c>
      <c r="C6133" s="0" t="n">
        <v>1704617</v>
      </c>
      <c r="D6133" s="0" t="s">
        <v>20521</v>
      </c>
      <c r="E6133" s="0" t="s">
        <v>89</v>
      </c>
      <c r="F6133" s="0" t="s">
        <v>15</v>
      </c>
      <c r="G6133" s="0" t="s">
        <v>26</v>
      </c>
      <c r="H6133" s="0" t="n">
        <v>51</v>
      </c>
      <c r="I6133" s="0" t="s">
        <v>20528</v>
      </c>
      <c r="J6133" s="0" t="s">
        <v>20529</v>
      </c>
      <c r="K6133" s="0" t="s">
        <v>20530</v>
      </c>
      <c r="L6133" s="0" t="str">
        <f aca="false">HYPERLINK("https://www.ncbi.nlm.nih.gov/nuccore/CP000304.1?report=graph&amp;tracks=[key:gene_model_track,Options:GeneOnly]&amp;mk=1704555:1704574|offset_8|444444,1704577:1704596|offset_30|444444,1704598:1704617|offset_51|00cc00,1704620:1704639|offset_73|444444&amp;v=1704354:1704839&amp;c=444444", "offset 51")</f>
        <v>offset 51</v>
      </c>
    </row>
    <row r="6134" customFormat="false" ht="12.8" hidden="false" customHeight="false" outlineLevel="0" collapsed="false">
      <c r="A6134" s="0" t="s">
        <v>12</v>
      </c>
      <c r="B6134" s="0" t="n">
        <v>1704619</v>
      </c>
      <c r="C6134" s="0" t="n">
        <v>1704639</v>
      </c>
      <c r="D6134" s="0" t="s">
        <v>20521</v>
      </c>
      <c r="E6134" s="0" t="s">
        <v>89</v>
      </c>
      <c r="F6134" s="0" t="s">
        <v>15</v>
      </c>
      <c r="G6134" s="0" t="s">
        <v>32</v>
      </c>
      <c r="H6134" s="0" t="n">
        <v>73</v>
      </c>
      <c r="I6134" s="0" t="s">
        <v>20531</v>
      </c>
      <c r="J6134" s="0" t="s">
        <v>20532</v>
      </c>
      <c r="K6134" s="0" t="s">
        <v>20533</v>
      </c>
      <c r="L6134" s="0" t="str">
        <f aca="false">HYPERLINK("https://www.ncbi.nlm.nih.gov/nuccore/CP000304.1?report=graph&amp;tracks=[key:gene_model_track,Options:GeneOnly]&amp;mk=1704555:1704574|offset_8|444444,1704577:1704596|offset_30|444444,1704598:1704617|offset_51|444444,1704620:1704639|offset_73|00cc00&amp;v=1704354:1704839&amp;c=444444", "offset 73")</f>
        <v>offset 73</v>
      </c>
    </row>
    <row r="6135" customFormat="false" ht="12.8" hidden="false" customHeight="false" outlineLevel="0" collapsed="false">
      <c r="A6135" s="0" t="s">
        <v>12</v>
      </c>
      <c r="B6135" s="0" t="n">
        <v>1705709</v>
      </c>
      <c r="C6135" s="0" t="n">
        <v>1705729</v>
      </c>
      <c r="D6135" s="0" t="s">
        <v>20534</v>
      </c>
      <c r="E6135" s="0" t="s">
        <v>89</v>
      </c>
      <c r="F6135" s="0" t="s">
        <v>15</v>
      </c>
      <c r="G6135" s="0" t="s">
        <v>16</v>
      </c>
      <c r="H6135" s="0" t="n">
        <v>20</v>
      </c>
      <c r="I6135" s="0" t="s">
        <v>20535</v>
      </c>
      <c r="J6135" s="0" t="s">
        <v>20536</v>
      </c>
      <c r="K6135" s="0" t="s">
        <v>20537</v>
      </c>
      <c r="L6135" s="0" t="str">
        <f aca="false">HYPERLINK("https://www.ncbi.nlm.nih.gov/nuccore/CP000304.1?report=graph&amp;tracks=[key:gene_model_track,Options:GeneOnly]&amp;mk=1705710:1705729|offset_20|00cc00,1705730:1705749|offset_40|444444,1705754:1705773|offset_64|444444,1705779:1705798|offset_89|444444&amp;v=1705509:1705998&amp;c=444444", "offset 20")</f>
        <v>offset 20</v>
      </c>
    </row>
    <row r="6136" customFormat="false" ht="12.8" hidden="false" customHeight="false" outlineLevel="0" collapsed="false">
      <c r="A6136" s="0" t="s">
        <v>12</v>
      </c>
      <c r="B6136" s="0" t="n">
        <v>1705729</v>
      </c>
      <c r="C6136" s="0" t="n">
        <v>1705749</v>
      </c>
      <c r="D6136" s="0" t="s">
        <v>20534</v>
      </c>
      <c r="E6136" s="0" t="s">
        <v>89</v>
      </c>
      <c r="F6136" s="0" t="s">
        <v>15</v>
      </c>
      <c r="G6136" s="0" t="s">
        <v>16</v>
      </c>
      <c r="H6136" s="0" t="n">
        <v>40</v>
      </c>
      <c r="I6136" s="0" t="s">
        <v>20538</v>
      </c>
      <c r="J6136" s="0" t="s">
        <v>20539</v>
      </c>
      <c r="K6136" s="0" t="s">
        <v>20540</v>
      </c>
      <c r="L6136" s="0" t="str">
        <f aca="false">HYPERLINK("https://www.ncbi.nlm.nih.gov/nuccore/CP000304.1?report=graph&amp;tracks=[key:gene_model_track,Options:GeneOnly]&amp;mk=1705710:1705729|offset_20|444444,1705730:1705749|offset_40|00cc00,1705754:1705773|offset_64|444444,1705779:1705798|offset_89|444444&amp;v=1705509:1705998&amp;c=444444", "offset 40")</f>
        <v>offset 40</v>
      </c>
    </row>
    <row r="6137" customFormat="false" ht="12.8" hidden="false" customHeight="false" outlineLevel="0" collapsed="false">
      <c r="A6137" s="0" t="s">
        <v>12</v>
      </c>
      <c r="B6137" s="0" t="n">
        <v>1705753</v>
      </c>
      <c r="C6137" s="0" t="n">
        <v>1705773</v>
      </c>
      <c r="D6137" s="0" t="s">
        <v>20534</v>
      </c>
      <c r="E6137" s="0" t="s">
        <v>89</v>
      </c>
      <c r="F6137" s="0" t="s">
        <v>15</v>
      </c>
      <c r="G6137" s="0" t="s">
        <v>26</v>
      </c>
      <c r="H6137" s="0" t="n">
        <v>64</v>
      </c>
      <c r="I6137" s="0" t="s">
        <v>20541</v>
      </c>
      <c r="J6137" s="0" t="s">
        <v>20542</v>
      </c>
      <c r="K6137" s="0" t="s">
        <v>20543</v>
      </c>
      <c r="L6137" s="0" t="str">
        <f aca="false">HYPERLINK("https://www.ncbi.nlm.nih.gov/nuccore/CP000304.1?report=graph&amp;tracks=[key:gene_model_track,Options:GeneOnly]&amp;mk=1705710:1705729|offset_20|444444,1705730:1705749|offset_40|444444,1705754:1705773|offset_64|00cc00,1705779:1705798|offset_89|444444&amp;v=1705509:1705998&amp;c=444444", "offset 64")</f>
        <v>offset 64</v>
      </c>
    </row>
    <row r="6138" customFormat="false" ht="12.8" hidden="false" customHeight="false" outlineLevel="0" collapsed="false">
      <c r="A6138" s="0" t="s">
        <v>12</v>
      </c>
      <c r="B6138" s="0" t="n">
        <v>1705778</v>
      </c>
      <c r="C6138" s="0" t="n">
        <v>1705798</v>
      </c>
      <c r="D6138" s="0" t="s">
        <v>20534</v>
      </c>
      <c r="E6138" s="0" t="s">
        <v>89</v>
      </c>
      <c r="F6138" s="0" t="s">
        <v>15</v>
      </c>
      <c r="G6138" s="0" t="s">
        <v>16</v>
      </c>
      <c r="H6138" s="0" t="n">
        <v>89</v>
      </c>
      <c r="I6138" s="0" t="s">
        <v>20544</v>
      </c>
      <c r="J6138" s="0" t="s">
        <v>20545</v>
      </c>
      <c r="K6138" s="0" t="s">
        <v>20546</v>
      </c>
      <c r="L6138" s="0" t="str">
        <f aca="false">HYPERLINK("https://www.ncbi.nlm.nih.gov/nuccore/CP000304.1?report=graph&amp;tracks=[key:gene_model_track,Options:GeneOnly]&amp;mk=1705710:1705729|offset_20|444444,1705730:1705749|offset_40|444444,1705754:1705773|offset_64|444444,1705779:1705798|offset_89|00cc00&amp;v=1705509:1705998&amp;c=444444", "offset 89")</f>
        <v>offset 89</v>
      </c>
    </row>
    <row r="6139" customFormat="false" ht="12.8" hidden="false" customHeight="false" outlineLevel="0" collapsed="false">
      <c r="A6139" s="0" t="s">
        <v>12</v>
      </c>
      <c r="B6139" s="0" t="n">
        <v>1706259</v>
      </c>
      <c r="C6139" s="0" t="n">
        <v>1706279</v>
      </c>
      <c r="D6139" s="0" t="s">
        <v>20547</v>
      </c>
      <c r="E6139" s="0" t="s">
        <v>89</v>
      </c>
      <c r="F6139" s="0" t="s">
        <v>15</v>
      </c>
      <c r="G6139" s="0" t="s">
        <v>32</v>
      </c>
      <c r="H6139" s="0" t="n">
        <v>11</v>
      </c>
      <c r="I6139" s="0" t="s">
        <v>20548</v>
      </c>
      <c r="J6139" s="0" t="s">
        <v>20549</v>
      </c>
      <c r="K6139" s="0" t="s">
        <v>20550</v>
      </c>
      <c r="L6139" s="0" t="str">
        <f aca="false">HYPERLINK("https://www.ncbi.nlm.nih.gov/nuccore/CP000304.1?report=graph&amp;tracks=[key:gene_model_track,Options:GeneOnly]&amp;mk=1706260:1706279|offset_11|00cc00,1706295:1706314|offset_46|444444,1706319:1706338|offset_70|444444,1706341:1706360|offset_92|444444&amp;v=1706059:1706560&amp;c=444444", "offset 11")</f>
        <v>offset 11</v>
      </c>
    </row>
    <row r="6140" customFormat="false" ht="12.8" hidden="false" customHeight="false" outlineLevel="0" collapsed="false">
      <c r="A6140" s="0" t="s">
        <v>12</v>
      </c>
      <c r="B6140" s="0" t="n">
        <v>1706294</v>
      </c>
      <c r="C6140" s="0" t="n">
        <v>1706314</v>
      </c>
      <c r="D6140" s="0" t="s">
        <v>20547</v>
      </c>
      <c r="E6140" s="0" t="s">
        <v>89</v>
      </c>
      <c r="F6140" s="0" t="s">
        <v>15</v>
      </c>
      <c r="G6140" s="0" t="s">
        <v>36</v>
      </c>
      <c r="H6140" s="0" t="n">
        <v>46</v>
      </c>
      <c r="I6140" s="0" t="s">
        <v>20551</v>
      </c>
      <c r="J6140" s="0" t="s">
        <v>20552</v>
      </c>
      <c r="K6140" s="0" t="s">
        <v>20553</v>
      </c>
      <c r="L6140" s="0" t="str">
        <f aca="false">HYPERLINK("https://www.ncbi.nlm.nih.gov/nuccore/CP000304.1?report=graph&amp;tracks=[key:gene_model_track,Options:GeneOnly]&amp;mk=1706260:1706279|offset_11|444444,1706295:1706314|offset_46|00cc00,1706319:1706338|offset_70|444444,1706341:1706360|offset_92|444444&amp;v=1706059:1706560&amp;c=444444", "offset 46")</f>
        <v>offset 46</v>
      </c>
    </row>
    <row r="6141" customFormat="false" ht="12.8" hidden="false" customHeight="false" outlineLevel="0" collapsed="false">
      <c r="A6141" s="0" t="s">
        <v>12</v>
      </c>
      <c r="B6141" s="0" t="n">
        <v>1706318</v>
      </c>
      <c r="C6141" s="0" t="n">
        <v>1706338</v>
      </c>
      <c r="D6141" s="0" t="s">
        <v>20547</v>
      </c>
      <c r="E6141" s="0" t="s">
        <v>89</v>
      </c>
      <c r="F6141" s="0" t="s">
        <v>15</v>
      </c>
      <c r="G6141" s="0" t="s">
        <v>32</v>
      </c>
      <c r="H6141" s="0" t="n">
        <v>70</v>
      </c>
      <c r="I6141" s="0" t="s">
        <v>20554</v>
      </c>
      <c r="J6141" s="0" t="s">
        <v>20555</v>
      </c>
      <c r="K6141" s="0" t="s">
        <v>20556</v>
      </c>
      <c r="L6141" s="0" t="str">
        <f aca="false">HYPERLINK("https://www.ncbi.nlm.nih.gov/nuccore/CP000304.1?report=graph&amp;tracks=[key:gene_model_track,Options:GeneOnly]&amp;mk=1706260:1706279|offset_11|444444,1706295:1706314|offset_46|444444,1706319:1706338|offset_70|00cc00,1706341:1706360|offset_92|444444&amp;v=1706059:1706560&amp;c=444444", "offset 70")</f>
        <v>offset 70</v>
      </c>
    </row>
    <row r="6142" customFormat="false" ht="12.8" hidden="false" customHeight="false" outlineLevel="0" collapsed="false">
      <c r="A6142" s="0" t="s">
        <v>12</v>
      </c>
      <c r="B6142" s="0" t="n">
        <v>1706340</v>
      </c>
      <c r="C6142" s="0" t="n">
        <v>1706360</v>
      </c>
      <c r="D6142" s="0" t="s">
        <v>20547</v>
      </c>
      <c r="E6142" s="0" t="s">
        <v>89</v>
      </c>
      <c r="F6142" s="0" t="s">
        <v>15</v>
      </c>
      <c r="G6142" s="0" t="s">
        <v>16</v>
      </c>
      <c r="H6142" s="0" t="n">
        <v>92</v>
      </c>
      <c r="I6142" s="0" t="s">
        <v>20557</v>
      </c>
      <c r="J6142" s="0" t="s">
        <v>20558</v>
      </c>
      <c r="K6142" s="0" t="s">
        <v>20559</v>
      </c>
      <c r="L6142" s="0" t="str">
        <f aca="false">HYPERLINK("https://www.ncbi.nlm.nih.gov/nuccore/CP000304.1?report=graph&amp;tracks=[key:gene_model_track,Options:GeneOnly]&amp;mk=1706260:1706279|offset_11|444444,1706295:1706314|offset_46|444444,1706319:1706338|offset_70|444444,1706341:1706360|offset_92|00cc00&amp;v=1706059:1706560&amp;c=444444", "offset 92")</f>
        <v>offset 92</v>
      </c>
    </row>
    <row r="6143" customFormat="false" ht="12.8" hidden="false" customHeight="false" outlineLevel="0" collapsed="false">
      <c r="A6143" s="0" t="s">
        <v>12</v>
      </c>
      <c r="B6143" s="0" t="n">
        <v>1707563</v>
      </c>
      <c r="C6143" s="0" t="n">
        <v>1707583</v>
      </c>
      <c r="D6143" s="0" t="s">
        <v>20560</v>
      </c>
      <c r="E6143" s="0" t="s">
        <v>89</v>
      </c>
      <c r="F6143" s="0" t="s">
        <v>90</v>
      </c>
      <c r="G6143" s="0" t="s">
        <v>16</v>
      </c>
      <c r="H6143" s="0" t="n">
        <v>32</v>
      </c>
      <c r="I6143" s="0" t="s">
        <v>20561</v>
      </c>
      <c r="J6143" s="0" t="s">
        <v>20562</v>
      </c>
      <c r="K6143" s="0" t="s">
        <v>20563</v>
      </c>
      <c r="L6143" s="0" t="str">
        <f aca="false">HYPERLINK("https://www.ncbi.nlm.nih.gov/nuccore/CP000304.1?report=graph&amp;tracks=[key:gene_model_track,Options:GeneOnly]&amp;mk=1707564:1707583|offset_32|00cc00,1707544:1707563|offset_52|444444,1707514:1707533|offset_82|444444,1707487:1707506|offset_109|444444&amp;v=1707363:1707706&amp;c=444444", "offset 32")</f>
        <v>offset 32</v>
      </c>
    </row>
    <row r="6144" customFormat="false" ht="12.8" hidden="false" customHeight="false" outlineLevel="0" collapsed="false">
      <c r="A6144" s="0" t="s">
        <v>12</v>
      </c>
      <c r="B6144" s="0" t="n">
        <v>1707543</v>
      </c>
      <c r="C6144" s="0" t="n">
        <v>1707563</v>
      </c>
      <c r="D6144" s="0" t="s">
        <v>20560</v>
      </c>
      <c r="E6144" s="0" t="s">
        <v>89</v>
      </c>
      <c r="F6144" s="0" t="s">
        <v>90</v>
      </c>
      <c r="G6144" s="0" t="s">
        <v>16</v>
      </c>
      <c r="H6144" s="0" t="n">
        <v>52</v>
      </c>
      <c r="I6144" s="0" t="s">
        <v>20564</v>
      </c>
      <c r="J6144" s="0" t="s">
        <v>20565</v>
      </c>
      <c r="K6144" s="0" t="s">
        <v>20566</v>
      </c>
      <c r="L6144" s="0" t="str">
        <f aca="false">HYPERLINK("https://www.ncbi.nlm.nih.gov/nuccore/CP000304.1?report=graph&amp;tracks=[key:gene_model_track,Options:GeneOnly]&amp;mk=1707564:1707583|offset_32|444444,1707544:1707563|offset_52|00cc00,1707514:1707533|offset_82|444444,1707487:1707506|offset_109|444444&amp;v=1707363:1707706&amp;c=444444", "offset 52")</f>
        <v>offset 52</v>
      </c>
    </row>
    <row r="6145" customFormat="false" ht="12.8" hidden="false" customHeight="false" outlineLevel="0" collapsed="false">
      <c r="A6145" s="0" t="s">
        <v>12</v>
      </c>
      <c r="B6145" s="0" t="n">
        <v>1707513</v>
      </c>
      <c r="C6145" s="0" t="n">
        <v>1707533</v>
      </c>
      <c r="D6145" s="0" t="s">
        <v>20560</v>
      </c>
      <c r="E6145" s="0" t="s">
        <v>89</v>
      </c>
      <c r="F6145" s="0" t="s">
        <v>90</v>
      </c>
      <c r="G6145" s="0" t="s">
        <v>16</v>
      </c>
      <c r="H6145" s="0" t="n">
        <v>82</v>
      </c>
      <c r="I6145" s="0" t="s">
        <v>20567</v>
      </c>
      <c r="J6145" s="0" t="s">
        <v>20568</v>
      </c>
      <c r="K6145" s="0" t="s">
        <v>20569</v>
      </c>
      <c r="L6145" s="0" t="str">
        <f aca="false">HYPERLINK("https://www.ncbi.nlm.nih.gov/nuccore/CP000304.1?report=graph&amp;tracks=[key:gene_model_track,Options:GeneOnly]&amp;mk=1707564:1707583|offset_32|444444,1707544:1707563|offset_52|444444,1707514:1707533|offset_82|00cc00,1707487:1707506|offset_109|444444&amp;v=1707363:1707706&amp;c=444444", "offset 82")</f>
        <v>offset 82</v>
      </c>
    </row>
    <row r="6146" customFormat="false" ht="12.8" hidden="false" customHeight="false" outlineLevel="0" collapsed="false">
      <c r="A6146" s="0" t="s">
        <v>12</v>
      </c>
      <c r="B6146" s="0" t="n">
        <v>1707486</v>
      </c>
      <c r="C6146" s="0" t="n">
        <v>1707506</v>
      </c>
      <c r="D6146" s="0" t="s">
        <v>20560</v>
      </c>
      <c r="E6146" s="0" t="s">
        <v>89</v>
      </c>
      <c r="F6146" s="0" t="s">
        <v>90</v>
      </c>
      <c r="G6146" s="0" t="s">
        <v>16</v>
      </c>
      <c r="H6146" s="0" t="n">
        <v>109</v>
      </c>
      <c r="I6146" s="0" t="s">
        <v>20570</v>
      </c>
      <c r="J6146" s="0" t="s">
        <v>20571</v>
      </c>
      <c r="K6146" s="0" t="s">
        <v>20572</v>
      </c>
      <c r="L6146" s="0" t="str">
        <f aca="false">HYPERLINK("https://www.ncbi.nlm.nih.gov/nuccore/CP000304.1?report=graph&amp;tracks=[key:gene_model_track,Options:GeneOnly]&amp;mk=1707564:1707583|offset_32|444444,1707544:1707563|offset_52|444444,1707514:1707533|offset_82|444444,1707487:1707506|offset_109|00cc00&amp;v=1707363:1707706&amp;c=444444", "offset 109")</f>
        <v>offset 109</v>
      </c>
    </row>
    <row r="6147" customFormat="false" ht="12.8" hidden="false" customHeight="false" outlineLevel="0" collapsed="false">
      <c r="A6147" s="0" t="s">
        <v>12</v>
      </c>
      <c r="B6147" s="0" t="n">
        <v>1707887</v>
      </c>
      <c r="C6147" s="0" t="n">
        <v>1707907</v>
      </c>
      <c r="D6147" s="0" t="s">
        <v>20573</v>
      </c>
      <c r="E6147" s="0" t="s">
        <v>89</v>
      </c>
      <c r="F6147" s="0" t="s">
        <v>15</v>
      </c>
      <c r="G6147" s="0" t="s">
        <v>26</v>
      </c>
      <c r="H6147" s="0" t="n">
        <v>23</v>
      </c>
      <c r="I6147" s="0" t="s">
        <v>20574</v>
      </c>
      <c r="J6147" s="0" t="s">
        <v>20575</v>
      </c>
      <c r="K6147" s="0" t="s">
        <v>20576</v>
      </c>
      <c r="L6147" s="0" t="str">
        <f aca="false">HYPERLINK("https://www.ncbi.nlm.nih.gov/nuccore/CP000304.1?report=graph&amp;tracks=[key:gene_model_track,Options:GeneOnly]&amp;mk=1707888:1707907|offset_23|00cc00,1707911:1707930|offset_46|444444,1707942:1707961|offset_77|444444,1707966:1707985|offset_101|444444&amp;v=1707687:1708185&amp;c=444444", "offset 23")</f>
        <v>offset 23</v>
      </c>
    </row>
    <row r="6148" customFormat="false" ht="12.8" hidden="false" customHeight="false" outlineLevel="0" collapsed="false">
      <c r="A6148" s="0" t="s">
        <v>12</v>
      </c>
      <c r="B6148" s="0" t="n">
        <v>1707910</v>
      </c>
      <c r="C6148" s="0" t="n">
        <v>1707930</v>
      </c>
      <c r="D6148" s="0" t="s">
        <v>20573</v>
      </c>
      <c r="E6148" s="0" t="s">
        <v>89</v>
      </c>
      <c r="F6148" s="0" t="s">
        <v>15</v>
      </c>
      <c r="G6148" s="0" t="s">
        <v>26</v>
      </c>
      <c r="H6148" s="0" t="n">
        <v>46</v>
      </c>
      <c r="I6148" s="0" t="s">
        <v>20577</v>
      </c>
      <c r="J6148" s="0" t="s">
        <v>20578</v>
      </c>
      <c r="K6148" s="0" t="s">
        <v>20579</v>
      </c>
      <c r="L6148" s="0" t="str">
        <f aca="false">HYPERLINK("https://www.ncbi.nlm.nih.gov/nuccore/CP000304.1?report=graph&amp;tracks=[key:gene_model_track,Options:GeneOnly]&amp;mk=1707888:1707907|offset_23|444444,1707911:1707930|offset_46|00cc00,1707942:1707961|offset_77|444444,1707966:1707985|offset_101|444444&amp;v=1707687:1708185&amp;c=444444", "offset 46")</f>
        <v>offset 46</v>
      </c>
    </row>
    <row r="6149" customFormat="false" ht="12.8" hidden="false" customHeight="false" outlineLevel="0" collapsed="false">
      <c r="A6149" s="0" t="s">
        <v>12</v>
      </c>
      <c r="B6149" s="0" t="n">
        <v>1707941</v>
      </c>
      <c r="C6149" s="0" t="n">
        <v>1707961</v>
      </c>
      <c r="D6149" s="0" t="s">
        <v>20573</v>
      </c>
      <c r="E6149" s="0" t="s">
        <v>89</v>
      </c>
      <c r="F6149" s="0" t="s">
        <v>15</v>
      </c>
      <c r="G6149" s="0" t="s">
        <v>32</v>
      </c>
      <c r="H6149" s="0" t="n">
        <v>77</v>
      </c>
      <c r="I6149" s="0" t="s">
        <v>20580</v>
      </c>
      <c r="J6149" s="0" t="s">
        <v>20581</v>
      </c>
      <c r="K6149" s="0" t="s">
        <v>20582</v>
      </c>
      <c r="L6149" s="0" t="str">
        <f aca="false">HYPERLINK("https://www.ncbi.nlm.nih.gov/nuccore/CP000304.1?report=graph&amp;tracks=[key:gene_model_track,Options:GeneOnly]&amp;mk=1707888:1707907|offset_23|444444,1707911:1707930|offset_46|444444,1707942:1707961|offset_77|00cc00,1707966:1707985|offset_101|444444&amp;v=1707687:1708185&amp;c=444444", "offset 77")</f>
        <v>offset 77</v>
      </c>
    </row>
    <row r="6150" customFormat="false" ht="12.8" hidden="false" customHeight="false" outlineLevel="0" collapsed="false">
      <c r="A6150" s="0" t="s">
        <v>12</v>
      </c>
      <c r="B6150" s="0" t="n">
        <v>1707965</v>
      </c>
      <c r="C6150" s="0" t="n">
        <v>1707985</v>
      </c>
      <c r="D6150" s="0" t="s">
        <v>20573</v>
      </c>
      <c r="E6150" s="0" t="s">
        <v>89</v>
      </c>
      <c r="F6150" s="0" t="s">
        <v>15</v>
      </c>
      <c r="G6150" s="0" t="s">
        <v>26</v>
      </c>
      <c r="H6150" s="0" t="n">
        <v>101</v>
      </c>
      <c r="I6150" s="0" t="s">
        <v>20583</v>
      </c>
      <c r="J6150" s="0" t="s">
        <v>20584</v>
      </c>
      <c r="K6150" s="0" t="s">
        <v>20585</v>
      </c>
      <c r="L6150" s="0" t="str">
        <f aca="false">HYPERLINK("https://www.ncbi.nlm.nih.gov/nuccore/CP000304.1?report=graph&amp;tracks=[key:gene_model_track,Options:GeneOnly]&amp;mk=1707888:1707907|offset_23|444444,1707911:1707930|offset_46|444444,1707942:1707961|offset_77|444444,1707966:1707985|offset_101|00cc00&amp;v=1707687:1708185&amp;c=444444", "offset 101")</f>
        <v>offset 101</v>
      </c>
    </row>
    <row r="6151" customFormat="false" ht="12.8" hidden="false" customHeight="false" outlineLevel="0" collapsed="false">
      <c r="A6151" s="0" t="s">
        <v>12</v>
      </c>
      <c r="B6151" s="0" t="n">
        <v>1709856</v>
      </c>
      <c r="C6151" s="0" t="n">
        <v>1709876</v>
      </c>
      <c r="D6151" s="0" t="s">
        <v>20586</v>
      </c>
      <c r="E6151" s="0" t="s">
        <v>89</v>
      </c>
      <c r="F6151" s="0" t="s">
        <v>90</v>
      </c>
      <c r="G6151" s="0" t="s">
        <v>32</v>
      </c>
      <c r="H6151" s="0" t="n">
        <v>1</v>
      </c>
      <c r="I6151" s="0" t="s">
        <v>20587</v>
      </c>
      <c r="J6151" s="0" t="s">
        <v>20588</v>
      </c>
      <c r="K6151" s="0" t="s">
        <v>20589</v>
      </c>
      <c r="L6151" s="0" t="str">
        <f aca="false">HYPERLINK("https://www.ncbi.nlm.nih.gov/nuccore/CP000304.1?report=graph&amp;tracks=[key:gene_model_track,Options:GeneOnly]&amp;mk=1709857:1709876|offset_1|00cc00,1709835:1709854|offset_23|444444,1709788:1709807|offset_70|444444,1709764:1709783|offset_94|444444&amp;v=1709656:1709983&amp;c=444444", "offset 1")</f>
        <v>offset 1</v>
      </c>
    </row>
    <row r="6152" customFormat="false" ht="12.8" hidden="false" customHeight="false" outlineLevel="0" collapsed="false">
      <c r="A6152" s="0" t="s">
        <v>12</v>
      </c>
      <c r="B6152" s="0" t="n">
        <v>1709834</v>
      </c>
      <c r="C6152" s="0" t="n">
        <v>1709854</v>
      </c>
      <c r="D6152" s="0" t="s">
        <v>20586</v>
      </c>
      <c r="E6152" s="0" t="s">
        <v>89</v>
      </c>
      <c r="F6152" s="0" t="s">
        <v>90</v>
      </c>
      <c r="G6152" s="0" t="s">
        <v>32</v>
      </c>
      <c r="H6152" s="0" t="n">
        <v>23</v>
      </c>
      <c r="I6152" s="0" t="s">
        <v>20590</v>
      </c>
      <c r="J6152" s="0" t="s">
        <v>20591</v>
      </c>
      <c r="K6152" s="0" t="s">
        <v>20592</v>
      </c>
      <c r="L6152" s="0" t="str">
        <f aca="false">HYPERLINK("https://www.ncbi.nlm.nih.gov/nuccore/CP000304.1?report=graph&amp;tracks=[key:gene_model_track,Options:GeneOnly]&amp;mk=1709857:1709876|offset_1|444444,1709835:1709854|offset_23|00cc00,1709788:1709807|offset_70|444444,1709764:1709783|offset_94|444444&amp;v=1709656:1709983&amp;c=444444", "offset 23")</f>
        <v>offset 23</v>
      </c>
    </row>
    <row r="6153" customFormat="false" ht="12.8" hidden="false" customHeight="false" outlineLevel="0" collapsed="false">
      <c r="A6153" s="0" t="s">
        <v>12</v>
      </c>
      <c r="B6153" s="0" t="n">
        <v>1709787</v>
      </c>
      <c r="C6153" s="0" t="n">
        <v>1709807</v>
      </c>
      <c r="D6153" s="0" t="s">
        <v>20586</v>
      </c>
      <c r="E6153" s="0" t="s">
        <v>89</v>
      </c>
      <c r="F6153" s="0" t="s">
        <v>90</v>
      </c>
      <c r="G6153" s="0" t="s">
        <v>32</v>
      </c>
      <c r="H6153" s="0" t="n">
        <v>70</v>
      </c>
      <c r="I6153" s="0" t="s">
        <v>20593</v>
      </c>
      <c r="J6153" s="0" t="s">
        <v>20594</v>
      </c>
      <c r="K6153" s="0" t="s">
        <v>20595</v>
      </c>
      <c r="L6153" s="0" t="str">
        <f aca="false">HYPERLINK("https://www.ncbi.nlm.nih.gov/nuccore/CP000304.1?report=graph&amp;tracks=[key:gene_model_track,Options:GeneOnly]&amp;mk=1709857:1709876|offset_1|444444,1709835:1709854|offset_23|444444,1709788:1709807|offset_70|00cc00,1709764:1709783|offset_94|444444&amp;v=1709656:1709983&amp;c=444444", "offset 70")</f>
        <v>offset 70</v>
      </c>
    </row>
    <row r="6154" customFormat="false" ht="12.8" hidden="false" customHeight="false" outlineLevel="0" collapsed="false">
      <c r="A6154" s="0" t="s">
        <v>12</v>
      </c>
      <c r="B6154" s="0" t="n">
        <v>1709763</v>
      </c>
      <c r="C6154" s="0" t="n">
        <v>1709783</v>
      </c>
      <c r="D6154" s="0" t="s">
        <v>20586</v>
      </c>
      <c r="E6154" s="0" t="s">
        <v>89</v>
      </c>
      <c r="F6154" s="0" t="s">
        <v>90</v>
      </c>
      <c r="G6154" s="0" t="s">
        <v>36</v>
      </c>
      <c r="H6154" s="0" t="n">
        <v>94</v>
      </c>
      <c r="I6154" s="0" t="s">
        <v>20596</v>
      </c>
      <c r="J6154" s="0" t="s">
        <v>20597</v>
      </c>
      <c r="K6154" s="0" t="s">
        <v>20598</v>
      </c>
      <c r="L6154" s="0" t="str">
        <f aca="false">HYPERLINK("https://www.ncbi.nlm.nih.gov/nuccore/CP000304.1?report=graph&amp;tracks=[key:gene_model_track,Options:GeneOnly]&amp;mk=1709857:1709876|offset_1|444444,1709835:1709854|offset_23|444444,1709788:1709807|offset_70|444444,1709764:1709783|offset_94|00cc00&amp;v=1709656:1709983&amp;c=444444", "offset 94")</f>
        <v>offset 94</v>
      </c>
    </row>
    <row r="6155" customFormat="false" ht="12.8" hidden="false" customHeight="false" outlineLevel="0" collapsed="false">
      <c r="A6155" s="0" t="s">
        <v>12</v>
      </c>
      <c r="B6155" s="0" t="n">
        <v>1710912</v>
      </c>
      <c r="C6155" s="0" t="n">
        <v>1710932</v>
      </c>
      <c r="D6155" s="0" t="s">
        <v>20599</v>
      </c>
      <c r="E6155" s="0" t="s">
        <v>89</v>
      </c>
      <c r="F6155" s="0" t="s">
        <v>90</v>
      </c>
      <c r="G6155" s="0" t="s">
        <v>16</v>
      </c>
      <c r="H6155" s="0" t="n">
        <v>16</v>
      </c>
      <c r="I6155" s="0" t="s">
        <v>20600</v>
      </c>
      <c r="J6155" s="0" t="s">
        <v>20601</v>
      </c>
      <c r="K6155" s="0" t="s">
        <v>20602</v>
      </c>
      <c r="L6155" s="0" t="str">
        <f aca="false">HYPERLINK("https://www.ncbi.nlm.nih.gov/nuccore/CP000304.1?report=graph&amp;tracks=[key:gene_model_track,Options:GeneOnly]&amp;mk=1710913:1710932|offset_16|00cc00,1710879:1710898|offset_50|444444,1710856:1710875|offset_73|444444,1710835:1710854|offset_94|444444&amp;v=1710712:1711054&amp;c=444444", "offset 16")</f>
        <v>offset 16</v>
      </c>
    </row>
    <row r="6156" customFormat="false" ht="12.8" hidden="false" customHeight="false" outlineLevel="0" collapsed="false">
      <c r="A6156" s="0" t="s">
        <v>12</v>
      </c>
      <c r="B6156" s="0" t="n">
        <v>1710878</v>
      </c>
      <c r="C6156" s="0" t="n">
        <v>1710898</v>
      </c>
      <c r="D6156" s="0" t="s">
        <v>20599</v>
      </c>
      <c r="E6156" s="0" t="s">
        <v>89</v>
      </c>
      <c r="F6156" s="0" t="s">
        <v>90</v>
      </c>
      <c r="G6156" s="0" t="s">
        <v>26</v>
      </c>
      <c r="H6156" s="0" t="n">
        <v>50</v>
      </c>
      <c r="I6156" s="0" t="s">
        <v>20603</v>
      </c>
      <c r="J6156" s="0" t="s">
        <v>20604</v>
      </c>
      <c r="K6156" s="0" t="s">
        <v>20605</v>
      </c>
      <c r="L6156" s="0" t="str">
        <f aca="false">HYPERLINK("https://www.ncbi.nlm.nih.gov/nuccore/CP000304.1?report=graph&amp;tracks=[key:gene_model_track,Options:GeneOnly]&amp;mk=1710913:1710932|offset_16|444444,1710879:1710898|offset_50|00cc00,1710856:1710875|offset_73|444444,1710835:1710854|offset_94|444444&amp;v=1710712:1711054&amp;c=444444", "offset 50")</f>
        <v>offset 50</v>
      </c>
    </row>
    <row r="6157" customFormat="false" ht="12.8" hidden="false" customHeight="false" outlineLevel="0" collapsed="false">
      <c r="A6157" s="0" t="s">
        <v>12</v>
      </c>
      <c r="B6157" s="0" t="n">
        <v>1710855</v>
      </c>
      <c r="C6157" s="0" t="n">
        <v>1710875</v>
      </c>
      <c r="D6157" s="0" t="s">
        <v>20599</v>
      </c>
      <c r="E6157" s="0" t="s">
        <v>89</v>
      </c>
      <c r="F6157" s="0" t="s">
        <v>90</v>
      </c>
      <c r="G6157" s="0" t="s">
        <v>16</v>
      </c>
      <c r="H6157" s="0" t="n">
        <v>73</v>
      </c>
      <c r="I6157" s="0" t="s">
        <v>20606</v>
      </c>
      <c r="J6157" s="0" t="s">
        <v>20607</v>
      </c>
      <c r="K6157" s="0" t="s">
        <v>20608</v>
      </c>
      <c r="L6157" s="0" t="str">
        <f aca="false">HYPERLINK("https://www.ncbi.nlm.nih.gov/nuccore/CP000304.1?report=graph&amp;tracks=[key:gene_model_track,Options:GeneOnly]&amp;mk=1710913:1710932|offset_16|444444,1710879:1710898|offset_50|444444,1710856:1710875|offset_73|00cc00,1710835:1710854|offset_94|444444&amp;v=1710712:1711054&amp;c=444444", "offset 73")</f>
        <v>offset 73</v>
      </c>
    </row>
    <row r="6158" customFormat="false" ht="12.8" hidden="false" customHeight="false" outlineLevel="0" collapsed="false">
      <c r="A6158" s="0" t="s">
        <v>12</v>
      </c>
      <c r="B6158" s="0" t="n">
        <v>1710834</v>
      </c>
      <c r="C6158" s="0" t="n">
        <v>1710854</v>
      </c>
      <c r="D6158" s="0" t="s">
        <v>20599</v>
      </c>
      <c r="E6158" s="0" t="s">
        <v>89</v>
      </c>
      <c r="F6158" s="0" t="s">
        <v>90</v>
      </c>
      <c r="G6158" s="0" t="s">
        <v>16</v>
      </c>
      <c r="H6158" s="0" t="n">
        <v>94</v>
      </c>
      <c r="I6158" s="0" t="s">
        <v>20609</v>
      </c>
      <c r="J6158" s="0" t="s">
        <v>20610</v>
      </c>
      <c r="K6158" s="0" t="s">
        <v>20611</v>
      </c>
      <c r="L6158" s="0" t="str">
        <f aca="false">HYPERLINK("https://www.ncbi.nlm.nih.gov/nuccore/CP000304.1?report=graph&amp;tracks=[key:gene_model_track,Options:GeneOnly]&amp;mk=1710913:1710932|offset_16|444444,1710879:1710898|offset_50|444444,1710856:1710875|offset_73|444444,1710835:1710854|offset_94|00cc00&amp;v=1710712:1711054&amp;c=444444", "offset 94")</f>
        <v>offset 94</v>
      </c>
    </row>
    <row r="6159" customFormat="false" ht="12.8" hidden="false" customHeight="false" outlineLevel="0" collapsed="false">
      <c r="A6159" s="0" t="s">
        <v>12</v>
      </c>
      <c r="B6159" s="0" t="n">
        <v>1712343</v>
      </c>
      <c r="C6159" s="0" t="n">
        <v>1712363</v>
      </c>
      <c r="D6159" s="0" t="s">
        <v>20612</v>
      </c>
      <c r="E6159" s="0" t="s">
        <v>89</v>
      </c>
      <c r="F6159" s="0" t="s">
        <v>90</v>
      </c>
      <c r="G6159" s="0" t="s">
        <v>16</v>
      </c>
      <c r="H6159" s="0" t="n">
        <v>16</v>
      </c>
      <c r="I6159" s="0" t="s">
        <v>20613</v>
      </c>
      <c r="J6159" s="0" t="s">
        <v>20614</v>
      </c>
      <c r="K6159" s="0" t="s">
        <v>20615</v>
      </c>
      <c r="L6159" s="0" t="str">
        <f aca="false">HYPERLINK("https://www.ncbi.nlm.nih.gov/nuccore/CP000304.1?report=graph&amp;tracks=[key:gene_model_track,Options:GeneOnly]&amp;mk=1712344:1712363|offset_16|00cc00,1712323:1712342|offset_37|444444,1712254:1712273|offset_106|444444,1712185:1712204|offset_175|444444&amp;v=1712143:1712404&amp;c=444444", "offset 16")</f>
        <v>offset 16</v>
      </c>
    </row>
    <row r="6160" customFormat="false" ht="12.8" hidden="false" customHeight="false" outlineLevel="0" collapsed="false">
      <c r="A6160" s="0" t="s">
        <v>12</v>
      </c>
      <c r="B6160" s="0" t="n">
        <v>1712322</v>
      </c>
      <c r="C6160" s="0" t="n">
        <v>1712342</v>
      </c>
      <c r="D6160" s="0" t="s">
        <v>20612</v>
      </c>
      <c r="E6160" s="0" t="s">
        <v>89</v>
      </c>
      <c r="F6160" s="0" t="s">
        <v>90</v>
      </c>
      <c r="G6160" s="0" t="s">
        <v>32</v>
      </c>
      <c r="H6160" s="0" t="n">
        <v>37</v>
      </c>
      <c r="I6160" s="0" t="s">
        <v>20616</v>
      </c>
      <c r="J6160" s="0" t="s">
        <v>20617</v>
      </c>
      <c r="K6160" s="0" t="s">
        <v>20618</v>
      </c>
      <c r="L6160" s="0" t="str">
        <f aca="false">HYPERLINK("https://www.ncbi.nlm.nih.gov/nuccore/CP000304.1?report=graph&amp;tracks=[key:gene_model_track,Options:GeneOnly]&amp;mk=1712344:1712363|offset_16|444444,1712323:1712342|offset_37|00cc00,1712254:1712273|offset_106|444444,1712185:1712204|offset_175|444444&amp;v=1712143:1712404&amp;c=444444", "offset 37")</f>
        <v>offset 37</v>
      </c>
    </row>
    <row r="6161" customFormat="false" ht="12.8" hidden="false" customHeight="false" outlineLevel="0" collapsed="false">
      <c r="A6161" s="0" t="s">
        <v>12</v>
      </c>
      <c r="B6161" s="0" t="n">
        <v>1712253</v>
      </c>
      <c r="C6161" s="0" t="n">
        <v>1712273</v>
      </c>
      <c r="D6161" s="0" t="s">
        <v>20612</v>
      </c>
      <c r="E6161" s="0" t="s">
        <v>89</v>
      </c>
      <c r="F6161" s="0" t="s">
        <v>90</v>
      </c>
      <c r="G6161" s="0" t="s">
        <v>16</v>
      </c>
      <c r="H6161" s="0" t="n">
        <v>106</v>
      </c>
      <c r="I6161" s="0" t="s">
        <v>20619</v>
      </c>
      <c r="J6161" s="0" t="s">
        <v>20620</v>
      </c>
      <c r="K6161" s="0" t="s">
        <v>20621</v>
      </c>
      <c r="L6161" s="0" t="str">
        <f aca="false">HYPERLINK("https://www.ncbi.nlm.nih.gov/nuccore/CP000304.1?report=graph&amp;tracks=[key:gene_model_track,Options:GeneOnly]&amp;mk=1712344:1712363|offset_16|444444,1712323:1712342|offset_37|444444,1712254:1712273|offset_106|00cc00,1712185:1712204|offset_175|444444&amp;v=1712143:1712404&amp;c=444444", "offset 106")</f>
        <v>offset 106</v>
      </c>
    </row>
    <row r="6162" customFormat="false" ht="12.8" hidden="false" customHeight="false" outlineLevel="0" collapsed="false">
      <c r="A6162" s="0" t="s">
        <v>12</v>
      </c>
      <c r="B6162" s="0" t="n">
        <v>1712184</v>
      </c>
      <c r="C6162" s="0" t="n">
        <v>1712204</v>
      </c>
      <c r="D6162" s="0" t="s">
        <v>20612</v>
      </c>
      <c r="E6162" s="0" t="s">
        <v>89</v>
      </c>
      <c r="F6162" s="0" t="s">
        <v>90</v>
      </c>
      <c r="G6162" s="0" t="s">
        <v>32</v>
      </c>
      <c r="H6162" s="0" t="n">
        <v>175</v>
      </c>
      <c r="I6162" s="0" t="s">
        <v>20622</v>
      </c>
      <c r="J6162" s="0" t="s">
        <v>20623</v>
      </c>
      <c r="K6162" s="0" t="s">
        <v>20624</v>
      </c>
      <c r="L6162" s="0" t="str">
        <f aca="false">HYPERLINK("https://www.ncbi.nlm.nih.gov/nuccore/CP000304.1?report=graph&amp;tracks=[key:gene_model_track,Options:GeneOnly]&amp;mk=1712344:1712363|offset_16|444444,1712323:1712342|offset_37|444444,1712254:1712273|offset_106|444444,1712185:1712204|offset_175|00cc00&amp;v=1712143:1712404&amp;c=444444", "offset 175")</f>
        <v>offset 175</v>
      </c>
    </row>
    <row r="6163" customFormat="false" ht="12.8" hidden="false" customHeight="false" outlineLevel="0" collapsed="false">
      <c r="A6163" s="0" t="s">
        <v>12</v>
      </c>
      <c r="B6163" s="0" t="n">
        <v>1714084</v>
      </c>
      <c r="C6163" s="0" t="n">
        <v>1714104</v>
      </c>
      <c r="D6163" s="0" t="s">
        <v>20625</v>
      </c>
      <c r="E6163" s="0" t="s">
        <v>20626</v>
      </c>
      <c r="F6163" s="0" t="s">
        <v>90</v>
      </c>
      <c r="G6163" s="0" t="s">
        <v>36</v>
      </c>
      <c r="H6163" s="0" t="n">
        <v>0</v>
      </c>
      <c r="I6163" s="0" t="s">
        <v>20627</v>
      </c>
      <c r="J6163" s="0" t="s">
        <v>20628</v>
      </c>
      <c r="K6163" s="0" t="s">
        <v>20629</v>
      </c>
      <c r="L6163" s="0" t="str">
        <f aca="false">HYPERLINK("https://www.ncbi.nlm.nih.gov/nuccore/CP000304.1?report=graph&amp;tracks=[key:gene_model_track,Options:GeneOnly]&amp;mk=1714085:1714104|offset_0|00cc00,1714064:1714083|offset_21|444444,1714039:1714058|offset_46|444444,1714000:1714019|offset_85|444444&amp;v=1713884:1714219&amp;c=444444", "offset 0")</f>
        <v>offset 0</v>
      </c>
    </row>
    <row r="6164" customFormat="false" ht="12.8" hidden="false" customHeight="false" outlineLevel="0" collapsed="false">
      <c r="A6164" s="0" t="s">
        <v>12</v>
      </c>
      <c r="B6164" s="0" t="n">
        <v>1714063</v>
      </c>
      <c r="C6164" s="0" t="n">
        <v>1714083</v>
      </c>
      <c r="D6164" s="0" t="s">
        <v>20625</v>
      </c>
      <c r="E6164" s="0" t="s">
        <v>20626</v>
      </c>
      <c r="F6164" s="0" t="s">
        <v>90</v>
      </c>
      <c r="G6164" s="0" t="s">
        <v>36</v>
      </c>
      <c r="H6164" s="0" t="n">
        <v>21</v>
      </c>
      <c r="I6164" s="0" t="s">
        <v>20630</v>
      </c>
      <c r="J6164" s="0" t="s">
        <v>20631</v>
      </c>
      <c r="K6164" s="0" t="s">
        <v>20632</v>
      </c>
      <c r="L6164" s="0" t="str">
        <f aca="false">HYPERLINK("https://www.ncbi.nlm.nih.gov/nuccore/CP000304.1?report=graph&amp;tracks=[key:gene_model_track,Options:GeneOnly]&amp;mk=1714085:1714104|offset_0|444444,1714064:1714083|offset_21|00cc00,1714039:1714058|offset_46|444444,1714000:1714019|offset_85|444444&amp;v=1713884:1714219&amp;c=444444", "offset 21")</f>
        <v>offset 21</v>
      </c>
    </row>
    <row r="6165" customFormat="false" ht="12.8" hidden="false" customHeight="false" outlineLevel="0" collapsed="false">
      <c r="A6165" s="0" t="s">
        <v>12</v>
      </c>
      <c r="B6165" s="0" t="n">
        <v>1714038</v>
      </c>
      <c r="C6165" s="0" t="n">
        <v>1714058</v>
      </c>
      <c r="D6165" s="0" t="s">
        <v>20625</v>
      </c>
      <c r="E6165" s="0" t="s">
        <v>20626</v>
      </c>
      <c r="F6165" s="0" t="s">
        <v>90</v>
      </c>
      <c r="G6165" s="0" t="s">
        <v>16</v>
      </c>
      <c r="H6165" s="0" t="n">
        <v>46</v>
      </c>
      <c r="I6165" s="0" t="s">
        <v>20633</v>
      </c>
      <c r="J6165" s="0" t="s">
        <v>20634</v>
      </c>
      <c r="K6165" s="0" t="s">
        <v>20635</v>
      </c>
      <c r="L6165" s="0" t="str">
        <f aca="false">HYPERLINK("https://www.ncbi.nlm.nih.gov/nuccore/CP000304.1?report=graph&amp;tracks=[key:gene_model_track,Options:GeneOnly]&amp;mk=1714085:1714104|offset_0|444444,1714064:1714083|offset_21|444444,1714039:1714058|offset_46|00cc00,1714000:1714019|offset_85|444444&amp;v=1713884:1714219&amp;c=444444", "offset 46")</f>
        <v>offset 46</v>
      </c>
    </row>
    <row r="6166" customFormat="false" ht="12.8" hidden="false" customHeight="false" outlineLevel="0" collapsed="false">
      <c r="A6166" s="0" t="s">
        <v>12</v>
      </c>
      <c r="B6166" s="0" t="n">
        <v>1713999</v>
      </c>
      <c r="C6166" s="0" t="n">
        <v>1714019</v>
      </c>
      <c r="D6166" s="0" t="s">
        <v>20625</v>
      </c>
      <c r="E6166" s="0" t="s">
        <v>20626</v>
      </c>
      <c r="F6166" s="0" t="s">
        <v>90</v>
      </c>
      <c r="G6166" s="0" t="s">
        <v>16</v>
      </c>
      <c r="H6166" s="0" t="n">
        <v>85</v>
      </c>
      <c r="I6166" s="0" t="s">
        <v>20636</v>
      </c>
      <c r="J6166" s="0" t="s">
        <v>20637</v>
      </c>
      <c r="K6166" s="0" t="s">
        <v>20638</v>
      </c>
      <c r="L6166" s="0" t="str">
        <f aca="false">HYPERLINK("https://www.ncbi.nlm.nih.gov/nuccore/CP000304.1?report=graph&amp;tracks=[key:gene_model_track,Options:GeneOnly]&amp;mk=1714085:1714104|offset_0|444444,1714064:1714083|offset_21|444444,1714039:1714058|offset_46|444444,1714000:1714019|offset_85|00cc00&amp;v=1713884:1714219&amp;c=444444", "offset 85")</f>
        <v>offset 85</v>
      </c>
    </row>
    <row r="6167" customFormat="false" ht="12.8" hidden="false" customHeight="false" outlineLevel="0" collapsed="false">
      <c r="A6167" s="0" t="s">
        <v>12</v>
      </c>
      <c r="B6167" s="0" t="n">
        <v>1715272</v>
      </c>
      <c r="C6167" s="0" t="n">
        <v>1715292</v>
      </c>
      <c r="D6167" s="0" t="s">
        <v>20639</v>
      </c>
      <c r="E6167" s="0" t="s">
        <v>20640</v>
      </c>
      <c r="F6167" s="0" t="s">
        <v>90</v>
      </c>
      <c r="G6167" s="0" t="s">
        <v>36</v>
      </c>
      <c r="H6167" s="0" t="n">
        <v>0</v>
      </c>
      <c r="I6167" s="0" t="s">
        <v>20641</v>
      </c>
      <c r="J6167" s="0" t="s">
        <v>20642</v>
      </c>
      <c r="K6167" s="0" t="s">
        <v>20643</v>
      </c>
      <c r="L6167" s="0" t="str">
        <f aca="false">HYPERLINK("https://www.ncbi.nlm.nih.gov/nuccore/CP000304.1?report=graph&amp;tracks=[key:gene_model_track,Options:GeneOnly]&amp;mk=1715273:1715292|offset_0|00cc00,1715194:1715213|offset_79|444444,1715174:1715193|offset_99|444444,1715134:1715153|offset_139|444444&amp;v=1715072:1715353&amp;c=444444", "offset 0")</f>
        <v>offset 0</v>
      </c>
    </row>
    <row r="6168" customFormat="false" ht="12.8" hidden="false" customHeight="false" outlineLevel="0" collapsed="false">
      <c r="A6168" s="0" t="s">
        <v>12</v>
      </c>
      <c r="B6168" s="0" t="n">
        <v>1715193</v>
      </c>
      <c r="C6168" s="0" t="n">
        <v>1715213</v>
      </c>
      <c r="D6168" s="0" t="s">
        <v>20639</v>
      </c>
      <c r="E6168" s="0" t="s">
        <v>20640</v>
      </c>
      <c r="F6168" s="0" t="s">
        <v>90</v>
      </c>
      <c r="G6168" s="0" t="s">
        <v>36</v>
      </c>
      <c r="H6168" s="0" t="n">
        <v>79</v>
      </c>
      <c r="I6168" s="0" t="s">
        <v>20644</v>
      </c>
      <c r="J6168" s="0" t="s">
        <v>20645</v>
      </c>
      <c r="K6168" s="0" t="s">
        <v>20646</v>
      </c>
      <c r="L6168" s="0" t="str">
        <f aca="false">HYPERLINK("https://www.ncbi.nlm.nih.gov/nuccore/CP000304.1?report=graph&amp;tracks=[key:gene_model_track,Options:GeneOnly]&amp;mk=1715273:1715292|offset_0|444444,1715194:1715213|offset_79|00cc00,1715174:1715193|offset_99|444444,1715134:1715153|offset_139|444444&amp;v=1715072:1715353&amp;c=444444", "offset 79")</f>
        <v>offset 79</v>
      </c>
    </row>
    <row r="6169" customFormat="false" ht="12.8" hidden="false" customHeight="false" outlineLevel="0" collapsed="false">
      <c r="A6169" s="0" t="s">
        <v>12</v>
      </c>
      <c r="B6169" s="0" t="n">
        <v>1715173</v>
      </c>
      <c r="C6169" s="0" t="n">
        <v>1715193</v>
      </c>
      <c r="D6169" s="0" t="s">
        <v>20639</v>
      </c>
      <c r="E6169" s="0" t="s">
        <v>20640</v>
      </c>
      <c r="F6169" s="0" t="s">
        <v>90</v>
      </c>
      <c r="G6169" s="0" t="s">
        <v>16</v>
      </c>
      <c r="H6169" s="0" t="n">
        <v>99</v>
      </c>
      <c r="I6169" s="0" t="s">
        <v>20647</v>
      </c>
      <c r="J6169" s="0" t="s">
        <v>20648</v>
      </c>
      <c r="K6169" s="0" t="s">
        <v>20649</v>
      </c>
      <c r="L6169" s="0" t="str">
        <f aca="false">HYPERLINK("https://www.ncbi.nlm.nih.gov/nuccore/CP000304.1?report=graph&amp;tracks=[key:gene_model_track,Options:GeneOnly]&amp;mk=1715273:1715292|offset_0|444444,1715194:1715213|offset_79|444444,1715174:1715193|offset_99|00cc00,1715134:1715153|offset_139|444444&amp;v=1715072:1715353&amp;c=444444", "offset 99")</f>
        <v>offset 99</v>
      </c>
    </row>
    <row r="6170" customFormat="false" ht="12.8" hidden="false" customHeight="false" outlineLevel="0" collapsed="false">
      <c r="A6170" s="0" t="s">
        <v>12</v>
      </c>
      <c r="B6170" s="0" t="n">
        <v>1715133</v>
      </c>
      <c r="C6170" s="0" t="n">
        <v>1715153</v>
      </c>
      <c r="D6170" s="0" t="s">
        <v>20639</v>
      </c>
      <c r="E6170" s="0" t="s">
        <v>20640</v>
      </c>
      <c r="F6170" s="0" t="s">
        <v>90</v>
      </c>
      <c r="G6170" s="0" t="s">
        <v>16</v>
      </c>
      <c r="H6170" s="0" t="n">
        <v>139</v>
      </c>
      <c r="I6170" s="0" t="s">
        <v>20650</v>
      </c>
      <c r="J6170" s="0" t="s">
        <v>20651</v>
      </c>
      <c r="K6170" s="0" t="s">
        <v>20652</v>
      </c>
      <c r="L6170" s="0" t="str">
        <f aca="false">HYPERLINK("https://www.ncbi.nlm.nih.gov/nuccore/CP000304.1?report=graph&amp;tracks=[key:gene_model_track,Options:GeneOnly]&amp;mk=1715273:1715292|offset_0|444444,1715194:1715213|offset_79|444444,1715174:1715193|offset_99|444444,1715134:1715153|offset_139|00cc00&amp;v=1715072:1715353&amp;c=444444", "offset 139")</f>
        <v>offset 139</v>
      </c>
    </row>
    <row r="6171" customFormat="false" ht="12.8" hidden="false" customHeight="false" outlineLevel="0" collapsed="false">
      <c r="A6171" s="0" t="s">
        <v>12</v>
      </c>
      <c r="B6171" s="0" t="n">
        <v>1716912</v>
      </c>
      <c r="C6171" s="0" t="n">
        <v>1716932</v>
      </c>
      <c r="D6171" s="0" t="s">
        <v>20653</v>
      </c>
      <c r="E6171" s="0" t="s">
        <v>20654</v>
      </c>
      <c r="F6171" s="0" t="s">
        <v>90</v>
      </c>
      <c r="G6171" s="0" t="s">
        <v>32</v>
      </c>
      <c r="H6171" s="0" t="n">
        <v>1</v>
      </c>
      <c r="I6171" s="0" t="s">
        <v>20655</v>
      </c>
      <c r="J6171" s="0" t="s">
        <v>20656</v>
      </c>
      <c r="K6171" s="0" t="s">
        <v>20657</v>
      </c>
      <c r="L6171" s="0" t="str">
        <f aca="false">HYPERLINK("https://www.ncbi.nlm.nih.gov/nuccore/CP000304.1?report=graph&amp;tracks=[key:gene_model_track,Options:GeneOnly]&amp;mk=1716913:1716932|offset_1|00cc00,1716880:1716899|offset_34|444444,1716856:1716875|offset_58|444444,1716817:1716836|offset_97|444444&amp;v=1716712:1717036&amp;c=444444", "offset 1")</f>
        <v>offset 1</v>
      </c>
    </row>
    <row r="6172" customFormat="false" ht="12.8" hidden="false" customHeight="false" outlineLevel="0" collapsed="false">
      <c r="A6172" s="0" t="s">
        <v>12</v>
      </c>
      <c r="B6172" s="0" t="n">
        <v>1716879</v>
      </c>
      <c r="C6172" s="0" t="n">
        <v>1716899</v>
      </c>
      <c r="D6172" s="0" t="s">
        <v>20653</v>
      </c>
      <c r="E6172" s="0" t="s">
        <v>20654</v>
      </c>
      <c r="F6172" s="0" t="s">
        <v>90</v>
      </c>
      <c r="G6172" s="0" t="s">
        <v>36</v>
      </c>
      <c r="H6172" s="0" t="n">
        <v>34</v>
      </c>
      <c r="I6172" s="0" t="s">
        <v>20658</v>
      </c>
      <c r="J6172" s="0" t="s">
        <v>20659</v>
      </c>
      <c r="K6172" s="0" t="s">
        <v>20660</v>
      </c>
      <c r="L6172" s="0" t="str">
        <f aca="false">HYPERLINK("https://www.ncbi.nlm.nih.gov/nuccore/CP000304.1?report=graph&amp;tracks=[key:gene_model_track,Options:GeneOnly]&amp;mk=1716913:1716932|offset_1|444444,1716880:1716899|offset_34|00cc00,1716856:1716875|offset_58|444444,1716817:1716836|offset_97|444444&amp;v=1716712:1717036&amp;c=444444", "offset 34")</f>
        <v>offset 34</v>
      </c>
    </row>
    <row r="6173" customFormat="false" ht="12.8" hidden="false" customHeight="false" outlineLevel="0" collapsed="false">
      <c r="A6173" s="0" t="s">
        <v>12</v>
      </c>
      <c r="B6173" s="0" t="n">
        <v>1716855</v>
      </c>
      <c r="C6173" s="0" t="n">
        <v>1716875</v>
      </c>
      <c r="D6173" s="0" t="s">
        <v>20653</v>
      </c>
      <c r="E6173" s="0" t="s">
        <v>20654</v>
      </c>
      <c r="F6173" s="0" t="s">
        <v>90</v>
      </c>
      <c r="G6173" s="0" t="s">
        <v>36</v>
      </c>
      <c r="H6173" s="0" t="n">
        <v>58</v>
      </c>
      <c r="I6173" s="0" t="s">
        <v>20661</v>
      </c>
      <c r="J6173" s="0" t="s">
        <v>20662</v>
      </c>
      <c r="K6173" s="0" t="s">
        <v>20663</v>
      </c>
      <c r="L6173" s="0" t="str">
        <f aca="false">HYPERLINK("https://www.ncbi.nlm.nih.gov/nuccore/CP000304.1?report=graph&amp;tracks=[key:gene_model_track,Options:GeneOnly]&amp;mk=1716913:1716932|offset_1|444444,1716880:1716899|offset_34|444444,1716856:1716875|offset_58|00cc00,1716817:1716836|offset_97|444444&amp;v=1716712:1717036&amp;c=444444", "offset 58")</f>
        <v>offset 58</v>
      </c>
    </row>
    <row r="6174" customFormat="false" ht="12.8" hidden="false" customHeight="false" outlineLevel="0" collapsed="false">
      <c r="A6174" s="0" t="s">
        <v>12</v>
      </c>
      <c r="B6174" s="0" t="n">
        <v>1716816</v>
      </c>
      <c r="C6174" s="0" t="n">
        <v>1716836</v>
      </c>
      <c r="D6174" s="0" t="s">
        <v>20653</v>
      </c>
      <c r="E6174" s="0" t="s">
        <v>20654</v>
      </c>
      <c r="F6174" s="0" t="s">
        <v>90</v>
      </c>
      <c r="G6174" s="0" t="s">
        <v>32</v>
      </c>
      <c r="H6174" s="0" t="n">
        <v>97</v>
      </c>
      <c r="I6174" s="0" t="s">
        <v>20664</v>
      </c>
      <c r="J6174" s="0" t="s">
        <v>20665</v>
      </c>
      <c r="K6174" s="0" t="s">
        <v>20666</v>
      </c>
      <c r="L6174" s="0" t="str">
        <f aca="false">HYPERLINK("https://www.ncbi.nlm.nih.gov/nuccore/CP000304.1?report=graph&amp;tracks=[key:gene_model_track,Options:GeneOnly]&amp;mk=1716913:1716932|offset_1|444444,1716880:1716899|offset_34|444444,1716856:1716875|offset_58|444444,1716817:1716836|offset_97|00cc00&amp;v=1716712:1717036&amp;c=444444", "offset 97")</f>
        <v>offset 97</v>
      </c>
    </row>
    <row r="6175" customFormat="false" ht="12.8" hidden="false" customHeight="false" outlineLevel="0" collapsed="false">
      <c r="A6175" s="0" t="s">
        <v>12</v>
      </c>
      <c r="B6175" s="0" t="n">
        <v>1717795</v>
      </c>
      <c r="C6175" s="0" t="n">
        <v>1717815</v>
      </c>
      <c r="D6175" s="0" t="s">
        <v>20667</v>
      </c>
      <c r="E6175" s="0" t="s">
        <v>20668</v>
      </c>
      <c r="F6175" s="0" t="s">
        <v>90</v>
      </c>
      <c r="G6175" s="0" t="s">
        <v>36</v>
      </c>
      <c r="H6175" s="0" t="n">
        <v>12</v>
      </c>
      <c r="I6175" s="0" t="s">
        <v>20669</v>
      </c>
      <c r="J6175" s="0" t="s">
        <v>20670</v>
      </c>
      <c r="K6175" s="0" t="s">
        <v>20671</v>
      </c>
      <c r="L6175" s="0" t="str">
        <f aca="false">HYPERLINK("https://www.ncbi.nlm.nih.gov/nuccore/CP000304.1?report=graph&amp;tracks=[key:gene_model_track,Options:GeneOnly]&amp;mk=1717796:1717815|offset_12|00cc00,1717762:1717781|offset_46|444444,1717723:1717742|offset_85|444444,1717690:1717709|offset_118|444444&amp;v=1717595:1717909&amp;c=444444", "offset 12")</f>
        <v>offset 12</v>
      </c>
    </row>
    <row r="6176" customFormat="false" ht="12.8" hidden="false" customHeight="false" outlineLevel="0" collapsed="false">
      <c r="A6176" s="0" t="s">
        <v>12</v>
      </c>
      <c r="B6176" s="0" t="n">
        <v>1717761</v>
      </c>
      <c r="C6176" s="0" t="n">
        <v>1717781</v>
      </c>
      <c r="D6176" s="0" t="s">
        <v>20667</v>
      </c>
      <c r="E6176" s="0" t="s">
        <v>20668</v>
      </c>
      <c r="F6176" s="0" t="s">
        <v>90</v>
      </c>
      <c r="G6176" s="0" t="s">
        <v>16</v>
      </c>
      <c r="H6176" s="0" t="n">
        <v>46</v>
      </c>
      <c r="I6176" s="0" t="s">
        <v>20672</v>
      </c>
      <c r="J6176" s="0" t="s">
        <v>20673</v>
      </c>
      <c r="K6176" s="0" t="s">
        <v>20674</v>
      </c>
      <c r="L6176" s="0" t="str">
        <f aca="false">HYPERLINK("https://www.ncbi.nlm.nih.gov/nuccore/CP000304.1?report=graph&amp;tracks=[key:gene_model_track,Options:GeneOnly]&amp;mk=1717796:1717815|offset_12|444444,1717762:1717781|offset_46|00cc00,1717723:1717742|offset_85|444444,1717690:1717709|offset_118|444444&amp;v=1717595:1717909&amp;c=444444", "offset 46")</f>
        <v>offset 46</v>
      </c>
    </row>
    <row r="6177" customFormat="false" ht="12.8" hidden="false" customHeight="false" outlineLevel="0" collapsed="false">
      <c r="A6177" s="0" t="s">
        <v>12</v>
      </c>
      <c r="B6177" s="0" t="n">
        <v>1717722</v>
      </c>
      <c r="C6177" s="0" t="n">
        <v>1717742</v>
      </c>
      <c r="D6177" s="0" t="s">
        <v>20667</v>
      </c>
      <c r="E6177" s="0" t="s">
        <v>20668</v>
      </c>
      <c r="F6177" s="0" t="s">
        <v>90</v>
      </c>
      <c r="G6177" s="0" t="s">
        <v>16</v>
      </c>
      <c r="H6177" s="0" t="n">
        <v>85</v>
      </c>
      <c r="I6177" s="0" t="s">
        <v>20675</v>
      </c>
      <c r="J6177" s="0" t="s">
        <v>20676</v>
      </c>
      <c r="K6177" s="0" t="s">
        <v>20677</v>
      </c>
      <c r="L6177" s="0" t="str">
        <f aca="false">HYPERLINK("https://www.ncbi.nlm.nih.gov/nuccore/CP000304.1?report=graph&amp;tracks=[key:gene_model_track,Options:GeneOnly]&amp;mk=1717796:1717815|offset_12|444444,1717762:1717781|offset_46|444444,1717723:1717742|offset_85|00cc00,1717690:1717709|offset_118|444444&amp;v=1717595:1717909&amp;c=444444", "offset 85")</f>
        <v>offset 85</v>
      </c>
    </row>
    <row r="6178" customFormat="false" ht="12.8" hidden="false" customHeight="false" outlineLevel="0" collapsed="false">
      <c r="A6178" s="0" t="s">
        <v>12</v>
      </c>
      <c r="B6178" s="0" t="n">
        <v>1717689</v>
      </c>
      <c r="C6178" s="0" t="n">
        <v>1717709</v>
      </c>
      <c r="D6178" s="0" t="s">
        <v>20667</v>
      </c>
      <c r="E6178" s="0" t="s">
        <v>20668</v>
      </c>
      <c r="F6178" s="0" t="s">
        <v>90</v>
      </c>
      <c r="G6178" s="0" t="s">
        <v>16</v>
      </c>
      <c r="H6178" s="0" t="n">
        <v>118</v>
      </c>
      <c r="I6178" s="0" t="s">
        <v>20678</v>
      </c>
      <c r="J6178" s="0" t="s">
        <v>20679</v>
      </c>
      <c r="K6178" s="0" t="s">
        <v>20680</v>
      </c>
      <c r="L6178" s="0" t="str">
        <f aca="false">HYPERLINK("https://www.ncbi.nlm.nih.gov/nuccore/CP000304.1?report=graph&amp;tracks=[key:gene_model_track,Options:GeneOnly]&amp;mk=1717796:1717815|offset_12|444444,1717762:1717781|offset_46|444444,1717723:1717742|offset_85|444444,1717690:1717709|offset_118|00cc00&amp;v=1717595:1717909&amp;c=444444", "offset 118")</f>
        <v>offset 118</v>
      </c>
    </row>
    <row r="6179" customFormat="false" ht="12.8" hidden="false" customHeight="false" outlineLevel="0" collapsed="false">
      <c r="A6179" s="0" t="s">
        <v>12</v>
      </c>
      <c r="B6179" s="0" t="n">
        <v>1718750</v>
      </c>
      <c r="C6179" s="0" t="n">
        <v>1718770</v>
      </c>
      <c r="D6179" s="0" t="s">
        <v>20681</v>
      </c>
      <c r="E6179" s="0" t="s">
        <v>89</v>
      </c>
      <c r="F6179" s="0" t="s">
        <v>90</v>
      </c>
      <c r="G6179" s="0" t="s">
        <v>16</v>
      </c>
      <c r="H6179" s="0" t="n">
        <v>6</v>
      </c>
      <c r="I6179" s="0" t="s">
        <v>20682</v>
      </c>
      <c r="J6179" s="0" t="s">
        <v>20683</v>
      </c>
      <c r="K6179" s="0" t="s">
        <v>20684</v>
      </c>
      <c r="L6179" s="0" t="str">
        <f aca="false">HYPERLINK("https://www.ncbi.nlm.nih.gov/nuccore/CP000304.1?report=graph&amp;tracks=[key:gene_model_track,Options:GeneOnly]&amp;mk=1718751:1718770|offset_6|00cc00,1718731:1718750|offset_26|444444,1718711:1718730|offset_46|444444,1718666:1718685|offset_91|444444&amp;v=1718550:1718885&amp;c=444444", "offset 6")</f>
        <v>offset 6</v>
      </c>
    </row>
    <row r="6180" customFormat="false" ht="12.8" hidden="false" customHeight="false" outlineLevel="0" collapsed="false">
      <c r="A6180" s="0" t="s">
        <v>12</v>
      </c>
      <c r="B6180" s="0" t="n">
        <v>1718730</v>
      </c>
      <c r="C6180" s="0" t="n">
        <v>1718750</v>
      </c>
      <c r="D6180" s="0" t="s">
        <v>20681</v>
      </c>
      <c r="E6180" s="0" t="s">
        <v>89</v>
      </c>
      <c r="F6180" s="0" t="s">
        <v>90</v>
      </c>
      <c r="G6180" s="0" t="s">
        <v>26</v>
      </c>
      <c r="H6180" s="0" t="n">
        <v>26</v>
      </c>
      <c r="I6180" s="0" t="s">
        <v>20685</v>
      </c>
      <c r="J6180" s="0" t="s">
        <v>20686</v>
      </c>
      <c r="K6180" s="0" t="s">
        <v>20687</v>
      </c>
      <c r="L6180" s="0" t="str">
        <f aca="false">HYPERLINK("https://www.ncbi.nlm.nih.gov/nuccore/CP000304.1?report=graph&amp;tracks=[key:gene_model_track,Options:GeneOnly]&amp;mk=1718751:1718770|offset_6|444444,1718731:1718750|offset_26|00cc00,1718711:1718730|offset_46|444444,1718666:1718685|offset_91|444444&amp;v=1718550:1718885&amp;c=444444", "offset 26")</f>
        <v>offset 26</v>
      </c>
    </row>
    <row r="6181" customFormat="false" ht="12.8" hidden="false" customHeight="false" outlineLevel="0" collapsed="false">
      <c r="A6181" s="0" t="s">
        <v>12</v>
      </c>
      <c r="B6181" s="0" t="n">
        <v>1718710</v>
      </c>
      <c r="C6181" s="0" t="n">
        <v>1718730</v>
      </c>
      <c r="D6181" s="0" t="s">
        <v>20681</v>
      </c>
      <c r="E6181" s="0" t="s">
        <v>89</v>
      </c>
      <c r="F6181" s="0" t="s">
        <v>90</v>
      </c>
      <c r="G6181" s="0" t="s">
        <v>32</v>
      </c>
      <c r="H6181" s="0" t="n">
        <v>46</v>
      </c>
      <c r="I6181" s="0" t="s">
        <v>20688</v>
      </c>
      <c r="J6181" s="0" t="s">
        <v>20689</v>
      </c>
      <c r="K6181" s="0" t="s">
        <v>20690</v>
      </c>
      <c r="L6181" s="0" t="str">
        <f aca="false">HYPERLINK("https://www.ncbi.nlm.nih.gov/nuccore/CP000304.1?report=graph&amp;tracks=[key:gene_model_track,Options:GeneOnly]&amp;mk=1718751:1718770|offset_6|444444,1718731:1718750|offset_26|444444,1718711:1718730|offset_46|00cc00,1718666:1718685|offset_91|444444&amp;v=1718550:1718885&amp;c=444444", "offset 46")</f>
        <v>offset 46</v>
      </c>
    </row>
    <row r="6182" customFormat="false" ht="12.8" hidden="false" customHeight="false" outlineLevel="0" collapsed="false">
      <c r="A6182" s="0" t="s">
        <v>12</v>
      </c>
      <c r="B6182" s="0" t="n">
        <v>1718665</v>
      </c>
      <c r="C6182" s="0" t="n">
        <v>1718685</v>
      </c>
      <c r="D6182" s="0" t="s">
        <v>20681</v>
      </c>
      <c r="E6182" s="0" t="s">
        <v>89</v>
      </c>
      <c r="F6182" s="0" t="s">
        <v>90</v>
      </c>
      <c r="G6182" s="0" t="s">
        <v>16</v>
      </c>
      <c r="H6182" s="0" t="n">
        <v>91</v>
      </c>
      <c r="I6182" s="0" t="s">
        <v>20691</v>
      </c>
      <c r="J6182" s="0" t="s">
        <v>20692</v>
      </c>
      <c r="K6182" s="0" t="s">
        <v>20693</v>
      </c>
      <c r="L6182" s="0" t="str">
        <f aca="false">HYPERLINK("https://www.ncbi.nlm.nih.gov/nuccore/CP000304.1?report=graph&amp;tracks=[key:gene_model_track,Options:GeneOnly]&amp;mk=1718751:1718770|offset_6|444444,1718731:1718750|offset_26|444444,1718711:1718730|offset_46|444444,1718666:1718685|offset_91|00cc00&amp;v=1718550:1718885&amp;c=444444", "offset 91")</f>
        <v>offset 91</v>
      </c>
    </row>
    <row r="6183" customFormat="false" ht="12.8" hidden="false" customHeight="false" outlineLevel="0" collapsed="false">
      <c r="A6183" s="0" t="s">
        <v>12</v>
      </c>
      <c r="B6183" s="0" t="n">
        <v>1721181</v>
      </c>
      <c r="C6183" s="0" t="n">
        <v>1721201</v>
      </c>
      <c r="D6183" s="0" t="s">
        <v>20694</v>
      </c>
      <c r="E6183" s="0" t="s">
        <v>89</v>
      </c>
      <c r="F6183" s="0" t="s">
        <v>90</v>
      </c>
      <c r="G6183" s="0" t="s">
        <v>16</v>
      </c>
      <c r="H6183" s="0" t="n">
        <v>13</v>
      </c>
      <c r="I6183" s="0" t="s">
        <v>20695</v>
      </c>
      <c r="J6183" s="0" t="s">
        <v>20696</v>
      </c>
      <c r="K6183" s="0" t="s">
        <v>20697</v>
      </c>
      <c r="L6183" s="0" t="str">
        <f aca="false">HYPERLINK("https://www.ncbi.nlm.nih.gov/nuccore/CP000304.1?report=graph&amp;tracks=[key:gene_model_track,Options:GeneOnly]&amp;mk=1721182:1721201|offset_13|00cc00,1721161:1721180|offset_34|444444,1721108:1721127|offset_87|444444,1721085:1721104|offset_110|444444&amp;v=1720981:1721304&amp;c=444444", "offset 13")</f>
        <v>offset 13</v>
      </c>
    </row>
    <row r="6184" customFormat="false" ht="12.8" hidden="false" customHeight="false" outlineLevel="0" collapsed="false">
      <c r="A6184" s="0" t="s">
        <v>12</v>
      </c>
      <c r="B6184" s="0" t="n">
        <v>1721160</v>
      </c>
      <c r="C6184" s="0" t="n">
        <v>1721180</v>
      </c>
      <c r="D6184" s="0" t="s">
        <v>20694</v>
      </c>
      <c r="E6184" s="0" t="s">
        <v>89</v>
      </c>
      <c r="F6184" s="0" t="s">
        <v>90</v>
      </c>
      <c r="G6184" s="0" t="s">
        <v>32</v>
      </c>
      <c r="H6184" s="0" t="n">
        <v>34</v>
      </c>
      <c r="I6184" s="0" t="s">
        <v>20698</v>
      </c>
      <c r="J6184" s="0" t="s">
        <v>20699</v>
      </c>
      <c r="K6184" s="0" t="s">
        <v>20700</v>
      </c>
      <c r="L6184" s="0" t="str">
        <f aca="false">HYPERLINK("https://www.ncbi.nlm.nih.gov/nuccore/CP000304.1?report=graph&amp;tracks=[key:gene_model_track,Options:GeneOnly]&amp;mk=1721182:1721201|offset_13|444444,1721161:1721180|offset_34|00cc00,1721108:1721127|offset_87|444444,1721085:1721104|offset_110|444444&amp;v=1720981:1721304&amp;c=444444", "offset 34")</f>
        <v>offset 34</v>
      </c>
    </row>
    <row r="6185" customFormat="false" ht="12.8" hidden="false" customHeight="false" outlineLevel="0" collapsed="false">
      <c r="A6185" s="0" t="s">
        <v>12</v>
      </c>
      <c r="B6185" s="0" t="n">
        <v>1721107</v>
      </c>
      <c r="C6185" s="0" t="n">
        <v>1721127</v>
      </c>
      <c r="D6185" s="0" t="s">
        <v>20694</v>
      </c>
      <c r="E6185" s="0" t="s">
        <v>89</v>
      </c>
      <c r="F6185" s="0" t="s">
        <v>90</v>
      </c>
      <c r="G6185" s="0" t="s">
        <v>32</v>
      </c>
      <c r="H6185" s="0" t="n">
        <v>87</v>
      </c>
      <c r="I6185" s="0" t="s">
        <v>20701</v>
      </c>
      <c r="J6185" s="0" t="s">
        <v>20702</v>
      </c>
      <c r="K6185" s="0" t="s">
        <v>20703</v>
      </c>
      <c r="L6185" s="0" t="str">
        <f aca="false">HYPERLINK("https://www.ncbi.nlm.nih.gov/nuccore/CP000304.1?report=graph&amp;tracks=[key:gene_model_track,Options:GeneOnly]&amp;mk=1721182:1721201|offset_13|444444,1721161:1721180|offset_34|444444,1721108:1721127|offset_87|00cc00,1721085:1721104|offset_110|444444&amp;v=1720981:1721304&amp;c=444444", "offset 87")</f>
        <v>offset 87</v>
      </c>
    </row>
    <row r="6186" customFormat="false" ht="12.8" hidden="false" customHeight="false" outlineLevel="0" collapsed="false">
      <c r="A6186" s="0" t="s">
        <v>12</v>
      </c>
      <c r="B6186" s="0" t="n">
        <v>1721084</v>
      </c>
      <c r="C6186" s="0" t="n">
        <v>1721104</v>
      </c>
      <c r="D6186" s="0" t="s">
        <v>20694</v>
      </c>
      <c r="E6186" s="0" t="s">
        <v>89</v>
      </c>
      <c r="F6186" s="0" t="s">
        <v>90</v>
      </c>
      <c r="G6186" s="0" t="s">
        <v>32</v>
      </c>
      <c r="H6186" s="0" t="n">
        <v>110</v>
      </c>
      <c r="I6186" s="0" t="s">
        <v>20704</v>
      </c>
      <c r="J6186" s="0" t="s">
        <v>20705</v>
      </c>
      <c r="K6186" s="0" t="s">
        <v>20706</v>
      </c>
      <c r="L6186" s="0" t="str">
        <f aca="false">HYPERLINK("https://www.ncbi.nlm.nih.gov/nuccore/CP000304.1?report=graph&amp;tracks=[key:gene_model_track,Options:GeneOnly]&amp;mk=1721182:1721201|offset_13|444444,1721161:1721180|offset_34|444444,1721108:1721127|offset_87|444444,1721085:1721104|offset_110|00cc00&amp;v=1720981:1721304&amp;c=444444", "offset 110")</f>
        <v>offset 110</v>
      </c>
    </row>
    <row r="6187" customFormat="false" ht="12.8" hidden="false" customHeight="false" outlineLevel="0" collapsed="false">
      <c r="A6187" s="0" t="s">
        <v>12</v>
      </c>
      <c r="B6187" s="0" t="n">
        <v>1722062</v>
      </c>
      <c r="C6187" s="0" t="n">
        <v>1722082</v>
      </c>
      <c r="D6187" s="0" t="s">
        <v>20707</v>
      </c>
      <c r="E6187" s="0" t="s">
        <v>89</v>
      </c>
      <c r="F6187" s="0" t="s">
        <v>90</v>
      </c>
      <c r="G6187" s="0" t="s">
        <v>32</v>
      </c>
      <c r="H6187" s="0" t="n">
        <v>1</v>
      </c>
      <c r="I6187" s="0" t="s">
        <v>20708</v>
      </c>
      <c r="J6187" s="0" t="s">
        <v>20709</v>
      </c>
      <c r="K6187" s="0" t="s">
        <v>20710</v>
      </c>
      <c r="L6187" s="0" t="str">
        <f aca="false">HYPERLINK("https://www.ncbi.nlm.nih.gov/nuccore/CP000304.1?report=graph&amp;tracks=[key:gene_model_track,Options:GeneOnly]&amp;mk=1722063:1722082|offset_1|00cc00,1722042:1722061|offset_22|444444,1722017:1722036|offset_47|444444,1721981:1722000|offset_83|444444&amp;v=1721862:1722200&amp;c=444444", "offset 1")</f>
        <v>offset 1</v>
      </c>
    </row>
    <row r="6188" customFormat="false" ht="12.8" hidden="false" customHeight="false" outlineLevel="0" collapsed="false">
      <c r="A6188" s="0" t="s">
        <v>12</v>
      </c>
      <c r="B6188" s="0" t="n">
        <v>1722041</v>
      </c>
      <c r="C6188" s="0" t="n">
        <v>1722061</v>
      </c>
      <c r="D6188" s="0" t="s">
        <v>20707</v>
      </c>
      <c r="E6188" s="0" t="s">
        <v>89</v>
      </c>
      <c r="F6188" s="0" t="s">
        <v>90</v>
      </c>
      <c r="G6188" s="0" t="s">
        <v>36</v>
      </c>
      <c r="H6188" s="0" t="n">
        <v>22</v>
      </c>
      <c r="I6188" s="0" t="s">
        <v>20711</v>
      </c>
      <c r="J6188" s="0" t="s">
        <v>20712</v>
      </c>
      <c r="K6188" s="0" t="s">
        <v>20713</v>
      </c>
      <c r="L6188" s="0" t="str">
        <f aca="false">HYPERLINK("https://www.ncbi.nlm.nih.gov/nuccore/CP000304.1?report=graph&amp;tracks=[key:gene_model_track,Options:GeneOnly]&amp;mk=1722063:1722082|offset_1|444444,1722042:1722061|offset_22|00cc00,1722017:1722036|offset_47|444444,1721981:1722000|offset_83|444444&amp;v=1721862:1722200&amp;c=444444", "offset 22")</f>
        <v>offset 22</v>
      </c>
    </row>
    <row r="6189" customFormat="false" ht="12.8" hidden="false" customHeight="false" outlineLevel="0" collapsed="false">
      <c r="A6189" s="0" t="s">
        <v>12</v>
      </c>
      <c r="B6189" s="0" t="n">
        <v>1722016</v>
      </c>
      <c r="C6189" s="0" t="n">
        <v>1722036</v>
      </c>
      <c r="D6189" s="0" t="s">
        <v>20707</v>
      </c>
      <c r="E6189" s="0" t="s">
        <v>89</v>
      </c>
      <c r="F6189" s="0" t="s">
        <v>90</v>
      </c>
      <c r="G6189" s="0" t="s">
        <v>26</v>
      </c>
      <c r="H6189" s="0" t="n">
        <v>47</v>
      </c>
      <c r="I6189" s="0" t="s">
        <v>20714</v>
      </c>
      <c r="J6189" s="0" t="s">
        <v>20715</v>
      </c>
      <c r="K6189" s="0" t="s">
        <v>20716</v>
      </c>
      <c r="L6189" s="0" t="str">
        <f aca="false">HYPERLINK("https://www.ncbi.nlm.nih.gov/nuccore/CP000304.1?report=graph&amp;tracks=[key:gene_model_track,Options:GeneOnly]&amp;mk=1722063:1722082|offset_1|444444,1722042:1722061|offset_22|444444,1722017:1722036|offset_47|00cc00,1721981:1722000|offset_83|444444&amp;v=1721862:1722200&amp;c=444444", "offset 47")</f>
        <v>offset 47</v>
      </c>
    </row>
    <row r="6190" customFormat="false" ht="12.8" hidden="false" customHeight="false" outlineLevel="0" collapsed="false">
      <c r="A6190" s="0" t="s">
        <v>12</v>
      </c>
      <c r="B6190" s="0" t="n">
        <v>1721980</v>
      </c>
      <c r="C6190" s="0" t="n">
        <v>1722000</v>
      </c>
      <c r="D6190" s="0" t="s">
        <v>20707</v>
      </c>
      <c r="E6190" s="0" t="s">
        <v>89</v>
      </c>
      <c r="F6190" s="0" t="s">
        <v>90</v>
      </c>
      <c r="G6190" s="0" t="s">
        <v>26</v>
      </c>
      <c r="H6190" s="0" t="n">
        <v>83</v>
      </c>
      <c r="I6190" s="0" t="s">
        <v>20717</v>
      </c>
      <c r="J6190" s="0" t="s">
        <v>20718</v>
      </c>
      <c r="K6190" s="0" t="s">
        <v>20719</v>
      </c>
      <c r="L6190" s="0" t="str">
        <f aca="false">HYPERLINK("https://www.ncbi.nlm.nih.gov/nuccore/CP000304.1?report=graph&amp;tracks=[key:gene_model_track,Options:GeneOnly]&amp;mk=1722063:1722082|offset_1|444444,1722042:1722061|offset_22|444444,1722017:1722036|offset_47|444444,1721981:1722000|offset_83|00cc00&amp;v=1721862:1722200&amp;c=444444", "offset 83")</f>
        <v>offset 83</v>
      </c>
    </row>
    <row r="6191" customFormat="false" ht="12.8" hidden="false" customHeight="false" outlineLevel="0" collapsed="false">
      <c r="A6191" s="0" t="s">
        <v>12</v>
      </c>
      <c r="B6191" s="0" t="n">
        <v>1722093</v>
      </c>
      <c r="C6191" s="0" t="n">
        <v>1722113</v>
      </c>
      <c r="D6191" s="0" t="s">
        <v>20720</v>
      </c>
      <c r="E6191" s="0" t="s">
        <v>89</v>
      </c>
      <c r="F6191" s="0" t="s">
        <v>15</v>
      </c>
      <c r="G6191" s="0" t="s">
        <v>16</v>
      </c>
      <c r="H6191" s="0" t="n">
        <v>1</v>
      </c>
      <c r="I6191" s="0" t="s">
        <v>20721</v>
      </c>
      <c r="J6191" s="0" t="s">
        <v>20722</v>
      </c>
      <c r="K6191" s="0" t="s">
        <v>20723</v>
      </c>
      <c r="L6191" s="0" t="str">
        <f aca="false">HYPERLINK("https://www.ncbi.nlm.nih.gov/nuccore/CP000304.1?report=graph&amp;tracks=[key:gene_model_track,Options:GeneOnly]&amp;mk=1722094:1722113|offset_1|00cc00,1722135:1722154|offset_42|444444,1722200:1722219|offset_107|444444,1722221:1722240|offset_128|444444&amp;v=1721893:1722440&amp;c=444444", "offset 1")</f>
        <v>offset 1</v>
      </c>
    </row>
    <row r="6192" customFormat="false" ht="12.8" hidden="false" customHeight="false" outlineLevel="0" collapsed="false">
      <c r="A6192" s="0" t="s">
        <v>12</v>
      </c>
      <c r="B6192" s="0" t="n">
        <v>1722134</v>
      </c>
      <c r="C6192" s="0" t="n">
        <v>1722154</v>
      </c>
      <c r="D6192" s="0" t="s">
        <v>20720</v>
      </c>
      <c r="E6192" s="0" t="s">
        <v>89</v>
      </c>
      <c r="F6192" s="0" t="s">
        <v>15</v>
      </c>
      <c r="G6192" s="0" t="s">
        <v>16</v>
      </c>
      <c r="H6192" s="0" t="n">
        <v>42</v>
      </c>
      <c r="I6192" s="0" t="s">
        <v>20724</v>
      </c>
      <c r="J6192" s="0" t="s">
        <v>20725</v>
      </c>
      <c r="K6192" s="0" t="s">
        <v>20726</v>
      </c>
      <c r="L6192" s="0" t="str">
        <f aca="false">HYPERLINK("https://www.ncbi.nlm.nih.gov/nuccore/CP000304.1?report=graph&amp;tracks=[key:gene_model_track,Options:GeneOnly]&amp;mk=1722094:1722113|offset_1|444444,1722135:1722154|offset_42|00cc00,1722200:1722219|offset_107|444444,1722221:1722240|offset_128|444444&amp;v=1721893:1722440&amp;c=444444", "offset 42")</f>
        <v>offset 42</v>
      </c>
    </row>
    <row r="6193" customFormat="false" ht="12.8" hidden="false" customHeight="false" outlineLevel="0" collapsed="false">
      <c r="A6193" s="0" t="s">
        <v>12</v>
      </c>
      <c r="B6193" s="0" t="n">
        <v>1722199</v>
      </c>
      <c r="C6193" s="0" t="n">
        <v>1722219</v>
      </c>
      <c r="D6193" s="0" t="s">
        <v>20720</v>
      </c>
      <c r="E6193" s="0" t="s">
        <v>89</v>
      </c>
      <c r="F6193" s="0" t="s">
        <v>15</v>
      </c>
      <c r="G6193" s="0" t="s">
        <v>26</v>
      </c>
      <c r="H6193" s="0" t="n">
        <v>107</v>
      </c>
      <c r="I6193" s="0" t="s">
        <v>20727</v>
      </c>
      <c r="J6193" s="0" t="s">
        <v>20728</v>
      </c>
      <c r="K6193" s="0" t="s">
        <v>20729</v>
      </c>
      <c r="L6193" s="0" t="str">
        <f aca="false">HYPERLINK("https://www.ncbi.nlm.nih.gov/nuccore/CP000304.1?report=graph&amp;tracks=[key:gene_model_track,Options:GeneOnly]&amp;mk=1722094:1722113|offset_1|444444,1722135:1722154|offset_42|444444,1722200:1722219|offset_107|00cc00,1722221:1722240|offset_128|444444&amp;v=1721893:1722440&amp;c=444444", "offset 107")</f>
        <v>offset 107</v>
      </c>
    </row>
    <row r="6194" customFormat="false" ht="12.8" hidden="false" customHeight="false" outlineLevel="0" collapsed="false">
      <c r="A6194" s="0" t="s">
        <v>12</v>
      </c>
      <c r="B6194" s="0" t="n">
        <v>1722220</v>
      </c>
      <c r="C6194" s="0" t="n">
        <v>1722240</v>
      </c>
      <c r="D6194" s="0" t="s">
        <v>20720</v>
      </c>
      <c r="E6194" s="0" t="s">
        <v>89</v>
      </c>
      <c r="F6194" s="0" t="s">
        <v>15</v>
      </c>
      <c r="G6194" s="0" t="s">
        <v>26</v>
      </c>
      <c r="H6194" s="0" t="n">
        <v>128</v>
      </c>
      <c r="I6194" s="0" t="s">
        <v>20730</v>
      </c>
      <c r="J6194" s="0" t="s">
        <v>20731</v>
      </c>
      <c r="K6194" s="0" t="s">
        <v>20732</v>
      </c>
      <c r="L6194" s="0" t="str">
        <f aca="false">HYPERLINK("https://www.ncbi.nlm.nih.gov/nuccore/CP000304.1?report=graph&amp;tracks=[key:gene_model_track,Options:GeneOnly]&amp;mk=1722094:1722113|offset_1|444444,1722135:1722154|offset_42|444444,1722200:1722219|offset_107|444444,1722221:1722240|offset_128|00cc00&amp;v=1721893:1722440&amp;c=444444", "offset 128")</f>
        <v>offset 128</v>
      </c>
    </row>
    <row r="6195" customFormat="false" ht="12.8" hidden="false" customHeight="false" outlineLevel="0" collapsed="false">
      <c r="A6195" s="0" t="s">
        <v>12</v>
      </c>
      <c r="B6195" s="0" t="n">
        <v>1723490</v>
      </c>
      <c r="C6195" s="0" t="n">
        <v>1723510</v>
      </c>
      <c r="D6195" s="0" t="s">
        <v>20733</v>
      </c>
      <c r="E6195" s="0" t="s">
        <v>89</v>
      </c>
      <c r="F6195" s="0" t="s">
        <v>90</v>
      </c>
      <c r="G6195" s="0" t="s">
        <v>36</v>
      </c>
      <c r="H6195" s="0" t="n">
        <v>7</v>
      </c>
      <c r="I6195" s="0" t="s">
        <v>20734</v>
      </c>
      <c r="J6195" s="0" t="s">
        <v>20735</v>
      </c>
      <c r="K6195" s="0" t="s">
        <v>20736</v>
      </c>
      <c r="L6195" s="0" t="str">
        <f aca="false">HYPERLINK("https://www.ncbi.nlm.nih.gov/nuccore/CP000304.1?report=graph&amp;tracks=[key:gene_model_track,Options:GeneOnly]&amp;mk=1723491:1723510|offset_7|00cc00,1723466:1723485|offset_32|444444,1723437:1723456|offset_61|444444,1723413:1723432|offset_85|444444&amp;v=1723290:1723632&amp;c=444444", "offset 7")</f>
        <v>offset 7</v>
      </c>
    </row>
    <row r="6196" customFormat="false" ht="12.8" hidden="false" customHeight="false" outlineLevel="0" collapsed="false">
      <c r="A6196" s="0" t="s">
        <v>12</v>
      </c>
      <c r="B6196" s="0" t="n">
        <v>1723465</v>
      </c>
      <c r="C6196" s="0" t="n">
        <v>1723485</v>
      </c>
      <c r="D6196" s="0" t="s">
        <v>20733</v>
      </c>
      <c r="E6196" s="0" t="s">
        <v>89</v>
      </c>
      <c r="F6196" s="0" t="s">
        <v>90</v>
      </c>
      <c r="G6196" s="0" t="s">
        <v>16</v>
      </c>
      <c r="H6196" s="0" t="n">
        <v>32</v>
      </c>
      <c r="I6196" s="0" t="s">
        <v>20737</v>
      </c>
      <c r="J6196" s="0" t="s">
        <v>20738</v>
      </c>
      <c r="K6196" s="0" t="s">
        <v>20739</v>
      </c>
      <c r="L6196" s="0" t="str">
        <f aca="false">HYPERLINK("https://www.ncbi.nlm.nih.gov/nuccore/CP000304.1?report=graph&amp;tracks=[key:gene_model_track,Options:GeneOnly]&amp;mk=1723491:1723510|offset_7|444444,1723466:1723485|offset_32|00cc00,1723437:1723456|offset_61|444444,1723413:1723432|offset_85|444444&amp;v=1723290:1723632&amp;c=444444", "offset 32")</f>
        <v>offset 32</v>
      </c>
    </row>
    <row r="6197" customFormat="false" ht="12.8" hidden="false" customHeight="false" outlineLevel="0" collapsed="false">
      <c r="A6197" s="0" t="s">
        <v>12</v>
      </c>
      <c r="B6197" s="0" t="n">
        <v>1723436</v>
      </c>
      <c r="C6197" s="0" t="n">
        <v>1723456</v>
      </c>
      <c r="D6197" s="0" t="s">
        <v>20733</v>
      </c>
      <c r="E6197" s="0" t="s">
        <v>89</v>
      </c>
      <c r="F6197" s="0" t="s">
        <v>90</v>
      </c>
      <c r="G6197" s="0" t="s">
        <v>16</v>
      </c>
      <c r="H6197" s="0" t="n">
        <v>61</v>
      </c>
      <c r="I6197" s="0" t="s">
        <v>20740</v>
      </c>
      <c r="J6197" s="0" t="s">
        <v>20741</v>
      </c>
      <c r="K6197" s="0" t="s">
        <v>20742</v>
      </c>
      <c r="L6197" s="0" t="str">
        <f aca="false">HYPERLINK("https://www.ncbi.nlm.nih.gov/nuccore/CP000304.1?report=graph&amp;tracks=[key:gene_model_track,Options:GeneOnly]&amp;mk=1723491:1723510|offset_7|444444,1723466:1723485|offset_32|444444,1723437:1723456|offset_61|00cc00,1723413:1723432|offset_85|444444&amp;v=1723290:1723632&amp;c=444444", "offset 61")</f>
        <v>offset 61</v>
      </c>
    </row>
    <row r="6198" customFormat="false" ht="12.8" hidden="false" customHeight="false" outlineLevel="0" collapsed="false">
      <c r="A6198" s="0" t="s">
        <v>12</v>
      </c>
      <c r="B6198" s="0" t="n">
        <v>1723412</v>
      </c>
      <c r="C6198" s="0" t="n">
        <v>1723432</v>
      </c>
      <c r="D6198" s="0" t="s">
        <v>20733</v>
      </c>
      <c r="E6198" s="0" t="s">
        <v>89</v>
      </c>
      <c r="F6198" s="0" t="s">
        <v>90</v>
      </c>
      <c r="G6198" s="0" t="s">
        <v>32</v>
      </c>
      <c r="H6198" s="0" t="n">
        <v>85</v>
      </c>
      <c r="I6198" s="0" t="s">
        <v>20743</v>
      </c>
      <c r="J6198" s="0" t="s">
        <v>20744</v>
      </c>
      <c r="K6198" s="0" t="s">
        <v>20745</v>
      </c>
      <c r="L6198" s="0" t="str">
        <f aca="false">HYPERLINK("https://www.ncbi.nlm.nih.gov/nuccore/CP000304.1?report=graph&amp;tracks=[key:gene_model_track,Options:GeneOnly]&amp;mk=1723491:1723510|offset_7|444444,1723466:1723485|offset_32|444444,1723437:1723456|offset_61|444444,1723413:1723432|offset_85|00cc00&amp;v=1723290:1723632&amp;c=444444", "offset 85")</f>
        <v>offset 85</v>
      </c>
    </row>
    <row r="6199" customFormat="false" ht="12.8" hidden="false" customHeight="false" outlineLevel="0" collapsed="false">
      <c r="A6199" s="0" t="s">
        <v>12</v>
      </c>
      <c r="B6199" s="0" t="n">
        <v>1724090</v>
      </c>
      <c r="C6199" s="0" t="n">
        <v>1724110</v>
      </c>
      <c r="D6199" s="0" t="s">
        <v>20746</v>
      </c>
      <c r="E6199" s="0" t="s">
        <v>89</v>
      </c>
      <c r="F6199" s="0" t="s">
        <v>15</v>
      </c>
      <c r="G6199" s="0" t="s">
        <v>32</v>
      </c>
      <c r="H6199" s="0" t="n">
        <v>70</v>
      </c>
      <c r="I6199" s="0" t="s">
        <v>20747</v>
      </c>
      <c r="J6199" s="0" t="s">
        <v>20748</v>
      </c>
      <c r="K6199" s="0" t="s">
        <v>20749</v>
      </c>
      <c r="L6199" s="0" t="str">
        <f aca="false">HYPERLINK("https://www.ncbi.nlm.nih.gov/nuccore/CP000304.1?report=graph&amp;tracks=[key:gene_model_track,Options:GeneOnly]&amp;mk=1724091:1724110|offset_70|00cc00,1724124:1724143|offset_103|444444,1724154:1724173|offset_133|444444,1724217:1724236|offset_196|444444&amp;v=1723890:1724436&amp;c=444444", "offset 70")</f>
        <v>offset 70</v>
      </c>
    </row>
    <row r="6200" customFormat="false" ht="12.8" hidden="false" customHeight="false" outlineLevel="0" collapsed="false">
      <c r="A6200" s="0" t="s">
        <v>12</v>
      </c>
      <c r="B6200" s="0" t="n">
        <v>1724123</v>
      </c>
      <c r="C6200" s="0" t="n">
        <v>1724143</v>
      </c>
      <c r="D6200" s="0" t="s">
        <v>20746</v>
      </c>
      <c r="E6200" s="0" t="s">
        <v>89</v>
      </c>
      <c r="F6200" s="0" t="s">
        <v>15</v>
      </c>
      <c r="G6200" s="0" t="s">
        <v>16</v>
      </c>
      <c r="H6200" s="0" t="n">
        <v>103</v>
      </c>
      <c r="I6200" s="0" t="s">
        <v>20750</v>
      </c>
      <c r="J6200" s="0" t="s">
        <v>20751</v>
      </c>
      <c r="K6200" s="0" t="s">
        <v>20752</v>
      </c>
      <c r="L6200" s="0" t="str">
        <f aca="false">HYPERLINK("https://www.ncbi.nlm.nih.gov/nuccore/CP000304.1?report=graph&amp;tracks=[key:gene_model_track,Options:GeneOnly]&amp;mk=1724091:1724110|offset_70|444444,1724124:1724143|offset_103|00cc00,1724154:1724173|offset_133|444444,1724217:1724236|offset_196|444444&amp;v=1723890:1724436&amp;c=444444", "offset 103")</f>
        <v>offset 103</v>
      </c>
    </row>
    <row r="6201" customFormat="false" ht="12.8" hidden="false" customHeight="false" outlineLevel="0" collapsed="false">
      <c r="A6201" s="0" t="s">
        <v>12</v>
      </c>
      <c r="B6201" s="0" t="n">
        <v>1724153</v>
      </c>
      <c r="C6201" s="0" t="n">
        <v>1724173</v>
      </c>
      <c r="D6201" s="0" t="s">
        <v>20746</v>
      </c>
      <c r="E6201" s="0" t="s">
        <v>89</v>
      </c>
      <c r="F6201" s="0" t="s">
        <v>15</v>
      </c>
      <c r="G6201" s="0" t="s">
        <v>36</v>
      </c>
      <c r="H6201" s="0" t="n">
        <v>133</v>
      </c>
      <c r="I6201" s="0" t="s">
        <v>20753</v>
      </c>
      <c r="J6201" s="0" t="s">
        <v>20754</v>
      </c>
      <c r="K6201" s="0" t="s">
        <v>20755</v>
      </c>
      <c r="L6201" s="0" t="str">
        <f aca="false">HYPERLINK("https://www.ncbi.nlm.nih.gov/nuccore/CP000304.1?report=graph&amp;tracks=[key:gene_model_track,Options:GeneOnly]&amp;mk=1724091:1724110|offset_70|444444,1724124:1724143|offset_103|444444,1724154:1724173|offset_133|00cc00,1724217:1724236|offset_196|444444&amp;v=1723890:1724436&amp;c=444444", "offset 133")</f>
        <v>offset 133</v>
      </c>
    </row>
    <row r="6202" customFormat="false" ht="12.8" hidden="false" customHeight="false" outlineLevel="0" collapsed="false">
      <c r="A6202" s="0" t="s">
        <v>12</v>
      </c>
      <c r="B6202" s="0" t="n">
        <v>1724216</v>
      </c>
      <c r="C6202" s="0" t="n">
        <v>1724236</v>
      </c>
      <c r="D6202" s="0" t="s">
        <v>20746</v>
      </c>
      <c r="E6202" s="0" t="s">
        <v>89</v>
      </c>
      <c r="F6202" s="0" t="s">
        <v>15</v>
      </c>
      <c r="G6202" s="0" t="s">
        <v>16</v>
      </c>
      <c r="H6202" s="0" t="n">
        <v>196</v>
      </c>
      <c r="I6202" s="0" t="s">
        <v>20756</v>
      </c>
      <c r="J6202" s="0" t="s">
        <v>20757</v>
      </c>
      <c r="K6202" s="0" t="s">
        <v>20758</v>
      </c>
      <c r="L6202" s="0" t="str">
        <f aca="false">HYPERLINK("https://www.ncbi.nlm.nih.gov/nuccore/CP000304.1?report=graph&amp;tracks=[key:gene_model_track,Options:GeneOnly]&amp;mk=1724091:1724110|offset_70|444444,1724124:1724143|offset_103|444444,1724154:1724173|offset_133|444444,1724217:1724236|offset_196|00cc00&amp;v=1723890:1724436&amp;c=444444", "offset 196")</f>
        <v>offset 196</v>
      </c>
    </row>
    <row r="6203" customFormat="false" ht="12.8" hidden="false" customHeight="false" outlineLevel="0" collapsed="false">
      <c r="A6203" s="0" t="s">
        <v>12</v>
      </c>
      <c r="B6203" s="0" t="n">
        <v>1725655</v>
      </c>
      <c r="C6203" s="0" t="n">
        <v>1725675</v>
      </c>
      <c r="D6203" s="0" t="s">
        <v>20759</v>
      </c>
      <c r="E6203" s="0" t="s">
        <v>89</v>
      </c>
      <c r="F6203" s="0" t="s">
        <v>15</v>
      </c>
      <c r="G6203" s="0" t="s">
        <v>26</v>
      </c>
      <c r="H6203" s="0" t="n">
        <v>17</v>
      </c>
      <c r="I6203" s="0" t="s">
        <v>20760</v>
      </c>
      <c r="J6203" s="0" t="s">
        <v>20761</v>
      </c>
      <c r="K6203" s="0" t="s">
        <v>20762</v>
      </c>
      <c r="L6203" s="0" t="str">
        <f aca="false">HYPERLINK("https://www.ncbi.nlm.nih.gov/nuccore/CP000304.1?report=graph&amp;tracks=[key:gene_model_track,Options:GeneOnly]&amp;mk=1725656:1725675|offset_17|00cc00,1725680:1725699|offset_41|444444,1725708:1725727|offset_69|444444,1725729:1725748|offset_90|444444&amp;v=1725455:1725948&amp;c=444444", "offset 17")</f>
        <v>offset 17</v>
      </c>
    </row>
    <row r="6204" customFormat="false" ht="12.8" hidden="false" customHeight="false" outlineLevel="0" collapsed="false">
      <c r="A6204" s="0" t="s">
        <v>12</v>
      </c>
      <c r="B6204" s="0" t="n">
        <v>1725679</v>
      </c>
      <c r="C6204" s="0" t="n">
        <v>1725699</v>
      </c>
      <c r="D6204" s="0" t="s">
        <v>20759</v>
      </c>
      <c r="E6204" s="0" t="s">
        <v>89</v>
      </c>
      <c r="F6204" s="0" t="s">
        <v>15</v>
      </c>
      <c r="G6204" s="0" t="s">
        <v>26</v>
      </c>
      <c r="H6204" s="0" t="n">
        <v>41</v>
      </c>
      <c r="I6204" s="0" t="s">
        <v>20763</v>
      </c>
      <c r="J6204" s="0" t="s">
        <v>20764</v>
      </c>
      <c r="K6204" s="0" t="s">
        <v>20765</v>
      </c>
      <c r="L6204" s="0" t="str">
        <f aca="false">HYPERLINK("https://www.ncbi.nlm.nih.gov/nuccore/CP000304.1?report=graph&amp;tracks=[key:gene_model_track,Options:GeneOnly]&amp;mk=1725656:1725675|offset_17|444444,1725680:1725699|offset_41|00cc00,1725708:1725727|offset_69|444444,1725729:1725748|offset_90|444444&amp;v=1725455:1725948&amp;c=444444", "offset 41")</f>
        <v>offset 41</v>
      </c>
    </row>
    <row r="6205" customFormat="false" ht="12.8" hidden="false" customHeight="false" outlineLevel="0" collapsed="false">
      <c r="A6205" s="0" t="s">
        <v>12</v>
      </c>
      <c r="B6205" s="0" t="n">
        <v>1725707</v>
      </c>
      <c r="C6205" s="0" t="n">
        <v>1725727</v>
      </c>
      <c r="D6205" s="0" t="s">
        <v>20759</v>
      </c>
      <c r="E6205" s="0" t="s">
        <v>89</v>
      </c>
      <c r="F6205" s="0" t="s">
        <v>15</v>
      </c>
      <c r="G6205" s="0" t="s">
        <v>36</v>
      </c>
      <c r="H6205" s="0" t="n">
        <v>69</v>
      </c>
      <c r="I6205" s="0" t="s">
        <v>20766</v>
      </c>
      <c r="J6205" s="0" t="s">
        <v>20767</v>
      </c>
      <c r="K6205" s="0" t="s">
        <v>20768</v>
      </c>
      <c r="L6205" s="0" t="str">
        <f aca="false">HYPERLINK("https://www.ncbi.nlm.nih.gov/nuccore/CP000304.1?report=graph&amp;tracks=[key:gene_model_track,Options:GeneOnly]&amp;mk=1725656:1725675|offset_17|444444,1725680:1725699|offset_41|444444,1725708:1725727|offset_69|00cc00,1725729:1725748|offset_90|444444&amp;v=1725455:1725948&amp;c=444444", "offset 69")</f>
        <v>offset 69</v>
      </c>
    </row>
    <row r="6206" customFormat="false" ht="12.8" hidden="false" customHeight="false" outlineLevel="0" collapsed="false">
      <c r="A6206" s="0" t="s">
        <v>12</v>
      </c>
      <c r="B6206" s="0" t="n">
        <v>1725728</v>
      </c>
      <c r="C6206" s="0" t="n">
        <v>1725748</v>
      </c>
      <c r="D6206" s="0" t="s">
        <v>20759</v>
      </c>
      <c r="E6206" s="0" t="s">
        <v>89</v>
      </c>
      <c r="F6206" s="0" t="s">
        <v>15</v>
      </c>
      <c r="G6206" s="0" t="s">
        <v>32</v>
      </c>
      <c r="H6206" s="0" t="n">
        <v>90</v>
      </c>
      <c r="I6206" s="0" t="s">
        <v>20769</v>
      </c>
      <c r="J6206" s="0" t="s">
        <v>20770</v>
      </c>
      <c r="K6206" s="0" t="s">
        <v>20771</v>
      </c>
      <c r="L6206" s="0" t="str">
        <f aca="false">HYPERLINK("https://www.ncbi.nlm.nih.gov/nuccore/CP000304.1?report=graph&amp;tracks=[key:gene_model_track,Options:GeneOnly]&amp;mk=1725656:1725675|offset_17|444444,1725680:1725699|offset_41|444444,1725708:1725727|offset_69|444444,1725729:1725748|offset_90|00cc00&amp;v=1725455:1725948&amp;c=444444", "offset 90")</f>
        <v>offset 90</v>
      </c>
    </row>
    <row r="6207" customFormat="false" ht="12.8" hidden="false" customHeight="false" outlineLevel="0" collapsed="false">
      <c r="A6207" s="0" t="s">
        <v>12</v>
      </c>
      <c r="B6207" s="0" t="n">
        <v>1726083</v>
      </c>
      <c r="C6207" s="0" t="n">
        <v>1726103</v>
      </c>
      <c r="D6207" s="0" t="s">
        <v>20772</v>
      </c>
      <c r="E6207" s="0" t="s">
        <v>89</v>
      </c>
      <c r="F6207" s="0" t="s">
        <v>15</v>
      </c>
      <c r="G6207" s="0" t="s">
        <v>36</v>
      </c>
      <c r="H6207" s="0" t="n">
        <v>7</v>
      </c>
      <c r="I6207" s="0" t="s">
        <v>20773</v>
      </c>
      <c r="J6207" s="0" t="s">
        <v>20774</v>
      </c>
      <c r="K6207" s="0" t="s">
        <v>20775</v>
      </c>
      <c r="L6207" s="0" t="str">
        <f aca="false">HYPERLINK("https://www.ncbi.nlm.nih.gov/nuccore/CP000304.1?report=graph&amp;tracks=[key:gene_model_track,Options:GeneOnly]&amp;mk=1726084:1726103|offset_7|00cc00,1726105:1726124|offset_28|444444,1726136:1726155|offset_59|444444,1726166:1726185|offset_89|444444&amp;v=1725883:1726385&amp;c=444444", "offset 7")</f>
        <v>offset 7</v>
      </c>
    </row>
    <row r="6208" customFormat="false" ht="12.8" hidden="false" customHeight="false" outlineLevel="0" collapsed="false">
      <c r="A6208" s="0" t="s">
        <v>12</v>
      </c>
      <c r="B6208" s="0" t="n">
        <v>1726104</v>
      </c>
      <c r="C6208" s="0" t="n">
        <v>1726124</v>
      </c>
      <c r="D6208" s="0" t="s">
        <v>20772</v>
      </c>
      <c r="E6208" s="0" t="s">
        <v>89</v>
      </c>
      <c r="F6208" s="0" t="s">
        <v>15</v>
      </c>
      <c r="G6208" s="0" t="s">
        <v>32</v>
      </c>
      <c r="H6208" s="0" t="n">
        <v>28</v>
      </c>
      <c r="I6208" s="0" t="s">
        <v>20776</v>
      </c>
      <c r="J6208" s="0" t="s">
        <v>20777</v>
      </c>
      <c r="K6208" s="0" t="s">
        <v>20778</v>
      </c>
      <c r="L6208" s="0" t="str">
        <f aca="false">HYPERLINK("https://www.ncbi.nlm.nih.gov/nuccore/CP000304.1?report=graph&amp;tracks=[key:gene_model_track,Options:GeneOnly]&amp;mk=1726084:1726103|offset_7|444444,1726105:1726124|offset_28|00cc00,1726136:1726155|offset_59|444444,1726166:1726185|offset_89|444444&amp;v=1725883:1726385&amp;c=444444", "offset 28")</f>
        <v>offset 28</v>
      </c>
    </row>
    <row r="6209" customFormat="false" ht="12.8" hidden="false" customHeight="false" outlineLevel="0" collapsed="false">
      <c r="A6209" s="0" t="s">
        <v>12</v>
      </c>
      <c r="B6209" s="0" t="n">
        <v>1726135</v>
      </c>
      <c r="C6209" s="0" t="n">
        <v>1726155</v>
      </c>
      <c r="D6209" s="0" t="s">
        <v>20772</v>
      </c>
      <c r="E6209" s="0" t="s">
        <v>89</v>
      </c>
      <c r="F6209" s="0" t="s">
        <v>15</v>
      </c>
      <c r="G6209" s="0" t="s">
        <v>32</v>
      </c>
      <c r="H6209" s="0" t="n">
        <v>59</v>
      </c>
      <c r="I6209" s="0" t="s">
        <v>20779</v>
      </c>
      <c r="J6209" s="0" t="s">
        <v>20780</v>
      </c>
      <c r="K6209" s="0" t="s">
        <v>20781</v>
      </c>
      <c r="L6209" s="0" t="str">
        <f aca="false">HYPERLINK("https://www.ncbi.nlm.nih.gov/nuccore/CP000304.1?report=graph&amp;tracks=[key:gene_model_track,Options:GeneOnly]&amp;mk=1726084:1726103|offset_7|444444,1726105:1726124|offset_28|444444,1726136:1726155|offset_59|00cc00,1726166:1726185|offset_89|444444&amp;v=1725883:1726385&amp;c=444444", "offset 59")</f>
        <v>offset 59</v>
      </c>
    </row>
    <row r="6210" customFormat="false" ht="12.8" hidden="false" customHeight="false" outlineLevel="0" collapsed="false">
      <c r="A6210" s="0" t="s">
        <v>12</v>
      </c>
      <c r="B6210" s="0" t="n">
        <v>1726165</v>
      </c>
      <c r="C6210" s="0" t="n">
        <v>1726185</v>
      </c>
      <c r="D6210" s="0" t="s">
        <v>20772</v>
      </c>
      <c r="E6210" s="0" t="s">
        <v>89</v>
      </c>
      <c r="F6210" s="0" t="s">
        <v>15</v>
      </c>
      <c r="G6210" s="0" t="s">
        <v>32</v>
      </c>
      <c r="H6210" s="0" t="n">
        <v>89</v>
      </c>
      <c r="I6210" s="0" t="s">
        <v>20782</v>
      </c>
      <c r="J6210" s="0" t="s">
        <v>20783</v>
      </c>
      <c r="K6210" s="0" t="s">
        <v>20784</v>
      </c>
      <c r="L6210" s="0" t="str">
        <f aca="false">HYPERLINK("https://www.ncbi.nlm.nih.gov/nuccore/CP000304.1?report=graph&amp;tracks=[key:gene_model_track,Options:GeneOnly]&amp;mk=1726084:1726103|offset_7|444444,1726105:1726124|offset_28|444444,1726136:1726155|offset_59|444444,1726166:1726185|offset_89|00cc00&amp;v=1725883:1726385&amp;c=444444", "offset 89")</f>
        <v>offset 89</v>
      </c>
    </row>
    <row r="6211" customFormat="false" ht="12.8" hidden="false" customHeight="false" outlineLevel="0" collapsed="false">
      <c r="A6211" s="0" t="s">
        <v>12</v>
      </c>
      <c r="B6211" s="0" t="n">
        <v>1726903</v>
      </c>
      <c r="C6211" s="0" t="n">
        <v>1726923</v>
      </c>
      <c r="D6211" s="0" t="s">
        <v>20785</v>
      </c>
      <c r="E6211" s="0" t="s">
        <v>89</v>
      </c>
      <c r="F6211" s="0" t="s">
        <v>15</v>
      </c>
      <c r="G6211" s="0" t="s">
        <v>16</v>
      </c>
      <c r="H6211" s="0" t="n">
        <v>55</v>
      </c>
      <c r="I6211" s="0" t="s">
        <v>20786</v>
      </c>
      <c r="J6211" s="0" t="s">
        <v>20787</v>
      </c>
      <c r="K6211" s="0" t="s">
        <v>20788</v>
      </c>
      <c r="L6211" s="0" t="str">
        <f aca="false">HYPERLINK("https://www.ncbi.nlm.nih.gov/nuccore/CP000304.1?report=graph&amp;tracks=[key:gene_model_track,Options:GeneOnly]&amp;mk=1726904:1726923|offset_55|00cc00,1726928:1726947|offset_79|444444,1726951:1726970|offset_102|444444,1726972:1726991|offset_123|444444&amp;v=1726703:1727191&amp;c=444444", "offset 55")</f>
        <v>offset 55</v>
      </c>
    </row>
    <row r="6212" customFormat="false" ht="12.8" hidden="false" customHeight="false" outlineLevel="0" collapsed="false">
      <c r="A6212" s="0" t="s">
        <v>12</v>
      </c>
      <c r="B6212" s="0" t="n">
        <v>1726927</v>
      </c>
      <c r="C6212" s="0" t="n">
        <v>1726947</v>
      </c>
      <c r="D6212" s="0" t="s">
        <v>20785</v>
      </c>
      <c r="E6212" s="0" t="s">
        <v>89</v>
      </c>
      <c r="F6212" s="0" t="s">
        <v>15</v>
      </c>
      <c r="G6212" s="0" t="s">
        <v>26</v>
      </c>
      <c r="H6212" s="0" t="n">
        <v>79</v>
      </c>
      <c r="I6212" s="0" t="s">
        <v>20789</v>
      </c>
      <c r="J6212" s="0" t="s">
        <v>20790</v>
      </c>
      <c r="K6212" s="0" t="s">
        <v>20791</v>
      </c>
      <c r="L6212" s="0" t="str">
        <f aca="false">HYPERLINK("https://www.ncbi.nlm.nih.gov/nuccore/CP000304.1?report=graph&amp;tracks=[key:gene_model_track,Options:GeneOnly]&amp;mk=1726904:1726923|offset_55|444444,1726928:1726947|offset_79|00cc00,1726951:1726970|offset_102|444444,1726972:1726991|offset_123|444444&amp;v=1726703:1727191&amp;c=444444", "offset 79")</f>
        <v>offset 79</v>
      </c>
    </row>
    <row r="6213" customFormat="false" ht="12.8" hidden="false" customHeight="false" outlineLevel="0" collapsed="false">
      <c r="A6213" s="0" t="s">
        <v>12</v>
      </c>
      <c r="B6213" s="0" t="n">
        <v>1726950</v>
      </c>
      <c r="C6213" s="0" t="n">
        <v>1726970</v>
      </c>
      <c r="D6213" s="0" t="s">
        <v>20785</v>
      </c>
      <c r="E6213" s="0" t="s">
        <v>89</v>
      </c>
      <c r="F6213" s="0" t="s">
        <v>15</v>
      </c>
      <c r="G6213" s="0" t="s">
        <v>26</v>
      </c>
      <c r="H6213" s="0" t="n">
        <v>102</v>
      </c>
      <c r="I6213" s="0" t="s">
        <v>20792</v>
      </c>
      <c r="J6213" s="0" t="s">
        <v>20793</v>
      </c>
      <c r="K6213" s="0" t="s">
        <v>20794</v>
      </c>
      <c r="L6213" s="0" t="str">
        <f aca="false">HYPERLINK("https://www.ncbi.nlm.nih.gov/nuccore/CP000304.1?report=graph&amp;tracks=[key:gene_model_track,Options:GeneOnly]&amp;mk=1726904:1726923|offset_55|444444,1726928:1726947|offset_79|444444,1726951:1726970|offset_102|00cc00,1726972:1726991|offset_123|444444&amp;v=1726703:1727191&amp;c=444444", "offset 102")</f>
        <v>offset 102</v>
      </c>
    </row>
    <row r="6214" customFormat="false" ht="12.8" hidden="false" customHeight="false" outlineLevel="0" collapsed="false">
      <c r="A6214" s="0" t="s">
        <v>12</v>
      </c>
      <c r="B6214" s="0" t="n">
        <v>1726971</v>
      </c>
      <c r="C6214" s="0" t="n">
        <v>1726991</v>
      </c>
      <c r="D6214" s="0" t="s">
        <v>20785</v>
      </c>
      <c r="E6214" s="0" t="s">
        <v>89</v>
      </c>
      <c r="F6214" s="0" t="s">
        <v>15</v>
      </c>
      <c r="G6214" s="0" t="s">
        <v>16</v>
      </c>
      <c r="H6214" s="0" t="n">
        <v>123</v>
      </c>
      <c r="I6214" s="0" t="s">
        <v>20795</v>
      </c>
      <c r="J6214" s="0" t="s">
        <v>20796</v>
      </c>
      <c r="K6214" s="0" t="s">
        <v>20797</v>
      </c>
      <c r="L6214" s="0" t="str">
        <f aca="false">HYPERLINK("https://www.ncbi.nlm.nih.gov/nuccore/CP000304.1?report=graph&amp;tracks=[key:gene_model_track,Options:GeneOnly]&amp;mk=1726904:1726923|offset_55|444444,1726928:1726947|offset_79|444444,1726951:1726970|offset_102|444444,1726972:1726991|offset_123|00cc00&amp;v=1726703:1727191&amp;c=444444", "offset 123")</f>
        <v>offset 123</v>
      </c>
    </row>
    <row r="6215" customFormat="false" ht="12.8" hidden="false" customHeight="false" outlineLevel="0" collapsed="false">
      <c r="A6215" s="0" t="s">
        <v>12</v>
      </c>
      <c r="B6215" s="0" t="n">
        <v>1730417</v>
      </c>
      <c r="C6215" s="0" t="n">
        <v>1730437</v>
      </c>
      <c r="D6215" s="0" t="s">
        <v>20798</v>
      </c>
      <c r="E6215" s="0" t="s">
        <v>89</v>
      </c>
      <c r="F6215" s="0" t="s">
        <v>90</v>
      </c>
      <c r="G6215" s="0" t="s">
        <v>16</v>
      </c>
      <c r="H6215" s="0" t="n">
        <v>6</v>
      </c>
      <c r="I6215" s="0" t="s">
        <v>20799</v>
      </c>
      <c r="J6215" s="0" t="s">
        <v>20800</v>
      </c>
      <c r="K6215" s="0" t="s">
        <v>20801</v>
      </c>
      <c r="L6215" s="0" t="str">
        <f aca="false">HYPERLINK("https://www.ncbi.nlm.nih.gov/nuccore/CP000304.1?report=graph&amp;tracks=[key:gene_model_track,Options:GeneOnly]&amp;mk=1730418:1730437|offset_6|00cc00,1730377:1730396|offset_47|444444,1730324:1730343|offset_100|444444,1730301:1730320|offset_123|444444&amp;v=1730217:1730520&amp;c=444444", "offset 6")</f>
        <v>offset 6</v>
      </c>
    </row>
    <row r="6216" customFormat="false" ht="12.8" hidden="false" customHeight="false" outlineLevel="0" collapsed="false">
      <c r="A6216" s="0" t="s">
        <v>12</v>
      </c>
      <c r="B6216" s="0" t="n">
        <v>1730376</v>
      </c>
      <c r="C6216" s="0" t="n">
        <v>1730396</v>
      </c>
      <c r="D6216" s="0" t="s">
        <v>20798</v>
      </c>
      <c r="E6216" s="0" t="s">
        <v>89</v>
      </c>
      <c r="F6216" s="0" t="s">
        <v>90</v>
      </c>
      <c r="G6216" s="0" t="s">
        <v>32</v>
      </c>
      <c r="H6216" s="0" t="n">
        <v>47</v>
      </c>
      <c r="I6216" s="0" t="s">
        <v>20802</v>
      </c>
      <c r="J6216" s="0" t="s">
        <v>20803</v>
      </c>
      <c r="K6216" s="0" t="s">
        <v>20804</v>
      </c>
      <c r="L6216" s="0" t="str">
        <f aca="false">HYPERLINK("https://www.ncbi.nlm.nih.gov/nuccore/CP000304.1?report=graph&amp;tracks=[key:gene_model_track,Options:GeneOnly]&amp;mk=1730418:1730437|offset_6|444444,1730377:1730396|offset_47|00cc00,1730324:1730343|offset_100|444444,1730301:1730320|offset_123|444444&amp;v=1730217:1730520&amp;c=444444", "offset 47")</f>
        <v>offset 47</v>
      </c>
    </row>
    <row r="6217" customFormat="false" ht="12.8" hidden="false" customHeight="false" outlineLevel="0" collapsed="false">
      <c r="A6217" s="0" t="s">
        <v>12</v>
      </c>
      <c r="B6217" s="0" t="n">
        <v>1730323</v>
      </c>
      <c r="C6217" s="0" t="n">
        <v>1730343</v>
      </c>
      <c r="D6217" s="0" t="s">
        <v>20798</v>
      </c>
      <c r="E6217" s="0" t="s">
        <v>89</v>
      </c>
      <c r="F6217" s="0" t="s">
        <v>90</v>
      </c>
      <c r="G6217" s="0" t="s">
        <v>26</v>
      </c>
      <c r="H6217" s="0" t="n">
        <v>100</v>
      </c>
      <c r="I6217" s="0" t="s">
        <v>20805</v>
      </c>
      <c r="J6217" s="0" t="s">
        <v>20806</v>
      </c>
      <c r="K6217" s="0" t="s">
        <v>20807</v>
      </c>
      <c r="L6217" s="0" t="str">
        <f aca="false">HYPERLINK("https://www.ncbi.nlm.nih.gov/nuccore/CP000304.1?report=graph&amp;tracks=[key:gene_model_track,Options:GeneOnly]&amp;mk=1730418:1730437|offset_6|444444,1730377:1730396|offset_47|444444,1730324:1730343|offset_100|00cc00,1730301:1730320|offset_123|444444&amp;v=1730217:1730520&amp;c=444444", "offset 100")</f>
        <v>offset 100</v>
      </c>
    </row>
    <row r="6218" customFormat="false" ht="12.8" hidden="false" customHeight="false" outlineLevel="0" collapsed="false">
      <c r="A6218" s="0" t="s">
        <v>12</v>
      </c>
      <c r="B6218" s="0" t="n">
        <v>1730300</v>
      </c>
      <c r="C6218" s="0" t="n">
        <v>1730320</v>
      </c>
      <c r="D6218" s="0" t="s">
        <v>20798</v>
      </c>
      <c r="E6218" s="0" t="s">
        <v>89</v>
      </c>
      <c r="F6218" s="0" t="s">
        <v>90</v>
      </c>
      <c r="G6218" s="0" t="s">
        <v>36</v>
      </c>
      <c r="H6218" s="0" t="n">
        <v>123</v>
      </c>
      <c r="I6218" s="0" t="s">
        <v>20808</v>
      </c>
      <c r="J6218" s="0" t="s">
        <v>20809</v>
      </c>
      <c r="K6218" s="0" t="s">
        <v>20810</v>
      </c>
      <c r="L6218" s="0" t="str">
        <f aca="false">HYPERLINK("https://www.ncbi.nlm.nih.gov/nuccore/CP000304.1?report=graph&amp;tracks=[key:gene_model_track,Options:GeneOnly]&amp;mk=1730418:1730437|offset_6|444444,1730377:1730396|offset_47|444444,1730324:1730343|offset_100|444444,1730301:1730320|offset_123|00cc00&amp;v=1730217:1730520&amp;c=444444", "offset 123")</f>
        <v>offset 123</v>
      </c>
    </row>
    <row r="6219" customFormat="false" ht="12.8" hidden="false" customHeight="false" outlineLevel="0" collapsed="false">
      <c r="A6219" s="0" t="s">
        <v>12</v>
      </c>
      <c r="B6219" s="0" t="n">
        <v>1731445</v>
      </c>
      <c r="C6219" s="0" t="n">
        <v>1731465</v>
      </c>
      <c r="D6219" s="0" t="s">
        <v>20811</v>
      </c>
      <c r="E6219" s="0" t="s">
        <v>89</v>
      </c>
      <c r="F6219" s="0" t="s">
        <v>90</v>
      </c>
      <c r="G6219" s="0" t="s">
        <v>16</v>
      </c>
      <c r="H6219" s="0" t="n">
        <v>37</v>
      </c>
      <c r="I6219" s="0" t="s">
        <v>20812</v>
      </c>
      <c r="J6219" s="0" t="s">
        <v>20813</v>
      </c>
      <c r="K6219" s="0" t="s">
        <v>20814</v>
      </c>
      <c r="L6219" s="0" t="str">
        <f aca="false">HYPERLINK("https://www.ncbi.nlm.nih.gov/nuccore/CP000304.1?report=graph&amp;tracks=[key:gene_model_track,Options:GeneOnly]&amp;mk=1731446:1731465|offset_37|00cc00,1731409:1731428|offset_74|444444,1731389:1731408|offset_94|444444,1731355:1731374|offset_128|444444&amp;v=1731245:1731574&amp;c=444444", "offset 37")</f>
        <v>offset 37</v>
      </c>
    </row>
    <row r="6220" customFormat="false" ht="12.8" hidden="false" customHeight="false" outlineLevel="0" collapsed="false">
      <c r="A6220" s="0" t="s">
        <v>12</v>
      </c>
      <c r="B6220" s="0" t="n">
        <v>1731408</v>
      </c>
      <c r="C6220" s="0" t="n">
        <v>1731428</v>
      </c>
      <c r="D6220" s="0" t="s">
        <v>20811</v>
      </c>
      <c r="E6220" s="0" t="s">
        <v>89</v>
      </c>
      <c r="F6220" s="0" t="s">
        <v>90</v>
      </c>
      <c r="G6220" s="0" t="s">
        <v>26</v>
      </c>
      <c r="H6220" s="0" t="n">
        <v>74</v>
      </c>
      <c r="I6220" s="0" t="s">
        <v>20815</v>
      </c>
      <c r="J6220" s="0" t="s">
        <v>20816</v>
      </c>
      <c r="K6220" s="0" t="s">
        <v>20817</v>
      </c>
      <c r="L6220" s="0" t="str">
        <f aca="false">HYPERLINK("https://www.ncbi.nlm.nih.gov/nuccore/CP000304.1?report=graph&amp;tracks=[key:gene_model_track,Options:GeneOnly]&amp;mk=1731446:1731465|offset_37|444444,1731409:1731428|offset_74|00cc00,1731389:1731408|offset_94|444444,1731355:1731374|offset_128|444444&amp;v=1731245:1731574&amp;c=444444", "offset 74")</f>
        <v>offset 74</v>
      </c>
    </row>
    <row r="6221" customFormat="false" ht="12.8" hidden="false" customHeight="false" outlineLevel="0" collapsed="false">
      <c r="A6221" s="0" t="s">
        <v>12</v>
      </c>
      <c r="B6221" s="0" t="n">
        <v>1731388</v>
      </c>
      <c r="C6221" s="0" t="n">
        <v>1731408</v>
      </c>
      <c r="D6221" s="0" t="s">
        <v>20811</v>
      </c>
      <c r="E6221" s="0" t="s">
        <v>89</v>
      </c>
      <c r="F6221" s="0" t="s">
        <v>90</v>
      </c>
      <c r="G6221" s="0" t="s">
        <v>16</v>
      </c>
      <c r="H6221" s="0" t="n">
        <v>94</v>
      </c>
      <c r="I6221" s="0" t="s">
        <v>20818</v>
      </c>
      <c r="J6221" s="0" t="s">
        <v>20819</v>
      </c>
      <c r="K6221" s="0" t="s">
        <v>20820</v>
      </c>
      <c r="L6221" s="0" t="str">
        <f aca="false">HYPERLINK("https://www.ncbi.nlm.nih.gov/nuccore/CP000304.1?report=graph&amp;tracks=[key:gene_model_track,Options:GeneOnly]&amp;mk=1731446:1731465|offset_37|444444,1731409:1731428|offset_74|444444,1731389:1731408|offset_94|00cc00,1731355:1731374|offset_128|444444&amp;v=1731245:1731574&amp;c=444444", "offset 94")</f>
        <v>offset 94</v>
      </c>
    </row>
    <row r="6222" customFormat="false" ht="12.8" hidden="false" customHeight="false" outlineLevel="0" collapsed="false">
      <c r="A6222" s="0" t="s">
        <v>12</v>
      </c>
      <c r="B6222" s="0" t="n">
        <v>1731354</v>
      </c>
      <c r="C6222" s="0" t="n">
        <v>1731374</v>
      </c>
      <c r="D6222" s="0" t="s">
        <v>20811</v>
      </c>
      <c r="E6222" s="0" t="s">
        <v>89</v>
      </c>
      <c r="F6222" s="0" t="s">
        <v>90</v>
      </c>
      <c r="G6222" s="0" t="s">
        <v>16</v>
      </c>
      <c r="H6222" s="0" t="n">
        <v>128</v>
      </c>
      <c r="I6222" s="0" t="s">
        <v>20821</v>
      </c>
      <c r="J6222" s="0" t="s">
        <v>20822</v>
      </c>
      <c r="K6222" s="0" t="s">
        <v>20823</v>
      </c>
      <c r="L6222" s="0" t="str">
        <f aca="false">HYPERLINK("https://www.ncbi.nlm.nih.gov/nuccore/CP000304.1?report=graph&amp;tracks=[key:gene_model_track,Options:GeneOnly]&amp;mk=1731446:1731465|offset_37|444444,1731409:1731428|offset_74|444444,1731389:1731408|offset_94|444444,1731355:1731374|offset_128|00cc00&amp;v=1731245:1731574&amp;c=444444", "offset 128")</f>
        <v>offset 128</v>
      </c>
    </row>
    <row r="6223" customFormat="false" ht="12.8" hidden="false" customHeight="false" outlineLevel="0" collapsed="false">
      <c r="A6223" s="0" t="s">
        <v>12</v>
      </c>
      <c r="B6223" s="0" t="n">
        <v>1732039</v>
      </c>
      <c r="C6223" s="0" t="n">
        <v>1732059</v>
      </c>
      <c r="D6223" s="0" t="s">
        <v>20824</v>
      </c>
      <c r="E6223" s="0" t="s">
        <v>89</v>
      </c>
      <c r="F6223" s="0" t="s">
        <v>90</v>
      </c>
      <c r="G6223" s="0" t="s">
        <v>32</v>
      </c>
      <c r="H6223" s="0" t="n">
        <v>1</v>
      </c>
      <c r="I6223" s="0" t="s">
        <v>20825</v>
      </c>
      <c r="J6223" s="0" t="s">
        <v>20826</v>
      </c>
      <c r="K6223" s="0" t="s">
        <v>20827</v>
      </c>
      <c r="L6223" s="0" t="str">
        <f aca="false">HYPERLINK("https://www.ncbi.nlm.nih.gov/nuccore/CP000304.1?report=graph&amp;tracks=[key:gene_model_track,Options:GeneOnly]&amp;mk=1732040:1732059|offset_1|00cc00,1732015:1732034|offset_26|444444,1731995:1732014|offset_46|444444,1731960:1731979|offset_81|444444&amp;v=1731839:1732179&amp;c=444444", "offset 1")</f>
        <v>offset 1</v>
      </c>
    </row>
    <row r="6224" customFormat="false" ht="12.8" hidden="false" customHeight="false" outlineLevel="0" collapsed="false">
      <c r="A6224" s="0" t="s">
        <v>12</v>
      </c>
      <c r="B6224" s="0" t="n">
        <v>1732014</v>
      </c>
      <c r="C6224" s="0" t="n">
        <v>1732034</v>
      </c>
      <c r="D6224" s="0" t="s">
        <v>20824</v>
      </c>
      <c r="E6224" s="0" t="s">
        <v>89</v>
      </c>
      <c r="F6224" s="0" t="s">
        <v>90</v>
      </c>
      <c r="G6224" s="0" t="s">
        <v>32</v>
      </c>
      <c r="H6224" s="0" t="n">
        <v>26</v>
      </c>
      <c r="I6224" s="0" t="s">
        <v>20828</v>
      </c>
      <c r="J6224" s="0" t="s">
        <v>20829</v>
      </c>
      <c r="K6224" s="0" t="s">
        <v>20830</v>
      </c>
      <c r="L6224" s="0" t="str">
        <f aca="false">HYPERLINK("https://www.ncbi.nlm.nih.gov/nuccore/CP000304.1?report=graph&amp;tracks=[key:gene_model_track,Options:GeneOnly]&amp;mk=1732040:1732059|offset_1|444444,1732015:1732034|offset_26|00cc00,1731995:1732014|offset_46|444444,1731960:1731979|offset_81|444444&amp;v=1731839:1732179&amp;c=444444", "offset 26")</f>
        <v>offset 26</v>
      </c>
    </row>
    <row r="6225" customFormat="false" ht="12.8" hidden="false" customHeight="false" outlineLevel="0" collapsed="false">
      <c r="A6225" s="0" t="s">
        <v>12</v>
      </c>
      <c r="B6225" s="0" t="n">
        <v>1731994</v>
      </c>
      <c r="C6225" s="0" t="n">
        <v>1732014</v>
      </c>
      <c r="D6225" s="0" t="s">
        <v>20824</v>
      </c>
      <c r="E6225" s="0" t="s">
        <v>89</v>
      </c>
      <c r="F6225" s="0" t="s">
        <v>90</v>
      </c>
      <c r="G6225" s="0" t="s">
        <v>26</v>
      </c>
      <c r="H6225" s="0" t="n">
        <v>46</v>
      </c>
      <c r="I6225" s="0" t="s">
        <v>20831</v>
      </c>
      <c r="J6225" s="0" t="s">
        <v>20832</v>
      </c>
      <c r="K6225" s="0" t="s">
        <v>20833</v>
      </c>
      <c r="L6225" s="0" t="str">
        <f aca="false">HYPERLINK("https://www.ncbi.nlm.nih.gov/nuccore/CP000304.1?report=graph&amp;tracks=[key:gene_model_track,Options:GeneOnly]&amp;mk=1732040:1732059|offset_1|444444,1732015:1732034|offset_26|444444,1731995:1732014|offset_46|00cc00,1731960:1731979|offset_81|444444&amp;v=1731839:1732179&amp;c=444444", "offset 46")</f>
        <v>offset 46</v>
      </c>
    </row>
    <row r="6226" customFormat="false" ht="12.8" hidden="false" customHeight="false" outlineLevel="0" collapsed="false">
      <c r="A6226" s="0" t="s">
        <v>12</v>
      </c>
      <c r="B6226" s="0" t="n">
        <v>1731959</v>
      </c>
      <c r="C6226" s="0" t="n">
        <v>1731979</v>
      </c>
      <c r="D6226" s="0" t="s">
        <v>20824</v>
      </c>
      <c r="E6226" s="0" t="s">
        <v>89</v>
      </c>
      <c r="F6226" s="0" t="s">
        <v>90</v>
      </c>
      <c r="G6226" s="0" t="s">
        <v>16</v>
      </c>
      <c r="H6226" s="0" t="n">
        <v>81</v>
      </c>
      <c r="I6226" s="0" t="s">
        <v>20834</v>
      </c>
      <c r="J6226" s="0" t="s">
        <v>20835</v>
      </c>
      <c r="K6226" s="0" t="s">
        <v>20836</v>
      </c>
      <c r="L6226" s="0" t="str">
        <f aca="false">HYPERLINK("https://www.ncbi.nlm.nih.gov/nuccore/CP000304.1?report=graph&amp;tracks=[key:gene_model_track,Options:GeneOnly]&amp;mk=1732040:1732059|offset_1|444444,1732015:1732034|offset_26|444444,1731995:1732014|offset_46|444444,1731960:1731979|offset_81|00cc00&amp;v=1731839:1732179&amp;c=444444", "offset 81")</f>
        <v>offset 81</v>
      </c>
    </row>
    <row r="6227" customFormat="false" ht="12.8" hidden="false" customHeight="false" outlineLevel="0" collapsed="false">
      <c r="A6227" s="0" t="s">
        <v>12</v>
      </c>
      <c r="B6227" s="0" t="n">
        <v>1732248</v>
      </c>
      <c r="C6227" s="0" t="n">
        <v>1732268</v>
      </c>
      <c r="D6227" s="0" t="s">
        <v>20837</v>
      </c>
      <c r="E6227" s="0" t="s">
        <v>89</v>
      </c>
      <c r="F6227" s="0" t="s">
        <v>15</v>
      </c>
      <c r="G6227" s="0" t="s">
        <v>36</v>
      </c>
      <c r="H6227" s="0" t="n">
        <v>37</v>
      </c>
      <c r="I6227" s="0" t="s">
        <v>20838</v>
      </c>
      <c r="J6227" s="0" t="s">
        <v>20839</v>
      </c>
      <c r="K6227" s="0" t="s">
        <v>20840</v>
      </c>
      <c r="L6227" s="0" t="str">
        <f aca="false">HYPERLINK("https://www.ncbi.nlm.nih.gov/nuccore/CP000304.1?report=graph&amp;tracks=[key:gene_model_track,Options:GeneOnly]&amp;mk=1732249:1732268|offset_37|00cc00,1732276:1732295|offset_64|444444,1732309:1732328|offset_97|444444,1732345:1732364|offset_133|444444&amp;v=1732048:1732564&amp;c=444444", "offset 37")</f>
        <v>offset 37</v>
      </c>
    </row>
    <row r="6228" customFormat="false" ht="12.8" hidden="false" customHeight="false" outlineLevel="0" collapsed="false">
      <c r="A6228" s="0" t="s">
        <v>12</v>
      </c>
      <c r="B6228" s="0" t="n">
        <v>1732275</v>
      </c>
      <c r="C6228" s="0" t="n">
        <v>1732295</v>
      </c>
      <c r="D6228" s="0" t="s">
        <v>20837</v>
      </c>
      <c r="E6228" s="0" t="s">
        <v>89</v>
      </c>
      <c r="F6228" s="0" t="s">
        <v>15</v>
      </c>
      <c r="G6228" s="0" t="s">
        <v>16</v>
      </c>
      <c r="H6228" s="0" t="n">
        <v>64</v>
      </c>
      <c r="I6228" s="0" t="s">
        <v>20841</v>
      </c>
      <c r="J6228" s="0" t="s">
        <v>20842</v>
      </c>
      <c r="K6228" s="0" t="s">
        <v>20843</v>
      </c>
      <c r="L6228" s="0" t="str">
        <f aca="false">HYPERLINK("https://www.ncbi.nlm.nih.gov/nuccore/CP000304.1?report=graph&amp;tracks=[key:gene_model_track,Options:GeneOnly]&amp;mk=1732249:1732268|offset_37|444444,1732276:1732295|offset_64|00cc00,1732309:1732328|offset_97|444444,1732345:1732364|offset_133|444444&amp;v=1732048:1732564&amp;c=444444", "offset 64")</f>
        <v>offset 64</v>
      </c>
    </row>
    <row r="6229" customFormat="false" ht="12.8" hidden="false" customHeight="false" outlineLevel="0" collapsed="false">
      <c r="A6229" s="0" t="s">
        <v>12</v>
      </c>
      <c r="B6229" s="0" t="n">
        <v>1732308</v>
      </c>
      <c r="C6229" s="0" t="n">
        <v>1732328</v>
      </c>
      <c r="D6229" s="0" t="s">
        <v>20837</v>
      </c>
      <c r="E6229" s="0" t="s">
        <v>89</v>
      </c>
      <c r="F6229" s="0" t="s">
        <v>15</v>
      </c>
      <c r="G6229" s="0" t="s">
        <v>26</v>
      </c>
      <c r="H6229" s="0" t="n">
        <v>97</v>
      </c>
      <c r="I6229" s="0" t="s">
        <v>20844</v>
      </c>
      <c r="J6229" s="0" t="s">
        <v>20845</v>
      </c>
      <c r="K6229" s="0" t="s">
        <v>20846</v>
      </c>
      <c r="L6229" s="0" t="str">
        <f aca="false">HYPERLINK("https://www.ncbi.nlm.nih.gov/nuccore/CP000304.1?report=graph&amp;tracks=[key:gene_model_track,Options:GeneOnly]&amp;mk=1732249:1732268|offset_37|444444,1732276:1732295|offset_64|444444,1732309:1732328|offset_97|00cc00,1732345:1732364|offset_133|444444&amp;v=1732048:1732564&amp;c=444444", "offset 97")</f>
        <v>offset 97</v>
      </c>
    </row>
    <row r="6230" customFormat="false" ht="12.8" hidden="false" customHeight="false" outlineLevel="0" collapsed="false">
      <c r="A6230" s="0" t="s">
        <v>12</v>
      </c>
      <c r="B6230" s="0" t="n">
        <v>1732344</v>
      </c>
      <c r="C6230" s="0" t="n">
        <v>1732364</v>
      </c>
      <c r="D6230" s="0" t="s">
        <v>20837</v>
      </c>
      <c r="E6230" s="0" t="s">
        <v>89</v>
      </c>
      <c r="F6230" s="0" t="s">
        <v>15</v>
      </c>
      <c r="G6230" s="0" t="s">
        <v>32</v>
      </c>
      <c r="H6230" s="0" t="n">
        <v>133</v>
      </c>
      <c r="I6230" s="0" t="s">
        <v>20847</v>
      </c>
      <c r="J6230" s="0" t="s">
        <v>20848</v>
      </c>
      <c r="K6230" s="0" t="s">
        <v>20849</v>
      </c>
      <c r="L6230" s="0" t="str">
        <f aca="false">HYPERLINK("https://www.ncbi.nlm.nih.gov/nuccore/CP000304.1?report=graph&amp;tracks=[key:gene_model_track,Options:GeneOnly]&amp;mk=1732249:1732268|offset_37|444444,1732276:1732295|offset_64|444444,1732309:1732328|offset_97|444444,1732345:1732364|offset_133|00cc00&amp;v=1732048:1732564&amp;c=444444", "offset 133")</f>
        <v>offset 133</v>
      </c>
    </row>
    <row r="6231" customFormat="false" ht="12.8" hidden="false" customHeight="false" outlineLevel="0" collapsed="false">
      <c r="A6231" s="0" t="s">
        <v>12</v>
      </c>
      <c r="B6231" s="0" t="n">
        <v>1733064</v>
      </c>
      <c r="C6231" s="0" t="n">
        <v>1733084</v>
      </c>
      <c r="D6231" s="0" t="s">
        <v>20850</v>
      </c>
      <c r="E6231" s="0" t="s">
        <v>89</v>
      </c>
      <c r="F6231" s="0" t="s">
        <v>15</v>
      </c>
      <c r="G6231" s="0" t="s">
        <v>36</v>
      </c>
      <c r="H6231" s="0" t="n">
        <v>78</v>
      </c>
      <c r="I6231" s="0" t="s">
        <v>20851</v>
      </c>
      <c r="J6231" s="0" t="s">
        <v>20852</v>
      </c>
      <c r="K6231" s="0" t="s">
        <v>20853</v>
      </c>
      <c r="L6231" s="0" t="str">
        <f aca="false">HYPERLINK("https://www.ncbi.nlm.nih.gov/nuccore/CP000304.1?report=graph&amp;tracks=[key:gene_model_track,Options:GeneOnly]&amp;mk=1733065:1733084|offset_78|00cc00,1733095:1733114|offset_108|444444,1733115:1733134|offset_128|444444,1733137:1733156|offset_150|444444&amp;v=1732864:1733356&amp;c=444444", "offset 78")</f>
        <v>offset 78</v>
      </c>
    </row>
    <row r="6232" customFormat="false" ht="12.8" hidden="false" customHeight="false" outlineLevel="0" collapsed="false">
      <c r="A6232" s="0" t="s">
        <v>12</v>
      </c>
      <c r="B6232" s="0" t="n">
        <v>1733094</v>
      </c>
      <c r="C6232" s="0" t="n">
        <v>1733114</v>
      </c>
      <c r="D6232" s="0" t="s">
        <v>20850</v>
      </c>
      <c r="E6232" s="0" t="s">
        <v>89</v>
      </c>
      <c r="F6232" s="0" t="s">
        <v>15</v>
      </c>
      <c r="G6232" s="0" t="s">
        <v>16</v>
      </c>
      <c r="H6232" s="0" t="n">
        <v>108</v>
      </c>
      <c r="I6232" s="0" t="s">
        <v>20854</v>
      </c>
      <c r="J6232" s="0" t="s">
        <v>20855</v>
      </c>
      <c r="K6232" s="0" t="s">
        <v>20856</v>
      </c>
      <c r="L6232" s="0" t="str">
        <f aca="false">HYPERLINK("https://www.ncbi.nlm.nih.gov/nuccore/CP000304.1?report=graph&amp;tracks=[key:gene_model_track,Options:GeneOnly]&amp;mk=1733065:1733084|offset_78|444444,1733095:1733114|offset_108|00cc00,1733115:1733134|offset_128|444444,1733137:1733156|offset_150|444444&amp;v=1732864:1733356&amp;c=444444", "offset 108")</f>
        <v>offset 108</v>
      </c>
    </row>
    <row r="6233" customFormat="false" ht="12.8" hidden="false" customHeight="false" outlineLevel="0" collapsed="false">
      <c r="A6233" s="0" t="s">
        <v>12</v>
      </c>
      <c r="B6233" s="0" t="n">
        <v>1733114</v>
      </c>
      <c r="C6233" s="0" t="n">
        <v>1733134</v>
      </c>
      <c r="D6233" s="0" t="s">
        <v>20850</v>
      </c>
      <c r="E6233" s="0" t="s">
        <v>89</v>
      </c>
      <c r="F6233" s="0" t="s">
        <v>15</v>
      </c>
      <c r="G6233" s="0" t="s">
        <v>26</v>
      </c>
      <c r="H6233" s="0" t="n">
        <v>128</v>
      </c>
      <c r="I6233" s="0" t="s">
        <v>20857</v>
      </c>
      <c r="J6233" s="0" t="s">
        <v>20858</v>
      </c>
      <c r="K6233" s="0" t="s">
        <v>20859</v>
      </c>
      <c r="L6233" s="0" t="str">
        <f aca="false">HYPERLINK("https://www.ncbi.nlm.nih.gov/nuccore/CP000304.1?report=graph&amp;tracks=[key:gene_model_track,Options:GeneOnly]&amp;mk=1733065:1733084|offset_78|444444,1733095:1733114|offset_108|444444,1733115:1733134|offset_128|00cc00,1733137:1733156|offset_150|444444&amp;v=1732864:1733356&amp;c=444444", "offset 128")</f>
        <v>offset 128</v>
      </c>
    </row>
    <row r="6234" customFormat="false" ht="12.8" hidden="false" customHeight="false" outlineLevel="0" collapsed="false">
      <c r="A6234" s="0" t="s">
        <v>12</v>
      </c>
      <c r="B6234" s="0" t="n">
        <v>1733136</v>
      </c>
      <c r="C6234" s="0" t="n">
        <v>1733156</v>
      </c>
      <c r="D6234" s="0" t="s">
        <v>20850</v>
      </c>
      <c r="E6234" s="0" t="s">
        <v>89</v>
      </c>
      <c r="F6234" s="0" t="s">
        <v>15</v>
      </c>
      <c r="G6234" s="0" t="s">
        <v>36</v>
      </c>
      <c r="H6234" s="0" t="n">
        <v>150</v>
      </c>
      <c r="I6234" s="0" t="s">
        <v>20860</v>
      </c>
      <c r="J6234" s="0" t="s">
        <v>20861</v>
      </c>
      <c r="K6234" s="0" t="s">
        <v>20862</v>
      </c>
      <c r="L6234" s="0" t="str">
        <f aca="false">HYPERLINK("https://www.ncbi.nlm.nih.gov/nuccore/CP000304.1?report=graph&amp;tracks=[key:gene_model_track,Options:GeneOnly]&amp;mk=1733065:1733084|offset_78|444444,1733095:1733114|offset_108|444444,1733115:1733134|offset_128|444444,1733137:1733156|offset_150|00cc00&amp;v=1732864:1733356&amp;c=444444", "offset 150")</f>
        <v>offset 150</v>
      </c>
    </row>
    <row r="6235" customFormat="false" ht="12.8" hidden="false" customHeight="false" outlineLevel="0" collapsed="false">
      <c r="A6235" s="0" t="s">
        <v>12</v>
      </c>
      <c r="B6235" s="0" t="n">
        <v>1735694</v>
      </c>
      <c r="C6235" s="0" t="n">
        <v>1735714</v>
      </c>
      <c r="D6235" s="0" t="s">
        <v>20863</v>
      </c>
      <c r="E6235" s="0" t="s">
        <v>89</v>
      </c>
      <c r="F6235" s="0" t="s">
        <v>90</v>
      </c>
      <c r="G6235" s="0" t="s">
        <v>32</v>
      </c>
      <c r="H6235" s="0" t="n">
        <v>34</v>
      </c>
      <c r="I6235" s="0" t="s">
        <v>20864</v>
      </c>
      <c r="J6235" s="0" t="s">
        <v>20865</v>
      </c>
      <c r="K6235" s="0" t="s">
        <v>20866</v>
      </c>
      <c r="L6235" s="0" t="str">
        <f aca="false">HYPERLINK("https://www.ncbi.nlm.nih.gov/nuccore/CP000304.1?report=graph&amp;tracks=[key:gene_model_track,Options:GeneOnly]&amp;mk=1735695:1735714|offset_34|00cc00,1735637:1735656|offset_92|444444,1735596:1735615|offset_133|444444,1735575:1735594|offset_154|444444&amp;v=1735494:1735794&amp;c=444444", "offset 34")</f>
        <v>offset 34</v>
      </c>
    </row>
    <row r="6236" customFormat="false" ht="12.8" hidden="false" customHeight="false" outlineLevel="0" collapsed="false">
      <c r="A6236" s="0" t="s">
        <v>12</v>
      </c>
      <c r="B6236" s="0" t="n">
        <v>1735636</v>
      </c>
      <c r="C6236" s="0" t="n">
        <v>1735656</v>
      </c>
      <c r="D6236" s="0" t="s">
        <v>20863</v>
      </c>
      <c r="E6236" s="0" t="s">
        <v>89</v>
      </c>
      <c r="F6236" s="0" t="s">
        <v>90</v>
      </c>
      <c r="G6236" s="0" t="s">
        <v>26</v>
      </c>
      <c r="H6236" s="0" t="n">
        <v>92</v>
      </c>
      <c r="I6236" s="0" t="s">
        <v>20867</v>
      </c>
      <c r="J6236" s="0" t="s">
        <v>20868</v>
      </c>
      <c r="K6236" s="0" t="s">
        <v>20869</v>
      </c>
      <c r="L6236" s="0" t="str">
        <f aca="false">HYPERLINK("https://www.ncbi.nlm.nih.gov/nuccore/CP000304.1?report=graph&amp;tracks=[key:gene_model_track,Options:GeneOnly]&amp;mk=1735695:1735714|offset_34|444444,1735637:1735656|offset_92|00cc00,1735596:1735615|offset_133|444444,1735575:1735594|offset_154|444444&amp;v=1735494:1735794&amp;c=444444", "offset 92")</f>
        <v>offset 92</v>
      </c>
    </row>
    <row r="6237" customFormat="false" ht="12.8" hidden="false" customHeight="false" outlineLevel="0" collapsed="false">
      <c r="A6237" s="0" t="s">
        <v>12</v>
      </c>
      <c r="B6237" s="0" t="n">
        <v>1735595</v>
      </c>
      <c r="C6237" s="0" t="n">
        <v>1735615</v>
      </c>
      <c r="D6237" s="0" t="s">
        <v>20863</v>
      </c>
      <c r="E6237" s="0" t="s">
        <v>89</v>
      </c>
      <c r="F6237" s="0" t="s">
        <v>90</v>
      </c>
      <c r="G6237" s="0" t="s">
        <v>16</v>
      </c>
      <c r="H6237" s="0" t="n">
        <v>133</v>
      </c>
      <c r="I6237" s="0" t="s">
        <v>20870</v>
      </c>
      <c r="J6237" s="0" t="s">
        <v>20871</v>
      </c>
      <c r="K6237" s="0" t="s">
        <v>20872</v>
      </c>
      <c r="L6237" s="0" t="str">
        <f aca="false">HYPERLINK("https://www.ncbi.nlm.nih.gov/nuccore/CP000304.1?report=graph&amp;tracks=[key:gene_model_track,Options:GeneOnly]&amp;mk=1735695:1735714|offset_34|444444,1735637:1735656|offset_92|444444,1735596:1735615|offset_133|00cc00,1735575:1735594|offset_154|444444&amp;v=1735494:1735794&amp;c=444444", "offset 133")</f>
        <v>offset 133</v>
      </c>
    </row>
    <row r="6238" customFormat="false" ht="12.8" hidden="false" customHeight="false" outlineLevel="0" collapsed="false">
      <c r="A6238" s="0" t="s">
        <v>12</v>
      </c>
      <c r="B6238" s="0" t="n">
        <v>1735574</v>
      </c>
      <c r="C6238" s="0" t="n">
        <v>1735594</v>
      </c>
      <c r="D6238" s="0" t="s">
        <v>20863</v>
      </c>
      <c r="E6238" s="0" t="s">
        <v>89</v>
      </c>
      <c r="F6238" s="0" t="s">
        <v>90</v>
      </c>
      <c r="G6238" s="0" t="s">
        <v>16</v>
      </c>
      <c r="H6238" s="0" t="n">
        <v>154</v>
      </c>
      <c r="I6238" s="0" t="s">
        <v>20873</v>
      </c>
      <c r="J6238" s="0" t="s">
        <v>20874</v>
      </c>
      <c r="K6238" s="0" t="s">
        <v>20875</v>
      </c>
      <c r="L6238" s="0" t="str">
        <f aca="false">HYPERLINK("https://www.ncbi.nlm.nih.gov/nuccore/CP000304.1?report=graph&amp;tracks=[key:gene_model_track,Options:GeneOnly]&amp;mk=1735695:1735714|offset_34|444444,1735637:1735656|offset_92|444444,1735596:1735615|offset_133|444444,1735575:1735594|offset_154|00cc00&amp;v=1735494:1735794&amp;c=444444", "offset 154")</f>
        <v>offset 154</v>
      </c>
    </row>
    <row r="6239" customFormat="false" ht="12.8" hidden="false" customHeight="false" outlineLevel="0" collapsed="false">
      <c r="A6239" s="0" t="s">
        <v>12</v>
      </c>
      <c r="B6239" s="0" t="n">
        <v>1735812</v>
      </c>
      <c r="C6239" s="0" t="n">
        <v>1735832</v>
      </c>
      <c r="D6239" s="0" t="s">
        <v>20876</v>
      </c>
      <c r="E6239" s="0" t="s">
        <v>89</v>
      </c>
      <c r="F6239" s="0" t="s">
        <v>15</v>
      </c>
      <c r="G6239" s="0" t="s">
        <v>32</v>
      </c>
      <c r="H6239" s="0" t="n">
        <v>1</v>
      </c>
      <c r="I6239" s="0" t="s">
        <v>20877</v>
      </c>
      <c r="J6239" s="0" t="s">
        <v>20878</v>
      </c>
      <c r="K6239" s="0" t="s">
        <v>20879</v>
      </c>
      <c r="L6239" s="0" t="str">
        <f aca="false">HYPERLINK("https://www.ncbi.nlm.nih.gov/nuccore/CP000304.1?report=graph&amp;tracks=[key:gene_model_track,Options:GeneOnly]&amp;mk=1735813:1735832|offset_1|00cc00,1735841:1735860|offset_29|444444,1735867:1735886|offset_55|444444,1735892:1735911|offset_80|444444&amp;v=1735612:1736111&amp;c=444444", "offset 1")</f>
        <v>offset 1</v>
      </c>
    </row>
    <row r="6240" customFormat="false" ht="12.8" hidden="false" customHeight="false" outlineLevel="0" collapsed="false">
      <c r="A6240" s="0" t="s">
        <v>12</v>
      </c>
      <c r="B6240" s="0" t="n">
        <v>1735840</v>
      </c>
      <c r="C6240" s="0" t="n">
        <v>1735860</v>
      </c>
      <c r="D6240" s="0" t="s">
        <v>20876</v>
      </c>
      <c r="E6240" s="0" t="s">
        <v>89</v>
      </c>
      <c r="F6240" s="0" t="s">
        <v>15</v>
      </c>
      <c r="G6240" s="0" t="s">
        <v>32</v>
      </c>
      <c r="H6240" s="0" t="n">
        <v>29</v>
      </c>
      <c r="I6240" s="0" t="s">
        <v>20880</v>
      </c>
      <c r="J6240" s="0" t="s">
        <v>20881</v>
      </c>
      <c r="K6240" s="0" t="s">
        <v>20882</v>
      </c>
      <c r="L6240" s="0" t="str">
        <f aca="false">HYPERLINK("https://www.ncbi.nlm.nih.gov/nuccore/CP000304.1?report=graph&amp;tracks=[key:gene_model_track,Options:GeneOnly]&amp;mk=1735813:1735832|offset_1|444444,1735841:1735860|offset_29|00cc00,1735867:1735886|offset_55|444444,1735892:1735911|offset_80|444444&amp;v=1735612:1736111&amp;c=444444", "offset 29")</f>
        <v>offset 29</v>
      </c>
    </row>
    <row r="6241" customFormat="false" ht="12.8" hidden="false" customHeight="false" outlineLevel="0" collapsed="false">
      <c r="A6241" s="0" t="s">
        <v>12</v>
      </c>
      <c r="B6241" s="0" t="n">
        <v>1735866</v>
      </c>
      <c r="C6241" s="0" t="n">
        <v>1735886</v>
      </c>
      <c r="D6241" s="0" t="s">
        <v>20876</v>
      </c>
      <c r="E6241" s="0" t="s">
        <v>89</v>
      </c>
      <c r="F6241" s="0" t="s">
        <v>15</v>
      </c>
      <c r="G6241" s="0" t="s">
        <v>32</v>
      </c>
      <c r="H6241" s="0" t="n">
        <v>55</v>
      </c>
      <c r="I6241" s="0" t="s">
        <v>20883</v>
      </c>
      <c r="J6241" s="0" t="s">
        <v>20884</v>
      </c>
      <c r="K6241" s="0" t="s">
        <v>20885</v>
      </c>
      <c r="L6241" s="0" t="str">
        <f aca="false">HYPERLINK("https://www.ncbi.nlm.nih.gov/nuccore/CP000304.1?report=graph&amp;tracks=[key:gene_model_track,Options:GeneOnly]&amp;mk=1735813:1735832|offset_1|444444,1735841:1735860|offset_29|444444,1735867:1735886|offset_55|00cc00,1735892:1735911|offset_80|444444&amp;v=1735612:1736111&amp;c=444444", "offset 55")</f>
        <v>offset 55</v>
      </c>
    </row>
    <row r="6242" customFormat="false" ht="12.8" hidden="false" customHeight="false" outlineLevel="0" collapsed="false">
      <c r="A6242" s="0" t="s">
        <v>12</v>
      </c>
      <c r="B6242" s="0" t="n">
        <v>1735891</v>
      </c>
      <c r="C6242" s="0" t="n">
        <v>1735911</v>
      </c>
      <c r="D6242" s="0" t="s">
        <v>20876</v>
      </c>
      <c r="E6242" s="0" t="s">
        <v>89</v>
      </c>
      <c r="F6242" s="0" t="s">
        <v>15</v>
      </c>
      <c r="G6242" s="0" t="s">
        <v>26</v>
      </c>
      <c r="H6242" s="0" t="n">
        <v>80</v>
      </c>
      <c r="I6242" s="0" t="s">
        <v>20886</v>
      </c>
      <c r="J6242" s="0" t="s">
        <v>20887</v>
      </c>
      <c r="K6242" s="0" t="s">
        <v>20888</v>
      </c>
      <c r="L6242" s="0" t="str">
        <f aca="false">HYPERLINK("https://www.ncbi.nlm.nih.gov/nuccore/CP000304.1?report=graph&amp;tracks=[key:gene_model_track,Options:GeneOnly]&amp;mk=1735813:1735832|offset_1|444444,1735841:1735860|offset_29|444444,1735867:1735886|offset_55|444444,1735892:1735911|offset_80|00cc00&amp;v=1735612:1736111&amp;c=444444", "offset 80")</f>
        <v>offset 80</v>
      </c>
    </row>
    <row r="6243" customFormat="false" ht="12.8" hidden="false" customHeight="false" outlineLevel="0" collapsed="false">
      <c r="A6243" s="0" t="s">
        <v>12</v>
      </c>
      <c r="B6243" s="0" t="n">
        <v>1737832</v>
      </c>
      <c r="C6243" s="0" t="n">
        <v>1737852</v>
      </c>
      <c r="D6243" s="0" t="s">
        <v>20889</v>
      </c>
      <c r="E6243" s="0" t="s">
        <v>20890</v>
      </c>
      <c r="F6243" s="0" t="s">
        <v>90</v>
      </c>
      <c r="G6243" s="0" t="s">
        <v>26</v>
      </c>
      <c r="H6243" s="0" t="n">
        <v>26</v>
      </c>
      <c r="I6243" s="0" t="s">
        <v>20891</v>
      </c>
      <c r="J6243" s="0" t="s">
        <v>20892</v>
      </c>
      <c r="K6243" s="0" t="s">
        <v>20893</v>
      </c>
      <c r="L6243" s="0" t="str">
        <f aca="false">HYPERLINK("https://www.ncbi.nlm.nih.gov/nuccore/CP000304.1?report=graph&amp;tracks=[key:gene_model_track,Options:GeneOnly]&amp;mk=1737833:1737852|offset_26|00cc00,1737809:1737828|offset_50|444444,1737786:1737805|offset_73|444444,1737751:1737770|offset_108|444444&amp;v=1737632:1737970&amp;c=444444", "offset 26")</f>
        <v>offset 26</v>
      </c>
    </row>
    <row r="6244" customFormat="false" ht="12.8" hidden="false" customHeight="false" outlineLevel="0" collapsed="false">
      <c r="A6244" s="0" t="s">
        <v>12</v>
      </c>
      <c r="B6244" s="0" t="n">
        <v>1737808</v>
      </c>
      <c r="C6244" s="0" t="n">
        <v>1737828</v>
      </c>
      <c r="D6244" s="0" t="s">
        <v>20889</v>
      </c>
      <c r="E6244" s="0" t="s">
        <v>20890</v>
      </c>
      <c r="F6244" s="0" t="s">
        <v>90</v>
      </c>
      <c r="G6244" s="0" t="s">
        <v>36</v>
      </c>
      <c r="H6244" s="0" t="n">
        <v>50</v>
      </c>
      <c r="I6244" s="0" t="s">
        <v>20894</v>
      </c>
      <c r="J6244" s="0" t="s">
        <v>20895</v>
      </c>
      <c r="K6244" s="0" t="s">
        <v>20896</v>
      </c>
      <c r="L6244" s="0" t="str">
        <f aca="false">HYPERLINK("https://www.ncbi.nlm.nih.gov/nuccore/CP000304.1?report=graph&amp;tracks=[key:gene_model_track,Options:GeneOnly]&amp;mk=1737833:1737852|offset_26|444444,1737809:1737828|offset_50|00cc00,1737786:1737805|offset_73|444444,1737751:1737770|offset_108|444444&amp;v=1737632:1737970&amp;c=444444", "offset 50")</f>
        <v>offset 50</v>
      </c>
    </row>
    <row r="6245" customFormat="false" ht="12.8" hidden="false" customHeight="false" outlineLevel="0" collapsed="false">
      <c r="A6245" s="0" t="s">
        <v>12</v>
      </c>
      <c r="B6245" s="0" t="n">
        <v>1737785</v>
      </c>
      <c r="C6245" s="0" t="n">
        <v>1737805</v>
      </c>
      <c r="D6245" s="0" t="s">
        <v>20889</v>
      </c>
      <c r="E6245" s="0" t="s">
        <v>20890</v>
      </c>
      <c r="F6245" s="0" t="s">
        <v>90</v>
      </c>
      <c r="G6245" s="0" t="s">
        <v>36</v>
      </c>
      <c r="H6245" s="0" t="n">
        <v>73</v>
      </c>
      <c r="I6245" s="0" t="s">
        <v>20897</v>
      </c>
      <c r="J6245" s="0" t="s">
        <v>20898</v>
      </c>
      <c r="K6245" s="0" t="s">
        <v>20899</v>
      </c>
      <c r="L6245" s="0" t="str">
        <f aca="false">HYPERLINK("https://www.ncbi.nlm.nih.gov/nuccore/CP000304.1?report=graph&amp;tracks=[key:gene_model_track,Options:GeneOnly]&amp;mk=1737833:1737852|offset_26|444444,1737809:1737828|offset_50|444444,1737786:1737805|offset_73|00cc00,1737751:1737770|offset_108|444444&amp;v=1737632:1737970&amp;c=444444", "offset 73")</f>
        <v>offset 73</v>
      </c>
    </row>
    <row r="6246" customFormat="false" ht="12.8" hidden="false" customHeight="false" outlineLevel="0" collapsed="false">
      <c r="A6246" s="0" t="s">
        <v>12</v>
      </c>
      <c r="B6246" s="0" t="n">
        <v>1737750</v>
      </c>
      <c r="C6246" s="0" t="n">
        <v>1737770</v>
      </c>
      <c r="D6246" s="0" t="s">
        <v>20889</v>
      </c>
      <c r="E6246" s="0" t="s">
        <v>20890</v>
      </c>
      <c r="F6246" s="0" t="s">
        <v>90</v>
      </c>
      <c r="G6246" s="0" t="s">
        <v>36</v>
      </c>
      <c r="H6246" s="0" t="n">
        <v>108</v>
      </c>
      <c r="I6246" s="0" t="s">
        <v>20900</v>
      </c>
      <c r="J6246" s="0" t="s">
        <v>20901</v>
      </c>
      <c r="K6246" s="0" t="s">
        <v>20902</v>
      </c>
      <c r="L6246" s="0" t="str">
        <f aca="false">HYPERLINK("https://www.ncbi.nlm.nih.gov/nuccore/CP000304.1?report=graph&amp;tracks=[key:gene_model_track,Options:GeneOnly]&amp;mk=1737833:1737852|offset_26|444444,1737809:1737828|offset_50|444444,1737786:1737805|offset_73|444444,1737751:1737770|offset_108|00cc00&amp;v=1737632:1737970&amp;c=444444", "offset 108")</f>
        <v>offset 108</v>
      </c>
    </row>
    <row r="6247" customFormat="false" ht="12.8" hidden="false" customHeight="false" outlineLevel="0" collapsed="false">
      <c r="A6247" s="0" t="s">
        <v>12</v>
      </c>
      <c r="B6247" s="0" t="n">
        <v>1738143</v>
      </c>
      <c r="C6247" s="0" t="n">
        <v>1738163</v>
      </c>
      <c r="D6247" s="0" t="s">
        <v>20903</v>
      </c>
      <c r="E6247" s="0" t="s">
        <v>89</v>
      </c>
      <c r="F6247" s="0" t="s">
        <v>15</v>
      </c>
      <c r="G6247" s="0" t="s">
        <v>16</v>
      </c>
      <c r="H6247" s="0" t="n">
        <v>13</v>
      </c>
      <c r="I6247" s="0" t="s">
        <v>20904</v>
      </c>
      <c r="J6247" s="0" t="s">
        <v>20905</v>
      </c>
      <c r="K6247" s="0" t="s">
        <v>20906</v>
      </c>
      <c r="L6247" s="0" t="str">
        <f aca="false">HYPERLINK("https://www.ncbi.nlm.nih.gov/nuccore/CP000304.1?report=graph&amp;tracks=[key:gene_model_track,Options:GeneOnly]&amp;mk=1738144:1738163|offset_13|00cc00,1738173:1738192|offset_42|444444,1738196:1738215|offset_65|444444,1738217:1738236|offset_86|444444&amp;v=1737943:1738436&amp;c=444444", "offset 13")</f>
        <v>offset 13</v>
      </c>
    </row>
    <row r="6248" customFormat="false" ht="12.8" hidden="false" customHeight="false" outlineLevel="0" collapsed="false">
      <c r="A6248" s="0" t="s">
        <v>12</v>
      </c>
      <c r="B6248" s="0" t="n">
        <v>1738172</v>
      </c>
      <c r="C6248" s="0" t="n">
        <v>1738192</v>
      </c>
      <c r="D6248" s="0" t="s">
        <v>20903</v>
      </c>
      <c r="E6248" s="0" t="s">
        <v>89</v>
      </c>
      <c r="F6248" s="0" t="s">
        <v>15</v>
      </c>
      <c r="G6248" s="0" t="s">
        <v>26</v>
      </c>
      <c r="H6248" s="0" t="n">
        <v>42</v>
      </c>
      <c r="I6248" s="0" t="s">
        <v>20907</v>
      </c>
      <c r="J6248" s="0" t="s">
        <v>20908</v>
      </c>
      <c r="K6248" s="0" t="s">
        <v>20909</v>
      </c>
      <c r="L6248" s="0" t="str">
        <f aca="false">HYPERLINK("https://www.ncbi.nlm.nih.gov/nuccore/CP000304.1?report=graph&amp;tracks=[key:gene_model_track,Options:GeneOnly]&amp;mk=1738144:1738163|offset_13|444444,1738173:1738192|offset_42|00cc00,1738196:1738215|offset_65|444444,1738217:1738236|offset_86|444444&amp;v=1737943:1738436&amp;c=444444", "offset 42")</f>
        <v>offset 42</v>
      </c>
    </row>
    <row r="6249" customFormat="false" ht="12.8" hidden="false" customHeight="false" outlineLevel="0" collapsed="false">
      <c r="A6249" s="0" t="s">
        <v>12</v>
      </c>
      <c r="B6249" s="0" t="n">
        <v>1738195</v>
      </c>
      <c r="C6249" s="0" t="n">
        <v>1738215</v>
      </c>
      <c r="D6249" s="0" t="s">
        <v>20903</v>
      </c>
      <c r="E6249" s="0" t="s">
        <v>89</v>
      </c>
      <c r="F6249" s="0" t="s">
        <v>15</v>
      </c>
      <c r="G6249" s="0" t="s">
        <v>26</v>
      </c>
      <c r="H6249" s="0" t="n">
        <v>65</v>
      </c>
      <c r="I6249" s="0" t="s">
        <v>20910</v>
      </c>
      <c r="J6249" s="0" t="s">
        <v>20911</v>
      </c>
      <c r="K6249" s="0" t="s">
        <v>20912</v>
      </c>
      <c r="L6249" s="0" t="str">
        <f aca="false">HYPERLINK("https://www.ncbi.nlm.nih.gov/nuccore/CP000304.1?report=graph&amp;tracks=[key:gene_model_track,Options:GeneOnly]&amp;mk=1738144:1738163|offset_13|444444,1738173:1738192|offset_42|444444,1738196:1738215|offset_65|00cc00,1738217:1738236|offset_86|444444&amp;v=1737943:1738436&amp;c=444444", "offset 65")</f>
        <v>offset 65</v>
      </c>
    </row>
    <row r="6250" customFormat="false" ht="12.8" hidden="false" customHeight="false" outlineLevel="0" collapsed="false">
      <c r="A6250" s="0" t="s">
        <v>12</v>
      </c>
      <c r="B6250" s="0" t="n">
        <v>1738216</v>
      </c>
      <c r="C6250" s="0" t="n">
        <v>1738236</v>
      </c>
      <c r="D6250" s="0" t="s">
        <v>20903</v>
      </c>
      <c r="E6250" s="0" t="s">
        <v>89</v>
      </c>
      <c r="F6250" s="0" t="s">
        <v>15</v>
      </c>
      <c r="G6250" s="0" t="s">
        <v>26</v>
      </c>
      <c r="H6250" s="0" t="n">
        <v>86</v>
      </c>
      <c r="I6250" s="0" t="s">
        <v>20913</v>
      </c>
      <c r="J6250" s="0" t="s">
        <v>20914</v>
      </c>
      <c r="K6250" s="0" t="s">
        <v>20915</v>
      </c>
      <c r="L6250" s="0" t="str">
        <f aca="false">HYPERLINK("https://www.ncbi.nlm.nih.gov/nuccore/CP000304.1?report=graph&amp;tracks=[key:gene_model_track,Options:GeneOnly]&amp;mk=1738144:1738163|offset_13|444444,1738173:1738192|offset_42|444444,1738196:1738215|offset_65|444444,1738217:1738236|offset_86|00cc00&amp;v=1737943:1738436&amp;c=444444", "offset 86")</f>
        <v>offset 86</v>
      </c>
    </row>
    <row r="6251" customFormat="false" ht="12.8" hidden="false" customHeight="false" outlineLevel="0" collapsed="false">
      <c r="A6251" s="0" t="s">
        <v>12</v>
      </c>
      <c r="B6251" s="0" t="n">
        <v>1739235</v>
      </c>
      <c r="C6251" s="0" t="n">
        <v>1739255</v>
      </c>
      <c r="D6251" s="0" t="s">
        <v>20916</v>
      </c>
      <c r="E6251" s="0" t="s">
        <v>89</v>
      </c>
      <c r="F6251" s="0" t="s">
        <v>15</v>
      </c>
      <c r="G6251" s="0" t="s">
        <v>16</v>
      </c>
      <c r="H6251" s="0" t="n">
        <v>6</v>
      </c>
      <c r="I6251" s="0" t="s">
        <v>20917</v>
      </c>
      <c r="J6251" s="0" t="s">
        <v>20918</v>
      </c>
      <c r="K6251" s="0" t="s">
        <v>20919</v>
      </c>
      <c r="L6251" s="0" t="str">
        <f aca="false">HYPERLINK("https://www.ncbi.nlm.nih.gov/nuccore/CP000304.1?report=graph&amp;tracks=[key:gene_model_track,Options:GeneOnly]&amp;mk=1739236:1739255|offset_6|00cc00,1739261:1739280|offset_31|444444,1739286:1739305|offset_56|444444,1739306:1739325|offset_76|444444&amp;v=1739035:1739525&amp;c=444444", "offset 6")</f>
        <v>offset 6</v>
      </c>
    </row>
    <row r="6252" customFormat="false" ht="12.8" hidden="false" customHeight="false" outlineLevel="0" collapsed="false">
      <c r="A6252" s="0" t="s">
        <v>12</v>
      </c>
      <c r="B6252" s="0" t="n">
        <v>1739260</v>
      </c>
      <c r="C6252" s="0" t="n">
        <v>1739280</v>
      </c>
      <c r="D6252" s="0" t="s">
        <v>20916</v>
      </c>
      <c r="E6252" s="0" t="s">
        <v>89</v>
      </c>
      <c r="F6252" s="0" t="s">
        <v>15</v>
      </c>
      <c r="G6252" s="0" t="s">
        <v>32</v>
      </c>
      <c r="H6252" s="0" t="n">
        <v>31</v>
      </c>
      <c r="I6252" s="0" t="s">
        <v>20920</v>
      </c>
      <c r="J6252" s="0" t="s">
        <v>20921</v>
      </c>
      <c r="K6252" s="0" t="s">
        <v>20922</v>
      </c>
      <c r="L6252" s="0" t="str">
        <f aca="false">HYPERLINK("https://www.ncbi.nlm.nih.gov/nuccore/CP000304.1?report=graph&amp;tracks=[key:gene_model_track,Options:GeneOnly]&amp;mk=1739236:1739255|offset_6|444444,1739261:1739280|offset_31|00cc00,1739286:1739305|offset_56|444444,1739306:1739325|offset_76|444444&amp;v=1739035:1739525&amp;c=444444", "offset 31")</f>
        <v>offset 31</v>
      </c>
    </row>
    <row r="6253" customFormat="false" ht="12.8" hidden="false" customHeight="false" outlineLevel="0" collapsed="false">
      <c r="A6253" s="0" t="s">
        <v>12</v>
      </c>
      <c r="B6253" s="0" t="n">
        <v>1739285</v>
      </c>
      <c r="C6253" s="0" t="n">
        <v>1739305</v>
      </c>
      <c r="D6253" s="0" t="s">
        <v>20916</v>
      </c>
      <c r="E6253" s="0" t="s">
        <v>89</v>
      </c>
      <c r="F6253" s="0" t="s">
        <v>15</v>
      </c>
      <c r="G6253" s="0" t="s">
        <v>32</v>
      </c>
      <c r="H6253" s="0" t="n">
        <v>56</v>
      </c>
      <c r="I6253" s="0" t="s">
        <v>20923</v>
      </c>
      <c r="J6253" s="0" t="s">
        <v>20924</v>
      </c>
      <c r="K6253" s="0" t="s">
        <v>20925</v>
      </c>
      <c r="L6253" s="0" t="str">
        <f aca="false">HYPERLINK("https://www.ncbi.nlm.nih.gov/nuccore/CP000304.1?report=graph&amp;tracks=[key:gene_model_track,Options:GeneOnly]&amp;mk=1739236:1739255|offset_6|444444,1739261:1739280|offset_31|444444,1739286:1739305|offset_56|00cc00,1739306:1739325|offset_76|444444&amp;v=1739035:1739525&amp;c=444444", "offset 56")</f>
        <v>offset 56</v>
      </c>
    </row>
    <row r="6254" customFormat="false" ht="12.8" hidden="false" customHeight="false" outlineLevel="0" collapsed="false">
      <c r="A6254" s="0" t="s">
        <v>12</v>
      </c>
      <c r="B6254" s="0" t="n">
        <v>1739305</v>
      </c>
      <c r="C6254" s="0" t="n">
        <v>1739325</v>
      </c>
      <c r="D6254" s="0" t="s">
        <v>20916</v>
      </c>
      <c r="E6254" s="0" t="s">
        <v>89</v>
      </c>
      <c r="F6254" s="0" t="s">
        <v>15</v>
      </c>
      <c r="G6254" s="0" t="s">
        <v>32</v>
      </c>
      <c r="H6254" s="0" t="n">
        <v>76</v>
      </c>
      <c r="I6254" s="0" t="s">
        <v>20926</v>
      </c>
      <c r="J6254" s="0" t="s">
        <v>20927</v>
      </c>
      <c r="K6254" s="0" t="s">
        <v>20928</v>
      </c>
      <c r="L6254" s="0" t="str">
        <f aca="false">HYPERLINK("https://www.ncbi.nlm.nih.gov/nuccore/CP000304.1?report=graph&amp;tracks=[key:gene_model_track,Options:GeneOnly]&amp;mk=1739236:1739255|offset_6|444444,1739261:1739280|offset_31|444444,1739286:1739305|offset_56|444444,1739306:1739325|offset_76|00cc00&amp;v=1739035:1739525&amp;c=444444", "offset 76")</f>
        <v>offset 76</v>
      </c>
    </row>
    <row r="6255" customFormat="false" ht="12.8" hidden="false" customHeight="false" outlineLevel="0" collapsed="false">
      <c r="A6255" s="0" t="s">
        <v>12</v>
      </c>
      <c r="B6255" s="0" t="n">
        <v>1740361</v>
      </c>
      <c r="C6255" s="0" t="n">
        <v>1740381</v>
      </c>
      <c r="D6255" s="0" t="s">
        <v>20929</v>
      </c>
      <c r="E6255" s="0" t="s">
        <v>89</v>
      </c>
      <c r="F6255" s="0" t="s">
        <v>90</v>
      </c>
      <c r="G6255" s="0" t="s">
        <v>26</v>
      </c>
      <c r="H6255" s="0" t="n">
        <v>32</v>
      </c>
      <c r="I6255" s="0" t="s">
        <v>20930</v>
      </c>
      <c r="J6255" s="0" t="s">
        <v>20931</v>
      </c>
      <c r="K6255" s="0" t="s">
        <v>20932</v>
      </c>
      <c r="L6255" s="0" t="str">
        <f aca="false">HYPERLINK("https://www.ncbi.nlm.nih.gov/nuccore/CP000304.1?report=graph&amp;tracks=[key:gene_model_track,Options:GeneOnly]&amp;mk=1740362:1740381|offset_32|00cc00,1740327:1740346|offset_67|444444,1740303:1740322|offset_91|444444,1740280:1740299|offset_114|444444&amp;v=1740161:1740499&amp;c=444444", "offset 32")</f>
        <v>offset 32</v>
      </c>
    </row>
    <row r="6256" customFormat="false" ht="12.8" hidden="false" customHeight="false" outlineLevel="0" collapsed="false">
      <c r="A6256" s="0" t="s">
        <v>12</v>
      </c>
      <c r="B6256" s="0" t="n">
        <v>1740326</v>
      </c>
      <c r="C6256" s="0" t="n">
        <v>1740346</v>
      </c>
      <c r="D6256" s="0" t="s">
        <v>20929</v>
      </c>
      <c r="E6256" s="0" t="s">
        <v>89</v>
      </c>
      <c r="F6256" s="0" t="s">
        <v>90</v>
      </c>
      <c r="G6256" s="0" t="s">
        <v>16</v>
      </c>
      <c r="H6256" s="0" t="n">
        <v>67</v>
      </c>
      <c r="I6256" s="0" t="s">
        <v>20933</v>
      </c>
      <c r="J6256" s="0" t="s">
        <v>20934</v>
      </c>
      <c r="K6256" s="0" t="s">
        <v>20935</v>
      </c>
      <c r="L6256" s="0" t="str">
        <f aca="false">HYPERLINK("https://www.ncbi.nlm.nih.gov/nuccore/CP000304.1?report=graph&amp;tracks=[key:gene_model_track,Options:GeneOnly]&amp;mk=1740362:1740381|offset_32|444444,1740327:1740346|offset_67|00cc00,1740303:1740322|offset_91|444444,1740280:1740299|offset_114|444444&amp;v=1740161:1740499&amp;c=444444", "offset 67")</f>
        <v>offset 67</v>
      </c>
    </row>
    <row r="6257" customFormat="false" ht="12.8" hidden="false" customHeight="false" outlineLevel="0" collapsed="false">
      <c r="A6257" s="0" t="s">
        <v>12</v>
      </c>
      <c r="B6257" s="0" t="n">
        <v>1740302</v>
      </c>
      <c r="C6257" s="0" t="n">
        <v>1740322</v>
      </c>
      <c r="D6257" s="0" t="s">
        <v>20929</v>
      </c>
      <c r="E6257" s="0" t="s">
        <v>89</v>
      </c>
      <c r="F6257" s="0" t="s">
        <v>90</v>
      </c>
      <c r="G6257" s="0" t="s">
        <v>16</v>
      </c>
      <c r="H6257" s="0" t="n">
        <v>91</v>
      </c>
      <c r="I6257" s="0" t="s">
        <v>20936</v>
      </c>
      <c r="J6257" s="0" t="s">
        <v>20937</v>
      </c>
      <c r="K6257" s="0" t="s">
        <v>20938</v>
      </c>
      <c r="L6257" s="0" t="str">
        <f aca="false">HYPERLINK("https://www.ncbi.nlm.nih.gov/nuccore/CP000304.1?report=graph&amp;tracks=[key:gene_model_track,Options:GeneOnly]&amp;mk=1740362:1740381|offset_32|444444,1740327:1740346|offset_67|444444,1740303:1740322|offset_91|00cc00,1740280:1740299|offset_114|444444&amp;v=1740161:1740499&amp;c=444444", "offset 91")</f>
        <v>offset 91</v>
      </c>
    </row>
    <row r="6258" customFormat="false" ht="12.8" hidden="false" customHeight="false" outlineLevel="0" collapsed="false">
      <c r="A6258" s="0" t="s">
        <v>12</v>
      </c>
      <c r="B6258" s="0" t="n">
        <v>1740279</v>
      </c>
      <c r="C6258" s="0" t="n">
        <v>1740299</v>
      </c>
      <c r="D6258" s="0" t="s">
        <v>20929</v>
      </c>
      <c r="E6258" s="0" t="s">
        <v>89</v>
      </c>
      <c r="F6258" s="0" t="s">
        <v>90</v>
      </c>
      <c r="G6258" s="0" t="s">
        <v>26</v>
      </c>
      <c r="H6258" s="0" t="n">
        <v>114</v>
      </c>
      <c r="I6258" s="0" t="s">
        <v>20939</v>
      </c>
      <c r="J6258" s="0" t="s">
        <v>20940</v>
      </c>
      <c r="K6258" s="0" t="s">
        <v>20941</v>
      </c>
      <c r="L6258" s="0" t="str">
        <f aca="false">HYPERLINK("https://www.ncbi.nlm.nih.gov/nuccore/CP000304.1?report=graph&amp;tracks=[key:gene_model_track,Options:GeneOnly]&amp;mk=1740362:1740381|offset_32|444444,1740327:1740346|offset_67|444444,1740303:1740322|offset_91|444444,1740280:1740299|offset_114|00cc00&amp;v=1740161:1740499&amp;c=444444", "offset 114")</f>
        <v>offset 114</v>
      </c>
    </row>
    <row r="6259" customFormat="false" ht="12.8" hidden="false" customHeight="false" outlineLevel="0" collapsed="false">
      <c r="A6259" s="0" t="s">
        <v>12</v>
      </c>
      <c r="B6259" s="0" t="n">
        <v>1740494</v>
      </c>
      <c r="C6259" s="0" t="n">
        <v>1740514</v>
      </c>
      <c r="D6259" s="0" t="s">
        <v>20942</v>
      </c>
      <c r="E6259" s="0" t="s">
        <v>89</v>
      </c>
      <c r="F6259" s="0" t="s">
        <v>15</v>
      </c>
      <c r="G6259" s="0" t="s">
        <v>32</v>
      </c>
      <c r="H6259" s="0" t="n">
        <v>1</v>
      </c>
      <c r="I6259" s="0" t="s">
        <v>20943</v>
      </c>
      <c r="J6259" s="0" t="s">
        <v>20944</v>
      </c>
      <c r="K6259" s="0" t="s">
        <v>20945</v>
      </c>
      <c r="L6259" s="0" t="str">
        <f aca="false">HYPERLINK("https://www.ncbi.nlm.nih.gov/nuccore/CP000304.1?report=graph&amp;tracks=[key:gene_model_track,Options:GeneOnly]&amp;mk=1740495:1740514|offset_1|00cc00,1740519:1740538|offset_25|444444,1740549:1740568|offset_55|444444,1740589:1740608|offset_95|444444&amp;v=1740294:1740808&amp;c=444444", "offset 1")</f>
        <v>offset 1</v>
      </c>
    </row>
    <row r="6260" customFormat="false" ht="12.8" hidden="false" customHeight="false" outlineLevel="0" collapsed="false">
      <c r="A6260" s="0" t="s">
        <v>12</v>
      </c>
      <c r="B6260" s="0" t="n">
        <v>1740518</v>
      </c>
      <c r="C6260" s="0" t="n">
        <v>1740538</v>
      </c>
      <c r="D6260" s="0" t="s">
        <v>20942</v>
      </c>
      <c r="E6260" s="0" t="s">
        <v>89</v>
      </c>
      <c r="F6260" s="0" t="s">
        <v>15</v>
      </c>
      <c r="G6260" s="0" t="s">
        <v>36</v>
      </c>
      <c r="H6260" s="0" t="n">
        <v>25</v>
      </c>
      <c r="I6260" s="0" t="s">
        <v>20946</v>
      </c>
      <c r="J6260" s="0" t="s">
        <v>20947</v>
      </c>
      <c r="K6260" s="0" t="s">
        <v>20948</v>
      </c>
      <c r="L6260" s="0" t="str">
        <f aca="false">HYPERLINK("https://www.ncbi.nlm.nih.gov/nuccore/CP000304.1?report=graph&amp;tracks=[key:gene_model_track,Options:GeneOnly]&amp;mk=1740495:1740514|offset_1|444444,1740519:1740538|offset_25|00cc00,1740549:1740568|offset_55|444444,1740589:1740608|offset_95|444444&amp;v=1740294:1740808&amp;c=444444", "offset 25")</f>
        <v>offset 25</v>
      </c>
    </row>
    <row r="6261" customFormat="false" ht="12.8" hidden="false" customHeight="false" outlineLevel="0" collapsed="false">
      <c r="A6261" s="0" t="s">
        <v>12</v>
      </c>
      <c r="B6261" s="0" t="n">
        <v>1740548</v>
      </c>
      <c r="C6261" s="0" t="n">
        <v>1740568</v>
      </c>
      <c r="D6261" s="0" t="s">
        <v>20942</v>
      </c>
      <c r="E6261" s="0" t="s">
        <v>89</v>
      </c>
      <c r="F6261" s="0" t="s">
        <v>15</v>
      </c>
      <c r="G6261" s="0" t="s">
        <v>36</v>
      </c>
      <c r="H6261" s="0" t="n">
        <v>55</v>
      </c>
      <c r="I6261" s="0" t="s">
        <v>20949</v>
      </c>
      <c r="J6261" s="0" t="s">
        <v>20950</v>
      </c>
      <c r="K6261" s="0" t="s">
        <v>20951</v>
      </c>
      <c r="L6261" s="0" t="str">
        <f aca="false">HYPERLINK("https://www.ncbi.nlm.nih.gov/nuccore/CP000304.1?report=graph&amp;tracks=[key:gene_model_track,Options:GeneOnly]&amp;mk=1740495:1740514|offset_1|444444,1740519:1740538|offset_25|444444,1740549:1740568|offset_55|00cc00,1740589:1740608|offset_95|444444&amp;v=1740294:1740808&amp;c=444444", "offset 55")</f>
        <v>offset 55</v>
      </c>
    </row>
    <row r="6262" customFormat="false" ht="12.8" hidden="false" customHeight="false" outlineLevel="0" collapsed="false">
      <c r="A6262" s="0" t="s">
        <v>12</v>
      </c>
      <c r="B6262" s="0" t="n">
        <v>1740588</v>
      </c>
      <c r="C6262" s="0" t="n">
        <v>1740608</v>
      </c>
      <c r="D6262" s="0" t="s">
        <v>20942</v>
      </c>
      <c r="E6262" s="0" t="s">
        <v>89</v>
      </c>
      <c r="F6262" s="0" t="s">
        <v>15</v>
      </c>
      <c r="G6262" s="0" t="s">
        <v>32</v>
      </c>
      <c r="H6262" s="0" t="n">
        <v>95</v>
      </c>
      <c r="I6262" s="0" t="s">
        <v>20952</v>
      </c>
      <c r="J6262" s="0" t="s">
        <v>20953</v>
      </c>
      <c r="K6262" s="0" t="s">
        <v>20954</v>
      </c>
      <c r="L6262" s="0" t="str">
        <f aca="false">HYPERLINK("https://www.ncbi.nlm.nih.gov/nuccore/CP000304.1?report=graph&amp;tracks=[key:gene_model_track,Options:GeneOnly]&amp;mk=1740495:1740514|offset_1|444444,1740519:1740538|offset_25|444444,1740549:1740568|offset_55|444444,1740589:1740608|offset_95|00cc00&amp;v=1740294:1740808&amp;c=444444", "offset 95")</f>
        <v>offset 95</v>
      </c>
    </row>
    <row r="6263" customFormat="false" ht="12.8" hidden="false" customHeight="false" outlineLevel="0" collapsed="false">
      <c r="A6263" s="0" t="s">
        <v>12</v>
      </c>
      <c r="B6263" s="0" t="n">
        <v>1741906</v>
      </c>
      <c r="C6263" s="0" t="n">
        <v>1741926</v>
      </c>
      <c r="D6263" s="0" t="s">
        <v>20955</v>
      </c>
      <c r="E6263" s="0" t="s">
        <v>89</v>
      </c>
      <c r="F6263" s="0" t="s">
        <v>90</v>
      </c>
      <c r="G6263" s="0" t="s">
        <v>32</v>
      </c>
      <c r="H6263" s="0" t="n">
        <v>7</v>
      </c>
      <c r="I6263" s="0" t="s">
        <v>20956</v>
      </c>
      <c r="J6263" s="0" t="s">
        <v>20957</v>
      </c>
      <c r="K6263" s="0" t="s">
        <v>20958</v>
      </c>
      <c r="L6263" s="0" t="str">
        <f aca="false">HYPERLINK("https://www.ncbi.nlm.nih.gov/nuccore/CP000304.1?report=graph&amp;tracks=[key:gene_model_track,Options:GeneOnly]&amp;mk=1741907:1741926|offset_7|00cc00,1741885:1741904|offset_29|444444,1741862:1741881|offset_52|444444,1741842:1741861|offset_72|444444&amp;v=1741706:1742061&amp;c=444444", "offset 7")</f>
        <v>offset 7</v>
      </c>
    </row>
    <row r="6264" customFormat="false" ht="12.8" hidden="false" customHeight="false" outlineLevel="0" collapsed="false">
      <c r="A6264" s="0" t="s">
        <v>12</v>
      </c>
      <c r="B6264" s="0" t="n">
        <v>1741884</v>
      </c>
      <c r="C6264" s="0" t="n">
        <v>1741904</v>
      </c>
      <c r="D6264" s="0" t="s">
        <v>20955</v>
      </c>
      <c r="E6264" s="0" t="s">
        <v>89</v>
      </c>
      <c r="F6264" s="0" t="s">
        <v>90</v>
      </c>
      <c r="G6264" s="0" t="s">
        <v>26</v>
      </c>
      <c r="H6264" s="0" t="n">
        <v>29</v>
      </c>
      <c r="I6264" s="0" t="s">
        <v>20959</v>
      </c>
      <c r="J6264" s="0" t="s">
        <v>20960</v>
      </c>
      <c r="K6264" s="0" t="s">
        <v>20961</v>
      </c>
      <c r="L6264" s="0" t="str">
        <f aca="false">HYPERLINK("https://www.ncbi.nlm.nih.gov/nuccore/CP000304.1?report=graph&amp;tracks=[key:gene_model_track,Options:GeneOnly]&amp;mk=1741907:1741926|offset_7|444444,1741885:1741904|offset_29|00cc00,1741862:1741881|offset_52|444444,1741842:1741861|offset_72|444444&amp;v=1741706:1742061&amp;c=444444", "offset 29")</f>
        <v>offset 29</v>
      </c>
    </row>
    <row r="6265" customFormat="false" ht="12.8" hidden="false" customHeight="false" outlineLevel="0" collapsed="false">
      <c r="A6265" s="0" t="s">
        <v>12</v>
      </c>
      <c r="B6265" s="0" t="n">
        <v>1741861</v>
      </c>
      <c r="C6265" s="0" t="n">
        <v>1741881</v>
      </c>
      <c r="D6265" s="0" t="s">
        <v>20955</v>
      </c>
      <c r="E6265" s="0" t="s">
        <v>89</v>
      </c>
      <c r="F6265" s="0" t="s">
        <v>90</v>
      </c>
      <c r="G6265" s="0" t="s">
        <v>26</v>
      </c>
      <c r="H6265" s="0" t="n">
        <v>52</v>
      </c>
      <c r="I6265" s="0" t="s">
        <v>20962</v>
      </c>
      <c r="J6265" s="0" t="s">
        <v>20963</v>
      </c>
      <c r="K6265" s="0" t="s">
        <v>20964</v>
      </c>
      <c r="L6265" s="0" t="str">
        <f aca="false">HYPERLINK("https://www.ncbi.nlm.nih.gov/nuccore/CP000304.1?report=graph&amp;tracks=[key:gene_model_track,Options:GeneOnly]&amp;mk=1741907:1741926|offset_7|444444,1741885:1741904|offset_29|444444,1741862:1741881|offset_52|00cc00,1741842:1741861|offset_72|444444&amp;v=1741706:1742061&amp;c=444444", "offset 52")</f>
        <v>offset 52</v>
      </c>
    </row>
    <row r="6266" customFormat="false" ht="12.8" hidden="false" customHeight="false" outlineLevel="0" collapsed="false">
      <c r="A6266" s="0" t="s">
        <v>12</v>
      </c>
      <c r="B6266" s="0" t="n">
        <v>1741841</v>
      </c>
      <c r="C6266" s="0" t="n">
        <v>1741861</v>
      </c>
      <c r="D6266" s="0" t="s">
        <v>20955</v>
      </c>
      <c r="E6266" s="0" t="s">
        <v>89</v>
      </c>
      <c r="F6266" s="0" t="s">
        <v>90</v>
      </c>
      <c r="G6266" s="0" t="s">
        <v>36</v>
      </c>
      <c r="H6266" s="0" t="n">
        <v>72</v>
      </c>
      <c r="I6266" s="0" t="s">
        <v>20965</v>
      </c>
      <c r="J6266" s="0" t="s">
        <v>20966</v>
      </c>
      <c r="K6266" s="0" t="s">
        <v>20967</v>
      </c>
      <c r="L6266" s="0" t="str">
        <f aca="false">HYPERLINK("https://www.ncbi.nlm.nih.gov/nuccore/CP000304.1?report=graph&amp;tracks=[key:gene_model_track,Options:GeneOnly]&amp;mk=1741907:1741926|offset_7|444444,1741885:1741904|offset_29|444444,1741862:1741881|offset_52|444444,1741842:1741861|offset_72|00cc00&amp;v=1741706:1742061&amp;c=444444", "offset 72")</f>
        <v>offset 72</v>
      </c>
    </row>
    <row r="6267" customFormat="false" ht="12.8" hidden="false" customHeight="false" outlineLevel="0" collapsed="false">
      <c r="A6267" s="0" t="s">
        <v>12</v>
      </c>
      <c r="B6267" s="0" t="n">
        <v>1742541</v>
      </c>
      <c r="C6267" s="0" t="n">
        <v>1742561</v>
      </c>
      <c r="D6267" s="0" t="s">
        <v>20968</v>
      </c>
      <c r="E6267" s="0" t="s">
        <v>89</v>
      </c>
      <c r="F6267" s="0" t="s">
        <v>90</v>
      </c>
      <c r="G6267" s="0" t="s">
        <v>32</v>
      </c>
      <c r="H6267" s="0" t="n">
        <v>1</v>
      </c>
      <c r="I6267" s="0" t="s">
        <v>20969</v>
      </c>
      <c r="J6267" s="0" t="s">
        <v>20970</v>
      </c>
      <c r="K6267" s="0" t="s">
        <v>20971</v>
      </c>
      <c r="L6267" s="0" t="str">
        <f aca="false">HYPERLINK("https://www.ncbi.nlm.nih.gov/nuccore/CP000304.1?report=graph&amp;tracks=[key:gene_model_track,Options:GeneOnly]&amp;mk=1742542:1742561|offset_1|00cc00,1742515:1742534|offset_28|444444,1742491:1742510|offset_52|444444,1742471:1742490|offset_72|444444&amp;v=1742341:1742690&amp;c=444444", "offset 1")</f>
        <v>offset 1</v>
      </c>
    </row>
    <row r="6268" customFormat="false" ht="12.8" hidden="false" customHeight="false" outlineLevel="0" collapsed="false">
      <c r="A6268" s="0" t="s">
        <v>12</v>
      </c>
      <c r="B6268" s="0" t="n">
        <v>1742514</v>
      </c>
      <c r="C6268" s="0" t="n">
        <v>1742534</v>
      </c>
      <c r="D6268" s="0" t="s">
        <v>20968</v>
      </c>
      <c r="E6268" s="0" t="s">
        <v>89</v>
      </c>
      <c r="F6268" s="0" t="s">
        <v>90</v>
      </c>
      <c r="G6268" s="0" t="s">
        <v>16</v>
      </c>
      <c r="H6268" s="0" t="n">
        <v>28</v>
      </c>
      <c r="I6268" s="0" t="s">
        <v>20972</v>
      </c>
      <c r="J6268" s="0" t="s">
        <v>20973</v>
      </c>
      <c r="K6268" s="0" t="s">
        <v>20974</v>
      </c>
      <c r="L6268" s="0" t="str">
        <f aca="false">HYPERLINK("https://www.ncbi.nlm.nih.gov/nuccore/CP000304.1?report=graph&amp;tracks=[key:gene_model_track,Options:GeneOnly]&amp;mk=1742542:1742561|offset_1|444444,1742515:1742534|offset_28|00cc00,1742491:1742510|offset_52|444444,1742471:1742490|offset_72|444444&amp;v=1742341:1742690&amp;c=444444", "offset 28")</f>
        <v>offset 28</v>
      </c>
    </row>
    <row r="6269" customFormat="false" ht="12.8" hidden="false" customHeight="false" outlineLevel="0" collapsed="false">
      <c r="A6269" s="0" t="s">
        <v>12</v>
      </c>
      <c r="B6269" s="0" t="n">
        <v>1742490</v>
      </c>
      <c r="C6269" s="0" t="n">
        <v>1742510</v>
      </c>
      <c r="D6269" s="0" t="s">
        <v>20968</v>
      </c>
      <c r="E6269" s="0" t="s">
        <v>89</v>
      </c>
      <c r="F6269" s="0" t="s">
        <v>90</v>
      </c>
      <c r="G6269" s="0" t="s">
        <v>16</v>
      </c>
      <c r="H6269" s="0" t="n">
        <v>52</v>
      </c>
      <c r="I6269" s="0" t="s">
        <v>20975</v>
      </c>
      <c r="J6269" s="0" t="s">
        <v>20976</v>
      </c>
      <c r="K6269" s="0" t="s">
        <v>20977</v>
      </c>
      <c r="L6269" s="0" t="str">
        <f aca="false">HYPERLINK("https://www.ncbi.nlm.nih.gov/nuccore/CP000304.1?report=graph&amp;tracks=[key:gene_model_track,Options:GeneOnly]&amp;mk=1742542:1742561|offset_1|444444,1742515:1742534|offset_28|444444,1742491:1742510|offset_52|00cc00,1742471:1742490|offset_72|444444&amp;v=1742341:1742690&amp;c=444444", "offset 52")</f>
        <v>offset 52</v>
      </c>
    </row>
    <row r="6270" customFormat="false" ht="12.8" hidden="false" customHeight="false" outlineLevel="0" collapsed="false">
      <c r="A6270" s="0" t="s">
        <v>12</v>
      </c>
      <c r="B6270" s="0" t="n">
        <v>1742470</v>
      </c>
      <c r="C6270" s="0" t="n">
        <v>1742490</v>
      </c>
      <c r="D6270" s="0" t="s">
        <v>20968</v>
      </c>
      <c r="E6270" s="0" t="s">
        <v>89</v>
      </c>
      <c r="F6270" s="0" t="s">
        <v>90</v>
      </c>
      <c r="G6270" s="0" t="s">
        <v>36</v>
      </c>
      <c r="H6270" s="0" t="n">
        <v>72</v>
      </c>
      <c r="I6270" s="0" t="s">
        <v>20978</v>
      </c>
      <c r="J6270" s="0" t="s">
        <v>20979</v>
      </c>
      <c r="K6270" s="0" t="s">
        <v>20980</v>
      </c>
      <c r="L6270" s="0" t="str">
        <f aca="false">HYPERLINK("https://www.ncbi.nlm.nih.gov/nuccore/CP000304.1?report=graph&amp;tracks=[key:gene_model_track,Options:GeneOnly]&amp;mk=1742542:1742561|offset_1|444444,1742515:1742534|offset_28|444444,1742491:1742510|offset_52|444444,1742471:1742490|offset_72|00cc00&amp;v=1742341:1742690&amp;c=444444", "offset 72")</f>
        <v>offset 72</v>
      </c>
    </row>
    <row r="6271" customFormat="false" ht="12.8" hidden="false" customHeight="false" outlineLevel="0" collapsed="false">
      <c r="A6271" s="0" t="s">
        <v>12</v>
      </c>
      <c r="B6271" s="0" t="n">
        <v>1743296</v>
      </c>
      <c r="C6271" s="0" t="n">
        <v>1743316</v>
      </c>
      <c r="D6271" s="0" t="s">
        <v>20981</v>
      </c>
      <c r="E6271" s="0" t="s">
        <v>89</v>
      </c>
      <c r="F6271" s="0" t="s">
        <v>90</v>
      </c>
      <c r="G6271" s="0" t="s">
        <v>26</v>
      </c>
      <c r="H6271" s="0" t="n">
        <v>26</v>
      </c>
      <c r="I6271" s="0" t="s">
        <v>20982</v>
      </c>
      <c r="J6271" s="0" t="s">
        <v>20983</v>
      </c>
      <c r="K6271" s="0" t="s">
        <v>20984</v>
      </c>
      <c r="L6271" s="0" t="str">
        <f aca="false">HYPERLINK("https://www.ncbi.nlm.nih.gov/nuccore/CP000304.1?report=graph&amp;tracks=[key:gene_model_track,Options:GeneOnly]&amp;mk=1743297:1743316|offset_26|00cc00,1743275:1743294|offset_48|444444,1743193:1743212|offset_130|444444,1743165:1743184|offset_158|444444&amp;v=1743096:1743384&amp;c=444444", "offset 26")</f>
        <v>offset 26</v>
      </c>
    </row>
    <row r="6272" customFormat="false" ht="12.8" hidden="false" customHeight="false" outlineLevel="0" collapsed="false">
      <c r="A6272" s="0" t="s">
        <v>12</v>
      </c>
      <c r="B6272" s="0" t="n">
        <v>1743274</v>
      </c>
      <c r="C6272" s="0" t="n">
        <v>1743294</v>
      </c>
      <c r="D6272" s="0" t="s">
        <v>20981</v>
      </c>
      <c r="E6272" s="0" t="s">
        <v>89</v>
      </c>
      <c r="F6272" s="0" t="s">
        <v>90</v>
      </c>
      <c r="G6272" s="0" t="s">
        <v>36</v>
      </c>
      <c r="H6272" s="0" t="n">
        <v>48</v>
      </c>
      <c r="I6272" s="0" t="s">
        <v>20985</v>
      </c>
      <c r="J6272" s="0" t="s">
        <v>20986</v>
      </c>
      <c r="K6272" s="0" t="s">
        <v>20987</v>
      </c>
      <c r="L6272" s="0" t="str">
        <f aca="false">HYPERLINK("https://www.ncbi.nlm.nih.gov/nuccore/CP000304.1?report=graph&amp;tracks=[key:gene_model_track,Options:GeneOnly]&amp;mk=1743297:1743316|offset_26|444444,1743275:1743294|offset_48|00cc00,1743193:1743212|offset_130|444444,1743165:1743184|offset_158|444444&amp;v=1743096:1743384&amp;c=444444", "offset 48")</f>
        <v>offset 48</v>
      </c>
    </row>
    <row r="6273" customFormat="false" ht="12.8" hidden="false" customHeight="false" outlineLevel="0" collapsed="false">
      <c r="A6273" s="0" t="s">
        <v>12</v>
      </c>
      <c r="B6273" s="0" t="n">
        <v>1743192</v>
      </c>
      <c r="C6273" s="0" t="n">
        <v>1743212</v>
      </c>
      <c r="D6273" s="0" t="s">
        <v>20981</v>
      </c>
      <c r="E6273" s="0" t="s">
        <v>89</v>
      </c>
      <c r="F6273" s="0" t="s">
        <v>90</v>
      </c>
      <c r="G6273" s="0" t="s">
        <v>16</v>
      </c>
      <c r="H6273" s="0" t="n">
        <v>130</v>
      </c>
      <c r="I6273" s="0" t="s">
        <v>20988</v>
      </c>
      <c r="J6273" s="0" t="s">
        <v>20989</v>
      </c>
      <c r="K6273" s="0" t="s">
        <v>20990</v>
      </c>
      <c r="L6273" s="0" t="str">
        <f aca="false">HYPERLINK("https://www.ncbi.nlm.nih.gov/nuccore/CP000304.1?report=graph&amp;tracks=[key:gene_model_track,Options:GeneOnly]&amp;mk=1743297:1743316|offset_26|444444,1743275:1743294|offset_48|444444,1743193:1743212|offset_130|00cc00,1743165:1743184|offset_158|444444&amp;v=1743096:1743384&amp;c=444444", "offset 130")</f>
        <v>offset 130</v>
      </c>
    </row>
    <row r="6274" customFormat="false" ht="12.8" hidden="false" customHeight="false" outlineLevel="0" collapsed="false">
      <c r="A6274" s="0" t="s">
        <v>12</v>
      </c>
      <c r="B6274" s="0" t="n">
        <v>1743164</v>
      </c>
      <c r="C6274" s="0" t="n">
        <v>1743184</v>
      </c>
      <c r="D6274" s="0" t="s">
        <v>20981</v>
      </c>
      <c r="E6274" s="0" t="s">
        <v>89</v>
      </c>
      <c r="F6274" s="0" t="s">
        <v>90</v>
      </c>
      <c r="G6274" s="0" t="s">
        <v>32</v>
      </c>
      <c r="H6274" s="0" t="n">
        <v>158</v>
      </c>
      <c r="I6274" s="0" t="s">
        <v>20991</v>
      </c>
      <c r="J6274" s="0" t="s">
        <v>20992</v>
      </c>
      <c r="K6274" s="0" t="s">
        <v>20993</v>
      </c>
      <c r="L6274" s="0" t="str">
        <f aca="false">HYPERLINK("https://www.ncbi.nlm.nih.gov/nuccore/CP000304.1?report=graph&amp;tracks=[key:gene_model_track,Options:GeneOnly]&amp;mk=1743297:1743316|offset_26|444444,1743275:1743294|offset_48|444444,1743193:1743212|offset_130|444444,1743165:1743184|offset_158|00cc00&amp;v=1743096:1743384&amp;c=444444", "offset 158")</f>
        <v>offset 158</v>
      </c>
    </row>
    <row r="6275" customFormat="false" ht="12.8" hidden="false" customHeight="false" outlineLevel="0" collapsed="false">
      <c r="A6275" s="0" t="s">
        <v>12</v>
      </c>
      <c r="B6275" s="0" t="n">
        <v>1743705</v>
      </c>
      <c r="C6275" s="0" t="n">
        <v>1743725</v>
      </c>
      <c r="D6275" s="0" t="s">
        <v>20994</v>
      </c>
      <c r="E6275" s="0" t="s">
        <v>20995</v>
      </c>
      <c r="F6275" s="0" t="s">
        <v>15</v>
      </c>
      <c r="G6275" s="0" t="s">
        <v>16</v>
      </c>
      <c r="H6275" s="0" t="n">
        <v>10</v>
      </c>
      <c r="I6275" s="0" t="s">
        <v>20996</v>
      </c>
      <c r="J6275" s="0" t="s">
        <v>20997</v>
      </c>
      <c r="K6275" s="0" t="s">
        <v>20998</v>
      </c>
      <c r="L6275" s="0" t="str">
        <f aca="false">HYPERLINK("https://www.ncbi.nlm.nih.gov/nuccore/CP000304.1?report=graph&amp;tracks=[key:gene_model_track,Options:GeneOnly]&amp;mk=1743706:1743725|offset_10|00cc00,1743737:1743756|offset_41|444444,1743762:1743781|offset_66|444444,1743795:1743814|offset_99|444444&amp;v=1743505:1744014&amp;c=444444", "offset 10")</f>
        <v>offset 10</v>
      </c>
    </row>
    <row r="6276" customFormat="false" ht="12.8" hidden="false" customHeight="false" outlineLevel="0" collapsed="false">
      <c r="A6276" s="0" t="s">
        <v>12</v>
      </c>
      <c r="B6276" s="0" t="n">
        <v>1743736</v>
      </c>
      <c r="C6276" s="0" t="n">
        <v>1743756</v>
      </c>
      <c r="D6276" s="0" t="s">
        <v>20994</v>
      </c>
      <c r="E6276" s="0" t="s">
        <v>20995</v>
      </c>
      <c r="F6276" s="0" t="s">
        <v>15</v>
      </c>
      <c r="G6276" s="0" t="s">
        <v>36</v>
      </c>
      <c r="H6276" s="0" t="n">
        <v>41</v>
      </c>
      <c r="I6276" s="0" t="s">
        <v>20999</v>
      </c>
      <c r="J6276" s="0" t="s">
        <v>21000</v>
      </c>
      <c r="K6276" s="0" t="s">
        <v>21001</v>
      </c>
      <c r="L6276" s="0" t="str">
        <f aca="false">HYPERLINK("https://www.ncbi.nlm.nih.gov/nuccore/CP000304.1?report=graph&amp;tracks=[key:gene_model_track,Options:GeneOnly]&amp;mk=1743706:1743725|offset_10|444444,1743737:1743756|offset_41|00cc00,1743762:1743781|offset_66|444444,1743795:1743814|offset_99|444444&amp;v=1743505:1744014&amp;c=444444", "offset 41")</f>
        <v>offset 41</v>
      </c>
    </row>
    <row r="6277" customFormat="false" ht="12.8" hidden="false" customHeight="false" outlineLevel="0" collapsed="false">
      <c r="A6277" s="0" t="s">
        <v>12</v>
      </c>
      <c r="B6277" s="0" t="n">
        <v>1743761</v>
      </c>
      <c r="C6277" s="0" t="n">
        <v>1743781</v>
      </c>
      <c r="D6277" s="0" t="s">
        <v>20994</v>
      </c>
      <c r="E6277" s="0" t="s">
        <v>20995</v>
      </c>
      <c r="F6277" s="0" t="s">
        <v>15</v>
      </c>
      <c r="G6277" s="0" t="s">
        <v>16</v>
      </c>
      <c r="H6277" s="0" t="n">
        <v>66</v>
      </c>
      <c r="I6277" s="0" t="s">
        <v>21002</v>
      </c>
      <c r="J6277" s="0" t="s">
        <v>21003</v>
      </c>
      <c r="K6277" s="0" t="s">
        <v>21004</v>
      </c>
      <c r="L6277" s="0" t="str">
        <f aca="false">HYPERLINK("https://www.ncbi.nlm.nih.gov/nuccore/CP000304.1?report=graph&amp;tracks=[key:gene_model_track,Options:GeneOnly]&amp;mk=1743706:1743725|offset_10|444444,1743737:1743756|offset_41|444444,1743762:1743781|offset_66|00cc00,1743795:1743814|offset_99|444444&amp;v=1743505:1744014&amp;c=444444", "offset 66")</f>
        <v>offset 66</v>
      </c>
    </row>
    <row r="6278" customFormat="false" ht="12.8" hidden="false" customHeight="false" outlineLevel="0" collapsed="false">
      <c r="A6278" s="0" t="s">
        <v>12</v>
      </c>
      <c r="B6278" s="0" t="n">
        <v>1743794</v>
      </c>
      <c r="C6278" s="0" t="n">
        <v>1743814</v>
      </c>
      <c r="D6278" s="0" t="s">
        <v>20994</v>
      </c>
      <c r="E6278" s="0" t="s">
        <v>20995</v>
      </c>
      <c r="F6278" s="0" t="s">
        <v>15</v>
      </c>
      <c r="G6278" s="0" t="s">
        <v>26</v>
      </c>
      <c r="H6278" s="0" t="n">
        <v>99</v>
      </c>
      <c r="I6278" s="0" t="s">
        <v>21005</v>
      </c>
      <c r="J6278" s="0" t="s">
        <v>21006</v>
      </c>
      <c r="K6278" s="0" t="s">
        <v>21007</v>
      </c>
      <c r="L6278" s="0" t="str">
        <f aca="false">HYPERLINK("https://www.ncbi.nlm.nih.gov/nuccore/CP000304.1?report=graph&amp;tracks=[key:gene_model_track,Options:GeneOnly]&amp;mk=1743706:1743725|offset_10|444444,1743737:1743756|offset_41|444444,1743762:1743781|offset_66|444444,1743795:1743814|offset_99|00cc00&amp;v=1743505:1744014&amp;c=444444", "offset 99")</f>
        <v>offset 99</v>
      </c>
    </row>
    <row r="6279" customFormat="false" ht="12.8" hidden="false" customHeight="false" outlineLevel="0" collapsed="false">
      <c r="A6279" s="0" t="s">
        <v>12</v>
      </c>
      <c r="B6279" s="0" t="n">
        <v>1746074</v>
      </c>
      <c r="C6279" s="0" t="n">
        <v>1746094</v>
      </c>
      <c r="D6279" s="0" t="s">
        <v>21008</v>
      </c>
      <c r="E6279" s="0" t="s">
        <v>89</v>
      </c>
      <c r="F6279" s="0" t="s">
        <v>15</v>
      </c>
      <c r="G6279" s="0" t="s">
        <v>36</v>
      </c>
      <c r="H6279" s="0" t="n">
        <v>6</v>
      </c>
      <c r="I6279" s="0" t="s">
        <v>21009</v>
      </c>
      <c r="J6279" s="0" t="s">
        <v>21010</v>
      </c>
      <c r="K6279" s="0" t="s">
        <v>21011</v>
      </c>
      <c r="L6279" s="0" t="str">
        <f aca="false">HYPERLINK("https://www.ncbi.nlm.nih.gov/nuccore/CP000304.1?report=graph&amp;tracks=[key:gene_model_track,Options:GeneOnly]&amp;mk=1746075:1746094|offset_6|00cc00,1746098:1746117|offset_29|444444,1746127:1746146|offset_58|444444,1746161:1746180|offset_92|444444&amp;v=1745874:1746380&amp;c=444444", "offset 6")</f>
        <v>offset 6</v>
      </c>
    </row>
    <row r="6280" customFormat="false" ht="12.8" hidden="false" customHeight="false" outlineLevel="0" collapsed="false">
      <c r="A6280" s="0" t="s">
        <v>12</v>
      </c>
      <c r="B6280" s="0" t="n">
        <v>1746097</v>
      </c>
      <c r="C6280" s="0" t="n">
        <v>1746117</v>
      </c>
      <c r="D6280" s="0" t="s">
        <v>21008</v>
      </c>
      <c r="E6280" s="0" t="s">
        <v>89</v>
      </c>
      <c r="F6280" s="0" t="s">
        <v>15</v>
      </c>
      <c r="G6280" s="0" t="s">
        <v>26</v>
      </c>
      <c r="H6280" s="0" t="n">
        <v>29</v>
      </c>
      <c r="I6280" s="0" t="s">
        <v>21012</v>
      </c>
      <c r="J6280" s="0" t="s">
        <v>21013</v>
      </c>
      <c r="K6280" s="0" t="s">
        <v>21014</v>
      </c>
      <c r="L6280" s="0" t="str">
        <f aca="false">HYPERLINK("https://www.ncbi.nlm.nih.gov/nuccore/CP000304.1?report=graph&amp;tracks=[key:gene_model_track,Options:GeneOnly]&amp;mk=1746075:1746094|offset_6|444444,1746098:1746117|offset_29|00cc00,1746127:1746146|offset_58|444444,1746161:1746180|offset_92|444444&amp;v=1745874:1746380&amp;c=444444", "offset 29")</f>
        <v>offset 29</v>
      </c>
    </row>
    <row r="6281" customFormat="false" ht="12.8" hidden="false" customHeight="false" outlineLevel="0" collapsed="false">
      <c r="A6281" s="0" t="s">
        <v>12</v>
      </c>
      <c r="B6281" s="0" t="n">
        <v>1746126</v>
      </c>
      <c r="C6281" s="0" t="n">
        <v>1746146</v>
      </c>
      <c r="D6281" s="0" t="s">
        <v>21008</v>
      </c>
      <c r="E6281" s="0" t="s">
        <v>89</v>
      </c>
      <c r="F6281" s="0" t="s">
        <v>15</v>
      </c>
      <c r="G6281" s="0" t="s">
        <v>16</v>
      </c>
      <c r="H6281" s="0" t="n">
        <v>58</v>
      </c>
      <c r="I6281" s="0" t="s">
        <v>21015</v>
      </c>
      <c r="J6281" s="0" t="s">
        <v>21016</v>
      </c>
      <c r="K6281" s="0" t="s">
        <v>21017</v>
      </c>
      <c r="L6281" s="0" t="str">
        <f aca="false">HYPERLINK("https://www.ncbi.nlm.nih.gov/nuccore/CP000304.1?report=graph&amp;tracks=[key:gene_model_track,Options:GeneOnly]&amp;mk=1746075:1746094|offset_6|444444,1746098:1746117|offset_29|444444,1746127:1746146|offset_58|00cc00,1746161:1746180|offset_92|444444&amp;v=1745874:1746380&amp;c=444444", "offset 58")</f>
        <v>offset 58</v>
      </c>
    </row>
    <row r="6282" customFormat="false" ht="12.8" hidden="false" customHeight="false" outlineLevel="0" collapsed="false">
      <c r="A6282" s="0" t="s">
        <v>12</v>
      </c>
      <c r="B6282" s="0" t="n">
        <v>1746160</v>
      </c>
      <c r="C6282" s="0" t="n">
        <v>1746180</v>
      </c>
      <c r="D6282" s="0" t="s">
        <v>21008</v>
      </c>
      <c r="E6282" s="0" t="s">
        <v>89</v>
      </c>
      <c r="F6282" s="0" t="s">
        <v>15</v>
      </c>
      <c r="G6282" s="0" t="s">
        <v>32</v>
      </c>
      <c r="H6282" s="0" t="n">
        <v>92</v>
      </c>
      <c r="I6282" s="0" t="s">
        <v>21018</v>
      </c>
      <c r="J6282" s="0" t="s">
        <v>21019</v>
      </c>
      <c r="K6282" s="0" t="s">
        <v>21020</v>
      </c>
      <c r="L6282" s="0" t="str">
        <f aca="false">HYPERLINK("https://www.ncbi.nlm.nih.gov/nuccore/CP000304.1?report=graph&amp;tracks=[key:gene_model_track,Options:GeneOnly]&amp;mk=1746075:1746094|offset_6|444444,1746098:1746117|offset_29|444444,1746127:1746146|offset_58|444444,1746161:1746180|offset_92|00cc00&amp;v=1745874:1746380&amp;c=444444", "offset 92")</f>
        <v>offset 92</v>
      </c>
    </row>
    <row r="6283" customFormat="false" ht="12.8" hidden="false" customHeight="false" outlineLevel="0" collapsed="false">
      <c r="A6283" s="0" t="s">
        <v>12</v>
      </c>
      <c r="B6283" s="0" t="n">
        <v>1747511</v>
      </c>
      <c r="C6283" s="0" t="n">
        <v>1747531</v>
      </c>
      <c r="D6283" s="0" t="s">
        <v>21021</v>
      </c>
      <c r="E6283" s="0" t="s">
        <v>89</v>
      </c>
      <c r="F6283" s="0" t="s">
        <v>90</v>
      </c>
      <c r="G6283" s="0" t="s">
        <v>32</v>
      </c>
      <c r="H6283" s="0" t="n">
        <v>1</v>
      </c>
      <c r="I6283" s="0" t="s">
        <v>21022</v>
      </c>
      <c r="J6283" s="0" t="s">
        <v>21023</v>
      </c>
      <c r="K6283" s="0" t="s">
        <v>21024</v>
      </c>
      <c r="L6283" s="0" t="str">
        <f aca="false">HYPERLINK("https://www.ncbi.nlm.nih.gov/nuccore/CP000304.1?report=graph&amp;tracks=[key:gene_model_track,Options:GeneOnly]&amp;mk=1747512:1747531|offset_1|00cc00,1747485:1747504|offset_28|444444,1747416:1747435|offset_97|444444,1747394:1747413|offset_119|444444&amp;v=1747311:1747613&amp;c=444444", "offset 1")</f>
        <v>offset 1</v>
      </c>
    </row>
    <row r="6284" customFormat="false" ht="12.8" hidden="false" customHeight="false" outlineLevel="0" collapsed="false">
      <c r="A6284" s="0" t="s">
        <v>12</v>
      </c>
      <c r="B6284" s="0" t="n">
        <v>1747484</v>
      </c>
      <c r="C6284" s="0" t="n">
        <v>1747504</v>
      </c>
      <c r="D6284" s="0" t="s">
        <v>21021</v>
      </c>
      <c r="E6284" s="0" t="s">
        <v>89</v>
      </c>
      <c r="F6284" s="0" t="s">
        <v>90</v>
      </c>
      <c r="G6284" s="0" t="s">
        <v>36</v>
      </c>
      <c r="H6284" s="0" t="n">
        <v>28</v>
      </c>
      <c r="I6284" s="0" t="s">
        <v>21025</v>
      </c>
      <c r="J6284" s="0" t="s">
        <v>21026</v>
      </c>
      <c r="K6284" s="0" t="s">
        <v>21027</v>
      </c>
      <c r="L6284" s="0" t="str">
        <f aca="false">HYPERLINK("https://www.ncbi.nlm.nih.gov/nuccore/CP000304.1?report=graph&amp;tracks=[key:gene_model_track,Options:GeneOnly]&amp;mk=1747512:1747531|offset_1|444444,1747485:1747504|offset_28|00cc00,1747416:1747435|offset_97|444444,1747394:1747413|offset_119|444444&amp;v=1747311:1747613&amp;c=444444", "offset 28")</f>
        <v>offset 28</v>
      </c>
    </row>
    <row r="6285" customFormat="false" ht="12.8" hidden="false" customHeight="false" outlineLevel="0" collapsed="false">
      <c r="A6285" s="0" t="s">
        <v>12</v>
      </c>
      <c r="B6285" s="0" t="n">
        <v>1747415</v>
      </c>
      <c r="C6285" s="0" t="n">
        <v>1747435</v>
      </c>
      <c r="D6285" s="0" t="s">
        <v>21021</v>
      </c>
      <c r="E6285" s="0" t="s">
        <v>89</v>
      </c>
      <c r="F6285" s="0" t="s">
        <v>90</v>
      </c>
      <c r="G6285" s="0" t="s">
        <v>16</v>
      </c>
      <c r="H6285" s="0" t="n">
        <v>97</v>
      </c>
      <c r="I6285" s="0" t="s">
        <v>21028</v>
      </c>
      <c r="J6285" s="0" t="s">
        <v>21029</v>
      </c>
      <c r="K6285" s="0" t="s">
        <v>21030</v>
      </c>
      <c r="L6285" s="0" t="str">
        <f aca="false">HYPERLINK("https://www.ncbi.nlm.nih.gov/nuccore/CP000304.1?report=graph&amp;tracks=[key:gene_model_track,Options:GeneOnly]&amp;mk=1747512:1747531|offset_1|444444,1747485:1747504|offset_28|444444,1747416:1747435|offset_97|00cc00,1747394:1747413|offset_119|444444&amp;v=1747311:1747613&amp;c=444444", "offset 97")</f>
        <v>offset 97</v>
      </c>
    </row>
    <row r="6286" customFormat="false" ht="12.8" hidden="false" customHeight="false" outlineLevel="0" collapsed="false">
      <c r="A6286" s="0" t="s">
        <v>12</v>
      </c>
      <c r="B6286" s="0" t="n">
        <v>1747393</v>
      </c>
      <c r="C6286" s="0" t="n">
        <v>1747413</v>
      </c>
      <c r="D6286" s="0" t="s">
        <v>21021</v>
      </c>
      <c r="E6286" s="0" t="s">
        <v>89</v>
      </c>
      <c r="F6286" s="0" t="s">
        <v>90</v>
      </c>
      <c r="G6286" s="0" t="s">
        <v>26</v>
      </c>
      <c r="H6286" s="0" t="n">
        <v>119</v>
      </c>
      <c r="I6286" s="0" t="s">
        <v>21031</v>
      </c>
      <c r="J6286" s="0" t="s">
        <v>21032</v>
      </c>
      <c r="K6286" s="0" t="s">
        <v>21033</v>
      </c>
      <c r="L6286" s="0" t="str">
        <f aca="false">HYPERLINK("https://www.ncbi.nlm.nih.gov/nuccore/CP000304.1?report=graph&amp;tracks=[key:gene_model_track,Options:GeneOnly]&amp;mk=1747512:1747531|offset_1|444444,1747485:1747504|offset_28|444444,1747416:1747435|offset_97|444444,1747394:1747413|offset_119|00cc00&amp;v=1747311:1747613&amp;c=444444", "offset 119")</f>
        <v>offset 119</v>
      </c>
    </row>
    <row r="6287" customFormat="false" ht="12.8" hidden="false" customHeight="false" outlineLevel="0" collapsed="false">
      <c r="A6287" s="0" t="s">
        <v>12</v>
      </c>
      <c r="B6287" s="0" t="n">
        <v>1748703</v>
      </c>
      <c r="C6287" s="0" t="n">
        <v>1748723</v>
      </c>
      <c r="D6287" s="0" t="s">
        <v>21034</v>
      </c>
      <c r="E6287" s="0" t="s">
        <v>89</v>
      </c>
      <c r="F6287" s="0" t="s">
        <v>15</v>
      </c>
      <c r="G6287" s="0" t="s">
        <v>16</v>
      </c>
      <c r="H6287" s="0" t="n">
        <v>24</v>
      </c>
      <c r="I6287" s="0" t="s">
        <v>21035</v>
      </c>
      <c r="J6287" s="0" t="s">
        <v>21036</v>
      </c>
      <c r="K6287" s="0" t="s">
        <v>21037</v>
      </c>
      <c r="L6287" s="0" t="str">
        <f aca="false">HYPERLINK("https://www.ncbi.nlm.nih.gov/nuccore/CP000304.1?report=graph&amp;tracks=[key:gene_model_track,Options:GeneOnly]&amp;mk=1748704:1748723|offset_24|00cc00,1748727:1748746|offset_47|444444,1748762:1748781|offset_82|444444,1748793:1748812|offset_113|444444&amp;v=1748503:1749012&amp;c=444444", "offset 24")</f>
        <v>offset 24</v>
      </c>
    </row>
    <row r="6288" customFormat="false" ht="12.8" hidden="false" customHeight="false" outlineLevel="0" collapsed="false">
      <c r="A6288" s="0" t="s">
        <v>12</v>
      </c>
      <c r="B6288" s="0" t="n">
        <v>1748726</v>
      </c>
      <c r="C6288" s="0" t="n">
        <v>1748746</v>
      </c>
      <c r="D6288" s="0" t="s">
        <v>21034</v>
      </c>
      <c r="E6288" s="0" t="s">
        <v>89</v>
      </c>
      <c r="F6288" s="0" t="s">
        <v>15</v>
      </c>
      <c r="G6288" s="0" t="s">
        <v>26</v>
      </c>
      <c r="H6288" s="0" t="n">
        <v>47</v>
      </c>
      <c r="I6288" s="0" t="s">
        <v>21038</v>
      </c>
      <c r="J6288" s="0" t="s">
        <v>21039</v>
      </c>
      <c r="K6288" s="0" t="s">
        <v>21040</v>
      </c>
      <c r="L6288" s="0" t="str">
        <f aca="false">HYPERLINK("https://www.ncbi.nlm.nih.gov/nuccore/CP000304.1?report=graph&amp;tracks=[key:gene_model_track,Options:GeneOnly]&amp;mk=1748704:1748723|offset_24|444444,1748727:1748746|offset_47|00cc00,1748762:1748781|offset_82|444444,1748793:1748812|offset_113|444444&amp;v=1748503:1749012&amp;c=444444", "offset 47")</f>
        <v>offset 47</v>
      </c>
    </row>
    <row r="6289" customFormat="false" ht="12.8" hidden="false" customHeight="false" outlineLevel="0" collapsed="false">
      <c r="A6289" s="0" t="s">
        <v>12</v>
      </c>
      <c r="B6289" s="0" t="n">
        <v>1748761</v>
      </c>
      <c r="C6289" s="0" t="n">
        <v>1748781</v>
      </c>
      <c r="D6289" s="0" t="s">
        <v>21034</v>
      </c>
      <c r="E6289" s="0" t="s">
        <v>89</v>
      </c>
      <c r="F6289" s="0" t="s">
        <v>15</v>
      </c>
      <c r="G6289" s="0" t="s">
        <v>26</v>
      </c>
      <c r="H6289" s="0" t="n">
        <v>82</v>
      </c>
      <c r="I6289" s="0" t="s">
        <v>21041</v>
      </c>
      <c r="J6289" s="0" t="s">
        <v>21042</v>
      </c>
      <c r="K6289" s="0" t="s">
        <v>21043</v>
      </c>
      <c r="L6289" s="0" t="str">
        <f aca="false">HYPERLINK("https://www.ncbi.nlm.nih.gov/nuccore/CP000304.1?report=graph&amp;tracks=[key:gene_model_track,Options:GeneOnly]&amp;mk=1748704:1748723|offset_24|444444,1748727:1748746|offset_47|444444,1748762:1748781|offset_82|00cc00,1748793:1748812|offset_113|444444&amp;v=1748503:1749012&amp;c=444444", "offset 82")</f>
        <v>offset 82</v>
      </c>
    </row>
    <row r="6290" customFormat="false" ht="12.8" hidden="false" customHeight="false" outlineLevel="0" collapsed="false">
      <c r="A6290" s="0" t="s">
        <v>12</v>
      </c>
      <c r="B6290" s="0" t="n">
        <v>1748792</v>
      </c>
      <c r="C6290" s="0" t="n">
        <v>1748812</v>
      </c>
      <c r="D6290" s="0" t="s">
        <v>21034</v>
      </c>
      <c r="E6290" s="0" t="s">
        <v>89</v>
      </c>
      <c r="F6290" s="0" t="s">
        <v>15</v>
      </c>
      <c r="G6290" s="0" t="s">
        <v>26</v>
      </c>
      <c r="H6290" s="0" t="n">
        <v>113</v>
      </c>
      <c r="I6290" s="0" t="s">
        <v>21044</v>
      </c>
      <c r="J6290" s="0" t="s">
        <v>21045</v>
      </c>
      <c r="K6290" s="0" t="s">
        <v>21046</v>
      </c>
      <c r="L6290" s="0" t="str">
        <f aca="false">HYPERLINK("https://www.ncbi.nlm.nih.gov/nuccore/CP000304.1?report=graph&amp;tracks=[key:gene_model_track,Options:GeneOnly]&amp;mk=1748704:1748723|offset_24|444444,1748727:1748746|offset_47|444444,1748762:1748781|offset_82|444444,1748793:1748812|offset_113|00cc00&amp;v=1748503:1749012&amp;c=444444", "offset 113")</f>
        <v>offset 113</v>
      </c>
    </row>
    <row r="6291" customFormat="false" ht="12.8" hidden="false" customHeight="false" outlineLevel="0" collapsed="false">
      <c r="A6291" s="0" t="s">
        <v>12</v>
      </c>
      <c r="B6291" s="0" t="n">
        <v>1750431</v>
      </c>
      <c r="C6291" s="0" t="n">
        <v>1750451</v>
      </c>
      <c r="D6291" s="0" t="s">
        <v>21047</v>
      </c>
      <c r="E6291" s="0" t="s">
        <v>89</v>
      </c>
      <c r="F6291" s="0" t="s">
        <v>90</v>
      </c>
      <c r="G6291" s="0" t="s">
        <v>36</v>
      </c>
      <c r="H6291" s="0" t="n">
        <v>7</v>
      </c>
      <c r="I6291" s="0" t="s">
        <v>21048</v>
      </c>
      <c r="J6291" s="0" t="s">
        <v>21049</v>
      </c>
      <c r="K6291" s="0" t="s">
        <v>21050</v>
      </c>
      <c r="L6291" s="0" t="str">
        <f aca="false">HYPERLINK("https://www.ncbi.nlm.nih.gov/nuccore/CP000304.1?report=graph&amp;tracks=[key:gene_model_track,Options:GeneOnly]&amp;mk=1750432:1750451|offset_7|00cc00,1750412:1750431|offset_27|444444,1750376:1750395|offset_63|444444,1750338:1750357|offset_101|444444&amp;v=1750231:1750557&amp;c=444444", "offset 7")</f>
        <v>offset 7</v>
      </c>
    </row>
    <row r="6292" customFormat="false" ht="12.8" hidden="false" customHeight="false" outlineLevel="0" collapsed="false">
      <c r="A6292" s="0" t="s">
        <v>12</v>
      </c>
      <c r="B6292" s="0" t="n">
        <v>1750411</v>
      </c>
      <c r="C6292" s="0" t="n">
        <v>1750431</v>
      </c>
      <c r="D6292" s="0" t="s">
        <v>21047</v>
      </c>
      <c r="E6292" s="0" t="s">
        <v>89</v>
      </c>
      <c r="F6292" s="0" t="s">
        <v>90</v>
      </c>
      <c r="G6292" s="0" t="s">
        <v>26</v>
      </c>
      <c r="H6292" s="0" t="n">
        <v>27</v>
      </c>
      <c r="I6292" s="0" t="s">
        <v>21051</v>
      </c>
      <c r="J6292" s="0" t="s">
        <v>21052</v>
      </c>
      <c r="K6292" s="0" t="s">
        <v>21053</v>
      </c>
      <c r="L6292" s="0" t="str">
        <f aca="false">HYPERLINK("https://www.ncbi.nlm.nih.gov/nuccore/CP000304.1?report=graph&amp;tracks=[key:gene_model_track,Options:GeneOnly]&amp;mk=1750432:1750451|offset_7|444444,1750412:1750431|offset_27|00cc00,1750376:1750395|offset_63|444444,1750338:1750357|offset_101|444444&amp;v=1750231:1750557&amp;c=444444", "offset 27")</f>
        <v>offset 27</v>
      </c>
    </row>
    <row r="6293" customFormat="false" ht="12.8" hidden="false" customHeight="false" outlineLevel="0" collapsed="false">
      <c r="A6293" s="0" t="s">
        <v>12</v>
      </c>
      <c r="B6293" s="0" t="n">
        <v>1750375</v>
      </c>
      <c r="C6293" s="0" t="n">
        <v>1750395</v>
      </c>
      <c r="D6293" s="0" t="s">
        <v>21047</v>
      </c>
      <c r="E6293" s="0" t="s">
        <v>89</v>
      </c>
      <c r="F6293" s="0" t="s">
        <v>90</v>
      </c>
      <c r="G6293" s="0" t="s">
        <v>36</v>
      </c>
      <c r="H6293" s="0" t="n">
        <v>63</v>
      </c>
      <c r="I6293" s="0" t="s">
        <v>21054</v>
      </c>
      <c r="J6293" s="0" t="s">
        <v>21055</v>
      </c>
      <c r="K6293" s="0" t="s">
        <v>21056</v>
      </c>
      <c r="L6293" s="0" t="str">
        <f aca="false">HYPERLINK("https://www.ncbi.nlm.nih.gov/nuccore/CP000304.1?report=graph&amp;tracks=[key:gene_model_track,Options:GeneOnly]&amp;mk=1750432:1750451|offset_7|444444,1750412:1750431|offset_27|444444,1750376:1750395|offset_63|00cc00,1750338:1750357|offset_101|444444&amp;v=1750231:1750557&amp;c=444444", "offset 63")</f>
        <v>offset 63</v>
      </c>
    </row>
    <row r="6294" customFormat="false" ht="12.8" hidden="false" customHeight="false" outlineLevel="0" collapsed="false">
      <c r="A6294" s="0" t="s">
        <v>12</v>
      </c>
      <c r="B6294" s="0" t="n">
        <v>1750337</v>
      </c>
      <c r="C6294" s="0" t="n">
        <v>1750357</v>
      </c>
      <c r="D6294" s="0" t="s">
        <v>21047</v>
      </c>
      <c r="E6294" s="0" t="s">
        <v>89</v>
      </c>
      <c r="F6294" s="0" t="s">
        <v>90</v>
      </c>
      <c r="G6294" s="0" t="s">
        <v>26</v>
      </c>
      <c r="H6294" s="0" t="n">
        <v>101</v>
      </c>
      <c r="I6294" s="0" t="s">
        <v>21057</v>
      </c>
      <c r="J6294" s="0" t="s">
        <v>21058</v>
      </c>
      <c r="K6294" s="0" t="s">
        <v>21059</v>
      </c>
      <c r="L6294" s="0" t="str">
        <f aca="false">HYPERLINK("https://www.ncbi.nlm.nih.gov/nuccore/CP000304.1?report=graph&amp;tracks=[key:gene_model_track,Options:GeneOnly]&amp;mk=1750432:1750451|offset_7|444444,1750412:1750431|offset_27|444444,1750376:1750395|offset_63|444444,1750338:1750357|offset_101|00cc00&amp;v=1750231:1750557&amp;c=444444", "offset 101")</f>
        <v>offset 101</v>
      </c>
    </row>
    <row r="6295" customFormat="false" ht="12.8" hidden="false" customHeight="false" outlineLevel="0" collapsed="false">
      <c r="A6295" s="0" t="s">
        <v>12</v>
      </c>
      <c r="B6295" s="0" t="n">
        <v>1751751</v>
      </c>
      <c r="C6295" s="0" t="n">
        <v>1751771</v>
      </c>
      <c r="D6295" s="0" t="s">
        <v>21060</v>
      </c>
      <c r="E6295" s="0" t="s">
        <v>89</v>
      </c>
      <c r="F6295" s="0" t="s">
        <v>90</v>
      </c>
      <c r="G6295" s="0" t="s">
        <v>26</v>
      </c>
      <c r="H6295" s="0" t="n">
        <v>23</v>
      </c>
      <c r="I6295" s="0" t="s">
        <v>21061</v>
      </c>
      <c r="J6295" s="0" t="s">
        <v>21062</v>
      </c>
      <c r="K6295" s="0" t="s">
        <v>21063</v>
      </c>
      <c r="L6295" s="0" t="str">
        <f aca="false">HYPERLINK("https://www.ncbi.nlm.nih.gov/nuccore/CP000304.1?report=graph&amp;tracks=[key:gene_model_track,Options:GeneOnly]&amp;mk=1751752:1751771|offset_23|00cc00,1751719:1751738|offset_56|444444,1751689:1751708|offset_86|444444,1751614:1751633|offset_161|444444&amp;v=1751551:1751833&amp;c=444444", "offset 23")</f>
        <v>offset 23</v>
      </c>
    </row>
    <row r="6296" customFormat="false" ht="12.8" hidden="false" customHeight="false" outlineLevel="0" collapsed="false">
      <c r="A6296" s="0" t="s">
        <v>12</v>
      </c>
      <c r="B6296" s="0" t="n">
        <v>1751718</v>
      </c>
      <c r="C6296" s="0" t="n">
        <v>1751738</v>
      </c>
      <c r="D6296" s="0" t="s">
        <v>21060</v>
      </c>
      <c r="E6296" s="0" t="s">
        <v>89</v>
      </c>
      <c r="F6296" s="0" t="s">
        <v>90</v>
      </c>
      <c r="G6296" s="0" t="s">
        <v>32</v>
      </c>
      <c r="H6296" s="0" t="n">
        <v>56</v>
      </c>
      <c r="I6296" s="0" t="s">
        <v>21064</v>
      </c>
      <c r="J6296" s="0" t="s">
        <v>21065</v>
      </c>
      <c r="K6296" s="0" t="s">
        <v>21066</v>
      </c>
      <c r="L6296" s="0" t="str">
        <f aca="false">HYPERLINK("https://www.ncbi.nlm.nih.gov/nuccore/CP000304.1?report=graph&amp;tracks=[key:gene_model_track,Options:GeneOnly]&amp;mk=1751752:1751771|offset_23|444444,1751719:1751738|offset_56|00cc00,1751689:1751708|offset_86|444444,1751614:1751633|offset_161|444444&amp;v=1751551:1751833&amp;c=444444", "offset 56")</f>
        <v>offset 56</v>
      </c>
    </row>
    <row r="6297" customFormat="false" ht="12.8" hidden="false" customHeight="false" outlineLevel="0" collapsed="false">
      <c r="A6297" s="0" t="s">
        <v>12</v>
      </c>
      <c r="B6297" s="0" t="n">
        <v>1751688</v>
      </c>
      <c r="C6297" s="0" t="n">
        <v>1751708</v>
      </c>
      <c r="D6297" s="0" t="s">
        <v>21060</v>
      </c>
      <c r="E6297" s="0" t="s">
        <v>89</v>
      </c>
      <c r="F6297" s="0" t="s">
        <v>90</v>
      </c>
      <c r="G6297" s="0" t="s">
        <v>26</v>
      </c>
      <c r="H6297" s="0" t="n">
        <v>86</v>
      </c>
      <c r="I6297" s="0" t="s">
        <v>21067</v>
      </c>
      <c r="J6297" s="0" t="s">
        <v>21068</v>
      </c>
      <c r="K6297" s="0" t="s">
        <v>21069</v>
      </c>
      <c r="L6297" s="0" t="str">
        <f aca="false">HYPERLINK("https://www.ncbi.nlm.nih.gov/nuccore/CP000304.1?report=graph&amp;tracks=[key:gene_model_track,Options:GeneOnly]&amp;mk=1751752:1751771|offset_23|444444,1751719:1751738|offset_56|444444,1751689:1751708|offset_86|00cc00,1751614:1751633|offset_161|444444&amp;v=1751551:1751833&amp;c=444444", "offset 86")</f>
        <v>offset 86</v>
      </c>
    </row>
    <row r="6298" customFormat="false" ht="12.8" hidden="false" customHeight="false" outlineLevel="0" collapsed="false">
      <c r="A6298" s="0" t="s">
        <v>12</v>
      </c>
      <c r="B6298" s="0" t="n">
        <v>1751613</v>
      </c>
      <c r="C6298" s="0" t="n">
        <v>1751633</v>
      </c>
      <c r="D6298" s="0" t="s">
        <v>21060</v>
      </c>
      <c r="E6298" s="0" t="s">
        <v>89</v>
      </c>
      <c r="F6298" s="0" t="s">
        <v>90</v>
      </c>
      <c r="G6298" s="0" t="s">
        <v>26</v>
      </c>
      <c r="H6298" s="0" t="n">
        <v>161</v>
      </c>
      <c r="I6298" s="0" t="s">
        <v>21070</v>
      </c>
      <c r="J6298" s="0" t="s">
        <v>21071</v>
      </c>
      <c r="K6298" s="0" t="s">
        <v>21072</v>
      </c>
      <c r="L6298" s="0" t="str">
        <f aca="false">HYPERLINK("https://www.ncbi.nlm.nih.gov/nuccore/CP000304.1?report=graph&amp;tracks=[key:gene_model_track,Options:GeneOnly]&amp;mk=1751752:1751771|offset_23|444444,1751719:1751738|offset_56|444444,1751689:1751708|offset_86|444444,1751614:1751633|offset_161|00cc00&amp;v=1751551:1751833&amp;c=444444", "offset 161")</f>
        <v>offset 161</v>
      </c>
    </row>
    <row r="6299" customFormat="false" ht="12.8" hidden="false" customHeight="false" outlineLevel="0" collapsed="false">
      <c r="A6299" s="0" t="s">
        <v>12</v>
      </c>
      <c r="B6299" s="0" t="n">
        <v>1752557</v>
      </c>
      <c r="C6299" s="0" t="n">
        <v>1752577</v>
      </c>
      <c r="D6299" s="0" t="s">
        <v>21073</v>
      </c>
      <c r="E6299" s="0" t="s">
        <v>89</v>
      </c>
      <c r="F6299" s="0" t="s">
        <v>90</v>
      </c>
      <c r="G6299" s="0" t="s">
        <v>32</v>
      </c>
      <c r="H6299" s="0" t="n">
        <v>46</v>
      </c>
      <c r="I6299" s="0" t="s">
        <v>21074</v>
      </c>
      <c r="J6299" s="0" t="s">
        <v>21075</v>
      </c>
      <c r="K6299" s="0" t="s">
        <v>21076</v>
      </c>
      <c r="L6299" s="0" t="str">
        <f aca="false">HYPERLINK("https://www.ncbi.nlm.nih.gov/nuccore/CP000304.1?report=graph&amp;tracks=[key:gene_model_track,Options:GeneOnly]&amp;mk=1752558:1752577|offset_46|00cc00,1752538:1752557|offset_66|444444,1752485:1752504|offset_119|444444,1752442:1752461|offset_162|444444&amp;v=1752357:1752661&amp;c=444444", "offset 46")</f>
        <v>offset 46</v>
      </c>
    </row>
    <row r="6300" customFormat="false" ht="12.8" hidden="false" customHeight="false" outlineLevel="0" collapsed="false">
      <c r="A6300" s="0" t="s">
        <v>12</v>
      </c>
      <c r="B6300" s="0" t="n">
        <v>1752537</v>
      </c>
      <c r="C6300" s="0" t="n">
        <v>1752557</v>
      </c>
      <c r="D6300" s="0" t="s">
        <v>21073</v>
      </c>
      <c r="E6300" s="0" t="s">
        <v>89</v>
      </c>
      <c r="F6300" s="0" t="s">
        <v>90</v>
      </c>
      <c r="G6300" s="0" t="s">
        <v>26</v>
      </c>
      <c r="H6300" s="0" t="n">
        <v>66</v>
      </c>
      <c r="I6300" s="0" t="s">
        <v>21077</v>
      </c>
      <c r="J6300" s="0" t="s">
        <v>21078</v>
      </c>
      <c r="K6300" s="0" t="s">
        <v>21079</v>
      </c>
      <c r="L6300" s="0" t="str">
        <f aca="false">HYPERLINK("https://www.ncbi.nlm.nih.gov/nuccore/CP000304.1?report=graph&amp;tracks=[key:gene_model_track,Options:GeneOnly]&amp;mk=1752558:1752577|offset_46|444444,1752538:1752557|offset_66|00cc00,1752485:1752504|offset_119|444444,1752442:1752461|offset_162|444444&amp;v=1752357:1752661&amp;c=444444", "offset 66")</f>
        <v>offset 66</v>
      </c>
    </row>
    <row r="6301" customFormat="false" ht="12.8" hidden="false" customHeight="false" outlineLevel="0" collapsed="false">
      <c r="A6301" s="0" t="s">
        <v>12</v>
      </c>
      <c r="B6301" s="0" t="n">
        <v>1752484</v>
      </c>
      <c r="C6301" s="0" t="n">
        <v>1752504</v>
      </c>
      <c r="D6301" s="0" t="s">
        <v>21073</v>
      </c>
      <c r="E6301" s="0" t="s">
        <v>89</v>
      </c>
      <c r="F6301" s="0" t="s">
        <v>90</v>
      </c>
      <c r="G6301" s="0" t="s">
        <v>36</v>
      </c>
      <c r="H6301" s="0" t="n">
        <v>119</v>
      </c>
      <c r="I6301" s="0" t="s">
        <v>21080</v>
      </c>
      <c r="J6301" s="0" t="s">
        <v>21081</v>
      </c>
      <c r="K6301" s="0" t="s">
        <v>21082</v>
      </c>
      <c r="L6301" s="0" t="str">
        <f aca="false">HYPERLINK("https://www.ncbi.nlm.nih.gov/nuccore/CP000304.1?report=graph&amp;tracks=[key:gene_model_track,Options:GeneOnly]&amp;mk=1752558:1752577|offset_46|444444,1752538:1752557|offset_66|444444,1752485:1752504|offset_119|00cc00,1752442:1752461|offset_162|444444&amp;v=1752357:1752661&amp;c=444444", "offset 119")</f>
        <v>offset 119</v>
      </c>
    </row>
    <row r="6302" customFormat="false" ht="12.8" hidden="false" customHeight="false" outlineLevel="0" collapsed="false">
      <c r="A6302" s="0" t="s">
        <v>12</v>
      </c>
      <c r="B6302" s="0" t="n">
        <v>1752441</v>
      </c>
      <c r="C6302" s="0" t="n">
        <v>1752461</v>
      </c>
      <c r="D6302" s="0" t="s">
        <v>21073</v>
      </c>
      <c r="E6302" s="0" t="s">
        <v>89</v>
      </c>
      <c r="F6302" s="0" t="s">
        <v>90</v>
      </c>
      <c r="G6302" s="0" t="s">
        <v>26</v>
      </c>
      <c r="H6302" s="0" t="n">
        <v>162</v>
      </c>
      <c r="I6302" s="0" t="s">
        <v>21083</v>
      </c>
      <c r="J6302" s="0" t="s">
        <v>21084</v>
      </c>
      <c r="K6302" s="0" t="s">
        <v>21085</v>
      </c>
      <c r="L6302" s="0" t="str">
        <f aca="false">HYPERLINK("https://www.ncbi.nlm.nih.gov/nuccore/CP000304.1?report=graph&amp;tracks=[key:gene_model_track,Options:GeneOnly]&amp;mk=1752558:1752577|offset_46|444444,1752538:1752557|offset_66|444444,1752485:1752504|offset_119|444444,1752442:1752461|offset_162|00cc00&amp;v=1752357:1752661&amp;c=444444", "offset 162")</f>
        <v>offset 162</v>
      </c>
    </row>
    <row r="6303" customFormat="false" ht="12.8" hidden="false" customHeight="false" outlineLevel="0" collapsed="false">
      <c r="A6303" s="0" t="s">
        <v>12</v>
      </c>
      <c r="B6303" s="0" t="n">
        <v>1753973</v>
      </c>
      <c r="C6303" s="0" t="n">
        <v>1753993</v>
      </c>
      <c r="D6303" s="0" t="s">
        <v>21086</v>
      </c>
      <c r="E6303" s="0" t="s">
        <v>21087</v>
      </c>
      <c r="F6303" s="0" t="s">
        <v>90</v>
      </c>
      <c r="G6303" s="0" t="s">
        <v>16</v>
      </c>
      <c r="H6303" s="0" t="n">
        <v>43</v>
      </c>
      <c r="I6303" s="0" t="s">
        <v>21088</v>
      </c>
      <c r="J6303" s="0" t="s">
        <v>21089</v>
      </c>
      <c r="K6303" s="0" t="s">
        <v>21090</v>
      </c>
      <c r="L6303" s="0" t="str">
        <f aca="false">HYPERLINK("https://www.ncbi.nlm.nih.gov/nuccore/CP000304.1?report=graph&amp;tracks=[key:gene_model_track,Options:GeneOnly]&amp;mk=1753974:1753993|offset_43|00cc00,1753953:1753972|offset_64|444444,1753929:1753948|offset_88|444444,1753908:1753927|offset_109|444444&amp;v=1753773:1754127&amp;c=444444", "offset 43")</f>
        <v>offset 43</v>
      </c>
    </row>
    <row r="6304" customFormat="false" ht="12.8" hidden="false" customHeight="false" outlineLevel="0" collapsed="false">
      <c r="A6304" s="0" t="s">
        <v>12</v>
      </c>
      <c r="B6304" s="0" t="n">
        <v>1753952</v>
      </c>
      <c r="C6304" s="0" t="n">
        <v>1753972</v>
      </c>
      <c r="D6304" s="0" t="s">
        <v>21086</v>
      </c>
      <c r="E6304" s="0" t="s">
        <v>21087</v>
      </c>
      <c r="F6304" s="0" t="s">
        <v>90</v>
      </c>
      <c r="G6304" s="0" t="s">
        <v>16</v>
      </c>
      <c r="H6304" s="0" t="n">
        <v>64</v>
      </c>
      <c r="I6304" s="0" t="s">
        <v>21091</v>
      </c>
      <c r="J6304" s="0" t="s">
        <v>21092</v>
      </c>
      <c r="K6304" s="0" t="s">
        <v>21093</v>
      </c>
      <c r="L6304" s="0" t="str">
        <f aca="false">HYPERLINK("https://www.ncbi.nlm.nih.gov/nuccore/CP000304.1?report=graph&amp;tracks=[key:gene_model_track,Options:GeneOnly]&amp;mk=1753974:1753993|offset_43|444444,1753953:1753972|offset_64|00cc00,1753929:1753948|offset_88|444444,1753908:1753927|offset_109|444444&amp;v=1753773:1754127&amp;c=444444", "offset 64")</f>
        <v>offset 64</v>
      </c>
    </row>
    <row r="6305" customFormat="false" ht="12.8" hidden="false" customHeight="false" outlineLevel="0" collapsed="false">
      <c r="A6305" s="0" t="s">
        <v>12</v>
      </c>
      <c r="B6305" s="0" t="n">
        <v>1753928</v>
      </c>
      <c r="C6305" s="0" t="n">
        <v>1753948</v>
      </c>
      <c r="D6305" s="0" t="s">
        <v>21086</v>
      </c>
      <c r="E6305" s="0" t="s">
        <v>21087</v>
      </c>
      <c r="F6305" s="0" t="s">
        <v>90</v>
      </c>
      <c r="G6305" s="0" t="s">
        <v>16</v>
      </c>
      <c r="H6305" s="0" t="n">
        <v>88</v>
      </c>
      <c r="I6305" s="0" t="s">
        <v>21094</v>
      </c>
      <c r="J6305" s="0" t="s">
        <v>21095</v>
      </c>
      <c r="K6305" s="0" t="s">
        <v>21096</v>
      </c>
      <c r="L6305" s="0" t="str">
        <f aca="false">HYPERLINK("https://www.ncbi.nlm.nih.gov/nuccore/CP000304.1?report=graph&amp;tracks=[key:gene_model_track,Options:GeneOnly]&amp;mk=1753974:1753993|offset_43|444444,1753953:1753972|offset_64|444444,1753929:1753948|offset_88|00cc00,1753908:1753927|offset_109|444444&amp;v=1753773:1754127&amp;c=444444", "offset 88")</f>
        <v>offset 88</v>
      </c>
    </row>
    <row r="6306" customFormat="false" ht="12.8" hidden="false" customHeight="false" outlineLevel="0" collapsed="false">
      <c r="A6306" s="0" t="s">
        <v>12</v>
      </c>
      <c r="B6306" s="0" t="n">
        <v>1753907</v>
      </c>
      <c r="C6306" s="0" t="n">
        <v>1753927</v>
      </c>
      <c r="D6306" s="0" t="s">
        <v>21086</v>
      </c>
      <c r="E6306" s="0" t="s">
        <v>21087</v>
      </c>
      <c r="F6306" s="0" t="s">
        <v>90</v>
      </c>
      <c r="G6306" s="0" t="s">
        <v>16</v>
      </c>
      <c r="H6306" s="0" t="n">
        <v>109</v>
      </c>
      <c r="I6306" s="0" t="s">
        <v>21097</v>
      </c>
      <c r="J6306" s="0" t="s">
        <v>21098</v>
      </c>
      <c r="K6306" s="0" t="s">
        <v>21099</v>
      </c>
      <c r="L6306" s="0" t="str">
        <f aca="false">HYPERLINK("https://www.ncbi.nlm.nih.gov/nuccore/CP000304.1?report=graph&amp;tracks=[key:gene_model_track,Options:GeneOnly]&amp;mk=1753974:1753993|offset_43|444444,1753953:1753972|offset_64|444444,1753929:1753948|offset_88|444444,1753908:1753927|offset_109|00cc00&amp;v=1753773:1754127&amp;c=444444", "offset 109")</f>
        <v>offset 109</v>
      </c>
    </row>
    <row r="6307" customFormat="false" ht="12.8" hidden="false" customHeight="false" outlineLevel="0" collapsed="false">
      <c r="A6307" s="0" t="s">
        <v>12</v>
      </c>
      <c r="B6307" s="0" t="n">
        <v>1757200</v>
      </c>
      <c r="C6307" s="0" t="n">
        <v>1757220</v>
      </c>
      <c r="D6307" s="0" t="s">
        <v>21100</v>
      </c>
      <c r="E6307" s="0" t="s">
        <v>21101</v>
      </c>
      <c r="F6307" s="0" t="s">
        <v>90</v>
      </c>
      <c r="G6307" s="0" t="s">
        <v>36</v>
      </c>
      <c r="H6307" s="0" t="n">
        <v>0</v>
      </c>
      <c r="I6307" s="0" t="s">
        <v>21102</v>
      </c>
      <c r="J6307" s="0" t="s">
        <v>21103</v>
      </c>
      <c r="K6307" s="0" t="s">
        <v>21104</v>
      </c>
      <c r="L6307" s="0" t="str">
        <f aca="false">HYPERLINK("https://www.ncbi.nlm.nih.gov/nuccore/CP000304.1?report=graph&amp;tracks=[key:gene_model_track,Options:GeneOnly]&amp;mk=1757201:1757220|offset_0|00cc00,1757172:1757191|offset_29|444444,1757137:1757156|offset_64|444444,1757098:1757117|offset_103|444444&amp;v=1757000:1757317&amp;c=444444", "offset 0")</f>
        <v>offset 0</v>
      </c>
    </row>
    <row r="6308" customFormat="false" ht="12.8" hidden="false" customHeight="false" outlineLevel="0" collapsed="false">
      <c r="A6308" s="0" t="s">
        <v>12</v>
      </c>
      <c r="B6308" s="0" t="n">
        <v>1757171</v>
      </c>
      <c r="C6308" s="0" t="n">
        <v>1757191</v>
      </c>
      <c r="D6308" s="0" t="s">
        <v>21100</v>
      </c>
      <c r="E6308" s="0" t="s">
        <v>21101</v>
      </c>
      <c r="F6308" s="0" t="s">
        <v>90</v>
      </c>
      <c r="G6308" s="0" t="s">
        <v>36</v>
      </c>
      <c r="H6308" s="0" t="n">
        <v>29</v>
      </c>
      <c r="I6308" s="0" t="s">
        <v>21105</v>
      </c>
      <c r="J6308" s="0" t="s">
        <v>21106</v>
      </c>
      <c r="K6308" s="0" t="s">
        <v>21107</v>
      </c>
      <c r="L6308" s="0" t="str">
        <f aca="false">HYPERLINK("https://www.ncbi.nlm.nih.gov/nuccore/CP000304.1?report=graph&amp;tracks=[key:gene_model_track,Options:GeneOnly]&amp;mk=1757201:1757220|offset_0|444444,1757172:1757191|offset_29|00cc00,1757137:1757156|offset_64|444444,1757098:1757117|offset_103|444444&amp;v=1757000:1757317&amp;c=444444", "offset 29")</f>
        <v>offset 29</v>
      </c>
    </row>
    <row r="6309" customFormat="false" ht="12.8" hidden="false" customHeight="false" outlineLevel="0" collapsed="false">
      <c r="A6309" s="0" t="s">
        <v>12</v>
      </c>
      <c r="B6309" s="0" t="n">
        <v>1757136</v>
      </c>
      <c r="C6309" s="0" t="n">
        <v>1757156</v>
      </c>
      <c r="D6309" s="0" t="s">
        <v>21100</v>
      </c>
      <c r="E6309" s="0" t="s">
        <v>21101</v>
      </c>
      <c r="F6309" s="0" t="s">
        <v>90</v>
      </c>
      <c r="G6309" s="0" t="s">
        <v>16</v>
      </c>
      <c r="H6309" s="0" t="n">
        <v>64</v>
      </c>
      <c r="I6309" s="0" t="s">
        <v>21108</v>
      </c>
      <c r="J6309" s="0" t="s">
        <v>21109</v>
      </c>
      <c r="K6309" s="0" t="s">
        <v>21110</v>
      </c>
      <c r="L6309" s="0" t="str">
        <f aca="false">HYPERLINK("https://www.ncbi.nlm.nih.gov/nuccore/CP000304.1?report=graph&amp;tracks=[key:gene_model_track,Options:GeneOnly]&amp;mk=1757201:1757220|offset_0|444444,1757172:1757191|offset_29|444444,1757137:1757156|offset_64|00cc00,1757098:1757117|offset_103|444444&amp;v=1757000:1757317&amp;c=444444", "offset 64")</f>
        <v>offset 64</v>
      </c>
    </row>
    <row r="6310" customFormat="false" ht="12.8" hidden="false" customHeight="false" outlineLevel="0" collapsed="false">
      <c r="A6310" s="0" t="s">
        <v>12</v>
      </c>
      <c r="B6310" s="0" t="n">
        <v>1757097</v>
      </c>
      <c r="C6310" s="0" t="n">
        <v>1757117</v>
      </c>
      <c r="D6310" s="0" t="s">
        <v>21100</v>
      </c>
      <c r="E6310" s="0" t="s">
        <v>21101</v>
      </c>
      <c r="F6310" s="0" t="s">
        <v>90</v>
      </c>
      <c r="G6310" s="0" t="s">
        <v>16</v>
      </c>
      <c r="H6310" s="0" t="n">
        <v>103</v>
      </c>
      <c r="I6310" s="0" t="s">
        <v>21111</v>
      </c>
      <c r="J6310" s="0" t="s">
        <v>21112</v>
      </c>
      <c r="K6310" s="0" t="s">
        <v>21113</v>
      </c>
      <c r="L6310" s="0" t="str">
        <f aca="false">HYPERLINK("https://www.ncbi.nlm.nih.gov/nuccore/CP000304.1?report=graph&amp;tracks=[key:gene_model_track,Options:GeneOnly]&amp;mk=1757201:1757220|offset_0|444444,1757172:1757191|offset_29|444444,1757137:1757156|offset_64|444444,1757098:1757117|offset_103|00cc00&amp;v=1757000:1757317&amp;c=444444", "offset 103")</f>
        <v>offset 103</v>
      </c>
    </row>
    <row r="6311" customFormat="false" ht="12.8" hidden="false" customHeight="false" outlineLevel="0" collapsed="false">
      <c r="A6311" s="0" t="s">
        <v>12</v>
      </c>
      <c r="B6311" s="0" t="n">
        <v>1757976</v>
      </c>
      <c r="C6311" s="0" t="n">
        <v>1757996</v>
      </c>
      <c r="D6311" s="0" t="s">
        <v>21114</v>
      </c>
      <c r="E6311" s="0" t="s">
        <v>89</v>
      </c>
      <c r="F6311" s="0" t="s">
        <v>15</v>
      </c>
      <c r="G6311" s="0" t="s">
        <v>16</v>
      </c>
      <c r="H6311" s="0" t="n">
        <v>55</v>
      </c>
      <c r="I6311" s="0" t="s">
        <v>21115</v>
      </c>
      <c r="J6311" s="0" t="s">
        <v>21116</v>
      </c>
      <c r="K6311" s="0" t="s">
        <v>21117</v>
      </c>
      <c r="L6311" s="0" t="str">
        <f aca="false">HYPERLINK("https://www.ncbi.nlm.nih.gov/nuccore/CP000304.1?report=graph&amp;tracks=[key:gene_model_track,Options:GeneOnly]&amp;mk=1757977:1757996|offset_55|00cc00,1758043:1758062|offset_121|444444,1758075:1758094|offset_153|444444,1758105:1758124|offset_183|444444&amp;v=1757776:1758324&amp;c=444444", "offset 55")</f>
        <v>offset 55</v>
      </c>
    </row>
    <row r="6312" customFormat="false" ht="12.8" hidden="false" customHeight="false" outlineLevel="0" collapsed="false">
      <c r="A6312" s="0" t="s">
        <v>12</v>
      </c>
      <c r="B6312" s="0" t="n">
        <v>1758042</v>
      </c>
      <c r="C6312" s="0" t="n">
        <v>1758062</v>
      </c>
      <c r="D6312" s="0" t="s">
        <v>21114</v>
      </c>
      <c r="E6312" s="0" t="s">
        <v>89</v>
      </c>
      <c r="F6312" s="0" t="s">
        <v>15</v>
      </c>
      <c r="G6312" s="0" t="s">
        <v>26</v>
      </c>
      <c r="H6312" s="0" t="n">
        <v>121</v>
      </c>
      <c r="I6312" s="0" t="s">
        <v>21118</v>
      </c>
      <c r="J6312" s="0" t="s">
        <v>21119</v>
      </c>
      <c r="K6312" s="0" t="s">
        <v>21120</v>
      </c>
      <c r="L6312" s="0" t="str">
        <f aca="false">HYPERLINK("https://www.ncbi.nlm.nih.gov/nuccore/CP000304.1?report=graph&amp;tracks=[key:gene_model_track,Options:GeneOnly]&amp;mk=1757977:1757996|offset_55|444444,1758043:1758062|offset_121|00cc00,1758075:1758094|offset_153|444444,1758105:1758124|offset_183|444444&amp;v=1757776:1758324&amp;c=444444", "offset 121")</f>
        <v>offset 121</v>
      </c>
    </row>
    <row r="6313" customFormat="false" ht="12.8" hidden="false" customHeight="false" outlineLevel="0" collapsed="false">
      <c r="A6313" s="0" t="s">
        <v>12</v>
      </c>
      <c r="B6313" s="0" t="n">
        <v>1758074</v>
      </c>
      <c r="C6313" s="0" t="n">
        <v>1758094</v>
      </c>
      <c r="D6313" s="0" t="s">
        <v>21114</v>
      </c>
      <c r="E6313" s="0" t="s">
        <v>89</v>
      </c>
      <c r="F6313" s="0" t="s">
        <v>15</v>
      </c>
      <c r="G6313" s="0" t="s">
        <v>16</v>
      </c>
      <c r="H6313" s="0" t="n">
        <v>153</v>
      </c>
      <c r="I6313" s="0" t="s">
        <v>21121</v>
      </c>
      <c r="J6313" s="0" t="s">
        <v>21122</v>
      </c>
      <c r="K6313" s="0" t="s">
        <v>21123</v>
      </c>
      <c r="L6313" s="0" t="str">
        <f aca="false">HYPERLINK("https://www.ncbi.nlm.nih.gov/nuccore/CP000304.1?report=graph&amp;tracks=[key:gene_model_track,Options:GeneOnly]&amp;mk=1757977:1757996|offset_55|444444,1758043:1758062|offset_121|444444,1758075:1758094|offset_153|00cc00,1758105:1758124|offset_183|444444&amp;v=1757776:1758324&amp;c=444444", "offset 153")</f>
        <v>offset 153</v>
      </c>
    </row>
    <row r="6314" customFormat="false" ht="12.8" hidden="false" customHeight="false" outlineLevel="0" collapsed="false">
      <c r="A6314" s="0" t="s">
        <v>12</v>
      </c>
      <c r="B6314" s="0" t="n">
        <v>1758104</v>
      </c>
      <c r="C6314" s="0" t="n">
        <v>1758124</v>
      </c>
      <c r="D6314" s="0" t="s">
        <v>21114</v>
      </c>
      <c r="E6314" s="0" t="s">
        <v>89</v>
      </c>
      <c r="F6314" s="0" t="s">
        <v>15</v>
      </c>
      <c r="G6314" s="0" t="s">
        <v>36</v>
      </c>
      <c r="H6314" s="0" t="n">
        <v>183</v>
      </c>
      <c r="I6314" s="0" t="s">
        <v>21124</v>
      </c>
      <c r="J6314" s="0" t="s">
        <v>21125</v>
      </c>
      <c r="K6314" s="0" t="s">
        <v>21126</v>
      </c>
      <c r="L6314" s="0" t="str">
        <f aca="false">HYPERLINK("https://www.ncbi.nlm.nih.gov/nuccore/CP000304.1?report=graph&amp;tracks=[key:gene_model_track,Options:GeneOnly]&amp;mk=1757977:1757996|offset_55|444444,1758043:1758062|offset_121|444444,1758075:1758094|offset_153|444444,1758105:1758124|offset_183|00cc00&amp;v=1757776:1758324&amp;c=444444", "offset 183")</f>
        <v>offset 183</v>
      </c>
    </row>
    <row r="6315" customFormat="false" ht="12.8" hidden="false" customHeight="false" outlineLevel="0" collapsed="false">
      <c r="A6315" s="0" t="s">
        <v>12</v>
      </c>
      <c r="B6315" s="0" t="n">
        <v>1758650</v>
      </c>
      <c r="C6315" s="0" t="n">
        <v>1758670</v>
      </c>
      <c r="D6315" s="0" t="s">
        <v>21127</v>
      </c>
      <c r="E6315" s="0" t="s">
        <v>89</v>
      </c>
      <c r="F6315" s="0" t="s">
        <v>15</v>
      </c>
      <c r="G6315" s="0" t="s">
        <v>32</v>
      </c>
      <c r="H6315" s="0" t="n">
        <v>1</v>
      </c>
      <c r="I6315" s="0" t="s">
        <v>21128</v>
      </c>
      <c r="J6315" s="0" t="s">
        <v>21129</v>
      </c>
      <c r="K6315" s="0" t="s">
        <v>21130</v>
      </c>
      <c r="L6315" s="0" t="str">
        <f aca="false">HYPERLINK("https://www.ncbi.nlm.nih.gov/nuccore/CP000304.1?report=graph&amp;tracks=[key:gene_model_track,Options:GeneOnly]&amp;mk=1758651:1758670|offset_1|00cc00,1758723:1758742|offset_73|444444,1758745:1758764|offset_95|444444,1758775:1758794|offset_125|444444&amp;v=1758450:1758994&amp;c=444444", "offset 1")</f>
        <v>offset 1</v>
      </c>
    </row>
    <row r="6316" customFormat="false" ht="12.8" hidden="false" customHeight="false" outlineLevel="0" collapsed="false">
      <c r="A6316" s="0" t="s">
        <v>12</v>
      </c>
      <c r="B6316" s="0" t="n">
        <v>1758722</v>
      </c>
      <c r="C6316" s="0" t="n">
        <v>1758742</v>
      </c>
      <c r="D6316" s="0" t="s">
        <v>21127</v>
      </c>
      <c r="E6316" s="0" t="s">
        <v>89</v>
      </c>
      <c r="F6316" s="0" t="s">
        <v>15</v>
      </c>
      <c r="G6316" s="0" t="s">
        <v>16</v>
      </c>
      <c r="H6316" s="0" t="n">
        <v>73</v>
      </c>
      <c r="I6316" s="0" t="s">
        <v>21131</v>
      </c>
      <c r="J6316" s="0" t="s">
        <v>21132</v>
      </c>
      <c r="K6316" s="0" t="s">
        <v>21133</v>
      </c>
      <c r="L6316" s="0" t="str">
        <f aca="false">HYPERLINK("https://www.ncbi.nlm.nih.gov/nuccore/CP000304.1?report=graph&amp;tracks=[key:gene_model_track,Options:GeneOnly]&amp;mk=1758651:1758670|offset_1|444444,1758723:1758742|offset_73|00cc00,1758745:1758764|offset_95|444444,1758775:1758794|offset_125|444444&amp;v=1758450:1758994&amp;c=444444", "offset 73")</f>
        <v>offset 73</v>
      </c>
    </row>
    <row r="6317" customFormat="false" ht="12.8" hidden="false" customHeight="false" outlineLevel="0" collapsed="false">
      <c r="A6317" s="0" t="s">
        <v>12</v>
      </c>
      <c r="B6317" s="0" t="n">
        <v>1758744</v>
      </c>
      <c r="C6317" s="0" t="n">
        <v>1758764</v>
      </c>
      <c r="D6317" s="0" t="s">
        <v>21127</v>
      </c>
      <c r="E6317" s="0" t="s">
        <v>89</v>
      </c>
      <c r="F6317" s="0" t="s">
        <v>15</v>
      </c>
      <c r="G6317" s="0" t="s">
        <v>32</v>
      </c>
      <c r="H6317" s="0" t="n">
        <v>95</v>
      </c>
      <c r="I6317" s="0" t="s">
        <v>21134</v>
      </c>
      <c r="J6317" s="0" t="s">
        <v>21135</v>
      </c>
      <c r="K6317" s="0" t="s">
        <v>21136</v>
      </c>
      <c r="L6317" s="0" t="str">
        <f aca="false">HYPERLINK("https://www.ncbi.nlm.nih.gov/nuccore/CP000304.1?report=graph&amp;tracks=[key:gene_model_track,Options:GeneOnly]&amp;mk=1758651:1758670|offset_1|444444,1758723:1758742|offset_73|444444,1758745:1758764|offset_95|00cc00,1758775:1758794|offset_125|444444&amp;v=1758450:1758994&amp;c=444444", "offset 95")</f>
        <v>offset 95</v>
      </c>
    </row>
    <row r="6318" customFormat="false" ht="12.8" hidden="false" customHeight="false" outlineLevel="0" collapsed="false">
      <c r="A6318" s="0" t="s">
        <v>12</v>
      </c>
      <c r="B6318" s="0" t="n">
        <v>1758774</v>
      </c>
      <c r="C6318" s="0" t="n">
        <v>1758794</v>
      </c>
      <c r="D6318" s="0" t="s">
        <v>21127</v>
      </c>
      <c r="E6318" s="0" t="s">
        <v>89</v>
      </c>
      <c r="F6318" s="0" t="s">
        <v>15</v>
      </c>
      <c r="G6318" s="0" t="s">
        <v>26</v>
      </c>
      <c r="H6318" s="0" t="n">
        <v>125</v>
      </c>
      <c r="I6318" s="0" t="s">
        <v>21137</v>
      </c>
      <c r="J6318" s="0" t="s">
        <v>21138</v>
      </c>
      <c r="K6318" s="0" t="s">
        <v>21139</v>
      </c>
      <c r="L6318" s="0" t="str">
        <f aca="false">HYPERLINK("https://www.ncbi.nlm.nih.gov/nuccore/CP000304.1?report=graph&amp;tracks=[key:gene_model_track,Options:GeneOnly]&amp;mk=1758651:1758670|offset_1|444444,1758723:1758742|offset_73|444444,1758745:1758764|offset_95|444444,1758775:1758794|offset_125|00cc00&amp;v=1758450:1758994&amp;c=444444", "offset 125")</f>
        <v>offset 125</v>
      </c>
    </row>
    <row r="6319" customFormat="false" ht="12.8" hidden="false" customHeight="false" outlineLevel="0" collapsed="false">
      <c r="A6319" s="0" t="s">
        <v>12</v>
      </c>
      <c r="B6319" s="0" t="n">
        <v>1762758</v>
      </c>
      <c r="C6319" s="0" t="n">
        <v>1762778</v>
      </c>
      <c r="D6319" s="0" t="s">
        <v>21140</v>
      </c>
      <c r="E6319" s="0" t="s">
        <v>89</v>
      </c>
      <c r="F6319" s="0" t="s">
        <v>90</v>
      </c>
      <c r="G6319" s="0" t="s">
        <v>16</v>
      </c>
      <c r="H6319" s="0" t="n">
        <v>43</v>
      </c>
      <c r="I6319" s="0" t="s">
        <v>21141</v>
      </c>
      <c r="J6319" s="0" t="s">
        <v>21142</v>
      </c>
      <c r="K6319" s="0" t="s">
        <v>21143</v>
      </c>
      <c r="L6319" s="0" t="str">
        <f aca="false">HYPERLINK("https://www.ncbi.nlm.nih.gov/nuccore/CP000304.1?report=graph&amp;tracks=[key:gene_model_track,Options:GeneOnly]&amp;mk=1762759:1762778|offset_43|00cc00,1762733:1762752|offset_69|444444,1762708:1762727|offset_94|444444,1762687:1762706|offset_115|444444&amp;v=1762558:1762906&amp;c=444444", "offset 43")</f>
        <v>offset 43</v>
      </c>
    </row>
    <row r="6320" customFormat="false" ht="12.8" hidden="false" customHeight="false" outlineLevel="0" collapsed="false">
      <c r="A6320" s="0" t="s">
        <v>12</v>
      </c>
      <c r="B6320" s="0" t="n">
        <v>1762732</v>
      </c>
      <c r="C6320" s="0" t="n">
        <v>1762752</v>
      </c>
      <c r="D6320" s="0" t="s">
        <v>21140</v>
      </c>
      <c r="E6320" s="0" t="s">
        <v>89</v>
      </c>
      <c r="F6320" s="0" t="s">
        <v>90</v>
      </c>
      <c r="G6320" s="0" t="s">
        <v>36</v>
      </c>
      <c r="H6320" s="0" t="n">
        <v>69</v>
      </c>
      <c r="I6320" s="0" t="s">
        <v>21144</v>
      </c>
      <c r="J6320" s="0" t="s">
        <v>21145</v>
      </c>
      <c r="K6320" s="0" t="s">
        <v>21146</v>
      </c>
      <c r="L6320" s="0" t="str">
        <f aca="false">HYPERLINK("https://www.ncbi.nlm.nih.gov/nuccore/CP000304.1?report=graph&amp;tracks=[key:gene_model_track,Options:GeneOnly]&amp;mk=1762759:1762778|offset_43|444444,1762733:1762752|offset_69|00cc00,1762708:1762727|offset_94|444444,1762687:1762706|offset_115|444444&amp;v=1762558:1762906&amp;c=444444", "offset 69")</f>
        <v>offset 69</v>
      </c>
    </row>
    <row r="6321" customFormat="false" ht="12.8" hidden="false" customHeight="false" outlineLevel="0" collapsed="false">
      <c r="A6321" s="0" t="s">
        <v>12</v>
      </c>
      <c r="B6321" s="0" t="n">
        <v>1762707</v>
      </c>
      <c r="C6321" s="0" t="n">
        <v>1762727</v>
      </c>
      <c r="D6321" s="0" t="s">
        <v>21140</v>
      </c>
      <c r="E6321" s="0" t="s">
        <v>89</v>
      </c>
      <c r="F6321" s="0" t="s">
        <v>90</v>
      </c>
      <c r="G6321" s="0" t="s">
        <v>32</v>
      </c>
      <c r="H6321" s="0" t="n">
        <v>94</v>
      </c>
      <c r="I6321" s="0" t="s">
        <v>21147</v>
      </c>
      <c r="J6321" s="0" t="s">
        <v>21148</v>
      </c>
      <c r="K6321" s="0" t="s">
        <v>21149</v>
      </c>
      <c r="L6321" s="0" t="str">
        <f aca="false">HYPERLINK("https://www.ncbi.nlm.nih.gov/nuccore/CP000304.1?report=graph&amp;tracks=[key:gene_model_track,Options:GeneOnly]&amp;mk=1762759:1762778|offset_43|444444,1762733:1762752|offset_69|444444,1762708:1762727|offset_94|00cc00,1762687:1762706|offset_115|444444&amp;v=1762558:1762906&amp;c=444444", "offset 94")</f>
        <v>offset 94</v>
      </c>
    </row>
    <row r="6322" customFormat="false" ht="12.8" hidden="false" customHeight="false" outlineLevel="0" collapsed="false">
      <c r="A6322" s="0" t="s">
        <v>12</v>
      </c>
      <c r="B6322" s="0" t="n">
        <v>1762686</v>
      </c>
      <c r="C6322" s="0" t="n">
        <v>1762706</v>
      </c>
      <c r="D6322" s="0" t="s">
        <v>21140</v>
      </c>
      <c r="E6322" s="0" t="s">
        <v>89</v>
      </c>
      <c r="F6322" s="0" t="s">
        <v>90</v>
      </c>
      <c r="G6322" s="0" t="s">
        <v>16</v>
      </c>
      <c r="H6322" s="0" t="n">
        <v>115</v>
      </c>
      <c r="I6322" s="0" t="s">
        <v>21150</v>
      </c>
      <c r="J6322" s="0" t="s">
        <v>21151</v>
      </c>
      <c r="K6322" s="0" t="s">
        <v>21152</v>
      </c>
      <c r="L6322" s="0" t="str">
        <f aca="false">HYPERLINK("https://www.ncbi.nlm.nih.gov/nuccore/CP000304.1?report=graph&amp;tracks=[key:gene_model_track,Options:GeneOnly]&amp;mk=1762759:1762778|offset_43|444444,1762733:1762752|offset_69|444444,1762708:1762727|offset_94|444444,1762687:1762706|offset_115|00cc00&amp;v=1762558:1762906&amp;c=444444", "offset 115")</f>
        <v>offset 115</v>
      </c>
    </row>
    <row r="6323" customFormat="false" ht="12.8" hidden="false" customHeight="false" outlineLevel="0" collapsed="false">
      <c r="A6323" s="0" t="s">
        <v>12</v>
      </c>
      <c r="B6323" s="0" t="n">
        <v>1764037</v>
      </c>
      <c r="C6323" s="0" t="n">
        <v>1764057</v>
      </c>
      <c r="D6323" s="0" t="s">
        <v>21153</v>
      </c>
      <c r="E6323" s="0" t="s">
        <v>89</v>
      </c>
      <c r="F6323" s="0" t="s">
        <v>90</v>
      </c>
      <c r="G6323" s="0" t="s">
        <v>36</v>
      </c>
      <c r="H6323" s="0" t="n">
        <v>16</v>
      </c>
      <c r="I6323" s="0" t="s">
        <v>21154</v>
      </c>
      <c r="J6323" s="0" t="s">
        <v>21155</v>
      </c>
      <c r="K6323" s="0" t="s">
        <v>21156</v>
      </c>
      <c r="L6323" s="0" t="str">
        <f aca="false">HYPERLINK("https://www.ncbi.nlm.nih.gov/nuccore/CP000304.1?report=graph&amp;tracks=[key:gene_model_track,Options:GeneOnly]&amp;mk=1764038:1764057|offset_16|00cc00,1764005:1764024|offset_49|444444,1763968:1763987|offset_86|444444,1763942:1763961|offset_112|444444&amp;v=1763837:1764161&amp;c=444444", "offset 16")</f>
        <v>offset 16</v>
      </c>
    </row>
    <row r="6324" customFormat="false" ht="12.8" hidden="false" customHeight="false" outlineLevel="0" collapsed="false">
      <c r="A6324" s="0" t="s">
        <v>12</v>
      </c>
      <c r="B6324" s="0" t="n">
        <v>1764004</v>
      </c>
      <c r="C6324" s="0" t="n">
        <v>1764024</v>
      </c>
      <c r="D6324" s="0" t="s">
        <v>21153</v>
      </c>
      <c r="E6324" s="0" t="s">
        <v>89</v>
      </c>
      <c r="F6324" s="0" t="s">
        <v>90</v>
      </c>
      <c r="G6324" s="0" t="s">
        <v>32</v>
      </c>
      <c r="H6324" s="0" t="n">
        <v>49</v>
      </c>
      <c r="I6324" s="0" t="s">
        <v>21157</v>
      </c>
      <c r="J6324" s="0" t="s">
        <v>21158</v>
      </c>
      <c r="K6324" s="0" t="s">
        <v>21159</v>
      </c>
      <c r="L6324" s="0" t="str">
        <f aca="false">HYPERLINK("https://www.ncbi.nlm.nih.gov/nuccore/CP000304.1?report=graph&amp;tracks=[key:gene_model_track,Options:GeneOnly]&amp;mk=1764038:1764057|offset_16|444444,1764005:1764024|offset_49|00cc00,1763968:1763987|offset_86|444444,1763942:1763961|offset_112|444444&amp;v=1763837:1764161&amp;c=444444", "offset 49")</f>
        <v>offset 49</v>
      </c>
    </row>
    <row r="6325" customFormat="false" ht="12.8" hidden="false" customHeight="false" outlineLevel="0" collapsed="false">
      <c r="A6325" s="0" t="s">
        <v>12</v>
      </c>
      <c r="B6325" s="0" t="n">
        <v>1763967</v>
      </c>
      <c r="C6325" s="0" t="n">
        <v>1763987</v>
      </c>
      <c r="D6325" s="0" t="s">
        <v>21153</v>
      </c>
      <c r="E6325" s="0" t="s">
        <v>89</v>
      </c>
      <c r="F6325" s="0" t="s">
        <v>90</v>
      </c>
      <c r="G6325" s="0" t="s">
        <v>26</v>
      </c>
      <c r="H6325" s="0" t="n">
        <v>86</v>
      </c>
      <c r="I6325" s="0" t="s">
        <v>21160</v>
      </c>
      <c r="J6325" s="0" t="s">
        <v>21161</v>
      </c>
      <c r="K6325" s="0" t="s">
        <v>21162</v>
      </c>
      <c r="L6325" s="0" t="str">
        <f aca="false">HYPERLINK("https://www.ncbi.nlm.nih.gov/nuccore/CP000304.1?report=graph&amp;tracks=[key:gene_model_track,Options:GeneOnly]&amp;mk=1764038:1764057|offset_16|444444,1764005:1764024|offset_49|444444,1763968:1763987|offset_86|00cc00,1763942:1763961|offset_112|444444&amp;v=1763837:1764161&amp;c=444444", "offset 86")</f>
        <v>offset 86</v>
      </c>
    </row>
    <row r="6326" customFormat="false" ht="12.8" hidden="false" customHeight="false" outlineLevel="0" collapsed="false">
      <c r="A6326" s="0" t="s">
        <v>12</v>
      </c>
      <c r="B6326" s="0" t="n">
        <v>1763941</v>
      </c>
      <c r="C6326" s="0" t="n">
        <v>1763961</v>
      </c>
      <c r="D6326" s="0" t="s">
        <v>21153</v>
      </c>
      <c r="E6326" s="0" t="s">
        <v>89</v>
      </c>
      <c r="F6326" s="0" t="s">
        <v>90</v>
      </c>
      <c r="G6326" s="0" t="s">
        <v>36</v>
      </c>
      <c r="H6326" s="0" t="n">
        <v>112</v>
      </c>
      <c r="I6326" s="0" t="s">
        <v>21163</v>
      </c>
      <c r="J6326" s="0" t="s">
        <v>21164</v>
      </c>
      <c r="K6326" s="0" t="s">
        <v>21165</v>
      </c>
      <c r="L6326" s="0" t="str">
        <f aca="false">HYPERLINK("https://www.ncbi.nlm.nih.gov/nuccore/CP000304.1?report=graph&amp;tracks=[key:gene_model_track,Options:GeneOnly]&amp;mk=1764038:1764057|offset_16|444444,1764005:1764024|offset_49|444444,1763968:1763987|offset_86|444444,1763942:1763961|offset_112|00cc00&amp;v=1763837:1764161&amp;c=444444", "offset 112")</f>
        <v>offset 112</v>
      </c>
    </row>
    <row r="6327" customFormat="false" ht="12.8" hidden="false" customHeight="false" outlineLevel="0" collapsed="false">
      <c r="A6327" s="0" t="s">
        <v>12</v>
      </c>
      <c r="B6327" s="0" t="n">
        <v>1764519</v>
      </c>
      <c r="C6327" s="0" t="n">
        <v>1764539</v>
      </c>
      <c r="D6327" s="0" t="s">
        <v>21166</v>
      </c>
      <c r="E6327" s="0" t="s">
        <v>89</v>
      </c>
      <c r="F6327" s="0" t="s">
        <v>90</v>
      </c>
      <c r="G6327" s="0" t="s">
        <v>26</v>
      </c>
      <c r="H6327" s="0" t="n">
        <v>17</v>
      </c>
      <c r="I6327" s="0" t="s">
        <v>21167</v>
      </c>
      <c r="J6327" s="0" t="s">
        <v>21168</v>
      </c>
      <c r="K6327" s="0" t="s">
        <v>21169</v>
      </c>
      <c r="L6327" s="0" t="str">
        <f aca="false">HYPERLINK("https://www.ncbi.nlm.nih.gov/nuccore/CP000304.1?report=graph&amp;tracks=[key:gene_model_track,Options:GeneOnly]&amp;mk=1764520:1764539|offset_17|00cc00,1764488:1764507|offset_49|444444,1764464:1764483|offset_73|444444,1764438:1764457|offset_99|444444&amp;v=1764319:1764657&amp;c=444444", "offset 17")</f>
        <v>offset 17</v>
      </c>
    </row>
    <row r="6328" customFormat="false" ht="12.8" hidden="false" customHeight="false" outlineLevel="0" collapsed="false">
      <c r="A6328" s="0" t="s">
        <v>12</v>
      </c>
      <c r="B6328" s="0" t="n">
        <v>1764487</v>
      </c>
      <c r="C6328" s="0" t="n">
        <v>1764507</v>
      </c>
      <c r="D6328" s="0" t="s">
        <v>21166</v>
      </c>
      <c r="E6328" s="0" t="s">
        <v>89</v>
      </c>
      <c r="F6328" s="0" t="s">
        <v>90</v>
      </c>
      <c r="G6328" s="0" t="s">
        <v>32</v>
      </c>
      <c r="H6328" s="0" t="n">
        <v>49</v>
      </c>
      <c r="I6328" s="0" t="s">
        <v>21170</v>
      </c>
      <c r="J6328" s="0" t="s">
        <v>21171</v>
      </c>
      <c r="K6328" s="0" t="s">
        <v>21172</v>
      </c>
      <c r="L6328" s="0" t="str">
        <f aca="false">HYPERLINK("https://www.ncbi.nlm.nih.gov/nuccore/CP000304.1?report=graph&amp;tracks=[key:gene_model_track,Options:GeneOnly]&amp;mk=1764520:1764539|offset_17|444444,1764488:1764507|offset_49|00cc00,1764464:1764483|offset_73|444444,1764438:1764457|offset_99|444444&amp;v=1764319:1764657&amp;c=444444", "offset 49")</f>
        <v>offset 49</v>
      </c>
    </row>
    <row r="6329" customFormat="false" ht="12.8" hidden="false" customHeight="false" outlineLevel="0" collapsed="false">
      <c r="A6329" s="0" t="s">
        <v>12</v>
      </c>
      <c r="B6329" s="0" t="n">
        <v>1764463</v>
      </c>
      <c r="C6329" s="0" t="n">
        <v>1764483</v>
      </c>
      <c r="D6329" s="0" t="s">
        <v>21166</v>
      </c>
      <c r="E6329" s="0" t="s">
        <v>89</v>
      </c>
      <c r="F6329" s="0" t="s">
        <v>90</v>
      </c>
      <c r="G6329" s="0" t="s">
        <v>16</v>
      </c>
      <c r="H6329" s="0" t="n">
        <v>73</v>
      </c>
      <c r="I6329" s="0" t="s">
        <v>21173</v>
      </c>
      <c r="J6329" s="0" t="s">
        <v>21174</v>
      </c>
      <c r="K6329" s="0" t="s">
        <v>21175</v>
      </c>
      <c r="L6329" s="0" t="str">
        <f aca="false">HYPERLINK("https://www.ncbi.nlm.nih.gov/nuccore/CP000304.1?report=graph&amp;tracks=[key:gene_model_track,Options:GeneOnly]&amp;mk=1764520:1764539|offset_17|444444,1764488:1764507|offset_49|444444,1764464:1764483|offset_73|00cc00,1764438:1764457|offset_99|444444&amp;v=1764319:1764657&amp;c=444444", "offset 73")</f>
        <v>offset 73</v>
      </c>
    </row>
    <row r="6330" customFormat="false" ht="12.8" hidden="false" customHeight="false" outlineLevel="0" collapsed="false">
      <c r="A6330" s="0" t="s">
        <v>12</v>
      </c>
      <c r="B6330" s="0" t="n">
        <v>1764437</v>
      </c>
      <c r="C6330" s="0" t="n">
        <v>1764457</v>
      </c>
      <c r="D6330" s="0" t="s">
        <v>21166</v>
      </c>
      <c r="E6330" s="0" t="s">
        <v>89</v>
      </c>
      <c r="F6330" s="0" t="s">
        <v>90</v>
      </c>
      <c r="G6330" s="0" t="s">
        <v>16</v>
      </c>
      <c r="H6330" s="0" t="n">
        <v>99</v>
      </c>
      <c r="I6330" s="0" t="s">
        <v>21176</v>
      </c>
      <c r="J6330" s="0" t="s">
        <v>21177</v>
      </c>
      <c r="K6330" s="0" t="s">
        <v>21178</v>
      </c>
      <c r="L6330" s="0" t="str">
        <f aca="false">HYPERLINK("https://www.ncbi.nlm.nih.gov/nuccore/CP000304.1?report=graph&amp;tracks=[key:gene_model_track,Options:GeneOnly]&amp;mk=1764520:1764539|offset_17|444444,1764488:1764507|offset_49|444444,1764464:1764483|offset_73|444444,1764438:1764457|offset_99|00cc00&amp;v=1764319:1764657&amp;c=444444", "offset 99")</f>
        <v>offset 99</v>
      </c>
    </row>
    <row r="6331" customFormat="false" ht="12.8" hidden="false" customHeight="false" outlineLevel="0" collapsed="false">
      <c r="A6331" s="0" t="s">
        <v>12</v>
      </c>
      <c r="B6331" s="0" t="n">
        <v>1764886</v>
      </c>
      <c r="C6331" s="0" t="n">
        <v>1764906</v>
      </c>
      <c r="D6331" s="0" t="s">
        <v>21179</v>
      </c>
      <c r="E6331" s="0" t="s">
        <v>89</v>
      </c>
      <c r="F6331" s="0" t="s">
        <v>90</v>
      </c>
      <c r="G6331" s="0" t="s">
        <v>36</v>
      </c>
      <c r="H6331" s="0" t="n">
        <v>22</v>
      </c>
      <c r="I6331" s="0" t="s">
        <v>21180</v>
      </c>
      <c r="J6331" s="0" t="s">
        <v>21181</v>
      </c>
      <c r="K6331" s="0" t="s">
        <v>21182</v>
      </c>
      <c r="L6331" s="0" t="str">
        <f aca="false">HYPERLINK("https://www.ncbi.nlm.nih.gov/nuccore/CP000304.1?report=graph&amp;tracks=[key:gene_model_track,Options:GeneOnly]&amp;mk=1764887:1764906|offset_22|00cc00,1764856:1764875|offset_53|444444,1764836:1764855|offset_73|444444,1764792:1764811|offset_117|444444&amp;v=1764686:1765011&amp;c=444444", "offset 22")</f>
        <v>offset 22</v>
      </c>
    </row>
    <row r="6332" customFormat="false" ht="12.8" hidden="false" customHeight="false" outlineLevel="0" collapsed="false">
      <c r="A6332" s="0" t="s">
        <v>12</v>
      </c>
      <c r="B6332" s="0" t="n">
        <v>1764855</v>
      </c>
      <c r="C6332" s="0" t="n">
        <v>1764875</v>
      </c>
      <c r="D6332" s="0" t="s">
        <v>21179</v>
      </c>
      <c r="E6332" s="0" t="s">
        <v>89</v>
      </c>
      <c r="F6332" s="0" t="s">
        <v>90</v>
      </c>
      <c r="G6332" s="0" t="s">
        <v>26</v>
      </c>
      <c r="H6332" s="0" t="n">
        <v>53</v>
      </c>
      <c r="I6332" s="0" t="s">
        <v>21183</v>
      </c>
      <c r="J6332" s="0" t="s">
        <v>21184</v>
      </c>
      <c r="K6332" s="0" t="s">
        <v>21185</v>
      </c>
      <c r="L6332" s="0" t="str">
        <f aca="false">HYPERLINK("https://www.ncbi.nlm.nih.gov/nuccore/CP000304.1?report=graph&amp;tracks=[key:gene_model_track,Options:GeneOnly]&amp;mk=1764887:1764906|offset_22|444444,1764856:1764875|offset_53|00cc00,1764836:1764855|offset_73|444444,1764792:1764811|offset_117|444444&amp;v=1764686:1765011&amp;c=444444", "offset 53")</f>
        <v>offset 53</v>
      </c>
    </row>
    <row r="6333" customFormat="false" ht="12.8" hidden="false" customHeight="false" outlineLevel="0" collapsed="false">
      <c r="A6333" s="0" t="s">
        <v>12</v>
      </c>
      <c r="B6333" s="0" t="n">
        <v>1764835</v>
      </c>
      <c r="C6333" s="0" t="n">
        <v>1764855</v>
      </c>
      <c r="D6333" s="0" t="s">
        <v>21179</v>
      </c>
      <c r="E6333" s="0" t="s">
        <v>89</v>
      </c>
      <c r="F6333" s="0" t="s">
        <v>90</v>
      </c>
      <c r="G6333" s="0" t="s">
        <v>26</v>
      </c>
      <c r="H6333" s="0" t="n">
        <v>73</v>
      </c>
      <c r="I6333" s="0" t="s">
        <v>21186</v>
      </c>
      <c r="J6333" s="0" t="s">
        <v>21187</v>
      </c>
      <c r="K6333" s="0" t="s">
        <v>21188</v>
      </c>
      <c r="L6333" s="0" t="str">
        <f aca="false">HYPERLINK("https://www.ncbi.nlm.nih.gov/nuccore/CP000304.1?report=graph&amp;tracks=[key:gene_model_track,Options:GeneOnly]&amp;mk=1764887:1764906|offset_22|444444,1764856:1764875|offset_53|444444,1764836:1764855|offset_73|00cc00,1764792:1764811|offset_117|444444&amp;v=1764686:1765011&amp;c=444444", "offset 73")</f>
        <v>offset 73</v>
      </c>
    </row>
    <row r="6334" customFormat="false" ht="12.8" hidden="false" customHeight="false" outlineLevel="0" collapsed="false">
      <c r="A6334" s="0" t="s">
        <v>12</v>
      </c>
      <c r="B6334" s="0" t="n">
        <v>1764791</v>
      </c>
      <c r="C6334" s="0" t="n">
        <v>1764811</v>
      </c>
      <c r="D6334" s="0" t="s">
        <v>21179</v>
      </c>
      <c r="E6334" s="0" t="s">
        <v>89</v>
      </c>
      <c r="F6334" s="0" t="s">
        <v>90</v>
      </c>
      <c r="G6334" s="0" t="s">
        <v>16</v>
      </c>
      <c r="H6334" s="0" t="n">
        <v>117</v>
      </c>
      <c r="I6334" s="0" t="s">
        <v>21189</v>
      </c>
      <c r="J6334" s="0" t="s">
        <v>21190</v>
      </c>
      <c r="K6334" s="0" t="s">
        <v>21191</v>
      </c>
      <c r="L6334" s="0" t="str">
        <f aca="false">HYPERLINK("https://www.ncbi.nlm.nih.gov/nuccore/CP000304.1?report=graph&amp;tracks=[key:gene_model_track,Options:GeneOnly]&amp;mk=1764887:1764906|offset_22|444444,1764856:1764875|offset_53|444444,1764836:1764855|offset_73|444444,1764792:1764811|offset_117|00cc00&amp;v=1764686:1765011&amp;c=444444", "offset 117")</f>
        <v>offset 117</v>
      </c>
    </row>
    <row r="6335" customFormat="false" ht="12.8" hidden="false" customHeight="false" outlineLevel="0" collapsed="false">
      <c r="A6335" s="0" t="s">
        <v>12</v>
      </c>
      <c r="B6335" s="0" t="n">
        <v>1765027</v>
      </c>
      <c r="C6335" s="0" t="n">
        <v>1765047</v>
      </c>
      <c r="D6335" s="0" t="s">
        <v>21192</v>
      </c>
      <c r="E6335" s="0" t="s">
        <v>89</v>
      </c>
      <c r="F6335" s="0" t="s">
        <v>15</v>
      </c>
      <c r="G6335" s="0" t="s">
        <v>16</v>
      </c>
      <c r="H6335" s="0" t="n">
        <v>10</v>
      </c>
      <c r="I6335" s="0" t="s">
        <v>21193</v>
      </c>
      <c r="J6335" s="0" t="s">
        <v>21194</v>
      </c>
      <c r="K6335" s="0" t="s">
        <v>21195</v>
      </c>
      <c r="L6335" s="0" t="str">
        <f aca="false">HYPERLINK("https://www.ncbi.nlm.nih.gov/nuccore/CP000304.1?report=graph&amp;tracks=[key:gene_model_track,Options:GeneOnly]&amp;mk=1765028:1765047|offset_10|00cc00,1765059:1765078|offset_41|444444,1765091:1765110|offset_73|444444,1765150:1765169|offset_132|444444&amp;v=1764827:1765369&amp;c=444444", "offset 10")</f>
        <v>offset 10</v>
      </c>
    </row>
    <row r="6336" customFormat="false" ht="12.8" hidden="false" customHeight="false" outlineLevel="0" collapsed="false">
      <c r="A6336" s="0" t="s">
        <v>12</v>
      </c>
      <c r="B6336" s="0" t="n">
        <v>1765058</v>
      </c>
      <c r="C6336" s="0" t="n">
        <v>1765078</v>
      </c>
      <c r="D6336" s="0" t="s">
        <v>21192</v>
      </c>
      <c r="E6336" s="0" t="s">
        <v>89</v>
      </c>
      <c r="F6336" s="0" t="s">
        <v>15</v>
      </c>
      <c r="G6336" s="0" t="s">
        <v>16</v>
      </c>
      <c r="H6336" s="0" t="n">
        <v>41</v>
      </c>
      <c r="I6336" s="0" t="s">
        <v>21196</v>
      </c>
      <c r="J6336" s="0" t="s">
        <v>21197</v>
      </c>
      <c r="K6336" s="0" t="s">
        <v>21198</v>
      </c>
      <c r="L6336" s="0" t="str">
        <f aca="false">HYPERLINK("https://www.ncbi.nlm.nih.gov/nuccore/CP000304.1?report=graph&amp;tracks=[key:gene_model_track,Options:GeneOnly]&amp;mk=1765028:1765047|offset_10|444444,1765059:1765078|offset_41|00cc00,1765091:1765110|offset_73|444444,1765150:1765169|offset_132|444444&amp;v=1764827:1765369&amp;c=444444", "offset 41")</f>
        <v>offset 41</v>
      </c>
    </row>
    <row r="6337" customFormat="false" ht="12.8" hidden="false" customHeight="false" outlineLevel="0" collapsed="false">
      <c r="A6337" s="0" t="s">
        <v>12</v>
      </c>
      <c r="B6337" s="0" t="n">
        <v>1765090</v>
      </c>
      <c r="C6337" s="0" t="n">
        <v>1765110</v>
      </c>
      <c r="D6337" s="0" t="s">
        <v>21192</v>
      </c>
      <c r="E6337" s="0" t="s">
        <v>89</v>
      </c>
      <c r="F6337" s="0" t="s">
        <v>15</v>
      </c>
      <c r="G6337" s="0" t="s">
        <v>26</v>
      </c>
      <c r="H6337" s="0" t="n">
        <v>73</v>
      </c>
      <c r="I6337" s="0" t="s">
        <v>21199</v>
      </c>
      <c r="J6337" s="0" t="s">
        <v>21200</v>
      </c>
      <c r="K6337" s="0" t="s">
        <v>21201</v>
      </c>
      <c r="L6337" s="0" t="str">
        <f aca="false">HYPERLINK("https://www.ncbi.nlm.nih.gov/nuccore/CP000304.1?report=graph&amp;tracks=[key:gene_model_track,Options:GeneOnly]&amp;mk=1765028:1765047|offset_10|444444,1765059:1765078|offset_41|444444,1765091:1765110|offset_73|00cc00,1765150:1765169|offset_132|444444&amp;v=1764827:1765369&amp;c=444444", "offset 73")</f>
        <v>offset 73</v>
      </c>
    </row>
    <row r="6338" customFormat="false" ht="12.8" hidden="false" customHeight="false" outlineLevel="0" collapsed="false">
      <c r="A6338" s="0" t="s">
        <v>12</v>
      </c>
      <c r="B6338" s="0" t="n">
        <v>1765149</v>
      </c>
      <c r="C6338" s="0" t="n">
        <v>1765169</v>
      </c>
      <c r="D6338" s="0" t="s">
        <v>21192</v>
      </c>
      <c r="E6338" s="0" t="s">
        <v>89</v>
      </c>
      <c r="F6338" s="0" t="s">
        <v>15</v>
      </c>
      <c r="G6338" s="0" t="s">
        <v>16</v>
      </c>
      <c r="H6338" s="0" t="n">
        <v>132</v>
      </c>
      <c r="I6338" s="0" t="s">
        <v>21202</v>
      </c>
      <c r="J6338" s="0" t="s">
        <v>21203</v>
      </c>
      <c r="K6338" s="0" t="s">
        <v>21204</v>
      </c>
      <c r="L6338" s="0" t="str">
        <f aca="false">HYPERLINK("https://www.ncbi.nlm.nih.gov/nuccore/CP000304.1?report=graph&amp;tracks=[key:gene_model_track,Options:GeneOnly]&amp;mk=1765028:1765047|offset_10|444444,1765059:1765078|offset_41|444444,1765091:1765110|offset_73|444444,1765150:1765169|offset_132|00cc00&amp;v=1764827:1765369&amp;c=444444", "offset 132")</f>
        <v>offset 132</v>
      </c>
    </row>
    <row r="6339" customFormat="false" ht="12.8" hidden="false" customHeight="false" outlineLevel="0" collapsed="false">
      <c r="A6339" s="0" t="s">
        <v>12</v>
      </c>
      <c r="B6339" s="0" t="n">
        <v>1765857</v>
      </c>
      <c r="C6339" s="0" t="n">
        <v>1765877</v>
      </c>
      <c r="D6339" s="0" t="s">
        <v>21205</v>
      </c>
      <c r="E6339" s="0" t="s">
        <v>89</v>
      </c>
      <c r="F6339" s="0" t="s">
        <v>90</v>
      </c>
      <c r="G6339" s="0" t="s">
        <v>36</v>
      </c>
      <c r="H6339" s="0" t="n">
        <v>0</v>
      </c>
      <c r="I6339" s="0" t="s">
        <v>21206</v>
      </c>
      <c r="J6339" s="0" t="s">
        <v>21207</v>
      </c>
      <c r="K6339" s="0" t="s">
        <v>21208</v>
      </c>
      <c r="L6339" s="0" t="str">
        <f aca="false">HYPERLINK("https://www.ncbi.nlm.nih.gov/nuccore/CP000304.1?report=graph&amp;tracks=[key:gene_model_track,Options:GeneOnly]&amp;mk=1765858:1765877|offset_0|00cc00,1765818:1765837|offset_40|444444,1765776:1765795|offset_82|444444,1765739:1765758|offset_119|444444&amp;v=1765657:1765958&amp;c=444444", "offset 0")</f>
        <v>offset 0</v>
      </c>
    </row>
    <row r="6340" customFormat="false" ht="12.8" hidden="false" customHeight="false" outlineLevel="0" collapsed="false">
      <c r="A6340" s="0" t="s">
        <v>12</v>
      </c>
      <c r="B6340" s="0" t="n">
        <v>1765817</v>
      </c>
      <c r="C6340" s="0" t="n">
        <v>1765837</v>
      </c>
      <c r="D6340" s="0" t="s">
        <v>21205</v>
      </c>
      <c r="E6340" s="0" t="s">
        <v>89</v>
      </c>
      <c r="F6340" s="0" t="s">
        <v>90</v>
      </c>
      <c r="G6340" s="0" t="s">
        <v>36</v>
      </c>
      <c r="H6340" s="0" t="n">
        <v>40</v>
      </c>
      <c r="I6340" s="0" t="s">
        <v>21209</v>
      </c>
      <c r="J6340" s="0" t="s">
        <v>21210</v>
      </c>
      <c r="K6340" s="0" t="s">
        <v>21211</v>
      </c>
      <c r="L6340" s="0" t="str">
        <f aca="false">HYPERLINK("https://www.ncbi.nlm.nih.gov/nuccore/CP000304.1?report=graph&amp;tracks=[key:gene_model_track,Options:GeneOnly]&amp;mk=1765858:1765877|offset_0|444444,1765818:1765837|offset_40|00cc00,1765776:1765795|offset_82|444444,1765739:1765758|offset_119|444444&amp;v=1765657:1765958&amp;c=444444", "offset 40")</f>
        <v>offset 40</v>
      </c>
    </row>
    <row r="6341" customFormat="false" ht="12.8" hidden="false" customHeight="false" outlineLevel="0" collapsed="false">
      <c r="A6341" s="0" t="s">
        <v>12</v>
      </c>
      <c r="B6341" s="0" t="n">
        <v>1765775</v>
      </c>
      <c r="C6341" s="0" t="n">
        <v>1765795</v>
      </c>
      <c r="D6341" s="0" t="s">
        <v>21205</v>
      </c>
      <c r="E6341" s="0" t="s">
        <v>89</v>
      </c>
      <c r="F6341" s="0" t="s">
        <v>90</v>
      </c>
      <c r="G6341" s="0" t="s">
        <v>16</v>
      </c>
      <c r="H6341" s="0" t="n">
        <v>82</v>
      </c>
      <c r="I6341" s="0" t="s">
        <v>21212</v>
      </c>
      <c r="J6341" s="0" t="s">
        <v>21213</v>
      </c>
      <c r="K6341" s="0" t="s">
        <v>21214</v>
      </c>
      <c r="L6341" s="0" t="str">
        <f aca="false">HYPERLINK("https://www.ncbi.nlm.nih.gov/nuccore/CP000304.1?report=graph&amp;tracks=[key:gene_model_track,Options:GeneOnly]&amp;mk=1765858:1765877|offset_0|444444,1765818:1765837|offset_40|444444,1765776:1765795|offset_82|00cc00,1765739:1765758|offset_119|444444&amp;v=1765657:1765958&amp;c=444444", "offset 82")</f>
        <v>offset 82</v>
      </c>
    </row>
    <row r="6342" customFormat="false" ht="12.8" hidden="false" customHeight="false" outlineLevel="0" collapsed="false">
      <c r="A6342" s="0" t="s">
        <v>12</v>
      </c>
      <c r="B6342" s="0" t="n">
        <v>1765738</v>
      </c>
      <c r="C6342" s="0" t="n">
        <v>1765758</v>
      </c>
      <c r="D6342" s="0" t="s">
        <v>21205</v>
      </c>
      <c r="E6342" s="0" t="s">
        <v>89</v>
      </c>
      <c r="F6342" s="0" t="s">
        <v>90</v>
      </c>
      <c r="G6342" s="0" t="s">
        <v>36</v>
      </c>
      <c r="H6342" s="0" t="n">
        <v>119</v>
      </c>
      <c r="I6342" s="0" t="s">
        <v>21215</v>
      </c>
      <c r="J6342" s="0" t="s">
        <v>21216</v>
      </c>
      <c r="K6342" s="0" t="s">
        <v>21217</v>
      </c>
      <c r="L6342" s="0" t="str">
        <f aca="false">HYPERLINK("https://www.ncbi.nlm.nih.gov/nuccore/CP000304.1?report=graph&amp;tracks=[key:gene_model_track,Options:GeneOnly]&amp;mk=1765858:1765877|offset_0|444444,1765818:1765837|offset_40|444444,1765776:1765795|offset_82|444444,1765739:1765758|offset_119|00cc00&amp;v=1765657:1765958&amp;c=444444", "offset 119")</f>
        <v>offset 119</v>
      </c>
    </row>
    <row r="6343" customFormat="false" ht="12.8" hidden="false" customHeight="false" outlineLevel="0" collapsed="false">
      <c r="A6343" s="0" t="s">
        <v>12</v>
      </c>
      <c r="B6343" s="0" t="n">
        <v>1766351</v>
      </c>
      <c r="C6343" s="0" t="n">
        <v>1766371</v>
      </c>
      <c r="D6343" s="0" t="s">
        <v>21218</v>
      </c>
      <c r="E6343" s="0" t="s">
        <v>89</v>
      </c>
      <c r="F6343" s="0" t="s">
        <v>15</v>
      </c>
      <c r="G6343" s="0" t="s">
        <v>36</v>
      </c>
      <c r="H6343" s="0" t="n">
        <v>42</v>
      </c>
      <c r="I6343" s="0" t="s">
        <v>21219</v>
      </c>
      <c r="J6343" s="0" t="s">
        <v>21220</v>
      </c>
      <c r="K6343" s="0" t="s">
        <v>21221</v>
      </c>
      <c r="L6343" s="0" t="str">
        <f aca="false">HYPERLINK("https://www.ncbi.nlm.nih.gov/nuccore/CP000304.1?report=graph&amp;tracks=[key:gene_model_track,Options:GeneOnly]&amp;mk=1766352:1766371|offset_42|00cc00,1766381:1766400|offset_71|444444,1766403:1766422|offset_93|444444,1766428:1766447|offset_118|444444&amp;v=1766151:1766647&amp;c=444444", "offset 42")</f>
        <v>offset 42</v>
      </c>
    </row>
    <row r="6344" customFormat="false" ht="12.8" hidden="false" customHeight="false" outlineLevel="0" collapsed="false">
      <c r="A6344" s="0" t="s">
        <v>12</v>
      </c>
      <c r="B6344" s="0" t="n">
        <v>1766380</v>
      </c>
      <c r="C6344" s="0" t="n">
        <v>1766400</v>
      </c>
      <c r="D6344" s="0" t="s">
        <v>21218</v>
      </c>
      <c r="E6344" s="0" t="s">
        <v>89</v>
      </c>
      <c r="F6344" s="0" t="s">
        <v>15</v>
      </c>
      <c r="G6344" s="0" t="s">
        <v>32</v>
      </c>
      <c r="H6344" s="0" t="n">
        <v>71</v>
      </c>
      <c r="I6344" s="0" t="s">
        <v>21222</v>
      </c>
      <c r="J6344" s="0" t="s">
        <v>21223</v>
      </c>
      <c r="K6344" s="0" t="s">
        <v>21224</v>
      </c>
      <c r="L6344" s="0" t="str">
        <f aca="false">HYPERLINK("https://www.ncbi.nlm.nih.gov/nuccore/CP000304.1?report=graph&amp;tracks=[key:gene_model_track,Options:GeneOnly]&amp;mk=1766352:1766371|offset_42|444444,1766381:1766400|offset_71|00cc00,1766403:1766422|offset_93|444444,1766428:1766447|offset_118|444444&amp;v=1766151:1766647&amp;c=444444", "offset 71")</f>
        <v>offset 71</v>
      </c>
    </row>
    <row r="6345" customFormat="false" ht="12.8" hidden="false" customHeight="false" outlineLevel="0" collapsed="false">
      <c r="A6345" s="0" t="s">
        <v>12</v>
      </c>
      <c r="B6345" s="0" t="n">
        <v>1766402</v>
      </c>
      <c r="C6345" s="0" t="n">
        <v>1766422</v>
      </c>
      <c r="D6345" s="0" t="s">
        <v>21218</v>
      </c>
      <c r="E6345" s="0" t="s">
        <v>89</v>
      </c>
      <c r="F6345" s="0" t="s">
        <v>15</v>
      </c>
      <c r="G6345" s="0" t="s">
        <v>26</v>
      </c>
      <c r="H6345" s="0" t="n">
        <v>93</v>
      </c>
      <c r="I6345" s="0" t="s">
        <v>21225</v>
      </c>
      <c r="J6345" s="0" t="s">
        <v>21226</v>
      </c>
      <c r="K6345" s="0" t="s">
        <v>21227</v>
      </c>
      <c r="L6345" s="0" t="str">
        <f aca="false">HYPERLINK("https://www.ncbi.nlm.nih.gov/nuccore/CP000304.1?report=graph&amp;tracks=[key:gene_model_track,Options:GeneOnly]&amp;mk=1766352:1766371|offset_42|444444,1766381:1766400|offset_71|444444,1766403:1766422|offset_93|00cc00,1766428:1766447|offset_118|444444&amp;v=1766151:1766647&amp;c=444444", "offset 93")</f>
        <v>offset 93</v>
      </c>
    </row>
    <row r="6346" customFormat="false" ht="12.8" hidden="false" customHeight="false" outlineLevel="0" collapsed="false">
      <c r="A6346" s="0" t="s">
        <v>12</v>
      </c>
      <c r="B6346" s="0" t="n">
        <v>1766427</v>
      </c>
      <c r="C6346" s="0" t="n">
        <v>1766447</v>
      </c>
      <c r="D6346" s="0" t="s">
        <v>21218</v>
      </c>
      <c r="E6346" s="0" t="s">
        <v>89</v>
      </c>
      <c r="F6346" s="0" t="s">
        <v>15</v>
      </c>
      <c r="G6346" s="0" t="s">
        <v>32</v>
      </c>
      <c r="H6346" s="0" t="n">
        <v>118</v>
      </c>
      <c r="I6346" s="0" t="s">
        <v>21228</v>
      </c>
      <c r="J6346" s="0" t="s">
        <v>21229</v>
      </c>
      <c r="K6346" s="0" t="s">
        <v>21230</v>
      </c>
      <c r="L6346" s="0" t="str">
        <f aca="false">HYPERLINK("https://www.ncbi.nlm.nih.gov/nuccore/CP000304.1?report=graph&amp;tracks=[key:gene_model_track,Options:GeneOnly]&amp;mk=1766352:1766371|offset_42|444444,1766381:1766400|offset_71|444444,1766403:1766422|offset_93|444444,1766428:1766447|offset_118|00cc00&amp;v=1766151:1766647&amp;c=444444", "offset 118")</f>
        <v>offset 118</v>
      </c>
    </row>
    <row r="6347" customFormat="false" ht="12.8" hidden="false" customHeight="false" outlineLevel="0" collapsed="false">
      <c r="A6347" s="0" t="s">
        <v>12</v>
      </c>
      <c r="B6347" s="0" t="n">
        <v>1767786</v>
      </c>
      <c r="C6347" s="0" t="n">
        <v>1767806</v>
      </c>
      <c r="D6347" s="0" t="s">
        <v>21231</v>
      </c>
      <c r="E6347" s="0" t="s">
        <v>89</v>
      </c>
      <c r="F6347" s="0" t="s">
        <v>15</v>
      </c>
      <c r="G6347" s="0" t="s">
        <v>26</v>
      </c>
      <c r="H6347" s="0" t="n">
        <v>19</v>
      </c>
      <c r="I6347" s="0" t="s">
        <v>21232</v>
      </c>
      <c r="J6347" s="0" t="s">
        <v>21233</v>
      </c>
      <c r="K6347" s="0" t="s">
        <v>21234</v>
      </c>
      <c r="L6347" s="0" t="str">
        <f aca="false">HYPERLINK("https://www.ncbi.nlm.nih.gov/nuccore/CP000304.1?report=graph&amp;tracks=[key:gene_model_track,Options:GeneOnly]&amp;mk=1767787:1767806|offset_19|00cc00,1767852:1767871|offset_84|444444,1767892:1767911|offset_124|444444,1767917:1767936|offset_149|444444&amp;v=1767586:1768136&amp;c=444444", "offset 19")</f>
        <v>offset 19</v>
      </c>
    </row>
    <row r="6348" customFormat="false" ht="12.8" hidden="false" customHeight="false" outlineLevel="0" collapsed="false">
      <c r="A6348" s="0" t="s">
        <v>12</v>
      </c>
      <c r="B6348" s="0" t="n">
        <v>1767851</v>
      </c>
      <c r="C6348" s="0" t="n">
        <v>1767871</v>
      </c>
      <c r="D6348" s="0" t="s">
        <v>21231</v>
      </c>
      <c r="E6348" s="0" t="s">
        <v>89</v>
      </c>
      <c r="F6348" s="0" t="s">
        <v>15</v>
      </c>
      <c r="G6348" s="0" t="s">
        <v>26</v>
      </c>
      <c r="H6348" s="0" t="n">
        <v>84</v>
      </c>
      <c r="I6348" s="0" t="s">
        <v>21235</v>
      </c>
      <c r="J6348" s="0" t="s">
        <v>21236</v>
      </c>
      <c r="K6348" s="0" t="s">
        <v>21237</v>
      </c>
      <c r="L6348" s="0" t="str">
        <f aca="false">HYPERLINK("https://www.ncbi.nlm.nih.gov/nuccore/CP000304.1?report=graph&amp;tracks=[key:gene_model_track,Options:GeneOnly]&amp;mk=1767787:1767806|offset_19|444444,1767852:1767871|offset_84|00cc00,1767892:1767911|offset_124|444444,1767917:1767936|offset_149|444444&amp;v=1767586:1768136&amp;c=444444", "offset 84")</f>
        <v>offset 84</v>
      </c>
    </row>
    <row r="6349" customFormat="false" ht="12.8" hidden="false" customHeight="false" outlineLevel="0" collapsed="false">
      <c r="A6349" s="0" t="s">
        <v>12</v>
      </c>
      <c r="B6349" s="0" t="n">
        <v>1767891</v>
      </c>
      <c r="C6349" s="0" t="n">
        <v>1767911</v>
      </c>
      <c r="D6349" s="0" t="s">
        <v>21231</v>
      </c>
      <c r="E6349" s="0" t="s">
        <v>89</v>
      </c>
      <c r="F6349" s="0" t="s">
        <v>15</v>
      </c>
      <c r="G6349" s="0" t="s">
        <v>16</v>
      </c>
      <c r="H6349" s="0" t="n">
        <v>124</v>
      </c>
      <c r="I6349" s="0" t="s">
        <v>21238</v>
      </c>
      <c r="J6349" s="0" t="s">
        <v>21239</v>
      </c>
      <c r="K6349" s="0" t="s">
        <v>21240</v>
      </c>
      <c r="L6349" s="0" t="str">
        <f aca="false">HYPERLINK("https://www.ncbi.nlm.nih.gov/nuccore/CP000304.1?report=graph&amp;tracks=[key:gene_model_track,Options:GeneOnly]&amp;mk=1767787:1767806|offset_19|444444,1767852:1767871|offset_84|444444,1767892:1767911|offset_124|00cc00,1767917:1767936|offset_149|444444&amp;v=1767586:1768136&amp;c=444444", "offset 124")</f>
        <v>offset 124</v>
      </c>
    </row>
    <row r="6350" customFormat="false" ht="12.8" hidden="false" customHeight="false" outlineLevel="0" collapsed="false">
      <c r="A6350" s="0" t="s">
        <v>12</v>
      </c>
      <c r="B6350" s="0" t="n">
        <v>1767916</v>
      </c>
      <c r="C6350" s="0" t="n">
        <v>1767936</v>
      </c>
      <c r="D6350" s="0" t="s">
        <v>21231</v>
      </c>
      <c r="E6350" s="0" t="s">
        <v>89</v>
      </c>
      <c r="F6350" s="0" t="s">
        <v>15</v>
      </c>
      <c r="G6350" s="0" t="s">
        <v>26</v>
      </c>
      <c r="H6350" s="0" t="n">
        <v>149</v>
      </c>
      <c r="I6350" s="0" t="s">
        <v>21241</v>
      </c>
      <c r="J6350" s="0" t="s">
        <v>21242</v>
      </c>
      <c r="K6350" s="0" t="s">
        <v>21243</v>
      </c>
      <c r="L6350" s="0" t="str">
        <f aca="false">HYPERLINK("https://www.ncbi.nlm.nih.gov/nuccore/CP000304.1?report=graph&amp;tracks=[key:gene_model_track,Options:GeneOnly]&amp;mk=1767787:1767806|offset_19|444444,1767852:1767871|offset_84|444444,1767892:1767911|offset_124|444444,1767917:1767936|offset_149|00cc00&amp;v=1767586:1768136&amp;c=444444", "offset 149")</f>
        <v>offset 149</v>
      </c>
    </row>
    <row r="6351" customFormat="false" ht="12.8" hidden="false" customHeight="false" outlineLevel="0" collapsed="false">
      <c r="A6351" s="0" t="s">
        <v>12</v>
      </c>
      <c r="B6351" s="0" t="n">
        <v>1768598</v>
      </c>
      <c r="C6351" s="0" t="n">
        <v>1768618</v>
      </c>
      <c r="D6351" s="0" t="s">
        <v>21244</v>
      </c>
      <c r="E6351" s="0" t="s">
        <v>21245</v>
      </c>
      <c r="F6351" s="0" t="s">
        <v>15</v>
      </c>
      <c r="G6351" s="0" t="s">
        <v>16</v>
      </c>
      <c r="H6351" s="0" t="n">
        <v>0</v>
      </c>
      <c r="I6351" s="0" t="s">
        <v>21246</v>
      </c>
      <c r="J6351" s="0" t="s">
        <v>21247</v>
      </c>
      <c r="K6351" s="0" t="s">
        <v>21248</v>
      </c>
      <c r="L6351" s="0" t="str">
        <f aca="false">HYPERLINK("https://www.ncbi.nlm.nih.gov/nuccore/CP000304.1?report=graph&amp;tracks=[key:gene_model_track,Options:GeneOnly]&amp;mk=1768599:1768618|offset_0|00cc00,1768619:1768638|offset_20|444444,1768643:1768662|offset_44|444444,1768666:1768685|offset_67|444444&amp;v=1768398:1768885&amp;c=444444", "offset 0")</f>
        <v>offset 0</v>
      </c>
    </row>
    <row r="6352" customFormat="false" ht="12.8" hidden="false" customHeight="false" outlineLevel="0" collapsed="false">
      <c r="A6352" s="0" t="s">
        <v>12</v>
      </c>
      <c r="B6352" s="0" t="n">
        <v>1768618</v>
      </c>
      <c r="C6352" s="0" t="n">
        <v>1768638</v>
      </c>
      <c r="D6352" s="0" t="s">
        <v>21244</v>
      </c>
      <c r="E6352" s="0" t="s">
        <v>21245</v>
      </c>
      <c r="F6352" s="0" t="s">
        <v>15</v>
      </c>
      <c r="G6352" s="0" t="s">
        <v>36</v>
      </c>
      <c r="H6352" s="0" t="n">
        <v>20</v>
      </c>
      <c r="I6352" s="0" t="s">
        <v>21249</v>
      </c>
      <c r="J6352" s="0" t="s">
        <v>21250</v>
      </c>
      <c r="K6352" s="0" t="s">
        <v>21251</v>
      </c>
      <c r="L6352" s="0" t="str">
        <f aca="false">HYPERLINK("https://www.ncbi.nlm.nih.gov/nuccore/CP000304.1?report=graph&amp;tracks=[key:gene_model_track,Options:GeneOnly]&amp;mk=1768599:1768618|offset_0|444444,1768619:1768638|offset_20|00cc00,1768643:1768662|offset_44|444444,1768666:1768685|offset_67|444444&amp;v=1768398:1768885&amp;c=444444", "offset 20")</f>
        <v>offset 20</v>
      </c>
    </row>
    <row r="6353" customFormat="false" ht="12.8" hidden="false" customHeight="false" outlineLevel="0" collapsed="false">
      <c r="A6353" s="0" t="s">
        <v>12</v>
      </c>
      <c r="B6353" s="0" t="n">
        <v>1768642</v>
      </c>
      <c r="C6353" s="0" t="n">
        <v>1768662</v>
      </c>
      <c r="D6353" s="0" t="s">
        <v>21244</v>
      </c>
      <c r="E6353" s="0" t="s">
        <v>21245</v>
      </c>
      <c r="F6353" s="0" t="s">
        <v>15</v>
      </c>
      <c r="G6353" s="0" t="s">
        <v>32</v>
      </c>
      <c r="H6353" s="0" t="n">
        <v>44</v>
      </c>
      <c r="I6353" s="0" t="s">
        <v>21252</v>
      </c>
      <c r="J6353" s="0" t="s">
        <v>21253</v>
      </c>
      <c r="K6353" s="0" t="s">
        <v>21254</v>
      </c>
      <c r="L6353" s="0" t="str">
        <f aca="false">HYPERLINK("https://www.ncbi.nlm.nih.gov/nuccore/CP000304.1?report=graph&amp;tracks=[key:gene_model_track,Options:GeneOnly]&amp;mk=1768599:1768618|offset_0|444444,1768619:1768638|offset_20|444444,1768643:1768662|offset_44|00cc00,1768666:1768685|offset_67|444444&amp;v=1768398:1768885&amp;c=444444", "offset 44")</f>
        <v>offset 44</v>
      </c>
    </row>
    <row r="6354" customFormat="false" ht="12.8" hidden="false" customHeight="false" outlineLevel="0" collapsed="false">
      <c r="A6354" s="0" t="s">
        <v>12</v>
      </c>
      <c r="B6354" s="0" t="n">
        <v>1768665</v>
      </c>
      <c r="C6354" s="0" t="n">
        <v>1768685</v>
      </c>
      <c r="D6354" s="0" t="s">
        <v>21244</v>
      </c>
      <c r="E6354" s="0" t="s">
        <v>21245</v>
      </c>
      <c r="F6354" s="0" t="s">
        <v>15</v>
      </c>
      <c r="G6354" s="0" t="s">
        <v>36</v>
      </c>
      <c r="H6354" s="0" t="n">
        <v>67</v>
      </c>
      <c r="I6354" s="0" t="s">
        <v>21255</v>
      </c>
      <c r="J6354" s="0" t="s">
        <v>21256</v>
      </c>
      <c r="K6354" s="0" t="s">
        <v>21257</v>
      </c>
      <c r="L6354" s="0" t="str">
        <f aca="false">HYPERLINK("https://www.ncbi.nlm.nih.gov/nuccore/CP000304.1?report=graph&amp;tracks=[key:gene_model_track,Options:GeneOnly]&amp;mk=1768599:1768618|offset_0|444444,1768619:1768638|offset_20|444444,1768643:1768662|offset_44|444444,1768666:1768685|offset_67|00cc00&amp;v=1768398:1768885&amp;c=444444", "offset 67")</f>
        <v>offset 67</v>
      </c>
    </row>
    <row r="6355" customFormat="false" ht="12.8" hidden="false" customHeight="false" outlineLevel="0" collapsed="false">
      <c r="A6355" s="0" t="s">
        <v>12</v>
      </c>
      <c r="B6355" s="0" t="n">
        <v>1769889</v>
      </c>
      <c r="C6355" s="0" t="n">
        <v>1769909</v>
      </c>
      <c r="D6355" s="0" t="s">
        <v>21258</v>
      </c>
      <c r="E6355" s="0" t="s">
        <v>89</v>
      </c>
      <c r="F6355" s="0" t="s">
        <v>15</v>
      </c>
      <c r="G6355" s="0" t="s">
        <v>26</v>
      </c>
      <c r="H6355" s="0" t="n">
        <v>14</v>
      </c>
      <c r="I6355" s="0" t="s">
        <v>21259</v>
      </c>
      <c r="J6355" s="0" t="s">
        <v>21260</v>
      </c>
      <c r="K6355" s="0" t="s">
        <v>21261</v>
      </c>
      <c r="L6355" s="0" t="str">
        <f aca="false">HYPERLINK("https://www.ncbi.nlm.nih.gov/nuccore/CP000304.1?report=graph&amp;tracks=[key:gene_model_track,Options:GeneOnly]&amp;mk=1769890:1769909|offset_14|00cc00,1769922:1769941|offset_46|444444,1769943:1769962|offset_67|444444,1770001:1770020|offset_125|444444&amp;v=1769689:1770220&amp;c=444444", "offset 14")</f>
        <v>offset 14</v>
      </c>
    </row>
    <row r="6356" customFormat="false" ht="12.8" hidden="false" customHeight="false" outlineLevel="0" collapsed="false">
      <c r="A6356" s="0" t="s">
        <v>12</v>
      </c>
      <c r="B6356" s="0" t="n">
        <v>1769921</v>
      </c>
      <c r="C6356" s="0" t="n">
        <v>1769941</v>
      </c>
      <c r="D6356" s="0" t="s">
        <v>21258</v>
      </c>
      <c r="E6356" s="0" t="s">
        <v>89</v>
      </c>
      <c r="F6356" s="0" t="s">
        <v>15</v>
      </c>
      <c r="G6356" s="0" t="s">
        <v>36</v>
      </c>
      <c r="H6356" s="0" t="n">
        <v>46</v>
      </c>
      <c r="I6356" s="0" t="s">
        <v>21262</v>
      </c>
      <c r="J6356" s="0" t="s">
        <v>21263</v>
      </c>
      <c r="K6356" s="0" t="s">
        <v>21264</v>
      </c>
      <c r="L6356" s="0" t="str">
        <f aca="false">HYPERLINK("https://www.ncbi.nlm.nih.gov/nuccore/CP000304.1?report=graph&amp;tracks=[key:gene_model_track,Options:GeneOnly]&amp;mk=1769890:1769909|offset_14|444444,1769922:1769941|offset_46|00cc00,1769943:1769962|offset_67|444444,1770001:1770020|offset_125|444444&amp;v=1769689:1770220&amp;c=444444", "offset 46")</f>
        <v>offset 46</v>
      </c>
    </row>
    <row r="6357" customFormat="false" ht="12.8" hidden="false" customHeight="false" outlineLevel="0" collapsed="false">
      <c r="A6357" s="0" t="s">
        <v>12</v>
      </c>
      <c r="B6357" s="0" t="n">
        <v>1769942</v>
      </c>
      <c r="C6357" s="0" t="n">
        <v>1769962</v>
      </c>
      <c r="D6357" s="0" t="s">
        <v>21258</v>
      </c>
      <c r="E6357" s="0" t="s">
        <v>89</v>
      </c>
      <c r="F6357" s="0" t="s">
        <v>15</v>
      </c>
      <c r="G6357" s="0" t="s">
        <v>36</v>
      </c>
      <c r="H6357" s="0" t="n">
        <v>67</v>
      </c>
      <c r="I6357" s="0" t="s">
        <v>21265</v>
      </c>
      <c r="J6357" s="0" t="s">
        <v>21266</v>
      </c>
      <c r="K6357" s="0" t="s">
        <v>21267</v>
      </c>
      <c r="L6357" s="0" t="str">
        <f aca="false">HYPERLINK("https://www.ncbi.nlm.nih.gov/nuccore/CP000304.1?report=graph&amp;tracks=[key:gene_model_track,Options:GeneOnly]&amp;mk=1769890:1769909|offset_14|444444,1769922:1769941|offset_46|444444,1769943:1769962|offset_67|00cc00,1770001:1770020|offset_125|444444&amp;v=1769689:1770220&amp;c=444444", "offset 67")</f>
        <v>offset 67</v>
      </c>
    </row>
    <row r="6358" customFormat="false" ht="12.8" hidden="false" customHeight="false" outlineLevel="0" collapsed="false">
      <c r="A6358" s="0" t="s">
        <v>12</v>
      </c>
      <c r="B6358" s="0" t="n">
        <v>1770000</v>
      </c>
      <c r="C6358" s="0" t="n">
        <v>1770020</v>
      </c>
      <c r="D6358" s="0" t="s">
        <v>21258</v>
      </c>
      <c r="E6358" s="0" t="s">
        <v>89</v>
      </c>
      <c r="F6358" s="0" t="s">
        <v>15</v>
      </c>
      <c r="G6358" s="0" t="s">
        <v>32</v>
      </c>
      <c r="H6358" s="0" t="n">
        <v>125</v>
      </c>
      <c r="I6358" s="0" t="s">
        <v>21268</v>
      </c>
      <c r="J6358" s="0" t="s">
        <v>21269</v>
      </c>
      <c r="K6358" s="0" t="s">
        <v>21270</v>
      </c>
      <c r="L6358" s="0" t="str">
        <f aca="false">HYPERLINK("https://www.ncbi.nlm.nih.gov/nuccore/CP000304.1?report=graph&amp;tracks=[key:gene_model_track,Options:GeneOnly]&amp;mk=1769890:1769909|offset_14|444444,1769922:1769941|offset_46|444444,1769943:1769962|offset_67|444444,1770001:1770020|offset_125|00cc00&amp;v=1769689:1770220&amp;c=444444", "offset 125")</f>
        <v>offset 125</v>
      </c>
    </row>
    <row r="6359" customFormat="false" ht="12.8" hidden="false" customHeight="false" outlineLevel="0" collapsed="false">
      <c r="A6359" s="0" t="s">
        <v>12</v>
      </c>
      <c r="B6359" s="0" t="n">
        <v>1770179</v>
      </c>
      <c r="C6359" s="0" t="n">
        <v>1770199</v>
      </c>
      <c r="D6359" s="0" t="s">
        <v>21271</v>
      </c>
      <c r="E6359" s="0" t="s">
        <v>21272</v>
      </c>
      <c r="F6359" s="0" t="s">
        <v>15</v>
      </c>
      <c r="G6359" s="0" t="s">
        <v>36</v>
      </c>
      <c r="H6359" s="0" t="n">
        <v>10</v>
      </c>
      <c r="I6359" s="0" t="s">
        <v>21273</v>
      </c>
      <c r="J6359" s="0" t="s">
        <v>21274</v>
      </c>
      <c r="K6359" s="0" t="s">
        <v>21275</v>
      </c>
      <c r="L6359" s="0" t="str">
        <f aca="false">HYPERLINK("https://www.ncbi.nlm.nih.gov/nuccore/CP000304.1?report=graph&amp;tracks=[key:gene_model_track,Options:GeneOnly]&amp;mk=1770180:1770199|offset_10|00cc00,1770205:1770224|offset_35|444444,1770235:1770254|offset_65|444444,1770273:1770292|offset_103|444444&amp;v=1769979:1770492&amp;c=444444", "offset 10")</f>
        <v>offset 10</v>
      </c>
    </row>
    <row r="6360" customFormat="false" ht="12.8" hidden="false" customHeight="false" outlineLevel="0" collapsed="false">
      <c r="A6360" s="0" t="s">
        <v>12</v>
      </c>
      <c r="B6360" s="0" t="n">
        <v>1770204</v>
      </c>
      <c r="C6360" s="0" t="n">
        <v>1770224</v>
      </c>
      <c r="D6360" s="0" t="s">
        <v>21271</v>
      </c>
      <c r="E6360" s="0" t="s">
        <v>21272</v>
      </c>
      <c r="F6360" s="0" t="s">
        <v>15</v>
      </c>
      <c r="G6360" s="0" t="s">
        <v>26</v>
      </c>
      <c r="H6360" s="0" t="n">
        <v>35</v>
      </c>
      <c r="I6360" s="0" t="s">
        <v>21276</v>
      </c>
      <c r="J6360" s="0" t="s">
        <v>21277</v>
      </c>
      <c r="K6360" s="0" t="s">
        <v>21278</v>
      </c>
      <c r="L6360" s="0" t="str">
        <f aca="false">HYPERLINK("https://www.ncbi.nlm.nih.gov/nuccore/CP000304.1?report=graph&amp;tracks=[key:gene_model_track,Options:GeneOnly]&amp;mk=1770180:1770199|offset_10|444444,1770205:1770224|offset_35|00cc00,1770235:1770254|offset_65|444444,1770273:1770292|offset_103|444444&amp;v=1769979:1770492&amp;c=444444", "offset 35")</f>
        <v>offset 35</v>
      </c>
    </row>
    <row r="6361" customFormat="false" ht="12.8" hidden="false" customHeight="false" outlineLevel="0" collapsed="false">
      <c r="A6361" s="0" t="s">
        <v>12</v>
      </c>
      <c r="B6361" s="0" t="n">
        <v>1770234</v>
      </c>
      <c r="C6361" s="0" t="n">
        <v>1770254</v>
      </c>
      <c r="D6361" s="0" t="s">
        <v>21271</v>
      </c>
      <c r="E6361" s="0" t="s">
        <v>21272</v>
      </c>
      <c r="F6361" s="0" t="s">
        <v>15</v>
      </c>
      <c r="G6361" s="0" t="s">
        <v>32</v>
      </c>
      <c r="H6361" s="0" t="n">
        <v>65</v>
      </c>
      <c r="I6361" s="0" t="s">
        <v>21279</v>
      </c>
      <c r="J6361" s="0" t="s">
        <v>21280</v>
      </c>
      <c r="K6361" s="0" t="s">
        <v>21281</v>
      </c>
      <c r="L6361" s="0" t="str">
        <f aca="false">HYPERLINK("https://www.ncbi.nlm.nih.gov/nuccore/CP000304.1?report=graph&amp;tracks=[key:gene_model_track,Options:GeneOnly]&amp;mk=1770180:1770199|offset_10|444444,1770205:1770224|offset_35|444444,1770235:1770254|offset_65|00cc00,1770273:1770292|offset_103|444444&amp;v=1769979:1770492&amp;c=444444", "offset 65")</f>
        <v>offset 65</v>
      </c>
    </row>
    <row r="6362" customFormat="false" ht="12.8" hidden="false" customHeight="false" outlineLevel="0" collapsed="false">
      <c r="A6362" s="0" t="s">
        <v>12</v>
      </c>
      <c r="B6362" s="0" t="n">
        <v>1770272</v>
      </c>
      <c r="C6362" s="0" t="n">
        <v>1770292</v>
      </c>
      <c r="D6362" s="0" t="s">
        <v>21271</v>
      </c>
      <c r="E6362" s="0" t="s">
        <v>21272</v>
      </c>
      <c r="F6362" s="0" t="s">
        <v>15</v>
      </c>
      <c r="G6362" s="0" t="s">
        <v>16</v>
      </c>
      <c r="H6362" s="0" t="n">
        <v>103</v>
      </c>
      <c r="I6362" s="0" t="s">
        <v>21282</v>
      </c>
      <c r="J6362" s="0" t="s">
        <v>21283</v>
      </c>
      <c r="K6362" s="0" t="s">
        <v>21284</v>
      </c>
      <c r="L6362" s="0" t="str">
        <f aca="false">HYPERLINK("https://www.ncbi.nlm.nih.gov/nuccore/CP000304.1?report=graph&amp;tracks=[key:gene_model_track,Options:GeneOnly]&amp;mk=1770180:1770199|offset_10|444444,1770205:1770224|offset_35|444444,1770235:1770254|offset_65|444444,1770273:1770292|offset_103|00cc00&amp;v=1769979:1770492&amp;c=444444", "offset 103")</f>
        <v>offset 103</v>
      </c>
    </row>
    <row r="6363" customFormat="false" ht="12.8" hidden="false" customHeight="false" outlineLevel="0" collapsed="false">
      <c r="A6363" s="0" t="s">
        <v>12</v>
      </c>
      <c r="B6363" s="0" t="n">
        <v>1771380</v>
      </c>
      <c r="C6363" s="0" t="n">
        <v>1771400</v>
      </c>
      <c r="D6363" s="0" t="s">
        <v>21285</v>
      </c>
      <c r="E6363" s="0" t="s">
        <v>89</v>
      </c>
      <c r="F6363" s="0" t="s">
        <v>15</v>
      </c>
      <c r="G6363" s="0" t="s">
        <v>16</v>
      </c>
      <c r="H6363" s="0" t="n">
        <v>22</v>
      </c>
      <c r="I6363" s="0" t="s">
        <v>21286</v>
      </c>
      <c r="J6363" s="0" t="s">
        <v>21287</v>
      </c>
      <c r="K6363" s="0" t="s">
        <v>21288</v>
      </c>
      <c r="L6363" s="0" t="str">
        <f aca="false">HYPERLINK("https://www.ncbi.nlm.nih.gov/nuccore/CP000304.1?report=graph&amp;tracks=[key:gene_model_track,Options:GeneOnly]&amp;mk=1771381:1771400|offset_22|00cc00,1771406:1771425|offset_47|444444,1771454:1771473|offset_95|444444,1771477:1771496|offset_118|444444&amp;v=1771180:1771696&amp;c=444444", "offset 22")</f>
        <v>offset 22</v>
      </c>
    </row>
    <row r="6364" customFormat="false" ht="12.8" hidden="false" customHeight="false" outlineLevel="0" collapsed="false">
      <c r="A6364" s="0" t="s">
        <v>12</v>
      </c>
      <c r="B6364" s="0" t="n">
        <v>1771405</v>
      </c>
      <c r="C6364" s="0" t="n">
        <v>1771425</v>
      </c>
      <c r="D6364" s="0" t="s">
        <v>21285</v>
      </c>
      <c r="E6364" s="0" t="s">
        <v>89</v>
      </c>
      <c r="F6364" s="0" t="s">
        <v>15</v>
      </c>
      <c r="G6364" s="0" t="s">
        <v>26</v>
      </c>
      <c r="H6364" s="0" t="n">
        <v>47</v>
      </c>
      <c r="I6364" s="0" t="s">
        <v>21289</v>
      </c>
      <c r="J6364" s="0" t="s">
        <v>21290</v>
      </c>
      <c r="K6364" s="0" t="s">
        <v>21291</v>
      </c>
      <c r="L6364" s="0" t="str">
        <f aca="false">HYPERLINK("https://www.ncbi.nlm.nih.gov/nuccore/CP000304.1?report=graph&amp;tracks=[key:gene_model_track,Options:GeneOnly]&amp;mk=1771381:1771400|offset_22|444444,1771406:1771425|offset_47|00cc00,1771454:1771473|offset_95|444444,1771477:1771496|offset_118|444444&amp;v=1771180:1771696&amp;c=444444", "offset 47")</f>
        <v>offset 47</v>
      </c>
    </row>
    <row r="6365" customFormat="false" ht="12.8" hidden="false" customHeight="false" outlineLevel="0" collapsed="false">
      <c r="A6365" s="0" t="s">
        <v>12</v>
      </c>
      <c r="B6365" s="0" t="n">
        <v>1771453</v>
      </c>
      <c r="C6365" s="0" t="n">
        <v>1771473</v>
      </c>
      <c r="D6365" s="0" t="s">
        <v>21285</v>
      </c>
      <c r="E6365" s="0" t="s">
        <v>89</v>
      </c>
      <c r="F6365" s="0" t="s">
        <v>15</v>
      </c>
      <c r="G6365" s="0" t="s">
        <v>32</v>
      </c>
      <c r="H6365" s="0" t="n">
        <v>95</v>
      </c>
      <c r="I6365" s="0" t="s">
        <v>21292</v>
      </c>
      <c r="J6365" s="0" t="s">
        <v>21293</v>
      </c>
      <c r="K6365" s="0" t="s">
        <v>21294</v>
      </c>
      <c r="L6365" s="0" t="str">
        <f aca="false">HYPERLINK("https://www.ncbi.nlm.nih.gov/nuccore/CP000304.1?report=graph&amp;tracks=[key:gene_model_track,Options:GeneOnly]&amp;mk=1771381:1771400|offset_22|444444,1771406:1771425|offset_47|444444,1771454:1771473|offset_95|00cc00,1771477:1771496|offset_118|444444&amp;v=1771180:1771696&amp;c=444444", "offset 95")</f>
        <v>offset 95</v>
      </c>
    </row>
    <row r="6366" customFormat="false" ht="12.8" hidden="false" customHeight="false" outlineLevel="0" collapsed="false">
      <c r="A6366" s="0" t="s">
        <v>12</v>
      </c>
      <c r="B6366" s="0" t="n">
        <v>1771476</v>
      </c>
      <c r="C6366" s="0" t="n">
        <v>1771496</v>
      </c>
      <c r="D6366" s="0" t="s">
        <v>21285</v>
      </c>
      <c r="E6366" s="0" t="s">
        <v>89</v>
      </c>
      <c r="F6366" s="0" t="s">
        <v>15</v>
      </c>
      <c r="G6366" s="0" t="s">
        <v>16</v>
      </c>
      <c r="H6366" s="0" t="n">
        <v>118</v>
      </c>
      <c r="I6366" s="0" t="s">
        <v>21295</v>
      </c>
      <c r="J6366" s="0" t="s">
        <v>21296</v>
      </c>
      <c r="K6366" s="0" t="s">
        <v>21297</v>
      </c>
      <c r="L6366" s="0" t="str">
        <f aca="false">HYPERLINK("https://www.ncbi.nlm.nih.gov/nuccore/CP000304.1?report=graph&amp;tracks=[key:gene_model_track,Options:GeneOnly]&amp;mk=1771381:1771400|offset_22|444444,1771406:1771425|offset_47|444444,1771454:1771473|offset_95|444444,1771477:1771496|offset_118|00cc00&amp;v=1771180:1771696&amp;c=444444", "offset 118")</f>
        <v>offset 118</v>
      </c>
    </row>
    <row r="6367" customFormat="false" ht="12.8" hidden="false" customHeight="false" outlineLevel="0" collapsed="false">
      <c r="A6367" s="0" t="s">
        <v>12</v>
      </c>
      <c r="B6367" s="0" t="n">
        <v>1772200</v>
      </c>
      <c r="C6367" s="0" t="n">
        <v>1772220</v>
      </c>
      <c r="D6367" s="0" t="s">
        <v>21298</v>
      </c>
      <c r="E6367" s="0" t="s">
        <v>89</v>
      </c>
      <c r="F6367" s="0" t="s">
        <v>15</v>
      </c>
      <c r="G6367" s="0" t="s">
        <v>36</v>
      </c>
      <c r="H6367" s="0" t="n">
        <v>21</v>
      </c>
      <c r="I6367" s="0" t="s">
        <v>21299</v>
      </c>
      <c r="J6367" s="0" t="s">
        <v>21300</v>
      </c>
      <c r="K6367" s="0" t="s">
        <v>21301</v>
      </c>
      <c r="L6367" s="0" t="str">
        <f aca="false">HYPERLINK("https://www.ncbi.nlm.nih.gov/nuccore/CP000304.1?report=graph&amp;tracks=[key:gene_model_track,Options:GeneOnly]&amp;mk=1772201:1772220|offset_21|00cc00,1772223:1772242|offset_43|444444,1772279:1772298|offset_99|444444,1772381:1772400|offset_201|444444&amp;v=1772000:1772600&amp;c=444444", "offset 21")</f>
        <v>offset 21</v>
      </c>
    </row>
    <row r="6368" customFormat="false" ht="12.8" hidden="false" customHeight="false" outlineLevel="0" collapsed="false">
      <c r="A6368" s="0" t="s">
        <v>12</v>
      </c>
      <c r="B6368" s="0" t="n">
        <v>1772222</v>
      </c>
      <c r="C6368" s="0" t="n">
        <v>1772242</v>
      </c>
      <c r="D6368" s="0" t="s">
        <v>21298</v>
      </c>
      <c r="E6368" s="0" t="s">
        <v>89</v>
      </c>
      <c r="F6368" s="0" t="s">
        <v>15</v>
      </c>
      <c r="G6368" s="0" t="s">
        <v>32</v>
      </c>
      <c r="H6368" s="0" t="n">
        <v>43</v>
      </c>
      <c r="I6368" s="0" t="s">
        <v>21302</v>
      </c>
      <c r="J6368" s="0" t="s">
        <v>21303</v>
      </c>
      <c r="K6368" s="0" t="s">
        <v>21304</v>
      </c>
      <c r="L6368" s="0" t="str">
        <f aca="false">HYPERLINK("https://www.ncbi.nlm.nih.gov/nuccore/CP000304.1?report=graph&amp;tracks=[key:gene_model_track,Options:GeneOnly]&amp;mk=1772201:1772220|offset_21|444444,1772223:1772242|offset_43|00cc00,1772279:1772298|offset_99|444444,1772381:1772400|offset_201|444444&amp;v=1772000:1772600&amp;c=444444", "offset 43")</f>
        <v>offset 43</v>
      </c>
    </row>
    <row r="6369" customFormat="false" ht="12.8" hidden="false" customHeight="false" outlineLevel="0" collapsed="false">
      <c r="A6369" s="0" t="s">
        <v>12</v>
      </c>
      <c r="B6369" s="0" t="n">
        <v>1772278</v>
      </c>
      <c r="C6369" s="0" t="n">
        <v>1772298</v>
      </c>
      <c r="D6369" s="0" t="s">
        <v>21298</v>
      </c>
      <c r="E6369" s="0" t="s">
        <v>89</v>
      </c>
      <c r="F6369" s="0" t="s">
        <v>15</v>
      </c>
      <c r="G6369" s="0" t="s">
        <v>36</v>
      </c>
      <c r="H6369" s="0" t="n">
        <v>99</v>
      </c>
      <c r="I6369" s="0" t="s">
        <v>21305</v>
      </c>
      <c r="J6369" s="0" t="s">
        <v>21306</v>
      </c>
      <c r="K6369" s="0" t="s">
        <v>21307</v>
      </c>
      <c r="L6369" s="0" t="str">
        <f aca="false">HYPERLINK("https://www.ncbi.nlm.nih.gov/nuccore/CP000304.1?report=graph&amp;tracks=[key:gene_model_track,Options:GeneOnly]&amp;mk=1772201:1772220|offset_21|444444,1772223:1772242|offset_43|444444,1772279:1772298|offset_99|00cc00,1772381:1772400|offset_201|444444&amp;v=1772000:1772600&amp;c=444444", "offset 99")</f>
        <v>offset 99</v>
      </c>
    </row>
    <row r="6370" customFormat="false" ht="12.8" hidden="false" customHeight="false" outlineLevel="0" collapsed="false">
      <c r="A6370" s="0" t="s">
        <v>12</v>
      </c>
      <c r="B6370" s="0" t="n">
        <v>1772380</v>
      </c>
      <c r="C6370" s="0" t="n">
        <v>1772400</v>
      </c>
      <c r="D6370" s="0" t="s">
        <v>21298</v>
      </c>
      <c r="E6370" s="0" t="s">
        <v>89</v>
      </c>
      <c r="F6370" s="0" t="s">
        <v>15</v>
      </c>
      <c r="G6370" s="0" t="s">
        <v>16</v>
      </c>
      <c r="H6370" s="0" t="n">
        <v>201</v>
      </c>
      <c r="I6370" s="0" t="s">
        <v>21308</v>
      </c>
      <c r="J6370" s="0" t="s">
        <v>21309</v>
      </c>
      <c r="K6370" s="0" t="s">
        <v>21310</v>
      </c>
      <c r="L6370" s="0" t="str">
        <f aca="false">HYPERLINK("https://www.ncbi.nlm.nih.gov/nuccore/CP000304.1?report=graph&amp;tracks=[key:gene_model_track,Options:GeneOnly]&amp;mk=1772201:1772220|offset_21|444444,1772223:1772242|offset_43|444444,1772279:1772298|offset_99|444444,1772381:1772400|offset_201|00cc00&amp;v=1772000:1772600&amp;c=444444", "offset 201")</f>
        <v>offset 201</v>
      </c>
    </row>
    <row r="6371" customFormat="false" ht="12.8" hidden="false" customHeight="false" outlineLevel="0" collapsed="false">
      <c r="A6371" s="0" t="s">
        <v>12</v>
      </c>
      <c r="B6371" s="0" t="n">
        <v>1773007</v>
      </c>
      <c r="C6371" s="0" t="n">
        <v>1773027</v>
      </c>
      <c r="D6371" s="0" t="s">
        <v>21311</v>
      </c>
      <c r="E6371" s="0" t="s">
        <v>89</v>
      </c>
      <c r="F6371" s="0" t="s">
        <v>15</v>
      </c>
      <c r="G6371" s="0" t="s">
        <v>16</v>
      </c>
      <c r="H6371" s="0" t="n">
        <v>21</v>
      </c>
      <c r="I6371" s="0" t="s">
        <v>21312</v>
      </c>
      <c r="J6371" s="0" t="s">
        <v>21313</v>
      </c>
      <c r="K6371" s="0" t="s">
        <v>21314</v>
      </c>
      <c r="L6371" s="0" t="str">
        <f aca="false">HYPERLINK("https://www.ncbi.nlm.nih.gov/nuccore/CP000304.1?report=graph&amp;tracks=[key:gene_model_track,Options:GeneOnly]&amp;mk=1773008:1773027|offset_21|00cc00,1773037:1773056|offset_50|444444,1773065:1773084|offset_78|444444,1773093:1773112|offset_106|444444&amp;v=1772807:1773312&amp;c=444444", "offset 21")</f>
        <v>offset 21</v>
      </c>
    </row>
    <row r="6372" customFormat="false" ht="12.8" hidden="false" customHeight="false" outlineLevel="0" collapsed="false">
      <c r="A6372" s="0" t="s">
        <v>12</v>
      </c>
      <c r="B6372" s="0" t="n">
        <v>1773036</v>
      </c>
      <c r="C6372" s="0" t="n">
        <v>1773056</v>
      </c>
      <c r="D6372" s="0" t="s">
        <v>21311</v>
      </c>
      <c r="E6372" s="0" t="s">
        <v>89</v>
      </c>
      <c r="F6372" s="0" t="s">
        <v>15</v>
      </c>
      <c r="G6372" s="0" t="s">
        <v>16</v>
      </c>
      <c r="H6372" s="0" t="n">
        <v>50</v>
      </c>
      <c r="I6372" s="0" t="s">
        <v>21315</v>
      </c>
      <c r="J6372" s="0" t="s">
        <v>21316</v>
      </c>
      <c r="K6372" s="0" t="s">
        <v>21317</v>
      </c>
      <c r="L6372" s="0" t="str">
        <f aca="false">HYPERLINK("https://www.ncbi.nlm.nih.gov/nuccore/CP000304.1?report=graph&amp;tracks=[key:gene_model_track,Options:GeneOnly]&amp;mk=1773008:1773027|offset_21|444444,1773037:1773056|offset_50|00cc00,1773065:1773084|offset_78|444444,1773093:1773112|offset_106|444444&amp;v=1772807:1773312&amp;c=444444", "offset 50")</f>
        <v>offset 50</v>
      </c>
    </row>
    <row r="6373" customFormat="false" ht="12.8" hidden="false" customHeight="false" outlineLevel="0" collapsed="false">
      <c r="A6373" s="0" t="s">
        <v>12</v>
      </c>
      <c r="B6373" s="0" t="n">
        <v>1773064</v>
      </c>
      <c r="C6373" s="0" t="n">
        <v>1773084</v>
      </c>
      <c r="D6373" s="0" t="s">
        <v>21311</v>
      </c>
      <c r="E6373" s="0" t="s">
        <v>89</v>
      </c>
      <c r="F6373" s="0" t="s">
        <v>15</v>
      </c>
      <c r="G6373" s="0" t="s">
        <v>36</v>
      </c>
      <c r="H6373" s="0" t="n">
        <v>78</v>
      </c>
      <c r="I6373" s="0" t="s">
        <v>21318</v>
      </c>
      <c r="J6373" s="0" t="s">
        <v>21319</v>
      </c>
      <c r="K6373" s="0" t="s">
        <v>21320</v>
      </c>
      <c r="L6373" s="0" t="str">
        <f aca="false">HYPERLINK("https://www.ncbi.nlm.nih.gov/nuccore/CP000304.1?report=graph&amp;tracks=[key:gene_model_track,Options:GeneOnly]&amp;mk=1773008:1773027|offset_21|444444,1773037:1773056|offset_50|444444,1773065:1773084|offset_78|00cc00,1773093:1773112|offset_106|444444&amp;v=1772807:1773312&amp;c=444444", "offset 78")</f>
        <v>offset 78</v>
      </c>
    </row>
    <row r="6374" customFormat="false" ht="12.8" hidden="false" customHeight="false" outlineLevel="0" collapsed="false">
      <c r="A6374" s="0" t="s">
        <v>12</v>
      </c>
      <c r="B6374" s="0" t="n">
        <v>1773092</v>
      </c>
      <c r="C6374" s="0" t="n">
        <v>1773112</v>
      </c>
      <c r="D6374" s="0" t="s">
        <v>21311</v>
      </c>
      <c r="E6374" s="0" t="s">
        <v>89</v>
      </c>
      <c r="F6374" s="0" t="s">
        <v>15</v>
      </c>
      <c r="G6374" s="0" t="s">
        <v>32</v>
      </c>
      <c r="H6374" s="0" t="n">
        <v>106</v>
      </c>
      <c r="I6374" s="0" t="s">
        <v>21321</v>
      </c>
      <c r="J6374" s="0" t="s">
        <v>21322</v>
      </c>
      <c r="K6374" s="0" t="s">
        <v>21323</v>
      </c>
      <c r="L6374" s="0" t="str">
        <f aca="false">HYPERLINK("https://www.ncbi.nlm.nih.gov/nuccore/CP000304.1?report=graph&amp;tracks=[key:gene_model_track,Options:GeneOnly]&amp;mk=1773008:1773027|offset_21|444444,1773037:1773056|offset_50|444444,1773065:1773084|offset_78|444444,1773093:1773112|offset_106|00cc00&amp;v=1772807:1773312&amp;c=444444", "offset 106")</f>
        <v>offset 106</v>
      </c>
    </row>
    <row r="6375" customFormat="false" ht="12.8" hidden="false" customHeight="false" outlineLevel="0" collapsed="false">
      <c r="A6375" s="0" t="s">
        <v>12</v>
      </c>
      <c r="B6375" s="0" t="n">
        <v>1774163</v>
      </c>
      <c r="C6375" s="0" t="n">
        <v>1774183</v>
      </c>
      <c r="D6375" s="0" t="s">
        <v>21324</v>
      </c>
      <c r="E6375" s="0" t="s">
        <v>89</v>
      </c>
      <c r="F6375" s="0" t="s">
        <v>90</v>
      </c>
      <c r="G6375" s="0" t="s">
        <v>16</v>
      </c>
      <c r="H6375" s="0" t="n">
        <v>6</v>
      </c>
      <c r="I6375" s="0" t="s">
        <v>21325</v>
      </c>
      <c r="J6375" s="0" t="s">
        <v>21326</v>
      </c>
      <c r="K6375" s="0" t="s">
        <v>21327</v>
      </c>
      <c r="L6375" s="0" t="str">
        <f aca="false">HYPERLINK("https://www.ncbi.nlm.nih.gov/nuccore/CP000304.1?report=graph&amp;tracks=[key:gene_model_track,Options:GeneOnly]&amp;mk=1774164:1774183|offset_6|00cc00,1774115:1774134|offset_55|444444,1774064:1774083|offset_106|444444,1774025:1774044|offset_145|444444&amp;v=1773963:1774244&amp;c=444444", "offset 6")</f>
        <v>offset 6</v>
      </c>
    </row>
    <row r="6376" customFormat="false" ht="12.8" hidden="false" customHeight="false" outlineLevel="0" collapsed="false">
      <c r="A6376" s="0" t="s">
        <v>12</v>
      </c>
      <c r="B6376" s="0" t="n">
        <v>1774114</v>
      </c>
      <c r="C6376" s="0" t="n">
        <v>1774134</v>
      </c>
      <c r="D6376" s="0" t="s">
        <v>21324</v>
      </c>
      <c r="E6376" s="0" t="s">
        <v>89</v>
      </c>
      <c r="F6376" s="0" t="s">
        <v>90</v>
      </c>
      <c r="G6376" s="0" t="s">
        <v>36</v>
      </c>
      <c r="H6376" s="0" t="n">
        <v>55</v>
      </c>
      <c r="I6376" s="0" t="s">
        <v>21328</v>
      </c>
      <c r="J6376" s="0" t="s">
        <v>21329</v>
      </c>
      <c r="K6376" s="0" t="s">
        <v>21330</v>
      </c>
      <c r="L6376" s="0" t="str">
        <f aca="false">HYPERLINK("https://www.ncbi.nlm.nih.gov/nuccore/CP000304.1?report=graph&amp;tracks=[key:gene_model_track,Options:GeneOnly]&amp;mk=1774164:1774183|offset_6|444444,1774115:1774134|offset_55|00cc00,1774064:1774083|offset_106|444444,1774025:1774044|offset_145|444444&amp;v=1773963:1774244&amp;c=444444", "offset 55")</f>
        <v>offset 55</v>
      </c>
    </row>
    <row r="6377" customFormat="false" ht="12.8" hidden="false" customHeight="false" outlineLevel="0" collapsed="false">
      <c r="A6377" s="0" t="s">
        <v>12</v>
      </c>
      <c r="B6377" s="0" t="n">
        <v>1774063</v>
      </c>
      <c r="C6377" s="0" t="n">
        <v>1774083</v>
      </c>
      <c r="D6377" s="0" t="s">
        <v>21324</v>
      </c>
      <c r="E6377" s="0" t="s">
        <v>89</v>
      </c>
      <c r="F6377" s="0" t="s">
        <v>90</v>
      </c>
      <c r="G6377" s="0" t="s">
        <v>36</v>
      </c>
      <c r="H6377" s="0" t="n">
        <v>106</v>
      </c>
      <c r="I6377" s="0" t="s">
        <v>21331</v>
      </c>
      <c r="J6377" s="0" t="s">
        <v>21332</v>
      </c>
      <c r="K6377" s="0" t="s">
        <v>21333</v>
      </c>
      <c r="L6377" s="0" t="str">
        <f aca="false">HYPERLINK("https://www.ncbi.nlm.nih.gov/nuccore/CP000304.1?report=graph&amp;tracks=[key:gene_model_track,Options:GeneOnly]&amp;mk=1774164:1774183|offset_6|444444,1774115:1774134|offset_55|444444,1774064:1774083|offset_106|00cc00,1774025:1774044|offset_145|444444&amp;v=1773963:1774244&amp;c=444444", "offset 106")</f>
        <v>offset 106</v>
      </c>
    </row>
    <row r="6378" customFormat="false" ht="12.8" hidden="false" customHeight="false" outlineLevel="0" collapsed="false">
      <c r="A6378" s="0" t="s">
        <v>12</v>
      </c>
      <c r="B6378" s="0" t="n">
        <v>1774024</v>
      </c>
      <c r="C6378" s="0" t="n">
        <v>1774044</v>
      </c>
      <c r="D6378" s="0" t="s">
        <v>21324</v>
      </c>
      <c r="E6378" s="0" t="s">
        <v>89</v>
      </c>
      <c r="F6378" s="0" t="s">
        <v>90</v>
      </c>
      <c r="G6378" s="0" t="s">
        <v>16</v>
      </c>
      <c r="H6378" s="0" t="n">
        <v>145</v>
      </c>
      <c r="I6378" s="0" t="s">
        <v>21334</v>
      </c>
      <c r="J6378" s="0" t="s">
        <v>21335</v>
      </c>
      <c r="K6378" s="0" t="s">
        <v>21336</v>
      </c>
      <c r="L6378" s="0" t="str">
        <f aca="false">HYPERLINK("https://www.ncbi.nlm.nih.gov/nuccore/CP000304.1?report=graph&amp;tracks=[key:gene_model_track,Options:GeneOnly]&amp;mk=1774164:1774183|offset_6|444444,1774115:1774134|offset_55|444444,1774064:1774083|offset_106|444444,1774025:1774044|offset_145|00cc00&amp;v=1773963:1774244&amp;c=444444", "offset 145")</f>
        <v>offset 145</v>
      </c>
    </row>
    <row r="6379" customFormat="false" ht="12.8" hidden="false" customHeight="false" outlineLevel="0" collapsed="false">
      <c r="A6379" s="0" t="s">
        <v>12</v>
      </c>
      <c r="B6379" s="0" t="n">
        <v>1774425</v>
      </c>
      <c r="C6379" s="0" t="n">
        <v>1774445</v>
      </c>
      <c r="D6379" s="0" t="s">
        <v>21337</v>
      </c>
      <c r="E6379" s="0" t="s">
        <v>21338</v>
      </c>
      <c r="F6379" s="0" t="s">
        <v>15</v>
      </c>
      <c r="G6379" s="0" t="s">
        <v>36</v>
      </c>
      <c r="H6379" s="0" t="n">
        <v>6</v>
      </c>
      <c r="I6379" s="0" t="s">
        <v>21339</v>
      </c>
      <c r="J6379" s="0" t="s">
        <v>21340</v>
      </c>
      <c r="K6379" s="0" t="s">
        <v>21341</v>
      </c>
      <c r="L6379" s="0" t="str">
        <f aca="false">HYPERLINK("https://www.ncbi.nlm.nih.gov/nuccore/CP000304.1?report=graph&amp;tracks=[key:gene_model_track,Options:GeneOnly]&amp;mk=1774426:1774445|offset_6|00cc00,1774451:1774470|offset_31|444444,1774484:1774503|offset_64|444444,1774514:1774533|offset_94|444444&amp;v=1774225:1774733&amp;c=444444", "offset 6")</f>
        <v>offset 6</v>
      </c>
    </row>
    <row r="6380" customFormat="false" ht="12.8" hidden="false" customHeight="false" outlineLevel="0" collapsed="false">
      <c r="A6380" s="0" t="s">
        <v>12</v>
      </c>
      <c r="B6380" s="0" t="n">
        <v>1774450</v>
      </c>
      <c r="C6380" s="0" t="n">
        <v>1774470</v>
      </c>
      <c r="D6380" s="0" t="s">
        <v>21337</v>
      </c>
      <c r="E6380" s="0" t="s">
        <v>21338</v>
      </c>
      <c r="F6380" s="0" t="s">
        <v>15</v>
      </c>
      <c r="G6380" s="0" t="s">
        <v>16</v>
      </c>
      <c r="H6380" s="0" t="n">
        <v>31</v>
      </c>
      <c r="I6380" s="0" t="s">
        <v>21342</v>
      </c>
      <c r="J6380" s="0" t="s">
        <v>21343</v>
      </c>
      <c r="K6380" s="0" t="s">
        <v>21344</v>
      </c>
      <c r="L6380" s="0" t="str">
        <f aca="false">HYPERLINK("https://www.ncbi.nlm.nih.gov/nuccore/CP000304.1?report=graph&amp;tracks=[key:gene_model_track,Options:GeneOnly]&amp;mk=1774426:1774445|offset_6|444444,1774451:1774470|offset_31|00cc00,1774484:1774503|offset_64|444444,1774514:1774533|offset_94|444444&amp;v=1774225:1774733&amp;c=444444", "offset 31")</f>
        <v>offset 31</v>
      </c>
    </row>
    <row r="6381" customFormat="false" ht="12.8" hidden="false" customHeight="false" outlineLevel="0" collapsed="false">
      <c r="A6381" s="0" t="s">
        <v>12</v>
      </c>
      <c r="B6381" s="0" t="n">
        <v>1774483</v>
      </c>
      <c r="C6381" s="0" t="n">
        <v>1774503</v>
      </c>
      <c r="D6381" s="0" t="s">
        <v>21337</v>
      </c>
      <c r="E6381" s="0" t="s">
        <v>21338</v>
      </c>
      <c r="F6381" s="0" t="s">
        <v>15</v>
      </c>
      <c r="G6381" s="0" t="s">
        <v>32</v>
      </c>
      <c r="H6381" s="0" t="n">
        <v>64</v>
      </c>
      <c r="I6381" s="0" t="s">
        <v>21345</v>
      </c>
      <c r="J6381" s="0" t="s">
        <v>21346</v>
      </c>
      <c r="K6381" s="0" t="s">
        <v>21347</v>
      </c>
      <c r="L6381" s="0" t="str">
        <f aca="false">HYPERLINK("https://www.ncbi.nlm.nih.gov/nuccore/CP000304.1?report=graph&amp;tracks=[key:gene_model_track,Options:GeneOnly]&amp;mk=1774426:1774445|offset_6|444444,1774451:1774470|offset_31|444444,1774484:1774503|offset_64|00cc00,1774514:1774533|offset_94|444444&amp;v=1774225:1774733&amp;c=444444", "offset 64")</f>
        <v>offset 64</v>
      </c>
    </row>
    <row r="6382" customFormat="false" ht="12.8" hidden="false" customHeight="false" outlineLevel="0" collapsed="false">
      <c r="A6382" s="0" t="s">
        <v>12</v>
      </c>
      <c r="B6382" s="0" t="n">
        <v>1774513</v>
      </c>
      <c r="C6382" s="0" t="n">
        <v>1774533</v>
      </c>
      <c r="D6382" s="0" t="s">
        <v>21337</v>
      </c>
      <c r="E6382" s="0" t="s">
        <v>21338</v>
      </c>
      <c r="F6382" s="0" t="s">
        <v>15</v>
      </c>
      <c r="G6382" s="0" t="s">
        <v>16</v>
      </c>
      <c r="H6382" s="0" t="n">
        <v>94</v>
      </c>
      <c r="I6382" s="0" t="s">
        <v>21348</v>
      </c>
      <c r="J6382" s="0" t="s">
        <v>21349</v>
      </c>
      <c r="K6382" s="0" t="s">
        <v>21350</v>
      </c>
      <c r="L6382" s="0" t="str">
        <f aca="false">HYPERLINK("https://www.ncbi.nlm.nih.gov/nuccore/CP000304.1?report=graph&amp;tracks=[key:gene_model_track,Options:GeneOnly]&amp;mk=1774426:1774445|offset_6|444444,1774451:1774470|offset_31|444444,1774484:1774503|offset_64|444444,1774514:1774533|offset_94|00cc00&amp;v=1774225:1774733&amp;c=444444", "offset 94")</f>
        <v>offset 94</v>
      </c>
    </row>
    <row r="6383" customFormat="false" ht="12.8" hidden="false" customHeight="false" outlineLevel="0" collapsed="false">
      <c r="A6383" s="0" t="s">
        <v>12</v>
      </c>
      <c r="B6383" s="0" t="n">
        <v>1775439</v>
      </c>
      <c r="C6383" s="0" t="n">
        <v>1775459</v>
      </c>
      <c r="D6383" s="0" t="s">
        <v>21351</v>
      </c>
      <c r="E6383" s="0" t="s">
        <v>89</v>
      </c>
      <c r="F6383" s="0" t="s">
        <v>90</v>
      </c>
      <c r="G6383" s="0" t="s">
        <v>32</v>
      </c>
      <c r="H6383" s="0" t="n">
        <v>1</v>
      </c>
      <c r="I6383" s="0" t="s">
        <v>21352</v>
      </c>
      <c r="J6383" s="0" t="s">
        <v>21353</v>
      </c>
      <c r="K6383" s="0" t="s">
        <v>21354</v>
      </c>
      <c r="L6383" s="0" t="str">
        <f aca="false">HYPERLINK("https://www.ncbi.nlm.nih.gov/nuccore/CP000304.1?report=graph&amp;tracks=[key:gene_model_track,Options:GeneOnly]&amp;mk=1775440:1775459|offset_1|00cc00,1775394:1775413|offset_47|444444,1775374:1775393|offset_67|444444,1775325:1775344|offset_116|444444&amp;v=1775239:1775544&amp;c=444444", "offset 1")</f>
        <v>offset 1</v>
      </c>
    </row>
    <row r="6384" customFormat="false" ht="12.8" hidden="false" customHeight="false" outlineLevel="0" collapsed="false">
      <c r="A6384" s="0" t="s">
        <v>12</v>
      </c>
      <c r="B6384" s="0" t="n">
        <v>1775393</v>
      </c>
      <c r="C6384" s="0" t="n">
        <v>1775413</v>
      </c>
      <c r="D6384" s="0" t="s">
        <v>21351</v>
      </c>
      <c r="E6384" s="0" t="s">
        <v>89</v>
      </c>
      <c r="F6384" s="0" t="s">
        <v>90</v>
      </c>
      <c r="G6384" s="0" t="s">
        <v>16</v>
      </c>
      <c r="H6384" s="0" t="n">
        <v>47</v>
      </c>
      <c r="I6384" s="0" t="s">
        <v>21355</v>
      </c>
      <c r="J6384" s="0" t="s">
        <v>21356</v>
      </c>
      <c r="K6384" s="0" t="s">
        <v>21357</v>
      </c>
      <c r="L6384" s="0" t="str">
        <f aca="false">HYPERLINK("https://www.ncbi.nlm.nih.gov/nuccore/CP000304.1?report=graph&amp;tracks=[key:gene_model_track,Options:GeneOnly]&amp;mk=1775440:1775459|offset_1|444444,1775394:1775413|offset_47|00cc00,1775374:1775393|offset_67|444444,1775325:1775344|offset_116|444444&amp;v=1775239:1775544&amp;c=444444", "offset 47")</f>
        <v>offset 47</v>
      </c>
    </row>
    <row r="6385" customFormat="false" ht="12.8" hidden="false" customHeight="false" outlineLevel="0" collapsed="false">
      <c r="A6385" s="0" t="s">
        <v>12</v>
      </c>
      <c r="B6385" s="0" t="n">
        <v>1775373</v>
      </c>
      <c r="C6385" s="0" t="n">
        <v>1775393</v>
      </c>
      <c r="D6385" s="0" t="s">
        <v>21351</v>
      </c>
      <c r="E6385" s="0" t="s">
        <v>89</v>
      </c>
      <c r="F6385" s="0" t="s">
        <v>90</v>
      </c>
      <c r="G6385" s="0" t="s">
        <v>16</v>
      </c>
      <c r="H6385" s="0" t="n">
        <v>67</v>
      </c>
      <c r="I6385" s="0" t="s">
        <v>21358</v>
      </c>
      <c r="J6385" s="0" t="s">
        <v>21359</v>
      </c>
      <c r="K6385" s="0" t="s">
        <v>21360</v>
      </c>
      <c r="L6385" s="0" t="str">
        <f aca="false">HYPERLINK("https://www.ncbi.nlm.nih.gov/nuccore/CP000304.1?report=graph&amp;tracks=[key:gene_model_track,Options:GeneOnly]&amp;mk=1775440:1775459|offset_1|444444,1775394:1775413|offset_47|444444,1775374:1775393|offset_67|00cc00,1775325:1775344|offset_116|444444&amp;v=1775239:1775544&amp;c=444444", "offset 67")</f>
        <v>offset 67</v>
      </c>
    </row>
    <row r="6386" customFormat="false" ht="12.8" hidden="false" customHeight="false" outlineLevel="0" collapsed="false">
      <c r="A6386" s="0" t="s">
        <v>12</v>
      </c>
      <c r="B6386" s="0" t="n">
        <v>1775324</v>
      </c>
      <c r="C6386" s="0" t="n">
        <v>1775344</v>
      </c>
      <c r="D6386" s="0" t="s">
        <v>21351</v>
      </c>
      <c r="E6386" s="0" t="s">
        <v>89</v>
      </c>
      <c r="F6386" s="0" t="s">
        <v>90</v>
      </c>
      <c r="G6386" s="0" t="s">
        <v>26</v>
      </c>
      <c r="H6386" s="0" t="n">
        <v>116</v>
      </c>
      <c r="I6386" s="0" t="s">
        <v>21361</v>
      </c>
      <c r="J6386" s="0" t="s">
        <v>21362</v>
      </c>
      <c r="K6386" s="0" t="s">
        <v>21363</v>
      </c>
      <c r="L6386" s="0" t="str">
        <f aca="false">HYPERLINK("https://www.ncbi.nlm.nih.gov/nuccore/CP000304.1?report=graph&amp;tracks=[key:gene_model_track,Options:GeneOnly]&amp;mk=1775440:1775459|offset_1|444444,1775394:1775413|offset_47|444444,1775374:1775393|offset_67|444444,1775325:1775344|offset_116|00cc00&amp;v=1775239:1775544&amp;c=444444", "offset 116")</f>
        <v>offset 116</v>
      </c>
    </row>
    <row r="6387" customFormat="false" ht="12.8" hidden="false" customHeight="false" outlineLevel="0" collapsed="false">
      <c r="A6387" s="0" t="s">
        <v>12</v>
      </c>
      <c r="B6387" s="0" t="n">
        <v>1775576</v>
      </c>
      <c r="C6387" s="0" t="n">
        <v>1775596</v>
      </c>
      <c r="D6387" s="0" t="s">
        <v>21364</v>
      </c>
      <c r="E6387" s="0" t="s">
        <v>89</v>
      </c>
      <c r="F6387" s="0" t="s">
        <v>15</v>
      </c>
      <c r="G6387" s="0" t="s">
        <v>26</v>
      </c>
      <c r="H6387" s="0" t="n">
        <v>1</v>
      </c>
      <c r="I6387" s="0" t="s">
        <v>21365</v>
      </c>
      <c r="J6387" s="0" t="s">
        <v>21366</v>
      </c>
      <c r="K6387" s="0" t="s">
        <v>21367</v>
      </c>
      <c r="L6387" s="0" t="str">
        <f aca="false">HYPERLINK("https://www.ncbi.nlm.nih.gov/nuccore/CP000304.1?report=graph&amp;tracks=[key:gene_model_track,Options:GeneOnly]&amp;mk=1775577:1775596|offset_1|00cc00,1775597:1775616|offset_21|444444,1775624:1775643|offset_48|444444,1775645:1775664|offset_69|444444&amp;v=1775376:1775864&amp;c=444444", "offset 1")</f>
        <v>offset 1</v>
      </c>
    </row>
    <row r="6388" customFormat="false" ht="12.8" hidden="false" customHeight="false" outlineLevel="0" collapsed="false">
      <c r="A6388" s="0" t="s">
        <v>12</v>
      </c>
      <c r="B6388" s="0" t="n">
        <v>1775596</v>
      </c>
      <c r="C6388" s="0" t="n">
        <v>1775616</v>
      </c>
      <c r="D6388" s="0" t="s">
        <v>21364</v>
      </c>
      <c r="E6388" s="0" t="s">
        <v>89</v>
      </c>
      <c r="F6388" s="0" t="s">
        <v>15</v>
      </c>
      <c r="G6388" s="0" t="s">
        <v>16</v>
      </c>
      <c r="H6388" s="0" t="n">
        <v>21</v>
      </c>
      <c r="I6388" s="0" t="s">
        <v>21368</v>
      </c>
      <c r="J6388" s="0" t="s">
        <v>21369</v>
      </c>
      <c r="K6388" s="0" t="s">
        <v>21370</v>
      </c>
      <c r="L6388" s="0" t="str">
        <f aca="false">HYPERLINK("https://www.ncbi.nlm.nih.gov/nuccore/CP000304.1?report=graph&amp;tracks=[key:gene_model_track,Options:GeneOnly]&amp;mk=1775577:1775596|offset_1|444444,1775597:1775616|offset_21|00cc00,1775624:1775643|offset_48|444444,1775645:1775664|offset_69|444444&amp;v=1775376:1775864&amp;c=444444", "offset 21")</f>
        <v>offset 21</v>
      </c>
    </row>
    <row r="6389" customFormat="false" ht="12.8" hidden="false" customHeight="false" outlineLevel="0" collapsed="false">
      <c r="A6389" s="0" t="s">
        <v>12</v>
      </c>
      <c r="B6389" s="0" t="n">
        <v>1775623</v>
      </c>
      <c r="C6389" s="0" t="n">
        <v>1775643</v>
      </c>
      <c r="D6389" s="0" t="s">
        <v>21364</v>
      </c>
      <c r="E6389" s="0" t="s">
        <v>89</v>
      </c>
      <c r="F6389" s="0" t="s">
        <v>15</v>
      </c>
      <c r="G6389" s="0" t="s">
        <v>32</v>
      </c>
      <c r="H6389" s="0" t="n">
        <v>48</v>
      </c>
      <c r="I6389" s="0" t="s">
        <v>21371</v>
      </c>
      <c r="J6389" s="0" t="s">
        <v>21372</v>
      </c>
      <c r="K6389" s="0" t="s">
        <v>21373</v>
      </c>
      <c r="L6389" s="0" t="str">
        <f aca="false">HYPERLINK("https://www.ncbi.nlm.nih.gov/nuccore/CP000304.1?report=graph&amp;tracks=[key:gene_model_track,Options:GeneOnly]&amp;mk=1775577:1775596|offset_1|444444,1775597:1775616|offset_21|444444,1775624:1775643|offset_48|00cc00,1775645:1775664|offset_69|444444&amp;v=1775376:1775864&amp;c=444444", "offset 48")</f>
        <v>offset 48</v>
      </c>
    </row>
    <row r="6390" customFormat="false" ht="12.8" hidden="false" customHeight="false" outlineLevel="0" collapsed="false">
      <c r="A6390" s="0" t="s">
        <v>12</v>
      </c>
      <c r="B6390" s="0" t="n">
        <v>1775644</v>
      </c>
      <c r="C6390" s="0" t="n">
        <v>1775664</v>
      </c>
      <c r="D6390" s="0" t="s">
        <v>21364</v>
      </c>
      <c r="E6390" s="0" t="s">
        <v>89</v>
      </c>
      <c r="F6390" s="0" t="s">
        <v>15</v>
      </c>
      <c r="G6390" s="0" t="s">
        <v>26</v>
      </c>
      <c r="H6390" s="0" t="n">
        <v>69</v>
      </c>
      <c r="I6390" s="0" t="s">
        <v>21374</v>
      </c>
      <c r="J6390" s="0" t="s">
        <v>21375</v>
      </c>
      <c r="K6390" s="0" t="s">
        <v>21376</v>
      </c>
      <c r="L6390" s="0" t="str">
        <f aca="false">HYPERLINK("https://www.ncbi.nlm.nih.gov/nuccore/CP000304.1?report=graph&amp;tracks=[key:gene_model_track,Options:GeneOnly]&amp;mk=1775577:1775596|offset_1|444444,1775597:1775616|offset_21|444444,1775624:1775643|offset_48|444444,1775645:1775664|offset_69|00cc00&amp;v=1775376:1775864&amp;c=444444", "offset 69")</f>
        <v>offset 69</v>
      </c>
    </row>
    <row r="6391" customFormat="false" ht="12.8" hidden="false" customHeight="false" outlineLevel="0" collapsed="false">
      <c r="A6391" s="0" t="s">
        <v>12</v>
      </c>
      <c r="B6391" s="0" t="n">
        <v>1776854</v>
      </c>
      <c r="C6391" s="0" t="n">
        <v>1776874</v>
      </c>
      <c r="D6391" s="0" t="s">
        <v>21377</v>
      </c>
      <c r="E6391" s="0" t="s">
        <v>89</v>
      </c>
      <c r="F6391" s="0" t="s">
        <v>15</v>
      </c>
      <c r="G6391" s="0" t="s">
        <v>32</v>
      </c>
      <c r="H6391" s="0" t="n">
        <v>20</v>
      </c>
      <c r="I6391" s="0" t="s">
        <v>21378</v>
      </c>
      <c r="J6391" s="0" t="s">
        <v>21379</v>
      </c>
      <c r="K6391" s="0" t="s">
        <v>21380</v>
      </c>
      <c r="L6391" s="0" t="str">
        <f aca="false">HYPERLINK("https://www.ncbi.nlm.nih.gov/nuccore/CP000304.1?report=graph&amp;tracks=[key:gene_model_track,Options:GeneOnly]&amp;mk=1776855:1776874|offset_20|00cc00,1776878:1776897|offset_43|444444,1776906:1776925|offset_71|444444,1776992:1777011|offset_157|444444&amp;v=1776654:1777211&amp;c=444444", "offset 20")</f>
        <v>offset 20</v>
      </c>
    </row>
    <row r="6392" customFormat="false" ht="12.8" hidden="false" customHeight="false" outlineLevel="0" collapsed="false">
      <c r="A6392" s="0" t="s">
        <v>12</v>
      </c>
      <c r="B6392" s="0" t="n">
        <v>1776877</v>
      </c>
      <c r="C6392" s="0" t="n">
        <v>1776897</v>
      </c>
      <c r="D6392" s="0" t="s">
        <v>21377</v>
      </c>
      <c r="E6392" s="0" t="s">
        <v>89</v>
      </c>
      <c r="F6392" s="0" t="s">
        <v>15</v>
      </c>
      <c r="G6392" s="0" t="s">
        <v>26</v>
      </c>
      <c r="H6392" s="0" t="n">
        <v>43</v>
      </c>
      <c r="I6392" s="0" t="s">
        <v>21381</v>
      </c>
      <c r="J6392" s="0" t="s">
        <v>21382</v>
      </c>
      <c r="K6392" s="0" t="s">
        <v>21383</v>
      </c>
      <c r="L6392" s="0" t="str">
        <f aca="false">HYPERLINK("https://www.ncbi.nlm.nih.gov/nuccore/CP000304.1?report=graph&amp;tracks=[key:gene_model_track,Options:GeneOnly]&amp;mk=1776855:1776874|offset_20|444444,1776878:1776897|offset_43|00cc00,1776906:1776925|offset_71|444444,1776992:1777011|offset_157|444444&amp;v=1776654:1777211&amp;c=444444", "offset 43")</f>
        <v>offset 43</v>
      </c>
    </row>
    <row r="6393" customFormat="false" ht="12.8" hidden="false" customHeight="false" outlineLevel="0" collapsed="false">
      <c r="A6393" s="0" t="s">
        <v>12</v>
      </c>
      <c r="B6393" s="0" t="n">
        <v>1776905</v>
      </c>
      <c r="C6393" s="0" t="n">
        <v>1776925</v>
      </c>
      <c r="D6393" s="0" t="s">
        <v>21377</v>
      </c>
      <c r="E6393" s="0" t="s">
        <v>89</v>
      </c>
      <c r="F6393" s="0" t="s">
        <v>15</v>
      </c>
      <c r="G6393" s="0" t="s">
        <v>16</v>
      </c>
      <c r="H6393" s="0" t="n">
        <v>71</v>
      </c>
      <c r="I6393" s="0" t="s">
        <v>21384</v>
      </c>
      <c r="J6393" s="0" t="s">
        <v>21385</v>
      </c>
      <c r="K6393" s="0" t="s">
        <v>21386</v>
      </c>
      <c r="L6393" s="0" t="str">
        <f aca="false">HYPERLINK("https://www.ncbi.nlm.nih.gov/nuccore/CP000304.1?report=graph&amp;tracks=[key:gene_model_track,Options:GeneOnly]&amp;mk=1776855:1776874|offset_20|444444,1776878:1776897|offset_43|444444,1776906:1776925|offset_71|00cc00,1776992:1777011|offset_157|444444&amp;v=1776654:1777211&amp;c=444444", "offset 71")</f>
        <v>offset 71</v>
      </c>
    </row>
    <row r="6394" customFormat="false" ht="12.8" hidden="false" customHeight="false" outlineLevel="0" collapsed="false">
      <c r="A6394" s="0" t="s">
        <v>12</v>
      </c>
      <c r="B6394" s="0" t="n">
        <v>1776991</v>
      </c>
      <c r="C6394" s="0" t="n">
        <v>1777011</v>
      </c>
      <c r="D6394" s="0" t="s">
        <v>21377</v>
      </c>
      <c r="E6394" s="0" t="s">
        <v>89</v>
      </c>
      <c r="F6394" s="0" t="s">
        <v>15</v>
      </c>
      <c r="G6394" s="0" t="s">
        <v>16</v>
      </c>
      <c r="H6394" s="0" t="n">
        <v>157</v>
      </c>
      <c r="I6394" s="0" t="s">
        <v>21387</v>
      </c>
      <c r="J6394" s="0" t="s">
        <v>21388</v>
      </c>
      <c r="K6394" s="0" t="s">
        <v>21389</v>
      </c>
      <c r="L6394" s="0" t="str">
        <f aca="false">HYPERLINK("https://www.ncbi.nlm.nih.gov/nuccore/CP000304.1?report=graph&amp;tracks=[key:gene_model_track,Options:GeneOnly]&amp;mk=1776855:1776874|offset_20|444444,1776878:1776897|offset_43|444444,1776906:1776925|offset_71|444444,1776992:1777011|offset_157|00cc00&amp;v=1776654:1777211&amp;c=444444", "offset 157")</f>
        <v>offset 157</v>
      </c>
    </row>
    <row r="6395" customFormat="false" ht="12.8" hidden="false" customHeight="false" outlineLevel="0" collapsed="false">
      <c r="A6395" s="0" t="s">
        <v>12</v>
      </c>
      <c r="B6395" s="0" t="n">
        <v>1778221</v>
      </c>
      <c r="C6395" s="0" t="n">
        <v>1778241</v>
      </c>
      <c r="D6395" s="0" t="s">
        <v>21390</v>
      </c>
      <c r="E6395" s="0" t="s">
        <v>21391</v>
      </c>
      <c r="F6395" s="0" t="s">
        <v>90</v>
      </c>
      <c r="G6395" s="0" t="s">
        <v>32</v>
      </c>
      <c r="H6395" s="0" t="n">
        <v>10</v>
      </c>
      <c r="I6395" s="0" t="s">
        <v>21392</v>
      </c>
      <c r="J6395" s="0" t="s">
        <v>21393</v>
      </c>
      <c r="K6395" s="0" t="s">
        <v>21394</v>
      </c>
      <c r="L6395" s="0" t="str">
        <f aca="false">HYPERLINK("https://www.ncbi.nlm.nih.gov/nuccore/CP000304.1?report=graph&amp;tracks=[key:gene_model_track,Options:GeneOnly]&amp;mk=1778222:1778241|offset_10|00cc00,1778195:1778214|offset_37|444444,1778162:1778181|offset_70|444444,1778132:1778151|offset_100|444444&amp;v=1778021:1778351&amp;c=444444", "offset 10")</f>
        <v>offset 10</v>
      </c>
    </row>
    <row r="6396" customFormat="false" ht="12.8" hidden="false" customHeight="false" outlineLevel="0" collapsed="false">
      <c r="A6396" s="0" t="s">
        <v>12</v>
      </c>
      <c r="B6396" s="0" t="n">
        <v>1778194</v>
      </c>
      <c r="C6396" s="0" t="n">
        <v>1778214</v>
      </c>
      <c r="D6396" s="0" t="s">
        <v>21390</v>
      </c>
      <c r="E6396" s="0" t="s">
        <v>21391</v>
      </c>
      <c r="F6396" s="0" t="s">
        <v>90</v>
      </c>
      <c r="G6396" s="0" t="s">
        <v>32</v>
      </c>
      <c r="H6396" s="0" t="n">
        <v>37</v>
      </c>
      <c r="I6396" s="0" t="s">
        <v>21395</v>
      </c>
      <c r="J6396" s="0" t="s">
        <v>21396</v>
      </c>
      <c r="K6396" s="0" t="s">
        <v>21397</v>
      </c>
      <c r="L6396" s="0" t="str">
        <f aca="false">HYPERLINK("https://www.ncbi.nlm.nih.gov/nuccore/CP000304.1?report=graph&amp;tracks=[key:gene_model_track,Options:GeneOnly]&amp;mk=1778222:1778241|offset_10|444444,1778195:1778214|offset_37|00cc00,1778162:1778181|offset_70|444444,1778132:1778151|offset_100|444444&amp;v=1778021:1778351&amp;c=444444", "offset 37")</f>
        <v>offset 37</v>
      </c>
    </row>
    <row r="6397" customFormat="false" ht="12.8" hidden="false" customHeight="false" outlineLevel="0" collapsed="false">
      <c r="A6397" s="0" t="s">
        <v>12</v>
      </c>
      <c r="B6397" s="0" t="n">
        <v>1778161</v>
      </c>
      <c r="C6397" s="0" t="n">
        <v>1778181</v>
      </c>
      <c r="D6397" s="0" t="s">
        <v>21390</v>
      </c>
      <c r="E6397" s="0" t="s">
        <v>21391</v>
      </c>
      <c r="F6397" s="0" t="s">
        <v>90</v>
      </c>
      <c r="G6397" s="0" t="s">
        <v>32</v>
      </c>
      <c r="H6397" s="0" t="n">
        <v>70</v>
      </c>
      <c r="I6397" s="0" t="s">
        <v>21398</v>
      </c>
      <c r="J6397" s="0" t="s">
        <v>21399</v>
      </c>
      <c r="K6397" s="0" t="s">
        <v>21400</v>
      </c>
      <c r="L6397" s="0" t="str">
        <f aca="false">HYPERLINK("https://www.ncbi.nlm.nih.gov/nuccore/CP000304.1?report=graph&amp;tracks=[key:gene_model_track,Options:GeneOnly]&amp;mk=1778222:1778241|offset_10|444444,1778195:1778214|offset_37|444444,1778162:1778181|offset_70|00cc00,1778132:1778151|offset_100|444444&amp;v=1778021:1778351&amp;c=444444", "offset 70")</f>
        <v>offset 70</v>
      </c>
    </row>
    <row r="6398" customFormat="false" ht="12.8" hidden="false" customHeight="false" outlineLevel="0" collapsed="false">
      <c r="A6398" s="0" t="s">
        <v>12</v>
      </c>
      <c r="B6398" s="0" t="n">
        <v>1778131</v>
      </c>
      <c r="C6398" s="0" t="n">
        <v>1778151</v>
      </c>
      <c r="D6398" s="0" t="s">
        <v>21390</v>
      </c>
      <c r="E6398" s="0" t="s">
        <v>21391</v>
      </c>
      <c r="F6398" s="0" t="s">
        <v>90</v>
      </c>
      <c r="G6398" s="0" t="s">
        <v>32</v>
      </c>
      <c r="H6398" s="0" t="n">
        <v>100</v>
      </c>
      <c r="I6398" s="0" t="s">
        <v>21401</v>
      </c>
      <c r="J6398" s="0" t="s">
        <v>21402</v>
      </c>
      <c r="K6398" s="0" t="s">
        <v>21403</v>
      </c>
      <c r="L6398" s="0" t="str">
        <f aca="false">HYPERLINK("https://www.ncbi.nlm.nih.gov/nuccore/CP000304.1?report=graph&amp;tracks=[key:gene_model_track,Options:GeneOnly]&amp;mk=1778222:1778241|offset_10|444444,1778195:1778214|offset_37|444444,1778162:1778181|offset_70|444444,1778132:1778151|offset_100|00cc00&amp;v=1778021:1778351&amp;c=444444", "offset 100")</f>
        <v>offset 100</v>
      </c>
    </row>
    <row r="6399" customFormat="false" ht="12.8" hidden="false" customHeight="false" outlineLevel="0" collapsed="false">
      <c r="A6399" s="0" t="s">
        <v>12</v>
      </c>
      <c r="B6399" s="0" t="n">
        <v>1779353</v>
      </c>
      <c r="C6399" s="0" t="n">
        <v>1779373</v>
      </c>
      <c r="D6399" s="0" t="s">
        <v>21404</v>
      </c>
      <c r="E6399" s="0" t="s">
        <v>89</v>
      </c>
      <c r="F6399" s="0" t="s">
        <v>90</v>
      </c>
      <c r="G6399" s="0" t="s">
        <v>32</v>
      </c>
      <c r="H6399" s="0" t="n">
        <v>14</v>
      </c>
      <c r="I6399" s="0" t="s">
        <v>21405</v>
      </c>
      <c r="J6399" s="0" t="s">
        <v>21406</v>
      </c>
      <c r="K6399" s="0" t="s">
        <v>21407</v>
      </c>
      <c r="L6399" s="0" t="str">
        <f aca="false">HYPERLINK("https://www.ncbi.nlm.nih.gov/nuccore/CP000304.1?report=graph&amp;tracks=[key:gene_model_track,Options:GeneOnly]&amp;mk=1779354:1779373|offset_14|00cc00,1779332:1779351|offset_36|444444,1779302:1779321|offset_66|444444,1779282:1779301|offset_86|444444&amp;v=1779153:1779501&amp;c=444444", "offset 14")</f>
        <v>offset 14</v>
      </c>
    </row>
    <row r="6400" customFormat="false" ht="12.8" hidden="false" customHeight="false" outlineLevel="0" collapsed="false">
      <c r="A6400" s="0" t="s">
        <v>12</v>
      </c>
      <c r="B6400" s="0" t="n">
        <v>1779331</v>
      </c>
      <c r="C6400" s="0" t="n">
        <v>1779351</v>
      </c>
      <c r="D6400" s="0" t="s">
        <v>21404</v>
      </c>
      <c r="E6400" s="0" t="s">
        <v>89</v>
      </c>
      <c r="F6400" s="0" t="s">
        <v>90</v>
      </c>
      <c r="G6400" s="0" t="s">
        <v>16</v>
      </c>
      <c r="H6400" s="0" t="n">
        <v>36</v>
      </c>
      <c r="I6400" s="0" t="s">
        <v>21408</v>
      </c>
      <c r="J6400" s="0" t="s">
        <v>21409</v>
      </c>
      <c r="K6400" s="0" t="s">
        <v>21410</v>
      </c>
      <c r="L6400" s="0" t="str">
        <f aca="false">HYPERLINK("https://www.ncbi.nlm.nih.gov/nuccore/CP000304.1?report=graph&amp;tracks=[key:gene_model_track,Options:GeneOnly]&amp;mk=1779354:1779373|offset_14|444444,1779332:1779351|offset_36|00cc00,1779302:1779321|offset_66|444444,1779282:1779301|offset_86|444444&amp;v=1779153:1779501&amp;c=444444", "offset 36")</f>
        <v>offset 36</v>
      </c>
    </row>
    <row r="6401" customFormat="false" ht="12.8" hidden="false" customHeight="false" outlineLevel="0" collapsed="false">
      <c r="A6401" s="0" t="s">
        <v>12</v>
      </c>
      <c r="B6401" s="0" t="n">
        <v>1779301</v>
      </c>
      <c r="C6401" s="0" t="n">
        <v>1779321</v>
      </c>
      <c r="D6401" s="0" t="s">
        <v>21404</v>
      </c>
      <c r="E6401" s="0" t="s">
        <v>89</v>
      </c>
      <c r="F6401" s="0" t="s">
        <v>90</v>
      </c>
      <c r="G6401" s="0" t="s">
        <v>16</v>
      </c>
      <c r="H6401" s="0" t="n">
        <v>66</v>
      </c>
      <c r="I6401" s="0" t="s">
        <v>21411</v>
      </c>
      <c r="J6401" s="0" t="s">
        <v>21412</v>
      </c>
      <c r="K6401" s="0" t="s">
        <v>21413</v>
      </c>
      <c r="L6401" s="0" t="str">
        <f aca="false">HYPERLINK("https://www.ncbi.nlm.nih.gov/nuccore/CP000304.1?report=graph&amp;tracks=[key:gene_model_track,Options:GeneOnly]&amp;mk=1779354:1779373|offset_14|444444,1779332:1779351|offset_36|444444,1779302:1779321|offset_66|00cc00,1779282:1779301|offset_86|444444&amp;v=1779153:1779501&amp;c=444444", "offset 66")</f>
        <v>offset 66</v>
      </c>
    </row>
    <row r="6402" customFormat="false" ht="12.8" hidden="false" customHeight="false" outlineLevel="0" collapsed="false">
      <c r="A6402" s="0" t="s">
        <v>12</v>
      </c>
      <c r="B6402" s="0" t="n">
        <v>1779281</v>
      </c>
      <c r="C6402" s="0" t="n">
        <v>1779301</v>
      </c>
      <c r="D6402" s="0" t="s">
        <v>21404</v>
      </c>
      <c r="E6402" s="0" t="s">
        <v>89</v>
      </c>
      <c r="F6402" s="0" t="s">
        <v>90</v>
      </c>
      <c r="G6402" s="0" t="s">
        <v>16</v>
      </c>
      <c r="H6402" s="0" t="n">
        <v>86</v>
      </c>
      <c r="I6402" s="0" t="s">
        <v>21414</v>
      </c>
      <c r="J6402" s="0" t="s">
        <v>21415</v>
      </c>
      <c r="K6402" s="0" t="s">
        <v>21416</v>
      </c>
      <c r="L6402" s="0" t="str">
        <f aca="false">HYPERLINK("https://www.ncbi.nlm.nih.gov/nuccore/CP000304.1?report=graph&amp;tracks=[key:gene_model_track,Options:GeneOnly]&amp;mk=1779354:1779373|offset_14|444444,1779332:1779351|offset_36|444444,1779302:1779321|offset_66|444444,1779282:1779301|offset_86|00cc00&amp;v=1779153:1779501&amp;c=444444", "offset 86")</f>
        <v>offset 86</v>
      </c>
    </row>
    <row r="6403" customFormat="false" ht="12.8" hidden="false" customHeight="false" outlineLevel="0" collapsed="false">
      <c r="A6403" s="0" t="s">
        <v>12</v>
      </c>
      <c r="B6403" s="0" t="n">
        <v>1780890</v>
      </c>
      <c r="C6403" s="0" t="n">
        <v>1780910</v>
      </c>
      <c r="D6403" s="0" t="s">
        <v>21417</v>
      </c>
      <c r="E6403" s="0" t="s">
        <v>89</v>
      </c>
      <c r="F6403" s="0" t="s">
        <v>90</v>
      </c>
      <c r="G6403" s="0" t="s">
        <v>26</v>
      </c>
      <c r="H6403" s="0" t="n">
        <v>32</v>
      </c>
      <c r="I6403" s="0" t="s">
        <v>21418</v>
      </c>
      <c r="J6403" s="0" t="s">
        <v>21419</v>
      </c>
      <c r="K6403" s="0" t="s">
        <v>21420</v>
      </c>
      <c r="L6403" s="0" t="str">
        <f aca="false">HYPERLINK("https://www.ncbi.nlm.nih.gov/nuccore/CP000304.1?report=graph&amp;tracks=[key:gene_model_track,Options:GeneOnly]&amp;mk=1780891:1780910|offset_32|00cc00,1780855:1780874|offset_68|444444,1780802:1780821|offset_121|444444,1780769:1780788|offset_154|444444&amp;v=1780690:1780988&amp;c=444444", "offset 32")</f>
        <v>offset 32</v>
      </c>
    </row>
    <row r="6404" customFormat="false" ht="12.8" hidden="false" customHeight="false" outlineLevel="0" collapsed="false">
      <c r="A6404" s="0" t="s">
        <v>12</v>
      </c>
      <c r="B6404" s="0" t="n">
        <v>1780854</v>
      </c>
      <c r="C6404" s="0" t="n">
        <v>1780874</v>
      </c>
      <c r="D6404" s="0" t="s">
        <v>21417</v>
      </c>
      <c r="E6404" s="0" t="s">
        <v>89</v>
      </c>
      <c r="F6404" s="0" t="s">
        <v>90</v>
      </c>
      <c r="G6404" s="0" t="s">
        <v>36</v>
      </c>
      <c r="H6404" s="0" t="n">
        <v>68</v>
      </c>
      <c r="I6404" s="0" t="s">
        <v>21421</v>
      </c>
      <c r="J6404" s="0" t="s">
        <v>21422</v>
      </c>
      <c r="K6404" s="0" t="s">
        <v>21423</v>
      </c>
      <c r="L6404" s="0" t="str">
        <f aca="false">HYPERLINK("https://www.ncbi.nlm.nih.gov/nuccore/CP000304.1?report=graph&amp;tracks=[key:gene_model_track,Options:GeneOnly]&amp;mk=1780891:1780910|offset_32|444444,1780855:1780874|offset_68|00cc00,1780802:1780821|offset_121|444444,1780769:1780788|offset_154|444444&amp;v=1780690:1780988&amp;c=444444", "offset 68")</f>
        <v>offset 68</v>
      </c>
    </row>
    <row r="6405" customFormat="false" ht="12.8" hidden="false" customHeight="false" outlineLevel="0" collapsed="false">
      <c r="A6405" s="0" t="s">
        <v>12</v>
      </c>
      <c r="B6405" s="0" t="n">
        <v>1780801</v>
      </c>
      <c r="C6405" s="0" t="n">
        <v>1780821</v>
      </c>
      <c r="D6405" s="0" t="s">
        <v>21417</v>
      </c>
      <c r="E6405" s="0" t="s">
        <v>89</v>
      </c>
      <c r="F6405" s="0" t="s">
        <v>90</v>
      </c>
      <c r="G6405" s="0" t="s">
        <v>16</v>
      </c>
      <c r="H6405" s="0" t="n">
        <v>121</v>
      </c>
      <c r="I6405" s="0" t="s">
        <v>21424</v>
      </c>
      <c r="J6405" s="0" t="s">
        <v>21425</v>
      </c>
      <c r="K6405" s="0" t="s">
        <v>21426</v>
      </c>
      <c r="L6405" s="0" t="str">
        <f aca="false">HYPERLINK("https://www.ncbi.nlm.nih.gov/nuccore/CP000304.1?report=graph&amp;tracks=[key:gene_model_track,Options:GeneOnly]&amp;mk=1780891:1780910|offset_32|444444,1780855:1780874|offset_68|444444,1780802:1780821|offset_121|00cc00,1780769:1780788|offset_154|444444&amp;v=1780690:1780988&amp;c=444444", "offset 121")</f>
        <v>offset 121</v>
      </c>
    </row>
    <row r="6406" customFormat="false" ht="12.8" hidden="false" customHeight="false" outlineLevel="0" collapsed="false">
      <c r="A6406" s="0" t="s">
        <v>12</v>
      </c>
      <c r="B6406" s="0" t="n">
        <v>1780768</v>
      </c>
      <c r="C6406" s="0" t="n">
        <v>1780788</v>
      </c>
      <c r="D6406" s="0" t="s">
        <v>21417</v>
      </c>
      <c r="E6406" s="0" t="s">
        <v>89</v>
      </c>
      <c r="F6406" s="0" t="s">
        <v>90</v>
      </c>
      <c r="G6406" s="0" t="s">
        <v>16</v>
      </c>
      <c r="H6406" s="0" t="n">
        <v>154</v>
      </c>
      <c r="I6406" s="0" t="s">
        <v>21427</v>
      </c>
      <c r="J6406" s="0" t="s">
        <v>21428</v>
      </c>
      <c r="K6406" s="0" t="s">
        <v>21429</v>
      </c>
      <c r="L6406" s="0" t="str">
        <f aca="false">HYPERLINK("https://www.ncbi.nlm.nih.gov/nuccore/CP000304.1?report=graph&amp;tracks=[key:gene_model_track,Options:GeneOnly]&amp;mk=1780891:1780910|offset_32|444444,1780855:1780874|offset_68|444444,1780802:1780821|offset_121|444444,1780769:1780788|offset_154|00cc00&amp;v=1780690:1780988&amp;c=444444", "offset 154")</f>
        <v>offset 154</v>
      </c>
    </row>
    <row r="6407" customFormat="false" ht="12.8" hidden="false" customHeight="false" outlineLevel="0" collapsed="false">
      <c r="A6407" s="0" t="s">
        <v>12</v>
      </c>
      <c r="B6407" s="0" t="n">
        <v>1781421</v>
      </c>
      <c r="C6407" s="0" t="n">
        <v>1781441</v>
      </c>
      <c r="D6407" s="0" t="s">
        <v>21430</v>
      </c>
      <c r="E6407" s="0" t="s">
        <v>89</v>
      </c>
      <c r="F6407" s="0" t="s">
        <v>90</v>
      </c>
      <c r="G6407" s="0" t="s">
        <v>16</v>
      </c>
      <c r="H6407" s="0" t="n">
        <v>25</v>
      </c>
      <c r="I6407" s="0" t="s">
        <v>21431</v>
      </c>
      <c r="J6407" s="0" t="s">
        <v>21432</v>
      </c>
      <c r="K6407" s="0" t="s">
        <v>21433</v>
      </c>
      <c r="L6407" s="0" t="str">
        <f aca="false">HYPERLINK("https://www.ncbi.nlm.nih.gov/nuccore/CP000304.1?report=graph&amp;tracks=[key:gene_model_track,Options:GeneOnly]&amp;mk=1781422:1781441|offset_25|00cc00,1781402:1781421|offset_45|444444,1781362:1781381|offset_85|444444,1781335:1781354|offset_112|444444&amp;v=1781221:1781554&amp;c=444444", "offset 25")</f>
        <v>offset 25</v>
      </c>
    </row>
    <row r="6408" customFormat="false" ht="12.8" hidden="false" customHeight="false" outlineLevel="0" collapsed="false">
      <c r="A6408" s="0" t="s">
        <v>12</v>
      </c>
      <c r="B6408" s="0" t="n">
        <v>1781401</v>
      </c>
      <c r="C6408" s="0" t="n">
        <v>1781421</v>
      </c>
      <c r="D6408" s="0" t="s">
        <v>21430</v>
      </c>
      <c r="E6408" s="0" t="s">
        <v>89</v>
      </c>
      <c r="F6408" s="0" t="s">
        <v>90</v>
      </c>
      <c r="G6408" s="0" t="s">
        <v>16</v>
      </c>
      <c r="H6408" s="0" t="n">
        <v>45</v>
      </c>
      <c r="I6408" s="0" t="s">
        <v>21434</v>
      </c>
      <c r="J6408" s="0" t="s">
        <v>21435</v>
      </c>
      <c r="K6408" s="0" t="s">
        <v>21436</v>
      </c>
      <c r="L6408" s="0" t="str">
        <f aca="false">HYPERLINK("https://www.ncbi.nlm.nih.gov/nuccore/CP000304.1?report=graph&amp;tracks=[key:gene_model_track,Options:GeneOnly]&amp;mk=1781422:1781441|offset_25|444444,1781402:1781421|offset_45|00cc00,1781362:1781381|offset_85|444444,1781335:1781354|offset_112|444444&amp;v=1781221:1781554&amp;c=444444", "offset 45")</f>
        <v>offset 45</v>
      </c>
    </row>
    <row r="6409" customFormat="false" ht="12.8" hidden="false" customHeight="false" outlineLevel="0" collapsed="false">
      <c r="A6409" s="0" t="s">
        <v>12</v>
      </c>
      <c r="B6409" s="0" t="n">
        <v>1781361</v>
      </c>
      <c r="C6409" s="0" t="n">
        <v>1781381</v>
      </c>
      <c r="D6409" s="0" t="s">
        <v>21430</v>
      </c>
      <c r="E6409" s="0" t="s">
        <v>89</v>
      </c>
      <c r="F6409" s="0" t="s">
        <v>90</v>
      </c>
      <c r="G6409" s="0" t="s">
        <v>26</v>
      </c>
      <c r="H6409" s="0" t="n">
        <v>85</v>
      </c>
      <c r="I6409" s="0" t="s">
        <v>21437</v>
      </c>
      <c r="J6409" s="0" t="s">
        <v>21438</v>
      </c>
      <c r="K6409" s="0" t="s">
        <v>21439</v>
      </c>
      <c r="L6409" s="0" t="str">
        <f aca="false">HYPERLINK("https://www.ncbi.nlm.nih.gov/nuccore/CP000304.1?report=graph&amp;tracks=[key:gene_model_track,Options:GeneOnly]&amp;mk=1781422:1781441|offset_25|444444,1781402:1781421|offset_45|444444,1781362:1781381|offset_85|00cc00,1781335:1781354|offset_112|444444&amp;v=1781221:1781554&amp;c=444444", "offset 85")</f>
        <v>offset 85</v>
      </c>
    </row>
    <row r="6410" customFormat="false" ht="12.8" hidden="false" customHeight="false" outlineLevel="0" collapsed="false">
      <c r="A6410" s="0" t="s">
        <v>12</v>
      </c>
      <c r="B6410" s="0" t="n">
        <v>1781334</v>
      </c>
      <c r="C6410" s="0" t="n">
        <v>1781354</v>
      </c>
      <c r="D6410" s="0" t="s">
        <v>21430</v>
      </c>
      <c r="E6410" s="0" t="s">
        <v>89</v>
      </c>
      <c r="F6410" s="0" t="s">
        <v>90</v>
      </c>
      <c r="G6410" s="0" t="s">
        <v>32</v>
      </c>
      <c r="H6410" s="0" t="n">
        <v>112</v>
      </c>
      <c r="I6410" s="0" t="s">
        <v>21440</v>
      </c>
      <c r="J6410" s="0" t="s">
        <v>21441</v>
      </c>
      <c r="K6410" s="0" t="s">
        <v>21442</v>
      </c>
      <c r="L6410" s="0" t="str">
        <f aca="false">HYPERLINK("https://www.ncbi.nlm.nih.gov/nuccore/CP000304.1?report=graph&amp;tracks=[key:gene_model_track,Options:GeneOnly]&amp;mk=1781422:1781441|offset_25|444444,1781402:1781421|offset_45|444444,1781362:1781381|offset_85|444444,1781335:1781354|offset_112|00cc00&amp;v=1781221:1781554&amp;c=444444", "offset 112")</f>
        <v>offset 112</v>
      </c>
    </row>
    <row r="6411" customFormat="false" ht="12.8" hidden="false" customHeight="false" outlineLevel="0" collapsed="false">
      <c r="A6411" s="0" t="s">
        <v>12</v>
      </c>
      <c r="B6411" s="0" t="n">
        <v>1782795</v>
      </c>
      <c r="C6411" s="0" t="n">
        <v>1782815</v>
      </c>
      <c r="D6411" s="0" t="s">
        <v>21443</v>
      </c>
      <c r="E6411" s="0" t="s">
        <v>89</v>
      </c>
      <c r="F6411" s="0" t="s">
        <v>90</v>
      </c>
      <c r="G6411" s="0" t="s">
        <v>36</v>
      </c>
      <c r="H6411" s="0" t="n">
        <v>77</v>
      </c>
      <c r="I6411" s="0" t="s">
        <v>21444</v>
      </c>
      <c r="J6411" s="0" t="s">
        <v>21445</v>
      </c>
      <c r="K6411" s="0" t="s">
        <v>21446</v>
      </c>
      <c r="L6411" s="0" t="str">
        <f aca="false">HYPERLINK("https://www.ncbi.nlm.nih.gov/nuccore/CP000304.1?report=graph&amp;tracks=[key:gene_model_track,Options:GeneOnly]&amp;mk=1782796:1782815|offset_77|00cc00,1782762:1782781|offset_111|444444,1782732:1782751|offset_141|444444,1782693:1782712|offset_180|444444&amp;v=1782595:1782912&amp;c=444444", "offset 77")</f>
        <v>offset 77</v>
      </c>
    </row>
    <row r="6412" customFormat="false" ht="12.8" hidden="false" customHeight="false" outlineLevel="0" collapsed="false">
      <c r="A6412" s="0" t="s">
        <v>12</v>
      </c>
      <c r="B6412" s="0" t="n">
        <v>1782761</v>
      </c>
      <c r="C6412" s="0" t="n">
        <v>1782781</v>
      </c>
      <c r="D6412" s="0" t="s">
        <v>21443</v>
      </c>
      <c r="E6412" s="0" t="s">
        <v>89</v>
      </c>
      <c r="F6412" s="0" t="s">
        <v>90</v>
      </c>
      <c r="G6412" s="0" t="s">
        <v>16</v>
      </c>
      <c r="H6412" s="0" t="n">
        <v>111</v>
      </c>
      <c r="I6412" s="0" t="s">
        <v>21447</v>
      </c>
      <c r="J6412" s="0" t="s">
        <v>21448</v>
      </c>
      <c r="K6412" s="0" t="s">
        <v>21449</v>
      </c>
      <c r="L6412" s="0" t="str">
        <f aca="false">HYPERLINK("https://www.ncbi.nlm.nih.gov/nuccore/CP000304.1?report=graph&amp;tracks=[key:gene_model_track,Options:GeneOnly]&amp;mk=1782796:1782815|offset_77|444444,1782762:1782781|offset_111|00cc00,1782732:1782751|offset_141|444444,1782693:1782712|offset_180|444444&amp;v=1782595:1782912&amp;c=444444", "offset 111")</f>
        <v>offset 111</v>
      </c>
    </row>
    <row r="6413" customFormat="false" ht="12.8" hidden="false" customHeight="false" outlineLevel="0" collapsed="false">
      <c r="A6413" s="0" t="s">
        <v>12</v>
      </c>
      <c r="B6413" s="0" t="n">
        <v>1782731</v>
      </c>
      <c r="C6413" s="0" t="n">
        <v>1782751</v>
      </c>
      <c r="D6413" s="0" t="s">
        <v>21443</v>
      </c>
      <c r="E6413" s="0" t="s">
        <v>89</v>
      </c>
      <c r="F6413" s="0" t="s">
        <v>90</v>
      </c>
      <c r="G6413" s="0" t="s">
        <v>32</v>
      </c>
      <c r="H6413" s="0" t="n">
        <v>141</v>
      </c>
      <c r="I6413" s="0" t="s">
        <v>21450</v>
      </c>
      <c r="J6413" s="0" t="s">
        <v>21451</v>
      </c>
      <c r="K6413" s="0" t="s">
        <v>21452</v>
      </c>
      <c r="L6413" s="0" t="str">
        <f aca="false">HYPERLINK("https://www.ncbi.nlm.nih.gov/nuccore/CP000304.1?report=graph&amp;tracks=[key:gene_model_track,Options:GeneOnly]&amp;mk=1782796:1782815|offset_77|444444,1782762:1782781|offset_111|444444,1782732:1782751|offset_141|00cc00,1782693:1782712|offset_180|444444&amp;v=1782595:1782912&amp;c=444444", "offset 141")</f>
        <v>offset 141</v>
      </c>
    </row>
    <row r="6414" customFormat="false" ht="12.8" hidden="false" customHeight="false" outlineLevel="0" collapsed="false">
      <c r="A6414" s="0" t="s">
        <v>12</v>
      </c>
      <c r="B6414" s="0" t="n">
        <v>1782692</v>
      </c>
      <c r="C6414" s="0" t="n">
        <v>1782712</v>
      </c>
      <c r="D6414" s="0" t="s">
        <v>21443</v>
      </c>
      <c r="E6414" s="0" t="s">
        <v>89</v>
      </c>
      <c r="F6414" s="0" t="s">
        <v>90</v>
      </c>
      <c r="G6414" s="0" t="s">
        <v>32</v>
      </c>
      <c r="H6414" s="0" t="n">
        <v>180</v>
      </c>
      <c r="I6414" s="0" t="s">
        <v>21453</v>
      </c>
      <c r="J6414" s="0" t="s">
        <v>21454</v>
      </c>
      <c r="K6414" s="0" t="s">
        <v>21455</v>
      </c>
      <c r="L6414" s="0" t="str">
        <f aca="false">HYPERLINK("https://www.ncbi.nlm.nih.gov/nuccore/CP000304.1?report=graph&amp;tracks=[key:gene_model_track,Options:GeneOnly]&amp;mk=1782796:1782815|offset_77|444444,1782762:1782781|offset_111|444444,1782732:1782751|offset_141|444444,1782693:1782712|offset_180|00cc00&amp;v=1782595:1782912&amp;c=444444", "offset 180")</f>
        <v>offset 180</v>
      </c>
    </row>
    <row r="6415" customFormat="false" ht="12.8" hidden="false" customHeight="false" outlineLevel="0" collapsed="false">
      <c r="A6415" s="0" t="s">
        <v>12</v>
      </c>
      <c r="B6415" s="0" t="n">
        <v>1784562</v>
      </c>
      <c r="C6415" s="0" t="n">
        <v>1784582</v>
      </c>
      <c r="D6415" s="0" t="s">
        <v>21456</v>
      </c>
      <c r="E6415" s="0" t="s">
        <v>89</v>
      </c>
      <c r="F6415" s="0" t="s">
        <v>90</v>
      </c>
      <c r="G6415" s="0" t="s">
        <v>36</v>
      </c>
      <c r="H6415" s="0" t="n">
        <v>13</v>
      </c>
      <c r="I6415" s="0" t="s">
        <v>21457</v>
      </c>
      <c r="J6415" s="0" t="s">
        <v>21458</v>
      </c>
      <c r="K6415" s="0" t="s">
        <v>21459</v>
      </c>
      <c r="L6415" s="0" t="str">
        <f aca="false">HYPERLINK("https://www.ncbi.nlm.nih.gov/nuccore/CP000304.1?report=graph&amp;tracks=[key:gene_model_track,Options:GeneOnly]&amp;mk=1784563:1784582|offset_13|00cc00,1784521:1784540|offset_55|444444,1784495:1784514|offset_81|444444,1784457:1784476|offset_119|444444&amp;v=1784362:1784676&amp;c=444444", "offset 13")</f>
        <v>offset 13</v>
      </c>
    </row>
    <row r="6416" customFormat="false" ht="12.8" hidden="false" customHeight="false" outlineLevel="0" collapsed="false">
      <c r="A6416" s="0" t="s">
        <v>12</v>
      </c>
      <c r="B6416" s="0" t="n">
        <v>1784520</v>
      </c>
      <c r="C6416" s="0" t="n">
        <v>1784540</v>
      </c>
      <c r="D6416" s="0" t="s">
        <v>21456</v>
      </c>
      <c r="E6416" s="0" t="s">
        <v>89</v>
      </c>
      <c r="F6416" s="0" t="s">
        <v>90</v>
      </c>
      <c r="G6416" s="0" t="s">
        <v>32</v>
      </c>
      <c r="H6416" s="0" t="n">
        <v>55</v>
      </c>
      <c r="I6416" s="0" t="s">
        <v>21460</v>
      </c>
      <c r="J6416" s="0" t="s">
        <v>21461</v>
      </c>
      <c r="K6416" s="0" t="s">
        <v>21462</v>
      </c>
      <c r="L6416" s="0" t="str">
        <f aca="false">HYPERLINK("https://www.ncbi.nlm.nih.gov/nuccore/CP000304.1?report=graph&amp;tracks=[key:gene_model_track,Options:GeneOnly]&amp;mk=1784563:1784582|offset_13|444444,1784521:1784540|offset_55|00cc00,1784495:1784514|offset_81|444444,1784457:1784476|offset_119|444444&amp;v=1784362:1784676&amp;c=444444", "offset 55")</f>
        <v>offset 55</v>
      </c>
    </row>
    <row r="6417" customFormat="false" ht="12.8" hidden="false" customHeight="false" outlineLevel="0" collapsed="false">
      <c r="A6417" s="0" t="s">
        <v>12</v>
      </c>
      <c r="B6417" s="0" t="n">
        <v>1784494</v>
      </c>
      <c r="C6417" s="0" t="n">
        <v>1784514</v>
      </c>
      <c r="D6417" s="0" t="s">
        <v>21456</v>
      </c>
      <c r="E6417" s="0" t="s">
        <v>89</v>
      </c>
      <c r="F6417" s="0" t="s">
        <v>90</v>
      </c>
      <c r="G6417" s="0" t="s">
        <v>16</v>
      </c>
      <c r="H6417" s="0" t="n">
        <v>81</v>
      </c>
      <c r="I6417" s="0" t="s">
        <v>21463</v>
      </c>
      <c r="J6417" s="0" t="s">
        <v>21464</v>
      </c>
      <c r="K6417" s="0" t="s">
        <v>21465</v>
      </c>
      <c r="L6417" s="0" t="str">
        <f aca="false">HYPERLINK("https://www.ncbi.nlm.nih.gov/nuccore/CP000304.1?report=graph&amp;tracks=[key:gene_model_track,Options:GeneOnly]&amp;mk=1784563:1784582|offset_13|444444,1784521:1784540|offset_55|444444,1784495:1784514|offset_81|00cc00,1784457:1784476|offset_119|444444&amp;v=1784362:1784676&amp;c=444444", "offset 81")</f>
        <v>offset 81</v>
      </c>
    </row>
    <row r="6418" customFormat="false" ht="12.8" hidden="false" customHeight="false" outlineLevel="0" collapsed="false">
      <c r="A6418" s="0" t="s">
        <v>12</v>
      </c>
      <c r="B6418" s="0" t="n">
        <v>1784456</v>
      </c>
      <c r="C6418" s="0" t="n">
        <v>1784476</v>
      </c>
      <c r="D6418" s="0" t="s">
        <v>21456</v>
      </c>
      <c r="E6418" s="0" t="s">
        <v>89</v>
      </c>
      <c r="F6418" s="0" t="s">
        <v>90</v>
      </c>
      <c r="G6418" s="0" t="s">
        <v>36</v>
      </c>
      <c r="H6418" s="0" t="n">
        <v>119</v>
      </c>
      <c r="I6418" s="0" t="s">
        <v>21466</v>
      </c>
      <c r="J6418" s="0" t="s">
        <v>21467</v>
      </c>
      <c r="K6418" s="0" t="s">
        <v>21468</v>
      </c>
      <c r="L6418" s="0" t="str">
        <f aca="false">HYPERLINK("https://www.ncbi.nlm.nih.gov/nuccore/CP000304.1?report=graph&amp;tracks=[key:gene_model_track,Options:GeneOnly]&amp;mk=1784563:1784582|offset_13|444444,1784521:1784540|offset_55|444444,1784495:1784514|offset_81|444444,1784457:1784476|offset_119|00cc00&amp;v=1784362:1784676&amp;c=444444", "offset 119")</f>
        <v>offset 119</v>
      </c>
    </row>
    <row r="6419" customFormat="false" ht="12.8" hidden="false" customHeight="false" outlineLevel="0" collapsed="false">
      <c r="A6419" s="0" t="s">
        <v>12</v>
      </c>
      <c r="B6419" s="0" t="n">
        <v>1784966</v>
      </c>
      <c r="C6419" s="0" t="n">
        <v>1784986</v>
      </c>
      <c r="D6419" s="0" t="s">
        <v>21469</v>
      </c>
      <c r="E6419" s="0" t="s">
        <v>21470</v>
      </c>
      <c r="F6419" s="0" t="s">
        <v>15</v>
      </c>
      <c r="G6419" s="0" t="s">
        <v>16</v>
      </c>
      <c r="H6419" s="0" t="n">
        <v>51</v>
      </c>
      <c r="I6419" s="0" t="s">
        <v>21471</v>
      </c>
      <c r="J6419" s="0" t="s">
        <v>21472</v>
      </c>
      <c r="K6419" s="0" t="s">
        <v>21473</v>
      </c>
      <c r="L6419" s="0" t="str">
        <f aca="false">HYPERLINK("https://www.ncbi.nlm.nih.gov/nuccore/CP000304.1?report=graph&amp;tracks=[key:gene_model_track,Options:GeneOnly]&amp;mk=1784967:1784986|offset_51|00cc00,1785039:1785058|offset_123|444444,1785080:1785099|offset_164|444444,1785118:1785137|offset_202|444444&amp;v=1784766:1785337&amp;c=444444", "offset 51")</f>
        <v>offset 51</v>
      </c>
    </row>
    <row r="6420" customFormat="false" ht="12.8" hidden="false" customHeight="false" outlineLevel="0" collapsed="false">
      <c r="A6420" s="0" t="s">
        <v>12</v>
      </c>
      <c r="B6420" s="0" t="n">
        <v>1785038</v>
      </c>
      <c r="C6420" s="0" t="n">
        <v>1785058</v>
      </c>
      <c r="D6420" s="0" t="s">
        <v>21469</v>
      </c>
      <c r="E6420" s="0" t="s">
        <v>21470</v>
      </c>
      <c r="F6420" s="0" t="s">
        <v>15</v>
      </c>
      <c r="G6420" s="0" t="s">
        <v>26</v>
      </c>
      <c r="H6420" s="0" t="n">
        <v>123</v>
      </c>
      <c r="I6420" s="0" t="s">
        <v>21474</v>
      </c>
      <c r="J6420" s="0" t="s">
        <v>21475</v>
      </c>
      <c r="K6420" s="0" t="s">
        <v>21476</v>
      </c>
      <c r="L6420" s="0" t="str">
        <f aca="false">HYPERLINK("https://www.ncbi.nlm.nih.gov/nuccore/CP000304.1?report=graph&amp;tracks=[key:gene_model_track,Options:GeneOnly]&amp;mk=1784967:1784986|offset_51|444444,1785039:1785058|offset_123|00cc00,1785080:1785099|offset_164|444444,1785118:1785137|offset_202|444444&amp;v=1784766:1785337&amp;c=444444", "offset 123")</f>
        <v>offset 123</v>
      </c>
    </row>
    <row r="6421" customFormat="false" ht="12.8" hidden="false" customHeight="false" outlineLevel="0" collapsed="false">
      <c r="A6421" s="0" t="s">
        <v>12</v>
      </c>
      <c r="B6421" s="0" t="n">
        <v>1785079</v>
      </c>
      <c r="C6421" s="0" t="n">
        <v>1785099</v>
      </c>
      <c r="D6421" s="0" t="s">
        <v>21469</v>
      </c>
      <c r="E6421" s="0" t="s">
        <v>21470</v>
      </c>
      <c r="F6421" s="0" t="s">
        <v>15</v>
      </c>
      <c r="G6421" s="0" t="s">
        <v>26</v>
      </c>
      <c r="H6421" s="0" t="n">
        <v>164</v>
      </c>
      <c r="I6421" s="0" t="s">
        <v>21477</v>
      </c>
      <c r="J6421" s="0" t="s">
        <v>21478</v>
      </c>
      <c r="K6421" s="0" t="s">
        <v>21479</v>
      </c>
      <c r="L6421" s="0" t="str">
        <f aca="false">HYPERLINK("https://www.ncbi.nlm.nih.gov/nuccore/CP000304.1?report=graph&amp;tracks=[key:gene_model_track,Options:GeneOnly]&amp;mk=1784967:1784986|offset_51|444444,1785039:1785058|offset_123|444444,1785080:1785099|offset_164|00cc00,1785118:1785137|offset_202|444444&amp;v=1784766:1785337&amp;c=444444", "offset 164")</f>
        <v>offset 164</v>
      </c>
    </row>
    <row r="6422" customFormat="false" ht="12.8" hidden="false" customHeight="false" outlineLevel="0" collapsed="false">
      <c r="A6422" s="0" t="s">
        <v>12</v>
      </c>
      <c r="B6422" s="0" t="n">
        <v>1785117</v>
      </c>
      <c r="C6422" s="0" t="n">
        <v>1785137</v>
      </c>
      <c r="D6422" s="0" t="s">
        <v>21469</v>
      </c>
      <c r="E6422" s="0" t="s">
        <v>21470</v>
      </c>
      <c r="F6422" s="0" t="s">
        <v>15</v>
      </c>
      <c r="G6422" s="0" t="s">
        <v>26</v>
      </c>
      <c r="H6422" s="0" t="n">
        <v>202</v>
      </c>
      <c r="I6422" s="0" t="s">
        <v>21480</v>
      </c>
      <c r="J6422" s="0" t="s">
        <v>21481</v>
      </c>
      <c r="K6422" s="0" t="s">
        <v>21482</v>
      </c>
      <c r="L6422" s="0" t="str">
        <f aca="false">HYPERLINK("https://www.ncbi.nlm.nih.gov/nuccore/CP000304.1?report=graph&amp;tracks=[key:gene_model_track,Options:GeneOnly]&amp;mk=1784967:1784986|offset_51|444444,1785039:1785058|offset_123|444444,1785080:1785099|offset_164|444444,1785118:1785137|offset_202|00cc00&amp;v=1784766:1785337&amp;c=444444", "offset 202")</f>
        <v>offset 202</v>
      </c>
    </row>
    <row r="6423" customFormat="false" ht="12.8" hidden="false" customHeight="false" outlineLevel="0" collapsed="false">
      <c r="A6423" s="0" t="s">
        <v>12</v>
      </c>
      <c r="B6423" s="0" t="n">
        <v>1786229</v>
      </c>
      <c r="C6423" s="0" t="n">
        <v>1786249</v>
      </c>
      <c r="D6423" s="0" t="s">
        <v>21483</v>
      </c>
      <c r="E6423" s="0" t="s">
        <v>21484</v>
      </c>
      <c r="F6423" s="0" t="s">
        <v>15</v>
      </c>
      <c r="G6423" s="0" t="s">
        <v>26</v>
      </c>
      <c r="H6423" s="0" t="n">
        <v>35</v>
      </c>
      <c r="I6423" s="0" t="s">
        <v>21485</v>
      </c>
      <c r="J6423" s="0" t="s">
        <v>21486</v>
      </c>
      <c r="K6423" s="0" t="s">
        <v>21487</v>
      </c>
      <c r="L6423" s="0" t="str">
        <f aca="false">HYPERLINK("https://www.ncbi.nlm.nih.gov/nuccore/CP000304.1?report=graph&amp;tracks=[key:gene_model_track,Options:GeneOnly]&amp;mk=1786230:1786249|offset_35|00cc00,1786251:1786270|offset_56|444444,1786274:1786293|offset_79|444444,1786294:1786313|offset_99|444444&amp;v=1786029:1786513&amp;c=444444", "offset 35")</f>
        <v>offset 35</v>
      </c>
    </row>
    <row r="6424" customFormat="false" ht="12.8" hidden="false" customHeight="false" outlineLevel="0" collapsed="false">
      <c r="A6424" s="0" t="s">
        <v>12</v>
      </c>
      <c r="B6424" s="0" t="n">
        <v>1786250</v>
      </c>
      <c r="C6424" s="0" t="n">
        <v>1786270</v>
      </c>
      <c r="D6424" s="0" t="s">
        <v>21483</v>
      </c>
      <c r="E6424" s="0" t="s">
        <v>21484</v>
      </c>
      <c r="F6424" s="0" t="s">
        <v>15</v>
      </c>
      <c r="G6424" s="0" t="s">
        <v>36</v>
      </c>
      <c r="H6424" s="0" t="n">
        <v>56</v>
      </c>
      <c r="I6424" s="0" t="s">
        <v>21488</v>
      </c>
      <c r="J6424" s="0" t="s">
        <v>21489</v>
      </c>
      <c r="K6424" s="0" t="s">
        <v>21490</v>
      </c>
      <c r="L6424" s="0" t="str">
        <f aca="false">HYPERLINK("https://www.ncbi.nlm.nih.gov/nuccore/CP000304.1?report=graph&amp;tracks=[key:gene_model_track,Options:GeneOnly]&amp;mk=1786230:1786249|offset_35|444444,1786251:1786270|offset_56|00cc00,1786274:1786293|offset_79|444444,1786294:1786313|offset_99|444444&amp;v=1786029:1786513&amp;c=444444", "offset 56")</f>
        <v>offset 56</v>
      </c>
    </row>
    <row r="6425" customFormat="false" ht="12.8" hidden="false" customHeight="false" outlineLevel="0" collapsed="false">
      <c r="A6425" s="0" t="s">
        <v>12</v>
      </c>
      <c r="B6425" s="0" t="n">
        <v>1786273</v>
      </c>
      <c r="C6425" s="0" t="n">
        <v>1786293</v>
      </c>
      <c r="D6425" s="0" t="s">
        <v>21483</v>
      </c>
      <c r="E6425" s="0" t="s">
        <v>21484</v>
      </c>
      <c r="F6425" s="0" t="s">
        <v>15</v>
      </c>
      <c r="G6425" s="0" t="s">
        <v>32</v>
      </c>
      <c r="H6425" s="0" t="n">
        <v>79</v>
      </c>
      <c r="I6425" s="0" t="s">
        <v>21491</v>
      </c>
      <c r="J6425" s="0" t="s">
        <v>21492</v>
      </c>
      <c r="K6425" s="0" t="s">
        <v>21493</v>
      </c>
      <c r="L6425" s="0" t="str">
        <f aca="false">HYPERLINK("https://www.ncbi.nlm.nih.gov/nuccore/CP000304.1?report=graph&amp;tracks=[key:gene_model_track,Options:GeneOnly]&amp;mk=1786230:1786249|offset_35|444444,1786251:1786270|offset_56|444444,1786274:1786293|offset_79|00cc00,1786294:1786313|offset_99|444444&amp;v=1786029:1786513&amp;c=444444", "offset 79")</f>
        <v>offset 79</v>
      </c>
    </row>
    <row r="6426" customFormat="false" ht="12.8" hidden="false" customHeight="false" outlineLevel="0" collapsed="false">
      <c r="A6426" s="0" t="s">
        <v>12</v>
      </c>
      <c r="B6426" s="0" t="n">
        <v>1786293</v>
      </c>
      <c r="C6426" s="0" t="n">
        <v>1786313</v>
      </c>
      <c r="D6426" s="0" t="s">
        <v>21483</v>
      </c>
      <c r="E6426" s="0" t="s">
        <v>21484</v>
      </c>
      <c r="F6426" s="0" t="s">
        <v>15</v>
      </c>
      <c r="G6426" s="0" t="s">
        <v>16</v>
      </c>
      <c r="H6426" s="0" t="n">
        <v>99</v>
      </c>
      <c r="I6426" s="0" t="s">
        <v>21494</v>
      </c>
      <c r="J6426" s="0" t="s">
        <v>21495</v>
      </c>
      <c r="K6426" s="0" t="s">
        <v>21496</v>
      </c>
      <c r="L6426" s="0" t="str">
        <f aca="false">HYPERLINK("https://www.ncbi.nlm.nih.gov/nuccore/CP000304.1?report=graph&amp;tracks=[key:gene_model_track,Options:GeneOnly]&amp;mk=1786230:1786249|offset_35|444444,1786251:1786270|offset_56|444444,1786274:1786293|offset_79|444444,1786294:1786313|offset_99|00cc00&amp;v=1786029:1786513&amp;c=444444", "offset 99")</f>
        <v>offset 99</v>
      </c>
    </row>
    <row r="6427" customFormat="false" ht="12.8" hidden="false" customHeight="false" outlineLevel="0" collapsed="false">
      <c r="A6427" s="0" t="s">
        <v>12</v>
      </c>
      <c r="B6427" s="0" t="n">
        <v>1787460</v>
      </c>
      <c r="C6427" s="0" t="n">
        <v>1787480</v>
      </c>
      <c r="D6427" s="0" t="s">
        <v>21497</v>
      </c>
      <c r="E6427" s="0" t="s">
        <v>21498</v>
      </c>
      <c r="F6427" s="0" t="s">
        <v>15</v>
      </c>
      <c r="G6427" s="0" t="s">
        <v>26</v>
      </c>
      <c r="H6427" s="0" t="n">
        <v>13</v>
      </c>
      <c r="I6427" s="0" t="s">
        <v>21499</v>
      </c>
      <c r="J6427" s="0" t="s">
        <v>21500</v>
      </c>
      <c r="K6427" s="0" t="s">
        <v>21501</v>
      </c>
      <c r="L6427" s="0" t="str">
        <f aca="false">HYPERLINK("https://www.ncbi.nlm.nih.gov/nuccore/CP000304.1?report=graph&amp;tracks=[key:gene_model_track,Options:GeneOnly]&amp;mk=1787461:1787480|offset_13|00cc00,1787483:1787502|offset_35|444444,1787504:1787523|offset_56|444444,1787545:1787564|offset_97|444444&amp;v=1787260:1787764&amp;c=444444", "offset 13")</f>
        <v>offset 13</v>
      </c>
    </row>
    <row r="6428" customFormat="false" ht="12.8" hidden="false" customHeight="false" outlineLevel="0" collapsed="false">
      <c r="A6428" s="0" t="s">
        <v>12</v>
      </c>
      <c r="B6428" s="0" t="n">
        <v>1787482</v>
      </c>
      <c r="C6428" s="0" t="n">
        <v>1787502</v>
      </c>
      <c r="D6428" s="0" t="s">
        <v>21497</v>
      </c>
      <c r="E6428" s="0" t="s">
        <v>21498</v>
      </c>
      <c r="F6428" s="0" t="s">
        <v>15</v>
      </c>
      <c r="G6428" s="0" t="s">
        <v>26</v>
      </c>
      <c r="H6428" s="0" t="n">
        <v>35</v>
      </c>
      <c r="I6428" s="0" t="s">
        <v>21502</v>
      </c>
      <c r="J6428" s="0" t="s">
        <v>21503</v>
      </c>
      <c r="K6428" s="0" t="s">
        <v>21504</v>
      </c>
      <c r="L6428" s="0" t="str">
        <f aca="false">HYPERLINK("https://www.ncbi.nlm.nih.gov/nuccore/CP000304.1?report=graph&amp;tracks=[key:gene_model_track,Options:GeneOnly]&amp;mk=1787461:1787480|offset_13|444444,1787483:1787502|offset_35|00cc00,1787504:1787523|offset_56|444444,1787545:1787564|offset_97|444444&amp;v=1787260:1787764&amp;c=444444", "offset 35")</f>
        <v>offset 35</v>
      </c>
    </row>
    <row r="6429" customFormat="false" ht="12.8" hidden="false" customHeight="false" outlineLevel="0" collapsed="false">
      <c r="A6429" s="0" t="s">
        <v>12</v>
      </c>
      <c r="B6429" s="0" t="n">
        <v>1787503</v>
      </c>
      <c r="C6429" s="0" t="n">
        <v>1787523</v>
      </c>
      <c r="D6429" s="0" t="s">
        <v>21497</v>
      </c>
      <c r="E6429" s="0" t="s">
        <v>21498</v>
      </c>
      <c r="F6429" s="0" t="s">
        <v>15</v>
      </c>
      <c r="G6429" s="0" t="s">
        <v>26</v>
      </c>
      <c r="H6429" s="0" t="n">
        <v>56</v>
      </c>
      <c r="I6429" s="0" t="s">
        <v>21505</v>
      </c>
      <c r="J6429" s="0" t="s">
        <v>21506</v>
      </c>
      <c r="K6429" s="0" t="s">
        <v>21507</v>
      </c>
      <c r="L6429" s="0" t="str">
        <f aca="false">HYPERLINK("https://www.ncbi.nlm.nih.gov/nuccore/CP000304.1?report=graph&amp;tracks=[key:gene_model_track,Options:GeneOnly]&amp;mk=1787461:1787480|offset_13|444444,1787483:1787502|offset_35|444444,1787504:1787523|offset_56|00cc00,1787545:1787564|offset_97|444444&amp;v=1787260:1787764&amp;c=444444", "offset 56")</f>
        <v>offset 56</v>
      </c>
    </row>
    <row r="6430" customFormat="false" ht="12.8" hidden="false" customHeight="false" outlineLevel="0" collapsed="false">
      <c r="A6430" s="0" t="s">
        <v>12</v>
      </c>
      <c r="B6430" s="0" t="n">
        <v>1787544</v>
      </c>
      <c r="C6430" s="0" t="n">
        <v>1787564</v>
      </c>
      <c r="D6430" s="0" t="s">
        <v>21497</v>
      </c>
      <c r="E6430" s="0" t="s">
        <v>21498</v>
      </c>
      <c r="F6430" s="0" t="s">
        <v>15</v>
      </c>
      <c r="G6430" s="0" t="s">
        <v>16</v>
      </c>
      <c r="H6430" s="0" t="n">
        <v>97</v>
      </c>
      <c r="I6430" s="0" t="s">
        <v>21508</v>
      </c>
      <c r="J6430" s="0" t="s">
        <v>21509</v>
      </c>
      <c r="K6430" s="0" t="s">
        <v>21510</v>
      </c>
      <c r="L6430" s="0" t="str">
        <f aca="false">HYPERLINK("https://www.ncbi.nlm.nih.gov/nuccore/CP000304.1?report=graph&amp;tracks=[key:gene_model_track,Options:GeneOnly]&amp;mk=1787461:1787480|offset_13|444444,1787483:1787502|offset_35|444444,1787504:1787523|offset_56|444444,1787545:1787564|offset_97|00cc00&amp;v=1787260:1787764&amp;c=444444", "offset 97")</f>
        <v>offset 97</v>
      </c>
    </row>
    <row r="6431" customFormat="false" ht="12.8" hidden="false" customHeight="false" outlineLevel="0" collapsed="false">
      <c r="A6431" s="0" t="s">
        <v>12</v>
      </c>
      <c r="B6431" s="0" t="n">
        <v>1787947</v>
      </c>
      <c r="C6431" s="0" t="n">
        <v>1787967</v>
      </c>
      <c r="D6431" s="0" t="s">
        <v>21511</v>
      </c>
      <c r="E6431" s="0" t="s">
        <v>21512</v>
      </c>
      <c r="F6431" s="0" t="s">
        <v>15</v>
      </c>
      <c r="G6431" s="0" t="s">
        <v>32</v>
      </c>
      <c r="H6431" s="0" t="n">
        <v>1</v>
      </c>
      <c r="I6431" s="0" t="s">
        <v>21513</v>
      </c>
      <c r="J6431" s="0" t="s">
        <v>21514</v>
      </c>
      <c r="K6431" s="0" t="s">
        <v>21515</v>
      </c>
      <c r="L6431" s="0" t="str">
        <f aca="false">HYPERLINK("https://www.ncbi.nlm.nih.gov/nuccore/CP000304.1?report=graph&amp;tracks=[key:gene_model_track,Options:GeneOnly]&amp;mk=1787948:1787967|offset_1|00cc00,1787990:1788009|offset_43|444444,1788020:1788039|offset_73|444444,1788042:1788061|offset_95|444444&amp;v=1787747:1788261&amp;c=444444", "offset 1")</f>
        <v>offset 1</v>
      </c>
    </row>
    <row r="6432" customFormat="false" ht="12.8" hidden="false" customHeight="false" outlineLevel="0" collapsed="false">
      <c r="A6432" s="0" t="s">
        <v>12</v>
      </c>
      <c r="B6432" s="0" t="n">
        <v>1787989</v>
      </c>
      <c r="C6432" s="0" t="n">
        <v>1788009</v>
      </c>
      <c r="D6432" s="0" t="s">
        <v>21511</v>
      </c>
      <c r="E6432" s="0" t="s">
        <v>21512</v>
      </c>
      <c r="F6432" s="0" t="s">
        <v>15</v>
      </c>
      <c r="G6432" s="0" t="s">
        <v>36</v>
      </c>
      <c r="H6432" s="0" t="n">
        <v>43</v>
      </c>
      <c r="I6432" s="0" t="s">
        <v>21516</v>
      </c>
      <c r="J6432" s="0" t="s">
        <v>21517</v>
      </c>
      <c r="K6432" s="0" t="s">
        <v>21518</v>
      </c>
      <c r="L6432" s="0" t="str">
        <f aca="false">HYPERLINK("https://www.ncbi.nlm.nih.gov/nuccore/CP000304.1?report=graph&amp;tracks=[key:gene_model_track,Options:GeneOnly]&amp;mk=1787948:1787967|offset_1|444444,1787990:1788009|offset_43|00cc00,1788020:1788039|offset_73|444444,1788042:1788061|offset_95|444444&amp;v=1787747:1788261&amp;c=444444", "offset 43")</f>
        <v>offset 43</v>
      </c>
    </row>
    <row r="6433" customFormat="false" ht="12.8" hidden="false" customHeight="false" outlineLevel="0" collapsed="false">
      <c r="A6433" s="0" t="s">
        <v>12</v>
      </c>
      <c r="B6433" s="0" t="n">
        <v>1788019</v>
      </c>
      <c r="C6433" s="0" t="n">
        <v>1788039</v>
      </c>
      <c r="D6433" s="0" t="s">
        <v>21511</v>
      </c>
      <c r="E6433" s="0" t="s">
        <v>21512</v>
      </c>
      <c r="F6433" s="0" t="s">
        <v>15</v>
      </c>
      <c r="G6433" s="0" t="s">
        <v>16</v>
      </c>
      <c r="H6433" s="0" t="n">
        <v>73</v>
      </c>
      <c r="I6433" s="0" t="s">
        <v>21519</v>
      </c>
      <c r="J6433" s="0" t="s">
        <v>21520</v>
      </c>
      <c r="K6433" s="0" t="s">
        <v>21521</v>
      </c>
      <c r="L6433" s="0" t="str">
        <f aca="false">HYPERLINK("https://www.ncbi.nlm.nih.gov/nuccore/CP000304.1?report=graph&amp;tracks=[key:gene_model_track,Options:GeneOnly]&amp;mk=1787948:1787967|offset_1|444444,1787990:1788009|offset_43|444444,1788020:1788039|offset_73|00cc00,1788042:1788061|offset_95|444444&amp;v=1787747:1788261&amp;c=444444", "offset 73")</f>
        <v>offset 73</v>
      </c>
    </row>
    <row r="6434" customFormat="false" ht="12.8" hidden="false" customHeight="false" outlineLevel="0" collapsed="false">
      <c r="A6434" s="0" t="s">
        <v>12</v>
      </c>
      <c r="B6434" s="0" t="n">
        <v>1788041</v>
      </c>
      <c r="C6434" s="0" t="n">
        <v>1788061</v>
      </c>
      <c r="D6434" s="0" t="s">
        <v>21511</v>
      </c>
      <c r="E6434" s="0" t="s">
        <v>21512</v>
      </c>
      <c r="F6434" s="0" t="s">
        <v>15</v>
      </c>
      <c r="G6434" s="0" t="s">
        <v>32</v>
      </c>
      <c r="H6434" s="0" t="n">
        <v>95</v>
      </c>
      <c r="I6434" s="0" t="s">
        <v>21522</v>
      </c>
      <c r="J6434" s="0" t="s">
        <v>21523</v>
      </c>
      <c r="K6434" s="0" t="s">
        <v>21524</v>
      </c>
      <c r="L6434" s="0" t="str">
        <f aca="false">HYPERLINK("https://www.ncbi.nlm.nih.gov/nuccore/CP000304.1?report=graph&amp;tracks=[key:gene_model_track,Options:GeneOnly]&amp;mk=1787948:1787967|offset_1|444444,1787990:1788009|offset_43|444444,1788020:1788039|offset_73|444444,1788042:1788061|offset_95|00cc00&amp;v=1787747:1788261&amp;c=444444", "offset 95")</f>
        <v>offset 95</v>
      </c>
    </row>
    <row r="6435" customFormat="false" ht="12.8" hidden="false" customHeight="false" outlineLevel="0" collapsed="false">
      <c r="A6435" s="0" t="s">
        <v>12</v>
      </c>
      <c r="B6435" s="0" t="n">
        <v>1789077</v>
      </c>
      <c r="C6435" s="0" t="n">
        <v>1789097</v>
      </c>
      <c r="D6435" s="0" t="s">
        <v>21525</v>
      </c>
      <c r="E6435" s="0" t="s">
        <v>21526</v>
      </c>
      <c r="F6435" s="0" t="s">
        <v>15</v>
      </c>
      <c r="G6435" s="0" t="s">
        <v>36</v>
      </c>
      <c r="H6435" s="0" t="n">
        <v>49</v>
      </c>
      <c r="I6435" s="0" t="s">
        <v>21527</v>
      </c>
      <c r="J6435" s="0" t="s">
        <v>21528</v>
      </c>
      <c r="K6435" s="0" t="s">
        <v>21529</v>
      </c>
      <c r="L6435" s="0" t="str">
        <f aca="false">HYPERLINK("https://www.ncbi.nlm.nih.gov/nuccore/CP000304.1?report=graph&amp;tracks=[key:gene_model_track,Options:GeneOnly]&amp;mk=1789078:1789097|offset_49|00cc00,1789102:1789121|offset_73|444444,1789127:1789146|offset_98|444444,1789150:1789169|offset_121|444444&amp;v=1788877:1789369&amp;c=444444", "offset 49")</f>
        <v>offset 49</v>
      </c>
    </row>
    <row r="6436" customFormat="false" ht="12.8" hidden="false" customHeight="false" outlineLevel="0" collapsed="false">
      <c r="A6436" s="0" t="s">
        <v>12</v>
      </c>
      <c r="B6436" s="0" t="n">
        <v>1789101</v>
      </c>
      <c r="C6436" s="0" t="n">
        <v>1789121</v>
      </c>
      <c r="D6436" s="0" t="s">
        <v>21525</v>
      </c>
      <c r="E6436" s="0" t="s">
        <v>21526</v>
      </c>
      <c r="F6436" s="0" t="s">
        <v>15</v>
      </c>
      <c r="G6436" s="0" t="s">
        <v>16</v>
      </c>
      <c r="H6436" s="0" t="n">
        <v>73</v>
      </c>
      <c r="I6436" s="0" t="s">
        <v>21530</v>
      </c>
      <c r="J6436" s="0" t="s">
        <v>21531</v>
      </c>
      <c r="K6436" s="0" t="s">
        <v>21532</v>
      </c>
      <c r="L6436" s="0" t="str">
        <f aca="false">HYPERLINK("https://www.ncbi.nlm.nih.gov/nuccore/CP000304.1?report=graph&amp;tracks=[key:gene_model_track,Options:GeneOnly]&amp;mk=1789078:1789097|offset_49|444444,1789102:1789121|offset_73|00cc00,1789127:1789146|offset_98|444444,1789150:1789169|offset_121|444444&amp;v=1788877:1789369&amp;c=444444", "offset 73")</f>
        <v>offset 73</v>
      </c>
    </row>
    <row r="6437" customFormat="false" ht="12.8" hidden="false" customHeight="false" outlineLevel="0" collapsed="false">
      <c r="A6437" s="0" t="s">
        <v>12</v>
      </c>
      <c r="B6437" s="0" t="n">
        <v>1789126</v>
      </c>
      <c r="C6437" s="0" t="n">
        <v>1789146</v>
      </c>
      <c r="D6437" s="0" t="s">
        <v>21525</v>
      </c>
      <c r="E6437" s="0" t="s">
        <v>21526</v>
      </c>
      <c r="F6437" s="0" t="s">
        <v>15</v>
      </c>
      <c r="G6437" s="0" t="s">
        <v>16</v>
      </c>
      <c r="H6437" s="0" t="n">
        <v>98</v>
      </c>
      <c r="I6437" s="0" t="s">
        <v>21533</v>
      </c>
      <c r="J6437" s="0" t="s">
        <v>21534</v>
      </c>
      <c r="K6437" s="0" t="s">
        <v>21535</v>
      </c>
      <c r="L6437" s="0" t="str">
        <f aca="false">HYPERLINK("https://www.ncbi.nlm.nih.gov/nuccore/CP000304.1?report=graph&amp;tracks=[key:gene_model_track,Options:GeneOnly]&amp;mk=1789078:1789097|offset_49|444444,1789102:1789121|offset_73|444444,1789127:1789146|offset_98|00cc00,1789150:1789169|offset_121|444444&amp;v=1788877:1789369&amp;c=444444", "offset 98")</f>
        <v>offset 98</v>
      </c>
    </row>
    <row r="6438" customFormat="false" ht="12.8" hidden="false" customHeight="false" outlineLevel="0" collapsed="false">
      <c r="A6438" s="0" t="s">
        <v>12</v>
      </c>
      <c r="B6438" s="0" t="n">
        <v>1789149</v>
      </c>
      <c r="C6438" s="0" t="n">
        <v>1789169</v>
      </c>
      <c r="D6438" s="0" t="s">
        <v>21525</v>
      </c>
      <c r="E6438" s="0" t="s">
        <v>21526</v>
      </c>
      <c r="F6438" s="0" t="s">
        <v>15</v>
      </c>
      <c r="G6438" s="0" t="s">
        <v>16</v>
      </c>
      <c r="H6438" s="0" t="n">
        <v>121</v>
      </c>
      <c r="I6438" s="0" t="s">
        <v>21536</v>
      </c>
      <c r="J6438" s="0" t="s">
        <v>21537</v>
      </c>
      <c r="K6438" s="0" t="s">
        <v>21538</v>
      </c>
      <c r="L6438" s="0" t="str">
        <f aca="false">HYPERLINK("https://www.ncbi.nlm.nih.gov/nuccore/CP000304.1?report=graph&amp;tracks=[key:gene_model_track,Options:GeneOnly]&amp;mk=1789078:1789097|offset_49|444444,1789102:1789121|offset_73|444444,1789127:1789146|offset_98|444444,1789150:1789169|offset_121|00cc00&amp;v=1788877:1789369&amp;c=444444", "offset 121")</f>
        <v>offset 121</v>
      </c>
    </row>
    <row r="6439" customFormat="false" ht="12.8" hidden="false" customHeight="false" outlineLevel="0" collapsed="false">
      <c r="A6439" s="0" t="s">
        <v>12</v>
      </c>
      <c r="B6439" s="0" t="n">
        <v>1789913</v>
      </c>
      <c r="C6439" s="0" t="n">
        <v>1789933</v>
      </c>
      <c r="D6439" s="0" t="s">
        <v>21539</v>
      </c>
      <c r="E6439" s="0" t="s">
        <v>21540</v>
      </c>
      <c r="F6439" s="0" t="s">
        <v>15</v>
      </c>
      <c r="G6439" s="0" t="s">
        <v>32</v>
      </c>
      <c r="H6439" s="0" t="n">
        <v>1</v>
      </c>
      <c r="I6439" s="0" t="s">
        <v>21541</v>
      </c>
      <c r="J6439" s="0" t="s">
        <v>21542</v>
      </c>
      <c r="K6439" s="0" t="s">
        <v>21543</v>
      </c>
      <c r="L6439" s="0" t="str">
        <f aca="false">HYPERLINK("https://www.ncbi.nlm.nih.gov/nuccore/CP000304.1?report=graph&amp;tracks=[key:gene_model_track,Options:GeneOnly]&amp;mk=1789914:1789933|offset_1|00cc00,1789963:1789982|offset_50|444444,1789987:1790006|offset_74|444444,1790023:1790042|offset_110|444444&amp;v=1789713:1790242&amp;c=444444", "offset 1")</f>
        <v>offset 1</v>
      </c>
    </row>
    <row r="6440" customFormat="false" ht="12.8" hidden="false" customHeight="false" outlineLevel="0" collapsed="false">
      <c r="A6440" s="0" t="s">
        <v>12</v>
      </c>
      <c r="B6440" s="0" t="n">
        <v>1789962</v>
      </c>
      <c r="C6440" s="0" t="n">
        <v>1789982</v>
      </c>
      <c r="D6440" s="0" t="s">
        <v>21539</v>
      </c>
      <c r="E6440" s="0" t="s">
        <v>21540</v>
      </c>
      <c r="F6440" s="0" t="s">
        <v>15</v>
      </c>
      <c r="G6440" s="0" t="s">
        <v>16</v>
      </c>
      <c r="H6440" s="0" t="n">
        <v>50</v>
      </c>
      <c r="I6440" s="0" t="s">
        <v>21544</v>
      </c>
      <c r="J6440" s="0" t="s">
        <v>21545</v>
      </c>
      <c r="K6440" s="0" t="s">
        <v>21546</v>
      </c>
      <c r="L6440" s="0" t="str">
        <f aca="false">HYPERLINK("https://www.ncbi.nlm.nih.gov/nuccore/CP000304.1?report=graph&amp;tracks=[key:gene_model_track,Options:GeneOnly]&amp;mk=1789914:1789933|offset_1|444444,1789963:1789982|offset_50|00cc00,1789987:1790006|offset_74|444444,1790023:1790042|offset_110|444444&amp;v=1789713:1790242&amp;c=444444", "offset 50")</f>
        <v>offset 50</v>
      </c>
    </row>
    <row r="6441" customFormat="false" ht="12.8" hidden="false" customHeight="false" outlineLevel="0" collapsed="false">
      <c r="A6441" s="0" t="s">
        <v>12</v>
      </c>
      <c r="B6441" s="0" t="n">
        <v>1789986</v>
      </c>
      <c r="C6441" s="0" t="n">
        <v>1790006</v>
      </c>
      <c r="D6441" s="0" t="s">
        <v>21539</v>
      </c>
      <c r="E6441" s="0" t="s">
        <v>21540</v>
      </c>
      <c r="F6441" s="0" t="s">
        <v>15</v>
      </c>
      <c r="G6441" s="0" t="s">
        <v>26</v>
      </c>
      <c r="H6441" s="0" t="n">
        <v>74</v>
      </c>
      <c r="I6441" s="0" t="s">
        <v>21547</v>
      </c>
      <c r="J6441" s="0" t="s">
        <v>21548</v>
      </c>
      <c r="K6441" s="0" t="s">
        <v>21549</v>
      </c>
      <c r="L6441" s="0" t="str">
        <f aca="false">HYPERLINK("https://www.ncbi.nlm.nih.gov/nuccore/CP000304.1?report=graph&amp;tracks=[key:gene_model_track,Options:GeneOnly]&amp;mk=1789914:1789933|offset_1|444444,1789963:1789982|offset_50|444444,1789987:1790006|offset_74|00cc00,1790023:1790042|offset_110|444444&amp;v=1789713:1790242&amp;c=444444", "offset 74")</f>
        <v>offset 74</v>
      </c>
    </row>
    <row r="6442" customFormat="false" ht="12.8" hidden="false" customHeight="false" outlineLevel="0" collapsed="false">
      <c r="A6442" s="0" t="s">
        <v>12</v>
      </c>
      <c r="B6442" s="0" t="n">
        <v>1790022</v>
      </c>
      <c r="C6442" s="0" t="n">
        <v>1790042</v>
      </c>
      <c r="D6442" s="0" t="s">
        <v>21539</v>
      </c>
      <c r="E6442" s="0" t="s">
        <v>21540</v>
      </c>
      <c r="F6442" s="0" t="s">
        <v>15</v>
      </c>
      <c r="G6442" s="0" t="s">
        <v>26</v>
      </c>
      <c r="H6442" s="0" t="n">
        <v>110</v>
      </c>
      <c r="I6442" s="0" t="s">
        <v>21550</v>
      </c>
      <c r="J6442" s="0" t="s">
        <v>21551</v>
      </c>
      <c r="K6442" s="0" t="s">
        <v>21552</v>
      </c>
      <c r="L6442" s="0" t="str">
        <f aca="false">HYPERLINK("https://www.ncbi.nlm.nih.gov/nuccore/CP000304.1?report=graph&amp;tracks=[key:gene_model_track,Options:GeneOnly]&amp;mk=1789914:1789933|offset_1|444444,1789963:1789982|offset_50|444444,1789987:1790006|offset_74|444444,1790023:1790042|offset_110|00cc00&amp;v=1789713:1790242&amp;c=444444", "offset 110")</f>
        <v>offset 110</v>
      </c>
    </row>
    <row r="6443" customFormat="false" ht="12.8" hidden="false" customHeight="false" outlineLevel="0" collapsed="false">
      <c r="A6443" s="0" t="s">
        <v>12</v>
      </c>
      <c r="B6443" s="0" t="n">
        <v>1791288</v>
      </c>
      <c r="C6443" s="0" t="n">
        <v>1791308</v>
      </c>
      <c r="D6443" s="0" t="s">
        <v>21553</v>
      </c>
      <c r="E6443" s="0" t="s">
        <v>21554</v>
      </c>
      <c r="F6443" s="0" t="s">
        <v>15</v>
      </c>
      <c r="G6443" s="0" t="s">
        <v>32</v>
      </c>
      <c r="H6443" s="0" t="n">
        <v>1</v>
      </c>
      <c r="I6443" s="0" t="s">
        <v>21555</v>
      </c>
      <c r="J6443" s="0" t="s">
        <v>21556</v>
      </c>
      <c r="K6443" s="0" t="s">
        <v>21557</v>
      </c>
      <c r="L6443" s="0" t="str">
        <f aca="false">HYPERLINK("https://www.ncbi.nlm.nih.gov/nuccore/CP000304.1?report=graph&amp;tracks=[key:gene_model_track,Options:GeneOnly]&amp;mk=1791289:1791308|offset_1|00cc00,1791335:1791354|offset_47|444444,1791373:1791392|offset_85|444444,1791401:1791420|offset_113|444444&amp;v=1791088:1791620&amp;c=444444", "offset 1")</f>
        <v>offset 1</v>
      </c>
    </row>
    <row r="6444" customFormat="false" ht="12.8" hidden="false" customHeight="false" outlineLevel="0" collapsed="false">
      <c r="A6444" s="0" t="s">
        <v>12</v>
      </c>
      <c r="B6444" s="0" t="n">
        <v>1791334</v>
      </c>
      <c r="C6444" s="0" t="n">
        <v>1791354</v>
      </c>
      <c r="D6444" s="0" t="s">
        <v>21553</v>
      </c>
      <c r="E6444" s="0" t="s">
        <v>21554</v>
      </c>
      <c r="F6444" s="0" t="s">
        <v>15</v>
      </c>
      <c r="G6444" s="0" t="s">
        <v>26</v>
      </c>
      <c r="H6444" s="0" t="n">
        <v>47</v>
      </c>
      <c r="I6444" s="0" t="s">
        <v>21558</v>
      </c>
      <c r="J6444" s="0" t="s">
        <v>21559</v>
      </c>
      <c r="K6444" s="0" t="s">
        <v>21560</v>
      </c>
      <c r="L6444" s="0" t="str">
        <f aca="false">HYPERLINK("https://www.ncbi.nlm.nih.gov/nuccore/CP000304.1?report=graph&amp;tracks=[key:gene_model_track,Options:GeneOnly]&amp;mk=1791289:1791308|offset_1|444444,1791335:1791354|offset_47|00cc00,1791373:1791392|offset_85|444444,1791401:1791420|offset_113|444444&amp;v=1791088:1791620&amp;c=444444", "offset 47")</f>
        <v>offset 47</v>
      </c>
    </row>
    <row r="6445" customFormat="false" ht="12.8" hidden="false" customHeight="false" outlineLevel="0" collapsed="false">
      <c r="A6445" s="0" t="s">
        <v>12</v>
      </c>
      <c r="B6445" s="0" t="n">
        <v>1791372</v>
      </c>
      <c r="C6445" s="0" t="n">
        <v>1791392</v>
      </c>
      <c r="D6445" s="0" t="s">
        <v>21553</v>
      </c>
      <c r="E6445" s="0" t="s">
        <v>21554</v>
      </c>
      <c r="F6445" s="0" t="s">
        <v>15</v>
      </c>
      <c r="G6445" s="0" t="s">
        <v>32</v>
      </c>
      <c r="H6445" s="0" t="n">
        <v>85</v>
      </c>
      <c r="I6445" s="0" t="s">
        <v>21561</v>
      </c>
      <c r="J6445" s="0" t="s">
        <v>21562</v>
      </c>
      <c r="K6445" s="0" t="s">
        <v>21563</v>
      </c>
      <c r="L6445" s="0" t="str">
        <f aca="false">HYPERLINK("https://www.ncbi.nlm.nih.gov/nuccore/CP000304.1?report=graph&amp;tracks=[key:gene_model_track,Options:GeneOnly]&amp;mk=1791289:1791308|offset_1|444444,1791335:1791354|offset_47|444444,1791373:1791392|offset_85|00cc00,1791401:1791420|offset_113|444444&amp;v=1791088:1791620&amp;c=444444", "offset 85")</f>
        <v>offset 85</v>
      </c>
    </row>
    <row r="6446" customFormat="false" ht="12.8" hidden="false" customHeight="false" outlineLevel="0" collapsed="false">
      <c r="A6446" s="0" t="s">
        <v>12</v>
      </c>
      <c r="B6446" s="0" t="n">
        <v>1791400</v>
      </c>
      <c r="C6446" s="0" t="n">
        <v>1791420</v>
      </c>
      <c r="D6446" s="0" t="s">
        <v>21553</v>
      </c>
      <c r="E6446" s="0" t="s">
        <v>21554</v>
      </c>
      <c r="F6446" s="0" t="s">
        <v>15</v>
      </c>
      <c r="G6446" s="0" t="s">
        <v>16</v>
      </c>
      <c r="H6446" s="0" t="n">
        <v>113</v>
      </c>
      <c r="I6446" s="0" t="s">
        <v>21564</v>
      </c>
      <c r="J6446" s="0" t="s">
        <v>21565</v>
      </c>
      <c r="K6446" s="0" t="s">
        <v>21566</v>
      </c>
      <c r="L6446" s="0" t="str">
        <f aca="false">HYPERLINK("https://www.ncbi.nlm.nih.gov/nuccore/CP000304.1?report=graph&amp;tracks=[key:gene_model_track,Options:GeneOnly]&amp;mk=1791289:1791308|offset_1|444444,1791335:1791354|offset_47|444444,1791373:1791392|offset_85|444444,1791401:1791420|offset_113|00cc00&amp;v=1791088:1791620&amp;c=444444", "offset 113")</f>
        <v>offset 113</v>
      </c>
    </row>
    <row r="6447" customFormat="false" ht="12.8" hidden="false" customHeight="false" outlineLevel="0" collapsed="false">
      <c r="A6447" s="0" t="s">
        <v>12</v>
      </c>
      <c r="B6447" s="0" t="n">
        <v>1792434</v>
      </c>
      <c r="C6447" s="0" t="n">
        <v>1792454</v>
      </c>
      <c r="D6447" s="0" t="s">
        <v>21567</v>
      </c>
      <c r="E6447" s="0" t="s">
        <v>21568</v>
      </c>
      <c r="F6447" s="0" t="s">
        <v>15</v>
      </c>
      <c r="G6447" s="0" t="s">
        <v>32</v>
      </c>
      <c r="H6447" s="0" t="n">
        <v>11</v>
      </c>
      <c r="I6447" s="0" t="s">
        <v>21569</v>
      </c>
      <c r="J6447" s="0" t="s">
        <v>21570</v>
      </c>
      <c r="K6447" s="0" t="s">
        <v>21571</v>
      </c>
      <c r="L6447" s="0" t="str">
        <f aca="false">HYPERLINK("https://www.ncbi.nlm.nih.gov/nuccore/CP000304.1?report=graph&amp;tracks=[key:gene_model_track,Options:GeneOnly]&amp;mk=1792435:1792454|offset_11|00cc00,1792460:1792479|offset_36|444444,1792485:1792504|offset_61|444444,1792525:1792544|offset_101|444444&amp;v=1792234:1792744&amp;c=444444", "offset 11")</f>
        <v>offset 11</v>
      </c>
    </row>
    <row r="6448" customFormat="false" ht="12.8" hidden="false" customHeight="false" outlineLevel="0" collapsed="false">
      <c r="A6448" s="0" t="s">
        <v>12</v>
      </c>
      <c r="B6448" s="0" t="n">
        <v>1792459</v>
      </c>
      <c r="C6448" s="0" t="n">
        <v>1792479</v>
      </c>
      <c r="D6448" s="0" t="s">
        <v>21567</v>
      </c>
      <c r="E6448" s="0" t="s">
        <v>21568</v>
      </c>
      <c r="F6448" s="0" t="s">
        <v>15</v>
      </c>
      <c r="G6448" s="0" t="s">
        <v>16</v>
      </c>
      <c r="H6448" s="0" t="n">
        <v>36</v>
      </c>
      <c r="I6448" s="0" t="s">
        <v>21572</v>
      </c>
      <c r="J6448" s="0" t="s">
        <v>21573</v>
      </c>
      <c r="K6448" s="0" t="s">
        <v>21574</v>
      </c>
      <c r="L6448" s="0" t="str">
        <f aca="false">HYPERLINK("https://www.ncbi.nlm.nih.gov/nuccore/CP000304.1?report=graph&amp;tracks=[key:gene_model_track,Options:GeneOnly]&amp;mk=1792435:1792454|offset_11|444444,1792460:1792479|offset_36|00cc00,1792485:1792504|offset_61|444444,1792525:1792544|offset_101|444444&amp;v=1792234:1792744&amp;c=444444", "offset 36")</f>
        <v>offset 36</v>
      </c>
    </row>
    <row r="6449" customFormat="false" ht="12.8" hidden="false" customHeight="false" outlineLevel="0" collapsed="false">
      <c r="A6449" s="0" t="s">
        <v>12</v>
      </c>
      <c r="B6449" s="0" t="n">
        <v>1792484</v>
      </c>
      <c r="C6449" s="0" t="n">
        <v>1792504</v>
      </c>
      <c r="D6449" s="0" t="s">
        <v>21567</v>
      </c>
      <c r="E6449" s="0" t="s">
        <v>21568</v>
      </c>
      <c r="F6449" s="0" t="s">
        <v>15</v>
      </c>
      <c r="G6449" s="0" t="s">
        <v>16</v>
      </c>
      <c r="H6449" s="0" t="n">
        <v>61</v>
      </c>
      <c r="I6449" s="0" t="s">
        <v>21575</v>
      </c>
      <c r="J6449" s="0" t="s">
        <v>21576</v>
      </c>
      <c r="K6449" s="0" t="s">
        <v>21577</v>
      </c>
      <c r="L6449" s="0" t="str">
        <f aca="false">HYPERLINK("https://www.ncbi.nlm.nih.gov/nuccore/CP000304.1?report=graph&amp;tracks=[key:gene_model_track,Options:GeneOnly]&amp;mk=1792435:1792454|offset_11|444444,1792460:1792479|offset_36|444444,1792485:1792504|offset_61|00cc00,1792525:1792544|offset_101|444444&amp;v=1792234:1792744&amp;c=444444", "offset 61")</f>
        <v>offset 61</v>
      </c>
    </row>
    <row r="6450" customFormat="false" ht="12.8" hidden="false" customHeight="false" outlineLevel="0" collapsed="false">
      <c r="A6450" s="0" t="s">
        <v>12</v>
      </c>
      <c r="B6450" s="0" t="n">
        <v>1792524</v>
      </c>
      <c r="C6450" s="0" t="n">
        <v>1792544</v>
      </c>
      <c r="D6450" s="0" t="s">
        <v>21567</v>
      </c>
      <c r="E6450" s="0" t="s">
        <v>21568</v>
      </c>
      <c r="F6450" s="0" t="s">
        <v>15</v>
      </c>
      <c r="G6450" s="0" t="s">
        <v>26</v>
      </c>
      <c r="H6450" s="0" t="n">
        <v>101</v>
      </c>
      <c r="I6450" s="0" t="s">
        <v>21578</v>
      </c>
      <c r="J6450" s="0" t="s">
        <v>21579</v>
      </c>
      <c r="K6450" s="0" t="s">
        <v>21580</v>
      </c>
      <c r="L6450" s="0" t="str">
        <f aca="false">HYPERLINK("https://www.ncbi.nlm.nih.gov/nuccore/CP000304.1?report=graph&amp;tracks=[key:gene_model_track,Options:GeneOnly]&amp;mk=1792435:1792454|offset_11|444444,1792460:1792479|offset_36|444444,1792485:1792504|offset_61|444444,1792525:1792544|offset_101|00cc00&amp;v=1792234:1792744&amp;c=444444", "offset 101")</f>
        <v>offset 101</v>
      </c>
    </row>
    <row r="6451" customFormat="false" ht="12.8" hidden="false" customHeight="false" outlineLevel="0" collapsed="false">
      <c r="A6451" s="0" t="s">
        <v>12</v>
      </c>
      <c r="B6451" s="0" t="n">
        <v>1792892</v>
      </c>
      <c r="C6451" s="0" t="n">
        <v>1792912</v>
      </c>
      <c r="D6451" s="0" t="s">
        <v>21581</v>
      </c>
      <c r="E6451" s="0" t="s">
        <v>21582</v>
      </c>
      <c r="F6451" s="0" t="s">
        <v>15</v>
      </c>
      <c r="G6451" s="0" t="s">
        <v>16</v>
      </c>
      <c r="H6451" s="0" t="n">
        <v>20</v>
      </c>
      <c r="I6451" s="0" t="s">
        <v>21583</v>
      </c>
      <c r="J6451" s="0" t="s">
        <v>21584</v>
      </c>
      <c r="K6451" s="0" t="s">
        <v>21585</v>
      </c>
      <c r="L6451" s="0" t="str">
        <f aca="false">HYPERLINK("https://www.ncbi.nlm.nih.gov/nuccore/CP000304.1?report=graph&amp;tracks=[key:gene_model_track,Options:GeneOnly]&amp;mk=1792893:1792912|offset_20|00cc00,1792929:1792948|offset_56|444444,1792977:1792996|offset_104|444444,1793000:1793019|offset_127|444444&amp;v=1792692:1793219&amp;c=444444", "offset 20")</f>
        <v>offset 20</v>
      </c>
    </row>
    <row r="6452" customFormat="false" ht="12.8" hidden="false" customHeight="false" outlineLevel="0" collapsed="false">
      <c r="A6452" s="0" t="s">
        <v>12</v>
      </c>
      <c r="B6452" s="0" t="n">
        <v>1792928</v>
      </c>
      <c r="C6452" s="0" t="n">
        <v>1792948</v>
      </c>
      <c r="D6452" s="0" t="s">
        <v>21581</v>
      </c>
      <c r="E6452" s="0" t="s">
        <v>21582</v>
      </c>
      <c r="F6452" s="0" t="s">
        <v>15</v>
      </c>
      <c r="G6452" s="0" t="s">
        <v>26</v>
      </c>
      <c r="H6452" s="0" t="n">
        <v>56</v>
      </c>
      <c r="I6452" s="0" t="s">
        <v>21586</v>
      </c>
      <c r="J6452" s="0" t="s">
        <v>21587</v>
      </c>
      <c r="K6452" s="0" t="s">
        <v>21588</v>
      </c>
      <c r="L6452" s="0" t="str">
        <f aca="false">HYPERLINK("https://www.ncbi.nlm.nih.gov/nuccore/CP000304.1?report=graph&amp;tracks=[key:gene_model_track,Options:GeneOnly]&amp;mk=1792893:1792912|offset_20|444444,1792929:1792948|offset_56|00cc00,1792977:1792996|offset_104|444444,1793000:1793019|offset_127|444444&amp;v=1792692:1793219&amp;c=444444", "offset 56")</f>
        <v>offset 56</v>
      </c>
    </row>
    <row r="6453" customFormat="false" ht="12.8" hidden="false" customHeight="false" outlineLevel="0" collapsed="false">
      <c r="A6453" s="0" t="s">
        <v>12</v>
      </c>
      <c r="B6453" s="0" t="n">
        <v>1792976</v>
      </c>
      <c r="C6453" s="0" t="n">
        <v>1792996</v>
      </c>
      <c r="D6453" s="0" t="s">
        <v>21581</v>
      </c>
      <c r="E6453" s="0" t="s">
        <v>21582</v>
      </c>
      <c r="F6453" s="0" t="s">
        <v>15</v>
      </c>
      <c r="G6453" s="0" t="s">
        <v>16</v>
      </c>
      <c r="H6453" s="0" t="n">
        <v>104</v>
      </c>
      <c r="I6453" s="0" t="s">
        <v>21589</v>
      </c>
      <c r="J6453" s="0" t="s">
        <v>21590</v>
      </c>
      <c r="K6453" s="0" t="s">
        <v>21591</v>
      </c>
      <c r="L6453" s="0" t="str">
        <f aca="false">HYPERLINK("https://www.ncbi.nlm.nih.gov/nuccore/CP000304.1?report=graph&amp;tracks=[key:gene_model_track,Options:GeneOnly]&amp;mk=1792893:1792912|offset_20|444444,1792929:1792948|offset_56|444444,1792977:1792996|offset_104|00cc00,1793000:1793019|offset_127|444444&amp;v=1792692:1793219&amp;c=444444", "offset 104")</f>
        <v>offset 104</v>
      </c>
    </row>
    <row r="6454" customFormat="false" ht="12.8" hidden="false" customHeight="false" outlineLevel="0" collapsed="false">
      <c r="A6454" s="0" t="s">
        <v>12</v>
      </c>
      <c r="B6454" s="0" t="n">
        <v>1792999</v>
      </c>
      <c r="C6454" s="0" t="n">
        <v>1793019</v>
      </c>
      <c r="D6454" s="0" t="s">
        <v>21581</v>
      </c>
      <c r="E6454" s="0" t="s">
        <v>21582</v>
      </c>
      <c r="F6454" s="0" t="s">
        <v>15</v>
      </c>
      <c r="G6454" s="0" t="s">
        <v>16</v>
      </c>
      <c r="H6454" s="0" t="n">
        <v>127</v>
      </c>
      <c r="I6454" s="0" t="s">
        <v>21592</v>
      </c>
      <c r="J6454" s="0" t="s">
        <v>21593</v>
      </c>
      <c r="K6454" s="0" t="s">
        <v>21594</v>
      </c>
      <c r="L6454" s="0" t="str">
        <f aca="false">HYPERLINK("https://www.ncbi.nlm.nih.gov/nuccore/CP000304.1?report=graph&amp;tracks=[key:gene_model_track,Options:GeneOnly]&amp;mk=1792893:1792912|offset_20|444444,1792929:1792948|offset_56|444444,1792977:1792996|offset_104|444444,1793000:1793019|offset_127|00cc00&amp;v=1792692:1793219&amp;c=444444", "offset 127")</f>
        <v>offset 127</v>
      </c>
    </row>
    <row r="6455" customFormat="false" ht="12.8" hidden="false" customHeight="false" outlineLevel="0" collapsed="false">
      <c r="A6455" s="0" t="s">
        <v>12</v>
      </c>
      <c r="B6455" s="0" t="n">
        <v>1793885</v>
      </c>
      <c r="C6455" s="0" t="n">
        <v>1793905</v>
      </c>
      <c r="D6455" s="0" t="s">
        <v>21595</v>
      </c>
      <c r="E6455" s="0" t="s">
        <v>21596</v>
      </c>
      <c r="F6455" s="0" t="s">
        <v>15</v>
      </c>
      <c r="G6455" s="0" t="s">
        <v>16</v>
      </c>
      <c r="H6455" s="0" t="n">
        <v>34</v>
      </c>
      <c r="I6455" s="0" t="s">
        <v>21597</v>
      </c>
      <c r="J6455" s="0" t="s">
        <v>21598</v>
      </c>
      <c r="K6455" s="0" t="s">
        <v>21599</v>
      </c>
      <c r="L6455" s="0" t="str">
        <f aca="false">HYPERLINK("https://www.ncbi.nlm.nih.gov/nuccore/CP000304.1?report=graph&amp;tracks=[key:gene_model_track,Options:GeneOnly]&amp;mk=1793886:1793905|offset_34|00cc00,1793913:1793932|offset_61|444444,1793933:1793952|offset_81|444444,1793958:1793977|offset_106|444444&amp;v=1793685:1794177&amp;c=444444", "offset 34")</f>
        <v>offset 34</v>
      </c>
    </row>
    <row r="6456" customFormat="false" ht="12.8" hidden="false" customHeight="false" outlineLevel="0" collapsed="false">
      <c r="A6456" s="0" t="s">
        <v>12</v>
      </c>
      <c r="B6456" s="0" t="n">
        <v>1793912</v>
      </c>
      <c r="C6456" s="0" t="n">
        <v>1793932</v>
      </c>
      <c r="D6456" s="0" t="s">
        <v>21595</v>
      </c>
      <c r="E6456" s="0" t="s">
        <v>21596</v>
      </c>
      <c r="F6456" s="0" t="s">
        <v>15</v>
      </c>
      <c r="G6456" s="0" t="s">
        <v>16</v>
      </c>
      <c r="H6456" s="0" t="n">
        <v>61</v>
      </c>
      <c r="I6456" s="0" t="s">
        <v>21600</v>
      </c>
      <c r="J6456" s="0" t="s">
        <v>21601</v>
      </c>
      <c r="K6456" s="0" t="s">
        <v>21602</v>
      </c>
      <c r="L6456" s="0" t="str">
        <f aca="false">HYPERLINK("https://www.ncbi.nlm.nih.gov/nuccore/CP000304.1?report=graph&amp;tracks=[key:gene_model_track,Options:GeneOnly]&amp;mk=1793886:1793905|offset_34|444444,1793913:1793932|offset_61|00cc00,1793933:1793952|offset_81|444444,1793958:1793977|offset_106|444444&amp;v=1793685:1794177&amp;c=444444", "offset 61")</f>
        <v>offset 61</v>
      </c>
    </row>
    <row r="6457" customFormat="false" ht="12.8" hidden="false" customHeight="false" outlineLevel="0" collapsed="false">
      <c r="A6457" s="0" t="s">
        <v>12</v>
      </c>
      <c r="B6457" s="0" t="n">
        <v>1793932</v>
      </c>
      <c r="C6457" s="0" t="n">
        <v>1793952</v>
      </c>
      <c r="D6457" s="0" t="s">
        <v>21595</v>
      </c>
      <c r="E6457" s="0" t="s">
        <v>21596</v>
      </c>
      <c r="F6457" s="0" t="s">
        <v>15</v>
      </c>
      <c r="G6457" s="0" t="s">
        <v>16</v>
      </c>
      <c r="H6457" s="0" t="n">
        <v>81</v>
      </c>
      <c r="I6457" s="0" t="s">
        <v>21603</v>
      </c>
      <c r="J6457" s="0" t="s">
        <v>21604</v>
      </c>
      <c r="K6457" s="0" t="s">
        <v>21605</v>
      </c>
      <c r="L6457" s="0" t="str">
        <f aca="false">HYPERLINK("https://www.ncbi.nlm.nih.gov/nuccore/CP000304.1?report=graph&amp;tracks=[key:gene_model_track,Options:GeneOnly]&amp;mk=1793886:1793905|offset_34|444444,1793913:1793932|offset_61|444444,1793933:1793952|offset_81|00cc00,1793958:1793977|offset_106|444444&amp;v=1793685:1794177&amp;c=444444", "offset 81")</f>
        <v>offset 81</v>
      </c>
    </row>
    <row r="6458" customFormat="false" ht="12.8" hidden="false" customHeight="false" outlineLevel="0" collapsed="false">
      <c r="A6458" s="0" t="s">
        <v>12</v>
      </c>
      <c r="B6458" s="0" t="n">
        <v>1793957</v>
      </c>
      <c r="C6458" s="0" t="n">
        <v>1793977</v>
      </c>
      <c r="D6458" s="0" t="s">
        <v>21595</v>
      </c>
      <c r="E6458" s="0" t="s">
        <v>21596</v>
      </c>
      <c r="F6458" s="0" t="s">
        <v>15</v>
      </c>
      <c r="G6458" s="0" t="s">
        <v>32</v>
      </c>
      <c r="H6458" s="0" t="n">
        <v>106</v>
      </c>
      <c r="I6458" s="0" t="s">
        <v>21606</v>
      </c>
      <c r="J6458" s="0" t="s">
        <v>21607</v>
      </c>
      <c r="K6458" s="0" t="s">
        <v>21608</v>
      </c>
      <c r="L6458" s="0" t="str">
        <f aca="false">HYPERLINK("https://www.ncbi.nlm.nih.gov/nuccore/CP000304.1?report=graph&amp;tracks=[key:gene_model_track,Options:GeneOnly]&amp;mk=1793886:1793905|offset_34|444444,1793913:1793932|offset_61|444444,1793933:1793952|offset_81|444444,1793958:1793977|offset_106|00cc00&amp;v=1793685:1794177&amp;c=444444", "offset 106")</f>
        <v>offset 106</v>
      </c>
    </row>
    <row r="6459" customFormat="false" ht="12.8" hidden="false" customHeight="false" outlineLevel="0" collapsed="false">
      <c r="A6459" s="0" t="s">
        <v>12</v>
      </c>
      <c r="B6459" s="0" t="n">
        <v>1795201</v>
      </c>
      <c r="C6459" s="0" t="n">
        <v>1795221</v>
      </c>
      <c r="D6459" s="0" t="s">
        <v>21609</v>
      </c>
      <c r="E6459" s="0" t="s">
        <v>21610</v>
      </c>
      <c r="F6459" s="0" t="s">
        <v>15</v>
      </c>
      <c r="G6459" s="0" t="s">
        <v>32</v>
      </c>
      <c r="H6459" s="0" t="n">
        <v>19</v>
      </c>
      <c r="I6459" s="0" t="s">
        <v>21611</v>
      </c>
      <c r="J6459" s="0" t="s">
        <v>21612</v>
      </c>
      <c r="K6459" s="0" t="s">
        <v>21613</v>
      </c>
      <c r="L6459" s="0" t="str">
        <f aca="false">HYPERLINK("https://www.ncbi.nlm.nih.gov/nuccore/CP000304.1?report=graph&amp;tracks=[key:gene_model_track,Options:GeneOnly]&amp;mk=1795202:1795221|offset_19|00cc00,1795226:1795245|offset_43|444444,1795246:1795265|offset_63|444444,1795268:1795287|offset_85|444444&amp;v=1795001:1795487&amp;c=444444", "offset 19")</f>
        <v>offset 19</v>
      </c>
    </row>
    <row r="6460" customFormat="false" ht="12.8" hidden="false" customHeight="false" outlineLevel="0" collapsed="false">
      <c r="A6460" s="0" t="s">
        <v>12</v>
      </c>
      <c r="B6460" s="0" t="n">
        <v>1795225</v>
      </c>
      <c r="C6460" s="0" t="n">
        <v>1795245</v>
      </c>
      <c r="D6460" s="0" t="s">
        <v>21609</v>
      </c>
      <c r="E6460" s="0" t="s">
        <v>21610</v>
      </c>
      <c r="F6460" s="0" t="s">
        <v>15</v>
      </c>
      <c r="G6460" s="0" t="s">
        <v>16</v>
      </c>
      <c r="H6460" s="0" t="n">
        <v>43</v>
      </c>
      <c r="I6460" s="0" t="s">
        <v>21614</v>
      </c>
      <c r="J6460" s="0" t="s">
        <v>21615</v>
      </c>
      <c r="K6460" s="0" t="s">
        <v>21616</v>
      </c>
      <c r="L6460" s="0" t="str">
        <f aca="false">HYPERLINK("https://www.ncbi.nlm.nih.gov/nuccore/CP000304.1?report=graph&amp;tracks=[key:gene_model_track,Options:GeneOnly]&amp;mk=1795202:1795221|offset_19|444444,1795226:1795245|offset_43|00cc00,1795246:1795265|offset_63|444444,1795268:1795287|offset_85|444444&amp;v=1795001:1795487&amp;c=444444", "offset 43")</f>
        <v>offset 43</v>
      </c>
    </row>
    <row r="6461" customFormat="false" ht="12.8" hidden="false" customHeight="false" outlineLevel="0" collapsed="false">
      <c r="A6461" s="0" t="s">
        <v>12</v>
      </c>
      <c r="B6461" s="0" t="n">
        <v>1795245</v>
      </c>
      <c r="C6461" s="0" t="n">
        <v>1795265</v>
      </c>
      <c r="D6461" s="0" t="s">
        <v>21609</v>
      </c>
      <c r="E6461" s="0" t="s">
        <v>21610</v>
      </c>
      <c r="F6461" s="0" t="s">
        <v>15</v>
      </c>
      <c r="G6461" s="0" t="s">
        <v>26</v>
      </c>
      <c r="H6461" s="0" t="n">
        <v>63</v>
      </c>
      <c r="I6461" s="0" t="s">
        <v>21617</v>
      </c>
      <c r="J6461" s="0" t="s">
        <v>21618</v>
      </c>
      <c r="K6461" s="0" t="s">
        <v>21619</v>
      </c>
      <c r="L6461" s="0" t="str">
        <f aca="false">HYPERLINK("https://www.ncbi.nlm.nih.gov/nuccore/CP000304.1?report=graph&amp;tracks=[key:gene_model_track,Options:GeneOnly]&amp;mk=1795202:1795221|offset_19|444444,1795226:1795245|offset_43|444444,1795246:1795265|offset_63|00cc00,1795268:1795287|offset_85|444444&amp;v=1795001:1795487&amp;c=444444", "offset 63")</f>
        <v>offset 63</v>
      </c>
    </row>
    <row r="6462" customFormat="false" ht="12.8" hidden="false" customHeight="false" outlineLevel="0" collapsed="false">
      <c r="A6462" s="0" t="s">
        <v>12</v>
      </c>
      <c r="B6462" s="0" t="n">
        <v>1795267</v>
      </c>
      <c r="C6462" s="0" t="n">
        <v>1795287</v>
      </c>
      <c r="D6462" s="0" t="s">
        <v>21609</v>
      </c>
      <c r="E6462" s="0" t="s">
        <v>21610</v>
      </c>
      <c r="F6462" s="0" t="s">
        <v>15</v>
      </c>
      <c r="G6462" s="0" t="s">
        <v>16</v>
      </c>
      <c r="H6462" s="0" t="n">
        <v>85</v>
      </c>
      <c r="I6462" s="0" t="s">
        <v>21620</v>
      </c>
      <c r="J6462" s="0" t="s">
        <v>21621</v>
      </c>
      <c r="K6462" s="0" t="s">
        <v>21622</v>
      </c>
      <c r="L6462" s="0" t="str">
        <f aca="false">HYPERLINK("https://www.ncbi.nlm.nih.gov/nuccore/CP000304.1?report=graph&amp;tracks=[key:gene_model_track,Options:GeneOnly]&amp;mk=1795202:1795221|offset_19|444444,1795226:1795245|offset_43|444444,1795246:1795265|offset_63|444444,1795268:1795287|offset_85|00cc00&amp;v=1795001:1795487&amp;c=444444", "offset 85")</f>
        <v>offset 85</v>
      </c>
    </row>
    <row r="6463" customFormat="false" ht="12.8" hidden="false" customHeight="false" outlineLevel="0" collapsed="false">
      <c r="A6463" s="0" t="s">
        <v>12</v>
      </c>
      <c r="B6463" s="0" t="n">
        <v>1805361</v>
      </c>
      <c r="C6463" s="0" t="n">
        <v>1805381</v>
      </c>
      <c r="D6463" s="0" t="s">
        <v>21623</v>
      </c>
      <c r="E6463" s="0" t="s">
        <v>89</v>
      </c>
      <c r="F6463" s="0" t="s">
        <v>90</v>
      </c>
      <c r="G6463" s="0" t="s">
        <v>32</v>
      </c>
      <c r="H6463" s="0" t="n">
        <v>13</v>
      </c>
      <c r="I6463" s="0" t="s">
        <v>21624</v>
      </c>
      <c r="J6463" s="0" t="s">
        <v>21625</v>
      </c>
      <c r="K6463" s="0" t="s">
        <v>21626</v>
      </c>
      <c r="L6463" s="0" t="str">
        <f aca="false">HYPERLINK("https://www.ncbi.nlm.nih.gov/nuccore/CP000304.1?report=graph&amp;tracks=[key:gene_model_track,Options:GeneOnly]&amp;mk=1805362:1805381|offset_13|00cc00,1805314:1805333|offset_61|444444,1805292:1805311|offset_83|444444,1805269:1805288|offset_106|444444&amp;v=1805161:1805488&amp;c=444444", "offset 13")</f>
        <v>offset 13</v>
      </c>
    </row>
    <row r="6464" customFormat="false" ht="12.8" hidden="false" customHeight="false" outlineLevel="0" collapsed="false">
      <c r="A6464" s="0" t="s">
        <v>12</v>
      </c>
      <c r="B6464" s="0" t="n">
        <v>1805313</v>
      </c>
      <c r="C6464" s="0" t="n">
        <v>1805333</v>
      </c>
      <c r="D6464" s="0" t="s">
        <v>21623</v>
      </c>
      <c r="E6464" s="0" t="s">
        <v>89</v>
      </c>
      <c r="F6464" s="0" t="s">
        <v>90</v>
      </c>
      <c r="G6464" s="0" t="s">
        <v>16</v>
      </c>
      <c r="H6464" s="0" t="n">
        <v>61</v>
      </c>
      <c r="I6464" s="0" t="s">
        <v>21627</v>
      </c>
      <c r="J6464" s="0" t="s">
        <v>21628</v>
      </c>
      <c r="K6464" s="0" t="s">
        <v>21629</v>
      </c>
      <c r="L6464" s="0" t="str">
        <f aca="false">HYPERLINK("https://www.ncbi.nlm.nih.gov/nuccore/CP000304.1?report=graph&amp;tracks=[key:gene_model_track,Options:GeneOnly]&amp;mk=1805362:1805381|offset_13|444444,1805314:1805333|offset_61|00cc00,1805292:1805311|offset_83|444444,1805269:1805288|offset_106|444444&amp;v=1805161:1805488&amp;c=444444", "offset 61")</f>
        <v>offset 61</v>
      </c>
    </row>
    <row r="6465" customFormat="false" ht="12.8" hidden="false" customHeight="false" outlineLevel="0" collapsed="false">
      <c r="A6465" s="0" t="s">
        <v>12</v>
      </c>
      <c r="B6465" s="0" t="n">
        <v>1805291</v>
      </c>
      <c r="C6465" s="0" t="n">
        <v>1805311</v>
      </c>
      <c r="D6465" s="0" t="s">
        <v>21623</v>
      </c>
      <c r="E6465" s="0" t="s">
        <v>89</v>
      </c>
      <c r="F6465" s="0" t="s">
        <v>90</v>
      </c>
      <c r="G6465" s="0" t="s">
        <v>26</v>
      </c>
      <c r="H6465" s="0" t="n">
        <v>83</v>
      </c>
      <c r="I6465" s="0" t="s">
        <v>21630</v>
      </c>
      <c r="J6465" s="0" t="s">
        <v>21631</v>
      </c>
      <c r="K6465" s="0" t="s">
        <v>21632</v>
      </c>
      <c r="L6465" s="0" t="str">
        <f aca="false">HYPERLINK("https://www.ncbi.nlm.nih.gov/nuccore/CP000304.1?report=graph&amp;tracks=[key:gene_model_track,Options:GeneOnly]&amp;mk=1805362:1805381|offset_13|444444,1805314:1805333|offset_61|444444,1805292:1805311|offset_83|00cc00,1805269:1805288|offset_106|444444&amp;v=1805161:1805488&amp;c=444444", "offset 83")</f>
        <v>offset 83</v>
      </c>
    </row>
    <row r="6466" customFormat="false" ht="12.8" hidden="false" customHeight="false" outlineLevel="0" collapsed="false">
      <c r="A6466" s="0" t="s">
        <v>12</v>
      </c>
      <c r="B6466" s="0" t="n">
        <v>1805268</v>
      </c>
      <c r="C6466" s="0" t="n">
        <v>1805288</v>
      </c>
      <c r="D6466" s="0" t="s">
        <v>21623</v>
      </c>
      <c r="E6466" s="0" t="s">
        <v>89</v>
      </c>
      <c r="F6466" s="0" t="s">
        <v>90</v>
      </c>
      <c r="G6466" s="0" t="s">
        <v>16</v>
      </c>
      <c r="H6466" s="0" t="n">
        <v>106</v>
      </c>
      <c r="I6466" s="0" t="s">
        <v>21633</v>
      </c>
      <c r="J6466" s="0" t="s">
        <v>21634</v>
      </c>
      <c r="K6466" s="0" t="s">
        <v>21635</v>
      </c>
      <c r="L6466" s="0" t="str">
        <f aca="false">HYPERLINK("https://www.ncbi.nlm.nih.gov/nuccore/CP000304.1?report=graph&amp;tracks=[key:gene_model_track,Options:GeneOnly]&amp;mk=1805362:1805381|offset_13|444444,1805314:1805333|offset_61|444444,1805292:1805311|offset_83|444444,1805269:1805288|offset_106|00cc00&amp;v=1805161:1805488&amp;c=444444", "offset 106")</f>
        <v>offset 106</v>
      </c>
    </row>
    <row r="6467" customFormat="false" ht="12.8" hidden="false" customHeight="false" outlineLevel="0" collapsed="false">
      <c r="A6467" s="0" t="s">
        <v>12</v>
      </c>
      <c r="B6467" s="0" t="n">
        <v>1805868</v>
      </c>
      <c r="C6467" s="0" t="n">
        <v>1805888</v>
      </c>
      <c r="D6467" s="0" t="s">
        <v>21636</v>
      </c>
      <c r="E6467" s="0" t="s">
        <v>21637</v>
      </c>
      <c r="F6467" s="0" t="s">
        <v>15</v>
      </c>
      <c r="G6467" s="0" t="s">
        <v>32</v>
      </c>
      <c r="H6467" s="0" t="n">
        <v>10</v>
      </c>
      <c r="I6467" s="0" t="s">
        <v>21638</v>
      </c>
      <c r="J6467" s="0" t="s">
        <v>21639</v>
      </c>
      <c r="K6467" s="0" t="s">
        <v>21640</v>
      </c>
      <c r="L6467" s="0" t="str">
        <f aca="false">HYPERLINK("https://www.ncbi.nlm.nih.gov/nuccore/CP000304.1?report=graph&amp;tracks=[key:gene_model_track,Options:GeneOnly]&amp;mk=1805869:1805888|offset_10|00cc00,1805890:1805909|offset_31|444444,1805930:1805949|offset_71|444444,1805965:1805984|offset_106|444444&amp;v=1805668:1806184&amp;c=444444", "offset 10")</f>
        <v>offset 10</v>
      </c>
    </row>
    <row r="6468" customFormat="false" ht="12.8" hidden="false" customHeight="false" outlineLevel="0" collapsed="false">
      <c r="A6468" s="0" t="s">
        <v>12</v>
      </c>
      <c r="B6468" s="0" t="n">
        <v>1805889</v>
      </c>
      <c r="C6468" s="0" t="n">
        <v>1805909</v>
      </c>
      <c r="D6468" s="0" t="s">
        <v>21636</v>
      </c>
      <c r="E6468" s="0" t="s">
        <v>21637</v>
      </c>
      <c r="F6468" s="0" t="s">
        <v>15</v>
      </c>
      <c r="G6468" s="0" t="s">
        <v>36</v>
      </c>
      <c r="H6468" s="0" t="n">
        <v>31</v>
      </c>
      <c r="I6468" s="0" t="s">
        <v>21641</v>
      </c>
      <c r="J6468" s="0" t="s">
        <v>21642</v>
      </c>
      <c r="K6468" s="0" t="s">
        <v>21643</v>
      </c>
      <c r="L6468" s="0" t="str">
        <f aca="false">HYPERLINK("https://www.ncbi.nlm.nih.gov/nuccore/CP000304.1?report=graph&amp;tracks=[key:gene_model_track,Options:GeneOnly]&amp;mk=1805869:1805888|offset_10|444444,1805890:1805909|offset_31|00cc00,1805930:1805949|offset_71|444444,1805965:1805984|offset_106|444444&amp;v=1805668:1806184&amp;c=444444", "offset 31")</f>
        <v>offset 31</v>
      </c>
    </row>
    <row r="6469" customFormat="false" ht="12.8" hidden="false" customHeight="false" outlineLevel="0" collapsed="false">
      <c r="A6469" s="0" t="s">
        <v>12</v>
      </c>
      <c r="B6469" s="0" t="n">
        <v>1805929</v>
      </c>
      <c r="C6469" s="0" t="n">
        <v>1805949</v>
      </c>
      <c r="D6469" s="0" t="s">
        <v>21636</v>
      </c>
      <c r="E6469" s="0" t="s">
        <v>21637</v>
      </c>
      <c r="F6469" s="0" t="s">
        <v>15</v>
      </c>
      <c r="G6469" s="0" t="s">
        <v>26</v>
      </c>
      <c r="H6469" s="0" t="n">
        <v>71</v>
      </c>
      <c r="I6469" s="0" t="s">
        <v>21644</v>
      </c>
      <c r="J6469" s="0" t="s">
        <v>21645</v>
      </c>
      <c r="K6469" s="0" t="s">
        <v>21646</v>
      </c>
      <c r="L6469" s="0" t="str">
        <f aca="false">HYPERLINK("https://www.ncbi.nlm.nih.gov/nuccore/CP000304.1?report=graph&amp;tracks=[key:gene_model_track,Options:GeneOnly]&amp;mk=1805869:1805888|offset_10|444444,1805890:1805909|offset_31|444444,1805930:1805949|offset_71|00cc00,1805965:1805984|offset_106|444444&amp;v=1805668:1806184&amp;c=444444", "offset 71")</f>
        <v>offset 71</v>
      </c>
    </row>
    <row r="6470" customFormat="false" ht="12.8" hidden="false" customHeight="false" outlineLevel="0" collapsed="false">
      <c r="A6470" s="0" t="s">
        <v>12</v>
      </c>
      <c r="B6470" s="0" t="n">
        <v>1805964</v>
      </c>
      <c r="C6470" s="0" t="n">
        <v>1805984</v>
      </c>
      <c r="D6470" s="0" t="s">
        <v>21636</v>
      </c>
      <c r="E6470" s="0" t="s">
        <v>21637</v>
      </c>
      <c r="F6470" s="0" t="s">
        <v>15</v>
      </c>
      <c r="G6470" s="0" t="s">
        <v>36</v>
      </c>
      <c r="H6470" s="0" t="n">
        <v>106</v>
      </c>
      <c r="I6470" s="0" t="s">
        <v>21647</v>
      </c>
      <c r="J6470" s="0" t="s">
        <v>21648</v>
      </c>
      <c r="K6470" s="0" t="s">
        <v>21649</v>
      </c>
      <c r="L6470" s="0" t="str">
        <f aca="false">HYPERLINK("https://www.ncbi.nlm.nih.gov/nuccore/CP000304.1?report=graph&amp;tracks=[key:gene_model_track,Options:GeneOnly]&amp;mk=1805869:1805888|offset_10|444444,1805890:1805909|offset_31|444444,1805930:1805949|offset_71|444444,1805965:1805984|offset_106|00cc00&amp;v=1805668:1806184&amp;c=444444", "offset 106")</f>
        <v>offset 106</v>
      </c>
    </row>
    <row r="6471" customFormat="false" ht="12.8" hidden="false" customHeight="false" outlineLevel="0" collapsed="false">
      <c r="A6471" s="0" t="s">
        <v>12</v>
      </c>
      <c r="B6471" s="0" t="n">
        <v>1809532</v>
      </c>
      <c r="C6471" s="0" t="n">
        <v>1809552</v>
      </c>
      <c r="D6471" s="0" t="s">
        <v>21650</v>
      </c>
      <c r="E6471" s="0" t="s">
        <v>21651</v>
      </c>
      <c r="F6471" s="0" t="s">
        <v>90</v>
      </c>
      <c r="G6471" s="0" t="s">
        <v>16</v>
      </c>
      <c r="H6471" s="0" t="n">
        <v>19</v>
      </c>
      <c r="I6471" s="0" t="s">
        <v>21652</v>
      </c>
      <c r="J6471" s="0" t="s">
        <v>21653</v>
      </c>
      <c r="K6471" s="0" t="s">
        <v>21654</v>
      </c>
      <c r="L6471" s="0" t="str">
        <f aca="false">HYPERLINK("https://www.ncbi.nlm.nih.gov/nuccore/CP000304.1?report=graph&amp;tracks=[key:gene_model_track,Options:GeneOnly]&amp;mk=1809533:1809552|offset_19|00cc00,1809507:1809526|offset_45|444444,1809485:1809504|offset_67|444444,1809435:1809454|offset_117|444444&amp;v=1809332:1809654&amp;c=444444", "offset 19")</f>
        <v>offset 19</v>
      </c>
    </row>
    <row r="6472" customFormat="false" ht="12.8" hidden="false" customHeight="false" outlineLevel="0" collapsed="false">
      <c r="A6472" s="0" t="s">
        <v>12</v>
      </c>
      <c r="B6472" s="0" t="n">
        <v>1809506</v>
      </c>
      <c r="C6472" s="0" t="n">
        <v>1809526</v>
      </c>
      <c r="D6472" s="0" t="s">
        <v>21650</v>
      </c>
      <c r="E6472" s="0" t="s">
        <v>21651</v>
      </c>
      <c r="F6472" s="0" t="s">
        <v>90</v>
      </c>
      <c r="G6472" s="0" t="s">
        <v>16</v>
      </c>
      <c r="H6472" s="0" t="n">
        <v>45</v>
      </c>
      <c r="I6472" s="0" t="s">
        <v>21655</v>
      </c>
      <c r="J6472" s="0" t="s">
        <v>21656</v>
      </c>
      <c r="K6472" s="0" t="s">
        <v>21657</v>
      </c>
      <c r="L6472" s="0" t="str">
        <f aca="false">HYPERLINK("https://www.ncbi.nlm.nih.gov/nuccore/CP000304.1?report=graph&amp;tracks=[key:gene_model_track,Options:GeneOnly]&amp;mk=1809533:1809552|offset_19|444444,1809507:1809526|offset_45|00cc00,1809485:1809504|offset_67|444444,1809435:1809454|offset_117|444444&amp;v=1809332:1809654&amp;c=444444", "offset 45")</f>
        <v>offset 45</v>
      </c>
    </row>
    <row r="6473" customFormat="false" ht="12.8" hidden="false" customHeight="false" outlineLevel="0" collapsed="false">
      <c r="A6473" s="0" t="s">
        <v>12</v>
      </c>
      <c r="B6473" s="0" t="n">
        <v>1809484</v>
      </c>
      <c r="C6473" s="0" t="n">
        <v>1809504</v>
      </c>
      <c r="D6473" s="0" t="s">
        <v>21650</v>
      </c>
      <c r="E6473" s="0" t="s">
        <v>21651</v>
      </c>
      <c r="F6473" s="0" t="s">
        <v>90</v>
      </c>
      <c r="G6473" s="0" t="s">
        <v>36</v>
      </c>
      <c r="H6473" s="0" t="n">
        <v>67</v>
      </c>
      <c r="I6473" s="0" t="s">
        <v>21658</v>
      </c>
      <c r="J6473" s="0" t="s">
        <v>21659</v>
      </c>
      <c r="K6473" s="0" t="s">
        <v>21660</v>
      </c>
      <c r="L6473" s="0" t="str">
        <f aca="false">HYPERLINK("https://www.ncbi.nlm.nih.gov/nuccore/CP000304.1?report=graph&amp;tracks=[key:gene_model_track,Options:GeneOnly]&amp;mk=1809533:1809552|offset_19|444444,1809507:1809526|offset_45|444444,1809485:1809504|offset_67|00cc00,1809435:1809454|offset_117|444444&amp;v=1809332:1809654&amp;c=444444", "offset 67")</f>
        <v>offset 67</v>
      </c>
    </row>
    <row r="6474" customFormat="false" ht="12.8" hidden="false" customHeight="false" outlineLevel="0" collapsed="false">
      <c r="A6474" s="0" t="s">
        <v>12</v>
      </c>
      <c r="B6474" s="0" t="n">
        <v>1809434</v>
      </c>
      <c r="C6474" s="0" t="n">
        <v>1809454</v>
      </c>
      <c r="D6474" s="0" t="s">
        <v>21650</v>
      </c>
      <c r="E6474" s="0" t="s">
        <v>21651</v>
      </c>
      <c r="F6474" s="0" t="s">
        <v>90</v>
      </c>
      <c r="G6474" s="0" t="s">
        <v>16</v>
      </c>
      <c r="H6474" s="0" t="n">
        <v>117</v>
      </c>
      <c r="I6474" s="0" t="s">
        <v>21661</v>
      </c>
      <c r="J6474" s="0" t="s">
        <v>21662</v>
      </c>
      <c r="K6474" s="0" t="s">
        <v>21663</v>
      </c>
      <c r="L6474" s="0" t="str">
        <f aca="false">HYPERLINK("https://www.ncbi.nlm.nih.gov/nuccore/CP000304.1?report=graph&amp;tracks=[key:gene_model_track,Options:GeneOnly]&amp;mk=1809533:1809552|offset_19|444444,1809507:1809526|offset_45|444444,1809485:1809504|offset_67|444444,1809435:1809454|offset_117|00cc00&amp;v=1809332:1809654&amp;c=444444", "offset 117")</f>
        <v>offset 117</v>
      </c>
    </row>
    <row r="6475" customFormat="false" ht="12.8" hidden="false" customHeight="false" outlineLevel="0" collapsed="false">
      <c r="A6475" s="0" t="s">
        <v>12</v>
      </c>
      <c r="B6475" s="0" t="n">
        <v>1809682</v>
      </c>
      <c r="C6475" s="0" t="n">
        <v>1809702</v>
      </c>
      <c r="D6475" s="0" t="s">
        <v>21664</v>
      </c>
      <c r="E6475" s="0" t="s">
        <v>89</v>
      </c>
      <c r="F6475" s="0" t="s">
        <v>15</v>
      </c>
      <c r="G6475" s="0" t="s">
        <v>16</v>
      </c>
      <c r="H6475" s="0" t="n">
        <v>36</v>
      </c>
      <c r="I6475" s="0" t="s">
        <v>21665</v>
      </c>
      <c r="J6475" s="0" t="s">
        <v>21666</v>
      </c>
      <c r="K6475" s="0" t="s">
        <v>21667</v>
      </c>
      <c r="L6475" s="0" t="str">
        <f aca="false">HYPERLINK("https://www.ncbi.nlm.nih.gov/nuccore/CP000304.1?report=graph&amp;tracks=[key:gene_model_track,Options:GeneOnly]&amp;mk=1809683:1809702|offset_36|00cc00,1809703:1809722|offset_56|444444,1809725:1809744|offset_78|444444,1809792:1809811|offset_145|444444&amp;v=1809482:1810011&amp;c=444444", "offset 36")</f>
        <v>offset 36</v>
      </c>
    </row>
    <row r="6476" customFormat="false" ht="12.8" hidden="false" customHeight="false" outlineLevel="0" collapsed="false">
      <c r="A6476" s="0" t="s">
        <v>12</v>
      </c>
      <c r="B6476" s="0" t="n">
        <v>1809702</v>
      </c>
      <c r="C6476" s="0" t="n">
        <v>1809722</v>
      </c>
      <c r="D6476" s="0" t="s">
        <v>21664</v>
      </c>
      <c r="E6476" s="0" t="s">
        <v>89</v>
      </c>
      <c r="F6476" s="0" t="s">
        <v>15</v>
      </c>
      <c r="G6476" s="0" t="s">
        <v>26</v>
      </c>
      <c r="H6476" s="0" t="n">
        <v>56</v>
      </c>
      <c r="I6476" s="0" t="s">
        <v>21668</v>
      </c>
      <c r="J6476" s="0" t="s">
        <v>21669</v>
      </c>
      <c r="K6476" s="0" t="s">
        <v>21670</v>
      </c>
      <c r="L6476" s="0" t="str">
        <f aca="false">HYPERLINK("https://www.ncbi.nlm.nih.gov/nuccore/CP000304.1?report=graph&amp;tracks=[key:gene_model_track,Options:GeneOnly]&amp;mk=1809683:1809702|offset_36|444444,1809703:1809722|offset_56|00cc00,1809725:1809744|offset_78|444444,1809792:1809811|offset_145|444444&amp;v=1809482:1810011&amp;c=444444", "offset 56")</f>
        <v>offset 56</v>
      </c>
    </row>
    <row r="6477" customFormat="false" ht="12.8" hidden="false" customHeight="false" outlineLevel="0" collapsed="false">
      <c r="A6477" s="0" t="s">
        <v>12</v>
      </c>
      <c r="B6477" s="0" t="n">
        <v>1809724</v>
      </c>
      <c r="C6477" s="0" t="n">
        <v>1809744</v>
      </c>
      <c r="D6477" s="0" t="s">
        <v>21664</v>
      </c>
      <c r="E6477" s="0" t="s">
        <v>89</v>
      </c>
      <c r="F6477" s="0" t="s">
        <v>15</v>
      </c>
      <c r="G6477" s="0" t="s">
        <v>32</v>
      </c>
      <c r="H6477" s="0" t="n">
        <v>78</v>
      </c>
      <c r="I6477" s="0" t="s">
        <v>21671</v>
      </c>
      <c r="J6477" s="0" t="s">
        <v>21672</v>
      </c>
      <c r="K6477" s="0" t="s">
        <v>21673</v>
      </c>
      <c r="L6477" s="0" t="str">
        <f aca="false">HYPERLINK("https://www.ncbi.nlm.nih.gov/nuccore/CP000304.1?report=graph&amp;tracks=[key:gene_model_track,Options:GeneOnly]&amp;mk=1809683:1809702|offset_36|444444,1809703:1809722|offset_56|444444,1809725:1809744|offset_78|00cc00,1809792:1809811|offset_145|444444&amp;v=1809482:1810011&amp;c=444444", "offset 78")</f>
        <v>offset 78</v>
      </c>
    </row>
    <row r="6478" customFormat="false" ht="12.8" hidden="false" customHeight="false" outlineLevel="0" collapsed="false">
      <c r="A6478" s="0" t="s">
        <v>12</v>
      </c>
      <c r="B6478" s="0" t="n">
        <v>1809791</v>
      </c>
      <c r="C6478" s="0" t="n">
        <v>1809811</v>
      </c>
      <c r="D6478" s="0" t="s">
        <v>21664</v>
      </c>
      <c r="E6478" s="0" t="s">
        <v>89</v>
      </c>
      <c r="F6478" s="0" t="s">
        <v>15</v>
      </c>
      <c r="G6478" s="0" t="s">
        <v>16</v>
      </c>
      <c r="H6478" s="0" t="n">
        <v>145</v>
      </c>
      <c r="I6478" s="0" t="s">
        <v>21674</v>
      </c>
      <c r="J6478" s="0" t="s">
        <v>21675</v>
      </c>
      <c r="K6478" s="0" t="s">
        <v>21676</v>
      </c>
      <c r="L6478" s="0" t="str">
        <f aca="false">HYPERLINK("https://www.ncbi.nlm.nih.gov/nuccore/CP000304.1?report=graph&amp;tracks=[key:gene_model_track,Options:GeneOnly]&amp;mk=1809683:1809702|offset_36|444444,1809703:1809722|offset_56|444444,1809725:1809744|offset_78|444444,1809792:1809811|offset_145|00cc00&amp;v=1809482:1810011&amp;c=444444", "offset 145")</f>
        <v>offset 145</v>
      </c>
    </row>
    <row r="6479" customFormat="false" ht="12.8" hidden="false" customHeight="false" outlineLevel="0" collapsed="false">
      <c r="A6479" s="0" t="s">
        <v>12</v>
      </c>
      <c r="B6479" s="0" t="n">
        <v>1810658</v>
      </c>
      <c r="C6479" s="0" t="n">
        <v>1810678</v>
      </c>
      <c r="D6479" s="0" t="s">
        <v>21677</v>
      </c>
      <c r="E6479" s="0" t="s">
        <v>89</v>
      </c>
      <c r="F6479" s="0" t="s">
        <v>15</v>
      </c>
      <c r="G6479" s="0" t="s">
        <v>36</v>
      </c>
      <c r="H6479" s="0" t="n">
        <v>11</v>
      </c>
      <c r="I6479" s="0" t="s">
        <v>21678</v>
      </c>
      <c r="J6479" s="0" t="s">
        <v>21679</v>
      </c>
      <c r="K6479" s="0" t="s">
        <v>21680</v>
      </c>
      <c r="L6479" s="0" t="str">
        <f aca="false">HYPERLINK("https://www.ncbi.nlm.nih.gov/nuccore/CP000304.1?report=graph&amp;tracks=[key:gene_model_track,Options:GeneOnly]&amp;mk=1810659:1810678|offset_11|00cc00,1810711:1810730|offset_63|444444,1810734:1810753|offset_86|444444,1810754:1810773|offset_106|444444&amp;v=1810458:1810973&amp;c=444444", "offset 11")</f>
        <v>offset 11</v>
      </c>
    </row>
    <row r="6480" customFormat="false" ht="12.8" hidden="false" customHeight="false" outlineLevel="0" collapsed="false">
      <c r="A6480" s="0" t="s">
        <v>12</v>
      </c>
      <c r="B6480" s="0" t="n">
        <v>1810710</v>
      </c>
      <c r="C6480" s="0" t="n">
        <v>1810730</v>
      </c>
      <c r="D6480" s="0" t="s">
        <v>21677</v>
      </c>
      <c r="E6480" s="0" t="s">
        <v>89</v>
      </c>
      <c r="F6480" s="0" t="s">
        <v>15</v>
      </c>
      <c r="G6480" s="0" t="s">
        <v>16</v>
      </c>
      <c r="H6480" s="0" t="n">
        <v>63</v>
      </c>
      <c r="I6480" s="0" t="s">
        <v>21681</v>
      </c>
      <c r="J6480" s="0" t="s">
        <v>21682</v>
      </c>
      <c r="K6480" s="0" t="s">
        <v>21683</v>
      </c>
      <c r="L6480" s="0" t="str">
        <f aca="false">HYPERLINK("https://www.ncbi.nlm.nih.gov/nuccore/CP000304.1?report=graph&amp;tracks=[key:gene_model_track,Options:GeneOnly]&amp;mk=1810659:1810678|offset_11|444444,1810711:1810730|offset_63|00cc00,1810734:1810753|offset_86|444444,1810754:1810773|offset_106|444444&amp;v=1810458:1810973&amp;c=444444", "offset 63")</f>
        <v>offset 63</v>
      </c>
    </row>
    <row r="6481" customFormat="false" ht="12.8" hidden="false" customHeight="false" outlineLevel="0" collapsed="false">
      <c r="A6481" s="0" t="s">
        <v>12</v>
      </c>
      <c r="B6481" s="0" t="n">
        <v>1810733</v>
      </c>
      <c r="C6481" s="0" t="n">
        <v>1810753</v>
      </c>
      <c r="D6481" s="0" t="s">
        <v>21677</v>
      </c>
      <c r="E6481" s="0" t="s">
        <v>89</v>
      </c>
      <c r="F6481" s="0" t="s">
        <v>15</v>
      </c>
      <c r="G6481" s="0" t="s">
        <v>36</v>
      </c>
      <c r="H6481" s="0" t="n">
        <v>86</v>
      </c>
      <c r="I6481" s="0" t="s">
        <v>21684</v>
      </c>
      <c r="J6481" s="0" t="s">
        <v>21685</v>
      </c>
      <c r="K6481" s="0" t="s">
        <v>21686</v>
      </c>
      <c r="L6481" s="0" t="str">
        <f aca="false">HYPERLINK("https://www.ncbi.nlm.nih.gov/nuccore/CP000304.1?report=graph&amp;tracks=[key:gene_model_track,Options:GeneOnly]&amp;mk=1810659:1810678|offset_11|444444,1810711:1810730|offset_63|444444,1810734:1810753|offset_86|00cc00,1810754:1810773|offset_106|444444&amp;v=1810458:1810973&amp;c=444444", "offset 86")</f>
        <v>offset 86</v>
      </c>
    </row>
    <row r="6482" customFormat="false" ht="12.8" hidden="false" customHeight="false" outlineLevel="0" collapsed="false">
      <c r="A6482" s="0" t="s">
        <v>12</v>
      </c>
      <c r="B6482" s="0" t="n">
        <v>1810753</v>
      </c>
      <c r="C6482" s="0" t="n">
        <v>1810773</v>
      </c>
      <c r="D6482" s="0" t="s">
        <v>21677</v>
      </c>
      <c r="E6482" s="0" t="s">
        <v>89</v>
      </c>
      <c r="F6482" s="0" t="s">
        <v>15</v>
      </c>
      <c r="G6482" s="0" t="s">
        <v>16</v>
      </c>
      <c r="H6482" s="0" t="n">
        <v>106</v>
      </c>
      <c r="I6482" s="0" t="s">
        <v>21687</v>
      </c>
      <c r="J6482" s="0" t="s">
        <v>21688</v>
      </c>
      <c r="K6482" s="0" t="s">
        <v>21689</v>
      </c>
      <c r="L6482" s="0" t="str">
        <f aca="false">HYPERLINK("https://www.ncbi.nlm.nih.gov/nuccore/CP000304.1?report=graph&amp;tracks=[key:gene_model_track,Options:GeneOnly]&amp;mk=1810659:1810678|offset_11|444444,1810711:1810730|offset_63|444444,1810734:1810753|offset_86|444444,1810754:1810773|offset_106|00cc00&amp;v=1810458:1810973&amp;c=444444", "offset 106")</f>
        <v>offset 106</v>
      </c>
    </row>
    <row r="6483" customFormat="false" ht="12.8" hidden="false" customHeight="false" outlineLevel="0" collapsed="false">
      <c r="A6483" s="0" t="s">
        <v>12</v>
      </c>
      <c r="B6483" s="0" t="n">
        <v>1811672</v>
      </c>
      <c r="C6483" s="0" t="n">
        <v>1811692</v>
      </c>
      <c r="D6483" s="0" t="s">
        <v>21690</v>
      </c>
      <c r="E6483" s="0" t="s">
        <v>89</v>
      </c>
      <c r="F6483" s="0" t="s">
        <v>15</v>
      </c>
      <c r="G6483" s="0" t="s">
        <v>36</v>
      </c>
      <c r="H6483" s="0" t="n">
        <v>0</v>
      </c>
      <c r="I6483" s="0" t="s">
        <v>21691</v>
      </c>
      <c r="J6483" s="0" t="s">
        <v>21692</v>
      </c>
      <c r="K6483" s="0" t="s">
        <v>21693</v>
      </c>
      <c r="L6483" s="0" t="str">
        <f aca="false">HYPERLINK("https://www.ncbi.nlm.nih.gov/nuccore/CP000304.1?report=graph&amp;tracks=[key:gene_model_track,Options:GeneOnly]&amp;mk=1811673:1811692|offset_0|00cc00,1811703:1811722|offset_30|444444,1811731:1811750|offset_58|444444,1811771:1811790|offset_98|444444&amp;v=1811472:1811990&amp;c=444444", "offset 0")</f>
        <v>offset 0</v>
      </c>
    </row>
    <row r="6484" customFormat="false" ht="12.8" hidden="false" customHeight="false" outlineLevel="0" collapsed="false">
      <c r="A6484" s="0" t="s">
        <v>12</v>
      </c>
      <c r="B6484" s="0" t="n">
        <v>1811702</v>
      </c>
      <c r="C6484" s="0" t="n">
        <v>1811722</v>
      </c>
      <c r="D6484" s="0" t="s">
        <v>21690</v>
      </c>
      <c r="E6484" s="0" t="s">
        <v>89</v>
      </c>
      <c r="F6484" s="0" t="s">
        <v>15</v>
      </c>
      <c r="G6484" s="0" t="s">
        <v>36</v>
      </c>
      <c r="H6484" s="0" t="n">
        <v>30</v>
      </c>
      <c r="I6484" s="0" t="s">
        <v>21694</v>
      </c>
      <c r="J6484" s="0" t="s">
        <v>21695</v>
      </c>
      <c r="K6484" s="0" t="s">
        <v>21696</v>
      </c>
      <c r="L6484" s="0" t="str">
        <f aca="false">HYPERLINK("https://www.ncbi.nlm.nih.gov/nuccore/CP000304.1?report=graph&amp;tracks=[key:gene_model_track,Options:GeneOnly]&amp;mk=1811673:1811692|offset_0|444444,1811703:1811722|offset_30|00cc00,1811731:1811750|offset_58|444444,1811771:1811790|offset_98|444444&amp;v=1811472:1811990&amp;c=444444", "offset 30")</f>
        <v>offset 30</v>
      </c>
    </row>
    <row r="6485" customFormat="false" ht="12.8" hidden="false" customHeight="false" outlineLevel="0" collapsed="false">
      <c r="A6485" s="0" t="s">
        <v>12</v>
      </c>
      <c r="B6485" s="0" t="n">
        <v>1811730</v>
      </c>
      <c r="C6485" s="0" t="n">
        <v>1811750</v>
      </c>
      <c r="D6485" s="0" t="s">
        <v>21690</v>
      </c>
      <c r="E6485" s="0" t="s">
        <v>89</v>
      </c>
      <c r="F6485" s="0" t="s">
        <v>15</v>
      </c>
      <c r="G6485" s="0" t="s">
        <v>16</v>
      </c>
      <c r="H6485" s="0" t="n">
        <v>58</v>
      </c>
      <c r="I6485" s="0" t="s">
        <v>21697</v>
      </c>
      <c r="J6485" s="0" t="s">
        <v>21698</v>
      </c>
      <c r="K6485" s="0" t="s">
        <v>21699</v>
      </c>
      <c r="L6485" s="0" t="str">
        <f aca="false">HYPERLINK("https://www.ncbi.nlm.nih.gov/nuccore/CP000304.1?report=graph&amp;tracks=[key:gene_model_track,Options:GeneOnly]&amp;mk=1811673:1811692|offset_0|444444,1811703:1811722|offset_30|444444,1811731:1811750|offset_58|00cc00,1811771:1811790|offset_98|444444&amp;v=1811472:1811990&amp;c=444444", "offset 58")</f>
        <v>offset 58</v>
      </c>
    </row>
    <row r="6486" customFormat="false" ht="12.8" hidden="false" customHeight="false" outlineLevel="0" collapsed="false">
      <c r="A6486" s="0" t="s">
        <v>12</v>
      </c>
      <c r="B6486" s="0" t="n">
        <v>1811770</v>
      </c>
      <c r="C6486" s="0" t="n">
        <v>1811790</v>
      </c>
      <c r="D6486" s="0" t="s">
        <v>21690</v>
      </c>
      <c r="E6486" s="0" t="s">
        <v>89</v>
      </c>
      <c r="F6486" s="0" t="s">
        <v>15</v>
      </c>
      <c r="G6486" s="0" t="s">
        <v>26</v>
      </c>
      <c r="H6486" s="0" t="n">
        <v>98</v>
      </c>
      <c r="I6486" s="0" t="s">
        <v>21700</v>
      </c>
      <c r="J6486" s="0" t="s">
        <v>21701</v>
      </c>
      <c r="K6486" s="0" t="s">
        <v>21702</v>
      </c>
      <c r="L6486" s="0" t="str">
        <f aca="false">HYPERLINK("https://www.ncbi.nlm.nih.gov/nuccore/CP000304.1?report=graph&amp;tracks=[key:gene_model_track,Options:GeneOnly]&amp;mk=1811673:1811692|offset_0|444444,1811703:1811722|offset_30|444444,1811731:1811750|offset_58|444444,1811771:1811790|offset_98|00cc00&amp;v=1811472:1811990&amp;c=444444", "offset 98")</f>
        <v>offset 98</v>
      </c>
    </row>
    <row r="6487" customFormat="false" ht="12.8" hidden="false" customHeight="false" outlineLevel="0" collapsed="false">
      <c r="A6487" s="0" t="s">
        <v>12</v>
      </c>
      <c r="B6487" s="0" t="n">
        <v>1812275</v>
      </c>
      <c r="C6487" s="0" t="n">
        <v>1812295</v>
      </c>
      <c r="D6487" s="0" t="s">
        <v>21703</v>
      </c>
      <c r="E6487" s="0" t="s">
        <v>89</v>
      </c>
      <c r="F6487" s="0" t="s">
        <v>15</v>
      </c>
      <c r="G6487" s="0" t="s">
        <v>32</v>
      </c>
      <c r="H6487" s="0" t="n">
        <v>11</v>
      </c>
      <c r="I6487" s="0" t="s">
        <v>21704</v>
      </c>
      <c r="J6487" s="0" t="s">
        <v>21705</v>
      </c>
      <c r="K6487" s="0" t="s">
        <v>21706</v>
      </c>
      <c r="L6487" s="0" t="str">
        <f aca="false">HYPERLINK("https://www.ncbi.nlm.nih.gov/nuccore/CP000304.1?report=graph&amp;tracks=[key:gene_model_track,Options:GeneOnly]&amp;mk=1812276:1812295|offset_11|00cc00,1812300:1812319|offset_35|444444,1812338:1812357|offset_73|444444,1812359:1812378|offset_94|444444&amp;v=1812075:1812578&amp;c=444444", "offset 11")</f>
        <v>offset 11</v>
      </c>
    </row>
    <row r="6488" customFormat="false" ht="12.8" hidden="false" customHeight="false" outlineLevel="0" collapsed="false">
      <c r="A6488" s="0" t="s">
        <v>12</v>
      </c>
      <c r="B6488" s="0" t="n">
        <v>1812299</v>
      </c>
      <c r="C6488" s="0" t="n">
        <v>1812319</v>
      </c>
      <c r="D6488" s="0" t="s">
        <v>21703</v>
      </c>
      <c r="E6488" s="0" t="s">
        <v>89</v>
      </c>
      <c r="F6488" s="0" t="s">
        <v>15</v>
      </c>
      <c r="G6488" s="0" t="s">
        <v>16</v>
      </c>
      <c r="H6488" s="0" t="n">
        <v>35</v>
      </c>
      <c r="I6488" s="0" t="s">
        <v>21707</v>
      </c>
      <c r="J6488" s="0" t="s">
        <v>21708</v>
      </c>
      <c r="K6488" s="0" t="s">
        <v>21709</v>
      </c>
      <c r="L6488" s="0" t="str">
        <f aca="false">HYPERLINK("https://www.ncbi.nlm.nih.gov/nuccore/CP000304.1?report=graph&amp;tracks=[key:gene_model_track,Options:GeneOnly]&amp;mk=1812276:1812295|offset_11|444444,1812300:1812319|offset_35|00cc00,1812338:1812357|offset_73|444444,1812359:1812378|offset_94|444444&amp;v=1812075:1812578&amp;c=444444", "offset 35")</f>
        <v>offset 35</v>
      </c>
    </row>
    <row r="6489" customFormat="false" ht="12.8" hidden="false" customHeight="false" outlineLevel="0" collapsed="false">
      <c r="A6489" s="0" t="s">
        <v>12</v>
      </c>
      <c r="B6489" s="0" t="n">
        <v>1812337</v>
      </c>
      <c r="C6489" s="0" t="n">
        <v>1812357</v>
      </c>
      <c r="D6489" s="0" t="s">
        <v>21703</v>
      </c>
      <c r="E6489" s="0" t="s">
        <v>89</v>
      </c>
      <c r="F6489" s="0" t="s">
        <v>15</v>
      </c>
      <c r="G6489" s="0" t="s">
        <v>32</v>
      </c>
      <c r="H6489" s="0" t="n">
        <v>73</v>
      </c>
      <c r="I6489" s="0" t="s">
        <v>21710</v>
      </c>
      <c r="J6489" s="0" t="s">
        <v>21711</v>
      </c>
      <c r="K6489" s="0" t="s">
        <v>21712</v>
      </c>
      <c r="L6489" s="0" t="str">
        <f aca="false">HYPERLINK("https://www.ncbi.nlm.nih.gov/nuccore/CP000304.1?report=graph&amp;tracks=[key:gene_model_track,Options:GeneOnly]&amp;mk=1812276:1812295|offset_11|444444,1812300:1812319|offset_35|444444,1812338:1812357|offset_73|00cc00,1812359:1812378|offset_94|444444&amp;v=1812075:1812578&amp;c=444444", "offset 73")</f>
        <v>offset 73</v>
      </c>
    </row>
    <row r="6490" customFormat="false" ht="12.8" hidden="false" customHeight="false" outlineLevel="0" collapsed="false">
      <c r="A6490" s="0" t="s">
        <v>12</v>
      </c>
      <c r="B6490" s="0" t="n">
        <v>1812358</v>
      </c>
      <c r="C6490" s="0" t="n">
        <v>1812378</v>
      </c>
      <c r="D6490" s="0" t="s">
        <v>21703</v>
      </c>
      <c r="E6490" s="0" t="s">
        <v>89</v>
      </c>
      <c r="F6490" s="0" t="s">
        <v>15</v>
      </c>
      <c r="G6490" s="0" t="s">
        <v>32</v>
      </c>
      <c r="H6490" s="0" t="n">
        <v>94</v>
      </c>
      <c r="I6490" s="0" t="s">
        <v>21713</v>
      </c>
      <c r="J6490" s="0" t="s">
        <v>21714</v>
      </c>
      <c r="K6490" s="0" t="s">
        <v>21715</v>
      </c>
      <c r="L6490" s="0" t="str">
        <f aca="false">HYPERLINK("https://www.ncbi.nlm.nih.gov/nuccore/CP000304.1?report=graph&amp;tracks=[key:gene_model_track,Options:GeneOnly]&amp;mk=1812276:1812295|offset_11|444444,1812300:1812319|offset_35|444444,1812338:1812357|offset_73|444444,1812359:1812378|offset_94|00cc00&amp;v=1812075:1812578&amp;c=444444", "offset 94")</f>
        <v>offset 94</v>
      </c>
    </row>
    <row r="6491" customFormat="false" ht="12.8" hidden="false" customHeight="false" outlineLevel="0" collapsed="false">
      <c r="A6491" s="0" t="s">
        <v>12</v>
      </c>
      <c r="B6491" s="0" t="n">
        <v>1814223</v>
      </c>
      <c r="C6491" s="0" t="n">
        <v>1814243</v>
      </c>
      <c r="D6491" s="0" t="s">
        <v>21716</v>
      </c>
      <c r="E6491" s="0" t="s">
        <v>89</v>
      </c>
      <c r="F6491" s="0" t="s">
        <v>15</v>
      </c>
      <c r="G6491" s="0" t="s">
        <v>32</v>
      </c>
      <c r="H6491" s="0" t="n">
        <v>9</v>
      </c>
      <c r="I6491" s="0" t="s">
        <v>21717</v>
      </c>
      <c r="J6491" s="0" t="s">
        <v>21718</v>
      </c>
      <c r="K6491" s="0" t="s">
        <v>21719</v>
      </c>
      <c r="L6491" s="0" t="str">
        <f aca="false">HYPERLINK("https://www.ncbi.nlm.nih.gov/nuccore/CP000304.1?report=graph&amp;tracks=[key:gene_model_track,Options:GeneOnly]&amp;mk=1814224:1814243|offset_9|00cc00,1814258:1814277|offset_43|444444,1814318:1814337|offset_103|444444,1814375:1814394|offset_160|444444&amp;v=1814023:1814594&amp;c=444444", "offset 9")</f>
        <v>offset 9</v>
      </c>
    </row>
    <row r="6492" customFormat="false" ht="12.8" hidden="false" customHeight="false" outlineLevel="0" collapsed="false">
      <c r="A6492" s="0" t="s">
        <v>12</v>
      </c>
      <c r="B6492" s="0" t="n">
        <v>1814257</v>
      </c>
      <c r="C6492" s="0" t="n">
        <v>1814277</v>
      </c>
      <c r="D6492" s="0" t="s">
        <v>21716</v>
      </c>
      <c r="E6492" s="0" t="s">
        <v>89</v>
      </c>
      <c r="F6492" s="0" t="s">
        <v>15</v>
      </c>
      <c r="G6492" s="0" t="s">
        <v>32</v>
      </c>
      <c r="H6492" s="0" t="n">
        <v>43</v>
      </c>
      <c r="I6492" s="0" t="s">
        <v>21720</v>
      </c>
      <c r="J6492" s="0" t="s">
        <v>21721</v>
      </c>
      <c r="K6492" s="0" t="s">
        <v>21722</v>
      </c>
      <c r="L6492" s="0" t="str">
        <f aca="false">HYPERLINK("https://www.ncbi.nlm.nih.gov/nuccore/CP000304.1?report=graph&amp;tracks=[key:gene_model_track,Options:GeneOnly]&amp;mk=1814224:1814243|offset_9|444444,1814258:1814277|offset_43|00cc00,1814318:1814337|offset_103|444444,1814375:1814394|offset_160|444444&amp;v=1814023:1814594&amp;c=444444", "offset 43")</f>
        <v>offset 43</v>
      </c>
    </row>
    <row r="6493" customFormat="false" ht="12.8" hidden="false" customHeight="false" outlineLevel="0" collapsed="false">
      <c r="A6493" s="0" t="s">
        <v>12</v>
      </c>
      <c r="B6493" s="0" t="n">
        <v>1814317</v>
      </c>
      <c r="C6493" s="0" t="n">
        <v>1814337</v>
      </c>
      <c r="D6493" s="0" t="s">
        <v>21716</v>
      </c>
      <c r="E6493" s="0" t="s">
        <v>89</v>
      </c>
      <c r="F6493" s="0" t="s">
        <v>15</v>
      </c>
      <c r="G6493" s="0" t="s">
        <v>16</v>
      </c>
      <c r="H6493" s="0" t="n">
        <v>103</v>
      </c>
      <c r="I6493" s="0" t="s">
        <v>21723</v>
      </c>
      <c r="J6493" s="0" t="s">
        <v>21724</v>
      </c>
      <c r="K6493" s="0" t="s">
        <v>21725</v>
      </c>
      <c r="L6493" s="0" t="str">
        <f aca="false">HYPERLINK("https://www.ncbi.nlm.nih.gov/nuccore/CP000304.1?report=graph&amp;tracks=[key:gene_model_track,Options:GeneOnly]&amp;mk=1814224:1814243|offset_9|444444,1814258:1814277|offset_43|444444,1814318:1814337|offset_103|00cc00,1814375:1814394|offset_160|444444&amp;v=1814023:1814594&amp;c=444444", "offset 103")</f>
        <v>offset 103</v>
      </c>
    </row>
    <row r="6494" customFormat="false" ht="12.8" hidden="false" customHeight="false" outlineLevel="0" collapsed="false">
      <c r="A6494" s="0" t="s">
        <v>12</v>
      </c>
      <c r="B6494" s="0" t="n">
        <v>1814374</v>
      </c>
      <c r="C6494" s="0" t="n">
        <v>1814394</v>
      </c>
      <c r="D6494" s="0" t="s">
        <v>21716</v>
      </c>
      <c r="E6494" s="0" t="s">
        <v>89</v>
      </c>
      <c r="F6494" s="0" t="s">
        <v>15</v>
      </c>
      <c r="G6494" s="0" t="s">
        <v>32</v>
      </c>
      <c r="H6494" s="0" t="n">
        <v>160</v>
      </c>
      <c r="I6494" s="0" t="s">
        <v>21726</v>
      </c>
      <c r="J6494" s="0" t="s">
        <v>21727</v>
      </c>
      <c r="K6494" s="0" t="s">
        <v>21728</v>
      </c>
      <c r="L6494" s="0" t="str">
        <f aca="false">HYPERLINK("https://www.ncbi.nlm.nih.gov/nuccore/CP000304.1?report=graph&amp;tracks=[key:gene_model_track,Options:GeneOnly]&amp;mk=1814224:1814243|offset_9|444444,1814258:1814277|offset_43|444444,1814318:1814337|offset_103|444444,1814375:1814394|offset_160|00cc00&amp;v=1814023:1814594&amp;c=444444", "offset 160")</f>
        <v>offset 160</v>
      </c>
    </row>
    <row r="6495" customFormat="false" ht="12.8" hidden="false" customHeight="false" outlineLevel="0" collapsed="false">
      <c r="A6495" s="0" t="s">
        <v>12</v>
      </c>
      <c r="B6495" s="0" t="n">
        <v>1817162</v>
      </c>
      <c r="C6495" s="0" t="n">
        <v>1817182</v>
      </c>
      <c r="D6495" s="0" t="s">
        <v>21729</v>
      </c>
      <c r="E6495" s="0" t="s">
        <v>89</v>
      </c>
      <c r="F6495" s="0" t="s">
        <v>90</v>
      </c>
      <c r="G6495" s="0" t="s">
        <v>16</v>
      </c>
      <c r="H6495" s="0" t="n">
        <v>23</v>
      </c>
      <c r="I6495" s="0" t="s">
        <v>21730</v>
      </c>
      <c r="J6495" s="0" t="s">
        <v>21731</v>
      </c>
      <c r="K6495" s="0" t="s">
        <v>21732</v>
      </c>
      <c r="L6495" s="0" t="str">
        <f aca="false">HYPERLINK("https://www.ncbi.nlm.nih.gov/nuccore/CP000304.1?report=graph&amp;tracks=[key:gene_model_track,Options:GeneOnly]&amp;mk=1817163:1817182|offset_23|00cc00,1817127:1817146|offset_59|444444,1817083:1817102|offset_103|444444,1817055:1817074|offset_131|444444&amp;v=1816962:1817274&amp;c=444444", "offset 23")</f>
        <v>offset 23</v>
      </c>
    </row>
    <row r="6496" customFormat="false" ht="12.8" hidden="false" customHeight="false" outlineLevel="0" collapsed="false">
      <c r="A6496" s="0" t="s">
        <v>12</v>
      </c>
      <c r="B6496" s="0" t="n">
        <v>1817126</v>
      </c>
      <c r="C6496" s="0" t="n">
        <v>1817146</v>
      </c>
      <c r="D6496" s="0" t="s">
        <v>21729</v>
      </c>
      <c r="E6496" s="0" t="s">
        <v>89</v>
      </c>
      <c r="F6496" s="0" t="s">
        <v>90</v>
      </c>
      <c r="G6496" s="0" t="s">
        <v>26</v>
      </c>
      <c r="H6496" s="0" t="n">
        <v>59</v>
      </c>
      <c r="I6496" s="0" t="s">
        <v>21733</v>
      </c>
      <c r="J6496" s="0" t="s">
        <v>21734</v>
      </c>
      <c r="K6496" s="0" t="s">
        <v>21735</v>
      </c>
      <c r="L6496" s="0" t="str">
        <f aca="false">HYPERLINK("https://www.ncbi.nlm.nih.gov/nuccore/CP000304.1?report=graph&amp;tracks=[key:gene_model_track,Options:GeneOnly]&amp;mk=1817163:1817182|offset_23|444444,1817127:1817146|offset_59|00cc00,1817083:1817102|offset_103|444444,1817055:1817074|offset_131|444444&amp;v=1816962:1817274&amp;c=444444", "offset 59")</f>
        <v>offset 59</v>
      </c>
    </row>
    <row r="6497" customFormat="false" ht="12.8" hidden="false" customHeight="false" outlineLevel="0" collapsed="false">
      <c r="A6497" s="0" t="s">
        <v>12</v>
      </c>
      <c r="B6497" s="0" t="n">
        <v>1817082</v>
      </c>
      <c r="C6497" s="0" t="n">
        <v>1817102</v>
      </c>
      <c r="D6497" s="0" t="s">
        <v>21729</v>
      </c>
      <c r="E6497" s="0" t="s">
        <v>89</v>
      </c>
      <c r="F6497" s="0" t="s">
        <v>90</v>
      </c>
      <c r="G6497" s="0" t="s">
        <v>32</v>
      </c>
      <c r="H6497" s="0" t="n">
        <v>103</v>
      </c>
      <c r="I6497" s="0" t="s">
        <v>21736</v>
      </c>
      <c r="J6497" s="0" t="s">
        <v>21737</v>
      </c>
      <c r="K6497" s="0" t="s">
        <v>21738</v>
      </c>
      <c r="L6497" s="0" t="str">
        <f aca="false">HYPERLINK("https://www.ncbi.nlm.nih.gov/nuccore/CP000304.1?report=graph&amp;tracks=[key:gene_model_track,Options:GeneOnly]&amp;mk=1817163:1817182|offset_23|444444,1817127:1817146|offset_59|444444,1817083:1817102|offset_103|00cc00,1817055:1817074|offset_131|444444&amp;v=1816962:1817274&amp;c=444444", "offset 103")</f>
        <v>offset 103</v>
      </c>
    </row>
    <row r="6498" customFormat="false" ht="12.8" hidden="false" customHeight="false" outlineLevel="0" collapsed="false">
      <c r="A6498" s="0" t="s">
        <v>12</v>
      </c>
      <c r="B6498" s="0" t="n">
        <v>1817054</v>
      </c>
      <c r="C6498" s="0" t="n">
        <v>1817074</v>
      </c>
      <c r="D6498" s="0" t="s">
        <v>21729</v>
      </c>
      <c r="E6498" s="0" t="s">
        <v>89</v>
      </c>
      <c r="F6498" s="0" t="s">
        <v>90</v>
      </c>
      <c r="G6498" s="0" t="s">
        <v>32</v>
      </c>
      <c r="H6498" s="0" t="n">
        <v>131</v>
      </c>
      <c r="I6498" s="0" t="s">
        <v>21739</v>
      </c>
      <c r="J6498" s="0" t="s">
        <v>21740</v>
      </c>
      <c r="K6498" s="0" t="s">
        <v>21741</v>
      </c>
      <c r="L6498" s="0" t="str">
        <f aca="false">HYPERLINK("https://www.ncbi.nlm.nih.gov/nuccore/CP000304.1?report=graph&amp;tracks=[key:gene_model_track,Options:GeneOnly]&amp;mk=1817163:1817182|offset_23|444444,1817127:1817146|offset_59|444444,1817083:1817102|offset_103|444444,1817055:1817074|offset_131|00cc00&amp;v=1816962:1817274&amp;c=444444", "offset 131")</f>
        <v>offset 131</v>
      </c>
    </row>
    <row r="6499" customFormat="false" ht="12.8" hidden="false" customHeight="false" outlineLevel="0" collapsed="false">
      <c r="A6499" s="0" t="s">
        <v>12</v>
      </c>
      <c r="B6499" s="0" t="n">
        <v>1817264</v>
      </c>
      <c r="C6499" s="0" t="n">
        <v>1817284</v>
      </c>
      <c r="D6499" s="0" t="s">
        <v>21742</v>
      </c>
      <c r="E6499" s="0" t="s">
        <v>89</v>
      </c>
      <c r="F6499" s="0" t="s">
        <v>15</v>
      </c>
      <c r="G6499" s="0" t="s">
        <v>36</v>
      </c>
      <c r="H6499" s="0" t="n">
        <v>11</v>
      </c>
      <c r="I6499" s="0" t="s">
        <v>21743</v>
      </c>
      <c r="J6499" s="0" t="s">
        <v>21744</v>
      </c>
      <c r="K6499" s="0" t="s">
        <v>21745</v>
      </c>
      <c r="L6499" s="0" t="str">
        <f aca="false">HYPERLINK("https://www.ncbi.nlm.nih.gov/nuccore/CP000304.1?report=graph&amp;tracks=[key:gene_model_track,Options:GeneOnly]&amp;mk=1817265:1817284|offset_11|00cc00,1817285:1817304|offset_31|444444,1817308:1817327|offset_54|444444,1817365:1817384|offset_111|444444&amp;v=1817064:1817584&amp;c=444444", "offset 11")</f>
        <v>offset 11</v>
      </c>
    </row>
    <row r="6500" customFormat="false" ht="12.8" hidden="false" customHeight="false" outlineLevel="0" collapsed="false">
      <c r="A6500" s="0" t="s">
        <v>12</v>
      </c>
      <c r="B6500" s="0" t="n">
        <v>1817284</v>
      </c>
      <c r="C6500" s="0" t="n">
        <v>1817304</v>
      </c>
      <c r="D6500" s="0" t="s">
        <v>21742</v>
      </c>
      <c r="E6500" s="0" t="s">
        <v>89</v>
      </c>
      <c r="F6500" s="0" t="s">
        <v>15</v>
      </c>
      <c r="G6500" s="0" t="s">
        <v>26</v>
      </c>
      <c r="H6500" s="0" t="n">
        <v>31</v>
      </c>
      <c r="I6500" s="0" t="s">
        <v>21746</v>
      </c>
      <c r="J6500" s="0" t="s">
        <v>21747</v>
      </c>
      <c r="K6500" s="0" t="s">
        <v>21748</v>
      </c>
      <c r="L6500" s="0" t="str">
        <f aca="false">HYPERLINK("https://www.ncbi.nlm.nih.gov/nuccore/CP000304.1?report=graph&amp;tracks=[key:gene_model_track,Options:GeneOnly]&amp;mk=1817265:1817284|offset_11|444444,1817285:1817304|offset_31|00cc00,1817308:1817327|offset_54|444444,1817365:1817384|offset_111|444444&amp;v=1817064:1817584&amp;c=444444", "offset 31")</f>
        <v>offset 31</v>
      </c>
    </row>
    <row r="6501" customFormat="false" ht="12.8" hidden="false" customHeight="false" outlineLevel="0" collapsed="false">
      <c r="A6501" s="0" t="s">
        <v>12</v>
      </c>
      <c r="B6501" s="0" t="n">
        <v>1817307</v>
      </c>
      <c r="C6501" s="0" t="n">
        <v>1817327</v>
      </c>
      <c r="D6501" s="0" t="s">
        <v>21742</v>
      </c>
      <c r="E6501" s="0" t="s">
        <v>89</v>
      </c>
      <c r="F6501" s="0" t="s">
        <v>15</v>
      </c>
      <c r="G6501" s="0" t="s">
        <v>26</v>
      </c>
      <c r="H6501" s="0" t="n">
        <v>54</v>
      </c>
      <c r="I6501" s="0" t="s">
        <v>21749</v>
      </c>
      <c r="J6501" s="0" t="s">
        <v>21750</v>
      </c>
      <c r="K6501" s="0" t="s">
        <v>21751</v>
      </c>
      <c r="L6501" s="0" t="str">
        <f aca="false">HYPERLINK("https://www.ncbi.nlm.nih.gov/nuccore/CP000304.1?report=graph&amp;tracks=[key:gene_model_track,Options:GeneOnly]&amp;mk=1817265:1817284|offset_11|444444,1817285:1817304|offset_31|444444,1817308:1817327|offset_54|00cc00,1817365:1817384|offset_111|444444&amp;v=1817064:1817584&amp;c=444444", "offset 54")</f>
        <v>offset 54</v>
      </c>
    </row>
    <row r="6502" customFormat="false" ht="12.8" hidden="false" customHeight="false" outlineLevel="0" collapsed="false">
      <c r="A6502" s="0" t="s">
        <v>12</v>
      </c>
      <c r="B6502" s="0" t="n">
        <v>1817364</v>
      </c>
      <c r="C6502" s="0" t="n">
        <v>1817384</v>
      </c>
      <c r="D6502" s="0" t="s">
        <v>21742</v>
      </c>
      <c r="E6502" s="0" t="s">
        <v>89</v>
      </c>
      <c r="F6502" s="0" t="s">
        <v>15</v>
      </c>
      <c r="G6502" s="0" t="s">
        <v>16</v>
      </c>
      <c r="H6502" s="0" t="n">
        <v>111</v>
      </c>
      <c r="I6502" s="0" t="s">
        <v>21752</v>
      </c>
      <c r="J6502" s="0" t="s">
        <v>21753</v>
      </c>
      <c r="K6502" s="0" t="s">
        <v>21754</v>
      </c>
      <c r="L6502" s="0" t="str">
        <f aca="false">HYPERLINK("https://www.ncbi.nlm.nih.gov/nuccore/CP000304.1?report=graph&amp;tracks=[key:gene_model_track,Options:GeneOnly]&amp;mk=1817265:1817284|offset_11|444444,1817285:1817304|offset_31|444444,1817308:1817327|offset_54|444444,1817365:1817384|offset_111|00cc00&amp;v=1817064:1817584&amp;c=444444", "offset 111")</f>
        <v>offset 111</v>
      </c>
    </row>
    <row r="6503" customFormat="false" ht="12.8" hidden="false" customHeight="false" outlineLevel="0" collapsed="false">
      <c r="A6503" s="0" t="s">
        <v>12</v>
      </c>
      <c r="B6503" s="0" t="n">
        <v>1819082</v>
      </c>
      <c r="C6503" s="0" t="n">
        <v>1819102</v>
      </c>
      <c r="D6503" s="0" t="s">
        <v>21755</v>
      </c>
      <c r="E6503" s="0" t="s">
        <v>89</v>
      </c>
      <c r="F6503" s="0" t="s">
        <v>90</v>
      </c>
      <c r="G6503" s="0" t="s">
        <v>26</v>
      </c>
      <c r="H6503" s="0" t="n">
        <v>10</v>
      </c>
      <c r="I6503" s="0" t="s">
        <v>21756</v>
      </c>
      <c r="J6503" s="0" t="s">
        <v>21757</v>
      </c>
      <c r="K6503" s="0" t="s">
        <v>21758</v>
      </c>
      <c r="L6503" s="0" t="str">
        <f aca="false">HYPERLINK("https://www.ncbi.nlm.nih.gov/nuccore/CP000304.1?report=graph&amp;tracks=[key:gene_model_track,Options:GeneOnly]&amp;mk=1819083:1819102|offset_10|00cc00,1819053:1819072|offset_40|444444,1819028:1819047|offset_65|444444,1819002:1819021|offset_91|444444&amp;v=1818882:1819221&amp;c=444444", "offset 10")</f>
        <v>offset 10</v>
      </c>
    </row>
    <row r="6504" customFormat="false" ht="12.8" hidden="false" customHeight="false" outlineLevel="0" collapsed="false">
      <c r="A6504" s="0" t="s">
        <v>12</v>
      </c>
      <c r="B6504" s="0" t="n">
        <v>1819052</v>
      </c>
      <c r="C6504" s="0" t="n">
        <v>1819072</v>
      </c>
      <c r="D6504" s="0" t="s">
        <v>21755</v>
      </c>
      <c r="E6504" s="0" t="s">
        <v>89</v>
      </c>
      <c r="F6504" s="0" t="s">
        <v>90</v>
      </c>
      <c r="G6504" s="0" t="s">
        <v>16</v>
      </c>
      <c r="H6504" s="0" t="n">
        <v>40</v>
      </c>
      <c r="I6504" s="0" t="s">
        <v>21759</v>
      </c>
      <c r="J6504" s="0" t="s">
        <v>21760</v>
      </c>
      <c r="K6504" s="0" t="s">
        <v>21761</v>
      </c>
      <c r="L6504" s="0" t="str">
        <f aca="false">HYPERLINK("https://www.ncbi.nlm.nih.gov/nuccore/CP000304.1?report=graph&amp;tracks=[key:gene_model_track,Options:GeneOnly]&amp;mk=1819083:1819102|offset_10|444444,1819053:1819072|offset_40|00cc00,1819028:1819047|offset_65|444444,1819002:1819021|offset_91|444444&amp;v=1818882:1819221&amp;c=444444", "offset 40")</f>
        <v>offset 40</v>
      </c>
    </row>
    <row r="6505" customFormat="false" ht="12.8" hidden="false" customHeight="false" outlineLevel="0" collapsed="false">
      <c r="A6505" s="0" t="s">
        <v>12</v>
      </c>
      <c r="B6505" s="0" t="n">
        <v>1819027</v>
      </c>
      <c r="C6505" s="0" t="n">
        <v>1819047</v>
      </c>
      <c r="D6505" s="0" t="s">
        <v>21755</v>
      </c>
      <c r="E6505" s="0" t="s">
        <v>89</v>
      </c>
      <c r="F6505" s="0" t="s">
        <v>90</v>
      </c>
      <c r="G6505" s="0" t="s">
        <v>32</v>
      </c>
      <c r="H6505" s="0" t="n">
        <v>65</v>
      </c>
      <c r="I6505" s="0" t="s">
        <v>21762</v>
      </c>
      <c r="J6505" s="0" t="s">
        <v>21763</v>
      </c>
      <c r="K6505" s="0" t="s">
        <v>21764</v>
      </c>
      <c r="L6505" s="0" t="str">
        <f aca="false">HYPERLINK("https://www.ncbi.nlm.nih.gov/nuccore/CP000304.1?report=graph&amp;tracks=[key:gene_model_track,Options:GeneOnly]&amp;mk=1819083:1819102|offset_10|444444,1819053:1819072|offset_40|444444,1819028:1819047|offset_65|00cc00,1819002:1819021|offset_91|444444&amp;v=1818882:1819221&amp;c=444444", "offset 65")</f>
        <v>offset 65</v>
      </c>
    </row>
    <row r="6506" customFormat="false" ht="12.8" hidden="false" customHeight="false" outlineLevel="0" collapsed="false">
      <c r="A6506" s="0" t="s">
        <v>12</v>
      </c>
      <c r="B6506" s="0" t="n">
        <v>1819001</v>
      </c>
      <c r="C6506" s="0" t="n">
        <v>1819021</v>
      </c>
      <c r="D6506" s="0" t="s">
        <v>21755</v>
      </c>
      <c r="E6506" s="0" t="s">
        <v>89</v>
      </c>
      <c r="F6506" s="0" t="s">
        <v>90</v>
      </c>
      <c r="G6506" s="0" t="s">
        <v>36</v>
      </c>
      <c r="H6506" s="0" t="n">
        <v>91</v>
      </c>
      <c r="I6506" s="0" t="s">
        <v>21765</v>
      </c>
      <c r="J6506" s="0" t="s">
        <v>21766</v>
      </c>
      <c r="K6506" s="0" t="s">
        <v>21767</v>
      </c>
      <c r="L6506" s="0" t="str">
        <f aca="false">HYPERLINK("https://www.ncbi.nlm.nih.gov/nuccore/CP000304.1?report=graph&amp;tracks=[key:gene_model_track,Options:GeneOnly]&amp;mk=1819083:1819102|offset_10|444444,1819053:1819072|offset_40|444444,1819028:1819047|offset_65|444444,1819002:1819021|offset_91|00cc00&amp;v=1818882:1819221&amp;c=444444", "offset 91")</f>
        <v>offset 91</v>
      </c>
    </row>
    <row r="6507" customFormat="false" ht="12.8" hidden="false" customHeight="false" outlineLevel="0" collapsed="false">
      <c r="A6507" s="0" t="s">
        <v>12</v>
      </c>
      <c r="B6507" s="0" t="n">
        <v>1820582</v>
      </c>
      <c r="C6507" s="0" t="n">
        <v>1820602</v>
      </c>
      <c r="D6507" s="0" t="s">
        <v>21768</v>
      </c>
      <c r="E6507" s="0" t="s">
        <v>89</v>
      </c>
      <c r="F6507" s="0" t="s">
        <v>90</v>
      </c>
      <c r="G6507" s="0" t="s">
        <v>32</v>
      </c>
      <c r="H6507" s="0" t="n">
        <v>0</v>
      </c>
      <c r="I6507" s="0" t="s">
        <v>21769</v>
      </c>
      <c r="J6507" s="0" t="s">
        <v>21770</v>
      </c>
      <c r="K6507" s="0" t="s">
        <v>21771</v>
      </c>
      <c r="L6507" s="0" t="str">
        <f aca="false">HYPERLINK("https://www.ncbi.nlm.nih.gov/nuccore/CP000304.1?report=graph&amp;tracks=[key:gene_model_track,Options:GeneOnly]&amp;mk=1820583:1820602|offset_0|00cc00,1820551:1820570|offset_32|444444,1820522:1820541|offset_61|444444,1820489:1820508|offset_94|444444&amp;v=1820382:1820708&amp;c=444444", "offset 0")</f>
        <v>offset 0</v>
      </c>
    </row>
    <row r="6508" customFormat="false" ht="12.8" hidden="false" customHeight="false" outlineLevel="0" collapsed="false">
      <c r="A6508" s="0" t="s">
        <v>12</v>
      </c>
      <c r="B6508" s="0" t="n">
        <v>1820550</v>
      </c>
      <c r="C6508" s="0" t="n">
        <v>1820570</v>
      </c>
      <c r="D6508" s="0" t="s">
        <v>21768</v>
      </c>
      <c r="E6508" s="0" t="s">
        <v>89</v>
      </c>
      <c r="F6508" s="0" t="s">
        <v>90</v>
      </c>
      <c r="G6508" s="0" t="s">
        <v>26</v>
      </c>
      <c r="H6508" s="0" t="n">
        <v>32</v>
      </c>
      <c r="I6508" s="0" t="s">
        <v>21772</v>
      </c>
      <c r="J6508" s="0" t="s">
        <v>21773</v>
      </c>
      <c r="K6508" s="0" t="s">
        <v>21774</v>
      </c>
      <c r="L6508" s="0" t="str">
        <f aca="false">HYPERLINK("https://www.ncbi.nlm.nih.gov/nuccore/CP000304.1?report=graph&amp;tracks=[key:gene_model_track,Options:GeneOnly]&amp;mk=1820583:1820602|offset_0|444444,1820551:1820570|offset_32|00cc00,1820522:1820541|offset_61|444444,1820489:1820508|offset_94|444444&amp;v=1820382:1820708&amp;c=444444", "offset 32")</f>
        <v>offset 32</v>
      </c>
    </row>
    <row r="6509" customFormat="false" ht="12.8" hidden="false" customHeight="false" outlineLevel="0" collapsed="false">
      <c r="A6509" s="0" t="s">
        <v>12</v>
      </c>
      <c r="B6509" s="0" t="n">
        <v>1820521</v>
      </c>
      <c r="C6509" s="0" t="n">
        <v>1820541</v>
      </c>
      <c r="D6509" s="0" t="s">
        <v>21768</v>
      </c>
      <c r="E6509" s="0" t="s">
        <v>89</v>
      </c>
      <c r="F6509" s="0" t="s">
        <v>90</v>
      </c>
      <c r="G6509" s="0" t="s">
        <v>26</v>
      </c>
      <c r="H6509" s="0" t="n">
        <v>61</v>
      </c>
      <c r="I6509" s="0" t="s">
        <v>21775</v>
      </c>
      <c r="J6509" s="0" t="s">
        <v>21776</v>
      </c>
      <c r="K6509" s="0" t="s">
        <v>21777</v>
      </c>
      <c r="L6509" s="0" t="str">
        <f aca="false">HYPERLINK("https://www.ncbi.nlm.nih.gov/nuccore/CP000304.1?report=graph&amp;tracks=[key:gene_model_track,Options:GeneOnly]&amp;mk=1820583:1820602|offset_0|444444,1820551:1820570|offset_32|444444,1820522:1820541|offset_61|00cc00,1820489:1820508|offset_94|444444&amp;v=1820382:1820708&amp;c=444444", "offset 61")</f>
        <v>offset 61</v>
      </c>
    </row>
    <row r="6510" customFormat="false" ht="12.8" hidden="false" customHeight="false" outlineLevel="0" collapsed="false">
      <c r="A6510" s="0" t="s">
        <v>12</v>
      </c>
      <c r="B6510" s="0" t="n">
        <v>1820488</v>
      </c>
      <c r="C6510" s="0" t="n">
        <v>1820508</v>
      </c>
      <c r="D6510" s="0" t="s">
        <v>21768</v>
      </c>
      <c r="E6510" s="0" t="s">
        <v>89</v>
      </c>
      <c r="F6510" s="0" t="s">
        <v>90</v>
      </c>
      <c r="G6510" s="0" t="s">
        <v>32</v>
      </c>
      <c r="H6510" s="0" t="n">
        <v>94</v>
      </c>
      <c r="I6510" s="0" t="s">
        <v>21778</v>
      </c>
      <c r="J6510" s="0" t="s">
        <v>21779</v>
      </c>
      <c r="K6510" s="0" t="s">
        <v>21780</v>
      </c>
      <c r="L6510" s="0" t="str">
        <f aca="false">HYPERLINK("https://www.ncbi.nlm.nih.gov/nuccore/CP000304.1?report=graph&amp;tracks=[key:gene_model_track,Options:GeneOnly]&amp;mk=1820583:1820602|offset_0|444444,1820551:1820570|offset_32|444444,1820522:1820541|offset_61|444444,1820489:1820508|offset_94|00cc00&amp;v=1820382:1820708&amp;c=444444", "offset 94")</f>
        <v>offset 94</v>
      </c>
    </row>
    <row r="6511" customFormat="false" ht="12.8" hidden="false" customHeight="false" outlineLevel="0" collapsed="false">
      <c r="A6511" s="0" t="s">
        <v>12</v>
      </c>
      <c r="B6511" s="0" t="n">
        <v>1821555</v>
      </c>
      <c r="C6511" s="0" t="n">
        <v>1821575</v>
      </c>
      <c r="D6511" s="0" t="s">
        <v>21781</v>
      </c>
      <c r="E6511" s="0" t="s">
        <v>89</v>
      </c>
      <c r="F6511" s="0" t="s">
        <v>15</v>
      </c>
      <c r="G6511" s="0" t="s">
        <v>32</v>
      </c>
      <c r="H6511" s="0" t="n">
        <v>26</v>
      </c>
      <c r="I6511" s="0" t="s">
        <v>21782</v>
      </c>
      <c r="J6511" s="0" t="s">
        <v>21783</v>
      </c>
      <c r="K6511" s="0" t="s">
        <v>21784</v>
      </c>
      <c r="L6511" s="0" t="str">
        <f aca="false">HYPERLINK("https://www.ncbi.nlm.nih.gov/nuccore/CP000304.1?report=graph&amp;tracks=[key:gene_model_track,Options:GeneOnly]&amp;mk=1821556:1821575|offset_26|00cc00,1821578:1821597|offset_48|444444,1821607:1821626|offset_77|444444,1821645:1821664|offset_115|444444&amp;v=1821355:1821864&amp;c=444444", "offset 26")</f>
        <v>offset 26</v>
      </c>
    </row>
    <row r="6512" customFormat="false" ht="12.8" hidden="false" customHeight="false" outlineLevel="0" collapsed="false">
      <c r="A6512" s="0" t="s">
        <v>12</v>
      </c>
      <c r="B6512" s="0" t="n">
        <v>1821577</v>
      </c>
      <c r="C6512" s="0" t="n">
        <v>1821597</v>
      </c>
      <c r="D6512" s="0" t="s">
        <v>21781</v>
      </c>
      <c r="E6512" s="0" t="s">
        <v>89</v>
      </c>
      <c r="F6512" s="0" t="s">
        <v>15</v>
      </c>
      <c r="G6512" s="0" t="s">
        <v>26</v>
      </c>
      <c r="H6512" s="0" t="n">
        <v>48</v>
      </c>
      <c r="I6512" s="0" t="s">
        <v>21785</v>
      </c>
      <c r="J6512" s="0" t="s">
        <v>21786</v>
      </c>
      <c r="K6512" s="0" t="s">
        <v>21787</v>
      </c>
      <c r="L6512" s="0" t="str">
        <f aca="false">HYPERLINK("https://www.ncbi.nlm.nih.gov/nuccore/CP000304.1?report=graph&amp;tracks=[key:gene_model_track,Options:GeneOnly]&amp;mk=1821556:1821575|offset_26|444444,1821578:1821597|offset_48|00cc00,1821607:1821626|offset_77|444444,1821645:1821664|offset_115|444444&amp;v=1821355:1821864&amp;c=444444", "offset 48")</f>
        <v>offset 48</v>
      </c>
    </row>
    <row r="6513" customFormat="false" ht="12.8" hidden="false" customHeight="false" outlineLevel="0" collapsed="false">
      <c r="A6513" s="0" t="s">
        <v>12</v>
      </c>
      <c r="B6513" s="0" t="n">
        <v>1821606</v>
      </c>
      <c r="C6513" s="0" t="n">
        <v>1821626</v>
      </c>
      <c r="D6513" s="0" t="s">
        <v>21781</v>
      </c>
      <c r="E6513" s="0" t="s">
        <v>89</v>
      </c>
      <c r="F6513" s="0" t="s">
        <v>15</v>
      </c>
      <c r="G6513" s="0" t="s">
        <v>16</v>
      </c>
      <c r="H6513" s="0" t="n">
        <v>77</v>
      </c>
      <c r="I6513" s="0" t="s">
        <v>21788</v>
      </c>
      <c r="J6513" s="0" t="s">
        <v>21789</v>
      </c>
      <c r="K6513" s="0" t="s">
        <v>21790</v>
      </c>
      <c r="L6513" s="0" t="str">
        <f aca="false">HYPERLINK("https://www.ncbi.nlm.nih.gov/nuccore/CP000304.1?report=graph&amp;tracks=[key:gene_model_track,Options:GeneOnly]&amp;mk=1821556:1821575|offset_26|444444,1821578:1821597|offset_48|444444,1821607:1821626|offset_77|00cc00,1821645:1821664|offset_115|444444&amp;v=1821355:1821864&amp;c=444444", "offset 77")</f>
        <v>offset 77</v>
      </c>
    </row>
    <row r="6514" customFormat="false" ht="12.8" hidden="false" customHeight="false" outlineLevel="0" collapsed="false">
      <c r="A6514" s="0" t="s">
        <v>12</v>
      </c>
      <c r="B6514" s="0" t="n">
        <v>1821644</v>
      </c>
      <c r="C6514" s="0" t="n">
        <v>1821664</v>
      </c>
      <c r="D6514" s="0" t="s">
        <v>21781</v>
      </c>
      <c r="E6514" s="0" t="s">
        <v>89</v>
      </c>
      <c r="F6514" s="0" t="s">
        <v>15</v>
      </c>
      <c r="G6514" s="0" t="s">
        <v>16</v>
      </c>
      <c r="H6514" s="0" t="n">
        <v>115</v>
      </c>
      <c r="I6514" s="0" t="s">
        <v>21791</v>
      </c>
      <c r="J6514" s="0" t="s">
        <v>21792</v>
      </c>
      <c r="K6514" s="0" t="s">
        <v>21793</v>
      </c>
      <c r="L6514" s="0" t="str">
        <f aca="false">HYPERLINK("https://www.ncbi.nlm.nih.gov/nuccore/CP000304.1?report=graph&amp;tracks=[key:gene_model_track,Options:GeneOnly]&amp;mk=1821556:1821575|offset_26|444444,1821578:1821597|offset_48|444444,1821607:1821626|offset_77|444444,1821645:1821664|offset_115|00cc00&amp;v=1821355:1821864&amp;c=444444", "offset 115")</f>
        <v>offset 115</v>
      </c>
    </row>
    <row r="6515" customFormat="false" ht="12.8" hidden="false" customHeight="false" outlineLevel="0" collapsed="false">
      <c r="A6515" s="0" t="s">
        <v>12</v>
      </c>
      <c r="B6515" s="0" t="n">
        <v>1822590</v>
      </c>
      <c r="C6515" s="0" t="n">
        <v>1822610</v>
      </c>
      <c r="D6515" s="0" t="s">
        <v>21794</v>
      </c>
      <c r="E6515" s="0" t="s">
        <v>89</v>
      </c>
      <c r="F6515" s="0" t="s">
        <v>15</v>
      </c>
      <c r="G6515" s="0" t="s">
        <v>36</v>
      </c>
      <c r="H6515" s="0" t="n">
        <v>7</v>
      </c>
      <c r="I6515" s="0" t="s">
        <v>21795</v>
      </c>
      <c r="J6515" s="0" t="s">
        <v>21796</v>
      </c>
      <c r="K6515" s="0" t="s">
        <v>21797</v>
      </c>
      <c r="L6515" s="0" t="str">
        <f aca="false">HYPERLINK("https://www.ncbi.nlm.nih.gov/nuccore/CP000304.1?report=graph&amp;tracks=[key:gene_model_track,Options:GeneOnly]&amp;mk=1822591:1822610|offset_7|00cc00,1822622:1822641|offset_38|444444,1822656:1822675|offset_72|444444,1822697:1822716|offset_113|444444&amp;v=1822390:1822916&amp;c=444444", "offset 7")</f>
        <v>offset 7</v>
      </c>
    </row>
    <row r="6516" customFormat="false" ht="12.8" hidden="false" customHeight="false" outlineLevel="0" collapsed="false">
      <c r="A6516" s="0" t="s">
        <v>12</v>
      </c>
      <c r="B6516" s="0" t="n">
        <v>1822621</v>
      </c>
      <c r="C6516" s="0" t="n">
        <v>1822641</v>
      </c>
      <c r="D6516" s="0" t="s">
        <v>21794</v>
      </c>
      <c r="E6516" s="0" t="s">
        <v>89</v>
      </c>
      <c r="F6516" s="0" t="s">
        <v>15</v>
      </c>
      <c r="G6516" s="0" t="s">
        <v>16</v>
      </c>
      <c r="H6516" s="0" t="n">
        <v>38</v>
      </c>
      <c r="I6516" s="0" t="s">
        <v>21798</v>
      </c>
      <c r="J6516" s="0" t="s">
        <v>21799</v>
      </c>
      <c r="K6516" s="0" t="s">
        <v>21800</v>
      </c>
      <c r="L6516" s="0" t="str">
        <f aca="false">HYPERLINK("https://www.ncbi.nlm.nih.gov/nuccore/CP000304.1?report=graph&amp;tracks=[key:gene_model_track,Options:GeneOnly]&amp;mk=1822591:1822610|offset_7|444444,1822622:1822641|offset_38|00cc00,1822656:1822675|offset_72|444444,1822697:1822716|offset_113|444444&amp;v=1822390:1822916&amp;c=444444", "offset 38")</f>
        <v>offset 38</v>
      </c>
    </row>
    <row r="6517" customFormat="false" ht="12.8" hidden="false" customHeight="false" outlineLevel="0" collapsed="false">
      <c r="A6517" s="0" t="s">
        <v>12</v>
      </c>
      <c r="B6517" s="0" t="n">
        <v>1822655</v>
      </c>
      <c r="C6517" s="0" t="n">
        <v>1822675</v>
      </c>
      <c r="D6517" s="0" t="s">
        <v>21794</v>
      </c>
      <c r="E6517" s="0" t="s">
        <v>89</v>
      </c>
      <c r="F6517" s="0" t="s">
        <v>15</v>
      </c>
      <c r="G6517" s="0" t="s">
        <v>36</v>
      </c>
      <c r="H6517" s="0" t="n">
        <v>72</v>
      </c>
      <c r="I6517" s="0" t="s">
        <v>21801</v>
      </c>
      <c r="J6517" s="0" t="s">
        <v>21802</v>
      </c>
      <c r="K6517" s="0" t="s">
        <v>21803</v>
      </c>
      <c r="L6517" s="0" t="str">
        <f aca="false">HYPERLINK("https://www.ncbi.nlm.nih.gov/nuccore/CP000304.1?report=graph&amp;tracks=[key:gene_model_track,Options:GeneOnly]&amp;mk=1822591:1822610|offset_7|444444,1822622:1822641|offset_38|444444,1822656:1822675|offset_72|00cc00,1822697:1822716|offset_113|444444&amp;v=1822390:1822916&amp;c=444444", "offset 72")</f>
        <v>offset 72</v>
      </c>
    </row>
    <row r="6518" customFormat="false" ht="12.8" hidden="false" customHeight="false" outlineLevel="0" collapsed="false">
      <c r="A6518" s="0" t="s">
        <v>12</v>
      </c>
      <c r="B6518" s="0" t="n">
        <v>1822696</v>
      </c>
      <c r="C6518" s="0" t="n">
        <v>1822716</v>
      </c>
      <c r="D6518" s="0" t="s">
        <v>21794</v>
      </c>
      <c r="E6518" s="0" t="s">
        <v>89</v>
      </c>
      <c r="F6518" s="0" t="s">
        <v>15</v>
      </c>
      <c r="G6518" s="0" t="s">
        <v>36</v>
      </c>
      <c r="H6518" s="0" t="n">
        <v>113</v>
      </c>
      <c r="I6518" s="0" t="s">
        <v>21804</v>
      </c>
      <c r="J6518" s="0" t="s">
        <v>21805</v>
      </c>
      <c r="K6518" s="0" t="s">
        <v>21806</v>
      </c>
      <c r="L6518" s="0" t="str">
        <f aca="false">HYPERLINK("https://www.ncbi.nlm.nih.gov/nuccore/CP000304.1?report=graph&amp;tracks=[key:gene_model_track,Options:GeneOnly]&amp;mk=1822591:1822610|offset_7|444444,1822622:1822641|offset_38|444444,1822656:1822675|offset_72|444444,1822697:1822716|offset_113|00cc00&amp;v=1822390:1822916&amp;c=444444", "offset 113")</f>
        <v>offset 113</v>
      </c>
    </row>
    <row r="6519" customFormat="false" ht="12.8" hidden="false" customHeight="false" outlineLevel="0" collapsed="false">
      <c r="A6519" s="0" t="s">
        <v>12</v>
      </c>
      <c r="B6519" s="0" t="n">
        <v>1823874</v>
      </c>
      <c r="C6519" s="0" t="n">
        <v>1823894</v>
      </c>
      <c r="D6519" s="0" t="s">
        <v>21807</v>
      </c>
      <c r="E6519" s="0" t="s">
        <v>89</v>
      </c>
      <c r="F6519" s="0" t="s">
        <v>15</v>
      </c>
      <c r="G6519" s="0" t="s">
        <v>32</v>
      </c>
      <c r="H6519" s="0" t="n">
        <v>14</v>
      </c>
      <c r="I6519" s="0" t="s">
        <v>21808</v>
      </c>
      <c r="J6519" s="0" t="s">
        <v>21809</v>
      </c>
      <c r="K6519" s="0" t="s">
        <v>21810</v>
      </c>
      <c r="L6519" s="0" t="str">
        <f aca="false">HYPERLINK("https://www.ncbi.nlm.nih.gov/nuccore/CP000304.1?report=graph&amp;tracks=[key:gene_model_track,Options:GeneOnly]&amp;mk=1823875:1823894|offset_14|00cc00,1823898:1823917|offset_37|444444,1823934:1823953|offset_73|444444,1823998:1824017|offset_137|444444&amp;v=1823674:1824217&amp;c=444444", "offset 14")</f>
        <v>offset 14</v>
      </c>
    </row>
    <row r="6520" customFormat="false" ht="12.8" hidden="false" customHeight="false" outlineLevel="0" collapsed="false">
      <c r="A6520" s="0" t="s">
        <v>12</v>
      </c>
      <c r="B6520" s="0" t="n">
        <v>1823897</v>
      </c>
      <c r="C6520" s="0" t="n">
        <v>1823917</v>
      </c>
      <c r="D6520" s="0" t="s">
        <v>21807</v>
      </c>
      <c r="E6520" s="0" t="s">
        <v>89</v>
      </c>
      <c r="F6520" s="0" t="s">
        <v>15</v>
      </c>
      <c r="G6520" s="0" t="s">
        <v>16</v>
      </c>
      <c r="H6520" s="0" t="n">
        <v>37</v>
      </c>
      <c r="I6520" s="0" t="s">
        <v>21811</v>
      </c>
      <c r="J6520" s="0" t="s">
        <v>21812</v>
      </c>
      <c r="K6520" s="0" t="s">
        <v>21813</v>
      </c>
      <c r="L6520" s="0" t="str">
        <f aca="false">HYPERLINK("https://www.ncbi.nlm.nih.gov/nuccore/CP000304.1?report=graph&amp;tracks=[key:gene_model_track,Options:GeneOnly]&amp;mk=1823875:1823894|offset_14|444444,1823898:1823917|offset_37|00cc00,1823934:1823953|offset_73|444444,1823998:1824017|offset_137|444444&amp;v=1823674:1824217&amp;c=444444", "offset 37")</f>
        <v>offset 37</v>
      </c>
    </row>
    <row r="6521" customFormat="false" ht="12.8" hidden="false" customHeight="false" outlineLevel="0" collapsed="false">
      <c r="A6521" s="0" t="s">
        <v>12</v>
      </c>
      <c r="B6521" s="0" t="n">
        <v>1823933</v>
      </c>
      <c r="C6521" s="0" t="n">
        <v>1823953</v>
      </c>
      <c r="D6521" s="0" t="s">
        <v>21807</v>
      </c>
      <c r="E6521" s="0" t="s">
        <v>89</v>
      </c>
      <c r="F6521" s="0" t="s">
        <v>15</v>
      </c>
      <c r="G6521" s="0" t="s">
        <v>36</v>
      </c>
      <c r="H6521" s="0" t="n">
        <v>73</v>
      </c>
      <c r="I6521" s="0" t="s">
        <v>21814</v>
      </c>
      <c r="J6521" s="0" t="s">
        <v>21815</v>
      </c>
      <c r="K6521" s="0" t="s">
        <v>21816</v>
      </c>
      <c r="L6521" s="0" t="str">
        <f aca="false">HYPERLINK("https://www.ncbi.nlm.nih.gov/nuccore/CP000304.1?report=graph&amp;tracks=[key:gene_model_track,Options:GeneOnly]&amp;mk=1823875:1823894|offset_14|444444,1823898:1823917|offset_37|444444,1823934:1823953|offset_73|00cc00,1823998:1824017|offset_137|444444&amp;v=1823674:1824217&amp;c=444444", "offset 73")</f>
        <v>offset 73</v>
      </c>
    </row>
    <row r="6522" customFormat="false" ht="12.8" hidden="false" customHeight="false" outlineLevel="0" collapsed="false">
      <c r="A6522" s="0" t="s">
        <v>12</v>
      </c>
      <c r="B6522" s="0" t="n">
        <v>1823997</v>
      </c>
      <c r="C6522" s="0" t="n">
        <v>1824017</v>
      </c>
      <c r="D6522" s="0" t="s">
        <v>21807</v>
      </c>
      <c r="E6522" s="0" t="s">
        <v>89</v>
      </c>
      <c r="F6522" s="0" t="s">
        <v>15</v>
      </c>
      <c r="G6522" s="0" t="s">
        <v>32</v>
      </c>
      <c r="H6522" s="0" t="n">
        <v>137</v>
      </c>
      <c r="I6522" s="0" t="s">
        <v>21817</v>
      </c>
      <c r="J6522" s="0" t="s">
        <v>21818</v>
      </c>
      <c r="K6522" s="0" t="s">
        <v>21819</v>
      </c>
      <c r="L6522" s="0" t="str">
        <f aca="false">HYPERLINK("https://www.ncbi.nlm.nih.gov/nuccore/CP000304.1?report=graph&amp;tracks=[key:gene_model_track,Options:GeneOnly]&amp;mk=1823875:1823894|offset_14|444444,1823898:1823917|offset_37|444444,1823934:1823953|offset_73|444444,1823998:1824017|offset_137|00cc00&amp;v=1823674:1824217&amp;c=444444", "offset 137")</f>
        <v>offset 137</v>
      </c>
    </row>
    <row r="6523" customFormat="false" ht="12.8" hidden="false" customHeight="false" outlineLevel="0" collapsed="false">
      <c r="A6523" s="0" t="s">
        <v>12</v>
      </c>
      <c r="B6523" s="0" t="n">
        <v>1824269</v>
      </c>
      <c r="C6523" s="0" t="n">
        <v>1824289</v>
      </c>
      <c r="D6523" s="0" t="s">
        <v>21820</v>
      </c>
      <c r="E6523" s="0" t="s">
        <v>89</v>
      </c>
      <c r="F6523" s="0" t="s">
        <v>15</v>
      </c>
      <c r="G6523" s="0" t="s">
        <v>32</v>
      </c>
      <c r="H6523" s="0" t="n">
        <v>8</v>
      </c>
      <c r="I6523" s="0" t="s">
        <v>21821</v>
      </c>
      <c r="J6523" s="0" t="s">
        <v>21822</v>
      </c>
      <c r="K6523" s="0" t="s">
        <v>21823</v>
      </c>
      <c r="L6523" s="0" t="str">
        <f aca="false">HYPERLINK("https://www.ncbi.nlm.nih.gov/nuccore/CP000304.1?report=graph&amp;tracks=[key:gene_model_track,Options:GeneOnly]&amp;mk=1824270:1824289|offset_8|00cc00,1824290:1824309|offset_28|444444,1824311:1824330|offset_49|444444,1824331:1824350|offset_69|444444&amp;v=1824069:1824550&amp;c=444444", "offset 8")</f>
        <v>offset 8</v>
      </c>
    </row>
    <row r="6524" customFormat="false" ht="12.8" hidden="false" customHeight="false" outlineLevel="0" collapsed="false">
      <c r="A6524" s="0" t="s">
        <v>12</v>
      </c>
      <c r="B6524" s="0" t="n">
        <v>1824289</v>
      </c>
      <c r="C6524" s="0" t="n">
        <v>1824309</v>
      </c>
      <c r="D6524" s="0" t="s">
        <v>21820</v>
      </c>
      <c r="E6524" s="0" t="s">
        <v>89</v>
      </c>
      <c r="F6524" s="0" t="s">
        <v>15</v>
      </c>
      <c r="G6524" s="0" t="s">
        <v>16</v>
      </c>
      <c r="H6524" s="0" t="n">
        <v>28</v>
      </c>
      <c r="I6524" s="0" t="s">
        <v>21824</v>
      </c>
      <c r="J6524" s="0" t="s">
        <v>21825</v>
      </c>
      <c r="K6524" s="0" t="s">
        <v>21826</v>
      </c>
      <c r="L6524" s="0" t="str">
        <f aca="false">HYPERLINK("https://www.ncbi.nlm.nih.gov/nuccore/CP000304.1?report=graph&amp;tracks=[key:gene_model_track,Options:GeneOnly]&amp;mk=1824270:1824289|offset_8|444444,1824290:1824309|offset_28|00cc00,1824311:1824330|offset_49|444444,1824331:1824350|offset_69|444444&amp;v=1824069:1824550&amp;c=444444", "offset 28")</f>
        <v>offset 28</v>
      </c>
    </row>
    <row r="6525" customFormat="false" ht="12.8" hidden="false" customHeight="false" outlineLevel="0" collapsed="false">
      <c r="A6525" s="0" t="s">
        <v>12</v>
      </c>
      <c r="B6525" s="0" t="n">
        <v>1824310</v>
      </c>
      <c r="C6525" s="0" t="n">
        <v>1824330</v>
      </c>
      <c r="D6525" s="0" t="s">
        <v>21820</v>
      </c>
      <c r="E6525" s="0" t="s">
        <v>89</v>
      </c>
      <c r="F6525" s="0" t="s">
        <v>15</v>
      </c>
      <c r="G6525" s="0" t="s">
        <v>26</v>
      </c>
      <c r="H6525" s="0" t="n">
        <v>49</v>
      </c>
      <c r="I6525" s="0" t="s">
        <v>21827</v>
      </c>
      <c r="J6525" s="0" t="s">
        <v>21828</v>
      </c>
      <c r="K6525" s="0" t="s">
        <v>21829</v>
      </c>
      <c r="L6525" s="0" t="str">
        <f aca="false">HYPERLINK("https://www.ncbi.nlm.nih.gov/nuccore/CP000304.1?report=graph&amp;tracks=[key:gene_model_track,Options:GeneOnly]&amp;mk=1824270:1824289|offset_8|444444,1824290:1824309|offset_28|444444,1824311:1824330|offset_49|00cc00,1824331:1824350|offset_69|444444&amp;v=1824069:1824550&amp;c=444444", "offset 49")</f>
        <v>offset 49</v>
      </c>
    </row>
    <row r="6526" customFormat="false" ht="12.8" hidden="false" customHeight="false" outlineLevel="0" collapsed="false">
      <c r="A6526" s="0" t="s">
        <v>12</v>
      </c>
      <c r="B6526" s="0" t="n">
        <v>1824330</v>
      </c>
      <c r="C6526" s="0" t="n">
        <v>1824350</v>
      </c>
      <c r="D6526" s="0" t="s">
        <v>21820</v>
      </c>
      <c r="E6526" s="0" t="s">
        <v>89</v>
      </c>
      <c r="F6526" s="0" t="s">
        <v>15</v>
      </c>
      <c r="G6526" s="0" t="s">
        <v>16</v>
      </c>
      <c r="H6526" s="0" t="n">
        <v>69</v>
      </c>
      <c r="I6526" s="0" t="s">
        <v>21830</v>
      </c>
      <c r="J6526" s="0" t="s">
        <v>21831</v>
      </c>
      <c r="K6526" s="0" t="s">
        <v>21832</v>
      </c>
      <c r="L6526" s="0" t="str">
        <f aca="false">HYPERLINK("https://www.ncbi.nlm.nih.gov/nuccore/CP000304.1?report=graph&amp;tracks=[key:gene_model_track,Options:GeneOnly]&amp;mk=1824270:1824289|offset_8|444444,1824290:1824309|offset_28|444444,1824311:1824330|offset_49|444444,1824331:1824350|offset_69|00cc00&amp;v=1824069:1824550&amp;c=444444", "offset 69")</f>
        <v>offset 69</v>
      </c>
    </row>
    <row r="6527" customFormat="false" ht="12.8" hidden="false" customHeight="false" outlineLevel="0" collapsed="false">
      <c r="A6527" s="0" t="s">
        <v>12</v>
      </c>
      <c r="B6527" s="0" t="n">
        <v>1825646</v>
      </c>
      <c r="C6527" s="0" t="n">
        <v>1825666</v>
      </c>
      <c r="D6527" s="0" t="s">
        <v>21833</v>
      </c>
      <c r="E6527" s="0" t="s">
        <v>89</v>
      </c>
      <c r="F6527" s="0" t="s">
        <v>15</v>
      </c>
      <c r="G6527" s="0" t="s">
        <v>26</v>
      </c>
      <c r="H6527" s="0" t="n">
        <v>19</v>
      </c>
      <c r="I6527" s="0" t="s">
        <v>21834</v>
      </c>
      <c r="J6527" s="0" t="s">
        <v>21835</v>
      </c>
      <c r="K6527" s="0" t="s">
        <v>21836</v>
      </c>
      <c r="L6527" s="0" t="str">
        <f aca="false">HYPERLINK("https://www.ncbi.nlm.nih.gov/nuccore/CP000304.1?report=graph&amp;tracks=[key:gene_model_track,Options:GeneOnly]&amp;mk=1825647:1825666|offset_19|00cc00,1825667:1825686|offset_39|444444,1825717:1825736|offset_89|444444,1825742:1825761|offset_114|444444&amp;v=1825446:1825961&amp;c=444444", "offset 19")</f>
        <v>offset 19</v>
      </c>
    </row>
    <row r="6528" customFormat="false" ht="12.8" hidden="false" customHeight="false" outlineLevel="0" collapsed="false">
      <c r="A6528" s="0" t="s">
        <v>12</v>
      </c>
      <c r="B6528" s="0" t="n">
        <v>1825666</v>
      </c>
      <c r="C6528" s="0" t="n">
        <v>1825686</v>
      </c>
      <c r="D6528" s="0" t="s">
        <v>21833</v>
      </c>
      <c r="E6528" s="0" t="s">
        <v>89</v>
      </c>
      <c r="F6528" s="0" t="s">
        <v>15</v>
      </c>
      <c r="G6528" s="0" t="s">
        <v>32</v>
      </c>
      <c r="H6528" s="0" t="n">
        <v>39</v>
      </c>
      <c r="I6528" s="0" t="s">
        <v>21837</v>
      </c>
      <c r="J6528" s="0" t="s">
        <v>21838</v>
      </c>
      <c r="K6528" s="0" t="s">
        <v>21839</v>
      </c>
      <c r="L6528" s="0" t="str">
        <f aca="false">HYPERLINK("https://www.ncbi.nlm.nih.gov/nuccore/CP000304.1?report=graph&amp;tracks=[key:gene_model_track,Options:GeneOnly]&amp;mk=1825647:1825666|offset_19|444444,1825667:1825686|offset_39|00cc00,1825717:1825736|offset_89|444444,1825742:1825761|offset_114|444444&amp;v=1825446:1825961&amp;c=444444", "offset 39")</f>
        <v>offset 39</v>
      </c>
    </row>
    <row r="6529" customFormat="false" ht="12.8" hidden="false" customHeight="false" outlineLevel="0" collapsed="false">
      <c r="A6529" s="0" t="s">
        <v>12</v>
      </c>
      <c r="B6529" s="0" t="n">
        <v>1825716</v>
      </c>
      <c r="C6529" s="0" t="n">
        <v>1825736</v>
      </c>
      <c r="D6529" s="0" t="s">
        <v>21833</v>
      </c>
      <c r="E6529" s="0" t="s">
        <v>89</v>
      </c>
      <c r="F6529" s="0" t="s">
        <v>15</v>
      </c>
      <c r="G6529" s="0" t="s">
        <v>32</v>
      </c>
      <c r="H6529" s="0" t="n">
        <v>89</v>
      </c>
      <c r="I6529" s="0" t="s">
        <v>21840</v>
      </c>
      <c r="J6529" s="0" t="s">
        <v>21841</v>
      </c>
      <c r="K6529" s="0" t="s">
        <v>21842</v>
      </c>
      <c r="L6529" s="0" t="str">
        <f aca="false">HYPERLINK("https://www.ncbi.nlm.nih.gov/nuccore/CP000304.1?report=graph&amp;tracks=[key:gene_model_track,Options:GeneOnly]&amp;mk=1825647:1825666|offset_19|444444,1825667:1825686|offset_39|444444,1825717:1825736|offset_89|00cc00,1825742:1825761|offset_114|444444&amp;v=1825446:1825961&amp;c=444444", "offset 89")</f>
        <v>offset 89</v>
      </c>
    </row>
    <row r="6530" customFormat="false" ht="12.8" hidden="false" customHeight="false" outlineLevel="0" collapsed="false">
      <c r="A6530" s="0" t="s">
        <v>12</v>
      </c>
      <c r="B6530" s="0" t="n">
        <v>1825741</v>
      </c>
      <c r="C6530" s="0" t="n">
        <v>1825761</v>
      </c>
      <c r="D6530" s="0" t="s">
        <v>21833</v>
      </c>
      <c r="E6530" s="0" t="s">
        <v>89</v>
      </c>
      <c r="F6530" s="0" t="s">
        <v>15</v>
      </c>
      <c r="G6530" s="0" t="s">
        <v>16</v>
      </c>
      <c r="H6530" s="0" t="n">
        <v>114</v>
      </c>
      <c r="I6530" s="0" t="s">
        <v>21843</v>
      </c>
      <c r="J6530" s="0" t="s">
        <v>21844</v>
      </c>
      <c r="K6530" s="0" t="s">
        <v>21845</v>
      </c>
      <c r="L6530" s="0" t="str">
        <f aca="false">HYPERLINK("https://www.ncbi.nlm.nih.gov/nuccore/CP000304.1?report=graph&amp;tracks=[key:gene_model_track,Options:GeneOnly]&amp;mk=1825647:1825666|offset_19|444444,1825667:1825686|offset_39|444444,1825717:1825736|offset_89|444444,1825742:1825761|offset_114|00cc00&amp;v=1825446:1825961&amp;c=444444", "offset 114")</f>
        <v>offset 114</v>
      </c>
    </row>
    <row r="6531" customFormat="false" ht="12.8" hidden="false" customHeight="false" outlineLevel="0" collapsed="false">
      <c r="A6531" s="0" t="s">
        <v>12</v>
      </c>
      <c r="B6531" s="0" t="n">
        <v>1826970</v>
      </c>
      <c r="C6531" s="0" t="n">
        <v>1826990</v>
      </c>
      <c r="D6531" s="0" t="s">
        <v>21846</v>
      </c>
      <c r="E6531" s="0" t="s">
        <v>89</v>
      </c>
      <c r="F6531" s="0" t="s">
        <v>15</v>
      </c>
      <c r="G6531" s="0" t="s">
        <v>36</v>
      </c>
      <c r="H6531" s="0" t="n">
        <v>0</v>
      </c>
      <c r="I6531" s="0" t="s">
        <v>21847</v>
      </c>
      <c r="J6531" s="0" t="s">
        <v>21848</v>
      </c>
      <c r="K6531" s="0" t="s">
        <v>21849</v>
      </c>
      <c r="L6531" s="0" t="str">
        <f aca="false">HYPERLINK("https://www.ncbi.nlm.nih.gov/nuccore/CP000304.1?report=graph&amp;tracks=[key:gene_model_track,Options:GeneOnly]&amp;mk=1826971:1826990|offset_0|00cc00,1826991:1827010|offset_20|444444,1827017:1827036|offset_46|444444,1827056:1827075|offset_85|444444&amp;v=1826770:1827275&amp;c=444444", "offset 0")</f>
        <v>offset 0</v>
      </c>
    </row>
    <row r="6532" customFormat="false" ht="12.8" hidden="false" customHeight="false" outlineLevel="0" collapsed="false">
      <c r="A6532" s="0" t="s">
        <v>12</v>
      </c>
      <c r="B6532" s="0" t="n">
        <v>1826990</v>
      </c>
      <c r="C6532" s="0" t="n">
        <v>1827010</v>
      </c>
      <c r="D6532" s="0" t="s">
        <v>21846</v>
      </c>
      <c r="E6532" s="0" t="s">
        <v>89</v>
      </c>
      <c r="F6532" s="0" t="s">
        <v>15</v>
      </c>
      <c r="G6532" s="0" t="s">
        <v>16</v>
      </c>
      <c r="H6532" s="0" t="n">
        <v>20</v>
      </c>
      <c r="I6532" s="0" t="s">
        <v>21850</v>
      </c>
      <c r="J6532" s="0" t="s">
        <v>21851</v>
      </c>
      <c r="K6532" s="0" t="s">
        <v>21852</v>
      </c>
      <c r="L6532" s="0" t="str">
        <f aca="false">HYPERLINK("https://www.ncbi.nlm.nih.gov/nuccore/CP000304.1?report=graph&amp;tracks=[key:gene_model_track,Options:GeneOnly]&amp;mk=1826971:1826990|offset_0|444444,1826991:1827010|offset_20|00cc00,1827017:1827036|offset_46|444444,1827056:1827075|offset_85|444444&amp;v=1826770:1827275&amp;c=444444", "offset 20")</f>
        <v>offset 20</v>
      </c>
    </row>
    <row r="6533" customFormat="false" ht="12.8" hidden="false" customHeight="false" outlineLevel="0" collapsed="false">
      <c r="A6533" s="0" t="s">
        <v>12</v>
      </c>
      <c r="B6533" s="0" t="n">
        <v>1827016</v>
      </c>
      <c r="C6533" s="0" t="n">
        <v>1827036</v>
      </c>
      <c r="D6533" s="0" t="s">
        <v>21846</v>
      </c>
      <c r="E6533" s="0" t="s">
        <v>89</v>
      </c>
      <c r="F6533" s="0" t="s">
        <v>15</v>
      </c>
      <c r="G6533" s="0" t="s">
        <v>36</v>
      </c>
      <c r="H6533" s="0" t="n">
        <v>46</v>
      </c>
      <c r="I6533" s="0" t="s">
        <v>21853</v>
      </c>
      <c r="J6533" s="0" t="s">
        <v>21854</v>
      </c>
      <c r="K6533" s="0" t="s">
        <v>21855</v>
      </c>
      <c r="L6533" s="0" t="str">
        <f aca="false">HYPERLINK("https://www.ncbi.nlm.nih.gov/nuccore/CP000304.1?report=graph&amp;tracks=[key:gene_model_track,Options:GeneOnly]&amp;mk=1826971:1826990|offset_0|444444,1826991:1827010|offset_20|444444,1827017:1827036|offset_46|00cc00,1827056:1827075|offset_85|444444&amp;v=1826770:1827275&amp;c=444444", "offset 46")</f>
        <v>offset 46</v>
      </c>
    </row>
    <row r="6534" customFormat="false" ht="12.8" hidden="false" customHeight="false" outlineLevel="0" collapsed="false">
      <c r="A6534" s="0" t="s">
        <v>12</v>
      </c>
      <c r="B6534" s="0" t="n">
        <v>1827055</v>
      </c>
      <c r="C6534" s="0" t="n">
        <v>1827075</v>
      </c>
      <c r="D6534" s="0" t="s">
        <v>21846</v>
      </c>
      <c r="E6534" s="0" t="s">
        <v>89</v>
      </c>
      <c r="F6534" s="0" t="s">
        <v>15</v>
      </c>
      <c r="G6534" s="0" t="s">
        <v>16</v>
      </c>
      <c r="H6534" s="0" t="n">
        <v>85</v>
      </c>
      <c r="I6534" s="0" t="s">
        <v>21856</v>
      </c>
      <c r="J6534" s="0" t="s">
        <v>21857</v>
      </c>
      <c r="K6534" s="0" t="s">
        <v>21858</v>
      </c>
      <c r="L6534" s="0" t="str">
        <f aca="false">HYPERLINK("https://www.ncbi.nlm.nih.gov/nuccore/CP000304.1?report=graph&amp;tracks=[key:gene_model_track,Options:GeneOnly]&amp;mk=1826971:1826990|offset_0|444444,1826991:1827010|offset_20|444444,1827017:1827036|offset_46|444444,1827056:1827075|offset_85|00cc00&amp;v=1826770:1827275&amp;c=444444", "offset 85")</f>
        <v>offset 85</v>
      </c>
    </row>
    <row r="6535" customFormat="false" ht="12.8" hidden="false" customHeight="false" outlineLevel="0" collapsed="false">
      <c r="A6535" s="0" t="s">
        <v>12</v>
      </c>
      <c r="B6535" s="0" t="n">
        <v>1827813</v>
      </c>
      <c r="C6535" s="0" t="n">
        <v>1827833</v>
      </c>
      <c r="D6535" s="0" t="s">
        <v>21859</v>
      </c>
      <c r="E6535" s="0" t="s">
        <v>89</v>
      </c>
      <c r="F6535" s="0" t="s">
        <v>15</v>
      </c>
      <c r="G6535" s="0" t="s">
        <v>36</v>
      </c>
      <c r="H6535" s="0" t="n">
        <v>6</v>
      </c>
      <c r="I6535" s="0" t="s">
        <v>21860</v>
      </c>
      <c r="J6535" s="0" t="s">
        <v>21861</v>
      </c>
      <c r="K6535" s="0" t="s">
        <v>21862</v>
      </c>
      <c r="L6535" s="0" t="str">
        <f aca="false">HYPERLINK("https://www.ncbi.nlm.nih.gov/nuccore/CP000304.1?report=graph&amp;tracks=[key:gene_model_track,Options:GeneOnly]&amp;mk=1827814:1827833|offset_6|00cc00,1827854:1827873|offset_46|444444,1827884:1827903|offset_76|444444,1827908:1827927|offset_100|444444&amp;v=1827613:1828127&amp;c=444444", "offset 6")</f>
        <v>offset 6</v>
      </c>
    </row>
    <row r="6536" customFormat="false" ht="12.8" hidden="false" customHeight="false" outlineLevel="0" collapsed="false">
      <c r="A6536" s="0" t="s">
        <v>12</v>
      </c>
      <c r="B6536" s="0" t="n">
        <v>1827853</v>
      </c>
      <c r="C6536" s="0" t="n">
        <v>1827873</v>
      </c>
      <c r="D6536" s="0" t="s">
        <v>21859</v>
      </c>
      <c r="E6536" s="0" t="s">
        <v>89</v>
      </c>
      <c r="F6536" s="0" t="s">
        <v>15</v>
      </c>
      <c r="G6536" s="0" t="s">
        <v>32</v>
      </c>
      <c r="H6536" s="0" t="n">
        <v>46</v>
      </c>
      <c r="I6536" s="0" t="s">
        <v>21863</v>
      </c>
      <c r="J6536" s="0" t="s">
        <v>21864</v>
      </c>
      <c r="K6536" s="0" t="s">
        <v>21865</v>
      </c>
      <c r="L6536" s="0" t="str">
        <f aca="false">HYPERLINK("https://www.ncbi.nlm.nih.gov/nuccore/CP000304.1?report=graph&amp;tracks=[key:gene_model_track,Options:GeneOnly]&amp;mk=1827814:1827833|offset_6|444444,1827854:1827873|offset_46|00cc00,1827884:1827903|offset_76|444444,1827908:1827927|offset_100|444444&amp;v=1827613:1828127&amp;c=444444", "offset 46")</f>
        <v>offset 46</v>
      </c>
    </row>
    <row r="6537" customFormat="false" ht="12.8" hidden="false" customHeight="false" outlineLevel="0" collapsed="false">
      <c r="A6537" s="0" t="s">
        <v>12</v>
      </c>
      <c r="B6537" s="0" t="n">
        <v>1827883</v>
      </c>
      <c r="C6537" s="0" t="n">
        <v>1827903</v>
      </c>
      <c r="D6537" s="0" t="s">
        <v>21859</v>
      </c>
      <c r="E6537" s="0" t="s">
        <v>89</v>
      </c>
      <c r="F6537" s="0" t="s">
        <v>15</v>
      </c>
      <c r="G6537" s="0" t="s">
        <v>26</v>
      </c>
      <c r="H6537" s="0" t="n">
        <v>76</v>
      </c>
      <c r="I6537" s="0" t="s">
        <v>21866</v>
      </c>
      <c r="J6537" s="0" t="s">
        <v>21867</v>
      </c>
      <c r="K6537" s="0" t="s">
        <v>21868</v>
      </c>
      <c r="L6537" s="0" t="str">
        <f aca="false">HYPERLINK("https://www.ncbi.nlm.nih.gov/nuccore/CP000304.1?report=graph&amp;tracks=[key:gene_model_track,Options:GeneOnly]&amp;mk=1827814:1827833|offset_6|444444,1827854:1827873|offset_46|444444,1827884:1827903|offset_76|00cc00,1827908:1827927|offset_100|444444&amp;v=1827613:1828127&amp;c=444444", "offset 76")</f>
        <v>offset 76</v>
      </c>
    </row>
    <row r="6538" customFormat="false" ht="12.8" hidden="false" customHeight="false" outlineLevel="0" collapsed="false">
      <c r="A6538" s="0" t="s">
        <v>12</v>
      </c>
      <c r="B6538" s="0" t="n">
        <v>1827907</v>
      </c>
      <c r="C6538" s="0" t="n">
        <v>1827927</v>
      </c>
      <c r="D6538" s="0" t="s">
        <v>21859</v>
      </c>
      <c r="E6538" s="0" t="s">
        <v>89</v>
      </c>
      <c r="F6538" s="0" t="s">
        <v>15</v>
      </c>
      <c r="G6538" s="0" t="s">
        <v>16</v>
      </c>
      <c r="H6538" s="0" t="n">
        <v>100</v>
      </c>
      <c r="I6538" s="0" t="s">
        <v>21869</v>
      </c>
      <c r="J6538" s="0" t="s">
        <v>21870</v>
      </c>
      <c r="K6538" s="0" t="s">
        <v>21871</v>
      </c>
      <c r="L6538" s="0" t="str">
        <f aca="false">HYPERLINK("https://www.ncbi.nlm.nih.gov/nuccore/CP000304.1?report=graph&amp;tracks=[key:gene_model_track,Options:GeneOnly]&amp;mk=1827814:1827833|offset_6|444444,1827854:1827873|offset_46|444444,1827884:1827903|offset_76|444444,1827908:1827927|offset_100|00cc00&amp;v=1827613:1828127&amp;c=444444", "offset 100")</f>
        <v>offset 100</v>
      </c>
    </row>
    <row r="6539" customFormat="false" ht="12.8" hidden="false" customHeight="false" outlineLevel="0" collapsed="false">
      <c r="A6539" s="0" t="s">
        <v>12</v>
      </c>
      <c r="B6539" s="0" t="n">
        <v>1828969</v>
      </c>
      <c r="C6539" s="0" t="n">
        <v>1828989</v>
      </c>
      <c r="D6539" s="0" t="s">
        <v>21872</v>
      </c>
      <c r="E6539" s="0" t="s">
        <v>89</v>
      </c>
      <c r="F6539" s="0" t="s">
        <v>15</v>
      </c>
      <c r="G6539" s="0" t="s">
        <v>32</v>
      </c>
      <c r="H6539" s="0" t="n">
        <v>47</v>
      </c>
      <c r="I6539" s="0" t="s">
        <v>21873</v>
      </c>
      <c r="J6539" s="0" t="s">
        <v>21874</v>
      </c>
      <c r="K6539" s="0" t="s">
        <v>21875</v>
      </c>
      <c r="L6539" s="0" t="str">
        <f aca="false">HYPERLINK("https://www.ncbi.nlm.nih.gov/nuccore/CP000304.1?report=graph&amp;tracks=[key:gene_model_track,Options:GeneOnly]&amp;mk=1828970:1828989|offset_47|00cc00,1829003:1829022|offset_80|444444,1829090:1829109|offset_167|444444,1829115:1829134|offset_192|444444&amp;v=1828769:1829334&amp;c=444444", "offset 47")</f>
        <v>offset 47</v>
      </c>
    </row>
    <row r="6540" customFormat="false" ht="12.8" hidden="false" customHeight="false" outlineLevel="0" collapsed="false">
      <c r="A6540" s="0" t="s">
        <v>12</v>
      </c>
      <c r="B6540" s="0" t="n">
        <v>1829002</v>
      </c>
      <c r="C6540" s="0" t="n">
        <v>1829022</v>
      </c>
      <c r="D6540" s="0" t="s">
        <v>21872</v>
      </c>
      <c r="E6540" s="0" t="s">
        <v>89</v>
      </c>
      <c r="F6540" s="0" t="s">
        <v>15</v>
      </c>
      <c r="G6540" s="0" t="s">
        <v>36</v>
      </c>
      <c r="H6540" s="0" t="n">
        <v>80</v>
      </c>
      <c r="I6540" s="0" t="s">
        <v>21876</v>
      </c>
      <c r="J6540" s="0" t="s">
        <v>21877</v>
      </c>
      <c r="K6540" s="0" t="s">
        <v>21878</v>
      </c>
      <c r="L6540" s="0" t="str">
        <f aca="false">HYPERLINK("https://www.ncbi.nlm.nih.gov/nuccore/CP000304.1?report=graph&amp;tracks=[key:gene_model_track,Options:GeneOnly]&amp;mk=1828970:1828989|offset_47|444444,1829003:1829022|offset_80|00cc00,1829090:1829109|offset_167|444444,1829115:1829134|offset_192|444444&amp;v=1828769:1829334&amp;c=444444", "offset 80")</f>
        <v>offset 80</v>
      </c>
    </row>
    <row r="6541" customFormat="false" ht="12.8" hidden="false" customHeight="false" outlineLevel="0" collapsed="false">
      <c r="A6541" s="0" t="s">
        <v>12</v>
      </c>
      <c r="B6541" s="0" t="n">
        <v>1829089</v>
      </c>
      <c r="C6541" s="0" t="n">
        <v>1829109</v>
      </c>
      <c r="D6541" s="0" t="s">
        <v>21872</v>
      </c>
      <c r="E6541" s="0" t="s">
        <v>89</v>
      </c>
      <c r="F6541" s="0" t="s">
        <v>15</v>
      </c>
      <c r="G6541" s="0" t="s">
        <v>36</v>
      </c>
      <c r="H6541" s="0" t="n">
        <v>167</v>
      </c>
      <c r="I6541" s="0" t="s">
        <v>21879</v>
      </c>
      <c r="J6541" s="0" t="s">
        <v>21880</v>
      </c>
      <c r="K6541" s="0" t="s">
        <v>21881</v>
      </c>
      <c r="L6541" s="0" t="str">
        <f aca="false">HYPERLINK("https://www.ncbi.nlm.nih.gov/nuccore/CP000304.1?report=graph&amp;tracks=[key:gene_model_track,Options:GeneOnly]&amp;mk=1828970:1828989|offset_47|444444,1829003:1829022|offset_80|444444,1829090:1829109|offset_167|00cc00,1829115:1829134|offset_192|444444&amp;v=1828769:1829334&amp;c=444444", "offset 167")</f>
        <v>offset 167</v>
      </c>
    </row>
    <row r="6542" customFormat="false" ht="12.8" hidden="false" customHeight="false" outlineLevel="0" collapsed="false">
      <c r="A6542" s="0" t="s">
        <v>12</v>
      </c>
      <c r="B6542" s="0" t="n">
        <v>1829114</v>
      </c>
      <c r="C6542" s="0" t="n">
        <v>1829134</v>
      </c>
      <c r="D6542" s="0" t="s">
        <v>21872</v>
      </c>
      <c r="E6542" s="0" t="s">
        <v>89</v>
      </c>
      <c r="F6542" s="0" t="s">
        <v>15</v>
      </c>
      <c r="G6542" s="0" t="s">
        <v>32</v>
      </c>
      <c r="H6542" s="0" t="n">
        <v>192</v>
      </c>
      <c r="I6542" s="0" t="s">
        <v>21882</v>
      </c>
      <c r="J6542" s="0" t="s">
        <v>21883</v>
      </c>
      <c r="K6542" s="0" t="s">
        <v>21884</v>
      </c>
      <c r="L6542" s="0" t="str">
        <f aca="false">HYPERLINK("https://www.ncbi.nlm.nih.gov/nuccore/CP000304.1?report=graph&amp;tracks=[key:gene_model_track,Options:GeneOnly]&amp;mk=1828970:1828989|offset_47|444444,1829003:1829022|offset_80|444444,1829090:1829109|offset_167|444444,1829115:1829134|offset_192|00cc00&amp;v=1828769:1829334&amp;c=444444", "offset 192")</f>
        <v>offset 192</v>
      </c>
    </row>
    <row r="6543" customFormat="false" ht="12.8" hidden="false" customHeight="false" outlineLevel="0" collapsed="false">
      <c r="A6543" s="0" t="s">
        <v>12</v>
      </c>
      <c r="B6543" s="0" t="n">
        <v>1829278</v>
      </c>
      <c r="C6543" s="0" t="n">
        <v>1829298</v>
      </c>
      <c r="D6543" s="0" t="s">
        <v>21885</v>
      </c>
      <c r="E6543" s="0" t="s">
        <v>89</v>
      </c>
      <c r="F6543" s="0" t="s">
        <v>15</v>
      </c>
      <c r="G6543" s="0" t="s">
        <v>36</v>
      </c>
      <c r="H6543" s="0" t="n">
        <v>46</v>
      </c>
      <c r="I6543" s="0" t="s">
        <v>21886</v>
      </c>
      <c r="J6543" s="0" t="s">
        <v>21887</v>
      </c>
      <c r="K6543" s="0" t="s">
        <v>21888</v>
      </c>
      <c r="L6543" s="0" t="str">
        <f aca="false">HYPERLINK("https://www.ncbi.nlm.nih.gov/nuccore/CP000304.1?report=graph&amp;tracks=[key:gene_model_track,Options:GeneOnly]&amp;mk=1829279:1829298|offset_46|00cc00,1829320:1829339|offset_87|444444,1829474:1829493|offset_241|444444,1829604:1829623|offset_371|444444&amp;v=1829078:1829823&amp;c=444444", "offset 46")</f>
        <v>offset 46</v>
      </c>
    </row>
    <row r="6544" customFormat="false" ht="12.8" hidden="false" customHeight="false" outlineLevel="0" collapsed="false">
      <c r="A6544" s="0" t="s">
        <v>12</v>
      </c>
      <c r="B6544" s="0" t="n">
        <v>1829319</v>
      </c>
      <c r="C6544" s="0" t="n">
        <v>1829339</v>
      </c>
      <c r="D6544" s="0" t="s">
        <v>21885</v>
      </c>
      <c r="E6544" s="0" t="s">
        <v>89</v>
      </c>
      <c r="F6544" s="0" t="s">
        <v>15</v>
      </c>
      <c r="G6544" s="0" t="s">
        <v>26</v>
      </c>
      <c r="H6544" s="0" t="n">
        <v>87</v>
      </c>
      <c r="I6544" s="0" t="s">
        <v>21889</v>
      </c>
      <c r="J6544" s="0" t="s">
        <v>21890</v>
      </c>
      <c r="K6544" s="0" t="s">
        <v>21891</v>
      </c>
      <c r="L6544" s="0" t="str">
        <f aca="false">HYPERLINK("https://www.ncbi.nlm.nih.gov/nuccore/CP000304.1?report=graph&amp;tracks=[key:gene_model_track,Options:GeneOnly]&amp;mk=1829279:1829298|offset_46|444444,1829320:1829339|offset_87|00cc00,1829474:1829493|offset_241|444444,1829604:1829623|offset_371|444444&amp;v=1829078:1829823&amp;c=444444", "offset 87")</f>
        <v>offset 87</v>
      </c>
    </row>
    <row r="6545" customFormat="false" ht="12.8" hidden="false" customHeight="false" outlineLevel="0" collapsed="false">
      <c r="A6545" s="0" t="s">
        <v>12</v>
      </c>
      <c r="B6545" s="0" t="n">
        <v>1829473</v>
      </c>
      <c r="C6545" s="0" t="n">
        <v>1829493</v>
      </c>
      <c r="D6545" s="0" t="s">
        <v>21885</v>
      </c>
      <c r="E6545" s="0" t="s">
        <v>89</v>
      </c>
      <c r="F6545" s="0" t="s">
        <v>15</v>
      </c>
      <c r="G6545" s="0" t="s">
        <v>32</v>
      </c>
      <c r="H6545" s="0" t="n">
        <v>241</v>
      </c>
      <c r="I6545" s="0" t="s">
        <v>21892</v>
      </c>
      <c r="J6545" s="0" t="s">
        <v>21893</v>
      </c>
      <c r="K6545" s="0" t="s">
        <v>21894</v>
      </c>
      <c r="L6545" s="0" t="str">
        <f aca="false">HYPERLINK("https://www.ncbi.nlm.nih.gov/nuccore/CP000304.1?report=graph&amp;tracks=[key:gene_model_track,Options:GeneOnly]&amp;mk=1829279:1829298|offset_46|444444,1829320:1829339|offset_87|444444,1829474:1829493|offset_241|00cc00,1829604:1829623|offset_371|444444&amp;v=1829078:1829823&amp;c=444444", "offset 241")</f>
        <v>offset 241</v>
      </c>
    </row>
    <row r="6546" customFormat="false" ht="12.8" hidden="false" customHeight="false" outlineLevel="0" collapsed="false">
      <c r="A6546" s="0" t="s">
        <v>12</v>
      </c>
      <c r="B6546" s="0" t="n">
        <v>1829603</v>
      </c>
      <c r="C6546" s="0" t="n">
        <v>1829623</v>
      </c>
      <c r="D6546" s="0" t="s">
        <v>21885</v>
      </c>
      <c r="E6546" s="0" t="s">
        <v>89</v>
      </c>
      <c r="F6546" s="0" t="s">
        <v>15</v>
      </c>
      <c r="G6546" s="0" t="s">
        <v>26</v>
      </c>
      <c r="H6546" s="0" t="n">
        <v>371</v>
      </c>
      <c r="I6546" s="0" t="s">
        <v>21895</v>
      </c>
      <c r="J6546" s="0" t="s">
        <v>21896</v>
      </c>
      <c r="K6546" s="0" t="s">
        <v>21897</v>
      </c>
      <c r="L6546" s="0" t="str">
        <f aca="false">HYPERLINK("https://www.ncbi.nlm.nih.gov/nuccore/CP000304.1?report=graph&amp;tracks=[key:gene_model_track,Options:GeneOnly]&amp;mk=1829279:1829298|offset_46|444444,1829320:1829339|offset_87|444444,1829474:1829493|offset_241|444444,1829604:1829623|offset_371|00cc00&amp;v=1829078:1829823&amp;c=444444", "offset 371")</f>
        <v>offset 371</v>
      </c>
    </row>
    <row r="6547" customFormat="false" ht="12.8" hidden="false" customHeight="false" outlineLevel="0" collapsed="false">
      <c r="A6547" s="0" t="s">
        <v>12</v>
      </c>
      <c r="B6547" s="0" t="n">
        <v>1831706</v>
      </c>
      <c r="C6547" s="0" t="n">
        <v>1831726</v>
      </c>
      <c r="D6547" s="0" t="s">
        <v>21898</v>
      </c>
      <c r="E6547" s="0" t="s">
        <v>89</v>
      </c>
      <c r="F6547" s="0" t="s">
        <v>15</v>
      </c>
      <c r="G6547" s="0" t="s">
        <v>36</v>
      </c>
      <c r="H6547" s="0" t="n">
        <v>11</v>
      </c>
      <c r="I6547" s="0" t="s">
        <v>21899</v>
      </c>
      <c r="J6547" s="0" t="s">
        <v>21900</v>
      </c>
      <c r="K6547" s="0" t="s">
        <v>21901</v>
      </c>
      <c r="L6547" s="0" t="str">
        <f aca="false">HYPERLINK("https://www.ncbi.nlm.nih.gov/nuccore/CP000304.1?report=graph&amp;tracks=[key:gene_model_track,Options:GeneOnly]&amp;mk=1831707:1831726|offset_11|00cc00,1831736:1831755|offset_40|444444,1831759:1831778|offset_63|444444,1831779:1831798|offset_83|444444&amp;v=1831506:1831998&amp;c=444444", "offset 11")</f>
        <v>offset 11</v>
      </c>
    </row>
    <row r="6548" customFormat="false" ht="12.8" hidden="false" customHeight="false" outlineLevel="0" collapsed="false">
      <c r="A6548" s="0" t="s">
        <v>12</v>
      </c>
      <c r="B6548" s="0" t="n">
        <v>1831735</v>
      </c>
      <c r="C6548" s="0" t="n">
        <v>1831755</v>
      </c>
      <c r="D6548" s="0" t="s">
        <v>21898</v>
      </c>
      <c r="E6548" s="0" t="s">
        <v>89</v>
      </c>
      <c r="F6548" s="0" t="s">
        <v>15</v>
      </c>
      <c r="G6548" s="0" t="s">
        <v>16</v>
      </c>
      <c r="H6548" s="0" t="n">
        <v>40</v>
      </c>
      <c r="I6548" s="0" t="s">
        <v>21902</v>
      </c>
      <c r="J6548" s="0" t="s">
        <v>21903</v>
      </c>
      <c r="K6548" s="0" t="s">
        <v>21904</v>
      </c>
      <c r="L6548" s="0" t="str">
        <f aca="false">HYPERLINK("https://www.ncbi.nlm.nih.gov/nuccore/CP000304.1?report=graph&amp;tracks=[key:gene_model_track,Options:GeneOnly]&amp;mk=1831707:1831726|offset_11|444444,1831736:1831755|offset_40|00cc00,1831759:1831778|offset_63|444444,1831779:1831798|offset_83|444444&amp;v=1831506:1831998&amp;c=444444", "offset 40")</f>
        <v>offset 40</v>
      </c>
    </row>
    <row r="6549" customFormat="false" ht="12.8" hidden="false" customHeight="false" outlineLevel="0" collapsed="false">
      <c r="A6549" s="0" t="s">
        <v>12</v>
      </c>
      <c r="B6549" s="0" t="n">
        <v>1831758</v>
      </c>
      <c r="C6549" s="0" t="n">
        <v>1831778</v>
      </c>
      <c r="D6549" s="0" t="s">
        <v>21898</v>
      </c>
      <c r="E6549" s="0" t="s">
        <v>89</v>
      </c>
      <c r="F6549" s="0" t="s">
        <v>15</v>
      </c>
      <c r="G6549" s="0" t="s">
        <v>32</v>
      </c>
      <c r="H6549" s="0" t="n">
        <v>63</v>
      </c>
      <c r="I6549" s="0" t="s">
        <v>21905</v>
      </c>
      <c r="J6549" s="0" t="s">
        <v>21906</v>
      </c>
      <c r="K6549" s="0" t="s">
        <v>21907</v>
      </c>
      <c r="L6549" s="0" t="str">
        <f aca="false">HYPERLINK("https://www.ncbi.nlm.nih.gov/nuccore/CP000304.1?report=graph&amp;tracks=[key:gene_model_track,Options:GeneOnly]&amp;mk=1831707:1831726|offset_11|444444,1831736:1831755|offset_40|444444,1831759:1831778|offset_63|00cc00,1831779:1831798|offset_83|444444&amp;v=1831506:1831998&amp;c=444444", "offset 63")</f>
        <v>offset 63</v>
      </c>
    </row>
    <row r="6550" customFormat="false" ht="12.8" hidden="false" customHeight="false" outlineLevel="0" collapsed="false">
      <c r="A6550" s="0" t="s">
        <v>12</v>
      </c>
      <c r="B6550" s="0" t="n">
        <v>1831778</v>
      </c>
      <c r="C6550" s="0" t="n">
        <v>1831798</v>
      </c>
      <c r="D6550" s="0" t="s">
        <v>21898</v>
      </c>
      <c r="E6550" s="0" t="s">
        <v>89</v>
      </c>
      <c r="F6550" s="0" t="s">
        <v>15</v>
      </c>
      <c r="G6550" s="0" t="s">
        <v>32</v>
      </c>
      <c r="H6550" s="0" t="n">
        <v>83</v>
      </c>
      <c r="I6550" s="0" t="s">
        <v>21908</v>
      </c>
      <c r="J6550" s="0" t="s">
        <v>21909</v>
      </c>
      <c r="K6550" s="0" t="s">
        <v>21910</v>
      </c>
      <c r="L6550" s="0" t="str">
        <f aca="false">HYPERLINK("https://www.ncbi.nlm.nih.gov/nuccore/CP000304.1?report=graph&amp;tracks=[key:gene_model_track,Options:GeneOnly]&amp;mk=1831707:1831726|offset_11|444444,1831736:1831755|offset_40|444444,1831759:1831778|offset_63|444444,1831779:1831798|offset_83|00cc00&amp;v=1831506:1831998&amp;c=444444", "offset 83")</f>
        <v>offset 83</v>
      </c>
    </row>
    <row r="6551" customFormat="false" ht="12.8" hidden="false" customHeight="false" outlineLevel="0" collapsed="false">
      <c r="A6551" s="0" t="s">
        <v>12</v>
      </c>
      <c r="B6551" s="0" t="n">
        <v>1832773</v>
      </c>
      <c r="C6551" s="0" t="n">
        <v>1832793</v>
      </c>
      <c r="D6551" s="0" t="s">
        <v>21911</v>
      </c>
      <c r="E6551" s="0" t="s">
        <v>89</v>
      </c>
      <c r="F6551" s="0" t="s">
        <v>15</v>
      </c>
      <c r="G6551" s="0" t="s">
        <v>26</v>
      </c>
      <c r="H6551" s="0" t="n">
        <v>53</v>
      </c>
      <c r="I6551" s="0" t="s">
        <v>21912</v>
      </c>
      <c r="J6551" s="0" t="s">
        <v>21913</v>
      </c>
      <c r="K6551" s="0" t="s">
        <v>21914</v>
      </c>
      <c r="L6551" s="0" t="str">
        <f aca="false">HYPERLINK("https://www.ncbi.nlm.nih.gov/nuccore/CP000304.1?report=graph&amp;tracks=[key:gene_model_track,Options:GeneOnly]&amp;mk=1832774:1832793|offset_53|00cc00,1832863:1832882|offset_142|444444,1832958:1832977|offset_237|444444,1833010:1833029|offset_289|444444&amp;v=1832573:1833229&amp;c=444444", "offset 53")</f>
        <v>offset 53</v>
      </c>
    </row>
    <row r="6552" customFormat="false" ht="12.8" hidden="false" customHeight="false" outlineLevel="0" collapsed="false">
      <c r="A6552" s="0" t="s">
        <v>12</v>
      </c>
      <c r="B6552" s="0" t="n">
        <v>1832862</v>
      </c>
      <c r="C6552" s="0" t="n">
        <v>1832882</v>
      </c>
      <c r="D6552" s="0" t="s">
        <v>21911</v>
      </c>
      <c r="E6552" s="0" t="s">
        <v>89</v>
      </c>
      <c r="F6552" s="0" t="s">
        <v>15</v>
      </c>
      <c r="G6552" s="0" t="s">
        <v>32</v>
      </c>
      <c r="H6552" s="0" t="n">
        <v>142</v>
      </c>
      <c r="I6552" s="0" t="s">
        <v>21915</v>
      </c>
      <c r="J6552" s="0" t="s">
        <v>21916</v>
      </c>
      <c r="K6552" s="0" t="s">
        <v>21917</v>
      </c>
      <c r="L6552" s="0" t="str">
        <f aca="false">HYPERLINK("https://www.ncbi.nlm.nih.gov/nuccore/CP000304.1?report=graph&amp;tracks=[key:gene_model_track,Options:GeneOnly]&amp;mk=1832774:1832793|offset_53|444444,1832863:1832882|offset_142|00cc00,1832958:1832977|offset_237|444444,1833010:1833029|offset_289|444444&amp;v=1832573:1833229&amp;c=444444", "offset 142")</f>
        <v>offset 142</v>
      </c>
    </row>
    <row r="6553" customFormat="false" ht="12.8" hidden="false" customHeight="false" outlineLevel="0" collapsed="false">
      <c r="A6553" s="0" t="s">
        <v>12</v>
      </c>
      <c r="B6553" s="0" t="n">
        <v>1832957</v>
      </c>
      <c r="C6553" s="0" t="n">
        <v>1832977</v>
      </c>
      <c r="D6553" s="0" t="s">
        <v>21911</v>
      </c>
      <c r="E6553" s="0" t="s">
        <v>89</v>
      </c>
      <c r="F6553" s="0" t="s">
        <v>15</v>
      </c>
      <c r="G6553" s="0" t="s">
        <v>16</v>
      </c>
      <c r="H6553" s="0" t="n">
        <v>237</v>
      </c>
      <c r="I6553" s="0" t="s">
        <v>21918</v>
      </c>
      <c r="J6553" s="0" t="s">
        <v>21919</v>
      </c>
      <c r="K6553" s="0" t="s">
        <v>21920</v>
      </c>
      <c r="L6553" s="0" t="str">
        <f aca="false">HYPERLINK("https://www.ncbi.nlm.nih.gov/nuccore/CP000304.1?report=graph&amp;tracks=[key:gene_model_track,Options:GeneOnly]&amp;mk=1832774:1832793|offset_53|444444,1832863:1832882|offset_142|444444,1832958:1832977|offset_237|00cc00,1833010:1833029|offset_289|444444&amp;v=1832573:1833229&amp;c=444444", "offset 237")</f>
        <v>offset 237</v>
      </c>
    </row>
    <row r="6554" customFormat="false" ht="12.8" hidden="false" customHeight="false" outlineLevel="0" collapsed="false">
      <c r="A6554" s="0" t="s">
        <v>12</v>
      </c>
      <c r="B6554" s="0" t="n">
        <v>1833009</v>
      </c>
      <c r="C6554" s="0" t="n">
        <v>1833029</v>
      </c>
      <c r="D6554" s="0" t="s">
        <v>21911</v>
      </c>
      <c r="E6554" s="0" t="s">
        <v>89</v>
      </c>
      <c r="F6554" s="0" t="s">
        <v>15</v>
      </c>
      <c r="G6554" s="0" t="s">
        <v>26</v>
      </c>
      <c r="H6554" s="0" t="n">
        <v>289</v>
      </c>
      <c r="I6554" s="0" t="s">
        <v>21921</v>
      </c>
      <c r="J6554" s="0" t="s">
        <v>21922</v>
      </c>
      <c r="K6554" s="0" t="s">
        <v>21923</v>
      </c>
      <c r="L6554" s="0" t="str">
        <f aca="false">HYPERLINK("https://www.ncbi.nlm.nih.gov/nuccore/CP000304.1?report=graph&amp;tracks=[key:gene_model_track,Options:GeneOnly]&amp;mk=1832774:1832793|offset_53|444444,1832863:1832882|offset_142|444444,1832958:1832977|offset_237|444444,1833010:1833029|offset_289|00cc00&amp;v=1832573:1833229&amp;c=444444", "offset 289")</f>
        <v>offset 289</v>
      </c>
    </row>
    <row r="6555" customFormat="false" ht="12.8" hidden="false" customHeight="false" outlineLevel="0" collapsed="false">
      <c r="A6555" s="0" t="s">
        <v>12</v>
      </c>
      <c r="B6555" s="0" t="n">
        <v>1835242</v>
      </c>
      <c r="C6555" s="0" t="n">
        <v>1835262</v>
      </c>
      <c r="D6555" s="0" t="s">
        <v>21924</v>
      </c>
      <c r="E6555" s="0" t="s">
        <v>89</v>
      </c>
      <c r="F6555" s="0" t="s">
        <v>90</v>
      </c>
      <c r="G6555" s="0" t="s">
        <v>32</v>
      </c>
      <c r="H6555" s="0" t="n">
        <v>8</v>
      </c>
      <c r="I6555" s="0" t="s">
        <v>21925</v>
      </c>
      <c r="J6555" s="0" t="s">
        <v>21926</v>
      </c>
      <c r="K6555" s="0" t="s">
        <v>21927</v>
      </c>
      <c r="L6555" s="0" t="str">
        <f aca="false">HYPERLINK("https://www.ncbi.nlm.nih.gov/nuccore/CP000304.1?report=graph&amp;tracks=[key:gene_model_track,Options:GeneOnly]&amp;mk=1835243:1835262|offset_8|00cc00,1835222:1835241|offset_29|444444,1835199:1835218|offset_52|444444,1835171:1835190|offset_80|444444&amp;v=1835042:1835390&amp;c=444444", "offset 8")</f>
        <v>offset 8</v>
      </c>
    </row>
    <row r="6556" customFormat="false" ht="12.8" hidden="false" customHeight="false" outlineLevel="0" collapsed="false">
      <c r="A6556" s="0" t="s">
        <v>12</v>
      </c>
      <c r="B6556" s="0" t="n">
        <v>1835221</v>
      </c>
      <c r="C6556" s="0" t="n">
        <v>1835241</v>
      </c>
      <c r="D6556" s="0" t="s">
        <v>21924</v>
      </c>
      <c r="E6556" s="0" t="s">
        <v>89</v>
      </c>
      <c r="F6556" s="0" t="s">
        <v>90</v>
      </c>
      <c r="G6556" s="0" t="s">
        <v>16</v>
      </c>
      <c r="H6556" s="0" t="n">
        <v>29</v>
      </c>
      <c r="I6556" s="0" t="s">
        <v>21928</v>
      </c>
      <c r="J6556" s="0" t="s">
        <v>21929</v>
      </c>
      <c r="K6556" s="0" t="s">
        <v>21930</v>
      </c>
      <c r="L6556" s="0" t="str">
        <f aca="false">HYPERLINK("https://www.ncbi.nlm.nih.gov/nuccore/CP000304.1?report=graph&amp;tracks=[key:gene_model_track,Options:GeneOnly]&amp;mk=1835243:1835262|offset_8|444444,1835222:1835241|offset_29|00cc00,1835199:1835218|offset_52|444444,1835171:1835190|offset_80|444444&amp;v=1835042:1835390&amp;c=444444", "offset 29")</f>
        <v>offset 29</v>
      </c>
    </row>
    <row r="6557" customFormat="false" ht="12.8" hidden="false" customHeight="false" outlineLevel="0" collapsed="false">
      <c r="A6557" s="0" t="s">
        <v>12</v>
      </c>
      <c r="B6557" s="0" t="n">
        <v>1835198</v>
      </c>
      <c r="C6557" s="0" t="n">
        <v>1835218</v>
      </c>
      <c r="D6557" s="0" t="s">
        <v>21924</v>
      </c>
      <c r="E6557" s="0" t="s">
        <v>89</v>
      </c>
      <c r="F6557" s="0" t="s">
        <v>90</v>
      </c>
      <c r="G6557" s="0" t="s">
        <v>16</v>
      </c>
      <c r="H6557" s="0" t="n">
        <v>52</v>
      </c>
      <c r="I6557" s="0" t="s">
        <v>21931</v>
      </c>
      <c r="J6557" s="0" t="s">
        <v>21932</v>
      </c>
      <c r="K6557" s="0" t="s">
        <v>21933</v>
      </c>
      <c r="L6557" s="0" t="str">
        <f aca="false">HYPERLINK("https://www.ncbi.nlm.nih.gov/nuccore/CP000304.1?report=graph&amp;tracks=[key:gene_model_track,Options:GeneOnly]&amp;mk=1835243:1835262|offset_8|444444,1835222:1835241|offset_29|444444,1835199:1835218|offset_52|00cc00,1835171:1835190|offset_80|444444&amp;v=1835042:1835390&amp;c=444444", "offset 52")</f>
        <v>offset 52</v>
      </c>
    </row>
    <row r="6558" customFormat="false" ht="12.8" hidden="false" customHeight="false" outlineLevel="0" collapsed="false">
      <c r="A6558" s="0" t="s">
        <v>12</v>
      </c>
      <c r="B6558" s="0" t="n">
        <v>1835170</v>
      </c>
      <c r="C6558" s="0" t="n">
        <v>1835190</v>
      </c>
      <c r="D6558" s="0" t="s">
        <v>21924</v>
      </c>
      <c r="E6558" s="0" t="s">
        <v>89</v>
      </c>
      <c r="F6558" s="0" t="s">
        <v>90</v>
      </c>
      <c r="G6558" s="0" t="s">
        <v>26</v>
      </c>
      <c r="H6558" s="0" t="n">
        <v>80</v>
      </c>
      <c r="I6558" s="0" t="s">
        <v>21934</v>
      </c>
      <c r="J6558" s="0" t="s">
        <v>21935</v>
      </c>
      <c r="K6558" s="0" t="s">
        <v>21936</v>
      </c>
      <c r="L6558" s="0" t="str">
        <f aca="false">HYPERLINK("https://www.ncbi.nlm.nih.gov/nuccore/CP000304.1?report=graph&amp;tracks=[key:gene_model_track,Options:GeneOnly]&amp;mk=1835243:1835262|offset_8|444444,1835222:1835241|offset_29|444444,1835199:1835218|offset_52|444444,1835171:1835190|offset_80|00cc00&amp;v=1835042:1835390&amp;c=444444", "offset 80")</f>
        <v>offset 80</v>
      </c>
    </row>
    <row r="6559" customFormat="false" ht="12.8" hidden="false" customHeight="false" outlineLevel="0" collapsed="false">
      <c r="A6559" s="0" t="s">
        <v>12</v>
      </c>
      <c r="B6559" s="0" t="n">
        <v>1836266</v>
      </c>
      <c r="C6559" s="0" t="n">
        <v>1836286</v>
      </c>
      <c r="D6559" s="0" t="s">
        <v>21937</v>
      </c>
      <c r="E6559" s="0" t="s">
        <v>89</v>
      </c>
      <c r="F6559" s="0" t="s">
        <v>90</v>
      </c>
      <c r="G6559" s="0" t="s">
        <v>26</v>
      </c>
      <c r="H6559" s="0" t="n">
        <v>6</v>
      </c>
      <c r="I6559" s="0" t="s">
        <v>21938</v>
      </c>
      <c r="J6559" s="0" t="s">
        <v>21939</v>
      </c>
      <c r="K6559" s="0" t="s">
        <v>21940</v>
      </c>
      <c r="L6559" s="0" t="str">
        <f aca="false">HYPERLINK("https://www.ncbi.nlm.nih.gov/nuccore/CP000304.1?report=graph&amp;tracks=[key:gene_model_track,Options:GeneOnly]&amp;mk=1836267:1836286|offset_6|00cc00,1836244:1836263|offset_29|444444,1836221:1836240|offset_52|444444,1836166:1836185|offset_107|444444&amp;v=1836066:1836385&amp;c=444444", "offset 6")</f>
        <v>offset 6</v>
      </c>
    </row>
    <row r="6560" customFormat="false" ht="12.8" hidden="false" customHeight="false" outlineLevel="0" collapsed="false">
      <c r="A6560" s="0" t="s">
        <v>12</v>
      </c>
      <c r="B6560" s="0" t="n">
        <v>1836243</v>
      </c>
      <c r="C6560" s="0" t="n">
        <v>1836263</v>
      </c>
      <c r="D6560" s="0" t="s">
        <v>21937</v>
      </c>
      <c r="E6560" s="0" t="s">
        <v>89</v>
      </c>
      <c r="F6560" s="0" t="s">
        <v>90</v>
      </c>
      <c r="G6560" s="0" t="s">
        <v>16</v>
      </c>
      <c r="H6560" s="0" t="n">
        <v>29</v>
      </c>
      <c r="I6560" s="0" t="s">
        <v>21941</v>
      </c>
      <c r="J6560" s="0" t="s">
        <v>21942</v>
      </c>
      <c r="K6560" s="0" t="s">
        <v>21943</v>
      </c>
      <c r="L6560" s="0" t="str">
        <f aca="false">HYPERLINK("https://www.ncbi.nlm.nih.gov/nuccore/CP000304.1?report=graph&amp;tracks=[key:gene_model_track,Options:GeneOnly]&amp;mk=1836267:1836286|offset_6|444444,1836244:1836263|offset_29|00cc00,1836221:1836240|offset_52|444444,1836166:1836185|offset_107|444444&amp;v=1836066:1836385&amp;c=444444", "offset 29")</f>
        <v>offset 29</v>
      </c>
    </row>
    <row r="6561" customFormat="false" ht="12.8" hidden="false" customHeight="false" outlineLevel="0" collapsed="false">
      <c r="A6561" s="0" t="s">
        <v>12</v>
      </c>
      <c r="B6561" s="0" t="n">
        <v>1836220</v>
      </c>
      <c r="C6561" s="0" t="n">
        <v>1836240</v>
      </c>
      <c r="D6561" s="0" t="s">
        <v>21937</v>
      </c>
      <c r="E6561" s="0" t="s">
        <v>89</v>
      </c>
      <c r="F6561" s="0" t="s">
        <v>90</v>
      </c>
      <c r="G6561" s="0" t="s">
        <v>32</v>
      </c>
      <c r="H6561" s="0" t="n">
        <v>52</v>
      </c>
      <c r="I6561" s="0" t="s">
        <v>21944</v>
      </c>
      <c r="J6561" s="0" t="s">
        <v>21945</v>
      </c>
      <c r="K6561" s="0" t="s">
        <v>21946</v>
      </c>
      <c r="L6561" s="0" t="str">
        <f aca="false">HYPERLINK("https://www.ncbi.nlm.nih.gov/nuccore/CP000304.1?report=graph&amp;tracks=[key:gene_model_track,Options:GeneOnly]&amp;mk=1836267:1836286|offset_6|444444,1836244:1836263|offset_29|444444,1836221:1836240|offset_52|00cc00,1836166:1836185|offset_107|444444&amp;v=1836066:1836385&amp;c=444444", "offset 52")</f>
        <v>offset 52</v>
      </c>
    </row>
    <row r="6562" customFormat="false" ht="12.8" hidden="false" customHeight="false" outlineLevel="0" collapsed="false">
      <c r="A6562" s="0" t="s">
        <v>12</v>
      </c>
      <c r="B6562" s="0" t="n">
        <v>1836165</v>
      </c>
      <c r="C6562" s="0" t="n">
        <v>1836185</v>
      </c>
      <c r="D6562" s="0" t="s">
        <v>21937</v>
      </c>
      <c r="E6562" s="0" t="s">
        <v>89</v>
      </c>
      <c r="F6562" s="0" t="s">
        <v>90</v>
      </c>
      <c r="G6562" s="0" t="s">
        <v>26</v>
      </c>
      <c r="H6562" s="0" t="n">
        <v>107</v>
      </c>
      <c r="I6562" s="0" t="s">
        <v>21947</v>
      </c>
      <c r="J6562" s="0" t="s">
        <v>21948</v>
      </c>
      <c r="K6562" s="0" t="s">
        <v>21949</v>
      </c>
      <c r="L6562" s="0" t="str">
        <f aca="false">HYPERLINK("https://www.ncbi.nlm.nih.gov/nuccore/CP000304.1?report=graph&amp;tracks=[key:gene_model_track,Options:GeneOnly]&amp;mk=1836267:1836286|offset_6|444444,1836244:1836263|offset_29|444444,1836221:1836240|offset_52|444444,1836166:1836185|offset_107|00cc00&amp;v=1836066:1836385&amp;c=444444", "offset 107")</f>
        <v>offset 107</v>
      </c>
    </row>
    <row r="6563" customFormat="false" ht="12.8" hidden="false" customHeight="false" outlineLevel="0" collapsed="false">
      <c r="A6563" s="0" t="s">
        <v>12</v>
      </c>
      <c r="B6563" s="0" t="n">
        <v>1837300</v>
      </c>
      <c r="C6563" s="0" t="n">
        <v>1837320</v>
      </c>
      <c r="D6563" s="0" t="s">
        <v>21950</v>
      </c>
      <c r="E6563" s="0" t="s">
        <v>89</v>
      </c>
      <c r="F6563" s="0" t="s">
        <v>90</v>
      </c>
      <c r="G6563" s="0" t="s">
        <v>32</v>
      </c>
      <c r="H6563" s="0" t="n">
        <v>42</v>
      </c>
      <c r="I6563" s="0" t="s">
        <v>21951</v>
      </c>
      <c r="J6563" s="0" t="s">
        <v>21952</v>
      </c>
      <c r="K6563" s="0" t="s">
        <v>21953</v>
      </c>
      <c r="L6563" s="0" t="str">
        <f aca="false">HYPERLINK("https://www.ncbi.nlm.nih.gov/nuccore/CP000304.1?report=graph&amp;tracks=[key:gene_model_track,Options:GeneOnly]&amp;mk=1837301:1837320|offset_42|00cc00,1837250:1837269|offset_93|444444,1837228:1837247|offset_115|444444,1837178:1837197|offset_165|444444&amp;v=1837100:1837397&amp;c=444444", "offset 42")</f>
        <v>offset 42</v>
      </c>
    </row>
    <row r="6564" customFormat="false" ht="12.8" hidden="false" customHeight="false" outlineLevel="0" collapsed="false">
      <c r="A6564" s="0" t="s">
        <v>12</v>
      </c>
      <c r="B6564" s="0" t="n">
        <v>1837249</v>
      </c>
      <c r="C6564" s="0" t="n">
        <v>1837269</v>
      </c>
      <c r="D6564" s="0" t="s">
        <v>21950</v>
      </c>
      <c r="E6564" s="0" t="s">
        <v>89</v>
      </c>
      <c r="F6564" s="0" t="s">
        <v>90</v>
      </c>
      <c r="G6564" s="0" t="s">
        <v>36</v>
      </c>
      <c r="H6564" s="0" t="n">
        <v>93</v>
      </c>
      <c r="I6564" s="0" t="s">
        <v>21954</v>
      </c>
      <c r="J6564" s="0" t="s">
        <v>21955</v>
      </c>
      <c r="K6564" s="0" t="s">
        <v>21956</v>
      </c>
      <c r="L6564" s="0" t="str">
        <f aca="false">HYPERLINK("https://www.ncbi.nlm.nih.gov/nuccore/CP000304.1?report=graph&amp;tracks=[key:gene_model_track,Options:GeneOnly]&amp;mk=1837301:1837320|offset_42|444444,1837250:1837269|offset_93|00cc00,1837228:1837247|offset_115|444444,1837178:1837197|offset_165|444444&amp;v=1837100:1837397&amp;c=444444", "offset 93")</f>
        <v>offset 93</v>
      </c>
    </row>
    <row r="6565" customFormat="false" ht="12.8" hidden="false" customHeight="false" outlineLevel="0" collapsed="false">
      <c r="A6565" s="0" t="s">
        <v>12</v>
      </c>
      <c r="B6565" s="0" t="n">
        <v>1837227</v>
      </c>
      <c r="C6565" s="0" t="n">
        <v>1837247</v>
      </c>
      <c r="D6565" s="0" t="s">
        <v>21950</v>
      </c>
      <c r="E6565" s="0" t="s">
        <v>89</v>
      </c>
      <c r="F6565" s="0" t="s">
        <v>90</v>
      </c>
      <c r="G6565" s="0" t="s">
        <v>32</v>
      </c>
      <c r="H6565" s="0" t="n">
        <v>115</v>
      </c>
      <c r="I6565" s="0" t="s">
        <v>21957</v>
      </c>
      <c r="J6565" s="0" t="s">
        <v>21958</v>
      </c>
      <c r="K6565" s="0" t="s">
        <v>21959</v>
      </c>
      <c r="L6565" s="0" t="str">
        <f aca="false">HYPERLINK("https://www.ncbi.nlm.nih.gov/nuccore/CP000304.1?report=graph&amp;tracks=[key:gene_model_track,Options:GeneOnly]&amp;mk=1837301:1837320|offset_42|444444,1837250:1837269|offset_93|444444,1837228:1837247|offset_115|00cc00,1837178:1837197|offset_165|444444&amp;v=1837100:1837397&amp;c=444444", "offset 115")</f>
        <v>offset 115</v>
      </c>
    </row>
    <row r="6566" customFormat="false" ht="12.8" hidden="false" customHeight="false" outlineLevel="0" collapsed="false">
      <c r="A6566" s="0" t="s">
        <v>12</v>
      </c>
      <c r="B6566" s="0" t="n">
        <v>1837177</v>
      </c>
      <c r="C6566" s="0" t="n">
        <v>1837197</v>
      </c>
      <c r="D6566" s="0" t="s">
        <v>21950</v>
      </c>
      <c r="E6566" s="0" t="s">
        <v>89</v>
      </c>
      <c r="F6566" s="0" t="s">
        <v>90</v>
      </c>
      <c r="G6566" s="0" t="s">
        <v>26</v>
      </c>
      <c r="H6566" s="0" t="n">
        <v>165</v>
      </c>
      <c r="I6566" s="0" t="s">
        <v>21960</v>
      </c>
      <c r="J6566" s="0" t="s">
        <v>21961</v>
      </c>
      <c r="K6566" s="0" t="s">
        <v>21962</v>
      </c>
      <c r="L6566" s="0" t="str">
        <f aca="false">HYPERLINK("https://www.ncbi.nlm.nih.gov/nuccore/CP000304.1?report=graph&amp;tracks=[key:gene_model_track,Options:GeneOnly]&amp;mk=1837301:1837320|offset_42|444444,1837250:1837269|offset_93|444444,1837228:1837247|offset_115|444444,1837178:1837197|offset_165|00cc00&amp;v=1837100:1837397&amp;c=444444", "offset 165")</f>
        <v>offset 165</v>
      </c>
    </row>
    <row r="6567" customFormat="false" ht="12.8" hidden="false" customHeight="false" outlineLevel="0" collapsed="false">
      <c r="A6567" s="0" t="s">
        <v>12</v>
      </c>
      <c r="B6567" s="0" t="n">
        <v>1839324</v>
      </c>
      <c r="C6567" s="0" t="n">
        <v>1839344</v>
      </c>
      <c r="D6567" s="0" t="s">
        <v>21963</v>
      </c>
      <c r="E6567" s="0" t="s">
        <v>89</v>
      </c>
      <c r="F6567" s="0" t="s">
        <v>90</v>
      </c>
      <c r="G6567" s="0" t="s">
        <v>32</v>
      </c>
      <c r="H6567" s="0" t="n">
        <v>69</v>
      </c>
      <c r="I6567" s="0" t="s">
        <v>21964</v>
      </c>
      <c r="J6567" s="0" t="s">
        <v>21965</v>
      </c>
      <c r="K6567" s="0" t="s">
        <v>21966</v>
      </c>
      <c r="L6567" s="0" t="str">
        <f aca="false">HYPERLINK("https://www.ncbi.nlm.nih.gov/nuccore/CP000304.1?report=graph&amp;tracks=[key:gene_model_track,Options:GeneOnly]&amp;mk=1839325:1839344|offset_69|00cc00,1839297:1839316|offset_97|444444,1839264:1839283|offset_130|444444,1839232:1839251|offset_162|444444&amp;v=1839124:1839451&amp;c=444444", "offset 69")</f>
        <v>offset 69</v>
      </c>
    </row>
    <row r="6568" customFormat="false" ht="12.8" hidden="false" customHeight="false" outlineLevel="0" collapsed="false">
      <c r="A6568" s="0" t="s">
        <v>12</v>
      </c>
      <c r="B6568" s="0" t="n">
        <v>1839296</v>
      </c>
      <c r="C6568" s="0" t="n">
        <v>1839316</v>
      </c>
      <c r="D6568" s="0" t="s">
        <v>21963</v>
      </c>
      <c r="E6568" s="0" t="s">
        <v>89</v>
      </c>
      <c r="F6568" s="0" t="s">
        <v>90</v>
      </c>
      <c r="G6568" s="0" t="s">
        <v>16</v>
      </c>
      <c r="H6568" s="0" t="n">
        <v>97</v>
      </c>
      <c r="I6568" s="0" t="s">
        <v>21967</v>
      </c>
      <c r="J6568" s="0" t="s">
        <v>21968</v>
      </c>
      <c r="K6568" s="0" t="s">
        <v>21969</v>
      </c>
      <c r="L6568" s="0" t="str">
        <f aca="false">HYPERLINK("https://www.ncbi.nlm.nih.gov/nuccore/CP000304.1?report=graph&amp;tracks=[key:gene_model_track,Options:GeneOnly]&amp;mk=1839325:1839344|offset_69|444444,1839297:1839316|offset_97|00cc00,1839264:1839283|offset_130|444444,1839232:1839251|offset_162|444444&amp;v=1839124:1839451&amp;c=444444", "offset 97")</f>
        <v>offset 97</v>
      </c>
    </row>
    <row r="6569" customFormat="false" ht="12.8" hidden="false" customHeight="false" outlineLevel="0" collapsed="false">
      <c r="A6569" s="0" t="s">
        <v>12</v>
      </c>
      <c r="B6569" s="0" t="n">
        <v>1839263</v>
      </c>
      <c r="C6569" s="0" t="n">
        <v>1839283</v>
      </c>
      <c r="D6569" s="0" t="s">
        <v>21963</v>
      </c>
      <c r="E6569" s="0" t="s">
        <v>89</v>
      </c>
      <c r="F6569" s="0" t="s">
        <v>90</v>
      </c>
      <c r="G6569" s="0" t="s">
        <v>16</v>
      </c>
      <c r="H6569" s="0" t="n">
        <v>130</v>
      </c>
      <c r="I6569" s="0" t="s">
        <v>21970</v>
      </c>
      <c r="J6569" s="0" t="s">
        <v>21971</v>
      </c>
      <c r="K6569" s="0" t="s">
        <v>21972</v>
      </c>
      <c r="L6569" s="0" t="str">
        <f aca="false">HYPERLINK("https://www.ncbi.nlm.nih.gov/nuccore/CP000304.1?report=graph&amp;tracks=[key:gene_model_track,Options:GeneOnly]&amp;mk=1839325:1839344|offset_69|444444,1839297:1839316|offset_97|444444,1839264:1839283|offset_130|00cc00,1839232:1839251|offset_162|444444&amp;v=1839124:1839451&amp;c=444444", "offset 130")</f>
        <v>offset 130</v>
      </c>
    </row>
    <row r="6570" customFormat="false" ht="12.8" hidden="false" customHeight="false" outlineLevel="0" collapsed="false">
      <c r="A6570" s="0" t="s">
        <v>12</v>
      </c>
      <c r="B6570" s="0" t="n">
        <v>1839231</v>
      </c>
      <c r="C6570" s="0" t="n">
        <v>1839251</v>
      </c>
      <c r="D6570" s="0" t="s">
        <v>21963</v>
      </c>
      <c r="E6570" s="0" t="s">
        <v>89</v>
      </c>
      <c r="F6570" s="0" t="s">
        <v>90</v>
      </c>
      <c r="G6570" s="0" t="s">
        <v>36</v>
      </c>
      <c r="H6570" s="0" t="n">
        <v>162</v>
      </c>
      <c r="I6570" s="0" t="s">
        <v>21973</v>
      </c>
      <c r="J6570" s="0" t="s">
        <v>21974</v>
      </c>
      <c r="K6570" s="0" t="s">
        <v>21975</v>
      </c>
      <c r="L6570" s="0" t="str">
        <f aca="false">HYPERLINK("https://www.ncbi.nlm.nih.gov/nuccore/CP000304.1?report=graph&amp;tracks=[key:gene_model_track,Options:GeneOnly]&amp;mk=1839325:1839344|offset_69|444444,1839297:1839316|offset_97|444444,1839264:1839283|offset_130|444444,1839232:1839251|offset_162|00cc00&amp;v=1839124:1839451&amp;c=444444", "offset 162")</f>
        <v>offset 162</v>
      </c>
    </row>
    <row r="6571" customFormat="false" ht="12.8" hidden="false" customHeight="false" outlineLevel="0" collapsed="false">
      <c r="A6571" s="0" t="s">
        <v>12</v>
      </c>
      <c r="B6571" s="0" t="n">
        <v>1842014</v>
      </c>
      <c r="C6571" s="0" t="n">
        <v>1842034</v>
      </c>
      <c r="D6571" s="0" t="s">
        <v>21976</v>
      </c>
      <c r="E6571" s="0" t="s">
        <v>89</v>
      </c>
      <c r="F6571" s="0" t="s">
        <v>90</v>
      </c>
      <c r="G6571" s="0" t="s">
        <v>16</v>
      </c>
      <c r="H6571" s="0" t="n">
        <v>14</v>
      </c>
      <c r="I6571" s="0" t="s">
        <v>21977</v>
      </c>
      <c r="J6571" s="0" t="s">
        <v>21978</v>
      </c>
      <c r="K6571" s="0" t="s">
        <v>21979</v>
      </c>
      <c r="L6571" s="0" t="str">
        <f aca="false">HYPERLINK("https://www.ncbi.nlm.nih.gov/nuccore/CP000304.1?report=graph&amp;tracks=[key:gene_model_track,Options:GeneOnly]&amp;mk=1842015:1842034|offset_14|00cc00,1841995:1842014|offset_34|444444,1841974:1841993|offset_55|444444,1841930:1841949|offset_99|444444&amp;v=1841814:1842149&amp;c=444444", "offset 14")</f>
        <v>offset 14</v>
      </c>
    </row>
    <row r="6572" customFormat="false" ht="12.8" hidden="false" customHeight="false" outlineLevel="0" collapsed="false">
      <c r="A6572" s="0" t="s">
        <v>12</v>
      </c>
      <c r="B6572" s="0" t="n">
        <v>1841994</v>
      </c>
      <c r="C6572" s="0" t="n">
        <v>1842014</v>
      </c>
      <c r="D6572" s="0" t="s">
        <v>21976</v>
      </c>
      <c r="E6572" s="0" t="s">
        <v>89</v>
      </c>
      <c r="F6572" s="0" t="s">
        <v>90</v>
      </c>
      <c r="G6572" s="0" t="s">
        <v>36</v>
      </c>
      <c r="H6572" s="0" t="n">
        <v>34</v>
      </c>
      <c r="I6572" s="0" t="s">
        <v>21980</v>
      </c>
      <c r="J6572" s="0" t="s">
        <v>21981</v>
      </c>
      <c r="K6572" s="0" t="s">
        <v>21982</v>
      </c>
      <c r="L6572" s="0" t="str">
        <f aca="false">HYPERLINK("https://www.ncbi.nlm.nih.gov/nuccore/CP000304.1?report=graph&amp;tracks=[key:gene_model_track,Options:GeneOnly]&amp;mk=1842015:1842034|offset_14|444444,1841995:1842014|offset_34|00cc00,1841974:1841993|offset_55|444444,1841930:1841949|offset_99|444444&amp;v=1841814:1842149&amp;c=444444", "offset 34")</f>
        <v>offset 34</v>
      </c>
    </row>
    <row r="6573" customFormat="false" ht="12.8" hidden="false" customHeight="false" outlineLevel="0" collapsed="false">
      <c r="A6573" s="0" t="s">
        <v>12</v>
      </c>
      <c r="B6573" s="0" t="n">
        <v>1841973</v>
      </c>
      <c r="C6573" s="0" t="n">
        <v>1841993</v>
      </c>
      <c r="D6573" s="0" t="s">
        <v>21976</v>
      </c>
      <c r="E6573" s="0" t="s">
        <v>89</v>
      </c>
      <c r="F6573" s="0" t="s">
        <v>90</v>
      </c>
      <c r="G6573" s="0" t="s">
        <v>36</v>
      </c>
      <c r="H6573" s="0" t="n">
        <v>55</v>
      </c>
      <c r="I6573" s="0" t="s">
        <v>21983</v>
      </c>
      <c r="J6573" s="0" t="s">
        <v>21984</v>
      </c>
      <c r="K6573" s="0" t="s">
        <v>21985</v>
      </c>
      <c r="L6573" s="0" t="str">
        <f aca="false">HYPERLINK("https://www.ncbi.nlm.nih.gov/nuccore/CP000304.1?report=graph&amp;tracks=[key:gene_model_track,Options:GeneOnly]&amp;mk=1842015:1842034|offset_14|444444,1841995:1842014|offset_34|444444,1841974:1841993|offset_55|00cc00,1841930:1841949|offset_99|444444&amp;v=1841814:1842149&amp;c=444444", "offset 55")</f>
        <v>offset 55</v>
      </c>
    </row>
    <row r="6574" customFormat="false" ht="12.8" hidden="false" customHeight="false" outlineLevel="0" collapsed="false">
      <c r="A6574" s="0" t="s">
        <v>12</v>
      </c>
      <c r="B6574" s="0" t="n">
        <v>1841929</v>
      </c>
      <c r="C6574" s="0" t="n">
        <v>1841949</v>
      </c>
      <c r="D6574" s="0" t="s">
        <v>21976</v>
      </c>
      <c r="E6574" s="0" t="s">
        <v>89</v>
      </c>
      <c r="F6574" s="0" t="s">
        <v>90</v>
      </c>
      <c r="G6574" s="0" t="s">
        <v>26</v>
      </c>
      <c r="H6574" s="0" t="n">
        <v>99</v>
      </c>
      <c r="I6574" s="0" t="s">
        <v>21986</v>
      </c>
      <c r="J6574" s="0" t="s">
        <v>21987</v>
      </c>
      <c r="K6574" s="0" t="s">
        <v>21988</v>
      </c>
      <c r="L6574" s="0" t="str">
        <f aca="false">HYPERLINK("https://www.ncbi.nlm.nih.gov/nuccore/CP000304.1?report=graph&amp;tracks=[key:gene_model_track,Options:GeneOnly]&amp;mk=1842015:1842034|offset_14|444444,1841995:1842014|offset_34|444444,1841974:1841993|offset_55|444444,1841930:1841949|offset_99|00cc00&amp;v=1841814:1842149&amp;c=444444", "offset 99")</f>
        <v>offset 99</v>
      </c>
    </row>
    <row r="6575" customFormat="false" ht="12.8" hidden="false" customHeight="false" outlineLevel="0" collapsed="false">
      <c r="A6575" s="0" t="s">
        <v>12</v>
      </c>
      <c r="B6575" s="0" t="n">
        <v>1842571</v>
      </c>
      <c r="C6575" s="0" t="n">
        <v>1842591</v>
      </c>
      <c r="D6575" s="0" t="s">
        <v>21989</v>
      </c>
      <c r="E6575" s="0" t="s">
        <v>21990</v>
      </c>
      <c r="F6575" s="0" t="s">
        <v>90</v>
      </c>
      <c r="G6575" s="0" t="s">
        <v>26</v>
      </c>
      <c r="H6575" s="0" t="n">
        <v>7</v>
      </c>
      <c r="I6575" s="0" t="s">
        <v>21991</v>
      </c>
      <c r="J6575" s="0" t="s">
        <v>21992</v>
      </c>
      <c r="K6575" s="0" t="s">
        <v>21993</v>
      </c>
      <c r="L6575" s="0" t="str">
        <f aca="false">HYPERLINK("https://www.ncbi.nlm.nih.gov/nuccore/CP000304.1?report=graph&amp;tracks=[key:gene_model_track,Options:GeneOnly]&amp;mk=1842572:1842591|offset_7|00cc00,1842544:1842563|offset_35|444444,1842524:1842543|offset_55|444444,1842476:1842495|offset_103|444444&amp;v=1842371:1842695&amp;c=444444", "offset 7")</f>
        <v>offset 7</v>
      </c>
    </row>
    <row r="6576" customFormat="false" ht="12.8" hidden="false" customHeight="false" outlineLevel="0" collapsed="false">
      <c r="A6576" s="0" t="s">
        <v>12</v>
      </c>
      <c r="B6576" s="0" t="n">
        <v>1842543</v>
      </c>
      <c r="C6576" s="0" t="n">
        <v>1842563</v>
      </c>
      <c r="D6576" s="0" t="s">
        <v>21989</v>
      </c>
      <c r="E6576" s="0" t="s">
        <v>21990</v>
      </c>
      <c r="F6576" s="0" t="s">
        <v>90</v>
      </c>
      <c r="G6576" s="0" t="s">
        <v>26</v>
      </c>
      <c r="H6576" s="0" t="n">
        <v>35</v>
      </c>
      <c r="I6576" s="0" t="s">
        <v>21994</v>
      </c>
      <c r="J6576" s="0" t="s">
        <v>21995</v>
      </c>
      <c r="K6576" s="0" t="s">
        <v>21996</v>
      </c>
      <c r="L6576" s="0" t="str">
        <f aca="false">HYPERLINK("https://www.ncbi.nlm.nih.gov/nuccore/CP000304.1?report=graph&amp;tracks=[key:gene_model_track,Options:GeneOnly]&amp;mk=1842572:1842591|offset_7|444444,1842544:1842563|offset_35|00cc00,1842524:1842543|offset_55|444444,1842476:1842495|offset_103|444444&amp;v=1842371:1842695&amp;c=444444", "offset 35")</f>
        <v>offset 35</v>
      </c>
    </row>
    <row r="6577" customFormat="false" ht="12.8" hidden="false" customHeight="false" outlineLevel="0" collapsed="false">
      <c r="A6577" s="0" t="s">
        <v>12</v>
      </c>
      <c r="B6577" s="0" t="n">
        <v>1842523</v>
      </c>
      <c r="C6577" s="0" t="n">
        <v>1842543</v>
      </c>
      <c r="D6577" s="0" t="s">
        <v>21989</v>
      </c>
      <c r="E6577" s="0" t="s">
        <v>21990</v>
      </c>
      <c r="F6577" s="0" t="s">
        <v>90</v>
      </c>
      <c r="G6577" s="0" t="s">
        <v>36</v>
      </c>
      <c r="H6577" s="0" t="n">
        <v>55</v>
      </c>
      <c r="I6577" s="0" t="s">
        <v>21997</v>
      </c>
      <c r="J6577" s="0" t="s">
        <v>21998</v>
      </c>
      <c r="K6577" s="0" t="s">
        <v>21999</v>
      </c>
      <c r="L6577" s="0" t="str">
        <f aca="false">HYPERLINK("https://www.ncbi.nlm.nih.gov/nuccore/CP000304.1?report=graph&amp;tracks=[key:gene_model_track,Options:GeneOnly]&amp;mk=1842572:1842591|offset_7|444444,1842544:1842563|offset_35|444444,1842524:1842543|offset_55|00cc00,1842476:1842495|offset_103|444444&amp;v=1842371:1842695&amp;c=444444", "offset 55")</f>
        <v>offset 55</v>
      </c>
    </row>
    <row r="6578" customFormat="false" ht="12.8" hidden="false" customHeight="false" outlineLevel="0" collapsed="false">
      <c r="A6578" s="0" t="s">
        <v>12</v>
      </c>
      <c r="B6578" s="0" t="n">
        <v>1842475</v>
      </c>
      <c r="C6578" s="0" t="n">
        <v>1842495</v>
      </c>
      <c r="D6578" s="0" t="s">
        <v>21989</v>
      </c>
      <c r="E6578" s="0" t="s">
        <v>21990</v>
      </c>
      <c r="F6578" s="0" t="s">
        <v>90</v>
      </c>
      <c r="G6578" s="0" t="s">
        <v>32</v>
      </c>
      <c r="H6578" s="0" t="n">
        <v>103</v>
      </c>
      <c r="I6578" s="0" t="s">
        <v>22000</v>
      </c>
      <c r="J6578" s="0" t="s">
        <v>22001</v>
      </c>
      <c r="K6578" s="0" t="s">
        <v>22002</v>
      </c>
      <c r="L6578" s="0" t="str">
        <f aca="false">HYPERLINK("https://www.ncbi.nlm.nih.gov/nuccore/CP000304.1?report=graph&amp;tracks=[key:gene_model_track,Options:GeneOnly]&amp;mk=1842572:1842591|offset_7|444444,1842544:1842563|offset_35|444444,1842524:1842543|offset_55|444444,1842476:1842495|offset_103|00cc00&amp;v=1842371:1842695&amp;c=444444", "offset 103")</f>
        <v>offset 103</v>
      </c>
    </row>
    <row r="6579" customFormat="false" ht="12.8" hidden="false" customHeight="false" outlineLevel="0" collapsed="false">
      <c r="A6579" s="0" t="s">
        <v>12</v>
      </c>
      <c r="B6579" s="0" t="n">
        <v>1843184</v>
      </c>
      <c r="C6579" s="0" t="n">
        <v>1843204</v>
      </c>
      <c r="D6579" s="0" t="s">
        <v>22003</v>
      </c>
      <c r="E6579" s="0" t="s">
        <v>22004</v>
      </c>
      <c r="F6579" s="0" t="s">
        <v>90</v>
      </c>
      <c r="G6579" s="0" t="s">
        <v>36</v>
      </c>
      <c r="H6579" s="0" t="n">
        <v>16</v>
      </c>
      <c r="I6579" s="0" t="s">
        <v>22005</v>
      </c>
      <c r="J6579" s="0" t="s">
        <v>22006</v>
      </c>
      <c r="K6579" s="0" t="s">
        <v>22007</v>
      </c>
      <c r="L6579" s="0" t="str">
        <f aca="false">HYPERLINK("https://www.ncbi.nlm.nih.gov/nuccore/CP000304.1?report=graph&amp;tracks=[key:gene_model_track,Options:GeneOnly]&amp;mk=1843185:1843204|offset_16|00cc00,1843163:1843182|offset_38|444444,1843126:1843145|offset_75|444444,1843088:1843107|offset_113|444444&amp;v=1842984:1843307&amp;c=444444", "offset 16")</f>
        <v>offset 16</v>
      </c>
    </row>
    <row r="6580" customFormat="false" ht="12.8" hidden="false" customHeight="false" outlineLevel="0" collapsed="false">
      <c r="A6580" s="0" t="s">
        <v>12</v>
      </c>
      <c r="B6580" s="0" t="n">
        <v>1843162</v>
      </c>
      <c r="C6580" s="0" t="n">
        <v>1843182</v>
      </c>
      <c r="D6580" s="0" t="s">
        <v>22003</v>
      </c>
      <c r="E6580" s="0" t="s">
        <v>22004</v>
      </c>
      <c r="F6580" s="0" t="s">
        <v>90</v>
      </c>
      <c r="G6580" s="0" t="s">
        <v>32</v>
      </c>
      <c r="H6580" s="0" t="n">
        <v>38</v>
      </c>
      <c r="I6580" s="0" t="s">
        <v>22008</v>
      </c>
      <c r="J6580" s="0" t="s">
        <v>22009</v>
      </c>
      <c r="K6580" s="0" t="s">
        <v>22010</v>
      </c>
      <c r="L6580" s="0" t="str">
        <f aca="false">HYPERLINK("https://www.ncbi.nlm.nih.gov/nuccore/CP000304.1?report=graph&amp;tracks=[key:gene_model_track,Options:GeneOnly]&amp;mk=1843185:1843204|offset_16|444444,1843163:1843182|offset_38|00cc00,1843126:1843145|offset_75|444444,1843088:1843107|offset_113|444444&amp;v=1842984:1843307&amp;c=444444", "offset 38")</f>
        <v>offset 38</v>
      </c>
    </row>
    <row r="6581" customFormat="false" ht="12.8" hidden="false" customHeight="false" outlineLevel="0" collapsed="false">
      <c r="A6581" s="0" t="s">
        <v>12</v>
      </c>
      <c r="B6581" s="0" t="n">
        <v>1843125</v>
      </c>
      <c r="C6581" s="0" t="n">
        <v>1843145</v>
      </c>
      <c r="D6581" s="0" t="s">
        <v>22003</v>
      </c>
      <c r="E6581" s="0" t="s">
        <v>22004</v>
      </c>
      <c r="F6581" s="0" t="s">
        <v>90</v>
      </c>
      <c r="G6581" s="0" t="s">
        <v>16</v>
      </c>
      <c r="H6581" s="0" t="n">
        <v>75</v>
      </c>
      <c r="I6581" s="0" t="s">
        <v>22011</v>
      </c>
      <c r="J6581" s="0" t="s">
        <v>22012</v>
      </c>
      <c r="K6581" s="0" t="s">
        <v>22013</v>
      </c>
      <c r="L6581" s="0" t="str">
        <f aca="false">HYPERLINK("https://www.ncbi.nlm.nih.gov/nuccore/CP000304.1?report=graph&amp;tracks=[key:gene_model_track,Options:GeneOnly]&amp;mk=1843185:1843204|offset_16|444444,1843163:1843182|offset_38|444444,1843126:1843145|offset_75|00cc00,1843088:1843107|offset_113|444444&amp;v=1842984:1843307&amp;c=444444", "offset 75")</f>
        <v>offset 75</v>
      </c>
    </row>
    <row r="6582" customFormat="false" ht="12.8" hidden="false" customHeight="false" outlineLevel="0" collapsed="false">
      <c r="A6582" s="0" t="s">
        <v>12</v>
      </c>
      <c r="B6582" s="0" t="n">
        <v>1843087</v>
      </c>
      <c r="C6582" s="0" t="n">
        <v>1843107</v>
      </c>
      <c r="D6582" s="0" t="s">
        <v>22003</v>
      </c>
      <c r="E6582" s="0" t="s">
        <v>22004</v>
      </c>
      <c r="F6582" s="0" t="s">
        <v>90</v>
      </c>
      <c r="G6582" s="0" t="s">
        <v>36</v>
      </c>
      <c r="H6582" s="0" t="n">
        <v>113</v>
      </c>
      <c r="I6582" s="0" t="s">
        <v>22014</v>
      </c>
      <c r="J6582" s="0" t="s">
        <v>22015</v>
      </c>
      <c r="K6582" s="0" t="s">
        <v>22016</v>
      </c>
      <c r="L6582" s="0" t="str">
        <f aca="false">HYPERLINK("https://www.ncbi.nlm.nih.gov/nuccore/CP000304.1?report=graph&amp;tracks=[key:gene_model_track,Options:GeneOnly]&amp;mk=1843185:1843204|offset_16|444444,1843163:1843182|offset_38|444444,1843126:1843145|offset_75|444444,1843088:1843107|offset_113|00cc00&amp;v=1842984:1843307&amp;c=444444", "offset 113")</f>
        <v>offset 113</v>
      </c>
    </row>
    <row r="6583" customFormat="false" ht="12.8" hidden="false" customHeight="false" outlineLevel="0" collapsed="false">
      <c r="A6583" s="0" t="s">
        <v>12</v>
      </c>
      <c r="B6583" s="0" t="n">
        <v>1844153</v>
      </c>
      <c r="C6583" s="0" t="n">
        <v>1844173</v>
      </c>
      <c r="D6583" s="0" t="s">
        <v>22017</v>
      </c>
      <c r="E6583" s="0" t="s">
        <v>89</v>
      </c>
      <c r="F6583" s="0" t="s">
        <v>90</v>
      </c>
      <c r="G6583" s="0" t="s">
        <v>26</v>
      </c>
      <c r="H6583" s="0" t="n">
        <v>26</v>
      </c>
      <c r="I6583" s="0" t="s">
        <v>22018</v>
      </c>
      <c r="J6583" s="0" t="s">
        <v>22019</v>
      </c>
      <c r="K6583" s="0" t="s">
        <v>22020</v>
      </c>
      <c r="L6583" s="0" t="str">
        <f aca="false">HYPERLINK("https://www.ncbi.nlm.nih.gov/nuccore/CP000304.1?report=graph&amp;tracks=[key:gene_model_track,Options:GeneOnly]&amp;mk=1844154:1844173|offset_26|00cc00,1844128:1844147|offset_52|444444,1844081:1844100|offset_99|444444,1844025:1844044|offset_155|444444&amp;v=1843953:1844244&amp;c=444444", "offset 26")</f>
        <v>offset 26</v>
      </c>
    </row>
    <row r="6584" customFormat="false" ht="12.8" hidden="false" customHeight="false" outlineLevel="0" collapsed="false">
      <c r="A6584" s="0" t="s">
        <v>12</v>
      </c>
      <c r="B6584" s="0" t="n">
        <v>1844127</v>
      </c>
      <c r="C6584" s="0" t="n">
        <v>1844147</v>
      </c>
      <c r="D6584" s="0" t="s">
        <v>22017</v>
      </c>
      <c r="E6584" s="0" t="s">
        <v>89</v>
      </c>
      <c r="F6584" s="0" t="s">
        <v>90</v>
      </c>
      <c r="G6584" s="0" t="s">
        <v>26</v>
      </c>
      <c r="H6584" s="0" t="n">
        <v>52</v>
      </c>
      <c r="I6584" s="0" t="s">
        <v>22021</v>
      </c>
      <c r="J6584" s="0" t="s">
        <v>22022</v>
      </c>
      <c r="K6584" s="0" t="s">
        <v>22023</v>
      </c>
      <c r="L6584" s="0" t="str">
        <f aca="false">HYPERLINK("https://www.ncbi.nlm.nih.gov/nuccore/CP000304.1?report=graph&amp;tracks=[key:gene_model_track,Options:GeneOnly]&amp;mk=1844154:1844173|offset_26|444444,1844128:1844147|offset_52|00cc00,1844081:1844100|offset_99|444444,1844025:1844044|offset_155|444444&amp;v=1843953:1844244&amp;c=444444", "offset 52")</f>
        <v>offset 52</v>
      </c>
    </row>
    <row r="6585" customFormat="false" ht="12.8" hidden="false" customHeight="false" outlineLevel="0" collapsed="false">
      <c r="A6585" s="0" t="s">
        <v>12</v>
      </c>
      <c r="B6585" s="0" t="n">
        <v>1844080</v>
      </c>
      <c r="C6585" s="0" t="n">
        <v>1844100</v>
      </c>
      <c r="D6585" s="0" t="s">
        <v>22017</v>
      </c>
      <c r="E6585" s="0" t="s">
        <v>89</v>
      </c>
      <c r="F6585" s="0" t="s">
        <v>90</v>
      </c>
      <c r="G6585" s="0" t="s">
        <v>16</v>
      </c>
      <c r="H6585" s="0" t="n">
        <v>99</v>
      </c>
      <c r="I6585" s="0" t="s">
        <v>22024</v>
      </c>
      <c r="J6585" s="0" t="s">
        <v>22025</v>
      </c>
      <c r="K6585" s="0" t="s">
        <v>22026</v>
      </c>
      <c r="L6585" s="0" t="str">
        <f aca="false">HYPERLINK("https://www.ncbi.nlm.nih.gov/nuccore/CP000304.1?report=graph&amp;tracks=[key:gene_model_track,Options:GeneOnly]&amp;mk=1844154:1844173|offset_26|444444,1844128:1844147|offset_52|444444,1844081:1844100|offset_99|00cc00,1844025:1844044|offset_155|444444&amp;v=1843953:1844244&amp;c=444444", "offset 99")</f>
        <v>offset 99</v>
      </c>
    </row>
    <row r="6586" customFormat="false" ht="12.8" hidden="false" customHeight="false" outlineLevel="0" collapsed="false">
      <c r="A6586" s="0" t="s">
        <v>12</v>
      </c>
      <c r="B6586" s="0" t="n">
        <v>1844024</v>
      </c>
      <c r="C6586" s="0" t="n">
        <v>1844044</v>
      </c>
      <c r="D6586" s="0" t="s">
        <v>22017</v>
      </c>
      <c r="E6586" s="0" t="s">
        <v>89</v>
      </c>
      <c r="F6586" s="0" t="s">
        <v>90</v>
      </c>
      <c r="G6586" s="0" t="s">
        <v>32</v>
      </c>
      <c r="H6586" s="0" t="n">
        <v>155</v>
      </c>
      <c r="I6586" s="0" t="s">
        <v>22027</v>
      </c>
      <c r="J6586" s="0" t="s">
        <v>22028</v>
      </c>
      <c r="K6586" s="0" t="s">
        <v>22029</v>
      </c>
      <c r="L6586" s="0" t="str">
        <f aca="false">HYPERLINK("https://www.ncbi.nlm.nih.gov/nuccore/CP000304.1?report=graph&amp;tracks=[key:gene_model_track,Options:GeneOnly]&amp;mk=1844154:1844173|offset_26|444444,1844128:1844147|offset_52|444444,1844081:1844100|offset_99|444444,1844025:1844044|offset_155|00cc00&amp;v=1843953:1844244&amp;c=444444", "offset 155")</f>
        <v>offset 155</v>
      </c>
    </row>
    <row r="6587" customFormat="false" ht="12.8" hidden="false" customHeight="false" outlineLevel="0" collapsed="false">
      <c r="A6587" s="0" t="s">
        <v>12</v>
      </c>
      <c r="B6587" s="0" t="n">
        <v>1846099</v>
      </c>
      <c r="C6587" s="0" t="n">
        <v>1846119</v>
      </c>
      <c r="D6587" s="0" t="s">
        <v>22030</v>
      </c>
      <c r="E6587" s="0" t="s">
        <v>89</v>
      </c>
      <c r="F6587" s="0" t="s">
        <v>90</v>
      </c>
      <c r="G6587" s="0" t="s">
        <v>32</v>
      </c>
      <c r="H6587" s="0" t="n">
        <v>22</v>
      </c>
      <c r="I6587" s="0" t="s">
        <v>22031</v>
      </c>
      <c r="J6587" s="0" t="s">
        <v>22032</v>
      </c>
      <c r="K6587" s="0" t="s">
        <v>22033</v>
      </c>
      <c r="L6587" s="0" t="str">
        <f aca="false">HYPERLINK("https://www.ncbi.nlm.nih.gov/nuccore/CP000304.1?report=graph&amp;tracks=[key:gene_model_track,Options:GeneOnly]&amp;mk=1846100:1846119|offset_22|00cc00,1846040:1846059|offset_82|444444,1846010:1846029|offset_112|444444,1845962:1845981|offset_160|444444&amp;v=1845899:1846181&amp;c=444444", "offset 22")</f>
        <v>offset 22</v>
      </c>
    </row>
    <row r="6588" customFormat="false" ht="12.8" hidden="false" customHeight="false" outlineLevel="0" collapsed="false">
      <c r="A6588" s="0" t="s">
        <v>12</v>
      </c>
      <c r="B6588" s="0" t="n">
        <v>1846039</v>
      </c>
      <c r="C6588" s="0" t="n">
        <v>1846059</v>
      </c>
      <c r="D6588" s="0" t="s">
        <v>22030</v>
      </c>
      <c r="E6588" s="0" t="s">
        <v>89</v>
      </c>
      <c r="F6588" s="0" t="s">
        <v>90</v>
      </c>
      <c r="G6588" s="0" t="s">
        <v>16</v>
      </c>
      <c r="H6588" s="0" t="n">
        <v>82</v>
      </c>
      <c r="I6588" s="0" t="s">
        <v>22034</v>
      </c>
      <c r="J6588" s="0" t="s">
        <v>22035</v>
      </c>
      <c r="K6588" s="0" t="s">
        <v>22036</v>
      </c>
      <c r="L6588" s="0" t="str">
        <f aca="false">HYPERLINK("https://www.ncbi.nlm.nih.gov/nuccore/CP000304.1?report=graph&amp;tracks=[key:gene_model_track,Options:GeneOnly]&amp;mk=1846100:1846119|offset_22|444444,1846040:1846059|offset_82|00cc00,1846010:1846029|offset_112|444444,1845962:1845981|offset_160|444444&amp;v=1845899:1846181&amp;c=444444", "offset 82")</f>
        <v>offset 82</v>
      </c>
    </row>
    <row r="6589" customFormat="false" ht="12.8" hidden="false" customHeight="false" outlineLevel="0" collapsed="false">
      <c r="A6589" s="0" t="s">
        <v>12</v>
      </c>
      <c r="B6589" s="0" t="n">
        <v>1846009</v>
      </c>
      <c r="C6589" s="0" t="n">
        <v>1846029</v>
      </c>
      <c r="D6589" s="0" t="s">
        <v>22030</v>
      </c>
      <c r="E6589" s="0" t="s">
        <v>89</v>
      </c>
      <c r="F6589" s="0" t="s">
        <v>90</v>
      </c>
      <c r="G6589" s="0" t="s">
        <v>16</v>
      </c>
      <c r="H6589" s="0" t="n">
        <v>112</v>
      </c>
      <c r="I6589" s="0" t="s">
        <v>22037</v>
      </c>
      <c r="J6589" s="0" t="s">
        <v>22038</v>
      </c>
      <c r="K6589" s="0" t="s">
        <v>22039</v>
      </c>
      <c r="L6589" s="0" t="str">
        <f aca="false">HYPERLINK("https://www.ncbi.nlm.nih.gov/nuccore/CP000304.1?report=graph&amp;tracks=[key:gene_model_track,Options:GeneOnly]&amp;mk=1846100:1846119|offset_22|444444,1846040:1846059|offset_82|444444,1846010:1846029|offset_112|00cc00,1845962:1845981|offset_160|444444&amp;v=1845899:1846181&amp;c=444444", "offset 112")</f>
        <v>offset 112</v>
      </c>
    </row>
    <row r="6590" customFormat="false" ht="12.8" hidden="false" customHeight="false" outlineLevel="0" collapsed="false">
      <c r="A6590" s="0" t="s">
        <v>12</v>
      </c>
      <c r="B6590" s="0" t="n">
        <v>1845961</v>
      </c>
      <c r="C6590" s="0" t="n">
        <v>1845981</v>
      </c>
      <c r="D6590" s="0" t="s">
        <v>22030</v>
      </c>
      <c r="E6590" s="0" t="s">
        <v>89</v>
      </c>
      <c r="F6590" s="0" t="s">
        <v>90</v>
      </c>
      <c r="G6590" s="0" t="s">
        <v>16</v>
      </c>
      <c r="H6590" s="0" t="n">
        <v>160</v>
      </c>
      <c r="I6590" s="0" t="s">
        <v>22040</v>
      </c>
      <c r="J6590" s="0" t="s">
        <v>22041</v>
      </c>
      <c r="K6590" s="0" t="s">
        <v>22042</v>
      </c>
      <c r="L6590" s="0" t="str">
        <f aca="false">HYPERLINK("https://www.ncbi.nlm.nih.gov/nuccore/CP000304.1?report=graph&amp;tracks=[key:gene_model_track,Options:GeneOnly]&amp;mk=1846100:1846119|offset_22|444444,1846040:1846059|offset_82|444444,1846010:1846029|offset_112|444444,1845962:1845981|offset_160|00cc00&amp;v=1845899:1846181&amp;c=444444", "offset 160")</f>
        <v>offset 160</v>
      </c>
    </row>
    <row r="6591" customFormat="false" ht="12.8" hidden="false" customHeight="false" outlineLevel="0" collapsed="false">
      <c r="A6591" s="0" t="s">
        <v>12</v>
      </c>
      <c r="B6591" s="0" t="n">
        <v>1847541</v>
      </c>
      <c r="C6591" s="0" t="n">
        <v>1847561</v>
      </c>
      <c r="D6591" s="0" t="s">
        <v>22043</v>
      </c>
      <c r="E6591" s="0" t="s">
        <v>89</v>
      </c>
      <c r="F6591" s="0" t="s">
        <v>90</v>
      </c>
      <c r="G6591" s="0" t="s">
        <v>26</v>
      </c>
      <c r="H6591" s="0" t="n">
        <v>22</v>
      </c>
      <c r="I6591" s="0" t="s">
        <v>22044</v>
      </c>
      <c r="J6591" s="0" t="s">
        <v>22045</v>
      </c>
      <c r="K6591" s="0" t="s">
        <v>22046</v>
      </c>
      <c r="L6591" s="0" t="str">
        <f aca="false">HYPERLINK("https://www.ncbi.nlm.nih.gov/nuccore/CP000304.1?report=graph&amp;tracks=[key:gene_model_track,Options:GeneOnly]&amp;mk=1847542:1847561|offset_22|00cc00,1847487:1847506|offset_77|444444,1847463:1847482|offset_101|444444,1847443:1847462|offset_121|444444&amp;v=1847341:1847662&amp;c=444444", "offset 22")</f>
        <v>offset 22</v>
      </c>
    </row>
    <row r="6592" customFormat="false" ht="12.8" hidden="false" customHeight="false" outlineLevel="0" collapsed="false">
      <c r="A6592" s="0" t="s">
        <v>12</v>
      </c>
      <c r="B6592" s="0" t="n">
        <v>1847486</v>
      </c>
      <c r="C6592" s="0" t="n">
        <v>1847506</v>
      </c>
      <c r="D6592" s="0" t="s">
        <v>22043</v>
      </c>
      <c r="E6592" s="0" t="s">
        <v>89</v>
      </c>
      <c r="F6592" s="0" t="s">
        <v>90</v>
      </c>
      <c r="G6592" s="0" t="s">
        <v>32</v>
      </c>
      <c r="H6592" s="0" t="n">
        <v>77</v>
      </c>
      <c r="I6592" s="0" t="s">
        <v>22047</v>
      </c>
      <c r="J6592" s="0" t="s">
        <v>22048</v>
      </c>
      <c r="K6592" s="0" t="s">
        <v>22049</v>
      </c>
      <c r="L6592" s="0" t="str">
        <f aca="false">HYPERLINK("https://www.ncbi.nlm.nih.gov/nuccore/CP000304.1?report=graph&amp;tracks=[key:gene_model_track,Options:GeneOnly]&amp;mk=1847542:1847561|offset_22|444444,1847487:1847506|offset_77|00cc00,1847463:1847482|offset_101|444444,1847443:1847462|offset_121|444444&amp;v=1847341:1847662&amp;c=444444", "offset 77")</f>
        <v>offset 77</v>
      </c>
    </row>
    <row r="6593" customFormat="false" ht="12.8" hidden="false" customHeight="false" outlineLevel="0" collapsed="false">
      <c r="A6593" s="0" t="s">
        <v>12</v>
      </c>
      <c r="B6593" s="0" t="n">
        <v>1847462</v>
      </c>
      <c r="C6593" s="0" t="n">
        <v>1847482</v>
      </c>
      <c r="D6593" s="0" t="s">
        <v>22043</v>
      </c>
      <c r="E6593" s="0" t="s">
        <v>89</v>
      </c>
      <c r="F6593" s="0" t="s">
        <v>90</v>
      </c>
      <c r="G6593" s="0" t="s">
        <v>26</v>
      </c>
      <c r="H6593" s="0" t="n">
        <v>101</v>
      </c>
      <c r="I6593" s="0" t="s">
        <v>22050</v>
      </c>
      <c r="J6593" s="0" t="s">
        <v>22051</v>
      </c>
      <c r="K6593" s="0" t="s">
        <v>22052</v>
      </c>
      <c r="L6593" s="0" t="str">
        <f aca="false">HYPERLINK("https://www.ncbi.nlm.nih.gov/nuccore/CP000304.1?report=graph&amp;tracks=[key:gene_model_track,Options:GeneOnly]&amp;mk=1847542:1847561|offset_22|444444,1847487:1847506|offset_77|444444,1847463:1847482|offset_101|00cc00,1847443:1847462|offset_121|444444&amp;v=1847341:1847662&amp;c=444444", "offset 101")</f>
        <v>offset 101</v>
      </c>
    </row>
    <row r="6594" customFormat="false" ht="12.8" hidden="false" customHeight="false" outlineLevel="0" collapsed="false">
      <c r="A6594" s="0" t="s">
        <v>12</v>
      </c>
      <c r="B6594" s="0" t="n">
        <v>1847442</v>
      </c>
      <c r="C6594" s="0" t="n">
        <v>1847462</v>
      </c>
      <c r="D6594" s="0" t="s">
        <v>22043</v>
      </c>
      <c r="E6594" s="0" t="s">
        <v>89</v>
      </c>
      <c r="F6594" s="0" t="s">
        <v>90</v>
      </c>
      <c r="G6594" s="0" t="s">
        <v>36</v>
      </c>
      <c r="H6594" s="0" t="n">
        <v>121</v>
      </c>
      <c r="I6594" s="0" t="s">
        <v>22053</v>
      </c>
      <c r="J6594" s="0" t="s">
        <v>22054</v>
      </c>
      <c r="K6594" s="0" t="s">
        <v>22055</v>
      </c>
      <c r="L6594" s="0" t="str">
        <f aca="false">HYPERLINK("https://www.ncbi.nlm.nih.gov/nuccore/CP000304.1?report=graph&amp;tracks=[key:gene_model_track,Options:GeneOnly]&amp;mk=1847542:1847561|offset_22|444444,1847487:1847506|offset_77|444444,1847463:1847482|offset_101|444444,1847443:1847462|offset_121|00cc00&amp;v=1847341:1847662&amp;c=444444", "offset 121")</f>
        <v>offset 121</v>
      </c>
    </row>
    <row r="6595" customFormat="false" ht="12.8" hidden="false" customHeight="false" outlineLevel="0" collapsed="false">
      <c r="A6595" s="0" t="s">
        <v>12</v>
      </c>
      <c r="B6595" s="0" t="n">
        <v>1848965</v>
      </c>
      <c r="C6595" s="0" t="n">
        <v>1848985</v>
      </c>
      <c r="D6595" s="0" t="s">
        <v>22056</v>
      </c>
      <c r="E6595" s="0" t="s">
        <v>22057</v>
      </c>
      <c r="F6595" s="0" t="s">
        <v>90</v>
      </c>
      <c r="G6595" s="0" t="s">
        <v>32</v>
      </c>
      <c r="H6595" s="0" t="n">
        <v>23</v>
      </c>
      <c r="I6595" s="0" t="s">
        <v>22058</v>
      </c>
      <c r="J6595" s="0" t="s">
        <v>22059</v>
      </c>
      <c r="K6595" s="0" t="s">
        <v>22060</v>
      </c>
      <c r="L6595" s="0" t="str">
        <f aca="false">HYPERLINK("https://www.ncbi.nlm.nih.gov/nuccore/CP000304.1?report=graph&amp;tracks=[key:gene_model_track,Options:GeneOnly]&amp;mk=1848966:1848985|offset_23|00cc00,1848923:1848942|offset_66|444444,1848900:1848919|offset_89|444444,1848876:1848895|offset_113|444444&amp;v=1848765:1849095&amp;c=444444", "offset 23")</f>
        <v>offset 23</v>
      </c>
    </row>
    <row r="6596" customFormat="false" ht="12.8" hidden="false" customHeight="false" outlineLevel="0" collapsed="false">
      <c r="A6596" s="0" t="s">
        <v>12</v>
      </c>
      <c r="B6596" s="0" t="n">
        <v>1848922</v>
      </c>
      <c r="C6596" s="0" t="n">
        <v>1848942</v>
      </c>
      <c r="D6596" s="0" t="s">
        <v>22056</v>
      </c>
      <c r="E6596" s="0" t="s">
        <v>22057</v>
      </c>
      <c r="F6596" s="0" t="s">
        <v>90</v>
      </c>
      <c r="G6596" s="0" t="s">
        <v>32</v>
      </c>
      <c r="H6596" s="0" t="n">
        <v>66</v>
      </c>
      <c r="I6596" s="0" t="s">
        <v>22061</v>
      </c>
      <c r="J6596" s="0" t="s">
        <v>22062</v>
      </c>
      <c r="K6596" s="0" t="s">
        <v>22063</v>
      </c>
      <c r="L6596" s="0" t="str">
        <f aca="false">HYPERLINK("https://www.ncbi.nlm.nih.gov/nuccore/CP000304.1?report=graph&amp;tracks=[key:gene_model_track,Options:GeneOnly]&amp;mk=1848966:1848985|offset_23|444444,1848923:1848942|offset_66|00cc00,1848900:1848919|offset_89|444444,1848876:1848895|offset_113|444444&amp;v=1848765:1849095&amp;c=444444", "offset 66")</f>
        <v>offset 66</v>
      </c>
    </row>
    <row r="6597" customFormat="false" ht="12.8" hidden="false" customHeight="false" outlineLevel="0" collapsed="false">
      <c r="A6597" s="0" t="s">
        <v>12</v>
      </c>
      <c r="B6597" s="0" t="n">
        <v>1848899</v>
      </c>
      <c r="C6597" s="0" t="n">
        <v>1848919</v>
      </c>
      <c r="D6597" s="0" t="s">
        <v>22056</v>
      </c>
      <c r="E6597" s="0" t="s">
        <v>22057</v>
      </c>
      <c r="F6597" s="0" t="s">
        <v>90</v>
      </c>
      <c r="G6597" s="0" t="s">
        <v>36</v>
      </c>
      <c r="H6597" s="0" t="n">
        <v>89</v>
      </c>
      <c r="I6597" s="0" t="s">
        <v>22064</v>
      </c>
      <c r="J6597" s="0" t="s">
        <v>22065</v>
      </c>
      <c r="K6597" s="0" t="s">
        <v>22066</v>
      </c>
      <c r="L6597" s="0" t="str">
        <f aca="false">HYPERLINK("https://www.ncbi.nlm.nih.gov/nuccore/CP000304.1?report=graph&amp;tracks=[key:gene_model_track,Options:GeneOnly]&amp;mk=1848966:1848985|offset_23|444444,1848923:1848942|offset_66|444444,1848900:1848919|offset_89|00cc00,1848876:1848895|offset_113|444444&amp;v=1848765:1849095&amp;c=444444", "offset 89")</f>
        <v>offset 89</v>
      </c>
    </row>
    <row r="6598" customFormat="false" ht="12.8" hidden="false" customHeight="false" outlineLevel="0" collapsed="false">
      <c r="A6598" s="0" t="s">
        <v>12</v>
      </c>
      <c r="B6598" s="0" t="n">
        <v>1848875</v>
      </c>
      <c r="C6598" s="0" t="n">
        <v>1848895</v>
      </c>
      <c r="D6598" s="0" t="s">
        <v>22056</v>
      </c>
      <c r="E6598" s="0" t="s">
        <v>22057</v>
      </c>
      <c r="F6598" s="0" t="s">
        <v>90</v>
      </c>
      <c r="G6598" s="0" t="s">
        <v>32</v>
      </c>
      <c r="H6598" s="0" t="n">
        <v>113</v>
      </c>
      <c r="I6598" s="0" t="s">
        <v>22067</v>
      </c>
      <c r="J6598" s="0" t="s">
        <v>22068</v>
      </c>
      <c r="K6598" s="0" t="s">
        <v>22069</v>
      </c>
      <c r="L6598" s="0" t="str">
        <f aca="false">HYPERLINK("https://www.ncbi.nlm.nih.gov/nuccore/CP000304.1?report=graph&amp;tracks=[key:gene_model_track,Options:GeneOnly]&amp;mk=1848966:1848985|offset_23|444444,1848923:1848942|offset_66|444444,1848900:1848919|offset_89|444444,1848876:1848895|offset_113|00cc00&amp;v=1848765:1849095&amp;c=444444", "offset 113")</f>
        <v>offset 113</v>
      </c>
    </row>
    <row r="6599" customFormat="false" ht="12.8" hidden="false" customHeight="false" outlineLevel="0" collapsed="false">
      <c r="A6599" s="0" t="s">
        <v>12</v>
      </c>
      <c r="B6599" s="0" t="n">
        <v>1850173</v>
      </c>
      <c r="C6599" s="0" t="n">
        <v>1850193</v>
      </c>
      <c r="D6599" s="0" t="s">
        <v>22070</v>
      </c>
      <c r="E6599" s="0" t="s">
        <v>89</v>
      </c>
      <c r="F6599" s="0" t="s">
        <v>90</v>
      </c>
      <c r="G6599" s="0" t="s">
        <v>16</v>
      </c>
      <c r="H6599" s="0" t="n">
        <v>30</v>
      </c>
      <c r="I6599" s="0" t="s">
        <v>22071</v>
      </c>
      <c r="J6599" s="0" t="s">
        <v>22072</v>
      </c>
      <c r="K6599" s="0" t="s">
        <v>22073</v>
      </c>
      <c r="L6599" s="0" t="str">
        <f aca="false">HYPERLINK("https://www.ncbi.nlm.nih.gov/nuccore/CP000304.1?report=graph&amp;tracks=[key:gene_model_track,Options:GeneOnly]&amp;mk=1850174:1850193|offset_30|00cc00,1850142:1850161|offset_62|444444,1850092:1850111|offset_112|444444,1850072:1850091|offset_132|444444&amp;v=1849973:1850291&amp;c=444444", "offset 30")</f>
        <v>offset 30</v>
      </c>
    </row>
    <row r="6600" customFormat="false" ht="12.8" hidden="false" customHeight="false" outlineLevel="0" collapsed="false">
      <c r="A6600" s="0" t="s">
        <v>12</v>
      </c>
      <c r="B6600" s="0" t="n">
        <v>1850141</v>
      </c>
      <c r="C6600" s="0" t="n">
        <v>1850161</v>
      </c>
      <c r="D6600" s="0" t="s">
        <v>22070</v>
      </c>
      <c r="E6600" s="0" t="s">
        <v>89</v>
      </c>
      <c r="F6600" s="0" t="s">
        <v>90</v>
      </c>
      <c r="G6600" s="0" t="s">
        <v>32</v>
      </c>
      <c r="H6600" s="0" t="n">
        <v>62</v>
      </c>
      <c r="I6600" s="0" t="s">
        <v>22074</v>
      </c>
      <c r="J6600" s="0" t="s">
        <v>22075</v>
      </c>
      <c r="K6600" s="0" t="s">
        <v>22076</v>
      </c>
      <c r="L6600" s="0" t="str">
        <f aca="false">HYPERLINK("https://www.ncbi.nlm.nih.gov/nuccore/CP000304.1?report=graph&amp;tracks=[key:gene_model_track,Options:GeneOnly]&amp;mk=1850174:1850193|offset_30|444444,1850142:1850161|offset_62|00cc00,1850092:1850111|offset_112|444444,1850072:1850091|offset_132|444444&amp;v=1849973:1850291&amp;c=444444", "offset 62")</f>
        <v>offset 62</v>
      </c>
    </row>
    <row r="6601" customFormat="false" ht="12.8" hidden="false" customHeight="false" outlineLevel="0" collapsed="false">
      <c r="A6601" s="0" t="s">
        <v>12</v>
      </c>
      <c r="B6601" s="0" t="n">
        <v>1850091</v>
      </c>
      <c r="C6601" s="0" t="n">
        <v>1850111</v>
      </c>
      <c r="D6601" s="0" t="s">
        <v>22070</v>
      </c>
      <c r="E6601" s="0" t="s">
        <v>89</v>
      </c>
      <c r="F6601" s="0" t="s">
        <v>90</v>
      </c>
      <c r="G6601" s="0" t="s">
        <v>16</v>
      </c>
      <c r="H6601" s="0" t="n">
        <v>112</v>
      </c>
      <c r="I6601" s="0" t="s">
        <v>22077</v>
      </c>
      <c r="J6601" s="0" t="s">
        <v>22078</v>
      </c>
      <c r="K6601" s="0" t="s">
        <v>22079</v>
      </c>
      <c r="L6601" s="0" t="str">
        <f aca="false">HYPERLINK("https://www.ncbi.nlm.nih.gov/nuccore/CP000304.1?report=graph&amp;tracks=[key:gene_model_track,Options:GeneOnly]&amp;mk=1850174:1850193|offset_30|444444,1850142:1850161|offset_62|444444,1850092:1850111|offset_112|00cc00,1850072:1850091|offset_132|444444&amp;v=1849973:1850291&amp;c=444444", "offset 112")</f>
        <v>offset 112</v>
      </c>
    </row>
    <row r="6602" customFormat="false" ht="12.8" hidden="false" customHeight="false" outlineLevel="0" collapsed="false">
      <c r="A6602" s="0" t="s">
        <v>12</v>
      </c>
      <c r="B6602" s="0" t="n">
        <v>1850071</v>
      </c>
      <c r="C6602" s="0" t="n">
        <v>1850091</v>
      </c>
      <c r="D6602" s="0" t="s">
        <v>22070</v>
      </c>
      <c r="E6602" s="0" t="s">
        <v>89</v>
      </c>
      <c r="F6602" s="0" t="s">
        <v>90</v>
      </c>
      <c r="G6602" s="0" t="s">
        <v>36</v>
      </c>
      <c r="H6602" s="0" t="n">
        <v>132</v>
      </c>
      <c r="I6602" s="0" t="s">
        <v>22080</v>
      </c>
      <c r="J6602" s="0" t="s">
        <v>22081</v>
      </c>
      <c r="K6602" s="0" t="s">
        <v>22082</v>
      </c>
      <c r="L6602" s="0" t="str">
        <f aca="false">HYPERLINK("https://www.ncbi.nlm.nih.gov/nuccore/CP000304.1?report=graph&amp;tracks=[key:gene_model_track,Options:GeneOnly]&amp;mk=1850174:1850193|offset_30|444444,1850142:1850161|offset_62|444444,1850092:1850111|offset_112|444444,1850072:1850091|offset_132|00cc00&amp;v=1849973:1850291&amp;c=444444", "offset 132")</f>
        <v>offset 132</v>
      </c>
    </row>
    <row r="6603" customFormat="false" ht="12.8" hidden="false" customHeight="false" outlineLevel="0" collapsed="false">
      <c r="A6603" s="0" t="s">
        <v>12</v>
      </c>
      <c r="B6603" s="0" t="n">
        <v>1850399</v>
      </c>
      <c r="C6603" s="0" t="n">
        <v>1850419</v>
      </c>
      <c r="D6603" s="0" t="s">
        <v>22083</v>
      </c>
      <c r="E6603" s="0" t="s">
        <v>89</v>
      </c>
      <c r="F6603" s="0" t="s">
        <v>15</v>
      </c>
      <c r="G6603" s="0" t="s">
        <v>36</v>
      </c>
      <c r="H6603" s="0" t="n">
        <v>0</v>
      </c>
      <c r="I6603" s="0" t="s">
        <v>22084</v>
      </c>
      <c r="J6603" s="0" t="s">
        <v>22085</v>
      </c>
      <c r="K6603" s="0" t="s">
        <v>22086</v>
      </c>
      <c r="L6603" s="0" t="str">
        <f aca="false">HYPERLINK("https://www.ncbi.nlm.nih.gov/nuccore/CP000304.1?report=graph&amp;tracks=[key:gene_model_track,Options:GeneOnly]&amp;mk=1850400:1850419|offset_0|00cc00,1850425:1850444|offset_25|444444,1850449:1850468|offset_49|444444,1850473:1850492|offset_73|444444&amp;v=1850199:1850692&amp;c=444444", "offset 0")</f>
        <v>offset 0</v>
      </c>
    </row>
    <row r="6604" customFormat="false" ht="12.8" hidden="false" customHeight="false" outlineLevel="0" collapsed="false">
      <c r="A6604" s="0" t="s">
        <v>12</v>
      </c>
      <c r="B6604" s="0" t="n">
        <v>1850424</v>
      </c>
      <c r="C6604" s="0" t="n">
        <v>1850444</v>
      </c>
      <c r="D6604" s="0" t="s">
        <v>22083</v>
      </c>
      <c r="E6604" s="0" t="s">
        <v>89</v>
      </c>
      <c r="F6604" s="0" t="s">
        <v>15</v>
      </c>
      <c r="G6604" s="0" t="s">
        <v>36</v>
      </c>
      <c r="H6604" s="0" t="n">
        <v>25</v>
      </c>
      <c r="I6604" s="0" t="s">
        <v>22087</v>
      </c>
      <c r="J6604" s="0" t="s">
        <v>22088</v>
      </c>
      <c r="K6604" s="0" t="s">
        <v>22089</v>
      </c>
      <c r="L6604" s="0" t="str">
        <f aca="false">HYPERLINK("https://www.ncbi.nlm.nih.gov/nuccore/CP000304.1?report=graph&amp;tracks=[key:gene_model_track,Options:GeneOnly]&amp;mk=1850400:1850419|offset_0|444444,1850425:1850444|offset_25|00cc00,1850449:1850468|offset_49|444444,1850473:1850492|offset_73|444444&amp;v=1850199:1850692&amp;c=444444", "offset 25")</f>
        <v>offset 25</v>
      </c>
    </row>
    <row r="6605" customFormat="false" ht="12.8" hidden="false" customHeight="false" outlineLevel="0" collapsed="false">
      <c r="A6605" s="0" t="s">
        <v>12</v>
      </c>
      <c r="B6605" s="0" t="n">
        <v>1850448</v>
      </c>
      <c r="C6605" s="0" t="n">
        <v>1850468</v>
      </c>
      <c r="D6605" s="0" t="s">
        <v>22083</v>
      </c>
      <c r="E6605" s="0" t="s">
        <v>89</v>
      </c>
      <c r="F6605" s="0" t="s">
        <v>15</v>
      </c>
      <c r="G6605" s="0" t="s">
        <v>16</v>
      </c>
      <c r="H6605" s="0" t="n">
        <v>49</v>
      </c>
      <c r="I6605" s="0" t="s">
        <v>22090</v>
      </c>
      <c r="J6605" s="0" t="s">
        <v>22091</v>
      </c>
      <c r="K6605" s="0" t="s">
        <v>22092</v>
      </c>
      <c r="L6605" s="0" t="str">
        <f aca="false">HYPERLINK("https://www.ncbi.nlm.nih.gov/nuccore/CP000304.1?report=graph&amp;tracks=[key:gene_model_track,Options:GeneOnly]&amp;mk=1850400:1850419|offset_0|444444,1850425:1850444|offset_25|444444,1850449:1850468|offset_49|00cc00,1850473:1850492|offset_73|444444&amp;v=1850199:1850692&amp;c=444444", "offset 49")</f>
        <v>offset 49</v>
      </c>
    </row>
    <row r="6606" customFormat="false" ht="12.8" hidden="false" customHeight="false" outlineLevel="0" collapsed="false">
      <c r="A6606" s="0" t="s">
        <v>12</v>
      </c>
      <c r="B6606" s="0" t="n">
        <v>1850472</v>
      </c>
      <c r="C6606" s="0" t="n">
        <v>1850492</v>
      </c>
      <c r="D6606" s="0" t="s">
        <v>22083</v>
      </c>
      <c r="E6606" s="0" t="s">
        <v>89</v>
      </c>
      <c r="F6606" s="0" t="s">
        <v>15</v>
      </c>
      <c r="G6606" s="0" t="s">
        <v>16</v>
      </c>
      <c r="H6606" s="0" t="n">
        <v>73</v>
      </c>
      <c r="I6606" s="0" t="s">
        <v>22093</v>
      </c>
      <c r="J6606" s="0" t="s">
        <v>22094</v>
      </c>
      <c r="K6606" s="0" t="s">
        <v>22095</v>
      </c>
      <c r="L6606" s="0" t="str">
        <f aca="false">HYPERLINK("https://www.ncbi.nlm.nih.gov/nuccore/CP000304.1?report=graph&amp;tracks=[key:gene_model_track,Options:GeneOnly]&amp;mk=1850400:1850419|offset_0|444444,1850425:1850444|offset_25|444444,1850449:1850468|offset_49|444444,1850473:1850492|offset_73|00cc00&amp;v=1850199:1850692&amp;c=444444", "offset 73")</f>
        <v>offset 73</v>
      </c>
    </row>
    <row r="6607" customFormat="false" ht="12.8" hidden="false" customHeight="false" outlineLevel="0" collapsed="false">
      <c r="A6607" s="0" t="s">
        <v>12</v>
      </c>
      <c r="B6607" s="0" t="n">
        <v>1851104</v>
      </c>
      <c r="C6607" s="0" t="n">
        <v>1851124</v>
      </c>
      <c r="D6607" s="0" t="s">
        <v>22096</v>
      </c>
      <c r="E6607" s="0" t="s">
        <v>89</v>
      </c>
      <c r="F6607" s="0" t="s">
        <v>15</v>
      </c>
      <c r="G6607" s="0" t="s">
        <v>32</v>
      </c>
      <c r="H6607" s="0" t="n">
        <v>8</v>
      </c>
      <c r="I6607" s="0" t="s">
        <v>22097</v>
      </c>
      <c r="J6607" s="0" t="s">
        <v>22098</v>
      </c>
      <c r="K6607" s="0" t="s">
        <v>22099</v>
      </c>
      <c r="L6607" s="0" t="str">
        <f aca="false">HYPERLINK("https://www.ncbi.nlm.nih.gov/nuccore/CP000304.1?report=graph&amp;tracks=[key:gene_model_track,Options:GeneOnly]&amp;mk=1851105:1851124|offset_8|00cc00,1851133:1851152|offset_36|444444,1851160:1851179|offset_63|444444,1851184:1851203|offset_87|444444&amp;v=1850904:1851403&amp;c=444444", "offset 8")</f>
        <v>offset 8</v>
      </c>
    </row>
    <row r="6608" customFormat="false" ht="12.8" hidden="false" customHeight="false" outlineLevel="0" collapsed="false">
      <c r="A6608" s="0" t="s">
        <v>12</v>
      </c>
      <c r="B6608" s="0" t="n">
        <v>1851132</v>
      </c>
      <c r="C6608" s="0" t="n">
        <v>1851152</v>
      </c>
      <c r="D6608" s="0" t="s">
        <v>22096</v>
      </c>
      <c r="E6608" s="0" t="s">
        <v>89</v>
      </c>
      <c r="F6608" s="0" t="s">
        <v>15</v>
      </c>
      <c r="G6608" s="0" t="s">
        <v>36</v>
      </c>
      <c r="H6608" s="0" t="n">
        <v>36</v>
      </c>
      <c r="I6608" s="0" t="s">
        <v>22100</v>
      </c>
      <c r="J6608" s="0" t="s">
        <v>22101</v>
      </c>
      <c r="K6608" s="0" t="s">
        <v>22102</v>
      </c>
      <c r="L6608" s="0" t="str">
        <f aca="false">HYPERLINK("https://www.ncbi.nlm.nih.gov/nuccore/CP000304.1?report=graph&amp;tracks=[key:gene_model_track,Options:GeneOnly]&amp;mk=1851105:1851124|offset_8|444444,1851133:1851152|offset_36|00cc00,1851160:1851179|offset_63|444444,1851184:1851203|offset_87|444444&amp;v=1850904:1851403&amp;c=444444", "offset 36")</f>
        <v>offset 36</v>
      </c>
    </row>
    <row r="6609" customFormat="false" ht="12.8" hidden="false" customHeight="false" outlineLevel="0" collapsed="false">
      <c r="A6609" s="0" t="s">
        <v>12</v>
      </c>
      <c r="B6609" s="0" t="n">
        <v>1851159</v>
      </c>
      <c r="C6609" s="0" t="n">
        <v>1851179</v>
      </c>
      <c r="D6609" s="0" t="s">
        <v>22096</v>
      </c>
      <c r="E6609" s="0" t="s">
        <v>89</v>
      </c>
      <c r="F6609" s="0" t="s">
        <v>15</v>
      </c>
      <c r="G6609" s="0" t="s">
        <v>16</v>
      </c>
      <c r="H6609" s="0" t="n">
        <v>63</v>
      </c>
      <c r="I6609" s="0" t="s">
        <v>22103</v>
      </c>
      <c r="J6609" s="0" t="s">
        <v>22104</v>
      </c>
      <c r="K6609" s="0" t="s">
        <v>22105</v>
      </c>
      <c r="L6609" s="0" t="str">
        <f aca="false">HYPERLINK("https://www.ncbi.nlm.nih.gov/nuccore/CP000304.1?report=graph&amp;tracks=[key:gene_model_track,Options:GeneOnly]&amp;mk=1851105:1851124|offset_8|444444,1851133:1851152|offset_36|444444,1851160:1851179|offset_63|00cc00,1851184:1851203|offset_87|444444&amp;v=1850904:1851403&amp;c=444444", "offset 63")</f>
        <v>offset 63</v>
      </c>
    </row>
    <row r="6610" customFormat="false" ht="12.8" hidden="false" customHeight="false" outlineLevel="0" collapsed="false">
      <c r="A6610" s="0" t="s">
        <v>12</v>
      </c>
      <c r="B6610" s="0" t="n">
        <v>1851183</v>
      </c>
      <c r="C6610" s="0" t="n">
        <v>1851203</v>
      </c>
      <c r="D6610" s="0" t="s">
        <v>22096</v>
      </c>
      <c r="E6610" s="0" t="s">
        <v>89</v>
      </c>
      <c r="F6610" s="0" t="s">
        <v>15</v>
      </c>
      <c r="G6610" s="0" t="s">
        <v>16</v>
      </c>
      <c r="H6610" s="0" t="n">
        <v>87</v>
      </c>
      <c r="I6610" s="0" t="s">
        <v>22106</v>
      </c>
      <c r="J6610" s="0" t="s">
        <v>22107</v>
      </c>
      <c r="K6610" s="0" t="s">
        <v>22108</v>
      </c>
      <c r="L6610" s="0" t="str">
        <f aca="false">HYPERLINK("https://www.ncbi.nlm.nih.gov/nuccore/CP000304.1?report=graph&amp;tracks=[key:gene_model_track,Options:GeneOnly]&amp;mk=1851105:1851124|offset_8|444444,1851133:1851152|offset_36|444444,1851160:1851179|offset_63|444444,1851184:1851203|offset_87|00cc00&amp;v=1850904:1851403&amp;c=444444", "offset 87")</f>
        <v>offset 87</v>
      </c>
    </row>
    <row r="6611" customFormat="false" ht="12.8" hidden="false" customHeight="false" outlineLevel="0" collapsed="false">
      <c r="A6611" s="0" t="s">
        <v>12</v>
      </c>
      <c r="B6611" s="0" t="n">
        <v>1851446</v>
      </c>
      <c r="C6611" s="0" t="n">
        <v>1851466</v>
      </c>
      <c r="D6611" s="0" t="s">
        <v>22109</v>
      </c>
      <c r="E6611" s="0" t="s">
        <v>89</v>
      </c>
      <c r="F6611" s="0" t="s">
        <v>15</v>
      </c>
      <c r="G6611" s="0" t="s">
        <v>32</v>
      </c>
      <c r="H6611" s="0" t="n">
        <v>1</v>
      </c>
      <c r="I6611" s="0" t="s">
        <v>22110</v>
      </c>
      <c r="J6611" s="0" t="s">
        <v>22111</v>
      </c>
      <c r="K6611" s="0" t="s">
        <v>22112</v>
      </c>
      <c r="L6611" s="0" t="str">
        <f aca="false">HYPERLINK("https://www.ncbi.nlm.nih.gov/nuccore/CP000304.1?report=graph&amp;tracks=[key:gene_model_track,Options:GeneOnly]&amp;mk=1851447:1851466|offset_1|00cc00,1851475:1851494|offset_29|444444,1851508:1851527|offset_62|444444,1851532:1851551|offset_86|444444&amp;v=1851246:1851751&amp;c=444444", "offset 1")</f>
        <v>offset 1</v>
      </c>
    </row>
    <row r="6612" customFormat="false" ht="12.8" hidden="false" customHeight="false" outlineLevel="0" collapsed="false">
      <c r="A6612" s="0" t="s">
        <v>12</v>
      </c>
      <c r="B6612" s="0" t="n">
        <v>1851474</v>
      </c>
      <c r="C6612" s="0" t="n">
        <v>1851494</v>
      </c>
      <c r="D6612" s="0" t="s">
        <v>22109</v>
      </c>
      <c r="E6612" s="0" t="s">
        <v>89</v>
      </c>
      <c r="F6612" s="0" t="s">
        <v>15</v>
      </c>
      <c r="G6612" s="0" t="s">
        <v>16</v>
      </c>
      <c r="H6612" s="0" t="n">
        <v>29</v>
      </c>
      <c r="I6612" s="0" t="s">
        <v>22113</v>
      </c>
      <c r="J6612" s="0" t="s">
        <v>22114</v>
      </c>
      <c r="K6612" s="0" t="s">
        <v>22115</v>
      </c>
      <c r="L6612" s="0" t="str">
        <f aca="false">HYPERLINK("https://www.ncbi.nlm.nih.gov/nuccore/CP000304.1?report=graph&amp;tracks=[key:gene_model_track,Options:GeneOnly]&amp;mk=1851447:1851466|offset_1|444444,1851475:1851494|offset_29|00cc00,1851508:1851527|offset_62|444444,1851532:1851551|offset_86|444444&amp;v=1851246:1851751&amp;c=444444", "offset 29")</f>
        <v>offset 29</v>
      </c>
    </row>
    <row r="6613" customFormat="false" ht="12.8" hidden="false" customHeight="false" outlineLevel="0" collapsed="false">
      <c r="A6613" s="0" t="s">
        <v>12</v>
      </c>
      <c r="B6613" s="0" t="n">
        <v>1851507</v>
      </c>
      <c r="C6613" s="0" t="n">
        <v>1851527</v>
      </c>
      <c r="D6613" s="0" t="s">
        <v>22109</v>
      </c>
      <c r="E6613" s="0" t="s">
        <v>89</v>
      </c>
      <c r="F6613" s="0" t="s">
        <v>15</v>
      </c>
      <c r="G6613" s="0" t="s">
        <v>26</v>
      </c>
      <c r="H6613" s="0" t="n">
        <v>62</v>
      </c>
      <c r="I6613" s="0" t="s">
        <v>22116</v>
      </c>
      <c r="J6613" s="0" t="s">
        <v>22117</v>
      </c>
      <c r="K6613" s="0" t="s">
        <v>22118</v>
      </c>
      <c r="L6613" s="0" t="str">
        <f aca="false">HYPERLINK("https://www.ncbi.nlm.nih.gov/nuccore/CP000304.1?report=graph&amp;tracks=[key:gene_model_track,Options:GeneOnly]&amp;mk=1851447:1851466|offset_1|444444,1851475:1851494|offset_29|444444,1851508:1851527|offset_62|00cc00,1851532:1851551|offset_86|444444&amp;v=1851246:1851751&amp;c=444444", "offset 62")</f>
        <v>offset 62</v>
      </c>
    </row>
    <row r="6614" customFormat="false" ht="12.8" hidden="false" customHeight="false" outlineLevel="0" collapsed="false">
      <c r="A6614" s="0" t="s">
        <v>12</v>
      </c>
      <c r="B6614" s="0" t="n">
        <v>1851531</v>
      </c>
      <c r="C6614" s="0" t="n">
        <v>1851551</v>
      </c>
      <c r="D6614" s="0" t="s">
        <v>22109</v>
      </c>
      <c r="E6614" s="0" t="s">
        <v>89</v>
      </c>
      <c r="F6614" s="0" t="s">
        <v>15</v>
      </c>
      <c r="G6614" s="0" t="s">
        <v>26</v>
      </c>
      <c r="H6614" s="0" t="n">
        <v>86</v>
      </c>
      <c r="I6614" s="0" t="s">
        <v>22119</v>
      </c>
      <c r="J6614" s="0" t="s">
        <v>22120</v>
      </c>
      <c r="K6614" s="0" t="s">
        <v>22121</v>
      </c>
      <c r="L6614" s="0" t="str">
        <f aca="false">HYPERLINK("https://www.ncbi.nlm.nih.gov/nuccore/CP000304.1?report=graph&amp;tracks=[key:gene_model_track,Options:GeneOnly]&amp;mk=1851447:1851466|offset_1|444444,1851475:1851494|offset_29|444444,1851508:1851527|offset_62|444444,1851532:1851551|offset_86|00cc00&amp;v=1851246:1851751&amp;c=444444", "offset 86")</f>
        <v>offset 86</v>
      </c>
    </row>
    <row r="6615" customFormat="false" ht="12.8" hidden="false" customHeight="false" outlineLevel="0" collapsed="false">
      <c r="A6615" s="0" t="s">
        <v>12</v>
      </c>
      <c r="B6615" s="0" t="n">
        <v>1854173</v>
      </c>
      <c r="C6615" s="0" t="n">
        <v>1854193</v>
      </c>
      <c r="D6615" s="0" t="s">
        <v>22122</v>
      </c>
      <c r="E6615" s="0" t="s">
        <v>22123</v>
      </c>
      <c r="F6615" s="0" t="s">
        <v>15</v>
      </c>
      <c r="G6615" s="0" t="s">
        <v>32</v>
      </c>
      <c r="H6615" s="0" t="n">
        <v>1</v>
      </c>
      <c r="I6615" s="0" t="s">
        <v>22124</v>
      </c>
      <c r="J6615" s="0" t="s">
        <v>22125</v>
      </c>
      <c r="K6615" s="0" t="s">
        <v>22126</v>
      </c>
      <c r="L6615" s="0" t="str">
        <f aca="false">HYPERLINK("https://www.ncbi.nlm.nih.gov/nuccore/CP000304.1?report=graph&amp;tracks=[key:gene_model_track,Options:GeneOnly]&amp;mk=1854174:1854193|offset_1|00cc00,1854197:1854216|offset_24|444444,1854225:1854244|offset_52|444444,1854252:1854271|offset_79|444444&amp;v=1853973:1854471&amp;c=444444", "offset 1")</f>
        <v>offset 1</v>
      </c>
    </row>
    <row r="6616" customFormat="false" ht="12.8" hidden="false" customHeight="false" outlineLevel="0" collapsed="false">
      <c r="A6616" s="0" t="s">
        <v>12</v>
      </c>
      <c r="B6616" s="0" t="n">
        <v>1854196</v>
      </c>
      <c r="C6616" s="0" t="n">
        <v>1854216</v>
      </c>
      <c r="D6616" s="0" t="s">
        <v>22122</v>
      </c>
      <c r="E6616" s="0" t="s">
        <v>22123</v>
      </c>
      <c r="F6616" s="0" t="s">
        <v>15</v>
      </c>
      <c r="G6616" s="0" t="s">
        <v>36</v>
      </c>
      <c r="H6616" s="0" t="n">
        <v>24</v>
      </c>
      <c r="I6616" s="0" t="s">
        <v>22127</v>
      </c>
      <c r="J6616" s="0" t="s">
        <v>22128</v>
      </c>
      <c r="K6616" s="0" t="s">
        <v>22129</v>
      </c>
      <c r="L6616" s="0" t="str">
        <f aca="false">HYPERLINK("https://www.ncbi.nlm.nih.gov/nuccore/CP000304.1?report=graph&amp;tracks=[key:gene_model_track,Options:GeneOnly]&amp;mk=1854174:1854193|offset_1|444444,1854197:1854216|offset_24|00cc00,1854225:1854244|offset_52|444444,1854252:1854271|offset_79|444444&amp;v=1853973:1854471&amp;c=444444", "offset 24")</f>
        <v>offset 24</v>
      </c>
    </row>
    <row r="6617" customFormat="false" ht="12.8" hidden="false" customHeight="false" outlineLevel="0" collapsed="false">
      <c r="A6617" s="0" t="s">
        <v>12</v>
      </c>
      <c r="B6617" s="0" t="n">
        <v>1854224</v>
      </c>
      <c r="C6617" s="0" t="n">
        <v>1854244</v>
      </c>
      <c r="D6617" s="0" t="s">
        <v>22122</v>
      </c>
      <c r="E6617" s="0" t="s">
        <v>22123</v>
      </c>
      <c r="F6617" s="0" t="s">
        <v>15</v>
      </c>
      <c r="G6617" s="0" t="s">
        <v>36</v>
      </c>
      <c r="H6617" s="0" t="n">
        <v>52</v>
      </c>
      <c r="I6617" s="0" t="s">
        <v>22130</v>
      </c>
      <c r="J6617" s="0" t="s">
        <v>22131</v>
      </c>
      <c r="K6617" s="0" t="s">
        <v>22132</v>
      </c>
      <c r="L6617" s="0" t="str">
        <f aca="false">HYPERLINK("https://www.ncbi.nlm.nih.gov/nuccore/CP000304.1?report=graph&amp;tracks=[key:gene_model_track,Options:GeneOnly]&amp;mk=1854174:1854193|offset_1|444444,1854197:1854216|offset_24|444444,1854225:1854244|offset_52|00cc00,1854252:1854271|offset_79|444444&amp;v=1853973:1854471&amp;c=444444", "offset 52")</f>
        <v>offset 52</v>
      </c>
    </row>
    <row r="6618" customFormat="false" ht="12.8" hidden="false" customHeight="false" outlineLevel="0" collapsed="false">
      <c r="A6618" s="0" t="s">
        <v>12</v>
      </c>
      <c r="B6618" s="0" t="n">
        <v>1854251</v>
      </c>
      <c r="C6618" s="0" t="n">
        <v>1854271</v>
      </c>
      <c r="D6618" s="0" t="s">
        <v>22122</v>
      </c>
      <c r="E6618" s="0" t="s">
        <v>22123</v>
      </c>
      <c r="F6618" s="0" t="s">
        <v>15</v>
      </c>
      <c r="G6618" s="0" t="s">
        <v>32</v>
      </c>
      <c r="H6618" s="0" t="n">
        <v>79</v>
      </c>
      <c r="I6618" s="0" t="s">
        <v>22133</v>
      </c>
      <c r="J6618" s="0" t="s">
        <v>22134</v>
      </c>
      <c r="K6618" s="0" t="s">
        <v>22135</v>
      </c>
      <c r="L6618" s="0" t="str">
        <f aca="false">HYPERLINK("https://www.ncbi.nlm.nih.gov/nuccore/CP000304.1?report=graph&amp;tracks=[key:gene_model_track,Options:GeneOnly]&amp;mk=1854174:1854193|offset_1|444444,1854197:1854216|offset_24|444444,1854225:1854244|offset_52|444444,1854252:1854271|offset_79|00cc00&amp;v=1853973:1854471&amp;c=444444", "offset 79")</f>
        <v>offset 79</v>
      </c>
    </row>
    <row r="6619" customFormat="false" ht="12.8" hidden="false" customHeight="false" outlineLevel="0" collapsed="false">
      <c r="A6619" s="0" t="s">
        <v>12</v>
      </c>
      <c r="B6619" s="0" t="n">
        <v>1856569</v>
      </c>
      <c r="C6619" s="0" t="n">
        <v>1856589</v>
      </c>
      <c r="D6619" s="0" t="s">
        <v>22136</v>
      </c>
      <c r="E6619" s="0" t="s">
        <v>89</v>
      </c>
      <c r="F6619" s="0" t="s">
        <v>90</v>
      </c>
      <c r="G6619" s="0" t="s">
        <v>36</v>
      </c>
      <c r="H6619" s="0" t="n">
        <v>0</v>
      </c>
      <c r="I6619" s="0" t="s">
        <v>22137</v>
      </c>
      <c r="J6619" s="0" t="s">
        <v>22138</v>
      </c>
      <c r="K6619" s="0" t="s">
        <v>22139</v>
      </c>
      <c r="L6619" s="0" t="str">
        <f aca="false">HYPERLINK("https://www.ncbi.nlm.nih.gov/nuccore/CP000304.1?report=graph&amp;tracks=[key:gene_model_track,Options:GeneOnly]&amp;mk=1856570:1856589|offset_0|00cc00,1856547:1856566|offset_23|444444,1856515:1856534|offset_55|444444,1856487:1856506|offset_83|444444&amp;v=1856369:1856706&amp;c=444444", "offset 0")</f>
        <v>offset 0</v>
      </c>
    </row>
    <row r="6620" customFormat="false" ht="12.8" hidden="false" customHeight="false" outlineLevel="0" collapsed="false">
      <c r="A6620" s="0" t="s">
        <v>12</v>
      </c>
      <c r="B6620" s="0" t="n">
        <v>1856546</v>
      </c>
      <c r="C6620" s="0" t="n">
        <v>1856566</v>
      </c>
      <c r="D6620" s="0" t="s">
        <v>22136</v>
      </c>
      <c r="E6620" s="0" t="s">
        <v>89</v>
      </c>
      <c r="F6620" s="0" t="s">
        <v>90</v>
      </c>
      <c r="G6620" s="0" t="s">
        <v>26</v>
      </c>
      <c r="H6620" s="0" t="n">
        <v>23</v>
      </c>
      <c r="I6620" s="0" t="s">
        <v>22140</v>
      </c>
      <c r="J6620" s="0" t="s">
        <v>22141</v>
      </c>
      <c r="K6620" s="0" t="s">
        <v>22142</v>
      </c>
      <c r="L6620" s="0" t="str">
        <f aca="false">HYPERLINK("https://www.ncbi.nlm.nih.gov/nuccore/CP000304.1?report=graph&amp;tracks=[key:gene_model_track,Options:GeneOnly]&amp;mk=1856570:1856589|offset_0|444444,1856547:1856566|offset_23|00cc00,1856515:1856534|offset_55|444444,1856487:1856506|offset_83|444444&amp;v=1856369:1856706&amp;c=444444", "offset 23")</f>
        <v>offset 23</v>
      </c>
    </row>
    <row r="6621" customFormat="false" ht="12.8" hidden="false" customHeight="false" outlineLevel="0" collapsed="false">
      <c r="A6621" s="0" t="s">
        <v>12</v>
      </c>
      <c r="B6621" s="0" t="n">
        <v>1856514</v>
      </c>
      <c r="C6621" s="0" t="n">
        <v>1856534</v>
      </c>
      <c r="D6621" s="0" t="s">
        <v>22136</v>
      </c>
      <c r="E6621" s="0" t="s">
        <v>89</v>
      </c>
      <c r="F6621" s="0" t="s">
        <v>90</v>
      </c>
      <c r="G6621" s="0" t="s">
        <v>16</v>
      </c>
      <c r="H6621" s="0" t="n">
        <v>55</v>
      </c>
      <c r="I6621" s="0" t="s">
        <v>22143</v>
      </c>
      <c r="J6621" s="0" t="s">
        <v>22144</v>
      </c>
      <c r="K6621" s="0" t="s">
        <v>22145</v>
      </c>
      <c r="L6621" s="0" t="str">
        <f aca="false">HYPERLINK("https://www.ncbi.nlm.nih.gov/nuccore/CP000304.1?report=graph&amp;tracks=[key:gene_model_track,Options:GeneOnly]&amp;mk=1856570:1856589|offset_0|444444,1856547:1856566|offset_23|444444,1856515:1856534|offset_55|00cc00,1856487:1856506|offset_83|444444&amp;v=1856369:1856706&amp;c=444444", "offset 55")</f>
        <v>offset 55</v>
      </c>
    </row>
    <row r="6622" customFormat="false" ht="12.8" hidden="false" customHeight="false" outlineLevel="0" collapsed="false">
      <c r="A6622" s="0" t="s">
        <v>12</v>
      </c>
      <c r="B6622" s="0" t="n">
        <v>1856486</v>
      </c>
      <c r="C6622" s="0" t="n">
        <v>1856506</v>
      </c>
      <c r="D6622" s="0" t="s">
        <v>22136</v>
      </c>
      <c r="E6622" s="0" t="s">
        <v>89</v>
      </c>
      <c r="F6622" s="0" t="s">
        <v>90</v>
      </c>
      <c r="G6622" s="0" t="s">
        <v>26</v>
      </c>
      <c r="H6622" s="0" t="n">
        <v>83</v>
      </c>
      <c r="I6622" s="0" t="s">
        <v>22146</v>
      </c>
      <c r="J6622" s="0" t="s">
        <v>22147</v>
      </c>
      <c r="K6622" s="0" t="s">
        <v>22148</v>
      </c>
      <c r="L6622" s="0" t="str">
        <f aca="false">HYPERLINK("https://www.ncbi.nlm.nih.gov/nuccore/CP000304.1?report=graph&amp;tracks=[key:gene_model_track,Options:GeneOnly]&amp;mk=1856570:1856589|offset_0|444444,1856547:1856566|offset_23|444444,1856515:1856534|offset_55|444444,1856487:1856506|offset_83|00cc00&amp;v=1856369:1856706&amp;c=444444", "offset 83")</f>
        <v>offset 83</v>
      </c>
    </row>
    <row r="6623" customFormat="false" ht="12.8" hidden="false" customHeight="false" outlineLevel="0" collapsed="false">
      <c r="A6623" s="0" t="s">
        <v>12</v>
      </c>
      <c r="B6623" s="0" t="n">
        <v>1858599</v>
      </c>
      <c r="C6623" s="0" t="n">
        <v>1858619</v>
      </c>
      <c r="D6623" s="0" t="s">
        <v>22149</v>
      </c>
      <c r="E6623" s="0" t="s">
        <v>89</v>
      </c>
      <c r="F6623" s="0" t="s">
        <v>90</v>
      </c>
      <c r="G6623" s="0" t="s">
        <v>26</v>
      </c>
      <c r="H6623" s="0" t="n">
        <v>10</v>
      </c>
      <c r="I6623" s="0" t="s">
        <v>22150</v>
      </c>
      <c r="J6623" s="0" t="s">
        <v>22151</v>
      </c>
      <c r="K6623" s="0" t="s">
        <v>22152</v>
      </c>
      <c r="L6623" s="0" t="str">
        <f aca="false">HYPERLINK("https://www.ncbi.nlm.nih.gov/nuccore/CP000304.1?report=graph&amp;tracks=[key:gene_model_track,Options:GeneOnly]&amp;mk=1858600:1858619|offset_10|00cc00,1858579:1858598|offset_31|444444,1858558:1858577|offset_52|444444,1858534:1858553|offset_76|444444&amp;v=1858399:1858753&amp;c=444444", "offset 10")</f>
        <v>offset 10</v>
      </c>
    </row>
    <row r="6624" customFormat="false" ht="12.8" hidden="false" customHeight="false" outlineLevel="0" collapsed="false">
      <c r="A6624" s="0" t="s">
        <v>12</v>
      </c>
      <c r="B6624" s="0" t="n">
        <v>1858578</v>
      </c>
      <c r="C6624" s="0" t="n">
        <v>1858598</v>
      </c>
      <c r="D6624" s="0" t="s">
        <v>22149</v>
      </c>
      <c r="E6624" s="0" t="s">
        <v>89</v>
      </c>
      <c r="F6624" s="0" t="s">
        <v>90</v>
      </c>
      <c r="G6624" s="0" t="s">
        <v>26</v>
      </c>
      <c r="H6624" s="0" t="n">
        <v>31</v>
      </c>
      <c r="I6624" s="0" t="s">
        <v>22153</v>
      </c>
      <c r="J6624" s="0" t="s">
        <v>22154</v>
      </c>
      <c r="K6624" s="0" t="s">
        <v>22155</v>
      </c>
      <c r="L6624" s="0" t="str">
        <f aca="false">HYPERLINK("https://www.ncbi.nlm.nih.gov/nuccore/CP000304.1?report=graph&amp;tracks=[key:gene_model_track,Options:GeneOnly]&amp;mk=1858600:1858619|offset_10|444444,1858579:1858598|offset_31|00cc00,1858558:1858577|offset_52|444444,1858534:1858553|offset_76|444444&amp;v=1858399:1858753&amp;c=444444", "offset 31")</f>
        <v>offset 31</v>
      </c>
    </row>
    <row r="6625" customFormat="false" ht="12.8" hidden="false" customHeight="false" outlineLevel="0" collapsed="false">
      <c r="A6625" s="0" t="s">
        <v>12</v>
      </c>
      <c r="B6625" s="0" t="n">
        <v>1858557</v>
      </c>
      <c r="C6625" s="0" t="n">
        <v>1858577</v>
      </c>
      <c r="D6625" s="0" t="s">
        <v>22149</v>
      </c>
      <c r="E6625" s="0" t="s">
        <v>89</v>
      </c>
      <c r="F6625" s="0" t="s">
        <v>90</v>
      </c>
      <c r="G6625" s="0" t="s">
        <v>16</v>
      </c>
      <c r="H6625" s="0" t="n">
        <v>52</v>
      </c>
      <c r="I6625" s="0" t="s">
        <v>22156</v>
      </c>
      <c r="J6625" s="0" t="s">
        <v>22157</v>
      </c>
      <c r="K6625" s="0" t="s">
        <v>22158</v>
      </c>
      <c r="L6625" s="0" t="str">
        <f aca="false">HYPERLINK("https://www.ncbi.nlm.nih.gov/nuccore/CP000304.1?report=graph&amp;tracks=[key:gene_model_track,Options:GeneOnly]&amp;mk=1858600:1858619|offset_10|444444,1858579:1858598|offset_31|444444,1858558:1858577|offset_52|00cc00,1858534:1858553|offset_76|444444&amp;v=1858399:1858753&amp;c=444444", "offset 52")</f>
        <v>offset 52</v>
      </c>
    </row>
    <row r="6626" customFormat="false" ht="12.8" hidden="false" customHeight="false" outlineLevel="0" collapsed="false">
      <c r="A6626" s="0" t="s">
        <v>12</v>
      </c>
      <c r="B6626" s="0" t="n">
        <v>1858533</v>
      </c>
      <c r="C6626" s="0" t="n">
        <v>1858553</v>
      </c>
      <c r="D6626" s="0" t="s">
        <v>22149</v>
      </c>
      <c r="E6626" s="0" t="s">
        <v>89</v>
      </c>
      <c r="F6626" s="0" t="s">
        <v>90</v>
      </c>
      <c r="G6626" s="0" t="s">
        <v>36</v>
      </c>
      <c r="H6626" s="0" t="n">
        <v>76</v>
      </c>
      <c r="I6626" s="0" t="s">
        <v>22159</v>
      </c>
      <c r="J6626" s="0" t="s">
        <v>22160</v>
      </c>
      <c r="K6626" s="0" t="s">
        <v>22161</v>
      </c>
      <c r="L6626" s="0" t="str">
        <f aca="false">HYPERLINK("https://www.ncbi.nlm.nih.gov/nuccore/CP000304.1?report=graph&amp;tracks=[key:gene_model_track,Options:GeneOnly]&amp;mk=1858600:1858619|offset_10|444444,1858579:1858598|offset_31|444444,1858558:1858577|offset_52|444444,1858534:1858553|offset_76|00cc00&amp;v=1858399:1858753&amp;c=444444", "offset 76")</f>
        <v>offset 76</v>
      </c>
    </row>
    <row r="6627" customFormat="false" ht="12.8" hidden="false" customHeight="false" outlineLevel="0" collapsed="false">
      <c r="A6627" s="0" t="s">
        <v>12</v>
      </c>
      <c r="B6627" s="0" t="n">
        <v>1859164</v>
      </c>
      <c r="C6627" s="0" t="n">
        <v>1859184</v>
      </c>
      <c r="D6627" s="0" t="s">
        <v>22162</v>
      </c>
      <c r="E6627" s="0" t="s">
        <v>22163</v>
      </c>
      <c r="F6627" s="0" t="s">
        <v>15</v>
      </c>
      <c r="G6627" s="0" t="s">
        <v>32</v>
      </c>
      <c r="H6627" s="0" t="n">
        <v>22</v>
      </c>
      <c r="I6627" s="0" t="s">
        <v>22164</v>
      </c>
      <c r="J6627" s="0" t="s">
        <v>22165</v>
      </c>
      <c r="K6627" s="0" t="s">
        <v>22166</v>
      </c>
      <c r="L6627" s="0" t="str">
        <f aca="false">HYPERLINK("https://www.ncbi.nlm.nih.gov/nuccore/CP000304.1?report=graph&amp;tracks=[key:gene_model_track,Options:GeneOnly]&amp;mk=1859165:1859184|offset_22|00cc00,1859214:1859233|offset_71|444444,1859247:1859266|offset_104|444444,1859268:1859287|offset_125|444444&amp;v=1858964:1859487&amp;c=444444", "offset 22")</f>
        <v>offset 22</v>
      </c>
    </row>
    <row r="6628" customFormat="false" ht="12.8" hidden="false" customHeight="false" outlineLevel="0" collapsed="false">
      <c r="A6628" s="0" t="s">
        <v>12</v>
      </c>
      <c r="B6628" s="0" t="n">
        <v>1859213</v>
      </c>
      <c r="C6628" s="0" t="n">
        <v>1859233</v>
      </c>
      <c r="D6628" s="0" t="s">
        <v>22162</v>
      </c>
      <c r="E6628" s="0" t="s">
        <v>22163</v>
      </c>
      <c r="F6628" s="0" t="s">
        <v>15</v>
      </c>
      <c r="G6628" s="0" t="s">
        <v>26</v>
      </c>
      <c r="H6628" s="0" t="n">
        <v>71</v>
      </c>
      <c r="I6628" s="0" t="s">
        <v>22167</v>
      </c>
      <c r="J6628" s="0" t="s">
        <v>22168</v>
      </c>
      <c r="K6628" s="0" t="s">
        <v>22169</v>
      </c>
      <c r="L6628" s="0" t="str">
        <f aca="false">HYPERLINK("https://www.ncbi.nlm.nih.gov/nuccore/CP000304.1?report=graph&amp;tracks=[key:gene_model_track,Options:GeneOnly]&amp;mk=1859165:1859184|offset_22|444444,1859214:1859233|offset_71|00cc00,1859247:1859266|offset_104|444444,1859268:1859287|offset_125|444444&amp;v=1858964:1859487&amp;c=444444", "offset 71")</f>
        <v>offset 71</v>
      </c>
    </row>
    <row r="6629" customFormat="false" ht="12.8" hidden="false" customHeight="false" outlineLevel="0" collapsed="false">
      <c r="A6629" s="0" t="s">
        <v>12</v>
      </c>
      <c r="B6629" s="0" t="n">
        <v>1859246</v>
      </c>
      <c r="C6629" s="0" t="n">
        <v>1859266</v>
      </c>
      <c r="D6629" s="0" t="s">
        <v>22162</v>
      </c>
      <c r="E6629" s="0" t="s">
        <v>22163</v>
      </c>
      <c r="F6629" s="0" t="s">
        <v>15</v>
      </c>
      <c r="G6629" s="0" t="s">
        <v>26</v>
      </c>
      <c r="H6629" s="0" t="n">
        <v>104</v>
      </c>
      <c r="I6629" s="0" t="s">
        <v>22170</v>
      </c>
      <c r="J6629" s="0" t="s">
        <v>22171</v>
      </c>
      <c r="K6629" s="0" t="s">
        <v>22172</v>
      </c>
      <c r="L6629" s="0" t="str">
        <f aca="false">HYPERLINK("https://www.ncbi.nlm.nih.gov/nuccore/CP000304.1?report=graph&amp;tracks=[key:gene_model_track,Options:GeneOnly]&amp;mk=1859165:1859184|offset_22|444444,1859214:1859233|offset_71|444444,1859247:1859266|offset_104|00cc00,1859268:1859287|offset_125|444444&amp;v=1858964:1859487&amp;c=444444", "offset 104")</f>
        <v>offset 104</v>
      </c>
    </row>
    <row r="6630" customFormat="false" ht="12.8" hidden="false" customHeight="false" outlineLevel="0" collapsed="false">
      <c r="A6630" s="0" t="s">
        <v>12</v>
      </c>
      <c r="B6630" s="0" t="n">
        <v>1859267</v>
      </c>
      <c r="C6630" s="0" t="n">
        <v>1859287</v>
      </c>
      <c r="D6630" s="0" t="s">
        <v>22162</v>
      </c>
      <c r="E6630" s="0" t="s">
        <v>22163</v>
      </c>
      <c r="F6630" s="0" t="s">
        <v>15</v>
      </c>
      <c r="G6630" s="0" t="s">
        <v>32</v>
      </c>
      <c r="H6630" s="0" t="n">
        <v>125</v>
      </c>
      <c r="I6630" s="0" t="s">
        <v>22173</v>
      </c>
      <c r="J6630" s="0" t="s">
        <v>22174</v>
      </c>
      <c r="K6630" s="0" t="s">
        <v>22175</v>
      </c>
      <c r="L6630" s="0" t="str">
        <f aca="false">HYPERLINK("https://www.ncbi.nlm.nih.gov/nuccore/CP000304.1?report=graph&amp;tracks=[key:gene_model_track,Options:GeneOnly]&amp;mk=1859165:1859184|offset_22|444444,1859214:1859233|offset_71|444444,1859247:1859266|offset_104|444444,1859268:1859287|offset_125|00cc00&amp;v=1858964:1859487&amp;c=444444", "offset 125")</f>
        <v>offset 125</v>
      </c>
    </row>
    <row r="6631" customFormat="false" ht="12.8" hidden="false" customHeight="false" outlineLevel="0" collapsed="false">
      <c r="A6631" s="0" t="s">
        <v>12</v>
      </c>
      <c r="B6631" s="0" t="n">
        <v>1861316</v>
      </c>
      <c r="C6631" s="0" t="n">
        <v>1861336</v>
      </c>
      <c r="D6631" s="0" t="s">
        <v>22176</v>
      </c>
      <c r="E6631" s="0" t="s">
        <v>22177</v>
      </c>
      <c r="F6631" s="0" t="s">
        <v>15</v>
      </c>
      <c r="G6631" s="0" t="s">
        <v>26</v>
      </c>
      <c r="H6631" s="0" t="n">
        <v>8</v>
      </c>
      <c r="I6631" s="0" t="s">
        <v>22178</v>
      </c>
      <c r="J6631" s="0" t="s">
        <v>22179</v>
      </c>
      <c r="K6631" s="0" t="s">
        <v>22180</v>
      </c>
      <c r="L6631" s="0" t="str">
        <f aca="false">HYPERLINK("https://www.ncbi.nlm.nih.gov/nuccore/CP000304.1?report=graph&amp;tracks=[key:gene_model_track,Options:GeneOnly]&amp;mk=1861317:1861336|offset_8|00cc00,1861358:1861377|offset_49|444444,1861389:1861408|offset_80|444444,1861409:1861428|offset_100|444444&amp;v=1861116:1861628&amp;c=444444", "offset 8")</f>
        <v>offset 8</v>
      </c>
    </row>
    <row r="6632" customFormat="false" ht="12.8" hidden="false" customHeight="false" outlineLevel="0" collapsed="false">
      <c r="A6632" s="0" t="s">
        <v>12</v>
      </c>
      <c r="B6632" s="0" t="n">
        <v>1861357</v>
      </c>
      <c r="C6632" s="0" t="n">
        <v>1861377</v>
      </c>
      <c r="D6632" s="0" t="s">
        <v>22176</v>
      </c>
      <c r="E6632" s="0" t="s">
        <v>22177</v>
      </c>
      <c r="F6632" s="0" t="s">
        <v>15</v>
      </c>
      <c r="G6632" s="0" t="s">
        <v>36</v>
      </c>
      <c r="H6632" s="0" t="n">
        <v>49</v>
      </c>
      <c r="I6632" s="0" t="s">
        <v>22181</v>
      </c>
      <c r="J6632" s="0" t="s">
        <v>22182</v>
      </c>
      <c r="K6632" s="0" t="s">
        <v>22183</v>
      </c>
      <c r="L6632" s="0" t="str">
        <f aca="false">HYPERLINK("https://www.ncbi.nlm.nih.gov/nuccore/CP000304.1?report=graph&amp;tracks=[key:gene_model_track,Options:GeneOnly]&amp;mk=1861317:1861336|offset_8|444444,1861358:1861377|offset_49|00cc00,1861389:1861408|offset_80|444444,1861409:1861428|offset_100|444444&amp;v=1861116:1861628&amp;c=444444", "offset 49")</f>
        <v>offset 49</v>
      </c>
    </row>
    <row r="6633" customFormat="false" ht="12.8" hidden="false" customHeight="false" outlineLevel="0" collapsed="false">
      <c r="A6633" s="0" t="s">
        <v>12</v>
      </c>
      <c r="B6633" s="0" t="n">
        <v>1861388</v>
      </c>
      <c r="C6633" s="0" t="n">
        <v>1861408</v>
      </c>
      <c r="D6633" s="0" t="s">
        <v>22176</v>
      </c>
      <c r="E6633" s="0" t="s">
        <v>22177</v>
      </c>
      <c r="F6633" s="0" t="s">
        <v>15</v>
      </c>
      <c r="G6633" s="0" t="s">
        <v>16</v>
      </c>
      <c r="H6633" s="0" t="n">
        <v>80</v>
      </c>
      <c r="I6633" s="0" t="s">
        <v>22184</v>
      </c>
      <c r="J6633" s="0" t="s">
        <v>22185</v>
      </c>
      <c r="K6633" s="0" t="s">
        <v>22186</v>
      </c>
      <c r="L6633" s="0" t="str">
        <f aca="false">HYPERLINK("https://www.ncbi.nlm.nih.gov/nuccore/CP000304.1?report=graph&amp;tracks=[key:gene_model_track,Options:GeneOnly]&amp;mk=1861317:1861336|offset_8|444444,1861358:1861377|offset_49|444444,1861389:1861408|offset_80|00cc00,1861409:1861428|offset_100|444444&amp;v=1861116:1861628&amp;c=444444", "offset 80")</f>
        <v>offset 80</v>
      </c>
    </row>
    <row r="6634" customFormat="false" ht="12.8" hidden="false" customHeight="false" outlineLevel="0" collapsed="false">
      <c r="A6634" s="0" t="s">
        <v>12</v>
      </c>
      <c r="B6634" s="0" t="n">
        <v>1861408</v>
      </c>
      <c r="C6634" s="0" t="n">
        <v>1861428</v>
      </c>
      <c r="D6634" s="0" t="s">
        <v>22176</v>
      </c>
      <c r="E6634" s="0" t="s">
        <v>22177</v>
      </c>
      <c r="F6634" s="0" t="s">
        <v>15</v>
      </c>
      <c r="G6634" s="0" t="s">
        <v>32</v>
      </c>
      <c r="H6634" s="0" t="n">
        <v>100</v>
      </c>
      <c r="I6634" s="0" t="s">
        <v>22187</v>
      </c>
      <c r="J6634" s="0" t="s">
        <v>22188</v>
      </c>
      <c r="K6634" s="0" t="s">
        <v>22189</v>
      </c>
      <c r="L6634" s="0" t="str">
        <f aca="false">HYPERLINK("https://www.ncbi.nlm.nih.gov/nuccore/CP000304.1?report=graph&amp;tracks=[key:gene_model_track,Options:GeneOnly]&amp;mk=1861317:1861336|offset_8|444444,1861358:1861377|offset_49|444444,1861389:1861408|offset_80|444444,1861409:1861428|offset_100|00cc00&amp;v=1861116:1861628&amp;c=444444", "offset 100")</f>
        <v>offset 100</v>
      </c>
    </row>
    <row r="6635" customFormat="false" ht="12.8" hidden="false" customHeight="false" outlineLevel="0" collapsed="false">
      <c r="A6635" s="0" t="s">
        <v>12</v>
      </c>
      <c r="B6635" s="0" t="n">
        <v>1862556</v>
      </c>
      <c r="C6635" s="0" t="n">
        <v>1862576</v>
      </c>
      <c r="D6635" s="0" t="s">
        <v>22190</v>
      </c>
      <c r="E6635" s="0" t="s">
        <v>89</v>
      </c>
      <c r="F6635" s="0" t="s">
        <v>15</v>
      </c>
      <c r="G6635" s="0" t="s">
        <v>16</v>
      </c>
      <c r="H6635" s="0" t="n">
        <v>0</v>
      </c>
      <c r="I6635" s="0" t="s">
        <v>22191</v>
      </c>
      <c r="J6635" s="0" t="s">
        <v>22192</v>
      </c>
      <c r="K6635" s="0" t="s">
        <v>22193</v>
      </c>
      <c r="L6635" s="0" t="str">
        <f aca="false">HYPERLINK("https://www.ncbi.nlm.nih.gov/nuccore/CP000304.1?report=graph&amp;tracks=[key:gene_model_track,Options:GeneOnly]&amp;mk=1862557:1862576|offset_0|00cc00,1862577:1862596|offset_20|444444,1862635:1862654|offset_78|444444,1862662:1862681|offset_105|444444&amp;v=1862356:1862881&amp;c=444444", "offset 0")</f>
        <v>offset 0</v>
      </c>
    </row>
    <row r="6636" customFormat="false" ht="12.8" hidden="false" customHeight="false" outlineLevel="0" collapsed="false">
      <c r="A6636" s="0" t="s">
        <v>12</v>
      </c>
      <c r="B6636" s="0" t="n">
        <v>1862576</v>
      </c>
      <c r="C6636" s="0" t="n">
        <v>1862596</v>
      </c>
      <c r="D6636" s="0" t="s">
        <v>22190</v>
      </c>
      <c r="E6636" s="0" t="s">
        <v>89</v>
      </c>
      <c r="F6636" s="0" t="s">
        <v>15</v>
      </c>
      <c r="G6636" s="0" t="s">
        <v>26</v>
      </c>
      <c r="H6636" s="0" t="n">
        <v>20</v>
      </c>
      <c r="I6636" s="0" t="s">
        <v>22194</v>
      </c>
      <c r="J6636" s="0" t="s">
        <v>22195</v>
      </c>
      <c r="K6636" s="0" t="s">
        <v>22196</v>
      </c>
      <c r="L6636" s="0" t="str">
        <f aca="false">HYPERLINK("https://www.ncbi.nlm.nih.gov/nuccore/CP000304.1?report=graph&amp;tracks=[key:gene_model_track,Options:GeneOnly]&amp;mk=1862557:1862576|offset_0|444444,1862577:1862596|offset_20|00cc00,1862635:1862654|offset_78|444444,1862662:1862681|offset_105|444444&amp;v=1862356:1862881&amp;c=444444", "offset 20")</f>
        <v>offset 20</v>
      </c>
    </row>
    <row r="6637" customFormat="false" ht="12.8" hidden="false" customHeight="false" outlineLevel="0" collapsed="false">
      <c r="A6637" s="0" t="s">
        <v>12</v>
      </c>
      <c r="B6637" s="0" t="n">
        <v>1862634</v>
      </c>
      <c r="C6637" s="0" t="n">
        <v>1862654</v>
      </c>
      <c r="D6637" s="0" t="s">
        <v>22190</v>
      </c>
      <c r="E6637" s="0" t="s">
        <v>89</v>
      </c>
      <c r="F6637" s="0" t="s">
        <v>15</v>
      </c>
      <c r="G6637" s="0" t="s">
        <v>16</v>
      </c>
      <c r="H6637" s="0" t="n">
        <v>78</v>
      </c>
      <c r="I6637" s="0" t="s">
        <v>22197</v>
      </c>
      <c r="J6637" s="0" t="s">
        <v>22198</v>
      </c>
      <c r="K6637" s="0" t="s">
        <v>22199</v>
      </c>
      <c r="L6637" s="0" t="str">
        <f aca="false">HYPERLINK("https://www.ncbi.nlm.nih.gov/nuccore/CP000304.1?report=graph&amp;tracks=[key:gene_model_track,Options:GeneOnly]&amp;mk=1862557:1862576|offset_0|444444,1862577:1862596|offset_20|444444,1862635:1862654|offset_78|00cc00,1862662:1862681|offset_105|444444&amp;v=1862356:1862881&amp;c=444444", "offset 78")</f>
        <v>offset 78</v>
      </c>
    </row>
    <row r="6638" customFormat="false" ht="12.8" hidden="false" customHeight="false" outlineLevel="0" collapsed="false">
      <c r="A6638" s="0" t="s">
        <v>12</v>
      </c>
      <c r="B6638" s="0" t="n">
        <v>1862661</v>
      </c>
      <c r="C6638" s="0" t="n">
        <v>1862681</v>
      </c>
      <c r="D6638" s="0" t="s">
        <v>22190</v>
      </c>
      <c r="E6638" s="0" t="s">
        <v>89</v>
      </c>
      <c r="F6638" s="0" t="s">
        <v>15</v>
      </c>
      <c r="G6638" s="0" t="s">
        <v>16</v>
      </c>
      <c r="H6638" s="0" t="n">
        <v>105</v>
      </c>
      <c r="I6638" s="0" t="s">
        <v>22200</v>
      </c>
      <c r="J6638" s="0" t="s">
        <v>22201</v>
      </c>
      <c r="K6638" s="0" t="s">
        <v>22202</v>
      </c>
      <c r="L6638" s="0" t="str">
        <f aca="false">HYPERLINK("https://www.ncbi.nlm.nih.gov/nuccore/CP000304.1?report=graph&amp;tracks=[key:gene_model_track,Options:GeneOnly]&amp;mk=1862557:1862576|offset_0|444444,1862577:1862596|offset_20|444444,1862635:1862654|offset_78|444444,1862662:1862681|offset_105|00cc00&amp;v=1862356:1862881&amp;c=444444", "offset 105")</f>
        <v>offset 105</v>
      </c>
    </row>
    <row r="6639" customFormat="false" ht="12.8" hidden="false" customHeight="false" outlineLevel="0" collapsed="false">
      <c r="A6639" s="0" t="s">
        <v>12</v>
      </c>
      <c r="B6639" s="0" t="n">
        <v>1863140</v>
      </c>
      <c r="C6639" s="0" t="n">
        <v>1863160</v>
      </c>
      <c r="D6639" s="0" t="s">
        <v>22203</v>
      </c>
      <c r="E6639" s="0" t="s">
        <v>22204</v>
      </c>
      <c r="F6639" s="0" t="s">
        <v>15</v>
      </c>
      <c r="G6639" s="0" t="s">
        <v>32</v>
      </c>
      <c r="H6639" s="0" t="n">
        <v>1</v>
      </c>
      <c r="I6639" s="0" t="s">
        <v>22205</v>
      </c>
      <c r="J6639" s="0" t="s">
        <v>22206</v>
      </c>
      <c r="K6639" s="0" t="s">
        <v>22207</v>
      </c>
      <c r="L6639" s="0" t="str">
        <f aca="false">HYPERLINK("https://www.ncbi.nlm.nih.gov/nuccore/CP000304.1?report=graph&amp;tracks=[key:gene_model_track,Options:GeneOnly]&amp;mk=1863141:1863160|offset_1|00cc00,1863173:1863192|offset_33|444444,1863211:1863230|offset_71|444444,1863238:1863257|offset_98|444444&amp;v=1862940:1863457&amp;c=444444", "offset 1")</f>
        <v>offset 1</v>
      </c>
    </row>
    <row r="6640" customFormat="false" ht="12.8" hidden="false" customHeight="false" outlineLevel="0" collapsed="false">
      <c r="A6640" s="0" t="s">
        <v>12</v>
      </c>
      <c r="B6640" s="0" t="n">
        <v>1863172</v>
      </c>
      <c r="C6640" s="0" t="n">
        <v>1863192</v>
      </c>
      <c r="D6640" s="0" t="s">
        <v>22203</v>
      </c>
      <c r="E6640" s="0" t="s">
        <v>22204</v>
      </c>
      <c r="F6640" s="0" t="s">
        <v>15</v>
      </c>
      <c r="G6640" s="0" t="s">
        <v>16</v>
      </c>
      <c r="H6640" s="0" t="n">
        <v>33</v>
      </c>
      <c r="I6640" s="0" t="s">
        <v>22208</v>
      </c>
      <c r="J6640" s="0" t="s">
        <v>22209</v>
      </c>
      <c r="K6640" s="0" t="s">
        <v>22210</v>
      </c>
      <c r="L6640" s="0" t="str">
        <f aca="false">HYPERLINK("https://www.ncbi.nlm.nih.gov/nuccore/CP000304.1?report=graph&amp;tracks=[key:gene_model_track,Options:GeneOnly]&amp;mk=1863141:1863160|offset_1|444444,1863173:1863192|offset_33|00cc00,1863211:1863230|offset_71|444444,1863238:1863257|offset_98|444444&amp;v=1862940:1863457&amp;c=444444", "offset 33")</f>
        <v>offset 33</v>
      </c>
    </row>
    <row r="6641" customFormat="false" ht="12.8" hidden="false" customHeight="false" outlineLevel="0" collapsed="false">
      <c r="A6641" s="0" t="s">
        <v>12</v>
      </c>
      <c r="B6641" s="0" t="n">
        <v>1863210</v>
      </c>
      <c r="C6641" s="0" t="n">
        <v>1863230</v>
      </c>
      <c r="D6641" s="0" t="s">
        <v>22203</v>
      </c>
      <c r="E6641" s="0" t="s">
        <v>22204</v>
      </c>
      <c r="F6641" s="0" t="s">
        <v>15</v>
      </c>
      <c r="G6641" s="0" t="s">
        <v>32</v>
      </c>
      <c r="H6641" s="0" t="n">
        <v>71</v>
      </c>
      <c r="I6641" s="0" t="s">
        <v>22211</v>
      </c>
      <c r="J6641" s="0" t="s">
        <v>22212</v>
      </c>
      <c r="K6641" s="0" t="s">
        <v>22213</v>
      </c>
      <c r="L6641" s="0" t="str">
        <f aca="false">HYPERLINK("https://www.ncbi.nlm.nih.gov/nuccore/CP000304.1?report=graph&amp;tracks=[key:gene_model_track,Options:GeneOnly]&amp;mk=1863141:1863160|offset_1|444444,1863173:1863192|offset_33|444444,1863211:1863230|offset_71|00cc00,1863238:1863257|offset_98|444444&amp;v=1862940:1863457&amp;c=444444", "offset 71")</f>
        <v>offset 71</v>
      </c>
    </row>
    <row r="6642" customFormat="false" ht="12.8" hidden="false" customHeight="false" outlineLevel="0" collapsed="false">
      <c r="A6642" s="0" t="s">
        <v>12</v>
      </c>
      <c r="B6642" s="0" t="n">
        <v>1863237</v>
      </c>
      <c r="C6642" s="0" t="n">
        <v>1863257</v>
      </c>
      <c r="D6642" s="0" t="s">
        <v>22203</v>
      </c>
      <c r="E6642" s="0" t="s">
        <v>22204</v>
      </c>
      <c r="F6642" s="0" t="s">
        <v>15</v>
      </c>
      <c r="G6642" s="0" t="s">
        <v>32</v>
      </c>
      <c r="H6642" s="0" t="n">
        <v>98</v>
      </c>
      <c r="I6642" s="0" t="s">
        <v>22214</v>
      </c>
      <c r="J6642" s="0" t="s">
        <v>22215</v>
      </c>
      <c r="K6642" s="0" t="s">
        <v>22216</v>
      </c>
      <c r="L6642" s="0" t="str">
        <f aca="false">HYPERLINK("https://www.ncbi.nlm.nih.gov/nuccore/CP000304.1?report=graph&amp;tracks=[key:gene_model_track,Options:GeneOnly]&amp;mk=1863141:1863160|offset_1|444444,1863173:1863192|offset_33|444444,1863211:1863230|offset_71|444444,1863238:1863257|offset_98|00cc00&amp;v=1862940:1863457&amp;c=444444", "offset 98")</f>
        <v>offset 98</v>
      </c>
    </row>
    <row r="6643" customFormat="false" ht="12.8" hidden="false" customHeight="false" outlineLevel="0" collapsed="false">
      <c r="A6643" s="0" t="s">
        <v>12</v>
      </c>
      <c r="B6643" s="0" t="n">
        <v>1865879</v>
      </c>
      <c r="C6643" s="0" t="n">
        <v>1865899</v>
      </c>
      <c r="D6643" s="0" t="s">
        <v>22217</v>
      </c>
      <c r="E6643" s="0" t="s">
        <v>89</v>
      </c>
      <c r="F6643" s="0" t="s">
        <v>15</v>
      </c>
      <c r="G6643" s="0" t="s">
        <v>32</v>
      </c>
      <c r="H6643" s="0" t="n">
        <v>1</v>
      </c>
      <c r="I6643" s="0" t="s">
        <v>22218</v>
      </c>
      <c r="J6643" s="0" t="s">
        <v>22219</v>
      </c>
      <c r="K6643" s="0" t="s">
        <v>22220</v>
      </c>
      <c r="L6643" s="0" t="str">
        <f aca="false">HYPERLINK("https://www.ncbi.nlm.nih.gov/nuccore/CP000304.1?report=graph&amp;tracks=[key:gene_model_track,Options:GeneOnly]&amp;mk=1865880:1865899|offset_1|00cc00,1865901:1865920|offset_22|444444,1865932:1865951|offset_53|444444,1865958:1865977|offset_79|444444&amp;v=1865679:1866177&amp;c=444444", "offset 1")</f>
        <v>offset 1</v>
      </c>
    </row>
    <row r="6644" customFormat="false" ht="12.8" hidden="false" customHeight="false" outlineLevel="0" collapsed="false">
      <c r="A6644" s="0" t="s">
        <v>12</v>
      </c>
      <c r="B6644" s="0" t="n">
        <v>1865900</v>
      </c>
      <c r="C6644" s="0" t="n">
        <v>1865920</v>
      </c>
      <c r="D6644" s="0" t="s">
        <v>22217</v>
      </c>
      <c r="E6644" s="0" t="s">
        <v>89</v>
      </c>
      <c r="F6644" s="0" t="s">
        <v>15</v>
      </c>
      <c r="G6644" s="0" t="s">
        <v>36</v>
      </c>
      <c r="H6644" s="0" t="n">
        <v>22</v>
      </c>
      <c r="I6644" s="0" t="s">
        <v>22221</v>
      </c>
      <c r="J6644" s="0" t="s">
        <v>22222</v>
      </c>
      <c r="K6644" s="0" t="s">
        <v>22223</v>
      </c>
      <c r="L6644" s="0" t="str">
        <f aca="false">HYPERLINK("https://www.ncbi.nlm.nih.gov/nuccore/CP000304.1?report=graph&amp;tracks=[key:gene_model_track,Options:GeneOnly]&amp;mk=1865880:1865899|offset_1|444444,1865901:1865920|offset_22|00cc00,1865932:1865951|offset_53|444444,1865958:1865977|offset_79|444444&amp;v=1865679:1866177&amp;c=444444", "offset 22")</f>
        <v>offset 22</v>
      </c>
    </row>
    <row r="6645" customFormat="false" ht="12.8" hidden="false" customHeight="false" outlineLevel="0" collapsed="false">
      <c r="A6645" s="0" t="s">
        <v>12</v>
      </c>
      <c r="B6645" s="0" t="n">
        <v>1865931</v>
      </c>
      <c r="C6645" s="0" t="n">
        <v>1865951</v>
      </c>
      <c r="D6645" s="0" t="s">
        <v>22217</v>
      </c>
      <c r="E6645" s="0" t="s">
        <v>89</v>
      </c>
      <c r="F6645" s="0" t="s">
        <v>15</v>
      </c>
      <c r="G6645" s="0" t="s">
        <v>26</v>
      </c>
      <c r="H6645" s="0" t="n">
        <v>53</v>
      </c>
      <c r="I6645" s="0" t="s">
        <v>22224</v>
      </c>
      <c r="J6645" s="0" t="s">
        <v>22225</v>
      </c>
      <c r="K6645" s="0" t="s">
        <v>22226</v>
      </c>
      <c r="L6645" s="0" t="str">
        <f aca="false">HYPERLINK("https://www.ncbi.nlm.nih.gov/nuccore/CP000304.1?report=graph&amp;tracks=[key:gene_model_track,Options:GeneOnly]&amp;mk=1865880:1865899|offset_1|444444,1865901:1865920|offset_22|444444,1865932:1865951|offset_53|00cc00,1865958:1865977|offset_79|444444&amp;v=1865679:1866177&amp;c=444444", "offset 53")</f>
        <v>offset 53</v>
      </c>
    </row>
    <row r="6646" customFormat="false" ht="12.8" hidden="false" customHeight="false" outlineLevel="0" collapsed="false">
      <c r="A6646" s="0" t="s">
        <v>12</v>
      </c>
      <c r="B6646" s="0" t="n">
        <v>1865957</v>
      </c>
      <c r="C6646" s="0" t="n">
        <v>1865977</v>
      </c>
      <c r="D6646" s="0" t="s">
        <v>22217</v>
      </c>
      <c r="E6646" s="0" t="s">
        <v>89</v>
      </c>
      <c r="F6646" s="0" t="s">
        <v>15</v>
      </c>
      <c r="G6646" s="0" t="s">
        <v>16</v>
      </c>
      <c r="H6646" s="0" t="n">
        <v>79</v>
      </c>
      <c r="I6646" s="0" t="s">
        <v>22227</v>
      </c>
      <c r="J6646" s="0" t="s">
        <v>22228</v>
      </c>
      <c r="K6646" s="0" t="s">
        <v>22229</v>
      </c>
      <c r="L6646" s="0" t="str">
        <f aca="false">HYPERLINK("https://www.ncbi.nlm.nih.gov/nuccore/CP000304.1?report=graph&amp;tracks=[key:gene_model_track,Options:GeneOnly]&amp;mk=1865880:1865899|offset_1|444444,1865901:1865920|offset_22|444444,1865932:1865951|offset_53|444444,1865958:1865977|offset_79|00cc00&amp;v=1865679:1866177&amp;c=444444", "offset 79")</f>
        <v>offset 79</v>
      </c>
    </row>
    <row r="6647" customFormat="false" ht="12.8" hidden="false" customHeight="false" outlineLevel="0" collapsed="false">
      <c r="A6647" s="0" t="s">
        <v>12</v>
      </c>
      <c r="B6647" s="0" t="n">
        <v>1867224</v>
      </c>
      <c r="C6647" s="0" t="n">
        <v>1867244</v>
      </c>
      <c r="D6647" s="0" t="s">
        <v>22230</v>
      </c>
      <c r="E6647" s="0" t="s">
        <v>89</v>
      </c>
      <c r="F6647" s="0" t="s">
        <v>90</v>
      </c>
      <c r="G6647" s="0" t="s">
        <v>32</v>
      </c>
      <c r="H6647" s="0" t="n">
        <v>7</v>
      </c>
      <c r="I6647" s="0" t="s">
        <v>22231</v>
      </c>
      <c r="J6647" s="0" t="s">
        <v>22232</v>
      </c>
      <c r="K6647" s="0" t="s">
        <v>22233</v>
      </c>
      <c r="L6647" s="0" t="str">
        <f aca="false">HYPERLINK("https://www.ncbi.nlm.nih.gov/nuccore/CP000304.1?report=graph&amp;tracks=[key:gene_model_track,Options:GeneOnly]&amp;mk=1867225:1867244|offset_7|00cc00,1867204:1867223|offset_28|444444,1867180:1867199|offset_52|444444,1867141:1867160|offset_91|444444&amp;v=1867024:1867360&amp;c=444444", "offset 7")</f>
        <v>offset 7</v>
      </c>
    </row>
    <row r="6648" customFormat="false" ht="12.8" hidden="false" customHeight="false" outlineLevel="0" collapsed="false">
      <c r="A6648" s="0" t="s">
        <v>12</v>
      </c>
      <c r="B6648" s="0" t="n">
        <v>1867203</v>
      </c>
      <c r="C6648" s="0" t="n">
        <v>1867223</v>
      </c>
      <c r="D6648" s="0" t="s">
        <v>22230</v>
      </c>
      <c r="E6648" s="0" t="s">
        <v>89</v>
      </c>
      <c r="F6648" s="0" t="s">
        <v>90</v>
      </c>
      <c r="G6648" s="0" t="s">
        <v>16</v>
      </c>
      <c r="H6648" s="0" t="n">
        <v>28</v>
      </c>
      <c r="I6648" s="0" t="s">
        <v>22234</v>
      </c>
      <c r="J6648" s="0" t="s">
        <v>22235</v>
      </c>
      <c r="K6648" s="0" t="s">
        <v>22236</v>
      </c>
      <c r="L6648" s="0" t="str">
        <f aca="false">HYPERLINK("https://www.ncbi.nlm.nih.gov/nuccore/CP000304.1?report=graph&amp;tracks=[key:gene_model_track,Options:GeneOnly]&amp;mk=1867225:1867244|offset_7|444444,1867204:1867223|offset_28|00cc00,1867180:1867199|offset_52|444444,1867141:1867160|offset_91|444444&amp;v=1867024:1867360&amp;c=444444", "offset 28")</f>
        <v>offset 28</v>
      </c>
    </row>
    <row r="6649" customFormat="false" ht="12.8" hidden="false" customHeight="false" outlineLevel="0" collapsed="false">
      <c r="A6649" s="0" t="s">
        <v>12</v>
      </c>
      <c r="B6649" s="0" t="n">
        <v>1867179</v>
      </c>
      <c r="C6649" s="0" t="n">
        <v>1867199</v>
      </c>
      <c r="D6649" s="0" t="s">
        <v>22230</v>
      </c>
      <c r="E6649" s="0" t="s">
        <v>89</v>
      </c>
      <c r="F6649" s="0" t="s">
        <v>90</v>
      </c>
      <c r="G6649" s="0" t="s">
        <v>16</v>
      </c>
      <c r="H6649" s="0" t="n">
        <v>52</v>
      </c>
      <c r="I6649" s="0" t="s">
        <v>22237</v>
      </c>
      <c r="J6649" s="0" t="s">
        <v>22238</v>
      </c>
      <c r="K6649" s="0" t="s">
        <v>22239</v>
      </c>
      <c r="L6649" s="0" t="str">
        <f aca="false">HYPERLINK("https://www.ncbi.nlm.nih.gov/nuccore/CP000304.1?report=graph&amp;tracks=[key:gene_model_track,Options:GeneOnly]&amp;mk=1867225:1867244|offset_7|444444,1867204:1867223|offset_28|444444,1867180:1867199|offset_52|00cc00,1867141:1867160|offset_91|444444&amp;v=1867024:1867360&amp;c=444444", "offset 52")</f>
        <v>offset 52</v>
      </c>
    </row>
    <row r="6650" customFormat="false" ht="12.8" hidden="false" customHeight="false" outlineLevel="0" collapsed="false">
      <c r="A6650" s="0" t="s">
        <v>12</v>
      </c>
      <c r="B6650" s="0" t="n">
        <v>1867140</v>
      </c>
      <c r="C6650" s="0" t="n">
        <v>1867160</v>
      </c>
      <c r="D6650" s="0" t="s">
        <v>22230</v>
      </c>
      <c r="E6650" s="0" t="s">
        <v>89</v>
      </c>
      <c r="F6650" s="0" t="s">
        <v>90</v>
      </c>
      <c r="G6650" s="0" t="s">
        <v>16</v>
      </c>
      <c r="H6650" s="0" t="n">
        <v>91</v>
      </c>
      <c r="I6650" s="0" t="s">
        <v>22240</v>
      </c>
      <c r="J6650" s="0" t="s">
        <v>22241</v>
      </c>
      <c r="K6650" s="0" t="s">
        <v>22242</v>
      </c>
      <c r="L6650" s="0" t="str">
        <f aca="false">HYPERLINK("https://www.ncbi.nlm.nih.gov/nuccore/CP000304.1?report=graph&amp;tracks=[key:gene_model_track,Options:GeneOnly]&amp;mk=1867225:1867244|offset_7|444444,1867204:1867223|offset_28|444444,1867180:1867199|offset_52|444444,1867141:1867160|offset_91|00cc00&amp;v=1867024:1867360&amp;c=444444", "offset 91")</f>
        <v>offset 91</v>
      </c>
    </row>
    <row r="6651" customFormat="false" ht="12.8" hidden="false" customHeight="false" outlineLevel="0" collapsed="false">
      <c r="A6651" s="0" t="s">
        <v>12</v>
      </c>
      <c r="B6651" s="0" t="n">
        <v>1867457</v>
      </c>
      <c r="C6651" s="0" t="n">
        <v>1867477</v>
      </c>
      <c r="D6651" s="0" t="s">
        <v>22243</v>
      </c>
      <c r="E6651" s="0" t="s">
        <v>89</v>
      </c>
      <c r="F6651" s="0" t="s">
        <v>15</v>
      </c>
      <c r="G6651" s="0" t="s">
        <v>32</v>
      </c>
      <c r="H6651" s="0" t="n">
        <v>1</v>
      </c>
      <c r="I6651" s="0" t="s">
        <v>22244</v>
      </c>
      <c r="J6651" s="0" t="s">
        <v>22245</v>
      </c>
      <c r="K6651" s="0" t="s">
        <v>22246</v>
      </c>
      <c r="L6651" s="0" t="str">
        <f aca="false">HYPERLINK("https://www.ncbi.nlm.nih.gov/nuccore/CP000304.1?report=graph&amp;tracks=[key:gene_model_track,Options:GeneOnly]&amp;mk=1867458:1867477|offset_1|00cc00,1867493:1867512|offset_36|444444,1867521:1867540|offset_64|444444,1867557:1867576|offset_100|444444&amp;v=1867257:1867776&amp;c=444444", "offset 1")</f>
        <v>offset 1</v>
      </c>
    </row>
    <row r="6652" customFormat="false" ht="12.8" hidden="false" customHeight="false" outlineLevel="0" collapsed="false">
      <c r="A6652" s="0" t="s">
        <v>12</v>
      </c>
      <c r="B6652" s="0" t="n">
        <v>1867492</v>
      </c>
      <c r="C6652" s="0" t="n">
        <v>1867512</v>
      </c>
      <c r="D6652" s="0" t="s">
        <v>22243</v>
      </c>
      <c r="E6652" s="0" t="s">
        <v>89</v>
      </c>
      <c r="F6652" s="0" t="s">
        <v>15</v>
      </c>
      <c r="G6652" s="0" t="s">
        <v>32</v>
      </c>
      <c r="H6652" s="0" t="n">
        <v>36</v>
      </c>
      <c r="I6652" s="0" t="s">
        <v>22247</v>
      </c>
      <c r="J6652" s="0" t="s">
        <v>22248</v>
      </c>
      <c r="K6652" s="0" t="s">
        <v>22249</v>
      </c>
      <c r="L6652" s="0" t="str">
        <f aca="false">HYPERLINK("https://www.ncbi.nlm.nih.gov/nuccore/CP000304.1?report=graph&amp;tracks=[key:gene_model_track,Options:GeneOnly]&amp;mk=1867458:1867477|offset_1|444444,1867493:1867512|offset_36|00cc00,1867521:1867540|offset_64|444444,1867557:1867576|offset_100|444444&amp;v=1867257:1867776&amp;c=444444", "offset 36")</f>
        <v>offset 36</v>
      </c>
    </row>
    <row r="6653" customFormat="false" ht="12.8" hidden="false" customHeight="false" outlineLevel="0" collapsed="false">
      <c r="A6653" s="0" t="s">
        <v>12</v>
      </c>
      <c r="B6653" s="0" t="n">
        <v>1867520</v>
      </c>
      <c r="C6653" s="0" t="n">
        <v>1867540</v>
      </c>
      <c r="D6653" s="0" t="s">
        <v>22243</v>
      </c>
      <c r="E6653" s="0" t="s">
        <v>89</v>
      </c>
      <c r="F6653" s="0" t="s">
        <v>15</v>
      </c>
      <c r="G6653" s="0" t="s">
        <v>16</v>
      </c>
      <c r="H6653" s="0" t="n">
        <v>64</v>
      </c>
      <c r="I6653" s="0" t="s">
        <v>22250</v>
      </c>
      <c r="J6653" s="0" t="s">
        <v>22251</v>
      </c>
      <c r="K6653" s="0" t="s">
        <v>22252</v>
      </c>
      <c r="L6653" s="0" t="str">
        <f aca="false">HYPERLINK("https://www.ncbi.nlm.nih.gov/nuccore/CP000304.1?report=graph&amp;tracks=[key:gene_model_track,Options:GeneOnly]&amp;mk=1867458:1867477|offset_1|444444,1867493:1867512|offset_36|444444,1867521:1867540|offset_64|00cc00,1867557:1867576|offset_100|444444&amp;v=1867257:1867776&amp;c=444444", "offset 64")</f>
        <v>offset 64</v>
      </c>
    </row>
    <row r="6654" customFormat="false" ht="12.8" hidden="false" customHeight="false" outlineLevel="0" collapsed="false">
      <c r="A6654" s="0" t="s">
        <v>12</v>
      </c>
      <c r="B6654" s="0" t="n">
        <v>1867556</v>
      </c>
      <c r="C6654" s="0" t="n">
        <v>1867576</v>
      </c>
      <c r="D6654" s="0" t="s">
        <v>22243</v>
      </c>
      <c r="E6654" s="0" t="s">
        <v>89</v>
      </c>
      <c r="F6654" s="0" t="s">
        <v>15</v>
      </c>
      <c r="G6654" s="0" t="s">
        <v>16</v>
      </c>
      <c r="H6654" s="0" t="n">
        <v>100</v>
      </c>
      <c r="I6654" s="0" t="s">
        <v>22253</v>
      </c>
      <c r="J6654" s="0" t="s">
        <v>22254</v>
      </c>
      <c r="K6654" s="0" t="s">
        <v>22255</v>
      </c>
      <c r="L6654" s="0" t="str">
        <f aca="false">HYPERLINK("https://www.ncbi.nlm.nih.gov/nuccore/CP000304.1?report=graph&amp;tracks=[key:gene_model_track,Options:GeneOnly]&amp;mk=1867458:1867477|offset_1|444444,1867493:1867512|offset_36|444444,1867521:1867540|offset_64|444444,1867557:1867576|offset_100|00cc00&amp;v=1867257:1867776&amp;c=444444", "offset 100")</f>
        <v>offset 100</v>
      </c>
    </row>
    <row r="6655" customFormat="false" ht="12.8" hidden="false" customHeight="false" outlineLevel="0" collapsed="false">
      <c r="A6655" s="0" t="s">
        <v>12</v>
      </c>
      <c r="B6655" s="0" t="n">
        <v>1868208</v>
      </c>
      <c r="C6655" s="0" t="n">
        <v>1868228</v>
      </c>
      <c r="D6655" s="0" t="s">
        <v>22256</v>
      </c>
      <c r="E6655" s="0" t="s">
        <v>89</v>
      </c>
      <c r="F6655" s="0" t="s">
        <v>90</v>
      </c>
      <c r="G6655" s="0" t="s">
        <v>32</v>
      </c>
      <c r="H6655" s="0" t="n">
        <v>11</v>
      </c>
      <c r="I6655" s="0" t="s">
        <v>22257</v>
      </c>
      <c r="J6655" s="0" t="s">
        <v>22258</v>
      </c>
      <c r="K6655" s="0" t="s">
        <v>22259</v>
      </c>
      <c r="L6655" s="0" t="str">
        <f aca="false">HYPERLINK("https://www.ncbi.nlm.nih.gov/nuccore/CP000304.1?report=graph&amp;tracks=[key:gene_model_track,Options:GeneOnly]&amp;mk=1868209:1868228|offset_11|00cc00,1868189:1868208|offset_31|444444,1868152:1868171|offset_68|444444,1868127:1868146|offset_93|444444&amp;v=1868008:1868346&amp;c=444444", "offset 11")</f>
        <v>offset 11</v>
      </c>
    </row>
    <row r="6656" customFormat="false" ht="12.8" hidden="false" customHeight="false" outlineLevel="0" collapsed="false">
      <c r="A6656" s="0" t="s">
        <v>12</v>
      </c>
      <c r="B6656" s="0" t="n">
        <v>1868188</v>
      </c>
      <c r="C6656" s="0" t="n">
        <v>1868208</v>
      </c>
      <c r="D6656" s="0" t="s">
        <v>22256</v>
      </c>
      <c r="E6656" s="0" t="s">
        <v>89</v>
      </c>
      <c r="F6656" s="0" t="s">
        <v>90</v>
      </c>
      <c r="G6656" s="0" t="s">
        <v>36</v>
      </c>
      <c r="H6656" s="0" t="n">
        <v>31</v>
      </c>
      <c r="I6656" s="0" t="s">
        <v>22260</v>
      </c>
      <c r="J6656" s="0" t="s">
        <v>22261</v>
      </c>
      <c r="K6656" s="0" t="s">
        <v>22262</v>
      </c>
      <c r="L6656" s="0" t="str">
        <f aca="false">HYPERLINK("https://www.ncbi.nlm.nih.gov/nuccore/CP000304.1?report=graph&amp;tracks=[key:gene_model_track,Options:GeneOnly]&amp;mk=1868209:1868228|offset_11|444444,1868189:1868208|offset_31|00cc00,1868152:1868171|offset_68|444444,1868127:1868146|offset_93|444444&amp;v=1868008:1868346&amp;c=444444", "offset 31")</f>
        <v>offset 31</v>
      </c>
    </row>
    <row r="6657" customFormat="false" ht="12.8" hidden="false" customHeight="false" outlineLevel="0" collapsed="false">
      <c r="A6657" s="0" t="s">
        <v>12</v>
      </c>
      <c r="B6657" s="0" t="n">
        <v>1868151</v>
      </c>
      <c r="C6657" s="0" t="n">
        <v>1868171</v>
      </c>
      <c r="D6657" s="0" t="s">
        <v>22256</v>
      </c>
      <c r="E6657" s="0" t="s">
        <v>89</v>
      </c>
      <c r="F6657" s="0" t="s">
        <v>90</v>
      </c>
      <c r="G6657" s="0" t="s">
        <v>26</v>
      </c>
      <c r="H6657" s="0" t="n">
        <v>68</v>
      </c>
      <c r="I6657" s="0" t="s">
        <v>22263</v>
      </c>
      <c r="J6657" s="0" t="s">
        <v>22264</v>
      </c>
      <c r="K6657" s="0" t="s">
        <v>22265</v>
      </c>
      <c r="L6657" s="0" t="str">
        <f aca="false">HYPERLINK("https://www.ncbi.nlm.nih.gov/nuccore/CP000304.1?report=graph&amp;tracks=[key:gene_model_track,Options:GeneOnly]&amp;mk=1868209:1868228|offset_11|444444,1868189:1868208|offset_31|444444,1868152:1868171|offset_68|00cc00,1868127:1868146|offset_93|444444&amp;v=1868008:1868346&amp;c=444444", "offset 68")</f>
        <v>offset 68</v>
      </c>
    </row>
    <row r="6658" customFormat="false" ht="12.8" hidden="false" customHeight="false" outlineLevel="0" collapsed="false">
      <c r="A6658" s="0" t="s">
        <v>12</v>
      </c>
      <c r="B6658" s="0" t="n">
        <v>1868126</v>
      </c>
      <c r="C6658" s="0" t="n">
        <v>1868146</v>
      </c>
      <c r="D6658" s="0" t="s">
        <v>22256</v>
      </c>
      <c r="E6658" s="0" t="s">
        <v>89</v>
      </c>
      <c r="F6658" s="0" t="s">
        <v>90</v>
      </c>
      <c r="G6658" s="0" t="s">
        <v>16</v>
      </c>
      <c r="H6658" s="0" t="n">
        <v>93</v>
      </c>
      <c r="I6658" s="0" t="s">
        <v>22266</v>
      </c>
      <c r="J6658" s="0" t="s">
        <v>22267</v>
      </c>
      <c r="K6658" s="0" t="s">
        <v>22268</v>
      </c>
      <c r="L6658" s="0" t="str">
        <f aca="false">HYPERLINK("https://www.ncbi.nlm.nih.gov/nuccore/CP000304.1?report=graph&amp;tracks=[key:gene_model_track,Options:GeneOnly]&amp;mk=1868209:1868228|offset_11|444444,1868189:1868208|offset_31|444444,1868152:1868171|offset_68|444444,1868127:1868146|offset_93|00cc00&amp;v=1868008:1868346&amp;c=444444", "offset 93")</f>
        <v>offset 93</v>
      </c>
    </row>
    <row r="6659" customFormat="false" ht="12.8" hidden="false" customHeight="false" outlineLevel="0" collapsed="false">
      <c r="A6659" s="0" t="s">
        <v>12</v>
      </c>
      <c r="B6659" s="0" t="n">
        <v>1868658</v>
      </c>
      <c r="C6659" s="0" t="n">
        <v>1868678</v>
      </c>
      <c r="D6659" s="0" t="s">
        <v>22269</v>
      </c>
      <c r="E6659" s="0" t="s">
        <v>22270</v>
      </c>
      <c r="F6659" s="0" t="s">
        <v>90</v>
      </c>
      <c r="G6659" s="0" t="s">
        <v>36</v>
      </c>
      <c r="H6659" s="0" t="n">
        <v>9</v>
      </c>
      <c r="I6659" s="0" t="s">
        <v>22271</v>
      </c>
      <c r="J6659" s="0" t="s">
        <v>22272</v>
      </c>
      <c r="K6659" s="0" t="s">
        <v>22273</v>
      </c>
      <c r="L6659" s="0" t="str">
        <f aca="false">HYPERLINK("https://www.ncbi.nlm.nih.gov/nuccore/CP000304.1?report=graph&amp;tracks=[key:gene_model_track,Options:GeneOnly]&amp;mk=1868659:1868678|offset_9|00cc00,1868632:1868651|offset_36|444444,1868610:1868629|offset_58|444444,1868585:1868604|offset_83|444444&amp;v=1868458:1868804&amp;c=444444", "offset 9")</f>
        <v>offset 9</v>
      </c>
    </row>
    <row r="6660" customFormat="false" ht="12.8" hidden="false" customHeight="false" outlineLevel="0" collapsed="false">
      <c r="A6660" s="0" t="s">
        <v>12</v>
      </c>
      <c r="B6660" s="0" t="n">
        <v>1868631</v>
      </c>
      <c r="C6660" s="0" t="n">
        <v>1868651</v>
      </c>
      <c r="D6660" s="0" t="s">
        <v>22269</v>
      </c>
      <c r="E6660" s="0" t="s">
        <v>22270</v>
      </c>
      <c r="F6660" s="0" t="s">
        <v>90</v>
      </c>
      <c r="G6660" s="0" t="s">
        <v>36</v>
      </c>
      <c r="H6660" s="0" t="n">
        <v>36</v>
      </c>
      <c r="I6660" s="0" t="s">
        <v>22274</v>
      </c>
      <c r="J6660" s="0" t="s">
        <v>22275</v>
      </c>
      <c r="K6660" s="0" t="s">
        <v>22276</v>
      </c>
      <c r="L6660" s="0" t="str">
        <f aca="false">HYPERLINK("https://www.ncbi.nlm.nih.gov/nuccore/CP000304.1?report=graph&amp;tracks=[key:gene_model_track,Options:GeneOnly]&amp;mk=1868659:1868678|offset_9|444444,1868632:1868651|offset_36|00cc00,1868610:1868629|offset_58|444444,1868585:1868604|offset_83|444444&amp;v=1868458:1868804&amp;c=444444", "offset 36")</f>
        <v>offset 36</v>
      </c>
    </row>
    <row r="6661" customFormat="false" ht="12.8" hidden="false" customHeight="false" outlineLevel="0" collapsed="false">
      <c r="A6661" s="0" t="s">
        <v>12</v>
      </c>
      <c r="B6661" s="0" t="n">
        <v>1868609</v>
      </c>
      <c r="C6661" s="0" t="n">
        <v>1868629</v>
      </c>
      <c r="D6661" s="0" t="s">
        <v>22269</v>
      </c>
      <c r="E6661" s="0" t="s">
        <v>22270</v>
      </c>
      <c r="F6661" s="0" t="s">
        <v>90</v>
      </c>
      <c r="G6661" s="0" t="s">
        <v>16</v>
      </c>
      <c r="H6661" s="0" t="n">
        <v>58</v>
      </c>
      <c r="I6661" s="0" t="s">
        <v>22277</v>
      </c>
      <c r="J6661" s="0" t="s">
        <v>22278</v>
      </c>
      <c r="K6661" s="0" t="s">
        <v>22279</v>
      </c>
      <c r="L6661" s="0" t="str">
        <f aca="false">HYPERLINK("https://www.ncbi.nlm.nih.gov/nuccore/CP000304.1?report=graph&amp;tracks=[key:gene_model_track,Options:GeneOnly]&amp;mk=1868659:1868678|offset_9|444444,1868632:1868651|offset_36|444444,1868610:1868629|offset_58|00cc00,1868585:1868604|offset_83|444444&amp;v=1868458:1868804&amp;c=444444", "offset 58")</f>
        <v>offset 58</v>
      </c>
    </row>
    <row r="6662" customFormat="false" ht="12.8" hidden="false" customHeight="false" outlineLevel="0" collapsed="false">
      <c r="A6662" s="0" t="s">
        <v>12</v>
      </c>
      <c r="B6662" s="0" t="n">
        <v>1868584</v>
      </c>
      <c r="C6662" s="0" t="n">
        <v>1868604</v>
      </c>
      <c r="D6662" s="0" t="s">
        <v>22269</v>
      </c>
      <c r="E6662" s="0" t="s">
        <v>22270</v>
      </c>
      <c r="F6662" s="0" t="s">
        <v>90</v>
      </c>
      <c r="G6662" s="0" t="s">
        <v>16</v>
      </c>
      <c r="H6662" s="0" t="n">
        <v>83</v>
      </c>
      <c r="I6662" s="0" t="s">
        <v>22280</v>
      </c>
      <c r="J6662" s="0" t="s">
        <v>22281</v>
      </c>
      <c r="K6662" s="0" t="s">
        <v>22282</v>
      </c>
      <c r="L6662" s="0" t="str">
        <f aca="false">HYPERLINK("https://www.ncbi.nlm.nih.gov/nuccore/CP000304.1?report=graph&amp;tracks=[key:gene_model_track,Options:GeneOnly]&amp;mk=1868659:1868678|offset_9|444444,1868632:1868651|offset_36|444444,1868610:1868629|offset_58|444444,1868585:1868604|offset_83|00cc00&amp;v=1868458:1868804&amp;c=444444", "offset 83")</f>
        <v>offset 83</v>
      </c>
    </row>
    <row r="6663" customFormat="false" ht="12.8" hidden="false" customHeight="false" outlineLevel="0" collapsed="false">
      <c r="A6663" s="0" t="s">
        <v>12</v>
      </c>
      <c r="B6663" s="0" t="n">
        <v>1869131</v>
      </c>
      <c r="C6663" s="0" t="n">
        <v>1869151</v>
      </c>
      <c r="D6663" s="0" t="s">
        <v>22283</v>
      </c>
      <c r="E6663" s="0" t="s">
        <v>22284</v>
      </c>
      <c r="F6663" s="0" t="s">
        <v>15</v>
      </c>
      <c r="G6663" s="0" t="s">
        <v>16</v>
      </c>
      <c r="H6663" s="0" t="n">
        <v>73</v>
      </c>
      <c r="I6663" s="0" t="s">
        <v>22285</v>
      </c>
      <c r="J6663" s="0" t="s">
        <v>22286</v>
      </c>
      <c r="K6663" s="0" t="s">
        <v>22287</v>
      </c>
      <c r="L6663" s="0" t="str">
        <f aca="false">HYPERLINK("https://www.ncbi.nlm.nih.gov/nuccore/CP000304.1?report=graph&amp;tracks=[key:gene_model_track,Options:GeneOnly]&amp;mk=1869132:1869151|offset_73|00cc00,1869156:1869175|offset_97|444444,1869220:1869239|offset_161|444444,1869241:1869260|offset_182|444444&amp;v=1868931:1869460&amp;c=444444", "offset 73")</f>
        <v>offset 73</v>
      </c>
    </row>
    <row r="6664" customFormat="false" ht="12.8" hidden="false" customHeight="false" outlineLevel="0" collapsed="false">
      <c r="A6664" s="0" t="s">
        <v>12</v>
      </c>
      <c r="B6664" s="0" t="n">
        <v>1869155</v>
      </c>
      <c r="C6664" s="0" t="n">
        <v>1869175</v>
      </c>
      <c r="D6664" s="0" t="s">
        <v>22283</v>
      </c>
      <c r="E6664" s="0" t="s">
        <v>22284</v>
      </c>
      <c r="F6664" s="0" t="s">
        <v>15</v>
      </c>
      <c r="G6664" s="0" t="s">
        <v>32</v>
      </c>
      <c r="H6664" s="0" t="n">
        <v>97</v>
      </c>
      <c r="I6664" s="0" t="s">
        <v>22288</v>
      </c>
      <c r="J6664" s="0" t="s">
        <v>22289</v>
      </c>
      <c r="K6664" s="0" t="s">
        <v>22290</v>
      </c>
      <c r="L6664" s="0" t="str">
        <f aca="false">HYPERLINK("https://www.ncbi.nlm.nih.gov/nuccore/CP000304.1?report=graph&amp;tracks=[key:gene_model_track,Options:GeneOnly]&amp;mk=1869132:1869151|offset_73|444444,1869156:1869175|offset_97|00cc00,1869220:1869239|offset_161|444444,1869241:1869260|offset_182|444444&amp;v=1868931:1869460&amp;c=444444", "offset 97")</f>
        <v>offset 97</v>
      </c>
    </row>
    <row r="6665" customFormat="false" ht="12.8" hidden="false" customHeight="false" outlineLevel="0" collapsed="false">
      <c r="A6665" s="0" t="s">
        <v>12</v>
      </c>
      <c r="B6665" s="0" t="n">
        <v>1869219</v>
      </c>
      <c r="C6665" s="0" t="n">
        <v>1869239</v>
      </c>
      <c r="D6665" s="0" t="s">
        <v>22283</v>
      </c>
      <c r="E6665" s="0" t="s">
        <v>22284</v>
      </c>
      <c r="F6665" s="0" t="s">
        <v>15</v>
      </c>
      <c r="G6665" s="0" t="s">
        <v>32</v>
      </c>
      <c r="H6665" s="0" t="n">
        <v>161</v>
      </c>
      <c r="I6665" s="0" t="s">
        <v>22291</v>
      </c>
      <c r="J6665" s="0" t="s">
        <v>22292</v>
      </c>
      <c r="K6665" s="0" t="s">
        <v>22293</v>
      </c>
      <c r="L6665" s="0" t="str">
        <f aca="false">HYPERLINK("https://www.ncbi.nlm.nih.gov/nuccore/CP000304.1?report=graph&amp;tracks=[key:gene_model_track,Options:GeneOnly]&amp;mk=1869132:1869151|offset_73|444444,1869156:1869175|offset_97|444444,1869220:1869239|offset_161|00cc00,1869241:1869260|offset_182|444444&amp;v=1868931:1869460&amp;c=444444", "offset 161")</f>
        <v>offset 161</v>
      </c>
    </row>
    <row r="6666" customFormat="false" ht="12.8" hidden="false" customHeight="false" outlineLevel="0" collapsed="false">
      <c r="A6666" s="0" t="s">
        <v>12</v>
      </c>
      <c r="B6666" s="0" t="n">
        <v>1869240</v>
      </c>
      <c r="C6666" s="0" t="n">
        <v>1869260</v>
      </c>
      <c r="D6666" s="0" t="s">
        <v>22283</v>
      </c>
      <c r="E6666" s="0" t="s">
        <v>22284</v>
      </c>
      <c r="F6666" s="0" t="s">
        <v>15</v>
      </c>
      <c r="G6666" s="0" t="s">
        <v>26</v>
      </c>
      <c r="H6666" s="0" t="n">
        <v>182</v>
      </c>
      <c r="I6666" s="0" t="s">
        <v>22294</v>
      </c>
      <c r="J6666" s="0" t="s">
        <v>22295</v>
      </c>
      <c r="K6666" s="0" t="s">
        <v>22296</v>
      </c>
      <c r="L6666" s="0" t="str">
        <f aca="false">HYPERLINK("https://www.ncbi.nlm.nih.gov/nuccore/CP000304.1?report=graph&amp;tracks=[key:gene_model_track,Options:GeneOnly]&amp;mk=1869132:1869151|offset_73|444444,1869156:1869175|offset_97|444444,1869220:1869239|offset_161|444444,1869241:1869260|offset_182|00cc00&amp;v=1868931:1869460&amp;c=444444", "offset 182")</f>
        <v>offset 182</v>
      </c>
    </row>
    <row r="6667" customFormat="false" ht="12.8" hidden="false" customHeight="false" outlineLevel="0" collapsed="false">
      <c r="A6667" s="0" t="s">
        <v>12</v>
      </c>
      <c r="B6667" s="0" t="n">
        <v>1869805</v>
      </c>
      <c r="C6667" s="0" t="n">
        <v>1869825</v>
      </c>
      <c r="D6667" s="0" t="s">
        <v>22297</v>
      </c>
      <c r="E6667" s="0" t="s">
        <v>89</v>
      </c>
      <c r="F6667" s="0" t="s">
        <v>15</v>
      </c>
      <c r="G6667" s="0" t="s">
        <v>36</v>
      </c>
      <c r="H6667" s="0" t="n">
        <v>0</v>
      </c>
      <c r="I6667" s="0" t="s">
        <v>22298</v>
      </c>
      <c r="J6667" s="0" t="s">
        <v>22299</v>
      </c>
      <c r="K6667" s="0" t="s">
        <v>22300</v>
      </c>
      <c r="L6667" s="0" t="str">
        <f aca="false">HYPERLINK("https://www.ncbi.nlm.nih.gov/nuccore/CP000304.1?report=graph&amp;tracks=[key:gene_model_track,Options:GeneOnly]&amp;mk=1869806:1869825|offset_0|00cc00,1869837:1869856|offset_31|444444,1869867:1869886|offset_61|444444,1869893:1869912|offset_87|444444&amp;v=1869605:1870112&amp;c=444444", "offset 0")</f>
        <v>offset 0</v>
      </c>
    </row>
    <row r="6668" customFormat="false" ht="12.8" hidden="false" customHeight="false" outlineLevel="0" collapsed="false">
      <c r="A6668" s="0" t="s">
        <v>12</v>
      </c>
      <c r="B6668" s="0" t="n">
        <v>1869836</v>
      </c>
      <c r="C6668" s="0" t="n">
        <v>1869856</v>
      </c>
      <c r="D6668" s="0" t="s">
        <v>22297</v>
      </c>
      <c r="E6668" s="0" t="s">
        <v>89</v>
      </c>
      <c r="F6668" s="0" t="s">
        <v>15</v>
      </c>
      <c r="G6668" s="0" t="s">
        <v>32</v>
      </c>
      <c r="H6668" s="0" t="n">
        <v>31</v>
      </c>
      <c r="I6668" s="0" t="s">
        <v>22301</v>
      </c>
      <c r="J6668" s="0" t="s">
        <v>22302</v>
      </c>
      <c r="K6668" s="0" t="s">
        <v>22303</v>
      </c>
      <c r="L6668" s="0" t="str">
        <f aca="false">HYPERLINK("https://www.ncbi.nlm.nih.gov/nuccore/CP000304.1?report=graph&amp;tracks=[key:gene_model_track,Options:GeneOnly]&amp;mk=1869806:1869825|offset_0|444444,1869837:1869856|offset_31|00cc00,1869867:1869886|offset_61|444444,1869893:1869912|offset_87|444444&amp;v=1869605:1870112&amp;c=444444", "offset 31")</f>
        <v>offset 31</v>
      </c>
    </row>
    <row r="6669" customFormat="false" ht="12.8" hidden="false" customHeight="false" outlineLevel="0" collapsed="false">
      <c r="A6669" s="0" t="s">
        <v>12</v>
      </c>
      <c r="B6669" s="0" t="n">
        <v>1869866</v>
      </c>
      <c r="C6669" s="0" t="n">
        <v>1869886</v>
      </c>
      <c r="D6669" s="0" t="s">
        <v>22297</v>
      </c>
      <c r="E6669" s="0" t="s">
        <v>89</v>
      </c>
      <c r="F6669" s="0" t="s">
        <v>15</v>
      </c>
      <c r="G6669" s="0" t="s">
        <v>16</v>
      </c>
      <c r="H6669" s="0" t="n">
        <v>61</v>
      </c>
      <c r="I6669" s="0" t="s">
        <v>22304</v>
      </c>
      <c r="J6669" s="0" t="s">
        <v>22305</v>
      </c>
      <c r="K6669" s="0" t="s">
        <v>22306</v>
      </c>
      <c r="L6669" s="0" t="str">
        <f aca="false">HYPERLINK("https://www.ncbi.nlm.nih.gov/nuccore/CP000304.1?report=graph&amp;tracks=[key:gene_model_track,Options:GeneOnly]&amp;mk=1869806:1869825|offset_0|444444,1869837:1869856|offset_31|444444,1869867:1869886|offset_61|00cc00,1869893:1869912|offset_87|444444&amp;v=1869605:1870112&amp;c=444444", "offset 61")</f>
        <v>offset 61</v>
      </c>
    </row>
    <row r="6670" customFormat="false" ht="12.8" hidden="false" customHeight="false" outlineLevel="0" collapsed="false">
      <c r="A6670" s="0" t="s">
        <v>12</v>
      </c>
      <c r="B6670" s="0" t="n">
        <v>1869892</v>
      </c>
      <c r="C6670" s="0" t="n">
        <v>1869912</v>
      </c>
      <c r="D6670" s="0" t="s">
        <v>22297</v>
      </c>
      <c r="E6670" s="0" t="s">
        <v>89</v>
      </c>
      <c r="F6670" s="0" t="s">
        <v>15</v>
      </c>
      <c r="G6670" s="0" t="s">
        <v>16</v>
      </c>
      <c r="H6670" s="0" t="n">
        <v>87</v>
      </c>
      <c r="I6670" s="0" t="s">
        <v>22307</v>
      </c>
      <c r="J6670" s="0" t="s">
        <v>22308</v>
      </c>
      <c r="K6670" s="0" t="s">
        <v>22309</v>
      </c>
      <c r="L6670" s="0" t="str">
        <f aca="false">HYPERLINK("https://www.ncbi.nlm.nih.gov/nuccore/CP000304.1?report=graph&amp;tracks=[key:gene_model_track,Options:GeneOnly]&amp;mk=1869806:1869825|offset_0|444444,1869837:1869856|offset_31|444444,1869867:1869886|offset_61|444444,1869893:1869912|offset_87|00cc00&amp;v=1869605:1870112&amp;c=444444", "offset 87")</f>
        <v>offset 87</v>
      </c>
    </row>
    <row r="6671" customFormat="false" ht="12.8" hidden="false" customHeight="false" outlineLevel="0" collapsed="false">
      <c r="A6671" s="0" t="s">
        <v>12</v>
      </c>
      <c r="B6671" s="0" t="n">
        <v>1870562</v>
      </c>
      <c r="C6671" s="0" t="n">
        <v>1870582</v>
      </c>
      <c r="D6671" s="0" t="s">
        <v>22310</v>
      </c>
      <c r="E6671" s="0" t="s">
        <v>22311</v>
      </c>
      <c r="F6671" s="0" t="s">
        <v>15</v>
      </c>
      <c r="G6671" s="0" t="s">
        <v>32</v>
      </c>
      <c r="H6671" s="0" t="n">
        <v>17</v>
      </c>
      <c r="I6671" s="0" t="s">
        <v>22312</v>
      </c>
      <c r="J6671" s="0" t="s">
        <v>22313</v>
      </c>
      <c r="K6671" s="0" t="s">
        <v>22314</v>
      </c>
      <c r="L6671" s="0" t="str">
        <f aca="false">HYPERLINK("https://www.ncbi.nlm.nih.gov/nuccore/CP000304.1?report=graph&amp;tracks=[key:gene_model_track,Options:GeneOnly]&amp;mk=1870563:1870582|offset_17|00cc00,1870610:1870629|offset_64|444444,1870634:1870653|offset_88|444444,1870674:1870693|offset_128|444444&amp;v=1870362:1870893&amp;c=444444", "offset 17")</f>
        <v>offset 17</v>
      </c>
    </row>
    <row r="6672" customFormat="false" ht="12.8" hidden="false" customHeight="false" outlineLevel="0" collapsed="false">
      <c r="A6672" s="0" t="s">
        <v>12</v>
      </c>
      <c r="B6672" s="0" t="n">
        <v>1870609</v>
      </c>
      <c r="C6672" s="0" t="n">
        <v>1870629</v>
      </c>
      <c r="D6672" s="0" t="s">
        <v>22310</v>
      </c>
      <c r="E6672" s="0" t="s">
        <v>22311</v>
      </c>
      <c r="F6672" s="0" t="s">
        <v>15</v>
      </c>
      <c r="G6672" s="0" t="s">
        <v>16</v>
      </c>
      <c r="H6672" s="0" t="n">
        <v>64</v>
      </c>
      <c r="I6672" s="0" t="s">
        <v>22315</v>
      </c>
      <c r="J6672" s="0" t="s">
        <v>22316</v>
      </c>
      <c r="K6672" s="0" t="s">
        <v>22317</v>
      </c>
      <c r="L6672" s="0" t="str">
        <f aca="false">HYPERLINK("https://www.ncbi.nlm.nih.gov/nuccore/CP000304.1?report=graph&amp;tracks=[key:gene_model_track,Options:GeneOnly]&amp;mk=1870563:1870582|offset_17|444444,1870610:1870629|offset_64|00cc00,1870634:1870653|offset_88|444444,1870674:1870693|offset_128|444444&amp;v=1870362:1870893&amp;c=444444", "offset 64")</f>
        <v>offset 64</v>
      </c>
    </row>
    <row r="6673" customFormat="false" ht="12.8" hidden="false" customHeight="false" outlineLevel="0" collapsed="false">
      <c r="A6673" s="0" t="s">
        <v>12</v>
      </c>
      <c r="B6673" s="0" t="n">
        <v>1870633</v>
      </c>
      <c r="C6673" s="0" t="n">
        <v>1870653</v>
      </c>
      <c r="D6673" s="0" t="s">
        <v>22310</v>
      </c>
      <c r="E6673" s="0" t="s">
        <v>22311</v>
      </c>
      <c r="F6673" s="0" t="s">
        <v>15</v>
      </c>
      <c r="G6673" s="0" t="s">
        <v>26</v>
      </c>
      <c r="H6673" s="0" t="n">
        <v>88</v>
      </c>
      <c r="I6673" s="0" t="s">
        <v>22318</v>
      </c>
      <c r="J6673" s="0" t="s">
        <v>22319</v>
      </c>
      <c r="K6673" s="0" t="s">
        <v>22320</v>
      </c>
      <c r="L6673" s="0" t="str">
        <f aca="false">HYPERLINK("https://www.ncbi.nlm.nih.gov/nuccore/CP000304.1?report=graph&amp;tracks=[key:gene_model_track,Options:GeneOnly]&amp;mk=1870563:1870582|offset_17|444444,1870610:1870629|offset_64|444444,1870634:1870653|offset_88|00cc00,1870674:1870693|offset_128|444444&amp;v=1870362:1870893&amp;c=444444", "offset 88")</f>
        <v>offset 88</v>
      </c>
    </row>
    <row r="6674" customFormat="false" ht="12.8" hidden="false" customHeight="false" outlineLevel="0" collapsed="false">
      <c r="A6674" s="0" t="s">
        <v>12</v>
      </c>
      <c r="B6674" s="0" t="n">
        <v>1870673</v>
      </c>
      <c r="C6674" s="0" t="n">
        <v>1870693</v>
      </c>
      <c r="D6674" s="0" t="s">
        <v>22310</v>
      </c>
      <c r="E6674" s="0" t="s">
        <v>22311</v>
      </c>
      <c r="F6674" s="0" t="s">
        <v>15</v>
      </c>
      <c r="G6674" s="0" t="s">
        <v>26</v>
      </c>
      <c r="H6674" s="0" t="n">
        <v>128</v>
      </c>
      <c r="I6674" s="0" t="s">
        <v>22321</v>
      </c>
      <c r="J6674" s="0" t="s">
        <v>22322</v>
      </c>
      <c r="K6674" s="0" t="s">
        <v>22323</v>
      </c>
      <c r="L6674" s="0" t="str">
        <f aca="false">HYPERLINK("https://www.ncbi.nlm.nih.gov/nuccore/CP000304.1?report=graph&amp;tracks=[key:gene_model_track,Options:GeneOnly]&amp;mk=1870563:1870582|offset_17|444444,1870610:1870629|offset_64|444444,1870634:1870653|offset_88|444444,1870674:1870693|offset_128|00cc00&amp;v=1870362:1870893&amp;c=444444", "offset 128")</f>
        <v>offset 128</v>
      </c>
    </row>
    <row r="6675" customFormat="false" ht="12.8" hidden="false" customHeight="false" outlineLevel="0" collapsed="false">
      <c r="A6675" s="0" t="s">
        <v>12</v>
      </c>
      <c r="B6675" s="0" t="n">
        <v>1871367</v>
      </c>
      <c r="C6675" s="0" t="n">
        <v>1871387</v>
      </c>
      <c r="D6675" s="0" t="s">
        <v>22324</v>
      </c>
      <c r="E6675" s="0" t="s">
        <v>89</v>
      </c>
      <c r="F6675" s="0" t="s">
        <v>15</v>
      </c>
      <c r="G6675" s="0" t="s">
        <v>36</v>
      </c>
      <c r="H6675" s="0" t="n">
        <v>0</v>
      </c>
      <c r="I6675" s="0" t="s">
        <v>22325</v>
      </c>
      <c r="J6675" s="0" t="s">
        <v>22326</v>
      </c>
      <c r="K6675" s="0" t="s">
        <v>22327</v>
      </c>
      <c r="L6675" s="0" t="str">
        <f aca="false">HYPERLINK("https://www.ncbi.nlm.nih.gov/nuccore/CP000304.1?report=graph&amp;tracks=[key:gene_model_track,Options:GeneOnly]&amp;mk=1871368:1871387|offset_0|00cc00,1871399:1871418|offset_31|444444,1871433:1871452|offset_65|444444,1871455:1871474|offset_87|444444&amp;v=1871167:1871674&amp;c=444444", "offset 0")</f>
        <v>offset 0</v>
      </c>
    </row>
    <row r="6676" customFormat="false" ht="12.8" hidden="false" customHeight="false" outlineLevel="0" collapsed="false">
      <c r="A6676" s="0" t="s">
        <v>12</v>
      </c>
      <c r="B6676" s="0" t="n">
        <v>1871398</v>
      </c>
      <c r="C6676" s="0" t="n">
        <v>1871418</v>
      </c>
      <c r="D6676" s="0" t="s">
        <v>22324</v>
      </c>
      <c r="E6676" s="0" t="s">
        <v>89</v>
      </c>
      <c r="F6676" s="0" t="s">
        <v>15</v>
      </c>
      <c r="G6676" s="0" t="s">
        <v>16</v>
      </c>
      <c r="H6676" s="0" t="n">
        <v>31</v>
      </c>
      <c r="I6676" s="0" t="s">
        <v>22328</v>
      </c>
      <c r="J6676" s="0" t="s">
        <v>22329</v>
      </c>
      <c r="K6676" s="0" t="s">
        <v>22330</v>
      </c>
      <c r="L6676" s="0" t="str">
        <f aca="false">HYPERLINK("https://www.ncbi.nlm.nih.gov/nuccore/CP000304.1?report=graph&amp;tracks=[key:gene_model_track,Options:GeneOnly]&amp;mk=1871368:1871387|offset_0|444444,1871399:1871418|offset_31|00cc00,1871433:1871452|offset_65|444444,1871455:1871474|offset_87|444444&amp;v=1871167:1871674&amp;c=444444", "offset 31")</f>
        <v>offset 31</v>
      </c>
    </row>
    <row r="6677" customFormat="false" ht="12.8" hidden="false" customHeight="false" outlineLevel="0" collapsed="false">
      <c r="A6677" s="0" t="s">
        <v>12</v>
      </c>
      <c r="B6677" s="0" t="n">
        <v>1871432</v>
      </c>
      <c r="C6677" s="0" t="n">
        <v>1871452</v>
      </c>
      <c r="D6677" s="0" t="s">
        <v>22324</v>
      </c>
      <c r="E6677" s="0" t="s">
        <v>89</v>
      </c>
      <c r="F6677" s="0" t="s">
        <v>15</v>
      </c>
      <c r="G6677" s="0" t="s">
        <v>16</v>
      </c>
      <c r="H6677" s="0" t="n">
        <v>65</v>
      </c>
      <c r="I6677" s="0" t="s">
        <v>22331</v>
      </c>
      <c r="J6677" s="0" t="s">
        <v>22332</v>
      </c>
      <c r="K6677" s="0" t="s">
        <v>22333</v>
      </c>
      <c r="L6677" s="0" t="str">
        <f aca="false">HYPERLINK("https://www.ncbi.nlm.nih.gov/nuccore/CP000304.1?report=graph&amp;tracks=[key:gene_model_track,Options:GeneOnly]&amp;mk=1871368:1871387|offset_0|444444,1871399:1871418|offset_31|444444,1871433:1871452|offset_65|00cc00,1871455:1871474|offset_87|444444&amp;v=1871167:1871674&amp;c=444444", "offset 65")</f>
        <v>offset 65</v>
      </c>
    </row>
    <row r="6678" customFormat="false" ht="12.8" hidden="false" customHeight="false" outlineLevel="0" collapsed="false">
      <c r="A6678" s="0" t="s">
        <v>12</v>
      </c>
      <c r="B6678" s="0" t="n">
        <v>1871454</v>
      </c>
      <c r="C6678" s="0" t="n">
        <v>1871474</v>
      </c>
      <c r="D6678" s="0" t="s">
        <v>22324</v>
      </c>
      <c r="E6678" s="0" t="s">
        <v>89</v>
      </c>
      <c r="F6678" s="0" t="s">
        <v>15</v>
      </c>
      <c r="G6678" s="0" t="s">
        <v>36</v>
      </c>
      <c r="H6678" s="0" t="n">
        <v>87</v>
      </c>
      <c r="I6678" s="0" t="s">
        <v>22334</v>
      </c>
      <c r="J6678" s="0" t="s">
        <v>22335</v>
      </c>
      <c r="K6678" s="0" t="s">
        <v>22336</v>
      </c>
      <c r="L6678" s="0" t="str">
        <f aca="false">HYPERLINK("https://www.ncbi.nlm.nih.gov/nuccore/CP000304.1?report=graph&amp;tracks=[key:gene_model_track,Options:GeneOnly]&amp;mk=1871368:1871387|offset_0|444444,1871399:1871418|offset_31|444444,1871433:1871452|offset_65|444444,1871455:1871474|offset_87|00cc00&amp;v=1871167:1871674&amp;c=444444", "offset 87")</f>
        <v>offset 87</v>
      </c>
    </row>
    <row r="6679" customFormat="false" ht="12.8" hidden="false" customHeight="false" outlineLevel="0" collapsed="false">
      <c r="A6679" s="0" t="s">
        <v>12</v>
      </c>
      <c r="B6679" s="0" t="n">
        <v>1872262</v>
      </c>
      <c r="C6679" s="0" t="n">
        <v>1872282</v>
      </c>
      <c r="D6679" s="0" t="s">
        <v>22337</v>
      </c>
      <c r="E6679" s="0" t="s">
        <v>89</v>
      </c>
      <c r="F6679" s="0" t="s">
        <v>15</v>
      </c>
      <c r="G6679" s="0" t="s">
        <v>32</v>
      </c>
      <c r="H6679" s="0" t="n">
        <v>11</v>
      </c>
      <c r="I6679" s="0" t="s">
        <v>22338</v>
      </c>
      <c r="J6679" s="0" t="s">
        <v>22339</v>
      </c>
      <c r="K6679" s="0" t="s">
        <v>22340</v>
      </c>
      <c r="L6679" s="0" t="str">
        <f aca="false">HYPERLINK("https://www.ncbi.nlm.nih.gov/nuccore/CP000304.1?report=graph&amp;tracks=[key:gene_model_track,Options:GeneOnly]&amp;mk=1872263:1872282|offset_11|00cc00,1872325:1872344|offset_73|444444,1872362:1872381|offset_110|444444,1872446:1872465|offset_194|444444&amp;v=1872062:1872665&amp;c=444444", "offset 11")</f>
        <v>offset 11</v>
      </c>
    </row>
    <row r="6680" customFormat="false" ht="12.8" hidden="false" customHeight="false" outlineLevel="0" collapsed="false">
      <c r="A6680" s="0" t="s">
        <v>12</v>
      </c>
      <c r="B6680" s="0" t="n">
        <v>1872324</v>
      </c>
      <c r="C6680" s="0" t="n">
        <v>1872344</v>
      </c>
      <c r="D6680" s="0" t="s">
        <v>22337</v>
      </c>
      <c r="E6680" s="0" t="s">
        <v>89</v>
      </c>
      <c r="F6680" s="0" t="s">
        <v>15</v>
      </c>
      <c r="G6680" s="0" t="s">
        <v>16</v>
      </c>
      <c r="H6680" s="0" t="n">
        <v>73</v>
      </c>
      <c r="I6680" s="0" t="s">
        <v>22341</v>
      </c>
      <c r="J6680" s="0" t="s">
        <v>22342</v>
      </c>
      <c r="K6680" s="0" t="s">
        <v>22343</v>
      </c>
      <c r="L6680" s="0" t="str">
        <f aca="false">HYPERLINK("https://www.ncbi.nlm.nih.gov/nuccore/CP000304.1?report=graph&amp;tracks=[key:gene_model_track,Options:GeneOnly]&amp;mk=1872263:1872282|offset_11|444444,1872325:1872344|offset_73|00cc00,1872362:1872381|offset_110|444444,1872446:1872465|offset_194|444444&amp;v=1872062:1872665&amp;c=444444", "offset 73")</f>
        <v>offset 73</v>
      </c>
    </row>
    <row r="6681" customFormat="false" ht="12.8" hidden="false" customHeight="false" outlineLevel="0" collapsed="false">
      <c r="A6681" s="0" t="s">
        <v>12</v>
      </c>
      <c r="B6681" s="0" t="n">
        <v>1872361</v>
      </c>
      <c r="C6681" s="0" t="n">
        <v>1872381</v>
      </c>
      <c r="D6681" s="0" t="s">
        <v>22337</v>
      </c>
      <c r="E6681" s="0" t="s">
        <v>89</v>
      </c>
      <c r="F6681" s="0" t="s">
        <v>15</v>
      </c>
      <c r="G6681" s="0" t="s">
        <v>36</v>
      </c>
      <c r="H6681" s="0" t="n">
        <v>110</v>
      </c>
      <c r="I6681" s="0" t="s">
        <v>22344</v>
      </c>
      <c r="J6681" s="0" t="s">
        <v>22345</v>
      </c>
      <c r="K6681" s="0" t="s">
        <v>22346</v>
      </c>
      <c r="L6681" s="0" t="str">
        <f aca="false">HYPERLINK("https://www.ncbi.nlm.nih.gov/nuccore/CP000304.1?report=graph&amp;tracks=[key:gene_model_track,Options:GeneOnly]&amp;mk=1872263:1872282|offset_11|444444,1872325:1872344|offset_73|444444,1872362:1872381|offset_110|00cc00,1872446:1872465|offset_194|444444&amp;v=1872062:1872665&amp;c=444444", "offset 110")</f>
        <v>offset 110</v>
      </c>
    </row>
    <row r="6682" customFormat="false" ht="12.8" hidden="false" customHeight="false" outlineLevel="0" collapsed="false">
      <c r="A6682" s="0" t="s">
        <v>12</v>
      </c>
      <c r="B6682" s="0" t="n">
        <v>1872445</v>
      </c>
      <c r="C6682" s="0" t="n">
        <v>1872465</v>
      </c>
      <c r="D6682" s="0" t="s">
        <v>22337</v>
      </c>
      <c r="E6682" s="0" t="s">
        <v>89</v>
      </c>
      <c r="F6682" s="0" t="s">
        <v>15</v>
      </c>
      <c r="G6682" s="0" t="s">
        <v>36</v>
      </c>
      <c r="H6682" s="0" t="n">
        <v>194</v>
      </c>
      <c r="I6682" s="0" t="s">
        <v>22347</v>
      </c>
      <c r="J6682" s="0" t="s">
        <v>22348</v>
      </c>
      <c r="K6682" s="0" t="s">
        <v>22349</v>
      </c>
      <c r="L6682" s="0" t="str">
        <f aca="false">HYPERLINK("https://www.ncbi.nlm.nih.gov/nuccore/CP000304.1?report=graph&amp;tracks=[key:gene_model_track,Options:GeneOnly]&amp;mk=1872263:1872282|offset_11|444444,1872325:1872344|offset_73|444444,1872362:1872381|offset_110|444444,1872446:1872465|offset_194|00cc00&amp;v=1872062:1872665&amp;c=444444", "offset 194")</f>
        <v>offset 194</v>
      </c>
    </row>
    <row r="6683" customFormat="false" ht="12.8" hidden="false" customHeight="false" outlineLevel="0" collapsed="false">
      <c r="A6683" s="0" t="s">
        <v>12</v>
      </c>
      <c r="B6683" s="0" t="n">
        <v>1872965</v>
      </c>
      <c r="C6683" s="0" t="n">
        <v>1872985</v>
      </c>
      <c r="D6683" s="0" t="s">
        <v>22350</v>
      </c>
      <c r="E6683" s="0" t="s">
        <v>89</v>
      </c>
      <c r="F6683" s="0" t="s">
        <v>15</v>
      </c>
      <c r="G6683" s="0" t="s">
        <v>32</v>
      </c>
      <c r="H6683" s="0" t="n">
        <v>13</v>
      </c>
      <c r="I6683" s="0" t="s">
        <v>22351</v>
      </c>
      <c r="J6683" s="0" t="s">
        <v>22352</v>
      </c>
      <c r="K6683" s="0" t="s">
        <v>22353</v>
      </c>
      <c r="L6683" s="0" t="str">
        <f aca="false">HYPERLINK("https://www.ncbi.nlm.nih.gov/nuccore/CP000304.1?report=graph&amp;tracks=[key:gene_model_track,Options:GeneOnly]&amp;mk=1872966:1872985|offset_13|00cc00,1873002:1873021|offset_49|444444,1873036:1873055|offset_83|444444,1873119:1873138|offset_166|444444&amp;v=1872765:1873338&amp;c=444444", "offset 13")</f>
        <v>offset 13</v>
      </c>
    </row>
    <row r="6684" customFormat="false" ht="12.8" hidden="false" customHeight="false" outlineLevel="0" collapsed="false">
      <c r="A6684" s="0" t="s">
        <v>12</v>
      </c>
      <c r="B6684" s="0" t="n">
        <v>1873001</v>
      </c>
      <c r="C6684" s="0" t="n">
        <v>1873021</v>
      </c>
      <c r="D6684" s="0" t="s">
        <v>22350</v>
      </c>
      <c r="E6684" s="0" t="s">
        <v>89</v>
      </c>
      <c r="F6684" s="0" t="s">
        <v>15</v>
      </c>
      <c r="G6684" s="0" t="s">
        <v>16</v>
      </c>
      <c r="H6684" s="0" t="n">
        <v>49</v>
      </c>
      <c r="I6684" s="0" t="s">
        <v>22354</v>
      </c>
      <c r="J6684" s="0" t="s">
        <v>22355</v>
      </c>
      <c r="K6684" s="0" t="s">
        <v>22356</v>
      </c>
      <c r="L6684" s="0" t="str">
        <f aca="false">HYPERLINK("https://www.ncbi.nlm.nih.gov/nuccore/CP000304.1?report=graph&amp;tracks=[key:gene_model_track,Options:GeneOnly]&amp;mk=1872966:1872985|offset_13|444444,1873002:1873021|offset_49|00cc00,1873036:1873055|offset_83|444444,1873119:1873138|offset_166|444444&amp;v=1872765:1873338&amp;c=444444", "offset 49")</f>
        <v>offset 49</v>
      </c>
    </row>
    <row r="6685" customFormat="false" ht="12.8" hidden="false" customHeight="false" outlineLevel="0" collapsed="false">
      <c r="A6685" s="0" t="s">
        <v>12</v>
      </c>
      <c r="B6685" s="0" t="n">
        <v>1873035</v>
      </c>
      <c r="C6685" s="0" t="n">
        <v>1873055</v>
      </c>
      <c r="D6685" s="0" t="s">
        <v>22350</v>
      </c>
      <c r="E6685" s="0" t="s">
        <v>89</v>
      </c>
      <c r="F6685" s="0" t="s">
        <v>15</v>
      </c>
      <c r="G6685" s="0" t="s">
        <v>16</v>
      </c>
      <c r="H6685" s="0" t="n">
        <v>83</v>
      </c>
      <c r="I6685" s="0" t="s">
        <v>22357</v>
      </c>
      <c r="J6685" s="0" t="s">
        <v>22358</v>
      </c>
      <c r="K6685" s="0" t="s">
        <v>22359</v>
      </c>
      <c r="L6685" s="0" t="str">
        <f aca="false">HYPERLINK("https://www.ncbi.nlm.nih.gov/nuccore/CP000304.1?report=graph&amp;tracks=[key:gene_model_track,Options:GeneOnly]&amp;mk=1872966:1872985|offset_13|444444,1873002:1873021|offset_49|444444,1873036:1873055|offset_83|00cc00,1873119:1873138|offset_166|444444&amp;v=1872765:1873338&amp;c=444444", "offset 83")</f>
        <v>offset 83</v>
      </c>
    </row>
    <row r="6686" customFormat="false" ht="12.8" hidden="false" customHeight="false" outlineLevel="0" collapsed="false">
      <c r="A6686" s="0" t="s">
        <v>12</v>
      </c>
      <c r="B6686" s="0" t="n">
        <v>1873118</v>
      </c>
      <c r="C6686" s="0" t="n">
        <v>1873138</v>
      </c>
      <c r="D6686" s="0" t="s">
        <v>22350</v>
      </c>
      <c r="E6686" s="0" t="s">
        <v>89</v>
      </c>
      <c r="F6686" s="0" t="s">
        <v>15</v>
      </c>
      <c r="G6686" s="0" t="s">
        <v>32</v>
      </c>
      <c r="H6686" s="0" t="n">
        <v>166</v>
      </c>
      <c r="I6686" s="0" t="s">
        <v>22360</v>
      </c>
      <c r="J6686" s="0" t="s">
        <v>22361</v>
      </c>
      <c r="K6686" s="0" t="s">
        <v>22362</v>
      </c>
      <c r="L6686" s="0" t="str">
        <f aca="false">HYPERLINK("https://www.ncbi.nlm.nih.gov/nuccore/CP000304.1?report=graph&amp;tracks=[key:gene_model_track,Options:GeneOnly]&amp;mk=1872966:1872985|offset_13|444444,1873002:1873021|offset_49|444444,1873036:1873055|offset_83|444444,1873119:1873138|offset_166|00cc00&amp;v=1872765:1873338&amp;c=444444", "offset 166")</f>
        <v>offset 166</v>
      </c>
    </row>
    <row r="6687" customFormat="false" ht="12.8" hidden="false" customHeight="false" outlineLevel="0" collapsed="false">
      <c r="A6687" s="0" t="s">
        <v>12</v>
      </c>
      <c r="B6687" s="0" t="n">
        <v>1873502</v>
      </c>
      <c r="C6687" s="0" t="n">
        <v>1873522</v>
      </c>
      <c r="D6687" s="0" t="s">
        <v>22363</v>
      </c>
      <c r="E6687" s="0" t="s">
        <v>89</v>
      </c>
      <c r="F6687" s="0" t="s">
        <v>15</v>
      </c>
      <c r="G6687" s="0" t="s">
        <v>16</v>
      </c>
      <c r="H6687" s="0" t="n">
        <v>18</v>
      </c>
      <c r="I6687" s="0" t="s">
        <v>22364</v>
      </c>
      <c r="J6687" s="0" t="s">
        <v>22365</v>
      </c>
      <c r="K6687" s="0" t="s">
        <v>22366</v>
      </c>
      <c r="L6687" s="0" t="str">
        <f aca="false">HYPERLINK("https://www.ncbi.nlm.nih.gov/nuccore/CP000304.1?report=graph&amp;tracks=[key:gene_model_track,Options:GeneOnly]&amp;mk=1873503:1873522|offset_18|00cc00,1873534:1873553|offset_49|444444,1873570:1873589|offset_85|444444,1873594:1873613|offset_109|444444&amp;v=1873302:1873813&amp;c=444444", "offset 18")</f>
        <v>offset 18</v>
      </c>
    </row>
    <row r="6688" customFormat="false" ht="12.8" hidden="false" customHeight="false" outlineLevel="0" collapsed="false">
      <c r="A6688" s="0" t="s">
        <v>12</v>
      </c>
      <c r="B6688" s="0" t="n">
        <v>1873533</v>
      </c>
      <c r="C6688" s="0" t="n">
        <v>1873553</v>
      </c>
      <c r="D6688" s="0" t="s">
        <v>22363</v>
      </c>
      <c r="E6688" s="0" t="s">
        <v>89</v>
      </c>
      <c r="F6688" s="0" t="s">
        <v>15</v>
      </c>
      <c r="G6688" s="0" t="s">
        <v>16</v>
      </c>
      <c r="H6688" s="0" t="n">
        <v>49</v>
      </c>
      <c r="I6688" s="0" t="s">
        <v>22367</v>
      </c>
      <c r="J6688" s="0" t="s">
        <v>22368</v>
      </c>
      <c r="K6688" s="0" t="s">
        <v>22369</v>
      </c>
      <c r="L6688" s="0" t="str">
        <f aca="false">HYPERLINK("https://www.ncbi.nlm.nih.gov/nuccore/CP000304.1?report=graph&amp;tracks=[key:gene_model_track,Options:GeneOnly]&amp;mk=1873503:1873522|offset_18|444444,1873534:1873553|offset_49|00cc00,1873570:1873589|offset_85|444444,1873594:1873613|offset_109|444444&amp;v=1873302:1873813&amp;c=444444", "offset 49")</f>
        <v>offset 49</v>
      </c>
    </row>
    <row r="6689" customFormat="false" ht="12.8" hidden="false" customHeight="false" outlineLevel="0" collapsed="false">
      <c r="A6689" s="0" t="s">
        <v>12</v>
      </c>
      <c r="B6689" s="0" t="n">
        <v>1873569</v>
      </c>
      <c r="C6689" s="0" t="n">
        <v>1873589</v>
      </c>
      <c r="D6689" s="0" t="s">
        <v>22363</v>
      </c>
      <c r="E6689" s="0" t="s">
        <v>89</v>
      </c>
      <c r="F6689" s="0" t="s">
        <v>15</v>
      </c>
      <c r="G6689" s="0" t="s">
        <v>26</v>
      </c>
      <c r="H6689" s="0" t="n">
        <v>85</v>
      </c>
      <c r="I6689" s="0" t="s">
        <v>22370</v>
      </c>
      <c r="J6689" s="0" t="s">
        <v>22371</v>
      </c>
      <c r="K6689" s="0" t="s">
        <v>22372</v>
      </c>
      <c r="L6689" s="0" t="str">
        <f aca="false">HYPERLINK("https://www.ncbi.nlm.nih.gov/nuccore/CP000304.1?report=graph&amp;tracks=[key:gene_model_track,Options:GeneOnly]&amp;mk=1873503:1873522|offset_18|444444,1873534:1873553|offset_49|444444,1873570:1873589|offset_85|00cc00,1873594:1873613|offset_109|444444&amp;v=1873302:1873813&amp;c=444444", "offset 85")</f>
        <v>offset 85</v>
      </c>
    </row>
    <row r="6690" customFormat="false" ht="12.8" hidden="false" customHeight="false" outlineLevel="0" collapsed="false">
      <c r="A6690" s="0" t="s">
        <v>12</v>
      </c>
      <c r="B6690" s="0" t="n">
        <v>1873593</v>
      </c>
      <c r="C6690" s="0" t="n">
        <v>1873613</v>
      </c>
      <c r="D6690" s="0" t="s">
        <v>22363</v>
      </c>
      <c r="E6690" s="0" t="s">
        <v>89</v>
      </c>
      <c r="F6690" s="0" t="s">
        <v>15</v>
      </c>
      <c r="G6690" s="0" t="s">
        <v>32</v>
      </c>
      <c r="H6690" s="0" t="n">
        <v>109</v>
      </c>
      <c r="I6690" s="0" t="s">
        <v>22373</v>
      </c>
      <c r="J6690" s="0" t="s">
        <v>22374</v>
      </c>
      <c r="K6690" s="0" t="s">
        <v>22375</v>
      </c>
      <c r="L6690" s="0" t="str">
        <f aca="false">HYPERLINK("https://www.ncbi.nlm.nih.gov/nuccore/CP000304.1?report=graph&amp;tracks=[key:gene_model_track,Options:GeneOnly]&amp;mk=1873503:1873522|offset_18|444444,1873534:1873553|offset_49|444444,1873570:1873589|offset_85|444444,1873594:1873613|offset_109|00cc00&amp;v=1873302:1873813&amp;c=444444", "offset 109")</f>
        <v>offset 109</v>
      </c>
    </row>
    <row r="6691" customFormat="false" ht="12.8" hidden="false" customHeight="false" outlineLevel="0" collapsed="false">
      <c r="A6691" s="0" t="s">
        <v>12</v>
      </c>
      <c r="B6691" s="0" t="n">
        <v>1876728</v>
      </c>
      <c r="C6691" s="0" t="n">
        <v>1876748</v>
      </c>
      <c r="D6691" s="0" t="s">
        <v>22376</v>
      </c>
      <c r="E6691" s="0" t="s">
        <v>89</v>
      </c>
      <c r="F6691" s="0" t="s">
        <v>90</v>
      </c>
      <c r="G6691" s="0" t="s">
        <v>36</v>
      </c>
      <c r="H6691" s="0" t="n">
        <v>0</v>
      </c>
      <c r="I6691" s="0" t="s">
        <v>22377</v>
      </c>
      <c r="J6691" s="0" t="s">
        <v>22378</v>
      </c>
      <c r="K6691" s="0" t="s">
        <v>22379</v>
      </c>
      <c r="L6691" s="0" t="str">
        <f aca="false">HYPERLINK("https://www.ncbi.nlm.nih.gov/nuccore/CP000304.1?report=graph&amp;tracks=[key:gene_model_track,Options:GeneOnly]&amp;mk=1876729:1876748|offset_0|00cc00,1876708:1876727|offset_21|444444,1876668:1876687|offset_61|444444,1876644:1876663|offset_85|444444&amp;v=1876528:1876863&amp;c=444444", "offset 0")</f>
        <v>offset 0</v>
      </c>
    </row>
    <row r="6692" customFormat="false" ht="12.8" hidden="false" customHeight="false" outlineLevel="0" collapsed="false">
      <c r="A6692" s="0" t="s">
        <v>12</v>
      </c>
      <c r="B6692" s="0" t="n">
        <v>1876707</v>
      </c>
      <c r="C6692" s="0" t="n">
        <v>1876727</v>
      </c>
      <c r="D6692" s="0" t="s">
        <v>22376</v>
      </c>
      <c r="E6692" s="0" t="s">
        <v>89</v>
      </c>
      <c r="F6692" s="0" t="s">
        <v>90</v>
      </c>
      <c r="G6692" s="0" t="s">
        <v>16</v>
      </c>
      <c r="H6692" s="0" t="n">
        <v>21</v>
      </c>
      <c r="I6692" s="0" t="s">
        <v>22380</v>
      </c>
      <c r="J6692" s="0" t="s">
        <v>22381</v>
      </c>
      <c r="K6692" s="0" t="s">
        <v>22382</v>
      </c>
      <c r="L6692" s="0" t="str">
        <f aca="false">HYPERLINK("https://www.ncbi.nlm.nih.gov/nuccore/CP000304.1?report=graph&amp;tracks=[key:gene_model_track,Options:GeneOnly]&amp;mk=1876729:1876748|offset_0|444444,1876708:1876727|offset_21|00cc00,1876668:1876687|offset_61|444444,1876644:1876663|offset_85|444444&amp;v=1876528:1876863&amp;c=444444", "offset 21")</f>
        <v>offset 21</v>
      </c>
    </row>
    <row r="6693" customFormat="false" ht="12.8" hidden="false" customHeight="false" outlineLevel="0" collapsed="false">
      <c r="A6693" s="0" t="s">
        <v>12</v>
      </c>
      <c r="B6693" s="0" t="n">
        <v>1876667</v>
      </c>
      <c r="C6693" s="0" t="n">
        <v>1876687</v>
      </c>
      <c r="D6693" s="0" t="s">
        <v>22376</v>
      </c>
      <c r="E6693" s="0" t="s">
        <v>89</v>
      </c>
      <c r="F6693" s="0" t="s">
        <v>90</v>
      </c>
      <c r="G6693" s="0" t="s">
        <v>32</v>
      </c>
      <c r="H6693" s="0" t="n">
        <v>61</v>
      </c>
      <c r="I6693" s="0" t="s">
        <v>22383</v>
      </c>
      <c r="J6693" s="0" t="s">
        <v>22384</v>
      </c>
      <c r="K6693" s="0" t="s">
        <v>22385</v>
      </c>
      <c r="L6693" s="0" t="str">
        <f aca="false">HYPERLINK("https://www.ncbi.nlm.nih.gov/nuccore/CP000304.1?report=graph&amp;tracks=[key:gene_model_track,Options:GeneOnly]&amp;mk=1876729:1876748|offset_0|444444,1876708:1876727|offset_21|444444,1876668:1876687|offset_61|00cc00,1876644:1876663|offset_85|444444&amp;v=1876528:1876863&amp;c=444444", "offset 61")</f>
        <v>offset 61</v>
      </c>
    </row>
    <row r="6694" customFormat="false" ht="12.8" hidden="false" customHeight="false" outlineLevel="0" collapsed="false">
      <c r="A6694" s="0" t="s">
        <v>12</v>
      </c>
      <c r="B6694" s="0" t="n">
        <v>1876643</v>
      </c>
      <c r="C6694" s="0" t="n">
        <v>1876663</v>
      </c>
      <c r="D6694" s="0" t="s">
        <v>22376</v>
      </c>
      <c r="E6694" s="0" t="s">
        <v>89</v>
      </c>
      <c r="F6694" s="0" t="s">
        <v>90</v>
      </c>
      <c r="G6694" s="0" t="s">
        <v>36</v>
      </c>
      <c r="H6694" s="0" t="n">
        <v>85</v>
      </c>
      <c r="I6694" s="0" t="s">
        <v>22386</v>
      </c>
      <c r="J6694" s="0" t="s">
        <v>22387</v>
      </c>
      <c r="K6694" s="0" t="s">
        <v>22388</v>
      </c>
      <c r="L6694" s="0" t="str">
        <f aca="false">HYPERLINK("https://www.ncbi.nlm.nih.gov/nuccore/CP000304.1?report=graph&amp;tracks=[key:gene_model_track,Options:GeneOnly]&amp;mk=1876729:1876748|offset_0|444444,1876708:1876727|offset_21|444444,1876668:1876687|offset_61|444444,1876644:1876663|offset_85|00cc00&amp;v=1876528:1876863&amp;c=444444", "offset 85")</f>
        <v>offset 85</v>
      </c>
    </row>
    <row r="6695" customFormat="false" ht="12.8" hidden="false" customHeight="false" outlineLevel="0" collapsed="false">
      <c r="A6695" s="0" t="s">
        <v>12</v>
      </c>
      <c r="B6695" s="0" t="n">
        <v>1878047</v>
      </c>
      <c r="C6695" s="0" t="n">
        <v>1878067</v>
      </c>
      <c r="D6695" s="0" t="s">
        <v>22389</v>
      </c>
      <c r="E6695" s="0" t="s">
        <v>89</v>
      </c>
      <c r="F6695" s="0" t="s">
        <v>90</v>
      </c>
      <c r="G6695" s="0" t="s">
        <v>36</v>
      </c>
      <c r="H6695" s="0" t="n">
        <v>0</v>
      </c>
      <c r="I6695" s="0" t="s">
        <v>22390</v>
      </c>
      <c r="J6695" s="0" t="s">
        <v>22391</v>
      </c>
      <c r="K6695" s="0" t="s">
        <v>22392</v>
      </c>
      <c r="L6695" s="0" t="str">
        <f aca="false">HYPERLINK("https://www.ncbi.nlm.nih.gov/nuccore/CP000304.1?report=graph&amp;tracks=[key:gene_model_track,Options:GeneOnly]&amp;mk=1878048:1878067|offset_0|00cc00,1878020:1878039|offset_28|444444,1877992:1878011|offset_56|444444,1877970:1877989|offset_78|444444&amp;v=1877847:1878189&amp;c=444444", "offset 0")</f>
        <v>offset 0</v>
      </c>
    </row>
    <row r="6696" customFormat="false" ht="12.8" hidden="false" customHeight="false" outlineLevel="0" collapsed="false">
      <c r="A6696" s="0" t="s">
        <v>12</v>
      </c>
      <c r="B6696" s="0" t="n">
        <v>1878019</v>
      </c>
      <c r="C6696" s="0" t="n">
        <v>1878039</v>
      </c>
      <c r="D6696" s="0" t="s">
        <v>22389</v>
      </c>
      <c r="E6696" s="0" t="s">
        <v>89</v>
      </c>
      <c r="F6696" s="0" t="s">
        <v>90</v>
      </c>
      <c r="G6696" s="0" t="s">
        <v>32</v>
      </c>
      <c r="H6696" s="0" t="n">
        <v>28</v>
      </c>
      <c r="I6696" s="0" t="s">
        <v>22393</v>
      </c>
      <c r="J6696" s="0" t="s">
        <v>22394</v>
      </c>
      <c r="K6696" s="0" t="s">
        <v>22395</v>
      </c>
      <c r="L6696" s="0" t="str">
        <f aca="false">HYPERLINK("https://www.ncbi.nlm.nih.gov/nuccore/CP000304.1?report=graph&amp;tracks=[key:gene_model_track,Options:GeneOnly]&amp;mk=1878048:1878067|offset_0|444444,1878020:1878039|offset_28|00cc00,1877992:1878011|offset_56|444444,1877970:1877989|offset_78|444444&amp;v=1877847:1878189&amp;c=444444", "offset 28")</f>
        <v>offset 28</v>
      </c>
    </row>
    <row r="6697" customFormat="false" ht="12.8" hidden="false" customHeight="false" outlineLevel="0" collapsed="false">
      <c r="A6697" s="0" t="s">
        <v>12</v>
      </c>
      <c r="B6697" s="0" t="n">
        <v>1877991</v>
      </c>
      <c r="C6697" s="0" t="n">
        <v>1878011</v>
      </c>
      <c r="D6697" s="0" t="s">
        <v>22389</v>
      </c>
      <c r="E6697" s="0" t="s">
        <v>89</v>
      </c>
      <c r="F6697" s="0" t="s">
        <v>90</v>
      </c>
      <c r="G6697" s="0" t="s">
        <v>36</v>
      </c>
      <c r="H6697" s="0" t="n">
        <v>56</v>
      </c>
      <c r="I6697" s="0" t="s">
        <v>22396</v>
      </c>
      <c r="J6697" s="0" t="s">
        <v>22397</v>
      </c>
      <c r="K6697" s="0" t="s">
        <v>22398</v>
      </c>
      <c r="L6697" s="0" t="str">
        <f aca="false">HYPERLINK("https://www.ncbi.nlm.nih.gov/nuccore/CP000304.1?report=graph&amp;tracks=[key:gene_model_track,Options:GeneOnly]&amp;mk=1878048:1878067|offset_0|444444,1878020:1878039|offset_28|444444,1877992:1878011|offset_56|00cc00,1877970:1877989|offset_78|444444&amp;v=1877847:1878189&amp;c=444444", "offset 56")</f>
        <v>offset 56</v>
      </c>
    </row>
    <row r="6698" customFormat="false" ht="12.8" hidden="false" customHeight="false" outlineLevel="0" collapsed="false">
      <c r="A6698" s="0" t="s">
        <v>12</v>
      </c>
      <c r="B6698" s="0" t="n">
        <v>1877969</v>
      </c>
      <c r="C6698" s="0" t="n">
        <v>1877989</v>
      </c>
      <c r="D6698" s="0" t="s">
        <v>22389</v>
      </c>
      <c r="E6698" s="0" t="s">
        <v>89</v>
      </c>
      <c r="F6698" s="0" t="s">
        <v>90</v>
      </c>
      <c r="G6698" s="0" t="s">
        <v>16</v>
      </c>
      <c r="H6698" s="0" t="n">
        <v>78</v>
      </c>
      <c r="I6698" s="0" t="s">
        <v>22399</v>
      </c>
      <c r="J6698" s="0" t="s">
        <v>22400</v>
      </c>
      <c r="K6698" s="0" t="s">
        <v>22401</v>
      </c>
      <c r="L6698" s="0" t="str">
        <f aca="false">HYPERLINK("https://www.ncbi.nlm.nih.gov/nuccore/CP000304.1?report=graph&amp;tracks=[key:gene_model_track,Options:GeneOnly]&amp;mk=1878048:1878067|offset_0|444444,1878020:1878039|offset_28|444444,1877992:1878011|offset_56|444444,1877970:1877989|offset_78|00cc00&amp;v=1877847:1878189&amp;c=444444", "offset 78")</f>
        <v>offset 78</v>
      </c>
    </row>
    <row r="6699" customFormat="false" ht="12.8" hidden="false" customHeight="false" outlineLevel="0" collapsed="false">
      <c r="A6699" s="0" t="s">
        <v>12</v>
      </c>
      <c r="B6699" s="0" t="n">
        <v>1878521</v>
      </c>
      <c r="C6699" s="0" t="n">
        <v>1878541</v>
      </c>
      <c r="D6699" s="0" t="s">
        <v>22402</v>
      </c>
      <c r="E6699" s="0" t="s">
        <v>89</v>
      </c>
      <c r="F6699" s="0" t="s">
        <v>15</v>
      </c>
      <c r="G6699" s="0" t="s">
        <v>36</v>
      </c>
      <c r="H6699" s="0" t="n">
        <v>24</v>
      </c>
      <c r="I6699" s="0" t="s">
        <v>22403</v>
      </c>
      <c r="J6699" s="0" t="s">
        <v>22404</v>
      </c>
      <c r="K6699" s="0" t="s">
        <v>22405</v>
      </c>
      <c r="L6699" s="0" t="str">
        <f aca="false">HYPERLINK("https://www.ncbi.nlm.nih.gov/nuccore/CP000304.1?report=graph&amp;tracks=[key:gene_model_track,Options:GeneOnly]&amp;mk=1878522:1878541|offset_24|00cc00,1878558:1878577|offset_60|444444,1878580:1878599|offset_82|444444,1878601:1878620|offset_103|444444&amp;v=1878321:1878820&amp;c=444444", "offset 24")</f>
        <v>offset 24</v>
      </c>
    </row>
    <row r="6700" customFormat="false" ht="12.8" hidden="false" customHeight="false" outlineLevel="0" collapsed="false">
      <c r="A6700" s="0" t="s">
        <v>12</v>
      </c>
      <c r="B6700" s="0" t="n">
        <v>1878557</v>
      </c>
      <c r="C6700" s="0" t="n">
        <v>1878577</v>
      </c>
      <c r="D6700" s="0" t="s">
        <v>22402</v>
      </c>
      <c r="E6700" s="0" t="s">
        <v>89</v>
      </c>
      <c r="F6700" s="0" t="s">
        <v>15</v>
      </c>
      <c r="G6700" s="0" t="s">
        <v>36</v>
      </c>
      <c r="H6700" s="0" t="n">
        <v>60</v>
      </c>
      <c r="I6700" s="0" t="s">
        <v>22406</v>
      </c>
      <c r="J6700" s="0" t="s">
        <v>22407</v>
      </c>
      <c r="K6700" s="0" t="s">
        <v>22408</v>
      </c>
      <c r="L6700" s="0" t="str">
        <f aca="false">HYPERLINK("https://www.ncbi.nlm.nih.gov/nuccore/CP000304.1?report=graph&amp;tracks=[key:gene_model_track,Options:GeneOnly]&amp;mk=1878522:1878541|offset_24|444444,1878558:1878577|offset_60|00cc00,1878580:1878599|offset_82|444444,1878601:1878620|offset_103|444444&amp;v=1878321:1878820&amp;c=444444", "offset 60")</f>
        <v>offset 60</v>
      </c>
    </row>
    <row r="6701" customFormat="false" ht="12.8" hidden="false" customHeight="false" outlineLevel="0" collapsed="false">
      <c r="A6701" s="0" t="s">
        <v>12</v>
      </c>
      <c r="B6701" s="0" t="n">
        <v>1878579</v>
      </c>
      <c r="C6701" s="0" t="n">
        <v>1878599</v>
      </c>
      <c r="D6701" s="0" t="s">
        <v>22402</v>
      </c>
      <c r="E6701" s="0" t="s">
        <v>89</v>
      </c>
      <c r="F6701" s="0" t="s">
        <v>15</v>
      </c>
      <c r="G6701" s="0" t="s">
        <v>32</v>
      </c>
      <c r="H6701" s="0" t="n">
        <v>82</v>
      </c>
      <c r="I6701" s="0" t="s">
        <v>22409</v>
      </c>
      <c r="J6701" s="0" t="s">
        <v>22410</v>
      </c>
      <c r="K6701" s="0" t="s">
        <v>22411</v>
      </c>
      <c r="L6701" s="0" t="str">
        <f aca="false">HYPERLINK("https://www.ncbi.nlm.nih.gov/nuccore/CP000304.1?report=graph&amp;tracks=[key:gene_model_track,Options:GeneOnly]&amp;mk=1878522:1878541|offset_24|444444,1878558:1878577|offset_60|444444,1878580:1878599|offset_82|00cc00,1878601:1878620|offset_103|444444&amp;v=1878321:1878820&amp;c=444444", "offset 82")</f>
        <v>offset 82</v>
      </c>
    </row>
    <row r="6702" customFormat="false" ht="12.8" hidden="false" customHeight="false" outlineLevel="0" collapsed="false">
      <c r="A6702" s="0" t="s">
        <v>12</v>
      </c>
      <c r="B6702" s="0" t="n">
        <v>1878600</v>
      </c>
      <c r="C6702" s="0" t="n">
        <v>1878620</v>
      </c>
      <c r="D6702" s="0" t="s">
        <v>22402</v>
      </c>
      <c r="E6702" s="0" t="s">
        <v>89</v>
      </c>
      <c r="F6702" s="0" t="s">
        <v>15</v>
      </c>
      <c r="G6702" s="0" t="s">
        <v>16</v>
      </c>
      <c r="H6702" s="0" t="n">
        <v>103</v>
      </c>
      <c r="I6702" s="0" t="s">
        <v>22412</v>
      </c>
      <c r="J6702" s="0" t="s">
        <v>22413</v>
      </c>
      <c r="K6702" s="0" t="s">
        <v>22414</v>
      </c>
      <c r="L6702" s="0" t="str">
        <f aca="false">HYPERLINK("https://www.ncbi.nlm.nih.gov/nuccore/CP000304.1?report=graph&amp;tracks=[key:gene_model_track,Options:GeneOnly]&amp;mk=1878522:1878541|offset_24|444444,1878558:1878577|offset_60|444444,1878580:1878599|offset_82|444444,1878601:1878620|offset_103|00cc00&amp;v=1878321:1878820&amp;c=444444", "offset 103")</f>
        <v>offset 103</v>
      </c>
    </row>
    <row r="6703" customFormat="false" ht="12.8" hidden="false" customHeight="false" outlineLevel="0" collapsed="false">
      <c r="A6703" s="0" t="s">
        <v>12</v>
      </c>
      <c r="B6703" s="0" t="n">
        <v>1880663</v>
      </c>
      <c r="C6703" s="0" t="n">
        <v>1880683</v>
      </c>
      <c r="D6703" s="0" t="s">
        <v>22415</v>
      </c>
      <c r="E6703" s="0" t="s">
        <v>22416</v>
      </c>
      <c r="F6703" s="0" t="s">
        <v>15</v>
      </c>
      <c r="G6703" s="0" t="s">
        <v>36</v>
      </c>
      <c r="H6703" s="0" t="n">
        <v>7</v>
      </c>
      <c r="I6703" s="0" t="s">
        <v>22417</v>
      </c>
      <c r="J6703" s="0" t="s">
        <v>22418</v>
      </c>
      <c r="K6703" s="0" t="s">
        <v>22419</v>
      </c>
      <c r="L6703" s="0" t="str">
        <f aca="false">HYPERLINK("https://www.ncbi.nlm.nih.gov/nuccore/CP000304.1?report=graph&amp;tracks=[key:gene_model_track,Options:GeneOnly]&amp;mk=1880664:1880683|offset_7|00cc00,1880692:1880711|offset_35|444444,1880712:1880731|offset_55|444444,1880743:1880762|offset_86|444444&amp;v=1880463:1880962&amp;c=444444", "offset 7")</f>
        <v>offset 7</v>
      </c>
    </row>
    <row r="6704" customFormat="false" ht="12.8" hidden="false" customHeight="false" outlineLevel="0" collapsed="false">
      <c r="A6704" s="0" t="s">
        <v>12</v>
      </c>
      <c r="B6704" s="0" t="n">
        <v>1880691</v>
      </c>
      <c r="C6704" s="0" t="n">
        <v>1880711</v>
      </c>
      <c r="D6704" s="0" t="s">
        <v>22415</v>
      </c>
      <c r="E6704" s="0" t="s">
        <v>22416</v>
      </c>
      <c r="F6704" s="0" t="s">
        <v>15</v>
      </c>
      <c r="G6704" s="0" t="s">
        <v>32</v>
      </c>
      <c r="H6704" s="0" t="n">
        <v>35</v>
      </c>
      <c r="I6704" s="0" t="s">
        <v>22420</v>
      </c>
      <c r="J6704" s="0" t="s">
        <v>22421</v>
      </c>
      <c r="K6704" s="0" t="s">
        <v>22422</v>
      </c>
      <c r="L6704" s="0" t="str">
        <f aca="false">HYPERLINK("https://www.ncbi.nlm.nih.gov/nuccore/CP000304.1?report=graph&amp;tracks=[key:gene_model_track,Options:GeneOnly]&amp;mk=1880664:1880683|offset_7|444444,1880692:1880711|offset_35|00cc00,1880712:1880731|offset_55|444444,1880743:1880762|offset_86|444444&amp;v=1880463:1880962&amp;c=444444", "offset 35")</f>
        <v>offset 35</v>
      </c>
    </row>
    <row r="6705" customFormat="false" ht="12.8" hidden="false" customHeight="false" outlineLevel="0" collapsed="false">
      <c r="A6705" s="0" t="s">
        <v>12</v>
      </c>
      <c r="B6705" s="0" t="n">
        <v>1880711</v>
      </c>
      <c r="C6705" s="0" t="n">
        <v>1880731</v>
      </c>
      <c r="D6705" s="0" t="s">
        <v>22415</v>
      </c>
      <c r="E6705" s="0" t="s">
        <v>22416</v>
      </c>
      <c r="F6705" s="0" t="s">
        <v>15</v>
      </c>
      <c r="G6705" s="0" t="s">
        <v>32</v>
      </c>
      <c r="H6705" s="0" t="n">
        <v>55</v>
      </c>
      <c r="I6705" s="0" t="s">
        <v>22423</v>
      </c>
      <c r="J6705" s="0" t="s">
        <v>22424</v>
      </c>
      <c r="K6705" s="0" t="s">
        <v>22425</v>
      </c>
      <c r="L6705" s="0" t="str">
        <f aca="false">HYPERLINK("https://www.ncbi.nlm.nih.gov/nuccore/CP000304.1?report=graph&amp;tracks=[key:gene_model_track,Options:GeneOnly]&amp;mk=1880664:1880683|offset_7|444444,1880692:1880711|offset_35|444444,1880712:1880731|offset_55|00cc00,1880743:1880762|offset_86|444444&amp;v=1880463:1880962&amp;c=444444", "offset 55")</f>
        <v>offset 55</v>
      </c>
    </row>
    <row r="6706" customFormat="false" ht="12.8" hidden="false" customHeight="false" outlineLevel="0" collapsed="false">
      <c r="A6706" s="0" t="s">
        <v>12</v>
      </c>
      <c r="B6706" s="0" t="n">
        <v>1880742</v>
      </c>
      <c r="C6706" s="0" t="n">
        <v>1880762</v>
      </c>
      <c r="D6706" s="0" t="s">
        <v>22415</v>
      </c>
      <c r="E6706" s="0" t="s">
        <v>22416</v>
      </c>
      <c r="F6706" s="0" t="s">
        <v>15</v>
      </c>
      <c r="G6706" s="0" t="s">
        <v>36</v>
      </c>
      <c r="H6706" s="0" t="n">
        <v>86</v>
      </c>
      <c r="I6706" s="0" t="s">
        <v>22426</v>
      </c>
      <c r="J6706" s="0" t="s">
        <v>22427</v>
      </c>
      <c r="K6706" s="0" t="s">
        <v>22428</v>
      </c>
      <c r="L6706" s="0" t="str">
        <f aca="false">HYPERLINK("https://www.ncbi.nlm.nih.gov/nuccore/CP000304.1?report=graph&amp;tracks=[key:gene_model_track,Options:GeneOnly]&amp;mk=1880664:1880683|offset_7|444444,1880692:1880711|offset_35|444444,1880712:1880731|offset_55|444444,1880743:1880762|offset_86|00cc00&amp;v=1880463:1880962&amp;c=444444", "offset 86")</f>
        <v>offset 86</v>
      </c>
    </row>
    <row r="6707" customFormat="false" ht="12.8" hidden="false" customHeight="false" outlineLevel="0" collapsed="false">
      <c r="A6707" s="0" t="s">
        <v>12</v>
      </c>
      <c r="B6707" s="0" t="n">
        <v>1882184</v>
      </c>
      <c r="C6707" s="0" t="n">
        <v>1882204</v>
      </c>
      <c r="D6707" s="0" t="s">
        <v>22429</v>
      </c>
      <c r="E6707" s="0" t="s">
        <v>22430</v>
      </c>
      <c r="F6707" s="0" t="s">
        <v>15</v>
      </c>
      <c r="G6707" s="0" t="s">
        <v>16</v>
      </c>
      <c r="H6707" s="0" t="n">
        <v>40</v>
      </c>
      <c r="I6707" s="0" t="s">
        <v>22431</v>
      </c>
      <c r="J6707" s="0" t="s">
        <v>22432</v>
      </c>
      <c r="K6707" s="0" t="s">
        <v>22433</v>
      </c>
      <c r="L6707" s="0" t="str">
        <f aca="false">HYPERLINK("https://www.ncbi.nlm.nih.gov/nuccore/CP000304.1?report=graph&amp;tracks=[key:gene_model_track,Options:GeneOnly]&amp;mk=1882185:1882204|offset_40|00cc00,1882221:1882240|offset_76|444444,1882248:1882267|offset_103|444444,1882276:1882295|offset_131|444444&amp;v=1881984:1882495&amp;c=444444", "offset 40")</f>
        <v>offset 40</v>
      </c>
    </row>
    <row r="6708" customFormat="false" ht="12.8" hidden="false" customHeight="false" outlineLevel="0" collapsed="false">
      <c r="A6708" s="0" t="s">
        <v>12</v>
      </c>
      <c r="B6708" s="0" t="n">
        <v>1882220</v>
      </c>
      <c r="C6708" s="0" t="n">
        <v>1882240</v>
      </c>
      <c r="D6708" s="0" t="s">
        <v>22429</v>
      </c>
      <c r="E6708" s="0" t="s">
        <v>22430</v>
      </c>
      <c r="F6708" s="0" t="s">
        <v>15</v>
      </c>
      <c r="G6708" s="0" t="s">
        <v>16</v>
      </c>
      <c r="H6708" s="0" t="n">
        <v>76</v>
      </c>
      <c r="I6708" s="0" t="s">
        <v>22434</v>
      </c>
      <c r="J6708" s="0" t="s">
        <v>22435</v>
      </c>
      <c r="K6708" s="0" t="s">
        <v>22436</v>
      </c>
      <c r="L6708" s="0" t="str">
        <f aca="false">HYPERLINK("https://www.ncbi.nlm.nih.gov/nuccore/CP000304.1?report=graph&amp;tracks=[key:gene_model_track,Options:GeneOnly]&amp;mk=1882185:1882204|offset_40|444444,1882221:1882240|offset_76|00cc00,1882248:1882267|offset_103|444444,1882276:1882295|offset_131|444444&amp;v=1881984:1882495&amp;c=444444", "offset 76")</f>
        <v>offset 76</v>
      </c>
    </row>
    <row r="6709" customFormat="false" ht="12.8" hidden="false" customHeight="false" outlineLevel="0" collapsed="false">
      <c r="A6709" s="0" t="s">
        <v>12</v>
      </c>
      <c r="B6709" s="0" t="n">
        <v>1882247</v>
      </c>
      <c r="C6709" s="0" t="n">
        <v>1882267</v>
      </c>
      <c r="D6709" s="0" t="s">
        <v>22429</v>
      </c>
      <c r="E6709" s="0" t="s">
        <v>22430</v>
      </c>
      <c r="F6709" s="0" t="s">
        <v>15</v>
      </c>
      <c r="G6709" s="0" t="s">
        <v>16</v>
      </c>
      <c r="H6709" s="0" t="n">
        <v>103</v>
      </c>
      <c r="I6709" s="0" t="s">
        <v>22437</v>
      </c>
      <c r="J6709" s="0" t="s">
        <v>22438</v>
      </c>
      <c r="K6709" s="0" t="s">
        <v>22439</v>
      </c>
      <c r="L6709" s="0" t="str">
        <f aca="false">HYPERLINK("https://www.ncbi.nlm.nih.gov/nuccore/CP000304.1?report=graph&amp;tracks=[key:gene_model_track,Options:GeneOnly]&amp;mk=1882185:1882204|offset_40|444444,1882221:1882240|offset_76|444444,1882248:1882267|offset_103|00cc00,1882276:1882295|offset_131|444444&amp;v=1881984:1882495&amp;c=444444", "offset 103")</f>
        <v>offset 103</v>
      </c>
    </row>
    <row r="6710" customFormat="false" ht="12.8" hidden="false" customHeight="false" outlineLevel="0" collapsed="false">
      <c r="A6710" s="0" t="s">
        <v>12</v>
      </c>
      <c r="B6710" s="0" t="n">
        <v>1882275</v>
      </c>
      <c r="C6710" s="0" t="n">
        <v>1882295</v>
      </c>
      <c r="D6710" s="0" t="s">
        <v>22429</v>
      </c>
      <c r="E6710" s="0" t="s">
        <v>22430</v>
      </c>
      <c r="F6710" s="0" t="s">
        <v>15</v>
      </c>
      <c r="G6710" s="0" t="s">
        <v>16</v>
      </c>
      <c r="H6710" s="0" t="n">
        <v>131</v>
      </c>
      <c r="I6710" s="0" t="s">
        <v>22440</v>
      </c>
      <c r="J6710" s="0" t="s">
        <v>22441</v>
      </c>
      <c r="K6710" s="0" t="s">
        <v>22442</v>
      </c>
      <c r="L6710" s="0" t="str">
        <f aca="false">HYPERLINK("https://www.ncbi.nlm.nih.gov/nuccore/CP000304.1?report=graph&amp;tracks=[key:gene_model_track,Options:GeneOnly]&amp;mk=1882185:1882204|offset_40|444444,1882221:1882240|offset_76|444444,1882248:1882267|offset_103|444444,1882276:1882295|offset_131|00cc00&amp;v=1881984:1882495&amp;c=444444", "offset 131")</f>
        <v>offset 131</v>
      </c>
    </row>
    <row r="6711" customFormat="false" ht="12.8" hidden="false" customHeight="false" outlineLevel="0" collapsed="false">
      <c r="A6711" s="0" t="s">
        <v>12</v>
      </c>
      <c r="B6711" s="0" t="n">
        <v>1885259</v>
      </c>
      <c r="C6711" s="0" t="n">
        <v>1885279</v>
      </c>
      <c r="D6711" s="0" t="s">
        <v>22443</v>
      </c>
      <c r="E6711" s="0" t="s">
        <v>89</v>
      </c>
      <c r="F6711" s="0" t="s">
        <v>90</v>
      </c>
      <c r="G6711" s="0" t="s">
        <v>26</v>
      </c>
      <c r="H6711" s="0" t="n">
        <v>28</v>
      </c>
      <c r="I6711" s="0" t="s">
        <v>22444</v>
      </c>
      <c r="J6711" s="0" t="s">
        <v>22445</v>
      </c>
      <c r="K6711" s="0" t="s">
        <v>22446</v>
      </c>
      <c r="L6711" s="0" t="str">
        <f aca="false">HYPERLINK("https://www.ncbi.nlm.nih.gov/nuccore/CP000304.1?report=graph&amp;tracks=[key:gene_model_track,Options:GeneOnly]&amp;mk=1885260:1885279|offset_28|00cc00,1885213:1885232|offset_75|444444,1885184:1885203|offset_104|444444,1885164:1885183|offset_124|444444&amp;v=1885059:1885383&amp;c=444444", "offset 28")</f>
        <v>offset 28</v>
      </c>
    </row>
    <row r="6712" customFormat="false" ht="12.8" hidden="false" customHeight="false" outlineLevel="0" collapsed="false">
      <c r="A6712" s="0" t="s">
        <v>12</v>
      </c>
      <c r="B6712" s="0" t="n">
        <v>1885212</v>
      </c>
      <c r="C6712" s="0" t="n">
        <v>1885232</v>
      </c>
      <c r="D6712" s="0" t="s">
        <v>22443</v>
      </c>
      <c r="E6712" s="0" t="s">
        <v>89</v>
      </c>
      <c r="F6712" s="0" t="s">
        <v>90</v>
      </c>
      <c r="G6712" s="0" t="s">
        <v>32</v>
      </c>
      <c r="H6712" s="0" t="n">
        <v>75</v>
      </c>
      <c r="I6712" s="0" t="s">
        <v>22447</v>
      </c>
      <c r="J6712" s="0" t="s">
        <v>22448</v>
      </c>
      <c r="K6712" s="0" t="s">
        <v>22449</v>
      </c>
      <c r="L6712" s="0" t="str">
        <f aca="false">HYPERLINK("https://www.ncbi.nlm.nih.gov/nuccore/CP000304.1?report=graph&amp;tracks=[key:gene_model_track,Options:GeneOnly]&amp;mk=1885260:1885279|offset_28|444444,1885213:1885232|offset_75|00cc00,1885184:1885203|offset_104|444444,1885164:1885183|offset_124|444444&amp;v=1885059:1885383&amp;c=444444", "offset 75")</f>
        <v>offset 75</v>
      </c>
    </row>
    <row r="6713" customFormat="false" ht="12.8" hidden="false" customHeight="false" outlineLevel="0" collapsed="false">
      <c r="A6713" s="0" t="s">
        <v>12</v>
      </c>
      <c r="B6713" s="0" t="n">
        <v>1885183</v>
      </c>
      <c r="C6713" s="0" t="n">
        <v>1885203</v>
      </c>
      <c r="D6713" s="0" t="s">
        <v>22443</v>
      </c>
      <c r="E6713" s="0" t="s">
        <v>89</v>
      </c>
      <c r="F6713" s="0" t="s">
        <v>90</v>
      </c>
      <c r="G6713" s="0" t="s">
        <v>36</v>
      </c>
      <c r="H6713" s="0" t="n">
        <v>104</v>
      </c>
      <c r="I6713" s="0" t="s">
        <v>22450</v>
      </c>
      <c r="J6713" s="0" t="s">
        <v>22451</v>
      </c>
      <c r="K6713" s="0" t="s">
        <v>22452</v>
      </c>
      <c r="L6713" s="0" t="str">
        <f aca="false">HYPERLINK("https://www.ncbi.nlm.nih.gov/nuccore/CP000304.1?report=graph&amp;tracks=[key:gene_model_track,Options:GeneOnly]&amp;mk=1885260:1885279|offset_28|444444,1885213:1885232|offset_75|444444,1885184:1885203|offset_104|00cc00,1885164:1885183|offset_124|444444&amp;v=1885059:1885383&amp;c=444444", "offset 104")</f>
        <v>offset 104</v>
      </c>
    </row>
    <row r="6714" customFormat="false" ht="12.8" hidden="false" customHeight="false" outlineLevel="0" collapsed="false">
      <c r="A6714" s="0" t="s">
        <v>12</v>
      </c>
      <c r="B6714" s="0" t="n">
        <v>1885163</v>
      </c>
      <c r="C6714" s="0" t="n">
        <v>1885183</v>
      </c>
      <c r="D6714" s="0" t="s">
        <v>22443</v>
      </c>
      <c r="E6714" s="0" t="s">
        <v>89</v>
      </c>
      <c r="F6714" s="0" t="s">
        <v>90</v>
      </c>
      <c r="G6714" s="0" t="s">
        <v>16</v>
      </c>
      <c r="H6714" s="0" t="n">
        <v>124</v>
      </c>
      <c r="I6714" s="0" t="s">
        <v>22453</v>
      </c>
      <c r="J6714" s="0" t="s">
        <v>22454</v>
      </c>
      <c r="K6714" s="0" t="s">
        <v>22455</v>
      </c>
      <c r="L6714" s="0" t="str">
        <f aca="false">HYPERLINK("https://www.ncbi.nlm.nih.gov/nuccore/CP000304.1?report=graph&amp;tracks=[key:gene_model_track,Options:GeneOnly]&amp;mk=1885260:1885279|offset_28|444444,1885213:1885232|offset_75|444444,1885184:1885203|offset_104|444444,1885164:1885183|offset_124|00cc00&amp;v=1885059:1885383&amp;c=444444", "offset 124")</f>
        <v>offset 124</v>
      </c>
    </row>
    <row r="6715" customFormat="false" ht="12.8" hidden="false" customHeight="false" outlineLevel="0" collapsed="false">
      <c r="A6715" s="0" t="s">
        <v>12</v>
      </c>
      <c r="B6715" s="0" t="n">
        <v>1886380</v>
      </c>
      <c r="C6715" s="0" t="n">
        <v>1886400</v>
      </c>
      <c r="D6715" s="0" t="s">
        <v>22456</v>
      </c>
      <c r="E6715" s="0" t="s">
        <v>89</v>
      </c>
      <c r="F6715" s="0" t="s">
        <v>90</v>
      </c>
      <c r="G6715" s="0" t="s">
        <v>16</v>
      </c>
      <c r="H6715" s="0" t="n">
        <v>0</v>
      </c>
      <c r="I6715" s="0" t="s">
        <v>22457</v>
      </c>
      <c r="J6715" s="0" t="s">
        <v>22458</v>
      </c>
      <c r="K6715" s="0" t="s">
        <v>22459</v>
      </c>
      <c r="L6715" s="0" t="str">
        <f aca="false">HYPERLINK("https://www.ncbi.nlm.nih.gov/nuccore/CP000304.1?report=graph&amp;tracks=[key:gene_model_track,Options:GeneOnly]&amp;mk=1886381:1886400|offset_0|00cc00,1886360:1886379|offset_21|444444,1886334:1886353|offset_47|444444,1886286:1886305|offset_95|444444&amp;v=1886180:1886505&amp;c=444444", "offset 0")</f>
        <v>offset 0</v>
      </c>
    </row>
    <row r="6716" customFormat="false" ht="12.8" hidden="false" customHeight="false" outlineLevel="0" collapsed="false">
      <c r="A6716" s="0" t="s">
        <v>12</v>
      </c>
      <c r="B6716" s="0" t="n">
        <v>1886359</v>
      </c>
      <c r="C6716" s="0" t="n">
        <v>1886379</v>
      </c>
      <c r="D6716" s="0" t="s">
        <v>22456</v>
      </c>
      <c r="E6716" s="0" t="s">
        <v>89</v>
      </c>
      <c r="F6716" s="0" t="s">
        <v>90</v>
      </c>
      <c r="G6716" s="0" t="s">
        <v>16</v>
      </c>
      <c r="H6716" s="0" t="n">
        <v>21</v>
      </c>
      <c r="I6716" s="0" t="s">
        <v>22460</v>
      </c>
      <c r="J6716" s="0" t="s">
        <v>22461</v>
      </c>
      <c r="K6716" s="0" t="s">
        <v>22462</v>
      </c>
      <c r="L6716" s="0" t="str">
        <f aca="false">HYPERLINK("https://www.ncbi.nlm.nih.gov/nuccore/CP000304.1?report=graph&amp;tracks=[key:gene_model_track,Options:GeneOnly]&amp;mk=1886381:1886400|offset_0|444444,1886360:1886379|offset_21|00cc00,1886334:1886353|offset_47|444444,1886286:1886305|offset_95|444444&amp;v=1886180:1886505&amp;c=444444", "offset 21")</f>
        <v>offset 21</v>
      </c>
    </row>
    <row r="6717" customFormat="false" ht="12.8" hidden="false" customHeight="false" outlineLevel="0" collapsed="false">
      <c r="A6717" s="0" t="s">
        <v>12</v>
      </c>
      <c r="B6717" s="0" t="n">
        <v>1886333</v>
      </c>
      <c r="C6717" s="0" t="n">
        <v>1886353</v>
      </c>
      <c r="D6717" s="0" t="s">
        <v>22456</v>
      </c>
      <c r="E6717" s="0" t="s">
        <v>89</v>
      </c>
      <c r="F6717" s="0" t="s">
        <v>90</v>
      </c>
      <c r="G6717" s="0" t="s">
        <v>26</v>
      </c>
      <c r="H6717" s="0" t="n">
        <v>47</v>
      </c>
      <c r="I6717" s="0" t="s">
        <v>22463</v>
      </c>
      <c r="J6717" s="0" t="s">
        <v>22464</v>
      </c>
      <c r="K6717" s="0" t="s">
        <v>22465</v>
      </c>
      <c r="L6717" s="0" t="str">
        <f aca="false">HYPERLINK("https://www.ncbi.nlm.nih.gov/nuccore/CP000304.1?report=graph&amp;tracks=[key:gene_model_track,Options:GeneOnly]&amp;mk=1886381:1886400|offset_0|444444,1886360:1886379|offset_21|444444,1886334:1886353|offset_47|00cc00,1886286:1886305|offset_95|444444&amp;v=1886180:1886505&amp;c=444444", "offset 47")</f>
        <v>offset 47</v>
      </c>
    </row>
    <row r="6718" customFormat="false" ht="12.8" hidden="false" customHeight="false" outlineLevel="0" collapsed="false">
      <c r="A6718" s="0" t="s">
        <v>12</v>
      </c>
      <c r="B6718" s="0" t="n">
        <v>1886285</v>
      </c>
      <c r="C6718" s="0" t="n">
        <v>1886305</v>
      </c>
      <c r="D6718" s="0" t="s">
        <v>22456</v>
      </c>
      <c r="E6718" s="0" t="s">
        <v>89</v>
      </c>
      <c r="F6718" s="0" t="s">
        <v>90</v>
      </c>
      <c r="G6718" s="0" t="s">
        <v>26</v>
      </c>
      <c r="H6718" s="0" t="n">
        <v>95</v>
      </c>
      <c r="I6718" s="0" t="s">
        <v>22466</v>
      </c>
      <c r="J6718" s="0" t="s">
        <v>22467</v>
      </c>
      <c r="K6718" s="0" t="s">
        <v>22468</v>
      </c>
      <c r="L6718" s="0" t="str">
        <f aca="false">HYPERLINK("https://www.ncbi.nlm.nih.gov/nuccore/CP000304.1?report=graph&amp;tracks=[key:gene_model_track,Options:GeneOnly]&amp;mk=1886381:1886400|offset_0|444444,1886360:1886379|offset_21|444444,1886334:1886353|offset_47|444444,1886286:1886305|offset_95|00cc00&amp;v=1886180:1886505&amp;c=444444", "offset 95")</f>
        <v>offset 95</v>
      </c>
    </row>
    <row r="6719" customFormat="false" ht="12.8" hidden="false" customHeight="false" outlineLevel="0" collapsed="false">
      <c r="A6719" s="0" t="s">
        <v>12</v>
      </c>
      <c r="B6719" s="0" t="n">
        <v>1887475</v>
      </c>
      <c r="C6719" s="0" t="n">
        <v>1887495</v>
      </c>
      <c r="D6719" s="0" t="s">
        <v>22469</v>
      </c>
      <c r="E6719" s="0" t="s">
        <v>89</v>
      </c>
      <c r="F6719" s="0" t="s">
        <v>90</v>
      </c>
      <c r="G6719" s="0" t="s">
        <v>32</v>
      </c>
      <c r="H6719" s="0" t="n">
        <v>1</v>
      </c>
      <c r="I6719" s="0" t="s">
        <v>22470</v>
      </c>
      <c r="J6719" s="0" t="s">
        <v>22471</v>
      </c>
      <c r="K6719" s="0" t="s">
        <v>22472</v>
      </c>
      <c r="L6719" s="0" t="str">
        <f aca="false">HYPERLINK("https://www.ncbi.nlm.nih.gov/nuccore/CP000304.1?report=graph&amp;tracks=[key:gene_model_track,Options:GeneOnly]&amp;mk=1887476:1887495|offset_1|00cc00,1887450:1887469|offset_27|444444,1887422:1887441|offset_55|444444,1887402:1887421|offset_75|444444&amp;v=1887275:1887621&amp;c=444444", "offset 1")</f>
        <v>offset 1</v>
      </c>
    </row>
    <row r="6720" customFormat="false" ht="12.8" hidden="false" customHeight="false" outlineLevel="0" collapsed="false">
      <c r="A6720" s="0" t="s">
        <v>12</v>
      </c>
      <c r="B6720" s="0" t="n">
        <v>1887449</v>
      </c>
      <c r="C6720" s="0" t="n">
        <v>1887469</v>
      </c>
      <c r="D6720" s="0" t="s">
        <v>22469</v>
      </c>
      <c r="E6720" s="0" t="s">
        <v>89</v>
      </c>
      <c r="F6720" s="0" t="s">
        <v>90</v>
      </c>
      <c r="G6720" s="0" t="s">
        <v>16</v>
      </c>
      <c r="H6720" s="0" t="n">
        <v>27</v>
      </c>
      <c r="I6720" s="0" t="s">
        <v>22473</v>
      </c>
      <c r="J6720" s="0" t="s">
        <v>22474</v>
      </c>
      <c r="K6720" s="0" t="s">
        <v>22475</v>
      </c>
      <c r="L6720" s="0" t="str">
        <f aca="false">HYPERLINK("https://www.ncbi.nlm.nih.gov/nuccore/CP000304.1?report=graph&amp;tracks=[key:gene_model_track,Options:GeneOnly]&amp;mk=1887476:1887495|offset_1|444444,1887450:1887469|offset_27|00cc00,1887422:1887441|offset_55|444444,1887402:1887421|offset_75|444444&amp;v=1887275:1887621&amp;c=444444", "offset 27")</f>
        <v>offset 27</v>
      </c>
    </row>
    <row r="6721" customFormat="false" ht="12.8" hidden="false" customHeight="false" outlineLevel="0" collapsed="false">
      <c r="A6721" s="0" t="s">
        <v>12</v>
      </c>
      <c r="B6721" s="0" t="n">
        <v>1887421</v>
      </c>
      <c r="C6721" s="0" t="n">
        <v>1887441</v>
      </c>
      <c r="D6721" s="0" t="s">
        <v>22469</v>
      </c>
      <c r="E6721" s="0" t="s">
        <v>89</v>
      </c>
      <c r="F6721" s="0" t="s">
        <v>90</v>
      </c>
      <c r="G6721" s="0" t="s">
        <v>16</v>
      </c>
      <c r="H6721" s="0" t="n">
        <v>55</v>
      </c>
      <c r="I6721" s="0" t="s">
        <v>22476</v>
      </c>
      <c r="J6721" s="0" t="s">
        <v>22477</v>
      </c>
      <c r="K6721" s="0" t="s">
        <v>22478</v>
      </c>
      <c r="L6721" s="0" t="str">
        <f aca="false">HYPERLINK("https://www.ncbi.nlm.nih.gov/nuccore/CP000304.1?report=graph&amp;tracks=[key:gene_model_track,Options:GeneOnly]&amp;mk=1887476:1887495|offset_1|444444,1887450:1887469|offset_27|444444,1887422:1887441|offset_55|00cc00,1887402:1887421|offset_75|444444&amp;v=1887275:1887621&amp;c=444444", "offset 55")</f>
        <v>offset 55</v>
      </c>
    </row>
    <row r="6722" customFormat="false" ht="12.8" hidden="false" customHeight="false" outlineLevel="0" collapsed="false">
      <c r="A6722" s="0" t="s">
        <v>12</v>
      </c>
      <c r="B6722" s="0" t="n">
        <v>1887401</v>
      </c>
      <c r="C6722" s="0" t="n">
        <v>1887421</v>
      </c>
      <c r="D6722" s="0" t="s">
        <v>22469</v>
      </c>
      <c r="E6722" s="0" t="s">
        <v>89</v>
      </c>
      <c r="F6722" s="0" t="s">
        <v>90</v>
      </c>
      <c r="G6722" s="0" t="s">
        <v>16</v>
      </c>
      <c r="H6722" s="0" t="n">
        <v>75</v>
      </c>
      <c r="I6722" s="0" t="s">
        <v>22479</v>
      </c>
      <c r="J6722" s="0" t="s">
        <v>22480</v>
      </c>
      <c r="K6722" s="0" t="s">
        <v>22481</v>
      </c>
      <c r="L6722" s="0" t="str">
        <f aca="false">HYPERLINK("https://www.ncbi.nlm.nih.gov/nuccore/CP000304.1?report=graph&amp;tracks=[key:gene_model_track,Options:GeneOnly]&amp;mk=1887476:1887495|offset_1|444444,1887450:1887469|offset_27|444444,1887422:1887441|offset_55|444444,1887402:1887421|offset_75|00cc00&amp;v=1887275:1887621&amp;c=444444", "offset 75")</f>
        <v>offset 75</v>
      </c>
    </row>
    <row r="6723" customFormat="false" ht="12.8" hidden="false" customHeight="false" outlineLevel="0" collapsed="false">
      <c r="A6723" s="0" t="s">
        <v>12</v>
      </c>
      <c r="B6723" s="0" t="n">
        <v>1888030</v>
      </c>
      <c r="C6723" s="0" t="n">
        <v>1888050</v>
      </c>
      <c r="D6723" s="0" t="s">
        <v>22482</v>
      </c>
      <c r="E6723" s="0" t="s">
        <v>89</v>
      </c>
      <c r="F6723" s="0" t="s">
        <v>90</v>
      </c>
      <c r="G6723" s="0" t="s">
        <v>36</v>
      </c>
      <c r="H6723" s="0" t="n">
        <v>34</v>
      </c>
      <c r="I6723" s="0" t="s">
        <v>22483</v>
      </c>
      <c r="J6723" s="0" t="s">
        <v>22484</v>
      </c>
      <c r="K6723" s="0" t="s">
        <v>22485</v>
      </c>
      <c r="L6723" s="0" t="str">
        <f aca="false">HYPERLINK("https://www.ncbi.nlm.nih.gov/nuccore/CP000304.1?report=graph&amp;tracks=[key:gene_model_track,Options:GeneOnly]&amp;mk=1888031:1888050|offset_34|00cc00,1887993:1888012|offset_72|444444,1887971:1887990|offset_94|444444,1887947:1887966|offset_118|444444&amp;v=1887830:1888166&amp;c=444444", "offset 34")</f>
        <v>offset 34</v>
      </c>
    </row>
    <row r="6724" customFormat="false" ht="12.8" hidden="false" customHeight="false" outlineLevel="0" collapsed="false">
      <c r="A6724" s="0" t="s">
        <v>12</v>
      </c>
      <c r="B6724" s="0" t="n">
        <v>1887992</v>
      </c>
      <c r="C6724" s="0" t="n">
        <v>1888012</v>
      </c>
      <c r="D6724" s="0" t="s">
        <v>22482</v>
      </c>
      <c r="E6724" s="0" t="s">
        <v>89</v>
      </c>
      <c r="F6724" s="0" t="s">
        <v>90</v>
      </c>
      <c r="G6724" s="0" t="s">
        <v>16</v>
      </c>
      <c r="H6724" s="0" t="n">
        <v>72</v>
      </c>
      <c r="I6724" s="0" t="s">
        <v>22486</v>
      </c>
      <c r="J6724" s="0" t="s">
        <v>22487</v>
      </c>
      <c r="K6724" s="0" t="s">
        <v>22488</v>
      </c>
      <c r="L6724" s="0" t="str">
        <f aca="false">HYPERLINK("https://www.ncbi.nlm.nih.gov/nuccore/CP000304.1?report=graph&amp;tracks=[key:gene_model_track,Options:GeneOnly]&amp;mk=1888031:1888050|offset_34|444444,1887993:1888012|offset_72|00cc00,1887971:1887990|offset_94|444444,1887947:1887966|offset_118|444444&amp;v=1887830:1888166&amp;c=444444", "offset 72")</f>
        <v>offset 72</v>
      </c>
    </row>
    <row r="6725" customFormat="false" ht="12.8" hidden="false" customHeight="false" outlineLevel="0" collapsed="false">
      <c r="A6725" s="0" t="s">
        <v>12</v>
      </c>
      <c r="B6725" s="0" t="n">
        <v>1887970</v>
      </c>
      <c r="C6725" s="0" t="n">
        <v>1887990</v>
      </c>
      <c r="D6725" s="0" t="s">
        <v>22482</v>
      </c>
      <c r="E6725" s="0" t="s">
        <v>89</v>
      </c>
      <c r="F6725" s="0" t="s">
        <v>90</v>
      </c>
      <c r="G6725" s="0" t="s">
        <v>16</v>
      </c>
      <c r="H6725" s="0" t="n">
        <v>94</v>
      </c>
      <c r="I6725" s="0" t="s">
        <v>22489</v>
      </c>
      <c r="J6725" s="0" t="s">
        <v>22490</v>
      </c>
      <c r="K6725" s="0" t="s">
        <v>22491</v>
      </c>
      <c r="L6725" s="0" t="str">
        <f aca="false">HYPERLINK("https://www.ncbi.nlm.nih.gov/nuccore/CP000304.1?report=graph&amp;tracks=[key:gene_model_track,Options:GeneOnly]&amp;mk=1888031:1888050|offset_34|444444,1887993:1888012|offset_72|444444,1887971:1887990|offset_94|00cc00,1887947:1887966|offset_118|444444&amp;v=1887830:1888166&amp;c=444444", "offset 94")</f>
        <v>offset 94</v>
      </c>
    </row>
    <row r="6726" customFormat="false" ht="12.8" hidden="false" customHeight="false" outlineLevel="0" collapsed="false">
      <c r="A6726" s="0" t="s">
        <v>12</v>
      </c>
      <c r="B6726" s="0" t="n">
        <v>1887946</v>
      </c>
      <c r="C6726" s="0" t="n">
        <v>1887966</v>
      </c>
      <c r="D6726" s="0" t="s">
        <v>22482</v>
      </c>
      <c r="E6726" s="0" t="s">
        <v>89</v>
      </c>
      <c r="F6726" s="0" t="s">
        <v>90</v>
      </c>
      <c r="G6726" s="0" t="s">
        <v>36</v>
      </c>
      <c r="H6726" s="0" t="n">
        <v>118</v>
      </c>
      <c r="I6726" s="0" t="s">
        <v>22492</v>
      </c>
      <c r="J6726" s="0" t="s">
        <v>22493</v>
      </c>
      <c r="K6726" s="0" t="s">
        <v>22494</v>
      </c>
      <c r="L6726" s="0" t="str">
        <f aca="false">HYPERLINK("https://www.ncbi.nlm.nih.gov/nuccore/CP000304.1?report=graph&amp;tracks=[key:gene_model_track,Options:GeneOnly]&amp;mk=1888031:1888050|offset_34|444444,1887993:1888012|offset_72|444444,1887971:1887990|offset_94|444444,1887947:1887966|offset_118|00cc00&amp;v=1887830:1888166&amp;c=444444", "offset 118")</f>
        <v>offset 118</v>
      </c>
    </row>
    <row r="6727" customFormat="false" ht="12.8" hidden="false" customHeight="false" outlineLevel="0" collapsed="false">
      <c r="A6727" s="0" t="s">
        <v>12</v>
      </c>
      <c r="B6727" s="0" t="n">
        <v>1889312</v>
      </c>
      <c r="C6727" s="0" t="n">
        <v>1889332</v>
      </c>
      <c r="D6727" s="0" t="s">
        <v>22495</v>
      </c>
      <c r="E6727" s="0" t="s">
        <v>89</v>
      </c>
      <c r="F6727" s="0" t="s">
        <v>90</v>
      </c>
      <c r="G6727" s="0" t="s">
        <v>36</v>
      </c>
      <c r="H6727" s="0" t="n">
        <v>0</v>
      </c>
      <c r="I6727" s="0" t="s">
        <v>22496</v>
      </c>
      <c r="J6727" s="0" t="s">
        <v>22497</v>
      </c>
      <c r="K6727" s="0" t="s">
        <v>22498</v>
      </c>
      <c r="L6727" s="0" t="str">
        <f aca="false">HYPERLINK("https://www.ncbi.nlm.nih.gov/nuccore/CP000304.1?report=graph&amp;tracks=[key:gene_model_track,Options:GeneOnly]&amp;mk=1889313:1889332|offset_0|00cc00,1889264:1889283|offset_49|444444,1889229:1889248|offset_84|444444,1889197:1889216|offset_116|444444&amp;v=1889112:1889416&amp;c=444444", "offset 0")</f>
        <v>offset 0</v>
      </c>
    </row>
    <row r="6728" customFormat="false" ht="12.8" hidden="false" customHeight="false" outlineLevel="0" collapsed="false">
      <c r="A6728" s="0" t="s">
        <v>12</v>
      </c>
      <c r="B6728" s="0" t="n">
        <v>1889263</v>
      </c>
      <c r="C6728" s="0" t="n">
        <v>1889283</v>
      </c>
      <c r="D6728" s="0" t="s">
        <v>22495</v>
      </c>
      <c r="E6728" s="0" t="s">
        <v>89</v>
      </c>
      <c r="F6728" s="0" t="s">
        <v>90</v>
      </c>
      <c r="G6728" s="0" t="s">
        <v>16</v>
      </c>
      <c r="H6728" s="0" t="n">
        <v>49</v>
      </c>
      <c r="I6728" s="0" t="s">
        <v>22499</v>
      </c>
      <c r="J6728" s="0" t="s">
        <v>22500</v>
      </c>
      <c r="K6728" s="0" t="s">
        <v>22501</v>
      </c>
      <c r="L6728" s="0" t="str">
        <f aca="false">HYPERLINK("https://www.ncbi.nlm.nih.gov/nuccore/CP000304.1?report=graph&amp;tracks=[key:gene_model_track,Options:GeneOnly]&amp;mk=1889313:1889332|offset_0|444444,1889264:1889283|offset_49|00cc00,1889229:1889248|offset_84|444444,1889197:1889216|offset_116|444444&amp;v=1889112:1889416&amp;c=444444", "offset 49")</f>
        <v>offset 49</v>
      </c>
    </row>
    <row r="6729" customFormat="false" ht="12.8" hidden="false" customHeight="false" outlineLevel="0" collapsed="false">
      <c r="A6729" s="0" t="s">
        <v>12</v>
      </c>
      <c r="B6729" s="0" t="n">
        <v>1889228</v>
      </c>
      <c r="C6729" s="0" t="n">
        <v>1889248</v>
      </c>
      <c r="D6729" s="0" t="s">
        <v>22495</v>
      </c>
      <c r="E6729" s="0" t="s">
        <v>89</v>
      </c>
      <c r="F6729" s="0" t="s">
        <v>90</v>
      </c>
      <c r="G6729" s="0" t="s">
        <v>16</v>
      </c>
      <c r="H6729" s="0" t="n">
        <v>84</v>
      </c>
      <c r="I6729" s="0" t="s">
        <v>22502</v>
      </c>
      <c r="J6729" s="0" t="s">
        <v>22503</v>
      </c>
      <c r="K6729" s="0" t="s">
        <v>22504</v>
      </c>
      <c r="L6729" s="0" t="str">
        <f aca="false">HYPERLINK("https://www.ncbi.nlm.nih.gov/nuccore/CP000304.1?report=graph&amp;tracks=[key:gene_model_track,Options:GeneOnly]&amp;mk=1889313:1889332|offset_0|444444,1889264:1889283|offset_49|444444,1889229:1889248|offset_84|00cc00,1889197:1889216|offset_116|444444&amp;v=1889112:1889416&amp;c=444444", "offset 84")</f>
        <v>offset 84</v>
      </c>
    </row>
    <row r="6730" customFormat="false" ht="12.8" hidden="false" customHeight="false" outlineLevel="0" collapsed="false">
      <c r="A6730" s="0" t="s">
        <v>12</v>
      </c>
      <c r="B6730" s="0" t="n">
        <v>1889196</v>
      </c>
      <c r="C6730" s="0" t="n">
        <v>1889216</v>
      </c>
      <c r="D6730" s="0" t="s">
        <v>22495</v>
      </c>
      <c r="E6730" s="0" t="s">
        <v>89</v>
      </c>
      <c r="F6730" s="0" t="s">
        <v>90</v>
      </c>
      <c r="G6730" s="0" t="s">
        <v>26</v>
      </c>
      <c r="H6730" s="0" t="n">
        <v>116</v>
      </c>
      <c r="I6730" s="0" t="s">
        <v>22505</v>
      </c>
      <c r="J6730" s="0" t="s">
        <v>22506</v>
      </c>
      <c r="K6730" s="0" t="s">
        <v>22507</v>
      </c>
      <c r="L6730" s="0" t="str">
        <f aca="false">HYPERLINK("https://www.ncbi.nlm.nih.gov/nuccore/CP000304.1?report=graph&amp;tracks=[key:gene_model_track,Options:GeneOnly]&amp;mk=1889313:1889332|offset_0|444444,1889264:1889283|offset_49|444444,1889229:1889248|offset_84|444444,1889197:1889216|offset_116|00cc00&amp;v=1889112:1889416&amp;c=444444", "offset 116")</f>
        <v>offset 116</v>
      </c>
    </row>
    <row r="6731" customFormat="false" ht="12.8" hidden="false" customHeight="false" outlineLevel="0" collapsed="false">
      <c r="A6731" s="0" t="s">
        <v>12</v>
      </c>
      <c r="B6731" s="0" t="n">
        <v>1890417</v>
      </c>
      <c r="C6731" s="0" t="n">
        <v>1890437</v>
      </c>
      <c r="D6731" s="0" t="s">
        <v>22508</v>
      </c>
      <c r="E6731" s="0" t="s">
        <v>89</v>
      </c>
      <c r="F6731" s="0" t="s">
        <v>90</v>
      </c>
      <c r="G6731" s="0" t="s">
        <v>32</v>
      </c>
      <c r="H6731" s="0" t="n">
        <v>1</v>
      </c>
      <c r="I6731" s="0" t="s">
        <v>22509</v>
      </c>
      <c r="J6731" s="0" t="s">
        <v>22510</v>
      </c>
      <c r="K6731" s="0" t="s">
        <v>22511</v>
      </c>
      <c r="L6731" s="0" t="str">
        <f aca="false">HYPERLINK("https://www.ncbi.nlm.nih.gov/nuccore/CP000304.1?report=graph&amp;tracks=[key:gene_model_track,Options:GeneOnly]&amp;mk=1890418:1890437|offset_1|00cc00,1890373:1890392|offset_46|444444,1890341:1890360|offset_78|444444,1890319:1890338|offset_100|444444&amp;v=1890217:1890538&amp;c=444444", "offset 1")</f>
        <v>offset 1</v>
      </c>
    </row>
    <row r="6732" customFormat="false" ht="12.8" hidden="false" customHeight="false" outlineLevel="0" collapsed="false">
      <c r="A6732" s="0" t="s">
        <v>12</v>
      </c>
      <c r="B6732" s="0" t="n">
        <v>1890372</v>
      </c>
      <c r="C6732" s="0" t="n">
        <v>1890392</v>
      </c>
      <c r="D6732" s="0" t="s">
        <v>22508</v>
      </c>
      <c r="E6732" s="0" t="s">
        <v>89</v>
      </c>
      <c r="F6732" s="0" t="s">
        <v>90</v>
      </c>
      <c r="G6732" s="0" t="s">
        <v>32</v>
      </c>
      <c r="H6732" s="0" t="n">
        <v>46</v>
      </c>
      <c r="I6732" s="0" t="s">
        <v>22512</v>
      </c>
      <c r="J6732" s="0" t="s">
        <v>22513</v>
      </c>
      <c r="K6732" s="0" t="s">
        <v>22514</v>
      </c>
      <c r="L6732" s="0" t="str">
        <f aca="false">HYPERLINK("https://www.ncbi.nlm.nih.gov/nuccore/CP000304.1?report=graph&amp;tracks=[key:gene_model_track,Options:GeneOnly]&amp;mk=1890418:1890437|offset_1|444444,1890373:1890392|offset_46|00cc00,1890341:1890360|offset_78|444444,1890319:1890338|offset_100|444444&amp;v=1890217:1890538&amp;c=444444", "offset 46")</f>
        <v>offset 46</v>
      </c>
    </row>
    <row r="6733" customFormat="false" ht="12.8" hidden="false" customHeight="false" outlineLevel="0" collapsed="false">
      <c r="A6733" s="0" t="s">
        <v>12</v>
      </c>
      <c r="B6733" s="0" t="n">
        <v>1890340</v>
      </c>
      <c r="C6733" s="0" t="n">
        <v>1890360</v>
      </c>
      <c r="D6733" s="0" t="s">
        <v>22508</v>
      </c>
      <c r="E6733" s="0" t="s">
        <v>89</v>
      </c>
      <c r="F6733" s="0" t="s">
        <v>90</v>
      </c>
      <c r="G6733" s="0" t="s">
        <v>16</v>
      </c>
      <c r="H6733" s="0" t="n">
        <v>78</v>
      </c>
      <c r="I6733" s="0" t="s">
        <v>22515</v>
      </c>
      <c r="J6733" s="0" t="s">
        <v>22516</v>
      </c>
      <c r="K6733" s="0" t="s">
        <v>22517</v>
      </c>
      <c r="L6733" s="0" t="str">
        <f aca="false">HYPERLINK("https://www.ncbi.nlm.nih.gov/nuccore/CP000304.1?report=graph&amp;tracks=[key:gene_model_track,Options:GeneOnly]&amp;mk=1890418:1890437|offset_1|444444,1890373:1890392|offset_46|444444,1890341:1890360|offset_78|00cc00,1890319:1890338|offset_100|444444&amp;v=1890217:1890538&amp;c=444444", "offset 78")</f>
        <v>offset 78</v>
      </c>
    </row>
    <row r="6734" customFormat="false" ht="12.8" hidden="false" customHeight="false" outlineLevel="0" collapsed="false">
      <c r="A6734" s="0" t="s">
        <v>12</v>
      </c>
      <c r="B6734" s="0" t="n">
        <v>1890318</v>
      </c>
      <c r="C6734" s="0" t="n">
        <v>1890338</v>
      </c>
      <c r="D6734" s="0" t="s">
        <v>22508</v>
      </c>
      <c r="E6734" s="0" t="s">
        <v>89</v>
      </c>
      <c r="F6734" s="0" t="s">
        <v>90</v>
      </c>
      <c r="G6734" s="0" t="s">
        <v>26</v>
      </c>
      <c r="H6734" s="0" t="n">
        <v>100</v>
      </c>
      <c r="I6734" s="0" t="s">
        <v>22518</v>
      </c>
      <c r="J6734" s="0" t="s">
        <v>22519</v>
      </c>
      <c r="K6734" s="0" t="s">
        <v>22520</v>
      </c>
      <c r="L6734" s="0" t="str">
        <f aca="false">HYPERLINK("https://www.ncbi.nlm.nih.gov/nuccore/CP000304.1?report=graph&amp;tracks=[key:gene_model_track,Options:GeneOnly]&amp;mk=1890418:1890437|offset_1|444444,1890373:1890392|offset_46|444444,1890341:1890360|offset_78|444444,1890319:1890338|offset_100|00cc00&amp;v=1890217:1890538&amp;c=444444", "offset 100")</f>
        <v>offset 100</v>
      </c>
    </row>
    <row r="6735" customFormat="false" ht="12.8" hidden="false" customHeight="false" outlineLevel="0" collapsed="false">
      <c r="A6735" s="0" t="s">
        <v>12</v>
      </c>
      <c r="B6735" s="0" t="n">
        <v>1891580</v>
      </c>
      <c r="C6735" s="0" t="n">
        <v>1891600</v>
      </c>
      <c r="D6735" s="0" t="s">
        <v>22521</v>
      </c>
      <c r="E6735" s="0" t="s">
        <v>89</v>
      </c>
      <c r="F6735" s="0" t="s">
        <v>90</v>
      </c>
      <c r="G6735" s="0" t="s">
        <v>36</v>
      </c>
      <c r="H6735" s="0" t="n">
        <v>0</v>
      </c>
      <c r="I6735" s="0" t="s">
        <v>22522</v>
      </c>
      <c r="J6735" s="0" t="s">
        <v>22523</v>
      </c>
      <c r="K6735" s="0" t="s">
        <v>22524</v>
      </c>
      <c r="L6735" s="0" t="str">
        <f aca="false">HYPERLINK("https://www.ncbi.nlm.nih.gov/nuccore/CP000304.1?report=graph&amp;tracks=[key:gene_model_track,Options:GeneOnly]&amp;mk=1891581:1891600|offset_0|00cc00,1891555:1891574|offset_26|444444,1891520:1891539|offset_61|444444,1891493:1891512|offset_88|444444&amp;v=1891380:1891712&amp;c=444444", "offset 0")</f>
        <v>offset 0</v>
      </c>
    </row>
    <row r="6736" customFormat="false" ht="12.8" hidden="false" customHeight="false" outlineLevel="0" collapsed="false">
      <c r="A6736" s="0" t="s">
        <v>12</v>
      </c>
      <c r="B6736" s="0" t="n">
        <v>1891554</v>
      </c>
      <c r="C6736" s="0" t="n">
        <v>1891574</v>
      </c>
      <c r="D6736" s="0" t="s">
        <v>22521</v>
      </c>
      <c r="E6736" s="0" t="s">
        <v>89</v>
      </c>
      <c r="F6736" s="0" t="s">
        <v>90</v>
      </c>
      <c r="G6736" s="0" t="s">
        <v>26</v>
      </c>
      <c r="H6736" s="0" t="n">
        <v>26</v>
      </c>
      <c r="I6736" s="0" t="s">
        <v>22525</v>
      </c>
      <c r="J6736" s="0" t="s">
        <v>22526</v>
      </c>
      <c r="K6736" s="0" t="s">
        <v>22527</v>
      </c>
      <c r="L6736" s="0" t="str">
        <f aca="false">HYPERLINK("https://www.ncbi.nlm.nih.gov/nuccore/CP000304.1?report=graph&amp;tracks=[key:gene_model_track,Options:GeneOnly]&amp;mk=1891581:1891600|offset_0|444444,1891555:1891574|offset_26|00cc00,1891520:1891539|offset_61|444444,1891493:1891512|offset_88|444444&amp;v=1891380:1891712&amp;c=444444", "offset 26")</f>
        <v>offset 26</v>
      </c>
    </row>
    <row r="6737" customFormat="false" ht="12.8" hidden="false" customHeight="false" outlineLevel="0" collapsed="false">
      <c r="A6737" s="0" t="s">
        <v>12</v>
      </c>
      <c r="B6737" s="0" t="n">
        <v>1891519</v>
      </c>
      <c r="C6737" s="0" t="n">
        <v>1891539</v>
      </c>
      <c r="D6737" s="0" t="s">
        <v>22521</v>
      </c>
      <c r="E6737" s="0" t="s">
        <v>89</v>
      </c>
      <c r="F6737" s="0" t="s">
        <v>90</v>
      </c>
      <c r="G6737" s="0" t="s">
        <v>16</v>
      </c>
      <c r="H6737" s="0" t="n">
        <v>61</v>
      </c>
      <c r="I6737" s="0" t="s">
        <v>22528</v>
      </c>
      <c r="J6737" s="0" t="s">
        <v>22529</v>
      </c>
      <c r="K6737" s="0" t="s">
        <v>22530</v>
      </c>
      <c r="L6737" s="0" t="str">
        <f aca="false">HYPERLINK("https://www.ncbi.nlm.nih.gov/nuccore/CP000304.1?report=graph&amp;tracks=[key:gene_model_track,Options:GeneOnly]&amp;mk=1891581:1891600|offset_0|444444,1891555:1891574|offset_26|444444,1891520:1891539|offset_61|00cc00,1891493:1891512|offset_88|444444&amp;v=1891380:1891712&amp;c=444444", "offset 61")</f>
        <v>offset 61</v>
      </c>
    </row>
    <row r="6738" customFormat="false" ht="12.8" hidden="false" customHeight="false" outlineLevel="0" collapsed="false">
      <c r="A6738" s="0" t="s">
        <v>12</v>
      </c>
      <c r="B6738" s="0" t="n">
        <v>1891492</v>
      </c>
      <c r="C6738" s="0" t="n">
        <v>1891512</v>
      </c>
      <c r="D6738" s="0" t="s">
        <v>22521</v>
      </c>
      <c r="E6738" s="0" t="s">
        <v>89</v>
      </c>
      <c r="F6738" s="0" t="s">
        <v>90</v>
      </c>
      <c r="G6738" s="0" t="s">
        <v>32</v>
      </c>
      <c r="H6738" s="0" t="n">
        <v>88</v>
      </c>
      <c r="I6738" s="0" t="s">
        <v>22531</v>
      </c>
      <c r="J6738" s="0" t="s">
        <v>22532</v>
      </c>
      <c r="K6738" s="0" t="s">
        <v>22533</v>
      </c>
      <c r="L6738" s="0" t="str">
        <f aca="false">HYPERLINK("https://www.ncbi.nlm.nih.gov/nuccore/CP000304.1?report=graph&amp;tracks=[key:gene_model_track,Options:GeneOnly]&amp;mk=1891581:1891600|offset_0|444444,1891555:1891574|offset_26|444444,1891520:1891539|offset_61|444444,1891493:1891512|offset_88|00cc00&amp;v=1891380:1891712&amp;c=444444", "offset 88")</f>
        <v>offset 88</v>
      </c>
    </row>
    <row r="6739" customFormat="false" ht="12.8" hidden="false" customHeight="false" outlineLevel="0" collapsed="false">
      <c r="A6739" s="0" t="s">
        <v>12</v>
      </c>
      <c r="B6739" s="0" t="n">
        <v>1893067</v>
      </c>
      <c r="C6739" s="0" t="n">
        <v>1893087</v>
      </c>
      <c r="D6739" s="0" t="s">
        <v>22534</v>
      </c>
      <c r="E6739" s="0" t="s">
        <v>89</v>
      </c>
      <c r="F6739" s="0" t="s">
        <v>90</v>
      </c>
      <c r="G6739" s="0" t="s">
        <v>32</v>
      </c>
      <c r="H6739" s="0" t="n">
        <v>8</v>
      </c>
      <c r="I6739" s="0" t="s">
        <v>22535</v>
      </c>
      <c r="J6739" s="0" t="s">
        <v>22536</v>
      </c>
      <c r="K6739" s="0" t="s">
        <v>22537</v>
      </c>
      <c r="L6739" s="0" t="str">
        <f aca="false">HYPERLINK("https://www.ncbi.nlm.nih.gov/nuccore/CP000304.1?report=graph&amp;tracks=[key:gene_model_track,Options:GeneOnly]&amp;mk=1893068:1893087|offset_8|00cc00,1893048:1893067|offset_28|444444,1892994:1893013|offset_82|444444,1892974:1892993|offset_102|444444&amp;v=1892867:1893193&amp;c=444444", "offset 8")</f>
        <v>offset 8</v>
      </c>
    </row>
    <row r="6740" customFormat="false" ht="12.8" hidden="false" customHeight="false" outlineLevel="0" collapsed="false">
      <c r="A6740" s="0" t="s">
        <v>12</v>
      </c>
      <c r="B6740" s="0" t="n">
        <v>1893047</v>
      </c>
      <c r="C6740" s="0" t="n">
        <v>1893067</v>
      </c>
      <c r="D6740" s="0" t="s">
        <v>22534</v>
      </c>
      <c r="E6740" s="0" t="s">
        <v>89</v>
      </c>
      <c r="F6740" s="0" t="s">
        <v>90</v>
      </c>
      <c r="G6740" s="0" t="s">
        <v>36</v>
      </c>
      <c r="H6740" s="0" t="n">
        <v>28</v>
      </c>
      <c r="I6740" s="0" t="s">
        <v>22538</v>
      </c>
      <c r="J6740" s="0" t="s">
        <v>22539</v>
      </c>
      <c r="K6740" s="0" t="s">
        <v>22540</v>
      </c>
      <c r="L6740" s="0" t="str">
        <f aca="false">HYPERLINK("https://www.ncbi.nlm.nih.gov/nuccore/CP000304.1?report=graph&amp;tracks=[key:gene_model_track,Options:GeneOnly]&amp;mk=1893068:1893087|offset_8|444444,1893048:1893067|offset_28|00cc00,1892994:1893013|offset_82|444444,1892974:1892993|offset_102|444444&amp;v=1892867:1893193&amp;c=444444", "offset 28")</f>
        <v>offset 28</v>
      </c>
    </row>
    <row r="6741" customFormat="false" ht="12.8" hidden="false" customHeight="false" outlineLevel="0" collapsed="false">
      <c r="A6741" s="0" t="s">
        <v>12</v>
      </c>
      <c r="B6741" s="0" t="n">
        <v>1892993</v>
      </c>
      <c r="C6741" s="0" t="n">
        <v>1893013</v>
      </c>
      <c r="D6741" s="0" t="s">
        <v>22534</v>
      </c>
      <c r="E6741" s="0" t="s">
        <v>89</v>
      </c>
      <c r="F6741" s="0" t="s">
        <v>90</v>
      </c>
      <c r="G6741" s="0" t="s">
        <v>16</v>
      </c>
      <c r="H6741" s="0" t="n">
        <v>82</v>
      </c>
      <c r="I6741" s="0" t="s">
        <v>22541</v>
      </c>
      <c r="J6741" s="0" t="s">
        <v>22542</v>
      </c>
      <c r="K6741" s="0" t="s">
        <v>22543</v>
      </c>
      <c r="L6741" s="0" t="str">
        <f aca="false">HYPERLINK("https://www.ncbi.nlm.nih.gov/nuccore/CP000304.1?report=graph&amp;tracks=[key:gene_model_track,Options:GeneOnly]&amp;mk=1893068:1893087|offset_8|444444,1893048:1893067|offset_28|444444,1892994:1893013|offset_82|00cc00,1892974:1892993|offset_102|444444&amp;v=1892867:1893193&amp;c=444444", "offset 82")</f>
        <v>offset 82</v>
      </c>
    </row>
    <row r="6742" customFormat="false" ht="12.8" hidden="false" customHeight="false" outlineLevel="0" collapsed="false">
      <c r="A6742" s="0" t="s">
        <v>12</v>
      </c>
      <c r="B6742" s="0" t="n">
        <v>1892973</v>
      </c>
      <c r="C6742" s="0" t="n">
        <v>1892993</v>
      </c>
      <c r="D6742" s="0" t="s">
        <v>22534</v>
      </c>
      <c r="E6742" s="0" t="s">
        <v>89</v>
      </c>
      <c r="F6742" s="0" t="s">
        <v>90</v>
      </c>
      <c r="G6742" s="0" t="s">
        <v>36</v>
      </c>
      <c r="H6742" s="0" t="n">
        <v>102</v>
      </c>
      <c r="I6742" s="0" t="s">
        <v>22544</v>
      </c>
      <c r="J6742" s="0" t="s">
        <v>22545</v>
      </c>
      <c r="K6742" s="0" t="s">
        <v>22546</v>
      </c>
      <c r="L6742" s="0" t="str">
        <f aca="false">HYPERLINK("https://www.ncbi.nlm.nih.gov/nuccore/CP000304.1?report=graph&amp;tracks=[key:gene_model_track,Options:GeneOnly]&amp;mk=1893068:1893087|offset_8|444444,1893048:1893067|offset_28|444444,1892994:1893013|offset_82|444444,1892974:1892993|offset_102|00cc00&amp;v=1892867:1893193&amp;c=444444", "offset 102")</f>
        <v>offset 102</v>
      </c>
    </row>
    <row r="6743" customFormat="false" ht="12.8" hidden="false" customHeight="false" outlineLevel="0" collapsed="false">
      <c r="A6743" s="0" t="s">
        <v>12</v>
      </c>
      <c r="B6743" s="0" t="n">
        <v>1894278</v>
      </c>
      <c r="C6743" s="0" t="n">
        <v>1894298</v>
      </c>
      <c r="D6743" s="0" t="s">
        <v>22547</v>
      </c>
      <c r="E6743" s="0" t="s">
        <v>89</v>
      </c>
      <c r="F6743" s="0" t="s">
        <v>90</v>
      </c>
      <c r="G6743" s="0" t="s">
        <v>26</v>
      </c>
      <c r="H6743" s="0" t="n">
        <v>112</v>
      </c>
      <c r="I6743" s="0" t="s">
        <v>22548</v>
      </c>
      <c r="J6743" s="0" t="s">
        <v>22549</v>
      </c>
      <c r="K6743" s="0" t="s">
        <v>22550</v>
      </c>
      <c r="L6743" s="0" t="str">
        <f aca="false">HYPERLINK("https://www.ncbi.nlm.nih.gov/nuccore/CP000304.1?report=graph&amp;tracks=[key:gene_model_track,Options:GeneOnly]&amp;mk=1894279:1894298|offset_112|00cc00,1894234:1894253|offset_157|444444,1894207:1894226|offset_184|444444,1894170:1894189|offset_221|444444&amp;v=1894078:1894389&amp;c=444444", "offset 112")</f>
        <v>offset 112</v>
      </c>
    </row>
    <row r="6744" customFormat="false" ht="12.8" hidden="false" customHeight="false" outlineLevel="0" collapsed="false">
      <c r="A6744" s="0" t="s">
        <v>12</v>
      </c>
      <c r="B6744" s="0" t="n">
        <v>1894233</v>
      </c>
      <c r="C6744" s="0" t="n">
        <v>1894253</v>
      </c>
      <c r="D6744" s="0" t="s">
        <v>22547</v>
      </c>
      <c r="E6744" s="0" t="s">
        <v>89</v>
      </c>
      <c r="F6744" s="0" t="s">
        <v>90</v>
      </c>
      <c r="G6744" s="0" t="s">
        <v>26</v>
      </c>
      <c r="H6744" s="0" t="n">
        <v>157</v>
      </c>
      <c r="I6744" s="0" t="s">
        <v>22551</v>
      </c>
      <c r="J6744" s="0" t="s">
        <v>22552</v>
      </c>
      <c r="K6744" s="0" t="s">
        <v>22553</v>
      </c>
      <c r="L6744" s="0" t="str">
        <f aca="false">HYPERLINK("https://www.ncbi.nlm.nih.gov/nuccore/CP000304.1?report=graph&amp;tracks=[key:gene_model_track,Options:GeneOnly]&amp;mk=1894279:1894298|offset_112|444444,1894234:1894253|offset_157|00cc00,1894207:1894226|offset_184|444444,1894170:1894189|offset_221|444444&amp;v=1894078:1894389&amp;c=444444", "offset 157")</f>
        <v>offset 157</v>
      </c>
    </row>
    <row r="6745" customFormat="false" ht="12.8" hidden="false" customHeight="false" outlineLevel="0" collapsed="false">
      <c r="A6745" s="0" t="s">
        <v>12</v>
      </c>
      <c r="B6745" s="0" t="n">
        <v>1894206</v>
      </c>
      <c r="C6745" s="0" t="n">
        <v>1894226</v>
      </c>
      <c r="D6745" s="0" t="s">
        <v>22547</v>
      </c>
      <c r="E6745" s="0" t="s">
        <v>89</v>
      </c>
      <c r="F6745" s="0" t="s">
        <v>90</v>
      </c>
      <c r="G6745" s="0" t="s">
        <v>26</v>
      </c>
      <c r="H6745" s="0" t="n">
        <v>184</v>
      </c>
      <c r="I6745" s="0" t="s">
        <v>22554</v>
      </c>
      <c r="J6745" s="0" t="s">
        <v>22555</v>
      </c>
      <c r="K6745" s="0" t="s">
        <v>22556</v>
      </c>
      <c r="L6745" s="0" t="str">
        <f aca="false">HYPERLINK("https://www.ncbi.nlm.nih.gov/nuccore/CP000304.1?report=graph&amp;tracks=[key:gene_model_track,Options:GeneOnly]&amp;mk=1894279:1894298|offset_112|444444,1894234:1894253|offset_157|444444,1894207:1894226|offset_184|00cc00,1894170:1894189|offset_221|444444&amp;v=1894078:1894389&amp;c=444444", "offset 184")</f>
        <v>offset 184</v>
      </c>
    </row>
    <row r="6746" customFormat="false" ht="12.8" hidden="false" customHeight="false" outlineLevel="0" collapsed="false">
      <c r="A6746" s="0" t="s">
        <v>12</v>
      </c>
      <c r="B6746" s="0" t="n">
        <v>1894169</v>
      </c>
      <c r="C6746" s="0" t="n">
        <v>1894189</v>
      </c>
      <c r="D6746" s="0" t="s">
        <v>22547</v>
      </c>
      <c r="E6746" s="0" t="s">
        <v>89</v>
      </c>
      <c r="F6746" s="0" t="s">
        <v>90</v>
      </c>
      <c r="G6746" s="0" t="s">
        <v>16</v>
      </c>
      <c r="H6746" s="0" t="n">
        <v>221</v>
      </c>
      <c r="I6746" s="0" t="s">
        <v>22557</v>
      </c>
      <c r="J6746" s="0" t="s">
        <v>22558</v>
      </c>
      <c r="K6746" s="0" t="s">
        <v>22559</v>
      </c>
      <c r="L6746" s="0" t="str">
        <f aca="false">HYPERLINK("https://www.ncbi.nlm.nih.gov/nuccore/CP000304.1?report=graph&amp;tracks=[key:gene_model_track,Options:GeneOnly]&amp;mk=1894279:1894298|offset_112|444444,1894234:1894253|offset_157|444444,1894207:1894226|offset_184|444444,1894170:1894189|offset_221|00cc00&amp;v=1894078:1894389&amp;c=444444", "offset 221")</f>
        <v>offset 221</v>
      </c>
    </row>
    <row r="6747" customFormat="false" ht="12.8" hidden="false" customHeight="false" outlineLevel="0" collapsed="false">
      <c r="A6747" s="0" t="s">
        <v>12</v>
      </c>
      <c r="B6747" s="0" t="n">
        <v>1895583</v>
      </c>
      <c r="C6747" s="0" t="n">
        <v>1895603</v>
      </c>
      <c r="D6747" s="0" t="s">
        <v>22560</v>
      </c>
      <c r="E6747" s="0" t="s">
        <v>89</v>
      </c>
      <c r="F6747" s="0" t="s">
        <v>90</v>
      </c>
      <c r="G6747" s="0" t="s">
        <v>26</v>
      </c>
      <c r="H6747" s="0" t="n">
        <v>11</v>
      </c>
      <c r="I6747" s="0" t="s">
        <v>22561</v>
      </c>
      <c r="J6747" s="0" t="s">
        <v>22562</v>
      </c>
      <c r="K6747" s="0" t="s">
        <v>22563</v>
      </c>
      <c r="L6747" s="0" t="str">
        <f aca="false">HYPERLINK("https://www.ncbi.nlm.nih.gov/nuccore/CP000304.1?report=graph&amp;tracks=[key:gene_model_track,Options:GeneOnly]&amp;mk=1895584:1895603|offset_11|00cc00,1895559:1895578|offset_36|444444,1895530:1895549|offset_65|444444,1895500:1895519|offset_95|444444&amp;v=1895383:1895719&amp;c=444444", "offset 11")</f>
        <v>offset 11</v>
      </c>
    </row>
    <row r="6748" customFormat="false" ht="12.8" hidden="false" customHeight="false" outlineLevel="0" collapsed="false">
      <c r="A6748" s="0" t="s">
        <v>12</v>
      </c>
      <c r="B6748" s="0" t="n">
        <v>1895558</v>
      </c>
      <c r="C6748" s="0" t="n">
        <v>1895578</v>
      </c>
      <c r="D6748" s="0" t="s">
        <v>22560</v>
      </c>
      <c r="E6748" s="0" t="s">
        <v>89</v>
      </c>
      <c r="F6748" s="0" t="s">
        <v>90</v>
      </c>
      <c r="G6748" s="0" t="s">
        <v>16</v>
      </c>
      <c r="H6748" s="0" t="n">
        <v>36</v>
      </c>
      <c r="I6748" s="0" t="s">
        <v>22564</v>
      </c>
      <c r="J6748" s="0" t="s">
        <v>22565</v>
      </c>
      <c r="K6748" s="0" t="s">
        <v>22566</v>
      </c>
      <c r="L6748" s="0" t="str">
        <f aca="false">HYPERLINK("https://www.ncbi.nlm.nih.gov/nuccore/CP000304.1?report=graph&amp;tracks=[key:gene_model_track,Options:GeneOnly]&amp;mk=1895584:1895603|offset_11|444444,1895559:1895578|offset_36|00cc00,1895530:1895549|offset_65|444444,1895500:1895519|offset_95|444444&amp;v=1895383:1895719&amp;c=444444", "offset 36")</f>
        <v>offset 36</v>
      </c>
    </row>
    <row r="6749" customFormat="false" ht="12.8" hidden="false" customHeight="false" outlineLevel="0" collapsed="false">
      <c r="A6749" s="0" t="s">
        <v>12</v>
      </c>
      <c r="B6749" s="0" t="n">
        <v>1895529</v>
      </c>
      <c r="C6749" s="0" t="n">
        <v>1895549</v>
      </c>
      <c r="D6749" s="0" t="s">
        <v>22560</v>
      </c>
      <c r="E6749" s="0" t="s">
        <v>89</v>
      </c>
      <c r="F6749" s="0" t="s">
        <v>90</v>
      </c>
      <c r="G6749" s="0" t="s">
        <v>26</v>
      </c>
      <c r="H6749" s="0" t="n">
        <v>65</v>
      </c>
      <c r="I6749" s="0" t="s">
        <v>22567</v>
      </c>
      <c r="J6749" s="0" t="s">
        <v>22568</v>
      </c>
      <c r="K6749" s="0" t="s">
        <v>22569</v>
      </c>
      <c r="L6749" s="0" t="str">
        <f aca="false">HYPERLINK("https://www.ncbi.nlm.nih.gov/nuccore/CP000304.1?report=graph&amp;tracks=[key:gene_model_track,Options:GeneOnly]&amp;mk=1895584:1895603|offset_11|444444,1895559:1895578|offset_36|444444,1895530:1895549|offset_65|00cc00,1895500:1895519|offset_95|444444&amp;v=1895383:1895719&amp;c=444444", "offset 65")</f>
        <v>offset 65</v>
      </c>
    </row>
    <row r="6750" customFormat="false" ht="12.8" hidden="false" customHeight="false" outlineLevel="0" collapsed="false">
      <c r="A6750" s="0" t="s">
        <v>12</v>
      </c>
      <c r="B6750" s="0" t="n">
        <v>1895499</v>
      </c>
      <c r="C6750" s="0" t="n">
        <v>1895519</v>
      </c>
      <c r="D6750" s="0" t="s">
        <v>22560</v>
      </c>
      <c r="E6750" s="0" t="s">
        <v>89</v>
      </c>
      <c r="F6750" s="0" t="s">
        <v>90</v>
      </c>
      <c r="G6750" s="0" t="s">
        <v>16</v>
      </c>
      <c r="H6750" s="0" t="n">
        <v>95</v>
      </c>
      <c r="I6750" s="0" t="s">
        <v>22570</v>
      </c>
      <c r="J6750" s="0" t="s">
        <v>22571</v>
      </c>
      <c r="K6750" s="0" t="s">
        <v>22572</v>
      </c>
      <c r="L6750" s="0" t="str">
        <f aca="false">HYPERLINK("https://www.ncbi.nlm.nih.gov/nuccore/CP000304.1?report=graph&amp;tracks=[key:gene_model_track,Options:GeneOnly]&amp;mk=1895584:1895603|offset_11|444444,1895559:1895578|offset_36|444444,1895530:1895549|offset_65|444444,1895500:1895519|offset_95|00cc00&amp;v=1895383:1895719&amp;c=444444", "offset 95")</f>
        <v>offset 95</v>
      </c>
    </row>
    <row r="6751" customFormat="false" ht="12.8" hidden="false" customHeight="false" outlineLevel="0" collapsed="false">
      <c r="A6751" s="0" t="s">
        <v>12</v>
      </c>
      <c r="B6751" s="0" t="n">
        <v>1896139</v>
      </c>
      <c r="C6751" s="0" t="n">
        <v>1896159</v>
      </c>
      <c r="D6751" s="0" t="s">
        <v>22573</v>
      </c>
      <c r="E6751" s="0" t="s">
        <v>89</v>
      </c>
      <c r="F6751" s="0" t="s">
        <v>90</v>
      </c>
      <c r="G6751" s="0" t="s">
        <v>16</v>
      </c>
      <c r="H6751" s="0" t="n">
        <v>19</v>
      </c>
      <c r="I6751" s="0" t="s">
        <v>22574</v>
      </c>
      <c r="J6751" s="0" t="s">
        <v>22575</v>
      </c>
      <c r="K6751" s="0" t="s">
        <v>22576</v>
      </c>
      <c r="L6751" s="0" t="str">
        <f aca="false">HYPERLINK("https://www.ncbi.nlm.nih.gov/nuccore/CP000304.1?report=graph&amp;tracks=[key:gene_model_track,Options:GeneOnly]&amp;mk=1896140:1896159|offset_19|00cc00,1896116:1896135|offset_43|444444,1896092:1896111|offset_67|444444,1896052:1896071|offset_107|444444&amp;v=1895939:1896271&amp;c=444444", "offset 19")</f>
        <v>offset 19</v>
      </c>
    </row>
    <row r="6752" customFormat="false" ht="12.8" hidden="false" customHeight="false" outlineLevel="0" collapsed="false">
      <c r="A6752" s="0" t="s">
        <v>12</v>
      </c>
      <c r="B6752" s="0" t="n">
        <v>1896115</v>
      </c>
      <c r="C6752" s="0" t="n">
        <v>1896135</v>
      </c>
      <c r="D6752" s="0" t="s">
        <v>22573</v>
      </c>
      <c r="E6752" s="0" t="s">
        <v>89</v>
      </c>
      <c r="F6752" s="0" t="s">
        <v>90</v>
      </c>
      <c r="G6752" s="0" t="s">
        <v>32</v>
      </c>
      <c r="H6752" s="0" t="n">
        <v>43</v>
      </c>
      <c r="I6752" s="0" t="s">
        <v>22577</v>
      </c>
      <c r="J6752" s="0" t="s">
        <v>22578</v>
      </c>
      <c r="K6752" s="0" t="s">
        <v>22579</v>
      </c>
      <c r="L6752" s="0" t="str">
        <f aca="false">HYPERLINK("https://www.ncbi.nlm.nih.gov/nuccore/CP000304.1?report=graph&amp;tracks=[key:gene_model_track,Options:GeneOnly]&amp;mk=1896140:1896159|offset_19|444444,1896116:1896135|offset_43|00cc00,1896092:1896111|offset_67|444444,1896052:1896071|offset_107|444444&amp;v=1895939:1896271&amp;c=444444", "offset 43")</f>
        <v>offset 43</v>
      </c>
    </row>
    <row r="6753" customFormat="false" ht="12.8" hidden="false" customHeight="false" outlineLevel="0" collapsed="false">
      <c r="A6753" s="0" t="s">
        <v>12</v>
      </c>
      <c r="B6753" s="0" t="n">
        <v>1896091</v>
      </c>
      <c r="C6753" s="0" t="n">
        <v>1896111</v>
      </c>
      <c r="D6753" s="0" t="s">
        <v>22573</v>
      </c>
      <c r="E6753" s="0" t="s">
        <v>89</v>
      </c>
      <c r="F6753" s="0" t="s">
        <v>90</v>
      </c>
      <c r="G6753" s="0" t="s">
        <v>16</v>
      </c>
      <c r="H6753" s="0" t="n">
        <v>67</v>
      </c>
      <c r="I6753" s="0" t="s">
        <v>22580</v>
      </c>
      <c r="J6753" s="0" t="s">
        <v>22581</v>
      </c>
      <c r="K6753" s="0" t="s">
        <v>22582</v>
      </c>
      <c r="L6753" s="0" t="str">
        <f aca="false">HYPERLINK("https://www.ncbi.nlm.nih.gov/nuccore/CP000304.1?report=graph&amp;tracks=[key:gene_model_track,Options:GeneOnly]&amp;mk=1896140:1896159|offset_19|444444,1896116:1896135|offset_43|444444,1896092:1896111|offset_67|00cc00,1896052:1896071|offset_107|444444&amp;v=1895939:1896271&amp;c=444444", "offset 67")</f>
        <v>offset 67</v>
      </c>
    </row>
    <row r="6754" customFormat="false" ht="12.8" hidden="false" customHeight="false" outlineLevel="0" collapsed="false">
      <c r="A6754" s="0" t="s">
        <v>12</v>
      </c>
      <c r="B6754" s="0" t="n">
        <v>1896051</v>
      </c>
      <c r="C6754" s="0" t="n">
        <v>1896071</v>
      </c>
      <c r="D6754" s="0" t="s">
        <v>22573</v>
      </c>
      <c r="E6754" s="0" t="s">
        <v>89</v>
      </c>
      <c r="F6754" s="0" t="s">
        <v>90</v>
      </c>
      <c r="G6754" s="0" t="s">
        <v>36</v>
      </c>
      <c r="H6754" s="0" t="n">
        <v>107</v>
      </c>
      <c r="I6754" s="0" t="s">
        <v>22583</v>
      </c>
      <c r="J6754" s="0" t="s">
        <v>22584</v>
      </c>
      <c r="K6754" s="0" t="s">
        <v>22585</v>
      </c>
      <c r="L6754" s="0" t="str">
        <f aca="false">HYPERLINK("https://www.ncbi.nlm.nih.gov/nuccore/CP000304.1?report=graph&amp;tracks=[key:gene_model_track,Options:GeneOnly]&amp;mk=1896140:1896159|offset_19|444444,1896116:1896135|offset_43|444444,1896092:1896111|offset_67|444444,1896052:1896071|offset_107|00cc00&amp;v=1895939:1896271&amp;c=444444", "offset 107")</f>
        <v>offset 107</v>
      </c>
    </row>
    <row r="6755" customFormat="false" ht="12.8" hidden="false" customHeight="false" outlineLevel="0" collapsed="false">
      <c r="A6755" s="0" t="s">
        <v>12</v>
      </c>
      <c r="B6755" s="0" t="n">
        <v>1896923</v>
      </c>
      <c r="C6755" s="0" t="n">
        <v>1896943</v>
      </c>
      <c r="D6755" s="0" t="s">
        <v>22586</v>
      </c>
      <c r="E6755" s="0" t="s">
        <v>89</v>
      </c>
      <c r="F6755" s="0" t="s">
        <v>90</v>
      </c>
      <c r="G6755" s="0" t="s">
        <v>36</v>
      </c>
      <c r="H6755" s="0" t="n">
        <v>9</v>
      </c>
      <c r="I6755" s="0" t="s">
        <v>22587</v>
      </c>
      <c r="J6755" s="0" t="s">
        <v>22588</v>
      </c>
      <c r="K6755" s="0" t="s">
        <v>22589</v>
      </c>
      <c r="L6755" s="0" t="str">
        <f aca="false">HYPERLINK("https://www.ncbi.nlm.nih.gov/nuccore/CP000304.1?report=graph&amp;tracks=[key:gene_model_track,Options:GeneOnly]&amp;mk=1896924:1896943|offset_9|00cc00,1896895:1896914|offset_38|444444,1896865:1896884|offset_68|444444,1896823:1896842|offset_110|444444&amp;v=1896723:1897042&amp;c=444444", "offset 9")</f>
        <v>offset 9</v>
      </c>
    </row>
    <row r="6756" customFormat="false" ht="12.8" hidden="false" customHeight="false" outlineLevel="0" collapsed="false">
      <c r="A6756" s="0" t="s">
        <v>12</v>
      </c>
      <c r="B6756" s="0" t="n">
        <v>1896894</v>
      </c>
      <c r="C6756" s="0" t="n">
        <v>1896914</v>
      </c>
      <c r="D6756" s="0" t="s">
        <v>22586</v>
      </c>
      <c r="E6756" s="0" t="s">
        <v>89</v>
      </c>
      <c r="F6756" s="0" t="s">
        <v>90</v>
      </c>
      <c r="G6756" s="0" t="s">
        <v>32</v>
      </c>
      <c r="H6756" s="0" t="n">
        <v>38</v>
      </c>
      <c r="I6756" s="0" t="s">
        <v>22590</v>
      </c>
      <c r="J6756" s="0" t="s">
        <v>22591</v>
      </c>
      <c r="K6756" s="0" t="s">
        <v>22592</v>
      </c>
      <c r="L6756" s="0" t="str">
        <f aca="false">HYPERLINK("https://www.ncbi.nlm.nih.gov/nuccore/CP000304.1?report=graph&amp;tracks=[key:gene_model_track,Options:GeneOnly]&amp;mk=1896924:1896943|offset_9|444444,1896895:1896914|offset_38|00cc00,1896865:1896884|offset_68|444444,1896823:1896842|offset_110|444444&amp;v=1896723:1897042&amp;c=444444", "offset 38")</f>
        <v>offset 38</v>
      </c>
    </row>
    <row r="6757" customFormat="false" ht="12.8" hidden="false" customHeight="false" outlineLevel="0" collapsed="false">
      <c r="A6757" s="0" t="s">
        <v>12</v>
      </c>
      <c r="B6757" s="0" t="n">
        <v>1896864</v>
      </c>
      <c r="C6757" s="0" t="n">
        <v>1896884</v>
      </c>
      <c r="D6757" s="0" t="s">
        <v>22586</v>
      </c>
      <c r="E6757" s="0" t="s">
        <v>89</v>
      </c>
      <c r="F6757" s="0" t="s">
        <v>90</v>
      </c>
      <c r="G6757" s="0" t="s">
        <v>26</v>
      </c>
      <c r="H6757" s="0" t="n">
        <v>68</v>
      </c>
      <c r="I6757" s="0" t="s">
        <v>22593</v>
      </c>
      <c r="J6757" s="0" t="s">
        <v>22594</v>
      </c>
      <c r="K6757" s="0" t="s">
        <v>22595</v>
      </c>
      <c r="L6757" s="0" t="str">
        <f aca="false">HYPERLINK("https://www.ncbi.nlm.nih.gov/nuccore/CP000304.1?report=graph&amp;tracks=[key:gene_model_track,Options:GeneOnly]&amp;mk=1896924:1896943|offset_9|444444,1896895:1896914|offset_38|444444,1896865:1896884|offset_68|00cc00,1896823:1896842|offset_110|444444&amp;v=1896723:1897042&amp;c=444444", "offset 68")</f>
        <v>offset 68</v>
      </c>
    </row>
    <row r="6758" customFormat="false" ht="12.8" hidden="false" customHeight="false" outlineLevel="0" collapsed="false">
      <c r="A6758" s="0" t="s">
        <v>12</v>
      </c>
      <c r="B6758" s="0" t="n">
        <v>1896822</v>
      </c>
      <c r="C6758" s="0" t="n">
        <v>1896842</v>
      </c>
      <c r="D6758" s="0" t="s">
        <v>22586</v>
      </c>
      <c r="E6758" s="0" t="s">
        <v>89</v>
      </c>
      <c r="F6758" s="0" t="s">
        <v>90</v>
      </c>
      <c r="G6758" s="0" t="s">
        <v>16</v>
      </c>
      <c r="H6758" s="0" t="n">
        <v>110</v>
      </c>
      <c r="I6758" s="0" t="s">
        <v>22596</v>
      </c>
      <c r="J6758" s="0" t="s">
        <v>22597</v>
      </c>
      <c r="K6758" s="0" t="s">
        <v>22598</v>
      </c>
      <c r="L6758" s="0" t="str">
        <f aca="false">HYPERLINK("https://www.ncbi.nlm.nih.gov/nuccore/CP000304.1?report=graph&amp;tracks=[key:gene_model_track,Options:GeneOnly]&amp;mk=1896924:1896943|offset_9|444444,1896895:1896914|offset_38|444444,1896865:1896884|offset_68|444444,1896823:1896842|offset_110|00cc00&amp;v=1896723:1897042&amp;c=444444", "offset 110")</f>
        <v>offset 110</v>
      </c>
    </row>
    <row r="6759" customFormat="false" ht="12.8" hidden="false" customHeight="false" outlineLevel="0" collapsed="false">
      <c r="A6759" s="0" t="s">
        <v>12</v>
      </c>
      <c r="B6759" s="0" t="n">
        <v>1899186</v>
      </c>
      <c r="C6759" s="0" t="n">
        <v>1899206</v>
      </c>
      <c r="D6759" s="0" t="s">
        <v>22599</v>
      </c>
      <c r="E6759" s="0" t="s">
        <v>89</v>
      </c>
      <c r="F6759" s="0" t="s">
        <v>90</v>
      </c>
      <c r="G6759" s="0" t="s">
        <v>32</v>
      </c>
      <c r="H6759" s="0" t="n">
        <v>0</v>
      </c>
      <c r="I6759" s="0" t="s">
        <v>22600</v>
      </c>
      <c r="J6759" s="0" t="s">
        <v>22601</v>
      </c>
      <c r="K6759" s="0" t="s">
        <v>22602</v>
      </c>
      <c r="L6759" s="0" t="str">
        <f aca="false">HYPERLINK("https://www.ncbi.nlm.nih.gov/nuccore/CP000304.1?report=graph&amp;tracks=[key:gene_model_track,Options:GeneOnly]&amp;mk=1899187:1899206|offset_0|00cc00,1899131:1899150|offset_56|444444,1899108:1899127|offset_79|444444,1899081:1899100|offset_106|444444&amp;v=1898986:1899300&amp;c=444444", "offset 0")</f>
        <v>offset 0</v>
      </c>
    </row>
    <row r="6760" customFormat="false" ht="12.8" hidden="false" customHeight="false" outlineLevel="0" collapsed="false">
      <c r="A6760" s="0" t="s">
        <v>12</v>
      </c>
      <c r="B6760" s="0" t="n">
        <v>1899130</v>
      </c>
      <c r="C6760" s="0" t="n">
        <v>1899150</v>
      </c>
      <c r="D6760" s="0" t="s">
        <v>22599</v>
      </c>
      <c r="E6760" s="0" t="s">
        <v>89</v>
      </c>
      <c r="F6760" s="0" t="s">
        <v>90</v>
      </c>
      <c r="G6760" s="0" t="s">
        <v>26</v>
      </c>
      <c r="H6760" s="0" t="n">
        <v>56</v>
      </c>
      <c r="I6760" s="0" t="s">
        <v>22603</v>
      </c>
      <c r="J6760" s="0" t="s">
        <v>22604</v>
      </c>
      <c r="K6760" s="0" t="s">
        <v>22605</v>
      </c>
      <c r="L6760" s="0" t="str">
        <f aca="false">HYPERLINK("https://www.ncbi.nlm.nih.gov/nuccore/CP000304.1?report=graph&amp;tracks=[key:gene_model_track,Options:GeneOnly]&amp;mk=1899187:1899206|offset_0|444444,1899131:1899150|offset_56|00cc00,1899108:1899127|offset_79|444444,1899081:1899100|offset_106|444444&amp;v=1898986:1899300&amp;c=444444", "offset 56")</f>
        <v>offset 56</v>
      </c>
    </row>
    <row r="6761" customFormat="false" ht="12.8" hidden="false" customHeight="false" outlineLevel="0" collapsed="false">
      <c r="A6761" s="0" t="s">
        <v>12</v>
      </c>
      <c r="B6761" s="0" t="n">
        <v>1899107</v>
      </c>
      <c r="C6761" s="0" t="n">
        <v>1899127</v>
      </c>
      <c r="D6761" s="0" t="s">
        <v>22599</v>
      </c>
      <c r="E6761" s="0" t="s">
        <v>89</v>
      </c>
      <c r="F6761" s="0" t="s">
        <v>90</v>
      </c>
      <c r="G6761" s="0" t="s">
        <v>26</v>
      </c>
      <c r="H6761" s="0" t="n">
        <v>79</v>
      </c>
      <c r="I6761" s="0" t="s">
        <v>22606</v>
      </c>
      <c r="J6761" s="0" t="s">
        <v>22607</v>
      </c>
      <c r="K6761" s="0" t="s">
        <v>22608</v>
      </c>
      <c r="L6761" s="0" t="str">
        <f aca="false">HYPERLINK("https://www.ncbi.nlm.nih.gov/nuccore/CP000304.1?report=graph&amp;tracks=[key:gene_model_track,Options:GeneOnly]&amp;mk=1899187:1899206|offset_0|444444,1899131:1899150|offset_56|444444,1899108:1899127|offset_79|00cc00,1899081:1899100|offset_106|444444&amp;v=1898986:1899300&amp;c=444444", "offset 79")</f>
        <v>offset 79</v>
      </c>
    </row>
    <row r="6762" customFormat="false" ht="12.8" hidden="false" customHeight="false" outlineLevel="0" collapsed="false">
      <c r="A6762" s="0" t="s">
        <v>12</v>
      </c>
      <c r="B6762" s="0" t="n">
        <v>1899080</v>
      </c>
      <c r="C6762" s="0" t="n">
        <v>1899100</v>
      </c>
      <c r="D6762" s="0" t="s">
        <v>22599</v>
      </c>
      <c r="E6762" s="0" t="s">
        <v>89</v>
      </c>
      <c r="F6762" s="0" t="s">
        <v>90</v>
      </c>
      <c r="G6762" s="0" t="s">
        <v>32</v>
      </c>
      <c r="H6762" s="0" t="n">
        <v>106</v>
      </c>
      <c r="I6762" s="0" t="s">
        <v>22609</v>
      </c>
      <c r="J6762" s="0" t="s">
        <v>22610</v>
      </c>
      <c r="K6762" s="0" t="s">
        <v>22611</v>
      </c>
      <c r="L6762" s="0" t="str">
        <f aca="false">HYPERLINK("https://www.ncbi.nlm.nih.gov/nuccore/CP000304.1?report=graph&amp;tracks=[key:gene_model_track,Options:GeneOnly]&amp;mk=1899187:1899206|offset_0|444444,1899131:1899150|offset_56|444444,1899108:1899127|offset_79|444444,1899081:1899100|offset_106|00cc00&amp;v=1898986:1899300&amp;c=444444", "offset 106")</f>
        <v>offset 106</v>
      </c>
    </row>
    <row r="6763" customFormat="false" ht="12.8" hidden="false" customHeight="false" outlineLevel="0" collapsed="false">
      <c r="A6763" s="0" t="s">
        <v>12</v>
      </c>
      <c r="B6763" s="0" t="n">
        <v>1900116</v>
      </c>
      <c r="C6763" s="0" t="n">
        <v>1900136</v>
      </c>
      <c r="D6763" s="0" t="s">
        <v>22612</v>
      </c>
      <c r="E6763" s="0" t="s">
        <v>89</v>
      </c>
      <c r="F6763" s="0" t="s">
        <v>90</v>
      </c>
      <c r="G6763" s="0" t="s">
        <v>16</v>
      </c>
      <c r="H6763" s="0" t="n">
        <v>52</v>
      </c>
      <c r="I6763" s="0" t="s">
        <v>22613</v>
      </c>
      <c r="J6763" s="0" t="s">
        <v>22614</v>
      </c>
      <c r="K6763" s="0" t="s">
        <v>22615</v>
      </c>
      <c r="L6763" s="0" t="str">
        <f aca="false">HYPERLINK("https://www.ncbi.nlm.nih.gov/nuccore/CP000304.1?report=graph&amp;tracks=[key:gene_model_track,Options:GeneOnly]&amp;mk=1900117:1900136|offset_52|00cc00,1900092:1900111|offset_77|444444,1900072:1900091|offset_97|444444,1900041:1900060|offset_128|444444&amp;v=1899916:1900260&amp;c=444444", "offset 52")</f>
        <v>offset 52</v>
      </c>
    </row>
    <row r="6764" customFormat="false" ht="12.8" hidden="false" customHeight="false" outlineLevel="0" collapsed="false">
      <c r="A6764" s="0" t="s">
        <v>12</v>
      </c>
      <c r="B6764" s="0" t="n">
        <v>1900091</v>
      </c>
      <c r="C6764" s="0" t="n">
        <v>1900111</v>
      </c>
      <c r="D6764" s="0" t="s">
        <v>22612</v>
      </c>
      <c r="E6764" s="0" t="s">
        <v>89</v>
      </c>
      <c r="F6764" s="0" t="s">
        <v>90</v>
      </c>
      <c r="G6764" s="0" t="s">
        <v>26</v>
      </c>
      <c r="H6764" s="0" t="n">
        <v>77</v>
      </c>
      <c r="I6764" s="0" t="s">
        <v>22616</v>
      </c>
      <c r="J6764" s="0" t="s">
        <v>22617</v>
      </c>
      <c r="K6764" s="0" t="s">
        <v>22618</v>
      </c>
      <c r="L6764" s="0" t="str">
        <f aca="false">HYPERLINK("https://www.ncbi.nlm.nih.gov/nuccore/CP000304.1?report=graph&amp;tracks=[key:gene_model_track,Options:GeneOnly]&amp;mk=1900117:1900136|offset_52|444444,1900092:1900111|offset_77|00cc00,1900072:1900091|offset_97|444444,1900041:1900060|offset_128|444444&amp;v=1899916:1900260&amp;c=444444", "offset 77")</f>
        <v>offset 77</v>
      </c>
    </row>
    <row r="6765" customFormat="false" ht="12.8" hidden="false" customHeight="false" outlineLevel="0" collapsed="false">
      <c r="A6765" s="0" t="s">
        <v>12</v>
      </c>
      <c r="B6765" s="0" t="n">
        <v>1900071</v>
      </c>
      <c r="C6765" s="0" t="n">
        <v>1900091</v>
      </c>
      <c r="D6765" s="0" t="s">
        <v>22612</v>
      </c>
      <c r="E6765" s="0" t="s">
        <v>89</v>
      </c>
      <c r="F6765" s="0" t="s">
        <v>90</v>
      </c>
      <c r="G6765" s="0" t="s">
        <v>26</v>
      </c>
      <c r="H6765" s="0" t="n">
        <v>97</v>
      </c>
      <c r="I6765" s="0" t="s">
        <v>22619</v>
      </c>
      <c r="J6765" s="0" t="s">
        <v>22620</v>
      </c>
      <c r="K6765" s="0" t="s">
        <v>22621</v>
      </c>
      <c r="L6765" s="0" t="str">
        <f aca="false">HYPERLINK("https://www.ncbi.nlm.nih.gov/nuccore/CP000304.1?report=graph&amp;tracks=[key:gene_model_track,Options:GeneOnly]&amp;mk=1900117:1900136|offset_52|444444,1900092:1900111|offset_77|444444,1900072:1900091|offset_97|00cc00,1900041:1900060|offset_128|444444&amp;v=1899916:1900260&amp;c=444444", "offset 97")</f>
        <v>offset 97</v>
      </c>
    </row>
    <row r="6766" customFormat="false" ht="12.8" hidden="false" customHeight="false" outlineLevel="0" collapsed="false">
      <c r="A6766" s="0" t="s">
        <v>12</v>
      </c>
      <c r="B6766" s="0" t="n">
        <v>1900040</v>
      </c>
      <c r="C6766" s="0" t="n">
        <v>1900060</v>
      </c>
      <c r="D6766" s="0" t="s">
        <v>22612</v>
      </c>
      <c r="E6766" s="0" t="s">
        <v>89</v>
      </c>
      <c r="F6766" s="0" t="s">
        <v>90</v>
      </c>
      <c r="G6766" s="0" t="s">
        <v>32</v>
      </c>
      <c r="H6766" s="0" t="n">
        <v>128</v>
      </c>
      <c r="I6766" s="0" t="s">
        <v>22622</v>
      </c>
      <c r="J6766" s="0" t="s">
        <v>22623</v>
      </c>
      <c r="K6766" s="0" t="s">
        <v>22624</v>
      </c>
      <c r="L6766" s="0" t="str">
        <f aca="false">HYPERLINK("https://www.ncbi.nlm.nih.gov/nuccore/CP000304.1?report=graph&amp;tracks=[key:gene_model_track,Options:GeneOnly]&amp;mk=1900117:1900136|offset_52|444444,1900092:1900111|offset_77|444444,1900072:1900091|offset_97|444444,1900041:1900060|offset_128|00cc00&amp;v=1899916:1900260&amp;c=444444", "offset 128")</f>
        <v>offset 128</v>
      </c>
    </row>
    <row r="6767" customFormat="false" ht="12.8" hidden="false" customHeight="false" outlineLevel="0" collapsed="false">
      <c r="A6767" s="0" t="s">
        <v>12</v>
      </c>
      <c r="B6767" s="0" t="n">
        <v>1901687</v>
      </c>
      <c r="C6767" s="0" t="n">
        <v>1901707</v>
      </c>
      <c r="D6767" s="0" t="s">
        <v>22625</v>
      </c>
      <c r="E6767" s="0" t="s">
        <v>89</v>
      </c>
      <c r="F6767" s="0" t="s">
        <v>90</v>
      </c>
      <c r="G6767" s="0" t="s">
        <v>36</v>
      </c>
      <c r="H6767" s="0" t="n">
        <v>12</v>
      </c>
      <c r="I6767" s="0" t="s">
        <v>22626</v>
      </c>
      <c r="J6767" s="0" t="s">
        <v>22627</v>
      </c>
      <c r="K6767" s="0" t="s">
        <v>22628</v>
      </c>
      <c r="L6767" s="0" t="str">
        <f aca="false">HYPERLINK("https://www.ncbi.nlm.nih.gov/nuccore/CP000304.1?report=graph&amp;tracks=[key:gene_model_track,Options:GeneOnly]&amp;mk=1901688:1901707|offset_12|00cc00,1901668:1901687|offset_32|444444,1901641:1901660|offset_59|444444,1901614:1901633|offset_86|444444&amp;v=1901487:1901833&amp;c=444444", "offset 12")</f>
        <v>offset 12</v>
      </c>
    </row>
    <row r="6768" customFormat="false" ht="12.8" hidden="false" customHeight="false" outlineLevel="0" collapsed="false">
      <c r="A6768" s="0" t="s">
        <v>12</v>
      </c>
      <c r="B6768" s="0" t="n">
        <v>1901667</v>
      </c>
      <c r="C6768" s="0" t="n">
        <v>1901687</v>
      </c>
      <c r="D6768" s="0" t="s">
        <v>22625</v>
      </c>
      <c r="E6768" s="0" t="s">
        <v>89</v>
      </c>
      <c r="F6768" s="0" t="s">
        <v>90</v>
      </c>
      <c r="G6768" s="0" t="s">
        <v>16</v>
      </c>
      <c r="H6768" s="0" t="n">
        <v>32</v>
      </c>
      <c r="I6768" s="0" t="s">
        <v>22629</v>
      </c>
      <c r="J6768" s="0" t="s">
        <v>22630</v>
      </c>
      <c r="K6768" s="0" t="s">
        <v>22631</v>
      </c>
      <c r="L6768" s="0" t="str">
        <f aca="false">HYPERLINK("https://www.ncbi.nlm.nih.gov/nuccore/CP000304.1?report=graph&amp;tracks=[key:gene_model_track,Options:GeneOnly]&amp;mk=1901688:1901707|offset_12|444444,1901668:1901687|offset_32|00cc00,1901641:1901660|offset_59|444444,1901614:1901633|offset_86|444444&amp;v=1901487:1901833&amp;c=444444", "offset 32")</f>
        <v>offset 32</v>
      </c>
    </row>
    <row r="6769" customFormat="false" ht="12.8" hidden="false" customHeight="false" outlineLevel="0" collapsed="false">
      <c r="A6769" s="0" t="s">
        <v>12</v>
      </c>
      <c r="B6769" s="0" t="n">
        <v>1901640</v>
      </c>
      <c r="C6769" s="0" t="n">
        <v>1901660</v>
      </c>
      <c r="D6769" s="0" t="s">
        <v>22625</v>
      </c>
      <c r="E6769" s="0" t="s">
        <v>89</v>
      </c>
      <c r="F6769" s="0" t="s">
        <v>90</v>
      </c>
      <c r="G6769" s="0" t="s">
        <v>32</v>
      </c>
      <c r="H6769" s="0" t="n">
        <v>59</v>
      </c>
      <c r="I6769" s="0" t="s">
        <v>22632</v>
      </c>
      <c r="J6769" s="0" t="s">
        <v>22633</v>
      </c>
      <c r="K6769" s="0" t="s">
        <v>22634</v>
      </c>
      <c r="L6769" s="0" t="str">
        <f aca="false">HYPERLINK("https://www.ncbi.nlm.nih.gov/nuccore/CP000304.1?report=graph&amp;tracks=[key:gene_model_track,Options:GeneOnly]&amp;mk=1901688:1901707|offset_12|444444,1901668:1901687|offset_32|444444,1901641:1901660|offset_59|00cc00,1901614:1901633|offset_86|444444&amp;v=1901487:1901833&amp;c=444444", "offset 59")</f>
        <v>offset 59</v>
      </c>
    </row>
    <row r="6770" customFormat="false" ht="12.8" hidden="false" customHeight="false" outlineLevel="0" collapsed="false">
      <c r="A6770" s="0" t="s">
        <v>12</v>
      </c>
      <c r="B6770" s="0" t="n">
        <v>1901613</v>
      </c>
      <c r="C6770" s="0" t="n">
        <v>1901633</v>
      </c>
      <c r="D6770" s="0" t="s">
        <v>22625</v>
      </c>
      <c r="E6770" s="0" t="s">
        <v>89</v>
      </c>
      <c r="F6770" s="0" t="s">
        <v>90</v>
      </c>
      <c r="G6770" s="0" t="s">
        <v>26</v>
      </c>
      <c r="H6770" s="0" t="n">
        <v>86</v>
      </c>
      <c r="I6770" s="0" t="s">
        <v>22635</v>
      </c>
      <c r="J6770" s="0" t="s">
        <v>22636</v>
      </c>
      <c r="K6770" s="0" t="s">
        <v>22637</v>
      </c>
      <c r="L6770" s="0" t="str">
        <f aca="false">HYPERLINK("https://www.ncbi.nlm.nih.gov/nuccore/CP000304.1?report=graph&amp;tracks=[key:gene_model_track,Options:GeneOnly]&amp;mk=1901688:1901707|offset_12|444444,1901668:1901687|offset_32|444444,1901641:1901660|offset_59|444444,1901614:1901633|offset_86|00cc00&amp;v=1901487:1901833&amp;c=444444", "offset 86")</f>
        <v>offset 86</v>
      </c>
    </row>
    <row r="6771" customFormat="false" ht="12.8" hidden="false" customHeight="false" outlineLevel="0" collapsed="false">
      <c r="A6771" s="0" t="s">
        <v>12</v>
      </c>
      <c r="B6771" s="0" t="n">
        <v>1902900</v>
      </c>
      <c r="C6771" s="0" t="n">
        <v>1902920</v>
      </c>
      <c r="D6771" s="0" t="s">
        <v>22638</v>
      </c>
      <c r="E6771" s="0" t="s">
        <v>89</v>
      </c>
      <c r="F6771" s="0" t="s">
        <v>90</v>
      </c>
      <c r="G6771" s="0" t="s">
        <v>36</v>
      </c>
      <c r="H6771" s="0" t="n">
        <v>0</v>
      </c>
      <c r="I6771" s="0" t="s">
        <v>22639</v>
      </c>
      <c r="J6771" s="0" t="s">
        <v>22640</v>
      </c>
      <c r="K6771" s="0" t="s">
        <v>22641</v>
      </c>
      <c r="L6771" s="0" t="str">
        <f aca="false">HYPERLINK("https://www.ncbi.nlm.nih.gov/nuccore/CP000304.1?report=graph&amp;tracks=[key:gene_model_track,Options:GeneOnly]&amp;mk=1902901:1902920|offset_0|00cc00,1902879:1902898|offset_22|444444,1902839:1902858|offset_62|444444,1902813:1902832|offset_88|444444&amp;v=1902700:1903032&amp;c=444444", "offset 0")</f>
        <v>offset 0</v>
      </c>
    </row>
    <row r="6772" customFormat="false" ht="12.8" hidden="false" customHeight="false" outlineLevel="0" collapsed="false">
      <c r="A6772" s="0" t="s">
        <v>12</v>
      </c>
      <c r="B6772" s="0" t="n">
        <v>1902878</v>
      </c>
      <c r="C6772" s="0" t="n">
        <v>1902898</v>
      </c>
      <c r="D6772" s="0" t="s">
        <v>22638</v>
      </c>
      <c r="E6772" s="0" t="s">
        <v>89</v>
      </c>
      <c r="F6772" s="0" t="s">
        <v>90</v>
      </c>
      <c r="G6772" s="0" t="s">
        <v>26</v>
      </c>
      <c r="H6772" s="0" t="n">
        <v>22</v>
      </c>
      <c r="I6772" s="0" t="s">
        <v>22642</v>
      </c>
      <c r="J6772" s="0" t="s">
        <v>22643</v>
      </c>
      <c r="K6772" s="0" t="s">
        <v>22644</v>
      </c>
      <c r="L6772" s="0" t="str">
        <f aca="false">HYPERLINK("https://www.ncbi.nlm.nih.gov/nuccore/CP000304.1?report=graph&amp;tracks=[key:gene_model_track,Options:GeneOnly]&amp;mk=1902901:1902920|offset_0|444444,1902879:1902898|offset_22|00cc00,1902839:1902858|offset_62|444444,1902813:1902832|offset_88|444444&amp;v=1902700:1903032&amp;c=444444", "offset 22")</f>
        <v>offset 22</v>
      </c>
    </row>
    <row r="6773" customFormat="false" ht="12.8" hidden="false" customHeight="false" outlineLevel="0" collapsed="false">
      <c r="A6773" s="0" t="s">
        <v>12</v>
      </c>
      <c r="B6773" s="0" t="n">
        <v>1902838</v>
      </c>
      <c r="C6773" s="0" t="n">
        <v>1902858</v>
      </c>
      <c r="D6773" s="0" t="s">
        <v>22638</v>
      </c>
      <c r="E6773" s="0" t="s">
        <v>89</v>
      </c>
      <c r="F6773" s="0" t="s">
        <v>90</v>
      </c>
      <c r="G6773" s="0" t="s">
        <v>16</v>
      </c>
      <c r="H6773" s="0" t="n">
        <v>62</v>
      </c>
      <c r="I6773" s="0" t="s">
        <v>22645</v>
      </c>
      <c r="J6773" s="0" t="s">
        <v>22646</v>
      </c>
      <c r="K6773" s="0" t="s">
        <v>22647</v>
      </c>
      <c r="L6773" s="0" t="str">
        <f aca="false">HYPERLINK("https://www.ncbi.nlm.nih.gov/nuccore/CP000304.1?report=graph&amp;tracks=[key:gene_model_track,Options:GeneOnly]&amp;mk=1902901:1902920|offset_0|444444,1902879:1902898|offset_22|444444,1902839:1902858|offset_62|00cc00,1902813:1902832|offset_88|444444&amp;v=1902700:1903032&amp;c=444444", "offset 62")</f>
        <v>offset 62</v>
      </c>
    </row>
    <row r="6774" customFormat="false" ht="12.8" hidden="false" customHeight="false" outlineLevel="0" collapsed="false">
      <c r="A6774" s="0" t="s">
        <v>12</v>
      </c>
      <c r="B6774" s="0" t="n">
        <v>1902812</v>
      </c>
      <c r="C6774" s="0" t="n">
        <v>1902832</v>
      </c>
      <c r="D6774" s="0" t="s">
        <v>22638</v>
      </c>
      <c r="E6774" s="0" t="s">
        <v>89</v>
      </c>
      <c r="F6774" s="0" t="s">
        <v>90</v>
      </c>
      <c r="G6774" s="0" t="s">
        <v>32</v>
      </c>
      <c r="H6774" s="0" t="n">
        <v>88</v>
      </c>
      <c r="I6774" s="0" t="s">
        <v>22648</v>
      </c>
      <c r="J6774" s="0" t="s">
        <v>22649</v>
      </c>
      <c r="K6774" s="0" t="s">
        <v>22650</v>
      </c>
      <c r="L6774" s="0" t="str">
        <f aca="false">HYPERLINK("https://www.ncbi.nlm.nih.gov/nuccore/CP000304.1?report=graph&amp;tracks=[key:gene_model_track,Options:GeneOnly]&amp;mk=1902901:1902920|offset_0|444444,1902879:1902898|offset_22|444444,1902839:1902858|offset_62|444444,1902813:1902832|offset_88|00cc00&amp;v=1902700:1903032&amp;c=444444", "offset 88")</f>
        <v>offset 88</v>
      </c>
    </row>
    <row r="6775" customFormat="false" ht="12.8" hidden="false" customHeight="false" outlineLevel="0" collapsed="false">
      <c r="A6775" s="0" t="s">
        <v>12</v>
      </c>
      <c r="B6775" s="0" t="n">
        <v>1903748</v>
      </c>
      <c r="C6775" s="0" t="n">
        <v>1903768</v>
      </c>
      <c r="D6775" s="0" t="s">
        <v>22651</v>
      </c>
      <c r="E6775" s="0" t="s">
        <v>89</v>
      </c>
      <c r="F6775" s="0" t="s">
        <v>90</v>
      </c>
      <c r="G6775" s="0" t="s">
        <v>16</v>
      </c>
      <c r="H6775" s="0" t="n">
        <v>1</v>
      </c>
      <c r="I6775" s="0" t="s">
        <v>22652</v>
      </c>
      <c r="J6775" s="0" t="s">
        <v>22653</v>
      </c>
      <c r="K6775" s="0" t="s">
        <v>22654</v>
      </c>
      <c r="L6775" s="0" t="str">
        <f aca="false">HYPERLINK("https://www.ncbi.nlm.nih.gov/nuccore/CP000304.1?report=graph&amp;tracks=[key:gene_model_track,Options:GeneOnly]&amp;mk=1903749:1903768|offset_1|00cc00,1903671:1903690|offset_79|444444,1903578:1903597|offset_172|444444,1903539:1903558|offset_211|444444&amp;v=1903548:1903758&amp;c=444444", "offset 1")</f>
        <v>offset 1</v>
      </c>
    </row>
    <row r="6776" customFormat="false" ht="12.8" hidden="false" customHeight="false" outlineLevel="0" collapsed="false">
      <c r="A6776" s="0" t="s">
        <v>12</v>
      </c>
      <c r="B6776" s="0" t="n">
        <v>1903670</v>
      </c>
      <c r="C6776" s="0" t="n">
        <v>1903690</v>
      </c>
      <c r="D6776" s="0" t="s">
        <v>22651</v>
      </c>
      <c r="E6776" s="0" t="s">
        <v>89</v>
      </c>
      <c r="F6776" s="0" t="s">
        <v>90</v>
      </c>
      <c r="G6776" s="0" t="s">
        <v>26</v>
      </c>
      <c r="H6776" s="0" t="n">
        <v>79</v>
      </c>
      <c r="I6776" s="0" t="s">
        <v>22655</v>
      </c>
      <c r="J6776" s="0" t="s">
        <v>22656</v>
      </c>
      <c r="K6776" s="0" t="s">
        <v>22657</v>
      </c>
      <c r="L6776" s="0" t="str">
        <f aca="false">HYPERLINK("https://www.ncbi.nlm.nih.gov/nuccore/CP000304.1?report=graph&amp;tracks=[key:gene_model_track,Options:GeneOnly]&amp;mk=1903749:1903768|offset_1|444444,1903671:1903690|offset_79|00cc00,1903578:1903597|offset_172|444444,1903539:1903558|offset_211|444444&amp;v=1903548:1903758&amp;c=444444", "offset 79")</f>
        <v>offset 79</v>
      </c>
    </row>
    <row r="6777" customFormat="false" ht="12.8" hidden="false" customHeight="false" outlineLevel="0" collapsed="false">
      <c r="A6777" s="0" t="s">
        <v>12</v>
      </c>
      <c r="B6777" s="0" t="n">
        <v>1903577</v>
      </c>
      <c r="C6777" s="0" t="n">
        <v>1903597</v>
      </c>
      <c r="D6777" s="0" t="s">
        <v>22651</v>
      </c>
      <c r="E6777" s="0" t="s">
        <v>89</v>
      </c>
      <c r="F6777" s="0" t="s">
        <v>90</v>
      </c>
      <c r="G6777" s="0" t="s">
        <v>26</v>
      </c>
      <c r="H6777" s="0" t="n">
        <v>172</v>
      </c>
      <c r="I6777" s="0" t="s">
        <v>22658</v>
      </c>
      <c r="J6777" s="0" t="s">
        <v>22659</v>
      </c>
      <c r="K6777" s="0" t="s">
        <v>22660</v>
      </c>
      <c r="L6777" s="0" t="str">
        <f aca="false">HYPERLINK("https://www.ncbi.nlm.nih.gov/nuccore/CP000304.1?report=graph&amp;tracks=[key:gene_model_track,Options:GeneOnly]&amp;mk=1903749:1903768|offset_1|444444,1903671:1903690|offset_79|444444,1903578:1903597|offset_172|00cc00,1903539:1903558|offset_211|444444&amp;v=1903548:1903758&amp;c=444444", "offset 172")</f>
        <v>offset 172</v>
      </c>
    </row>
    <row r="6778" customFormat="false" ht="12.8" hidden="false" customHeight="false" outlineLevel="0" collapsed="false">
      <c r="A6778" s="0" t="s">
        <v>12</v>
      </c>
      <c r="B6778" s="0" t="n">
        <v>1903538</v>
      </c>
      <c r="C6778" s="0" t="n">
        <v>1903558</v>
      </c>
      <c r="D6778" s="0" t="s">
        <v>22651</v>
      </c>
      <c r="E6778" s="0" t="s">
        <v>89</v>
      </c>
      <c r="F6778" s="0" t="s">
        <v>90</v>
      </c>
      <c r="G6778" s="0" t="s">
        <v>16</v>
      </c>
      <c r="H6778" s="0" t="n">
        <v>211</v>
      </c>
      <c r="I6778" s="0" t="s">
        <v>22661</v>
      </c>
      <c r="J6778" s="0" t="s">
        <v>22662</v>
      </c>
      <c r="K6778" s="0" t="s">
        <v>22663</v>
      </c>
      <c r="L6778" s="0" t="str">
        <f aca="false">HYPERLINK("https://www.ncbi.nlm.nih.gov/nuccore/CP000304.1?report=graph&amp;tracks=[key:gene_model_track,Options:GeneOnly]&amp;mk=1903749:1903768|offset_1|444444,1903671:1903690|offset_79|444444,1903578:1903597|offset_172|444444,1903539:1903558|offset_211|00cc00&amp;v=1903548:1903758&amp;c=444444", "offset 211")</f>
        <v>offset 211</v>
      </c>
    </row>
    <row r="6779" customFormat="false" ht="12.8" hidden="false" customHeight="false" outlineLevel="0" collapsed="false">
      <c r="A6779" s="0" t="s">
        <v>12</v>
      </c>
      <c r="B6779" s="0" t="n">
        <v>1905221</v>
      </c>
      <c r="C6779" s="0" t="n">
        <v>1905241</v>
      </c>
      <c r="D6779" s="0" t="s">
        <v>22664</v>
      </c>
      <c r="E6779" s="0" t="s">
        <v>89</v>
      </c>
      <c r="F6779" s="0" t="s">
        <v>15</v>
      </c>
      <c r="G6779" s="0" t="s">
        <v>36</v>
      </c>
      <c r="H6779" s="0" t="n">
        <v>7</v>
      </c>
      <c r="I6779" s="0" t="s">
        <v>22665</v>
      </c>
      <c r="J6779" s="0" t="s">
        <v>22666</v>
      </c>
      <c r="K6779" s="0" t="s">
        <v>22667</v>
      </c>
      <c r="L6779" s="0" t="str">
        <f aca="false">HYPERLINK("https://www.ncbi.nlm.nih.gov/nuccore/CP000304.1?report=graph&amp;tracks=[key:gene_model_track,Options:GeneOnly]&amp;mk=1905222:1905241|offset_7|00cc00,1905243:1905262|offset_28|444444,1905265:1905284|offset_50|444444,1905292:1905311|offset_77|444444&amp;v=1905021:1905511&amp;c=444444", "offset 7")</f>
        <v>offset 7</v>
      </c>
    </row>
    <row r="6780" customFormat="false" ht="12.8" hidden="false" customHeight="false" outlineLevel="0" collapsed="false">
      <c r="A6780" s="0" t="s">
        <v>12</v>
      </c>
      <c r="B6780" s="0" t="n">
        <v>1905242</v>
      </c>
      <c r="C6780" s="0" t="n">
        <v>1905262</v>
      </c>
      <c r="D6780" s="0" t="s">
        <v>22664</v>
      </c>
      <c r="E6780" s="0" t="s">
        <v>89</v>
      </c>
      <c r="F6780" s="0" t="s">
        <v>15</v>
      </c>
      <c r="G6780" s="0" t="s">
        <v>16</v>
      </c>
      <c r="H6780" s="0" t="n">
        <v>28</v>
      </c>
      <c r="I6780" s="0" t="s">
        <v>22668</v>
      </c>
      <c r="J6780" s="0" t="s">
        <v>22669</v>
      </c>
      <c r="K6780" s="0" t="s">
        <v>22670</v>
      </c>
      <c r="L6780" s="0" t="str">
        <f aca="false">HYPERLINK("https://www.ncbi.nlm.nih.gov/nuccore/CP000304.1?report=graph&amp;tracks=[key:gene_model_track,Options:GeneOnly]&amp;mk=1905222:1905241|offset_7|444444,1905243:1905262|offset_28|00cc00,1905265:1905284|offset_50|444444,1905292:1905311|offset_77|444444&amp;v=1905021:1905511&amp;c=444444", "offset 28")</f>
        <v>offset 28</v>
      </c>
    </row>
    <row r="6781" customFormat="false" ht="12.8" hidden="false" customHeight="false" outlineLevel="0" collapsed="false">
      <c r="A6781" s="0" t="s">
        <v>12</v>
      </c>
      <c r="B6781" s="0" t="n">
        <v>1905264</v>
      </c>
      <c r="C6781" s="0" t="n">
        <v>1905284</v>
      </c>
      <c r="D6781" s="0" t="s">
        <v>22664</v>
      </c>
      <c r="E6781" s="0" t="s">
        <v>89</v>
      </c>
      <c r="F6781" s="0" t="s">
        <v>15</v>
      </c>
      <c r="G6781" s="0" t="s">
        <v>32</v>
      </c>
      <c r="H6781" s="0" t="n">
        <v>50</v>
      </c>
      <c r="I6781" s="0" t="s">
        <v>22671</v>
      </c>
      <c r="J6781" s="0" t="s">
        <v>22672</v>
      </c>
      <c r="K6781" s="0" t="s">
        <v>22673</v>
      </c>
      <c r="L6781" s="0" t="str">
        <f aca="false">HYPERLINK("https://www.ncbi.nlm.nih.gov/nuccore/CP000304.1?report=graph&amp;tracks=[key:gene_model_track,Options:GeneOnly]&amp;mk=1905222:1905241|offset_7|444444,1905243:1905262|offset_28|444444,1905265:1905284|offset_50|00cc00,1905292:1905311|offset_77|444444&amp;v=1905021:1905511&amp;c=444444", "offset 50")</f>
        <v>offset 50</v>
      </c>
    </row>
    <row r="6782" customFormat="false" ht="12.8" hidden="false" customHeight="false" outlineLevel="0" collapsed="false">
      <c r="A6782" s="0" t="s">
        <v>12</v>
      </c>
      <c r="B6782" s="0" t="n">
        <v>1905291</v>
      </c>
      <c r="C6782" s="0" t="n">
        <v>1905311</v>
      </c>
      <c r="D6782" s="0" t="s">
        <v>22664</v>
      </c>
      <c r="E6782" s="0" t="s">
        <v>89</v>
      </c>
      <c r="F6782" s="0" t="s">
        <v>15</v>
      </c>
      <c r="G6782" s="0" t="s">
        <v>32</v>
      </c>
      <c r="H6782" s="0" t="n">
        <v>77</v>
      </c>
      <c r="I6782" s="0" t="s">
        <v>22674</v>
      </c>
      <c r="J6782" s="0" t="s">
        <v>22675</v>
      </c>
      <c r="K6782" s="0" t="s">
        <v>22676</v>
      </c>
      <c r="L6782" s="0" t="str">
        <f aca="false">HYPERLINK("https://www.ncbi.nlm.nih.gov/nuccore/CP000304.1?report=graph&amp;tracks=[key:gene_model_track,Options:GeneOnly]&amp;mk=1905222:1905241|offset_7|444444,1905243:1905262|offset_28|444444,1905265:1905284|offset_50|444444,1905292:1905311|offset_77|00cc00&amp;v=1905021:1905511&amp;c=444444", "offset 77")</f>
        <v>offset 77</v>
      </c>
    </row>
    <row r="6783" customFormat="false" ht="12.8" hidden="false" customHeight="false" outlineLevel="0" collapsed="false">
      <c r="A6783" s="0" t="s">
        <v>12</v>
      </c>
      <c r="B6783" s="0" t="n">
        <v>1905667</v>
      </c>
      <c r="C6783" s="0" t="n">
        <v>1905687</v>
      </c>
      <c r="D6783" s="0" t="s">
        <v>22677</v>
      </c>
      <c r="E6783" s="0" t="s">
        <v>89</v>
      </c>
      <c r="F6783" s="0" t="s">
        <v>15</v>
      </c>
      <c r="G6783" s="0" t="s">
        <v>32</v>
      </c>
      <c r="H6783" s="0" t="n">
        <v>1</v>
      </c>
      <c r="I6783" s="0" t="s">
        <v>22678</v>
      </c>
      <c r="J6783" s="0" t="s">
        <v>22679</v>
      </c>
      <c r="K6783" s="0" t="s">
        <v>22680</v>
      </c>
      <c r="L6783" s="0" t="str">
        <f aca="false">HYPERLINK("https://www.ncbi.nlm.nih.gov/nuccore/CP000304.1?report=graph&amp;tracks=[key:gene_model_track,Options:GeneOnly]&amp;mk=1905668:1905687|offset_1|00cc00,1905719:1905738|offset_52|444444,1905770:1905789|offset_103|444444,1905797:1905816|offset_130|444444&amp;v=1905467:1906016&amp;c=444444", "offset 1")</f>
        <v>offset 1</v>
      </c>
    </row>
    <row r="6784" customFormat="false" ht="12.8" hidden="false" customHeight="false" outlineLevel="0" collapsed="false">
      <c r="A6784" s="0" t="s">
        <v>12</v>
      </c>
      <c r="B6784" s="0" t="n">
        <v>1905718</v>
      </c>
      <c r="C6784" s="0" t="n">
        <v>1905738</v>
      </c>
      <c r="D6784" s="0" t="s">
        <v>22677</v>
      </c>
      <c r="E6784" s="0" t="s">
        <v>89</v>
      </c>
      <c r="F6784" s="0" t="s">
        <v>15</v>
      </c>
      <c r="G6784" s="0" t="s">
        <v>16</v>
      </c>
      <c r="H6784" s="0" t="n">
        <v>52</v>
      </c>
      <c r="I6784" s="0" t="s">
        <v>22681</v>
      </c>
      <c r="J6784" s="0" t="s">
        <v>22682</v>
      </c>
      <c r="K6784" s="0" t="s">
        <v>22683</v>
      </c>
      <c r="L6784" s="0" t="str">
        <f aca="false">HYPERLINK("https://www.ncbi.nlm.nih.gov/nuccore/CP000304.1?report=graph&amp;tracks=[key:gene_model_track,Options:GeneOnly]&amp;mk=1905668:1905687|offset_1|444444,1905719:1905738|offset_52|00cc00,1905770:1905789|offset_103|444444,1905797:1905816|offset_130|444444&amp;v=1905467:1906016&amp;c=444444", "offset 52")</f>
        <v>offset 52</v>
      </c>
    </row>
    <row r="6785" customFormat="false" ht="12.8" hidden="false" customHeight="false" outlineLevel="0" collapsed="false">
      <c r="A6785" s="0" t="s">
        <v>12</v>
      </c>
      <c r="B6785" s="0" t="n">
        <v>1905769</v>
      </c>
      <c r="C6785" s="0" t="n">
        <v>1905789</v>
      </c>
      <c r="D6785" s="0" t="s">
        <v>22677</v>
      </c>
      <c r="E6785" s="0" t="s">
        <v>89</v>
      </c>
      <c r="F6785" s="0" t="s">
        <v>15</v>
      </c>
      <c r="G6785" s="0" t="s">
        <v>16</v>
      </c>
      <c r="H6785" s="0" t="n">
        <v>103</v>
      </c>
      <c r="I6785" s="0" t="s">
        <v>22684</v>
      </c>
      <c r="J6785" s="0" t="s">
        <v>22685</v>
      </c>
      <c r="K6785" s="0" t="s">
        <v>22686</v>
      </c>
      <c r="L6785" s="0" t="str">
        <f aca="false">HYPERLINK("https://www.ncbi.nlm.nih.gov/nuccore/CP000304.1?report=graph&amp;tracks=[key:gene_model_track,Options:GeneOnly]&amp;mk=1905668:1905687|offset_1|444444,1905719:1905738|offset_52|444444,1905770:1905789|offset_103|00cc00,1905797:1905816|offset_130|444444&amp;v=1905467:1906016&amp;c=444444", "offset 103")</f>
        <v>offset 103</v>
      </c>
    </row>
    <row r="6786" customFormat="false" ht="12.8" hidden="false" customHeight="false" outlineLevel="0" collapsed="false">
      <c r="A6786" s="0" t="s">
        <v>12</v>
      </c>
      <c r="B6786" s="0" t="n">
        <v>1905796</v>
      </c>
      <c r="C6786" s="0" t="n">
        <v>1905816</v>
      </c>
      <c r="D6786" s="0" t="s">
        <v>22677</v>
      </c>
      <c r="E6786" s="0" t="s">
        <v>89</v>
      </c>
      <c r="F6786" s="0" t="s">
        <v>15</v>
      </c>
      <c r="G6786" s="0" t="s">
        <v>32</v>
      </c>
      <c r="H6786" s="0" t="n">
        <v>130</v>
      </c>
      <c r="I6786" s="0" t="s">
        <v>22687</v>
      </c>
      <c r="J6786" s="0" t="s">
        <v>22688</v>
      </c>
      <c r="K6786" s="0" t="s">
        <v>22689</v>
      </c>
      <c r="L6786" s="0" t="str">
        <f aca="false">HYPERLINK("https://www.ncbi.nlm.nih.gov/nuccore/CP000304.1?report=graph&amp;tracks=[key:gene_model_track,Options:GeneOnly]&amp;mk=1905668:1905687|offset_1|444444,1905719:1905738|offset_52|444444,1905770:1905789|offset_103|444444,1905797:1905816|offset_130|00cc00&amp;v=1905467:1906016&amp;c=444444", "offset 130")</f>
        <v>offset 130</v>
      </c>
    </row>
    <row r="6787" customFormat="false" ht="12.8" hidden="false" customHeight="false" outlineLevel="0" collapsed="false">
      <c r="A6787" s="0" t="s">
        <v>12</v>
      </c>
      <c r="B6787" s="0" t="n">
        <v>1906131</v>
      </c>
      <c r="C6787" s="0" t="n">
        <v>1906151</v>
      </c>
      <c r="D6787" s="0" t="s">
        <v>22690</v>
      </c>
      <c r="E6787" s="0" t="s">
        <v>89</v>
      </c>
      <c r="F6787" s="0" t="s">
        <v>15</v>
      </c>
      <c r="G6787" s="0" t="s">
        <v>16</v>
      </c>
      <c r="H6787" s="0" t="n">
        <v>28</v>
      </c>
      <c r="I6787" s="0" t="s">
        <v>22691</v>
      </c>
      <c r="J6787" s="0" t="s">
        <v>22692</v>
      </c>
      <c r="K6787" s="0" t="s">
        <v>22693</v>
      </c>
      <c r="L6787" s="0" t="str">
        <f aca="false">HYPERLINK("https://www.ncbi.nlm.nih.gov/nuccore/CP000304.1?report=graph&amp;tracks=[key:gene_model_track,Options:GeneOnly]&amp;mk=1906132:1906151|offset_28|00cc00,1906157:1906176|offset_53|444444,1906189:1906208|offset_85|444444,1906230:1906249|offset_126|444444&amp;v=1905931:1906449&amp;c=444444", "offset 28")</f>
        <v>offset 28</v>
      </c>
    </row>
    <row r="6788" customFormat="false" ht="12.8" hidden="false" customHeight="false" outlineLevel="0" collapsed="false">
      <c r="A6788" s="0" t="s">
        <v>12</v>
      </c>
      <c r="B6788" s="0" t="n">
        <v>1906156</v>
      </c>
      <c r="C6788" s="0" t="n">
        <v>1906176</v>
      </c>
      <c r="D6788" s="0" t="s">
        <v>22690</v>
      </c>
      <c r="E6788" s="0" t="s">
        <v>89</v>
      </c>
      <c r="F6788" s="0" t="s">
        <v>15</v>
      </c>
      <c r="G6788" s="0" t="s">
        <v>26</v>
      </c>
      <c r="H6788" s="0" t="n">
        <v>53</v>
      </c>
      <c r="I6788" s="0" t="s">
        <v>22694</v>
      </c>
      <c r="J6788" s="0" t="s">
        <v>22695</v>
      </c>
      <c r="K6788" s="0" t="s">
        <v>22696</v>
      </c>
      <c r="L6788" s="0" t="str">
        <f aca="false">HYPERLINK("https://www.ncbi.nlm.nih.gov/nuccore/CP000304.1?report=graph&amp;tracks=[key:gene_model_track,Options:GeneOnly]&amp;mk=1906132:1906151|offset_28|444444,1906157:1906176|offset_53|00cc00,1906189:1906208|offset_85|444444,1906230:1906249|offset_126|444444&amp;v=1905931:1906449&amp;c=444444", "offset 53")</f>
        <v>offset 53</v>
      </c>
    </row>
    <row r="6789" customFormat="false" ht="12.8" hidden="false" customHeight="false" outlineLevel="0" collapsed="false">
      <c r="A6789" s="0" t="s">
        <v>12</v>
      </c>
      <c r="B6789" s="0" t="n">
        <v>1906188</v>
      </c>
      <c r="C6789" s="0" t="n">
        <v>1906208</v>
      </c>
      <c r="D6789" s="0" t="s">
        <v>22690</v>
      </c>
      <c r="E6789" s="0" t="s">
        <v>89</v>
      </c>
      <c r="F6789" s="0" t="s">
        <v>15</v>
      </c>
      <c r="G6789" s="0" t="s">
        <v>36</v>
      </c>
      <c r="H6789" s="0" t="n">
        <v>85</v>
      </c>
      <c r="I6789" s="0" t="s">
        <v>22697</v>
      </c>
      <c r="J6789" s="0" t="s">
        <v>22698</v>
      </c>
      <c r="K6789" s="0" t="s">
        <v>22699</v>
      </c>
      <c r="L6789" s="0" t="str">
        <f aca="false">HYPERLINK("https://www.ncbi.nlm.nih.gov/nuccore/CP000304.1?report=graph&amp;tracks=[key:gene_model_track,Options:GeneOnly]&amp;mk=1906132:1906151|offset_28|444444,1906157:1906176|offset_53|444444,1906189:1906208|offset_85|00cc00,1906230:1906249|offset_126|444444&amp;v=1905931:1906449&amp;c=444444", "offset 85")</f>
        <v>offset 85</v>
      </c>
    </row>
    <row r="6790" customFormat="false" ht="12.8" hidden="false" customHeight="false" outlineLevel="0" collapsed="false">
      <c r="A6790" s="0" t="s">
        <v>12</v>
      </c>
      <c r="B6790" s="0" t="n">
        <v>1906229</v>
      </c>
      <c r="C6790" s="0" t="n">
        <v>1906249</v>
      </c>
      <c r="D6790" s="0" t="s">
        <v>22690</v>
      </c>
      <c r="E6790" s="0" t="s">
        <v>89</v>
      </c>
      <c r="F6790" s="0" t="s">
        <v>15</v>
      </c>
      <c r="G6790" s="0" t="s">
        <v>16</v>
      </c>
      <c r="H6790" s="0" t="n">
        <v>126</v>
      </c>
      <c r="I6790" s="0" t="s">
        <v>22700</v>
      </c>
      <c r="J6790" s="0" t="s">
        <v>22701</v>
      </c>
      <c r="K6790" s="0" t="s">
        <v>22702</v>
      </c>
      <c r="L6790" s="0" t="str">
        <f aca="false">HYPERLINK("https://www.ncbi.nlm.nih.gov/nuccore/CP000304.1?report=graph&amp;tracks=[key:gene_model_track,Options:GeneOnly]&amp;mk=1906132:1906151|offset_28|444444,1906157:1906176|offset_53|444444,1906189:1906208|offset_85|444444,1906230:1906249|offset_126|00cc00&amp;v=1905931:1906449&amp;c=444444", "offset 126")</f>
        <v>offset 126</v>
      </c>
    </row>
    <row r="6791" customFormat="false" ht="12.8" hidden="false" customHeight="false" outlineLevel="0" collapsed="false">
      <c r="A6791" s="0" t="s">
        <v>12</v>
      </c>
      <c r="B6791" s="0" t="n">
        <v>1907710</v>
      </c>
      <c r="C6791" s="0" t="n">
        <v>1907730</v>
      </c>
      <c r="D6791" s="0" t="s">
        <v>22703</v>
      </c>
      <c r="E6791" s="0" t="s">
        <v>89</v>
      </c>
      <c r="F6791" s="0" t="s">
        <v>90</v>
      </c>
      <c r="G6791" s="0" t="s">
        <v>16</v>
      </c>
      <c r="H6791" s="0" t="n">
        <v>23</v>
      </c>
      <c r="I6791" s="0" t="s">
        <v>22704</v>
      </c>
      <c r="J6791" s="0" t="s">
        <v>22705</v>
      </c>
      <c r="K6791" s="0" t="s">
        <v>22706</v>
      </c>
      <c r="L6791" s="0" t="str">
        <f aca="false">HYPERLINK("https://www.ncbi.nlm.nih.gov/nuccore/CP000304.1?report=graph&amp;tracks=[key:gene_model_track,Options:GeneOnly]&amp;mk=1907711:1907730|offset_23|00cc00,1907661:1907680|offset_73|444444,1907628:1907647|offset_106|444444,1907603:1907622|offset_131|444444&amp;v=1907510:1907822&amp;c=444444", "offset 23")</f>
        <v>offset 23</v>
      </c>
    </row>
    <row r="6792" customFormat="false" ht="12.8" hidden="false" customHeight="false" outlineLevel="0" collapsed="false">
      <c r="A6792" s="0" t="s">
        <v>12</v>
      </c>
      <c r="B6792" s="0" t="n">
        <v>1907660</v>
      </c>
      <c r="C6792" s="0" t="n">
        <v>1907680</v>
      </c>
      <c r="D6792" s="0" t="s">
        <v>22703</v>
      </c>
      <c r="E6792" s="0" t="s">
        <v>89</v>
      </c>
      <c r="F6792" s="0" t="s">
        <v>90</v>
      </c>
      <c r="G6792" s="0" t="s">
        <v>26</v>
      </c>
      <c r="H6792" s="0" t="n">
        <v>73</v>
      </c>
      <c r="I6792" s="0" t="s">
        <v>22707</v>
      </c>
      <c r="J6792" s="0" t="s">
        <v>22708</v>
      </c>
      <c r="K6792" s="0" t="s">
        <v>22709</v>
      </c>
      <c r="L6792" s="0" t="str">
        <f aca="false">HYPERLINK("https://www.ncbi.nlm.nih.gov/nuccore/CP000304.1?report=graph&amp;tracks=[key:gene_model_track,Options:GeneOnly]&amp;mk=1907711:1907730|offset_23|444444,1907661:1907680|offset_73|00cc00,1907628:1907647|offset_106|444444,1907603:1907622|offset_131|444444&amp;v=1907510:1907822&amp;c=444444", "offset 73")</f>
        <v>offset 73</v>
      </c>
    </row>
    <row r="6793" customFormat="false" ht="12.8" hidden="false" customHeight="false" outlineLevel="0" collapsed="false">
      <c r="A6793" s="0" t="s">
        <v>12</v>
      </c>
      <c r="B6793" s="0" t="n">
        <v>1907627</v>
      </c>
      <c r="C6793" s="0" t="n">
        <v>1907647</v>
      </c>
      <c r="D6793" s="0" t="s">
        <v>22703</v>
      </c>
      <c r="E6793" s="0" t="s">
        <v>89</v>
      </c>
      <c r="F6793" s="0" t="s">
        <v>90</v>
      </c>
      <c r="G6793" s="0" t="s">
        <v>16</v>
      </c>
      <c r="H6793" s="0" t="n">
        <v>106</v>
      </c>
      <c r="I6793" s="0" t="s">
        <v>22710</v>
      </c>
      <c r="J6793" s="0" t="s">
        <v>22711</v>
      </c>
      <c r="K6793" s="0" t="s">
        <v>22712</v>
      </c>
      <c r="L6793" s="0" t="str">
        <f aca="false">HYPERLINK("https://www.ncbi.nlm.nih.gov/nuccore/CP000304.1?report=graph&amp;tracks=[key:gene_model_track,Options:GeneOnly]&amp;mk=1907711:1907730|offset_23|444444,1907661:1907680|offset_73|444444,1907628:1907647|offset_106|00cc00,1907603:1907622|offset_131|444444&amp;v=1907510:1907822&amp;c=444444", "offset 106")</f>
        <v>offset 106</v>
      </c>
    </row>
    <row r="6794" customFormat="false" ht="12.8" hidden="false" customHeight="false" outlineLevel="0" collapsed="false">
      <c r="A6794" s="0" t="s">
        <v>12</v>
      </c>
      <c r="B6794" s="0" t="n">
        <v>1907602</v>
      </c>
      <c r="C6794" s="0" t="n">
        <v>1907622</v>
      </c>
      <c r="D6794" s="0" t="s">
        <v>22703</v>
      </c>
      <c r="E6794" s="0" t="s">
        <v>89</v>
      </c>
      <c r="F6794" s="0" t="s">
        <v>90</v>
      </c>
      <c r="G6794" s="0" t="s">
        <v>16</v>
      </c>
      <c r="H6794" s="0" t="n">
        <v>131</v>
      </c>
      <c r="I6794" s="0" t="s">
        <v>22713</v>
      </c>
      <c r="J6794" s="0" t="s">
        <v>22714</v>
      </c>
      <c r="K6794" s="0" t="s">
        <v>22715</v>
      </c>
      <c r="L6794" s="0" t="str">
        <f aca="false">HYPERLINK("https://www.ncbi.nlm.nih.gov/nuccore/CP000304.1?report=graph&amp;tracks=[key:gene_model_track,Options:GeneOnly]&amp;mk=1907711:1907730|offset_23|444444,1907661:1907680|offset_73|444444,1907628:1907647|offset_106|444444,1907603:1907622|offset_131|00cc00&amp;v=1907510:1907822&amp;c=444444", "offset 131")</f>
        <v>offset 131</v>
      </c>
    </row>
    <row r="6795" customFormat="false" ht="12.8" hidden="false" customHeight="false" outlineLevel="0" collapsed="false">
      <c r="A6795" s="0" t="s">
        <v>12</v>
      </c>
      <c r="B6795" s="0" t="n">
        <v>1907908</v>
      </c>
      <c r="C6795" s="0" t="n">
        <v>1907928</v>
      </c>
      <c r="D6795" s="0" t="s">
        <v>22716</v>
      </c>
      <c r="E6795" s="0" t="s">
        <v>22717</v>
      </c>
      <c r="F6795" s="0" t="s">
        <v>15</v>
      </c>
      <c r="G6795" s="0" t="s">
        <v>36</v>
      </c>
      <c r="H6795" s="0" t="n">
        <v>14</v>
      </c>
      <c r="I6795" s="0" t="s">
        <v>22718</v>
      </c>
      <c r="J6795" s="0" t="s">
        <v>22719</v>
      </c>
      <c r="K6795" s="0" t="s">
        <v>22720</v>
      </c>
      <c r="L6795" s="0" t="str">
        <f aca="false">HYPERLINK("https://www.ncbi.nlm.nih.gov/nuccore/CP000304.1?report=graph&amp;tracks=[key:gene_model_track,Options:GeneOnly]&amp;mk=1907909:1907928|offset_14|00cc00,1907935:1907954|offset_40|444444,1907960:1907979|offset_65|444444,1907989:1908008|offset_94|444444&amp;v=1907708:1908208&amp;c=444444", "offset 14")</f>
        <v>offset 14</v>
      </c>
    </row>
    <row r="6796" customFormat="false" ht="12.8" hidden="false" customHeight="false" outlineLevel="0" collapsed="false">
      <c r="A6796" s="0" t="s">
        <v>12</v>
      </c>
      <c r="B6796" s="0" t="n">
        <v>1907934</v>
      </c>
      <c r="C6796" s="0" t="n">
        <v>1907954</v>
      </c>
      <c r="D6796" s="0" t="s">
        <v>22716</v>
      </c>
      <c r="E6796" s="0" t="s">
        <v>22717</v>
      </c>
      <c r="F6796" s="0" t="s">
        <v>15</v>
      </c>
      <c r="G6796" s="0" t="s">
        <v>16</v>
      </c>
      <c r="H6796" s="0" t="n">
        <v>40</v>
      </c>
      <c r="I6796" s="0" t="s">
        <v>22721</v>
      </c>
      <c r="J6796" s="0" t="s">
        <v>22722</v>
      </c>
      <c r="K6796" s="0" t="s">
        <v>22723</v>
      </c>
      <c r="L6796" s="0" t="str">
        <f aca="false">HYPERLINK("https://www.ncbi.nlm.nih.gov/nuccore/CP000304.1?report=graph&amp;tracks=[key:gene_model_track,Options:GeneOnly]&amp;mk=1907909:1907928|offset_14|444444,1907935:1907954|offset_40|00cc00,1907960:1907979|offset_65|444444,1907989:1908008|offset_94|444444&amp;v=1907708:1908208&amp;c=444444", "offset 40")</f>
        <v>offset 40</v>
      </c>
    </row>
    <row r="6797" customFormat="false" ht="12.8" hidden="false" customHeight="false" outlineLevel="0" collapsed="false">
      <c r="A6797" s="0" t="s">
        <v>12</v>
      </c>
      <c r="B6797" s="0" t="n">
        <v>1907959</v>
      </c>
      <c r="C6797" s="0" t="n">
        <v>1907979</v>
      </c>
      <c r="D6797" s="0" t="s">
        <v>22716</v>
      </c>
      <c r="E6797" s="0" t="s">
        <v>22717</v>
      </c>
      <c r="F6797" s="0" t="s">
        <v>15</v>
      </c>
      <c r="G6797" s="0" t="s">
        <v>26</v>
      </c>
      <c r="H6797" s="0" t="n">
        <v>65</v>
      </c>
      <c r="I6797" s="0" t="s">
        <v>22724</v>
      </c>
      <c r="J6797" s="0" t="s">
        <v>22725</v>
      </c>
      <c r="K6797" s="0" t="s">
        <v>22726</v>
      </c>
      <c r="L6797" s="0" t="str">
        <f aca="false">HYPERLINK("https://www.ncbi.nlm.nih.gov/nuccore/CP000304.1?report=graph&amp;tracks=[key:gene_model_track,Options:GeneOnly]&amp;mk=1907909:1907928|offset_14|444444,1907935:1907954|offset_40|444444,1907960:1907979|offset_65|00cc00,1907989:1908008|offset_94|444444&amp;v=1907708:1908208&amp;c=444444", "offset 65")</f>
        <v>offset 65</v>
      </c>
    </row>
    <row r="6798" customFormat="false" ht="12.8" hidden="false" customHeight="false" outlineLevel="0" collapsed="false">
      <c r="A6798" s="0" t="s">
        <v>12</v>
      </c>
      <c r="B6798" s="0" t="n">
        <v>1907988</v>
      </c>
      <c r="C6798" s="0" t="n">
        <v>1908008</v>
      </c>
      <c r="D6798" s="0" t="s">
        <v>22716</v>
      </c>
      <c r="E6798" s="0" t="s">
        <v>22717</v>
      </c>
      <c r="F6798" s="0" t="s">
        <v>15</v>
      </c>
      <c r="G6798" s="0" t="s">
        <v>16</v>
      </c>
      <c r="H6798" s="0" t="n">
        <v>94</v>
      </c>
      <c r="I6798" s="0" t="s">
        <v>22727</v>
      </c>
      <c r="J6798" s="0" t="s">
        <v>22728</v>
      </c>
      <c r="K6798" s="0" t="s">
        <v>22729</v>
      </c>
      <c r="L6798" s="0" t="str">
        <f aca="false">HYPERLINK("https://www.ncbi.nlm.nih.gov/nuccore/CP000304.1?report=graph&amp;tracks=[key:gene_model_track,Options:GeneOnly]&amp;mk=1907909:1907928|offset_14|444444,1907935:1907954|offset_40|444444,1907960:1907979|offset_65|444444,1907989:1908008|offset_94|00cc00&amp;v=1907708:1908208&amp;c=444444", "offset 94")</f>
        <v>offset 94</v>
      </c>
    </row>
    <row r="6799" customFormat="false" ht="12.8" hidden="false" customHeight="false" outlineLevel="0" collapsed="false">
      <c r="A6799" s="0" t="s">
        <v>12</v>
      </c>
      <c r="B6799" s="0" t="n">
        <v>1909244</v>
      </c>
      <c r="C6799" s="0" t="n">
        <v>1909264</v>
      </c>
      <c r="D6799" s="0" t="s">
        <v>22730</v>
      </c>
      <c r="E6799" s="0" t="s">
        <v>89</v>
      </c>
      <c r="F6799" s="0" t="s">
        <v>90</v>
      </c>
      <c r="G6799" s="0" t="s">
        <v>32</v>
      </c>
      <c r="H6799" s="0" t="n">
        <v>1</v>
      </c>
      <c r="I6799" s="0" t="s">
        <v>22731</v>
      </c>
      <c r="J6799" s="0" t="s">
        <v>22732</v>
      </c>
      <c r="K6799" s="0" t="s">
        <v>22733</v>
      </c>
      <c r="L6799" s="0" t="str">
        <f aca="false">HYPERLINK("https://www.ncbi.nlm.nih.gov/nuccore/CP000304.1?report=graph&amp;tracks=[key:gene_model_track,Options:GeneOnly]&amp;mk=1909245:1909264|offset_1|00cc00,1909221:1909240|offset_25|444444,1909200:1909219|offset_46|444444,1909179:1909198|offset_67|444444&amp;v=1909044:1909398&amp;c=444444", "offset 1")</f>
        <v>offset 1</v>
      </c>
    </row>
    <row r="6800" customFormat="false" ht="12.8" hidden="false" customHeight="false" outlineLevel="0" collapsed="false">
      <c r="A6800" s="0" t="s">
        <v>12</v>
      </c>
      <c r="B6800" s="0" t="n">
        <v>1909220</v>
      </c>
      <c r="C6800" s="0" t="n">
        <v>1909240</v>
      </c>
      <c r="D6800" s="0" t="s">
        <v>22730</v>
      </c>
      <c r="E6800" s="0" t="s">
        <v>89</v>
      </c>
      <c r="F6800" s="0" t="s">
        <v>90</v>
      </c>
      <c r="G6800" s="0" t="s">
        <v>26</v>
      </c>
      <c r="H6800" s="0" t="n">
        <v>25</v>
      </c>
      <c r="I6800" s="0" t="s">
        <v>22734</v>
      </c>
      <c r="J6800" s="0" t="s">
        <v>22735</v>
      </c>
      <c r="K6800" s="0" t="s">
        <v>22736</v>
      </c>
      <c r="L6800" s="0" t="str">
        <f aca="false">HYPERLINK("https://www.ncbi.nlm.nih.gov/nuccore/CP000304.1?report=graph&amp;tracks=[key:gene_model_track,Options:GeneOnly]&amp;mk=1909245:1909264|offset_1|444444,1909221:1909240|offset_25|00cc00,1909200:1909219|offset_46|444444,1909179:1909198|offset_67|444444&amp;v=1909044:1909398&amp;c=444444", "offset 25")</f>
        <v>offset 25</v>
      </c>
    </row>
    <row r="6801" customFormat="false" ht="12.8" hidden="false" customHeight="false" outlineLevel="0" collapsed="false">
      <c r="A6801" s="0" t="s">
        <v>12</v>
      </c>
      <c r="B6801" s="0" t="n">
        <v>1909199</v>
      </c>
      <c r="C6801" s="0" t="n">
        <v>1909219</v>
      </c>
      <c r="D6801" s="0" t="s">
        <v>22730</v>
      </c>
      <c r="E6801" s="0" t="s">
        <v>89</v>
      </c>
      <c r="F6801" s="0" t="s">
        <v>90</v>
      </c>
      <c r="G6801" s="0" t="s">
        <v>36</v>
      </c>
      <c r="H6801" s="0" t="n">
        <v>46</v>
      </c>
      <c r="I6801" s="0" t="s">
        <v>22737</v>
      </c>
      <c r="J6801" s="0" t="s">
        <v>22738</v>
      </c>
      <c r="K6801" s="0" t="s">
        <v>22739</v>
      </c>
      <c r="L6801" s="0" t="str">
        <f aca="false">HYPERLINK("https://www.ncbi.nlm.nih.gov/nuccore/CP000304.1?report=graph&amp;tracks=[key:gene_model_track,Options:GeneOnly]&amp;mk=1909245:1909264|offset_1|444444,1909221:1909240|offset_25|444444,1909200:1909219|offset_46|00cc00,1909179:1909198|offset_67|444444&amp;v=1909044:1909398&amp;c=444444", "offset 46")</f>
        <v>offset 46</v>
      </c>
    </row>
    <row r="6802" customFormat="false" ht="12.8" hidden="false" customHeight="false" outlineLevel="0" collapsed="false">
      <c r="A6802" s="0" t="s">
        <v>12</v>
      </c>
      <c r="B6802" s="0" t="n">
        <v>1909178</v>
      </c>
      <c r="C6802" s="0" t="n">
        <v>1909198</v>
      </c>
      <c r="D6802" s="0" t="s">
        <v>22730</v>
      </c>
      <c r="E6802" s="0" t="s">
        <v>89</v>
      </c>
      <c r="F6802" s="0" t="s">
        <v>90</v>
      </c>
      <c r="G6802" s="0" t="s">
        <v>16</v>
      </c>
      <c r="H6802" s="0" t="n">
        <v>67</v>
      </c>
      <c r="I6802" s="0" t="s">
        <v>22740</v>
      </c>
      <c r="J6802" s="0" t="s">
        <v>22741</v>
      </c>
      <c r="K6802" s="0" t="s">
        <v>22742</v>
      </c>
      <c r="L6802" s="0" t="str">
        <f aca="false">HYPERLINK("https://www.ncbi.nlm.nih.gov/nuccore/CP000304.1?report=graph&amp;tracks=[key:gene_model_track,Options:GeneOnly]&amp;mk=1909245:1909264|offset_1|444444,1909221:1909240|offset_25|444444,1909200:1909219|offset_46|444444,1909179:1909198|offset_67|00cc00&amp;v=1909044:1909398&amp;c=444444", "offset 67")</f>
        <v>offset 67</v>
      </c>
    </row>
    <row r="6803" customFormat="false" ht="12.8" hidden="false" customHeight="false" outlineLevel="0" collapsed="false">
      <c r="A6803" s="0" t="s">
        <v>12</v>
      </c>
      <c r="B6803" s="0" t="n">
        <v>1909413</v>
      </c>
      <c r="C6803" s="0" t="n">
        <v>1909433</v>
      </c>
      <c r="D6803" s="0" t="s">
        <v>22743</v>
      </c>
      <c r="E6803" s="0" t="s">
        <v>22744</v>
      </c>
      <c r="F6803" s="0" t="s">
        <v>15</v>
      </c>
      <c r="G6803" s="0" t="s">
        <v>16</v>
      </c>
      <c r="H6803" s="0" t="n">
        <v>0</v>
      </c>
      <c r="I6803" s="0" t="s">
        <v>22745</v>
      </c>
      <c r="J6803" s="0" t="s">
        <v>22746</v>
      </c>
      <c r="K6803" s="0" t="s">
        <v>22747</v>
      </c>
      <c r="L6803" s="0" t="str">
        <f aca="false">HYPERLINK("https://www.ncbi.nlm.nih.gov/nuccore/CP000304.1?report=graph&amp;tracks=[key:gene_model_track,Options:GeneOnly]&amp;mk=1909414:1909433|offset_0|00cc00,1909503:1909522|offset_89|444444,1909531:1909550|offset_117|444444,1909554:1909573|offset_140|444444&amp;v=1909213:1909773&amp;c=444444", "offset 0")</f>
        <v>offset 0</v>
      </c>
    </row>
    <row r="6804" customFormat="false" ht="12.8" hidden="false" customHeight="false" outlineLevel="0" collapsed="false">
      <c r="A6804" s="0" t="s">
        <v>12</v>
      </c>
      <c r="B6804" s="0" t="n">
        <v>1909502</v>
      </c>
      <c r="C6804" s="0" t="n">
        <v>1909522</v>
      </c>
      <c r="D6804" s="0" t="s">
        <v>22743</v>
      </c>
      <c r="E6804" s="0" t="s">
        <v>22744</v>
      </c>
      <c r="F6804" s="0" t="s">
        <v>15</v>
      </c>
      <c r="G6804" s="0" t="s">
        <v>16</v>
      </c>
      <c r="H6804" s="0" t="n">
        <v>89</v>
      </c>
      <c r="I6804" s="0" t="s">
        <v>22748</v>
      </c>
      <c r="J6804" s="0" t="s">
        <v>22749</v>
      </c>
      <c r="K6804" s="0" t="s">
        <v>22750</v>
      </c>
      <c r="L6804" s="0" t="str">
        <f aca="false">HYPERLINK("https://www.ncbi.nlm.nih.gov/nuccore/CP000304.1?report=graph&amp;tracks=[key:gene_model_track,Options:GeneOnly]&amp;mk=1909414:1909433|offset_0|444444,1909503:1909522|offset_89|00cc00,1909531:1909550|offset_117|444444,1909554:1909573|offset_140|444444&amp;v=1909213:1909773&amp;c=444444", "offset 89")</f>
        <v>offset 89</v>
      </c>
    </row>
    <row r="6805" customFormat="false" ht="12.8" hidden="false" customHeight="false" outlineLevel="0" collapsed="false">
      <c r="A6805" s="0" t="s">
        <v>12</v>
      </c>
      <c r="B6805" s="0" t="n">
        <v>1909530</v>
      </c>
      <c r="C6805" s="0" t="n">
        <v>1909550</v>
      </c>
      <c r="D6805" s="0" t="s">
        <v>22743</v>
      </c>
      <c r="E6805" s="0" t="s">
        <v>22744</v>
      </c>
      <c r="F6805" s="0" t="s">
        <v>15</v>
      </c>
      <c r="G6805" s="0" t="s">
        <v>16</v>
      </c>
      <c r="H6805" s="0" t="n">
        <v>117</v>
      </c>
      <c r="I6805" s="0" t="s">
        <v>22751</v>
      </c>
      <c r="J6805" s="0" t="s">
        <v>22752</v>
      </c>
      <c r="K6805" s="0" t="s">
        <v>22753</v>
      </c>
      <c r="L6805" s="0" t="str">
        <f aca="false">HYPERLINK("https://www.ncbi.nlm.nih.gov/nuccore/CP000304.1?report=graph&amp;tracks=[key:gene_model_track,Options:GeneOnly]&amp;mk=1909414:1909433|offset_0|444444,1909503:1909522|offset_89|444444,1909531:1909550|offset_117|00cc00,1909554:1909573|offset_140|444444&amp;v=1909213:1909773&amp;c=444444", "offset 117")</f>
        <v>offset 117</v>
      </c>
    </row>
    <row r="6806" customFormat="false" ht="12.8" hidden="false" customHeight="false" outlineLevel="0" collapsed="false">
      <c r="A6806" s="0" t="s">
        <v>12</v>
      </c>
      <c r="B6806" s="0" t="n">
        <v>1909553</v>
      </c>
      <c r="C6806" s="0" t="n">
        <v>1909573</v>
      </c>
      <c r="D6806" s="0" t="s">
        <v>22743</v>
      </c>
      <c r="E6806" s="0" t="s">
        <v>22744</v>
      </c>
      <c r="F6806" s="0" t="s">
        <v>15</v>
      </c>
      <c r="G6806" s="0" t="s">
        <v>26</v>
      </c>
      <c r="H6806" s="0" t="n">
        <v>140</v>
      </c>
      <c r="I6806" s="0" t="s">
        <v>22754</v>
      </c>
      <c r="J6806" s="0" t="s">
        <v>22755</v>
      </c>
      <c r="K6806" s="0" t="s">
        <v>22756</v>
      </c>
      <c r="L6806" s="0" t="str">
        <f aca="false">HYPERLINK("https://www.ncbi.nlm.nih.gov/nuccore/CP000304.1?report=graph&amp;tracks=[key:gene_model_track,Options:GeneOnly]&amp;mk=1909414:1909433|offset_0|444444,1909503:1909522|offset_89|444444,1909531:1909550|offset_117|444444,1909554:1909573|offset_140|00cc00&amp;v=1909213:1909773&amp;c=444444", "offset 140")</f>
        <v>offset 140</v>
      </c>
    </row>
    <row r="6807" customFormat="false" ht="12.8" hidden="false" customHeight="false" outlineLevel="0" collapsed="false">
      <c r="A6807" s="0" t="s">
        <v>12</v>
      </c>
      <c r="B6807" s="0" t="n">
        <v>1910862</v>
      </c>
      <c r="C6807" s="0" t="n">
        <v>1910882</v>
      </c>
      <c r="D6807" s="0" t="s">
        <v>22757</v>
      </c>
      <c r="E6807" s="0" t="s">
        <v>22758</v>
      </c>
      <c r="F6807" s="0" t="s">
        <v>15</v>
      </c>
      <c r="G6807" s="0" t="s">
        <v>26</v>
      </c>
      <c r="H6807" s="0" t="n">
        <v>10</v>
      </c>
      <c r="I6807" s="0" t="s">
        <v>22759</v>
      </c>
      <c r="J6807" s="0" t="s">
        <v>22760</v>
      </c>
      <c r="K6807" s="0" t="s">
        <v>22761</v>
      </c>
      <c r="L6807" s="0" t="str">
        <f aca="false">HYPERLINK("https://www.ncbi.nlm.nih.gov/nuccore/CP000304.1?report=graph&amp;tracks=[key:gene_model_track,Options:GeneOnly]&amp;mk=1910863:1910882|offset_10|00cc00,1910891:1910910|offset_38|444444,1910917:1910936|offset_64|444444,1910962:1910981|offset_109|444444&amp;v=1910662:1911181&amp;c=444444", "offset 10")</f>
        <v>offset 10</v>
      </c>
    </row>
    <row r="6808" customFormat="false" ht="12.8" hidden="false" customHeight="false" outlineLevel="0" collapsed="false">
      <c r="A6808" s="0" t="s">
        <v>12</v>
      </c>
      <c r="B6808" s="0" t="n">
        <v>1910890</v>
      </c>
      <c r="C6808" s="0" t="n">
        <v>1910910</v>
      </c>
      <c r="D6808" s="0" t="s">
        <v>22757</v>
      </c>
      <c r="E6808" s="0" t="s">
        <v>22758</v>
      </c>
      <c r="F6808" s="0" t="s">
        <v>15</v>
      </c>
      <c r="G6808" s="0" t="s">
        <v>36</v>
      </c>
      <c r="H6808" s="0" t="n">
        <v>38</v>
      </c>
      <c r="I6808" s="0" t="s">
        <v>22762</v>
      </c>
      <c r="J6808" s="0" t="s">
        <v>22763</v>
      </c>
      <c r="K6808" s="0" t="s">
        <v>22764</v>
      </c>
      <c r="L6808" s="0" t="str">
        <f aca="false">HYPERLINK("https://www.ncbi.nlm.nih.gov/nuccore/CP000304.1?report=graph&amp;tracks=[key:gene_model_track,Options:GeneOnly]&amp;mk=1910863:1910882|offset_10|444444,1910891:1910910|offset_38|00cc00,1910917:1910936|offset_64|444444,1910962:1910981|offset_109|444444&amp;v=1910662:1911181&amp;c=444444", "offset 38")</f>
        <v>offset 38</v>
      </c>
    </row>
    <row r="6809" customFormat="false" ht="12.8" hidden="false" customHeight="false" outlineLevel="0" collapsed="false">
      <c r="A6809" s="0" t="s">
        <v>12</v>
      </c>
      <c r="B6809" s="0" t="n">
        <v>1910916</v>
      </c>
      <c r="C6809" s="0" t="n">
        <v>1910936</v>
      </c>
      <c r="D6809" s="0" t="s">
        <v>22757</v>
      </c>
      <c r="E6809" s="0" t="s">
        <v>22758</v>
      </c>
      <c r="F6809" s="0" t="s">
        <v>15</v>
      </c>
      <c r="G6809" s="0" t="s">
        <v>16</v>
      </c>
      <c r="H6809" s="0" t="n">
        <v>64</v>
      </c>
      <c r="I6809" s="0" t="s">
        <v>22765</v>
      </c>
      <c r="J6809" s="0" t="s">
        <v>22766</v>
      </c>
      <c r="K6809" s="0" t="s">
        <v>22767</v>
      </c>
      <c r="L6809" s="0" t="str">
        <f aca="false">HYPERLINK("https://www.ncbi.nlm.nih.gov/nuccore/CP000304.1?report=graph&amp;tracks=[key:gene_model_track,Options:GeneOnly]&amp;mk=1910863:1910882|offset_10|444444,1910891:1910910|offset_38|444444,1910917:1910936|offset_64|00cc00,1910962:1910981|offset_109|444444&amp;v=1910662:1911181&amp;c=444444", "offset 64")</f>
        <v>offset 64</v>
      </c>
    </row>
    <row r="6810" customFormat="false" ht="12.8" hidden="false" customHeight="false" outlineLevel="0" collapsed="false">
      <c r="A6810" s="0" t="s">
        <v>12</v>
      </c>
      <c r="B6810" s="0" t="n">
        <v>1910961</v>
      </c>
      <c r="C6810" s="0" t="n">
        <v>1910981</v>
      </c>
      <c r="D6810" s="0" t="s">
        <v>22757</v>
      </c>
      <c r="E6810" s="0" t="s">
        <v>22758</v>
      </c>
      <c r="F6810" s="0" t="s">
        <v>15</v>
      </c>
      <c r="G6810" s="0" t="s">
        <v>16</v>
      </c>
      <c r="H6810" s="0" t="n">
        <v>109</v>
      </c>
      <c r="I6810" s="0" t="s">
        <v>22768</v>
      </c>
      <c r="J6810" s="0" t="s">
        <v>22769</v>
      </c>
      <c r="K6810" s="0" t="s">
        <v>22770</v>
      </c>
      <c r="L6810" s="0" t="str">
        <f aca="false">HYPERLINK("https://www.ncbi.nlm.nih.gov/nuccore/CP000304.1?report=graph&amp;tracks=[key:gene_model_track,Options:GeneOnly]&amp;mk=1910863:1910882|offset_10|444444,1910891:1910910|offset_38|444444,1910917:1910936|offset_64|444444,1910962:1910981|offset_109|00cc00&amp;v=1910662:1911181&amp;c=444444", "offset 109")</f>
        <v>offset 109</v>
      </c>
    </row>
    <row r="6811" customFormat="false" ht="12.8" hidden="false" customHeight="false" outlineLevel="0" collapsed="false">
      <c r="A6811" s="0" t="s">
        <v>12</v>
      </c>
      <c r="B6811" s="0" t="n">
        <v>1911690</v>
      </c>
      <c r="C6811" s="0" t="n">
        <v>1911710</v>
      </c>
      <c r="D6811" s="0" t="s">
        <v>22771</v>
      </c>
      <c r="E6811" s="0" t="s">
        <v>22772</v>
      </c>
      <c r="F6811" s="0" t="s">
        <v>15</v>
      </c>
      <c r="G6811" s="0" t="s">
        <v>32</v>
      </c>
      <c r="H6811" s="0" t="n">
        <v>7</v>
      </c>
      <c r="I6811" s="0" t="s">
        <v>22773</v>
      </c>
      <c r="J6811" s="0" t="s">
        <v>22774</v>
      </c>
      <c r="K6811" s="0" t="s">
        <v>22775</v>
      </c>
      <c r="L6811" s="0" t="str">
        <f aca="false">HYPERLINK("https://www.ncbi.nlm.nih.gov/nuccore/CP000304.1?report=graph&amp;tracks=[key:gene_model_track,Options:GeneOnly]&amp;mk=1911691:1911710|offset_7|00cc00,1911711:1911730|offset_27|444444,1911742:1911761|offset_58|444444,1911769:1911788|offset_85|444444&amp;v=1911490:1911988&amp;c=444444", "offset 7")</f>
        <v>offset 7</v>
      </c>
    </row>
    <row r="6812" customFormat="false" ht="12.8" hidden="false" customHeight="false" outlineLevel="0" collapsed="false">
      <c r="A6812" s="0" t="s">
        <v>12</v>
      </c>
      <c r="B6812" s="0" t="n">
        <v>1911710</v>
      </c>
      <c r="C6812" s="0" t="n">
        <v>1911730</v>
      </c>
      <c r="D6812" s="0" t="s">
        <v>22771</v>
      </c>
      <c r="E6812" s="0" t="s">
        <v>22772</v>
      </c>
      <c r="F6812" s="0" t="s">
        <v>15</v>
      </c>
      <c r="G6812" s="0" t="s">
        <v>36</v>
      </c>
      <c r="H6812" s="0" t="n">
        <v>27</v>
      </c>
      <c r="I6812" s="0" t="s">
        <v>22776</v>
      </c>
      <c r="J6812" s="0" t="s">
        <v>22777</v>
      </c>
      <c r="K6812" s="0" t="s">
        <v>22778</v>
      </c>
      <c r="L6812" s="0" t="str">
        <f aca="false">HYPERLINK("https://www.ncbi.nlm.nih.gov/nuccore/CP000304.1?report=graph&amp;tracks=[key:gene_model_track,Options:GeneOnly]&amp;mk=1911691:1911710|offset_7|444444,1911711:1911730|offset_27|00cc00,1911742:1911761|offset_58|444444,1911769:1911788|offset_85|444444&amp;v=1911490:1911988&amp;c=444444", "offset 27")</f>
        <v>offset 27</v>
      </c>
    </row>
    <row r="6813" customFormat="false" ht="12.8" hidden="false" customHeight="false" outlineLevel="0" collapsed="false">
      <c r="A6813" s="0" t="s">
        <v>12</v>
      </c>
      <c r="B6813" s="0" t="n">
        <v>1911741</v>
      </c>
      <c r="C6813" s="0" t="n">
        <v>1911761</v>
      </c>
      <c r="D6813" s="0" t="s">
        <v>22771</v>
      </c>
      <c r="E6813" s="0" t="s">
        <v>22772</v>
      </c>
      <c r="F6813" s="0" t="s">
        <v>15</v>
      </c>
      <c r="G6813" s="0" t="s">
        <v>16</v>
      </c>
      <c r="H6813" s="0" t="n">
        <v>58</v>
      </c>
      <c r="I6813" s="0" t="s">
        <v>22779</v>
      </c>
      <c r="J6813" s="0" t="s">
        <v>22780</v>
      </c>
      <c r="K6813" s="0" t="s">
        <v>22781</v>
      </c>
      <c r="L6813" s="0" t="str">
        <f aca="false">HYPERLINK("https://www.ncbi.nlm.nih.gov/nuccore/CP000304.1?report=graph&amp;tracks=[key:gene_model_track,Options:GeneOnly]&amp;mk=1911691:1911710|offset_7|444444,1911711:1911730|offset_27|444444,1911742:1911761|offset_58|00cc00,1911769:1911788|offset_85|444444&amp;v=1911490:1911988&amp;c=444444", "offset 58")</f>
        <v>offset 58</v>
      </c>
    </row>
    <row r="6814" customFormat="false" ht="12.8" hidden="false" customHeight="false" outlineLevel="0" collapsed="false">
      <c r="A6814" s="0" t="s">
        <v>12</v>
      </c>
      <c r="B6814" s="0" t="n">
        <v>1911768</v>
      </c>
      <c r="C6814" s="0" t="n">
        <v>1911788</v>
      </c>
      <c r="D6814" s="0" t="s">
        <v>22771</v>
      </c>
      <c r="E6814" s="0" t="s">
        <v>22772</v>
      </c>
      <c r="F6814" s="0" t="s">
        <v>15</v>
      </c>
      <c r="G6814" s="0" t="s">
        <v>32</v>
      </c>
      <c r="H6814" s="0" t="n">
        <v>85</v>
      </c>
      <c r="I6814" s="0" t="s">
        <v>22782</v>
      </c>
      <c r="J6814" s="0" t="s">
        <v>22783</v>
      </c>
      <c r="K6814" s="0" t="s">
        <v>22784</v>
      </c>
      <c r="L6814" s="0" t="str">
        <f aca="false">HYPERLINK("https://www.ncbi.nlm.nih.gov/nuccore/CP000304.1?report=graph&amp;tracks=[key:gene_model_track,Options:GeneOnly]&amp;mk=1911691:1911710|offset_7|444444,1911711:1911730|offset_27|444444,1911742:1911761|offset_58|444444,1911769:1911788|offset_85|00cc00&amp;v=1911490:1911988&amp;c=444444", "offset 85")</f>
        <v>offset 85</v>
      </c>
    </row>
    <row r="6815" customFormat="false" ht="12.8" hidden="false" customHeight="false" outlineLevel="0" collapsed="false">
      <c r="A6815" s="0" t="s">
        <v>12</v>
      </c>
      <c r="B6815" s="0" t="n">
        <v>1912866</v>
      </c>
      <c r="C6815" s="0" t="n">
        <v>1912886</v>
      </c>
      <c r="D6815" s="0" t="s">
        <v>22785</v>
      </c>
      <c r="E6815" s="0" t="s">
        <v>22786</v>
      </c>
      <c r="F6815" s="0" t="s">
        <v>15</v>
      </c>
      <c r="G6815" s="0" t="s">
        <v>16</v>
      </c>
      <c r="H6815" s="0" t="n">
        <v>46</v>
      </c>
      <c r="I6815" s="0" t="s">
        <v>22787</v>
      </c>
      <c r="J6815" s="0" t="s">
        <v>22788</v>
      </c>
      <c r="K6815" s="0" t="s">
        <v>22789</v>
      </c>
      <c r="L6815" s="0" t="str">
        <f aca="false">HYPERLINK("https://www.ncbi.nlm.nih.gov/nuccore/CP000304.1?report=graph&amp;tracks=[key:gene_model_track,Options:GeneOnly]&amp;mk=1912867:1912886|offset_46|00cc00,1912907:1912926|offset_86|444444,1912930:1912949|offset_109|444444,1912955:1912974|offset_134|444444&amp;v=1912666:1913174&amp;c=444444", "offset 46")</f>
        <v>offset 46</v>
      </c>
    </row>
    <row r="6816" customFormat="false" ht="12.8" hidden="false" customHeight="false" outlineLevel="0" collapsed="false">
      <c r="A6816" s="0" t="s">
        <v>12</v>
      </c>
      <c r="B6816" s="0" t="n">
        <v>1912906</v>
      </c>
      <c r="C6816" s="0" t="n">
        <v>1912926</v>
      </c>
      <c r="D6816" s="0" t="s">
        <v>22785</v>
      </c>
      <c r="E6816" s="0" t="s">
        <v>22786</v>
      </c>
      <c r="F6816" s="0" t="s">
        <v>15</v>
      </c>
      <c r="G6816" s="0" t="s">
        <v>26</v>
      </c>
      <c r="H6816" s="0" t="n">
        <v>86</v>
      </c>
      <c r="I6816" s="0" t="s">
        <v>22790</v>
      </c>
      <c r="J6816" s="0" t="s">
        <v>22791</v>
      </c>
      <c r="K6816" s="0" t="s">
        <v>22792</v>
      </c>
      <c r="L6816" s="0" t="str">
        <f aca="false">HYPERLINK("https://www.ncbi.nlm.nih.gov/nuccore/CP000304.1?report=graph&amp;tracks=[key:gene_model_track,Options:GeneOnly]&amp;mk=1912867:1912886|offset_46|444444,1912907:1912926|offset_86|00cc00,1912930:1912949|offset_109|444444,1912955:1912974|offset_134|444444&amp;v=1912666:1913174&amp;c=444444", "offset 86")</f>
        <v>offset 86</v>
      </c>
    </row>
    <row r="6817" customFormat="false" ht="12.8" hidden="false" customHeight="false" outlineLevel="0" collapsed="false">
      <c r="A6817" s="0" t="s">
        <v>12</v>
      </c>
      <c r="B6817" s="0" t="n">
        <v>1912929</v>
      </c>
      <c r="C6817" s="0" t="n">
        <v>1912949</v>
      </c>
      <c r="D6817" s="0" t="s">
        <v>22785</v>
      </c>
      <c r="E6817" s="0" t="s">
        <v>22786</v>
      </c>
      <c r="F6817" s="0" t="s">
        <v>15</v>
      </c>
      <c r="G6817" s="0" t="s">
        <v>32</v>
      </c>
      <c r="H6817" s="0" t="n">
        <v>109</v>
      </c>
      <c r="I6817" s="0" t="s">
        <v>22793</v>
      </c>
      <c r="J6817" s="0" t="s">
        <v>22794</v>
      </c>
      <c r="K6817" s="0" t="s">
        <v>22795</v>
      </c>
      <c r="L6817" s="0" t="str">
        <f aca="false">HYPERLINK("https://www.ncbi.nlm.nih.gov/nuccore/CP000304.1?report=graph&amp;tracks=[key:gene_model_track,Options:GeneOnly]&amp;mk=1912867:1912886|offset_46|444444,1912907:1912926|offset_86|444444,1912930:1912949|offset_109|00cc00,1912955:1912974|offset_134|444444&amp;v=1912666:1913174&amp;c=444444", "offset 109")</f>
        <v>offset 109</v>
      </c>
    </row>
    <row r="6818" customFormat="false" ht="12.8" hidden="false" customHeight="false" outlineLevel="0" collapsed="false">
      <c r="A6818" s="0" t="s">
        <v>12</v>
      </c>
      <c r="B6818" s="0" t="n">
        <v>1912954</v>
      </c>
      <c r="C6818" s="0" t="n">
        <v>1912974</v>
      </c>
      <c r="D6818" s="0" t="s">
        <v>22785</v>
      </c>
      <c r="E6818" s="0" t="s">
        <v>22786</v>
      </c>
      <c r="F6818" s="0" t="s">
        <v>15</v>
      </c>
      <c r="G6818" s="0" t="s">
        <v>36</v>
      </c>
      <c r="H6818" s="0" t="n">
        <v>134</v>
      </c>
      <c r="I6818" s="0" t="s">
        <v>22796</v>
      </c>
      <c r="J6818" s="0" t="s">
        <v>22797</v>
      </c>
      <c r="K6818" s="0" t="s">
        <v>22798</v>
      </c>
      <c r="L6818" s="0" t="str">
        <f aca="false">HYPERLINK("https://www.ncbi.nlm.nih.gov/nuccore/CP000304.1?report=graph&amp;tracks=[key:gene_model_track,Options:GeneOnly]&amp;mk=1912867:1912886|offset_46|444444,1912907:1912926|offset_86|444444,1912930:1912949|offset_109|444444,1912955:1912974|offset_134|00cc00&amp;v=1912666:1913174&amp;c=444444", "offset 134")</f>
        <v>offset 134</v>
      </c>
    </row>
    <row r="6819" customFormat="false" ht="12.8" hidden="false" customHeight="false" outlineLevel="0" collapsed="false">
      <c r="A6819" s="0" t="s">
        <v>12</v>
      </c>
      <c r="B6819" s="0" t="n">
        <v>1914073</v>
      </c>
      <c r="C6819" s="0" t="n">
        <v>1914093</v>
      </c>
      <c r="D6819" s="0" t="s">
        <v>22799</v>
      </c>
      <c r="E6819" s="0" t="s">
        <v>22800</v>
      </c>
      <c r="F6819" s="0" t="s">
        <v>15</v>
      </c>
      <c r="G6819" s="0" t="s">
        <v>36</v>
      </c>
      <c r="H6819" s="0" t="n">
        <v>6</v>
      </c>
      <c r="I6819" s="0" t="s">
        <v>22801</v>
      </c>
      <c r="J6819" s="0" t="s">
        <v>22802</v>
      </c>
      <c r="K6819" s="0" t="s">
        <v>22803</v>
      </c>
      <c r="L6819" s="0" t="str">
        <f aca="false">HYPERLINK("https://www.ncbi.nlm.nih.gov/nuccore/CP000304.1?report=graph&amp;tracks=[key:gene_model_track,Options:GeneOnly]&amp;mk=1914074:1914093|offset_6|00cc00,1914112:1914131|offset_44|444444,1914158:1914177|offset_90|444444,1914202:1914221|offset_134|444444&amp;v=1913873:1914421&amp;c=444444", "offset 6")</f>
        <v>offset 6</v>
      </c>
    </row>
    <row r="6820" customFormat="false" ht="12.8" hidden="false" customHeight="false" outlineLevel="0" collapsed="false">
      <c r="A6820" s="0" t="s">
        <v>12</v>
      </c>
      <c r="B6820" s="0" t="n">
        <v>1914111</v>
      </c>
      <c r="C6820" s="0" t="n">
        <v>1914131</v>
      </c>
      <c r="D6820" s="0" t="s">
        <v>22799</v>
      </c>
      <c r="E6820" s="0" t="s">
        <v>22800</v>
      </c>
      <c r="F6820" s="0" t="s">
        <v>15</v>
      </c>
      <c r="G6820" s="0" t="s">
        <v>26</v>
      </c>
      <c r="H6820" s="0" t="n">
        <v>44</v>
      </c>
      <c r="I6820" s="0" t="s">
        <v>22804</v>
      </c>
      <c r="J6820" s="0" t="s">
        <v>22805</v>
      </c>
      <c r="K6820" s="0" t="s">
        <v>22806</v>
      </c>
      <c r="L6820" s="0" t="str">
        <f aca="false">HYPERLINK("https://www.ncbi.nlm.nih.gov/nuccore/CP000304.1?report=graph&amp;tracks=[key:gene_model_track,Options:GeneOnly]&amp;mk=1914074:1914093|offset_6|444444,1914112:1914131|offset_44|00cc00,1914158:1914177|offset_90|444444,1914202:1914221|offset_134|444444&amp;v=1913873:1914421&amp;c=444444", "offset 44")</f>
        <v>offset 44</v>
      </c>
    </row>
    <row r="6821" customFormat="false" ht="12.8" hidden="false" customHeight="false" outlineLevel="0" collapsed="false">
      <c r="A6821" s="0" t="s">
        <v>12</v>
      </c>
      <c r="B6821" s="0" t="n">
        <v>1914157</v>
      </c>
      <c r="C6821" s="0" t="n">
        <v>1914177</v>
      </c>
      <c r="D6821" s="0" t="s">
        <v>22799</v>
      </c>
      <c r="E6821" s="0" t="s">
        <v>22800</v>
      </c>
      <c r="F6821" s="0" t="s">
        <v>15</v>
      </c>
      <c r="G6821" s="0" t="s">
        <v>32</v>
      </c>
      <c r="H6821" s="0" t="n">
        <v>90</v>
      </c>
      <c r="I6821" s="0" t="s">
        <v>22807</v>
      </c>
      <c r="J6821" s="0" t="s">
        <v>22808</v>
      </c>
      <c r="K6821" s="0" t="s">
        <v>22809</v>
      </c>
      <c r="L6821" s="0" t="str">
        <f aca="false">HYPERLINK("https://www.ncbi.nlm.nih.gov/nuccore/CP000304.1?report=graph&amp;tracks=[key:gene_model_track,Options:GeneOnly]&amp;mk=1914074:1914093|offset_6|444444,1914112:1914131|offset_44|444444,1914158:1914177|offset_90|00cc00,1914202:1914221|offset_134|444444&amp;v=1913873:1914421&amp;c=444444", "offset 90")</f>
        <v>offset 90</v>
      </c>
    </row>
    <row r="6822" customFormat="false" ht="12.8" hidden="false" customHeight="false" outlineLevel="0" collapsed="false">
      <c r="A6822" s="0" t="s">
        <v>12</v>
      </c>
      <c r="B6822" s="0" t="n">
        <v>1914201</v>
      </c>
      <c r="C6822" s="0" t="n">
        <v>1914221</v>
      </c>
      <c r="D6822" s="0" t="s">
        <v>22799</v>
      </c>
      <c r="E6822" s="0" t="s">
        <v>22800</v>
      </c>
      <c r="F6822" s="0" t="s">
        <v>15</v>
      </c>
      <c r="G6822" s="0" t="s">
        <v>32</v>
      </c>
      <c r="H6822" s="0" t="n">
        <v>134</v>
      </c>
      <c r="I6822" s="0" t="s">
        <v>22810</v>
      </c>
      <c r="J6822" s="0" t="s">
        <v>22811</v>
      </c>
      <c r="K6822" s="0" t="s">
        <v>22812</v>
      </c>
      <c r="L6822" s="0" t="str">
        <f aca="false">HYPERLINK("https://www.ncbi.nlm.nih.gov/nuccore/CP000304.1?report=graph&amp;tracks=[key:gene_model_track,Options:GeneOnly]&amp;mk=1914074:1914093|offset_6|444444,1914112:1914131|offset_44|444444,1914158:1914177|offset_90|444444,1914202:1914221|offset_134|00cc00&amp;v=1913873:1914421&amp;c=444444", "offset 134")</f>
        <v>offset 134</v>
      </c>
    </row>
    <row r="6823" customFormat="false" ht="12.8" hidden="false" customHeight="false" outlineLevel="0" collapsed="false">
      <c r="A6823" s="0" t="s">
        <v>12</v>
      </c>
      <c r="B6823" s="0" t="n">
        <v>1915268</v>
      </c>
      <c r="C6823" s="0" t="n">
        <v>1915288</v>
      </c>
      <c r="D6823" s="0" t="s">
        <v>22813</v>
      </c>
      <c r="E6823" s="0" t="s">
        <v>89</v>
      </c>
      <c r="F6823" s="0" t="s">
        <v>15</v>
      </c>
      <c r="G6823" s="0" t="s">
        <v>16</v>
      </c>
      <c r="H6823" s="0" t="n">
        <v>46</v>
      </c>
      <c r="I6823" s="0" t="s">
        <v>22814</v>
      </c>
      <c r="J6823" s="0" t="s">
        <v>22815</v>
      </c>
      <c r="K6823" s="0" t="s">
        <v>22816</v>
      </c>
      <c r="L6823" s="0" t="str">
        <f aca="false">HYPERLINK("https://www.ncbi.nlm.nih.gov/nuccore/CP000304.1?report=graph&amp;tracks=[key:gene_model_track,Options:GeneOnly]&amp;mk=1915269:1915288|offset_46|00cc00,1915290:1915309|offset_67|444444,1915340:1915359|offset_117|444444,1915371:1915390|offset_148|444444&amp;v=1915068:1915590&amp;c=444444", "offset 46")</f>
        <v>offset 46</v>
      </c>
    </row>
    <row r="6824" customFormat="false" ht="12.8" hidden="false" customHeight="false" outlineLevel="0" collapsed="false">
      <c r="A6824" s="0" t="s">
        <v>12</v>
      </c>
      <c r="B6824" s="0" t="n">
        <v>1915289</v>
      </c>
      <c r="C6824" s="0" t="n">
        <v>1915309</v>
      </c>
      <c r="D6824" s="0" t="s">
        <v>22813</v>
      </c>
      <c r="E6824" s="0" t="s">
        <v>89</v>
      </c>
      <c r="F6824" s="0" t="s">
        <v>15</v>
      </c>
      <c r="G6824" s="0" t="s">
        <v>36</v>
      </c>
      <c r="H6824" s="0" t="n">
        <v>67</v>
      </c>
      <c r="I6824" s="0" t="s">
        <v>22817</v>
      </c>
      <c r="J6824" s="0" t="s">
        <v>22818</v>
      </c>
      <c r="K6824" s="0" t="s">
        <v>22819</v>
      </c>
      <c r="L6824" s="0" t="str">
        <f aca="false">HYPERLINK("https://www.ncbi.nlm.nih.gov/nuccore/CP000304.1?report=graph&amp;tracks=[key:gene_model_track,Options:GeneOnly]&amp;mk=1915269:1915288|offset_46|444444,1915290:1915309|offset_67|00cc00,1915340:1915359|offset_117|444444,1915371:1915390|offset_148|444444&amp;v=1915068:1915590&amp;c=444444", "offset 67")</f>
        <v>offset 67</v>
      </c>
    </row>
    <row r="6825" customFormat="false" ht="12.8" hidden="false" customHeight="false" outlineLevel="0" collapsed="false">
      <c r="A6825" s="0" t="s">
        <v>12</v>
      </c>
      <c r="B6825" s="0" t="n">
        <v>1915339</v>
      </c>
      <c r="C6825" s="0" t="n">
        <v>1915359</v>
      </c>
      <c r="D6825" s="0" t="s">
        <v>22813</v>
      </c>
      <c r="E6825" s="0" t="s">
        <v>89</v>
      </c>
      <c r="F6825" s="0" t="s">
        <v>15</v>
      </c>
      <c r="G6825" s="0" t="s">
        <v>16</v>
      </c>
      <c r="H6825" s="0" t="n">
        <v>117</v>
      </c>
      <c r="I6825" s="0" t="s">
        <v>22820</v>
      </c>
      <c r="J6825" s="0" t="s">
        <v>22821</v>
      </c>
      <c r="K6825" s="0" t="s">
        <v>22822</v>
      </c>
      <c r="L6825" s="0" t="str">
        <f aca="false">HYPERLINK("https://www.ncbi.nlm.nih.gov/nuccore/CP000304.1?report=graph&amp;tracks=[key:gene_model_track,Options:GeneOnly]&amp;mk=1915269:1915288|offset_46|444444,1915290:1915309|offset_67|444444,1915340:1915359|offset_117|00cc00,1915371:1915390|offset_148|444444&amp;v=1915068:1915590&amp;c=444444", "offset 117")</f>
        <v>offset 117</v>
      </c>
    </row>
    <row r="6826" customFormat="false" ht="12.8" hidden="false" customHeight="false" outlineLevel="0" collapsed="false">
      <c r="A6826" s="0" t="s">
        <v>12</v>
      </c>
      <c r="B6826" s="0" t="n">
        <v>1915370</v>
      </c>
      <c r="C6826" s="0" t="n">
        <v>1915390</v>
      </c>
      <c r="D6826" s="0" t="s">
        <v>22813</v>
      </c>
      <c r="E6826" s="0" t="s">
        <v>89</v>
      </c>
      <c r="F6826" s="0" t="s">
        <v>15</v>
      </c>
      <c r="G6826" s="0" t="s">
        <v>32</v>
      </c>
      <c r="H6826" s="0" t="n">
        <v>148</v>
      </c>
      <c r="I6826" s="0" t="s">
        <v>22823</v>
      </c>
      <c r="J6826" s="0" t="s">
        <v>22824</v>
      </c>
      <c r="K6826" s="0" t="s">
        <v>22825</v>
      </c>
      <c r="L6826" s="0" t="str">
        <f aca="false">HYPERLINK("https://www.ncbi.nlm.nih.gov/nuccore/CP000304.1?report=graph&amp;tracks=[key:gene_model_track,Options:GeneOnly]&amp;mk=1915269:1915288|offset_46|444444,1915290:1915309|offset_67|444444,1915340:1915359|offset_117|444444,1915371:1915390|offset_148|00cc00&amp;v=1915068:1915590&amp;c=444444", "offset 148")</f>
        <v>offset 148</v>
      </c>
    </row>
    <row r="6827" customFormat="false" ht="12.8" hidden="false" customHeight="false" outlineLevel="0" collapsed="false">
      <c r="A6827" s="0" t="s">
        <v>12</v>
      </c>
      <c r="B6827" s="0" t="n">
        <v>1917977</v>
      </c>
      <c r="C6827" s="0" t="n">
        <v>1917997</v>
      </c>
      <c r="D6827" s="0" t="s">
        <v>22826</v>
      </c>
      <c r="E6827" s="0" t="s">
        <v>22827</v>
      </c>
      <c r="F6827" s="0" t="s">
        <v>15</v>
      </c>
      <c r="G6827" s="0" t="s">
        <v>32</v>
      </c>
      <c r="H6827" s="0" t="n">
        <v>8</v>
      </c>
      <c r="I6827" s="0" t="s">
        <v>22828</v>
      </c>
      <c r="J6827" s="0" t="s">
        <v>22829</v>
      </c>
      <c r="K6827" s="0" t="s">
        <v>22830</v>
      </c>
      <c r="L6827" s="0" t="str">
        <f aca="false">HYPERLINK("https://www.ncbi.nlm.nih.gov/nuccore/CP000304.1?report=graph&amp;tracks=[key:gene_model_track,Options:GeneOnly]&amp;mk=1917978:1917997|offset_8|00cc00,1918001:1918020|offset_31|444444,1918025:1918044|offset_55|444444,1918058:1918077|offset_88|444444&amp;v=1917777:1918277&amp;c=444444", "offset 8")</f>
        <v>offset 8</v>
      </c>
    </row>
    <row r="6828" customFormat="false" ht="12.8" hidden="false" customHeight="false" outlineLevel="0" collapsed="false">
      <c r="A6828" s="0" t="s">
        <v>12</v>
      </c>
      <c r="B6828" s="0" t="n">
        <v>1918000</v>
      </c>
      <c r="C6828" s="0" t="n">
        <v>1918020</v>
      </c>
      <c r="D6828" s="0" t="s">
        <v>22826</v>
      </c>
      <c r="E6828" s="0" t="s">
        <v>22827</v>
      </c>
      <c r="F6828" s="0" t="s">
        <v>15</v>
      </c>
      <c r="G6828" s="0" t="s">
        <v>16</v>
      </c>
      <c r="H6828" s="0" t="n">
        <v>31</v>
      </c>
      <c r="I6828" s="0" t="s">
        <v>22831</v>
      </c>
      <c r="J6828" s="0" t="s">
        <v>22832</v>
      </c>
      <c r="K6828" s="0" t="s">
        <v>22833</v>
      </c>
      <c r="L6828" s="0" t="str">
        <f aca="false">HYPERLINK("https://www.ncbi.nlm.nih.gov/nuccore/CP000304.1?report=graph&amp;tracks=[key:gene_model_track,Options:GeneOnly]&amp;mk=1917978:1917997|offset_8|444444,1918001:1918020|offset_31|00cc00,1918025:1918044|offset_55|444444,1918058:1918077|offset_88|444444&amp;v=1917777:1918277&amp;c=444444", "offset 31")</f>
        <v>offset 31</v>
      </c>
    </row>
    <row r="6829" customFormat="false" ht="12.8" hidden="false" customHeight="false" outlineLevel="0" collapsed="false">
      <c r="A6829" s="0" t="s">
        <v>12</v>
      </c>
      <c r="B6829" s="0" t="n">
        <v>1918024</v>
      </c>
      <c r="C6829" s="0" t="n">
        <v>1918044</v>
      </c>
      <c r="D6829" s="0" t="s">
        <v>22826</v>
      </c>
      <c r="E6829" s="0" t="s">
        <v>22827</v>
      </c>
      <c r="F6829" s="0" t="s">
        <v>15</v>
      </c>
      <c r="G6829" s="0" t="s">
        <v>32</v>
      </c>
      <c r="H6829" s="0" t="n">
        <v>55</v>
      </c>
      <c r="I6829" s="0" t="s">
        <v>22834</v>
      </c>
      <c r="J6829" s="0" t="s">
        <v>22835</v>
      </c>
      <c r="K6829" s="0" t="s">
        <v>22836</v>
      </c>
      <c r="L6829" s="0" t="str">
        <f aca="false">HYPERLINK("https://www.ncbi.nlm.nih.gov/nuccore/CP000304.1?report=graph&amp;tracks=[key:gene_model_track,Options:GeneOnly]&amp;mk=1917978:1917997|offset_8|444444,1918001:1918020|offset_31|444444,1918025:1918044|offset_55|00cc00,1918058:1918077|offset_88|444444&amp;v=1917777:1918277&amp;c=444444", "offset 55")</f>
        <v>offset 55</v>
      </c>
    </row>
    <row r="6830" customFormat="false" ht="12.8" hidden="false" customHeight="false" outlineLevel="0" collapsed="false">
      <c r="A6830" s="0" t="s">
        <v>12</v>
      </c>
      <c r="B6830" s="0" t="n">
        <v>1918057</v>
      </c>
      <c r="C6830" s="0" t="n">
        <v>1918077</v>
      </c>
      <c r="D6830" s="0" t="s">
        <v>22826</v>
      </c>
      <c r="E6830" s="0" t="s">
        <v>22827</v>
      </c>
      <c r="F6830" s="0" t="s">
        <v>15</v>
      </c>
      <c r="G6830" s="0" t="s">
        <v>36</v>
      </c>
      <c r="H6830" s="0" t="n">
        <v>88</v>
      </c>
      <c r="I6830" s="0" t="s">
        <v>22837</v>
      </c>
      <c r="J6830" s="0" t="s">
        <v>22838</v>
      </c>
      <c r="K6830" s="0" t="s">
        <v>22839</v>
      </c>
      <c r="L6830" s="0" t="str">
        <f aca="false">HYPERLINK("https://www.ncbi.nlm.nih.gov/nuccore/CP000304.1?report=graph&amp;tracks=[key:gene_model_track,Options:GeneOnly]&amp;mk=1917978:1917997|offset_8|444444,1918001:1918020|offset_31|444444,1918025:1918044|offset_55|444444,1918058:1918077|offset_88|00cc00&amp;v=1917777:1918277&amp;c=444444", "offset 88")</f>
        <v>offset 88</v>
      </c>
    </row>
    <row r="6831" customFormat="false" ht="12.8" hidden="false" customHeight="false" outlineLevel="0" collapsed="false">
      <c r="A6831" s="0" t="s">
        <v>12</v>
      </c>
      <c r="B6831" s="0" t="n">
        <v>1918912</v>
      </c>
      <c r="C6831" s="0" t="n">
        <v>1918932</v>
      </c>
      <c r="D6831" s="0" t="s">
        <v>22840</v>
      </c>
      <c r="E6831" s="0" t="s">
        <v>22841</v>
      </c>
      <c r="F6831" s="0" t="s">
        <v>15</v>
      </c>
      <c r="G6831" s="0" t="s">
        <v>26</v>
      </c>
      <c r="H6831" s="0" t="n">
        <v>0</v>
      </c>
      <c r="I6831" s="0" t="s">
        <v>22842</v>
      </c>
      <c r="J6831" s="0" t="s">
        <v>22843</v>
      </c>
      <c r="K6831" s="0" t="s">
        <v>22844</v>
      </c>
      <c r="L6831" s="0" t="str">
        <f aca="false">HYPERLINK("https://www.ncbi.nlm.nih.gov/nuccore/CP000304.1?report=graph&amp;tracks=[key:gene_model_track,Options:GeneOnly]&amp;mk=1918913:1918932|offset_0|00cc00,1918950:1918969|offset_37|444444,1918977:1918996|offset_64|444444,1919023:1919042|offset_110|444444&amp;v=1918712:1919242&amp;c=444444", "offset 0")</f>
        <v>offset 0</v>
      </c>
    </row>
    <row r="6832" customFormat="false" ht="12.8" hidden="false" customHeight="false" outlineLevel="0" collapsed="false">
      <c r="A6832" s="0" t="s">
        <v>12</v>
      </c>
      <c r="B6832" s="0" t="n">
        <v>1918949</v>
      </c>
      <c r="C6832" s="0" t="n">
        <v>1918969</v>
      </c>
      <c r="D6832" s="0" t="s">
        <v>22840</v>
      </c>
      <c r="E6832" s="0" t="s">
        <v>22841</v>
      </c>
      <c r="F6832" s="0" t="s">
        <v>15</v>
      </c>
      <c r="G6832" s="0" t="s">
        <v>36</v>
      </c>
      <c r="H6832" s="0" t="n">
        <v>37</v>
      </c>
      <c r="I6832" s="0" t="s">
        <v>22845</v>
      </c>
      <c r="J6832" s="0" t="s">
        <v>22846</v>
      </c>
      <c r="K6832" s="0" t="s">
        <v>22847</v>
      </c>
      <c r="L6832" s="0" t="str">
        <f aca="false">HYPERLINK("https://www.ncbi.nlm.nih.gov/nuccore/CP000304.1?report=graph&amp;tracks=[key:gene_model_track,Options:GeneOnly]&amp;mk=1918913:1918932|offset_0|444444,1918950:1918969|offset_37|00cc00,1918977:1918996|offset_64|444444,1919023:1919042|offset_110|444444&amp;v=1918712:1919242&amp;c=444444", "offset 37")</f>
        <v>offset 37</v>
      </c>
    </row>
    <row r="6833" customFormat="false" ht="12.8" hidden="false" customHeight="false" outlineLevel="0" collapsed="false">
      <c r="A6833" s="0" t="s">
        <v>12</v>
      </c>
      <c r="B6833" s="0" t="n">
        <v>1918976</v>
      </c>
      <c r="C6833" s="0" t="n">
        <v>1918996</v>
      </c>
      <c r="D6833" s="0" t="s">
        <v>22840</v>
      </c>
      <c r="E6833" s="0" t="s">
        <v>22841</v>
      </c>
      <c r="F6833" s="0" t="s">
        <v>15</v>
      </c>
      <c r="G6833" s="0" t="s">
        <v>32</v>
      </c>
      <c r="H6833" s="0" t="n">
        <v>64</v>
      </c>
      <c r="I6833" s="0" t="s">
        <v>22848</v>
      </c>
      <c r="J6833" s="0" t="s">
        <v>22849</v>
      </c>
      <c r="K6833" s="0" t="s">
        <v>22850</v>
      </c>
      <c r="L6833" s="0" t="str">
        <f aca="false">HYPERLINK("https://www.ncbi.nlm.nih.gov/nuccore/CP000304.1?report=graph&amp;tracks=[key:gene_model_track,Options:GeneOnly]&amp;mk=1918913:1918932|offset_0|444444,1918950:1918969|offset_37|444444,1918977:1918996|offset_64|00cc00,1919023:1919042|offset_110|444444&amp;v=1918712:1919242&amp;c=444444", "offset 64")</f>
        <v>offset 64</v>
      </c>
    </row>
    <row r="6834" customFormat="false" ht="12.8" hidden="false" customHeight="false" outlineLevel="0" collapsed="false">
      <c r="A6834" s="0" t="s">
        <v>12</v>
      </c>
      <c r="B6834" s="0" t="n">
        <v>1919022</v>
      </c>
      <c r="C6834" s="0" t="n">
        <v>1919042</v>
      </c>
      <c r="D6834" s="0" t="s">
        <v>22840</v>
      </c>
      <c r="E6834" s="0" t="s">
        <v>22841</v>
      </c>
      <c r="F6834" s="0" t="s">
        <v>15</v>
      </c>
      <c r="G6834" s="0" t="s">
        <v>36</v>
      </c>
      <c r="H6834" s="0" t="n">
        <v>110</v>
      </c>
      <c r="I6834" s="0" t="s">
        <v>22851</v>
      </c>
      <c r="J6834" s="0" t="s">
        <v>22852</v>
      </c>
      <c r="K6834" s="0" t="s">
        <v>22853</v>
      </c>
      <c r="L6834" s="0" t="str">
        <f aca="false">HYPERLINK("https://www.ncbi.nlm.nih.gov/nuccore/CP000304.1?report=graph&amp;tracks=[key:gene_model_track,Options:GeneOnly]&amp;mk=1918913:1918932|offset_0|444444,1918950:1918969|offset_37|444444,1918977:1918996|offset_64|444444,1919023:1919042|offset_110|00cc00&amp;v=1918712:1919242&amp;c=444444", "offset 110")</f>
        <v>offset 110</v>
      </c>
    </row>
    <row r="6835" customFormat="false" ht="12.8" hidden="false" customHeight="false" outlineLevel="0" collapsed="false">
      <c r="A6835" s="0" t="s">
        <v>12</v>
      </c>
      <c r="B6835" s="0" t="n">
        <v>1919783</v>
      </c>
      <c r="C6835" s="0" t="n">
        <v>1919803</v>
      </c>
      <c r="D6835" s="0" t="s">
        <v>22854</v>
      </c>
      <c r="E6835" s="0" t="s">
        <v>22855</v>
      </c>
      <c r="F6835" s="0" t="s">
        <v>15</v>
      </c>
      <c r="G6835" s="0" t="s">
        <v>36</v>
      </c>
      <c r="H6835" s="0" t="n">
        <v>32</v>
      </c>
      <c r="I6835" s="0" t="s">
        <v>22856</v>
      </c>
      <c r="J6835" s="0" t="s">
        <v>22857</v>
      </c>
      <c r="K6835" s="0" t="s">
        <v>22858</v>
      </c>
      <c r="L6835" s="0" t="str">
        <f aca="false">HYPERLINK("https://www.ncbi.nlm.nih.gov/nuccore/CP000304.1?report=graph&amp;tracks=[key:gene_model_track,Options:GeneOnly]&amp;mk=1919784:1919803|offset_32|00cc00,1919824:1919843|offset_72|444444,1919847:1919866|offset_95|444444,1919871:1919890|offset_119|444444&amp;v=1919583:1920090&amp;c=444444", "offset 32")</f>
        <v>offset 32</v>
      </c>
    </row>
    <row r="6836" customFormat="false" ht="12.8" hidden="false" customHeight="false" outlineLevel="0" collapsed="false">
      <c r="A6836" s="0" t="s">
        <v>12</v>
      </c>
      <c r="B6836" s="0" t="n">
        <v>1919823</v>
      </c>
      <c r="C6836" s="0" t="n">
        <v>1919843</v>
      </c>
      <c r="D6836" s="0" t="s">
        <v>22854</v>
      </c>
      <c r="E6836" s="0" t="s">
        <v>22855</v>
      </c>
      <c r="F6836" s="0" t="s">
        <v>15</v>
      </c>
      <c r="G6836" s="0" t="s">
        <v>36</v>
      </c>
      <c r="H6836" s="0" t="n">
        <v>72</v>
      </c>
      <c r="I6836" s="0" t="s">
        <v>22859</v>
      </c>
      <c r="J6836" s="0" t="s">
        <v>22860</v>
      </c>
      <c r="K6836" s="0" t="s">
        <v>22861</v>
      </c>
      <c r="L6836" s="0" t="str">
        <f aca="false">HYPERLINK("https://www.ncbi.nlm.nih.gov/nuccore/CP000304.1?report=graph&amp;tracks=[key:gene_model_track,Options:GeneOnly]&amp;mk=1919784:1919803|offset_32|444444,1919824:1919843|offset_72|00cc00,1919847:1919866|offset_95|444444,1919871:1919890|offset_119|444444&amp;v=1919583:1920090&amp;c=444444", "offset 72")</f>
        <v>offset 72</v>
      </c>
    </row>
    <row r="6837" customFormat="false" ht="12.8" hidden="false" customHeight="false" outlineLevel="0" collapsed="false">
      <c r="A6837" s="0" t="s">
        <v>12</v>
      </c>
      <c r="B6837" s="0" t="n">
        <v>1919846</v>
      </c>
      <c r="C6837" s="0" t="n">
        <v>1919866</v>
      </c>
      <c r="D6837" s="0" t="s">
        <v>22854</v>
      </c>
      <c r="E6837" s="0" t="s">
        <v>22855</v>
      </c>
      <c r="F6837" s="0" t="s">
        <v>15</v>
      </c>
      <c r="G6837" s="0" t="s">
        <v>36</v>
      </c>
      <c r="H6837" s="0" t="n">
        <v>95</v>
      </c>
      <c r="I6837" s="0" t="s">
        <v>22862</v>
      </c>
      <c r="J6837" s="0" t="s">
        <v>22863</v>
      </c>
      <c r="K6837" s="0" t="s">
        <v>22864</v>
      </c>
      <c r="L6837" s="0" t="str">
        <f aca="false">HYPERLINK("https://www.ncbi.nlm.nih.gov/nuccore/CP000304.1?report=graph&amp;tracks=[key:gene_model_track,Options:GeneOnly]&amp;mk=1919784:1919803|offset_32|444444,1919824:1919843|offset_72|444444,1919847:1919866|offset_95|00cc00,1919871:1919890|offset_119|444444&amp;v=1919583:1920090&amp;c=444444", "offset 95")</f>
        <v>offset 95</v>
      </c>
    </row>
    <row r="6838" customFormat="false" ht="12.8" hidden="false" customHeight="false" outlineLevel="0" collapsed="false">
      <c r="A6838" s="0" t="s">
        <v>12</v>
      </c>
      <c r="B6838" s="0" t="n">
        <v>1919870</v>
      </c>
      <c r="C6838" s="0" t="n">
        <v>1919890</v>
      </c>
      <c r="D6838" s="0" t="s">
        <v>22854</v>
      </c>
      <c r="E6838" s="0" t="s">
        <v>22855</v>
      </c>
      <c r="F6838" s="0" t="s">
        <v>15</v>
      </c>
      <c r="G6838" s="0" t="s">
        <v>16</v>
      </c>
      <c r="H6838" s="0" t="n">
        <v>119</v>
      </c>
      <c r="I6838" s="0" t="s">
        <v>22865</v>
      </c>
      <c r="J6838" s="0" t="s">
        <v>22866</v>
      </c>
      <c r="K6838" s="0" t="s">
        <v>22867</v>
      </c>
      <c r="L6838" s="0" t="str">
        <f aca="false">HYPERLINK("https://www.ncbi.nlm.nih.gov/nuccore/CP000304.1?report=graph&amp;tracks=[key:gene_model_track,Options:GeneOnly]&amp;mk=1919784:1919803|offset_32|444444,1919824:1919843|offset_72|444444,1919847:1919866|offset_95|444444,1919871:1919890|offset_119|00cc00&amp;v=1919583:1920090&amp;c=444444", "offset 119")</f>
        <v>offset 119</v>
      </c>
    </row>
    <row r="6839" customFormat="false" ht="12.8" hidden="false" customHeight="false" outlineLevel="0" collapsed="false">
      <c r="A6839" s="0" t="s">
        <v>12</v>
      </c>
      <c r="B6839" s="0" t="n">
        <v>1920741</v>
      </c>
      <c r="C6839" s="0" t="n">
        <v>1920761</v>
      </c>
      <c r="D6839" s="0" t="s">
        <v>22868</v>
      </c>
      <c r="E6839" s="0" t="s">
        <v>22869</v>
      </c>
      <c r="F6839" s="0" t="s">
        <v>15</v>
      </c>
      <c r="G6839" s="0" t="s">
        <v>32</v>
      </c>
      <c r="H6839" s="0" t="n">
        <v>10</v>
      </c>
      <c r="I6839" s="0" t="s">
        <v>22870</v>
      </c>
      <c r="J6839" s="0" t="s">
        <v>22871</v>
      </c>
      <c r="K6839" s="0" t="s">
        <v>22872</v>
      </c>
      <c r="L6839" s="0" t="str">
        <f aca="false">HYPERLINK("https://www.ncbi.nlm.nih.gov/nuccore/CP000304.1?report=graph&amp;tracks=[key:gene_model_track,Options:GeneOnly]&amp;mk=1920742:1920761|offset_10|00cc00,1920762:1920781|offset_30|444444,1920808:1920827|offset_76|444444,1920871:1920890|offset_139|444444&amp;v=1920541:1921090&amp;c=444444", "offset 10")</f>
        <v>offset 10</v>
      </c>
    </row>
    <row r="6840" customFormat="false" ht="12.8" hidden="false" customHeight="false" outlineLevel="0" collapsed="false">
      <c r="A6840" s="0" t="s">
        <v>12</v>
      </c>
      <c r="B6840" s="0" t="n">
        <v>1920761</v>
      </c>
      <c r="C6840" s="0" t="n">
        <v>1920781</v>
      </c>
      <c r="D6840" s="0" t="s">
        <v>22868</v>
      </c>
      <c r="E6840" s="0" t="s">
        <v>22869</v>
      </c>
      <c r="F6840" s="0" t="s">
        <v>15</v>
      </c>
      <c r="G6840" s="0" t="s">
        <v>16</v>
      </c>
      <c r="H6840" s="0" t="n">
        <v>30</v>
      </c>
      <c r="I6840" s="0" t="s">
        <v>22873</v>
      </c>
      <c r="J6840" s="0" t="s">
        <v>22874</v>
      </c>
      <c r="K6840" s="0" t="s">
        <v>22875</v>
      </c>
      <c r="L6840" s="0" t="str">
        <f aca="false">HYPERLINK("https://www.ncbi.nlm.nih.gov/nuccore/CP000304.1?report=graph&amp;tracks=[key:gene_model_track,Options:GeneOnly]&amp;mk=1920742:1920761|offset_10|444444,1920762:1920781|offset_30|00cc00,1920808:1920827|offset_76|444444,1920871:1920890|offset_139|444444&amp;v=1920541:1921090&amp;c=444444", "offset 30")</f>
        <v>offset 30</v>
      </c>
    </row>
    <row r="6841" customFormat="false" ht="12.8" hidden="false" customHeight="false" outlineLevel="0" collapsed="false">
      <c r="A6841" s="0" t="s">
        <v>12</v>
      </c>
      <c r="B6841" s="0" t="n">
        <v>1920807</v>
      </c>
      <c r="C6841" s="0" t="n">
        <v>1920827</v>
      </c>
      <c r="D6841" s="0" t="s">
        <v>22868</v>
      </c>
      <c r="E6841" s="0" t="s">
        <v>22869</v>
      </c>
      <c r="F6841" s="0" t="s">
        <v>15</v>
      </c>
      <c r="G6841" s="0" t="s">
        <v>32</v>
      </c>
      <c r="H6841" s="0" t="n">
        <v>76</v>
      </c>
      <c r="I6841" s="0" t="s">
        <v>22876</v>
      </c>
      <c r="J6841" s="0" t="s">
        <v>22877</v>
      </c>
      <c r="K6841" s="0" t="s">
        <v>22878</v>
      </c>
      <c r="L6841" s="0" t="str">
        <f aca="false">HYPERLINK("https://www.ncbi.nlm.nih.gov/nuccore/CP000304.1?report=graph&amp;tracks=[key:gene_model_track,Options:GeneOnly]&amp;mk=1920742:1920761|offset_10|444444,1920762:1920781|offset_30|444444,1920808:1920827|offset_76|00cc00,1920871:1920890|offset_139|444444&amp;v=1920541:1921090&amp;c=444444", "offset 76")</f>
        <v>offset 76</v>
      </c>
    </row>
    <row r="6842" customFormat="false" ht="12.8" hidden="false" customHeight="false" outlineLevel="0" collapsed="false">
      <c r="A6842" s="0" t="s">
        <v>12</v>
      </c>
      <c r="B6842" s="0" t="n">
        <v>1920870</v>
      </c>
      <c r="C6842" s="0" t="n">
        <v>1920890</v>
      </c>
      <c r="D6842" s="0" t="s">
        <v>22868</v>
      </c>
      <c r="E6842" s="0" t="s">
        <v>22869</v>
      </c>
      <c r="F6842" s="0" t="s">
        <v>15</v>
      </c>
      <c r="G6842" s="0" t="s">
        <v>36</v>
      </c>
      <c r="H6842" s="0" t="n">
        <v>139</v>
      </c>
      <c r="I6842" s="0" t="s">
        <v>22879</v>
      </c>
      <c r="J6842" s="0" t="s">
        <v>22880</v>
      </c>
      <c r="K6842" s="0" t="s">
        <v>22881</v>
      </c>
      <c r="L6842" s="0" t="str">
        <f aca="false">HYPERLINK("https://www.ncbi.nlm.nih.gov/nuccore/CP000304.1?report=graph&amp;tracks=[key:gene_model_track,Options:GeneOnly]&amp;mk=1920742:1920761|offset_10|444444,1920762:1920781|offset_30|444444,1920808:1920827|offset_76|444444,1920871:1920890|offset_139|00cc00&amp;v=1920541:1921090&amp;c=444444", "offset 139")</f>
        <v>offset 139</v>
      </c>
    </row>
    <row r="6843" customFormat="false" ht="12.8" hidden="false" customHeight="false" outlineLevel="0" collapsed="false">
      <c r="A6843" s="0" t="s">
        <v>12</v>
      </c>
      <c r="B6843" s="0" t="n">
        <v>1922010</v>
      </c>
      <c r="C6843" s="0" t="n">
        <v>1922030</v>
      </c>
      <c r="D6843" s="0" t="s">
        <v>22882</v>
      </c>
      <c r="E6843" s="0" t="s">
        <v>89</v>
      </c>
      <c r="F6843" s="0" t="s">
        <v>15</v>
      </c>
      <c r="G6843" s="0" t="s">
        <v>16</v>
      </c>
      <c r="H6843" s="0" t="n">
        <v>81</v>
      </c>
      <c r="I6843" s="0" t="s">
        <v>22883</v>
      </c>
      <c r="J6843" s="0" t="s">
        <v>22884</v>
      </c>
      <c r="K6843" s="0" t="s">
        <v>22885</v>
      </c>
      <c r="L6843" s="0" t="str">
        <f aca="false">HYPERLINK("https://www.ncbi.nlm.nih.gov/nuccore/CP000304.1?report=graph&amp;tracks=[key:gene_model_track,Options:GeneOnly]&amp;mk=1922011:1922030|offset_81|00cc00,1922037:1922056|offset_107|444444,1922062:1922081|offset_132|444444,1922119:1922138|offset_189|444444&amp;v=1921810:1922338&amp;c=444444", "offset 81")</f>
        <v>offset 81</v>
      </c>
    </row>
    <row r="6844" customFormat="false" ht="12.8" hidden="false" customHeight="false" outlineLevel="0" collapsed="false">
      <c r="A6844" s="0" t="s">
        <v>12</v>
      </c>
      <c r="B6844" s="0" t="n">
        <v>1922036</v>
      </c>
      <c r="C6844" s="0" t="n">
        <v>1922056</v>
      </c>
      <c r="D6844" s="0" t="s">
        <v>22882</v>
      </c>
      <c r="E6844" s="0" t="s">
        <v>89</v>
      </c>
      <c r="F6844" s="0" t="s">
        <v>15</v>
      </c>
      <c r="G6844" s="0" t="s">
        <v>26</v>
      </c>
      <c r="H6844" s="0" t="n">
        <v>107</v>
      </c>
      <c r="I6844" s="0" t="s">
        <v>22886</v>
      </c>
      <c r="J6844" s="0" t="s">
        <v>22887</v>
      </c>
      <c r="K6844" s="0" t="s">
        <v>22888</v>
      </c>
      <c r="L6844" s="0" t="str">
        <f aca="false">HYPERLINK("https://www.ncbi.nlm.nih.gov/nuccore/CP000304.1?report=graph&amp;tracks=[key:gene_model_track,Options:GeneOnly]&amp;mk=1922011:1922030|offset_81|444444,1922037:1922056|offset_107|00cc00,1922062:1922081|offset_132|444444,1922119:1922138|offset_189|444444&amp;v=1921810:1922338&amp;c=444444", "offset 107")</f>
        <v>offset 107</v>
      </c>
    </row>
    <row r="6845" customFormat="false" ht="12.8" hidden="false" customHeight="false" outlineLevel="0" collapsed="false">
      <c r="A6845" s="0" t="s">
        <v>12</v>
      </c>
      <c r="B6845" s="0" t="n">
        <v>1922061</v>
      </c>
      <c r="C6845" s="0" t="n">
        <v>1922081</v>
      </c>
      <c r="D6845" s="0" t="s">
        <v>22882</v>
      </c>
      <c r="E6845" s="0" t="s">
        <v>89</v>
      </c>
      <c r="F6845" s="0" t="s">
        <v>15</v>
      </c>
      <c r="G6845" s="0" t="s">
        <v>36</v>
      </c>
      <c r="H6845" s="0" t="n">
        <v>132</v>
      </c>
      <c r="I6845" s="0" t="s">
        <v>22889</v>
      </c>
      <c r="J6845" s="0" t="s">
        <v>22890</v>
      </c>
      <c r="K6845" s="0" t="s">
        <v>22891</v>
      </c>
      <c r="L6845" s="0" t="str">
        <f aca="false">HYPERLINK("https://www.ncbi.nlm.nih.gov/nuccore/CP000304.1?report=graph&amp;tracks=[key:gene_model_track,Options:GeneOnly]&amp;mk=1922011:1922030|offset_81|444444,1922037:1922056|offset_107|444444,1922062:1922081|offset_132|00cc00,1922119:1922138|offset_189|444444&amp;v=1921810:1922338&amp;c=444444", "offset 132")</f>
        <v>offset 132</v>
      </c>
    </row>
    <row r="6846" customFormat="false" ht="12.8" hidden="false" customHeight="false" outlineLevel="0" collapsed="false">
      <c r="A6846" s="0" t="s">
        <v>12</v>
      </c>
      <c r="B6846" s="0" t="n">
        <v>1922118</v>
      </c>
      <c r="C6846" s="0" t="n">
        <v>1922138</v>
      </c>
      <c r="D6846" s="0" t="s">
        <v>22882</v>
      </c>
      <c r="E6846" s="0" t="s">
        <v>89</v>
      </c>
      <c r="F6846" s="0" t="s">
        <v>15</v>
      </c>
      <c r="G6846" s="0" t="s">
        <v>16</v>
      </c>
      <c r="H6846" s="0" t="n">
        <v>189</v>
      </c>
      <c r="I6846" s="0" t="s">
        <v>22892</v>
      </c>
      <c r="J6846" s="0" t="s">
        <v>22893</v>
      </c>
      <c r="K6846" s="0" t="s">
        <v>22894</v>
      </c>
      <c r="L6846" s="0" t="str">
        <f aca="false">HYPERLINK("https://www.ncbi.nlm.nih.gov/nuccore/CP000304.1?report=graph&amp;tracks=[key:gene_model_track,Options:GeneOnly]&amp;mk=1922011:1922030|offset_81|444444,1922037:1922056|offset_107|444444,1922062:1922081|offset_132|444444,1922119:1922138|offset_189|00cc00&amp;v=1921810:1922338&amp;c=444444", "offset 189")</f>
        <v>offset 189</v>
      </c>
    </row>
    <row r="6847" customFormat="false" ht="12.8" hidden="false" customHeight="false" outlineLevel="0" collapsed="false">
      <c r="A6847" s="0" t="s">
        <v>12</v>
      </c>
      <c r="B6847" s="0" t="n">
        <v>1922604</v>
      </c>
      <c r="C6847" s="0" t="n">
        <v>1922624</v>
      </c>
      <c r="D6847" s="0" t="s">
        <v>22895</v>
      </c>
      <c r="E6847" s="0" t="s">
        <v>89</v>
      </c>
      <c r="F6847" s="0" t="s">
        <v>15</v>
      </c>
      <c r="G6847" s="0" t="s">
        <v>26</v>
      </c>
      <c r="H6847" s="0" t="n">
        <v>7</v>
      </c>
      <c r="I6847" s="0" t="s">
        <v>22896</v>
      </c>
      <c r="J6847" s="0" t="s">
        <v>22897</v>
      </c>
      <c r="K6847" s="0" t="s">
        <v>22898</v>
      </c>
      <c r="L6847" s="0" t="str">
        <f aca="false">HYPERLINK("https://www.ncbi.nlm.nih.gov/nuccore/CP000304.1?report=graph&amp;tracks=[key:gene_model_track,Options:GeneOnly]&amp;mk=1922605:1922624|offset_7|00cc00,1922633:1922652|offset_35|444444,1922663:1922682|offset_65|444444,1922689:1922708|offset_91|444444&amp;v=1922404:1922908&amp;c=444444", "offset 7")</f>
        <v>offset 7</v>
      </c>
    </row>
    <row r="6848" customFormat="false" ht="12.8" hidden="false" customHeight="false" outlineLevel="0" collapsed="false">
      <c r="A6848" s="0" t="s">
        <v>12</v>
      </c>
      <c r="B6848" s="0" t="n">
        <v>1922632</v>
      </c>
      <c r="C6848" s="0" t="n">
        <v>1922652</v>
      </c>
      <c r="D6848" s="0" t="s">
        <v>22895</v>
      </c>
      <c r="E6848" s="0" t="s">
        <v>89</v>
      </c>
      <c r="F6848" s="0" t="s">
        <v>15</v>
      </c>
      <c r="G6848" s="0" t="s">
        <v>36</v>
      </c>
      <c r="H6848" s="0" t="n">
        <v>35</v>
      </c>
      <c r="I6848" s="0" t="s">
        <v>22899</v>
      </c>
      <c r="J6848" s="0" t="s">
        <v>22900</v>
      </c>
      <c r="K6848" s="0" t="s">
        <v>22901</v>
      </c>
      <c r="L6848" s="0" t="str">
        <f aca="false">HYPERLINK("https://www.ncbi.nlm.nih.gov/nuccore/CP000304.1?report=graph&amp;tracks=[key:gene_model_track,Options:GeneOnly]&amp;mk=1922605:1922624|offset_7|444444,1922633:1922652|offset_35|00cc00,1922663:1922682|offset_65|444444,1922689:1922708|offset_91|444444&amp;v=1922404:1922908&amp;c=444444", "offset 35")</f>
        <v>offset 35</v>
      </c>
    </row>
    <row r="6849" customFormat="false" ht="12.8" hidden="false" customHeight="false" outlineLevel="0" collapsed="false">
      <c r="A6849" s="0" t="s">
        <v>12</v>
      </c>
      <c r="B6849" s="0" t="n">
        <v>1922662</v>
      </c>
      <c r="C6849" s="0" t="n">
        <v>1922682</v>
      </c>
      <c r="D6849" s="0" t="s">
        <v>22895</v>
      </c>
      <c r="E6849" s="0" t="s">
        <v>89</v>
      </c>
      <c r="F6849" s="0" t="s">
        <v>15</v>
      </c>
      <c r="G6849" s="0" t="s">
        <v>16</v>
      </c>
      <c r="H6849" s="0" t="n">
        <v>65</v>
      </c>
      <c r="I6849" s="0" t="s">
        <v>22902</v>
      </c>
      <c r="J6849" s="0" t="s">
        <v>22903</v>
      </c>
      <c r="K6849" s="0" t="s">
        <v>22904</v>
      </c>
      <c r="L6849" s="0" t="str">
        <f aca="false">HYPERLINK("https://www.ncbi.nlm.nih.gov/nuccore/CP000304.1?report=graph&amp;tracks=[key:gene_model_track,Options:GeneOnly]&amp;mk=1922605:1922624|offset_7|444444,1922633:1922652|offset_35|444444,1922663:1922682|offset_65|00cc00,1922689:1922708|offset_91|444444&amp;v=1922404:1922908&amp;c=444444", "offset 65")</f>
        <v>offset 65</v>
      </c>
    </row>
    <row r="6850" customFormat="false" ht="12.8" hidden="false" customHeight="false" outlineLevel="0" collapsed="false">
      <c r="A6850" s="0" t="s">
        <v>12</v>
      </c>
      <c r="B6850" s="0" t="n">
        <v>1922688</v>
      </c>
      <c r="C6850" s="0" t="n">
        <v>1922708</v>
      </c>
      <c r="D6850" s="0" t="s">
        <v>22895</v>
      </c>
      <c r="E6850" s="0" t="s">
        <v>89</v>
      </c>
      <c r="F6850" s="0" t="s">
        <v>15</v>
      </c>
      <c r="G6850" s="0" t="s">
        <v>16</v>
      </c>
      <c r="H6850" s="0" t="n">
        <v>91</v>
      </c>
      <c r="I6850" s="0" t="s">
        <v>22905</v>
      </c>
      <c r="J6850" s="0" t="s">
        <v>22906</v>
      </c>
      <c r="K6850" s="0" t="s">
        <v>22907</v>
      </c>
      <c r="L6850" s="0" t="str">
        <f aca="false">HYPERLINK("https://www.ncbi.nlm.nih.gov/nuccore/CP000304.1?report=graph&amp;tracks=[key:gene_model_track,Options:GeneOnly]&amp;mk=1922605:1922624|offset_7|444444,1922633:1922652|offset_35|444444,1922663:1922682|offset_65|444444,1922689:1922708|offset_91|00cc00&amp;v=1922404:1922908&amp;c=444444", "offset 91")</f>
        <v>offset 91</v>
      </c>
    </row>
    <row r="6851" customFormat="false" ht="12.8" hidden="false" customHeight="false" outlineLevel="0" collapsed="false">
      <c r="A6851" s="0" t="s">
        <v>12</v>
      </c>
      <c r="B6851" s="0" t="n">
        <v>1923338</v>
      </c>
      <c r="C6851" s="0" t="n">
        <v>1923358</v>
      </c>
      <c r="D6851" s="0" t="s">
        <v>22908</v>
      </c>
      <c r="E6851" s="0" t="s">
        <v>22909</v>
      </c>
      <c r="F6851" s="0" t="s">
        <v>15</v>
      </c>
      <c r="G6851" s="0" t="s">
        <v>16</v>
      </c>
      <c r="H6851" s="0" t="n">
        <v>67</v>
      </c>
      <c r="I6851" s="0" t="s">
        <v>22910</v>
      </c>
      <c r="J6851" s="0" t="s">
        <v>22911</v>
      </c>
      <c r="K6851" s="0" t="s">
        <v>22912</v>
      </c>
      <c r="L6851" s="0" t="str">
        <f aca="false">HYPERLINK("https://www.ncbi.nlm.nih.gov/nuccore/CP000304.1?report=graph&amp;tracks=[key:gene_model_track,Options:GeneOnly]&amp;mk=1923339:1923358|offset_67|00cc00,1923369:1923388|offset_97|444444,1923421:1923440|offset_149|444444,1923460:1923479|offset_188|444444&amp;v=1923138:1923679&amp;c=444444", "offset 67")</f>
        <v>offset 67</v>
      </c>
    </row>
    <row r="6852" customFormat="false" ht="12.8" hidden="false" customHeight="false" outlineLevel="0" collapsed="false">
      <c r="A6852" s="0" t="s">
        <v>12</v>
      </c>
      <c r="B6852" s="0" t="n">
        <v>1923368</v>
      </c>
      <c r="C6852" s="0" t="n">
        <v>1923388</v>
      </c>
      <c r="D6852" s="0" t="s">
        <v>22908</v>
      </c>
      <c r="E6852" s="0" t="s">
        <v>22909</v>
      </c>
      <c r="F6852" s="0" t="s">
        <v>15</v>
      </c>
      <c r="G6852" s="0" t="s">
        <v>16</v>
      </c>
      <c r="H6852" s="0" t="n">
        <v>97</v>
      </c>
      <c r="I6852" s="0" t="s">
        <v>22913</v>
      </c>
      <c r="J6852" s="0" t="s">
        <v>22914</v>
      </c>
      <c r="K6852" s="0" t="s">
        <v>22915</v>
      </c>
      <c r="L6852" s="0" t="str">
        <f aca="false">HYPERLINK("https://www.ncbi.nlm.nih.gov/nuccore/CP000304.1?report=graph&amp;tracks=[key:gene_model_track,Options:GeneOnly]&amp;mk=1923339:1923358|offset_67|444444,1923369:1923388|offset_97|00cc00,1923421:1923440|offset_149|444444,1923460:1923479|offset_188|444444&amp;v=1923138:1923679&amp;c=444444", "offset 97")</f>
        <v>offset 97</v>
      </c>
    </row>
    <row r="6853" customFormat="false" ht="12.8" hidden="false" customHeight="false" outlineLevel="0" collapsed="false">
      <c r="A6853" s="0" t="s">
        <v>12</v>
      </c>
      <c r="B6853" s="0" t="n">
        <v>1923420</v>
      </c>
      <c r="C6853" s="0" t="n">
        <v>1923440</v>
      </c>
      <c r="D6853" s="0" t="s">
        <v>22908</v>
      </c>
      <c r="E6853" s="0" t="s">
        <v>22909</v>
      </c>
      <c r="F6853" s="0" t="s">
        <v>15</v>
      </c>
      <c r="G6853" s="0" t="s">
        <v>26</v>
      </c>
      <c r="H6853" s="0" t="n">
        <v>149</v>
      </c>
      <c r="I6853" s="0" t="s">
        <v>22916</v>
      </c>
      <c r="J6853" s="0" t="s">
        <v>22917</v>
      </c>
      <c r="K6853" s="0" t="s">
        <v>22918</v>
      </c>
      <c r="L6853" s="0" t="str">
        <f aca="false">HYPERLINK("https://www.ncbi.nlm.nih.gov/nuccore/CP000304.1?report=graph&amp;tracks=[key:gene_model_track,Options:GeneOnly]&amp;mk=1923339:1923358|offset_67|444444,1923369:1923388|offset_97|444444,1923421:1923440|offset_149|00cc00,1923460:1923479|offset_188|444444&amp;v=1923138:1923679&amp;c=444444", "offset 149")</f>
        <v>offset 149</v>
      </c>
    </row>
    <row r="6854" customFormat="false" ht="12.8" hidden="false" customHeight="false" outlineLevel="0" collapsed="false">
      <c r="A6854" s="0" t="s">
        <v>12</v>
      </c>
      <c r="B6854" s="0" t="n">
        <v>1923459</v>
      </c>
      <c r="C6854" s="0" t="n">
        <v>1923479</v>
      </c>
      <c r="D6854" s="0" t="s">
        <v>22908</v>
      </c>
      <c r="E6854" s="0" t="s">
        <v>22909</v>
      </c>
      <c r="F6854" s="0" t="s">
        <v>15</v>
      </c>
      <c r="G6854" s="0" t="s">
        <v>26</v>
      </c>
      <c r="H6854" s="0" t="n">
        <v>188</v>
      </c>
      <c r="I6854" s="0" t="s">
        <v>22919</v>
      </c>
      <c r="J6854" s="0" t="s">
        <v>22920</v>
      </c>
      <c r="K6854" s="0" t="s">
        <v>22921</v>
      </c>
      <c r="L6854" s="0" t="str">
        <f aca="false">HYPERLINK("https://www.ncbi.nlm.nih.gov/nuccore/CP000304.1?report=graph&amp;tracks=[key:gene_model_track,Options:GeneOnly]&amp;mk=1923339:1923358|offset_67|444444,1923369:1923388|offset_97|444444,1923421:1923440|offset_149|444444,1923460:1923479|offset_188|00cc00&amp;v=1923138:1923679&amp;c=444444", "offset 188")</f>
        <v>offset 188</v>
      </c>
    </row>
    <row r="6855" customFormat="false" ht="12.8" hidden="false" customHeight="false" outlineLevel="0" collapsed="false">
      <c r="A6855" s="0" t="s">
        <v>12</v>
      </c>
      <c r="B6855" s="0" t="n">
        <v>1924825</v>
      </c>
      <c r="C6855" s="0" t="n">
        <v>1924845</v>
      </c>
      <c r="D6855" s="0" t="s">
        <v>22922</v>
      </c>
      <c r="E6855" s="0" t="s">
        <v>22923</v>
      </c>
      <c r="F6855" s="0" t="s">
        <v>15</v>
      </c>
      <c r="G6855" s="0" t="s">
        <v>32</v>
      </c>
      <c r="H6855" s="0" t="n">
        <v>7</v>
      </c>
      <c r="I6855" s="0" t="s">
        <v>22924</v>
      </c>
      <c r="J6855" s="0" t="s">
        <v>22925</v>
      </c>
      <c r="K6855" s="0" t="s">
        <v>22926</v>
      </c>
      <c r="L6855" s="0" t="str">
        <f aca="false">HYPERLINK("https://www.ncbi.nlm.nih.gov/nuccore/CP000304.1?report=graph&amp;tracks=[key:gene_model_track,Options:GeneOnly]&amp;mk=1924826:1924845|offset_7|00cc00,1924883:1924902|offset_64|444444,1924908:1924927|offset_89|444444,1924936:1924955|offset_117|444444&amp;v=1924625:1925155&amp;c=444444", "offset 7")</f>
        <v>offset 7</v>
      </c>
    </row>
    <row r="6856" customFormat="false" ht="12.8" hidden="false" customHeight="false" outlineLevel="0" collapsed="false">
      <c r="A6856" s="0" t="s">
        <v>12</v>
      </c>
      <c r="B6856" s="0" t="n">
        <v>1924882</v>
      </c>
      <c r="C6856" s="0" t="n">
        <v>1924902</v>
      </c>
      <c r="D6856" s="0" t="s">
        <v>22922</v>
      </c>
      <c r="E6856" s="0" t="s">
        <v>22923</v>
      </c>
      <c r="F6856" s="0" t="s">
        <v>15</v>
      </c>
      <c r="G6856" s="0" t="s">
        <v>36</v>
      </c>
      <c r="H6856" s="0" t="n">
        <v>64</v>
      </c>
      <c r="I6856" s="0" t="s">
        <v>22927</v>
      </c>
      <c r="J6856" s="0" t="s">
        <v>22928</v>
      </c>
      <c r="K6856" s="0" t="s">
        <v>22929</v>
      </c>
      <c r="L6856" s="0" t="str">
        <f aca="false">HYPERLINK("https://www.ncbi.nlm.nih.gov/nuccore/CP000304.1?report=graph&amp;tracks=[key:gene_model_track,Options:GeneOnly]&amp;mk=1924826:1924845|offset_7|444444,1924883:1924902|offset_64|00cc00,1924908:1924927|offset_89|444444,1924936:1924955|offset_117|444444&amp;v=1924625:1925155&amp;c=444444", "offset 64")</f>
        <v>offset 64</v>
      </c>
    </row>
    <row r="6857" customFormat="false" ht="12.8" hidden="false" customHeight="false" outlineLevel="0" collapsed="false">
      <c r="A6857" s="0" t="s">
        <v>12</v>
      </c>
      <c r="B6857" s="0" t="n">
        <v>1924907</v>
      </c>
      <c r="C6857" s="0" t="n">
        <v>1924927</v>
      </c>
      <c r="D6857" s="0" t="s">
        <v>22922</v>
      </c>
      <c r="E6857" s="0" t="s">
        <v>22923</v>
      </c>
      <c r="F6857" s="0" t="s">
        <v>15</v>
      </c>
      <c r="G6857" s="0" t="s">
        <v>16</v>
      </c>
      <c r="H6857" s="0" t="n">
        <v>89</v>
      </c>
      <c r="I6857" s="0" t="s">
        <v>22930</v>
      </c>
      <c r="J6857" s="0" t="s">
        <v>22931</v>
      </c>
      <c r="K6857" s="0" t="s">
        <v>22932</v>
      </c>
      <c r="L6857" s="0" t="str">
        <f aca="false">HYPERLINK("https://www.ncbi.nlm.nih.gov/nuccore/CP000304.1?report=graph&amp;tracks=[key:gene_model_track,Options:GeneOnly]&amp;mk=1924826:1924845|offset_7|444444,1924883:1924902|offset_64|444444,1924908:1924927|offset_89|00cc00,1924936:1924955|offset_117|444444&amp;v=1924625:1925155&amp;c=444444", "offset 89")</f>
        <v>offset 89</v>
      </c>
    </row>
    <row r="6858" customFormat="false" ht="12.8" hidden="false" customHeight="false" outlineLevel="0" collapsed="false">
      <c r="A6858" s="0" t="s">
        <v>12</v>
      </c>
      <c r="B6858" s="0" t="n">
        <v>1924935</v>
      </c>
      <c r="C6858" s="0" t="n">
        <v>1924955</v>
      </c>
      <c r="D6858" s="0" t="s">
        <v>22922</v>
      </c>
      <c r="E6858" s="0" t="s">
        <v>22923</v>
      </c>
      <c r="F6858" s="0" t="s">
        <v>15</v>
      </c>
      <c r="G6858" s="0" t="s">
        <v>16</v>
      </c>
      <c r="H6858" s="0" t="n">
        <v>117</v>
      </c>
      <c r="I6858" s="0" t="s">
        <v>22933</v>
      </c>
      <c r="J6858" s="0" t="s">
        <v>22934</v>
      </c>
      <c r="K6858" s="0" t="s">
        <v>22935</v>
      </c>
      <c r="L6858" s="0" t="str">
        <f aca="false">HYPERLINK("https://www.ncbi.nlm.nih.gov/nuccore/CP000304.1?report=graph&amp;tracks=[key:gene_model_track,Options:GeneOnly]&amp;mk=1924826:1924845|offset_7|444444,1924883:1924902|offset_64|444444,1924908:1924927|offset_89|444444,1924936:1924955|offset_117|00cc00&amp;v=1924625:1925155&amp;c=444444", "offset 117")</f>
        <v>offset 117</v>
      </c>
    </row>
    <row r="6859" customFormat="false" ht="12.8" hidden="false" customHeight="false" outlineLevel="0" collapsed="false">
      <c r="A6859" s="0" t="s">
        <v>12</v>
      </c>
      <c r="B6859" s="0" t="n">
        <v>1928034</v>
      </c>
      <c r="C6859" s="0" t="n">
        <v>1928054</v>
      </c>
      <c r="D6859" s="0" t="s">
        <v>22936</v>
      </c>
      <c r="E6859" s="0" t="s">
        <v>22937</v>
      </c>
      <c r="F6859" s="0" t="s">
        <v>90</v>
      </c>
      <c r="G6859" s="0" t="s">
        <v>16</v>
      </c>
      <c r="H6859" s="0" t="n">
        <v>0</v>
      </c>
      <c r="I6859" s="0" t="s">
        <v>22938</v>
      </c>
      <c r="J6859" s="0" t="s">
        <v>22939</v>
      </c>
      <c r="K6859" s="0" t="s">
        <v>22940</v>
      </c>
      <c r="L6859" s="0" t="str">
        <f aca="false">HYPERLINK("https://www.ncbi.nlm.nih.gov/nuccore/CP000304.1?report=graph&amp;tracks=[key:gene_model_track,Options:GeneOnly]&amp;mk=1928035:1928054|offset_0|00cc00,1928012:1928031|offset_23|444444,1927992:1928011|offset_43|444444,1927972:1927991|offset_63|444444&amp;v=1927834:1928191&amp;c=444444", "offset 0")</f>
        <v>offset 0</v>
      </c>
    </row>
    <row r="6860" customFormat="false" ht="12.8" hidden="false" customHeight="false" outlineLevel="0" collapsed="false">
      <c r="A6860" s="0" t="s">
        <v>12</v>
      </c>
      <c r="B6860" s="0" t="n">
        <v>1928011</v>
      </c>
      <c r="C6860" s="0" t="n">
        <v>1928031</v>
      </c>
      <c r="D6860" s="0" t="s">
        <v>22936</v>
      </c>
      <c r="E6860" s="0" t="s">
        <v>22937</v>
      </c>
      <c r="F6860" s="0" t="s">
        <v>90</v>
      </c>
      <c r="G6860" s="0" t="s">
        <v>36</v>
      </c>
      <c r="H6860" s="0" t="n">
        <v>23</v>
      </c>
      <c r="I6860" s="0" t="s">
        <v>22941</v>
      </c>
      <c r="J6860" s="0" t="s">
        <v>22942</v>
      </c>
      <c r="K6860" s="0" t="s">
        <v>22943</v>
      </c>
      <c r="L6860" s="0" t="str">
        <f aca="false">HYPERLINK("https://www.ncbi.nlm.nih.gov/nuccore/CP000304.1?report=graph&amp;tracks=[key:gene_model_track,Options:GeneOnly]&amp;mk=1928035:1928054|offset_0|444444,1928012:1928031|offset_23|00cc00,1927992:1928011|offset_43|444444,1927972:1927991|offset_63|444444&amp;v=1927834:1928191&amp;c=444444", "offset 23")</f>
        <v>offset 23</v>
      </c>
    </row>
    <row r="6861" customFormat="false" ht="12.8" hidden="false" customHeight="false" outlineLevel="0" collapsed="false">
      <c r="A6861" s="0" t="s">
        <v>12</v>
      </c>
      <c r="B6861" s="0" t="n">
        <v>1927991</v>
      </c>
      <c r="C6861" s="0" t="n">
        <v>1928011</v>
      </c>
      <c r="D6861" s="0" t="s">
        <v>22936</v>
      </c>
      <c r="E6861" s="0" t="s">
        <v>22937</v>
      </c>
      <c r="F6861" s="0" t="s">
        <v>90</v>
      </c>
      <c r="G6861" s="0" t="s">
        <v>32</v>
      </c>
      <c r="H6861" s="0" t="n">
        <v>43</v>
      </c>
      <c r="I6861" s="0" t="s">
        <v>22944</v>
      </c>
      <c r="J6861" s="0" t="s">
        <v>22945</v>
      </c>
      <c r="K6861" s="0" t="s">
        <v>22946</v>
      </c>
      <c r="L6861" s="0" t="str">
        <f aca="false">HYPERLINK("https://www.ncbi.nlm.nih.gov/nuccore/CP000304.1?report=graph&amp;tracks=[key:gene_model_track,Options:GeneOnly]&amp;mk=1928035:1928054|offset_0|444444,1928012:1928031|offset_23|444444,1927992:1928011|offset_43|00cc00,1927972:1927991|offset_63|444444&amp;v=1927834:1928191&amp;c=444444", "offset 43")</f>
        <v>offset 43</v>
      </c>
    </row>
    <row r="6862" customFormat="false" ht="12.8" hidden="false" customHeight="false" outlineLevel="0" collapsed="false">
      <c r="A6862" s="0" t="s">
        <v>12</v>
      </c>
      <c r="B6862" s="0" t="n">
        <v>1927971</v>
      </c>
      <c r="C6862" s="0" t="n">
        <v>1927991</v>
      </c>
      <c r="D6862" s="0" t="s">
        <v>22936</v>
      </c>
      <c r="E6862" s="0" t="s">
        <v>22937</v>
      </c>
      <c r="F6862" s="0" t="s">
        <v>90</v>
      </c>
      <c r="G6862" s="0" t="s">
        <v>36</v>
      </c>
      <c r="H6862" s="0" t="n">
        <v>63</v>
      </c>
      <c r="I6862" s="0" t="s">
        <v>22947</v>
      </c>
      <c r="J6862" s="0" t="s">
        <v>22948</v>
      </c>
      <c r="K6862" s="0" t="s">
        <v>22949</v>
      </c>
      <c r="L6862" s="0" t="str">
        <f aca="false">HYPERLINK("https://www.ncbi.nlm.nih.gov/nuccore/CP000304.1?report=graph&amp;tracks=[key:gene_model_track,Options:GeneOnly]&amp;mk=1928035:1928054|offset_0|444444,1928012:1928031|offset_23|444444,1927992:1928011|offset_43|444444,1927972:1927991|offset_63|00cc00&amp;v=1927834:1928191&amp;c=444444", "offset 63")</f>
        <v>offset 63</v>
      </c>
    </row>
    <row r="6863" customFormat="false" ht="12.8" hidden="false" customHeight="false" outlineLevel="0" collapsed="false">
      <c r="A6863" s="0" t="s">
        <v>12</v>
      </c>
      <c r="B6863" s="0" t="n">
        <v>1928676</v>
      </c>
      <c r="C6863" s="0" t="n">
        <v>1928696</v>
      </c>
      <c r="D6863" s="0" t="s">
        <v>22950</v>
      </c>
      <c r="E6863" s="0" t="s">
        <v>22951</v>
      </c>
      <c r="F6863" s="0" t="s">
        <v>90</v>
      </c>
      <c r="G6863" s="0" t="s">
        <v>32</v>
      </c>
      <c r="H6863" s="0" t="n">
        <v>6</v>
      </c>
      <c r="I6863" s="0" t="s">
        <v>22952</v>
      </c>
      <c r="J6863" s="0" t="s">
        <v>22953</v>
      </c>
      <c r="K6863" s="0" t="s">
        <v>22954</v>
      </c>
      <c r="L6863" s="0" t="str">
        <f aca="false">HYPERLINK("https://www.ncbi.nlm.nih.gov/nuccore/CP000304.1?report=graph&amp;tracks=[key:gene_model_track,Options:GeneOnly]&amp;mk=1928677:1928696|offset_6|00cc00,1928651:1928670|offset_32|444444,1928622:1928641|offset_61|444444,1928586:1928605|offset_97|444444&amp;v=1928476:1928805&amp;c=444444", "offset 6")</f>
        <v>offset 6</v>
      </c>
    </row>
    <row r="6864" customFormat="false" ht="12.8" hidden="false" customHeight="false" outlineLevel="0" collapsed="false">
      <c r="A6864" s="0" t="s">
        <v>12</v>
      </c>
      <c r="B6864" s="0" t="n">
        <v>1928650</v>
      </c>
      <c r="C6864" s="0" t="n">
        <v>1928670</v>
      </c>
      <c r="D6864" s="0" t="s">
        <v>22950</v>
      </c>
      <c r="E6864" s="0" t="s">
        <v>22951</v>
      </c>
      <c r="F6864" s="0" t="s">
        <v>90</v>
      </c>
      <c r="G6864" s="0" t="s">
        <v>16</v>
      </c>
      <c r="H6864" s="0" t="n">
        <v>32</v>
      </c>
      <c r="I6864" s="0" t="s">
        <v>22955</v>
      </c>
      <c r="J6864" s="0" t="s">
        <v>22956</v>
      </c>
      <c r="K6864" s="0" t="s">
        <v>22957</v>
      </c>
      <c r="L6864" s="0" t="str">
        <f aca="false">HYPERLINK("https://www.ncbi.nlm.nih.gov/nuccore/CP000304.1?report=graph&amp;tracks=[key:gene_model_track,Options:GeneOnly]&amp;mk=1928677:1928696|offset_6|444444,1928651:1928670|offset_32|00cc00,1928622:1928641|offset_61|444444,1928586:1928605|offset_97|444444&amp;v=1928476:1928805&amp;c=444444", "offset 32")</f>
        <v>offset 32</v>
      </c>
    </row>
    <row r="6865" customFormat="false" ht="12.8" hidden="false" customHeight="false" outlineLevel="0" collapsed="false">
      <c r="A6865" s="0" t="s">
        <v>12</v>
      </c>
      <c r="B6865" s="0" t="n">
        <v>1928621</v>
      </c>
      <c r="C6865" s="0" t="n">
        <v>1928641</v>
      </c>
      <c r="D6865" s="0" t="s">
        <v>22950</v>
      </c>
      <c r="E6865" s="0" t="s">
        <v>22951</v>
      </c>
      <c r="F6865" s="0" t="s">
        <v>90</v>
      </c>
      <c r="G6865" s="0" t="s">
        <v>16</v>
      </c>
      <c r="H6865" s="0" t="n">
        <v>61</v>
      </c>
      <c r="I6865" s="0" t="s">
        <v>22958</v>
      </c>
      <c r="J6865" s="0" t="s">
        <v>22959</v>
      </c>
      <c r="K6865" s="0" t="s">
        <v>22960</v>
      </c>
      <c r="L6865" s="0" t="str">
        <f aca="false">HYPERLINK("https://www.ncbi.nlm.nih.gov/nuccore/CP000304.1?report=graph&amp;tracks=[key:gene_model_track,Options:GeneOnly]&amp;mk=1928677:1928696|offset_6|444444,1928651:1928670|offset_32|444444,1928622:1928641|offset_61|00cc00,1928586:1928605|offset_97|444444&amp;v=1928476:1928805&amp;c=444444", "offset 61")</f>
        <v>offset 61</v>
      </c>
    </row>
    <row r="6866" customFormat="false" ht="12.8" hidden="false" customHeight="false" outlineLevel="0" collapsed="false">
      <c r="A6866" s="0" t="s">
        <v>12</v>
      </c>
      <c r="B6866" s="0" t="n">
        <v>1928585</v>
      </c>
      <c r="C6866" s="0" t="n">
        <v>1928605</v>
      </c>
      <c r="D6866" s="0" t="s">
        <v>22950</v>
      </c>
      <c r="E6866" s="0" t="s">
        <v>22951</v>
      </c>
      <c r="F6866" s="0" t="s">
        <v>90</v>
      </c>
      <c r="G6866" s="0" t="s">
        <v>36</v>
      </c>
      <c r="H6866" s="0" t="n">
        <v>97</v>
      </c>
      <c r="I6866" s="0" t="s">
        <v>22961</v>
      </c>
      <c r="J6866" s="0" t="s">
        <v>22962</v>
      </c>
      <c r="K6866" s="0" t="s">
        <v>22963</v>
      </c>
      <c r="L6866" s="0" t="str">
        <f aca="false">HYPERLINK("https://www.ncbi.nlm.nih.gov/nuccore/CP000304.1?report=graph&amp;tracks=[key:gene_model_track,Options:GeneOnly]&amp;mk=1928677:1928696|offset_6|444444,1928651:1928670|offset_32|444444,1928622:1928641|offset_61|444444,1928586:1928605|offset_97|00cc00&amp;v=1928476:1928805&amp;c=444444", "offset 97")</f>
        <v>offset 97</v>
      </c>
    </row>
    <row r="6867" customFormat="false" ht="12.8" hidden="false" customHeight="false" outlineLevel="0" collapsed="false">
      <c r="A6867" s="0" t="s">
        <v>12</v>
      </c>
      <c r="B6867" s="0" t="n">
        <v>1929240</v>
      </c>
      <c r="C6867" s="0" t="n">
        <v>1929260</v>
      </c>
      <c r="D6867" s="0" t="s">
        <v>22964</v>
      </c>
      <c r="E6867" s="0" t="s">
        <v>89</v>
      </c>
      <c r="F6867" s="0" t="s">
        <v>90</v>
      </c>
      <c r="G6867" s="0" t="s">
        <v>32</v>
      </c>
      <c r="H6867" s="0" t="n">
        <v>25</v>
      </c>
      <c r="I6867" s="0" t="s">
        <v>22965</v>
      </c>
      <c r="J6867" s="0" t="s">
        <v>22966</v>
      </c>
      <c r="K6867" s="0" t="s">
        <v>22967</v>
      </c>
      <c r="L6867" s="0" t="str">
        <f aca="false">HYPERLINK("https://www.ncbi.nlm.nih.gov/nuccore/CP000304.1?report=graph&amp;tracks=[key:gene_model_track,Options:GeneOnly]&amp;mk=1929241:1929260|offset_25|00cc00,1929208:1929227|offset_58|444444,1929175:1929194|offset_91|444444,1929154:1929173|offset_112|444444&amp;v=1929040:1929373&amp;c=444444", "offset 25")</f>
        <v>offset 25</v>
      </c>
    </row>
    <row r="6868" customFormat="false" ht="12.8" hidden="false" customHeight="false" outlineLevel="0" collapsed="false">
      <c r="A6868" s="0" t="s">
        <v>12</v>
      </c>
      <c r="B6868" s="0" t="n">
        <v>1929207</v>
      </c>
      <c r="C6868" s="0" t="n">
        <v>1929227</v>
      </c>
      <c r="D6868" s="0" t="s">
        <v>22964</v>
      </c>
      <c r="E6868" s="0" t="s">
        <v>89</v>
      </c>
      <c r="F6868" s="0" t="s">
        <v>90</v>
      </c>
      <c r="G6868" s="0" t="s">
        <v>32</v>
      </c>
      <c r="H6868" s="0" t="n">
        <v>58</v>
      </c>
      <c r="I6868" s="0" t="s">
        <v>22968</v>
      </c>
      <c r="J6868" s="0" t="s">
        <v>22969</v>
      </c>
      <c r="K6868" s="0" t="s">
        <v>22970</v>
      </c>
      <c r="L6868" s="0" t="str">
        <f aca="false">HYPERLINK("https://www.ncbi.nlm.nih.gov/nuccore/CP000304.1?report=graph&amp;tracks=[key:gene_model_track,Options:GeneOnly]&amp;mk=1929241:1929260|offset_25|444444,1929208:1929227|offset_58|00cc00,1929175:1929194|offset_91|444444,1929154:1929173|offset_112|444444&amp;v=1929040:1929373&amp;c=444444", "offset 58")</f>
        <v>offset 58</v>
      </c>
    </row>
    <row r="6869" customFormat="false" ht="12.8" hidden="false" customHeight="false" outlineLevel="0" collapsed="false">
      <c r="A6869" s="0" t="s">
        <v>12</v>
      </c>
      <c r="B6869" s="0" t="n">
        <v>1929174</v>
      </c>
      <c r="C6869" s="0" t="n">
        <v>1929194</v>
      </c>
      <c r="D6869" s="0" t="s">
        <v>22964</v>
      </c>
      <c r="E6869" s="0" t="s">
        <v>89</v>
      </c>
      <c r="F6869" s="0" t="s">
        <v>90</v>
      </c>
      <c r="G6869" s="0" t="s">
        <v>36</v>
      </c>
      <c r="H6869" s="0" t="n">
        <v>91</v>
      </c>
      <c r="I6869" s="0" t="s">
        <v>22971</v>
      </c>
      <c r="J6869" s="0" t="s">
        <v>22972</v>
      </c>
      <c r="K6869" s="0" t="s">
        <v>22973</v>
      </c>
      <c r="L6869" s="0" t="str">
        <f aca="false">HYPERLINK("https://www.ncbi.nlm.nih.gov/nuccore/CP000304.1?report=graph&amp;tracks=[key:gene_model_track,Options:GeneOnly]&amp;mk=1929241:1929260|offset_25|444444,1929208:1929227|offset_58|444444,1929175:1929194|offset_91|00cc00,1929154:1929173|offset_112|444444&amp;v=1929040:1929373&amp;c=444444", "offset 91")</f>
        <v>offset 91</v>
      </c>
    </row>
    <row r="6870" customFormat="false" ht="12.8" hidden="false" customHeight="false" outlineLevel="0" collapsed="false">
      <c r="A6870" s="0" t="s">
        <v>12</v>
      </c>
      <c r="B6870" s="0" t="n">
        <v>1929153</v>
      </c>
      <c r="C6870" s="0" t="n">
        <v>1929173</v>
      </c>
      <c r="D6870" s="0" t="s">
        <v>22964</v>
      </c>
      <c r="E6870" s="0" t="s">
        <v>89</v>
      </c>
      <c r="F6870" s="0" t="s">
        <v>90</v>
      </c>
      <c r="G6870" s="0" t="s">
        <v>32</v>
      </c>
      <c r="H6870" s="0" t="n">
        <v>112</v>
      </c>
      <c r="I6870" s="0" t="s">
        <v>22974</v>
      </c>
      <c r="J6870" s="0" t="s">
        <v>22975</v>
      </c>
      <c r="K6870" s="0" t="s">
        <v>22976</v>
      </c>
      <c r="L6870" s="0" t="str">
        <f aca="false">HYPERLINK("https://www.ncbi.nlm.nih.gov/nuccore/CP000304.1?report=graph&amp;tracks=[key:gene_model_track,Options:GeneOnly]&amp;mk=1929241:1929260|offset_25|444444,1929208:1929227|offset_58|444444,1929175:1929194|offset_91|444444,1929154:1929173|offset_112|00cc00&amp;v=1929040:1929373&amp;c=444444", "offset 112")</f>
        <v>offset 112</v>
      </c>
    </row>
    <row r="6871" customFormat="false" ht="12.8" hidden="false" customHeight="false" outlineLevel="0" collapsed="false">
      <c r="A6871" s="0" t="s">
        <v>12</v>
      </c>
      <c r="B6871" s="0" t="n">
        <v>1929732</v>
      </c>
      <c r="C6871" s="0" t="n">
        <v>1929752</v>
      </c>
      <c r="D6871" s="0" t="s">
        <v>22977</v>
      </c>
      <c r="E6871" s="0" t="s">
        <v>22978</v>
      </c>
      <c r="F6871" s="0" t="s">
        <v>90</v>
      </c>
      <c r="G6871" s="0" t="s">
        <v>26</v>
      </c>
      <c r="H6871" s="0" t="n">
        <v>6</v>
      </c>
      <c r="I6871" s="0" t="s">
        <v>22979</v>
      </c>
      <c r="J6871" s="0" t="s">
        <v>22980</v>
      </c>
      <c r="K6871" s="0" t="s">
        <v>22981</v>
      </c>
      <c r="L6871" s="0" t="str">
        <f aca="false">HYPERLINK("https://www.ncbi.nlm.nih.gov/nuccore/CP000304.1?report=graph&amp;tracks=[key:gene_model_track,Options:GeneOnly]&amp;mk=1929733:1929752|offset_6|00cc00,1929709:1929728|offset_30|444444,1929684:1929703|offset_55|444444,1929602:1929621|offset_137|444444&amp;v=1929532:1929821&amp;c=444444", "offset 6")</f>
        <v>offset 6</v>
      </c>
    </row>
    <row r="6872" customFormat="false" ht="12.8" hidden="false" customHeight="false" outlineLevel="0" collapsed="false">
      <c r="A6872" s="0" t="s">
        <v>12</v>
      </c>
      <c r="B6872" s="0" t="n">
        <v>1929708</v>
      </c>
      <c r="C6872" s="0" t="n">
        <v>1929728</v>
      </c>
      <c r="D6872" s="0" t="s">
        <v>22977</v>
      </c>
      <c r="E6872" s="0" t="s">
        <v>22978</v>
      </c>
      <c r="F6872" s="0" t="s">
        <v>90</v>
      </c>
      <c r="G6872" s="0" t="s">
        <v>26</v>
      </c>
      <c r="H6872" s="0" t="n">
        <v>30</v>
      </c>
      <c r="I6872" s="0" t="s">
        <v>22982</v>
      </c>
      <c r="J6872" s="0" t="s">
        <v>22983</v>
      </c>
      <c r="K6872" s="0" t="s">
        <v>22984</v>
      </c>
      <c r="L6872" s="0" t="str">
        <f aca="false">HYPERLINK("https://www.ncbi.nlm.nih.gov/nuccore/CP000304.1?report=graph&amp;tracks=[key:gene_model_track,Options:GeneOnly]&amp;mk=1929733:1929752|offset_6|444444,1929709:1929728|offset_30|00cc00,1929684:1929703|offset_55|444444,1929602:1929621|offset_137|444444&amp;v=1929532:1929821&amp;c=444444", "offset 30")</f>
        <v>offset 30</v>
      </c>
    </row>
    <row r="6873" customFormat="false" ht="12.8" hidden="false" customHeight="false" outlineLevel="0" collapsed="false">
      <c r="A6873" s="0" t="s">
        <v>12</v>
      </c>
      <c r="B6873" s="0" t="n">
        <v>1929683</v>
      </c>
      <c r="C6873" s="0" t="n">
        <v>1929703</v>
      </c>
      <c r="D6873" s="0" t="s">
        <v>22977</v>
      </c>
      <c r="E6873" s="0" t="s">
        <v>22978</v>
      </c>
      <c r="F6873" s="0" t="s">
        <v>90</v>
      </c>
      <c r="G6873" s="0" t="s">
        <v>32</v>
      </c>
      <c r="H6873" s="0" t="n">
        <v>55</v>
      </c>
      <c r="I6873" s="0" t="s">
        <v>22985</v>
      </c>
      <c r="J6873" s="0" t="s">
        <v>22986</v>
      </c>
      <c r="K6873" s="0" t="s">
        <v>22987</v>
      </c>
      <c r="L6873" s="0" t="str">
        <f aca="false">HYPERLINK("https://www.ncbi.nlm.nih.gov/nuccore/CP000304.1?report=graph&amp;tracks=[key:gene_model_track,Options:GeneOnly]&amp;mk=1929733:1929752|offset_6|444444,1929709:1929728|offset_30|444444,1929684:1929703|offset_55|00cc00,1929602:1929621|offset_137|444444&amp;v=1929532:1929821&amp;c=444444", "offset 55")</f>
        <v>offset 55</v>
      </c>
    </row>
    <row r="6874" customFormat="false" ht="12.8" hidden="false" customHeight="false" outlineLevel="0" collapsed="false">
      <c r="A6874" s="0" t="s">
        <v>12</v>
      </c>
      <c r="B6874" s="0" t="n">
        <v>1929601</v>
      </c>
      <c r="C6874" s="0" t="n">
        <v>1929621</v>
      </c>
      <c r="D6874" s="0" t="s">
        <v>22977</v>
      </c>
      <c r="E6874" s="0" t="s">
        <v>22978</v>
      </c>
      <c r="F6874" s="0" t="s">
        <v>90</v>
      </c>
      <c r="G6874" s="0" t="s">
        <v>16</v>
      </c>
      <c r="H6874" s="0" t="n">
        <v>137</v>
      </c>
      <c r="I6874" s="0" t="s">
        <v>22988</v>
      </c>
      <c r="J6874" s="0" t="s">
        <v>22989</v>
      </c>
      <c r="K6874" s="0" t="s">
        <v>22990</v>
      </c>
      <c r="L6874" s="0" t="str">
        <f aca="false">HYPERLINK("https://www.ncbi.nlm.nih.gov/nuccore/CP000304.1?report=graph&amp;tracks=[key:gene_model_track,Options:GeneOnly]&amp;mk=1929733:1929752|offset_6|444444,1929709:1929728|offset_30|444444,1929684:1929703|offset_55|444444,1929602:1929621|offset_137|00cc00&amp;v=1929532:1929821&amp;c=444444", "offset 137")</f>
        <v>offset 137</v>
      </c>
    </row>
    <row r="6875" customFormat="false" ht="12.8" hidden="false" customHeight="false" outlineLevel="0" collapsed="false">
      <c r="A6875" s="0" t="s">
        <v>12</v>
      </c>
      <c r="B6875" s="0" t="n">
        <v>1930461</v>
      </c>
      <c r="C6875" s="0" t="n">
        <v>1930481</v>
      </c>
      <c r="D6875" s="0" t="s">
        <v>22991</v>
      </c>
      <c r="E6875" s="0" t="s">
        <v>89</v>
      </c>
      <c r="F6875" s="0" t="s">
        <v>90</v>
      </c>
      <c r="G6875" s="0" t="s">
        <v>36</v>
      </c>
      <c r="H6875" s="0" t="n">
        <v>0</v>
      </c>
      <c r="I6875" s="0" t="s">
        <v>22992</v>
      </c>
      <c r="J6875" s="0" t="s">
        <v>22993</v>
      </c>
      <c r="K6875" s="0" t="s">
        <v>22994</v>
      </c>
      <c r="L6875" s="0" t="str">
        <f aca="false">HYPERLINK("https://www.ncbi.nlm.nih.gov/nuccore/CP000304.1?report=graph&amp;tracks=[key:gene_model_track,Options:GeneOnly]&amp;mk=1930462:1930481|offset_0|00cc00,1930437:1930456|offset_25|444444,1930413:1930432|offset_49|444444,1930374:1930393|offset_88|444444&amp;v=1930261:1930593&amp;c=444444", "offset 0")</f>
        <v>offset 0</v>
      </c>
    </row>
    <row r="6876" customFormat="false" ht="12.8" hidden="false" customHeight="false" outlineLevel="0" collapsed="false">
      <c r="A6876" s="0" t="s">
        <v>12</v>
      </c>
      <c r="B6876" s="0" t="n">
        <v>1930436</v>
      </c>
      <c r="C6876" s="0" t="n">
        <v>1930456</v>
      </c>
      <c r="D6876" s="0" t="s">
        <v>22991</v>
      </c>
      <c r="E6876" s="0" t="s">
        <v>89</v>
      </c>
      <c r="F6876" s="0" t="s">
        <v>90</v>
      </c>
      <c r="G6876" s="0" t="s">
        <v>26</v>
      </c>
      <c r="H6876" s="0" t="n">
        <v>25</v>
      </c>
      <c r="I6876" s="0" t="s">
        <v>22995</v>
      </c>
      <c r="J6876" s="0" t="s">
        <v>22996</v>
      </c>
      <c r="K6876" s="0" t="s">
        <v>22997</v>
      </c>
      <c r="L6876" s="0" t="str">
        <f aca="false">HYPERLINK("https://www.ncbi.nlm.nih.gov/nuccore/CP000304.1?report=graph&amp;tracks=[key:gene_model_track,Options:GeneOnly]&amp;mk=1930462:1930481|offset_0|444444,1930437:1930456|offset_25|00cc00,1930413:1930432|offset_49|444444,1930374:1930393|offset_88|444444&amp;v=1930261:1930593&amp;c=444444", "offset 25")</f>
        <v>offset 25</v>
      </c>
    </row>
    <row r="6877" customFormat="false" ht="12.8" hidden="false" customHeight="false" outlineLevel="0" collapsed="false">
      <c r="A6877" s="0" t="s">
        <v>12</v>
      </c>
      <c r="B6877" s="0" t="n">
        <v>1930412</v>
      </c>
      <c r="C6877" s="0" t="n">
        <v>1930432</v>
      </c>
      <c r="D6877" s="0" t="s">
        <v>22991</v>
      </c>
      <c r="E6877" s="0" t="s">
        <v>89</v>
      </c>
      <c r="F6877" s="0" t="s">
        <v>90</v>
      </c>
      <c r="G6877" s="0" t="s">
        <v>26</v>
      </c>
      <c r="H6877" s="0" t="n">
        <v>49</v>
      </c>
      <c r="I6877" s="0" t="s">
        <v>22998</v>
      </c>
      <c r="J6877" s="0" t="s">
        <v>22999</v>
      </c>
      <c r="K6877" s="0" t="s">
        <v>23000</v>
      </c>
      <c r="L6877" s="0" t="str">
        <f aca="false">HYPERLINK("https://www.ncbi.nlm.nih.gov/nuccore/CP000304.1?report=graph&amp;tracks=[key:gene_model_track,Options:GeneOnly]&amp;mk=1930462:1930481|offset_0|444444,1930437:1930456|offset_25|444444,1930413:1930432|offset_49|00cc00,1930374:1930393|offset_88|444444&amp;v=1930261:1930593&amp;c=444444", "offset 49")</f>
        <v>offset 49</v>
      </c>
    </row>
    <row r="6878" customFormat="false" ht="12.8" hidden="false" customHeight="false" outlineLevel="0" collapsed="false">
      <c r="A6878" s="0" t="s">
        <v>12</v>
      </c>
      <c r="B6878" s="0" t="n">
        <v>1930373</v>
      </c>
      <c r="C6878" s="0" t="n">
        <v>1930393</v>
      </c>
      <c r="D6878" s="0" t="s">
        <v>22991</v>
      </c>
      <c r="E6878" s="0" t="s">
        <v>89</v>
      </c>
      <c r="F6878" s="0" t="s">
        <v>90</v>
      </c>
      <c r="G6878" s="0" t="s">
        <v>26</v>
      </c>
      <c r="H6878" s="0" t="n">
        <v>88</v>
      </c>
      <c r="I6878" s="0" t="s">
        <v>23001</v>
      </c>
      <c r="J6878" s="0" t="s">
        <v>23002</v>
      </c>
      <c r="K6878" s="0" t="s">
        <v>23003</v>
      </c>
      <c r="L6878" s="0" t="str">
        <f aca="false">HYPERLINK("https://www.ncbi.nlm.nih.gov/nuccore/CP000304.1?report=graph&amp;tracks=[key:gene_model_track,Options:GeneOnly]&amp;mk=1930462:1930481|offset_0|444444,1930437:1930456|offset_25|444444,1930413:1930432|offset_49|444444,1930374:1930393|offset_88|00cc00&amp;v=1930261:1930593&amp;c=444444", "offset 88")</f>
        <v>offset 88</v>
      </c>
    </row>
    <row r="6879" customFormat="false" ht="12.8" hidden="false" customHeight="false" outlineLevel="0" collapsed="false">
      <c r="A6879" s="0" t="s">
        <v>12</v>
      </c>
      <c r="B6879" s="0" t="n">
        <v>1931294</v>
      </c>
      <c r="C6879" s="0" t="n">
        <v>1931314</v>
      </c>
      <c r="D6879" s="0" t="s">
        <v>23004</v>
      </c>
      <c r="E6879" s="0" t="s">
        <v>89</v>
      </c>
      <c r="F6879" s="0" t="s">
        <v>90</v>
      </c>
      <c r="G6879" s="0" t="s">
        <v>26</v>
      </c>
      <c r="H6879" s="0" t="n">
        <v>31</v>
      </c>
      <c r="I6879" s="0" t="s">
        <v>23005</v>
      </c>
      <c r="J6879" s="0" t="s">
        <v>23006</v>
      </c>
      <c r="K6879" s="0" t="s">
        <v>23007</v>
      </c>
      <c r="L6879" s="0" t="str">
        <f aca="false">HYPERLINK("https://www.ncbi.nlm.nih.gov/nuccore/CP000304.1?report=graph&amp;tracks=[key:gene_model_track,Options:GeneOnly]&amp;mk=1931295:1931314|offset_31|00cc00,1931273:1931292|offset_53|444444,1931207:1931226|offset_119|444444,1931171:1931190|offset_155|444444&amp;v=1931094:1931390&amp;c=444444", "offset 31")</f>
        <v>offset 31</v>
      </c>
    </row>
    <row r="6880" customFormat="false" ht="12.8" hidden="false" customHeight="false" outlineLevel="0" collapsed="false">
      <c r="A6880" s="0" t="s">
        <v>12</v>
      </c>
      <c r="B6880" s="0" t="n">
        <v>1931272</v>
      </c>
      <c r="C6880" s="0" t="n">
        <v>1931292</v>
      </c>
      <c r="D6880" s="0" t="s">
        <v>23004</v>
      </c>
      <c r="E6880" s="0" t="s">
        <v>89</v>
      </c>
      <c r="F6880" s="0" t="s">
        <v>90</v>
      </c>
      <c r="G6880" s="0" t="s">
        <v>32</v>
      </c>
      <c r="H6880" s="0" t="n">
        <v>53</v>
      </c>
      <c r="I6880" s="0" t="s">
        <v>23008</v>
      </c>
      <c r="J6880" s="0" t="s">
        <v>23009</v>
      </c>
      <c r="K6880" s="0" t="s">
        <v>23010</v>
      </c>
      <c r="L6880" s="0" t="str">
        <f aca="false">HYPERLINK("https://www.ncbi.nlm.nih.gov/nuccore/CP000304.1?report=graph&amp;tracks=[key:gene_model_track,Options:GeneOnly]&amp;mk=1931295:1931314|offset_31|444444,1931273:1931292|offset_53|00cc00,1931207:1931226|offset_119|444444,1931171:1931190|offset_155|444444&amp;v=1931094:1931390&amp;c=444444", "offset 53")</f>
        <v>offset 53</v>
      </c>
    </row>
    <row r="6881" customFormat="false" ht="12.8" hidden="false" customHeight="false" outlineLevel="0" collapsed="false">
      <c r="A6881" s="0" t="s">
        <v>12</v>
      </c>
      <c r="B6881" s="0" t="n">
        <v>1931206</v>
      </c>
      <c r="C6881" s="0" t="n">
        <v>1931226</v>
      </c>
      <c r="D6881" s="0" t="s">
        <v>23004</v>
      </c>
      <c r="E6881" s="0" t="s">
        <v>89</v>
      </c>
      <c r="F6881" s="0" t="s">
        <v>90</v>
      </c>
      <c r="G6881" s="0" t="s">
        <v>32</v>
      </c>
      <c r="H6881" s="0" t="n">
        <v>119</v>
      </c>
      <c r="I6881" s="0" t="s">
        <v>23011</v>
      </c>
      <c r="J6881" s="0" t="s">
        <v>23012</v>
      </c>
      <c r="K6881" s="0" t="s">
        <v>23013</v>
      </c>
      <c r="L6881" s="0" t="str">
        <f aca="false">HYPERLINK("https://www.ncbi.nlm.nih.gov/nuccore/CP000304.1?report=graph&amp;tracks=[key:gene_model_track,Options:GeneOnly]&amp;mk=1931295:1931314|offset_31|444444,1931273:1931292|offset_53|444444,1931207:1931226|offset_119|00cc00,1931171:1931190|offset_155|444444&amp;v=1931094:1931390&amp;c=444444", "offset 119")</f>
        <v>offset 119</v>
      </c>
    </row>
    <row r="6882" customFormat="false" ht="12.8" hidden="false" customHeight="false" outlineLevel="0" collapsed="false">
      <c r="A6882" s="0" t="s">
        <v>12</v>
      </c>
      <c r="B6882" s="0" t="n">
        <v>1931170</v>
      </c>
      <c r="C6882" s="0" t="n">
        <v>1931190</v>
      </c>
      <c r="D6882" s="0" t="s">
        <v>23004</v>
      </c>
      <c r="E6882" s="0" t="s">
        <v>89</v>
      </c>
      <c r="F6882" s="0" t="s">
        <v>90</v>
      </c>
      <c r="G6882" s="0" t="s">
        <v>36</v>
      </c>
      <c r="H6882" s="0" t="n">
        <v>155</v>
      </c>
      <c r="I6882" s="0" t="s">
        <v>23014</v>
      </c>
      <c r="J6882" s="0" t="s">
        <v>23015</v>
      </c>
      <c r="K6882" s="0" t="s">
        <v>23016</v>
      </c>
      <c r="L6882" s="0" t="str">
        <f aca="false">HYPERLINK("https://www.ncbi.nlm.nih.gov/nuccore/CP000304.1?report=graph&amp;tracks=[key:gene_model_track,Options:GeneOnly]&amp;mk=1931295:1931314|offset_31|444444,1931273:1931292|offset_53|444444,1931207:1931226|offset_119|444444,1931171:1931190|offset_155|00cc00&amp;v=1931094:1931390&amp;c=444444", "offset 155")</f>
        <v>offset 155</v>
      </c>
    </row>
    <row r="6883" customFormat="false" ht="12.8" hidden="false" customHeight="false" outlineLevel="0" collapsed="false">
      <c r="A6883" s="0" t="s">
        <v>12</v>
      </c>
      <c r="B6883" s="0" t="n">
        <v>1931902</v>
      </c>
      <c r="C6883" s="0" t="n">
        <v>1931922</v>
      </c>
      <c r="D6883" s="0" t="s">
        <v>23017</v>
      </c>
      <c r="E6883" s="0" t="s">
        <v>89</v>
      </c>
      <c r="F6883" s="0" t="s">
        <v>90</v>
      </c>
      <c r="G6883" s="0" t="s">
        <v>32</v>
      </c>
      <c r="H6883" s="0" t="n">
        <v>17</v>
      </c>
      <c r="I6883" s="0" t="s">
        <v>23018</v>
      </c>
      <c r="J6883" s="0" t="s">
        <v>23019</v>
      </c>
      <c r="K6883" s="0" t="s">
        <v>23020</v>
      </c>
      <c r="L6883" s="0" t="str">
        <f aca="false">HYPERLINK("https://www.ncbi.nlm.nih.gov/nuccore/CP000304.1?report=graph&amp;tracks=[key:gene_model_track,Options:GeneOnly]&amp;mk=1931903:1931922|offset_17|00cc00,1931864:1931883|offset_56|444444,1931807:1931826|offset_113|444444,1931761:1931780|offset_159|444444&amp;v=1931702:1931980&amp;c=444444", "offset 17")</f>
        <v>offset 17</v>
      </c>
    </row>
    <row r="6884" customFormat="false" ht="12.8" hidden="false" customHeight="false" outlineLevel="0" collapsed="false">
      <c r="A6884" s="0" t="s">
        <v>12</v>
      </c>
      <c r="B6884" s="0" t="n">
        <v>1931863</v>
      </c>
      <c r="C6884" s="0" t="n">
        <v>1931883</v>
      </c>
      <c r="D6884" s="0" t="s">
        <v>23017</v>
      </c>
      <c r="E6884" s="0" t="s">
        <v>89</v>
      </c>
      <c r="F6884" s="0" t="s">
        <v>90</v>
      </c>
      <c r="G6884" s="0" t="s">
        <v>26</v>
      </c>
      <c r="H6884" s="0" t="n">
        <v>56</v>
      </c>
      <c r="I6884" s="0" t="s">
        <v>23021</v>
      </c>
      <c r="J6884" s="0" t="s">
        <v>23022</v>
      </c>
      <c r="K6884" s="0" t="s">
        <v>23023</v>
      </c>
      <c r="L6884" s="0" t="str">
        <f aca="false">HYPERLINK("https://www.ncbi.nlm.nih.gov/nuccore/CP000304.1?report=graph&amp;tracks=[key:gene_model_track,Options:GeneOnly]&amp;mk=1931903:1931922|offset_17|444444,1931864:1931883|offset_56|00cc00,1931807:1931826|offset_113|444444,1931761:1931780|offset_159|444444&amp;v=1931702:1931980&amp;c=444444", "offset 56")</f>
        <v>offset 56</v>
      </c>
    </row>
    <row r="6885" customFormat="false" ht="12.8" hidden="false" customHeight="false" outlineLevel="0" collapsed="false">
      <c r="A6885" s="0" t="s">
        <v>12</v>
      </c>
      <c r="B6885" s="0" t="n">
        <v>1931806</v>
      </c>
      <c r="C6885" s="0" t="n">
        <v>1931826</v>
      </c>
      <c r="D6885" s="0" t="s">
        <v>23017</v>
      </c>
      <c r="E6885" s="0" t="s">
        <v>89</v>
      </c>
      <c r="F6885" s="0" t="s">
        <v>90</v>
      </c>
      <c r="G6885" s="0" t="s">
        <v>36</v>
      </c>
      <c r="H6885" s="0" t="n">
        <v>113</v>
      </c>
      <c r="I6885" s="0" t="s">
        <v>23024</v>
      </c>
      <c r="J6885" s="0" t="s">
        <v>23025</v>
      </c>
      <c r="K6885" s="0" t="s">
        <v>23026</v>
      </c>
      <c r="L6885" s="0" t="str">
        <f aca="false">HYPERLINK("https://www.ncbi.nlm.nih.gov/nuccore/CP000304.1?report=graph&amp;tracks=[key:gene_model_track,Options:GeneOnly]&amp;mk=1931903:1931922|offset_17|444444,1931864:1931883|offset_56|444444,1931807:1931826|offset_113|00cc00,1931761:1931780|offset_159|444444&amp;v=1931702:1931980&amp;c=444444", "offset 113")</f>
        <v>offset 113</v>
      </c>
    </row>
    <row r="6886" customFormat="false" ht="12.8" hidden="false" customHeight="false" outlineLevel="0" collapsed="false">
      <c r="A6886" s="0" t="s">
        <v>12</v>
      </c>
      <c r="B6886" s="0" t="n">
        <v>1931760</v>
      </c>
      <c r="C6886" s="0" t="n">
        <v>1931780</v>
      </c>
      <c r="D6886" s="0" t="s">
        <v>23017</v>
      </c>
      <c r="E6886" s="0" t="s">
        <v>89</v>
      </c>
      <c r="F6886" s="0" t="s">
        <v>90</v>
      </c>
      <c r="G6886" s="0" t="s">
        <v>16</v>
      </c>
      <c r="H6886" s="0" t="n">
        <v>159</v>
      </c>
      <c r="I6886" s="0" t="s">
        <v>23027</v>
      </c>
      <c r="J6886" s="0" t="s">
        <v>23028</v>
      </c>
      <c r="K6886" s="0" t="s">
        <v>23029</v>
      </c>
      <c r="L6886" s="0" t="str">
        <f aca="false">HYPERLINK("https://www.ncbi.nlm.nih.gov/nuccore/CP000304.1?report=graph&amp;tracks=[key:gene_model_track,Options:GeneOnly]&amp;mk=1931903:1931922|offset_17|444444,1931864:1931883|offset_56|444444,1931807:1931826|offset_113|444444,1931761:1931780|offset_159|00cc00&amp;v=1931702:1931980&amp;c=444444", "offset 159")</f>
        <v>offset 159</v>
      </c>
    </row>
    <row r="6887" customFormat="false" ht="12.8" hidden="false" customHeight="false" outlineLevel="0" collapsed="false">
      <c r="A6887" s="0" t="s">
        <v>12</v>
      </c>
      <c r="B6887" s="0" t="n">
        <v>1932384</v>
      </c>
      <c r="C6887" s="0" t="n">
        <v>1932404</v>
      </c>
      <c r="D6887" s="0" t="s">
        <v>23030</v>
      </c>
      <c r="E6887" s="0" t="s">
        <v>89</v>
      </c>
      <c r="F6887" s="0" t="s">
        <v>90</v>
      </c>
      <c r="G6887" s="0" t="s">
        <v>26</v>
      </c>
      <c r="H6887" s="0" t="n">
        <v>80</v>
      </c>
      <c r="I6887" s="0" t="s">
        <v>23031</v>
      </c>
      <c r="J6887" s="0" t="s">
        <v>23032</v>
      </c>
      <c r="K6887" s="0" t="s">
        <v>23033</v>
      </c>
      <c r="L6887" s="0" t="str">
        <f aca="false">HYPERLINK("https://www.ncbi.nlm.nih.gov/nuccore/CP000304.1?report=graph&amp;tracks=[key:gene_model_track,Options:GeneOnly]&amp;mk=1932385:1932404|offset_80|00cc00,1932359:1932378|offset_106|444444,1932325:1932344|offset_140|444444,1932272:1932291|offset_193|444444&amp;v=1932184:1932491&amp;c=444444", "offset 80")</f>
        <v>offset 80</v>
      </c>
    </row>
    <row r="6888" customFormat="false" ht="12.8" hidden="false" customHeight="false" outlineLevel="0" collapsed="false">
      <c r="A6888" s="0" t="s">
        <v>12</v>
      </c>
      <c r="B6888" s="0" t="n">
        <v>1932358</v>
      </c>
      <c r="C6888" s="0" t="n">
        <v>1932378</v>
      </c>
      <c r="D6888" s="0" t="s">
        <v>23030</v>
      </c>
      <c r="E6888" s="0" t="s">
        <v>89</v>
      </c>
      <c r="F6888" s="0" t="s">
        <v>90</v>
      </c>
      <c r="G6888" s="0" t="s">
        <v>36</v>
      </c>
      <c r="H6888" s="0" t="n">
        <v>106</v>
      </c>
      <c r="I6888" s="0" t="s">
        <v>23034</v>
      </c>
      <c r="J6888" s="0" t="s">
        <v>23035</v>
      </c>
      <c r="K6888" s="0" t="s">
        <v>23036</v>
      </c>
      <c r="L6888" s="0" t="str">
        <f aca="false">HYPERLINK("https://www.ncbi.nlm.nih.gov/nuccore/CP000304.1?report=graph&amp;tracks=[key:gene_model_track,Options:GeneOnly]&amp;mk=1932385:1932404|offset_80|444444,1932359:1932378|offset_106|00cc00,1932325:1932344|offset_140|444444,1932272:1932291|offset_193|444444&amp;v=1932184:1932491&amp;c=444444", "offset 106")</f>
        <v>offset 106</v>
      </c>
    </row>
    <row r="6889" customFormat="false" ht="12.8" hidden="false" customHeight="false" outlineLevel="0" collapsed="false">
      <c r="A6889" s="0" t="s">
        <v>12</v>
      </c>
      <c r="B6889" s="0" t="n">
        <v>1932324</v>
      </c>
      <c r="C6889" s="0" t="n">
        <v>1932344</v>
      </c>
      <c r="D6889" s="0" t="s">
        <v>23030</v>
      </c>
      <c r="E6889" s="0" t="s">
        <v>89</v>
      </c>
      <c r="F6889" s="0" t="s">
        <v>90</v>
      </c>
      <c r="G6889" s="0" t="s">
        <v>26</v>
      </c>
      <c r="H6889" s="0" t="n">
        <v>140</v>
      </c>
      <c r="I6889" s="0" t="s">
        <v>23037</v>
      </c>
      <c r="J6889" s="0" t="s">
        <v>23038</v>
      </c>
      <c r="K6889" s="0" t="s">
        <v>23039</v>
      </c>
      <c r="L6889" s="0" t="str">
        <f aca="false">HYPERLINK("https://www.ncbi.nlm.nih.gov/nuccore/CP000304.1?report=graph&amp;tracks=[key:gene_model_track,Options:GeneOnly]&amp;mk=1932385:1932404|offset_80|444444,1932359:1932378|offset_106|444444,1932325:1932344|offset_140|00cc00,1932272:1932291|offset_193|444444&amp;v=1932184:1932491&amp;c=444444", "offset 140")</f>
        <v>offset 140</v>
      </c>
    </row>
    <row r="6890" customFormat="false" ht="12.8" hidden="false" customHeight="false" outlineLevel="0" collapsed="false">
      <c r="A6890" s="0" t="s">
        <v>12</v>
      </c>
      <c r="B6890" s="0" t="n">
        <v>1932271</v>
      </c>
      <c r="C6890" s="0" t="n">
        <v>1932291</v>
      </c>
      <c r="D6890" s="0" t="s">
        <v>23030</v>
      </c>
      <c r="E6890" s="0" t="s">
        <v>89</v>
      </c>
      <c r="F6890" s="0" t="s">
        <v>90</v>
      </c>
      <c r="G6890" s="0" t="s">
        <v>26</v>
      </c>
      <c r="H6890" s="0" t="n">
        <v>193</v>
      </c>
      <c r="I6890" s="0" t="s">
        <v>23040</v>
      </c>
      <c r="J6890" s="0" t="s">
        <v>23041</v>
      </c>
      <c r="K6890" s="0" t="s">
        <v>23042</v>
      </c>
      <c r="L6890" s="0" t="str">
        <f aca="false">HYPERLINK("https://www.ncbi.nlm.nih.gov/nuccore/CP000304.1?report=graph&amp;tracks=[key:gene_model_track,Options:GeneOnly]&amp;mk=1932385:1932404|offset_80|444444,1932359:1932378|offset_106|444444,1932325:1932344|offset_140|444444,1932272:1932291|offset_193|00cc00&amp;v=1932184:1932491&amp;c=444444", "offset 193")</f>
        <v>offset 193</v>
      </c>
    </row>
    <row r="6891" customFormat="false" ht="12.8" hidden="false" customHeight="false" outlineLevel="0" collapsed="false">
      <c r="A6891" s="0" t="s">
        <v>12</v>
      </c>
      <c r="B6891" s="0" t="n">
        <v>1936086</v>
      </c>
      <c r="C6891" s="0" t="n">
        <v>1936106</v>
      </c>
      <c r="D6891" s="0" t="s">
        <v>23043</v>
      </c>
      <c r="E6891" s="0" t="s">
        <v>23044</v>
      </c>
      <c r="F6891" s="0" t="s">
        <v>90</v>
      </c>
      <c r="G6891" s="0" t="s">
        <v>16</v>
      </c>
      <c r="H6891" s="0" t="n">
        <v>6</v>
      </c>
      <c r="I6891" s="0" t="s">
        <v>23045</v>
      </c>
      <c r="J6891" s="0" t="s">
        <v>23046</v>
      </c>
      <c r="K6891" s="0" t="s">
        <v>23047</v>
      </c>
      <c r="L6891" s="0" t="str">
        <f aca="false">HYPERLINK("https://www.ncbi.nlm.nih.gov/nuccore/CP000304.1?report=graph&amp;tracks=[key:gene_model_track,Options:GeneOnly]&amp;mk=1936087:1936106|offset_6|00cc00,1936061:1936080|offset_32|444444,1936036:1936055|offset_57|444444,1936008:1936027|offset_85|444444&amp;v=1935886:1936227&amp;c=444444", "offset 6")</f>
        <v>offset 6</v>
      </c>
    </row>
    <row r="6892" customFormat="false" ht="12.8" hidden="false" customHeight="false" outlineLevel="0" collapsed="false">
      <c r="A6892" s="0" t="s">
        <v>12</v>
      </c>
      <c r="B6892" s="0" t="n">
        <v>1936060</v>
      </c>
      <c r="C6892" s="0" t="n">
        <v>1936080</v>
      </c>
      <c r="D6892" s="0" t="s">
        <v>23043</v>
      </c>
      <c r="E6892" s="0" t="s">
        <v>23044</v>
      </c>
      <c r="F6892" s="0" t="s">
        <v>90</v>
      </c>
      <c r="G6892" s="0" t="s">
        <v>26</v>
      </c>
      <c r="H6892" s="0" t="n">
        <v>32</v>
      </c>
      <c r="I6892" s="0" t="s">
        <v>23048</v>
      </c>
      <c r="J6892" s="0" t="s">
        <v>23049</v>
      </c>
      <c r="K6892" s="0" t="s">
        <v>23050</v>
      </c>
      <c r="L6892" s="0" t="str">
        <f aca="false">HYPERLINK("https://www.ncbi.nlm.nih.gov/nuccore/CP000304.1?report=graph&amp;tracks=[key:gene_model_track,Options:GeneOnly]&amp;mk=1936087:1936106|offset_6|444444,1936061:1936080|offset_32|00cc00,1936036:1936055|offset_57|444444,1936008:1936027|offset_85|444444&amp;v=1935886:1936227&amp;c=444444", "offset 32")</f>
        <v>offset 32</v>
      </c>
    </row>
    <row r="6893" customFormat="false" ht="12.8" hidden="false" customHeight="false" outlineLevel="0" collapsed="false">
      <c r="A6893" s="0" t="s">
        <v>12</v>
      </c>
      <c r="B6893" s="0" t="n">
        <v>1936035</v>
      </c>
      <c r="C6893" s="0" t="n">
        <v>1936055</v>
      </c>
      <c r="D6893" s="0" t="s">
        <v>23043</v>
      </c>
      <c r="E6893" s="0" t="s">
        <v>23044</v>
      </c>
      <c r="F6893" s="0" t="s">
        <v>90</v>
      </c>
      <c r="G6893" s="0" t="s">
        <v>32</v>
      </c>
      <c r="H6893" s="0" t="n">
        <v>57</v>
      </c>
      <c r="I6893" s="0" t="s">
        <v>23051</v>
      </c>
      <c r="J6893" s="0" t="s">
        <v>23052</v>
      </c>
      <c r="K6893" s="0" t="s">
        <v>23053</v>
      </c>
      <c r="L6893" s="0" t="str">
        <f aca="false">HYPERLINK("https://www.ncbi.nlm.nih.gov/nuccore/CP000304.1?report=graph&amp;tracks=[key:gene_model_track,Options:GeneOnly]&amp;mk=1936087:1936106|offset_6|444444,1936061:1936080|offset_32|444444,1936036:1936055|offset_57|00cc00,1936008:1936027|offset_85|444444&amp;v=1935886:1936227&amp;c=444444", "offset 57")</f>
        <v>offset 57</v>
      </c>
    </row>
    <row r="6894" customFormat="false" ht="12.8" hidden="false" customHeight="false" outlineLevel="0" collapsed="false">
      <c r="A6894" s="0" t="s">
        <v>12</v>
      </c>
      <c r="B6894" s="0" t="n">
        <v>1936007</v>
      </c>
      <c r="C6894" s="0" t="n">
        <v>1936027</v>
      </c>
      <c r="D6894" s="0" t="s">
        <v>23043</v>
      </c>
      <c r="E6894" s="0" t="s">
        <v>23044</v>
      </c>
      <c r="F6894" s="0" t="s">
        <v>90</v>
      </c>
      <c r="G6894" s="0" t="s">
        <v>36</v>
      </c>
      <c r="H6894" s="0" t="n">
        <v>85</v>
      </c>
      <c r="I6894" s="0" t="s">
        <v>23054</v>
      </c>
      <c r="J6894" s="0" t="s">
        <v>23055</v>
      </c>
      <c r="K6894" s="0" t="s">
        <v>23056</v>
      </c>
      <c r="L6894" s="0" t="str">
        <f aca="false">HYPERLINK("https://www.ncbi.nlm.nih.gov/nuccore/CP000304.1?report=graph&amp;tracks=[key:gene_model_track,Options:GeneOnly]&amp;mk=1936087:1936106|offset_6|444444,1936061:1936080|offset_32|444444,1936036:1936055|offset_57|444444,1936008:1936027|offset_85|00cc00&amp;v=1935886:1936227&amp;c=444444", "offset 85")</f>
        <v>offset 85</v>
      </c>
    </row>
    <row r="6895" customFormat="false" ht="12.8" hidden="false" customHeight="false" outlineLevel="0" collapsed="false">
      <c r="A6895" s="0" t="s">
        <v>12</v>
      </c>
      <c r="B6895" s="0" t="n">
        <v>1938241</v>
      </c>
      <c r="C6895" s="0" t="n">
        <v>1938261</v>
      </c>
      <c r="D6895" s="0" t="s">
        <v>23057</v>
      </c>
      <c r="E6895" s="0" t="s">
        <v>89</v>
      </c>
      <c r="F6895" s="0" t="s">
        <v>90</v>
      </c>
      <c r="G6895" s="0" t="s">
        <v>16</v>
      </c>
      <c r="H6895" s="0" t="n">
        <v>0</v>
      </c>
      <c r="I6895" s="0" t="s">
        <v>23058</v>
      </c>
      <c r="J6895" s="0" t="s">
        <v>23059</v>
      </c>
      <c r="K6895" s="0" t="s">
        <v>23060</v>
      </c>
      <c r="L6895" s="0" t="str">
        <f aca="false">HYPERLINK("https://www.ncbi.nlm.nih.gov/nuccore/CP000304.1?report=graph&amp;tracks=[key:gene_model_track,Options:GeneOnly]&amp;mk=1938242:1938261|offset_0|00cc00,1938222:1938241|offset_20|444444,1938195:1938214|offset_47|444444,1938170:1938189|offset_72|444444&amp;v=1938041:1938389&amp;c=444444", "offset 0")</f>
        <v>offset 0</v>
      </c>
    </row>
    <row r="6896" customFormat="false" ht="12.8" hidden="false" customHeight="false" outlineLevel="0" collapsed="false">
      <c r="A6896" s="0" t="s">
        <v>12</v>
      </c>
      <c r="B6896" s="0" t="n">
        <v>1938221</v>
      </c>
      <c r="C6896" s="0" t="n">
        <v>1938241</v>
      </c>
      <c r="D6896" s="0" t="s">
        <v>23057</v>
      </c>
      <c r="E6896" s="0" t="s">
        <v>89</v>
      </c>
      <c r="F6896" s="0" t="s">
        <v>90</v>
      </c>
      <c r="G6896" s="0" t="s">
        <v>26</v>
      </c>
      <c r="H6896" s="0" t="n">
        <v>20</v>
      </c>
      <c r="I6896" s="0" t="s">
        <v>23061</v>
      </c>
      <c r="J6896" s="0" t="s">
        <v>23062</v>
      </c>
      <c r="K6896" s="0" t="s">
        <v>23063</v>
      </c>
      <c r="L6896" s="0" t="str">
        <f aca="false">HYPERLINK("https://www.ncbi.nlm.nih.gov/nuccore/CP000304.1?report=graph&amp;tracks=[key:gene_model_track,Options:GeneOnly]&amp;mk=1938242:1938261|offset_0|444444,1938222:1938241|offset_20|00cc00,1938195:1938214|offset_47|444444,1938170:1938189|offset_72|444444&amp;v=1938041:1938389&amp;c=444444", "offset 20")</f>
        <v>offset 20</v>
      </c>
    </row>
    <row r="6897" customFormat="false" ht="12.8" hidden="false" customHeight="false" outlineLevel="0" collapsed="false">
      <c r="A6897" s="0" t="s">
        <v>12</v>
      </c>
      <c r="B6897" s="0" t="n">
        <v>1938194</v>
      </c>
      <c r="C6897" s="0" t="n">
        <v>1938214</v>
      </c>
      <c r="D6897" s="0" t="s">
        <v>23057</v>
      </c>
      <c r="E6897" s="0" t="s">
        <v>89</v>
      </c>
      <c r="F6897" s="0" t="s">
        <v>90</v>
      </c>
      <c r="G6897" s="0" t="s">
        <v>26</v>
      </c>
      <c r="H6897" s="0" t="n">
        <v>47</v>
      </c>
      <c r="I6897" s="0" t="s">
        <v>23064</v>
      </c>
      <c r="J6897" s="0" t="s">
        <v>23065</v>
      </c>
      <c r="K6897" s="0" t="s">
        <v>23066</v>
      </c>
      <c r="L6897" s="0" t="str">
        <f aca="false">HYPERLINK("https://www.ncbi.nlm.nih.gov/nuccore/CP000304.1?report=graph&amp;tracks=[key:gene_model_track,Options:GeneOnly]&amp;mk=1938242:1938261|offset_0|444444,1938222:1938241|offset_20|444444,1938195:1938214|offset_47|00cc00,1938170:1938189|offset_72|444444&amp;v=1938041:1938389&amp;c=444444", "offset 47")</f>
        <v>offset 47</v>
      </c>
    </row>
    <row r="6898" customFormat="false" ht="12.8" hidden="false" customHeight="false" outlineLevel="0" collapsed="false">
      <c r="A6898" s="0" t="s">
        <v>12</v>
      </c>
      <c r="B6898" s="0" t="n">
        <v>1938169</v>
      </c>
      <c r="C6898" s="0" t="n">
        <v>1938189</v>
      </c>
      <c r="D6898" s="0" t="s">
        <v>23057</v>
      </c>
      <c r="E6898" s="0" t="s">
        <v>89</v>
      </c>
      <c r="F6898" s="0" t="s">
        <v>90</v>
      </c>
      <c r="G6898" s="0" t="s">
        <v>32</v>
      </c>
      <c r="H6898" s="0" t="n">
        <v>72</v>
      </c>
      <c r="I6898" s="0" t="s">
        <v>23067</v>
      </c>
      <c r="J6898" s="0" t="s">
        <v>23068</v>
      </c>
      <c r="K6898" s="0" t="s">
        <v>23069</v>
      </c>
      <c r="L6898" s="0" t="str">
        <f aca="false">HYPERLINK("https://www.ncbi.nlm.nih.gov/nuccore/CP000304.1?report=graph&amp;tracks=[key:gene_model_track,Options:GeneOnly]&amp;mk=1938242:1938261|offset_0|444444,1938222:1938241|offset_20|444444,1938195:1938214|offset_47|444444,1938170:1938189|offset_72|00cc00&amp;v=1938041:1938389&amp;c=444444", "offset 72")</f>
        <v>offset 72</v>
      </c>
    </row>
    <row r="6899" customFormat="false" ht="12.8" hidden="false" customHeight="false" outlineLevel="0" collapsed="false">
      <c r="A6899" s="0" t="s">
        <v>12</v>
      </c>
      <c r="B6899" s="0" t="n">
        <v>1938579</v>
      </c>
      <c r="C6899" s="0" t="n">
        <v>1938599</v>
      </c>
      <c r="D6899" s="0" t="s">
        <v>23070</v>
      </c>
      <c r="E6899" s="0" t="s">
        <v>23071</v>
      </c>
      <c r="F6899" s="0" t="s">
        <v>90</v>
      </c>
      <c r="G6899" s="0" t="s">
        <v>32</v>
      </c>
      <c r="H6899" s="0" t="n">
        <v>9</v>
      </c>
      <c r="I6899" s="0" t="s">
        <v>23072</v>
      </c>
      <c r="J6899" s="0" t="s">
        <v>23073</v>
      </c>
      <c r="K6899" s="0" t="s">
        <v>23074</v>
      </c>
      <c r="L6899" s="0" t="str">
        <f aca="false">HYPERLINK("https://www.ncbi.nlm.nih.gov/nuccore/CP000304.1?report=graph&amp;tracks=[key:gene_model_track,Options:GeneOnly]&amp;mk=1938580:1938599|offset_9|00cc00,1938556:1938575|offset_33|444444,1938518:1938537|offset_71|444444,1938486:1938505|offset_103|444444&amp;v=1938379:1938705&amp;c=444444", "offset 9")</f>
        <v>offset 9</v>
      </c>
    </row>
    <row r="6900" customFormat="false" ht="12.8" hidden="false" customHeight="false" outlineLevel="0" collapsed="false">
      <c r="A6900" s="0" t="s">
        <v>12</v>
      </c>
      <c r="B6900" s="0" t="n">
        <v>1938555</v>
      </c>
      <c r="C6900" s="0" t="n">
        <v>1938575</v>
      </c>
      <c r="D6900" s="0" t="s">
        <v>23070</v>
      </c>
      <c r="E6900" s="0" t="s">
        <v>23071</v>
      </c>
      <c r="F6900" s="0" t="s">
        <v>90</v>
      </c>
      <c r="G6900" s="0" t="s">
        <v>26</v>
      </c>
      <c r="H6900" s="0" t="n">
        <v>33</v>
      </c>
      <c r="I6900" s="0" t="s">
        <v>23075</v>
      </c>
      <c r="J6900" s="0" t="s">
        <v>23076</v>
      </c>
      <c r="K6900" s="0" t="s">
        <v>23077</v>
      </c>
      <c r="L6900" s="0" t="str">
        <f aca="false">HYPERLINK("https://www.ncbi.nlm.nih.gov/nuccore/CP000304.1?report=graph&amp;tracks=[key:gene_model_track,Options:GeneOnly]&amp;mk=1938580:1938599|offset_9|444444,1938556:1938575|offset_33|00cc00,1938518:1938537|offset_71|444444,1938486:1938505|offset_103|444444&amp;v=1938379:1938705&amp;c=444444", "offset 33")</f>
        <v>offset 33</v>
      </c>
    </row>
    <row r="6901" customFormat="false" ht="12.8" hidden="false" customHeight="false" outlineLevel="0" collapsed="false">
      <c r="A6901" s="0" t="s">
        <v>12</v>
      </c>
      <c r="B6901" s="0" t="n">
        <v>1938517</v>
      </c>
      <c r="C6901" s="0" t="n">
        <v>1938537</v>
      </c>
      <c r="D6901" s="0" t="s">
        <v>23070</v>
      </c>
      <c r="E6901" s="0" t="s">
        <v>23071</v>
      </c>
      <c r="F6901" s="0" t="s">
        <v>90</v>
      </c>
      <c r="G6901" s="0" t="s">
        <v>26</v>
      </c>
      <c r="H6901" s="0" t="n">
        <v>71</v>
      </c>
      <c r="I6901" s="0" t="s">
        <v>23078</v>
      </c>
      <c r="J6901" s="0" t="s">
        <v>23079</v>
      </c>
      <c r="K6901" s="0" t="s">
        <v>23080</v>
      </c>
      <c r="L6901" s="0" t="str">
        <f aca="false">HYPERLINK("https://www.ncbi.nlm.nih.gov/nuccore/CP000304.1?report=graph&amp;tracks=[key:gene_model_track,Options:GeneOnly]&amp;mk=1938580:1938599|offset_9|444444,1938556:1938575|offset_33|444444,1938518:1938537|offset_71|00cc00,1938486:1938505|offset_103|444444&amp;v=1938379:1938705&amp;c=444444", "offset 71")</f>
        <v>offset 71</v>
      </c>
    </row>
    <row r="6902" customFormat="false" ht="12.8" hidden="false" customHeight="false" outlineLevel="0" collapsed="false">
      <c r="A6902" s="0" t="s">
        <v>12</v>
      </c>
      <c r="B6902" s="0" t="n">
        <v>1938485</v>
      </c>
      <c r="C6902" s="0" t="n">
        <v>1938505</v>
      </c>
      <c r="D6902" s="0" t="s">
        <v>23070</v>
      </c>
      <c r="E6902" s="0" t="s">
        <v>23071</v>
      </c>
      <c r="F6902" s="0" t="s">
        <v>90</v>
      </c>
      <c r="G6902" s="0" t="s">
        <v>36</v>
      </c>
      <c r="H6902" s="0" t="n">
        <v>103</v>
      </c>
      <c r="I6902" s="0" t="s">
        <v>23081</v>
      </c>
      <c r="J6902" s="0" t="s">
        <v>23082</v>
      </c>
      <c r="K6902" s="0" t="s">
        <v>23083</v>
      </c>
      <c r="L6902" s="0" t="str">
        <f aca="false">HYPERLINK("https://www.ncbi.nlm.nih.gov/nuccore/CP000304.1?report=graph&amp;tracks=[key:gene_model_track,Options:GeneOnly]&amp;mk=1938580:1938599|offset_9|444444,1938556:1938575|offset_33|444444,1938518:1938537|offset_71|444444,1938486:1938505|offset_103|00cc00&amp;v=1938379:1938705&amp;c=444444", "offset 103")</f>
        <v>offset 103</v>
      </c>
    </row>
    <row r="6903" customFormat="false" ht="12.8" hidden="false" customHeight="false" outlineLevel="0" collapsed="false">
      <c r="A6903" s="0" t="s">
        <v>12</v>
      </c>
      <c r="B6903" s="0" t="n">
        <v>1938943</v>
      </c>
      <c r="C6903" s="0" t="n">
        <v>1938963</v>
      </c>
      <c r="D6903" s="0" t="s">
        <v>23084</v>
      </c>
      <c r="E6903" s="0" t="s">
        <v>23085</v>
      </c>
      <c r="F6903" s="0" t="s">
        <v>15</v>
      </c>
      <c r="G6903" s="0" t="s">
        <v>32</v>
      </c>
      <c r="H6903" s="0" t="n">
        <v>7</v>
      </c>
      <c r="I6903" s="0" t="s">
        <v>23086</v>
      </c>
      <c r="J6903" s="0" t="s">
        <v>23087</v>
      </c>
      <c r="K6903" s="0" t="s">
        <v>23088</v>
      </c>
      <c r="L6903" s="0" t="str">
        <f aca="false">HYPERLINK("https://www.ncbi.nlm.nih.gov/nuccore/CP000304.1?report=graph&amp;tracks=[key:gene_model_track,Options:GeneOnly]&amp;mk=1938944:1938963|offset_7|00cc00,1938965:1938984|offset_28|444444,1938990:1939009|offset_53|444444,1939013:1939032|offset_76|444444&amp;v=1938743:1939232&amp;c=444444", "offset 7")</f>
        <v>offset 7</v>
      </c>
    </row>
    <row r="6904" customFormat="false" ht="12.8" hidden="false" customHeight="false" outlineLevel="0" collapsed="false">
      <c r="A6904" s="0" t="s">
        <v>12</v>
      </c>
      <c r="B6904" s="0" t="n">
        <v>1938964</v>
      </c>
      <c r="C6904" s="0" t="n">
        <v>1938984</v>
      </c>
      <c r="D6904" s="0" t="s">
        <v>23084</v>
      </c>
      <c r="E6904" s="0" t="s">
        <v>23085</v>
      </c>
      <c r="F6904" s="0" t="s">
        <v>15</v>
      </c>
      <c r="G6904" s="0" t="s">
        <v>32</v>
      </c>
      <c r="H6904" s="0" t="n">
        <v>28</v>
      </c>
      <c r="I6904" s="0" t="s">
        <v>23089</v>
      </c>
      <c r="J6904" s="0" t="s">
        <v>23090</v>
      </c>
      <c r="K6904" s="0" t="s">
        <v>23091</v>
      </c>
      <c r="L6904" s="0" t="str">
        <f aca="false">HYPERLINK("https://www.ncbi.nlm.nih.gov/nuccore/CP000304.1?report=graph&amp;tracks=[key:gene_model_track,Options:GeneOnly]&amp;mk=1938944:1938963|offset_7|444444,1938965:1938984|offset_28|00cc00,1938990:1939009|offset_53|444444,1939013:1939032|offset_76|444444&amp;v=1938743:1939232&amp;c=444444", "offset 28")</f>
        <v>offset 28</v>
      </c>
    </row>
    <row r="6905" customFormat="false" ht="12.8" hidden="false" customHeight="false" outlineLevel="0" collapsed="false">
      <c r="A6905" s="0" t="s">
        <v>12</v>
      </c>
      <c r="B6905" s="0" t="n">
        <v>1938989</v>
      </c>
      <c r="C6905" s="0" t="n">
        <v>1939009</v>
      </c>
      <c r="D6905" s="0" t="s">
        <v>23084</v>
      </c>
      <c r="E6905" s="0" t="s">
        <v>23085</v>
      </c>
      <c r="F6905" s="0" t="s">
        <v>15</v>
      </c>
      <c r="G6905" s="0" t="s">
        <v>36</v>
      </c>
      <c r="H6905" s="0" t="n">
        <v>53</v>
      </c>
      <c r="I6905" s="0" t="s">
        <v>23092</v>
      </c>
      <c r="J6905" s="0" t="s">
        <v>23093</v>
      </c>
      <c r="K6905" s="0" t="s">
        <v>23094</v>
      </c>
      <c r="L6905" s="0" t="str">
        <f aca="false">HYPERLINK("https://www.ncbi.nlm.nih.gov/nuccore/CP000304.1?report=graph&amp;tracks=[key:gene_model_track,Options:GeneOnly]&amp;mk=1938944:1938963|offset_7|444444,1938965:1938984|offset_28|444444,1938990:1939009|offset_53|00cc00,1939013:1939032|offset_76|444444&amp;v=1938743:1939232&amp;c=444444", "offset 53")</f>
        <v>offset 53</v>
      </c>
    </row>
    <row r="6906" customFormat="false" ht="12.8" hidden="false" customHeight="false" outlineLevel="0" collapsed="false">
      <c r="A6906" s="0" t="s">
        <v>12</v>
      </c>
      <c r="B6906" s="0" t="n">
        <v>1939012</v>
      </c>
      <c r="C6906" s="0" t="n">
        <v>1939032</v>
      </c>
      <c r="D6906" s="0" t="s">
        <v>23084</v>
      </c>
      <c r="E6906" s="0" t="s">
        <v>23085</v>
      </c>
      <c r="F6906" s="0" t="s">
        <v>15</v>
      </c>
      <c r="G6906" s="0" t="s">
        <v>32</v>
      </c>
      <c r="H6906" s="0" t="n">
        <v>76</v>
      </c>
      <c r="I6906" s="0" t="s">
        <v>23095</v>
      </c>
      <c r="J6906" s="0" t="s">
        <v>23096</v>
      </c>
      <c r="K6906" s="0" t="s">
        <v>23097</v>
      </c>
      <c r="L6906" s="0" t="str">
        <f aca="false">HYPERLINK("https://www.ncbi.nlm.nih.gov/nuccore/CP000304.1?report=graph&amp;tracks=[key:gene_model_track,Options:GeneOnly]&amp;mk=1938944:1938963|offset_7|444444,1938965:1938984|offset_28|444444,1938990:1939009|offset_53|444444,1939013:1939032|offset_76|00cc00&amp;v=1938743:1939232&amp;c=444444", "offset 76")</f>
        <v>offset 76</v>
      </c>
    </row>
    <row r="6907" customFormat="false" ht="12.8" hidden="false" customHeight="false" outlineLevel="0" collapsed="false">
      <c r="A6907" s="0" t="s">
        <v>12</v>
      </c>
      <c r="B6907" s="0" t="n">
        <v>1940964</v>
      </c>
      <c r="C6907" s="0" t="n">
        <v>1940984</v>
      </c>
      <c r="D6907" s="0" t="s">
        <v>23098</v>
      </c>
      <c r="E6907" s="0" t="s">
        <v>89</v>
      </c>
      <c r="F6907" s="0" t="s">
        <v>90</v>
      </c>
      <c r="G6907" s="0" t="s">
        <v>16</v>
      </c>
      <c r="H6907" s="0" t="n">
        <v>32</v>
      </c>
      <c r="I6907" s="0" t="s">
        <v>23099</v>
      </c>
      <c r="J6907" s="0" t="s">
        <v>23100</v>
      </c>
      <c r="K6907" s="0" t="s">
        <v>23101</v>
      </c>
      <c r="L6907" s="0" t="str">
        <f aca="false">HYPERLINK("https://www.ncbi.nlm.nih.gov/nuccore/CP000304.1?report=graph&amp;tracks=[key:gene_model_track,Options:GeneOnly]&amp;mk=1940965:1940984|offset_32|00cc00,1940945:1940964|offset_52|444444,1940924:1940943|offset_73|444444,1940884:1940903|offset_113|444444&amp;v=1940764:1941103&amp;c=444444", "offset 32")</f>
        <v>offset 32</v>
      </c>
    </row>
    <row r="6908" customFormat="false" ht="12.8" hidden="false" customHeight="false" outlineLevel="0" collapsed="false">
      <c r="A6908" s="0" t="s">
        <v>12</v>
      </c>
      <c r="B6908" s="0" t="n">
        <v>1940944</v>
      </c>
      <c r="C6908" s="0" t="n">
        <v>1940964</v>
      </c>
      <c r="D6908" s="0" t="s">
        <v>23098</v>
      </c>
      <c r="E6908" s="0" t="s">
        <v>89</v>
      </c>
      <c r="F6908" s="0" t="s">
        <v>90</v>
      </c>
      <c r="G6908" s="0" t="s">
        <v>16</v>
      </c>
      <c r="H6908" s="0" t="n">
        <v>52</v>
      </c>
      <c r="I6908" s="0" t="s">
        <v>23102</v>
      </c>
      <c r="J6908" s="0" t="s">
        <v>23103</v>
      </c>
      <c r="K6908" s="0" t="s">
        <v>23104</v>
      </c>
      <c r="L6908" s="0" t="str">
        <f aca="false">HYPERLINK("https://www.ncbi.nlm.nih.gov/nuccore/CP000304.1?report=graph&amp;tracks=[key:gene_model_track,Options:GeneOnly]&amp;mk=1940965:1940984|offset_32|444444,1940945:1940964|offset_52|00cc00,1940924:1940943|offset_73|444444,1940884:1940903|offset_113|444444&amp;v=1940764:1941103&amp;c=444444", "offset 52")</f>
        <v>offset 52</v>
      </c>
    </row>
    <row r="6909" customFormat="false" ht="12.8" hidden="false" customHeight="false" outlineLevel="0" collapsed="false">
      <c r="A6909" s="0" t="s">
        <v>12</v>
      </c>
      <c r="B6909" s="0" t="n">
        <v>1940923</v>
      </c>
      <c r="C6909" s="0" t="n">
        <v>1940943</v>
      </c>
      <c r="D6909" s="0" t="s">
        <v>23098</v>
      </c>
      <c r="E6909" s="0" t="s">
        <v>89</v>
      </c>
      <c r="F6909" s="0" t="s">
        <v>90</v>
      </c>
      <c r="G6909" s="0" t="s">
        <v>16</v>
      </c>
      <c r="H6909" s="0" t="n">
        <v>73</v>
      </c>
      <c r="I6909" s="0" t="s">
        <v>23105</v>
      </c>
      <c r="J6909" s="0" t="s">
        <v>23106</v>
      </c>
      <c r="K6909" s="0" t="s">
        <v>23107</v>
      </c>
      <c r="L6909" s="0" t="str">
        <f aca="false">HYPERLINK("https://www.ncbi.nlm.nih.gov/nuccore/CP000304.1?report=graph&amp;tracks=[key:gene_model_track,Options:GeneOnly]&amp;mk=1940965:1940984|offset_32|444444,1940945:1940964|offset_52|444444,1940924:1940943|offset_73|00cc00,1940884:1940903|offset_113|444444&amp;v=1940764:1941103&amp;c=444444", "offset 73")</f>
        <v>offset 73</v>
      </c>
    </row>
    <row r="6910" customFormat="false" ht="12.8" hidden="false" customHeight="false" outlineLevel="0" collapsed="false">
      <c r="A6910" s="0" t="s">
        <v>12</v>
      </c>
      <c r="B6910" s="0" t="n">
        <v>1940883</v>
      </c>
      <c r="C6910" s="0" t="n">
        <v>1940903</v>
      </c>
      <c r="D6910" s="0" t="s">
        <v>23098</v>
      </c>
      <c r="E6910" s="0" t="s">
        <v>89</v>
      </c>
      <c r="F6910" s="0" t="s">
        <v>90</v>
      </c>
      <c r="G6910" s="0" t="s">
        <v>32</v>
      </c>
      <c r="H6910" s="0" t="n">
        <v>113</v>
      </c>
      <c r="I6910" s="0" t="s">
        <v>23108</v>
      </c>
      <c r="J6910" s="0" t="s">
        <v>23109</v>
      </c>
      <c r="K6910" s="0" t="s">
        <v>23110</v>
      </c>
      <c r="L6910" s="0" t="str">
        <f aca="false">HYPERLINK("https://www.ncbi.nlm.nih.gov/nuccore/CP000304.1?report=graph&amp;tracks=[key:gene_model_track,Options:GeneOnly]&amp;mk=1940965:1940984|offset_32|444444,1940945:1940964|offset_52|444444,1940924:1940943|offset_73|444444,1940884:1940903|offset_113|00cc00&amp;v=1940764:1941103&amp;c=444444", "offset 113")</f>
        <v>offset 113</v>
      </c>
    </row>
    <row r="6911" customFormat="false" ht="12.8" hidden="false" customHeight="false" outlineLevel="0" collapsed="false">
      <c r="A6911" s="0" t="s">
        <v>12</v>
      </c>
      <c r="B6911" s="0" t="n">
        <v>1941148</v>
      </c>
      <c r="C6911" s="0" t="n">
        <v>1941168</v>
      </c>
      <c r="D6911" s="0" t="s">
        <v>23111</v>
      </c>
      <c r="E6911" s="0" t="s">
        <v>89</v>
      </c>
      <c r="F6911" s="0" t="s">
        <v>15</v>
      </c>
      <c r="G6911" s="0" t="s">
        <v>26</v>
      </c>
      <c r="H6911" s="0" t="n">
        <v>31</v>
      </c>
      <c r="I6911" s="0" t="s">
        <v>23112</v>
      </c>
      <c r="J6911" s="0" t="s">
        <v>23113</v>
      </c>
      <c r="K6911" s="0" t="s">
        <v>23114</v>
      </c>
      <c r="L6911" s="0" t="str">
        <f aca="false">HYPERLINK("https://www.ncbi.nlm.nih.gov/nuccore/CP000304.1?report=graph&amp;tracks=[key:gene_model_track,Options:GeneOnly]&amp;mk=1941149:1941168|offset_31|00cc00,1941176:1941195|offset_58|444444,1941235:1941254|offset_117|444444,1941276:1941295|offset_158|444444&amp;v=1940948:1941495&amp;c=444444", "offset 31")</f>
        <v>offset 31</v>
      </c>
    </row>
    <row r="6912" customFormat="false" ht="12.8" hidden="false" customHeight="false" outlineLevel="0" collapsed="false">
      <c r="A6912" s="0" t="s">
        <v>12</v>
      </c>
      <c r="B6912" s="0" t="n">
        <v>1941175</v>
      </c>
      <c r="C6912" s="0" t="n">
        <v>1941195</v>
      </c>
      <c r="D6912" s="0" t="s">
        <v>23111</v>
      </c>
      <c r="E6912" s="0" t="s">
        <v>89</v>
      </c>
      <c r="F6912" s="0" t="s">
        <v>15</v>
      </c>
      <c r="G6912" s="0" t="s">
        <v>36</v>
      </c>
      <c r="H6912" s="0" t="n">
        <v>58</v>
      </c>
      <c r="I6912" s="0" t="s">
        <v>23115</v>
      </c>
      <c r="J6912" s="0" t="s">
        <v>23116</v>
      </c>
      <c r="K6912" s="0" t="s">
        <v>23117</v>
      </c>
      <c r="L6912" s="0" t="str">
        <f aca="false">HYPERLINK("https://www.ncbi.nlm.nih.gov/nuccore/CP000304.1?report=graph&amp;tracks=[key:gene_model_track,Options:GeneOnly]&amp;mk=1941149:1941168|offset_31|444444,1941176:1941195|offset_58|00cc00,1941235:1941254|offset_117|444444,1941276:1941295|offset_158|444444&amp;v=1940948:1941495&amp;c=444444", "offset 58")</f>
        <v>offset 58</v>
      </c>
    </row>
    <row r="6913" customFormat="false" ht="12.8" hidden="false" customHeight="false" outlineLevel="0" collapsed="false">
      <c r="A6913" s="0" t="s">
        <v>12</v>
      </c>
      <c r="B6913" s="0" t="n">
        <v>1941234</v>
      </c>
      <c r="C6913" s="0" t="n">
        <v>1941254</v>
      </c>
      <c r="D6913" s="0" t="s">
        <v>23111</v>
      </c>
      <c r="E6913" s="0" t="s">
        <v>89</v>
      </c>
      <c r="F6913" s="0" t="s">
        <v>15</v>
      </c>
      <c r="G6913" s="0" t="s">
        <v>16</v>
      </c>
      <c r="H6913" s="0" t="n">
        <v>117</v>
      </c>
      <c r="I6913" s="0" t="s">
        <v>23118</v>
      </c>
      <c r="J6913" s="0" t="s">
        <v>23119</v>
      </c>
      <c r="K6913" s="0" t="s">
        <v>23120</v>
      </c>
      <c r="L6913" s="0" t="str">
        <f aca="false">HYPERLINK("https://www.ncbi.nlm.nih.gov/nuccore/CP000304.1?report=graph&amp;tracks=[key:gene_model_track,Options:GeneOnly]&amp;mk=1941149:1941168|offset_31|444444,1941176:1941195|offset_58|444444,1941235:1941254|offset_117|00cc00,1941276:1941295|offset_158|444444&amp;v=1940948:1941495&amp;c=444444", "offset 117")</f>
        <v>offset 117</v>
      </c>
    </row>
    <row r="6914" customFormat="false" ht="12.8" hidden="false" customHeight="false" outlineLevel="0" collapsed="false">
      <c r="A6914" s="0" t="s">
        <v>12</v>
      </c>
      <c r="B6914" s="0" t="n">
        <v>1941275</v>
      </c>
      <c r="C6914" s="0" t="n">
        <v>1941295</v>
      </c>
      <c r="D6914" s="0" t="s">
        <v>23111</v>
      </c>
      <c r="E6914" s="0" t="s">
        <v>89</v>
      </c>
      <c r="F6914" s="0" t="s">
        <v>15</v>
      </c>
      <c r="G6914" s="0" t="s">
        <v>16</v>
      </c>
      <c r="H6914" s="0" t="n">
        <v>158</v>
      </c>
      <c r="I6914" s="0" t="s">
        <v>23121</v>
      </c>
      <c r="J6914" s="0" t="s">
        <v>23122</v>
      </c>
      <c r="K6914" s="0" t="s">
        <v>23123</v>
      </c>
      <c r="L6914" s="0" t="str">
        <f aca="false">HYPERLINK("https://www.ncbi.nlm.nih.gov/nuccore/CP000304.1?report=graph&amp;tracks=[key:gene_model_track,Options:GeneOnly]&amp;mk=1941149:1941168|offset_31|444444,1941176:1941195|offset_58|444444,1941235:1941254|offset_117|444444,1941276:1941295|offset_158|00cc00&amp;v=1940948:1941495&amp;c=444444", "offset 158")</f>
        <v>offset 158</v>
      </c>
    </row>
    <row r="6915" customFormat="false" ht="12.8" hidden="false" customHeight="false" outlineLevel="0" collapsed="false">
      <c r="A6915" s="0" t="s">
        <v>12</v>
      </c>
      <c r="B6915" s="0" t="n">
        <v>1941748</v>
      </c>
      <c r="C6915" s="0" t="n">
        <v>1941768</v>
      </c>
      <c r="D6915" s="0" t="s">
        <v>23124</v>
      </c>
      <c r="E6915" s="0" t="s">
        <v>89</v>
      </c>
      <c r="F6915" s="0" t="s">
        <v>15</v>
      </c>
      <c r="G6915" s="0" t="s">
        <v>16</v>
      </c>
      <c r="H6915" s="0" t="n">
        <v>8</v>
      </c>
      <c r="I6915" s="0" t="s">
        <v>23125</v>
      </c>
      <c r="J6915" s="0" t="s">
        <v>23126</v>
      </c>
      <c r="K6915" s="0" t="s">
        <v>23127</v>
      </c>
      <c r="L6915" s="0" t="str">
        <f aca="false">HYPERLINK("https://www.ncbi.nlm.nih.gov/nuccore/CP000304.1?report=graph&amp;tracks=[key:gene_model_track,Options:GeneOnly]&amp;mk=1941749:1941768|offset_8|00cc00,1941781:1941800|offset_40|444444,1941838:1941857|offset_97|444444,1941878:1941897|offset_137|444444&amp;v=1941548:1942097&amp;c=444444", "offset 8")</f>
        <v>offset 8</v>
      </c>
    </row>
    <row r="6916" customFormat="false" ht="12.8" hidden="false" customHeight="false" outlineLevel="0" collapsed="false">
      <c r="A6916" s="0" t="s">
        <v>12</v>
      </c>
      <c r="B6916" s="0" t="n">
        <v>1941780</v>
      </c>
      <c r="C6916" s="0" t="n">
        <v>1941800</v>
      </c>
      <c r="D6916" s="0" t="s">
        <v>23124</v>
      </c>
      <c r="E6916" s="0" t="s">
        <v>89</v>
      </c>
      <c r="F6916" s="0" t="s">
        <v>15</v>
      </c>
      <c r="G6916" s="0" t="s">
        <v>32</v>
      </c>
      <c r="H6916" s="0" t="n">
        <v>40</v>
      </c>
      <c r="I6916" s="0" t="s">
        <v>23128</v>
      </c>
      <c r="J6916" s="0" t="s">
        <v>23129</v>
      </c>
      <c r="K6916" s="0" t="s">
        <v>23130</v>
      </c>
      <c r="L6916" s="0" t="str">
        <f aca="false">HYPERLINK("https://www.ncbi.nlm.nih.gov/nuccore/CP000304.1?report=graph&amp;tracks=[key:gene_model_track,Options:GeneOnly]&amp;mk=1941749:1941768|offset_8|444444,1941781:1941800|offset_40|00cc00,1941838:1941857|offset_97|444444,1941878:1941897|offset_137|444444&amp;v=1941548:1942097&amp;c=444444", "offset 40")</f>
        <v>offset 40</v>
      </c>
    </row>
    <row r="6917" customFormat="false" ht="12.8" hidden="false" customHeight="false" outlineLevel="0" collapsed="false">
      <c r="A6917" s="0" t="s">
        <v>12</v>
      </c>
      <c r="B6917" s="0" t="n">
        <v>1941837</v>
      </c>
      <c r="C6917" s="0" t="n">
        <v>1941857</v>
      </c>
      <c r="D6917" s="0" t="s">
        <v>23124</v>
      </c>
      <c r="E6917" s="0" t="s">
        <v>89</v>
      </c>
      <c r="F6917" s="0" t="s">
        <v>15</v>
      </c>
      <c r="G6917" s="0" t="s">
        <v>32</v>
      </c>
      <c r="H6917" s="0" t="n">
        <v>97</v>
      </c>
      <c r="I6917" s="0" t="s">
        <v>23131</v>
      </c>
      <c r="J6917" s="0" t="s">
        <v>23132</v>
      </c>
      <c r="K6917" s="0" t="s">
        <v>23133</v>
      </c>
      <c r="L6917" s="0" t="str">
        <f aca="false">HYPERLINK("https://www.ncbi.nlm.nih.gov/nuccore/CP000304.1?report=graph&amp;tracks=[key:gene_model_track,Options:GeneOnly]&amp;mk=1941749:1941768|offset_8|444444,1941781:1941800|offset_40|444444,1941838:1941857|offset_97|00cc00,1941878:1941897|offset_137|444444&amp;v=1941548:1942097&amp;c=444444", "offset 97")</f>
        <v>offset 97</v>
      </c>
    </row>
    <row r="6918" customFormat="false" ht="12.8" hidden="false" customHeight="false" outlineLevel="0" collapsed="false">
      <c r="A6918" s="0" t="s">
        <v>12</v>
      </c>
      <c r="B6918" s="0" t="n">
        <v>1941877</v>
      </c>
      <c r="C6918" s="0" t="n">
        <v>1941897</v>
      </c>
      <c r="D6918" s="0" t="s">
        <v>23124</v>
      </c>
      <c r="E6918" s="0" t="s">
        <v>89</v>
      </c>
      <c r="F6918" s="0" t="s">
        <v>15</v>
      </c>
      <c r="G6918" s="0" t="s">
        <v>26</v>
      </c>
      <c r="H6918" s="0" t="n">
        <v>137</v>
      </c>
      <c r="I6918" s="0" t="s">
        <v>23134</v>
      </c>
      <c r="J6918" s="0" t="s">
        <v>23135</v>
      </c>
      <c r="K6918" s="0" t="s">
        <v>23136</v>
      </c>
      <c r="L6918" s="0" t="str">
        <f aca="false">HYPERLINK("https://www.ncbi.nlm.nih.gov/nuccore/CP000304.1?report=graph&amp;tracks=[key:gene_model_track,Options:GeneOnly]&amp;mk=1941749:1941768|offset_8|444444,1941781:1941800|offset_40|444444,1941838:1941857|offset_97|444444,1941878:1941897|offset_137|00cc00&amp;v=1941548:1942097&amp;c=444444", "offset 137")</f>
        <v>offset 137</v>
      </c>
    </row>
    <row r="6919" customFormat="false" ht="12.8" hidden="false" customHeight="false" outlineLevel="0" collapsed="false">
      <c r="A6919" s="0" t="s">
        <v>12</v>
      </c>
      <c r="B6919" s="0" t="n">
        <v>1943675</v>
      </c>
      <c r="C6919" s="0" t="n">
        <v>1943695</v>
      </c>
      <c r="D6919" s="0" t="s">
        <v>23137</v>
      </c>
      <c r="E6919" s="0" t="s">
        <v>89</v>
      </c>
      <c r="F6919" s="0" t="s">
        <v>90</v>
      </c>
      <c r="G6919" s="0" t="s">
        <v>36</v>
      </c>
      <c r="H6919" s="0" t="n">
        <v>6</v>
      </c>
      <c r="I6919" s="0" t="s">
        <v>23138</v>
      </c>
      <c r="J6919" s="0" t="s">
        <v>23139</v>
      </c>
      <c r="K6919" s="0" t="s">
        <v>23140</v>
      </c>
      <c r="L6919" s="0" t="str">
        <f aca="false">HYPERLINK("https://www.ncbi.nlm.nih.gov/nuccore/CP000304.1?report=graph&amp;tracks=[key:gene_model_track,Options:GeneOnly]&amp;mk=1943676:1943695|offset_6|00cc00,1943639:1943658|offset_43|444444,1943615:1943634|offset_67|444444,1943594:1943613|offset_88|444444&amp;v=1943475:1943813&amp;c=444444", "offset 6")</f>
        <v>offset 6</v>
      </c>
    </row>
    <row r="6920" customFormat="false" ht="12.8" hidden="false" customHeight="false" outlineLevel="0" collapsed="false">
      <c r="A6920" s="0" t="s">
        <v>12</v>
      </c>
      <c r="B6920" s="0" t="n">
        <v>1943638</v>
      </c>
      <c r="C6920" s="0" t="n">
        <v>1943658</v>
      </c>
      <c r="D6920" s="0" t="s">
        <v>23137</v>
      </c>
      <c r="E6920" s="0" t="s">
        <v>89</v>
      </c>
      <c r="F6920" s="0" t="s">
        <v>90</v>
      </c>
      <c r="G6920" s="0" t="s">
        <v>32</v>
      </c>
      <c r="H6920" s="0" t="n">
        <v>43</v>
      </c>
      <c r="I6920" s="0" t="s">
        <v>23141</v>
      </c>
      <c r="J6920" s="0" t="s">
        <v>23142</v>
      </c>
      <c r="K6920" s="0" t="s">
        <v>23143</v>
      </c>
      <c r="L6920" s="0" t="str">
        <f aca="false">HYPERLINK("https://www.ncbi.nlm.nih.gov/nuccore/CP000304.1?report=graph&amp;tracks=[key:gene_model_track,Options:GeneOnly]&amp;mk=1943676:1943695|offset_6|444444,1943639:1943658|offset_43|00cc00,1943615:1943634|offset_67|444444,1943594:1943613|offset_88|444444&amp;v=1943475:1943813&amp;c=444444", "offset 43")</f>
        <v>offset 43</v>
      </c>
    </row>
    <row r="6921" customFormat="false" ht="12.8" hidden="false" customHeight="false" outlineLevel="0" collapsed="false">
      <c r="A6921" s="0" t="s">
        <v>12</v>
      </c>
      <c r="B6921" s="0" t="n">
        <v>1943614</v>
      </c>
      <c r="C6921" s="0" t="n">
        <v>1943634</v>
      </c>
      <c r="D6921" s="0" t="s">
        <v>23137</v>
      </c>
      <c r="E6921" s="0" t="s">
        <v>89</v>
      </c>
      <c r="F6921" s="0" t="s">
        <v>90</v>
      </c>
      <c r="G6921" s="0" t="s">
        <v>32</v>
      </c>
      <c r="H6921" s="0" t="n">
        <v>67</v>
      </c>
      <c r="I6921" s="0" t="s">
        <v>23144</v>
      </c>
      <c r="J6921" s="0" t="s">
        <v>23145</v>
      </c>
      <c r="K6921" s="0" t="s">
        <v>23146</v>
      </c>
      <c r="L6921" s="0" t="str">
        <f aca="false">HYPERLINK("https://www.ncbi.nlm.nih.gov/nuccore/CP000304.1?report=graph&amp;tracks=[key:gene_model_track,Options:GeneOnly]&amp;mk=1943676:1943695|offset_6|444444,1943639:1943658|offset_43|444444,1943615:1943634|offset_67|00cc00,1943594:1943613|offset_88|444444&amp;v=1943475:1943813&amp;c=444444", "offset 67")</f>
        <v>offset 67</v>
      </c>
    </row>
    <row r="6922" customFormat="false" ht="12.8" hidden="false" customHeight="false" outlineLevel="0" collapsed="false">
      <c r="A6922" s="0" t="s">
        <v>12</v>
      </c>
      <c r="B6922" s="0" t="n">
        <v>1943593</v>
      </c>
      <c r="C6922" s="0" t="n">
        <v>1943613</v>
      </c>
      <c r="D6922" s="0" t="s">
        <v>23137</v>
      </c>
      <c r="E6922" s="0" t="s">
        <v>89</v>
      </c>
      <c r="F6922" s="0" t="s">
        <v>90</v>
      </c>
      <c r="G6922" s="0" t="s">
        <v>26</v>
      </c>
      <c r="H6922" s="0" t="n">
        <v>88</v>
      </c>
      <c r="I6922" s="0" t="s">
        <v>23147</v>
      </c>
      <c r="J6922" s="0" t="s">
        <v>23148</v>
      </c>
      <c r="K6922" s="0" t="s">
        <v>23149</v>
      </c>
      <c r="L6922" s="0" t="str">
        <f aca="false">HYPERLINK("https://www.ncbi.nlm.nih.gov/nuccore/CP000304.1?report=graph&amp;tracks=[key:gene_model_track,Options:GeneOnly]&amp;mk=1943676:1943695|offset_6|444444,1943639:1943658|offset_43|444444,1943615:1943634|offset_67|444444,1943594:1943613|offset_88|00cc00&amp;v=1943475:1943813&amp;c=444444", "offset 88")</f>
        <v>offset 88</v>
      </c>
    </row>
    <row r="6923" customFormat="false" ht="12.8" hidden="false" customHeight="false" outlineLevel="0" collapsed="false">
      <c r="A6923" s="0" t="s">
        <v>12</v>
      </c>
      <c r="B6923" s="0" t="n">
        <v>1944050</v>
      </c>
      <c r="C6923" s="0" t="n">
        <v>1944070</v>
      </c>
      <c r="D6923" s="0" t="s">
        <v>23150</v>
      </c>
      <c r="E6923" s="0" t="s">
        <v>89</v>
      </c>
      <c r="F6923" s="0" t="s">
        <v>15</v>
      </c>
      <c r="G6923" s="0" t="s">
        <v>16</v>
      </c>
      <c r="H6923" s="0" t="n">
        <v>16</v>
      </c>
      <c r="I6923" s="0" t="s">
        <v>23151</v>
      </c>
      <c r="J6923" s="0" t="s">
        <v>23152</v>
      </c>
      <c r="K6923" s="0" t="s">
        <v>23153</v>
      </c>
      <c r="L6923" s="0" t="str">
        <f aca="false">HYPERLINK("https://www.ncbi.nlm.nih.gov/nuccore/CP000304.1?report=graph&amp;tracks=[key:gene_model_track,Options:GeneOnly]&amp;mk=1944051:1944070|offset_16|00cc00,1944078:1944097|offset_43|444444,1944114:1944133|offset_79|444444,1944141:1944160|offset_106|444444&amp;v=1943850:1944360&amp;c=444444", "offset 16")</f>
        <v>offset 16</v>
      </c>
    </row>
    <row r="6924" customFormat="false" ht="12.8" hidden="false" customHeight="false" outlineLevel="0" collapsed="false">
      <c r="A6924" s="0" t="s">
        <v>12</v>
      </c>
      <c r="B6924" s="0" t="n">
        <v>1944077</v>
      </c>
      <c r="C6924" s="0" t="n">
        <v>1944097</v>
      </c>
      <c r="D6924" s="0" t="s">
        <v>23150</v>
      </c>
      <c r="E6924" s="0" t="s">
        <v>89</v>
      </c>
      <c r="F6924" s="0" t="s">
        <v>15</v>
      </c>
      <c r="G6924" s="0" t="s">
        <v>26</v>
      </c>
      <c r="H6924" s="0" t="n">
        <v>43</v>
      </c>
      <c r="I6924" s="0" t="s">
        <v>23154</v>
      </c>
      <c r="J6924" s="0" t="s">
        <v>23155</v>
      </c>
      <c r="K6924" s="0" t="s">
        <v>23156</v>
      </c>
      <c r="L6924" s="0" t="str">
        <f aca="false">HYPERLINK("https://www.ncbi.nlm.nih.gov/nuccore/CP000304.1?report=graph&amp;tracks=[key:gene_model_track,Options:GeneOnly]&amp;mk=1944051:1944070|offset_16|444444,1944078:1944097|offset_43|00cc00,1944114:1944133|offset_79|444444,1944141:1944160|offset_106|444444&amp;v=1943850:1944360&amp;c=444444", "offset 43")</f>
        <v>offset 43</v>
      </c>
    </row>
    <row r="6925" customFormat="false" ht="12.8" hidden="false" customHeight="false" outlineLevel="0" collapsed="false">
      <c r="A6925" s="0" t="s">
        <v>12</v>
      </c>
      <c r="B6925" s="0" t="n">
        <v>1944113</v>
      </c>
      <c r="C6925" s="0" t="n">
        <v>1944133</v>
      </c>
      <c r="D6925" s="0" t="s">
        <v>23150</v>
      </c>
      <c r="E6925" s="0" t="s">
        <v>89</v>
      </c>
      <c r="F6925" s="0" t="s">
        <v>15</v>
      </c>
      <c r="G6925" s="0" t="s">
        <v>36</v>
      </c>
      <c r="H6925" s="0" t="n">
        <v>79</v>
      </c>
      <c r="I6925" s="0" t="s">
        <v>23157</v>
      </c>
      <c r="J6925" s="0" t="s">
        <v>23158</v>
      </c>
      <c r="K6925" s="0" t="s">
        <v>23159</v>
      </c>
      <c r="L6925" s="0" t="str">
        <f aca="false">HYPERLINK("https://www.ncbi.nlm.nih.gov/nuccore/CP000304.1?report=graph&amp;tracks=[key:gene_model_track,Options:GeneOnly]&amp;mk=1944051:1944070|offset_16|444444,1944078:1944097|offset_43|444444,1944114:1944133|offset_79|00cc00,1944141:1944160|offset_106|444444&amp;v=1943850:1944360&amp;c=444444", "offset 79")</f>
        <v>offset 79</v>
      </c>
    </row>
    <row r="6926" customFormat="false" ht="12.8" hidden="false" customHeight="false" outlineLevel="0" collapsed="false">
      <c r="A6926" s="0" t="s">
        <v>12</v>
      </c>
      <c r="B6926" s="0" t="n">
        <v>1944140</v>
      </c>
      <c r="C6926" s="0" t="n">
        <v>1944160</v>
      </c>
      <c r="D6926" s="0" t="s">
        <v>23150</v>
      </c>
      <c r="E6926" s="0" t="s">
        <v>89</v>
      </c>
      <c r="F6926" s="0" t="s">
        <v>15</v>
      </c>
      <c r="G6926" s="0" t="s">
        <v>26</v>
      </c>
      <c r="H6926" s="0" t="n">
        <v>106</v>
      </c>
      <c r="I6926" s="0" t="s">
        <v>23160</v>
      </c>
      <c r="J6926" s="0" t="s">
        <v>23161</v>
      </c>
      <c r="K6926" s="0" t="s">
        <v>23162</v>
      </c>
      <c r="L6926" s="0" t="str">
        <f aca="false">HYPERLINK("https://www.ncbi.nlm.nih.gov/nuccore/CP000304.1?report=graph&amp;tracks=[key:gene_model_track,Options:GeneOnly]&amp;mk=1944051:1944070|offset_16|444444,1944078:1944097|offset_43|444444,1944114:1944133|offset_79|444444,1944141:1944160|offset_106|00cc00&amp;v=1943850:1944360&amp;c=444444", "offset 106")</f>
        <v>offset 106</v>
      </c>
    </row>
    <row r="6927" customFormat="false" ht="12.8" hidden="false" customHeight="false" outlineLevel="0" collapsed="false">
      <c r="A6927" s="0" t="s">
        <v>12</v>
      </c>
      <c r="B6927" s="0" t="n">
        <v>1946470</v>
      </c>
      <c r="C6927" s="0" t="n">
        <v>1946490</v>
      </c>
      <c r="D6927" s="0" t="s">
        <v>23163</v>
      </c>
      <c r="E6927" s="0" t="s">
        <v>89</v>
      </c>
      <c r="F6927" s="0" t="s">
        <v>90</v>
      </c>
      <c r="G6927" s="0" t="s">
        <v>16</v>
      </c>
      <c r="H6927" s="0" t="n">
        <v>12</v>
      </c>
      <c r="I6927" s="0" t="s">
        <v>23164</v>
      </c>
      <c r="J6927" s="0" t="s">
        <v>23165</v>
      </c>
      <c r="K6927" s="0" t="s">
        <v>23166</v>
      </c>
      <c r="L6927" s="0" t="str">
        <f aca="false">HYPERLINK("https://www.ncbi.nlm.nih.gov/nuccore/CP000304.1?report=graph&amp;tracks=[key:gene_model_track,Options:GeneOnly]&amp;mk=1946471:1946490|offset_12|00cc00,1946449:1946468|offset_34|444444,1946416:1946435|offset_67|444444,1946396:1946415|offset_87|444444&amp;v=1946270:1946615&amp;c=444444", "offset 12")</f>
        <v>offset 12</v>
      </c>
    </row>
    <row r="6928" customFormat="false" ht="12.8" hidden="false" customHeight="false" outlineLevel="0" collapsed="false">
      <c r="A6928" s="0" t="s">
        <v>12</v>
      </c>
      <c r="B6928" s="0" t="n">
        <v>1946448</v>
      </c>
      <c r="C6928" s="0" t="n">
        <v>1946468</v>
      </c>
      <c r="D6928" s="0" t="s">
        <v>23163</v>
      </c>
      <c r="E6928" s="0" t="s">
        <v>89</v>
      </c>
      <c r="F6928" s="0" t="s">
        <v>90</v>
      </c>
      <c r="G6928" s="0" t="s">
        <v>26</v>
      </c>
      <c r="H6928" s="0" t="n">
        <v>34</v>
      </c>
      <c r="I6928" s="0" t="s">
        <v>23167</v>
      </c>
      <c r="J6928" s="0" t="s">
        <v>23168</v>
      </c>
      <c r="K6928" s="0" t="s">
        <v>23169</v>
      </c>
      <c r="L6928" s="0" t="str">
        <f aca="false">HYPERLINK("https://www.ncbi.nlm.nih.gov/nuccore/CP000304.1?report=graph&amp;tracks=[key:gene_model_track,Options:GeneOnly]&amp;mk=1946471:1946490|offset_12|444444,1946449:1946468|offset_34|00cc00,1946416:1946435|offset_67|444444,1946396:1946415|offset_87|444444&amp;v=1946270:1946615&amp;c=444444", "offset 34")</f>
        <v>offset 34</v>
      </c>
    </row>
    <row r="6929" customFormat="false" ht="12.8" hidden="false" customHeight="false" outlineLevel="0" collapsed="false">
      <c r="A6929" s="0" t="s">
        <v>12</v>
      </c>
      <c r="B6929" s="0" t="n">
        <v>1946415</v>
      </c>
      <c r="C6929" s="0" t="n">
        <v>1946435</v>
      </c>
      <c r="D6929" s="0" t="s">
        <v>23163</v>
      </c>
      <c r="E6929" s="0" t="s">
        <v>89</v>
      </c>
      <c r="F6929" s="0" t="s">
        <v>90</v>
      </c>
      <c r="G6929" s="0" t="s">
        <v>16</v>
      </c>
      <c r="H6929" s="0" t="n">
        <v>67</v>
      </c>
      <c r="I6929" s="0" t="s">
        <v>23170</v>
      </c>
      <c r="J6929" s="0" t="s">
        <v>23171</v>
      </c>
      <c r="K6929" s="0" t="s">
        <v>23172</v>
      </c>
      <c r="L6929" s="0" t="str">
        <f aca="false">HYPERLINK("https://www.ncbi.nlm.nih.gov/nuccore/CP000304.1?report=graph&amp;tracks=[key:gene_model_track,Options:GeneOnly]&amp;mk=1946471:1946490|offset_12|444444,1946449:1946468|offset_34|444444,1946416:1946435|offset_67|00cc00,1946396:1946415|offset_87|444444&amp;v=1946270:1946615&amp;c=444444", "offset 67")</f>
        <v>offset 67</v>
      </c>
    </row>
    <row r="6930" customFormat="false" ht="12.8" hidden="false" customHeight="false" outlineLevel="0" collapsed="false">
      <c r="A6930" s="0" t="s">
        <v>12</v>
      </c>
      <c r="B6930" s="0" t="n">
        <v>1946395</v>
      </c>
      <c r="C6930" s="0" t="n">
        <v>1946415</v>
      </c>
      <c r="D6930" s="0" t="s">
        <v>23163</v>
      </c>
      <c r="E6930" s="0" t="s">
        <v>89</v>
      </c>
      <c r="F6930" s="0" t="s">
        <v>90</v>
      </c>
      <c r="G6930" s="0" t="s">
        <v>36</v>
      </c>
      <c r="H6930" s="0" t="n">
        <v>87</v>
      </c>
      <c r="I6930" s="0" t="s">
        <v>23173</v>
      </c>
      <c r="J6930" s="0" t="s">
        <v>23174</v>
      </c>
      <c r="K6930" s="0" t="s">
        <v>23175</v>
      </c>
      <c r="L6930" s="0" t="str">
        <f aca="false">HYPERLINK("https://www.ncbi.nlm.nih.gov/nuccore/CP000304.1?report=graph&amp;tracks=[key:gene_model_track,Options:GeneOnly]&amp;mk=1946471:1946490|offset_12|444444,1946449:1946468|offset_34|444444,1946416:1946435|offset_67|444444,1946396:1946415|offset_87|00cc00&amp;v=1946270:1946615&amp;c=444444", "offset 87")</f>
        <v>offset 87</v>
      </c>
    </row>
    <row r="6931" customFormat="false" ht="12.8" hidden="false" customHeight="false" outlineLevel="0" collapsed="false">
      <c r="A6931" s="0" t="s">
        <v>12</v>
      </c>
      <c r="B6931" s="0" t="n">
        <v>1947535</v>
      </c>
      <c r="C6931" s="0" t="n">
        <v>1947555</v>
      </c>
      <c r="D6931" s="0" t="s">
        <v>23176</v>
      </c>
      <c r="E6931" s="0" t="s">
        <v>89</v>
      </c>
      <c r="F6931" s="0" t="s">
        <v>90</v>
      </c>
      <c r="G6931" s="0" t="s">
        <v>16</v>
      </c>
      <c r="H6931" s="0" t="n">
        <v>0</v>
      </c>
      <c r="I6931" s="0" t="s">
        <v>23177</v>
      </c>
      <c r="J6931" s="0" t="s">
        <v>23178</v>
      </c>
      <c r="K6931" s="0" t="s">
        <v>23179</v>
      </c>
      <c r="L6931" s="0" t="str">
        <f aca="false">HYPERLINK("https://www.ncbi.nlm.nih.gov/nuccore/CP000304.1?report=graph&amp;tracks=[key:gene_model_track,Options:GeneOnly]&amp;mk=1947536:1947555|offset_0|00cc00,1947513:1947532|offset_23|444444,1947473:1947492|offset_63|444444,1947438:1947457|offset_98|444444&amp;v=1947335:1947657&amp;c=444444", "offset 0")</f>
        <v>offset 0</v>
      </c>
    </row>
    <row r="6932" customFormat="false" ht="12.8" hidden="false" customHeight="false" outlineLevel="0" collapsed="false">
      <c r="A6932" s="0" t="s">
        <v>12</v>
      </c>
      <c r="B6932" s="0" t="n">
        <v>1947512</v>
      </c>
      <c r="C6932" s="0" t="n">
        <v>1947532</v>
      </c>
      <c r="D6932" s="0" t="s">
        <v>23176</v>
      </c>
      <c r="E6932" s="0" t="s">
        <v>89</v>
      </c>
      <c r="F6932" s="0" t="s">
        <v>90</v>
      </c>
      <c r="G6932" s="0" t="s">
        <v>36</v>
      </c>
      <c r="H6932" s="0" t="n">
        <v>23</v>
      </c>
      <c r="I6932" s="0" t="s">
        <v>23180</v>
      </c>
      <c r="J6932" s="0" t="s">
        <v>23181</v>
      </c>
      <c r="K6932" s="0" t="s">
        <v>23182</v>
      </c>
      <c r="L6932" s="0" t="str">
        <f aca="false">HYPERLINK("https://www.ncbi.nlm.nih.gov/nuccore/CP000304.1?report=graph&amp;tracks=[key:gene_model_track,Options:GeneOnly]&amp;mk=1947536:1947555|offset_0|444444,1947513:1947532|offset_23|00cc00,1947473:1947492|offset_63|444444,1947438:1947457|offset_98|444444&amp;v=1947335:1947657&amp;c=444444", "offset 23")</f>
        <v>offset 23</v>
      </c>
    </row>
    <row r="6933" customFormat="false" ht="12.8" hidden="false" customHeight="false" outlineLevel="0" collapsed="false">
      <c r="A6933" s="0" t="s">
        <v>12</v>
      </c>
      <c r="B6933" s="0" t="n">
        <v>1947472</v>
      </c>
      <c r="C6933" s="0" t="n">
        <v>1947492</v>
      </c>
      <c r="D6933" s="0" t="s">
        <v>23176</v>
      </c>
      <c r="E6933" s="0" t="s">
        <v>89</v>
      </c>
      <c r="F6933" s="0" t="s">
        <v>90</v>
      </c>
      <c r="G6933" s="0" t="s">
        <v>36</v>
      </c>
      <c r="H6933" s="0" t="n">
        <v>63</v>
      </c>
      <c r="I6933" s="0" t="s">
        <v>23183</v>
      </c>
      <c r="J6933" s="0" t="s">
        <v>23184</v>
      </c>
      <c r="K6933" s="0" t="s">
        <v>23185</v>
      </c>
      <c r="L6933" s="0" t="str">
        <f aca="false">HYPERLINK("https://www.ncbi.nlm.nih.gov/nuccore/CP000304.1?report=graph&amp;tracks=[key:gene_model_track,Options:GeneOnly]&amp;mk=1947536:1947555|offset_0|444444,1947513:1947532|offset_23|444444,1947473:1947492|offset_63|00cc00,1947438:1947457|offset_98|444444&amp;v=1947335:1947657&amp;c=444444", "offset 63")</f>
        <v>offset 63</v>
      </c>
    </row>
    <row r="6934" customFormat="false" ht="12.8" hidden="false" customHeight="false" outlineLevel="0" collapsed="false">
      <c r="A6934" s="0" t="s">
        <v>12</v>
      </c>
      <c r="B6934" s="0" t="n">
        <v>1947437</v>
      </c>
      <c r="C6934" s="0" t="n">
        <v>1947457</v>
      </c>
      <c r="D6934" s="0" t="s">
        <v>23176</v>
      </c>
      <c r="E6934" s="0" t="s">
        <v>89</v>
      </c>
      <c r="F6934" s="0" t="s">
        <v>90</v>
      </c>
      <c r="G6934" s="0" t="s">
        <v>32</v>
      </c>
      <c r="H6934" s="0" t="n">
        <v>98</v>
      </c>
      <c r="I6934" s="0" t="s">
        <v>23186</v>
      </c>
      <c r="J6934" s="0" t="s">
        <v>23187</v>
      </c>
      <c r="K6934" s="0" t="s">
        <v>23188</v>
      </c>
      <c r="L6934" s="0" t="str">
        <f aca="false">HYPERLINK("https://www.ncbi.nlm.nih.gov/nuccore/CP000304.1?report=graph&amp;tracks=[key:gene_model_track,Options:GeneOnly]&amp;mk=1947536:1947555|offset_0|444444,1947513:1947532|offset_23|444444,1947473:1947492|offset_63|444444,1947438:1947457|offset_98|00cc00&amp;v=1947335:1947657&amp;c=444444", "offset 98")</f>
        <v>offset 98</v>
      </c>
    </row>
    <row r="6935" customFormat="false" ht="12.8" hidden="false" customHeight="false" outlineLevel="0" collapsed="false">
      <c r="A6935" s="0" t="s">
        <v>12</v>
      </c>
      <c r="B6935" s="0" t="n">
        <v>1947754</v>
      </c>
      <c r="C6935" s="0" t="n">
        <v>1947774</v>
      </c>
      <c r="D6935" s="0" t="s">
        <v>23189</v>
      </c>
      <c r="E6935" s="0" t="s">
        <v>23190</v>
      </c>
      <c r="F6935" s="0" t="s">
        <v>15</v>
      </c>
      <c r="G6935" s="0" t="s">
        <v>32</v>
      </c>
      <c r="H6935" s="0" t="n">
        <v>0</v>
      </c>
      <c r="I6935" s="0" t="s">
        <v>23191</v>
      </c>
      <c r="J6935" s="0" t="s">
        <v>23192</v>
      </c>
      <c r="K6935" s="0" t="s">
        <v>23193</v>
      </c>
      <c r="L6935" s="0" t="str">
        <f aca="false">HYPERLINK("https://www.ncbi.nlm.nih.gov/nuccore/CP000304.1?report=graph&amp;tracks=[key:gene_model_track,Options:GeneOnly]&amp;mk=1947755:1947774|offset_0|00cc00,1947807:1947826|offset_52|444444,1947829:1947848|offset_74|444444,1947852:1947871|offset_97|444444&amp;v=1947554:1948071&amp;c=444444", "offset 0")</f>
        <v>offset 0</v>
      </c>
    </row>
    <row r="6936" customFormat="false" ht="12.8" hidden="false" customHeight="false" outlineLevel="0" collapsed="false">
      <c r="A6936" s="0" t="s">
        <v>12</v>
      </c>
      <c r="B6936" s="0" t="n">
        <v>1947806</v>
      </c>
      <c r="C6936" s="0" t="n">
        <v>1947826</v>
      </c>
      <c r="D6936" s="0" t="s">
        <v>23189</v>
      </c>
      <c r="E6936" s="0" t="s">
        <v>23190</v>
      </c>
      <c r="F6936" s="0" t="s">
        <v>15</v>
      </c>
      <c r="G6936" s="0" t="s">
        <v>32</v>
      </c>
      <c r="H6936" s="0" t="n">
        <v>52</v>
      </c>
      <c r="I6936" s="0" t="s">
        <v>23194</v>
      </c>
      <c r="J6936" s="0" t="s">
        <v>23195</v>
      </c>
      <c r="K6936" s="0" t="s">
        <v>23196</v>
      </c>
      <c r="L6936" s="0" t="str">
        <f aca="false">HYPERLINK("https://www.ncbi.nlm.nih.gov/nuccore/CP000304.1?report=graph&amp;tracks=[key:gene_model_track,Options:GeneOnly]&amp;mk=1947755:1947774|offset_0|444444,1947807:1947826|offset_52|00cc00,1947829:1947848|offset_74|444444,1947852:1947871|offset_97|444444&amp;v=1947554:1948071&amp;c=444444", "offset 52")</f>
        <v>offset 52</v>
      </c>
    </row>
    <row r="6937" customFormat="false" ht="12.8" hidden="false" customHeight="false" outlineLevel="0" collapsed="false">
      <c r="A6937" s="0" t="s">
        <v>12</v>
      </c>
      <c r="B6937" s="0" t="n">
        <v>1947828</v>
      </c>
      <c r="C6937" s="0" t="n">
        <v>1947848</v>
      </c>
      <c r="D6937" s="0" t="s">
        <v>23189</v>
      </c>
      <c r="E6937" s="0" t="s">
        <v>23190</v>
      </c>
      <c r="F6937" s="0" t="s">
        <v>15</v>
      </c>
      <c r="G6937" s="0" t="s">
        <v>36</v>
      </c>
      <c r="H6937" s="0" t="n">
        <v>74</v>
      </c>
      <c r="I6937" s="0" t="s">
        <v>23197</v>
      </c>
      <c r="J6937" s="0" t="s">
        <v>23198</v>
      </c>
      <c r="K6937" s="0" t="s">
        <v>23199</v>
      </c>
      <c r="L6937" s="0" t="str">
        <f aca="false">HYPERLINK("https://www.ncbi.nlm.nih.gov/nuccore/CP000304.1?report=graph&amp;tracks=[key:gene_model_track,Options:GeneOnly]&amp;mk=1947755:1947774|offset_0|444444,1947807:1947826|offset_52|444444,1947829:1947848|offset_74|00cc00,1947852:1947871|offset_97|444444&amp;v=1947554:1948071&amp;c=444444", "offset 74")</f>
        <v>offset 74</v>
      </c>
    </row>
    <row r="6938" customFormat="false" ht="12.8" hidden="false" customHeight="false" outlineLevel="0" collapsed="false">
      <c r="A6938" s="0" t="s">
        <v>12</v>
      </c>
      <c r="B6938" s="0" t="n">
        <v>1947851</v>
      </c>
      <c r="C6938" s="0" t="n">
        <v>1947871</v>
      </c>
      <c r="D6938" s="0" t="s">
        <v>23189</v>
      </c>
      <c r="E6938" s="0" t="s">
        <v>23190</v>
      </c>
      <c r="F6938" s="0" t="s">
        <v>15</v>
      </c>
      <c r="G6938" s="0" t="s">
        <v>32</v>
      </c>
      <c r="H6938" s="0" t="n">
        <v>97</v>
      </c>
      <c r="I6938" s="0" t="s">
        <v>23200</v>
      </c>
      <c r="J6938" s="0" t="s">
        <v>23201</v>
      </c>
      <c r="K6938" s="0" t="s">
        <v>23202</v>
      </c>
      <c r="L6938" s="0" t="str">
        <f aca="false">HYPERLINK("https://www.ncbi.nlm.nih.gov/nuccore/CP000304.1?report=graph&amp;tracks=[key:gene_model_track,Options:GeneOnly]&amp;mk=1947755:1947774|offset_0|444444,1947807:1947826|offset_52|444444,1947829:1947848|offset_74|444444,1947852:1947871|offset_97|00cc00&amp;v=1947554:1948071&amp;c=444444", "offset 97")</f>
        <v>offset 97</v>
      </c>
    </row>
    <row r="6939" customFormat="false" ht="12.8" hidden="false" customHeight="false" outlineLevel="0" collapsed="false">
      <c r="A6939" s="0" t="s">
        <v>12</v>
      </c>
      <c r="B6939" s="0" t="n">
        <v>1949198</v>
      </c>
      <c r="C6939" s="0" t="n">
        <v>1949218</v>
      </c>
      <c r="D6939" s="0" t="s">
        <v>23203</v>
      </c>
      <c r="E6939" s="0" t="s">
        <v>23204</v>
      </c>
      <c r="F6939" s="0" t="s">
        <v>15</v>
      </c>
      <c r="G6939" s="0" t="s">
        <v>32</v>
      </c>
      <c r="H6939" s="0" t="n">
        <v>1</v>
      </c>
      <c r="I6939" s="0" t="s">
        <v>23205</v>
      </c>
      <c r="J6939" s="0" t="s">
        <v>23206</v>
      </c>
      <c r="K6939" s="0" t="s">
        <v>23207</v>
      </c>
      <c r="L6939" s="0" t="str">
        <f aca="false">HYPERLINK("https://www.ncbi.nlm.nih.gov/nuccore/CP000304.1?report=graph&amp;tracks=[key:gene_model_track,Options:GeneOnly]&amp;mk=1949199:1949218|offset_1|00cc00,1949296:1949315|offset_98|444444,1949322:1949341|offset_124|444444,1949346:1949365|offset_148|444444&amp;v=1948998:1949565&amp;c=444444", "offset 1")</f>
        <v>offset 1</v>
      </c>
    </row>
    <row r="6940" customFormat="false" ht="12.8" hidden="false" customHeight="false" outlineLevel="0" collapsed="false">
      <c r="A6940" s="0" t="s">
        <v>12</v>
      </c>
      <c r="B6940" s="0" t="n">
        <v>1949295</v>
      </c>
      <c r="C6940" s="0" t="n">
        <v>1949315</v>
      </c>
      <c r="D6940" s="0" t="s">
        <v>23203</v>
      </c>
      <c r="E6940" s="0" t="s">
        <v>23204</v>
      </c>
      <c r="F6940" s="0" t="s">
        <v>15</v>
      </c>
      <c r="G6940" s="0" t="s">
        <v>26</v>
      </c>
      <c r="H6940" s="0" t="n">
        <v>98</v>
      </c>
      <c r="I6940" s="0" t="s">
        <v>23208</v>
      </c>
      <c r="J6940" s="0" t="s">
        <v>23209</v>
      </c>
      <c r="K6940" s="0" t="s">
        <v>23210</v>
      </c>
      <c r="L6940" s="0" t="str">
        <f aca="false">HYPERLINK("https://www.ncbi.nlm.nih.gov/nuccore/CP000304.1?report=graph&amp;tracks=[key:gene_model_track,Options:GeneOnly]&amp;mk=1949199:1949218|offset_1|444444,1949296:1949315|offset_98|00cc00,1949322:1949341|offset_124|444444,1949346:1949365|offset_148|444444&amp;v=1948998:1949565&amp;c=444444", "offset 98")</f>
        <v>offset 98</v>
      </c>
    </row>
    <row r="6941" customFormat="false" ht="12.8" hidden="false" customHeight="false" outlineLevel="0" collapsed="false">
      <c r="A6941" s="0" t="s">
        <v>12</v>
      </c>
      <c r="B6941" s="0" t="n">
        <v>1949321</v>
      </c>
      <c r="C6941" s="0" t="n">
        <v>1949341</v>
      </c>
      <c r="D6941" s="0" t="s">
        <v>23203</v>
      </c>
      <c r="E6941" s="0" t="s">
        <v>23204</v>
      </c>
      <c r="F6941" s="0" t="s">
        <v>15</v>
      </c>
      <c r="G6941" s="0" t="s">
        <v>16</v>
      </c>
      <c r="H6941" s="0" t="n">
        <v>124</v>
      </c>
      <c r="I6941" s="0" t="s">
        <v>23211</v>
      </c>
      <c r="J6941" s="0" t="s">
        <v>23212</v>
      </c>
      <c r="K6941" s="0" t="s">
        <v>23213</v>
      </c>
      <c r="L6941" s="0" t="str">
        <f aca="false">HYPERLINK("https://www.ncbi.nlm.nih.gov/nuccore/CP000304.1?report=graph&amp;tracks=[key:gene_model_track,Options:GeneOnly]&amp;mk=1949199:1949218|offset_1|444444,1949296:1949315|offset_98|444444,1949322:1949341|offset_124|00cc00,1949346:1949365|offset_148|444444&amp;v=1948998:1949565&amp;c=444444", "offset 124")</f>
        <v>offset 124</v>
      </c>
    </row>
    <row r="6942" customFormat="false" ht="12.8" hidden="false" customHeight="false" outlineLevel="0" collapsed="false">
      <c r="A6942" s="0" t="s">
        <v>12</v>
      </c>
      <c r="B6942" s="0" t="n">
        <v>1949345</v>
      </c>
      <c r="C6942" s="0" t="n">
        <v>1949365</v>
      </c>
      <c r="D6942" s="0" t="s">
        <v>23203</v>
      </c>
      <c r="E6942" s="0" t="s">
        <v>23204</v>
      </c>
      <c r="F6942" s="0" t="s">
        <v>15</v>
      </c>
      <c r="G6942" s="0" t="s">
        <v>16</v>
      </c>
      <c r="H6942" s="0" t="n">
        <v>148</v>
      </c>
      <c r="I6942" s="0" t="s">
        <v>23214</v>
      </c>
      <c r="J6942" s="0" t="s">
        <v>23215</v>
      </c>
      <c r="K6942" s="0" t="s">
        <v>23216</v>
      </c>
      <c r="L6942" s="0" t="str">
        <f aca="false">HYPERLINK("https://www.ncbi.nlm.nih.gov/nuccore/CP000304.1?report=graph&amp;tracks=[key:gene_model_track,Options:GeneOnly]&amp;mk=1949199:1949218|offset_1|444444,1949296:1949315|offset_98|444444,1949322:1949341|offset_124|444444,1949346:1949365|offset_148|00cc00&amp;v=1948998:1949565&amp;c=444444", "offset 148")</f>
        <v>offset 148</v>
      </c>
    </row>
    <row r="6943" customFormat="false" ht="12.8" hidden="false" customHeight="false" outlineLevel="0" collapsed="false">
      <c r="A6943" s="0" t="s">
        <v>12</v>
      </c>
      <c r="B6943" s="0" t="n">
        <v>1950211</v>
      </c>
      <c r="C6943" s="0" t="n">
        <v>1950231</v>
      </c>
      <c r="D6943" s="0" t="s">
        <v>23217</v>
      </c>
      <c r="E6943" s="0" t="s">
        <v>89</v>
      </c>
      <c r="F6943" s="0" t="s">
        <v>15</v>
      </c>
      <c r="G6943" s="0" t="s">
        <v>36</v>
      </c>
      <c r="H6943" s="0" t="n">
        <v>7</v>
      </c>
      <c r="I6943" s="0" t="s">
        <v>23218</v>
      </c>
      <c r="J6943" s="0" t="s">
        <v>23219</v>
      </c>
      <c r="K6943" s="0" t="s">
        <v>23220</v>
      </c>
      <c r="L6943" s="0" t="str">
        <f aca="false">HYPERLINK("https://www.ncbi.nlm.nih.gov/nuccore/CP000304.1?report=graph&amp;tracks=[key:gene_model_track,Options:GeneOnly]&amp;mk=1950212:1950231|offset_7|00cc00,1950233:1950252|offset_28|444444,1950253:1950272|offset_48|444444,1950323:1950342|offset_118|444444&amp;v=1950011:1950542&amp;c=444444", "offset 7")</f>
        <v>offset 7</v>
      </c>
    </row>
    <row r="6944" customFormat="false" ht="12.8" hidden="false" customHeight="false" outlineLevel="0" collapsed="false">
      <c r="A6944" s="0" t="s">
        <v>12</v>
      </c>
      <c r="B6944" s="0" t="n">
        <v>1950232</v>
      </c>
      <c r="C6944" s="0" t="n">
        <v>1950252</v>
      </c>
      <c r="D6944" s="0" t="s">
        <v>23217</v>
      </c>
      <c r="E6944" s="0" t="s">
        <v>89</v>
      </c>
      <c r="F6944" s="0" t="s">
        <v>15</v>
      </c>
      <c r="G6944" s="0" t="s">
        <v>16</v>
      </c>
      <c r="H6944" s="0" t="n">
        <v>28</v>
      </c>
      <c r="I6944" s="0" t="s">
        <v>23221</v>
      </c>
      <c r="J6944" s="0" t="s">
        <v>23222</v>
      </c>
      <c r="K6944" s="0" t="s">
        <v>23223</v>
      </c>
      <c r="L6944" s="0" t="str">
        <f aca="false">HYPERLINK("https://www.ncbi.nlm.nih.gov/nuccore/CP000304.1?report=graph&amp;tracks=[key:gene_model_track,Options:GeneOnly]&amp;mk=1950212:1950231|offset_7|444444,1950233:1950252|offset_28|00cc00,1950253:1950272|offset_48|444444,1950323:1950342|offset_118|444444&amp;v=1950011:1950542&amp;c=444444", "offset 28")</f>
        <v>offset 28</v>
      </c>
    </row>
    <row r="6945" customFormat="false" ht="12.8" hidden="false" customHeight="false" outlineLevel="0" collapsed="false">
      <c r="A6945" s="0" t="s">
        <v>12</v>
      </c>
      <c r="B6945" s="0" t="n">
        <v>1950252</v>
      </c>
      <c r="C6945" s="0" t="n">
        <v>1950272</v>
      </c>
      <c r="D6945" s="0" t="s">
        <v>23217</v>
      </c>
      <c r="E6945" s="0" t="s">
        <v>89</v>
      </c>
      <c r="F6945" s="0" t="s">
        <v>15</v>
      </c>
      <c r="G6945" s="0" t="s">
        <v>32</v>
      </c>
      <c r="H6945" s="0" t="n">
        <v>48</v>
      </c>
      <c r="I6945" s="0" t="s">
        <v>23224</v>
      </c>
      <c r="J6945" s="0" t="s">
        <v>23225</v>
      </c>
      <c r="K6945" s="0" t="s">
        <v>23226</v>
      </c>
      <c r="L6945" s="0" t="str">
        <f aca="false">HYPERLINK("https://www.ncbi.nlm.nih.gov/nuccore/CP000304.1?report=graph&amp;tracks=[key:gene_model_track,Options:GeneOnly]&amp;mk=1950212:1950231|offset_7|444444,1950233:1950252|offset_28|444444,1950253:1950272|offset_48|00cc00,1950323:1950342|offset_118|444444&amp;v=1950011:1950542&amp;c=444444", "offset 48")</f>
        <v>offset 48</v>
      </c>
    </row>
    <row r="6946" customFormat="false" ht="12.8" hidden="false" customHeight="false" outlineLevel="0" collapsed="false">
      <c r="A6946" s="0" t="s">
        <v>12</v>
      </c>
      <c r="B6946" s="0" t="n">
        <v>1950322</v>
      </c>
      <c r="C6946" s="0" t="n">
        <v>1950342</v>
      </c>
      <c r="D6946" s="0" t="s">
        <v>23217</v>
      </c>
      <c r="E6946" s="0" t="s">
        <v>89</v>
      </c>
      <c r="F6946" s="0" t="s">
        <v>15</v>
      </c>
      <c r="G6946" s="0" t="s">
        <v>26</v>
      </c>
      <c r="H6946" s="0" t="n">
        <v>118</v>
      </c>
      <c r="I6946" s="0" t="s">
        <v>23227</v>
      </c>
      <c r="J6946" s="0" t="s">
        <v>23228</v>
      </c>
      <c r="K6946" s="0" t="s">
        <v>23229</v>
      </c>
      <c r="L6946" s="0" t="str">
        <f aca="false">HYPERLINK("https://www.ncbi.nlm.nih.gov/nuccore/CP000304.1?report=graph&amp;tracks=[key:gene_model_track,Options:GeneOnly]&amp;mk=1950212:1950231|offset_7|444444,1950233:1950252|offset_28|444444,1950253:1950272|offset_48|444444,1950323:1950342|offset_118|00cc00&amp;v=1950011:1950542&amp;c=444444", "offset 118")</f>
        <v>offset 118</v>
      </c>
    </row>
    <row r="6947" customFormat="false" ht="12.8" hidden="false" customHeight="false" outlineLevel="0" collapsed="false">
      <c r="A6947" s="0" t="s">
        <v>12</v>
      </c>
      <c r="B6947" s="0" t="n">
        <v>1951566</v>
      </c>
      <c r="C6947" s="0" t="n">
        <v>1951586</v>
      </c>
      <c r="D6947" s="0" t="s">
        <v>23230</v>
      </c>
      <c r="E6947" s="0" t="s">
        <v>89</v>
      </c>
      <c r="F6947" s="0" t="s">
        <v>90</v>
      </c>
      <c r="G6947" s="0" t="s">
        <v>16</v>
      </c>
      <c r="H6947" s="0" t="n">
        <v>90</v>
      </c>
      <c r="I6947" s="0" t="s">
        <v>23231</v>
      </c>
      <c r="J6947" s="0" t="s">
        <v>23232</v>
      </c>
      <c r="K6947" s="0" t="s">
        <v>23233</v>
      </c>
      <c r="L6947" s="0" t="str">
        <f aca="false">HYPERLINK("https://www.ncbi.nlm.nih.gov/nuccore/CP000304.1?report=graph&amp;tracks=[key:gene_model_track,Options:GeneOnly]&amp;mk=1951567:1951586|offset_90|00cc00,1951526:1951545|offset_131|444444,1951495:1951514|offset_162|444444,1951470:1951489|offset_187|444444&amp;v=1951366:1951689&amp;c=444444", "offset 90")</f>
        <v>offset 90</v>
      </c>
    </row>
    <row r="6948" customFormat="false" ht="12.8" hidden="false" customHeight="false" outlineLevel="0" collapsed="false">
      <c r="A6948" s="0" t="s">
        <v>12</v>
      </c>
      <c r="B6948" s="0" t="n">
        <v>1951525</v>
      </c>
      <c r="C6948" s="0" t="n">
        <v>1951545</v>
      </c>
      <c r="D6948" s="0" t="s">
        <v>23230</v>
      </c>
      <c r="E6948" s="0" t="s">
        <v>89</v>
      </c>
      <c r="F6948" s="0" t="s">
        <v>90</v>
      </c>
      <c r="G6948" s="0" t="s">
        <v>26</v>
      </c>
      <c r="H6948" s="0" t="n">
        <v>131</v>
      </c>
      <c r="I6948" s="0" t="s">
        <v>23234</v>
      </c>
      <c r="J6948" s="0" t="s">
        <v>23235</v>
      </c>
      <c r="K6948" s="0" t="s">
        <v>23236</v>
      </c>
      <c r="L6948" s="0" t="str">
        <f aca="false">HYPERLINK("https://www.ncbi.nlm.nih.gov/nuccore/CP000304.1?report=graph&amp;tracks=[key:gene_model_track,Options:GeneOnly]&amp;mk=1951567:1951586|offset_90|444444,1951526:1951545|offset_131|00cc00,1951495:1951514|offset_162|444444,1951470:1951489|offset_187|444444&amp;v=1951366:1951689&amp;c=444444", "offset 131")</f>
        <v>offset 131</v>
      </c>
    </row>
    <row r="6949" customFormat="false" ht="12.8" hidden="false" customHeight="false" outlineLevel="0" collapsed="false">
      <c r="A6949" s="0" t="s">
        <v>12</v>
      </c>
      <c r="B6949" s="0" t="n">
        <v>1951494</v>
      </c>
      <c r="C6949" s="0" t="n">
        <v>1951514</v>
      </c>
      <c r="D6949" s="0" t="s">
        <v>23230</v>
      </c>
      <c r="E6949" s="0" t="s">
        <v>89</v>
      </c>
      <c r="F6949" s="0" t="s">
        <v>90</v>
      </c>
      <c r="G6949" s="0" t="s">
        <v>32</v>
      </c>
      <c r="H6949" s="0" t="n">
        <v>162</v>
      </c>
      <c r="I6949" s="0" t="s">
        <v>23237</v>
      </c>
      <c r="J6949" s="0" t="s">
        <v>23238</v>
      </c>
      <c r="K6949" s="0" t="s">
        <v>23239</v>
      </c>
      <c r="L6949" s="0" t="str">
        <f aca="false">HYPERLINK("https://www.ncbi.nlm.nih.gov/nuccore/CP000304.1?report=graph&amp;tracks=[key:gene_model_track,Options:GeneOnly]&amp;mk=1951567:1951586|offset_90|444444,1951526:1951545|offset_131|444444,1951495:1951514|offset_162|00cc00,1951470:1951489|offset_187|444444&amp;v=1951366:1951689&amp;c=444444", "offset 162")</f>
        <v>offset 162</v>
      </c>
    </row>
    <row r="6950" customFormat="false" ht="12.8" hidden="false" customHeight="false" outlineLevel="0" collapsed="false">
      <c r="A6950" s="0" t="s">
        <v>12</v>
      </c>
      <c r="B6950" s="0" t="n">
        <v>1951469</v>
      </c>
      <c r="C6950" s="0" t="n">
        <v>1951489</v>
      </c>
      <c r="D6950" s="0" t="s">
        <v>23230</v>
      </c>
      <c r="E6950" s="0" t="s">
        <v>89</v>
      </c>
      <c r="F6950" s="0" t="s">
        <v>90</v>
      </c>
      <c r="G6950" s="0" t="s">
        <v>16</v>
      </c>
      <c r="H6950" s="0" t="n">
        <v>187</v>
      </c>
      <c r="I6950" s="0" t="s">
        <v>23240</v>
      </c>
      <c r="J6950" s="0" t="s">
        <v>23241</v>
      </c>
      <c r="K6950" s="0" t="s">
        <v>23242</v>
      </c>
      <c r="L6950" s="0" t="str">
        <f aca="false">HYPERLINK("https://www.ncbi.nlm.nih.gov/nuccore/CP000304.1?report=graph&amp;tracks=[key:gene_model_track,Options:GeneOnly]&amp;mk=1951567:1951586|offset_90|444444,1951526:1951545|offset_131|444444,1951495:1951514|offset_162|444444,1951470:1951489|offset_187|00cc00&amp;v=1951366:1951689&amp;c=444444", "offset 187")</f>
        <v>offset 187</v>
      </c>
    </row>
    <row r="6951" customFormat="false" ht="12.8" hidden="false" customHeight="false" outlineLevel="0" collapsed="false">
      <c r="A6951" s="0" t="s">
        <v>12</v>
      </c>
      <c r="B6951" s="0" t="n">
        <v>1952656</v>
      </c>
      <c r="C6951" s="0" t="n">
        <v>1952676</v>
      </c>
      <c r="D6951" s="0" t="s">
        <v>23243</v>
      </c>
      <c r="E6951" s="0" t="s">
        <v>89</v>
      </c>
      <c r="F6951" s="0" t="s">
        <v>90</v>
      </c>
      <c r="G6951" s="0" t="s">
        <v>26</v>
      </c>
      <c r="H6951" s="0" t="n">
        <v>10</v>
      </c>
      <c r="I6951" s="0" t="s">
        <v>23244</v>
      </c>
      <c r="J6951" s="0" t="s">
        <v>23245</v>
      </c>
      <c r="K6951" s="0" t="s">
        <v>23246</v>
      </c>
      <c r="L6951" s="0" t="str">
        <f aca="false">HYPERLINK("https://www.ncbi.nlm.nih.gov/nuccore/CP000304.1?report=graph&amp;tracks=[key:gene_model_track,Options:GeneOnly]&amp;mk=1952657:1952676|offset_10|00cc00,1952629:1952648|offset_38|444444,1952591:1952610|offset_76|444444,1952571:1952590|offset_96|444444&amp;v=1952456:1952790&amp;c=444444", "offset 10")</f>
        <v>offset 10</v>
      </c>
    </row>
    <row r="6952" customFormat="false" ht="12.8" hidden="false" customHeight="false" outlineLevel="0" collapsed="false">
      <c r="A6952" s="0" t="s">
        <v>12</v>
      </c>
      <c r="B6952" s="0" t="n">
        <v>1952628</v>
      </c>
      <c r="C6952" s="0" t="n">
        <v>1952648</v>
      </c>
      <c r="D6952" s="0" t="s">
        <v>23243</v>
      </c>
      <c r="E6952" s="0" t="s">
        <v>89</v>
      </c>
      <c r="F6952" s="0" t="s">
        <v>90</v>
      </c>
      <c r="G6952" s="0" t="s">
        <v>26</v>
      </c>
      <c r="H6952" s="0" t="n">
        <v>38</v>
      </c>
      <c r="I6952" s="0" t="s">
        <v>23247</v>
      </c>
      <c r="J6952" s="0" t="s">
        <v>23248</v>
      </c>
      <c r="K6952" s="0" t="s">
        <v>23249</v>
      </c>
      <c r="L6952" s="0" t="str">
        <f aca="false">HYPERLINK("https://www.ncbi.nlm.nih.gov/nuccore/CP000304.1?report=graph&amp;tracks=[key:gene_model_track,Options:GeneOnly]&amp;mk=1952657:1952676|offset_10|444444,1952629:1952648|offset_38|00cc00,1952591:1952610|offset_76|444444,1952571:1952590|offset_96|444444&amp;v=1952456:1952790&amp;c=444444", "offset 38")</f>
        <v>offset 38</v>
      </c>
    </row>
    <row r="6953" customFormat="false" ht="12.8" hidden="false" customHeight="false" outlineLevel="0" collapsed="false">
      <c r="A6953" s="0" t="s">
        <v>12</v>
      </c>
      <c r="B6953" s="0" t="n">
        <v>1952590</v>
      </c>
      <c r="C6953" s="0" t="n">
        <v>1952610</v>
      </c>
      <c r="D6953" s="0" t="s">
        <v>23243</v>
      </c>
      <c r="E6953" s="0" t="s">
        <v>89</v>
      </c>
      <c r="F6953" s="0" t="s">
        <v>90</v>
      </c>
      <c r="G6953" s="0" t="s">
        <v>36</v>
      </c>
      <c r="H6953" s="0" t="n">
        <v>76</v>
      </c>
      <c r="I6953" s="0" t="s">
        <v>23250</v>
      </c>
      <c r="J6953" s="0" t="s">
        <v>23251</v>
      </c>
      <c r="K6953" s="0" t="s">
        <v>23252</v>
      </c>
      <c r="L6953" s="0" t="str">
        <f aca="false">HYPERLINK("https://www.ncbi.nlm.nih.gov/nuccore/CP000304.1?report=graph&amp;tracks=[key:gene_model_track,Options:GeneOnly]&amp;mk=1952657:1952676|offset_10|444444,1952629:1952648|offset_38|444444,1952591:1952610|offset_76|00cc00,1952571:1952590|offset_96|444444&amp;v=1952456:1952790&amp;c=444444", "offset 76")</f>
        <v>offset 76</v>
      </c>
    </row>
    <row r="6954" customFormat="false" ht="12.8" hidden="false" customHeight="false" outlineLevel="0" collapsed="false">
      <c r="A6954" s="0" t="s">
        <v>12</v>
      </c>
      <c r="B6954" s="0" t="n">
        <v>1952570</v>
      </c>
      <c r="C6954" s="0" t="n">
        <v>1952590</v>
      </c>
      <c r="D6954" s="0" t="s">
        <v>23243</v>
      </c>
      <c r="E6954" s="0" t="s">
        <v>89</v>
      </c>
      <c r="F6954" s="0" t="s">
        <v>90</v>
      </c>
      <c r="G6954" s="0" t="s">
        <v>16</v>
      </c>
      <c r="H6954" s="0" t="n">
        <v>96</v>
      </c>
      <c r="I6954" s="0" t="s">
        <v>23253</v>
      </c>
      <c r="J6954" s="0" t="s">
        <v>23254</v>
      </c>
      <c r="K6954" s="0" t="s">
        <v>23255</v>
      </c>
      <c r="L6954" s="0" t="str">
        <f aca="false">HYPERLINK("https://www.ncbi.nlm.nih.gov/nuccore/CP000304.1?report=graph&amp;tracks=[key:gene_model_track,Options:GeneOnly]&amp;mk=1952657:1952676|offset_10|444444,1952629:1952648|offset_38|444444,1952591:1952610|offset_76|444444,1952571:1952590|offset_96|00cc00&amp;v=1952456:1952790&amp;c=444444", "offset 96")</f>
        <v>offset 96</v>
      </c>
    </row>
    <row r="6955" customFormat="false" ht="12.8" hidden="false" customHeight="false" outlineLevel="0" collapsed="false">
      <c r="A6955" s="0" t="s">
        <v>12</v>
      </c>
      <c r="B6955" s="0" t="n">
        <v>1952826</v>
      </c>
      <c r="C6955" s="0" t="n">
        <v>1952846</v>
      </c>
      <c r="D6955" s="0" t="s">
        <v>23256</v>
      </c>
      <c r="E6955" s="0" t="s">
        <v>23257</v>
      </c>
      <c r="F6955" s="0" t="s">
        <v>15</v>
      </c>
      <c r="G6955" s="0" t="s">
        <v>16</v>
      </c>
      <c r="H6955" s="0" t="n">
        <v>70</v>
      </c>
      <c r="I6955" s="0" t="s">
        <v>23258</v>
      </c>
      <c r="J6955" s="0" t="s">
        <v>23259</v>
      </c>
      <c r="K6955" s="0" t="s">
        <v>23260</v>
      </c>
      <c r="L6955" s="0" t="str">
        <f aca="false">HYPERLINK("https://www.ncbi.nlm.nih.gov/nuccore/CP000304.1?report=graph&amp;tracks=[key:gene_model_track,Options:GeneOnly]&amp;mk=1952827:1952846|offset_70|00cc00,1952854:1952873|offset_97|444444,1952874:1952893|offset_117|444444,1952904:1952923|offset_147|444444&amp;v=1952626:1953123&amp;c=444444", "offset 70")</f>
        <v>offset 70</v>
      </c>
    </row>
    <row r="6956" customFormat="false" ht="12.8" hidden="false" customHeight="false" outlineLevel="0" collapsed="false">
      <c r="A6956" s="0" t="s">
        <v>12</v>
      </c>
      <c r="B6956" s="0" t="n">
        <v>1952853</v>
      </c>
      <c r="C6956" s="0" t="n">
        <v>1952873</v>
      </c>
      <c r="D6956" s="0" t="s">
        <v>23256</v>
      </c>
      <c r="E6956" s="0" t="s">
        <v>23257</v>
      </c>
      <c r="F6956" s="0" t="s">
        <v>15</v>
      </c>
      <c r="G6956" s="0" t="s">
        <v>16</v>
      </c>
      <c r="H6956" s="0" t="n">
        <v>97</v>
      </c>
      <c r="I6956" s="0" t="s">
        <v>23261</v>
      </c>
      <c r="J6956" s="0" t="s">
        <v>23262</v>
      </c>
      <c r="K6956" s="0" t="s">
        <v>23263</v>
      </c>
      <c r="L6956" s="0" t="str">
        <f aca="false">HYPERLINK("https://www.ncbi.nlm.nih.gov/nuccore/CP000304.1?report=graph&amp;tracks=[key:gene_model_track,Options:GeneOnly]&amp;mk=1952827:1952846|offset_70|444444,1952854:1952873|offset_97|00cc00,1952874:1952893|offset_117|444444,1952904:1952923|offset_147|444444&amp;v=1952626:1953123&amp;c=444444", "offset 97")</f>
        <v>offset 97</v>
      </c>
    </row>
    <row r="6957" customFormat="false" ht="12.8" hidden="false" customHeight="false" outlineLevel="0" collapsed="false">
      <c r="A6957" s="0" t="s">
        <v>12</v>
      </c>
      <c r="B6957" s="0" t="n">
        <v>1952873</v>
      </c>
      <c r="C6957" s="0" t="n">
        <v>1952893</v>
      </c>
      <c r="D6957" s="0" t="s">
        <v>23256</v>
      </c>
      <c r="E6957" s="0" t="s">
        <v>23257</v>
      </c>
      <c r="F6957" s="0" t="s">
        <v>15</v>
      </c>
      <c r="G6957" s="0" t="s">
        <v>16</v>
      </c>
      <c r="H6957" s="0" t="n">
        <v>117</v>
      </c>
      <c r="I6957" s="0" t="s">
        <v>23264</v>
      </c>
      <c r="J6957" s="0" t="s">
        <v>23265</v>
      </c>
      <c r="K6957" s="0" t="s">
        <v>23266</v>
      </c>
      <c r="L6957" s="0" t="str">
        <f aca="false">HYPERLINK("https://www.ncbi.nlm.nih.gov/nuccore/CP000304.1?report=graph&amp;tracks=[key:gene_model_track,Options:GeneOnly]&amp;mk=1952827:1952846|offset_70|444444,1952854:1952873|offset_97|444444,1952874:1952893|offset_117|00cc00,1952904:1952923|offset_147|444444&amp;v=1952626:1953123&amp;c=444444", "offset 117")</f>
        <v>offset 117</v>
      </c>
    </row>
    <row r="6958" customFormat="false" ht="12.8" hidden="false" customHeight="false" outlineLevel="0" collapsed="false">
      <c r="A6958" s="0" t="s">
        <v>12</v>
      </c>
      <c r="B6958" s="0" t="n">
        <v>1952903</v>
      </c>
      <c r="C6958" s="0" t="n">
        <v>1952923</v>
      </c>
      <c r="D6958" s="0" t="s">
        <v>23256</v>
      </c>
      <c r="E6958" s="0" t="s">
        <v>23257</v>
      </c>
      <c r="F6958" s="0" t="s">
        <v>15</v>
      </c>
      <c r="G6958" s="0" t="s">
        <v>16</v>
      </c>
      <c r="H6958" s="0" t="n">
        <v>147</v>
      </c>
      <c r="I6958" s="0" t="s">
        <v>23267</v>
      </c>
      <c r="J6958" s="0" t="s">
        <v>23268</v>
      </c>
      <c r="K6958" s="0" t="s">
        <v>23269</v>
      </c>
      <c r="L6958" s="0" t="str">
        <f aca="false">HYPERLINK("https://www.ncbi.nlm.nih.gov/nuccore/CP000304.1?report=graph&amp;tracks=[key:gene_model_track,Options:GeneOnly]&amp;mk=1952827:1952846|offset_70|444444,1952854:1952873|offset_97|444444,1952874:1952893|offset_117|444444,1952904:1952923|offset_147|00cc00&amp;v=1952626:1953123&amp;c=444444", "offset 147")</f>
        <v>offset 147</v>
      </c>
    </row>
    <row r="6959" customFormat="false" ht="12.8" hidden="false" customHeight="false" outlineLevel="0" collapsed="false">
      <c r="A6959" s="0" t="s">
        <v>12</v>
      </c>
      <c r="B6959" s="0" t="n">
        <v>1954963</v>
      </c>
      <c r="C6959" s="0" t="n">
        <v>1954983</v>
      </c>
      <c r="D6959" s="0" t="s">
        <v>23270</v>
      </c>
      <c r="E6959" s="0" t="s">
        <v>89</v>
      </c>
      <c r="F6959" s="0" t="s">
        <v>15</v>
      </c>
      <c r="G6959" s="0" t="s">
        <v>16</v>
      </c>
      <c r="H6959" s="0" t="n">
        <v>27</v>
      </c>
      <c r="I6959" s="0" t="s">
        <v>23271</v>
      </c>
      <c r="J6959" s="0" t="s">
        <v>23272</v>
      </c>
      <c r="K6959" s="0" t="s">
        <v>23273</v>
      </c>
      <c r="L6959" s="0" t="str">
        <f aca="false">HYPERLINK("https://www.ncbi.nlm.nih.gov/nuccore/CP000304.1?report=graph&amp;tracks=[key:gene_model_track,Options:GeneOnly]&amp;mk=1954964:1954983|offset_27|00cc00,1954989:1955008|offset_52|444444,1955030:1955049|offset_93|444444,1955059:1955078|offset_122|444444&amp;v=1954763:1955278&amp;c=444444", "offset 27")</f>
        <v>offset 27</v>
      </c>
    </row>
    <row r="6960" customFormat="false" ht="12.8" hidden="false" customHeight="false" outlineLevel="0" collapsed="false">
      <c r="A6960" s="0" t="s">
        <v>12</v>
      </c>
      <c r="B6960" s="0" t="n">
        <v>1954988</v>
      </c>
      <c r="C6960" s="0" t="n">
        <v>1955008</v>
      </c>
      <c r="D6960" s="0" t="s">
        <v>23270</v>
      </c>
      <c r="E6960" s="0" t="s">
        <v>89</v>
      </c>
      <c r="F6960" s="0" t="s">
        <v>15</v>
      </c>
      <c r="G6960" s="0" t="s">
        <v>26</v>
      </c>
      <c r="H6960" s="0" t="n">
        <v>52</v>
      </c>
      <c r="I6960" s="0" t="s">
        <v>23274</v>
      </c>
      <c r="J6960" s="0" t="s">
        <v>23275</v>
      </c>
      <c r="K6960" s="0" t="s">
        <v>23276</v>
      </c>
      <c r="L6960" s="0" t="str">
        <f aca="false">HYPERLINK("https://www.ncbi.nlm.nih.gov/nuccore/CP000304.1?report=graph&amp;tracks=[key:gene_model_track,Options:GeneOnly]&amp;mk=1954964:1954983|offset_27|444444,1954989:1955008|offset_52|00cc00,1955030:1955049|offset_93|444444,1955059:1955078|offset_122|444444&amp;v=1954763:1955278&amp;c=444444", "offset 52")</f>
        <v>offset 52</v>
      </c>
    </row>
    <row r="6961" customFormat="false" ht="12.8" hidden="false" customHeight="false" outlineLevel="0" collapsed="false">
      <c r="A6961" s="0" t="s">
        <v>12</v>
      </c>
      <c r="B6961" s="0" t="n">
        <v>1955029</v>
      </c>
      <c r="C6961" s="0" t="n">
        <v>1955049</v>
      </c>
      <c r="D6961" s="0" t="s">
        <v>23270</v>
      </c>
      <c r="E6961" s="0" t="s">
        <v>89</v>
      </c>
      <c r="F6961" s="0" t="s">
        <v>15</v>
      </c>
      <c r="G6961" s="0" t="s">
        <v>16</v>
      </c>
      <c r="H6961" s="0" t="n">
        <v>93</v>
      </c>
      <c r="I6961" s="0" t="s">
        <v>23277</v>
      </c>
      <c r="J6961" s="0" t="s">
        <v>23278</v>
      </c>
      <c r="K6961" s="0" t="s">
        <v>23279</v>
      </c>
      <c r="L6961" s="0" t="str">
        <f aca="false">HYPERLINK("https://www.ncbi.nlm.nih.gov/nuccore/CP000304.1?report=graph&amp;tracks=[key:gene_model_track,Options:GeneOnly]&amp;mk=1954964:1954983|offset_27|444444,1954989:1955008|offset_52|444444,1955030:1955049|offset_93|00cc00,1955059:1955078|offset_122|444444&amp;v=1954763:1955278&amp;c=444444", "offset 93")</f>
        <v>offset 93</v>
      </c>
    </row>
    <row r="6962" customFormat="false" ht="12.8" hidden="false" customHeight="false" outlineLevel="0" collapsed="false">
      <c r="A6962" s="0" t="s">
        <v>12</v>
      </c>
      <c r="B6962" s="0" t="n">
        <v>1955058</v>
      </c>
      <c r="C6962" s="0" t="n">
        <v>1955078</v>
      </c>
      <c r="D6962" s="0" t="s">
        <v>23270</v>
      </c>
      <c r="E6962" s="0" t="s">
        <v>89</v>
      </c>
      <c r="F6962" s="0" t="s">
        <v>15</v>
      </c>
      <c r="G6962" s="0" t="s">
        <v>16</v>
      </c>
      <c r="H6962" s="0" t="n">
        <v>122</v>
      </c>
      <c r="I6962" s="0" t="s">
        <v>23280</v>
      </c>
      <c r="J6962" s="0" t="s">
        <v>23281</v>
      </c>
      <c r="K6962" s="0" t="s">
        <v>23282</v>
      </c>
      <c r="L6962" s="0" t="str">
        <f aca="false">HYPERLINK("https://www.ncbi.nlm.nih.gov/nuccore/CP000304.1?report=graph&amp;tracks=[key:gene_model_track,Options:GeneOnly]&amp;mk=1954964:1954983|offset_27|444444,1954989:1955008|offset_52|444444,1955030:1955049|offset_93|444444,1955059:1955078|offset_122|00cc00&amp;v=1954763:1955278&amp;c=444444", "offset 122")</f>
        <v>offset 122</v>
      </c>
    </row>
    <row r="6963" customFormat="false" ht="12.8" hidden="false" customHeight="false" outlineLevel="0" collapsed="false">
      <c r="A6963" s="0" t="s">
        <v>12</v>
      </c>
      <c r="B6963" s="0" t="n">
        <v>1955577</v>
      </c>
      <c r="C6963" s="0" t="n">
        <v>1955597</v>
      </c>
      <c r="D6963" s="0" t="s">
        <v>23283</v>
      </c>
      <c r="E6963" s="0" t="s">
        <v>89</v>
      </c>
      <c r="F6963" s="0" t="s">
        <v>15</v>
      </c>
      <c r="G6963" s="0" t="s">
        <v>16</v>
      </c>
      <c r="H6963" s="0" t="n">
        <v>13</v>
      </c>
      <c r="I6963" s="0" t="s">
        <v>23284</v>
      </c>
      <c r="J6963" s="0" t="s">
        <v>23285</v>
      </c>
      <c r="K6963" s="0" t="s">
        <v>23286</v>
      </c>
      <c r="L6963" s="0" t="str">
        <f aca="false">HYPERLINK("https://www.ncbi.nlm.nih.gov/nuccore/CP000304.1?report=graph&amp;tracks=[key:gene_model_track,Options:GeneOnly]&amp;mk=1955578:1955597|offset_13|00cc00,1955602:1955621|offset_37|444444,1955625:1955644|offset_60|444444,1955664:1955683|offset_99|444444&amp;v=1955377:1955883&amp;c=444444", "offset 13")</f>
        <v>offset 13</v>
      </c>
    </row>
    <row r="6964" customFormat="false" ht="12.8" hidden="false" customHeight="false" outlineLevel="0" collapsed="false">
      <c r="A6964" s="0" t="s">
        <v>12</v>
      </c>
      <c r="B6964" s="0" t="n">
        <v>1955601</v>
      </c>
      <c r="C6964" s="0" t="n">
        <v>1955621</v>
      </c>
      <c r="D6964" s="0" t="s">
        <v>23283</v>
      </c>
      <c r="E6964" s="0" t="s">
        <v>89</v>
      </c>
      <c r="F6964" s="0" t="s">
        <v>15</v>
      </c>
      <c r="G6964" s="0" t="s">
        <v>32</v>
      </c>
      <c r="H6964" s="0" t="n">
        <v>37</v>
      </c>
      <c r="I6964" s="0" t="s">
        <v>23287</v>
      </c>
      <c r="J6964" s="0" t="s">
        <v>23288</v>
      </c>
      <c r="K6964" s="0" t="s">
        <v>23289</v>
      </c>
      <c r="L6964" s="0" t="str">
        <f aca="false">HYPERLINK("https://www.ncbi.nlm.nih.gov/nuccore/CP000304.1?report=graph&amp;tracks=[key:gene_model_track,Options:GeneOnly]&amp;mk=1955578:1955597|offset_13|444444,1955602:1955621|offset_37|00cc00,1955625:1955644|offset_60|444444,1955664:1955683|offset_99|444444&amp;v=1955377:1955883&amp;c=444444", "offset 37")</f>
        <v>offset 37</v>
      </c>
    </row>
    <row r="6965" customFormat="false" ht="12.8" hidden="false" customHeight="false" outlineLevel="0" collapsed="false">
      <c r="A6965" s="0" t="s">
        <v>12</v>
      </c>
      <c r="B6965" s="0" t="n">
        <v>1955624</v>
      </c>
      <c r="C6965" s="0" t="n">
        <v>1955644</v>
      </c>
      <c r="D6965" s="0" t="s">
        <v>23283</v>
      </c>
      <c r="E6965" s="0" t="s">
        <v>89</v>
      </c>
      <c r="F6965" s="0" t="s">
        <v>15</v>
      </c>
      <c r="G6965" s="0" t="s">
        <v>16</v>
      </c>
      <c r="H6965" s="0" t="n">
        <v>60</v>
      </c>
      <c r="I6965" s="0" t="s">
        <v>23290</v>
      </c>
      <c r="J6965" s="0" t="s">
        <v>23291</v>
      </c>
      <c r="K6965" s="0" t="s">
        <v>23292</v>
      </c>
      <c r="L6965" s="0" t="str">
        <f aca="false">HYPERLINK("https://www.ncbi.nlm.nih.gov/nuccore/CP000304.1?report=graph&amp;tracks=[key:gene_model_track,Options:GeneOnly]&amp;mk=1955578:1955597|offset_13|444444,1955602:1955621|offset_37|444444,1955625:1955644|offset_60|00cc00,1955664:1955683|offset_99|444444&amp;v=1955377:1955883&amp;c=444444", "offset 60")</f>
        <v>offset 60</v>
      </c>
    </row>
    <row r="6966" customFormat="false" ht="12.8" hidden="false" customHeight="false" outlineLevel="0" collapsed="false">
      <c r="A6966" s="0" t="s">
        <v>12</v>
      </c>
      <c r="B6966" s="0" t="n">
        <v>1955663</v>
      </c>
      <c r="C6966" s="0" t="n">
        <v>1955683</v>
      </c>
      <c r="D6966" s="0" t="s">
        <v>23283</v>
      </c>
      <c r="E6966" s="0" t="s">
        <v>89</v>
      </c>
      <c r="F6966" s="0" t="s">
        <v>15</v>
      </c>
      <c r="G6966" s="0" t="s">
        <v>36</v>
      </c>
      <c r="H6966" s="0" t="n">
        <v>99</v>
      </c>
      <c r="I6966" s="0" t="s">
        <v>23293</v>
      </c>
      <c r="J6966" s="0" t="s">
        <v>23294</v>
      </c>
      <c r="K6966" s="0" t="s">
        <v>23295</v>
      </c>
      <c r="L6966" s="0" t="str">
        <f aca="false">HYPERLINK("https://www.ncbi.nlm.nih.gov/nuccore/CP000304.1?report=graph&amp;tracks=[key:gene_model_track,Options:GeneOnly]&amp;mk=1955578:1955597|offset_13|444444,1955602:1955621|offset_37|444444,1955625:1955644|offset_60|444444,1955664:1955683|offset_99|00cc00&amp;v=1955377:1955883&amp;c=444444", "offset 99")</f>
        <v>offset 99</v>
      </c>
    </row>
    <row r="6967" customFormat="false" ht="12.8" hidden="false" customHeight="false" outlineLevel="0" collapsed="false">
      <c r="A6967" s="0" t="s">
        <v>12</v>
      </c>
      <c r="B6967" s="0" t="n">
        <v>1956923</v>
      </c>
      <c r="C6967" s="0" t="n">
        <v>1956943</v>
      </c>
      <c r="D6967" s="0" t="s">
        <v>23296</v>
      </c>
      <c r="E6967" s="0" t="s">
        <v>89</v>
      </c>
      <c r="F6967" s="0" t="s">
        <v>15</v>
      </c>
      <c r="G6967" s="0" t="s">
        <v>16</v>
      </c>
      <c r="H6967" s="0" t="n">
        <v>10</v>
      </c>
      <c r="I6967" s="0" t="s">
        <v>23297</v>
      </c>
      <c r="J6967" s="0" t="s">
        <v>23298</v>
      </c>
      <c r="K6967" s="0" t="s">
        <v>23299</v>
      </c>
      <c r="L6967" s="0" t="str">
        <f aca="false">HYPERLINK("https://www.ncbi.nlm.nih.gov/nuccore/CP000304.1?report=graph&amp;tracks=[key:gene_model_track,Options:GeneOnly]&amp;mk=1956924:1956943|offset_10|00cc00,1956948:1956967|offset_34|444444,1956993:1957012|offset_79|444444,1957024:1957043|offset_110|444444&amp;v=1956723:1957243&amp;c=444444", "offset 10")</f>
        <v>offset 10</v>
      </c>
    </row>
    <row r="6968" customFormat="false" ht="12.8" hidden="false" customHeight="false" outlineLevel="0" collapsed="false">
      <c r="A6968" s="0" t="s">
        <v>12</v>
      </c>
      <c r="B6968" s="0" t="n">
        <v>1956947</v>
      </c>
      <c r="C6968" s="0" t="n">
        <v>1956967</v>
      </c>
      <c r="D6968" s="0" t="s">
        <v>23296</v>
      </c>
      <c r="E6968" s="0" t="s">
        <v>89</v>
      </c>
      <c r="F6968" s="0" t="s">
        <v>15</v>
      </c>
      <c r="G6968" s="0" t="s">
        <v>36</v>
      </c>
      <c r="H6968" s="0" t="n">
        <v>34</v>
      </c>
      <c r="I6968" s="0" t="s">
        <v>23300</v>
      </c>
      <c r="J6968" s="0" t="s">
        <v>23301</v>
      </c>
      <c r="K6968" s="0" t="s">
        <v>23302</v>
      </c>
      <c r="L6968" s="0" t="str">
        <f aca="false">HYPERLINK("https://www.ncbi.nlm.nih.gov/nuccore/CP000304.1?report=graph&amp;tracks=[key:gene_model_track,Options:GeneOnly]&amp;mk=1956924:1956943|offset_10|444444,1956948:1956967|offset_34|00cc00,1956993:1957012|offset_79|444444,1957024:1957043|offset_110|444444&amp;v=1956723:1957243&amp;c=444444", "offset 34")</f>
        <v>offset 34</v>
      </c>
    </row>
    <row r="6969" customFormat="false" ht="12.8" hidden="false" customHeight="false" outlineLevel="0" collapsed="false">
      <c r="A6969" s="0" t="s">
        <v>12</v>
      </c>
      <c r="B6969" s="0" t="n">
        <v>1956992</v>
      </c>
      <c r="C6969" s="0" t="n">
        <v>1957012</v>
      </c>
      <c r="D6969" s="0" t="s">
        <v>23296</v>
      </c>
      <c r="E6969" s="0" t="s">
        <v>89</v>
      </c>
      <c r="F6969" s="0" t="s">
        <v>15</v>
      </c>
      <c r="G6969" s="0" t="s">
        <v>16</v>
      </c>
      <c r="H6969" s="0" t="n">
        <v>79</v>
      </c>
      <c r="I6969" s="0" t="s">
        <v>23303</v>
      </c>
      <c r="J6969" s="0" t="s">
        <v>23304</v>
      </c>
      <c r="K6969" s="0" t="s">
        <v>23305</v>
      </c>
      <c r="L6969" s="0" t="str">
        <f aca="false">HYPERLINK("https://www.ncbi.nlm.nih.gov/nuccore/CP000304.1?report=graph&amp;tracks=[key:gene_model_track,Options:GeneOnly]&amp;mk=1956924:1956943|offset_10|444444,1956948:1956967|offset_34|444444,1956993:1957012|offset_79|00cc00,1957024:1957043|offset_110|444444&amp;v=1956723:1957243&amp;c=444444", "offset 79")</f>
        <v>offset 79</v>
      </c>
    </row>
    <row r="6970" customFormat="false" ht="12.8" hidden="false" customHeight="false" outlineLevel="0" collapsed="false">
      <c r="A6970" s="0" t="s">
        <v>12</v>
      </c>
      <c r="B6970" s="0" t="n">
        <v>1957023</v>
      </c>
      <c r="C6970" s="0" t="n">
        <v>1957043</v>
      </c>
      <c r="D6970" s="0" t="s">
        <v>23296</v>
      </c>
      <c r="E6970" s="0" t="s">
        <v>89</v>
      </c>
      <c r="F6970" s="0" t="s">
        <v>15</v>
      </c>
      <c r="G6970" s="0" t="s">
        <v>26</v>
      </c>
      <c r="H6970" s="0" t="n">
        <v>110</v>
      </c>
      <c r="I6970" s="0" t="s">
        <v>23306</v>
      </c>
      <c r="J6970" s="0" t="s">
        <v>23307</v>
      </c>
      <c r="K6970" s="0" t="s">
        <v>23308</v>
      </c>
      <c r="L6970" s="0" t="str">
        <f aca="false">HYPERLINK("https://www.ncbi.nlm.nih.gov/nuccore/CP000304.1?report=graph&amp;tracks=[key:gene_model_track,Options:GeneOnly]&amp;mk=1956924:1956943|offset_10|444444,1956948:1956967|offset_34|444444,1956993:1957012|offset_79|444444,1957024:1957043|offset_110|00cc00&amp;v=1956723:1957243&amp;c=444444", "offset 110")</f>
        <v>offset 110</v>
      </c>
    </row>
    <row r="6971" customFormat="false" ht="12.8" hidden="false" customHeight="false" outlineLevel="0" collapsed="false">
      <c r="A6971" s="0" t="s">
        <v>12</v>
      </c>
      <c r="B6971" s="0" t="n">
        <v>1958042</v>
      </c>
      <c r="C6971" s="0" t="n">
        <v>1958062</v>
      </c>
      <c r="D6971" s="0" t="s">
        <v>23309</v>
      </c>
      <c r="E6971" s="0" t="s">
        <v>89</v>
      </c>
      <c r="F6971" s="0" t="s">
        <v>15</v>
      </c>
      <c r="G6971" s="0" t="s">
        <v>26</v>
      </c>
      <c r="H6971" s="0" t="n">
        <v>44</v>
      </c>
      <c r="I6971" s="0" t="s">
        <v>23310</v>
      </c>
      <c r="J6971" s="0" t="s">
        <v>23311</v>
      </c>
      <c r="K6971" s="0" t="s">
        <v>23312</v>
      </c>
      <c r="L6971" s="0" t="str">
        <f aca="false">HYPERLINK("https://www.ncbi.nlm.nih.gov/nuccore/CP000304.1?report=graph&amp;tracks=[key:gene_model_track,Options:GeneOnly]&amp;mk=1958043:1958062|offset_44|00cc00,1958110:1958129|offset_111|444444,1958130:1958149|offset_131|444444,1958172:1958191|offset_173|444444&amp;v=1957842:1958391&amp;c=444444", "offset 44")</f>
        <v>offset 44</v>
      </c>
    </row>
    <row r="6972" customFormat="false" ht="12.8" hidden="false" customHeight="false" outlineLevel="0" collapsed="false">
      <c r="A6972" s="0" t="s">
        <v>12</v>
      </c>
      <c r="B6972" s="0" t="n">
        <v>1958109</v>
      </c>
      <c r="C6972" s="0" t="n">
        <v>1958129</v>
      </c>
      <c r="D6972" s="0" t="s">
        <v>23309</v>
      </c>
      <c r="E6972" s="0" t="s">
        <v>89</v>
      </c>
      <c r="F6972" s="0" t="s">
        <v>15</v>
      </c>
      <c r="G6972" s="0" t="s">
        <v>16</v>
      </c>
      <c r="H6972" s="0" t="n">
        <v>111</v>
      </c>
      <c r="I6972" s="0" t="s">
        <v>23313</v>
      </c>
      <c r="J6972" s="0" t="s">
        <v>23314</v>
      </c>
      <c r="K6972" s="0" t="s">
        <v>23315</v>
      </c>
      <c r="L6972" s="0" t="str">
        <f aca="false">HYPERLINK("https://www.ncbi.nlm.nih.gov/nuccore/CP000304.1?report=graph&amp;tracks=[key:gene_model_track,Options:GeneOnly]&amp;mk=1958043:1958062|offset_44|444444,1958110:1958129|offset_111|00cc00,1958130:1958149|offset_131|444444,1958172:1958191|offset_173|444444&amp;v=1957842:1958391&amp;c=444444", "offset 111")</f>
        <v>offset 111</v>
      </c>
    </row>
    <row r="6973" customFormat="false" ht="12.8" hidden="false" customHeight="false" outlineLevel="0" collapsed="false">
      <c r="A6973" s="0" t="s">
        <v>12</v>
      </c>
      <c r="B6973" s="0" t="n">
        <v>1958129</v>
      </c>
      <c r="C6973" s="0" t="n">
        <v>1958149</v>
      </c>
      <c r="D6973" s="0" t="s">
        <v>23309</v>
      </c>
      <c r="E6973" s="0" t="s">
        <v>89</v>
      </c>
      <c r="F6973" s="0" t="s">
        <v>15</v>
      </c>
      <c r="G6973" s="0" t="s">
        <v>26</v>
      </c>
      <c r="H6973" s="0" t="n">
        <v>131</v>
      </c>
      <c r="I6973" s="0" t="s">
        <v>23316</v>
      </c>
      <c r="J6973" s="0" t="s">
        <v>23317</v>
      </c>
      <c r="K6973" s="0" t="s">
        <v>23318</v>
      </c>
      <c r="L6973" s="0" t="str">
        <f aca="false">HYPERLINK("https://www.ncbi.nlm.nih.gov/nuccore/CP000304.1?report=graph&amp;tracks=[key:gene_model_track,Options:GeneOnly]&amp;mk=1958043:1958062|offset_44|444444,1958110:1958129|offset_111|444444,1958130:1958149|offset_131|00cc00,1958172:1958191|offset_173|444444&amp;v=1957842:1958391&amp;c=444444", "offset 131")</f>
        <v>offset 131</v>
      </c>
    </row>
    <row r="6974" customFormat="false" ht="12.8" hidden="false" customHeight="false" outlineLevel="0" collapsed="false">
      <c r="A6974" s="0" t="s">
        <v>12</v>
      </c>
      <c r="B6974" s="0" t="n">
        <v>1958171</v>
      </c>
      <c r="C6974" s="0" t="n">
        <v>1958191</v>
      </c>
      <c r="D6974" s="0" t="s">
        <v>23309</v>
      </c>
      <c r="E6974" s="0" t="s">
        <v>89</v>
      </c>
      <c r="F6974" s="0" t="s">
        <v>15</v>
      </c>
      <c r="G6974" s="0" t="s">
        <v>32</v>
      </c>
      <c r="H6974" s="0" t="n">
        <v>173</v>
      </c>
      <c r="I6974" s="0" t="s">
        <v>23319</v>
      </c>
      <c r="J6974" s="0" t="s">
        <v>23320</v>
      </c>
      <c r="K6974" s="0" t="s">
        <v>23321</v>
      </c>
      <c r="L6974" s="0" t="str">
        <f aca="false">HYPERLINK("https://www.ncbi.nlm.nih.gov/nuccore/CP000304.1?report=graph&amp;tracks=[key:gene_model_track,Options:GeneOnly]&amp;mk=1958043:1958062|offset_44|444444,1958110:1958129|offset_111|444444,1958130:1958149|offset_131|444444,1958172:1958191|offset_173|00cc00&amp;v=1957842:1958391&amp;c=444444", "offset 173")</f>
        <v>offset 173</v>
      </c>
    </row>
    <row r="6975" customFormat="false" ht="12.8" hidden="false" customHeight="false" outlineLevel="0" collapsed="false">
      <c r="A6975" s="0" t="s">
        <v>12</v>
      </c>
      <c r="B6975" s="0" t="n">
        <v>1960361</v>
      </c>
      <c r="C6975" s="0" t="n">
        <v>1960381</v>
      </c>
      <c r="D6975" s="0" t="s">
        <v>23322</v>
      </c>
      <c r="E6975" s="0" t="s">
        <v>89</v>
      </c>
      <c r="F6975" s="0" t="s">
        <v>90</v>
      </c>
      <c r="G6975" s="0" t="s">
        <v>36</v>
      </c>
      <c r="H6975" s="0" t="n">
        <v>6</v>
      </c>
      <c r="I6975" s="0" t="s">
        <v>23323</v>
      </c>
      <c r="J6975" s="0" t="s">
        <v>23324</v>
      </c>
      <c r="K6975" s="0" t="s">
        <v>23325</v>
      </c>
      <c r="L6975" s="0" t="str">
        <f aca="false">HYPERLINK("https://www.ncbi.nlm.nih.gov/nuccore/CP000304.1?report=graph&amp;tracks=[key:gene_model_track,Options:GeneOnly]&amp;mk=1960362:1960381|offset_6|00cc00,1960336:1960355|offset_32|444444,1960310:1960329|offset_58|444444,1960277:1960296|offset_91|444444&amp;v=1960161:1960496&amp;c=444444", "offset 6")</f>
        <v>offset 6</v>
      </c>
    </row>
    <row r="6976" customFormat="false" ht="12.8" hidden="false" customHeight="false" outlineLevel="0" collapsed="false">
      <c r="A6976" s="0" t="s">
        <v>12</v>
      </c>
      <c r="B6976" s="0" t="n">
        <v>1960335</v>
      </c>
      <c r="C6976" s="0" t="n">
        <v>1960355</v>
      </c>
      <c r="D6976" s="0" t="s">
        <v>23322</v>
      </c>
      <c r="E6976" s="0" t="s">
        <v>89</v>
      </c>
      <c r="F6976" s="0" t="s">
        <v>90</v>
      </c>
      <c r="G6976" s="0" t="s">
        <v>16</v>
      </c>
      <c r="H6976" s="0" t="n">
        <v>32</v>
      </c>
      <c r="I6976" s="0" t="s">
        <v>23326</v>
      </c>
      <c r="J6976" s="0" t="s">
        <v>23327</v>
      </c>
      <c r="K6976" s="0" t="s">
        <v>23328</v>
      </c>
      <c r="L6976" s="0" t="str">
        <f aca="false">HYPERLINK("https://www.ncbi.nlm.nih.gov/nuccore/CP000304.1?report=graph&amp;tracks=[key:gene_model_track,Options:GeneOnly]&amp;mk=1960362:1960381|offset_6|444444,1960336:1960355|offset_32|00cc00,1960310:1960329|offset_58|444444,1960277:1960296|offset_91|444444&amp;v=1960161:1960496&amp;c=444444", "offset 32")</f>
        <v>offset 32</v>
      </c>
    </row>
    <row r="6977" customFormat="false" ht="12.8" hidden="false" customHeight="false" outlineLevel="0" collapsed="false">
      <c r="A6977" s="0" t="s">
        <v>12</v>
      </c>
      <c r="B6977" s="0" t="n">
        <v>1960309</v>
      </c>
      <c r="C6977" s="0" t="n">
        <v>1960329</v>
      </c>
      <c r="D6977" s="0" t="s">
        <v>23322</v>
      </c>
      <c r="E6977" s="0" t="s">
        <v>89</v>
      </c>
      <c r="F6977" s="0" t="s">
        <v>90</v>
      </c>
      <c r="G6977" s="0" t="s">
        <v>36</v>
      </c>
      <c r="H6977" s="0" t="n">
        <v>58</v>
      </c>
      <c r="I6977" s="0" t="s">
        <v>23329</v>
      </c>
      <c r="J6977" s="0" t="s">
        <v>23330</v>
      </c>
      <c r="K6977" s="0" t="s">
        <v>23331</v>
      </c>
      <c r="L6977" s="0" t="str">
        <f aca="false">HYPERLINK("https://www.ncbi.nlm.nih.gov/nuccore/CP000304.1?report=graph&amp;tracks=[key:gene_model_track,Options:GeneOnly]&amp;mk=1960362:1960381|offset_6|444444,1960336:1960355|offset_32|444444,1960310:1960329|offset_58|00cc00,1960277:1960296|offset_91|444444&amp;v=1960161:1960496&amp;c=444444", "offset 58")</f>
        <v>offset 58</v>
      </c>
    </row>
    <row r="6978" customFormat="false" ht="12.8" hidden="false" customHeight="false" outlineLevel="0" collapsed="false">
      <c r="A6978" s="0" t="s">
        <v>12</v>
      </c>
      <c r="B6978" s="0" t="n">
        <v>1960276</v>
      </c>
      <c r="C6978" s="0" t="n">
        <v>1960296</v>
      </c>
      <c r="D6978" s="0" t="s">
        <v>23322</v>
      </c>
      <c r="E6978" s="0" t="s">
        <v>89</v>
      </c>
      <c r="F6978" s="0" t="s">
        <v>90</v>
      </c>
      <c r="G6978" s="0" t="s">
        <v>32</v>
      </c>
      <c r="H6978" s="0" t="n">
        <v>91</v>
      </c>
      <c r="I6978" s="0" t="s">
        <v>23332</v>
      </c>
      <c r="J6978" s="0" t="s">
        <v>23333</v>
      </c>
      <c r="K6978" s="0" t="s">
        <v>23334</v>
      </c>
      <c r="L6978" s="0" t="str">
        <f aca="false">HYPERLINK("https://www.ncbi.nlm.nih.gov/nuccore/CP000304.1?report=graph&amp;tracks=[key:gene_model_track,Options:GeneOnly]&amp;mk=1960362:1960381|offset_6|444444,1960336:1960355|offset_32|444444,1960310:1960329|offset_58|444444,1960277:1960296|offset_91|00cc00&amp;v=1960161:1960496&amp;c=444444", "offset 91")</f>
        <v>offset 91</v>
      </c>
    </row>
    <row r="6979" customFormat="false" ht="12.8" hidden="false" customHeight="false" outlineLevel="0" collapsed="false">
      <c r="A6979" s="0" t="s">
        <v>12</v>
      </c>
      <c r="B6979" s="0" t="n">
        <v>1960509</v>
      </c>
      <c r="C6979" s="0" t="n">
        <v>1960529</v>
      </c>
      <c r="D6979" s="0" t="s">
        <v>23335</v>
      </c>
      <c r="E6979" s="0" t="s">
        <v>23336</v>
      </c>
      <c r="F6979" s="0" t="s">
        <v>15</v>
      </c>
      <c r="G6979" s="0" t="s">
        <v>32</v>
      </c>
      <c r="H6979" s="0" t="n">
        <v>1</v>
      </c>
      <c r="I6979" s="0" t="s">
        <v>23337</v>
      </c>
      <c r="J6979" s="0" t="s">
        <v>23338</v>
      </c>
      <c r="K6979" s="0" t="s">
        <v>23339</v>
      </c>
      <c r="L6979" s="0" t="str">
        <f aca="false">HYPERLINK("https://www.ncbi.nlm.nih.gov/nuccore/CP000304.1?report=graph&amp;tracks=[key:gene_model_track,Options:GeneOnly]&amp;mk=1960510:1960529|offset_1|00cc00,1960538:1960557|offset_29|444444,1960561:1960580|offset_52|444444,1960587:1960606|offset_78|444444&amp;v=1960309:1960806&amp;c=444444", "offset 1")</f>
        <v>offset 1</v>
      </c>
    </row>
    <row r="6980" customFormat="false" ht="12.8" hidden="false" customHeight="false" outlineLevel="0" collapsed="false">
      <c r="A6980" s="0" t="s">
        <v>12</v>
      </c>
      <c r="B6980" s="0" t="n">
        <v>1960537</v>
      </c>
      <c r="C6980" s="0" t="n">
        <v>1960557</v>
      </c>
      <c r="D6980" s="0" t="s">
        <v>23335</v>
      </c>
      <c r="E6980" s="0" t="s">
        <v>23336</v>
      </c>
      <c r="F6980" s="0" t="s">
        <v>15</v>
      </c>
      <c r="G6980" s="0" t="s">
        <v>36</v>
      </c>
      <c r="H6980" s="0" t="n">
        <v>29</v>
      </c>
      <c r="I6980" s="0" t="s">
        <v>23340</v>
      </c>
      <c r="J6980" s="0" t="s">
        <v>23341</v>
      </c>
      <c r="K6980" s="0" t="s">
        <v>23342</v>
      </c>
      <c r="L6980" s="0" t="str">
        <f aca="false">HYPERLINK("https://www.ncbi.nlm.nih.gov/nuccore/CP000304.1?report=graph&amp;tracks=[key:gene_model_track,Options:GeneOnly]&amp;mk=1960510:1960529|offset_1|444444,1960538:1960557|offset_29|00cc00,1960561:1960580|offset_52|444444,1960587:1960606|offset_78|444444&amp;v=1960309:1960806&amp;c=444444", "offset 29")</f>
        <v>offset 29</v>
      </c>
    </row>
    <row r="6981" customFormat="false" ht="12.8" hidden="false" customHeight="false" outlineLevel="0" collapsed="false">
      <c r="A6981" s="0" t="s">
        <v>12</v>
      </c>
      <c r="B6981" s="0" t="n">
        <v>1960560</v>
      </c>
      <c r="C6981" s="0" t="n">
        <v>1960580</v>
      </c>
      <c r="D6981" s="0" t="s">
        <v>23335</v>
      </c>
      <c r="E6981" s="0" t="s">
        <v>23336</v>
      </c>
      <c r="F6981" s="0" t="s">
        <v>15</v>
      </c>
      <c r="G6981" s="0" t="s">
        <v>16</v>
      </c>
      <c r="H6981" s="0" t="n">
        <v>52</v>
      </c>
      <c r="I6981" s="0" t="s">
        <v>23343</v>
      </c>
      <c r="J6981" s="0" t="s">
        <v>23344</v>
      </c>
      <c r="K6981" s="0" t="s">
        <v>23345</v>
      </c>
      <c r="L6981" s="0" t="str">
        <f aca="false">HYPERLINK("https://www.ncbi.nlm.nih.gov/nuccore/CP000304.1?report=graph&amp;tracks=[key:gene_model_track,Options:GeneOnly]&amp;mk=1960510:1960529|offset_1|444444,1960538:1960557|offset_29|444444,1960561:1960580|offset_52|00cc00,1960587:1960606|offset_78|444444&amp;v=1960309:1960806&amp;c=444444", "offset 52")</f>
        <v>offset 52</v>
      </c>
    </row>
    <row r="6982" customFormat="false" ht="12.8" hidden="false" customHeight="false" outlineLevel="0" collapsed="false">
      <c r="A6982" s="0" t="s">
        <v>12</v>
      </c>
      <c r="B6982" s="0" t="n">
        <v>1960586</v>
      </c>
      <c r="C6982" s="0" t="n">
        <v>1960606</v>
      </c>
      <c r="D6982" s="0" t="s">
        <v>23335</v>
      </c>
      <c r="E6982" s="0" t="s">
        <v>23336</v>
      </c>
      <c r="F6982" s="0" t="s">
        <v>15</v>
      </c>
      <c r="G6982" s="0" t="s">
        <v>36</v>
      </c>
      <c r="H6982" s="0" t="n">
        <v>78</v>
      </c>
      <c r="I6982" s="0" t="s">
        <v>23346</v>
      </c>
      <c r="J6982" s="0" t="s">
        <v>23347</v>
      </c>
      <c r="K6982" s="0" t="s">
        <v>23348</v>
      </c>
      <c r="L6982" s="0" t="str">
        <f aca="false">HYPERLINK("https://www.ncbi.nlm.nih.gov/nuccore/CP000304.1?report=graph&amp;tracks=[key:gene_model_track,Options:GeneOnly]&amp;mk=1960510:1960529|offset_1|444444,1960538:1960557|offset_29|444444,1960561:1960580|offset_52|444444,1960587:1960606|offset_78|00cc00&amp;v=1960309:1960806&amp;c=444444", "offset 78")</f>
        <v>offset 78</v>
      </c>
    </row>
    <row r="6983" customFormat="false" ht="12.8" hidden="false" customHeight="false" outlineLevel="0" collapsed="false">
      <c r="A6983" s="0" t="s">
        <v>12</v>
      </c>
      <c r="B6983" s="0" t="n">
        <v>1962783</v>
      </c>
      <c r="C6983" s="0" t="n">
        <v>1962803</v>
      </c>
      <c r="D6983" s="0" t="s">
        <v>23349</v>
      </c>
      <c r="E6983" s="0" t="s">
        <v>89</v>
      </c>
      <c r="F6983" s="0" t="s">
        <v>15</v>
      </c>
      <c r="G6983" s="0" t="s">
        <v>32</v>
      </c>
      <c r="H6983" s="0" t="n">
        <v>15</v>
      </c>
      <c r="I6983" s="0" t="s">
        <v>23350</v>
      </c>
      <c r="J6983" s="0" t="s">
        <v>23351</v>
      </c>
      <c r="K6983" s="0" t="s">
        <v>23352</v>
      </c>
      <c r="L6983" s="0" t="str">
        <f aca="false">HYPERLINK("https://www.ncbi.nlm.nih.gov/nuccore/CP000304.1?report=graph&amp;tracks=[key:gene_model_track,Options:GeneOnly]&amp;mk=1962784:1962803|offset_15|00cc00,1962809:1962828|offset_40|444444,1962848:1962867|offset_79|444444,1962947:1962966|offset_178|444444&amp;v=1962583:1963166&amp;c=444444", "offset 15")</f>
        <v>offset 15</v>
      </c>
    </row>
    <row r="6984" customFormat="false" ht="12.8" hidden="false" customHeight="false" outlineLevel="0" collapsed="false">
      <c r="A6984" s="0" t="s">
        <v>12</v>
      </c>
      <c r="B6984" s="0" t="n">
        <v>1962808</v>
      </c>
      <c r="C6984" s="0" t="n">
        <v>1962828</v>
      </c>
      <c r="D6984" s="0" t="s">
        <v>23349</v>
      </c>
      <c r="E6984" s="0" t="s">
        <v>89</v>
      </c>
      <c r="F6984" s="0" t="s">
        <v>15</v>
      </c>
      <c r="G6984" s="0" t="s">
        <v>26</v>
      </c>
      <c r="H6984" s="0" t="n">
        <v>40</v>
      </c>
      <c r="I6984" s="0" t="s">
        <v>23353</v>
      </c>
      <c r="J6984" s="0" t="s">
        <v>23354</v>
      </c>
      <c r="K6984" s="0" t="s">
        <v>23355</v>
      </c>
      <c r="L6984" s="0" t="str">
        <f aca="false">HYPERLINK("https://www.ncbi.nlm.nih.gov/nuccore/CP000304.1?report=graph&amp;tracks=[key:gene_model_track,Options:GeneOnly]&amp;mk=1962784:1962803|offset_15|444444,1962809:1962828|offset_40|00cc00,1962848:1962867|offset_79|444444,1962947:1962966|offset_178|444444&amp;v=1962583:1963166&amp;c=444444", "offset 40")</f>
        <v>offset 40</v>
      </c>
    </row>
    <row r="6985" customFormat="false" ht="12.8" hidden="false" customHeight="false" outlineLevel="0" collapsed="false">
      <c r="A6985" s="0" t="s">
        <v>12</v>
      </c>
      <c r="B6985" s="0" t="n">
        <v>1962847</v>
      </c>
      <c r="C6985" s="0" t="n">
        <v>1962867</v>
      </c>
      <c r="D6985" s="0" t="s">
        <v>23349</v>
      </c>
      <c r="E6985" s="0" t="s">
        <v>89</v>
      </c>
      <c r="F6985" s="0" t="s">
        <v>15</v>
      </c>
      <c r="G6985" s="0" t="s">
        <v>32</v>
      </c>
      <c r="H6985" s="0" t="n">
        <v>79</v>
      </c>
      <c r="I6985" s="0" t="s">
        <v>23356</v>
      </c>
      <c r="J6985" s="0" t="s">
        <v>23357</v>
      </c>
      <c r="K6985" s="0" t="s">
        <v>23358</v>
      </c>
      <c r="L6985" s="0" t="str">
        <f aca="false">HYPERLINK("https://www.ncbi.nlm.nih.gov/nuccore/CP000304.1?report=graph&amp;tracks=[key:gene_model_track,Options:GeneOnly]&amp;mk=1962784:1962803|offset_15|444444,1962809:1962828|offset_40|444444,1962848:1962867|offset_79|00cc00,1962947:1962966|offset_178|444444&amp;v=1962583:1963166&amp;c=444444", "offset 79")</f>
        <v>offset 79</v>
      </c>
    </row>
    <row r="6986" customFormat="false" ht="12.8" hidden="false" customHeight="false" outlineLevel="0" collapsed="false">
      <c r="A6986" s="0" t="s">
        <v>12</v>
      </c>
      <c r="B6986" s="0" t="n">
        <v>1962946</v>
      </c>
      <c r="C6986" s="0" t="n">
        <v>1962966</v>
      </c>
      <c r="D6986" s="0" t="s">
        <v>23349</v>
      </c>
      <c r="E6986" s="0" t="s">
        <v>89</v>
      </c>
      <c r="F6986" s="0" t="s">
        <v>15</v>
      </c>
      <c r="G6986" s="0" t="s">
        <v>36</v>
      </c>
      <c r="H6986" s="0" t="n">
        <v>178</v>
      </c>
      <c r="I6986" s="0" t="s">
        <v>23359</v>
      </c>
      <c r="J6986" s="0" t="s">
        <v>23360</v>
      </c>
      <c r="K6986" s="0" t="s">
        <v>23361</v>
      </c>
      <c r="L6986" s="0" t="str">
        <f aca="false">HYPERLINK("https://www.ncbi.nlm.nih.gov/nuccore/CP000304.1?report=graph&amp;tracks=[key:gene_model_track,Options:GeneOnly]&amp;mk=1962784:1962803|offset_15|444444,1962809:1962828|offset_40|444444,1962848:1962867|offset_79|444444,1962947:1962966|offset_178|00cc00&amp;v=1962583:1963166&amp;c=444444", "offset 178")</f>
        <v>offset 178</v>
      </c>
    </row>
    <row r="6987" customFormat="false" ht="12.8" hidden="false" customHeight="false" outlineLevel="0" collapsed="false">
      <c r="A6987" s="0" t="s">
        <v>12</v>
      </c>
      <c r="B6987" s="0" t="n">
        <v>1964622</v>
      </c>
      <c r="C6987" s="0" t="n">
        <v>1964642</v>
      </c>
      <c r="D6987" s="0" t="s">
        <v>23362</v>
      </c>
      <c r="E6987" s="0" t="s">
        <v>23363</v>
      </c>
      <c r="F6987" s="0" t="s">
        <v>15</v>
      </c>
      <c r="G6987" s="0" t="s">
        <v>26</v>
      </c>
      <c r="H6987" s="0" t="n">
        <v>7</v>
      </c>
      <c r="I6987" s="0" t="s">
        <v>23364</v>
      </c>
      <c r="J6987" s="0" t="s">
        <v>23365</v>
      </c>
      <c r="K6987" s="0" t="s">
        <v>23366</v>
      </c>
      <c r="L6987" s="0" t="str">
        <f aca="false">HYPERLINK("https://www.ncbi.nlm.nih.gov/nuccore/CP000304.1?report=graph&amp;tracks=[key:gene_model_track,Options:GeneOnly]&amp;mk=1964623:1964642|offset_7|00cc00,1964649:1964668|offset_33|444444,1964697:1964716|offset_81|444444,1964723:1964742|offset_107|444444&amp;v=1964422:1964942&amp;c=444444", "offset 7")</f>
        <v>offset 7</v>
      </c>
    </row>
    <row r="6988" customFormat="false" ht="12.8" hidden="false" customHeight="false" outlineLevel="0" collapsed="false">
      <c r="A6988" s="0" t="s">
        <v>12</v>
      </c>
      <c r="B6988" s="0" t="n">
        <v>1964648</v>
      </c>
      <c r="C6988" s="0" t="n">
        <v>1964668</v>
      </c>
      <c r="D6988" s="0" t="s">
        <v>23362</v>
      </c>
      <c r="E6988" s="0" t="s">
        <v>23363</v>
      </c>
      <c r="F6988" s="0" t="s">
        <v>15</v>
      </c>
      <c r="G6988" s="0" t="s">
        <v>36</v>
      </c>
      <c r="H6988" s="0" t="n">
        <v>33</v>
      </c>
      <c r="I6988" s="0" t="s">
        <v>23367</v>
      </c>
      <c r="J6988" s="0" t="s">
        <v>23368</v>
      </c>
      <c r="K6988" s="0" t="s">
        <v>23369</v>
      </c>
      <c r="L6988" s="0" t="str">
        <f aca="false">HYPERLINK("https://www.ncbi.nlm.nih.gov/nuccore/CP000304.1?report=graph&amp;tracks=[key:gene_model_track,Options:GeneOnly]&amp;mk=1964623:1964642|offset_7|444444,1964649:1964668|offset_33|00cc00,1964697:1964716|offset_81|444444,1964723:1964742|offset_107|444444&amp;v=1964422:1964942&amp;c=444444", "offset 33")</f>
        <v>offset 33</v>
      </c>
    </row>
    <row r="6989" customFormat="false" ht="12.8" hidden="false" customHeight="false" outlineLevel="0" collapsed="false">
      <c r="A6989" s="0" t="s">
        <v>12</v>
      </c>
      <c r="B6989" s="0" t="n">
        <v>1964696</v>
      </c>
      <c r="C6989" s="0" t="n">
        <v>1964716</v>
      </c>
      <c r="D6989" s="0" t="s">
        <v>23362</v>
      </c>
      <c r="E6989" s="0" t="s">
        <v>23363</v>
      </c>
      <c r="F6989" s="0" t="s">
        <v>15</v>
      </c>
      <c r="G6989" s="0" t="s">
        <v>16</v>
      </c>
      <c r="H6989" s="0" t="n">
        <v>81</v>
      </c>
      <c r="I6989" s="0" t="s">
        <v>23370</v>
      </c>
      <c r="J6989" s="0" t="s">
        <v>23371</v>
      </c>
      <c r="K6989" s="0" t="s">
        <v>23372</v>
      </c>
      <c r="L6989" s="0" t="str">
        <f aca="false">HYPERLINK("https://www.ncbi.nlm.nih.gov/nuccore/CP000304.1?report=graph&amp;tracks=[key:gene_model_track,Options:GeneOnly]&amp;mk=1964623:1964642|offset_7|444444,1964649:1964668|offset_33|444444,1964697:1964716|offset_81|00cc00,1964723:1964742|offset_107|444444&amp;v=1964422:1964942&amp;c=444444", "offset 81")</f>
        <v>offset 81</v>
      </c>
    </row>
    <row r="6990" customFormat="false" ht="12.8" hidden="false" customHeight="false" outlineLevel="0" collapsed="false">
      <c r="A6990" s="0" t="s">
        <v>12</v>
      </c>
      <c r="B6990" s="0" t="n">
        <v>1964722</v>
      </c>
      <c r="C6990" s="0" t="n">
        <v>1964742</v>
      </c>
      <c r="D6990" s="0" t="s">
        <v>23362</v>
      </c>
      <c r="E6990" s="0" t="s">
        <v>23363</v>
      </c>
      <c r="F6990" s="0" t="s">
        <v>15</v>
      </c>
      <c r="G6990" s="0" t="s">
        <v>32</v>
      </c>
      <c r="H6990" s="0" t="n">
        <v>107</v>
      </c>
      <c r="I6990" s="0" t="s">
        <v>23373</v>
      </c>
      <c r="J6990" s="0" t="s">
        <v>23374</v>
      </c>
      <c r="K6990" s="0" t="s">
        <v>23375</v>
      </c>
      <c r="L6990" s="0" t="str">
        <f aca="false">HYPERLINK("https://www.ncbi.nlm.nih.gov/nuccore/CP000304.1?report=graph&amp;tracks=[key:gene_model_track,Options:GeneOnly]&amp;mk=1964623:1964642|offset_7|444444,1964649:1964668|offset_33|444444,1964697:1964716|offset_81|444444,1964723:1964742|offset_107|00cc00&amp;v=1964422:1964942&amp;c=444444", "offset 107")</f>
        <v>offset 107</v>
      </c>
    </row>
    <row r="6991" customFormat="false" ht="12.8" hidden="false" customHeight="false" outlineLevel="0" collapsed="false">
      <c r="A6991" s="0" t="s">
        <v>12</v>
      </c>
      <c r="B6991" s="0" t="n">
        <v>1966789</v>
      </c>
      <c r="C6991" s="0" t="n">
        <v>1966809</v>
      </c>
      <c r="D6991" s="0" t="s">
        <v>23376</v>
      </c>
      <c r="E6991" s="0" t="s">
        <v>89</v>
      </c>
      <c r="F6991" s="0" t="s">
        <v>15</v>
      </c>
      <c r="G6991" s="0" t="s">
        <v>16</v>
      </c>
      <c r="H6991" s="0" t="n">
        <v>46</v>
      </c>
      <c r="I6991" s="0" t="s">
        <v>23377</v>
      </c>
      <c r="J6991" s="0" t="s">
        <v>23378</v>
      </c>
      <c r="K6991" s="0" t="s">
        <v>23379</v>
      </c>
      <c r="L6991" s="0" t="str">
        <f aca="false">HYPERLINK("https://www.ncbi.nlm.nih.gov/nuccore/CP000304.1?report=graph&amp;tracks=[key:gene_model_track,Options:GeneOnly]&amp;mk=1966790:1966809|offset_46|00cc00,1966814:1966833|offset_70|444444,1966842:1966861|offset_98|444444,1966866:1966885|offset_122|444444&amp;v=1966589:1967085&amp;c=444444", "offset 46")</f>
        <v>offset 46</v>
      </c>
    </row>
    <row r="6992" customFormat="false" ht="12.8" hidden="false" customHeight="false" outlineLevel="0" collapsed="false">
      <c r="A6992" s="0" t="s">
        <v>12</v>
      </c>
      <c r="B6992" s="0" t="n">
        <v>1966813</v>
      </c>
      <c r="C6992" s="0" t="n">
        <v>1966833</v>
      </c>
      <c r="D6992" s="0" t="s">
        <v>23376</v>
      </c>
      <c r="E6992" s="0" t="s">
        <v>89</v>
      </c>
      <c r="F6992" s="0" t="s">
        <v>15</v>
      </c>
      <c r="G6992" s="0" t="s">
        <v>16</v>
      </c>
      <c r="H6992" s="0" t="n">
        <v>70</v>
      </c>
      <c r="I6992" s="0" t="s">
        <v>23380</v>
      </c>
      <c r="J6992" s="0" t="s">
        <v>23381</v>
      </c>
      <c r="K6992" s="0" t="s">
        <v>23382</v>
      </c>
      <c r="L6992" s="0" t="str">
        <f aca="false">HYPERLINK("https://www.ncbi.nlm.nih.gov/nuccore/CP000304.1?report=graph&amp;tracks=[key:gene_model_track,Options:GeneOnly]&amp;mk=1966790:1966809|offset_46|444444,1966814:1966833|offset_70|00cc00,1966842:1966861|offset_98|444444,1966866:1966885|offset_122|444444&amp;v=1966589:1967085&amp;c=444444", "offset 70")</f>
        <v>offset 70</v>
      </c>
    </row>
    <row r="6993" customFormat="false" ht="12.8" hidden="false" customHeight="false" outlineLevel="0" collapsed="false">
      <c r="A6993" s="0" t="s">
        <v>12</v>
      </c>
      <c r="B6993" s="0" t="n">
        <v>1966841</v>
      </c>
      <c r="C6993" s="0" t="n">
        <v>1966861</v>
      </c>
      <c r="D6993" s="0" t="s">
        <v>23376</v>
      </c>
      <c r="E6993" s="0" t="s">
        <v>89</v>
      </c>
      <c r="F6993" s="0" t="s">
        <v>15</v>
      </c>
      <c r="G6993" s="0" t="s">
        <v>16</v>
      </c>
      <c r="H6993" s="0" t="n">
        <v>98</v>
      </c>
      <c r="I6993" s="0" t="s">
        <v>23383</v>
      </c>
      <c r="J6993" s="0" t="s">
        <v>23384</v>
      </c>
      <c r="K6993" s="0" t="s">
        <v>23385</v>
      </c>
      <c r="L6993" s="0" t="str">
        <f aca="false">HYPERLINK("https://www.ncbi.nlm.nih.gov/nuccore/CP000304.1?report=graph&amp;tracks=[key:gene_model_track,Options:GeneOnly]&amp;mk=1966790:1966809|offset_46|444444,1966814:1966833|offset_70|444444,1966842:1966861|offset_98|00cc00,1966866:1966885|offset_122|444444&amp;v=1966589:1967085&amp;c=444444", "offset 98")</f>
        <v>offset 98</v>
      </c>
    </row>
    <row r="6994" customFormat="false" ht="12.8" hidden="false" customHeight="false" outlineLevel="0" collapsed="false">
      <c r="A6994" s="0" t="s">
        <v>12</v>
      </c>
      <c r="B6994" s="0" t="n">
        <v>1966865</v>
      </c>
      <c r="C6994" s="0" t="n">
        <v>1966885</v>
      </c>
      <c r="D6994" s="0" t="s">
        <v>23376</v>
      </c>
      <c r="E6994" s="0" t="s">
        <v>89</v>
      </c>
      <c r="F6994" s="0" t="s">
        <v>15</v>
      </c>
      <c r="G6994" s="0" t="s">
        <v>26</v>
      </c>
      <c r="H6994" s="0" t="n">
        <v>122</v>
      </c>
      <c r="I6994" s="0" t="s">
        <v>23386</v>
      </c>
      <c r="J6994" s="0" t="s">
        <v>23387</v>
      </c>
      <c r="K6994" s="0" t="s">
        <v>23388</v>
      </c>
      <c r="L6994" s="0" t="str">
        <f aca="false">HYPERLINK("https://www.ncbi.nlm.nih.gov/nuccore/CP000304.1?report=graph&amp;tracks=[key:gene_model_track,Options:GeneOnly]&amp;mk=1966790:1966809|offset_46|444444,1966814:1966833|offset_70|444444,1966842:1966861|offset_98|444444,1966866:1966885|offset_122|00cc00&amp;v=1966589:1967085&amp;c=444444", "offset 122")</f>
        <v>offset 122</v>
      </c>
    </row>
    <row r="6995" customFormat="false" ht="12.8" hidden="false" customHeight="false" outlineLevel="0" collapsed="false">
      <c r="A6995" s="0" t="s">
        <v>12</v>
      </c>
      <c r="B6995" s="0" t="n">
        <v>1967119</v>
      </c>
      <c r="C6995" s="0" t="n">
        <v>1967139</v>
      </c>
      <c r="D6995" s="0" t="s">
        <v>23389</v>
      </c>
      <c r="E6995" s="0" t="s">
        <v>23390</v>
      </c>
      <c r="F6995" s="0" t="s">
        <v>15</v>
      </c>
      <c r="G6995" s="0" t="s">
        <v>36</v>
      </c>
      <c r="H6995" s="0" t="n">
        <v>14</v>
      </c>
      <c r="I6995" s="0" t="s">
        <v>23391</v>
      </c>
      <c r="J6995" s="0" t="s">
        <v>23392</v>
      </c>
      <c r="K6995" s="0" t="s">
        <v>23393</v>
      </c>
      <c r="L6995" s="0" t="str">
        <f aca="false">HYPERLINK("https://www.ncbi.nlm.nih.gov/nuccore/CP000304.1?report=graph&amp;tracks=[key:gene_model_track,Options:GeneOnly]&amp;mk=1967120:1967139|offset_14|00cc00,1967146:1967165|offset_40|444444,1967179:1967198|offset_73|444444,1967216:1967235|offset_110|444444&amp;v=1966919:1967435&amp;c=444444", "offset 14")</f>
        <v>offset 14</v>
      </c>
    </row>
    <row r="6996" customFormat="false" ht="12.8" hidden="false" customHeight="false" outlineLevel="0" collapsed="false">
      <c r="A6996" s="0" t="s">
        <v>12</v>
      </c>
      <c r="B6996" s="0" t="n">
        <v>1967145</v>
      </c>
      <c r="C6996" s="0" t="n">
        <v>1967165</v>
      </c>
      <c r="D6996" s="0" t="s">
        <v>23389</v>
      </c>
      <c r="E6996" s="0" t="s">
        <v>23390</v>
      </c>
      <c r="F6996" s="0" t="s">
        <v>15</v>
      </c>
      <c r="G6996" s="0" t="s">
        <v>36</v>
      </c>
      <c r="H6996" s="0" t="n">
        <v>40</v>
      </c>
      <c r="I6996" s="0" t="s">
        <v>23394</v>
      </c>
      <c r="J6996" s="0" t="s">
        <v>23395</v>
      </c>
      <c r="K6996" s="0" t="s">
        <v>23396</v>
      </c>
      <c r="L6996" s="0" t="str">
        <f aca="false">HYPERLINK("https://www.ncbi.nlm.nih.gov/nuccore/CP000304.1?report=graph&amp;tracks=[key:gene_model_track,Options:GeneOnly]&amp;mk=1967120:1967139|offset_14|444444,1967146:1967165|offset_40|00cc00,1967179:1967198|offset_73|444444,1967216:1967235|offset_110|444444&amp;v=1966919:1967435&amp;c=444444", "offset 40")</f>
        <v>offset 40</v>
      </c>
    </row>
    <row r="6997" customFormat="false" ht="12.8" hidden="false" customHeight="false" outlineLevel="0" collapsed="false">
      <c r="A6997" s="0" t="s">
        <v>12</v>
      </c>
      <c r="B6997" s="0" t="n">
        <v>1967178</v>
      </c>
      <c r="C6997" s="0" t="n">
        <v>1967198</v>
      </c>
      <c r="D6997" s="0" t="s">
        <v>23389</v>
      </c>
      <c r="E6997" s="0" t="s">
        <v>23390</v>
      </c>
      <c r="F6997" s="0" t="s">
        <v>15</v>
      </c>
      <c r="G6997" s="0" t="s">
        <v>16</v>
      </c>
      <c r="H6997" s="0" t="n">
        <v>73</v>
      </c>
      <c r="I6997" s="0" t="s">
        <v>23397</v>
      </c>
      <c r="J6997" s="0" t="s">
        <v>23398</v>
      </c>
      <c r="K6997" s="0" t="s">
        <v>23399</v>
      </c>
      <c r="L6997" s="0" t="str">
        <f aca="false">HYPERLINK("https://www.ncbi.nlm.nih.gov/nuccore/CP000304.1?report=graph&amp;tracks=[key:gene_model_track,Options:GeneOnly]&amp;mk=1967120:1967139|offset_14|444444,1967146:1967165|offset_40|444444,1967179:1967198|offset_73|00cc00,1967216:1967235|offset_110|444444&amp;v=1966919:1967435&amp;c=444444", "offset 73")</f>
        <v>offset 73</v>
      </c>
    </row>
    <row r="6998" customFormat="false" ht="12.8" hidden="false" customHeight="false" outlineLevel="0" collapsed="false">
      <c r="A6998" s="0" t="s">
        <v>12</v>
      </c>
      <c r="B6998" s="0" t="n">
        <v>1967215</v>
      </c>
      <c r="C6998" s="0" t="n">
        <v>1967235</v>
      </c>
      <c r="D6998" s="0" t="s">
        <v>23389</v>
      </c>
      <c r="E6998" s="0" t="s">
        <v>23390</v>
      </c>
      <c r="F6998" s="0" t="s">
        <v>15</v>
      </c>
      <c r="G6998" s="0" t="s">
        <v>16</v>
      </c>
      <c r="H6998" s="0" t="n">
        <v>110</v>
      </c>
      <c r="I6998" s="0" t="s">
        <v>23400</v>
      </c>
      <c r="J6998" s="0" t="s">
        <v>23401</v>
      </c>
      <c r="K6998" s="0" t="s">
        <v>23402</v>
      </c>
      <c r="L6998" s="0" t="str">
        <f aca="false">HYPERLINK("https://www.ncbi.nlm.nih.gov/nuccore/CP000304.1?report=graph&amp;tracks=[key:gene_model_track,Options:GeneOnly]&amp;mk=1967120:1967139|offset_14|444444,1967146:1967165|offset_40|444444,1967179:1967198|offset_73|444444,1967216:1967235|offset_110|00cc00&amp;v=1966919:1967435&amp;c=444444", "offset 110")</f>
        <v>offset 110</v>
      </c>
    </row>
    <row r="6999" customFormat="false" ht="12.8" hidden="false" customHeight="false" outlineLevel="0" collapsed="false">
      <c r="A6999" s="0" t="s">
        <v>12</v>
      </c>
      <c r="B6999" s="0" t="n">
        <v>1967837</v>
      </c>
      <c r="C6999" s="0" t="n">
        <v>1967857</v>
      </c>
      <c r="D6999" s="0" t="s">
        <v>23403</v>
      </c>
      <c r="E6999" s="0" t="s">
        <v>89</v>
      </c>
      <c r="F6999" s="0" t="s">
        <v>15</v>
      </c>
      <c r="G6999" s="0" t="s">
        <v>16</v>
      </c>
      <c r="H6999" s="0" t="n">
        <v>29</v>
      </c>
      <c r="I6999" s="0" t="s">
        <v>23404</v>
      </c>
      <c r="J6999" s="0" t="s">
        <v>23405</v>
      </c>
      <c r="K6999" s="0" t="s">
        <v>23406</v>
      </c>
      <c r="L6999" s="0" t="str">
        <f aca="false">HYPERLINK("https://www.ncbi.nlm.nih.gov/nuccore/CP000304.1?report=graph&amp;tracks=[key:gene_model_track,Options:GeneOnly]&amp;mk=1967838:1967857|offset_29|00cc00,1967878:1967897|offset_69|444444,1967940:1967959|offset_131|444444,1967963:1967982|offset_154|444444&amp;v=1967637:1968182&amp;c=444444", "offset 29")</f>
        <v>offset 29</v>
      </c>
    </row>
    <row r="7000" customFormat="false" ht="12.8" hidden="false" customHeight="false" outlineLevel="0" collapsed="false">
      <c r="A7000" s="0" t="s">
        <v>12</v>
      </c>
      <c r="B7000" s="0" t="n">
        <v>1967877</v>
      </c>
      <c r="C7000" s="0" t="n">
        <v>1967897</v>
      </c>
      <c r="D7000" s="0" t="s">
        <v>23403</v>
      </c>
      <c r="E7000" s="0" t="s">
        <v>89</v>
      </c>
      <c r="F7000" s="0" t="s">
        <v>15</v>
      </c>
      <c r="G7000" s="0" t="s">
        <v>26</v>
      </c>
      <c r="H7000" s="0" t="n">
        <v>69</v>
      </c>
      <c r="I7000" s="0" t="s">
        <v>23407</v>
      </c>
      <c r="J7000" s="0" t="s">
        <v>23408</v>
      </c>
      <c r="K7000" s="0" t="s">
        <v>23409</v>
      </c>
      <c r="L7000" s="0" t="str">
        <f aca="false">HYPERLINK("https://www.ncbi.nlm.nih.gov/nuccore/CP000304.1?report=graph&amp;tracks=[key:gene_model_track,Options:GeneOnly]&amp;mk=1967838:1967857|offset_29|444444,1967878:1967897|offset_69|00cc00,1967940:1967959|offset_131|444444,1967963:1967982|offset_154|444444&amp;v=1967637:1968182&amp;c=444444", "offset 69")</f>
        <v>offset 69</v>
      </c>
    </row>
    <row r="7001" customFormat="false" ht="12.8" hidden="false" customHeight="false" outlineLevel="0" collapsed="false">
      <c r="A7001" s="0" t="s">
        <v>12</v>
      </c>
      <c r="B7001" s="0" t="n">
        <v>1967939</v>
      </c>
      <c r="C7001" s="0" t="n">
        <v>1967959</v>
      </c>
      <c r="D7001" s="0" t="s">
        <v>23403</v>
      </c>
      <c r="E7001" s="0" t="s">
        <v>89</v>
      </c>
      <c r="F7001" s="0" t="s">
        <v>15</v>
      </c>
      <c r="G7001" s="0" t="s">
        <v>16</v>
      </c>
      <c r="H7001" s="0" t="n">
        <v>131</v>
      </c>
      <c r="I7001" s="0" t="s">
        <v>23410</v>
      </c>
      <c r="J7001" s="0" t="s">
        <v>23411</v>
      </c>
      <c r="K7001" s="0" t="s">
        <v>23412</v>
      </c>
      <c r="L7001" s="0" t="str">
        <f aca="false">HYPERLINK("https://www.ncbi.nlm.nih.gov/nuccore/CP000304.1?report=graph&amp;tracks=[key:gene_model_track,Options:GeneOnly]&amp;mk=1967838:1967857|offset_29|444444,1967878:1967897|offset_69|444444,1967940:1967959|offset_131|00cc00,1967963:1967982|offset_154|444444&amp;v=1967637:1968182&amp;c=444444", "offset 131")</f>
        <v>offset 131</v>
      </c>
    </row>
    <row r="7002" customFormat="false" ht="12.8" hidden="false" customHeight="false" outlineLevel="0" collapsed="false">
      <c r="A7002" s="0" t="s">
        <v>12</v>
      </c>
      <c r="B7002" s="0" t="n">
        <v>1967962</v>
      </c>
      <c r="C7002" s="0" t="n">
        <v>1967982</v>
      </c>
      <c r="D7002" s="0" t="s">
        <v>23403</v>
      </c>
      <c r="E7002" s="0" t="s">
        <v>89</v>
      </c>
      <c r="F7002" s="0" t="s">
        <v>15</v>
      </c>
      <c r="G7002" s="0" t="s">
        <v>32</v>
      </c>
      <c r="H7002" s="0" t="n">
        <v>154</v>
      </c>
      <c r="I7002" s="0" t="s">
        <v>23413</v>
      </c>
      <c r="J7002" s="0" t="s">
        <v>23414</v>
      </c>
      <c r="K7002" s="0" t="s">
        <v>23415</v>
      </c>
      <c r="L7002" s="0" t="str">
        <f aca="false">HYPERLINK("https://www.ncbi.nlm.nih.gov/nuccore/CP000304.1?report=graph&amp;tracks=[key:gene_model_track,Options:GeneOnly]&amp;mk=1967838:1967857|offset_29|444444,1967878:1967897|offset_69|444444,1967940:1967959|offset_131|444444,1967963:1967982|offset_154|00cc00&amp;v=1967637:1968182&amp;c=444444", "offset 154")</f>
        <v>offset 154</v>
      </c>
    </row>
    <row r="7003" customFormat="false" ht="12.8" hidden="false" customHeight="false" outlineLevel="0" collapsed="false">
      <c r="A7003" s="0" t="s">
        <v>12</v>
      </c>
      <c r="B7003" s="0" t="n">
        <v>1969021</v>
      </c>
      <c r="C7003" s="0" t="n">
        <v>1969041</v>
      </c>
      <c r="D7003" s="0" t="s">
        <v>23416</v>
      </c>
      <c r="E7003" s="0" t="s">
        <v>89</v>
      </c>
      <c r="F7003" s="0" t="s">
        <v>15</v>
      </c>
      <c r="G7003" s="0" t="s">
        <v>36</v>
      </c>
      <c r="H7003" s="0" t="n">
        <v>91</v>
      </c>
      <c r="I7003" s="0" t="s">
        <v>23417</v>
      </c>
      <c r="J7003" s="0" t="s">
        <v>23418</v>
      </c>
      <c r="K7003" s="0" t="s">
        <v>23419</v>
      </c>
      <c r="L7003" s="0" t="str">
        <f aca="false">HYPERLINK("https://www.ncbi.nlm.nih.gov/nuccore/CP000304.1?report=graph&amp;tracks=[key:gene_model_track,Options:GeneOnly]&amp;mk=1969022:1969041|offset_91|00cc00,1969073:1969092|offset_142|444444,1969105:1969124|offset_174|444444,1969150:1969169|offset_219|444444&amp;v=1968821:1969369&amp;c=444444", "offset 91")</f>
        <v>offset 91</v>
      </c>
    </row>
    <row r="7004" customFormat="false" ht="12.8" hidden="false" customHeight="false" outlineLevel="0" collapsed="false">
      <c r="A7004" s="0" t="s">
        <v>12</v>
      </c>
      <c r="B7004" s="0" t="n">
        <v>1969072</v>
      </c>
      <c r="C7004" s="0" t="n">
        <v>1969092</v>
      </c>
      <c r="D7004" s="0" t="s">
        <v>23416</v>
      </c>
      <c r="E7004" s="0" t="s">
        <v>89</v>
      </c>
      <c r="F7004" s="0" t="s">
        <v>15</v>
      </c>
      <c r="G7004" s="0" t="s">
        <v>26</v>
      </c>
      <c r="H7004" s="0" t="n">
        <v>142</v>
      </c>
      <c r="I7004" s="0" t="s">
        <v>23420</v>
      </c>
      <c r="J7004" s="0" t="s">
        <v>23421</v>
      </c>
      <c r="K7004" s="0" t="s">
        <v>23422</v>
      </c>
      <c r="L7004" s="0" t="str">
        <f aca="false">HYPERLINK("https://www.ncbi.nlm.nih.gov/nuccore/CP000304.1?report=graph&amp;tracks=[key:gene_model_track,Options:GeneOnly]&amp;mk=1969022:1969041|offset_91|444444,1969073:1969092|offset_142|00cc00,1969105:1969124|offset_174|444444,1969150:1969169|offset_219|444444&amp;v=1968821:1969369&amp;c=444444", "offset 142")</f>
        <v>offset 142</v>
      </c>
    </row>
    <row r="7005" customFormat="false" ht="12.8" hidden="false" customHeight="false" outlineLevel="0" collapsed="false">
      <c r="A7005" s="0" t="s">
        <v>12</v>
      </c>
      <c r="B7005" s="0" t="n">
        <v>1969104</v>
      </c>
      <c r="C7005" s="0" t="n">
        <v>1969124</v>
      </c>
      <c r="D7005" s="0" t="s">
        <v>23416</v>
      </c>
      <c r="E7005" s="0" t="s">
        <v>89</v>
      </c>
      <c r="F7005" s="0" t="s">
        <v>15</v>
      </c>
      <c r="G7005" s="0" t="s">
        <v>36</v>
      </c>
      <c r="H7005" s="0" t="n">
        <v>174</v>
      </c>
      <c r="I7005" s="0" t="s">
        <v>23423</v>
      </c>
      <c r="J7005" s="0" t="s">
        <v>23424</v>
      </c>
      <c r="K7005" s="0" t="s">
        <v>23425</v>
      </c>
      <c r="L7005" s="0" t="str">
        <f aca="false">HYPERLINK("https://www.ncbi.nlm.nih.gov/nuccore/CP000304.1?report=graph&amp;tracks=[key:gene_model_track,Options:GeneOnly]&amp;mk=1969022:1969041|offset_91|444444,1969073:1969092|offset_142|444444,1969105:1969124|offset_174|00cc00,1969150:1969169|offset_219|444444&amp;v=1968821:1969369&amp;c=444444", "offset 174")</f>
        <v>offset 174</v>
      </c>
    </row>
    <row r="7006" customFormat="false" ht="12.8" hidden="false" customHeight="false" outlineLevel="0" collapsed="false">
      <c r="A7006" s="0" t="s">
        <v>12</v>
      </c>
      <c r="B7006" s="0" t="n">
        <v>1969149</v>
      </c>
      <c r="C7006" s="0" t="n">
        <v>1969169</v>
      </c>
      <c r="D7006" s="0" t="s">
        <v>23416</v>
      </c>
      <c r="E7006" s="0" t="s">
        <v>89</v>
      </c>
      <c r="F7006" s="0" t="s">
        <v>15</v>
      </c>
      <c r="G7006" s="0" t="s">
        <v>16</v>
      </c>
      <c r="H7006" s="0" t="n">
        <v>219</v>
      </c>
      <c r="I7006" s="0" t="s">
        <v>23426</v>
      </c>
      <c r="J7006" s="0" t="s">
        <v>23427</v>
      </c>
      <c r="K7006" s="0" t="s">
        <v>23428</v>
      </c>
      <c r="L7006" s="0" t="str">
        <f aca="false">HYPERLINK("https://www.ncbi.nlm.nih.gov/nuccore/CP000304.1?report=graph&amp;tracks=[key:gene_model_track,Options:GeneOnly]&amp;mk=1969022:1969041|offset_91|444444,1969073:1969092|offset_142|444444,1969105:1969124|offset_174|444444,1969150:1969169|offset_219|00cc00&amp;v=1968821:1969369&amp;c=444444", "offset 219")</f>
        <v>offset 219</v>
      </c>
    </row>
    <row r="7007" customFormat="false" ht="12.8" hidden="false" customHeight="false" outlineLevel="0" collapsed="false">
      <c r="A7007" s="0" t="s">
        <v>12</v>
      </c>
      <c r="B7007" s="0" t="n">
        <v>1969710</v>
      </c>
      <c r="C7007" s="0" t="n">
        <v>1969730</v>
      </c>
      <c r="D7007" s="0" t="s">
        <v>23429</v>
      </c>
      <c r="E7007" s="0" t="s">
        <v>89</v>
      </c>
      <c r="F7007" s="0" t="s">
        <v>15</v>
      </c>
      <c r="G7007" s="0" t="s">
        <v>16</v>
      </c>
      <c r="H7007" s="0" t="n">
        <v>25</v>
      </c>
      <c r="I7007" s="0" t="s">
        <v>23430</v>
      </c>
      <c r="J7007" s="0" t="s">
        <v>23431</v>
      </c>
      <c r="K7007" s="0" t="s">
        <v>23432</v>
      </c>
      <c r="L7007" s="0" t="str">
        <f aca="false">HYPERLINK("https://www.ncbi.nlm.nih.gov/nuccore/CP000304.1?report=graph&amp;tracks=[key:gene_model_track,Options:GeneOnly]&amp;mk=1969711:1969730|offset_25|00cc00,1969732:1969751|offset_46|444444,1969780:1969799|offset_94|444444,1969806:1969825|offset_120|444444&amp;v=1969510:1970025&amp;c=444444", "offset 25")</f>
        <v>offset 25</v>
      </c>
    </row>
    <row r="7008" customFormat="false" ht="12.8" hidden="false" customHeight="false" outlineLevel="0" collapsed="false">
      <c r="A7008" s="0" t="s">
        <v>12</v>
      </c>
      <c r="B7008" s="0" t="n">
        <v>1969731</v>
      </c>
      <c r="C7008" s="0" t="n">
        <v>1969751</v>
      </c>
      <c r="D7008" s="0" t="s">
        <v>23429</v>
      </c>
      <c r="E7008" s="0" t="s">
        <v>89</v>
      </c>
      <c r="F7008" s="0" t="s">
        <v>15</v>
      </c>
      <c r="G7008" s="0" t="s">
        <v>16</v>
      </c>
      <c r="H7008" s="0" t="n">
        <v>46</v>
      </c>
      <c r="I7008" s="0" t="s">
        <v>23433</v>
      </c>
      <c r="J7008" s="0" t="s">
        <v>23434</v>
      </c>
      <c r="K7008" s="0" t="s">
        <v>23435</v>
      </c>
      <c r="L7008" s="0" t="str">
        <f aca="false">HYPERLINK("https://www.ncbi.nlm.nih.gov/nuccore/CP000304.1?report=graph&amp;tracks=[key:gene_model_track,Options:GeneOnly]&amp;mk=1969711:1969730|offset_25|444444,1969732:1969751|offset_46|00cc00,1969780:1969799|offset_94|444444,1969806:1969825|offset_120|444444&amp;v=1969510:1970025&amp;c=444444", "offset 46")</f>
        <v>offset 46</v>
      </c>
    </row>
    <row r="7009" customFormat="false" ht="12.8" hidden="false" customHeight="false" outlineLevel="0" collapsed="false">
      <c r="A7009" s="0" t="s">
        <v>12</v>
      </c>
      <c r="B7009" s="0" t="n">
        <v>1969779</v>
      </c>
      <c r="C7009" s="0" t="n">
        <v>1969799</v>
      </c>
      <c r="D7009" s="0" t="s">
        <v>23429</v>
      </c>
      <c r="E7009" s="0" t="s">
        <v>89</v>
      </c>
      <c r="F7009" s="0" t="s">
        <v>15</v>
      </c>
      <c r="G7009" s="0" t="s">
        <v>26</v>
      </c>
      <c r="H7009" s="0" t="n">
        <v>94</v>
      </c>
      <c r="I7009" s="0" t="s">
        <v>23436</v>
      </c>
      <c r="J7009" s="0" t="s">
        <v>23437</v>
      </c>
      <c r="K7009" s="0" t="s">
        <v>23438</v>
      </c>
      <c r="L7009" s="0" t="str">
        <f aca="false">HYPERLINK("https://www.ncbi.nlm.nih.gov/nuccore/CP000304.1?report=graph&amp;tracks=[key:gene_model_track,Options:GeneOnly]&amp;mk=1969711:1969730|offset_25|444444,1969732:1969751|offset_46|444444,1969780:1969799|offset_94|00cc00,1969806:1969825|offset_120|444444&amp;v=1969510:1970025&amp;c=444444", "offset 94")</f>
        <v>offset 94</v>
      </c>
    </row>
    <row r="7010" customFormat="false" ht="12.8" hidden="false" customHeight="false" outlineLevel="0" collapsed="false">
      <c r="A7010" s="0" t="s">
        <v>12</v>
      </c>
      <c r="B7010" s="0" t="n">
        <v>1969805</v>
      </c>
      <c r="C7010" s="0" t="n">
        <v>1969825</v>
      </c>
      <c r="D7010" s="0" t="s">
        <v>23429</v>
      </c>
      <c r="E7010" s="0" t="s">
        <v>89</v>
      </c>
      <c r="F7010" s="0" t="s">
        <v>15</v>
      </c>
      <c r="G7010" s="0" t="s">
        <v>16</v>
      </c>
      <c r="H7010" s="0" t="n">
        <v>120</v>
      </c>
      <c r="I7010" s="0" t="s">
        <v>23439</v>
      </c>
      <c r="J7010" s="0" t="s">
        <v>23440</v>
      </c>
      <c r="K7010" s="0" t="s">
        <v>23441</v>
      </c>
      <c r="L7010" s="0" t="str">
        <f aca="false">HYPERLINK("https://www.ncbi.nlm.nih.gov/nuccore/CP000304.1?report=graph&amp;tracks=[key:gene_model_track,Options:GeneOnly]&amp;mk=1969711:1969730|offset_25|444444,1969732:1969751|offset_46|444444,1969780:1969799|offset_94|444444,1969806:1969825|offset_120|00cc00&amp;v=1969510:1970025&amp;c=444444", "offset 120")</f>
        <v>offset 120</v>
      </c>
    </row>
    <row r="7011" customFormat="false" ht="12.8" hidden="false" customHeight="false" outlineLevel="0" collapsed="false">
      <c r="A7011" s="0" t="s">
        <v>12</v>
      </c>
      <c r="B7011" s="0" t="n">
        <v>1970469</v>
      </c>
      <c r="C7011" s="0" t="n">
        <v>1970489</v>
      </c>
      <c r="D7011" s="0" t="s">
        <v>23442</v>
      </c>
      <c r="E7011" s="0" t="s">
        <v>89</v>
      </c>
      <c r="F7011" s="0" t="s">
        <v>15</v>
      </c>
      <c r="G7011" s="0" t="s">
        <v>16</v>
      </c>
      <c r="H7011" s="0" t="n">
        <v>0</v>
      </c>
      <c r="I7011" s="0" t="s">
        <v>23443</v>
      </c>
      <c r="J7011" s="0" t="s">
        <v>23444</v>
      </c>
      <c r="K7011" s="0" t="s">
        <v>23445</v>
      </c>
      <c r="L7011" s="0" t="str">
        <f aca="false">HYPERLINK("https://www.ncbi.nlm.nih.gov/nuccore/CP000304.1?report=graph&amp;tracks=[key:gene_model_track,Options:GeneOnly]&amp;mk=1970470:1970489|offset_0|00cc00,1970518:1970537|offset_48|444444,1970557:1970576|offset_87|444444,1970588:1970607|offset_118|444444&amp;v=1970269:1970807&amp;c=444444", "offset 0")</f>
        <v>offset 0</v>
      </c>
    </row>
    <row r="7012" customFormat="false" ht="12.8" hidden="false" customHeight="false" outlineLevel="0" collapsed="false">
      <c r="A7012" s="0" t="s">
        <v>12</v>
      </c>
      <c r="B7012" s="0" t="n">
        <v>1970517</v>
      </c>
      <c r="C7012" s="0" t="n">
        <v>1970537</v>
      </c>
      <c r="D7012" s="0" t="s">
        <v>23442</v>
      </c>
      <c r="E7012" s="0" t="s">
        <v>89</v>
      </c>
      <c r="F7012" s="0" t="s">
        <v>15</v>
      </c>
      <c r="G7012" s="0" t="s">
        <v>16</v>
      </c>
      <c r="H7012" s="0" t="n">
        <v>48</v>
      </c>
      <c r="I7012" s="0" t="s">
        <v>23446</v>
      </c>
      <c r="J7012" s="0" t="s">
        <v>23447</v>
      </c>
      <c r="K7012" s="0" t="s">
        <v>23448</v>
      </c>
      <c r="L7012" s="0" t="str">
        <f aca="false">HYPERLINK("https://www.ncbi.nlm.nih.gov/nuccore/CP000304.1?report=graph&amp;tracks=[key:gene_model_track,Options:GeneOnly]&amp;mk=1970470:1970489|offset_0|444444,1970518:1970537|offset_48|00cc00,1970557:1970576|offset_87|444444,1970588:1970607|offset_118|444444&amp;v=1970269:1970807&amp;c=444444", "offset 48")</f>
        <v>offset 48</v>
      </c>
    </row>
    <row r="7013" customFormat="false" ht="12.8" hidden="false" customHeight="false" outlineLevel="0" collapsed="false">
      <c r="A7013" s="0" t="s">
        <v>12</v>
      </c>
      <c r="B7013" s="0" t="n">
        <v>1970556</v>
      </c>
      <c r="C7013" s="0" t="n">
        <v>1970576</v>
      </c>
      <c r="D7013" s="0" t="s">
        <v>23442</v>
      </c>
      <c r="E7013" s="0" t="s">
        <v>89</v>
      </c>
      <c r="F7013" s="0" t="s">
        <v>15</v>
      </c>
      <c r="G7013" s="0" t="s">
        <v>36</v>
      </c>
      <c r="H7013" s="0" t="n">
        <v>87</v>
      </c>
      <c r="I7013" s="0" t="s">
        <v>23449</v>
      </c>
      <c r="J7013" s="0" t="s">
        <v>23450</v>
      </c>
      <c r="K7013" s="0" t="s">
        <v>23451</v>
      </c>
      <c r="L7013" s="0" t="str">
        <f aca="false">HYPERLINK("https://www.ncbi.nlm.nih.gov/nuccore/CP000304.1?report=graph&amp;tracks=[key:gene_model_track,Options:GeneOnly]&amp;mk=1970470:1970489|offset_0|444444,1970518:1970537|offset_48|444444,1970557:1970576|offset_87|00cc00,1970588:1970607|offset_118|444444&amp;v=1970269:1970807&amp;c=444444", "offset 87")</f>
        <v>offset 87</v>
      </c>
    </row>
    <row r="7014" customFormat="false" ht="12.8" hidden="false" customHeight="false" outlineLevel="0" collapsed="false">
      <c r="A7014" s="0" t="s">
        <v>12</v>
      </c>
      <c r="B7014" s="0" t="n">
        <v>1970587</v>
      </c>
      <c r="C7014" s="0" t="n">
        <v>1970607</v>
      </c>
      <c r="D7014" s="0" t="s">
        <v>23442</v>
      </c>
      <c r="E7014" s="0" t="s">
        <v>89</v>
      </c>
      <c r="F7014" s="0" t="s">
        <v>15</v>
      </c>
      <c r="G7014" s="0" t="s">
        <v>16</v>
      </c>
      <c r="H7014" s="0" t="n">
        <v>118</v>
      </c>
      <c r="I7014" s="0" t="s">
        <v>23452</v>
      </c>
      <c r="J7014" s="0" t="s">
        <v>23453</v>
      </c>
      <c r="K7014" s="0" t="s">
        <v>23454</v>
      </c>
      <c r="L7014" s="0" t="str">
        <f aca="false">HYPERLINK("https://www.ncbi.nlm.nih.gov/nuccore/CP000304.1?report=graph&amp;tracks=[key:gene_model_track,Options:GeneOnly]&amp;mk=1970470:1970489|offset_0|444444,1970518:1970537|offset_48|444444,1970557:1970576|offset_87|444444,1970588:1970607|offset_118|00cc00&amp;v=1970269:1970807&amp;c=444444", "offset 118")</f>
        <v>offset 118</v>
      </c>
    </row>
    <row r="7015" customFormat="false" ht="12.8" hidden="false" customHeight="false" outlineLevel="0" collapsed="false">
      <c r="A7015" s="0" t="s">
        <v>12</v>
      </c>
      <c r="B7015" s="0" t="n">
        <v>1971800</v>
      </c>
      <c r="C7015" s="0" t="n">
        <v>1971820</v>
      </c>
      <c r="D7015" s="0" t="s">
        <v>23455</v>
      </c>
      <c r="E7015" s="0" t="s">
        <v>89</v>
      </c>
      <c r="F7015" s="0" t="s">
        <v>90</v>
      </c>
      <c r="G7015" s="0" t="s">
        <v>16</v>
      </c>
      <c r="H7015" s="0" t="n">
        <v>1</v>
      </c>
      <c r="I7015" s="0" t="s">
        <v>23456</v>
      </c>
      <c r="J7015" s="0" t="s">
        <v>23457</v>
      </c>
      <c r="K7015" s="0" t="s">
        <v>23458</v>
      </c>
      <c r="L7015" s="0" t="str">
        <f aca="false">HYPERLINK("https://www.ncbi.nlm.nih.gov/nuccore/CP000304.1?report=graph&amp;tracks=[key:gene_model_track,Options:GeneOnly]&amp;mk=1971801:1971820|offset_1|00cc00,1971776:1971795|offset_26|444444,1971756:1971775|offset_46|444444,1971719:1971738|offset_83|444444&amp;v=1971600:1971938&amp;c=444444", "offset 1")</f>
        <v>offset 1</v>
      </c>
    </row>
    <row r="7016" customFormat="false" ht="12.8" hidden="false" customHeight="false" outlineLevel="0" collapsed="false">
      <c r="A7016" s="0" t="s">
        <v>12</v>
      </c>
      <c r="B7016" s="0" t="n">
        <v>1971775</v>
      </c>
      <c r="C7016" s="0" t="n">
        <v>1971795</v>
      </c>
      <c r="D7016" s="0" t="s">
        <v>23455</v>
      </c>
      <c r="E7016" s="0" t="s">
        <v>89</v>
      </c>
      <c r="F7016" s="0" t="s">
        <v>90</v>
      </c>
      <c r="G7016" s="0" t="s">
        <v>26</v>
      </c>
      <c r="H7016" s="0" t="n">
        <v>26</v>
      </c>
      <c r="I7016" s="0" t="s">
        <v>23459</v>
      </c>
      <c r="J7016" s="0" t="s">
        <v>23460</v>
      </c>
      <c r="K7016" s="0" t="s">
        <v>23461</v>
      </c>
      <c r="L7016" s="0" t="str">
        <f aca="false">HYPERLINK("https://www.ncbi.nlm.nih.gov/nuccore/CP000304.1?report=graph&amp;tracks=[key:gene_model_track,Options:GeneOnly]&amp;mk=1971801:1971820|offset_1|444444,1971776:1971795|offset_26|00cc00,1971756:1971775|offset_46|444444,1971719:1971738|offset_83|444444&amp;v=1971600:1971938&amp;c=444444", "offset 26")</f>
        <v>offset 26</v>
      </c>
    </row>
    <row r="7017" customFormat="false" ht="12.8" hidden="false" customHeight="false" outlineLevel="0" collapsed="false">
      <c r="A7017" s="0" t="s">
        <v>12</v>
      </c>
      <c r="B7017" s="0" t="n">
        <v>1971755</v>
      </c>
      <c r="C7017" s="0" t="n">
        <v>1971775</v>
      </c>
      <c r="D7017" s="0" t="s">
        <v>23455</v>
      </c>
      <c r="E7017" s="0" t="s">
        <v>89</v>
      </c>
      <c r="F7017" s="0" t="s">
        <v>90</v>
      </c>
      <c r="G7017" s="0" t="s">
        <v>26</v>
      </c>
      <c r="H7017" s="0" t="n">
        <v>46</v>
      </c>
      <c r="I7017" s="0" t="s">
        <v>23462</v>
      </c>
      <c r="J7017" s="0" t="s">
        <v>23463</v>
      </c>
      <c r="K7017" s="0" t="s">
        <v>23464</v>
      </c>
      <c r="L7017" s="0" t="str">
        <f aca="false">HYPERLINK("https://www.ncbi.nlm.nih.gov/nuccore/CP000304.1?report=graph&amp;tracks=[key:gene_model_track,Options:GeneOnly]&amp;mk=1971801:1971820|offset_1|444444,1971776:1971795|offset_26|444444,1971756:1971775|offset_46|00cc00,1971719:1971738|offset_83|444444&amp;v=1971600:1971938&amp;c=444444", "offset 46")</f>
        <v>offset 46</v>
      </c>
    </row>
    <row r="7018" customFormat="false" ht="12.8" hidden="false" customHeight="false" outlineLevel="0" collapsed="false">
      <c r="A7018" s="0" t="s">
        <v>12</v>
      </c>
      <c r="B7018" s="0" t="n">
        <v>1971718</v>
      </c>
      <c r="C7018" s="0" t="n">
        <v>1971738</v>
      </c>
      <c r="D7018" s="0" t="s">
        <v>23455</v>
      </c>
      <c r="E7018" s="0" t="s">
        <v>89</v>
      </c>
      <c r="F7018" s="0" t="s">
        <v>90</v>
      </c>
      <c r="G7018" s="0" t="s">
        <v>26</v>
      </c>
      <c r="H7018" s="0" t="n">
        <v>83</v>
      </c>
      <c r="I7018" s="0" t="s">
        <v>23465</v>
      </c>
      <c r="J7018" s="0" t="s">
        <v>23466</v>
      </c>
      <c r="K7018" s="0" t="s">
        <v>23467</v>
      </c>
      <c r="L7018" s="0" t="str">
        <f aca="false">HYPERLINK("https://www.ncbi.nlm.nih.gov/nuccore/CP000304.1?report=graph&amp;tracks=[key:gene_model_track,Options:GeneOnly]&amp;mk=1971801:1971820|offset_1|444444,1971776:1971795|offset_26|444444,1971756:1971775|offset_46|444444,1971719:1971738|offset_83|00cc00&amp;v=1971600:1971938&amp;c=444444", "offset 83")</f>
        <v>offset 83</v>
      </c>
    </row>
    <row r="7019" customFormat="false" ht="12.8" hidden="false" customHeight="false" outlineLevel="0" collapsed="false">
      <c r="A7019" s="0" t="s">
        <v>12</v>
      </c>
      <c r="B7019" s="0" t="n">
        <v>1972388</v>
      </c>
      <c r="C7019" s="0" t="n">
        <v>1972408</v>
      </c>
      <c r="D7019" s="0" t="s">
        <v>23468</v>
      </c>
      <c r="E7019" s="0" t="s">
        <v>23469</v>
      </c>
      <c r="F7019" s="0" t="s">
        <v>90</v>
      </c>
      <c r="G7019" s="0" t="s">
        <v>16</v>
      </c>
      <c r="H7019" s="0" t="n">
        <v>0</v>
      </c>
      <c r="I7019" s="0" t="s">
        <v>23470</v>
      </c>
      <c r="J7019" s="0" t="s">
        <v>23471</v>
      </c>
      <c r="K7019" s="0" t="s">
        <v>23472</v>
      </c>
      <c r="L7019" s="0" t="str">
        <f aca="false">HYPERLINK("https://www.ncbi.nlm.nih.gov/nuccore/CP000304.1?report=graph&amp;tracks=[key:gene_model_track,Options:GeneOnly]&amp;mk=1972389:1972408|offset_0|00cc00,1972358:1972377|offset_31|444444,1972332:1972351|offset_57|444444,1972299:1972318|offset_90|444444&amp;v=1972188:1972518&amp;c=444444", "offset 0")</f>
        <v>offset 0</v>
      </c>
    </row>
    <row r="7020" customFormat="false" ht="12.8" hidden="false" customHeight="false" outlineLevel="0" collapsed="false">
      <c r="A7020" s="0" t="s">
        <v>12</v>
      </c>
      <c r="B7020" s="0" t="n">
        <v>1972357</v>
      </c>
      <c r="C7020" s="0" t="n">
        <v>1972377</v>
      </c>
      <c r="D7020" s="0" t="s">
        <v>23468</v>
      </c>
      <c r="E7020" s="0" t="s">
        <v>23469</v>
      </c>
      <c r="F7020" s="0" t="s">
        <v>90</v>
      </c>
      <c r="G7020" s="0" t="s">
        <v>26</v>
      </c>
      <c r="H7020" s="0" t="n">
        <v>31</v>
      </c>
      <c r="I7020" s="0" t="s">
        <v>23473</v>
      </c>
      <c r="J7020" s="0" t="s">
        <v>23474</v>
      </c>
      <c r="K7020" s="0" t="s">
        <v>23475</v>
      </c>
      <c r="L7020" s="0" t="str">
        <f aca="false">HYPERLINK("https://www.ncbi.nlm.nih.gov/nuccore/CP000304.1?report=graph&amp;tracks=[key:gene_model_track,Options:GeneOnly]&amp;mk=1972389:1972408|offset_0|444444,1972358:1972377|offset_31|00cc00,1972332:1972351|offset_57|444444,1972299:1972318|offset_90|444444&amp;v=1972188:1972518&amp;c=444444", "offset 31")</f>
        <v>offset 31</v>
      </c>
    </row>
    <row r="7021" customFormat="false" ht="12.8" hidden="false" customHeight="false" outlineLevel="0" collapsed="false">
      <c r="A7021" s="0" t="s">
        <v>12</v>
      </c>
      <c r="B7021" s="0" t="n">
        <v>1972331</v>
      </c>
      <c r="C7021" s="0" t="n">
        <v>1972351</v>
      </c>
      <c r="D7021" s="0" t="s">
        <v>23468</v>
      </c>
      <c r="E7021" s="0" t="s">
        <v>23469</v>
      </c>
      <c r="F7021" s="0" t="s">
        <v>90</v>
      </c>
      <c r="G7021" s="0" t="s">
        <v>16</v>
      </c>
      <c r="H7021" s="0" t="n">
        <v>57</v>
      </c>
      <c r="I7021" s="0" t="s">
        <v>23476</v>
      </c>
      <c r="J7021" s="0" t="s">
        <v>23477</v>
      </c>
      <c r="K7021" s="0" t="s">
        <v>23478</v>
      </c>
      <c r="L7021" s="0" t="str">
        <f aca="false">HYPERLINK("https://www.ncbi.nlm.nih.gov/nuccore/CP000304.1?report=graph&amp;tracks=[key:gene_model_track,Options:GeneOnly]&amp;mk=1972389:1972408|offset_0|444444,1972358:1972377|offset_31|444444,1972332:1972351|offset_57|00cc00,1972299:1972318|offset_90|444444&amp;v=1972188:1972518&amp;c=444444", "offset 57")</f>
        <v>offset 57</v>
      </c>
    </row>
    <row r="7022" customFormat="false" ht="12.8" hidden="false" customHeight="false" outlineLevel="0" collapsed="false">
      <c r="A7022" s="0" t="s">
        <v>12</v>
      </c>
      <c r="B7022" s="0" t="n">
        <v>1972298</v>
      </c>
      <c r="C7022" s="0" t="n">
        <v>1972318</v>
      </c>
      <c r="D7022" s="0" t="s">
        <v>23468</v>
      </c>
      <c r="E7022" s="0" t="s">
        <v>23469</v>
      </c>
      <c r="F7022" s="0" t="s">
        <v>90</v>
      </c>
      <c r="G7022" s="0" t="s">
        <v>32</v>
      </c>
      <c r="H7022" s="0" t="n">
        <v>90</v>
      </c>
      <c r="I7022" s="0" t="s">
        <v>23479</v>
      </c>
      <c r="J7022" s="0" t="s">
        <v>23480</v>
      </c>
      <c r="K7022" s="0" t="s">
        <v>23481</v>
      </c>
      <c r="L7022" s="0" t="str">
        <f aca="false">HYPERLINK("https://www.ncbi.nlm.nih.gov/nuccore/CP000304.1?report=graph&amp;tracks=[key:gene_model_track,Options:GeneOnly]&amp;mk=1972389:1972408|offset_0|444444,1972358:1972377|offset_31|444444,1972332:1972351|offset_57|444444,1972299:1972318|offset_90|00cc00&amp;v=1972188:1972518&amp;c=444444", "offset 90")</f>
        <v>offset 90</v>
      </c>
    </row>
    <row r="7023" customFormat="false" ht="12.8" hidden="false" customHeight="false" outlineLevel="0" collapsed="false">
      <c r="A7023" s="0" t="s">
        <v>12</v>
      </c>
      <c r="B7023" s="0" t="n">
        <v>1973142</v>
      </c>
      <c r="C7023" s="0" t="n">
        <v>1973162</v>
      </c>
      <c r="D7023" s="0" t="s">
        <v>23482</v>
      </c>
      <c r="E7023" s="0" t="s">
        <v>23483</v>
      </c>
      <c r="F7023" s="0" t="s">
        <v>90</v>
      </c>
      <c r="G7023" s="0" t="s">
        <v>16</v>
      </c>
      <c r="H7023" s="0" t="n">
        <v>7</v>
      </c>
      <c r="I7023" s="0" t="s">
        <v>23484</v>
      </c>
      <c r="J7023" s="0" t="s">
        <v>23485</v>
      </c>
      <c r="K7023" s="0" t="s">
        <v>23486</v>
      </c>
      <c r="L7023" s="0" t="str">
        <f aca="false">HYPERLINK("https://www.ncbi.nlm.nih.gov/nuccore/CP000304.1?report=graph&amp;tracks=[key:gene_model_track,Options:GeneOnly]&amp;mk=1973143:1973162|offset_7|00cc00,1973091:1973110|offset_59|444444,1973071:1973090|offset_79|444444,1973016:1973035|offset_134|444444&amp;v=1972942:1973235&amp;c=444444", "offset 7")</f>
        <v>offset 7</v>
      </c>
    </row>
    <row r="7024" customFormat="false" ht="12.8" hidden="false" customHeight="false" outlineLevel="0" collapsed="false">
      <c r="A7024" s="0" t="s">
        <v>12</v>
      </c>
      <c r="B7024" s="0" t="n">
        <v>1973090</v>
      </c>
      <c r="C7024" s="0" t="n">
        <v>1973110</v>
      </c>
      <c r="D7024" s="0" t="s">
        <v>23482</v>
      </c>
      <c r="E7024" s="0" t="s">
        <v>23483</v>
      </c>
      <c r="F7024" s="0" t="s">
        <v>90</v>
      </c>
      <c r="G7024" s="0" t="s">
        <v>26</v>
      </c>
      <c r="H7024" s="0" t="n">
        <v>59</v>
      </c>
      <c r="I7024" s="0" t="s">
        <v>23487</v>
      </c>
      <c r="J7024" s="0" t="s">
        <v>23488</v>
      </c>
      <c r="K7024" s="0" t="s">
        <v>23489</v>
      </c>
      <c r="L7024" s="0" t="str">
        <f aca="false">HYPERLINK("https://www.ncbi.nlm.nih.gov/nuccore/CP000304.1?report=graph&amp;tracks=[key:gene_model_track,Options:GeneOnly]&amp;mk=1973143:1973162|offset_7|444444,1973091:1973110|offset_59|00cc00,1973071:1973090|offset_79|444444,1973016:1973035|offset_134|444444&amp;v=1972942:1973235&amp;c=444444", "offset 59")</f>
        <v>offset 59</v>
      </c>
    </row>
    <row r="7025" customFormat="false" ht="12.8" hidden="false" customHeight="false" outlineLevel="0" collapsed="false">
      <c r="A7025" s="0" t="s">
        <v>12</v>
      </c>
      <c r="B7025" s="0" t="n">
        <v>1973070</v>
      </c>
      <c r="C7025" s="0" t="n">
        <v>1973090</v>
      </c>
      <c r="D7025" s="0" t="s">
        <v>23482</v>
      </c>
      <c r="E7025" s="0" t="s">
        <v>23483</v>
      </c>
      <c r="F7025" s="0" t="s">
        <v>90</v>
      </c>
      <c r="G7025" s="0" t="s">
        <v>36</v>
      </c>
      <c r="H7025" s="0" t="n">
        <v>79</v>
      </c>
      <c r="I7025" s="0" t="s">
        <v>23490</v>
      </c>
      <c r="J7025" s="0" t="s">
        <v>23491</v>
      </c>
      <c r="K7025" s="0" t="s">
        <v>23492</v>
      </c>
      <c r="L7025" s="0" t="str">
        <f aca="false">HYPERLINK("https://www.ncbi.nlm.nih.gov/nuccore/CP000304.1?report=graph&amp;tracks=[key:gene_model_track,Options:GeneOnly]&amp;mk=1973143:1973162|offset_7|444444,1973091:1973110|offset_59|444444,1973071:1973090|offset_79|00cc00,1973016:1973035|offset_134|444444&amp;v=1972942:1973235&amp;c=444444", "offset 79")</f>
        <v>offset 79</v>
      </c>
    </row>
    <row r="7026" customFormat="false" ht="12.8" hidden="false" customHeight="false" outlineLevel="0" collapsed="false">
      <c r="A7026" s="0" t="s">
        <v>12</v>
      </c>
      <c r="B7026" s="0" t="n">
        <v>1973015</v>
      </c>
      <c r="C7026" s="0" t="n">
        <v>1973035</v>
      </c>
      <c r="D7026" s="0" t="s">
        <v>23482</v>
      </c>
      <c r="E7026" s="0" t="s">
        <v>23483</v>
      </c>
      <c r="F7026" s="0" t="s">
        <v>90</v>
      </c>
      <c r="G7026" s="0" t="s">
        <v>16</v>
      </c>
      <c r="H7026" s="0" t="n">
        <v>134</v>
      </c>
      <c r="I7026" s="0" t="s">
        <v>23493</v>
      </c>
      <c r="J7026" s="0" t="s">
        <v>23494</v>
      </c>
      <c r="K7026" s="0" t="s">
        <v>23495</v>
      </c>
      <c r="L7026" s="0" t="str">
        <f aca="false">HYPERLINK("https://www.ncbi.nlm.nih.gov/nuccore/CP000304.1?report=graph&amp;tracks=[key:gene_model_track,Options:GeneOnly]&amp;mk=1973143:1973162|offset_7|444444,1973091:1973110|offset_59|444444,1973071:1973090|offset_79|444444,1973016:1973035|offset_134|00cc00&amp;v=1972942:1973235&amp;c=444444", "offset 134")</f>
        <v>offset 134</v>
      </c>
    </row>
    <row r="7027" customFormat="false" ht="12.8" hidden="false" customHeight="false" outlineLevel="0" collapsed="false">
      <c r="A7027" s="0" t="s">
        <v>12</v>
      </c>
      <c r="B7027" s="0" t="n">
        <v>1974630</v>
      </c>
      <c r="C7027" s="0" t="n">
        <v>1974650</v>
      </c>
      <c r="D7027" s="0" t="s">
        <v>23496</v>
      </c>
      <c r="E7027" s="0" t="s">
        <v>89</v>
      </c>
      <c r="F7027" s="0" t="s">
        <v>90</v>
      </c>
      <c r="G7027" s="0" t="s">
        <v>32</v>
      </c>
      <c r="H7027" s="0" t="n">
        <v>13</v>
      </c>
      <c r="I7027" s="0" t="s">
        <v>23497</v>
      </c>
      <c r="J7027" s="0" t="s">
        <v>23498</v>
      </c>
      <c r="K7027" s="0" t="s">
        <v>23499</v>
      </c>
      <c r="L7027" s="0" t="str">
        <f aca="false">HYPERLINK("https://www.ncbi.nlm.nih.gov/nuccore/CP000304.1?report=graph&amp;tracks=[key:gene_model_track,Options:GeneOnly]&amp;mk=1974631:1974650|offset_13|00cc00,1974606:1974625|offset_38|444444,1974585:1974604|offset_59|444444,1974562:1974581|offset_82|444444&amp;v=1974430:1974781&amp;c=444444", "offset 13")</f>
        <v>offset 13</v>
      </c>
    </row>
    <row r="7028" customFormat="false" ht="12.8" hidden="false" customHeight="false" outlineLevel="0" collapsed="false">
      <c r="A7028" s="0" t="s">
        <v>12</v>
      </c>
      <c r="B7028" s="0" t="n">
        <v>1974605</v>
      </c>
      <c r="C7028" s="0" t="n">
        <v>1974625</v>
      </c>
      <c r="D7028" s="0" t="s">
        <v>23496</v>
      </c>
      <c r="E7028" s="0" t="s">
        <v>89</v>
      </c>
      <c r="F7028" s="0" t="s">
        <v>90</v>
      </c>
      <c r="G7028" s="0" t="s">
        <v>16</v>
      </c>
      <c r="H7028" s="0" t="n">
        <v>38</v>
      </c>
      <c r="I7028" s="0" t="s">
        <v>23500</v>
      </c>
      <c r="J7028" s="0" t="s">
        <v>23501</v>
      </c>
      <c r="K7028" s="0" t="s">
        <v>23502</v>
      </c>
      <c r="L7028" s="0" t="str">
        <f aca="false">HYPERLINK("https://www.ncbi.nlm.nih.gov/nuccore/CP000304.1?report=graph&amp;tracks=[key:gene_model_track,Options:GeneOnly]&amp;mk=1974631:1974650|offset_13|444444,1974606:1974625|offset_38|00cc00,1974585:1974604|offset_59|444444,1974562:1974581|offset_82|444444&amp;v=1974430:1974781&amp;c=444444", "offset 38")</f>
        <v>offset 38</v>
      </c>
    </row>
    <row r="7029" customFormat="false" ht="12.8" hidden="false" customHeight="false" outlineLevel="0" collapsed="false">
      <c r="A7029" s="0" t="s">
        <v>12</v>
      </c>
      <c r="B7029" s="0" t="n">
        <v>1974584</v>
      </c>
      <c r="C7029" s="0" t="n">
        <v>1974604</v>
      </c>
      <c r="D7029" s="0" t="s">
        <v>23496</v>
      </c>
      <c r="E7029" s="0" t="s">
        <v>89</v>
      </c>
      <c r="F7029" s="0" t="s">
        <v>90</v>
      </c>
      <c r="G7029" s="0" t="s">
        <v>36</v>
      </c>
      <c r="H7029" s="0" t="n">
        <v>59</v>
      </c>
      <c r="I7029" s="0" t="s">
        <v>23503</v>
      </c>
      <c r="J7029" s="0" t="s">
        <v>23504</v>
      </c>
      <c r="K7029" s="0" t="s">
        <v>23505</v>
      </c>
      <c r="L7029" s="0" t="str">
        <f aca="false">HYPERLINK("https://www.ncbi.nlm.nih.gov/nuccore/CP000304.1?report=graph&amp;tracks=[key:gene_model_track,Options:GeneOnly]&amp;mk=1974631:1974650|offset_13|444444,1974606:1974625|offset_38|444444,1974585:1974604|offset_59|00cc00,1974562:1974581|offset_82|444444&amp;v=1974430:1974781&amp;c=444444", "offset 59")</f>
        <v>offset 59</v>
      </c>
    </row>
    <row r="7030" customFormat="false" ht="12.8" hidden="false" customHeight="false" outlineLevel="0" collapsed="false">
      <c r="A7030" s="0" t="s">
        <v>12</v>
      </c>
      <c r="B7030" s="0" t="n">
        <v>1974561</v>
      </c>
      <c r="C7030" s="0" t="n">
        <v>1974581</v>
      </c>
      <c r="D7030" s="0" t="s">
        <v>23496</v>
      </c>
      <c r="E7030" s="0" t="s">
        <v>89</v>
      </c>
      <c r="F7030" s="0" t="s">
        <v>90</v>
      </c>
      <c r="G7030" s="0" t="s">
        <v>16</v>
      </c>
      <c r="H7030" s="0" t="n">
        <v>82</v>
      </c>
      <c r="I7030" s="0" t="s">
        <v>23506</v>
      </c>
      <c r="J7030" s="0" t="s">
        <v>23507</v>
      </c>
      <c r="K7030" s="0" t="s">
        <v>23508</v>
      </c>
      <c r="L7030" s="0" t="str">
        <f aca="false">HYPERLINK("https://www.ncbi.nlm.nih.gov/nuccore/CP000304.1?report=graph&amp;tracks=[key:gene_model_track,Options:GeneOnly]&amp;mk=1974631:1974650|offset_13|444444,1974606:1974625|offset_38|444444,1974585:1974604|offset_59|444444,1974562:1974581|offset_82|00cc00&amp;v=1974430:1974781&amp;c=444444", "offset 82")</f>
        <v>offset 82</v>
      </c>
    </row>
    <row r="7031" customFormat="false" ht="12.8" hidden="false" customHeight="false" outlineLevel="0" collapsed="false">
      <c r="A7031" s="0" t="s">
        <v>12</v>
      </c>
      <c r="B7031" s="0" t="n">
        <v>1974907</v>
      </c>
      <c r="C7031" s="0" t="n">
        <v>1974927</v>
      </c>
      <c r="D7031" s="0" t="s">
        <v>23509</v>
      </c>
      <c r="E7031" s="0" t="s">
        <v>23510</v>
      </c>
      <c r="F7031" s="0" t="s">
        <v>15</v>
      </c>
      <c r="G7031" s="0" t="s">
        <v>32</v>
      </c>
      <c r="H7031" s="0" t="n">
        <v>38</v>
      </c>
      <c r="I7031" s="0" t="s">
        <v>23511</v>
      </c>
      <c r="J7031" s="0" t="s">
        <v>23512</v>
      </c>
      <c r="K7031" s="0" t="s">
        <v>23513</v>
      </c>
      <c r="L7031" s="0" t="str">
        <f aca="false">HYPERLINK("https://www.ncbi.nlm.nih.gov/nuccore/CP000304.1?report=graph&amp;tracks=[key:gene_model_track,Options:GeneOnly]&amp;mk=1974908:1974927|offset_38|00cc00,1974928:1974947|offset_58|444444,1974977:1974996|offset_107|444444,1974997:1975016|offset_127|444444&amp;v=1974707:1975216&amp;c=444444", "offset 38")</f>
        <v>offset 38</v>
      </c>
    </row>
    <row r="7032" customFormat="false" ht="12.8" hidden="false" customHeight="false" outlineLevel="0" collapsed="false">
      <c r="A7032" s="0" t="s">
        <v>12</v>
      </c>
      <c r="B7032" s="0" t="n">
        <v>1974927</v>
      </c>
      <c r="C7032" s="0" t="n">
        <v>1974947</v>
      </c>
      <c r="D7032" s="0" t="s">
        <v>23509</v>
      </c>
      <c r="E7032" s="0" t="s">
        <v>23510</v>
      </c>
      <c r="F7032" s="0" t="s">
        <v>15</v>
      </c>
      <c r="G7032" s="0" t="s">
        <v>16</v>
      </c>
      <c r="H7032" s="0" t="n">
        <v>58</v>
      </c>
      <c r="I7032" s="0" t="s">
        <v>23514</v>
      </c>
      <c r="J7032" s="0" t="s">
        <v>23515</v>
      </c>
      <c r="K7032" s="0" t="s">
        <v>23516</v>
      </c>
      <c r="L7032" s="0" t="str">
        <f aca="false">HYPERLINK("https://www.ncbi.nlm.nih.gov/nuccore/CP000304.1?report=graph&amp;tracks=[key:gene_model_track,Options:GeneOnly]&amp;mk=1974908:1974927|offset_38|444444,1974928:1974947|offset_58|00cc00,1974977:1974996|offset_107|444444,1974997:1975016|offset_127|444444&amp;v=1974707:1975216&amp;c=444444", "offset 58")</f>
        <v>offset 58</v>
      </c>
    </row>
    <row r="7033" customFormat="false" ht="12.8" hidden="false" customHeight="false" outlineLevel="0" collapsed="false">
      <c r="A7033" s="0" t="s">
        <v>12</v>
      </c>
      <c r="B7033" s="0" t="n">
        <v>1974976</v>
      </c>
      <c r="C7033" s="0" t="n">
        <v>1974996</v>
      </c>
      <c r="D7033" s="0" t="s">
        <v>23509</v>
      </c>
      <c r="E7033" s="0" t="s">
        <v>23510</v>
      </c>
      <c r="F7033" s="0" t="s">
        <v>15</v>
      </c>
      <c r="G7033" s="0" t="s">
        <v>32</v>
      </c>
      <c r="H7033" s="0" t="n">
        <v>107</v>
      </c>
      <c r="I7033" s="0" t="s">
        <v>23517</v>
      </c>
      <c r="J7033" s="0" t="s">
        <v>23518</v>
      </c>
      <c r="K7033" s="0" t="s">
        <v>23519</v>
      </c>
      <c r="L7033" s="0" t="str">
        <f aca="false">HYPERLINK("https://www.ncbi.nlm.nih.gov/nuccore/CP000304.1?report=graph&amp;tracks=[key:gene_model_track,Options:GeneOnly]&amp;mk=1974908:1974927|offset_38|444444,1974928:1974947|offset_58|444444,1974977:1974996|offset_107|00cc00,1974997:1975016|offset_127|444444&amp;v=1974707:1975216&amp;c=444444", "offset 107")</f>
        <v>offset 107</v>
      </c>
    </row>
    <row r="7034" customFormat="false" ht="12.8" hidden="false" customHeight="false" outlineLevel="0" collapsed="false">
      <c r="A7034" s="0" t="s">
        <v>12</v>
      </c>
      <c r="B7034" s="0" t="n">
        <v>1974996</v>
      </c>
      <c r="C7034" s="0" t="n">
        <v>1975016</v>
      </c>
      <c r="D7034" s="0" t="s">
        <v>23509</v>
      </c>
      <c r="E7034" s="0" t="s">
        <v>23510</v>
      </c>
      <c r="F7034" s="0" t="s">
        <v>15</v>
      </c>
      <c r="G7034" s="0" t="s">
        <v>16</v>
      </c>
      <c r="H7034" s="0" t="n">
        <v>127</v>
      </c>
      <c r="I7034" s="0" t="s">
        <v>23520</v>
      </c>
      <c r="J7034" s="0" t="s">
        <v>23521</v>
      </c>
      <c r="K7034" s="0" t="s">
        <v>23522</v>
      </c>
      <c r="L7034" s="0" t="str">
        <f aca="false">HYPERLINK("https://www.ncbi.nlm.nih.gov/nuccore/CP000304.1?report=graph&amp;tracks=[key:gene_model_track,Options:GeneOnly]&amp;mk=1974908:1974927|offset_38|444444,1974928:1974947|offset_58|444444,1974977:1974996|offset_107|444444,1974997:1975016|offset_127|00cc00&amp;v=1974707:1975216&amp;c=444444", "offset 127")</f>
        <v>offset 127</v>
      </c>
    </row>
    <row r="7035" customFormat="false" ht="12.8" hidden="false" customHeight="false" outlineLevel="0" collapsed="false">
      <c r="A7035" s="0" t="s">
        <v>12</v>
      </c>
      <c r="B7035" s="0" t="n">
        <v>1976305</v>
      </c>
      <c r="C7035" s="0" t="n">
        <v>1976325</v>
      </c>
      <c r="D7035" s="0" t="s">
        <v>23523</v>
      </c>
      <c r="E7035" s="0" t="s">
        <v>89</v>
      </c>
      <c r="F7035" s="0" t="s">
        <v>90</v>
      </c>
      <c r="G7035" s="0" t="s">
        <v>32</v>
      </c>
      <c r="H7035" s="0" t="n">
        <v>1</v>
      </c>
      <c r="I7035" s="0" t="s">
        <v>23524</v>
      </c>
      <c r="J7035" s="0" t="s">
        <v>23525</v>
      </c>
      <c r="K7035" s="0" t="s">
        <v>23526</v>
      </c>
      <c r="L7035" s="0" t="str">
        <f aca="false">HYPERLINK("https://www.ncbi.nlm.nih.gov/nuccore/CP000304.1?report=graph&amp;tracks=[key:gene_model_track,Options:GeneOnly]&amp;mk=1976306:1976325|offset_1|00cc00,1976272:1976291|offset_35|444444,1976248:1976267|offset_59|444444,1976225:1976244|offset_82|444444&amp;v=1976105:1976444&amp;c=444444", "offset 1")</f>
        <v>offset 1</v>
      </c>
    </row>
    <row r="7036" customFormat="false" ht="12.8" hidden="false" customHeight="false" outlineLevel="0" collapsed="false">
      <c r="A7036" s="0" t="s">
        <v>12</v>
      </c>
      <c r="B7036" s="0" t="n">
        <v>1976271</v>
      </c>
      <c r="C7036" s="0" t="n">
        <v>1976291</v>
      </c>
      <c r="D7036" s="0" t="s">
        <v>23523</v>
      </c>
      <c r="E7036" s="0" t="s">
        <v>89</v>
      </c>
      <c r="F7036" s="0" t="s">
        <v>90</v>
      </c>
      <c r="G7036" s="0" t="s">
        <v>26</v>
      </c>
      <c r="H7036" s="0" t="n">
        <v>35</v>
      </c>
      <c r="I7036" s="0" t="s">
        <v>23527</v>
      </c>
      <c r="J7036" s="0" t="s">
        <v>23528</v>
      </c>
      <c r="K7036" s="0" t="s">
        <v>23529</v>
      </c>
      <c r="L7036" s="0" t="str">
        <f aca="false">HYPERLINK("https://www.ncbi.nlm.nih.gov/nuccore/CP000304.1?report=graph&amp;tracks=[key:gene_model_track,Options:GeneOnly]&amp;mk=1976306:1976325|offset_1|444444,1976272:1976291|offset_35|00cc00,1976248:1976267|offset_59|444444,1976225:1976244|offset_82|444444&amp;v=1976105:1976444&amp;c=444444", "offset 35")</f>
        <v>offset 35</v>
      </c>
    </row>
    <row r="7037" customFormat="false" ht="12.8" hidden="false" customHeight="false" outlineLevel="0" collapsed="false">
      <c r="A7037" s="0" t="s">
        <v>12</v>
      </c>
      <c r="B7037" s="0" t="n">
        <v>1976247</v>
      </c>
      <c r="C7037" s="0" t="n">
        <v>1976267</v>
      </c>
      <c r="D7037" s="0" t="s">
        <v>23523</v>
      </c>
      <c r="E7037" s="0" t="s">
        <v>89</v>
      </c>
      <c r="F7037" s="0" t="s">
        <v>90</v>
      </c>
      <c r="G7037" s="0" t="s">
        <v>26</v>
      </c>
      <c r="H7037" s="0" t="n">
        <v>59</v>
      </c>
      <c r="I7037" s="0" t="s">
        <v>23530</v>
      </c>
      <c r="J7037" s="0" t="s">
        <v>23531</v>
      </c>
      <c r="K7037" s="0" t="s">
        <v>23532</v>
      </c>
      <c r="L7037" s="0" t="str">
        <f aca="false">HYPERLINK("https://www.ncbi.nlm.nih.gov/nuccore/CP000304.1?report=graph&amp;tracks=[key:gene_model_track,Options:GeneOnly]&amp;mk=1976306:1976325|offset_1|444444,1976272:1976291|offset_35|444444,1976248:1976267|offset_59|00cc00,1976225:1976244|offset_82|444444&amp;v=1976105:1976444&amp;c=444444", "offset 59")</f>
        <v>offset 59</v>
      </c>
    </row>
    <row r="7038" customFormat="false" ht="12.8" hidden="false" customHeight="false" outlineLevel="0" collapsed="false">
      <c r="A7038" s="0" t="s">
        <v>12</v>
      </c>
      <c r="B7038" s="0" t="n">
        <v>1976224</v>
      </c>
      <c r="C7038" s="0" t="n">
        <v>1976244</v>
      </c>
      <c r="D7038" s="0" t="s">
        <v>23523</v>
      </c>
      <c r="E7038" s="0" t="s">
        <v>89</v>
      </c>
      <c r="F7038" s="0" t="s">
        <v>90</v>
      </c>
      <c r="G7038" s="0" t="s">
        <v>16</v>
      </c>
      <c r="H7038" s="0" t="n">
        <v>82</v>
      </c>
      <c r="I7038" s="0" t="s">
        <v>23533</v>
      </c>
      <c r="J7038" s="0" t="s">
        <v>23534</v>
      </c>
      <c r="K7038" s="0" t="s">
        <v>23535</v>
      </c>
      <c r="L7038" s="0" t="str">
        <f aca="false">HYPERLINK("https://www.ncbi.nlm.nih.gov/nuccore/CP000304.1?report=graph&amp;tracks=[key:gene_model_track,Options:GeneOnly]&amp;mk=1976306:1976325|offset_1|444444,1976272:1976291|offset_35|444444,1976248:1976267|offset_59|444444,1976225:1976244|offset_82|00cc00&amp;v=1976105:1976444&amp;c=444444", "offset 82")</f>
        <v>offset 82</v>
      </c>
    </row>
    <row r="7039" customFormat="false" ht="12.8" hidden="false" customHeight="false" outlineLevel="0" collapsed="false">
      <c r="A7039" s="0" t="s">
        <v>12</v>
      </c>
      <c r="B7039" s="0" t="n">
        <v>1976600</v>
      </c>
      <c r="C7039" s="0" t="n">
        <v>1976620</v>
      </c>
      <c r="D7039" s="0" t="s">
        <v>23536</v>
      </c>
      <c r="E7039" s="0" t="s">
        <v>23537</v>
      </c>
      <c r="F7039" s="0" t="s">
        <v>90</v>
      </c>
      <c r="G7039" s="0" t="s">
        <v>16</v>
      </c>
      <c r="H7039" s="0" t="n">
        <v>7</v>
      </c>
      <c r="I7039" s="0" t="s">
        <v>23538</v>
      </c>
      <c r="J7039" s="0" t="s">
        <v>23539</v>
      </c>
      <c r="K7039" s="0" t="s">
        <v>23540</v>
      </c>
      <c r="L7039" s="0" t="str">
        <f aca="false">HYPERLINK("https://www.ncbi.nlm.nih.gov/nuccore/CP000304.1?report=graph&amp;tracks=[key:gene_model_track,Options:GeneOnly]&amp;mk=1976601:1976620|offset_7|00cc00,1976581:1976600|offset_27|444444,1976559:1976578|offset_49|444444,1976507:1976526|offset_101|444444&amp;v=1976400:1976726&amp;c=444444", "offset 7")</f>
        <v>offset 7</v>
      </c>
    </row>
    <row r="7040" customFormat="false" ht="12.8" hidden="false" customHeight="false" outlineLevel="0" collapsed="false">
      <c r="A7040" s="0" t="s">
        <v>12</v>
      </c>
      <c r="B7040" s="0" t="n">
        <v>1976580</v>
      </c>
      <c r="C7040" s="0" t="n">
        <v>1976600</v>
      </c>
      <c r="D7040" s="0" t="s">
        <v>23536</v>
      </c>
      <c r="E7040" s="0" t="s">
        <v>23537</v>
      </c>
      <c r="F7040" s="0" t="s">
        <v>90</v>
      </c>
      <c r="G7040" s="0" t="s">
        <v>26</v>
      </c>
      <c r="H7040" s="0" t="n">
        <v>27</v>
      </c>
      <c r="I7040" s="0" t="s">
        <v>23541</v>
      </c>
      <c r="J7040" s="0" t="s">
        <v>23542</v>
      </c>
      <c r="K7040" s="0" t="s">
        <v>23543</v>
      </c>
      <c r="L7040" s="0" t="str">
        <f aca="false">HYPERLINK("https://www.ncbi.nlm.nih.gov/nuccore/CP000304.1?report=graph&amp;tracks=[key:gene_model_track,Options:GeneOnly]&amp;mk=1976601:1976620|offset_7|444444,1976581:1976600|offset_27|00cc00,1976559:1976578|offset_49|444444,1976507:1976526|offset_101|444444&amp;v=1976400:1976726&amp;c=444444", "offset 27")</f>
        <v>offset 27</v>
      </c>
    </row>
    <row r="7041" customFormat="false" ht="12.8" hidden="false" customHeight="false" outlineLevel="0" collapsed="false">
      <c r="A7041" s="0" t="s">
        <v>12</v>
      </c>
      <c r="B7041" s="0" t="n">
        <v>1976558</v>
      </c>
      <c r="C7041" s="0" t="n">
        <v>1976578</v>
      </c>
      <c r="D7041" s="0" t="s">
        <v>23536</v>
      </c>
      <c r="E7041" s="0" t="s">
        <v>23537</v>
      </c>
      <c r="F7041" s="0" t="s">
        <v>90</v>
      </c>
      <c r="G7041" s="0" t="s">
        <v>16</v>
      </c>
      <c r="H7041" s="0" t="n">
        <v>49</v>
      </c>
      <c r="I7041" s="0" t="s">
        <v>23544</v>
      </c>
      <c r="J7041" s="0" t="s">
        <v>23545</v>
      </c>
      <c r="K7041" s="0" t="s">
        <v>23546</v>
      </c>
      <c r="L7041" s="0" t="str">
        <f aca="false">HYPERLINK("https://www.ncbi.nlm.nih.gov/nuccore/CP000304.1?report=graph&amp;tracks=[key:gene_model_track,Options:GeneOnly]&amp;mk=1976601:1976620|offset_7|444444,1976581:1976600|offset_27|444444,1976559:1976578|offset_49|00cc00,1976507:1976526|offset_101|444444&amp;v=1976400:1976726&amp;c=444444", "offset 49")</f>
        <v>offset 49</v>
      </c>
    </row>
    <row r="7042" customFormat="false" ht="12.8" hidden="false" customHeight="false" outlineLevel="0" collapsed="false">
      <c r="A7042" s="0" t="s">
        <v>12</v>
      </c>
      <c r="B7042" s="0" t="n">
        <v>1976506</v>
      </c>
      <c r="C7042" s="0" t="n">
        <v>1976526</v>
      </c>
      <c r="D7042" s="0" t="s">
        <v>23536</v>
      </c>
      <c r="E7042" s="0" t="s">
        <v>23537</v>
      </c>
      <c r="F7042" s="0" t="s">
        <v>90</v>
      </c>
      <c r="G7042" s="0" t="s">
        <v>26</v>
      </c>
      <c r="H7042" s="0" t="n">
        <v>101</v>
      </c>
      <c r="I7042" s="0" t="s">
        <v>23547</v>
      </c>
      <c r="J7042" s="0" t="s">
        <v>23548</v>
      </c>
      <c r="K7042" s="0" t="s">
        <v>23549</v>
      </c>
      <c r="L7042" s="0" t="str">
        <f aca="false">HYPERLINK("https://www.ncbi.nlm.nih.gov/nuccore/CP000304.1?report=graph&amp;tracks=[key:gene_model_track,Options:GeneOnly]&amp;mk=1976601:1976620|offset_7|444444,1976581:1976600|offset_27|444444,1976559:1976578|offset_49|444444,1976507:1976526|offset_101|00cc00&amp;v=1976400:1976726&amp;c=444444", "offset 101")</f>
        <v>offset 101</v>
      </c>
    </row>
    <row r="7043" customFormat="false" ht="12.8" hidden="false" customHeight="false" outlineLevel="0" collapsed="false">
      <c r="A7043" s="0" t="s">
        <v>12</v>
      </c>
      <c r="B7043" s="0" t="n">
        <v>1979108</v>
      </c>
      <c r="C7043" s="0" t="n">
        <v>1979128</v>
      </c>
      <c r="D7043" s="0" t="s">
        <v>23550</v>
      </c>
      <c r="E7043" s="0" t="s">
        <v>89</v>
      </c>
      <c r="F7043" s="0" t="s">
        <v>90</v>
      </c>
      <c r="G7043" s="0" t="s">
        <v>36</v>
      </c>
      <c r="H7043" s="0" t="n">
        <v>12</v>
      </c>
      <c r="I7043" s="0" t="s">
        <v>23551</v>
      </c>
      <c r="J7043" s="0" t="s">
        <v>23552</v>
      </c>
      <c r="K7043" s="0" t="s">
        <v>23553</v>
      </c>
      <c r="L7043" s="0" t="str">
        <f aca="false">HYPERLINK("https://www.ncbi.nlm.nih.gov/nuccore/CP000304.1?report=graph&amp;tracks=[key:gene_model_track,Options:GeneOnly]&amp;mk=1979109:1979128|offset_12|00cc00,1979082:1979101|offset_39|444444,1979054:1979073|offset_67|444444,1979030:1979049|offset_91|444444&amp;v=1978908:1979249&amp;c=444444", "offset 12")</f>
        <v>offset 12</v>
      </c>
    </row>
    <row r="7044" customFormat="false" ht="12.8" hidden="false" customHeight="false" outlineLevel="0" collapsed="false">
      <c r="A7044" s="0" t="s">
        <v>12</v>
      </c>
      <c r="B7044" s="0" t="n">
        <v>1979081</v>
      </c>
      <c r="C7044" s="0" t="n">
        <v>1979101</v>
      </c>
      <c r="D7044" s="0" t="s">
        <v>23550</v>
      </c>
      <c r="E7044" s="0" t="s">
        <v>89</v>
      </c>
      <c r="F7044" s="0" t="s">
        <v>90</v>
      </c>
      <c r="G7044" s="0" t="s">
        <v>16</v>
      </c>
      <c r="H7044" s="0" t="n">
        <v>39</v>
      </c>
      <c r="I7044" s="0" t="s">
        <v>23554</v>
      </c>
      <c r="J7044" s="0" t="s">
        <v>23555</v>
      </c>
      <c r="K7044" s="0" t="s">
        <v>23556</v>
      </c>
      <c r="L7044" s="0" t="str">
        <f aca="false">HYPERLINK("https://www.ncbi.nlm.nih.gov/nuccore/CP000304.1?report=graph&amp;tracks=[key:gene_model_track,Options:GeneOnly]&amp;mk=1979109:1979128|offset_12|444444,1979082:1979101|offset_39|00cc00,1979054:1979073|offset_67|444444,1979030:1979049|offset_91|444444&amp;v=1978908:1979249&amp;c=444444", "offset 39")</f>
        <v>offset 39</v>
      </c>
    </row>
    <row r="7045" customFormat="false" ht="12.8" hidden="false" customHeight="false" outlineLevel="0" collapsed="false">
      <c r="A7045" s="0" t="s">
        <v>12</v>
      </c>
      <c r="B7045" s="0" t="n">
        <v>1979053</v>
      </c>
      <c r="C7045" s="0" t="n">
        <v>1979073</v>
      </c>
      <c r="D7045" s="0" t="s">
        <v>23550</v>
      </c>
      <c r="E7045" s="0" t="s">
        <v>89</v>
      </c>
      <c r="F7045" s="0" t="s">
        <v>90</v>
      </c>
      <c r="G7045" s="0" t="s">
        <v>36</v>
      </c>
      <c r="H7045" s="0" t="n">
        <v>67</v>
      </c>
      <c r="I7045" s="0" t="s">
        <v>23557</v>
      </c>
      <c r="J7045" s="0" t="s">
        <v>23558</v>
      </c>
      <c r="K7045" s="0" t="s">
        <v>23559</v>
      </c>
      <c r="L7045" s="0" t="str">
        <f aca="false">HYPERLINK("https://www.ncbi.nlm.nih.gov/nuccore/CP000304.1?report=graph&amp;tracks=[key:gene_model_track,Options:GeneOnly]&amp;mk=1979109:1979128|offset_12|444444,1979082:1979101|offset_39|444444,1979054:1979073|offset_67|00cc00,1979030:1979049|offset_91|444444&amp;v=1978908:1979249&amp;c=444444", "offset 67")</f>
        <v>offset 67</v>
      </c>
    </row>
    <row r="7046" customFormat="false" ht="12.8" hidden="false" customHeight="false" outlineLevel="0" collapsed="false">
      <c r="A7046" s="0" t="s">
        <v>12</v>
      </c>
      <c r="B7046" s="0" t="n">
        <v>1979029</v>
      </c>
      <c r="C7046" s="0" t="n">
        <v>1979049</v>
      </c>
      <c r="D7046" s="0" t="s">
        <v>23550</v>
      </c>
      <c r="E7046" s="0" t="s">
        <v>89</v>
      </c>
      <c r="F7046" s="0" t="s">
        <v>90</v>
      </c>
      <c r="G7046" s="0" t="s">
        <v>26</v>
      </c>
      <c r="H7046" s="0" t="n">
        <v>91</v>
      </c>
      <c r="I7046" s="0" t="s">
        <v>23560</v>
      </c>
      <c r="J7046" s="0" t="s">
        <v>23561</v>
      </c>
      <c r="K7046" s="0" t="s">
        <v>23562</v>
      </c>
      <c r="L7046" s="0" t="str">
        <f aca="false">HYPERLINK("https://www.ncbi.nlm.nih.gov/nuccore/CP000304.1?report=graph&amp;tracks=[key:gene_model_track,Options:GeneOnly]&amp;mk=1979109:1979128|offset_12|444444,1979082:1979101|offset_39|444444,1979054:1979073|offset_67|444444,1979030:1979049|offset_91|00cc00&amp;v=1978908:1979249&amp;c=444444", "offset 91")</f>
        <v>offset 91</v>
      </c>
    </row>
    <row r="7047" customFormat="false" ht="12.8" hidden="false" customHeight="false" outlineLevel="0" collapsed="false">
      <c r="A7047" s="0" t="s">
        <v>12</v>
      </c>
      <c r="B7047" s="0" t="n">
        <v>1979512</v>
      </c>
      <c r="C7047" s="0" t="n">
        <v>1979532</v>
      </c>
      <c r="D7047" s="0" t="s">
        <v>23563</v>
      </c>
      <c r="E7047" s="0" t="s">
        <v>89</v>
      </c>
      <c r="F7047" s="0" t="s">
        <v>90</v>
      </c>
      <c r="G7047" s="0" t="s">
        <v>16</v>
      </c>
      <c r="H7047" s="0" t="n">
        <v>20</v>
      </c>
      <c r="I7047" s="0" t="s">
        <v>23564</v>
      </c>
      <c r="J7047" s="0" t="s">
        <v>23565</v>
      </c>
      <c r="K7047" s="0" t="s">
        <v>23566</v>
      </c>
      <c r="L7047" s="0" t="str">
        <f aca="false">HYPERLINK("https://www.ncbi.nlm.nih.gov/nuccore/CP000304.1?report=graph&amp;tracks=[key:gene_model_track,Options:GeneOnly]&amp;mk=1979513:1979532|offset_20|00cc00,1979472:1979491|offset_61|444444,1979451:1979470|offset_82|444444,1979409:1979428|offset_124|444444&amp;v=1979312:1979628&amp;c=444444", "offset 20")</f>
        <v>offset 20</v>
      </c>
    </row>
    <row r="7048" customFormat="false" ht="12.8" hidden="false" customHeight="false" outlineLevel="0" collapsed="false">
      <c r="A7048" s="0" t="s">
        <v>12</v>
      </c>
      <c r="B7048" s="0" t="n">
        <v>1979471</v>
      </c>
      <c r="C7048" s="0" t="n">
        <v>1979491</v>
      </c>
      <c r="D7048" s="0" t="s">
        <v>23563</v>
      </c>
      <c r="E7048" s="0" t="s">
        <v>89</v>
      </c>
      <c r="F7048" s="0" t="s">
        <v>90</v>
      </c>
      <c r="G7048" s="0" t="s">
        <v>16</v>
      </c>
      <c r="H7048" s="0" t="n">
        <v>61</v>
      </c>
      <c r="I7048" s="0" t="s">
        <v>23567</v>
      </c>
      <c r="J7048" s="0" t="s">
        <v>23568</v>
      </c>
      <c r="K7048" s="0" t="s">
        <v>23569</v>
      </c>
      <c r="L7048" s="0" t="str">
        <f aca="false">HYPERLINK("https://www.ncbi.nlm.nih.gov/nuccore/CP000304.1?report=graph&amp;tracks=[key:gene_model_track,Options:GeneOnly]&amp;mk=1979513:1979532|offset_20|444444,1979472:1979491|offset_61|00cc00,1979451:1979470|offset_82|444444,1979409:1979428|offset_124|444444&amp;v=1979312:1979628&amp;c=444444", "offset 61")</f>
        <v>offset 61</v>
      </c>
    </row>
    <row r="7049" customFormat="false" ht="12.8" hidden="false" customHeight="false" outlineLevel="0" collapsed="false">
      <c r="A7049" s="0" t="s">
        <v>12</v>
      </c>
      <c r="B7049" s="0" t="n">
        <v>1979450</v>
      </c>
      <c r="C7049" s="0" t="n">
        <v>1979470</v>
      </c>
      <c r="D7049" s="0" t="s">
        <v>23563</v>
      </c>
      <c r="E7049" s="0" t="s">
        <v>89</v>
      </c>
      <c r="F7049" s="0" t="s">
        <v>90</v>
      </c>
      <c r="G7049" s="0" t="s">
        <v>36</v>
      </c>
      <c r="H7049" s="0" t="n">
        <v>82</v>
      </c>
      <c r="I7049" s="0" t="s">
        <v>23570</v>
      </c>
      <c r="J7049" s="0" t="s">
        <v>23571</v>
      </c>
      <c r="K7049" s="0" t="s">
        <v>23572</v>
      </c>
      <c r="L7049" s="0" t="str">
        <f aca="false">HYPERLINK("https://www.ncbi.nlm.nih.gov/nuccore/CP000304.1?report=graph&amp;tracks=[key:gene_model_track,Options:GeneOnly]&amp;mk=1979513:1979532|offset_20|444444,1979472:1979491|offset_61|444444,1979451:1979470|offset_82|00cc00,1979409:1979428|offset_124|444444&amp;v=1979312:1979628&amp;c=444444", "offset 82")</f>
        <v>offset 82</v>
      </c>
    </row>
    <row r="7050" customFormat="false" ht="12.8" hidden="false" customHeight="false" outlineLevel="0" collapsed="false">
      <c r="A7050" s="0" t="s">
        <v>12</v>
      </c>
      <c r="B7050" s="0" t="n">
        <v>1979408</v>
      </c>
      <c r="C7050" s="0" t="n">
        <v>1979428</v>
      </c>
      <c r="D7050" s="0" t="s">
        <v>23563</v>
      </c>
      <c r="E7050" s="0" t="s">
        <v>89</v>
      </c>
      <c r="F7050" s="0" t="s">
        <v>90</v>
      </c>
      <c r="G7050" s="0" t="s">
        <v>36</v>
      </c>
      <c r="H7050" s="0" t="n">
        <v>124</v>
      </c>
      <c r="I7050" s="0" t="s">
        <v>23573</v>
      </c>
      <c r="J7050" s="0" t="s">
        <v>23574</v>
      </c>
      <c r="K7050" s="0" t="s">
        <v>23575</v>
      </c>
      <c r="L7050" s="0" t="str">
        <f aca="false">HYPERLINK("https://www.ncbi.nlm.nih.gov/nuccore/CP000304.1?report=graph&amp;tracks=[key:gene_model_track,Options:GeneOnly]&amp;mk=1979513:1979532|offset_20|444444,1979472:1979491|offset_61|444444,1979451:1979470|offset_82|444444,1979409:1979428|offset_124|00cc00&amp;v=1979312:1979628&amp;c=444444", "offset 124")</f>
        <v>offset 124</v>
      </c>
    </row>
    <row r="7051" customFormat="false" ht="12.8" hidden="false" customHeight="false" outlineLevel="0" collapsed="false">
      <c r="A7051" s="0" t="s">
        <v>12</v>
      </c>
      <c r="B7051" s="0" t="n">
        <v>1981035</v>
      </c>
      <c r="C7051" s="0" t="n">
        <v>1981055</v>
      </c>
      <c r="D7051" s="0" t="s">
        <v>23576</v>
      </c>
      <c r="E7051" s="0" t="s">
        <v>89</v>
      </c>
      <c r="F7051" s="0" t="s">
        <v>90</v>
      </c>
      <c r="G7051" s="0" t="s">
        <v>36</v>
      </c>
      <c r="H7051" s="0" t="n">
        <v>17</v>
      </c>
      <c r="I7051" s="0" t="s">
        <v>23577</v>
      </c>
      <c r="J7051" s="0" t="s">
        <v>23578</v>
      </c>
      <c r="K7051" s="0" t="s">
        <v>23579</v>
      </c>
      <c r="L7051" s="0" t="str">
        <f aca="false">HYPERLINK("https://www.ncbi.nlm.nih.gov/nuccore/CP000304.1?report=graph&amp;tracks=[key:gene_model_track,Options:GeneOnly]&amp;mk=1981036:1981055|offset_17|00cc00,1981014:1981033|offset_39|444444,1980988:1981007|offset_65|444444,1980959:1980978|offset_94|444444&amp;v=1980835:1981178&amp;c=444444", "offset 17")</f>
        <v>offset 17</v>
      </c>
    </row>
    <row r="7052" customFormat="false" ht="12.8" hidden="false" customHeight="false" outlineLevel="0" collapsed="false">
      <c r="A7052" s="0" t="s">
        <v>12</v>
      </c>
      <c r="B7052" s="0" t="n">
        <v>1981013</v>
      </c>
      <c r="C7052" s="0" t="n">
        <v>1981033</v>
      </c>
      <c r="D7052" s="0" t="s">
        <v>23576</v>
      </c>
      <c r="E7052" s="0" t="s">
        <v>89</v>
      </c>
      <c r="F7052" s="0" t="s">
        <v>90</v>
      </c>
      <c r="G7052" s="0" t="s">
        <v>16</v>
      </c>
      <c r="H7052" s="0" t="n">
        <v>39</v>
      </c>
      <c r="I7052" s="0" t="s">
        <v>23580</v>
      </c>
      <c r="J7052" s="0" t="s">
        <v>23581</v>
      </c>
      <c r="K7052" s="0" t="s">
        <v>23582</v>
      </c>
      <c r="L7052" s="0" t="str">
        <f aca="false">HYPERLINK("https://www.ncbi.nlm.nih.gov/nuccore/CP000304.1?report=graph&amp;tracks=[key:gene_model_track,Options:GeneOnly]&amp;mk=1981036:1981055|offset_17|444444,1981014:1981033|offset_39|00cc00,1980988:1981007|offset_65|444444,1980959:1980978|offset_94|444444&amp;v=1980835:1981178&amp;c=444444", "offset 39")</f>
        <v>offset 39</v>
      </c>
    </row>
    <row r="7053" customFormat="false" ht="12.8" hidden="false" customHeight="false" outlineLevel="0" collapsed="false">
      <c r="A7053" s="0" t="s">
        <v>12</v>
      </c>
      <c r="B7053" s="0" t="n">
        <v>1980987</v>
      </c>
      <c r="C7053" s="0" t="n">
        <v>1981007</v>
      </c>
      <c r="D7053" s="0" t="s">
        <v>23576</v>
      </c>
      <c r="E7053" s="0" t="s">
        <v>89</v>
      </c>
      <c r="F7053" s="0" t="s">
        <v>90</v>
      </c>
      <c r="G7053" s="0" t="s">
        <v>26</v>
      </c>
      <c r="H7053" s="0" t="n">
        <v>65</v>
      </c>
      <c r="I7053" s="0" t="s">
        <v>23583</v>
      </c>
      <c r="J7053" s="0" t="s">
        <v>23584</v>
      </c>
      <c r="K7053" s="0" t="s">
        <v>23585</v>
      </c>
      <c r="L7053" s="0" t="str">
        <f aca="false">HYPERLINK("https://www.ncbi.nlm.nih.gov/nuccore/CP000304.1?report=graph&amp;tracks=[key:gene_model_track,Options:GeneOnly]&amp;mk=1981036:1981055|offset_17|444444,1981014:1981033|offset_39|444444,1980988:1981007|offset_65|00cc00,1980959:1980978|offset_94|444444&amp;v=1980835:1981178&amp;c=444444", "offset 65")</f>
        <v>offset 65</v>
      </c>
    </row>
    <row r="7054" customFormat="false" ht="12.8" hidden="false" customHeight="false" outlineLevel="0" collapsed="false">
      <c r="A7054" s="0" t="s">
        <v>12</v>
      </c>
      <c r="B7054" s="0" t="n">
        <v>1980958</v>
      </c>
      <c r="C7054" s="0" t="n">
        <v>1980978</v>
      </c>
      <c r="D7054" s="0" t="s">
        <v>23576</v>
      </c>
      <c r="E7054" s="0" t="s">
        <v>89</v>
      </c>
      <c r="F7054" s="0" t="s">
        <v>90</v>
      </c>
      <c r="G7054" s="0" t="s">
        <v>36</v>
      </c>
      <c r="H7054" s="0" t="n">
        <v>94</v>
      </c>
      <c r="I7054" s="0" t="s">
        <v>23586</v>
      </c>
      <c r="J7054" s="0" t="s">
        <v>23587</v>
      </c>
      <c r="K7054" s="0" t="s">
        <v>23588</v>
      </c>
      <c r="L7054" s="0" t="str">
        <f aca="false">HYPERLINK("https://www.ncbi.nlm.nih.gov/nuccore/CP000304.1?report=graph&amp;tracks=[key:gene_model_track,Options:GeneOnly]&amp;mk=1981036:1981055|offset_17|444444,1981014:1981033|offset_39|444444,1980988:1981007|offset_65|444444,1980959:1980978|offset_94|00cc00&amp;v=1980835:1981178&amp;c=444444", "offset 94")</f>
        <v>offset 94</v>
      </c>
    </row>
    <row r="7055" customFormat="false" ht="12.8" hidden="false" customHeight="false" outlineLevel="0" collapsed="false">
      <c r="A7055" s="0" t="s">
        <v>12</v>
      </c>
      <c r="B7055" s="0" t="n">
        <v>1982100</v>
      </c>
      <c r="C7055" s="0" t="n">
        <v>1982120</v>
      </c>
      <c r="D7055" s="0" t="s">
        <v>23589</v>
      </c>
      <c r="E7055" s="0" t="s">
        <v>89</v>
      </c>
      <c r="F7055" s="0" t="s">
        <v>90</v>
      </c>
      <c r="G7055" s="0" t="s">
        <v>26</v>
      </c>
      <c r="H7055" s="0" t="n">
        <v>7</v>
      </c>
      <c r="I7055" s="0" t="s">
        <v>23590</v>
      </c>
      <c r="J7055" s="0" t="s">
        <v>23591</v>
      </c>
      <c r="K7055" s="0" t="s">
        <v>23592</v>
      </c>
      <c r="L7055" s="0" t="str">
        <f aca="false">HYPERLINK("https://www.ncbi.nlm.nih.gov/nuccore/CP000304.1?report=graph&amp;tracks=[key:gene_model_track,Options:GeneOnly]&amp;mk=1982101:1982120|offset_7|00cc00,1982077:1982096|offset_31|444444,1982016:1982035|offset_92|444444,1981990:1982009|offset_118|444444&amp;v=1981900:1982209&amp;c=444444", "offset 7")</f>
        <v>offset 7</v>
      </c>
    </row>
    <row r="7056" customFormat="false" ht="12.8" hidden="false" customHeight="false" outlineLevel="0" collapsed="false">
      <c r="A7056" s="0" t="s">
        <v>12</v>
      </c>
      <c r="B7056" s="0" t="n">
        <v>1982076</v>
      </c>
      <c r="C7056" s="0" t="n">
        <v>1982096</v>
      </c>
      <c r="D7056" s="0" t="s">
        <v>23589</v>
      </c>
      <c r="E7056" s="0" t="s">
        <v>89</v>
      </c>
      <c r="F7056" s="0" t="s">
        <v>90</v>
      </c>
      <c r="G7056" s="0" t="s">
        <v>36</v>
      </c>
      <c r="H7056" s="0" t="n">
        <v>31</v>
      </c>
      <c r="I7056" s="0" t="s">
        <v>23593</v>
      </c>
      <c r="J7056" s="0" t="s">
        <v>23594</v>
      </c>
      <c r="K7056" s="0" t="s">
        <v>23595</v>
      </c>
      <c r="L7056" s="0" t="str">
        <f aca="false">HYPERLINK("https://www.ncbi.nlm.nih.gov/nuccore/CP000304.1?report=graph&amp;tracks=[key:gene_model_track,Options:GeneOnly]&amp;mk=1982101:1982120|offset_7|444444,1982077:1982096|offset_31|00cc00,1982016:1982035|offset_92|444444,1981990:1982009|offset_118|444444&amp;v=1981900:1982209&amp;c=444444", "offset 31")</f>
        <v>offset 31</v>
      </c>
    </row>
    <row r="7057" customFormat="false" ht="12.8" hidden="false" customHeight="false" outlineLevel="0" collapsed="false">
      <c r="A7057" s="0" t="s">
        <v>12</v>
      </c>
      <c r="B7057" s="0" t="n">
        <v>1982015</v>
      </c>
      <c r="C7057" s="0" t="n">
        <v>1982035</v>
      </c>
      <c r="D7057" s="0" t="s">
        <v>23589</v>
      </c>
      <c r="E7057" s="0" t="s">
        <v>89</v>
      </c>
      <c r="F7057" s="0" t="s">
        <v>90</v>
      </c>
      <c r="G7057" s="0" t="s">
        <v>32</v>
      </c>
      <c r="H7057" s="0" t="n">
        <v>92</v>
      </c>
      <c r="I7057" s="0" t="s">
        <v>23596</v>
      </c>
      <c r="J7057" s="0" t="s">
        <v>23597</v>
      </c>
      <c r="K7057" s="0" t="s">
        <v>23598</v>
      </c>
      <c r="L7057" s="0" t="str">
        <f aca="false">HYPERLINK("https://www.ncbi.nlm.nih.gov/nuccore/CP000304.1?report=graph&amp;tracks=[key:gene_model_track,Options:GeneOnly]&amp;mk=1982101:1982120|offset_7|444444,1982077:1982096|offset_31|444444,1982016:1982035|offset_92|00cc00,1981990:1982009|offset_118|444444&amp;v=1981900:1982209&amp;c=444444", "offset 92")</f>
        <v>offset 92</v>
      </c>
    </row>
    <row r="7058" customFormat="false" ht="12.8" hidden="false" customHeight="false" outlineLevel="0" collapsed="false">
      <c r="A7058" s="0" t="s">
        <v>12</v>
      </c>
      <c r="B7058" s="0" t="n">
        <v>1981989</v>
      </c>
      <c r="C7058" s="0" t="n">
        <v>1982009</v>
      </c>
      <c r="D7058" s="0" t="s">
        <v>23589</v>
      </c>
      <c r="E7058" s="0" t="s">
        <v>89</v>
      </c>
      <c r="F7058" s="0" t="s">
        <v>90</v>
      </c>
      <c r="G7058" s="0" t="s">
        <v>16</v>
      </c>
      <c r="H7058" s="0" t="n">
        <v>118</v>
      </c>
      <c r="I7058" s="0" t="s">
        <v>23599</v>
      </c>
      <c r="J7058" s="0" t="s">
        <v>23600</v>
      </c>
      <c r="K7058" s="0" t="s">
        <v>23601</v>
      </c>
      <c r="L7058" s="0" t="str">
        <f aca="false">HYPERLINK("https://www.ncbi.nlm.nih.gov/nuccore/CP000304.1?report=graph&amp;tracks=[key:gene_model_track,Options:GeneOnly]&amp;mk=1982101:1982120|offset_7|444444,1982077:1982096|offset_31|444444,1982016:1982035|offset_92|444444,1981990:1982009|offset_118|00cc00&amp;v=1981900:1982209&amp;c=444444", "offset 118")</f>
        <v>offset 118</v>
      </c>
    </row>
    <row r="7059" customFormat="false" ht="12.8" hidden="false" customHeight="false" outlineLevel="0" collapsed="false">
      <c r="A7059" s="0" t="s">
        <v>12</v>
      </c>
      <c r="B7059" s="0" t="n">
        <v>1982267</v>
      </c>
      <c r="C7059" s="0" t="n">
        <v>1982287</v>
      </c>
      <c r="D7059" s="0" t="s">
        <v>23602</v>
      </c>
      <c r="E7059" s="0" t="s">
        <v>23603</v>
      </c>
      <c r="F7059" s="0" t="s">
        <v>90</v>
      </c>
      <c r="G7059" s="0" t="s">
        <v>26</v>
      </c>
      <c r="H7059" s="0" t="n">
        <v>29</v>
      </c>
      <c r="I7059" s="0" t="s">
        <v>23604</v>
      </c>
      <c r="J7059" s="0" t="s">
        <v>23605</v>
      </c>
      <c r="K7059" s="0" t="s">
        <v>23606</v>
      </c>
      <c r="L7059" s="0" t="str">
        <f aca="false">HYPERLINK("https://www.ncbi.nlm.nih.gov/nuccore/CP000304.1?report=graph&amp;tracks=[key:gene_model_track,Options:GeneOnly]&amp;mk=1982268:1982287|offset_29|00cc00,1982242:1982261|offset_55|444444,1982218:1982237|offset_79|444444,1982182:1982201|offset_115|444444&amp;v=1982067:1982401&amp;c=444444", "offset 29")</f>
        <v>offset 29</v>
      </c>
    </row>
    <row r="7060" customFormat="false" ht="12.8" hidden="false" customHeight="false" outlineLevel="0" collapsed="false">
      <c r="A7060" s="0" t="s">
        <v>12</v>
      </c>
      <c r="B7060" s="0" t="n">
        <v>1982241</v>
      </c>
      <c r="C7060" s="0" t="n">
        <v>1982261</v>
      </c>
      <c r="D7060" s="0" t="s">
        <v>23602</v>
      </c>
      <c r="E7060" s="0" t="s">
        <v>23603</v>
      </c>
      <c r="F7060" s="0" t="s">
        <v>90</v>
      </c>
      <c r="G7060" s="0" t="s">
        <v>26</v>
      </c>
      <c r="H7060" s="0" t="n">
        <v>55</v>
      </c>
      <c r="I7060" s="0" t="s">
        <v>23607</v>
      </c>
      <c r="J7060" s="0" t="s">
        <v>23608</v>
      </c>
      <c r="K7060" s="0" t="s">
        <v>23609</v>
      </c>
      <c r="L7060" s="0" t="str">
        <f aca="false">HYPERLINK("https://www.ncbi.nlm.nih.gov/nuccore/CP000304.1?report=graph&amp;tracks=[key:gene_model_track,Options:GeneOnly]&amp;mk=1982268:1982287|offset_29|444444,1982242:1982261|offset_55|00cc00,1982218:1982237|offset_79|444444,1982182:1982201|offset_115|444444&amp;v=1982067:1982401&amp;c=444444", "offset 55")</f>
        <v>offset 55</v>
      </c>
    </row>
    <row r="7061" customFormat="false" ht="12.8" hidden="false" customHeight="false" outlineLevel="0" collapsed="false">
      <c r="A7061" s="0" t="s">
        <v>12</v>
      </c>
      <c r="B7061" s="0" t="n">
        <v>1982217</v>
      </c>
      <c r="C7061" s="0" t="n">
        <v>1982237</v>
      </c>
      <c r="D7061" s="0" t="s">
        <v>23602</v>
      </c>
      <c r="E7061" s="0" t="s">
        <v>23603</v>
      </c>
      <c r="F7061" s="0" t="s">
        <v>90</v>
      </c>
      <c r="G7061" s="0" t="s">
        <v>26</v>
      </c>
      <c r="H7061" s="0" t="n">
        <v>79</v>
      </c>
      <c r="I7061" s="0" t="s">
        <v>23610</v>
      </c>
      <c r="J7061" s="0" t="s">
        <v>23611</v>
      </c>
      <c r="K7061" s="0" t="s">
        <v>23612</v>
      </c>
      <c r="L7061" s="0" t="str">
        <f aca="false">HYPERLINK("https://www.ncbi.nlm.nih.gov/nuccore/CP000304.1?report=graph&amp;tracks=[key:gene_model_track,Options:GeneOnly]&amp;mk=1982268:1982287|offset_29|444444,1982242:1982261|offset_55|444444,1982218:1982237|offset_79|00cc00,1982182:1982201|offset_115|444444&amp;v=1982067:1982401&amp;c=444444", "offset 79")</f>
        <v>offset 79</v>
      </c>
    </row>
    <row r="7062" customFormat="false" ht="12.8" hidden="false" customHeight="false" outlineLevel="0" collapsed="false">
      <c r="A7062" s="0" t="s">
        <v>12</v>
      </c>
      <c r="B7062" s="0" t="n">
        <v>1982181</v>
      </c>
      <c r="C7062" s="0" t="n">
        <v>1982201</v>
      </c>
      <c r="D7062" s="0" t="s">
        <v>23602</v>
      </c>
      <c r="E7062" s="0" t="s">
        <v>23603</v>
      </c>
      <c r="F7062" s="0" t="s">
        <v>90</v>
      </c>
      <c r="G7062" s="0" t="s">
        <v>16</v>
      </c>
      <c r="H7062" s="0" t="n">
        <v>115</v>
      </c>
      <c r="I7062" s="0" t="s">
        <v>23613</v>
      </c>
      <c r="J7062" s="0" t="s">
        <v>23614</v>
      </c>
      <c r="K7062" s="0" t="s">
        <v>23615</v>
      </c>
      <c r="L7062" s="0" t="str">
        <f aca="false">HYPERLINK("https://www.ncbi.nlm.nih.gov/nuccore/CP000304.1?report=graph&amp;tracks=[key:gene_model_track,Options:GeneOnly]&amp;mk=1982268:1982287|offset_29|444444,1982242:1982261|offset_55|444444,1982218:1982237|offset_79|444444,1982182:1982201|offset_115|00cc00&amp;v=1982067:1982401&amp;c=444444", "offset 115")</f>
        <v>offset 115</v>
      </c>
    </row>
    <row r="7063" customFormat="false" ht="12.8" hidden="false" customHeight="false" outlineLevel="0" collapsed="false">
      <c r="A7063" s="0" t="s">
        <v>12</v>
      </c>
      <c r="B7063" s="0" t="n">
        <v>1982900</v>
      </c>
      <c r="C7063" s="0" t="n">
        <v>1982920</v>
      </c>
      <c r="D7063" s="0" t="s">
        <v>23616</v>
      </c>
      <c r="E7063" s="0" t="s">
        <v>89</v>
      </c>
      <c r="F7063" s="0" t="s">
        <v>90</v>
      </c>
      <c r="G7063" s="0" t="s">
        <v>32</v>
      </c>
      <c r="H7063" s="0" t="n">
        <v>11</v>
      </c>
      <c r="I7063" s="0" t="s">
        <v>23617</v>
      </c>
      <c r="J7063" s="0" t="s">
        <v>23618</v>
      </c>
      <c r="K7063" s="0" t="s">
        <v>23619</v>
      </c>
      <c r="L7063" s="0" t="str">
        <f aca="false">HYPERLINK("https://www.ncbi.nlm.nih.gov/nuccore/CP000304.1?report=graph&amp;tracks=[key:gene_model_track,Options:GeneOnly]&amp;mk=1982901:1982920|offset_11|00cc00,1982392:1982411|offset_520|444444,1982362:1982381|offset_550|444444,1982341:1982360|offset_571|444444&amp;v=1982700:1982560&amp;c=444444", "offset 11")</f>
        <v>offset 11</v>
      </c>
    </row>
    <row r="7064" customFormat="false" ht="12.8" hidden="false" customHeight="false" outlineLevel="0" collapsed="false">
      <c r="A7064" s="0" t="s">
        <v>12</v>
      </c>
      <c r="B7064" s="0" t="n">
        <v>1982391</v>
      </c>
      <c r="C7064" s="0" t="n">
        <v>1982411</v>
      </c>
      <c r="D7064" s="0" t="s">
        <v>23616</v>
      </c>
      <c r="E7064" s="0" t="s">
        <v>89</v>
      </c>
      <c r="F7064" s="0" t="s">
        <v>90</v>
      </c>
      <c r="G7064" s="0" t="s">
        <v>16</v>
      </c>
      <c r="H7064" s="0" t="n">
        <v>520</v>
      </c>
      <c r="I7064" s="0" t="s">
        <v>23620</v>
      </c>
      <c r="J7064" s="0" t="s">
        <v>23621</v>
      </c>
      <c r="K7064" s="0" t="s">
        <v>23622</v>
      </c>
      <c r="L7064" s="0" t="str">
        <f aca="false">HYPERLINK("https://www.ncbi.nlm.nih.gov/nuccore/CP000304.1?report=graph&amp;tracks=[key:gene_model_track,Options:GeneOnly]&amp;mk=1982901:1982920|offset_11|444444,1982392:1982411|offset_520|00cc00,1982362:1982381|offset_550|444444,1982341:1982360|offset_571|444444&amp;v=1982700:1982560&amp;c=444444", "offset 520")</f>
        <v>offset 520</v>
      </c>
    </row>
    <row r="7065" customFormat="false" ht="12.8" hidden="false" customHeight="false" outlineLevel="0" collapsed="false">
      <c r="A7065" s="0" t="s">
        <v>12</v>
      </c>
      <c r="B7065" s="0" t="n">
        <v>1982361</v>
      </c>
      <c r="C7065" s="0" t="n">
        <v>1982381</v>
      </c>
      <c r="D7065" s="0" t="s">
        <v>23616</v>
      </c>
      <c r="E7065" s="0" t="s">
        <v>89</v>
      </c>
      <c r="F7065" s="0" t="s">
        <v>90</v>
      </c>
      <c r="G7065" s="0" t="s">
        <v>16</v>
      </c>
      <c r="H7065" s="0" t="n">
        <v>550</v>
      </c>
      <c r="I7065" s="0" t="s">
        <v>23623</v>
      </c>
      <c r="J7065" s="0" t="s">
        <v>23624</v>
      </c>
      <c r="K7065" s="0" t="s">
        <v>23625</v>
      </c>
      <c r="L7065" s="0" t="str">
        <f aca="false">HYPERLINK("https://www.ncbi.nlm.nih.gov/nuccore/CP000304.1?report=graph&amp;tracks=[key:gene_model_track,Options:GeneOnly]&amp;mk=1982901:1982920|offset_11|444444,1982392:1982411|offset_520|444444,1982362:1982381|offset_550|00cc00,1982341:1982360|offset_571|444444&amp;v=1982700:1982560&amp;c=444444", "offset 550")</f>
        <v>offset 550</v>
      </c>
    </row>
    <row r="7066" customFormat="false" ht="12.8" hidden="false" customHeight="false" outlineLevel="0" collapsed="false">
      <c r="A7066" s="0" t="s">
        <v>12</v>
      </c>
      <c r="B7066" s="0" t="n">
        <v>1982340</v>
      </c>
      <c r="C7066" s="0" t="n">
        <v>1982360</v>
      </c>
      <c r="D7066" s="0" t="s">
        <v>23616</v>
      </c>
      <c r="E7066" s="0" t="s">
        <v>89</v>
      </c>
      <c r="F7066" s="0" t="s">
        <v>90</v>
      </c>
      <c r="G7066" s="0" t="s">
        <v>26</v>
      </c>
      <c r="H7066" s="0" t="n">
        <v>571</v>
      </c>
      <c r="I7066" s="0" t="s">
        <v>23626</v>
      </c>
      <c r="J7066" s="0" t="s">
        <v>23627</v>
      </c>
      <c r="K7066" s="0" t="s">
        <v>23628</v>
      </c>
      <c r="L7066" s="0" t="str">
        <f aca="false">HYPERLINK("https://www.ncbi.nlm.nih.gov/nuccore/CP000304.1?report=graph&amp;tracks=[key:gene_model_track,Options:GeneOnly]&amp;mk=1982901:1982920|offset_11|444444,1982392:1982411|offset_520|444444,1982362:1982381|offset_550|444444,1982341:1982360|offset_571|00cc00&amp;v=1982700:1982560&amp;c=444444", "offset 571")</f>
        <v>offset 571</v>
      </c>
    </row>
    <row r="7067" customFormat="false" ht="12.8" hidden="false" customHeight="false" outlineLevel="0" collapsed="false">
      <c r="A7067" s="0" t="s">
        <v>12</v>
      </c>
      <c r="B7067" s="0" t="n">
        <v>1984256</v>
      </c>
      <c r="C7067" s="0" t="n">
        <v>1984276</v>
      </c>
      <c r="D7067" s="0" t="s">
        <v>23629</v>
      </c>
      <c r="E7067" s="0" t="s">
        <v>23630</v>
      </c>
      <c r="F7067" s="0" t="s">
        <v>90</v>
      </c>
      <c r="G7067" s="0" t="s">
        <v>26</v>
      </c>
      <c r="H7067" s="0" t="n">
        <v>95</v>
      </c>
      <c r="I7067" s="0" t="s">
        <v>23631</v>
      </c>
      <c r="J7067" s="0" t="s">
        <v>23632</v>
      </c>
      <c r="K7067" s="0" t="s">
        <v>23633</v>
      </c>
      <c r="L7067" s="0" t="str">
        <f aca="false">HYPERLINK("https://www.ncbi.nlm.nih.gov/nuccore/CP000304.1?report=graph&amp;tracks=[key:gene_model_track,Options:GeneOnly]&amp;mk=1984257:1984276|offset_95|00cc00,1984223:1984242|offset_129|444444,1984202:1984221|offset_150|444444,1984147:1984166|offset_205|444444&amp;v=1984056:1984366&amp;c=444444", "offset 95")</f>
        <v>offset 95</v>
      </c>
    </row>
    <row r="7068" customFormat="false" ht="12.8" hidden="false" customHeight="false" outlineLevel="0" collapsed="false">
      <c r="A7068" s="0" t="s">
        <v>12</v>
      </c>
      <c r="B7068" s="0" t="n">
        <v>1984222</v>
      </c>
      <c r="C7068" s="0" t="n">
        <v>1984242</v>
      </c>
      <c r="D7068" s="0" t="s">
        <v>23629</v>
      </c>
      <c r="E7068" s="0" t="s">
        <v>23630</v>
      </c>
      <c r="F7068" s="0" t="s">
        <v>90</v>
      </c>
      <c r="G7068" s="0" t="s">
        <v>36</v>
      </c>
      <c r="H7068" s="0" t="n">
        <v>129</v>
      </c>
      <c r="I7068" s="0" t="s">
        <v>23634</v>
      </c>
      <c r="J7068" s="0" t="s">
        <v>23635</v>
      </c>
      <c r="K7068" s="0" t="s">
        <v>23636</v>
      </c>
      <c r="L7068" s="0" t="str">
        <f aca="false">HYPERLINK("https://www.ncbi.nlm.nih.gov/nuccore/CP000304.1?report=graph&amp;tracks=[key:gene_model_track,Options:GeneOnly]&amp;mk=1984257:1984276|offset_95|444444,1984223:1984242|offset_129|00cc00,1984202:1984221|offset_150|444444,1984147:1984166|offset_205|444444&amp;v=1984056:1984366&amp;c=444444", "offset 129")</f>
        <v>offset 129</v>
      </c>
    </row>
    <row r="7069" customFormat="false" ht="12.8" hidden="false" customHeight="false" outlineLevel="0" collapsed="false">
      <c r="A7069" s="0" t="s">
        <v>12</v>
      </c>
      <c r="B7069" s="0" t="n">
        <v>1984201</v>
      </c>
      <c r="C7069" s="0" t="n">
        <v>1984221</v>
      </c>
      <c r="D7069" s="0" t="s">
        <v>23629</v>
      </c>
      <c r="E7069" s="0" t="s">
        <v>23630</v>
      </c>
      <c r="F7069" s="0" t="s">
        <v>90</v>
      </c>
      <c r="G7069" s="0" t="s">
        <v>16</v>
      </c>
      <c r="H7069" s="0" t="n">
        <v>150</v>
      </c>
      <c r="I7069" s="0" t="s">
        <v>23637</v>
      </c>
      <c r="J7069" s="0" t="s">
        <v>23638</v>
      </c>
      <c r="K7069" s="0" t="s">
        <v>23639</v>
      </c>
      <c r="L7069" s="0" t="str">
        <f aca="false">HYPERLINK("https://www.ncbi.nlm.nih.gov/nuccore/CP000304.1?report=graph&amp;tracks=[key:gene_model_track,Options:GeneOnly]&amp;mk=1984257:1984276|offset_95|444444,1984223:1984242|offset_129|444444,1984202:1984221|offset_150|00cc00,1984147:1984166|offset_205|444444&amp;v=1984056:1984366&amp;c=444444", "offset 150")</f>
        <v>offset 150</v>
      </c>
    </row>
    <row r="7070" customFormat="false" ht="12.8" hidden="false" customHeight="false" outlineLevel="0" collapsed="false">
      <c r="A7070" s="0" t="s">
        <v>12</v>
      </c>
      <c r="B7070" s="0" t="n">
        <v>1984146</v>
      </c>
      <c r="C7070" s="0" t="n">
        <v>1984166</v>
      </c>
      <c r="D7070" s="0" t="s">
        <v>23629</v>
      </c>
      <c r="E7070" s="0" t="s">
        <v>23630</v>
      </c>
      <c r="F7070" s="0" t="s">
        <v>90</v>
      </c>
      <c r="G7070" s="0" t="s">
        <v>26</v>
      </c>
      <c r="H7070" s="0" t="n">
        <v>205</v>
      </c>
      <c r="I7070" s="0" t="s">
        <v>23640</v>
      </c>
      <c r="J7070" s="0" t="s">
        <v>23641</v>
      </c>
      <c r="K7070" s="0" t="s">
        <v>23642</v>
      </c>
      <c r="L7070" s="0" t="str">
        <f aca="false">HYPERLINK("https://www.ncbi.nlm.nih.gov/nuccore/CP000304.1?report=graph&amp;tracks=[key:gene_model_track,Options:GeneOnly]&amp;mk=1984257:1984276|offset_95|444444,1984223:1984242|offset_129|444444,1984202:1984221|offset_150|444444,1984147:1984166|offset_205|00cc00&amp;v=1984056:1984366&amp;c=444444", "offset 205")</f>
        <v>offset 205</v>
      </c>
    </row>
    <row r="7071" customFormat="false" ht="12.8" hidden="false" customHeight="false" outlineLevel="0" collapsed="false">
      <c r="A7071" s="0" t="s">
        <v>12</v>
      </c>
      <c r="B7071" s="0" t="n">
        <v>1985608</v>
      </c>
      <c r="C7071" s="0" t="n">
        <v>1985628</v>
      </c>
      <c r="D7071" s="0" t="s">
        <v>23643</v>
      </c>
      <c r="E7071" s="0" t="s">
        <v>89</v>
      </c>
      <c r="F7071" s="0" t="s">
        <v>90</v>
      </c>
      <c r="G7071" s="0" t="s">
        <v>36</v>
      </c>
      <c r="H7071" s="0" t="n">
        <v>31</v>
      </c>
      <c r="I7071" s="0" t="s">
        <v>23644</v>
      </c>
      <c r="J7071" s="0" t="s">
        <v>23645</v>
      </c>
      <c r="K7071" s="0" t="s">
        <v>23646</v>
      </c>
      <c r="L7071" s="0" t="str">
        <f aca="false">HYPERLINK("https://www.ncbi.nlm.nih.gov/nuccore/CP000304.1?report=graph&amp;tracks=[key:gene_model_track,Options:GeneOnly]&amp;mk=1985609:1985628|offset_31|00cc00,1985561:1985580|offset_79|444444,1985540:1985559|offset_100|444444,1985383:1985402|offset_257|444444&amp;v=1985408:1985602&amp;c=444444", "offset 31")</f>
        <v>offset 31</v>
      </c>
    </row>
    <row r="7072" customFormat="false" ht="12.8" hidden="false" customHeight="false" outlineLevel="0" collapsed="false">
      <c r="A7072" s="0" t="s">
        <v>12</v>
      </c>
      <c r="B7072" s="0" t="n">
        <v>1985560</v>
      </c>
      <c r="C7072" s="0" t="n">
        <v>1985580</v>
      </c>
      <c r="D7072" s="0" t="s">
        <v>23643</v>
      </c>
      <c r="E7072" s="0" t="s">
        <v>89</v>
      </c>
      <c r="F7072" s="0" t="s">
        <v>90</v>
      </c>
      <c r="G7072" s="0" t="s">
        <v>32</v>
      </c>
      <c r="H7072" s="0" t="n">
        <v>79</v>
      </c>
      <c r="I7072" s="0" t="s">
        <v>23647</v>
      </c>
      <c r="J7072" s="0" t="s">
        <v>23648</v>
      </c>
      <c r="K7072" s="0" t="s">
        <v>23649</v>
      </c>
      <c r="L7072" s="0" t="str">
        <f aca="false">HYPERLINK("https://www.ncbi.nlm.nih.gov/nuccore/CP000304.1?report=graph&amp;tracks=[key:gene_model_track,Options:GeneOnly]&amp;mk=1985609:1985628|offset_31|444444,1985561:1985580|offset_79|00cc00,1985540:1985559|offset_100|444444,1985383:1985402|offset_257|444444&amp;v=1985408:1985602&amp;c=444444", "offset 79")</f>
        <v>offset 79</v>
      </c>
    </row>
    <row r="7073" customFormat="false" ht="12.8" hidden="false" customHeight="false" outlineLevel="0" collapsed="false">
      <c r="A7073" s="0" t="s">
        <v>12</v>
      </c>
      <c r="B7073" s="0" t="n">
        <v>1985539</v>
      </c>
      <c r="C7073" s="0" t="n">
        <v>1985559</v>
      </c>
      <c r="D7073" s="0" t="s">
        <v>23643</v>
      </c>
      <c r="E7073" s="0" t="s">
        <v>89</v>
      </c>
      <c r="F7073" s="0" t="s">
        <v>90</v>
      </c>
      <c r="G7073" s="0" t="s">
        <v>16</v>
      </c>
      <c r="H7073" s="0" t="n">
        <v>100</v>
      </c>
      <c r="I7073" s="0" t="s">
        <v>23650</v>
      </c>
      <c r="J7073" s="0" t="s">
        <v>23651</v>
      </c>
      <c r="K7073" s="0" t="s">
        <v>23652</v>
      </c>
      <c r="L7073" s="0" t="str">
        <f aca="false">HYPERLINK("https://www.ncbi.nlm.nih.gov/nuccore/CP000304.1?report=graph&amp;tracks=[key:gene_model_track,Options:GeneOnly]&amp;mk=1985609:1985628|offset_31|444444,1985561:1985580|offset_79|444444,1985540:1985559|offset_100|00cc00,1985383:1985402|offset_257|444444&amp;v=1985408:1985602&amp;c=444444", "offset 100")</f>
        <v>offset 100</v>
      </c>
    </row>
    <row r="7074" customFormat="false" ht="12.8" hidden="false" customHeight="false" outlineLevel="0" collapsed="false">
      <c r="A7074" s="0" t="s">
        <v>12</v>
      </c>
      <c r="B7074" s="0" t="n">
        <v>1985382</v>
      </c>
      <c r="C7074" s="0" t="n">
        <v>1985402</v>
      </c>
      <c r="D7074" s="0" t="s">
        <v>23643</v>
      </c>
      <c r="E7074" s="0" t="s">
        <v>89</v>
      </c>
      <c r="F7074" s="0" t="s">
        <v>90</v>
      </c>
      <c r="G7074" s="0" t="s">
        <v>26</v>
      </c>
      <c r="H7074" s="0" t="n">
        <v>257</v>
      </c>
      <c r="I7074" s="0" t="s">
        <v>23653</v>
      </c>
      <c r="J7074" s="0" t="s">
        <v>23654</v>
      </c>
      <c r="K7074" s="0" t="s">
        <v>23655</v>
      </c>
      <c r="L7074" s="0" t="str">
        <f aca="false">HYPERLINK("https://www.ncbi.nlm.nih.gov/nuccore/CP000304.1?report=graph&amp;tracks=[key:gene_model_track,Options:GeneOnly]&amp;mk=1985609:1985628|offset_31|444444,1985561:1985580|offset_79|444444,1985540:1985559|offset_100|444444,1985383:1985402|offset_257|00cc00&amp;v=1985408:1985602&amp;c=444444", "offset 257")</f>
        <v>offset 257</v>
      </c>
    </row>
    <row r="7075" customFormat="false" ht="12.8" hidden="false" customHeight="false" outlineLevel="0" collapsed="false">
      <c r="A7075" s="0" t="s">
        <v>12</v>
      </c>
      <c r="B7075" s="0" t="n">
        <v>1985828</v>
      </c>
      <c r="C7075" s="0" t="n">
        <v>1985848</v>
      </c>
      <c r="D7075" s="0" t="s">
        <v>23656</v>
      </c>
      <c r="E7075" s="0" t="s">
        <v>89</v>
      </c>
      <c r="F7075" s="0" t="s">
        <v>90</v>
      </c>
      <c r="G7075" s="0" t="s">
        <v>16</v>
      </c>
      <c r="H7075" s="0" t="n">
        <v>520</v>
      </c>
      <c r="I7075" s="0" t="s">
        <v>23657</v>
      </c>
      <c r="J7075" s="0" t="s">
        <v>23658</v>
      </c>
      <c r="K7075" s="0" t="s">
        <v>23659</v>
      </c>
      <c r="L7075" s="0" t="str">
        <f aca="false">HYPERLINK("https://www.ncbi.nlm.nih.gov/nuccore/CP000304.1?report=graph&amp;tracks=[key:gene_model_track,Options:GeneOnly]&amp;mk=1985829:1985848|offset_520|00cc00,1985799:1985818|offset_550|444444,1985778:1985797|offset_571|444444&amp;v=1985628:1985997&amp;c=444444", "offset 520")</f>
        <v>offset 520</v>
      </c>
    </row>
    <row r="7076" customFormat="false" ht="12.8" hidden="false" customHeight="false" outlineLevel="0" collapsed="false">
      <c r="A7076" s="0" t="s">
        <v>12</v>
      </c>
      <c r="B7076" s="0" t="n">
        <v>1985798</v>
      </c>
      <c r="C7076" s="0" t="n">
        <v>1985818</v>
      </c>
      <c r="D7076" s="0" t="s">
        <v>23656</v>
      </c>
      <c r="E7076" s="0" t="s">
        <v>89</v>
      </c>
      <c r="F7076" s="0" t="s">
        <v>90</v>
      </c>
      <c r="G7076" s="0" t="s">
        <v>16</v>
      </c>
      <c r="H7076" s="0" t="n">
        <v>550</v>
      </c>
      <c r="I7076" s="0" t="s">
        <v>23660</v>
      </c>
      <c r="J7076" s="0" t="s">
        <v>23661</v>
      </c>
      <c r="K7076" s="0" t="s">
        <v>23662</v>
      </c>
      <c r="L7076" s="0" t="str">
        <f aca="false">HYPERLINK("https://www.ncbi.nlm.nih.gov/nuccore/CP000304.1?report=graph&amp;tracks=[key:gene_model_track,Options:GeneOnly]&amp;mk=1985829:1985848|offset_520|444444,1985799:1985818|offset_550|00cc00,1985778:1985797|offset_571|444444&amp;v=1985628:1985997&amp;c=444444", "offset 550")</f>
        <v>offset 550</v>
      </c>
    </row>
    <row r="7077" customFormat="false" ht="12.8" hidden="false" customHeight="false" outlineLevel="0" collapsed="false">
      <c r="A7077" s="0" t="s">
        <v>12</v>
      </c>
      <c r="B7077" s="0" t="n">
        <v>1985777</v>
      </c>
      <c r="C7077" s="0" t="n">
        <v>1985797</v>
      </c>
      <c r="D7077" s="0" t="s">
        <v>23656</v>
      </c>
      <c r="E7077" s="0" t="s">
        <v>89</v>
      </c>
      <c r="F7077" s="0" t="s">
        <v>90</v>
      </c>
      <c r="G7077" s="0" t="s">
        <v>26</v>
      </c>
      <c r="H7077" s="0" t="n">
        <v>571</v>
      </c>
      <c r="I7077" s="0" t="s">
        <v>23663</v>
      </c>
      <c r="J7077" s="0" t="s">
        <v>23664</v>
      </c>
      <c r="K7077" s="0" t="s">
        <v>23665</v>
      </c>
      <c r="L7077" s="0" t="str">
        <f aca="false">HYPERLINK("https://www.ncbi.nlm.nih.gov/nuccore/CP000304.1?report=graph&amp;tracks=[key:gene_model_track,Options:GeneOnly]&amp;mk=1985829:1985848|offset_520|444444,1985799:1985818|offset_550|444444,1985778:1985797|offset_571|00cc00&amp;v=1985628:1985997&amp;c=444444", "offset 571")</f>
        <v>offset 571</v>
      </c>
    </row>
    <row r="7078" customFormat="false" ht="12.8" hidden="false" customHeight="false" outlineLevel="0" collapsed="false">
      <c r="A7078" s="0" t="s">
        <v>12</v>
      </c>
      <c r="B7078" s="0" t="n">
        <v>1987770</v>
      </c>
      <c r="C7078" s="0" t="n">
        <v>1987790</v>
      </c>
      <c r="D7078" s="0" t="s">
        <v>23666</v>
      </c>
      <c r="E7078" s="0" t="s">
        <v>23667</v>
      </c>
      <c r="F7078" s="0" t="s">
        <v>90</v>
      </c>
      <c r="G7078" s="0" t="s">
        <v>32</v>
      </c>
      <c r="H7078" s="0" t="n">
        <v>16</v>
      </c>
      <c r="I7078" s="0" t="s">
        <v>23668</v>
      </c>
      <c r="J7078" s="0" t="s">
        <v>23669</v>
      </c>
      <c r="K7078" s="0" t="s">
        <v>23670</v>
      </c>
      <c r="L7078" s="0" t="str">
        <f aca="false">HYPERLINK("https://www.ncbi.nlm.nih.gov/nuccore/CP000304.1?report=graph&amp;tracks=[key:gene_model_track,Options:GeneOnly]&amp;mk=1987771:1987790|offset_16|00cc00,1987743:1987762|offset_44|444444,1987666:1987685|offset_121|444444,1987644:1987663|offset_143|444444&amp;v=1987570:1987863&amp;c=444444", "offset 16")</f>
        <v>offset 16</v>
      </c>
    </row>
    <row r="7079" customFormat="false" ht="12.8" hidden="false" customHeight="false" outlineLevel="0" collapsed="false">
      <c r="A7079" s="0" t="s">
        <v>12</v>
      </c>
      <c r="B7079" s="0" t="n">
        <v>1987742</v>
      </c>
      <c r="C7079" s="0" t="n">
        <v>1987762</v>
      </c>
      <c r="D7079" s="0" t="s">
        <v>23666</v>
      </c>
      <c r="E7079" s="0" t="s">
        <v>23667</v>
      </c>
      <c r="F7079" s="0" t="s">
        <v>90</v>
      </c>
      <c r="G7079" s="0" t="s">
        <v>16</v>
      </c>
      <c r="H7079" s="0" t="n">
        <v>44</v>
      </c>
      <c r="I7079" s="0" t="s">
        <v>23671</v>
      </c>
      <c r="J7079" s="0" t="s">
        <v>23672</v>
      </c>
      <c r="K7079" s="0" t="s">
        <v>23673</v>
      </c>
      <c r="L7079" s="0" t="str">
        <f aca="false">HYPERLINK("https://www.ncbi.nlm.nih.gov/nuccore/CP000304.1?report=graph&amp;tracks=[key:gene_model_track,Options:GeneOnly]&amp;mk=1987771:1987790|offset_16|444444,1987743:1987762|offset_44|00cc00,1987666:1987685|offset_121|444444,1987644:1987663|offset_143|444444&amp;v=1987570:1987863&amp;c=444444", "offset 44")</f>
        <v>offset 44</v>
      </c>
    </row>
    <row r="7080" customFormat="false" ht="12.8" hidden="false" customHeight="false" outlineLevel="0" collapsed="false">
      <c r="A7080" s="0" t="s">
        <v>12</v>
      </c>
      <c r="B7080" s="0" t="n">
        <v>1987665</v>
      </c>
      <c r="C7080" s="0" t="n">
        <v>1987685</v>
      </c>
      <c r="D7080" s="0" t="s">
        <v>23666</v>
      </c>
      <c r="E7080" s="0" t="s">
        <v>23667</v>
      </c>
      <c r="F7080" s="0" t="s">
        <v>90</v>
      </c>
      <c r="G7080" s="0" t="s">
        <v>26</v>
      </c>
      <c r="H7080" s="0" t="n">
        <v>121</v>
      </c>
      <c r="I7080" s="0" t="s">
        <v>23674</v>
      </c>
      <c r="J7080" s="0" t="s">
        <v>23675</v>
      </c>
      <c r="K7080" s="0" t="s">
        <v>23676</v>
      </c>
      <c r="L7080" s="0" t="str">
        <f aca="false">HYPERLINK("https://www.ncbi.nlm.nih.gov/nuccore/CP000304.1?report=graph&amp;tracks=[key:gene_model_track,Options:GeneOnly]&amp;mk=1987771:1987790|offset_16|444444,1987743:1987762|offset_44|444444,1987666:1987685|offset_121|00cc00,1987644:1987663|offset_143|444444&amp;v=1987570:1987863&amp;c=444444", "offset 121")</f>
        <v>offset 121</v>
      </c>
    </row>
    <row r="7081" customFormat="false" ht="12.8" hidden="false" customHeight="false" outlineLevel="0" collapsed="false">
      <c r="A7081" s="0" t="s">
        <v>12</v>
      </c>
      <c r="B7081" s="0" t="n">
        <v>1987643</v>
      </c>
      <c r="C7081" s="0" t="n">
        <v>1987663</v>
      </c>
      <c r="D7081" s="0" t="s">
        <v>23666</v>
      </c>
      <c r="E7081" s="0" t="s">
        <v>23667</v>
      </c>
      <c r="F7081" s="0" t="s">
        <v>90</v>
      </c>
      <c r="G7081" s="0" t="s">
        <v>26</v>
      </c>
      <c r="H7081" s="0" t="n">
        <v>143</v>
      </c>
      <c r="I7081" s="0" t="s">
        <v>23677</v>
      </c>
      <c r="J7081" s="0" t="s">
        <v>23678</v>
      </c>
      <c r="K7081" s="0" t="s">
        <v>23679</v>
      </c>
      <c r="L7081" s="0" t="str">
        <f aca="false">HYPERLINK("https://www.ncbi.nlm.nih.gov/nuccore/CP000304.1?report=graph&amp;tracks=[key:gene_model_track,Options:GeneOnly]&amp;mk=1987771:1987790|offset_16|444444,1987743:1987762|offset_44|444444,1987666:1987685|offset_121|444444,1987644:1987663|offset_143|00cc00&amp;v=1987570:1987863&amp;c=444444", "offset 143")</f>
        <v>offset 143</v>
      </c>
    </row>
    <row r="7082" customFormat="false" ht="12.8" hidden="false" customHeight="false" outlineLevel="0" collapsed="false">
      <c r="A7082" s="0" t="s">
        <v>12</v>
      </c>
      <c r="B7082" s="0" t="n">
        <v>1987890</v>
      </c>
      <c r="C7082" s="0" t="n">
        <v>1987910</v>
      </c>
      <c r="D7082" s="0" t="s">
        <v>23680</v>
      </c>
      <c r="E7082" s="0" t="s">
        <v>89</v>
      </c>
      <c r="F7082" s="0" t="s">
        <v>15</v>
      </c>
      <c r="G7082" s="0" t="s">
        <v>16</v>
      </c>
      <c r="H7082" s="0" t="n">
        <v>61</v>
      </c>
      <c r="I7082" s="0" t="s">
        <v>23681</v>
      </c>
      <c r="J7082" s="0" t="s">
        <v>23682</v>
      </c>
      <c r="K7082" s="0" t="s">
        <v>23683</v>
      </c>
      <c r="L7082" s="0" t="str">
        <f aca="false">HYPERLINK("https://www.ncbi.nlm.nih.gov/nuccore/CP000304.1?report=graph&amp;tracks=[key:gene_model_track,Options:GeneOnly]&amp;mk=1987891:1987910|offset_61|00cc00,1987949:1987968|offset_119|444444,1987972:1987991|offset_142|444444,1987996:1988015|offset_166|444444&amp;v=1987690:1988215&amp;c=444444", "offset 61")</f>
        <v>offset 61</v>
      </c>
    </row>
    <row r="7083" customFormat="false" ht="12.8" hidden="false" customHeight="false" outlineLevel="0" collapsed="false">
      <c r="A7083" s="0" t="s">
        <v>12</v>
      </c>
      <c r="B7083" s="0" t="n">
        <v>1987948</v>
      </c>
      <c r="C7083" s="0" t="n">
        <v>1987968</v>
      </c>
      <c r="D7083" s="0" t="s">
        <v>23680</v>
      </c>
      <c r="E7083" s="0" t="s">
        <v>89</v>
      </c>
      <c r="F7083" s="0" t="s">
        <v>15</v>
      </c>
      <c r="G7083" s="0" t="s">
        <v>32</v>
      </c>
      <c r="H7083" s="0" t="n">
        <v>119</v>
      </c>
      <c r="I7083" s="0" t="s">
        <v>23684</v>
      </c>
      <c r="J7083" s="0" t="s">
        <v>23685</v>
      </c>
      <c r="K7083" s="0" t="s">
        <v>23686</v>
      </c>
      <c r="L7083" s="0" t="str">
        <f aca="false">HYPERLINK("https://www.ncbi.nlm.nih.gov/nuccore/CP000304.1?report=graph&amp;tracks=[key:gene_model_track,Options:GeneOnly]&amp;mk=1987891:1987910|offset_61|444444,1987949:1987968|offset_119|00cc00,1987972:1987991|offset_142|444444,1987996:1988015|offset_166|444444&amp;v=1987690:1988215&amp;c=444444", "offset 119")</f>
        <v>offset 119</v>
      </c>
    </row>
    <row r="7084" customFormat="false" ht="12.8" hidden="false" customHeight="false" outlineLevel="0" collapsed="false">
      <c r="A7084" s="0" t="s">
        <v>12</v>
      </c>
      <c r="B7084" s="0" t="n">
        <v>1987971</v>
      </c>
      <c r="C7084" s="0" t="n">
        <v>1987991</v>
      </c>
      <c r="D7084" s="0" t="s">
        <v>23680</v>
      </c>
      <c r="E7084" s="0" t="s">
        <v>89</v>
      </c>
      <c r="F7084" s="0" t="s">
        <v>15</v>
      </c>
      <c r="G7084" s="0" t="s">
        <v>32</v>
      </c>
      <c r="H7084" s="0" t="n">
        <v>142</v>
      </c>
      <c r="I7084" s="0" t="s">
        <v>23687</v>
      </c>
      <c r="J7084" s="0" t="s">
        <v>23688</v>
      </c>
      <c r="K7084" s="0" t="s">
        <v>23689</v>
      </c>
      <c r="L7084" s="0" t="str">
        <f aca="false">HYPERLINK("https://www.ncbi.nlm.nih.gov/nuccore/CP000304.1?report=graph&amp;tracks=[key:gene_model_track,Options:GeneOnly]&amp;mk=1987891:1987910|offset_61|444444,1987949:1987968|offset_119|444444,1987972:1987991|offset_142|00cc00,1987996:1988015|offset_166|444444&amp;v=1987690:1988215&amp;c=444444", "offset 142")</f>
        <v>offset 142</v>
      </c>
    </row>
    <row r="7085" customFormat="false" ht="12.8" hidden="false" customHeight="false" outlineLevel="0" collapsed="false">
      <c r="A7085" s="0" t="s">
        <v>12</v>
      </c>
      <c r="B7085" s="0" t="n">
        <v>1987995</v>
      </c>
      <c r="C7085" s="0" t="n">
        <v>1988015</v>
      </c>
      <c r="D7085" s="0" t="s">
        <v>23680</v>
      </c>
      <c r="E7085" s="0" t="s">
        <v>89</v>
      </c>
      <c r="F7085" s="0" t="s">
        <v>15</v>
      </c>
      <c r="G7085" s="0" t="s">
        <v>16</v>
      </c>
      <c r="H7085" s="0" t="n">
        <v>166</v>
      </c>
      <c r="I7085" s="0" t="s">
        <v>23690</v>
      </c>
      <c r="J7085" s="0" t="s">
        <v>23691</v>
      </c>
      <c r="K7085" s="0" t="s">
        <v>23692</v>
      </c>
      <c r="L7085" s="0" t="str">
        <f aca="false">HYPERLINK("https://www.ncbi.nlm.nih.gov/nuccore/CP000304.1?report=graph&amp;tracks=[key:gene_model_track,Options:GeneOnly]&amp;mk=1987891:1987910|offset_61|444444,1987949:1987968|offset_119|444444,1987972:1987991|offset_142|444444,1987996:1988015|offset_166|00cc00&amp;v=1987690:1988215&amp;c=444444", "offset 166")</f>
        <v>offset 166</v>
      </c>
    </row>
    <row r="7086" customFormat="false" ht="12.8" hidden="false" customHeight="false" outlineLevel="0" collapsed="false">
      <c r="A7086" s="0" t="s">
        <v>12</v>
      </c>
      <c r="B7086" s="0" t="n">
        <v>1990136</v>
      </c>
      <c r="C7086" s="0" t="n">
        <v>1990156</v>
      </c>
      <c r="D7086" s="0" t="s">
        <v>23693</v>
      </c>
      <c r="E7086" s="0" t="s">
        <v>23694</v>
      </c>
      <c r="F7086" s="0" t="s">
        <v>90</v>
      </c>
      <c r="G7086" s="0" t="s">
        <v>32</v>
      </c>
      <c r="H7086" s="0" t="n">
        <v>14</v>
      </c>
      <c r="I7086" s="0" t="s">
        <v>23695</v>
      </c>
      <c r="J7086" s="0" t="s">
        <v>23696</v>
      </c>
      <c r="K7086" s="0" t="s">
        <v>23697</v>
      </c>
      <c r="L7086" s="0" t="str">
        <f aca="false">HYPERLINK("https://www.ncbi.nlm.nih.gov/nuccore/CP000304.1?report=graph&amp;tracks=[key:gene_model_track,Options:GeneOnly]&amp;mk=1990137:1990156|offset_14|00cc00,1990111:1990130|offset_40|444444,1990081:1990100|offset_70|444444,1990057:1990076|offset_94|444444&amp;v=1989936:1990276&amp;c=444444", "offset 14")</f>
        <v>offset 14</v>
      </c>
    </row>
    <row r="7087" customFormat="false" ht="12.8" hidden="false" customHeight="false" outlineLevel="0" collapsed="false">
      <c r="A7087" s="0" t="s">
        <v>12</v>
      </c>
      <c r="B7087" s="0" t="n">
        <v>1990110</v>
      </c>
      <c r="C7087" s="0" t="n">
        <v>1990130</v>
      </c>
      <c r="D7087" s="0" t="s">
        <v>23693</v>
      </c>
      <c r="E7087" s="0" t="s">
        <v>23694</v>
      </c>
      <c r="F7087" s="0" t="s">
        <v>90</v>
      </c>
      <c r="G7087" s="0" t="s">
        <v>26</v>
      </c>
      <c r="H7087" s="0" t="n">
        <v>40</v>
      </c>
      <c r="I7087" s="0" t="s">
        <v>23698</v>
      </c>
      <c r="J7087" s="0" t="s">
        <v>23699</v>
      </c>
      <c r="K7087" s="0" t="s">
        <v>23700</v>
      </c>
      <c r="L7087" s="0" t="str">
        <f aca="false">HYPERLINK("https://www.ncbi.nlm.nih.gov/nuccore/CP000304.1?report=graph&amp;tracks=[key:gene_model_track,Options:GeneOnly]&amp;mk=1990137:1990156|offset_14|444444,1990111:1990130|offset_40|00cc00,1990081:1990100|offset_70|444444,1990057:1990076|offset_94|444444&amp;v=1989936:1990276&amp;c=444444", "offset 40")</f>
        <v>offset 40</v>
      </c>
    </row>
    <row r="7088" customFormat="false" ht="12.8" hidden="false" customHeight="false" outlineLevel="0" collapsed="false">
      <c r="A7088" s="0" t="s">
        <v>12</v>
      </c>
      <c r="B7088" s="0" t="n">
        <v>1990080</v>
      </c>
      <c r="C7088" s="0" t="n">
        <v>1990100</v>
      </c>
      <c r="D7088" s="0" t="s">
        <v>23693</v>
      </c>
      <c r="E7088" s="0" t="s">
        <v>23694</v>
      </c>
      <c r="F7088" s="0" t="s">
        <v>90</v>
      </c>
      <c r="G7088" s="0" t="s">
        <v>32</v>
      </c>
      <c r="H7088" s="0" t="n">
        <v>70</v>
      </c>
      <c r="I7088" s="0" t="s">
        <v>23701</v>
      </c>
      <c r="J7088" s="0" t="s">
        <v>23702</v>
      </c>
      <c r="K7088" s="0" t="s">
        <v>23703</v>
      </c>
      <c r="L7088" s="0" t="str">
        <f aca="false">HYPERLINK("https://www.ncbi.nlm.nih.gov/nuccore/CP000304.1?report=graph&amp;tracks=[key:gene_model_track,Options:GeneOnly]&amp;mk=1990137:1990156|offset_14|444444,1990111:1990130|offset_40|444444,1990081:1990100|offset_70|00cc00,1990057:1990076|offset_94|444444&amp;v=1989936:1990276&amp;c=444444", "offset 70")</f>
        <v>offset 70</v>
      </c>
    </row>
    <row r="7089" customFormat="false" ht="12.8" hidden="false" customHeight="false" outlineLevel="0" collapsed="false">
      <c r="A7089" s="0" t="s">
        <v>12</v>
      </c>
      <c r="B7089" s="0" t="n">
        <v>1990056</v>
      </c>
      <c r="C7089" s="0" t="n">
        <v>1990076</v>
      </c>
      <c r="D7089" s="0" t="s">
        <v>23693</v>
      </c>
      <c r="E7089" s="0" t="s">
        <v>23694</v>
      </c>
      <c r="F7089" s="0" t="s">
        <v>90</v>
      </c>
      <c r="G7089" s="0" t="s">
        <v>26</v>
      </c>
      <c r="H7089" s="0" t="n">
        <v>94</v>
      </c>
      <c r="I7089" s="0" t="s">
        <v>23704</v>
      </c>
      <c r="J7089" s="0" t="s">
        <v>23705</v>
      </c>
      <c r="K7089" s="0" t="s">
        <v>23706</v>
      </c>
      <c r="L7089" s="0" t="str">
        <f aca="false">HYPERLINK("https://www.ncbi.nlm.nih.gov/nuccore/CP000304.1?report=graph&amp;tracks=[key:gene_model_track,Options:GeneOnly]&amp;mk=1990137:1990156|offset_14|444444,1990111:1990130|offset_40|444444,1990081:1990100|offset_70|444444,1990057:1990076|offset_94|00cc00&amp;v=1989936:1990276&amp;c=444444", "offset 94")</f>
        <v>offset 94</v>
      </c>
    </row>
    <row r="7090" customFormat="false" ht="12.8" hidden="false" customHeight="false" outlineLevel="0" collapsed="false">
      <c r="A7090" s="0" t="s">
        <v>12</v>
      </c>
      <c r="B7090" s="0" t="n">
        <v>1993169</v>
      </c>
      <c r="C7090" s="0" t="n">
        <v>1993189</v>
      </c>
      <c r="D7090" s="0" t="s">
        <v>23707</v>
      </c>
      <c r="E7090" s="0" t="s">
        <v>23708</v>
      </c>
      <c r="F7090" s="0" t="s">
        <v>90</v>
      </c>
      <c r="G7090" s="0" t="s">
        <v>26</v>
      </c>
      <c r="H7090" s="0" t="n">
        <v>6</v>
      </c>
      <c r="I7090" s="0" t="s">
        <v>23709</v>
      </c>
      <c r="J7090" s="0" t="s">
        <v>23710</v>
      </c>
      <c r="K7090" s="0" t="s">
        <v>23711</v>
      </c>
      <c r="L7090" s="0" t="str">
        <f aca="false">HYPERLINK("https://www.ncbi.nlm.nih.gov/nuccore/CP000304.1?report=graph&amp;tracks=[key:gene_model_track,Options:GeneOnly]&amp;mk=1993170:1993189|offset_6|00cc00,1993144:1993163|offset_32|444444,1993118:1993137|offset_58|444444,1993098:1993117|offset_78|444444&amp;v=1992969:1993317&amp;c=444444", "offset 6")</f>
        <v>offset 6</v>
      </c>
    </row>
    <row r="7091" customFormat="false" ht="12.8" hidden="false" customHeight="false" outlineLevel="0" collapsed="false">
      <c r="A7091" s="0" t="s">
        <v>12</v>
      </c>
      <c r="B7091" s="0" t="n">
        <v>1993143</v>
      </c>
      <c r="C7091" s="0" t="n">
        <v>1993163</v>
      </c>
      <c r="D7091" s="0" t="s">
        <v>23707</v>
      </c>
      <c r="E7091" s="0" t="s">
        <v>23708</v>
      </c>
      <c r="F7091" s="0" t="s">
        <v>90</v>
      </c>
      <c r="G7091" s="0" t="s">
        <v>16</v>
      </c>
      <c r="H7091" s="0" t="n">
        <v>32</v>
      </c>
      <c r="I7091" s="0" t="s">
        <v>23712</v>
      </c>
      <c r="J7091" s="0" t="s">
        <v>23713</v>
      </c>
      <c r="K7091" s="0" t="s">
        <v>23714</v>
      </c>
      <c r="L7091" s="0" t="str">
        <f aca="false">HYPERLINK("https://www.ncbi.nlm.nih.gov/nuccore/CP000304.1?report=graph&amp;tracks=[key:gene_model_track,Options:GeneOnly]&amp;mk=1993170:1993189|offset_6|444444,1993144:1993163|offset_32|00cc00,1993118:1993137|offset_58|444444,1993098:1993117|offset_78|444444&amp;v=1992969:1993317&amp;c=444444", "offset 32")</f>
        <v>offset 32</v>
      </c>
    </row>
    <row r="7092" customFormat="false" ht="12.8" hidden="false" customHeight="false" outlineLevel="0" collapsed="false">
      <c r="A7092" s="0" t="s">
        <v>12</v>
      </c>
      <c r="B7092" s="0" t="n">
        <v>1993117</v>
      </c>
      <c r="C7092" s="0" t="n">
        <v>1993137</v>
      </c>
      <c r="D7092" s="0" t="s">
        <v>23707</v>
      </c>
      <c r="E7092" s="0" t="s">
        <v>23708</v>
      </c>
      <c r="F7092" s="0" t="s">
        <v>90</v>
      </c>
      <c r="G7092" s="0" t="s">
        <v>26</v>
      </c>
      <c r="H7092" s="0" t="n">
        <v>58</v>
      </c>
      <c r="I7092" s="0" t="s">
        <v>23715</v>
      </c>
      <c r="J7092" s="0" t="s">
        <v>23716</v>
      </c>
      <c r="K7092" s="0" t="s">
        <v>23717</v>
      </c>
      <c r="L7092" s="0" t="str">
        <f aca="false">HYPERLINK("https://www.ncbi.nlm.nih.gov/nuccore/CP000304.1?report=graph&amp;tracks=[key:gene_model_track,Options:GeneOnly]&amp;mk=1993170:1993189|offset_6|444444,1993144:1993163|offset_32|444444,1993118:1993137|offset_58|00cc00,1993098:1993117|offset_78|444444&amp;v=1992969:1993317&amp;c=444444", "offset 58")</f>
        <v>offset 58</v>
      </c>
    </row>
    <row r="7093" customFormat="false" ht="12.8" hidden="false" customHeight="false" outlineLevel="0" collapsed="false">
      <c r="A7093" s="0" t="s">
        <v>12</v>
      </c>
      <c r="B7093" s="0" t="n">
        <v>1993097</v>
      </c>
      <c r="C7093" s="0" t="n">
        <v>1993117</v>
      </c>
      <c r="D7093" s="0" t="s">
        <v>23707</v>
      </c>
      <c r="E7093" s="0" t="s">
        <v>23708</v>
      </c>
      <c r="F7093" s="0" t="s">
        <v>90</v>
      </c>
      <c r="G7093" s="0" t="s">
        <v>36</v>
      </c>
      <c r="H7093" s="0" t="n">
        <v>78</v>
      </c>
      <c r="I7093" s="0" t="s">
        <v>23718</v>
      </c>
      <c r="J7093" s="0" t="s">
        <v>23719</v>
      </c>
      <c r="K7093" s="0" t="s">
        <v>23720</v>
      </c>
      <c r="L7093" s="0" t="str">
        <f aca="false">HYPERLINK("https://www.ncbi.nlm.nih.gov/nuccore/CP000304.1?report=graph&amp;tracks=[key:gene_model_track,Options:GeneOnly]&amp;mk=1993170:1993189|offset_6|444444,1993144:1993163|offset_32|444444,1993118:1993137|offset_58|444444,1993098:1993117|offset_78|00cc00&amp;v=1992969:1993317&amp;c=444444", "offset 78")</f>
        <v>offset 78</v>
      </c>
    </row>
    <row r="7094" customFormat="false" ht="12.8" hidden="false" customHeight="false" outlineLevel="0" collapsed="false">
      <c r="A7094" s="0" t="s">
        <v>12</v>
      </c>
      <c r="B7094" s="0" t="n">
        <v>1993311</v>
      </c>
      <c r="C7094" s="0" t="n">
        <v>1993331</v>
      </c>
      <c r="D7094" s="0" t="s">
        <v>23721</v>
      </c>
      <c r="E7094" s="0" t="s">
        <v>89</v>
      </c>
      <c r="F7094" s="0" t="s">
        <v>15</v>
      </c>
      <c r="G7094" s="0" t="s">
        <v>36</v>
      </c>
      <c r="H7094" s="0" t="n">
        <v>18</v>
      </c>
      <c r="I7094" s="0" t="s">
        <v>23722</v>
      </c>
      <c r="J7094" s="0" t="s">
        <v>23723</v>
      </c>
      <c r="K7094" s="0" t="s">
        <v>23724</v>
      </c>
      <c r="L7094" s="0" t="str">
        <f aca="false">HYPERLINK("https://www.ncbi.nlm.nih.gov/nuccore/CP000304.1?report=graph&amp;tracks=[key:gene_model_track,Options:GeneOnly]&amp;mk=1993312:1993331|offset_18|00cc00,1993348:1993367|offset_54|444444,1993395:1993414|offset_101|444444,1993424:1993443|offset_130|444444&amp;v=1993111:1993643&amp;c=444444", "offset 18")</f>
        <v>offset 18</v>
      </c>
    </row>
    <row r="7095" customFormat="false" ht="12.8" hidden="false" customHeight="false" outlineLevel="0" collapsed="false">
      <c r="A7095" s="0" t="s">
        <v>12</v>
      </c>
      <c r="B7095" s="0" t="n">
        <v>1993347</v>
      </c>
      <c r="C7095" s="0" t="n">
        <v>1993367</v>
      </c>
      <c r="D7095" s="0" t="s">
        <v>23721</v>
      </c>
      <c r="E7095" s="0" t="s">
        <v>89</v>
      </c>
      <c r="F7095" s="0" t="s">
        <v>15</v>
      </c>
      <c r="G7095" s="0" t="s">
        <v>36</v>
      </c>
      <c r="H7095" s="0" t="n">
        <v>54</v>
      </c>
      <c r="I7095" s="0" t="s">
        <v>23725</v>
      </c>
      <c r="J7095" s="0" t="s">
        <v>23726</v>
      </c>
      <c r="K7095" s="0" t="s">
        <v>23727</v>
      </c>
      <c r="L7095" s="0" t="str">
        <f aca="false">HYPERLINK("https://www.ncbi.nlm.nih.gov/nuccore/CP000304.1?report=graph&amp;tracks=[key:gene_model_track,Options:GeneOnly]&amp;mk=1993312:1993331|offset_18|444444,1993348:1993367|offset_54|00cc00,1993395:1993414|offset_101|444444,1993424:1993443|offset_130|444444&amp;v=1993111:1993643&amp;c=444444", "offset 54")</f>
        <v>offset 54</v>
      </c>
    </row>
    <row r="7096" customFormat="false" ht="12.8" hidden="false" customHeight="false" outlineLevel="0" collapsed="false">
      <c r="A7096" s="0" t="s">
        <v>12</v>
      </c>
      <c r="B7096" s="0" t="n">
        <v>1993394</v>
      </c>
      <c r="C7096" s="0" t="n">
        <v>1993414</v>
      </c>
      <c r="D7096" s="0" t="s">
        <v>23721</v>
      </c>
      <c r="E7096" s="0" t="s">
        <v>89</v>
      </c>
      <c r="F7096" s="0" t="s">
        <v>15</v>
      </c>
      <c r="G7096" s="0" t="s">
        <v>16</v>
      </c>
      <c r="H7096" s="0" t="n">
        <v>101</v>
      </c>
      <c r="I7096" s="0" t="s">
        <v>23728</v>
      </c>
      <c r="J7096" s="0" t="s">
        <v>23729</v>
      </c>
      <c r="K7096" s="0" t="s">
        <v>23730</v>
      </c>
      <c r="L7096" s="0" t="str">
        <f aca="false">HYPERLINK("https://www.ncbi.nlm.nih.gov/nuccore/CP000304.1?report=graph&amp;tracks=[key:gene_model_track,Options:GeneOnly]&amp;mk=1993312:1993331|offset_18|444444,1993348:1993367|offset_54|444444,1993395:1993414|offset_101|00cc00,1993424:1993443|offset_130|444444&amp;v=1993111:1993643&amp;c=444444", "offset 101")</f>
        <v>offset 101</v>
      </c>
    </row>
    <row r="7097" customFormat="false" ht="12.8" hidden="false" customHeight="false" outlineLevel="0" collapsed="false">
      <c r="A7097" s="0" t="s">
        <v>12</v>
      </c>
      <c r="B7097" s="0" t="n">
        <v>1993423</v>
      </c>
      <c r="C7097" s="0" t="n">
        <v>1993443</v>
      </c>
      <c r="D7097" s="0" t="s">
        <v>23721</v>
      </c>
      <c r="E7097" s="0" t="s">
        <v>89</v>
      </c>
      <c r="F7097" s="0" t="s">
        <v>15</v>
      </c>
      <c r="G7097" s="0" t="s">
        <v>16</v>
      </c>
      <c r="H7097" s="0" t="n">
        <v>130</v>
      </c>
      <c r="I7097" s="0" t="s">
        <v>23731</v>
      </c>
      <c r="J7097" s="0" t="s">
        <v>23732</v>
      </c>
      <c r="K7097" s="0" t="s">
        <v>23733</v>
      </c>
      <c r="L7097" s="0" t="str">
        <f aca="false">HYPERLINK("https://www.ncbi.nlm.nih.gov/nuccore/CP000304.1?report=graph&amp;tracks=[key:gene_model_track,Options:GeneOnly]&amp;mk=1993312:1993331|offset_18|444444,1993348:1993367|offset_54|444444,1993395:1993414|offset_101|444444,1993424:1993443|offset_130|00cc00&amp;v=1993111:1993643&amp;c=444444", "offset 130")</f>
        <v>offset 130</v>
      </c>
    </row>
    <row r="7098" customFormat="false" ht="12.8" hidden="false" customHeight="false" outlineLevel="0" collapsed="false">
      <c r="A7098" s="0" t="s">
        <v>12</v>
      </c>
      <c r="B7098" s="0" t="n">
        <v>1994498</v>
      </c>
      <c r="C7098" s="0" t="n">
        <v>1994518</v>
      </c>
      <c r="D7098" s="0" t="s">
        <v>23734</v>
      </c>
      <c r="E7098" s="0" t="s">
        <v>89</v>
      </c>
      <c r="F7098" s="0" t="s">
        <v>15</v>
      </c>
      <c r="G7098" s="0" t="s">
        <v>32</v>
      </c>
      <c r="H7098" s="0" t="n">
        <v>8</v>
      </c>
      <c r="I7098" s="0" t="s">
        <v>23735</v>
      </c>
      <c r="J7098" s="0" t="s">
        <v>23736</v>
      </c>
      <c r="K7098" s="0" t="s">
        <v>23737</v>
      </c>
      <c r="L7098" s="0" t="str">
        <f aca="false">HYPERLINK("https://www.ncbi.nlm.nih.gov/nuccore/CP000304.1?report=graph&amp;tracks=[key:gene_model_track,Options:GeneOnly]&amp;mk=1994499:1994518|offset_8|00cc00,1994525:1994544|offset_34|444444,1994554:1994573|offset_63|444444,1994592:1994611|offset_101|444444&amp;v=1994298:1994811&amp;c=444444", "offset 8")</f>
        <v>offset 8</v>
      </c>
    </row>
    <row r="7099" customFormat="false" ht="12.8" hidden="false" customHeight="false" outlineLevel="0" collapsed="false">
      <c r="A7099" s="0" t="s">
        <v>12</v>
      </c>
      <c r="B7099" s="0" t="n">
        <v>1994524</v>
      </c>
      <c r="C7099" s="0" t="n">
        <v>1994544</v>
      </c>
      <c r="D7099" s="0" t="s">
        <v>23734</v>
      </c>
      <c r="E7099" s="0" t="s">
        <v>89</v>
      </c>
      <c r="F7099" s="0" t="s">
        <v>15</v>
      </c>
      <c r="G7099" s="0" t="s">
        <v>16</v>
      </c>
      <c r="H7099" s="0" t="n">
        <v>34</v>
      </c>
      <c r="I7099" s="0" t="s">
        <v>23738</v>
      </c>
      <c r="J7099" s="0" t="s">
        <v>23739</v>
      </c>
      <c r="K7099" s="0" t="s">
        <v>23740</v>
      </c>
      <c r="L7099" s="0" t="str">
        <f aca="false">HYPERLINK("https://www.ncbi.nlm.nih.gov/nuccore/CP000304.1?report=graph&amp;tracks=[key:gene_model_track,Options:GeneOnly]&amp;mk=1994499:1994518|offset_8|444444,1994525:1994544|offset_34|00cc00,1994554:1994573|offset_63|444444,1994592:1994611|offset_101|444444&amp;v=1994298:1994811&amp;c=444444", "offset 34")</f>
        <v>offset 34</v>
      </c>
    </row>
    <row r="7100" customFormat="false" ht="12.8" hidden="false" customHeight="false" outlineLevel="0" collapsed="false">
      <c r="A7100" s="0" t="s">
        <v>12</v>
      </c>
      <c r="B7100" s="0" t="n">
        <v>1994553</v>
      </c>
      <c r="C7100" s="0" t="n">
        <v>1994573</v>
      </c>
      <c r="D7100" s="0" t="s">
        <v>23734</v>
      </c>
      <c r="E7100" s="0" t="s">
        <v>89</v>
      </c>
      <c r="F7100" s="0" t="s">
        <v>15</v>
      </c>
      <c r="G7100" s="0" t="s">
        <v>36</v>
      </c>
      <c r="H7100" s="0" t="n">
        <v>63</v>
      </c>
      <c r="I7100" s="0" t="s">
        <v>23741</v>
      </c>
      <c r="J7100" s="0" t="s">
        <v>23742</v>
      </c>
      <c r="K7100" s="0" t="s">
        <v>23743</v>
      </c>
      <c r="L7100" s="0" t="str">
        <f aca="false">HYPERLINK("https://www.ncbi.nlm.nih.gov/nuccore/CP000304.1?report=graph&amp;tracks=[key:gene_model_track,Options:GeneOnly]&amp;mk=1994499:1994518|offset_8|444444,1994525:1994544|offset_34|444444,1994554:1994573|offset_63|00cc00,1994592:1994611|offset_101|444444&amp;v=1994298:1994811&amp;c=444444", "offset 63")</f>
        <v>offset 63</v>
      </c>
    </row>
    <row r="7101" customFormat="false" ht="12.8" hidden="false" customHeight="false" outlineLevel="0" collapsed="false">
      <c r="A7101" s="0" t="s">
        <v>12</v>
      </c>
      <c r="B7101" s="0" t="n">
        <v>1994591</v>
      </c>
      <c r="C7101" s="0" t="n">
        <v>1994611</v>
      </c>
      <c r="D7101" s="0" t="s">
        <v>23734</v>
      </c>
      <c r="E7101" s="0" t="s">
        <v>89</v>
      </c>
      <c r="F7101" s="0" t="s">
        <v>15</v>
      </c>
      <c r="G7101" s="0" t="s">
        <v>26</v>
      </c>
      <c r="H7101" s="0" t="n">
        <v>101</v>
      </c>
      <c r="I7101" s="0" t="s">
        <v>23744</v>
      </c>
      <c r="J7101" s="0" t="s">
        <v>23745</v>
      </c>
      <c r="K7101" s="0" t="s">
        <v>23746</v>
      </c>
      <c r="L7101" s="0" t="str">
        <f aca="false">HYPERLINK("https://www.ncbi.nlm.nih.gov/nuccore/CP000304.1?report=graph&amp;tracks=[key:gene_model_track,Options:GeneOnly]&amp;mk=1994499:1994518|offset_8|444444,1994525:1994544|offset_34|444444,1994554:1994573|offset_63|444444,1994592:1994611|offset_101|00cc00&amp;v=1994298:1994811&amp;c=444444", "offset 101")</f>
        <v>offset 101</v>
      </c>
    </row>
    <row r="7102" customFormat="false" ht="12.8" hidden="false" customHeight="false" outlineLevel="0" collapsed="false">
      <c r="A7102" s="0" t="s">
        <v>12</v>
      </c>
      <c r="B7102" s="0" t="n">
        <v>1995942</v>
      </c>
      <c r="C7102" s="0" t="n">
        <v>1995962</v>
      </c>
      <c r="D7102" s="0" t="s">
        <v>23747</v>
      </c>
      <c r="E7102" s="0" t="s">
        <v>89</v>
      </c>
      <c r="F7102" s="0" t="s">
        <v>90</v>
      </c>
      <c r="G7102" s="0" t="s">
        <v>36</v>
      </c>
      <c r="H7102" s="0" t="n">
        <v>67</v>
      </c>
      <c r="I7102" s="0" t="s">
        <v>23748</v>
      </c>
      <c r="J7102" s="0" t="s">
        <v>23749</v>
      </c>
      <c r="K7102" s="0" t="s">
        <v>23750</v>
      </c>
      <c r="L7102" s="0" t="str">
        <f aca="false">HYPERLINK("https://www.ncbi.nlm.nih.gov/nuccore/CP000304.1?report=graph&amp;tracks=[key:gene_model_track,Options:GeneOnly]&amp;mk=1995943:1995962|offset_67|00cc00,1995922:1995941|offset_88|444444,1995899:1995918|offset_111|444444,1995872:1995891|offset_138|444444&amp;v=1995742:1996091&amp;c=444444", "offset 67")</f>
        <v>offset 67</v>
      </c>
    </row>
    <row r="7103" customFormat="false" ht="12.8" hidden="false" customHeight="false" outlineLevel="0" collapsed="false">
      <c r="A7103" s="0" t="s">
        <v>12</v>
      </c>
      <c r="B7103" s="0" t="n">
        <v>1995921</v>
      </c>
      <c r="C7103" s="0" t="n">
        <v>1995941</v>
      </c>
      <c r="D7103" s="0" t="s">
        <v>23747</v>
      </c>
      <c r="E7103" s="0" t="s">
        <v>89</v>
      </c>
      <c r="F7103" s="0" t="s">
        <v>90</v>
      </c>
      <c r="G7103" s="0" t="s">
        <v>16</v>
      </c>
      <c r="H7103" s="0" t="n">
        <v>88</v>
      </c>
      <c r="I7103" s="0" t="s">
        <v>23751</v>
      </c>
      <c r="J7103" s="0" t="s">
        <v>23752</v>
      </c>
      <c r="K7103" s="0" t="s">
        <v>23753</v>
      </c>
      <c r="L7103" s="0" t="str">
        <f aca="false">HYPERLINK("https://www.ncbi.nlm.nih.gov/nuccore/CP000304.1?report=graph&amp;tracks=[key:gene_model_track,Options:GeneOnly]&amp;mk=1995943:1995962|offset_67|444444,1995922:1995941|offset_88|00cc00,1995899:1995918|offset_111|444444,1995872:1995891|offset_138|444444&amp;v=1995742:1996091&amp;c=444444", "offset 88")</f>
        <v>offset 88</v>
      </c>
    </row>
    <row r="7104" customFormat="false" ht="12.8" hidden="false" customHeight="false" outlineLevel="0" collapsed="false">
      <c r="A7104" s="0" t="s">
        <v>12</v>
      </c>
      <c r="B7104" s="0" t="n">
        <v>1995898</v>
      </c>
      <c r="C7104" s="0" t="n">
        <v>1995918</v>
      </c>
      <c r="D7104" s="0" t="s">
        <v>23747</v>
      </c>
      <c r="E7104" s="0" t="s">
        <v>89</v>
      </c>
      <c r="F7104" s="0" t="s">
        <v>90</v>
      </c>
      <c r="G7104" s="0" t="s">
        <v>26</v>
      </c>
      <c r="H7104" s="0" t="n">
        <v>111</v>
      </c>
      <c r="I7104" s="0" t="s">
        <v>23754</v>
      </c>
      <c r="J7104" s="0" t="s">
        <v>23755</v>
      </c>
      <c r="K7104" s="0" t="s">
        <v>23756</v>
      </c>
      <c r="L7104" s="0" t="str">
        <f aca="false">HYPERLINK("https://www.ncbi.nlm.nih.gov/nuccore/CP000304.1?report=graph&amp;tracks=[key:gene_model_track,Options:GeneOnly]&amp;mk=1995943:1995962|offset_67|444444,1995922:1995941|offset_88|444444,1995899:1995918|offset_111|00cc00,1995872:1995891|offset_138|444444&amp;v=1995742:1996091&amp;c=444444", "offset 111")</f>
        <v>offset 111</v>
      </c>
    </row>
    <row r="7105" customFormat="false" ht="12.8" hidden="false" customHeight="false" outlineLevel="0" collapsed="false">
      <c r="A7105" s="0" t="s">
        <v>12</v>
      </c>
      <c r="B7105" s="0" t="n">
        <v>1995871</v>
      </c>
      <c r="C7105" s="0" t="n">
        <v>1995891</v>
      </c>
      <c r="D7105" s="0" t="s">
        <v>23747</v>
      </c>
      <c r="E7105" s="0" t="s">
        <v>89</v>
      </c>
      <c r="F7105" s="0" t="s">
        <v>90</v>
      </c>
      <c r="G7105" s="0" t="s">
        <v>32</v>
      </c>
      <c r="H7105" s="0" t="n">
        <v>138</v>
      </c>
      <c r="I7105" s="0" t="s">
        <v>23757</v>
      </c>
      <c r="J7105" s="0" t="s">
        <v>23758</v>
      </c>
      <c r="K7105" s="0" t="s">
        <v>23759</v>
      </c>
      <c r="L7105" s="0" t="str">
        <f aca="false">HYPERLINK("https://www.ncbi.nlm.nih.gov/nuccore/CP000304.1?report=graph&amp;tracks=[key:gene_model_track,Options:GeneOnly]&amp;mk=1995943:1995962|offset_67|444444,1995922:1995941|offset_88|444444,1995899:1995918|offset_111|444444,1995872:1995891|offset_138|00cc00&amp;v=1995742:1996091&amp;c=444444", "offset 138")</f>
        <v>offset 138</v>
      </c>
    </row>
    <row r="7106" customFormat="false" ht="12.8" hidden="false" customHeight="false" outlineLevel="0" collapsed="false">
      <c r="A7106" s="0" t="s">
        <v>12</v>
      </c>
      <c r="B7106" s="0" t="n">
        <v>1998487</v>
      </c>
      <c r="C7106" s="0" t="n">
        <v>1998507</v>
      </c>
      <c r="D7106" s="0" t="s">
        <v>23760</v>
      </c>
      <c r="E7106" s="0" t="s">
        <v>89</v>
      </c>
      <c r="F7106" s="0" t="s">
        <v>90</v>
      </c>
      <c r="G7106" s="0" t="s">
        <v>36</v>
      </c>
      <c r="H7106" s="0" t="n">
        <v>7</v>
      </c>
      <c r="I7106" s="0" t="s">
        <v>23761</v>
      </c>
      <c r="J7106" s="0" t="s">
        <v>23762</v>
      </c>
      <c r="K7106" s="0" t="s">
        <v>23763</v>
      </c>
      <c r="L7106" s="0" t="str">
        <f aca="false">HYPERLINK("https://www.ncbi.nlm.nih.gov/nuccore/CP000304.1?report=graph&amp;tracks=[key:gene_model_track,Options:GeneOnly]&amp;mk=1998488:1998507|offset_7|00cc00,1998466:1998485|offset_29|444444,1998436:1998455|offset_59|444444,1998412:1998431|offset_83|444444&amp;v=1998287:1998631&amp;c=444444", "offset 7")</f>
        <v>offset 7</v>
      </c>
    </row>
    <row r="7107" customFormat="false" ht="12.8" hidden="false" customHeight="false" outlineLevel="0" collapsed="false">
      <c r="A7107" s="0" t="s">
        <v>12</v>
      </c>
      <c r="B7107" s="0" t="n">
        <v>1998465</v>
      </c>
      <c r="C7107" s="0" t="n">
        <v>1998485</v>
      </c>
      <c r="D7107" s="0" t="s">
        <v>23760</v>
      </c>
      <c r="E7107" s="0" t="s">
        <v>89</v>
      </c>
      <c r="F7107" s="0" t="s">
        <v>90</v>
      </c>
      <c r="G7107" s="0" t="s">
        <v>36</v>
      </c>
      <c r="H7107" s="0" t="n">
        <v>29</v>
      </c>
      <c r="I7107" s="0" t="s">
        <v>23764</v>
      </c>
      <c r="J7107" s="0" t="s">
        <v>23765</v>
      </c>
      <c r="K7107" s="0" t="s">
        <v>23766</v>
      </c>
      <c r="L7107" s="0" t="str">
        <f aca="false">HYPERLINK("https://www.ncbi.nlm.nih.gov/nuccore/CP000304.1?report=graph&amp;tracks=[key:gene_model_track,Options:GeneOnly]&amp;mk=1998488:1998507|offset_7|444444,1998466:1998485|offset_29|00cc00,1998436:1998455|offset_59|444444,1998412:1998431|offset_83|444444&amp;v=1998287:1998631&amp;c=444444", "offset 29")</f>
        <v>offset 29</v>
      </c>
    </row>
    <row r="7108" customFormat="false" ht="12.8" hidden="false" customHeight="false" outlineLevel="0" collapsed="false">
      <c r="A7108" s="0" t="s">
        <v>12</v>
      </c>
      <c r="B7108" s="0" t="n">
        <v>1998435</v>
      </c>
      <c r="C7108" s="0" t="n">
        <v>1998455</v>
      </c>
      <c r="D7108" s="0" t="s">
        <v>23760</v>
      </c>
      <c r="E7108" s="0" t="s">
        <v>89</v>
      </c>
      <c r="F7108" s="0" t="s">
        <v>90</v>
      </c>
      <c r="G7108" s="0" t="s">
        <v>32</v>
      </c>
      <c r="H7108" s="0" t="n">
        <v>59</v>
      </c>
      <c r="I7108" s="0" t="s">
        <v>23767</v>
      </c>
      <c r="J7108" s="0" t="s">
        <v>23768</v>
      </c>
      <c r="K7108" s="0" t="s">
        <v>23769</v>
      </c>
      <c r="L7108" s="0" t="str">
        <f aca="false">HYPERLINK("https://www.ncbi.nlm.nih.gov/nuccore/CP000304.1?report=graph&amp;tracks=[key:gene_model_track,Options:GeneOnly]&amp;mk=1998488:1998507|offset_7|444444,1998466:1998485|offset_29|444444,1998436:1998455|offset_59|00cc00,1998412:1998431|offset_83|444444&amp;v=1998287:1998631&amp;c=444444", "offset 59")</f>
        <v>offset 59</v>
      </c>
    </row>
    <row r="7109" customFormat="false" ht="12.8" hidden="false" customHeight="false" outlineLevel="0" collapsed="false">
      <c r="A7109" s="0" t="s">
        <v>12</v>
      </c>
      <c r="B7109" s="0" t="n">
        <v>1998411</v>
      </c>
      <c r="C7109" s="0" t="n">
        <v>1998431</v>
      </c>
      <c r="D7109" s="0" t="s">
        <v>23760</v>
      </c>
      <c r="E7109" s="0" t="s">
        <v>89</v>
      </c>
      <c r="F7109" s="0" t="s">
        <v>90</v>
      </c>
      <c r="G7109" s="0" t="s">
        <v>36</v>
      </c>
      <c r="H7109" s="0" t="n">
        <v>83</v>
      </c>
      <c r="I7109" s="0" t="s">
        <v>23770</v>
      </c>
      <c r="J7109" s="0" t="s">
        <v>23771</v>
      </c>
      <c r="K7109" s="0" t="s">
        <v>23772</v>
      </c>
      <c r="L7109" s="0" t="str">
        <f aca="false">HYPERLINK("https://www.ncbi.nlm.nih.gov/nuccore/CP000304.1?report=graph&amp;tracks=[key:gene_model_track,Options:GeneOnly]&amp;mk=1998488:1998507|offset_7|444444,1998466:1998485|offset_29|444444,1998436:1998455|offset_59|444444,1998412:1998431|offset_83|00cc00&amp;v=1998287:1998631&amp;c=444444", "offset 83")</f>
        <v>offset 83</v>
      </c>
    </row>
    <row r="7110" customFormat="false" ht="12.8" hidden="false" customHeight="false" outlineLevel="0" collapsed="false">
      <c r="A7110" s="0" t="s">
        <v>12</v>
      </c>
      <c r="B7110" s="0" t="n">
        <v>2000075</v>
      </c>
      <c r="C7110" s="0" t="n">
        <v>2000095</v>
      </c>
      <c r="D7110" s="0" t="s">
        <v>23773</v>
      </c>
      <c r="E7110" s="0" t="s">
        <v>89</v>
      </c>
      <c r="F7110" s="0" t="s">
        <v>90</v>
      </c>
      <c r="G7110" s="0" t="s">
        <v>36</v>
      </c>
      <c r="H7110" s="0" t="n">
        <v>14</v>
      </c>
      <c r="I7110" s="0" t="s">
        <v>23774</v>
      </c>
      <c r="J7110" s="0" t="s">
        <v>23775</v>
      </c>
      <c r="K7110" s="0" t="s">
        <v>23776</v>
      </c>
      <c r="L7110" s="0" t="str">
        <f aca="false">HYPERLINK("https://www.ncbi.nlm.nih.gov/nuccore/CP000304.1?report=graph&amp;tracks=[key:gene_model_track,Options:GeneOnly]&amp;mk=2000076:2000095|offset_14|00cc00,2000056:2000075|offset_34|444444,2000033:2000052|offset_57|444444,1999998:2000017|offset_92|444444&amp;v=1999875:2000217&amp;c=444444", "offset 14")</f>
        <v>offset 14</v>
      </c>
    </row>
    <row r="7111" customFormat="false" ht="12.8" hidden="false" customHeight="false" outlineLevel="0" collapsed="false">
      <c r="A7111" s="0" t="s">
        <v>12</v>
      </c>
      <c r="B7111" s="0" t="n">
        <v>2000055</v>
      </c>
      <c r="C7111" s="0" t="n">
        <v>2000075</v>
      </c>
      <c r="D7111" s="0" t="s">
        <v>23773</v>
      </c>
      <c r="E7111" s="0" t="s">
        <v>89</v>
      </c>
      <c r="F7111" s="0" t="s">
        <v>90</v>
      </c>
      <c r="G7111" s="0" t="s">
        <v>36</v>
      </c>
      <c r="H7111" s="0" t="n">
        <v>34</v>
      </c>
      <c r="I7111" s="0" t="s">
        <v>23777</v>
      </c>
      <c r="J7111" s="0" t="s">
        <v>23778</v>
      </c>
      <c r="K7111" s="0" t="s">
        <v>23779</v>
      </c>
      <c r="L7111" s="0" t="str">
        <f aca="false">HYPERLINK("https://www.ncbi.nlm.nih.gov/nuccore/CP000304.1?report=graph&amp;tracks=[key:gene_model_track,Options:GeneOnly]&amp;mk=2000076:2000095|offset_14|444444,2000056:2000075|offset_34|00cc00,2000033:2000052|offset_57|444444,1999998:2000017|offset_92|444444&amp;v=1999875:2000217&amp;c=444444", "offset 34")</f>
        <v>offset 34</v>
      </c>
    </row>
    <row r="7112" customFormat="false" ht="12.8" hidden="false" customHeight="false" outlineLevel="0" collapsed="false">
      <c r="A7112" s="0" t="s">
        <v>12</v>
      </c>
      <c r="B7112" s="0" t="n">
        <v>2000032</v>
      </c>
      <c r="C7112" s="0" t="n">
        <v>2000052</v>
      </c>
      <c r="D7112" s="0" t="s">
        <v>23773</v>
      </c>
      <c r="E7112" s="0" t="s">
        <v>89</v>
      </c>
      <c r="F7112" s="0" t="s">
        <v>90</v>
      </c>
      <c r="G7112" s="0" t="s">
        <v>16</v>
      </c>
      <c r="H7112" s="0" t="n">
        <v>57</v>
      </c>
      <c r="I7112" s="0" t="s">
        <v>23780</v>
      </c>
      <c r="J7112" s="0" t="s">
        <v>23781</v>
      </c>
      <c r="K7112" s="0" t="s">
        <v>23782</v>
      </c>
      <c r="L7112" s="0" t="str">
        <f aca="false">HYPERLINK("https://www.ncbi.nlm.nih.gov/nuccore/CP000304.1?report=graph&amp;tracks=[key:gene_model_track,Options:GeneOnly]&amp;mk=2000076:2000095|offset_14|444444,2000056:2000075|offset_34|444444,2000033:2000052|offset_57|00cc00,1999998:2000017|offset_92|444444&amp;v=1999875:2000217&amp;c=444444", "offset 57")</f>
        <v>offset 57</v>
      </c>
    </row>
    <row r="7113" customFormat="false" ht="12.8" hidden="false" customHeight="false" outlineLevel="0" collapsed="false">
      <c r="A7113" s="0" t="s">
        <v>12</v>
      </c>
      <c r="B7113" s="0" t="n">
        <v>1999997</v>
      </c>
      <c r="C7113" s="0" t="n">
        <v>2000017</v>
      </c>
      <c r="D7113" s="0" t="s">
        <v>23773</v>
      </c>
      <c r="E7113" s="0" t="s">
        <v>89</v>
      </c>
      <c r="F7113" s="0" t="s">
        <v>90</v>
      </c>
      <c r="G7113" s="0" t="s">
        <v>26</v>
      </c>
      <c r="H7113" s="0" t="n">
        <v>92</v>
      </c>
      <c r="I7113" s="0" t="s">
        <v>23783</v>
      </c>
      <c r="J7113" s="0" t="s">
        <v>23784</v>
      </c>
      <c r="K7113" s="0" t="s">
        <v>23785</v>
      </c>
      <c r="L7113" s="0" t="str">
        <f aca="false">HYPERLINK("https://www.ncbi.nlm.nih.gov/nuccore/CP000304.1?report=graph&amp;tracks=[key:gene_model_track,Options:GeneOnly]&amp;mk=2000076:2000095|offset_14|444444,2000056:2000075|offset_34|444444,2000033:2000052|offset_57|444444,1999998:2000017|offset_92|00cc00&amp;v=1999875:2000217&amp;c=444444", "offset 92")</f>
        <v>offset 92</v>
      </c>
    </row>
    <row r="7114" customFormat="false" ht="12.8" hidden="false" customHeight="false" outlineLevel="0" collapsed="false">
      <c r="A7114" s="0" t="s">
        <v>12</v>
      </c>
      <c r="B7114" s="0" t="n">
        <v>2000518</v>
      </c>
      <c r="C7114" s="0" t="n">
        <v>2000538</v>
      </c>
      <c r="D7114" s="0" t="s">
        <v>23786</v>
      </c>
      <c r="E7114" s="0" t="s">
        <v>89</v>
      </c>
      <c r="F7114" s="0" t="s">
        <v>90</v>
      </c>
      <c r="G7114" s="0" t="s">
        <v>36</v>
      </c>
      <c r="H7114" s="0" t="n">
        <v>6</v>
      </c>
      <c r="I7114" s="0" t="s">
        <v>23787</v>
      </c>
      <c r="J7114" s="0" t="s">
        <v>23788</v>
      </c>
      <c r="K7114" s="0" t="s">
        <v>23789</v>
      </c>
      <c r="L7114" s="0" t="str">
        <f aca="false">HYPERLINK("https://www.ncbi.nlm.nih.gov/nuccore/CP000304.1?report=graph&amp;tracks=[key:gene_model_track,Options:GeneOnly]&amp;mk=2000519:2000538|offset_6|00cc00,2000494:2000513|offset_31|444444,2000456:2000475|offset_69|444444,2000434:2000453|offset_91|444444&amp;v=2000318:2000653&amp;c=444444", "offset 6")</f>
        <v>offset 6</v>
      </c>
    </row>
    <row r="7115" customFormat="false" ht="12.8" hidden="false" customHeight="false" outlineLevel="0" collapsed="false">
      <c r="A7115" s="0" t="s">
        <v>12</v>
      </c>
      <c r="B7115" s="0" t="n">
        <v>2000493</v>
      </c>
      <c r="C7115" s="0" t="n">
        <v>2000513</v>
      </c>
      <c r="D7115" s="0" t="s">
        <v>23786</v>
      </c>
      <c r="E7115" s="0" t="s">
        <v>89</v>
      </c>
      <c r="F7115" s="0" t="s">
        <v>90</v>
      </c>
      <c r="G7115" s="0" t="s">
        <v>16</v>
      </c>
      <c r="H7115" s="0" t="n">
        <v>31</v>
      </c>
      <c r="I7115" s="0" t="s">
        <v>23790</v>
      </c>
      <c r="J7115" s="0" t="s">
        <v>23791</v>
      </c>
      <c r="K7115" s="0" t="s">
        <v>23792</v>
      </c>
      <c r="L7115" s="0" t="str">
        <f aca="false">HYPERLINK("https://www.ncbi.nlm.nih.gov/nuccore/CP000304.1?report=graph&amp;tracks=[key:gene_model_track,Options:GeneOnly]&amp;mk=2000519:2000538|offset_6|444444,2000494:2000513|offset_31|00cc00,2000456:2000475|offset_69|444444,2000434:2000453|offset_91|444444&amp;v=2000318:2000653&amp;c=444444", "offset 31")</f>
        <v>offset 31</v>
      </c>
    </row>
    <row r="7116" customFormat="false" ht="12.8" hidden="false" customHeight="false" outlineLevel="0" collapsed="false">
      <c r="A7116" s="0" t="s">
        <v>12</v>
      </c>
      <c r="B7116" s="0" t="n">
        <v>2000455</v>
      </c>
      <c r="C7116" s="0" t="n">
        <v>2000475</v>
      </c>
      <c r="D7116" s="0" t="s">
        <v>23786</v>
      </c>
      <c r="E7116" s="0" t="s">
        <v>89</v>
      </c>
      <c r="F7116" s="0" t="s">
        <v>90</v>
      </c>
      <c r="G7116" s="0" t="s">
        <v>16</v>
      </c>
      <c r="H7116" s="0" t="n">
        <v>69</v>
      </c>
      <c r="I7116" s="0" t="s">
        <v>23793</v>
      </c>
      <c r="J7116" s="0" t="s">
        <v>23794</v>
      </c>
      <c r="K7116" s="0" t="s">
        <v>23795</v>
      </c>
      <c r="L7116" s="0" t="str">
        <f aca="false">HYPERLINK("https://www.ncbi.nlm.nih.gov/nuccore/CP000304.1?report=graph&amp;tracks=[key:gene_model_track,Options:GeneOnly]&amp;mk=2000519:2000538|offset_6|444444,2000494:2000513|offset_31|444444,2000456:2000475|offset_69|00cc00,2000434:2000453|offset_91|444444&amp;v=2000318:2000653&amp;c=444444", "offset 69")</f>
        <v>offset 69</v>
      </c>
    </row>
    <row r="7117" customFormat="false" ht="12.8" hidden="false" customHeight="false" outlineLevel="0" collapsed="false">
      <c r="A7117" s="0" t="s">
        <v>12</v>
      </c>
      <c r="B7117" s="0" t="n">
        <v>2000433</v>
      </c>
      <c r="C7117" s="0" t="n">
        <v>2000453</v>
      </c>
      <c r="D7117" s="0" t="s">
        <v>23786</v>
      </c>
      <c r="E7117" s="0" t="s">
        <v>89</v>
      </c>
      <c r="F7117" s="0" t="s">
        <v>90</v>
      </c>
      <c r="G7117" s="0" t="s">
        <v>32</v>
      </c>
      <c r="H7117" s="0" t="n">
        <v>91</v>
      </c>
      <c r="I7117" s="0" t="s">
        <v>23796</v>
      </c>
      <c r="J7117" s="0" t="s">
        <v>23797</v>
      </c>
      <c r="K7117" s="0" t="s">
        <v>23798</v>
      </c>
      <c r="L7117" s="0" t="str">
        <f aca="false">HYPERLINK("https://www.ncbi.nlm.nih.gov/nuccore/CP000304.1?report=graph&amp;tracks=[key:gene_model_track,Options:GeneOnly]&amp;mk=2000519:2000538|offset_6|444444,2000494:2000513|offset_31|444444,2000456:2000475|offset_69|444444,2000434:2000453|offset_91|00cc00&amp;v=2000318:2000653&amp;c=444444", "offset 91")</f>
        <v>offset 91</v>
      </c>
    </row>
    <row r="7118" customFormat="false" ht="12.8" hidden="false" customHeight="false" outlineLevel="0" collapsed="false">
      <c r="A7118" s="0" t="s">
        <v>12</v>
      </c>
      <c r="B7118" s="0" t="n">
        <v>2001481</v>
      </c>
      <c r="C7118" s="0" t="n">
        <v>2001501</v>
      </c>
      <c r="D7118" s="0" t="s">
        <v>23799</v>
      </c>
      <c r="E7118" s="0" t="s">
        <v>89</v>
      </c>
      <c r="F7118" s="0" t="s">
        <v>90</v>
      </c>
      <c r="G7118" s="0" t="s">
        <v>32</v>
      </c>
      <c r="H7118" s="0" t="n">
        <v>0</v>
      </c>
      <c r="I7118" s="0" t="s">
        <v>23800</v>
      </c>
      <c r="J7118" s="0" t="s">
        <v>23801</v>
      </c>
      <c r="K7118" s="0" t="s">
        <v>23802</v>
      </c>
      <c r="L7118" s="0" t="str">
        <f aca="false">HYPERLINK("https://www.ncbi.nlm.nih.gov/nuccore/CP000304.1?report=graph&amp;tracks=[key:gene_model_track,Options:GeneOnly]&amp;mk=2001482:2001501|offset_0|00cc00,2001438:2001457|offset_44|444444,2001415:2001434|offset_67|444444,2001385:2001404|offset_97|444444&amp;v=2001281:2001604&amp;c=444444", "offset 0")</f>
        <v>offset 0</v>
      </c>
    </row>
    <row r="7119" customFormat="false" ht="12.8" hidden="false" customHeight="false" outlineLevel="0" collapsed="false">
      <c r="A7119" s="0" t="s">
        <v>12</v>
      </c>
      <c r="B7119" s="0" t="n">
        <v>2001437</v>
      </c>
      <c r="C7119" s="0" t="n">
        <v>2001457</v>
      </c>
      <c r="D7119" s="0" t="s">
        <v>23799</v>
      </c>
      <c r="E7119" s="0" t="s">
        <v>89</v>
      </c>
      <c r="F7119" s="0" t="s">
        <v>90</v>
      </c>
      <c r="G7119" s="0" t="s">
        <v>26</v>
      </c>
      <c r="H7119" s="0" t="n">
        <v>44</v>
      </c>
      <c r="I7119" s="0" t="s">
        <v>23803</v>
      </c>
      <c r="J7119" s="0" t="s">
        <v>23804</v>
      </c>
      <c r="K7119" s="0" t="s">
        <v>23805</v>
      </c>
      <c r="L7119" s="0" t="str">
        <f aca="false">HYPERLINK("https://www.ncbi.nlm.nih.gov/nuccore/CP000304.1?report=graph&amp;tracks=[key:gene_model_track,Options:GeneOnly]&amp;mk=2001482:2001501|offset_0|444444,2001438:2001457|offset_44|00cc00,2001415:2001434|offset_67|444444,2001385:2001404|offset_97|444444&amp;v=2001281:2001604&amp;c=444444", "offset 44")</f>
        <v>offset 44</v>
      </c>
    </row>
    <row r="7120" customFormat="false" ht="12.8" hidden="false" customHeight="false" outlineLevel="0" collapsed="false">
      <c r="A7120" s="0" t="s">
        <v>12</v>
      </c>
      <c r="B7120" s="0" t="n">
        <v>2001414</v>
      </c>
      <c r="C7120" s="0" t="n">
        <v>2001434</v>
      </c>
      <c r="D7120" s="0" t="s">
        <v>23799</v>
      </c>
      <c r="E7120" s="0" t="s">
        <v>89</v>
      </c>
      <c r="F7120" s="0" t="s">
        <v>90</v>
      </c>
      <c r="G7120" s="0" t="s">
        <v>32</v>
      </c>
      <c r="H7120" s="0" t="n">
        <v>67</v>
      </c>
      <c r="I7120" s="0" t="s">
        <v>23806</v>
      </c>
      <c r="J7120" s="0" t="s">
        <v>23807</v>
      </c>
      <c r="K7120" s="0" t="s">
        <v>23808</v>
      </c>
      <c r="L7120" s="0" t="str">
        <f aca="false">HYPERLINK("https://www.ncbi.nlm.nih.gov/nuccore/CP000304.1?report=graph&amp;tracks=[key:gene_model_track,Options:GeneOnly]&amp;mk=2001482:2001501|offset_0|444444,2001438:2001457|offset_44|444444,2001415:2001434|offset_67|00cc00,2001385:2001404|offset_97|444444&amp;v=2001281:2001604&amp;c=444444", "offset 67")</f>
        <v>offset 67</v>
      </c>
    </row>
    <row r="7121" customFormat="false" ht="12.8" hidden="false" customHeight="false" outlineLevel="0" collapsed="false">
      <c r="A7121" s="0" t="s">
        <v>12</v>
      </c>
      <c r="B7121" s="0" t="n">
        <v>2001384</v>
      </c>
      <c r="C7121" s="0" t="n">
        <v>2001404</v>
      </c>
      <c r="D7121" s="0" t="s">
        <v>23799</v>
      </c>
      <c r="E7121" s="0" t="s">
        <v>89</v>
      </c>
      <c r="F7121" s="0" t="s">
        <v>90</v>
      </c>
      <c r="G7121" s="0" t="s">
        <v>26</v>
      </c>
      <c r="H7121" s="0" t="n">
        <v>97</v>
      </c>
      <c r="I7121" s="0" t="s">
        <v>23809</v>
      </c>
      <c r="J7121" s="0" t="s">
        <v>23810</v>
      </c>
      <c r="K7121" s="0" t="s">
        <v>23811</v>
      </c>
      <c r="L7121" s="0" t="str">
        <f aca="false">HYPERLINK("https://www.ncbi.nlm.nih.gov/nuccore/CP000304.1?report=graph&amp;tracks=[key:gene_model_track,Options:GeneOnly]&amp;mk=2001482:2001501|offset_0|444444,2001438:2001457|offset_44|444444,2001415:2001434|offset_67|444444,2001385:2001404|offset_97|00cc00&amp;v=2001281:2001604&amp;c=444444", "offset 97")</f>
        <v>offset 97</v>
      </c>
    </row>
    <row r="7122" customFormat="false" ht="12.8" hidden="false" customHeight="false" outlineLevel="0" collapsed="false">
      <c r="A7122" s="0" t="s">
        <v>12</v>
      </c>
      <c r="B7122" s="0" t="n">
        <v>2001691</v>
      </c>
      <c r="C7122" s="0" t="n">
        <v>2001711</v>
      </c>
      <c r="D7122" s="0" t="s">
        <v>23812</v>
      </c>
      <c r="E7122" s="0" t="s">
        <v>23813</v>
      </c>
      <c r="F7122" s="0" t="s">
        <v>15</v>
      </c>
      <c r="G7122" s="0" t="s">
        <v>32</v>
      </c>
      <c r="H7122" s="0" t="n">
        <v>1</v>
      </c>
      <c r="I7122" s="0" t="s">
        <v>23814</v>
      </c>
      <c r="J7122" s="0" t="s">
        <v>23815</v>
      </c>
      <c r="K7122" s="0" t="s">
        <v>23816</v>
      </c>
      <c r="L7122" s="0" t="str">
        <f aca="false">HYPERLINK("https://www.ncbi.nlm.nih.gov/nuccore/CP000304.1?report=graph&amp;tracks=[key:gene_model_track,Options:GeneOnly]&amp;mk=2001692:2001711|offset_1|00cc00,2001718:2001737|offset_27|444444,2001741:2001760|offset_50|444444,2001762:2001781|offset_71|444444&amp;v=2001491:2001981&amp;c=444444", "offset 1")</f>
        <v>offset 1</v>
      </c>
    </row>
    <row r="7123" customFormat="false" ht="12.8" hidden="false" customHeight="false" outlineLevel="0" collapsed="false">
      <c r="A7123" s="0" t="s">
        <v>12</v>
      </c>
      <c r="B7123" s="0" t="n">
        <v>2001717</v>
      </c>
      <c r="C7123" s="0" t="n">
        <v>2001737</v>
      </c>
      <c r="D7123" s="0" t="s">
        <v>23812</v>
      </c>
      <c r="E7123" s="0" t="s">
        <v>23813</v>
      </c>
      <c r="F7123" s="0" t="s">
        <v>15</v>
      </c>
      <c r="G7123" s="0" t="s">
        <v>32</v>
      </c>
      <c r="H7123" s="0" t="n">
        <v>27</v>
      </c>
      <c r="I7123" s="0" t="s">
        <v>23817</v>
      </c>
      <c r="J7123" s="0" t="s">
        <v>23818</v>
      </c>
      <c r="K7123" s="0" t="s">
        <v>23819</v>
      </c>
      <c r="L7123" s="0" t="str">
        <f aca="false">HYPERLINK("https://www.ncbi.nlm.nih.gov/nuccore/CP000304.1?report=graph&amp;tracks=[key:gene_model_track,Options:GeneOnly]&amp;mk=2001692:2001711|offset_1|444444,2001718:2001737|offset_27|00cc00,2001741:2001760|offset_50|444444,2001762:2001781|offset_71|444444&amp;v=2001491:2001981&amp;c=444444", "offset 27")</f>
        <v>offset 27</v>
      </c>
    </row>
    <row r="7124" customFormat="false" ht="12.8" hidden="false" customHeight="false" outlineLevel="0" collapsed="false">
      <c r="A7124" s="0" t="s">
        <v>12</v>
      </c>
      <c r="B7124" s="0" t="n">
        <v>2001740</v>
      </c>
      <c r="C7124" s="0" t="n">
        <v>2001760</v>
      </c>
      <c r="D7124" s="0" t="s">
        <v>23812</v>
      </c>
      <c r="E7124" s="0" t="s">
        <v>23813</v>
      </c>
      <c r="F7124" s="0" t="s">
        <v>15</v>
      </c>
      <c r="G7124" s="0" t="s">
        <v>26</v>
      </c>
      <c r="H7124" s="0" t="n">
        <v>50</v>
      </c>
      <c r="I7124" s="0" t="s">
        <v>23820</v>
      </c>
      <c r="J7124" s="0" t="s">
        <v>23821</v>
      </c>
      <c r="K7124" s="0" t="s">
        <v>23822</v>
      </c>
      <c r="L7124" s="0" t="str">
        <f aca="false">HYPERLINK("https://www.ncbi.nlm.nih.gov/nuccore/CP000304.1?report=graph&amp;tracks=[key:gene_model_track,Options:GeneOnly]&amp;mk=2001692:2001711|offset_1|444444,2001718:2001737|offset_27|444444,2001741:2001760|offset_50|00cc00,2001762:2001781|offset_71|444444&amp;v=2001491:2001981&amp;c=444444", "offset 50")</f>
        <v>offset 50</v>
      </c>
    </row>
    <row r="7125" customFormat="false" ht="12.8" hidden="false" customHeight="false" outlineLevel="0" collapsed="false">
      <c r="A7125" s="0" t="s">
        <v>12</v>
      </c>
      <c r="B7125" s="0" t="n">
        <v>2001761</v>
      </c>
      <c r="C7125" s="0" t="n">
        <v>2001781</v>
      </c>
      <c r="D7125" s="0" t="s">
        <v>23812</v>
      </c>
      <c r="E7125" s="0" t="s">
        <v>23813</v>
      </c>
      <c r="F7125" s="0" t="s">
        <v>15</v>
      </c>
      <c r="G7125" s="0" t="s">
        <v>16</v>
      </c>
      <c r="H7125" s="0" t="n">
        <v>71</v>
      </c>
      <c r="I7125" s="0" t="s">
        <v>23823</v>
      </c>
      <c r="J7125" s="0" t="s">
        <v>23824</v>
      </c>
      <c r="K7125" s="0" t="s">
        <v>23825</v>
      </c>
      <c r="L7125" s="0" t="str">
        <f aca="false">HYPERLINK("https://www.ncbi.nlm.nih.gov/nuccore/CP000304.1?report=graph&amp;tracks=[key:gene_model_track,Options:GeneOnly]&amp;mk=2001692:2001711|offset_1|444444,2001718:2001737|offset_27|444444,2001741:2001760|offset_50|444444,2001762:2001781|offset_71|00cc00&amp;v=2001491:2001981&amp;c=444444", "offset 71")</f>
        <v>offset 71</v>
      </c>
    </row>
    <row r="7126" customFormat="false" ht="12.8" hidden="false" customHeight="false" outlineLevel="0" collapsed="false">
      <c r="A7126" s="0" t="s">
        <v>12</v>
      </c>
      <c r="B7126" s="0" t="n">
        <v>2002948</v>
      </c>
      <c r="C7126" s="0" t="n">
        <v>2002968</v>
      </c>
      <c r="D7126" s="0" t="s">
        <v>23826</v>
      </c>
      <c r="E7126" s="0" t="s">
        <v>89</v>
      </c>
      <c r="F7126" s="0" t="s">
        <v>15</v>
      </c>
      <c r="G7126" s="0" t="s">
        <v>16</v>
      </c>
      <c r="H7126" s="0" t="n">
        <v>28</v>
      </c>
      <c r="I7126" s="0" t="s">
        <v>23827</v>
      </c>
      <c r="J7126" s="0" t="s">
        <v>23828</v>
      </c>
      <c r="K7126" s="0" t="s">
        <v>23829</v>
      </c>
      <c r="L7126" s="0" t="str">
        <f aca="false">HYPERLINK("https://www.ncbi.nlm.nih.gov/nuccore/CP000304.1?report=graph&amp;tracks=[key:gene_model_track,Options:GeneOnly]&amp;mk=2002949:2002968|offset_28|00cc00,2002972:2002991|offset_51|444444,2003016:2003035|offset_95|444444,2003036:2003055|offset_115|444444&amp;v=2002748:2003255&amp;c=444444", "offset 28")</f>
        <v>offset 28</v>
      </c>
    </row>
    <row r="7127" customFormat="false" ht="12.8" hidden="false" customHeight="false" outlineLevel="0" collapsed="false">
      <c r="A7127" s="0" t="s">
        <v>12</v>
      </c>
      <c r="B7127" s="0" t="n">
        <v>2002971</v>
      </c>
      <c r="C7127" s="0" t="n">
        <v>2002991</v>
      </c>
      <c r="D7127" s="0" t="s">
        <v>23826</v>
      </c>
      <c r="E7127" s="0" t="s">
        <v>89</v>
      </c>
      <c r="F7127" s="0" t="s">
        <v>15</v>
      </c>
      <c r="G7127" s="0" t="s">
        <v>36</v>
      </c>
      <c r="H7127" s="0" t="n">
        <v>51</v>
      </c>
      <c r="I7127" s="0" t="s">
        <v>23830</v>
      </c>
      <c r="J7127" s="0" t="s">
        <v>23831</v>
      </c>
      <c r="K7127" s="0" t="s">
        <v>23832</v>
      </c>
      <c r="L7127" s="0" t="str">
        <f aca="false">HYPERLINK("https://www.ncbi.nlm.nih.gov/nuccore/CP000304.1?report=graph&amp;tracks=[key:gene_model_track,Options:GeneOnly]&amp;mk=2002949:2002968|offset_28|444444,2002972:2002991|offset_51|00cc00,2003016:2003035|offset_95|444444,2003036:2003055|offset_115|444444&amp;v=2002748:2003255&amp;c=444444", "offset 51")</f>
        <v>offset 51</v>
      </c>
    </row>
    <row r="7128" customFormat="false" ht="12.8" hidden="false" customHeight="false" outlineLevel="0" collapsed="false">
      <c r="A7128" s="0" t="s">
        <v>12</v>
      </c>
      <c r="B7128" s="0" t="n">
        <v>2003015</v>
      </c>
      <c r="C7128" s="0" t="n">
        <v>2003035</v>
      </c>
      <c r="D7128" s="0" t="s">
        <v>23826</v>
      </c>
      <c r="E7128" s="0" t="s">
        <v>89</v>
      </c>
      <c r="F7128" s="0" t="s">
        <v>15</v>
      </c>
      <c r="G7128" s="0" t="s">
        <v>36</v>
      </c>
      <c r="H7128" s="0" t="n">
        <v>95</v>
      </c>
      <c r="I7128" s="0" t="s">
        <v>23833</v>
      </c>
      <c r="J7128" s="0" t="s">
        <v>23834</v>
      </c>
      <c r="K7128" s="0" t="s">
        <v>23835</v>
      </c>
      <c r="L7128" s="0" t="str">
        <f aca="false">HYPERLINK("https://www.ncbi.nlm.nih.gov/nuccore/CP000304.1?report=graph&amp;tracks=[key:gene_model_track,Options:GeneOnly]&amp;mk=2002949:2002968|offset_28|444444,2002972:2002991|offset_51|444444,2003016:2003035|offset_95|00cc00,2003036:2003055|offset_115|444444&amp;v=2002748:2003255&amp;c=444444", "offset 95")</f>
        <v>offset 95</v>
      </c>
    </row>
    <row r="7129" customFormat="false" ht="12.8" hidden="false" customHeight="false" outlineLevel="0" collapsed="false">
      <c r="A7129" s="0" t="s">
        <v>12</v>
      </c>
      <c r="B7129" s="0" t="n">
        <v>2003035</v>
      </c>
      <c r="C7129" s="0" t="n">
        <v>2003055</v>
      </c>
      <c r="D7129" s="0" t="s">
        <v>23826</v>
      </c>
      <c r="E7129" s="0" t="s">
        <v>89</v>
      </c>
      <c r="F7129" s="0" t="s">
        <v>15</v>
      </c>
      <c r="G7129" s="0" t="s">
        <v>32</v>
      </c>
      <c r="H7129" s="0" t="n">
        <v>115</v>
      </c>
      <c r="I7129" s="0" t="s">
        <v>23836</v>
      </c>
      <c r="J7129" s="0" t="s">
        <v>23837</v>
      </c>
      <c r="K7129" s="0" t="s">
        <v>23838</v>
      </c>
      <c r="L7129" s="0" t="str">
        <f aca="false">HYPERLINK("https://www.ncbi.nlm.nih.gov/nuccore/CP000304.1?report=graph&amp;tracks=[key:gene_model_track,Options:GeneOnly]&amp;mk=2002949:2002968|offset_28|444444,2002972:2002991|offset_51|444444,2003016:2003035|offset_95|444444,2003036:2003055|offset_115|00cc00&amp;v=2002748:2003255&amp;c=444444", "offset 115")</f>
        <v>offset 115</v>
      </c>
    </row>
    <row r="7130" customFormat="false" ht="12.8" hidden="false" customHeight="false" outlineLevel="0" collapsed="false">
      <c r="A7130" s="0" t="s">
        <v>12</v>
      </c>
      <c r="B7130" s="0" t="n">
        <v>2006638</v>
      </c>
      <c r="C7130" s="0" t="n">
        <v>2006658</v>
      </c>
      <c r="D7130" s="0" t="s">
        <v>23839</v>
      </c>
      <c r="E7130" s="0" t="s">
        <v>23840</v>
      </c>
      <c r="F7130" s="0" t="s">
        <v>15</v>
      </c>
      <c r="G7130" s="0" t="s">
        <v>16</v>
      </c>
      <c r="H7130" s="0" t="n">
        <v>55</v>
      </c>
      <c r="I7130" s="0" t="s">
        <v>23841</v>
      </c>
      <c r="J7130" s="0" t="s">
        <v>23842</v>
      </c>
      <c r="K7130" s="0" t="s">
        <v>23843</v>
      </c>
      <c r="L7130" s="0" t="str">
        <f aca="false">HYPERLINK("https://www.ncbi.nlm.nih.gov/nuccore/CP000304.1?report=graph&amp;tracks=[key:gene_model_track,Options:GeneOnly]&amp;mk=2006639:2006658|offset_55|00cc00,2006706:2006725|offset_122|444444,2006726:2006745|offset_142|444444,2006758:2006777|offset_174|444444&amp;v=2006438:2006977&amp;c=444444", "offset 55")</f>
        <v>offset 55</v>
      </c>
    </row>
    <row r="7131" customFormat="false" ht="12.8" hidden="false" customHeight="false" outlineLevel="0" collapsed="false">
      <c r="A7131" s="0" t="s">
        <v>12</v>
      </c>
      <c r="B7131" s="0" t="n">
        <v>2006705</v>
      </c>
      <c r="C7131" s="0" t="n">
        <v>2006725</v>
      </c>
      <c r="D7131" s="0" t="s">
        <v>23839</v>
      </c>
      <c r="E7131" s="0" t="s">
        <v>23840</v>
      </c>
      <c r="F7131" s="0" t="s">
        <v>15</v>
      </c>
      <c r="G7131" s="0" t="s">
        <v>16</v>
      </c>
      <c r="H7131" s="0" t="n">
        <v>122</v>
      </c>
      <c r="I7131" s="0" t="s">
        <v>23844</v>
      </c>
      <c r="J7131" s="0" t="s">
        <v>23845</v>
      </c>
      <c r="K7131" s="0" t="s">
        <v>23846</v>
      </c>
      <c r="L7131" s="0" t="str">
        <f aca="false">HYPERLINK("https://www.ncbi.nlm.nih.gov/nuccore/CP000304.1?report=graph&amp;tracks=[key:gene_model_track,Options:GeneOnly]&amp;mk=2006639:2006658|offset_55|444444,2006706:2006725|offset_122|00cc00,2006726:2006745|offset_142|444444,2006758:2006777|offset_174|444444&amp;v=2006438:2006977&amp;c=444444", "offset 122")</f>
        <v>offset 122</v>
      </c>
    </row>
    <row r="7132" customFormat="false" ht="12.8" hidden="false" customHeight="false" outlineLevel="0" collapsed="false">
      <c r="A7132" s="0" t="s">
        <v>12</v>
      </c>
      <c r="B7132" s="0" t="n">
        <v>2006725</v>
      </c>
      <c r="C7132" s="0" t="n">
        <v>2006745</v>
      </c>
      <c r="D7132" s="0" t="s">
        <v>23839</v>
      </c>
      <c r="E7132" s="0" t="s">
        <v>23840</v>
      </c>
      <c r="F7132" s="0" t="s">
        <v>15</v>
      </c>
      <c r="G7132" s="0" t="s">
        <v>16</v>
      </c>
      <c r="H7132" s="0" t="n">
        <v>142</v>
      </c>
      <c r="I7132" s="0" t="s">
        <v>23847</v>
      </c>
      <c r="J7132" s="0" t="s">
        <v>23848</v>
      </c>
      <c r="K7132" s="0" t="s">
        <v>23849</v>
      </c>
      <c r="L7132" s="0" t="str">
        <f aca="false">HYPERLINK("https://www.ncbi.nlm.nih.gov/nuccore/CP000304.1?report=graph&amp;tracks=[key:gene_model_track,Options:GeneOnly]&amp;mk=2006639:2006658|offset_55|444444,2006706:2006725|offset_122|444444,2006726:2006745|offset_142|00cc00,2006758:2006777|offset_174|444444&amp;v=2006438:2006977&amp;c=444444", "offset 142")</f>
        <v>offset 142</v>
      </c>
    </row>
    <row r="7133" customFormat="false" ht="12.8" hidden="false" customHeight="false" outlineLevel="0" collapsed="false">
      <c r="A7133" s="0" t="s">
        <v>12</v>
      </c>
      <c r="B7133" s="0" t="n">
        <v>2006757</v>
      </c>
      <c r="C7133" s="0" t="n">
        <v>2006777</v>
      </c>
      <c r="D7133" s="0" t="s">
        <v>23839</v>
      </c>
      <c r="E7133" s="0" t="s">
        <v>23840</v>
      </c>
      <c r="F7133" s="0" t="s">
        <v>15</v>
      </c>
      <c r="G7133" s="0" t="s">
        <v>16</v>
      </c>
      <c r="H7133" s="0" t="n">
        <v>174</v>
      </c>
      <c r="I7133" s="0" t="s">
        <v>23850</v>
      </c>
      <c r="J7133" s="0" t="s">
        <v>23851</v>
      </c>
      <c r="K7133" s="0" t="s">
        <v>23852</v>
      </c>
      <c r="L7133" s="0" t="str">
        <f aca="false">HYPERLINK("https://www.ncbi.nlm.nih.gov/nuccore/CP000304.1?report=graph&amp;tracks=[key:gene_model_track,Options:GeneOnly]&amp;mk=2006639:2006658|offset_55|444444,2006706:2006725|offset_122|444444,2006726:2006745|offset_142|444444,2006758:2006777|offset_174|00cc00&amp;v=2006438:2006977&amp;c=444444", "offset 174")</f>
        <v>offset 174</v>
      </c>
    </row>
    <row r="7134" customFormat="false" ht="12.8" hidden="false" customHeight="false" outlineLevel="0" collapsed="false">
      <c r="A7134" s="0" t="s">
        <v>12</v>
      </c>
      <c r="B7134" s="0" t="n">
        <v>2007672</v>
      </c>
      <c r="C7134" s="0" t="n">
        <v>2007692</v>
      </c>
      <c r="D7134" s="0" t="s">
        <v>23853</v>
      </c>
      <c r="E7134" s="0" t="s">
        <v>23854</v>
      </c>
      <c r="F7134" s="0" t="s">
        <v>15</v>
      </c>
      <c r="G7134" s="0" t="s">
        <v>36</v>
      </c>
      <c r="H7134" s="0" t="n">
        <v>24</v>
      </c>
      <c r="I7134" s="0" t="s">
        <v>23855</v>
      </c>
      <c r="J7134" s="0" t="s">
        <v>23856</v>
      </c>
      <c r="K7134" s="0" t="s">
        <v>23857</v>
      </c>
      <c r="L7134" s="0" t="str">
        <f aca="false">HYPERLINK("https://www.ncbi.nlm.nih.gov/nuccore/CP000304.1?report=graph&amp;tracks=[key:gene_model_track,Options:GeneOnly]&amp;mk=2007673:2007692|offset_24|00cc00,2007697:2007716|offset_48|444444,2007728:2007747|offset_79|444444,2007752:2007771|offset_103|444444&amp;v=2007472:2007971&amp;c=444444", "offset 24")</f>
        <v>offset 24</v>
      </c>
    </row>
    <row r="7135" customFormat="false" ht="12.8" hidden="false" customHeight="false" outlineLevel="0" collapsed="false">
      <c r="A7135" s="0" t="s">
        <v>12</v>
      </c>
      <c r="B7135" s="0" t="n">
        <v>2007696</v>
      </c>
      <c r="C7135" s="0" t="n">
        <v>2007716</v>
      </c>
      <c r="D7135" s="0" t="s">
        <v>23853</v>
      </c>
      <c r="E7135" s="0" t="s">
        <v>23854</v>
      </c>
      <c r="F7135" s="0" t="s">
        <v>15</v>
      </c>
      <c r="G7135" s="0" t="s">
        <v>26</v>
      </c>
      <c r="H7135" s="0" t="n">
        <v>48</v>
      </c>
      <c r="I7135" s="0" t="s">
        <v>23858</v>
      </c>
      <c r="J7135" s="0" t="s">
        <v>23859</v>
      </c>
      <c r="K7135" s="0" t="s">
        <v>23860</v>
      </c>
      <c r="L7135" s="0" t="str">
        <f aca="false">HYPERLINK("https://www.ncbi.nlm.nih.gov/nuccore/CP000304.1?report=graph&amp;tracks=[key:gene_model_track,Options:GeneOnly]&amp;mk=2007673:2007692|offset_24|444444,2007697:2007716|offset_48|00cc00,2007728:2007747|offset_79|444444,2007752:2007771|offset_103|444444&amp;v=2007472:2007971&amp;c=444444", "offset 48")</f>
        <v>offset 48</v>
      </c>
    </row>
    <row r="7136" customFormat="false" ht="12.8" hidden="false" customHeight="false" outlineLevel="0" collapsed="false">
      <c r="A7136" s="0" t="s">
        <v>12</v>
      </c>
      <c r="B7136" s="0" t="n">
        <v>2007727</v>
      </c>
      <c r="C7136" s="0" t="n">
        <v>2007747</v>
      </c>
      <c r="D7136" s="0" t="s">
        <v>23853</v>
      </c>
      <c r="E7136" s="0" t="s">
        <v>23854</v>
      </c>
      <c r="F7136" s="0" t="s">
        <v>15</v>
      </c>
      <c r="G7136" s="0" t="s">
        <v>16</v>
      </c>
      <c r="H7136" s="0" t="n">
        <v>79</v>
      </c>
      <c r="I7136" s="0" t="s">
        <v>23861</v>
      </c>
      <c r="J7136" s="0" t="s">
        <v>23862</v>
      </c>
      <c r="K7136" s="0" t="s">
        <v>23863</v>
      </c>
      <c r="L7136" s="0" t="str">
        <f aca="false">HYPERLINK("https://www.ncbi.nlm.nih.gov/nuccore/CP000304.1?report=graph&amp;tracks=[key:gene_model_track,Options:GeneOnly]&amp;mk=2007673:2007692|offset_24|444444,2007697:2007716|offset_48|444444,2007728:2007747|offset_79|00cc00,2007752:2007771|offset_103|444444&amp;v=2007472:2007971&amp;c=444444", "offset 79")</f>
        <v>offset 79</v>
      </c>
    </row>
    <row r="7137" customFormat="false" ht="12.8" hidden="false" customHeight="false" outlineLevel="0" collapsed="false">
      <c r="A7137" s="0" t="s">
        <v>12</v>
      </c>
      <c r="B7137" s="0" t="n">
        <v>2007751</v>
      </c>
      <c r="C7137" s="0" t="n">
        <v>2007771</v>
      </c>
      <c r="D7137" s="0" t="s">
        <v>23853</v>
      </c>
      <c r="E7137" s="0" t="s">
        <v>23854</v>
      </c>
      <c r="F7137" s="0" t="s">
        <v>15</v>
      </c>
      <c r="G7137" s="0" t="s">
        <v>36</v>
      </c>
      <c r="H7137" s="0" t="n">
        <v>103</v>
      </c>
      <c r="I7137" s="0" t="s">
        <v>23864</v>
      </c>
      <c r="J7137" s="0" t="s">
        <v>23865</v>
      </c>
      <c r="K7137" s="0" t="s">
        <v>23866</v>
      </c>
      <c r="L7137" s="0" t="str">
        <f aca="false">HYPERLINK("https://www.ncbi.nlm.nih.gov/nuccore/CP000304.1?report=graph&amp;tracks=[key:gene_model_track,Options:GeneOnly]&amp;mk=2007673:2007692|offset_24|444444,2007697:2007716|offset_48|444444,2007728:2007747|offset_79|444444,2007752:2007771|offset_103|00cc00&amp;v=2007472:2007971&amp;c=444444", "offset 103")</f>
        <v>offset 103</v>
      </c>
    </row>
    <row r="7138" customFormat="false" ht="12.8" hidden="false" customHeight="false" outlineLevel="0" collapsed="false">
      <c r="A7138" s="0" t="s">
        <v>12</v>
      </c>
      <c r="B7138" s="0" t="n">
        <v>2010445</v>
      </c>
      <c r="C7138" s="0" t="n">
        <v>2010465</v>
      </c>
      <c r="D7138" s="0" t="s">
        <v>23867</v>
      </c>
      <c r="E7138" s="0" t="s">
        <v>89</v>
      </c>
      <c r="F7138" s="0" t="s">
        <v>15</v>
      </c>
      <c r="G7138" s="0" t="s">
        <v>36</v>
      </c>
      <c r="H7138" s="0" t="n">
        <v>0</v>
      </c>
      <c r="I7138" s="0" t="s">
        <v>23868</v>
      </c>
      <c r="J7138" s="0" t="s">
        <v>23869</v>
      </c>
      <c r="K7138" s="0" t="s">
        <v>23870</v>
      </c>
      <c r="L7138" s="0" t="str">
        <f aca="false">HYPERLINK("https://www.ncbi.nlm.nih.gov/nuccore/CP000304.1?report=graph&amp;tracks=[key:gene_model_track,Options:GeneOnly]&amp;mk=2010446:2010465|offset_0|00cc00,2010474:2010493|offset_28|444444&amp;v=2010245:2010693&amp;c=444444", "offset 0")</f>
        <v>offset 0</v>
      </c>
    </row>
    <row r="7139" customFormat="false" ht="12.8" hidden="false" customHeight="false" outlineLevel="0" collapsed="false">
      <c r="A7139" s="0" t="s">
        <v>12</v>
      </c>
      <c r="B7139" s="0" t="n">
        <v>2010473</v>
      </c>
      <c r="C7139" s="0" t="n">
        <v>2010493</v>
      </c>
      <c r="D7139" s="0" t="s">
        <v>23867</v>
      </c>
      <c r="E7139" s="0" t="s">
        <v>89</v>
      </c>
      <c r="F7139" s="0" t="s">
        <v>15</v>
      </c>
      <c r="G7139" s="0" t="s">
        <v>16</v>
      </c>
      <c r="H7139" s="0" t="n">
        <v>28</v>
      </c>
      <c r="I7139" s="0" t="s">
        <v>23871</v>
      </c>
      <c r="J7139" s="0" t="s">
        <v>23872</v>
      </c>
      <c r="K7139" s="0" t="s">
        <v>23873</v>
      </c>
      <c r="L7139" s="0" t="str">
        <f aca="false">HYPERLINK("https://www.ncbi.nlm.nih.gov/nuccore/CP000304.1?report=graph&amp;tracks=[key:gene_model_track,Options:GeneOnly]&amp;mk=2010446:2010465|offset_0|444444,2010474:2010493|offset_28|00cc00&amp;v=2010245:2010693&amp;c=444444", "offset 28")</f>
        <v>offset 28</v>
      </c>
    </row>
    <row r="7140" customFormat="false" ht="12.8" hidden="false" customHeight="false" outlineLevel="0" collapsed="false">
      <c r="A7140" s="0" t="s">
        <v>12</v>
      </c>
      <c r="B7140" s="0" t="n">
        <v>2010611</v>
      </c>
      <c r="C7140" s="0" t="n">
        <v>2010631</v>
      </c>
      <c r="D7140" s="0" t="s">
        <v>23874</v>
      </c>
      <c r="E7140" s="0" t="s">
        <v>89</v>
      </c>
      <c r="F7140" s="0" t="s">
        <v>90</v>
      </c>
      <c r="G7140" s="0" t="s">
        <v>16</v>
      </c>
      <c r="H7140" s="0" t="n">
        <v>773</v>
      </c>
      <c r="I7140" s="0" t="s">
        <v>23875</v>
      </c>
      <c r="J7140" s="0" t="s">
        <v>23876</v>
      </c>
      <c r="K7140" s="0" t="s">
        <v>23877</v>
      </c>
      <c r="L7140" s="0" t="str">
        <f aca="false">HYPERLINK("https://www.ncbi.nlm.nih.gov/nuccore/CP000304.1?report=graph&amp;tracks=[key:gene_model_track,Options:GeneOnly]&amp;mk=2010612:2010631|offset_773|00cc00&amp;v=2010411:2010831&amp;c=444444", "offset 773")</f>
        <v>offset 773</v>
      </c>
    </row>
    <row r="7141" customFormat="false" ht="12.8" hidden="false" customHeight="false" outlineLevel="0" collapsed="false">
      <c r="A7141" s="0" t="s">
        <v>12</v>
      </c>
      <c r="B7141" s="0" t="n">
        <v>2011818</v>
      </c>
      <c r="C7141" s="0" t="n">
        <v>2011838</v>
      </c>
      <c r="D7141" s="0" t="s">
        <v>23878</v>
      </c>
      <c r="E7141" s="0" t="s">
        <v>89</v>
      </c>
      <c r="F7141" s="0" t="s">
        <v>15</v>
      </c>
      <c r="G7141" s="0" t="s">
        <v>32</v>
      </c>
      <c r="H7141" s="0" t="n">
        <v>40</v>
      </c>
      <c r="I7141" s="0" t="s">
        <v>23879</v>
      </c>
      <c r="J7141" s="0" t="s">
        <v>23880</v>
      </c>
      <c r="K7141" s="0" t="s">
        <v>23881</v>
      </c>
      <c r="L7141" s="0" t="str">
        <f aca="false">HYPERLINK("https://www.ncbi.nlm.nih.gov/nuccore/CP000304.1?report=graph&amp;tracks=[key:gene_model_track,Options:GeneOnly]&amp;mk=2011819:2011838|offset_40|00cc00,2011853:2011872|offset_74|444444,2011927:2011946|offset_148|444444,2011951:2011970|offset_172|444444&amp;v=2011618:2012170&amp;c=444444", "offset 40")</f>
        <v>offset 40</v>
      </c>
    </row>
    <row r="7142" customFormat="false" ht="12.8" hidden="false" customHeight="false" outlineLevel="0" collapsed="false">
      <c r="A7142" s="0" t="s">
        <v>12</v>
      </c>
      <c r="B7142" s="0" t="n">
        <v>2011852</v>
      </c>
      <c r="C7142" s="0" t="n">
        <v>2011872</v>
      </c>
      <c r="D7142" s="0" t="s">
        <v>23878</v>
      </c>
      <c r="E7142" s="0" t="s">
        <v>89</v>
      </c>
      <c r="F7142" s="0" t="s">
        <v>15</v>
      </c>
      <c r="G7142" s="0" t="s">
        <v>16</v>
      </c>
      <c r="H7142" s="0" t="n">
        <v>74</v>
      </c>
      <c r="I7142" s="0" t="s">
        <v>23882</v>
      </c>
      <c r="J7142" s="0" t="s">
        <v>23883</v>
      </c>
      <c r="K7142" s="0" t="s">
        <v>23884</v>
      </c>
      <c r="L7142" s="0" t="str">
        <f aca="false">HYPERLINK("https://www.ncbi.nlm.nih.gov/nuccore/CP000304.1?report=graph&amp;tracks=[key:gene_model_track,Options:GeneOnly]&amp;mk=2011819:2011838|offset_40|444444,2011853:2011872|offset_74|00cc00,2011927:2011946|offset_148|444444,2011951:2011970|offset_172|444444&amp;v=2011618:2012170&amp;c=444444", "offset 74")</f>
        <v>offset 74</v>
      </c>
    </row>
    <row r="7143" customFormat="false" ht="12.8" hidden="false" customHeight="false" outlineLevel="0" collapsed="false">
      <c r="A7143" s="0" t="s">
        <v>12</v>
      </c>
      <c r="B7143" s="0" t="n">
        <v>2011926</v>
      </c>
      <c r="C7143" s="0" t="n">
        <v>2011946</v>
      </c>
      <c r="D7143" s="0" t="s">
        <v>23878</v>
      </c>
      <c r="E7143" s="0" t="s">
        <v>89</v>
      </c>
      <c r="F7143" s="0" t="s">
        <v>15</v>
      </c>
      <c r="G7143" s="0" t="s">
        <v>16</v>
      </c>
      <c r="H7143" s="0" t="n">
        <v>148</v>
      </c>
      <c r="I7143" s="0" t="s">
        <v>23885</v>
      </c>
      <c r="J7143" s="0" t="s">
        <v>23886</v>
      </c>
      <c r="K7143" s="0" t="s">
        <v>23887</v>
      </c>
      <c r="L7143" s="0" t="str">
        <f aca="false">HYPERLINK("https://www.ncbi.nlm.nih.gov/nuccore/CP000304.1?report=graph&amp;tracks=[key:gene_model_track,Options:GeneOnly]&amp;mk=2011819:2011838|offset_40|444444,2011853:2011872|offset_74|444444,2011927:2011946|offset_148|00cc00,2011951:2011970|offset_172|444444&amp;v=2011618:2012170&amp;c=444444", "offset 148")</f>
        <v>offset 148</v>
      </c>
    </row>
    <row r="7144" customFormat="false" ht="12.8" hidden="false" customHeight="false" outlineLevel="0" collapsed="false">
      <c r="A7144" s="0" t="s">
        <v>12</v>
      </c>
      <c r="B7144" s="0" t="n">
        <v>2011950</v>
      </c>
      <c r="C7144" s="0" t="n">
        <v>2011970</v>
      </c>
      <c r="D7144" s="0" t="s">
        <v>23878</v>
      </c>
      <c r="E7144" s="0" t="s">
        <v>89</v>
      </c>
      <c r="F7144" s="0" t="s">
        <v>15</v>
      </c>
      <c r="G7144" s="0" t="s">
        <v>32</v>
      </c>
      <c r="H7144" s="0" t="n">
        <v>172</v>
      </c>
      <c r="I7144" s="0" t="s">
        <v>23888</v>
      </c>
      <c r="J7144" s="0" t="s">
        <v>23889</v>
      </c>
      <c r="K7144" s="0" t="s">
        <v>23890</v>
      </c>
      <c r="L7144" s="0" t="str">
        <f aca="false">HYPERLINK("https://www.ncbi.nlm.nih.gov/nuccore/CP000304.1?report=graph&amp;tracks=[key:gene_model_track,Options:GeneOnly]&amp;mk=2011819:2011838|offset_40|444444,2011853:2011872|offset_74|444444,2011927:2011946|offset_148|444444,2011951:2011970|offset_172|00cc00&amp;v=2011618:2012170&amp;c=444444", "offset 172")</f>
        <v>offset 172</v>
      </c>
    </row>
    <row r="7145" customFormat="false" ht="12.8" hidden="false" customHeight="false" outlineLevel="0" collapsed="false">
      <c r="A7145" s="0" t="s">
        <v>12</v>
      </c>
      <c r="B7145" s="0" t="n">
        <v>2012646</v>
      </c>
      <c r="C7145" s="0" t="n">
        <v>2012666</v>
      </c>
      <c r="D7145" s="0" t="s">
        <v>23891</v>
      </c>
      <c r="E7145" s="0" t="s">
        <v>89</v>
      </c>
      <c r="F7145" s="0" t="s">
        <v>15</v>
      </c>
      <c r="G7145" s="0" t="s">
        <v>26</v>
      </c>
      <c r="H7145" s="0" t="n">
        <v>43</v>
      </c>
      <c r="I7145" s="0" t="s">
        <v>23892</v>
      </c>
      <c r="J7145" s="0" t="s">
        <v>23893</v>
      </c>
      <c r="K7145" s="0" t="s">
        <v>23894</v>
      </c>
      <c r="L7145" s="0" t="str">
        <f aca="false">HYPERLINK("https://www.ncbi.nlm.nih.gov/nuccore/CP000304.1?report=graph&amp;tracks=[key:gene_model_track,Options:GeneOnly]&amp;mk=2012647:2012666|offset_43|00cc00,2012667:2012686|offset_63|444444,2012727:2012746|offset_123|444444,2012818:2012837|offset_214|444444&amp;v=2012446:2013037&amp;c=444444", "offset 43")</f>
        <v>offset 43</v>
      </c>
    </row>
    <row r="7146" customFormat="false" ht="12.8" hidden="false" customHeight="false" outlineLevel="0" collapsed="false">
      <c r="A7146" s="0" t="s">
        <v>12</v>
      </c>
      <c r="B7146" s="0" t="n">
        <v>2012666</v>
      </c>
      <c r="C7146" s="0" t="n">
        <v>2012686</v>
      </c>
      <c r="D7146" s="0" t="s">
        <v>23891</v>
      </c>
      <c r="E7146" s="0" t="s">
        <v>89</v>
      </c>
      <c r="F7146" s="0" t="s">
        <v>15</v>
      </c>
      <c r="G7146" s="0" t="s">
        <v>36</v>
      </c>
      <c r="H7146" s="0" t="n">
        <v>63</v>
      </c>
      <c r="I7146" s="0" t="s">
        <v>23895</v>
      </c>
      <c r="J7146" s="0" t="s">
        <v>23896</v>
      </c>
      <c r="K7146" s="0" t="s">
        <v>23897</v>
      </c>
      <c r="L7146" s="0" t="str">
        <f aca="false">HYPERLINK("https://www.ncbi.nlm.nih.gov/nuccore/CP000304.1?report=graph&amp;tracks=[key:gene_model_track,Options:GeneOnly]&amp;mk=2012647:2012666|offset_43|444444,2012667:2012686|offset_63|00cc00,2012727:2012746|offset_123|444444,2012818:2012837|offset_214|444444&amp;v=2012446:2013037&amp;c=444444", "offset 63")</f>
        <v>offset 63</v>
      </c>
    </row>
    <row r="7147" customFormat="false" ht="12.8" hidden="false" customHeight="false" outlineLevel="0" collapsed="false">
      <c r="A7147" s="0" t="s">
        <v>12</v>
      </c>
      <c r="B7147" s="0" t="n">
        <v>2012726</v>
      </c>
      <c r="C7147" s="0" t="n">
        <v>2012746</v>
      </c>
      <c r="D7147" s="0" t="s">
        <v>23891</v>
      </c>
      <c r="E7147" s="0" t="s">
        <v>89</v>
      </c>
      <c r="F7147" s="0" t="s">
        <v>15</v>
      </c>
      <c r="G7147" s="0" t="s">
        <v>36</v>
      </c>
      <c r="H7147" s="0" t="n">
        <v>123</v>
      </c>
      <c r="I7147" s="0" t="s">
        <v>23898</v>
      </c>
      <c r="J7147" s="0" t="s">
        <v>23899</v>
      </c>
      <c r="K7147" s="0" t="s">
        <v>23900</v>
      </c>
      <c r="L7147" s="0" t="str">
        <f aca="false">HYPERLINK("https://www.ncbi.nlm.nih.gov/nuccore/CP000304.1?report=graph&amp;tracks=[key:gene_model_track,Options:GeneOnly]&amp;mk=2012647:2012666|offset_43|444444,2012667:2012686|offset_63|444444,2012727:2012746|offset_123|00cc00,2012818:2012837|offset_214|444444&amp;v=2012446:2013037&amp;c=444444", "offset 123")</f>
        <v>offset 123</v>
      </c>
    </row>
    <row r="7148" customFormat="false" ht="12.8" hidden="false" customHeight="false" outlineLevel="0" collapsed="false">
      <c r="A7148" s="0" t="s">
        <v>12</v>
      </c>
      <c r="B7148" s="0" t="n">
        <v>2012817</v>
      </c>
      <c r="C7148" s="0" t="n">
        <v>2012837</v>
      </c>
      <c r="D7148" s="0" t="s">
        <v>23891</v>
      </c>
      <c r="E7148" s="0" t="s">
        <v>89</v>
      </c>
      <c r="F7148" s="0" t="s">
        <v>15</v>
      </c>
      <c r="G7148" s="0" t="s">
        <v>16</v>
      </c>
      <c r="H7148" s="0" t="n">
        <v>214</v>
      </c>
      <c r="I7148" s="0" t="s">
        <v>23901</v>
      </c>
      <c r="J7148" s="0" t="s">
        <v>23902</v>
      </c>
      <c r="K7148" s="0" t="s">
        <v>23903</v>
      </c>
      <c r="L7148" s="0" t="str">
        <f aca="false">HYPERLINK("https://www.ncbi.nlm.nih.gov/nuccore/CP000304.1?report=graph&amp;tracks=[key:gene_model_track,Options:GeneOnly]&amp;mk=2012647:2012666|offset_43|444444,2012667:2012686|offset_63|444444,2012727:2012746|offset_123|444444,2012818:2012837|offset_214|00cc00&amp;v=2012446:2013037&amp;c=444444", "offset 214")</f>
        <v>offset 214</v>
      </c>
    </row>
    <row r="7149" customFormat="false" ht="12.8" hidden="false" customHeight="false" outlineLevel="0" collapsed="false">
      <c r="A7149" s="0" t="s">
        <v>12</v>
      </c>
      <c r="B7149" s="0" t="n">
        <v>2013041</v>
      </c>
      <c r="C7149" s="0" t="n">
        <v>2013061</v>
      </c>
      <c r="D7149" s="0" t="s">
        <v>23904</v>
      </c>
      <c r="E7149" s="0" t="s">
        <v>89</v>
      </c>
      <c r="F7149" s="0" t="s">
        <v>15</v>
      </c>
      <c r="G7149" s="0" t="s">
        <v>16</v>
      </c>
      <c r="H7149" s="0" t="n">
        <v>28</v>
      </c>
      <c r="I7149" s="0" t="s">
        <v>23905</v>
      </c>
      <c r="J7149" s="0" t="s">
        <v>23906</v>
      </c>
      <c r="K7149" s="0" t="s">
        <v>23907</v>
      </c>
      <c r="L7149" s="0" t="str">
        <f aca="false">HYPERLINK("https://www.ncbi.nlm.nih.gov/nuccore/CP000304.1?report=graph&amp;tracks=[key:gene_model_track,Options:GeneOnly]&amp;mk=2013042:2013061|offset_28|00cc00,2013081:2013100|offset_67|444444,2013114:2013133|offset_100|444444,2013135:2013154|offset_121|444444&amp;v=2012841:2013354&amp;c=444444", "offset 28")</f>
        <v>offset 28</v>
      </c>
    </row>
    <row r="7150" customFormat="false" ht="12.8" hidden="false" customHeight="false" outlineLevel="0" collapsed="false">
      <c r="A7150" s="0" t="s">
        <v>12</v>
      </c>
      <c r="B7150" s="0" t="n">
        <v>2013080</v>
      </c>
      <c r="C7150" s="0" t="n">
        <v>2013100</v>
      </c>
      <c r="D7150" s="0" t="s">
        <v>23904</v>
      </c>
      <c r="E7150" s="0" t="s">
        <v>89</v>
      </c>
      <c r="F7150" s="0" t="s">
        <v>15</v>
      </c>
      <c r="G7150" s="0" t="s">
        <v>16</v>
      </c>
      <c r="H7150" s="0" t="n">
        <v>67</v>
      </c>
      <c r="I7150" s="0" t="s">
        <v>23908</v>
      </c>
      <c r="J7150" s="0" t="s">
        <v>23909</v>
      </c>
      <c r="K7150" s="0" t="s">
        <v>23910</v>
      </c>
      <c r="L7150" s="0" t="str">
        <f aca="false">HYPERLINK("https://www.ncbi.nlm.nih.gov/nuccore/CP000304.1?report=graph&amp;tracks=[key:gene_model_track,Options:GeneOnly]&amp;mk=2013042:2013061|offset_28|444444,2013081:2013100|offset_67|00cc00,2013114:2013133|offset_100|444444,2013135:2013154|offset_121|444444&amp;v=2012841:2013354&amp;c=444444", "offset 67")</f>
        <v>offset 67</v>
      </c>
    </row>
    <row r="7151" customFormat="false" ht="12.8" hidden="false" customHeight="false" outlineLevel="0" collapsed="false">
      <c r="A7151" s="0" t="s">
        <v>12</v>
      </c>
      <c r="B7151" s="0" t="n">
        <v>2013113</v>
      </c>
      <c r="C7151" s="0" t="n">
        <v>2013133</v>
      </c>
      <c r="D7151" s="0" t="s">
        <v>23904</v>
      </c>
      <c r="E7151" s="0" t="s">
        <v>89</v>
      </c>
      <c r="F7151" s="0" t="s">
        <v>15</v>
      </c>
      <c r="G7151" s="0" t="s">
        <v>32</v>
      </c>
      <c r="H7151" s="0" t="n">
        <v>100</v>
      </c>
      <c r="I7151" s="0" t="s">
        <v>23911</v>
      </c>
      <c r="J7151" s="0" t="s">
        <v>23912</v>
      </c>
      <c r="K7151" s="0" t="s">
        <v>23913</v>
      </c>
      <c r="L7151" s="0" t="str">
        <f aca="false">HYPERLINK("https://www.ncbi.nlm.nih.gov/nuccore/CP000304.1?report=graph&amp;tracks=[key:gene_model_track,Options:GeneOnly]&amp;mk=2013042:2013061|offset_28|444444,2013081:2013100|offset_67|444444,2013114:2013133|offset_100|00cc00,2013135:2013154|offset_121|444444&amp;v=2012841:2013354&amp;c=444444", "offset 100")</f>
        <v>offset 100</v>
      </c>
    </row>
    <row r="7152" customFormat="false" ht="12.8" hidden="false" customHeight="false" outlineLevel="0" collapsed="false">
      <c r="A7152" s="0" t="s">
        <v>12</v>
      </c>
      <c r="B7152" s="0" t="n">
        <v>2013134</v>
      </c>
      <c r="C7152" s="0" t="n">
        <v>2013154</v>
      </c>
      <c r="D7152" s="0" t="s">
        <v>23904</v>
      </c>
      <c r="E7152" s="0" t="s">
        <v>89</v>
      </c>
      <c r="F7152" s="0" t="s">
        <v>15</v>
      </c>
      <c r="G7152" s="0" t="s">
        <v>32</v>
      </c>
      <c r="H7152" s="0" t="n">
        <v>121</v>
      </c>
      <c r="I7152" s="0" t="s">
        <v>23914</v>
      </c>
      <c r="J7152" s="0" t="s">
        <v>23915</v>
      </c>
      <c r="K7152" s="0" t="s">
        <v>23916</v>
      </c>
      <c r="L7152" s="0" t="str">
        <f aca="false">HYPERLINK("https://www.ncbi.nlm.nih.gov/nuccore/CP000304.1?report=graph&amp;tracks=[key:gene_model_track,Options:GeneOnly]&amp;mk=2013042:2013061|offset_28|444444,2013081:2013100|offset_67|444444,2013114:2013133|offset_100|444444,2013135:2013154|offset_121|00cc00&amp;v=2012841:2013354&amp;c=444444", "offset 121")</f>
        <v>offset 121</v>
      </c>
    </row>
    <row r="7153" customFormat="false" ht="12.8" hidden="false" customHeight="false" outlineLevel="0" collapsed="false">
      <c r="A7153" s="0" t="s">
        <v>12</v>
      </c>
      <c r="B7153" s="0" t="n">
        <v>2015099</v>
      </c>
      <c r="C7153" s="0" t="n">
        <v>2015119</v>
      </c>
      <c r="D7153" s="0" t="s">
        <v>23917</v>
      </c>
      <c r="E7153" s="0" t="s">
        <v>89</v>
      </c>
      <c r="F7153" s="0" t="s">
        <v>90</v>
      </c>
      <c r="G7153" s="0" t="s">
        <v>36</v>
      </c>
      <c r="H7153" s="0" t="n">
        <v>46</v>
      </c>
      <c r="I7153" s="0" t="s">
        <v>23918</v>
      </c>
      <c r="J7153" s="0" t="s">
        <v>23919</v>
      </c>
      <c r="K7153" s="0" t="s">
        <v>23920</v>
      </c>
      <c r="L7153" s="0" t="str">
        <f aca="false">HYPERLINK("https://www.ncbi.nlm.nih.gov/nuccore/CP000304.1?report=graph&amp;tracks=[key:gene_model_track,Options:GeneOnly]&amp;mk=2015100:2015119|offset_46|00cc00,2015066:2015085|offset_80|444444,2015039:2015058|offset_107|444444,2014958:2014977|offset_188|444444&amp;v=2014899:2015177&amp;c=444444", "offset 46")</f>
        <v>offset 46</v>
      </c>
    </row>
    <row r="7154" customFormat="false" ht="12.8" hidden="false" customHeight="false" outlineLevel="0" collapsed="false">
      <c r="A7154" s="0" t="s">
        <v>12</v>
      </c>
      <c r="B7154" s="0" t="n">
        <v>2015065</v>
      </c>
      <c r="C7154" s="0" t="n">
        <v>2015085</v>
      </c>
      <c r="D7154" s="0" t="s">
        <v>23917</v>
      </c>
      <c r="E7154" s="0" t="s">
        <v>89</v>
      </c>
      <c r="F7154" s="0" t="s">
        <v>90</v>
      </c>
      <c r="G7154" s="0" t="s">
        <v>16</v>
      </c>
      <c r="H7154" s="0" t="n">
        <v>80</v>
      </c>
      <c r="I7154" s="0" t="s">
        <v>23921</v>
      </c>
      <c r="J7154" s="0" t="s">
        <v>23922</v>
      </c>
      <c r="K7154" s="0" t="s">
        <v>23923</v>
      </c>
      <c r="L7154" s="0" t="str">
        <f aca="false">HYPERLINK("https://www.ncbi.nlm.nih.gov/nuccore/CP000304.1?report=graph&amp;tracks=[key:gene_model_track,Options:GeneOnly]&amp;mk=2015100:2015119|offset_46|444444,2015066:2015085|offset_80|00cc00,2015039:2015058|offset_107|444444,2014958:2014977|offset_188|444444&amp;v=2014899:2015177&amp;c=444444", "offset 80")</f>
        <v>offset 80</v>
      </c>
    </row>
    <row r="7155" customFormat="false" ht="12.8" hidden="false" customHeight="false" outlineLevel="0" collapsed="false">
      <c r="A7155" s="0" t="s">
        <v>12</v>
      </c>
      <c r="B7155" s="0" t="n">
        <v>2015038</v>
      </c>
      <c r="C7155" s="0" t="n">
        <v>2015058</v>
      </c>
      <c r="D7155" s="0" t="s">
        <v>23917</v>
      </c>
      <c r="E7155" s="0" t="s">
        <v>89</v>
      </c>
      <c r="F7155" s="0" t="s">
        <v>90</v>
      </c>
      <c r="G7155" s="0" t="s">
        <v>32</v>
      </c>
      <c r="H7155" s="0" t="n">
        <v>107</v>
      </c>
      <c r="I7155" s="0" t="s">
        <v>23924</v>
      </c>
      <c r="J7155" s="0" t="s">
        <v>23925</v>
      </c>
      <c r="K7155" s="0" t="s">
        <v>23926</v>
      </c>
      <c r="L7155" s="0" t="str">
        <f aca="false">HYPERLINK("https://www.ncbi.nlm.nih.gov/nuccore/CP000304.1?report=graph&amp;tracks=[key:gene_model_track,Options:GeneOnly]&amp;mk=2015100:2015119|offset_46|444444,2015066:2015085|offset_80|444444,2015039:2015058|offset_107|00cc00,2014958:2014977|offset_188|444444&amp;v=2014899:2015177&amp;c=444444", "offset 107")</f>
        <v>offset 107</v>
      </c>
    </row>
    <row r="7156" customFormat="false" ht="12.8" hidden="false" customHeight="false" outlineLevel="0" collapsed="false">
      <c r="A7156" s="0" t="s">
        <v>12</v>
      </c>
      <c r="B7156" s="0" t="n">
        <v>2014957</v>
      </c>
      <c r="C7156" s="0" t="n">
        <v>2014977</v>
      </c>
      <c r="D7156" s="0" t="s">
        <v>23917</v>
      </c>
      <c r="E7156" s="0" t="s">
        <v>89</v>
      </c>
      <c r="F7156" s="0" t="s">
        <v>90</v>
      </c>
      <c r="G7156" s="0" t="s">
        <v>16</v>
      </c>
      <c r="H7156" s="0" t="n">
        <v>188</v>
      </c>
      <c r="I7156" s="0" t="s">
        <v>23927</v>
      </c>
      <c r="J7156" s="0" t="s">
        <v>23928</v>
      </c>
      <c r="K7156" s="0" t="s">
        <v>23929</v>
      </c>
      <c r="L7156" s="0" t="str">
        <f aca="false">HYPERLINK("https://www.ncbi.nlm.nih.gov/nuccore/CP000304.1?report=graph&amp;tracks=[key:gene_model_track,Options:GeneOnly]&amp;mk=2015100:2015119|offset_46|444444,2015066:2015085|offset_80|444444,2015039:2015058|offset_107|444444,2014958:2014977|offset_188|00cc00&amp;v=2014899:2015177&amp;c=444444", "offset 188")</f>
        <v>offset 188</v>
      </c>
    </row>
    <row r="7157" customFormat="false" ht="12.8" hidden="false" customHeight="false" outlineLevel="0" collapsed="false">
      <c r="A7157" s="0" t="s">
        <v>12</v>
      </c>
      <c r="B7157" s="0" t="n">
        <v>2015479</v>
      </c>
      <c r="C7157" s="0" t="n">
        <v>2015499</v>
      </c>
      <c r="D7157" s="0" t="s">
        <v>23930</v>
      </c>
      <c r="E7157" s="0" t="s">
        <v>89</v>
      </c>
      <c r="F7157" s="0" t="s">
        <v>90</v>
      </c>
      <c r="G7157" s="0" t="s">
        <v>32</v>
      </c>
      <c r="H7157" s="0" t="n">
        <v>7</v>
      </c>
      <c r="I7157" s="0" t="s">
        <v>23931</v>
      </c>
      <c r="J7157" s="0" t="s">
        <v>23932</v>
      </c>
      <c r="K7157" s="0" t="s">
        <v>23933</v>
      </c>
      <c r="L7157" s="0" t="str">
        <f aca="false">HYPERLINK("https://www.ncbi.nlm.nih.gov/nuccore/CP000304.1?report=graph&amp;tracks=[key:gene_model_track,Options:GeneOnly]&amp;mk=2015480:2015499|offset_7|00cc00,2015457:2015476|offset_30|444444,2015435:2015454|offset_52|444444,2015407:2015426|offset_80|444444&amp;v=2015279:2015626&amp;c=444444", "offset 7")</f>
        <v>offset 7</v>
      </c>
    </row>
    <row r="7158" customFormat="false" ht="12.8" hidden="false" customHeight="false" outlineLevel="0" collapsed="false">
      <c r="A7158" s="0" t="s">
        <v>12</v>
      </c>
      <c r="B7158" s="0" t="n">
        <v>2015456</v>
      </c>
      <c r="C7158" s="0" t="n">
        <v>2015476</v>
      </c>
      <c r="D7158" s="0" t="s">
        <v>23930</v>
      </c>
      <c r="E7158" s="0" t="s">
        <v>89</v>
      </c>
      <c r="F7158" s="0" t="s">
        <v>90</v>
      </c>
      <c r="G7158" s="0" t="s">
        <v>36</v>
      </c>
      <c r="H7158" s="0" t="n">
        <v>30</v>
      </c>
      <c r="I7158" s="0" t="s">
        <v>23934</v>
      </c>
      <c r="J7158" s="0" t="s">
        <v>23935</v>
      </c>
      <c r="K7158" s="0" t="s">
        <v>23936</v>
      </c>
      <c r="L7158" s="0" t="str">
        <f aca="false">HYPERLINK("https://www.ncbi.nlm.nih.gov/nuccore/CP000304.1?report=graph&amp;tracks=[key:gene_model_track,Options:GeneOnly]&amp;mk=2015480:2015499|offset_7|444444,2015457:2015476|offset_30|00cc00,2015435:2015454|offset_52|444444,2015407:2015426|offset_80|444444&amp;v=2015279:2015626&amp;c=444444", "offset 30")</f>
        <v>offset 30</v>
      </c>
    </row>
    <row r="7159" customFormat="false" ht="12.8" hidden="false" customHeight="false" outlineLevel="0" collapsed="false">
      <c r="A7159" s="0" t="s">
        <v>12</v>
      </c>
      <c r="B7159" s="0" t="n">
        <v>2015434</v>
      </c>
      <c r="C7159" s="0" t="n">
        <v>2015454</v>
      </c>
      <c r="D7159" s="0" t="s">
        <v>23930</v>
      </c>
      <c r="E7159" s="0" t="s">
        <v>89</v>
      </c>
      <c r="F7159" s="0" t="s">
        <v>90</v>
      </c>
      <c r="G7159" s="0" t="s">
        <v>26</v>
      </c>
      <c r="H7159" s="0" t="n">
        <v>52</v>
      </c>
      <c r="I7159" s="0" t="s">
        <v>23937</v>
      </c>
      <c r="J7159" s="0" t="s">
        <v>23938</v>
      </c>
      <c r="K7159" s="0" t="s">
        <v>23939</v>
      </c>
      <c r="L7159" s="0" t="str">
        <f aca="false">HYPERLINK("https://www.ncbi.nlm.nih.gov/nuccore/CP000304.1?report=graph&amp;tracks=[key:gene_model_track,Options:GeneOnly]&amp;mk=2015480:2015499|offset_7|444444,2015457:2015476|offset_30|444444,2015435:2015454|offset_52|00cc00,2015407:2015426|offset_80|444444&amp;v=2015279:2015626&amp;c=444444", "offset 52")</f>
        <v>offset 52</v>
      </c>
    </row>
    <row r="7160" customFormat="false" ht="12.8" hidden="false" customHeight="false" outlineLevel="0" collapsed="false">
      <c r="A7160" s="0" t="s">
        <v>12</v>
      </c>
      <c r="B7160" s="0" t="n">
        <v>2015406</v>
      </c>
      <c r="C7160" s="0" t="n">
        <v>2015426</v>
      </c>
      <c r="D7160" s="0" t="s">
        <v>23930</v>
      </c>
      <c r="E7160" s="0" t="s">
        <v>89</v>
      </c>
      <c r="F7160" s="0" t="s">
        <v>90</v>
      </c>
      <c r="G7160" s="0" t="s">
        <v>32</v>
      </c>
      <c r="H7160" s="0" t="n">
        <v>80</v>
      </c>
      <c r="I7160" s="0" t="s">
        <v>23940</v>
      </c>
      <c r="J7160" s="0" t="s">
        <v>23941</v>
      </c>
      <c r="K7160" s="0" t="s">
        <v>23942</v>
      </c>
      <c r="L7160" s="0" t="str">
        <f aca="false">HYPERLINK("https://www.ncbi.nlm.nih.gov/nuccore/CP000304.1?report=graph&amp;tracks=[key:gene_model_track,Options:GeneOnly]&amp;mk=2015480:2015499|offset_7|444444,2015457:2015476|offset_30|444444,2015435:2015454|offset_52|444444,2015407:2015426|offset_80|00cc00&amp;v=2015279:2015626&amp;c=444444", "offset 80")</f>
        <v>offset 80</v>
      </c>
    </row>
    <row r="7161" customFormat="false" ht="12.8" hidden="false" customHeight="false" outlineLevel="0" collapsed="false">
      <c r="A7161" s="0" t="s">
        <v>12</v>
      </c>
      <c r="B7161" s="0" t="n">
        <v>2015919</v>
      </c>
      <c r="C7161" s="0" t="n">
        <v>2015939</v>
      </c>
      <c r="D7161" s="0" t="s">
        <v>23943</v>
      </c>
      <c r="E7161" s="0" t="s">
        <v>23944</v>
      </c>
      <c r="F7161" s="0" t="s">
        <v>15</v>
      </c>
      <c r="G7161" s="0" t="s">
        <v>16</v>
      </c>
      <c r="H7161" s="0" t="n">
        <v>72</v>
      </c>
      <c r="I7161" s="0" t="s">
        <v>23945</v>
      </c>
      <c r="J7161" s="0" t="s">
        <v>23946</v>
      </c>
      <c r="K7161" s="0" t="s">
        <v>23947</v>
      </c>
      <c r="L7161" s="0" t="str">
        <f aca="false">HYPERLINK("https://www.ncbi.nlm.nih.gov/nuccore/CP000304.1?report=graph&amp;tracks=[key:gene_model_track,Options:GeneOnly]&amp;mk=2015920:2015939|offset_72|00cc00,2015975:2015994|offset_127|444444,2015999:2016018|offset_151|444444,2016209:2016228|offset_361|444444&amp;v=2015719:2016428&amp;c=444444", "offset 72")</f>
        <v>offset 72</v>
      </c>
    </row>
    <row r="7162" customFormat="false" ht="12.8" hidden="false" customHeight="false" outlineLevel="0" collapsed="false">
      <c r="A7162" s="0" t="s">
        <v>12</v>
      </c>
      <c r="B7162" s="0" t="n">
        <v>2015974</v>
      </c>
      <c r="C7162" s="0" t="n">
        <v>2015994</v>
      </c>
      <c r="D7162" s="0" t="s">
        <v>23943</v>
      </c>
      <c r="E7162" s="0" t="s">
        <v>23944</v>
      </c>
      <c r="F7162" s="0" t="s">
        <v>15</v>
      </c>
      <c r="G7162" s="0" t="s">
        <v>32</v>
      </c>
      <c r="H7162" s="0" t="n">
        <v>127</v>
      </c>
      <c r="I7162" s="0" t="s">
        <v>23948</v>
      </c>
      <c r="J7162" s="0" t="s">
        <v>23949</v>
      </c>
      <c r="K7162" s="0" t="s">
        <v>23950</v>
      </c>
      <c r="L7162" s="0" t="str">
        <f aca="false">HYPERLINK("https://www.ncbi.nlm.nih.gov/nuccore/CP000304.1?report=graph&amp;tracks=[key:gene_model_track,Options:GeneOnly]&amp;mk=2015920:2015939|offset_72|444444,2015975:2015994|offset_127|00cc00,2015999:2016018|offset_151|444444,2016209:2016228|offset_361|444444&amp;v=2015719:2016428&amp;c=444444", "offset 127")</f>
        <v>offset 127</v>
      </c>
    </row>
    <row r="7163" customFormat="false" ht="12.8" hidden="false" customHeight="false" outlineLevel="0" collapsed="false">
      <c r="A7163" s="0" t="s">
        <v>12</v>
      </c>
      <c r="B7163" s="0" t="n">
        <v>2015998</v>
      </c>
      <c r="C7163" s="0" t="n">
        <v>2016018</v>
      </c>
      <c r="D7163" s="0" t="s">
        <v>23943</v>
      </c>
      <c r="E7163" s="0" t="s">
        <v>23944</v>
      </c>
      <c r="F7163" s="0" t="s">
        <v>15</v>
      </c>
      <c r="G7163" s="0" t="s">
        <v>26</v>
      </c>
      <c r="H7163" s="0" t="n">
        <v>151</v>
      </c>
      <c r="I7163" s="0" t="s">
        <v>23951</v>
      </c>
      <c r="J7163" s="0" t="s">
        <v>23952</v>
      </c>
      <c r="K7163" s="0" t="s">
        <v>23953</v>
      </c>
      <c r="L7163" s="0" t="str">
        <f aca="false">HYPERLINK("https://www.ncbi.nlm.nih.gov/nuccore/CP000304.1?report=graph&amp;tracks=[key:gene_model_track,Options:GeneOnly]&amp;mk=2015920:2015939|offset_72|444444,2015975:2015994|offset_127|444444,2015999:2016018|offset_151|00cc00,2016209:2016228|offset_361|444444&amp;v=2015719:2016428&amp;c=444444", "offset 151")</f>
        <v>offset 151</v>
      </c>
    </row>
    <row r="7164" customFormat="false" ht="12.8" hidden="false" customHeight="false" outlineLevel="0" collapsed="false">
      <c r="A7164" s="0" t="s">
        <v>12</v>
      </c>
      <c r="B7164" s="0" t="n">
        <v>2016208</v>
      </c>
      <c r="C7164" s="0" t="n">
        <v>2016228</v>
      </c>
      <c r="D7164" s="0" t="s">
        <v>23943</v>
      </c>
      <c r="E7164" s="0" t="s">
        <v>23944</v>
      </c>
      <c r="F7164" s="0" t="s">
        <v>15</v>
      </c>
      <c r="G7164" s="0" t="s">
        <v>26</v>
      </c>
      <c r="H7164" s="0" t="n">
        <v>361</v>
      </c>
      <c r="I7164" s="0" t="s">
        <v>23954</v>
      </c>
      <c r="J7164" s="0" t="s">
        <v>23955</v>
      </c>
      <c r="K7164" s="0" t="s">
        <v>23956</v>
      </c>
      <c r="L7164" s="0" t="str">
        <f aca="false">HYPERLINK("https://www.ncbi.nlm.nih.gov/nuccore/CP000304.1?report=graph&amp;tracks=[key:gene_model_track,Options:GeneOnly]&amp;mk=2015920:2015939|offset_72|444444,2015975:2015994|offset_127|444444,2015999:2016018|offset_151|444444,2016209:2016228|offset_361|00cc00&amp;v=2015719:2016428&amp;c=444444", "offset 361")</f>
        <v>offset 361</v>
      </c>
    </row>
    <row r="7165" customFormat="false" ht="12.8" hidden="false" customHeight="false" outlineLevel="0" collapsed="false">
      <c r="A7165" s="0" t="s">
        <v>12</v>
      </c>
      <c r="B7165" s="0" t="n">
        <v>2016248</v>
      </c>
      <c r="C7165" s="0" t="n">
        <v>2016268</v>
      </c>
      <c r="D7165" s="0" t="s">
        <v>23957</v>
      </c>
      <c r="E7165" s="0" t="s">
        <v>89</v>
      </c>
      <c r="F7165" s="0" t="s">
        <v>15</v>
      </c>
      <c r="G7165" s="0" t="s">
        <v>36</v>
      </c>
      <c r="H7165" s="0" t="n">
        <v>18</v>
      </c>
      <c r="I7165" s="0" t="s">
        <v>23958</v>
      </c>
      <c r="J7165" s="0" t="s">
        <v>23959</v>
      </c>
      <c r="K7165" s="0" t="s">
        <v>23960</v>
      </c>
      <c r="L7165" s="0" t="str">
        <f aca="false">HYPERLINK("https://www.ncbi.nlm.nih.gov/nuccore/CP000304.1?report=graph&amp;tracks=[key:gene_model_track,Options:GeneOnly]&amp;mk=2016249:2016268|offset_18|00cc00,2016288:2016307|offset_57|444444,2016317:2016336|offset_86|444444,2016382:2016401|offset_151|444444&amp;v=2016048:2016601&amp;c=444444", "offset 18")</f>
        <v>offset 18</v>
      </c>
    </row>
    <row r="7166" customFormat="false" ht="12.8" hidden="false" customHeight="false" outlineLevel="0" collapsed="false">
      <c r="A7166" s="0" t="s">
        <v>12</v>
      </c>
      <c r="B7166" s="0" t="n">
        <v>2016287</v>
      </c>
      <c r="C7166" s="0" t="n">
        <v>2016307</v>
      </c>
      <c r="D7166" s="0" t="s">
        <v>23957</v>
      </c>
      <c r="E7166" s="0" t="s">
        <v>89</v>
      </c>
      <c r="F7166" s="0" t="s">
        <v>15</v>
      </c>
      <c r="G7166" s="0" t="s">
        <v>26</v>
      </c>
      <c r="H7166" s="0" t="n">
        <v>57</v>
      </c>
      <c r="I7166" s="0" t="s">
        <v>23961</v>
      </c>
      <c r="J7166" s="0" t="s">
        <v>23962</v>
      </c>
      <c r="K7166" s="0" t="s">
        <v>23963</v>
      </c>
      <c r="L7166" s="0" t="str">
        <f aca="false">HYPERLINK("https://www.ncbi.nlm.nih.gov/nuccore/CP000304.1?report=graph&amp;tracks=[key:gene_model_track,Options:GeneOnly]&amp;mk=2016249:2016268|offset_18|444444,2016288:2016307|offset_57|00cc00,2016317:2016336|offset_86|444444,2016382:2016401|offset_151|444444&amp;v=2016048:2016601&amp;c=444444", "offset 57")</f>
        <v>offset 57</v>
      </c>
    </row>
    <row r="7167" customFormat="false" ht="12.8" hidden="false" customHeight="false" outlineLevel="0" collapsed="false">
      <c r="A7167" s="0" t="s">
        <v>12</v>
      </c>
      <c r="B7167" s="0" t="n">
        <v>2016316</v>
      </c>
      <c r="C7167" s="0" t="n">
        <v>2016336</v>
      </c>
      <c r="D7167" s="0" t="s">
        <v>23957</v>
      </c>
      <c r="E7167" s="0" t="s">
        <v>89</v>
      </c>
      <c r="F7167" s="0" t="s">
        <v>15</v>
      </c>
      <c r="G7167" s="0" t="s">
        <v>26</v>
      </c>
      <c r="H7167" s="0" t="n">
        <v>86</v>
      </c>
      <c r="I7167" s="0" t="s">
        <v>23964</v>
      </c>
      <c r="J7167" s="0" t="s">
        <v>23965</v>
      </c>
      <c r="K7167" s="0" t="s">
        <v>23966</v>
      </c>
      <c r="L7167" s="0" t="str">
        <f aca="false">HYPERLINK("https://www.ncbi.nlm.nih.gov/nuccore/CP000304.1?report=graph&amp;tracks=[key:gene_model_track,Options:GeneOnly]&amp;mk=2016249:2016268|offset_18|444444,2016288:2016307|offset_57|444444,2016317:2016336|offset_86|00cc00,2016382:2016401|offset_151|444444&amp;v=2016048:2016601&amp;c=444444", "offset 86")</f>
        <v>offset 86</v>
      </c>
    </row>
    <row r="7168" customFormat="false" ht="12.8" hidden="false" customHeight="false" outlineLevel="0" collapsed="false">
      <c r="A7168" s="0" t="s">
        <v>12</v>
      </c>
      <c r="B7168" s="0" t="n">
        <v>2016381</v>
      </c>
      <c r="C7168" s="0" t="n">
        <v>2016401</v>
      </c>
      <c r="D7168" s="0" t="s">
        <v>23957</v>
      </c>
      <c r="E7168" s="0" t="s">
        <v>89</v>
      </c>
      <c r="F7168" s="0" t="s">
        <v>15</v>
      </c>
      <c r="G7168" s="0" t="s">
        <v>16</v>
      </c>
      <c r="H7168" s="0" t="n">
        <v>151</v>
      </c>
      <c r="I7168" s="0" t="s">
        <v>23967</v>
      </c>
      <c r="J7168" s="0" t="s">
        <v>23968</v>
      </c>
      <c r="K7168" s="0" t="s">
        <v>23969</v>
      </c>
      <c r="L7168" s="0" t="str">
        <f aca="false">HYPERLINK("https://www.ncbi.nlm.nih.gov/nuccore/CP000304.1?report=graph&amp;tracks=[key:gene_model_track,Options:GeneOnly]&amp;mk=2016249:2016268|offset_18|444444,2016288:2016307|offset_57|444444,2016317:2016336|offset_86|444444,2016382:2016401|offset_151|00cc00&amp;v=2016048:2016601&amp;c=444444", "offset 151")</f>
        <v>offset 151</v>
      </c>
    </row>
    <row r="7169" customFormat="false" ht="12.8" hidden="false" customHeight="false" outlineLevel="0" collapsed="false">
      <c r="A7169" s="0" t="s">
        <v>12</v>
      </c>
      <c r="B7169" s="0" t="n">
        <v>2016630</v>
      </c>
      <c r="C7169" s="0" t="n">
        <v>2016650</v>
      </c>
      <c r="D7169" s="0" t="s">
        <v>23970</v>
      </c>
      <c r="E7169" s="0" t="s">
        <v>89</v>
      </c>
      <c r="F7169" s="0" t="s">
        <v>15</v>
      </c>
      <c r="G7169" s="0" t="s">
        <v>32</v>
      </c>
      <c r="H7169" s="0" t="n">
        <v>41</v>
      </c>
      <c r="I7169" s="0" t="s">
        <v>23971</v>
      </c>
      <c r="J7169" s="0" t="s">
        <v>23972</v>
      </c>
      <c r="K7169" s="0" t="s">
        <v>23973</v>
      </c>
      <c r="L7169" s="0" t="str">
        <f aca="false">HYPERLINK("https://www.ncbi.nlm.nih.gov/nuccore/CP000304.1?report=graph&amp;tracks=[key:gene_model_track,Options:GeneOnly]&amp;mk=2016631:2016650|offset_41|00cc00,2016661:2016680|offset_71|444444,2016703:2016722|offset_113|444444,2016763:2016782|offset_173|444444&amp;v=2016430:2016982&amp;c=444444", "offset 41")</f>
        <v>offset 41</v>
      </c>
    </row>
    <row r="7170" customFormat="false" ht="12.8" hidden="false" customHeight="false" outlineLevel="0" collapsed="false">
      <c r="A7170" s="0" t="s">
        <v>12</v>
      </c>
      <c r="B7170" s="0" t="n">
        <v>2016660</v>
      </c>
      <c r="C7170" s="0" t="n">
        <v>2016680</v>
      </c>
      <c r="D7170" s="0" t="s">
        <v>23970</v>
      </c>
      <c r="E7170" s="0" t="s">
        <v>89</v>
      </c>
      <c r="F7170" s="0" t="s">
        <v>15</v>
      </c>
      <c r="G7170" s="0" t="s">
        <v>26</v>
      </c>
      <c r="H7170" s="0" t="n">
        <v>71</v>
      </c>
      <c r="I7170" s="0" t="s">
        <v>23974</v>
      </c>
      <c r="J7170" s="0" t="s">
        <v>23975</v>
      </c>
      <c r="K7170" s="0" t="s">
        <v>23976</v>
      </c>
      <c r="L7170" s="0" t="str">
        <f aca="false">HYPERLINK("https://www.ncbi.nlm.nih.gov/nuccore/CP000304.1?report=graph&amp;tracks=[key:gene_model_track,Options:GeneOnly]&amp;mk=2016631:2016650|offset_41|444444,2016661:2016680|offset_71|00cc00,2016703:2016722|offset_113|444444,2016763:2016782|offset_173|444444&amp;v=2016430:2016982&amp;c=444444", "offset 71")</f>
        <v>offset 71</v>
      </c>
    </row>
    <row r="7171" customFormat="false" ht="12.8" hidden="false" customHeight="false" outlineLevel="0" collapsed="false">
      <c r="A7171" s="0" t="s">
        <v>12</v>
      </c>
      <c r="B7171" s="0" t="n">
        <v>2016702</v>
      </c>
      <c r="C7171" s="0" t="n">
        <v>2016722</v>
      </c>
      <c r="D7171" s="0" t="s">
        <v>23970</v>
      </c>
      <c r="E7171" s="0" t="s">
        <v>89</v>
      </c>
      <c r="F7171" s="0" t="s">
        <v>15</v>
      </c>
      <c r="G7171" s="0" t="s">
        <v>32</v>
      </c>
      <c r="H7171" s="0" t="n">
        <v>113</v>
      </c>
      <c r="I7171" s="0" t="s">
        <v>23977</v>
      </c>
      <c r="J7171" s="0" t="s">
        <v>23978</v>
      </c>
      <c r="K7171" s="0" t="s">
        <v>23979</v>
      </c>
      <c r="L7171" s="0" t="str">
        <f aca="false">HYPERLINK("https://www.ncbi.nlm.nih.gov/nuccore/CP000304.1?report=graph&amp;tracks=[key:gene_model_track,Options:GeneOnly]&amp;mk=2016631:2016650|offset_41|444444,2016661:2016680|offset_71|444444,2016703:2016722|offset_113|00cc00,2016763:2016782|offset_173|444444&amp;v=2016430:2016982&amp;c=444444", "offset 113")</f>
        <v>offset 113</v>
      </c>
    </row>
    <row r="7172" customFormat="false" ht="12.8" hidden="false" customHeight="false" outlineLevel="0" collapsed="false">
      <c r="A7172" s="0" t="s">
        <v>12</v>
      </c>
      <c r="B7172" s="0" t="n">
        <v>2016762</v>
      </c>
      <c r="C7172" s="0" t="n">
        <v>2016782</v>
      </c>
      <c r="D7172" s="0" t="s">
        <v>23970</v>
      </c>
      <c r="E7172" s="0" t="s">
        <v>89</v>
      </c>
      <c r="F7172" s="0" t="s">
        <v>15</v>
      </c>
      <c r="G7172" s="0" t="s">
        <v>16</v>
      </c>
      <c r="H7172" s="0" t="n">
        <v>173</v>
      </c>
      <c r="I7172" s="0" t="s">
        <v>23980</v>
      </c>
      <c r="J7172" s="0" t="s">
        <v>23981</v>
      </c>
      <c r="K7172" s="0" t="s">
        <v>23982</v>
      </c>
      <c r="L7172" s="0" t="str">
        <f aca="false">HYPERLINK("https://www.ncbi.nlm.nih.gov/nuccore/CP000304.1?report=graph&amp;tracks=[key:gene_model_track,Options:GeneOnly]&amp;mk=2016631:2016650|offset_41|444444,2016661:2016680|offset_71|444444,2016703:2016722|offset_113|444444,2016763:2016782|offset_173|00cc00&amp;v=2016430:2016982&amp;c=444444", "offset 173")</f>
        <v>offset 173</v>
      </c>
    </row>
    <row r="7173" customFormat="false" ht="12.8" hidden="false" customHeight="false" outlineLevel="0" collapsed="false">
      <c r="A7173" s="0" t="s">
        <v>12</v>
      </c>
      <c r="B7173" s="0" t="n">
        <v>2017481</v>
      </c>
      <c r="C7173" s="0" t="n">
        <v>2017501</v>
      </c>
      <c r="D7173" s="0" t="s">
        <v>23983</v>
      </c>
      <c r="E7173" s="0" t="s">
        <v>89</v>
      </c>
      <c r="F7173" s="0" t="s">
        <v>90</v>
      </c>
      <c r="G7173" s="0" t="s">
        <v>32</v>
      </c>
      <c r="H7173" s="0" t="n">
        <v>10</v>
      </c>
      <c r="I7173" s="0" t="s">
        <v>23984</v>
      </c>
      <c r="J7173" s="0" t="s">
        <v>23985</v>
      </c>
      <c r="K7173" s="0" t="s">
        <v>23986</v>
      </c>
      <c r="L7173" s="0" t="str">
        <f aca="false">HYPERLINK("https://www.ncbi.nlm.nih.gov/nuccore/CP000304.1?report=graph&amp;tracks=[key:gene_model_track,Options:GeneOnly]&amp;mk=2017482:2017501|offset_10|00cc00,2017459:2017478|offset_33|444444,2017423:2017442|offset_69|444444,2017392:2017411|offset_100|444444&amp;v=2017281:2017611&amp;c=444444", "offset 10")</f>
        <v>offset 10</v>
      </c>
    </row>
    <row r="7174" customFormat="false" ht="12.8" hidden="false" customHeight="false" outlineLevel="0" collapsed="false">
      <c r="A7174" s="0" t="s">
        <v>12</v>
      </c>
      <c r="B7174" s="0" t="n">
        <v>2017458</v>
      </c>
      <c r="C7174" s="0" t="n">
        <v>2017478</v>
      </c>
      <c r="D7174" s="0" t="s">
        <v>23983</v>
      </c>
      <c r="E7174" s="0" t="s">
        <v>89</v>
      </c>
      <c r="F7174" s="0" t="s">
        <v>90</v>
      </c>
      <c r="G7174" s="0" t="s">
        <v>16</v>
      </c>
      <c r="H7174" s="0" t="n">
        <v>33</v>
      </c>
      <c r="I7174" s="0" t="s">
        <v>23987</v>
      </c>
      <c r="J7174" s="0" t="s">
        <v>23988</v>
      </c>
      <c r="K7174" s="0" t="s">
        <v>23989</v>
      </c>
      <c r="L7174" s="0" t="str">
        <f aca="false">HYPERLINK("https://www.ncbi.nlm.nih.gov/nuccore/CP000304.1?report=graph&amp;tracks=[key:gene_model_track,Options:GeneOnly]&amp;mk=2017482:2017501|offset_10|444444,2017459:2017478|offset_33|00cc00,2017423:2017442|offset_69|444444,2017392:2017411|offset_100|444444&amp;v=2017281:2017611&amp;c=444444", "offset 33")</f>
        <v>offset 33</v>
      </c>
    </row>
    <row r="7175" customFormat="false" ht="12.8" hidden="false" customHeight="false" outlineLevel="0" collapsed="false">
      <c r="A7175" s="0" t="s">
        <v>12</v>
      </c>
      <c r="B7175" s="0" t="n">
        <v>2017422</v>
      </c>
      <c r="C7175" s="0" t="n">
        <v>2017442</v>
      </c>
      <c r="D7175" s="0" t="s">
        <v>23983</v>
      </c>
      <c r="E7175" s="0" t="s">
        <v>89</v>
      </c>
      <c r="F7175" s="0" t="s">
        <v>90</v>
      </c>
      <c r="G7175" s="0" t="s">
        <v>36</v>
      </c>
      <c r="H7175" s="0" t="n">
        <v>69</v>
      </c>
      <c r="I7175" s="0" t="s">
        <v>23990</v>
      </c>
      <c r="J7175" s="0" t="s">
        <v>23991</v>
      </c>
      <c r="K7175" s="0" t="s">
        <v>23992</v>
      </c>
      <c r="L7175" s="0" t="str">
        <f aca="false">HYPERLINK("https://www.ncbi.nlm.nih.gov/nuccore/CP000304.1?report=graph&amp;tracks=[key:gene_model_track,Options:GeneOnly]&amp;mk=2017482:2017501|offset_10|444444,2017459:2017478|offset_33|444444,2017423:2017442|offset_69|00cc00,2017392:2017411|offset_100|444444&amp;v=2017281:2017611&amp;c=444444", "offset 69")</f>
        <v>offset 69</v>
      </c>
    </row>
    <row r="7176" customFormat="false" ht="12.8" hidden="false" customHeight="false" outlineLevel="0" collapsed="false">
      <c r="A7176" s="0" t="s">
        <v>12</v>
      </c>
      <c r="B7176" s="0" t="n">
        <v>2017391</v>
      </c>
      <c r="C7176" s="0" t="n">
        <v>2017411</v>
      </c>
      <c r="D7176" s="0" t="s">
        <v>23983</v>
      </c>
      <c r="E7176" s="0" t="s">
        <v>89</v>
      </c>
      <c r="F7176" s="0" t="s">
        <v>90</v>
      </c>
      <c r="G7176" s="0" t="s">
        <v>16</v>
      </c>
      <c r="H7176" s="0" t="n">
        <v>100</v>
      </c>
      <c r="I7176" s="0" t="s">
        <v>23993</v>
      </c>
      <c r="J7176" s="0" t="s">
        <v>23994</v>
      </c>
      <c r="K7176" s="0" t="s">
        <v>23995</v>
      </c>
      <c r="L7176" s="0" t="str">
        <f aca="false">HYPERLINK("https://www.ncbi.nlm.nih.gov/nuccore/CP000304.1?report=graph&amp;tracks=[key:gene_model_track,Options:GeneOnly]&amp;mk=2017482:2017501|offset_10|444444,2017459:2017478|offset_33|444444,2017423:2017442|offset_69|444444,2017392:2017411|offset_100|00cc00&amp;v=2017281:2017611&amp;c=444444", "offset 100")</f>
        <v>offset 100</v>
      </c>
    </row>
    <row r="7177" customFormat="false" ht="12.8" hidden="false" customHeight="false" outlineLevel="0" collapsed="false">
      <c r="A7177" s="0" t="s">
        <v>12</v>
      </c>
      <c r="B7177" s="0" t="n">
        <v>2019145</v>
      </c>
      <c r="C7177" s="0" t="n">
        <v>2019165</v>
      </c>
      <c r="D7177" s="0" t="s">
        <v>23996</v>
      </c>
      <c r="E7177" s="0" t="s">
        <v>23997</v>
      </c>
      <c r="F7177" s="0" t="s">
        <v>90</v>
      </c>
      <c r="G7177" s="0" t="s">
        <v>36</v>
      </c>
      <c r="H7177" s="0" t="n">
        <v>43</v>
      </c>
      <c r="I7177" s="0" t="s">
        <v>23998</v>
      </c>
      <c r="J7177" s="0" t="s">
        <v>23999</v>
      </c>
      <c r="K7177" s="0" t="s">
        <v>24000</v>
      </c>
      <c r="L7177" s="0" t="str">
        <f aca="false">HYPERLINK("https://www.ncbi.nlm.nih.gov/nuccore/CP000304.1?report=graph&amp;tracks=[key:gene_model_track,Options:GeneOnly]&amp;mk=2019146:2019165|offset_43|00cc00,2019122:2019141|offset_67|444444,2019085:2019104|offset_104|444444,2019062:2019081|offset_127|444444&amp;v=2018945:2019281&amp;c=444444", "offset 43")</f>
        <v>offset 43</v>
      </c>
    </row>
    <row r="7178" customFormat="false" ht="12.8" hidden="false" customHeight="false" outlineLevel="0" collapsed="false">
      <c r="A7178" s="0" t="s">
        <v>12</v>
      </c>
      <c r="B7178" s="0" t="n">
        <v>2019121</v>
      </c>
      <c r="C7178" s="0" t="n">
        <v>2019141</v>
      </c>
      <c r="D7178" s="0" t="s">
        <v>23996</v>
      </c>
      <c r="E7178" s="0" t="s">
        <v>23997</v>
      </c>
      <c r="F7178" s="0" t="s">
        <v>90</v>
      </c>
      <c r="G7178" s="0" t="s">
        <v>16</v>
      </c>
      <c r="H7178" s="0" t="n">
        <v>67</v>
      </c>
      <c r="I7178" s="0" t="s">
        <v>24001</v>
      </c>
      <c r="J7178" s="0" t="s">
        <v>24002</v>
      </c>
      <c r="K7178" s="0" t="s">
        <v>24003</v>
      </c>
      <c r="L7178" s="0" t="str">
        <f aca="false">HYPERLINK("https://www.ncbi.nlm.nih.gov/nuccore/CP000304.1?report=graph&amp;tracks=[key:gene_model_track,Options:GeneOnly]&amp;mk=2019146:2019165|offset_43|444444,2019122:2019141|offset_67|00cc00,2019085:2019104|offset_104|444444,2019062:2019081|offset_127|444444&amp;v=2018945:2019281&amp;c=444444", "offset 67")</f>
        <v>offset 67</v>
      </c>
    </row>
    <row r="7179" customFormat="false" ht="12.8" hidden="false" customHeight="false" outlineLevel="0" collapsed="false">
      <c r="A7179" s="0" t="s">
        <v>12</v>
      </c>
      <c r="B7179" s="0" t="n">
        <v>2019084</v>
      </c>
      <c r="C7179" s="0" t="n">
        <v>2019104</v>
      </c>
      <c r="D7179" s="0" t="s">
        <v>23996</v>
      </c>
      <c r="E7179" s="0" t="s">
        <v>23997</v>
      </c>
      <c r="F7179" s="0" t="s">
        <v>90</v>
      </c>
      <c r="G7179" s="0" t="s">
        <v>26</v>
      </c>
      <c r="H7179" s="0" t="n">
        <v>104</v>
      </c>
      <c r="I7179" s="0" t="s">
        <v>24004</v>
      </c>
      <c r="J7179" s="0" t="s">
        <v>24005</v>
      </c>
      <c r="K7179" s="0" t="s">
        <v>24006</v>
      </c>
      <c r="L7179" s="0" t="str">
        <f aca="false">HYPERLINK("https://www.ncbi.nlm.nih.gov/nuccore/CP000304.1?report=graph&amp;tracks=[key:gene_model_track,Options:GeneOnly]&amp;mk=2019146:2019165|offset_43|444444,2019122:2019141|offset_67|444444,2019085:2019104|offset_104|00cc00,2019062:2019081|offset_127|444444&amp;v=2018945:2019281&amp;c=444444", "offset 104")</f>
        <v>offset 104</v>
      </c>
    </row>
    <row r="7180" customFormat="false" ht="12.8" hidden="false" customHeight="false" outlineLevel="0" collapsed="false">
      <c r="A7180" s="0" t="s">
        <v>12</v>
      </c>
      <c r="B7180" s="0" t="n">
        <v>2019061</v>
      </c>
      <c r="C7180" s="0" t="n">
        <v>2019081</v>
      </c>
      <c r="D7180" s="0" t="s">
        <v>23996</v>
      </c>
      <c r="E7180" s="0" t="s">
        <v>23997</v>
      </c>
      <c r="F7180" s="0" t="s">
        <v>90</v>
      </c>
      <c r="G7180" s="0" t="s">
        <v>26</v>
      </c>
      <c r="H7180" s="0" t="n">
        <v>127</v>
      </c>
      <c r="I7180" s="0" t="s">
        <v>24007</v>
      </c>
      <c r="J7180" s="0" t="s">
        <v>24008</v>
      </c>
      <c r="K7180" s="0" t="s">
        <v>24009</v>
      </c>
      <c r="L7180" s="0" t="str">
        <f aca="false">HYPERLINK("https://www.ncbi.nlm.nih.gov/nuccore/CP000304.1?report=graph&amp;tracks=[key:gene_model_track,Options:GeneOnly]&amp;mk=2019146:2019165|offset_43|444444,2019122:2019141|offset_67|444444,2019085:2019104|offset_104|444444,2019062:2019081|offset_127|00cc00&amp;v=2018945:2019281&amp;c=444444", "offset 127")</f>
        <v>offset 127</v>
      </c>
    </row>
    <row r="7181" customFormat="false" ht="12.8" hidden="false" customHeight="false" outlineLevel="0" collapsed="false">
      <c r="A7181" s="0" t="s">
        <v>12</v>
      </c>
      <c r="B7181" s="0" t="n">
        <v>2019569</v>
      </c>
      <c r="C7181" s="0" t="n">
        <v>2019589</v>
      </c>
      <c r="D7181" s="0" t="s">
        <v>24010</v>
      </c>
      <c r="E7181" s="0" t="s">
        <v>24011</v>
      </c>
      <c r="F7181" s="0" t="s">
        <v>15</v>
      </c>
      <c r="G7181" s="0" t="s">
        <v>16</v>
      </c>
      <c r="H7181" s="0" t="n">
        <v>1</v>
      </c>
      <c r="I7181" s="0" t="s">
        <v>24012</v>
      </c>
      <c r="J7181" s="0" t="s">
        <v>24013</v>
      </c>
      <c r="K7181" s="0" t="s">
        <v>24014</v>
      </c>
      <c r="L7181" s="0" t="str">
        <f aca="false">HYPERLINK("https://www.ncbi.nlm.nih.gov/nuccore/CP000304.1?report=graph&amp;tracks=[key:gene_model_track,Options:GeneOnly]&amp;mk=2019570:2019589|offset_1|00cc00,2019595:2019614|offset_26|444444,2019619:2019638|offset_50|444444,2019646:2019665|offset_77|444444&amp;v=2019369:2019865&amp;c=444444", "offset 1")</f>
        <v>offset 1</v>
      </c>
    </row>
    <row r="7182" customFormat="false" ht="12.8" hidden="false" customHeight="false" outlineLevel="0" collapsed="false">
      <c r="A7182" s="0" t="s">
        <v>12</v>
      </c>
      <c r="B7182" s="0" t="n">
        <v>2019594</v>
      </c>
      <c r="C7182" s="0" t="n">
        <v>2019614</v>
      </c>
      <c r="D7182" s="0" t="s">
        <v>24010</v>
      </c>
      <c r="E7182" s="0" t="s">
        <v>24011</v>
      </c>
      <c r="F7182" s="0" t="s">
        <v>15</v>
      </c>
      <c r="G7182" s="0" t="s">
        <v>26</v>
      </c>
      <c r="H7182" s="0" t="n">
        <v>26</v>
      </c>
      <c r="I7182" s="0" t="s">
        <v>24015</v>
      </c>
      <c r="J7182" s="0" t="s">
        <v>24016</v>
      </c>
      <c r="K7182" s="0" t="s">
        <v>24017</v>
      </c>
      <c r="L7182" s="0" t="str">
        <f aca="false">HYPERLINK("https://www.ncbi.nlm.nih.gov/nuccore/CP000304.1?report=graph&amp;tracks=[key:gene_model_track,Options:GeneOnly]&amp;mk=2019570:2019589|offset_1|444444,2019595:2019614|offset_26|00cc00,2019619:2019638|offset_50|444444,2019646:2019665|offset_77|444444&amp;v=2019369:2019865&amp;c=444444", "offset 26")</f>
        <v>offset 26</v>
      </c>
    </row>
    <row r="7183" customFormat="false" ht="12.8" hidden="false" customHeight="false" outlineLevel="0" collapsed="false">
      <c r="A7183" s="0" t="s">
        <v>12</v>
      </c>
      <c r="B7183" s="0" t="n">
        <v>2019618</v>
      </c>
      <c r="C7183" s="0" t="n">
        <v>2019638</v>
      </c>
      <c r="D7183" s="0" t="s">
        <v>24010</v>
      </c>
      <c r="E7183" s="0" t="s">
        <v>24011</v>
      </c>
      <c r="F7183" s="0" t="s">
        <v>15</v>
      </c>
      <c r="G7183" s="0" t="s">
        <v>36</v>
      </c>
      <c r="H7183" s="0" t="n">
        <v>50</v>
      </c>
      <c r="I7183" s="0" t="s">
        <v>24018</v>
      </c>
      <c r="J7183" s="0" t="s">
        <v>24019</v>
      </c>
      <c r="K7183" s="0" t="s">
        <v>24020</v>
      </c>
      <c r="L7183" s="0" t="str">
        <f aca="false">HYPERLINK("https://www.ncbi.nlm.nih.gov/nuccore/CP000304.1?report=graph&amp;tracks=[key:gene_model_track,Options:GeneOnly]&amp;mk=2019570:2019589|offset_1|444444,2019595:2019614|offset_26|444444,2019619:2019638|offset_50|00cc00,2019646:2019665|offset_77|444444&amp;v=2019369:2019865&amp;c=444444", "offset 50")</f>
        <v>offset 50</v>
      </c>
    </row>
    <row r="7184" customFormat="false" ht="12.8" hidden="false" customHeight="false" outlineLevel="0" collapsed="false">
      <c r="A7184" s="0" t="s">
        <v>12</v>
      </c>
      <c r="B7184" s="0" t="n">
        <v>2019645</v>
      </c>
      <c r="C7184" s="0" t="n">
        <v>2019665</v>
      </c>
      <c r="D7184" s="0" t="s">
        <v>24010</v>
      </c>
      <c r="E7184" s="0" t="s">
        <v>24011</v>
      </c>
      <c r="F7184" s="0" t="s">
        <v>15</v>
      </c>
      <c r="G7184" s="0" t="s">
        <v>32</v>
      </c>
      <c r="H7184" s="0" t="n">
        <v>77</v>
      </c>
      <c r="I7184" s="0" t="s">
        <v>24021</v>
      </c>
      <c r="J7184" s="0" t="s">
        <v>24022</v>
      </c>
      <c r="K7184" s="0" t="s">
        <v>24023</v>
      </c>
      <c r="L7184" s="0" t="str">
        <f aca="false">HYPERLINK("https://www.ncbi.nlm.nih.gov/nuccore/CP000304.1?report=graph&amp;tracks=[key:gene_model_track,Options:GeneOnly]&amp;mk=2019570:2019589|offset_1|444444,2019595:2019614|offset_26|444444,2019619:2019638|offset_50|444444,2019646:2019665|offset_77|00cc00&amp;v=2019369:2019865&amp;c=444444", "offset 77")</f>
        <v>offset 77</v>
      </c>
    </row>
    <row r="7185" customFormat="false" ht="12.8" hidden="false" customHeight="false" outlineLevel="0" collapsed="false">
      <c r="A7185" s="0" t="s">
        <v>12</v>
      </c>
      <c r="B7185" s="0" t="n">
        <v>2019946</v>
      </c>
      <c r="C7185" s="0" t="n">
        <v>2019966</v>
      </c>
      <c r="D7185" s="0" t="s">
        <v>24024</v>
      </c>
      <c r="E7185" s="0" t="s">
        <v>24025</v>
      </c>
      <c r="F7185" s="0" t="s">
        <v>15</v>
      </c>
      <c r="G7185" s="0" t="s">
        <v>32</v>
      </c>
      <c r="H7185" s="0" t="n">
        <v>10</v>
      </c>
      <c r="I7185" s="0" t="s">
        <v>24026</v>
      </c>
      <c r="J7185" s="0" t="s">
        <v>24027</v>
      </c>
      <c r="K7185" s="0" t="s">
        <v>24028</v>
      </c>
      <c r="L7185" s="0" t="str">
        <f aca="false">HYPERLINK("https://www.ncbi.nlm.nih.gov/nuccore/CP000304.1?report=graph&amp;tracks=[key:gene_model_track,Options:GeneOnly]&amp;mk=2019947:2019966|offset_10|00cc00,2020035:2020054|offset_98|444444,2020059:2020078|offset_122|444444,2020100:2020119|offset_163|444444&amp;v=2019746:2020319&amp;c=444444", "offset 10")</f>
        <v>offset 10</v>
      </c>
    </row>
    <row r="7186" customFormat="false" ht="12.8" hidden="false" customHeight="false" outlineLevel="0" collapsed="false">
      <c r="A7186" s="0" t="s">
        <v>12</v>
      </c>
      <c r="B7186" s="0" t="n">
        <v>2020034</v>
      </c>
      <c r="C7186" s="0" t="n">
        <v>2020054</v>
      </c>
      <c r="D7186" s="0" t="s">
        <v>24024</v>
      </c>
      <c r="E7186" s="0" t="s">
        <v>24025</v>
      </c>
      <c r="F7186" s="0" t="s">
        <v>15</v>
      </c>
      <c r="G7186" s="0" t="s">
        <v>26</v>
      </c>
      <c r="H7186" s="0" t="n">
        <v>98</v>
      </c>
      <c r="I7186" s="0" t="s">
        <v>24029</v>
      </c>
      <c r="J7186" s="0" t="s">
        <v>24030</v>
      </c>
      <c r="K7186" s="0" t="s">
        <v>24031</v>
      </c>
      <c r="L7186" s="0" t="str">
        <f aca="false">HYPERLINK("https://www.ncbi.nlm.nih.gov/nuccore/CP000304.1?report=graph&amp;tracks=[key:gene_model_track,Options:GeneOnly]&amp;mk=2019947:2019966|offset_10|444444,2020035:2020054|offset_98|00cc00,2020059:2020078|offset_122|444444,2020100:2020119|offset_163|444444&amp;v=2019746:2020319&amp;c=444444", "offset 98")</f>
        <v>offset 98</v>
      </c>
    </row>
    <row r="7187" customFormat="false" ht="12.8" hidden="false" customHeight="false" outlineLevel="0" collapsed="false">
      <c r="A7187" s="0" t="s">
        <v>12</v>
      </c>
      <c r="B7187" s="0" t="n">
        <v>2020058</v>
      </c>
      <c r="C7187" s="0" t="n">
        <v>2020078</v>
      </c>
      <c r="D7187" s="0" t="s">
        <v>24024</v>
      </c>
      <c r="E7187" s="0" t="s">
        <v>24025</v>
      </c>
      <c r="F7187" s="0" t="s">
        <v>15</v>
      </c>
      <c r="G7187" s="0" t="s">
        <v>36</v>
      </c>
      <c r="H7187" s="0" t="n">
        <v>122</v>
      </c>
      <c r="I7187" s="0" t="s">
        <v>24032</v>
      </c>
      <c r="J7187" s="0" t="s">
        <v>24033</v>
      </c>
      <c r="K7187" s="0" t="s">
        <v>24034</v>
      </c>
      <c r="L7187" s="0" t="str">
        <f aca="false">HYPERLINK("https://www.ncbi.nlm.nih.gov/nuccore/CP000304.1?report=graph&amp;tracks=[key:gene_model_track,Options:GeneOnly]&amp;mk=2019947:2019966|offset_10|444444,2020035:2020054|offset_98|444444,2020059:2020078|offset_122|00cc00,2020100:2020119|offset_163|444444&amp;v=2019746:2020319&amp;c=444444", "offset 122")</f>
        <v>offset 122</v>
      </c>
    </row>
    <row r="7188" customFormat="false" ht="12.8" hidden="false" customHeight="false" outlineLevel="0" collapsed="false">
      <c r="A7188" s="0" t="s">
        <v>12</v>
      </c>
      <c r="B7188" s="0" t="n">
        <v>2020099</v>
      </c>
      <c r="C7188" s="0" t="n">
        <v>2020119</v>
      </c>
      <c r="D7188" s="0" t="s">
        <v>24024</v>
      </c>
      <c r="E7188" s="0" t="s">
        <v>24025</v>
      </c>
      <c r="F7188" s="0" t="s">
        <v>15</v>
      </c>
      <c r="G7188" s="0" t="s">
        <v>32</v>
      </c>
      <c r="H7188" s="0" t="n">
        <v>163</v>
      </c>
      <c r="I7188" s="0" t="s">
        <v>24035</v>
      </c>
      <c r="J7188" s="0" t="s">
        <v>24036</v>
      </c>
      <c r="K7188" s="0" t="s">
        <v>24037</v>
      </c>
      <c r="L7188" s="0" t="str">
        <f aca="false">HYPERLINK("https://www.ncbi.nlm.nih.gov/nuccore/CP000304.1?report=graph&amp;tracks=[key:gene_model_track,Options:GeneOnly]&amp;mk=2019947:2019966|offset_10|444444,2020035:2020054|offset_98|444444,2020059:2020078|offset_122|444444,2020100:2020119|offset_163|00cc00&amp;v=2019746:2020319&amp;c=444444", "offset 163")</f>
        <v>offset 163</v>
      </c>
    </row>
    <row r="7189" customFormat="false" ht="12.8" hidden="false" customHeight="false" outlineLevel="0" collapsed="false">
      <c r="A7189" s="0" t="s">
        <v>12</v>
      </c>
      <c r="B7189" s="0" t="n">
        <v>2020342</v>
      </c>
      <c r="C7189" s="0" t="n">
        <v>2020362</v>
      </c>
      <c r="D7189" s="0" t="s">
        <v>24038</v>
      </c>
      <c r="E7189" s="0" t="s">
        <v>24039</v>
      </c>
      <c r="F7189" s="0" t="s">
        <v>15</v>
      </c>
      <c r="G7189" s="0" t="s">
        <v>32</v>
      </c>
      <c r="H7189" s="0" t="n">
        <v>34</v>
      </c>
      <c r="I7189" s="0" t="s">
        <v>24040</v>
      </c>
      <c r="J7189" s="0" t="s">
        <v>24041</v>
      </c>
      <c r="K7189" s="0" t="s">
        <v>24042</v>
      </c>
      <c r="L7189" s="0" t="str">
        <f aca="false">HYPERLINK("https://www.ncbi.nlm.nih.gov/nuccore/CP000304.1?report=graph&amp;tracks=[key:gene_model_track,Options:GeneOnly]&amp;mk=2020343:2020362|offset_34|00cc00,2020367:2020386|offset_58|444444,2020394:2020413|offset_85|444444,2020424:2020443|offset_115|444444&amp;v=2020142:2020643&amp;c=444444", "offset 34")</f>
        <v>offset 34</v>
      </c>
    </row>
    <row r="7190" customFormat="false" ht="12.8" hidden="false" customHeight="false" outlineLevel="0" collapsed="false">
      <c r="A7190" s="0" t="s">
        <v>12</v>
      </c>
      <c r="B7190" s="0" t="n">
        <v>2020366</v>
      </c>
      <c r="C7190" s="0" t="n">
        <v>2020386</v>
      </c>
      <c r="D7190" s="0" t="s">
        <v>24038</v>
      </c>
      <c r="E7190" s="0" t="s">
        <v>24039</v>
      </c>
      <c r="F7190" s="0" t="s">
        <v>15</v>
      </c>
      <c r="G7190" s="0" t="s">
        <v>16</v>
      </c>
      <c r="H7190" s="0" t="n">
        <v>58</v>
      </c>
      <c r="I7190" s="0" t="s">
        <v>24043</v>
      </c>
      <c r="J7190" s="0" t="s">
        <v>24044</v>
      </c>
      <c r="K7190" s="0" t="s">
        <v>24045</v>
      </c>
      <c r="L7190" s="0" t="str">
        <f aca="false">HYPERLINK("https://www.ncbi.nlm.nih.gov/nuccore/CP000304.1?report=graph&amp;tracks=[key:gene_model_track,Options:GeneOnly]&amp;mk=2020343:2020362|offset_34|444444,2020367:2020386|offset_58|00cc00,2020394:2020413|offset_85|444444,2020424:2020443|offset_115|444444&amp;v=2020142:2020643&amp;c=444444", "offset 58")</f>
        <v>offset 58</v>
      </c>
    </row>
    <row r="7191" customFormat="false" ht="12.8" hidden="false" customHeight="false" outlineLevel="0" collapsed="false">
      <c r="A7191" s="0" t="s">
        <v>12</v>
      </c>
      <c r="B7191" s="0" t="n">
        <v>2020393</v>
      </c>
      <c r="C7191" s="0" t="n">
        <v>2020413</v>
      </c>
      <c r="D7191" s="0" t="s">
        <v>24038</v>
      </c>
      <c r="E7191" s="0" t="s">
        <v>24039</v>
      </c>
      <c r="F7191" s="0" t="s">
        <v>15</v>
      </c>
      <c r="G7191" s="0" t="s">
        <v>36</v>
      </c>
      <c r="H7191" s="0" t="n">
        <v>85</v>
      </c>
      <c r="I7191" s="0" t="s">
        <v>24046</v>
      </c>
      <c r="J7191" s="0" t="s">
        <v>24047</v>
      </c>
      <c r="K7191" s="0" t="s">
        <v>24048</v>
      </c>
      <c r="L7191" s="0" t="str">
        <f aca="false">HYPERLINK("https://www.ncbi.nlm.nih.gov/nuccore/CP000304.1?report=graph&amp;tracks=[key:gene_model_track,Options:GeneOnly]&amp;mk=2020343:2020362|offset_34|444444,2020367:2020386|offset_58|444444,2020394:2020413|offset_85|00cc00,2020424:2020443|offset_115|444444&amp;v=2020142:2020643&amp;c=444444", "offset 85")</f>
        <v>offset 85</v>
      </c>
    </row>
    <row r="7192" customFormat="false" ht="12.8" hidden="false" customHeight="false" outlineLevel="0" collapsed="false">
      <c r="A7192" s="0" t="s">
        <v>12</v>
      </c>
      <c r="B7192" s="0" t="n">
        <v>2020423</v>
      </c>
      <c r="C7192" s="0" t="n">
        <v>2020443</v>
      </c>
      <c r="D7192" s="0" t="s">
        <v>24038</v>
      </c>
      <c r="E7192" s="0" t="s">
        <v>24039</v>
      </c>
      <c r="F7192" s="0" t="s">
        <v>15</v>
      </c>
      <c r="G7192" s="0" t="s">
        <v>32</v>
      </c>
      <c r="H7192" s="0" t="n">
        <v>115</v>
      </c>
      <c r="I7192" s="0" t="s">
        <v>24049</v>
      </c>
      <c r="J7192" s="0" t="s">
        <v>24050</v>
      </c>
      <c r="K7192" s="0" t="s">
        <v>24051</v>
      </c>
      <c r="L7192" s="0" t="str">
        <f aca="false">HYPERLINK("https://www.ncbi.nlm.nih.gov/nuccore/CP000304.1?report=graph&amp;tracks=[key:gene_model_track,Options:GeneOnly]&amp;mk=2020343:2020362|offset_34|444444,2020367:2020386|offset_58|444444,2020394:2020413|offset_85|444444,2020424:2020443|offset_115|00cc00&amp;v=2020142:2020643&amp;c=444444", "offset 115")</f>
        <v>offset 115</v>
      </c>
    </row>
    <row r="7193" customFormat="false" ht="12.8" hidden="false" customHeight="false" outlineLevel="0" collapsed="false">
      <c r="A7193" s="0" t="s">
        <v>12</v>
      </c>
      <c r="B7193" s="0" t="n">
        <v>2022123</v>
      </c>
      <c r="C7193" s="0" t="n">
        <v>2022143</v>
      </c>
      <c r="D7193" s="0" t="s">
        <v>24052</v>
      </c>
      <c r="E7193" s="0" t="s">
        <v>24053</v>
      </c>
      <c r="F7193" s="0" t="s">
        <v>15</v>
      </c>
      <c r="G7193" s="0" t="s">
        <v>36</v>
      </c>
      <c r="H7193" s="0" t="n">
        <v>32</v>
      </c>
      <c r="I7193" s="0" t="s">
        <v>24054</v>
      </c>
      <c r="J7193" s="0" t="s">
        <v>24055</v>
      </c>
      <c r="K7193" s="0" t="s">
        <v>24056</v>
      </c>
      <c r="L7193" s="0" t="str">
        <f aca="false">HYPERLINK("https://www.ncbi.nlm.nih.gov/nuccore/CP000304.1?report=graph&amp;tracks=[key:gene_model_track,Options:GeneOnly]&amp;mk=2022124:2022143|offset_32|00cc00,2022160:2022179|offset_68|444444,2022184:2022203|offset_92|444444,2022226:2022245|offset_134|444444&amp;v=2021923:2022445&amp;c=444444", "offset 32")</f>
        <v>offset 32</v>
      </c>
    </row>
    <row r="7194" customFormat="false" ht="12.8" hidden="false" customHeight="false" outlineLevel="0" collapsed="false">
      <c r="A7194" s="0" t="s">
        <v>12</v>
      </c>
      <c r="B7194" s="0" t="n">
        <v>2022159</v>
      </c>
      <c r="C7194" s="0" t="n">
        <v>2022179</v>
      </c>
      <c r="D7194" s="0" t="s">
        <v>24052</v>
      </c>
      <c r="E7194" s="0" t="s">
        <v>24053</v>
      </c>
      <c r="F7194" s="0" t="s">
        <v>15</v>
      </c>
      <c r="G7194" s="0" t="s">
        <v>32</v>
      </c>
      <c r="H7194" s="0" t="n">
        <v>68</v>
      </c>
      <c r="I7194" s="0" t="s">
        <v>24057</v>
      </c>
      <c r="J7194" s="0" t="s">
        <v>24058</v>
      </c>
      <c r="K7194" s="0" t="s">
        <v>24059</v>
      </c>
      <c r="L7194" s="0" t="str">
        <f aca="false">HYPERLINK("https://www.ncbi.nlm.nih.gov/nuccore/CP000304.1?report=graph&amp;tracks=[key:gene_model_track,Options:GeneOnly]&amp;mk=2022124:2022143|offset_32|444444,2022160:2022179|offset_68|00cc00,2022184:2022203|offset_92|444444,2022226:2022245|offset_134|444444&amp;v=2021923:2022445&amp;c=444444", "offset 68")</f>
        <v>offset 68</v>
      </c>
    </row>
    <row r="7195" customFormat="false" ht="12.8" hidden="false" customHeight="false" outlineLevel="0" collapsed="false">
      <c r="A7195" s="0" t="s">
        <v>12</v>
      </c>
      <c r="B7195" s="0" t="n">
        <v>2022183</v>
      </c>
      <c r="C7195" s="0" t="n">
        <v>2022203</v>
      </c>
      <c r="D7195" s="0" t="s">
        <v>24052</v>
      </c>
      <c r="E7195" s="0" t="s">
        <v>24053</v>
      </c>
      <c r="F7195" s="0" t="s">
        <v>15</v>
      </c>
      <c r="G7195" s="0" t="s">
        <v>26</v>
      </c>
      <c r="H7195" s="0" t="n">
        <v>92</v>
      </c>
      <c r="I7195" s="0" t="s">
        <v>24060</v>
      </c>
      <c r="J7195" s="0" t="s">
        <v>24061</v>
      </c>
      <c r="K7195" s="0" t="s">
        <v>24062</v>
      </c>
      <c r="L7195" s="0" t="str">
        <f aca="false">HYPERLINK("https://www.ncbi.nlm.nih.gov/nuccore/CP000304.1?report=graph&amp;tracks=[key:gene_model_track,Options:GeneOnly]&amp;mk=2022124:2022143|offset_32|444444,2022160:2022179|offset_68|444444,2022184:2022203|offset_92|00cc00,2022226:2022245|offset_134|444444&amp;v=2021923:2022445&amp;c=444444", "offset 92")</f>
        <v>offset 92</v>
      </c>
    </row>
    <row r="7196" customFormat="false" ht="12.8" hidden="false" customHeight="false" outlineLevel="0" collapsed="false">
      <c r="A7196" s="0" t="s">
        <v>12</v>
      </c>
      <c r="B7196" s="0" t="n">
        <v>2022225</v>
      </c>
      <c r="C7196" s="0" t="n">
        <v>2022245</v>
      </c>
      <c r="D7196" s="0" t="s">
        <v>24052</v>
      </c>
      <c r="E7196" s="0" t="s">
        <v>24053</v>
      </c>
      <c r="F7196" s="0" t="s">
        <v>15</v>
      </c>
      <c r="G7196" s="0" t="s">
        <v>32</v>
      </c>
      <c r="H7196" s="0" t="n">
        <v>134</v>
      </c>
      <c r="I7196" s="0" t="s">
        <v>24063</v>
      </c>
      <c r="J7196" s="0" t="s">
        <v>24064</v>
      </c>
      <c r="K7196" s="0" t="s">
        <v>24065</v>
      </c>
      <c r="L7196" s="0" t="str">
        <f aca="false">HYPERLINK("https://www.ncbi.nlm.nih.gov/nuccore/CP000304.1?report=graph&amp;tracks=[key:gene_model_track,Options:GeneOnly]&amp;mk=2022124:2022143|offset_32|444444,2022160:2022179|offset_68|444444,2022184:2022203|offset_92|444444,2022226:2022245|offset_134|00cc00&amp;v=2021923:2022445&amp;c=444444", "offset 134")</f>
        <v>offset 134</v>
      </c>
    </row>
    <row r="7197" customFormat="false" ht="12.8" hidden="false" customHeight="false" outlineLevel="0" collapsed="false">
      <c r="A7197" s="0" t="s">
        <v>12</v>
      </c>
      <c r="B7197" s="0" t="n">
        <v>2023128</v>
      </c>
      <c r="C7197" s="0" t="n">
        <v>2023148</v>
      </c>
      <c r="D7197" s="0" t="s">
        <v>24066</v>
      </c>
      <c r="E7197" s="0" t="s">
        <v>24067</v>
      </c>
      <c r="F7197" s="0" t="s">
        <v>15</v>
      </c>
      <c r="G7197" s="0" t="s">
        <v>36</v>
      </c>
      <c r="H7197" s="0" t="n">
        <v>40</v>
      </c>
      <c r="I7197" s="0" t="s">
        <v>24068</v>
      </c>
      <c r="J7197" s="0" t="s">
        <v>24069</v>
      </c>
      <c r="K7197" s="0" t="s">
        <v>24070</v>
      </c>
      <c r="L7197" s="0" t="str">
        <f aca="false">HYPERLINK("https://www.ncbi.nlm.nih.gov/nuccore/CP000304.1?report=graph&amp;tracks=[key:gene_model_track,Options:GeneOnly]&amp;mk=2023129:2023148|offset_40|00cc00,2023153:2023172|offset_64|444444,2023181:2023200|offset_92|444444,2023203:2023222|offset_114|444444&amp;v=2022928:2023422&amp;c=444444", "offset 40")</f>
        <v>offset 40</v>
      </c>
    </row>
    <row r="7198" customFormat="false" ht="12.8" hidden="false" customHeight="false" outlineLevel="0" collapsed="false">
      <c r="A7198" s="0" t="s">
        <v>12</v>
      </c>
      <c r="B7198" s="0" t="n">
        <v>2023152</v>
      </c>
      <c r="C7198" s="0" t="n">
        <v>2023172</v>
      </c>
      <c r="D7198" s="0" t="s">
        <v>24066</v>
      </c>
      <c r="E7198" s="0" t="s">
        <v>24067</v>
      </c>
      <c r="F7198" s="0" t="s">
        <v>15</v>
      </c>
      <c r="G7198" s="0" t="s">
        <v>26</v>
      </c>
      <c r="H7198" s="0" t="n">
        <v>64</v>
      </c>
      <c r="I7198" s="0" t="s">
        <v>24071</v>
      </c>
      <c r="J7198" s="0" t="s">
        <v>24072</v>
      </c>
      <c r="K7198" s="0" t="s">
        <v>24073</v>
      </c>
      <c r="L7198" s="0" t="str">
        <f aca="false">HYPERLINK("https://www.ncbi.nlm.nih.gov/nuccore/CP000304.1?report=graph&amp;tracks=[key:gene_model_track,Options:GeneOnly]&amp;mk=2023129:2023148|offset_40|444444,2023153:2023172|offset_64|00cc00,2023181:2023200|offset_92|444444,2023203:2023222|offset_114|444444&amp;v=2022928:2023422&amp;c=444444", "offset 64")</f>
        <v>offset 64</v>
      </c>
    </row>
    <row r="7199" customFormat="false" ht="12.8" hidden="false" customHeight="false" outlineLevel="0" collapsed="false">
      <c r="A7199" s="0" t="s">
        <v>12</v>
      </c>
      <c r="B7199" s="0" t="n">
        <v>2023180</v>
      </c>
      <c r="C7199" s="0" t="n">
        <v>2023200</v>
      </c>
      <c r="D7199" s="0" t="s">
        <v>24066</v>
      </c>
      <c r="E7199" s="0" t="s">
        <v>24067</v>
      </c>
      <c r="F7199" s="0" t="s">
        <v>15</v>
      </c>
      <c r="G7199" s="0" t="s">
        <v>26</v>
      </c>
      <c r="H7199" s="0" t="n">
        <v>92</v>
      </c>
      <c r="I7199" s="0" t="s">
        <v>24074</v>
      </c>
      <c r="J7199" s="0" t="s">
        <v>24075</v>
      </c>
      <c r="K7199" s="0" t="s">
        <v>24076</v>
      </c>
      <c r="L7199" s="0" t="str">
        <f aca="false">HYPERLINK("https://www.ncbi.nlm.nih.gov/nuccore/CP000304.1?report=graph&amp;tracks=[key:gene_model_track,Options:GeneOnly]&amp;mk=2023129:2023148|offset_40|444444,2023153:2023172|offset_64|444444,2023181:2023200|offset_92|00cc00,2023203:2023222|offset_114|444444&amp;v=2022928:2023422&amp;c=444444", "offset 92")</f>
        <v>offset 92</v>
      </c>
    </row>
    <row r="7200" customFormat="false" ht="12.8" hidden="false" customHeight="false" outlineLevel="0" collapsed="false">
      <c r="A7200" s="0" t="s">
        <v>12</v>
      </c>
      <c r="B7200" s="0" t="n">
        <v>2023202</v>
      </c>
      <c r="C7200" s="0" t="n">
        <v>2023222</v>
      </c>
      <c r="D7200" s="0" t="s">
        <v>24066</v>
      </c>
      <c r="E7200" s="0" t="s">
        <v>24067</v>
      </c>
      <c r="F7200" s="0" t="s">
        <v>15</v>
      </c>
      <c r="G7200" s="0" t="s">
        <v>36</v>
      </c>
      <c r="H7200" s="0" t="n">
        <v>114</v>
      </c>
      <c r="I7200" s="0" t="s">
        <v>24077</v>
      </c>
      <c r="J7200" s="0" t="s">
        <v>24078</v>
      </c>
      <c r="K7200" s="0" t="s">
        <v>24079</v>
      </c>
      <c r="L7200" s="0" t="str">
        <f aca="false">HYPERLINK("https://www.ncbi.nlm.nih.gov/nuccore/CP000304.1?report=graph&amp;tracks=[key:gene_model_track,Options:GeneOnly]&amp;mk=2023129:2023148|offset_40|444444,2023153:2023172|offset_64|444444,2023181:2023200|offset_92|444444,2023203:2023222|offset_114|00cc00&amp;v=2022928:2023422&amp;c=444444", "offset 114")</f>
        <v>offset 114</v>
      </c>
    </row>
    <row r="7201" customFormat="false" ht="12.8" hidden="false" customHeight="false" outlineLevel="0" collapsed="false">
      <c r="A7201" s="0" t="s">
        <v>12</v>
      </c>
      <c r="B7201" s="0" t="n">
        <v>2026013</v>
      </c>
      <c r="C7201" s="0" t="n">
        <v>2026033</v>
      </c>
      <c r="D7201" s="0" t="s">
        <v>24080</v>
      </c>
      <c r="E7201" s="0" t="s">
        <v>24081</v>
      </c>
      <c r="F7201" s="0" t="s">
        <v>15</v>
      </c>
      <c r="G7201" s="0" t="s">
        <v>36</v>
      </c>
      <c r="H7201" s="0" t="n">
        <v>22</v>
      </c>
      <c r="I7201" s="0" t="s">
        <v>24082</v>
      </c>
      <c r="J7201" s="0" t="s">
        <v>24083</v>
      </c>
      <c r="K7201" s="0" t="s">
        <v>24084</v>
      </c>
      <c r="L7201" s="0" t="str">
        <f aca="false">HYPERLINK("https://www.ncbi.nlm.nih.gov/nuccore/CP000304.1?report=graph&amp;tracks=[key:gene_model_track,Options:GeneOnly]&amp;mk=2026014:2026033|offset_22|00cc00,2026038:2026057|offset_46|444444,2026070:2026089|offset_78|444444,2026116:2026135|offset_124|444444&amp;v=2025813:2026335&amp;c=444444", "offset 22")</f>
        <v>offset 22</v>
      </c>
    </row>
    <row r="7202" customFormat="false" ht="12.8" hidden="false" customHeight="false" outlineLevel="0" collapsed="false">
      <c r="A7202" s="0" t="s">
        <v>12</v>
      </c>
      <c r="B7202" s="0" t="n">
        <v>2026037</v>
      </c>
      <c r="C7202" s="0" t="n">
        <v>2026057</v>
      </c>
      <c r="D7202" s="0" t="s">
        <v>24080</v>
      </c>
      <c r="E7202" s="0" t="s">
        <v>24081</v>
      </c>
      <c r="F7202" s="0" t="s">
        <v>15</v>
      </c>
      <c r="G7202" s="0" t="s">
        <v>16</v>
      </c>
      <c r="H7202" s="0" t="n">
        <v>46</v>
      </c>
      <c r="I7202" s="0" t="s">
        <v>24085</v>
      </c>
      <c r="J7202" s="0" t="s">
        <v>24086</v>
      </c>
      <c r="K7202" s="0" t="s">
        <v>24087</v>
      </c>
      <c r="L7202" s="0" t="str">
        <f aca="false">HYPERLINK("https://www.ncbi.nlm.nih.gov/nuccore/CP000304.1?report=graph&amp;tracks=[key:gene_model_track,Options:GeneOnly]&amp;mk=2026014:2026033|offset_22|444444,2026038:2026057|offset_46|00cc00,2026070:2026089|offset_78|444444,2026116:2026135|offset_124|444444&amp;v=2025813:2026335&amp;c=444444", "offset 46")</f>
        <v>offset 46</v>
      </c>
    </row>
    <row r="7203" customFormat="false" ht="12.8" hidden="false" customHeight="false" outlineLevel="0" collapsed="false">
      <c r="A7203" s="0" t="s">
        <v>12</v>
      </c>
      <c r="B7203" s="0" t="n">
        <v>2026069</v>
      </c>
      <c r="C7203" s="0" t="n">
        <v>2026089</v>
      </c>
      <c r="D7203" s="0" t="s">
        <v>24080</v>
      </c>
      <c r="E7203" s="0" t="s">
        <v>24081</v>
      </c>
      <c r="F7203" s="0" t="s">
        <v>15</v>
      </c>
      <c r="G7203" s="0" t="s">
        <v>16</v>
      </c>
      <c r="H7203" s="0" t="n">
        <v>78</v>
      </c>
      <c r="I7203" s="0" t="s">
        <v>24088</v>
      </c>
      <c r="J7203" s="0" t="s">
        <v>24089</v>
      </c>
      <c r="K7203" s="0" t="s">
        <v>24090</v>
      </c>
      <c r="L7203" s="0" t="str">
        <f aca="false">HYPERLINK("https://www.ncbi.nlm.nih.gov/nuccore/CP000304.1?report=graph&amp;tracks=[key:gene_model_track,Options:GeneOnly]&amp;mk=2026014:2026033|offset_22|444444,2026038:2026057|offset_46|444444,2026070:2026089|offset_78|00cc00,2026116:2026135|offset_124|444444&amp;v=2025813:2026335&amp;c=444444", "offset 78")</f>
        <v>offset 78</v>
      </c>
    </row>
    <row r="7204" customFormat="false" ht="12.8" hidden="false" customHeight="false" outlineLevel="0" collapsed="false">
      <c r="A7204" s="0" t="s">
        <v>12</v>
      </c>
      <c r="B7204" s="0" t="n">
        <v>2026115</v>
      </c>
      <c r="C7204" s="0" t="n">
        <v>2026135</v>
      </c>
      <c r="D7204" s="0" t="s">
        <v>24080</v>
      </c>
      <c r="E7204" s="0" t="s">
        <v>24081</v>
      </c>
      <c r="F7204" s="0" t="s">
        <v>15</v>
      </c>
      <c r="G7204" s="0" t="s">
        <v>16</v>
      </c>
      <c r="H7204" s="0" t="n">
        <v>124</v>
      </c>
      <c r="I7204" s="0" t="s">
        <v>24091</v>
      </c>
      <c r="J7204" s="0" t="s">
        <v>24092</v>
      </c>
      <c r="K7204" s="0" t="s">
        <v>24093</v>
      </c>
      <c r="L7204" s="0" t="str">
        <f aca="false">HYPERLINK("https://www.ncbi.nlm.nih.gov/nuccore/CP000304.1?report=graph&amp;tracks=[key:gene_model_track,Options:GeneOnly]&amp;mk=2026014:2026033|offset_22|444444,2026038:2026057|offset_46|444444,2026070:2026089|offset_78|444444,2026116:2026135|offset_124|00cc00&amp;v=2025813:2026335&amp;c=444444", "offset 124")</f>
        <v>offset 124</v>
      </c>
    </row>
    <row r="7205" customFormat="false" ht="12.8" hidden="false" customHeight="false" outlineLevel="0" collapsed="false">
      <c r="A7205" s="0" t="s">
        <v>12</v>
      </c>
      <c r="B7205" s="0" t="n">
        <v>2027321</v>
      </c>
      <c r="C7205" s="0" t="n">
        <v>2027341</v>
      </c>
      <c r="D7205" s="0" t="s">
        <v>24094</v>
      </c>
      <c r="E7205" s="0" t="s">
        <v>24095</v>
      </c>
      <c r="F7205" s="0" t="s">
        <v>15</v>
      </c>
      <c r="G7205" s="0" t="s">
        <v>32</v>
      </c>
      <c r="H7205" s="0" t="n">
        <v>8</v>
      </c>
      <c r="I7205" s="0" t="s">
        <v>24096</v>
      </c>
      <c r="J7205" s="0" t="s">
        <v>24097</v>
      </c>
      <c r="K7205" s="0" t="s">
        <v>24098</v>
      </c>
      <c r="L7205" s="0" t="str">
        <f aca="false">HYPERLINK("https://www.ncbi.nlm.nih.gov/nuccore/CP000304.1?report=graph&amp;tracks=[key:gene_model_track,Options:GeneOnly]&amp;mk=2027322:2027341|offset_8|00cc00,2027351:2027370|offset_37|444444,2027372:2027391|offset_58|444444,2027405:2027424|offset_91|444444&amp;v=2027121:2027624&amp;c=444444", "offset 8")</f>
        <v>offset 8</v>
      </c>
    </row>
    <row r="7206" customFormat="false" ht="12.8" hidden="false" customHeight="false" outlineLevel="0" collapsed="false">
      <c r="A7206" s="0" t="s">
        <v>12</v>
      </c>
      <c r="B7206" s="0" t="n">
        <v>2027350</v>
      </c>
      <c r="C7206" s="0" t="n">
        <v>2027370</v>
      </c>
      <c r="D7206" s="0" t="s">
        <v>24094</v>
      </c>
      <c r="E7206" s="0" t="s">
        <v>24095</v>
      </c>
      <c r="F7206" s="0" t="s">
        <v>15</v>
      </c>
      <c r="G7206" s="0" t="s">
        <v>16</v>
      </c>
      <c r="H7206" s="0" t="n">
        <v>37</v>
      </c>
      <c r="I7206" s="0" t="s">
        <v>24099</v>
      </c>
      <c r="J7206" s="0" t="s">
        <v>24100</v>
      </c>
      <c r="K7206" s="0" t="s">
        <v>24101</v>
      </c>
      <c r="L7206" s="0" t="str">
        <f aca="false">HYPERLINK("https://www.ncbi.nlm.nih.gov/nuccore/CP000304.1?report=graph&amp;tracks=[key:gene_model_track,Options:GeneOnly]&amp;mk=2027322:2027341|offset_8|444444,2027351:2027370|offset_37|00cc00,2027372:2027391|offset_58|444444,2027405:2027424|offset_91|444444&amp;v=2027121:2027624&amp;c=444444", "offset 37")</f>
        <v>offset 37</v>
      </c>
    </row>
    <row r="7207" customFormat="false" ht="12.8" hidden="false" customHeight="false" outlineLevel="0" collapsed="false">
      <c r="A7207" s="0" t="s">
        <v>12</v>
      </c>
      <c r="B7207" s="0" t="n">
        <v>2027371</v>
      </c>
      <c r="C7207" s="0" t="n">
        <v>2027391</v>
      </c>
      <c r="D7207" s="0" t="s">
        <v>24094</v>
      </c>
      <c r="E7207" s="0" t="s">
        <v>24095</v>
      </c>
      <c r="F7207" s="0" t="s">
        <v>15</v>
      </c>
      <c r="G7207" s="0" t="s">
        <v>16</v>
      </c>
      <c r="H7207" s="0" t="n">
        <v>58</v>
      </c>
      <c r="I7207" s="0" t="s">
        <v>24102</v>
      </c>
      <c r="J7207" s="0" t="s">
        <v>24103</v>
      </c>
      <c r="K7207" s="0" t="s">
        <v>24104</v>
      </c>
      <c r="L7207" s="0" t="str">
        <f aca="false">HYPERLINK("https://www.ncbi.nlm.nih.gov/nuccore/CP000304.1?report=graph&amp;tracks=[key:gene_model_track,Options:GeneOnly]&amp;mk=2027322:2027341|offset_8|444444,2027351:2027370|offset_37|444444,2027372:2027391|offset_58|00cc00,2027405:2027424|offset_91|444444&amp;v=2027121:2027624&amp;c=444444", "offset 58")</f>
        <v>offset 58</v>
      </c>
    </row>
    <row r="7208" customFormat="false" ht="12.8" hidden="false" customHeight="false" outlineLevel="0" collapsed="false">
      <c r="A7208" s="0" t="s">
        <v>12</v>
      </c>
      <c r="B7208" s="0" t="n">
        <v>2027404</v>
      </c>
      <c r="C7208" s="0" t="n">
        <v>2027424</v>
      </c>
      <c r="D7208" s="0" t="s">
        <v>24094</v>
      </c>
      <c r="E7208" s="0" t="s">
        <v>24095</v>
      </c>
      <c r="F7208" s="0" t="s">
        <v>15</v>
      </c>
      <c r="G7208" s="0" t="s">
        <v>16</v>
      </c>
      <c r="H7208" s="0" t="n">
        <v>91</v>
      </c>
      <c r="I7208" s="0" t="s">
        <v>24105</v>
      </c>
      <c r="J7208" s="0" t="s">
        <v>24106</v>
      </c>
      <c r="K7208" s="0" t="s">
        <v>24107</v>
      </c>
      <c r="L7208" s="0" t="str">
        <f aca="false">HYPERLINK("https://www.ncbi.nlm.nih.gov/nuccore/CP000304.1?report=graph&amp;tracks=[key:gene_model_track,Options:GeneOnly]&amp;mk=2027322:2027341|offset_8|444444,2027351:2027370|offset_37|444444,2027372:2027391|offset_58|444444,2027405:2027424|offset_91|00cc00&amp;v=2027121:2027624&amp;c=444444", "offset 91")</f>
        <v>offset 91</v>
      </c>
    </row>
    <row r="7209" customFormat="false" ht="12.8" hidden="false" customHeight="false" outlineLevel="0" collapsed="false">
      <c r="A7209" s="0" t="s">
        <v>12</v>
      </c>
      <c r="B7209" s="0" t="n">
        <v>2028963</v>
      </c>
      <c r="C7209" s="0" t="n">
        <v>2028983</v>
      </c>
      <c r="D7209" s="0" t="s">
        <v>24108</v>
      </c>
      <c r="E7209" s="0" t="s">
        <v>24109</v>
      </c>
      <c r="F7209" s="0" t="s">
        <v>15</v>
      </c>
      <c r="G7209" s="0" t="s">
        <v>32</v>
      </c>
      <c r="H7209" s="0" t="n">
        <v>20</v>
      </c>
      <c r="I7209" s="0" t="s">
        <v>24110</v>
      </c>
      <c r="J7209" s="0" t="s">
        <v>24111</v>
      </c>
      <c r="K7209" s="0" t="s">
        <v>24112</v>
      </c>
      <c r="L7209" s="0" t="str">
        <f aca="false">HYPERLINK("https://www.ncbi.nlm.nih.gov/nuccore/CP000304.1?report=graph&amp;tracks=[key:gene_model_track,Options:GeneOnly]&amp;mk=2028964:2028983|offset_20|00cc00,2028998:2029017|offset_54|444444,2029027:2029046|offset_83|444444,2029047:2029066|offset_103|444444&amp;v=2028763:2029266&amp;c=444444", "offset 20")</f>
        <v>offset 20</v>
      </c>
    </row>
    <row r="7210" customFormat="false" ht="12.8" hidden="false" customHeight="false" outlineLevel="0" collapsed="false">
      <c r="A7210" s="0" t="s">
        <v>12</v>
      </c>
      <c r="B7210" s="0" t="n">
        <v>2028997</v>
      </c>
      <c r="C7210" s="0" t="n">
        <v>2029017</v>
      </c>
      <c r="D7210" s="0" t="s">
        <v>24108</v>
      </c>
      <c r="E7210" s="0" t="s">
        <v>24109</v>
      </c>
      <c r="F7210" s="0" t="s">
        <v>15</v>
      </c>
      <c r="G7210" s="0" t="s">
        <v>36</v>
      </c>
      <c r="H7210" s="0" t="n">
        <v>54</v>
      </c>
      <c r="I7210" s="0" t="s">
        <v>24113</v>
      </c>
      <c r="J7210" s="0" t="s">
        <v>24114</v>
      </c>
      <c r="K7210" s="0" t="s">
        <v>24115</v>
      </c>
      <c r="L7210" s="0" t="str">
        <f aca="false">HYPERLINK("https://www.ncbi.nlm.nih.gov/nuccore/CP000304.1?report=graph&amp;tracks=[key:gene_model_track,Options:GeneOnly]&amp;mk=2028964:2028983|offset_20|444444,2028998:2029017|offset_54|00cc00,2029027:2029046|offset_83|444444,2029047:2029066|offset_103|444444&amp;v=2028763:2029266&amp;c=444444", "offset 54")</f>
        <v>offset 54</v>
      </c>
    </row>
    <row r="7211" customFormat="false" ht="12.8" hidden="false" customHeight="false" outlineLevel="0" collapsed="false">
      <c r="A7211" s="0" t="s">
        <v>12</v>
      </c>
      <c r="B7211" s="0" t="n">
        <v>2029026</v>
      </c>
      <c r="C7211" s="0" t="n">
        <v>2029046</v>
      </c>
      <c r="D7211" s="0" t="s">
        <v>24108</v>
      </c>
      <c r="E7211" s="0" t="s">
        <v>24109</v>
      </c>
      <c r="F7211" s="0" t="s">
        <v>15</v>
      </c>
      <c r="G7211" s="0" t="s">
        <v>36</v>
      </c>
      <c r="H7211" s="0" t="n">
        <v>83</v>
      </c>
      <c r="I7211" s="0" t="s">
        <v>24116</v>
      </c>
      <c r="J7211" s="0" t="s">
        <v>24117</v>
      </c>
      <c r="K7211" s="0" t="s">
        <v>24118</v>
      </c>
      <c r="L7211" s="0" t="str">
        <f aca="false">HYPERLINK("https://www.ncbi.nlm.nih.gov/nuccore/CP000304.1?report=graph&amp;tracks=[key:gene_model_track,Options:GeneOnly]&amp;mk=2028964:2028983|offset_20|444444,2028998:2029017|offset_54|444444,2029027:2029046|offset_83|00cc00,2029047:2029066|offset_103|444444&amp;v=2028763:2029266&amp;c=444444", "offset 83")</f>
        <v>offset 83</v>
      </c>
    </row>
    <row r="7212" customFormat="false" ht="12.8" hidden="false" customHeight="false" outlineLevel="0" collapsed="false">
      <c r="A7212" s="0" t="s">
        <v>12</v>
      </c>
      <c r="B7212" s="0" t="n">
        <v>2029046</v>
      </c>
      <c r="C7212" s="0" t="n">
        <v>2029066</v>
      </c>
      <c r="D7212" s="0" t="s">
        <v>24108</v>
      </c>
      <c r="E7212" s="0" t="s">
        <v>24109</v>
      </c>
      <c r="F7212" s="0" t="s">
        <v>15</v>
      </c>
      <c r="G7212" s="0" t="s">
        <v>26</v>
      </c>
      <c r="H7212" s="0" t="n">
        <v>103</v>
      </c>
      <c r="I7212" s="0" t="s">
        <v>24119</v>
      </c>
      <c r="J7212" s="0" t="s">
        <v>24120</v>
      </c>
      <c r="K7212" s="0" t="s">
        <v>24121</v>
      </c>
      <c r="L7212" s="0" t="str">
        <f aca="false">HYPERLINK("https://www.ncbi.nlm.nih.gov/nuccore/CP000304.1?report=graph&amp;tracks=[key:gene_model_track,Options:GeneOnly]&amp;mk=2028964:2028983|offset_20|444444,2028998:2029017|offset_54|444444,2029027:2029046|offset_83|444444,2029047:2029066|offset_103|00cc00&amp;v=2028763:2029266&amp;c=444444", "offset 103")</f>
        <v>offset 103</v>
      </c>
    </row>
    <row r="7213" customFormat="false" ht="12.8" hidden="false" customHeight="false" outlineLevel="0" collapsed="false">
      <c r="A7213" s="0" t="s">
        <v>12</v>
      </c>
      <c r="B7213" s="0" t="n">
        <v>2030137</v>
      </c>
      <c r="C7213" s="0" t="n">
        <v>2030157</v>
      </c>
      <c r="D7213" s="0" t="s">
        <v>24122</v>
      </c>
      <c r="E7213" s="0" t="s">
        <v>24123</v>
      </c>
      <c r="F7213" s="0" t="s">
        <v>15</v>
      </c>
      <c r="G7213" s="0" t="s">
        <v>32</v>
      </c>
      <c r="H7213" s="0" t="n">
        <v>28</v>
      </c>
      <c r="I7213" s="0" t="s">
        <v>24124</v>
      </c>
      <c r="J7213" s="0" t="s">
        <v>24125</v>
      </c>
      <c r="K7213" s="0" t="s">
        <v>24126</v>
      </c>
      <c r="L7213" s="0" t="str">
        <f aca="false">HYPERLINK("https://www.ncbi.nlm.nih.gov/nuccore/CP000304.1?report=graph&amp;tracks=[key:gene_model_track,Options:GeneOnly]&amp;mk=2030138:2030157|offset_28|00cc00,2030162:2030181|offset_52|444444,2030186:2030205|offset_76|444444,2030210:2030229|offset_100|444444&amp;v=2029937:2030429&amp;c=444444", "offset 28")</f>
        <v>offset 28</v>
      </c>
    </row>
    <row r="7214" customFormat="false" ht="12.8" hidden="false" customHeight="false" outlineLevel="0" collapsed="false">
      <c r="A7214" s="0" t="s">
        <v>12</v>
      </c>
      <c r="B7214" s="0" t="n">
        <v>2030161</v>
      </c>
      <c r="C7214" s="0" t="n">
        <v>2030181</v>
      </c>
      <c r="D7214" s="0" t="s">
        <v>24122</v>
      </c>
      <c r="E7214" s="0" t="s">
        <v>24123</v>
      </c>
      <c r="F7214" s="0" t="s">
        <v>15</v>
      </c>
      <c r="G7214" s="0" t="s">
        <v>16</v>
      </c>
      <c r="H7214" s="0" t="n">
        <v>52</v>
      </c>
      <c r="I7214" s="0" t="s">
        <v>24127</v>
      </c>
      <c r="J7214" s="0" t="s">
        <v>24128</v>
      </c>
      <c r="K7214" s="0" t="s">
        <v>24129</v>
      </c>
      <c r="L7214" s="0" t="str">
        <f aca="false">HYPERLINK("https://www.ncbi.nlm.nih.gov/nuccore/CP000304.1?report=graph&amp;tracks=[key:gene_model_track,Options:GeneOnly]&amp;mk=2030138:2030157|offset_28|444444,2030162:2030181|offset_52|00cc00,2030186:2030205|offset_76|444444,2030210:2030229|offset_100|444444&amp;v=2029937:2030429&amp;c=444444", "offset 52")</f>
        <v>offset 52</v>
      </c>
    </row>
    <row r="7215" customFormat="false" ht="12.8" hidden="false" customHeight="false" outlineLevel="0" collapsed="false">
      <c r="A7215" s="0" t="s">
        <v>12</v>
      </c>
      <c r="B7215" s="0" t="n">
        <v>2030185</v>
      </c>
      <c r="C7215" s="0" t="n">
        <v>2030205</v>
      </c>
      <c r="D7215" s="0" t="s">
        <v>24122</v>
      </c>
      <c r="E7215" s="0" t="s">
        <v>24123</v>
      </c>
      <c r="F7215" s="0" t="s">
        <v>15</v>
      </c>
      <c r="G7215" s="0" t="s">
        <v>16</v>
      </c>
      <c r="H7215" s="0" t="n">
        <v>76</v>
      </c>
      <c r="I7215" s="0" t="s">
        <v>24130</v>
      </c>
      <c r="J7215" s="0" t="s">
        <v>24131</v>
      </c>
      <c r="K7215" s="0" t="s">
        <v>24132</v>
      </c>
      <c r="L7215" s="0" t="str">
        <f aca="false">HYPERLINK("https://www.ncbi.nlm.nih.gov/nuccore/CP000304.1?report=graph&amp;tracks=[key:gene_model_track,Options:GeneOnly]&amp;mk=2030138:2030157|offset_28|444444,2030162:2030181|offset_52|444444,2030186:2030205|offset_76|00cc00,2030210:2030229|offset_100|444444&amp;v=2029937:2030429&amp;c=444444", "offset 76")</f>
        <v>offset 76</v>
      </c>
    </row>
    <row r="7216" customFormat="false" ht="12.8" hidden="false" customHeight="false" outlineLevel="0" collapsed="false">
      <c r="A7216" s="0" t="s">
        <v>12</v>
      </c>
      <c r="B7216" s="0" t="n">
        <v>2030209</v>
      </c>
      <c r="C7216" s="0" t="n">
        <v>2030229</v>
      </c>
      <c r="D7216" s="0" t="s">
        <v>24122</v>
      </c>
      <c r="E7216" s="0" t="s">
        <v>24123</v>
      </c>
      <c r="F7216" s="0" t="s">
        <v>15</v>
      </c>
      <c r="G7216" s="0" t="s">
        <v>32</v>
      </c>
      <c r="H7216" s="0" t="n">
        <v>100</v>
      </c>
      <c r="I7216" s="0" t="s">
        <v>24133</v>
      </c>
      <c r="J7216" s="0" t="s">
        <v>24134</v>
      </c>
      <c r="K7216" s="0" t="s">
        <v>24135</v>
      </c>
      <c r="L7216" s="0" t="str">
        <f aca="false">HYPERLINK("https://www.ncbi.nlm.nih.gov/nuccore/CP000304.1?report=graph&amp;tracks=[key:gene_model_track,Options:GeneOnly]&amp;mk=2030138:2030157|offset_28|444444,2030162:2030181|offset_52|444444,2030186:2030205|offset_76|444444,2030210:2030229|offset_100|00cc00&amp;v=2029937:2030429&amp;c=444444", "offset 100")</f>
        <v>offset 100</v>
      </c>
    </row>
    <row r="7217" customFormat="false" ht="12.8" hidden="false" customHeight="false" outlineLevel="0" collapsed="false">
      <c r="A7217" s="0" t="s">
        <v>12</v>
      </c>
      <c r="B7217" s="0" t="n">
        <v>2031387</v>
      </c>
      <c r="C7217" s="0" t="n">
        <v>2031407</v>
      </c>
      <c r="D7217" s="0" t="s">
        <v>24136</v>
      </c>
      <c r="E7217" s="0" t="s">
        <v>24137</v>
      </c>
      <c r="F7217" s="0" t="s">
        <v>15</v>
      </c>
      <c r="G7217" s="0" t="s">
        <v>26</v>
      </c>
      <c r="H7217" s="0" t="n">
        <v>26</v>
      </c>
      <c r="I7217" s="0" t="s">
        <v>24138</v>
      </c>
      <c r="J7217" s="0" t="s">
        <v>24139</v>
      </c>
      <c r="K7217" s="0" t="s">
        <v>24140</v>
      </c>
      <c r="L7217" s="0" t="str">
        <f aca="false">HYPERLINK("https://www.ncbi.nlm.nih.gov/nuccore/CP000304.1?report=graph&amp;tracks=[key:gene_model_track,Options:GeneOnly]&amp;mk=2031388:2031407|offset_26|00cc00,2031448:2031467|offset_86|444444,2031505:2031524|offset_143|444444,2031527:2031546|offset_165|444444&amp;v=2031187:2031746&amp;c=444444", "offset 26")</f>
        <v>offset 26</v>
      </c>
    </row>
    <row r="7218" customFormat="false" ht="12.8" hidden="false" customHeight="false" outlineLevel="0" collapsed="false">
      <c r="A7218" s="0" t="s">
        <v>12</v>
      </c>
      <c r="B7218" s="0" t="n">
        <v>2031447</v>
      </c>
      <c r="C7218" s="0" t="n">
        <v>2031467</v>
      </c>
      <c r="D7218" s="0" t="s">
        <v>24136</v>
      </c>
      <c r="E7218" s="0" t="s">
        <v>24137</v>
      </c>
      <c r="F7218" s="0" t="s">
        <v>15</v>
      </c>
      <c r="G7218" s="0" t="s">
        <v>36</v>
      </c>
      <c r="H7218" s="0" t="n">
        <v>86</v>
      </c>
      <c r="I7218" s="0" t="s">
        <v>24141</v>
      </c>
      <c r="J7218" s="0" t="s">
        <v>24142</v>
      </c>
      <c r="K7218" s="0" t="s">
        <v>24143</v>
      </c>
      <c r="L7218" s="0" t="str">
        <f aca="false">HYPERLINK("https://www.ncbi.nlm.nih.gov/nuccore/CP000304.1?report=graph&amp;tracks=[key:gene_model_track,Options:GeneOnly]&amp;mk=2031388:2031407|offset_26|444444,2031448:2031467|offset_86|00cc00,2031505:2031524|offset_143|444444,2031527:2031546|offset_165|444444&amp;v=2031187:2031746&amp;c=444444", "offset 86")</f>
        <v>offset 86</v>
      </c>
    </row>
    <row r="7219" customFormat="false" ht="12.8" hidden="false" customHeight="false" outlineLevel="0" collapsed="false">
      <c r="A7219" s="0" t="s">
        <v>12</v>
      </c>
      <c r="B7219" s="0" t="n">
        <v>2031504</v>
      </c>
      <c r="C7219" s="0" t="n">
        <v>2031524</v>
      </c>
      <c r="D7219" s="0" t="s">
        <v>24136</v>
      </c>
      <c r="E7219" s="0" t="s">
        <v>24137</v>
      </c>
      <c r="F7219" s="0" t="s">
        <v>15</v>
      </c>
      <c r="G7219" s="0" t="s">
        <v>26</v>
      </c>
      <c r="H7219" s="0" t="n">
        <v>143</v>
      </c>
      <c r="I7219" s="0" t="s">
        <v>24144</v>
      </c>
      <c r="J7219" s="0" t="s">
        <v>24145</v>
      </c>
      <c r="K7219" s="0" t="s">
        <v>24146</v>
      </c>
      <c r="L7219" s="0" t="str">
        <f aca="false">HYPERLINK("https://www.ncbi.nlm.nih.gov/nuccore/CP000304.1?report=graph&amp;tracks=[key:gene_model_track,Options:GeneOnly]&amp;mk=2031388:2031407|offset_26|444444,2031448:2031467|offset_86|444444,2031505:2031524|offset_143|00cc00,2031527:2031546|offset_165|444444&amp;v=2031187:2031746&amp;c=444444", "offset 143")</f>
        <v>offset 143</v>
      </c>
    </row>
    <row r="7220" customFormat="false" ht="12.8" hidden="false" customHeight="false" outlineLevel="0" collapsed="false">
      <c r="A7220" s="0" t="s">
        <v>12</v>
      </c>
      <c r="B7220" s="0" t="n">
        <v>2031526</v>
      </c>
      <c r="C7220" s="0" t="n">
        <v>2031546</v>
      </c>
      <c r="D7220" s="0" t="s">
        <v>24136</v>
      </c>
      <c r="E7220" s="0" t="s">
        <v>24137</v>
      </c>
      <c r="F7220" s="0" t="s">
        <v>15</v>
      </c>
      <c r="G7220" s="0" t="s">
        <v>16</v>
      </c>
      <c r="H7220" s="0" t="n">
        <v>165</v>
      </c>
      <c r="I7220" s="0" t="s">
        <v>24147</v>
      </c>
      <c r="J7220" s="0" t="s">
        <v>24148</v>
      </c>
      <c r="K7220" s="0" t="s">
        <v>24149</v>
      </c>
      <c r="L7220" s="0" t="str">
        <f aca="false">HYPERLINK("https://www.ncbi.nlm.nih.gov/nuccore/CP000304.1?report=graph&amp;tracks=[key:gene_model_track,Options:GeneOnly]&amp;mk=2031388:2031407|offset_26|444444,2031448:2031467|offset_86|444444,2031505:2031524|offset_143|444444,2031527:2031546|offset_165|00cc00&amp;v=2031187:2031746&amp;c=444444", "offset 165")</f>
        <v>offset 165</v>
      </c>
    </row>
    <row r="7221" customFormat="false" ht="12.8" hidden="false" customHeight="false" outlineLevel="0" collapsed="false">
      <c r="A7221" s="0" t="s">
        <v>12</v>
      </c>
      <c r="B7221" s="0" t="n">
        <v>2032771</v>
      </c>
      <c r="C7221" s="0" t="n">
        <v>2032791</v>
      </c>
      <c r="D7221" s="0" t="s">
        <v>24150</v>
      </c>
      <c r="E7221" s="0" t="s">
        <v>89</v>
      </c>
      <c r="F7221" s="0" t="s">
        <v>15</v>
      </c>
      <c r="G7221" s="0" t="s">
        <v>32</v>
      </c>
      <c r="H7221" s="0" t="n">
        <v>1</v>
      </c>
      <c r="I7221" s="0" t="s">
        <v>24151</v>
      </c>
      <c r="J7221" s="0" t="s">
        <v>24152</v>
      </c>
      <c r="K7221" s="0" t="s">
        <v>24153</v>
      </c>
      <c r="L7221" s="0" t="str">
        <f aca="false">HYPERLINK("https://www.ncbi.nlm.nih.gov/nuccore/CP000304.1?report=graph&amp;tracks=[key:gene_model_track,Options:GeneOnly]&amp;mk=2032772:2032791|offset_1|00cc00,2032798:2032817|offset_27|444444,2032827:2032846|offset_56|444444,2032877:2032896|offset_106|444444&amp;v=2032571:2033096&amp;c=444444", "offset 1")</f>
        <v>offset 1</v>
      </c>
    </row>
    <row r="7222" customFormat="false" ht="12.8" hidden="false" customHeight="false" outlineLevel="0" collapsed="false">
      <c r="A7222" s="0" t="s">
        <v>12</v>
      </c>
      <c r="B7222" s="0" t="n">
        <v>2032797</v>
      </c>
      <c r="C7222" s="0" t="n">
        <v>2032817</v>
      </c>
      <c r="D7222" s="0" t="s">
        <v>24150</v>
      </c>
      <c r="E7222" s="0" t="s">
        <v>89</v>
      </c>
      <c r="F7222" s="0" t="s">
        <v>15</v>
      </c>
      <c r="G7222" s="0" t="s">
        <v>16</v>
      </c>
      <c r="H7222" s="0" t="n">
        <v>27</v>
      </c>
      <c r="I7222" s="0" t="s">
        <v>24154</v>
      </c>
      <c r="J7222" s="0" t="s">
        <v>24155</v>
      </c>
      <c r="K7222" s="0" t="s">
        <v>24156</v>
      </c>
      <c r="L7222" s="0" t="str">
        <f aca="false">HYPERLINK("https://www.ncbi.nlm.nih.gov/nuccore/CP000304.1?report=graph&amp;tracks=[key:gene_model_track,Options:GeneOnly]&amp;mk=2032772:2032791|offset_1|444444,2032798:2032817|offset_27|00cc00,2032827:2032846|offset_56|444444,2032877:2032896|offset_106|444444&amp;v=2032571:2033096&amp;c=444444", "offset 27")</f>
        <v>offset 27</v>
      </c>
    </row>
    <row r="7223" customFormat="false" ht="12.8" hidden="false" customHeight="false" outlineLevel="0" collapsed="false">
      <c r="A7223" s="0" t="s">
        <v>12</v>
      </c>
      <c r="B7223" s="0" t="n">
        <v>2032826</v>
      </c>
      <c r="C7223" s="0" t="n">
        <v>2032846</v>
      </c>
      <c r="D7223" s="0" t="s">
        <v>24150</v>
      </c>
      <c r="E7223" s="0" t="s">
        <v>89</v>
      </c>
      <c r="F7223" s="0" t="s">
        <v>15</v>
      </c>
      <c r="G7223" s="0" t="s">
        <v>26</v>
      </c>
      <c r="H7223" s="0" t="n">
        <v>56</v>
      </c>
      <c r="I7223" s="0" t="s">
        <v>24157</v>
      </c>
      <c r="J7223" s="0" t="s">
        <v>24158</v>
      </c>
      <c r="K7223" s="0" t="s">
        <v>24159</v>
      </c>
      <c r="L7223" s="0" t="str">
        <f aca="false">HYPERLINK("https://www.ncbi.nlm.nih.gov/nuccore/CP000304.1?report=graph&amp;tracks=[key:gene_model_track,Options:GeneOnly]&amp;mk=2032772:2032791|offset_1|444444,2032798:2032817|offset_27|444444,2032827:2032846|offset_56|00cc00,2032877:2032896|offset_106|444444&amp;v=2032571:2033096&amp;c=444444", "offset 56")</f>
        <v>offset 56</v>
      </c>
    </row>
    <row r="7224" customFormat="false" ht="12.8" hidden="false" customHeight="false" outlineLevel="0" collapsed="false">
      <c r="A7224" s="0" t="s">
        <v>12</v>
      </c>
      <c r="B7224" s="0" t="n">
        <v>2032876</v>
      </c>
      <c r="C7224" s="0" t="n">
        <v>2032896</v>
      </c>
      <c r="D7224" s="0" t="s">
        <v>24150</v>
      </c>
      <c r="E7224" s="0" t="s">
        <v>89</v>
      </c>
      <c r="F7224" s="0" t="s">
        <v>15</v>
      </c>
      <c r="G7224" s="0" t="s">
        <v>16</v>
      </c>
      <c r="H7224" s="0" t="n">
        <v>106</v>
      </c>
      <c r="I7224" s="0" t="s">
        <v>24160</v>
      </c>
      <c r="J7224" s="0" t="s">
        <v>24161</v>
      </c>
      <c r="K7224" s="0" t="s">
        <v>24162</v>
      </c>
      <c r="L7224" s="0" t="str">
        <f aca="false">HYPERLINK("https://www.ncbi.nlm.nih.gov/nuccore/CP000304.1?report=graph&amp;tracks=[key:gene_model_track,Options:GeneOnly]&amp;mk=2032772:2032791|offset_1|444444,2032798:2032817|offset_27|444444,2032827:2032846|offset_56|444444,2032877:2032896|offset_106|00cc00&amp;v=2032571:2033096&amp;c=444444", "offset 106")</f>
        <v>offset 106</v>
      </c>
    </row>
    <row r="7225" customFormat="false" ht="12.8" hidden="false" customHeight="false" outlineLevel="0" collapsed="false">
      <c r="A7225" s="0" t="s">
        <v>12</v>
      </c>
      <c r="B7225" s="0" t="n">
        <v>2033567</v>
      </c>
      <c r="C7225" s="0" t="n">
        <v>2033587</v>
      </c>
      <c r="D7225" s="0" t="s">
        <v>24163</v>
      </c>
      <c r="E7225" s="0" t="s">
        <v>89</v>
      </c>
      <c r="F7225" s="0" t="s">
        <v>15</v>
      </c>
      <c r="G7225" s="0" t="s">
        <v>32</v>
      </c>
      <c r="H7225" s="0" t="n">
        <v>14</v>
      </c>
      <c r="I7225" s="0" t="s">
        <v>24164</v>
      </c>
      <c r="J7225" s="0" t="s">
        <v>24165</v>
      </c>
      <c r="K7225" s="0" t="s">
        <v>24166</v>
      </c>
      <c r="L7225" s="0" t="str">
        <f aca="false">HYPERLINK("https://www.ncbi.nlm.nih.gov/nuccore/CP000304.1?report=graph&amp;tracks=[key:gene_model_track,Options:GeneOnly]&amp;mk=2033568:2033587|offset_14|00cc00,2033645:2033664|offset_91|444444,2033670:2033689|offset_116|444444,2033700:2033719|offset_146|444444&amp;v=2033367:2033919&amp;c=444444", "offset 14")</f>
        <v>offset 14</v>
      </c>
    </row>
    <row r="7226" customFormat="false" ht="12.8" hidden="false" customHeight="false" outlineLevel="0" collapsed="false">
      <c r="A7226" s="0" t="s">
        <v>12</v>
      </c>
      <c r="B7226" s="0" t="n">
        <v>2033644</v>
      </c>
      <c r="C7226" s="0" t="n">
        <v>2033664</v>
      </c>
      <c r="D7226" s="0" t="s">
        <v>24163</v>
      </c>
      <c r="E7226" s="0" t="s">
        <v>89</v>
      </c>
      <c r="F7226" s="0" t="s">
        <v>15</v>
      </c>
      <c r="G7226" s="0" t="s">
        <v>16</v>
      </c>
      <c r="H7226" s="0" t="n">
        <v>91</v>
      </c>
      <c r="I7226" s="0" t="s">
        <v>24167</v>
      </c>
      <c r="J7226" s="0" t="s">
        <v>24168</v>
      </c>
      <c r="K7226" s="0" t="s">
        <v>24169</v>
      </c>
      <c r="L7226" s="0" t="str">
        <f aca="false">HYPERLINK("https://www.ncbi.nlm.nih.gov/nuccore/CP000304.1?report=graph&amp;tracks=[key:gene_model_track,Options:GeneOnly]&amp;mk=2033568:2033587|offset_14|444444,2033645:2033664|offset_91|00cc00,2033670:2033689|offset_116|444444,2033700:2033719|offset_146|444444&amp;v=2033367:2033919&amp;c=444444", "offset 91")</f>
        <v>offset 91</v>
      </c>
    </row>
    <row r="7227" customFormat="false" ht="12.8" hidden="false" customHeight="false" outlineLevel="0" collapsed="false">
      <c r="A7227" s="0" t="s">
        <v>12</v>
      </c>
      <c r="B7227" s="0" t="n">
        <v>2033669</v>
      </c>
      <c r="C7227" s="0" t="n">
        <v>2033689</v>
      </c>
      <c r="D7227" s="0" t="s">
        <v>24163</v>
      </c>
      <c r="E7227" s="0" t="s">
        <v>89</v>
      </c>
      <c r="F7227" s="0" t="s">
        <v>15</v>
      </c>
      <c r="G7227" s="0" t="s">
        <v>26</v>
      </c>
      <c r="H7227" s="0" t="n">
        <v>116</v>
      </c>
      <c r="I7227" s="0" t="s">
        <v>24170</v>
      </c>
      <c r="J7227" s="0" t="s">
        <v>24171</v>
      </c>
      <c r="K7227" s="0" t="s">
        <v>24172</v>
      </c>
      <c r="L7227" s="0" t="str">
        <f aca="false">HYPERLINK("https://www.ncbi.nlm.nih.gov/nuccore/CP000304.1?report=graph&amp;tracks=[key:gene_model_track,Options:GeneOnly]&amp;mk=2033568:2033587|offset_14|444444,2033645:2033664|offset_91|444444,2033670:2033689|offset_116|00cc00,2033700:2033719|offset_146|444444&amp;v=2033367:2033919&amp;c=444444", "offset 116")</f>
        <v>offset 116</v>
      </c>
    </row>
    <row r="7228" customFormat="false" ht="12.8" hidden="false" customHeight="false" outlineLevel="0" collapsed="false">
      <c r="A7228" s="0" t="s">
        <v>12</v>
      </c>
      <c r="B7228" s="0" t="n">
        <v>2033699</v>
      </c>
      <c r="C7228" s="0" t="n">
        <v>2033719</v>
      </c>
      <c r="D7228" s="0" t="s">
        <v>24163</v>
      </c>
      <c r="E7228" s="0" t="s">
        <v>89</v>
      </c>
      <c r="F7228" s="0" t="s">
        <v>15</v>
      </c>
      <c r="G7228" s="0" t="s">
        <v>36</v>
      </c>
      <c r="H7228" s="0" t="n">
        <v>146</v>
      </c>
      <c r="I7228" s="0" t="s">
        <v>24173</v>
      </c>
      <c r="J7228" s="0" t="s">
        <v>24174</v>
      </c>
      <c r="K7228" s="0" t="s">
        <v>24175</v>
      </c>
      <c r="L7228" s="0" t="str">
        <f aca="false">HYPERLINK("https://www.ncbi.nlm.nih.gov/nuccore/CP000304.1?report=graph&amp;tracks=[key:gene_model_track,Options:GeneOnly]&amp;mk=2033568:2033587|offset_14|444444,2033645:2033664|offset_91|444444,2033670:2033689|offset_116|444444,2033700:2033719|offset_146|00cc00&amp;v=2033367:2033919&amp;c=444444", "offset 146")</f>
        <v>offset 146</v>
      </c>
    </row>
    <row r="7229" customFormat="false" ht="12.8" hidden="false" customHeight="false" outlineLevel="0" collapsed="false">
      <c r="A7229" s="0" t="s">
        <v>12</v>
      </c>
      <c r="B7229" s="0" t="n">
        <v>2034057</v>
      </c>
      <c r="C7229" s="0" t="n">
        <v>2034077</v>
      </c>
      <c r="D7229" s="0" t="s">
        <v>24176</v>
      </c>
      <c r="E7229" s="0" t="s">
        <v>89</v>
      </c>
      <c r="F7229" s="0" t="s">
        <v>15</v>
      </c>
      <c r="G7229" s="0" t="s">
        <v>32</v>
      </c>
      <c r="H7229" s="0" t="n">
        <v>46</v>
      </c>
      <c r="I7229" s="0" t="s">
        <v>24177</v>
      </c>
      <c r="J7229" s="0" t="s">
        <v>24178</v>
      </c>
      <c r="K7229" s="0" t="s">
        <v>24179</v>
      </c>
      <c r="L7229" s="0" t="str">
        <f aca="false">HYPERLINK("https://www.ncbi.nlm.nih.gov/nuccore/CP000304.1?report=graph&amp;tracks=[key:gene_model_track,Options:GeneOnly]&amp;mk=2034058:2034077|offset_46|00cc00,2034093:2034112|offset_81|444444,2034122:2034141|offset_110|444444,2034149:2034168|offset_137|444444&amp;v=2033857:2034368&amp;c=444444", "offset 46")</f>
        <v>offset 46</v>
      </c>
    </row>
    <row r="7230" customFormat="false" ht="12.8" hidden="false" customHeight="false" outlineLevel="0" collapsed="false">
      <c r="A7230" s="0" t="s">
        <v>12</v>
      </c>
      <c r="B7230" s="0" t="n">
        <v>2034092</v>
      </c>
      <c r="C7230" s="0" t="n">
        <v>2034112</v>
      </c>
      <c r="D7230" s="0" t="s">
        <v>24176</v>
      </c>
      <c r="E7230" s="0" t="s">
        <v>89</v>
      </c>
      <c r="F7230" s="0" t="s">
        <v>15</v>
      </c>
      <c r="G7230" s="0" t="s">
        <v>36</v>
      </c>
      <c r="H7230" s="0" t="n">
        <v>81</v>
      </c>
      <c r="I7230" s="0" t="s">
        <v>24180</v>
      </c>
      <c r="J7230" s="0" t="s">
        <v>24181</v>
      </c>
      <c r="K7230" s="0" t="s">
        <v>24182</v>
      </c>
      <c r="L7230" s="0" t="str">
        <f aca="false">HYPERLINK("https://www.ncbi.nlm.nih.gov/nuccore/CP000304.1?report=graph&amp;tracks=[key:gene_model_track,Options:GeneOnly]&amp;mk=2034058:2034077|offset_46|444444,2034093:2034112|offset_81|00cc00,2034122:2034141|offset_110|444444,2034149:2034168|offset_137|444444&amp;v=2033857:2034368&amp;c=444444", "offset 81")</f>
        <v>offset 81</v>
      </c>
    </row>
    <row r="7231" customFormat="false" ht="12.8" hidden="false" customHeight="false" outlineLevel="0" collapsed="false">
      <c r="A7231" s="0" t="s">
        <v>12</v>
      </c>
      <c r="B7231" s="0" t="n">
        <v>2034121</v>
      </c>
      <c r="C7231" s="0" t="n">
        <v>2034141</v>
      </c>
      <c r="D7231" s="0" t="s">
        <v>24176</v>
      </c>
      <c r="E7231" s="0" t="s">
        <v>89</v>
      </c>
      <c r="F7231" s="0" t="s">
        <v>15</v>
      </c>
      <c r="G7231" s="0" t="s">
        <v>26</v>
      </c>
      <c r="H7231" s="0" t="n">
        <v>110</v>
      </c>
      <c r="I7231" s="0" t="s">
        <v>24183</v>
      </c>
      <c r="J7231" s="0" t="s">
        <v>24184</v>
      </c>
      <c r="K7231" s="0" t="s">
        <v>24185</v>
      </c>
      <c r="L7231" s="0" t="str">
        <f aca="false">HYPERLINK("https://www.ncbi.nlm.nih.gov/nuccore/CP000304.1?report=graph&amp;tracks=[key:gene_model_track,Options:GeneOnly]&amp;mk=2034058:2034077|offset_46|444444,2034093:2034112|offset_81|444444,2034122:2034141|offset_110|00cc00,2034149:2034168|offset_137|444444&amp;v=2033857:2034368&amp;c=444444", "offset 110")</f>
        <v>offset 110</v>
      </c>
    </row>
    <row r="7232" customFormat="false" ht="12.8" hidden="false" customHeight="false" outlineLevel="0" collapsed="false">
      <c r="A7232" s="0" t="s">
        <v>12</v>
      </c>
      <c r="B7232" s="0" t="n">
        <v>2034148</v>
      </c>
      <c r="C7232" s="0" t="n">
        <v>2034168</v>
      </c>
      <c r="D7232" s="0" t="s">
        <v>24176</v>
      </c>
      <c r="E7232" s="0" t="s">
        <v>89</v>
      </c>
      <c r="F7232" s="0" t="s">
        <v>15</v>
      </c>
      <c r="G7232" s="0" t="s">
        <v>16</v>
      </c>
      <c r="H7232" s="0" t="n">
        <v>137</v>
      </c>
      <c r="I7232" s="0" t="s">
        <v>24186</v>
      </c>
      <c r="J7232" s="0" t="s">
        <v>24187</v>
      </c>
      <c r="K7232" s="0" t="s">
        <v>24188</v>
      </c>
      <c r="L7232" s="0" t="str">
        <f aca="false">HYPERLINK("https://www.ncbi.nlm.nih.gov/nuccore/CP000304.1?report=graph&amp;tracks=[key:gene_model_track,Options:GeneOnly]&amp;mk=2034058:2034077|offset_46|444444,2034093:2034112|offset_81|444444,2034122:2034141|offset_110|444444,2034149:2034168|offset_137|00cc00&amp;v=2033857:2034368&amp;c=444444", "offset 137")</f>
        <v>offset 137</v>
      </c>
    </row>
    <row r="7233" customFormat="false" ht="12.8" hidden="false" customHeight="false" outlineLevel="0" collapsed="false">
      <c r="A7233" s="0" t="s">
        <v>12</v>
      </c>
      <c r="B7233" s="0" t="n">
        <v>2034550</v>
      </c>
      <c r="C7233" s="0" t="n">
        <v>2034570</v>
      </c>
      <c r="D7233" s="0" t="s">
        <v>24189</v>
      </c>
      <c r="E7233" s="0" t="s">
        <v>89</v>
      </c>
      <c r="F7233" s="0" t="s">
        <v>15</v>
      </c>
      <c r="G7233" s="0" t="s">
        <v>26</v>
      </c>
      <c r="H7233" s="0" t="n">
        <v>29</v>
      </c>
      <c r="I7233" s="0" t="s">
        <v>24190</v>
      </c>
      <c r="J7233" s="0" t="s">
        <v>24191</v>
      </c>
      <c r="K7233" s="0" t="s">
        <v>24192</v>
      </c>
      <c r="L7233" s="0" t="str">
        <f aca="false">HYPERLINK("https://www.ncbi.nlm.nih.gov/nuccore/CP000304.1?report=graph&amp;tracks=[key:gene_model_track,Options:GeneOnly]&amp;mk=2034551:2034570|offset_29|00cc00,2034590:2034609|offset_68|444444,2034636:2034655|offset_114|444444,2034665:2034684|offset_143|444444&amp;v=2034350:2034884&amp;c=444444", "offset 29")</f>
        <v>offset 29</v>
      </c>
    </row>
    <row r="7234" customFormat="false" ht="12.8" hidden="false" customHeight="false" outlineLevel="0" collapsed="false">
      <c r="A7234" s="0" t="s">
        <v>12</v>
      </c>
      <c r="B7234" s="0" t="n">
        <v>2034589</v>
      </c>
      <c r="C7234" s="0" t="n">
        <v>2034609</v>
      </c>
      <c r="D7234" s="0" t="s">
        <v>24189</v>
      </c>
      <c r="E7234" s="0" t="s">
        <v>89</v>
      </c>
      <c r="F7234" s="0" t="s">
        <v>15</v>
      </c>
      <c r="G7234" s="0" t="s">
        <v>32</v>
      </c>
      <c r="H7234" s="0" t="n">
        <v>68</v>
      </c>
      <c r="I7234" s="0" t="s">
        <v>24193</v>
      </c>
      <c r="J7234" s="0" t="s">
        <v>24194</v>
      </c>
      <c r="K7234" s="0" t="s">
        <v>24195</v>
      </c>
      <c r="L7234" s="0" t="str">
        <f aca="false">HYPERLINK("https://www.ncbi.nlm.nih.gov/nuccore/CP000304.1?report=graph&amp;tracks=[key:gene_model_track,Options:GeneOnly]&amp;mk=2034551:2034570|offset_29|444444,2034590:2034609|offset_68|00cc00,2034636:2034655|offset_114|444444,2034665:2034684|offset_143|444444&amp;v=2034350:2034884&amp;c=444444", "offset 68")</f>
        <v>offset 68</v>
      </c>
    </row>
    <row r="7235" customFormat="false" ht="12.8" hidden="false" customHeight="false" outlineLevel="0" collapsed="false">
      <c r="A7235" s="0" t="s">
        <v>12</v>
      </c>
      <c r="B7235" s="0" t="n">
        <v>2034635</v>
      </c>
      <c r="C7235" s="0" t="n">
        <v>2034655</v>
      </c>
      <c r="D7235" s="0" t="s">
        <v>24189</v>
      </c>
      <c r="E7235" s="0" t="s">
        <v>89</v>
      </c>
      <c r="F7235" s="0" t="s">
        <v>15</v>
      </c>
      <c r="G7235" s="0" t="s">
        <v>16</v>
      </c>
      <c r="H7235" s="0" t="n">
        <v>114</v>
      </c>
      <c r="I7235" s="0" t="s">
        <v>24196</v>
      </c>
      <c r="J7235" s="0" t="s">
        <v>24197</v>
      </c>
      <c r="K7235" s="0" t="s">
        <v>24198</v>
      </c>
      <c r="L7235" s="0" t="str">
        <f aca="false">HYPERLINK("https://www.ncbi.nlm.nih.gov/nuccore/CP000304.1?report=graph&amp;tracks=[key:gene_model_track,Options:GeneOnly]&amp;mk=2034551:2034570|offset_29|444444,2034590:2034609|offset_68|444444,2034636:2034655|offset_114|00cc00,2034665:2034684|offset_143|444444&amp;v=2034350:2034884&amp;c=444444", "offset 114")</f>
        <v>offset 114</v>
      </c>
    </row>
    <row r="7236" customFormat="false" ht="12.8" hidden="false" customHeight="false" outlineLevel="0" collapsed="false">
      <c r="A7236" s="0" t="s">
        <v>12</v>
      </c>
      <c r="B7236" s="0" t="n">
        <v>2034664</v>
      </c>
      <c r="C7236" s="0" t="n">
        <v>2034684</v>
      </c>
      <c r="D7236" s="0" t="s">
        <v>24189</v>
      </c>
      <c r="E7236" s="0" t="s">
        <v>89</v>
      </c>
      <c r="F7236" s="0" t="s">
        <v>15</v>
      </c>
      <c r="G7236" s="0" t="s">
        <v>32</v>
      </c>
      <c r="H7236" s="0" t="n">
        <v>143</v>
      </c>
      <c r="I7236" s="0" t="s">
        <v>24199</v>
      </c>
      <c r="J7236" s="0" t="s">
        <v>24200</v>
      </c>
      <c r="K7236" s="0" t="s">
        <v>24201</v>
      </c>
      <c r="L7236" s="0" t="str">
        <f aca="false">HYPERLINK("https://www.ncbi.nlm.nih.gov/nuccore/CP000304.1?report=graph&amp;tracks=[key:gene_model_track,Options:GeneOnly]&amp;mk=2034551:2034570|offset_29|444444,2034590:2034609|offset_68|444444,2034636:2034655|offset_114|444444,2034665:2034684|offset_143|00cc00&amp;v=2034350:2034884&amp;c=444444", "offset 143")</f>
        <v>offset 143</v>
      </c>
    </row>
    <row r="7237" customFormat="false" ht="12.8" hidden="false" customHeight="false" outlineLevel="0" collapsed="false">
      <c r="A7237" s="0" t="s">
        <v>12</v>
      </c>
      <c r="B7237" s="0" t="n">
        <v>2035911</v>
      </c>
      <c r="C7237" s="0" t="n">
        <v>2035931</v>
      </c>
      <c r="D7237" s="0" t="s">
        <v>24202</v>
      </c>
      <c r="E7237" s="0" t="s">
        <v>24203</v>
      </c>
      <c r="F7237" s="0" t="s">
        <v>15</v>
      </c>
      <c r="G7237" s="0" t="s">
        <v>36</v>
      </c>
      <c r="H7237" s="0" t="n">
        <v>28</v>
      </c>
      <c r="I7237" s="0" t="s">
        <v>24204</v>
      </c>
      <c r="J7237" s="0" t="s">
        <v>24205</v>
      </c>
      <c r="K7237" s="0" t="s">
        <v>24206</v>
      </c>
      <c r="L7237" s="0" t="str">
        <f aca="false">HYPERLINK("https://www.ncbi.nlm.nih.gov/nuccore/CP000304.1?report=graph&amp;tracks=[key:gene_model_track,Options:GeneOnly]&amp;mk=2035912:2035931|offset_28|00cc00,2035949:2035968|offset_65|444444,2035988:2036007|offset_104|444444,2036020:2036039|offset_136|444444&amp;v=2035711:2036239&amp;c=444444", "offset 28")</f>
        <v>offset 28</v>
      </c>
    </row>
    <row r="7238" customFormat="false" ht="12.8" hidden="false" customHeight="false" outlineLevel="0" collapsed="false">
      <c r="A7238" s="0" t="s">
        <v>12</v>
      </c>
      <c r="B7238" s="0" t="n">
        <v>2035948</v>
      </c>
      <c r="C7238" s="0" t="n">
        <v>2035968</v>
      </c>
      <c r="D7238" s="0" t="s">
        <v>24202</v>
      </c>
      <c r="E7238" s="0" t="s">
        <v>24203</v>
      </c>
      <c r="F7238" s="0" t="s">
        <v>15</v>
      </c>
      <c r="G7238" s="0" t="s">
        <v>26</v>
      </c>
      <c r="H7238" s="0" t="n">
        <v>65</v>
      </c>
      <c r="I7238" s="0" t="s">
        <v>24207</v>
      </c>
      <c r="J7238" s="0" t="s">
        <v>24208</v>
      </c>
      <c r="K7238" s="0" t="s">
        <v>24209</v>
      </c>
      <c r="L7238" s="0" t="str">
        <f aca="false">HYPERLINK("https://www.ncbi.nlm.nih.gov/nuccore/CP000304.1?report=graph&amp;tracks=[key:gene_model_track,Options:GeneOnly]&amp;mk=2035912:2035931|offset_28|444444,2035949:2035968|offset_65|00cc00,2035988:2036007|offset_104|444444,2036020:2036039|offset_136|444444&amp;v=2035711:2036239&amp;c=444444", "offset 65")</f>
        <v>offset 65</v>
      </c>
    </row>
    <row r="7239" customFormat="false" ht="12.8" hidden="false" customHeight="false" outlineLevel="0" collapsed="false">
      <c r="A7239" s="0" t="s">
        <v>12</v>
      </c>
      <c r="B7239" s="0" t="n">
        <v>2035987</v>
      </c>
      <c r="C7239" s="0" t="n">
        <v>2036007</v>
      </c>
      <c r="D7239" s="0" t="s">
        <v>24202</v>
      </c>
      <c r="E7239" s="0" t="s">
        <v>24203</v>
      </c>
      <c r="F7239" s="0" t="s">
        <v>15</v>
      </c>
      <c r="G7239" s="0" t="s">
        <v>26</v>
      </c>
      <c r="H7239" s="0" t="n">
        <v>104</v>
      </c>
      <c r="I7239" s="0" t="s">
        <v>24210</v>
      </c>
      <c r="J7239" s="0" t="s">
        <v>24211</v>
      </c>
      <c r="K7239" s="0" t="s">
        <v>24212</v>
      </c>
      <c r="L7239" s="0" t="str">
        <f aca="false">HYPERLINK("https://www.ncbi.nlm.nih.gov/nuccore/CP000304.1?report=graph&amp;tracks=[key:gene_model_track,Options:GeneOnly]&amp;mk=2035912:2035931|offset_28|444444,2035949:2035968|offset_65|444444,2035988:2036007|offset_104|00cc00,2036020:2036039|offset_136|444444&amp;v=2035711:2036239&amp;c=444444", "offset 104")</f>
        <v>offset 104</v>
      </c>
    </row>
    <row r="7240" customFormat="false" ht="12.8" hidden="false" customHeight="false" outlineLevel="0" collapsed="false">
      <c r="A7240" s="0" t="s">
        <v>12</v>
      </c>
      <c r="B7240" s="0" t="n">
        <v>2036019</v>
      </c>
      <c r="C7240" s="0" t="n">
        <v>2036039</v>
      </c>
      <c r="D7240" s="0" t="s">
        <v>24202</v>
      </c>
      <c r="E7240" s="0" t="s">
        <v>24203</v>
      </c>
      <c r="F7240" s="0" t="s">
        <v>15</v>
      </c>
      <c r="G7240" s="0" t="s">
        <v>16</v>
      </c>
      <c r="H7240" s="0" t="n">
        <v>136</v>
      </c>
      <c r="I7240" s="0" t="s">
        <v>24213</v>
      </c>
      <c r="J7240" s="0" t="s">
        <v>24214</v>
      </c>
      <c r="K7240" s="0" t="s">
        <v>24215</v>
      </c>
      <c r="L7240" s="0" t="str">
        <f aca="false">HYPERLINK("https://www.ncbi.nlm.nih.gov/nuccore/CP000304.1?report=graph&amp;tracks=[key:gene_model_track,Options:GeneOnly]&amp;mk=2035912:2035931|offset_28|444444,2035949:2035968|offset_65|444444,2035988:2036007|offset_104|444444,2036020:2036039|offset_136|00cc00&amp;v=2035711:2036239&amp;c=444444", "offset 136")</f>
        <v>offset 136</v>
      </c>
    </row>
    <row r="7241" customFormat="false" ht="12.8" hidden="false" customHeight="false" outlineLevel="0" collapsed="false">
      <c r="A7241" s="0" t="s">
        <v>12</v>
      </c>
      <c r="B7241" s="0" t="n">
        <v>2038399</v>
      </c>
      <c r="C7241" s="0" t="n">
        <v>2038419</v>
      </c>
      <c r="D7241" s="0" t="s">
        <v>24216</v>
      </c>
      <c r="E7241" s="0" t="s">
        <v>89</v>
      </c>
      <c r="F7241" s="0" t="s">
        <v>90</v>
      </c>
      <c r="G7241" s="0" t="s">
        <v>32</v>
      </c>
      <c r="H7241" s="0" t="n">
        <v>11</v>
      </c>
      <c r="I7241" s="0" t="s">
        <v>24217</v>
      </c>
      <c r="J7241" s="0" t="s">
        <v>24218</v>
      </c>
      <c r="K7241" s="0" t="s">
        <v>24219</v>
      </c>
      <c r="L7241" s="0" t="str">
        <f aca="false">HYPERLINK("https://www.ncbi.nlm.nih.gov/nuccore/CP000304.1?report=graph&amp;tracks=[key:gene_model_track,Options:GeneOnly]&amp;mk=2038400:2038419|offset_11|00cc00,2038378:2038397|offset_33|444444,2038346:2038365|offset_65|444444,2038323:2038342|offset_88|444444&amp;v=2038199:2038542&amp;c=444444", "offset 11")</f>
        <v>offset 11</v>
      </c>
    </row>
    <row r="7242" customFormat="false" ht="12.8" hidden="false" customHeight="false" outlineLevel="0" collapsed="false">
      <c r="A7242" s="0" t="s">
        <v>12</v>
      </c>
      <c r="B7242" s="0" t="n">
        <v>2038377</v>
      </c>
      <c r="C7242" s="0" t="n">
        <v>2038397</v>
      </c>
      <c r="D7242" s="0" t="s">
        <v>24216</v>
      </c>
      <c r="E7242" s="0" t="s">
        <v>89</v>
      </c>
      <c r="F7242" s="0" t="s">
        <v>90</v>
      </c>
      <c r="G7242" s="0" t="s">
        <v>36</v>
      </c>
      <c r="H7242" s="0" t="n">
        <v>33</v>
      </c>
      <c r="I7242" s="0" t="s">
        <v>24220</v>
      </c>
      <c r="J7242" s="0" t="s">
        <v>24221</v>
      </c>
      <c r="K7242" s="0" t="s">
        <v>24222</v>
      </c>
      <c r="L7242" s="0" t="str">
        <f aca="false">HYPERLINK("https://www.ncbi.nlm.nih.gov/nuccore/CP000304.1?report=graph&amp;tracks=[key:gene_model_track,Options:GeneOnly]&amp;mk=2038400:2038419|offset_11|444444,2038378:2038397|offset_33|00cc00,2038346:2038365|offset_65|444444,2038323:2038342|offset_88|444444&amp;v=2038199:2038542&amp;c=444444", "offset 33")</f>
        <v>offset 33</v>
      </c>
    </row>
    <row r="7243" customFormat="false" ht="12.8" hidden="false" customHeight="false" outlineLevel="0" collapsed="false">
      <c r="A7243" s="0" t="s">
        <v>12</v>
      </c>
      <c r="B7243" s="0" t="n">
        <v>2038345</v>
      </c>
      <c r="C7243" s="0" t="n">
        <v>2038365</v>
      </c>
      <c r="D7243" s="0" t="s">
        <v>24216</v>
      </c>
      <c r="E7243" s="0" t="s">
        <v>89</v>
      </c>
      <c r="F7243" s="0" t="s">
        <v>90</v>
      </c>
      <c r="G7243" s="0" t="s">
        <v>26</v>
      </c>
      <c r="H7243" s="0" t="n">
        <v>65</v>
      </c>
      <c r="I7243" s="0" t="s">
        <v>24223</v>
      </c>
      <c r="J7243" s="0" t="s">
        <v>24224</v>
      </c>
      <c r="K7243" s="0" t="s">
        <v>24225</v>
      </c>
      <c r="L7243" s="0" t="str">
        <f aca="false">HYPERLINK("https://www.ncbi.nlm.nih.gov/nuccore/CP000304.1?report=graph&amp;tracks=[key:gene_model_track,Options:GeneOnly]&amp;mk=2038400:2038419|offset_11|444444,2038378:2038397|offset_33|444444,2038346:2038365|offset_65|00cc00,2038323:2038342|offset_88|444444&amp;v=2038199:2038542&amp;c=444444", "offset 65")</f>
        <v>offset 65</v>
      </c>
    </row>
    <row r="7244" customFormat="false" ht="12.8" hidden="false" customHeight="false" outlineLevel="0" collapsed="false">
      <c r="A7244" s="0" t="s">
        <v>12</v>
      </c>
      <c r="B7244" s="0" t="n">
        <v>2038322</v>
      </c>
      <c r="C7244" s="0" t="n">
        <v>2038342</v>
      </c>
      <c r="D7244" s="0" t="s">
        <v>24216</v>
      </c>
      <c r="E7244" s="0" t="s">
        <v>89</v>
      </c>
      <c r="F7244" s="0" t="s">
        <v>90</v>
      </c>
      <c r="G7244" s="0" t="s">
        <v>16</v>
      </c>
      <c r="H7244" s="0" t="n">
        <v>88</v>
      </c>
      <c r="I7244" s="0" t="s">
        <v>24226</v>
      </c>
      <c r="J7244" s="0" t="s">
        <v>24227</v>
      </c>
      <c r="K7244" s="0" t="s">
        <v>24228</v>
      </c>
      <c r="L7244" s="0" t="str">
        <f aca="false">HYPERLINK("https://www.ncbi.nlm.nih.gov/nuccore/CP000304.1?report=graph&amp;tracks=[key:gene_model_track,Options:GeneOnly]&amp;mk=2038400:2038419|offset_11|444444,2038378:2038397|offset_33|444444,2038346:2038365|offset_65|444444,2038323:2038342|offset_88|00cc00&amp;v=2038199:2038542&amp;c=444444", "offset 88")</f>
        <v>offset 88</v>
      </c>
    </row>
    <row r="7245" customFormat="false" ht="12.8" hidden="false" customHeight="false" outlineLevel="0" collapsed="false">
      <c r="A7245" s="0" t="s">
        <v>12</v>
      </c>
      <c r="B7245" s="0" t="n">
        <v>2038451</v>
      </c>
      <c r="C7245" s="0" t="n">
        <v>2038471</v>
      </c>
      <c r="D7245" s="0" t="s">
        <v>24229</v>
      </c>
      <c r="E7245" s="0" t="s">
        <v>89</v>
      </c>
      <c r="F7245" s="0" t="s">
        <v>15</v>
      </c>
      <c r="G7245" s="0" t="s">
        <v>16</v>
      </c>
      <c r="H7245" s="0" t="n">
        <v>10</v>
      </c>
      <c r="I7245" s="0" t="s">
        <v>24230</v>
      </c>
      <c r="J7245" s="0" t="s">
        <v>24231</v>
      </c>
      <c r="K7245" s="0" t="s">
        <v>24232</v>
      </c>
      <c r="L7245" s="0" t="str">
        <f aca="false">HYPERLINK("https://www.ncbi.nlm.nih.gov/nuccore/CP000304.1?report=graph&amp;tracks=[key:gene_model_track,Options:GeneOnly]&amp;mk=2038452:2038471|offset_10|00cc00,2038483:2038502|offset_41|444444,2038521:2038540|offset_79|444444,2038545:2038564|offset_103|444444&amp;v=2038251:2038764&amp;c=444444", "offset 10")</f>
        <v>offset 10</v>
      </c>
    </row>
    <row r="7246" customFormat="false" ht="12.8" hidden="false" customHeight="false" outlineLevel="0" collapsed="false">
      <c r="A7246" s="0" t="s">
        <v>12</v>
      </c>
      <c r="B7246" s="0" t="n">
        <v>2038482</v>
      </c>
      <c r="C7246" s="0" t="n">
        <v>2038502</v>
      </c>
      <c r="D7246" s="0" t="s">
        <v>24229</v>
      </c>
      <c r="E7246" s="0" t="s">
        <v>89</v>
      </c>
      <c r="F7246" s="0" t="s">
        <v>15</v>
      </c>
      <c r="G7246" s="0" t="s">
        <v>16</v>
      </c>
      <c r="H7246" s="0" t="n">
        <v>41</v>
      </c>
      <c r="I7246" s="0" t="s">
        <v>24233</v>
      </c>
      <c r="J7246" s="0" t="s">
        <v>24234</v>
      </c>
      <c r="K7246" s="0" t="s">
        <v>24235</v>
      </c>
      <c r="L7246" s="0" t="str">
        <f aca="false">HYPERLINK("https://www.ncbi.nlm.nih.gov/nuccore/CP000304.1?report=graph&amp;tracks=[key:gene_model_track,Options:GeneOnly]&amp;mk=2038452:2038471|offset_10|444444,2038483:2038502|offset_41|00cc00,2038521:2038540|offset_79|444444,2038545:2038564|offset_103|444444&amp;v=2038251:2038764&amp;c=444444", "offset 41")</f>
        <v>offset 41</v>
      </c>
    </row>
    <row r="7247" customFormat="false" ht="12.8" hidden="false" customHeight="false" outlineLevel="0" collapsed="false">
      <c r="A7247" s="0" t="s">
        <v>12</v>
      </c>
      <c r="B7247" s="0" t="n">
        <v>2038520</v>
      </c>
      <c r="C7247" s="0" t="n">
        <v>2038540</v>
      </c>
      <c r="D7247" s="0" t="s">
        <v>24229</v>
      </c>
      <c r="E7247" s="0" t="s">
        <v>89</v>
      </c>
      <c r="F7247" s="0" t="s">
        <v>15</v>
      </c>
      <c r="G7247" s="0" t="s">
        <v>32</v>
      </c>
      <c r="H7247" s="0" t="n">
        <v>79</v>
      </c>
      <c r="I7247" s="0" t="s">
        <v>24236</v>
      </c>
      <c r="J7247" s="0" t="s">
        <v>24237</v>
      </c>
      <c r="K7247" s="0" t="s">
        <v>24238</v>
      </c>
      <c r="L7247" s="0" t="str">
        <f aca="false">HYPERLINK("https://www.ncbi.nlm.nih.gov/nuccore/CP000304.1?report=graph&amp;tracks=[key:gene_model_track,Options:GeneOnly]&amp;mk=2038452:2038471|offset_10|444444,2038483:2038502|offset_41|444444,2038521:2038540|offset_79|00cc00,2038545:2038564|offset_103|444444&amp;v=2038251:2038764&amp;c=444444", "offset 79")</f>
        <v>offset 79</v>
      </c>
    </row>
    <row r="7248" customFormat="false" ht="12.8" hidden="false" customHeight="false" outlineLevel="0" collapsed="false">
      <c r="A7248" s="0" t="s">
        <v>12</v>
      </c>
      <c r="B7248" s="0" t="n">
        <v>2038544</v>
      </c>
      <c r="C7248" s="0" t="n">
        <v>2038564</v>
      </c>
      <c r="D7248" s="0" t="s">
        <v>24229</v>
      </c>
      <c r="E7248" s="0" t="s">
        <v>89</v>
      </c>
      <c r="F7248" s="0" t="s">
        <v>15</v>
      </c>
      <c r="G7248" s="0" t="s">
        <v>16</v>
      </c>
      <c r="H7248" s="0" t="n">
        <v>103</v>
      </c>
      <c r="I7248" s="0" t="s">
        <v>24239</v>
      </c>
      <c r="J7248" s="0" t="s">
        <v>24240</v>
      </c>
      <c r="K7248" s="0" t="s">
        <v>24241</v>
      </c>
      <c r="L7248" s="0" t="str">
        <f aca="false">HYPERLINK("https://www.ncbi.nlm.nih.gov/nuccore/CP000304.1?report=graph&amp;tracks=[key:gene_model_track,Options:GeneOnly]&amp;mk=2038452:2038471|offset_10|444444,2038483:2038502|offset_41|444444,2038521:2038540|offset_79|444444,2038545:2038564|offset_103|00cc00&amp;v=2038251:2038764&amp;c=444444", "offset 103")</f>
        <v>offset 103</v>
      </c>
    </row>
    <row r="7249" customFormat="false" ht="12.8" hidden="false" customHeight="false" outlineLevel="0" collapsed="false">
      <c r="A7249" s="0" t="s">
        <v>12</v>
      </c>
      <c r="B7249" s="0" t="n">
        <v>2039607</v>
      </c>
      <c r="C7249" s="0" t="n">
        <v>2039627</v>
      </c>
      <c r="D7249" s="0" t="s">
        <v>24242</v>
      </c>
      <c r="E7249" s="0" t="s">
        <v>89</v>
      </c>
      <c r="F7249" s="0" t="s">
        <v>15</v>
      </c>
      <c r="G7249" s="0" t="s">
        <v>32</v>
      </c>
      <c r="H7249" s="0" t="n">
        <v>31</v>
      </c>
      <c r="I7249" s="0" t="s">
        <v>24243</v>
      </c>
      <c r="J7249" s="0" t="s">
        <v>24244</v>
      </c>
      <c r="K7249" s="0" t="s">
        <v>24245</v>
      </c>
      <c r="L7249" s="0" t="str">
        <f aca="false">HYPERLINK("https://www.ncbi.nlm.nih.gov/nuccore/CP000304.1?report=graph&amp;tracks=[key:gene_model_track,Options:GeneOnly]&amp;mk=2039608:2039627|offset_31|00cc00,2039631:2039650|offset_54|444444,2039661:2039680|offset_84|444444,2039689:2039708|offset_112|444444&amp;v=2039407:2039908&amp;c=444444", "offset 31")</f>
        <v>offset 31</v>
      </c>
    </row>
    <row r="7250" customFormat="false" ht="12.8" hidden="false" customHeight="false" outlineLevel="0" collapsed="false">
      <c r="A7250" s="0" t="s">
        <v>12</v>
      </c>
      <c r="B7250" s="0" t="n">
        <v>2039630</v>
      </c>
      <c r="C7250" s="0" t="n">
        <v>2039650</v>
      </c>
      <c r="D7250" s="0" t="s">
        <v>24242</v>
      </c>
      <c r="E7250" s="0" t="s">
        <v>89</v>
      </c>
      <c r="F7250" s="0" t="s">
        <v>15</v>
      </c>
      <c r="G7250" s="0" t="s">
        <v>26</v>
      </c>
      <c r="H7250" s="0" t="n">
        <v>54</v>
      </c>
      <c r="I7250" s="0" t="s">
        <v>24246</v>
      </c>
      <c r="J7250" s="0" t="s">
        <v>24247</v>
      </c>
      <c r="K7250" s="0" t="s">
        <v>24248</v>
      </c>
      <c r="L7250" s="0" t="str">
        <f aca="false">HYPERLINK("https://www.ncbi.nlm.nih.gov/nuccore/CP000304.1?report=graph&amp;tracks=[key:gene_model_track,Options:GeneOnly]&amp;mk=2039608:2039627|offset_31|444444,2039631:2039650|offset_54|00cc00,2039661:2039680|offset_84|444444,2039689:2039708|offset_112|444444&amp;v=2039407:2039908&amp;c=444444", "offset 54")</f>
        <v>offset 54</v>
      </c>
    </row>
    <row r="7251" customFormat="false" ht="12.8" hidden="false" customHeight="false" outlineLevel="0" collapsed="false">
      <c r="A7251" s="0" t="s">
        <v>12</v>
      </c>
      <c r="B7251" s="0" t="n">
        <v>2039660</v>
      </c>
      <c r="C7251" s="0" t="n">
        <v>2039680</v>
      </c>
      <c r="D7251" s="0" t="s">
        <v>24242</v>
      </c>
      <c r="E7251" s="0" t="s">
        <v>89</v>
      </c>
      <c r="F7251" s="0" t="s">
        <v>15</v>
      </c>
      <c r="G7251" s="0" t="s">
        <v>16</v>
      </c>
      <c r="H7251" s="0" t="n">
        <v>84</v>
      </c>
      <c r="I7251" s="0" t="s">
        <v>24249</v>
      </c>
      <c r="J7251" s="0" t="s">
        <v>24250</v>
      </c>
      <c r="K7251" s="0" t="s">
        <v>24251</v>
      </c>
      <c r="L7251" s="0" t="str">
        <f aca="false">HYPERLINK("https://www.ncbi.nlm.nih.gov/nuccore/CP000304.1?report=graph&amp;tracks=[key:gene_model_track,Options:GeneOnly]&amp;mk=2039608:2039627|offset_31|444444,2039631:2039650|offset_54|444444,2039661:2039680|offset_84|00cc00,2039689:2039708|offset_112|444444&amp;v=2039407:2039908&amp;c=444444", "offset 84")</f>
        <v>offset 84</v>
      </c>
    </row>
    <row r="7252" customFormat="false" ht="12.8" hidden="false" customHeight="false" outlineLevel="0" collapsed="false">
      <c r="A7252" s="0" t="s">
        <v>12</v>
      </c>
      <c r="B7252" s="0" t="n">
        <v>2039688</v>
      </c>
      <c r="C7252" s="0" t="n">
        <v>2039708</v>
      </c>
      <c r="D7252" s="0" t="s">
        <v>24242</v>
      </c>
      <c r="E7252" s="0" t="s">
        <v>89</v>
      </c>
      <c r="F7252" s="0" t="s">
        <v>15</v>
      </c>
      <c r="G7252" s="0" t="s">
        <v>32</v>
      </c>
      <c r="H7252" s="0" t="n">
        <v>112</v>
      </c>
      <c r="I7252" s="0" t="s">
        <v>24252</v>
      </c>
      <c r="J7252" s="0" t="s">
        <v>24253</v>
      </c>
      <c r="K7252" s="0" t="s">
        <v>24254</v>
      </c>
      <c r="L7252" s="0" t="str">
        <f aca="false">HYPERLINK("https://www.ncbi.nlm.nih.gov/nuccore/CP000304.1?report=graph&amp;tracks=[key:gene_model_track,Options:GeneOnly]&amp;mk=2039608:2039627|offset_31|444444,2039631:2039650|offset_54|444444,2039661:2039680|offset_84|444444,2039689:2039708|offset_112|00cc00&amp;v=2039407:2039908&amp;c=444444", "offset 112")</f>
        <v>offset 112</v>
      </c>
    </row>
    <row r="7253" customFormat="false" ht="12.8" hidden="false" customHeight="false" outlineLevel="0" collapsed="false">
      <c r="A7253" s="0" t="s">
        <v>12</v>
      </c>
      <c r="B7253" s="0" t="n">
        <v>2040201</v>
      </c>
      <c r="C7253" s="0" t="n">
        <v>2040221</v>
      </c>
      <c r="D7253" s="0" t="s">
        <v>24255</v>
      </c>
      <c r="E7253" s="0" t="s">
        <v>89</v>
      </c>
      <c r="F7253" s="0" t="s">
        <v>15</v>
      </c>
      <c r="G7253" s="0" t="s">
        <v>36</v>
      </c>
      <c r="H7253" s="0" t="n">
        <v>0</v>
      </c>
      <c r="I7253" s="0" t="s">
        <v>24256</v>
      </c>
      <c r="J7253" s="0" t="s">
        <v>24257</v>
      </c>
      <c r="K7253" s="0" t="s">
        <v>24258</v>
      </c>
      <c r="L7253" s="0" t="str">
        <f aca="false">HYPERLINK("https://www.ncbi.nlm.nih.gov/nuccore/CP000304.1?report=graph&amp;tracks=[key:gene_model_track,Options:GeneOnly]&amp;mk=2040202:2040221|offset_0|00cc00,2040239:2040258|offset_37|444444,2040273:2040292|offset_71|444444,2040300:2040319|offset_98|444444&amp;v=2040001:2040519&amp;c=444444", "offset 0")</f>
        <v>offset 0</v>
      </c>
    </row>
    <row r="7254" customFormat="false" ht="12.8" hidden="false" customHeight="false" outlineLevel="0" collapsed="false">
      <c r="A7254" s="0" t="s">
        <v>12</v>
      </c>
      <c r="B7254" s="0" t="n">
        <v>2040238</v>
      </c>
      <c r="C7254" s="0" t="n">
        <v>2040258</v>
      </c>
      <c r="D7254" s="0" t="s">
        <v>24255</v>
      </c>
      <c r="E7254" s="0" t="s">
        <v>89</v>
      </c>
      <c r="F7254" s="0" t="s">
        <v>15</v>
      </c>
      <c r="G7254" s="0" t="s">
        <v>16</v>
      </c>
      <c r="H7254" s="0" t="n">
        <v>37</v>
      </c>
      <c r="I7254" s="0" t="s">
        <v>24259</v>
      </c>
      <c r="J7254" s="0" t="s">
        <v>24260</v>
      </c>
      <c r="K7254" s="0" t="s">
        <v>24261</v>
      </c>
      <c r="L7254" s="0" t="str">
        <f aca="false">HYPERLINK("https://www.ncbi.nlm.nih.gov/nuccore/CP000304.1?report=graph&amp;tracks=[key:gene_model_track,Options:GeneOnly]&amp;mk=2040202:2040221|offset_0|444444,2040239:2040258|offset_37|00cc00,2040273:2040292|offset_71|444444,2040300:2040319|offset_98|444444&amp;v=2040001:2040519&amp;c=444444", "offset 37")</f>
        <v>offset 37</v>
      </c>
    </row>
    <row r="7255" customFormat="false" ht="12.8" hidden="false" customHeight="false" outlineLevel="0" collapsed="false">
      <c r="A7255" s="0" t="s">
        <v>12</v>
      </c>
      <c r="B7255" s="0" t="n">
        <v>2040272</v>
      </c>
      <c r="C7255" s="0" t="n">
        <v>2040292</v>
      </c>
      <c r="D7255" s="0" t="s">
        <v>24255</v>
      </c>
      <c r="E7255" s="0" t="s">
        <v>89</v>
      </c>
      <c r="F7255" s="0" t="s">
        <v>15</v>
      </c>
      <c r="G7255" s="0" t="s">
        <v>26</v>
      </c>
      <c r="H7255" s="0" t="n">
        <v>71</v>
      </c>
      <c r="I7255" s="0" t="s">
        <v>24262</v>
      </c>
      <c r="J7255" s="0" t="s">
        <v>24263</v>
      </c>
      <c r="K7255" s="0" t="s">
        <v>24264</v>
      </c>
      <c r="L7255" s="0" t="str">
        <f aca="false">HYPERLINK("https://www.ncbi.nlm.nih.gov/nuccore/CP000304.1?report=graph&amp;tracks=[key:gene_model_track,Options:GeneOnly]&amp;mk=2040202:2040221|offset_0|444444,2040239:2040258|offset_37|444444,2040273:2040292|offset_71|00cc00,2040300:2040319|offset_98|444444&amp;v=2040001:2040519&amp;c=444444", "offset 71")</f>
        <v>offset 71</v>
      </c>
    </row>
    <row r="7256" customFormat="false" ht="12.8" hidden="false" customHeight="false" outlineLevel="0" collapsed="false">
      <c r="A7256" s="0" t="s">
        <v>12</v>
      </c>
      <c r="B7256" s="0" t="n">
        <v>2040299</v>
      </c>
      <c r="C7256" s="0" t="n">
        <v>2040319</v>
      </c>
      <c r="D7256" s="0" t="s">
        <v>24255</v>
      </c>
      <c r="E7256" s="0" t="s">
        <v>89</v>
      </c>
      <c r="F7256" s="0" t="s">
        <v>15</v>
      </c>
      <c r="G7256" s="0" t="s">
        <v>32</v>
      </c>
      <c r="H7256" s="0" t="n">
        <v>98</v>
      </c>
      <c r="I7256" s="0" t="s">
        <v>24265</v>
      </c>
      <c r="J7256" s="0" t="s">
        <v>24266</v>
      </c>
      <c r="K7256" s="0" t="s">
        <v>24267</v>
      </c>
      <c r="L7256" s="0" t="str">
        <f aca="false">HYPERLINK("https://www.ncbi.nlm.nih.gov/nuccore/CP000304.1?report=graph&amp;tracks=[key:gene_model_track,Options:GeneOnly]&amp;mk=2040202:2040221|offset_0|444444,2040239:2040258|offset_37|444444,2040273:2040292|offset_71|444444,2040300:2040319|offset_98|00cc00&amp;v=2040001:2040519&amp;c=444444", "offset 98")</f>
        <v>offset 98</v>
      </c>
    </row>
    <row r="7257" customFormat="false" ht="12.8" hidden="false" customHeight="false" outlineLevel="0" collapsed="false">
      <c r="A7257" s="0" t="s">
        <v>12</v>
      </c>
      <c r="B7257" s="0" t="n">
        <v>2042051</v>
      </c>
      <c r="C7257" s="0" t="n">
        <v>2042071</v>
      </c>
      <c r="D7257" s="0" t="s">
        <v>24268</v>
      </c>
      <c r="E7257" s="0" t="s">
        <v>89</v>
      </c>
      <c r="F7257" s="0" t="s">
        <v>15</v>
      </c>
      <c r="G7257" s="0" t="s">
        <v>32</v>
      </c>
      <c r="H7257" s="0" t="n">
        <v>19</v>
      </c>
      <c r="I7257" s="0" t="s">
        <v>24269</v>
      </c>
      <c r="J7257" s="0" t="s">
        <v>24270</v>
      </c>
      <c r="K7257" s="0" t="s">
        <v>24271</v>
      </c>
      <c r="L7257" s="0" t="str">
        <f aca="false">HYPERLINK("https://www.ncbi.nlm.nih.gov/nuccore/CP000304.1?report=graph&amp;tracks=[key:gene_model_track,Options:GeneOnly]&amp;mk=2042052:2042071|offset_19|00cc00,2042080:2042099|offset_47|444444,2042145:2042164|offset_112|444444,2042170:2042189|offset_137|444444&amp;v=2041851:2042389&amp;c=444444", "offset 19")</f>
        <v>offset 19</v>
      </c>
    </row>
    <row r="7258" customFormat="false" ht="12.8" hidden="false" customHeight="false" outlineLevel="0" collapsed="false">
      <c r="A7258" s="0" t="s">
        <v>12</v>
      </c>
      <c r="B7258" s="0" t="n">
        <v>2042079</v>
      </c>
      <c r="C7258" s="0" t="n">
        <v>2042099</v>
      </c>
      <c r="D7258" s="0" t="s">
        <v>24268</v>
      </c>
      <c r="E7258" s="0" t="s">
        <v>89</v>
      </c>
      <c r="F7258" s="0" t="s">
        <v>15</v>
      </c>
      <c r="G7258" s="0" t="s">
        <v>32</v>
      </c>
      <c r="H7258" s="0" t="n">
        <v>47</v>
      </c>
      <c r="I7258" s="0" t="s">
        <v>24272</v>
      </c>
      <c r="J7258" s="0" t="s">
        <v>24273</v>
      </c>
      <c r="K7258" s="0" t="s">
        <v>24274</v>
      </c>
      <c r="L7258" s="0" t="str">
        <f aca="false">HYPERLINK("https://www.ncbi.nlm.nih.gov/nuccore/CP000304.1?report=graph&amp;tracks=[key:gene_model_track,Options:GeneOnly]&amp;mk=2042052:2042071|offset_19|444444,2042080:2042099|offset_47|00cc00,2042145:2042164|offset_112|444444,2042170:2042189|offset_137|444444&amp;v=2041851:2042389&amp;c=444444", "offset 47")</f>
        <v>offset 47</v>
      </c>
    </row>
    <row r="7259" customFormat="false" ht="12.8" hidden="false" customHeight="false" outlineLevel="0" collapsed="false">
      <c r="A7259" s="0" t="s">
        <v>12</v>
      </c>
      <c r="B7259" s="0" t="n">
        <v>2042144</v>
      </c>
      <c r="C7259" s="0" t="n">
        <v>2042164</v>
      </c>
      <c r="D7259" s="0" t="s">
        <v>24268</v>
      </c>
      <c r="E7259" s="0" t="s">
        <v>89</v>
      </c>
      <c r="F7259" s="0" t="s">
        <v>15</v>
      </c>
      <c r="G7259" s="0" t="s">
        <v>16</v>
      </c>
      <c r="H7259" s="0" t="n">
        <v>112</v>
      </c>
      <c r="I7259" s="0" t="s">
        <v>24275</v>
      </c>
      <c r="J7259" s="0" t="s">
        <v>24276</v>
      </c>
      <c r="K7259" s="0" t="s">
        <v>24277</v>
      </c>
      <c r="L7259" s="0" t="str">
        <f aca="false">HYPERLINK("https://www.ncbi.nlm.nih.gov/nuccore/CP000304.1?report=graph&amp;tracks=[key:gene_model_track,Options:GeneOnly]&amp;mk=2042052:2042071|offset_19|444444,2042080:2042099|offset_47|444444,2042145:2042164|offset_112|00cc00,2042170:2042189|offset_137|444444&amp;v=2041851:2042389&amp;c=444444", "offset 112")</f>
        <v>offset 112</v>
      </c>
    </row>
    <row r="7260" customFormat="false" ht="12.8" hidden="false" customHeight="false" outlineLevel="0" collapsed="false">
      <c r="A7260" s="0" t="s">
        <v>12</v>
      </c>
      <c r="B7260" s="0" t="n">
        <v>2042169</v>
      </c>
      <c r="C7260" s="0" t="n">
        <v>2042189</v>
      </c>
      <c r="D7260" s="0" t="s">
        <v>24268</v>
      </c>
      <c r="E7260" s="0" t="s">
        <v>89</v>
      </c>
      <c r="F7260" s="0" t="s">
        <v>15</v>
      </c>
      <c r="G7260" s="0" t="s">
        <v>32</v>
      </c>
      <c r="H7260" s="0" t="n">
        <v>137</v>
      </c>
      <c r="I7260" s="0" t="s">
        <v>24278</v>
      </c>
      <c r="J7260" s="0" t="s">
        <v>24279</v>
      </c>
      <c r="K7260" s="0" t="s">
        <v>24280</v>
      </c>
      <c r="L7260" s="0" t="str">
        <f aca="false">HYPERLINK("https://www.ncbi.nlm.nih.gov/nuccore/CP000304.1?report=graph&amp;tracks=[key:gene_model_track,Options:GeneOnly]&amp;mk=2042052:2042071|offset_19|444444,2042080:2042099|offset_47|444444,2042145:2042164|offset_112|444444,2042170:2042189|offset_137|00cc00&amp;v=2041851:2042389&amp;c=444444", "offset 137")</f>
        <v>offset 137</v>
      </c>
    </row>
    <row r="7261" customFormat="false" ht="12.8" hidden="false" customHeight="false" outlineLevel="0" collapsed="false">
      <c r="A7261" s="0" t="s">
        <v>12</v>
      </c>
      <c r="B7261" s="0" t="n">
        <v>2043742</v>
      </c>
      <c r="C7261" s="0" t="n">
        <v>2043762</v>
      </c>
      <c r="D7261" s="0" t="s">
        <v>24281</v>
      </c>
      <c r="E7261" s="0" t="s">
        <v>89</v>
      </c>
      <c r="F7261" s="0" t="s">
        <v>15</v>
      </c>
      <c r="G7261" s="0" t="s">
        <v>36</v>
      </c>
      <c r="H7261" s="0" t="n">
        <v>0</v>
      </c>
      <c r="I7261" s="0" t="s">
        <v>24282</v>
      </c>
      <c r="J7261" s="0" t="s">
        <v>24283</v>
      </c>
      <c r="K7261" s="0" t="s">
        <v>24284</v>
      </c>
      <c r="L7261" s="0" t="str">
        <f aca="false">HYPERLINK("https://www.ncbi.nlm.nih.gov/nuccore/CP000304.1?report=graph&amp;tracks=[key:gene_model_track,Options:GeneOnly]&amp;mk=2043743:2043762|offset_0|00cc00,2043769:2043788|offset_26|444444,2043790:2043809|offset_47|444444,2043844:2043863|offset_101|444444&amp;v=2043542:2044063&amp;c=444444", "offset 0")</f>
        <v>offset 0</v>
      </c>
    </row>
    <row r="7262" customFormat="false" ht="12.8" hidden="false" customHeight="false" outlineLevel="0" collapsed="false">
      <c r="A7262" s="0" t="s">
        <v>12</v>
      </c>
      <c r="B7262" s="0" t="n">
        <v>2043768</v>
      </c>
      <c r="C7262" s="0" t="n">
        <v>2043788</v>
      </c>
      <c r="D7262" s="0" t="s">
        <v>24281</v>
      </c>
      <c r="E7262" s="0" t="s">
        <v>89</v>
      </c>
      <c r="F7262" s="0" t="s">
        <v>15</v>
      </c>
      <c r="G7262" s="0" t="s">
        <v>16</v>
      </c>
      <c r="H7262" s="0" t="n">
        <v>26</v>
      </c>
      <c r="I7262" s="0" t="s">
        <v>24285</v>
      </c>
      <c r="J7262" s="0" t="s">
        <v>24286</v>
      </c>
      <c r="K7262" s="0" t="s">
        <v>24287</v>
      </c>
      <c r="L7262" s="0" t="str">
        <f aca="false">HYPERLINK("https://www.ncbi.nlm.nih.gov/nuccore/CP000304.1?report=graph&amp;tracks=[key:gene_model_track,Options:GeneOnly]&amp;mk=2043743:2043762|offset_0|444444,2043769:2043788|offset_26|00cc00,2043790:2043809|offset_47|444444,2043844:2043863|offset_101|444444&amp;v=2043542:2044063&amp;c=444444", "offset 26")</f>
        <v>offset 26</v>
      </c>
    </row>
    <row r="7263" customFormat="false" ht="12.8" hidden="false" customHeight="false" outlineLevel="0" collapsed="false">
      <c r="A7263" s="0" t="s">
        <v>12</v>
      </c>
      <c r="B7263" s="0" t="n">
        <v>2043789</v>
      </c>
      <c r="C7263" s="0" t="n">
        <v>2043809</v>
      </c>
      <c r="D7263" s="0" t="s">
        <v>24281</v>
      </c>
      <c r="E7263" s="0" t="s">
        <v>89</v>
      </c>
      <c r="F7263" s="0" t="s">
        <v>15</v>
      </c>
      <c r="G7263" s="0" t="s">
        <v>26</v>
      </c>
      <c r="H7263" s="0" t="n">
        <v>47</v>
      </c>
      <c r="I7263" s="0" t="s">
        <v>24288</v>
      </c>
      <c r="J7263" s="0" t="s">
        <v>24289</v>
      </c>
      <c r="K7263" s="0" t="s">
        <v>24290</v>
      </c>
      <c r="L7263" s="0" t="str">
        <f aca="false">HYPERLINK("https://www.ncbi.nlm.nih.gov/nuccore/CP000304.1?report=graph&amp;tracks=[key:gene_model_track,Options:GeneOnly]&amp;mk=2043743:2043762|offset_0|444444,2043769:2043788|offset_26|444444,2043790:2043809|offset_47|00cc00,2043844:2043863|offset_101|444444&amp;v=2043542:2044063&amp;c=444444", "offset 47")</f>
        <v>offset 47</v>
      </c>
    </row>
    <row r="7264" customFormat="false" ht="12.8" hidden="false" customHeight="false" outlineLevel="0" collapsed="false">
      <c r="A7264" s="0" t="s">
        <v>12</v>
      </c>
      <c r="B7264" s="0" t="n">
        <v>2043843</v>
      </c>
      <c r="C7264" s="0" t="n">
        <v>2043863</v>
      </c>
      <c r="D7264" s="0" t="s">
        <v>24281</v>
      </c>
      <c r="E7264" s="0" t="s">
        <v>89</v>
      </c>
      <c r="F7264" s="0" t="s">
        <v>15</v>
      </c>
      <c r="G7264" s="0" t="s">
        <v>26</v>
      </c>
      <c r="H7264" s="0" t="n">
        <v>101</v>
      </c>
      <c r="I7264" s="0" t="s">
        <v>24291</v>
      </c>
      <c r="J7264" s="0" t="s">
        <v>24292</v>
      </c>
      <c r="K7264" s="0" t="s">
        <v>24293</v>
      </c>
      <c r="L7264" s="0" t="str">
        <f aca="false">HYPERLINK("https://www.ncbi.nlm.nih.gov/nuccore/CP000304.1?report=graph&amp;tracks=[key:gene_model_track,Options:GeneOnly]&amp;mk=2043743:2043762|offset_0|444444,2043769:2043788|offset_26|444444,2043790:2043809|offset_47|444444,2043844:2043863|offset_101|00cc00&amp;v=2043542:2044063&amp;c=444444", "offset 101")</f>
        <v>offset 101</v>
      </c>
    </row>
    <row r="7265" customFormat="false" ht="12.8" hidden="false" customHeight="false" outlineLevel="0" collapsed="false">
      <c r="A7265" s="0" t="s">
        <v>12</v>
      </c>
      <c r="B7265" s="0" t="n">
        <v>2046217</v>
      </c>
      <c r="C7265" s="0" t="n">
        <v>2046237</v>
      </c>
      <c r="D7265" s="0" t="s">
        <v>24294</v>
      </c>
      <c r="E7265" s="0" t="s">
        <v>24295</v>
      </c>
      <c r="F7265" s="0" t="s">
        <v>90</v>
      </c>
      <c r="G7265" s="0" t="s">
        <v>26</v>
      </c>
      <c r="H7265" s="0" t="n">
        <v>26</v>
      </c>
      <c r="I7265" s="0" t="s">
        <v>24296</v>
      </c>
      <c r="J7265" s="0" t="s">
        <v>24297</v>
      </c>
      <c r="K7265" s="0" t="s">
        <v>24298</v>
      </c>
      <c r="L7265" s="0" t="str">
        <f aca="false">HYPERLINK("https://www.ncbi.nlm.nih.gov/nuccore/CP000304.1?report=graph&amp;tracks=[key:gene_model_track,Options:GeneOnly]&amp;mk=2046218:2046237|offset_26|00cc00,2046180:2046199|offset_64|444444,2046159:2046178|offset_85|444444,2046134:2046153|offset_110|444444&amp;v=2046017:2046353&amp;c=444444", "offset 26")</f>
        <v>offset 26</v>
      </c>
    </row>
    <row r="7266" customFormat="false" ht="12.8" hidden="false" customHeight="false" outlineLevel="0" collapsed="false">
      <c r="A7266" s="0" t="s">
        <v>12</v>
      </c>
      <c r="B7266" s="0" t="n">
        <v>2046179</v>
      </c>
      <c r="C7266" s="0" t="n">
        <v>2046199</v>
      </c>
      <c r="D7266" s="0" t="s">
        <v>24294</v>
      </c>
      <c r="E7266" s="0" t="s">
        <v>24295</v>
      </c>
      <c r="F7266" s="0" t="s">
        <v>90</v>
      </c>
      <c r="G7266" s="0" t="s">
        <v>16</v>
      </c>
      <c r="H7266" s="0" t="n">
        <v>64</v>
      </c>
      <c r="I7266" s="0" t="s">
        <v>24299</v>
      </c>
      <c r="J7266" s="0" t="s">
        <v>24300</v>
      </c>
      <c r="K7266" s="0" t="s">
        <v>24301</v>
      </c>
      <c r="L7266" s="0" t="str">
        <f aca="false">HYPERLINK("https://www.ncbi.nlm.nih.gov/nuccore/CP000304.1?report=graph&amp;tracks=[key:gene_model_track,Options:GeneOnly]&amp;mk=2046218:2046237|offset_26|444444,2046180:2046199|offset_64|00cc00,2046159:2046178|offset_85|444444,2046134:2046153|offset_110|444444&amp;v=2046017:2046353&amp;c=444444", "offset 64")</f>
        <v>offset 64</v>
      </c>
    </row>
    <row r="7267" customFormat="false" ht="12.8" hidden="false" customHeight="false" outlineLevel="0" collapsed="false">
      <c r="A7267" s="0" t="s">
        <v>12</v>
      </c>
      <c r="B7267" s="0" t="n">
        <v>2046158</v>
      </c>
      <c r="C7267" s="0" t="n">
        <v>2046178</v>
      </c>
      <c r="D7267" s="0" t="s">
        <v>24294</v>
      </c>
      <c r="E7267" s="0" t="s">
        <v>24295</v>
      </c>
      <c r="F7267" s="0" t="s">
        <v>90</v>
      </c>
      <c r="G7267" s="0" t="s">
        <v>16</v>
      </c>
      <c r="H7267" s="0" t="n">
        <v>85</v>
      </c>
      <c r="I7267" s="0" t="s">
        <v>24302</v>
      </c>
      <c r="J7267" s="0" t="s">
        <v>24303</v>
      </c>
      <c r="K7267" s="0" t="s">
        <v>24304</v>
      </c>
      <c r="L7267" s="0" t="str">
        <f aca="false">HYPERLINK("https://www.ncbi.nlm.nih.gov/nuccore/CP000304.1?report=graph&amp;tracks=[key:gene_model_track,Options:GeneOnly]&amp;mk=2046218:2046237|offset_26|444444,2046180:2046199|offset_64|444444,2046159:2046178|offset_85|00cc00,2046134:2046153|offset_110|444444&amp;v=2046017:2046353&amp;c=444444", "offset 85")</f>
        <v>offset 85</v>
      </c>
    </row>
    <row r="7268" customFormat="false" ht="12.8" hidden="false" customHeight="false" outlineLevel="0" collapsed="false">
      <c r="A7268" s="0" t="s">
        <v>12</v>
      </c>
      <c r="B7268" s="0" t="n">
        <v>2046133</v>
      </c>
      <c r="C7268" s="0" t="n">
        <v>2046153</v>
      </c>
      <c r="D7268" s="0" t="s">
        <v>24294</v>
      </c>
      <c r="E7268" s="0" t="s">
        <v>24295</v>
      </c>
      <c r="F7268" s="0" t="s">
        <v>90</v>
      </c>
      <c r="G7268" s="0" t="s">
        <v>32</v>
      </c>
      <c r="H7268" s="0" t="n">
        <v>110</v>
      </c>
      <c r="I7268" s="0" t="s">
        <v>24305</v>
      </c>
      <c r="J7268" s="0" t="s">
        <v>24306</v>
      </c>
      <c r="K7268" s="0" t="s">
        <v>24307</v>
      </c>
      <c r="L7268" s="0" t="str">
        <f aca="false">HYPERLINK("https://www.ncbi.nlm.nih.gov/nuccore/CP000304.1?report=graph&amp;tracks=[key:gene_model_track,Options:GeneOnly]&amp;mk=2046218:2046237|offset_26|444444,2046180:2046199|offset_64|444444,2046159:2046178|offset_85|444444,2046134:2046153|offset_110|00cc00&amp;v=2046017:2046353&amp;c=444444", "offset 110")</f>
        <v>offset 110</v>
      </c>
    </row>
    <row r="7269" customFormat="false" ht="12.8" hidden="false" customHeight="false" outlineLevel="0" collapsed="false">
      <c r="A7269" s="0" t="s">
        <v>12</v>
      </c>
      <c r="B7269" s="0" t="n">
        <v>2046763</v>
      </c>
      <c r="C7269" s="0" t="n">
        <v>2046783</v>
      </c>
      <c r="D7269" s="0" t="s">
        <v>24308</v>
      </c>
      <c r="E7269" s="0" t="s">
        <v>24309</v>
      </c>
      <c r="F7269" s="0" t="s">
        <v>90</v>
      </c>
      <c r="G7269" s="0" t="s">
        <v>32</v>
      </c>
      <c r="H7269" s="0" t="n">
        <v>7</v>
      </c>
      <c r="I7269" s="0" t="s">
        <v>24310</v>
      </c>
      <c r="J7269" s="0" t="s">
        <v>24311</v>
      </c>
      <c r="K7269" s="0" t="s">
        <v>24312</v>
      </c>
      <c r="L7269" s="0" t="str">
        <f aca="false">HYPERLINK("https://www.ncbi.nlm.nih.gov/nuccore/CP000304.1?report=graph&amp;tracks=[key:gene_model_track,Options:GeneOnly]&amp;mk=2046764:2046783|offset_7|00cc00,2046736:2046755|offset_35|444444,2046702:2046721|offset_69|444444,2046678:2046697|offset_93|444444&amp;v=2046563:2046897&amp;c=444444", "offset 7")</f>
        <v>offset 7</v>
      </c>
    </row>
    <row r="7270" customFormat="false" ht="12.8" hidden="false" customHeight="false" outlineLevel="0" collapsed="false">
      <c r="A7270" s="0" t="s">
        <v>12</v>
      </c>
      <c r="B7270" s="0" t="n">
        <v>2046735</v>
      </c>
      <c r="C7270" s="0" t="n">
        <v>2046755</v>
      </c>
      <c r="D7270" s="0" t="s">
        <v>24308</v>
      </c>
      <c r="E7270" s="0" t="s">
        <v>24309</v>
      </c>
      <c r="F7270" s="0" t="s">
        <v>90</v>
      </c>
      <c r="G7270" s="0" t="s">
        <v>26</v>
      </c>
      <c r="H7270" s="0" t="n">
        <v>35</v>
      </c>
      <c r="I7270" s="0" t="s">
        <v>24313</v>
      </c>
      <c r="J7270" s="0" t="s">
        <v>24314</v>
      </c>
      <c r="K7270" s="0" t="s">
        <v>24315</v>
      </c>
      <c r="L7270" s="0" t="str">
        <f aca="false">HYPERLINK("https://www.ncbi.nlm.nih.gov/nuccore/CP000304.1?report=graph&amp;tracks=[key:gene_model_track,Options:GeneOnly]&amp;mk=2046764:2046783|offset_7|444444,2046736:2046755|offset_35|00cc00,2046702:2046721|offset_69|444444,2046678:2046697|offset_93|444444&amp;v=2046563:2046897&amp;c=444444", "offset 35")</f>
        <v>offset 35</v>
      </c>
    </row>
    <row r="7271" customFormat="false" ht="12.8" hidden="false" customHeight="false" outlineLevel="0" collapsed="false">
      <c r="A7271" s="0" t="s">
        <v>12</v>
      </c>
      <c r="B7271" s="0" t="n">
        <v>2046701</v>
      </c>
      <c r="C7271" s="0" t="n">
        <v>2046721</v>
      </c>
      <c r="D7271" s="0" t="s">
        <v>24308</v>
      </c>
      <c r="E7271" s="0" t="s">
        <v>24309</v>
      </c>
      <c r="F7271" s="0" t="s">
        <v>90</v>
      </c>
      <c r="G7271" s="0" t="s">
        <v>36</v>
      </c>
      <c r="H7271" s="0" t="n">
        <v>69</v>
      </c>
      <c r="I7271" s="0" t="s">
        <v>24316</v>
      </c>
      <c r="J7271" s="0" t="s">
        <v>24317</v>
      </c>
      <c r="K7271" s="0" t="s">
        <v>24318</v>
      </c>
      <c r="L7271" s="0" t="str">
        <f aca="false">HYPERLINK("https://www.ncbi.nlm.nih.gov/nuccore/CP000304.1?report=graph&amp;tracks=[key:gene_model_track,Options:GeneOnly]&amp;mk=2046764:2046783|offset_7|444444,2046736:2046755|offset_35|444444,2046702:2046721|offset_69|00cc00,2046678:2046697|offset_93|444444&amp;v=2046563:2046897&amp;c=444444", "offset 69")</f>
        <v>offset 69</v>
      </c>
    </row>
    <row r="7272" customFormat="false" ht="12.8" hidden="false" customHeight="false" outlineLevel="0" collapsed="false">
      <c r="A7272" s="0" t="s">
        <v>12</v>
      </c>
      <c r="B7272" s="0" t="n">
        <v>2046677</v>
      </c>
      <c r="C7272" s="0" t="n">
        <v>2046697</v>
      </c>
      <c r="D7272" s="0" t="s">
        <v>24308</v>
      </c>
      <c r="E7272" s="0" t="s">
        <v>24309</v>
      </c>
      <c r="F7272" s="0" t="s">
        <v>90</v>
      </c>
      <c r="G7272" s="0" t="s">
        <v>16</v>
      </c>
      <c r="H7272" s="0" t="n">
        <v>93</v>
      </c>
      <c r="I7272" s="0" t="s">
        <v>24319</v>
      </c>
      <c r="J7272" s="0" t="s">
        <v>24320</v>
      </c>
      <c r="K7272" s="0" t="s">
        <v>24321</v>
      </c>
      <c r="L7272" s="0" t="str">
        <f aca="false">HYPERLINK("https://www.ncbi.nlm.nih.gov/nuccore/CP000304.1?report=graph&amp;tracks=[key:gene_model_track,Options:GeneOnly]&amp;mk=2046764:2046783|offset_7|444444,2046736:2046755|offset_35|444444,2046702:2046721|offset_69|444444,2046678:2046697|offset_93|00cc00&amp;v=2046563:2046897&amp;c=444444", "offset 93")</f>
        <v>offset 93</v>
      </c>
    </row>
    <row r="7273" customFormat="false" ht="12.8" hidden="false" customHeight="false" outlineLevel="0" collapsed="false">
      <c r="A7273" s="0" t="s">
        <v>12</v>
      </c>
      <c r="B7273" s="0" t="n">
        <v>2047196</v>
      </c>
      <c r="C7273" s="0" t="n">
        <v>2047216</v>
      </c>
      <c r="D7273" s="0" t="s">
        <v>24322</v>
      </c>
      <c r="E7273" s="0" t="s">
        <v>24323</v>
      </c>
      <c r="F7273" s="0" t="s">
        <v>15</v>
      </c>
      <c r="G7273" s="0" t="s">
        <v>36</v>
      </c>
      <c r="H7273" s="0" t="n">
        <v>7</v>
      </c>
      <c r="I7273" s="0" t="s">
        <v>24324</v>
      </c>
      <c r="J7273" s="0" t="s">
        <v>24325</v>
      </c>
      <c r="K7273" s="0" t="s">
        <v>24326</v>
      </c>
      <c r="L7273" s="0" t="str">
        <f aca="false">HYPERLINK("https://www.ncbi.nlm.nih.gov/nuccore/CP000304.1?report=graph&amp;tracks=[key:gene_model_track,Options:GeneOnly]&amp;mk=2047197:2047216|offset_7|00cc00,2047229:2047248|offset_39|444444,2047263:2047282|offset_73|444444,2047284:2047303|offset_94|444444&amp;v=2046996:2047503&amp;c=444444", "offset 7")</f>
        <v>offset 7</v>
      </c>
    </row>
    <row r="7274" customFormat="false" ht="12.8" hidden="false" customHeight="false" outlineLevel="0" collapsed="false">
      <c r="A7274" s="0" t="s">
        <v>12</v>
      </c>
      <c r="B7274" s="0" t="n">
        <v>2047228</v>
      </c>
      <c r="C7274" s="0" t="n">
        <v>2047248</v>
      </c>
      <c r="D7274" s="0" t="s">
        <v>24322</v>
      </c>
      <c r="E7274" s="0" t="s">
        <v>24323</v>
      </c>
      <c r="F7274" s="0" t="s">
        <v>15</v>
      </c>
      <c r="G7274" s="0" t="s">
        <v>36</v>
      </c>
      <c r="H7274" s="0" t="n">
        <v>39</v>
      </c>
      <c r="I7274" s="0" t="s">
        <v>24327</v>
      </c>
      <c r="J7274" s="0" t="s">
        <v>24328</v>
      </c>
      <c r="K7274" s="0" t="s">
        <v>24329</v>
      </c>
      <c r="L7274" s="0" t="str">
        <f aca="false">HYPERLINK("https://www.ncbi.nlm.nih.gov/nuccore/CP000304.1?report=graph&amp;tracks=[key:gene_model_track,Options:GeneOnly]&amp;mk=2047197:2047216|offset_7|444444,2047229:2047248|offset_39|00cc00,2047263:2047282|offset_73|444444,2047284:2047303|offset_94|444444&amp;v=2046996:2047503&amp;c=444444", "offset 39")</f>
        <v>offset 39</v>
      </c>
    </row>
    <row r="7275" customFormat="false" ht="12.8" hidden="false" customHeight="false" outlineLevel="0" collapsed="false">
      <c r="A7275" s="0" t="s">
        <v>12</v>
      </c>
      <c r="B7275" s="0" t="n">
        <v>2047262</v>
      </c>
      <c r="C7275" s="0" t="n">
        <v>2047282</v>
      </c>
      <c r="D7275" s="0" t="s">
        <v>24322</v>
      </c>
      <c r="E7275" s="0" t="s">
        <v>24323</v>
      </c>
      <c r="F7275" s="0" t="s">
        <v>15</v>
      </c>
      <c r="G7275" s="0" t="s">
        <v>16</v>
      </c>
      <c r="H7275" s="0" t="n">
        <v>73</v>
      </c>
      <c r="I7275" s="0" t="s">
        <v>24330</v>
      </c>
      <c r="J7275" s="0" t="s">
        <v>24331</v>
      </c>
      <c r="K7275" s="0" t="s">
        <v>24332</v>
      </c>
      <c r="L7275" s="0" t="str">
        <f aca="false">HYPERLINK("https://www.ncbi.nlm.nih.gov/nuccore/CP000304.1?report=graph&amp;tracks=[key:gene_model_track,Options:GeneOnly]&amp;mk=2047197:2047216|offset_7|444444,2047229:2047248|offset_39|444444,2047263:2047282|offset_73|00cc00,2047284:2047303|offset_94|444444&amp;v=2046996:2047503&amp;c=444444", "offset 73")</f>
        <v>offset 73</v>
      </c>
    </row>
    <row r="7276" customFormat="false" ht="12.8" hidden="false" customHeight="false" outlineLevel="0" collapsed="false">
      <c r="A7276" s="0" t="s">
        <v>12</v>
      </c>
      <c r="B7276" s="0" t="n">
        <v>2047283</v>
      </c>
      <c r="C7276" s="0" t="n">
        <v>2047303</v>
      </c>
      <c r="D7276" s="0" t="s">
        <v>24322</v>
      </c>
      <c r="E7276" s="0" t="s">
        <v>24323</v>
      </c>
      <c r="F7276" s="0" t="s">
        <v>15</v>
      </c>
      <c r="G7276" s="0" t="s">
        <v>16</v>
      </c>
      <c r="H7276" s="0" t="n">
        <v>94</v>
      </c>
      <c r="I7276" s="0" t="s">
        <v>24333</v>
      </c>
      <c r="J7276" s="0" t="s">
        <v>24334</v>
      </c>
      <c r="K7276" s="0" t="s">
        <v>24335</v>
      </c>
      <c r="L7276" s="0" t="str">
        <f aca="false">HYPERLINK("https://www.ncbi.nlm.nih.gov/nuccore/CP000304.1?report=graph&amp;tracks=[key:gene_model_track,Options:GeneOnly]&amp;mk=2047197:2047216|offset_7|444444,2047229:2047248|offset_39|444444,2047263:2047282|offset_73|444444,2047284:2047303|offset_94|00cc00&amp;v=2046996:2047503&amp;c=444444", "offset 94")</f>
        <v>offset 94</v>
      </c>
    </row>
    <row r="7277" customFormat="false" ht="12.8" hidden="false" customHeight="false" outlineLevel="0" collapsed="false">
      <c r="A7277" s="0" t="s">
        <v>12</v>
      </c>
      <c r="B7277" s="0" t="n">
        <v>2048249</v>
      </c>
      <c r="C7277" s="0" t="n">
        <v>2048269</v>
      </c>
      <c r="D7277" s="0" t="s">
        <v>24336</v>
      </c>
      <c r="E7277" s="0" t="s">
        <v>89</v>
      </c>
      <c r="F7277" s="0" t="s">
        <v>15</v>
      </c>
      <c r="G7277" s="0" t="s">
        <v>32</v>
      </c>
      <c r="H7277" s="0" t="n">
        <v>7</v>
      </c>
      <c r="I7277" s="0" t="s">
        <v>24337</v>
      </c>
      <c r="J7277" s="0" t="s">
        <v>24338</v>
      </c>
      <c r="K7277" s="0" t="s">
        <v>24339</v>
      </c>
      <c r="L7277" s="0" t="str">
        <f aca="false">HYPERLINK("https://www.ncbi.nlm.nih.gov/nuccore/CP000304.1?report=graph&amp;tracks=[key:gene_model_track,Options:GeneOnly]&amp;mk=2048250:2048269|offset_7|00cc00,2048301:2048320|offset_58|444444,2048386:2048405|offset_143|444444,2048434:2048453|offset_191|444444&amp;v=2048049:2048653&amp;c=444444", "offset 7")</f>
        <v>offset 7</v>
      </c>
    </row>
    <row r="7278" customFormat="false" ht="12.8" hidden="false" customHeight="false" outlineLevel="0" collapsed="false">
      <c r="A7278" s="0" t="s">
        <v>12</v>
      </c>
      <c r="B7278" s="0" t="n">
        <v>2048300</v>
      </c>
      <c r="C7278" s="0" t="n">
        <v>2048320</v>
      </c>
      <c r="D7278" s="0" t="s">
        <v>24336</v>
      </c>
      <c r="E7278" s="0" t="s">
        <v>89</v>
      </c>
      <c r="F7278" s="0" t="s">
        <v>15</v>
      </c>
      <c r="G7278" s="0" t="s">
        <v>16</v>
      </c>
      <c r="H7278" s="0" t="n">
        <v>58</v>
      </c>
      <c r="I7278" s="0" t="s">
        <v>24340</v>
      </c>
      <c r="J7278" s="0" t="s">
        <v>24341</v>
      </c>
      <c r="K7278" s="0" t="s">
        <v>24342</v>
      </c>
      <c r="L7278" s="0" t="str">
        <f aca="false">HYPERLINK("https://www.ncbi.nlm.nih.gov/nuccore/CP000304.1?report=graph&amp;tracks=[key:gene_model_track,Options:GeneOnly]&amp;mk=2048250:2048269|offset_7|444444,2048301:2048320|offset_58|00cc00,2048386:2048405|offset_143|444444,2048434:2048453|offset_191|444444&amp;v=2048049:2048653&amp;c=444444", "offset 58")</f>
        <v>offset 58</v>
      </c>
    </row>
    <row r="7279" customFormat="false" ht="12.8" hidden="false" customHeight="false" outlineLevel="0" collapsed="false">
      <c r="A7279" s="0" t="s">
        <v>12</v>
      </c>
      <c r="B7279" s="0" t="n">
        <v>2048385</v>
      </c>
      <c r="C7279" s="0" t="n">
        <v>2048405</v>
      </c>
      <c r="D7279" s="0" t="s">
        <v>24336</v>
      </c>
      <c r="E7279" s="0" t="s">
        <v>89</v>
      </c>
      <c r="F7279" s="0" t="s">
        <v>15</v>
      </c>
      <c r="G7279" s="0" t="s">
        <v>26</v>
      </c>
      <c r="H7279" s="0" t="n">
        <v>143</v>
      </c>
      <c r="I7279" s="0" t="s">
        <v>24343</v>
      </c>
      <c r="J7279" s="0" t="s">
        <v>24344</v>
      </c>
      <c r="K7279" s="0" t="s">
        <v>24345</v>
      </c>
      <c r="L7279" s="0" t="str">
        <f aca="false">HYPERLINK("https://www.ncbi.nlm.nih.gov/nuccore/CP000304.1?report=graph&amp;tracks=[key:gene_model_track,Options:GeneOnly]&amp;mk=2048250:2048269|offset_7|444444,2048301:2048320|offset_58|444444,2048386:2048405|offset_143|00cc00,2048434:2048453|offset_191|444444&amp;v=2048049:2048653&amp;c=444444", "offset 143")</f>
        <v>offset 143</v>
      </c>
    </row>
    <row r="7280" customFormat="false" ht="12.8" hidden="false" customHeight="false" outlineLevel="0" collapsed="false">
      <c r="A7280" s="0" t="s">
        <v>12</v>
      </c>
      <c r="B7280" s="0" t="n">
        <v>2048433</v>
      </c>
      <c r="C7280" s="0" t="n">
        <v>2048453</v>
      </c>
      <c r="D7280" s="0" t="s">
        <v>24336</v>
      </c>
      <c r="E7280" s="0" t="s">
        <v>89</v>
      </c>
      <c r="F7280" s="0" t="s">
        <v>15</v>
      </c>
      <c r="G7280" s="0" t="s">
        <v>26</v>
      </c>
      <c r="H7280" s="0" t="n">
        <v>191</v>
      </c>
      <c r="I7280" s="0" t="s">
        <v>24346</v>
      </c>
      <c r="J7280" s="0" t="s">
        <v>24347</v>
      </c>
      <c r="K7280" s="0" t="s">
        <v>24348</v>
      </c>
      <c r="L7280" s="0" t="str">
        <f aca="false">HYPERLINK("https://www.ncbi.nlm.nih.gov/nuccore/CP000304.1?report=graph&amp;tracks=[key:gene_model_track,Options:GeneOnly]&amp;mk=2048250:2048269|offset_7|444444,2048301:2048320|offset_58|444444,2048386:2048405|offset_143|444444,2048434:2048453|offset_191|00cc00&amp;v=2048049:2048653&amp;c=444444", "offset 191")</f>
        <v>offset 191</v>
      </c>
    </row>
    <row r="7281" customFormat="false" ht="12.8" hidden="false" customHeight="false" outlineLevel="0" collapsed="false">
      <c r="A7281" s="0" t="s">
        <v>12</v>
      </c>
      <c r="B7281" s="0" t="n">
        <v>2048699</v>
      </c>
      <c r="C7281" s="0" t="n">
        <v>2048719</v>
      </c>
      <c r="D7281" s="0" t="s">
        <v>24349</v>
      </c>
      <c r="E7281" s="0" t="s">
        <v>24350</v>
      </c>
      <c r="F7281" s="0" t="s">
        <v>15</v>
      </c>
      <c r="G7281" s="0" t="s">
        <v>16</v>
      </c>
      <c r="H7281" s="0" t="n">
        <v>8</v>
      </c>
      <c r="I7281" s="0" t="s">
        <v>24351</v>
      </c>
      <c r="J7281" s="0" t="s">
        <v>24352</v>
      </c>
      <c r="K7281" s="0" t="s">
        <v>24353</v>
      </c>
      <c r="L7281" s="0" t="str">
        <f aca="false">HYPERLINK("https://www.ncbi.nlm.nih.gov/nuccore/CP000304.1?report=graph&amp;tracks=[key:gene_model_track,Options:GeneOnly]&amp;mk=2048700:2048719|offset_8|00cc00,2048728:2048747|offset_36|444444,2048751:2048770|offset_59|444444,2048774:2048793|offset_82|444444&amp;v=2048499:2048993&amp;c=444444", "offset 8")</f>
        <v>offset 8</v>
      </c>
    </row>
    <row r="7282" customFormat="false" ht="12.8" hidden="false" customHeight="false" outlineLevel="0" collapsed="false">
      <c r="A7282" s="0" t="s">
        <v>12</v>
      </c>
      <c r="B7282" s="0" t="n">
        <v>2048727</v>
      </c>
      <c r="C7282" s="0" t="n">
        <v>2048747</v>
      </c>
      <c r="D7282" s="0" t="s">
        <v>24349</v>
      </c>
      <c r="E7282" s="0" t="s">
        <v>24350</v>
      </c>
      <c r="F7282" s="0" t="s">
        <v>15</v>
      </c>
      <c r="G7282" s="0" t="s">
        <v>16</v>
      </c>
      <c r="H7282" s="0" t="n">
        <v>36</v>
      </c>
      <c r="I7282" s="0" t="s">
        <v>24354</v>
      </c>
      <c r="J7282" s="0" t="s">
        <v>24355</v>
      </c>
      <c r="K7282" s="0" t="s">
        <v>24356</v>
      </c>
      <c r="L7282" s="0" t="str">
        <f aca="false">HYPERLINK("https://www.ncbi.nlm.nih.gov/nuccore/CP000304.1?report=graph&amp;tracks=[key:gene_model_track,Options:GeneOnly]&amp;mk=2048700:2048719|offset_8|444444,2048728:2048747|offset_36|00cc00,2048751:2048770|offset_59|444444,2048774:2048793|offset_82|444444&amp;v=2048499:2048993&amp;c=444444", "offset 36")</f>
        <v>offset 36</v>
      </c>
    </row>
    <row r="7283" customFormat="false" ht="12.8" hidden="false" customHeight="false" outlineLevel="0" collapsed="false">
      <c r="A7283" s="0" t="s">
        <v>12</v>
      </c>
      <c r="B7283" s="0" t="n">
        <v>2048750</v>
      </c>
      <c r="C7283" s="0" t="n">
        <v>2048770</v>
      </c>
      <c r="D7283" s="0" t="s">
        <v>24349</v>
      </c>
      <c r="E7283" s="0" t="s">
        <v>24350</v>
      </c>
      <c r="F7283" s="0" t="s">
        <v>15</v>
      </c>
      <c r="G7283" s="0" t="s">
        <v>36</v>
      </c>
      <c r="H7283" s="0" t="n">
        <v>59</v>
      </c>
      <c r="I7283" s="0" t="s">
        <v>24357</v>
      </c>
      <c r="J7283" s="0" t="s">
        <v>24358</v>
      </c>
      <c r="K7283" s="0" t="s">
        <v>24359</v>
      </c>
      <c r="L7283" s="0" t="str">
        <f aca="false">HYPERLINK("https://www.ncbi.nlm.nih.gov/nuccore/CP000304.1?report=graph&amp;tracks=[key:gene_model_track,Options:GeneOnly]&amp;mk=2048700:2048719|offset_8|444444,2048728:2048747|offset_36|444444,2048751:2048770|offset_59|00cc00,2048774:2048793|offset_82|444444&amp;v=2048499:2048993&amp;c=444444", "offset 59")</f>
        <v>offset 59</v>
      </c>
    </row>
    <row r="7284" customFormat="false" ht="12.8" hidden="false" customHeight="false" outlineLevel="0" collapsed="false">
      <c r="A7284" s="0" t="s">
        <v>12</v>
      </c>
      <c r="B7284" s="0" t="n">
        <v>2048773</v>
      </c>
      <c r="C7284" s="0" t="n">
        <v>2048793</v>
      </c>
      <c r="D7284" s="0" t="s">
        <v>24349</v>
      </c>
      <c r="E7284" s="0" t="s">
        <v>24350</v>
      </c>
      <c r="F7284" s="0" t="s">
        <v>15</v>
      </c>
      <c r="G7284" s="0" t="s">
        <v>16</v>
      </c>
      <c r="H7284" s="0" t="n">
        <v>82</v>
      </c>
      <c r="I7284" s="0" t="s">
        <v>24360</v>
      </c>
      <c r="J7284" s="0" t="s">
        <v>24361</v>
      </c>
      <c r="K7284" s="0" t="s">
        <v>24362</v>
      </c>
      <c r="L7284" s="0" t="str">
        <f aca="false">HYPERLINK("https://www.ncbi.nlm.nih.gov/nuccore/CP000304.1?report=graph&amp;tracks=[key:gene_model_track,Options:GeneOnly]&amp;mk=2048700:2048719|offset_8|444444,2048728:2048747|offset_36|444444,2048751:2048770|offset_59|444444,2048774:2048793|offset_82|00cc00&amp;v=2048499:2048993&amp;c=444444", "offset 82")</f>
        <v>offset 82</v>
      </c>
    </row>
    <row r="7285" customFormat="false" ht="12.8" hidden="false" customHeight="false" outlineLevel="0" collapsed="false">
      <c r="A7285" s="0" t="s">
        <v>12</v>
      </c>
      <c r="B7285" s="0" t="n">
        <v>2049137</v>
      </c>
      <c r="C7285" s="0" t="n">
        <v>2049157</v>
      </c>
      <c r="D7285" s="0" t="s">
        <v>24363</v>
      </c>
      <c r="E7285" s="0" t="s">
        <v>89</v>
      </c>
      <c r="F7285" s="0" t="s">
        <v>15</v>
      </c>
      <c r="G7285" s="0" t="s">
        <v>26</v>
      </c>
      <c r="H7285" s="0" t="n">
        <v>1</v>
      </c>
      <c r="I7285" s="0" t="s">
        <v>24364</v>
      </c>
      <c r="J7285" s="0" t="s">
        <v>24365</v>
      </c>
      <c r="K7285" s="0" t="s">
        <v>24366</v>
      </c>
      <c r="L7285" s="0" t="str">
        <f aca="false">HYPERLINK("https://www.ncbi.nlm.nih.gov/nuccore/CP000304.1?report=graph&amp;tracks=[key:gene_model_track,Options:GeneOnly]&amp;mk=2049138:2049157|offset_1|00cc00,2049161:2049180|offset_24|444444,2049204:2049223|offset_67|444444,2049231:2049250|offset_94|444444&amp;v=2048937:2049450&amp;c=444444", "offset 1")</f>
        <v>offset 1</v>
      </c>
    </row>
    <row r="7286" customFormat="false" ht="12.8" hidden="false" customHeight="false" outlineLevel="0" collapsed="false">
      <c r="A7286" s="0" t="s">
        <v>12</v>
      </c>
      <c r="B7286" s="0" t="n">
        <v>2049160</v>
      </c>
      <c r="C7286" s="0" t="n">
        <v>2049180</v>
      </c>
      <c r="D7286" s="0" t="s">
        <v>24363</v>
      </c>
      <c r="E7286" s="0" t="s">
        <v>89</v>
      </c>
      <c r="F7286" s="0" t="s">
        <v>15</v>
      </c>
      <c r="G7286" s="0" t="s">
        <v>36</v>
      </c>
      <c r="H7286" s="0" t="n">
        <v>24</v>
      </c>
      <c r="I7286" s="0" t="s">
        <v>24367</v>
      </c>
      <c r="J7286" s="0" t="s">
        <v>24368</v>
      </c>
      <c r="K7286" s="0" t="s">
        <v>24369</v>
      </c>
      <c r="L7286" s="0" t="str">
        <f aca="false">HYPERLINK("https://www.ncbi.nlm.nih.gov/nuccore/CP000304.1?report=graph&amp;tracks=[key:gene_model_track,Options:GeneOnly]&amp;mk=2049138:2049157|offset_1|444444,2049161:2049180|offset_24|00cc00,2049204:2049223|offset_67|444444,2049231:2049250|offset_94|444444&amp;v=2048937:2049450&amp;c=444444", "offset 24")</f>
        <v>offset 24</v>
      </c>
    </row>
    <row r="7287" customFormat="false" ht="12.8" hidden="false" customHeight="false" outlineLevel="0" collapsed="false">
      <c r="A7287" s="0" t="s">
        <v>12</v>
      </c>
      <c r="B7287" s="0" t="n">
        <v>2049203</v>
      </c>
      <c r="C7287" s="0" t="n">
        <v>2049223</v>
      </c>
      <c r="D7287" s="0" t="s">
        <v>24363</v>
      </c>
      <c r="E7287" s="0" t="s">
        <v>89</v>
      </c>
      <c r="F7287" s="0" t="s">
        <v>15</v>
      </c>
      <c r="G7287" s="0" t="s">
        <v>16</v>
      </c>
      <c r="H7287" s="0" t="n">
        <v>67</v>
      </c>
      <c r="I7287" s="0" t="s">
        <v>24370</v>
      </c>
      <c r="J7287" s="0" t="s">
        <v>24371</v>
      </c>
      <c r="K7287" s="0" t="s">
        <v>24372</v>
      </c>
      <c r="L7287" s="0" t="str">
        <f aca="false">HYPERLINK("https://www.ncbi.nlm.nih.gov/nuccore/CP000304.1?report=graph&amp;tracks=[key:gene_model_track,Options:GeneOnly]&amp;mk=2049138:2049157|offset_1|444444,2049161:2049180|offset_24|444444,2049204:2049223|offset_67|00cc00,2049231:2049250|offset_94|444444&amp;v=2048937:2049450&amp;c=444444", "offset 67")</f>
        <v>offset 67</v>
      </c>
    </row>
    <row r="7288" customFormat="false" ht="12.8" hidden="false" customHeight="false" outlineLevel="0" collapsed="false">
      <c r="A7288" s="0" t="s">
        <v>12</v>
      </c>
      <c r="B7288" s="0" t="n">
        <v>2049230</v>
      </c>
      <c r="C7288" s="0" t="n">
        <v>2049250</v>
      </c>
      <c r="D7288" s="0" t="s">
        <v>24363</v>
      </c>
      <c r="E7288" s="0" t="s">
        <v>89</v>
      </c>
      <c r="F7288" s="0" t="s">
        <v>15</v>
      </c>
      <c r="G7288" s="0" t="s">
        <v>26</v>
      </c>
      <c r="H7288" s="0" t="n">
        <v>94</v>
      </c>
      <c r="I7288" s="0" t="s">
        <v>24373</v>
      </c>
      <c r="J7288" s="0" t="s">
        <v>24374</v>
      </c>
      <c r="K7288" s="0" t="s">
        <v>24375</v>
      </c>
      <c r="L7288" s="0" t="str">
        <f aca="false">HYPERLINK("https://www.ncbi.nlm.nih.gov/nuccore/CP000304.1?report=graph&amp;tracks=[key:gene_model_track,Options:GeneOnly]&amp;mk=2049138:2049157|offset_1|444444,2049161:2049180|offset_24|444444,2049204:2049223|offset_67|444444,2049231:2049250|offset_94|00cc00&amp;v=2048937:2049450&amp;c=444444", "offset 94")</f>
        <v>offset 94</v>
      </c>
    </row>
    <row r="7289" customFormat="false" ht="12.8" hidden="false" customHeight="false" outlineLevel="0" collapsed="false">
      <c r="A7289" s="0" t="s">
        <v>12</v>
      </c>
      <c r="B7289" s="0" t="n">
        <v>2049594</v>
      </c>
      <c r="C7289" s="0" t="n">
        <v>2049614</v>
      </c>
      <c r="D7289" s="0" t="s">
        <v>24376</v>
      </c>
      <c r="E7289" s="0" t="s">
        <v>89</v>
      </c>
      <c r="F7289" s="0" t="s">
        <v>15</v>
      </c>
      <c r="G7289" s="0" t="s">
        <v>16</v>
      </c>
      <c r="H7289" s="0" t="n">
        <v>55</v>
      </c>
      <c r="I7289" s="0" t="s">
        <v>24377</v>
      </c>
      <c r="J7289" s="0" t="s">
        <v>24378</v>
      </c>
      <c r="K7289" s="0" t="s">
        <v>24379</v>
      </c>
      <c r="L7289" s="0" t="str">
        <f aca="false">HYPERLINK("https://www.ncbi.nlm.nih.gov/nuccore/CP000304.1?report=graph&amp;tracks=[key:gene_model_track,Options:GeneOnly]&amp;mk=2049595:2049614|offset_55|00cc00,2049620:2049639|offset_80|444444,2049657:2049676|offset_117|444444,2049698:2049717|offset_158|444444&amp;v=2049394:2049917&amp;c=444444", "offset 55")</f>
        <v>offset 55</v>
      </c>
    </row>
    <row r="7290" customFormat="false" ht="12.8" hidden="false" customHeight="false" outlineLevel="0" collapsed="false">
      <c r="A7290" s="0" t="s">
        <v>12</v>
      </c>
      <c r="B7290" s="0" t="n">
        <v>2049619</v>
      </c>
      <c r="C7290" s="0" t="n">
        <v>2049639</v>
      </c>
      <c r="D7290" s="0" t="s">
        <v>24376</v>
      </c>
      <c r="E7290" s="0" t="s">
        <v>89</v>
      </c>
      <c r="F7290" s="0" t="s">
        <v>15</v>
      </c>
      <c r="G7290" s="0" t="s">
        <v>26</v>
      </c>
      <c r="H7290" s="0" t="n">
        <v>80</v>
      </c>
      <c r="I7290" s="0" t="s">
        <v>24380</v>
      </c>
      <c r="J7290" s="0" t="s">
        <v>24381</v>
      </c>
      <c r="K7290" s="0" t="s">
        <v>24382</v>
      </c>
      <c r="L7290" s="0" t="str">
        <f aca="false">HYPERLINK("https://www.ncbi.nlm.nih.gov/nuccore/CP000304.1?report=graph&amp;tracks=[key:gene_model_track,Options:GeneOnly]&amp;mk=2049595:2049614|offset_55|444444,2049620:2049639|offset_80|00cc00,2049657:2049676|offset_117|444444,2049698:2049717|offset_158|444444&amp;v=2049394:2049917&amp;c=444444", "offset 80")</f>
        <v>offset 80</v>
      </c>
    </row>
    <row r="7291" customFormat="false" ht="12.8" hidden="false" customHeight="false" outlineLevel="0" collapsed="false">
      <c r="A7291" s="0" t="s">
        <v>12</v>
      </c>
      <c r="B7291" s="0" t="n">
        <v>2049656</v>
      </c>
      <c r="C7291" s="0" t="n">
        <v>2049676</v>
      </c>
      <c r="D7291" s="0" t="s">
        <v>24376</v>
      </c>
      <c r="E7291" s="0" t="s">
        <v>89</v>
      </c>
      <c r="F7291" s="0" t="s">
        <v>15</v>
      </c>
      <c r="G7291" s="0" t="s">
        <v>16</v>
      </c>
      <c r="H7291" s="0" t="n">
        <v>117</v>
      </c>
      <c r="I7291" s="0" t="s">
        <v>24383</v>
      </c>
      <c r="J7291" s="0" t="s">
        <v>24384</v>
      </c>
      <c r="K7291" s="0" t="s">
        <v>24385</v>
      </c>
      <c r="L7291" s="0" t="str">
        <f aca="false">HYPERLINK("https://www.ncbi.nlm.nih.gov/nuccore/CP000304.1?report=graph&amp;tracks=[key:gene_model_track,Options:GeneOnly]&amp;mk=2049595:2049614|offset_55|444444,2049620:2049639|offset_80|444444,2049657:2049676|offset_117|00cc00,2049698:2049717|offset_158|444444&amp;v=2049394:2049917&amp;c=444444", "offset 117")</f>
        <v>offset 117</v>
      </c>
    </row>
    <row r="7292" customFormat="false" ht="12.8" hidden="false" customHeight="false" outlineLevel="0" collapsed="false">
      <c r="A7292" s="0" t="s">
        <v>12</v>
      </c>
      <c r="B7292" s="0" t="n">
        <v>2049697</v>
      </c>
      <c r="C7292" s="0" t="n">
        <v>2049717</v>
      </c>
      <c r="D7292" s="0" t="s">
        <v>24376</v>
      </c>
      <c r="E7292" s="0" t="s">
        <v>89</v>
      </c>
      <c r="F7292" s="0" t="s">
        <v>15</v>
      </c>
      <c r="G7292" s="0" t="s">
        <v>16</v>
      </c>
      <c r="H7292" s="0" t="n">
        <v>158</v>
      </c>
      <c r="I7292" s="0" t="s">
        <v>24386</v>
      </c>
      <c r="J7292" s="0" t="s">
        <v>24387</v>
      </c>
      <c r="K7292" s="0" t="s">
        <v>24388</v>
      </c>
      <c r="L7292" s="0" t="str">
        <f aca="false">HYPERLINK("https://www.ncbi.nlm.nih.gov/nuccore/CP000304.1?report=graph&amp;tracks=[key:gene_model_track,Options:GeneOnly]&amp;mk=2049595:2049614|offset_55|444444,2049620:2049639|offset_80|444444,2049657:2049676|offset_117|444444,2049698:2049717|offset_158|00cc00&amp;v=2049394:2049917&amp;c=444444", "offset 158")</f>
        <v>offset 158</v>
      </c>
    </row>
    <row r="7293" customFormat="false" ht="12.8" hidden="false" customHeight="false" outlineLevel="0" collapsed="false">
      <c r="A7293" s="0" t="s">
        <v>12</v>
      </c>
      <c r="B7293" s="0" t="n">
        <v>2050545</v>
      </c>
      <c r="C7293" s="0" t="n">
        <v>2050565</v>
      </c>
      <c r="D7293" s="0" t="s">
        <v>24389</v>
      </c>
      <c r="E7293" s="0" t="s">
        <v>89</v>
      </c>
      <c r="F7293" s="0" t="s">
        <v>15</v>
      </c>
      <c r="G7293" s="0" t="s">
        <v>16</v>
      </c>
      <c r="H7293" s="0" t="n">
        <v>26</v>
      </c>
      <c r="I7293" s="0" t="s">
        <v>24390</v>
      </c>
      <c r="J7293" s="0" t="s">
        <v>24391</v>
      </c>
      <c r="K7293" s="0" t="s">
        <v>24392</v>
      </c>
      <c r="L7293" s="0" t="str">
        <f aca="false">HYPERLINK("https://www.ncbi.nlm.nih.gov/nuccore/CP000304.1?report=graph&amp;tracks=[key:gene_model_track,Options:GeneOnly]&amp;mk=2050546:2050565|offset_26|00cc00,2050582:2050601|offset_62|444444,2050607:2050626|offset_87|444444,2050641:2050660|offset_121|444444&amp;v=2050345:2050860&amp;c=444444", "offset 26")</f>
        <v>offset 26</v>
      </c>
    </row>
    <row r="7294" customFormat="false" ht="12.8" hidden="false" customHeight="false" outlineLevel="0" collapsed="false">
      <c r="A7294" s="0" t="s">
        <v>12</v>
      </c>
      <c r="B7294" s="0" t="n">
        <v>2050581</v>
      </c>
      <c r="C7294" s="0" t="n">
        <v>2050601</v>
      </c>
      <c r="D7294" s="0" t="s">
        <v>24389</v>
      </c>
      <c r="E7294" s="0" t="s">
        <v>89</v>
      </c>
      <c r="F7294" s="0" t="s">
        <v>15</v>
      </c>
      <c r="G7294" s="0" t="s">
        <v>26</v>
      </c>
      <c r="H7294" s="0" t="n">
        <v>62</v>
      </c>
      <c r="I7294" s="0" t="s">
        <v>24393</v>
      </c>
      <c r="J7294" s="0" t="s">
        <v>24394</v>
      </c>
      <c r="K7294" s="0" t="s">
        <v>24395</v>
      </c>
      <c r="L7294" s="0" t="str">
        <f aca="false">HYPERLINK("https://www.ncbi.nlm.nih.gov/nuccore/CP000304.1?report=graph&amp;tracks=[key:gene_model_track,Options:GeneOnly]&amp;mk=2050546:2050565|offset_26|444444,2050582:2050601|offset_62|00cc00,2050607:2050626|offset_87|444444,2050641:2050660|offset_121|444444&amp;v=2050345:2050860&amp;c=444444", "offset 62")</f>
        <v>offset 62</v>
      </c>
    </row>
    <row r="7295" customFormat="false" ht="12.8" hidden="false" customHeight="false" outlineLevel="0" collapsed="false">
      <c r="A7295" s="0" t="s">
        <v>12</v>
      </c>
      <c r="B7295" s="0" t="n">
        <v>2050606</v>
      </c>
      <c r="C7295" s="0" t="n">
        <v>2050626</v>
      </c>
      <c r="D7295" s="0" t="s">
        <v>24389</v>
      </c>
      <c r="E7295" s="0" t="s">
        <v>89</v>
      </c>
      <c r="F7295" s="0" t="s">
        <v>15</v>
      </c>
      <c r="G7295" s="0" t="s">
        <v>16</v>
      </c>
      <c r="H7295" s="0" t="n">
        <v>87</v>
      </c>
      <c r="I7295" s="0" t="s">
        <v>24396</v>
      </c>
      <c r="J7295" s="0" t="s">
        <v>24397</v>
      </c>
      <c r="K7295" s="0" t="s">
        <v>24398</v>
      </c>
      <c r="L7295" s="0" t="str">
        <f aca="false">HYPERLINK("https://www.ncbi.nlm.nih.gov/nuccore/CP000304.1?report=graph&amp;tracks=[key:gene_model_track,Options:GeneOnly]&amp;mk=2050546:2050565|offset_26|444444,2050582:2050601|offset_62|444444,2050607:2050626|offset_87|00cc00,2050641:2050660|offset_121|444444&amp;v=2050345:2050860&amp;c=444444", "offset 87")</f>
        <v>offset 87</v>
      </c>
    </row>
    <row r="7296" customFormat="false" ht="12.8" hidden="false" customHeight="false" outlineLevel="0" collapsed="false">
      <c r="A7296" s="0" t="s">
        <v>12</v>
      </c>
      <c r="B7296" s="0" t="n">
        <v>2050640</v>
      </c>
      <c r="C7296" s="0" t="n">
        <v>2050660</v>
      </c>
      <c r="D7296" s="0" t="s">
        <v>24389</v>
      </c>
      <c r="E7296" s="0" t="s">
        <v>89</v>
      </c>
      <c r="F7296" s="0" t="s">
        <v>15</v>
      </c>
      <c r="G7296" s="0" t="s">
        <v>16</v>
      </c>
      <c r="H7296" s="0" t="n">
        <v>121</v>
      </c>
      <c r="I7296" s="0" t="s">
        <v>24399</v>
      </c>
      <c r="J7296" s="0" t="s">
        <v>24400</v>
      </c>
      <c r="K7296" s="0" t="s">
        <v>24401</v>
      </c>
      <c r="L7296" s="0" t="str">
        <f aca="false">HYPERLINK("https://www.ncbi.nlm.nih.gov/nuccore/CP000304.1?report=graph&amp;tracks=[key:gene_model_track,Options:GeneOnly]&amp;mk=2050546:2050565|offset_26|444444,2050582:2050601|offset_62|444444,2050607:2050626|offset_87|444444,2050641:2050660|offset_121|00cc00&amp;v=2050345:2050860&amp;c=444444", "offset 121")</f>
        <v>offset 121</v>
      </c>
    </row>
    <row r="7297" customFormat="false" ht="12.8" hidden="false" customHeight="false" outlineLevel="0" collapsed="false">
      <c r="A7297" s="0" t="s">
        <v>12</v>
      </c>
      <c r="B7297" s="0" t="n">
        <v>2051616</v>
      </c>
      <c r="C7297" s="0" t="n">
        <v>2051636</v>
      </c>
      <c r="D7297" s="0" t="s">
        <v>24402</v>
      </c>
      <c r="E7297" s="0" t="s">
        <v>89</v>
      </c>
      <c r="F7297" s="0" t="s">
        <v>15</v>
      </c>
      <c r="G7297" s="0" t="s">
        <v>16</v>
      </c>
      <c r="H7297" s="0" t="n">
        <v>22</v>
      </c>
      <c r="I7297" s="0" t="s">
        <v>24403</v>
      </c>
      <c r="J7297" s="0" t="s">
        <v>24404</v>
      </c>
      <c r="K7297" s="0" t="s">
        <v>24405</v>
      </c>
      <c r="L7297" s="0" t="str">
        <f aca="false">HYPERLINK("https://www.ncbi.nlm.nih.gov/nuccore/CP000304.1?report=graph&amp;tracks=[key:gene_model_track,Options:GeneOnly]&amp;mk=2051617:2051636|offset_22|00cc00,2051638:2051657|offset_43|444444,2051665:2051684|offset_70|444444,2051691:2051710|offset_96|444444&amp;v=2051416:2051910&amp;c=444444", "offset 22")</f>
        <v>offset 22</v>
      </c>
    </row>
    <row r="7298" customFormat="false" ht="12.8" hidden="false" customHeight="false" outlineLevel="0" collapsed="false">
      <c r="A7298" s="0" t="s">
        <v>12</v>
      </c>
      <c r="B7298" s="0" t="n">
        <v>2051637</v>
      </c>
      <c r="C7298" s="0" t="n">
        <v>2051657</v>
      </c>
      <c r="D7298" s="0" t="s">
        <v>24402</v>
      </c>
      <c r="E7298" s="0" t="s">
        <v>89</v>
      </c>
      <c r="F7298" s="0" t="s">
        <v>15</v>
      </c>
      <c r="G7298" s="0" t="s">
        <v>16</v>
      </c>
      <c r="H7298" s="0" t="n">
        <v>43</v>
      </c>
      <c r="I7298" s="0" t="s">
        <v>24406</v>
      </c>
      <c r="J7298" s="0" t="s">
        <v>24407</v>
      </c>
      <c r="K7298" s="0" t="s">
        <v>24408</v>
      </c>
      <c r="L7298" s="0" t="str">
        <f aca="false">HYPERLINK("https://www.ncbi.nlm.nih.gov/nuccore/CP000304.1?report=graph&amp;tracks=[key:gene_model_track,Options:GeneOnly]&amp;mk=2051617:2051636|offset_22|444444,2051638:2051657|offset_43|00cc00,2051665:2051684|offset_70|444444,2051691:2051710|offset_96|444444&amp;v=2051416:2051910&amp;c=444444", "offset 43")</f>
        <v>offset 43</v>
      </c>
    </row>
    <row r="7299" customFormat="false" ht="12.8" hidden="false" customHeight="false" outlineLevel="0" collapsed="false">
      <c r="A7299" s="0" t="s">
        <v>12</v>
      </c>
      <c r="B7299" s="0" t="n">
        <v>2051664</v>
      </c>
      <c r="C7299" s="0" t="n">
        <v>2051684</v>
      </c>
      <c r="D7299" s="0" t="s">
        <v>24402</v>
      </c>
      <c r="E7299" s="0" t="s">
        <v>89</v>
      </c>
      <c r="F7299" s="0" t="s">
        <v>15</v>
      </c>
      <c r="G7299" s="0" t="s">
        <v>16</v>
      </c>
      <c r="H7299" s="0" t="n">
        <v>70</v>
      </c>
      <c r="I7299" s="0" t="s">
        <v>24409</v>
      </c>
      <c r="J7299" s="0" t="s">
        <v>24410</v>
      </c>
      <c r="K7299" s="0" t="s">
        <v>24411</v>
      </c>
      <c r="L7299" s="0" t="str">
        <f aca="false">HYPERLINK("https://www.ncbi.nlm.nih.gov/nuccore/CP000304.1?report=graph&amp;tracks=[key:gene_model_track,Options:GeneOnly]&amp;mk=2051617:2051636|offset_22|444444,2051638:2051657|offset_43|444444,2051665:2051684|offset_70|00cc00,2051691:2051710|offset_96|444444&amp;v=2051416:2051910&amp;c=444444", "offset 70")</f>
        <v>offset 70</v>
      </c>
    </row>
    <row r="7300" customFormat="false" ht="12.8" hidden="false" customHeight="false" outlineLevel="0" collapsed="false">
      <c r="A7300" s="0" t="s">
        <v>12</v>
      </c>
      <c r="B7300" s="0" t="n">
        <v>2051690</v>
      </c>
      <c r="C7300" s="0" t="n">
        <v>2051710</v>
      </c>
      <c r="D7300" s="0" t="s">
        <v>24402</v>
      </c>
      <c r="E7300" s="0" t="s">
        <v>89</v>
      </c>
      <c r="F7300" s="0" t="s">
        <v>15</v>
      </c>
      <c r="G7300" s="0" t="s">
        <v>16</v>
      </c>
      <c r="H7300" s="0" t="n">
        <v>96</v>
      </c>
      <c r="I7300" s="0" t="s">
        <v>24412</v>
      </c>
      <c r="J7300" s="0" t="s">
        <v>24413</v>
      </c>
      <c r="K7300" s="0" t="s">
        <v>24414</v>
      </c>
      <c r="L7300" s="0" t="str">
        <f aca="false">HYPERLINK("https://www.ncbi.nlm.nih.gov/nuccore/CP000304.1?report=graph&amp;tracks=[key:gene_model_track,Options:GeneOnly]&amp;mk=2051617:2051636|offset_22|444444,2051638:2051657|offset_43|444444,2051665:2051684|offset_70|444444,2051691:2051710|offset_96|00cc00&amp;v=2051416:2051910&amp;c=444444", "offset 96")</f>
        <v>offset 96</v>
      </c>
    </row>
    <row r="7301" customFormat="false" ht="12.8" hidden="false" customHeight="false" outlineLevel="0" collapsed="false">
      <c r="A7301" s="0" t="s">
        <v>12</v>
      </c>
      <c r="B7301" s="0" t="n">
        <v>2052498</v>
      </c>
      <c r="C7301" s="0" t="n">
        <v>2052518</v>
      </c>
      <c r="D7301" s="0" t="s">
        <v>24415</v>
      </c>
      <c r="E7301" s="0" t="s">
        <v>89</v>
      </c>
      <c r="F7301" s="0" t="s">
        <v>15</v>
      </c>
      <c r="G7301" s="0" t="s">
        <v>36</v>
      </c>
      <c r="H7301" s="0" t="n">
        <v>0</v>
      </c>
      <c r="I7301" s="0" t="s">
        <v>24416</v>
      </c>
      <c r="J7301" s="0" t="s">
        <v>24417</v>
      </c>
      <c r="K7301" s="0" t="s">
        <v>24418</v>
      </c>
      <c r="L7301" s="0" t="str">
        <f aca="false">HYPERLINK("https://www.ncbi.nlm.nih.gov/nuccore/CP000304.1?report=graph&amp;tracks=[key:gene_model_track,Options:GeneOnly]&amp;mk=2052499:2052518|offset_0|00cc00,2052519:2052538|offset_20|444444,2052557:2052576|offset_58|444444,2052577:2052596|offset_78|444444&amp;v=2052298:2052796&amp;c=444444", "offset 0")</f>
        <v>offset 0</v>
      </c>
    </row>
    <row r="7302" customFormat="false" ht="12.8" hidden="false" customHeight="false" outlineLevel="0" collapsed="false">
      <c r="A7302" s="0" t="s">
        <v>12</v>
      </c>
      <c r="B7302" s="0" t="n">
        <v>2052518</v>
      </c>
      <c r="C7302" s="0" t="n">
        <v>2052538</v>
      </c>
      <c r="D7302" s="0" t="s">
        <v>24415</v>
      </c>
      <c r="E7302" s="0" t="s">
        <v>89</v>
      </c>
      <c r="F7302" s="0" t="s">
        <v>15</v>
      </c>
      <c r="G7302" s="0" t="s">
        <v>26</v>
      </c>
      <c r="H7302" s="0" t="n">
        <v>20</v>
      </c>
      <c r="I7302" s="0" t="s">
        <v>24419</v>
      </c>
      <c r="J7302" s="0" t="s">
        <v>24420</v>
      </c>
      <c r="K7302" s="0" t="s">
        <v>24421</v>
      </c>
      <c r="L7302" s="0" t="str">
        <f aca="false">HYPERLINK("https://www.ncbi.nlm.nih.gov/nuccore/CP000304.1?report=graph&amp;tracks=[key:gene_model_track,Options:GeneOnly]&amp;mk=2052499:2052518|offset_0|444444,2052519:2052538|offset_20|00cc00,2052557:2052576|offset_58|444444,2052577:2052596|offset_78|444444&amp;v=2052298:2052796&amp;c=444444", "offset 20")</f>
        <v>offset 20</v>
      </c>
    </row>
    <row r="7303" customFormat="false" ht="12.8" hidden="false" customHeight="false" outlineLevel="0" collapsed="false">
      <c r="A7303" s="0" t="s">
        <v>12</v>
      </c>
      <c r="B7303" s="0" t="n">
        <v>2052556</v>
      </c>
      <c r="C7303" s="0" t="n">
        <v>2052576</v>
      </c>
      <c r="D7303" s="0" t="s">
        <v>24415</v>
      </c>
      <c r="E7303" s="0" t="s">
        <v>89</v>
      </c>
      <c r="F7303" s="0" t="s">
        <v>15</v>
      </c>
      <c r="G7303" s="0" t="s">
        <v>26</v>
      </c>
      <c r="H7303" s="0" t="n">
        <v>58</v>
      </c>
      <c r="I7303" s="0" t="s">
        <v>24422</v>
      </c>
      <c r="J7303" s="0" t="s">
        <v>24423</v>
      </c>
      <c r="K7303" s="0" t="s">
        <v>24424</v>
      </c>
      <c r="L7303" s="0" t="str">
        <f aca="false">HYPERLINK("https://www.ncbi.nlm.nih.gov/nuccore/CP000304.1?report=graph&amp;tracks=[key:gene_model_track,Options:GeneOnly]&amp;mk=2052499:2052518|offset_0|444444,2052519:2052538|offset_20|444444,2052557:2052576|offset_58|00cc00,2052577:2052596|offset_78|444444&amp;v=2052298:2052796&amp;c=444444", "offset 58")</f>
        <v>offset 58</v>
      </c>
    </row>
    <row r="7304" customFormat="false" ht="12.8" hidden="false" customHeight="false" outlineLevel="0" collapsed="false">
      <c r="A7304" s="0" t="s">
        <v>12</v>
      </c>
      <c r="B7304" s="0" t="n">
        <v>2052576</v>
      </c>
      <c r="C7304" s="0" t="n">
        <v>2052596</v>
      </c>
      <c r="D7304" s="0" t="s">
        <v>24415</v>
      </c>
      <c r="E7304" s="0" t="s">
        <v>89</v>
      </c>
      <c r="F7304" s="0" t="s">
        <v>15</v>
      </c>
      <c r="G7304" s="0" t="s">
        <v>26</v>
      </c>
      <c r="H7304" s="0" t="n">
        <v>78</v>
      </c>
      <c r="I7304" s="0" t="s">
        <v>24425</v>
      </c>
      <c r="J7304" s="0" t="s">
        <v>24426</v>
      </c>
      <c r="K7304" s="0" t="s">
        <v>24427</v>
      </c>
      <c r="L7304" s="0" t="str">
        <f aca="false">HYPERLINK("https://www.ncbi.nlm.nih.gov/nuccore/CP000304.1?report=graph&amp;tracks=[key:gene_model_track,Options:GeneOnly]&amp;mk=2052499:2052518|offset_0|444444,2052519:2052538|offset_20|444444,2052557:2052576|offset_58|444444,2052577:2052596|offset_78|00cc00&amp;v=2052298:2052796&amp;c=444444", "offset 78")</f>
        <v>offset 78</v>
      </c>
    </row>
    <row r="7305" customFormat="false" ht="12.8" hidden="false" customHeight="false" outlineLevel="0" collapsed="false">
      <c r="A7305" s="0" t="s">
        <v>12</v>
      </c>
      <c r="B7305" s="0" t="n">
        <v>2054539</v>
      </c>
      <c r="C7305" s="0" t="n">
        <v>2054559</v>
      </c>
      <c r="D7305" s="0" t="s">
        <v>24428</v>
      </c>
      <c r="E7305" s="0" t="s">
        <v>89</v>
      </c>
      <c r="F7305" s="0" t="s">
        <v>90</v>
      </c>
      <c r="G7305" s="0" t="s">
        <v>16</v>
      </c>
      <c r="H7305" s="0" t="n">
        <v>34</v>
      </c>
      <c r="I7305" s="0" t="s">
        <v>24429</v>
      </c>
      <c r="J7305" s="0" t="s">
        <v>24430</v>
      </c>
      <c r="K7305" s="0" t="s">
        <v>24431</v>
      </c>
      <c r="L7305" s="0" t="str">
        <f aca="false">HYPERLINK("https://www.ncbi.nlm.nih.gov/nuccore/CP000304.1?report=graph&amp;tracks=[key:gene_model_track,Options:GeneOnly]&amp;mk=2054540:2054559|offset_34|00cc00,2054471:2054490|offset_103|444444,2054444:2054463|offset_130|444444,2054396:2054415|offset_178|444444&amp;v=2054339:2054615&amp;c=444444", "offset 34")</f>
        <v>offset 34</v>
      </c>
    </row>
    <row r="7306" customFormat="false" ht="12.8" hidden="false" customHeight="false" outlineLevel="0" collapsed="false">
      <c r="A7306" s="0" t="s">
        <v>12</v>
      </c>
      <c r="B7306" s="0" t="n">
        <v>2054470</v>
      </c>
      <c r="C7306" s="0" t="n">
        <v>2054490</v>
      </c>
      <c r="D7306" s="0" t="s">
        <v>24428</v>
      </c>
      <c r="E7306" s="0" t="s">
        <v>89</v>
      </c>
      <c r="F7306" s="0" t="s">
        <v>90</v>
      </c>
      <c r="G7306" s="0" t="s">
        <v>26</v>
      </c>
      <c r="H7306" s="0" t="n">
        <v>103</v>
      </c>
      <c r="I7306" s="0" t="s">
        <v>24432</v>
      </c>
      <c r="J7306" s="0" t="s">
        <v>24433</v>
      </c>
      <c r="K7306" s="0" t="s">
        <v>24434</v>
      </c>
      <c r="L7306" s="0" t="str">
        <f aca="false">HYPERLINK("https://www.ncbi.nlm.nih.gov/nuccore/CP000304.1?report=graph&amp;tracks=[key:gene_model_track,Options:GeneOnly]&amp;mk=2054540:2054559|offset_34|444444,2054471:2054490|offset_103|00cc00,2054444:2054463|offset_130|444444,2054396:2054415|offset_178|444444&amp;v=2054339:2054615&amp;c=444444", "offset 103")</f>
        <v>offset 103</v>
      </c>
    </row>
    <row r="7307" customFormat="false" ht="12.8" hidden="false" customHeight="false" outlineLevel="0" collapsed="false">
      <c r="A7307" s="0" t="s">
        <v>12</v>
      </c>
      <c r="B7307" s="0" t="n">
        <v>2054443</v>
      </c>
      <c r="C7307" s="0" t="n">
        <v>2054463</v>
      </c>
      <c r="D7307" s="0" t="s">
        <v>24428</v>
      </c>
      <c r="E7307" s="0" t="s">
        <v>89</v>
      </c>
      <c r="F7307" s="0" t="s">
        <v>90</v>
      </c>
      <c r="G7307" s="0" t="s">
        <v>16</v>
      </c>
      <c r="H7307" s="0" t="n">
        <v>130</v>
      </c>
      <c r="I7307" s="0" t="s">
        <v>24435</v>
      </c>
      <c r="J7307" s="0" t="s">
        <v>24436</v>
      </c>
      <c r="K7307" s="0" t="s">
        <v>24437</v>
      </c>
      <c r="L7307" s="0" t="str">
        <f aca="false">HYPERLINK("https://www.ncbi.nlm.nih.gov/nuccore/CP000304.1?report=graph&amp;tracks=[key:gene_model_track,Options:GeneOnly]&amp;mk=2054540:2054559|offset_34|444444,2054471:2054490|offset_103|444444,2054444:2054463|offset_130|00cc00,2054396:2054415|offset_178|444444&amp;v=2054339:2054615&amp;c=444444", "offset 130")</f>
        <v>offset 130</v>
      </c>
    </row>
    <row r="7308" customFormat="false" ht="12.8" hidden="false" customHeight="false" outlineLevel="0" collapsed="false">
      <c r="A7308" s="0" t="s">
        <v>12</v>
      </c>
      <c r="B7308" s="0" t="n">
        <v>2054395</v>
      </c>
      <c r="C7308" s="0" t="n">
        <v>2054415</v>
      </c>
      <c r="D7308" s="0" t="s">
        <v>24428</v>
      </c>
      <c r="E7308" s="0" t="s">
        <v>89</v>
      </c>
      <c r="F7308" s="0" t="s">
        <v>90</v>
      </c>
      <c r="G7308" s="0" t="s">
        <v>26</v>
      </c>
      <c r="H7308" s="0" t="n">
        <v>178</v>
      </c>
      <c r="I7308" s="0" t="s">
        <v>24438</v>
      </c>
      <c r="J7308" s="0" t="s">
        <v>24439</v>
      </c>
      <c r="K7308" s="0" t="s">
        <v>24440</v>
      </c>
      <c r="L7308" s="0" t="str">
        <f aca="false">HYPERLINK("https://www.ncbi.nlm.nih.gov/nuccore/CP000304.1?report=graph&amp;tracks=[key:gene_model_track,Options:GeneOnly]&amp;mk=2054540:2054559|offset_34|444444,2054471:2054490|offset_103|444444,2054444:2054463|offset_130|444444,2054396:2054415|offset_178|00cc00&amp;v=2054339:2054615&amp;c=444444", "offset 178")</f>
        <v>offset 178</v>
      </c>
    </row>
    <row r="7309" customFormat="false" ht="12.8" hidden="false" customHeight="false" outlineLevel="0" collapsed="false">
      <c r="A7309" s="0" t="s">
        <v>12</v>
      </c>
      <c r="B7309" s="0" t="n">
        <v>2054714</v>
      </c>
      <c r="C7309" s="0" t="n">
        <v>2054734</v>
      </c>
      <c r="D7309" s="0" t="s">
        <v>24441</v>
      </c>
      <c r="E7309" s="0" t="s">
        <v>24442</v>
      </c>
      <c r="F7309" s="0" t="s">
        <v>15</v>
      </c>
      <c r="G7309" s="0" t="s">
        <v>16</v>
      </c>
      <c r="H7309" s="0" t="n">
        <v>0</v>
      </c>
      <c r="I7309" s="0" t="s">
        <v>24443</v>
      </c>
      <c r="J7309" s="0" t="s">
        <v>24444</v>
      </c>
      <c r="K7309" s="0" t="s">
        <v>24445</v>
      </c>
      <c r="L7309" s="0" t="str">
        <f aca="false">HYPERLINK("https://www.ncbi.nlm.nih.gov/nuccore/CP000304.1?report=graph&amp;tracks=[key:gene_model_track,Options:GeneOnly]&amp;mk=2054715:2054734|offset_0|00cc00,2054735:2054754|offset_20|444444,2054758:2054777|offset_43|444444,2054781:2054800|offset_66|444444&amp;v=2054514:2055000&amp;c=444444", "offset 0")</f>
        <v>offset 0</v>
      </c>
    </row>
    <row r="7310" customFormat="false" ht="12.8" hidden="false" customHeight="false" outlineLevel="0" collapsed="false">
      <c r="A7310" s="0" t="s">
        <v>12</v>
      </c>
      <c r="B7310" s="0" t="n">
        <v>2054734</v>
      </c>
      <c r="C7310" s="0" t="n">
        <v>2054754</v>
      </c>
      <c r="D7310" s="0" t="s">
        <v>24441</v>
      </c>
      <c r="E7310" s="0" t="s">
        <v>24442</v>
      </c>
      <c r="F7310" s="0" t="s">
        <v>15</v>
      </c>
      <c r="G7310" s="0" t="s">
        <v>26</v>
      </c>
      <c r="H7310" s="0" t="n">
        <v>20</v>
      </c>
      <c r="I7310" s="0" t="s">
        <v>24446</v>
      </c>
      <c r="J7310" s="0" t="s">
        <v>24447</v>
      </c>
      <c r="K7310" s="0" t="s">
        <v>24448</v>
      </c>
      <c r="L7310" s="0" t="str">
        <f aca="false">HYPERLINK("https://www.ncbi.nlm.nih.gov/nuccore/CP000304.1?report=graph&amp;tracks=[key:gene_model_track,Options:GeneOnly]&amp;mk=2054715:2054734|offset_0|444444,2054735:2054754|offset_20|00cc00,2054758:2054777|offset_43|444444,2054781:2054800|offset_66|444444&amp;v=2054514:2055000&amp;c=444444", "offset 20")</f>
        <v>offset 20</v>
      </c>
    </row>
    <row r="7311" customFormat="false" ht="12.8" hidden="false" customHeight="false" outlineLevel="0" collapsed="false">
      <c r="A7311" s="0" t="s">
        <v>12</v>
      </c>
      <c r="B7311" s="0" t="n">
        <v>2054757</v>
      </c>
      <c r="C7311" s="0" t="n">
        <v>2054777</v>
      </c>
      <c r="D7311" s="0" t="s">
        <v>24441</v>
      </c>
      <c r="E7311" s="0" t="s">
        <v>24442</v>
      </c>
      <c r="F7311" s="0" t="s">
        <v>15</v>
      </c>
      <c r="G7311" s="0" t="s">
        <v>16</v>
      </c>
      <c r="H7311" s="0" t="n">
        <v>43</v>
      </c>
      <c r="I7311" s="0" t="s">
        <v>24449</v>
      </c>
      <c r="J7311" s="0" t="s">
        <v>24450</v>
      </c>
      <c r="K7311" s="0" t="s">
        <v>24451</v>
      </c>
      <c r="L7311" s="0" t="str">
        <f aca="false">HYPERLINK("https://www.ncbi.nlm.nih.gov/nuccore/CP000304.1?report=graph&amp;tracks=[key:gene_model_track,Options:GeneOnly]&amp;mk=2054715:2054734|offset_0|444444,2054735:2054754|offset_20|444444,2054758:2054777|offset_43|00cc00,2054781:2054800|offset_66|444444&amp;v=2054514:2055000&amp;c=444444", "offset 43")</f>
        <v>offset 43</v>
      </c>
    </row>
    <row r="7312" customFormat="false" ht="12.8" hidden="false" customHeight="false" outlineLevel="0" collapsed="false">
      <c r="A7312" s="0" t="s">
        <v>12</v>
      </c>
      <c r="B7312" s="0" t="n">
        <v>2054780</v>
      </c>
      <c r="C7312" s="0" t="n">
        <v>2054800</v>
      </c>
      <c r="D7312" s="0" t="s">
        <v>24441</v>
      </c>
      <c r="E7312" s="0" t="s">
        <v>24442</v>
      </c>
      <c r="F7312" s="0" t="s">
        <v>15</v>
      </c>
      <c r="G7312" s="0" t="s">
        <v>36</v>
      </c>
      <c r="H7312" s="0" t="n">
        <v>66</v>
      </c>
      <c r="I7312" s="0" t="s">
        <v>24452</v>
      </c>
      <c r="J7312" s="0" t="s">
        <v>24453</v>
      </c>
      <c r="K7312" s="0" t="s">
        <v>24454</v>
      </c>
      <c r="L7312" s="0" t="str">
        <f aca="false">HYPERLINK("https://www.ncbi.nlm.nih.gov/nuccore/CP000304.1?report=graph&amp;tracks=[key:gene_model_track,Options:GeneOnly]&amp;mk=2054715:2054734|offset_0|444444,2054735:2054754|offset_20|444444,2054758:2054777|offset_43|444444,2054781:2054800|offset_66|00cc00&amp;v=2054514:2055000&amp;c=444444", "offset 66")</f>
        <v>offset 66</v>
      </c>
    </row>
    <row r="7313" customFormat="false" ht="12.8" hidden="false" customHeight="false" outlineLevel="0" collapsed="false">
      <c r="A7313" s="0" t="s">
        <v>12</v>
      </c>
      <c r="B7313" s="0" t="n">
        <v>2055902</v>
      </c>
      <c r="C7313" s="0" t="n">
        <v>2055922</v>
      </c>
      <c r="D7313" s="0" t="s">
        <v>24455</v>
      </c>
      <c r="E7313" s="0" t="s">
        <v>89</v>
      </c>
      <c r="F7313" s="0" t="s">
        <v>15</v>
      </c>
      <c r="G7313" s="0" t="s">
        <v>26</v>
      </c>
      <c r="H7313" s="0" t="n">
        <v>34</v>
      </c>
      <c r="I7313" s="0" t="s">
        <v>24456</v>
      </c>
      <c r="J7313" s="0" t="s">
        <v>24457</v>
      </c>
      <c r="K7313" s="0" t="s">
        <v>24458</v>
      </c>
      <c r="L7313" s="0" t="str">
        <f aca="false">HYPERLINK("https://www.ncbi.nlm.nih.gov/nuccore/CP000304.1?report=graph&amp;tracks=[key:gene_model_track,Options:GeneOnly]&amp;mk=2055903:2055922|offset_34|00cc00,2055930:2055949|offset_61|444444,2055975:2055994|offset_106|444444,2055996:2056015|offset_127|444444&amp;v=2055702:2056215&amp;c=444444", "offset 34")</f>
        <v>offset 34</v>
      </c>
    </row>
    <row r="7314" customFormat="false" ht="12.8" hidden="false" customHeight="false" outlineLevel="0" collapsed="false">
      <c r="A7314" s="0" t="s">
        <v>12</v>
      </c>
      <c r="B7314" s="0" t="n">
        <v>2055929</v>
      </c>
      <c r="C7314" s="0" t="n">
        <v>2055949</v>
      </c>
      <c r="D7314" s="0" t="s">
        <v>24455</v>
      </c>
      <c r="E7314" s="0" t="s">
        <v>89</v>
      </c>
      <c r="F7314" s="0" t="s">
        <v>15</v>
      </c>
      <c r="G7314" s="0" t="s">
        <v>16</v>
      </c>
      <c r="H7314" s="0" t="n">
        <v>61</v>
      </c>
      <c r="I7314" s="0" t="s">
        <v>24459</v>
      </c>
      <c r="J7314" s="0" t="s">
        <v>24460</v>
      </c>
      <c r="K7314" s="0" t="s">
        <v>24461</v>
      </c>
      <c r="L7314" s="0" t="str">
        <f aca="false">HYPERLINK("https://www.ncbi.nlm.nih.gov/nuccore/CP000304.1?report=graph&amp;tracks=[key:gene_model_track,Options:GeneOnly]&amp;mk=2055903:2055922|offset_34|444444,2055930:2055949|offset_61|00cc00,2055975:2055994|offset_106|444444,2055996:2056015|offset_127|444444&amp;v=2055702:2056215&amp;c=444444", "offset 61")</f>
        <v>offset 61</v>
      </c>
    </row>
    <row r="7315" customFormat="false" ht="12.8" hidden="false" customHeight="false" outlineLevel="0" collapsed="false">
      <c r="A7315" s="0" t="s">
        <v>12</v>
      </c>
      <c r="B7315" s="0" t="n">
        <v>2055974</v>
      </c>
      <c r="C7315" s="0" t="n">
        <v>2055994</v>
      </c>
      <c r="D7315" s="0" t="s">
        <v>24455</v>
      </c>
      <c r="E7315" s="0" t="s">
        <v>89</v>
      </c>
      <c r="F7315" s="0" t="s">
        <v>15</v>
      </c>
      <c r="G7315" s="0" t="s">
        <v>16</v>
      </c>
      <c r="H7315" s="0" t="n">
        <v>106</v>
      </c>
      <c r="I7315" s="0" t="s">
        <v>24462</v>
      </c>
      <c r="J7315" s="0" t="s">
        <v>24463</v>
      </c>
      <c r="K7315" s="0" t="s">
        <v>24464</v>
      </c>
      <c r="L7315" s="0" t="str">
        <f aca="false">HYPERLINK("https://www.ncbi.nlm.nih.gov/nuccore/CP000304.1?report=graph&amp;tracks=[key:gene_model_track,Options:GeneOnly]&amp;mk=2055903:2055922|offset_34|444444,2055930:2055949|offset_61|444444,2055975:2055994|offset_106|00cc00,2055996:2056015|offset_127|444444&amp;v=2055702:2056215&amp;c=444444", "offset 106")</f>
        <v>offset 106</v>
      </c>
    </row>
    <row r="7316" customFormat="false" ht="12.8" hidden="false" customHeight="false" outlineLevel="0" collapsed="false">
      <c r="A7316" s="0" t="s">
        <v>12</v>
      </c>
      <c r="B7316" s="0" t="n">
        <v>2055995</v>
      </c>
      <c r="C7316" s="0" t="n">
        <v>2056015</v>
      </c>
      <c r="D7316" s="0" t="s">
        <v>24455</v>
      </c>
      <c r="E7316" s="0" t="s">
        <v>89</v>
      </c>
      <c r="F7316" s="0" t="s">
        <v>15</v>
      </c>
      <c r="G7316" s="0" t="s">
        <v>16</v>
      </c>
      <c r="H7316" s="0" t="n">
        <v>127</v>
      </c>
      <c r="I7316" s="0" t="s">
        <v>24465</v>
      </c>
      <c r="J7316" s="0" t="s">
        <v>24466</v>
      </c>
      <c r="K7316" s="0" t="s">
        <v>24467</v>
      </c>
      <c r="L7316" s="0" t="str">
        <f aca="false">HYPERLINK("https://www.ncbi.nlm.nih.gov/nuccore/CP000304.1?report=graph&amp;tracks=[key:gene_model_track,Options:GeneOnly]&amp;mk=2055903:2055922|offset_34|444444,2055930:2055949|offset_61|444444,2055975:2055994|offset_106|444444,2055996:2056015|offset_127|00cc00&amp;v=2055702:2056215&amp;c=444444", "offset 127")</f>
        <v>offset 127</v>
      </c>
    </row>
    <row r="7317" customFormat="false" ht="12.8" hidden="false" customHeight="false" outlineLevel="0" collapsed="false">
      <c r="A7317" s="0" t="s">
        <v>12</v>
      </c>
      <c r="B7317" s="0" t="n">
        <v>2056893</v>
      </c>
      <c r="C7317" s="0" t="n">
        <v>2056913</v>
      </c>
      <c r="D7317" s="0" t="s">
        <v>24468</v>
      </c>
      <c r="E7317" s="0" t="s">
        <v>89</v>
      </c>
      <c r="F7317" s="0" t="s">
        <v>15</v>
      </c>
      <c r="G7317" s="0" t="s">
        <v>26</v>
      </c>
      <c r="H7317" s="0" t="n">
        <v>10</v>
      </c>
      <c r="I7317" s="0" t="s">
        <v>24469</v>
      </c>
      <c r="J7317" s="0" t="s">
        <v>24470</v>
      </c>
      <c r="K7317" s="0" t="s">
        <v>24471</v>
      </c>
      <c r="L7317" s="0" t="str">
        <f aca="false">HYPERLINK("https://www.ncbi.nlm.nih.gov/nuccore/CP000304.1?report=graph&amp;tracks=[key:gene_model_track,Options:GeneOnly]&amp;mk=2056894:2056913|offset_10|00cc00,2056930:2056949|offset_46|444444,2056955:2056974|offset_71|444444,2057003:2057022|offset_119|444444&amp;v=2056693:2057222&amp;c=444444", "offset 10")</f>
        <v>offset 10</v>
      </c>
    </row>
    <row r="7318" customFormat="false" ht="12.8" hidden="false" customHeight="false" outlineLevel="0" collapsed="false">
      <c r="A7318" s="0" t="s">
        <v>12</v>
      </c>
      <c r="B7318" s="0" t="n">
        <v>2056929</v>
      </c>
      <c r="C7318" s="0" t="n">
        <v>2056949</v>
      </c>
      <c r="D7318" s="0" t="s">
        <v>24468</v>
      </c>
      <c r="E7318" s="0" t="s">
        <v>89</v>
      </c>
      <c r="F7318" s="0" t="s">
        <v>15</v>
      </c>
      <c r="G7318" s="0" t="s">
        <v>16</v>
      </c>
      <c r="H7318" s="0" t="n">
        <v>46</v>
      </c>
      <c r="I7318" s="0" t="s">
        <v>24472</v>
      </c>
      <c r="J7318" s="0" t="s">
        <v>24473</v>
      </c>
      <c r="K7318" s="0" t="s">
        <v>24474</v>
      </c>
      <c r="L7318" s="0" t="str">
        <f aca="false">HYPERLINK("https://www.ncbi.nlm.nih.gov/nuccore/CP000304.1?report=graph&amp;tracks=[key:gene_model_track,Options:GeneOnly]&amp;mk=2056894:2056913|offset_10|444444,2056930:2056949|offset_46|00cc00,2056955:2056974|offset_71|444444,2057003:2057022|offset_119|444444&amp;v=2056693:2057222&amp;c=444444", "offset 46")</f>
        <v>offset 46</v>
      </c>
    </row>
    <row r="7319" customFormat="false" ht="12.8" hidden="false" customHeight="false" outlineLevel="0" collapsed="false">
      <c r="A7319" s="0" t="s">
        <v>12</v>
      </c>
      <c r="B7319" s="0" t="n">
        <v>2056954</v>
      </c>
      <c r="C7319" s="0" t="n">
        <v>2056974</v>
      </c>
      <c r="D7319" s="0" t="s">
        <v>24468</v>
      </c>
      <c r="E7319" s="0" t="s">
        <v>89</v>
      </c>
      <c r="F7319" s="0" t="s">
        <v>15</v>
      </c>
      <c r="G7319" s="0" t="s">
        <v>16</v>
      </c>
      <c r="H7319" s="0" t="n">
        <v>71</v>
      </c>
      <c r="I7319" s="0" t="s">
        <v>24475</v>
      </c>
      <c r="J7319" s="0" t="s">
        <v>24476</v>
      </c>
      <c r="K7319" s="0" t="s">
        <v>24477</v>
      </c>
      <c r="L7319" s="0" t="str">
        <f aca="false">HYPERLINK("https://www.ncbi.nlm.nih.gov/nuccore/CP000304.1?report=graph&amp;tracks=[key:gene_model_track,Options:GeneOnly]&amp;mk=2056894:2056913|offset_10|444444,2056930:2056949|offset_46|444444,2056955:2056974|offset_71|00cc00,2057003:2057022|offset_119|444444&amp;v=2056693:2057222&amp;c=444444", "offset 71")</f>
        <v>offset 71</v>
      </c>
    </row>
    <row r="7320" customFormat="false" ht="12.8" hidden="false" customHeight="false" outlineLevel="0" collapsed="false">
      <c r="A7320" s="0" t="s">
        <v>12</v>
      </c>
      <c r="B7320" s="0" t="n">
        <v>2057002</v>
      </c>
      <c r="C7320" s="0" t="n">
        <v>2057022</v>
      </c>
      <c r="D7320" s="0" t="s">
        <v>24468</v>
      </c>
      <c r="E7320" s="0" t="s">
        <v>89</v>
      </c>
      <c r="F7320" s="0" t="s">
        <v>15</v>
      </c>
      <c r="G7320" s="0" t="s">
        <v>26</v>
      </c>
      <c r="H7320" s="0" t="n">
        <v>119</v>
      </c>
      <c r="I7320" s="0" t="s">
        <v>24478</v>
      </c>
      <c r="J7320" s="0" t="s">
        <v>24479</v>
      </c>
      <c r="K7320" s="0" t="s">
        <v>24480</v>
      </c>
      <c r="L7320" s="0" t="str">
        <f aca="false">HYPERLINK("https://www.ncbi.nlm.nih.gov/nuccore/CP000304.1?report=graph&amp;tracks=[key:gene_model_track,Options:GeneOnly]&amp;mk=2056894:2056913|offset_10|444444,2056930:2056949|offset_46|444444,2056955:2056974|offset_71|444444,2057003:2057022|offset_119|00cc00&amp;v=2056693:2057222&amp;c=444444", "offset 119")</f>
        <v>offset 119</v>
      </c>
    </row>
    <row r="7321" customFormat="false" ht="12.8" hidden="false" customHeight="false" outlineLevel="0" collapsed="false">
      <c r="A7321" s="0" t="s">
        <v>12</v>
      </c>
      <c r="B7321" s="0" t="n">
        <v>2057204</v>
      </c>
      <c r="C7321" s="0" t="n">
        <v>2057224</v>
      </c>
      <c r="D7321" s="0" t="s">
        <v>24481</v>
      </c>
      <c r="E7321" s="0" t="s">
        <v>89</v>
      </c>
      <c r="F7321" s="0" t="s">
        <v>15</v>
      </c>
      <c r="G7321" s="0" t="s">
        <v>26</v>
      </c>
      <c r="H7321" s="0" t="n">
        <v>9</v>
      </c>
      <c r="I7321" s="0" t="s">
        <v>24482</v>
      </c>
      <c r="J7321" s="0" t="s">
        <v>24483</v>
      </c>
      <c r="K7321" s="0" t="s">
        <v>24484</v>
      </c>
      <c r="L7321" s="0" t="str">
        <f aca="false">HYPERLINK("https://www.ncbi.nlm.nih.gov/nuccore/CP000304.1?report=graph&amp;tracks=[key:gene_model_track,Options:GeneOnly]&amp;mk=2057205:2057224|offset_9|00cc00,2057249:2057268|offset_53|444444,2057281:2057300|offset_85|444444,2057315:2057334|offset_119|444444&amp;v=2057004:2057534&amp;c=444444", "offset 9")</f>
        <v>offset 9</v>
      </c>
    </row>
    <row r="7322" customFormat="false" ht="12.8" hidden="false" customHeight="false" outlineLevel="0" collapsed="false">
      <c r="A7322" s="0" t="s">
        <v>12</v>
      </c>
      <c r="B7322" s="0" t="n">
        <v>2057248</v>
      </c>
      <c r="C7322" s="0" t="n">
        <v>2057268</v>
      </c>
      <c r="D7322" s="0" t="s">
        <v>24481</v>
      </c>
      <c r="E7322" s="0" t="s">
        <v>89</v>
      </c>
      <c r="F7322" s="0" t="s">
        <v>15</v>
      </c>
      <c r="G7322" s="0" t="s">
        <v>26</v>
      </c>
      <c r="H7322" s="0" t="n">
        <v>53</v>
      </c>
      <c r="I7322" s="0" t="s">
        <v>24485</v>
      </c>
      <c r="J7322" s="0" t="s">
        <v>24486</v>
      </c>
      <c r="K7322" s="0" t="s">
        <v>24487</v>
      </c>
      <c r="L7322" s="0" t="str">
        <f aca="false">HYPERLINK("https://www.ncbi.nlm.nih.gov/nuccore/CP000304.1?report=graph&amp;tracks=[key:gene_model_track,Options:GeneOnly]&amp;mk=2057205:2057224|offset_9|444444,2057249:2057268|offset_53|00cc00,2057281:2057300|offset_85|444444,2057315:2057334|offset_119|444444&amp;v=2057004:2057534&amp;c=444444", "offset 53")</f>
        <v>offset 53</v>
      </c>
    </row>
    <row r="7323" customFormat="false" ht="12.8" hidden="false" customHeight="false" outlineLevel="0" collapsed="false">
      <c r="A7323" s="0" t="s">
        <v>12</v>
      </c>
      <c r="B7323" s="0" t="n">
        <v>2057280</v>
      </c>
      <c r="C7323" s="0" t="n">
        <v>2057300</v>
      </c>
      <c r="D7323" s="0" t="s">
        <v>24481</v>
      </c>
      <c r="E7323" s="0" t="s">
        <v>89</v>
      </c>
      <c r="F7323" s="0" t="s">
        <v>15</v>
      </c>
      <c r="G7323" s="0" t="s">
        <v>32</v>
      </c>
      <c r="H7323" s="0" t="n">
        <v>85</v>
      </c>
      <c r="I7323" s="0" t="s">
        <v>24488</v>
      </c>
      <c r="J7323" s="0" t="s">
        <v>24489</v>
      </c>
      <c r="K7323" s="0" t="s">
        <v>24490</v>
      </c>
      <c r="L7323" s="0" t="str">
        <f aca="false">HYPERLINK("https://www.ncbi.nlm.nih.gov/nuccore/CP000304.1?report=graph&amp;tracks=[key:gene_model_track,Options:GeneOnly]&amp;mk=2057205:2057224|offset_9|444444,2057249:2057268|offset_53|444444,2057281:2057300|offset_85|00cc00,2057315:2057334|offset_119|444444&amp;v=2057004:2057534&amp;c=444444", "offset 85")</f>
        <v>offset 85</v>
      </c>
    </row>
    <row r="7324" customFormat="false" ht="12.8" hidden="false" customHeight="false" outlineLevel="0" collapsed="false">
      <c r="A7324" s="0" t="s">
        <v>12</v>
      </c>
      <c r="B7324" s="0" t="n">
        <v>2057314</v>
      </c>
      <c r="C7324" s="0" t="n">
        <v>2057334</v>
      </c>
      <c r="D7324" s="0" t="s">
        <v>24481</v>
      </c>
      <c r="E7324" s="0" t="s">
        <v>89</v>
      </c>
      <c r="F7324" s="0" t="s">
        <v>15</v>
      </c>
      <c r="G7324" s="0" t="s">
        <v>26</v>
      </c>
      <c r="H7324" s="0" t="n">
        <v>119</v>
      </c>
      <c r="I7324" s="0" t="s">
        <v>24491</v>
      </c>
      <c r="J7324" s="0" t="s">
        <v>24492</v>
      </c>
      <c r="K7324" s="0" t="s">
        <v>24493</v>
      </c>
      <c r="L7324" s="0" t="str">
        <f aca="false">HYPERLINK("https://www.ncbi.nlm.nih.gov/nuccore/CP000304.1?report=graph&amp;tracks=[key:gene_model_track,Options:GeneOnly]&amp;mk=2057205:2057224|offset_9|444444,2057249:2057268|offset_53|444444,2057281:2057300|offset_85|444444,2057315:2057334|offset_119|00cc00&amp;v=2057004:2057534&amp;c=444444", "offset 119")</f>
        <v>offset 119</v>
      </c>
    </row>
    <row r="7325" customFormat="false" ht="12.8" hidden="false" customHeight="false" outlineLevel="0" collapsed="false">
      <c r="A7325" s="0" t="s">
        <v>12</v>
      </c>
      <c r="B7325" s="0" t="n">
        <v>2057450</v>
      </c>
      <c r="C7325" s="0" t="n">
        <v>2057470</v>
      </c>
      <c r="D7325" s="0" t="s">
        <v>24494</v>
      </c>
      <c r="E7325" s="0" t="s">
        <v>89</v>
      </c>
      <c r="F7325" s="0" t="s">
        <v>15</v>
      </c>
      <c r="G7325" s="0" t="s">
        <v>36</v>
      </c>
      <c r="H7325" s="0" t="n">
        <v>10</v>
      </c>
      <c r="I7325" s="0" t="s">
        <v>24495</v>
      </c>
      <c r="J7325" s="0" t="s">
        <v>24496</v>
      </c>
      <c r="K7325" s="0" t="s">
        <v>24497</v>
      </c>
      <c r="L7325" s="0" t="str">
        <f aca="false">HYPERLINK("https://www.ncbi.nlm.nih.gov/nuccore/CP000304.1?report=graph&amp;tracks=[key:gene_model_track,Options:GeneOnly]&amp;mk=2057451:2057470|offset_10|00cc00,2057512:2057531|offset_71|444444,2057538:2057557|offset_97|444444,2057583:2057602|offset_142|444444&amp;v=2057250:2057802&amp;c=444444", "offset 10")</f>
        <v>offset 10</v>
      </c>
    </row>
    <row r="7326" customFormat="false" ht="12.8" hidden="false" customHeight="false" outlineLevel="0" collapsed="false">
      <c r="A7326" s="0" t="s">
        <v>12</v>
      </c>
      <c r="B7326" s="0" t="n">
        <v>2057511</v>
      </c>
      <c r="C7326" s="0" t="n">
        <v>2057531</v>
      </c>
      <c r="D7326" s="0" t="s">
        <v>24494</v>
      </c>
      <c r="E7326" s="0" t="s">
        <v>89</v>
      </c>
      <c r="F7326" s="0" t="s">
        <v>15</v>
      </c>
      <c r="G7326" s="0" t="s">
        <v>16</v>
      </c>
      <c r="H7326" s="0" t="n">
        <v>71</v>
      </c>
      <c r="I7326" s="0" t="s">
        <v>24498</v>
      </c>
      <c r="J7326" s="0" t="s">
        <v>24499</v>
      </c>
      <c r="K7326" s="0" t="s">
        <v>24500</v>
      </c>
      <c r="L7326" s="0" t="str">
        <f aca="false">HYPERLINK("https://www.ncbi.nlm.nih.gov/nuccore/CP000304.1?report=graph&amp;tracks=[key:gene_model_track,Options:GeneOnly]&amp;mk=2057451:2057470|offset_10|444444,2057512:2057531|offset_71|00cc00,2057538:2057557|offset_97|444444,2057583:2057602|offset_142|444444&amp;v=2057250:2057802&amp;c=444444", "offset 71")</f>
        <v>offset 71</v>
      </c>
    </row>
    <row r="7327" customFormat="false" ht="12.8" hidden="false" customHeight="false" outlineLevel="0" collapsed="false">
      <c r="A7327" s="0" t="s">
        <v>12</v>
      </c>
      <c r="B7327" s="0" t="n">
        <v>2057537</v>
      </c>
      <c r="C7327" s="0" t="n">
        <v>2057557</v>
      </c>
      <c r="D7327" s="0" t="s">
        <v>24494</v>
      </c>
      <c r="E7327" s="0" t="s">
        <v>89</v>
      </c>
      <c r="F7327" s="0" t="s">
        <v>15</v>
      </c>
      <c r="G7327" s="0" t="s">
        <v>36</v>
      </c>
      <c r="H7327" s="0" t="n">
        <v>97</v>
      </c>
      <c r="I7327" s="0" t="s">
        <v>24501</v>
      </c>
      <c r="J7327" s="0" t="s">
        <v>24502</v>
      </c>
      <c r="K7327" s="0" t="s">
        <v>24503</v>
      </c>
      <c r="L7327" s="0" t="str">
        <f aca="false">HYPERLINK("https://www.ncbi.nlm.nih.gov/nuccore/CP000304.1?report=graph&amp;tracks=[key:gene_model_track,Options:GeneOnly]&amp;mk=2057451:2057470|offset_10|444444,2057512:2057531|offset_71|444444,2057538:2057557|offset_97|00cc00,2057583:2057602|offset_142|444444&amp;v=2057250:2057802&amp;c=444444", "offset 97")</f>
        <v>offset 97</v>
      </c>
    </row>
    <row r="7328" customFormat="false" ht="12.8" hidden="false" customHeight="false" outlineLevel="0" collapsed="false">
      <c r="A7328" s="0" t="s">
        <v>12</v>
      </c>
      <c r="B7328" s="0" t="n">
        <v>2057582</v>
      </c>
      <c r="C7328" s="0" t="n">
        <v>2057602</v>
      </c>
      <c r="D7328" s="0" t="s">
        <v>24494</v>
      </c>
      <c r="E7328" s="0" t="s">
        <v>89</v>
      </c>
      <c r="F7328" s="0" t="s">
        <v>15</v>
      </c>
      <c r="G7328" s="0" t="s">
        <v>32</v>
      </c>
      <c r="H7328" s="0" t="n">
        <v>142</v>
      </c>
      <c r="I7328" s="0" t="s">
        <v>24504</v>
      </c>
      <c r="J7328" s="0" t="s">
        <v>24505</v>
      </c>
      <c r="K7328" s="0" t="s">
        <v>24506</v>
      </c>
      <c r="L7328" s="0" t="str">
        <f aca="false">HYPERLINK("https://www.ncbi.nlm.nih.gov/nuccore/CP000304.1?report=graph&amp;tracks=[key:gene_model_track,Options:GeneOnly]&amp;mk=2057451:2057470|offset_10|444444,2057512:2057531|offset_71|444444,2057538:2057557|offset_97|444444,2057583:2057602|offset_142|00cc00&amp;v=2057250:2057802&amp;c=444444", "offset 142")</f>
        <v>offset 142</v>
      </c>
    </row>
    <row r="7329" customFormat="false" ht="12.8" hidden="false" customHeight="false" outlineLevel="0" collapsed="false">
      <c r="A7329" s="0" t="s">
        <v>12</v>
      </c>
      <c r="B7329" s="0" t="n">
        <v>2058407</v>
      </c>
      <c r="C7329" s="0" t="n">
        <v>2058427</v>
      </c>
      <c r="D7329" s="0" t="s">
        <v>24507</v>
      </c>
      <c r="E7329" s="0" t="s">
        <v>89</v>
      </c>
      <c r="F7329" s="0" t="s">
        <v>15</v>
      </c>
      <c r="G7329" s="0" t="s">
        <v>16</v>
      </c>
      <c r="H7329" s="0" t="n">
        <v>15</v>
      </c>
      <c r="I7329" s="0" t="s">
        <v>24508</v>
      </c>
      <c r="J7329" s="0" t="s">
        <v>24509</v>
      </c>
      <c r="K7329" s="0" t="s">
        <v>24510</v>
      </c>
      <c r="L7329" s="0" t="str">
        <f aca="false">HYPERLINK("https://www.ncbi.nlm.nih.gov/nuccore/CP000304.1?report=graph&amp;tracks=[key:gene_model_track,Options:GeneOnly]&amp;mk=2058408:2058427|offset_15|00cc00,2058444:2058463|offset_51|444444,2058470:2058489|offset_77|444444,2058492:2058511|offset_99|444444&amp;v=2058207:2058711&amp;c=444444", "offset 15")</f>
        <v>offset 15</v>
      </c>
    </row>
    <row r="7330" customFormat="false" ht="12.8" hidden="false" customHeight="false" outlineLevel="0" collapsed="false">
      <c r="A7330" s="0" t="s">
        <v>12</v>
      </c>
      <c r="B7330" s="0" t="n">
        <v>2058443</v>
      </c>
      <c r="C7330" s="0" t="n">
        <v>2058463</v>
      </c>
      <c r="D7330" s="0" t="s">
        <v>24507</v>
      </c>
      <c r="E7330" s="0" t="s">
        <v>89</v>
      </c>
      <c r="F7330" s="0" t="s">
        <v>15</v>
      </c>
      <c r="G7330" s="0" t="s">
        <v>16</v>
      </c>
      <c r="H7330" s="0" t="n">
        <v>51</v>
      </c>
      <c r="I7330" s="0" t="s">
        <v>24511</v>
      </c>
      <c r="J7330" s="0" t="s">
        <v>24512</v>
      </c>
      <c r="K7330" s="0" t="s">
        <v>24513</v>
      </c>
      <c r="L7330" s="0" t="str">
        <f aca="false">HYPERLINK("https://www.ncbi.nlm.nih.gov/nuccore/CP000304.1?report=graph&amp;tracks=[key:gene_model_track,Options:GeneOnly]&amp;mk=2058408:2058427|offset_15|444444,2058444:2058463|offset_51|00cc00,2058470:2058489|offset_77|444444,2058492:2058511|offset_99|444444&amp;v=2058207:2058711&amp;c=444444", "offset 51")</f>
        <v>offset 51</v>
      </c>
    </row>
    <row r="7331" customFormat="false" ht="12.8" hidden="false" customHeight="false" outlineLevel="0" collapsed="false">
      <c r="A7331" s="0" t="s">
        <v>12</v>
      </c>
      <c r="B7331" s="0" t="n">
        <v>2058469</v>
      </c>
      <c r="C7331" s="0" t="n">
        <v>2058489</v>
      </c>
      <c r="D7331" s="0" t="s">
        <v>24507</v>
      </c>
      <c r="E7331" s="0" t="s">
        <v>89</v>
      </c>
      <c r="F7331" s="0" t="s">
        <v>15</v>
      </c>
      <c r="G7331" s="0" t="s">
        <v>32</v>
      </c>
      <c r="H7331" s="0" t="n">
        <v>77</v>
      </c>
      <c r="I7331" s="0" t="s">
        <v>24514</v>
      </c>
      <c r="J7331" s="0" t="s">
        <v>24515</v>
      </c>
      <c r="K7331" s="0" t="s">
        <v>24516</v>
      </c>
      <c r="L7331" s="0" t="str">
        <f aca="false">HYPERLINK("https://www.ncbi.nlm.nih.gov/nuccore/CP000304.1?report=graph&amp;tracks=[key:gene_model_track,Options:GeneOnly]&amp;mk=2058408:2058427|offset_15|444444,2058444:2058463|offset_51|444444,2058470:2058489|offset_77|00cc00,2058492:2058511|offset_99|444444&amp;v=2058207:2058711&amp;c=444444", "offset 77")</f>
        <v>offset 77</v>
      </c>
    </row>
    <row r="7332" customFormat="false" ht="12.8" hidden="false" customHeight="false" outlineLevel="0" collapsed="false">
      <c r="A7332" s="0" t="s">
        <v>12</v>
      </c>
      <c r="B7332" s="0" t="n">
        <v>2058491</v>
      </c>
      <c r="C7332" s="0" t="n">
        <v>2058511</v>
      </c>
      <c r="D7332" s="0" t="s">
        <v>24507</v>
      </c>
      <c r="E7332" s="0" t="s">
        <v>89</v>
      </c>
      <c r="F7332" s="0" t="s">
        <v>15</v>
      </c>
      <c r="G7332" s="0" t="s">
        <v>36</v>
      </c>
      <c r="H7332" s="0" t="n">
        <v>99</v>
      </c>
      <c r="I7332" s="0" t="s">
        <v>24517</v>
      </c>
      <c r="J7332" s="0" t="s">
        <v>24518</v>
      </c>
      <c r="K7332" s="0" t="s">
        <v>24519</v>
      </c>
      <c r="L7332" s="0" t="str">
        <f aca="false">HYPERLINK("https://www.ncbi.nlm.nih.gov/nuccore/CP000304.1?report=graph&amp;tracks=[key:gene_model_track,Options:GeneOnly]&amp;mk=2058408:2058427|offset_15|444444,2058444:2058463|offset_51|444444,2058470:2058489|offset_77|444444,2058492:2058511|offset_99|00cc00&amp;v=2058207:2058711&amp;c=444444", "offset 99")</f>
        <v>offset 99</v>
      </c>
    </row>
    <row r="7333" customFormat="false" ht="12.8" hidden="false" customHeight="false" outlineLevel="0" collapsed="false">
      <c r="A7333" s="0" t="s">
        <v>12</v>
      </c>
      <c r="B7333" s="0" t="n">
        <v>2059366</v>
      </c>
      <c r="C7333" s="0" t="n">
        <v>2059386</v>
      </c>
      <c r="D7333" s="0" t="s">
        <v>24520</v>
      </c>
      <c r="E7333" s="0" t="s">
        <v>89</v>
      </c>
      <c r="F7333" s="0" t="s">
        <v>15</v>
      </c>
      <c r="G7333" s="0" t="s">
        <v>16</v>
      </c>
      <c r="H7333" s="0" t="n">
        <v>15</v>
      </c>
      <c r="I7333" s="0" t="s">
        <v>24521</v>
      </c>
      <c r="J7333" s="0" t="s">
        <v>24522</v>
      </c>
      <c r="K7333" s="0" t="s">
        <v>24523</v>
      </c>
      <c r="L7333" s="0" t="str">
        <f aca="false">HYPERLINK("https://www.ncbi.nlm.nih.gov/nuccore/CP000304.1?report=graph&amp;tracks=[key:gene_model_track,Options:GeneOnly]&amp;mk=2059367:2059386|offset_15|00cc00,2059387:2059406|offset_35|444444,2059423:2059442|offset_71|444444,2059445:2059464|offset_93|444444&amp;v=2059166:2059664&amp;c=444444", "offset 15")</f>
        <v>offset 15</v>
      </c>
    </row>
    <row r="7334" customFormat="false" ht="12.8" hidden="false" customHeight="false" outlineLevel="0" collapsed="false">
      <c r="A7334" s="0" t="s">
        <v>12</v>
      </c>
      <c r="B7334" s="0" t="n">
        <v>2059386</v>
      </c>
      <c r="C7334" s="0" t="n">
        <v>2059406</v>
      </c>
      <c r="D7334" s="0" t="s">
        <v>24520</v>
      </c>
      <c r="E7334" s="0" t="s">
        <v>89</v>
      </c>
      <c r="F7334" s="0" t="s">
        <v>15</v>
      </c>
      <c r="G7334" s="0" t="s">
        <v>26</v>
      </c>
      <c r="H7334" s="0" t="n">
        <v>35</v>
      </c>
      <c r="I7334" s="0" t="s">
        <v>24524</v>
      </c>
      <c r="J7334" s="0" t="s">
        <v>24525</v>
      </c>
      <c r="K7334" s="0" t="s">
        <v>24526</v>
      </c>
      <c r="L7334" s="0" t="str">
        <f aca="false">HYPERLINK("https://www.ncbi.nlm.nih.gov/nuccore/CP000304.1?report=graph&amp;tracks=[key:gene_model_track,Options:GeneOnly]&amp;mk=2059367:2059386|offset_15|444444,2059387:2059406|offset_35|00cc00,2059423:2059442|offset_71|444444,2059445:2059464|offset_93|444444&amp;v=2059166:2059664&amp;c=444444", "offset 35")</f>
        <v>offset 35</v>
      </c>
    </row>
    <row r="7335" customFormat="false" ht="12.8" hidden="false" customHeight="false" outlineLevel="0" collapsed="false">
      <c r="A7335" s="0" t="s">
        <v>12</v>
      </c>
      <c r="B7335" s="0" t="n">
        <v>2059422</v>
      </c>
      <c r="C7335" s="0" t="n">
        <v>2059442</v>
      </c>
      <c r="D7335" s="0" t="s">
        <v>24520</v>
      </c>
      <c r="E7335" s="0" t="s">
        <v>89</v>
      </c>
      <c r="F7335" s="0" t="s">
        <v>15</v>
      </c>
      <c r="G7335" s="0" t="s">
        <v>26</v>
      </c>
      <c r="H7335" s="0" t="n">
        <v>71</v>
      </c>
      <c r="I7335" s="0" t="s">
        <v>24527</v>
      </c>
      <c r="J7335" s="0" t="s">
        <v>24528</v>
      </c>
      <c r="K7335" s="0" t="s">
        <v>24529</v>
      </c>
      <c r="L7335" s="0" t="str">
        <f aca="false">HYPERLINK("https://www.ncbi.nlm.nih.gov/nuccore/CP000304.1?report=graph&amp;tracks=[key:gene_model_track,Options:GeneOnly]&amp;mk=2059367:2059386|offset_15|444444,2059387:2059406|offset_35|444444,2059423:2059442|offset_71|00cc00,2059445:2059464|offset_93|444444&amp;v=2059166:2059664&amp;c=444444", "offset 71")</f>
        <v>offset 71</v>
      </c>
    </row>
    <row r="7336" customFormat="false" ht="12.8" hidden="false" customHeight="false" outlineLevel="0" collapsed="false">
      <c r="A7336" s="0" t="s">
        <v>12</v>
      </c>
      <c r="B7336" s="0" t="n">
        <v>2059444</v>
      </c>
      <c r="C7336" s="0" t="n">
        <v>2059464</v>
      </c>
      <c r="D7336" s="0" t="s">
        <v>24520</v>
      </c>
      <c r="E7336" s="0" t="s">
        <v>89</v>
      </c>
      <c r="F7336" s="0" t="s">
        <v>15</v>
      </c>
      <c r="G7336" s="0" t="s">
        <v>16</v>
      </c>
      <c r="H7336" s="0" t="n">
        <v>93</v>
      </c>
      <c r="I7336" s="0" t="s">
        <v>24530</v>
      </c>
      <c r="J7336" s="0" t="s">
        <v>24531</v>
      </c>
      <c r="K7336" s="0" t="s">
        <v>24532</v>
      </c>
      <c r="L7336" s="0" t="str">
        <f aca="false">HYPERLINK("https://www.ncbi.nlm.nih.gov/nuccore/CP000304.1?report=graph&amp;tracks=[key:gene_model_track,Options:GeneOnly]&amp;mk=2059367:2059386|offset_15|444444,2059387:2059406|offset_35|444444,2059423:2059442|offset_71|444444,2059445:2059464|offset_93|00cc00&amp;v=2059166:2059664&amp;c=444444", "offset 93")</f>
        <v>offset 93</v>
      </c>
    </row>
    <row r="7337" customFormat="false" ht="12.8" hidden="false" customHeight="false" outlineLevel="0" collapsed="false">
      <c r="A7337" s="0" t="s">
        <v>12</v>
      </c>
      <c r="B7337" s="0" t="n">
        <v>2061603</v>
      </c>
      <c r="C7337" s="0" t="n">
        <v>2061623</v>
      </c>
      <c r="D7337" s="0" t="s">
        <v>24533</v>
      </c>
      <c r="E7337" s="0" t="s">
        <v>89</v>
      </c>
      <c r="F7337" s="0" t="s">
        <v>15</v>
      </c>
      <c r="G7337" s="0" t="s">
        <v>32</v>
      </c>
      <c r="H7337" s="0" t="n">
        <v>10</v>
      </c>
      <c r="I7337" s="0" t="s">
        <v>24534</v>
      </c>
      <c r="J7337" s="0" t="s">
        <v>24535</v>
      </c>
      <c r="K7337" s="0" t="s">
        <v>24536</v>
      </c>
      <c r="L7337" s="0" t="str">
        <f aca="false">HYPERLINK("https://www.ncbi.nlm.nih.gov/nuccore/CP000304.1?report=graph&amp;tracks=[key:gene_model_track,Options:GeneOnly]&amp;mk=2061604:2061623|offset_10|00cc00,2061646:2061665|offset_52|444444,2061675:2061694|offset_81|444444,2061734:2061753|offset_140|444444&amp;v=2061403:2061953&amp;c=444444", "offset 10")</f>
        <v>offset 10</v>
      </c>
    </row>
    <row r="7338" customFormat="false" ht="12.8" hidden="false" customHeight="false" outlineLevel="0" collapsed="false">
      <c r="A7338" s="0" t="s">
        <v>12</v>
      </c>
      <c r="B7338" s="0" t="n">
        <v>2061645</v>
      </c>
      <c r="C7338" s="0" t="n">
        <v>2061665</v>
      </c>
      <c r="D7338" s="0" t="s">
        <v>24533</v>
      </c>
      <c r="E7338" s="0" t="s">
        <v>89</v>
      </c>
      <c r="F7338" s="0" t="s">
        <v>15</v>
      </c>
      <c r="G7338" s="0" t="s">
        <v>26</v>
      </c>
      <c r="H7338" s="0" t="n">
        <v>52</v>
      </c>
      <c r="I7338" s="0" t="s">
        <v>24537</v>
      </c>
      <c r="J7338" s="0" t="s">
        <v>24538</v>
      </c>
      <c r="K7338" s="0" t="s">
        <v>24539</v>
      </c>
      <c r="L7338" s="0" t="str">
        <f aca="false">HYPERLINK("https://www.ncbi.nlm.nih.gov/nuccore/CP000304.1?report=graph&amp;tracks=[key:gene_model_track,Options:GeneOnly]&amp;mk=2061604:2061623|offset_10|444444,2061646:2061665|offset_52|00cc00,2061675:2061694|offset_81|444444,2061734:2061753|offset_140|444444&amp;v=2061403:2061953&amp;c=444444", "offset 52")</f>
        <v>offset 52</v>
      </c>
    </row>
    <row r="7339" customFormat="false" ht="12.8" hidden="false" customHeight="false" outlineLevel="0" collapsed="false">
      <c r="A7339" s="0" t="s">
        <v>12</v>
      </c>
      <c r="B7339" s="0" t="n">
        <v>2061674</v>
      </c>
      <c r="C7339" s="0" t="n">
        <v>2061694</v>
      </c>
      <c r="D7339" s="0" t="s">
        <v>24533</v>
      </c>
      <c r="E7339" s="0" t="s">
        <v>89</v>
      </c>
      <c r="F7339" s="0" t="s">
        <v>15</v>
      </c>
      <c r="G7339" s="0" t="s">
        <v>32</v>
      </c>
      <c r="H7339" s="0" t="n">
        <v>81</v>
      </c>
      <c r="I7339" s="0" t="s">
        <v>24540</v>
      </c>
      <c r="J7339" s="0" t="s">
        <v>24541</v>
      </c>
      <c r="K7339" s="0" t="s">
        <v>24542</v>
      </c>
      <c r="L7339" s="0" t="str">
        <f aca="false">HYPERLINK("https://www.ncbi.nlm.nih.gov/nuccore/CP000304.1?report=graph&amp;tracks=[key:gene_model_track,Options:GeneOnly]&amp;mk=2061604:2061623|offset_10|444444,2061646:2061665|offset_52|444444,2061675:2061694|offset_81|00cc00,2061734:2061753|offset_140|444444&amp;v=2061403:2061953&amp;c=444444", "offset 81")</f>
        <v>offset 81</v>
      </c>
    </row>
    <row r="7340" customFormat="false" ht="12.8" hidden="false" customHeight="false" outlineLevel="0" collapsed="false">
      <c r="A7340" s="0" t="s">
        <v>12</v>
      </c>
      <c r="B7340" s="0" t="n">
        <v>2061733</v>
      </c>
      <c r="C7340" s="0" t="n">
        <v>2061753</v>
      </c>
      <c r="D7340" s="0" t="s">
        <v>24533</v>
      </c>
      <c r="E7340" s="0" t="s">
        <v>89</v>
      </c>
      <c r="F7340" s="0" t="s">
        <v>15</v>
      </c>
      <c r="G7340" s="0" t="s">
        <v>16</v>
      </c>
      <c r="H7340" s="0" t="n">
        <v>140</v>
      </c>
      <c r="I7340" s="0" t="s">
        <v>24543</v>
      </c>
      <c r="J7340" s="0" t="s">
        <v>24544</v>
      </c>
      <c r="K7340" s="0" t="s">
        <v>24545</v>
      </c>
      <c r="L7340" s="0" t="str">
        <f aca="false">HYPERLINK("https://www.ncbi.nlm.nih.gov/nuccore/CP000304.1?report=graph&amp;tracks=[key:gene_model_track,Options:GeneOnly]&amp;mk=2061604:2061623|offset_10|444444,2061646:2061665|offset_52|444444,2061675:2061694|offset_81|444444,2061734:2061753|offset_140|00cc00&amp;v=2061403:2061953&amp;c=444444", "offset 140")</f>
        <v>offset 140</v>
      </c>
    </row>
    <row r="7341" customFormat="false" ht="12.8" hidden="false" customHeight="false" outlineLevel="0" collapsed="false">
      <c r="A7341" s="0" t="s">
        <v>12</v>
      </c>
      <c r="B7341" s="0" t="n">
        <v>2063407</v>
      </c>
      <c r="C7341" s="0" t="n">
        <v>2063427</v>
      </c>
      <c r="D7341" s="0" t="s">
        <v>24546</v>
      </c>
      <c r="E7341" s="0" t="s">
        <v>89</v>
      </c>
      <c r="F7341" s="0" t="s">
        <v>90</v>
      </c>
      <c r="G7341" s="0" t="s">
        <v>32</v>
      </c>
      <c r="H7341" s="0" t="n">
        <v>14</v>
      </c>
      <c r="I7341" s="0" t="s">
        <v>24547</v>
      </c>
      <c r="J7341" s="0" t="s">
        <v>24548</v>
      </c>
      <c r="K7341" s="0" t="s">
        <v>24549</v>
      </c>
      <c r="L7341" s="0" t="str">
        <f aca="false">HYPERLINK("https://www.ncbi.nlm.nih.gov/nuccore/CP000304.1?report=graph&amp;tracks=[key:gene_model_track,Options:GeneOnly]&amp;mk=2063408:2063427|offset_14|00cc00,2063378:2063397|offset_44|444444,2063355:2063374|offset_67|444444,2063335:2063354|offset_87|444444&amp;v=2063207:2063554&amp;c=444444", "offset 14")</f>
        <v>offset 14</v>
      </c>
    </row>
    <row r="7342" customFormat="false" ht="12.8" hidden="false" customHeight="false" outlineLevel="0" collapsed="false">
      <c r="A7342" s="0" t="s">
        <v>12</v>
      </c>
      <c r="B7342" s="0" t="n">
        <v>2063377</v>
      </c>
      <c r="C7342" s="0" t="n">
        <v>2063397</v>
      </c>
      <c r="D7342" s="0" t="s">
        <v>24546</v>
      </c>
      <c r="E7342" s="0" t="s">
        <v>89</v>
      </c>
      <c r="F7342" s="0" t="s">
        <v>90</v>
      </c>
      <c r="G7342" s="0" t="s">
        <v>26</v>
      </c>
      <c r="H7342" s="0" t="n">
        <v>44</v>
      </c>
      <c r="I7342" s="0" t="s">
        <v>24550</v>
      </c>
      <c r="J7342" s="0" t="s">
        <v>24551</v>
      </c>
      <c r="K7342" s="0" t="s">
        <v>24552</v>
      </c>
      <c r="L7342" s="0" t="str">
        <f aca="false">HYPERLINK("https://www.ncbi.nlm.nih.gov/nuccore/CP000304.1?report=graph&amp;tracks=[key:gene_model_track,Options:GeneOnly]&amp;mk=2063408:2063427|offset_14|444444,2063378:2063397|offset_44|00cc00,2063355:2063374|offset_67|444444,2063335:2063354|offset_87|444444&amp;v=2063207:2063554&amp;c=444444", "offset 44")</f>
        <v>offset 44</v>
      </c>
    </row>
    <row r="7343" customFormat="false" ht="12.8" hidden="false" customHeight="false" outlineLevel="0" collapsed="false">
      <c r="A7343" s="0" t="s">
        <v>12</v>
      </c>
      <c r="B7343" s="0" t="n">
        <v>2063354</v>
      </c>
      <c r="C7343" s="0" t="n">
        <v>2063374</v>
      </c>
      <c r="D7343" s="0" t="s">
        <v>24546</v>
      </c>
      <c r="E7343" s="0" t="s">
        <v>89</v>
      </c>
      <c r="F7343" s="0" t="s">
        <v>90</v>
      </c>
      <c r="G7343" s="0" t="s">
        <v>26</v>
      </c>
      <c r="H7343" s="0" t="n">
        <v>67</v>
      </c>
      <c r="I7343" s="0" t="s">
        <v>24553</v>
      </c>
      <c r="J7343" s="0" t="s">
        <v>24554</v>
      </c>
      <c r="K7343" s="0" t="s">
        <v>24555</v>
      </c>
      <c r="L7343" s="0" t="str">
        <f aca="false">HYPERLINK("https://www.ncbi.nlm.nih.gov/nuccore/CP000304.1?report=graph&amp;tracks=[key:gene_model_track,Options:GeneOnly]&amp;mk=2063408:2063427|offset_14|444444,2063378:2063397|offset_44|444444,2063355:2063374|offset_67|00cc00,2063335:2063354|offset_87|444444&amp;v=2063207:2063554&amp;c=444444", "offset 67")</f>
        <v>offset 67</v>
      </c>
    </row>
    <row r="7344" customFormat="false" ht="12.8" hidden="false" customHeight="false" outlineLevel="0" collapsed="false">
      <c r="A7344" s="0" t="s">
        <v>12</v>
      </c>
      <c r="B7344" s="0" t="n">
        <v>2063334</v>
      </c>
      <c r="C7344" s="0" t="n">
        <v>2063354</v>
      </c>
      <c r="D7344" s="0" t="s">
        <v>24546</v>
      </c>
      <c r="E7344" s="0" t="s">
        <v>89</v>
      </c>
      <c r="F7344" s="0" t="s">
        <v>90</v>
      </c>
      <c r="G7344" s="0" t="s">
        <v>16</v>
      </c>
      <c r="H7344" s="0" t="n">
        <v>87</v>
      </c>
      <c r="I7344" s="0" t="s">
        <v>24556</v>
      </c>
      <c r="J7344" s="0" t="s">
        <v>24557</v>
      </c>
      <c r="K7344" s="0" t="s">
        <v>24558</v>
      </c>
      <c r="L7344" s="0" t="str">
        <f aca="false">HYPERLINK("https://www.ncbi.nlm.nih.gov/nuccore/CP000304.1?report=graph&amp;tracks=[key:gene_model_track,Options:GeneOnly]&amp;mk=2063408:2063427|offset_14|444444,2063378:2063397|offset_44|444444,2063355:2063374|offset_67|444444,2063335:2063354|offset_87|00cc00&amp;v=2063207:2063554&amp;c=444444", "offset 87")</f>
        <v>offset 87</v>
      </c>
    </row>
    <row r="7345" customFormat="false" ht="12.8" hidden="false" customHeight="false" outlineLevel="0" collapsed="false">
      <c r="A7345" s="0" t="s">
        <v>12</v>
      </c>
      <c r="B7345" s="0" t="n">
        <v>2063710</v>
      </c>
      <c r="C7345" s="0" t="n">
        <v>2063730</v>
      </c>
      <c r="D7345" s="0" t="s">
        <v>24559</v>
      </c>
      <c r="E7345" s="0" t="s">
        <v>89</v>
      </c>
      <c r="F7345" s="0" t="s">
        <v>15</v>
      </c>
      <c r="G7345" s="0" t="s">
        <v>26</v>
      </c>
      <c r="H7345" s="0" t="n">
        <v>26</v>
      </c>
      <c r="I7345" s="0" t="s">
        <v>24560</v>
      </c>
      <c r="J7345" s="0" t="s">
        <v>24561</v>
      </c>
      <c r="K7345" s="0" t="s">
        <v>24562</v>
      </c>
      <c r="L7345" s="0" t="str">
        <f aca="false">HYPERLINK("https://www.ncbi.nlm.nih.gov/nuccore/CP000304.1?report=graph&amp;tracks=[key:gene_model_track,Options:GeneOnly]&amp;mk=2063711:2063730|offset_26|00cc00,2063734:2063753|offset_49|444444,2063770:2063789|offset_85|444444,2063794:2063813|offset_109|444444&amp;v=2063510:2064013&amp;c=444444", "offset 26")</f>
        <v>offset 26</v>
      </c>
    </row>
    <row r="7346" customFormat="false" ht="12.8" hidden="false" customHeight="false" outlineLevel="0" collapsed="false">
      <c r="A7346" s="0" t="s">
        <v>12</v>
      </c>
      <c r="B7346" s="0" t="n">
        <v>2063733</v>
      </c>
      <c r="C7346" s="0" t="n">
        <v>2063753</v>
      </c>
      <c r="D7346" s="0" t="s">
        <v>24559</v>
      </c>
      <c r="E7346" s="0" t="s">
        <v>89</v>
      </c>
      <c r="F7346" s="0" t="s">
        <v>15</v>
      </c>
      <c r="G7346" s="0" t="s">
        <v>36</v>
      </c>
      <c r="H7346" s="0" t="n">
        <v>49</v>
      </c>
      <c r="I7346" s="0" t="s">
        <v>24563</v>
      </c>
      <c r="J7346" s="0" t="s">
        <v>24564</v>
      </c>
      <c r="K7346" s="0" t="s">
        <v>24565</v>
      </c>
      <c r="L7346" s="0" t="str">
        <f aca="false">HYPERLINK("https://www.ncbi.nlm.nih.gov/nuccore/CP000304.1?report=graph&amp;tracks=[key:gene_model_track,Options:GeneOnly]&amp;mk=2063711:2063730|offset_26|444444,2063734:2063753|offset_49|00cc00,2063770:2063789|offset_85|444444,2063794:2063813|offset_109|444444&amp;v=2063510:2064013&amp;c=444444", "offset 49")</f>
        <v>offset 49</v>
      </c>
    </row>
    <row r="7347" customFormat="false" ht="12.8" hidden="false" customHeight="false" outlineLevel="0" collapsed="false">
      <c r="A7347" s="0" t="s">
        <v>12</v>
      </c>
      <c r="B7347" s="0" t="n">
        <v>2063769</v>
      </c>
      <c r="C7347" s="0" t="n">
        <v>2063789</v>
      </c>
      <c r="D7347" s="0" t="s">
        <v>24559</v>
      </c>
      <c r="E7347" s="0" t="s">
        <v>89</v>
      </c>
      <c r="F7347" s="0" t="s">
        <v>15</v>
      </c>
      <c r="G7347" s="0" t="s">
        <v>16</v>
      </c>
      <c r="H7347" s="0" t="n">
        <v>85</v>
      </c>
      <c r="I7347" s="0" t="s">
        <v>24566</v>
      </c>
      <c r="J7347" s="0" t="s">
        <v>24567</v>
      </c>
      <c r="K7347" s="0" t="s">
        <v>24568</v>
      </c>
      <c r="L7347" s="0" t="str">
        <f aca="false">HYPERLINK("https://www.ncbi.nlm.nih.gov/nuccore/CP000304.1?report=graph&amp;tracks=[key:gene_model_track,Options:GeneOnly]&amp;mk=2063711:2063730|offset_26|444444,2063734:2063753|offset_49|444444,2063770:2063789|offset_85|00cc00,2063794:2063813|offset_109|444444&amp;v=2063510:2064013&amp;c=444444", "offset 85")</f>
        <v>offset 85</v>
      </c>
    </row>
    <row r="7348" customFormat="false" ht="12.8" hidden="false" customHeight="false" outlineLevel="0" collapsed="false">
      <c r="A7348" s="0" t="s">
        <v>12</v>
      </c>
      <c r="B7348" s="0" t="n">
        <v>2063793</v>
      </c>
      <c r="C7348" s="0" t="n">
        <v>2063813</v>
      </c>
      <c r="D7348" s="0" t="s">
        <v>24559</v>
      </c>
      <c r="E7348" s="0" t="s">
        <v>89</v>
      </c>
      <c r="F7348" s="0" t="s">
        <v>15</v>
      </c>
      <c r="G7348" s="0" t="s">
        <v>32</v>
      </c>
      <c r="H7348" s="0" t="n">
        <v>109</v>
      </c>
      <c r="I7348" s="0" t="s">
        <v>24569</v>
      </c>
      <c r="J7348" s="0" t="s">
        <v>24570</v>
      </c>
      <c r="K7348" s="0" t="s">
        <v>24571</v>
      </c>
      <c r="L7348" s="0" t="str">
        <f aca="false">HYPERLINK("https://www.ncbi.nlm.nih.gov/nuccore/CP000304.1?report=graph&amp;tracks=[key:gene_model_track,Options:GeneOnly]&amp;mk=2063711:2063730|offset_26|444444,2063734:2063753|offset_49|444444,2063770:2063789|offset_85|444444,2063794:2063813|offset_109|00cc00&amp;v=2063510:2064013&amp;c=444444", "offset 109")</f>
        <v>offset 109</v>
      </c>
    </row>
    <row r="7349" customFormat="false" ht="12.8" hidden="false" customHeight="false" outlineLevel="0" collapsed="false">
      <c r="A7349" s="0" t="s">
        <v>12</v>
      </c>
      <c r="B7349" s="0" t="n">
        <v>2064216</v>
      </c>
      <c r="C7349" s="0" t="n">
        <v>2064236</v>
      </c>
      <c r="D7349" s="0" t="s">
        <v>24572</v>
      </c>
      <c r="E7349" s="0" t="s">
        <v>89</v>
      </c>
      <c r="F7349" s="0" t="s">
        <v>15</v>
      </c>
      <c r="G7349" s="0" t="s">
        <v>16</v>
      </c>
      <c r="H7349" s="0" t="n">
        <v>16</v>
      </c>
      <c r="I7349" s="0" t="s">
        <v>24573</v>
      </c>
      <c r="J7349" s="0" t="s">
        <v>24574</v>
      </c>
      <c r="K7349" s="0" t="s">
        <v>24575</v>
      </c>
      <c r="L7349" s="0" t="str">
        <f aca="false">HYPERLINK("https://www.ncbi.nlm.nih.gov/nuccore/CP000304.1?report=graph&amp;tracks=[key:gene_model_track,Options:GeneOnly]&amp;mk=2064217:2064236|offset_16|00cc00,2064244:2064263|offset_43|444444,2064267:2064286|offset_66|444444,2064307:2064326|offset_106|444444&amp;v=2064016:2064526&amp;c=444444", "offset 16")</f>
        <v>offset 16</v>
      </c>
    </row>
    <row r="7350" customFormat="false" ht="12.8" hidden="false" customHeight="false" outlineLevel="0" collapsed="false">
      <c r="A7350" s="0" t="s">
        <v>12</v>
      </c>
      <c r="B7350" s="0" t="n">
        <v>2064243</v>
      </c>
      <c r="C7350" s="0" t="n">
        <v>2064263</v>
      </c>
      <c r="D7350" s="0" t="s">
        <v>24572</v>
      </c>
      <c r="E7350" s="0" t="s">
        <v>89</v>
      </c>
      <c r="F7350" s="0" t="s">
        <v>15</v>
      </c>
      <c r="G7350" s="0" t="s">
        <v>26</v>
      </c>
      <c r="H7350" s="0" t="n">
        <v>43</v>
      </c>
      <c r="I7350" s="0" t="s">
        <v>24576</v>
      </c>
      <c r="J7350" s="0" t="s">
        <v>24577</v>
      </c>
      <c r="K7350" s="0" t="s">
        <v>24578</v>
      </c>
      <c r="L7350" s="0" t="str">
        <f aca="false">HYPERLINK("https://www.ncbi.nlm.nih.gov/nuccore/CP000304.1?report=graph&amp;tracks=[key:gene_model_track,Options:GeneOnly]&amp;mk=2064217:2064236|offset_16|444444,2064244:2064263|offset_43|00cc00,2064267:2064286|offset_66|444444,2064307:2064326|offset_106|444444&amp;v=2064016:2064526&amp;c=444444", "offset 43")</f>
        <v>offset 43</v>
      </c>
    </row>
    <row r="7351" customFormat="false" ht="12.8" hidden="false" customHeight="false" outlineLevel="0" collapsed="false">
      <c r="A7351" s="0" t="s">
        <v>12</v>
      </c>
      <c r="B7351" s="0" t="n">
        <v>2064266</v>
      </c>
      <c r="C7351" s="0" t="n">
        <v>2064286</v>
      </c>
      <c r="D7351" s="0" t="s">
        <v>24572</v>
      </c>
      <c r="E7351" s="0" t="s">
        <v>89</v>
      </c>
      <c r="F7351" s="0" t="s">
        <v>15</v>
      </c>
      <c r="G7351" s="0" t="s">
        <v>36</v>
      </c>
      <c r="H7351" s="0" t="n">
        <v>66</v>
      </c>
      <c r="I7351" s="0" t="s">
        <v>24579</v>
      </c>
      <c r="J7351" s="0" t="s">
        <v>24580</v>
      </c>
      <c r="K7351" s="0" t="s">
        <v>24581</v>
      </c>
      <c r="L7351" s="0" t="str">
        <f aca="false">HYPERLINK("https://www.ncbi.nlm.nih.gov/nuccore/CP000304.1?report=graph&amp;tracks=[key:gene_model_track,Options:GeneOnly]&amp;mk=2064217:2064236|offset_16|444444,2064244:2064263|offset_43|444444,2064267:2064286|offset_66|00cc00,2064307:2064326|offset_106|444444&amp;v=2064016:2064526&amp;c=444444", "offset 66")</f>
        <v>offset 66</v>
      </c>
    </row>
    <row r="7352" customFormat="false" ht="12.8" hidden="false" customHeight="false" outlineLevel="0" collapsed="false">
      <c r="A7352" s="0" t="s">
        <v>12</v>
      </c>
      <c r="B7352" s="0" t="n">
        <v>2064306</v>
      </c>
      <c r="C7352" s="0" t="n">
        <v>2064326</v>
      </c>
      <c r="D7352" s="0" t="s">
        <v>24572</v>
      </c>
      <c r="E7352" s="0" t="s">
        <v>89</v>
      </c>
      <c r="F7352" s="0" t="s">
        <v>15</v>
      </c>
      <c r="G7352" s="0" t="s">
        <v>16</v>
      </c>
      <c r="H7352" s="0" t="n">
        <v>106</v>
      </c>
      <c r="I7352" s="0" t="s">
        <v>24582</v>
      </c>
      <c r="J7352" s="0" t="s">
        <v>24583</v>
      </c>
      <c r="K7352" s="0" t="s">
        <v>24584</v>
      </c>
      <c r="L7352" s="0" t="str">
        <f aca="false">HYPERLINK("https://www.ncbi.nlm.nih.gov/nuccore/CP000304.1?report=graph&amp;tracks=[key:gene_model_track,Options:GeneOnly]&amp;mk=2064217:2064236|offset_16|444444,2064244:2064263|offset_43|444444,2064267:2064286|offset_66|444444,2064307:2064326|offset_106|00cc00&amp;v=2064016:2064526&amp;c=444444", "offset 106")</f>
        <v>offset 106</v>
      </c>
    </row>
    <row r="7353" customFormat="false" ht="12.8" hidden="false" customHeight="false" outlineLevel="0" collapsed="false">
      <c r="A7353" s="0" t="s">
        <v>12</v>
      </c>
      <c r="B7353" s="0" t="n">
        <v>2064715</v>
      </c>
      <c r="C7353" s="0" t="n">
        <v>2064735</v>
      </c>
      <c r="D7353" s="0" t="s">
        <v>24585</v>
      </c>
      <c r="E7353" s="0" t="s">
        <v>89</v>
      </c>
      <c r="F7353" s="0" t="s">
        <v>15</v>
      </c>
      <c r="G7353" s="0" t="s">
        <v>16</v>
      </c>
      <c r="H7353" s="0" t="n">
        <v>10</v>
      </c>
      <c r="I7353" s="0" t="s">
        <v>24586</v>
      </c>
      <c r="J7353" s="0" t="s">
        <v>24587</v>
      </c>
      <c r="K7353" s="0" t="s">
        <v>24588</v>
      </c>
      <c r="L7353" s="0" t="str">
        <f aca="false">HYPERLINK("https://www.ncbi.nlm.nih.gov/nuccore/CP000304.1?report=graph&amp;tracks=[key:gene_model_track,Options:GeneOnly]&amp;mk=2064716:2064735|offset_10|00cc00,2064749:2064768|offset_43|444444,2064804:2064823|offset_98|444444,2064824:2064843|offset_118|444444&amp;v=2064515:2065043&amp;c=444444", "offset 10")</f>
        <v>offset 10</v>
      </c>
    </row>
    <row r="7354" customFormat="false" ht="12.8" hidden="false" customHeight="false" outlineLevel="0" collapsed="false">
      <c r="A7354" s="0" t="s">
        <v>12</v>
      </c>
      <c r="B7354" s="0" t="n">
        <v>2064748</v>
      </c>
      <c r="C7354" s="0" t="n">
        <v>2064768</v>
      </c>
      <c r="D7354" s="0" t="s">
        <v>24585</v>
      </c>
      <c r="E7354" s="0" t="s">
        <v>89</v>
      </c>
      <c r="F7354" s="0" t="s">
        <v>15</v>
      </c>
      <c r="G7354" s="0" t="s">
        <v>16</v>
      </c>
      <c r="H7354" s="0" t="n">
        <v>43</v>
      </c>
      <c r="I7354" s="0" t="s">
        <v>24589</v>
      </c>
      <c r="J7354" s="0" t="s">
        <v>24590</v>
      </c>
      <c r="K7354" s="0" t="s">
        <v>24591</v>
      </c>
      <c r="L7354" s="0" t="str">
        <f aca="false">HYPERLINK("https://www.ncbi.nlm.nih.gov/nuccore/CP000304.1?report=graph&amp;tracks=[key:gene_model_track,Options:GeneOnly]&amp;mk=2064716:2064735|offset_10|444444,2064749:2064768|offset_43|00cc00,2064804:2064823|offset_98|444444,2064824:2064843|offset_118|444444&amp;v=2064515:2065043&amp;c=444444", "offset 43")</f>
        <v>offset 43</v>
      </c>
    </row>
    <row r="7355" customFormat="false" ht="12.8" hidden="false" customHeight="false" outlineLevel="0" collapsed="false">
      <c r="A7355" s="0" t="s">
        <v>12</v>
      </c>
      <c r="B7355" s="0" t="n">
        <v>2064803</v>
      </c>
      <c r="C7355" s="0" t="n">
        <v>2064823</v>
      </c>
      <c r="D7355" s="0" t="s">
        <v>24585</v>
      </c>
      <c r="E7355" s="0" t="s">
        <v>89</v>
      </c>
      <c r="F7355" s="0" t="s">
        <v>15</v>
      </c>
      <c r="G7355" s="0" t="s">
        <v>26</v>
      </c>
      <c r="H7355" s="0" t="n">
        <v>98</v>
      </c>
      <c r="I7355" s="0" t="s">
        <v>24592</v>
      </c>
      <c r="J7355" s="0" t="s">
        <v>24593</v>
      </c>
      <c r="K7355" s="0" t="s">
        <v>24594</v>
      </c>
      <c r="L7355" s="0" t="str">
        <f aca="false">HYPERLINK("https://www.ncbi.nlm.nih.gov/nuccore/CP000304.1?report=graph&amp;tracks=[key:gene_model_track,Options:GeneOnly]&amp;mk=2064716:2064735|offset_10|444444,2064749:2064768|offset_43|444444,2064804:2064823|offset_98|00cc00,2064824:2064843|offset_118|444444&amp;v=2064515:2065043&amp;c=444444", "offset 98")</f>
        <v>offset 98</v>
      </c>
    </row>
    <row r="7356" customFormat="false" ht="12.8" hidden="false" customHeight="false" outlineLevel="0" collapsed="false">
      <c r="A7356" s="0" t="s">
        <v>12</v>
      </c>
      <c r="B7356" s="0" t="n">
        <v>2064823</v>
      </c>
      <c r="C7356" s="0" t="n">
        <v>2064843</v>
      </c>
      <c r="D7356" s="0" t="s">
        <v>24585</v>
      </c>
      <c r="E7356" s="0" t="s">
        <v>89</v>
      </c>
      <c r="F7356" s="0" t="s">
        <v>15</v>
      </c>
      <c r="G7356" s="0" t="s">
        <v>16</v>
      </c>
      <c r="H7356" s="0" t="n">
        <v>118</v>
      </c>
      <c r="I7356" s="0" t="s">
        <v>24595</v>
      </c>
      <c r="J7356" s="0" t="s">
        <v>24596</v>
      </c>
      <c r="K7356" s="0" t="s">
        <v>24597</v>
      </c>
      <c r="L7356" s="0" t="str">
        <f aca="false">HYPERLINK("https://www.ncbi.nlm.nih.gov/nuccore/CP000304.1?report=graph&amp;tracks=[key:gene_model_track,Options:GeneOnly]&amp;mk=2064716:2064735|offset_10|444444,2064749:2064768|offset_43|444444,2064804:2064823|offset_98|444444,2064824:2064843|offset_118|00cc00&amp;v=2064515:2065043&amp;c=444444", "offset 118")</f>
        <v>offset 118</v>
      </c>
    </row>
    <row r="7357" customFormat="false" ht="12.8" hidden="false" customHeight="false" outlineLevel="0" collapsed="false">
      <c r="A7357" s="0" t="s">
        <v>12</v>
      </c>
      <c r="B7357" s="0" t="n">
        <v>2065950</v>
      </c>
      <c r="C7357" s="0" t="n">
        <v>2065970</v>
      </c>
      <c r="D7357" s="0" t="s">
        <v>24598</v>
      </c>
      <c r="E7357" s="0" t="s">
        <v>89</v>
      </c>
      <c r="F7357" s="0" t="s">
        <v>15</v>
      </c>
      <c r="G7357" s="0" t="s">
        <v>32</v>
      </c>
      <c r="H7357" s="0" t="n">
        <v>1</v>
      </c>
      <c r="I7357" s="0" t="s">
        <v>24599</v>
      </c>
      <c r="J7357" s="0" t="s">
        <v>24600</v>
      </c>
      <c r="K7357" s="0" t="s">
        <v>24601</v>
      </c>
      <c r="L7357" s="0" t="str">
        <f aca="false">HYPERLINK("https://www.ncbi.nlm.nih.gov/nuccore/CP000304.1?report=graph&amp;tracks=[key:gene_model_track,Options:GeneOnly]&amp;mk=2065951:2065970|offset_1|00cc00,2065976:2065995|offset_26|444444,2065996:2066015|offset_46|444444,2066074:2066093|offset_124|444444&amp;v=2065750:2066293&amp;c=444444", "offset 1")</f>
        <v>offset 1</v>
      </c>
    </row>
    <row r="7358" customFormat="false" ht="12.8" hidden="false" customHeight="false" outlineLevel="0" collapsed="false">
      <c r="A7358" s="0" t="s">
        <v>12</v>
      </c>
      <c r="B7358" s="0" t="n">
        <v>2065975</v>
      </c>
      <c r="C7358" s="0" t="n">
        <v>2065995</v>
      </c>
      <c r="D7358" s="0" t="s">
        <v>24598</v>
      </c>
      <c r="E7358" s="0" t="s">
        <v>89</v>
      </c>
      <c r="F7358" s="0" t="s">
        <v>15</v>
      </c>
      <c r="G7358" s="0" t="s">
        <v>26</v>
      </c>
      <c r="H7358" s="0" t="n">
        <v>26</v>
      </c>
      <c r="I7358" s="0" t="s">
        <v>24602</v>
      </c>
      <c r="J7358" s="0" t="s">
        <v>24603</v>
      </c>
      <c r="K7358" s="0" t="s">
        <v>24604</v>
      </c>
      <c r="L7358" s="0" t="str">
        <f aca="false">HYPERLINK("https://www.ncbi.nlm.nih.gov/nuccore/CP000304.1?report=graph&amp;tracks=[key:gene_model_track,Options:GeneOnly]&amp;mk=2065951:2065970|offset_1|444444,2065976:2065995|offset_26|00cc00,2065996:2066015|offset_46|444444,2066074:2066093|offset_124|444444&amp;v=2065750:2066293&amp;c=444444", "offset 26")</f>
        <v>offset 26</v>
      </c>
    </row>
    <row r="7359" customFormat="false" ht="12.8" hidden="false" customHeight="false" outlineLevel="0" collapsed="false">
      <c r="A7359" s="0" t="s">
        <v>12</v>
      </c>
      <c r="B7359" s="0" t="n">
        <v>2065995</v>
      </c>
      <c r="C7359" s="0" t="n">
        <v>2066015</v>
      </c>
      <c r="D7359" s="0" t="s">
        <v>24598</v>
      </c>
      <c r="E7359" s="0" t="s">
        <v>89</v>
      </c>
      <c r="F7359" s="0" t="s">
        <v>15</v>
      </c>
      <c r="G7359" s="0" t="s">
        <v>16</v>
      </c>
      <c r="H7359" s="0" t="n">
        <v>46</v>
      </c>
      <c r="I7359" s="0" t="s">
        <v>24605</v>
      </c>
      <c r="J7359" s="0" t="s">
        <v>24606</v>
      </c>
      <c r="K7359" s="0" t="s">
        <v>24607</v>
      </c>
      <c r="L7359" s="0" t="str">
        <f aca="false">HYPERLINK("https://www.ncbi.nlm.nih.gov/nuccore/CP000304.1?report=graph&amp;tracks=[key:gene_model_track,Options:GeneOnly]&amp;mk=2065951:2065970|offset_1|444444,2065976:2065995|offset_26|444444,2065996:2066015|offset_46|00cc00,2066074:2066093|offset_124|444444&amp;v=2065750:2066293&amp;c=444444", "offset 46")</f>
        <v>offset 46</v>
      </c>
    </row>
    <row r="7360" customFormat="false" ht="12.8" hidden="false" customHeight="false" outlineLevel="0" collapsed="false">
      <c r="A7360" s="0" t="s">
        <v>12</v>
      </c>
      <c r="B7360" s="0" t="n">
        <v>2066073</v>
      </c>
      <c r="C7360" s="0" t="n">
        <v>2066093</v>
      </c>
      <c r="D7360" s="0" t="s">
        <v>24598</v>
      </c>
      <c r="E7360" s="0" t="s">
        <v>89</v>
      </c>
      <c r="F7360" s="0" t="s">
        <v>15</v>
      </c>
      <c r="G7360" s="0" t="s">
        <v>16</v>
      </c>
      <c r="H7360" s="0" t="n">
        <v>124</v>
      </c>
      <c r="I7360" s="0" t="s">
        <v>24608</v>
      </c>
      <c r="J7360" s="0" t="s">
        <v>24609</v>
      </c>
      <c r="K7360" s="0" t="s">
        <v>24610</v>
      </c>
      <c r="L7360" s="0" t="str">
        <f aca="false">HYPERLINK("https://www.ncbi.nlm.nih.gov/nuccore/CP000304.1?report=graph&amp;tracks=[key:gene_model_track,Options:GeneOnly]&amp;mk=2065951:2065970|offset_1|444444,2065976:2065995|offset_26|444444,2065996:2066015|offset_46|444444,2066074:2066093|offset_124|00cc00&amp;v=2065750:2066293&amp;c=444444", "offset 124")</f>
        <v>offset 124</v>
      </c>
    </row>
    <row r="7361" customFormat="false" ht="12.8" hidden="false" customHeight="false" outlineLevel="0" collapsed="false">
      <c r="A7361" s="0" t="s">
        <v>12</v>
      </c>
      <c r="B7361" s="0" t="n">
        <v>2066810</v>
      </c>
      <c r="C7361" s="0" t="n">
        <v>2066830</v>
      </c>
      <c r="D7361" s="0" t="s">
        <v>24611</v>
      </c>
      <c r="E7361" s="0" t="s">
        <v>24612</v>
      </c>
      <c r="F7361" s="0" t="s">
        <v>15</v>
      </c>
      <c r="G7361" s="0" t="s">
        <v>16</v>
      </c>
      <c r="H7361" s="0" t="n">
        <v>7</v>
      </c>
      <c r="I7361" s="0" t="s">
        <v>24613</v>
      </c>
      <c r="J7361" s="0" t="s">
        <v>24614</v>
      </c>
      <c r="K7361" s="0" t="s">
        <v>24615</v>
      </c>
      <c r="L7361" s="0" t="str">
        <f aca="false">HYPERLINK("https://www.ncbi.nlm.nih.gov/nuccore/CP000304.1?report=graph&amp;tracks=[key:gene_model_track,Options:GeneOnly]&amp;mk=2066811:2066830|offset_7|00cc00,2066832:2066851|offset_28|444444,2066863:2066882|offset_59|444444,2066909:2066928|offset_105|444444&amp;v=2066610:2067128&amp;c=444444", "offset 7")</f>
        <v>offset 7</v>
      </c>
    </row>
    <row r="7362" customFormat="false" ht="12.8" hidden="false" customHeight="false" outlineLevel="0" collapsed="false">
      <c r="A7362" s="0" t="s">
        <v>12</v>
      </c>
      <c r="B7362" s="0" t="n">
        <v>2066831</v>
      </c>
      <c r="C7362" s="0" t="n">
        <v>2066851</v>
      </c>
      <c r="D7362" s="0" t="s">
        <v>24611</v>
      </c>
      <c r="E7362" s="0" t="s">
        <v>24612</v>
      </c>
      <c r="F7362" s="0" t="s">
        <v>15</v>
      </c>
      <c r="G7362" s="0" t="s">
        <v>16</v>
      </c>
      <c r="H7362" s="0" t="n">
        <v>28</v>
      </c>
      <c r="I7362" s="0" t="s">
        <v>24616</v>
      </c>
      <c r="J7362" s="0" t="s">
        <v>24617</v>
      </c>
      <c r="K7362" s="0" t="s">
        <v>24618</v>
      </c>
      <c r="L7362" s="0" t="str">
        <f aca="false">HYPERLINK("https://www.ncbi.nlm.nih.gov/nuccore/CP000304.1?report=graph&amp;tracks=[key:gene_model_track,Options:GeneOnly]&amp;mk=2066811:2066830|offset_7|444444,2066832:2066851|offset_28|00cc00,2066863:2066882|offset_59|444444,2066909:2066928|offset_105|444444&amp;v=2066610:2067128&amp;c=444444", "offset 28")</f>
        <v>offset 28</v>
      </c>
    </row>
    <row r="7363" customFormat="false" ht="12.8" hidden="false" customHeight="false" outlineLevel="0" collapsed="false">
      <c r="A7363" s="0" t="s">
        <v>12</v>
      </c>
      <c r="B7363" s="0" t="n">
        <v>2066862</v>
      </c>
      <c r="C7363" s="0" t="n">
        <v>2066882</v>
      </c>
      <c r="D7363" s="0" t="s">
        <v>24611</v>
      </c>
      <c r="E7363" s="0" t="s">
        <v>24612</v>
      </c>
      <c r="F7363" s="0" t="s">
        <v>15</v>
      </c>
      <c r="G7363" s="0" t="s">
        <v>26</v>
      </c>
      <c r="H7363" s="0" t="n">
        <v>59</v>
      </c>
      <c r="I7363" s="0" t="s">
        <v>24619</v>
      </c>
      <c r="J7363" s="0" t="s">
        <v>24620</v>
      </c>
      <c r="K7363" s="0" t="s">
        <v>24621</v>
      </c>
      <c r="L7363" s="0" t="str">
        <f aca="false">HYPERLINK("https://www.ncbi.nlm.nih.gov/nuccore/CP000304.1?report=graph&amp;tracks=[key:gene_model_track,Options:GeneOnly]&amp;mk=2066811:2066830|offset_7|444444,2066832:2066851|offset_28|444444,2066863:2066882|offset_59|00cc00,2066909:2066928|offset_105|444444&amp;v=2066610:2067128&amp;c=444444", "offset 59")</f>
        <v>offset 59</v>
      </c>
    </row>
    <row r="7364" customFormat="false" ht="12.8" hidden="false" customHeight="false" outlineLevel="0" collapsed="false">
      <c r="A7364" s="0" t="s">
        <v>12</v>
      </c>
      <c r="B7364" s="0" t="n">
        <v>2066908</v>
      </c>
      <c r="C7364" s="0" t="n">
        <v>2066928</v>
      </c>
      <c r="D7364" s="0" t="s">
        <v>24611</v>
      </c>
      <c r="E7364" s="0" t="s">
        <v>24612</v>
      </c>
      <c r="F7364" s="0" t="s">
        <v>15</v>
      </c>
      <c r="G7364" s="0" t="s">
        <v>26</v>
      </c>
      <c r="H7364" s="0" t="n">
        <v>105</v>
      </c>
      <c r="I7364" s="0" t="s">
        <v>24622</v>
      </c>
      <c r="J7364" s="0" t="s">
        <v>24623</v>
      </c>
      <c r="K7364" s="0" t="s">
        <v>24624</v>
      </c>
      <c r="L7364" s="0" t="str">
        <f aca="false">HYPERLINK("https://www.ncbi.nlm.nih.gov/nuccore/CP000304.1?report=graph&amp;tracks=[key:gene_model_track,Options:GeneOnly]&amp;mk=2066811:2066830|offset_7|444444,2066832:2066851|offset_28|444444,2066863:2066882|offset_59|444444,2066909:2066928|offset_105|00cc00&amp;v=2066610:2067128&amp;c=444444", "offset 105")</f>
        <v>offset 105</v>
      </c>
    </row>
    <row r="7365" customFormat="false" ht="12.8" hidden="false" customHeight="false" outlineLevel="0" collapsed="false">
      <c r="A7365" s="0" t="s">
        <v>12</v>
      </c>
      <c r="B7365" s="0" t="n">
        <v>2067923</v>
      </c>
      <c r="C7365" s="0" t="n">
        <v>2067943</v>
      </c>
      <c r="D7365" s="0" t="s">
        <v>24625</v>
      </c>
      <c r="E7365" s="0" t="s">
        <v>89</v>
      </c>
      <c r="F7365" s="0" t="s">
        <v>15</v>
      </c>
      <c r="G7365" s="0" t="s">
        <v>36</v>
      </c>
      <c r="H7365" s="0" t="n">
        <v>0</v>
      </c>
      <c r="I7365" s="0" t="s">
        <v>24626</v>
      </c>
      <c r="J7365" s="0" t="s">
        <v>24627</v>
      </c>
      <c r="K7365" s="0" t="s">
        <v>24628</v>
      </c>
      <c r="L7365" s="0" t="str">
        <f aca="false">HYPERLINK("https://www.ncbi.nlm.nih.gov/nuccore/CP000304.1?report=graph&amp;tracks=[key:gene_model_track,Options:GeneOnly]&amp;mk=2067924:2067943|offset_0|00cc00,2067958:2067977|offset_34|444444,2067980:2067999|offset_56|444444,2068003:2068022|offset_79|444444&amp;v=2067723:2068222&amp;c=444444", "offset 0")</f>
        <v>offset 0</v>
      </c>
    </row>
    <row r="7366" customFormat="false" ht="12.8" hidden="false" customHeight="false" outlineLevel="0" collapsed="false">
      <c r="A7366" s="0" t="s">
        <v>12</v>
      </c>
      <c r="B7366" s="0" t="n">
        <v>2067957</v>
      </c>
      <c r="C7366" s="0" t="n">
        <v>2067977</v>
      </c>
      <c r="D7366" s="0" t="s">
        <v>24625</v>
      </c>
      <c r="E7366" s="0" t="s">
        <v>89</v>
      </c>
      <c r="F7366" s="0" t="s">
        <v>15</v>
      </c>
      <c r="G7366" s="0" t="s">
        <v>16</v>
      </c>
      <c r="H7366" s="0" t="n">
        <v>34</v>
      </c>
      <c r="I7366" s="0" t="s">
        <v>24629</v>
      </c>
      <c r="J7366" s="0" t="s">
        <v>24630</v>
      </c>
      <c r="K7366" s="0" t="s">
        <v>24631</v>
      </c>
      <c r="L7366" s="0" t="str">
        <f aca="false">HYPERLINK("https://www.ncbi.nlm.nih.gov/nuccore/CP000304.1?report=graph&amp;tracks=[key:gene_model_track,Options:GeneOnly]&amp;mk=2067924:2067943|offset_0|444444,2067958:2067977|offset_34|00cc00,2067980:2067999|offset_56|444444,2068003:2068022|offset_79|444444&amp;v=2067723:2068222&amp;c=444444", "offset 34")</f>
        <v>offset 34</v>
      </c>
    </row>
    <row r="7367" customFormat="false" ht="12.8" hidden="false" customHeight="false" outlineLevel="0" collapsed="false">
      <c r="A7367" s="0" t="s">
        <v>12</v>
      </c>
      <c r="B7367" s="0" t="n">
        <v>2067979</v>
      </c>
      <c r="C7367" s="0" t="n">
        <v>2067999</v>
      </c>
      <c r="D7367" s="0" t="s">
        <v>24625</v>
      </c>
      <c r="E7367" s="0" t="s">
        <v>89</v>
      </c>
      <c r="F7367" s="0" t="s">
        <v>15</v>
      </c>
      <c r="G7367" s="0" t="s">
        <v>16</v>
      </c>
      <c r="H7367" s="0" t="n">
        <v>56</v>
      </c>
      <c r="I7367" s="0" t="s">
        <v>24632</v>
      </c>
      <c r="J7367" s="0" t="s">
        <v>24633</v>
      </c>
      <c r="K7367" s="0" t="s">
        <v>24634</v>
      </c>
      <c r="L7367" s="0" t="str">
        <f aca="false">HYPERLINK("https://www.ncbi.nlm.nih.gov/nuccore/CP000304.1?report=graph&amp;tracks=[key:gene_model_track,Options:GeneOnly]&amp;mk=2067924:2067943|offset_0|444444,2067958:2067977|offset_34|444444,2067980:2067999|offset_56|00cc00,2068003:2068022|offset_79|444444&amp;v=2067723:2068222&amp;c=444444", "offset 56")</f>
        <v>offset 56</v>
      </c>
    </row>
    <row r="7368" customFormat="false" ht="12.8" hidden="false" customHeight="false" outlineLevel="0" collapsed="false">
      <c r="A7368" s="0" t="s">
        <v>12</v>
      </c>
      <c r="B7368" s="0" t="n">
        <v>2068002</v>
      </c>
      <c r="C7368" s="0" t="n">
        <v>2068022</v>
      </c>
      <c r="D7368" s="0" t="s">
        <v>24625</v>
      </c>
      <c r="E7368" s="0" t="s">
        <v>89</v>
      </c>
      <c r="F7368" s="0" t="s">
        <v>15</v>
      </c>
      <c r="G7368" s="0" t="s">
        <v>16</v>
      </c>
      <c r="H7368" s="0" t="n">
        <v>79</v>
      </c>
      <c r="I7368" s="0" t="s">
        <v>24635</v>
      </c>
      <c r="J7368" s="0" t="s">
        <v>24636</v>
      </c>
      <c r="K7368" s="0" t="s">
        <v>24637</v>
      </c>
      <c r="L7368" s="0" t="str">
        <f aca="false">HYPERLINK("https://www.ncbi.nlm.nih.gov/nuccore/CP000304.1?report=graph&amp;tracks=[key:gene_model_track,Options:GeneOnly]&amp;mk=2067924:2067943|offset_0|444444,2067958:2067977|offset_34|444444,2067980:2067999|offset_56|444444,2068003:2068022|offset_79|00cc00&amp;v=2067723:2068222&amp;c=444444", "offset 79")</f>
        <v>offset 79</v>
      </c>
    </row>
    <row r="7369" customFormat="false" ht="12.8" hidden="false" customHeight="false" outlineLevel="0" collapsed="false">
      <c r="A7369" s="0" t="s">
        <v>12</v>
      </c>
      <c r="B7369" s="0" t="n">
        <v>2069185</v>
      </c>
      <c r="C7369" s="0" t="n">
        <v>2069205</v>
      </c>
      <c r="D7369" s="0" t="s">
        <v>24638</v>
      </c>
      <c r="E7369" s="0" t="s">
        <v>24639</v>
      </c>
      <c r="F7369" s="0" t="s">
        <v>15</v>
      </c>
      <c r="G7369" s="0" t="s">
        <v>32</v>
      </c>
      <c r="H7369" s="0" t="n">
        <v>9</v>
      </c>
      <c r="I7369" s="0" t="s">
        <v>24640</v>
      </c>
      <c r="J7369" s="0" t="s">
        <v>24641</v>
      </c>
      <c r="K7369" s="0" t="s">
        <v>24642</v>
      </c>
      <c r="L7369" s="0" t="str">
        <f aca="false">HYPERLINK("https://www.ncbi.nlm.nih.gov/nuccore/CP000304.1?report=graph&amp;tracks=[key:gene_model_track,Options:GeneOnly]&amp;mk=2069186:2069205|offset_9|00cc00,2069207:2069226|offset_30|444444,2069227:2069246|offset_50|444444,2069247:2069266|offset_70|444444&amp;v=2068985:2069466&amp;c=444444", "offset 9")</f>
        <v>offset 9</v>
      </c>
    </row>
    <row r="7370" customFormat="false" ht="12.8" hidden="false" customHeight="false" outlineLevel="0" collapsed="false">
      <c r="A7370" s="0" t="s">
        <v>12</v>
      </c>
      <c r="B7370" s="0" t="n">
        <v>2069206</v>
      </c>
      <c r="C7370" s="0" t="n">
        <v>2069226</v>
      </c>
      <c r="D7370" s="0" t="s">
        <v>24638</v>
      </c>
      <c r="E7370" s="0" t="s">
        <v>24639</v>
      </c>
      <c r="F7370" s="0" t="s">
        <v>15</v>
      </c>
      <c r="G7370" s="0" t="s">
        <v>16</v>
      </c>
      <c r="H7370" s="0" t="n">
        <v>30</v>
      </c>
      <c r="I7370" s="0" t="s">
        <v>24643</v>
      </c>
      <c r="J7370" s="0" t="s">
        <v>24644</v>
      </c>
      <c r="K7370" s="0" t="s">
        <v>24645</v>
      </c>
      <c r="L7370" s="0" t="str">
        <f aca="false">HYPERLINK("https://www.ncbi.nlm.nih.gov/nuccore/CP000304.1?report=graph&amp;tracks=[key:gene_model_track,Options:GeneOnly]&amp;mk=2069186:2069205|offset_9|444444,2069207:2069226|offset_30|00cc00,2069227:2069246|offset_50|444444,2069247:2069266|offset_70|444444&amp;v=2068985:2069466&amp;c=444444", "offset 30")</f>
        <v>offset 30</v>
      </c>
    </row>
    <row r="7371" customFormat="false" ht="12.8" hidden="false" customHeight="false" outlineLevel="0" collapsed="false">
      <c r="A7371" s="0" t="s">
        <v>12</v>
      </c>
      <c r="B7371" s="0" t="n">
        <v>2069226</v>
      </c>
      <c r="C7371" s="0" t="n">
        <v>2069246</v>
      </c>
      <c r="D7371" s="0" t="s">
        <v>24638</v>
      </c>
      <c r="E7371" s="0" t="s">
        <v>24639</v>
      </c>
      <c r="F7371" s="0" t="s">
        <v>15</v>
      </c>
      <c r="G7371" s="0" t="s">
        <v>26</v>
      </c>
      <c r="H7371" s="0" t="n">
        <v>50</v>
      </c>
      <c r="I7371" s="0" t="s">
        <v>24646</v>
      </c>
      <c r="J7371" s="0" t="s">
        <v>24647</v>
      </c>
      <c r="K7371" s="0" t="s">
        <v>24648</v>
      </c>
      <c r="L7371" s="0" t="str">
        <f aca="false">HYPERLINK("https://www.ncbi.nlm.nih.gov/nuccore/CP000304.1?report=graph&amp;tracks=[key:gene_model_track,Options:GeneOnly]&amp;mk=2069186:2069205|offset_9|444444,2069207:2069226|offset_30|444444,2069227:2069246|offset_50|00cc00,2069247:2069266|offset_70|444444&amp;v=2068985:2069466&amp;c=444444", "offset 50")</f>
        <v>offset 50</v>
      </c>
    </row>
    <row r="7372" customFormat="false" ht="12.8" hidden="false" customHeight="false" outlineLevel="0" collapsed="false">
      <c r="A7372" s="0" t="s">
        <v>12</v>
      </c>
      <c r="B7372" s="0" t="n">
        <v>2069246</v>
      </c>
      <c r="C7372" s="0" t="n">
        <v>2069266</v>
      </c>
      <c r="D7372" s="0" t="s">
        <v>24638</v>
      </c>
      <c r="E7372" s="0" t="s">
        <v>24639</v>
      </c>
      <c r="F7372" s="0" t="s">
        <v>15</v>
      </c>
      <c r="G7372" s="0" t="s">
        <v>36</v>
      </c>
      <c r="H7372" s="0" t="n">
        <v>70</v>
      </c>
      <c r="I7372" s="0" t="s">
        <v>24649</v>
      </c>
      <c r="J7372" s="0" t="s">
        <v>24650</v>
      </c>
      <c r="K7372" s="0" t="s">
        <v>24651</v>
      </c>
      <c r="L7372" s="0" t="str">
        <f aca="false">HYPERLINK("https://www.ncbi.nlm.nih.gov/nuccore/CP000304.1?report=graph&amp;tracks=[key:gene_model_track,Options:GeneOnly]&amp;mk=2069186:2069205|offset_9|444444,2069207:2069226|offset_30|444444,2069227:2069246|offset_50|444444,2069247:2069266|offset_70|00cc00&amp;v=2068985:2069466&amp;c=444444", "offset 70")</f>
        <v>offset 70</v>
      </c>
    </row>
    <row r="7373" customFormat="false" ht="12.8" hidden="false" customHeight="false" outlineLevel="0" collapsed="false">
      <c r="A7373" s="0" t="s">
        <v>12</v>
      </c>
      <c r="B7373" s="0" t="n">
        <v>2070883</v>
      </c>
      <c r="C7373" s="0" t="n">
        <v>2070903</v>
      </c>
      <c r="D7373" s="0" t="s">
        <v>24652</v>
      </c>
      <c r="E7373" s="0" t="s">
        <v>89</v>
      </c>
      <c r="F7373" s="0" t="s">
        <v>15</v>
      </c>
      <c r="G7373" s="0" t="s">
        <v>36</v>
      </c>
      <c r="H7373" s="0" t="n">
        <v>0</v>
      </c>
      <c r="I7373" s="0" t="s">
        <v>24653</v>
      </c>
      <c r="J7373" s="0" t="s">
        <v>24654</v>
      </c>
      <c r="K7373" s="0" t="s">
        <v>24655</v>
      </c>
      <c r="L7373" s="0" t="str">
        <f aca="false">HYPERLINK("https://www.ncbi.nlm.nih.gov/nuccore/CP000304.1?report=graph&amp;tracks=[key:gene_model_track,Options:GeneOnly]&amp;mk=2070884:2070903|offset_0|00cc00,2070906:2070925|offset_22|444444,2070948:2070967|offset_64|444444,2070975:2070994|offset_91|444444&amp;v=2070683:2071194&amp;c=444444", "offset 0")</f>
        <v>offset 0</v>
      </c>
    </row>
    <row r="7374" customFormat="false" ht="12.8" hidden="false" customHeight="false" outlineLevel="0" collapsed="false">
      <c r="A7374" s="0" t="s">
        <v>12</v>
      </c>
      <c r="B7374" s="0" t="n">
        <v>2070905</v>
      </c>
      <c r="C7374" s="0" t="n">
        <v>2070925</v>
      </c>
      <c r="D7374" s="0" t="s">
        <v>24652</v>
      </c>
      <c r="E7374" s="0" t="s">
        <v>89</v>
      </c>
      <c r="F7374" s="0" t="s">
        <v>15</v>
      </c>
      <c r="G7374" s="0" t="s">
        <v>36</v>
      </c>
      <c r="H7374" s="0" t="n">
        <v>22</v>
      </c>
      <c r="I7374" s="0" t="s">
        <v>24656</v>
      </c>
      <c r="J7374" s="0" t="s">
        <v>24657</v>
      </c>
      <c r="K7374" s="0" t="s">
        <v>24658</v>
      </c>
      <c r="L7374" s="0" t="str">
        <f aca="false">HYPERLINK("https://www.ncbi.nlm.nih.gov/nuccore/CP000304.1?report=graph&amp;tracks=[key:gene_model_track,Options:GeneOnly]&amp;mk=2070884:2070903|offset_0|444444,2070906:2070925|offset_22|00cc00,2070948:2070967|offset_64|444444,2070975:2070994|offset_91|444444&amp;v=2070683:2071194&amp;c=444444", "offset 22")</f>
        <v>offset 22</v>
      </c>
    </row>
    <row r="7375" customFormat="false" ht="12.8" hidden="false" customHeight="false" outlineLevel="0" collapsed="false">
      <c r="A7375" s="0" t="s">
        <v>12</v>
      </c>
      <c r="B7375" s="0" t="n">
        <v>2070947</v>
      </c>
      <c r="C7375" s="0" t="n">
        <v>2070967</v>
      </c>
      <c r="D7375" s="0" t="s">
        <v>24652</v>
      </c>
      <c r="E7375" s="0" t="s">
        <v>89</v>
      </c>
      <c r="F7375" s="0" t="s">
        <v>15</v>
      </c>
      <c r="G7375" s="0" t="s">
        <v>16</v>
      </c>
      <c r="H7375" s="0" t="n">
        <v>64</v>
      </c>
      <c r="I7375" s="0" t="s">
        <v>24659</v>
      </c>
      <c r="J7375" s="0" t="s">
        <v>24660</v>
      </c>
      <c r="K7375" s="0" t="s">
        <v>24661</v>
      </c>
      <c r="L7375" s="0" t="str">
        <f aca="false">HYPERLINK("https://www.ncbi.nlm.nih.gov/nuccore/CP000304.1?report=graph&amp;tracks=[key:gene_model_track,Options:GeneOnly]&amp;mk=2070884:2070903|offset_0|444444,2070906:2070925|offset_22|444444,2070948:2070967|offset_64|00cc00,2070975:2070994|offset_91|444444&amp;v=2070683:2071194&amp;c=444444", "offset 64")</f>
        <v>offset 64</v>
      </c>
    </row>
    <row r="7376" customFormat="false" ht="12.8" hidden="false" customHeight="false" outlineLevel="0" collapsed="false">
      <c r="A7376" s="0" t="s">
        <v>12</v>
      </c>
      <c r="B7376" s="0" t="n">
        <v>2070974</v>
      </c>
      <c r="C7376" s="0" t="n">
        <v>2070994</v>
      </c>
      <c r="D7376" s="0" t="s">
        <v>24652</v>
      </c>
      <c r="E7376" s="0" t="s">
        <v>89</v>
      </c>
      <c r="F7376" s="0" t="s">
        <v>15</v>
      </c>
      <c r="G7376" s="0" t="s">
        <v>32</v>
      </c>
      <c r="H7376" s="0" t="n">
        <v>91</v>
      </c>
      <c r="I7376" s="0" t="s">
        <v>24662</v>
      </c>
      <c r="J7376" s="0" t="s">
        <v>24663</v>
      </c>
      <c r="K7376" s="0" t="s">
        <v>24664</v>
      </c>
      <c r="L7376" s="0" t="str">
        <f aca="false">HYPERLINK("https://www.ncbi.nlm.nih.gov/nuccore/CP000304.1?report=graph&amp;tracks=[key:gene_model_track,Options:GeneOnly]&amp;mk=2070884:2070903|offset_0|444444,2070906:2070925|offset_22|444444,2070948:2070967|offset_64|444444,2070975:2070994|offset_91|00cc00&amp;v=2070683:2071194&amp;c=444444", "offset 91")</f>
        <v>offset 91</v>
      </c>
    </row>
    <row r="7377" customFormat="false" ht="12.8" hidden="false" customHeight="false" outlineLevel="0" collapsed="false">
      <c r="A7377" s="0" t="s">
        <v>12</v>
      </c>
      <c r="B7377" s="0" t="n">
        <v>2072308</v>
      </c>
      <c r="C7377" s="0" t="n">
        <v>2072328</v>
      </c>
      <c r="D7377" s="0" t="s">
        <v>24665</v>
      </c>
      <c r="E7377" s="0" t="s">
        <v>89</v>
      </c>
      <c r="F7377" s="0" t="s">
        <v>15</v>
      </c>
      <c r="G7377" s="0" t="s">
        <v>16</v>
      </c>
      <c r="H7377" s="0" t="n">
        <v>64</v>
      </c>
      <c r="I7377" s="0" t="s">
        <v>24666</v>
      </c>
      <c r="J7377" s="0" t="s">
        <v>24667</v>
      </c>
      <c r="K7377" s="0" t="s">
        <v>24668</v>
      </c>
      <c r="L7377" s="0" t="str">
        <f aca="false">HYPERLINK("https://www.ncbi.nlm.nih.gov/nuccore/CP000304.1?report=graph&amp;tracks=[key:gene_model_track,Options:GeneOnly]&amp;mk=2072309:2072328|offset_64|00cc00,2072346:2072365|offset_101|444444,2072408:2072427|offset_163|444444,2072440:2072459|offset_195|444444&amp;v=2072108:2072659&amp;c=444444", "offset 64")</f>
        <v>offset 64</v>
      </c>
    </row>
    <row r="7378" customFormat="false" ht="12.8" hidden="false" customHeight="false" outlineLevel="0" collapsed="false">
      <c r="A7378" s="0" t="s">
        <v>12</v>
      </c>
      <c r="B7378" s="0" t="n">
        <v>2072345</v>
      </c>
      <c r="C7378" s="0" t="n">
        <v>2072365</v>
      </c>
      <c r="D7378" s="0" t="s">
        <v>24665</v>
      </c>
      <c r="E7378" s="0" t="s">
        <v>89</v>
      </c>
      <c r="F7378" s="0" t="s">
        <v>15</v>
      </c>
      <c r="G7378" s="0" t="s">
        <v>26</v>
      </c>
      <c r="H7378" s="0" t="n">
        <v>101</v>
      </c>
      <c r="I7378" s="0" t="s">
        <v>24669</v>
      </c>
      <c r="J7378" s="0" t="s">
        <v>24670</v>
      </c>
      <c r="K7378" s="0" t="s">
        <v>24671</v>
      </c>
      <c r="L7378" s="0" t="str">
        <f aca="false">HYPERLINK("https://www.ncbi.nlm.nih.gov/nuccore/CP000304.1?report=graph&amp;tracks=[key:gene_model_track,Options:GeneOnly]&amp;mk=2072309:2072328|offset_64|444444,2072346:2072365|offset_101|00cc00,2072408:2072427|offset_163|444444,2072440:2072459|offset_195|444444&amp;v=2072108:2072659&amp;c=444444", "offset 101")</f>
        <v>offset 101</v>
      </c>
    </row>
    <row r="7379" customFormat="false" ht="12.8" hidden="false" customHeight="false" outlineLevel="0" collapsed="false">
      <c r="A7379" s="0" t="s">
        <v>12</v>
      </c>
      <c r="B7379" s="0" t="n">
        <v>2072407</v>
      </c>
      <c r="C7379" s="0" t="n">
        <v>2072427</v>
      </c>
      <c r="D7379" s="0" t="s">
        <v>24665</v>
      </c>
      <c r="E7379" s="0" t="s">
        <v>89</v>
      </c>
      <c r="F7379" s="0" t="s">
        <v>15</v>
      </c>
      <c r="G7379" s="0" t="s">
        <v>26</v>
      </c>
      <c r="H7379" s="0" t="n">
        <v>163</v>
      </c>
      <c r="I7379" s="0" t="s">
        <v>24672</v>
      </c>
      <c r="J7379" s="0" t="s">
        <v>24673</v>
      </c>
      <c r="K7379" s="0" t="s">
        <v>24674</v>
      </c>
      <c r="L7379" s="0" t="str">
        <f aca="false">HYPERLINK("https://www.ncbi.nlm.nih.gov/nuccore/CP000304.1?report=graph&amp;tracks=[key:gene_model_track,Options:GeneOnly]&amp;mk=2072309:2072328|offset_64|444444,2072346:2072365|offset_101|444444,2072408:2072427|offset_163|00cc00,2072440:2072459|offset_195|444444&amp;v=2072108:2072659&amp;c=444444", "offset 163")</f>
        <v>offset 163</v>
      </c>
    </row>
    <row r="7380" customFormat="false" ht="12.8" hidden="false" customHeight="false" outlineLevel="0" collapsed="false">
      <c r="A7380" s="0" t="s">
        <v>12</v>
      </c>
      <c r="B7380" s="0" t="n">
        <v>2072439</v>
      </c>
      <c r="C7380" s="0" t="n">
        <v>2072459</v>
      </c>
      <c r="D7380" s="0" t="s">
        <v>24665</v>
      </c>
      <c r="E7380" s="0" t="s">
        <v>89</v>
      </c>
      <c r="F7380" s="0" t="s">
        <v>15</v>
      </c>
      <c r="G7380" s="0" t="s">
        <v>32</v>
      </c>
      <c r="H7380" s="0" t="n">
        <v>195</v>
      </c>
      <c r="I7380" s="0" t="s">
        <v>24675</v>
      </c>
      <c r="J7380" s="0" t="s">
        <v>24676</v>
      </c>
      <c r="K7380" s="0" t="s">
        <v>24677</v>
      </c>
      <c r="L7380" s="0" t="str">
        <f aca="false">HYPERLINK("https://www.ncbi.nlm.nih.gov/nuccore/CP000304.1?report=graph&amp;tracks=[key:gene_model_track,Options:GeneOnly]&amp;mk=2072309:2072328|offset_64|444444,2072346:2072365|offset_101|444444,2072408:2072427|offset_163|444444,2072440:2072459|offset_195|00cc00&amp;v=2072108:2072659&amp;c=444444", "offset 195")</f>
        <v>offset 195</v>
      </c>
    </row>
    <row r="7381" customFormat="false" ht="12.8" hidden="false" customHeight="false" outlineLevel="0" collapsed="false">
      <c r="A7381" s="0" t="s">
        <v>12</v>
      </c>
      <c r="B7381" s="0" t="n">
        <v>2073286</v>
      </c>
      <c r="C7381" s="0" t="n">
        <v>2073306</v>
      </c>
      <c r="D7381" s="0" t="s">
        <v>24678</v>
      </c>
      <c r="E7381" s="0" t="s">
        <v>89</v>
      </c>
      <c r="F7381" s="0" t="s">
        <v>15</v>
      </c>
      <c r="G7381" s="0" t="s">
        <v>16</v>
      </c>
      <c r="H7381" s="0" t="n">
        <v>22</v>
      </c>
      <c r="I7381" s="0" t="s">
        <v>24679</v>
      </c>
      <c r="J7381" s="0" t="s">
        <v>24680</v>
      </c>
      <c r="K7381" s="0" t="s">
        <v>24681</v>
      </c>
      <c r="L7381" s="0" t="str">
        <f aca="false">HYPERLINK("https://www.ncbi.nlm.nih.gov/nuccore/CP000304.1?report=graph&amp;tracks=[key:gene_model_track,Options:GeneOnly]&amp;mk=2073287:2073306|offset_22|00cc00,2073317:2073336|offset_52|444444,2073341:2073360|offset_76|444444,2073361:2073380|offset_96|444444&amp;v=2073086:2073580&amp;c=444444", "offset 22")</f>
        <v>offset 22</v>
      </c>
    </row>
    <row r="7382" customFormat="false" ht="12.8" hidden="false" customHeight="false" outlineLevel="0" collapsed="false">
      <c r="A7382" s="0" t="s">
        <v>12</v>
      </c>
      <c r="B7382" s="0" t="n">
        <v>2073316</v>
      </c>
      <c r="C7382" s="0" t="n">
        <v>2073336</v>
      </c>
      <c r="D7382" s="0" t="s">
        <v>24678</v>
      </c>
      <c r="E7382" s="0" t="s">
        <v>89</v>
      </c>
      <c r="F7382" s="0" t="s">
        <v>15</v>
      </c>
      <c r="G7382" s="0" t="s">
        <v>26</v>
      </c>
      <c r="H7382" s="0" t="n">
        <v>52</v>
      </c>
      <c r="I7382" s="0" t="s">
        <v>24682</v>
      </c>
      <c r="J7382" s="0" t="s">
        <v>24683</v>
      </c>
      <c r="K7382" s="0" t="s">
        <v>24684</v>
      </c>
      <c r="L7382" s="0" t="str">
        <f aca="false">HYPERLINK("https://www.ncbi.nlm.nih.gov/nuccore/CP000304.1?report=graph&amp;tracks=[key:gene_model_track,Options:GeneOnly]&amp;mk=2073287:2073306|offset_22|444444,2073317:2073336|offset_52|00cc00,2073341:2073360|offset_76|444444,2073361:2073380|offset_96|444444&amp;v=2073086:2073580&amp;c=444444", "offset 52")</f>
        <v>offset 52</v>
      </c>
    </row>
    <row r="7383" customFormat="false" ht="12.8" hidden="false" customHeight="false" outlineLevel="0" collapsed="false">
      <c r="A7383" s="0" t="s">
        <v>12</v>
      </c>
      <c r="B7383" s="0" t="n">
        <v>2073340</v>
      </c>
      <c r="C7383" s="0" t="n">
        <v>2073360</v>
      </c>
      <c r="D7383" s="0" t="s">
        <v>24678</v>
      </c>
      <c r="E7383" s="0" t="s">
        <v>89</v>
      </c>
      <c r="F7383" s="0" t="s">
        <v>15</v>
      </c>
      <c r="G7383" s="0" t="s">
        <v>36</v>
      </c>
      <c r="H7383" s="0" t="n">
        <v>76</v>
      </c>
      <c r="I7383" s="0" t="s">
        <v>24685</v>
      </c>
      <c r="J7383" s="0" t="s">
        <v>24686</v>
      </c>
      <c r="K7383" s="0" t="s">
        <v>24687</v>
      </c>
      <c r="L7383" s="0" t="str">
        <f aca="false">HYPERLINK("https://www.ncbi.nlm.nih.gov/nuccore/CP000304.1?report=graph&amp;tracks=[key:gene_model_track,Options:GeneOnly]&amp;mk=2073287:2073306|offset_22|444444,2073317:2073336|offset_52|444444,2073341:2073360|offset_76|00cc00,2073361:2073380|offset_96|444444&amp;v=2073086:2073580&amp;c=444444", "offset 76")</f>
        <v>offset 76</v>
      </c>
    </row>
    <row r="7384" customFormat="false" ht="12.8" hidden="false" customHeight="false" outlineLevel="0" collapsed="false">
      <c r="A7384" s="0" t="s">
        <v>12</v>
      </c>
      <c r="B7384" s="0" t="n">
        <v>2073360</v>
      </c>
      <c r="C7384" s="0" t="n">
        <v>2073380</v>
      </c>
      <c r="D7384" s="0" t="s">
        <v>24678</v>
      </c>
      <c r="E7384" s="0" t="s">
        <v>89</v>
      </c>
      <c r="F7384" s="0" t="s">
        <v>15</v>
      </c>
      <c r="G7384" s="0" t="s">
        <v>36</v>
      </c>
      <c r="H7384" s="0" t="n">
        <v>96</v>
      </c>
      <c r="I7384" s="0" t="s">
        <v>24688</v>
      </c>
      <c r="J7384" s="0" t="s">
        <v>24689</v>
      </c>
      <c r="K7384" s="0" t="s">
        <v>24690</v>
      </c>
      <c r="L7384" s="0" t="str">
        <f aca="false">HYPERLINK("https://www.ncbi.nlm.nih.gov/nuccore/CP000304.1?report=graph&amp;tracks=[key:gene_model_track,Options:GeneOnly]&amp;mk=2073287:2073306|offset_22|444444,2073317:2073336|offset_52|444444,2073341:2073360|offset_76|444444,2073361:2073380|offset_96|00cc00&amp;v=2073086:2073580&amp;c=444444", "offset 96")</f>
        <v>offset 96</v>
      </c>
    </row>
    <row r="7385" customFormat="false" ht="12.8" hidden="false" customHeight="false" outlineLevel="0" collapsed="false">
      <c r="A7385" s="0" t="s">
        <v>12</v>
      </c>
      <c r="B7385" s="0" t="n">
        <v>2075766</v>
      </c>
      <c r="C7385" s="0" t="n">
        <v>2075786</v>
      </c>
      <c r="D7385" s="0" t="s">
        <v>24691</v>
      </c>
      <c r="E7385" s="0" t="s">
        <v>24692</v>
      </c>
      <c r="F7385" s="0" t="s">
        <v>90</v>
      </c>
      <c r="G7385" s="0" t="s">
        <v>26</v>
      </c>
      <c r="H7385" s="0" t="n">
        <v>11</v>
      </c>
      <c r="I7385" s="0" t="s">
        <v>24693</v>
      </c>
      <c r="J7385" s="0" t="s">
        <v>24694</v>
      </c>
      <c r="K7385" s="0" t="s">
        <v>24695</v>
      </c>
      <c r="L7385" s="0" t="str">
        <f aca="false">HYPERLINK("https://www.ncbi.nlm.nih.gov/nuccore/CP000304.1?report=graph&amp;tracks=[key:gene_model_track,Options:GeneOnly]&amp;mk=2075767:2075786|offset_11|00cc00,2075737:2075756|offset_41|444444,2075714:2075733|offset_64|444444,2075684:2075703|offset_94|444444&amp;v=2075566:2075903&amp;c=444444", "offset 11")</f>
        <v>offset 11</v>
      </c>
    </row>
    <row r="7386" customFormat="false" ht="12.8" hidden="false" customHeight="false" outlineLevel="0" collapsed="false">
      <c r="A7386" s="0" t="s">
        <v>12</v>
      </c>
      <c r="B7386" s="0" t="n">
        <v>2075736</v>
      </c>
      <c r="C7386" s="0" t="n">
        <v>2075756</v>
      </c>
      <c r="D7386" s="0" t="s">
        <v>24691</v>
      </c>
      <c r="E7386" s="0" t="s">
        <v>24692</v>
      </c>
      <c r="F7386" s="0" t="s">
        <v>90</v>
      </c>
      <c r="G7386" s="0" t="s">
        <v>16</v>
      </c>
      <c r="H7386" s="0" t="n">
        <v>41</v>
      </c>
      <c r="I7386" s="0" t="s">
        <v>24696</v>
      </c>
      <c r="J7386" s="0" t="s">
        <v>24697</v>
      </c>
      <c r="K7386" s="0" t="s">
        <v>24698</v>
      </c>
      <c r="L7386" s="0" t="str">
        <f aca="false">HYPERLINK("https://www.ncbi.nlm.nih.gov/nuccore/CP000304.1?report=graph&amp;tracks=[key:gene_model_track,Options:GeneOnly]&amp;mk=2075767:2075786|offset_11|444444,2075737:2075756|offset_41|00cc00,2075714:2075733|offset_64|444444,2075684:2075703|offset_94|444444&amp;v=2075566:2075903&amp;c=444444", "offset 41")</f>
        <v>offset 41</v>
      </c>
    </row>
    <row r="7387" customFormat="false" ht="12.8" hidden="false" customHeight="false" outlineLevel="0" collapsed="false">
      <c r="A7387" s="0" t="s">
        <v>12</v>
      </c>
      <c r="B7387" s="0" t="n">
        <v>2075713</v>
      </c>
      <c r="C7387" s="0" t="n">
        <v>2075733</v>
      </c>
      <c r="D7387" s="0" t="s">
        <v>24691</v>
      </c>
      <c r="E7387" s="0" t="s">
        <v>24692</v>
      </c>
      <c r="F7387" s="0" t="s">
        <v>90</v>
      </c>
      <c r="G7387" s="0" t="s">
        <v>36</v>
      </c>
      <c r="H7387" s="0" t="n">
        <v>64</v>
      </c>
      <c r="I7387" s="0" t="s">
        <v>24699</v>
      </c>
      <c r="J7387" s="0" t="s">
        <v>24700</v>
      </c>
      <c r="K7387" s="0" t="s">
        <v>24701</v>
      </c>
      <c r="L7387" s="0" t="str">
        <f aca="false">HYPERLINK("https://www.ncbi.nlm.nih.gov/nuccore/CP000304.1?report=graph&amp;tracks=[key:gene_model_track,Options:GeneOnly]&amp;mk=2075767:2075786|offset_11|444444,2075737:2075756|offset_41|444444,2075714:2075733|offset_64|00cc00,2075684:2075703|offset_94|444444&amp;v=2075566:2075903&amp;c=444444", "offset 64")</f>
        <v>offset 64</v>
      </c>
    </row>
    <row r="7388" customFormat="false" ht="12.8" hidden="false" customHeight="false" outlineLevel="0" collapsed="false">
      <c r="A7388" s="0" t="s">
        <v>12</v>
      </c>
      <c r="B7388" s="0" t="n">
        <v>2075683</v>
      </c>
      <c r="C7388" s="0" t="n">
        <v>2075703</v>
      </c>
      <c r="D7388" s="0" t="s">
        <v>24691</v>
      </c>
      <c r="E7388" s="0" t="s">
        <v>24692</v>
      </c>
      <c r="F7388" s="0" t="s">
        <v>90</v>
      </c>
      <c r="G7388" s="0" t="s">
        <v>26</v>
      </c>
      <c r="H7388" s="0" t="n">
        <v>94</v>
      </c>
      <c r="I7388" s="0" t="s">
        <v>24702</v>
      </c>
      <c r="J7388" s="0" t="s">
        <v>24703</v>
      </c>
      <c r="K7388" s="0" t="s">
        <v>24704</v>
      </c>
      <c r="L7388" s="0" t="str">
        <f aca="false">HYPERLINK("https://www.ncbi.nlm.nih.gov/nuccore/CP000304.1?report=graph&amp;tracks=[key:gene_model_track,Options:GeneOnly]&amp;mk=2075767:2075786|offset_11|444444,2075737:2075756|offset_41|444444,2075714:2075733|offset_64|444444,2075684:2075703|offset_94|00cc00&amp;v=2075566:2075903&amp;c=444444", "offset 94")</f>
        <v>offset 94</v>
      </c>
    </row>
    <row r="7389" customFormat="false" ht="12.8" hidden="false" customHeight="false" outlineLevel="0" collapsed="false">
      <c r="A7389" s="0" t="s">
        <v>12</v>
      </c>
      <c r="B7389" s="0" t="n">
        <v>2076908</v>
      </c>
      <c r="C7389" s="0" t="n">
        <v>2076928</v>
      </c>
      <c r="D7389" s="0" t="s">
        <v>24705</v>
      </c>
      <c r="E7389" s="0" t="s">
        <v>89</v>
      </c>
      <c r="F7389" s="0" t="s">
        <v>90</v>
      </c>
      <c r="G7389" s="0" t="s">
        <v>32</v>
      </c>
      <c r="H7389" s="0" t="n">
        <v>1</v>
      </c>
      <c r="I7389" s="0" t="s">
        <v>24706</v>
      </c>
      <c r="J7389" s="0" t="s">
        <v>24707</v>
      </c>
      <c r="K7389" s="0" t="s">
        <v>24708</v>
      </c>
      <c r="L7389" s="0" t="str">
        <f aca="false">HYPERLINK("https://www.ncbi.nlm.nih.gov/nuccore/CP000304.1?report=graph&amp;tracks=[key:gene_model_track,Options:GeneOnly]&amp;mk=2076909:2076928|offset_1|00cc00,2076889:2076908|offset_21|444444,2076866:2076885|offset_44|444444,2076842:2076861|offset_68|444444&amp;v=2076708:2077061&amp;c=444444", "offset 1")</f>
        <v>offset 1</v>
      </c>
    </row>
    <row r="7390" customFormat="false" ht="12.8" hidden="false" customHeight="false" outlineLevel="0" collapsed="false">
      <c r="A7390" s="0" t="s">
        <v>12</v>
      </c>
      <c r="B7390" s="0" t="n">
        <v>2076888</v>
      </c>
      <c r="C7390" s="0" t="n">
        <v>2076908</v>
      </c>
      <c r="D7390" s="0" t="s">
        <v>24705</v>
      </c>
      <c r="E7390" s="0" t="s">
        <v>89</v>
      </c>
      <c r="F7390" s="0" t="s">
        <v>90</v>
      </c>
      <c r="G7390" s="0" t="s">
        <v>36</v>
      </c>
      <c r="H7390" s="0" t="n">
        <v>21</v>
      </c>
      <c r="I7390" s="0" t="s">
        <v>24709</v>
      </c>
      <c r="J7390" s="0" t="s">
        <v>24710</v>
      </c>
      <c r="K7390" s="0" t="s">
        <v>24711</v>
      </c>
      <c r="L7390" s="0" t="str">
        <f aca="false">HYPERLINK("https://www.ncbi.nlm.nih.gov/nuccore/CP000304.1?report=graph&amp;tracks=[key:gene_model_track,Options:GeneOnly]&amp;mk=2076909:2076928|offset_1|444444,2076889:2076908|offset_21|00cc00,2076866:2076885|offset_44|444444,2076842:2076861|offset_68|444444&amp;v=2076708:2077061&amp;c=444444", "offset 21")</f>
        <v>offset 21</v>
      </c>
    </row>
    <row r="7391" customFormat="false" ht="12.8" hidden="false" customHeight="false" outlineLevel="0" collapsed="false">
      <c r="A7391" s="0" t="s">
        <v>12</v>
      </c>
      <c r="B7391" s="0" t="n">
        <v>2076865</v>
      </c>
      <c r="C7391" s="0" t="n">
        <v>2076885</v>
      </c>
      <c r="D7391" s="0" t="s">
        <v>24705</v>
      </c>
      <c r="E7391" s="0" t="s">
        <v>89</v>
      </c>
      <c r="F7391" s="0" t="s">
        <v>90</v>
      </c>
      <c r="G7391" s="0" t="s">
        <v>32</v>
      </c>
      <c r="H7391" s="0" t="n">
        <v>44</v>
      </c>
      <c r="I7391" s="0" t="s">
        <v>24712</v>
      </c>
      <c r="J7391" s="0" t="s">
        <v>24713</v>
      </c>
      <c r="K7391" s="0" t="s">
        <v>24714</v>
      </c>
      <c r="L7391" s="0" t="str">
        <f aca="false">HYPERLINK("https://www.ncbi.nlm.nih.gov/nuccore/CP000304.1?report=graph&amp;tracks=[key:gene_model_track,Options:GeneOnly]&amp;mk=2076909:2076928|offset_1|444444,2076889:2076908|offset_21|444444,2076866:2076885|offset_44|00cc00,2076842:2076861|offset_68|444444&amp;v=2076708:2077061&amp;c=444444", "offset 44")</f>
        <v>offset 44</v>
      </c>
    </row>
    <row r="7392" customFormat="false" ht="12.8" hidden="false" customHeight="false" outlineLevel="0" collapsed="false">
      <c r="A7392" s="0" t="s">
        <v>12</v>
      </c>
      <c r="B7392" s="0" t="n">
        <v>2076841</v>
      </c>
      <c r="C7392" s="0" t="n">
        <v>2076861</v>
      </c>
      <c r="D7392" s="0" t="s">
        <v>24705</v>
      </c>
      <c r="E7392" s="0" t="s">
        <v>89</v>
      </c>
      <c r="F7392" s="0" t="s">
        <v>90</v>
      </c>
      <c r="G7392" s="0" t="s">
        <v>16</v>
      </c>
      <c r="H7392" s="0" t="n">
        <v>68</v>
      </c>
      <c r="I7392" s="0" t="s">
        <v>24715</v>
      </c>
      <c r="J7392" s="0" t="s">
        <v>24716</v>
      </c>
      <c r="K7392" s="0" t="s">
        <v>24717</v>
      </c>
      <c r="L7392" s="0" t="str">
        <f aca="false">HYPERLINK("https://www.ncbi.nlm.nih.gov/nuccore/CP000304.1?report=graph&amp;tracks=[key:gene_model_track,Options:GeneOnly]&amp;mk=2076909:2076928|offset_1|444444,2076889:2076908|offset_21|444444,2076866:2076885|offset_44|444444,2076842:2076861|offset_68|00cc00&amp;v=2076708:2077061&amp;c=444444", "offset 68")</f>
        <v>offset 68</v>
      </c>
    </row>
    <row r="7393" customFormat="false" ht="12.8" hidden="false" customHeight="false" outlineLevel="0" collapsed="false">
      <c r="A7393" s="0" t="s">
        <v>12</v>
      </c>
      <c r="B7393" s="0" t="n">
        <v>2077760</v>
      </c>
      <c r="C7393" s="0" t="n">
        <v>2077780</v>
      </c>
      <c r="D7393" s="0" t="s">
        <v>24718</v>
      </c>
      <c r="E7393" s="0" t="s">
        <v>24719</v>
      </c>
      <c r="F7393" s="0" t="s">
        <v>90</v>
      </c>
      <c r="G7393" s="0" t="s">
        <v>36</v>
      </c>
      <c r="H7393" s="0" t="n">
        <v>0</v>
      </c>
      <c r="I7393" s="0" t="s">
        <v>24720</v>
      </c>
      <c r="J7393" s="0" t="s">
        <v>24721</v>
      </c>
      <c r="K7393" s="0" t="s">
        <v>24722</v>
      </c>
      <c r="L7393" s="0" t="str">
        <f aca="false">HYPERLINK("https://www.ncbi.nlm.nih.gov/nuccore/CP000304.1?report=graph&amp;tracks=[key:gene_model_track,Options:GeneOnly]&amp;mk=2077761:2077780|offset_0|00cc00,2077732:2077751|offset_29|444444,2077711:2077730|offset_50|444444,2077676:2077695|offset_85|444444&amp;v=2077560:2077895&amp;c=444444", "offset 0")</f>
        <v>offset 0</v>
      </c>
    </row>
    <row r="7394" customFormat="false" ht="12.8" hidden="false" customHeight="false" outlineLevel="0" collapsed="false">
      <c r="A7394" s="0" t="s">
        <v>12</v>
      </c>
      <c r="B7394" s="0" t="n">
        <v>2077731</v>
      </c>
      <c r="C7394" s="0" t="n">
        <v>2077751</v>
      </c>
      <c r="D7394" s="0" t="s">
        <v>24718</v>
      </c>
      <c r="E7394" s="0" t="s">
        <v>24719</v>
      </c>
      <c r="F7394" s="0" t="s">
        <v>90</v>
      </c>
      <c r="G7394" s="0" t="s">
        <v>32</v>
      </c>
      <c r="H7394" s="0" t="n">
        <v>29</v>
      </c>
      <c r="I7394" s="0" t="s">
        <v>24723</v>
      </c>
      <c r="J7394" s="0" t="s">
        <v>24724</v>
      </c>
      <c r="K7394" s="0" t="s">
        <v>24725</v>
      </c>
      <c r="L7394" s="0" t="str">
        <f aca="false">HYPERLINK("https://www.ncbi.nlm.nih.gov/nuccore/CP000304.1?report=graph&amp;tracks=[key:gene_model_track,Options:GeneOnly]&amp;mk=2077761:2077780|offset_0|444444,2077732:2077751|offset_29|00cc00,2077711:2077730|offset_50|444444,2077676:2077695|offset_85|444444&amp;v=2077560:2077895&amp;c=444444", "offset 29")</f>
        <v>offset 29</v>
      </c>
    </row>
    <row r="7395" customFormat="false" ht="12.8" hidden="false" customHeight="false" outlineLevel="0" collapsed="false">
      <c r="A7395" s="0" t="s">
        <v>12</v>
      </c>
      <c r="B7395" s="0" t="n">
        <v>2077710</v>
      </c>
      <c r="C7395" s="0" t="n">
        <v>2077730</v>
      </c>
      <c r="D7395" s="0" t="s">
        <v>24718</v>
      </c>
      <c r="E7395" s="0" t="s">
        <v>24719</v>
      </c>
      <c r="F7395" s="0" t="s">
        <v>90</v>
      </c>
      <c r="G7395" s="0" t="s">
        <v>26</v>
      </c>
      <c r="H7395" s="0" t="n">
        <v>50</v>
      </c>
      <c r="I7395" s="0" t="s">
        <v>24726</v>
      </c>
      <c r="J7395" s="0" t="s">
        <v>24727</v>
      </c>
      <c r="K7395" s="0" t="s">
        <v>24728</v>
      </c>
      <c r="L7395" s="0" t="str">
        <f aca="false">HYPERLINK("https://www.ncbi.nlm.nih.gov/nuccore/CP000304.1?report=graph&amp;tracks=[key:gene_model_track,Options:GeneOnly]&amp;mk=2077761:2077780|offset_0|444444,2077732:2077751|offset_29|444444,2077711:2077730|offset_50|00cc00,2077676:2077695|offset_85|444444&amp;v=2077560:2077895&amp;c=444444", "offset 50")</f>
        <v>offset 50</v>
      </c>
    </row>
    <row r="7396" customFormat="false" ht="12.8" hidden="false" customHeight="false" outlineLevel="0" collapsed="false">
      <c r="A7396" s="0" t="s">
        <v>12</v>
      </c>
      <c r="B7396" s="0" t="n">
        <v>2077675</v>
      </c>
      <c r="C7396" s="0" t="n">
        <v>2077695</v>
      </c>
      <c r="D7396" s="0" t="s">
        <v>24718</v>
      </c>
      <c r="E7396" s="0" t="s">
        <v>24719</v>
      </c>
      <c r="F7396" s="0" t="s">
        <v>90</v>
      </c>
      <c r="G7396" s="0" t="s">
        <v>16</v>
      </c>
      <c r="H7396" s="0" t="n">
        <v>85</v>
      </c>
      <c r="I7396" s="0" t="s">
        <v>24729</v>
      </c>
      <c r="J7396" s="0" t="s">
        <v>24730</v>
      </c>
      <c r="K7396" s="0" t="s">
        <v>24731</v>
      </c>
      <c r="L7396" s="0" t="str">
        <f aca="false">HYPERLINK("https://www.ncbi.nlm.nih.gov/nuccore/CP000304.1?report=graph&amp;tracks=[key:gene_model_track,Options:GeneOnly]&amp;mk=2077761:2077780|offset_0|444444,2077732:2077751|offset_29|444444,2077711:2077730|offset_50|444444,2077676:2077695|offset_85|00cc00&amp;v=2077560:2077895&amp;c=444444", "offset 85")</f>
        <v>offset 85</v>
      </c>
    </row>
    <row r="7397" customFormat="false" ht="12.8" hidden="false" customHeight="false" outlineLevel="0" collapsed="false">
      <c r="A7397" s="0" t="s">
        <v>12</v>
      </c>
      <c r="B7397" s="0" t="n">
        <v>2078596</v>
      </c>
      <c r="C7397" s="0" t="n">
        <v>2078616</v>
      </c>
      <c r="D7397" s="0" t="s">
        <v>24732</v>
      </c>
      <c r="E7397" s="0" t="s">
        <v>24733</v>
      </c>
      <c r="F7397" s="0" t="s">
        <v>90</v>
      </c>
      <c r="G7397" s="0" t="s">
        <v>36</v>
      </c>
      <c r="H7397" s="0" t="n">
        <v>16</v>
      </c>
      <c r="I7397" s="0" t="s">
        <v>24734</v>
      </c>
      <c r="J7397" s="0" t="s">
        <v>24735</v>
      </c>
      <c r="K7397" s="0" t="s">
        <v>24736</v>
      </c>
      <c r="L7397" s="0" t="str">
        <f aca="false">HYPERLINK("https://www.ncbi.nlm.nih.gov/nuccore/CP000304.1?report=graph&amp;tracks=[key:gene_model_track,Options:GeneOnly]&amp;mk=2078597:2078616|offset_16|00cc00,2078558:2078577|offset_55|444444,2078500:2078519|offset_113|444444,2078477:2078496|offset_136|444444&amp;v=2078396:2078696&amp;c=444444", "offset 16")</f>
        <v>offset 16</v>
      </c>
    </row>
    <row r="7398" customFormat="false" ht="12.8" hidden="false" customHeight="false" outlineLevel="0" collapsed="false">
      <c r="A7398" s="0" t="s">
        <v>12</v>
      </c>
      <c r="B7398" s="0" t="n">
        <v>2078557</v>
      </c>
      <c r="C7398" s="0" t="n">
        <v>2078577</v>
      </c>
      <c r="D7398" s="0" t="s">
        <v>24732</v>
      </c>
      <c r="E7398" s="0" t="s">
        <v>24733</v>
      </c>
      <c r="F7398" s="0" t="s">
        <v>90</v>
      </c>
      <c r="G7398" s="0" t="s">
        <v>36</v>
      </c>
      <c r="H7398" s="0" t="n">
        <v>55</v>
      </c>
      <c r="I7398" s="0" t="s">
        <v>24737</v>
      </c>
      <c r="J7398" s="0" t="s">
        <v>24738</v>
      </c>
      <c r="K7398" s="0" t="s">
        <v>24739</v>
      </c>
      <c r="L7398" s="0" t="str">
        <f aca="false">HYPERLINK("https://www.ncbi.nlm.nih.gov/nuccore/CP000304.1?report=graph&amp;tracks=[key:gene_model_track,Options:GeneOnly]&amp;mk=2078597:2078616|offset_16|444444,2078558:2078577|offset_55|00cc00,2078500:2078519|offset_113|444444,2078477:2078496|offset_136|444444&amp;v=2078396:2078696&amp;c=444444", "offset 55")</f>
        <v>offset 55</v>
      </c>
    </row>
    <row r="7399" customFormat="false" ht="12.8" hidden="false" customHeight="false" outlineLevel="0" collapsed="false">
      <c r="A7399" s="0" t="s">
        <v>12</v>
      </c>
      <c r="B7399" s="0" t="n">
        <v>2078499</v>
      </c>
      <c r="C7399" s="0" t="n">
        <v>2078519</v>
      </c>
      <c r="D7399" s="0" t="s">
        <v>24732</v>
      </c>
      <c r="E7399" s="0" t="s">
        <v>24733</v>
      </c>
      <c r="F7399" s="0" t="s">
        <v>90</v>
      </c>
      <c r="G7399" s="0" t="s">
        <v>32</v>
      </c>
      <c r="H7399" s="0" t="n">
        <v>113</v>
      </c>
      <c r="I7399" s="0" t="s">
        <v>24740</v>
      </c>
      <c r="J7399" s="0" t="s">
        <v>24741</v>
      </c>
      <c r="K7399" s="0" t="s">
        <v>24742</v>
      </c>
      <c r="L7399" s="0" t="str">
        <f aca="false">HYPERLINK("https://www.ncbi.nlm.nih.gov/nuccore/CP000304.1?report=graph&amp;tracks=[key:gene_model_track,Options:GeneOnly]&amp;mk=2078597:2078616|offset_16|444444,2078558:2078577|offset_55|444444,2078500:2078519|offset_113|00cc00,2078477:2078496|offset_136|444444&amp;v=2078396:2078696&amp;c=444444", "offset 113")</f>
        <v>offset 113</v>
      </c>
    </row>
    <row r="7400" customFormat="false" ht="12.8" hidden="false" customHeight="false" outlineLevel="0" collapsed="false">
      <c r="A7400" s="0" t="s">
        <v>12</v>
      </c>
      <c r="B7400" s="0" t="n">
        <v>2078476</v>
      </c>
      <c r="C7400" s="0" t="n">
        <v>2078496</v>
      </c>
      <c r="D7400" s="0" t="s">
        <v>24732</v>
      </c>
      <c r="E7400" s="0" t="s">
        <v>24733</v>
      </c>
      <c r="F7400" s="0" t="s">
        <v>90</v>
      </c>
      <c r="G7400" s="0" t="s">
        <v>16</v>
      </c>
      <c r="H7400" s="0" t="n">
        <v>136</v>
      </c>
      <c r="I7400" s="0" t="s">
        <v>24743</v>
      </c>
      <c r="J7400" s="0" t="s">
        <v>24744</v>
      </c>
      <c r="K7400" s="0" t="s">
        <v>24745</v>
      </c>
      <c r="L7400" s="0" t="str">
        <f aca="false">HYPERLINK("https://www.ncbi.nlm.nih.gov/nuccore/CP000304.1?report=graph&amp;tracks=[key:gene_model_track,Options:GeneOnly]&amp;mk=2078597:2078616|offset_16|444444,2078558:2078577|offset_55|444444,2078500:2078519|offset_113|444444,2078477:2078496|offset_136|00cc00&amp;v=2078396:2078696&amp;c=444444", "offset 136")</f>
        <v>offset 136</v>
      </c>
    </row>
    <row r="7401" customFormat="false" ht="12.8" hidden="false" customHeight="false" outlineLevel="0" collapsed="false">
      <c r="A7401" s="0" t="s">
        <v>12</v>
      </c>
      <c r="B7401" s="0" t="n">
        <v>2080158</v>
      </c>
      <c r="C7401" s="0" t="n">
        <v>2080178</v>
      </c>
      <c r="D7401" s="0" t="s">
        <v>24746</v>
      </c>
      <c r="E7401" s="0" t="s">
        <v>24747</v>
      </c>
      <c r="F7401" s="0" t="s">
        <v>90</v>
      </c>
      <c r="G7401" s="0" t="s">
        <v>32</v>
      </c>
      <c r="H7401" s="0" t="n">
        <v>13</v>
      </c>
      <c r="I7401" s="0" t="s">
        <v>24748</v>
      </c>
      <c r="J7401" s="0" t="s">
        <v>24749</v>
      </c>
      <c r="K7401" s="0" t="s">
        <v>24750</v>
      </c>
      <c r="L7401" s="0" t="str">
        <f aca="false">HYPERLINK("https://www.ncbi.nlm.nih.gov/nuccore/CP000304.1?report=graph&amp;tracks=[key:gene_model_track,Options:GeneOnly]&amp;mk=2080159:2080178|offset_13|00cc00,2080105:2080124|offset_67|444444,2080077:2080096|offset_95|444444,2080046:2080065|offset_126|444444&amp;v=2079958:2080265&amp;c=444444", "offset 13")</f>
        <v>offset 13</v>
      </c>
    </row>
    <row r="7402" customFormat="false" ht="12.8" hidden="false" customHeight="false" outlineLevel="0" collapsed="false">
      <c r="A7402" s="0" t="s">
        <v>12</v>
      </c>
      <c r="B7402" s="0" t="n">
        <v>2080104</v>
      </c>
      <c r="C7402" s="0" t="n">
        <v>2080124</v>
      </c>
      <c r="D7402" s="0" t="s">
        <v>24746</v>
      </c>
      <c r="E7402" s="0" t="s">
        <v>24747</v>
      </c>
      <c r="F7402" s="0" t="s">
        <v>90</v>
      </c>
      <c r="G7402" s="0" t="s">
        <v>32</v>
      </c>
      <c r="H7402" s="0" t="n">
        <v>67</v>
      </c>
      <c r="I7402" s="0" t="s">
        <v>24751</v>
      </c>
      <c r="J7402" s="0" t="s">
        <v>24752</v>
      </c>
      <c r="K7402" s="0" t="s">
        <v>24753</v>
      </c>
      <c r="L7402" s="0" t="str">
        <f aca="false">HYPERLINK("https://www.ncbi.nlm.nih.gov/nuccore/CP000304.1?report=graph&amp;tracks=[key:gene_model_track,Options:GeneOnly]&amp;mk=2080159:2080178|offset_13|444444,2080105:2080124|offset_67|00cc00,2080077:2080096|offset_95|444444,2080046:2080065|offset_126|444444&amp;v=2079958:2080265&amp;c=444444", "offset 67")</f>
        <v>offset 67</v>
      </c>
    </row>
    <row r="7403" customFormat="false" ht="12.8" hidden="false" customHeight="false" outlineLevel="0" collapsed="false">
      <c r="A7403" s="0" t="s">
        <v>12</v>
      </c>
      <c r="B7403" s="0" t="n">
        <v>2080076</v>
      </c>
      <c r="C7403" s="0" t="n">
        <v>2080096</v>
      </c>
      <c r="D7403" s="0" t="s">
        <v>24746</v>
      </c>
      <c r="E7403" s="0" t="s">
        <v>24747</v>
      </c>
      <c r="F7403" s="0" t="s">
        <v>90</v>
      </c>
      <c r="G7403" s="0" t="s">
        <v>36</v>
      </c>
      <c r="H7403" s="0" t="n">
        <v>95</v>
      </c>
      <c r="I7403" s="0" t="s">
        <v>24754</v>
      </c>
      <c r="J7403" s="0" t="s">
        <v>24755</v>
      </c>
      <c r="K7403" s="0" t="s">
        <v>24756</v>
      </c>
      <c r="L7403" s="0" t="str">
        <f aca="false">HYPERLINK("https://www.ncbi.nlm.nih.gov/nuccore/CP000304.1?report=graph&amp;tracks=[key:gene_model_track,Options:GeneOnly]&amp;mk=2080159:2080178|offset_13|444444,2080105:2080124|offset_67|444444,2080077:2080096|offset_95|00cc00,2080046:2080065|offset_126|444444&amp;v=2079958:2080265&amp;c=444444", "offset 95")</f>
        <v>offset 95</v>
      </c>
    </row>
    <row r="7404" customFormat="false" ht="12.8" hidden="false" customHeight="false" outlineLevel="0" collapsed="false">
      <c r="A7404" s="0" t="s">
        <v>12</v>
      </c>
      <c r="B7404" s="0" t="n">
        <v>2080045</v>
      </c>
      <c r="C7404" s="0" t="n">
        <v>2080065</v>
      </c>
      <c r="D7404" s="0" t="s">
        <v>24746</v>
      </c>
      <c r="E7404" s="0" t="s">
        <v>24747</v>
      </c>
      <c r="F7404" s="0" t="s">
        <v>90</v>
      </c>
      <c r="G7404" s="0" t="s">
        <v>16</v>
      </c>
      <c r="H7404" s="0" t="n">
        <v>126</v>
      </c>
      <c r="I7404" s="0" t="s">
        <v>24757</v>
      </c>
      <c r="J7404" s="0" t="s">
        <v>24758</v>
      </c>
      <c r="K7404" s="0" t="s">
        <v>24759</v>
      </c>
      <c r="L7404" s="0" t="str">
        <f aca="false">HYPERLINK("https://www.ncbi.nlm.nih.gov/nuccore/CP000304.1?report=graph&amp;tracks=[key:gene_model_track,Options:GeneOnly]&amp;mk=2080159:2080178|offset_13|444444,2080105:2080124|offset_67|444444,2080077:2080096|offset_95|444444,2080046:2080065|offset_126|00cc00&amp;v=2079958:2080265&amp;c=444444", "offset 126")</f>
        <v>offset 126</v>
      </c>
    </row>
    <row r="7405" customFormat="false" ht="12.8" hidden="false" customHeight="false" outlineLevel="0" collapsed="false">
      <c r="A7405" s="0" t="s">
        <v>12</v>
      </c>
      <c r="B7405" s="0" t="n">
        <v>2080377</v>
      </c>
      <c r="C7405" s="0" t="n">
        <v>2080397</v>
      </c>
      <c r="D7405" s="0" t="s">
        <v>24760</v>
      </c>
      <c r="E7405" s="0" t="s">
        <v>89</v>
      </c>
      <c r="F7405" s="0" t="s">
        <v>15</v>
      </c>
      <c r="G7405" s="0" t="s">
        <v>26</v>
      </c>
      <c r="H7405" s="0" t="n">
        <v>29</v>
      </c>
      <c r="I7405" s="0" t="s">
        <v>24761</v>
      </c>
      <c r="J7405" s="0" t="s">
        <v>24762</v>
      </c>
      <c r="K7405" s="0" t="s">
        <v>24763</v>
      </c>
      <c r="L7405" s="0" t="str">
        <f aca="false">HYPERLINK("https://www.ncbi.nlm.nih.gov/nuccore/CP000304.1?report=graph&amp;tracks=[key:gene_model_track,Options:GeneOnly]&amp;mk=2080378:2080397|offset_29|00cc00,2080407:2080426|offset_58|444444,2080435:2080454|offset_86|444444,2080483:2080502|offset_134|444444&amp;v=2080177:2080702&amp;c=444444", "offset 29")</f>
        <v>offset 29</v>
      </c>
    </row>
    <row r="7406" customFormat="false" ht="12.8" hidden="false" customHeight="false" outlineLevel="0" collapsed="false">
      <c r="A7406" s="0" t="s">
        <v>12</v>
      </c>
      <c r="B7406" s="0" t="n">
        <v>2080406</v>
      </c>
      <c r="C7406" s="0" t="n">
        <v>2080426</v>
      </c>
      <c r="D7406" s="0" t="s">
        <v>24760</v>
      </c>
      <c r="E7406" s="0" t="s">
        <v>89</v>
      </c>
      <c r="F7406" s="0" t="s">
        <v>15</v>
      </c>
      <c r="G7406" s="0" t="s">
        <v>32</v>
      </c>
      <c r="H7406" s="0" t="n">
        <v>58</v>
      </c>
      <c r="I7406" s="0" t="s">
        <v>24764</v>
      </c>
      <c r="J7406" s="0" t="s">
        <v>24765</v>
      </c>
      <c r="K7406" s="0" t="s">
        <v>24766</v>
      </c>
      <c r="L7406" s="0" t="str">
        <f aca="false">HYPERLINK("https://www.ncbi.nlm.nih.gov/nuccore/CP000304.1?report=graph&amp;tracks=[key:gene_model_track,Options:GeneOnly]&amp;mk=2080378:2080397|offset_29|444444,2080407:2080426|offset_58|00cc00,2080435:2080454|offset_86|444444,2080483:2080502|offset_134|444444&amp;v=2080177:2080702&amp;c=444444", "offset 58")</f>
        <v>offset 58</v>
      </c>
    </row>
    <row r="7407" customFormat="false" ht="12.8" hidden="false" customHeight="false" outlineLevel="0" collapsed="false">
      <c r="A7407" s="0" t="s">
        <v>12</v>
      </c>
      <c r="B7407" s="0" t="n">
        <v>2080434</v>
      </c>
      <c r="C7407" s="0" t="n">
        <v>2080454</v>
      </c>
      <c r="D7407" s="0" t="s">
        <v>24760</v>
      </c>
      <c r="E7407" s="0" t="s">
        <v>89</v>
      </c>
      <c r="F7407" s="0" t="s">
        <v>15</v>
      </c>
      <c r="G7407" s="0" t="s">
        <v>32</v>
      </c>
      <c r="H7407" s="0" t="n">
        <v>86</v>
      </c>
      <c r="I7407" s="0" t="s">
        <v>24767</v>
      </c>
      <c r="J7407" s="0" t="s">
        <v>24768</v>
      </c>
      <c r="K7407" s="0" t="s">
        <v>24769</v>
      </c>
      <c r="L7407" s="0" t="str">
        <f aca="false">HYPERLINK("https://www.ncbi.nlm.nih.gov/nuccore/CP000304.1?report=graph&amp;tracks=[key:gene_model_track,Options:GeneOnly]&amp;mk=2080378:2080397|offset_29|444444,2080407:2080426|offset_58|444444,2080435:2080454|offset_86|00cc00,2080483:2080502|offset_134|444444&amp;v=2080177:2080702&amp;c=444444", "offset 86")</f>
        <v>offset 86</v>
      </c>
    </row>
    <row r="7408" customFormat="false" ht="12.8" hidden="false" customHeight="false" outlineLevel="0" collapsed="false">
      <c r="A7408" s="0" t="s">
        <v>12</v>
      </c>
      <c r="B7408" s="0" t="n">
        <v>2080482</v>
      </c>
      <c r="C7408" s="0" t="n">
        <v>2080502</v>
      </c>
      <c r="D7408" s="0" t="s">
        <v>24760</v>
      </c>
      <c r="E7408" s="0" t="s">
        <v>89</v>
      </c>
      <c r="F7408" s="0" t="s">
        <v>15</v>
      </c>
      <c r="G7408" s="0" t="s">
        <v>26</v>
      </c>
      <c r="H7408" s="0" t="n">
        <v>134</v>
      </c>
      <c r="I7408" s="0" t="s">
        <v>24770</v>
      </c>
      <c r="J7408" s="0" t="s">
        <v>24771</v>
      </c>
      <c r="K7408" s="0" t="s">
        <v>24772</v>
      </c>
      <c r="L7408" s="0" t="str">
        <f aca="false">HYPERLINK("https://www.ncbi.nlm.nih.gov/nuccore/CP000304.1?report=graph&amp;tracks=[key:gene_model_track,Options:GeneOnly]&amp;mk=2080378:2080397|offset_29|444444,2080407:2080426|offset_58|444444,2080435:2080454|offset_86|444444,2080483:2080502|offset_134|00cc00&amp;v=2080177:2080702&amp;c=444444", "offset 134")</f>
        <v>offset 134</v>
      </c>
    </row>
    <row r="7409" customFormat="false" ht="12.8" hidden="false" customHeight="false" outlineLevel="0" collapsed="false">
      <c r="A7409" s="0" t="s">
        <v>12</v>
      </c>
      <c r="B7409" s="0" t="n">
        <v>2081348</v>
      </c>
      <c r="C7409" s="0" t="n">
        <v>2081368</v>
      </c>
      <c r="D7409" s="0" t="s">
        <v>24773</v>
      </c>
      <c r="E7409" s="0" t="s">
        <v>89</v>
      </c>
      <c r="F7409" s="0" t="s">
        <v>15</v>
      </c>
      <c r="G7409" s="0" t="s">
        <v>16</v>
      </c>
      <c r="H7409" s="0" t="n">
        <v>30</v>
      </c>
      <c r="I7409" s="0" t="s">
        <v>24774</v>
      </c>
      <c r="J7409" s="0" t="s">
        <v>24775</v>
      </c>
      <c r="K7409" s="0" t="s">
        <v>24776</v>
      </c>
      <c r="L7409" s="0" t="str">
        <f aca="false">HYPERLINK("https://www.ncbi.nlm.nih.gov/nuccore/CP000304.1?report=graph&amp;tracks=[key:gene_model_track,Options:GeneOnly]&amp;mk=2081349:2081368|offset_30|00cc00,2081392:2081411|offset_73|444444,2081428:2081447|offset_109|444444,2081453:2081472|offset_134|444444&amp;v=2081148:2081672&amp;c=444444", "offset 30")</f>
        <v>offset 30</v>
      </c>
    </row>
    <row r="7410" customFormat="false" ht="12.8" hidden="false" customHeight="false" outlineLevel="0" collapsed="false">
      <c r="A7410" s="0" t="s">
        <v>12</v>
      </c>
      <c r="B7410" s="0" t="n">
        <v>2081391</v>
      </c>
      <c r="C7410" s="0" t="n">
        <v>2081411</v>
      </c>
      <c r="D7410" s="0" t="s">
        <v>24773</v>
      </c>
      <c r="E7410" s="0" t="s">
        <v>89</v>
      </c>
      <c r="F7410" s="0" t="s">
        <v>15</v>
      </c>
      <c r="G7410" s="0" t="s">
        <v>36</v>
      </c>
      <c r="H7410" s="0" t="n">
        <v>73</v>
      </c>
      <c r="I7410" s="0" t="s">
        <v>24777</v>
      </c>
      <c r="J7410" s="0" t="s">
        <v>24778</v>
      </c>
      <c r="K7410" s="0" t="s">
        <v>24779</v>
      </c>
      <c r="L7410" s="0" t="str">
        <f aca="false">HYPERLINK("https://www.ncbi.nlm.nih.gov/nuccore/CP000304.1?report=graph&amp;tracks=[key:gene_model_track,Options:GeneOnly]&amp;mk=2081349:2081368|offset_30|444444,2081392:2081411|offset_73|00cc00,2081428:2081447|offset_109|444444,2081453:2081472|offset_134|444444&amp;v=2081148:2081672&amp;c=444444", "offset 73")</f>
        <v>offset 73</v>
      </c>
    </row>
    <row r="7411" customFormat="false" ht="12.8" hidden="false" customHeight="false" outlineLevel="0" collapsed="false">
      <c r="A7411" s="0" t="s">
        <v>12</v>
      </c>
      <c r="B7411" s="0" t="n">
        <v>2081427</v>
      </c>
      <c r="C7411" s="0" t="n">
        <v>2081447</v>
      </c>
      <c r="D7411" s="0" t="s">
        <v>24773</v>
      </c>
      <c r="E7411" s="0" t="s">
        <v>89</v>
      </c>
      <c r="F7411" s="0" t="s">
        <v>15</v>
      </c>
      <c r="G7411" s="0" t="s">
        <v>36</v>
      </c>
      <c r="H7411" s="0" t="n">
        <v>109</v>
      </c>
      <c r="I7411" s="0" t="s">
        <v>24780</v>
      </c>
      <c r="J7411" s="0" t="s">
        <v>24781</v>
      </c>
      <c r="K7411" s="0" t="s">
        <v>24782</v>
      </c>
      <c r="L7411" s="0" t="str">
        <f aca="false">HYPERLINK("https://www.ncbi.nlm.nih.gov/nuccore/CP000304.1?report=graph&amp;tracks=[key:gene_model_track,Options:GeneOnly]&amp;mk=2081349:2081368|offset_30|444444,2081392:2081411|offset_73|444444,2081428:2081447|offset_109|00cc00,2081453:2081472|offset_134|444444&amp;v=2081148:2081672&amp;c=444444", "offset 109")</f>
        <v>offset 109</v>
      </c>
    </row>
    <row r="7412" customFormat="false" ht="12.8" hidden="false" customHeight="false" outlineLevel="0" collapsed="false">
      <c r="A7412" s="0" t="s">
        <v>12</v>
      </c>
      <c r="B7412" s="0" t="n">
        <v>2081452</v>
      </c>
      <c r="C7412" s="0" t="n">
        <v>2081472</v>
      </c>
      <c r="D7412" s="0" t="s">
        <v>24773</v>
      </c>
      <c r="E7412" s="0" t="s">
        <v>89</v>
      </c>
      <c r="F7412" s="0" t="s">
        <v>15</v>
      </c>
      <c r="G7412" s="0" t="s">
        <v>16</v>
      </c>
      <c r="H7412" s="0" t="n">
        <v>134</v>
      </c>
      <c r="I7412" s="0" t="s">
        <v>24783</v>
      </c>
      <c r="J7412" s="0" t="s">
        <v>24784</v>
      </c>
      <c r="K7412" s="0" t="s">
        <v>24785</v>
      </c>
      <c r="L7412" s="0" t="str">
        <f aca="false">HYPERLINK("https://www.ncbi.nlm.nih.gov/nuccore/CP000304.1?report=graph&amp;tracks=[key:gene_model_track,Options:GeneOnly]&amp;mk=2081349:2081368|offset_30|444444,2081392:2081411|offset_73|444444,2081428:2081447|offset_109|444444,2081453:2081472|offset_134|00cc00&amp;v=2081148:2081672&amp;c=444444", "offset 134")</f>
        <v>offset 134</v>
      </c>
    </row>
    <row r="7413" customFormat="false" ht="12.8" hidden="false" customHeight="false" outlineLevel="0" collapsed="false">
      <c r="A7413" s="0" t="s">
        <v>12</v>
      </c>
      <c r="B7413" s="0" t="n">
        <v>2084268</v>
      </c>
      <c r="C7413" s="0" t="n">
        <v>2084288</v>
      </c>
      <c r="D7413" s="0" t="s">
        <v>24786</v>
      </c>
      <c r="E7413" s="0" t="s">
        <v>89</v>
      </c>
      <c r="F7413" s="0" t="s">
        <v>90</v>
      </c>
      <c r="G7413" s="0" t="s">
        <v>26</v>
      </c>
      <c r="H7413" s="0" t="n">
        <v>0</v>
      </c>
      <c r="I7413" s="0" t="s">
        <v>24787</v>
      </c>
      <c r="J7413" s="0" t="s">
        <v>24788</v>
      </c>
      <c r="K7413" s="0" t="s">
        <v>24789</v>
      </c>
      <c r="L7413" s="0" t="str">
        <f aca="false">HYPERLINK("https://www.ncbi.nlm.nih.gov/nuccore/CP000304.1?report=graph&amp;tracks=[key:gene_model_track,Options:GeneOnly]&amp;mk=2084269:2084288|offset_0|00cc00,2084246:2084265|offset_23|444444,2084226:2084245|offset_43|444444,2084204:2084223|offset_65|444444&amp;v=2084068:2084423&amp;c=444444", "offset 0")</f>
        <v>offset 0</v>
      </c>
    </row>
    <row r="7414" customFormat="false" ht="12.8" hidden="false" customHeight="false" outlineLevel="0" collapsed="false">
      <c r="A7414" s="0" t="s">
        <v>12</v>
      </c>
      <c r="B7414" s="0" t="n">
        <v>2084245</v>
      </c>
      <c r="C7414" s="0" t="n">
        <v>2084265</v>
      </c>
      <c r="D7414" s="0" t="s">
        <v>24786</v>
      </c>
      <c r="E7414" s="0" t="s">
        <v>89</v>
      </c>
      <c r="F7414" s="0" t="s">
        <v>90</v>
      </c>
      <c r="G7414" s="0" t="s">
        <v>36</v>
      </c>
      <c r="H7414" s="0" t="n">
        <v>23</v>
      </c>
      <c r="I7414" s="0" t="s">
        <v>24790</v>
      </c>
      <c r="J7414" s="0" t="s">
        <v>24791</v>
      </c>
      <c r="K7414" s="0" t="s">
        <v>24792</v>
      </c>
      <c r="L7414" s="0" t="str">
        <f aca="false">HYPERLINK("https://www.ncbi.nlm.nih.gov/nuccore/CP000304.1?report=graph&amp;tracks=[key:gene_model_track,Options:GeneOnly]&amp;mk=2084269:2084288|offset_0|444444,2084246:2084265|offset_23|00cc00,2084226:2084245|offset_43|444444,2084204:2084223|offset_65|444444&amp;v=2084068:2084423&amp;c=444444", "offset 23")</f>
        <v>offset 23</v>
      </c>
    </row>
    <row r="7415" customFormat="false" ht="12.8" hidden="false" customHeight="false" outlineLevel="0" collapsed="false">
      <c r="A7415" s="0" t="s">
        <v>12</v>
      </c>
      <c r="B7415" s="0" t="n">
        <v>2084225</v>
      </c>
      <c r="C7415" s="0" t="n">
        <v>2084245</v>
      </c>
      <c r="D7415" s="0" t="s">
        <v>24786</v>
      </c>
      <c r="E7415" s="0" t="s">
        <v>89</v>
      </c>
      <c r="F7415" s="0" t="s">
        <v>90</v>
      </c>
      <c r="G7415" s="0" t="s">
        <v>36</v>
      </c>
      <c r="H7415" s="0" t="n">
        <v>43</v>
      </c>
      <c r="I7415" s="0" t="s">
        <v>24793</v>
      </c>
      <c r="J7415" s="0" t="s">
        <v>24794</v>
      </c>
      <c r="K7415" s="0" t="s">
        <v>24795</v>
      </c>
      <c r="L7415" s="0" t="str">
        <f aca="false">HYPERLINK("https://www.ncbi.nlm.nih.gov/nuccore/CP000304.1?report=graph&amp;tracks=[key:gene_model_track,Options:GeneOnly]&amp;mk=2084269:2084288|offset_0|444444,2084246:2084265|offset_23|444444,2084226:2084245|offset_43|00cc00,2084204:2084223|offset_65|444444&amp;v=2084068:2084423&amp;c=444444", "offset 43")</f>
        <v>offset 43</v>
      </c>
    </row>
    <row r="7416" customFormat="false" ht="12.8" hidden="false" customHeight="false" outlineLevel="0" collapsed="false">
      <c r="A7416" s="0" t="s">
        <v>12</v>
      </c>
      <c r="B7416" s="0" t="n">
        <v>2084203</v>
      </c>
      <c r="C7416" s="0" t="n">
        <v>2084223</v>
      </c>
      <c r="D7416" s="0" t="s">
        <v>24786</v>
      </c>
      <c r="E7416" s="0" t="s">
        <v>89</v>
      </c>
      <c r="F7416" s="0" t="s">
        <v>90</v>
      </c>
      <c r="G7416" s="0" t="s">
        <v>32</v>
      </c>
      <c r="H7416" s="0" t="n">
        <v>65</v>
      </c>
      <c r="I7416" s="0" t="s">
        <v>24796</v>
      </c>
      <c r="J7416" s="0" t="s">
        <v>24797</v>
      </c>
      <c r="K7416" s="0" t="s">
        <v>24798</v>
      </c>
      <c r="L7416" s="0" t="str">
        <f aca="false">HYPERLINK("https://www.ncbi.nlm.nih.gov/nuccore/CP000304.1?report=graph&amp;tracks=[key:gene_model_track,Options:GeneOnly]&amp;mk=2084269:2084288|offset_0|444444,2084246:2084265|offset_23|444444,2084226:2084245|offset_43|444444,2084204:2084223|offset_65|00cc00&amp;v=2084068:2084423&amp;c=444444", "offset 65")</f>
        <v>offset 65</v>
      </c>
    </row>
    <row r="7417" customFormat="false" ht="12.8" hidden="false" customHeight="false" outlineLevel="0" collapsed="false">
      <c r="A7417" s="0" t="s">
        <v>12</v>
      </c>
      <c r="B7417" s="0" t="n">
        <v>2085436</v>
      </c>
      <c r="C7417" s="0" t="n">
        <v>2085456</v>
      </c>
      <c r="D7417" s="0" t="s">
        <v>24799</v>
      </c>
      <c r="E7417" s="0" t="s">
        <v>89</v>
      </c>
      <c r="F7417" s="0" t="s">
        <v>90</v>
      </c>
      <c r="G7417" s="0" t="s">
        <v>32</v>
      </c>
      <c r="H7417" s="0" t="n">
        <v>1</v>
      </c>
      <c r="I7417" s="0" t="s">
        <v>24800</v>
      </c>
      <c r="J7417" s="0" t="s">
        <v>24801</v>
      </c>
      <c r="K7417" s="0" t="s">
        <v>24802</v>
      </c>
      <c r="L7417" s="0" t="str">
        <f aca="false">HYPERLINK("https://www.ncbi.nlm.nih.gov/nuccore/CP000304.1?report=graph&amp;tracks=[key:gene_model_track,Options:GeneOnly]&amp;mk=2085437:2085456|offset_1|00cc00,2085413:2085432|offset_25|444444,2085378:2085397|offset_60|444444,2085333:2085352|offset_105|444444&amp;v=2085236:2085552&amp;c=444444", "offset 1")</f>
        <v>offset 1</v>
      </c>
    </row>
    <row r="7418" customFormat="false" ht="12.8" hidden="false" customHeight="false" outlineLevel="0" collapsed="false">
      <c r="A7418" s="0" t="s">
        <v>12</v>
      </c>
      <c r="B7418" s="0" t="n">
        <v>2085412</v>
      </c>
      <c r="C7418" s="0" t="n">
        <v>2085432</v>
      </c>
      <c r="D7418" s="0" t="s">
        <v>24799</v>
      </c>
      <c r="E7418" s="0" t="s">
        <v>89</v>
      </c>
      <c r="F7418" s="0" t="s">
        <v>90</v>
      </c>
      <c r="G7418" s="0" t="s">
        <v>32</v>
      </c>
      <c r="H7418" s="0" t="n">
        <v>25</v>
      </c>
      <c r="I7418" s="0" t="s">
        <v>24803</v>
      </c>
      <c r="J7418" s="0" t="s">
        <v>24804</v>
      </c>
      <c r="K7418" s="0" t="s">
        <v>24805</v>
      </c>
      <c r="L7418" s="0" t="str">
        <f aca="false">HYPERLINK("https://www.ncbi.nlm.nih.gov/nuccore/CP000304.1?report=graph&amp;tracks=[key:gene_model_track,Options:GeneOnly]&amp;mk=2085437:2085456|offset_1|444444,2085413:2085432|offset_25|00cc00,2085378:2085397|offset_60|444444,2085333:2085352|offset_105|444444&amp;v=2085236:2085552&amp;c=444444", "offset 25")</f>
        <v>offset 25</v>
      </c>
    </row>
    <row r="7419" customFormat="false" ht="12.8" hidden="false" customHeight="false" outlineLevel="0" collapsed="false">
      <c r="A7419" s="0" t="s">
        <v>12</v>
      </c>
      <c r="B7419" s="0" t="n">
        <v>2085377</v>
      </c>
      <c r="C7419" s="0" t="n">
        <v>2085397</v>
      </c>
      <c r="D7419" s="0" t="s">
        <v>24799</v>
      </c>
      <c r="E7419" s="0" t="s">
        <v>89</v>
      </c>
      <c r="F7419" s="0" t="s">
        <v>90</v>
      </c>
      <c r="G7419" s="0" t="s">
        <v>36</v>
      </c>
      <c r="H7419" s="0" t="n">
        <v>60</v>
      </c>
      <c r="I7419" s="0" t="s">
        <v>24806</v>
      </c>
      <c r="J7419" s="0" t="s">
        <v>24807</v>
      </c>
      <c r="K7419" s="0" t="s">
        <v>24808</v>
      </c>
      <c r="L7419" s="0" t="str">
        <f aca="false">HYPERLINK("https://www.ncbi.nlm.nih.gov/nuccore/CP000304.1?report=graph&amp;tracks=[key:gene_model_track,Options:GeneOnly]&amp;mk=2085437:2085456|offset_1|444444,2085413:2085432|offset_25|444444,2085378:2085397|offset_60|00cc00,2085333:2085352|offset_105|444444&amp;v=2085236:2085552&amp;c=444444", "offset 60")</f>
        <v>offset 60</v>
      </c>
    </row>
    <row r="7420" customFormat="false" ht="12.8" hidden="false" customHeight="false" outlineLevel="0" collapsed="false">
      <c r="A7420" s="0" t="s">
        <v>12</v>
      </c>
      <c r="B7420" s="0" t="n">
        <v>2085332</v>
      </c>
      <c r="C7420" s="0" t="n">
        <v>2085352</v>
      </c>
      <c r="D7420" s="0" t="s">
        <v>24799</v>
      </c>
      <c r="E7420" s="0" t="s">
        <v>89</v>
      </c>
      <c r="F7420" s="0" t="s">
        <v>90</v>
      </c>
      <c r="G7420" s="0" t="s">
        <v>32</v>
      </c>
      <c r="H7420" s="0" t="n">
        <v>105</v>
      </c>
      <c r="I7420" s="0" t="s">
        <v>24809</v>
      </c>
      <c r="J7420" s="0" t="s">
        <v>24810</v>
      </c>
      <c r="K7420" s="0" t="s">
        <v>24811</v>
      </c>
      <c r="L7420" s="0" t="str">
        <f aca="false">HYPERLINK("https://www.ncbi.nlm.nih.gov/nuccore/CP000304.1?report=graph&amp;tracks=[key:gene_model_track,Options:GeneOnly]&amp;mk=2085437:2085456|offset_1|444444,2085413:2085432|offset_25|444444,2085378:2085397|offset_60|444444,2085333:2085352|offset_105|00cc00&amp;v=2085236:2085552&amp;c=444444", "offset 105")</f>
        <v>offset 105</v>
      </c>
    </row>
    <row r="7421" customFormat="false" ht="12.8" hidden="false" customHeight="false" outlineLevel="0" collapsed="false">
      <c r="A7421" s="0" t="s">
        <v>12</v>
      </c>
      <c r="B7421" s="0" t="n">
        <v>2088587</v>
      </c>
      <c r="C7421" s="0" t="n">
        <v>2088607</v>
      </c>
      <c r="D7421" s="0" t="s">
        <v>24812</v>
      </c>
      <c r="E7421" s="0" t="s">
        <v>89</v>
      </c>
      <c r="F7421" s="0" t="s">
        <v>90</v>
      </c>
      <c r="G7421" s="0" t="s">
        <v>16</v>
      </c>
      <c r="H7421" s="0" t="n">
        <v>10</v>
      </c>
      <c r="I7421" s="0" t="s">
        <v>24813</v>
      </c>
      <c r="J7421" s="0" t="s">
        <v>24814</v>
      </c>
      <c r="K7421" s="0" t="s">
        <v>24815</v>
      </c>
      <c r="L7421" s="0" t="str">
        <f aca="false">HYPERLINK("https://www.ncbi.nlm.nih.gov/nuccore/CP000304.1?report=graph&amp;tracks=[key:gene_model_track,Options:GeneOnly]&amp;mk=2088588:2088607|offset_10|00cc00,2088524:2088543|offset_74|444444,2088498:2088517|offset_100|444444,2088478:2088497|offset_120|444444&amp;v=2088387:2088697&amp;c=444444", "offset 10")</f>
        <v>offset 10</v>
      </c>
    </row>
    <row r="7422" customFormat="false" ht="12.8" hidden="false" customHeight="false" outlineLevel="0" collapsed="false">
      <c r="A7422" s="0" t="s">
        <v>12</v>
      </c>
      <c r="B7422" s="0" t="n">
        <v>2088523</v>
      </c>
      <c r="C7422" s="0" t="n">
        <v>2088543</v>
      </c>
      <c r="D7422" s="0" t="s">
        <v>24812</v>
      </c>
      <c r="E7422" s="0" t="s">
        <v>89</v>
      </c>
      <c r="F7422" s="0" t="s">
        <v>90</v>
      </c>
      <c r="G7422" s="0" t="s">
        <v>16</v>
      </c>
      <c r="H7422" s="0" t="n">
        <v>74</v>
      </c>
      <c r="I7422" s="0" t="s">
        <v>24816</v>
      </c>
      <c r="J7422" s="0" t="s">
        <v>24817</v>
      </c>
      <c r="K7422" s="0" t="s">
        <v>24818</v>
      </c>
      <c r="L7422" s="0" t="str">
        <f aca="false">HYPERLINK("https://www.ncbi.nlm.nih.gov/nuccore/CP000304.1?report=graph&amp;tracks=[key:gene_model_track,Options:GeneOnly]&amp;mk=2088588:2088607|offset_10|444444,2088524:2088543|offset_74|00cc00,2088498:2088517|offset_100|444444,2088478:2088497|offset_120|444444&amp;v=2088387:2088697&amp;c=444444", "offset 74")</f>
        <v>offset 74</v>
      </c>
    </row>
    <row r="7423" customFormat="false" ht="12.8" hidden="false" customHeight="false" outlineLevel="0" collapsed="false">
      <c r="A7423" s="0" t="s">
        <v>12</v>
      </c>
      <c r="B7423" s="0" t="n">
        <v>2088497</v>
      </c>
      <c r="C7423" s="0" t="n">
        <v>2088517</v>
      </c>
      <c r="D7423" s="0" t="s">
        <v>24812</v>
      </c>
      <c r="E7423" s="0" t="s">
        <v>89</v>
      </c>
      <c r="F7423" s="0" t="s">
        <v>90</v>
      </c>
      <c r="G7423" s="0" t="s">
        <v>16</v>
      </c>
      <c r="H7423" s="0" t="n">
        <v>100</v>
      </c>
      <c r="I7423" s="0" t="s">
        <v>24819</v>
      </c>
      <c r="J7423" s="0" t="s">
        <v>24820</v>
      </c>
      <c r="K7423" s="0" t="s">
        <v>24821</v>
      </c>
      <c r="L7423" s="0" t="str">
        <f aca="false">HYPERLINK("https://www.ncbi.nlm.nih.gov/nuccore/CP000304.1?report=graph&amp;tracks=[key:gene_model_track,Options:GeneOnly]&amp;mk=2088588:2088607|offset_10|444444,2088524:2088543|offset_74|444444,2088498:2088517|offset_100|00cc00,2088478:2088497|offset_120|444444&amp;v=2088387:2088697&amp;c=444444", "offset 100")</f>
        <v>offset 100</v>
      </c>
    </row>
    <row r="7424" customFormat="false" ht="12.8" hidden="false" customHeight="false" outlineLevel="0" collapsed="false">
      <c r="A7424" s="0" t="s">
        <v>12</v>
      </c>
      <c r="B7424" s="0" t="n">
        <v>2088477</v>
      </c>
      <c r="C7424" s="0" t="n">
        <v>2088497</v>
      </c>
      <c r="D7424" s="0" t="s">
        <v>24812</v>
      </c>
      <c r="E7424" s="0" t="s">
        <v>89</v>
      </c>
      <c r="F7424" s="0" t="s">
        <v>90</v>
      </c>
      <c r="G7424" s="0" t="s">
        <v>16</v>
      </c>
      <c r="H7424" s="0" t="n">
        <v>120</v>
      </c>
      <c r="I7424" s="0" t="s">
        <v>24822</v>
      </c>
      <c r="J7424" s="0" t="s">
        <v>24823</v>
      </c>
      <c r="K7424" s="0" t="s">
        <v>24824</v>
      </c>
      <c r="L7424" s="0" t="str">
        <f aca="false">HYPERLINK("https://www.ncbi.nlm.nih.gov/nuccore/CP000304.1?report=graph&amp;tracks=[key:gene_model_track,Options:GeneOnly]&amp;mk=2088588:2088607|offset_10|444444,2088524:2088543|offset_74|444444,2088498:2088517|offset_100|444444,2088478:2088497|offset_120|00cc00&amp;v=2088387:2088697&amp;c=444444", "offset 120")</f>
        <v>offset 120</v>
      </c>
    </row>
    <row r="7425" customFormat="false" ht="12.8" hidden="false" customHeight="false" outlineLevel="0" collapsed="false">
      <c r="A7425" s="0" t="s">
        <v>12</v>
      </c>
      <c r="B7425" s="0" t="n">
        <v>2088977</v>
      </c>
      <c r="C7425" s="0" t="n">
        <v>2088997</v>
      </c>
      <c r="D7425" s="0" t="s">
        <v>24825</v>
      </c>
      <c r="E7425" s="0" t="s">
        <v>89</v>
      </c>
      <c r="F7425" s="0" t="s">
        <v>15</v>
      </c>
      <c r="G7425" s="0" t="s">
        <v>36</v>
      </c>
      <c r="H7425" s="0" t="n">
        <v>29</v>
      </c>
      <c r="I7425" s="0" t="s">
        <v>24826</v>
      </c>
      <c r="J7425" s="0" t="s">
        <v>24827</v>
      </c>
      <c r="K7425" s="0" t="s">
        <v>24828</v>
      </c>
      <c r="L7425" s="0" t="str">
        <f aca="false">HYPERLINK("https://www.ncbi.nlm.nih.gov/nuccore/CP000304.1?report=graph&amp;tracks=[key:gene_model_track,Options:GeneOnly]&amp;mk=2088978:2088997|offset_29|00cc00,2089013:2089032|offset_64|444444,2089039:2089058|offset_90|444444,2089061:2089080|offset_112|444444&amp;v=2088777:2089280&amp;c=444444", "offset 29")</f>
        <v>offset 29</v>
      </c>
    </row>
    <row r="7426" customFormat="false" ht="12.8" hidden="false" customHeight="false" outlineLevel="0" collapsed="false">
      <c r="A7426" s="0" t="s">
        <v>12</v>
      </c>
      <c r="B7426" s="0" t="n">
        <v>2089012</v>
      </c>
      <c r="C7426" s="0" t="n">
        <v>2089032</v>
      </c>
      <c r="D7426" s="0" t="s">
        <v>24825</v>
      </c>
      <c r="E7426" s="0" t="s">
        <v>89</v>
      </c>
      <c r="F7426" s="0" t="s">
        <v>15</v>
      </c>
      <c r="G7426" s="0" t="s">
        <v>26</v>
      </c>
      <c r="H7426" s="0" t="n">
        <v>64</v>
      </c>
      <c r="I7426" s="0" t="s">
        <v>24829</v>
      </c>
      <c r="J7426" s="0" t="s">
        <v>24830</v>
      </c>
      <c r="K7426" s="0" t="s">
        <v>24831</v>
      </c>
      <c r="L7426" s="0" t="str">
        <f aca="false">HYPERLINK("https://www.ncbi.nlm.nih.gov/nuccore/CP000304.1?report=graph&amp;tracks=[key:gene_model_track,Options:GeneOnly]&amp;mk=2088978:2088997|offset_29|444444,2089013:2089032|offset_64|00cc00,2089039:2089058|offset_90|444444,2089061:2089080|offset_112|444444&amp;v=2088777:2089280&amp;c=444444", "offset 64")</f>
        <v>offset 64</v>
      </c>
    </row>
    <row r="7427" customFormat="false" ht="12.8" hidden="false" customHeight="false" outlineLevel="0" collapsed="false">
      <c r="A7427" s="0" t="s">
        <v>12</v>
      </c>
      <c r="B7427" s="0" t="n">
        <v>2089038</v>
      </c>
      <c r="C7427" s="0" t="n">
        <v>2089058</v>
      </c>
      <c r="D7427" s="0" t="s">
        <v>24825</v>
      </c>
      <c r="E7427" s="0" t="s">
        <v>89</v>
      </c>
      <c r="F7427" s="0" t="s">
        <v>15</v>
      </c>
      <c r="G7427" s="0" t="s">
        <v>26</v>
      </c>
      <c r="H7427" s="0" t="n">
        <v>90</v>
      </c>
      <c r="I7427" s="0" t="s">
        <v>24832</v>
      </c>
      <c r="J7427" s="0" t="s">
        <v>24833</v>
      </c>
      <c r="K7427" s="0" t="s">
        <v>24834</v>
      </c>
      <c r="L7427" s="0" t="str">
        <f aca="false">HYPERLINK("https://www.ncbi.nlm.nih.gov/nuccore/CP000304.1?report=graph&amp;tracks=[key:gene_model_track,Options:GeneOnly]&amp;mk=2088978:2088997|offset_29|444444,2089013:2089032|offset_64|444444,2089039:2089058|offset_90|00cc00,2089061:2089080|offset_112|444444&amp;v=2088777:2089280&amp;c=444444", "offset 90")</f>
        <v>offset 90</v>
      </c>
    </row>
    <row r="7428" customFormat="false" ht="12.8" hidden="false" customHeight="false" outlineLevel="0" collapsed="false">
      <c r="A7428" s="0" t="s">
        <v>12</v>
      </c>
      <c r="B7428" s="0" t="n">
        <v>2089060</v>
      </c>
      <c r="C7428" s="0" t="n">
        <v>2089080</v>
      </c>
      <c r="D7428" s="0" t="s">
        <v>24825</v>
      </c>
      <c r="E7428" s="0" t="s">
        <v>89</v>
      </c>
      <c r="F7428" s="0" t="s">
        <v>15</v>
      </c>
      <c r="G7428" s="0" t="s">
        <v>32</v>
      </c>
      <c r="H7428" s="0" t="n">
        <v>112</v>
      </c>
      <c r="I7428" s="0" t="s">
        <v>24835</v>
      </c>
      <c r="J7428" s="0" t="s">
        <v>24836</v>
      </c>
      <c r="K7428" s="0" t="s">
        <v>24837</v>
      </c>
      <c r="L7428" s="0" t="str">
        <f aca="false">HYPERLINK("https://www.ncbi.nlm.nih.gov/nuccore/CP000304.1?report=graph&amp;tracks=[key:gene_model_track,Options:GeneOnly]&amp;mk=2088978:2088997|offset_29|444444,2089013:2089032|offset_64|444444,2089039:2089058|offset_90|444444,2089061:2089080|offset_112|00cc00&amp;v=2088777:2089280&amp;c=444444", "offset 112")</f>
        <v>offset 112</v>
      </c>
    </row>
    <row r="7429" customFormat="false" ht="12.8" hidden="false" customHeight="false" outlineLevel="0" collapsed="false">
      <c r="A7429" s="0" t="s">
        <v>12</v>
      </c>
      <c r="B7429" s="0" t="n">
        <v>2089881</v>
      </c>
      <c r="C7429" s="0" t="n">
        <v>2089901</v>
      </c>
      <c r="D7429" s="0" t="s">
        <v>24838</v>
      </c>
      <c r="E7429" s="0" t="s">
        <v>89</v>
      </c>
      <c r="F7429" s="0" t="s">
        <v>15</v>
      </c>
      <c r="G7429" s="0" t="s">
        <v>16</v>
      </c>
      <c r="H7429" s="0" t="n">
        <v>1</v>
      </c>
      <c r="I7429" s="0" t="s">
        <v>24839</v>
      </c>
      <c r="J7429" s="0" t="s">
        <v>24840</v>
      </c>
      <c r="K7429" s="0" t="s">
        <v>24841</v>
      </c>
      <c r="L7429" s="0" t="str">
        <f aca="false">HYPERLINK("https://www.ncbi.nlm.nih.gov/nuccore/CP000304.1?report=graph&amp;tracks=[key:gene_model_track,Options:GeneOnly]&amp;mk=2089882:2089901|offset_1|00cc00,2089902:2089921|offset_21|444444,2089923:2089942|offset_42|444444,2089977:2089996|offset_96|444444&amp;v=2089681:2090196&amp;c=444444", "offset 1")</f>
        <v>offset 1</v>
      </c>
    </row>
    <row r="7430" customFormat="false" ht="12.8" hidden="false" customHeight="false" outlineLevel="0" collapsed="false">
      <c r="A7430" s="0" t="s">
        <v>12</v>
      </c>
      <c r="B7430" s="0" t="n">
        <v>2089901</v>
      </c>
      <c r="C7430" s="0" t="n">
        <v>2089921</v>
      </c>
      <c r="D7430" s="0" t="s">
        <v>24838</v>
      </c>
      <c r="E7430" s="0" t="s">
        <v>89</v>
      </c>
      <c r="F7430" s="0" t="s">
        <v>15</v>
      </c>
      <c r="G7430" s="0" t="s">
        <v>26</v>
      </c>
      <c r="H7430" s="0" t="n">
        <v>21</v>
      </c>
      <c r="I7430" s="0" t="s">
        <v>24842</v>
      </c>
      <c r="J7430" s="0" t="s">
        <v>24843</v>
      </c>
      <c r="K7430" s="0" t="s">
        <v>24844</v>
      </c>
      <c r="L7430" s="0" t="str">
        <f aca="false">HYPERLINK("https://www.ncbi.nlm.nih.gov/nuccore/CP000304.1?report=graph&amp;tracks=[key:gene_model_track,Options:GeneOnly]&amp;mk=2089882:2089901|offset_1|444444,2089902:2089921|offset_21|00cc00,2089923:2089942|offset_42|444444,2089977:2089996|offset_96|444444&amp;v=2089681:2090196&amp;c=444444", "offset 21")</f>
        <v>offset 21</v>
      </c>
    </row>
    <row r="7431" customFormat="false" ht="12.8" hidden="false" customHeight="false" outlineLevel="0" collapsed="false">
      <c r="A7431" s="0" t="s">
        <v>12</v>
      </c>
      <c r="B7431" s="0" t="n">
        <v>2089922</v>
      </c>
      <c r="C7431" s="0" t="n">
        <v>2089942</v>
      </c>
      <c r="D7431" s="0" t="s">
        <v>24838</v>
      </c>
      <c r="E7431" s="0" t="s">
        <v>89</v>
      </c>
      <c r="F7431" s="0" t="s">
        <v>15</v>
      </c>
      <c r="G7431" s="0" t="s">
        <v>16</v>
      </c>
      <c r="H7431" s="0" t="n">
        <v>42</v>
      </c>
      <c r="I7431" s="0" t="s">
        <v>24845</v>
      </c>
      <c r="J7431" s="0" t="s">
        <v>24846</v>
      </c>
      <c r="K7431" s="0" t="s">
        <v>24847</v>
      </c>
      <c r="L7431" s="0" t="str">
        <f aca="false">HYPERLINK("https://www.ncbi.nlm.nih.gov/nuccore/CP000304.1?report=graph&amp;tracks=[key:gene_model_track,Options:GeneOnly]&amp;mk=2089882:2089901|offset_1|444444,2089902:2089921|offset_21|444444,2089923:2089942|offset_42|00cc00,2089977:2089996|offset_96|444444&amp;v=2089681:2090196&amp;c=444444", "offset 42")</f>
        <v>offset 42</v>
      </c>
    </row>
    <row r="7432" customFormat="false" ht="12.8" hidden="false" customHeight="false" outlineLevel="0" collapsed="false">
      <c r="A7432" s="0" t="s">
        <v>12</v>
      </c>
      <c r="B7432" s="0" t="n">
        <v>2089976</v>
      </c>
      <c r="C7432" s="0" t="n">
        <v>2089996</v>
      </c>
      <c r="D7432" s="0" t="s">
        <v>24838</v>
      </c>
      <c r="E7432" s="0" t="s">
        <v>89</v>
      </c>
      <c r="F7432" s="0" t="s">
        <v>15</v>
      </c>
      <c r="G7432" s="0" t="s">
        <v>16</v>
      </c>
      <c r="H7432" s="0" t="n">
        <v>96</v>
      </c>
      <c r="I7432" s="0" t="s">
        <v>24848</v>
      </c>
      <c r="J7432" s="0" t="s">
        <v>24849</v>
      </c>
      <c r="K7432" s="0" t="s">
        <v>24850</v>
      </c>
      <c r="L7432" s="0" t="str">
        <f aca="false">HYPERLINK("https://www.ncbi.nlm.nih.gov/nuccore/CP000304.1?report=graph&amp;tracks=[key:gene_model_track,Options:GeneOnly]&amp;mk=2089882:2089901|offset_1|444444,2089902:2089921|offset_21|444444,2089923:2089942|offset_42|444444,2089977:2089996|offset_96|00cc00&amp;v=2089681:2090196&amp;c=444444", "offset 96")</f>
        <v>offset 96</v>
      </c>
    </row>
    <row r="7433" customFormat="false" ht="12.8" hidden="false" customHeight="false" outlineLevel="0" collapsed="false">
      <c r="A7433" s="0" t="s">
        <v>12</v>
      </c>
      <c r="B7433" s="0" t="n">
        <v>2091583</v>
      </c>
      <c r="C7433" s="0" t="n">
        <v>2091603</v>
      </c>
      <c r="D7433" s="0" t="s">
        <v>24851</v>
      </c>
      <c r="E7433" s="0" t="s">
        <v>89</v>
      </c>
      <c r="F7433" s="0" t="s">
        <v>90</v>
      </c>
      <c r="G7433" s="0" t="s">
        <v>32</v>
      </c>
      <c r="H7433" s="0" t="n">
        <v>9</v>
      </c>
      <c r="I7433" s="0" t="s">
        <v>24852</v>
      </c>
      <c r="J7433" s="0" t="s">
        <v>24853</v>
      </c>
      <c r="K7433" s="0" t="s">
        <v>24854</v>
      </c>
      <c r="L7433" s="0" t="str">
        <f aca="false">HYPERLINK("https://www.ncbi.nlm.nih.gov/nuccore/CP000304.1?report=graph&amp;tracks=[key:gene_model_track,Options:GeneOnly]&amp;mk=2091584:2091603|offset_9|00cc00,2091546:2091565|offset_47|444444,2091523:2091542|offset_70|444444,2091502:2091521|offset_91|444444&amp;v=2091383:2091721&amp;c=444444", "offset 9")</f>
        <v>offset 9</v>
      </c>
    </row>
    <row r="7434" customFormat="false" ht="12.8" hidden="false" customHeight="false" outlineLevel="0" collapsed="false">
      <c r="A7434" s="0" t="s">
        <v>12</v>
      </c>
      <c r="B7434" s="0" t="n">
        <v>2091545</v>
      </c>
      <c r="C7434" s="0" t="n">
        <v>2091565</v>
      </c>
      <c r="D7434" s="0" t="s">
        <v>24851</v>
      </c>
      <c r="E7434" s="0" t="s">
        <v>89</v>
      </c>
      <c r="F7434" s="0" t="s">
        <v>90</v>
      </c>
      <c r="G7434" s="0" t="s">
        <v>32</v>
      </c>
      <c r="H7434" s="0" t="n">
        <v>47</v>
      </c>
      <c r="I7434" s="0" t="s">
        <v>24855</v>
      </c>
      <c r="J7434" s="0" t="s">
        <v>24856</v>
      </c>
      <c r="K7434" s="0" t="s">
        <v>24857</v>
      </c>
      <c r="L7434" s="0" t="str">
        <f aca="false">HYPERLINK("https://www.ncbi.nlm.nih.gov/nuccore/CP000304.1?report=graph&amp;tracks=[key:gene_model_track,Options:GeneOnly]&amp;mk=2091584:2091603|offset_9|444444,2091546:2091565|offset_47|00cc00,2091523:2091542|offset_70|444444,2091502:2091521|offset_91|444444&amp;v=2091383:2091721&amp;c=444444", "offset 47")</f>
        <v>offset 47</v>
      </c>
    </row>
    <row r="7435" customFormat="false" ht="12.8" hidden="false" customHeight="false" outlineLevel="0" collapsed="false">
      <c r="A7435" s="0" t="s">
        <v>12</v>
      </c>
      <c r="B7435" s="0" t="n">
        <v>2091522</v>
      </c>
      <c r="C7435" s="0" t="n">
        <v>2091542</v>
      </c>
      <c r="D7435" s="0" t="s">
        <v>24851</v>
      </c>
      <c r="E7435" s="0" t="s">
        <v>89</v>
      </c>
      <c r="F7435" s="0" t="s">
        <v>90</v>
      </c>
      <c r="G7435" s="0" t="s">
        <v>32</v>
      </c>
      <c r="H7435" s="0" t="n">
        <v>70</v>
      </c>
      <c r="I7435" s="0" t="s">
        <v>24858</v>
      </c>
      <c r="J7435" s="0" t="s">
        <v>24859</v>
      </c>
      <c r="K7435" s="0" t="s">
        <v>24860</v>
      </c>
      <c r="L7435" s="0" t="str">
        <f aca="false">HYPERLINK("https://www.ncbi.nlm.nih.gov/nuccore/CP000304.1?report=graph&amp;tracks=[key:gene_model_track,Options:GeneOnly]&amp;mk=2091584:2091603|offset_9|444444,2091546:2091565|offset_47|444444,2091523:2091542|offset_70|00cc00,2091502:2091521|offset_91|444444&amp;v=2091383:2091721&amp;c=444444", "offset 70")</f>
        <v>offset 70</v>
      </c>
    </row>
    <row r="7436" customFormat="false" ht="12.8" hidden="false" customHeight="false" outlineLevel="0" collapsed="false">
      <c r="A7436" s="0" t="s">
        <v>12</v>
      </c>
      <c r="B7436" s="0" t="n">
        <v>2091501</v>
      </c>
      <c r="C7436" s="0" t="n">
        <v>2091521</v>
      </c>
      <c r="D7436" s="0" t="s">
        <v>24851</v>
      </c>
      <c r="E7436" s="0" t="s">
        <v>89</v>
      </c>
      <c r="F7436" s="0" t="s">
        <v>90</v>
      </c>
      <c r="G7436" s="0" t="s">
        <v>26</v>
      </c>
      <c r="H7436" s="0" t="n">
        <v>91</v>
      </c>
      <c r="I7436" s="0" t="s">
        <v>24861</v>
      </c>
      <c r="J7436" s="0" t="s">
        <v>24862</v>
      </c>
      <c r="K7436" s="0" t="s">
        <v>24863</v>
      </c>
      <c r="L7436" s="0" t="str">
        <f aca="false">HYPERLINK("https://www.ncbi.nlm.nih.gov/nuccore/CP000304.1?report=graph&amp;tracks=[key:gene_model_track,Options:GeneOnly]&amp;mk=2091584:2091603|offset_9|444444,2091546:2091565|offset_47|444444,2091523:2091542|offset_70|444444,2091502:2091521|offset_91|00cc00&amp;v=2091383:2091721&amp;c=444444", "offset 91")</f>
        <v>offset 91</v>
      </c>
    </row>
    <row r="7437" customFormat="false" ht="12.8" hidden="false" customHeight="false" outlineLevel="0" collapsed="false">
      <c r="A7437" s="0" t="s">
        <v>12</v>
      </c>
      <c r="B7437" s="0" t="n">
        <v>2092054</v>
      </c>
      <c r="C7437" s="0" t="n">
        <v>2092074</v>
      </c>
      <c r="D7437" s="0" t="s">
        <v>24864</v>
      </c>
      <c r="E7437" s="0" t="s">
        <v>89</v>
      </c>
      <c r="F7437" s="0" t="s">
        <v>15</v>
      </c>
      <c r="G7437" s="0" t="s">
        <v>32</v>
      </c>
      <c r="H7437" s="0" t="n">
        <v>34</v>
      </c>
      <c r="I7437" s="0" t="s">
        <v>24865</v>
      </c>
      <c r="J7437" s="0" t="s">
        <v>24866</v>
      </c>
      <c r="K7437" s="0" t="s">
        <v>24867</v>
      </c>
      <c r="L7437" s="0" t="str">
        <f aca="false">HYPERLINK("https://www.ncbi.nlm.nih.gov/nuccore/CP000304.1?report=graph&amp;tracks=[key:gene_model_track,Options:GeneOnly]&amp;mk=2092055:2092074|offset_34|00cc00,2092083:2092102|offset_62|444444,2092109:2092128|offset_88|444444,2092169:2092188|offset_148|444444&amp;v=2091854:2092388&amp;c=444444", "offset 34")</f>
        <v>offset 34</v>
      </c>
    </row>
    <row r="7438" customFormat="false" ht="12.8" hidden="false" customHeight="false" outlineLevel="0" collapsed="false">
      <c r="A7438" s="0" t="s">
        <v>12</v>
      </c>
      <c r="B7438" s="0" t="n">
        <v>2092082</v>
      </c>
      <c r="C7438" s="0" t="n">
        <v>2092102</v>
      </c>
      <c r="D7438" s="0" t="s">
        <v>24864</v>
      </c>
      <c r="E7438" s="0" t="s">
        <v>89</v>
      </c>
      <c r="F7438" s="0" t="s">
        <v>15</v>
      </c>
      <c r="G7438" s="0" t="s">
        <v>26</v>
      </c>
      <c r="H7438" s="0" t="n">
        <v>62</v>
      </c>
      <c r="I7438" s="0" t="s">
        <v>24868</v>
      </c>
      <c r="J7438" s="0" t="s">
        <v>24869</v>
      </c>
      <c r="K7438" s="0" t="s">
        <v>24870</v>
      </c>
      <c r="L7438" s="0" t="str">
        <f aca="false">HYPERLINK("https://www.ncbi.nlm.nih.gov/nuccore/CP000304.1?report=graph&amp;tracks=[key:gene_model_track,Options:GeneOnly]&amp;mk=2092055:2092074|offset_34|444444,2092083:2092102|offset_62|00cc00,2092109:2092128|offset_88|444444,2092169:2092188|offset_148|444444&amp;v=2091854:2092388&amp;c=444444", "offset 62")</f>
        <v>offset 62</v>
      </c>
    </row>
    <row r="7439" customFormat="false" ht="12.8" hidden="false" customHeight="false" outlineLevel="0" collapsed="false">
      <c r="A7439" s="0" t="s">
        <v>12</v>
      </c>
      <c r="B7439" s="0" t="n">
        <v>2092108</v>
      </c>
      <c r="C7439" s="0" t="n">
        <v>2092128</v>
      </c>
      <c r="D7439" s="0" t="s">
        <v>24864</v>
      </c>
      <c r="E7439" s="0" t="s">
        <v>89</v>
      </c>
      <c r="F7439" s="0" t="s">
        <v>15</v>
      </c>
      <c r="G7439" s="0" t="s">
        <v>16</v>
      </c>
      <c r="H7439" s="0" t="n">
        <v>88</v>
      </c>
      <c r="I7439" s="0" t="s">
        <v>24871</v>
      </c>
      <c r="J7439" s="0" t="s">
        <v>24872</v>
      </c>
      <c r="K7439" s="0" t="s">
        <v>24873</v>
      </c>
      <c r="L7439" s="0" t="str">
        <f aca="false">HYPERLINK("https://www.ncbi.nlm.nih.gov/nuccore/CP000304.1?report=graph&amp;tracks=[key:gene_model_track,Options:GeneOnly]&amp;mk=2092055:2092074|offset_34|444444,2092083:2092102|offset_62|444444,2092109:2092128|offset_88|00cc00,2092169:2092188|offset_148|444444&amp;v=2091854:2092388&amp;c=444444", "offset 88")</f>
        <v>offset 88</v>
      </c>
    </row>
    <row r="7440" customFormat="false" ht="12.8" hidden="false" customHeight="false" outlineLevel="0" collapsed="false">
      <c r="A7440" s="0" t="s">
        <v>12</v>
      </c>
      <c r="B7440" s="0" t="n">
        <v>2092168</v>
      </c>
      <c r="C7440" s="0" t="n">
        <v>2092188</v>
      </c>
      <c r="D7440" s="0" t="s">
        <v>24864</v>
      </c>
      <c r="E7440" s="0" t="s">
        <v>89</v>
      </c>
      <c r="F7440" s="0" t="s">
        <v>15</v>
      </c>
      <c r="G7440" s="0" t="s">
        <v>26</v>
      </c>
      <c r="H7440" s="0" t="n">
        <v>148</v>
      </c>
      <c r="I7440" s="0" t="s">
        <v>24874</v>
      </c>
      <c r="J7440" s="0" t="s">
        <v>24875</v>
      </c>
      <c r="K7440" s="0" t="s">
        <v>24876</v>
      </c>
      <c r="L7440" s="0" t="str">
        <f aca="false">HYPERLINK("https://www.ncbi.nlm.nih.gov/nuccore/CP000304.1?report=graph&amp;tracks=[key:gene_model_track,Options:GeneOnly]&amp;mk=2092055:2092074|offset_34|444444,2092083:2092102|offset_62|444444,2092109:2092128|offset_88|444444,2092169:2092188|offset_148|00cc00&amp;v=2091854:2092388&amp;c=444444", "offset 148")</f>
        <v>offset 148</v>
      </c>
    </row>
    <row r="7441" customFormat="false" ht="12.8" hidden="false" customHeight="false" outlineLevel="0" collapsed="false">
      <c r="A7441" s="0" t="s">
        <v>12</v>
      </c>
      <c r="B7441" s="0" t="n">
        <v>2094616</v>
      </c>
      <c r="C7441" s="0" t="n">
        <v>2094636</v>
      </c>
      <c r="D7441" s="0" t="s">
        <v>24877</v>
      </c>
      <c r="E7441" s="0" t="s">
        <v>89</v>
      </c>
      <c r="F7441" s="0" t="s">
        <v>15</v>
      </c>
      <c r="G7441" s="0" t="s">
        <v>36</v>
      </c>
      <c r="H7441" s="0" t="n">
        <v>20</v>
      </c>
      <c r="I7441" s="0" t="s">
        <v>24878</v>
      </c>
      <c r="J7441" s="0" t="s">
        <v>24879</v>
      </c>
      <c r="K7441" s="0" t="s">
        <v>24880</v>
      </c>
      <c r="L7441" s="0" t="str">
        <f aca="false">HYPERLINK("https://www.ncbi.nlm.nih.gov/nuccore/CP000304.1?report=graph&amp;tracks=[key:gene_model_track,Options:GeneOnly]&amp;mk=2094617:2094636|offset_20|00cc00,2094652:2094671|offset_55|444444,2094684:2094703|offset_87|444444,2094709:2094728|offset_112|444444&amp;v=2094416:2094928&amp;c=444444", "offset 20")</f>
        <v>offset 20</v>
      </c>
    </row>
    <row r="7442" customFormat="false" ht="12.8" hidden="false" customHeight="false" outlineLevel="0" collapsed="false">
      <c r="A7442" s="0" t="s">
        <v>12</v>
      </c>
      <c r="B7442" s="0" t="n">
        <v>2094651</v>
      </c>
      <c r="C7442" s="0" t="n">
        <v>2094671</v>
      </c>
      <c r="D7442" s="0" t="s">
        <v>24877</v>
      </c>
      <c r="E7442" s="0" t="s">
        <v>89</v>
      </c>
      <c r="F7442" s="0" t="s">
        <v>15</v>
      </c>
      <c r="G7442" s="0" t="s">
        <v>32</v>
      </c>
      <c r="H7442" s="0" t="n">
        <v>55</v>
      </c>
      <c r="I7442" s="0" t="s">
        <v>24881</v>
      </c>
      <c r="J7442" s="0" t="s">
        <v>24882</v>
      </c>
      <c r="K7442" s="0" t="s">
        <v>24883</v>
      </c>
      <c r="L7442" s="0" t="str">
        <f aca="false">HYPERLINK("https://www.ncbi.nlm.nih.gov/nuccore/CP000304.1?report=graph&amp;tracks=[key:gene_model_track,Options:GeneOnly]&amp;mk=2094617:2094636|offset_20|444444,2094652:2094671|offset_55|00cc00,2094684:2094703|offset_87|444444,2094709:2094728|offset_112|444444&amp;v=2094416:2094928&amp;c=444444", "offset 55")</f>
        <v>offset 55</v>
      </c>
    </row>
    <row r="7443" customFormat="false" ht="12.8" hidden="false" customHeight="false" outlineLevel="0" collapsed="false">
      <c r="A7443" s="0" t="s">
        <v>12</v>
      </c>
      <c r="B7443" s="0" t="n">
        <v>2094683</v>
      </c>
      <c r="C7443" s="0" t="n">
        <v>2094703</v>
      </c>
      <c r="D7443" s="0" t="s">
        <v>24877</v>
      </c>
      <c r="E7443" s="0" t="s">
        <v>89</v>
      </c>
      <c r="F7443" s="0" t="s">
        <v>15</v>
      </c>
      <c r="G7443" s="0" t="s">
        <v>36</v>
      </c>
      <c r="H7443" s="0" t="n">
        <v>87</v>
      </c>
      <c r="I7443" s="0" t="s">
        <v>24884</v>
      </c>
      <c r="J7443" s="0" t="s">
        <v>24885</v>
      </c>
      <c r="K7443" s="0" t="s">
        <v>24886</v>
      </c>
      <c r="L7443" s="0" t="str">
        <f aca="false">HYPERLINK("https://www.ncbi.nlm.nih.gov/nuccore/CP000304.1?report=graph&amp;tracks=[key:gene_model_track,Options:GeneOnly]&amp;mk=2094617:2094636|offset_20|444444,2094652:2094671|offset_55|444444,2094684:2094703|offset_87|00cc00,2094709:2094728|offset_112|444444&amp;v=2094416:2094928&amp;c=444444", "offset 87")</f>
        <v>offset 87</v>
      </c>
    </row>
    <row r="7444" customFormat="false" ht="12.8" hidden="false" customHeight="false" outlineLevel="0" collapsed="false">
      <c r="A7444" s="0" t="s">
        <v>12</v>
      </c>
      <c r="B7444" s="0" t="n">
        <v>2094708</v>
      </c>
      <c r="C7444" s="0" t="n">
        <v>2094728</v>
      </c>
      <c r="D7444" s="0" t="s">
        <v>24877</v>
      </c>
      <c r="E7444" s="0" t="s">
        <v>89</v>
      </c>
      <c r="F7444" s="0" t="s">
        <v>15</v>
      </c>
      <c r="G7444" s="0" t="s">
        <v>16</v>
      </c>
      <c r="H7444" s="0" t="n">
        <v>112</v>
      </c>
      <c r="I7444" s="0" t="s">
        <v>24887</v>
      </c>
      <c r="J7444" s="0" t="s">
        <v>24888</v>
      </c>
      <c r="K7444" s="0" t="s">
        <v>24889</v>
      </c>
      <c r="L7444" s="0" t="str">
        <f aca="false">HYPERLINK("https://www.ncbi.nlm.nih.gov/nuccore/CP000304.1?report=graph&amp;tracks=[key:gene_model_track,Options:GeneOnly]&amp;mk=2094617:2094636|offset_20|444444,2094652:2094671|offset_55|444444,2094684:2094703|offset_87|444444,2094709:2094728|offset_112|00cc00&amp;v=2094416:2094928&amp;c=444444", "offset 112")</f>
        <v>offset 112</v>
      </c>
    </row>
    <row r="7445" customFormat="false" ht="12.8" hidden="false" customHeight="false" outlineLevel="0" collapsed="false">
      <c r="A7445" s="0" t="s">
        <v>12</v>
      </c>
      <c r="B7445" s="0" t="n">
        <v>2096027</v>
      </c>
      <c r="C7445" s="0" t="n">
        <v>2096047</v>
      </c>
      <c r="D7445" s="0" t="s">
        <v>24890</v>
      </c>
      <c r="E7445" s="0" t="s">
        <v>89</v>
      </c>
      <c r="F7445" s="0" t="s">
        <v>15</v>
      </c>
      <c r="G7445" s="0" t="s">
        <v>26</v>
      </c>
      <c r="H7445" s="0" t="n">
        <v>56</v>
      </c>
      <c r="I7445" s="0" t="s">
        <v>24891</v>
      </c>
      <c r="J7445" s="0" t="s">
        <v>24892</v>
      </c>
      <c r="K7445" s="0" t="s">
        <v>24893</v>
      </c>
      <c r="L7445" s="0" t="str">
        <f aca="false">HYPERLINK("https://www.ncbi.nlm.nih.gov/nuccore/CP000304.1?report=graph&amp;tracks=[key:gene_model_track,Options:GeneOnly]&amp;mk=2096028:2096047|offset_56|00cc00,2096060:2096079|offset_88|444444,2096084:2096103|offset_112|444444,2096111:2096130|offset_139|444444&amp;v=2095827:2096330&amp;c=444444", "offset 56")</f>
        <v>offset 56</v>
      </c>
    </row>
    <row r="7446" customFormat="false" ht="12.8" hidden="false" customHeight="false" outlineLevel="0" collapsed="false">
      <c r="A7446" s="0" t="s">
        <v>12</v>
      </c>
      <c r="B7446" s="0" t="n">
        <v>2096059</v>
      </c>
      <c r="C7446" s="0" t="n">
        <v>2096079</v>
      </c>
      <c r="D7446" s="0" t="s">
        <v>24890</v>
      </c>
      <c r="E7446" s="0" t="s">
        <v>89</v>
      </c>
      <c r="F7446" s="0" t="s">
        <v>15</v>
      </c>
      <c r="G7446" s="0" t="s">
        <v>16</v>
      </c>
      <c r="H7446" s="0" t="n">
        <v>88</v>
      </c>
      <c r="I7446" s="0" t="s">
        <v>24894</v>
      </c>
      <c r="J7446" s="0" t="s">
        <v>24895</v>
      </c>
      <c r="K7446" s="0" t="s">
        <v>24896</v>
      </c>
      <c r="L7446" s="0" t="str">
        <f aca="false">HYPERLINK("https://www.ncbi.nlm.nih.gov/nuccore/CP000304.1?report=graph&amp;tracks=[key:gene_model_track,Options:GeneOnly]&amp;mk=2096028:2096047|offset_56|444444,2096060:2096079|offset_88|00cc00,2096084:2096103|offset_112|444444,2096111:2096130|offset_139|444444&amp;v=2095827:2096330&amp;c=444444", "offset 88")</f>
        <v>offset 88</v>
      </c>
    </row>
    <row r="7447" customFormat="false" ht="12.8" hidden="false" customHeight="false" outlineLevel="0" collapsed="false">
      <c r="A7447" s="0" t="s">
        <v>12</v>
      </c>
      <c r="B7447" s="0" t="n">
        <v>2096083</v>
      </c>
      <c r="C7447" s="0" t="n">
        <v>2096103</v>
      </c>
      <c r="D7447" s="0" t="s">
        <v>24890</v>
      </c>
      <c r="E7447" s="0" t="s">
        <v>89</v>
      </c>
      <c r="F7447" s="0" t="s">
        <v>15</v>
      </c>
      <c r="G7447" s="0" t="s">
        <v>16</v>
      </c>
      <c r="H7447" s="0" t="n">
        <v>112</v>
      </c>
      <c r="I7447" s="0" t="s">
        <v>24897</v>
      </c>
      <c r="J7447" s="0" t="s">
        <v>24898</v>
      </c>
      <c r="K7447" s="0" t="s">
        <v>24899</v>
      </c>
      <c r="L7447" s="0" t="str">
        <f aca="false">HYPERLINK("https://www.ncbi.nlm.nih.gov/nuccore/CP000304.1?report=graph&amp;tracks=[key:gene_model_track,Options:GeneOnly]&amp;mk=2096028:2096047|offset_56|444444,2096060:2096079|offset_88|444444,2096084:2096103|offset_112|00cc00,2096111:2096130|offset_139|444444&amp;v=2095827:2096330&amp;c=444444", "offset 112")</f>
        <v>offset 112</v>
      </c>
    </row>
    <row r="7448" customFormat="false" ht="12.8" hidden="false" customHeight="false" outlineLevel="0" collapsed="false">
      <c r="A7448" s="0" t="s">
        <v>12</v>
      </c>
      <c r="B7448" s="0" t="n">
        <v>2096110</v>
      </c>
      <c r="C7448" s="0" t="n">
        <v>2096130</v>
      </c>
      <c r="D7448" s="0" t="s">
        <v>24890</v>
      </c>
      <c r="E7448" s="0" t="s">
        <v>89</v>
      </c>
      <c r="F7448" s="0" t="s">
        <v>15</v>
      </c>
      <c r="G7448" s="0" t="s">
        <v>16</v>
      </c>
      <c r="H7448" s="0" t="n">
        <v>139</v>
      </c>
      <c r="I7448" s="0" t="s">
        <v>24900</v>
      </c>
      <c r="J7448" s="0" t="s">
        <v>24901</v>
      </c>
      <c r="K7448" s="0" t="s">
        <v>24902</v>
      </c>
      <c r="L7448" s="0" t="str">
        <f aca="false">HYPERLINK("https://www.ncbi.nlm.nih.gov/nuccore/CP000304.1?report=graph&amp;tracks=[key:gene_model_track,Options:GeneOnly]&amp;mk=2096028:2096047|offset_56|444444,2096060:2096079|offset_88|444444,2096084:2096103|offset_112|444444,2096111:2096130|offset_139|00cc00&amp;v=2095827:2096330&amp;c=444444", "offset 139")</f>
        <v>offset 139</v>
      </c>
    </row>
    <row r="7449" customFormat="false" ht="12.8" hidden="false" customHeight="false" outlineLevel="0" collapsed="false">
      <c r="A7449" s="0" t="s">
        <v>12</v>
      </c>
      <c r="B7449" s="0" t="n">
        <v>2096801</v>
      </c>
      <c r="C7449" s="0" t="n">
        <v>2096821</v>
      </c>
      <c r="D7449" s="0" t="s">
        <v>24903</v>
      </c>
      <c r="E7449" s="0" t="s">
        <v>89</v>
      </c>
      <c r="F7449" s="0" t="s">
        <v>15</v>
      </c>
      <c r="G7449" s="0" t="s">
        <v>36</v>
      </c>
      <c r="H7449" s="0" t="n">
        <v>63</v>
      </c>
      <c r="I7449" s="0" t="s">
        <v>24904</v>
      </c>
      <c r="J7449" s="0" t="s">
        <v>24905</v>
      </c>
      <c r="K7449" s="0" t="s">
        <v>24906</v>
      </c>
      <c r="L7449" s="0" t="str">
        <f aca="false">HYPERLINK("https://www.ncbi.nlm.nih.gov/nuccore/CP000304.1?report=graph&amp;tracks=[key:gene_model_track,Options:GeneOnly]&amp;mk=2096802:2096821|offset_63|00cc00,2096828:2096847|offset_89|444444,2096866:2096885|offset_127|444444,2096914:2096933|offset_175|444444&amp;v=2096601:2097133&amp;c=444444", "offset 63")</f>
        <v>offset 63</v>
      </c>
    </row>
    <row r="7450" customFormat="false" ht="12.8" hidden="false" customHeight="false" outlineLevel="0" collapsed="false">
      <c r="A7450" s="0" t="s">
        <v>12</v>
      </c>
      <c r="B7450" s="0" t="n">
        <v>2096827</v>
      </c>
      <c r="C7450" s="0" t="n">
        <v>2096847</v>
      </c>
      <c r="D7450" s="0" t="s">
        <v>24903</v>
      </c>
      <c r="E7450" s="0" t="s">
        <v>89</v>
      </c>
      <c r="F7450" s="0" t="s">
        <v>15</v>
      </c>
      <c r="G7450" s="0" t="s">
        <v>26</v>
      </c>
      <c r="H7450" s="0" t="n">
        <v>89</v>
      </c>
      <c r="I7450" s="0" t="s">
        <v>24907</v>
      </c>
      <c r="J7450" s="0" t="s">
        <v>24908</v>
      </c>
      <c r="K7450" s="0" t="s">
        <v>24909</v>
      </c>
      <c r="L7450" s="0" t="str">
        <f aca="false">HYPERLINK("https://www.ncbi.nlm.nih.gov/nuccore/CP000304.1?report=graph&amp;tracks=[key:gene_model_track,Options:GeneOnly]&amp;mk=2096802:2096821|offset_63|444444,2096828:2096847|offset_89|00cc00,2096866:2096885|offset_127|444444,2096914:2096933|offset_175|444444&amp;v=2096601:2097133&amp;c=444444", "offset 89")</f>
        <v>offset 89</v>
      </c>
    </row>
    <row r="7451" customFormat="false" ht="12.8" hidden="false" customHeight="false" outlineLevel="0" collapsed="false">
      <c r="A7451" s="0" t="s">
        <v>12</v>
      </c>
      <c r="B7451" s="0" t="n">
        <v>2096865</v>
      </c>
      <c r="C7451" s="0" t="n">
        <v>2096885</v>
      </c>
      <c r="D7451" s="0" t="s">
        <v>24903</v>
      </c>
      <c r="E7451" s="0" t="s">
        <v>89</v>
      </c>
      <c r="F7451" s="0" t="s">
        <v>15</v>
      </c>
      <c r="G7451" s="0" t="s">
        <v>16</v>
      </c>
      <c r="H7451" s="0" t="n">
        <v>127</v>
      </c>
      <c r="I7451" s="0" t="s">
        <v>24910</v>
      </c>
      <c r="J7451" s="0" t="s">
        <v>24911</v>
      </c>
      <c r="K7451" s="0" t="s">
        <v>24912</v>
      </c>
      <c r="L7451" s="0" t="str">
        <f aca="false">HYPERLINK("https://www.ncbi.nlm.nih.gov/nuccore/CP000304.1?report=graph&amp;tracks=[key:gene_model_track,Options:GeneOnly]&amp;mk=2096802:2096821|offset_63|444444,2096828:2096847|offset_89|444444,2096866:2096885|offset_127|00cc00,2096914:2096933|offset_175|444444&amp;v=2096601:2097133&amp;c=444444", "offset 127")</f>
        <v>offset 127</v>
      </c>
    </row>
    <row r="7452" customFormat="false" ht="12.8" hidden="false" customHeight="false" outlineLevel="0" collapsed="false">
      <c r="A7452" s="0" t="s">
        <v>12</v>
      </c>
      <c r="B7452" s="0" t="n">
        <v>2096913</v>
      </c>
      <c r="C7452" s="0" t="n">
        <v>2096933</v>
      </c>
      <c r="D7452" s="0" t="s">
        <v>24903</v>
      </c>
      <c r="E7452" s="0" t="s">
        <v>89</v>
      </c>
      <c r="F7452" s="0" t="s">
        <v>15</v>
      </c>
      <c r="G7452" s="0" t="s">
        <v>16</v>
      </c>
      <c r="H7452" s="0" t="n">
        <v>175</v>
      </c>
      <c r="I7452" s="0" t="s">
        <v>24913</v>
      </c>
      <c r="J7452" s="0" t="s">
        <v>24914</v>
      </c>
      <c r="K7452" s="0" t="s">
        <v>24915</v>
      </c>
      <c r="L7452" s="0" t="str">
        <f aca="false">HYPERLINK("https://www.ncbi.nlm.nih.gov/nuccore/CP000304.1?report=graph&amp;tracks=[key:gene_model_track,Options:GeneOnly]&amp;mk=2096802:2096821|offset_63|444444,2096828:2096847|offset_89|444444,2096866:2096885|offset_127|444444,2096914:2096933|offset_175|00cc00&amp;v=2096601:2097133&amp;c=444444", "offset 175")</f>
        <v>offset 175</v>
      </c>
    </row>
    <row r="7453" customFormat="false" ht="12.8" hidden="false" customHeight="false" outlineLevel="0" collapsed="false">
      <c r="A7453" s="0" t="s">
        <v>12</v>
      </c>
      <c r="B7453" s="0" t="n">
        <v>2099324</v>
      </c>
      <c r="C7453" s="0" t="n">
        <v>2099344</v>
      </c>
      <c r="D7453" s="0" t="s">
        <v>24916</v>
      </c>
      <c r="E7453" s="0" t="s">
        <v>89</v>
      </c>
      <c r="F7453" s="0" t="s">
        <v>90</v>
      </c>
      <c r="G7453" s="0" t="s">
        <v>32</v>
      </c>
      <c r="H7453" s="0" t="n">
        <v>52</v>
      </c>
      <c r="I7453" s="0" t="s">
        <v>24917</v>
      </c>
      <c r="J7453" s="0" t="s">
        <v>24918</v>
      </c>
      <c r="K7453" s="0" t="s">
        <v>24919</v>
      </c>
      <c r="L7453" s="0" t="str">
        <f aca="false">HYPERLINK("https://www.ncbi.nlm.nih.gov/nuccore/CP000304.1?report=graph&amp;tracks=[key:gene_model_track,Options:GeneOnly]&amp;mk=2099325:2099344|offset_52|00cc00,2099288:2099307|offset_89|444444,2099263:2099282|offset_114|444444,2099226:2099245|offset_151|444444&amp;v=2099124:2099445&amp;c=444444", "offset 52")</f>
        <v>offset 52</v>
      </c>
    </row>
    <row r="7454" customFormat="false" ht="12.8" hidden="false" customHeight="false" outlineLevel="0" collapsed="false">
      <c r="A7454" s="0" t="s">
        <v>12</v>
      </c>
      <c r="B7454" s="0" t="n">
        <v>2099287</v>
      </c>
      <c r="C7454" s="0" t="n">
        <v>2099307</v>
      </c>
      <c r="D7454" s="0" t="s">
        <v>24916</v>
      </c>
      <c r="E7454" s="0" t="s">
        <v>89</v>
      </c>
      <c r="F7454" s="0" t="s">
        <v>90</v>
      </c>
      <c r="G7454" s="0" t="s">
        <v>36</v>
      </c>
      <c r="H7454" s="0" t="n">
        <v>89</v>
      </c>
      <c r="I7454" s="0" t="s">
        <v>24920</v>
      </c>
      <c r="J7454" s="0" t="s">
        <v>24921</v>
      </c>
      <c r="K7454" s="0" t="s">
        <v>24922</v>
      </c>
      <c r="L7454" s="0" t="str">
        <f aca="false">HYPERLINK("https://www.ncbi.nlm.nih.gov/nuccore/CP000304.1?report=graph&amp;tracks=[key:gene_model_track,Options:GeneOnly]&amp;mk=2099325:2099344|offset_52|444444,2099288:2099307|offset_89|00cc00,2099263:2099282|offset_114|444444,2099226:2099245|offset_151|444444&amp;v=2099124:2099445&amp;c=444444", "offset 89")</f>
        <v>offset 89</v>
      </c>
    </row>
    <row r="7455" customFormat="false" ht="12.8" hidden="false" customHeight="false" outlineLevel="0" collapsed="false">
      <c r="A7455" s="0" t="s">
        <v>12</v>
      </c>
      <c r="B7455" s="0" t="n">
        <v>2099262</v>
      </c>
      <c r="C7455" s="0" t="n">
        <v>2099282</v>
      </c>
      <c r="D7455" s="0" t="s">
        <v>24916</v>
      </c>
      <c r="E7455" s="0" t="s">
        <v>89</v>
      </c>
      <c r="F7455" s="0" t="s">
        <v>90</v>
      </c>
      <c r="G7455" s="0" t="s">
        <v>16</v>
      </c>
      <c r="H7455" s="0" t="n">
        <v>114</v>
      </c>
      <c r="I7455" s="0" t="s">
        <v>24923</v>
      </c>
      <c r="J7455" s="0" t="s">
        <v>24924</v>
      </c>
      <c r="K7455" s="0" t="s">
        <v>24925</v>
      </c>
      <c r="L7455" s="0" t="str">
        <f aca="false">HYPERLINK("https://www.ncbi.nlm.nih.gov/nuccore/CP000304.1?report=graph&amp;tracks=[key:gene_model_track,Options:GeneOnly]&amp;mk=2099325:2099344|offset_52|444444,2099288:2099307|offset_89|444444,2099263:2099282|offset_114|00cc00,2099226:2099245|offset_151|444444&amp;v=2099124:2099445&amp;c=444444", "offset 114")</f>
        <v>offset 114</v>
      </c>
    </row>
    <row r="7456" customFormat="false" ht="12.8" hidden="false" customHeight="false" outlineLevel="0" collapsed="false">
      <c r="A7456" s="0" t="s">
        <v>12</v>
      </c>
      <c r="B7456" s="0" t="n">
        <v>2099225</v>
      </c>
      <c r="C7456" s="0" t="n">
        <v>2099245</v>
      </c>
      <c r="D7456" s="0" t="s">
        <v>24916</v>
      </c>
      <c r="E7456" s="0" t="s">
        <v>89</v>
      </c>
      <c r="F7456" s="0" t="s">
        <v>90</v>
      </c>
      <c r="G7456" s="0" t="s">
        <v>32</v>
      </c>
      <c r="H7456" s="0" t="n">
        <v>151</v>
      </c>
      <c r="I7456" s="0" t="s">
        <v>24926</v>
      </c>
      <c r="J7456" s="0" t="s">
        <v>24927</v>
      </c>
      <c r="K7456" s="0" t="s">
        <v>24928</v>
      </c>
      <c r="L7456" s="0" t="str">
        <f aca="false">HYPERLINK("https://www.ncbi.nlm.nih.gov/nuccore/CP000304.1?report=graph&amp;tracks=[key:gene_model_track,Options:GeneOnly]&amp;mk=2099325:2099344|offset_52|444444,2099288:2099307|offset_89|444444,2099263:2099282|offset_114|444444,2099226:2099245|offset_151|00cc00&amp;v=2099124:2099445&amp;c=444444", "offset 151")</f>
        <v>offset 151</v>
      </c>
    </row>
    <row r="7457" customFormat="false" ht="12.8" hidden="false" customHeight="false" outlineLevel="0" collapsed="false">
      <c r="A7457" s="0" t="s">
        <v>12</v>
      </c>
      <c r="B7457" s="0" t="n">
        <v>2100253</v>
      </c>
      <c r="C7457" s="0" t="n">
        <v>2100273</v>
      </c>
      <c r="D7457" s="0" t="s">
        <v>24929</v>
      </c>
      <c r="E7457" s="0" t="s">
        <v>89</v>
      </c>
      <c r="F7457" s="0" t="s">
        <v>90</v>
      </c>
      <c r="G7457" s="0" t="s">
        <v>32</v>
      </c>
      <c r="H7457" s="0" t="n">
        <v>1</v>
      </c>
      <c r="I7457" s="0" t="s">
        <v>24930</v>
      </c>
      <c r="J7457" s="0" t="s">
        <v>24931</v>
      </c>
      <c r="K7457" s="0" t="s">
        <v>24932</v>
      </c>
      <c r="L7457" s="0" t="str">
        <f aca="false">HYPERLINK("https://www.ncbi.nlm.nih.gov/nuccore/CP000304.1?report=graph&amp;tracks=[key:gene_model_track,Options:GeneOnly]&amp;mk=2100254:2100273|offset_1|00cc00,2100230:2100249|offset_25|444444,2100194:2100213|offset_61|444444,2100154:2100173|offset_101|444444&amp;v=2100053:2100373&amp;c=444444", "offset 1")</f>
        <v>offset 1</v>
      </c>
    </row>
    <row r="7458" customFormat="false" ht="12.8" hidden="false" customHeight="false" outlineLevel="0" collapsed="false">
      <c r="A7458" s="0" t="s">
        <v>12</v>
      </c>
      <c r="B7458" s="0" t="n">
        <v>2100229</v>
      </c>
      <c r="C7458" s="0" t="n">
        <v>2100249</v>
      </c>
      <c r="D7458" s="0" t="s">
        <v>24929</v>
      </c>
      <c r="E7458" s="0" t="s">
        <v>89</v>
      </c>
      <c r="F7458" s="0" t="s">
        <v>90</v>
      </c>
      <c r="G7458" s="0" t="s">
        <v>16</v>
      </c>
      <c r="H7458" s="0" t="n">
        <v>25</v>
      </c>
      <c r="I7458" s="0" t="s">
        <v>24933</v>
      </c>
      <c r="J7458" s="0" t="s">
        <v>24934</v>
      </c>
      <c r="K7458" s="0" t="s">
        <v>24935</v>
      </c>
      <c r="L7458" s="0" t="str">
        <f aca="false">HYPERLINK("https://www.ncbi.nlm.nih.gov/nuccore/CP000304.1?report=graph&amp;tracks=[key:gene_model_track,Options:GeneOnly]&amp;mk=2100254:2100273|offset_1|444444,2100230:2100249|offset_25|00cc00,2100194:2100213|offset_61|444444,2100154:2100173|offset_101|444444&amp;v=2100053:2100373&amp;c=444444", "offset 25")</f>
        <v>offset 25</v>
      </c>
    </row>
    <row r="7459" customFormat="false" ht="12.8" hidden="false" customHeight="false" outlineLevel="0" collapsed="false">
      <c r="A7459" s="0" t="s">
        <v>12</v>
      </c>
      <c r="B7459" s="0" t="n">
        <v>2100193</v>
      </c>
      <c r="C7459" s="0" t="n">
        <v>2100213</v>
      </c>
      <c r="D7459" s="0" t="s">
        <v>24929</v>
      </c>
      <c r="E7459" s="0" t="s">
        <v>89</v>
      </c>
      <c r="F7459" s="0" t="s">
        <v>90</v>
      </c>
      <c r="G7459" s="0" t="s">
        <v>16</v>
      </c>
      <c r="H7459" s="0" t="n">
        <v>61</v>
      </c>
      <c r="I7459" s="0" t="s">
        <v>24936</v>
      </c>
      <c r="J7459" s="0" t="s">
        <v>24937</v>
      </c>
      <c r="K7459" s="0" t="s">
        <v>24938</v>
      </c>
      <c r="L7459" s="0" t="str">
        <f aca="false">HYPERLINK("https://www.ncbi.nlm.nih.gov/nuccore/CP000304.1?report=graph&amp;tracks=[key:gene_model_track,Options:GeneOnly]&amp;mk=2100254:2100273|offset_1|444444,2100230:2100249|offset_25|444444,2100194:2100213|offset_61|00cc00,2100154:2100173|offset_101|444444&amp;v=2100053:2100373&amp;c=444444", "offset 61")</f>
        <v>offset 61</v>
      </c>
    </row>
    <row r="7460" customFormat="false" ht="12.8" hidden="false" customHeight="false" outlineLevel="0" collapsed="false">
      <c r="A7460" s="0" t="s">
        <v>12</v>
      </c>
      <c r="B7460" s="0" t="n">
        <v>2100153</v>
      </c>
      <c r="C7460" s="0" t="n">
        <v>2100173</v>
      </c>
      <c r="D7460" s="0" t="s">
        <v>24929</v>
      </c>
      <c r="E7460" s="0" t="s">
        <v>89</v>
      </c>
      <c r="F7460" s="0" t="s">
        <v>90</v>
      </c>
      <c r="G7460" s="0" t="s">
        <v>32</v>
      </c>
      <c r="H7460" s="0" t="n">
        <v>101</v>
      </c>
      <c r="I7460" s="0" t="s">
        <v>24939</v>
      </c>
      <c r="J7460" s="0" t="s">
        <v>24940</v>
      </c>
      <c r="K7460" s="0" t="s">
        <v>24941</v>
      </c>
      <c r="L7460" s="0" t="str">
        <f aca="false">HYPERLINK("https://www.ncbi.nlm.nih.gov/nuccore/CP000304.1?report=graph&amp;tracks=[key:gene_model_track,Options:GeneOnly]&amp;mk=2100254:2100273|offset_1|444444,2100230:2100249|offset_25|444444,2100194:2100213|offset_61|444444,2100154:2100173|offset_101|00cc00&amp;v=2100053:2100373&amp;c=444444", "offset 101")</f>
        <v>offset 101</v>
      </c>
    </row>
    <row r="7461" customFormat="false" ht="12.8" hidden="false" customHeight="false" outlineLevel="0" collapsed="false">
      <c r="A7461" s="0" t="s">
        <v>12</v>
      </c>
      <c r="B7461" s="0" t="n">
        <v>2101142</v>
      </c>
      <c r="C7461" s="0" t="n">
        <v>2101162</v>
      </c>
      <c r="D7461" s="0" t="s">
        <v>24942</v>
      </c>
      <c r="E7461" s="0" t="s">
        <v>89</v>
      </c>
      <c r="F7461" s="0" t="s">
        <v>90</v>
      </c>
      <c r="G7461" s="0" t="s">
        <v>26</v>
      </c>
      <c r="H7461" s="0" t="n">
        <v>8</v>
      </c>
      <c r="I7461" s="0" t="s">
        <v>24943</v>
      </c>
      <c r="J7461" s="0" t="s">
        <v>24944</v>
      </c>
      <c r="K7461" s="0" t="s">
        <v>24945</v>
      </c>
      <c r="L7461" s="0" t="str">
        <f aca="false">HYPERLINK("https://www.ncbi.nlm.nih.gov/nuccore/CP000304.1?report=graph&amp;tracks=[key:gene_model_track,Options:GeneOnly]&amp;mk=2101143:2101162|offset_8|00cc00,2101095:2101114|offset_56|444444,2101073:2101092|offset_78|444444,2101030:2101049|offset_121|444444&amp;v=2100942:2101249&amp;c=444444", "offset 8")</f>
        <v>offset 8</v>
      </c>
    </row>
    <row r="7462" customFormat="false" ht="12.8" hidden="false" customHeight="false" outlineLevel="0" collapsed="false">
      <c r="A7462" s="0" t="s">
        <v>12</v>
      </c>
      <c r="B7462" s="0" t="n">
        <v>2101094</v>
      </c>
      <c r="C7462" s="0" t="n">
        <v>2101114</v>
      </c>
      <c r="D7462" s="0" t="s">
        <v>24942</v>
      </c>
      <c r="E7462" s="0" t="s">
        <v>89</v>
      </c>
      <c r="F7462" s="0" t="s">
        <v>90</v>
      </c>
      <c r="G7462" s="0" t="s">
        <v>32</v>
      </c>
      <c r="H7462" s="0" t="n">
        <v>56</v>
      </c>
      <c r="I7462" s="0" t="s">
        <v>24946</v>
      </c>
      <c r="J7462" s="0" t="s">
        <v>24947</v>
      </c>
      <c r="K7462" s="0" t="s">
        <v>24948</v>
      </c>
      <c r="L7462" s="0" t="str">
        <f aca="false">HYPERLINK("https://www.ncbi.nlm.nih.gov/nuccore/CP000304.1?report=graph&amp;tracks=[key:gene_model_track,Options:GeneOnly]&amp;mk=2101143:2101162|offset_8|444444,2101095:2101114|offset_56|00cc00,2101073:2101092|offset_78|444444,2101030:2101049|offset_121|444444&amp;v=2100942:2101249&amp;c=444444", "offset 56")</f>
        <v>offset 56</v>
      </c>
    </row>
    <row r="7463" customFormat="false" ht="12.8" hidden="false" customHeight="false" outlineLevel="0" collapsed="false">
      <c r="A7463" s="0" t="s">
        <v>12</v>
      </c>
      <c r="B7463" s="0" t="n">
        <v>2101072</v>
      </c>
      <c r="C7463" s="0" t="n">
        <v>2101092</v>
      </c>
      <c r="D7463" s="0" t="s">
        <v>24942</v>
      </c>
      <c r="E7463" s="0" t="s">
        <v>89</v>
      </c>
      <c r="F7463" s="0" t="s">
        <v>90</v>
      </c>
      <c r="G7463" s="0" t="s">
        <v>36</v>
      </c>
      <c r="H7463" s="0" t="n">
        <v>78</v>
      </c>
      <c r="I7463" s="0" t="s">
        <v>24949</v>
      </c>
      <c r="J7463" s="0" t="s">
        <v>24950</v>
      </c>
      <c r="K7463" s="0" t="s">
        <v>24951</v>
      </c>
      <c r="L7463" s="0" t="str">
        <f aca="false">HYPERLINK("https://www.ncbi.nlm.nih.gov/nuccore/CP000304.1?report=graph&amp;tracks=[key:gene_model_track,Options:GeneOnly]&amp;mk=2101143:2101162|offset_8|444444,2101095:2101114|offset_56|444444,2101073:2101092|offset_78|00cc00,2101030:2101049|offset_121|444444&amp;v=2100942:2101249&amp;c=444444", "offset 78")</f>
        <v>offset 78</v>
      </c>
    </row>
    <row r="7464" customFormat="false" ht="12.8" hidden="false" customHeight="false" outlineLevel="0" collapsed="false">
      <c r="A7464" s="0" t="s">
        <v>12</v>
      </c>
      <c r="B7464" s="0" t="n">
        <v>2101029</v>
      </c>
      <c r="C7464" s="0" t="n">
        <v>2101049</v>
      </c>
      <c r="D7464" s="0" t="s">
        <v>24942</v>
      </c>
      <c r="E7464" s="0" t="s">
        <v>89</v>
      </c>
      <c r="F7464" s="0" t="s">
        <v>90</v>
      </c>
      <c r="G7464" s="0" t="s">
        <v>16</v>
      </c>
      <c r="H7464" s="0" t="n">
        <v>121</v>
      </c>
      <c r="I7464" s="0" t="s">
        <v>24952</v>
      </c>
      <c r="J7464" s="0" t="s">
        <v>24953</v>
      </c>
      <c r="K7464" s="0" t="s">
        <v>24954</v>
      </c>
      <c r="L7464" s="0" t="str">
        <f aca="false">HYPERLINK("https://www.ncbi.nlm.nih.gov/nuccore/CP000304.1?report=graph&amp;tracks=[key:gene_model_track,Options:GeneOnly]&amp;mk=2101143:2101162|offset_8|444444,2101095:2101114|offset_56|444444,2101073:2101092|offset_78|444444,2101030:2101049|offset_121|00cc00&amp;v=2100942:2101249&amp;c=444444", "offset 121")</f>
        <v>offset 121</v>
      </c>
    </row>
    <row r="7465" customFormat="false" ht="12.8" hidden="false" customHeight="false" outlineLevel="0" collapsed="false">
      <c r="A7465" s="0" t="s">
        <v>12</v>
      </c>
      <c r="B7465" s="0" t="n">
        <v>2102336</v>
      </c>
      <c r="C7465" s="0" t="n">
        <v>2102356</v>
      </c>
      <c r="D7465" s="0" t="s">
        <v>24955</v>
      </c>
      <c r="E7465" s="0" t="s">
        <v>89</v>
      </c>
      <c r="F7465" s="0" t="s">
        <v>90</v>
      </c>
      <c r="G7465" s="0" t="s">
        <v>32</v>
      </c>
      <c r="H7465" s="0" t="n">
        <v>1</v>
      </c>
      <c r="I7465" s="0" t="s">
        <v>24956</v>
      </c>
      <c r="J7465" s="0" t="s">
        <v>24957</v>
      </c>
      <c r="K7465" s="0" t="s">
        <v>24958</v>
      </c>
      <c r="L7465" s="0" t="str">
        <f aca="false">HYPERLINK("https://www.ncbi.nlm.nih.gov/nuccore/CP000304.1?report=graph&amp;tracks=[key:gene_model_track,Options:GeneOnly]&amp;mk=2102337:2102356|offset_1|00cc00,2102300:2102319|offset_38|444444,2102279:2102298|offset_59|444444,2102258:2102277|offset_80|444444&amp;v=2102136:2102477&amp;c=444444", "offset 1")</f>
        <v>offset 1</v>
      </c>
    </row>
    <row r="7466" customFormat="false" ht="12.8" hidden="false" customHeight="false" outlineLevel="0" collapsed="false">
      <c r="A7466" s="0" t="s">
        <v>12</v>
      </c>
      <c r="B7466" s="0" t="n">
        <v>2102299</v>
      </c>
      <c r="C7466" s="0" t="n">
        <v>2102319</v>
      </c>
      <c r="D7466" s="0" t="s">
        <v>24955</v>
      </c>
      <c r="E7466" s="0" t="s">
        <v>89</v>
      </c>
      <c r="F7466" s="0" t="s">
        <v>90</v>
      </c>
      <c r="G7466" s="0" t="s">
        <v>16</v>
      </c>
      <c r="H7466" s="0" t="n">
        <v>38</v>
      </c>
      <c r="I7466" s="0" t="s">
        <v>24959</v>
      </c>
      <c r="J7466" s="0" t="s">
        <v>24960</v>
      </c>
      <c r="K7466" s="0" t="s">
        <v>24961</v>
      </c>
      <c r="L7466" s="0" t="str">
        <f aca="false">HYPERLINK("https://www.ncbi.nlm.nih.gov/nuccore/CP000304.1?report=graph&amp;tracks=[key:gene_model_track,Options:GeneOnly]&amp;mk=2102337:2102356|offset_1|444444,2102300:2102319|offset_38|00cc00,2102279:2102298|offset_59|444444,2102258:2102277|offset_80|444444&amp;v=2102136:2102477&amp;c=444444", "offset 38")</f>
        <v>offset 38</v>
      </c>
    </row>
    <row r="7467" customFormat="false" ht="12.8" hidden="false" customHeight="false" outlineLevel="0" collapsed="false">
      <c r="A7467" s="0" t="s">
        <v>12</v>
      </c>
      <c r="B7467" s="0" t="n">
        <v>2102278</v>
      </c>
      <c r="C7467" s="0" t="n">
        <v>2102298</v>
      </c>
      <c r="D7467" s="0" t="s">
        <v>24955</v>
      </c>
      <c r="E7467" s="0" t="s">
        <v>89</v>
      </c>
      <c r="F7467" s="0" t="s">
        <v>90</v>
      </c>
      <c r="G7467" s="0" t="s">
        <v>32</v>
      </c>
      <c r="H7467" s="0" t="n">
        <v>59</v>
      </c>
      <c r="I7467" s="0" t="s">
        <v>24962</v>
      </c>
      <c r="J7467" s="0" t="s">
        <v>24963</v>
      </c>
      <c r="K7467" s="0" t="s">
        <v>24964</v>
      </c>
      <c r="L7467" s="0" t="str">
        <f aca="false">HYPERLINK("https://www.ncbi.nlm.nih.gov/nuccore/CP000304.1?report=graph&amp;tracks=[key:gene_model_track,Options:GeneOnly]&amp;mk=2102337:2102356|offset_1|444444,2102300:2102319|offset_38|444444,2102279:2102298|offset_59|00cc00,2102258:2102277|offset_80|444444&amp;v=2102136:2102477&amp;c=444444", "offset 59")</f>
        <v>offset 59</v>
      </c>
    </row>
    <row r="7468" customFormat="false" ht="12.8" hidden="false" customHeight="false" outlineLevel="0" collapsed="false">
      <c r="A7468" s="0" t="s">
        <v>12</v>
      </c>
      <c r="B7468" s="0" t="n">
        <v>2102257</v>
      </c>
      <c r="C7468" s="0" t="n">
        <v>2102277</v>
      </c>
      <c r="D7468" s="0" t="s">
        <v>24955</v>
      </c>
      <c r="E7468" s="0" t="s">
        <v>89</v>
      </c>
      <c r="F7468" s="0" t="s">
        <v>90</v>
      </c>
      <c r="G7468" s="0" t="s">
        <v>26</v>
      </c>
      <c r="H7468" s="0" t="n">
        <v>80</v>
      </c>
      <c r="I7468" s="0" t="s">
        <v>24965</v>
      </c>
      <c r="J7468" s="0" t="s">
        <v>24966</v>
      </c>
      <c r="K7468" s="0" t="s">
        <v>24967</v>
      </c>
      <c r="L7468" s="0" t="str">
        <f aca="false">HYPERLINK("https://www.ncbi.nlm.nih.gov/nuccore/CP000304.1?report=graph&amp;tracks=[key:gene_model_track,Options:GeneOnly]&amp;mk=2102337:2102356|offset_1|444444,2102300:2102319|offset_38|444444,2102279:2102298|offset_59|444444,2102258:2102277|offset_80|00cc00&amp;v=2102136:2102477&amp;c=444444", "offset 80")</f>
        <v>offset 80</v>
      </c>
    </row>
    <row r="7469" customFormat="false" ht="12.8" hidden="false" customHeight="false" outlineLevel="0" collapsed="false">
      <c r="A7469" s="0" t="s">
        <v>12</v>
      </c>
      <c r="B7469" s="0" t="n">
        <v>2103249</v>
      </c>
      <c r="C7469" s="0" t="n">
        <v>2103269</v>
      </c>
      <c r="D7469" s="0" t="s">
        <v>24968</v>
      </c>
      <c r="E7469" s="0" t="s">
        <v>89</v>
      </c>
      <c r="F7469" s="0" t="s">
        <v>90</v>
      </c>
      <c r="G7469" s="0" t="s">
        <v>36</v>
      </c>
      <c r="H7469" s="0" t="n">
        <v>10</v>
      </c>
      <c r="I7469" s="0" t="s">
        <v>24969</v>
      </c>
      <c r="J7469" s="0" t="s">
        <v>24970</v>
      </c>
      <c r="K7469" s="0" t="s">
        <v>24971</v>
      </c>
      <c r="L7469" s="0" t="str">
        <f aca="false">HYPERLINK("https://www.ncbi.nlm.nih.gov/nuccore/CP000304.1?report=graph&amp;tracks=[key:gene_model_track,Options:GeneOnly]&amp;mk=2103250:2103269|offset_10|00cc00,2103226:2103245|offset_34|444444,2103202:2103221|offset_58|444444,2103175:2103194|offset_85|444444&amp;v=2103049:2103394&amp;c=444444", "offset 10")</f>
        <v>offset 10</v>
      </c>
    </row>
    <row r="7470" customFormat="false" ht="12.8" hidden="false" customHeight="false" outlineLevel="0" collapsed="false">
      <c r="A7470" s="0" t="s">
        <v>12</v>
      </c>
      <c r="B7470" s="0" t="n">
        <v>2103225</v>
      </c>
      <c r="C7470" s="0" t="n">
        <v>2103245</v>
      </c>
      <c r="D7470" s="0" t="s">
        <v>24968</v>
      </c>
      <c r="E7470" s="0" t="s">
        <v>89</v>
      </c>
      <c r="F7470" s="0" t="s">
        <v>90</v>
      </c>
      <c r="G7470" s="0" t="s">
        <v>36</v>
      </c>
      <c r="H7470" s="0" t="n">
        <v>34</v>
      </c>
      <c r="I7470" s="0" t="s">
        <v>24972</v>
      </c>
      <c r="J7470" s="0" t="s">
        <v>24973</v>
      </c>
      <c r="K7470" s="0" t="s">
        <v>24974</v>
      </c>
      <c r="L7470" s="0" t="str">
        <f aca="false">HYPERLINK("https://www.ncbi.nlm.nih.gov/nuccore/CP000304.1?report=graph&amp;tracks=[key:gene_model_track,Options:GeneOnly]&amp;mk=2103250:2103269|offset_10|444444,2103226:2103245|offset_34|00cc00,2103202:2103221|offset_58|444444,2103175:2103194|offset_85|444444&amp;v=2103049:2103394&amp;c=444444", "offset 34")</f>
        <v>offset 34</v>
      </c>
    </row>
    <row r="7471" customFormat="false" ht="12.8" hidden="false" customHeight="false" outlineLevel="0" collapsed="false">
      <c r="A7471" s="0" t="s">
        <v>12</v>
      </c>
      <c r="B7471" s="0" t="n">
        <v>2103201</v>
      </c>
      <c r="C7471" s="0" t="n">
        <v>2103221</v>
      </c>
      <c r="D7471" s="0" t="s">
        <v>24968</v>
      </c>
      <c r="E7471" s="0" t="s">
        <v>89</v>
      </c>
      <c r="F7471" s="0" t="s">
        <v>90</v>
      </c>
      <c r="G7471" s="0" t="s">
        <v>32</v>
      </c>
      <c r="H7471" s="0" t="n">
        <v>58</v>
      </c>
      <c r="I7471" s="0" t="s">
        <v>24975</v>
      </c>
      <c r="J7471" s="0" t="s">
        <v>24976</v>
      </c>
      <c r="K7471" s="0" t="s">
        <v>24977</v>
      </c>
      <c r="L7471" s="0" t="str">
        <f aca="false">HYPERLINK("https://www.ncbi.nlm.nih.gov/nuccore/CP000304.1?report=graph&amp;tracks=[key:gene_model_track,Options:GeneOnly]&amp;mk=2103250:2103269|offset_10|444444,2103226:2103245|offset_34|444444,2103202:2103221|offset_58|00cc00,2103175:2103194|offset_85|444444&amp;v=2103049:2103394&amp;c=444444", "offset 58")</f>
        <v>offset 58</v>
      </c>
    </row>
    <row r="7472" customFormat="false" ht="12.8" hidden="false" customHeight="false" outlineLevel="0" collapsed="false">
      <c r="A7472" s="0" t="s">
        <v>12</v>
      </c>
      <c r="B7472" s="0" t="n">
        <v>2103174</v>
      </c>
      <c r="C7472" s="0" t="n">
        <v>2103194</v>
      </c>
      <c r="D7472" s="0" t="s">
        <v>24968</v>
      </c>
      <c r="E7472" s="0" t="s">
        <v>89</v>
      </c>
      <c r="F7472" s="0" t="s">
        <v>90</v>
      </c>
      <c r="G7472" s="0" t="s">
        <v>16</v>
      </c>
      <c r="H7472" s="0" t="n">
        <v>85</v>
      </c>
      <c r="I7472" s="0" t="s">
        <v>24978</v>
      </c>
      <c r="J7472" s="0" t="s">
        <v>24979</v>
      </c>
      <c r="K7472" s="0" t="s">
        <v>24980</v>
      </c>
      <c r="L7472" s="0" t="str">
        <f aca="false">HYPERLINK("https://www.ncbi.nlm.nih.gov/nuccore/CP000304.1?report=graph&amp;tracks=[key:gene_model_track,Options:GeneOnly]&amp;mk=2103250:2103269|offset_10|444444,2103226:2103245|offset_34|444444,2103202:2103221|offset_58|444444,2103175:2103194|offset_85|00cc00&amp;v=2103049:2103394&amp;c=444444", "offset 85")</f>
        <v>offset 85</v>
      </c>
    </row>
    <row r="7473" customFormat="false" ht="12.8" hidden="false" customHeight="false" outlineLevel="0" collapsed="false">
      <c r="A7473" s="0" t="s">
        <v>12</v>
      </c>
      <c r="B7473" s="0" t="n">
        <v>2104486</v>
      </c>
      <c r="C7473" s="0" t="n">
        <v>2104506</v>
      </c>
      <c r="D7473" s="0" t="s">
        <v>24981</v>
      </c>
      <c r="E7473" s="0" t="s">
        <v>89</v>
      </c>
      <c r="F7473" s="0" t="s">
        <v>15</v>
      </c>
      <c r="G7473" s="0" t="s">
        <v>32</v>
      </c>
      <c r="H7473" s="0" t="n">
        <v>26</v>
      </c>
      <c r="I7473" s="0" t="s">
        <v>24982</v>
      </c>
      <c r="J7473" s="0" t="s">
        <v>24983</v>
      </c>
      <c r="K7473" s="0" t="s">
        <v>24984</v>
      </c>
      <c r="L7473" s="0" t="str">
        <f aca="false">HYPERLINK("https://www.ncbi.nlm.nih.gov/nuccore/CP000304.1?report=graph&amp;tracks=[key:gene_model_track,Options:GeneOnly]&amp;mk=2104487:2104506|offset_26|00cc00,2104520:2104539|offset_59|444444,2104553:2104572|offset_92|444444,2104578:2104597|offset_117|444444&amp;v=2104286:2104797&amp;c=444444", "offset 26")</f>
        <v>offset 26</v>
      </c>
    </row>
    <row r="7474" customFormat="false" ht="12.8" hidden="false" customHeight="false" outlineLevel="0" collapsed="false">
      <c r="A7474" s="0" t="s">
        <v>12</v>
      </c>
      <c r="B7474" s="0" t="n">
        <v>2104519</v>
      </c>
      <c r="C7474" s="0" t="n">
        <v>2104539</v>
      </c>
      <c r="D7474" s="0" t="s">
        <v>24981</v>
      </c>
      <c r="E7474" s="0" t="s">
        <v>89</v>
      </c>
      <c r="F7474" s="0" t="s">
        <v>15</v>
      </c>
      <c r="G7474" s="0" t="s">
        <v>32</v>
      </c>
      <c r="H7474" s="0" t="n">
        <v>59</v>
      </c>
      <c r="I7474" s="0" t="s">
        <v>24985</v>
      </c>
      <c r="J7474" s="0" t="s">
        <v>24986</v>
      </c>
      <c r="K7474" s="0" t="s">
        <v>24987</v>
      </c>
      <c r="L7474" s="0" t="str">
        <f aca="false">HYPERLINK("https://www.ncbi.nlm.nih.gov/nuccore/CP000304.1?report=graph&amp;tracks=[key:gene_model_track,Options:GeneOnly]&amp;mk=2104487:2104506|offset_26|444444,2104520:2104539|offset_59|00cc00,2104553:2104572|offset_92|444444,2104578:2104597|offset_117|444444&amp;v=2104286:2104797&amp;c=444444", "offset 59")</f>
        <v>offset 59</v>
      </c>
    </row>
    <row r="7475" customFormat="false" ht="12.8" hidden="false" customHeight="false" outlineLevel="0" collapsed="false">
      <c r="A7475" s="0" t="s">
        <v>12</v>
      </c>
      <c r="B7475" s="0" t="n">
        <v>2104552</v>
      </c>
      <c r="C7475" s="0" t="n">
        <v>2104572</v>
      </c>
      <c r="D7475" s="0" t="s">
        <v>24981</v>
      </c>
      <c r="E7475" s="0" t="s">
        <v>89</v>
      </c>
      <c r="F7475" s="0" t="s">
        <v>15</v>
      </c>
      <c r="G7475" s="0" t="s">
        <v>32</v>
      </c>
      <c r="H7475" s="0" t="n">
        <v>92</v>
      </c>
      <c r="I7475" s="0" t="s">
        <v>24988</v>
      </c>
      <c r="J7475" s="0" t="s">
        <v>24989</v>
      </c>
      <c r="K7475" s="0" t="s">
        <v>24990</v>
      </c>
      <c r="L7475" s="0" t="str">
        <f aca="false">HYPERLINK("https://www.ncbi.nlm.nih.gov/nuccore/CP000304.1?report=graph&amp;tracks=[key:gene_model_track,Options:GeneOnly]&amp;mk=2104487:2104506|offset_26|444444,2104520:2104539|offset_59|444444,2104553:2104572|offset_92|00cc00,2104578:2104597|offset_117|444444&amp;v=2104286:2104797&amp;c=444444", "offset 92")</f>
        <v>offset 92</v>
      </c>
    </row>
    <row r="7476" customFormat="false" ht="12.8" hidden="false" customHeight="false" outlineLevel="0" collapsed="false">
      <c r="A7476" s="0" t="s">
        <v>12</v>
      </c>
      <c r="B7476" s="0" t="n">
        <v>2104577</v>
      </c>
      <c r="C7476" s="0" t="n">
        <v>2104597</v>
      </c>
      <c r="D7476" s="0" t="s">
        <v>24981</v>
      </c>
      <c r="E7476" s="0" t="s">
        <v>89</v>
      </c>
      <c r="F7476" s="0" t="s">
        <v>15</v>
      </c>
      <c r="G7476" s="0" t="s">
        <v>16</v>
      </c>
      <c r="H7476" s="0" t="n">
        <v>117</v>
      </c>
      <c r="I7476" s="0" t="s">
        <v>24991</v>
      </c>
      <c r="J7476" s="0" t="s">
        <v>24992</v>
      </c>
      <c r="K7476" s="0" t="s">
        <v>24993</v>
      </c>
      <c r="L7476" s="0" t="str">
        <f aca="false">HYPERLINK("https://www.ncbi.nlm.nih.gov/nuccore/CP000304.1?report=graph&amp;tracks=[key:gene_model_track,Options:GeneOnly]&amp;mk=2104487:2104506|offset_26|444444,2104520:2104539|offset_59|444444,2104553:2104572|offset_92|444444,2104578:2104597|offset_117|00cc00&amp;v=2104286:2104797&amp;c=444444", "offset 117")</f>
        <v>offset 117</v>
      </c>
    </row>
    <row r="7477" customFormat="false" ht="12.8" hidden="false" customHeight="false" outlineLevel="0" collapsed="false">
      <c r="A7477" s="0" t="s">
        <v>12</v>
      </c>
      <c r="B7477" s="0" t="n">
        <v>2106932</v>
      </c>
      <c r="C7477" s="0" t="n">
        <v>2106952</v>
      </c>
      <c r="D7477" s="0" t="s">
        <v>24994</v>
      </c>
      <c r="E7477" s="0" t="s">
        <v>89</v>
      </c>
      <c r="F7477" s="0" t="s">
        <v>15</v>
      </c>
      <c r="G7477" s="0" t="s">
        <v>32</v>
      </c>
      <c r="H7477" s="0" t="n">
        <v>16</v>
      </c>
      <c r="I7477" s="0" t="s">
        <v>24995</v>
      </c>
      <c r="J7477" s="0" t="s">
        <v>24996</v>
      </c>
      <c r="K7477" s="0" t="s">
        <v>24997</v>
      </c>
      <c r="L7477" s="0" t="str">
        <f aca="false">HYPERLINK("https://www.ncbi.nlm.nih.gov/nuccore/CP000304.1?report=graph&amp;tracks=[key:gene_model_track,Options:GeneOnly]&amp;mk=2106933:2106952|offset_16|00cc00,2106964:2106983|offset_47|444444,2106984:2107003|offset_67|444444,2107026:2107045|offset_109|444444&amp;v=2106732:2107245&amp;c=444444", "offset 16")</f>
        <v>offset 16</v>
      </c>
    </row>
    <row r="7478" customFormat="false" ht="12.8" hidden="false" customHeight="false" outlineLevel="0" collapsed="false">
      <c r="A7478" s="0" t="s">
        <v>12</v>
      </c>
      <c r="B7478" s="0" t="n">
        <v>2106963</v>
      </c>
      <c r="C7478" s="0" t="n">
        <v>2106983</v>
      </c>
      <c r="D7478" s="0" t="s">
        <v>24994</v>
      </c>
      <c r="E7478" s="0" t="s">
        <v>89</v>
      </c>
      <c r="F7478" s="0" t="s">
        <v>15</v>
      </c>
      <c r="G7478" s="0" t="s">
        <v>26</v>
      </c>
      <c r="H7478" s="0" t="n">
        <v>47</v>
      </c>
      <c r="I7478" s="0" t="s">
        <v>24998</v>
      </c>
      <c r="J7478" s="0" t="s">
        <v>24999</v>
      </c>
      <c r="K7478" s="0" t="s">
        <v>25000</v>
      </c>
      <c r="L7478" s="0" t="str">
        <f aca="false">HYPERLINK("https://www.ncbi.nlm.nih.gov/nuccore/CP000304.1?report=graph&amp;tracks=[key:gene_model_track,Options:GeneOnly]&amp;mk=2106933:2106952|offset_16|444444,2106964:2106983|offset_47|00cc00,2106984:2107003|offset_67|444444,2107026:2107045|offset_109|444444&amp;v=2106732:2107245&amp;c=444444", "offset 47")</f>
        <v>offset 47</v>
      </c>
    </row>
    <row r="7479" customFormat="false" ht="12.8" hidden="false" customHeight="false" outlineLevel="0" collapsed="false">
      <c r="A7479" s="0" t="s">
        <v>12</v>
      </c>
      <c r="B7479" s="0" t="n">
        <v>2106983</v>
      </c>
      <c r="C7479" s="0" t="n">
        <v>2107003</v>
      </c>
      <c r="D7479" s="0" t="s">
        <v>24994</v>
      </c>
      <c r="E7479" s="0" t="s">
        <v>89</v>
      </c>
      <c r="F7479" s="0" t="s">
        <v>15</v>
      </c>
      <c r="G7479" s="0" t="s">
        <v>16</v>
      </c>
      <c r="H7479" s="0" t="n">
        <v>67</v>
      </c>
      <c r="I7479" s="0" t="s">
        <v>25001</v>
      </c>
      <c r="J7479" s="0" t="s">
        <v>25002</v>
      </c>
      <c r="K7479" s="0" t="s">
        <v>25003</v>
      </c>
      <c r="L7479" s="0" t="str">
        <f aca="false">HYPERLINK("https://www.ncbi.nlm.nih.gov/nuccore/CP000304.1?report=graph&amp;tracks=[key:gene_model_track,Options:GeneOnly]&amp;mk=2106933:2106952|offset_16|444444,2106964:2106983|offset_47|444444,2106984:2107003|offset_67|00cc00,2107026:2107045|offset_109|444444&amp;v=2106732:2107245&amp;c=444444", "offset 67")</f>
        <v>offset 67</v>
      </c>
    </row>
    <row r="7480" customFormat="false" ht="12.8" hidden="false" customHeight="false" outlineLevel="0" collapsed="false">
      <c r="A7480" s="0" t="s">
        <v>12</v>
      </c>
      <c r="B7480" s="0" t="n">
        <v>2107025</v>
      </c>
      <c r="C7480" s="0" t="n">
        <v>2107045</v>
      </c>
      <c r="D7480" s="0" t="s">
        <v>24994</v>
      </c>
      <c r="E7480" s="0" t="s">
        <v>89</v>
      </c>
      <c r="F7480" s="0" t="s">
        <v>15</v>
      </c>
      <c r="G7480" s="0" t="s">
        <v>32</v>
      </c>
      <c r="H7480" s="0" t="n">
        <v>109</v>
      </c>
      <c r="I7480" s="0" t="s">
        <v>25004</v>
      </c>
      <c r="J7480" s="0" t="s">
        <v>25005</v>
      </c>
      <c r="K7480" s="0" t="s">
        <v>25006</v>
      </c>
      <c r="L7480" s="0" t="str">
        <f aca="false">HYPERLINK("https://www.ncbi.nlm.nih.gov/nuccore/CP000304.1?report=graph&amp;tracks=[key:gene_model_track,Options:GeneOnly]&amp;mk=2106933:2106952|offset_16|444444,2106964:2106983|offset_47|444444,2106984:2107003|offset_67|444444,2107026:2107045|offset_109|00cc00&amp;v=2106732:2107245&amp;c=444444", "offset 109")</f>
        <v>offset 109</v>
      </c>
    </row>
    <row r="7481" customFormat="false" ht="12.8" hidden="false" customHeight="false" outlineLevel="0" collapsed="false">
      <c r="A7481" s="0" t="s">
        <v>12</v>
      </c>
      <c r="B7481" s="0" t="n">
        <v>2108928</v>
      </c>
      <c r="C7481" s="0" t="n">
        <v>2108948</v>
      </c>
      <c r="D7481" s="0" t="s">
        <v>25007</v>
      </c>
      <c r="E7481" s="0" t="s">
        <v>25008</v>
      </c>
      <c r="F7481" s="0" t="s">
        <v>15</v>
      </c>
      <c r="G7481" s="0" t="s">
        <v>16</v>
      </c>
      <c r="H7481" s="0" t="n">
        <v>28</v>
      </c>
      <c r="I7481" s="0" t="s">
        <v>25009</v>
      </c>
      <c r="J7481" s="0" t="s">
        <v>25010</v>
      </c>
      <c r="K7481" s="0" t="s">
        <v>25011</v>
      </c>
      <c r="L7481" s="0" t="str">
        <f aca="false">HYPERLINK("https://www.ncbi.nlm.nih.gov/nuccore/CP000304.1?report=graph&amp;tracks=[key:gene_model_track,Options:GeneOnly]&amp;mk=2108929:2108948|offset_28|00cc00,2108984:2109003|offset_83|444444,2109004:2109023|offset_103|444444,2109026:2109045|offset_125|444444&amp;v=2108728:2109245&amp;c=444444", "offset 28")</f>
        <v>offset 28</v>
      </c>
    </row>
    <row r="7482" customFormat="false" ht="12.8" hidden="false" customHeight="false" outlineLevel="0" collapsed="false">
      <c r="A7482" s="0" t="s">
        <v>12</v>
      </c>
      <c r="B7482" s="0" t="n">
        <v>2108983</v>
      </c>
      <c r="C7482" s="0" t="n">
        <v>2109003</v>
      </c>
      <c r="D7482" s="0" t="s">
        <v>25007</v>
      </c>
      <c r="E7482" s="0" t="s">
        <v>25008</v>
      </c>
      <c r="F7482" s="0" t="s">
        <v>15</v>
      </c>
      <c r="G7482" s="0" t="s">
        <v>26</v>
      </c>
      <c r="H7482" s="0" t="n">
        <v>83</v>
      </c>
      <c r="I7482" s="0" t="s">
        <v>25012</v>
      </c>
      <c r="J7482" s="0" t="s">
        <v>25013</v>
      </c>
      <c r="K7482" s="0" t="s">
        <v>25014</v>
      </c>
      <c r="L7482" s="0" t="str">
        <f aca="false">HYPERLINK("https://www.ncbi.nlm.nih.gov/nuccore/CP000304.1?report=graph&amp;tracks=[key:gene_model_track,Options:GeneOnly]&amp;mk=2108929:2108948|offset_28|444444,2108984:2109003|offset_83|00cc00,2109004:2109023|offset_103|444444,2109026:2109045|offset_125|444444&amp;v=2108728:2109245&amp;c=444444", "offset 83")</f>
        <v>offset 83</v>
      </c>
    </row>
    <row r="7483" customFormat="false" ht="12.8" hidden="false" customHeight="false" outlineLevel="0" collapsed="false">
      <c r="A7483" s="0" t="s">
        <v>12</v>
      </c>
      <c r="B7483" s="0" t="n">
        <v>2109003</v>
      </c>
      <c r="C7483" s="0" t="n">
        <v>2109023</v>
      </c>
      <c r="D7483" s="0" t="s">
        <v>25007</v>
      </c>
      <c r="E7483" s="0" t="s">
        <v>25008</v>
      </c>
      <c r="F7483" s="0" t="s">
        <v>15</v>
      </c>
      <c r="G7483" s="0" t="s">
        <v>32</v>
      </c>
      <c r="H7483" s="0" t="n">
        <v>103</v>
      </c>
      <c r="I7483" s="0" t="s">
        <v>25015</v>
      </c>
      <c r="J7483" s="0" t="s">
        <v>25016</v>
      </c>
      <c r="K7483" s="0" t="s">
        <v>25017</v>
      </c>
      <c r="L7483" s="0" t="str">
        <f aca="false">HYPERLINK("https://www.ncbi.nlm.nih.gov/nuccore/CP000304.1?report=graph&amp;tracks=[key:gene_model_track,Options:GeneOnly]&amp;mk=2108929:2108948|offset_28|444444,2108984:2109003|offset_83|444444,2109004:2109023|offset_103|00cc00,2109026:2109045|offset_125|444444&amp;v=2108728:2109245&amp;c=444444", "offset 103")</f>
        <v>offset 103</v>
      </c>
    </row>
    <row r="7484" customFormat="false" ht="12.8" hidden="false" customHeight="false" outlineLevel="0" collapsed="false">
      <c r="A7484" s="0" t="s">
        <v>12</v>
      </c>
      <c r="B7484" s="0" t="n">
        <v>2109025</v>
      </c>
      <c r="C7484" s="0" t="n">
        <v>2109045</v>
      </c>
      <c r="D7484" s="0" t="s">
        <v>25007</v>
      </c>
      <c r="E7484" s="0" t="s">
        <v>25008</v>
      </c>
      <c r="F7484" s="0" t="s">
        <v>15</v>
      </c>
      <c r="G7484" s="0" t="s">
        <v>16</v>
      </c>
      <c r="H7484" s="0" t="n">
        <v>125</v>
      </c>
      <c r="I7484" s="0" t="s">
        <v>25018</v>
      </c>
      <c r="J7484" s="0" t="s">
        <v>25019</v>
      </c>
      <c r="K7484" s="0" t="s">
        <v>25020</v>
      </c>
      <c r="L7484" s="0" t="str">
        <f aca="false">HYPERLINK("https://www.ncbi.nlm.nih.gov/nuccore/CP000304.1?report=graph&amp;tracks=[key:gene_model_track,Options:GeneOnly]&amp;mk=2108929:2108948|offset_28|444444,2108984:2109003|offset_83|444444,2109004:2109023|offset_103|444444,2109026:2109045|offset_125|00cc00&amp;v=2108728:2109245&amp;c=444444", "offset 125")</f>
        <v>offset 125</v>
      </c>
    </row>
    <row r="7485" customFormat="false" ht="12.8" hidden="false" customHeight="false" outlineLevel="0" collapsed="false">
      <c r="A7485" s="0" t="s">
        <v>12</v>
      </c>
      <c r="B7485" s="0" t="n">
        <v>2109640</v>
      </c>
      <c r="C7485" s="0" t="n">
        <v>2109660</v>
      </c>
      <c r="D7485" s="0" t="s">
        <v>25021</v>
      </c>
      <c r="E7485" s="0" t="s">
        <v>25022</v>
      </c>
      <c r="F7485" s="0" t="s">
        <v>15</v>
      </c>
      <c r="G7485" s="0" t="s">
        <v>32</v>
      </c>
      <c r="H7485" s="0" t="n">
        <v>15</v>
      </c>
      <c r="I7485" s="0" t="s">
        <v>25023</v>
      </c>
      <c r="J7485" s="0" t="s">
        <v>25024</v>
      </c>
      <c r="K7485" s="0" t="s">
        <v>25025</v>
      </c>
      <c r="L7485" s="0" t="str">
        <f aca="false">HYPERLINK("https://www.ncbi.nlm.nih.gov/nuccore/CP000304.1?report=graph&amp;tracks=[key:gene_model_track,Options:GeneOnly]&amp;mk=2109641:2109660|offset_15|00cc00,2109729:2109748|offset_103|444444,2109767:2109786|offset_141|444444,2109791:2109810|offset_165|444444&amp;v=2109440:2110010&amp;c=444444", "offset 15")</f>
        <v>offset 15</v>
      </c>
    </row>
    <row r="7486" customFormat="false" ht="12.8" hidden="false" customHeight="false" outlineLevel="0" collapsed="false">
      <c r="A7486" s="0" t="s">
        <v>12</v>
      </c>
      <c r="B7486" s="0" t="n">
        <v>2109728</v>
      </c>
      <c r="C7486" s="0" t="n">
        <v>2109748</v>
      </c>
      <c r="D7486" s="0" t="s">
        <v>25021</v>
      </c>
      <c r="E7486" s="0" t="s">
        <v>25022</v>
      </c>
      <c r="F7486" s="0" t="s">
        <v>15</v>
      </c>
      <c r="G7486" s="0" t="s">
        <v>16</v>
      </c>
      <c r="H7486" s="0" t="n">
        <v>103</v>
      </c>
      <c r="I7486" s="0" t="s">
        <v>25026</v>
      </c>
      <c r="J7486" s="0" t="s">
        <v>25027</v>
      </c>
      <c r="K7486" s="0" t="s">
        <v>25028</v>
      </c>
      <c r="L7486" s="0" t="str">
        <f aca="false">HYPERLINK("https://www.ncbi.nlm.nih.gov/nuccore/CP000304.1?report=graph&amp;tracks=[key:gene_model_track,Options:GeneOnly]&amp;mk=2109641:2109660|offset_15|444444,2109729:2109748|offset_103|00cc00,2109767:2109786|offset_141|444444,2109791:2109810|offset_165|444444&amp;v=2109440:2110010&amp;c=444444", "offset 103")</f>
        <v>offset 103</v>
      </c>
    </row>
    <row r="7487" customFormat="false" ht="12.8" hidden="false" customHeight="false" outlineLevel="0" collapsed="false">
      <c r="A7487" s="0" t="s">
        <v>12</v>
      </c>
      <c r="B7487" s="0" t="n">
        <v>2109766</v>
      </c>
      <c r="C7487" s="0" t="n">
        <v>2109786</v>
      </c>
      <c r="D7487" s="0" t="s">
        <v>25021</v>
      </c>
      <c r="E7487" s="0" t="s">
        <v>25022</v>
      </c>
      <c r="F7487" s="0" t="s">
        <v>15</v>
      </c>
      <c r="G7487" s="0" t="s">
        <v>16</v>
      </c>
      <c r="H7487" s="0" t="n">
        <v>141</v>
      </c>
      <c r="I7487" s="0" t="s">
        <v>25029</v>
      </c>
      <c r="J7487" s="0" t="s">
        <v>25030</v>
      </c>
      <c r="K7487" s="0" t="s">
        <v>25031</v>
      </c>
      <c r="L7487" s="0" t="str">
        <f aca="false">HYPERLINK("https://www.ncbi.nlm.nih.gov/nuccore/CP000304.1?report=graph&amp;tracks=[key:gene_model_track,Options:GeneOnly]&amp;mk=2109641:2109660|offset_15|444444,2109729:2109748|offset_103|444444,2109767:2109786|offset_141|00cc00,2109791:2109810|offset_165|444444&amp;v=2109440:2110010&amp;c=444444", "offset 141")</f>
        <v>offset 141</v>
      </c>
    </row>
    <row r="7488" customFormat="false" ht="12.8" hidden="false" customHeight="false" outlineLevel="0" collapsed="false">
      <c r="A7488" s="0" t="s">
        <v>12</v>
      </c>
      <c r="B7488" s="0" t="n">
        <v>2109790</v>
      </c>
      <c r="C7488" s="0" t="n">
        <v>2109810</v>
      </c>
      <c r="D7488" s="0" t="s">
        <v>25021</v>
      </c>
      <c r="E7488" s="0" t="s">
        <v>25022</v>
      </c>
      <c r="F7488" s="0" t="s">
        <v>15</v>
      </c>
      <c r="G7488" s="0" t="s">
        <v>16</v>
      </c>
      <c r="H7488" s="0" t="n">
        <v>165</v>
      </c>
      <c r="I7488" s="0" t="s">
        <v>25032</v>
      </c>
      <c r="J7488" s="0" t="s">
        <v>25033</v>
      </c>
      <c r="K7488" s="0" t="s">
        <v>25034</v>
      </c>
      <c r="L7488" s="0" t="str">
        <f aca="false">HYPERLINK("https://www.ncbi.nlm.nih.gov/nuccore/CP000304.1?report=graph&amp;tracks=[key:gene_model_track,Options:GeneOnly]&amp;mk=2109641:2109660|offset_15|444444,2109729:2109748|offset_103|444444,2109767:2109786|offset_141|444444,2109791:2109810|offset_165|00cc00&amp;v=2109440:2110010&amp;c=444444", "offset 165")</f>
        <v>offset 165</v>
      </c>
    </row>
    <row r="7489" customFormat="false" ht="12.8" hidden="false" customHeight="false" outlineLevel="0" collapsed="false">
      <c r="A7489" s="0" t="s">
        <v>12</v>
      </c>
      <c r="B7489" s="0" t="n">
        <v>2110113</v>
      </c>
      <c r="C7489" s="0" t="n">
        <v>2110133</v>
      </c>
      <c r="D7489" s="0" t="s">
        <v>25035</v>
      </c>
      <c r="E7489" s="0" t="s">
        <v>89</v>
      </c>
      <c r="F7489" s="0" t="s">
        <v>15</v>
      </c>
      <c r="G7489" s="0" t="s">
        <v>16</v>
      </c>
      <c r="H7489" s="0" t="n">
        <v>24</v>
      </c>
      <c r="I7489" s="0" t="s">
        <v>25036</v>
      </c>
      <c r="J7489" s="0" t="s">
        <v>25037</v>
      </c>
      <c r="K7489" s="0" t="s">
        <v>25038</v>
      </c>
      <c r="L7489" s="0" t="str">
        <f aca="false">HYPERLINK("https://www.ncbi.nlm.nih.gov/nuccore/CP000304.1?report=graph&amp;tracks=[key:gene_model_track,Options:GeneOnly]&amp;mk=2110114:2110133|offset_24|00cc00,2110148:2110167|offset_58|444444,2110172:2110191|offset_82|444444,2110203:2110222|offset_113|444444&amp;v=2109913:2110422&amp;c=444444", "offset 24")</f>
        <v>offset 24</v>
      </c>
    </row>
    <row r="7490" customFormat="false" ht="12.8" hidden="false" customHeight="false" outlineLevel="0" collapsed="false">
      <c r="A7490" s="0" t="s">
        <v>12</v>
      </c>
      <c r="B7490" s="0" t="n">
        <v>2110147</v>
      </c>
      <c r="C7490" s="0" t="n">
        <v>2110167</v>
      </c>
      <c r="D7490" s="0" t="s">
        <v>25035</v>
      </c>
      <c r="E7490" s="0" t="s">
        <v>89</v>
      </c>
      <c r="F7490" s="0" t="s">
        <v>15</v>
      </c>
      <c r="G7490" s="0" t="s">
        <v>16</v>
      </c>
      <c r="H7490" s="0" t="n">
        <v>58</v>
      </c>
      <c r="I7490" s="0" t="s">
        <v>25039</v>
      </c>
      <c r="J7490" s="0" t="s">
        <v>25040</v>
      </c>
      <c r="K7490" s="0" t="s">
        <v>25041</v>
      </c>
      <c r="L7490" s="0" t="str">
        <f aca="false">HYPERLINK("https://www.ncbi.nlm.nih.gov/nuccore/CP000304.1?report=graph&amp;tracks=[key:gene_model_track,Options:GeneOnly]&amp;mk=2110114:2110133|offset_24|444444,2110148:2110167|offset_58|00cc00,2110172:2110191|offset_82|444444,2110203:2110222|offset_113|444444&amp;v=2109913:2110422&amp;c=444444", "offset 58")</f>
        <v>offset 58</v>
      </c>
    </row>
    <row r="7491" customFormat="false" ht="12.8" hidden="false" customHeight="false" outlineLevel="0" collapsed="false">
      <c r="A7491" s="0" t="s">
        <v>12</v>
      </c>
      <c r="B7491" s="0" t="n">
        <v>2110171</v>
      </c>
      <c r="C7491" s="0" t="n">
        <v>2110191</v>
      </c>
      <c r="D7491" s="0" t="s">
        <v>25035</v>
      </c>
      <c r="E7491" s="0" t="s">
        <v>89</v>
      </c>
      <c r="F7491" s="0" t="s">
        <v>15</v>
      </c>
      <c r="G7491" s="0" t="s">
        <v>32</v>
      </c>
      <c r="H7491" s="0" t="n">
        <v>82</v>
      </c>
      <c r="I7491" s="0" t="s">
        <v>25042</v>
      </c>
      <c r="J7491" s="0" t="s">
        <v>25043</v>
      </c>
      <c r="K7491" s="0" t="s">
        <v>25044</v>
      </c>
      <c r="L7491" s="0" t="str">
        <f aca="false">HYPERLINK("https://www.ncbi.nlm.nih.gov/nuccore/CP000304.1?report=graph&amp;tracks=[key:gene_model_track,Options:GeneOnly]&amp;mk=2110114:2110133|offset_24|444444,2110148:2110167|offset_58|444444,2110172:2110191|offset_82|00cc00,2110203:2110222|offset_113|444444&amp;v=2109913:2110422&amp;c=444444", "offset 82")</f>
        <v>offset 82</v>
      </c>
    </row>
    <row r="7492" customFormat="false" ht="12.8" hidden="false" customHeight="false" outlineLevel="0" collapsed="false">
      <c r="A7492" s="0" t="s">
        <v>12</v>
      </c>
      <c r="B7492" s="0" t="n">
        <v>2110202</v>
      </c>
      <c r="C7492" s="0" t="n">
        <v>2110222</v>
      </c>
      <c r="D7492" s="0" t="s">
        <v>25035</v>
      </c>
      <c r="E7492" s="0" t="s">
        <v>89</v>
      </c>
      <c r="F7492" s="0" t="s">
        <v>15</v>
      </c>
      <c r="G7492" s="0" t="s">
        <v>26</v>
      </c>
      <c r="H7492" s="0" t="n">
        <v>113</v>
      </c>
      <c r="I7492" s="0" t="s">
        <v>25045</v>
      </c>
      <c r="J7492" s="0" t="s">
        <v>25046</v>
      </c>
      <c r="K7492" s="0" t="s">
        <v>25047</v>
      </c>
      <c r="L7492" s="0" t="str">
        <f aca="false">HYPERLINK("https://www.ncbi.nlm.nih.gov/nuccore/CP000304.1?report=graph&amp;tracks=[key:gene_model_track,Options:GeneOnly]&amp;mk=2110114:2110133|offset_24|444444,2110148:2110167|offset_58|444444,2110172:2110191|offset_82|444444,2110203:2110222|offset_113|00cc00&amp;v=2109913:2110422&amp;c=444444", "offset 113")</f>
        <v>offset 113</v>
      </c>
    </row>
    <row r="7493" customFormat="false" ht="12.8" hidden="false" customHeight="false" outlineLevel="0" collapsed="false">
      <c r="A7493" s="0" t="s">
        <v>12</v>
      </c>
      <c r="B7493" s="0" t="n">
        <v>2110944</v>
      </c>
      <c r="C7493" s="0" t="n">
        <v>2110964</v>
      </c>
      <c r="D7493" s="0" t="s">
        <v>25048</v>
      </c>
      <c r="E7493" s="0" t="s">
        <v>25049</v>
      </c>
      <c r="F7493" s="0" t="s">
        <v>15</v>
      </c>
      <c r="G7493" s="0" t="s">
        <v>32</v>
      </c>
      <c r="H7493" s="0" t="n">
        <v>31</v>
      </c>
      <c r="I7493" s="0" t="s">
        <v>25050</v>
      </c>
      <c r="J7493" s="0" t="s">
        <v>25051</v>
      </c>
      <c r="K7493" s="0" t="s">
        <v>25052</v>
      </c>
      <c r="L7493" s="0" t="str">
        <f aca="false">HYPERLINK("https://www.ncbi.nlm.nih.gov/nuccore/CP000304.1?report=graph&amp;tracks=[key:gene_model_track,Options:GeneOnly]&amp;mk=2110945:2110964|offset_31|00cc00,2110967:2110986|offset_53|444444,2111015:2111034|offset_101|444444,2111051:2111070|offset_137|444444&amp;v=2110744:2111270&amp;c=444444", "offset 31")</f>
        <v>offset 31</v>
      </c>
    </row>
    <row r="7494" customFormat="false" ht="12.8" hidden="false" customHeight="false" outlineLevel="0" collapsed="false">
      <c r="A7494" s="0" t="s">
        <v>12</v>
      </c>
      <c r="B7494" s="0" t="n">
        <v>2110966</v>
      </c>
      <c r="C7494" s="0" t="n">
        <v>2110986</v>
      </c>
      <c r="D7494" s="0" t="s">
        <v>25048</v>
      </c>
      <c r="E7494" s="0" t="s">
        <v>25049</v>
      </c>
      <c r="F7494" s="0" t="s">
        <v>15</v>
      </c>
      <c r="G7494" s="0" t="s">
        <v>32</v>
      </c>
      <c r="H7494" s="0" t="n">
        <v>53</v>
      </c>
      <c r="I7494" s="0" t="s">
        <v>25053</v>
      </c>
      <c r="J7494" s="0" t="s">
        <v>25054</v>
      </c>
      <c r="K7494" s="0" t="s">
        <v>25055</v>
      </c>
      <c r="L7494" s="0" t="str">
        <f aca="false">HYPERLINK("https://www.ncbi.nlm.nih.gov/nuccore/CP000304.1?report=graph&amp;tracks=[key:gene_model_track,Options:GeneOnly]&amp;mk=2110945:2110964|offset_31|444444,2110967:2110986|offset_53|00cc00,2111015:2111034|offset_101|444444,2111051:2111070|offset_137|444444&amp;v=2110744:2111270&amp;c=444444", "offset 53")</f>
        <v>offset 53</v>
      </c>
    </row>
    <row r="7495" customFormat="false" ht="12.8" hidden="false" customHeight="false" outlineLevel="0" collapsed="false">
      <c r="A7495" s="0" t="s">
        <v>12</v>
      </c>
      <c r="B7495" s="0" t="n">
        <v>2111014</v>
      </c>
      <c r="C7495" s="0" t="n">
        <v>2111034</v>
      </c>
      <c r="D7495" s="0" t="s">
        <v>25048</v>
      </c>
      <c r="E7495" s="0" t="s">
        <v>25049</v>
      </c>
      <c r="F7495" s="0" t="s">
        <v>15</v>
      </c>
      <c r="G7495" s="0" t="s">
        <v>16</v>
      </c>
      <c r="H7495" s="0" t="n">
        <v>101</v>
      </c>
      <c r="I7495" s="0" t="s">
        <v>25056</v>
      </c>
      <c r="J7495" s="0" t="s">
        <v>25057</v>
      </c>
      <c r="K7495" s="0" t="s">
        <v>25058</v>
      </c>
      <c r="L7495" s="0" t="str">
        <f aca="false">HYPERLINK("https://www.ncbi.nlm.nih.gov/nuccore/CP000304.1?report=graph&amp;tracks=[key:gene_model_track,Options:GeneOnly]&amp;mk=2110945:2110964|offset_31|444444,2110967:2110986|offset_53|444444,2111015:2111034|offset_101|00cc00,2111051:2111070|offset_137|444444&amp;v=2110744:2111270&amp;c=444444", "offset 101")</f>
        <v>offset 101</v>
      </c>
    </row>
    <row r="7496" customFormat="false" ht="12.8" hidden="false" customHeight="false" outlineLevel="0" collapsed="false">
      <c r="A7496" s="0" t="s">
        <v>12</v>
      </c>
      <c r="B7496" s="0" t="n">
        <v>2111050</v>
      </c>
      <c r="C7496" s="0" t="n">
        <v>2111070</v>
      </c>
      <c r="D7496" s="0" t="s">
        <v>25048</v>
      </c>
      <c r="E7496" s="0" t="s">
        <v>25049</v>
      </c>
      <c r="F7496" s="0" t="s">
        <v>15</v>
      </c>
      <c r="G7496" s="0" t="s">
        <v>26</v>
      </c>
      <c r="H7496" s="0" t="n">
        <v>137</v>
      </c>
      <c r="I7496" s="0" t="s">
        <v>25059</v>
      </c>
      <c r="J7496" s="0" t="s">
        <v>25060</v>
      </c>
      <c r="K7496" s="0" t="s">
        <v>25061</v>
      </c>
      <c r="L7496" s="0" t="str">
        <f aca="false">HYPERLINK("https://www.ncbi.nlm.nih.gov/nuccore/CP000304.1?report=graph&amp;tracks=[key:gene_model_track,Options:GeneOnly]&amp;mk=2110945:2110964|offset_31|444444,2110967:2110986|offset_53|444444,2111015:2111034|offset_101|444444,2111051:2111070|offset_137|00cc00&amp;v=2110744:2111270&amp;c=444444", "offset 137")</f>
        <v>offset 137</v>
      </c>
    </row>
    <row r="7497" customFormat="false" ht="12.8" hidden="false" customHeight="false" outlineLevel="0" collapsed="false">
      <c r="A7497" s="0" t="s">
        <v>12</v>
      </c>
      <c r="B7497" s="0" t="n">
        <v>2115839</v>
      </c>
      <c r="C7497" s="0" t="n">
        <v>2115859</v>
      </c>
      <c r="D7497" s="0" t="s">
        <v>25062</v>
      </c>
      <c r="E7497" s="0" t="s">
        <v>89</v>
      </c>
      <c r="F7497" s="0" t="s">
        <v>90</v>
      </c>
      <c r="G7497" s="0" t="s">
        <v>32</v>
      </c>
      <c r="H7497" s="0" t="n">
        <v>9</v>
      </c>
      <c r="I7497" s="0" t="s">
        <v>25063</v>
      </c>
      <c r="J7497" s="0" t="s">
        <v>25064</v>
      </c>
      <c r="K7497" s="0" t="s">
        <v>25065</v>
      </c>
      <c r="L7497" s="0" t="str">
        <f aca="false">HYPERLINK("https://www.ncbi.nlm.nih.gov/nuccore/CP000304.1?report=graph&amp;tracks=[key:gene_model_track,Options:GeneOnly]&amp;mk=2115840:2115859|offset_9|00cc00,2115808:2115827|offset_41|444444,2115766:2115785|offset_83|444444,2115741:2115760|offset_108|444444&amp;v=2115639:2115960&amp;c=444444", "offset 9")</f>
        <v>offset 9</v>
      </c>
    </row>
    <row r="7498" customFormat="false" ht="12.8" hidden="false" customHeight="false" outlineLevel="0" collapsed="false">
      <c r="A7498" s="0" t="s">
        <v>12</v>
      </c>
      <c r="B7498" s="0" t="n">
        <v>2115807</v>
      </c>
      <c r="C7498" s="0" t="n">
        <v>2115827</v>
      </c>
      <c r="D7498" s="0" t="s">
        <v>25062</v>
      </c>
      <c r="E7498" s="0" t="s">
        <v>89</v>
      </c>
      <c r="F7498" s="0" t="s">
        <v>90</v>
      </c>
      <c r="G7498" s="0" t="s">
        <v>32</v>
      </c>
      <c r="H7498" s="0" t="n">
        <v>41</v>
      </c>
      <c r="I7498" s="0" t="s">
        <v>25066</v>
      </c>
      <c r="J7498" s="0" t="s">
        <v>25067</v>
      </c>
      <c r="K7498" s="0" t="s">
        <v>25068</v>
      </c>
      <c r="L7498" s="0" t="str">
        <f aca="false">HYPERLINK("https://www.ncbi.nlm.nih.gov/nuccore/CP000304.1?report=graph&amp;tracks=[key:gene_model_track,Options:GeneOnly]&amp;mk=2115840:2115859|offset_9|444444,2115808:2115827|offset_41|00cc00,2115766:2115785|offset_83|444444,2115741:2115760|offset_108|444444&amp;v=2115639:2115960&amp;c=444444", "offset 41")</f>
        <v>offset 41</v>
      </c>
    </row>
    <row r="7499" customFormat="false" ht="12.8" hidden="false" customHeight="false" outlineLevel="0" collapsed="false">
      <c r="A7499" s="0" t="s">
        <v>12</v>
      </c>
      <c r="B7499" s="0" t="n">
        <v>2115765</v>
      </c>
      <c r="C7499" s="0" t="n">
        <v>2115785</v>
      </c>
      <c r="D7499" s="0" t="s">
        <v>25062</v>
      </c>
      <c r="E7499" s="0" t="s">
        <v>89</v>
      </c>
      <c r="F7499" s="0" t="s">
        <v>90</v>
      </c>
      <c r="G7499" s="0" t="s">
        <v>16</v>
      </c>
      <c r="H7499" s="0" t="n">
        <v>83</v>
      </c>
      <c r="I7499" s="0" t="s">
        <v>25069</v>
      </c>
      <c r="J7499" s="0" t="s">
        <v>25070</v>
      </c>
      <c r="K7499" s="0" t="s">
        <v>25071</v>
      </c>
      <c r="L7499" s="0" t="str">
        <f aca="false">HYPERLINK("https://www.ncbi.nlm.nih.gov/nuccore/CP000304.1?report=graph&amp;tracks=[key:gene_model_track,Options:GeneOnly]&amp;mk=2115840:2115859|offset_9|444444,2115808:2115827|offset_41|444444,2115766:2115785|offset_83|00cc00,2115741:2115760|offset_108|444444&amp;v=2115639:2115960&amp;c=444444", "offset 83")</f>
        <v>offset 83</v>
      </c>
    </row>
    <row r="7500" customFormat="false" ht="12.8" hidden="false" customHeight="false" outlineLevel="0" collapsed="false">
      <c r="A7500" s="0" t="s">
        <v>12</v>
      </c>
      <c r="B7500" s="0" t="n">
        <v>2115740</v>
      </c>
      <c r="C7500" s="0" t="n">
        <v>2115760</v>
      </c>
      <c r="D7500" s="0" t="s">
        <v>25062</v>
      </c>
      <c r="E7500" s="0" t="s">
        <v>89</v>
      </c>
      <c r="F7500" s="0" t="s">
        <v>90</v>
      </c>
      <c r="G7500" s="0" t="s">
        <v>16</v>
      </c>
      <c r="H7500" s="0" t="n">
        <v>108</v>
      </c>
      <c r="I7500" s="0" t="s">
        <v>25072</v>
      </c>
      <c r="J7500" s="0" t="s">
        <v>25073</v>
      </c>
      <c r="K7500" s="0" t="s">
        <v>25074</v>
      </c>
      <c r="L7500" s="0" t="str">
        <f aca="false">HYPERLINK("https://www.ncbi.nlm.nih.gov/nuccore/CP000304.1?report=graph&amp;tracks=[key:gene_model_track,Options:GeneOnly]&amp;mk=2115840:2115859|offset_9|444444,2115808:2115827|offset_41|444444,2115766:2115785|offset_83|444444,2115741:2115760|offset_108|00cc00&amp;v=2115639:2115960&amp;c=444444", "offset 108")</f>
        <v>offset 108</v>
      </c>
    </row>
    <row r="7501" customFormat="false" ht="12.8" hidden="false" customHeight="false" outlineLevel="0" collapsed="false">
      <c r="A7501" s="0" t="s">
        <v>12</v>
      </c>
      <c r="B7501" s="0" t="n">
        <v>2116081</v>
      </c>
      <c r="C7501" s="0" t="n">
        <v>2116101</v>
      </c>
      <c r="D7501" s="0" t="s">
        <v>25075</v>
      </c>
      <c r="E7501" s="0" t="s">
        <v>89</v>
      </c>
      <c r="F7501" s="0" t="s">
        <v>15</v>
      </c>
      <c r="G7501" s="0" t="s">
        <v>16</v>
      </c>
      <c r="H7501" s="0" t="n">
        <v>0</v>
      </c>
      <c r="I7501" s="0" t="s">
        <v>25076</v>
      </c>
      <c r="J7501" s="0" t="s">
        <v>25077</v>
      </c>
      <c r="K7501" s="0" t="s">
        <v>25078</v>
      </c>
      <c r="L7501" s="0" t="str">
        <f aca="false">HYPERLINK("https://www.ncbi.nlm.nih.gov/nuccore/CP000304.1?report=graph&amp;tracks=[key:gene_model_track,Options:GeneOnly]&amp;mk=2116082:2116101|offset_0|00cc00,2116113:2116132|offset_31|444444,2116145:2116164|offset_63|444444,2116189:2116208|offset_107|444444&amp;v=2115881:2116408&amp;c=444444", "offset 0")</f>
        <v>offset 0</v>
      </c>
    </row>
    <row r="7502" customFormat="false" ht="12.8" hidden="false" customHeight="false" outlineLevel="0" collapsed="false">
      <c r="A7502" s="0" t="s">
        <v>12</v>
      </c>
      <c r="B7502" s="0" t="n">
        <v>2116112</v>
      </c>
      <c r="C7502" s="0" t="n">
        <v>2116132</v>
      </c>
      <c r="D7502" s="0" t="s">
        <v>25075</v>
      </c>
      <c r="E7502" s="0" t="s">
        <v>89</v>
      </c>
      <c r="F7502" s="0" t="s">
        <v>15</v>
      </c>
      <c r="G7502" s="0" t="s">
        <v>36</v>
      </c>
      <c r="H7502" s="0" t="n">
        <v>31</v>
      </c>
      <c r="I7502" s="0" t="s">
        <v>25079</v>
      </c>
      <c r="J7502" s="0" t="s">
        <v>25080</v>
      </c>
      <c r="K7502" s="0" t="s">
        <v>25081</v>
      </c>
      <c r="L7502" s="0" t="str">
        <f aca="false">HYPERLINK("https://www.ncbi.nlm.nih.gov/nuccore/CP000304.1?report=graph&amp;tracks=[key:gene_model_track,Options:GeneOnly]&amp;mk=2116082:2116101|offset_0|444444,2116113:2116132|offset_31|00cc00,2116145:2116164|offset_63|444444,2116189:2116208|offset_107|444444&amp;v=2115881:2116408&amp;c=444444", "offset 31")</f>
        <v>offset 31</v>
      </c>
    </row>
    <row r="7503" customFormat="false" ht="12.8" hidden="false" customHeight="false" outlineLevel="0" collapsed="false">
      <c r="A7503" s="0" t="s">
        <v>12</v>
      </c>
      <c r="B7503" s="0" t="n">
        <v>2116144</v>
      </c>
      <c r="C7503" s="0" t="n">
        <v>2116164</v>
      </c>
      <c r="D7503" s="0" t="s">
        <v>25075</v>
      </c>
      <c r="E7503" s="0" t="s">
        <v>89</v>
      </c>
      <c r="F7503" s="0" t="s">
        <v>15</v>
      </c>
      <c r="G7503" s="0" t="s">
        <v>32</v>
      </c>
      <c r="H7503" s="0" t="n">
        <v>63</v>
      </c>
      <c r="I7503" s="0" t="s">
        <v>25082</v>
      </c>
      <c r="J7503" s="0" t="s">
        <v>25083</v>
      </c>
      <c r="K7503" s="0" t="s">
        <v>25084</v>
      </c>
      <c r="L7503" s="0" t="str">
        <f aca="false">HYPERLINK("https://www.ncbi.nlm.nih.gov/nuccore/CP000304.1?report=graph&amp;tracks=[key:gene_model_track,Options:GeneOnly]&amp;mk=2116082:2116101|offset_0|444444,2116113:2116132|offset_31|444444,2116145:2116164|offset_63|00cc00,2116189:2116208|offset_107|444444&amp;v=2115881:2116408&amp;c=444444", "offset 63")</f>
        <v>offset 63</v>
      </c>
    </row>
    <row r="7504" customFormat="false" ht="12.8" hidden="false" customHeight="false" outlineLevel="0" collapsed="false">
      <c r="A7504" s="0" t="s">
        <v>12</v>
      </c>
      <c r="B7504" s="0" t="n">
        <v>2116188</v>
      </c>
      <c r="C7504" s="0" t="n">
        <v>2116208</v>
      </c>
      <c r="D7504" s="0" t="s">
        <v>25075</v>
      </c>
      <c r="E7504" s="0" t="s">
        <v>89</v>
      </c>
      <c r="F7504" s="0" t="s">
        <v>15</v>
      </c>
      <c r="G7504" s="0" t="s">
        <v>16</v>
      </c>
      <c r="H7504" s="0" t="n">
        <v>107</v>
      </c>
      <c r="I7504" s="0" t="s">
        <v>25085</v>
      </c>
      <c r="J7504" s="0" t="s">
        <v>25086</v>
      </c>
      <c r="K7504" s="0" t="s">
        <v>25087</v>
      </c>
      <c r="L7504" s="0" t="str">
        <f aca="false">HYPERLINK("https://www.ncbi.nlm.nih.gov/nuccore/CP000304.1?report=graph&amp;tracks=[key:gene_model_track,Options:GeneOnly]&amp;mk=2116082:2116101|offset_0|444444,2116113:2116132|offset_31|444444,2116145:2116164|offset_63|444444,2116189:2116208|offset_107|00cc00&amp;v=2115881:2116408&amp;c=444444", "offset 107")</f>
        <v>offset 107</v>
      </c>
    </row>
    <row r="7505" customFormat="false" ht="12.8" hidden="false" customHeight="false" outlineLevel="0" collapsed="false">
      <c r="A7505" s="0" t="s">
        <v>12</v>
      </c>
      <c r="B7505" s="0" t="n">
        <v>2119575</v>
      </c>
      <c r="C7505" s="0" t="n">
        <v>2119595</v>
      </c>
      <c r="D7505" s="0" t="s">
        <v>25088</v>
      </c>
      <c r="E7505" s="0" t="s">
        <v>89</v>
      </c>
      <c r="F7505" s="0" t="s">
        <v>90</v>
      </c>
      <c r="G7505" s="0" t="s">
        <v>16</v>
      </c>
      <c r="H7505" s="0" t="n">
        <v>19</v>
      </c>
      <c r="I7505" s="0" t="s">
        <v>25089</v>
      </c>
      <c r="J7505" s="0" t="s">
        <v>25090</v>
      </c>
      <c r="K7505" s="0" t="s">
        <v>25091</v>
      </c>
      <c r="L7505" s="0" t="str">
        <f aca="false">HYPERLINK("https://www.ncbi.nlm.nih.gov/nuccore/CP000304.1?report=graph&amp;tracks=[key:gene_model_track,Options:GeneOnly]&amp;mk=2119576:2119595|offset_19|00cc00,2119552:2119571|offset_43|444444,2119504:2119523|offset_91|444444,2119482:2119501|offset_113|444444&amp;v=2119375:2119701&amp;c=444444", "offset 19")</f>
        <v>offset 19</v>
      </c>
    </row>
    <row r="7506" customFormat="false" ht="12.8" hidden="false" customHeight="false" outlineLevel="0" collapsed="false">
      <c r="A7506" s="0" t="s">
        <v>12</v>
      </c>
      <c r="B7506" s="0" t="n">
        <v>2119551</v>
      </c>
      <c r="C7506" s="0" t="n">
        <v>2119571</v>
      </c>
      <c r="D7506" s="0" t="s">
        <v>25088</v>
      </c>
      <c r="E7506" s="0" t="s">
        <v>89</v>
      </c>
      <c r="F7506" s="0" t="s">
        <v>90</v>
      </c>
      <c r="G7506" s="0" t="s">
        <v>26</v>
      </c>
      <c r="H7506" s="0" t="n">
        <v>43</v>
      </c>
      <c r="I7506" s="0" t="s">
        <v>25092</v>
      </c>
      <c r="J7506" s="0" t="s">
        <v>25093</v>
      </c>
      <c r="K7506" s="0" t="s">
        <v>25094</v>
      </c>
      <c r="L7506" s="0" t="str">
        <f aca="false">HYPERLINK("https://www.ncbi.nlm.nih.gov/nuccore/CP000304.1?report=graph&amp;tracks=[key:gene_model_track,Options:GeneOnly]&amp;mk=2119576:2119595|offset_19|444444,2119552:2119571|offset_43|00cc00,2119504:2119523|offset_91|444444,2119482:2119501|offset_113|444444&amp;v=2119375:2119701&amp;c=444444", "offset 43")</f>
        <v>offset 43</v>
      </c>
    </row>
    <row r="7507" customFormat="false" ht="12.8" hidden="false" customHeight="false" outlineLevel="0" collapsed="false">
      <c r="A7507" s="0" t="s">
        <v>12</v>
      </c>
      <c r="B7507" s="0" t="n">
        <v>2119503</v>
      </c>
      <c r="C7507" s="0" t="n">
        <v>2119523</v>
      </c>
      <c r="D7507" s="0" t="s">
        <v>25088</v>
      </c>
      <c r="E7507" s="0" t="s">
        <v>89</v>
      </c>
      <c r="F7507" s="0" t="s">
        <v>90</v>
      </c>
      <c r="G7507" s="0" t="s">
        <v>26</v>
      </c>
      <c r="H7507" s="0" t="n">
        <v>91</v>
      </c>
      <c r="I7507" s="0" t="s">
        <v>25095</v>
      </c>
      <c r="J7507" s="0" t="s">
        <v>25096</v>
      </c>
      <c r="K7507" s="0" t="s">
        <v>25097</v>
      </c>
      <c r="L7507" s="0" t="str">
        <f aca="false">HYPERLINK("https://www.ncbi.nlm.nih.gov/nuccore/CP000304.1?report=graph&amp;tracks=[key:gene_model_track,Options:GeneOnly]&amp;mk=2119576:2119595|offset_19|444444,2119552:2119571|offset_43|444444,2119504:2119523|offset_91|00cc00,2119482:2119501|offset_113|444444&amp;v=2119375:2119701&amp;c=444444", "offset 91")</f>
        <v>offset 91</v>
      </c>
    </row>
    <row r="7508" customFormat="false" ht="12.8" hidden="false" customHeight="false" outlineLevel="0" collapsed="false">
      <c r="A7508" s="0" t="s">
        <v>12</v>
      </c>
      <c r="B7508" s="0" t="n">
        <v>2119481</v>
      </c>
      <c r="C7508" s="0" t="n">
        <v>2119501</v>
      </c>
      <c r="D7508" s="0" t="s">
        <v>25088</v>
      </c>
      <c r="E7508" s="0" t="s">
        <v>89</v>
      </c>
      <c r="F7508" s="0" t="s">
        <v>90</v>
      </c>
      <c r="G7508" s="0" t="s">
        <v>32</v>
      </c>
      <c r="H7508" s="0" t="n">
        <v>113</v>
      </c>
      <c r="I7508" s="0" t="s">
        <v>25098</v>
      </c>
      <c r="J7508" s="0" t="s">
        <v>25099</v>
      </c>
      <c r="K7508" s="0" t="s">
        <v>25100</v>
      </c>
      <c r="L7508" s="0" t="str">
        <f aca="false">HYPERLINK("https://www.ncbi.nlm.nih.gov/nuccore/CP000304.1?report=graph&amp;tracks=[key:gene_model_track,Options:GeneOnly]&amp;mk=2119576:2119595|offset_19|444444,2119552:2119571|offset_43|444444,2119504:2119523|offset_91|444444,2119482:2119501|offset_113|00cc00&amp;v=2119375:2119701&amp;c=444444", "offset 113")</f>
        <v>offset 113</v>
      </c>
    </row>
    <row r="7509" customFormat="false" ht="12.8" hidden="false" customHeight="false" outlineLevel="0" collapsed="false">
      <c r="A7509" s="0" t="s">
        <v>12</v>
      </c>
      <c r="B7509" s="0" t="n">
        <v>2120646</v>
      </c>
      <c r="C7509" s="0" t="n">
        <v>2120666</v>
      </c>
      <c r="D7509" s="0" t="s">
        <v>25101</v>
      </c>
      <c r="E7509" s="0" t="s">
        <v>89</v>
      </c>
      <c r="F7509" s="0" t="s">
        <v>90</v>
      </c>
      <c r="G7509" s="0" t="s">
        <v>26</v>
      </c>
      <c r="H7509" s="0" t="n">
        <v>7</v>
      </c>
      <c r="I7509" s="0" t="s">
        <v>25102</v>
      </c>
      <c r="J7509" s="0" t="s">
        <v>25103</v>
      </c>
      <c r="K7509" s="0" t="s">
        <v>25104</v>
      </c>
      <c r="L7509" s="0" t="str">
        <f aca="false">HYPERLINK("https://www.ncbi.nlm.nih.gov/nuccore/CP000304.1?report=graph&amp;tracks=[key:gene_model_track,Options:GeneOnly]&amp;mk=2120647:2120666|offset_7|00cc00,2120620:2120639|offset_34|444444,2120581:2120600|offset_73|444444,2120548:2120567|offset_106|444444&amp;v=2120446:2120767&amp;c=444444", "offset 7")</f>
        <v>offset 7</v>
      </c>
    </row>
    <row r="7510" customFormat="false" ht="12.8" hidden="false" customHeight="false" outlineLevel="0" collapsed="false">
      <c r="A7510" s="0" t="s">
        <v>12</v>
      </c>
      <c r="B7510" s="0" t="n">
        <v>2120619</v>
      </c>
      <c r="C7510" s="0" t="n">
        <v>2120639</v>
      </c>
      <c r="D7510" s="0" t="s">
        <v>25101</v>
      </c>
      <c r="E7510" s="0" t="s">
        <v>89</v>
      </c>
      <c r="F7510" s="0" t="s">
        <v>90</v>
      </c>
      <c r="G7510" s="0" t="s">
        <v>32</v>
      </c>
      <c r="H7510" s="0" t="n">
        <v>34</v>
      </c>
      <c r="I7510" s="0" t="s">
        <v>25105</v>
      </c>
      <c r="J7510" s="0" t="s">
        <v>25106</v>
      </c>
      <c r="K7510" s="0" t="s">
        <v>25107</v>
      </c>
      <c r="L7510" s="0" t="str">
        <f aca="false">HYPERLINK("https://www.ncbi.nlm.nih.gov/nuccore/CP000304.1?report=graph&amp;tracks=[key:gene_model_track,Options:GeneOnly]&amp;mk=2120647:2120666|offset_7|444444,2120620:2120639|offset_34|00cc00,2120581:2120600|offset_73|444444,2120548:2120567|offset_106|444444&amp;v=2120446:2120767&amp;c=444444", "offset 34")</f>
        <v>offset 34</v>
      </c>
    </row>
    <row r="7511" customFormat="false" ht="12.8" hidden="false" customHeight="false" outlineLevel="0" collapsed="false">
      <c r="A7511" s="0" t="s">
        <v>12</v>
      </c>
      <c r="B7511" s="0" t="n">
        <v>2120580</v>
      </c>
      <c r="C7511" s="0" t="n">
        <v>2120600</v>
      </c>
      <c r="D7511" s="0" t="s">
        <v>25101</v>
      </c>
      <c r="E7511" s="0" t="s">
        <v>89</v>
      </c>
      <c r="F7511" s="0" t="s">
        <v>90</v>
      </c>
      <c r="G7511" s="0" t="s">
        <v>32</v>
      </c>
      <c r="H7511" s="0" t="n">
        <v>73</v>
      </c>
      <c r="I7511" s="0" t="s">
        <v>25108</v>
      </c>
      <c r="J7511" s="0" t="s">
        <v>25109</v>
      </c>
      <c r="K7511" s="0" t="s">
        <v>25110</v>
      </c>
      <c r="L7511" s="0" t="str">
        <f aca="false">HYPERLINK("https://www.ncbi.nlm.nih.gov/nuccore/CP000304.1?report=graph&amp;tracks=[key:gene_model_track,Options:GeneOnly]&amp;mk=2120647:2120666|offset_7|444444,2120620:2120639|offset_34|444444,2120581:2120600|offset_73|00cc00,2120548:2120567|offset_106|444444&amp;v=2120446:2120767&amp;c=444444", "offset 73")</f>
        <v>offset 73</v>
      </c>
    </row>
    <row r="7512" customFormat="false" ht="12.8" hidden="false" customHeight="false" outlineLevel="0" collapsed="false">
      <c r="A7512" s="0" t="s">
        <v>12</v>
      </c>
      <c r="B7512" s="0" t="n">
        <v>2120547</v>
      </c>
      <c r="C7512" s="0" t="n">
        <v>2120567</v>
      </c>
      <c r="D7512" s="0" t="s">
        <v>25101</v>
      </c>
      <c r="E7512" s="0" t="s">
        <v>89</v>
      </c>
      <c r="F7512" s="0" t="s">
        <v>90</v>
      </c>
      <c r="G7512" s="0" t="s">
        <v>16</v>
      </c>
      <c r="H7512" s="0" t="n">
        <v>106</v>
      </c>
      <c r="I7512" s="0" t="s">
        <v>25111</v>
      </c>
      <c r="J7512" s="0" t="s">
        <v>25112</v>
      </c>
      <c r="K7512" s="0" t="s">
        <v>25113</v>
      </c>
      <c r="L7512" s="0" t="str">
        <f aca="false">HYPERLINK("https://www.ncbi.nlm.nih.gov/nuccore/CP000304.1?report=graph&amp;tracks=[key:gene_model_track,Options:GeneOnly]&amp;mk=2120647:2120666|offset_7|444444,2120620:2120639|offset_34|444444,2120581:2120600|offset_73|444444,2120548:2120567|offset_106|00cc00&amp;v=2120446:2120767&amp;c=444444", "offset 106")</f>
        <v>offset 106</v>
      </c>
    </row>
    <row r="7513" customFormat="false" ht="12.8" hidden="false" customHeight="false" outlineLevel="0" collapsed="false">
      <c r="A7513" s="0" t="s">
        <v>12</v>
      </c>
      <c r="B7513" s="0" t="n">
        <v>2121195</v>
      </c>
      <c r="C7513" s="0" t="n">
        <v>2121215</v>
      </c>
      <c r="D7513" s="0" t="s">
        <v>25114</v>
      </c>
      <c r="E7513" s="0" t="s">
        <v>89</v>
      </c>
      <c r="F7513" s="0" t="s">
        <v>90</v>
      </c>
      <c r="G7513" s="0" t="s">
        <v>32</v>
      </c>
      <c r="H7513" s="0" t="n">
        <v>8</v>
      </c>
      <c r="I7513" s="0" t="s">
        <v>25115</v>
      </c>
      <c r="J7513" s="0" t="s">
        <v>25116</v>
      </c>
      <c r="K7513" s="0" t="s">
        <v>25117</v>
      </c>
      <c r="L7513" s="0" t="str">
        <f aca="false">HYPERLINK("https://www.ncbi.nlm.nih.gov/nuccore/CP000304.1?report=graph&amp;tracks=[key:gene_model_track,Options:GeneOnly]&amp;mk=2121196:2121215|offset_8|00cc00,2121170:2121189|offset_34|444444,2121149:2121168|offset_55|444444,2121125:2121144|offset_79|444444&amp;v=2120995:2121344&amp;c=444444", "offset 8")</f>
        <v>offset 8</v>
      </c>
    </row>
    <row r="7514" customFormat="false" ht="12.8" hidden="false" customHeight="false" outlineLevel="0" collapsed="false">
      <c r="A7514" s="0" t="s">
        <v>12</v>
      </c>
      <c r="B7514" s="0" t="n">
        <v>2121169</v>
      </c>
      <c r="C7514" s="0" t="n">
        <v>2121189</v>
      </c>
      <c r="D7514" s="0" t="s">
        <v>25114</v>
      </c>
      <c r="E7514" s="0" t="s">
        <v>89</v>
      </c>
      <c r="F7514" s="0" t="s">
        <v>90</v>
      </c>
      <c r="G7514" s="0" t="s">
        <v>36</v>
      </c>
      <c r="H7514" s="0" t="n">
        <v>34</v>
      </c>
      <c r="I7514" s="0" t="s">
        <v>25118</v>
      </c>
      <c r="J7514" s="0" t="s">
        <v>25119</v>
      </c>
      <c r="K7514" s="0" t="s">
        <v>25120</v>
      </c>
      <c r="L7514" s="0" t="str">
        <f aca="false">HYPERLINK("https://www.ncbi.nlm.nih.gov/nuccore/CP000304.1?report=graph&amp;tracks=[key:gene_model_track,Options:GeneOnly]&amp;mk=2121196:2121215|offset_8|444444,2121170:2121189|offset_34|00cc00,2121149:2121168|offset_55|444444,2121125:2121144|offset_79|444444&amp;v=2120995:2121344&amp;c=444444", "offset 34")</f>
        <v>offset 34</v>
      </c>
    </row>
    <row r="7515" customFormat="false" ht="12.8" hidden="false" customHeight="false" outlineLevel="0" collapsed="false">
      <c r="A7515" s="0" t="s">
        <v>12</v>
      </c>
      <c r="B7515" s="0" t="n">
        <v>2121148</v>
      </c>
      <c r="C7515" s="0" t="n">
        <v>2121168</v>
      </c>
      <c r="D7515" s="0" t="s">
        <v>25114</v>
      </c>
      <c r="E7515" s="0" t="s">
        <v>89</v>
      </c>
      <c r="F7515" s="0" t="s">
        <v>90</v>
      </c>
      <c r="G7515" s="0" t="s">
        <v>26</v>
      </c>
      <c r="H7515" s="0" t="n">
        <v>55</v>
      </c>
      <c r="I7515" s="0" t="s">
        <v>25121</v>
      </c>
      <c r="J7515" s="0" t="s">
        <v>25122</v>
      </c>
      <c r="K7515" s="0" t="s">
        <v>25123</v>
      </c>
      <c r="L7515" s="0" t="str">
        <f aca="false">HYPERLINK("https://www.ncbi.nlm.nih.gov/nuccore/CP000304.1?report=graph&amp;tracks=[key:gene_model_track,Options:GeneOnly]&amp;mk=2121196:2121215|offset_8|444444,2121170:2121189|offset_34|444444,2121149:2121168|offset_55|00cc00,2121125:2121144|offset_79|444444&amp;v=2120995:2121344&amp;c=444444", "offset 55")</f>
        <v>offset 55</v>
      </c>
    </row>
    <row r="7516" customFormat="false" ht="12.8" hidden="false" customHeight="false" outlineLevel="0" collapsed="false">
      <c r="A7516" s="0" t="s">
        <v>12</v>
      </c>
      <c r="B7516" s="0" t="n">
        <v>2121124</v>
      </c>
      <c r="C7516" s="0" t="n">
        <v>2121144</v>
      </c>
      <c r="D7516" s="0" t="s">
        <v>25114</v>
      </c>
      <c r="E7516" s="0" t="s">
        <v>89</v>
      </c>
      <c r="F7516" s="0" t="s">
        <v>90</v>
      </c>
      <c r="G7516" s="0" t="s">
        <v>16</v>
      </c>
      <c r="H7516" s="0" t="n">
        <v>79</v>
      </c>
      <c r="I7516" s="0" t="s">
        <v>25124</v>
      </c>
      <c r="J7516" s="0" t="s">
        <v>25125</v>
      </c>
      <c r="K7516" s="0" t="s">
        <v>25126</v>
      </c>
      <c r="L7516" s="0" t="str">
        <f aca="false">HYPERLINK("https://www.ncbi.nlm.nih.gov/nuccore/CP000304.1?report=graph&amp;tracks=[key:gene_model_track,Options:GeneOnly]&amp;mk=2121196:2121215|offset_8|444444,2121170:2121189|offset_34|444444,2121149:2121168|offset_55|444444,2121125:2121144|offset_79|00cc00&amp;v=2120995:2121344&amp;c=444444", "offset 79")</f>
        <v>offset 79</v>
      </c>
    </row>
    <row r="7517" customFormat="false" ht="12.8" hidden="false" customHeight="false" outlineLevel="0" collapsed="false">
      <c r="A7517" s="0" t="s">
        <v>12</v>
      </c>
      <c r="B7517" s="0" t="n">
        <v>2123748</v>
      </c>
      <c r="C7517" s="0" t="n">
        <v>2123768</v>
      </c>
      <c r="D7517" s="0" t="s">
        <v>25127</v>
      </c>
      <c r="E7517" s="0" t="s">
        <v>89</v>
      </c>
      <c r="F7517" s="0" t="s">
        <v>90</v>
      </c>
      <c r="G7517" s="0" t="s">
        <v>16</v>
      </c>
      <c r="H7517" s="0" t="n">
        <v>13</v>
      </c>
      <c r="I7517" s="0" t="s">
        <v>25128</v>
      </c>
      <c r="J7517" s="0" t="s">
        <v>25129</v>
      </c>
      <c r="K7517" s="0" t="s">
        <v>25130</v>
      </c>
      <c r="L7517" s="0" t="str">
        <f aca="false">HYPERLINK("https://www.ncbi.nlm.nih.gov/nuccore/CP000304.1?report=graph&amp;tracks=[key:gene_model_track,Options:GeneOnly]&amp;mk=2123749:2123768|offset_13|00cc00,2123659:2123678|offset_103|444444,2123619:2123638|offset_143|444444,2123595:2123614|offset_167|444444&amp;v=2123548:2123814&amp;c=444444", "offset 13")</f>
        <v>offset 13</v>
      </c>
    </row>
    <row r="7518" customFormat="false" ht="12.8" hidden="false" customHeight="false" outlineLevel="0" collapsed="false">
      <c r="A7518" s="0" t="s">
        <v>12</v>
      </c>
      <c r="B7518" s="0" t="n">
        <v>2123658</v>
      </c>
      <c r="C7518" s="0" t="n">
        <v>2123678</v>
      </c>
      <c r="D7518" s="0" t="s">
        <v>25127</v>
      </c>
      <c r="E7518" s="0" t="s">
        <v>89</v>
      </c>
      <c r="F7518" s="0" t="s">
        <v>90</v>
      </c>
      <c r="G7518" s="0" t="s">
        <v>36</v>
      </c>
      <c r="H7518" s="0" t="n">
        <v>103</v>
      </c>
      <c r="I7518" s="0" t="s">
        <v>25131</v>
      </c>
      <c r="J7518" s="0" t="s">
        <v>25132</v>
      </c>
      <c r="K7518" s="0" t="s">
        <v>25133</v>
      </c>
      <c r="L7518" s="0" t="str">
        <f aca="false">HYPERLINK("https://www.ncbi.nlm.nih.gov/nuccore/CP000304.1?report=graph&amp;tracks=[key:gene_model_track,Options:GeneOnly]&amp;mk=2123749:2123768|offset_13|444444,2123659:2123678|offset_103|00cc00,2123619:2123638|offset_143|444444,2123595:2123614|offset_167|444444&amp;v=2123548:2123814&amp;c=444444", "offset 103")</f>
        <v>offset 103</v>
      </c>
    </row>
    <row r="7519" customFormat="false" ht="12.8" hidden="false" customHeight="false" outlineLevel="0" collapsed="false">
      <c r="A7519" s="0" t="s">
        <v>12</v>
      </c>
      <c r="B7519" s="0" t="n">
        <v>2123618</v>
      </c>
      <c r="C7519" s="0" t="n">
        <v>2123638</v>
      </c>
      <c r="D7519" s="0" t="s">
        <v>25127</v>
      </c>
      <c r="E7519" s="0" t="s">
        <v>89</v>
      </c>
      <c r="F7519" s="0" t="s">
        <v>90</v>
      </c>
      <c r="G7519" s="0" t="s">
        <v>32</v>
      </c>
      <c r="H7519" s="0" t="n">
        <v>143</v>
      </c>
      <c r="I7519" s="0" t="s">
        <v>25134</v>
      </c>
      <c r="J7519" s="0" t="s">
        <v>25135</v>
      </c>
      <c r="K7519" s="0" t="s">
        <v>25136</v>
      </c>
      <c r="L7519" s="0" t="str">
        <f aca="false">HYPERLINK("https://www.ncbi.nlm.nih.gov/nuccore/CP000304.1?report=graph&amp;tracks=[key:gene_model_track,Options:GeneOnly]&amp;mk=2123749:2123768|offset_13|444444,2123659:2123678|offset_103|444444,2123619:2123638|offset_143|00cc00,2123595:2123614|offset_167|444444&amp;v=2123548:2123814&amp;c=444444", "offset 143")</f>
        <v>offset 143</v>
      </c>
    </row>
    <row r="7520" customFormat="false" ht="12.8" hidden="false" customHeight="false" outlineLevel="0" collapsed="false">
      <c r="A7520" s="0" t="s">
        <v>12</v>
      </c>
      <c r="B7520" s="0" t="n">
        <v>2123594</v>
      </c>
      <c r="C7520" s="0" t="n">
        <v>2123614</v>
      </c>
      <c r="D7520" s="0" t="s">
        <v>25127</v>
      </c>
      <c r="E7520" s="0" t="s">
        <v>89</v>
      </c>
      <c r="F7520" s="0" t="s">
        <v>90</v>
      </c>
      <c r="G7520" s="0" t="s">
        <v>26</v>
      </c>
      <c r="H7520" s="0" t="n">
        <v>167</v>
      </c>
      <c r="I7520" s="0" t="s">
        <v>25137</v>
      </c>
      <c r="J7520" s="0" t="s">
        <v>25138</v>
      </c>
      <c r="K7520" s="0" t="s">
        <v>25139</v>
      </c>
      <c r="L7520" s="0" t="str">
        <f aca="false">HYPERLINK("https://www.ncbi.nlm.nih.gov/nuccore/CP000304.1?report=graph&amp;tracks=[key:gene_model_track,Options:GeneOnly]&amp;mk=2123749:2123768|offset_13|444444,2123659:2123678|offset_103|444444,2123619:2123638|offset_143|444444,2123595:2123614|offset_167|00cc00&amp;v=2123548:2123814&amp;c=444444", "offset 167")</f>
        <v>offset 167</v>
      </c>
    </row>
    <row r="7521" customFormat="false" ht="12.8" hidden="false" customHeight="false" outlineLevel="0" collapsed="false">
      <c r="A7521" s="0" t="s">
        <v>12</v>
      </c>
      <c r="B7521" s="0" t="n">
        <v>2124910</v>
      </c>
      <c r="C7521" s="0" t="n">
        <v>2124930</v>
      </c>
      <c r="D7521" s="0" t="s">
        <v>25140</v>
      </c>
      <c r="E7521" s="0" t="s">
        <v>89</v>
      </c>
      <c r="F7521" s="0" t="s">
        <v>90</v>
      </c>
      <c r="G7521" s="0" t="s">
        <v>36</v>
      </c>
      <c r="H7521" s="0" t="n">
        <v>0</v>
      </c>
      <c r="I7521" s="0" t="s">
        <v>25141</v>
      </c>
      <c r="J7521" s="0" t="s">
        <v>25142</v>
      </c>
      <c r="K7521" s="0" t="s">
        <v>25143</v>
      </c>
      <c r="L7521" s="0" t="str">
        <f aca="false">HYPERLINK("https://www.ncbi.nlm.nih.gov/nuccore/CP000304.1?report=graph&amp;tracks=[key:gene_model_track,Options:GeneOnly]&amp;mk=2124911:2124930|offset_0|00cc00,2124883:2124902|offset_28|444444,2124850:2124869|offset_61|444444,2124819:2124838|offset_92|444444&amp;v=2124710:2125038&amp;c=444444", "offset 0")</f>
        <v>offset 0</v>
      </c>
    </row>
    <row r="7522" customFormat="false" ht="12.8" hidden="false" customHeight="false" outlineLevel="0" collapsed="false">
      <c r="A7522" s="0" t="s">
        <v>12</v>
      </c>
      <c r="B7522" s="0" t="n">
        <v>2124882</v>
      </c>
      <c r="C7522" s="0" t="n">
        <v>2124902</v>
      </c>
      <c r="D7522" s="0" t="s">
        <v>25140</v>
      </c>
      <c r="E7522" s="0" t="s">
        <v>89</v>
      </c>
      <c r="F7522" s="0" t="s">
        <v>90</v>
      </c>
      <c r="G7522" s="0" t="s">
        <v>36</v>
      </c>
      <c r="H7522" s="0" t="n">
        <v>28</v>
      </c>
      <c r="I7522" s="0" t="s">
        <v>25144</v>
      </c>
      <c r="J7522" s="0" t="s">
        <v>25145</v>
      </c>
      <c r="K7522" s="0" t="s">
        <v>25146</v>
      </c>
      <c r="L7522" s="0" t="str">
        <f aca="false">HYPERLINK("https://www.ncbi.nlm.nih.gov/nuccore/CP000304.1?report=graph&amp;tracks=[key:gene_model_track,Options:GeneOnly]&amp;mk=2124911:2124930|offset_0|444444,2124883:2124902|offset_28|00cc00,2124850:2124869|offset_61|444444,2124819:2124838|offset_92|444444&amp;v=2124710:2125038&amp;c=444444", "offset 28")</f>
        <v>offset 28</v>
      </c>
    </row>
    <row r="7523" customFormat="false" ht="12.8" hidden="false" customHeight="false" outlineLevel="0" collapsed="false">
      <c r="A7523" s="0" t="s">
        <v>12</v>
      </c>
      <c r="B7523" s="0" t="n">
        <v>2124849</v>
      </c>
      <c r="C7523" s="0" t="n">
        <v>2124869</v>
      </c>
      <c r="D7523" s="0" t="s">
        <v>25140</v>
      </c>
      <c r="E7523" s="0" t="s">
        <v>89</v>
      </c>
      <c r="F7523" s="0" t="s">
        <v>90</v>
      </c>
      <c r="G7523" s="0" t="s">
        <v>16</v>
      </c>
      <c r="H7523" s="0" t="n">
        <v>61</v>
      </c>
      <c r="I7523" s="0" t="s">
        <v>25147</v>
      </c>
      <c r="J7523" s="0" t="s">
        <v>25148</v>
      </c>
      <c r="K7523" s="0" t="s">
        <v>25149</v>
      </c>
      <c r="L7523" s="0" t="str">
        <f aca="false">HYPERLINK("https://www.ncbi.nlm.nih.gov/nuccore/CP000304.1?report=graph&amp;tracks=[key:gene_model_track,Options:GeneOnly]&amp;mk=2124911:2124930|offset_0|444444,2124883:2124902|offset_28|444444,2124850:2124869|offset_61|00cc00,2124819:2124838|offset_92|444444&amp;v=2124710:2125038&amp;c=444444", "offset 61")</f>
        <v>offset 61</v>
      </c>
    </row>
    <row r="7524" customFormat="false" ht="12.8" hidden="false" customHeight="false" outlineLevel="0" collapsed="false">
      <c r="A7524" s="0" t="s">
        <v>12</v>
      </c>
      <c r="B7524" s="0" t="n">
        <v>2124818</v>
      </c>
      <c r="C7524" s="0" t="n">
        <v>2124838</v>
      </c>
      <c r="D7524" s="0" t="s">
        <v>25140</v>
      </c>
      <c r="E7524" s="0" t="s">
        <v>89</v>
      </c>
      <c r="F7524" s="0" t="s">
        <v>90</v>
      </c>
      <c r="G7524" s="0" t="s">
        <v>36</v>
      </c>
      <c r="H7524" s="0" t="n">
        <v>92</v>
      </c>
      <c r="I7524" s="0" t="s">
        <v>25150</v>
      </c>
      <c r="J7524" s="0" t="s">
        <v>25151</v>
      </c>
      <c r="K7524" s="0" t="s">
        <v>25152</v>
      </c>
      <c r="L7524" s="0" t="str">
        <f aca="false">HYPERLINK("https://www.ncbi.nlm.nih.gov/nuccore/CP000304.1?report=graph&amp;tracks=[key:gene_model_track,Options:GeneOnly]&amp;mk=2124911:2124930|offset_0|444444,2124883:2124902|offset_28|444444,2124850:2124869|offset_61|444444,2124819:2124838|offset_92|00cc00&amp;v=2124710:2125038&amp;c=444444", "offset 92")</f>
        <v>offset 92</v>
      </c>
    </row>
    <row r="7525" customFormat="false" ht="12.8" hidden="false" customHeight="false" outlineLevel="0" collapsed="false">
      <c r="A7525" s="0" t="s">
        <v>12</v>
      </c>
      <c r="B7525" s="0" t="n">
        <v>2125155</v>
      </c>
      <c r="C7525" s="0" t="n">
        <v>2125175</v>
      </c>
      <c r="D7525" s="0" t="s">
        <v>25153</v>
      </c>
      <c r="E7525" s="0" t="s">
        <v>89</v>
      </c>
      <c r="F7525" s="0" t="s">
        <v>15</v>
      </c>
      <c r="G7525" s="0" t="s">
        <v>26</v>
      </c>
      <c r="H7525" s="0" t="n">
        <v>19</v>
      </c>
      <c r="I7525" s="0" t="s">
        <v>25154</v>
      </c>
      <c r="J7525" s="0" t="s">
        <v>25155</v>
      </c>
      <c r="K7525" s="0" t="s">
        <v>25156</v>
      </c>
      <c r="L7525" s="0" t="str">
        <f aca="false">HYPERLINK("https://www.ncbi.nlm.nih.gov/nuccore/CP000304.1?report=graph&amp;tracks=[key:gene_model_track,Options:GeneOnly]&amp;mk=2125156:2125175|offset_19|00cc00,2125238:2125257|offset_101|444444,2125267:2125286|offset_130|444444,2125296:2125315|offset_159|444444&amp;v=2124955:2125515&amp;c=444444", "offset 19")</f>
        <v>offset 19</v>
      </c>
    </row>
    <row r="7526" customFormat="false" ht="12.8" hidden="false" customHeight="false" outlineLevel="0" collapsed="false">
      <c r="A7526" s="0" t="s">
        <v>12</v>
      </c>
      <c r="B7526" s="0" t="n">
        <v>2125237</v>
      </c>
      <c r="C7526" s="0" t="n">
        <v>2125257</v>
      </c>
      <c r="D7526" s="0" t="s">
        <v>25153</v>
      </c>
      <c r="E7526" s="0" t="s">
        <v>89</v>
      </c>
      <c r="F7526" s="0" t="s">
        <v>15</v>
      </c>
      <c r="G7526" s="0" t="s">
        <v>16</v>
      </c>
      <c r="H7526" s="0" t="n">
        <v>101</v>
      </c>
      <c r="I7526" s="0" t="s">
        <v>25157</v>
      </c>
      <c r="J7526" s="0" t="s">
        <v>25158</v>
      </c>
      <c r="K7526" s="0" t="s">
        <v>25159</v>
      </c>
      <c r="L7526" s="0" t="str">
        <f aca="false">HYPERLINK("https://www.ncbi.nlm.nih.gov/nuccore/CP000304.1?report=graph&amp;tracks=[key:gene_model_track,Options:GeneOnly]&amp;mk=2125156:2125175|offset_19|444444,2125238:2125257|offset_101|00cc00,2125267:2125286|offset_130|444444,2125296:2125315|offset_159|444444&amp;v=2124955:2125515&amp;c=444444", "offset 101")</f>
        <v>offset 101</v>
      </c>
    </row>
    <row r="7527" customFormat="false" ht="12.8" hidden="false" customHeight="false" outlineLevel="0" collapsed="false">
      <c r="A7527" s="0" t="s">
        <v>12</v>
      </c>
      <c r="B7527" s="0" t="n">
        <v>2125266</v>
      </c>
      <c r="C7527" s="0" t="n">
        <v>2125286</v>
      </c>
      <c r="D7527" s="0" t="s">
        <v>25153</v>
      </c>
      <c r="E7527" s="0" t="s">
        <v>89</v>
      </c>
      <c r="F7527" s="0" t="s">
        <v>15</v>
      </c>
      <c r="G7527" s="0" t="s">
        <v>36</v>
      </c>
      <c r="H7527" s="0" t="n">
        <v>130</v>
      </c>
      <c r="I7527" s="0" t="s">
        <v>25160</v>
      </c>
      <c r="J7527" s="0" t="s">
        <v>25161</v>
      </c>
      <c r="K7527" s="0" t="s">
        <v>25162</v>
      </c>
      <c r="L7527" s="0" t="str">
        <f aca="false">HYPERLINK("https://www.ncbi.nlm.nih.gov/nuccore/CP000304.1?report=graph&amp;tracks=[key:gene_model_track,Options:GeneOnly]&amp;mk=2125156:2125175|offset_19|444444,2125238:2125257|offset_101|444444,2125267:2125286|offset_130|00cc00,2125296:2125315|offset_159|444444&amp;v=2124955:2125515&amp;c=444444", "offset 130")</f>
        <v>offset 130</v>
      </c>
    </row>
    <row r="7528" customFormat="false" ht="12.8" hidden="false" customHeight="false" outlineLevel="0" collapsed="false">
      <c r="A7528" s="0" t="s">
        <v>12</v>
      </c>
      <c r="B7528" s="0" t="n">
        <v>2125295</v>
      </c>
      <c r="C7528" s="0" t="n">
        <v>2125315</v>
      </c>
      <c r="D7528" s="0" t="s">
        <v>25153</v>
      </c>
      <c r="E7528" s="0" t="s">
        <v>89</v>
      </c>
      <c r="F7528" s="0" t="s">
        <v>15</v>
      </c>
      <c r="G7528" s="0" t="s">
        <v>16</v>
      </c>
      <c r="H7528" s="0" t="n">
        <v>159</v>
      </c>
      <c r="I7528" s="0" t="s">
        <v>25163</v>
      </c>
      <c r="J7528" s="0" t="s">
        <v>25164</v>
      </c>
      <c r="K7528" s="0" t="s">
        <v>25165</v>
      </c>
      <c r="L7528" s="0" t="str">
        <f aca="false">HYPERLINK("https://www.ncbi.nlm.nih.gov/nuccore/CP000304.1?report=graph&amp;tracks=[key:gene_model_track,Options:GeneOnly]&amp;mk=2125156:2125175|offset_19|444444,2125238:2125257|offset_101|444444,2125267:2125286|offset_130|444444,2125296:2125315|offset_159|00cc00&amp;v=2124955:2125515&amp;c=444444", "offset 159")</f>
        <v>offset 159</v>
      </c>
    </row>
    <row r="7529" customFormat="false" ht="12.8" hidden="false" customHeight="false" outlineLevel="0" collapsed="false">
      <c r="A7529" s="0" t="s">
        <v>12</v>
      </c>
      <c r="B7529" s="0" t="n">
        <v>2127945</v>
      </c>
      <c r="C7529" s="0" t="n">
        <v>2127965</v>
      </c>
      <c r="D7529" s="0" t="s">
        <v>25166</v>
      </c>
      <c r="E7529" s="0" t="s">
        <v>89</v>
      </c>
      <c r="F7529" s="0" t="s">
        <v>90</v>
      </c>
      <c r="G7529" s="0" t="s">
        <v>36</v>
      </c>
      <c r="H7529" s="0" t="n">
        <v>0</v>
      </c>
      <c r="I7529" s="0" t="s">
        <v>25167</v>
      </c>
      <c r="J7529" s="0" t="s">
        <v>25168</v>
      </c>
      <c r="K7529" s="0" t="s">
        <v>25169</v>
      </c>
      <c r="L7529" s="0" t="str">
        <f aca="false">HYPERLINK("https://www.ncbi.nlm.nih.gov/nuccore/CP000304.1?report=graph&amp;tracks=[key:gene_model_track,Options:GeneOnly]&amp;mk=2127946:2127965|offset_0|00cc00,2127908:2127927|offset_38|444444,2127861:2127880|offset_85|444444,2127795:2127814|offset_151|444444&amp;v=2127745:2128014&amp;c=444444", "offset 0")</f>
        <v>offset 0</v>
      </c>
    </row>
    <row r="7530" customFormat="false" ht="12.8" hidden="false" customHeight="false" outlineLevel="0" collapsed="false">
      <c r="A7530" s="0" t="s">
        <v>12</v>
      </c>
      <c r="B7530" s="0" t="n">
        <v>2127907</v>
      </c>
      <c r="C7530" s="0" t="n">
        <v>2127927</v>
      </c>
      <c r="D7530" s="0" t="s">
        <v>25166</v>
      </c>
      <c r="E7530" s="0" t="s">
        <v>89</v>
      </c>
      <c r="F7530" s="0" t="s">
        <v>90</v>
      </c>
      <c r="G7530" s="0" t="s">
        <v>26</v>
      </c>
      <c r="H7530" s="0" t="n">
        <v>38</v>
      </c>
      <c r="I7530" s="0" t="s">
        <v>25170</v>
      </c>
      <c r="J7530" s="0" t="s">
        <v>25171</v>
      </c>
      <c r="K7530" s="0" t="s">
        <v>25172</v>
      </c>
      <c r="L7530" s="0" t="str">
        <f aca="false">HYPERLINK("https://www.ncbi.nlm.nih.gov/nuccore/CP000304.1?report=graph&amp;tracks=[key:gene_model_track,Options:GeneOnly]&amp;mk=2127946:2127965|offset_0|444444,2127908:2127927|offset_38|00cc00,2127861:2127880|offset_85|444444,2127795:2127814|offset_151|444444&amp;v=2127745:2128014&amp;c=444444", "offset 38")</f>
        <v>offset 38</v>
      </c>
    </row>
    <row r="7531" customFormat="false" ht="12.8" hidden="false" customHeight="false" outlineLevel="0" collapsed="false">
      <c r="A7531" s="0" t="s">
        <v>12</v>
      </c>
      <c r="B7531" s="0" t="n">
        <v>2127860</v>
      </c>
      <c r="C7531" s="0" t="n">
        <v>2127880</v>
      </c>
      <c r="D7531" s="0" t="s">
        <v>25166</v>
      </c>
      <c r="E7531" s="0" t="s">
        <v>89</v>
      </c>
      <c r="F7531" s="0" t="s">
        <v>90</v>
      </c>
      <c r="G7531" s="0" t="s">
        <v>26</v>
      </c>
      <c r="H7531" s="0" t="n">
        <v>85</v>
      </c>
      <c r="I7531" s="0" t="s">
        <v>25173</v>
      </c>
      <c r="J7531" s="0" t="s">
        <v>25174</v>
      </c>
      <c r="K7531" s="0" t="s">
        <v>25175</v>
      </c>
      <c r="L7531" s="0" t="str">
        <f aca="false">HYPERLINK("https://www.ncbi.nlm.nih.gov/nuccore/CP000304.1?report=graph&amp;tracks=[key:gene_model_track,Options:GeneOnly]&amp;mk=2127946:2127965|offset_0|444444,2127908:2127927|offset_38|444444,2127861:2127880|offset_85|00cc00,2127795:2127814|offset_151|444444&amp;v=2127745:2128014&amp;c=444444", "offset 85")</f>
        <v>offset 85</v>
      </c>
    </row>
    <row r="7532" customFormat="false" ht="12.8" hidden="false" customHeight="false" outlineLevel="0" collapsed="false">
      <c r="A7532" s="0" t="s">
        <v>12</v>
      </c>
      <c r="B7532" s="0" t="n">
        <v>2127794</v>
      </c>
      <c r="C7532" s="0" t="n">
        <v>2127814</v>
      </c>
      <c r="D7532" s="0" t="s">
        <v>25166</v>
      </c>
      <c r="E7532" s="0" t="s">
        <v>89</v>
      </c>
      <c r="F7532" s="0" t="s">
        <v>90</v>
      </c>
      <c r="G7532" s="0" t="s">
        <v>16</v>
      </c>
      <c r="H7532" s="0" t="n">
        <v>151</v>
      </c>
      <c r="I7532" s="0" t="s">
        <v>25176</v>
      </c>
      <c r="J7532" s="0" t="s">
        <v>25177</v>
      </c>
      <c r="K7532" s="0" t="s">
        <v>25178</v>
      </c>
      <c r="L7532" s="0" t="str">
        <f aca="false">HYPERLINK("https://www.ncbi.nlm.nih.gov/nuccore/CP000304.1?report=graph&amp;tracks=[key:gene_model_track,Options:GeneOnly]&amp;mk=2127946:2127965|offset_0|444444,2127908:2127927|offset_38|444444,2127861:2127880|offset_85|444444,2127795:2127814|offset_151|00cc00&amp;v=2127745:2128014&amp;c=444444", "offset 151")</f>
        <v>offset 151</v>
      </c>
    </row>
    <row r="7533" customFormat="false" ht="12.8" hidden="false" customHeight="false" outlineLevel="0" collapsed="false">
      <c r="A7533" s="0" t="s">
        <v>12</v>
      </c>
      <c r="B7533" s="0" t="n">
        <v>2129245</v>
      </c>
      <c r="C7533" s="0" t="n">
        <v>2129265</v>
      </c>
      <c r="D7533" s="0" t="s">
        <v>25179</v>
      </c>
      <c r="E7533" s="0" t="s">
        <v>89</v>
      </c>
      <c r="F7533" s="0" t="s">
        <v>90</v>
      </c>
      <c r="G7533" s="0" t="s">
        <v>26</v>
      </c>
      <c r="H7533" s="0" t="n">
        <v>17</v>
      </c>
      <c r="I7533" s="0" t="s">
        <v>25180</v>
      </c>
      <c r="J7533" s="0" t="s">
        <v>25181</v>
      </c>
      <c r="K7533" s="0" t="s">
        <v>25182</v>
      </c>
      <c r="L7533" s="0" t="str">
        <f aca="false">HYPERLINK("https://www.ncbi.nlm.nih.gov/nuccore/CP000304.1?report=graph&amp;tracks=[key:gene_model_track,Options:GeneOnly]&amp;mk=2129246:2129265|offset_17|00cc00,2129220:2129239|offset_43|444444,2129198:2129217|offset_65|444444,2129135:2129154|offset_128|444444&amp;v=2129045:2129354&amp;c=444444", "offset 17")</f>
        <v>offset 17</v>
      </c>
    </row>
    <row r="7534" customFormat="false" ht="12.8" hidden="false" customHeight="false" outlineLevel="0" collapsed="false">
      <c r="A7534" s="0" t="s">
        <v>12</v>
      </c>
      <c r="B7534" s="0" t="n">
        <v>2129219</v>
      </c>
      <c r="C7534" s="0" t="n">
        <v>2129239</v>
      </c>
      <c r="D7534" s="0" t="s">
        <v>25179</v>
      </c>
      <c r="E7534" s="0" t="s">
        <v>89</v>
      </c>
      <c r="F7534" s="0" t="s">
        <v>90</v>
      </c>
      <c r="G7534" s="0" t="s">
        <v>16</v>
      </c>
      <c r="H7534" s="0" t="n">
        <v>43</v>
      </c>
      <c r="I7534" s="0" t="s">
        <v>25183</v>
      </c>
      <c r="J7534" s="0" t="s">
        <v>25184</v>
      </c>
      <c r="K7534" s="0" t="s">
        <v>25185</v>
      </c>
      <c r="L7534" s="0" t="str">
        <f aca="false">HYPERLINK("https://www.ncbi.nlm.nih.gov/nuccore/CP000304.1?report=graph&amp;tracks=[key:gene_model_track,Options:GeneOnly]&amp;mk=2129246:2129265|offset_17|444444,2129220:2129239|offset_43|00cc00,2129198:2129217|offset_65|444444,2129135:2129154|offset_128|444444&amp;v=2129045:2129354&amp;c=444444", "offset 43")</f>
        <v>offset 43</v>
      </c>
    </row>
    <row r="7535" customFormat="false" ht="12.8" hidden="false" customHeight="false" outlineLevel="0" collapsed="false">
      <c r="A7535" s="0" t="s">
        <v>12</v>
      </c>
      <c r="B7535" s="0" t="n">
        <v>2129197</v>
      </c>
      <c r="C7535" s="0" t="n">
        <v>2129217</v>
      </c>
      <c r="D7535" s="0" t="s">
        <v>25179</v>
      </c>
      <c r="E7535" s="0" t="s">
        <v>89</v>
      </c>
      <c r="F7535" s="0" t="s">
        <v>90</v>
      </c>
      <c r="G7535" s="0" t="s">
        <v>26</v>
      </c>
      <c r="H7535" s="0" t="n">
        <v>65</v>
      </c>
      <c r="I7535" s="0" t="s">
        <v>25186</v>
      </c>
      <c r="J7535" s="0" t="s">
        <v>25187</v>
      </c>
      <c r="K7535" s="0" t="s">
        <v>25188</v>
      </c>
      <c r="L7535" s="0" t="str">
        <f aca="false">HYPERLINK("https://www.ncbi.nlm.nih.gov/nuccore/CP000304.1?report=graph&amp;tracks=[key:gene_model_track,Options:GeneOnly]&amp;mk=2129246:2129265|offset_17|444444,2129220:2129239|offset_43|444444,2129198:2129217|offset_65|00cc00,2129135:2129154|offset_128|444444&amp;v=2129045:2129354&amp;c=444444", "offset 65")</f>
        <v>offset 65</v>
      </c>
    </row>
    <row r="7536" customFormat="false" ht="12.8" hidden="false" customHeight="false" outlineLevel="0" collapsed="false">
      <c r="A7536" s="0" t="s">
        <v>12</v>
      </c>
      <c r="B7536" s="0" t="n">
        <v>2129134</v>
      </c>
      <c r="C7536" s="0" t="n">
        <v>2129154</v>
      </c>
      <c r="D7536" s="0" t="s">
        <v>25179</v>
      </c>
      <c r="E7536" s="0" t="s">
        <v>89</v>
      </c>
      <c r="F7536" s="0" t="s">
        <v>90</v>
      </c>
      <c r="G7536" s="0" t="s">
        <v>32</v>
      </c>
      <c r="H7536" s="0" t="n">
        <v>128</v>
      </c>
      <c r="I7536" s="0" t="s">
        <v>25189</v>
      </c>
      <c r="J7536" s="0" t="s">
        <v>25190</v>
      </c>
      <c r="K7536" s="0" t="s">
        <v>25191</v>
      </c>
      <c r="L7536" s="0" t="str">
        <f aca="false">HYPERLINK("https://www.ncbi.nlm.nih.gov/nuccore/CP000304.1?report=graph&amp;tracks=[key:gene_model_track,Options:GeneOnly]&amp;mk=2129246:2129265|offset_17|444444,2129220:2129239|offset_43|444444,2129198:2129217|offset_65|444444,2129135:2129154|offset_128|00cc00&amp;v=2129045:2129354&amp;c=444444", "offset 128")</f>
        <v>offset 128</v>
      </c>
    </row>
    <row r="7537" customFormat="false" ht="12.8" hidden="false" customHeight="false" outlineLevel="0" collapsed="false">
      <c r="A7537" s="0" t="s">
        <v>12</v>
      </c>
      <c r="B7537" s="0" t="n">
        <v>2130051</v>
      </c>
      <c r="C7537" s="0" t="n">
        <v>2130071</v>
      </c>
      <c r="D7537" s="0" t="s">
        <v>25192</v>
      </c>
      <c r="E7537" s="0" t="s">
        <v>89</v>
      </c>
      <c r="F7537" s="0" t="s">
        <v>90</v>
      </c>
      <c r="G7537" s="0" t="s">
        <v>32</v>
      </c>
      <c r="H7537" s="0" t="n">
        <v>13</v>
      </c>
      <c r="I7537" s="0" t="s">
        <v>25193</v>
      </c>
      <c r="J7537" s="0" t="s">
        <v>25194</v>
      </c>
      <c r="K7537" s="0" t="s">
        <v>25195</v>
      </c>
      <c r="L7537" s="0" t="str">
        <f aca="false">HYPERLINK("https://www.ncbi.nlm.nih.gov/nuccore/CP000304.1?report=graph&amp;tracks=[key:gene_model_track,Options:GeneOnly]&amp;mk=2130052:2130071|offset_13|00cc00,2130030:2130049|offset_35|444444,2129999:2130018|offset_66|444444,2129976:2129995|offset_89|444444&amp;v=2129851:2130195&amp;c=444444", "offset 13")</f>
        <v>offset 13</v>
      </c>
    </row>
    <row r="7538" customFormat="false" ht="12.8" hidden="false" customHeight="false" outlineLevel="0" collapsed="false">
      <c r="A7538" s="0" t="s">
        <v>12</v>
      </c>
      <c r="B7538" s="0" t="n">
        <v>2130029</v>
      </c>
      <c r="C7538" s="0" t="n">
        <v>2130049</v>
      </c>
      <c r="D7538" s="0" t="s">
        <v>25192</v>
      </c>
      <c r="E7538" s="0" t="s">
        <v>89</v>
      </c>
      <c r="F7538" s="0" t="s">
        <v>90</v>
      </c>
      <c r="G7538" s="0" t="s">
        <v>16</v>
      </c>
      <c r="H7538" s="0" t="n">
        <v>35</v>
      </c>
      <c r="I7538" s="0" t="s">
        <v>25196</v>
      </c>
      <c r="J7538" s="0" t="s">
        <v>25197</v>
      </c>
      <c r="K7538" s="0" t="s">
        <v>25198</v>
      </c>
      <c r="L7538" s="0" t="str">
        <f aca="false">HYPERLINK("https://www.ncbi.nlm.nih.gov/nuccore/CP000304.1?report=graph&amp;tracks=[key:gene_model_track,Options:GeneOnly]&amp;mk=2130052:2130071|offset_13|444444,2130030:2130049|offset_35|00cc00,2129999:2130018|offset_66|444444,2129976:2129995|offset_89|444444&amp;v=2129851:2130195&amp;c=444444", "offset 35")</f>
        <v>offset 35</v>
      </c>
    </row>
    <row r="7539" customFormat="false" ht="12.8" hidden="false" customHeight="false" outlineLevel="0" collapsed="false">
      <c r="A7539" s="0" t="s">
        <v>12</v>
      </c>
      <c r="B7539" s="0" t="n">
        <v>2129998</v>
      </c>
      <c r="C7539" s="0" t="n">
        <v>2130018</v>
      </c>
      <c r="D7539" s="0" t="s">
        <v>25192</v>
      </c>
      <c r="E7539" s="0" t="s">
        <v>89</v>
      </c>
      <c r="F7539" s="0" t="s">
        <v>90</v>
      </c>
      <c r="G7539" s="0" t="s">
        <v>16</v>
      </c>
      <c r="H7539" s="0" t="n">
        <v>66</v>
      </c>
      <c r="I7539" s="0" t="s">
        <v>25199</v>
      </c>
      <c r="J7539" s="0" t="s">
        <v>25200</v>
      </c>
      <c r="K7539" s="0" t="s">
        <v>25201</v>
      </c>
      <c r="L7539" s="0" t="str">
        <f aca="false">HYPERLINK("https://www.ncbi.nlm.nih.gov/nuccore/CP000304.1?report=graph&amp;tracks=[key:gene_model_track,Options:GeneOnly]&amp;mk=2130052:2130071|offset_13|444444,2130030:2130049|offset_35|444444,2129999:2130018|offset_66|00cc00,2129976:2129995|offset_89|444444&amp;v=2129851:2130195&amp;c=444444", "offset 66")</f>
        <v>offset 66</v>
      </c>
    </row>
    <row r="7540" customFormat="false" ht="12.8" hidden="false" customHeight="false" outlineLevel="0" collapsed="false">
      <c r="A7540" s="0" t="s">
        <v>12</v>
      </c>
      <c r="B7540" s="0" t="n">
        <v>2129975</v>
      </c>
      <c r="C7540" s="0" t="n">
        <v>2129995</v>
      </c>
      <c r="D7540" s="0" t="s">
        <v>25192</v>
      </c>
      <c r="E7540" s="0" t="s">
        <v>89</v>
      </c>
      <c r="F7540" s="0" t="s">
        <v>90</v>
      </c>
      <c r="G7540" s="0" t="s">
        <v>16</v>
      </c>
      <c r="H7540" s="0" t="n">
        <v>89</v>
      </c>
      <c r="I7540" s="0" t="s">
        <v>25202</v>
      </c>
      <c r="J7540" s="0" t="s">
        <v>25203</v>
      </c>
      <c r="K7540" s="0" t="s">
        <v>25204</v>
      </c>
      <c r="L7540" s="0" t="str">
        <f aca="false">HYPERLINK("https://www.ncbi.nlm.nih.gov/nuccore/CP000304.1?report=graph&amp;tracks=[key:gene_model_track,Options:GeneOnly]&amp;mk=2130052:2130071|offset_13|444444,2130030:2130049|offset_35|444444,2129999:2130018|offset_66|444444,2129976:2129995|offset_89|00cc00&amp;v=2129851:2130195&amp;c=444444", "offset 89")</f>
        <v>offset 89</v>
      </c>
    </row>
    <row r="7541" customFormat="false" ht="12.8" hidden="false" customHeight="false" outlineLevel="0" collapsed="false">
      <c r="A7541" s="0" t="s">
        <v>12</v>
      </c>
      <c r="B7541" s="0" t="n">
        <v>2131295</v>
      </c>
      <c r="C7541" s="0" t="n">
        <v>2131315</v>
      </c>
      <c r="D7541" s="0" t="s">
        <v>25205</v>
      </c>
      <c r="E7541" s="0" t="s">
        <v>89</v>
      </c>
      <c r="F7541" s="0" t="s">
        <v>90</v>
      </c>
      <c r="G7541" s="0" t="s">
        <v>32</v>
      </c>
      <c r="H7541" s="0" t="n">
        <v>13</v>
      </c>
      <c r="I7541" s="0" t="s">
        <v>25206</v>
      </c>
      <c r="J7541" s="0" t="s">
        <v>25207</v>
      </c>
      <c r="K7541" s="0" t="s">
        <v>25208</v>
      </c>
      <c r="L7541" s="0" t="str">
        <f aca="false">HYPERLINK("https://www.ncbi.nlm.nih.gov/nuccore/CP000304.1?report=graph&amp;tracks=[key:gene_model_track,Options:GeneOnly]&amp;mk=2131296:2131315|offset_13|00cc00,2131275:2131294|offset_34|444444,2131248:2131267|offset_61|444444,2131199:2131218|offset_110|444444&amp;v=2131095:2131418&amp;c=444444", "offset 13")</f>
        <v>offset 13</v>
      </c>
    </row>
    <row r="7542" customFormat="false" ht="12.8" hidden="false" customHeight="false" outlineLevel="0" collapsed="false">
      <c r="A7542" s="0" t="s">
        <v>12</v>
      </c>
      <c r="B7542" s="0" t="n">
        <v>2131274</v>
      </c>
      <c r="C7542" s="0" t="n">
        <v>2131294</v>
      </c>
      <c r="D7542" s="0" t="s">
        <v>25205</v>
      </c>
      <c r="E7542" s="0" t="s">
        <v>89</v>
      </c>
      <c r="F7542" s="0" t="s">
        <v>90</v>
      </c>
      <c r="G7542" s="0" t="s">
        <v>16</v>
      </c>
      <c r="H7542" s="0" t="n">
        <v>34</v>
      </c>
      <c r="I7542" s="0" t="s">
        <v>25209</v>
      </c>
      <c r="J7542" s="0" t="s">
        <v>25210</v>
      </c>
      <c r="K7542" s="0" t="s">
        <v>25211</v>
      </c>
      <c r="L7542" s="0" t="str">
        <f aca="false">HYPERLINK("https://www.ncbi.nlm.nih.gov/nuccore/CP000304.1?report=graph&amp;tracks=[key:gene_model_track,Options:GeneOnly]&amp;mk=2131296:2131315|offset_13|444444,2131275:2131294|offset_34|00cc00,2131248:2131267|offset_61|444444,2131199:2131218|offset_110|444444&amp;v=2131095:2131418&amp;c=444444", "offset 34")</f>
        <v>offset 34</v>
      </c>
    </row>
    <row r="7543" customFormat="false" ht="12.8" hidden="false" customHeight="false" outlineLevel="0" collapsed="false">
      <c r="A7543" s="0" t="s">
        <v>12</v>
      </c>
      <c r="B7543" s="0" t="n">
        <v>2131247</v>
      </c>
      <c r="C7543" s="0" t="n">
        <v>2131267</v>
      </c>
      <c r="D7543" s="0" t="s">
        <v>25205</v>
      </c>
      <c r="E7543" s="0" t="s">
        <v>89</v>
      </c>
      <c r="F7543" s="0" t="s">
        <v>90</v>
      </c>
      <c r="G7543" s="0" t="s">
        <v>36</v>
      </c>
      <c r="H7543" s="0" t="n">
        <v>61</v>
      </c>
      <c r="I7543" s="0" t="s">
        <v>25212</v>
      </c>
      <c r="J7543" s="0" t="s">
        <v>25213</v>
      </c>
      <c r="K7543" s="0" t="s">
        <v>25214</v>
      </c>
      <c r="L7543" s="0" t="str">
        <f aca="false">HYPERLINK("https://www.ncbi.nlm.nih.gov/nuccore/CP000304.1?report=graph&amp;tracks=[key:gene_model_track,Options:GeneOnly]&amp;mk=2131296:2131315|offset_13|444444,2131275:2131294|offset_34|444444,2131248:2131267|offset_61|00cc00,2131199:2131218|offset_110|444444&amp;v=2131095:2131418&amp;c=444444", "offset 61")</f>
        <v>offset 61</v>
      </c>
    </row>
    <row r="7544" customFormat="false" ht="12.8" hidden="false" customHeight="false" outlineLevel="0" collapsed="false">
      <c r="A7544" s="0" t="s">
        <v>12</v>
      </c>
      <c r="B7544" s="0" t="n">
        <v>2131198</v>
      </c>
      <c r="C7544" s="0" t="n">
        <v>2131218</v>
      </c>
      <c r="D7544" s="0" t="s">
        <v>25205</v>
      </c>
      <c r="E7544" s="0" t="s">
        <v>89</v>
      </c>
      <c r="F7544" s="0" t="s">
        <v>90</v>
      </c>
      <c r="G7544" s="0" t="s">
        <v>32</v>
      </c>
      <c r="H7544" s="0" t="n">
        <v>110</v>
      </c>
      <c r="I7544" s="0" t="s">
        <v>25215</v>
      </c>
      <c r="J7544" s="0" t="s">
        <v>25216</v>
      </c>
      <c r="K7544" s="0" t="s">
        <v>25217</v>
      </c>
      <c r="L7544" s="0" t="str">
        <f aca="false">HYPERLINK("https://www.ncbi.nlm.nih.gov/nuccore/CP000304.1?report=graph&amp;tracks=[key:gene_model_track,Options:GeneOnly]&amp;mk=2131296:2131315|offset_13|444444,2131275:2131294|offset_34|444444,2131248:2131267|offset_61|444444,2131199:2131218|offset_110|00cc00&amp;v=2131095:2131418&amp;c=444444", "offset 110")</f>
        <v>offset 110</v>
      </c>
    </row>
    <row r="7545" customFormat="false" ht="12.8" hidden="false" customHeight="false" outlineLevel="0" collapsed="false">
      <c r="A7545" s="0" t="s">
        <v>12</v>
      </c>
      <c r="B7545" s="0" t="n">
        <v>2132070</v>
      </c>
      <c r="C7545" s="0" t="n">
        <v>2132090</v>
      </c>
      <c r="D7545" s="0" t="s">
        <v>25218</v>
      </c>
      <c r="E7545" s="0" t="s">
        <v>89</v>
      </c>
      <c r="F7545" s="0" t="s">
        <v>90</v>
      </c>
      <c r="G7545" s="0" t="s">
        <v>26</v>
      </c>
      <c r="H7545" s="0" t="n">
        <v>8</v>
      </c>
      <c r="I7545" s="0" t="s">
        <v>25219</v>
      </c>
      <c r="J7545" s="0" t="s">
        <v>25220</v>
      </c>
      <c r="K7545" s="0" t="s">
        <v>25221</v>
      </c>
      <c r="L7545" s="0" t="str">
        <f aca="false">HYPERLINK("https://www.ncbi.nlm.nih.gov/nuccore/CP000304.1?report=graph&amp;tracks=[key:gene_model_track,Options:GeneOnly]&amp;mk=2132071:2132090|offset_8|00cc00,2132042:2132061|offset_37|444444,2132000:2132019|offset_79|444444,2131964:2131983|offset_115|444444&amp;v=2131870:2132183&amp;c=444444", "offset 8")</f>
        <v>offset 8</v>
      </c>
    </row>
    <row r="7546" customFormat="false" ht="12.8" hidden="false" customHeight="false" outlineLevel="0" collapsed="false">
      <c r="A7546" s="0" t="s">
        <v>12</v>
      </c>
      <c r="B7546" s="0" t="n">
        <v>2132041</v>
      </c>
      <c r="C7546" s="0" t="n">
        <v>2132061</v>
      </c>
      <c r="D7546" s="0" t="s">
        <v>25218</v>
      </c>
      <c r="E7546" s="0" t="s">
        <v>89</v>
      </c>
      <c r="F7546" s="0" t="s">
        <v>90</v>
      </c>
      <c r="G7546" s="0" t="s">
        <v>32</v>
      </c>
      <c r="H7546" s="0" t="n">
        <v>37</v>
      </c>
      <c r="I7546" s="0" t="s">
        <v>25222</v>
      </c>
      <c r="J7546" s="0" t="s">
        <v>25223</v>
      </c>
      <c r="K7546" s="0" t="s">
        <v>25224</v>
      </c>
      <c r="L7546" s="0" t="str">
        <f aca="false">HYPERLINK("https://www.ncbi.nlm.nih.gov/nuccore/CP000304.1?report=graph&amp;tracks=[key:gene_model_track,Options:GeneOnly]&amp;mk=2132071:2132090|offset_8|444444,2132042:2132061|offset_37|00cc00,2132000:2132019|offset_79|444444,2131964:2131983|offset_115|444444&amp;v=2131870:2132183&amp;c=444444", "offset 37")</f>
        <v>offset 37</v>
      </c>
    </row>
    <row r="7547" customFormat="false" ht="12.8" hidden="false" customHeight="false" outlineLevel="0" collapsed="false">
      <c r="A7547" s="0" t="s">
        <v>12</v>
      </c>
      <c r="B7547" s="0" t="n">
        <v>2131999</v>
      </c>
      <c r="C7547" s="0" t="n">
        <v>2132019</v>
      </c>
      <c r="D7547" s="0" t="s">
        <v>25218</v>
      </c>
      <c r="E7547" s="0" t="s">
        <v>89</v>
      </c>
      <c r="F7547" s="0" t="s">
        <v>90</v>
      </c>
      <c r="G7547" s="0" t="s">
        <v>16</v>
      </c>
      <c r="H7547" s="0" t="n">
        <v>79</v>
      </c>
      <c r="I7547" s="0" t="s">
        <v>25225</v>
      </c>
      <c r="J7547" s="0" t="s">
        <v>25226</v>
      </c>
      <c r="K7547" s="0" t="s">
        <v>25227</v>
      </c>
      <c r="L7547" s="0" t="str">
        <f aca="false">HYPERLINK("https://www.ncbi.nlm.nih.gov/nuccore/CP000304.1?report=graph&amp;tracks=[key:gene_model_track,Options:GeneOnly]&amp;mk=2132071:2132090|offset_8|444444,2132042:2132061|offset_37|444444,2132000:2132019|offset_79|00cc00,2131964:2131983|offset_115|444444&amp;v=2131870:2132183&amp;c=444444", "offset 79")</f>
        <v>offset 79</v>
      </c>
    </row>
    <row r="7548" customFormat="false" ht="12.8" hidden="false" customHeight="false" outlineLevel="0" collapsed="false">
      <c r="A7548" s="0" t="s">
        <v>12</v>
      </c>
      <c r="B7548" s="0" t="n">
        <v>2131963</v>
      </c>
      <c r="C7548" s="0" t="n">
        <v>2131983</v>
      </c>
      <c r="D7548" s="0" t="s">
        <v>25218</v>
      </c>
      <c r="E7548" s="0" t="s">
        <v>89</v>
      </c>
      <c r="F7548" s="0" t="s">
        <v>90</v>
      </c>
      <c r="G7548" s="0" t="s">
        <v>16</v>
      </c>
      <c r="H7548" s="0" t="n">
        <v>115</v>
      </c>
      <c r="I7548" s="0" t="s">
        <v>25228</v>
      </c>
      <c r="J7548" s="0" t="s">
        <v>25229</v>
      </c>
      <c r="K7548" s="0" t="s">
        <v>25230</v>
      </c>
      <c r="L7548" s="0" t="str">
        <f aca="false">HYPERLINK("https://www.ncbi.nlm.nih.gov/nuccore/CP000304.1?report=graph&amp;tracks=[key:gene_model_track,Options:GeneOnly]&amp;mk=2132071:2132090|offset_8|444444,2132042:2132061|offset_37|444444,2132000:2132019|offset_79|444444,2131964:2131983|offset_115|00cc00&amp;v=2131870:2132183&amp;c=444444", "offset 115")</f>
        <v>offset 115</v>
      </c>
    </row>
    <row r="7549" customFormat="false" ht="12.8" hidden="false" customHeight="false" outlineLevel="0" collapsed="false">
      <c r="A7549" s="0" t="s">
        <v>12</v>
      </c>
      <c r="B7549" s="0" t="n">
        <v>2132489</v>
      </c>
      <c r="C7549" s="0" t="n">
        <v>2132509</v>
      </c>
      <c r="D7549" s="0" t="s">
        <v>25231</v>
      </c>
      <c r="E7549" s="0" t="s">
        <v>89</v>
      </c>
      <c r="F7549" s="0" t="s">
        <v>90</v>
      </c>
      <c r="G7549" s="0" t="s">
        <v>26</v>
      </c>
      <c r="H7549" s="0" t="n">
        <v>14</v>
      </c>
      <c r="I7549" s="0" t="s">
        <v>25232</v>
      </c>
      <c r="J7549" s="0" t="s">
        <v>25233</v>
      </c>
      <c r="K7549" s="0" t="s">
        <v>25234</v>
      </c>
      <c r="L7549" s="0" t="str">
        <f aca="false">HYPERLINK("https://www.ncbi.nlm.nih.gov/nuccore/CP000304.1?report=graph&amp;tracks=[key:gene_model_track,Options:GeneOnly]&amp;mk=2132490:2132509|offset_14|00cc00,2132464:2132483|offset_40|444444,2132401:2132420|offset_103|444444,2132376:2132395|offset_128|444444&amp;v=2132289:2132595&amp;c=444444", "offset 14")</f>
        <v>offset 14</v>
      </c>
    </row>
    <row r="7550" customFormat="false" ht="12.8" hidden="false" customHeight="false" outlineLevel="0" collapsed="false">
      <c r="A7550" s="0" t="s">
        <v>12</v>
      </c>
      <c r="B7550" s="0" t="n">
        <v>2132463</v>
      </c>
      <c r="C7550" s="0" t="n">
        <v>2132483</v>
      </c>
      <c r="D7550" s="0" t="s">
        <v>25231</v>
      </c>
      <c r="E7550" s="0" t="s">
        <v>89</v>
      </c>
      <c r="F7550" s="0" t="s">
        <v>90</v>
      </c>
      <c r="G7550" s="0" t="s">
        <v>32</v>
      </c>
      <c r="H7550" s="0" t="n">
        <v>40</v>
      </c>
      <c r="I7550" s="0" t="s">
        <v>25235</v>
      </c>
      <c r="J7550" s="0" t="s">
        <v>25236</v>
      </c>
      <c r="K7550" s="0" t="s">
        <v>25237</v>
      </c>
      <c r="L7550" s="0" t="str">
        <f aca="false">HYPERLINK("https://www.ncbi.nlm.nih.gov/nuccore/CP000304.1?report=graph&amp;tracks=[key:gene_model_track,Options:GeneOnly]&amp;mk=2132490:2132509|offset_14|444444,2132464:2132483|offset_40|00cc00,2132401:2132420|offset_103|444444,2132376:2132395|offset_128|444444&amp;v=2132289:2132595&amp;c=444444", "offset 40")</f>
        <v>offset 40</v>
      </c>
    </row>
    <row r="7551" customFormat="false" ht="12.8" hidden="false" customHeight="false" outlineLevel="0" collapsed="false">
      <c r="A7551" s="0" t="s">
        <v>12</v>
      </c>
      <c r="B7551" s="0" t="n">
        <v>2132400</v>
      </c>
      <c r="C7551" s="0" t="n">
        <v>2132420</v>
      </c>
      <c r="D7551" s="0" t="s">
        <v>25231</v>
      </c>
      <c r="E7551" s="0" t="s">
        <v>89</v>
      </c>
      <c r="F7551" s="0" t="s">
        <v>90</v>
      </c>
      <c r="G7551" s="0" t="s">
        <v>16</v>
      </c>
      <c r="H7551" s="0" t="n">
        <v>103</v>
      </c>
      <c r="I7551" s="0" t="s">
        <v>25238</v>
      </c>
      <c r="J7551" s="0" t="s">
        <v>25239</v>
      </c>
      <c r="K7551" s="0" t="s">
        <v>25240</v>
      </c>
      <c r="L7551" s="0" t="str">
        <f aca="false">HYPERLINK("https://www.ncbi.nlm.nih.gov/nuccore/CP000304.1?report=graph&amp;tracks=[key:gene_model_track,Options:GeneOnly]&amp;mk=2132490:2132509|offset_14|444444,2132464:2132483|offset_40|444444,2132401:2132420|offset_103|00cc00,2132376:2132395|offset_128|444444&amp;v=2132289:2132595&amp;c=444444", "offset 103")</f>
        <v>offset 103</v>
      </c>
    </row>
    <row r="7552" customFormat="false" ht="12.8" hidden="false" customHeight="false" outlineLevel="0" collapsed="false">
      <c r="A7552" s="0" t="s">
        <v>12</v>
      </c>
      <c r="B7552" s="0" t="n">
        <v>2132375</v>
      </c>
      <c r="C7552" s="0" t="n">
        <v>2132395</v>
      </c>
      <c r="D7552" s="0" t="s">
        <v>25231</v>
      </c>
      <c r="E7552" s="0" t="s">
        <v>89</v>
      </c>
      <c r="F7552" s="0" t="s">
        <v>90</v>
      </c>
      <c r="G7552" s="0" t="s">
        <v>26</v>
      </c>
      <c r="H7552" s="0" t="n">
        <v>128</v>
      </c>
      <c r="I7552" s="0" t="s">
        <v>25241</v>
      </c>
      <c r="J7552" s="0" t="s">
        <v>25242</v>
      </c>
      <c r="K7552" s="0" t="s">
        <v>25243</v>
      </c>
      <c r="L7552" s="0" t="str">
        <f aca="false">HYPERLINK("https://www.ncbi.nlm.nih.gov/nuccore/CP000304.1?report=graph&amp;tracks=[key:gene_model_track,Options:GeneOnly]&amp;mk=2132490:2132509|offset_14|444444,2132464:2132483|offset_40|444444,2132401:2132420|offset_103|444444,2132376:2132395|offset_128|00cc00&amp;v=2132289:2132595&amp;c=444444", "offset 128")</f>
        <v>offset 128</v>
      </c>
    </row>
    <row r="7553" customFormat="false" ht="12.8" hidden="false" customHeight="false" outlineLevel="0" collapsed="false">
      <c r="A7553" s="0" t="s">
        <v>12</v>
      </c>
      <c r="B7553" s="0" t="n">
        <v>2133878</v>
      </c>
      <c r="C7553" s="0" t="n">
        <v>2133898</v>
      </c>
      <c r="D7553" s="0" t="s">
        <v>25244</v>
      </c>
      <c r="E7553" s="0" t="s">
        <v>25245</v>
      </c>
      <c r="F7553" s="0" t="s">
        <v>90</v>
      </c>
      <c r="G7553" s="0" t="s">
        <v>16</v>
      </c>
      <c r="H7553" s="0" t="n">
        <v>52</v>
      </c>
      <c r="I7553" s="0" t="s">
        <v>25246</v>
      </c>
      <c r="J7553" s="0" t="s">
        <v>25247</v>
      </c>
      <c r="K7553" s="0" t="s">
        <v>25248</v>
      </c>
      <c r="L7553" s="0" t="str">
        <f aca="false">HYPERLINK("https://www.ncbi.nlm.nih.gov/nuccore/CP000304.1?report=graph&amp;tracks=[key:gene_model_track,Options:GeneOnly]&amp;mk=2133879:2133898|offset_52|00cc00,2133855:2133874|offset_76|444444,2133833:2133852|offset_98|444444,2133807:2133826|offset_124|444444&amp;v=2133678:2134026&amp;c=444444", "offset 52")</f>
        <v>offset 52</v>
      </c>
    </row>
    <row r="7554" customFormat="false" ht="12.8" hidden="false" customHeight="false" outlineLevel="0" collapsed="false">
      <c r="A7554" s="0" t="s">
        <v>12</v>
      </c>
      <c r="B7554" s="0" t="n">
        <v>2133854</v>
      </c>
      <c r="C7554" s="0" t="n">
        <v>2133874</v>
      </c>
      <c r="D7554" s="0" t="s">
        <v>25244</v>
      </c>
      <c r="E7554" s="0" t="s">
        <v>25245</v>
      </c>
      <c r="F7554" s="0" t="s">
        <v>90</v>
      </c>
      <c r="G7554" s="0" t="s">
        <v>16</v>
      </c>
      <c r="H7554" s="0" t="n">
        <v>76</v>
      </c>
      <c r="I7554" s="0" t="s">
        <v>25249</v>
      </c>
      <c r="J7554" s="0" t="s">
        <v>25250</v>
      </c>
      <c r="K7554" s="0" t="s">
        <v>25251</v>
      </c>
      <c r="L7554" s="0" t="str">
        <f aca="false">HYPERLINK("https://www.ncbi.nlm.nih.gov/nuccore/CP000304.1?report=graph&amp;tracks=[key:gene_model_track,Options:GeneOnly]&amp;mk=2133879:2133898|offset_52|444444,2133855:2133874|offset_76|00cc00,2133833:2133852|offset_98|444444,2133807:2133826|offset_124|444444&amp;v=2133678:2134026&amp;c=444444", "offset 76")</f>
        <v>offset 76</v>
      </c>
    </row>
    <row r="7555" customFormat="false" ht="12.8" hidden="false" customHeight="false" outlineLevel="0" collapsed="false">
      <c r="A7555" s="0" t="s">
        <v>12</v>
      </c>
      <c r="B7555" s="0" t="n">
        <v>2133832</v>
      </c>
      <c r="C7555" s="0" t="n">
        <v>2133852</v>
      </c>
      <c r="D7555" s="0" t="s">
        <v>25244</v>
      </c>
      <c r="E7555" s="0" t="s">
        <v>25245</v>
      </c>
      <c r="F7555" s="0" t="s">
        <v>90</v>
      </c>
      <c r="G7555" s="0" t="s">
        <v>26</v>
      </c>
      <c r="H7555" s="0" t="n">
        <v>98</v>
      </c>
      <c r="I7555" s="0" t="s">
        <v>25252</v>
      </c>
      <c r="J7555" s="0" t="s">
        <v>25253</v>
      </c>
      <c r="K7555" s="0" t="s">
        <v>25254</v>
      </c>
      <c r="L7555" s="0" t="str">
        <f aca="false">HYPERLINK("https://www.ncbi.nlm.nih.gov/nuccore/CP000304.1?report=graph&amp;tracks=[key:gene_model_track,Options:GeneOnly]&amp;mk=2133879:2133898|offset_52|444444,2133855:2133874|offset_76|444444,2133833:2133852|offset_98|00cc00,2133807:2133826|offset_124|444444&amp;v=2133678:2134026&amp;c=444444", "offset 98")</f>
        <v>offset 98</v>
      </c>
    </row>
    <row r="7556" customFormat="false" ht="12.8" hidden="false" customHeight="false" outlineLevel="0" collapsed="false">
      <c r="A7556" s="0" t="s">
        <v>12</v>
      </c>
      <c r="B7556" s="0" t="n">
        <v>2133806</v>
      </c>
      <c r="C7556" s="0" t="n">
        <v>2133826</v>
      </c>
      <c r="D7556" s="0" t="s">
        <v>25244</v>
      </c>
      <c r="E7556" s="0" t="s">
        <v>25245</v>
      </c>
      <c r="F7556" s="0" t="s">
        <v>90</v>
      </c>
      <c r="G7556" s="0" t="s">
        <v>36</v>
      </c>
      <c r="H7556" s="0" t="n">
        <v>124</v>
      </c>
      <c r="I7556" s="0" t="s">
        <v>25255</v>
      </c>
      <c r="J7556" s="0" t="s">
        <v>25256</v>
      </c>
      <c r="K7556" s="0" t="s">
        <v>25257</v>
      </c>
      <c r="L7556" s="0" t="str">
        <f aca="false">HYPERLINK("https://www.ncbi.nlm.nih.gov/nuccore/CP000304.1?report=graph&amp;tracks=[key:gene_model_track,Options:GeneOnly]&amp;mk=2133879:2133898|offset_52|444444,2133855:2133874|offset_76|444444,2133833:2133852|offset_98|444444,2133807:2133826|offset_124|00cc00&amp;v=2133678:2134026&amp;c=444444", "offset 124")</f>
        <v>offset 124</v>
      </c>
    </row>
    <row r="7557" customFormat="false" ht="12.8" hidden="false" customHeight="false" outlineLevel="0" collapsed="false">
      <c r="A7557" s="0" t="s">
        <v>12</v>
      </c>
      <c r="B7557" s="0" t="n">
        <v>2134861</v>
      </c>
      <c r="C7557" s="0" t="n">
        <v>2134881</v>
      </c>
      <c r="D7557" s="0" t="s">
        <v>25258</v>
      </c>
      <c r="E7557" s="0" t="s">
        <v>89</v>
      </c>
      <c r="F7557" s="0" t="s">
        <v>90</v>
      </c>
      <c r="G7557" s="0" t="s">
        <v>32</v>
      </c>
      <c r="H7557" s="0" t="n">
        <v>1</v>
      </c>
      <c r="I7557" s="0" t="s">
        <v>25259</v>
      </c>
      <c r="J7557" s="0" t="s">
        <v>25260</v>
      </c>
      <c r="K7557" s="0" t="s">
        <v>25261</v>
      </c>
      <c r="L7557" s="0" t="str">
        <f aca="false">HYPERLINK("https://www.ncbi.nlm.nih.gov/nuccore/CP000304.1?report=graph&amp;tracks=[key:gene_model_track,Options:GeneOnly]&amp;mk=2134862:2134881|offset_1|00cc00,2134829:2134848|offset_34|444444,2134807:2134826|offset_56|444444,2134787:2134806|offset_76|444444&amp;v=2134661:2135006&amp;c=444444", "offset 1")</f>
        <v>offset 1</v>
      </c>
    </row>
    <row r="7558" customFormat="false" ht="12.8" hidden="false" customHeight="false" outlineLevel="0" collapsed="false">
      <c r="A7558" s="0" t="s">
        <v>12</v>
      </c>
      <c r="B7558" s="0" t="n">
        <v>2134828</v>
      </c>
      <c r="C7558" s="0" t="n">
        <v>2134848</v>
      </c>
      <c r="D7558" s="0" t="s">
        <v>25258</v>
      </c>
      <c r="E7558" s="0" t="s">
        <v>89</v>
      </c>
      <c r="F7558" s="0" t="s">
        <v>90</v>
      </c>
      <c r="G7558" s="0" t="s">
        <v>16</v>
      </c>
      <c r="H7558" s="0" t="n">
        <v>34</v>
      </c>
      <c r="I7558" s="0" t="s">
        <v>25262</v>
      </c>
      <c r="J7558" s="0" t="s">
        <v>25263</v>
      </c>
      <c r="K7558" s="0" t="s">
        <v>25264</v>
      </c>
      <c r="L7558" s="0" t="str">
        <f aca="false">HYPERLINK("https://www.ncbi.nlm.nih.gov/nuccore/CP000304.1?report=graph&amp;tracks=[key:gene_model_track,Options:GeneOnly]&amp;mk=2134862:2134881|offset_1|444444,2134829:2134848|offset_34|00cc00,2134807:2134826|offset_56|444444,2134787:2134806|offset_76|444444&amp;v=2134661:2135006&amp;c=444444", "offset 34")</f>
        <v>offset 34</v>
      </c>
    </row>
    <row r="7559" customFormat="false" ht="12.8" hidden="false" customHeight="false" outlineLevel="0" collapsed="false">
      <c r="A7559" s="0" t="s">
        <v>12</v>
      </c>
      <c r="B7559" s="0" t="n">
        <v>2134806</v>
      </c>
      <c r="C7559" s="0" t="n">
        <v>2134826</v>
      </c>
      <c r="D7559" s="0" t="s">
        <v>25258</v>
      </c>
      <c r="E7559" s="0" t="s">
        <v>89</v>
      </c>
      <c r="F7559" s="0" t="s">
        <v>90</v>
      </c>
      <c r="G7559" s="0" t="s">
        <v>16</v>
      </c>
      <c r="H7559" s="0" t="n">
        <v>56</v>
      </c>
      <c r="I7559" s="0" t="s">
        <v>25265</v>
      </c>
      <c r="J7559" s="0" t="s">
        <v>25266</v>
      </c>
      <c r="K7559" s="0" t="s">
        <v>25267</v>
      </c>
      <c r="L7559" s="0" t="str">
        <f aca="false">HYPERLINK("https://www.ncbi.nlm.nih.gov/nuccore/CP000304.1?report=graph&amp;tracks=[key:gene_model_track,Options:GeneOnly]&amp;mk=2134862:2134881|offset_1|444444,2134829:2134848|offset_34|444444,2134807:2134826|offset_56|00cc00,2134787:2134806|offset_76|444444&amp;v=2134661:2135006&amp;c=444444", "offset 56")</f>
        <v>offset 56</v>
      </c>
    </row>
    <row r="7560" customFormat="false" ht="12.8" hidden="false" customHeight="false" outlineLevel="0" collapsed="false">
      <c r="A7560" s="0" t="s">
        <v>12</v>
      </c>
      <c r="B7560" s="0" t="n">
        <v>2134786</v>
      </c>
      <c r="C7560" s="0" t="n">
        <v>2134806</v>
      </c>
      <c r="D7560" s="0" t="s">
        <v>25258</v>
      </c>
      <c r="E7560" s="0" t="s">
        <v>89</v>
      </c>
      <c r="F7560" s="0" t="s">
        <v>90</v>
      </c>
      <c r="G7560" s="0" t="s">
        <v>16</v>
      </c>
      <c r="H7560" s="0" t="n">
        <v>76</v>
      </c>
      <c r="I7560" s="0" t="s">
        <v>25268</v>
      </c>
      <c r="J7560" s="0" t="s">
        <v>25269</v>
      </c>
      <c r="K7560" s="0" t="s">
        <v>25270</v>
      </c>
      <c r="L7560" s="0" t="str">
        <f aca="false">HYPERLINK("https://www.ncbi.nlm.nih.gov/nuccore/CP000304.1?report=graph&amp;tracks=[key:gene_model_track,Options:GeneOnly]&amp;mk=2134862:2134881|offset_1|444444,2134829:2134848|offset_34|444444,2134807:2134826|offset_56|444444,2134787:2134806|offset_76|00cc00&amp;v=2134661:2135006&amp;c=444444", "offset 76")</f>
        <v>offset 76</v>
      </c>
    </row>
    <row r="7561" customFormat="false" ht="12.8" hidden="false" customHeight="false" outlineLevel="0" collapsed="false">
      <c r="A7561" s="0" t="s">
        <v>12</v>
      </c>
      <c r="B7561" s="0" t="n">
        <v>2135814</v>
      </c>
      <c r="C7561" s="0" t="n">
        <v>2135834</v>
      </c>
      <c r="D7561" s="0" t="s">
        <v>25271</v>
      </c>
      <c r="E7561" s="0" t="s">
        <v>89</v>
      </c>
      <c r="F7561" s="0" t="s">
        <v>90</v>
      </c>
      <c r="G7561" s="0" t="s">
        <v>32</v>
      </c>
      <c r="H7561" s="0" t="n">
        <v>61</v>
      </c>
      <c r="I7561" s="0" t="s">
        <v>25272</v>
      </c>
      <c r="J7561" s="0" t="s">
        <v>25273</v>
      </c>
      <c r="K7561" s="0" t="s">
        <v>25274</v>
      </c>
      <c r="L7561" s="0" t="str">
        <f aca="false">HYPERLINK("https://www.ncbi.nlm.nih.gov/nuccore/CP000304.1?report=graph&amp;tracks=[key:gene_model_track,Options:GeneOnly]&amp;mk=2135815:2135834|offset_61|00cc00,2135782:2135801|offset_94|444444,2135745:2135764|offset_131|444444,2135690:2135709|offset_186|444444&amp;v=2135614:2135909&amp;c=444444", "offset 61")</f>
        <v>offset 61</v>
      </c>
    </row>
    <row r="7562" customFormat="false" ht="12.8" hidden="false" customHeight="false" outlineLevel="0" collapsed="false">
      <c r="A7562" s="0" t="s">
        <v>12</v>
      </c>
      <c r="B7562" s="0" t="n">
        <v>2135781</v>
      </c>
      <c r="C7562" s="0" t="n">
        <v>2135801</v>
      </c>
      <c r="D7562" s="0" t="s">
        <v>25271</v>
      </c>
      <c r="E7562" s="0" t="s">
        <v>89</v>
      </c>
      <c r="F7562" s="0" t="s">
        <v>90</v>
      </c>
      <c r="G7562" s="0" t="s">
        <v>26</v>
      </c>
      <c r="H7562" s="0" t="n">
        <v>94</v>
      </c>
      <c r="I7562" s="0" t="s">
        <v>25275</v>
      </c>
      <c r="J7562" s="0" t="s">
        <v>25276</v>
      </c>
      <c r="K7562" s="0" t="s">
        <v>25277</v>
      </c>
      <c r="L7562" s="0" t="str">
        <f aca="false">HYPERLINK("https://www.ncbi.nlm.nih.gov/nuccore/CP000304.1?report=graph&amp;tracks=[key:gene_model_track,Options:GeneOnly]&amp;mk=2135815:2135834|offset_61|444444,2135782:2135801|offset_94|00cc00,2135745:2135764|offset_131|444444,2135690:2135709|offset_186|444444&amp;v=2135614:2135909&amp;c=444444", "offset 94")</f>
        <v>offset 94</v>
      </c>
    </row>
    <row r="7563" customFormat="false" ht="12.8" hidden="false" customHeight="false" outlineLevel="0" collapsed="false">
      <c r="A7563" s="0" t="s">
        <v>12</v>
      </c>
      <c r="B7563" s="0" t="n">
        <v>2135744</v>
      </c>
      <c r="C7563" s="0" t="n">
        <v>2135764</v>
      </c>
      <c r="D7563" s="0" t="s">
        <v>25271</v>
      </c>
      <c r="E7563" s="0" t="s">
        <v>89</v>
      </c>
      <c r="F7563" s="0" t="s">
        <v>90</v>
      </c>
      <c r="G7563" s="0" t="s">
        <v>32</v>
      </c>
      <c r="H7563" s="0" t="n">
        <v>131</v>
      </c>
      <c r="I7563" s="0" t="s">
        <v>25278</v>
      </c>
      <c r="J7563" s="0" t="s">
        <v>25279</v>
      </c>
      <c r="K7563" s="0" t="s">
        <v>25280</v>
      </c>
      <c r="L7563" s="0" t="str">
        <f aca="false">HYPERLINK("https://www.ncbi.nlm.nih.gov/nuccore/CP000304.1?report=graph&amp;tracks=[key:gene_model_track,Options:GeneOnly]&amp;mk=2135815:2135834|offset_61|444444,2135782:2135801|offset_94|444444,2135745:2135764|offset_131|00cc00,2135690:2135709|offset_186|444444&amp;v=2135614:2135909&amp;c=444444", "offset 131")</f>
        <v>offset 131</v>
      </c>
    </row>
    <row r="7564" customFormat="false" ht="12.8" hidden="false" customHeight="false" outlineLevel="0" collapsed="false">
      <c r="A7564" s="0" t="s">
        <v>12</v>
      </c>
      <c r="B7564" s="0" t="n">
        <v>2135689</v>
      </c>
      <c r="C7564" s="0" t="n">
        <v>2135709</v>
      </c>
      <c r="D7564" s="0" t="s">
        <v>25271</v>
      </c>
      <c r="E7564" s="0" t="s">
        <v>89</v>
      </c>
      <c r="F7564" s="0" t="s">
        <v>90</v>
      </c>
      <c r="G7564" s="0" t="s">
        <v>16</v>
      </c>
      <c r="H7564" s="0" t="n">
        <v>186</v>
      </c>
      <c r="I7564" s="0" t="s">
        <v>25281</v>
      </c>
      <c r="J7564" s="0" t="s">
        <v>25282</v>
      </c>
      <c r="K7564" s="0" t="s">
        <v>25283</v>
      </c>
      <c r="L7564" s="0" t="str">
        <f aca="false">HYPERLINK("https://www.ncbi.nlm.nih.gov/nuccore/CP000304.1?report=graph&amp;tracks=[key:gene_model_track,Options:GeneOnly]&amp;mk=2135815:2135834|offset_61|444444,2135782:2135801|offset_94|444444,2135745:2135764|offset_131|444444,2135690:2135709|offset_186|00cc00&amp;v=2135614:2135909&amp;c=444444", "offset 186")</f>
        <v>offset 186</v>
      </c>
    </row>
    <row r="7565" customFormat="false" ht="12.8" hidden="false" customHeight="false" outlineLevel="0" collapsed="false">
      <c r="A7565" s="0" t="s">
        <v>12</v>
      </c>
      <c r="B7565" s="0" t="n">
        <v>2136174</v>
      </c>
      <c r="C7565" s="0" t="n">
        <v>2136194</v>
      </c>
      <c r="D7565" s="0" t="s">
        <v>25284</v>
      </c>
      <c r="E7565" s="0" t="s">
        <v>89</v>
      </c>
      <c r="F7565" s="0" t="s">
        <v>15</v>
      </c>
      <c r="G7565" s="0" t="s">
        <v>32</v>
      </c>
      <c r="H7565" s="0" t="n">
        <v>1</v>
      </c>
      <c r="I7565" s="0" t="s">
        <v>25285</v>
      </c>
      <c r="J7565" s="0" t="s">
        <v>25286</v>
      </c>
      <c r="K7565" s="0" t="s">
        <v>25287</v>
      </c>
      <c r="L7565" s="0" t="str">
        <f aca="false">HYPERLINK("https://www.ncbi.nlm.nih.gov/nuccore/CP000304.1?report=graph&amp;tracks=[key:gene_model_track,Options:GeneOnly]&amp;mk=2136175:2136194|offset_1|00cc00,2136202:2136221|offset_28|444444,2136241:2136260|offset_67|444444,2136269:2136288|offset_95|444444&amp;v=2135974:2136488&amp;c=444444", "offset 1")</f>
        <v>offset 1</v>
      </c>
    </row>
    <row r="7566" customFormat="false" ht="12.8" hidden="false" customHeight="false" outlineLevel="0" collapsed="false">
      <c r="A7566" s="0" t="s">
        <v>12</v>
      </c>
      <c r="B7566" s="0" t="n">
        <v>2136201</v>
      </c>
      <c r="C7566" s="0" t="n">
        <v>2136221</v>
      </c>
      <c r="D7566" s="0" t="s">
        <v>25284</v>
      </c>
      <c r="E7566" s="0" t="s">
        <v>89</v>
      </c>
      <c r="F7566" s="0" t="s">
        <v>15</v>
      </c>
      <c r="G7566" s="0" t="s">
        <v>16</v>
      </c>
      <c r="H7566" s="0" t="n">
        <v>28</v>
      </c>
      <c r="I7566" s="0" t="s">
        <v>25288</v>
      </c>
      <c r="J7566" s="0" t="s">
        <v>25289</v>
      </c>
      <c r="K7566" s="0" t="s">
        <v>25290</v>
      </c>
      <c r="L7566" s="0" t="str">
        <f aca="false">HYPERLINK("https://www.ncbi.nlm.nih.gov/nuccore/CP000304.1?report=graph&amp;tracks=[key:gene_model_track,Options:GeneOnly]&amp;mk=2136175:2136194|offset_1|444444,2136202:2136221|offset_28|00cc00,2136241:2136260|offset_67|444444,2136269:2136288|offset_95|444444&amp;v=2135974:2136488&amp;c=444444", "offset 28")</f>
        <v>offset 28</v>
      </c>
    </row>
    <row r="7567" customFormat="false" ht="12.8" hidden="false" customHeight="false" outlineLevel="0" collapsed="false">
      <c r="A7567" s="0" t="s">
        <v>12</v>
      </c>
      <c r="B7567" s="0" t="n">
        <v>2136240</v>
      </c>
      <c r="C7567" s="0" t="n">
        <v>2136260</v>
      </c>
      <c r="D7567" s="0" t="s">
        <v>25284</v>
      </c>
      <c r="E7567" s="0" t="s">
        <v>89</v>
      </c>
      <c r="F7567" s="0" t="s">
        <v>15</v>
      </c>
      <c r="G7567" s="0" t="s">
        <v>16</v>
      </c>
      <c r="H7567" s="0" t="n">
        <v>67</v>
      </c>
      <c r="I7567" s="0" t="s">
        <v>25291</v>
      </c>
      <c r="J7567" s="0" t="s">
        <v>25292</v>
      </c>
      <c r="K7567" s="0" t="s">
        <v>25293</v>
      </c>
      <c r="L7567" s="0" t="str">
        <f aca="false">HYPERLINK("https://www.ncbi.nlm.nih.gov/nuccore/CP000304.1?report=graph&amp;tracks=[key:gene_model_track,Options:GeneOnly]&amp;mk=2136175:2136194|offset_1|444444,2136202:2136221|offset_28|444444,2136241:2136260|offset_67|00cc00,2136269:2136288|offset_95|444444&amp;v=2135974:2136488&amp;c=444444", "offset 67")</f>
        <v>offset 67</v>
      </c>
    </row>
    <row r="7568" customFormat="false" ht="12.8" hidden="false" customHeight="false" outlineLevel="0" collapsed="false">
      <c r="A7568" s="0" t="s">
        <v>12</v>
      </c>
      <c r="B7568" s="0" t="n">
        <v>2136268</v>
      </c>
      <c r="C7568" s="0" t="n">
        <v>2136288</v>
      </c>
      <c r="D7568" s="0" t="s">
        <v>25284</v>
      </c>
      <c r="E7568" s="0" t="s">
        <v>89</v>
      </c>
      <c r="F7568" s="0" t="s">
        <v>15</v>
      </c>
      <c r="G7568" s="0" t="s">
        <v>16</v>
      </c>
      <c r="H7568" s="0" t="n">
        <v>95</v>
      </c>
      <c r="I7568" s="0" t="s">
        <v>25294</v>
      </c>
      <c r="J7568" s="0" t="s">
        <v>25295</v>
      </c>
      <c r="K7568" s="0" t="s">
        <v>25296</v>
      </c>
      <c r="L7568" s="0" t="str">
        <f aca="false">HYPERLINK("https://www.ncbi.nlm.nih.gov/nuccore/CP000304.1?report=graph&amp;tracks=[key:gene_model_track,Options:GeneOnly]&amp;mk=2136175:2136194|offset_1|444444,2136202:2136221|offset_28|444444,2136241:2136260|offset_67|444444,2136269:2136288|offset_95|00cc00&amp;v=2135974:2136488&amp;c=444444", "offset 95")</f>
        <v>offset 95</v>
      </c>
    </row>
    <row r="7569" customFormat="false" ht="12.8" hidden="false" customHeight="false" outlineLevel="0" collapsed="false">
      <c r="A7569" s="0" t="s">
        <v>12</v>
      </c>
      <c r="B7569" s="0" t="n">
        <v>2137193</v>
      </c>
      <c r="C7569" s="0" t="n">
        <v>2137213</v>
      </c>
      <c r="D7569" s="0" t="s">
        <v>25297</v>
      </c>
      <c r="E7569" s="0" t="s">
        <v>25298</v>
      </c>
      <c r="F7569" s="0" t="s">
        <v>15</v>
      </c>
      <c r="G7569" s="0" t="s">
        <v>32</v>
      </c>
      <c r="H7569" s="0" t="n">
        <v>42</v>
      </c>
      <c r="I7569" s="0" t="s">
        <v>25299</v>
      </c>
      <c r="J7569" s="0" t="s">
        <v>25300</v>
      </c>
      <c r="K7569" s="0" t="s">
        <v>25301</v>
      </c>
      <c r="L7569" s="0" t="str">
        <f aca="false">HYPERLINK("https://www.ncbi.nlm.nih.gov/nuccore/CP000304.1?report=graph&amp;tracks=[key:gene_model_track,Options:GeneOnly]&amp;mk=2137194:2137213|offset_42|00cc00,2137223:2137242|offset_71|444444,2137250:2137269|offset_98|444444,2137304:2137323|offset_152|444444&amp;v=2136993:2137523&amp;c=444444", "offset 42")</f>
        <v>offset 42</v>
      </c>
    </row>
    <row r="7570" customFormat="false" ht="12.8" hidden="false" customHeight="false" outlineLevel="0" collapsed="false">
      <c r="A7570" s="0" t="s">
        <v>12</v>
      </c>
      <c r="B7570" s="0" t="n">
        <v>2137222</v>
      </c>
      <c r="C7570" s="0" t="n">
        <v>2137242</v>
      </c>
      <c r="D7570" s="0" t="s">
        <v>25297</v>
      </c>
      <c r="E7570" s="0" t="s">
        <v>25298</v>
      </c>
      <c r="F7570" s="0" t="s">
        <v>15</v>
      </c>
      <c r="G7570" s="0" t="s">
        <v>16</v>
      </c>
      <c r="H7570" s="0" t="n">
        <v>71</v>
      </c>
      <c r="I7570" s="0" t="s">
        <v>25302</v>
      </c>
      <c r="J7570" s="0" t="s">
        <v>25303</v>
      </c>
      <c r="K7570" s="0" t="s">
        <v>25304</v>
      </c>
      <c r="L7570" s="0" t="str">
        <f aca="false">HYPERLINK("https://www.ncbi.nlm.nih.gov/nuccore/CP000304.1?report=graph&amp;tracks=[key:gene_model_track,Options:GeneOnly]&amp;mk=2137194:2137213|offset_42|444444,2137223:2137242|offset_71|00cc00,2137250:2137269|offset_98|444444,2137304:2137323|offset_152|444444&amp;v=2136993:2137523&amp;c=444444", "offset 71")</f>
        <v>offset 71</v>
      </c>
    </row>
    <row r="7571" customFormat="false" ht="12.8" hidden="false" customHeight="false" outlineLevel="0" collapsed="false">
      <c r="A7571" s="0" t="s">
        <v>12</v>
      </c>
      <c r="B7571" s="0" t="n">
        <v>2137249</v>
      </c>
      <c r="C7571" s="0" t="n">
        <v>2137269</v>
      </c>
      <c r="D7571" s="0" t="s">
        <v>25297</v>
      </c>
      <c r="E7571" s="0" t="s">
        <v>25298</v>
      </c>
      <c r="F7571" s="0" t="s">
        <v>15</v>
      </c>
      <c r="G7571" s="0" t="s">
        <v>36</v>
      </c>
      <c r="H7571" s="0" t="n">
        <v>98</v>
      </c>
      <c r="I7571" s="0" t="s">
        <v>25305</v>
      </c>
      <c r="J7571" s="0" t="s">
        <v>25306</v>
      </c>
      <c r="K7571" s="0" t="s">
        <v>25307</v>
      </c>
      <c r="L7571" s="0" t="str">
        <f aca="false">HYPERLINK("https://www.ncbi.nlm.nih.gov/nuccore/CP000304.1?report=graph&amp;tracks=[key:gene_model_track,Options:GeneOnly]&amp;mk=2137194:2137213|offset_42|444444,2137223:2137242|offset_71|444444,2137250:2137269|offset_98|00cc00,2137304:2137323|offset_152|444444&amp;v=2136993:2137523&amp;c=444444", "offset 98")</f>
        <v>offset 98</v>
      </c>
    </row>
    <row r="7572" customFormat="false" ht="12.8" hidden="false" customHeight="false" outlineLevel="0" collapsed="false">
      <c r="A7572" s="0" t="s">
        <v>12</v>
      </c>
      <c r="B7572" s="0" t="n">
        <v>2137303</v>
      </c>
      <c r="C7572" s="0" t="n">
        <v>2137323</v>
      </c>
      <c r="D7572" s="0" t="s">
        <v>25297</v>
      </c>
      <c r="E7572" s="0" t="s">
        <v>25298</v>
      </c>
      <c r="F7572" s="0" t="s">
        <v>15</v>
      </c>
      <c r="G7572" s="0" t="s">
        <v>26</v>
      </c>
      <c r="H7572" s="0" t="n">
        <v>152</v>
      </c>
      <c r="I7572" s="0" t="s">
        <v>25308</v>
      </c>
      <c r="J7572" s="0" t="s">
        <v>25309</v>
      </c>
      <c r="K7572" s="0" t="s">
        <v>25310</v>
      </c>
      <c r="L7572" s="0" t="str">
        <f aca="false">HYPERLINK("https://www.ncbi.nlm.nih.gov/nuccore/CP000304.1?report=graph&amp;tracks=[key:gene_model_track,Options:GeneOnly]&amp;mk=2137194:2137213|offset_42|444444,2137223:2137242|offset_71|444444,2137250:2137269|offset_98|444444,2137304:2137323|offset_152|00cc00&amp;v=2136993:2137523&amp;c=444444", "offset 152")</f>
        <v>offset 152</v>
      </c>
    </row>
    <row r="7573" customFormat="false" ht="12.8" hidden="false" customHeight="false" outlineLevel="0" collapsed="false">
      <c r="A7573" s="0" t="s">
        <v>12</v>
      </c>
      <c r="B7573" s="0" t="n">
        <v>2140853</v>
      </c>
      <c r="C7573" s="0" t="n">
        <v>2140873</v>
      </c>
      <c r="D7573" s="0" t="s">
        <v>25311</v>
      </c>
      <c r="E7573" s="0" t="s">
        <v>89</v>
      </c>
      <c r="F7573" s="0" t="s">
        <v>90</v>
      </c>
      <c r="G7573" s="0" t="s">
        <v>36</v>
      </c>
      <c r="H7573" s="0" t="n">
        <v>7</v>
      </c>
      <c r="I7573" s="0" t="s">
        <v>25312</v>
      </c>
      <c r="J7573" s="0" t="s">
        <v>25313</v>
      </c>
      <c r="K7573" s="0" t="s">
        <v>25314</v>
      </c>
      <c r="L7573" s="0" t="str">
        <f aca="false">HYPERLINK("https://www.ncbi.nlm.nih.gov/nuccore/CP000304.1?report=graph&amp;tracks=[key:gene_model_track,Options:GeneOnly]&amp;mk=2140854:2140873|offset_7|00cc00,2140797:2140816|offset_64|444444,2140775:2140794|offset_86|444444,2140743:2140762|offset_118|444444&amp;v=2140653:2140962&amp;c=444444", "offset 7")</f>
        <v>offset 7</v>
      </c>
    </row>
    <row r="7574" customFormat="false" ht="12.8" hidden="false" customHeight="false" outlineLevel="0" collapsed="false">
      <c r="A7574" s="0" t="s">
        <v>12</v>
      </c>
      <c r="B7574" s="0" t="n">
        <v>2140796</v>
      </c>
      <c r="C7574" s="0" t="n">
        <v>2140816</v>
      </c>
      <c r="D7574" s="0" t="s">
        <v>25311</v>
      </c>
      <c r="E7574" s="0" t="s">
        <v>89</v>
      </c>
      <c r="F7574" s="0" t="s">
        <v>90</v>
      </c>
      <c r="G7574" s="0" t="s">
        <v>26</v>
      </c>
      <c r="H7574" s="0" t="n">
        <v>64</v>
      </c>
      <c r="I7574" s="0" t="s">
        <v>25315</v>
      </c>
      <c r="J7574" s="0" t="s">
        <v>25316</v>
      </c>
      <c r="K7574" s="0" t="s">
        <v>25317</v>
      </c>
      <c r="L7574" s="0" t="str">
        <f aca="false">HYPERLINK("https://www.ncbi.nlm.nih.gov/nuccore/CP000304.1?report=graph&amp;tracks=[key:gene_model_track,Options:GeneOnly]&amp;mk=2140854:2140873|offset_7|444444,2140797:2140816|offset_64|00cc00,2140775:2140794|offset_86|444444,2140743:2140762|offset_118|444444&amp;v=2140653:2140962&amp;c=444444", "offset 64")</f>
        <v>offset 64</v>
      </c>
    </row>
    <row r="7575" customFormat="false" ht="12.8" hidden="false" customHeight="false" outlineLevel="0" collapsed="false">
      <c r="A7575" s="0" t="s">
        <v>12</v>
      </c>
      <c r="B7575" s="0" t="n">
        <v>2140774</v>
      </c>
      <c r="C7575" s="0" t="n">
        <v>2140794</v>
      </c>
      <c r="D7575" s="0" t="s">
        <v>25311</v>
      </c>
      <c r="E7575" s="0" t="s">
        <v>89</v>
      </c>
      <c r="F7575" s="0" t="s">
        <v>90</v>
      </c>
      <c r="G7575" s="0" t="s">
        <v>16</v>
      </c>
      <c r="H7575" s="0" t="n">
        <v>86</v>
      </c>
      <c r="I7575" s="0" t="s">
        <v>25318</v>
      </c>
      <c r="J7575" s="0" t="s">
        <v>25319</v>
      </c>
      <c r="K7575" s="0" t="s">
        <v>25320</v>
      </c>
      <c r="L7575" s="0" t="str">
        <f aca="false">HYPERLINK("https://www.ncbi.nlm.nih.gov/nuccore/CP000304.1?report=graph&amp;tracks=[key:gene_model_track,Options:GeneOnly]&amp;mk=2140854:2140873|offset_7|444444,2140797:2140816|offset_64|444444,2140775:2140794|offset_86|00cc00,2140743:2140762|offset_118|444444&amp;v=2140653:2140962&amp;c=444444", "offset 86")</f>
        <v>offset 86</v>
      </c>
    </row>
    <row r="7576" customFormat="false" ht="12.8" hidden="false" customHeight="false" outlineLevel="0" collapsed="false">
      <c r="A7576" s="0" t="s">
        <v>12</v>
      </c>
      <c r="B7576" s="0" t="n">
        <v>2140742</v>
      </c>
      <c r="C7576" s="0" t="n">
        <v>2140762</v>
      </c>
      <c r="D7576" s="0" t="s">
        <v>25311</v>
      </c>
      <c r="E7576" s="0" t="s">
        <v>89</v>
      </c>
      <c r="F7576" s="0" t="s">
        <v>90</v>
      </c>
      <c r="G7576" s="0" t="s">
        <v>16</v>
      </c>
      <c r="H7576" s="0" t="n">
        <v>118</v>
      </c>
      <c r="I7576" s="0" t="s">
        <v>25321</v>
      </c>
      <c r="J7576" s="0" t="s">
        <v>25322</v>
      </c>
      <c r="K7576" s="0" t="s">
        <v>25323</v>
      </c>
      <c r="L7576" s="0" t="str">
        <f aca="false">HYPERLINK("https://www.ncbi.nlm.nih.gov/nuccore/CP000304.1?report=graph&amp;tracks=[key:gene_model_track,Options:GeneOnly]&amp;mk=2140854:2140873|offset_7|444444,2140797:2140816|offset_64|444444,2140775:2140794|offset_86|444444,2140743:2140762|offset_118|00cc00&amp;v=2140653:2140962&amp;c=444444", "offset 118")</f>
        <v>offset 118</v>
      </c>
    </row>
    <row r="7577" customFormat="false" ht="12.8" hidden="false" customHeight="false" outlineLevel="0" collapsed="false">
      <c r="A7577" s="0" t="s">
        <v>12</v>
      </c>
      <c r="B7577" s="0" t="n">
        <v>2141464</v>
      </c>
      <c r="C7577" s="0" t="n">
        <v>2141484</v>
      </c>
      <c r="D7577" s="0" t="s">
        <v>25324</v>
      </c>
      <c r="E7577" s="0" t="s">
        <v>89</v>
      </c>
      <c r="F7577" s="0" t="s">
        <v>90</v>
      </c>
      <c r="G7577" s="0" t="s">
        <v>32</v>
      </c>
      <c r="H7577" s="0" t="n">
        <v>13</v>
      </c>
      <c r="I7577" s="0" t="s">
        <v>25325</v>
      </c>
      <c r="J7577" s="0" t="s">
        <v>25326</v>
      </c>
      <c r="K7577" s="0" t="s">
        <v>25327</v>
      </c>
      <c r="L7577" s="0" t="str">
        <f aca="false">HYPERLINK("https://www.ncbi.nlm.nih.gov/nuccore/CP000304.1?report=graph&amp;tracks=[key:gene_model_track,Options:GeneOnly]&amp;mk=2141465:2141484|offset_13|00cc00,2141438:2141457|offset_40|444444,2141378:2141397|offset_100|444444,2141354:2141373|offset_124|444444&amp;v=2141264:2141573&amp;c=444444", "offset 13")</f>
        <v>offset 13</v>
      </c>
    </row>
    <row r="7578" customFormat="false" ht="12.8" hidden="false" customHeight="false" outlineLevel="0" collapsed="false">
      <c r="A7578" s="0" t="s">
        <v>12</v>
      </c>
      <c r="B7578" s="0" t="n">
        <v>2141437</v>
      </c>
      <c r="C7578" s="0" t="n">
        <v>2141457</v>
      </c>
      <c r="D7578" s="0" t="s">
        <v>25324</v>
      </c>
      <c r="E7578" s="0" t="s">
        <v>89</v>
      </c>
      <c r="F7578" s="0" t="s">
        <v>90</v>
      </c>
      <c r="G7578" s="0" t="s">
        <v>26</v>
      </c>
      <c r="H7578" s="0" t="n">
        <v>40</v>
      </c>
      <c r="I7578" s="0" t="s">
        <v>25328</v>
      </c>
      <c r="J7578" s="0" t="s">
        <v>25329</v>
      </c>
      <c r="K7578" s="0" t="s">
        <v>25330</v>
      </c>
      <c r="L7578" s="0" t="str">
        <f aca="false">HYPERLINK("https://www.ncbi.nlm.nih.gov/nuccore/CP000304.1?report=graph&amp;tracks=[key:gene_model_track,Options:GeneOnly]&amp;mk=2141465:2141484|offset_13|444444,2141438:2141457|offset_40|00cc00,2141378:2141397|offset_100|444444,2141354:2141373|offset_124|444444&amp;v=2141264:2141573&amp;c=444444", "offset 40")</f>
        <v>offset 40</v>
      </c>
    </row>
    <row r="7579" customFormat="false" ht="12.8" hidden="false" customHeight="false" outlineLevel="0" collapsed="false">
      <c r="A7579" s="0" t="s">
        <v>12</v>
      </c>
      <c r="B7579" s="0" t="n">
        <v>2141377</v>
      </c>
      <c r="C7579" s="0" t="n">
        <v>2141397</v>
      </c>
      <c r="D7579" s="0" t="s">
        <v>25324</v>
      </c>
      <c r="E7579" s="0" t="s">
        <v>89</v>
      </c>
      <c r="F7579" s="0" t="s">
        <v>90</v>
      </c>
      <c r="G7579" s="0" t="s">
        <v>32</v>
      </c>
      <c r="H7579" s="0" t="n">
        <v>100</v>
      </c>
      <c r="I7579" s="0" t="s">
        <v>25331</v>
      </c>
      <c r="J7579" s="0" t="s">
        <v>25332</v>
      </c>
      <c r="K7579" s="0" t="s">
        <v>25333</v>
      </c>
      <c r="L7579" s="0" t="str">
        <f aca="false">HYPERLINK("https://www.ncbi.nlm.nih.gov/nuccore/CP000304.1?report=graph&amp;tracks=[key:gene_model_track,Options:GeneOnly]&amp;mk=2141465:2141484|offset_13|444444,2141438:2141457|offset_40|444444,2141378:2141397|offset_100|00cc00,2141354:2141373|offset_124|444444&amp;v=2141264:2141573&amp;c=444444", "offset 100")</f>
        <v>offset 100</v>
      </c>
    </row>
    <row r="7580" customFormat="false" ht="12.8" hidden="false" customHeight="false" outlineLevel="0" collapsed="false">
      <c r="A7580" s="0" t="s">
        <v>12</v>
      </c>
      <c r="B7580" s="0" t="n">
        <v>2141353</v>
      </c>
      <c r="C7580" s="0" t="n">
        <v>2141373</v>
      </c>
      <c r="D7580" s="0" t="s">
        <v>25324</v>
      </c>
      <c r="E7580" s="0" t="s">
        <v>89</v>
      </c>
      <c r="F7580" s="0" t="s">
        <v>90</v>
      </c>
      <c r="G7580" s="0" t="s">
        <v>16</v>
      </c>
      <c r="H7580" s="0" t="n">
        <v>124</v>
      </c>
      <c r="I7580" s="0" t="s">
        <v>25334</v>
      </c>
      <c r="J7580" s="0" t="s">
        <v>25335</v>
      </c>
      <c r="K7580" s="0" t="s">
        <v>25336</v>
      </c>
      <c r="L7580" s="0" t="str">
        <f aca="false">HYPERLINK("https://www.ncbi.nlm.nih.gov/nuccore/CP000304.1?report=graph&amp;tracks=[key:gene_model_track,Options:GeneOnly]&amp;mk=2141465:2141484|offset_13|444444,2141438:2141457|offset_40|444444,2141378:2141397|offset_100|444444,2141354:2141373|offset_124|00cc00&amp;v=2141264:2141573&amp;c=444444", "offset 124")</f>
        <v>offset 124</v>
      </c>
    </row>
    <row r="7581" customFormat="false" ht="12.8" hidden="false" customHeight="false" outlineLevel="0" collapsed="false">
      <c r="A7581" s="0" t="s">
        <v>12</v>
      </c>
      <c r="B7581" s="0" t="n">
        <v>2142070</v>
      </c>
      <c r="C7581" s="0" t="n">
        <v>2142090</v>
      </c>
      <c r="D7581" s="0" t="s">
        <v>25337</v>
      </c>
      <c r="E7581" s="0" t="s">
        <v>89</v>
      </c>
      <c r="F7581" s="0" t="s">
        <v>90</v>
      </c>
      <c r="G7581" s="0" t="s">
        <v>36</v>
      </c>
      <c r="H7581" s="0" t="n">
        <v>7</v>
      </c>
      <c r="I7581" s="0" t="s">
        <v>25338</v>
      </c>
      <c r="J7581" s="0" t="s">
        <v>25339</v>
      </c>
      <c r="K7581" s="0" t="s">
        <v>25340</v>
      </c>
      <c r="L7581" s="0" t="str">
        <f aca="false">HYPERLINK("https://www.ncbi.nlm.nih.gov/nuccore/CP000304.1?report=graph&amp;tracks=[key:gene_model_track,Options:GeneOnly]&amp;mk=2142071:2142090|offset_7|00cc00,2142016:2142035|offset_62|444444,2141992:2142011|offset_86|444444,2141960:2141979|offset_118|444444&amp;v=2141870:2142179&amp;c=444444", "offset 7")</f>
        <v>offset 7</v>
      </c>
    </row>
    <row r="7582" customFormat="false" ht="12.8" hidden="false" customHeight="false" outlineLevel="0" collapsed="false">
      <c r="A7582" s="0" t="s">
        <v>12</v>
      </c>
      <c r="B7582" s="0" t="n">
        <v>2142015</v>
      </c>
      <c r="C7582" s="0" t="n">
        <v>2142035</v>
      </c>
      <c r="D7582" s="0" t="s">
        <v>25337</v>
      </c>
      <c r="E7582" s="0" t="s">
        <v>89</v>
      </c>
      <c r="F7582" s="0" t="s">
        <v>90</v>
      </c>
      <c r="G7582" s="0" t="s">
        <v>16</v>
      </c>
      <c r="H7582" s="0" t="n">
        <v>62</v>
      </c>
      <c r="I7582" s="0" t="s">
        <v>25341</v>
      </c>
      <c r="J7582" s="0" t="s">
        <v>25342</v>
      </c>
      <c r="K7582" s="0" t="s">
        <v>25343</v>
      </c>
      <c r="L7582" s="0" t="str">
        <f aca="false">HYPERLINK("https://www.ncbi.nlm.nih.gov/nuccore/CP000304.1?report=graph&amp;tracks=[key:gene_model_track,Options:GeneOnly]&amp;mk=2142071:2142090|offset_7|444444,2142016:2142035|offset_62|00cc00,2141992:2142011|offset_86|444444,2141960:2141979|offset_118|444444&amp;v=2141870:2142179&amp;c=444444", "offset 62")</f>
        <v>offset 62</v>
      </c>
    </row>
    <row r="7583" customFormat="false" ht="12.8" hidden="false" customHeight="false" outlineLevel="0" collapsed="false">
      <c r="A7583" s="0" t="s">
        <v>12</v>
      </c>
      <c r="B7583" s="0" t="n">
        <v>2141991</v>
      </c>
      <c r="C7583" s="0" t="n">
        <v>2142011</v>
      </c>
      <c r="D7583" s="0" t="s">
        <v>25337</v>
      </c>
      <c r="E7583" s="0" t="s">
        <v>89</v>
      </c>
      <c r="F7583" s="0" t="s">
        <v>90</v>
      </c>
      <c r="G7583" s="0" t="s">
        <v>26</v>
      </c>
      <c r="H7583" s="0" t="n">
        <v>86</v>
      </c>
      <c r="I7583" s="0" t="s">
        <v>25344</v>
      </c>
      <c r="J7583" s="0" t="s">
        <v>25345</v>
      </c>
      <c r="K7583" s="0" t="s">
        <v>25346</v>
      </c>
      <c r="L7583" s="0" t="str">
        <f aca="false">HYPERLINK("https://www.ncbi.nlm.nih.gov/nuccore/CP000304.1?report=graph&amp;tracks=[key:gene_model_track,Options:GeneOnly]&amp;mk=2142071:2142090|offset_7|444444,2142016:2142035|offset_62|444444,2141992:2142011|offset_86|00cc00,2141960:2141979|offset_118|444444&amp;v=2141870:2142179&amp;c=444444", "offset 86")</f>
        <v>offset 86</v>
      </c>
    </row>
    <row r="7584" customFormat="false" ht="12.8" hidden="false" customHeight="false" outlineLevel="0" collapsed="false">
      <c r="A7584" s="0" t="s">
        <v>12</v>
      </c>
      <c r="B7584" s="0" t="n">
        <v>2141959</v>
      </c>
      <c r="C7584" s="0" t="n">
        <v>2141979</v>
      </c>
      <c r="D7584" s="0" t="s">
        <v>25337</v>
      </c>
      <c r="E7584" s="0" t="s">
        <v>89</v>
      </c>
      <c r="F7584" s="0" t="s">
        <v>90</v>
      </c>
      <c r="G7584" s="0" t="s">
        <v>26</v>
      </c>
      <c r="H7584" s="0" t="n">
        <v>118</v>
      </c>
      <c r="I7584" s="0" t="s">
        <v>25347</v>
      </c>
      <c r="J7584" s="0" t="s">
        <v>25348</v>
      </c>
      <c r="K7584" s="0" t="s">
        <v>25349</v>
      </c>
      <c r="L7584" s="0" t="str">
        <f aca="false">HYPERLINK("https://www.ncbi.nlm.nih.gov/nuccore/CP000304.1?report=graph&amp;tracks=[key:gene_model_track,Options:GeneOnly]&amp;mk=2142071:2142090|offset_7|444444,2142016:2142035|offset_62|444444,2141992:2142011|offset_86|444444,2141960:2141979|offset_118|00cc00&amp;v=2141870:2142179&amp;c=444444", "offset 118")</f>
        <v>offset 118</v>
      </c>
    </row>
    <row r="7585" customFormat="false" ht="12.8" hidden="false" customHeight="false" outlineLevel="0" collapsed="false">
      <c r="A7585" s="0" t="s">
        <v>12</v>
      </c>
      <c r="B7585" s="0" t="n">
        <v>2143305</v>
      </c>
      <c r="C7585" s="0" t="n">
        <v>2143325</v>
      </c>
      <c r="D7585" s="0" t="s">
        <v>25350</v>
      </c>
      <c r="E7585" s="0" t="s">
        <v>89</v>
      </c>
      <c r="F7585" s="0" t="s">
        <v>90</v>
      </c>
      <c r="G7585" s="0" t="s">
        <v>36</v>
      </c>
      <c r="H7585" s="0" t="n">
        <v>16</v>
      </c>
      <c r="I7585" s="0" t="s">
        <v>25351</v>
      </c>
      <c r="J7585" s="0" t="s">
        <v>25352</v>
      </c>
      <c r="K7585" s="0" t="s">
        <v>25353</v>
      </c>
      <c r="L7585" s="0" t="str">
        <f aca="false">HYPERLINK("https://www.ncbi.nlm.nih.gov/nuccore/CP000304.1?report=graph&amp;tracks=[key:gene_model_track,Options:GeneOnly]&amp;mk=2143306:2143325|offset_16|00cc00,2143281:2143300|offset_41|444444,2143256:2143275|offset_66|444444,2143222:2143241|offset_100|444444&amp;v=2143105:2143441&amp;c=444444", "offset 16")</f>
        <v>offset 16</v>
      </c>
    </row>
    <row r="7586" customFormat="false" ht="12.8" hidden="false" customHeight="false" outlineLevel="0" collapsed="false">
      <c r="A7586" s="0" t="s">
        <v>12</v>
      </c>
      <c r="B7586" s="0" t="n">
        <v>2143280</v>
      </c>
      <c r="C7586" s="0" t="n">
        <v>2143300</v>
      </c>
      <c r="D7586" s="0" t="s">
        <v>25350</v>
      </c>
      <c r="E7586" s="0" t="s">
        <v>89</v>
      </c>
      <c r="F7586" s="0" t="s">
        <v>90</v>
      </c>
      <c r="G7586" s="0" t="s">
        <v>26</v>
      </c>
      <c r="H7586" s="0" t="n">
        <v>41</v>
      </c>
      <c r="I7586" s="0" t="s">
        <v>25354</v>
      </c>
      <c r="J7586" s="0" t="s">
        <v>25355</v>
      </c>
      <c r="K7586" s="0" t="s">
        <v>25356</v>
      </c>
      <c r="L7586" s="0" t="str">
        <f aca="false">HYPERLINK("https://www.ncbi.nlm.nih.gov/nuccore/CP000304.1?report=graph&amp;tracks=[key:gene_model_track,Options:GeneOnly]&amp;mk=2143306:2143325|offset_16|444444,2143281:2143300|offset_41|00cc00,2143256:2143275|offset_66|444444,2143222:2143241|offset_100|444444&amp;v=2143105:2143441&amp;c=444444", "offset 41")</f>
        <v>offset 41</v>
      </c>
    </row>
    <row r="7587" customFormat="false" ht="12.8" hidden="false" customHeight="false" outlineLevel="0" collapsed="false">
      <c r="A7587" s="0" t="s">
        <v>12</v>
      </c>
      <c r="B7587" s="0" t="n">
        <v>2143255</v>
      </c>
      <c r="C7587" s="0" t="n">
        <v>2143275</v>
      </c>
      <c r="D7587" s="0" t="s">
        <v>25350</v>
      </c>
      <c r="E7587" s="0" t="s">
        <v>89</v>
      </c>
      <c r="F7587" s="0" t="s">
        <v>90</v>
      </c>
      <c r="G7587" s="0" t="s">
        <v>16</v>
      </c>
      <c r="H7587" s="0" t="n">
        <v>66</v>
      </c>
      <c r="I7587" s="0" t="s">
        <v>25357</v>
      </c>
      <c r="J7587" s="0" t="s">
        <v>25358</v>
      </c>
      <c r="K7587" s="0" t="s">
        <v>25359</v>
      </c>
      <c r="L7587" s="0" t="str">
        <f aca="false">HYPERLINK("https://www.ncbi.nlm.nih.gov/nuccore/CP000304.1?report=graph&amp;tracks=[key:gene_model_track,Options:GeneOnly]&amp;mk=2143306:2143325|offset_16|444444,2143281:2143300|offset_41|444444,2143256:2143275|offset_66|00cc00,2143222:2143241|offset_100|444444&amp;v=2143105:2143441&amp;c=444444", "offset 66")</f>
        <v>offset 66</v>
      </c>
    </row>
    <row r="7588" customFormat="false" ht="12.8" hidden="false" customHeight="false" outlineLevel="0" collapsed="false">
      <c r="A7588" s="0" t="s">
        <v>12</v>
      </c>
      <c r="B7588" s="0" t="n">
        <v>2143221</v>
      </c>
      <c r="C7588" s="0" t="n">
        <v>2143241</v>
      </c>
      <c r="D7588" s="0" t="s">
        <v>25350</v>
      </c>
      <c r="E7588" s="0" t="s">
        <v>89</v>
      </c>
      <c r="F7588" s="0" t="s">
        <v>90</v>
      </c>
      <c r="G7588" s="0" t="s">
        <v>16</v>
      </c>
      <c r="H7588" s="0" t="n">
        <v>100</v>
      </c>
      <c r="I7588" s="0" t="s">
        <v>25360</v>
      </c>
      <c r="J7588" s="0" t="s">
        <v>25361</v>
      </c>
      <c r="K7588" s="0" t="s">
        <v>25362</v>
      </c>
      <c r="L7588" s="0" t="str">
        <f aca="false">HYPERLINK("https://www.ncbi.nlm.nih.gov/nuccore/CP000304.1?report=graph&amp;tracks=[key:gene_model_track,Options:GeneOnly]&amp;mk=2143306:2143325|offset_16|444444,2143281:2143300|offset_41|444444,2143256:2143275|offset_66|444444,2143222:2143241|offset_100|00cc00&amp;v=2143105:2143441&amp;c=444444", "offset 100")</f>
        <v>offset 100</v>
      </c>
    </row>
    <row r="7589" customFormat="false" ht="12.8" hidden="false" customHeight="false" outlineLevel="0" collapsed="false">
      <c r="A7589" s="0" t="s">
        <v>12</v>
      </c>
      <c r="B7589" s="0" t="n">
        <v>2143838</v>
      </c>
      <c r="C7589" s="0" t="n">
        <v>2143858</v>
      </c>
      <c r="D7589" s="0" t="s">
        <v>25363</v>
      </c>
      <c r="E7589" s="0" t="s">
        <v>89</v>
      </c>
      <c r="F7589" s="0" t="s">
        <v>90</v>
      </c>
      <c r="G7589" s="0" t="s">
        <v>32</v>
      </c>
      <c r="H7589" s="0" t="n">
        <v>1</v>
      </c>
      <c r="I7589" s="0" t="s">
        <v>25364</v>
      </c>
      <c r="J7589" s="0" t="s">
        <v>25365</v>
      </c>
      <c r="K7589" s="0" t="s">
        <v>25366</v>
      </c>
      <c r="L7589" s="0" t="str">
        <f aca="false">HYPERLINK("https://www.ncbi.nlm.nih.gov/nuccore/CP000304.1?report=graph&amp;tracks=[key:gene_model_track,Options:GeneOnly]&amp;mk=2143839:2143858|offset_1|00cc00,2143805:2143824|offset_35|444444,2143784:2143803|offset_56|444444,2143753:2143772|offset_87|444444&amp;v=2143638:2143972&amp;c=444444", "offset 1")</f>
        <v>offset 1</v>
      </c>
    </row>
    <row r="7590" customFormat="false" ht="12.8" hidden="false" customHeight="false" outlineLevel="0" collapsed="false">
      <c r="A7590" s="0" t="s">
        <v>12</v>
      </c>
      <c r="B7590" s="0" t="n">
        <v>2143804</v>
      </c>
      <c r="C7590" s="0" t="n">
        <v>2143824</v>
      </c>
      <c r="D7590" s="0" t="s">
        <v>25363</v>
      </c>
      <c r="E7590" s="0" t="s">
        <v>89</v>
      </c>
      <c r="F7590" s="0" t="s">
        <v>90</v>
      </c>
      <c r="G7590" s="0" t="s">
        <v>26</v>
      </c>
      <c r="H7590" s="0" t="n">
        <v>35</v>
      </c>
      <c r="I7590" s="0" t="s">
        <v>25367</v>
      </c>
      <c r="J7590" s="0" t="s">
        <v>25368</v>
      </c>
      <c r="K7590" s="0" t="s">
        <v>25369</v>
      </c>
      <c r="L7590" s="0" t="str">
        <f aca="false">HYPERLINK("https://www.ncbi.nlm.nih.gov/nuccore/CP000304.1?report=graph&amp;tracks=[key:gene_model_track,Options:GeneOnly]&amp;mk=2143839:2143858|offset_1|444444,2143805:2143824|offset_35|00cc00,2143784:2143803|offset_56|444444,2143753:2143772|offset_87|444444&amp;v=2143638:2143972&amp;c=444444", "offset 35")</f>
        <v>offset 35</v>
      </c>
    </row>
    <row r="7591" customFormat="false" ht="12.8" hidden="false" customHeight="false" outlineLevel="0" collapsed="false">
      <c r="A7591" s="0" t="s">
        <v>12</v>
      </c>
      <c r="B7591" s="0" t="n">
        <v>2143783</v>
      </c>
      <c r="C7591" s="0" t="n">
        <v>2143803</v>
      </c>
      <c r="D7591" s="0" t="s">
        <v>25363</v>
      </c>
      <c r="E7591" s="0" t="s">
        <v>89</v>
      </c>
      <c r="F7591" s="0" t="s">
        <v>90</v>
      </c>
      <c r="G7591" s="0" t="s">
        <v>26</v>
      </c>
      <c r="H7591" s="0" t="n">
        <v>56</v>
      </c>
      <c r="I7591" s="0" t="s">
        <v>25370</v>
      </c>
      <c r="J7591" s="0" t="s">
        <v>25371</v>
      </c>
      <c r="K7591" s="0" t="s">
        <v>25372</v>
      </c>
      <c r="L7591" s="0" t="str">
        <f aca="false">HYPERLINK("https://www.ncbi.nlm.nih.gov/nuccore/CP000304.1?report=graph&amp;tracks=[key:gene_model_track,Options:GeneOnly]&amp;mk=2143839:2143858|offset_1|444444,2143805:2143824|offset_35|444444,2143784:2143803|offset_56|00cc00,2143753:2143772|offset_87|444444&amp;v=2143638:2143972&amp;c=444444", "offset 56")</f>
        <v>offset 56</v>
      </c>
    </row>
    <row r="7592" customFormat="false" ht="12.8" hidden="false" customHeight="false" outlineLevel="0" collapsed="false">
      <c r="A7592" s="0" t="s">
        <v>12</v>
      </c>
      <c r="B7592" s="0" t="n">
        <v>2143752</v>
      </c>
      <c r="C7592" s="0" t="n">
        <v>2143772</v>
      </c>
      <c r="D7592" s="0" t="s">
        <v>25363</v>
      </c>
      <c r="E7592" s="0" t="s">
        <v>89</v>
      </c>
      <c r="F7592" s="0" t="s">
        <v>90</v>
      </c>
      <c r="G7592" s="0" t="s">
        <v>16</v>
      </c>
      <c r="H7592" s="0" t="n">
        <v>87</v>
      </c>
      <c r="I7592" s="0" t="s">
        <v>25373</v>
      </c>
      <c r="J7592" s="0" t="s">
        <v>25374</v>
      </c>
      <c r="K7592" s="0" t="s">
        <v>25375</v>
      </c>
      <c r="L7592" s="0" t="str">
        <f aca="false">HYPERLINK("https://www.ncbi.nlm.nih.gov/nuccore/CP000304.1?report=graph&amp;tracks=[key:gene_model_track,Options:GeneOnly]&amp;mk=2143839:2143858|offset_1|444444,2143805:2143824|offset_35|444444,2143784:2143803|offset_56|444444,2143753:2143772|offset_87|00cc00&amp;v=2143638:2143972&amp;c=444444", "offset 87")</f>
        <v>offset 87</v>
      </c>
    </row>
    <row r="7593" customFormat="false" ht="12.8" hidden="false" customHeight="false" outlineLevel="0" collapsed="false">
      <c r="A7593" s="0" t="s">
        <v>12</v>
      </c>
      <c r="B7593" s="0" t="n">
        <v>2144214</v>
      </c>
      <c r="C7593" s="0" t="n">
        <v>2144234</v>
      </c>
      <c r="D7593" s="0" t="s">
        <v>25376</v>
      </c>
      <c r="E7593" s="0" t="s">
        <v>89</v>
      </c>
      <c r="F7593" s="0" t="s">
        <v>90</v>
      </c>
      <c r="G7593" s="0" t="s">
        <v>16</v>
      </c>
      <c r="H7593" s="0" t="n">
        <v>6</v>
      </c>
      <c r="I7593" s="0" t="s">
        <v>25377</v>
      </c>
      <c r="J7593" s="0" t="s">
        <v>25378</v>
      </c>
      <c r="K7593" s="0" t="s">
        <v>25379</v>
      </c>
      <c r="L7593" s="0" t="str">
        <f aca="false">HYPERLINK("https://www.ncbi.nlm.nih.gov/nuccore/CP000304.1?report=graph&amp;tracks=[key:gene_model_track,Options:GeneOnly]&amp;mk=2144215:2144234|offset_6|00cc00,2144168:2144187|offset_53|444444,2144126:2144145|offset_95|444444,2144096:2144115|offset_125|444444&amp;v=2144014:2144315&amp;c=444444", "offset 6")</f>
        <v>offset 6</v>
      </c>
    </row>
    <row r="7594" customFormat="false" ht="12.8" hidden="false" customHeight="false" outlineLevel="0" collapsed="false">
      <c r="A7594" s="0" t="s">
        <v>12</v>
      </c>
      <c r="B7594" s="0" t="n">
        <v>2144167</v>
      </c>
      <c r="C7594" s="0" t="n">
        <v>2144187</v>
      </c>
      <c r="D7594" s="0" t="s">
        <v>25376</v>
      </c>
      <c r="E7594" s="0" t="s">
        <v>89</v>
      </c>
      <c r="F7594" s="0" t="s">
        <v>90</v>
      </c>
      <c r="G7594" s="0" t="s">
        <v>26</v>
      </c>
      <c r="H7594" s="0" t="n">
        <v>53</v>
      </c>
      <c r="I7594" s="0" t="s">
        <v>25380</v>
      </c>
      <c r="J7594" s="0" t="s">
        <v>25381</v>
      </c>
      <c r="K7594" s="0" t="s">
        <v>25382</v>
      </c>
      <c r="L7594" s="0" t="str">
        <f aca="false">HYPERLINK("https://www.ncbi.nlm.nih.gov/nuccore/CP000304.1?report=graph&amp;tracks=[key:gene_model_track,Options:GeneOnly]&amp;mk=2144215:2144234|offset_6|444444,2144168:2144187|offset_53|00cc00,2144126:2144145|offset_95|444444,2144096:2144115|offset_125|444444&amp;v=2144014:2144315&amp;c=444444", "offset 53")</f>
        <v>offset 53</v>
      </c>
    </row>
    <row r="7595" customFormat="false" ht="12.8" hidden="false" customHeight="false" outlineLevel="0" collapsed="false">
      <c r="A7595" s="0" t="s">
        <v>12</v>
      </c>
      <c r="B7595" s="0" t="n">
        <v>2144125</v>
      </c>
      <c r="C7595" s="0" t="n">
        <v>2144145</v>
      </c>
      <c r="D7595" s="0" t="s">
        <v>25376</v>
      </c>
      <c r="E7595" s="0" t="s">
        <v>89</v>
      </c>
      <c r="F7595" s="0" t="s">
        <v>90</v>
      </c>
      <c r="G7595" s="0" t="s">
        <v>16</v>
      </c>
      <c r="H7595" s="0" t="n">
        <v>95</v>
      </c>
      <c r="I7595" s="0" t="s">
        <v>25383</v>
      </c>
      <c r="J7595" s="0" t="s">
        <v>25384</v>
      </c>
      <c r="K7595" s="0" t="s">
        <v>25385</v>
      </c>
      <c r="L7595" s="0" t="str">
        <f aca="false">HYPERLINK("https://www.ncbi.nlm.nih.gov/nuccore/CP000304.1?report=graph&amp;tracks=[key:gene_model_track,Options:GeneOnly]&amp;mk=2144215:2144234|offset_6|444444,2144168:2144187|offset_53|444444,2144126:2144145|offset_95|00cc00,2144096:2144115|offset_125|444444&amp;v=2144014:2144315&amp;c=444444", "offset 95")</f>
        <v>offset 95</v>
      </c>
    </row>
    <row r="7596" customFormat="false" ht="12.8" hidden="false" customHeight="false" outlineLevel="0" collapsed="false">
      <c r="A7596" s="0" t="s">
        <v>12</v>
      </c>
      <c r="B7596" s="0" t="n">
        <v>2144095</v>
      </c>
      <c r="C7596" s="0" t="n">
        <v>2144115</v>
      </c>
      <c r="D7596" s="0" t="s">
        <v>25376</v>
      </c>
      <c r="E7596" s="0" t="s">
        <v>89</v>
      </c>
      <c r="F7596" s="0" t="s">
        <v>90</v>
      </c>
      <c r="G7596" s="0" t="s">
        <v>26</v>
      </c>
      <c r="H7596" s="0" t="n">
        <v>125</v>
      </c>
      <c r="I7596" s="0" t="s">
        <v>25386</v>
      </c>
      <c r="J7596" s="0" t="s">
        <v>25387</v>
      </c>
      <c r="K7596" s="0" t="s">
        <v>25388</v>
      </c>
      <c r="L7596" s="0" t="str">
        <f aca="false">HYPERLINK("https://www.ncbi.nlm.nih.gov/nuccore/CP000304.1?report=graph&amp;tracks=[key:gene_model_track,Options:GeneOnly]&amp;mk=2144215:2144234|offset_6|444444,2144168:2144187|offset_53|444444,2144126:2144145|offset_95|444444,2144096:2144115|offset_125|00cc00&amp;v=2144014:2144315&amp;c=444444", "offset 125")</f>
        <v>offset 125</v>
      </c>
    </row>
    <row r="7597" customFormat="false" ht="12.8" hidden="false" customHeight="false" outlineLevel="0" collapsed="false">
      <c r="A7597" s="0" t="s">
        <v>12</v>
      </c>
      <c r="B7597" s="0" t="n">
        <v>2144806</v>
      </c>
      <c r="C7597" s="0" t="n">
        <v>2144826</v>
      </c>
      <c r="D7597" s="0" t="s">
        <v>25389</v>
      </c>
      <c r="E7597" s="0" t="s">
        <v>25390</v>
      </c>
      <c r="F7597" s="0" t="s">
        <v>90</v>
      </c>
      <c r="G7597" s="0" t="s">
        <v>16</v>
      </c>
      <c r="H7597" s="0" t="n">
        <v>58</v>
      </c>
      <c r="I7597" s="0" t="s">
        <v>25391</v>
      </c>
      <c r="J7597" s="0" t="s">
        <v>25392</v>
      </c>
      <c r="K7597" s="0" t="s">
        <v>25393</v>
      </c>
      <c r="L7597" s="0" t="str">
        <f aca="false">HYPERLINK("https://www.ncbi.nlm.nih.gov/nuccore/CP000304.1?report=graph&amp;tracks=[key:gene_model_track,Options:GeneOnly]&amp;mk=2144807:2144826|offset_58|00cc00,2144780:2144799|offset_85|444444,2144738:2144757|offset_127|444444,2144694:2144713|offset_171|444444&amp;v=2144606:2144913&amp;c=444444", "offset 58")</f>
        <v>offset 58</v>
      </c>
    </row>
    <row r="7598" customFormat="false" ht="12.8" hidden="false" customHeight="false" outlineLevel="0" collapsed="false">
      <c r="A7598" s="0" t="s">
        <v>12</v>
      </c>
      <c r="B7598" s="0" t="n">
        <v>2144779</v>
      </c>
      <c r="C7598" s="0" t="n">
        <v>2144799</v>
      </c>
      <c r="D7598" s="0" t="s">
        <v>25389</v>
      </c>
      <c r="E7598" s="0" t="s">
        <v>25390</v>
      </c>
      <c r="F7598" s="0" t="s">
        <v>90</v>
      </c>
      <c r="G7598" s="0" t="s">
        <v>32</v>
      </c>
      <c r="H7598" s="0" t="n">
        <v>85</v>
      </c>
      <c r="I7598" s="0" t="s">
        <v>25394</v>
      </c>
      <c r="J7598" s="0" t="s">
        <v>25395</v>
      </c>
      <c r="K7598" s="0" t="s">
        <v>25396</v>
      </c>
      <c r="L7598" s="0" t="str">
        <f aca="false">HYPERLINK("https://www.ncbi.nlm.nih.gov/nuccore/CP000304.1?report=graph&amp;tracks=[key:gene_model_track,Options:GeneOnly]&amp;mk=2144807:2144826|offset_58|444444,2144780:2144799|offset_85|00cc00,2144738:2144757|offset_127|444444,2144694:2144713|offset_171|444444&amp;v=2144606:2144913&amp;c=444444", "offset 85")</f>
        <v>offset 85</v>
      </c>
    </row>
    <row r="7599" customFormat="false" ht="12.8" hidden="false" customHeight="false" outlineLevel="0" collapsed="false">
      <c r="A7599" s="0" t="s">
        <v>12</v>
      </c>
      <c r="B7599" s="0" t="n">
        <v>2144737</v>
      </c>
      <c r="C7599" s="0" t="n">
        <v>2144757</v>
      </c>
      <c r="D7599" s="0" t="s">
        <v>25389</v>
      </c>
      <c r="E7599" s="0" t="s">
        <v>25390</v>
      </c>
      <c r="F7599" s="0" t="s">
        <v>90</v>
      </c>
      <c r="G7599" s="0" t="s">
        <v>16</v>
      </c>
      <c r="H7599" s="0" t="n">
        <v>127</v>
      </c>
      <c r="I7599" s="0" t="s">
        <v>25397</v>
      </c>
      <c r="J7599" s="0" t="s">
        <v>25398</v>
      </c>
      <c r="K7599" s="0" t="s">
        <v>25399</v>
      </c>
      <c r="L7599" s="0" t="str">
        <f aca="false">HYPERLINK("https://www.ncbi.nlm.nih.gov/nuccore/CP000304.1?report=graph&amp;tracks=[key:gene_model_track,Options:GeneOnly]&amp;mk=2144807:2144826|offset_58|444444,2144780:2144799|offset_85|444444,2144738:2144757|offset_127|00cc00,2144694:2144713|offset_171|444444&amp;v=2144606:2144913&amp;c=444444", "offset 127")</f>
        <v>offset 127</v>
      </c>
    </row>
    <row r="7600" customFormat="false" ht="12.8" hidden="false" customHeight="false" outlineLevel="0" collapsed="false">
      <c r="A7600" s="0" t="s">
        <v>12</v>
      </c>
      <c r="B7600" s="0" t="n">
        <v>2144693</v>
      </c>
      <c r="C7600" s="0" t="n">
        <v>2144713</v>
      </c>
      <c r="D7600" s="0" t="s">
        <v>25389</v>
      </c>
      <c r="E7600" s="0" t="s">
        <v>25390</v>
      </c>
      <c r="F7600" s="0" t="s">
        <v>90</v>
      </c>
      <c r="G7600" s="0" t="s">
        <v>32</v>
      </c>
      <c r="H7600" s="0" t="n">
        <v>171</v>
      </c>
      <c r="I7600" s="0" t="s">
        <v>25400</v>
      </c>
      <c r="J7600" s="0" t="s">
        <v>25401</v>
      </c>
      <c r="K7600" s="0" t="s">
        <v>25402</v>
      </c>
      <c r="L7600" s="0" t="str">
        <f aca="false">HYPERLINK("https://www.ncbi.nlm.nih.gov/nuccore/CP000304.1?report=graph&amp;tracks=[key:gene_model_track,Options:GeneOnly]&amp;mk=2144807:2144826|offset_58|444444,2144780:2144799|offset_85|444444,2144738:2144757|offset_127|444444,2144694:2144713|offset_171|00cc00&amp;v=2144606:2144913&amp;c=444444", "offset 171")</f>
        <v>offset 171</v>
      </c>
    </row>
    <row r="7601" customFormat="false" ht="12.8" hidden="false" customHeight="false" outlineLevel="0" collapsed="false">
      <c r="A7601" s="0" t="s">
        <v>12</v>
      </c>
      <c r="B7601" s="0" t="n">
        <v>2145512</v>
      </c>
      <c r="C7601" s="0" t="n">
        <v>2145532</v>
      </c>
      <c r="D7601" s="0" t="s">
        <v>25403</v>
      </c>
      <c r="E7601" s="0" t="s">
        <v>89</v>
      </c>
      <c r="F7601" s="0" t="s">
        <v>90</v>
      </c>
      <c r="G7601" s="0" t="s">
        <v>16</v>
      </c>
      <c r="H7601" s="0" t="n">
        <v>9</v>
      </c>
      <c r="I7601" s="0" t="s">
        <v>25404</v>
      </c>
      <c r="J7601" s="0" t="s">
        <v>25405</v>
      </c>
      <c r="K7601" s="0" t="s">
        <v>25406</v>
      </c>
      <c r="L7601" s="0" t="str">
        <f aca="false">HYPERLINK("https://www.ncbi.nlm.nih.gov/nuccore/CP000304.1?report=graph&amp;tracks=[key:gene_model_track,Options:GeneOnly]&amp;mk=2145513:2145532|offset_9|00cc00,2145479:2145498|offset_43|444444,2145434:2145453|offset_88|444444,2145385:2145404|offset_137|444444&amp;v=2145312:2145604&amp;c=444444", "offset 9")</f>
        <v>offset 9</v>
      </c>
    </row>
    <row r="7602" customFormat="false" ht="12.8" hidden="false" customHeight="false" outlineLevel="0" collapsed="false">
      <c r="A7602" s="0" t="s">
        <v>12</v>
      </c>
      <c r="B7602" s="0" t="n">
        <v>2145478</v>
      </c>
      <c r="C7602" s="0" t="n">
        <v>2145498</v>
      </c>
      <c r="D7602" s="0" t="s">
        <v>25403</v>
      </c>
      <c r="E7602" s="0" t="s">
        <v>89</v>
      </c>
      <c r="F7602" s="0" t="s">
        <v>90</v>
      </c>
      <c r="G7602" s="0" t="s">
        <v>26</v>
      </c>
      <c r="H7602" s="0" t="n">
        <v>43</v>
      </c>
      <c r="I7602" s="0" t="s">
        <v>25407</v>
      </c>
      <c r="J7602" s="0" t="s">
        <v>25408</v>
      </c>
      <c r="K7602" s="0" t="s">
        <v>25409</v>
      </c>
      <c r="L7602" s="0" t="str">
        <f aca="false">HYPERLINK("https://www.ncbi.nlm.nih.gov/nuccore/CP000304.1?report=graph&amp;tracks=[key:gene_model_track,Options:GeneOnly]&amp;mk=2145513:2145532|offset_9|444444,2145479:2145498|offset_43|00cc00,2145434:2145453|offset_88|444444,2145385:2145404|offset_137|444444&amp;v=2145312:2145604&amp;c=444444", "offset 43")</f>
        <v>offset 43</v>
      </c>
    </row>
    <row r="7603" customFormat="false" ht="12.8" hidden="false" customHeight="false" outlineLevel="0" collapsed="false">
      <c r="A7603" s="0" t="s">
        <v>12</v>
      </c>
      <c r="B7603" s="0" t="n">
        <v>2145433</v>
      </c>
      <c r="C7603" s="0" t="n">
        <v>2145453</v>
      </c>
      <c r="D7603" s="0" t="s">
        <v>25403</v>
      </c>
      <c r="E7603" s="0" t="s">
        <v>89</v>
      </c>
      <c r="F7603" s="0" t="s">
        <v>90</v>
      </c>
      <c r="G7603" s="0" t="s">
        <v>16</v>
      </c>
      <c r="H7603" s="0" t="n">
        <v>88</v>
      </c>
      <c r="I7603" s="0" t="s">
        <v>25410</v>
      </c>
      <c r="J7603" s="0" t="s">
        <v>25411</v>
      </c>
      <c r="K7603" s="0" t="s">
        <v>25412</v>
      </c>
      <c r="L7603" s="0" t="str">
        <f aca="false">HYPERLINK("https://www.ncbi.nlm.nih.gov/nuccore/CP000304.1?report=graph&amp;tracks=[key:gene_model_track,Options:GeneOnly]&amp;mk=2145513:2145532|offset_9|444444,2145479:2145498|offset_43|444444,2145434:2145453|offset_88|00cc00,2145385:2145404|offset_137|444444&amp;v=2145312:2145604&amp;c=444444", "offset 88")</f>
        <v>offset 88</v>
      </c>
    </row>
    <row r="7604" customFormat="false" ht="12.8" hidden="false" customHeight="false" outlineLevel="0" collapsed="false">
      <c r="A7604" s="0" t="s">
        <v>12</v>
      </c>
      <c r="B7604" s="0" t="n">
        <v>2145384</v>
      </c>
      <c r="C7604" s="0" t="n">
        <v>2145404</v>
      </c>
      <c r="D7604" s="0" t="s">
        <v>25403</v>
      </c>
      <c r="E7604" s="0" t="s">
        <v>89</v>
      </c>
      <c r="F7604" s="0" t="s">
        <v>90</v>
      </c>
      <c r="G7604" s="0" t="s">
        <v>36</v>
      </c>
      <c r="H7604" s="0" t="n">
        <v>137</v>
      </c>
      <c r="I7604" s="0" t="s">
        <v>25413</v>
      </c>
      <c r="J7604" s="0" t="s">
        <v>25414</v>
      </c>
      <c r="K7604" s="0" t="s">
        <v>25415</v>
      </c>
      <c r="L7604" s="0" t="str">
        <f aca="false">HYPERLINK("https://www.ncbi.nlm.nih.gov/nuccore/CP000304.1?report=graph&amp;tracks=[key:gene_model_track,Options:GeneOnly]&amp;mk=2145513:2145532|offset_9|444444,2145479:2145498|offset_43|444444,2145434:2145453|offset_88|444444,2145385:2145404|offset_137|00cc00&amp;v=2145312:2145604&amp;c=444444", "offset 137")</f>
        <v>offset 137</v>
      </c>
    </row>
    <row r="7605" customFormat="false" ht="12.8" hidden="false" customHeight="false" outlineLevel="0" collapsed="false">
      <c r="A7605" s="0" t="s">
        <v>12</v>
      </c>
      <c r="B7605" s="0" t="n">
        <v>2145633</v>
      </c>
      <c r="C7605" s="0" t="n">
        <v>2145653</v>
      </c>
      <c r="D7605" s="0" t="s">
        <v>25416</v>
      </c>
      <c r="E7605" s="0" t="s">
        <v>89</v>
      </c>
      <c r="F7605" s="0" t="s">
        <v>15</v>
      </c>
      <c r="G7605" s="0" t="s">
        <v>36</v>
      </c>
      <c r="H7605" s="0" t="n">
        <v>0</v>
      </c>
      <c r="I7605" s="0" t="s">
        <v>25417</v>
      </c>
      <c r="J7605" s="0" t="s">
        <v>25418</v>
      </c>
      <c r="K7605" s="0" t="s">
        <v>25419</v>
      </c>
      <c r="L7605" s="0" t="str">
        <f aca="false">HYPERLINK("https://www.ncbi.nlm.nih.gov/nuccore/CP000304.1?report=graph&amp;tracks=[key:gene_model_track,Options:GeneOnly]&amp;mk=2145634:2145653|offset_0|00cc00,2145662:2145681|offset_28|444444,2145701:2145720|offset_67|444444,2145725:2145744|offset_91|444444&amp;v=2145433:2145944&amp;c=444444", "offset 0")</f>
        <v>offset 0</v>
      </c>
    </row>
    <row r="7606" customFormat="false" ht="12.8" hidden="false" customHeight="false" outlineLevel="0" collapsed="false">
      <c r="A7606" s="0" t="s">
        <v>12</v>
      </c>
      <c r="B7606" s="0" t="n">
        <v>2145661</v>
      </c>
      <c r="C7606" s="0" t="n">
        <v>2145681</v>
      </c>
      <c r="D7606" s="0" t="s">
        <v>25416</v>
      </c>
      <c r="E7606" s="0" t="s">
        <v>89</v>
      </c>
      <c r="F7606" s="0" t="s">
        <v>15</v>
      </c>
      <c r="G7606" s="0" t="s">
        <v>36</v>
      </c>
      <c r="H7606" s="0" t="n">
        <v>28</v>
      </c>
      <c r="I7606" s="0" t="s">
        <v>25420</v>
      </c>
      <c r="J7606" s="0" t="s">
        <v>25421</v>
      </c>
      <c r="K7606" s="0" t="s">
        <v>25422</v>
      </c>
      <c r="L7606" s="0" t="str">
        <f aca="false">HYPERLINK("https://www.ncbi.nlm.nih.gov/nuccore/CP000304.1?report=graph&amp;tracks=[key:gene_model_track,Options:GeneOnly]&amp;mk=2145634:2145653|offset_0|444444,2145662:2145681|offset_28|00cc00,2145701:2145720|offset_67|444444,2145725:2145744|offset_91|444444&amp;v=2145433:2145944&amp;c=444444", "offset 28")</f>
        <v>offset 28</v>
      </c>
    </row>
    <row r="7607" customFormat="false" ht="12.8" hidden="false" customHeight="false" outlineLevel="0" collapsed="false">
      <c r="A7607" s="0" t="s">
        <v>12</v>
      </c>
      <c r="B7607" s="0" t="n">
        <v>2145700</v>
      </c>
      <c r="C7607" s="0" t="n">
        <v>2145720</v>
      </c>
      <c r="D7607" s="0" t="s">
        <v>25416</v>
      </c>
      <c r="E7607" s="0" t="s">
        <v>89</v>
      </c>
      <c r="F7607" s="0" t="s">
        <v>15</v>
      </c>
      <c r="G7607" s="0" t="s">
        <v>32</v>
      </c>
      <c r="H7607" s="0" t="n">
        <v>67</v>
      </c>
      <c r="I7607" s="0" t="s">
        <v>25423</v>
      </c>
      <c r="J7607" s="0" t="s">
        <v>25424</v>
      </c>
      <c r="K7607" s="0" t="s">
        <v>25425</v>
      </c>
      <c r="L7607" s="0" t="str">
        <f aca="false">HYPERLINK("https://www.ncbi.nlm.nih.gov/nuccore/CP000304.1?report=graph&amp;tracks=[key:gene_model_track,Options:GeneOnly]&amp;mk=2145634:2145653|offset_0|444444,2145662:2145681|offset_28|444444,2145701:2145720|offset_67|00cc00,2145725:2145744|offset_91|444444&amp;v=2145433:2145944&amp;c=444444", "offset 67")</f>
        <v>offset 67</v>
      </c>
    </row>
    <row r="7608" customFormat="false" ht="12.8" hidden="false" customHeight="false" outlineLevel="0" collapsed="false">
      <c r="A7608" s="0" t="s">
        <v>12</v>
      </c>
      <c r="B7608" s="0" t="n">
        <v>2145724</v>
      </c>
      <c r="C7608" s="0" t="n">
        <v>2145744</v>
      </c>
      <c r="D7608" s="0" t="s">
        <v>25416</v>
      </c>
      <c r="E7608" s="0" t="s">
        <v>89</v>
      </c>
      <c r="F7608" s="0" t="s">
        <v>15</v>
      </c>
      <c r="G7608" s="0" t="s">
        <v>16</v>
      </c>
      <c r="H7608" s="0" t="n">
        <v>91</v>
      </c>
      <c r="I7608" s="0" t="s">
        <v>25426</v>
      </c>
      <c r="J7608" s="0" t="s">
        <v>25427</v>
      </c>
      <c r="K7608" s="0" t="s">
        <v>25428</v>
      </c>
      <c r="L7608" s="0" t="str">
        <f aca="false">HYPERLINK("https://www.ncbi.nlm.nih.gov/nuccore/CP000304.1?report=graph&amp;tracks=[key:gene_model_track,Options:GeneOnly]&amp;mk=2145634:2145653|offset_0|444444,2145662:2145681|offset_28|444444,2145701:2145720|offset_67|444444,2145725:2145744|offset_91|00cc00&amp;v=2145433:2145944&amp;c=444444", "offset 91")</f>
        <v>offset 91</v>
      </c>
    </row>
    <row r="7609" customFormat="false" ht="12.8" hidden="false" customHeight="false" outlineLevel="0" collapsed="false">
      <c r="A7609" s="0" t="s">
        <v>12</v>
      </c>
      <c r="B7609" s="0" t="n">
        <v>2146616</v>
      </c>
      <c r="C7609" s="0" t="n">
        <v>2146636</v>
      </c>
      <c r="D7609" s="0" t="s">
        <v>25429</v>
      </c>
      <c r="E7609" s="0" t="s">
        <v>25430</v>
      </c>
      <c r="F7609" s="0" t="s">
        <v>15</v>
      </c>
      <c r="G7609" s="0" t="s">
        <v>32</v>
      </c>
      <c r="H7609" s="0" t="n">
        <v>1</v>
      </c>
      <c r="I7609" s="0" t="s">
        <v>25431</v>
      </c>
      <c r="J7609" s="0" t="s">
        <v>25432</v>
      </c>
      <c r="K7609" s="0" t="s">
        <v>25433</v>
      </c>
      <c r="L7609" s="0" t="str">
        <f aca="false">HYPERLINK("https://www.ncbi.nlm.nih.gov/nuccore/CP000304.1?report=graph&amp;tracks=[key:gene_model_track,Options:GeneOnly]&amp;mk=2146617:2146636|offset_1|00cc00,2146641:2146660|offset_25|444444,2146667:2146686|offset_51|444444,2146700:2146719|offset_84|444444&amp;v=2146416:2146919&amp;c=444444", "offset 1")</f>
        <v>offset 1</v>
      </c>
    </row>
    <row r="7610" customFormat="false" ht="12.8" hidden="false" customHeight="false" outlineLevel="0" collapsed="false">
      <c r="A7610" s="0" t="s">
        <v>12</v>
      </c>
      <c r="B7610" s="0" t="n">
        <v>2146640</v>
      </c>
      <c r="C7610" s="0" t="n">
        <v>2146660</v>
      </c>
      <c r="D7610" s="0" t="s">
        <v>25429</v>
      </c>
      <c r="E7610" s="0" t="s">
        <v>25430</v>
      </c>
      <c r="F7610" s="0" t="s">
        <v>15</v>
      </c>
      <c r="G7610" s="0" t="s">
        <v>16</v>
      </c>
      <c r="H7610" s="0" t="n">
        <v>25</v>
      </c>
      <c r="I7610" s="0" t="s">
        <v>25434</v>
      </c>
      <c r="J7610" s="0" t="s">
        <v>25435</v>
      </c>
      <c r="K7610" s="0" t="s">
        <v>25436</v>
      </c>
      <c r="L7610" s="0" t="str">
        <f aca="false">HYPERLINK("https://www.ncbi.nlm.nih.gov/nuccore/CP000304.1?report=graph&amp;tracks=[key:gene_model_track,Options:GeneOnly]&amp;mk=2146617:2146636|offset_1|444444,2146641:2146660|offset_25|00cc00,2146667:2146686|offset_51|444444,2146700:2146719|offset_84|444444&amp;v=2146416:2146919&amp;c=444444", "offset 25")</f>
        <v>offset 25</v>
      </c>
    </row>
    <row r="7611" customFormat="false" ht="12.8" hidden="false" customHeight="false" outlineLevel="0" collapsed="false">
      <c r="A7611" s="0" t="s">
        <v>12</v>
      </c>
      <c r="B7611" s="0" t="n">
        <v>2146666</v>
      </c>
      <c r="C7611" s="0" t="n">
        <v>2146686</v>
      </c>
      <c r="D7611" s="0" t="s">
        <v>25429</v>
      </c>
      <c r="E7611" s="0" t="s">
        <v>25430</v>
      </c>
      <c r="F7611" s="0" t="s">
        <v>15</v>
      </c>
      <c r="G7611" s="0" t="s">
        <v>36</v>
      </c>
      <c r="H7611" s="0" t="n">
        <v>51</v>
      </c>
      <c r="I7611" s="0" t="s">
        <v>25437</v>
      </c>
      <c r="J7611" s="0" t="s">
        <v>25438</v>
      </c>
      <c r="K7611" s="0" t="s">
        <v>25439</v>
      </c>
      <c r="L7611" s="0" t="str">
        <f aca="false">HYPERLINK("https://www.ncbi.nlm.nih.gov/nuccore/CP000304.1?report=graph&amp;tracks=[key:gene_model_track,Options:GeneOnly]&amp;mk=2146617:2146636|offset_1|444444,2146641:2146660|offset_25|444444,2146667:2146686|offset_51|00cc00,2146700:2146719|offset_84|444444&amp;v=2146416:2146919&amp;c=444444", "offset 51")</f>
        <v>offset 51</v>
      </c>
    </row>
    <row r="7612" customFormat="false" ht="12.8" hidden="false" customHeight="false" outlineLevel="0" collapsed="false">
      <c r="A7612" s="0" t="s">
        <v>12</v>
      </c>
      <c r="B7612" s="0" t="n">
        <v>2146699</v>
      </c>
      <c r="C7612" s="0" t="n">
        <v>2146719</v>
      </c>
      <c r="D7612" s="0" t="s">
        <v>25429</v>
      </c>
      <c r="E7612" s="0" t="s">
        <v>25430</v>
      </c>
      <c r="F7612" s="0" t="s">
        <v>15</v>
      </c>
      <c r="G7612" s="0" t="s">
        <v>16</v>
      </c>
      <c r="H7612" s="0" t="n">
        <v>84</v>
      </c>
      <c r="I7612" s="0" t="s">
        <v>25440</v>
      </c>
      <c r="J7612" s="0" t="s">
        <v>25441</v>
      </c>
      <c r="K7612" s="0" t="s">
        <v>25442</v>
      </c>
      <c r="L7612" s="0" t="str">
        <f aca="false">HYPERLINK("https://www.ncbi.nlm.nih.gov/nuccore/CP000304.1?report=graph&amp;tracks=[key:gene_model_track,Options:GeneOnly]&amp;mk=2146617:2146636|offset_1|444444,2146641:2146660|offset_25|444444,2146667:2146686|offset_51|444444,2146700:2146719|offset_84|00cc00&amp;v=2146416:2146919&amp;c=444444", "offset 84")</f>
        <v>offset 84</v>
      </c>
    </row>
    <row r="7613" customFormat="false" ht="12.8" hidden="false" customHeight="false" outlineLevel="0" collapsed="false">
      <c r="A7613" s="0" t="s">
        <v>12</v>
      </c>
      <c r="B7613" s="0" t="n">
        <v>2149426</v>
      </c>
      <c r="C7613" s="0" t="n">
        <v>2149446</v>
      </c>
      <c r="D7613" s="0" t="s">
        <v>25443</v>
      </c>
      <c r="E7613" s="0" t="s">
        <v>89</v>
      </c>
      <c r="F7613" s="0" t="s">
        <v>15</v>
      </c>
      <c r="G7613" s="0" t="s">
        <v>16</v>
      </c>
      <c r="H7613" s="0" t="n">
        <v>22</v>
      </c>
      <c r="I7613" s="0" t="s">
        <v>25444</v>
      </c>
      <c r="J7613" s="0" t="s">
        <v>25445</v>
      </c>
      <c r="K7613" s="0" t="s">
        <v>25446</v>
      </c>
      <c r="L7613" s="0" t="str">
        <f aca="false">HYPERLINK("https://www.ncbi.nlm.nih.gov/nuccore/CP000304.1?report=graph&amp;tracks=[key:gene_model_track,Options:GeneOnly]&amp;mk=2149427:2149446|offset_22|00cc00,2149451:2149470|offset_46|444444,2149475:2149494|offset_70|444444,2149526:2149545|offset_121|444444&amp;v=2149226:2149745&amp;c=444444", "offset 22")</f>
        <v>offset 22</v>
      </c>
    </row>
    <row r="7614" customFormat="false" ht="12.8" hidden="false" customHeight="false" outlineLevel="0" collapsed="false">
      <c r="A7614" s="0" t="s">
        <v>12</v>
      </c>
      <c r="B7614" s="0" t="n">
        <v>2149450</v>
      </c>
      <c r="C7614" s="0" t="n">
        <v>2149470</v>
      </c>
      <c r="D7614" s="0" t="s">
        <v>25443</v>
      </c>
      <c r="E7614" s="0" t="s">
        <v>89</v>
      </c>
      <c r="F7614" s="0" t="s">
        <v>15</v>
      </c>
      <c r="G7614" s="0" t="s">
        <v>36</v>
      </c>
      <c r="H7614" s="0" t="n">
        <v>46</v>
      </c>
      <c r="I7614" s="0" t="s">
        <v>25447</v>
      </c>
      <c r="J7614" s="0" t="s">
        <v>25448</v>
      </c>
      <c r="K7614" s="0" t="s">
        <v>25449</v>
      </c>
      <c r="L7614" s="0" t="str">
        <f aca="false">HYPERLINK("https://www.ncbi.nlm.nih.gov/nuccore/CP000304.1?report=graph&amp;tracks=[key:gene_model_track,Options:GeneOnly]&amp;mk=2149427:2149446|offset_22|444444,2149451:2149470|offset_46|00cc00,2149475:2149494|offset_70|444444,2149526:2149545|offset_121|444444&amp;v=2149226:2149745&amp;c=444444", "offset 46")</f>
        <v>offset 46</v>
      </c>
    </row>
    <row r="7615" customFormat="false" ht="12.8" hidden="false" customHeight="false" outlineLevel="0" collapsed="false">
      <c r="A7615" s="0" t="s">
        <v>12</v>
      </c>
      <c r="B7615" s="0" t="n">
        <v>2149474</v>
      </c>
      <c r="C7615" s="0" t="n">
        <v>2149494</v>
      </c>
      <c r="D7615" s="0" t="s">
        <v>25443</v>
      </c>
      <c r="E7615" s="0" t="s">
        <v>89</v>
      </c>
      <c r="F7615" s="0" t="s">
        <v>15</v>
      </c>
      <c r="G7615" s="0" t="s">
        <v>16</v>
      </c>
      <c r="H7615" s="0" t="n">
        <v>70</v>
      </c>
      <c r="I7615" s="0" t="s">
        <v>25450</v>
      </c>
      <c r="J7615" s="0" t="s">
        <v>25451</v>
      </c>
      <c r="K7615" s="0" t="s">
        <v>25452</v>
      </c>
      <c r="L7615" s="0" t="str">
        <f aca="false">HYPERLINK("https://www.ncbi.nlm.nih.gov/nuccore/CP000304.1?report=graph&amp;tracks=[key:gene_model_track,Options:GeneOnly]&amp;mk=2149427:2149446|offset_22|444444,2149451:2149470|offset_46|444444,2149475:2149494|offset_70|00cc00,2149526:2149545|offset_121|444444&amp;v=2149226:2149745&amp;c=444444", "offset 70")</f>
        <v>offset 70</v>
      </c>
    </row>
    <row r="7616" customFormat="false" ht="12.8" hidden="false" customHeight="false" outlineLevel="0" collapsed="false">
      <c r="A7616" s="0" t="s">
        <v>12</v>
      </c>
      <c r="B7616" s="0" t="n">
        <v>2149525</v>
      </c>
      <c r="C7616" s="0" t="n">
        <v>2149545</v>
      </c>
      <c r="D7616" s="0" t="s">
        <v>25443</v>
      </c>
      <c r="E7616" s="0" t="s">
        <v>89</v>
      </c>
      <c r="F7616" s="0" t="s">
        <v>15</v>
      </c>
      <c r="G7616" s="0" t="s">
        <v>32</v>
      </c>
      <c r="H7616" s="0" t="n">
        <v>121</v>
      </c>
      <c r="I7616" s="0" t="s">
        <v>25453</v>
      </c>
      <c r="J7616" s="0" t="s">
        <v>25454</v>
      </c>
      <c r="K7616" s="0" t="s">
        <v>25455</v>
      </c>
      <c r="L7616" s="0" t="str">
        <f aca="false">HYPERLINK("https://www.ncbi.nlm.nih.gov/nuccore/CP000304.1?report=graph&amp;tracks=[key:gene_model_track,Options:GeneOnly]&amp;mk=2149427:2149446|offset_22|444444,2149451:2149470|offset_46|444444,2149475:2149494|offset_70|444444,2149526:2149545|offset_121|00cc00&amp;v=2149226:2149745&amp;c=444444", "offset 121")</f>
        <v>offset 121</v>
      </c>
    </row>
    <row r="7617" customFormat="false" ht="12.8" hidden="false" customHeight="false" outlineLevel="0" collapsed="false">
      <c r="A7617" s="0" t="s">
        <v>12</v>
      </c>
      <c r="B7617" s="0" t="n">
        <v>2150952</v>
      </c>
      <c r="C7617" s="0" t="n">
        <v>2150972</v>
      </c>
      <c r="D7617" s="0" t="s">
        <v>25456</v>
      </c>
      <c r="E7617" s="0" t="s">
        <v>89</v>
      </c>
      <c r="F7617" s="0" t="s">
        <v>15</v>
      </c>
      <c r="G7617" s="0" t="s">
        <v>16</v>
      </c>
      <c r="H7617" s="0" t="n">
        <v>7</v>
      </c>
      <c r="I7617" s="0" t="s">
        <v>25457</v>
      </c>
      <c r="J7617" s="0" t="s">
        <v>25458</v>
      </c>
      <c r="K7617" s="0" t="s">
        <v>25459</v>
      </c>
      <c r="L7617" s="0" t="str">
        <f aca="false">HYPERLINK("https://www.ncbi.nlm.nih.gov/nuccore/CP000304.1?report=graph&amp;tracks=[key:gene_model_track,Options:GeneOnly]&amp;mk=2150953:2150972|offset_7|00cc00,2150992:2151011|offset_46|444444,2151043:2151062|offset_97|444444,2151101:2151120|offset_155|444444&amp;v=2150752:2151320&amp;c=444444", "offset 7")</f>
        <v>offset 7</v>
      </c>
    </row>
    <row r="7618" customFormat="false" ht="12.8" hidden="false" customHeight="false" outlineLevel="0" collapsed="false">
      <c r="A7618" s="0" t="s">
        <v>12</v>
      </c>
      <c r="B7618" s="0" t="n">
        <v>2150991</v>
      </c>
      <c r="C7618" s="0" t="n">
        <v>2151011</v>
      </c>
      <c r="D7618" s="0" t="s">
        <v>25456</v>
      </c>
      <c r="E7618" s="0" t="s">
        <v>89</v>
      </c>
      <c r="F7618" s="0" t="s">
        <v>15</v>
      </c>
      <c r="G7618" s="0" t="s">
        <v>36</v>
      </c>
      <c r="H7618" s="0" t="n">
        <v>46</v>
      </c>
      <c r="I7618" s="0" t="s">
        <v>25460</v>
      </c>
      <c r="J7618" s="0" t="s">
        <v>25461</v>
      </c>
      <c r="K7618" s="0" t="s">
        <v>25462</v>
      </c>
      <c r="L7618" s="0" t="str">
        <f aca="false">HYPERLINK("https://www.ncbi.nlm.nih.gov/nuccore/CP000304.1?report=graph&amp;tracks=[key:gene_model_track,Options:GeneOnly]&amp;mk=2150953:2150972|offset_7|444444,2150992:2151011|offset_46|00cc00,2151043:2151062|offset_97|444444,2151101:2151120|offset_155|444444&amp;v=2150752:2151320&amp;c=444444", "offset 46")</f>
        <v>offset 46</v>
      </c>
    </row>
    <row r="7619" customFormat="false" ht="12.8" hidden="false" customHeight="false" outlineLevel="0" collapsed="false">
      <c r="A7619" s="0" t="s">
        <v>12</v>
      </c>
      <c r="B7619" s="0" t="n">
        <v>2151042</v>
      </c>
      <c r="C7619" s="0" t="n">
        <v>2151062</v>
      </c>
      <c r="D7619" s="0" t="s">
        <v>25456</v>
      </c>
      <c r="E7619" s="0" t="s">
        <v>89</v>
      </c>
      <c r="F7619" s="0" t="s">
        <v>15</v>
      </c>
      <c r="G7619" s="0" t="s">
        <v>16</v>
      </c>
      <c r="H7619" s="0" t="n">
        <v>97</v>
      </c>
      <c r="I7619" s="0" t="s">
        <v>25463</v>
      </c>
      <c r="J7619" s="0" t="s">
        <v>25464</v>
      </c>
      <c r="K7619" s="0" t="s">
        <v>25465</v>
      </c>
      <c r="L7619" s="0" t="str">
        <f aca="false">HYPERLINK("https://www.ncbi.nlm.nih.gov/nuccore/CP000304.1?report=graph&amp;tracks=[key:gene_model_track,Options:GeneOnly]&amp;mk=2150953:2150972|offset_7|444444,2150992:2151011|offset_46|444444,2151043:2151062|offset_97|00cc00,2151101:2151120|offset_155|444444&amp;v=2150752:2151320&amp;c=444444", "offset 97")</f>
        <v>offset 97</v>
      </c>
    </row>
    <row r="7620" customFormat="false" ht="12.8" hidden="false" customHeight="false" outlineLevel="0" collapsed="false">
      <c r="A7620" s="0" t="s">
        <v>12</v>
      </c>
      <c r="B7620" s="0" t="n">
        <v>2151100</v>
      </c>
      <c r="C7620" s="0" t="n">
        <v>2151120</v>
      </c>
      <c r="D7620" s="0" t="s">
        <v>25456</v>
      </c>
      <c r="E7620" s="0" t="s">
        <v>89</v>
      </c>
      <c r="F7620" s="0" t="s">
        <v>15</v>
      </c>
      <c r="G7620" s="0" t="s">
        <v>26</v>
      </c>
      <c r="H7620" s="0" t="n">
        <v>155</v>
      </c>
      <c r="I7620" s="0" t="s">
        <v>25466</v>
      </c>
      <c r="J7620" s="0" t="s">
        <v>25467</v>
      </c>
      <c r="K7620" s="0" t="s">
        <v>25468</v>
      </c>
      <c r="L7620" s="0" t="str">
        <f aca="false">HYPERLINK("https://www.ncbi.nlm.nih.gov/nuccore/CP000304.1?report=graph&amp;tracks=[key:gene_model_track,Options:GeneOnly]&amp;mk=2150953:2150972|offset_7|444444,2150992:2151011|offset_46|444444,2151043:2151062|offset_97|444444,2151101:2151120|offset_155|00cc00&amp;v=2150752:2151320&amp;c=444444", "offset 155")</f>
        <v>offset 155</v>
      </c>
    </row>
    <row r="7621" customFormat="false" ht="12.8" hidden="false" customHeight="false" outlineLevel="0" collapsed="false">
      <c r="A7621" s="0" t="s">
        <v>12</v>
      </c>
      <c r="B7621" s="0" t="n">
        <v>2152093</v>
      </c>
      <c r="C7621" s="0" t="n">
        <v>2152113</v>
      </c>
      <c r="D7621" s="0" t="s">
        <v>25469</v>
      </c>
      <c r="E7621" s="0" t="s">
        <v>89</v>
      </c>
      <c r="F7621" s="0" t="s">
        <v>15</v>
      </c>
      <c r="G7621" s="0" t="s">
        <v>16</v>
      </c>
      <c r="H7621" s="0" t="n">
        <v>91</v>
      </c>
      <c r="I7621" s="0" t="s">
        <v>25470</v>
      </c>
      <c r="J7621" s="0" t="s">
        <v>25471</v>
      </c>
      <c r="K7621" s="0" t="s">
        <v>25472</v>
      </c>
      <c r="L7621" s="0" t="str">
        <f aca="false">HYPERLINK("https://www.ncbi.nlm.nih.gov/nuccore/CP000304.1?report=graph&amp;tracks=[key:gene_model_track,Options:GeneOnly]&amp;mk=2152094:2152113|offset_91|00cc00,2152160:2152179|offset_157|444444,2152181:2152200|offset_178|444444,2152217:2152236|offset_214|444444&amp;v=2151893:2152436&amp;c=444444", "offset 91")</f>
        <v>offset 91</v>
      </c>
    </row>
    <row r="7622" customFormat="false" ht="12.8" hidden="false" customHeight="false" outlineLevel="0" collapsed="false">
      <c r="A7622" s="0" t="s">
        <v>12</v>
      </c>
      <c r="B7622" s="0" t="n">
        <v>2152159</v>
      </c>
      <c r="C7622" s="0" t="n">
        <v>2152179</v>
      </c>
      <c r="D7622" s="0" t="s">
        <v>25469</v>
      </c>
      <c r="E7622" s="0" t="s">
        <v>89</v>
      </c>
      <c r="F7622" s="0" t="s">
        <v>15</v>
      </c>
      <c r="G7622" s="0" t="s">
        <v>32</v>
      </c>
      <c r="H7622" s="0" t="n">
        <v>157</v>
      </c>
      <c r="I7622" s="0" t="s">
        <v>25473</v>
      </c>
      <c r="J7622" s="0" t="s">
        <v>25474</v>
      </c>
      <c r="K7622" s="0" t="s">
        <v>25475</v>
      </c>
      <c r="L7622" s="0" t="str">
        <f aca="false">HYPERLINK("https://www.ncbi.nlm.nih.gov/nuccore/CP000304.1?report=graph&amp;tracks=[key:gene_model_track,Options:GeneOnly]&amp;mk=2152094:2152113|offset_91|444444,2152160:2152179|offset_157|00cc00,2152181:2152200|offset_178|444444,2152217:2152236|offset_214|444444&amp;v=2151893:2152436&amp;c=444444", "offset 157")</f>
        <v>offset 157</v>
      </c>
    </row>
    <row r="7623" customFormat="false" ht="12.8" hidden="false" customHeight="false" outlineLevel="0" collapsed="false">
      <c r="A7623" s="0" t="s">
        <v>12</v>
      </c>
      <c r="B7623" s="0" t="n">
        <v>2152180</v>
      </c>
      <c r="C7623" s="0" t="n">
        <v>2152200</v>
      </c>
      <c r="D7623" s="0" t="s">
        <v>25469</v>
      </c>
      <c r="E7623" s="0" t="s">
        <v>89</v>
      </c>
      <c r="F7623" s="0" t="s">
        <v>15</v>
      </c>
      <c r="G7623" s="0" t="s">
        <v>26</v>
      </c>
      <c r="H7623" s="0" t="n">
        <v>178</v>
      </c>
      <c r="I7623" s="0" t="s">
        <v>25476</v>
      </c>
      <c r="J7623" s="0" t="s">
        <v>25477</v>
      </c>
      <c r="K7623" s="0" t="s">
        <v>25478</v>
      </c>
      <c r="L7623" s="0" t="str">
        <f aca="false">HYPERLINK("https://www.ncbi.nlm.nih.gov/nuccore/CP000304.1?report=graph&amp;tracks=[key:gene_model_track,Options:GeneOnly]&amp;mk=2152094:2152113|offset_91|444444,2152160:2152179|offset_157|444444,2152181:2152200|offset_178|00cc00,2152217:2152236|offset_214|444444&amp;v=2151893:2152436&amp;c=444444", "offset 178")</f>
        <v>offset 178</v>
      </c>
    </row>
    <row r="7624" customFormat="false" ht="12.8" hidden="false" customHeight="false" outlineLevel="0" collapsed="false">
      <c r="A7624" s="0" t="s">
        <v>12</v>
      </c>
      <c r="B7624" s="0" t="n">
        <v>2152216</v>
      </c>
      <c r="C7624" s="0" t="n">
        <v>2152236</v>
      </c>
      <c r="D7624" s="0" t="s">
        <v>25469</v>
      </c>
      <c r="E7624" s="0" t="s">
        <v>89</v>
      </c>
      <c r="F7624" s="0" t="s">
        <v>15</v>
      </c>
      <c r="G7624" s="0" t="s">
        <v>16</v>
      </c>
      <c r="H7624" s="0" t="n">
        <v>214</v>
      </c>
      <c r="I7624" s="0" t="s">
        <v>25479</v>
      </c>
      <c r="J7624" s="0" t="s">
        <v>25480</v>
      </c>
      <c r="K7624" s="0" t="s">
        <v>25481</v>
      </c>
      <c r="L7624" s="0" t="str">
        <f aca="false">HYPERLINK("https://www.ncbi.nlm.nih.gov/nuccore/CP000304.1?report=graph&amp;tracks=[key:gene_model_track,Options:GeneOnly]&amp;mk=2152094:2152113|offset_91|444444,2152160:2152179|offset_157|444444,2152181:2152200|offset_178|444444,2152217:2152236|offset_214|00cc00&amp;v=2151893:2152436&amp;c=444444", "offset 214")</f>
        <v>offset 214</v>
      </c>
    </row>
    <row r="7625" customFormat="false" ht="12.8" hidden="false" customHeight="false" outlineLevel="0" collapsed="false">
      <c r="A7625" s="0" t="s">
        <v>12</v>
      </c>
      <c r="B7625" s="0" t="n">
        <v>2155634</v>
      </c>
      <c r="C7625" s="0" t="n">
        <v>2155654</v>
      </c>
      <c r="D7625" s="0" t="s">
        <v>25482</v>
      </c>
      <c r="E7625" s="0" t="s">
        <v>89</v>
      </c>
      <c r="F7625" s="0" t="s">
        <v>90</v>
      </c>
      <c r="G7625" s="0" t="s">
        <v>32</v>
      </c>
      <c r="H7625" s="0" t="n">
        <v>23</v>
      </c>
      <c r="I7625" s="0" t="s">
        <v>25483</v>
      </c>
      <c r="J7625" s="0" t="s">
        <v>25484</v>
      </c>
      <c r="K7625" s="0" t="s">
        <v>25485</v>
      </c>
      <c r="L7625" s="0" t="str">
        <f aca="false">HYPERLINK("https://www.ncbi.nlm.nih.gov/nuccore/CP000304.1?report=graph&amp;tracks=[key:gene_model_track,Options:GeneOnly]&amp;mk=2155635:2155654|offset_23|00cc00,2155608:2155627|offset_50|444444,2155579:2155598|offset_79|444444,2155556:2155575|offset_102|444444&amp;v=2155434:2155775&amp;c=444444", "offset 23")</f>
        <v>offset 23</v>
      </c>
    </row>
    <row r="7626" customFormat="false" ht="12.8" hidden="false" customHeight="false" outlineLevel="0" collapsed="false">
      <c r="A7626" s="0" t="s">
        <v>12</v>
      </c>
      <c r="B7626" s="0" t="n">
        <v>2155607</v>
      </c>
      <c r="C7626" s="0" t="n">
        <v>2155627</v>
      </c>
      <c r="D7626" s="0" t="s">
        <v>25482</v>
      </c>
      <c r="E7626" s="0" t="s">
        <v>89</v>
      </c>
      <c r="F7626" s="0" t="s">
        <v>90</v>
      </c>
      <c r="G7626" s="0" t="s">
        <v>16</v>
      </c>
      <c r="H7626" s="0" t="n">
        <v>50</v>
      </c>
      <c r="I7626" s="0" t="s">
        <v>25486</v>
      </c>
      <c r="J7626" s="0" t="s">
        <v>25487</v>
      </c>
      <c r="K7626" s="0" t="s">
        <v>25488</v>
      </c>
      <c r="L7626" s="0" t="str">
        <f aca="false">HYPERLINK("https://www.ncbi.nlm.nih.gov/nuccore/CP000304.1?report=graph&amp;tracks=[key:gene_model_track,Options:GeneOnly]&amp;mk=2155635:2155654|offset_23|444444,2155608:2155627|offset_50|00cc00,2155579:2155598|offset_79|444444,2155556:2155575|offset_102|444444&amp;v=2155434:2155775&amp;c=444444", "offset 50")</f>
        <v>offset 50</v>
      </c>
    </row>
    <row r="7627" customFormat="false" ht="12.8" hidden="false" customHeight="false" outlineLevel="0" collapsed="false">
      <c r="A7627" s="0" t="s">
        <v>12</v>
      </c>
      <c r="B7627" s="0" t="n">
        <v>2155578</v>
      </c>
      <c r="C7627" s="0" t="n">
        <v>2155598</v>
      </c>
      <c r="D7627" s="0" t="s">
        <v>25482</v>
      </c>
      <c r="E7627" s="0" t="s">
        <v>89</v>
      </c>
      <c r="F7627" s="0" t="s">
        <v>90</v>
      </c>
      <c r="G7627" s="0" t="s">
        <v>32</v>
      </c>
      <c r="H7627" s="0" t="n">
        <v>79</v>
      </c>
      <c r="I7627" s="0" t="s">
        <v>25489</v>
      </c>
      <c r="J7627" s="0" t="s">
        <v>25490</v>
      </c>
      <c r="K7627" s="0" t="s">
        <v>25491</v>
      </c>
      <c r="L7627" s="0" t="str">
        <f aca="false">HYPERLINK("https://www.ncbi.nlm.nih.gov/nuccore/CP000304.1?report=graph&amp;tracks=[key:gene_model_track,Options:GeneOnly]&amp;mk=2155635:2155654|offset_23|444444,2155608:2155627|offset_50|444444,2155579:2155598|offset_79|00cc00,2155556:2155575|offset_102|444444&amp;v=2155434:2155775&amp;c=444444", "offset 79")</f>
        <v>offset 79</v>
      </c>
    </row>
    <row r="7628" customFormat="false" ht="12.8" hidden="false" customHeight="false" outlineLevel="0" collapsed="false">
      <c r="A7628" s="0" t="s">
        <v>12</v>
      </c>
      <c r="B7628" s="0" t="n">
        <v>2155555</v>
      </c>
      <c r="C7628" s="0" t="n">
        <v>2155575</v>
      </c>
      <c r="D7628" s="0" t="s">
        <v>25482</v>
      </c>
      <c r="E7628" s="0" t="s">
        <v>89</v>
      </c>
      <c r="F7628" s="0" t="s">
        <v>90</v>
      </c>
      <c r="G7628" s="0" t="s">
        <v>16</v>
      </c>
      <c r="H7628" s="0" t="n">
        <v>102</v>
      </c>
      <c r="I7628" s="0" t="s">
        <v>25492</v>
      </c>
      <c r="J7628" s="0" t="s">
        <v>25493</v>
      </c>
      <c r="K7628" s="0" t="s">
        <v>25494</v>
      </c>
      <c r="L7628" s="0" t="str">
        <f aca="false">HYPERLINK("https://www.ncbi.nlm.nih.gov/nuccore/CP000304.1?report=graph&amp;tracks=[key:gene_model_track,Options:GeneOnly]&amp;mk=2155635:2155654|offset_23|444444,2155608:2155627|offset_50|444444,2155579:2155598|offset_79|444444,2155556:2155575|offset_102|00cc00&amp;v=2155434:2155775&amp;c=444444", "offset 102")</f>
        <v>offset 102</v>
      </c>
    </row>
    <row r="7629" customFormat="false" ht="12.8" hidden="false" customHeight="false" outlineLevel="0" collapsed="false">
      <c r="A7629" s="0" t="s">
        <v>12</v>
      </c>
      <c r="B7629" s="0" t="n">
        <v>2156532</v>
      </c>
      <c r="C7629" s="0" t="n">
        <v>2156552</v>
      </c>
      <c r="D7629" s="0" t="s">
        <v>25495</v>
      </c>
      <c r="E7629" s="0" t="s">
        <v>89</v>
      </c>
      <c r="F7629" s="0" t="s">
        <v>90</v>
      </c>
      <c r="G7629" s="0" t="s">
        <v>16</v>
      </c>
      <c r="H7629" s="0" t="n">
        <v>31</v>
      </c>
      <c r="I7629" s="0" t="s">
        <v>25496</v>
      </c>
      <c r="J7629" s="0" t="s">
        <v>25497</v>
      </c>
      <c r="K7629" s="0" t="s">
        <v>25498</v>
      </c>
      <c r="L7629" s="0" t="str">
        <f aca="false">HYPERLINK("https://www.ncbi.nlm.nih.gov/nuccore/CP000304.1?report=graph&amp;tracks=[key:gene_model_track,Options:GeneOnly]&amp;mk=2156533:2156552|offset_31|00cc00,2156512:2156531|offset_52|444444,2156483:2156502|offset_81|444444,2156456:2156475|offset_108|444444&amp;v=2156332:2156675&amp;c=444444", "offset 31")</f>
        <v>offset 31</v>
      </c>
    </row>
    <row r="7630" customFormat="false" ht="12.8" hidden="false" customHeight="false" outlineLevel="0" collapsed="false">
      <c r="A7630" s="0" t="s">
        <v>12</v>
      </c>
      <c r="B7630" s="0" t="n">
        <v>2156511</v>
      </c>
      <c r="C7630" s="0" t="n">
        <v>2156531</v>
      </c>
      <c r="D7630" s="0" t="s">
        <v>25495</v>
      </c>
      <c r="E7630" s="0" t="s">
        <v>89</v>
      </c>
      <c r="F7630" s="0" t="s">
        <v>90</v>
      </c>
      <c r="G7630" s="0" t="s">
        <v>16</v>
      </c>
      <c r="H7630" s="0" t="n">
        <v>52</v>
      </c>
      <c r="I7630" s="0" t="s">
        <v>25499</v>
      </c>
      <c r="J7630" s="0" t="s">
        <v>25500</v>
      </c>
      <c r="K7630" s="0" t="s">
        <v>25501</v>
      </c>
      <c r="L7630" s="0" t="str">
        <f aca="false">HYPERLINK("https://www.ncbi.nlm.nih.gov/nuccore/CP000304.1?report=graph&amp;tracks=[key:gene_model_track,Options:GeneOnly]&amp;mk=2156533:2156552|offset_31|444444,2156512:2156531|offset_52|00cc00,2156483:2156502|offset_81|444444,2156456:2156475|offset_108|444444&amp;v=2156332:2156675&amp;c=444444", "offset 52")</f>
        <v>offset 52</v>
      </c>
    </row>
    <row r="7631" customFormat="false" ht="12.8" hidden="false" customHeight="false" outlineLevel="0" collapsed="false">
      <c r="A7631" s="0" t="s">
        <v>12</v>
      </c>
      <c r="B7631" s="0" t="n">
        <v>2156482</v>
      </c>
      <c r="C7631" s="0" t="n">
        <v>2156502</v>
      </c>
      <c r="D7631" s="0" t="s">
        <v>25495</v>
      </c>
      <c r="E7631" s="0" t="s">
        <v>89</v>
      </c>
      <c r="F7631" s="0" t="s">
        <v>90</v>
      </c>
      <c r="G7631" s="0" t="s">
        <v>16</v>
      </c>
      <c r="H7631" s="0" t="n">
        <v>81</v>
      </c>
      <c r="I7631" s="0" t="s">
        <v>25502</v>
      </c>
      <c r="J7631" s="0" t="s">
        <v>25503</v>
      </c>
      <c r="K7631" s="0" t="s">
        <v>25504</v>
      </c>
      <c r="L7631" s="0" t="str">
        <f aca="false">HYPERLINK("https://www.ncbi.nlm.nih.gov/nuccore/CP000304.1?report=graph&amp;tracks=[key:gene_model_track,Options:GeneOnly]&amp;mk=2156533:2156552|offset_31|444444,2156512:2156531|offset_52|444444,2156483:2156502|offset_81|00cc00,2156456:2156475|offset_108|444444&amp;v=2156332:2156675&amp;c=444444", "offset 81")</f>
        <v>offset 81</v>
      </c>
    </row>
    <row r="7632" customFormat="false" ht="12.8" hidden="false" customHeight="false" outlineLevel="0" collapsed="false">
      <c r="A7632" s="0" t="s">
        <v>12</v>
      </c>
      <c r="B7632" s="0" t="n">
        <v>2156455</v>
      </c>
      <c r="C7632" s="0" t="n">
        <v>2156475</v>
      </c>
      <c r="D7632" s="0" t="s">
        <v>25495</v>
      </c>
      <c r="E7632" s="0" t="s">
        <v>89</v>
      </c>
      <c r="F7632" s="0" t="s">
        <v>90</v>
      </c>
      <c r="G7632" s="0" t="s">
        <v>32</v>
      </c>
      <c r="H7632" s="0" t="n">
        <v>108</v>
      </c>
      <c r="I7632" s="0" t="s">
        <v>25505</v>
      </c>
      <c r="J7632" s="0" t="s">
        <v>25506</v>
      </c>
      <c r="K7632" s="0" t="s">
        <v>25507</v>
      </c>
      <c r="L7632" s="0" t="str">
        <f aca="false">HYPERLINK("https://www.ncbi.nlm.nih.gov/nuccore/CP000304.1?report=graph&amp;tracks=[key:gene_model_track,Options:GeneOnly]&amp;mk=2156533:2156552|offset_31|444444,2156512:2156531|offset_52|444444,2156483:2156502|offset_81|444444,2156456:2156475|offset_108|00cc00&amp;v=2156332:2156675&amp;c=444444", "offset 108")</f>
        <v>offset 108</v>
      </c>
    </row>
    <row r="7633" customFormat="false" ht="12.8" hidden="false" customHeight="false" outlineLevel="0" collapsed="false">
      <c r="A7633" s="0" t="s">
        <v>12</v>
      </c>
      <c r="B7633" s="0" t="n">
        <v>2157215</v>
      </c>
      <c r="C7633" s="0" t="n">
        <v>2157235</v>
      </c>
      <c r="D7633" s="0" t="s">
        <v>25508</v>
      </c>
      <c r="E7633" s="0" t="s">
        <v>89</v>
      </c>
      <c r="F7633" s="0" t="s">
        <v>90</v>
      </c>
      <c r="G7633" s="0" t="s">
        <v>16</v>
      </c>
      <c r="H7633" s="0" t="n">
        <v>1</v>
      </c>
      <c r="I7633" s="0" t="s">
        <v>25509</v>
      </c>
      <c r="J7633" s="0" t="s">
        <v>25510</v>
      </c>
      <c r="K7633" s="0" t="s">
        <v>25511</v>
      </c>
      <c r="L7633" s="0" t="str">
        <f aca="false">HYPERLINK("https://www.ncbi.nlm.nih.gov/nuccore/CP000304.1?report=graph&amp;tracks=[key:gene_model_track,Options:GeneOnly]&amp;mk=2157216:2157235|offset_1|00cc00,2157170:2157189|offset_47|444444,2157137:2157156|offset_80|444444,2157102:2157121|offset_115|444444&amp;v=2157015:2157321&amp;c=444444", "offset 1")</f>
        <v>offset 1</v>
      </c>
    </row>
    <row r="7634" customFormat="false" ht="12.8" hidden="false" customHeight="false" outlineLevel="0" collapsed="false">
      <c r="A7634" s="0" t="s">
        <v>12</v>
      </c>
      <c r="B7634" s="0" t="n">
        <v>2157169</v>
      </c>
      <c r="C7634" s="0" t="n">
        <v>2157189</v>
      </c>
      <c r="D7634" s="0" t="s">
        <v>25508</v>
      </c>
      <c r="E7634" s="0" t="s">
        <v>89</v>
      </c>
      <c r="F7634" s="0" t="s">
        <v>90</v>
      </c>
      <c r="G7634" s="0" t="s">
        <v>36</v>
      </c>
      <c r="H7634" s="0" t="n">
        <v>47</v>
      </c>
      <c r="I7634" s="0" t="s">
        <v>25512</v>
      </c>
      <c r="J7634" s="0" t="s">
        <v>25513</v>
      </c>
      <c r="K7634" s="0" t="s">
        <v>25514</v>
      </c>
      <c r="L7634" s="0" t="str">
        <f aca="false">HYPERLINK("https://www.ncbi.nlm.nih.gov/nuccore/CP000304.1?report=graph&amp;tracks=[key:gene_model_track,Options:GeneOnly]&amp;mk=2157216:2157235|offset_1|444444,2157170:2157189|offset_47|00cc00,2157137:2157156|offset_80|444444,2157102:2157121|offset_115|444444&amp;v=2157015:2157321&amp;c=444444", "offset 47")</f>
        <v>offset 47</v>
      </c>
    </row>
    <row r="7635" customFormat="false" ht="12.8" hidden="false" customHeight="false" outlineLevel="0" collapsed="false">
      <c r="A7635" s="0" t="s">
        <v>12</v>
      </c>
      <c r="B7635" s="0" t="n">
        <v>2157136</v>
      </c>
      <c r="C7635" s="0" t="n">
        <v>2157156</v>
      </c>
      <c r="D7635" s="0" t="s">
        <v>25508</v>
      </c>
      <c r="E7635" s="0" t="s">
        <v>89</v>
      </c>
      <c r="F7635" s="0" t="s">
        <v>90</v>
      </c>
      <c r="G7635" s="0" t="s">
        <v>16</v>
      </c>
      <c r="H7635" s="0" t="n">
        <v>80</v>
      </c>
      <c r="I7635" s="0" t="s">
        <v>25515</v>
      </c>
      <c r="J7635" s="0" t="s">
        <v>25516</v>
      </c>
      <c r="K7635" s="0" t="s">
        <v>25517</v>
      </c>
      <c r="L7635" s="0" t="str">
        <f aca="false">HYPERLINK("https://www.ncbi.nlm.nih.gov/nuccore/CP000304.1?report=graph&amp;tracks=[key:gene_model_track,Options:GeneOnly]&amp;mk=2157216:2157235|offset_1|444444,2157170:2157189|offset_47|444444,2157137:2157156|offset_80|00cc00,2157102:2157121|offset_115|444444&amp;v=2157015:2157321&amp;c=444444", "offset 80")</f>
        <v>offset 80</v>
      </c>
    </row>
    <row r="7636" customFormat="false" ht="12.8" hidden="false" customHeight="false" outlineLevel="0" collapsed="false">
      <c r="A7636" s="0" t="s">
        <v>12</v>
      </c>
      <c r="B7636" s="0" t="n">
        <v>2157101</v>
      </c>
      <c r="C7636" s="0" t="n">
        <v>2157121</v>
      </c>
      <c r="D7636" s="0" t="s">
        <v>25508</v>
      </c>
      <c r="E7636" s="0" t="s">
        <v>89</v>
      </c>
      <c r="F7636" s="0" t="s">
        <v>90</v>
      </c>
      <c r="G7636" s="0" t="s">
        <v>36</v>
      </c>
      <c r="H7636" s="0" t="n">
        <v>115</v>
      </c>
      <c r="I7636" s="0" t="s">
        <v>25518</v>
      </c>
      <c r="J7636" s="0" t="s">
        <v>25519</v>
      </c>
      <c r="K7636" s="0" t="s">
        <v>25520</v>
      </c>
      <c r="L7636" s="0" t="str">
        <f aca="false">HYPERLINK("https://www.ncbi.nlm.nih.gov/nuccore/CP000304.1?report=graph&amp;tracks=[key:gene_model_track,Options:GeneOnly]&amp;mk=2157216:2157235|offset_1|444444,2157170:2157189|offset_47|444444,2157137:2157156|offset_80|444444,2157102:2157121|offset_115|00cc00&amp;v=2157015:2157321&amp;c=444444", "offset 115")</f>
        <v>offset 115</v>
      </c>
    </row>
    <row r="7637" customFormat="false" ht="12.8" hidden="false" customHeight="false" outlineLevel="0" collapsed="false">
      <c r="A7637" s="0" t="s">
        <v>12</v>
      </c>
      <c r="B7637" s="0" t="n">
        <v>2157699</v>
      </c>
      <c r="C7637" s="0" t="n">
        <v>2157719</v>
      </c>
      <c r="D7637" s="0" t="s">
        <v>25521</v>
      </c>
      <c r="E7637" s="0" t="s">
        <v>89</v>
      </c>
      <c r="F7637" s="0" t="s">
        <v>90</v>
      </c>
      <c r="G7637" s="0" t="s">
        <v>36</v>
      </c>
      <c r="H7637" s="0" t="n">
        <v>13</v>
      </c>
      <c r="I7637" s="0" t="s">
        <v>25522</v>
      </c>
      <c r="J7637" s="0" t="s">
        <v>25523</v>
      </c>
      <c r="K7637" s="0" t="s">
        <v>25524</v>
      </c>
      <c r="L7637" s="0" t="str">
        <f aca="false">HYPERLINK("https://www.ncbi.nlm.nih.gov/nuccore/CP000304.1?report=graph&amp;tracks=[key:gene_model_track,Options:GeneOnly]&amp;mk=2157700:2157719|offset_13|00cc00,2157674:2157693|offset_39|444444,2157619:2157638|offset_94|444444,2157573:2157592|offset_140|444444&amp;v=2157499:2157792&amp;c=444444", "offset 13")</f>
        <v>offset 13</v>
      </c>
    </row>
    <row r="7638" customFormat="false" ht="12.8" hidden="false" customHeight="false" outlineLevel="0" collapsed="false">
      <c r="A7638" s="0" t="s">
        <v>12</v>
      </c>
      <c r="B7638" s="0" t="n">
        <v>2157673</v>
      </c>
      <c r="C7638" s="0" t="n">
        <v>2157693</v>
      </c>
      <c r="D7638" s="0" t="s">
        <v>25521</v>
      </c>
      <c r="E7638" s="0" t="s">
        <v>89</v>
      </c>
      <c r="F7638" s="0" t="s">
        <v>90</v>
      </c>
      <c r="G7638" s="0" t="s">
        <v>36</v>
      </c>
      <c r="H7638" s="0" t="n">
        <v>39</v>
      </c>
      <c r="I7638" s="0" t="s">
        <v>25525</v>
      </c>
      <c r="J7638" s="0" t="s">
        <v>25526</v>
      </c>
      <c r="K7638" s="0" t="s">
        <v>25527</v>
      </c>
      <c r="L7638" s="0" t="str">
        <f aca="false">HYPERLINK("https://www.ncbi.nlm.nih.gov/nuccore/CP000304.1?report=graph&amp;tracks=[key:gene_model_track,Options:GeneOnly]&amp;mk=2157700:2157719|offset_13|444444,2157674:2157693|offset_39|00cc00,2157619:2157638|offset_94|444444,2157573:2157592|offset_140|444444&amp;v=2157499:2157792&amp;c=444444", "offset 39")</f>
        <v>offset 39</v>
      </c>
    </row>
    <row r="7639" customFormat="false" ht="12.8" hidden="false" customHeight="false" outlineLevel="0" collapsed="false">
      <c r="A7639" s="0" t="s">
        <v>12</v>
      </c>
      <c r="B7639" s="0" t="n">
        <v>2157618</v>
      </c>
      <c r="C7639" s="0" t="n">
        <v>2157638</v>
      </c>
      <c r="D7639" s="0" t="s">
        <v>25521</v>
      </c>
      <c r="E7639" s="0" t="s">
        <v>89</v>
      </c>
      <c r="F7639" s="0" t="s">
        <v>90</v>
      </c>
      <c r="G7639" s="0" t="s">
        <v>26</v>
      </c>
      <c r="H7639" s="0" t="n">
        <v>94</v>
      </c>
      <c r="I7639" s="0" t="s">
        <v>25528</v>
      </c>
      <c r="J7639" s="0" t="s">
        <v>25529</v>
      </c>
      <c r="K7639" s="0" t="s">
        <v>25530</v>
      </c>
      <c r="L7639" s="0" t="str">
        <f aca="false">HYPERLINK("https://www.ncbi.nlm.nih.gov/nuccore/CP000304.1?report=graph&amp;tracks=[key:gene_model_track,Options:GeneOnly]&amp;mk=2157700:2157719|offset_13|444444,2157674:2157693|offset_39|444444,2157619:2157638|offset_94|00cc00,2157573:2157592|offset_140|444444&amp;v=2157499:2157792&amp;c=444444", "offset 94")</f>
        <v>offset 94</v>
      </c>
    </row>
    <row r="7640" customFormat="false" ht="12.8" hidden="false" customHeight="false" outlineLevel="0" collapsed="false">
      <c r="A7640" s="0" t="s">
        <v>12</v>
      </c>
      <c r="B7640" s="0" t="n">
        <v>2157572</v>
      </c>
      <c r="C7640" s="0" t="n">
        <v>2157592</v>
      </c>
      <c r="D7640" s="0" t="s">
        <v>25521</v>
      </c>
      <c r="E7640" s="0" t="s">
        <v>89</v>
      </c>
      <c r="F7640" s="0" t="s">
        <v>90</v>
      </c>
      <c r="G7640" s="0" t="s">
        <v>32</v>
      </c>
      <c r="H7640" s="0" t="n">
        <v>140</v>
      </c>
      <c r="I7640" s="0" t="s">
        <v>25531</v>
      </c>
      <c r="J7640" s="0" t="s">
        <v>25532</v>
      </c>
      <c r="K7640" s="0" t="s">
        <v>25533</v>
      </c>
      <c r="L7640" s="0" t="str">
        <f aca="false">HYPERLINK("https://www.ncbi.nlm.nih.gov/nuccore/CP000304.1?report=graph&amp;tracks=[key:gene_model_track,Options:GeneOnly]&amp;mk=2157700:2157719|offset_13|444444,2157674:2157693|offset_39|444444,2157619:2157638|offset_94|444444,2157573:2157592|offset_140|00cc00&amp;v=2157499:2157792&amp;c=444444", "offset 140")</f>
        <v>offset 140</v>
      </c>
    </row>
    <row r="7641" customFormat="false" ht="12.8" hidden="false" customHeight="false" outlineLevel="0" collapsed="false">
      <c r="A7641" s="0" t="s">
        <v>12</v>
      </c>
      <c r="B7641" s="0" t="n">
        <v>2158381</v>
      </c>
      <c r="C7641" s="0" t="n">
        <v>2158401</v>
      </c>
      <c r="D7641" s="0" t="s">
        <v>25534</v>
      </c>
      <c r="E7641" s="0" t="s">
        <v>89</v>
      </c>
      <c r="F7641" s="0" t="s">
        <v>90</v>
      </c>
      <c r="G7641" s="0" t="s">
        <v>32</v>
      </c>
      <c r="H7641" s="0" t="n">
        <v>14</v>
      </c>
      <c r="I7641" s="0" t="s">
        <v>25535</v>
      </c>
      <c r="J7641" s="0" t="s">
        <v>25536</v>
      </c>
      <c r="K7641" s="0" t="s">
        <v>25537</v>
      </c>
      <c r="L7641" s="0" t="str">
        <f aca="false">HYPERLINK("https://www.ncbi.nlm.nih.gov/nuccore/CP000304.1?report=graph&amp;tracks=[key:gene_model_track,Options:GeneOnly]&amp;mk=2158382:2158401|offset_14|00cc00,2158322:2158341|offset_74|444444,2158302:2158321|offset_94|444444,2158278:2158297|offset_118|444444&amp;v=2158181:2158497&amp;c=444444", "offset 14")</f>
        <v>offset 14</v>
      </c>
    </row>
    <row r="7642" customFormat="false" ht="12.8" hidden="false" customHeight="false" outlineLevel="0" collapsed="false">
      <c r="A7642" s="0" t="s">
        <v>12</v>
      </c>
      <c r="B7642" s="0" t="n">
        <v>2158321</v>
      </c>
      <c r="C7642" s="0" t="n">
        <v>2158341</v>
      </c>
      <c r="D7642" s="0" t="s">
        <v>25534</v>
      </c>
      <c r="E7642" s="0" t="s">
        <v>89</v>
      </c>
      <c r="F7642" s="0" t="s">
        <v>90</v>
      </c>
      <c r="G7642" s="0" t="s">
        <v>32</v>
      </c>
      <c r="H7642" s="0" t="n">
        <v>74</v>
      </c>
      <c r="I7642" s="0" t="s">
        <v>25538</v>
      </c>
      <c r="J7642" s="0" t="s">
        <v>25539</v>
      </c>
      <c r="K7642" s="0" t="s">
        <v>25540</v>
      </c>
      <c r="L7642" s="0" t="str">
        <f aca="false">HYPERLINK("https://www.ncbi.nlm.nih.gov/nuccore/CP000304.1?report=graph&amp;tracks=[key:gene_model_track,Options:GeneOnly]&amp;mk=2158382:2158401|offset_14|444444,2158322:2158341|offset_74|00cc00,2158302:2158321|offset_94|444444,2158278:2158297|offset_118|444444&amp;v=2158181:2158497&amp;c=444444", "offset 74")</f>
        <v>offset 74</v>
      </c>
    </row>
    <row r="7643" customFormat="false" ht="12.8" hidden="false" customHeight="false" outlineLevel="0" collapsed="false">
      <c r="A7643" s="0" t="s">
        <v>12</v>
      </c>
      <c r="B7643" s="0" t="n">
        <v>2158301</v>
      </c>
      <c r="C7643" s="0" t="n">
        <v>2158321</v>
      </c>
      <c r="D7643" s="0" t="s">
        <v>25534</v>
      </c>
      <c r="E7643" s="0" t="s">
        <v>89</v>
      </c>
      <c r="F7643" s="0" t="s">
        <v>90</v>
      </c>
      <c r="G7643" s="0" t="s">
        <v>16</v>
      </c>
      <c r="H7643" s="0" t="n">
        <v>94</v>
      </c>
      <c r="I7643" s="0" t="s">
        <v>25541</v>
      </c>
      <c r="J7643" s="0" t="s">
        <v>25542</v>
      </c>
      <c r="K7643" s="0" t="s">
        <v>25543</v>
      </c>
      <c r="L7643" s="0" t="str">
        <f aca="false">HYPERLINK("https://www.ncbi.nlm.nih.gov/nuccore/CP000304.1?report=graph&amp;tracks=[key:gene_model_track,Options:GeneOnly]&amp;mk=2158382:2158401|offset_14|444444,2158322:2158341|offset_74|444444,2158302:2158321|offset_94|00cc00,2158278:2158297|offset_118|444444&amp;v=2158181:2158497&amp;c=444444", "offset 94")</f>
        <v>offset 94</v>
      </c>
    </row>
    <row r="7644" customFormat="false" ht="12.8" hidden="false" customHeight="false" outlineLevel="0" collapsed="false">
      <c r="A7644" s="0" t="s">
        <v>12</v>
      </c>
      <c r="B7644" s="0" t="n">
        <v>2158277</v>
      </c>
      <c r="C7644" s="0" t="n">
        <v>2158297</v>
      </c>
      <c r="D7644" s="0" t="s">
        <v>25534</v>
      </c>
      <c r="E7644" s="0" t="s">
        <v>89</v>
      </c>
      <c r="F7644" s="0" t="s">
        <v>90</v>
      </c>
      <c r="G7644" s="0" t="s">
        <v>16</v>
      </c>
      <c r="H7644" s="0" t="n">
        <v>118</v>
      </c>
      <c r="I7644" s="0" t="s">
        <v>25544</v>
      </c>
      <c r="J7644" s="0" t="s">
        <v>25545</v>
      </c>
      <c r="K7644" s="0" t="s">
        <v>25546</v>
      </c>
      <c r="L7644" s="0" t="str">
        <f aca="false">HYPERLINK("https://www.ncbi.nlm.nih.gov/nuccore/CP000304.1?report=graph&amp;tracks=[key:gene_model_track,Options:GeneOnly]&amp;mk=2158382:2158401|offset_14|444444,2158322:2158341|offset_74|444444,2158302:2158321|offset_94|444444,2158278:2158297|offset_118|00cc00&amp;v=2158181:2158497&amp;c=444444", "offset 118")</f>
        <v>offset 118</v>
      </c>
    </row>
    <row r="7645" customFormat="false" ht="12.8" hidden="false" customHeight="false" outlineLevel="0" collapsed="false">
      <c r="A7645" s="0" t="s">
        <v>12</v>
      </c>
      <c r="B7645" s="0" t="n">
        <v>2158504</v>
      </c>
      <c r="C7645" s="0" t="n">
        <v>2158524</v>
      </c>
      <c r="D7645" s="0" t="s">
        <v>25547</v>
      </c>
      <c r="E7645" s="0" t="s">
        <v>89</v>
      </c>
      <c r="F7645" s="0" t="s">
        <v>15</v>
      </c>
      <c r="G7645" s="0" t="s">
        <v>16</v>
      </c>
      <c r="H7645" s="0" t="n">
        <v>15</v>
      </c>
      <c r="I7645" s="0" t="s">
        <v>25548</v>
      </c>
      <c r="J7645" s="0" t="s">
        <v>25549</v>
      </c>
      <c r="K7645" s="0" t="s">
        <v>25550</v>
      </c>
      <c r="L7645" s="0" t="str">
        <f aca="false">HYPERLINK("https://www.ncbi.nlm.nih.gov/nuccore/CP000304.1?report=graph&amp;tracks=[key:gene_model_track,Options:GeneOnly]&amp;mk=2158505:2158524|offset_15|00cc00,2158528:2158547|offset_38|444444,2158569:2158588|offset_79|444444,2158606:2158625|offset_116|444444&amp;v=2158304:2158825&amp;c=444444", "offset 15")</f>
        <v>offset 15</v>
      </c>
    </row>
    <row r="7646" customFormat="false" ht="12.8" hidden="false" customHeight="false" outlineLevel="0" collapsed="false">
      <c r="A7646" s="0" t="s">
        <v>12</v>
      </c>
      <c r="B7646" s="0" t="n">
        <v>2158527</v>
      </c>
      <c r="C7646" s="0" t="n">
        <v>2158547</v>
      </c>
      <c r="D7646" s="0" t="s">
        <v>25547</v>
      </c>
      <c r="E7646" s="0" t="s">
        <v>89</v>
      </c>
      <c r="F7646" s="0" t="s">
        <v>15</v>
      </c>
      <c r="G7646" s="0" t="s">
        <v>26</v>
      </c>
      <c r="H7646" s="0" t="n">
        <v>38</v>
      </c>
      <c r="I7646" s="0" t="s">
        <v>25551</v>
      </c>
      <c r="J7646" s="0" t="s">
        <v>25552</v>
      </c>
      <c r="K7646" s="0" t="s">
        <v>25553</v>
      </c>
      <c r="L7646" s="0" t="str">
        <f aca="false">HYPERLINK("https://www.ncbi.nlm.nih.gov/nuccore/CP000304.1?report=graph&amp;tracks=[key:gene_model_track,Options:GeneOnly]&amp;mk=2158505:2158524|offset_15|444444,2158528:2158547|offset_38|00cc00,2158569:2158588|offset_79|444444,2158606:2158625|offset_116|444444&amp;v=2158304:2158825&amp;c=444444", "offset 38")</f>
        <v>offset 38</v>
      </c>
    </row>
    <row r="7647" customFormat="false" ht="12.8" hidden="false" customHeight="false" outlineLevel="0" collapsed="false">
      <c r="A7647" s="0" t="s">
        <v>12</v>
      </c>
      <c r="B7647" s="0" t="n">
        <v>2158568</v>
      </c>
      <c r="C7647" s="0" t="n">
        <v>2158588</v>
      </c>
      <c r="D7647" s="0" t="s">
        <v>25547</v>
      </c>
      <c r="E7647" s="0" t="s">
        <v>89</v>
      </c>
      <c r="F7647" s="0" t="s">
        <v>15</v>
      </c>
      <c r="G7647" s="0" t="s">
        <v>16</v>
      </c>
      <c r="H7647" s="0" t="n">
        <v>79</v>
      </c>
      <c r="I7647" s="0" t="s">
        <v>25554</v>
      </c>
      <c r="J7647" s="0" t="s">
        <v>25555</v>
      </c>
      <c r="K7647" s="0" t="s">
        <v>25556</v>
      </c>
      <c r="L7647" s="0" t="str">
        <f aca="false">HYPERLINK("https://www.ncbi.nlm.nih.gov/nuccore/CP000304.1?report=graph&amp;tracks=[key:gene_model_track,Options:GeneOnly]&amp;mk=2158505:2158524|offset_15|444444,2158528:2158547|offset_38|444444,2158569:2158588|offset_79|00cc00,2158606:2158625|offset_116|444444&amp;v=2158304:2158825&amp;c=444444", "offset 79")</f>
        <v>offset 79</v>
      </c>
    </row>
    <row r="7648" customFormat="false" ht="12.8" hidden="false" customHeight="false" outlineLevel="0" collapsed="false">
      <c r="A7648" s="0" t="s">
        <v>12</v>
      </c>
      <c r="B7648" s="0" t="n">
        <v>2158605</v>
      </c>
      <c r="C7648" s="0" t="n">
        <v>2158625</v>
      </c>
      <c r="D7648" s="0" t="s">
        <v>25547</v>
      </c>
      <c r="E7648" s="0" t="s">
        <v>89</v>
      </c>
      <c r="F7648" s="0" t="s">
        <v>15</v>
      </c>
      <c r="G7648" s="0" t="s">
        <v>26</v>
      </c>
      <c r="H7648" s="0" t="n">
        <v>116</v>
      </c>
      <c r="I7648" s="0" t="s">
        <v>25557</v>
      </c>
      <c r="J7648" s="0" t="s">
        <v>25558</v>
      </c>
      <c r="K7648" s="0" t="s">
        <v>25559</v>
      </c>
      <c r="L7648" s="0" t="str">
        <f aca="false">HYPERLINK("https://www.ncbi.nlm.nih.gov/nuccore/CP000304.1?report=graph&amp;tracks=[key:gene_model_track,Options:GeneOnly]&amp;mk=2158505:2158524|offset_15|444444,2158528:2158547|offset_38|444444,2158569:2158588|offset_79|444444,2158606:2158625|offset_116|00cc00&amp;v=2158304:2158825&amp;c=444444", "offset 116")</f>
        <v>offset 116</v>
      </c>
    </row>
    <row r="7649" customFormat="false" ht="12.8" hidden="false" customHeight="false" outlineLevel="0" collapsed="false">
      <c r="A7649" s="0" t="s">
        <v>12</v>
      </c>
      <c r="B7649" s="0" t="n">
        <v>2160367</v>
      </c>
      <c r="C7649" s="0" t="n">
        <v>2160387</v>
      </c>
      <c r="D7649" s="0" t="s">
        <v>25560</v>
      </c>
      <c r="E7649" s="0" t="s">
        <v>89</v>
      </c>
      <c r="F7649" s="0" t="s">
        <v>90</v>
      </c>
      <c r="G7649" s="0" t="s">
        <v>32</v>
      </c>
      <c r="H7649" s="0" t="n">
        <v>1</v>
      </c>
      <c r="I7649" s="0" t="s">
        <v>25561</v>
      </c>
      <c r="J7649" s="0" t="s">
        <v>25562</v>
      </c>
      <c r="K7649" s="0" t="s">
        <v>25563</v>
      </c>
      <c r="L7649" s="0" t="str">
        <f aca="false">HYPERLINK("https://www.ncbi.nlm.nih.gov/nuccore/CP000304.1?report=graph&amp;tracks=[key:gene_model_track,Options:GeneOnly]&amp;mk=2160368:2160387|offset_1|00cc00,2160340:2160359|offset_29|444444,2160304:2160323|offset_65|444444,2160278:2160297|offset_91|444444&amp;v=2160167:2160497&amp;c=444444", "offset 1")</f>
        <v>offset 1</v>
      </c>
    </row>
    <row r="7650" customFormat="false" ht="12.8" hidden="false" customHeight="false" outlineLevel="0" collapsed="false">
      <c r="A7650" s="0" t="s">
        <v>12</v>
      </c>
      <c r="B7650" s="0" t="n">
        <v>2160339</v>
      </c>
      <c r="C7650" s="0" t="n">
        <v>2160359</v>
      </c>
      <c r="D7650" s="0" t="s">
        <v>25560</v>
      </c>
      <c r="E7650" s="0" t="s">
        <v>89</v>
      </c>
      <c r="F7650" s="0" t="s">
        <v>90</v>
      </c>
      <c r="G7650" s="0" t="s">
        <v>32</v>
      </c>
      <c r="H7650" s="0" t="n">
        <v>29</v>
      </c>
      <c r="I7650" s="0" t="s">
        <v>25564</v>
      </c>
      <c r="J7650" s="0" t="s">
        <v>25565</v>
      </c>
      <c r="K7650" s="0" t="s">
        <v>25566</v>
      </c>
      <c r="L7650" s="0" t="str">
        <f aca="false">HYPERLINK("https://www.ncbi.nlm.nih.gov/nuccore/CP000304.1?report=graph&amp;tracks=[key:gene_model_track,Options:GeneOnly]&amp;mk=2160368:2160387|offset_1|444444,2160340:2160359|offset_29|00cc00,2160304:2160323|offset_65|444444,2160278:2160297|offset_91|444444&amp;v=2160167:2160497&amp;c=444444", "offset 29")</f>
        <v>offset 29</v>
      </c>
    </row>
    <row r="7651" customFormat="false" ht="12.8" hidden="false" customHeight="false" outlineLevel="0" collapsed="false">
      <c r="A7651" s="0" t="s">
        <v>12</v>
      </c>
      <c r="B7651" s="0" t="n">
        <v>2160303</v>
      </c>
      <c r="C7651" s="0" t="n">
        <v>2160323</v>
      </c>
      <c r="D7651" s="0" t="s">
        <v>25560</v>
      </c>
      <c r="E7651" s="0" t="s">
        <v>89</v>
      </c>
      <c r="F7651" s="0" t="s">
        <v>90</v>
      </c>
      <c r="G7651" s="0" t="s">
        <v>26</v>
      </c>
      <c r="H7651" s="0" t="n">
        <v>65</v>
      </c>
      <c r="I7651" s="0" t="s">
        <v>25567</v>
      </c>
      <c r="J7651" s="0" t="s">
        <v>25568</v>
      </c>
      <c r="K7651" s="0" t="s">
        <v>25569</v>
      </c>
      <c r="L7651" s="0" t="str">
        <f aca="false">HYPERLINK("https://www.ncbi.nlm.nih.gov/nuccore/CP000304.1?report=graph&amp;tracks=[key:gene_model_track,Options:GeneOnly]&amp;mk=2160368:2160387|offset_1|444444,2160340:2160359|offset_29|444444,2160304:2160323|offset_65|00cc00,2160278:2160297|offset_91|444444&amp;v=2160167:2160497&amp;c=444444", "offset 65")</f>
        <v>offset 65</v>
      </c>
    </row>
    <row r="7652" customFormat="false" ht="12.8" hidden="false" customHeight="false" outlineLevel="0" collapsed="false">
      <c r="A7652" s="0" t="s">
        <v>12</v>
      </c>
      <c r="B7652" s="0" t="n">
        <v>2160277</v>
      </c>
      <c r="C7652" s="0" t="n">
        <v>2160297</v>
      </c>
      <c r="D7652" s="0" t="s">
        <v>25560</v>
      </c>
      <c r="E7652" s="0" t="s">
        <v>89</v>
      </c>
      <c r="F7652" s="0" t="s">
        <v>90</v>
      </c>
      <c r="G7652" s="0" t="s">
        <v>32</v>
      </c>
      <c r="H7652" s="0" t="n">
        <v>91</v>
      </c>
      <c r="I7652" s="0" t="s">
        <v>25570</v>
      </c>
      <c r="J7652" s="0" t="s">
        <v>25571</v>
      </c>
      <c r="K7652" s="0" t="s">
        <v>25572</v>
      </c>
      <c r="L7652" s="0" t="str">
        <f aca="false">HYPERLINK("https://www.ncbi.nlm.nih.gov/nuccore/CP000304.1?report=graph&amp;tracks=[key:gene_model_track,Options:GeneOnly]&amp;mk=2160368:2160387|offset_1|444444,2160340:2160359|offset_29|444444,2160304:2160323|offset_65|444444,2160278:2160297|offset_91|00cc00&amp;v=2160167:2160497&amp;c=444444", "offset 91")</f>
        <v>offset 91</v>
      </c>
    </row>
    <row r="7653" customFormat="false" ht="12.8" hidden="false" customHeight="false" outlineLevel="0" collapsed="false">
      <c r="A7653" s="0" t="s">
        <v>12</v>
      </c>
      <c r="B7653" s="0" t="n">
        <v>2160879</v>
      </c>
      <c r="C7653" s="0" t="n">
        <v>2160899</v>
      </c>
      <c r="D7653" s="0" t="s">
        <v>25573</v>
      </c>
      <c r="E7653" s="0" t="s">
        <v>89</v>
      </c>
      <c r="F7653" s="0" t="s">
        <v>15</v>
      </c>
      <c r="G7653" s="0" t="s">
        <v>32</v>
      </c>
      <c r="H7653" s="0" t="n">
        <v>1</v>
      </c>
      <c r="I7653" s="0" t="s">
        <v>25574</v>
      </c>
      <c r="J7653" s="0" t="s">
        <v>25575</v>
      </c>
      <c r="K7653" s="0" t="s">
        <v>25576</v>
      </c>
      <c r="L7653" s="0" t="str">
        <f aca="false">HYPERLINK("https://www.ncbi.nlm.nih.gov/nuccore/CP000304.1?report=graph&amp;tracks=[key:gene_model_track,Options:GeneOnly]&amp;mk=2160880:2160899|offset_1|00cc00,2160900:2160919|offset_21|444444,2160920:2160939|offset_41|444444,2160966:2160985|offset_87|444444&amp;v=2160679:2161185&amp;c=444444", "offset 1")</f>
        <v>offset 1</v>
      </c>
    </row>
    <row r="7654" customFormat="false" ht="12.8" hidden="false" customHeight="false" outlineLevel="0" collapsed="false">
      <c r="A7654" s="0" t="s">
        <v>12</v>
      </c>
      <c r="B7654" s="0" t="n">
        <v>2160899</v>
      </c>
      <c r="C7654" s="0" t="n">
        <v>2160919</v>
      </c>
      <c r="D7654" s="0" t="s">
        <v>25573</v>
      </c>
      <c r="E7654" s="0" t="s">
        <v>89</v>
      </c>
      <c r="F7654" s="0" t="s">
        <v>15</v>
      </c>
      <c r="G7654" s="0" t="s">
        <v>16</v>
      </c>
      <c r="H7654" s="0" t="n">
        <v>21</v>
      </c>
      <c r="I7654" s="0" t="s">
        <v>25577</v>
      </c>
      <c r="J7654" s="0" t="s">
        <v>25578</v>
      </c>
      <c r="K7654" s="0" t="s">
        <v>25579</v>
      </c>
      <c r="L7654" s="0" t="str">
        <f aca="false">HYPERLINK("https://www.ncbi.nlm.nih.gov/nuccore/CP000304.1?report=graph&amp;tracks=[key:gene_model_track,Options:GeneOnly]&amp;mk=2160880:2160899|offset_1|444444,2160900:2160919|offset_21|00cc00,2160920:2160939|offset_41|444444,2160966:2160985|offset_87|444444&amp;v=2160679:2161185&amp;c=444444", "offset 21")</f>
        <v>offset 21</v>
      </c>
    </row>
    <row r="7655" customFormat="false" ht="12.8" hidden="false" customHeight="false" outlineLevel="0" collapsed="false">
      <c r="A7655" s="0" t="s">
        <v>12</v>
      </c>
      <c r="B7655" s="0" t="n">
        <v>2160919</v>
      </c>
      <c r="C7655" s="0" t="n">
        <v>2160939</v>
      </c>
      <c r="D7655" s="0" t="s">
        <v>25573</v>
      </c>
      <c r="E7655" s="0" t="s">
        <v>89</v>
      </c>
      <c r="F7655" s="0" t="s">
        <v>15</v>
      </c>
      <c r="G7655" s="0" t="s">
        <v>32</v>
      </c>
      <c r="H7655" s="0" t="n">
        <v>41</v>
      </c>
      <c r="I7655" s="0" t="s">
        <v>25580</v>
      </c>
      <c r="J7655" s="0" t="s">
        <v>25581</v>
      </c>
      <c r="K7655" s="0" t="s">
        <v>25582</v>
      </c>
      <c r="L7655" s="0" t="str">
        <f aca="false">HYPERLINK("https://www.ncbi.nlm.nih.gov/nuccore/CP000304.1?report=graph&amp;tracks=[key:gene_model_track,Options:GeneOnly]&amp;mk=2160880:2160899|offset_1|444444,2160900:2160919|offset_21|444444,2160920:2160939|offset_41|00cc00,2160966:2160985|offset_87|444444&amp;v=2160679:2161185&amp;c=444444", "offset 41")</f>
        <v>offset 41</v>
      </c>
    </row>
    <row r="7656" customFormat="false" ht="12.8" hidden="false" customHeight="false" outlineLevel="0" collapsed="false">
      <c r="A7656" s="0" t="s">
        <v>12</v>
      </c>
      <c r="B7656" s="0" t="n">
        <v>2160965</v>
      </c>
      <c r="C7656" s="0" t="n">
        <v>2160985</v>
      </c>
      <c r="D7656" s="0" t="s">
        <v>25573</v>
      </c>
      <c r="E7656" s="0" t="s">
        <v>89</v>
      </c>
      <c r="F7656" s="0" t="s">
        <v>15</v>
      </c>
      <c r="G7656" s="0" t="s">
        <v>32</v>
      </c>
      <c r="H7656" s="0" t="n">
        <v>87</v>
      </c>
      <c r="I7656" s="0" t="s">
        <v>25583</v>
      </c>
      <c r="J7656" s="0" t="s">
        <v>25584</v>
      </c>
      <c r="K7656" s="0" t="s">
        <v>25585</v>
      </c>
      <c r="L7656" s="0" t="str">
        <f aca="false">HYPERLINK("https://www.ncbi.nlm.nih.gov/nuccore/CP000304.1?report=graph&amp;tracks=[key:gene_model_track,Options:GeneOnly]&amp;mk=2160880:2160899|offset_1|444444,2160900:2160919|offset_21|444444,2160920:2160939|offset_41|444444,2160966:2160985|offset_87|00cc00&amp;v=2160679:2161185&amp;c=444444", "offset 87")</f>
        <v>offset 87</v>
      </c>
    </row>
    <row r="7657" customFormat="false" ht="12.8" hidden="false" customHeight="false" outlineLevel="0" collapsed="false">
      <c r="A7657" s="0" t="s">
        <v>12</v>
      </c>
      <c r="B7657" s="0" t="n">
        <v>2161753</v>
      </c>
      <c r="C7657" s="0" t="n">
        <v>2161773</v>
      </c>
      <c r="D7657" s="0" t="s">
        <v>25586</v>
      </c>
      <c r="E7657" s="0" t="s">
        <v>25587</v>
      </c>
      <c r="F7657" s="0" t="s">
        <v>90</v>
      </c>
      <c r="G7657" s="0" t="s">
        <v>16</v>
      </c>
      <c r="H7657" s="0" t="n">
        <v>8</v>
      </c>
      <c r="I7657" s="0" t="s">
        <v>25588</v>
      </c>
      <c r="J7657" s="0" t="s">
        <v>25589</v>
      </c>
      <c r="K7657" s="0" t="s">
        <v>25590</v>
      </c>
      <c r="L7657" s="0" t="str">
        <f aca="false">HYPERLINK("https://www.ncbi.nlm.nih.gov/nuccore/CP000304.1?report=graph&amp;tracks=[key:gene_model_track,Options:GeneOnly]&amp;mk=2161754:2161773|offset_8|00cc00,2161728:2161747|offset_34|444444,2161668:2161687|offset_94|444444,2161644:2161663|offset_118|444444&amp;v=2161553:2161863&amp;c=444444", "offset 8")</f>
        <v>offset 8</v>
      </c>
    </row>
    <row r="7658" customFormat="false" ht="12.8" hidden="false" customHeight="false" outlineLevel="0" collapsed="false">
      <c r="A7658" s="0" t="s">
        <v>12</v>
      </c>
      <c r="B7658" s="0" t="n">
        <v>2161727</v>
      </c>
      <c r="C7658" s="0" t="n">
        <v>2161747</v>
      </c>
      <c r="D7658" s="0" t="s">
        <v>25586</v>
      </c>
      <c r="E7658" s="0" t="s">
        <v>25587</v>
      </c>
      <c r="F7658" s="0" t="s">
        <v>90</v>
      </c>
      <c r="G7658" s="0" t="s">
        <v>36</v>
      </c>
      <c r="H7658" s="0" t="n">
        <v>34</v>
      </c>
      <c r="I7658" s="0" t="s">
        <v>25591</v>
      </c>
      <c r="J7658" s="0" t="s">
        <v>25592</v>
      </c>
      <c r="K7658" s="0" t="s">
        <v>25593</v>
      </c>
      <c r="L7658" s="0" t="str">
        <f aca="false">HYPERLINK("https://www.ncbi.nlm.nih.gov/nuccore/CP000304.1?report=graph&amp;tracks=[key:gene_model_track,Options:GeneOnly]&amp;mk=2161754:2161773|offset_8|444444,2161728:2161747|offset_34|00cc00,2161668:2161687|offset_94|444444,2161644:2161663|offset_118|444444&amp;v=2161553:2161863&amp;c=444444", "offset 34")</f>
        <v>offset 34</v>
      </c>
    </row>
    <row r="7659" customFormat="false" ht="12.8" hidden="false" customHeight="false" outlineLevel="0" collapsed="false">
      <c r="A7659" s="0" t="s">
        <v>12</v>
      </c>
      <c r="B7659" s="0" t="n">
        <v>2161667</v>
      </c>
      <c r="C7659" s="0" t="n">
        <v>2161687</v>
      </c>
      <c r="D7659" s="0" t="s">
        <v>25586</v>
      </c>
      <c r="E7659" s="0" t="s">
        <v>25587</v>
      </c>
      <c r="F7659" s="0" t="s">
        <v>90</v>
      </c>
      <c r="G7659" s="0" t="s">
        <v>32</v>
      </c>
      <c r="H7659" s="0" t="n">
        <v>94</v>
      </c>
      <c r="I7659" s="0" t="s">
        <v>25594</v>
      </c>
      <c r="J7659" s="0" t="s">
        <v>25595</v>
      </c>
      <c r="K7659" s="0" t="s">
        <v>25596</v>
      </c>
      <c r="L7659" s="0" t="str">
        <f aca="false">HYPERLINK("https://www.ncbi.nlm.nih.gov/nuccore/CP000304.1?report=graph&amp;tracks=[key:gene_model_track,Options:GeneOnly]&amp;mk=2161754:2161773|offset_8|444444,2161728:2161747|offset_34|444444,2161668:2161687|offset_94|00cc00,2161644:2161663|offset_118|444444&amp;v=2161553:2161863&amp;c=444444", "offset 94")</f>
        <v>offset 94</v>
      </c>
    </row>
    <row r="7660" customFormat="false" ht="12.8" hidden="false" customHeight="false" outlineLevel="0" collapsed="false">
      <c r="A7660" s="0" t="s">
        <v>12</v>
      </c>
      <c r="B7660" s="0" t="n">
        <v>2161643</v>
      </c>
      <c r="C7660" s="0" t="n">
        <v>2161663</v>
      </c>
      <c r="D7660" s="0" t="s">
        <v>25586</v>
      </c>
      <c r="E7660" s="0" t="s">
        <v>25587</v>
      </c>
      <c r="F7660" s="0" t="s">
        <v>90</v>
      </c>
      <c r="G7660" s="0" t="s">
        <v>16</v>
      </c>
      <c r="H7660" s="0" t="n">
        <v>118</v>
      </c>
      <c r="I7660" s="0" t="s">
        <v>25597</v>
      </c>
      <c r="J7660" s="0" t="s">
        <v>25598</v>
      </c>
      <c r="K7660" s="0" t="s">
        <v>25599</v>
      </c>
      <c r="L7660" s="0" t="str">
        <f aca="false">HYPERLINK("https://www.ncbi.nlm.nih.gov/nuccore/CP000304.1?report=graph&amp;tracks=[key:gene_model_track,Options:GeneOnly]&amp;mk=2161754:2161773|offset_8|444444,2161728:2161747|offset_34|444444,2161668:2161687|offset_94|444444,2161644:2161663|offset_118|00cc00&amp;v=2161553:2161863&amp;c=444444", "offset 118")</f>
        <v>offset 118</v>
      </c>
    </row>
    <row r="7661" customFormat="false" ht="12.8" hidden="false" customHeight="false" outlineLevel="0" collapsed="false">
      <c r="A7661" s="0" t="s">
        <v>12</v>
      </c>
      <c r="B7661" s="0" t="n">
        <v>2162892</v>
      </c>
      <c r="C7661" s="0" t="n">
        <v>2162912</v>
      </c>
      <c r="D7661" s="0" t="s">
        <v>25600</v>
      </c>
      <c r="E7661" s="0" t="s">
        <v>89</v>
      </c>
      <c r="F7661" s="0" t="s">
        <v>90</v>
      </c>
      <c r="G7661" s="0" t="s">
        <v>32</v>
      </c>
      <c r="H7661" s="0" t="n">
        <v>1</v>
      </c>
      <c r="I7661" s="0" t="s">
        <v>25601</v>
      </c>
      <c r="J7661" s="0" t="s">
        <v>25602</v>
      </c>
      <c r="K7661" s="0" t="s">
        <v>25603</v>
      </c>
      <c r="L7661" s="0" t="str">
        <f aca="false">HYPERLINK("https://www.ncbi.nlm.nih.gov/nuccore/CP000304.1?report=graph&amp;tracks=[key:gene_model_track,Options:GeneOnly]&amp;mk=2162893:2162912|offset_1|00cc00,2162857:2162876|offset_37|444444,2162836:2162855|offset_58|444444,2162800:2162819|offset_94|444444&amp;v=2162692:2163019&amp;c=444444", "offset 1")</f>
        <v>offset 1</v>
      </c>
    </row>
    <row r="7662" customFormat="false" ht="12.8" hidden="false" customHeight="false" outlineLevel="0" collapsed="false">
      <c r="A7662" s="0" t="s">
        <v>12</v>
      </c>
      <c r="B7662" s="0" t="n">
        <v>2162856</v>
      </c>
      <c r="C7662" s="0" t="n">
        <v>2162876</v>
      </c>
      <c r="D7662" s="0" t="s">
        <v>25600</v>
      </c>
      <c r="E7662" s="0" t="s">
        <v>89</v>
      </c>
      <c r="F7662" s="0" t="s">
        <v>90</v>
      </c>
      <c r="G7662" s="0" t="s">
        <v>16</v>
      </c>
      <c r="H7662" s="0" t="n">
        <v>37</v>
      </c>
      <c r="I7662" s="0" t="s">
        <v>25604</v>
      </c>
      <c r="J7662" s="0" t="s">
        <v>25605</v>
      </c>
      <c r="K7662" s="0" t="s">
        <v>25606</v>
      </c>
      <c r="L7662" s="0" t="str">
        <f aca="false">HYPERLINK("https://www.ncbi.nlm.nih.gov/nuccore/CP000304.1?report=graph&amp;tracks=[key:gene_model_track,Options:GeneOnly]&amp;mk=2162893:2162912|offset_1|444444,2162857:2162876|offset_37|00cc00,2162836:2162855|offset_58|444444,2162800:2162819|offset_94|444444&amp;v=2162692:2163019&amp;c=444444", "offset 37")</f>
        <v>offset 37</v>
      </c>
    </row>
    <row r="7663" customFormat="false" ht="12.8" hidden="false" customHeight="false" outlineLevel="0" collapsed="false">
      <c r="A7663" s="0" t="s">
        <v>12</v>
      </c>
      <c r="B7663" s="0" t="n">
        <v>2162835</v>
      </c>
      <c r="C7663" s="0" t="n">
        <v>2162855</v>
      </c>
      <c r="D7663" s="0" t="s">
        <v>25600</v>
      </c>
      <c r="E7663" s="0" t="s">
        <v>89</v>
      </c>
      <c r="F7663" s="0" t="s">
        <v>90</v>
      </c>
      <c r="G7663" s="0" t="s">
        <v>36</v>
      </c>
      <c r="H7663" s="0" t="n">
        <v>58</v>
      </c>
      <c r="I7663" s="0" t="s">
        <v>25607</v>
      </c>
      <c r="J7663" s="0" t="s">
        <v>25608</v>
      </c>
      <c r="K7663" s="0" t="s">
        <v>25609</v>
      </c>
      <c r="L7663" s="0" t="str">
        <f aca="false">HYPERLINK("https://www.ncbi.nlm.nih.gov/nuccore/CP000304.1?report=graph&amp;tracks=[key:gene_model_track,Options:GeneOnly]&amp;mk=2162893:2162912|offset_1|444444,2162857:2162876|offset_37|444444,2162836:2162855|offset_58|00cc00,2162800:2162819|offset_94|444444&amp;v=2162692:2163019&amp;c=444444", "offset 58")</f>
        <v>offset 58</v>
      </c>
    </row>
    <row r="7664" customFormat="false" ht="12.8" hidden="false" customHeight="false" outlineLevel="0" collapsed="false">
      <c r="A7664" s="0" t="s">
        <v>12</v>
      </c>
      <c r="B7664" s="0" t="n">
        <v>2162799</v>
      </c>
      <c r="C7664" s="0" t="n">
        <v>2162819</v>
      </c>
      <c r="D7664" s="0" t="s">
        <v>25600</v>
      </c>
      <c r="E7664" s="0" t="s">
        <v>89</v>
      </c>
      <c r="F7664" s="0" t="s">
        <v>90</v>
      </c>
      <c r="G7664" s="0" t="s">
        <v>26</v>
      </c>
      <c r="H7664" s="0" t="n">
        <v>94</v>
      </c>
      <c r="I7664" s="0" t="s">
        <v>25610</v>
      </c>
      <c r="J7664" s="0" t="s">
        <v>25611</v>
      </c>
      <c r="K7664" s="0" t="s">
        <v>25612</v>
      </c>
      <c r="L7664" s="0" t="str">
        <f aca="false">HYPERLINK("https://www.ncbi.nlm.nih.gov/nuccore/CP000304.1?report=graph&amp;tracks=[key:gene_model_track,Options:GeneOnly]&amp;mk=2162893:2162912|offset_1|444444,2162857:2162876|offset_37|444444,2162836:2162855|offset_58|444444,2162800:2162819|offset_94|00cc00&amp;v=2162692:2163019&amp;c=444444", "offset 94")</f>
        <v>offset 94</v>
      </c>
    </row>
    <row r="7665" customFormat="false" ht="12.8" hidden="false" customHeight="false" outlineLevel="0" collapsed="false">
      <c r="A7665" s="0" t="s">
        <v>12</v>
      </c>
      <c r="B7665" s="0" t="n">
        <v>2164273</v>
      </c>
      <c r="C7665" s="0" t="n">
        <v>2164293</v>
      </c>
      <c r="D7665" s="0" t="s">
        <v>25613</v>
      </c>
      <c r="E7665" s="0" t="s">
        <v>89</v>
      </c>
      <c r="F7665" s="0" t="s">
        <v>90</v>
      </c>
      <c r="G7665" s="0" t="s">
        <v>16</v>
      </c>
      <c r="H7665" s="0" t="n">
        <v>0</v>
      </c>
      <c r="I7665" s="0" t="s">
        <v>25614</v>
      </c>
      <c r="J7665" s="0" t="s">
        <v>25615</v>
      </c>
      <c r="K7665" s="0" t="s">
        <v>25616</v>
      </c>
      <c r="L7665" s="0" t="str">
        <f aca="false">HYPERLINK("https://www.ncbi.nlm.nih.gov/nuccore/CP000304.1?report=graph&amp;tracks=[key:gene_model_track,Options:GeneOnly]&amp;mk=2164274:2164293|offset_0|00cc00,2164252:2164271|offset_22|444444,2164195:2164214|offset_79|444444,2164152:2164171|offset_122|444444&amp;v=2164073:2164371&amp;c=444444", "offset 0")</f>
        <v>offset 0</v>
      </c>
    </row>
    <row r="7666" customFormat="false" ht="12.8" hidden="false" customHeight="false" outlineLevel="0" collapsed="false">
      <c r="A7666" s="0" t="s">
        <v>12</v>
      </c>
      <c r="B7666" s="0" t="n">
        <v>2164251</v>
      </c>
      <c r="C7666" s="0" t="n">
        <v>2164271</v>
      </c>
      <c r="D7666" s="0" t="s">
        <v>25613</v>
      </c>
      <c r="E7666" s="0" t="s">
        <v>89</v>
      </c>
      <c r="F7666" s="0" t="s">
        <v>90</v>
      </c>
      <c r="G7666" s="0" t="s">
        <v>26</v>
      </c>
      <c r="H7666" s="0" t="n">
        <v>22</v>
      </c>
      <c r="I7666" s="0" t="s">
        <v>25617</v>
      </c>
      <c r="J7666" s="0" t="s">
        <v>25618</v>
      </c>
      <c r="K7666" s="0" t="s">
        <v>25619</v>
      </c>
      <c r="L7666" s="0" t="str">
        <f aca="false">HYPERLINK("https://www.ncbi.nlm.nih.gov/nuccore/CP000304.1?report=graph&amp;tracks=[key:gene_model_track,Options:GeneOnly]&amp;mk=2164274:2164293|offset_0|444444,2164252:2164271|offset_22|00cc00,2164195:2164214|offset_79|444444,2164152:2164171|offset_122|444444&amp;v=2164073:2164371&amp;c=444444", "offset 22")</f>
        <v>offset 22</v>
      </c>
    </row>
    <row r="7667" customFormat="false" ht="12.8" hidden="false" customHeight="false" outlineLevel="0" collapsed="false">
      <c r="A7667" s="0" t="s">
        <v>12</v>
      </c>
      <c r="B7667" s="0" t="n">
        <v>2164194</v>
      </c>
      <c r="C7667" s="0" t="n">
        <v>2164214</v>
      </c>
      <c r="D7667" s="0" t="s">
        <v>25613</v>
      </c>
      <c r="E7667" s="0" t="s">
        <v>89</v>
      </c>
      <c r="F7667" s="0" t="s">
        <v>90</v>
      </c>
      <c r="G7667" s="0" t="s">
        <v>32</v>
      </c>
      <c r="H7667" s="0" t="n">
        <v>79</v>
      </c>
      <c r="I7667" s="0" t="s">
        <v>25620</v>
      </c>
      <c r="J7667" s="0" t="s">
        <v>25621</v>
      </c>
      <c r="K7667" s="0" t="s">
        <v>25622</v>
      </c>
      <c r="L7667" s="0" t="str">
        <f aca="false">HYPERLINK("https://www.ncbi.nlm.nih.gov/nuccore/CP000304.1?report=graph&amp;tracks=[key:gene_model_track,Options:GeneOnly]&amp;mk=2164274:2164293|offset_0|444444,2164252:2164271|offset_22|444444,2164195:2164214|offset_79|00cc00,2164152:2164171|offset_122|444444&amp;v=2164073:2164371&amp;c=444444", "offset 79")</f>
        <v>offset 79</v>
      </c>
    </row>
    <row r="7668" customFormat="false" ht="12.8" hidden="false" customHeight="false" outlineLevel="0" collapsed="false">
      <c r="A7668" s="0" t="s">
        <v>12</v>
      </c>
      <c r="B7668" s="0" t="n">
        <v>2164151</v>
      </c>
      <c r="C7668" s="0" t="n">
        <v>2164171</v>
      </c>
      <c r="D7668" s="0" t="s">
        <v>25613</v>
      </c>
      <c r="E7668" s="0" t="s">
        <v>89</v>
      </c>
      <c r="F7668" s="0" t="s">
        <v>90</v>
      </c>
      <c r="G7668" s="0" t="s">
        <v>36</v>
      </c>
      <c r="H7668" s="0" t="n">
        <v>122</v>
      </c>
      <c r="I7668" s="0" t="s">
        <v>25623</v>
      </c>
      <c r="J7668" s="0" t="s">
        <v>25624</v>
      </c>
      <c r="K7668" s="0" t="s">
        <v>25625</v>
      </c>
      <c r="L7668" s="0" t="str">
        <f aca="false">HYPERLINK("https://www.ncbi.nlm.nih.gov/nuccore/CP000304.1?report=graph&amp;tracks=[key:gene_model_track,Options:GeneOnly]&amp;mk=2164274:2164293|offset_0|444444,2164252:2164271|offset_22|444444,2164195:2164214|offset_79|444444,2164152:2164171|offset_122|00cc00&amp;v=2164073:2164371&amp;c=444444", "offset 122")</f>
        <v>offset 122</v>
      </c>
    </row>
    <row r="7669" customFormat="false" ht="12.8" hidden="false" customHeight="false" outlineLevel="0" collapsed="false">
      <c r="A7669" s="0" t="s">
        <v>12</v>
      </c>
      <c r="B7669" s="0" t="n">
        <v>2164488</v>
      </c>
      <c r="C7669" s="0" t="n">
        <v>2164508</v>
      </c>
      <c r="D7669" s="0" t="s">
        <v>25626</v>
      </c>
      <c r="E7669" s="0" t="s">
        <v>89</v>
      </c>
      <c r="F7669" s="0" t="s">
        <v>15</v>
      </c>
      <c r="G7669" s="0" t="s">
        <v>26</v>
      </c>
      <c r="H7669" s="0" t="n">
        <v>53</v>
      </c>
      <c r="I7669" s="0" t="s">
        <v>25627</v>
      </c>
      <c r="J7669" s="0" t="s">
        <v>25628</v>
      </c>
      <c r="K7669" s="0" t="s">
        <v>25629</v>
      </c>
      <c r="L7669" s="0" t="str">
        <f aca="false">HYPERLINK("https://www.ncbi.nlm.nih.gov/nuccore/CP000304.1?report=graph&amp;tracks=[key:gene_model_track,Options:GeneOnly]&amp;mk=2164489:2164508|offset_53|00cc00,2164547:2164566|offset_111|444444,2164567:2164586|offset_131|444444,2164612:2164631|offset_176|444444&amp;v=2164288:2164831&amp;c=444444", "offset 53")</f>
        <v>offset 53</v>
      </c>
    </row>
    <row r="7670" customFormat="false" ht="12.8" hidden="false" customHeight="false" outlineLevel="0" collapsed="false">
      <c r="A7670" s="0" t="s">
        <v>12</v>
      </c>
      <c r="B7670" s="0" t="n">
        <v>2164546</v>
      </c>
      <c r="C7670" s="0" t="n">
        <v>2164566</v>
      </c>
      <c r="D7670" s="0" t="s">
        <v>25626</v>
      </c>
      <c r="E7670" s="0" t="s">
        <v>89</v>
      </c>
      <c r="F7670" s="0" t="s">
        <v>15</v>
      </c>
      <c r="G7670" s="0" t="s">
        <v>16</v>
      </c>
      <c r="H7670" s="0" t="n">
        <v>111</v>
      </c>
      <c r="I7670" s="0" t="s">
        <v>25630</v>
      </c>
      <c r="J7670" s="0" t="s">
        <v>25631</v>
      </c>
      <c r="K7670" s="0" t="s">
        <v>25632</v>
      </c>
      <c r="L7670" s="0" t="str">
        <f aca="false">HYPERLINK("https://www.ncbi.nlm.nih.gov/nuccore/CP000304.1?report=graph&amp;tracks=[key:gene_model_track,Options:GeneOnly]&amp;mk=2164489:2164508|offset_53|444444,2164547:2164566|offset_111|00cc00,2164567:2164586|offset_131|444444,2164612:2164631|offset_176|444444&amp;v=2164288:2164831&amp;c=444444", "offset 111")</f>
        <v>offset 111</v>
      </c>
    </row>
    <row r="7671" customFormat="false" ht="12.8" hidden="false" customHeight="false" outlineLevel="0" collapsed="false">
      <c r="A7671" s="0" t="s">
        <v>12</v>
      </c>
      <c r="B7671" s="0" t="n">
        <v>2164566</v>
      </c>
      <c r="C7671" s="0" t="n">
        <v>2164586</v>
      </c>
      <c r="D7671" s="0" t="s">
        <v>25626</v>
      </c>
      <c r="E7671" s="0" t="s">
        <v>89</v>
      </c>
      <c r="F7671" s="0" t="s">
        <v>15</v>
      </c>
      <c r="G7671" s="0" t="s">
        <v>26</v>
      </c>
      <c r="H7671" s="0" t="n">
        <v>131</v>
      </c>
      <c r="I7671" s="0" t="s">
        <v>25633</v>
      </c>
      <c r="J7671" s="0" t="s">
        <v>25634</v>
      </c>
      <c r="K7671" s="0" t="s">
        <v>25635</v>
      </c>
      <c r="L7671" s="0" t="str">
        <f aca="false">HYPERLINK("https://www.ncbi.nlm.nih.gov/nuccore/CP000304.1?report=graph&amp;tracks=[key:gene_model_track,Options:GeneOnly]&amp;mk=2164489:2164508|offset_53|444444,2164547:2164566|offset_111|444444,2164567:2164586|offset_131|00cc00,2164612:2164631|offset_176|444444&amp;v=2164288:2164831&amp;c=444444", "offset 131")</f>
        <v>offset 131</v>
      </c>
    </row>
    <row r="7672" customFormat="false" ht="12.8" hidden="false" customHeight="false" outlineLevel="0" collapsed="false">
      <c r="A7672" s="0" t="s">
        <v>12</v>
      </c>
      <c r="B7672" s="0" t="n">
        <v>2164611</v>
      </c>
      <c r="C7672" s="0" t="n">
        <v>2164631</v>
      </c>
      <c r="D7672" s="0" t="s">
        <v>25626</v>
      </c>
      <c r="E7672" s="0" t="s">
        <v>89</v>
      </c>
      <c r="F7672" s="0" t="s">
        <v>15</v>
      </c>
      <c r="G7672" s="0" t="s">
        <v>26</v>
      </c>
      <c r="H7672" s="0" t="n">
        <v>176</v>
      </c>
      <c r="I7672" s="0" t="s">
        <v>25636</v>
      </c>
      <c r="J7672" s="0" t="s">
        <v>25637</v>
      </c>
      <c r="K7672" s="0" t="s">
        <v>25638</v>
      </c>
      <c r="L7672" s="0" t="str">
        <f aca="false">HYPERLINK("https://www.ncbi.nlm.nih.gov/nuccore/CP000304.1?report=graph&amp;tracks=[key:gene_model_track,Options:GeneOnly]&amp;mk=2164489:2164508|offset_53|444444,2164547:2164566|offset_111|444444,2164567:2164586|offset_131|444444,2164612:2164631|offset_176|00cc00&amp;v=2164288:2164831&amp;c=444444", "offset 176")</f>
        <v>offset 176</v>
      </c>
    </row>
    <row r="7673" customFormat="false" ht="12.8" hidden="false" customHeight="false" outlineLevel="0" collapsed="false">
      <c r="A7673" s="0" t="s">
        <v>12</v>
      </c>
      <c r="B7673" s="0" t="n">
        <v>2167155</v>
      </c>
      <c r="C7673" s="0" t="n">
        <v>2167175</v>
      </c>
      <c r="D7673" s="0" t="s">
        <v>25639</v>
      </c>
      <c r="E7673" s="0" t="s">
        <v>89</v>
      </c>
      <c r="F7673" s="0" t="s">
        <v>90</v>
      </c>
      <c r="G7673" s="0" t="s">
        <v>16</v>
      </c>
      <c r="H7673" s="0" t="n">
        <v>7</v>
      </c>
      <c r="I7673" s="0" t="s">
        <v>25640</v>
      </c>
      <c r="J7673" s="0" t="s">
        <v>25641</v>
      </c>
      <c r="K7673" s="0" t="s">
        <v>25642</v>
      </c>
      <c r="L7673" s="0" t="str">
        <f aca="false">HYPERLINK("https://www.ncbi.nlm.nih.gov/nuccore/CP000304.1?report=graph&amp;tracks=[key:gene_model_track,Options:GeneOnly]&amp;mk=2167156:2167175|offset_7|00cc00,2167135:2167154|offset_28|444444,2167105:2167124|offset_58|444444,2167084:2167103|offset_79|444444&amp;v=2166955:2167303&amp;c=444444", "offset 7")</f>
        <v>offset 7</v>
      </c>
    </row>
    <row r="7674" customFormat="false" ht="12.8" hidden="false" customHeight="false" outlineLevel="0" collapsed="false">
      <c r="A7674" s="0" t="s">
        <v>12</v>
      </c>
      <c r="B7674" s="0" t="n">
        <v>2167134</v>
      </c>
      <c r="C7674" s="0" t="n">
        <v>2167154</v>
      </c>
      <c r="D7674" s="0" t="s">
        <v>25639</v>
      </c>
      <c r="E7674" s="0" t="s">
        <v>89</v>
      </c>
      <c r="F7674" s="0" t="s">
        <v>90</v>
      </c>
      <c r="G7674" s="0" t="s">
        <v>16</v>
      </c>
      <c r="H7674" s="0" t="n">
        <v>28</v>
      </c>
      <c r="I7674" s="0" t="s">
        <v>25643</v>
      </c>
      <c r="J7674" s="0" t="s">
        <v>25644</v>
      </c>
      <c r="K7674" s="0" t="s">
        <v>25645</v>
      </c>
      <c r="L7674" s="0" t="str">
        <f aca="false">HYPERLINK("https://www.ncbi.nlm.nih.gov/nuccore/CP000304.1?report=graph&amp;tracks=[key:gene_model_track,Options:GeneOnly]&amp;mk=2167156:2167175|offset_7|444444,2167135:2167154|offset_28|00cc00,2167105:2167124|offset_58|444444,2167084:2167103|offset_79|444444&amp;v=2166955:2167303&amp;c=444444", "offset 28")</f>
        <v>offset 28</v>
      </c>
    </row>
    <row r="7675" customFormat="false" ht="12.8" hidden="false" customHeight="false" outlineLevel="0" collapsed="false">
      <c r="A7675" s="0" t="s">
        <v>12</v>
      </c>
      <c r="B7675" s="0" t="n">
        <v>2167104</v>
      </c>
      <c r="C7675" s="0" t="n">
        <v>2167124</v>
      </c>
      <c r="D7675" s="0" t="s">
        <v>25639</v>
      </c>
      <c r="E7675" s="0" t="s">
        <v>89</v>
      </c>
      <c r="F7675" s="0" t="s">
        <v>90</v>
      </c>
      <c r="G7675" s="0" t="s">
        <v>32</v>
      </c>
      <c r="H7675" s="0" t="n">
        <v>58</v>
      </c>
      <c r="I7675" s="0" t="s">
        <v>25646</v>
      </c>
      <c r="J7675" s="0" t="s">
        <v>25647</v>
      </c>
      <c r="K7675" s="0" t="s">
        <v>25648</v>
      </c>
      <c r="L7675" s="0" t="str">
        <f aca="false">HYPERLINK("https://www.ncbi.nlm.nih.gov/nuccore/CP000304.1?report=graph&amp;tracks=[key:gene_model_track,Options:GeneOnly]&amp;mk=2167156:2167175|offset_7|444444,2167135:2167154|offset_28|444444,2167105:2167124|offset_58|00cc00,2167084:2167103|offset_79|444444&amp;v=2166955:2167303&amp;c=444444", "offset 58")</f>
        <v>offset 58</v>
      </c>
    </row>
    <row r="7676" customFormat="false" ht="12.8" hidden="false" customHeight="false" outlineLevel="0" collapsed="false">
      <c r="A7676" s="0" t="s">
        <v>12</v>
      </c>
      <c r="B7676" s="0" t="n">
        <v>2167083</v>
      </c>
      <c r="C7676" s="0" t="n">
        <v>2167103</v>
      </c>
      <c r="D7676" s="0" t="s">
        <v>25639</v>
      </c>
      <c r="E7676" s="0" t="s">
        <v>89</v>
      </c>
      <c r="F7676" s="0" t="s">
        <v>90</v>
      </c>
      <c r="G7676" s="0" t="s">
        <v>16</v>
      </c>
      <c r="H7676" s="0" t="n">
        <v>79</v>
      </c>
      <c r="I7676" s="0" t="s">
        <v>25649</v>
      </c>
      <c r="J7676" s="0" t="s">
        <v>25650</v>
      </c>
      <c r="K7676" s="0" t="s">
        <v>25651</v>
      </c>
      <c r="L7676" s="0" t="str">
        <f aca="false">HYPERLINK("https://www.ncbi.nlm.nih.gov/nuccore/CP000304.1?report=graph&amp;tracks=[key:gene_model_track,Options:GeneOnly]&amp;mk=2167156:2167175|offset_7|444444,2167135:2167154|offset_28|444444,2167105:2167124|offset_58|444444,2167084:2167103|offset_79|00cc00&amp;v=2166955:2167303&amp;c=444444", "offset 79")</f>
        <v>offset 79</v>
      </c>
    </row>
    <row r="7677" customFormat="false" ht="12.8" hidden="false" customHeight="false" outlineLevel="0" collapsed="false">
      <c r="A7677" s="0" t="s">
        <v>12</v>
      </c>
      <c r="B7677" s="0" t="n">
        <v>2167968</v>
      </c>
      <c r="C7677" s="0" t="n">
        <v>2167988</v>
      </c>
      <c r="D7677" s="0" t="s">
        <v>25652</v>
      </c>
      <c r="E7677" s="0" t="s">
        <v>89</v>
      </c>
      <c r="F7677" s="0" t="s">
        <v>90</v>
      </c>
      <c r="G7677" s="0" t="s">
        <v>36</v>
      </c>
      <c r="H7677" s="0" t="n">
        <v>0</v>
      </c>
      <c r="I7677" s="0" t="s">
        <v>25653</v>
      </c>
      <c r="J7677" s="0" t="s">
        <v>25654</v>
      </c>
      <c r="K7677" s="0" t="s">
        <v>25655</v>
      </c>
      <c r="L7677" s="0" t="str">
        <f aca="false">HYPERLINK("https://www.ncbi.nlm.nih.gov/nuccore/CP000304.1?report=graph&amp;tracks=[key:gene_model_track,Options:GeneOnly]&amp;mk=2167969:2167988|offset_0|00cc00,2167947:2167966|offset_22|444444,2167922:2167941|offset_47|444444,2167901:2167920|offset_68|444444&amp;v=2167768:2168120&amp;c=444444", "offset 0")</f>
        <v>offset 0</v>
      </c>
    </row>
    <row r="7678" customFormat="false" ht="12.8" hidden="false" customHeight="false" outlineLevel="0" collapsed="false">
      <c r="A7678" s="0" t="s">
        <v>12</v>
      </c>
      <c r="B7678" s="0" t="n">
        <v>2167946</v>
      </c>
      <c r="C7678" s="0" t="n">
        <v>2167966</v>
      </c>
      <c r="D7678" s="0" t="s">
        <v>25652</v>
      </c>
      <c r="E7678" s="0" t="s">
        <v>89</v>
      </c>
      <c r="F7678" s="0" t="s">
        <v>90</v>
      </c>
      <c r="G7678" s="0" t="s">
        <v>26</v>
      </c>
      <c r="H7678" s="0" t="n">
        <v>22</v>
      </c>
      <c r="I7678" s="0" t="s">
        <v>25656</v>
      </c>
      <c r="J7678" s="0" t="s">
        <v>25657</v>
      </c>
      <c r="K7678" s="0" t="s">
        <v>25658</v>
      </c>
      <c r="L7678" s="0" t="str">
        <f aca="false">HYPERLINK("https://www.ncbi.nlm.nih.gov/nuccore/CP000304.1?report=graph&amp;tracks=[key:gene_model_track,Options:GeneOnly]&amp;mk=2167969:2167988|offset_0|444444,2167947:2167966|offset_22|00cc00,2167922:2167941|offset_47|444444,2167901:2167920|offset_68|444444&amp;v=2167768:2168120&amp;c=444444", "offset 22")</f>
        <v>offset 22</v>
      </c>
    </row>
    <row r="7679" customFormat="false" ht="12.8" hidden="false" customHeight="false" outlineLevel="0" collapsed="false">
      <c r="A7679" s="0" t="s">
        <v>12</v>
      </c>
      <c r="B7679" s="0" t="n">
        <v>2167921</v>
      </c>
      <c r="C7679" s="0" t="n">
        <v>2167941</v>
      </c>
      <c r="D7679" s="0" t="s">
        <v>25652</v>
      </c>
      <c r="E7679" s="0" t="s">
        <v>89</v>
      </c>
      <c r="F7679" s="0" t="s">
        <v>90</v>
      </c>
      <c r="G7679" s="0" t="s">
        <v>26</v>
      </c>
      <c r="H7679" s="0" t="n">
        <v>47</v>
      </c>
      <c r="I7679" s="0" t="s">
        <v>25659</v>
      </c>
      <c r="J7679" s="0" t="s">
        <v>25660</v>
      </c>
      <c r="K7679" s="0" t="s">
        <v>25661</v>
      </c>
      <c r="L7679" s="0" t="str">
        <f aca="false">HYPERLINK("https://www.ncbi.nlm.nih.gov/nuccore/CP000304.1?report=graph&amp;tracks=[key:gene_model_track,Options:GeneOnly]&amp;mk=2167969:2167988|offset_0|444444,2167947:2167966|offset_22|444444,2167922:2167941|offset_47|00cc00,2167901:2167920|offset_68|444444&amp;v=2167768:2168120&amp;c=444444", "offset 47")</f>
        <v>offset 47</v>
      </c>
    </row>
    <row r="7680" customFormat="false" ht="12.8" hidden="false" customHeight="false" outlineLevel="0" collapsed="false">
      <c r="A7680" s="0" t="s">
        <v>12</v>
      </c>
      <c r="B7680" s="0" t="n">
        <v>2167900</v>
      </c>
      <c r="C7680" s="0" t="n">
        <v>2167920</v>
      </c>
      <c r="D7680" s="0" t="s">
        <v>25652</v>
      </c>
      <c r="E7680" s="0" t="s">
        <v>89</v>
      </c>
      <c r="F7680" s="0" t="s">
        <v>90</v>
      </c>
      <c r="G7680" s="0" t="s">
        <v>26</v>
      </c>
      <c r="H7680" s="0" t="n">
        <v>68</v>
      </c>
      <c r="I7680" s="0" t="s">
        <v>25662</v>
      </c>
      <c r="J7680" s="0" t="s">
        <v>25663</v>
      </c>
      <c r="K7680" s="0" t="s">
        <v>25664</v>
      </c>
      <c r="L7680" s="0" t="str">
        <f aca="false">HYPERLINK("https://www.ncbi.nlm.nih.gov/nuccore/CP000304.1?report=graph&amp;tracks=[key:gene_model_track,Options:GeneOnly]&amp;mk=2167969:2167988|offset_0|444444,2167947:2167966|offset_22|444444,2167922:2167941|offset_47|444444,2167901:2167920|offset_68|00cc00&amp;v=2167768:2168120&amp;c=444444", "offset 68")</f>
        <v>offset 68</v>
      </c>
    </row>
    <row r="7681" customFormat="false" ht="12.8" hidden="false" customHeight="false" outlineLevel="0" collapsed="false">
      <c r="A7681" s="0" t="s">
        <v>12</v>
      </c>
      <c r="B7681" s="0" t="n">
        <v>2168669</v>
      </c>
      <c r="C7681" s="0" t="n">
        <v>2168689</v>
      </c>
      <c r="D7681" s="0" t="s">
        <v>25665</v>
      </c>
      <c r="E7681" s="0" t="s">
        <v>89</v>
      </c>
      <c r="F7681" s="0" t="s">
        <v>90</v>
      </c>
      <c r="G7681" s="0" t="s">
        <v>26</v>
      </c>
      <c r="H7681" s="0" t="n">
        <v>8</v>
      </c>
      <c r="I7681" s="0" t="s">
        <v>25666</v>
      </c>
      <c r="J7681" s="0" t="s">
        <v>25667</v>
      </c>
      <c r="K7681" s="0" t="s">
        <v>25668</v>
      </c>
      <c r="L7681" s="0" t="str">
        <f aca="false">HYPERLINK("https://www.ncbi.nlm.nih.gov/nuccore/CP000304.1?report=graph&amp;tracks=[key:gene_model_track,Options:GeneOnly]&amp;mk=2168670:2168689|offset_8|00cc00,2168649:2168668|offset_29|444444,2168584:2168603|offset_94|444444,2168559:2168578|offset_119|444444&amp;v=2168469:2168778&amp;c=444444", "offset 8")</f>
        <v>offset 8</v>
      </c>
    </row>
    <row r="7682" customFormat="false" ht="12.8" hidden="false" customHeight="false" outlineLevel="0" collapsed="false">
      <c r="A7682" s="0" t="s">
        <v>12</v>
      </c>
      <c r="B7682" s="0" t="n">
        <v>2168648</v>
      </c>
      <c r="C7682" s="0" t="n">
        <v>2168668</v>
      </c>
      <c r="D7682" s="0" t="s">
        <v>25665</v>
      </c>
      <c r="E7682" s="0" t="s">
        <v>89</v>
      </c>
      <c r="F7682" s="0" t="s">
        <v>90</v>
      </c>
      <c r="G7682" s="0" t="s">
        <v>26</v>
      </c>
      <c r="H7682" s="0" t="n">
        <v>29</v>
      </c>
      <c r="I7682" s="0" t="s">
        <v>25669</v>
      </c>
      <c r="J7682" s="0" t="s">
        <v>25670</v>
      </c>
      <c r="K7682" s="0" t="s">
        <v>25671</v>
      </c>
      <c r="L7682" s="0" t="str">
        <f aca="false">HYPERLINK("https://www.ncbi.nlm.nih.gov/nuccore/CP000304.1?report=graph&amp;tracks=[key:gene_model_track,Options:GeneOnly]&amp;mk=2168670:2168689|offset_8|444444,2168649:2168668|offset_29|00cc00,2168584:2168603|offset_94|444444,2168559:2168578|offset_119|444444&amp;v=2168469:2168778&amp;c=444444", "offset 29")</f>
        <v>offset 29</v>
      </c>
    </row>
    <row r="7683" customFormat="false" ht="12.8" hidden="false" customHeight="false" outlineLevel="0" collapsed="false">
      <c r="A7683" s="0" t="s">
        <v>12</v>
      </c>
      <c r="B7683" s="0" t="n">
        <v>2168583</v>
      </c>
      <c r="C7683" s="0" t="n">
        <v>2168603</v>
      </c>
      <c r="D7683" s="0" t="s">
        <v>25665</v>
      </c>
      <c r="E7683" s="0" t="s">
        <v>89</v>
      </c>
      <c r="F7683" s="0" t="s">
        <v>90</v>
      </c>
      <c r="G7683" s="0" t="s">
        <v>16</v>
      </c>
      <c r="H7683" s="0" t="n">
        <v>94</v>
      </c>
      <c r="I7683" s="0" t="s">
        <v>25672</v>
      </c>
      <c r="J7683" s="0" t="s">
        <v>25673</v>
      </c>
      <c r="K7683" s="0" t="s">
        <v>25674</v>
      </c>
      <c r="L7683" s="0" t="str">
        <f aca="false">HYPERLINK("https://www.ncbi.nlm.nih.gov/nuccore/CP000304.1?report=graph&amp;tracks=[key:gene_model_track,Options:GeneOnly]&amp;mk=2168670:2168689|offset_8|444444,2168649:2168668|offset_29|444444,2168584:2168603|offset_94|00cc00,2168559:2168578|offset_119|444444&amp;v=2168469:2168778&amp;c=444444", "offset 94")</f>
        <v>offset 94</v>
      </c>
    </row>
    <row r="7684" customFormat="false" ht="12.8" hidden="false" customHeight="false" outlineLevel="0" collapsed="false">
      <c r="A7684" s="0" t="s">
        <v>12</v>
      </c>
      <c r="B7684" s="0" t="n">
        <v>2168558</v>
      </c>
      <c r="C7684" s="0" t="n">
        <v>2168578</v>
      </c>
      <c r="D7684" s="0" t="s">
        <v>25665</v>
      </c>
      <c r="E7684" s="0" t="s">
        <v>89</v>
      </c>
      <c r="F7684" s="0" t="s">
        <v>90</v>
      </c>
      <c r="G7684" s="0" t="s">
        <v>16</v>
      </c>
      <c r="H7684" s="0" t="n">
        <v>119</v>
      </c>
      <c r="I7684" s="0" t="s">
        <v>25675</v>
      </c>
      <c r="J7684" s="0" t="s">
        <v>25676</v>
      </c>
      <c r="K7684" s="0" t="s">
        <v>25677</v>
      </c>
      <c r="L7684" s="0" t="str">
        <f aca="false">HYPERLINK("https://www.ncbi.nlm.nih.gov/nuccore/CP000304.1?report=graph&amp;tracks=[key:gene_model_track,Options:GeneOnly]&amp;mk=2168670:2168689|offset_8|444444,2168649:2168668|offset_29|444444,2168584:2168603|offset_94|444444,2168559:2168578|offset_119|00cc00&amp;v=2168469:2168778&amp;c=444444", "offset 119")</f>
        <v>offset 119</v>
      </c>
    </row>
    <row r="7685" customFormat="false" ht="12.8" hidden="false" customHeight="false" outlineLevel="0" collapsed="false">
      <c r="A7685" s="0" t="s">
        <v>12</v>
      </c>
      <c r="B7685" s="0" t="n">
        <v>2169428</v>
      </c>
      <c r="C7685" s="0" t="n">
        <v>2169448</v>
      </c>
      <c r="D7685" s="0" t="s">
        <v>25678</v>
      </c>
      <c r="E7685" s="0" t="s">
        <v>89</v>
      </c>
      <c r="F7685" s="0" t="s">
        <v>90</v>
      </c>
      <c r="G7685" s="0" t="s">
        <v>16</v>
      </c>
      <c r="H7685" s="0" t="n">
        <v>7</v>
      </c>
      <c r="I7685" s="0" t="s">
        <v>25679</v>
      </c>
      <c r="J7685" s="0" t="s">
        <v>25680</v>
      </c>
      <c r="K7685" s="0" t="s">
        <v>25681</v>
      </c>
      <c r="L7685" s="0" t="str">
        <f aca="false">HYPERLINK("https://www.ncbi.nlm.nih.gov/nuccore/CP000304.1?report=graph&amp;tracks=[key:gene_model_track,Options:GeneOnly]&amp;mk=2169429:2169448|offset_7|00cc00,2169389:2169408|offset_47|444444,2169358:2169377|offset_78|444444,2169322:2169341|offset_114|444444&amp;v=2169228:2169541&amp;c=444444", "offset 7")</f>
        <v>offset 7</v>
      </c>
    </row>
    <row r="7686" customFormat="false" ht="12.8" hidden="false" customHeight="false" outlineLevel="0" collapsed="false">
      <c r="A7686" s="0" t="s">
        <v>12</v>
      </c>
      <c r="B7686" s="0" t="n">
        <v>2169388</v>
      </c>
      <c r="C7686" s="0" t="n">
        <v>2169408</v>
      </c>
      <c r="D7686" s="0" t="s">
        <v>25678</v>
      </c>
      <c r="E7686" s="0" t="s">
        <v>89</v>
      </c>
      <c r="F7686" s="0" t="s">
        <v>90</v>
      </c>
      <c r="G7686" s="0" t="s">
        <v>16</v>
      </c>
      <c r="H7686" s="0" t="n">
        <v>47</v>
      </c>
      <c r="I7686" s="0" t="s">
        <v>25682</v>
      </c>
      <c r="J7686" s="0" t="s">
        <v>25683</v>
      </c>
      <c r="K7686" s="0" t="s">
        <v>25684</v>
      </c>
      <c r="L7686" s="0" t="str">
        <f aca="false">HYPERLINK("https://www.ncbi.nlm.nih.gov/nuccore/CP000304.1?report=graph&amp;tracks=[key:gene_model_track,Options:GeneOnly]&amp;mk=2169429:2169448|offset_7|444444,2169389:2169408|offset_47|00cc00,2169358:2169377|offset_78|444444,2169322:2169341|offset_114|444444&amp;v=2169228:2169541&amp;c=444444", "offset 47")</f>
        <v>offset 47</v>
      </c>
    </row>
    <row r="7687" customFormat="false" ht="12.8" hidden="false" customHeight="false" outlineLevel="0" collapsed="false">
      <c r="A7687" s="0" t="s">
        <v>12</v>
      </c>
      <c r="B7687" s="0" t="n">
        <v>2169357</v>
      </c>
      <c r="C7687" s="0" t="n">
        <v>2169377</v>
      </c>
      <c r="D7687" s="0" t="s">
        <v>25678</v>
      </c>
      <c r="E7687" s="0" t="s">
        <v>89</v>
      </c>
      <c r="F7687" s="0" t="s">
        <v>90</v>
      </c>
      <c r="G7687" s="0" t="s">
        <v>36</v>
      </c>
      <c r="H7687" s="0" t="n">
        <v>78</v>
      </c>
      <c r="I7687" s="0" t="s">
        <v>25685</v>
      </c>
      <c r="J7687" s="0" t="s">
        <v>25686</v>
      </c>
      <c r="K7687" s="0" t="s">
        <v>25687</v>
      </c>
      <c r="L7687" s="0" t="str">
        <f aca="false">HYPERLINK("https://www.ncbi.nlm.nih.gov/nuccore/CP000304.1?report=graph&amp;tracks=[key:gene_model_track,Options:GeneOnly]&amp;mk=2169429:2169448|offset_7|444444,2169389:2169408|offset_47|444444,2169358:2169377|offset_78|00cc00,2169322:2169341|offset_114|444444&amp;v=2169228:2169541&amp;c=444444", "offset 78")</f>
        <v>offset 78</v>
      </c>
    </row>
    <row r="7688" customFormat="false" ht="12.8" hidden="false" customHeight="false" outlineLevel="0" collapsed="false">
      <c r="A7688" s="0" t="s">
        <v>12</v>
      </c>
      <c r="B7688" s="0" t="n">
        <v>2169321</v>
      </c>
      <c r="C7688" s="0" t="n">
        <v>2169341</v>
      </c>
      <c r="D7688" s="0" t="s">
        <v>25678</v>
      </c>
      <c r="E7688" s="0" t="s">
        <v>89</v>
      </c>
      <c r="F7688" s="0" t="s">
        <v>90</v>
      </c>
      <c r="G7688" s="0" t="s">
        <v>16</v>
      </c>
      <c r="H7688" s="0" t="n">
        <v>114</v>
      </c>
      <c r="I7688" s="0" t="s">
        <v>25688</v>
      </c>
      <c r="J7688" s="0" t="s">
        <v>25689</v>
      </c>
      <c r="K7688" s="0" t="s">
        <v>25690</v>
      </c>
      <c r="L7688" s="0" t="str">
        <f aca="false">HYPERLINK("https://www.ncbi.nlm.nih.gov/nuccore/CP000304.1?report=graph&amp;tracks=[key:gene_model_track,Options:GeneOnly]&amp;mk=2169429:2169448|offset_7|444444,2169389:2169408|offset_47|444444,2169358:2169377|offset_78|444444,2169322:2169341|offset_114|00cc00&amp;v=2169228:2169541&amp;c=444444", "offset 114")</f>
        <v>offset 114</v>
      </c>
    </row>
    <row r="7689" customFormat="false" ht="12.8" hidden="false" customHeight="false" outlineLevel="0" collapsed="false">
      <c r="A7689" s="0" t="s">
        <v>12</v>
      </c>
      <c r="B7689" s="0" t="n">
        <v>2170247</v>
      </c>
      <c r="C7689" s="0" t="n">
        <v>2170267</v>
      </c>
      <c r="D7689" s="0" t="s">
        <v>25691</v>
      </c>
      <c r="E7689" s="0" t="s">
        <v>89</v>
      </c>
      <c r="F7689" s="0" t="s">
        <v>90</v>
      </c>
      <c r="G7689" s="0" t="s">
        <v>16</v>
      </c>
      <c r="H7689" s="0" t="n">
        <v>24</v>
      </c>
      <c r="I7689" s="0" t="s">
        <v>25692</v>
      </c>
      <c r="J7689" s="0" t="s">
        <v>25693</v>
      </c>
      <c r="K7689" s="0" t="s">
        <v>25694</v>
      </c>
      <c r="L7689" s="0" t="str">
        <f aca="false">HYPERLINK("https://www.ncbi.nlm.nih.gov/nuccore/CP000304.1?report=graph&amp;tracks=[key:gene_model_track,Options:GeneOnly]&amp;mk=2170248:2170267|offset_24|00cc00,2170228:2170247|offset_44|444444,2170193:2170212|offset_79|444444,2170164:2170183|offset_108|444444&amp;v=2170047:2170383&amp;c=444444", "offset 24")</f>
        <v>offset 24</v>
      </c>
    </row>
    <row r="7690" customFormat="false" ht="12.8" hidden="false" customHeight="false" outlineLevel="0" collapsed="false">
      <c r="A7690" s="0" t="s">
        <v>12</v>
      </c>
      <c r="B7690" s="0" t="n">
        <v>2170227</v>
      </c>
      <c r="C7690" s="0" t="n">
        <v>2170247</v>
      </c>
      <c r="D7690" s="0" t="s">
        <v>25691</v>
      </c>
      <c r="E7690" s="0" t="s">
        <v>89</v>
      </c>
      <c r="F7690" s="0" t="s">
        <v>90</v>
      </c>
      <c r="G7690" s="0" t="s">
        <v>16</v>
      </c>
      <c r="H7690" s="0" t="n">
        <v>44</v>
      </c>
      <c r="I7690" s="0" t="s">
        <v>25695</v>
      </c>
      <c r="J7690" s="0" t="s">
        <v>25696</v>
      </c>
      <c r="K7690" s="0" t="s">
        <v>25697</v>
      </c>
      <c r="L7690" s="0" t="str">
        <f aca="false">HYPERLINK("https://www.ncbi.nlm.nih.gov/nuccore/CP000304.1?report=graph&amp;tracks=[key:gene_model_track,Options:GeneOnly]&amp;mk=2170248:2170267|offset_24|444444,2170228:2170247|offset_44|00cc00,2170193:2170212|offset_79|444444,2170164:2170183|offset_108|444444&amp;v=2170047:2170383&amp;c=444444", "offset 44")</f>
        <v>offset 44</v>
      </c>
    </row>
    <row r="7691" customFormat="false" ht="12.8" hidden="false" customHeight="false" outlineLevel="0" collapsed="false">
      <c r="A7691" s="0" t="s">
        <v>12</v>
      </c>
      <c r="B7691" s="0" t="n">
        <v>2170192</v>
      </c>
      <c r="C7691" s="0" t="n">
        <v>2170212</v>
      </c>
      <c r="D7691" s="0" t="s">
        <v>25691</v>
      </c>
      <c r="E7691" s="0" t="s">
        <v>89</v>
      </c>
      <c r="F7691" s="0" t="s">
        <v>90</v>
      </c>
      <c r="G7691" s="0" t="s">
        <v>26</v>
      </c>
      <c r="H7691" s="0" t="n">
        <v>79</v>
      </c>
      <c r="I7691" s="0" t="s">
        <v>25698</v>
      </c>
      <c r="J7691" s="0" t="s">
        <v>25699</v>
      </c>
      <c r="K7691" s="0" t="s">
        <v>25700</v>
      </c>
      <c r="L7691" s="0" t="str">
        <f aca="false">HYPERLINK("https://www.ncbi.nlm.nih.gov/nuccore/CP000304.1?report=graph&amp;tracks=[key:gene_model_track,Options:GeneOnly]&amp;mk=2170248:2170267|offset_24|444444,2170228:2170247|offset_44|444444,2170193:2170212|offset_79|00cc00,2170164:2170183|offset_108|444444&amp;v=2170047:2170383&amp;c=444444", "offset 79")</f>
        <v>offset 79</v>
      </c>
    </row>
    <row r="7692" customFormat="false" ht="12.8" hidden="false" customHeight="false" outlineLevel="0" collapsed="false">
      <c r="A7692" s="0" t="s">
        <v>12</v>
      </c>
      <c r="B7692" s="0" t="n">
        <v>2170163</v>
      </c>
      <c r="C7692" s="0" t="n">
        <v>2170183</v>
      </c>
      <c r="D7692" s="0" t="s">
        <v>25691</v>
      </c>
      <c r="E7692" s="0" t="s">
        <v>89</v>
      </c>
      <c r="F7692" s="0" t="s">
        <v>90</v>
      </c>
      <c r="G7692" s="0" t="s">
        <v>16</v>
      </c>
      <c r="H7692" s="0" t="n">
        <v>108</v>
      </c>
      <c r="I7692" s="0" t="s">
        <v>25701</v>
      </c>
      <c r="J7692" s="0" t="s">
        <v>25702</v>
      </c>
      <c r="K7692" s="0" t="s">
        <v>25703</v>
      </c>
      <c r="L7692" s="0" t="str">
        <f aca="false">HYPERLINK("https://www.ncbi.nlm.nih.gov/nuccore/CP000304.1?report=graph&amp;tracks=[key:gene_model_track,Options:GeneOnly]&amp;mk=2170248:2170267|offset_24|444444,2170228:2170247|offset_44|444444,2170193:2170212|offset_79|444444,2170164:2170183|offset_108|00cc00&amp;v=2170047:2170383&amp;c=444444", "offset 108")</f>
        <v>offset 108</v>
      </c>
    </row>
    <row r="7693" customFormat="false" ht="12.8" hidden="false" customHeight="false" outlineLevel="0" collapsed="false">
      <c r="A7693" s="0" t="s">
        <v>12</v>
      </c>
      <c r="B7693" s="0" t="n">
        <v>2171058</v>
      </c>
      <c r="C7693" s="0" t="n">
        <v>2171078</v>
      </c>
      <c r="D7693" s="0" t="s">
        <v>25704</v>
      </c>
      <c r="E7693" s="0" t="s">
        <v>89</v>
      </c>
      <c r="F7693" s="0" t="s">
        <v>90</v>
      </c>
      <c r="G7693" s="0" t="s">
        <v>32</v>
      </c>
      <c r="H7693" s="0" t="n">
        <v>10</v>
      </c>
      <c r="I7693" s="0" t="s">
        <v>25705</v>
      </c>
      <c r="J7693" s="0" t="s">
        <v>25706</v>
      </c>
      <c r="K7693" s="0" t="s">
        <v>25707</v>
      </c>
      <c r="L7693" s="0" t="str">
        <f aca="false">HYPERLINK("https://www.ncbi.nlm.nih.gov/nuccore/CP000304.1?report=graph&amp;tracks=[key:gene_model_track,Options:GeneOnly]&amp;mk=2171059:2171078|offset_10|00cc00,2171029:2171048|offset_40|444444,2171007:2171026|offset_62|444444,2170984:2171003|offset_85|444444&amp;v=2170858:2171203&amp;c=444444", "offset 10")</f>
        <v>offset 10</v>
      </c>
    </row>
    <row r="7694" customFormat="false" ht="12.8" hidden="false" customHeight="false" outlineLevel="0" collapsed="false">
      <c r="A7694" s="0" t="s">
        <v>12</v>
      </c>
      <c r="B7694" s="0" t="n">
        <v>2171028</v>
      </c>
      <c r="C7694" s="0" t="n">
        <v>2171048</v>
      </c>
      <c r="D7694" s="0" t="s">
        <v>25704</v>
      </c>
      <c r="E7694" s="0" t="s">
        <v>89</v>
      </c>
      <c r="F7694" s="0" t="s">
        <v>90</v>
      </c>
      <c r="G7694" s="0" t="s">
        <v>16</v>
      </c>
      <c r="H7694" s="0" t="n">
        <v>40</v>
      </c>
      <c r="I7694" s="0" t="s">
        <v>25708</v>
      </c>
      <c r="J7694" s="0" t="s">
        <v>25709</v>
      </c>
      <c r="K7694" s="0" t="s">
        <v>25710</v>
      </c>
      <c r="L7694" s="0" t="str">
        <f aca="false">HYPERLINK("https://www.ncbi.nlm.nih.gov/nuccore/CP000304.1?report=graph&amp;tracks=[key:gene_model_track,Options:GeneOnly]&amp;mk=2171059:2171078|offset_10|444444,2171029:2171048|offset_40|00cc00,2171007:2171026|offset_62|444444,2170984:2171003|offset_85|444444&amp;v=2170858:2171203&amp;c=444444", "offset 40")</f>
        <v>offset 40</v>
      </c>
    </row>
    <row r="7695" customFormat="false" ht="12.8" hidden="false" customHeight="false" outlineLevel="0" collapsed="false">
      <c r="A7695" s="0" t="s">
        <v>12</v>
      </c>
      <c r="B7695" s="0" t="n">
        <v>2171006</v>
      </c>
      <c r="C7695" s="0" t="n">
        <v>2171026</v>
      </c>
      <c r="D7695" s="0" t="s">
        <v>25704</v>
      </c>
      <c r="E7695" s="0" t="s">
        <v>89</v>
      </c>
      <c r="F7695" s="0" t="s">
        <v>90</v>
      </c>
      <c r="G7695" s="0" t="s">
        <v>16</v>
      </c>
      <c r="H7695" s="0" t="n">
        <v>62</v>
      </c>
      <c r="I7695" s="0" t="s">
        <v>25711</v>
      </c>
      <c r="J7695" s="0" t="s">
        <v>25712</v>
      </c>
      <c r="K7695" s="0" t="s">
        <v>25713</v>
      </c>
      <c r="L7695" s="0" t="str">
        <f aca="false">HYPERLINK("https://www.ncbi.nlm.nih.gov/nuccore/CP000304.1?report=graph&amp;tracks=[key:gene_model_track,Options:GeneOnly]&amp;mk=2171059:2171078|offset_10|444444,2171029:2171048|offset_40|444444,2171007:2171026|offset_62|00cc00,2170984:2171003|offset_85|444444&amp;v=2170858:2171203&amp;c=444444", "offset 62")</f>
        <v>offset 62</v>
      </c>
    </row>
    <row r="7696" customFormat="false" ht="12.8" hidden="false" customHeight="false" outlineLevel="0" collapsed="false">
      <c r="A7696" s="0" t="s">
        <v>12</v>
      </c>
      <c r="B7696" s="0" t="n">
        <v>2170983</v>
      </c>
      <c r="C7696" s="0" t="n">
        <v>2171003</v>
      </c>
      <c r="D7696" s="0" t="s">
        <v>25704</v>
      </c>
      <c r="E7696" s="0" t="s">
        <v>89</v>
      </c>
      <c r="F7696" s="0" t="s">
        <v>90</v>
      </c>
      <c r="G7696" s="0" t="s">
        <v>16</v>
      </c>
      <c r="H7696" s="0" t="n">
        <v>85</v>
      </c>
      <c r="I7696" s="0" t="s">
        <v>25714</v>
      </c>
      <c r="J7696" s="0" t="s">
        <v>25715</v>
      </c>
      <c r="K7696" s="0" t="s">
        <v>25716</v>
      </c>
      <c r="L7696" s="0" t="str">
        <f aca="false">HYPERLINK("https://www.ncbi.nlm.nih.gov/nuccore/CP000304.1?report=graph&amp;tracks=[key:gene_model_track,Options:GeneOnly]&amp;mk=2171059:2171078|offset_10|444444,2171029:2171048|offset_40|444444,2171007:2171026|offset_62|444444,2170984:2171003|offset_85|00cc00&amp;v=2170858:2171203&amp;c=444444", "offset 85")</f>
        <v>offset 85</v>
      </c>
    </row>
    <row r="7697" customFormat="false" ht="12.8" hidden="false" customHeight="false" outlineLevel="0" collapsed="false">
      <c r="A7697" s="0" t="s">
        <v>12</v>
      </c>
      <c r="B7697" s="0" t="n">
        <v>2171827</v>
      </c>
      <c r="C7697" s="0" t="n">
        <v>2171847</v>
      </c>
      <c r="D7697" s="0" t="s">
        <v>25717</v>
      </c>
      <c r="E7697" s="0" t="s">
        <v>89</v>
      </c>
      <c r="F7697" s="0" t="s">
        <v>90</v>
      </c>
      <c r="G7697" s="0" t="s">
        <v>16</v>
      </c>
      <c r="H7697" s="0" t="n">
        <v>29</v>
      </c>
      <c r="I7697" s="0" t="s">
        <v>25718</v>
      </c>
      <c r="J7697" s="0" t="s">
        <v>25719</v>
      </c>
      <c r="K7697" s="0" t="s">
        <v>25720</v>
      </c>
      <c r="L7697" s="0" t="str">
        <f aca="false">HYPERLINK("https://www.ncbi.nlm.nih.gov/nuccore/CP000304.1?report=graph&amp;tracks=[key:gene_model_track,Options:GeneOnly]&amp;mk=2171828:2171847|offset_29|00cc00,2171805:2171824|offset_52|444444,2171783:2171802|offset_74|444444,2171751:2171770|offset_106|444444&amp;v=2171627:2171970&amp;c=444444", "offset 29")</f>
        <v>offset 29</v>
      </c>
    </row>
    <row r="7698" customFormat="false" ht="12.8" hidden="false" customHeight="false" outlineLevel="0" collapsed="false">
      <c r="A7698" s="0" t="s">
        <v>12</v>
      </c>
      <c r="B7698" s="0" t="n">
        <v>2171804</v>
      </c>
      <c r="C7698" s="0" t="n">
        <v>2171824</v>
      </c>
      <c r="D7698" s="0" t="s">
        <v>25717</v>
      </c>
      <c r="E7698" s="0" t="s">
        <v>89</v>
      </c>
      <c r="F7698" s="0" t="s">
        <v>90</v>
      </c>
      <c r="G7698" s="0" t="s">
        <v>16</v>
      </c>
      <c r="H7698" s="0" t="n">
        <v>52</v>
      </c>
      <c r="I7698" s="0" t="s">
        <v>25721</v>
      </c>
      <c r="J7698" s="0" t="s">
        <v>25722</v>
      </c>
      <c r="K7698" s="0" t="s">
        <v>25723</v>
      </c>
      <c r="L7698" s="0" t="str">
        <f aca="false">HYPERLINK("https://www.ncbi.nlm.nih.gov/nuccore/CP000304.1?report=graph&amp;tracks=[key:gene_model_track,Options:GeneOnly]&amp;mk=2171828:2171847|offset_29|444444,2171805:2171824|offset_52|00cc00,2171783:2171802|offset_74|444444,2171751:2171770|offset_106|444444&amp;v=2171627:2171970&amp;c=444444", "offset 52")</f>
        <v>offset 52</v>
      </c>
    </row>
    <row r="7699" customFormat="false" ht="12.8" hidden="false" customHeight="false" outlineLevel="0" collapsed="false">
      <c r="A7699" s="0" t="s">
        <v>12</v>
      </c>
      <c r="B7699" s="0" t="n">
        <v>2171782</v>
      </c>
      <c r="C7699" s="0" t="n">
        <v>2171802</v>
      </c>
      <c r="D7699" s="0" t="s">
        <v>25717</v>
      </c>
      <c r="E7699" s="0" t="s">
        <v>89</v>
      </c>
      <c r="F7699" s="0" t="s">
        <v>90</v>
      </c>
      <c r="G7699" s="0" t="s">
        <v>26</v>
      </c>
      <c r="H7699" s="0" t="n">
        <v>74</v>
      </c>
      <c r="I7699" s="0" t="s">
        <v>25724</v>
      </c>
      <c r="J7699" s="0" t="s">
        <v>25725</v>
      </c>
      <c r="K7699" s="0" t="s">
        <v>25726</v>
      </c>
      <c r="L7699" s="0" t="str">
        <f aca="false">HYPERLINK("https://www.ncbi.nlm.nih.gov/nuccore/CP000304.1?report=graph&amp;tracks=[key:gene_model_track,Options:GeneOnly]&amp;mk=2171828:2171847|offset_29|444444,2171805:2171824|offset_52|444444,2171783:2171802|offset_74|00cc00,2171751:2171770|offset_106|444444&amp;v=2171627:2171970&amp;c=444444", "offset 74")</f>
        <v>offset 74</v>
      </c>
    </row>
    <row r="7700" customFormat="false" ht="12.8" hidden="false" customHeight="false" outlineLevel="0" collapsed="false">
      <c r="A7700" s="0" t="s">
        <v>12</v>
      </c>
      <c r="B7700" s="0" t="n">
        <v>2171750</v>
      </c>
      <c r="C7700" s="0" t="n">
        <v>2171770</v>
      </c>
      <c r="D7700" s="0" t="s">
        <v>25717</v>
      </c>
      <c r="E7700" s="0" t="s">
        <v>89</v>
      </c>
      <c r="F7700" s="0" t="s">
        <v>90</v>
      </c>
      <c r="G7700" s="0" t="s">
        <v>36</v>
      </c>
      <c r="H7700" s="0" t="n">
        <v>106</v>
      </c>
      <c r="I7700" s="0" t="s">
        <v>25727</v>
      </c>
      <c r="J7700" s="0" t="s">
        <v>25728</v>
      </c>
      <c r="K7700" s="0" t="s">
        <v>25729</v>
      </c>
      <c r="L7700" s="0" t="str">
        <f aca="false">HYPERLINK("https://www.ncbi.nlm.nih.gov/nuccore/CP000304.1?report=graph&amp;tracks=[key:gene_model_track,Options:GeneOnly]&amp;mk=2171828:2171847|offset_29|444444,2171805:2171824|offset_52|444444,2171783:2171802|offset_74|444444,2171751:2171770|offset_106|00cc00&amp;v=2171627:2171970&amp;c=444444", "offset 106")</f>
        <v>offset 106</v>
      </c>
    </row>
    <row r="7701" customFormat="false" ht="12.8" hidden="false" customHeight="false" outlineLevel="0" collapsed="false">
      <c r="A7701" s="0" t="s">
        <v>12</v>
      </c>
      <c r="B7701" s="0" t="n">
        <v>2172879</v>
      </c>
      <c r="C7701" s="0" t="n">
        <v>2172899</v>
      </c>
      <c r="D7701" s="0" t="s">
        <v>25730</v>
      </c>
      <c r="E7701" s="0" t="s">
        <v>89</v>
      </c>
      <c r="F7701" s="0" t="s">
        <v>90</v>
      </c>
      <c r="G7701" s="0" t="s">
        <v>32</v>
      </c>
      <c r="H7701" s="0" t="n">
        <v>1</v>
      </c>
      <c r="I7701" s="0" t="s">
        <v>25731</v>
      </c>
      <c r="J7701" s="0" t="s">
        <v>25732</v>
      </c>
      <c r="K7701" s="0" t="s">
        <v>25733</v>
      </c>
      <c r="L7701" s="0" t="str">
        <f aca="false">HYPERLINK("https://www.ncbi.nlm.nih.gov/nuccore/CP000304.1?report=graph&amp;tracks=[key:gene_model_track,Options:GeneOnly]&amp;mk=2172880:2172899|offset_1|00cc00,2172858:2172877|offset_23|444444,2172836:2172855|offset_45|444444,2172811:2172830|offset_70|444444&amp;v=2172679:2173030&amp;c=444444", "offset 1")</f>
        <v>offset 1</v>
      </c>
    </row>
    <row r="7702" customFormat="false" ht="12.8" hidden="false" customHeight="false" outlineLevel="0" collapsed="false">
      <c r="A7702" s="0" t="s">
        <v>12</v>
      </c>
      <c r="B7702" s="0" t="n">
        <v>2172857</v>
      </c>
      <c r="C7702" s="0" t="n">
        <v>2172877</v>
      </c>
      <c r="D7702" s="0" t="s">
        <v>25730</v>
      </c>
      <c r="E7702" s="0" t="s">
        <v>89</v>
      </c>
      <c r="F7702" s="0" t="s">
        <v>90</v>
      </c>
      <c r="G7702" s="0" t="s">
        <v>16</v>
      </c>
      <c r="H7702" s="0" t="n">
        <v>23</v>
      </c>
      <c r="I7702" s="0" t="s">
        <v>25734</v>
      </c>
      <c r="J7702" s="0" t="s">
        <v>25735</v>
      </c>
      <c r="K7702" s="0" t="s">
        <v>25736</v>
      </c>
      <c r="L7702" s="0" t="str">
        <f aca="false">HYPERLINK("https://www.ncbi.nlm.nih.gov/nuccore/CP000304.1?report=graph&amp;tracks=[key:gene_model_track,Options:GeneOnly]&amp;mk=2172880:2172899|offset_1|444444,2172858:2172877|offset_23|00cc00,2172836:2172855|offset_45|444444,2172811:2172830|offset_70|444444&amp;v=2172679:2173030&amp;c=444444", "offset 23")</f>
        <v>offset 23</v>
      </c>
    </row>
    <row r="7703" customFormat="false" ht="12.8" hidden="false" customHeight="false" outlineLevel="0" collapsed="false">
      <c r="A7703" s="0" t="s">
        <v>12</v>
      </c>
      <c r="B7703" s="0" t="n">
        <v>2172835</v>
      </c>
      <c r="C7703" s="0" t="n">
        <v>2172855</v>
      </c>
      <c r="D7703" s="0" t="s">
        <v>25730</v>
      </c>
      <c r="E7703" s="0" t="s">
        <v>89</v>
      </c>
      <c r="F7703" s="0" t="s">
        <v>90</v>
      </c>
      <c r="G7703" s="0" t="s">
        <v>36</v>
      </c>
      <c r="H7703" s="0" t="n">
        <v>45</v>
      </c>
      <c r="I7703" s="0" t="s">
        <v>25737</v>
      </c>
      <c r="J7703" s="0" t="s">
        <v>25738</v>
      </c>
      <c r="K7703" s="0" t="s">
        <v>25739</v>
      </c>
      <c r="L7703" s="0" t="str">
        <f aca="false">HYPERLINK("https://www.ncbi.nlm.nih.gov/nuccore/CP000304.1?report=graph&amp;tracks=[key:gene_model_track,Options:GeneOnly]&amp;mk=2172880:2172899|offset_1|444444,2172858:2172877|offset_23|444444,2172836:2172855|offset_45|00cc00,2172811:2172830|offset_70|444444&amp;v=2172679:2173030&amp;c=444444", "offset 45")</f>
        <v>offset 45</v>
      </c>
    </row>
    <row r="7704" customFormat="false" ht="12.8" hidden="false" customHeight="false" outlineLevel="0" collapsed="false">
      <c r="A7704" s="0" t="s">
        <v>12</v>
      </c>
      <c r="B7704" s="0" t="n">
        <v>2172810</v>
      </c>
      <c r="C7704" s="0" t="n">
        <v>2172830</v>
      </c>
      <c r="D7704" s="0" t="s">
        <v>25730</v>
      </c>
      <c r="E7704" s="0" t="s">
        <v>89</v>
      </c>
      <c r="F7704" s="0" t="s">
        <v>90</v>
      </c>
      <c r="G7704" s="0" t="s">
        <v>16</v>
      </c>
      <c r="H7704" s="0" t="n">
        <v>70</v>
      </c>
      <c r="I7704" s="0" t="s">
        <v>25740</v>
      </c>
      <c r="J7704" s="0" t="s">
        <v>25741</v>
      </c>
      <c r="K7704" s="0" t="s">
        <v>25742</v>
      </c>
      <c r="L7704" s="0" t="str">
        <f aca="false">HYPERLINK("https://www.ncbi.nlm.nih.gov/nuccore/CP000304.1?report=graph&amp;tracks=[key:gene_model_track,Options:GeneOnly]&amp;mk=2172880:2172899|offset_1|444444,2172858:2172877|offset_23|444444,2172836:2172855|offset_45|444444,2172811:2172830|offset_70|00cc00&amp;v=2172679:2173030&amp;c=444444", "offset 70")</f>
        <v>offset 70</v>
      </c>
    </row>
    <row r="7705" customFormat="false" ht="12.8" hidden="false" customHeight="false" outlineLevel="0" collapsed="false">
      <c r="A7705" s="0" t="s">
        <v>12</v>
      </c>
      <c r="B7705" s="0" t="n">
        <v>2173926</v>
      </c>
      <c r="C7705" s="0" t="n">
        <v>2173946</v>
      </c>
      <c r="D7705" s="0" t="s">
        <v>25743</v>
      </c>
      <c r="E7705" s="0" t="s">
        <v>89</v>
      </c>
      <c r="F7705" s="0" t="s">
        <v>90</v>
      </c>
      <c r="G7705" s="0" t="s">
        <v>32</v>
      </c>
      <c r="H7705" s="0" t="n">
        <v>1</v>
      </c>
      <c r="I7705" s="0" t="s">
        <v>25744</v>
      </c>
      <c r="J7705" s="0" t="s">
        <v>25745</v>
      </c>
      <c r="K7705" s="0" t="s">
        <v>25746</v>
      </c>
      <c r="L7705" s="0" t="str">
        <f aca="false">HYPERLINK("https://www.ncbi.nlm.nih.gov/nuccore/CP000304.1?report=graph&amp;tracks=[key:gene_model_track,Options:GeneOnly]&amp;mk=2173927:2173946|offset_1|00cc00,2173881:2173900|offset_47|444444,2173856:2173875|offset_72|444444,2173816:2173835|offset_112|444444&amp;v=2173726:2174035&amp;c=444444", "offset 1")</f>
        <v>offset 1</v>
      </c>
    </row>
    <row r="7706" customFormat="false" ht="12.8" hidden="false" customHeight="false" outlineLevel="0" collapsed="false">
      <c r="A7706" s="0" t="s">
        <v>12</v>
      </c>
      <c r="B7706" s="0" t="n">
        <v>2173880</v>
      </c>
      <c r="C7706" s="0" t="n">
        <v>2173900</v>
      </c>
      <c r="D7706" s="0" t="s">
        <v>25743</v>
      </c>
      <c r="E7706" s="0" t="s">
        <v>89</v>
      </c>
      <c r="F7706" s="0" t="s">
        <v>90</v>
      </c>
      <c r="G7706" s="0" t="s">
        <v>26</v>
      </c>
      <c r="H7706" s="0" t="n">
        <v>47</v>
      </c>
      <c r="I7706" s="0" t="s">
        <v>25747</v>
      </c>
      <c r="J7706" s="0" t="s">
        <v>25748</v>
      </c>
      <c r="K7706" s="0" t="s">
        <v>25749</v>
      </c>
      <c r="L7706" s="0" t="str">
        <f aca="false">HYPERLINK("https://www.ncbi.nlm.nih.gov/nuccore/CP000304.1?report=graph&amp;tracks=[key:gene_model_track,Options:GeneOnly]&amp;mk=2173927:2173946|offset_1|444444,2173881:2173900|offset_47|00cc00,2173856:2173875|offset_72|444444,2173816:2173835|offset_112|444444&amp;v=2173726:2174035&amp;c=444444", "offset 47")</f>
        <v>offset 47</v>
      </c>
    </row>
    <row r="7707" customFormat="false" ht="12.8" hidden="false" customHeight="false" outlineLevel="0" collapsed="false">
      <c r="A7707" s="0" t="s">
        <v>12</v>
      </c>
      <c r="B7707" s="0" t="n">
        <v>2173855</v>
      </c>
      <c r="C7707" s="0" t="n">
        <v>2173875</v>
      </c>
      <c r="D7707" s="0" t="s">
        <v>25743</v>
      </c>
      <c r="E7707" s="0" t="s">
        <v>89</v>
      </c>
      <c r="F7707" s="0" t="s">
        <v>90</v>
      </c>
      <c r="G7707" s="0" t="s">
        <v>16</v>
      </c>
      <c r="H7707" s="0" t="n">
        <v>72</v>
      </c>
      <c r="I7707" s="0" t="s">
        <v>25750</v>
      </c>
      <c r="J7707" s="0" t="s">
        <v>25751</v>
      </c>
      <c r="K7707" s="0" t="s">
        <v>25752</v>
      </c>
      <c r="L7707" s="0" t="str">
        <f aca="false">HYPERLINK("https://www.ncbi.nlm.nih.gov/nuccore/CP000304.1?report=graph&amp;tracks=[key:gene_model_track,Options:GeneOnly]&amp;mk=2173927:2173946|offset_1|444444,2173881:2173900|offset_47|444444,2173856:2173875|offset_72|00cc00,2173816:2173835|offset_112|444444&amp;v=2173726:2174035&amp;c=444444", "offset 72")</f>
        <v>offset 72</v>
      </c>
    </row>
    <row r="7708" customFormat="false" ht="12.8" hidden="false" customHeight="false" outlineLevel="0" collapsed="false">
      <c r="A7708" s="0" t="s">
        <v>12</v>
      </c>
      <c r="B7708" s="0" t="n">
        <v>2173815</v>
      </c>
      <c r="C7708" s="0" t="n">
        <v>2173835</v>
      </c>
      <c r="D7708" s="0" t="s">
        <v>25743</v>
      </c>
      <c r="E7708" s="0" t="s">
        <v>89</v>
      </c>
      <c r="F7708" s="0" t="s">
        <v>90</v>
      </c>
      <c r="G7708" s="0" t="s">
        <v>16</v>
      </c>
      <c r="H7708" s="0" t="n">
        <v>112</v>
      </c>
      <c r="I7708" s="0" t="s">
        <v>25753</v>
      </c>
      <c r="J7708" s="0" t="s">
        <v>25754</v>
      </c>
      <c r="K7708" s="0" t="s">
        <v>25755</v>
      </c>
      <c r="L7708" s="0" t="str">
        <f aca="false">HYPERLINK("https://www.ncbi.nlm.nih.gov/nuccore/CP000304.1?report=graph&amp;tracks=[key:gene_model_track,Options:GeneOnly]&amp;mk=2173927:2173946|offset_1|444444,2173881:2173900|offset_47|444444,2173856:2173875|offset_72|444444,2173816:2173835|offset_112|00cc00&amp;v=2173726:2174035&amp;c=444444", "offset 112")</f>
        <v>offset 112</v>
      </c>
    </row>
    <row r="7709" customFormat="false" ht="12.8" hidden="false" customHeight="false" outlineLevel="0" collapsed="false">
      <c r="A7709" s="0" t="s">
        <v>12</v>
      </c>
      <c r="B7709" s="0" t="n">
        <v>2175346</v>
      </c>
      <c r="C7709" s="0" t="n">
        <v>2175366</v>
      </c>
      <c r="D7709" s="0" t="s">
        <v>25756</v>
      </c>
      <c r="E7709" s="0" t="s">
        <v>89</v>
      </c>
      <c r="F7709" s="0" t="s">
        <v>90</v>
      </c>
      <c r="G7709" s="0" t="s">
        <v>32</v>
      </c>
      <c r="H7709" s="0" t="n">
        <v>1</v>
      </c>
      <c r="I7709" s="0" t="s">
        <v>25757</v>
      </c>
      <c r="J7709" s="0" t="s">
        <v>25758</v>
      </c>
      <c r="K7709" s="0" t="s">
        <v>25759</v>
      </c>
      <c r="L7709" s="0" t="str">
        <f aca="false">HYPERLINK("https://www.ncbi.nlm.nih.gov/nuccore/CP000304.1?report=graph&amp;tracks=[key:gene_model_track,Options:GeneOnly]&amp;mk=2175347:2175366|offset_1|00cc00,2175306:2175325|offset_42|444444,2175285:2175304|offset_63|444444,2175260:2175279|offset_88|444444&amp;v=2175146:2175479&amp;c=444444", "offset 1")</f>
        <v>offset 1</v>
      </c>
    </row>
    <row r="7710" customFormat="false" ht="12.8" hidden="false" customHeight="false" outlineLevel="0" collapsed="false">
      <c r="A7710" s="0" t="s">
        <v>12</v>
      </c>
      <c r="B7710" s="0" t="n">
        <v>2175305</v>
      </c>
      <c r="C7710" s="0" t="n">
        <v>2175325</v>
      </c>
      <c r="D7710" s="0" t="s">
        <v>25756</v>
      </c>
      <c r="E7710" s="0" t="s">
        <v>89</v>
      </c>
      <c r="F7710" s="0" t="s">
        <v>90</v>
      </c>
      <c r="G7710" s="0" t="s">
        <v>16</v>
      </c>
      <c r="H7710" s="0" t="n">
        <v>42</v>
      </c>
      <c r="I7710" s="0" t="s">
        <v>25760</v>
      </c>
      <c r="J7710" s="0" t="s">
        <v>25761</v>
      </c>
      <c r="K7710" s="0" t="s">
        <v>25762</v>
      </c>
      <c r="L7710" s="0" t="str">
        <f aca="false">HYPERLINK("https://www.ncbi.nlm.nih.gov/nuccore/CP000304.1?report=graph&amp;tracks=[key:gene_model_track,Options:GeneOnly]&amp;mk=2175347:2175366|offset_1|444444,2175306:2175325|offset_42|00cc00,2175285:2175304|offset_63|444444,2175260:2175279|offset_88|444444&amp;v=2175146:2175479&amp;c=444444", "offset 42")</f>
        <v>offset 42</v>
      </c>
    </row>
    <row r="7711" customFormat="false" ht="12.8" hidden="false" customHeight="false" outlineLevel="0" collapsed="false">
      <c r="A7711" s="0" t="s">
        <v>12</v>
      </c>
      <c r="B7711" s="0" t="n">
        <v>2175284</v>
      </c>
      <c r="C7711" s="0" t="n">
        <v>2175304</v>
      </c>
      <c r="D7711" s="0" t="s">
        <v>25756</v>
      </c>
      <c r="E7711" s="0" t="s">
        <v>89</v>
      </c>
      <c r="F7711" s="0" t="s">
        <v>90</v>
      </c>
      <c r="G7711" s="0" t="s">
        <v>16</v>
      </c>
      <c r="H7711" s="0" t="n">
        <v>63</v>
      </c>
      <c r="I7711" s="0" t="s">
        <v>25763</v>
      </c>
      <c r="J7711" s="0" t="s">
        <v>25764</v>
      </c>
      <c r="K7711" s="0" t="s">
        <v>25765</v>
      </c>
      <c r="L7711" s="0" t="str">
        <f aca="false">HYPERLINK("https://www.ncbi.nlm.nih.gov/nuccore/CP000304.1?report=graph&amp;tracks=[key:gene_model_track,Options:GeneOnly]&amp;mk=2175347:2175366|offset_1|444444,2175306:2175325|offset_42|444444,2175285:2175304|offset_63|00cc00,2175260:2175279|offset_88|444444&amp;v=2175146:2175479&amp;c=444444", "offset 63")</f>
        <v>offset 63</v>
      </c>
    </row>
    <row r="7712" customFormat="false" ht="12.8" hidden="false" customHeight="false" outlineLevel="0" collapsed="false">
      <c r="A7712" s="0" t="s">
        <v>12</v>
      </c>
      <c r="B7712" s="0" t="n">
        <v>2175259</v>
      </c>
      <c r="C7712" s="0" t="n">
        <v>2175279</v>
      </c>
      <c r="D7712" s="0" t="s">
        <v>25756</v>
      </c>
      <c r="E7712" s="0" t="s">
        <v>89</v>
      </c>
      <c r="F7712" s="0" t="s">
        <v>90</v>
      </c>
      <c r="G7712" s="0" t="s">
        <v>32</v>
      </c>
      <c r="H7712" s="0" t="n">
        <v>88</v>
      </c>
      <c r="I7712" s="0" t="s">
        <v>25766</v>
      </c>
      <c r="J7712" s="0" t="s">
        <v>25767</v>
      </c>
      <c r="K7712" s="0" t="s">
        <v>25768</v>
      </c>
      <c r="L7712" s="0" t="str">
        <f aca="false">HYPERLINK("https://www.ncbi.nlm.nih.gov/nuccore/CP000304.1?report=graph&amp;tracks=[key:gene_model_track,Options:GeneOnly]&amp;mk=2175347:2175366|offset_1|444444,2175306:2175325|offset_42|444444,2175285:2175304|offset_63|444444,2175260:2175279|offset_88|00cc00&amp;v=2175146:2175479&amp;c=444444", "offset 88")</f>
        <v>offset 88</v>
      </c>
    </row>
    <row r="7713" customFormat="false" ht="12.8" hidden="false" customHeight="false" outlineLevel="0" collapsed="false">
      <c r="A7713" s="0" t="s">
        <v>12</v>
      </c>
      <c r="B7713" s="0" t="n">
        <v>2177275</v>
      </c>
      <c r="C7713" s="0" t="n">
        <v>2177295</v>
      </c>
      <c r="D7713" s="0" t="s">
        <v>25769</v>
      </c>
      <c r="E7713" s="0" t="s">
        <v>89</v>
      </c>
      <c r="F7713" s="0" t="s">
        <v>90</v>
      </c>
      <c r="G7713" s="0" t="s">
        <v>32</v>
      </c>
      <c r="H7713" s="0" t="n">
        <v>7</v>
      </c>
      <c r="I7713" s="0" t="s">
        <v>25770</v>
      </c>
      <c r="J7713" s="0" t="s">
        <v>25771</v>
      </c>
      <c r="K7713" s="0" t="s">
        <v>25772</v>
      </c>
      <c r="L7713" s="0" t="str">
        <f aca="false">HYPERLINK("https://www.ncbi.nlm.nih.gov/nuccore/CP000304.1?report=graph&amp;tracks=[key:gene_model_track,Options:GeneOnly]&amp;mk=2177276:2177295|offset_7|00cc00,2177252:2177271|offset_31|444444,2177228:2177247|offset_55|444444,2177195:2177214|offset_88|444444&amp;v=2177075:2177414&amp;c=444444", "offset 7")</f>
        <v>offset 7</v>
      </c>
    </row>
    <row r="7714" customFormat="false" ht="12.8" hidden="false" customHeight="false" outlineLevel="0" collapsed="false">
      <c r="A7714" s="0" t="s">
        <v>12</v>
      </c>
      <c r="B7714" s="0" t="n">
        <v>2177251</v>
      </c>
      <c r="C7714" s="0" t="n">
        <v>2177271</v>
      </c>
      <c r="D7714" s="0" t="s">
        <v>25769</v>
      </c>
      <c r="E7714" s="0" t="s">
        <v>89</v>
      </c>
      <c r="F7714" s="0" t="s">
        <v>90</v>
      </c>
      <c r="G7714" s="0" t="s">
        <v>32</v>
      </c>
      <c r="H7714" s="0" t="n">
        <v>31</v>
      </c>
      <c r="I7714" s="0" t="s">
        <v>25773</v>
      </c>
      <c r="J7714" s="0" t="s">
        <v>25774</v>
      </c>
      <c r="K7714" s="0" t="s">
        <v>25775</v>
      </c>
      <c r="L7714" s="0" t="str">
        <f aca="false">HYPERLINK("https://www.ncbi.nlm.nih.gov/nuccore/CP000304.1?report=graph&amp;tracks=[key:gene_model_track,Options:GeneOnly]&amp;mk=2177276:2177295|offset_7|444444,2177252:2177271|offset_31|00cc00,2177228:2177247|offset_55|444444,2177195:2177214|offset_88|444444&amp;v=2177075:2177414&amp;c=444444", "offset 31")</f>
        <v>offset 31</v>
      </c>
    </row>
    <row r="7715" customFormat="false" ht="12.8" hidden="false" customHeight="false" outlineLevel="0" collapsed="false">
      <c r="A7715" s="0" t="s">
        <v>12</v>
      </c>
      <c r="B7715" s="0" t="n">
        <v>2177227</v>
      </c>
      <c r="C7715" s="0" t="n">
        <v>2177247</v>
      </c>
      <c r="D7715" s="0" t="s">
        <v>25769</v>
      </c>
      <c r="E7715" s="0" t="s">
        <v>89</v>
      </c>
      <c r="F7715" s="0" t="s">
        <v>90</v>
      </c>
      <c r="G7715" s="0" t="s">
        <v>16</v>
      </c>
      <c r="H7715" s="0" t="n">
        <v>55</v>
      </c>
      <c r="I7715" s="0" t="s">
        <v>25776</v>
      </c>
      <c r="J7715" s="0" t="s">
        <v>25777</v>
      </c>
      <c r="K7715" s="0" t="s">
        <v>25778</v>
      </c>
      <c r="L7715" s="0" t="str">
        <f aca="false">HYPERLINK("https://www.ncbi.nlm.nih.gov/nuccore/CP000304.1?report=graph&amp;tracks=[key:gene_model_track,Options:GeneOnly]&amp;mk=2177276:2177295|offset_7|444444,2177252:2177271|offset_31|444444,2177228:2177247|offset_55|00cc00,2177195:2177214|offset_88|444444&amp;v=2177075:2177414&amp;c=444444", "offset 55")</f>
        <v>offset 55</v>
      </c>
    </row>
    <row r="7716" customFormat="false" ht="12.8" hidden="false" customHeight="false" outlineLevel="0" collapsed="false">
      <c r="A7716" s="0" t="s">
        <v>12</v>
      </c>
      <c r="B7716" s="0" t="n">
        <v>2177194</v>
      </c>
      <c r="C7716" s="0" t="n">
        <v>2177214</v>
      </c>
      <c r="D7716" s="0" t="s">
        <v>25769</v>
      </c>
      <c r="E7716" s="0" t="s">
        <v>89</v>
      </c>
      <c r="F7716" s="0" t="s">
        <v>90</v>
      </c>
      <c r="G7716" s="0" t="s">
        <v>36</v>
      </c>
      <c r="H7716" s="0" t="n">
        <v>88</v>
      </c>
      <c r="I7716" s="0" t="s">
        <v>25779</v>
      </c>
      <c r="J7716" s="0" t="s">
        <v>25780</v>
      </c>
      <c r="K7716" s="0" t="s">
        <v>25781</v>
      </c>
      <c r="L7716" s="0" t="str">
        <f aca="false">HYPERLINK("https://www.ncbi.nlm.nih.gov/nuccore/CP000304.1?report=graph&amp;tracks=[key:gene_model_track,Options:GeneOnly]&amp;mk=2177276:2177295|offset_7|444444,2177252:2177271|offset_31|444444,2177228:2177247|offset_55|444444,2177195:2177214|offset_88|00cc00&amp;v=2177075:2177414&amp;c=444444", "offset 88")</f>
        <v>offset 88</v>
      </c>
    </row>
    <row r="7717" customFormat="false" ht="12.8" hidden="false" customHeight="false" outlineLevel="0" collapsed="false">
      <c r="A7717" s="0" t="s">
        <v>12</v>
      </c>
      <c r="B7717" s="0" t="n">
        <v>2181796</v>
      </c>
      <c r="C7717" s="0" t="n">
        <v>2181816</v>
      </c>
      <c r="D7717" s="0" t="s">
        <v>25782</v>
      </c>
      <c r="E7717" s="0" t="s">
        <v>89</v>
      </c>
      <c r="F7717" s="0" t="s">
        <v>90</v>
      </c>
      <c r="G7717" s="0" t="s">
        <v>26</v>
      </c>
      <c r="H7717" s="0" t="n">
        <v>8</v>
      </c>
      <c r="I7717" s="0" t="s">
        <v>25783</v>
      </c>
      <c r="J7717" s="0" t="s">
        <v>25784</v>
      </c>
      <c r="K7717" s="0" t="s">
        <v>25785</v>
      </c>
      <c r="L7717" s="0" t="str">
        <f aca="false">HYPERLINK("https://www.ncbi.nlm.nih.gov/nuccore/CP000304.1?report=graph&amp;tracks=[key:gene_model_track,Options:GeneOnly]&amp;mk=2181797:2181816|offset_8|00cc00,2181776:2181795|offset_29|444444,2181755:2181774|offset_50|444444,2181733:2181752|offset_72|444444&amp;v=2181596:2181952&amp;c=444444", "offset 8")</f>
        <v>offset 8</v>
      </c>
    </row>
    <row r="7718" customFormat="false" ht="12.8" hidden="false" customHeight="false" outlineLevel="0" collapsed="false">
      <c r="A7718" s="0" t="s">
        <v>12</v>
      </c>
      <c r="B7718" s="0" t="n">
        <v>2181775</v>
      </c>
      <c r="C7718" s="0" t="n">
        <v>2181795</v>
      </c>
      <c r="D7718" s="0" t="s">
        <v>25782</v>
      </c>
      <c r="E7718" s="0" t="s">
        <v>89</v>
      </c>
      <c r="F7718" s="0" t="s">
        <v>90</v>
      </c>
      <c r="G7718" s="0" t="s">
        <v>36</v>
      </c>
      <c r="H7718" s="0" t="n">
        <v>29</v>
      </c>
      <c r="I7718" s="0" t="s">
        <v>25786</v>
      </c>
      <c r="J7718" s="0" t="s">
        <v>25787</v>
      </c>
      <c r="K7718" s="0" t="s">
        <v>25788</v>
      </c>
      <c r="L7718" s="0" t="str">
        <f aca="false">HYPERLINK("https://www.ncbi.nlm.nih.gov/nuccore/CP000304.1?report=graph&amp;tracks=[key:gene_model_track,Options:GeneOnly]&amp;mk=2181797:2181816|offset_8|444444,2181776:2181795|offset_29|00cc00,2181755:2181774|offset_50|444444,2181733:2181752|offset_72|444444&amp;v=2181596:2181952&amp;c=444444", "offset 29")</f>
        <v>offset 29</v>
      </c>
    </row>
    <row r="7719" customFormat="false" ht="12.8" hidden="false" customHeight="false" outlineLevel="0" collapsed="false">
      <c r="A7719" s="0" t="s">
        <v>12</v>
      </c>
      <c r="B7719" s="0" t="n">
        <v>2181754</v>
      </c>
      <c r="C7719" s="0" t="n">
        <v>2181774</v>
      </c>
      <c r="D7719" s="0" t="s">
        <v>25782</v>
      </c>
      <c r="E7719" s="0" t="s">
        <v>89</v>
      </c>
      <c r="F7719" s="0" t="s">
        <v>90</v>
      </c>
      <c r="G7719" s="0" t="s">
        <v>32</v>
      </c>
      <c r="H7719" s="0" t="n">
        <v>50</v>
      </c>
      <c r="I7719" s="0" t="s">
        <v>25789</v>
      </c>
      <c r="J7719" s="0" t="s">
        <v>25790</v>
      </c>
      <c r="K7719" s="0" t="s">
        <v>25791</v>
      </c>
      <c r="L7719" s="0" t="str">
        <f aca="false">HYPERLINK("https://www.ncbi.nlm.nih.gov/nuccore/CP000304.1?report=graph&amp;tracks=[key:gene_model_track,Options:GeneOnly]&amp;mk=2181797:2181816|offset_8|444444,2181776:2181795|offset_29|444444,2181755:2181774|offset_50|00cc00,2181733:2181752|offset_72|444444&amp;v=2181596:2181952&amp;c=444444", "offset 50")</f>
        <v>offset 50</v>
      </c>
    </row>
    <row r="7720" customFormat="false" ht="12.8" hidden="false" customHeight="false" outlineLevel="0" collapsed="false">
      <c r="A7720" s="0" t="s">
        <v>12</v>
      </c>
      <c r="B7720" s="0" t="n">
        <v>2181732</v>
      </c>
      <c r="C7720" s="0" t="n">
        <v>2181752</v>
      </c>
      <c r="D7720" s="0" t="s">
        <v>25782</v>
      </c>
      <c r="E7720" s="0" t="s">
        <v>89</v>
      </c>
      <c r="F7720" s="0" t="s">
        <v>90</v>
      </c>
      <c r="G7720" s="0" t="s">
        <v>16</v>
      </c>
      <c r="H7720" s="0" t="n">
        <v>72</v>
      </c>
      <c r="I7720" s="0" t="s">
        <v>25792</v>
      </c>
      <c r="J7720" s="0" t="s">
        <v>25793</v>
      </c>
      <c r="K7720" s="0" t="s">
        <v>25794</v>
      </c>
      <c r="L7720" s="0" t="str">
        <f aca="false">HYPERLINK("https://www.ncbi.nlm.nih.gov/nuccore/CP000304.1?report=graph&amp;tracks=[key:gene_model_track,Options:GeneOnly]&amp;mk=2181797:2181816|offset_8|444444,2181776:2181795|offset_29|444444,2181755:2181774|offset_50|444444,2181733:2181752|offset_72|00cc00&amp;v=2181596:2181952&amp;c=444444", "offset 72")</f>
        <v>offset 72</v>
      </c>
    </row>
    <row r="7721" customFormat="false" ht="12.8" hidden="false" customHeight="false" outlineLevel="0" collapsed="false">
      <c r="A7721" s="0" t="s">
        <v>12</v>
      </c>
      <c r="B7721" s="0" t="n">
        <v>2182523</v>
      </c>
      <c r="C7721" s="0" t="n">
        <v>2182543</v>
      </c>
      <c r="D7721" s="0" t="s">
        <v>25795</v>
      </c>
      <c r="E7721" s="0" t="s">
        <v>89</v>
      </c>
      <c r="F7721" s="0" t="s">
        <v>90</v>
      </c>
      <c r="G7721" s="0" t="s">
        <v>16</v>
      </c>
      <c r="H7721" s="0" t="n">
        <v>23</v>
      </c>
      <c r="I7721" s="0" t="s">
        <v>25796</v>
      </c>
      <c r="J7721" s="0" t="s">
        <v>25797</v>
      </c>
      <c r="K7721" s="0" t="s">
        <v>25798</v>
      </c>
      <c r="L7721" s="0" t="str">
        <f aca="false">HYPERLINK("https://www.ncbi.nlm.nih.gov/nuccore/CP000304.1?report=graph&amp;tracks=[key:gene_model_track,Options:GeneOnly]&amp;mk=2182524:2182543|offset_23|00cc00,2182501:2182520|offset_46|444444,2182480:2182499|offset_67|444444,2182458:2182477|offset_89|444444&amp;v=2182323:2182677&amp;c=444444", "offset 23")</f>
        <v>offset 23</v>
      </c>
    </row>
    <row r="7722" customFormat="false" ht="12.8" hidden="false" customHeight="false" outlineLevel="0" collapsed="false">
      <c r="A7722" s="0" t="s">
        <v>12</v>
      </c>
      <c r="B7722" s="0" t="n">
        <v>2182500</v>
      </c>
      <c r="C7722" s="0" t="n">
        <v>2182520</v>
      </c>
      <c r="D7722" s="0" t="s">
        <v>25795</v>
      </c>
      <c r="E7722" s="0" t="s">
        <v>89</v>
      </c>
      <c r="F7722" s="0" t="s">
        <v>90</v>
      </c>
      <c r="G7722" s="0" t="s">
        <v>16</v>
      </c>
      <c r="H7722" s="0" t="n">
        <v>46</v>
      </c>
      <c r="I7722" s="0" t="s">
        <v>25799</v>
      </c>
      <c r="J7722" s="0" t="s">
        <v>25800</v>
      </c>
      <c r="K7722" s="0" t="s">
        <v>25801</v>
      </c>
      <c r="L7722" s="0" t="str">
        <f aca="false">HYPERLINK("https://www.ncbi.nlm.nih.gov/nuccore/CP000304.1?report=graph&amp;tracks=[key:gene_model_track,Options:GeneOnly]&amp;mk=2182524:2182543|offset_23|444444,2182501:2182520|offset_46|00cc00,2182480:2182499|offset_67|444444,2182458:2182477|offset_89|444444&amp;v=2182323:2182677&amp;c=444444", "offset 46")</f>
        <v>offset 46</v>
      </c>
    </row>
    <row r="7723" customFormat="false" ht="12.8" hidden="false" customHeight="false" outlineLevel="0" collapsed="false">
      <c r="A7723" s="0" t="s">
        <v>12</v>
      </c>
      <c r="B7723" s="0" t="n">
        <v>2182479</v>
      </c>
      <c r="C7723" s="0" t="n">
        <v>2182499</v>
      </c>
      <c r="D7723" s="0" t="s">
        <v>25795</v>
      </c>
      <c r="E7723" s="0" t="s">
        <v>89</v>
      </c>
      <c r="F7723" s="0" t="s">
        <v>90</v>
      </c>
      <c r="G7723" s="0" t="s">
        <v>26</v>
      </c>
      <c r="H7723" s="0" t="n">
        <v>67</v>
      </c>
      <c r="I7723" s="0" t="s">
        <v>25802</v>
      </c>
      <c r="J7723" s="0" t="s">
        <v>25803</v>
      </c>
      <c r="K7723" s="0" t="s">
        <v>25804</v>
      </c>
      <c r="L7723" s="0" t="str">
        <f aca="false">HYPERLINK("https://www.ncbi.nlm.nih.gov/nuccore/CP000304.1?report=graph&amp;tracks=[key:gene_model_track,Options:GeneOnly]&amp;mk=2182524:2182543|offset_23|444444,2182501:2182520|offset_46|444444,2182480:2182499|offset_67|00cc00,2182458:2182477|offset_89|444444&amp;v=2182323:2182677&amp;c=444444", "offset 67")</f>
        <v>offset 67</v>
      </c>
    </row>
    <row r="7724" customFormat="false" ht="12.8" hidden="false" customHeight="false" outlineLevel="0" collapsed="false">
      <c r="A7724" s="0" t="s">
        <v>12</v>
      </c>
      <c r="B7724" s="0" t="n">
        <v>2182457</v>
      </c>
      <c r="C7724" s="0" t="n">
        <v>2182477</v>
      </c>
      <c r="D7724" s="0" t="s">
        <v>25795</v>
      </c>
      <c r="E7724" s="0" t="s">
        <v>89</v>
      </c>
      <c r="F7724" s="0" t="s">
        <v>90</v>
      </c>
      <c r="G7724" s="0" t="s">
        <v>32</v>
      </c>
      <c r="H7724" s="0" t="n">
        <v>89</v>
      </c>
      <c r="I7724" s="0" t="s">
        <v>25805</v>
      </c>
      <c r="J7724" s="0" t="s">
        <v>25806</v>
      </c>
      <c r="K7724" s="0" t="s">
        <v>25807</v>
      </c>
      <c r="L7724" s="0" t="str">
        <f aca="false">HYPERLINK("https://www.ncbi.nlm.nih.gov/nuccore/CP000304.1?report=graph&amp;tracks=[key:gene_model_track,Options:GeneOnly]&amp;mk=2182524:2182543|offset_23|444444,2182501:2182520|offset_46|444444,2182480:2182499|offset_67|444444,2182458:2182477|offset_89|00cc00&amp;v=2182323:2182677&amp;c=444444", "offset 89")</f>
        <v>offset 89</v>
      </c>
    </row>
    <row r="7725" customFormat="false" ht="12.8" hidden="false" customHeight="false" outlineLevel="0" collapsed="false">
      <c r="A7725" s="0" t="s">
        <v>12</v>
      </c>
      <c r="B7725" s="0" t="n">
        <v>2183410</v>
      </c>
      <c r="C7725" s="0" t="n">
        <v>2183430</v>
      </c>
      <c r="D7725" s="0" t="s">
        <v>25808</v>
      </c>
      <c r="E7725" s="0" t="s">
        <v>89</v>
      </c>
      <c r="F7725" s="0" t="s">
        <v>90</v>
      </c>
      <c r="G7725" s="0" t="s">
        <v>16</v>
      </c>
      <c r="H7725" s="0" t="n">
        <v>25</v>
      </c>
      <c r="I7725" s="0" t="s">
        <v>25809</v>
      </c>
      <c r="J7725" s="0" t="s">
        <v>25810</v>
      </c>
      <c r="K7725" s="0" t="s">
        <v>25811</v>
      </c>
      <c r="L7725" s="0" t="str">
        <f aca="false">HYPERLINK("https://www.ncbi.nlm.nih.gov/nuccore/CP000304.1?report=graph&amp;tracks=[key:gene_model_track,Options:GeneOnly]&amp;mk=2183411:2183430|offset_25|00cc00,2183390:2183409|offset_46|444444,2183370:2183389|offset_66|444444,2183345:2183364|offset_91|444444&amp;v=2183210:2183564&amp;c=444444", "offset 25")</f>
        <v>offset 25</v>
      </c>
    </row>
    <row r="7726" customFormat="false" ht="12.8" hidden="false" customHeight="false" outlineLevel="0" collapsed="false">
      <c r="A7726" s="0" t="s">
        <v>12</v>
      </c>
      <c r="B7726" s="0" t="n">
        <v>2183389</v>
      </c>
      <c r="C7726" s="0" t="n">
        <v>2183409</v>
      </c>
      <c r="D7726" s="0" t="s">
        <v>25808</v>
      </c>
      <c r="E7726" s="0" t="s">
        <v>89</v>
      </c>
      <c r="F7726" s="0" t="s">
        <v>90</v>
      </c>
      <c r="G7726" s="0" t="s">
        <v>36</v>
      </c>
      <c r="H7726" s="0" t="n">
        <v>46</v>
      </c>
      <c r="I7726" s="0" t="s">
        <v>25812</v>
      </c>
      <c r="J7726" s="0" t="s">
        <v>25813</v>
      </c>
      <c r="K7726" s="0" t="s">
        <v>25814</v>
      </c>
      <c r="L7726" s="0" t="str">
        <f aca="false">HYPERLINK("https://www.ncbi.nlm.nih.gov/nuccore/CP000304.1?report=graph&amp;tracks=[key:gene_model_track,Options:GeneOnly]&amp;mk=2183411:2183430|offset_25|444444,2183390:2183409|offset_46|00cc00,2183370:2183389|offset_66|444444,2183345:2183364|offset_91|444444&amp;v=2183210:2183564&amp;c=444444", "offset 46")</f>
        <v>offset 46</v>
      </c>
    </row>
    <row r="7727" customFormat="false" ht="12.8" hidden="false" customHeight="false" outlineLevel="0" collapsed="false">
      <c r="A7727" s="0" t="s">
        <v>12</v>
      </c>
      <c r="B7727" s="0" t="n">
        <v>2183369</v>
      </c>
      <c r="C7727" s="0" t="n">
        <v>2183389</v>
      </c>
      <c r="D7727" s="0" t="s">
        <v>25808</v>
      </c>
      <c r="E7727" s="0" t="s">
        <v>89</v>
      </c>
      <c r="F7727" s="0" t="s">
        <v>90</v>
      </c>
      <c r="G7727" s="0" t="s">
        <v>26</v>
      </c>
      <c r="H7727" s="0" t="n">
        <v>66</v>
      </c>
      <c r="I7727" s="0" t="s">
        <v>25815</v>
      </c>
      <c r="J7727" s="0" t="s">
        <v>25816</v>
      </c>
      <c r="K7727" s="0" t="s">
        <v>25817</v>
      </c>
      <c r="L7727" s="0" t="str">
        <f aca="false">HYPERLINK("https://www.ncbi.nlm.nih.gov/nuccore/CP000304.1?report=graph&amp;tracks=[key:gene_model_track,Options:GeneOnly]&amp;mk=2183411:2183430|offset_25|444444,2183390:2183409|offset_46|444444,2183370:2183389|offset_66|00cc00,2183345:2183364|offset_91|444444&amp;v=2183210:2183564&amp;c=444444", "offset 66")</f>
        <v>offset 66</v>
      </c>
    </row>
    <row r="7728" customFormat="false" ht="12.8" hidden="false" customHeight="false" outlineLevel="0" collapsed="false">
      <c r="A7728" s="0" t="s">
        <v>12</v>
      </c>
      <c r="B7728" s="0" t="n">
        <v>2183344</v>
      </c>
      <c r="C7728" s="0" t="n">
        <v>2183364</v>
      </c>
      <c r="D7728" s="0" t="s">
        <v>25808</v>
      </c>
      <c r="E7728" s="0" t="s">
        <v>89</v>
      </c>
      <c r="F7728" s="0" t="s">
        <v>90</v>
      </c>
      <c r="G7728" s="0" t="s">
        <v>32</v>
      </c>
      <c r="H7728" s="0" t="n">
        <v>91</v>
      </c>
      <c r="I7728" s="0" t="s">
        <v>25818</v>
      </c>
      <c r="J7728" s="0" t="s">
        <v>25819</v>
      </c>
      <c r="K7728" s="0" t="s">
        <v>25820</v>
      </c>
      <c r="L7728" s="0" t="str">
        <f aca="false">HYPERLINK("https://www.ncbi.nlm.nih.gov/nuccore/CP000304.1?report=graph&amp;tracks=[key:gene_model_track,Options:GeneOnly]&amp;mk=2183411:2183430|offset_25|444444,2183390:2183409|offset_46|444444,2183370:2183389|offset_66|444444,2183345:2183364|offset_91|00cc00&amp;v=2183210:2183564&amp;c=444444", "offset 91")</f>
        <v>offset 91</v>
      </c>
    </row>
    <row r="7729" customFormat="false" ht="12.8" hidden="false" customHeight="false" outlineLevel="0" collapsed="false">
      <c r="A7729" s="0" t="s">
        <v>12</v>
      </c>
      <c r="B7729" s="0" t="n">
        <v>2184247</v>
      </c>
      <c r="C7729" s="0" t="n">
        <v>2184267</v>
      </c>
      <c r="D7729" s="0" t="s">
        <v>25821</v>
      </c>
      <c r="E7729" s="0" t="s">
        <v>89</v>
      </c>
      <c r="F7729" s="0" t="s">
        <v>90</v>
      </c>
      <c r="G7729" s="0" t="s">
        <v>36</v>
      </c>
      <c r="H7729" s="0" t="n">
        <v>0</v>
      </c>
      <c r="I7729" s="0" t="s">
        <v>25822</v>
      </c>
      <c r="J7729" s="0" t="s">
        <v>25823</v>
      </c>
      <c r="K7729" s="0" t="s">
        <v>25824</v>
      </c>
      <c r="L7729" s="0" t="str">
        <f aca="false">HYPERLINK("https://www.ncbi.nlm.nih.gov/nuccore/CP000304.1?report=graph&amp;tracks=[key:gene_model_track,Options:GeneOnly]&amp;mk=2184248:2184267|offset_0|00cc00,2184219:2184238|offset_29|444444,2184196:2184215|offset_52|444444,2184162:2184181|offset_86|444444&amp;v=2184047:2184381&amp;c=444444", "offset 0")</f>
        <v>offset 0</v>
      </c>
    </row>
    <row r="7730" customFormat="false" ht="12.8" hidden="false" customHeight="false" outlineLevel="0" collapsed="false">
      <c r="A7730" s="0" t="s">
        <v>12</v>
      </c>
      <c r="B7730" s="0" t="n">
        <v>2184218</v>
      </c>
      <c r="C7730" s="0" t="n">
        <v>2184238</v>
      </c>
      <c r="D7730" s="0" t="s">
        <v>25821</v>
      </c>
      <c r="E7730" s="0" t="s">
        <v>89</v>
      </c>
      <c r="F7730" s="0" t="s">
        <v>90</v>
      </c>
      <c r="G7730" s="0" t="s">
        <v>16</v>
      </c>
      <c r="H7730" s="0" t="n">
        <v>29</v>
      </c>
      <c r="I7730" s="0" t="s">
        <v>25825</v>
      </c>
      <c r="J7730" s="0" t="s">
        <v>25826</v>
      </c>
      <c r="K7730" s="0" t="s">
        <v>25827</v>
      </c>
      <c r="L7730" s="0" t="str">
        <f aca="false">HYPERLINK("https://www.ncbi.nlm.nih.gov/nuccore/CP000304.1?report=graph&amp;tracks=[key:gene_model_track,Options:GeneOnly]&amp;mk=2184248:2184267|offset_0|444444,2184219:2184238|offset_29|00cc00,2184196:2184215|offset_52|444444,2184162:2184181|offset_86|444444&amp;v=2184047:2184381&amp;c=444444", "offset 29")</f>
        <v>offset 29</v>
      </c>
    </row>
    <row r="7731" customFormat="false" ht="12.8" hidden="false" customHeight="false" outlineLevel="0" collapsed="false">
      <c r="A7731" s="0" t="s">
        <v>12</v>
      </c>
      <c r="B7731" s="0" t="n">
        <v>2184195</v>
      </c>
      <c r="C7731" s="0" t="n">
        <v>2184215</v>
      </c>
      <c r="D7731" s="0" t="s">
        <v>25821</v>
      </c>
      <c r="E7731" s="0" t="s">
        <v>89</v>
      </c>
      <c r="F7731" s="0" t="s">
        <v>90</v>
      </c>
      <c r="G7731" s="0" t="s">
        <v>32</v>
      </c>
      <c r="H7731" s="0" t="n">
        <v>52</v>
      </c>
      <c r="I7731" s="0" t="s">
        <v>25828</v>
      </c>
      <c r="J7731" s="0" t="s">
        <v>25829</v>
      </c>
      <c r="K7731" s="0" t="s">
        <v>25830</v>
      </c>
      <c r="L7731" s="0" t="str">
        <f aca="false">HYPERLINK("https://www.ncbi.nlm.nih.gov/nuccore/CP000304.1?report=graph&amp;tracks=[key:gene_model_track,Options:GeneOnly]&amp;mk=2184248:2184267|offset_0|444444,2184219:2184238|offset_29|444444,2184196:2184215|offset_52|00cc00,2184162:2184181|offset_86|444444&amp;v=2184047:2184381&amp;c=444444", "offset 52")</f>
        <v>offset 52</v>
      </c>
    </row>
    <row r="7732" customFormat="false" ht="12.8" hidden="false" customHeight="false" outlineLevel="0" collapsed="false">
      <c r="A7732" s="0" t="s">
        <v>12</v>
      </c>
      <c r="B7732" s="0" t="n">
        <v>2184161</v>
      </c>
      <c r="C7732" s="0" t="n">
        <v>2184181</v>
      </c>
      <c r="D7732" s="0" t="s">
        <v>25821</v>
      </c>
      <c r="E7732" s="0" t="s">
        <v>89</v>
      </c>
      <c r="F7732" s="0" t="s">
        <v>90</v>
      </c>
      <c r="G7732" s="0" t="s">
        <v>26</v>
      </c>
      <c r="H7732" s="0" t="n">
        <v>86</v>
      </c>
      <c r="I7732" s="0" t="s">
        <v>25831</v>
      </c>
      <c r="J7732" s="0" t="s">
        <v>25832</v>
      </c>
      <c r="K7732" s="0" t="s">
        <v>25833</v>
      </c>
      <c r="L7732" s="0" t="str">
        <f aca="false">HYPERLINK("https://www.ncbi.nlm.nih.gov/nuccore/CP000304.1?report=graph&amp;tracks=[key:gene_model_track,Options:GeneOnly]&amp;mk=2184248:2184267|offset_0|444444,2184219:2184238|offset_29|444444,2184196:2184215|offset_52|444444,2184162:2184181|offset_86|00cc00&amp;v=2184047:2184381&amp;c=444444", "offset 86")</f>
        <v>offset 86</v>
      </c>
    </row>
    <row r="7733" customFormat="false" ht="12.8" hidden="false" customHeight="false" outlineLevel="0" collapsed="false">
      <c r="A7733" s="0" t="s">
        <v>12</v>
      </c>
      <c r="B7733" s="0" t="n">
        <v>2186062</v>
      </c>
      <c r="C7733" s="0" t="n">
        <v>2186082</v>
      </c>
      <c r="D7733" s="0" t="s">
        <v>25834</v>
      </c>
      <c r="E7733" s="0" t="s">
        <v>89</v>
      </c>
      <c r="F7733" s="0" t="s">
        <v>90</v>
      </c>
      <c r="G7733" s="0" t="s">
        <v>36</v>
      </c>
      <c r="H7733" s="0" t="n">
        <v>22</v>
      </c>
      <c r="I7733" s="0" t="s">
        <v>25835</v>
      </c>
      <c r="J7733" s="0" t="s">
        <v>25836</v>
      </c>
      <c r="K7733" s="0" t="s">
        <v>25837</v>
      </c>
      <c r="L7733" s="0" t="str">
        <f aca="false">HYPERLINK("https://www.ncbi.nlm.nih.gov/nuccore/CP000304.1?report=graph&amp;tracks=[key:gene_model_track,Options:GeneOnly]&amp;mk=2186063:2186082|offset_22|00cc00,2186042:2186061|offset_43|444444,2186012:2186031|offset_73|444444,2185967:2185986|offset_118|444444&amp;v=2185862:2186186&amp;c=444444", "offset 22")</f>
        <v>offset 22</v>
      </c>
    </row>
    <row r="7734" customFormat="false" ht="12.8" hidden="false" customHeight="false" outlineLevel="0" collapsed="false">
      <c r="A7734" s="0" t="s">
        <v>12</v>
      </c>
      <c r="B7734" s="0" t="n">
        <v>2186041</v>
      </c>
      <c r="C7734" s="0" t="n">
        <v>2186061</v>
      </c>
      <c r="D7734" s="0" t="s">
        <v>25834</v>
      </c>
      <c r="E7734" s="0" t="s">
        <v>89</v>
      </c>
      <c r="F7734" s="0" t="s">
        <v>90</v>
      </c>
      <c r="G7734" s="0" t="s">
        <v>16</v>
      </c>
      <c r="H7734" s="0" t="n">
        <v>43</v>
      </c>
      <c r="I7734" s="0" t="s">
        <v>25838</v>
      </c>
      <c r="J7734" s="0" t="s">
        <v>25839</v>
      </c>
      <c r="K7734" s="0" t="s">
        <v>25840</v>
      </c>
      <c r="L7734" s="0" t="str">
        <f aca="false">HYPERLINK("https://www.ncbi.nlm.nih.gov/nuccore/CP000304.1?report=graph&amp;tracks=[key:gene_model_track,Options:GeneOnly]&amp;mk=2186063:2186082|offset_22|444444,2186042:2186061|offset_43|00cc00,2186012:2186031|offset_73|444444,2185967:2185986|offset_118|444444&amp;v=2185862:2186186&amp;c=444444", "offset 43")</f>
        <v>offset 43</v>
      </c>
    </row>
    <row r="7735" customFormat="false" ht="12.8" hidden="false" customHeight="false" outlineLevel="0" collapsed="false">
      <c r="A7735" s="0" t="s">
        <v>12</v>
      </c>
      <c r="B7735" s="0" t="n">
        <v>2186011</v>
      </c>
      <c r="C7735" s="0" t="n">
        <v>2186031</v>
      </c>
      <c r="D7735" s="0" t="s">
        <v>25834</v>
      </c>
      <c r="E7735" s="0" t="s">
        <v>89</v>
      </c>
      <c r="F7735" s="0" t="s">
        <v>90</v>
      </c>
      <c r="G7735" s="0" t="s">
        <v>16</v>
      </c>
      <c r="H7735" s="0" t="n">
        <v>73</v>
      </c>
      <c r="I7735" s="0" t="s">
        <v>25841</v>
      </c>
      <c r="J7735" s="0" t="s">
        <v>25842</v>
      </c>
      <c r="K7735" s="0" t="s">
        <v>25843</v>
      </c>
      <c r="L7735" s="0" t="str">
        <f aca="false">HYPERLINK("https://www.ncbi.nlm.nih.gov/nuccore/CP000304.1?report=graph&amp;tracks=[key:gene_model_track,Options:GeneOnly]&amp;mk=2186063:2186082|offset_22|444444,2186042:2186061|offset_43|444444,2186012:2186031|offset_73|00cc00,2185967:2185986|offset_118|444444&amp;v=2185862:2186186&amp;c=444444", "offset 73")</f>
        <v>offset 73</v>
      </c>
    </row>
    <row r="7736" customFormat="false" ht="12.8" hidden="false" customHeight="false" outlineLevel="0" collapsed="false">
      <c r="A7736" s="0" t="s">
        <v>12</v>
      </c>
      <c r="B7736" s="0" t="n">
        <v>2185966</v>
      </c>
      <c r="C7736" s="0" t="n">
        <v>2185986</v>
      </c>
      <c r="D7736" s="0" t="s">
        <v>25834</v>
      </c>
      <c r="E7736" s="0" t="s">
        <v>89</v>
      </c>
      <c r="F7736" s="0" t="s">
        <v>90</v>
      </c>
      <c r="G7736" s="0" t="s">
        <v>26</v>
      </c>
      <c r="H7736" s="0" t="n">
        <v>118</v>
      </c>
      <c r="I7736" s="0" t="s">
        <v>25844</v>
      </c>
      <c r="J7736" s="0" t="s">
        <v>25845</v>
      </c>
      <c r="K7736" s="0" t="s">
        <v>25846</v>
      </c>
      <c r="L7736" s="0" t="str">
        <f aca="false">HYPERLINK("https://www.ncbi.nlm.nih.gov/nuccore/CP000304.1?report=graph&amp;tracks=[key:gene_model_track,Options:GeneOnly]&amp;mk=2186063:2186082|offset_22|444444,2186042:2186061|offset_43|444444,2186012:2186031|offset_73|444444,2185967:2185986|offset_118|00cc00&amp;v=2185862:2186186&amp;c=444444", "offset 118")</f>
        <v>offset 118</v>
      </c>
    </row>
    <row r="7737" customFormat="false" ht="12.8" hidden="false" customHeight="false" outlineLevel="0" collapsed="false">
      <c r="A7737" s="0" t="s">
        <v>12</v>
      </c>
      <c r="B7737" s="0" t="n">
        <v>2187022</v>
      </c>
      <c r="C7737" s="0" t="n">
        <v>2187042</v>
      </c>
      <c r="D7737" s="0" t="s">
        <v>25847</v>
      </c>
      <c r="E7737" s="0" t="s">
        <v>25848</v>
      </c>
      <c r="F7737" s="0" t="s">
        <v>90</v>
      </c>
      <c r="G7737" s="0" t="s">
        <v>26</v>
      </c>
      <c r="H7737" s="0" t="n">
        <v>29</v>
      </c>
      <c r="I7737" s="0" t="s">
        <v>25849</v>
      </c>
      <c r="J7737" s="0" t="s">
        <v>25850</v>
      </c>
      <c r="K7737" s="0" t="s">
        <v>25851</v>
      </c>
      <c r="L7737" s="0" t="str">
        <f aca="false">HYPERLINK("https://www.ncbi.nlm.nih.gov/nuccore/CP000304.1?report=graph&amp;tracks=[key:gene_model_track,Options:GeneOnly]&amp;mk=2187023:2187042|offset_29|00cc00,2187003:2187022|offset_49|444444,2186973:2186992|offset_79|444444,2186930:2186949|offset_122|444444&amp;v=2186822:2187149&amp;c=444444", "offset 29")</f>
        <v>offset 29</v>
      </c>
    </row>
    <row r="7738" customFormat="false" ht="12.8" hidden="false" customHeight="false" outlineLevel="0" collapsed="false">
      <c r="A7738" s="0" t="s">
        <v>12</v>
      </c>
      <c r="B7738" s="0" t="n">
        <v>2187002</v>
      </c>
      <c r="C7738" s="0" t="n">
        <v>2187022</v>
      </c>
      <c r="D7738" s="0" t="s">
        <v>25847</v>
      </c>
      <c r="E7738" s="0" t="s">
        <v>25848</v>
      </c>
      <c r="F7738" s="0" t="s">
        <v>90</v>
      </c>
      <c r="G7738" s="0" t="s">
        <v>26</v>
      </c>
      <c r="H7738" s="0" t="n">
        <v>49</v>
      </c>
      <c r="I7738" s="0" t="s">
        <v>25852</v>
      </c>
      <c r="J7738" s="0" t="s">
        <v>25853</v>
      </c>
      <c r="K7738" s="0" t="s">
        <v>25854</v>
      </c>
      <c r="L7738" s="0" t="str">
        <f aca="false">HYPERLINK("https://www.ncbi.nlm.nih.gov/nuccore/CP000304.1?report=graph&amp;tracks=[key:gene_model_track,Options:GeneOnly]&amp;mk=2187023:2187042|offset_29|444444,2187003:2187022|offset_49|00cc00,2186973:2186992|offset_79|444444,2186930:2186949|offset_122|444444&amp;v=2186822:2187149&amp;c=444444", "offset 49")</f>
        <v>offset 49</v>
      </c>
    </row>
    <row r="7739" customFormat="false" ht="12.8" hidden="false" customHeight="false" outlineLevel="0" collapsed="false">
      <c r="A7739" s="0" t="s">
        <v>12</v>
      </c>
      <c r="B7739" s="0" t="n">
        <v>2186972</v>
      </c>
      <c r="C7739" s="0" t="n">
        <v>2186992</v>
      </c>
      <c r="D7739" s="0" t="s">
        <v>25847</v>
      </c>
      <c r="E7739" s="0" t="s">
        <v>25848</v>
      </c>
      <c r="F7739" s="0" t="s">
        <v>90</v>
      </c>
      <c r="G7739" s="0" t="s">
        <v>32</v>
      </c>
      <c r="H7739" s="0" t="n">
        <v>79</v>
      </c>
      <c r="I7739" s="0" t="s">
        <v>25855</v>
      </c>
      <c r="J7739" s="0" t="s">
        <v>25856</v>
      </c>
      <c r="K7739" s="0" t="s">
        <v>25857</v>
      </c>
      <c r="L7739" s="0" t="str">
        <f aca="false">HYPERLINK("https://www.ncbi.nlm.nih.gov/nuccore/CP000304.1?report=graph&amp;tracks=[key:gene_model_track,Options:GeneOnly]&amp;mk=2187023:2187042|offset_29|444444,2187003:2187022|offset_49|444444,2186973:2186992|offset_79|00cc00,2186930:2186949|offset_122|444444&amp;v=2186822:2187149&amp;c=444444", "offset 79")</f>
        <v>offset 79</v>
      </c>
    </row>
    <row r="7740" customFormat="false" ht="12.8" hidden="false" customHeight="false" outlineLevel="0" collapsed="false">
      <c r="A7740" s="0" t="s">
        <v>12</v>
      </c>
      <c r="B7740" s="0" t="n">
        <v>2186929</v>
      </c>
      <c r="C7740" s="0" t="n">
        <v>2186949</v>
      </c>
      <c r="D7740" s="0" t="s">
        <v>25847</v>
      </c>
      <c r="E7740" s="0" t="s">
        <v>25848</v>
      </c>
      <c r="F7740" s="0" t="s">
        <v>90</v>
      </c>
      <c r="G7740" s="0" t="s">
        <v>26</v>
      </c>
      <c r="H7740" s="0" t="n">
        <v>122</v>
      </c>
      <c r="I7740" s="0" t="s">
        <v>25858</v>
      </c>
      <c r="J7740" s="0" t="s">
        <v>25859</v>
      </c>
      <c r="K7740" s="0" t="s">
        <v>25860</v>
      </c>
      <c r="L7740" s="0" t="str">
        <f aca="false">HYPERLINK("https://www.ncbi.nlm.nih.gov/nuccore/CP000304.1?report=graph&amp;tracks=[key:gene_model_track,Options:GeneOnly]&amp;mk=2187023:2187042|offset_29|444444,2187003:2187022|offset_49|444444,2186973:2186992|offset_79|444444,2186930:2186949|offset_122|00cc00&amp;v=2186822:2187149&amp;c=444444", "offset 122")</f>
        <v>offset 122</v>
      </c>
    </row>
    <row r="7741" customFormat="false" ht="12.8" hidden="false" customHeight="false" outlineLevel="0" collapsed="false">
      <c r="A7741" s="0" t="s">
        <v>12</v>
      </c>
      <c r="B7741" s="0" t="n">
        <v>2187261</v>
      </c>
      <c r="C7741" s="0" t="n">
        <v>2187281</v>
      </c>
      <c r="D7741" s="0" t="s">
        <v>25861</v>
      </c>
      <c r="E7741" s="0" t="s">
        <v>89</v>
      </c>
      <c r="F7741" s="0" t="s">
        <v>15</v>
      </c>
      <c r="G7741" s="0" t="s">
        <v>32</v>
      </c>
      <c r="H7741" s="0" t="n">
        <v>18</v>
      </c>
      <c r="I7741" s="0" t="s">
        <v>25862</v>
      </c>
      <c r="J7741" s="0" t="s">
        <v>25863</v>
      </c>
      <c r="K7741" s="0" t="s">
        <v>25864</v>
      </c>
      <c r="L7741" s="0" t="str">
        <f aca="false">HYPERLINK("https://www.ncbi.nlm.nih.gov/nuccore/CP000304.1?report=graph&amp;tracks=[key:gene_model_track,Options:GeneOnly]&amp;mk=2187262:2187281|offset_18|00cc00,2187295:2187314|offset_51|444444,2187320:2187339|offset_76|444444,2187365:2187384|offset_121|444444&amp;v=2187061:2187584&amp;c=444444", "offset 18")</f>
        <v>offset 18</v>
      </c>
    </row>
    <row r="7742" customFormat="false" ht="12.8" hidden="false" customHeight="false" outlineLevel="0" collapsed="false">
      <c r="A7742" s="0" t="s">
        <v>12</v>
      </c>
      <c r="B7742" s="0" t="n">
        <v>2187294</v>
      </c>
      <c r="C7742" s="0" t="n">
        <v>2187314</v>
      </c>
      <c r="D7742" s="0" t="s">
        <v>25861</v>
      </c>
      <c r="E7742" s="0" t="s">
        <v>89</v>
      </c>
      <c r="F7742" s="0" t="s">
        <v>15</v>
      </c>
      <c r="G7742" s="0" t="s">
        <v>16</v>
      </c>
      <c r="H7742" s="0" t="n">
        <v>51</v>
      </c>
      <c r="I7742" s="0" t="s">
        <v>25865</v>
      </c>
      <c r="J7742" s="0" t="s">
        <v>25866</v>
      </c>
      <c r="K7742" s="0" t="s">
        <v>25867</v>
      </c>
      <c r="L7742" s="0" t="str">
        <f aca="false">HYPERLINK("https://www.ncbi.nlm.nih.gov/nuccore/CP000304.1?report=graph&amp;tracks=[key:gene_model_track,Options:GeneOnly]&amp;mk=2187262:2187281|offset_18|444444,2187295:2187314|offset_51|00cc00,2187320:2187339|offset_76|444444,2187365:2187384|offset_121|444444&amp;v=2187061:2187584&amp;c=444444", "offset 51")</f>
        <v>offset 51</v>
      </c>
    </row>
    <row r="7743" customFormat="false" ht="12.8" hidden="false" customHeight="false" outlineLevel="0" collapsed="false">
      <c r="A7743" s="0" t="s">
        <v>12</v>
      </c>
      <c r="B7743" s="0" t="n">
        <v>2187319</v>
      </c>
      <c r="C7743" s="0" t="n">
        <v>2187339</v>
      </c>
      <c r="D7743" s="0" t="s">
        <v>25861</v>
      </c>
      <c r="E7743" s="0" t="s">
        <v>89</v>
      </c>
      <c r="F7743" s="0" t="s">
        <v>15</v>
      </c>
      <c r="G7743" s="0" t="s">
        <v>16</v>
      </c>
      <c r="H7743" s="0" t="n">
        <v>76</v>
      </c>
      <c r="I7743" s="0" t="s">
        <v>25868</v>
      </c>
      <c r="J7743" s="0" t="s">
        <v>25869</v>
      </c>
      <c r="K7743" s="0" t="s">
        <v>25870</v>
      </c>
      <c r="L7743" s="0" t="str">
        <f aca="false">HYPERLINK("https://www.ncbi.nlm.nih.gov/nuccore/CP000304.1?report=graph&amp;tracks=[key:gene_model_track,Options:GeneOnly]&amp;mk=2187262:2187281|offset_18|444444,2187295:2187314|offset_51|444444,2187320:2187339|offset_76|00cc00,2187365:2187384|offset_121|444444&amp;v=2187061:2187584&amp;c=444444", "offset 76")</f>
        <v>offset 76</v>
      </c>
    </row>
    <row r="7744" customFormat="false" ht="12.8" hidden="false" customHeight="false" outlineLevel="0" collapsed="false">
      <c r="A7744" s="0" t="s">
        <v>12</v>
      </c>
      <c r="B7744" s="0" t="n">
        <v>2187364</v>
      </c>
      <c r="C7744" s="0" t="n">
        <v>2187384</v>
      </c>
      <c r="D7744" s="0" t="s">
        <v>25861</v>
      </c>
      <c r="E7744" s="0" t="s">
        <v>89</v>
      </c>
      <c r="F7744" s="0" t="s">
        <v>15</v>
      </c>
      <c r="G7744" s="0" t="s">
        <v>16</v>
      </c>
      <c r="H7744" s="0" t="n">
        <v>121</v>
      </c>
      <c r="I7744" s="0" t="s">
        <v>25871</v>
      </c>
      <c r="J7744" s="0" t="s">
        <v>25872</v>
      </c>
      <c r="K7744" s="0" t="s">
        <v>25873</v>
      </c>
      <c r="L7744" s="0" t="str">
        <f aca="false">HYPERLINK("https://www.ncbi.nlm.nih.gov/nuccore/CP000304.1?report=graph&amp;tracks=[key:gene_model_track,Options:GeneOnly]&amp;mk=2187262:2187281|offset_18|444444,2187295:2187314|offset_51|444444,2187320:2187339|offset_76|444444,2187365:2187384|offset_121|00cc00&amp;v=2187061:2187584&amp;c=444444", "offset 121")</f>
        <v>offset 121</v>
      </c>
    </row>
    <row r="7745" customFormat="false" ht="12.8" hidden="false" customHeight="false" outlineLevel="0" collapsed="false">
      <c r="A7745" s="0" t="s">
        <v>12</v>
      </c>
      <c r="B7745" s="0" t="n">
        <v>2189651</v>
      </c>
      <c r="C7745" s="0" t="n">
        <v>2189671</v>
      </c>
      <c r="D7745" s="0" t="s">
        <v>25874</v>
      </c>
      <c r="E7745" s="0" t="s">
        <v>25875</v>
      </c>
      <c r="F7745" s="0" t="s">
        <v>90</v>
      </c>
      <c r="G7745" s="0" t="s">
        <v>32</v>
      </c>
      <c r="H7745" s="0" t="n">
        <v>1</v>
      </c>
      <c r="I7745" s="0" t="s">
        <v>25876</v>
      </c>
      <c r="J7745" s="0" t="s">
        <v>25877</v>
      </c>
      <c r="K7745" s="0" t="s">
        <v>25878</v>
      </c>
      <c r="L7745" s="0" t="str">
        <f aca="false">HYPERLINK("https://www.ncbi.nlm.nih.gov/nuccore/CP000304.1?report=graph&amp;tracks=[key:gene_model_track,Options:GeneOnly]&amp;mk=2189652:2189671|offset_1|00cc00,2189606:2189625|offset_47|444444,2189584:2189603|offset_69|444444,2189551:2189570|offset_102|444444&amp;v=2189451:2189770&amp;c=444444", "offset 1")</f>
        <v>offset 1</v>
      </c>
    </row>
    <row r="7746" customFormat="false" ht="12.8" hidden="false" customHeight="false" outlineLevel="0" collapsed="false">
      <c r="A7746" s="0" t="s">
        <v>12</v>
      </c>
      <c r="B7746" s="0" t="n">
        <v>2189605</v>
      </c>
      <c r="C7746" s="0" t="n">
        <v>2189625</v>
      </c>
      <c r="D7746" s="0" t="s">
        <v>25874</v>
      </c>
      <c r="E7746" s="0" t="s">
        <v>25875</v>
      </c>
      <c r="F7746" s="0" t="s">
        <v>90</v>
      </c>
      <c r="G7746" s="0" t="s">
        <v>26</v>
      </c>
      <c r="H7746" s="0" t="n">
        <v>47</v>
      </c>
      <c r="I7746" s="0" t="s">
        <v>25879</v>
      </c>
      <c r="J7746" s="0" t="s">
        <v>25880</v>
      </c>
      <c r="K7746" s="0" t="s">
        <v>25881</v>
      </c>
      <c r="L7746" s="0" t="str">
        <f aca="false">HYPERLINK("https://www.ncbi.nlm.nih.gov/nuccore/CP000304.1?report=graph&amp;tracks=[key:gene_model_track,Options:GeneOnly]&amp;mk=2189652:2189671|offset_1|444444,2189606:2189625|offset_47|00cc00,2189584:2189603|offset_69|444444,2189551:2189570|offset_102|444444&amp;v=2189451:2189770&amp;c=444444", "offset 47")</f>
        <v>offset 47</v>
      </c>
    </row>
    <row r="7747" customFormat="false" ht="12.8" hidden="false" customHeight="false" outlineLevel="0" collapsed="false">
      <c r="A7747" s="0" t="s">
        <v>12</v>
      </c>
      <c r="B7747" s="0" t="n">
        <v>2189583</v>
      </c>
      <c r="C7747" s="0" t="n">
        <v>2189603</v>
      </c>
      <c r="D7747" s="0" t="s">
        <v>25874</v>
      </c>
      <c r="E7747" s="0" t="s">
        <v>25875</v>
      </c>
      <c r="F7747" s="0" t="s">
        <v>90</v>
      </c>
      <c r="G7747" s="0" t="s">
        <v>36</v>
      </c>
      <c r="H7747" s="0" t="n">
        <v>69</v>
      </c>
      <c r="I7747" s="0" t="s">
        <v>25882</v>
      </c>
      <c r="J7747" s="0" t="s">
        <v>25883</v>
      </c>
      <c r="K7747" s="0" t="s">
        <v>25884</v>
      </c>
      <c r="L7747" s="0" t="str">
        <f aca="false">HYPERLINK("https://www.ncbi.nlm.nih.gov/nuccore/CP000304.1?report=graph&amp;tracks=[key:gene_model_track,Options:GeneOnly]&amp;mk=2189652:2189671|offset_1|444444,2189606:2189625|offset_47|444444,2189584:2189603|offset_69|00cc00,2189551:2189570|offset_102|444444&amp;v=2189451:2189770&amp;c=444444", "offset 69")</f>
        <v>offset 69</v>
      </c>
    </row>
    <row r="7748" customFormat="false" ht="12.8" hidden="false" customHeight="false" outlineLevel="0" collapsed="false">
      <c r="A7748" s="0" t="s">
        <v>12</v>
      </c>
      <c r="B7748" s="0" t="n">
        <v>2189550</v>
      </c>
      <c r="C7748" s="0" t="n">
        <v>2189570</v>
      </c>
      <c r="D7748" s="0" t="s">
        <v>25874</v>
      </c>
      <c r="E7748" s="0" t="s">
        <v>25875</v>
      </c>
      <c r="F7748" s="0" t="s">
        <v>90</v>
      </c>
      <c r="G7748" s="0" t="s">
        <v>36</v>
      </c>
      <c r="H7748" s="0" t="n">
        <v>102</v>
      </c>
      <c r="I7748" s="0" t="s">
        <v>25885</v>
      </c>
      <c r="J7748" s="0" t="s">
        <v>25886</v>
      </c>
      <c r="K7748" s="0" t="s">
        <v>25887</v>
      </c>
      <c r="L7748" s="0" t="str">
        <f aca="false">HYPERLINK("https://www.ncbi.nlm.nih.gov/nuccore/CP000304.1?report=graph&amp;tracks=[key:gene_model_track,Options:GeneOnly]&amp;mk=2189652:2189671|offset_1|444444,2189606:2189625|offset_47|444444,2189584:2189603|offset_69|444444,2189551:2189570|offset_102|00cc00&amp;v=2189451:2189770&amp;c=444444", "offset 102")</f>
        <v>offset 102</v>
      </c>
    </row>
    <row r="7749" customFormat="false" ht="12.8" hidden="false" customHeight="false" outlineLevel="0" collapsed="false">
      <c r="A7749" s="0" t="s">
        <v>12</v>
      </c>
      <c r="B7749" s="0" t="n">
        <v>2190650</v>
      </c>
      <c r="C7749" s="0" t="n">
        <v>2190670</v>
      </c>
      <c r="D7749" s="0" t="s">
        <v>25888</v>
      </c>
      <c r="E7749" s="0" t="s">
        <v>25889</v>
      </c>
      <c r="F7749" s="0" t="s">
        <v>90</v>
      </c>
      <c r="G7749" s="0" t="s">
        <v>32</v>
      </c>
      <c r="H7749" s="0" t="n">
        <v>1</v>
      </c>
      <c r="I7749" s="0" t="s">
        <v>25890</v>
      </c>
      <c r="J7749" s="0" t="s">
        <v>25891</v>
      </c>
      <c r="K7749" s="0" t="s">
        <v>25892</v>
      </c>
      <c r="L7749" s="0" t="str">
        <f aca="false">HYPERLINK("https://www.ncbi.nlm.nih.gov/nuccore/CP000304.1?report=graph&amp;tracks=[key:gene_model_track,Options:GeneOnly]&amp;mk=2190651:2190670|offset_1|00cc00,2190624:2190643|offset_28|444444,2190594:2190613|offset_58|444444,2190573:2190592|offset_79|444444&amp;v=2190450:2190792&amp;c=444444", "offset 1")</f>
        <v>offset 1</v>
      </c>
    </row>
    <row r="7750" customFormat="false" ht="12.8" hidden="false" customHeight="false" outlineLevel="0" collapsed="false">
      <c r="A7750" s="0" t="s">
        <v>12</v>
      </c>
      <c r="B7750" s="0" t="n">
        <v>2190623</v>
      </c>
      <c r="C7750" s="0" t="n">
        <v>2190643</v>
      </c>
      <c r="D7750" s="0" t="s">
        <v>25888</v>
      </c>
      <c r="E7750" s="0" t="s">
        <v>25889</v>
      </c>
      <c r="F7750" s="0" t="s">
        <v>90</v>
      </c>
      <c r="G7750" s="0" t="s">
        <v>36</v>
      </c>
      <c r="H7750" s="0" t="n">
        <v>28</v>
      </c>
      <c r="I7750" s="0" t="s">
        <v>25893</v>
      </c>
      <c r="J7750" s="0" t="s">
        <v>25894</v>
      </c>
      <c r="K7750" s="0" t="s">
        <v>25895</v>
      </c>
      <c r="L7750" s="0" t="str">
        <f aca="false">HYPERLINK("https://www.ncbi.nlm.nih.gov/nuccore/CP000304.1?report=graph&amp;tracks=[key:gene_model_track,Options:GeneOnly]&amp;mk=2190651:2190670|offset_1|444444,2190624:2190643|offset_28|00cc00,2190594:2190613|offset_58|444444,2190573:2190592|offset_79|444444&amp;v=2190450:2190792&amp;c=444444", "offset 28")</f>
        <v>offset 28</v>
      </c>
    </row>
    <row r="7751" customFormat="false" ht="12.8" hidden="false" customHeight="false" outlineLevel="0" collapsed="false">
      <c r="A7751" s="0" t="s">
        <v>12</v>
      </c>
      <c r="B7751" s="0" t="n">
        <v>2190593</v>
      </c>
      <c r="C7751" s="0" t="n">
        <v>2190613</v>
      </c>
      <c r="D7751" s="0" t="s">
        <v>25888</v>
      </c>
      <c r="E7751" s="0" t="s">
        <v>25889</v>
      </c>
      <c r="F7751" s="0" t="s">
        <v>90</v>
      </c>
      <c r="G7751" s="0" t="s">
        <v>16</v>
      </c>
      <c r="H7751" s="0" t="n">
        <v>58</v>
      </c>
      <c r="I7751" s="0" t="s">
        <v>25896</v>
      </c>
      <c r="J7751" s="0" t="s">
        <v>25897</v>
      </c>
      <c r="K7751" s="0" t="s">
        <v>25898</v>
      </c>
      <c r="L7751" s="0" t="str">
        <f aca="false">HYPERLINK("https://www.ncbi.nlm.nih.gov/nuccore/CP000304.1?report=graph&amp;tracks=[key:gene_model_track,Options:GeneOnly]&amp;mk=2190651:2190670|offset_1|444444,2190624:2190643|offset_28|444444,2190594:2190613|offset_58|00cc00,2190573:2190592|offset_79|444444&amp;v=2190450:2190792&amp;c=444444", "offset 58")</f>
        <v>offset 58</v>
      </c>
    </row>
    <row r="7752" customFormat="false" ht="12.8" hidden="false" customHeight="false" outlineLevel="0" collapsed="false">
      <c r="A7752" s="0" t="s">
        <v>12</v>
      </c>
      <c r="B7752" s="0" t="n">
        <v>2190572</v>
      </c>
      <c r="C7752" s="0" t="n">
        <v>2190592</v>
      </c>
      <c r="D7752" s="0" t="s">
        <v>25888</v>
      </c>
      <c r="E7752" s="0" t="s">
        <v>25889</v>
      </c>
      <c r="F7752" s="0" t="s">
        <v>90</v>
      </c>
      <c r="G7752" s="0" t="s">
        <v>16</v>
      </c>
      <c r="H7752" s="0" t="n">
        <v>79</v>
      </c>
      <c r="I7752" s="0" t="s">
        <v>25899</v>
      </c>
      <c r="J7752" s="0" t="s">
        <v>25900</v>
      </c>
      <c r="K7752" s="0" t="s">
        <v>25901</v>
      </c>
      <c r="L7752" s="0" t="str">
        <f aca="false">HYPERLINK("https://www.ncbi.nlm.nih.gov/nuccore/CP000304.1?report=graph&amp;tracks=[key:gene_model_track,Options:GeneOnly]&amp;mk=2190651:2190670|offset_1|444444,2190624:2190643|offset_28|444444,2190594:2190613|offset_58|444444,2190573:2190592|offset_79|00cc00&amp;v=2190450:2190792&amp;c=444444", "offset 79")</f>
        <v>offset 79</v>
      </c>
    </row>
    <row r="7753" customFormat="false" ht="12.8" hidden="false" customHeight="false" outlineLevel="0" collapsed="false">
      <c r="A7753" s="0" t="s">
        <v>12</v>
      </c>
      <c r="B7753" s="0" t="n">
        <v>2191453</v>
      </c>
      <c r="C7753" s="0" t="n">
        <v>2191473</v>
      </c>
      <c r="D7753" s="0" t="s">
        <v>25902</v>
      </c>
      <c r="E7753" s="0" t="s">
        <v>25903</v>
      </c>
      <c r="F7753" s="0" t="s">
        <v>90</v>
      </c>
      <c r="G7753" s="0" t="s">
        <v>16</v>
      </c>
      <c r="H7753" s="0" t="n">
        <v>29</v>
      </c>
      <c r="I7753" s="0" t="s">
        <v>25904</v>
      </c>
      <c r="J7753" s="0" t="s">
        <v>25905</v>
      </c>
      <c r="K7753" s="0" t="s">
        <v>25906</v>
      </c>
      <c r="L7753" s="0" t="str">
        <f aca="false">HYPERLINK("https://www.ncbi.nlm.nih.gov/nuccore/CP000304.1?report=graph&amp;tracks=[key:gene_model_track,Options:GeneOnly]&amp;mk=2191454:2191473|offset_29|00cc00,2191431:2191450|offset_52|444444,2191397:2191416|offset_86|444444,2191354:2191373|offset_129|444444&amp;v=2191253:2191573&amp;c=444444", "offset 29")</f>
        <v>offset 29</v>
      </c>
    </row>
    <row r="7754" customFormat="false" ht="12.8" hidden="false" customHeight="false" outlineLevel="0" collapsed="false">
      <c r="A7754" s="0" t="s">
        <v>12</v>
      </c>
      <c r="B7754" s="0" t="n">
        <v>2191430</v>
      </c>
      <c r="C7754" s="0" t="n">
        <v>2191450</v>
      </c>
      <c r="D7754" s="0" t="s">
        <v>25902</v>
      </c>
      <c r="E7754" s="0" t="s">
        <v>25903</v>
      </c>
      <c r="F7754" s="0" t="s">
        <v>90</v>
      </c>
      <c r="G7754" s="0" t="s">
        <v>16</v>
      </c>
      <c r="H7754" s="0" t="n">
        <v>52</v>
      </c>
      <c r="I7754" s="0" t="s">
        <v>25907</v>
      </c>
      <c r="J7754" s="0" t="s">
        <v>25908</v>
      </c>
      <c r="K7754" s="0" t="s">
        <v>25909</v>
      </c>
      <c r="L7754" s="0" t="str">
        <f aca="false">HYPERLINK("https://www.ncbi.nlm.nih.gov/nuccore/CP000304.1?report=graph&amp;tracks=[key:gene_model_track,Options:GeneOnly]&amp;mk=2191454:2191473|offset_29|444444,2191431:2191450|offset_52|00cc00,2191397:2191416|offset_86|444444,2191354:2191373|offset_129|444444&amp;v=2191253:2191573&amp;c=444444", "offset 52")</f>
        <v>offset 52</v>
      </c>
    </row>
    <row r="7755" customFormat="false" ht="12.8" hidden="false" customHeight="false" outlineLevel="0" collapsed="false">
      <c r="A7755" s="0" t="s">
        <v>12</v>
      </c>
      <c r="B7755" s="0" t="n">
        <v>2191396</v>
      </c>
      <c r="C7755" s="0" t="n">
        <v>2191416</v>
      </c>
      <c r="D7755" s="0" t="s">
        <v>25902</v>
      </c>
      <c r="E7755" s="0" t="s">
        <v>25903</v>
      </c>
      <c r="F7755" s="0" t="s">
        <v>90</v>
      </c>
      <c r="G7755" s="0" t="s">
        <v>16</v>
      </c>
      <c r="H7755" s="0" t="n">
        <v>86</v>
      </c>
      <c r="I7755" s="0" t="s">
        <v>25910</v>
      </c>
      <c r="J7755" s="0" t="s">
        <v>25911</v>
      </c>
      <c r="K7755" s="0" t="s">
        <v>25912</v>
      </c>
      <c r="L7755" s="0" t="str">
        <f aca="false">HYPERLINK("https://www.ncbi.nlm.nih.gov/nuccore/CP000304.1?report=graph&amp;tracks=[key:gene_model_track,Options:GeneOnly]&amp;mk=2191454:2191473|offset_29|444444,2191431:2191450|offset_52|444444,2191397:2191416|offset_86|00cc00,2191354:2191373|offset_129|444444&amp;v=2191253:2191573&amp;c=444444", "offset 86")</f>
        <v>offset 86</v>
      </c>
    </row>
    <row r="7756" customFormat="false" ht="12.8" hidden="false" customHeight="false" outlineLevel="0" collapsed="false">
      <c r="A7756" s="0" t="s">
        <v>12</v>
      </c>
      <c r="B7756" s="0" t="n">
        <v>2191353</v>
      </c>
      <c r="C7756" s="0" t="n">
        <v>2191373</v>
      </c>
      <c r="D7756" s="0" t="s">
        <v>25902</v>
      </c>
      <c r="E7756" s="0" t="s">
        <v>25903</v>
      </c>
      <c r="F7756" s="0" t="s">
        <v>90</v>
      </c>
      <c r="G7756" s="0" t="s">
        <v>32</v>
      </c>
      <c r="H7756" s="0" t="n">
        <v>129</v>
      </c>
      <c r="I7756" s="0" t="s">
        <v>25913</v>
      </c>
      <c r="J7756" s="0" t="s">
        <v>25914</v>
      </c>
      <c r="K7756" s="0" t="s">
        <v>25915</v>
      </c>
      <c r="L7756" s="0" t="str">
        <f aca="false">HYPERLINK("https://www.ncbi.nlm.nih.gov/nuccore/CP000304.1?report=graph&amp;tracks=[key:gene_model_track,Options:GeneOnly]&amp;mk=2191454:2191473|offset_29|444444,2191431:2191450|offset_52|444444,2191397:2191416|offset_86|444444,2191354:2191373|offset_129|00cc00&amp;v=2191253:2191573&amp;c=444444", "offset 129")</f>
        <v>offset 129</v>
      </c>
    </row>
    <row r="7757" customFormat="false" ht="12.8" hidden="false" customHeight="false" outlineLevel="0" collapsed="false">
      <c r="A7757" s="0" t="s">
        <v>12</v>
      </c>
      <c r="B7757" s="0" t="n">
        <v>2193995</v>
      </c>
      <c r="C7757" s="0" t="n">
        <v>2194015</v>
      </c>
      <c r="D7757" s="0" t="s">
        <v>25916</v>
      </c>
      <c r="E7757" s="0" t="s">
        <v>89</v>
      </c>
      <c r="F7757" s="0" t="s">
        <v>90</v>
      </c>
      <c r="G7757" s="0" t="s">
        <v>26</v>
      </c>
      <c r="H7757" s="0" t="n">
        <v>11</v>
      </c>
      <c r="I7757" s="0" t="s">
        <v>25917</v>
      </c>
      <c r="J7757" s="0" t="s">
        <v>25918</v>
      </c>
      <c r="K7757" s="0" t="s">
        <v>25919</v>
      </c>
      <c r="L7757" s="0" t="str">
        <f aca="false">HYPERLINK("https://www.ncbi.nlm.nih.gov/nuccore/CP000304.1?report=graph&amp;tracks=[key:gene_model_track,Options:GeneOnly]&amp;mk=2193996:2194015|offset_11|00cc00,2193963:2193982|offset_44|444444,2193937:2193956|offset_70|444444,2193910:2193929|offset_97|444444&amp;v=2193795:2194129&amp;c=444444", "offset 11")</f>
        <v>offset 11</v>
      </c>
    </row>
    <row r="7758" customFormat="false" ht="12.8" hidden="false" customHeight="false" outlineLevel="0" collapsed="false">
      <c r="A7758" s="0" t="s">
        <v>12</v>
      </c>
      <c r="B7758" s="0" t="n">
        <v>2193962</v>
      </c>
      <c r="C7758" s="0" t="n">
        <v>2193982</v>
      </c>
      <c r="D7758" s="0" t="s">
        <v>25916</v>
      </c>
      <c r="E7758" s="0" t="s">
        <v>89</v>
      </c>
      <c r="F7758" s="0" t="s">
        <v>90</v>
      </c>
      <c r="G7758" s="0" t="s">
        <v>16</v>
      </c>
      <c r="H7758" s="0" t="n">
        <v>44</v>
      </c>
      <c r="I7758" s="0" t="s">
        <v>25920</v>
      </c>
      <c r="J7758" s="0" t="s">
        <v>25921</v>
      </c>
      <c r="K7758" s="0" t="s">
        <v>25922</v>
      </c>
      <c r="L7758" s="0" t="str">
        <f aca="false">HYPERLINK("https://www.ncbi.nlm.nih.gov/nuccore/CP000304.1?report=graph&amp;tracks=[key:gene_model_track,Options:GeneOnly]&amp;mk=2193996:2194015|offset_11|444444,2193963:2193982|offset_44|00cc00,2193937:2193956|offset_70|444444,2193910:2193929|offset_97|444444&amp;v=2193795:2194129&amp;c=444444", "offset 44")</f>
        <v>offset 44</v>
      </c>
    </row>
    <row r="7759" customFormat="false" ht="12.8" hidden="false" customHeight="false" outlineLevel="0" collapsed="false">
      <c r="A7759" s="0" t="s">
        <v>12</v>
      </c>
      <c r="B7759" s="0" t="n">
        <v>2193936</v>
      </c>
      <c r="C7759" s="0" t="n">
        <v>2193956</v>
      </c>
      <c r="D7759" s="0" t="s">
        <v>25916</v>
      </c>
      <c r="E7759" s="0" t="s">
        <v>89</v>
      </c>
      <c r="F7759" s="0" t="s">
        <v>90</v>
      </c>
      <c r="G7759" s="0" t="s">
        <v>16</v>
      </c>
      <c r="H7759" s="0" t="n">
        <v>70</v>
      </c>
      <c r="I7759" s="0" t="s">
        <v>25923</v>
      </c>
      <c r="J7759" s="0" t="s">
        <v>25924</v>
      </c>
      <c r="K7759" s="0" t="s">
        <v>25925</v>
      </c>
      <c r="L7759" s="0" t="str">
        <f aca="false">HYPERLINK("https://www.ncbi.nlm.nih.gov/nuccore/CP000304.1?report=graph&amp;tracks=[key:gene_model_track,Options:GeneOnly]&amp;mk=2193996:2194015|offset_11|444444,2193963:2193982|offset_44|444444,2193937:2193956|offset_70|00cc00,2193910:2193929|offset_97|444444&amp;v=2193795:2194129&amp;c=444444", "offset 70")</f>
        <v>offset 70</v>
      </c>
    </row>
    <row r="7760" customFormat="false" ht="12.8" hidden="false" customHeight="false" outlineLevel="0" collapsed="false">
      <c r="A7760" s="0" t="s">
        <v>12</v>
      </c>
      <c r="B7760" s="0" t="n">
        <v>2193909</v>
      </c>
      <c r="C7760" s="0" t="n">
        <v>2193929</v>
      </c>
      <c r="D7760" s="0" t="s">
        <v>25916</v>
      </c>
      <c r="E7760" s="0" t="s">
        <v>89</v>
      </c>
      <c r="F7760" s="0" t="s">
        <v>90</v>
      </c>
      <c r="G7760" s="0" t="s">
        <v>36</v>
      </c>
      <c r="H7760" s="0" t="n">
        <v>97</v>
      </c>
      <c r="I7760" s="0" t="s">
        <v>25926</v>
      </c>
      <c r="J7760" s="0" t="s">
        <v>25927</v>
      </c>
      <c r="K7760" s="0" t="s">
        <v>25928</v>
      </c>
      <c r="L7760" s="0" t="str">
        <f aca="false">HYPERLINK("https://www.ncbi.nlm.nih.gov/nuccore/CP000304.1?report=graph&amp;tracks=[key:gene_model_track,Options:GeneOnly]&amp;mk=2193996:2194015|offset_11|444444,2193963:2193982|offset_44|444444,2193937:2193956|offset_70|444444,2193910:2193929|offset_97|00cc00&amp;v=2193795:2194129&amp;c=444444", "offset 97")</f>
        <v>offset 97</v>
      </c>
    </row>
    <row r="7761" customFormat="false" ht="12.8" hidden="false" customHeight="false" outlineLevel="0" collapsed="false">
      <c r="A7761" s="0" t="s">
        <v>12</v>
      </c>
      <c r="B7761" s="0" t="n">
        <v>2194664</v>
      </c>
      <c r="C7761" s="0" t="n">
        <v>2194684</v>
      </c>
      <c r="D7761" s="0" t="s">
        <v>25929</v>
      </c>
      <c r="E7761" s="0" t="s">
        <v>89</v>
      </c>
      <c r="F7761" s="0" t="s">
        <v>90</v>
      </c>
      <c r="G7761" s="0" t="s">
        <v>36</v>
      </c>
      <c r="H7761" s="0" t="n">
        <v>25</v>
      </c>
      <c r="I7761" s="0" t="s">
        <v>25930</v>
      </c>
      <c r="J7761" s="0" t="s">
        <v>25931</v>
      </c>
      <c r="K7761" s="0" t="s">
        <v>25932</v>
      </c>
      <c r="L7761" s="0" t="str">
        <f aca="false">HYPERLINK("https://www.ncbi.nlm.nih.gov/nuccore/CP000304.1?report=graph&amp;tracks=[key:gene_model_track,Options:GeneOnly]&amp;mk=2194665:2194684|offset_25|00cc00,2194642:2194661|offset_48|444444,2194616:2194635|offset_74|444444,2194590:2194609|offset_100|444444&amp;v=2194464:2194809&amp;c=444444", "offset 25")</f>
        <v>offset 25</v>
      </c>
    </row>
    <row r="7762" customFormat="false" ht="12.8" hidden="false" customHeight="false" outlineLevel="0" collapsed="false">
      <c r="A7762" s="0" t="s">
        <v>12</v>
      </c>
      <c r="B7762" s="0" t="n">
        <v>2194641</v>
      </c>
      <c r="C7762" s="0" t="n">
        <v>2194661</v>
      </c>
      <c r="D7762" s="0" t="s">
        <v>25929</v>
      </c>
      <c r="E7762" s="0" t="s">
        <v>89</v>
      </c>
      <c r="F7762" s="0" t="s">
        <v>90</v>
      </c>
      <c r="G7762" s="0" t="s">
        <v>36</v>
      </c>
      <c r="H7762" s="0" t="n">
        <v>48</v>
      </c>
      <c r="I7762" s="0" t="s">
        <v>25933</v>
      </c>
      <c r="J7762" s="0" t="s">
        <v>25934</v>
      </c>
      <c r="K7762" s="0" t="s">
        <v>25935</v>
      </c>
      <c r="L7762" s="0" t="str">
        <f aca="false">HYPERLINK("https://www.ncbi.nlm.nih.gov/nuccore/CP000304.1?report=graph&amp;tracks=[key:gene_model_track,Options:GeneOnly]&amp;mk=2194665:2194684|offset_25|444444,2194642:2194661|offset_48|00cc00,2194616:2194635|offset_74|444444,2194590:2194609|offset_100|444444&amp;v=2194464:2194809&amp;c=444444", "offset 48")</f>
        <v>offset 48</v>
      </c>
    </row>
    <row r="7763" customFormat="false" ht="12.8" hidden="false" customHeight="false" outlineLevel="0" collapsed="false">
      <c r="A7763" s="0" t="s">
        <v>12</v>
      </c>
      <c r="B7763" s="0" t="n">
        <v>2194615</v>
      </c>
      <c r="C7763" s="0" t="n">
        <v>2194635</v>
      </c>
      <c r="D7763" s="0" t="s">
        <v>25929</v>
      </c>
      <c r="E7763" s="0" t="s">
        <v>89</v>
      </c>
      <c r="F7763" s="0" t="s">
        <v>90</v>
      </c>
      <c r="G7763" s="0" t="s">
        <v>26</v>
      </c>
      <c r="H7763" s="0" t="n">
        <v>74</v>
      </c>
      <c r="I7763" s="0" t="s">
        <v>25936</v>
      </c>
      <c r="J7763" s="0" t="s">
        <v>25937</v>
      </c>
      <c r="K7763" s="0" t="s">
        <v>25938</v>
      </c>
      <c r="L7763" s="0" t="str">
        <f aca="false">HYPERLINK("https://www.ncbi.nlm.nih.gov/nuccore/CP000304.1?report=graph&amp;tracks=[key:gene_model_track,Options:GeneOnly]&amp;mk=2194665:2194684|offset_25|444444,2194642:2194661|offset_48|444444,2194616:2194635|offset_74|00cc00,2194590:2194609|offset_100|444444&amp;v=2194464:2194809&amp;c=444444", "offset 74")</f>
        <v>offset 74</v>
      </c>
    </row>
    <row r="7764" customFormat="false" ht="12.8" hidden="false" customHeight="false" outlineLevel="0" collapsed="false">
      <c r="A7764" s="0" t="s">
        <v>12</v>
      </c>
      <c r="B7764" s="0" t="n">
        <v>2194589</v>
      </c>
      <c r="C7764" s="0" t="n">
        <v>2194609</v>
      </c>
      <c r="D7764" s="0" t="s">
        <v>25929</v>
      </c>
      <c r="E7764" s="0" t="s">
        <v>89</v>
      </c>
      <c r="F7764" s="0" t="s">
        <v>90</v>
      </c>
      <c r="G7764" s="0" t="s">
        <v>32</v>
      </c>
      <c r="H7764" s="0" t="n">
        <v>100</v>
      </c>
      <c r="I7764" s="0" t="s">
        <v>25939</v>
      </c>
      <c r="J7764" s="0" t="s">
        <v>25940</v>
      </c>
      <c r="K7764" s="0" t="s">
        <v>25941</v>
      </c>
      <c r="L7764" s="0" t="str">
        <f aca="false">HYPERLINK("https://www.ncbi.nlm.nih.gov/nuccore/CP000304.1?report=graph&amp;tracks=[key:gene_model_track,Options:GeneOnly]&amp;mk=2194665:2194684|offset_25|444444,2194642:2194661|offset_48|444444,2194616:2194635|offset_74|444444,2194590:2194609|offset_100|00cc00&amp;v=2194464:2194809&amp;c=444444", "offset 100")</f>
        <v>offset 100</v>
      </c>
    </row>
    <row r="7765" customFormat="false" ht="12.8" hidden="false" customHeight="false" outlineLevel="0" collapsed="false">
      <c r="A7765" s="0" t="s">
        <v>12</v>
      </c>
      <c r="B7765" s="0" t="n">
        <v>2194720</v>
      </c>
      <c r="C7765" s="0" t="n">
        <v>2194740</v>
      </c>
      <c r="D7765" s="0" t="s">
        <v>25942</v>
      </c>
      <c r="E7765" s="0" t="s">
        <v>25943</v>
      </c>
      <c r="F7765" s="0" t="s">
        <v>15</v>
      </c>
      <c r="G7765" s="0" t="s">
        <v>16</v>
      </c>
      <c r="H7765" s="0" t="n">
        <v>0</v>
      </c>
      <c r="I7765" s="0" t="s">
        <v>25944</v>
      </c>
      <c r="J7765" s="0" t="s">
        <v>25945</v>
      </c>
      <c r="K7765" s="0" t="s">
        <v>25946</v>
      </c>
      <c r="L7765" s="0" t="str">
        <f aca="false">HYPERLINK("https://www.ncbi.nlm.nih.gov/nuccore/CP000304.1?report=graph&amp;tracks=[key:gene_model_track,Options:GeneOnly]&amp;mk=2194721:2194740|offset_0|00cc00,2194749:2194768|offset_28|444444,2194779:2194798|offset_58|444444,2194821:2194840|offset_100|444444&amp;v=2194520:2195040&amp;c=444444", "offset 0")</f>
        <v>offset 0</v>
      </c>
    </row>
    <row r="7766" customFormat="false" ht="12.8" hidden="false" customHeight="false" outlineLevel="0" collapsed="false">
      <c r="A7766" s="0" t="s">
        <v>12</v>
      </c>
      <c r="B7766" s="0" t="n">
        <v>2194748</v>
      </c>
      <c r="C7766" s="0" t="n">
        <v>2194768</v>
      </c>
      <c r="D7766" s="0" t="s">
        <v>25942</v>
      </c>
      <c r="E7766" s="0" t="s">
        <v>25943</v>
      </c>
      <c r="F7766" s="0" t="s">
        <v>15</v>
      </c>
      <c r="G7766" s="0" t="s">
        <v>36</v>
      </c>
      <c r="H7766" s="0" t="n">
        <v>28</v>
      </c>
      <c r="I7766" s="0" t="s">
        <v>25947</v>
      </c>
      <c r="J7766" s="0" t="s">
        <v>25948</v>
      </c>
      <c r="K7766" s="0" t="s">
        <v>25949</v>
      </c>
      <c r="L7766" s="0" t="str">
        <f aca="false">HYPERLINK("https://www.ncbi.nlm.nih.gov/nuccore/CP000304.1?report=graph&amp;tracks=[key:gene_model_track,Options:GeneOnly]&amp;mk=2194721:2194740|offset_0|444444,2194749:2194768|offset_28|00cc00,2194779:2194798|offset_58|444444,2194821:2194840|offset_100|444444&amp;v=2194520:2195040&amp;c=444444", "offset 28")</f>
        <v>offset 28</v>
      </c>
    </row>
    <row r="7767" customFormat="false" ht="12.8" hidden="false" customHeight="false" outlineLevel="0" collapsed="false">
      <c r="A7767" s="0" t="s">
        <v>12</v>
      </c>
      <c r="B7767" s="0" t="n">
        <v>2194778</v>
      </c>
      <c r="C7767" s="0" t="n">
        <v>2194798</v>
      </c>
      <c r="D7767" s="0" t="s">
        <v>25942</v>
      </c>
      <c r="E7767" s="0" t="s">
        <v>25943</v>
      </c>
      <c r="F7767" s="0" t="s">
        <v>15</v>
      </c>
      <c r="G7767" s="0" t="s">
        <v>36</v>
      </c>
      <c r="H7767" s="0" t="n">
        <v>58</v>
      </c>
      <c r="I7767" s="0" t="s">
        <v>25950</v>
      </c>
      <c r="J7767" s="0" t="s">
        <v>25951</v>
      </c>
      <c r="K7767" s="0" t="s">
        <v>25952</v>
      </c>
      <c r="L7767" s="0" t="str">
        <f aca="false">HYPERLINK("https://www.ncbi.nlm.nih.gov/nuccore/CP000304.1?report=graph&amp;tracks=[key:gene_model_track,Options:GeneOnly]&amp;mk=2194721:2194740|offset_0|444444,2194749:2194768|offset_28|444444,2194779:2194798|offset_58|00cc00,2194821:2194840|offset_100|444444&amp;v=2194520:2195040&amp;c=444444", "offset 58")</f>
        <v>offset 58</v>
      </c>
    </row>
    <row r="7768" customFormat="false" ht="12.8" hidden="false" customHeight="false" outlineLevel="0" collapsed="false">
      <c r="A7768" s="0" t="s">
        <v>12</v>
      </c>
      <c r="B7768" s="0" t="n">
        <v>2194820</v>
      </c>
      <c r="C7768" s="0" t="n">
        <v>2194840</v>
      </c>
      <c r="D7768" s="0" t="s">
        <v>25942</v>
      </c>
      <c r="E7768" s="0" t="s">
        <v>25943</v>
      </c>
      <c r="F7768" s="0" t="s">
        <v>15</v>
      </c>
      <c r="G7768" s="0" t="s">
        <v>16</v>
      </c>
      <c r="H7768" s="0" t="n">
        <v>100</v>
      </c>
      <c r="I7768" s="0" t="s">
        <v>25953</v>
      </c>
      <c r="J7768" s="0" t="s">
        <v>25954</v>
      </c>
      <c r="K7768" s="0" t="s">
        <v>25955</v>
      </c>
      <c r="L7768" s="0" t="str">
        <f aca="false">HYPERLINK("https://www.ncbi.nlm.nih.gov/nuccore/CP000304.1?report=graph&amp;tracks=[key:gene_model_track,Options:GeneOnly]&amp;mk=2194721:2194740|offset_0|444444,2194749:2194768|offset_28|444444,2194779:2194798|offset_58|444444,2194821:2194840|offset_100|00cc00&amp;v=2194520:2195040&amp;c=444444", "offset 100")</f>
        <v>offset 100</v>
      </c>
    </row>
    <row r="7769" customFormat="false" ht="12.8" hidden="false" customHeight="false" outlineLevel="0" collapsed="false">
      <c r="A7769" s="0" t="s">
        <v>12</v>
      </c>
      <c r="B7769" s="0" t="n">
        <v>2195336</v>
      </c>
      <c r="C7769" s="0" t="n">
        <v>2195356</v>
      </c>
      <c r="D7769" s="0" t="s">
        <v>25956</v>
      </c>
      <c r="E7769" s="0" t="s">
        <v>89</v>
      </c>
      <c r="F7769" s="0" t="s">
        <v>15</v>
      </c>
      <c r="G7769" s="0" t="s">
        <v>16</v>
      </c>
      <c r="H7769" s="0" t="n">
        <v>7</v>
      </c>
      <c r="I7769" s="0" t="s">
        <v>25957</v>
      </c>
      <c r="J7769" s="0" t="s">
        <v>25958</v>
      </c>
      <c r="K7769" s="0" t="s">
        <v>25959</v>
      </c>
      <c r="L7769" s="0" t="str">
        <f aca="false">HYPERLINK("https://www.ncbi.nlm.nih.gov/nuccore/CP000304.1?report=graph&amp;tracks=[key:gene_model_track,Options:GeneOnly]&amp;mk=2195337:2195356|offset_7|00cc00,2195367:2195386|offset_37|444444,2195392:2195411|offset_62|444444,2195418:2195437|offset_88|444444&amp;v=2195136:2195637&amp;c=444444", "offset 7")</f>
        <v>offset 7</v>
      </c>
    </row>
    <row r="7770" customFormat="false" ht="12.8" hidden="false" customHeight="false" outlineLevel="0" collapsed="false">
      <c r="A7770" s="0" t="s">
        <v>12</v>
      </c>
      <c r="B7770" s="0" t="n">
        <v>2195366</v>
      </c>
      <c r="C7770" s="0" t="n">
        <v>2195386</v>
      </c>
      <c r="D7770" s="0" t="s">
        <v>25956</v>
      </c>
      <c r="E7770" s="0" t="s">
        <v>89</v>
      </c>
      <c r="F7770" s="0" t="s">
        <v>15</v>
      </c>
      <c r="G7770" s="0" t="s">
        <v>26</v>
      </c>
      <c r="H7770" s="0" t="n">
        <v>37</v>
      </c>
      <c r="I7770" s="0" t="s">
        <v>25960</v>
      </c>
      <c r="J7770" s="0" t="s">
        <v>25961</v>
      </c>
      <c r="K7770" s="0" t="s">
        <v>25962</v>
      </c>
      <c r="L7770" s="0" t="str">
        <f aca="false">HYPERLINK("https://www.ncbi.nlm.nih.gov/nuccore/CP000304.1?report=graph&amp;tracks=[key:gene_model_track,Options:GeneOnly]&amp;mk=2195337:2195356|offset_7|444444,2195367:2195386|offset_37|00cc00,2195392:2195411|offset_62|444444,2195418:2195437|offset_88|444444&amp;v=2195136:2195637&amp;c=444444", "offset 37")</f>
        <v>offset 37</v>
      </c>
    </row>
    <row r="7771" customFormat="false" ht="12.8" hidden="false" customHeight="false" outlineLevel="0" collapsed="false">
      <c r="A7771" s="0" t="s">
        <v>12</v>
      </c>
      <c r="B7771" s="0" t="n">
        <v>2195391</v>
      </c>
      <c r="C7771" s="0" t="n">
        <v>2195411</v>
      </c>
      <c r="D7771" s="0" t="s">
        <v>25956</v>
      </c>
      <c r="E7771" s="0" t="s">
        <v>89</v>
      </c>
      <c r="F7771" s="0" t="s">
        <v>15</v>
      </c>
      <c r="G7771" s="0" t="s">
        <v>36</v>
      </c>
      <c r="H7771" s="0" t="n">
        <v>62</v>
      </c>
      <c r="I7771" s="0" t="s">
        <v>25963</v>
      </c>
      <c r="J7771" s="0" t="s">
        <v>25964</v>
      </c>
      <c r="K7771" s="0" t="s">
        <v>25965</v>
      </c>
      <c r="L7771" s="0" t="str">
        <f aca="false">HYPERLINK("https://www.ncbi.nlm.nih.gov/nuccore/CP000304.1?report=graph&amp;tracks=[key:gene_model_track,Options:GeneOnly]&amp;mk=2195337:2195356|offset_7|444444,2195367:2195386|offset_37|444444,2195392:2195411|offset_62|00cc00,2195418:2195437|offset_88|444444&amp;v=2195136:2195637&amp;c=444444", "offset 62")</f>
        <v>offset 62</v>
      </c>
    </row>
    <row r="7772" customFormat="false" ht="12.8" hidden="false" customHeight="false" outlineLevel="0" collapsed="false">
      <c r="A7772" s="0" t="s">
        <v>12</v>
      </c>
      <c r="B7772" s="0" t="n">
        <v>2195417</v>
      </c>
      <c r="C7772" s="0" t="n">
        <v>2195437</v>
      </c>
      <c r="D7772" s="0" t="s">
        <v>25956</v>
      </c>
      <c r="E7772" s="0" t="s">
        <v>89</v>
      </c>
      <c r="F7772" s="0" t="s">
        <v>15</v>
      </c>
      <c r="G7772" s="0" t="s">
        <v>16</v>
      </c>
      <c r="H7772" s="0" t="n">
        <v>88</v>
      </c>
      <c r="I7772" s="0" t="s">
        <v>25966</v>
      </c>
      <c r="J7772" s="0" t="s">
        <v>25967</v>
      </c>
      <c r="K7772" s="0" t="s">
        <v>25968</v>
      </c>
      <c r="L7772" s="0" t="str">
        <f aca="false">HYPERLINK("https://www.ncbi.nlm.nih.gov/nuccore/CP000304.1?report=graph&amp;tracks=[key:gene_model_track,Options:GeneOnly]&amp;mk=2195337:2195356|offset_7|444444,2195367:2195386|offset_37|444444,2195392:2195411|offset_62|444444,2195418:2195437|offset_88|00cc00&amp;v=2195136:2195637&amp;c=444444", "offset 88")</f>
        <v>offset 88</v>
      </c>
    </row>
    <row r="7773" customFormat="false" ht="12.8" hidden="false" customHeight="false" outlineLevel="0" collapsed="false">
      <c r="A7773" s="0" t="s">
        <v>12</v>
      </c>
      <c r="B7773" s="0" t="n">
        <v>2196941</v>
      </c>
      <c r="C7773" s="0" t="n">
        <v>2196961</v>
      </c>
      <c r="D7773" s="0" t="s">
        <v>25969</v>
      </c>
      <c r="E7773" s="0" t="s">
        <v>25970</v>
      </c>
      <c r="F7773" s="0" t="s">
        <v>90</v>
      </c>
      <c r="G7773" s="0" t="s">
        <v>16</v>
      </c>
      <c r="H7773" s="0" t="n">
        <v>40</v>
      </c>
      <c r="I7773" s="0" t="s">
        <v>25971</v>
      </c>
      <c r="J7773" s="0" t="s">
        <v>25972</v>
      </c>
      <c r="K7773" s="0" t="s">
        <v>25973</v>
      </c>
      <c r="L7773" s="0" t="str">
        <f aca="false">HYPERLINK("https://www.ncbi.nlm.nih.gov/nuccore/CP000304.1?report=graph&amp;tracks=[key:gene_model_track,Options:GeneOnly]&amp;mk=2196942:2196961|offset_40|00cc00,2196906:2196925|offset_76|444444,2196882:2196901|offset_100|444444,2196854:2196873|offset_128|444444&amp;v=2196741:2197073&amp;c=444444", "offset 40")</f>
        <v>offset 40</v>
      </c>
    </row>
    <row r="7774" customFormat="false" ht="12.8" hidden="false" customHeight="false" outlineLevel="0" collapsed="false">
      <c r="A7774" s="0" t="s">
        <v>12</v>
      </c>
      <c r="B7774" s="0" t="n">
        <v>2196905</v>
      </c>
      <c r="C7774" s="0" t="n">
        <v>2196925</v>
      </c>
      <c r="D7774" s="0" t="s">
        <v>25969</v>
      </c>
      <c r="E7774" s="0" t="s">
        <v>25970</v>
      </c>
      <c r="F7774" s="0" t="s">
        <v>90</v>
      </c>
      <c r="G7774" s="0" t="s">
        <v>32</v>
      </c>
      <c r="H7774" s="0" t="n">
        <v>76</v>
      </c>
      <c r="I7774" s="0" t="s">
        <v>25974</v>
      </c>
      <c r="J7774" s="0" t="s">
        <v>25975</v>
      </c>
      <c r="K7774" s="0" t="s">
        <v>25976</v>
      </c>
      <c r="L7774" s="0" t="str">
        <f aca="false">HYPERLINK("https://www.ncbi.nlm.nih.gov/nuccore/CP000304.1?report=graph&amp;tracks=[key:gene_model_track,Options:GeneOnly]&amp;mk=2196942:2196961|offset_40|444444,2196906:2196925|offset_76|00cc00,2196882:2196901|offset_100|444444,2196854:2196873|offset_128|444444&amp;v=2196741:2197073&amp;c=444444", "offset 76")</f>
        <v>offset 76</v>
      </c>
    </row>
    <row r="7775" customFormat="false" ht="12.8" hidden="false" customHeight="false" outlineLevel="0" collapsed="false">
      <c r="A7775" s="0" t="s">
        <v>12</v>
      </c>
      <c r="B7775" s="0" t="n">
        <v>2196881</v>
      </c>
      <c r="C7775" s="0" t="n">
        <v>2196901</v>
      </c>
      <c r="D7775" s="0" t="s">
        <v>25969</v>
      </c>
      <c r="E7775" s="0" t="s">
        <v>25970</v>
      </c>
      <c r="F7775" s="0" t="s">
        <v>90</v>
      </c>
      <c r="G7775" s="0" t="s">
        <v>16</v>
      </c>
      <c r="H7775" s="0" t="n">
        <v>100</v>
      </c>
      <c r="I7775" s="0" t="s">
        <v>25977</v>
      </c>
      <c r="J7775" s="0" t="s">
        <v>25978</v>
      </c>
      <c r="K7775" s="0" t="s">
        <v>25979</v>
      </c>
      <c r="L7775" s="0" t="str">
        <f aca="false">HYPERLINK("https://www.ncbi.nlm.nih.gov/nuccore/CP000304.1?report=graph&amp;tracks=[key:gene_model_track,Options:GeneOnly]&amp;mk=2196942:2196961|offset_40|444444,2196906:2196925|offset_76|444444,2196882:2196901|offset_100|00cc00,2196854:2196873|offset_128|444444&amp;v=2196741:2197073&amp;c=444444", "offset 100")</f>
        <v>offset 100</v>
      </c>
    </row>
    <row r="7776" customFormat="false" ht="12.8" hidden="false" customHeight="false" outlineLevel="0" collapsed="false">
      <c r="A7776" s="0" t="s">
        <v>12</v>
      </c>
      <c r="B7776" s="0" t="n">
        <v>2196853</v>
      </c>
      <c r="C7776" s="0" t="n">
        <v>2196873</v>
      </c>
      <c r="D7776" s="0" t="s">
        <v>25969</v>
      </c>
      <c r="E7776" s="0" t="s">
        <v>25970</v>
      </c>
      <c r="F7776" s="0" t="s">
        <v>90</v>
      </c>
      <c r="G7776" s="0" t="s">
        <v>32</v>
      </c>
      <c r="H7776" s="0" t="n">
        <v>128</v>
      </c>
      <c r="I7776" s="0" t="s">
        <v>25980</v>
      </c>
      <c r="J7776" s="0" t="s">
        <v>25981</v>
      </c>
      <c r="K7776" s="0" t="s">
        <v>25982</v>
      </c>
      <c r="L7776" s="0" t="str">
        <f aca="false">HYPERLINK("https://www.ncbi.nlm.nih.gov/nuccore/CP000304.1?report=graph&amp;tracks=[key:gene_model_track,Options:GeneOnly]&amp;mk=2196942:2196961|offset_40|444444,2196906:2196925|offset_76|444444,2196882:2196901|offset_100|444444,2196854:2196873|offset_128|00cc00&amp;v=2196741:2197073&amp;c=444444", "offset 128")</f>
        <v>offset 128</v>
      </c>
    </row>
    <row r="7777" customFormat="false" ht="12.8" hidden="false" customHeight="false" outlineLevel="0" collapsed="false">
      <c r="A7777" s="0" t="s">
        <v>12</v>
      </c>
      <c r="B7777" s="0" t="n">
        <v>2197415</v>
      </c>
      <c r="C7777" s="0" t="n">
        <v>2197435</v>
      </c>
      <c r="D7777" s="0" t="s">
        <v>25983</v>
      </c>
      <c r="E7777" s="0" t="s">
        <v>89</v>
      </c>
      <c r="F7777" s="0" t="s">
        <v>15</v>
      </c>
      <c r="G7777" s="0" t="s">
        <v>32</v>
      </c>
      <c r="H7777" s="0" t="n">
        <v>23</v>
      </c>
      <c r="I7777" s="0" t="s">
        <v>25984</v>
      </c>
      <c r="J7777" s="0" t="s">
        <v>25985</v>
      </c>
      <c r="K7777" s="0" t="s">
        <v>25986</v>
      </c>
      <c r="L7777" s="0" t="str">
        <f aca="false">HYPERLINK("https://www.ncbi.nlm.nih.gov/nuccore/CP000304.1?report=graph&amp;tracks=[key:gene_model_track,Options:GeneOnly]&amp;mk=2197416:2197435|offset_23|00cc00,2197469:2197488|offset_76|444444,2197520:2197539|offset_127|444444,2197562:2197581|offset_169|444444&amp;v=2197215:2197781&amp;c=444444", "offset 23")</f>
        <v>offset 23</v>
      </c>
    </row>
    <row r="7778" customFormat="false" ht="12.8" hidden="false" customHeight="false" outlineLevel="0" collapsed="false">
      <c r="A7778" s="0" t="s">
        <v>12</v>
      </c>
      <c r="B7778" s="0" t="n">
        <v>2197468</v>
      </c>
      <c r="C7778" s="0" t="n">
        <v>2197488</v>
      </c>
      <c r="D7778" s="0" t="s">
        <v>25983</v>
      </c>
      <c r="E7778" s="0" t="s">
        <v>89</v>
      </c>
      <c r="F7778" s="0" t="s">
        <v>15</v>
      </c>
      <c r="G7778" s="0" t="s">
        <v>26</v>
      </c>
      <c r="H7778" s="0" t="n">
        <v>76</v>
      </c>
      <c r="I7778" s="0" t="s">
        <v>25987</v>
      </c>
      <c r="J7778" s="0" t="s">
        <v>25988</v>
      </c>
      <c r="K7778" s="0" t="s">
        <v>25989</v>
      </c>
      <c r="L7778" s="0" t="str">
        <f aca="false">HYPERLINK("https://www.ncbi.nlm.nih.gov/nuccore/CP000304.1?report=graph&amp;tracks=[key:gene_model_track,Options:GeneOnly]&amp;mk=2197416:2197435|offset_23|444444,2197469:2197488|offset_76|00cc00,2197520:2197539|offset_127|444444,2197562:2197581|offset_169|444444&amp;v=2197215:2197781&amp;c=444444", "offset 76")</f>
        <v>offset 76</v>
      </c>
    </row>
    <row r="7779" customFormat="false" ht="12.8" hidden="false" customHeight="false" outlineLevel="0" collapsed="false">
      <c r="A7779" s="0" t="s">
        <v>12</v>
      </c>
      <c r="B7779" s="0" t="n">
        <v>2197519</v>
      </c>
      <c r="C7779" s="0" t="n">
        <v>2197539</v>
      </c>
      <c r="D7779" s="0" t="s">
        <v>25983</v>
      </c>
      <c r="E7779" s="0" t="s">
        <v>89</v>
      </c>
      <c r="F7779" s="0" t="s">
        <v>15</v>
      </c>
      <c r="G7779" s="0" t="s">
        <v>26</v>
      </c>
      <c r="H7779" s="0" t="n">
        <v>127</v>
      </c>
      <c r="I7779" s="0" t="s">
        <v>25990</v>
      </c>
      <c r="J7779" s="0" t="s">
        <v>25991</v>
      </c>
      <c r="K7779" s="0" t="s">
        <v>25992</v>
      </c>
      <c r="L7779" s="0" t="str">
        <f aca="false">HYPERLINK("https://www.ncbi.nlm.nih.gov/nuccore/CP000304.1?report=graph&amp;tracks=[key:gene_model_track,Options:GeneOnly]&amp;mk=2197416:2197435|offset_23|444444,2197469:2197488|offset_76|444444,2197520:2197539|offset_127|00cc00,2197562:2197581|offset_169|444444&amp;v=2197215:2197781&amp;c=444444", "offset 127")</f>
        <v>offset 127</v>
      </c>
    </row>
    <row r="7780" customFormat="false" ht="12.8" hidden="false" customHeight="false" outlineLevel="0" collapsed="false">
      <c r="A7780" s="0" t="s">
        <v>12</v>
      </c>
      <c r="B7780" s="0" t="n">
        <v>2197561</v>
      </c>
      <c r="C7780" s="0" t="n">
        <v>2197581</v>
      </c>
      <c r="D7780" s="0" t="s">
        <v>25983</v>
      </c>
      <c r="E7780" s="0" t="s">
        <v>89</v>
      </c>
      <c r="F7780" s="0" t="s">
        <v>15</v>
      </c>
      <c r="G7780" s="0" t="s">
        <v>36</v>
      </c>
      <c r="H7780" s="0" t="n">
        <v>169</v>
      </c>
      <c r="I7780" s="0" t="s">
        <v>25993</v>
      </c>
      <c r="J7780" s="0" t="s">
        <v>25994</v>
      </c>
      <c r="K7780" s="0" t="s">
        <v>25995</v>
      </c>
      <c r="L7780" s="0" t="str">
        <f aca="false">HYPERLINK("https://www.ncbi.nlm.nih.gov/nuccore/CP000304.1?report=graph&amp;tracks=[key:gene_model_track,Options:GeneOnly]&amp;mk=2197416:2197435|offset_23|444444,2197469:2197488|offset_76|444444,2197520:2197539|offset_127|444444,2197562:2197581|offset_169|00cc00&amp;v=2197215:2197781&amp;c=444444", "offset 169")</f>
        <v>offset 169</v>
      </c>
    </row>
    <row r="7781" customFormat="false" ht="12.8" hidden="false" customHeight="false" outlineLevel="0" collapsed="false">
      <c r="A7781" s="0" t="s">
        <v>12</v>
      </c>
      <c r="B7781" s="0" t="n">
        <v>2198759</v>
      </c>
      <c r="C7781" s="0" t="n">
        <v>2198779</v>
      </c>
      <c r="D7781" s="0" t="s">
        <v>25996</v>
      </c>
      <c r="E7781" s="0" t="s">
        <v>25997</v>
      </c>
      <c r="F7781" s="0" t="s">
        <v>90</v>
      </c>
      <c r="G7781" s="0" t="s">
        <v>32</v>
      </c>
      <c r="H7781" s="0" t="n">
        <v>15</v>
      </c>
      <c r="I7781" s="0" t="s">
        <v>25998</v>
      </c>
      <c r="J7781" s="0" t="s">
        <v>25999</v>
      </c>
      <c r="K7781" s="0" t="s">
        <v>26000</v>
      </c>
      <c r="L7781" s="0" t="str">
        <f aca="false">HYPERLINK("https://www.ncbi.nlm.nih.gov/nuccore/CP000304.1?report=graph&amp;tracks=[key:gene_model_track,Options:GeneOnly]&amp;mk=2198760:2198779|offset_15|00cc00,2198735:2198754|offset_40|444444,2198715:2198734|offset_60|444444,2198692:2198711|offset_83|444444&amp;v=2198559:2198911&amp;c=444444", "offset 15")</f>
        <v>offset 15</v>
      </c>
    </row>
    <row r="7782" customFormat="false" ht="12.8" hidden="false" customHeight="false" outlineLevel="0" collapsed="false">
      <c r="A7782" s="0" t="s">
        <v>12</v>
      </c>
      <c r="B7782" s="0" t="n">
        <v>2198734</v>
      </c>
      <c r="C7782" s="0" t="n">
        <v>2198754</v>
      </c>
      <c r="D7782" s="0" t="s">
        <v>25996</v>
      </c>
      <c r="E7782" s="0" t="s">
        <v>25997</v>
      </c>
      <c r="F7782" s="0" t="s">
        <v>90</v>
      </c>
      <c r="G7782" s="0" t="s">
        <v>32</v>
      </c>
      <c r="H7782" s="0" t="n">
        <v>40</v>
      </c>
      <c r="I7782" s="0" t="s">
        <v>26001</v>
      </c>
      <c r="J7782" s="0" t="s">
        <v>26002</v>
      </c>
      <c r="K7782" s="0" t="s">
        <v>26003</v>
      </c>
      <c r="L7782" s="0" t="str">
        <f aca="false">HYPERLINK("https://www.ncbi.nlm.nih.gov/nuccore/CP000304.1?report=graph&amp;tracks=[key:gene_model_track,Options:GeneOnly]&amp;mk=2198760:2198779|offset_15|444444,2198735:2198754|offset_40|00cc00,2198715:2198734|offset_60|444444,2198692:2198711|offset_83|444444&amp;v=2198559:2198911&amp;c=444444", "offset 40")</f>
        <v>offset 40</v>
      </c>
    </row>
    <row r="7783" customFormat="false" ht="12.8" hidden="false" customHeight="false" outlineLevel="0" collapsed="false">
      <c r="A7783" s="0" t="s">
        <v>12</v>
      </c>
      <c r="B7783" s="0" t="n">
        <v>2198714</v>
      </c>
      <c r="C7783" s="0" t="n">
        <v>2198734</v>
      </c>
      <c r="D7783" s="0" t="s">
        <v>25996</v>
      </c>
      <c r="E7783" s="0" t="s">
        <v>25997</v>
      </c>
      <c r="F7783" s="0" t="s">
        <v>90</v>
      </c>
      <c r="G7783" s="0" t="s">
        <v>16</v>
      </c>
      <c r="H7783" s="0" t="n">
        <v>60</v>
      </c>
      <c r="I7783" s="0" t="s">
        <v>26004</v>
      </c>
      <c r="J7783" s="0" t="s">
        <v>26005</v>
      </c>
      <c r="K7783" s="0" t="s">
        <v>26006</v>
      </c>
      <c r="L7783" s="0" t="str">
        <f aca="false">HYPERLINK("https://www.ncbi.nlm.nih.gov/nuccore/CP000304.1?report=graph&amp;tracks=[key:gene_model_track,Options:GeneOnly]&amp;mk=2198760:2198779|offset_15|444444,2198735:2198754|offset_40|444444,2198715:2198734|offset_60|00cc00,2198692:2198711|offset_83|444444&amp;v=2198559:2198911&amp;c=444444", "offset 60")</f>
        <v>offset 60</v>
      </c>
    </row>
    <row r="7784" customFormat="false" ht="12.8" hidden="false" customHeight="false" outlineLevel="0" collapsed="false">
      <c r="A7784" s="0" t="s">
        <v>12</v>
      </c>
      <c r="B7784" s="0" t="n">
        <v>2198691</v>
      </c>
      <c r="C7784" s="0" t="n">
        <v>2198711</v>
      </c>
      <c r="D7784" s="0" t="s">
        <v>25996</v>
      </c>
      <c r="E7784" s="0" t="s">
        <v>25997</v>
      </c>
      <c r="F7784" s="0" t="s">
        <v>90</v>
      </c>
      <c r="G7784" s="0" t="s">
        <v>36</v>
      </c>
      <c r="H7784" s="0" t="n">
        <v>83</v>
      </c>
      <c r="I7784" s="0" t="s">
        <v>26007</v>
      </c>
      <c r="J7784" s="0" t="s">
        <v>26008</v>
      </c>
      <c r="K7784" s="0" t="s">
        <v>26009</v>
      </c>
      <c r="L7784" s="0" t="str">
        <f aca="false">HYPERLINK("https://www.ncbi.nlm.nih.gov/nuccore/CP000304.1?report=graph&amp;tracks=[key:gene_model_track,Options:GeneOnly]&amp;mk=2198760:2198779|offset_15|444444,2198735:2198754|offset_40|444444,2198715:2198734|offset_60|444444,2198692:2198711|offset_83|00cc00&amp;v=2198559:2198911&amp;c=444444", "offset 83")</f>
        <v>offset 83</v>
      </c>
    </row>
    <row r="7785" customFormat="false" ht="12.8" hidden="false" customHeight="false" outlineLevel="0" collapsed="false">
      <c r="A7785" s="0" t="s">
        <v>12</v>
      </c>
      <c r="B7785" s="0" t="n">
        <v>2199070</v>
      </c>
      <c r="C7785" s="0" t="n">
        <v>2199090</v>
      </c>
      <c r="D7785" s="0" t="s">
        <v>26010</v>
      </c>
      <c r="E7785" s="0" t="s">
        <v>26011</v>
      </c>
      <c r="F7785" s="0" t="s">
        <v>15</v>
      </c>
      <c r="G7785" s="0" t="s">
        <v>32</v>
      </c>
      <c r="H7785" s="0" t="n">
        <v>13</v>
      </c>
      <c r="I7785" s="0" t="s">
        <v>26012</v>
      </c>
      <c r="J7785" s="0" t="s">
        <v>26013</v>
      </c>
      <c r="K7785" s="0" t="s">
        <v>26014</v>
      </c>
      <c r="L7785" s="0" t="str">
        <f aca="false">HYPERLINK("https://www.ncbi.nlm.nih.gov/nuccore/CP000304.1?report=graph&amp;tracks=[key:gene_model_track,Options:GeneOnly]&amp;mk=2199071:2199090|offset_13|00cc00,2199104:2199123|offset_46|444444,2199140:2199159|offset_82|444444,2199182:2199201|offset_124|444444&amp;v=2198870:2199401&amp;c=444444", "offset 13")</f>
        <v>offset 13</v>
      </c>
    </row>
    <row r="7786" customFormat="false" ht="12.8" hidden="false" customHeight="false" outlineLevel="0" collapsed="false">
      <c r="A7786" s="0" t="s">
        <v>12</v>
      </c>
      <c r="B7786" s="0" t="n">
        <v>2199103</v>
      </c>
      <c r="C7786" s="0" t="n">
        <v>2199123</v>
      </c>
      <c r="D7786" s="0" t="s">
        <v>26010</v>
      </c>
      <c r="E7786" s="0" t="s">
        <v>26011</v>
      </c>
      <c r="F7786" s="0" t="s">
        <v>15</v>
      </c>
      <c r="G7786" s="0" t="s">
        <v>32</v>
      </c>
      <c r="H7786" s="0" t="n">
        <v>46</v>
      </c>
      <c r="I7786" s="0" t="s">
        <v>26015</v>
      </c>
      <c r="J7786" s="0" t="s">
        <v>26016</v>
      </c>
      <c r="K7786" s="0" t="s">
        <v>26017</v>
      </c>
      <c r="L7786" s="0" t="str">
        <f aca="false">HYPERLINK("https://www.ncbi.nlm.nih.gov/nuccore/CP000304.1?report=graph&amp;tracks=[key:gene_model_track,Options:GeneOnly]&amp;mk=2199071:2199090|offset_13|444444,2199104:2199123|offset_46|00cc00,2199140:2199159|offset_82|444444,2199182:2199201|offset_124|444444&amp;v=2198870:2199401&amp;c=444444", "offset 46")</f>
        <v>offset 46</v>
      </c>
    </row>
    <row r="7787" customFormat="false" ht="12.8" hidden="false" customHeight="false" outlineLevel="0" collapsed="false">
      <c r="A7787" s="0" t="s">
        <v>12</v>
      </c>
      <c r="B7787" s="0" t="n">
        <v>2199139</v>
      </c>
      <c r="C7787" s="0" t="n">
        <v>2199159</v>
      </c>
      <c r="D7787" s="0" t="s">
        <v>26010</v>
      </c>
      <c r="E7787" s="0" t="s">
        <v>26011</v>
      </c>
      <c r="F7787" s="0" t="s">
        <v>15</v>
      </c>
      <c r="G7787" s="0" t="s">
        <v>16</v>
      </c>
      <c r="H7787" s="0" t="n">
        <v>82</v>
      </c>
      <c r="I7787" s="0" t="s">
        <v>26018</v>
      </c>
      <c r="J7787" s="0" t="s">
        <v>26019</v>
      </c>
      <c r="K7787" s="0" t="s">
        <v>26020</v>
      </c>
      <c r="L7787" s="0" t="str">
        <f aca="false">HYPERLINK("https://www.ncbi.nlm.nih.gov/nuccore/CP000304.1?report=graph&amp;tracks=[key:gene_model_track,Options:GeneOnly]&amp;mk=2199071:2199090|offset_13|444444,2199104:2199123|offset_46|444444,2199140:2199159|offset_82|00cc00,2199182:2199201|offset_124|444444&amp;v=2198870:2199401&amp;c=444444", "offset 82")</f>
        <v>offset 82</v>
      </c>
    </row>
    <row r="7788" customFormat="false" ht="12.8" hidden="false" customHeight="false" outlineLevel="0" collapsed="false">
      <c r="A7788" s="0" t="s">
        <v>12</v>
      </c>
      <c r="B7788" s="0" t="n">
        <v>2199181</v>
      </c>
      <c r="C7788" s="0" t="n">
        <v>2199201</v>
      </c>
      <c r="D7788" s="0" t="s">
        <v>26010</v>
      </c>
      <c r="E7788" s="0" t="s">
        <v>26011</v>
      </c>
      <c r="F7788" s="0" t="s">
        <v>15</v>
      </c>
      <c r="G7788" s="0" t="s">
        <v>16</v>
      </c>
      <c r="H7788" s="0" t="n">
        <v>124</v>
      </c>
      <c r="I7788" s="0" t="s">
        <v>26021</v>
      </c>
      <c r="J7788" s="0" t="s">
        <v>26022</v>
      </c>
      <c r="K7788" s="0" t="s">
        <v>26023</v>
      </c>
      <c r="L7788" s="0" t="str">
        <f aca="false">HYPERLINK("https://www.ncbi.nlm.nih.gov/nuccore/CP000304.1?report=graph&amp;tracks=[key:gene_model_track,Options:GeneOnly]&amp;mk=2199071:2199090|offset_13|444444,2199104:2199123|offset_46|444444,2199140:2199159|offset_82|444444,2199182:2199201|offset_124|00cc00&amp;v=2198870:2199401&amp;c=444444", "offset 124")</f>
        <v>offset 124</v>
      </c>
    </row>
    <row r="7789" customFormat="false" ht="12.8" hidden="false" customHeight="false" outlineLevel="0" collapsed="false">
      <c r="A7789" s="0" t="s">
        <v>12</v>
      </c>
      <c r="B7789" s="0" t="n">
        <v>2200234</v>
      </c>
      <c r="C7789" s="0" t="n">
        <v>2200254</v>
      </c>
      <c r="D7789" s="0" t="s">
        <v>26024</v>
      </c>
      <c r="E7789" s="0" t="s">
        <v>26025</v>
      </c>
      <c r="F7789" s="0" t="s">
        <v>15</v>
      </c>
      <c r="G7789" s="0" t="s">
        <v>32</v>
      </c>
      <c r="H7789" s="0" t="n">
        <v>44</v>
      </c>
      <c r="I7789" s="0" t="s">
        <v>26026</v>
      </c>
      <c r="J7789" s="0" t="s">
        <v>26027</v>
      </c>
      <c r="K7789" s="0" t="s">
        <v>26028</v>
      </c>
      <c r="L7789" s="0" t="str">
        <f aca="false">HYPERLINK("https://www.ncbi.nlm.nih.gov/nuccore/CP000304.1?report=graph&amp;tracks=[key:gene_model_track,Options:GeneOnly]&amp;mk=2200235:2200254|offset_44|00cc00,2200261:2200280|offset_70|444444,2200284:2200303|offset_93|444444,2200307:2200326|offset_116|444444&amp;v=2200034:2200526&amp;c=444444", "offset 44")</f>
        <v>offset 44</v>
      </c>
    </row>
    <row r="7790" customFormat="false" ht="12.8" hidden="false" customHeight="false" outlineLevel="0" collapsed="false">
      <c r="A7790" s="0" t="s">
        <v>12</v>
      </c>
      <c r="B7790" s="0" t="n">
        <v>2200260</v>
      </c>
      <c r="C7790" s="0" t="n">
        <v>2200280</v>
      </c>
      <c r="D7790" s="0" t="s">
        <v>26024</v>
      </c>
      <c r="E7790" s="0" t="s">
        <v>26025</v>
      </c>
      <c r="F7790" s="0" t="s">
        <v>15</v>
      </c>
      <c r="G7790" s="0" t="s">
        <v>36</v>
      </c>
      <c r="H7790" s="0" t="n">
        <v>70</v>
      </c>
      <c r="I7790" s="0" t="s">
        <v>26029</v>
      </c>
      <c r="J7790" s="0" t="s">
        <v>26030</v>
      </c>
      <c r="K7790" s="0" t="s">
        <v>26031</v>
      </c>
      <c r="L7790" s="0" t="str">
        <f aca="false">HYPERLINK("https://www.ncbi.nlm.nih.gov/nuccore/CP000304.1?report=graph&amp;tracks=[key:gene_model_track,Options:GeneOnly]&amp;mk=2200235:2200254|offset_44|444444,2200261:2200280|offset_70|00cc00,2200284:2200303|offset_93|444444,2200307:2200326|offset_116|444444&amp;v=2200034:2200526&amp;c=444444", "offset 70")</f>
        <v>offset 70</v>
      </c>
    </row>
    <row r="7791" customFormat="false" ht="12.8" hidden="false" customHeight="false" outlineLevel="0" collapsed="false">
      <c r="A7791" s="0" t="s">
        <v>12</v>
      </c>
      <c r="B7791" s="0" t="n">
        <v>2200283</v>
      </c>
      <c r="C7791" s="0" t="n">
        <v>2200303</v>
      </c>
      <c r="D7791" s="0" t="s">
        <v>26024</v>
      </c>
      <c r="E7791" s="0" t="s">
        <v>26025</v>
      </c>
      <c r="F7791" s="0" t="s">
        <v>15</v>
      </c>
      <c r="G7791" s="0" t="s">
        <v>36</v>
      </c>
      <c r="H7791" s="0" t="n">
        <v>93</v>
      </c>
      <c r="I7791" s="0" t="s">
        <v>26032</v>
      </c>
      <c r="J7791" s="0" t="s">
        <v>26033</v>
      </c>
      <c r="K7791" s="0" t="s">
        <v>26034</v>
      </c>
      <c r="L7791" s="0" t="str">
        <f aca="false">HYPERLINK("https://www.ncbi.nlm.nih.gov/nuccore/CP000304.1?report=graph&amp;tracks=[key:gene_model_track,Options:GeneOnly]&amp;mk=2200235:2200254|offset_44|444444,2200261:2200280|offset_70|444444,2200284:2200303|offset_93|00cc00,2200307:2200326|offset_116|444444&amp;v=2200034:2200526&amp;c=444444", "offset 93")</f>
        <v>offset 93</v>
      </c>
    </row>
    <row r="7792" customFormat="false" ht="12.8" hidden="false" customHeight="false" outlineLevel="0" collapsed="false">
      <c r="A7792" s="0" t="s">
        <v>12</v>
      </c>
      <c r="B7792" s="0" t="n">
        <v>2200306</v>
      </c>
      <c r="C7792" s="0" t="n">
        <v>2200326</v>
      </c>
      <c r="D7792" s="0" t="s">
        <v>26024</v>
      </c>
      <c r="E7792" s="0" t="s">
        <v>26025</v>
      </c>
      <c r="F7792" s="0" t="s">
        <v>15</v>
      </c>
      <c r="G7792" s="0" t="s">
        <v>26</v>
      </c>
      <c r="H7792" s="0" t="n">
        <v>116</v>
      </c>
      <c r="I7792" s="0" t="s">
        <v>26035</v>
      </c>
      <c r="J7792" s="0" t="s">
        <v>26036</v>
      </c>
      <c r="K7792" s="0" t="s">
        <v>26037</v>
      </c>
      <c r="L7792" s="0" t="str">
        <f aca="false">HYPERLINK("https://www.ncbi.nlm.nih.gov/nuccore/CP000304.1?report=graph&amp;tracks=[key:gene_model_track,Options:GeneOnly]&amp;mk=2200235:2200254|offset_44|444444,2200261:2200280|offset_70|444444,2200284:2200303|offset_93|444444,2200307:2200326|offset_116|00cc00&amp;v=2200034:2200526&amp;c=444444", "offset 116")</f>
        <v>offset 116</v>
      </c>
    </row>
    <row r="7793" customFormat="false" ht="12.8" hidden="false" customHeight="false" outlineLevel="0" collapsed="false">
      <c r="A7793" s="0" t="s">
        <v>12</v>
      </c>
      <c r="B7793" s="0" t="n">
        <v>2201938</v>
      </c>
      <c r="C7793" s="0" t="n">
        <v>2201958</v>
      </c>
      <c r="D7793" s="0" t="s">
        <v>26038</v>
      </c>
      <c r="E7793" s="0" t="s">
        <v>26039</v>
      </c>
      <c r="F7793" s="0" t="s">
        <v>90</v>
      </c>
      <c r="G7793" s="0" t="s">
        <v>26</v>
      </c>
      <c r="H7793" s="0" t="n">
        <v>10</v>
      </c>
      <c r="I7793" s="0" t="s">
        <v>26040</v>
      </c>
      <c r="J7793" s="0" t="s">
        <v>26041</v>
      </c>
      <c r="K7793" s="0" t="s">
        <v>26042</v>
      </c>
      <c r="L7793" s="0" t="str">
        <f aca="false">HYPERLINK("https://www.ncbi.nlm.nih.gov/nuccore/CP000304.1?report=graph&amp;tracks=[key:gene_model_track,Options:GeneOnly]&amp;mk=2201939:2201958|offset_10|00cc00,2201909:2201928|offset_40|444444,2201870:2201889|offset_79|444444,2201848:2201867|offset_101|444444&amp;v=2201738:2202067&amp;c=444444", "offset 10")</f>
        <v>offset 10</v>
      </c>
    </row>
    <row r="7794" customFormat="false" ht="12.8" hidden="false" customHeight="false" outlineLevel="0" collapsed="false">
      <c r="A7794" s="0" t="s">
        <v>12</v>
      </c>
      <c r="B7794" s="0" t="n">
        <v>2201908</v>
      </c>
      <c r="C7794" s="0" t="n">
        <v>2201928</v>
      </c>
      <c r="D7794" s="0" t="s">
        <v>26038</v>
      </c>
      <c r="E7794" s="0" t="s">
        <v>26039</v>
      </c>
      <c r="F7794" s="0" t="s">
        <v>90</v>
      </c>
      <c r="G7794" s="0" t="s">
        <v>26</v>
      </c>
      <c r="H7794" s="0" t="n">
        <v>40</v>
      </c>
      <c r="I7794" s="0" t="s">
        <v>26043</v>
      </c>
      <c r="J7794" s="0" t="s">
        <v>26044</v>
      </c>
      <c r="K7794" s="0" t="s">
        <v>26045</v>
      </c>
      <c r="L7794" s="0" t="str">
        <f aca="false">HYPERLINK("https://www.ncbi.nlm.nih.gov/nuccore/CP000304.1?report=graph&amp;tracks=[key:gene_model_track,Options:GeneOnly]&amp;mk=2201939:2201958|offset_10|444444,2201909:2201928|offset_40|00cc00,2201870:2201889|offset_79|444444,2201848:2201867|offset_101|444444&amp;v=2201738:2202067&amp;c=444444", "offset 40")</f>
        <v>offset 40</v>
      </c>
    </row>
    <row r="7795" customFormat="false" ht="12.8" hidden="false" customHeight="false" outlineLevel="0" collapsed="false">
      <c r="A7795" s="0" t="s">
        <v>12</v>
      </c>
      <c r="B7795" s="0" t="n">
        <v>2201869</v>
      </c>
      <c r="C7795" s="0" t="n">
        <v>2201889</v>
      </c>
      <c r="D7795" s="0" t="s">
        <v>26038</v>
      </c>
      <c r="E7795" s="0" t="s">
        <v>26039</v>
      </c>
      <c r="F7795" s="0" t="s">
        <v>90</v>
      </c>
      <c r="G7795" s="0" t="s">
        <v>26</v>
      </c>
      <c r="H7795" s="0" t="n">
        <v>79</v>
      </c>
      <c r="I7795" s="0" t="s">
        <v>26046</v>
      </c>
      <c r="J7795" s="0" t="s">
        <v>26047</v>
      </c>
      <c r="K7795" s="0" t="s">
        <v>26048</v>
      </c>
      <c r="L7795" s="0" t="str">
        <f aca="false">HYPERLINK("https://www.ncbi.nlm.nih.gov/nuccore/CP000304.1?report=graph&amp;tracks=[key:gene_model_track,Options:GeneOnly]&amp;mk=2201939:2201958|offset_10|444444,2201909:2201928|offset_40|444444,2201870:2201889|offset_79|00cc00,2201848:2201867|offset_101|444444&amp;v=2201738:2202067&amp;c=444444", "offset 79")</f>
        <v>offset 79</v>
      </c>
    </row>
    <row r="7796" customFormat="false" ht="12.8" hidden="false" customHeight="false" outlineLevel="0" collapsed="false">
      <c r="A7796" s="0" t="s">
        <v>12</v>
      </c>
      <c r="B7796" s="0" t="n">
        <v>2201847</v>
      </c>
      <c r="C7796" s="0" t="n">
        <v>2201867</v>
      </c>
      <c r="D7796" s="0" t="s">
        <v>26038</v>
      </c>
      <c r="E7796" s="0" t="s">
        <v>26039</v>
      </c>
      <c r="F7796" s="0" t="s">
        <v>90</v>
      </c>
      <c r="G7796" s="0" t="s">
        <v>26</v>
      </c>
      <c r="H7796" s="0" t="n">
        <v>101</v>
      </c>
      <c r="I7796" s="0" t="s">
        <v>26049</v>
      </c>
      <c r="J7796" s="0" t="s">
        <v>26050</v>
      </c>
      <c r="K7796" s="0" t="s">
        <v>26051</v>
      </c>
      <c r="L7796" s="0" t="str">
        <f aca="false">HYPERLINK("https://www.ncbi.nlm.nih.gov/nuccore/CP000304.1?report=graph&amp;tracks=[key:gene_model_track,Options:GeneOnly]&amp;mk=2201939:2201958|offset_10|444444,2201909:2201928|offset_40|444444,2201870:2201889|offset_79|444444,2201848:2201867|offset_101|00cc00&amp;v=2201738:2202067&amp;c=444444", "offset 101")</f>
        <v>offset 101</v>
      </c>
    </row>
    <row r="7797" customFormat="false" ht="12.8" hidden="false" customHeight="false" outlineLevel="0" collapsed="false">
      <c r="A7797" s="0" t="s">
        <v>12</v>
      </c>
      <c r="B7797" s="0" t="n">
        <v>2202159</v>
      </c>
      <c r="C7797" s="0" t="n">
        <v>2202179</v>
      </c>
      <c r="D7797" s="0" t="s">
        <v>26052</v>
      </c>
      <c r="E7797" s="0" t="s">
        <v>26053</v>
      </c>
      <c r="F7797" s="0" t="s">
        <v>15</v>
      </c>
      <c r="G7797" s="0" t="s">
        <v>36</v>
      </c>
      <c r="H7797" s="0" t="n">
        <v>0</v>
      </c>
      <c r="I7797" s="0" t="s">
        <v>26054</v>
      </c>
      <c r="J7797" s="0" t="s">
        <v>26055</v>
      </c>
      <c r="K7797" s="0" t="s">
        <v>26056</v>
      </c>
      <c r="L7797" s="0" t="str">
        <f aca="false">HYPERLINK("https://www.ncbi.nlm.nih.gov/nuccore/CP000304.1?report=graph&amp;tracks=[key:gene_model_track,Options:GeneOnly]&amp;mk=2202160:2202179|offset_0|00cc00,2202183:2202202|offset_23|444444,2202218:2202237|offset_58|444444,2202249:2202268|offset_89|444444&amp;v=2201959:2202468&amp;c=444444", "offset 0")</f>
        <v>offset 0</v>
      </c>
    </row>
    <row r="7798" customFormat="false" ht="12.8" hidden="false" customHeight="false" outlineLevel="0" collapsed="false">
      <c r="A7798" s="0" t="s">
        <v>12</v>
      </c>
      <c r="B7798" s="0" t="n">
        <v>2202182</v>
      </c>
      <c r="C7798" s="0" t="n">
        <v>2202202</v>
      </c>
      <c r="D7798" s="0" t="s">
        <v>26052</v>
      </c>
      <c r="E7798" s="0" t="s">
        <v>26053</v>
      </c>
      <c r="F7798" s="0" t="s">
        <v>15</v>
      </c>
      <c r="G7798" s="0" t="s">
        <v>26</v>
      </c>
      <c r="H7798" s="0" t="n">
        <v>23</v>
      </c>
      <c r="I7798" s="0" t="s">
        <v>26057</v>
      </c>
      <c r="J7798" s="0" t="s">
        <v>26058</v>
      </c>
      <c r="K7798" s="0" t="s">
        <v>26059</v>
      </c>
      <c r="L7798" s="0" t="str">
        <f aca="false">HYPERLINK("https://www.ncbi.nlm.nih.gov/nuccore/CP000304.1?report=graph&amp;tracks=[key:gene_model_track,Options:GeneOnly]&amp;mk=2202160:2202179|offset_0|444444,2202183:2202202|offset_23|00cc00,2202218:2202237|offset_58|444444,2202249:2202268|offset_89|444444&amp;v=2201959:2202468&amp;c=444444", "offset 23")</f>
        <v>offset 23</v>
      </c>
    </row>
    <row r="7799" customFormat="false" ht="12.8" hidden="false" customHeight="false" outlineLevel="0" collapsed="false">
      <c r="A7799" s="0" t="s">
        <v>12</v>
      </c>
      <c r="B7799" s="0" t="n">
        <v>2202217</v>
      </c>
      <c r="C7799" s="0" t="n">
        <v>2202237</v>
      </c>
      <c r="D7799" s="0" t="s">
        <v>26052</v>
      </c>
      <c r="E7799" s="0" t="s">
        <v>26053</v>
      </c>
      <c r="F7799" s="0" t="s">
        <v>15</v>
      </c>
      <c r="G7799" s="0" t="s">
        <v>26</v>
      </c>
      <c r="H7799" s="0" t="n">
        <v>58</v>
      </c>
      <c r="I7799" s="0" t="s">
        <v>26060</v>
      </c>
      <c r="J7799" s="0" t="s">
        <v>26061</v>
      </c>
      <c r="K7799" s="0" t="s">
        <v>26062</v>
      </c>
      <c r="L7799" s="0" t="str">
        <f aca="false">HYPERLINK("https://www.ncbi.nlm.nih.gov/nuccore/CP000304.1?report=graph&amp;tracks=[key:gene_model_track,Options:GeneOnly]&amp;mk=2202160:2202179|offset_0|444444,2202183:2202202|offset_23|444444,2202218:2202237|offset_58|00cc00,2202249:2202268|offset_89|444444&amp;v=2201959:2202468&amp;c=444444", "offset 58")</f>
        <v>offset 58</v>
      </c>
    </row>
    <row r="7800" customFormat="false" ht="12.8" hidden="false" customHeight="false" outlineLevel="0" collapsed="false">
      <c r="A7800" s="0" t="s">
        <v>12</v>
      </c>
      <c r="B7800" s="0" t="n">
        <v>2202248</v>
      </c>
      <c r="C7800" s="0" t="n">
        <v>2202268</v>
      </c>
      <c r="D7800" s="0" t="s">
        <v>26052</v>
      </c>
      <c r="E7800" s="0" t="s">
        <v>26053</v>
      </c>
      <c r="F7800" s="0" t="s">
        <v>15</v>
      </c>
      <c r="G7800" s="0" t="s">
        <v>16</v>
      </c>
      <c r="H7800" s="0" t="n">
        <v>89</v>
      </c>
      <c r="I7800" s="0" t="s">
        <v>26063</v>
      </c>
      <c r="J7800" s="0" t="s">
        <v>26064</v>
      </c>
      <c r="K7800" s="0" t="s">
        <v>26065</v>
      </c>
      <c r="L7800" s="0" t="str">
        <f aca="false">HYPERLINK("https://www.ncbi.nlm.nih.gov/nuccore/CP000304.1?report=graph&amp;tracks=[key:gene_model_track,Options:GeneOnly]&amp;mk=2202160:2202179|offset_0|444444,2202183:2202202|offset_23|444444,2202218:2202237|offset_58|444444,2202249:2202268|offset_89|00cc00&amp;v=2201959:2202468&amp;c=444444", "offset 89")</f>
        <v>offset 89</v>
      </c>
    </row>
    <row r="7801" customFormat="false" ht="12.8" hidden="false" customHeight="false" outlineLevel="0" collapsed="false">
      <c r="A7801" s="0" t="s">
        <v>12</v>
      </c>
      <c r="B7801" s="0" t="n">
        <v>2204143</v>
      </c>
      <c r="C7801" s="0" t="n">
        <v>2204163</v>
      </c>
      <c r="D7801" s="0" t="s">
        <v>26066</v>
      </c>
      <c r="E7801" s="0" t="s">
        <v>26067</v>
      </c>
      <c r="F7801" s="0" t="s">
        <v>90</v>
      </c>
      <c r="G7801" s="0" t="s">
        <v>32</v>
      </c>
      <c r="H7801" s="0" t="n">
        <v>1</v>
      </c>
      <c r="I7801" s="0" t="s">
        <v>26068</v>
      </c>
      <c r="J7801" s="0" t="s">
        <v>26069</v>
      </c>
      <c r="K7801" s="0" t="s">
        <v>26070</v>
      </c>
      <c r="L7801" s="0" t="str">
        <f aca="false">HYPERLINK("https://www.ncbi.nlm.nih.gov/nuccore/CP000304.1?report=graph&amp;tracks=[key:gene_model_track,Options:GeneOnly]&amp;mk=2204144:2204163|offset_1|00cc00,2204122:2204141|offset_23|444444,2204100:2204119|offset_45|444444,2204067:2204086|offset_78|444444&amp;v=2203943:2204286&amp;c=444444", "offset 1")</f>
        <v>offset 1</v>
      </c>
    </row>
    <row r="7802" customFormat="false" ht="12.8" hidden="false" customHeight="false" outlineLevel="0" collapsed="false">
      <c r="A7802" s="0" t="s">
        <v>12</v>
      </c>
      <c r="B7802" s="0" t="n">
        <v>2204121</v>
      </c>
      <c r="C7802" s="0" t="n">
        <v>2204141</v>
      </c>
      <c r="D7802" s="0" t="s">
        <v>26066</v>
      </c>
      <c r="E7802" s="0" t="s">
        <v>26067</v>
      </c>
      <c r="F7802" s="0" t="s">
        <v>90</v>
      </c>
      <c r="G7802" s="0" t="s">
        <v>36</v>
      </c>
      <c r="H7802" s="0" t="n">
        <v>23</v>
      </c>
      <c r="I7802" s="0" t="s">
        <v>26071</v>
      </c>
      <c r="J7802" s="0" t="s">
        <v>26072</v>
      </c>
      <c r="K7802" s="0" t="s">
        <v>26073</v>
      </c>
      <c r="L7802" s="0" t="str">
        <f aca="false">HYPERLINK("https://www.ncbi.nlm.nih.gov/nuccore/CP000304.1?report=graph&amp;tracks=[key:gene_model_track,Options:GeneOnly]&amp;mk=2204144:2204163|offset_1|444444,2204122:2204141|offset_23|00cc00,2204100:2204119|offset_45|444444,2204067:2204086|offset_78|444444&amp;v=2203943:2204286&amp;c=444444", "offset 23")</f>
        <v>offset 23</v>
      </c>
    </row>
    <row r="7803" customFormat="false" ht="12.8" hidden="false" customHeight="false" outlineLevel="0" collapsed="false">
      <c r="A7803" s="0" t="s">
        <v>12</v>
      </c>
      <c r="B7803" s="0" t="n">
        <v>2204099</v>
      </c>
      <c r="C7803" s="0" t="n">
        <v>2204119</v>
      </c>
      <c r="D7803" s="0" t="s">
        <v>26066</v>
      </c>
      <c r="E7803" s="0" t="s">
        <v>26067</v>
      </c>
      <c r="F7803" s="0" t="s">
        <v>90</v>
      </c>
      <c r="G7803" s="0" t="s">
        <v>26</v>
      </c>
      <c r="H7803" s="0" t="n">
        <v>45</v>
      </c>
      <c r="I7803" s="0" t="s">
        <v>26074</v>
      </c>
      <c r="J7803" s="0" t="s">
        <v>26075</v>
      </c>
      <c r="K7803" s="0" t="s">
        <v>26076</v>
      </c>
      <c r="L7803" s="0" t="str">
        <f aca="false">HYPERLINK("https://www.ncbi.nlm.nih.gov/nuccore/CP000304.1?report=graph&amp;tracks=[key:gene_model_track,Options:GeneOnly]&amp;mk=2204144:2204163|offset_1|444444,2204122:2204141|offset_23|444444,2204100:2204119|offset_45|00cc00,2204067:2204086|offset_78|444444&amp;v=2203943:2204286&amp;c=444444", "offset 45")</f>
        <v>offset 45</v>
      </c>
    </row>
    <row r="7804" customFormat="false" ht="12.8" hidden="false" customHeight="false" outlineLevel="0" collapsed="false">
      <c r="A7804" s="0" t="s">
        <v>12</v>
      </c>
      <c r="B7804" s="0" t="n">
        <v>2204066</v>
      </c>
      <c r="C7804" s="0" t="n">
        <v>2204086</v>
      </c>
      <c r="D7804" s="0" t="s">
        <v>26066</v>
      </c>
      <c r="E7804" s="0" t="s">
        <v>26067</v>
      </c>
      <c r="F7804" s="0" t="s">
        <v>90</v>
      </c>
      <c r="G7804" s="0" t="s">
        <v>36</v>
      </c>
      <c r="H7804" s="0" t="n">
        <v>78</v>
      </c>
      <c r="I7804" s="0" t="s">
        <v>26077</v>
      </c>
      <c r="J7804" s="0" t="s">
        <v>26078</v>
      </c>
      <c r="K7804" s="0" t="s">
        <v>26079</v>
      </c>
      <c r="L7804" s="0" t="str">
        <f aca="false">HYPERLINK("https://www.ncbi.nlm.nih.gov/nuccore/CP000304.1?report=graph&amp;tracks=[key:gene_model_track,Options:GeneOnly]&amp;mk=2204144:2204163|offset_1|444444,2204122:2204141|offset_23|444444,2204100:2204119|offset_45|444444,2204067:2204086|offset_78|00cc00&amp;v=2203943:2204286&amp;c=444444", "offset 78")</f>
        <v>offset 78</v>
      </c>
    </row>
    <row r="7805" customFormat="false" ht="12.8" hidden="false" customHeight="false" outlineLevel="0" collapsed="false">
      <c r="A7805" s="0" t="s">
        <v>12</v>
      </c>
      <c r="B7805" s="0" t="n">
        <v>2205177</v>
      </c>
      <c r="C7805" s="0" t="n">
        <v>2205197</v>
      </c>
      <c r="D7805" s="0" t="s">
        <v>26080</v>
      </c>
      <c r="E7805" s="0" t="s">
        <v>89</v>
      </c>
      <c r="F7805" s="0" t="s">
        <v>90</v>
      </c>
      <c r="G7805" s="0" t="s">
        <v>32</v>
      </c>
      <c r="H7805" s="0" t="n">
        <v>1</v>
      </c>
      <c r="I7805" s="0" t="s">
        <v>26081</v>
      </c>
      <c r="J7805" s="0" t="s">
        <v>26082</v>
      </c>
      <c r="K7805" s="0" t="s">
        <v>26083</v>
      </c>
      <c r="L7805" s="0" t="str">
        <f aca="false">HYPERLINK("https://www.ncbi.nlm.nih.gov/nuccore/CP000304.1?report=graph&amp;tracks=[key:gene_model_track,Options:GeneOnly]&amp;mk=2205178:2205197|offset_1|00cc00,2205148:2205167|offset_31|444444,2205117:2205136|offset_62|444444,2205075:2205094|offset_104|444444&amp;v=2204977:2205294&amp;c=444444", "offset 1")</f>
        <v>offset 1</v>
      </c>
    </row>
    <row r="7806" customFormat="false" ht="12.8" hidden="false" customHeight="false" outlineLevel="0" collapsed="false">
      <c r="A7806" s="0" t="s">
        <v>12</v>
      </c>
      <c r="B7806" s="0" t="n">
        <v>2205147</v>
      </c>
      <c r="C7806" s="0" t="n">
        <v>2205167</v>
      </c>
      <c r="D7806" s="0" t="s">
        <v>26080</v>
      </c>
      <c r="E7806" s="0" t="s">
        <v>89</v>
      </c>
      <c r="F7806" s="0" t="s">
        <v>90</v>
      </c>
      <c r="G7806" s="0" t="s">
        <v>36</v>
      </c>
      <c r="H7806" s="0" t="n">
        <v>31</v>
      </c>
      <c r="I7806" s="0" t="s">
        <v>26084</v>
      </c>
      <c r="J7806" s="0" t="s">
        <v>26085</v>
      </c>
      <c r="K7806" s="0" t="s">
        <v>26086</v>
      </c>
      <c r="L7806" s="0" t="str">
        <f aca="false">HYPERLINK("https://www.ncbi.nlm.nih.gov/nuccore/CP000304.1?report=graph&amp;tracks=[key:gene_model_track,Options:GeneOnly]&amp;mk=2205178:2205197|offset_1|444444,2205148:2205167|offset_31|00cc00,2205117:2205136|offset_62|444444,2205075:2205094|offset_104|444444&amp;v=2204977:2205294&amp;c=444444", "offset 31")</f>
        <v>offset 31</v>
      </c>
    </row>
    <row r="7807" customFormat="false" ht="12.8" hidden="false" customHeight="false" outlineLevel="0" collapsed="false">
      <c r="A7807" s="0" t="s">
        <v>12</v>
      </c>
      <c r="B7807" s="0" t="n">
        <v>2205116</v>
      </c>
      <c r="C7807" s="0" t="n">
        <v>2205136</v>
      </c>
      <c r="D7807" s="0" t="s">
        <v>26080</v>
      </c>
      <c r="E7807" s="0" t="s">
        <v>89</v>
      </c>
      <c r="F7807" s="0" t="s">
        <v>90</v>
      </c>
      <c r="G7807" s="0" t="s">
        <v>16</v>
      </c>
      <c r="H7807" s="0" t="n">
        <v>62</v>
      </c>
      <c r="I7807" s="0" t="s">
        <v>26087</v>
      </c>
      <c r="J7807" s="0" t="s">
        <v>26088</v>
      </c>
      <c r="K7807" s="0" t="s">
        <v>26089</v>
      </c>
      <c r="L7807" s="0" t="str">
        <f aca="false">HYPERLINK("https://www.ncbi.nlm.nih.gov/nuccore/CP000304.1?report=graph&amp;tracks=[key:gene_model_track,Options:GeneOnly]&amp;mk=2205178:2205197|offset_1|444444,2205148:2205167|offset_31|444444,2205117:2205136|offset_62|00cc00,2205075:2205094|offset_104|444444&amp;v=2204977:2205294&amp;c=444444", "offset 62")</f>
        <v>offset 62</v>
      </c>
    </row>
    <row r="7808" customFormat="false" ht="12.8" hidden="false" customHeight="false" outlineLevel="0" collapsed="false">
      <c r="A7808" s="0" t="s">
        <v>12</v>
      </c>
      <c r="B7808" s="0" t="n">
        <v>2205074</v>
      </c>
      <c r="C7808" s="0" t="n">
        <v>2205094</v>
      </c>
      <c r="D7808" s="0" t="s">
        <v>26080</v>
      </c>
      <c r="E7808" s="0" t="s">
        <v>89</v>
      </c>
      <c r="F7808" s="0" t="s">
        <v>90</v>
      </c>
      <c r="G7808" s="0" t="s">
        <v>26</v>
      </c>
      <c r="H7808" s="0" t="n">
        <v>104</v>
      </c>
      <c r="I7808" s="0" t="s">
        <v>26090</v>
      </c>
      <c r="J7808" s="0" t="s">
        <v>26091</v>
      </c>
      <c r="K7808" s="0" t="s">
        <v>26092</v>
      </c>
      <c r="L7808" s="0" t="str">
        <f aca="false">HYPERLINK("https://www.ncbi.nlm.nih.gov/nuccore/CP000304.1?report=graph&amp;tracks=[key:gene_model_track,Options:GeneOnly]&amp;mk=2205178:2205197|offset_1|444444,2205148:2205167|offset_31|444444,2205117:2205136|offset_62|444444,2205075:2205094|offset_104|00cc00&amp;v=2204977:2205294&amp;c=444444", "offset 104")</f>
        <v>offset 104</v>
      </c>
    </row>
    <row r="7809" customFormat="false" ht="12.8" hidden="false" customHeight="false" outlineLevel="0" collapsed="false">
      <c r="A7809" s="0" t="s">
        <v>12</v>
      </c>
      <c r="B7809" s="0" t="n">
        <v>2206708</v>
      </c>
      <c r="C7809" s="0" t="n">
        <v>2206728</v>
      </c>
      <c r="D7809" s="0" t="s">
        <v>26093</v>
      </c>
      <c r="E7809" s="0" t="s">
        <v>89</v>
      </c>
      <c r="F7809" s="0" t="s">
        <v>90</v>
      </c>
      <c r="G7809" s="0" t="s">
        <v>36</v>
      </c>
      <c r="H7809" s="0" t="n">
        <v>0</v>
      </c>
      <c r="I7809" s="0" t="s">
        <v>26094</v>
      </c>
      <c r="J7809" s="0" t="s">
        <v>26095</v>
      </c>
      <c r="K7809" s="0" t="s">
        <v>26096</v>
      </c>
      <c r="L7809" s="0" t="str">
        <f aca="false">HYPERLINK("https://www.ncbi.nlm.nih.gov/nuccore/CP000304.1?report=graph&amp;tracks=[key:gene_model_track,Options:GeneOnly]&amp;mk=2206709:2206728|offset_0|00cc00,2206677:2206696|offset_32|444444,2206636:2206655|offset_73|444444,2206610:2206629|offset_99|444444&amp;v=2206508:2206829&amp;c=444444", "offset 0")</f>
        <v>offset 0</v>
      </c>
    </row>
    <row r="7810" customFormat="false" ht="12.8" hidden="false" customHeight="false" outlineLevel="0" collapsed="false">
      <c r="A7810" s="0" t="s">
        <v>12</v>
      </c>
      <c r="B7810" s="0" t="n">
        <v>2206676</v>
      </c>
      <c r="C7810" s="0" t="n">
        <v>2206696</v>
      </c>
      <c r="D7810" s="0" t="s">
        <v>26093</v>
      </c>
      <c r="E7810" s="0" t="s">
        <v>89</v>
      </c>
      <c r="F7810" s="0" t="s">
        <v>90</v>
      </c>
      <c r="G7810" s="0" t="s">
        <v>26</v>
      </c>
      <c r="H7810" s="0" t="n">
        <v>32</v>
      </c>
      <c r="I7810" s="0" t="s">
        <v>26097</v>
      </c>
      <c r="J7810" s="0" t="s">
        <v>26098</v>
      </c>
      <c r="K7810" s="0" t="s">
        <v>26099</v>
      </c>
      <c r="L7810" s="0" t="str">
        <f aca="false">HYPERLINK("https://www.ncbi.nlm.nih.gov/nuccore/CP000304.1?report=graph&amp;tracks=[key:gene_model_track,Options:GeneOnly]&amp;mk=2206709:2206728|offset_0|444444,2206677:2206696|offset_32|00cc00,2206636:2206655|offset_73|444444,2206610:2206629|offset_99|444444&amp;v=2206508:2206829&amp;c=444444", "offset 32")</f>
        <v>offset 32</v>
      </c>
    </row>
    <row r="7811" customFormat="false" ht="12.8" hidden="false" customHeight="false" outlineLevel="0" collapsed="false">
      <c r="A7811" s="0" t="s">
        <v>12</v>
      </c>
      <c r="B7811" s="0" t="n">
        <v>2206635</v>
      </c>
      <c r="C7811" s="0" t="n">
        <v>2206655</v>
      </c>
      <c r="D7811" s="0" t="s">
        <v>26093</v>
      </c>
      <c r="E7811" s="0" t="s">
        <v>89</v>
      </c>
      <c r="F7811" s="0" t="s">
        <v>90</v>
      </c>
      <c r="G7811" s="0" t="s">
        <v>26</v>
      </c>
      <c r="H7811" s="0" t="n">
        <v>73</v>
      </c>
      <c r="I7811" s="0" t="s">
        <v>26100</v>
      </c>
      <c r="J7811" s="0" t="s">
        <v>26101</v>
      </c>
      <c r="K7811" s="0" t="s">
        <v>26102</v>
      </c>
      <c r="L7811" s="0" t="str">
        <f aca="false">HYPERLINK("https://www.ncbi.nlm.nih.gov/nuccore/CP000304.1?report=graph&amp;tracks=[key:gene_model_track,Options:GeneOnly]&amp;mk=2206709:2206728|offset_0|444444,2206677:2206696|offset_32|444444,2206636:2206655|offset_73|00cc00,2206610:2206629|offset_99|444444&amp;v=2206508:2206829&amp;c=444444", "offset 73")</f>
        <v>offset 73</v>
      </c>
    </row>
    <row r="7812" customFormat="false" ht="12.8" hidden="false" customHeight="false" outlineLevel="0" collapsed="false">
      <c r="A7812" s="0" t="s">
        <v>12</v>
      </c>
      <c r="B7812" s="0" t="n">
        <v>2206609</v>
      </c>
      <c r="C7812" s="0" t="n">
        <v>2206629</v>
      </c>
      <c r="D7812" s="0" t="s">
        <v>26093</v>
      </c>
      <c r="E7812" s="0" t="s">
        <v>89</v>
      </c>
      <c r="F7812" s="0" t="s">
        <v>90</v>
      </c>
      <c r="G7812" s="0" t="s">
        <v>16</v>
      </c>
      <c r="H7812" s="0" t="n">
        <v>99</v>
      </c>
      <c r="I7812" s="0" t="s">
        <v>26103</v>
      </c>
      <c r="J7812" s="0" t="s">
        <v>26104</v>
      </c>
      <c r="K7812" s="0" t="s">
        <v>26105</v>
      </c>
      <c r="L7812" s="0" t="str">
        <f aca="false">HYPERLINK("https://www.ncbi.nlm.nih.gov/nuccore/CP000304.1?report=graph&amp;tracks=[key:gene_model_track,Options:GeneOnly]&amp;mk=2206709:2206728|offset_0|444444,2206677:2206696|offset_32|444444,2206636:2206655|offset_73|444444,2206610:2206629|offset_99|00cc00&amp;v=2206508:2206829&amp;c=444444", "offset 99")</f>
        <v>offset 99</v>
      </c>
    </row>
    <row r="7813" customFormat="false" ht="12.8" hidden="false" customHeight="false" outlineLevel="0" collapsed="false">
      <c r="A7813" s="0" t="s">
        <v>12</v>
      </c>
      <c r="B7813" s="0" t="n">
        <v>2207249</v>
      </c>
      <c r="C7813" s="0" t="n">
        <v>2207269</v>
      </c>
      <c r="D7813" s="0" t="s">
        <v>26106</v>
      </c>
      <c r="E7813" s="0" t="s">
        <v>89</v>
      </c>
      <c r="F7813" s="0" t="s">
        <v>90</v>
      </c>
      <c r="G7813" s="0" t="s">
        <v>32</v>
      </c>
      <c r="H7813" s="0" t="n">
        <v>1</v>
      </c>
      <c r="I7813" s="0" t="s">
        <v>26107</v>
      </c>
      <c r="J7813" s="0" t="s">
        <v>26108</v>
      </c>
      <c r="K7813" s="0" t="s">
        <v>26109</v>
      </c>
      <c r="L7813" s="0" t="str">
        <f aca="false">HYPERLINK("https://www.ncbi.nlm.nih.gov/nuccore/CP000304.1?report=graph&amp;tracks=[key:gene_model_track,Options:GeneOnly]&amp;mk=2207250:2207269|offset_1|00cc00,2207207:2207226|offset_44|444444,2207184:2207203|offset_67|444444,2207143:2207162|offset_108|444444&amp;v=2207049:2207362&amp;c=444444", "offset 1")</f>
        <v>offset 1</v>
      </c>
    </row>
    <row r="7814" customFormat="false" ht="12.8" hidden="false" customHeight="false" outlineLevel="0" collapsed="false">
      <c r="A7814" s="0" t="s">
        <v>12</v>
      </c>
      <c r="B7814" s="0" t="n">
        <v>2207206</v>
      </c>
      <c r="C7814" s="0" t="n">
        <v>2207226</v>
      </c>
      <c r="D7814" s="0" t="s">
        <v>26106</v>
      </c>
      <c r="E7814" s="0" t="s">
        <v>89</v>
      </c>
      <c r="F7814" s="0" t="s">
        <v>90</v>
      </c>
      <c r="G7814" s="0" t="s">
        <v>26</v>
      </c>
      <c r="H7814" s="0" t="n">
        <v>44</v>
      </c>
      <c r="I7814" s="0" t="s">
        <v>26110</v>
      </c>
      <c r="J7814" s="0" t="s">
        <v>26111</v>
      </c>
      <c r="K7814" s="0" t="s">
        <v>26112</v>
      </c>
      <c r="L7814" s="0" t="str">
        <f aca="false">HYPERLINK("https://www.ncbi.nlm.nih.gov/nuccore/CP000304.1?report=graph&amp;tracks=[key:gene_model_track,Options:GeneOnly]&amp;mk=2207250:2207269|offset_1|444444,2207207:2207226|offset_44|00cc00,2207184:2207203|offset_67|444444,2207143:2207162|offset_108|444444&amp;v=2207049:2207362&amp;c=444444", "offset 44")</f>
        <v>offset 44</v>
      </c>
    </row>
    <row r="7815" customFormat="false" ht="12.8" hidden="false" customHeight="false" outlineLevel="0" collapsed="false">
      <c r="A7815" s="0" t="s">
        <v>12</v>
      </c>
      <c r="B7815" s="0" t="n">
        <v>2207183</v>
      </c>
      <c r="C7815" s="0" t="n">
        <v>2207203</v>
      </c>
      <c r="D7815" s="0" t="s">
        <v>26106</v>
      </c>
      <c r="E7815" s="0" t="s">
        <v>89</v>
      </c>
      <c r="F7815" s="0" t="s">
        <v>90</v>
      </c>
      <c r="G7815" s="0" t="s">
        <v>16</v>
      </c>
      <c r="H7815" s="0" t="n">
        <v>67</v>
      </c>
      <c r="I7815" s="0" t="s">
        <v>26113</v>
      </c>
      <c r="J7815" s="0" t="s">
        <v>26114</v>
      </c>
      <c r="K7815" s="0" t="s">
        <v>26115</v>
      </c>
      <c r="L7815" s="0" t="str">
        <f aca="false">HYPERLINK("https://www.ncbi.nlm.nih.gov/nuccore/CP000304.1?report=graph&amp;tracks=[key:gene_model_track,Options:GeneOnly]&amp;mk=2207250:2207269|offset_1|444444,2207207:2207226|offset_44|444444,2207184:2207203|offset_67|00cc00,2207143:2207162|offset_108|444444&amp;v=2207049:2207362&amp;c=444444", "offset 67")</f>
        <v>offset 67</v>
      </c>
    </row>
    <row r="7816" customFormat="false" ht="12.8" hidden="false" customHeight="false" outlineLevel="0" collapsed="false">
      <c r="A7816" s="0" t="s">
        <v>12</v>
      </c>
      <c r="B7816" s="0" t="n">
        <v>2207142</v>
      </c>
      <c r="C7816" s="0" t="n">
        <v>2207162</v>
      </c>
      <c r="D7816" s="0" t="s">
        <v>26106</v>
      </c>
      <c r="E7816" s="0" t="s">
        <v>89</v>
      </c>
      <c r="F7816" s="0" t="s">
        <v>90</v>
      </c>
      <c r="G7816" s="0" t="s">
        <v>36</v>
      </c>
      <c r="H7816" s="0" t="n">
        <v>108</v>
      </c>
      <c r="I7816" s="0" t="s">
        <v>26116</v>
      </c>
      <c r="J7816" s="0" t="s">
        <v>26117</v>
      </c>
      <c r="K7816" s="0" t="s">
        <v>26118</v>
      </c>
      <c r="L7816" s="0" t="str">
        <f aca="false">HYPERLINK("https://www.ncbi.nlm.nih.gov/nuccore/CP000304.1?report=graph&amp;tracks=[key:gene_model_track,Options:GeneOnly]&amp;mk=2207250:2207269|offset_1|444444,2207207:2207226|offset_44|444444,2207184:2207203|offset_67|444444,2207143:2207162|offset_108|00cc00&amp;v=2207049:2207362&amp;c=444444", "offset 108")</f>
        <v>offset 108</v>
      </c>
    </row>
    <row r="7817" customFormat="false" ht="12.8" hidden="false" customHeight="false" outlineLevel="0" collapsed="false">
      <c r="A7817" s="0" t="s">
        <v>12</v>
      </c>
      <c r="B7817" s="0" t="n">
        <v>2207549</v>
      </c>
      <c r="C7817" s="0" t="n">
        <v>2207569</v>
      </c>
      <c r="D7817" s="0" t="s">
        <v>26119</v>
      </c>
      <c r="E7817" s="0" t="s">
        <v>89</v>
      </c>
      <c r="F7817" s="0" t="s">
        <v>15</v>
      </c>
      <c r="G7817" s="0" t="s">
        <v>16</v>
      </c>
      <c r="H7817" s="0" t="n">
        <v>13</v>
      </c>
      <c r="I7817" s="0" t="s">
        <v>26120</v>
      </c>
      <c r="J7817" s="0" t="s">
        <v>26121</v>
      </c>
      <c r="K7817" s="0" t="s">
        <v>26122</v>
      </c>
      <c r="L7817" s="0" t="str">
        <f aca="false">HYPERLINK("https://www.ncbi.nlm.nih.gov/nuccore/CP000304.1?report=graph&amp;tracks=[key:gene_model_track,Options:GeneOnly]&amp;mk=2207550:2207569|offset_13|00cc00,2207598:2207617|offset_61|444444,2207651:2207670|offset_114|444444,2207672:2207691|offset_135|444444&amp;v=2207349:2207891&amp;c=444444", "offset 13")</f>
        <v>offset 13</v>
      </c>
    </row>
    <row r="7818" customFormat="false" ht="12.8" hidden="false" customHeight="false" outlineLevel="0" collapsed="false">
      <c r="A7818" s="0" t="s">
        <v>12</v>
      </c>
      <c r="B7818" s="0" t="n">
        <v>2207597</v>
      </c>
      <c r="C7818" s="0" t="n">
        <v>2207617</v>
      </c>
      <c r="D7818" s="0" t="s">
        <v>26119</v>
      </c>
      <c r="E7818" s="0" t="s">
        <v>89</v>
      </c>
      <c r="F7818" s="0" t="s">
        <v>15</v>
      </c>
      <c r="G7818" s="0" t="s">
        <v>16</v>
      </c>
      <c r="H7818" s="0" t="n">
        <v>61</v>
      </c>
      <c r="I7818" s="0" t="s">
        <v>26123</v>
      </c>
      <c r="J7818" s="0" t="s">
        <v>26124</v>
      </c>
      <c r="K7818" s="0" t="s">
        <v>26125</v>
      </c>
      <c r="L7818" s="0" t="str">
        <f aca="false">HYPERLINK("https://www.ncbi.nlm.nih.gov/nuccore/CP000304.1?report=graph&amp;tracks=[key:gene_model_track,Options:GeneOnly]&amp;mk=2207550:2207569|offset_13|444444,2207598:2207617|offset_61|00cc00,2207651:2207670|offset_114|444444,2207672:2207691|offset_135|444444&amp;v=2207349:2207891&amp;c=444444", "offset 61")</f>
        <v>offset 61</v>
      </c>
    </row>
    <row r="7819" customFormat="false" ht="12.8" hidden="false" customHeight="false" outlineLevel="0" collapsed="false">
      <c r="A7819" s="0" t="s">
        <v>12</v>
      </c>
      <c r="B7819" s="0" t="n">
        <v>2207650</v>
      </c>
      <c r="C7819" s="0" t="n">
        <v>2207670</v>
      </c>
      <c r="D7819" s="0" t="s">
        <v>26119</v>
      </c>
      <c r="E7819" s="0" t="s">
        <v>89</v>
      </c>
      <c r="F7819" s="0" t="s">
        <v>15</v>
      </c>
      <c r="G7819" s="0" t="s">
        <v>16</v>
      </c>
      <c r="H7819" s="0" t="n">
        <v>114</v>
      </c>
      <c r="I7819" s="0" t="s">
        <v>26126</v>
      </c>
      <c r="J7819" s="0" t="s">
        <v>26127</v>
      </c>
      <c r="K7819" s="0" t="s">
        <v>26128</v>
      </c>
      <c r="L7819" s="0" t="str">
        <f aca="false">HYPERLINK("https://www.ncbi.nlm.nih.gov/nuccore/CP000304.1?report=graph&amp;tracks=[key:gene_model_track,Options:GeneOnly]&amp;mk=2207550:2207569|offset_13|444444,2207598:2207617|offset_61|444444,2207651:2207670|offset_114|00cc00,2207672:2207691|offset_135|444444&amp;v=2207349:2207891&amp;c=444444", "offset 114")</f>
        <v>offset 114</v>
      </c>
    </row>
    <row r="7820" customFormat="false" ht="12.8" hidden="false" customHeight="false" outlineLevel="0" collapsed="false">
      <c r="A7820" s="0" t="s">
        <v>12</v>
      </c>
      <c r="B7820" s="0" t="n">
        <v>2207671</v>
      </c>
      <c r="C7820" s="0" t="n">
        <v>2207691</v>
      </c>
      <c r="D7820" s="0" t="s">
        <v>26119</v>
      </c>
      <c r="E7820" s="0" t="s">
        <v>89</v>
      </c>
      <c r="F7820" s="0" t="s">
        <v>15</v>
      </c>
      <c r="G7820" s="0" t="s">
        <v>36</v>
      </c>
      <c r="H7820" s="0" t="n">
        <v>135</v>
      </c>
      <c r="I7820" s="0" t="s">
        <v>26129</v>
      </c>
      <c r="J7820" s="0" t="s">
        <v>26130</v>
      </c>
      <c r="K7820" s="0" t="s">
        <v>26131</v>
      </c>
      <c r="L7820" s="0" t="str">
        <f aca="false">HYPERLINK("https://www.ncbi.nlm.nih.gov/nuccore/CP000304.1?report=graph&amp;tracks=[key:gene_model_track,Options:GeneOnly]&amp;mk=2207550:2207569|offset_13|444444,2207598:2207617|offset_61|444444,2207651:2207670|offset_114|444444,2207672:2207691|offset_135|00cc00&amp;v=2207349:2207891&amp;c=444444", "offset 135")</f>
        <v>offset 135</v>
      </c>
    </row>
    <row r="7821" customFormat="false" ht="12.8" hidden="false" customHeight="false" outlineLevel="0" collapsed="false">
      <c r="A7821" s="0" t="s">
        <v>12</v>
      </c>
      <c r="B7821" s="0" t="n">
        <v>2208269</v>
      </c>
      <c r="C7821" s="0" t="n">
        <v>2208289</v>
      </c>
      <c r="D7821" s="0" t="s">
        <v>26132</v>
      </c>
      <c r="E7821" s="0" t="s">
        <v>26133</v>
      </c>
      <c r="F7821" s="0" t="s">
        <v>15</v>
      </c>
      <c r="G7821" s="0" t="s">
        <v>36</v>
      </c>
      <c r="H7821" s="0" t="n">
        <v>11</v>
      </c>
      <c r="I7821" s="0" t="s">
        <v>26134</v>
      </c>
      <c r="J7821" s="0" t="s">
        <v>26135</v>
      </c>
      <c r="K7821" s="0" t="s">
        <v>26136</v>
      </c>
      <c r="L7821" s="0" t="str">
        <f aca="false">HYPERLINK("https://www.ncbi.nlm.nih.gov/nuccore/CP000304.1?report=graph&amp;tracks=[key:gene_model_track,Options:GeneOnly]&amp;mk=2208270:2208289|offset_11|00cc00,2208305:2208324|offset_46|444444,2208344:2208363|offset_85|444444,2208371:2208390|offset_112|444444&amp;v=2208069:2208590&amp;c=444444", "offset 11")</f>
        <v>offset 11</v>
      </c>
    </row>
    <row r="7822" customFormat="false" ht="12.8" hidden="false" customHeight="false" outlineLevel="0" collapsed="false">
      <c r="A7822" s="0" t="s">
        <v>12</v>
      </c>
      <c r="B7822" s="0" t="n">
        <v>2208304</v>
      </c>
      <c r="C7822" s="0" t="n">
        <v>2208324</v>
      </c>
      <c r="D7822" s="0" t="s">
        <v>26132</v>
      </c>
      <c r="E7822" s="0" t="s">
        <v>26133</v>
      </c>
      <c r="F7822" s="0" t="s">
        <v>15</v>
      </c>
      <c r="G7822" s="0" t="s">
        <v>32</v>
      </c>
      <c r="H7822" s="0" t="n">
        <v>46</v>
      </c>
      <c r="I7822" s="0" t="s">
        <v>26137</v>
      </c>
      <c r="J7822" s="0" t="s">
        <v>26138</v>
      </c>
      <c r="K7822" s="0" t="s">
        <v>26139</v>
      </c>
      <c r="L7822" s="0" t="str">
        <f aca="false">HYPERLINK("https://www.ncbi.nlm.nih.gov/nuccore/CP000304.1?report=graph&amp;tracks=[key:gene_model_track,Options:GeneOnly]&amp;mk=2208270:2208289|offset_11|444444,2208305:2208324|offset_46|00cc00,2208344:2208363|offset_85|444444,2208371:2208390|offset_112|444444&amp;v=2208069:2208590&amp;c=444444", "offset 46")</f>
        <v>offset 46</v>
      </c>
    </row>
    <row r="7823" customFormat="false" ht="12.8" hidden="false" customHeight="false" outlineLevel="0" collapsed="false">
      <c r="A7823" s="0" t="s">
        <v>12</v>
      </c>
      <c r="B7823" s="0" t="n">
        <v>2208343</v>
      </c>
      <c r="C7823" s="0" t="n">
        <v>2208363</v>
      </c>
      <c r="D7823" s="0" t="s">
        <v>26132</v>
      </c>
      <c r="E7823" s="0" t="s">
        <v>26133</v>
      </c>
      <c r="F7823" s="0" t="s">
        <v>15</v>
      </c>
      <c r="G7823" s="0" t="s">
        <v>32</v>
      </c>
      <c r="H7823" s="0" t="n">
        <v>85</v>
      </c>
      <c r="I7823" s="0" t="s">
        <v>26140</v>
      </c>
      <c r="J7823" s="0" t="s">
        <v>26141</v>
      </c>
      <c r="K7823" s="0" t="s">
        <v>26142</v>
      </c>
      <c r="L7823" s="0" t="str">
        <f aca="false">HYPERLINK("https://www.ncbi.nlm.nih.gov/nuccore/CP000304.1?report=graph&amp;tracks=[key:gene_model_track,Options:GeneOnly]&amp;mk=2208270:2208289|offset_11|444444,2208305:2208324|offset_46|444444,2208344:2208363|offset_85|00cc00,2208371:2208390|offset_112|444444&amp;v=2208069:2208590&amp;c=444444", "offset 85")</f>
        <v>offset 85</v>
      </c>
    </row>
    <row r="7824" customFormat="false" ht="12.8" hidden="false" customHeight="false" outlineLevel="0" collapsed="false">
      <c r="A7824" s="0" t="s">
        <v>12</v>
      </c>
      <c r="B7824" s="0" t="n">
        <v>2208370</v>
      </c>
      <c r="C7824" s="0" t="n">
        <v>2208390</v>
      </c>
      <c r="D7824" s="0" t="s">
        <v>26132</v>
      </c>
      <c r="E7824" s="0" t="s">
        <v>26133</v>
      </c>
      <c r="F7824" s="0" t="s">
        <v>15</v>
      </c>
      <c r="G7824" s="0" t="s">
        <v>16</v>
      </c>
      <c r="H7824" s="0" t="n">
        <v>112</v>
      </c>
      <c r="I7824" s="0" t="s">
        <v>26143</v>
      </c>
      <c r="J7824" s="0" t="s">
        <v>26144</v>
      </c>
      <c r="K7824" s="0" t="s">
        <v>26145</v>
      </c>
      <c r="L7824" s="0" t="str">
        <f aca="false">HYPERLINK("https://www.ncbi.nlm.nih.gov/nuccore/CP000304.1?report=graph&amp;tracks=[key:gene_model_track,Options:GeneOnly]&amp;mk=2208270:2208289|offset_11|444444,2208305:2208324|offset_46|444444,2208344:2208363|offset_85|444444,2208371:2208390|offset_112|00cc00&amp;v=2208069:2208590&amp;c=444444", "offset 112")</f>
        <v>offset 112</v>
      </c>
    </row>
    <row r="7825" customFormat="false" ht="12.8" hidden="false" customHeight="false" outlineLevel="0" collapsed="false">
      <c r="A7825" s="0" t="s">
        <v>12</v>
      </c>
      <c r="B7825" s="0" t="n">
        <v>2209294</v>
      </c>
      <c r="C7825" s="0" t="n">
        <v>2209314</v>
      </c>
      <c r="D7825" s="0" t="s">
        <v>26146</v>
      </c>
      <c r="E7825" s="0" t="s">
        <v>26147</v>
      </c>
      <c r="F7825" s="0" t="s">
        <v>15</v>
      </c>
      <c r="G7825" s="0" t="s">
        <v>16</v>
      </c>
      <c r="H7825" s="0" t="n">
        <v>52</v>
      </c>
      <c r="I7825" s="0" t="s">
        <v>26148</v>
      </c>
      <c r="J7825" s="0" t="s">
        <v>26149</v>
      </c>
      <c r="K7825" s="0" t="s">
        <v>26150</v>
      </c>
      <c r="L7825" s="0" t="str">
        <f aca="false">HYPERLINK("https://www.ncbi.nlm.nih.gov/nuccore/CP000304.1?report=graph&amp;tracks=[key:gene_model_track,Options:GeneOnly]&amp;mk=2209295:2209314|offset_52|00cc00,2209316:2209335|offset_73|444444,2209343:2209362|offset_100|444444,2209368:2209387|offset_125|444444&amp;v=2209094:2209587&amp;c=444444", "offset 52")</f>
        <v>offset 52</v>
      </c>
    </row>
    <row r="7826" customFormat="false" ht="12.8" hidden="false" customHeight="false" outlineLevel="0" collapsed="false">
      <c r="A7826" s="0" t="s">
        <v>12</v>
      </c>
      <c r="B7826" s="0" t="n">
        <v>2209315</v>
      </c>
      <c r="C7826" s="0" t="n">
        <v>2209335</v>
      </c>
      <c r="D7826" s="0" t="s">
        <v>26146</v>
      </c>
      <c r="E7826" s="0" t="s">
        <v>26147</v>
      </c>
      <c r="F7826" s="0" t="s">
        <v>15</v>
      </c>
      <c r="G7826" s="0" t="s">
        <v>16</v>
      </c>
      <c r="H7826" s="0" t="n">
        <v>73</v>
      </c>
      <c r="I7826" s="0" t="s">
        <v>26151</v>
      </c>
      <c r="J7826" s="0" t="s">
        <v>26152</v>
      </c>
      <c r="K7826" s="0" t="s">
        <v>26153</v>
      </c>
      <c r="L7826" s="0" t="str">
        <f aca="false">HYPERLINK("https://www.ncbi.nlm.nih.gov/nuccore/CP000304.1?report=graph&amp;tracks=[key:gene_model_track,Options:GeneOnly]&amp;mk=2209295:2209314|offset_52|444444,2209316:2209335|offset_73|00cc00,2209343:2209362|offset_100|444444,2209368:2209387|offset_125|444444&amp;v=2209094:2209587&amp;c=444444", "offset 73")</f>
        <v>offset 73</v>
      </c>
    </row>
    <row r="7827" customFormat="false" ht="12.8" hidden="false" customHeight="false" outlineLevel="0" collapsed="false">
      <c r="A7827" s="0" t="s">
        <v>12</v>
      </c>
      <c r="B7827" s="0" t="n">
        <v>2209342</v>
      </c>
      <c r="C7827" s="0" t="n">
        <v>2209362</v>
      </c>
      <c r="D7827" s="0" t="s">
        <v>26146</v>
      </c>
      <c r="E7827" s="0" t="s">
        <v>26147</v>
      </c>
      <c r="F7827" s="0" t="s">
        <v>15</v>
      </c>
      <c r="G7827" s="0" t="s">
        <v>26</v>
      </c>
      <c r="H7827" s="0" t="n">
        <v>100</v>
      </c>
      <c r="I7827" s="0" t="s">
        <v>26154</v>
      </c>
      <c r="J7827" s="0" t="s">
        <v>26155</v>
      </c>
      <c r="K7827" s="0" t="s">
        <v>26156</v>
      </c>
      <c r="L7827" s="0" t="str">
        <f aca="false">HYPERLINK("https://www.ncbi.nlm.nih.gov/nuccore/CP000304.1?report=graph&amp;tracks=[key:gene_model_track,Options:GeneOnly]&amp;mk=2209295:2209314|offset_52|444444,2209316:2209335|offset_73|444444,2209343:2209362|offset_100|00cc00,2209368:2209387|offset_125|444444&amp;v=2209094:2209587&amp;c=444444", "offset 100")</f>
        <v>offset 100</v>
      </c>
    </row>
    <row r="7828" customFormat="false" ht="12.8" hidden="false" customHeight="false" outlineLevel="0" collapsed="false">
      <c r="A7828" s="0" t="s">
        <v>12</v>
      </c>
      <c r="B7828" s="0" t="n">
        <v>2209367</v>
      </c>
      <c r="C7828" s="0" t="n">
        <v>2209387</v>
      </c>
      <c r="D7828" s="0" t="s">
        <v>26146</v>
      </c>
      <c r="E7828" s="0" t="s">
        <v>26147</v>
      </c>
      <c r="F7828" s="0" t="s">
        <v>15</v>
      </c>
      <c r="G7828" s="0" t="s">
        <v>26</v>
      </c>
      <c r="H7828" s="0" t="n">
        <v>125</v>
      </c>
      <c r="I7828" s="0" t="s">
        <v>26157</v>
      </c>
      <c r="J7828" s="0" t="s">
        <v>26158</v>
      </c>
      <c r="K7828" s="0" t="s">
        <v>26159</v>
      </c>
      <c r="L7828" s="0" t="str">
        <f aca="false">HYPERLINK("https://www.ncbi.nlm.nih.gov/nuccore/CP000304.1?report=graph&amp;tracks=[key:gene_model_track,Options:GeneOnly]&amp;mk=2209295:2209314|offset_52|444444,2209316:2209335|offset_73|444444,2209343:2209362|offset_100|444444,2209368:2209387|offset_125|00cc00&amp;v=2209094:2209587&amp;c=444444", "offset 125")</f>
        <v>offset 125</v>
      </c>
    </row>
    <row r="7829" customFormat="false" ht="12.8" hidden="false" customHeight="false" outlineLevel="0" collapsed="false">
      <c r="A7829" s="0" t="s">
        <v>12</v>
      </c>
      <c r="B7829" s="0" t="n">
        <v>2210390</v>
      </c>
      <c r="C7829" s="0" t="n">
        <v>2210410</v>
      </c>
      <c r="D7829" s="0" t="s">
        <v>26160</v>
      </c>
      <c r="E7829" s="0" t="s">
        <v>89</v>
      </c>
      <c r="F7829" s="0" t="s">
        <v>15</v>
      </c>
      <c r="G7829" s="0" t="s">
        <v>16</v>
      </c>
      <c r="H7829" s="0" t="n">
        <v>1</v>
      </c>
      <c r="I7829" s="0" t="s">
        <v>26161</v>
      </c>
      <c r="J7829" s="0" t="s">
        <v>26162</v>
      </c>
      <c r="K7829" s="0" t="s">
        <v>26163</v>
      </c>
      <c r="L7829" s="0" t="str">
        <f aca="false">HYPERLINK("https://www.ncbi.nlm.nih.gov/nuccore/CP000304.1?report=graph&amp;tracks=[key:gene_model_track,Options:GeneOnly]&amp;mk=2210391:2210410|offset_1|00cc00,2210415:2210434|offset_25|444444,2210445:2210464|offset_55|444444,2210471:2210490|offset_81|444444&amp;v=2210190:2210690&amp;c=444444", "offset 1")</f>
        <v>offset 1</v>
      </c>
    </row>
    <row r="7830" customFormat="false" ht="12.8" hidden="false" customHeight="false" outlineLevel="0" collapsed="false">
      <c r="A7830" s="0" t="s">
        <v>12</v>
      </c>
      <c r="B7830" s="0" t="n">
        <v>2210414</v>
      </c>
      <c r="C7830" s="0" t="n">
        <v>2210434</v>
      </c>
      <c r="D7830" s="0" t="s">
        <v>26160</v>
      </c>
      <c r="E7830" s="0" t="s">
        <v>89</v>
      </c>
      <c r="F7830" s="0" t="s">
        <v>15</v>
      </c>
      <c r="G7830" s="0" t="s">
        <v>36</v>
      </c>
      <c r="H7830" s="0" t="n">
        <v>25</v>
      </c>
      <c r="I7830" s="0" t="s">
        <v>26164</v>
      </c>
      <c r="J7830" s="0" t="s">
        <v>26165</v>
      </c>
      <c r="K7830" s="0" t="s">
        <v>26166</v>
      </c>
      <c r="L7830" s="0" t="str">
        <f aca="false">HYPERLINK("https://www.ncbi.nlm.nih.gov/nuccore/CP000304.1?report=graph&amp;tracks=[key:gene_model_track,Options:GeneOnly]&amp;mk=2210391:2210410|offset_1|444444,2210415:2210434|offset_25|00cc00,2210445:2210464|offset_55|444444,2210471:2210490|offset_81|444444&amp;v=2210190:2210690&amp;c=444444", "offset 25")</f>
        <v>offset 25</v>
      </c>
    </row>
    <row r="7831" customFormat="false" ht="12.8" hidden="false" customHeight="false" outlineLevel="0" collapsed="false">
      <c r="A7831" s="0" t="s">
        <v>12</v>
      </c>
      <c r="B7831" s="0" t="n">
        <v>2210444</v>
      </c>
      <c r="C7831" s="0" t="n">
        <v>2210464</v>
      </c>
      <c r="D7831" s="0" t="s">
        <v>26160</v>
      </c>
      <c r="E7831" s="0" t="s">
        <v>89</v>
      </c>
      <c r="F7831" s="0" t="s">
        <v>15</v>
      </c>
      <c r="G7831" s="0" t="s">
        <v>16</v>
      </c>
      <c r="H7831" s="0" t="n">
        <v>55</v>
      </c>
      <c r="I7831" s="0" t="s">
        <v>26167</v>
      </c>
      <c r="J7831" s="0" t="s">
        <v>26168</v>
      </c>
      <c r="K7831" s="0" t="s">
        <v>26169</v>
      </c>
      <c r="L7831" s="0" t="str">
        <f aca="false">HYPERLINK("https://www.ncbi.nlm.nih.gov/nuccore/CP000304.1?report=graph&amp;tracks=[key:gene_model_track,Options:GeneOnly]&amp;mk=2210391:2210410|offset_1|444444,2210415:2210434|offset_25|444444,2210445:2210464|offset_55|00cc00,2210471:2210490|offset_81|444444&amp;v=2210190:2210690&amp;c=444444", "offset 55")</f>
        <v>offset 55</v>
      </c>
    </row>
    <row r="7832" customFormat="false" ht="12.8" hidden="false" customHeight="false" outlineLevel="0" collapsed="false">
      <c r="A7832" s="0" t="s">
        <v>12</v>
      </c>
      <c r="B7832" s="0" t="n">
        <v>2210470</v>
      </c>
      <c r="C7832" s="0" t="n">
        <v>2210490</v>
      </c>
      <c r="D7832" s="0" t="s">
        <v>26160</v>
      </c>
      <c r="E7832" s="0" t="s">
        <v>89</v>
      </c>
      <c r="F7832" s="0" t="s">
        <v>15</v>
      </c>
      <c r="G7832" s="0" t="s">
        <v>16</v>
      </c>
      <c r="H7832" s="0" t="n">
        <v>81</v>
      </c>
      <c r="I7832" s="0" t="s">
        <v>26170</v>
      </c>
      <c r="J7832" s="0" t="s">
        <v>26171</v>
      </c>
      <c r="K7832" s="0" t="s">
        <v>26172</v>
      </c>
      <c r="L7832" s="0" t="str">
        <f aca="false">HYPERLINK("https://www.ncbi.nlm.nih.gov/nuccore/CP000304.1?report=graph&amp;tracks=[key:gene_model_track,Options:GeneOnly]&amp;mk=2210391:2210410|offset_1|444444,2210415:2210434|offset_25|444444,2210445:2210464|offset_55|444444,2210471:2210490|offset_81|00cc00&amp;v=2210190:2210690&amp;c=444444", "offset 81")</f>
        <v>offset 81</v>
      </c>
    </row>
    <row r="7833" customFormat="false" ht="12.8" hidden="false" customHeight="false" outlineLevel="0" collapsed="false">
      <c r="A7833" s="0" t="s">
        <v>12</v>
      </c>
      <c r="B7833" s="0" t="n">
        <v>2213121</v>
      </c>
      <c r="C7833" s="0" t="n">
        <v>2213141</v>
      </c>
      <c r="D7833" s="0" t="s">
        <v>26173</v>
      </c>
      <c r="E7833" s="0" t="s">
        <v>89</v>
      </c>
      <c r="F7833" s="0" t="s">
        <v>15</v>
      </c>
      <c r="G7833" s="0" t="s">
        <v>26</v>
      </c>
      <c r="H7833" s="0" t="n">
        <v>53</v>
      </c>
      <c r="I7833" s="0" t="s">
        <v>26174</v>
      </c>
      <c r="J7833" s="0" t="s">
        <v>26175</v>
      </c>
      <c r="K7833" s="0" t="s">
        <v>26176</v>
      </c>
      <c r="L7833" s="0" t="str">
        <f aca="false">HYPERLINK("https://www.ncbi.nlm.nih.gov/nuccore/CP000304.1?report=graph&amp;tracks=[key:gene_model_track,Options:GeneOnly]&amp;mk=2213122:2213141|offset_53|00cc00,2213158:2213177|offset_89|444444,2213180:2213199|offset_111|444444,2213202:2213221|offset_133|444444&amp;v=2212921:2213421&amp;c=444444", "offset 53")</f>
        <v>offset 53</v>
      </c>
    </row>
    <row r="7834" customFormat="false" ht="12.8" hidden="false" customHeight="false" outlineLevel="0" collapsed="false">
      <c r="A7834" s="0" t="s">
        <v>12</v>
      </c>
      <c r="B7834" s="0" t="n">
        <v>2213157</v>
      </c>
      <c r="C7834" s="0" t="n">
        <v>2213177</v>
      </c>
      <c r="D7834" s="0" t="s">
        <v>26173</v>
      </c>
      <c r="E7834" s="0" t="s">
        <v>89</v>
      </c>
      <c r="F7834" s="0" t="s">
        <v>15</v>
      </c>
      <c r="G7834" s="0" t="s">
        <v>32</v>
      </c>
      <c r="H7834" s="0" t="n">
        <v>89</v>
      </c>
      <c r="I7834" s="0" t="s">
        <v>26177</v>
      </c>
      <c r="J7834" s="0" t="s">
        <v>26178</v>
      </c>
      <c r="K7834" s="0" t="s">
        <v>26179</v>
      </c>
      <c r="L7834" s="0" t="str">
        <f aca="false">HYPERLINK("https://www.ncbi.nlm.nih.gov/nuccore/CP000304.1?report=graph&amp;tracks=[key:gene_model_track,Options:GeneOnly]&amp;mk=2213122:2213141|offset_53|444444,2213158:2213177|offset_89|00cc00,2213180:2213199|offset_111|444444,2213202:2213221|offset_133|444444&amp;v=2212921:2213421&amp;c=444444", "offset 89")</f>
        <v>offset 89</v>
      </c>
    </row>
    <row r="7835" customFormat="false" ht="12.8" hidden="false" customHeight="false" outlineLevel="0" collapsed="false">
      <c r="A7835" s="0" t="s">
        <v>12</v>
      </c>
      <c r="B7835" s="0" t="n">
        <v>2213179</v>
      </c>
      <c r="C7835" s="0" t="n">
        <v>2213199</v>
      </c>
      <c r="D7835" s="0" t="s">
        <v>26173</v>
      </c>
      <c r="E7835" s="0" t="s">
        <v>89</v>
      </c>
      <c r="F7835" s="0" t="s">
        <v>15</v>
      </c>
      <c r="G7835" s="0" t="s">
        <v>36</v>
      </c>
      <c r="H7835" s="0" t="n">
        <v>111</v>
      </c>
      <c r="I7835" s="0" t="s">
        <v>26180</v>
      </c>
      <c r="J7835" s="0" t="s">
        <v>26181</v>
      </c>
      <c r="K7835" s="0" t="s">
        <v>26182</v>
      </c>
      <c r="L7835" s="0" t="str">
        <f aca="false">HYPERLINK("https://www.ncbi.nlm.nih.gov/nuccore/CP000304.1?report=graph&amp;tracks=[key:gene_model_track,Options:GeneOnly]&amp;mk=2213122:2213141|offset_53|444444,2213158:2213177|offset_89|444444,2213180:2213199|offset_111|00cc00,2213202:2213221|offset_133|444444&amp;v=2212921:2213421&amp;c=444444", "offset 111")</f>
        <v>offset 111</v>
      </c>
    </row>
    <row r="7836" customFormat="false" ht="12.8" hidden="false" customHeight="false" outlineLevel="0" collapsed="false">
      <c r="A7836" s="0" t="s">
        <v>12</v>
      </c>
      <c r="B7836" s="0" t="n">
        <v>2213201</v>
      </c>
      <c r="C7836" s="0" t="n">
        <v>2213221</v>
      </c>
      <c r="D7836" s="0" t="s">
        <v>26173</v>
      </c>
      <c r="E7836" s="0" t="s">
        <v>89</v>
      </c>
      <c r="F7836" s="0" t="s">
        <v>15</v>
      </c>
      <c r="G7836" s="0" t="s">
        <v>26</v>
      </c>
      <c r="H7836" s="0" t="n">
        <v>133</v>
      </c>
      <c r="I7836" s="0" t="s">
        <v>26183</v>
      </c>
      <c r="J7836" s="0" t="s">
        <v>26184</v>
      </c>
      <c r="K7836" s="0" t="s">
        <v>26185</v>
      </c>
      <c r="L7836" s="0" t="str">
        <f aca="false">HYPERLINK("https://www.ncbi.nlm.nih.gov/nuccore/CP000304.1?report=graph&amp;tracks=[key:gene_model_track,Options:GeneOnly]&amp;mk=2213122:2213141|offset_53|444444,2213158:2213177|offset_89|444444,2213180:2213199|offset_111|444444,2213202:2213221|offset_133|00cc00&amp;v=2212921:2213421&amp;c=444444", "offset 133")</f>
        <v>offset 133</v>
      </c>
    </row>
    <row r="7837" customFormat="false" ht="12.8" hidden="false" customHeight="false" outlineLevel="0" collapsed="false">
      <c r="A7837" s="0" t="s">
        <v>12</v>
      </c>
      <c r="B7837" s="0" t="n">
        <v>2215211</v>
      </c>
      <c r="C7837" s="0" t="n">
        <v>2215231</v>
      </c>
      <c r="D7837" s="0" t="s">
        <v>26186</v>
      </c>
      <c r="E7837" s="0" t="s">
        <v>89</v>
      </c>
      <c r="F7837" s="0" t="s">
        <v>90</v>
      </c>
      <c r="G7837" s="0" t="s">
        <v>16</v>
      </c>
      <c r="H7837" s="0" t="n">
        <v>46</v>
      </c>
      <c r="I7837" s="0" t="s">
        <v>26187</v>
      </c>
      <c r="J7837" s="0" t="s">
        <v>26188</v>
      </c>
      <c r="K7837" s="0" t="s">
        <v>26189</v>
      </c>
      <c r="L7837" s="0" t="str">
        <f aca="false">HYPERLINK("https://www.ncbi.nlm.nih.gov/nuccore/CP000304.1?report=graph&amp;tracks=[key:gene_model_track,Options:GeneOnly]&amp;mk=2215212:2215231|offset_46|00cc00,2215145:2215164|offset_113|444444,2215113:2215132|offset_145|444444,2215089:2215108|offset_169|444444&amp;v=2215011:2215308&amp;c=444444", "offset 46")</f>
        <v>offset 46</v>
      </c>
    </row>
    <row r="7838" customFormat="false" ht="12.8" hidden="false" customHeight="false" outlineLevel="0" collapsed="false">
      <c r="A7838" s="0" t="s">
        <v>12</v>
      </c>
      <c r="B7838" s="0" t="n">
        <v>2215144</v>
      </c>
      <c r="C7838" s="0" t="n">
        <v>2215164</v>
      </c>
      <c r="D7838" s="0" t="s">
        <v>26186</v>
      </c>
      <c r="E7838" s="0" t="s">
        <v>89</v>
      </c>
      <c r="F7838" s="0" t="s">
        <v>90</v>
      </c>
      <c r="G7838" s="0" t="s">
        <v>36</v>
      </c>
      <c r="H7838" s="0" t="n">
        <v>113</v>
      </c>
      <c r="I7838" s="0" t="s">
        <v>26190</v>
      </c>
      <c r="J7838" s="0" t="s">
        <v>26191</v>
      </c>
      <c r="K7838" s="0" t="s">
        <v>26192</v>
      </c>
      <c r="L7838" s="0" t="str">
        <f aca="false">HYPERLINK("https://www.ncbi.nlm.nih.gov/nuccore/CP000304.1?report=graph&amp;tracks=[key:gene_model_track,Options:GeneOnly]&amp;mk=2215212:2215231|offset_46|444444,2215145:2215164|offset_113|00cc00,2215113:2215132|offset_145|444444,2215089:2215108|offset_169|444444&amp;v=2215011:2215308&amp;c=444444", "offset 113")</f>
        <v>offset 113</v>
      </c>
    </row>
    <row r="7839" customFormat="false" ht="12.8" hidden="false" customHeight="false" outlineLevel="0" collapsed="false">
      <c r="A7839" s="0" t="s">
        <v>12</v>
      </c>
      <c r="B7839" s="0" t="n">
        <v>2215112</v>
      </c>
      <c r="C7839" s="0" t="n">
        <v>2215132</v>
      </c>
      <c r="D7839" s="0" t="s">
        <v>26186</v>
      </c>
      <c r="E7839" s="0" t="s">
        <v>89</v>
      </c>
      <c r="F7839" s="0" t="s">
        <v>90</v>
      </c>
      <c r="G7839" s="0" t="s">
        <v>32</v>
      </c>
      <c r="H7839" s="0" t="n">
        <v>145</v>
      </c>
      <c r="I7839" s="0" t="s">
        <v>26193</v>
      </c>
      <c r="J7839" s="0" t="s">
        <v>26194</v>
      </c>
      <c r="K7839" s="0" t="s">
        <v>26195</v>
      </c>
      <c r="L7839" s="0" t="str">
        <f aca="false">HYPERLINK("https://www.ncbi.nlm.nih.gov/nuccore/CP000304.1?report=graph&amp;tracks=[key:gene_model_track,Options:GeneOnly]&amp;mk=2215212:2215231|offset_46|444444,2215145:2215164|offset_113|444444,2215113:2215132|offset_145|00cc00,2215089:2215108|offset_169|444444&amp;v=2215011:2215308&amp;c=444444", "offset 145")</f>
        <v>offset 145</v>
      </c>
    </row>
    <row r="7840" customFormat="false" ht="12.8" hidden="false" customHeight="false" outlineLevel="0" collapsed="false">
      <c r="A7840" s="0" t="s">
        <v>12</v>
      </c>
      <c r="B7840" s="0" t="n">
        <v>2215088</v>
      </c>
      <c r="C7840" s="0" t="n">
        <v>2215108</v>
      </c>
      <c r="D7840" s="0" t="s">
        <v>26186</v>
      </c>
      <c r="E7840" s="0" t="s">
        <v>89</v>
      </c>
      <c r="F7840" s="0" t="s">
        <v>90</v>
      </c>
      <c r="G7840" s="0" t="s">
        <v>16</v>
      </c>
      <c r="H7840" s="0" t="n">
        <v>169</v>
      </c>
      <c r="I7840" s="0" t="s">
        <v>26196</v>
      </c>
      <c r="J7840" s="0" t="s">
        <v>26197</v>
      </c>
      <c r="K7840" s="0" t="s">
        <v>26198</v>
      </c>
      <c r="L7840" s="0" t="str">
        <f aca="false">HYPERLINK("https://www.ncbi.nlm.nih.gov/nuccore/CP000304.1?report=graph&amp;tracks=[key:gene_model_track,Options:GeneOnly]&amp;mk=2215212:2215231|offset_46|444444,2215145:2215164|offset_113|444444,2215113:2215132|offset_145|444444,2215089:2215108|offset_169|00cc00&amp;v=2215011:2215308&amp;c=444444", "offset 169")</f>
        <v>offset 169</v>
      </c>
    </row>
    <row r="7841" customFormat="false" ht="12.8" hidden="false" customHeight="false" outlineLevel="0" collapsed="false">
      <c r="A7841" s="0" t="s">
        <v>12</v>
      </c>
      <c r="B7841" s="0" t="n">
        <v>2215534</v>
      </c>
      <c r="C7841" s="0" t="n">
        <v>2215554</v>
      </c>
      <c r="D7841" s="0" t="s">
        <v>26199</v>
      </c>
      <c r="E7841" s="0" t="s">
        <v>26200</v>
      </c>
      <c r="F7841" s="0" t="s">
        <v>15</v>
      </c>
      <c r="G7841" s="0" t="s">
        <v>16</v>
      </c>
      <c r="H7841" s="0" t="n">
        <v>19</v>
      </c>
      <c r="I7841" s="0" t="s">
        <v>26201</v>
      </c>
      <c r="J7841" s="0" t="s">
        <v>26202</v>
      </c>
      <c r="K7841" s="0" t="s">
        <v>26203</v>
      </c>
      <c r="L7841" s="0" t="str">
        <f aca="false">HYPERLINK("https://www.ncbi.nlm.nih.gov/nuccore/CP000304.1?report=graph&amp;tracks=[key:gene_model_track,Options:GeneOnly]&amp;mk=2215535:2215554|offset_19|00cc00,2215555:2215574|offset_39|444444,2215583:2215602|offset_67|444444,2215643:2215662|offset_127|444444&amp;v=2215334:2215862&amp;c=444444", "offset 19")</f>
        <v>offset 19</v>
      </c>
    </row>
    <row r="7842" customFormat="false" ht="12.8" hidden="false" customHeight="false" outlineLevel="0" collapsed="false">
      <c r="A7842" s="0" t="s">
        <v>12</v>
      </c>
      <c r="B7842" s="0" t="n">
        <v>2215554</v>
      </c>
      <c r="C7842" s="0" t="n">
        <v>2215574</v>
      </c>
      <c r="D7842" s="0" t="s">
        <v>26199</v>
      </c>
      <c r="E7842" s="0" t="s">
        <v>26200</v>
      </c>
      <c r="F7842" s="0" t="s">
        <v>15</v>
      </c>
      <c r="G7842" s="0" t="s">
        <v>16</v>
      </c>
      <c r="H7842" s="0" t="n">
        <v>39</v>
      </c>
      <c r="I7842" s="0" t="s">
        <v>26204</v>
      </c>
      <c r="J7842" s="0" t="s">
        <v>26205</v>
      </c>
      <c r="K7842" s="0" t="s">
        <v>26206</v>
      </c>
      <c r="L7842" s="0" t="str">
        <f aca="false">HYPERLINK("https://www.ncbi.nlm.nih.gov/nuccore/CP000304.1?report=graph&amp;tracks=[key:gene_model_track,Options:GeneOnly]&amp;mk=2215535:2215554|offset_19|444444,2215555:2215574|offset_39|00cc00,2215583:2215602|offset_67|444444,2215643:2215662|offset_127|444444&amp;v=2215334:2215862&amp;c=444444", "offset 39")</f>
        <v>offset 39</v>
      </c>
    </row>
    <row r="7843" customFormat="false" ht="12.8" hidden="false" customHeight="false" outlineLevel="0" collapsed="false">
      <c r="A7843" s="0" t="s">
        <v>12</v>
      </c>
      <c r="B7843" s="0" t="n">
        <v>2215582</v>
      </c>
      <c r="C7843" s="0" t="n">
        <v>2215602</v>
      </c>
      <c r="D7843" s="0" t="s">
        <v>26199</v>
      </c>
      <c r="E7843" s="0" t="s">
        <v>26200</v>
      </c>
      <c r="F7843" s="0" t="s">
        <v>15</v>
      </c>
      <c r="G7843" s="0" t="s">
        <v>26</v>
      </c>
      <c r="H7843" s="0" t="n">
        <v>67</v>
      </c>
      <c r="I7843" s="0" t="s">
        <v>26207</v>
      </c>
      <c r="J7843" s="0" t="s">
        <v>26208</v>
      </c>
      <c r="K7843" s="0" t="s">
        <v>26209</v>
      </c>
      <c r="L7843" s="0" t="str">
        <f aca="false">HYPERLINK("https://www.ncbi.nlm.nih.gov/nuccore/CP000304.1?report=graph&amp;tracks=[key:gene_model_track,Options:GeneOnly]&amp;mk=2215535:2215554|offset_19|444444,2215555:2215574|offset_39|444444,2215583:2215602|offset_67|00cc00,2215643:2215662|offset_127|444444&amp;v=2215334:2215862&amp;c=444444", "offset 67")</f>
        <v>offset 67</v>
      </c>
    </row>
    <row r="7844" customFormat="false" ht="12.8" hidden="false" customHeight="false" outlineLevel="0" collapsed="false">
      <c r="A7844" s="0" t="s">
        <v>12</v>
      </c>
      <c r="B7844" s="0" t="n">
        <v>2215642</v>
      </c>
      <c r="C7844" s="0" t="n">
        <v>2215662</v>
      </c>
      <c r="D7844" s="0" t="s">
        <v>26199</v>
      </c>
      <c r="E7844" s="0" t="s">
        <v>26200</v>
      </c>
      <c r="F7844" s="0" t="s">
        <v>15</v>
      </c>
      <c r="G7844" s="0" t="s">
        <v>36</v>
      </c>
      <c r="H7844" s="0" t="n">
        <v>127</v>
      </c>
      <c r="I7844" s="0" t="s">
        <v>26210</v>
      </c>
      <c r="J7844" s="0" t="s">
        <v>26211</v>
      </c>
      <c r="K7844" s="0" t="s">
        <v>26212</v>
      </c>
      <c r="L7844" s="0" t="str">
        <f aca="false">HYPERLINK("https://www.ncbi.nlm.nih.gov/nuccore/CP000304.1?report=graph&amp;tracks=[key:gene_model_track,Options:GeneOnly]&amp;mk=2215535:2215554|offset_19|444444,2215555:2215574|offset_39|444444,2215583:2215602|offset_67|444444,2215643:2215662|offset_127|00cc00&amp;v=2215334:2215862&amp;c=444444", "offset 127")</f>
        <v>offset 127</v>
      </c>
    </row>
    <row r="7845" customFormat="false" ht="12.8" hidden="false" customHeight="false" outlineLevel="0" collapsed="false">
      <c r="A7845" s="0" t="s">
        <v>12</v>
      </c>
      <c r="B7845" s="0" t="n">
        <v>2217946</v>
      </c>
      <c r="C7845" s="0" t="n">
        <v>2217966</v>
      </c>
      <c r="D7845" s="0" t="s">
        <v>26213</v>
      </c>
      <c r="E7845" s="0" t="s">
        <v>26214</v>
      </c>
      <c r="F7845" s="0" t="s">
        <v>15</v>
      </c>
      <c r="G7845" s="0" t="s">
        <v>32</v>
      </c>
      <c r="H7845" s="0" t="n">
        <v>1</v>
      </c>
      <c r="I7845" s="0" t="s">
        <v>26215</v>
      </c>
      <c r="J7845" s="0" t="s">
        <v>26216</v>
      </c>
      <c r="K7845" s="0" t="s">
        <v>26217</v>
      </c>
      <c r="L7845" s="0" t="str">
        <f aca="false">HYPERLINK("https://www.ncbi.nlm.nih.gov/nuccore/CP000304.1?report=graph&amp;tracks=[key:gene_model_track,Options:GeneOnly]&amp;mk=2217947:2217966|offset_1|00cc00,2217980:2217999|offset_34|444444,2218009:2218028|offset_63|444444,2218040:2218059|offset_94|444444&amp;v=2217746:2218259&amp;c=444444", "offset 1")</f>
        <v>offset 1</v>
      </c>
    </row>
    <row r="7846" customFormat="false" ht="12.8" hidden="false" customHeight="false" outlineLevel="0" collapsed="false">
      <c r="A7846" s="0" t="s">
        <v>12</v>
      </c>
      <c r="B7846" s="0" t="n">
        <v>2217979</v>
      </c>
      <c r="C7846" s="0" t="n">
        <v>2217999</v>
      </c>
      <c r="D7846" s="0" t="s">
        <v>26213</v>
      </c>
      <c r="E7846" s="0" t="s">
        <v>26214</v>
      </c>
      <c r="F7846" s="0" t="s">
        <v>15</v>
      </c>
      <c r="G7846" s="0" t="s">
        <v>26</v>
      </c>
      <c r="H7846" s="0" t="n">
        <v>34</v>
      </c>
      <c r="I7846" s="0" t="s">
        <v>26218</v>
      </c>
      <c r="J7846" s="0" t="s">
        <v>26219</v>
      </c>
      <c r="K7846" s="0" t="s">
        <v>26220</v>
      </c>
      <c r="L7846" s="0" t="str">
        <f aca="false">HYPERLINK("https://www.ncbi.nlm.nih.gov/nuccore/CP000304.1?report=graph&amp;tracks=[key:gene_model_track,Options:GeneOnly]&amp;mk=2217947:2217966|offset_1|444444,2217980:2217999|offset_34|00cc00,2218009:2218028|offset_63|444444,2218040:2218059|offset_94|444444&amp;v=2217746:2218259&amp;c=444444", "offset 34")</f>
        <v>offset 34</v>
      </c>
    </row>
    <row r="7847" customFormat="false" ht="12.8" hidden="false" customHeight="false" outlineLevel="0" collapsed="false">
      <c r="A7847" s="0" t="s">
        <v>12</v>
      </c>
      <c r="B7847" s="0" t="n">
        <v>2218008</v>
      </c>
      <c r="C7847" s="0" t="n">
        <v>2218028</v>
      </c>
      <c r="D7847" s="0" t="s">
        <v>26213</v>
      </c>
      <c r="E7847" s="0" t="s">
        <v>26214</v>
      </c>
      <c r="F7847" s="0" t="s">
        <v>15</v>
      </c>
      <c r="G7847" s="0" t="s">
        <v>16</v>
      </c>
      <c r="H7847" s="0" t="n">
        <v>63</v>
      </c>
      <c r="I7847" s="0" t="s">
        <v>26221</v>
      </c>
      <c r="J7847" s="0" t="s">
        <v>26222</v>
      </c>
      <c r="K7847" s="0" t="s">
        <v>26223</v>
      </c>
      <c r="L7847" s="0" t="str">
        <f aca="false">HYPERLINK("https://www.ncbi.nlm.nih.gov/nuccore/CP000304.1?report=graph&amp;tracks=[key:gene_model_track,Options:GeneOnly]&amp;mk=2217947:2217966|offset_1|444444,2217980:2217999|offset_34|444444,2218009:2218028|offset_63|00cc00,2218040:2218059|offset_94|444444&amp;v=2217746:2218259&amp;c=444444", "offset 63")</f>
        <v>offset 63</v>
      </c>
    </row>
    <row r="7848" customFormat="false" ht="12.8" hidden="false" customHeight="false" outlineLevel="0" collapsed="false">
      <c r="A7848" s="0" t="s">
        <v>12</v>
      </c>
      <c r="B7848" s="0" t="n">
        <v>2218039</v>
      </c>
      <c r="C7848" s="0" t="n">
        <v>2218059</v>
      </c>
      <c r="D7848" s="0" t="s">
        <v>26213</v>
      </c>
      <c r="E7848" s="0" t="s">
        <v>26214</v>
      </c>
      <c r="F7848" s="0" t="s">
        <v>15</v>
      </c>
      <c r="G7848" s="0" t="s">
        <v>26</v>
      </c>
      <c r="H7848" s="0" t="n">
        <v>94</v>
      </c>
      <c r="I7848" s="0" t="s">
        <v>26224</v>
      </c>
      <c r="J7848" s="0" t="s">
        <v>26225</v>
      </c>
      <c r="K7848" s="0" t="s">
        <v>26226</v>
      </c>
      <c r="L7848" s="0" t="str">
        <f aca="false">HYPERLINK("https://www.ncbi.nlm.nih.gov/nuccore/CP000304.1?report=graph&amp;tracks=[key:gene_model_track,Options:GeneOnly]&amp;mk=2217947:2217966|offset_1|444444,2217980:2217999|offset_34|444444,2218009:2218028|offset_63|444444,2218040:2218059|offset_94|00cc00&amp;v=2217746:2218259&amp;c=444444", "offset 94")</f>
        <v>offset 94</v>
      </c>
    </row>
    <row r="7849" customFormat="false" ht="12.8" hidden="false" customHeight="false" outlineLevel="0" collapsed="false">
      <c r="A7849" s="0" t="s">
        <v>12</v>
      </c>
      <c r="B7849" s="0" t="n">
        <v>2218458</v>
      </c>
      <c r="C7849" s="0" t="n">
        <v>2218478</v>
      </c>
      <c r="D7849" s="0" t="s">
        <v>26227</v>
      </c>
      <c r="E7849" s="0" t="s">
        <v>26228</v>
      </c>
      <c r="F7849" s="0" t="s">
        <v>15</v>
      </c>
      <c r="G7849" s="0" t="s">
        <v>36</v>
      </c>
      <c r="H7849" s="0" t="n">
        <v>6</v>
      </c>
      <c r="I7849" s="0" t="s">
        <v>26229</v>
      </c>
      <c r="J7849" s="0" t="s">
        <v>26230</v>
      </c>
      <c r="K7849" s="0" t="s">
        <v>26231</v>
      </c>
      <c r="L7849" s="0" t="str">
        <f aca="false">HYPERLINK("https://www.ncbi.nlm.nih.gov/nuccore/CP000304.1?report=graph&amp;tracks=[key:gene_model_track,Options:GeneOnly]&amp;mk=2218459:2218478|offset_6|00cc00,2218487:2218506|offset_34|444444,2218554:2218573|offset_101|444444,2218586:2218605|offset_133|444444&amp;v=2218258:2218805&amp;c=444444", "offset 6")</f>
        <v>offset 6</v>
      </c>
    </row>
    <row r="7850" customFormat="false" ht="12.8" hidden="false" customHeight="false" outlineLevel="0" collapsed="false">
      <c r="A7850" s="0" t="s">
        <v>12</v>
      </c>
      <c r="B7850" s="0" t="n">
        <v>2218486</v>
      </c>
      <c r="C7850" s="0" t="n">
        <v>2218506</v>
      </c>
      <c r="D7850" s="0" t="s">
        <v>26227</v>
      </c>
      <c r="E7850" s="0" t="s">
        <v>26228</v>
      </c>
      <c r="F7850" s="0" t="s">
        <v>15</v>
      </c>
      <c r="G7850" s="0" t="s">
        <v>16</v>
      </c>
      <c r="H7850" s="0" t="n">
        <v>34</v>
      </c>
      <c r="I7850" s="0" t="s">
        <v>26232</v>
      </c>
      <c r="J7850" s="0" t="s">
        <v>26233</v>
      </c>
      <c r="K7850" s="0" t="s">
        <v>26234</v>
      </c>
      <c r="L7850" s="0" t="str">
        <f aca="false">HYPERLINK("https://www.ncbi.nlm.nih.gov/nuccore/CP000304.1?report=graph&amp;tracks=[key:gene_model_track,Options:GeneOnly]&amp;mk=2218459:2218478|offset_6|444444,2218487:2218506|offset_34|00cc00,2218554:2218573|offset_101|444444,2218586:2218605|offset_133|444444&amp;v=2218258:2218805&amp;c=444444", "offset 34")</f>
        <v>offset 34</v>
      </c>
    </row>
    <row r="7851" customFormat="false" ht="12.8" hidden="false" customHeight="false" outlineLevel="0" collapsed="false">
      <c r="A7851" s="0" t="s">
        <v>12</v>
      </c>
      <c r="B7851" s="0" t="n">
        <v>2218553</v>
      </c>
      <c r="C7851" s="0" t="n">
        <v>2218573</v>
      </c>
      <c r="D7851" s="0" t="s">
        <v>26227</v>
      </c>
      <c r="E7851" s="0" t="s">
        <v>26228</v>
      </c>
      <c r="F7851" s="0" t="s">
        <v>15</v>
      </c>
      <c r="G7851" s="0" t="s">
        <v>32</v>
      </c>
      <c r="H7851" s="0" t="n">
        <v>101</v>
      </c>
      <c r="I7851" s="0" t="s">
        <v>26235</v>
      </c>
      <c r="J7851" s="0" t="s">
        <v>26236</v>
      </c>
      <c r="K7851" s="0" t="s">
        <v>26237</v>
      </c>
      <c r="L7851" s="0" t="str">
        <f aca="false">HYPERLINK("https://www.ncbi.nlm.nih.gov/nuccore/CP000304.1?report=graph&amp;tracks=[key:gene_model_track,Options:GeneOnly]&amp;mk=2218459:2218478|offset_6|444444,2218487:2218506|offset_34|444444,2218554:2218573|offset_101|00cc00,2218586:2218605|offset_133|444444&amp;v=2218258:2218805&amp;c=444444", "offset 101")</f>
        <v>offset 101</v>
      </c>
    </row>
    <row r="7852" customFormat="false" ht="12.8" hidden="false" customHeight="false" outlineLevel="0" collapsed="false">
      <c r="A7852" s="0" t="s">
        <v>12</v>
      </c>
      <c r="B7852" s="0" t="n">
        <v>2218585</v>
      </c>
      <c r="C7852" s="0" t="n">
        <v>2218605</v>
      </c>
      <c r="D7852" s="0" t="s">
        <v>26227</v>
      </c>
      <c r="E7852" s="0" t="s">
        <v>26228</v>
      </c>
      <c r="F7852" s="0" t="s">
        <v>15</v>
      </c>
      <c r="G7852" s="0" t="s">
        <v>36</v>
      </c>
      <c r="H7852" s="0" t="n">
        <v>133</v>
      </c>
      <c r="I7852" s="0" t="s">
        <v>26238</v>
      </c>
      <c r="J7852" s="0" t="s">
        <v>26239</v>
      </c>
      <c r="K7852" s="0" t="s">
        <v>26240</v>
      </c>
      <c r="L7852" s="0" t="str">
        <f aca="false">HYPERLINK("https://www.ncbi.nlm.nih.gov/nuccore/CP000304.1?report=graph&amp;tracks=[key:gene_model_track,Options:GeneOnly]&amp;mk=2218459:2218478|offset_6|444444,2218487:2218506|offset_34|444444,2218554:2218573|offset_101|444444,2218586:2218605|offset_133|00cc00&amp;v=2218258:2218805&amp;c=444444", "offset 133")</f>
        <v>offset 133</v>
      </c>
    </row>
    <row r="7853" customFormat="false" ht="12.8" hidden="false" customHeight="false" outlineLevel="0" collapsed="false">
      <c r="A7853" s="0" t="s">
        <v>12</v>
      </c>
      <c r="B7853" s="0" t="n">
        <v>2219579</v>
      </c>
      <c r="C7853" s="0" t="n">
        <v>2219599</v>
      </c>
      <c r="D7853" s="0" t="s">
        <v>26241</v>
      </c>
      <c r="E7853" s="0" t="s">
        <v>26242</v>
      </c>
      <c r="F7853" s="0" t="s">
        <v>15</v>
      </c>
      <c r="G7853" s="0" t="s">
        <v>36</v>
      </c>
      <c r="H7853" s="0" t="n">
        <v>12</v>
      </c>
      <c r="I7853" s="0" t="s">
        <v>26243</v>
      </c>
      <c r="J7853" s="0" t="s">
        <v>26244</v>
      </c>
      <c r="K7853" s="0" t="s">
        <v>26245</v>
      </c>
      <c r="L7853" s="0" t="str">
        <f aca="false">HYPERLINK("https://www.ncbi.nlm.nih.gov/nuccore/CP000304.1?report=graph&amp;tracks=[key:gene_model_track,Options:GeneOnly]&amp;mk=2219580:2219599|offset_12|00cc00,2219603:2219622|offset_35|444444,2219665:2219684|offset_97|444444,2219698:2219717|offset_130|444444&amp;v=2219379:2219917&amp;c=444444", "offset 12")</f>
        <v>offset 12</v>
      </c>
    </row>
    <row r="7854" customFormat="false" ht="12.8" hidden="false" customHeight="false" outlineLevel="0" collapsed="false">
      <c r="A7854" s="0" t="s">
        <v>12</v>
      </c>
      <c r="B7854" s="0" t="n">
        <v>2219602</v>
      </c>
      <c r="C7854" s="0" t="n">
        <v>2219622</v>
      </c>
      <c r="D7854" s="0" t="s">
        <v>26241</v>
      </c>
      <c r="E7854" s="0" t="s">
        <v>26242</v>
      </c>
      <c r="F7854" s="0" t="s">
        <v>15</v>
      </c>
      <c r="G7854" s="0" t="s">
        <v>26</v>
      </c>
      <c r="H7854" s="0" t="n">
        <v>35</v>
      </c>
      <c r="I7854" s="0" t="s">
        <v>26246</v>
      </c>
      <c r="J7854" s="0" t="s">
        <v>26247</v>
      </c>
      <c r="K7854" s="0" t="s">
        <v>26248</v>
      </c>
      <c r="L7854" s="0" t="str">
        <f aca="false">HYPERLINK("https://www.ncbi.nlm.nih.gov/nuccore/CP000304.1?report=graph&amp;tracks=[key:gene_model_track,Options:GeneOnly]&amp;mk=2219580:2219599|offset_12|444444,2219603:2219622|offset_35|00cc00,2219665:2219684|offset_97|444444,2219698:2219717|offset_130|444444&amp;v=2219379:2219917&amp;c=444444", "offset 35")</f>
        <v>offset 35</v>
      </c>
    </row>
    <row r="7855" customFormat="false" ht="12.8" hidden="false" customHeight="false" outlineLevel="0" collapsed="false">
      <c r="A7855" s="0" t="s">
        <v>12</v>
      </c>
      <c r="B7855" s="0" t="n">
        <v>2219664</v>
      </c>
      <c r="C7855" s="0" t="n">
        <v>2219684</v>
      </c>
      <c r="D7855" s="0" t="s">
        <v>26241</v>
      </c>
      <c r="E7855" s="0" t="s">
        <v>26242</v>
      </c>
      <c r="F7855" s="0" t="s">
        <v>15</v>
      </c>
      <c r="G7855" s="0" t="s">
        <v>32</v>
      </c>
      <c r="H7855" s="0" t="n">
        <v>97</v>
      </c>
      <c r="I7855" s="0" t="s">
        <v>26249</v>
      </c>
      <c r="J7855" s="0" t="s">
        <v>26250</v>
      </c>
      <c r="K7855" s="0" t="s">
        <v>26251</v>
      </c>
      <c r="L7855" s="0" t="str">
        <f aca="false">HYPERLINK("https://www.ncbi.nlm.nih.gov/nuccore/CP000304.1?report=graph&amp;tracks=[key:gene_model_track,Options:GeneOnly]&amp;mk=2219580:2219599|offset_12|444444,2219603:2219622|offset_35|444444,2219665:2219684|offset_97|00cc00,2219698:2219717|offset_130|444444&amp;v=2219379:2219917&amp;c=444444", "offset 97")</f>
        <v>offset 97</v>
      </c>
    </row>
    <row r="7856" customFormat="false" ht="12.8" hidden="false" customHeight="false" outlineLevel="0" collapsed="false">
      <c r="A7856" s="0" t="s">
        <v>12</v>
      </c>
      <c r="B7856" s="0" t="n">
        <v>2219697</v>
      </c>
      <c r="C7856" s="0" t="n">
        <v>2219717</v>
      </c>
      <c r="D7856" s="0" t="s">
        <v>26241</v>
      </c>
      <c r="E7856" s="0" t="s">
        <v>26242</v>
      </c>
      <c r="F7856" s="0" t="s">
        <v>15</v>
      </c>
      <c r="G7856" s="0" t="s">
        <v>36</v>
      </c>
      <c r="H7856" s="0" t="n">
        <v>130</v>
      </c>
      <c r="I7856" s="0" t="s">
        <v>26252</v>
      </c>
      <c r="J7856" s="0" t="s">
        <v>26253</v>
      </c>
      <c r="K7856" s="0" t="s">
        <v>26254</v>
      </c>
      <c r="L7856" s="0" t="str">
        <f aca="false">HYPERLINK("https://www.ncbi.nlm.nih.gov/nuccore/CP000304.1?report=graph&amp;tracks=[key:gene_model_track,Options:GeneOnly]&amp;mk=2219580:2219599|offset_12|444444,2219603:2219622|offset_35|444444,2219665:2219684|offset_97|444444,2219698:2219717|offset_130|00cc00&amp;v=2219379:2219917&amp;c=444444", "offset 130")</f>
        <v>offset 130</v>
      </c>
    </row>
    <row r="7857" customFormat="false" ht="12.8" hidden="false" customHeight="false" outlineLevel="0" collapsed="false">
      <c r="A7857" s="0" t="s">
        <v>12</v>
      </c>
      <c r="B7857" s="0" t="n">
        <v>2219827</v>
      </c>
      <c r="C7857" s="0" t="n">
        <v>2219847</v>
      </c>
      <c r="D7857" s="0" t="s">
        <v>26255</v>
      </c>
      <c r="E7857" s="0" t="s">
        <v>26256</v>
      </c>
      <c r="F7857" s="0" t="s">
        <v>15</v>
      </c>
      <c r="G7857" s="0" t="s">
        <v>36</v>
      </c>
      <c r="H7857" s="0" t="n">
        <v>21</v>
      </c>
      <c r="I7857" s="0" t="s">
        <v>26257</v>
      </c>
      <c r="J7857" s="0" t="s">
        <v>26258</v>
      </c>
      <c r="K7857" s="0" t="s">
        <v>26259</v>
      </c>
      <c r="L7857" s="0" t="str">
        <f aca="false">HYPERLINK("https://www.ncbi.nlm.nih.gov/nuccore/CP000304.1?report=graph&amp;tracks=[key:gene_model_track,Options:GeneOnly]&amp;mk=2219828:2219847|offset_21|00cc00,2219874:2219893|offset_67|444444,2219907:2219926|offset_100|444444,2219940:2219959|offset_133|444444&amp;v=2219627:2220159&amp;c=444444", "offset 21")</f>
        <v>offset 21</v>
      </c>
    </row>
    <row r="7858" customFormat="false" ht="12.8" hidden="false" customHeight="false" outlineLevel="0" collapsed="false">
      <c r="A7858" s="0" t="s">
        <v>12</v>
      </c>
      <c r="B7858" s="0" t="n">
        <v>2219873</v>
      </c>
      <c r="C7858" s="0" t="n">
        <v>2219893</v>
      </c>
      <c r="D7858" s="0" t="s">
        <v>26255</v>
      </c>
      <c r="E7858" s="0" t="s">
        <v>26256</v>
      </c>
      <c r="F7858" s="0" t="s">
        <v>15</v>
      </c>
      <c r="G7858" s="0" t="s">
        <v>32</v>
      </c>
      <c r="H7858" s="0" t="n">
        <v>67</v>
      </c>
      <c r="I7858" s="0" t="s">
        <v>26260</v>
      </c>
      <c r="J7858" s="0" t="s">
        <v>26261</v>
      </c>
      <c r="K7858" s="0" t="s">
        <v>26262</v>
      </c>
      <c r="L7858" s="0" t="str">
        <f aca="false">HYPERLINK("https://www.ncbi.nlm.nih.gov/nuccore/CP000304.1?report=graph&amp;tracks=[key:gene_model_track,Options:GeneOnly]&amp;mk=2219828:2219847|offset_21|444444,2219874:2219893|offset_67|00cc00,2219907:2219926|offset_100|444444,2219940:2219959|offset_133|444444&amp;v=2219627:2220159&amp;c=444444", "offset 67")</f>
        <v>offset 67</v>
      </c>
    </row>
    <row r="7859" customFormat="false" ht="12.8" hidden="false" customHeight="false" outlineLevel="0" collapsed="false">
      <c r="A7859" s="0" t="s">
        <v>12</v>
      </c>
      <c r="B7859" s="0" t="n">
        <v>2219906</v>
      </c>
      <c r="C7859" s="0" t="n">
        <v>2219926</v>
      </c>
      <c r="D7859" s="0" t="s">
        <v>26255</v>
      </c>
      <c r="E7859" s="0" t="s">
        <v>26256</v>
      </c>
      <c r="F7859" s="0" t="s">
        <v>15</v>
      </c>
      <c r="G7859" s="0" t="s">
        <v>36</v>
      </c>
      <c r="H7859" s="0" t="n">
        <v>100</v>
      </c>
      <c r="I7859" s="0" t="s">
        <v>26263</v>
      </c>
      <c r="J7859" s="0" t="s">
        <v>26264</v>
      </c>
      <c r="K7859" s="0" t="s">
        <v>26265</v>
      </c>
      <c r="L7859" s="0" t="str">
        <f aca="false">HYPERLINK("https://www.ncbi.nlm.nih.gov/nuccore/CP000304.1?report=graph&amp;tracks=[key:gene_model_track,Options:GeneOnly]&amp;mk=2219828:2219847|offset_21|444444,2219874:2219893|offset_67|444444,2219907:2219926|offset_100|00cc00,2219940:2219959|offset_133|444444&amp;v=2219627:2220159&amp;c=444444", "offset 100")</f>
        <v>offset 100</v>
      </c>
    </row>
    <row r="7860" customFormat="false" ht="12.8" hidden="false" customHeight="false" outlineLevel="0" collapsed="false">
      <c r="A7860" s="0" t="s">
        <v>12</v>
      </c>
      <c r="B7860" s="0" t="n">
        <v>2219939</v>
      </c>
      <c r="C7860" s="0" t="n">
        <v>2219959</v>
      </c>
      <c r="D7860" s="0" t="s">
        <v>26255</v>
      </c>
      <c r="E7860" s="0" t="s">
        <v>26256</v>
      </c>
      <c r="F7860" s="0" t="s">
        <v>15</v>
      </c>
      <c r="G7860" s="0" t="s">
        <v>32</v>
      </c>
      <c r="H7860" s="0" t="n">
        <v>133</v>
      </c>
      <c r="I7860" s="0" t="s">
        <v>26266</v>
      </c>
      <c r="J7860" s="0" t="s">
        <v>26267</v>
      </c>
      <c r="K7860" s="0" t="s">
        <v>26268</v>
      </c>
      <c r="L7860" s="0" t="str">
        <f aca="false">HYPERLINK("https://www.ncbi.nlm.nih.gov/nuccore/CP000304.1?report=graph&amp;tracks=[key:gene_model_track,Options:GeneOnly]&amp;mk=2219828:2219847|offset_21|444444,2219874:2219893|offset_67|444444,2219907:2219926|offset_100|444444,2219940:2219959|offset_133|00cc00&amp;v=2219627:2220159&amp;c=444444", "offset 133")</f>
        <v>offset 133</v>
      </c>
    </row>
    <row r="7861" customFormat="false" ht="12.8" hidden="false" customHeight="false" outlineLevel="0" collapsed="false">
      <c r="A7861" s="0" t="s">
        <v>12</v>
      </c>
      <c r="B7861" s="0" t="n">
        <v>2220709</v>
      </c>
      <c r="C7861" s="0" t="n">
        <v>2220729</v>
      </c>
      <c r="D7861" s="0" t="s">
        <v>26269</v>
      </c>
      <c r="E7861" s="0" t="s">
        <v>26270</v>
      </c>
      <c r="F7861" s="0" t="s">
        <v>15</v>
      </c>
      <c r="G7861" s="0" t="s">
        <v>16</v>
      </c>
      <c r="H7861" s="0" t="n">
        <v>6</v>
      </c>
      <c r="I7861" s="0" t="s">
        <v>26271</v>
      </c>
      <c r="J7861" s="0" t="s">
        <v>26272</v>
      </c>
      <c r="K7861" s="0" t="s">
        <v>26273</v>
      </c>
      <c r="L7861" s="0" t="str">
        <f aca="false">HYPERLINK("https://www.ncbi.nlm.nih.gov/nuccore/CP000304.1?report=graph&amp;tracks=[key:gene_model_track,Options:GeneOnly]&amp;mk=2220710:2220729|offset_6|00cc00,2220735:2220754|offset_31|444444,2220760:2220779|offset_56|444444,2220828:2220847|offset_124|444444&amp;v=2220509:2221047&amp;c=444444", "offset 6")</f>
        <v>offset 6</v>
      </c>
    </row>
    <row r="7862" customFormat="false" ht="12.8" hidden="false" customHeight="false" outlineLevel="0" collapsed="false">
      <c r="A7862" s="0" t="s">
        <v>12</v>
      </c>
      <c r="B7862" s="0" t="n">
        <v>2220734</v>
      </c>
      <c r="C7862" s="0" t="n">
        <v>2220754</v>
      </c>
      <c r="D7862" s="0" t="s">
        <v>26269</v>
      </c>
      <c r="E7862" s="0" t="s">
        <v>26270</v>
      </c>
      <c r="F7862" s="0" t="s">
        <v>15</v>
      </c>
      <c r="G7862" s="0" t="s">
        <v>36</v>
      </c>
      <c r="H7862" s="0" t="n">
        <v>31</v>
      </c>
      <c r="I7862" s="0" t="s">
        <v>26274</v>
      </c>
      <c r="J7862" s="0" t="s">
        <v>26275</v>
      </c>
      <c r="K7862" s="0" t="s">
        <v>26276</v>
      </c>
      <c r="L7862" s="0" t="str">
        <f aca="false">HYPERLINK("https://www.ncbi.nlm.nih.gov/nuccore/CP000304.1?report=graph&amp;tracks=[key:gene_model_track,Options:GeneOnly]&amp;mk=2220710:2220729|offset_6|444444,2220735:2220754|offset_31|00cc00,2220760:2220779|offset_56|444444,2220828:2220847|offset_124|444444&amp;v=2220509:2221047&amp;c=444444", "offset 31")</f>
        <v>offset 31</v>
      </c>
    </row>
    <row r="7863" customFormat="false" ht="12.8" hidden="false" customHeight="false" outlineLevel="0" collapsed="false">
      <c r="A7863" s="0" t="s">
        <v>12</v>
      </c>
      <c r="B7863" s="0" t="n">
        <v>2220759</v>
      </c>
      <c r="C7863" s="0" t="n">
        <v>2220779</v>
      </c>
      <c r="D7863" s="0" t="s">
        <v>26269</v>
      </c>
      <c r="E7863" s="0" t="s">
        <v>26270</v>
      </c>
      <c r="F7863" s="0" t="s">
        <v>15</v>
      </c>
      <c r="G7863" s="0" t="s">
        <v>36</v>
      </c>
      <c r="H7863" s="0" t="n">
        <v>56</v>
      </c>
      <c r="I7863" s="0" t="s">
        <v>26277</v>
      </c>
      <c r="J7863" s="0" t="s">
        <v>26278</v>
      </c>
      <c r="K7863" s="0" t="s">
        <v>26279</v>
      </c>
      <c r="L7863" s="0" t="str">
        <f aca="false">HYPERLINK("https://www.ncbi.nlm.nih.gov/nuccore/CP000304.1?report=graph&amp;tracks=[key:gene_model_track,Options:GeneOnly]&amp;mk=2220710:2220729|offset_6|444444,2220735:2220754|offset_31|444444,2220760:2220779|offset_56|00cc00,2220828:2220847|offset_124|444444&amp;v=2220509:2221047&amp;c=444444", "offset 56")</f>
        <v>offset 56</v>
      </c>
    </row>
    <row r="7864" customFormat="false" ht="12.8" hidden="false" customHeight="false" outlineLevel="0" collapsed="false">
      <c r="A7864" s="0" t="s">
        <v>12</v>
      </c>
      <c r="B7864" s="0" t="n">
        <v>2220827</v>
      </c>
      <c r="C7864" s="0" t="n">
        <v>2220847</v>
      </c>
      <c r="D7864" s="0" t="s">
        <v>26269</v>
      </c>
      <c r="E7864" s="0" t="s">
        <v>26270</v>
      </c>
      <c r="F7864" s="0" t="s">
        <v>15</v>
      </c>
      <c r="G7864" s="0" t="s">
        <v>26</v>
      </c>
      <c r="H7864" s="0" t="n">
        <v>124</v>
      </c>
      <c r="I7864" s="0" t="s">
        <v>26280</v>
      </c>
      <c r="J7864" s="0" t="s">
        <v>26281</v>
      </c>
      <c r="K7864" s="0" t="s">
        <v>26282</v>
      </c>
      <c r="L7864" s="0" t="str">
        <f aca="false">HYPERLINK("https://www.ncbi.nlm.nih.gov/nuccore/CP000304.1?report=graph&amp;tracks=[key:gene_model_track,Options:GeneOnly]&amp;mk=2220710:2220729|offset_6|444444,2220735:2220754|offset_31|444444,2220760:2220779|offset_56|444444,2220828:2220847|offset_124|00cc00&amp;v=2220509:2221047&amp;c=444444", "offset 124")</f>
        <v>offset 124</v>
      </c>
    </row>
    <row r="7865" customFormat="false" ht="12.8" hidden="false" customHeight="false" outlineLevel="0" collapsed="false">
      <c r="A7865" s="0" t="s">
        <v>12</v>
      </c>
      <c r="B7865" s="0" t="n">
        <v>2221460</v>
      </c>
      <c r="C7865" s="0" t="n">
        <v>2221480</v>
      </c>
      <c r="D7865" s="0" t="s">
        <v>26283</v>
      </c>
      <c r="E7865" s="0" t="s">
        <v>26284</v>
      </c>
      <c r="F7865" s="0" t="s">
        <v>15</v>
      </c>
      <c r="G7865" s="0" t="s">
        <v>16</v>
      </c>
      <c r="H7865" s="0" t="n">
        <v>10</v>
      </c>
      <c r="I7865" s="0" t="s">
        <v>26285</v>
      </c>
      <c r="J7865" s="0" t="s">
        <v>26286</v>
      </c>
      <c r="K7865" s="0" t="s">
        <v>26287</v>
      </c>
      <c r="L7865" s="0" t="str">
        <f aca="false">HYPERLINK("https://www.ncbi.nlm.nih.gov/nuccore/CP000304.1?report=graph&amp;tracks=[key:gene_model_track,Options:GeneOnly]&amp;mk=2221461:2221480|offset_10|00cc00,2221492:2221511|offset_41|444444,2221536:2221555|offset_85|444444,2221594:2221613|offset_143|444444&amp;v=2221260:2221813&amp;c=444444", "offset 10")</f>
        <v>offset 10</v>
      </c>
    </row>
    <row r="7866" customFormat="false" ht="12.8" hidden="false" customHeight="false" outlineLevel="0" collapsed="false">
      <c r="A7866" s="0" t="s">
        <v>12</v>
      </c>
      <c r="B7866" s="0" t="n">
        <v>2221491</v>
      </c>
      <c r="C7866" s="0" t="n">
        <v>2221511</v>
      </c>
      <c r="D7866" s="0" t="s">
        <v>26283</v>
      </c>
      <c r="E7866" s="0" t="s">
        <v>26284</v>
      </c>
      <c r="F7866" s="0" t="s">
        <v>15</v>
      </c>
      <c r="G7866" s="0" t="s">
        <v>32</v>
      </c>
      <c r="H7866" s="0" t="n">
        <v>41</v>
      </c>
      <c r="I7866" s="0" t="s">
        <v>26288</v>
      </c>
      <c r="J7866" s="0" t="s">
        <v>26289</v>
      </c>
      <c r="K7866" s="0" t="s">
        <v>26290</v>
      </c>
      <c r="L7866" s="0" t="str">
        <f aca="false">HYPERLINK("https://www.ncbi.nlm.nih.gov/nuccore/CP000304.1?report=graph&amp;tracks=[key:gene_model_track,Options:GeneOnly]&amp;mk=2221461:2221480|offset_10|444444,2221492:2221511|offset_41|00cc00,2221536:2221555|offset_85|444444,2221594:2221613|offset_143|444444&amp;v=2221260:2221813&amp;c=444444", "offset 41")</f>
        <v>offset 41</v>
      </c>
    </row>
    <row r="7867" customFormat="false" ht="12.8" hidden="false" customHeight="false" outlineLevel="0" collapsed="false">
      <c r="A7867" s="0" t="s">
        <v>12</v>
      </c>
      <c r="B7867" s="0" t="n">
        <v>2221535</v>
      </c>
      <c r="C7867" s="0" t="n">
        <v>2221555</v>
      </c>
      <c r="D7867" s="0" t="s">
        <v>26283</v>
      </c>
      <c r="E7867" s="0" t="s">
        <v>26284</v>
      </c>
      <c r="F7867" s="0" t="s">
        <v>15</v>
      </c>
      <c r="G7867" s="0" t="s">
        <v>16</v>
      </c>
      <c r="H7867" s="0" t="n">
        <v>85</v>
      </c>
      <c r="I7867" s="0" t="s">
        <v>26291</v>
      </c>
      <c r="J7867" s="0" t="s">
        <v>26292</v>
      </c>
      <c r="K7867" s="0" t="s">
        <v>26293</v>
      </c>
      <c r="L7867" s="0" t="str">
        <f aca="false">HYPERLINK("https://www.ncbi.nlm.nih.gov/nuccore/CP000304.1?report=graph&amp;tracks=[key:gene_model_track,Options:GeneOnly]&amp;mk=2221461:2221480|offset_10|444444,2221492:2221511|offset_41|444444,2221536:2221555|offset_85|00cc00,2221594:2221613|offset_143|444444&amp;v=2221260:2221813&amp;c=444444", "offset 85")</f>
        <v>offset 85</v>
      </c>
    </row>
    <row r="7868" customFormat="false" ht="12.8" hidden="false" customHeight="false" outlineLevel="0" collapsed="false">
      <c r="A7868" s="0" t="s">
        <v>12</v>
      </c>
      <c r="B7868" s="0" t="n">
        <v>2221593</v>
      </c>
      <c r="C7868" s="0" t="n">
        <v>2221613</v>
      </c>
      <c r="D7868" s="0" t="s">
        <v>26283</v>
      </c>
      <c r="E7868" s="0" t="s">
        <v>26284</v>
      </c>
      <c r="F7868" s="0" t="s">
        <v>15</v>
      </c>
      <c r="G7868" s="0" t="s">
        <v>26</v>
      </c>
      <c r="H7868" s="0" t="n">
        <v>143</v>
      </c>
      <c r="I7868" s="0" t="s">
        <v>26294</v>
      </c>
      <c r="J7868" s="0" t="s">
        <v>26295</v>
      </c>
      <c r="K7868" s="0" t="s">
        <v>26296</v>
      </c>
      <c r="L7868" s="0" t="str">
        <f aca="false">HYPERLINK("https://www.ncbi.nlm.nih.gov/nuccore/CP000304.1?report=graph&amp;tracks=[key:gene_model_track,Options:GeneOnly]&amp;mk=2221461:2221480|offset_10|444444,2221492:2221511|offset_41|444444,2221536:2221555|offset_85|444444,2221594:2221613|offset_143|00cc00&amp;v=2221260:2221813&amp;c=444444", "offset 143")</f>
        <v>offset 143</v>
      </c>
    </row>
    <row r="7869" customFormat="false" ht="12.8" hidden="false" customHeight="false" outlineLevel="0" collapsed="false">
      <c r="A7869" s="0" t="s">
        <v>12</v>
      </c>
      <c r="B7869" s="0" t="n">
        <v>2225191</v>
      </c>
      <c r="C7869" s="0" t="n">
        <v>2225211</v>
      </c>
      <c r="D7869" s="0" t="s">
        <v>26297</v>
      </c>
      <c r="E7869" s="0" t="s">
        <v>26298</v>
      </c>
      <c r="F7869" s="0" t="s">
        <v>90</v>
      </c>
      <c r="G7869" s="0" t="s">
        <v>26</v>
      </c>
      <c r="H7869" s="0" t="n">
        <v>28</v>
      </c>
      <c r="I7869" s="0" t="s">
        <v>26299</v>
      </c>
      <c r="J7869" s="0" t="s">
        <v>26300</v>
      </c>
      <c r="K7869" s="0" t="s">
        <v>26301</v>
      </c>
      <c r="L7869" s="0" t="str">
        <f aca="false">HYPERLINK("https://www.ncbi.nlm.nih.gov/nuccore/CP000304.1?report=graph&amp;tracks=[key:gene_model_track,Options:GeneOnly]&amp;mk=2225192:2225211|offset_28|00cc00,2225165:2225184|offset_55|444444,2225142:2225161|offset_78|444444,2225095:2225114|offset_125|444444&amp;v=2224991:2225314&amp;c=444444", "offset 28")</f>
        <v>offset 28</v>
      </c>
    </row>
    <row r="7870" customFormat="false" ht="12.8" hidden="false" customHeight="false" outlineLevel="0" collapsed="false">
      <c r="A7870" s="0" t="s">
        <v>12</v>
      </c>
      <c r="B7870" s="0" t="n">
        <v>2225164</v>
      </c>
      <c r="C7870" s="0" t="n">
        <v>2225184</v>
      </c>
      <c r="D7870" s="0" t="s">
        <v>26297</v>
      </c>
      <c r="E7870" s="0" t="s">
        <v>26298</v>
      </c>
      <c r="F7870" s="0" t="s">
        <v>90</v>
      </c>
      <c r="G7870" s="0" t="s">
        <v>16</v>
      </c>
      <c r="H7870" s="0" t="n">
        <v>55</v>
      </c>
      <c r="I7870" s="0" t="s">
        <v>26302</v>
      </c>
      <c r="J7870" s="0" t="s">
        <v>26303</v>
      </c>
      <c r="K7870" s="0" t="s">
        <v>26304</v>
      </c>
      <c r="L7870" s="0" t="str">
        <f aca="false">HYPERLINK("https://www.ncbi.nlm.nih.gov/nuccore/CP000304.1?report=graph&amp;tracks=[key:gene_model_track,Options:GeneOnly]&amp;mk=2225192:2225211|offset_28|444444,2225165:2225184|offset_55|00cc00,2225142:2225161|offset_78|444444,2225095:2225114|offset_125|444444&amp;v=2224991:2225314&amp;c=444444", "offset 55")</f>
        <v>offset 55</v>
      </c>
    </row>
    <row r="7871" customFormat="false" ht="12.8" hidden="false" customHeight="false" outlineLevel="0" collapsed="false">
      <c r="A7871" s="0" t="s">
        <v>12</v>
      </c>
      <c r="B7871" s="0" t="n">
        <v>2225141</v>
      </c>
      <c r="C7871" s="0" t="n">
        <v>2225161</v>
      </c>
      <c r="D7871" s="0" t="s">
        <v>26297</v>
      </c>
      <c r="E7871" s="0" t="s">
        <v>26298</v>
      </c>
      <c r="F7871" s="0" t="s">
        <v>90</v>
      </c>
      <c r="G7871" s="0" t="s">
        <v>16</v>
      </c>
      <c r="H7871" s="0" t="n">
        <v>78</v>
      </c>
      <c r="I7871" s="0" t="s">
        <v>26305</v>
      </c>
      <c r="J7871" s="0" t="s">
        <v>26306</v>
      </c>
      <c r="K7871" s="0" t="s">
        <v>26307</v>
      </c>
      <c r="L7871" s="0" t="str">
        <f aca="false">HYPERLINK("https://www.ncbi.nlm.nih.gov/nuccore/CP000304.1?report=graph&amp;tracks=[key:gene_model_track,Options:GeneOnly]&amp;mk=2225192:2225211|offset_28|444444,2225165:2225184|offset_55|444444,2225142:2225161|offset_78|00cc00,2225095:2225114|offset_125|444444&amp;v=2224991:2225314&amp;c=444444", "offset 78")</f>
        <v>offset 78</v>
      </c>
    </row>
    <row r="7872" customFormat="false" ht="12.8" hidden="false" customHeight="false" outlineLevel="0" collapsed="false">
      <c r="A7872" s="0" t="s">
        <v>12</v>
      </c>
      <c r="B7872" s="0" t="n">
        <v>2225094</v>
      </c>
      <c r="C7872" s="0" t="n">
        <v>2225114</v>
      </c>
      <c r="D7872" s="0" t="s">
        <v>26297</v>
      </c>
      <c r="E7872" s="0" t="s">
        <v>26298</v>
      </c>
      <c r="F7872" s="0" t="s">
        <v>90</v>
      </c>
      <c r="G7872" s="0" t="s">
        <v>36</v>
      </c>
      <c r="H7872" s="0" t="n">
        <v>125</v>
      </c>
      <c r="I7872" s="0" t="s">
        <v>26308</v>
      </c>
      <c r="J7872" s="0" t="s">
        <v>26309</v>
      </c>
      <c r="K7872" s="0" t="s">
        <v>26310</v>
      </c>
      <c r="L7872" s="0" t="str">
        <f aca="false">HYPERLINK("https://www.ncbi.nlm.nih.gov/nuccore/CP000304.1?report=graph&amp;tracks=[key:gene_model_track,Options:GeneOnly]&amp;mk=2225192:2225211|offset_28|444444,2225165:2225184|offset_55|444444,2225142:2225161|offset_78|444444,2225095:2225114|offset_125|00cc00&amp;v=2224991:2225314&amp;c=444444", "offset 125")</f>
        <v>offset 125</v>
      </c>
    </row>
    <row r="7873" customFormat="false" ht="12.8" hidden="false" customHeight="false" outlineLevel="0" collapsed="false">
      <c r="A7873" s="0" t="s">
        <v>12</v>
      </c>
      <c r="B7873" s="0" t="n">
        <v>2225611</v>
      </c>
      <c r="C7873" s="0" t="n">
        <v>2225631</v>
      </c>
      <c r="D7873" s="0" t="s">
        <v>26311</v>
      </c>
      <c r="E7873" s="0" t="s">
        <v>89</v>
      </c>
      <c r="F7873" s="0" t="s">
        <v>15</v>
      </c>
      <c r="G7873" s="0" t="s">
        <v>16</v>
      </c>
      <c r="H7873" s="0" t="n">
        <v>28</v>
      </c>
      <c r="I7873" s="0" t="s">
        <v>26312</v>
      </c>
      <c r="J7873" s="0" t="s">
        <v>26313</v>
      </c>
      <c r="K7873" s="0" t="s">
        <v>26314</v>
      </c>
      <c r="L7873" s="0" t="str">
        <f aca="false">HYPERLINK("https://www.ncbi.nlm.nih.gov/nuccore/CP000304.1?report=graph&amp;tracks=[key:gene_model_track,Options:GeneOnly]&amp;mk=2225612:2225631|offset_28|00cc00,2225633:2225652|offset_49|444444,2225657:2225676|offset_73|444444,2225703:2225722|offset_119|444444&amp;v=2225411:2225922&amp;c=444444", "offset 28")</f>
        <v>offset 28</v>
      </c>
    </row>
    <row r="7874" customFormat="false" ht="12.8" hidden="false" customHeight="false" outlineLevel="0" collapsed="false">
      <c r="A7874" s="0" t="s">
        <v>12</v>
      </c>
      <c r="B7874" s="0" t="n">
        <v>2225632</v>
      </c>
      <c r="C7874" s="0" t="n">
        <v>2225652</v>
      </c>
      <c r="D7874" s="0" t="s">
        <v>26311</v>
      </c>
      <c r="E7874" s="0" t="s">
        <v>89</v>
      </c>
      <c r="F7874" s="0" t="s">
        <v>15</v>
      </c>
      <c r="G7874" s="0" t="s">
        <v>32</v>
      </c>
      <c r="H7874" s="0" t="n">
        <v>49</v>
      </c>
      <c r="I7874" s="0" t="s">
        <v>26315</v>
      </c>
      <c r="J7874" s="0" t="s">
        <v>26316</v>
      </c>
      <c r="K7874" s="0" t="s">
        <v>26317</v>
      </c>
      <c r="L7874" s="0" t="str">
        <f aca="false">HYPERLINK("https://www.ncbi.nlm.nih.gov/nuccore/CP000304.1?report=graph&amp;tracks=[key:gene_model_track,Options:GeneOnly]&amp;mk=2225612:2225631|offset_28|444444,2225633:2225652|offset_49|00cc00,2225657:2225676|offset_73|444444,2225703:2225722|offset_119|444444&amp;v=2225411:2225922&amp;c=444444", "offset 49")</f>
        <v>offset 49</v>
      </c>
    </row>
    <row r="7875" customFormat="false" ht="12.8" hidden="false" customHeight="false" outlineLevel="0" collapsed="false">
      <c r="A7875" s="0" t="s">
        <v>12</v>
      </c>
      <c r="B7875" s="0" t="n">
        <v>2225656</v>
      </c>
      <c r="C7875" s="0" t="n">
        <v>2225676</v>
      </c>
      <c r="D7875" s="0" t="s">
        <v>26311</v>
      </c>
      <c r="E7875" s="0" t="s">
        <v>89</v>
      </c>
      <c r="F7875" s="0" t="s">
        <v>15</v>
      </c>
      <c r="G7875" s="0" t="s">
        <v>36</v>
      </c>
      <c r="H7875" s="0" t="n">
        <v>73</v>
      </c>
      <c r="I7875" s="0" t="s">
        <v>26318</v>
      </c>
      <c r="J7875" s="0" t="s">
        <v>26319</v>
      </c>
      <c r="K7875" s="0" t="s">
        <v>26320</v>
      </c>
      <c r="L7875" s="0" t="str">
        <f aca="false">HYPERLINK("https://www.ncbi.nlm.nih.gov/nuccore/CP000304.1?report=graph&amp;tracks=[key:gene_model_track,Options:GeneOnly]&amp;mk=2225612:2225631|offset_28|444444,2225633:2225652|offset_49|444444,2225657:2225676|offset_73|00cc00,2225703:2225722|offset_119|444444&amp;v=2225411:2225922&amp;c=444444", "offset 73")</f>
        <v>offset 73</v>
      </c>
    </row>
    <row r="7876" customFormat="false" ht="12.8" hidden="false" customHeight="false" outlineLevel="0" collapsed="false">
      <c r="A7876" s="0" t="s">
        <v>12</v>
      </c>
      <c r="B7876" s="0" t="n">
        <v>2225702</v>
      </c>
      <c r="C7876" s="0" t="n">
        <v>2225722</v>
      </c>
      <c r="D7876" s="0" t="s">
        <v>26311</v>
      </c>
      <c r="E7876" s="0" t="s">
        <v>89</v>
      </c>
      <c r="F7876" s="0" t="s">
        <v>15</v>
      </c>
      <c r="G7876" s="0" t="s">
        <v>16</v>
      </c>
      <c r="H7876" s="0" t="n">
        <v>119</v>
      </c>
      <c r="I7876" s="0" t="s">
        <v>26321</v>
      </c>
      <c r="J7876" s="0" t="s">
        <v>26322</v>
      </c>
      <c r="K7876" s="0" t="s">
        <v>26323</v>
      </c>
      <c r="L7876" s="0" t="str">
        <f aca="false">HYPERLINK("https://www.ncbi.nlm.nih.gov/nuccore/CP000304.1?report=graph&amp;tracks=[key:gene_model_track,Options:GeneOnly]&amp;mk=2225612:2225631|offset_28|444444,2225633:2225652|offset_49|444444,2225657:2225676|offset_73|444444,2225703:2225722|offset_119|00cc00&amp;v=2225411:2225922&amp;c=444444", "offset 119")</f>
        <v>offset 119</v>
      </c>
    </row>
    <row r="7877" customFormat="false" ht="12.8" hidden="false" customHeight="false" outlineLevel="0" collapsed="false">
      <c r="A7877" s="0" t="s">
        <v>12</v>
      </c>
      <c r="B7877" s="0" t="n">
        <v>2226977</v>
      </c>
      <c r="C7877" s="0" t="n">
        <v>2226997</v>
      </c>
      <c r="D7877" s="0" t="s">
        <v>26324</v>
      </c>
      <c r="E7877" s="0" t="s">
        <v>89</v>
      </c>
      <c r="F7877" s="0" t="s">
        <v>90</v>
      </c>
      <c r="G7877" s="0" t="s">
        <v>32</v>
      </c>
      <c r="H7877" s="0" t="n">
        <v>10</v>
      </c>
      <c r="I7877" s="0" t="s">
        <v>26325</v>
      </c>
      <c r="J7877" s="0" t="s">
        <v>26326</v>
      </c>
      <c r="K7877" s="0" t="s">
        <v>26327</v>
      </c>
      <c r="L7877" s="0" t="str">
        <f aca="false">HYPERLINK("https://www.ncbi.nlm.nih.gov/nuccore/CP000304.1?report=graph&amp;tracks=[key:gene_model_track,Options:GeneOnly]&amp;mk=2226978:2226997|offset_10|00cc00,2226949:2226968|offset_39|444444,2226927:2226946|offset_61|444444,2226900:2226919|offset_88|444444&amp;v=2226777:2227119&amp;c=444444", "offset 10")</f>
        <v>offset 10</v>
      </c>
    </row>
    <row r="7878" customFormat="false" ht="12.8" hidden="false" customHeight="false" outlineLevel="0" collapsed="false">
      <c r="A7878" s="0" t="s">
        <v>12</v>
      </c>
      <c r="B7878" s="0" t="n">
        <v>2226948</v>
      </c>
      <c r="C7878" s="0" t="n">
        <v>2226968</v>
      </c>
      <c r="D7878" s="0" t="s">
        <v>26324</v>
      </c>
      <c r="E7878" s="0" t="s">
        <v>89</v>
      </c>
      <c r="F7878" s="0" t="s">
        <v>90</v>
      </c>
      <c r="G7878" s="0" t="s">
        <v>16</v>
      </c>
      <c r="H7878" s="0" t="n">
        <v>39</v>
      </c>
      <c r="I7878" s="0" t="s">
        <v>26328</v>
      </c>
      <c r="J7878" s="0" t="s">
        <v>26329</v>
      </c>
      <c r="K7878" s="0" t="s">
        <v>26330</v>
      </c>
      <c r="L7878" s="0" t="str">
        <f aca="false">HYPERLINK("https://www.ncbi.nlm.nih.gov/nuccore/CP000304.1?report=graph&amp;tracks=[key:gene_model_track,Options:GeneOnly]&amp;mk=2226978:2226997|offset_10|444444,2226949:2226968|offset_39|00cc00,2226927:2226946|offset_61|444444,2226900:2226919|offset_88|444444&amp;v=2226777:2227119&amp;c=444444", "offset 39")</f>
        <v>offset 39</v>
      </c>
    </row>
    <row r="7879" customFormat="false" ht="12.8" hidden="false" customHeight="false" outlineLevel="0" collapsed="false">
      <c r="A7879" s="0" t="s">
        <v>12</v>
      </c>
      <c r="B7879" s="0" t="n">
        <v>2226926</v>
      </c>
      <c r="C7879" s="0" t="n">
        <v>2226946</v>
      </c>
      <c r="D7879" s="0" t="s">
        <v>26324</v>
      </c>
      <c r="E7879" s="0" t="s">
        <v>89</v>
      </c>
      <c r="F7879" s="0" t="s">
        <v>90</v>
      </c>
      <c r="G7879" s="0" t="s">
        <v>26</v>
      </c>
      <c r="H7879" s="0" t="n">
        <v>61</v>
      </c>
      <c r="I7879" s="0" t="s">
        <v>26331</v>
      </c>
      <c r="J7879" s="0" t="s">
        <v>26332</v>
      </c>
      <c r="K7879" s="0" t="s">
        <v>26333</v>
      </c>
      <c r="L7879" s="0" t="str">
        <f aca="false">HYPERLINK("https://www.ncbi.nlm.nih.gov/nuccore/CP000304.1?report=graph&amp;tracks=[key:gene_model_track,Options:GeneOnly]&amp;mk=2226978:2226997|offset_10|444444,2226949:2226968|offset_39|444444,2226927:2226946|offset_61|00cc00,2226900:2226919|offset_88|444444&amp;v=2226777:2227119&amp;c=444444", "offset 61")</f>
        <v>offset 61</v>
      </c>
    </row>
    <row r="7880" customFormat="false" ht="12.8" hidden="false" customHeight="false" outlineLevel="0" collapsed="false">
      <c r="A7880" s="0" t="s">
        <v>12</v>
      </c>
      <c r="B7880" s="0" t="n">
        <v>2226899</v>
      </c>
      <c r="C7880" s="0" t="n">
        <v>2226919</v>
      </c>
      <c r="D7880" s="0" t="s">
        <v>26324</v>
      </c>
      <c r="E7880" s="0" t="s">
        <v>89</v>
      </c>
      <c r="F7880" s="0" t="s">
        <v>90</v>
      </c>
      <c r="G7880" s="0" t="s">
        <v>16</v>
      </c>
      <c r="H7880" s="0" t="n">
        <v>88</v>
      </c>
      <c r="I7880" s="0" t="s">
        <v>26334</v>
      </c>
      <c r="J7880" s="0" t="s">
        <v>26335</v>
      </c>
      <c r="K7880" s="0" t="s">
        <v>26336</v>
      </c>
      <c r="L7880" s="0" t="str">
        <f aca="false">HYPERLINK("https://www.ncbi.nlm.nih.gov/nuccore/CP000304.1?report=graph&amp;tracks=[key:gene_model_track,Options:GeneOnly]&amp;mk=2226978:2226997|offset_10|444444,2226949:2226968|offset_39|444444,2226927:2226946|offset_61|444444,2226900:2226919|offset_88|00cc00&amp;v=2226777:2227119&amp;c=444444", "offset 88")</f>
        <v>offset 88</v>
      </c>
    </row>
    <row r="7881" customFormat="false" ht="12.8" hidden="false" customHeight="false" outlineLevel="0" collapsed="false">
      <c r="A7881" s="0" t="s">
        <v>12</v>
      </c>
      <c r="B7881" s="0" t="n">
        <v>2227192</v>
      </c>
      <c r="C7881" s="0" t="n">
        <v>2227212</v>
      </c>
      <c r="D7881" s="0" t="s">
        <v>26337</v>
      </c>
      <c r="E7881" s="0" t="s">
        <v>89</v>
      </c>
      <c r="F7881" s="0" t="s">
        <v>15</v>
      </c>
      <c r="G7881" s="0" t="s">
        <v>26</v>
      </c>
      <c r="H7881" s="0" t="n">
        <v>9</v>
      </c>
      <c r="I7881" s="0" t="s">
        <v>26338</v>
      </c>
      <c r="J7881" s="0" t="s">
        <v>26339</v>
      </c>
      <c r="K7881" s="0" t="s">
        <v>26340</v>
      </c>
      <c r="L7881" s="0" t="str">
        <f aca="false">HYPERLINK("https://www.ncbi.nlm.nih.gov/nuccore/CP000304.1?report=graph&amp;tracks=[key:gene_model_track,Options:GeneOnly]&amp;mk=2227193:2227212|offset_9|00cc00,2227215:2227234|offset_31|444444,2227248:2227267|offset_64|444444,2227279:2227298|offset_95|444444&amp;v=2226992:2227498&amp;c=444444", "offset 9")</f>
        <v>offset 9</v>
      </c>
    </row>
    <row r="7882" customFormat="false" ht="12.8" hidden="false" customHeight="false" outlineLevel="0" collapsed="false">
      <c r="A7882" s="0" t="s">
        <v>12</v>
      </c>
      <c r="B7882" s="0" t="n">
        <v>2227214</v>
      </c>
      <c r="C7882" s="0" t="n">
        <v>2227234</v>
      </c>
      <c r="D7882" s="0" t="s">
        <v>26337</v>
      </c>
      <c r="E7882" s="0" t="s">
        <v>89</v>
      </c>
      <c r="F7882" s="0" t="s">
        <v>15</v>
      </c>
      <c r="G7882" s="0" t="s">
        <v>26</v>
      </c>
      <c r="H7882" s="0" t="n">
        <v>31</v>
      </c>
      <c r="I7882" s="0" t="s">
        <v>26341</v>
      </c>
      <c r="J7882" s="0" t="s">
        <v>26342</v>
      </c>
      <c r="K7882" s="0" t="s">
        <v>26343</v>
      </c>
      <c r="L7882" s="0" t="str">
        <f aca="false">HYPERLINK("https://www.ncbi.nlm.nih.gov/nuccore/CP000304.1?report=graph&amp;tracks=[key:gene_model_track,Options:GeneOnly]&amp;mk=2227193:2227212|offset_9|444444,2227215:2227234|offset_31|00cc00,2227248:2227267|offset_64|444444,2227279:2227298|offset_95|444444&amp;v=2226992:2227498&amp;c=444444", "offset 31")</f>
        <v>offset 31</v>
      </c>
    </row>
    <row r="7883" customFormat="false" ht="12.8" hidden="false" customHeight="false" outlineLevel="0" collapsed="false">
      <c r="A7883" s="0" t="s">
        <v>12</v>
      </c>
      <c r="B7883" s="0" t="n">
        <v>2227247</v>
      </c>
      <c r="C7883" s="0" t="n">
        <v>2227267</v>
      </c>
      <c r="D7883" s="0" t="s">
        <v>26337</v>
      </c>
      <c r="E7883" s="0" t="s">
        <v>89</v>
      </c>
      <c r="F7883" s="0" t="s">
        <v>15</v>
      </c>
      <c r="G7883" s="0" t="s">
        <v>26</v>
      </c>
      <c r="H7883" s="0" t="n">
        <v>64</v>
      </c>
      <c r="I7883" s="0" t="s">
        <v>26344</v>
      </c>
      <c r="J7883" s="0" t="s">
        <v>26345</v>
      </c>
      <c r="K7883" s="0" t="s">
        <v>26346</v>
      </c>
      <c r="L7883" s="0" t="str">
        <f aca="false">HYPERLINK("https://www.ncbi.nlm.nih.gov/nuccore/CP000304.1?report=graph&amp;tracks=[key:gene_model_track,Options:GeneOnly]&amp;mk=2227193:2227212|offset_9|444444,2227215:2227234|offset_31|444444,2227248:2227267|offset_64|00cc00,2227279:2227298|offset_95|444444&amp;v=2226992:2227498&amp;c=444444", "offset 64")</f>
        <v>offset 64</v>
      </c>
    </row>
    <row r="7884" customFormat="false" ht="12.8" hidden="false" customHeight="false" outlineLevel="0" collapsed="false">
      <c r="A7884" s="0" t="s">
        <v>12</v>
      </c>
      <c r="B7884" s="0" t="n">
        <v>2227278</v>
      </c>
      <c r="C7884" s="0" t="n">
        <v>2227298</v>
      </c>
      <c r="D7884" s="0" t="s">
        <v>26337</v>
      </c>
      <c r="E7884" s="0" t="s">
        <v>89</v>
      </c>
      <c r="F7884" s="0" t="s">
        <v>15</v>
      </c>
      <c r="G7884" s="0" t="s">
        <v>32</v>
      </c>
      <c r="H7884" s="0" t="n">
        <v>95</v>
      </c>
      <c r="I7884" s="0" t="s">
        <v>26347</v>
      </c>
      <c r="J7884" s="0" t="s">
        <v>26348</v>
      </c>
      <c r="K7884" s="0" t="s">
        <v>26349</v>
      </c>
      <c r="L7884" s="0" t="str">
        <f aca="false">HYPERLINK("https://www.ncbi.nlm.nih.gov/nuccore/CP000304.1?report=graph&amp;tracks=[key:gene_model_track,Options:GeneOnly]&amp;mk=2227193:2227212|offset_9|444444,2227215:2227234|offset_31|444444,2227248:2227267|offset_64|444444,2227279:2227298|offset_95|00cc00&amp;v=2226992:2227498&amp;c=444444", "offset 95")</f>
        <v>offset 95</v>
      </c>
    </row>
    <row r="7885" customFormat="false" ht="12.8" hidden="false" customHeight="false" outlineLevel="0" collapsed="false">
      <c r="A7885" s="0" t="s">
        <v>12</v>
      </c>
      <c r="B7885" s="0" t="n">
        <v>2228480</v>
      </c>
      <c r="C7885" s="0" t="n">
        <v>2228500</v>
      </c>
      <c r="D7885" s="0" t="s">
        <v>26350</v>
      </c>
      <c r="E7885" s="0" t="s">
        <v>26351</v>
      </c>
      <c r="F7885" s="0" t="s">
        <v>90</v>
      </c>
      <c r="G7885" s="0" t="s">
        <v>26</v>
      </c>
      <c r="H7885" s="0" t="n">
        <v>8</v>
      </c>
      <c r="I7885" s="0" t="s">
        <v>26352</v>
      </c>
      <c r="J7885" s="0" t="s">
        <v>26353</v>
      </c>
      <c r="K7885" s="0" t="s">
        <v>26354</v>
      </c>
      <c r="L7885" s="0" t="str">
        <f aca="false">HYPERLINK("https://www.ncbi.nlm.nih.gov/nuccore/CP000304.1?report=graph&amp;tracks=[key:gene_model_track,Options:GeneOnly]&amp;mk=2228481:2228500|offset_8|00cc00,2228445:2228464|offset_44|444444,2228398:2228417|offset_91|444444,2228338:2228357|offset_151|444444&amp;v=2228280:2228557&amp;c=444444", "offset 8")</f>
        <v>offset 8</v>
      </c>
    </row>
    <row r="7886" customFormat="false" ht="12.8" hidden="false" customHeight="false" outlineLevel="0" collapsed="false">
      <c r="A7886" s="0" t="s">
        <v>12</v>
      </c>
      <c r="B7886" s="0" t="n">
        <v>2228444</v>
      </c>
      <c r="C7886" s="0" t="n">
        <v>2228464</v>
      </c>
      <c r="D7886" s="0" t="s">
        <v>26350</v>
      </c>
      <c r="E7886" s="0" t="s">
        <v>26351</v>
      </c>
      <c r="F7886" s="0" t="s">
        <v>90</v>
      </c>
      <c r="G7886" s="0" t="s">
        <v>36</v>
      </c>
      <c r="H7886" s="0" t="n">
        <v>44</v>
      </c>
      <c r="I7886" s="0" t="s">
        <v>26355</v>
      </c>
      <c r="J7886" s="0" t="s">
        <v>26356</v>
      </c>
      <c r="K7886" s="0" t="s">
        <v>26357</v>
      </c>
      <c r="L7886" s="0" t="str">
        <f aca="false">HYPERLINK("https://www.ncbi.nlm.nih.gov/nuccore/CP000304.1?report=graph&amp;tracks=[key:gene_model_track,Options:GeneOnly]&amp;mk=2228481:2228500|offset_8|444444,2228445:2228464|offset_44|00cc00,2228398:2228417|offset_91|444444,2228338:2228357|offset_151|444444&amp;v=2228280:2228557&amp;c=444444", "offset 44")</f>
        <v>offset 44</v>
      </c>
    </row>
    <row r="7887" customFormat="false" ht="12.8" hidden="false" customHeight="false" outlineLevel="0" collapsed="false">
      <c r="A7887" s="0" t="s">
        <v>12</v>
      </c>
      <c r="B7887" s="0" t="n">
        <v>2228397</v>
      </c>
      <c r="C7887" s="0" t="n">
        <v>2228417</v>
      </c>
      <c r="D7887" s="0" t="s">
        <v>26350</v>
      </c>
      <c r="E7887" s="0" t="s">
        <v>26351</v>
      </c>
      <c r="F7887" s="0" t="s">
        <v>90</v>
      </c>
      <c r="G7887" s="0" t="s">
        <v>36</v>
      </c>
      <c r="H7887" s="0" t="n">
        <v>91</v>
      </c>
      <c r="I7887" s="0" t="s">
        <v>26358</v>
      </c>
      <c r="J7887" s="0" t="s">
        <v>26359</v>
      </c>
      <c r="K7887" s="0" t="s">
        <v>26360</v>
      </c>
      <c r="L7887" s="0" t="str">
        <f aca="false">HYPERLINK("https://www.ncbi.nlm.nih.gov/nuccore/CP000304.1?report=graph&amp;tracks=[key:gene_model_track,Options:GeneOnly]&amp;mk=2228481:2228500|offset_8|444444,2228445:2228464|offset_44|444444,2228398:2228417|offset_91|00cc00,2228338:2228357|offset_151|444444&amp;v=2228280:2228557&amp;c=444444", "offset 91")</f>
        <v>offset 91</v>
      </c>
    </row>
    <row r="7888" customFormat="false" ht="12.8" hidden="false" customHeight="false" outlineLevel="0" collapsed="false">
      <c r="A7888" s="0" t="s">
        <v>12</v>
      </c>
      <c r="B7888" s="0" t="n">
        <v>2228337</v>
      </c>
      <c r="C7888" s="0" t="n">
        <v>2228357</v>
      </c>
      <c r="D7888" s="0" t="s">
        <v>26350</v>
      </c>
      <c r="E7888" s="0" t="s">
        <v>26351</v>
      </c>
      <c r="F7888" s="0" t="s">
        <v>90</v>
      </c>
      <c r="G7888" s="0" t="s">
        <v>32</v>
      </c>
      <c r="H7888" s="0" t="n">
        <v>151</v>
      </c>
      <c r="I7888" s="0" t="s">
        <v>26361</v>
      </c>
      <c r="J7888" s="0" t="s">
        <v>26362</v>
      </c>
      <c r="K7888" s="0" t="s">
        <v>26363</v>
      </c>
      <c r="L7888" s="0" t="str">
        <f aca="false">HYPERLINK("https://www.ncbi.nlm.nih.gov/nuccore/CP000304.1?report=graph&amp;tracks=[key:gene_model_track,Options:GeneOnly]&amp;mk=2228481:2228500|offset_8|444444,2228445:2228464|offset_44|444444,2228398:2228417|offset_91|444444,2228338:2228357|offset_151|00cc00&amp;v=2228280:2228557&amp;c=444444", "offset 151")</f>
        <v>offset 151</v>
      </c>
    </row>
    <row r="7889" customFormat="false" ht="12.8" hidden="false" customHeight="false" outlineLevel="0" collapsed="false">
      <c r="A7889" s="0" t="s">
        <v>12</v>
      </c>
      <c r="B7889" s="0" t="n">
        <v>2229031</v>
      </c>
      <c r="C7889" s="0" t="n">
        <v>2229051</v>
      </c>
      <c r="D7889" s="0" t="s">
        <v>26364</v>
      </c>
      <c r="E7889" s="0" t="s">
        <v>26365</v>
      </c>
      <c r="F7889" s="0" t="s">
        <v>90</v>
      </c>
      <c r="G7889" s="0" t="s">
        <v>36</v>
      </c>
      <c r="H7889" s="0" t="n">
        <v>54</v>
      </c>
      <c r="I7889" s="0" t="s">
        <v>26366</v>
      </c>
      <c r="J7889" s="0" t="s">
        <v>26367</v>
      </c>
      <c r="K7889" s="0" t="s">
        <v>26368</v>
      </c>
      <c r="L7889" s="0" t="str">
        <f aca="false">HYPERLINK("https://www.ncbi.nlm.nih.gov/nuccore/CP000304.1?report=graph&amp;tracks=[key:gene_model_track,Options:GeneOnly]&amp;mk=2229032:2229051|offset_54|00cc00,2229010:2229029|offset_76|444444,2228971:2228990|offset_115|444444,2228927:2228946|offset_159|444444&amp;v=2228831:2229146&amp;c=444444", "offset 54")</f>
        <v>offset 54</v>
      </c>
    </row>
    <row r="7890" customFormat="false" ht="12.8" hidden="false" customHeight="false" outlineLevel="0" collapsed="false">
      <c r="A7890" s="0" t="s">
        <v>12</v>
      </c>
      <c r="B7890" s="0" t="n">
        <v>2229009</v>
      </c>
      <c r="C7890" s="0" t="n">
        <v>2229029</v>
      </c>
      <c r="D7890" s="0" t="s">
        <v>26364</v>
      </c>
      <c r="E7890" s="0" t="s">
        <v>26365</v>
      </c>
      <c r="F7890" s="0" t="s">
        <v>90</v>
      </c>
      <c r="G7890" s="0" t="s">
        <v>32</v>
      </c>
      <c r="H7890" s="0" t="n">
        <v>76</v>
      </c>
      <c r="I7890" s="0" t="s">
        <v>26369</v>
      </c>
      <c r="J7890" s="0" t="s">
        <v>26370</v>
      </c>
      <c r="K7890" s="0" t="s">
        <v>26371</v>
      </c>
      <c r="L7890" s="0" t="str">
        <f aca="false">HYPERLINK("https://www.ncbi.nlm.nih.gov/nuccore/CP000304.1?report=graph&amp;tracks=[key:gene_model_track,Options:GeneOnly]&amp;mk=2229032:2229051|offset_54|444444,2229010:2229029|offset_76|00cc00,2228971:2228990|offset_115|444444,2228927:2228946|offset_159|444444&amp;v=2228831:2229146&amp;c=444444", "offset 76")</f>
        <v>offset 76</v>
      </c>
    </row>
    <row r="7891" customFormat="false" ht="12.8" hidden="false" customHeight="false" outlineLevel="0" collapsed="false">
      <c r="A7891" s="0" t="s">
        <v>12</v>
      </c>
      <c r="B7891" s="0" t="n">
        <v>2228970</v>
      </c>
      <c r="C7891" s="0" t="n">
        <v>2228990</v>
      </c>
      <c r="D7891" s="0" t="s">
        <v>26364</v>
      </c>
      <c r="E7891" s="0" t="s">
        <v>26365</v>
      </c>
      <c r="F7891" s="0" t="s">
        <v>90</v>
      </c>
      <c r="G7891" s="0" t="s">
        <v>32</v>
      </c>
      <c r="H7891" s="0" t="n">
        <v>115</v>
      </c>
      <c r="I7891" s="0" t="s">
        <v>26372</v>
      </c>
      <c r="J7891" s="0" t="s">
        <v>26373</v>
      </c>
      <c r="K7891" s="0" t="s">
        <v>26374</v>
      </c>
      <c r="L7891" s="0" t="str">
        <f aca="false">HYPERLINK("https://www.ncbi.nlm.nih.gov/nuccore/CP000304.1?report=graph&amp;tracks=[key:gene_model_track,Options:GeneOnly]&amp;mk=2229032:2229051|offset_54|444444,2229010:2229029|offset_76|444444,2228971:2228990|offset_115|00cc00,2228927:2228946|offset_159|444444&amp;v=2228831:2229146&amp;c=444444", "offset 115")</f>
        <v>offset 115</v>
      </c>
    </row>
    <row r="7892" customFormat="false" ht="12.8" hidden="false" customHeight="false" outlineLevel="0" collapsed="false">
      <c r="A7892" s="0" t="s">
        <v>12</v>
      </c>
      <c r="B7892" s="0" t="n">
        <v>2228926</v>
      </c>
      <c r="C7892" s="0" t="n">
        <v>2228946</v>
      </c>
      <c r="D7892" s="0" t="s">
        <v>26364</v>
      </c>
      <c r="E7892" s="0" t="s">
        <v>26365</v>
      </c>
      <c r="F7892" s="0" t="s">
        <v>90</v>
      </c>
      <c r="G7892" s="0" t="s">
        <v>16</v>
      </c>
      <c r="H7892" s="0" t="n">
        <v>159</v>
      </c>
      <c r="I7892" s="0" t="s">
        <v>26375</v>
      </c>
      <c r="J7892" s="0" t="s">
        <v>26376</v>
      </c>
      <c r="K7892" s="0" t="s">
        <v>26377</v>
      </c>
      <c r="L7892" s="0" t="str">
        <f aca="false">HYPERLINK("https://www.ncbi.nlm.nih.gov/nuccore/CP000304.1?report=graph&amp;tracks=[key:gene_model_track,Options:GeneOnly]&amp;mk=2229032:2229051|offset_54|444444,2229010:2229029|offset_76|444444,2228971:2228990|offset_115|444444,2228927:2228946|offset_159|00cc00&amp;v=2228831:2229146&amp;c=444444", "offset 159")</f>
        <v>offset 159</v>
      </c>
    </row>
    <row r="7893" customFormat="false" ht="12.8" hidden="false" customHeight="false" outlineLevel="0" collapsed="false">
      <c r="A7893" s="0" t="s">
        <v>12</v>
      </c>
      <c r="B7893" s="0" t="n">
        <v>2229283</v>
      </c>
      <c r="C7893" s="0" t="n">
        <v>2229303</v>
      </c>
      <c r="D7893" s="0" t="s">
        <v>26378</v>
      </c>
      <c r="E7893" s="0" t="s">
        <v>26379</v>
      </c>
      <c r="F7893" s="0" t="s">
        <v>15</v>
      </c>
      <c r="G7893" s="0" t="s">
        <v>32</v>
      </c>
      <c r="H7893" s="0" t="n">
        <v>1</v>
      </c>
      <c r="I7893" s="0" t="s">
        <v>26380</v>
      </c>
      <c r="J7893" s="0" t="s">
        <v>26381</v>
      </c>
      <c r="K7893" s="0" t="s">
        <v>26382</v>
      </c>
      <c r="L7893" s="0" t="str">
        <f aca="false">HYPERLINK("https://www.ncbi.nlm.nih.gov/nuccore/CP000304.1?report=graph&amp;tracks=[key:gene_model_track,Options:GeneOnly]&amp;mk=2229284:2229303|offset_1|00cc00,2229304:2229323|offset_21|444444,2229324:2229343|offset_41|444444,2229345:2229364|offset_62|444444&amp;v=2229083:2229564&amp;c=444444", "offset 1")</f>
        <v>offset 1</v>
      </c>
    </row>
    <row r="7894" customFormat="false" ht="12.8" hidden="false" customHeight="false" outlineLevel="0" collapsed="false">
      <c r="A7894" s="0" t="s">
        <v>12</v>
      </c>
      <c r="B7894" s="0" t="n">
        <v>2229303</v>
      </c>
      <c r="C7894" s="0" t="n">
        <v>2229323</v>
      </c>
      <c r="D7894" s="0" t="s">
        <v>26378</v>
      </c>
      <c r="E7894" s="0" t="s">
        <v>26379</v>
      </c>
      <c r="F7894" s="0" t="s">
        <v>15</v>
      </c>
      <c r="G7894" s="0" t="s">
        <v>36</v>
      </c>
      <c r="H7894" s="0" t="n">
        <v>21</v>
      </c>
      <c r="I7894" s="0" t="s">
        <v>26383</v>
      </c>
      <c r="J7894" s="0" t="s">
        <v>26384</v>
      </c>
      <c r="K7894" s="0" t="s">
        <v>26385</v>
      </c>
      <c r="L7894" s="0" t="str">
        <f aca="false">HYPERLINK("https://www.ncbi.nlm.nih.gov/nuccore/CP000304.1?report=graph&amp;tracks=[key:gene_model_track,Options:GeneOnly]&amp;mk=2229284:2229303|offset_1|444444,2229304:2229323|offset_21|00cc00,2229324:2229343|offset_41|444444,2229345:2229364|offset_62|444444&amp;v=2229083:2229564&amp;c=444444", "offset 21")</f>
        <v>offset 21</v>
      </c>
    </row>
    <row r="7895" customFormat="false" ht="12.8" hidden="false" customHeight="false" outlineLevel="0" collapsed="false">
      <c r="A7895" s="0" t="s">
        <v>12</v>
      </c>
      <c r="B7895" s="0" t="n">
        <v>2229323</v>
      </c>
      <c r="C7895" s="0" t="n">
        <v>2229343</v>
      </c>
      <c r="D7895" s="0" t="s">
        <v>26378</v>
      </c>
      <c r="E7895" s="0" t="s">
        <v>26379</v>
      </c>
      <c r="F7895" s="0" t="s">
        <v>15</v>
      </c>
      <c r="G7895" s="0" t="s">
        <v>16</v>
      </c>
      <c r="H7895" s="0" t="n">
        <v>41</v>
      </c>
      <c r="I7895" s="0" t="s">
        <v>26386</v>
      </c>
      <c r="J7895" s="0" t="s">
        <v>26387</v>
      </c>
      <c r="K7895" s="0" t="s">
        <v>26388</v>
      </c>
      <c r="L7895" s="0" t="str">
        <f aca="false">HYPERLINK("https://www.ncbi.nlm.nih.gov/nuccore/CP000304.1?report=graph&amp;tracks=[key:gene_model_track,Options:GeneOnly]&amp;mk=2229284:2229303|offset_1|444444,2229304:2229323|offset_21|444444,2229324:2229343|offset_41|00cc00,2229345:2229364|offset_62|444444&amp;v=2229083:2229564&amp;c=444444", "offset 41")</f>
        <v>offset 41</v>
      </c>
    </row>
    <row r="7896" customFormat="false" ht="12.8" hidden="false" customHeight="false" outlineLevel="0" collapsed="false">
      <c r="A7896" s="0" t="s">
        <v>12</v>
      </c>
      <c r="B7896" s="0" t="n">
        <v>2229344</v>
      </c>
      <c r="C7896" s="0" t="n">
        <v>2229364</v>
      </c>
      <c r="D7896" s="0" t="s">
        <v>26378</v>
      </c>
      <c r="E7896" s="0" t="s">
        <v>26379</v>
      </c>
      <c r="F7896" s="0" t="s">
        <v>15</v>
      </c>
      <c r="G7896" s="0" t="s">
        <v>26</v>
      </c>
      <c r="H7896" s="0" t="n">
        <v>62</v>
      </c>
      <c r="I7896" s="0" t="s">
        <v>26389</v>
      </c>
      <c r="J7896" s="0" t="s">
        <v>26390</v>
      </c>
      <c r="K7896" s="0" t="s">
        <v>26391</v>
      </c>
      <c r="L7896" s="0" t="str">
        <f aca="false">HYPERLINK("https://www.ncbi.nlm.nih.gov/nuccore/CP000304.1?report=graph&amp;tracks=[key:gene_model_track,Options:GeneOnly]&amp;mk=2229284:2229303|offset_1|444444,2229304:2229323|offset_21|444444,2229324:2229343|offset_41|444444,2229345:2229364|offset_62|00cc00&amp;v=2229083:2229564&amp;c=444444", "offset 62")</f>
        <v>offset 62</v>
      </c>
    </row>
    <row r="7897" customFormat="false" ht="12.8" hidden="false" customHeight="false" outlineLevel="0" collapsed="false">
      <c r="A7897" s="0" t="s">
        <v>12</v>
      </c>
      <c r="B7897" s="0" t="n">
        <v>2231062</v>
      </c>
      <c r="C7897" s="0" t="n">
        <v>2231082</v>
      </c>
      <c r="D7897" s="0" t="s">
        <v>26392</v>
      </c>
      <c r="E7897" s="0" t="s">
        <v>26393</v>
      </c>
      <c r="F7897" s="0" t="s">
        <v>15</v>
      </c>
      <c r="G7897" s="0" t="s">
        <v>32</v>
      </c>
      <c r="H7897" s="0" t="n">
        <v>38</v>
      </c>
      <c r="I7897" s="0" t="s">
        <v>26394</v>
      </c>
      <c r="J7897" s="0" t="s">
        <v>26395</v>
      </c>
      <c r="K7897" s="0" t="s">
        <v>26396</v>
      </c>
      <c r="L7897" s="0" t="str">
        <f aca="false">HYPERLINK("https://www.ncbi.nlm.nih.gov/nuccore/CP000304.1?report=graph&amp;tracks=[key:gene_model_track,Options:GeneOnly]&amp;mk=2231063:2231082|offset_38|00cc00,2231108:2231127|offset_83|444444,2231140:2231159|offset_115|444444,2231183:2231202|offset_158|444444&amp;v=2230862:2231402&amp;c=444444", "offset 38")</f>
        <v>offset 38</v>
      </c>
    </row>
    <row r="7898" customFormat="false" ht="12.8" hidden="false" customHeight="false" outlineLevel="0" collapsed="false">
      <c r="A7898" s="0" t="s">
        <v>12</v>
      </c>
      <c r="B7898" s="0" t="n">
        <v>2231107</v>
      </c>
      <c r="C7898" s="0" t="n">
        <v>2231127</v>
      </c>
      <c r="D7898" s="0" t="s">
        <v>26392</v>
      </c>
      <c r="E7898" s="0" t="s">
        <v>26393</v>
      </c>
      <c r="F7898" s="0" t="s">
        <v>15</v>
      </c>
      <c r="G7898" s="0" t="s">
        <v>16</v>
      </c>
      <c r="H7898" s="0" t="n">
        <v>83</v>
      </c>
      <c r="I7898" s="0" t="s">
        <v>26397</v>
      </c>
      <c r="J7898" s="0" t="s">
        <v>26398</v>
      </c>
      <c r="K7898" s="0" t="s">
        <v>26399</v>
      </c>
      <c r="L7898" s="0" t="str">
        <f aca="false">HYPERLINK("https://www.ncbi.nlm.nih.gov/nuccore/CP000304.1?report=graph&amp;tracks=[key:gene_model_track,Options:GeneOnly]&amp;mk=2231063:2231082|offset_38|444444,2231108:2231127|offset_83|00cc00,2231140:2231159|offset_115|444444,2231183:2231202|offset_158|444444&amp;v=2230862:2231402&amp;c=444444", "offset 83")</f>
        <v>offset 83</v>
      </c>
    </row>
    <row r="7899" customFormat="false" ht="12.8" hidden="false" customHeight="false" outlineLevel="0" collapsed="false">
      <c r="A7899" s="0" t="s">
        <v>12</v>
      </c>
      <c r="B7899" s="0" t="n">
        <v>2231139</v>
      </c>
      <c r="C7899" s="0" t="n">
        <v>2231159</v>
      </c>
      <c r="D7899" s="0" t="s">
        <v>26392</v>
      </c>
      <c r="E7899" s="0" t="s">
        <v>26393</v>
      </c>
      <c r="F7899" s="0" t="s">
        <v>15</v>
      </c>
      <c r="G7899" s="0" t="s">
        <v>26</v>
      </c>
      <c r="H7899" s="0" t="n">
        <v>115</v>
      </c>
      <c r="I7899" s="0" t="s">
        <v>26400</v>
      </c>
      <c r="J7899" s="0" t="s">
        <v>26401</v>
      </c>
      <c r="K7899" s="0" t="s">
        <v>26402</v>
      </c>
      <c r="L7899" s="0" t="str">
        <f aca="false">HYPERLINK("https://www.ncbi.nlm.nih.gov/nuccore/CP000304.1?report=graph&amp;tracks=[key:gene_model_track,Options:GeneOnly]&amp;mk=2231063:2231082|offset_38|444444,2231108:2231127|offset_83|444444,2231140:2231159|offset_115|00cc00,2231183:2231202|offset_158|444444&amp;v=2230862:2231402&amp;c=444444", "offset 115")</f>
        <v>offset 115</v>
      </c>
    </row>
    <row r="7900" customFormat="false" ht="12.8" hidden="false" customHeight="false" outlineLevel="0" collapsed="false">
      <c r="A7900" s="0" t="s">
        <v>12</v>
      </c>
      <c r="B7900" s="0" t="n">
        <v>2231182</v>
      </c>
      <c r="C7900" s="0" t="n">
        <v>2231202</v>
      </c>
      <c r="D7900" s="0" t="s">
        <v>26392</v>
      </c>
      <c r="E7900" s="0" t="s">
        <v>26393</v>
      </c>
      <c r="F7900" s="0" t="s">
        <v>15</v>
      </c>
      <c r="G7900" s="0" t="s">
        <v>16</v>
      </c>
      <c r="H7900" s="0" t="n">
        <v>158</v>
      </c>
      <c r="I7900" s="0" t="s">
        <v>26403</v>
      </c>
      <c r="J7900" s="0" t="s">
        <v>26404</v>
      </c>
      <c r="K7900" s="0" t="s">
        <v>26405</v>
      </c>
      <c r="L7900" s="0" t="str">
        <f aca="false">HYPERLINK("https://www.ncbi.nlm.nih.gov/nuccore/CP000304.1?report=graph&amp;tracks=[key:gene_model_track,Options:GeneOnly]&amp;mk=2231063:2231082|offset_38|444444,2231108:2231127|offset_83|444444,2231140:2231159|offset_115|444444,2231183:2231202|offset_158|00cc00&amp;v=2230862:2231402&amp;c=444444", "offset 158")</f>
        <v>offset 158</v>
      </c>
    </row>
    <row r="7901" customFormat="false" ht="12.8" hidden="false" customHeight="false" outlineLevel="0" collapsed="false">
      <c r="A7901" s="0" t="s">
        <v>12</v>
      </c>
      <c r="B7901" s="0" t="n">
        <v>2233220</v>
      </c>
      <c r="C7901" s="0" t="n">
        <v>2233240</v>
      </c>
      <c r="D7901" s="0" t="s">
        <v>26406</v>
      </c>
      <c r="E7901" s="0" t="s">
        <v>26407</v>
      </c>
      <c r="F7901" s="0" t="s">
        <v>90</v>
      </c>
      <c r="G7901" s="0" t="s">
        <v>16</v>
      </c>
      <c r="H7901" s="0" t="n">
        <v>7</v>
      </c>
      <c r="I7901" s="0" t="s">
        <v>26408</v>
      </c>
      <c r="J7901" s="0" t="s">
        <v>26409</v>
      </c>
      <c r="K7901" s="0" t="s">
        <v>26410</v>
      </c>
      <c r="L7901" s="0" t="str">
        <f aca="false">HYPERLINK("https://www.ncbi.nlm.nih.gov/nuccore/CP000304.1?report=graph&amp;tracks=[key:gene_model_track,Options:GeneOnly]&amp;mk=2233221:2233240|offset_7|00cc00,2233188:2233207|offset_40|444444,2233155:2233174|offset_73|444444,2233133:2233152|offset_95|444444&amp;v=2233020:2233352&amp;c=444444", "offset 7")</f>
        <v>offset 7</v>
      </c>
    </row>
    <row r="7902" customFormat="false" ht="12.8" hidden="false" customHeight="false" outlineLevel="0" collapsed="false">
      <c r="A7902" s="0" t="s">
        <v>12</v>
      </c>
      <c r="B7902" s="0" t="n">
        <v>2233187</v>
      </c>
      <c r="C7902" s="0" t="n">
        <v>2233207</v>
      </c>
      <c r="D7902" s="0" t="s">
        <v>26406</v>
      </c>
      <c r="E7902" s="0" t="s">
        <v>26407</v>
      </c>
      <c r="F7902" s="0" t="s">
        <v>90</v>
      </c>
      <c r="G7902" s="0" t="s">
        <v>32</v>
      </c>
      <c r="H7902" s="0" t="n">
        <v>40</v>
      </c>
      <c r="I7902" s="0" t="s">
        <v>26411</v>
      </c>
      <c r="J7902" s="0" t="s">
        <v>26412</v>
      </c>
      <c r="K7902" s="0" t="s">
        <v>26413</v>
      </c>
      <c r="L7902" s="0" t="str">
        <f aca="false">HYPERLINK("https://www.ncbi.nlm.nih.gov/nuccore/CP000304.1?report=graph&amp;tracks=[key:gene_model_track,Options:GeneOnly]&amp;mk=2233221:2233240|offset_7|444444,2233188:2233207|offset_40|00cc00,2233155:2233174|offset_73|444444,2233133:2233152|offset_95|444444&amp;v=2233020:2233352&amp;c=444444", "offset 40")</f>
        <v>offset 40</v>
      </c>
    </row>
    <row r="7903" customFormat="false" ht="12.8" hidden="false" customHeight="false" outlineLevel="0" collapsed="false">
      <c r="A7903" s="0" t="s">
        <v>12</v>
      </c>
      <c r="B7903" s="0" t="n">
        <v>2233154</v>
      </c>
      <c r="C7903" s="0" t="n">
        <v>2233174</v>
      </c>
      <c r="D7903" s="0" t="s">
        <v>26406</v>
      </c>
      <c r="E7903" s="0" t="s">
        <v>26407</v>
      </c>
      <c r="F7903" s="0" t="s">
        <v>90</v>
      </c>
      <c r="G7903" s="0" t="s">
        <v>16</v>
      </c>
      <c r="H7903" s="0" t="n">
        <v>73</v>
      </c>
      <c r="I7903" s="0" t="s">
        <v>26414</v>
      </c>
      <c r="J7903" s="0" t="s">
        <v>26415</v>
      </c>
      <c r="K7903" s="0" t="s">
        <v>26416</v>
      </c>
      <c r="L7903" s="0" t="str">
        <f aca="false">HYPERLINK("https://www.ncbi.nlm.nih.gov/nuccore/CP000304.1?report=graph&amp;tracks=[key:gene_model_track,Options:GeneOnly]&amp;mk=2233221:2233240|offset_7|444444,2233188:2233207|offset_40|444444,2233155:2233174|offset_73|00cc00,2233133:2233152|offset_95|444444&amp;v=2233020:2233352&amp;c=444444", "offset 73")</f>
        <v>offset 73</v>
      </c>
    </row>
    <row r="7904" customFormat="false" ht="12.8" hidden="false" customHeight="false" outlineLevel="0" collapsed="false">
      <c r="A7904" s="0" t="s">
        <v>12</v>
      </c>
      <c r="B7904" s="0" t="n">
        <v>2233132</v>
      </c>
      <c r="C7904" s="0" t="n">
        <v>2233152</v>
      </c>
      <c r="D7904" s="0" t="s">
        <v>26406</v>
      </c>
      <c r="E7904" s="0" t="s">
        <v>26407</v>
      </c>
      <c r="F7904" s="0" t="s">
        <v>90</v>
      </c>
      <c r="G7904" s="0" t="s">
        <v>16</v>
      </c>
      <c r="H7904" s="0" t="n">
        <v>95</v>
      </c>
      <c r="I7904" s="0" t="s">
        <v>26417</v>
      </c>
      <c r="J7904" s="0" t="s">
        <v>26418</v>
      </c>
      <c r="K7904" s="0" t="s">
        <v>26419</v>
      </c>
      <c r="L7904" s="0" t="str">
        <f aca="false">HYPERLINK("https://www.ncbi.nlm.nih.gov/nuccore/CP000304.1?report=graph&amp;tracks=[key:gene_model_track,Options:GeneOnly]&amp;mk=2233221:2233240|offset_7|444444,2233188:2233207|offset_40|444444,2233155:2233174|offset_73|444444,2233133:2233152|offset_95|00cc00&amp;v=2233020:2233352&amp;c=444444", "offset 95")</f>
        <v>offset 95</v>
      </c>
    </row>
    <row r="7905" customFormat="false" ht="12.8" hidden="false" customHeight="false" outlineLevel="0" collapsed="false">
      <c r="A7905" s="0" t="s">
        <v>12</v>
      </c>
      <c r="B7905" s="0" t="n">
        <v>2234148</v>
      </c>
      <c r="C7905" s="0" t="n">
        <v>2234168</v>
      </c>
      <c r="D7905" s="0" t="s">
        <v>26420</v>
      </c>
      <c r="E7905" s="0" t="s">
        <v>89</v>
      </c>
      <c r="F7905" s="0" t="s">
        <v>15</v>
      </c>
      <c r="G7905" s="0" t="s">
        <v>32</v>
      </c>
      <c r="H7905" s="0" t="n">
        <v>53</v>
      </c>
      <c r="I7905" s="0" t="s">
        <v>26421</v>
      </c>
      <c r="J7905" s="0" t="s">
        <v>26422</v>
      </c>
      <c r="K7905" s="0" t="s">
        <v>26423</v>
      </c>
      <c r="L7905" s="0" t="str">
        <f aca="false">HYPERLINK("https://www.ncbi.nlm.nih.gov/nuccore/CP000304.1?report=graph&amp;tracks=[key:gene_model_track,Options:GeneOnly]&amp;mk=2234149:2234168|offset_53|00cc00,2234172:2234191|offset_76|444444,2234201:2234220|offset_105|444444,2234247:2234266|offset_151|444444&amp;v=2233948:2234466&amp;c=444444", "offset 53")</f>
        <v>offset 53</v>
      </c>
    </row>
    <row r="7906" customFormat="false" ht="12.8" hidden="false" customHeight="false" outlineLevel="0" collapsed="false">
      <c r="A7906" s="0" t="s">
        <v>12</v>
      </c>
      <c r="B7906" s="0" t="n">
        <v>2234171</v>
      </c>
      <c r="C7906" s="0" t="n">
        <v>2234191</v>
      </c>
      <c r="D7906" s="0" t="s">
        <v>26420</v>
      </c>
      <c r="E7906" s="0" t="s">
        <v>89</v>
      </c>
      <c r="F7906" s="0" t="s">
        <v>15</v>
      </c>
      <c r="G7906" s="0" t="s">
        <v>16</v>
      </c>
      <c r="H7906" s="0" t="n">
        <v>76</v>
      </c>
      <c r="I7906" s="0" t="s">
        <v>26424</v>
      </c>
      <c r="J7906" s="0" t="s">
        <v>26425</v>
      </c>
      <c r="K7906" s="0" t="s">
        <v>26426</v>
      </c>
      <c r="L7906" s="0" t="str">
        <f aca="false">HYPERLINK("https://www.ncbi.nlm.nih.gov/nuccore/CP000304.1?report=graph&amp;tracks=[key:gene_model_track,Options:GeneOnly]&amp;mk=2234149:2234168|offset_53|444444,2234172:2234191|offset_76|00cc00,2234201:2234220|offset_105|444444,2234247:2234266|offset_151|444444&amp;v=2233948:2234466&amp;c=444444", "offset 76")</f>
        <v>offset 76</v>
      </c>
    </row>
    <row r="7907" customFormat="false" ht="12.8" hidden="false" customHeight="false" outlineLevel="0" collapsed="false">
      <c r="A7907" s="0" t="s">
        <v>12</v>
      </c>
      <c r="B7907" s="0" t="n">
        <v>2234200</v>
      </c>
      <c r="C7907" s="0" t="n">
        <v>2234220</v>
      </c>
      <c r="D7907" s="0" t="s">
        <v>26420</v>
      </c>
      <c r="E7907" s="0" t="s">
        <v>89</v>
      </c>
      <c r="F7907" s="0" t="s">
        <v>15</v>
      </c>
      <c r="G7907" s="0" t="s">
        <v>26</v>
      </c>
      <c r="H7907" s="0" t="n">
        <v>105</v>
      </c>
      <c r="I7907" s="0" t="s">
        <v>26427</v>
      </c>
      <c r="J7907" s="0" t="s">
        <v>26428</v>
      </c>
      <c r="K7907" s="0" t="s">
        <v>26429</v>
      </c>
      <c r="L7907" s="0" t="str">
        <f aca="false">HYPERLINK("https://www.ncbi.nlm.nih.gov/nuccore/CP000304.1?report=graph&amp;tracks=[key:gene_model_track,Options:GeneOnly]&amp;mk=2234149:2234168|offset_53|444444,2234172:2234191|offset_76|444444,2234201:2234220|offset_105|00cc00,2234247:2234266|offset_151|444444&amp;v=2233948:2234466&amp;c=444444", "offset 105")</f>
        <v>offset 105</v>
      </c>
    </row>
    <row r="7908" customFormat="false" ht="12.8" hidden="false" customHeight="false" outlineLevel="0" collapsed="false">
      <c r="A7908" s="0" t="s">
        <v>12</v>
      </c>
      <c r="B7908" s="0" t="n">
        <v>2234246</v>
      </c>
      <c r="C7908" s="0" t="n">
        <v>2234266</v>
      </c>
      <c r="D7908" s="0" t="s">
        <v>26420</v>
      </c>
      <c r="E7908" s="0" t="s">
        <v>89</v>
      </c>
      <c r="F7908" s="0" t="s">
        <v>15</v>
      </c>
      <c r="G7908" s="0" t="s">
        <v>16</v>
      </c>
      <c r="H7908" s="0" t="n">
        <v>151</v>
      </c>
      <c r="I7908" s="0" t="s">
        <v>26430</v>
      </c>
      <c r="J7908" s="0" t="s">
        <v>26431</v>
      </c>
      <c r="K7908" s="0" t="s">
        <v>26432</v>
      </c>
      <c r="L7908" s="0" t="str">
        <f aca="false">HYPERLINK("https://www.ncbi.nlm.nih.gov/nuccore/CP000304.1?report=graph&amp;tracks=[key:gene_model_track,Options:GeneOnly]&amp;mk=2234149:2234168|offset_53|444444,2234172:2234191|offset_76|444444,2234201:2234220|offset_105|444444,2234247:2234266|offset_151|00cc00&amp;v=2233948:2234466&amp;c=444444", "offset 151")</f>
        <v>offset 151</v>
      </c>
    </row>
    <row r="7909" customFormat="false" ht="12.8" hidden="false" customHeight="false" outlineLevel="0" collapsed="false">
      <c r="A7909" s="0" t="s">
        <v>12</v>
      </c>
      <c r="B7909" s="0" t="n">
        <v>2234830</v>
      </c>
      <c r="C7909" s="0" t="n">
        <v>2234850</v>
      </c>
      <c r="D7909" s="0" t="s">
        <v>26433</v>
      </c>
      <c r="E7909" s="0" t="s">
        <v>89</v>
      </c>
      <c r="F7909" s="0" t="s">
        <v>15</v>
      </c>
      <c r="G7909" s="0" t="s">
        <v>32</v>
      </c>
      <c r="H7909" s="0" t="n">
        <v>19</v>
      </c>
      <c r="I7909" s="0" t="s">
        <v>26434</v>
      </c>
      <c r="J7909" s="0" t="s">
        <v>26435</v>
      </c>
      <c r="K7909" s="0" t="s">
        <v>26436</v>
      </c>
      <c r="L7909" s="0" t="str">
        <f aca="false">HYPERLINK("https://www.ncbi.nlm.nih.gov/nuccore/CP000304.1?report=graph&amp;tracks=[key:gene_model_track,Options:GeneOnly]&amp;mk=2234831:2234850|offset_19|00cc00,2234852:2234871|offset_40|444444,2234882:2234901|offset_70|444444,2234913:2234932|offset_101|444444&amp;v=2234630:2235132&amp;c=444444", "offset 19")</f>
        <v>offset 19</v>
      </c>
    </row>
    <row r="7910" customFormat="false" ht="12.8" hidden="false" customHeight="false" outlineLevel="0" collapsed="false">
      <c r="A7910" s="0" t="s">
        <v>12</v>
      </c>
      <c r="B7910" s="0" t="n">
        <v>2234851</v>
      </c>
      <c r="C7910" s="0" t="n">
        <v>2234871</v>
      </c>
      <c r="D7910" s="0" t="s">
        <v>26433</v>
      </c>
      <c r="E7910" s="0" t="s">
        <v>89</v>
      </c>
      <c r="F7910" s="0" t="s">
        <v>15</v>
      </c>
      <c r="G7910" s="0" t="s">
        <v>16</v>
      </c>
      <c r="H7910" s="0" t="n">
        <v>40</v>
      </c>
      <c r="I7910" s="0" t="s">
        <v>26437</v>
      </c>
      <c r="J7910" s="0" t="s">
        <v>26438</v>
      </c>
      <c r="K7910" s="0" t="s">
        <v>26439</v>
      </c>
      <c r="L7910" s="0" t="str">
        <f aca="false">HYPERLINK("https://www.ncbi.nlm.nih.gov/nuccore/CP000304.1?report=graph&amp;tracks=[key:gene_model_track,Options:GeneOnly]&amp;mk=2234831:2234850|offset_19|444444,2234852:2234871|offset_40|00cc00,2234882:2234901|offset_70|444444,2234913:2234932|offset_101|444444&amp;v=2234630:2235132&amp;c=444444", "offset 40")</f>
        <v>offset 40</v>
      </c>
    </row>
    <row r="7911" customFormat="false" ht="12.8" hidden="false" customHeight="false" outlineLevel="0" collapsed="false">
      <c r="A7911" s="0" t="s">
        <v>12</v>
      </c>
      <c r="B7911" s="0" t="n">
        <v>2234881</v>
      </c>
      <c r="C7911" s="0" t="n">
        <v>2234901</v>
      </c>
      <c r="D7911" s="0" t="s">
        <v>26433</v>
      </c>
      <c r="E7911" s="0" t="s">
        <v>89</v>
      </c>
      <c r="F7911" s="0" t="s">
        <v>15</v>
      </c>
      <c r="G7911" s="0" t="s">
        <v>32</v>
      </c>
      <c r="H7911" s="0" t="n">
        <v>70</v>
      </c>
      <c r="I7911" s="0" t="s">
        <v>26440</v>
      </c>
      <c r="J7911" s="0" t="s">
        <v>26441</v>
      </c>
      <c r="K7911" s="0" t="s">
        <v>26442</v>
      </c>
      <c r="L7911" s="0" t="str">
        <f aca="false">HYPERLINK("https://www.ncbi.nlm.nih.gov/nuccore/CP000304.1?report=graph&amp;tracks=[key:gene_model_track,Options:GeneOnly]&amp;mk=2234831:2234850|offset_19|444444,2234852:2234871|offset_40|444444,2234882:2234901|offset_70|00cc00,2234913:2234932|offset_101|444444&amp;v=2234630:2235132&amp;c=444444", "offset 70")</f>
        <v>offset 70</v>
      </c>
    </row>
    <row r="7912" customFormat="false" ht="12.8" hidden="false" customHeight="false" outlineLevel="0" collapsed="false">
      <c r="A7912" s="0" t="s">
        <v>12</v>
      </c>
      <c r="B7912" s="0" t="n">
        <v>2234912</v>
      </c>
      <c r="C7912" s="0" t="n">
        <v>2234932</v>
      </c>
      <c r="D7912" s="0" t="s">
        <v>26433</v>
      </c>
      <c r="E7912" s="0" t="s">
        <v>89</v>
      </c>
      <c r="F7912" s="0" t="s">
        <v>15</v>
      </c>
      <c r="G7912" s="0" t="s">
        <v>36</v>
      </c>
      <c r="H7912" s="0" t="n">
        <v>101</v>
      </c>
      <c r="I7912" s="0" t="s">
        <v>26443</v>
      </c>
      <c r="J7912" s="0" t="s">
        <v>26444</v>
      </c>
      <c r="K7912" s="0" t="s">
        <v>26445</v>
      </c>
      <c r="L7912" s="0" t="str">
        <f aca="false">HYPERLINK("https://www.ncbi.nlm.nih.gov/nuccore/CP000304.1?report=graph&amp;tracks=[key:gene_model_track,Options:GeneOnly]&amp;mk=2234831:2234850|offset_19|444444,2234852:2234871|offset_40|444444,2234882:2234901|offset_70|444444,2234913:2234932|offset_101|00cc00&amp;v=2234630:2235132&amp;c=444444", "offset 101")</f>
        <v>offset 101</v>
      </c>
    </row>
    <row r="7913" customFormat="false" ht="12.8" hidden="false" customHeight="false" outlineLevel="0" collapsed="false">
      <c r="A7913" s="0" t="s">
        <v>12</v>
      </c>
      <c r="B7913" s="0" t="n">
        <v>2235746</v>
      </c>
      <c r="C7913" s="0" t="n">
        <v>2235766</v>
      </c>
      <c r="D7913" s="0" t="s">
        <v>26446</v>
      </c>
      <c r="E7913" s="0" t="s">
        <v>26447</v>
      </c>
      <c r="F7913" s="0" t="s">
        <v>15</v>
      </c>
      <c r="G7913" s="0" t="s">
        <v>32</v>
      </c>
      <c r="H7913" s="0" t="n">
        <v>1</v>
      </c>
      <c r="I7913" s="0" t="s">
        <v>26448</v>
      </c>
      <c r="J7913" s="0" t="s">
        <v>26449</v>
      </c>
      <c r="K7913" s="0" t="s">
        <v>26450</v>
      </c>
      <c r="L7913" s="0" t="str">
        <f aca="false">HYPERLINK("https://www.ncbi.nlm.nih.gov/nuccore/CP000304.1?report=graph&amp;tracks=[key:gene_model_track,Options:GeneOnly]&amp;mk=2235747:2235766|offset_1|00cc00,2235771:2235790|offset_25|444444,2235795:2235814|offset_49|444444,2235825:2235844|offset_79|444444&amp;v=2235546:2236044&amp;c=444444", "offset 1")</f>
        <v>offset 1</v>
      </c>
    </row>
    <row r="7914" customFormat="false" ht="12.8" hidden="false" customHeight="false" outlineLevel="0" collapsed="false">
      <c r="A7914" s="0" t="s">
        <v>12</v>
      </c>
      <c r="B7914" s="0" t="n">
        <v>2235770</v>
      </c>
      <c r="C7914" s="0" t="n">
        <v>2235790</v>
      </c>
      <c r="D7914" s="0" t="s">
        <v>26446</v>
      </c>
      <c r="E7914" s="0" t="s">
        <v>26447</v>
      </c>
      <c r="F7914" s="0" t="s">
        <v>15</v>
      </c>
      <c r="G7914" s="0" t="s">
        <v>26</v>
      </c>
      <c r="H7914" s="0" t="n">
        <v>25</v>
      </c>
      <c r="I7914" s="0" t="s">
        <v>26451</v>
      </c>
      <c r="J7914" s="0" t="s">
        <v>26452</v>
      </c>
      <c r="K7914" s="0" t="s">
        <v>26453</v>
      </c>
      <c r="L7914" s="0" t="str">
        <f aca="false">HYPERLINK("https://www.ncbi.nlm.nih.gov/nuccore/CP000304.1?report=graph&amp;tracks=[key:gene_model_track,Options:GeneOnly]&amp;mk=2235747:2235766|offset_1|444444,2235771:2235790|offset_25|00cc00,2235795:2235814|offset_49|444444,2235825:2235844|offset_79|444444&amp;v=2235546:2236044&amp;c=444444", "offset 25")</f>
        <v>offset 25</v>
      </c>
    </row>
    <row r="7915" customFormat="false" ht="12.8" hidden="false" customHeight="false" outlineLevel="0" collapsed="false">
      <c r="A7915" s="0" t="s">
        <v>12</v>
      </c>
      <c r="B7915" s="0" t="n">
        <v>2235794</v>
      </c>
      <c r="C7915" s="0" t="n">
        <v>2235814</v>
      </c>
      <c r="D7915" s="0" t="s">
        <v>26446</v>
      </c>
      <c r="E7915" s="0" t="s">
        <v>26447</v>
      </c>
      <c r="F7915" s="0" t="s">
        <v>15</v>
      </c>
      <c r="G7915" s="0" t="s">
        <v>32</v>
      </c>
      <c r="H7915" s="0" t="n">
        <v>49</v>
      </c>
      <c r="I7915" s="0" t="s">
        <v>26454</v>
      </c>
      <c r="J7915" s="0" t="s">
        <v>26455</v>
      </c>
      <c r="K7915" s="0" t="s">
        <v>26456</v>
      </c>
      <c r="L7915" s="0" t="str">
        <f aca="false">HYPERLINK("https://www.ncbi.nlm.nih.gov/nuccore/CP000304.1?report=graph&amp;tracks=[key:gene_model_track,Options:GeneOnly]&amp;mk=2235747:2235766|offset_1|444444,2235771:2235790|offset_25|444444,2235795:2235814|offset_49|00cc00,2235825:2235844|offset_79|444444&amp;v=2235546:2236044&amp;c=444444", "offset 49")</f>
        <v>offset 49</v>
      </c>
    </row>
    <row r="7916" customFormat="false" ht="12.8" hidden="false" customHeight="false" outlineLevel="0" collapsed="false">
      <c r="A7916" s="0" t="s">
        <v>12</v>
      </c>
      <c r="B7916" s="0" t="n">
        <v>2235824</v>
      </c>
      <c r="C7916" s="0" t="n">
        <v>2235844</v>
      </c>
      <c r="D7916" s="0" t="s">
        <v>26446</v>
      </c>
      <c r="E7916" s="0" t="s">
        <v>26447</v>
      </c>
      <c r="F7916" s="0" t="s">
        <v>15</v>
      </c>
      <c r="G7916" s="0" t="s">
        <v>16</v>
      </c>
      <c r="H7916" s="0" t="n">
        <v>79</v>
      </c>
      <c r="I7916" s="0" t="s">
        <v>26457</v>
      </c>
      <c r="J7916" s="0" t="s">
        <v>26458</v>
      </c>
      <c r="K7916" s="0" t="s">
        <v>26459</v>
      </c>
      <c r="L7916" s="0" t="str">
        <f aca="false">HYPERLINK("https://www.ncbi.nlm.nih.gov/nuccore/CP000304.1?report=graph&amp;tracks=[key:gene_model_track,Options:GeneOnly]&amp;mk=2235747:2235766|offset_1|444444,2235771:2235790|offset_25|444444,2235795:2235814|offset_49|444444,2235825:2235844|offset_79|00cc00&amp;v=2235546:2236044&amp;c=444444", "offset 79")</f>
        <v>offset 79</v>
      </c>
    </row>
    <row r="7917" customFormat="false" ht="12.8" hidden="false" customHeight="false" outlineLevel="0" collapsed="false">
      <c r="A7917" s="0" t="s">
        <v>12</v>
      </c>
      <c r="B7917" s="0" t="n">
        <v>2237175</v>
      </c>
      <c r="C7917" s="0" t="n">
        <v>2237195</v>
      </c>
      <c r="D7917" s="0" t="s">
        <v>26460</v>
      </c>
      <c r="E7917" s="0" t="s">
        <v>26461</v>
      </c>
      <c r="F7917" s="0" t="s">
        <v>15</v>
      </c>
      <c r="G7917" s="0" t="s">
        <v>16</v>
      </c>
      <c r="H7917" s="0" t="n">
        <v>12</v>
      </c>
      <c r="I7917" s="0" t="s">
        <v>26462</v>
      </c>
      <c r="J7917" s="0" t="s">
        <v>26463</v>
      </c>
      <c r="K7917" s="0" t="s">
        <v>26464</v>
      </c>
      <c r="L7917" s="0" t="str">
        <f aca="false">HYPERLINK("https://www.ncbi.nlm.nih.gov/nuccore/CP000304.1?report=graph&amp;tracks=[key:gene_model_track,Options:GeneOnly]&amp;mk=2237176:2237195|offset_12|00cc00,2237199:2237218|offset_35|444444,2237225:2237244|offset_61|444444,2237262:2237281|offset_98|444444&amp;v=2236975:2237481&amp;c=444444", "offset 12")</f>
        <v>offset 12</v>
      </c>
    </row>
    <row r="7918" customFormat="false" ht="12.8" hidden="false" customHeight="false" outlineLevel="0" collapsed="false">
      <c r="A7918" s="0" t="s">
        <v>12</v>
      </c>
      <c r="B7918" s="0" t="n">
        <v>2237198</v>
      </c>
      <c r="C7918" s="0" t="n">
        <v>2237218</v>
      </c>
      <c r="D7918" s="0" t="s">
        <v>26460</v>
      </c>
      <c r="E7918" s="0" t="s">
        <v>26461</v>
      </c>
      <c r="F7918" s="0" t="s">
        <v>15</v>
      </c>
      <c r="G7918" s="0" t="s">
        <v>26</v>
      </c>
      <c r="H7918" s="0" t="n">
        <v>35</v>
      </c>
      <c r="I7918" s="0" t="s">
        <v>26465</v>
      </c>
      <c r="J7918" s="0" t="s">
        <v>26466</v>
      </c>
      <c r="K7918" s="0" t="s">
        <v>26467</v>
      </c>
      <c r="L7918" s="0" t="str">
        <f aca="false">HYPERLINK("https://www.ncbi.nlm.nih.gov/nuccore/CP000304.1?report=graph&amp;tracks=[key:gene_model_track,Options:GeneOnly]&amp;mk=2237176:2237195|offset_12|444444,2237199:2237218|offset_35|00cc00,2237225:2237244|offset_61|444444,2237262:2237281|offset_98|444444&amp;v=2236975:2237481&amp;c=444444", "offset 35")</f>
        <v>offset 35</v>
      </c>
    </row>
    <row r="7919" customFormat="false" ht="12.8" hidden="false" customHeight="false" outlineLevel="0" collapsed="false">
      <c r="A7919" s="0" t="s">
        <v>12</v>
      </c>
      <c r="B7919" s="0" t="n">
        <v>2237224</v>
      </c>
      <c r="C7919" s="0" t="n">
        <v>2237244</v>
      </c>
      <c r="D7919" s="0" t="s">
        <v>26460</v>
      </c>
      <c r="E7919" s="0" t="s">
        <v>26461</v>
      </c>
      <c r="F7919" s="0" t="s">
        <v>15</v>
      </c>
      <c r="G7919" s="0" t="s">
        <v>16</v>
      </c>
      <c r="H7919" s="0" t="n">
        <v>61</v>
      </c>
      <c r="I7919" s="0" t="s">
        <v>26468</v>
      </c>
      <c r="J7919" s="0" t="s">
        <v>26469</v>
      </c>
      <c r="K7919" s="0" t="s">
        <v>26470</v>
      </c>
      <c r="L7919" s="0" t="str">
        <f aca="false">HYPERLINK("https://www.ncbi.nlm.nih.gov/nuccore/CP000304.1?report=graph&amp;tracks=[key:gene_model_track,Options:GeneOnly]&amp;mk=2237176:2237195|offset_12|444444,2237199:2237218|offset_35|444444,2237225:2237244|offset_61|00cc00,2237262:2237281|offset_98|444444&amp;v=2236975:2237481&amp;c=444444", "offset 61")</f>
        <v>offset 61</v>
      </c>
    </row>
    <row r="7920" customFormat="false" ht="12.8" hidden="false" customHeight="false" outlineLevel="0" collapsed="false">
      <c r="A7920" s="0" t="s">
        <v>12</v>
      </c>
      <c r="B7920" s="0" t="n">
        <v>2237261</v>
      </c>
      <c r="C7920" s="0" t="n">
        <v>2237281</v>
      </c>
      <c r="D7920" s="0" t="s">
        <v>26460</v>
      </c>
      <c r="E7920" s="0" t="s">
        <v>26461</v>
      </c>
      <c r="F7920" s="0" t="s">
        <v>15</v>
      </c>
      <c r="G7920" s="0" t="s">
        <v>26</v>
      </c>
      <c r="H7920" s="0" t="n">
        <v>98</v>
      </c>
      <c r="I7920" s="0" t="s">
        <v>26471</v>
      </c>
      <c r="J7920" s="0" t="s">
        <v>26472</v>
      </c>
      <c r="K7920" s="0" t="s">
        <v>26473</v>
      </c>
      <c r="L7920" s="0" t="str">
        <f aca="false">HYPERLINK("https://www.ncbi.nlm.nih.gov/nuccore/CP000304.1?report=graph&amp;tracks=[key:gene_model_track,Options:GeneOnly]&amp;mk=2237176:2237195|offset_12|444444,2237199:2237218|offset_35|444444,2237225:2237244|offset_61|444444,2237262:2237281|offset_98|00cc00&amp;v=2236975:2237481&amp;c=444444", "offset 98")</f>
        <v>offset 98</v>
      </c>
    </row>
    <row r="7921" customFormat="false" ht="12.8" hidden="false" customHeight="false" outlineLevel="0" collapsed="false">
      <c r="A7921" s="0" t="s">
        <v>12</v>
      </c>
      <c r="B7921" s="0" t="n">
        <v>2237842</v>
      </c>
      <c r="C7921" s="0" t="n">
        <v>2237862</v>
      </c>
      <c r="D7921" s="0" t="s">
        <v>26474</v>
      </c>
      <c r="E7921" s="0" t="s">
        <v>26475</v>
      </c>
      <c r="F7921" s="0" t="s">
        <v>15</v>
      </c>
      <c r="G7921" s="0" t="s">
        <v>26</v>
      </c>
      <c r="H7921" s="0" t="n">
        <v>6</v>
      </c>
      <c r="I7921" s="0" t="s">
        <v>26476</v>
      </c>
      <c r="J7921" s="0" t="s">
        <v>26477</v>
      </c>
      <c r="K7921" s="0" t="s">
        <v>26478</v>
      </c>
      <c r="L7921" s="0" t="str">
        <f aca="false">HYPERLINK("https://www.ncbi.nlm.nih.gov/nuccore/CP000304.1?report=graph&amp;tracks=[key:gene_model_track,Options:GeneOnly]&amp;mk=2237843:2237862|offset_6|00cc00,2237863:2237882|offset_26|444444,2237895:2237914|offset_58|444444,2237950:2237969|offset_113|444444&amp;v=2237642:2238169&amp;c=444444", "offset 6")</f>
        <v>offset 6</v>
      </c>
    </row>
    <row r="7922" customFormat="false" ht="12.8" hidden="false" customHeight="false" outlineLevel="0" collapsed="false">
      <c r="A7922" s="0" t="s">
        <v>12</v>
      </c>
      <c r="B7922" s="0" t="n">
        <v>2237862</v>
      </c>
      <c r="C7922" s="0" t="n">
        <v>2237882</v>
      </c>
      <c r="D7922" s="0" t="s">
        <v>26474</v>
      </c>
      <c r="E7922" s="0" t="s">
        <v>26475</v>
      </c>
      <c r="F7922" s="0" t="s">
        <v>15</v>
      </c>
      <c r="G7922" s="0" t="s">
        <v>26</v>
      </c>
      <c r="H7922" s="0" t="n">
        <v>26</v>
      </c>
      <c r="I7922" s="0" t="s">
        <v>26479</v>
      </c>
      <c r="J7922" s="0" t="s">
        <v>26480</v>
      </c>
      <c r="K7922" s="0" t="s">
        <v>26481</v>
      </c>
      <c r="L7922" s="0" t="str">
        <f aca="false">HYPERLINK("https://www.ncbi.nlm.nih.gov/nuccore/CP000304.1?report=graph&amp;tracks=[key:gene_model_track,Options:GeneOnly]&amp;mk=2237843:2237862|offset_6|444444,2237863:2237882|offset_26|00cc00,2237895:2237914|offset_58|444444,2237950:2237969|offset_113|444444&amp;v=2237642:2238169&amp;c=444444", "offset 26")</f>
        <v>offset 26</v>
      </c>
    </row>
    <row r="7923" customFormat="false" ht="12.8" hidden="false" customHeight="false" outlineLevel="0" collapsed="false">
      <c r="A7923" s="0" t="s">
        <v>12</v>
      </c>
      <c r="B7923" s="0" t="n">
        <v>2237894</v>
      </c>
      <c r="C7923" s="0" t="n">
        <v>2237914</v>
      </c>
      <c r="D7923" s="0" t="s">
        <v>26474</v>
      </c>
      <c r="E7923" s="0" t="s">
        <v>26475</v>
      </c>
      <c r="F7923" s="0" t="s">
        <v>15</v>
      </c>
      <c r="G7923" s="0" t="s">
        <v>36</v>
      </c>
      <c r="H7923" s="0" t="n">
        <v>58</v>
      </c>
      <c r="I7923" s="0" t="s">
        <v>26482</v>
      </c>
      <c r="J7923" s="0" t="s">
        <v>26483</v>
      </c>
      <c r="K7923" s="0" t="s">
        <v>26484</v>
      </c>
      <c r="L7923" s="0" t="str">
        <f aca="false">HYPERLINK("https://www.ncbi.nlm.nih.gov/nuccore/CP000304.1?report=graph&amp;tracks=[key:gene_model_track,Options:GeneOnly]&amp;mk=2237843:2237862|offset_6|444444,2237863:2237882|offset_26|444444,2237895:2237914|offset_58|00cc00,2237950:2237969|offset_113|444444&amp;v=2237642:2238169&amp;c=444444", "offset 58")</f>
        <v>offset 58</v>
      </c>
    </row>
    <row r="7924" customFormat="false" ht="12.8" hidden="false" customHeight="false" outlineLevel="0" collapsed="false">
      <c r="A7924" s="0" t="s">
        <v>12</v>
      </c>
      <c r="B7924" s="0" t="n">
        <v>2237949</v>
      </c>
      <c r="C7924" s="0" t="n">
        <v>2237969</v>
      </c>
      <c r="D7924" s="0" t="s">
        <v>26474</v>
      </c>
      <c r="E7924" s="0" t="s">
        <v>26475</v>
      </c>
      <c r="F7924" s="0" t="s">
        <v>15</v>
      </c>
      <c r="G7924" s="0" t="s">
        <v>32</v>
      </c>
      <c r="H7924" s="0" t="n">
        <v>113</v>
      </c>
      <c r="I7924" s="0" t="s">
        <v>26485</v>
      </c>
      <c r="J7924" s="0" t="s">
        <v>26486</v>
      </c>
      <c r="K7924" s="0" t="s">
        <v>26487</v>
      </c>
      <c r="L7924" s="0" t="str">
        <f aca="false">HYPERLINK("https://www.ncbi.nlm.nih.gov/nuccore/CP000304.1?report=graph&amp;tracks=[key:gene_model_track,Options:GeneOnly]&amp;mk=2237843:2237862|offset_6|444444,2237863:2237882|offset_26|444444,2237895:2237914|offset_58|444444,2237950:2237969|offset_113|00cc00&amp;v=2237642:2238169&amp;c=444444", "offset 113")</f>
        <v>offset 113</v>
      </c>
    </row>
    <row r="7925" customFormat="false" ht="12.8" hidden="false" customHeight="false" outlineLevel="0" collapsed="false">
      <c r="A7925" s="0" t="s">
        <v>12</v>
      </c>
      <c r="B7925" s="0" t="n">
        <v>2239307</v>
      </c>
      <c r="C7925" s="0" t="n">
        <v>2239327</v>
      </c>
      <c r="D7925" s="0" t="s">
        <v>26488</v>
      </c>
      <c r="E7925" s="0" t="s">
        <v>26489</v>
      </c>
      <c r="F7925" s="0" t="s">
        <v>15</v>
      </c>
      <c r="G7925" s="0" t="s">
        <v>32</v>
      </c>
      <c r="H7925" s="0" t="n">
        <v>13</v>
      </c>
      <c r="I7925" s="0" t="s">
        <v>26490</v>
      </c>
      <c r="J7925" s="0" t="s">
        <v>26491</v>
      </c>
      <c r="K7925" s="0" t="s">
        <v>26492</v>
      </c>
      <c r="L7925" s="0" t="str">
        <f aca="false">HYPERLINK("https://www.ncbi.nlm.nih.gov/nuccore/CP000304.1?report=graph&amp;tracks=[key:gene_model_track,Options:GeneOnly]&amp;mk=2239308:2239327|offset_13|00cc00,2239328:2239347|offset_33|444444,2239351:2239370|offset_56|444444,2239381:2239400|offset_86|444444&amp;v=2239107:2239600&amp;c=444444", "offset 13")</f>
        <v>offset 13</v>
      </c>
    </row>
    <row r="7926" customFormat="false" ht="12.8" hidden="false" customHeight="false" outlineLevel="0" collapsed="false">
      <c r="A7926" s="0" t="s">
        <v>12</v>
      </c>
      <c r="B7926" s="0" t="n">
        <v>2239327</v>
      </c>
      <c r="C7926" s="0" t="n">
        <v>2239347</v>
      </c>
      <c r="D7926" s="0" t="s">
        <v>26488</v>
      </c>
      <c r="E7926" s="0" t="s">
        <v>26489</v>
      </c>
      <c r="F7926" s="0" t="s">
        <v>15</v>
      </c>
      <c r="G7926" s="0" t="s">
        <v>16</v>
      </c>
      <c r="H7926" s="0" t="n">
        <v>33</v>
      </c>
      <c r="I7926" s="0" t="s">
        <v>26493</v>
      </c>
      <c r="J7926" s="0" t="s">
        <v>26494</v>
      </c>
      <c r="K7926" s="0" t="s">
        <v>26495</v>
      </c>
      <c r="L7926" s="0" t="str">
        <f aca="false">HYPERLINK("https://www.ncbi.nlm.nih.gov/nuccore/CP000304.1?report=graph&amp;tracks=[key:gene_model_track,Options:GeneOnly]&amp;mk=2239308:2239327|offset_13|444444,2239328:2239347|offset_33|00cc00,2239351:2239370|offset_56|444444,2239381:2239400|offset_86|444444&amp;v=2239107:2239600&amp;c=444444", "offset 33")</f>
        <v>offset 33</v>
      </c>
    </row>
    <row r="7927" customFormat="false" ht="12.8" hidden="false" customHeight="false" outlineLevel="0" collapsed="false">
      <c r="A7927" s="0" t="s">
        <v>12</v>
      </c>
      <c r="B7927" s="0" t="n">
        <v>2239350</v>
      </c>
      <c r="C7927" s="0" t="n">
        <v>2239370</v>
      </c>
      <c r="D7927" s="0" t="s">
        <v>26488</v>
      </c>
      <c r="E7927" s="0" t="s">
        <v>26489</v>
      </c>
      <c r="F7927" s="0" t="s">
        <v>15</v>
      </c>
      <c r="G7927" s="0" t="s">
        <v>36</v>
      </c>
      <c r="H7927" s="0" t="n">
        <v>56</v>
      </c>
      <c r="I7927" s="0" t="s">
        <v>26496</v>
      </c>
      <c r="J7927" s="0" t="s">
        <v>26497</v>
      </c>
      <c r="K7927" s="0" t="s">
        <v>26498</v>
      </c>
      <c r="L7927" s="0" t="str">
        <f aca="false">HYPERLINK("https://www.ncbi.nlm.nih.gov/nuccore/CP000304.1?report=graph&amp;tracks=[key:gene_model_track,Options:GeneOnly]&amp;mk=2239308:2239327|offset_13|444444,2239328:2239347|offset_33|444444,2239351:2239370|offset_56|00cc00,2239381:2239400|offset_86|444444&amp;v=2239107:2239600&amp;c=444444", "offset 56")</f>
        <v>offset 56</v>
      </c>
    </row>
    <row r="7928" customFormat="false" ht="12.8" hidden="false" customHeight="false" outlineLevel="0" collapsed="false">
      <c r="A7928" s="0" t="s">
        <v>12</v>
      </c>
      <c r="B7928" s="0" t="n">
        <v>2239380</v>
      </c>
      <c r="C7928" s="0" t="n">
        <v>2239400</v>
      </c>
      <c r="D7928" s="0" t="s">
        <v>26488</v>
      </c>
      <c r="E7928" s="0" t="s">
        <v>26489</v>
      </c>
      <c r="F7928" s="0" t="s">
        <v>15</v>
      </c>
      <c r="G7928" s="0" t="s">
        <v>16</v>
      </c>
      <c r="H7928" s="0" t="n">
        <v>86</v>
      </c>
      <c r="I7928" s="0" t="s">
        <v>26499</v>
      </c>
      <c r="J7928" s="0" t="s">
        <v>26500</v>
      </c>
      <c r="K7928" s="0" t="s">
        <v>26501</v>
      </c>
      <c r="L7928" s="0" t="str">
        <f aca="false">HYPERLINK("https://www.ncbi.nlm.nih.gov/nuccore/CP000304.1?report=graph&amp;tracks=[key:gene_model_track,Options:GeneOnly]&amp;mk=2239308:2239327|offset_13|444444,2239328:2239347|offset_33|444444,2239351:2239370|offset_56|444444,2239381:2239400|offset_86|00cc00&amp;v=2239107:2239600&amp;c=444444", "offset 86")</f>
        <v>offset 86</v>
      </c>
    </row>
    <row r="7929" customFormat="false" ht="12.8" hidden="false" customHeight="false" outlineLevel="0" collapsed="false">
      <c r="A7929" s="0" t="s">
        <v>12</v>
      </c>
      <c r="B7929" s="0" t="n">
        <v>2241849</v>
      </c>
      <c r="C7929" s="0" t="n">
        <v>2241869</v>
      </c>
      <c r="D7929" s="0" t="s">
        <v>26502</v>
      </c>
      <c r="E7929" s="0" t="s">
        <v>26503</v>
      </c>
      <c r="F7929" s="0" t="s">
        <v>15</v>
      </c>
      <c r="G7929" s="0" t="s">
        <v>32</v>
      </c>
      <c r="H7929" s="0" t="n">
        <v>28</v>
      </c>
      <c r="I7929" s="0" t="s">
        <v>26504</v>
      </c>
      <c r="J7929" s="0" t="s">
        <v>26505</v>
      </c>
      <c r="K7929" s="0" t="s">
        <v>26506</v>
      </c>
      <c r="L7929" s="0" t="str">
        <f aca="false">HYPERLINK("https://www.ncbi.nlm.nih.gov/nuccore/CP000304.1?report=graph&amp;tracks=[key:gene_model_track,Options:GeneOnly]&amp;mk=2241850:2241869|offset_28|00cc00,2241872:2241891|offset_50|444444,2241916:2241935|offset_94|444444,2241946:2241965|offset_124|444444&amp;v=2241649:2242165&amp;c=444444", "offset 28")</f>
        <v>offset 28</v>
      </c>
    </row>
    <row r="7930" customFormat="false" ht="12.8" hidden="false" customHeight="false" outlineLevel="0" collapsed="false">
      <c r="A7930" s="0" t="s">
        <v>12</v>
      </c>
      <c r="B7930" s="0" t="n">
        <v>2241871</v>
      </c>
      <c r="C7930" s="0" t="n">
        <v>2241891</v>
      </c>
      <c r="D7930" s="0" t="s">
        <v>26502</v>
      </c>
      <c r="E7930" s="0" t="s">
        <v>26503</v>
      </c>
      <c r="F7930" s="0" t="s">
        <v>15</v>
      </c>
      <c r="G7930" s="0" t="s">
        <v>36</v>
      </c>
      <c r="H7930" s="0" t="n">
        <v>50</v>
      </c>
      <c r="I7930" s="0" t="s">
        <v>26507</v>
      </c>
      <c r="J7930" s="0" t="s">
        <v>26508</v>
      </c>
      <c r="K7930" s="0" t="s">
        <v>26509</v>
      </c>
      <c r="L7930" s="0" t="str">
        <f aca="false">HYPERLINK("https://www.ncbi.nlm.nih.gov/nuccore/CP000304.1?report=graph&amp;tracks=[key:gene_model_track,Options:GeneOnly]&amp;mk=2241850:2241869|offset_28|444444,2241872:2241891|offset_50|00cc00,2241916:2241935|offset_94|444444,2241946:2241965|offset_124|444444&amp;v=2241649:2242165&amp;c=444444", "offset 50")</f>
        <v>offset 50</v>
      </c>
    </row>
    <row r="7931" customFormat="false" ht="12.8" hidden="false" customHeight="false" outlineLevel="0" collapsed="false">
      <c r="A7931" s="0" t="s">
        <v>12</v>
      </c>
      <c r="B7931" s="0" t="n">
        <v>2241915</v>
      </c>
      <c r="C7931" s="0" t="n">
        <v>2241935</v>
      </c>
      <c r="D7931" s="0" t="s">
        <v>26502</v>
      </c>
      <c r="E7931" s="0" t="s">
        <v>26503</v>
      </c>
      <c r="F7931" s="0" t="s">
        <v>15</v>
      </c>
      <c r="G7931" s="0" t="s">
        <v>16</v>
      </c>
      <c r="H7931" s="0" t="n">
        <v>94</v>
      </c>
      <c r="I7931" s="0" t="s">
        <v>26510</v>
      </c>
      <c r="J7931" s="0" t="s">
        <v>26511</v>
      </c>
      <c r="K7931" s="0" t="s">
        <v>26512</v>
      </c>
      <c r="L7931" s="0" t="str">
        <f aca="false">HYPERLINK("https://www.ncbi.nlm.nih.gov/nuccore/CP000304.1?report=graph&amp;tracks=[key:gene_model_track,Options:GeneOnly]&amp;mk=2241850:2241869|offset_28|444444,2241872:2241891|offset_50|444444,2241916:2241935|offset_94|00cc00,2241946:2241965|offset_124|444444&amp;v=2241649:2242165&amp;c=444444", "offset 94")</f>
        <v>offset 94</v>
      </c>
    </row>
    <row r="7932" customFormat="false" ht="12.8" hidden="false" customHeight="false" outlineLevel="0" collapsed="false">
      <c r="A7932" s="0" t="s">
        <v>12</v>
      </c>
      <c r="B7932" s="0" t="n">
        <v>2241945</v>
      </c>
      <c r="C7932" s="0" t="n">
        <v>2241965</v>
      </c>
      <c r="D7932" s="0" t="s">
        <v>26502</v>
      </c>
      <c r="E7932" s="0" t="s">
        <v>26503</v>
      </c>
      <c r="F7932" s="0" t="s">
        <v>15</v>
      </c>
      <c r="G7932" s="0" t="s">
        <v>16</v>
      </c>
      <c r="H7932" s="0" t="n">
        <v>124</v>
      </c>
      <c r="I7932" s="0" t="s">
        <v>26513</v>
      </c>
      <c r="J7932" s="0" t="s">
        <v>26514</v>
      </c>
      <c r="K7932" s="0" t="s">
        <v>26515</v>
      </c>
      <c r="L7932" s="0" t="str">
        <f aca="false">HYPERLINK("https://www.ncbi.nlm.nih.gov/nuccore/CP000304.1?report=graph&amp;tracks=[key:gene_model_track,Options:GeneOnly]&amp;mk=2241850:2241869|offset_28|444444,2241872:2241891|offset_50|444444,2241916:2241935|offset_94|444444,2241946:2241965|offset_124|00cc00&amp;v=2241649:2242165&amp;c=444444", "offset 124")</f>
        <v>offset 124</v>
      </c>
    </row>
    <row r="7933" customFormat="false" ht="12.8" hidden="false" customHeight="false" outlineLevel="0" collapsed="false">
      <c r="A7933" s="0" t="s">
        <v>12</v>
      </c>
      <c r="B7933" s="0" t="n">
        <v>2242342</v>
      </c>
      <c r="C7933" s="0" t="n">
        <v>2242362</v>
      </c>
      <c r="D7933" s="0" t="s">
        <v>26516</v>
      </c>
      <c r="E7933" s="0" t="s">
        <v>26517</v>
      </c>
      <c r="F7933" s="0" t="s">
        <v>15</v>
      </c>
      <c r="G7933" s="0" t="s">
        <v>32</v>
      </c>
      <c r="H7933" s="0" t="n">
        <v>43</v>
      </c>
      <c r="I7933" s="0" t="s">
        <v>26518</v>
      </c>
      <c r="J7933" s="0" t="s">
        <v>26519</v>
      </c>
      <c r="K7933" s="0" t="s">
        <v>26520</v>
      </c>
      <c r="L7933" s="0" t="str">
        <f aca="false">HYPERLINK("https://www.ncbi.nlm.nih.gov/nuccore/CP000304.1?report=graph&amp;tracks=[key:gene_model_track,Options:GeneOnly]&amp;mk=2242343:2242362|offset_43|00cc00,2242379:2242398|offset_79|444444,2242409:2242428|offset_109|444444,2242457:2242476|offset_157|444444&amp;v=2242142:2242676&amp;c=444444", "offset 43")</f>
        <v>offset 43</v>
      </c>
    </row>
    <row r="7934" customFormat="false" ht="12.8" hidden="false" customHeight="false" outlineLevel="0" collapsed="false">
      <c r="A7934" s="0" t="s">
        <v>12</v>
      </c>
      <c r="B7934" s="0" t="n">
        <v>2242378</v>
      </c>
      <c r="C7934" s="0" t="n">
        <v>2242398</v>
      </c>
      <c r="D7934" s="0" t="s">
        <v>26516</v>
      </c>
      <c r="E7934" s="0" t="s">
        <v>26517</v>
      </c>
      <c r="F7934" s="0" t="s">
        <v>15</v>
      </c>
      <c r="G7934" s="0" t="s">
        <v>26</v>
      </c>
      <c r="H7934" s="0" t="n">
        <v>79</v>
      </c>
      <c r="I7934" s="0" t="s">
        <v>26521</v>
      </c>
      <c r="J7934" s="0" t="s">
        <v>26522</v>
      </c>
      <c r="K7934" s="0" t="s">
        <v>26523</v>
      </c>
      <c r="L7934" s="0" t="str">
        <f aca="false">HYPERLINK("https://www.ncbi.nlm.nih.gov/nuccore/CP000304.1?report=graph&amp;tracks=[key:gene_model_track,Options:GeneOnly]&amp;mk=2242343:2242362|offset_43|444444,2242379:2242398|offset_79|00cc00,2242409:2242428|offset_109|444444,2242457:2242476|offset_157|444444&amp;v=2242142:2242676&amp;c=444444", "offset 79")</f>
        <v>offset 79</v>
      </c>
    </row>
    <row r="7935" customFormat="false" ht="12.8" hidden="false" customHeight="false" outlineLevel="0" collapsed="false">
      <c r="A7935" s="0" t="s">
        <v>12</v>
      </c>
      <c r="B7935" s="0" t="n">
        <v>2242408</v>
      </c>
      <c r="C7935" s="0" t="n">
        <v>2242428</v>
      </c>
      <c r="D7935" s="0" t="s">
        <v>26516</v>
      </c>
      <c r="E7935" s="0" t="s">
        <v>26517</v>
      </c>
      <c r="F7935" s="0" t="s">
        <v>15</v>
      </c>
      <c r="G7935" s="0" t="s">
        <v>16</v>
      </c>
      <c r="H7935" s="0" t="n">
        <v>109</v>
      </c>
      <c r="I7935" s="0" t="s">
        <v>26524</v>
      </c>
      <c r="J7935" s="0" t="s">
        <v>26525</v>
      </c>
      <c r="K7935" s="0" t="s">
        <v>26526</v>
      </c>
      <c r="L7935" s="0" t="str">
        <f aca="false">HYPERLINK("https://www.ncbi.nlm.nih.gov/nuccore/CP000304.1?report=graph&amp;tracks=[key:gene_model_track,Options:GeneOnly]&amp;mk=2242343:2242362|offset_43|444444,2242379:2242398|offset_79|444444,2242409:2242428|offset_109|00cc00,2242457:2242476|offset_157|444444&amp;v=2242142:2242676&amp;c=444444", "offset 109")</f>
        <v>offset 109</v>
      </c>
    </row>
    <row r="7936" customFormat="false" ht="12.8" hidden="false" customHeight="false" outlineLevel="0" collapsed="false">
      <c r="A7936" s="0" t="s">
        <v>12</v>
      </c>
      <c r="B7936" s="0" t="n">
        <v>2242456</v>
      </c>
      <c r="C7936" s="0" t="n">
        <v>2242476</v>
      </c>
      <c r="D7936" s="0" t="s">
        <v>26516</v>
      </c>
      <c r="E7936" s="0" t="s">
        <v>26517</v>
      </c>
      <c r="F7936" s="0" t="s">
        <v>15</v>
      </c>
      <c r="G7936" s="0" t="s">
        <v>36</v>
      </c>
      <c r="H7936" s="0" t="n">
        <v>157</v>
      </c>
      <c r="I7936" s="0" t="s">
        <v>26527</v>
      </c>
      <c r="J7936" s="0" t="s">
        <v>26528</v>
      </c>
      <c r="K7936" s="0" t="s">
        <v>26529</v>
      </c>
      <c r="L7936" s="0" t="str">
        <f aca="false">HYPERLINK("https://www.ncbi.nlm.nih.gov/nuccore/CP000304.1?report=graph&amp;tracks=[key:gene_model_track,Options:GeneOnly]&amp;mk=2242343:2242362|offset_43|444444,2242379:2242398|offset_79|444444,2242409:2242428|offset_109|444444,2242457:2242476|offset_157|00cc00&amp;v=2242142:2242676&amp;c=444444", "offset 157")</f>
        <v>offset 157</v>
      </c>
    </row>
    <row r="7937" customFormat="false" ht="12.8" hidden="false" customHeight="false" outlineLevel="0" collapsed="false">
      <c r="A7937" s="0" t="s">
        <v>12</v>
      </c>
      <c r="B7937" s="0" t="n">
        <v>2245662</v>
      </c>
      <c r="C7937" s="0" t="n">
        <v>2245682</v>
      </c>
      <c r="D7937" s="0" t="s">
        <v>26530</v>
      </c>
      <c r="E7937" s="0" t="s">
        <v>89</v>
      </c>
      <c r="F7937" s="0" t="s">
        <v>90</v>
      </c>
      <c r="G7937" s="0" t="s">
        <v>16</v>
      </c>
      <c r="H7937" s="0" t="n">
        <v>28</v>
      </c>
      <c r="I7937" s="0" t="s">
        <v>26531</v>
      </c>
      <c r="J7937" s="0" t="s">
        <v>26532</v>
      </c>
      <c r="K7937" s="0" t="s">
        <v>26533</v>
      </c>
      <c r="L7937" s="0" t="str">
        <f aca="false">HYPERLINK("https://www.ncbi.nlm.nih.gov/nuccore/CP000304.1?report=graph&amp;tracks=[key:gene_model_track,Options:GeneOnly]&amp;mk=2245663:2245682|offset_28|00cc00,2245638:2245657|offset_53|444444,2245602:2245621|offset_89|444444,2245573:2245592|offset_118|444444&amp;v=2245462:2245792&amp;c=444444", "offset 28")</f>
        <v>offset 28</v>
      </c>
    </row>
    <row r="7938" customFormat="false" ht="12.8" hidden="false" customHeight="false" outlineLevel="0" collapsed="false">
      <c r="A7938" s="0" t="s">
        <v>12</v>
      </c>
      <c r="B7938" s="0" t="n">
        <v>2245637</v>
      </c>
      <c r="C7938" s="0" t="n">
        <v>2245657</v>
      </c>
      <c r="D7938" s="0" t="s">
        <v>26530</v>
      </c>
      <c r="E7938" s="0" t="s">
        <v>89</v>
      </c>
      <c r="F7938" s="0" t="s">
        <v>90</v>
      </c>
      <c r="G7938" s="0" t="s">
        <v>36</v>
      </c>
      <c r="H7938" s="0" t="n">
        <v>53</v>
      </c>
      <c r="I7938" s="0" t="s">
        <v>26534</v>
      </c>
      <c r="J7938" s="0" t="s">
        <v>26535</v>
      </c>
      <c r="K7938" s="0" t="s">
        <v>26536</v>
      </c>
      <c r="L7938" s="0" t="str">
        <f aca="false">HYPERLINK("https://www.ncbi.nlm.nih.gov/nuccore/CP000304.1?report=graph&amp;tracks=[key:gene_model_track,Options:GeneOnly]&amp;mk=2245663:2245682|offset_28|444444,2245638:2245657|offset_53|00cc00,2245602:2245621|offset_89|444444,2245573:2245592|offset_118|444444&amp;v=2245462:2245792&amp;c=444444", "offset 53")</f>
        <v>offset 53</v>
      </c>
    </row>
    <row r="7939" customFormat="false" ht="12.8" hidden="false" customHeight="false" outlineLevel="0" collapsed="false">
      <c r="A7939" s="0" t="s">
        <v>12</v>
      </c>
      <c r="B7939" s="0" t="n">
        <v>2245601</v>
      </c>
      <c r="C7939" s="0" t="n">
        <v>2245621</v>
      </c>
      <c r="D7939" s="0" t="s">
        <v>26530</v>
      </c>
      <c r="E7939" s="0" t="s">
        <v>89</v>
      </c>
      <c r="F7939" s="0" t="s">
        <v>90</v>
      </c>
      <c r="G7939" s="0" t="s">
        <v>16</v>
      </c>
      <c r="H7939" s="0" t="n">
        <v>89</v>
      </c>
      <c r="I7939" s="0" t="s">
        <v>26537</v>
      </c>
      <c r="J7939" s="0" t="s">
        <v>26538</v>
      </c>
      <c r="K7939" s="0" t="s">
        <v>26539</v>
      </c>
      <c r="L7939" s="0" t="str">
        <f aca="false">HYPERLINK("https://www.ncbi.nlm.nih.gov/nuccore/CP000304.1?report=graph&amp;tracks=[key:gene_model_track,Options:GeneOnly]&amp;mk=2245663:2245682|offset_28|444444,2245638:2245657|offset_53|444444,2245602:2245621|offset_89|00cc00,2245573:2245592|offset_118|444444&amp;v=2245462:2245792&amp;c=444444", "offset 89")</f>
        <v>offset 89</v>
      </c>
    </row>
    <row r="7940" customFormat="false" ht="12.8" hidden="false" customHeight="false" outlineLevel="0" collapsed="false">
      <c r="A7940" s="0" t="s">
        <v>12</v>
      </c>
      <c r="B7940" s="0" t="n">
        <v>2245572</v>
      </c>
      <c r="C7940" s="0" t="n">
        <v>2245592</v>
      </c>
      <c r="D7940" s="0" t="s">
        <v>26530</v>
      </c>
      <c r="E7940" s="0" t="s">
        <v>89</v>
      </c>
      <c r="F7940" s="0" t="s">
        <v>90</v>
      </c>
      <c r="G7940" s="0" t="s">
        <v>16</v>
      </c>
      <c r="H7940" s="0" t="n">
        <v>118</v>
      </c>
      <c r="I7940" s="0" t="s">
        <v>26540</v>
      </c>
      <c r="J7940" s="0" t="s">
        <v>26541</v>
      </c>
      <c r="K7940" s="0" t="s">
        <v>26542</v>
      </c>
      <c r="L7940" s="0" t="str">
        <f aca="false">HYPERLINK("https://www.ncbi.nlm.nih.gov/nuccore/CP000304.1?report=graph&amp;tracks=[key:gene_model_track,Options:GeneOnly]&amp;mk=2245663:2245682|offset_28|444444,2245638:2245657|offset_53|444444,2245602:2245621|offset_89|444444,2245573:2245592|offset_118|00cc00&amp;v=2245462:2245792&amp;c=444444", "offset 118")</f>
        <v>offset 118</v>
      </c>
    </row>
    <row r="7941" customFormat="false" ht="12.8" hidden="false" customHeight="false" outlineLevel="0" collapsed="false">
      <c r="A7941" s="0" t="s">
        <v>12</v>
      </c>
      <c r="B7941" s="0" t="n">
        <v>2246162</v>
      </c>
      <c r="C7941" s="0" t="n">
        <v>2246182</v>
      </c>
      <c r="D7941" s="0" t="s">
        <v>26543</v>
      </c>
      <c r="E7941" s="0" t="s">
        <v>89</v>
      </c>
      <c r="F7941" s="0" t="s">
        <v>90</v>
      </c>
      <c r="G7941" s="0" t="s">
        <v>36</v>
      </c>
      <c r="H7941" s="0" t="n">
        <v>12</v>
      </c>
      <c r="I7941" s="0" t="s">
        <v>26544</v>
      </c>
      <c r="J7941" s="0" t="s">
        <v>26545</v>
      </c>
      <c r="K7941" s="0" t="s">
        <v>26546</v>
      </c>
      <c r="L7941" s="0" t="str">
        <f aca="false">HYPERLINK("https://www.ncbi.nlm.nih.gov/nuccore/CP000304.1?report=graph&amp;tracks=[key:gene_model_track,Options:GeneOnly]&amp;mk=2246163:2246182|offset_12|00cc00,2246104:2246123|offset_71|444444,2246083:2246102|offset_92|444444,2246039:2246058|offset_136|444444&amp;v=2245962:2246258&amp;c=444444", "offset 12")</f>
        <v>offset 12</v>
      </c>
    </row>
    <row r="7942" customFormat="false" ht="12.8" hidden="false" customHeight="false" outlineLevel="0" collapsed="false">
      <c r="A7942" s="0" t="s">
        <v>12</v>
      </c>
      <c r="B7942" s="0" t="n">
        <v>2246103</v>
      </c>
      <c r="C7942" s="0" t="n">
        <v>2246123</v>
      </c>
      <c r="D7942" s="0" t="s">
        <v>26543</v>
      </c>
      <c r="E7942" s="0" t="s">
        <v>89</v>
      </c>
      <c r="F7942" s="0" t="s">
        <v>90</v>
      </c>
      <c r="G7942" s="0" t="s">
        <v>32</v>
      </c>
      <c r="H7942" s="0" t="n">
        <v>71</v>
      </c>
      <c r="I7942" s="0" t="s">
        <v>26547</v>
      </c>
      <c r="J7942" s="0" t="s">
        <v>26548</v>
      </c>
      <c r="K7942" s="0" t="s">
        <v>26549</v>
      </c>
      <c r="L7942" s="0" t="str">
        <f aca="false">HYPERLINK("https://www.ncbi.nlm.nih.gov/nuccore/CP000304.1?report=graph&amp;tracks=[key:gene_model_track,Options:GeneOnly]&amp;mk=2246163:2246182|offset_12|444444,2246104:2246123|offset_71|00cc00,2246083:2246102|offset_92|444444,2246039:2246058|offset_136|444444&amp;v=2245962:2246258&amp;c=444444", "offset 71")</f>
        <v>offset 71</v>
      </c>
    </row>
    <row r="7943" customFormat="false" ht="12.8" hidden="false" customHeight="false" outlineLevel="0" collapsed="false">
      <c r="A7943" s="0" t="s">
        <v>12</v>
      </c>
      <c r="B7943" s="0" t="n">
        <v>2246082</v>
      </c>
      <c r="C7943" s="0" t="n">
        <v>2246102</v>
      </c>
      <c r="D7943" s="0" t="s">
        <v>26543</v>
      </c>
      <c r="E7943" s="0" t="s">
        <v>89</v>
      </c>
      <c r="F7943" s="0" t="s">
        <v>90</v>
      </c>
      <c r="G7943" s="0" t="s">
        <v>32</v>
      </c>
      <c r="H7943" s="0" t="n">
        <v>92</v>
      </c>
      <c r="I7943" s="0" t="s">
        <v>26550</v>
      </c>
      <c r="J7943" s="0" t="s">
        <v>26551</v>
      </c>
      <c r="K7943" s="0" t="s">
        <v>26552</v>
      </c>
      <c r="L7943" s="0" t="str">
        <f aca="false">HYPERLINK("https://www.ncbi.nlm.nih.gov/nuccore/CP000304.1?report=graph&amp;tracks=[key:gene_model_track,Options:GeneOnly]&amp;mk=2246163:2246182|offset_12|444444,2246104:2246123|offset_71|444444,2246083:2246102|offset_92|00cc00,2246039:2246058|offset_136|444444&amp;v=2245962:2246258&amp;c=444444", "offset 92")</f>
        <v>offset 92</v>
      </c>
    </row>
    <row r="7944" customFormat="false" ht="12.8" hidden="false" customHeight="false" outlineLevel="0" collapsed="false">
      <c r="A7944" s="0" t="s">
        <v>12</v>
      </c>
      <c r="B7944" s="0" t="n">
        <v>2246038</v>
      </c>
      <c r="C7944" s="0" t="n">
        <v>2246058</v>
      </c>
      <c r="D7944" s="0" t="s">
        <v>26543</v>
      </c>
      <c r="E7944" s="0" t="s">
        <v>89</v>
      </c>
      <c r="F7944" s="0" t="s">
        <v>90</v>
      </c>
      <c r="G7944" s="0" t="s">
        <v>16</v>
      </c>
      <c r="H7944" s="0" t="n">
        <v>136</v>
      </c>
      <c r="I7944" s="0" t="s">
        <v>26553</v>
      </c>
      <c r="J7944" s="0" t="s">
        <v>26554</v>
      </c>
      <c r="K7944" s="0" t="s">
        <v>26555</v>
      </c>
      <c r="L7944" s="0" t="str">
        <f aca="false">HYPERLINK("https://www.ncbi.nlm.nih.gov/nuccore/CP000304.1?report=graph&amp;tracks=[key:gene_model_track,Options:GeneOnly]&amp;mk=2246163:2246182|offset_12|444444,2246104:2246123|offset_71|444444,2246083:2246102|offset_92|444444,2246039:2246058|offset_136|00cc00&amp;v=2245962:2246258&amp;c=444444", "offset 136")</f>
        <v>offset 136</v>
      </c>
    </row>
    <row r="7945" customFormat="false" ht="12.8" hidden="false" customHeight="false" outlineLevel="0" collapsed="false">
      <c r="A7945" s="0" t="s">
        <v>12</v>
      </c>
      <c r="B7945" s="0" t="n">
        <v>2247356</v>
      </c>
      <c r="C7945" s="0" t="n">
        <v>2247376</v>
      </c>
      <c r="D7945" s="0" t="s">
        <v>26556</v>
      </c>
      <c r="E7945" s="0" t="s">
        <v>89</v>
      </c>
      <c r="F7945" s="0" t="s">
        <v>90</v>
      </c>
      <c r="G7945" s="0" t="s">
        <v>36</v>
      </c>
      <c r="H7945" s="0" t="n">
        <v>47</v>
      </c>
      <c r="I7945" s="0" t="s">
        <v>26557</v>
      </c>
      <c r="J7945" s="0" t="s">
        <v>26558</v>
      </c>
      <c r="K7945" s="0" t="s">
        <v>26559</v>
      </c>
      <c r="L7945" s="0" t="str">
        <f aca="false">HYPERLINK("https://www.ncbi.nlm.nih.gov/nuccore/CP000304.1?report=graph&amp;tracks=[key:gene_model_track,Options:GeneOnly]&amp;mk=2247357:2247376|offset_47|00cc00,2247321:2247340|offset_83|444444,2247293:2247312|offset_111|444444,2247273:2247292|offset_131|444444&amp;v=2247156:2247492&amp;c=444444", "offset 47")</f>
        <v>offset 47</v>
      </c>
    </row>
    <row r="7946" customFormat="false" ht="12.8" hidden="false" customHeight="false" outlineLevel="0" collapsed="false">
      <c r="A7946" s="0" t="s">
        <v>12</v>
      </c>
      <c r="B7946" s="0" t="n">
        <v>2247320</v>
      </c>
      <c r="C7946" s="0" t="n">
        <v>2247340</v>
      </c>
      <c r="D7946" s="0" t="s">
        <v>26556</v>
      </c>
      <c r="E7946" s="0" t="s">
        <v>89</v>
      </c>
      <c r="F7946" s="0" t="s">
        <v>90</v>
      </c>
      <c r="G7946" s="0" t="s">
        <v>36</v>
      </c>
      <c r="H7946" s="0" t="n">
        <v>83</v>
      </c>
      <c r="I7946" s="0" t="s">
        <v>26560</v>
      </c>
      <c r="J7946" s="0" t="s">
        <v>26561</v>
      </c>
      <c r="K7946" s="0" t="s">
        <v>26562</v>
      </c>
      <c r="L7946" s="0" t="str">
        <f aca="false">HYPERLINK("https://www.ncbi.nlm.nih.gov/nuccore/CP000304.1?report=graph&amp;tracks=[key:gene_model_track,Options:GeneOnly]&amp;mk=2247357:2247376|offset_47|444444,2247321:2247340|offset_83|00cc00,2247293:2247312|offset_111|444444,2247273:2247292|offset_131|444444&amp;v=2247156:2247492&amp;c=444444", "offset 83")</f>
        <v>offset 83</v>
      </c>
    </row>
    <row r="7947" customFormat="false" ht="12.8" hidden="false" customHeight="false" outlineLevel="0" collapsed="false">
      <c r="A7947" s="0" t="s">
        <v>12</v>
      </c>
      <c r="B7947" s="0" t="n">
        <v>2247292</v>
      </c>
      <c r="C7947" s="0" t="n">
        <v>2247312</v>
      </c>
      <c r="D7947" s="0" t="s">
        <v>26556</v>
      </c>
      <c r="E7947" s="0" t="s">
        <v>89</v>
      </c>
      <c r="F7947" s="0" t="s">
        <v>90</v>
      </c>
      <c r="G7947" s="0" t="s">
        <v>32</v>
      </c>
      <c r="H7947" s="0" t="n">
        <v>111</v>
      </c>
      <c r="I7947" s="0" t="s">
        <v>26563</v>
      </c>
      <c r="J7947" s="0" t="s">
        <v>26564</v>
      </c>
      <c r="K7947" s="0" t="s">
        <v>26565</v>
      </c>
      <c r="L7947" s="0" t="str">
        <f aca="false">HYPERLINK("https://www.ncbi.nlm.nih.gov/nuccore/CP000304.1?report=graph&amp;tracks=[key:gene_model_track,Options:GeneOnly]&amp;mk=2247357:2247376|offset_47|444444,2247321:2247340|offset_83|444444,2247293:2247312|offset_111|00cc00,2247273:2247292|offset_131|444444&amp;v=2247156:2247492&amp;c=444444", "offset 111")</f>
        <v>offset 111</v>
      </c>
    </row>
    <row r="7948" customFormat="false" ht="12.8" hidden="false" customHeight="false" outlineLevel="0" collapsed="false">
      <c r="A7948" s="0" t="s">
        <v>12</v>
      </c>
      <c r="B7948" s="0" t="n">
        <v>2247272</v>
      </c>
      <c r="C7948" s="0" t="n">
        <v>2247292</v>
      </c>
      <c r="D7948" s="0" t="s">
        <v>26556</v>
      </c>
      <c r="E7948" s="0" t="s">
        <v>89</v>
      </c>
      <c r="F7948" s="0" t="s">
        <v>90</v>
      </c>
      <c r="G7948" s="0" t="s">
        <v>16</v>
      </c>
      <c r="H7948" s="0" t="n">
        <v>131</v>
      </c>
      <c r="I7948" s="0" t="s">
        <v>26566</v>
      </c>
      <c r="J7948" s="0" t="s">
        <v>26567</v>
      </c>
      <c r="K7948" s="0" t="s">
        <v>26568</v>
      </c>
      <c r="L7948" s="0" t="str">
        <f aca="false">HYPERLINK("https://www.ncbi.nlm.nih.gov/nuccore/CP000304.1?report=graph&amp;tracks=[key:gene_model_track,Options:GeneOnly]&amp;mk=2247357:2247376|offset_47|444444,2247321:2247340|offset_83|444444,2247293:2247312|offset_111|444444,2247273:2247292|offset_131|00cc00&amp;v=2247156:2247492&amp;c=444444", "offset 131")</f>
        <v>offset 131</v>
      </c>
    </row>
    <row r="7949" customFormat="false" ht="12.8" hidden="false" customHeight="false" outlineLevel="0" collapsed="false">
      <c r="A7949" s="0" t="s">
        <v>12</v>
      </c>
      <c r="B7949" s="0" t="n">
        <v>2247649</v>
      </c>
      <c r="C7949" s="0" t="n">
        <v>2247669</v>
      </c>
      <c r="D7949" s="0" t="s">
        <v>26569</v>
      </c>
      <c r="E7949" s="0" t="s">
        <v>89</v>
      </c>
      <c r="F7949" s="0" t="s">
        <v>90</v>
      </c>
      <c r="G7949" s="0" t="s">
        <v>32</v>
      </c>
      <c r="H7949" s="0" t="n">
        <v>16</v>
      </c>
      <c r="I7949" s="0" t="s">
        <v>26570</v>
      </c>
      <c r="J7949" s="0" t="s">
        <v>26571</v>
      </c>
      <c r="K7949" s="0" t="s">
        <v>26572</v>
      </c>
      <c r="L7949" s="0" t="str">
        <f aca="false">HYPERLINK("https://www.ncbi.nlm.nih.gov/nuccore/CP000304.1?report=graph&amp;tracks=[key:gene_model_track,Options:GeneOnly]&amp;mk=2247650:2247669|offset_16|00cc00,2247622:2247641|offset_44|444444,2247590:2247609|offset_76|444444,2247564:2247583|offset_102|444444&amp;v=2247449:2247783&amp;c=444444", "offset 16")</f>
        <v>offset 16</v>
      </c>
    </row>
    <row r="7950" customFormat="false" ht="12.8" hidden="false" customHeight="false" outlineLevel="0" collapsed="false">
      <c r="A7950" s="0" t="s">
        <v>12</v>
      </c>
      <c r="B7950" s="0" t="n">
        <v>2247621</v>
      </c>
      <c r="C7950" s="0" t="n">
        <v>2247641</v>
      </c>
      <c r="D7950" s="0" t="s">
        <v>26569</v>
      </c>
      <c r="E7950" s="0" t="s">
        <v>89</v>
      </c>
      <c r="F7950" s="0" t="s">
        <v>90</v>
      </c>
      <c r="G7950" s="0" t="s">
        <v>16</v>
      </c>
      <c r="H7950" s="0" t="n">
        <v>44</v>
      </c>
      <c r="I7950" s="0" t="s">
        <v>26573</v>
      </c>
      <c r="J7950" s="0" t="s">
        <v>26574</v>
      </c>
      <c r="K7950" s="0" t="s">
        <v>26575</v>
      </c>
      <c r="L7950" s="0" t="str">
        <f aca="false">HYPERLINK("https://www.ncbi.nlm.nih.gov/nuccore/CP000304.1?report=graph&amp;tracks=[key:gene_model_track,Options:GeneOnly]&amp;mk=2247650:2247669|offset_16|444444,2247622:2247641|offset_44|00cc00,2247590:2247609|offset_76|444444,2247564:2247583|offset_102|444444&amp;v=2247449:2247783&amp;c=444444", "offset 44")</f>
        <v>offset 44</v>
      </c>
    </row>
    <row r="7951" customFormat="false" ht="12.8" hidden="false" customHeight="false" outlineLevel="0" collapsed="false">
      <c r="A7951" s="0" t="s">
        <v>12</v>
      </c>
      <c r="B7951" s="0" t="n">
        <v>2247589</v>
      </c>
      <c r="C7951" s="0" t="n">
        <v>2247609</v>
      </c>
      <c r="D7951" s="0" t="s">
        <v>26569</v>
      </c>
      <c r="E7951" s="0" t="s">
        <v>89</v>
      </c>
      <c r="F7951" s="0" t="s">
        <v>90</v>
      </c>
      <c r="G7951" s="0" t="s">
        <v>36</v>
      </c>
      <c r="H7951" s="0" t="n">
        <v>76</v>
      </c>
      <c r="I7951" s="0" t="s">
        <v>26576</v>
      </c>
      <c r="J7951" s="0" t="s">
        <v>26577</v>
      </c>
      <c r="K7951" s="0" t="s">
        <v>26578</v>
      </c>
      <c r="L7951" s="0" t="str">
        <f aca="false">HYPERLINK("https://www.ncbi.nlm.nih.gov/nuccore/CP000304.1?report=graph&amp;tracks=[key:gene_model_track,Options:GeneOnly]&amp;mk=2247650:2247669|offset_16|444444,2247622:2247641|offset_44|444444,2247590:2247609|offset_76|00cc00,2247564:2247583|offset_102|444444&amp;v=2247449:2247783&amp;c=444444", "offset 76")</f>
        <v>offset 76</v>
      </c>
    </row>
    <row r="7952" customFormat="false" ht="12.8" hidden="false" customHeight="false" outlineLevel="0" collapsed="false">
      <c r="A7952" s="0" t="s">
        <v>12</v>
      </c>
      <c r="B7952" s="0" t="n">
        <v>2247563</v>
      </c>
      <c r="C7952" s="0" t="n">
        <v>2247583</v>
      </c>
      <c r="D7952" s="0" t="s">
        <v>26569</v>
      </c>
      <c r="E7952" s="0" t="s">
        <v>89</v>
      </c>
      <c r="F7952" s="0" t="s">
        <v>90</v>
      </c>
      <c r="G7952" s="0" t="s">
        <v>36</v>
      </c>
      <c r="H7952" s="0" t="n">
        <v>102</v>
      </c>
      <c r="I7952" s="0" t="s">
        <v>26579</v>
      </c>
      <c r="J7952" s="0" t="s">
        <v>26580</v>
      </c>
      <c r="K7952" s="0" t="s">
        <v>26581</v>
      </c>
      <c r="L7952" s="0" t="str">
        <f aca="false">HYPERLINK("https://www.ncbi.nlm.nih.gov/nuccore/CP000304.1?report=graph&amp;tracks=[key:gene_model_track,Options:GeneOnly]&amp;mk=2247650:2247669|offset_16|444444,2247622:2247641|offset_44|444444,2247590:2247609|offset_76|444444,2247564:2247583|offset_102|00cc00&amp;v=2247449:2247783&amp;c=444444", "offset 102")</f>
        <v>offset 102</v>
      </c>
    </row>
    <row r="7953" customFormat="false" ht="12.8" hidden="false" customHeight="false" outlineLevel="0" collapsed="false">
      <c r="A7953" s="0" t="s">
        <v>12</v>
      </c>
      <c r="B7953" s="0" t="n">
        <v>2247961</v>
      </c>
      <c r="C7953" s="0" t="n">
        <v>2247981</v>
      </c>
      <c r="D7953" s="0" t="s">
        <v>26582</v>
      </c>
      <c r="E7953" s="0" t="s">
        <v>89</v>
      </c>
      <c r="F7953" s="0" t="s">
        <v>90</v>
      </c>
      <c r="G7953" s="0" t="s">
        <v>36</v>
      </c>
      <c r="H7953" s="0" t="n">
        <v>8</v>
      </c>
      <c r="I7953" s="0" t="s">
        <v>26583</v>
      </c>
      <c r="J7953" s="0" t="s">
        <v>26584</v>
      </c>
      <c r="K7953" s="0" t="s">
        <v>26585</v>
      </c>
      <c r="L7953" s="0" t="str">
        <f aca="false">HYPERLINK("https://www.ncbi.nlm.nih.gov/nuccore/CP000304.1?report=graph&amp;tracks=[key:gene_model_track,Options:GeneOnly]&amp;mk=2247962:2247981|offset_8|00cc00,2247925:2247944|offset_45|444444,2247904:2247923|offset_66|444444,2247884:2247903|offset_86|444444&amp;v=2247761:2248103&amp;c=444444", "offset 8")</f>
        <v>offset 8</v>
      </c>
    </row>
    <row r="7954" customFormat="false" ht="12.8" hidden="false" customHeight="false" outlineLevel="0" collapsed="false">
      <c r="A7954" s="0" t="s">
        <v>12</v>
      </c>
      <c r="B7954" s="0" t="n">
        <v>2247924</v>
      </c>
      <c r="C7954" s="0" t="n">
        <v>2247944</v>
      </c>
      <c r="D7954" s="0" t="s">
        <v>26582</v>
      </c>
      <c r="E7954" s="0" t="s">
        <v>89</v>
      </c>
      <c r="F7954" s="0" t="s">
        <v>90</v>
      </c>
      <c r="G7954" s="0" t="s">
        <v>16</v>
      </c>
      <c r="H7954" s="0" t="n">
        <v>45</v>
      </c>
      <c r="I7954" s="0" t="s">
        <v>26586</v>
      </c>
      <c r="J7954" s="0" t="s">
        <v>26587</v>
      </c>
      <c r="K7954" s="0" t="s">
        <v>26588</v>
      </c>
      <c r="L7954" s="0" t="str">
        <f aca="false">HYPERLINK("https://www.ncbi.nlm.nih.gov/nuccore/CP000304.1?report=graph&amp;tracks=[key:gene_model_track,Options:GeneOnly]&amp;mk=2247962:2247981|offset_8|444444,2247925:2247944|offset_45|00cc00,2247904:2247923|offset_66|444444,2247884:2247903|offset_86|444444&amp;v=2247761:2248103&amp;c=444444", "offset 45")</f>
        <v>offset 45</v>
      </c>
    </row>
    <row r="7955" customFormat="false" ht="12.8" hidden="false" customHeight="false" outlineLevel="0" collapsed="false">
      <c r="A7955" s="0" t="s">
        <v>12</v>
      </c>
      <c r="B7955" s="0" t="n">
        <v>2247903</v>
      </c>
      <c r="C7955" s="0" t="n">
        <v>2247923</v>
      </c>
      <c r="D7955" s="0" t="s">
        <v>26582</v>
      </c>
      <c r="E7955" s="0" t="s">
        <v>89</v>
      </c>
      <c r="F7955" s="0" t="s">
        <v>90</v>
      </c>
      <c r="G7955" s="0" t="s">
        <v>32</v>
      </c>
      <c r="H7955" s="0" t="n">
        <v>66</v>
      </c>
      <c r="I7955" s="0" t="s">
        <v>26589</v>
      </c>
      <c r="J7955" s="0" t="s">
        <v>26590</v>
      </c>
      <c r="K7955" s="0" t="s">
        <v>26591</v>
      </c>
      <c r="L7955" s="0" t="str">
        <f aca="false">HYPERLINK("https://www.ncbi.nlm.nih.gov/nuccore/CP000304.1?report=graph&amp;tracks=[key:gene_model_track,Options:GeneOnly]&amp;mk=2247962:2247981|offset_8|444444,2247925:2247944|offset_45|444444,2247904:2247923|offset_66|00cc00,2247884:2247903|offset_86|444444&amp;v=2247761:2248103&amp;c=444444", "offset 66")</f>
        <v>offset 66</v>
      </c>
    </row>
    <row r="7956" customFormat="false" ht="12.8" hidden="false" customHeight="false" outlineLevel="0" collapsed="false">
      <c r="A7956" s="0" t="s">
        <v>12</v>
      </c>
      <c r="B7956" s="0" t="n">
        <v>2247883</v>
      </c>
      <c r="C7956" s="0" t="n">
        <v>2247903</v>
      </c>
      <c r="D7956" s="0" t="s">
        <v>26582</v>
      </c>
      <c r="E7956" s="0" t="s">
        <v>89</v>
      </c>
      <c r="F7956" s="0" t="s">
        <v>90</v>
      </c>
      <c r="G7956" s="0" t="s">
        <v>36</v>
      </c>
      <c r="H7956" s="0" t="n">
        <v>86</v>
      </c>
      <c r="I7956" s="0" t="s">
        <v>26592</v>
      </c>
      <c r="J7956" s="0" t="s">
        <v>26593</v>
      </c>
      <c r="K7956" s="0" t="s">
        <v>26594</v>
      </c>
      <c r="L7956" s="0" t="str">
        <f aca="false">HYPERLINK("https://www.ncbi.nlm.nih.gov/nuccore/CP000304.1?report=graph&amp;tracks=[key:gene_model_track,Options:GeneOnly]&amp;mk=2247962:2247981|offset_8|444444,2247925:2247944|offset_45|444444,2247904:2247923|offset_66|444444,2247884:2247903|offset_86|00cc00&amp;v=2247761:2248103&amp;c=444444", "offset 86")</f>
        <v>offset 86</v>
      </c>
    </row>
    <row r="7957" customFormat="false" ht="12.8" hidden="false" customHeight="false" outlineLevel="0" collapsed="false">
      <c r="A7957" s="0" t="s">
        <v>12</v>
      </c>
      <c r="B7957" s="0" t="n">
        <v>2248238</v>
      </c>
      <c r="C7957" s="0" t="n">
        <v>2248258</v>
      </c>
      <c r="D7957" s="0" t="s">
        <v>26595</v>
      </c>
      <c r="E7957" s="0" t="s">
        <v>89</v>
      </c>
      <c r="F7957" s="0" t="s">
        <v>15</v>
      </c>
      <c r="G7957" s="0" t="s">
        <v>36</v>
      </c>
      <c r="H7957" s="0" t="n">
        <v>13</v>
      </c>
      <c r="I7957" s="0" t="s">
        <v>26596</v>
      </c>
      <c r="J7957" s="0" t="s">
        <v>26597</v>
      </c>
      <c r="K7957" s="0" t="s">
        <v>26598</v>
      </c>
      <c r="L7957" s="0" t="str">
        <f aca="false">HYPERLINK("https://www.ncbi.nlm.nih.gov/nuccore/CP000304.1?report=graph&amp;tracks=[key:gene_model_track,Options:GeneOnly]&amp;mk=2248239:2248258|offset_13|00cc00,2248260:2248279|offset_34|444444,2248313:2248332|offset_87|444444,2248344:2248363|offset_118|444444&amp;v=2248038:2248563&amp;c=444444", "offset 13")</f>
        <v>offset 13</v>
      </c>
    </row>
    <row r="7958" customFormat="false" ht="12.8" hidden="false" customHeight="false" outlineLevel="0" collapsed="false">
      <c r="A7958" s="0" t="s">
        <v>12</v>
      </c>
      <c r="B7958" s="0" t="n">
        <v>2248259</v>
      </c>
      <c r="C7958" s="0" t="n">
        <v>2248279</v>
      </c>
      <c r="D7958" s="0" t="s">
        <v>26595</v>
      </c>
      <c r="E7958" s="0" t="s">
        <v>89</v>
      </c>
      <c r="F7958" s="0" t="s">
        <v>15</v>
      </c>
      <c r="G7958" s="0" t="s">
        <v>16</v>
      </c>
      <c r="H7958" s="0" t="n">
        <v>34</v>
      </c>
      <c r="I7958" s="0" t="s">
        <v>26599</v>
      </c>
      <c r="J7958" s="0" t="s">
        <v>26600</v>
      </c>
      <c r="K7958" s="0" t="s">
        <v>26601</v>
      </c>
      <c r="L7958" s="0" t="str">
        <f aca="false">HYPERLINK("https://www.ncbi.nlm.nih.gov/nuccore/CP000304.1?report=graph&amp;tracks=[key:gene_model_track,Options:GeneOnly]&amp;mk=2248239:2248258|offset_13|444444,2248260:2248279|offset_34|00cc00,2248313:2248332|offset_87|444444,2248344:2248363|offset_118|444444&amp;v=2248038:2248563&amp;c=444444", "offset 34")</f>
        <v>offset 34</v>
      </c>
    </row>
    <row r="7959" customFormat="false" ht="12.8" hidden="false" customHeight="false" outlineLevel="0" collapsed="false">
      <c r="A7959" s="0" t="s">
        <v>12</v>
      </c>
      <c r="B7959" s="0" t="n">
        <v>2248312</v>
      </c>
      <c r="C7959" s="0" t="n">
        <v>2248332</v>
      </c>
      <c r="D7959" s="0" t="s">
        <v>26595</v>
      </c>
      <c r="E7959" s="0" t="s">
        <v>89</v>
      </c>
      <c r="F7959" s="0" t="s">
        <v>15</v>
      </c>
      <c r="G7959" s="0" t="s">
        <v>16</v>
      </c>
      <c r="H7959" s="0" t="n">
        <v>87</v>
      </c>
      <c r="I7959" s="0" t="s">
        <v>26602</v>
      </c>
      <c r="J7959" s="0" t="s">
        <v>26603</v>
      </c>
      <c r="K7959" s="0" t="s">
        <v>26604</v>
      </c>
      <c r="L7959" s="0" t="str">
        <f aca="false">HYPERLINK("https://www.ncbi.nlm.nih.gov/nuccore/CP000304.1?report=graph&amp;tracks=[key:gene_model_track,Options:GeneOnly]&amp;mk=2248239:2248258|offset_13|444444,2248260:2248279|offset_34|444444,2248313:2248332|offset_87|00cc00,2248344:2248363|offset_118|444444&amp;v=2248038:2248563&amp;c=444444", "offset 87")</f>
        <v>offset 87</v>
      </c>
    </row>
    <row r="7960" customFormat="false" ht="12.8" hidden="false" customHeight="false" outlineLevel="0" collapsed="false">
      <c r="A7960" s="0" t="s">
        <v>12</v>
      </c>
      <c r="B7960" s="0" t="n">
        <v>2248343</v>
      </c>
      <c r="C7960" s="0" t="n">
        <v>2248363</v>
      </c>
      <c r="D7960" s="0" t="s">
        <v>26595</v>
      </c>
      <c r="E7960" s="0" t="s">
        <v>89</v>
      </c>
      <c r="F7960" s="0" t="s">
        <v>15</v>
      </c>
      <c r="G7960" s="0" t="s">
        <v>26</v>
      </c>
      <c r="H7960" s="0" t="n">
        <v>118</v>
      </c>
      <c r="I7960" s="0" t="s">
        <v>26605</v>
      </c>
      <c r="J7960" s="0" t="s">
        <v>26606</v>
      </c>
      <c r="K7960" s="0" t="s">
        <v>26607</v>
      </c>
      <c r="L7960" s="0" t="str">
        <f aca="false">HYPERLINK("https://www.ncbi.nlm.nih.gov/nuccore/CP000304.1?report=graph&amp;tracks=[key:gene_model_track,Options:GeneOnly]&amp;mk=2248239:2248258|offset_13|444444,2248260:2248279|offset_34|444444,2248313:2248332|offset_87|444444,2248344:2248363|offset_118|00cc00&amp;v=2248038:2248563&amp;c=444444", "offset 118")</f>
        <v>offset 118</v>
      </c>
    </row>
    <row r="7961" customFormat="false" ht="12.8" hidden="false" customHeight="false" outlineLevel="0" collapsed="false">
      <c r="A7961" s="0" t="s">
        <v>12</v>
      </c>
      <c r="B7961" s="0" t="n">
        <v>2249986</v>
      </c>
      <c r="C7961" s="0" t="n">
        <v>2250006</v>
      </c>
      <c r="D7961" s="0" t="s">
        <v>26608</v>
      </c>
      <c r="E7961" s="0" t="s">
        <v>26609</v>
      </c>
      <c r="F7961" s="0" t="s">
        <v>15</v>
      </c>
      <c r="G7961" s="0" t="s">
        <v>36</v>
      </c>
      <c r="H7961" s="0" t="n">
        <v>0</v>
      </c>
      <c r="I7961" s="0" t="s">
        <v>26610</v>
      </c>
      <c r="J7961" s="0" t="s">
        <v>26611</v>
      </c>
      <c r="K7961" s="0" t="s">
        <v>26612</v>
      </c>
      <c r="L7961" s="0" t="str">
        <f aca="false">HYPERLINK("https://www.ncbi.nlm.nih.gov/nuccore/CP000304.1?report=graph&amp;tracks=[key:gene_model_track,Options:GeneOnly]&amp;mk=2249987:2250006|offset_0|00cc00,2250008:2250027|offset_21|444444,2250045:2250064|offset_58|444444,2250080:2250099|offset_93|444444&amp;v=2249786:2250299&amp;c=444444", "offset 0")</f>
        <v>offset 0</v>
      </c>
    </row>
    <row r="7962" customFormat="false" ht="12.8" hidden="false" customHeight="false" outlineLevel="0" collapsed="false">
      <c r="A7962" s="0" t="s">
        <v>12</v>
      </c>
      <c r="B7962" s="0" t="n">
        <v>2250007</v>
      </c>
      <c r="C7962" s="0" t="n">
        <v>2250027</v>
      </c>
      <c r="D7962" s="0" t="s">
        <v>26608</v>
      </c>
      <c r="E7962" s="0" t="s">
        <v>26609</v>
      </c>
      <c r="F7962" s="0" t="s">
        <v>15</v>
      </c>
      <c r="G7962" s="0" t="s">
        <v>36</v>
      </c>
      <c r="H7962" s="0" t="n">
        <v>21</v>
      </c>
      <c r="I7962" s="0" t="s">
        <v>26613</v>
      </c>
      <c r="J7962" s="0" t="s">
        <v>26614</v>
      </c>
      <c r="K7962" s="0" t="s">
        <v>26615</v>
      </c>
      <c r="L7962" s="0" t="str">
        <f aca="false">HYPERLINK("https://www.ncbi.nlm.nih.gov/nuccore/CP000304.1?report=graph&amp;tracks=[key:gene_model_track,Options:GeneOnly]&amp;mk=2249987:2250006|offset_0|444444,2250008:2250027|offset_21|00cc00,2250045:2250064|offset_58|444444,2250080:2250099|offset_93|444444&amp;v=2249786:2250299&amp;c=444444", "offset 21")</f>
        <v>offset 21</v>
      </c>
    </row>
    <row r="7963" customFormat="false" ht="12.8" hidden="false" customHeight="false" outlineLevel="0" collapsed="false">
      <c r="A7963" s="0" t="s">
        <v>12</v>
      </c>
      <c r="B7963" s="0" t="n">
        <v>2250044</v>
      </c>
      <c r="C7963" s="0" t="n">
        <v>2250064</v>
      </c>
      <c r="D7963" s="0" t="s">
        <v>26608</v>
      </c>
      <c r="E7963" s="0" t="s">
        <v>26609</v>
      </c>
      <c r="F7963" s="0" t="s">
        <v>15</v>
      </c>
      <c r="G7963" s="0" t="s">
        <v>16</v>
      </c>
      <c r="H7963" s="0" t="n">
        <v>58</v>
      </c>
      <c r="I7963" s="0" t="s">
        <v>26616</v>
      </c>
      <c r="J7963" s="0" t="s">
        <v>26617</v>
      </c>
      <c r="K7963" s="0" t="s">
        <v>26618</v>
      </c>
      <c r="L7963" s="0" t="str">
        <f aca="false">HYPERLINK("https://www.ncbi.nlm.nih.gov/nuccore/CP000304.1?report=graph&amp;tracks=[key:gene_model_track,Options:GeneOnly]&amp;mk=2249987:2250006|offset_0|444444,2250008:2250027|offset_21|444444,2250045:2250064|offset_58|00cc00,2250080:2250099|offset_93|444444&amp;v=2249786:2250299&amp;c=444444", "offset 58")</f>
        <v>offset 58</v>
      </c>
    </row>
    <row r="7964" customFormat="false" ht="12.8" hidden="false" customHeight="false" outlineLevel="0" collapsed="false">
      <c r="A7964" s="0" t="s">
        <v>12</v>
      </c>
      <c r="B7964" s="0" t="n">
        <v>2250079</v>
      </c>
      <c r="C7964" s="0" t="n">
        <v>2250099</v>
      </c>
      <c r="D7964" s="0" t="s">
        <v>26608</v>
      </c>
      <c r="E7964" s="0" t="s">
        <v>26609</v>
      </c>
      <c r="F7964" s="0" t="s">
        <v>15</v>
      </c>
      <c r="G7964" s="0" t="s">
        <v>36</v>
      </c>
      <c r="H7964" s="0" t="n">
        <v>93</v>
      </c>
      <c r="I7964" s="0" t="s">
        <v>26619</v>
      </c>
      <c r="J7964" s="0" t="s">
        <v>26620</v>
      </c>
      <c r="K7964" s="0" t="s">
        <v>26621</v>
      </c>
      <c r="L7964" s="0" t="str">
        <f aca="false">HYPERLINK("https://www.ncbi.nlm.nih.gov/nuccore/CP000304.1?report=graph&amp;tracks=[key:gene_model_track,Options:GeneOnly]&amp;mk=2249987:2250006|offset_0|444444,2250008:2250027|offset_21|444444,2250045:2250064|offset_58|444444,2250080:2250099|offset_93|00cc00&amp;v=2249786:2250299&amp;c=444444", "offset 93")</f>
        <v>offset 93</v>
      </c>
    </row>
    <row r="7965" customFormat="false" ht="12.8" hidden="false" customHeight="false" outlineLevel="0" collapsed="false">
      <c r="A7965" s="0" t="s">
        <v>12</v>
      </c>
      <c r="B7965" s="0" t="n">
        <v>2251404</v>
      </c>
      <c r="C7965" s="0" t="n">
        <v>2251424</v>
      </c>
      <c r="D7965" s="0" t="s">
        <v>26622</v>
      </c>
      <c r="E7965" s="0" t="s">
        <v>26623</v>
      </c>
      <c r="F7965" s="0" t="s">
        <v>15</v>
      </c>
      <c r="G7965" s="0" t="s">
        <v>32</v>
      </c>
      <c r="H7965" s="0" t="n">
        <v>1</v>
      </c>
      <c r="I7965" s="0" t="s">
        <v>26624</v>
      </c>
      <c r="J7965" s="0" t="s">
        <v>26625</v>
      </c>
      <c r="K7965" s="0" t="s">
        <v>26626</v>
      </c>
      <c r="L7965" s="0" t="str">
        <f aca="false">HYPERLINK("https://www.ncbi.nlm.nih.gov/nuccore/CP000304.1?report=graph&amp;tracks=[key:gene_model_track,Options:GeneOnly]&amp;mk=2251405:2251424|offset_1|00cc00,2251429:2251448|offset_25|444444,2251449:2251468|offset_45|444444,2251471:2251490|offset_67|444444&amp;v=2251204:2251690&amp;c=444444", "offset 1")</f>
        <v>offset 1</v>
      </c>
    </row>
    <row r="7966" customFormat="false" ht="12.8" hidden="false" customHeight="false" outlineLevel="0" collapsed="false">
      <c r="A7966" s="0" t="s">
        <v>12</v>
      </c>
      <c r="B7966" s="0" t="n">
        <v>2251428</v>
      </c>
      <c r="C7966" s="0" t="n">
        <v>2251448</v>
      </c>
      <c r="D7966" s="0" t="s">
        <v>26622</v>
      </c>
      <c r="E7966" s="0" t="s">
        <v>26623</v>
      </c>
      <c r="F7966" s="0" t="s">
        <v>15</v>
      </c>
      <c r="G7966" s="0" t="s">
        <v>16</v>
      </c>
      <c r="H7966" s="0" t="n">
        <v>25</v>
      </c>
      <c r="I7966" s="0" t="s">
        <v>26627</v>
      </c>
      <c r="J7966" s="0" t="s">
        <v>26628</v>
      </c>
      <c r="K7966" s="0" t="s">
        <v>26629</v>
      </c>
      <c r="L7966" s="0" t="str">
        <f aca="false">HYPERLINK("https://www.ncbi.nlm.nih.gov/nuccore/CP000304.1?report=graph&amp;tracks=[key:gene_model_track,Options:GeneOnly]&amp;mk=2251405:2251424|offset_1|444444,2251429:2251448|offset_25|00cc00,2251449:2251468|offset_45|444444,2251471:2251490|offset_67|444444&amp;v=2251204:2251690&amp;c=444444", "offset 25")</f>
        <v>offset 25</v>
      </c>
    </row>
    <row r="7967" customFormat="false" ht="12.8" hidden="false" customHeight="false" outlineLevel="0" collapsed="false">
      <c r="A7967" s="0" t="s">
        <v>12</v>
      </c>
      <c r="B7967" s="0" t="n">
        <v>2251448</v>
      </c>
      <c r="C7967" s="0" t="n">
        <v>2251468</v>
      </c>
      <c r="D7967" s="0" t="s">
        <v>26622</v>
      </c>
      <c r="E7967" s="0" t="s">
        <v>26623</v>
      </c>
      <c r="F7967" s="0" t="s">
        <v>15</v>
      </c>
      <c r="G7967" s="0" t="s">
        <v>16</v>
      </c>
      <c r="H7967" s="0" t="n">
        <v>45</v>
      </c>
      <c r="I7967" s="0" t="s">
        <v>26630</v>
      </c>
      <c r="J7967" s="0" t="s">
        <v>26631</v>
      </c>
      <c r="K7967" s="0" t="s">
        <v>26632</v>
      </c>
      <c r="L7967" s="0" t="str">
        <f aca="false">HYPERLINK("https://www.ncbi.nlm.nih.gov/nuccore/CP000304.1?report=graph&amp;tracks=[key:gene_model_track,Options:GeneOnly]&amp;mk=2251405:2251424|offset_1|444444,2251429:2251448|offset_25|444444,2251449:2251468|offset_45|00cc00,2251471:2251490|offset_67|444444&amp;v=2251204:2251690&amp;c=444444", "offset 45")</f>
        <v>offset 45</v>
      </c>
    </row>
    <row r="7968" customFormat="false" ht="12.8" hidden="false" customHeight="false" outlineLevel="0" collapsed="false">
      <c r="A7968" s="0" t="s">
        <v>12</v>
      </c>
      <c r="B7968" s="0" t="n">
        <v>2251470</v>
      </c>
      <c r="C7968" s="0" t="n">
        <v>2251490</v>
      </c>
      <c r="D7968" s="0" t="s">
        <v>26622</v>
      </c>
      <c r="E7968" s="0" t="s">
        <v>26623</v>
      </c>
      <c r="F7968" s="0" t="s">
        <v>15</v>
      </c>
      <c r="G7968" s="0" t="s">
        <v>32</v>
      </c>
      <c r="H7968" s="0" t="n">
        <v>67</v>
      </c>
      <c r="I7968" s="0" t="s">
        <v>26633</v>
      </c>
      <c r="J7968" s="0" t="s">
        <v>26634</v>
      </c>
      <c r="K7968" s="0" t="s">
        <v>26635</v>
      </c>
      <c r="L7968" s="0" t="str">
        <f aca="false">HYPERLINK("https://www.ncbi.nlm.nih.gov/nuccore/CP000304.1?report=graph&amp;tracks=[key:gene_model_track,Options:GeneOnly]&amp;mk=2251405:2251424|offset_1|444444,2251429:2251448|offset_25|444444,2251449:2251468|offset_45|444444,2251471:2251490|offset_67|00cc00&amp;v=2251204:2251690&amp;c=444444", "offset 67")</f>
        <v>offset 67</v>
      </c>
    </row>
    <row r="7969" customFormat="false" ht="12.8" hidden="false" customHeight="false" outlineLevel="0" collapsed="false">
      <c r="A7969" s="0" t="s">
        <v>12</v>
      </c>
      <c r="B7969" s="0" t="n">
        <v>2252480</v>
      </c>
      <c r="C7969" s="0" t="n">
        <v>2252500</v>
      </c>
      <c r="D7969" s="0" t="s">
        <v>26636</v>
      </c>
      <c r="E7969" s="0" t="s">
        <v>26637</v>
      </c>
      <c r="F7969" s="0" t="s">
        <v>15</v>
      </c>
      <c r="G7969" s="0" t="s">
        <v>32</v>
      </c>
      <c r="H7969" s="0" t="n">
        <v>1</v>
      </c>
      <c r="I7969" s="0" t="s">
        <v>26638</v>
      </c>
      <c r="J7969" s="0" t="s">
        <v>26639</v>
      </c>
      <c r="K7969" s="0" t="s">
        <v>26640</v>
      </c>
      <c r="L7969" s="0" t="str">
        <f aca="false">HYPERLINK("https://www.ncbi.nlm.nih.gov/nuccore/CP000304.1?report=graph&amp;tracks=[key:gene_model_track,Options:GeneOnly]&amp;mk=2252481:2252500|offset_1|00cc00,2252529:2252548|offset_49|444444,2252557:2252576|offset_77|444444,2252583:2252602|offset_103|444444&amp;v=2252280:2252802&amp;c=444444", "offset 1")</f>
        <v>offset 1</v>
      </c>
    </row>
    <row r="7970" customFormat="false" ht="12.8" hidden="false" customHeight="false" outlineLevel="0" collapsed="false">
      <c r="A7970" s="0" t="s">
        <v>12</v>
      </c>
      <c r="B7970" s="0" t="n">
        <v>2252528</v>
      </c>
      <c r="C7970" s="0" t="n">
        <v>2252548</v>
      </c>
      <c r="D7970" s="0" t="s">
        <v>26636</v>
      </c>
      <c r="E7970" s="0" t="s">
        <v>26637</v>
      </c>
      <c r="F7970" s="0" t="s">
        <v>15</v>
      </c>
      <c r="G7970" s="0" t="s">
        <v>32</v>
      </c>
      <c r="H7970" s="0" t="n">
        <v>49</v>
      </c>
      <c r="I7970" s="0" t="s">
        <v>26641</v>
      </c>
      <c r="J7970" s="0" t="s">
        <v>26642</v>
      </c>
      <c r="K7970" s="0" t="s">
        <v>26643</v>
      </c>
      <c r="L7970" s="0" t="str">
        <f aca="false">HYPERLINK("https://www.ncbi.nlm.nih.gov/nuccore/CP000304.1?report=graph&amp;tracks=[key:gene_model_track,Options:GeneOnly]&amp;mk=2252481:2252500|offset_1|444444,2252529:2252548|offset_49|00cc00,2252557:2252576|offset_77|444444,2252583:2252602|offset_103|444444&amp;v=2252280:2252802&amp;c=444444", "offset 49")</f>
        <v>offset 49</v>
      </c>
    </row>
    <row r="7971" customFormat="false" ht="12.8" hidden="false" customHeight="false" outlineLevel="0" collapsed="false">
      <c r="A7971" s="0" t="s">
        <v>12</v>
      </c>
      <c r="B7971" s="0" t="n">
        <v>2252556</v>
      </c>
      <c r="C7971" s="0" t="n">
        <v>2252576</v>
      </c>
      <c r="D7971" s="0" t="s">
        <v>26636</v>
      </c>
      <c r="E7971" s="0" t="s">
        <v>26637</v>
      </c>
      <c r="F7971" s="0" t="s">
        <v>15</v>
      </c>
      <c r="G7971" s="0" t="s">
        <v>36</v>
      </c>
      <c r="H7971" s="0" t="n">
        <v>77</v>
      </c>
      <c r="I7971" s="0" t="s">
        <v>26644</v>
      </c>
      <c r="J7971" s="0" t="s">
        <v>26645</v>
      </c>
      <c r="K7971" s="0" t="s">
        <v>26646</v>
      </c>
      <c r="L7971" s="0" t="str">
        <f aca="false">HYPERLINK("https://www.ncbi.nlm.nih.gov/nuccore/CP000304.1?report=graph&amp;tracks=[key:gene_model_track,Options:GeneOnly]&amp;mk=2252481:2252500|offset_1|444444,2252529:2252548|offset_49|444444,2252557:2252576|offset_77|00cc00,2252583:2252602|offset_103|444444&amp;v=2252280:2252802&amp;c=444444", "offset 77")</f>
        <v>offset 77</v>
      </c>
    </row>
    <row r="7972" customFormat="false" ht="12.8" hidden="false" customHeight="false" outlineLevel="0" collapsed="false">
      <c r="A7972" s="0" t="s">
        <v>12</v>
      </c>
      <c r="B7972" s="0" t="n">
        <v>2252582</v>
      </c>
      <c r="C7972" s="0" t="n">
        <v>2252602</v>
      </c>
      <c r="D7972" s="0" t="s">
        <v>26636</v>
      </c>
      <c r="E7972" s="0" t="s">
        <v>26637</v>
      </c>
      <c r="F7972" s="0" t="s">
        <v>15</v>
      </c>
      <c r="G7972" s="0" t="s">
        <v>32</v>
      </c>
      <c r="H7972" s="0" t="n">
        <v>103</v>
      </c>
      <c r="I7972" s="0" t="s">
        <v>26647</v>
      </c>
      <c r="J7972" s="0" t="s">
        <v>26648</v>
      </c>
      <c r="K7972" s="0" t="s">
        <v>26649</v>
      </c>
      <c r="L7972" s="0" t="str">
        <f aca="false">HYPERLINK("https://www.ncbi.nlm.nih.gov/nuccore/CP000304.1?report=graph&amp;tracks=[key:gene_model_track,Options:GeneOnly]&amp;mk=2252481:2252500|offset_1|444444,2252529:2252548|offset_49|444444,2252557:2252576|offset_77|444444,2252583:2252602|offset_103|00cc00&amp;v=2252280:2252802&amp;c=444444", "offset 103")</f>
        <v>offset 103</v>
      </c>
    </row>
    <row r="7973" customFormat="false" ht="12.8" hidden="false" customHeight="false" outlineLevel="0" collapsed="false">
      <c r="A7973" s="0" t="s">
        <v>12</v>
      </c>
      <c r="B7973" s="0" t="n">
        <v>2253246</v>
      </c>
      <c r="C7973" s="0" t="n">
        <v>2253266</v>
      </c>
      <c r="D7973" s="0" t="s">
        <v>26650</v>
      </c>
      <c r="E7973" s="0" t="s">
        <v>89</v>
      </c>
      <c r="F7973" s="0" t="s">
        <v>15</v>
      </c>
      <c r="G7973" s="0" t="s">
        <v>36</v>
      </c>
      <c r="H7973" s="0" t="n">
        <v>22</v>
      </c>
      <c r="I7973" s="0" t="s">
        <v>26651</v>
      </c>
      <c r="J7973" s="0" t="s">
        <v>26652</v>
      </c>
      <c r="K7973" s="0" t="s">
        <v>26653</v>
      </c>
      <c r="L7973" s="0" t="str">
        <f aca="false">HYPERLINK("https://www.ncbi.nlm.nih.gov/nuccore/CP000304.1?report=graph&amp;tracks=[key:gene_model_track,Options:GeneOnly]&amp;mk=2253247:2253266|offset_22|00cc00,2253275:2253294|offset_50|444444,2253321:2253340|offset_96|444444,2253352:2253371|offset_127|444444&amp;v=2253046:2253571&amp;c=444444", "offset 22")</f>
        <v>offset 22</v>
      </c>
    </row>
    <row r="7974" customFormat="false" ht="12.8" hidden="false" customHeight="false" outlineLevel="0" collapsed="false">
      <c r="A7974" s="0" t="s">
        <v>12</v>
      </c>
      <c r="B7974" s="0" t="n">
        <v>2253274</v>
      </c>
      <c r="C7974" s="0" t="n">
        <v>2253294</v>
      </c>
      <c r="D7974" s="0" t="s">
        <v>26650</v>
      </c>
      <c r="E7974" s="0" t="s">
        <v>89</v>
      </c>
      <c r="F7974" s="0" t="s">
        <v>15</v>
      </c>
      <c r="G7974" s="0" t="s">
        <v>16</v>
      </c>
      <c r="H7974" s="0" t="n">
        <v>50</v>
      </c>
      <c r="I7974" s="0" t="s">
        <v>26654</v>
      </c>
      <c r="J7974" s="0" t="s">
        <v>26655</v>
      </c>
      <c r="K7974" s="0" t="s">
        <v>26656</v>
      </c>
      <c r="L7974" s="0" t="str">
        <f aca="false">HYPERLINK("https://www.ncbi.nlm.nih.gov/nuccore/CP000304.1?report=graph&amp;tracks=[key:gene_model_track,Options:GeneOnly]&amp;mk=2253247:2253266|offset_22|444444,2253275:2253294|offset_50|00cc00,2253321:2253340|offset_96|444444,2253352:2253371|offset_127|444444&amp;v=2253046:2253571&amp;c=444444", "offset 50")</f>
        <v>offset 50</v>
      </c>
    </row>
    <row r="7975" customFormat="false" ht="12.8" hidden="false" customHeight="false" outlineLevel="0" collapsed="false">
      <c r="A7975" s="0" t="s">
        <v>12</v>
      </c>
      <c r="B7975" s="0" t="n">
        <v>2253320</v>
      </c>
      <c r="C7975" s="0" t="n">
        <v>2253340</v>
      </c>
      <c r="D7975" s="0" t="s">
        <v>26650</v>
      </c>
      <c r="E7975" s="0" t="s">
        <v>89</v>
      </c>
      <c r="F7975" s="0" t="s">
        <v>15</v>
      </c>
      <c r="G7975" s="0" t="s">
        <v>16</v>
      </c>
      <c r="H7975" s="0" t="n">
        <v>96</v>
      </c>
      <c r="I7975" s="0" t="s">
        <v>26657</v>
      </c>
      <c r="J7975" s="0" t="s">
        <v>26658</v>
      </c>
      <c r="K7975" s="0" t="s">
        <v>26659</v>
      </c>
      <c r="L7975" s="0" t="str">
        <f aca="false">HYPERLINK("https://www.ncbi.nlm.nih.gov/nuccore/CP000304.1?report=graph&amp;tracks=[key:gene_model_track,Options:GeneOnly]&amp;mk=2253247:2253266|offset_22|444444,2253275:2253294|offset_50|444444,2253321:2253340|offset_96|00cc00,2253352:2253371|offset_127|444444&amp;v=2253046:2253571&amp;c=444444", "offset 96")</f>
        <v>offset 96</v>
      </c>
    </row>
    <row r="7976" customFormat="false" ht="12.8" hidden="false" customHeight="false" outlineLevel="0" collapsed="false">
      <c r="A7976" s="0" t="s">
        <v>12</v>
      </c>
      <c r="B7976" s="0" t="n">
        <v>2253351</v>
      </c>
      <c r="C7976" s="0" t="n">
        <v>2253371</v>
      </c>
      <c r="D7976" s="0" t="s">
        <v>26650</v>
      </c>
      <c r="E7976" s="0" t="s">
        <v>89</v>
      </c>
      <c r="F7976" s="0" t="s">
        <v>15</v>
      </c>
      <c r="G7976" s="0" t="s">
        <v>16</v>
      </c>
      <c r="H7976" s="0" t="n">
        <v>127</v>
      </c>
      <c r="I7976" s="0" t="s">
        <v>26660</v>
      </c>
      <c r="J7976" s="0" t="s">
        <v>26661</v>
      </c>
      <c r="K7976" s="0" t="s">
        <v>26662</v>
      </c>
      <c r="L7976" s="0" t="str">
        <f aca="false">HYPERLINK("https://www.ncbi.nlm.nih.gov/nuccore/CP000304.1?report=graph&amp;tracks=[key:gene_model_track,Options:GeneOnly]&amp;mk=2253247:2253266|offset_22|444444,2253275:2253294|offset_50|444444,2253321:2253340|offset_96|444444,2253352:2253371|offset_127|00cc00&amp;v=2253046:2253571&amp;c=444444", "offset 127")</f>
        <v>offset 127</v>
      </c>
    </row>
    <row r="7977" customFormat="false" ht="12.8" hidden="false" customHeight="false" outlineLevel="0" collapsed="false">
      <c r="A7977" s="0" t="s">
        <v>12</v>
      </c>
      <c r="B7977" s="0" t="n">
        <v>2253673</v>
      </c>
      <c r="C7977" s="0" t="n">
        <v>2253693</v>
      </c>
      <c r="D7977" s="0" t="s">
        <v>26663</v>
      </c>
      <c r="E7977" s="0" t="s">
        <v>89</v>
      </c>
      <c r="F7977" s="0" t="s">
        <v>15</v>
      </c>
      <c r="G7977" s="0" t="s">
        <v>16</v>
      </c>
      <c r="H7977" s="0" t="n">
        <v>10</v>
      </c>
      <c r="I7977" s="0" t="s">
        <v>26664</v>
      </c>
      <c r="J7977" s="0" t="s">
        <v>26665</v>
      </c>
      <c r="K7977" s="0" t="s">
        <v>26666</v>
      </c>
      <c r="L7977" s="0" t="str">
        <f aca="false">HYPERLINK("https://www.ncbi.nlm.nih.gov/nuccore/CP000304.1?report=graph&amp;tracks=[key:gene_model_track,Options:GeneOnly]&amp;mk=2253674:2253693|offset_10|00cc00,2253703:2253722|offset_39|444444,2253737:2253756|offset_73|444444,2253776:2253795|offset_112|444444&amp;v=2253473:2253995&amp;c=444444", "offset 10")</f>
        <v>offset 10</v>
      </c>
    </row>
    <row r="7978" customFormat="false" ht="12.8" hidden="false" customHeight="false" outlineLevel="0" collapsed="false">
      <c r="A7978" s="0" t="s">
        <v>12</v>
      </c>
      <c r="B7978" s="0" t="n">
        <v>2253702</v>
      </c>
      <c r="C7978" s="0" t="n">
        <v>2253722</v>
      </c>
      <c r="D7978" s="0" t="s">
        <v>26663</v>
      </c>
      <c r="E7978" s="0" t="s">
        <v>89</v>
      </c>
      <c r="F7978" s="0" t="s">
        <v>15</v>
      </c>
      <c r="G7978" s="0" t="s">
        <v>16</v>
      </c>
      <c r="H7978" s="0" t="n">
        <v>39</v>
      </c>
      <c r="I7978" s="0" t="s">
        <v>26667</v>
      </c>
      <c r="J7978" s="0" t="s">
        <v>26668</v>
      </c>
      <c r="K7978" s="0" t="s">
        <v>26669</v>
      </c>
      <c r="L7978" s="0" t="str">
        <f aca="false">HYPERLINK("https://www.ncbi.nlm.nih.gov/nuccore/CP000304.1?report=graph&amp;tracks=[key:gene_model_track,Options:GeneOnly]&amp;mk=2253674:2253693|offset_10|444444,2253703:2253722|offset_39|00cc00,2253737:2253756|offset_73|444444,2253776:2253795|offset_112|444444&amp;v=2253473:2253995&amp;c=444444", "offset 39")</f>
        <v>offset 39</v>
      </c>
    </row>
    <row r="7979" customFormat="false" ht="12.8" hidden="false" customHeight="false" outlineLevel="0" collapsed="false">
      <c r="A7979" s="0" t="s">
        <v>12</v>
      </c>
      <c r="B7979" s="0" t="n">
        <v>2253736</v>
      </c>
      <c r="C7979" s="0" t="n">
        <v>2253756</v>
      </c>
      <c r="D7979" s="0" t="s">
        <v>26663</v>
      </c>
      <c r="E7979" s="0" t="s">
        <v>89</v>
      </c>
      <c r="F7979" s="0" t="s">
        <v>15</v>
      </c>
      <c r="G7979" s="0" t="s">
        <v>16</v>
      </c>
      <c r="H7979" s="0" t="n">
        <v>73</v>
      </c>
      <c r="I7979" s="0" t="s">
        <v>26670</v>
      </c>
      <c r="J7979" s="0" t="s">
        <v>26671</v>
      </c>
      <c r="K7979" s="0" t="s">
        <v>26672</v>
      </c>
      <c r="L7979" s="0" t="str">
        <f aca="false">HYPERLINK("https://www.ncbi.nlm.nih.gov/nuccore/CP000304.1?report=graph&amp;tracks=[key:gene_model_track,Options:GeneOnly]&amp;mk=2253674:2253693|offset_10|444444,2253703:2253722|offset_39|444444,2253737:2253756|offset_73|00cc00,2253776:2253795|offset_112|444444&amp;v=2253473:2253995&amp;c=444444", "offset 73")</f>
        <v>offset 73</v>
      </c>
    </row>
    <row r="7980" customFormat="false" ht="12.8" hidden="false" customHeight="false" outlineLevel="0" collapsed="false">
      <c r="A7980" s="0" t="s">
        <v>12</v>
      </c>
      <c r="B7980" s="0" t="n">
        <v>2253775</v>
      </c>
      <c r="C7980" s="0" t="n">
        <v>2253795</v>
      </c>
      <c r="D7980" s="0" t="s">
        <v>26663</v>
      </c>
      <c r="E7980" s="0" t="s">
        <v>89</v>
      </c>
      <c r="F7980" s="0" t="s">
        <v>15</v>
      </c>
      <c r="G7980" s="0" t="s">
        <v>26</v>
      </c>
      <c r="H7980" s="0" t="n">
        <v>112</v>
      </c>
      <c r="I7980" s="0" t="s">
        <v>26673</v>
      </c>
      <c r="J7980" s="0" t="s">
        <v>26674</v>
      </c>
      <c r="K7980" s="0" t="s">
        <v>26675</v>
      </c>
      <c r="L7980" s="0" t="str">
        <f aca="false">HYPERLINK("https://www.ncbi.nlm.nih.gov/nuccore/CP000304.1?report=graph&amp;tracks=[key:gene_model_track,Options:GeneOnly]&amp;mk=2253674:2253693|offset_10|444444,2253703:2253722|offset_39|444444,2253737:2253756|offset_73|444444,2253776:2253795|offset_112|00cc00&amp;v=2253473:2253995&amp;c=444444", "offset 112")</f>
        <v>offset 112</v>
      </c>
    </row>
    <row r="7981" customFormat="false" ht="12.8" hidden="false" customHeight="false" outlineLevel="0" collapsed="false">
      <c r="A7981" s="0" t="s">
        <v>12</v>
      </c>
      <c r="B7981" s="0" t="n">
        <v>2254637</v>
      </c>
      <c r="C7981" s="0" t="n">
        <v>2254657</v>
      </c>
      <c r="D7981" s="0" t="s">
        <v>26676</v>
      </c>
      <c r="E7981" s="0" t="s">
        <v>89</v>
      </c>
      <c r="F7981" s="0" t="s">
        <v>15</v>
      </c>
      <c r="G7981" s="0" t="s">
        <v>36</v>
      </c>
      <c r="H7981" s="0" t="n">
        <v>12</v>
      </c>
      <c r="I7981" s="0" t="s">
        <v>26677</v>
      </c>
      <c r="J7981" s="0" t="s">
        <v>26678</v>
      </c>
      <c r="K7981" s="0" t="s">
        <v>26679</v>
      </c>
      <c r="L7981" s="0" t="str">
        <f aca="false">HYPERLINK("https://www.ncbi.nlm.nih.gov/nuccore/CP000304.1?report=graph&amp;tracks=[key:gene_model_track,Options:GeneOnly]&amp;mk=2254638:2254657|offset_12|00cc00,2254665:2254684|offset_39|444444,2254698:2254717|offset_72|444444,2254720:2254739|offset_94|444444&amp;v=2254437:2254939&amp;c=444444", "offset 12")</f>
        <v>offset 12</v>
      </c>
    </row>
    <row r="7982" customFormat="false" ht="12.8" hidden="false" customHeight="false" outlineLevel="0" collapsed="false">
      <c r="A7982" s="0" t="s">
        <v>12</v>
      </c>
      <c r="B7982" s="0" t="n">
        <v>2254664</v>
      </c>
      <c r="C7982" s="0" t="n">
        <v>2254684</v>
      </c>
      <c r="D7982" s="0" t="s">
        <v>26676</v>
      </c>
      <c r="E7982" s="0" t="s">
        <v>89</v>
      </c>
      <c r="F7982" s="0" t="s">
        <v>15</v>
      </c>
      <c r="G7982" s="0" t="s">
        <v>32</v>
      </c>
      <c r="H7982" s="0" t="n">
        <v>39</v>
      </c>
      <c r="I7982" s="0" t="s">
        <v>26680</v>
      </c>
      <c r="J7982" s="0" t="s">
        <v>26681</v>
      </c>
      <c r="K7982" s="0" t="s">
        <v>26682</v>
      </c>
      <c r="L7982" s="0" t="str">
        <f aca="false">HYPERLINK("https://www.ncbi.nlm.nih.gov/nuccore/CP000304.1?report=graph&amp;tracks=[key:gene_model_track,Options:GeneOnly]&amp;mk=2254638:2254657|offset_12|444444,2254665:2254684|offset_39|00cc00,2254698:2254717|offset_72|444444,2254720:2254739|offset_94|444444&amp;v=2254437:2254939&amp;c=444444", "offset 39")</f>
        <v>offset 39</v>
      </c>
    </row>
    <row r="7983" customFormat="false" ht="12.8" hidden="false" customHeight="false" outlineLevel="0" collapsed="false">
      <c r="A7983" s="0" t="s">
        <v>12</v>
      </c>
      <c r="B7983" s="0" t="n">
        <v>2254697</v>
      </c>
      <c r="C7983" s="0" t="n">
        <v>2254717</v>
      </c>
      <c r="D7983" s="0" t="s">
        <v>26676</v>
      </c>
      <c r="E7983" s="0" t="s">
        <v>89</v>
      </c>
      <c r="F7983" s="0" t="s">
        <v>15</v>
      </c>
      <c r="G7983" s="0" t="s">
        <v>36</v>
      </c>
      <c r="H7983" s="0" t="n">
        <v>72</v>
      </c>
      <c r="I7983" s="0" t="s">
        <v>26683</v>
      </c>
      <c r="J7983" s="0" t="s">
        <v>26684</v>
      </c>
      <c r="K7983" s="0" t="s">
        <v>26685</v>
      </c>
      <c r="L7983" s="0" t="str">
        <f aca="false">HYPERLINK("https://www.ncbi.nlm.nih.gov/nuccore/CP000304.1?report=graph&amp;tracks=[key:gene_model_track,Options:GeneOnly]&amp;mk=2254638:2254657|offset_12|444444,2254665:2254684|offset_39|444444,2254698:2254717|offset_72|00cc00,2254720:2254739|offset_94|444444&amp;v=2254437:2254939&amp;c=444444", "offset 72")</f>
        <v>offset 72</v>
      </c>
    </row>
    <row r="7984" customFormat="false" ht="12.8" hidden="false" customHeight="false" outlineLevel="0" collapsed="false">
      <c r="A7984" s="0" t="s">
        <v>12</v>
      </c>
      <c r="B7984" s="0" t="n">
        <v>2254719</v>
      </c>
      <c r="C7984" s="0" t="n">
        <v>2254739</v>
      </c>
      <c r="D7984" s="0" t="s">
        <v>26676</v>
      </c>
      <c r="E7984" s="0" t="s">
        <v>89</v>
      </c>
      <c r="F7984" s="0" t="s">
        <v>15</v>
      </c>
      <c r="G7984" s="0" t="s">
        <v>16</v>
      </c>
      <c r="H7984" s="0" t="n">
        <v>94</v>
      </c>
      <c r="I7984" s="0" t="s">
        <v>26686</v>
      </c>
      <c r="J7984" s="0" t="s">
        <v>26687</v>
      </c>
      <c r="K7984" s="0" t="s">
        <v>26688</v>
      </c>
      <c r="L7984" s="0" t="str">
        <f aca="false">HYPERLINK("https://www.ncbi.nlm.nih.gov/nuccore/CP000304.1?report=graph&amp;tracks=[key:gene_model_track,Options:GeneOnly]&amp;mk=2254638:2254657|offset_12|444444,2254665:2254684|offset_39|444444,2254698:2254717|offset_72|444444,2254720:2254739|offset_94|00cc00&amp;v=2254437:2254939&amp;c=444444", "offset 94")</f>
        <v>offset 94</v>
      </c>
    </row>
    <row r="7985" customFormat="false" ht="12.8" hidden="false" customHeight="false" outlineLevel="0" collapsed="false">
      <c r="A7985" s="0" t="s">
        <v>12</v>
      </c>
      <c r="B7985" s="0" t="n">
        <v>2256638</v>
      </c>
      <c r="C7985" s="0" t="n">
        <v>2256658</v>
      </c>
      <c r="D7985" s="0" t="s">
        <v>26689</v>
      </c>
      <c r="E7985" s="0" t="s">
        <v>89</v>
      </c>
      <c r="F7985" s="0" t="s">
        <v>15</v>
      </c>
      <c r="G7985" s="0" t="s">
        <v>16</v>
      </c>
      <c r="H7985" s="0" t="n">
        <v>0</v>
      </c>
      <c r="I7985" s="0" t="s">
        <v>26690</v>
      </c>
      <c r="J7985" s="0" t="s">
        <v>26691</v>
      </c>
      <c r="K7985" s="0" t="s">
        <v>26692</v>
      </c>
      <c r="L7985" s="0" t="str">
        <f aca="false">HYPERLINK("https://www.ncbi.nlm.nih.gov/nuccore/CP000304.1?report=graph&amp;tracks=[key:gene_model_track,Options:GeneOnly]&amp;mk=2256639:2256658|offset_0|00cc00,2256664:2256683|offset_25|444444,2256689:2256708|offset_50|444444,2256709:2256728|offset_70|444444&amp;v=2256438:2256928&amp;c=444444", "offset 0")</f>
        <v>offset 0</v>
      </c>
    </row>
    <row r="7986" customFormat="false" ht="12.8" hidden="false" customHeight="false" outlineLevel="0" collapsed="false">
      <c r="A7986" s="0" t="s">
        <v>12</v>
      </c>
      <c r="B7986" s="0" t="n">
        <v>2256663</v>
      </c>
      <c r="C7986" s="0" t="n">
        <v>2256683</v>
      </c>
      <c r="D7986" s="0" t="s">
        <v>26689</v>
      </c>
      <c r="E7986" s="0" t="s">
        <v>89</v>
      </c>
      <c r="F7986" s="0" t="s">
        <v>15</v>
      </c>
      <c r="G7986" s="0" t="s">
        <v>16</v>
      </c>
      <c r="H7986" s="0" t="n">
        <v>25</v>
      </c>
      <c r="I7986" s="0" t="s">
        <v>26693</v>
      </c>
      <c r="J7986" s="0" t="s">
        <v>26694</v>
      </c>
      <c r="K7986" s="0" t="s">
        <v>26695</v>
      </c>
      <c r="L7986" s="0" t="str">
        <f aca="false">HYPERLINK("https://www.ncbi.nlm.nih.gov/nuccore/CP000304.1?report=graph&amp;tracks=[key:gene_model_track,Options:GeneOnly]&amp;mk=2256639:2256658|offset_0|444444,2256664:2256683|offset_25|00cc00,2256689:2256708|offset_50|444444,2256709:2256728|offset_70|444444&amp;v=2256438:2256928&amp;c=444444", "offset 25")</f>
        <v>offset 25</v>
      </c>
    </row>
    <row r="7987" customFormat="false" ht="12.8" hidden="false" customHeight="false" outlineLevel="0" collapsed="false">
      <c r="A7987" s="0" t="s">
        <v>12</v>
      </c>
      <c r="B7987" s="0" t="n">
        <v>2256688</v>
      </c>
      <c r="C7987" s="0" t="n">
        <v>2256708</v>
      </c>
      <c r="D7987" s="0" t="s">
        <v>26689</v>
      </c>
      <c r="E7987" s="0" t="s">
        <v>89</v>
      </c>
      <c r="F7987" s="0" t="s">
        <v>15</v>
      </c>
      <c r="G7987" s="0" t="s">
        <v>26</v>
      </c>
      <c r="H7987" s="0" t="n">
        <v>50</v>
      </c>
      <c r="I7987" s="0" t="s">
        <v>26696</v>
      </c>
      <c r="J7987" s="0" t="s">
        <v>26697</v>
      </c>
      <c r="K7987" s="0" t="s">
        <v>26698</v>
      </c>
      <c r="L7987" s="0" t="str">
        <f aca="false">HYPERLINK("https://www.ncbi.nlm.nih.gov/nuccore/CP000304.1?report=graph&amp;tracks=[key:gene_model_track,Options:GeneOnly]&amp;mk=2256639:2256658|offset_0|444444,2256664:2256683|offset_25|444444,2256689:2256708|offset_50|00cc00,2256709:2256728|offset_70|444444&amp;v=2256438:2256928&amp;c=444444", "offset 50")</f>
        <v>offset 50</v>
      </c>
    </row>
    <row r="7988" customFormat="false" ht="12.8" hidden="false" customHeight="false" outlineLevel="0" collapsed="false">
      <c r="A7988" s="0" t="s">
        <v>12</v>
      </c>
      <c r="B7988" s="0" t="n">
        <v>2256708</v>
      </c>
      <c r="C7988" s="0" t="n">
        <v>2256728</v>
      </c>
      <c r="D7988" s="0" t="s">
        <v>26689</v>
      </c>
      <c r="E7988" s="0" t="s">
        <v>89</v>
      </c>
      <c r="F7988" s="0" t="s">
        <v>15</v>
      </c>
      <c r="G7988" s="0" t="s">
        <v>36</v>
      </c>
      <c r="H7988" s="0" t="n">
        <v>70</v>
      </c>
      <c r="I7988" s="0" t="s">
        <v>26699</v>
      </c>
      <c r="J7988" s="0" t="s">
        <v>26700</v>
      </c>
      <c r="K7988" s="0" t="s">
        <v>26701</v>
      </c>
      <c r="L7988" s="0" t="str">
        <f aca="false">HYPERLINK("https://www.ncbi.nlm.nih.gov/nuccore/CP000304.1?report=graph&amp;tracks=[key:gene_model_track,Options:GeneOnly]&amp;mk=2256639:2256658|offset_0|444444,2256664:2256683|offset_25|444444,2256689:2256708|offset_50|444444,2256709:2256728|offset_70|00cc00&amp;v=2256438:2256928&amp;c=444444", "offset 70")</f>
        <v>offset 70</v>
      </c>
    </row>
    <row r="7989" customFormat="false" ht="12.8" hidden="false" customHeight="false" outlineLevel="0" collapsed="false">
      <c r="A7989" s="0" t="s">
        <v>12</v>
      </c>
      <c r="B7989" s="0" t="n">
        <v>2257895</v>
      </c>
      <c r="C7989" s="0" t="n">
        <v>2257915</v>
      </c>
      <c r="D7989" s="0" t="s">
        <v>26702</v>
      </c>
      <c r="E7989" s="0" t="s">
        <v>89</v>
      </c>
      <c r="F7989" s="0" t="s">
        <v>15</v>
      </c>
      <c r="G7989" s="0" t="s">
        <v>32</v>
      </c>
      <c r="H7989" s="0" t="n">
        <v>80</v>
      </c>
      <c r="I7989" s="0" t="s">
        <v>26703</v>
      </c>
      <c r="J7989" s="0" t="s">
        <v>26704</v>
      </c>
      <c r="K7989" s="0" t="s">
        <v>26705</v>
      </c>
      <c r="L7989" s="0" t="str">
        <f aca="false">HYPERLINK("https://www.ncbi.nlm.nih.gov/nuccore/CP000304.1?report=graph&amp;tracks=[key:gene_model_track,Options:GeneOnly]&amp;mk=2257896:2257915|offset_80|00cc00,2257920:2257939|offset_104|444444,2257989:2258008|offset_173|444444,2258013:2258032|offset_197|444444&amp;v=2257695:2258232&amp;c=444444", "offset 80")</f>
        <v>offset 80</v>
      </c>
    </row>
    <row r="7990" customFormat="false" ht="12.8" hidden="false" customHeight="false" outlineLevel="0" collapsed="false">
      <c r="A7990" s="0" t="s">
        <v>12</v>
      </c>
      <c r="B7990" s="0" t="n">
        <v>2257919</v>
      </c>
      <c r="C7990" s="0" t="n">
        <v>2257939</v>
      </c>
      <c r="D7990" s="0" t="s">
        <v>26702</v>
      </c>
      <c r="E7990" s="0" t="s">
        <v>89</v>
      </c>
      <c r="F7990" s="0" t="s">
        <v>15</v>
      </c>
      <c r="G7990" s="0" t="s">
        <v>26</v>
      </c>
      <c r="H7990" s="0" t="n">
        <v>104</v>
      </c>
      <c r="I7990" s="0" t="s">
        <v>26706</v>
      </c>
      <c r="J7990" s="0" t="s">
        <v>26707</v>
      </c>
      <c r="K7990" s="0" t="s">
        <v>26708</v>
      </c>
      <c r="L7990" s="0" t="str">
        <f aca="false">HYPERLINK("https://www.ncbi.nlm.nih.gov/nuccore/CP000304.1?report=graph&amp;tracks=[key:gene_model_track,Options:GeneOnly]&amp;mk=2257896:2257915|offset_80|444444,2257920:2257939|offset_104|00cc00,2257989:2258008|offset_173|444444,2258013:2258032|offset_197|444444&amp;v=2257695:2258232&amp;c=444444", "offset 104")</f>
        <v>offset 104</v>
      </c>
    </row>
    <row r="7991" customFormat="false" ht="12.8" hidden="false" customHeight="false" outlineLevel="0" collapsed="false">
      <c r="A7991" s="0" t="s">
        <v>12</v>
      </c>
      <c r="B7991" s="0" t="n">
        <v>2257988</v>
      </c>
      <c r="C7991" s="0" t="n">
        <v>2258008</v>
      </c>
      <c r="D7991" s="0" t="s">
        <v>26702</v>
      </c>
      <c r="E7991" s="0" t="s">
        <v>89</v>
      </c>
      <c r="F7991" s="0" t="s">
        <v>15</v>
      </c>
      <c r="G7991" s="0" t="s">
        <v>32</v>
      </c>
      <c r="H7991" s="0" t="n">
        <v>173</v>
      </c>
      <c r="I7991" s="0" t="s">
        <v>26709</v>
      </c>
      <c r="J7991" s="0" t="s">
        <v>26710</v>
      </c>
      <c r="K7991" s="0" t="s">
        <v>26711</v>
      </c>
      <c r="L7991" s="0" t="str">
        <f aca="false">HYPERLINK("https://www.ncbi.nlm.nih.gov/nuccore/CP000304.1?report=graph&amp;tracks=[key:gene_model_track,Options:GeneOnly]&amp;mk=2257896:2257915|offset_80|444444,2257920:2257939|offset_104|444444,2257989:2258008|offset_173|00cc00,2258013:2258032|offset_197|444444&amp;v=2257695:2258232&amp;c=444444", "offset 173")</f>
        <v>offset 173</v>
      </c>
    </row>
    <row r="7992" customFormat="false" ht="12.8" hidden="false" customHeight="false" outlineLevel="0" collapsed="false">
      <c r="A7992" s="0" t="s">
        <v>12</v>
      </c>
      <c r="B7992" s="0" t="n">
        <v>2258012</v>
      </c>
      <c r="C7992" s="0" t="n">
        <v>2258032</v>
      </c>
      <c r="D7992" s="0" t="s">
        <v>26702</v>
      </c>
      <c r="E7992" s="0" t="s">
        <v>89</v>
      </c>
      <c r="F7992" s="0" t="s">
        <v>15</v>
      </c>
      <c r="G7992" s="0" t="s">
        <v>16</v>
      </c>
      <c r="H7992" s="0" t="n">
        <v>197</v>
      </c>
      <c r="I7992" s="0" t="s">
        <v>26712</v>
      </c>
      <c r="J7992" s="0" t="s">
        <v>26713</v>
      </c>
      <c r="K7992" s="0" t="s">
        <v>26714</v>
      </c>
      <c r="L7992" s="0" t="str">
        <f aca="false">HYPERLINK("https://www.ncbi.nlm.nih.gov/nuccore/CP000304.1?report=graph&amp;tracks=[key:gene_model_track,Options:GeneOnly]&amp;mk=2257896:2257915|offset_80|444444,2257920:2257939|offset_104|444444,2257989:2258008|offset_173|444444,2258013:2258032|offset_197|00cc00&amp;v=2257695:2258232&amp;c=444444", "offset 197")</f>
        <v>offset 197</v>
      </c>
    </row>
    <row r="7993" customFormat="false" ht="12.8" hidden="false" customHeight="false" outlineLevel="0" collapsed="false">
      <c r="A7993" s="0" t="s">
        <v>12</v>
      </c>
      <c r="B7993" s="0" t="n">
        <v>2259569</v>
      </c>
      <c r="C7993" s="0" t="n">
        <v>2259589</v>
      </c>
      <c r="D7993" s="0" t="s">
        <v>26715</v>
      </c>
      <c r="E7993" s="0" t="s">
        <v>89</v>
      </c>
      <c r="F7993" s="0" t="s">
        <v>15</v>
      </c>
      <c r="G7993" s="0" t="s">
        <v>32</v>
      </c>
      <c r="H7993" s="0" t="n">
        <v>1</v>
      </c>
      <c r="I7993" s="0" t="s">
        <v>26716</v>
      </c>
      <c r="J7993" s="0" t="s">
        <v>26717</v>
      </c>
      <c r="K7993" s="0" t="s">
        <v>26718</v>
      </c>
      <c r="L7993" s="0" t="str">
        <f aca="false">HYPERLINK("https://www.ncbi.nlm.nih.gov/nuccore/CP000304.1?report=graph&amp;tracks=[key:gene_model_track,Options:GeneOnly]&amp;mk=2259570:2259589|offset_1|00cc00,2259613:2259632|offset_44|444444,2259662:2259681|offset_93|444444,2259701:2259720|offset_132|444444&amp;v=2259369:2259920&amp;c=444444", "offset 1")</f>
        <v>offset 1</v>
      </c>
    </row>
    <row r="7994" customFormat="false" ht="12.8" hidden="false" customHeight="false" outlineLevel="0" collapsed="false">
      <c r="A7994" s="0" t="s">
        <v>12</v>
      </c>
      <c r="B7994" s="0" t="n">
        <v>2259612</v>
      </c>
      <c r="C7994" s="0" t="n">
        <v>2259632</v>
      </c>
      <c r="D7994" s="0" t="s">
        <v>26715</v>
      </c>
      <c r="E7994" s="0" t="s">
        <v>89</v>
      </c>
      <c r="F7994" s="0" t="s">
        <v>15</v>
      </c>
      <c r="G7994" s="0" t="s">
        <v>26</v>
      </c>
      <c r="H7994" s="0" t="n">
        <v>44</v>
      </c>
      <c r="I7994" s="0" t="s">
        <v>26719</v>
      </c>
      <c r="J7994" s="0" t="s">
        <v>26720</v>
      </c>
      <c r="K7994" s="0" t="s">
        <v>26721</v>
      </c>
      <c r="L7994" s="0" t="str">
        <f aca="false">HYPERLINK("https://www.ncbi.nlm.nih.gov/nuccore/CP000304.1?report=graph&amp;tracks=[key:gene_model_track,Options:GeneOnly]&amp;mk=2259570:2259589|offset_1|444444,2259613:2259632|offset_44|00cc00,2259662:2259681|offset_93|444444,2259701:2259720|offset_132|444444&amp;v=2259369:2259920&amp;c=444444", "offset 44")</f>
        <v>offset 44</v>
      </c>
    </row>
    <row r="7995" customFormat="false" ht="12.8" hidden="false" customHeight="false" outlineLevel="0" collapsed="false">
      <c r="A7995" s="0" t="s">
        <v>12</v>
      </c>
      <c r="B7995" s="0" t="n">
        <v>2259661</v>
      </c>
      <c r="C7995" s="0" t="n">
        <v>2259681</v>
      </c>
      <c r="D7995" s="0" t="s">
        <v>26715</v>
      </c>
      <c r="E7995" s="0" t="s">
        <v>89</v>
      </c>
      <c r="F7995" s="0" t="s">
        <v>15</v>
      </c>
      <c r="G7995" s="0" t="s">
        <v>16</v>
      </c>
      <c r="H7995" s="0" t="n">
        <v>93</v>
      </c>
      <c r="I7995" s="0" t="s">
        <v>26722</v>
      </c>
      <c r="J7995" s="0" t="s">
        <v>26723</v>
      </c>
      <c r="K7995" s="0" t="s">
        <v>26724</v>
      </c>
      <c r="L7995" s="0" t="str">
        <f aca="false">HYPERLINK("https://www.ncbi.nlm.nih.gov/nuccore/CP000304.1?report=graph&amp;tracks=[key:gene_model_track,Options:GeneOnly]&amp;mk=2259570:2259589|offset_1|444444,2259613:2259632|offset_44|444444,2259662:2259681|offset_93|00cc00,2259701:2259720|offset_132|444444&amp;v=2259369:2259920&amp;c=444444", "offset 93")</f>
        <v>offset 93</v>
      </c>
    </row>
    <row r="7996" customFormat="false" ht="12.8" hidden="false" customHeight="false" outlineLevel="0" collapsed="false">
      <c r="A7996" s="0" t="s">
        <v>12</v>
      </c>
      <c r="B7996" s="0" t="n">
        <v>2259700</v>
      </c>
      <c r="C7996" s="0" t="n">
        <v>2259720</v>
      </c>
      <c r="D7996" s="0" t="s">
        <v>26715</v>
      </c>
      <c r="E7996" s="0" t="s">
        <v>89</v>
      </c>
      <c r="F7996" s="0" t="s">
        <v>15</v>
      </c>
      <c r="G7996" s="0" t="s">
        <v>36</v>
      </c>
      <c r="H7996" s="0" t="n">
        <v>132</v>
      </c>
      <c r="I7996" s="0" t="s">
        <v>26725</v>
      </c>
      <c r="J7996" s="0" t="s">
        <v>26726</v>
      </c>
      <c r="K7996" s="0" t="s">
        <v>26727</v>
      </c>
      <c r="L7996" s="0" t="str">
        <f aca="false">HYPERLINK("https://www.ncbi.nlm.nih.gov/nuccore/CP000304.1?report=graph&amp;tracks=[key:gene_model_track,Options:GeneOnly]&amp;mk=2259570:2259589|offset_1|444444,2259613:2259632|offset_44|444444,2259662:2259681|offset_93|444444,2259701:2259720|offset_132|00cc00&amp;v=2259369:2259920&amp;c=444444", "offset 132")</f>
        <v>offset 132</v>
      </c>
    </row>
    <row r="7997" customFormat="false" ht="12.8" hidden="false" customHeight="false" outlineLevel="0" collapsed="false">
      <c r="A7997" s="0" t="s">
        <v>12</v>
      </c>
      <c r="B7997" s="0" t="n">
        <v>2260004</v>
      </c>
      <c r="C7997" s="0" t="n">
        <v>2260024</v>
      </c>
      <c r="D7997" s="0" t="s">
        <v>26728</v>
      </c>
      <c r="E7997" s="0" t="s">
        <v>89</v>
      </c>
      <c r="F7997" s="0" t="s">
        <v>15</v>
      </c>
      <c r="G7997" s="0" t="s">
        <v>32</v>
      </c>
      <c r="H7997" s="0" t="n">
        <v>1</v>
      </c>
      <c r="I7997" s="0" t="s">
        <v>26729</v>
      </c>
      <c r="J7997" s="0" t="s">
        <v>26730</v>
      </c>
      <c r="K7997" s="0" t="s">
        <v>26731</v>
      </c>
      <c r="L7997" s="0" t="str">
        <f aca="false">HYPERLINK("https://www.ncbi.nlm.nih.gov/nuccore/CP000304.1?report=graph&amp;tracks=[key:gene_model_track,Options:GeneOnly]&amp;mk=2260005:2260024|offset_1|00cc00,2260033:2260052|offset_29|444444,2260055:2260074|offset_51|444444,2260076:2260095|offset_72|444444&amp;v=2259804:2260295&amp;c=444444", "offset 1")</f>
        <v>offset 1</v>
      </c>
    </row>
    <row r="7998" customFormat="false" ht="12.8" hidden="false" customHeight="false" outlineLevel="0" collapsed="false">
      <c r="A7998" s="0" t="s">
        <v>12</v>
      </c>
      <c r="B7998" s="0" t="n">
        <v>2260032</v>
      </c>
      <c r="C7998" s="0" t="n">
        <v>2260052</v>
      </c>
      <c r="D7998" s="0" t="s">
        <v>26728</v>
      </c>
      <c r="E7998" s="0" t="s">
        <v>89</v>
      </c>
      <c r="F7998" s="0" t="s">
        <v>15</v>
      </c>
      <c r="G7998" s="0" t="s">
        <v>16</v>
      </c>
      <c r="H7998" s="0" t="n">
        <v>29</v>
      </c>
      <c r="I7998" s="0" t="s">
        <v>26732</v>
      </c>
      <c r="J7998" s="0" t="s">
        <v>26733</v>
      </c>
      <c r="K7998" s="0" t="s">
        <v>26734</v>
      </c>
      <c r="L7998" s="0" t="str">
        <f aca="false">HYPERLINK("https://www.ncbi.nlm.nih.gov/nuccore/CP000304.1?report=graph&amp;tracks=[key:gene_model_track,Options:GeneOnly]&amp;mk=2260005:2260024|offset_1|444444,2260033:2260052|offset_29|00cc00,2260055:2260074|offset_51|444444,2260076:2260095|offset_72|444444&amp;v=2259804:2260295&amp;c=444444", "offset 29")</f>
        <v>offset 29</v>
      </c>
    </row>
    <row r="7999" customFormat="false" ht="12.8" hidden="false" customHeight="false" outlineLevel="0" collapsed="false">
      <c r="A7999" s="0" t="s">
        <v>12</v>
      </c>
      <c r="B7999" s="0" t="n">
        <v>2260054</v>
      </c>
      <c r="C7999" s="0" t="n">
        <v>2260074</v>
      </c>
      <c r="D7999" s="0" t="s">
        <v>26728</v>
      </c>
      <c r="E7999" s="0" t="s">
        <v>89</v>
      </c>
      <c r="F7999" s="0" t="s">
        <v>15</v>
      </c>
      <c r="G7999" s="0" t="s">
        <v>36</v>
      </c>
      <c r="H7999" s="0" t="n">
        <v>51</v>
      </c>
      <c r="I7999" s="0" t="s">
        <v>26735</v>
      </c>
      <c r="J7999" s="0" t="s">
        <v>26736</v>
      </c>
      <c r="K7999" s="0" t="s">
        <v>26737</v>
      </c>
      <c r="L7999" s="0" t="str">
        <f aca="false">HYPERLINK("https://www.ncbi.nlm.nih.gov/nuccore/CP000304.1?report=graph&amp;tracks=[key:gene_model_track,Options:GeneOnly]&amp;mk=2260005:2260024|offset_1|444444,2260033:2260052|offset_29|444444,2260055:2260074|offset_51|00cc00,2260076:2260095|offset_72|444444&amp;v=2259804:2260295&amp;c=444444", "offset 51")</f>
        <v>offset 51</v>
      </c>
    </row>
    <row r="8000" customFormat="false" ht="12.8" hidden="false" customHeight="false" outlineLevel="0" collapsed="false">
      <c r="A8000" s="0" t="s">
        <v>12</v>
      </c>
      <c r="B8000" s="0" t="n">
        <v>2260075</v>
      </c>
      <c r="C8000" s="0" t="n">
        <v>2260095</v>
      </c>
      <c r="D8000" s="0" t="s">
        <v>26728</v>
      </c>
      <c r="E8000" s="0" t="s">
        <v>89</v>
      </c>
      <c r="F8000" s="0" t="s">
        <v>15</v>
      </c>
      <c r="G8000" s="0" t="s">
        <v>36</v>
      </c>
      <c r="H8000" s="0" t="n">
        <v>72</v>
      </c>
      <c r="I8000" s="0" t="s">
        <v>26738</v>
      </c>
      <c r="J8000" s="0" t="s">
        <v>26739</v>
      </c>
      <c r="K8000" s="0" t="s">
        <v>26740</v>
      </c>
      <c r="L8000" s="0" t="str">
        <f aca="false">HYPERLINK("https://www.ncbi.nlm.nih.gov/nuccore/CP000304.1?report=graph&amp;tracks=[key:gene_model_track,Options:GeneOnly]&amp;mk=2260005:2260024|offset_1|444444,2260033:2260052|offset_29|444444,2260055:2260074|offset_51|444444,2260076:2260095|offset_72|00cc00&amp;v=2259804:2260295&amp;c=444444", "offset 72")</f>
        <v>offset 72</v>
      </c>
    </row>
    <row r="8001" customFormat="false" ht="12.8" hidden="false" customHeight="false" outlineLevel="0" collapsed="false">
      <c r="A8001" s="0" t="s">
        <v>12</v>
      </c>
      <c r="B8001" s="0" t="n">
        <v>2261261</v>
      </c>
      <c r="C8001" s="0" t="n">
        <v>2261281</v>
      </c>
      <c r="D8001" s="0" t="s">
        <v>26741</v>
      </c>
      <c r="E8001" s="0" t="s">
        <v>89</v>
      </c>
      <c r="F8001" s="0" t="s">
        <v>15</v>
      </c>
      <c r="G8001" s="0" t="s">
        <v>16</v>
      </c>
      <c r="H8001" s="0" t="n">
        <v>8</v>
      </c>
      <c r="I8001" s="0" t="s">
        <v>26742</v>
      </c>
      <c r="J8001" s="0" t="s">
        <v>26743</v>
      </c>
      <c r="K8001" s="0" t="s">
        <v>26744</v>
      </c>
      <c r="L8001" s="0" t="str">
        <f aca="false">HYPERLINK("https://www.ncbi.nlm.nih.gov/nuccore/CP000304.1?report=graph&amp;tracks=[key:gene_model_track,Options:GeneOnly]&amp;mk=2261262:2261281|offset_8|00cc00,2261336:2261355|offset_82|444444,2261375:2261394|offset_121|444444,2261415:2261434|offset_161|444444&amp;v=2261061:2261634&amp;c=444444", "offset 8")</f>
        <v>offset 8</v>
      </c>
    </row>
    <row r="8002" customFormat="false" ht="12.8" hidden="false" customHeight="false" outlineLevel="0" collapsed="false">
      <c r="A8002" s="0" t="s">
        <v>12</v>
      </c>
      <c r="B8002" s="0" t="n">
        <v>2261335</v>
      </c>
      <c r="C8002" s="0" t="n">
        <v>2261355</v>
      </c>
      <c r="D8002" s="0" t="s">
        <v>26741</v>
      </c>
      <c r="E8002" s="0" t="s">
        <v>89</v>
      </c>
      <c r="F8002" s="0" t="s">
        <v>15</v>
      </c>
      <c r="G8002" s="0" t="s">
        <v>36</v>
      </c>
      <c r="H8002" s="0" t="n">
        <v>82</v>
      </c>
      <c r="I8002" s="0" t="s">
        <v>26745</v>
      </c>
      <c r="J8002" s="0" t="s">
        <v>26746</v>
      </c>
      <c r="K8002" s="0" t="s">
        <v>26747</v>
      </c>
      <c r="L8002" s="0" t="str">
        <f aca="false">HYPERLINK("https://www.ncbi.nlm.nih.gov/nuccore/CP000304.1?report=graph&amp;tracks=[key:gene_model_track,Options:GeneOnly]&amp;mk=2261262:2261281|offset_8|444444,2261336:2261355|offset_82|00cc00,2261375:2261394|offset_121|444444,2261415:2261434|offset_161|444444&amp;v=2261061:2261634&amp;c=444444", "offset 82")</f>
        <v>offset 82</v>
      </c>
    </row>
    <row r="8003" customFormat="false" ht="12.8" hidden="false" customHeight="false" outlineLevel="0" collapsed="false">
      <c r="A8003" s="0" t="s">
        <v>12</v>
      </c>
      <c r="B8003" s="0" t="n">
        <v>2261374</v>
      </c>
      <c r="C8003" s="0" t="n">
        <v>2261394</v>
      </c>
      <c r="D8003" s="0" t="s">
        <v>26741</v>
      </c>
      <c r="E8003" s="0" t="s">
        <v>89</v>
      </c>
      <c r="F8003" s="0" t="s">
        <v>15</v>
      </c>
      <c r="G8003" s="0" t="s">
        <v>16</v>
      </c>
      <c r="H8003" s="0" t="n">
        <v>121</v>
      </c>
      <c r="I8003" s="0" t="s">
        <v>26748</v>
      </c>
      <c r="J8003" s="0" t="s">
        <v>26749</v>
      </c>
      <c r="K8003" s="0" t="s">
        <v>26750</v>
      </c>
      <c r="L8003" s="0" t="str">
        <f aca="false">HYPERLINK("https://www.ncbi.nlm.nih.gov/nuccore/CP000304.1?report=graph&amp;tracks=[key:gene_model_track,Options:GeneOnly]&amp;mk=2261262:2261281|offset_8|444444,2261336:2261355|offset_82|444444,2261375:2261394|offset_121|00cc00,2261415:2261434|offset_161|444444&amp;v=2261061:2261634&amp;c=444444", "offset 121")</f>
        <v>offset 121</v>
      </c>
    </row>
    <row r="8004" customFormat="false" ht="12.8" hidden="false" customHeight="false" outlineLevel="0" collapsed="false">
      <c r="A8004" s="0" t="s">
        <v>12</v>
      </c>
      <c r="B8004" s="0" t="n">
        <v>2261414</v>
      </c>
      <c r="C8004" s="0" t="n">
        <v>2261434</v>
      </c>
      <c r="D8004" s="0" t="s">
        <v>26741</v>
      </c>
      <c r="E8004" s="0" t="s">
        <v>89</v>
      </c>
      <c r="F8004" s="0" t="s">
        <v>15</v>
      </c>
      <c r="G8004" s="0" t="s">
        <v>36</v>
      </c>
      <c r="H8004" s="0" t="n">
        <v>161</v>
      </c>
      <c r="I8004" s="0" t="s">
        <v>26751</v>
      </c>
      <c r="J8004" s="0" t="s">
        <v>26752</v>
      </c>
      <c r="K8004" s="0" t="s">
        <v>26753</v>
      </c>
      <c r="L8004" s="0" t="str">
        <f aca="false">HYPERLINK("https://www.ncbi.nlm.nih.gov/nuccore/CP000304.1?report=graph&amp;tracks=[key:gene_model_track,Options:GeneOnly]&amp;mk=2261262:2261281|offset_8|444444,2261336:2261355|offset_82|444444,2261375:2261394|offset_121|444444,2261415:2261434|offset_161|00cc00&amp;v=2261061:2261634&amp;c=444444", "offset 161")</f>
        <v>offset 161</v>
      </c>
    </row>
    <row r="8005" customFormat="false" ht="12.8" hidden="false" customHeight="false" outlineLevel="0" collapsed="false">
      <c r="A8005" s="0" t="s">
        <v>12</v>
      </c>
      <c r="B8005" s="0" t="n">
        <v>2262756</v>
      </c>
      <c r="C8005" s="0" t="n">
        <v>2262776</v>
      </c>
      <c r="D8005" s="0" t="s">
        <v>26754</v>
      </c>
      <c r="E8005" s="0" t="s">
        <v>89</v>
      </c>
      <c r="F8005" s="0" t="s">
        <v>15</v>
      </c>
      <c r="G8005" s="0" t="s">
        <v>16</v>
      </c>
      <c r="H8005" s="0" t="n">
        <v>10</v>
      </c>
      <c r="I8005" s="0" t="s">
        <v>26755</v>
      </c>
      <c r="J8005" s="0" t="s">
        <v>26756</v>
      </c>
      <c r="K8005" s="0" t="s">
        <v>26757</v>
      </c>
      <c r="L8005" s="0" t="str">
        <f aca="false">HYPERLINK("https://www.ncbi.nlm.nih.gov/nuccore/CP000304.1?report=graph&amp;tracks=[key:gene_model_track,Options:GeneOnly]&amp;mk=2262757:2262776|offset_10|00cc00,2262805:2262824|offset_58|444444,2262847:2262866|offset_100|444444,2262872:2262891|offset_125|444444&amp;v=2262556:2263091&amp;c=444444", "offset 10")</f>
        <v>offset 10</v>
      </c>
    </row>
    <row r="8006" customFormat="false" ht="12.8" hidden="false" customHeight="false" outlineLevel="0" collapsed="false">
      <c r="A8006" s="0" t="s">
        <v>12</v>
      </c>
      <c r="B8006" s="0" t="n">
        <v>2262804</v>
      </c>
      <c r="C8006" s="0" t="n">
        <v>2262824</v>
      </c>
      <c r="D8006" s="0" t="s">
        <v>26754</v>
      </c>
      <c r="E8006" s="0" t="s">
        <v>89</v>
      </c>
      <c r="F8006" s="0" t="s">
        <v>15</v>
      </c>
      <c r="G8006" s="0" t="s">
        <v>32</v>
      </c>
      <c r="H8006" s="0" t="n">
        <v>58</v>
      </c>
      <c r="I8006" s="0" t="s">
        <v>26758</v>
      </c>
      <c r="J8006" s="0" t="s">
        <v>26759</v>
      </c>
      <c r="K8006" s="0" t="s">
        <v>26760</v>
      </c>
      <c r="L8006" s="0" t="str">
        <f aca="false">HYPERLINK("https://www.ncbi.nlm.nih.gov/nuccore/CP000304.1?report=graph&amp;tracks=[key:gene_model_track,Options:GeneOnly]&amp;mk=2262757:2262776|offset_10|444444,2262805:2262824|offset_58|00cc00,2262847:2262866|offset_100|444444,2262872:2262891|offset_125|444444&amp;v=2262556:2263091&amp;c=444444", "offset 58")</f>
        <v>offset 58</v>
      </c>
    </row>
    <row r="8007" customFormat="false" ht="12.8" hidden="false" customHeight="false" outlineLevel="0" collapsed="false">
      <c r="A8007" s="0" t="s">
        <v>12</v>
      </c>
      <c r="B8007" s="0" t="n">
        <v>2262846</v>
      </c>
      <c r="C8007" s="0" t="n">
        <v>2262866</v>
      </c>
      <c r="D8007" s="0" t="s">
        <v>26754</v>
      </c>
      <c r="E8007" s="0" t="s">
        <v>89</v>
      </c>
      <c r="F8007" s="0" t="s">
        <v>15</v>
      </c>
      <c r="G8007" s="0" t="s">
        <v>32</v>
      </c>
      <c r="H8007" s="0" t="n">
        <v>100</v>
      </c>
      <c r="I8007" s="0" t="s">
        <v>26761</v>
      </c>
      <c r="J8007" s="0" t="s">
        <v>26762</v>
      </c>
      <c r="K8007" s="0" t="s">
        <v>26763</v>
      </c>
      <c r="L8007" s="0" t="str">
        <f aca="false">HYPERLINK("https://www.ncbi.nlm.nih.gov/nuccore/CP000304.1?report=graph&amp;tracks=[key:gene_model_track,Options:GeneOnly]&amp;mk=2262757:2262776|offset_10|444444,2262805:2262824|offset_58|444444,2262847:2262866|offset_100|00cc00,2262872:2262891|offset_125|444444&amp;v=2262556:2263091&amp;c=444444", "offset 100")</f>
        <v>offset 100</v>
      </c>
    </row>
    <row r="8008" customFormat="false" ht="12.8" hidden="false" customHeight="false" outlineLevel="0" collapsed="false">
      <c r="A8008" s="0" t="s">
        <v>12</v>
      </c>
      <c r="B8008" s="0" t="n">
        <v>2262871</v>
      </c>
      <c r="C8008" s="0" t="n">
        <v>2262891</v>
      </c>
      <c r="D8008" s="0" t="s">
        <v>26754</v>
      </c>
      <c r="E8008" s="0" t="s">
        <v>89</v>
      </c>
      <c r="F8008" s="0" t="s">
        <v>15</v>
      </c>
      <c r="G8008" s="0" t="s">
        <v>26</v>
      </c>
      <c r="H8008" s="0" t="n">
        <v>125</v>
      </c>
      <c r="I8008" s="0" t="s">
        <v>26764</v>
      </c>
      <c r="J8008" s="0" t="s">
        <v>26765</v>
      </c>
      <c r="K8008" s="0" t="s">
        <v>26766</v>
      </c>
      <c r="L8008" s="0" t="str">
        <f aca="false">HYPERLINK("https://www.ncbi.nlm.nih.gov/nuccore/CP000304.1?report=graph&amp;tracks=[key:gene_model_track,Options:GeneOnly]&amp;mk=2262757:2262776|offset_10|444444,2262805:2262824|offset_58|444444,2262847:2262866|offset_100|444444,2262872:2262891|offset_125|00cc00&amp;v=2262556:2263091&amp;c=444444", "offset 125")</f>
        <v>offset 125</v>
      </c>
    </row>
    <row r="8009" customFormat="false" ht="12.8" hidden="false" customHeight="false" outlineLevel="0" collapsed="false">
      <c r="A8009" s="0" t="s">
        <v>12</v>
      </c>
      <c r="B8009" s="0" t="n">
        <v>2266625</v>
      </c>
      <c r="C8009" s="0" t="n">
        <v>2266645</v>
      </c>
      <c r="D8009" s="0" t="s">
        <v>26767</v>
      </c>
      <c r="E8009" s="0" t="s">
        <v>89</v>
      </c>
      <c r="F8009" s="0" t="s">
        <v>90</v>
      </c>
      <c r="G8009" s="0" t="s">
        <v>16</v>
      </c>
      <c r="H8009" s="0" t="n">
        <v>13</v>
      </c>
      <c r="I8009" s="0" t="s">
        <v>26768</v>
      </c>
      <c r="J8009" s="0" t="s">
        <v>26769</v>
      </c>
      <c r="K8009" s="0" t="s">
        <v>26770</v>
      </c>
      <c r="L8009" s="0" t="str">
        <f aca="false">HYPERLINK("https://www.ncbi.nlm.nih.gov/nuccore/CP000304.1?report=graph&amp;tracks=[key:gene_model_track,Options:GeneOnly]&amp;mk=2266626:2266645|offset_13|00cc00,2266603:2266622|offset_36|444444,2266579:2266598|offset_60|444444,2266539:2266558|offset_100|444444&amp;v=2266425:2266758&amp;c=444444", "offset 13")</f>
        <v>offset 13</v>
      </c>
    </row>
    <row r="8010" customFormat="false" ht="12.8" hidden="false" customHeight="false" outlineLevel="0" collapsed="false">
      <c r="A8010" s="0" t="s">
        <v>12</v>
      </c>
      <c r="B8010" s="0" t="n">
        <v>2266602</v>
      </c>
      <c r="C8010" s="0" t="n">
        <v>2266622</v>
      </c>
      <c r="D8010" s="0" t="s">
        <v>26767</v>
      </c>
      <c r="E8010" s="0" t="s">
        <v>89</v>
      </c>
      <c r="F8010" s="0" t="s">
        <v>90</v>
      </c>
      <c r="G8010" s="0" t="s">
        <v>36</v>
      </c>
      <c r="H8010" s="0" t="n">
        <v>36</v>
      </c>
      <c r="I8010" s="0" t="s">
        <v>26771</v>
      </c>
      <c r="J8010" s="0" t="s">
        <v>26772</v>
      </c>
      <c r="K8010" s="0" t="s">
        <v>26773</v>
      </c>
      <c r="L8010" s="0" t="str">
        <f aca="false">HYPERLINK("https://www.ncbi.nlm.nih.gov/nuccore/CP000304.1?report=graph&amp;tracks=[key:gene_model_track,Options:GeneOnly]&amp;mk=2266626:2266645|offset_13|444444,2266603:2266622|offset_36|00cc00,2266579:2266598|offset_60|444444,2266539:2266558|offset_100|444444&amp;v=2266425:2266758&amp;c=444444", "offset 36")</f>
        <v>offset 36</v>
      </c>
    </row>
    <row r="8011" customFormat="false" ht="12.8" hidden="false" customHeight="false" outlineLevel="0" collapsed="false">
      <c r="A8011" s="0" t="s">
        <v>12</v>
      </c>
      <c r="B8011" s="0" t="n">
        <v>2266578</v>
      </c>
      <c r="C8011" s="0" t="n">
        <v>2266598</v>
      </c>
      <c r="D8011" s="0" t="s">
        <v>26767</v>
      </c>
      <c r="E8011" s="0" t="s">
        <v>89</v>
      </c>
      <c r="F8011" s="0" t="s">
        <v>90</v>
      </c>
      <c r="G8011" s="0" t="s">
        <v>36</v>
      </c>
      <c r="H8011" s="0" t="n">
        <v>60</v>
      </c>
      <c r="I8011" s="0" t="s">
        <v>26774</v>
      </c>
      <c r="J8011" s="0" t="s">
        <v>26775</v>
      </c>
      <c r="K8011" s="0" t="s">
        <v>26776</v>
      </c>
      <c r="L8011" s="0" t="str">
        <f aca="false">HYPERLINK("https://www.ncbi.nlm.nih.gov/nuccore/CP000304.1?report=graph&amp;tracks=[key:gene_model_track,Options:GeneOnly]&amp;mk=2266626:2266645|offset_13|444444,2266603:2266622|offset_36|444444,2266579:2266598|offset_60|00cc00,2266539:2266558|offset_100|444444&amp;v=2266425:2266758&amp;c=444444", "offset 60")</f>
        <v>offset 60</v>
      </c>
    </row>
    <row r="8012" customFormat="false" ht="12.8" hidden="false" customHeight="false" outlineLevel="0" collapsed="false">
      <c r="A8012" s="0" t="s">
        <v>12</v>
      </c>
      <c r="B8012" s="0" t="n">
        <v>2266538</v>
      </c>
      <c r="C8012" s="0" t="n">
        <v>2266558</v>
      </c>
      <c r="D8012" s="0" t="s">
        <v>26767</v>
      </c>
      <c r="E8012" s="0" t="s">
        <v>89</v>
      </c>
      <c r="F8012" s="0" t="s">
        <v>90</v>
      </c>
      <c r="G8012" s="0" t="s">
        <v>36</v>
      </c>
      <c r="H8012" s="0" t="n">
        <v>100</v>
      </c>
      <c r="I8012" s="0" t="s">
        <v>26777</v>
      </c>
      <c r="J8012" s="0" t="s">
        <v>26778</v>
      </c>
      <c r="K8012" s="0" t="s">
        <v>26779</v>
      </c>
      <c r="L8012" s="0" t="str">
        <f aca="false">HYPERLINK("https://www.ncbi.nlm.nih.gov/nuccore/CP000304.1?report=graph&amp;tracks=[key:gene_model_track,Options:GeneOnly]&amp;mk=2266626:2266645|offset_13|444444,2266603:2266622|offset_36|444444,2266579:2266598|offset_60|444444,2266539:2266558|offset_100|00cc00&amp;v=2266425:2266758&amp;c=444444", "offset 100")</f>
        <v>offset 100</v>
      </c>
    </row>
    <row r="8013" customFormat="false" ht="12.8" hidden="false" customHeight="false" outlineLevel="0" collapsed="false">
      <c r="A8013" s="0" t="s">
        <v>12</v>
      </c>
      <c r="B8013" s="0" t="n">
        <v>2266834</v>
      </c>
      <c r="C8013" s="0" t="n">
        <v>2266854</v>
      </c>
      <c r="D8013" s="0" t="s">
        <v>26780</v>
      </c>
      <c r="E8013" s="0" t="s">
        <v>26781</v>
      </c>
      <c r="F8013" s="0" t="s">
        <v>15</v>
      </c>
      <c r="G8013" s="0" t="s">
        <v>32</v>
      </c>
      <c r="H8013" s="0" t="n">
        <v>14</v>
      </c>
      <c r="I8013" s="0" t="s">
        <v>26782</v>
      </c>
      <c r="J8013" s="0" t="s">
        <v>26783</v>
      </c>
      <c r="K8013" s="0" t="s">
        <v>26784</v>
      </c>
      <c r="L8013" s="0" t="str">
        <f aca="false">HYPERLINK("https://www.ncbi.nlm.nih.gov/nuccore/CP000304.1?report=graph&amp;tracks=[key:gene_model_track,Options:GeneOnly]&amp;mk=2266835:2266854|offset_14|00cc00,2266882:2266901|offset_61|444444,2266928:2266947|offset_107|444444,2266951:2266970|offset_130|444444&amp;v=2266634:2267170&amp;c=444444", "offset 14")</f>
        <v>offset 14</v>
      </c>
    </row>
    <row r="8014" customFormat="false" ht="12.8" hidden="false" customHeight="false" outlineLevel="0" collapsed="false">
      <c r="A8014" s="0" t="s">
        <v>12</v>
      </c>
      <c r="B8014" s="0" t="n">
        <v>2266881</v>
      </c>
      <c r="C8014" s="0" t="n">
        <v>2266901</v>
      </c>
      <c r="D8014" s="0" t="s">
        <v>26780</v>
      </c>
      <c r="E8014" s="0" t="s">
        <v>26781</v>
      </c>
      <c r="F8014" s="0" t="s">
        <v>15</v>
      </c>
      <c r="G8014" s="0" t="s">
        <v>16</v>
      </c>
      <c r="H8014" s="0" t="n">
        <v>61</v>
      </c>
      <c r="I8014" s="0" t="s">
        <v>26785</v>
      </c>
      <c r="J8014" s="0" t="s">
        <v>26786</v>
      </c>
      <c r="K8014" s="0" t="s">
        <v>26787</v>
      </c>
      <c r="L8014" s="0" t="str">
        <f aca="false">HYPERLINK("https://www.ncbi.nlm.nih.gov/nuccore/CP000304.1?report=graph&amp;tracks=[key:gene_model_track,Options:GeneOnly]&amp;mk=2266835:2266854|offset_14|444444,2266882:2266901|offset_61|00cc00,2266928:2266947|offset_107|444444,2266951:2266970|offset_130|444444&amp;v=2266634:2267170&amp;c=444444", "offset 61")</f>
        <v>offset 61</v>
      </c>
    </row>
    <row r="8015" customFormat="false" ht="12.8" hidden="false" customHeight="false" outlineLevel="0" collapsed="false">
      <c r="A8015" s="0" t="s">
        <v>12</v>
      </c>
      <c r="B8015" s="0" t="n">
        <v>2266927</v>
      </c>
      <c r="C8015" s="0" t="n">
        <v>2266947</v>
      </c>
      <c r="D8015" s="0" t="s">
        <v>26780</v>
      </c>
      <c r="E8015" s="0" t="s">
        <v>26781</v>
      </c>
      <c r="F8015" s="0" t="s">
        <v>15</v>
      </c>
      <c r="G8015" s="0" t="s">
        <v>16</v>
      </c>
      <c r="H8015" s="0" t="n">
        <v>107</v>
      </c>
      <c r="I8015" s="0" t="s">
        <v>26788</v>
      </c>
      <c r="J8015" s="0" t="s">
        <v>26789</v>
      </c>
      <c r="K8015" s="0" t="s">
        <v>26790</v>
      </c>
      <c r="L8015" s="0" t="str">
        <f aca="false">HYPERLINK("https://www.ncbi.nlm.nih.gov/nuccore/CP000304.1?report=graph&amp;tracks=[key:gene_model_track,Options:GeneOnly]&amp;mk=2266835:2266854|offset_14|444444,2266882:2266901|offset_61|444444,2266928:2266947|offset_107|00cc00,2266951:2266970|offset_130|444444&amp;v=2266634:2267170&amp;c=444444", "offset 107")</f>
        <v>offset 107</v>
      </c>
    </row>
    <row r="8016" customFormat="false" ht="12.8" hidden="false" customHeight="false" outlineLevel="0" collapsed="false">
      <c r="A8016" s="0" t="s">
        <v>12</v>
      </c>
      <c r="B8016" s="0" t="n">
        <v>2266950</v>
      </c>
      <c r="C8016" s="0" t="n">
        <v>2266970</v>
      </c>
      <c r="D8016" s="0" t="s">
        <v>26780</v>
      </c>
      <c r="E8016" s="0" t="s">
        <v>26781</v>
      </c>
      <c r="F8016" s="0" t="s">
        <v>15</v>
      </c>
      <c r="G8016" s="0" t="s">
        <v>16</v>
      </c>
      <c r="H8016" s="0" t="n">
        <v>130</v>
      </c>
      <c r="I8016" s="0" t="s">
        <v>26791</v>
      </c>
      <c r="J8016" s="0" t="s">
        <v>26792</v>
      </c>
      <c r="K8016" s="0" t="s">
        <v>26793</v>
      </c>
      <c r="L8016" s="0" t="str">
        <f aca="false">HYPERLINK("https://www.ncbi.nlm.nih.gov/nuccore/CP000304.1?report=graph&amp;tracks=[key:gene_model_track,Options:GeneOnly]&amp;mk=2266835:2266854|offset_14|444444,2266882:2266901|offset_61|444444,2266928:2266947|offset_107|444444,2266951:2266970|offset_130|00cc00&amp;v=2266634:2267170&amp;c=444444", "offset 130")</f>
        <v>offset 130</v>
      </c>
    </row>
    <row r="8017" customFormat="false" ht="12.8" hidden="false" customHeight="false" outlineLevel="0" collapsed="false">
      <c r="A8017" s="0" t="s">
        <v>12</v>
      </c>
      <c r="B8017" s="0" t="n">
        <v>2267534</v>
      </c>
      <c r="C8017" s="0" t="n">
        <v>2267554</v>
      </c>
      <c r="D8017" s="0" t="s">
        <v>26794</v>
      </c>
      <c r="E8017" s="0" t="s">
        <v>26795</v>
      </c>
      <c r="F8017" s="0" t="s">
        <v>15</v>
      </c>
      <c r="G8017" s="0" t="s">
        <v>32</v>
      </c>
      <c r="H8017" s="0" t="n">
        <v>19</v>
      </c>
      <c r="I8017" s="0" t="s">
        <v>26796</v>
      </c>
      <c r="J8017" s="0" t="s">
        <v>26797</v>
      </c>
      <c r="K8017" s="0" t="s">
        <v>26798</v>
      </c>
      <c r="L8017" s="0" t="str">
        <f aca="false">HYPERLINK("https://www.ncbi.nlm.nih.gov/nuccore/CP000304.1?report=graph&amp;tracks=[key:gene_model_track,Options:GeneOnly]&amp;mk=2267535:2267554|offset_19|00cc00,2267566:2267585|offset_50|444444,2267593:2267612|offset_77|444444,2267613:2267632|offset_97|444444&amp;v=2267334:2267832&amp;c=444444", "offset 19")</f>
        <v>offset 19</v>
      </c>
    </row>
    <row r="8018" customFormat="false" ht="12.8" hidden="false" customHeight="false" outlineLevel="0" collapsed="false">
      <c r="A8018" s="0" t="s">
        <v>12</v>
      </c>
      <c r="B8018" s="0" t="n">
        <v>2267565</v>
      </c>
      <c r="C8018" s="0" t="n">
        <v>2267585</v>
      </c>
      <c r="D8018" s="0" t="s">
        <v>26794</v>
      </c>
      <c r="E8018" s="0" t="s">
        <v>26795</v>
      </c>
      <c r="F8018" s="0" t="s">
        <v>15</v>
      </c>
      <c r="G8018" s="0" t="s">
        <v>26</v>
      </c>
      <c r="H8018" s="0" t="n">
        <v>50</v>
      </c>
      <c r="I8018" s="0" t="s">
        <v>26799</v>
      </c>
      <c r="J8018" s="0" t="s">
        <v>26800</v>
      </c>
      <c r="K8018" s="0" t="s">
        <v>26801</v>
      </c>
      <c r="L8018" s="0" t="str">
        <f aca="false">HYPERLINK("https://www.ncbi.nlm.nih.gov/nuccore/CP000304.1?report=graph&amp;tracks=[key:gene_model_track,Options:GeneOnly]&amp;mk=2267535:2267554|offset_19|444444,2267566:2267585|offset_50|00cc00,2267593:2267612|offset_77|444444,2267613:2267632|offset_97|444444&amp;v=2267334:2267832&amp;c=444444", "offset 50")</f>
        <v>offset 50</v>
      </c>
    </row>
    <row r="8019" customFormat="false" ht="12.8" hidden="false" customHeight="false" outlineLevel="0" collapsed="false">
      <c r="A8019" s="0" t="s">
        <v>12</v>
      </c>
      <c r="B8019" s="0" t="n">
        <v>2267592</v>
      </c>
      <c r="C8019" s="0" t="n">
        <v>2267612</v>
      </c>
      <c r="D8019" s="0" t="s">
        <v>26794</v>
      </c>
      <c r="E8019" s="0" t="s">
        <v>26795</v>
      </c>
      <c r="F8019" s="0" t="s">
        <v>15</v>
      </c>
      <c r="G8019" s="0" t="s">
        <v>16</v>
      </c>
      <c r="H8019" s="0" t="n">
        <v>77</v>
      </c>
      <c r="I8019" s="0" t="s">
        <v>26802</v>
      </c>
      <c r="J8019" s="0" t="s">
        <v>26803</v>
      </c>
      <c r="K8019" s="0" t="s">
        <v>26804</v>
      </c>
      <c r="L8019" s="0" t="str">
        <f aca="false">HYPERLINK("https://www.ncbi.nlm.nih.gov/nuccore/CP000304.1?report=graph&amp;tracks=[key:gene_model_track,Options:GeneOnly]&amp;mk=2267535:2267554|offset_19|444444,2267566:2267585|offset_50|444444,2267593:2267612|offset_77|00cc00,2267613:2267632|offset_97|444444&amp;v=2267334:2267832&amp;c=444444", "offset 77")</f>
        <v>offset 77</v>
      </c>
    </row>
    <row r="8020" customFormat="false" ht="12.8" hidden="false" customHeight="false" outlineLevel="0" collapsed="false">
      <c r="A8020" s="0" t="s">
        <v>12</v>
      </c>
      <c r="B8020" s="0" t="n">
        <v>2267612</v>
      </c>
      <c r="C8020" s="0" t="n">
        <v>2267632</v>
      </c>
      <c r="D8020" s="0" t="s">
        <v>26794</v>
      </c>
      <c r="E8020" s="0" t="s">
        <v>26795</v>
      </c>
      <c r="F8020" s="0" t="s">
        <v>15</v>
      </c>
      <c r="G8020" s="0" t="s">
        <v>32</v>
      </c>
      <c r="H8020" s="0" t="n">
        <v>97</v>
      </c>
      <c r="I8020" s="0" t="s">
        <v>26805</v>
      </c>
      <c r="J8020" s="0" t="s">
        <v>26806</v>
      </c>
      <c r="K8020" s="0" t="s">
        <v>26807</v>
      </c>
      <c r="L8020" s="0" t="str">
        <f aca="false">HYPERLINK("https://www.ncbi.nlm.nih.gov/nuccore/CP000304.1?report=graph&amp;tracks=[key:gene_model_track,Options:GeneOnly]&amp;mk=2267535:2267554|offset_19|444444,2267566:2267585|offset_50|444444,2267593:2267612|offset_77|444444,2267613:2267632|offset_97|00cc00&amp;v=2267334:2267832&amp;c=444444", "offset 97")</f>
        <v>offset 97</v>
      </c>
    </row>
    <row r="8021" customFormat="false" ht="12.8" hidden="false" customHeight="false" outlineLevel="0" collapsed="false">
      <c r="A8021" s="0" t="s">
        <v>12</v>
      </c>
      <c r="B8021" s="0" t="n">
        <v>2269281</v>
      </c>
      <c r="C8021" s="0" t="n">
        <v>2269301</v>
      </c>
      <c r="D8021" s="0" t="s">
        <v>26808</v>
      </c>
      <c r="E8021" s="0" t="s">
        <v>26809</v>
      </c>
      <c r="F8021" s="0" t="s">
        <v>15</v>
      </c>
      <c r="G8021" s="0" t="s">
        <v>36</v>
      </c>
      <c r="H8021" s="0" t="n">
        <v>31</v>
      </c>
      <c r="I8021" s="0" t="s">
        <v>26810</v>
      </c>
      <c r="J8021" s="0" t="s">
        <v>26811</v>
      </c>
      <c r="K8021" s="0" t="s">
        <v>26812</v>
      </c>
      <c r="L8021" s="0" t="str">
        <f aca="false">HYPERLINK("https://www.ncbi.nlm.nih.gov/nuccore/CP000304.1?report=graph&amp;tracks=[key:gene_model_track,Options:GeneOnly]&amp;mk=2269282:2269301|offset_31|00cc00,2269308:2269327|offset_57|444444,2269333:2269352|offset_82|444444,2269356:2269375|offset_105|444444&amp;v=2269081:2269575&amp;c=444444", "offset 31")</f>
        <v>offset 31</v>
      </c>
    </row>
    <row r="8022" customFormat="false" ht="12.8" hidden="false" customHeight="false" outlineLevel="0" collapsed="false">
      <c r="A8022" s="0" t="s">
        <v>12</v>
      </c>
      <c r="B8022" s="0" t="n">
        <v>2269307</v>
      </c>
      <c r="C8022" s="0" t="n">
        <v>2269327</v>
      </c>
      <c r="D8022" s="0" t="s">
        <v>26808</v>
      </c>
      <c r="E8022" s="0" t="s">
        <v>26809</v>
      </c>
      <c r="F8022" s="0" t="s">
        <v>15</v>
      </c>
      <c r="G8022" s="0" t="s">
        <v>16</v>
      </c>
      <c r="H8022" s="0" t="n">
        <v>57</v>
      </c>
      <c r="I8022" s="0" t="s">
        <v>26813</v>
      </c>
      <c r="J8022" s="0" t="s">
        <v>26814</v>
      </c>
      <c r="K8022" s="0" t="s">
        <v>26815</v>
      </c>
      <c r="L8022" s="0" t="str">
        <f aca="false">HYPERLINK("https://www.ncbi.nlm.nih.gov/nuccore/CP000304.1?report=graph&amp;tracks=[key:gene_model_track,Options:GeneOnly]&amp;mk=2269282:2269301|offset_31|444444,2269308:2269327|offset_57|00cc00,2269333:2269352|offset_82|444444,2269356:2269375|offset_105|444444&amp;v=2269081:2269575&amp;c=444444", "offset 57")</f>
        <v>offset 57</v>
      </c>
    </row>
    <row r="8023" customFormat="false" ht="12.8" hidden="false" customHeight="false" outlineLevel="0" collapsed="false">
      <c r="A8023" s="0" t="s">
        <v>12</v>
      </c>
      <c r="B8023" s="0" t="n">
        <v>2269332</v>
      </c>
      <c r="C8023" s="0" t="n">
        <v>2269352</v>
      </c>
      <c r="D8023" s="0" t="s">
        <v>26808</v>
      </c>
      <c r="E8023" s="0" t="s">
        <v>26809</v>
      </c>
      <c r="F8023" s="0" t="s">
        <v>15</v>
      </c>
      <c r="G8023" s="0" t="s">
        <v>16</v>
      </c>
      <c r="H8023" s="0" t="n">
        <v>82</v>
      </c>
      <c r="I8023" s="0" t="s">
        <v>26816</v>
      </c>
      <c r="J8023" s="0" t="s">
        <v>26817</v>
      </c>
      <c r="K8023" s="0" t="s">
        <v>26818</v>
      </c>
      <c r="L8023" s="0" t="str">
        <f aca="false">HYPERLINK("https://www.ncbi.nlm.nih.gov/nuccore/CP000304.1?report=graph&amp;tracks=[key:gene_model_track,Options:GeneOnly]&amp;mk=2269282:2269301|offset_31|444444,2269308:2269327|offset_57|444444,2269333:2269352|offset_82|00cc00,2269356:2269375|offset_105|444444&amp;v=2269081:2269575&amp;c=444444", "offset 82")</f>
        <v>offset 82</v>
      </c>
    </row>
    <row r="8024" customFormat="false" ht="12.8" hidden="false" customHeight="false" outlineLevel="0" collapsed="false">
      <c r="A8024" s="0" t="s">
        <v>12</v>
      </c>
      <c r="B8024" s="0" t="n">
        <v>2269355</v>
      </c>
      <c r="C8024" s="0" t="n">
        <v>2269375</v>
      </c>
      <c r="D8024" s="0" t="s">
        <v>26808</v>
      </c>
      <c r="E8024" s="0" t="s">
        <v>26809</v>
      </c>
      <c r="F8024" s="0" t="s">
        <v>15</v>
      </c>
      <c r="G8024" s="0" t="s">
        <v>36</v>
      </c>
      <c r="H8024" s="0" t="n">
        <v>105</v>
      </c>
      <c r="I8024" s="0" t="s">
        <v>26819</v>
      </c>
      <c r="J8024" s="0" t="s">
        <v>26820</v>
      </c>
      <c r="K8024" s="0" t="s">
        <v>26821</v>
      </c>
      <c r="L8024" s="0" t="str">
        <f aca="false">HYPERLINK("https://www.ncbi.nlm.nih.gov/nuccore/CP000304.1?report=graph&amp;tracks=[key:gene_model_track,Options:GeneOnly]&amp;mk=2269282:2269301|offset_31|444444,2269308:2269327|offset_57|444444,2269333:2269352|offset_82|444444,2269356:2269375|offset_105|00cc00&amp;v=2269081:2269575&amp;c=444444", "offset 105")</f>
        <v>offset 105</v>
      </c>
    </row>
    <row r="8025" customFormat="false" ht="12.8" hidden="false" customHeight="false" outlineLevel="0" collapsed="false">
      <c r="A8025" s="0" t="s">
        <v>12</v>
      </c>
      <c r="B8025" s="0" t="n">
        <v>2270280</v>
      </c>
      <c r="C8025" s="0" t="n">
        <v>2270300</v>
      </c>
      <c r="D8025" s="0" t="s">
        <v>26822</v>
      </c>
      <c r="E8025" s="0" t="s">
        <v>89</v>
      </c>
      <c r="F8025" s="0" t="s">
        <v>15</v>
      </c>
      <c r="G8025" s="0" t="s">
        <v>32</v>
      </c>
      <c r="H8025" s="0" t="n">
        <v>1</v>
      </c>
      <c r="I8025" s="0" t="s">
        <v>26823</v>
      </c>
      <c r="J8025" s="0" t="s">
        <v>26824</v>
      </c>
      <c r="K8025" s="0" t="s">
        <v>26825</v>
      </c>
      <c r="L8025" s="0" t="str">
        <f aca="false">HYPERLINK("https://www.ncbi.nlm.nih.gov/nuccore/CP000304.1?report=graph&amp;tracks=[key:gene_model_track,Options:GeneOnly]&amp;mk=2270281:2270300|offset_1|00cc00,2270305:2270324|offset_25|444444,2270348:2270367|offset_68|444444,2270386:2270405|offset_106|444444&amp;v=2270080:2270605&amp;c=444444", "offset 1")</f>
        <v>offset 1</v>
      </c>
    </row>
    <row r="8026" customFormat="false" ht="12.8" hidden="false" customHeight="false" outlineLevel="0" collapsed="false">
      <c r="A8026" s="0" t="s">
        <v>12</v>
      </c>
      <c r="B8026" s="0" t="n">
        <v>2270304</v>
      </c>
      <c r="C8026" s="0" t="n">
        <v>2270324</v>
      </c>
      <c r="D8026" s="0" t="s">
        <v>26822</v>
      </c>
      <c r="E8026" s="0" t="s">
        <v>89</v>
      </c>
      <c r="F8026" s="0" t="s">
        <v>15</v>
      </c>
      <c r="G8026" s="0" t="s">
        <v>26</v>
      </c>
      <c r="H8026" s="0" t="n">
        <v>25</v>
      </c>
      <c r="I8026" s="0" t="s">
        <v>26826</v>
      </c>
      <c r="J8026" s="0" t="s">
        <v>26827</v>
      </c>
      <c r="K8026" s="0" t="s">
        <v>26828</v>
      </c>
      <c r="L8026" s="0" t="str">
        <f aca="false">HYPERLINK("https://www.ncbi.nlm.nih.gov/nuccore/CP000304.1?report=graph&amp;tracks=[key:gene_model_track,Options:GeneOnly]&amp;mk=2270281:2270300|offset_1|444444,2270305:2270324|offset_25|00cc00,2270348:2270367|offset_68|444444,2270386:2270405|offset_106|444444&amp;v=2270080:2270605&amp;c=444444", "offset 25")</f>
        <v>offset 25</v>
      </c>
    </row>
    <row r="8027" customFormat="false" ht="12.8" hidden="false" customHeight="false" outlineLevel="0" collapsed="false">
      <c r="A8027" s="0" t="s">
        <v>12</v>
      </c>
      <c r="B8027" s="0" t="n">
        <v>2270347</v>
      </c>
      <c r="C8027" s="0" t="n">
        <v>2270367</v>
      </c>
      <c r="D8027" s="0" t="s">
        <v>26822</v>
      </c>
      <c r="E8027" s="0" t="s">
        <v>89</v>
      </c>
      <c r="F8027" s="0" t="s">
        <v>15</v>
      </c>
      <c r="G8027" s="0" t="s">
        <v>36</v>
      </c>
      <c r="H8027" s="0" t="n">
        <v>68</v>
      </c>
      <c r="I8027" s="0" t="s">
        <v>26829</v>
      </c>
      <c r="J8027" s="0" t="s">
        <v>26830</v>
      </c>
      <c r="K8027" s="0" t="s">
        <v>26831</v>
      </c>
      <c r="L8027" s="0" t="str">
        <f aca="false">HYPERLINK("https://www.ncbi.nlm.nih.gov/nuccore/CP000304.1?report=graph&amp;tracks=[key:gene_model_track,Options:GeneOnly]&amp;mk=2270281:2270300|offset_1|444444,2270305:2270324|offset_25|444444,2270348:2270367|offset_68|00cc00,2270386:2270405|offset_106|444444&amp;v=2270080:2270605&amp;c=444444", "offset 68")</f>
        <v>offset 68</v>
      </c>
    </row>
    <row r="8028" customFormat="false" ht="12.8" hidden="false" customHeight="false" outlineLevel="0" collapsed="false">
      <c r="A8028" s="0" t="s">
        <v>12</v>
      </c>
      <c r="B8028" s="0" t="n">
        <v>2270385</v>
      </c>
      <c r="C8028" s="0" t="n">
        <v>2270405</v>
      </c>
      <c r="D8028" s="0" t="s">
        <v>26822</v>
      </c>
      <c r="E8028" s="0" t="s">
        <v>89</v>
      </c>
      <c r="F8028" s="0" t="s">
        <v>15</v>
      </c>
      <c r="G8028" s="0" t="s">
        <v>32</v>
      </c>
      <c r="H8028" s="0" t="n">
        <v>106</v>
      </c>
      <c r="I8028" s="0" t="s">
        <v>26832</v>
      </c>
      <c r="J8028" s="0" t="s">
        <v>26833</v>
      </c>
      <c r="K8028" s="0" t="s">
        <v>26834</v>
      </c>
      <c r="L8028" s="0" t="str">
        <f aca="false">HYPERLINK("https://www.ncbi.nlm.nih.gov/nuccore/CP000304.1?report=graph&amp;tracks=[key:gene_model_track,Options:GeneOnly]&amp;mk=2270281:2270300|offset_1|444444,2270305:2270324|offset_25|444444,2270348:2270367|offset_68|444444,2270386:2270405|offset_106|00cc00&amp;v=2270080:2270605&amp;c=444444", "offset 106")</f>
        <v>offset 106</v>
      </c>
    </row>
    <row r="8029" customFormat="false" ht="12.8" hidden="false" customHeight="false" outlineLevel="0" collapsed="false">
      <c r="A8029" s="0" t="s">
        <v>12</v>
      </c>
      <c r="B8029" s="0" t="n">
        <v>2270677</v>
      </c>
      <c r="C8029" s="0" t="n">
        <v>2270697</v>
      </c>
      <c r="D8029" s="0" t="s">
        <v>26835</v>
      </c>
      <c r="E8029" s="0" t="s">
        <v>89</v>
      </c>
      <c r="F8029" s="0" t="s">
        <v>90</v>
      </c>
      <c r="G8029" s="0" t="s">
        <v>26</v>
      </c>
      <c r="H8029" s="0" t="n">
        <v>11</v>
      </c>
      <c r="I8029" s="0" t="s">
        <v>26836</v>
      </c>
      <c r="J8029" s="0" t="s">
        <v>26837</v>
      </c>
      <c r="K8029" s="0" t="s">
        <v>26838</v>
      </c>
      <c r="L8029" s="0" t="str">
        <f aca="false">HYPERLINK("https://www.ncbi.nlm.nih.gov/nuccore/CP000304.1?report=graph&amp;tracks=[key:gene_model_track,Options:GeneOnly]&amp;mk=2270678:2270697|offset_11|00cc00,2270565:2270584|offset_124|444444&amp;v=2270477:2270784&amp;c=444444", "offset 11")</f>
        <v>offset 11</v>
      </c>
    </row>
    <row r="8030" customFormat="false" ht="12.8" hidden="false" customHeight="false" outlineLevel="0" collapsed="false">
      <c r="A8030" s="0" t="s">
        <v>12</v>
      </c>
      <c r="B8030" s="0" t="n">
        <v>2270564</v>
      </c>
      <c r="C8030" s="0" t="n">
        <v>2270584</v>
      </c>
      <c r="D8030" s="0" t="s">
        <v>26835</v>
      </c>
      <c r="E8030" s="0" t="s">
        <v>89</v>
      </c>
      <c r="F8030" s="0" t="s">
        <v>90</v>
      </c>
      <c r="G8030" s="0" t="s">
        <v>36</v>
      </c>
      <c r="H8030" s="0" t="n">
        <v>124</v>
      </c>
      <c r="I8030" s="0" t="s">
        <v>26839</v>
      </c>
      <c r="J8030" s="0" t="s">
        <v>26840</v>
      </c>
      <c r="K8030" s="0" t="s">
        <v>26841</v>
      </c>
      <c r="L8030" s="0" t="str">
        <f aca="false">HYPERLINK("https://www.ncbi.nlm.nih.gov/nuccore/CP000304.1?report=graph&amp;tracks=[key:gene_model_track,Options:GeneOnly]&amp;mk=2270678:2270697|offset_11|444444,2270565:2270584|offset_124|00cc00&amp;v=2270477:2270784&amp;c=444444", "offset 124")</f>
        <v>offset 124</v>
      </c>
    </row>
    <row r="8031" customFormat="false" ht="12.8" hidden="false" customHeight="false" outlineLevel="0" collapsed="false">
      <c r="A8031" s="0" t="s">
        <v>12</v>
      </c>
      <c r="B8031" s="0" t="n">
        <v>2271012</v>
      </c>
      <c r="C8031" s="0" t="n">
        <v>2271032</v>
      </c>
      <c r="D8031" s="0" t="s">
        <v>26842</v>
      </c>
      <c r="E8031" s="0" t="s">
        <v>89</v>
      </c>
      <c r="F8031" s="0" t="s">
        <v>90</v>
      </c>
      <c r="G8031" s="0" t="s">
        <v>16</v>
      </c>
      <c r="H8031" s="0" t="n">
        <v>37</v>
      </c>
      <c r="I8031" s="0" t="s">
        <v>26843</v>
      </c>
      <c r="J8031" s="0" t="s">
        <v>26844</v>
      </c>
      <c r="K8031" s="0" t="s">
        <v>26845</v>
      </c>
      <c r="L8031" s="0" t="str">
        <f aca="false">HYPERLINK("https://www.ncbi.nlm.nih.gov/nuccore/CP000304.1?report=graph&amp;tracks=[key:gene_model_track,Options:GeneOnly]&amp;mk=2271013:2271032|offset_37|00cc00,2270983:2271002|offset_67|444444,2270958:2270977|offset_92|444444,2270926:2270945|offset_124|444444&amp;v=2270812:2271145&amp;c=444444", "offset 37")</f>
        <v>offset 37</v>
      </c>
    </row>
    <row r="8032" customFormat="false" ht="12.8" hidden="false" customHeight="false" outlineLevel="0" collapsed="false">
      <c r="A8032" s="0" t="s">
        <v>12</v>
      </c>
      <c r="B8032" s="0" t="n">
        <v>2270982</v>
      </c>
      <c r="C8032" s="0" t="n">
        <v>2271002</v>
      </c>
      <c r="D8032" s="0" t="s">
        <v>26842</v>
      </c>
      <c r="E8032" s="0" t="s">
        <v>89</v>
      </c>
      <c r="F8032" s="0" t="s">
        <v>90</v>
      </c>
      <c r="G8032" s="0" t="s">
        <v>32</v>
      </c>
      <c r="H8032" s="0" t="n">
        <v>67</v>
      </c>
      <c r="I8032" s="0" t="s">
        <v>26846</v>
      </c>
      <c r="J8032" s="0" t="s">
        <v>26847</v>
      </c>
      <c r="K8032" s="0" t="s">
        <v>26848</v>
      </c>
      <c r="L8032" s="0" t="str">
        <f aca="false">HYPERLINK("https://www.ncbi.nlm.nih.gov/nuccore/CP000304.1?report=graph&amp;tracks=[key:gene_model_track,Options:GeneOnly]&amp;mk=2271013:2271032|offset_37|444444,2270983:2271002|offset_67|00cc00,2270958:2270977|offset_92|444444,2270926:2270945|offset_124|444444&amp;v=2270812:2271145&amp;c=444444", "offset 67")</f>
        <v>offset 67</v>
      </c>
    </row>
    <row r="8033" customFormat="false" ht="12.8" hidden="false" customHeight="false" outlineLevel="0" collapsed="false">
      <c r="A8033" s="0" t="s">
        <v>12</v>
      </c>
      <c r="B8033" s="0" t="n">
        <v>2270957</v>
      </c>
      <c r="C8033" s="0" t="n">
        <v>2270977</v>
      </c>
      <c r="D8033" s="0" t="s">
        <v>26842</v>
      </c>
      <c r="E8033" s="0" t="s">
        <v>89</v>
      </c>
      <c r="F8033" s="0" t="s">
        <v>90</v>
      </c>
      <c r="G8033" s="0" t="s">
        <v>26</v>
      </c>
      <c r="H8033" s="0" t="n">
        <v>92</v>
      </c>
      <c r="I8033" s="0" t="s">
        <v>26849</v>
      </c>
      <c r="J8033" s="0" t="s">
        <v>26850</v>
      </c>
      <c r="K8033" s="0" t="s">
        <v>26851</v>
      </c>
      <c r="L8033" s="0" t="str">
        <f aca="false">HYPERLINK("https://www.ncbi.nlm.nih.gov/nuccore/CP000304.1?report=graph&amp;tracks=[key:gene_model_track,Options:GeneOnly]&amp;mk=2271013:2271032|offset_37|444444,2270983:2271002|offset_67|444444,2270958:2270977|offset_92|00cc00,2270926:2270945|offset_124|444444&amp;v=2270812:2271145&amp;c=444444", "offset 92")</f>
        <v>offset 92</v>
      </c>
    </row>
    <row r="8034" customFormat="false" ht="12.8" hidden="false" customHeight="false" outlineLevel="0" collapsed="false">
      <c r="A8034" s="0" t="s">
        <v>12</v>
      </c>
      <c r="B8034" s="0" t="n">
        <v>2270925</v>
      </c>
      <c r="C8034" s="0" t="n">
        <v>2270945</v>
      </c>
      <c r="D8034" s="0" t="s">
        <v>26842</v>
      </c>
      <c r="E8034" s="0" t="s">
        <v>89</v>
      </c>
      <c r="F8034" s="0" t="s">
        <v>90</v>
      </c>
      <c r="G8034" s="0" t="s">
        <v>16</v>
      </c>
      <c r="H8034" s="0" t="n">
        <v>124</v>
      </c>
      <c r="I8034" s="0" t="s">
        <v>26852</v>
      </c>
      <c r="J8034" s="0" t="s">
        <v>26853</v>
      </c>
      <c r="K8034" s="0" t="s">
        <v>26854</v>
      </c>
      <c r="L8034" s="0" t="str">
        <f aca="false">HYPERLINK("https://www.ncbi.nlm.nih.gov/nuccore/CP000304.1?report=graph&amp;tracks=[key:gene_model_track,Options:GeneOnly]&amp;mk=2271013:2271032|offset_37|444444,2270983:2271002|offset_67|444444,2270958:2270977|offset_92|444444,2270926:2270945|offset_124|00cc00&amp;v=2270812:2271145&amp;c=444444", "offset 124")</f>
        <v>offset 124</v>
      </c>
    </row>
    <row r="8035" customFormat="false" ht="12.8" hidden="false" customHeight="false" outlineLevel="0" collapsed="false">
      <c r="A8035" s="0" t="s">
        <v>12</v>
      </c>
      <c r="B8035" s="0" t="n">
        <v>2272409</v>
      </c>
      <c r="C8035" s="0" t="n">
        <v>2272429</v>
      </c>
      <c r="D8035" s="0" t="s">
        <v>26855</v>
      </c>
      <c r="E8035" s="0" t="s">
        <v>89</v>
      </c>
      <c r="F8035" s="0" t="s">
        <v>90</v>
      </c>
      <c r="G8035" s="0" t="s">
        <v>16</v>
      </c>
      <c r="H8035" s="0" t="n">
        <v>13</v>
      </c>
      <c r="I8035" s="0" t="s">
        <v>26856</v>
      </c>
      <c r="J8035" s="0" t="s">
        <v>26857</v>
      </c>
      <c r="K8035" s="0" t="s">
        <v>26858</v>
      </c>
      <c r="L8035" s="0" t="str">
        <f aca="false">HYPERLINK("https://www.ncbi.nlm.nih.gov/nuccore/CP000304.1?report=graph&amp;tracks=[key:gene_model_track,Options:GeneOnly]&amp;mk=2272410:2272429|offset_13|00cc00,2272390:2272409|offset_33|444444,2272355:2272374|offset_68|444444,2272334:2272353|offset_89|444444&amp;v=2272209:2272553&amp;c=444444", "offset 13")</f>
        <v>offset 13</v>
      </c>
    </row>
    <row r="8036" customFormat="false" ht="12.8" hidden="false" customHeight="false" outlineLevel="0" collapsed="false">
      <c r="A8036" s="0" t="s">
        <v>12</v>
      </c>
      <c r="B8036" s="0" t="n">
        <v>2272389</v>
      </c>
      <c r="C8036" s="0" t="n">
        <v>2272409</v>
      </c>
      <c r="D8036" s="0" t="s">
        <v>26855</v>
      </c>
      <c r="E8036" s="0" t="s">
        <v>89</v>
      </c>
      <c r="F8036" s="0" t="s">
        <v>90</v>
      </c>
      <c r="G8036" s="0" t="s">
        <v>26</v>
      </c>
      <c r="H8036" s="0" t="n">
        <v>33</v>
      </c>
      <c r="I8036" s="0" t="s">
        <v>26859</v>
      </c>
      <c r="J8036" s="0" t="s">
        <v>26860</v>
      </c>
      <c r="K8036" s="0" t="s">
        <v>26861</v>
      </c>
      <c r="L8036" s="0" t="str">
        <f aca="false">HYPERLINK("https://www.ncbi.nlm.nih.gov/nuccore/CP000304.1?report=graph&amp;tracks=[key:gene_model_track,Options:GeneOnly]&amp;mk=2272410:2272429|offset_13|444444,2272390:2272409|offset_33|00cc00,2272355:2272374|offset_68|444444,2272334:2272353|offset_89|444444&amp;v=2272209:2272553&amp;c=444444", "offset 33")</f>
        <v>offset 33</v>
      </c>
    </row>
    <row r="8037" customFormat="false" ht="12.8" hidden="false" customHeight="false" outlineLevel="0" collapsed="false">
      <c r="A8037" s="0" t="s">
        <v>12</v>
      </c>
      <c r="B8037" s="0" t="n">
        <v>2272354</v>
      </c>
      <c r="C8037" s="0" t="n">
        <v>2272374</v>
      </c>
      <c r="D8037" s="0" t="s">
        <v>26855</v>
      </c>
      <c r="E8037" s="0" t="s">
        <v>89</v>
      </c>
      <c r="F8037" s="0" t="s">
        <v>90</v>
      </c>
      <c r="G8037" s="0" t="s">
        <v>26</v>
      </c>
      <c r="H8037" s="0" t="n">
        <v>68</v>
      </c>
      <c r="I8037" s="0" t="s">
        <v>26862</v>
      </c>
      <c r="J8037" s="0" t="s">
        <v>26863</v>
      </c>
      <c r="K8037" s="0" t="s">
        <v>26864</v>
      </c>
      <c r="L8037" s="0" t="str">
        <f aca="false">HYPERLINK("https://www.ncbi.nlm.nih.gov/nuccore/CP000304.1?report=graph&amp;tracks=[key:gene_model_track,Options:GeneOnly]&amp;mk=2272410:2272429|offset_13|444444,2272390:2272409|offset_33|444444,2272355:2272374|offset_68|00cc00,2272334:2272353|offset_89|444444&amp;v=2272209:2272553&amp;c=444444", "offset 68")</f>
        <v>offset 68</v>
      </c>
    </row>
    <row r="8038" customFormat="false" ht="12.8" hidden="false" customHeight="false" outlineLevel="0" collapsed="false">
      <c r="A8038" s="0" t="s">
        <v>12</v>
      </c>
      <c r="B8038" s="0" t="n">
        <v>2272333</v>
      </c>
      <c r="C8038" s="0" t="n">
        <v>2272353</v>
      </c>
      <c r="D8038" s="0" t="s">
        <v>26855</v>
      </c>
      <c r="E8038" s="0" t="s">
        <v>89</v>
      </c>
      <c r="F8038" s="0" t="s">
        <v>90</v>
      </c>
      <c r="G8038" s="0" t="s">
        <v>16</v>
      </c>
      <c r="H8038" s="0" t="n">
        <v>89</v>
      </c>
      <c r="I8038" s="0" t="s">
        <v>26865</v>
      </c>
      <c r="J8038" s="0" t="s">
        <v>26866</v>
      </c>
      <c r="K8038" s="0" t="s">
        <v>26867</v>
      </c>
      <c r="L8038" s="0" t="str">
        <f aca="false">HYPERLINK("https://www.ncbi.nlm.nih.gov/nuccore/CP000304.1?report=graph&amp;tracks=[key:gene_model_track,Options:GeneOnly]&amp;mk=2272410:2272429|offset_13|444444,2272390:2272409|offset_33|444444,2272355:2272374|offset_68|444444,2272334:2272353|offset_89|00cc00&amp;v=2272209:2272553&amp;c=444444", "offset 89")</f>
        <v>offset 89</v>
      </c>
    </row>
    <row r="8039" customFormat="false" ht="12.8" hidden="false" customHeight="false" outlineLevel="0" collapsed="false">
      <c r="A8039" s="0" t="s">
        <v>12</v>
      </c>
      <c r="B8039" s="0" t="n">
        <v>2273576</v>
      </c>
      <c r="C8039" s="0" t="n">
        <v>2273596</v>
      </c>
      <c r="D8039" s="0" t="s">
        <v>26868</v>
      </c>
      <c r="E8039" s="0" t="s">
        <v>89</v>
      </c>
      <c r="F8039" s="0" t="s">
        <v>90</v>
      </c>
      <c r="G8039" s="0" t="s">
        <v>32</v>
      </c>
      <c r="H8039" s="0" t="n">
        <v>7</v>
      </c>
      <c r="I8039" s="0" t="s">
        <v>26869</v>
      </c>
      <c r="J8039" s="0" t="s">
        <v>26870</v>
      </c>
      <c r="K8039" s="0" t="s">
        <v>26871</v>
      </c>
      <c r="L8039" s="0" t="str">
        <f aca="false">HYPERLINK("https://www.ncbi.nlm.nih.gov/nuccore/CP000304.1?report=graph&amp;tracks=[key:gene_model_track,Options:GeneOnly]&amp;mk=2273577:2273596|offset_7|00cc00,2273547:2273566|offset_37|444444,2273516:2273535|offset_68|444444,2273458:2273477|offset_126|444444&amp;v=2273376:2273677&amp;c=444444", "offset 7")</f>
        <v>offset 7</v>
      </c>
    </row>
    <row r="8040" customFormat="false" ht="12.8" hidden="false" customHeight="false" outlineLevel="0" collapsed="false">
      <c r="A8040" s="0" t="s">
        <v>12</v>
      </c>
      <c r="B8040" s="0" t="n">
        <v>2273546</v>
      </c>
      <c r="C8040" s="0" t="n">
        <v>2273566</v>
      </c>
      <c r="D8040" s="0" t="s">
        <v>26868</v>
      </c>
      <c r="E8040" s="0" t="s">
        <v>89</v>
      </c>
      <c r="F8040" s="0" t="s">
        <v>90</v>
      </c>
      <c r="G8040" s="0" t="s">
        <v>16</v>
      </c>
      <c r="H8040" s="0" t="n">
        <v>37</v>
      </c>
      <c r="I8040" s="0" t="s">
        <v>26872</v>
      </c>
      <c r="J8040" s="0" t="s">
        <v>26873</v>
      </c>
      <c r="K8040" s="0" t="s">
        <v>26874</v>
      </c>
      <c r="L8040" s="0" t="str">
        <f aca="false">HYPERLINK("https://www.ncbi.nlm.nih.gov/nuccore/CP000304.1?report=graph&amp;tracks=[key:gene_model_track,Options:GeneOnly]&amp;mk=2273577:2273596|offset_7|444444,2273547:2273566|offset_37|00cc00,2273516:2273535|offset_68|444444,2273458:2273477|offset_126|444444&amp;v=2273376:2273677&amp;c=444444", "offset 37")</f>
        <v>offset 37</v>
      </c>
    </row>
    <row r="8041" customFormat="false" ht="12.8" hidden="false" customHeight="false" outlineLevel="0" collapsed="false">
      <c r="A8041" s="0" t="s">
        <v>12</v>
      </c>
      <c r="B8041" s="0" t="n">
        <v>2273515</v>
      </c>
      <c r="C8041" s="0" t="n">
        <v>2273535</v>
      </c>
      <c r="D8041" s="0" t="s">
        <v>26868</v>
      </c>
      <c r="E8041" s="0" t="s">
        <v>89</v>
      </c>
      <c r="F8041" s="0" t="s">
        <v>90</v>
      </c>
      <c r="G8041" s="0" t="s">
        <v>26</v>
      </c>
      <c r="H8041" s="0" t="n">
        <v>68</v>
      </c>
      <c r="I8041" s="0" t="s">
        <v>26875</v>
      </c>
      <c r="J8041" s="0" t="s">
        <v>26876</v>
      </c>
      <c r="K8041" s="0" t="s">
        <v>26877</v>
      </c>
      <c r="L8041" s="0" t="str">
        <f aca="false">HYPERLINK("https://www.ncbi.nlm.nih.gov/nuccore/CP000304.1?report=graph&amp;tracks=[key:gene_model_track,Options:GeneOnly]&amp;mk=2273577:2273596|offset_7|444444,2273547:2273566|offset_37|444444,2273516:2273535|offset_68|00cc00,2273458:2273477|offset_126|444444&amp;v=2273376:2273677&amp;c=444444", "offset 68")</f>
        <v>offset 68</v>
      </c>
    </row>
    <row r="8042" customFormat="false" ht="12.8" hidden="false" customHeight="false" outlineLevel="0" collapsed="false">
      <c r="A8042" s="0" t="s">
        <v>12</v>
      </c>
      <c r="B8042" s="0" t="n">
        <v>2273457</v>
      </c>
      <c r="C8042" s="0" t="n">
        <v>2273477</v>
      </c>
      <c r="D8042" s="0" t="s">
        <v>26868</v>
      </c>
      <c r="E8042" s="0" t="s">
        <v>89</v>
      </c>
      <c r="F8042" s="0" t="s">
        <v>90</v>
      </c>
      <c r="G8042" s="0" t="s">
        <v>36</v>
      </c>
      <c r="H8042" s="0" t="n">
        <v>126</v>
      </c>
      <c r="I8042" s="0" t="s">
        <v>26878</v>
      </c>
      <c r="J8042" s="0" t="s">
        <v>26879</v>
      </c>
      <c r="K8042" s="0" t="s">
        <v>26880</v>
      </c>
      <c r="L8042" s="0" t="str">
        <f aca="false">HYPERLINK("https://www.ncbi.nlm.nih.gov/nuccore/CP000304.1?report=graph&amp;tracks=[key:gene_model_track,Options:GeneOnly]&amp;mk=2273577:2273596|offset_7|444444,2273547:2273566|offset_37|444444,2273516:2273535|offset_68|444444,2273458:2273477|offset_126|00cc00&amp;v=2273376:2273677&amp;c=444444", "offset 126")</f>
        <v>offset 126</v>
      </c>
    </row>
    <row r="8043" customFormat="false" ht="12.8" hidden="false" customHeight="false" outlineLevel="0" collapsed="false">
      <c r="A8043" s="0" t="s">
        <v>12</v>
      </c>
      <c r="B8043" s="0" t="n">
        <v>2274693</v>
      </c>
      <c r="C8043" s="0" t="n">
        <v>2274713</v>
      </c>
      <c r="D8043" s="0" t="s">
        <v>26881</v>
      </c>
      <c r="E8043" s="0" t="s">
        <v>89</v>
      </c>
      <c r="F8043" s="0" t="s">
        <v>90</v>
      </c>
      <c r="G8043" s="0" t="s">
        <v>36</v>
      </c>
      <c r="H8043" s="0" t="n">
        <v>12</v>
      </c>
      <c r="I8043" s="0" t="s">
        <v>26882</v>
      </c>
      <c r="J8043" s="0" t="s">
        <v>26883</v>
      </c>
      <c r="K8043" s="0" t="s">
        <v>26884</v>
      </c>
      <c r="L8043" s="0" t="str">
        <f aca="false">HYPERLINK("https://www.ncbi.nlm.nih.gov/nuccore/CP000304.1?report=graph&amp;tracks=[key:gene_model_track,Options:GeneOnly]&amp;mk=2274694:2274713|offset_12|00cc00,2274663:2274682|offset_43|444444,2274642:2274661|offset_64|444444,2274612:2274631|offset_94|444444&amp;v=2274493:2274831&amp;c=444444", "offset 12")</f>
        <v>offset 12</v>
      </c>
    </row>
    <row r="8044" customFormat="false" ht="12.8" hidden="false" customHeight="false" outlineLevel="0" collapsed="false">
      <c r="A8044" s="0" t="s">
        <v>12</v>
      </c>
      <c r="B8044" s="0" t="n">
        <v>2274662</v>
      </c>
      <c r="C8044" s="0" t="n">
        <v>2274682</v>
      </c>
      <c r="D8044" s="0" t="s">
        <v>26881</v>
      </c>
      <c r="E8044" s="0" t="s">
        <v>89</v>
      </c>
      <c r="F8044" s="0" t="s">
        <v>90</v>
      </c>
      <c r="G8044" s="0" t="s">
        <v>16</v>
      </c>
      <c r="H8044" s="0" t="n">
        <v>43</v>
      </c>
      <c r="I8044" s="0" t="s">
        <v>26885</v>
      </c>
      <c r="J8044" s="0" t="s">
        <v>26886</v>
      </c>
      <c r="K8044" s="0" t="s">
        <v>26887</v>
      </c>
      <c r="L8044" s="0" t="str">
        <f aca="false">HYPERLINK("https://www.ncbi.nlm.nih.gov/nuccore/CP000304.1?report=graph&amp;tracks=[key:gene_model_track,Options:GeneOnly]&amp;mk=2274694:2274713|offset_12|444444,2274663:2274682|offset_43|00cc00,2274642:2274661|offset_64|444444,2274612:2274631|offset_94|444444&amp;v=2274493:2274831&amp;c=444444", "offset 43")</f>
        <v>offset 43</v>
      </c>
    </row>
    <row r="8045" customFormat="false" ht="12.8" hidden="false" customHeight="false" outlineLevel="0" collapsed="false">
      <c r="A8045" s="0" t="s">
        <v>12</v>
      </c>
      <c r="B8045" s="0" t="n">
        <v>2274641</v>
      </c>
      <c r="C8045" s="0" t="n">
        <v>2274661</v>
      </c>
      <c r="D8045" s="0" t="s">
        <v>26881</v>
      </c>
      <c r="E8045" s="0" t="s">
        <v>89</v>
      </c>
      <c r="F8045" s="0" t="s">
        <v>90</v>
      </c>
      <c r="G8045" s="0" t="s">
        <v>16</v>
      </c>
      <c r="H8045" s="0" t="n">
        <v>64</v>
      </c>
      <c r="I8045" s="0" t="s">
        <v>26888</v>
      </c>
      <c r="J8045" s="0" t="s">
        <v>26889</v>
      </c>
      <c r="K8045" s="0" t="s">
        <v>26890</v>
      </c>
      <c r="L8045" s="0" t="str">
        <f aca="false">HYPERLINK("https://www.ncbi.nlm.nih.gov/nuccore/CP000304.1?report=graph&amp;tracks=[key:gene_model_track,Options:GeneOnly]&amp;mk=2274694:2274713|offset_12|444444,2274663:2274682|offset_43|444444,2274642:2274661|offset_64|00cc00,2274612:2274631|offset_94|444444&amp;v=2274493:2274831&amp;c=444444", "offset 64")</f>
        <v>offset 64</v>
      </c>
    </row>
    <row r="8046" customFormat="false" ht="12.8" hidden="false" customHeight="false" outlineLevel="0" collapsed="false">
      <c r="A8046" s="0" t="s">
        <v>12</v>
      </c>
      <c r="B8046" s="0" t="n">
        <v>2274611</v>
      </c>
      <c r="C8046" s="0" t="n">
        <v>2274631</v>
      </c>
      <c r="D8046" s="0" t="s">
        <v>26881</v>
      </c>
      <c r="E8046" s="0" t="s">
        <v>89</v>
      </c>
      <c r="F8046" s="0" t="s">
        <v>90</v>
      </c>
      <c r="G8046" s="0" t="s">
        <v>26</v>
      </c>
      <c r="H8046" s="0" t="n">
        <v>94</v>
      </c>
      <c r="I8046" s="0" t="s">
        <v>26891</v>
      </c>
      <c r="J8046" s="0" t="s">
        <v>26892</v>
      </c>
      <c r="K8046" s="0" t="s">
        <v>26893</v>
      </c>
      <c r="L8046" s="0" t="str">
        <f aca="false">HYPERLINK("https://www.ncbi.nlm.nih.gov/nuccore/CP000304.1?report=graph&amp;tracks=[key:gene_model_track,Options:GeneOnly]&amp;mk=2274694:2274713|offset_12|444444,2274663:2274682|offset_43|444444,2274642:2274661|offset_64|444444,2274612:2274631|offset_94|00cc00&amp;v=2274493:2274831&amp;c=444444", "offset 94")</f>
        <v>offset 94</v>
      </c>
    </row>
    <row r="8047" customFormat="false" ht="12.8" hidden="false" customHeight="false" outlineLevel="0" collapsed="false">
      <c r="A8047" s="0" t="s">
        <v>12</v>
      </c>
      <c r="B8047" s="0" t="n">
        <v>2274956</v>
      </c>
      <c r="C8047" s="0" t="n">
        <v>2274976</v>
      </c>
      <c r="D8047" s="0" t="s">
        <v>26894</v>
      </c>
      <c r="E8047" s="0" t="s">
        <v>26895</v>
      </c>
      <c r="F8047" s="0" t="s">
        <v>15</v>
      </c>
      <c r="G8047" s="0" t="s">
        <v>26</v>
      </c>
      <c r="H8047" s="0" t="n">
        <v>14</v>
      </c>
      <c r="I8047" s="0" t="s">
        <v>26896</v>
      </c>
      <c r="J8047" s="0" t="s">
        <v>26897</v>
      </c>
      <c r="K8047" s="0" t="s">
        <v>26898</v>
      </c>
      <c r="L8047" s="0" t="str">
        <f aca="false">HYPERLINK("https://www.ncbi.nlm.nih.gov/nuccore/CP000304.1?report=graph&amp;tracks=[key:gene_model_track,Options:GeneOnly]&amp;mk=2274957:2274976|offset_14|00cc00,2274984:2275003|offset_41|444444,2275013:2275032|offset_70|444444,2275058:2275077|offset_115|444444&amp;v=2274756:2275277&amp;c=444444", "offset 14")</f>
        <v>offset 14</v>
      </c>
    </row>
    <row r="8048" customFormat="false" ht="12.8" hidden="false" customHeight="false" outlineLevel="0" collapsed="false">
      <c r="A8048" s="0" t="s">
        <v>12</v>
      </c>
      <c r="B8048" s="0" t="n">
        <v>2274983</v>
      </c>
      <c r="C8048" s="0" t="n">
        <v>2275003</v>
      </c>
      <c r="D8048" s="0" t="s">
        <v>26894</v>
      </c>
      <c r="E8048" s="0" t="s">
        <v>26895</v>
      </c>
      <c r="F8048" s="0" t="s">
        <v>15</v>
      </c>
      <c r="G8048" s="0" t="s">
        <v>26</v>
      </c>
      <c r="H8048" s="0" t="n">
        <v>41</v>
      </c>
      <c r="I8048" s="0" t="s">
        <v>26899</v>
      </c>
      <c r="J8048" s="0" t="s">
        <v>26900</v>
      </c>
      <c r="K8048" s="0" t="s">
        <v>26901</v>
      </c>
      <c r="L8048" s="0" t="str">
        <f aca="false">HYPERLINK("https://www.ncbi.nlm.nih.gov/nuccore/CP000304.1?report=graph&amp;tracks=[key:gene_model_track,Options:GeneOnly]&amp;mk=2274957:2274976|offset_14|444444,2274984:2275003|offset_41|00cc00,2275013:2275032|offset_70|444444,2275058:2275077|offset_115|444444&amp;v=2274756:2275277&amp;c=444444", "offset 41")</f>
        <v>offset 41</v>
      </c>
    </row>
    <row r="8049" customFormat="false" ht="12.8" hidden="false" customHeight="false" outlineLevel="0" collapsed="false">
      <c r="A8049" s="0" t="s">
        <v>12</v>
      </c>
      <c r="B8049" s="0" t="n">
        <v>2275012</v>
      </c>
      <c r="C8049" s="0" t="n">
        <v>2275032</v>
      </c>
      <c r="D8049" s="0" t="s">
        <v>26894</v>
      </c>
      <c r="E8049" s="0" t="s">
        <v>26895</v>
      </c>
      <c r="F8049" s="0" t="s">
        <v>15</v>
      </c>
      <c r="G8049" s="0" t="s">
        <v>26</v>
      </c>
      <c r="H8049" s="0" t="n">
        <v>70</v>
      </c>
      <c r="I8049" s="0" t="s">
        <v>26902</v>
      </c>
      <c r="J8049" s="0" t="s">
        <v>26903</v>
      </c>
      <c r="K8049" s="0" t="s">
        <v>26904</v>
      </c>
      <c r="L8049" s="0" t="str">
        <f aca="false">HYPERLINK("https://www.ncbi.nlm.nih.gov/nuccore/CP000304.1?report=graph&amp;tracks=[key:gene_model_track,Options:GeneOnly]&amp;mk=2274957:2274976|offset_14|444444,2274984:2275003|offset_41|444444,2275013:2275032|offset_70|00cc00,2275058:2275077|offset_115|444444&amp;v=2274756:2275277&amp;c=444444", "offset 70")</f>
        <v>offset 70</v>
      </c>
    </row>
    <row r="8050" customFormat="false" ht="12.8" hidden="false" customHeight="false" outlineLevel="0" collapsed="false">
      <c r="A8050" s="0" t="s">
        <v>12</v>
      </c>
      <c r="B8050" s="0" t="n">
        <v>2275057</v>
      </c>
      <c r="C8050" s="0" t="n">
        <v>2275077</v>
      </c>
      <c r="D8050" s="0" t="s">
        <v>26894</v>
      </c>
      <c r="E8050" s="0" t="s">
        <v>26895</v>
      </c>
      <c r="F8050" s="0" t="s">
        <v>15</v>
      </c>
      <c r="G8050" s="0" t="s">
        <v>26</v>
      </c>
      <c r="H8050" s="0" t="n">
        <v>115</v>
      </c>
      <c r="I8050" s="0" t="s">
        <v>26905</v>
      </c>
      <c r="J8050" s="0" t="s">
        <v>26906</v>
      </c>
      <c r="K8050" s="0" t="s">
        <v>26907</v>
      </c>
      <c r="L8050" s="0" t="str">
        <f aca="false">HYPERLINK("https://www.ncbi.nlm.nih.gov/nuccore/CP000304.1?report=graph&amp;tracks=[key:gene_model_track,Options:GeneOnly]&amp;mk=2274957:2274976|offset_14|444444,2274984:2275003|offset_41|444444,2275013:2275032|offset_70|444444,2275058:2275077|offset_115|00cc00&amp;v=2274756:2275277&amp;c=444444", "offset 115")</f>
        <v>offset 115</v>
      </c>
    </row>
    <row r="8051" customFormat="false" ht="12.8" hidden="false" customHeight="false" outlineLevel="0" collapsed="false">
      <c r="A8051" s="0" t="s">
        <v>12</v>
      </c>
      <c r="B8051" s="0" t="n">
        <v>2275338</v>
      </c>
      <c r="C8051" s="0" t="n">
        <v>2275358</v>
      </c>
      <c r="D8051" s="0" t="s">
        <v>26908</v>
      </c>
      <c r="E8051" s="0" t="s">
        <v>26909</v>
      </c>
      <c r="F8051" s="0" t="s">
        <v>15</v>
      </c>
      <c r="G8051" s="0" t="s">
        <v>36</v>
      </c>
      <c r="H8051" s="0" t="n">
        <v>0</v>
      </c>
      <c r="I8051" s="0" t="s">
        <v>26910</v>
      </c>
      <c r="J8051" s="0" t="s">
        <v>26911</v>
      </c>
      <c r="K8051" s="0" t="s">
        <v>26912</v>
      </c>
      <c r="L8051" s="0" t="str">
        <f aca="false">HYPERLINK("https://www.ncbi.nlm.nih.gov/nuccore/CP000304.1?report=graph&amp;tracks=[key:gene_model_track,Options:GeneOnly]&amp;mk=2275339:2275358|offset_0|00cc00,2275369:2275388|offset_30|444444,2275397:2275416|offset_58|444444,2275420:2275439|offset_81|444444&amp;v=2275138:2275639&amp;c=444444", "offset 0")</f>
        <v>offset 0</v>
      </c>
    </row>
    <row r="8052" customFormat="false" ht="12.8" hidden="false" customHeight="false" outlineLevel="0" collapsed="false">
      <c r="A8052" s="0" t="s">
        <v>12</v>
      </c>
      <c r="B8052" s="0" t="n">
        <v>2275368</v>
      </c>
      <c r="C8052" s="0" t="n">
        <v>2275388</v>
      </c>
      <c r="D8052" s="0" t="s">
        <v>26908</v>
      </c>
      <c r="E8052" s="0" t="s">
        <v>26909</v>
      </c>
      <c r="F8052" s="0" t="s">
        <v>15</v>
      </c>
      <c r="G8052" s="0" t="s">
        <v>32</v>
      </c>
      <c r="H8052" s="0" t="n">
        <v>30</v>
      </c>
      <c r="I8052" s="0" t="s">
        <v>26913</v>
      </c>
      <c r="J8052" s="0" t="s">
        <v>26914</v>
      </c>
      <c r="K8052" s="0" t="s">
        <v>26915</v>
      </c>
      <c r="L8052" s="0" t="str">
        <f aca="false">HYPERLINK("https://www.ncbi.nlm.nih.gov/nuccore/CP000304.1?report=graph&amp;tracks=[key:gene_model_track,Options:GeneOnly]&amp;mk=2275339:2275358|offset_0|444444,2275369:2275388|offset_30|00cc00,2275397:2275416|offset_58|444444,2275420:2275439|offset_81|444444&amp;v=2275138:2275639&amp;c=444444", "offset 30")</f>
        <v>offset 30</v>
      </c>
    </row>
    <row r="8053" customFormat="false" ht="12.8" hidden="false" customHeight="false" outlineLevel="0" collapsed="false">
      <c r="A8053" s="0" t="s">
        <v>12</v>
      </c>
      <c r="B8053" s="0" t="n">
        <v>2275396</v>
      </c>
      <c r="C8053" s="0" t="n">
        <v>2275416</v>
      </c>
      <c r="D8053" s="0" t="s">
        <v>26908</v>
      </c>
      <c r="E8053" s="0" t="s">
        <v>26909</v>
      </c>
      <c r="F8053" s="0" t="s">
        <v>15</v>
      </c>
      <c r="G8053" s="0" t="s">
        <v>32</v>
      </c>
      <c r="H8053" s="0" t="n">
        <v>58</v>
      </c>
      <c r="I8053" s="0" t="s">
        <v>26916</v>
      </c>
      <c r="J8053" s="0" t="s">
        <v>26917</v>
      </c>
      <c r="K8053" s="0" t="s">
        <v>26918</v>
      </c>
      <c r="L8053" s="0" t="str">
        <f aca="false">HYPERLINK("https://www.ncbi.nlm.nih.gov/nuccore/CP000304.1?report=graph&amp;tracks=[key:gene_model_track,Options:GeneOnly]&amp;mk=2275339:2275358|offset_0|444444,2275369:2275388|offset_30|444444,2275397:2275416|offset_58|00cc00,2275420:2275439|offset_81|444444&amp;v=2275138:2275639&amp;c=444444", "offset 58")</f>
        <v>offset 58</v>
      </c>
    </row>
    <row r="8054" customFormat="false" ht="12.8" hidden="false" customHeight="false" outlineLevel="0" collapsed="false">
      <c r="A8054" s="0" t="s">
        <v>12</v>
      </c>
      <c r="B8054" s="0" t="n">
        <v>2275419</v>
      </c>
      <c r="C8054" s="0" t="n">
        <v>2275439</v>
      </c>
      <c r="D8054" s="0" t="s">
        <v>26908</v>
      </c>
      <c r="E8054" s="0" t="s">
        <v>26909</v>
      </c>
      <c r="F8054" s="0" t="s">
        <v>15</v>
      </c>
      <c r="G8054" s="0" t="s">
        <v>26</v>
      </c>
      <c r="H8054" s="0" t="n">
        <v>81</v>
      </c>
      <c r="I8054" s="0" t="s">
        <v>26919</v>
      </c>
      <c r="J8054" s="0" t="s">
        <v>26920</v>
      </c>
      <c r="K8054" s="0" t="s">
        <v>26921</v>
      </c>
      <c r="L8054" s="0" t="str">
        <f aca="false">HYPERLINK("https://www.ncbi.nlm.nih.gov/nuccore/CP000304.1?report=graph&amp;tracks=[key:gene_model_track,Options:GeneOnly]&amp;mk=2275339:2275358|offset_0|444444,2275369:2275388|offset_30|444444,2275397:2275416|offset_58|444444,2275420:2275439|offset_81|00cc00&amp;v=2275138:2275639&amp;c=444444", "offset 81")</f>
        <v>offset 81</v>
      </c>
    </row>
    <row r="8055" customFormat="false" ht="12.8" hidden="false" customHeight="false" outlineLevel="0" collapsed="false">
      <c r="A8055" s="0" t="s">
        <v>12</v>
      </c>
      <c r="B8055" s="0" t="n">
        <v>2276077</v>
      </c>
      <c r="C8055" s="0" t="n">
        <v>2276097</v>
      </c>
      <c r="D8055" s="0" t="s">
        <v>26922</v>
      </c>
      <c r="E8055" s="0" t="s">
        <v>89</v>
      </c>
      <c r="F8055" s="0" t="s">
        <v>15</v>
      </c>
      <c r="G8055" s="0" t="s">
        <v>36</v>
      </c>
      <c r="H8055" s="0" t="n">
        <v>7</v>
      </c>
      <c r="I8055" s="0" t="s">
        <v>26923</v>
      </c>
      <c r="J8055" s="0" t="s">
        <v>26924</v>
      </c>
      <c r="K8055" s="0" t="s">
        <v>26925</v>
      </c>
      <c r="L8055" s="0" t="str">
        <f aca="false">HYPERLINK("https://www.ncbi.nlm.nih.gov/nuccore/CP000304.1?report=graph&amp;tracks=[key:gene_model_track,Options:GeneOnly]&amp;mk=2276078:2276097|offset_7|00cc00,2276104:2276123|offset_33|444444,2276134:2276153|offset_63|444444,2276160:2276179|offset_89|444444&amp;v=2275877:2276379&amp;c=444444", "offset 7")</f>
        <v>offset 7</v>
      </c>
    </row>
    <row r="8056" customFormat="false" ht="12.8" hidden="false" customHeight="false" outlineLevel="0" collapsed="false">
      <c r="A8056" s="0" t="s">
        <v>12</v>
      </c>
      <c r="B8056" s="0" t="n">
        <v>2276103</v>
      </c>
      <c r="C8056" s="0" t="n">
        <v>2276123</v>
      </c>
      <c r="D8056" s="0" t="s">
        <v>26922</v>
      </c>
      <c r="E8056" s="0" t="s">
        <v>89</v>
      </c>
      <c r="F8056" s="0" t="s">
        <v>15</v>
      </c>
      <c r="G8056" s="0" t="s">
        <v>36</v>
      </c>
      <c r="H8056" s="0" t="n">
        <v>33</v>
      </c>
      <c r="I8056" s="0" t="s">
        <v>26926</v>
      </c>
      <c r="J8056" s="0" t="s">
        <v>26927</v>
      </c>
      <c r="K8056" s="0" t="s">
        <v>26928</v>
      </c>
      <c r="L8056" s="0" t="str">
        <f aca="false">HYPERLINK("https://www.ncbi.nlm.nih.gov/nuccore/CP000304.1?report=graph&amp;tracks=[key:gene_model_track,Options:GeneOnly]&amp;mk=2276078:2276097|offset_7|444444,2276104:2276123|offset_33|00cc00,2276134:2276153|offset_63|444444,2276160:2276179|offset_89|444444&amp;v=2275877:2276379&amp;c=444444", "offset 33")</f>
        <v>offset 33</v>
      </c>
    </row>
    <row r="8057" customFormat="false" ht="12.8" hidden="false" customHeight="false" outlineLevel="0" collapsed="false">
      <c r="A8057" s="0" t="s">
        <v>12</v>
      </c>
      <c r="B8057" s="0" t="n">
        <v>2276133</v>
      </c>
      <c r="C8057" s="0" t="n">
        <v>2276153</v>
      </c>
      <c r="D8057" s="0" t="s">
        <v>26922</v>
      </c>
      <c r="E8057" s="0" t="s">
        <v>89</v>
      </c>
      <c r="F8057" s="0" t="s">
        <v>15</v>
      </c>
      <c r="G8057" s="0" t="s">
        <v>16</v>
      </c>
      <c r="H8057" s="0" t="n">
        <v>63</v>
      </c>
      <c r="I8057" s="0" t="s">
        <v>26929</v>
      </c>
      <c r="J8057" s="0" t="s">
        <v>26930</v>
      </c>
      <c r="K8057" s="0" t="s">
        <v>26931</v>
      </c>
      <c r="L8057" s="0" t="str">
        <f aca="false">HYPERLINK("https://www.ncbi.nlm.nih.gov/nuccore/CP000304.1?report=graph&amp;tracks=[key:gene_model_track,Options:GeneOnly]&amp;mk=2276078:2276097|offset_7|444444,2276104:2276123|offset_33|444444,2276134:2276153|offset_63|00cc00,2276160:2276179|offset_89|444444&amp;v=2275877:2276379&amp;c=444444", "offset 63")</f>
        <v>offset 63</v>
      </c>
    </row>
    <row r="8058" customFormat="false" ht="12.8" hidden="false" customHeight="false" outlineLevel="0" collapsed="false">
      <c r="A8058" s="0" t="s">
        <v>12</v>
      </c>
      <c r="B8058" s="0" t="n">
        <v>2276159</v>
      </c>
      <c r="C8058" s="0" t="n">
        <v>2276179</v>
      </c>
      <c r="D8058" s="0" t="s">
        <v>26922</v>
      </c>
      <c r="E8058" s="0" t="s">
        <v>89</v>
      </c>
      <c r="F8058" s="0" t="s">
        <v>15</v>
      </c>
      <c r="G8058" s="0" t="s">
        <v>26</v>
      </c>
      <c r="H8058" s="0" t="n">
        <v>89</v>
      </c>
      <c r="I8058" s="0" t="s">
        <v>26932</v>
      </c>
      <c r="J8058" s="0" t="s">
        <v>26933</v>
      </c>
      <c r="K8058" s="0" t="s">
        <v>26934</v>
      </c>
      <c r="L8058" s="0" t="str">
        <f aca="false">HYPERLINK("https://www.ncbi.nlm.nih.gov/nuccore/CP000304.1?report=graph&amp;tracks=[key:gene_model_track,Options:GeneOnly]&amp;mk=2276078:2276097|offset_7|444444,2276104:2276123|offset_33|444444,2276134:2276153|offset_63|444444,2276160:2276179|offset_89|00cc00&amp;v=2275877:2276379&amp;c=444444", "offset 89")</f>
        <v>offset 89</v>
      </c>
    </row>
    <row r="8059" customFormat="false" ht="12.8" hidden="false" customHeight="false" outlineLevel="0" collapsed="false">
      <c r="A8059" s="0" t="s">
        <v>12</v>
      </c>
      <c r="B8059" s="0" t="n">
        <v>2276572</v>
      </c>
      <c r="C8059" s="0" t="n">
        <v>2276592</v>
      </c>
      <c r="D8059" s="0" t="s">
        <v>26935</v>
      </c>
      <c r="E8059" s="0" t="s">
        <v>89</v>
      </c>
      <c r="F8059" s="0" t="s">
        <v>15</v>
      </c>
      <c r="G8059" s="0" t="s">
        <v>26</v>
      </c>
      <c r="H8059" s="0" t="n">
        <v>39</v>
      </c>
      <c r="I8059" s="0" t="s">
        <v>26936</v>
      </c>
      <c r="J8059" s="0" t="s">
        <v>26937</v>
      </c>
      <c r="K8059" s="0" t="s">
        <v>26938</v>
      </c>
      <c r="L8059" s="0" t="str">
        <f aca="false">HYPERLINK("https://www.ncbi.nlm.nih.gov/nuccore/CP000304.1?report=graph&amp;tracks=[key:gene_model_track,Options:GeneOnly]&amp;mk=2276573:2276592|offset_39|00cc00,2276610:2276629|offset_76|444444,2276642:2276661|offset_108|444444,2276687:2276706|offset_153|444444&amp;v=2276372:2276906&amp;c=444444", "offset 39")</f>
        <v>offset 39</v>
      </c>
    </row>
    <row r="8060" customFormat="false" ht="12.8" hidden="false" customHeight="false" outlineLevel="0" collapsed="false">
      <c r="A8060" s="0" t="s">
        <v>12</v>
      </c>
      <c r="B8060" s="0" t="n">
        <v>2276609</v>
      </c>
      <c r="C8060" s="0" t="n">
        <v>2276629</v>
      </c>
      <c r="D8060" s="0" t="s">
        <v>26935</v>
      </c>
      <c r="E8060" s="0" t="s">
        <v>89</v>
      </c>
      <c r="F8060" s="0" t="s">
        <v>15</v>
      </c>
      <c r="G8060" s="0" t="s">
        <v>16</v>
      </c>
      <c r="H8060" s="0" t="n">
        <v>76</v>
      </c>
      <c r="I8060" s="0" t="s">
        <v>26939</v>
      </c>
      <c r="J8060" s="0" t="s">
        <v>26940</v>
      </c>
      <c r="K8060" s="0" t="s">
        <v>26941</v>
      </c>
      <c r="L8060" s="0" t="str">
        <f aca="false">HYPERLINK("https://www.ncbi.nlm.nih.gov/nuccore/CP000304.1?report=graph&amp;tracks=[key:gene_model_track,Options:GeneOnly]&amp;mk=2276573:2276592|offset_39|444444,2276610:2276629|offset_76|00cc00,2276642:2276661|offset_108|444444,2276687:2276706|offset_153|444444&amp;v=2276372:2276906&amp;c=444444", "offset 76")</f>
        <v>offset 76</v>
      </c>
    </row>
    <row r="8061" customFormat="false" ht="12.8" hidden="false" customHeight="false" outlineLevel="0" collapsed="false">
      <c r="A8061" s="0" t="s">
        <v>12</v>
      </c>
      <c r="B8061" s="0" t="n">
        <v>2276641</v>
      </c>
      <c r="C8061" s="0" t="n">
        <v>2276661</v>
      </c>
      <c r="D8061" s="0" t="s">
        <v>26935</v>
      </c>
      <c r="E8061" s="0" t="s">
        <v>89</v>
      </c>
      <c r="F8061" s="0" t="s">
        <v>15</v>
      </c>
      <c r="G8061" s="0" t="s">
        <v>16</v>
      </c>
      <c r="H8061" s="0" t="n">
        <v>108</v>
      </c>
      <c r="I8061" s="0" t="s">
        <v>26942</v>
      </c>
      <c r="J8061" s="0" t="s">
        <v>26943</v>
      </c>
      <c r="K8061" s="0" t="s">
        <v>26944</v>
      </c>
      <c r="L8061" s="0" t="str">
        <f aca="false">HYPERLINK("https://www.ncbi.nlm.nih.gov/nuccore/CP000304.1?report=graph&amp;tracks=[key:gene_model_track,Options:GeneOnly]&amp;mk=2276573:2276592|offset_39|444444,2276610:2276629|offset_76|444444,2276642:2276661|offset_108|00cc00,2276687:2276706|offset_153|444444&amp;v=2276372:2276906&amp;c=444444", "offset 108")</f>
        <v>offset 108</v>
      </c>
    </row>
    <row r="8062" customFormat="false" ht="12.8" hidden="false" customHeight="false" outlineLevel="0" collapsed="false">
      <c r="A8062" s="0" t="s">
        <v>12</v>
      </c>
      <c r="B8062" s="0" t="n">
        <v>2276686</v>
      </c>
      <c r="C8062" s="0" t="n">
        <v>2276706</v>
      </c>
      <c r="D8062" s="0" t="s">
        <v>26935</v>
      </c>
      <c r="E8062" s="0" t="s">
        <v>89</v>
      </c>
      <c r="F8062" s="0" t="s">
        <v>15</v>
      </c>
      <c r="G8062" s="0" t="s">
        <v>16</v>
      </c>
      <c r="H8062" s="0" t="n">
        <v>153</v>
      </c>
      <c r="I8062" s="0" t="s">
        <v>26945</v>
      </c>
      <c r="J8062" s="0" t="s">
        <v>26946</v>
      </c>
      <c r="K8062" s="0" t="s">
        <v>26947</v>
      </c>
      <c r="L8062" s="0" t="str">
        <f aca="false">HYPERLINK("https://www.ncbi.nlm.nih.gov/nuccore/CP000304.1?report=graph&amp;tracks=[key:gene_model_track,Options:GeneOnly]&amp;mk=2276573:2276592|offset_39|444444,2276610:2276629|offset_76|444444,2276642:2276661|offset_108|444444,2276687:2276706|offset_153|00cc00&amp;v=2276372:2276906&amp;c=444444", "offset 153")</f>
        <v>offset 153</v>
      </c>
    </row>
    <row r="8063" customFormat="false" ht="12.8" hidden="false" customHeight="false" outlineLevel="0" collapsed="false">
      <c r="A8063" s="0" t="s">
        <v>12</v>
      </c>
      <c r="B8063" s="0" t="n">
        <v>2276929</v>
      </c>
      <c r="C8063" s="0" t="n">
        <v>2276949</v>
      </c>
      <c r="D8063" s="0" t="s">
        <v>26948</v>
      </c>
      <c r="E8063" s="0" t="s">
        <v>89</v>
      </c>
      <c r="F8063" s="0" t="s">
        <v>15</v>
      </c>
      <c r="G8063" s="0" t="s">
        <v>32</v>
      </c>
      <c r="H8063" s="0" t="n">
        <v>1</v>
      </c>
      <c r="I8063" s="0" t="s">
        <v>26949</v>
      </c>
      <c r="J8063" s="0" t="s">
        <v>26950</v>
      </c>
      <c r="K8063" s="0" t="s">
        <v>26951</v>
      </c>
      <c r="L8063" s="0" t="str">
        <f aca="false">HYPERLINK("https://www.ncbi.nlm.nih.gov/nuccore/CP000304.1?report=graph&amp;tracks=[key:gene_model_track,Options:GeneOnly]&amp;mk=2276930:2276949|offset_1|00cc00,2276964:2276983|offset_35|444444,2276993:2277012|offset_64|444444,2277034:2277053|offset_105|444444&amp;v=2276729:2277253&amp;c=444444", "offset 1")</f>
        <v>offset 1</v>
      </c>
    </row>
    <row r="8064" customFormat="false" ht="12.8" hidden="false" customHeight="false" outlineLevel="0" collapsed="false">
      <c r="A8064" s="0" t="s">
        <v>12</v>
      </c>
      <c r="B8064" s="0" t="n">
        <v>2276963</v>
      </c>
      <c r="C8064" s="0" t="n">
        <v>2276983</v>
      </c>
      <c r="D8064" s="0" t="s">
        <v>26948</v>
      </c>
      <c r="E8064" s="0" t="s">
        <v>89</v>
      </c>
      <c r="F8064" s="0" t="s">
        <v>15</v>
      </c>
      <c r="G8064" s="0" t="s">
        <v>16</v>
      </c>
      <c r="H8064" s="0" t="n">
        <v>35</v>
      </c>
      <c r="I8064" s="0" t="s">
        <v>26952</v>
      </c>
      <c r="J8064" s="0" t="s">
        <v>26953</v>
      </c>
      <c r="K8064" s="0" t="s">
        <v>26954</v>
      </c>
      <c r="L8064" s="0" t="str">
        <f aca="false">HYPERLINK("https://www.ncbi.nlm.nih.gov/nuccore/CP000304.1?report=graph&amp;tracks=[key:gene_model_track,Options:GeneOnly]&amp;mk=2276930:2276949|offset_1|444444,2276964:2276983|offset_35|00cc00,2276993:2277012|offset_64|444444,2277034:2277053|offset_105|444444&amp;v=2276729:2277253&amp;c=444444", "offset 35")</f>
        <v>offset 35</v>
      </c>
    </row>
    <row r="8065" customFormat="false" ht="12.8" hidden="false" customHeight="false" outlineLevel="0" collapsed="false">
      <c r="A8065" s="0" t="s">
        <v>12</v>
      </c>
      <c r="B8065" s="0" t="n">
        <v>2276992</v>
      </c>
      <c r="C8065" s="0" t="n">
        <v>2277012</v>
      </c>
      <c r="D8065" s="0" t="s">
        <v>26948</v>
      </c>
      <c r="E8065" s="0" t="s">
        <v>89</v>
      </c>
      <c r="F8065" s="0" t="s">
        <v>15</v>
      </c>
      <c r="G8065" s="0" t="s">
        <v>26</v>
      </c>
      <c r="H8065" s="0" t="n">
        <v>64</v>
      </c>
      <c r="I8065" s="0" t="s">
        <v>26955</v>
      </c>
      <c r="J8065" s="0" t="s">
        <v>26956</v>
      </c>
      <c r="K8065" s="0" t="s">
        <v>26957</v>
      </c>
      <c r="L8065" s="0" t="str">
        <f aca="false">HYPERLINK("https://www.ncbi.nlm.nih.gov/nuccore/CP000304.1?report=graph&amp;tracks=[key:gene_model_track,Options:GeneOnly]&amp;mk=2276930:2276949|offset_1|444444,2276964:2276983|offset_35|444444,2276993:2277012|offset_64|00cc00,2277034:2277053|offset_105|444444&amp;v=2276729:2277253&amp;c=444444", "offset 64")</f>
        <v>offset 64</v>
      </c>
    </row>
    <row r="8066" customFormat="false" ht="12.8" hidden="false" customHeight="false" outlineLevel="0" collapsed="false">
      <c r="A8066" s="0" t="s">
        <v>12</v>
      </c>
      <c r="B8066" s="0" t="n">
        <v>2277033</v>
      </c>
      <c r="C8066" s="0" t="n">
        <v>2277053</v>
      </c>
      <c r="D8066" s="0" t="s">
        <v>26948</v>
      </c>
      <c r="E8066" s="0" t="s">
        <v>89</v>
      </c>
      <c r="F8066" s="0" t="s">
        <v>15</v>
      </c>
      <c r="G8066" s="0" t="s">
        <v>16</v>
      </c>
      <c r="H8066" s="0" t="n">
        <v>105</v>
      </c>
      <c r="I8066" s="0" t="s">
        <v>26958</v>
      </c>
      <c r="J8066" s="0" t="s">
        <v>26959</v>
      </c>
      <c r="K8066" s="0" t="s">
        <v>26960</v>
      </c>
      <c r="L8066" s="0" t="str">
        <f aca="false">HYPERLINK("https://www.ncbi.nlm.nih.gov/nuccore/CP000304.1?report=graph&amp;tracks=[key:gene_model_track,Options:GeneOnly]&amp;mk=2276930:2276949|offset_1|444444,2276964:2276983|offset_35|444444,2276993:2277012|offset_64|444444,2277034:2277053|offset_105|00cc00&amp;v=2276729:2277253&amp;c=444444", "offset 105")</f>
        <v>offset 105</v>
      </c>
    </row>
    <row r="8067" customFormat="false" ht="12.8" hidden="false" customHeight="false" outlineLevel="0" collapsed="false">
      <c r="A8067" s="0" t="s">
        <v>12</v>
      </c>
      <c r="B8067" s="0" t="n">
        <v>2278030</v>
      </c>
      <c r="C8067" s="0" t="n">
        <v>2278050</v>
      </c>
      <c r="D8067" s="0" t="s">
        <v>26961</v>
      </c>
      <c r="E8067" s="0" t="s">
        <v>89</v>
      </c>
      <c r="F8067" s="0" t="s">
        <v>15</v>
      </c>
      <c r="G8067" s="0" t="s">
        <v>32</v>
      </c>
      <c r="H8067" s="0" t="n">
        <v>1</v>
      </c>
      <c r="I8067" s="0" t="s">
        <v>26962</v>
      </c>
      <c r="J8067" s="0" t="s">
        <v>26963</v>
      </c>
      <c r="K8067" s="0" t="s">
        <v>26964</v>
      </c>
      <c r="L8067" s="0" t="str">
        <f aca="false">HYPERLINK("https://www.ncbi.nlm.nih.gov/nuccore/CP000304.1?report=graph&amp;tracks=[key:gene_model_track,Options:GeneOnly]&amp;mk=2278031:2278050|offset_1|00cc00,2278057:2278076|offset_27|444444,2278085:2278104|offset_55|444444,2278112:2278131|offset_82|444444&amp;v=2277830:2278331&amp;c=444444", "offset 1")</f>
        <v>offset 1</v>
      </c>
    </row>
    <row r="8068" customFormat="false" ht="12.8" hidden="false" customHeight="false" outlineLevel="0" collapsed="false">
      <c r="A8068" s="0" t="s">
        <v>12</v>
      </c>
      <c r="B8068" s="0" t="n">
        <v>2278056</v>
      </c>
      <c r="C8068" s="0" t="n">
        <v>2278076</v>
      </c>
      <c r="D8068" s="0" t="s">
        <v>26961</v>
      </c>
      <c r="E8068" s="0" t="s">
        <v>89</v>
      </c>
      <c r="F8068" s="0" t="s">
        <v>15</v>
      </c>
      <c r="G8068" s="0" t="s">
        <v>16</v>
      </c>
      <c r="H8068" s="0" t="n">
        <v>27</v>
      </c>
      <c r="I8068" s="0" t="s">
        <v>26965</v>
      </c>
      <c r="J8068" s="0" t="s">
        <v>26966</v>
      </c>
      <c r="K8068" s="0" t="s">
        <v>26967</v>
      </c>
      <c r="L8068" s="0" t="str">
        <f aca="false">HYPERLINK("https://www.ncbi.nlm.nih.gov/nuccore/CP000304.1?report=graph&amp;tracks=[key:gene_model_track,Options:GeneOnly]&amp;mk=2278031:2278050|offset_1|444444,2278057:2278076|offset_27|00cc00,2278085:2278104|offset_55|444444,2278112:2278131|offset_82|444444&amp;v=2277830:2278331&amp;c=444444", "offset 27")</f>
        <v>offset 27</v>
      </c>
    </row>
    <row r="8069" customFormat="false" ht="12.8" hidden="false" customHeight="false" outlineLevel="0" collapsed="false">
      <c r="A8069" s="0" t="s">
        <v>12</v>
      </c>
      <c r="B8069" s="0" t="n">
        <v>2278084</v>
      </c>
      <c r="C8069" s="0" t="n">
        <v>2278104</v>
      </c>
      <c r="D8069" s="0" t="s">
        <v>26961</v>
      </c>
      <c r="E8069" s="0" t="s">
        <v>89</v>
      </c>
      <c r="F8069" s="0" t="s">
        <v>15</v>
      </c>
      <c r="G8069" s="0" t="s">
        <v>16</v>
      </c>
      <c r="H8069" s="0" t="n">
        <v>55</v>
      </c>
      <c r="I8069" s="0" t="s">
        <v>26968</v>
      </c>
      <c r="J8069" s="0" t="s">
        <v>26969</v>
      </c>
      <c r="K8069" s="0" t="s">
        <v>26970</v>
      </c>
      <c r="L8069" s="0" t="str">
        <f aca="false">HYPERLINK("https://www.ncbi.nlm.nih.gov/nuccore/CP000304.1?report=graph&amp;tracks=[key:gene_model_track,Options:GeneOnly]&amp;mk=2278031:2278050|offset_1|444444,2278057:2278076|offset_27|444444,2278085:2278104|offset_55|00cc00,2278112:2278131|offset_82|444444&amp;v=2277830:2278331&amp;c=444444", "offset 55")</f>
        <v>offset 55</v>
      </c>
    </row>
    <row r="8070" customFormat="false" ht="12.8" hidden="false" customHeight="false" outlineLevel="0" collapsed="false">
      <c r="A8070" s="0" t="s">
        <v>12</v>
      </c>
      <c r="B8070" s="0" t="n">
        <v>2278111</v>
      </c>
      <c r="C8070" s="0" t="n">
        <v>2278131</v>
      </c>
      <c r="D8070" s="0" t="s">
        <v>26961</v>
      </c>
      <c r="E8070" s="0" t="s">
        <v>89</v>
      </c>
      <c r="F8070" s="0" t="s">
        <v>15</v>
      </c>
      <c r="G8070" s="0" t="s">
        <v>16</v>
      </c>
      <c r="H8070" s="0" t="n">
        <v>82</v>
      </c>
      <c r="I8070" s="0" t="s">
        <v>26971</v>
      </c>
      <c r="J8070" s="0" t="s">
        <v>26972</v>
      </c>
      <c r="K8070" s="0" t="s">
        <v>26973</v>
      </c>
      <c r="L8070" s="0" t="str">
        <f aca="false">HYPERLINK("https://www.ncbi.nlm.nih.gov/nuccore/CP000304.1?report=graph&amp;tracks=[key:gene_model_track,Options:GeneOnly]&amp;mk=2278031:2278050|offset_1|444444,2278057:2278076|offset_27|444444,2278085:2278104|offset_55|444444,2278112:2278131|offset_82|00cc00&amp;v=2277830:2278331&amp;c=444444", "offset 82")</f>
        <v>offset 82</v>
      </c>
    </row>
    <row r="8071" customFormat="false" ht="12.8" hidden="false" customHeight="false" outlineLevel="0" collapsed="false">
      <c r="A8071" s="0" t="s">
        <v>12</v>
      </c>
      <c r="B8071" s="0" t="n">
        <v>2280494</v>
      </c>
      <c r="C8071" s="0" t="n">
        <v>2280514</v>
      </c>
      <c r="D8071" s="0" t="s">
        <v>26974</v>
      </c>
      <c r="E8071" s="0" t="s">
        <v>89</v>
      </c>
      <c r="F8071" s="0" t="s">
        <v>90</v>
      </c>
      <c r="G8071" s="0" t="s">
        <v>32</v>
      </c>
      <c r="H8071" s="0" t="n">
        <v>18</v>
      </c>
      <c r="I8071" s="0" t="s">
        <v>26975</v>
      </c>
      <c r="J8071" s="0" t="s">
        <v>26976</v>
      </c>
      <c r="K8071" s="0" t="s">
        <v>26977</v>
      </c>
      <c r="L8071" s="0" t="str">
        <f aca="false">HYPERLINK("https://www.ncbi.nlm.nih.gov/nuccore/CP000304.1?report=graph&amp;tracks=[key:gene_model_track,Options:GeneOnly]&amp;mk=2280495:2280514|offset_18|00cc00,2280475:2280494|offset_38|444444,2280439:2280458|offset_74|444444,2280407:2280426|offset_106|444444&amp;v=2280294:2280626&amp;c=444444", "offset 18")</f>
        <v>offset 18</v>
      </c>
    </row>
    <row r="8072" customFormat="false" ht="12.8" hidden="false" customHeight="false" outlineLevel="0" collapsed="false">
      <c r="A8072" s="0" t="s">
        <v>12</v>
      </c>
      <c r="B8072" s="0" t="n">
        <v>2280474</v>
      </c>
      <c r="C8072" s="0" t="n">
        <v>2280494</v>
      </c>
      <c r="D8072" s="0" t="s">
        <v>26974</v>
      </c>
      <c r="E8072" s="0" t="s">
        <v>89</v>
      </c>
      <c r="F8072" s="0" t="s">
        <v>90</v>
      </c>
      <c r="G8072" s="0" t="s">
        <v>26</v>
      </c>
      <c r="H8072" s="0" t="n">
        <v>38</v>
      </c>
      <c r="I8072" s="0" t="s">
        <v>26978</v>
      </c>
      <c r="J8072" s="0" t="s">
        <v>26979</v>
      </c>
      <c r="K8072" s="0" t="s">
        <v>26980</v>
      </c>
      <c r="L8072" s="0" t="str">
        <f aca="false">HYPERLINK("https://www.ncbi.nlm.nih.gov/nuccore/CP000304.1?report=graph&amp;tracks=[key:gene_model_track,Options:GeneOnly]&amp;mk=2280495:2280514|offset_18|444444,2280475:2280494|offset_38|00cc00,2280439:2280458|offset_74|444444,2280407:2280426|offset_106|444444&amp;v=2280294:2280626&amp;c=444444", "offset 38")</f>
        <v>offset 38</v>
      </c>
    </row>
    <row r="8073" customFormat="false" ht="12.8" hidden="false" customHeight="false" outlineLevel="0" collapsed="false">
      <c r="A8073" s="0" t="s">
        <v>12</v>
      </c>
      <c r="B8073" s="0" t="n">
        <v>2280438</v>
      </c>
      <c r="C8073" s="0" t="n">
        <v>2280458</v>
      </c>
      <c r="D8073" s="0" t="s">
        <v>26974</v>
      </c>
      <c r="E8073" s="0" t="s">
        <v>89</v>
      </c>
      <c r="F8073" s="0" t="s">
        <v>90</v>
      </c>
      <c r="G8073" s="0" t="s">
        <v>26</v>
      </c>
      <c r="H8073" s="0" t="n">
        <v>74</v>
      </c>
      <c r="I8073" s="0" t="s">
        <v>26981</v>
      </c>
      <c r="J8073" s="0" t="s">
        <v>26982</v>
      </c>
      <c r="K8073" s="0" t="s">
        <v>26983</v>
      </c>
      <c r="L8073" s="0" t="str">
        <f aca="false">HYPERLINK("https://www.ncbi.nlm.nih.gov/nuccore/CP000304.1?report=graph&amp;tracks=[key:gene_model_track,Options:GeneOnly]&amp;mk=2280495:2280514|offset_18|444444,2280475:2280494|offset_38|444444,2280439:2280458|offset_74|00cc00,2280407:2280426|offset_106|444444&amp;v=2280294:2280626&amp;c=444444", "offset 74")</f>
        <v>offset 74</v>
      </c>
    </row>
    <row r="8074" customFormat="false" ht="12.8" hidden="false" customHeight="false" outlineLevel="0" collapsed="false">
      <c r="A8074" s="0" t="s">
        <v>12</v>
      </c>
      <c r="B8074" s="0" t="n">
        <v>2280406</v>
      </c>
      <c r="C8074" s="0" t="n">
        <v>2280426</v>
      </c>
      <c r="D8074" s="0" t="s">
        <v>26974</v>
      </c>
      <c r="E8074" s="0" t="s">
        <v>89</v>
      </c>
      <c r="F8074" s="0" t="s">
        <v>90</v>
      </c>
      <c r="G8074" s="0" t="s">
        <v>16</v>
      </c>
      <c r="H8074" s="0" t="n">
        <v>106</v>
      </c>
      <c r="I8074" s="0" t="s">
        <v>26984</v>
      </c>
      <c r="J8074" s="0" t="s">
        <v>26985</v>
      </c>
      <c r="K8074" s="0" t="s">
        <v>26986</v>
      </c>
      <c r="L8074" s="0" t="str">
        <f aca="false">HYPERLINK("https://www.ncbi.nlm.nih.gov/nuccore/CP000304.1?report=graph&amp;tracks=[key:gene_model_track,Options:GeneOnly]&amp;mk=2280495:2280514|offset_18|444444,2280475:2280494|offset_38|444444,2280439:2280458|offset_74|444444,2280407:2280426|offset_106|00cc00&amp;v=2280294:2280626&amp;c=444444", "offset 106")</f>
        <v>offset 106</v>
      </c>
    </row>
    <row r="8075" customFormat="false" ht="12.8" hidden="false" customHeight="false" outlineLevel="0" collapsed="false">
      <c r="A8075" s="0" t="s">
        <v>12</v>
      </c>
      <c r="B8075" s="0" t="n">
        <v>2280967</v>
      </c>
      <c r="C8075" s="0" t="n">
        <v>2280987</v>
      </c>
      <c r="D8075" s="0" t="s">
        <v>26987</v>
      </c>
      <c r="E8075" s="0" t="s">
        <v>89</v>
      </c>
      <c r="F8075" s="0" t="s">
        <v>90</v>
      </c>
      <c r="G8075" s="0" t="s">
        <v>36</v>
      </c>
      <c r="H8075" s="0" t="n">
        <v>35</v>
      </c>
      <c r="I8075" s="0" t="s">
        <v>26988</v>
      </c>
      <c r="J8075" s="0" t="s">
        <v>26989</v>
      </c>
      <c r="K8075" s="0" t="s">
        <v>26990</v>
      </c>
      <c r="L8075" s="0" t="str">
        <f aca="false">HYPERLINK("https://www.ncbi.nlm.nih.gov/nuccore/CP000304.1?report=graph&amp;tracks=[key:gene_model_track,Options:GeneOnly]&amp;mk=2280968:2280987|offset_35|00cc00,2280948:2280967|offset_55|444444,2280927:2280946|offset_76|444444,2280903:2280922|offset_100|444444&amp;v=2280767:2281122&amp;c=444444", "offset 35")</f>
        <v>offset 35</v>
      </c>
    </row>
    <row r="8076" customFormat="false" ht="12.8" hidden="false" customHeight="false" outlineLevel="0" collapsed="false">
      <c r="A8076" s="0" t="s">
        <v>12</v>
      </c>
      <c r="B8076" s="0" t="n">
        <v>2280947</v>
      </c>
      <c r="C8076" s="0" t="n">
        <v>2280967</v>
      </c>
      <c r="D8076" s="0" t="s">
        <v>26987</v>
      </c>
      <c r="E8076" s="0" t="s">
        <v>89</v>
      </c>
      <c r="F8076" s="0" t="s">
        <v>90</v>
      </c>
      <c r="G8076" s="0" t="s">
        <v>16</v>
      </c>
      <c r="H8076" s="0" t="n">
        <v>55</v>
      </c>
      <c r="I8076" s="0" t="s">
        <v>26991</v>
      </c>
      <c r="J8076" s="0" t="s">
        <v>26992</v>
      </c>
      <c r="K8076" s="0" t="s">
        <v>26993</v>
      </c>
      <c r="L8076" s="0" t="str">
        <f aca="false">HYPERLINK("https://www.ncbi.nlm.nih.gov/nuccore/CP000304.1?report=graph&amp;tracks=[key:gene_model_track,Options:GeneOnly]&amp;mk=2280968:2280987|offset_35|444444,2280948:2280967|offset_55|00cc00,2280927:2280946|offset_76|444444,2280903:2280922|offset_100|444444&amp;v=2280767:2281122&amp;c=444444", "offset 55")</f>
        <v>offset 55</v>
      </c>
    </row>
    <row r="8077" customFormat="false" ht="12.8" hidden="false" customHeight="false" outlineLevel="0" collapsed="false">
      <c r="A8077" s="0" t="s">
        <v>12</v>
      </c>
      <c r="B8077" s="0" t="n">
        <v>2280926</v>
      </c>
      <c r="C8077" s="0" t="n">
        <v>2280946</v>
      </c>
      <c r="D8077" s="0" t="s">
        <v>26987</v>
      </c>
      <c r="E8077" s="0" t="s">
        <v>89</v>
      </c>
      <c r="F8077" s="0" t="s">
        <v>90</v>
      </c>
      <c r="G8077" s="0" t="s">
        <v>32</v>
      </c>
      <c r="H8077" s="0" t="n">
        <v>76</v>
      </c>
      <c r="I8077" s="0" t="s">
        <v>26994</v>
      </c>
      <c r="J8077" s="0" t="s">
        <v>26995</v>
      </c>
      <c r="K8077" s="0" t="s">
        <v>26996</v>
      </c>
      <c r="L8077" s="0" t="str">
        <f aca="false">HYPERLINK("https://www.ncbi.nlm.nih.gov/nuccore/CP000304.1?report=graph&amp;tracks=[key:gene_model_track,Options:GeneOnly]&amp;mk=2280968:2280987|offset_35|444444,2280948:2280967|offset_55|444444,2280927:2280946|offset_76|00cc00,2280903:2280922|offset_100|444444&amp;v=2280767:2281122&amp;c=444444", "offset 76")</f>
        <v>offset 76</v>
      </c>
    </row>
    <row r="8078" customFormat="false" ht="12.8" hidden="false" customHeight="false" outlineLevel="0" collapsed="false">
      <c r="A8078" s="0" t="s">
        <v>12</v>
      </c>
      <c r="B8078" s="0" t="n">
        <v>2280902</v>
      </c>
      <c r="C8078" s="0" t="n">
        <v>2280922</v>
      </c>
      <c r="D8078" s="0" t="s">
        <v>26987</v>
      </c>
      <c r="E8078" s="0" t="s">
        <v>89</v>
      </c>
      <c r="F8078" s="0" t="s">
        <v>90</v>
      </c>
      <c r="G8078" s="0" t="s">
        <v>26</v>
      </c>
      <c r="H8078" s="0" t="n">
        <v>100</v>
      </c>
      <c r="I8078" s="0" t="s">
        <v>26997</v>
      </c>
      <c r="J8078" s="0" t="s">
        <v>26998</v>
      </c>
      <c r="K8078" s="0" t="s">
        <v>26999</v>
      </c>
      <c r="L8078" s="0" t="str">
        <f aca="false">HYPERLINK("https://www.ncbi.nlm.nih.gov/nuccore/CP000304.1?report=graph&amp;tracks=[key:gene_model_track,Options:GeneOnly]&amp;mk=2280968:2280987|offset_35|444444,2280948:2280967|offset_55|444444,2280927:2280946|offset_76|444444,2280903:2280922|offset_100|00cc00&amp;v=2280767:2281122&amp;c=444444", "offset 100")</f>
        <v>offset 100</v>
      </c>
    </row>
    <row r="8079" customFormat="false" ht="12.8" hidden="false" customHeight="false" outlineLevel="0" collapsed="false">
      <c r="A8079" s="0" t="s">
        <v>12</v>
      </c>
      <c r="B8079" s="0" t="n">
        <v>2281657</v>
      </c>
      <c r="C8079" s="0" t="n">
        <v>2281677</v>
      </c>
      <c r="D8079" s="0" t="s">
        <v>27000</v>
      </c>
      <c r="E8079" s="0" t="s">
        <v>89</v>
      </c>
      <c r="F8079" s="0" t="s">
        <v>90</v>
      </c>
      <c r="G8079" s="0" t="s">
        <v>16</v>
      </c>
      <c r="H8079" s="0" t="n">
        <v>12</v>
      </c>
      <c r="I8079" s="0" t="s">
        <v>27001</v>
      </c>
      <c r="J8079" s="0" t="s">
        <v>27002</v>
      </c>
      <c r="K8079" s="0" t="s">
        <v>27003</v>
      </c>
      <c r="L8079" s="0" t="str">
        <f aca="false">HYPERLINK("https://www.ncbi.nlm.nih.gov/nuccore/CP000304.1?report=graph&amp;tracks=[key:gene_model_track,Options:GeneOnly]&amp;mk=2281658:2281677|offset_12|00cc00,2281637:2281656|offset_33|444444,2281592:2281611|offset_78|444444,2281564:2281583|offset_106|444444&amp;v=2281457:2281783&amp;c=444444", "offset 12")</f>
        <v>offset 12</v>
      </c>
    </row>
    <row r="8080" customFormat="false" ht="12.8" hidden="false" customHeight="false" outlineLevel="0" collapsed="false">
      <c r="A8080" s="0" t="s">
        <v>12</v>
      </c>
      <c r="B8080" s="0" t="n">
        <v>2281636</v>
      </c>
      <c r="C8080" s="0" t="n">
        <v>2281656</v>
      </c>
      <c r="D8080" s="0" t="s">
        <v>27000</v>
      </c>
      <c r="E8080" s="0" t="s">
        <v>89</v>
      </c>
      <c r="F8080" s="0" t="s">
        <v>90</v>
      </c>
      <c r="G8080" s="0" t="s">
        <v>16</v>
      </c>
      <c r="H8080" s="0" t="n">
        <v>33</v>
      </c>
      <c r="I8080" s="0" t="s">
        <v>27004</v>
      </c>
      <c r="J8080" s="0" t="s">
        <v>27005</v>
      </c>
      <c r="K8080" s="0" t="s">
        <v>27006</v>
      </c>
      <c r="L8080" s="0" t="str">
        <f aca="false">HYPERLINK("https://www.ncbi.nlm.nih.gov/nuccore/CP000304.1?report=graph&amp;tracks=[key:gene_model_track,Options:GeneOnly]&amp;mk=2281658:2281677|offset_12|444444,2281637:2281656|offset_33|00cc00,2281592:2281611|offset_78|444444,2281564:2281583|offset_106|444444&amp;v=2281457:2281783&amp;c=444444", "offset 33")</f>
        <v>offset 33</v>
      </c>
    </row>
    <row r="8081" customFormat="false" ht="12.8" hidden="false" customHeight="false" outlineLevel="0" collapsed="false">
      <c r="A8081" s="0" t="s">
        <v>12</v>
      </c>
      <c r="B8081" s="0" t="n">
        <v>2281591</v>
      </c>
      <c r="C8081" s="0" t="n">
        <v>2281611</v>
      </c>
      <c r="D8081" s="0" t="s">
        <v>27000</v>
      </c>
      <c r="E8081" s="0" t="s">
        <v>89</v>
      </c>
      <c r="F8081" s="0" t="s">
        <v>90</v>
      </c>
      <c r="G8081" s="0" t="s">
        <v>16</v>
      </c>
      <c r="H8081" s="0" t="n">
        <v>78</v>
      </c>
      <c r="I8081" s="0" t="s">
        <v>27007</v>
      </c>
      <c r="J8081" s="0" t="s">
        <v>27008</v>
      </c>
      <c r="K8081" s="0" t="s">
        <v>27009</v>
      </c>
      <c r="L8081" s="0" t="str">
        <f aca="false">HYPERLINK("https://www.ncbi.nlm.nih.gov/nuccore/CP000304.1?report=graph&amp;tracks=[key:gene_model_track,Options:GeneOnly]&amp;mk=2281658:2281677|offset_12|444444,2281637:2281656|offset_33|444444,2281592:2281611|offset_78|00cc00,2281564:2281583|offset_106|444444&amp;v=2281457:2281783&amp;c=444444", "offset 78")</f>
        <v>offset 78</v>
      </c>
    </row>
    <row r="8082" customFormat="false" ht="12.8" hidden="false" customHeight="false" outlineLevel="0" collapsed="false">
      <c r="A8082" s="0" t="s">
        <v>12</v>
      </c>
      <c r="B8082" s="0" t="n">
        <v>2281563</v>
      </c>
      <c r="C8082" s="0" t="n">
        <v>2281583</v>
      </c>
      <c r="D8082" s="0" t="s">
        <v>27000</v>
      </c>
      <c r="E8082" s="0" t="s">
        <v>89</v>
      </c>
      <c r="F8082" s="0" t="s">
        <v>90</v>
      </c>
      <c r="G8082" s="0" t="s">
        <v>16</v>
      </c>
      <c r="H8082" s="0" t="n">
        <v>106</v>
      </c>
      <c r="I8082" s="0" t="s">
        <v>27010</v>
      </c>
      <c r="J8082" s="0" t="s">
        <v>27011</v>
      </c>
      <c r="K8082" s="0" t="s">
        <v>27012</v>
      </c>
      <c r="L8082" s="0" t="str">
        <f aca="false">HYPERLINK("https://www.ncbi.nlm.nih.gov/nuccore/CP000304.1?report=graph&amp;tracks=[key:gene_model_track,Options:GeneOnly]&amp;mk=2281658:2281677|offset_12|444444,2281637:2281656|offset_33|444444,2281592:2281611|offset_78|444444,2281564:2281583|offset_106|00cc00&amp;v=2281457:2281783&amp;c=444444", "offset 106")</f>
        <v>offset 106</v>
      </c>
    </row>
    <row r="8083" customFormat="false" ht="12.8" hidden="false" customHeight="false" outlineLevel="0" collapsed="false">
      <c r="A8083" s="0" t="s">
        <v>12</v>
      </c>
      <c r="B8083" s="0" t="n">
        <v>2282066</v>
      </c>
      <c r="C8083" s="0" t="n">
        <v>2282086</v>
      </c>
      <c r="D8083" s="0" t="s">
        <v>27013</v>
      </c>
      <c r="E8083" s="0" t="s">
        <v>89</v>
      </c>
      <c r="F8083" s="0" t="s">
        <v>90</v>
      </c>
      <c r="G8083" s="0" t="s">
        <v>32</v>
      </c>
      <c r="H8083" s="0" t="n">
        <v>1</v>
      </c>
      <c r="I8083" s="0" t="s">
        <v>27014</v>
      </c>
      <c r="J8083" s="0" t="s">
        <v>27015</v>
      </c>
      <c r="K8083" s="0" t="s">
        <v>27016</v>
      </c>
      <c r="L8083" s="0" t="str">
        <f aca="false">HYPERLINK("https://www.ncbi.nlm.nih.gov/nuccore/CP000304.1?report=graph&amp;tracks=[key:gene_model_track,Options:GeneOnly]&amp;mk=2282067:2282086|offset_1|00cc00,2282043:2282062|offset_25|444444,2282016:2282035|offset_52|444444,2281974:2281993|offset_94|444444&amp;v=2281866:2282193&amp;c=444444", "offset 1")</f>
        <v>offset 1</v>
      </c>
    </row>
    <row r="8084" customFormat="false" ht="12.8" hidden="false" customHeight="false" outlineLevel="0" collapsed="false">
      <c r="A8084" s="0" t="s">
        <v>12</v>
      </c>
      <c r="B8084" s="0" t="n">
        <v>2282042</v>
      </c>
      <c r="C8084" s="0" t="n">
        <v>2282062</v>
      </c>
      <c r="D8084" s="0" t="s">
        <v>27013</v>
      </c>
      <c r="E8084" s="0" t="s">
        <v>89</v>
      </c>
      <c r="F8084" s="0" t="s">
        <v>90</v>
      </c>
      <c r="G8084" s="0" t="s">
        <v>16</v>
      </c>
      <c r="H8084" s="0" t="n">
        <v>25</v>
      </c>
      <c r="I8084" s="0" t="s">
        <v>27017</v>
      </c>
      <c r="J8084" s="0" t="s">
        <v>27018</v>
      </c>
      <c r="K8084" s="0" t="s">
        <v>27019</v>
      </c>
      <c r="L8084" s="0" t="str">
        <f aca="false">HYPERLINK("https://www.ncbi.nlm.nih.gov/nuccore/CP000304.1?report=graph&amp;tracks=[key:gene_model_track,Options:GeneOnly]&amp;mk=2282067:2282086|offset_1|444444,2282043:2282062|offset_25|00cc00,2282016:2282035|offset_52|444444,2281974:2281993|offset_94|444444&amp;v=2281866:2282193&amp;c=444444", "offset 25")</f>
        <v>offset 25</v>
      </c>
    </row>
    <row r="8085" customFormat="false" ht="12.8" hidden="false" customHeight="false" outlineLevel="0" collapsed="false">
      <c r="A8085" s="0" t="s">
        <v>12</v>
      </c>
      <c r="B8085" s="0" t="n">
        <v>2282015</v>
      </c>
      <c r="C8085" s="0" t="n">
        <v>2282035</v>
      </c>
      <c r="D8085" s="0" t="s">
        <v>27013</v>
      </c>
      <c r="E8085" s="0" t="s">
        <v>89</v>
      </c>
      <c r="F8085" s="0" t="s">
        <v>90</v>
      </c>
      <c r="G8085" s="0" t="s">
        <v>16</v>
      </c>
      <c r="H8085" s="0" t="n">
        <v>52</v>
      </c>
      <c r="I8085" s="0" t="s">
        <v>27020</v>
      </c>
      <c r="J8085" s="0" t="s">
        <v>27021</v>
      </c>
      <c r="K8085" s="0" t="s">
        <v>27022</v>
      </c>
      <c r="L8085" s="0" t="str">
        <f aca="false">HYPERLINK("https://www.ncbi.nlm.nih.gov/nuccore/CP000304.1?report=graph&amp;tracks=[key:gene_model_track,Options:GeneOnly]&amp;mk=2282067:2282086|offset_1|444444,2282043:2282062|offset_25|444444,2282016:2282035|offset_52|00cc00,2281974:2281993|offset_94|444444&amp;v=2281866:2282193&amp;c=444444", "offset 52")</f>
        <v>offset 52</v>
      </c>
    </row>
    <row r="8086" customFormat="false" ht="12.8" hidden="false" customHeight="false" outlineLevel="0" collapsed="false">
      <c r="A8086" s="0" t="s">
        <v>12</v>
      </c>
      <c r="B8086" s="0" t="n">
        <v>2281973</v>
      </c>
      <c r="C8086" s="0" t="n">
        <v>2281993</v>
      </c>
      <c r="D8086" s="0" t="s">
        <v>27013</v>
      </c>
      <c r="E8086" s="0" t="s">
        <v>89</v>
      </c>
      <c r="F8086" s="0" t="s">
        <v>90</v>
      </c>
      <c r="G8086" s="0" t="s">
        <v>32</v>
      </c>
      <c r="H8086" s="0" t="n">
        <v>94</v>
      </c>
      <c r="I8086" s="0" t="s">
        <v>27023</v>
      </c>
      <c r="J8086" s="0" t="s">
        <v>27024</v>
      </c>
      <c r="K8086" s="0" t="s">
        <v>27025</v>
      </c>
      <c r="L8086" s="0" t="str">
        <f aca="false">HYPERLINK("https://www.ncbi.nlm.nih.gov/nuccore/CP000304.1?report=graph&amp;tracks=[key:gene_model_track,Options:GeneOnly]&amp;mk=2282067:2282086|offset_1|444444,2282043:2282062|offset_25|444444,2282016:2282035|offset_52|444444,2281974:2281993|offset_94|00cc00&amp;v=2281866:2282193&amp;c=444444", "offset 94")</f>
        <v>offset 94</v>
      </c>
    </row>
    <row r="8087" customFormat="false" ht="12.8" hidden="false" customHeight="false" outlineLevel="0" collapsed="false">
      <c r="A8087" s="0" t="s">
        <v>12</v>
      </c>
      <c r="B8087" s="0" t="n">
        <v>2284702</v>
      </c>
      <c r="C8087" s="0" t="n">
        <v>2284722</v>
      </c>
      <c r="D8087" s="0" t="s">
        <v>27026</v>
      </c>
      <c r="E8087" s="0" t="s">
        <v>89</v>
      </c>
      <c r="F8087" s="0" t="s">
        <v>90</v>
      </c>
      <c r="G8087" s="0" t="s">
        <v>16</v>
      </c>
      <c r="H8087" s="0" t="n">
        <v>190</v>
      </c>
      <c r="I8087" s="0" t="s">
        <v>27027</v>
      </c>
      <c r="J8087" s="0" t="s">
        <v>27028</v>
      </c>
      <c r="K8087" s="0" t="s">
        <v>27029</v>
      </c>
      <c r="L8087" s="0" t="str">
        <f aca="false">HYPERLINK("https://www.ncbi.nlm.nih.gov/nuccore/CP000304.1?report=graph&amp;tracks=[key:gene_model_track,Options:GeneOnly]&amp;mk=2284703:2284722|offset_190|00cc00,2284668:2284687|offset_225|444444,2284640:2284659|offset_253|444444,2284619:2284638|offset_274|444444&amp;v=2284502:2284838&amp;c=444444", "offset 190")</f>
        <v>offset 190</v>
      </c>
    </row>
    <row r="8088" customFormat="false" ht="12.8" hidden="false" customHeight="false" outlineLevel="0" collapsed="false">
      <c r="A8088" s="0" t="s">
        <v>12</v>
      </c>
      <c r="B8088" s="0" t="n">
        <v>2284667</v>
      </c>
      <c r="C8088" s="0" t="n">
        <v>2284687</v>
      </c>
      <c r="D8088" s="0" t="s">
        <v>27026</v>
      </c>
      <c r="E8088" s="0" t="s">
        <v>89</v>
      </c>
      <c r="F8088" s="0" t="s">
        <v>90</v>
      </c>
      <c r="G8088" s="0" t="s">
        <v>36</v>
      </c>
      <c r="H8088" s="0" t="n">
        <v>225</v>
      </c>
      <c r="I8088" s="0" t="s">
        <v>27030</v>
      </c>
      <c r="J8088" s="0" t="s">
        <v>27031</v>
      </c>
      <c r="K8088" s="0" t="s">
        <v>27032</v>
      </c>
      <c r="L8088" s="0" t="str">
        <f aca="false">HYPERLINK("https://www.ncbi.nlm.nih.gov/nuccore/CP000304.1?report=graph&amp;tracks=[key:gene_model_track,Options:GeneOnly]&amp;mk=2284703:2284722|offset_190|444444,2284668:2284687|offset_225|00cc00,2284640:2284659|offset_253|444444,2284619:2284638|offset_274|444444&amp;v=2284502:2284838&amp;c=444444", "offset 225")</f>
        <v>offset 225</v>
      </c>
    </row>
    <row r="8089" customFormat="false" ht="12.8" hidden="false" customHeight="false" outlineLevel="0" collapsed="false">
      <c r="A8089" s="0" t="s">
        <v>12</v>
      </c>
      <c r="B8089" s="0" t="n">
        <v>2284639</v>
      </c>
      <c r="C8089" s="0" t="n">
        <v>2284659</v>
      </c>
      <c r="D8089" s="0" t="s">
        <v>27026</v>
      </c>
      <c r="E8089" s="0" t="s">
        <v>89</v>
      </c>
      <c r="F8089" s="0" t="s">
        <v>90</v>
      </c>
      <c r="G8089" s="0" t="s">
        <v>16</v>
      </c>
      <c r="H8089" s="0" t="n">
        <v>253</v>
      </c>
      <c r="I8089" s="0" t="s">
        <v>27033</v>
      </c>
      <c r="J8089" s="0" t="s">
        <v>27034</v>
      </c>
      <c r="K8089" s="0" t="s">
        <v>27035</v>
      </c>
      <c r="L8089" s="0" t="str">
        <f aca="false">HYPERLINK("https://www.ncbi.nlm.nih.gov/nuccore/CP000304.1?report=graph&amp;tracks=[key:gene_model_track,Options:GeneOnly]&amp;mk=2284703:2284722|offset_190|444444,2284668:2284687|offset_225|444444,2284640:2284659|offset_253|00cc00,2284619:2284638|offset_274|444444&amp;v=2284502:2284838&amp;c=444444", "offset 253")</f>
        <v>offset 253</v>
      </c>
    </row>
    <row r="8090" customFormat="false" ht="12.8" hidden="false" customHeight="false" outlineLevel="0" collapsed="false">
      <c r="A8090" s="0" t="s">
        <v>12</v>
      </c>
      <c r="B8090" s="0" t="n">
        <v>2284618</v>
      </c>
      <c r="C8090" s="0" t="n">
        <v>2284638</v>
      </c>
      <c r="D8090" s="0" t="s">
        <v>27026</v>
      </c>
      <c r="E8090" s="0" t="s">
        <v>89</v>
      </c>
      <c r="F8090" s="0" t="s">
        <v>90</v>
      </c>
      <c r="G8090" s="0" t="s">
        <v>32</v>
      </c>
      <c r="H8090" s="0" t="n">
        <v>274</v>
      </c>
      <c r="I8090" s="0" t="s">
        <v>27036</v>
      </c>
      <c r="J8090" s="0" t="s">
        <v>27037</v>
      </c>
      <c r="K8090" s="0" t="s">
        <v>27038</v>
      </c>
      <c r="L8090" s="0" t="str">
        <f aca="false">HYPERLINK("https://www.ncbi.nlm.nih.gov/nuccore/CP000304.1?report=graph&amp;tracks=[key:gene_model_track,Options:GeneOnly]&amp;mk=2284703:2284722|offset_190|444444,2284668:2284687|offset_225|444444,2284640:2284659|offset_253|444444,2284619:2284638|offset_274|00cc00&amp;v=2284502:2284838&amp;c=444444", "offset 274")</f>
        <v>offset 274</v>
      </c>
    </row>
    <row r="8091" customFormat="false" ht="12.8" hidden="false" customHeight="false" outlineLevel="0" collapsed="false">
      <c r="A8091" s="0" t="s">
        <v>12</v>
      </c>
      <c r="B8091" s="0" t="n">
        <v>2286366</v>
      </c>
      <c r="C8091" s="0" t="n">
        <v>2286386</v>
      </c>
      <c r="D8091" s="0" t="s">
        <v>27039</v>
      </c>
      <c r="E8091" s="0" t="s">
        <v>89</v>
      </c>
      <c r="F8091" s="0" t="s">
        <v>90</v>
      </c>
      <c r="G8091" s="0" t="s">
        <v>36</v>
      </c>
      <c r="H8091" s="0" t="n">
        <v>13</v>
      </c>
      <c r="I8091" s="0" t="s">
        <v>27040</v>
      </c>
      <c r="J8091" s="0" t="s">
        <v>27041</v>
      </c>
      <c r="K8091" s="0" t="s">
        <v>27042</v>
      </c>
      <c r="L8091" s="0" t="str">
        <f aca="false">HYPERLINK("https://www.ncbi.nlm.nih.gov/nuccore/CP000304.1?report=graph&amp;tracks=[key:gene_model_track,Options:GeneOnly]&amp;mk=2286367:2286386|offset_13|00cc00,2286324:2286343|offset_56|444444,2286294:2286313|offset_86|444444,2286271:2286290|offset_109|444444&amp;v=2286166:2286490&amp;c=444444", "offset 13")</f>
        <v>offset 13</v>
      </c>
    </row>
    <row r="8092" customFormat="false" ht="12.8" hidden="false" customHeight="false" outlineLevel="0" collapsed="false">
      <c r="A8092" s="0" t="s">
        <v>12</v>
      </c>
      <c r="B8092" s="0" t="n">
        <v>2286323</v>
      </c>
      <c r="C8092" s="0" t="n">
        <v>2286343</v>
      </c>
      <c r="D8092" s="0" t="s">
        <v>27039</v>
      </c>
      <c r="E8092" s="0" t="s">
        <v>89</v>
      </c>
      <c r="F8092" s="0" t="s">
        <v>90</v>
      </c>
      <c r="G8092" s="0" t="s">
        <v>26</v>
      </c>
      <c r="H8092" s="0" t="n">
        <v>56</v>
      </c>
      <c r="I8092" s="0" t="s">
        <v>27043</v>
      </c>
      <c r="J8092" s="0" t="s">
        <v>27044</v>
      </c>
      <c r="K8092" s="0" t="s">
        <v>27045</v>
      </c>
      <c r="L8092" s="0" t="str">
        <f aca="false">HYPERLINK("https://www.ncbi.nlm.nih.gov/nuccore/CP000304.1?report=graph&amp;tracks=[key:gene_model_track,Options:GeneOnly]&amp;mk=2286367:2286386|offset_13|444444,2286324:2286343|offset_56|00cc00,2286294:2286313|offset_86|444444,2286271:2286290|offset_109|444444&amp;v=2286166:2286490&amp;c=444444", "offset 56")</f>
        <v>offset 56</v>
      </c>
    </row>
    <row r="8093" customFormat="false" ht="12.8" hidden="false" customHeight="false" outlineLevel="0" collapsed="false">
      <c r="A8093" s="0" t="s">
        <v>12</v>
      </c>
      <c r="B8093" s="0" t="n">
        <v>2286293</v>
      </c>
      <c r="C8093" s="0" t="n">
        <v>2286313</v>
      </c>
      <c r="D8093" s="0" t="s">
        <v>27039</v>
      </c>
      <c r="E8093" s="0" t="s">
        <v>89</v>
      </c>
      <c r="F8093" s="0" t="s">
        <v>90</v>
      </c>
      <c r="G8093" s="0" t="s">
        <v>26</v>
      </c>
      <c r="H8093" s="0" t="n">
        <v>86</v>
      </c>
      <c r="I8093" s="0" t="s">
        <v>27046</v>
      </c>
      <c r="J8093" s="0" t="s">
        <v>27047</v>
      </c>
      <c r="K8093" s="0" t="s">
        <v>27048</v>
      </c>
      <c r="L8093" s="0" t="str">
        <f aca="false">HYPERLINK("https://www.ncbi.nlm.nih.gov/nuccore/CP000304.1?report=graph&amp;tracks=[key:gene_model_track,Options:GeneOnly]&amp;mk=2286367:2286386|offset_13|444444,2286324:2286343|offset_56|444444,2286294:2286313|offset_86|00cc00,2286271:2286290|offset_109|444444&amp;v=2286166:2286490&amp;c=444444", "offset 86")</f>
        <v>offset 86</v>
      </c>
    </row>
    <row r="8094" customFormat="false" ht="12.8" hidden="false" customHeight="false" outlineLevel="0" collapsed="false">
      <c r="A8094" s="0" t="s">
        <v>12</v>
      </c>
      <c r="B8094" s="0" t="n">
        <v>2286270</v>
      </c>
      <c r="C8094" s="0" t="n">
        <v>2286290</v>
      </c>
      <c r="D8094" s="0" t="s">
        <v>27039</v>
      </c>
      <c r="E8094" s="0" t="s">
        <v>89</v>
      </c>
      <c r="F8094" s="0" t="s">
        <v>90</v>
      </c>
      <c r="G8094" s="0" t="s">
        <v>26</v>
      </c>
      <c r="H8094" s="0" t="n">
        <v>109</v>
      </c>
      <c r="I8094" s="0" t="s">
        <v>27049</v>
      </c>
      <c r="J8094" s="0" t="s">
        <v>27050</v>
      </c>
      <c r="K8094" s="0" t="s">
        <v>27051</v>
      </c>
      <c r="L8094" s="0" t="str">
        <f aca="false">HYPERLINK("https://www.ncbi.nlm.nih.gov/nuccore/CP000304.1?report=graph&amp;tracks=[key:gene_model_track,Options:GeneOnly]&amp;mk=2286367:2286386|offset_13|444444,2286324:2286343|offset_56|444444,2286294:2286313|offset_86|444444,2286271:2286290|offset_109|00cc00&amp;v=2286166:2286490&amp;c=444444", "offset 109")</f>
        <v>offset 109</v>
      </c>
    </row>
    <row r="8095" customFormat="false" ht="12.8" hidden="false" customHeight="false" outlineLevel="0" collapsed="false">
      <c r="A8095" s="0" t="s">
        <v>12</v>
      </c>
      <c r="B8095" s="0" t="n">
        <v>2287894</v>
      </c>
      <c r="C8095" s="0" t="n">
        <v>2287914</v>
      </c>
      <c r="D8095" s="0" t="s">
        <v>27052</v>
      </c>
      <c r="E8095" s="0" t="s">
        <v>89</v>
      </c>
      <c r="F8095" s="0" t="s">
        <v>90</v>
      </c>
      <c r="G8095" s="0" t="s">
        <v>32</v>
      </c>
      <c r="H8095" s="0" t="n">
        <v>8</v>
      </c>
      <c r="I8095" s="0" t="s">
        <v>27053</v>
      </c>
      <c r="J8095" s="0" t="s">
        <v>27054</v>
      </c>
      <c r="K8095" s="0" t="s">
        <v>27055</v>
      </c>
      <c r="L8095" s="0" t="str">
        <f aca="false">HYPERLINK("https://www.ncbi.nlm.nih.gov/nuccore/CP000304.1?report=graph&amp;tracks=[key:gene_model_track,Options:GeneOnly]&amp;mk=2287895:2287914|offset_8|00cc00,2287872:2287891|offset_31|444444,2287849:2287868|offset_54|444444,2287826:2287845|offset_77|444444&amp;v=2287694:2288045&amp;c=444444", "offset 8")</f>
        <v>offset 8</v>
      </c>
    </row>
    <row r="8096" customFormat="false" ht="12.8" hidden="false" customHeight="false" outlineLevel="0" collapsed="false">
      <c r="A8096" s="0" t="s">
        <v>12</v>
      </c>
      <c r="B8096" s="0" t="n">
        <v>2287871</v>
      </c>
      <c r="C8096" s="0" t="n">
        <v>2287891</v>
      </c>
      <c r="D8096" s="0" t="s">
        <v>27052</v>
      </c>
      <c r="E8096" s="0" t="s">
        <v>89</v>
      </c>
      <c r="F8096" s="0" t="s">
        <v>90</v>
      </c>
      <c r="G8096" s="0" t="s">
        <v>36</v>
      </c>
      <c r="H8096" s="0" t="n">
        <v>31</v>
      </c>
      <c r="I8096" s="0" t="s">
        <v>27056</v>
      </c>
      <c r="J8096" s="0" t="s">
        <v>27057</v>
      </c>
      <c r="K8096" s="0" t="s">
        <v>27058</v>
      </c>
      <c r="L8096" s="0" t="str">
        <f aca="false">HYPERLINK("https://www.ncbi.nlm.nih.gov/nuccore/CP000304.1?report=graph&amp;tracks=[key:gene_model_track,Options:GeneOnly]&amp;mk=2287895:2287914|offset_8|444444,2287872:2287891|offset_31|00cc00,2287849:2287868|offset_54|444444,2287826:2287845|offset_77|444444&amp;v=2287694:2288045&amp;c=444444", "offset 31")</f>
        <v>offset 31</v>
      </c>
    </row>
    <row r="8097" customFormat="false" ht="12.8" hidden="false" customHeight="false" outlineLevel="0" collapsed="false">
      <c r="A8097" s="0" t="s">
        <v>12</v>
      </c>
      <c r="B8097" s="0" t="n">
        <v>2287848</v>
      </c>
      <c r="C8097" s="0" t="n">
        <v>2287868</v>
      </c>
      <c r="D8097" s="0" t="s">
        <v>27052</v>
      </c>
      <c r="E8097" s="0" t="s">
        <v>89</v>
      </c>
      <c r="F8097" s="0" t="s">
        <v>90</v>
      </c>
      <c r="G8097" s="0" t="s">
        <v>36</v>
      </c>
      <c r="H8097" s="0" t="n">
        <v>54</v>
      </c>
      <c r="I8097" s="0" t="s">
        <v>27059</v>
      </c>
      <c r="J8097" s="0" t="s">
        <v>27060</v>
      </c>
      <c r="K8097" s="0" t="s">
        <v>27061</v>
      </c>
      <c r="L8097" s="0" t="str">
        <f aca="false">HYPERLINK("https://www.ncbi.nlm.nih.gov/nuccore/CP000304.1?report=graph&amp;tracks=[key:gene_model_track,Options:GeneOnly]&amp;mk=2287895:2287914|offset_8|444444,2287872:2287891|offset_31|444444,2287849:2287868|offset_54|00cc00,2287826:2287845|offset_77|444444&amp;v=2287694:2288045&amp;c=444444", "offset 54")</f>
        <v>offset 54</v>
      </c>
    </row>
    <row r="8098" customFormat="false" ht="12.8" hidden="false" customHeight="false" outlineLevel="0" collapsed="false">
      <c r="A8098" s="0" t="s">
        <v>12</v>
      </c>
      <c r="B8098" s="0" t="n">
        <v>2287825</v>
      </c>
      <c r="C8098" s="0" t="n">
        <v>2287845</v>
      </c>
      <c r="D8098" s="0" t="s">
        <v>27052</v>
      </c>
      <c r="E8098" s="0" t="s">
        <v>89</v>
      </c>
      <c r="F8098" s="0" t="s">
        <v>90</v>
      </c>
      <c r="G8098" s="0" t="s">
        <v>36</v>
      </c>
      <c r="H8098" s="0" t="n">
        <v>77</v>
      </c>
      <c r="I8098" s="0" t="s">
        <v>27062</v>
      </c>
      <c r="J8098" s="0" t="s">
        <v>27063</v>
      </c>
      <c r="K8098" s="0" t="s">
        <v>27064</v>
      </c>
      <c r="L8098" s="0" t="str">
        <f aca="false">HYPERLINK("https://www.ncbi.nlm.nih.gov/nuccore/CP000304.1?report=graph&amp;tracks=[key:gene_model_track,Options:GeneOnly]&amp;mk=2287895:2287914|offset_8|444444,2287872:2287891|offset_31|444444,2287849:2287868|offset_54|444444,2287826:2287845|offset_77|00cc00&amp;v=2287694:2288045&amp;c=444444", "offset 77")</f>
        <v>offset 77</v>
      </c>
    </row>
    <row r="8099" customFormat="false" ht="12.8" hidden="false" customHeight="false" outlineLevel="0" collapsed="false">
      <c r="A8099" s="0" t="s">
        <v>12</v>
      </c>
      <c r="B8099" s="0" t="n">
        <v>2289741</v>
      </c>
      <c r="C8099" s="0" t="n">
        <v>2289761</v>
      </c>
      <c r="D8099" s="0" t="s">
        <v>27065</v>
      </c>
      <c r="E8099" s="0" t="s">
        <v>89</v>
      </c>
      <c r="F8099" s="0" t="s">
        <v>90</v>
      </c>
      <c r="G8099" s="0" t="s">
        <v>32</v>
      </c>
      <c r="H8099" s="0" t="n">
        <v>1</v>
      </c>
      <c r="I8099" s="0" t="s">
        <v>27066</v>
      </c>
      <c r="J8099" s="0" t="s">
        <v>27067</v>
      </c>
      <c r="K8099" s="0" t="s">
        <v>27068</v>
      </c>
      <c r="L8099" s="0" t="str">
        <f aca="false">HYPERLINK("https://www.ncbi.nlm.nih.gov/nuccore/CP000304.1?report=graph&amp;tracks=[key:gene_model_track,Options:GeneOnly]&amp;mk=2289742:2289761|offset_1|00cc00,2289712:2289731|offset_31|444444,2289655:2289674|offset_88|444444,2289621:2289640|offset_122|444444&amp;v=2289541:2289840&amp;c=444444", "offset 1")</f>
        <v>offset 1</v>
      </c>
    </row>
    <row r="8100" customFormat="false" ht="12.8" hidden="false" customHeight="false" outlineLevel="0" collapsed="false">
      <c r="A8100" s="0" t="s">
        <v>12</v>
      </c>
      <c r="B8100" s="0" t="n">
        <v>2289711</v>
      </c>
      <c r="C8100" s="0" t="n">
        <v>2289731</v>
      </c>
      <c r="D8100" s="0" t="s">
        <v>27065</v>
      </c>
      <c r="E8100" s="0" t="s">
        <v>89</v>
      </c>
      <c r="F8100" s="0" t="s">
        <v>90</v>
      </c>
      <c r="G8100" s="0" t="s">
        <v>16</v>
      </c>
      <c r="H8100" s="0" t="n">
        <v>31</v>
      </c>
      <c r="I8100" s="0" t="s">
        <v>27069</v>
      </c>
      <c r="J8100" s="0" t="s">
        <v>27070</v>
      </c>
      <c r="K8100" s="0" t="s">
        <v>27071</v>
      </c>
      <c r="L8100" s="0" t="str">
        <f aca="false">HYPERLINK("https://www.ncbi.nlm.nih.gov/nuccore/CP000304.1?report=graph&amp;tracks=[key:gene_model_track,Options:GeneOnly]&amp;mk=2289742:2289761|offset_1|444444,2289712:2289731|offset_31|00cc00,2289655:2289674|offset_88|444444,2289621:2289640|offset_122|444444&amp;v=2289541:2289840&amp;c=444444", "offset 31")</f>
        <v>offset 31</v>
      </c>
    </row>
    <row r="8101" customFormat="false" ht="12.8" hidden="false" customHeight="false" outlineLevel="0" collapsed="false">
      <c r="A8101" s="0" t="s">
        <v>12</v>
      </c>
      <c r="B8101" s="0" t="n">
        <v>2289654</v>
      </c>
      <c r="C8101" s="0" t="n">
        <v>2289674</v>
      </c>
      <c r="D8101" s="0" t="s">
        <v>27065</v>
      </c>
      <c r="E8101" s="0" t="s">
        <v>89</v>
      </c>
      <c r="F8101" s="0" t="s">
        <v>90</v>
      </c>
      <c r="G8101" s="0" t="s">
        <v>26</v>
      </c>
      <c r="H8101" s="0" t="n">
        <v>88</v>
      </c>
      <c r="I8101" s="0" t="s">
        <v>27072</v>
      </c>
      <c r="J8101" s="0" t="s">
        <v>27073</v>
      </c>
      <c r="K8101" s="0" t="s">
        <v>27074</v>
      </c>
      <c r="L8101" s="0" t="str">
        <f aca="false">HYPERLINK("https://www.ncbi.nlm.nih.gov/nuccore/CP000304.1?report=graph&amp;tracks=[key:gene_model_track,Options:GeneOnly]&amp;mk=2289742:2289761|offset_1|444444,2289712:2289731|offset_31|444444,2289655:2289674|offset_88|00cc00,2289621:2289640|offset_122|444444&amp;v=2289541:2289840&amp;c=444444", "offset 88")</f>
        <v>offset 88</v>
      </c>
    </row>
    <row r="8102" customFormat="false" ht="12.8" hidden="false" customHeight="false" outlineLevel="0" collapsed="false">
      <c r="A8102" s="0" t="s">
        <v>12</v>
      </c>
      <c r="B8102" s="0" t="n">
        <v>2289620</v>
      </c>
      <c r="C8102" s="0" t="n">
        <v>2289640</v>
      </c>
      <c r="D8102" s="0" t="s">
        <v>27065</v>
      </c>
      <c r="E8102" s="0" t="s">
        <v>89</v>
      </c>
      <c r="F8102" s="0" t="s">
        <v>90</v>
      </c>
      <c r="G8102" s="0" t="s">
        <v>26</v>
      </c>
      <c r="H8102" s="0" t="n">
        <v>122</v>
      </c>
      <c r="I8102" s="0" t="s">
        <v>27075</v>
      </c>
      <c r="J8102" s="0" t="s">
        <v>27076</v>
      </c>
      <c r="K8102" s="0" t="s">
        <v>27077</v>
      </c>
      <c r="L8102" s="0" t="str">
        <f aca="false">HYPERLINK("https://www.ncbi.nlm.nih.gov/nuccore/CP000304.1?report=graph&amp;tracks=[key:gene_model_track,Options:GeneOnly]&amp;mk=2289742:2289761|offset_1|444444,2289712:2289731|offset_31|444444,2289655:2289674|offset_88|444444,2289621:2289640|offset_122|00cc00&amp;v=2289541:2289840&amp;c=444444", "offset 122")</f>
        <v>offset 122</v>
      </c>
    </row>
    <row r="8103" customFormat="false" ht="12.8" hidden="false" customHeight="false" outlineLevel="0" collapsed="false">
      <c r="A8103" s="0" t="s">
        <v>12</v>
      </c>
      <c r="B8103" s="0" t="n">
        <v>2290385</v>
      </c>
      <c r="C8103" s="0" t="n">
        <v>2290405</v>
      </c>
      <c r="D8103" s="0" t="s">
        <v>27078</v>
      </c>
      <c r="E8103" s="0" t="s">
        <v>27079</v>
      </c>
      <c r="F8103" s="0" t="s">
        <v>15</v>
      </c>
      <c r="G8103" s="0" t="s">
        <v>26</v>
      </c>
      <c r="H8103" s="0" t="n">
        <v>17</v>
      </c>
      <c r="I8103" s="0" t="s">
        <v>27080</v>
      </c>
      <c r="J8103" s="0" t="s">
        <v>27081</v>
      </c>
      <c r="K8103" s="0" t="s">
        <v>27082</v>
      </c>
      <c r="L8103" s="0" t="str">
        <f aca="false">HYPERLINK("https://www.ncbi.nlm.nih.gov/nuccore/CP000304.1?report=graph&amp;tracks=[key:gene_model_track,Options:GeneOnly]&amp;mk=2290386:2290405|offset_17|00cc00,2290423:2290442|offset_54|444444,2290456:2290475|offset_87|444444,2290479:2290498|offset_110|444444&amp;v=2290185:2290698&amp;c=444444", "offset 17")</f>
        <v>offset 17</v>
      </c>
    </row>
    <row r="8104" customFormat="false" ht="12.8" hidden="false" customHeight="false" outlineLevel="0" collapsed="false">
      <c r="A8104" s="0" t="s">
        <v>12</v>
      </c>
      <c r="B8104" s="0" t="n">
        <v>2290422</v>
      </c>
      <c r="C8104" s="0" t="n">
        <v>2290442</v>
      </c>
      <c r="D8104" s="0" t="s">
        <v>27078</v>
      </c>
      <c r="E8104" s="0" t="s">
        <v>27079</v>
      </c>
      <c r="F8104" s="0" t="s">
        <v>15</v>
      </c>
      <c r="G8104" s="0" t="s">
        <v>26</v>
      </c>
      <c r="H8104" s="0" t="n">
        <v>54</v>
      </c>
      <c r="I8104" s="0" t="s">
        <v>27083</v>
      </c>
      <c r="J8104" s="0" t="s">
        <v>27084</v>
      </c>
      <c r="K8104" s="0" t="s">
        <v>27085</v>
      </c>
      <c r="L8104" s="0" t="str">
        <f aca="false">HYPERLINK("https://www.ncbi.nlm.nih.gov/nuccore/CP000304.1?report=graph&amp;tracks=[key:gene_model_track,Options:GeneOnly]&amp;mk=2290386:2290405|offset_17|444444,2290423:2290442|offset_54|00cc00,2290456:2290475|offset_87|444444,2290479:2290498|offset_110|444444&amp;v=2290185:2290698&amp;c=444444", "offset 54")</f>
        <v>offset 54</v>
      </c>
    </row>
    <row r="8105" customFormat="false" ht="12.8" hidden="false" customHeight="false" outlineLevel="0" collapsed="false">
      <c r="A8105" s="0" t="s">
        <v>12</v>
      </c>
      <c r="B8105" s="0" t="n">
        <v>2290455</v>
      </c>
      <c r="C8105" s="0" t="n">
        <v>2290475</v>
      </c>
      <c r="D8105" s="0" t="s">
        <v>27078</v>
      </c>
      <c r="E8105" s="0" t="s">
        <v>27079</v>
      </c>
      <c r="F8105" s="0" t="s">
        <v>15</v>
      </c>
      <c r="G8105" s="0" t="s">
        <v>16</v>
      </c>
      <c r="H8105" s="0" t="n">
        <v>87</v>
      </c>
      <c r="I8105" s="0" t="s">
        <v>27086</v>
      </c>
      <c r="J8105" s="0" t="s">
        <v>27087</v>
      </c>
      <c r="K8105" s="0" t="s">
        <v>27088</v>
      </c>
      <c r="L8105" s="0" t="str">
        <f aca="false">HYPERLINK("https://www.ncbi.nlm.nih.gov/nuccore/CP000304.1?report=graph&amp;tracks=[key:gene_model_track,Options:GeneOnly]&amp;mk=2290386:2290405|offset_17|444444,2290423:2290442|offset_54|444444,2290456:2290475|offset_87|00cc00,2290479:2290498|offset_110|444444&amp;v=2290185:2290698&amp;c=444444", "offset 87")</f>
        <v>offset 87</v>
      </c>
    </row>
    <row r="8106" customFormat="false" ht="12.8" hidden="false" customHeight="false" outlineLevel="0" collapsed="false">
      <c r="A8106" s="0" t="s">
        <v>12</v>
      </c>
      <c r="B8106" s="0" t="n">
        <v>2290478</v>
      </c>
      <c r="C8106" s="0" t="n">
        <v>2290498</v>
      </c>
      <c r="D8106" s="0" t="s">
        <v>27078</v>
      </c>
      <c r="E8106" s="0" t="s">
        <v>27079</v>
      </c>
      <c r="F8106" s="0" t="s">
        <v>15</v>
      </c>
      <c r="G8106" s="0" t="s">
        <v>32</v>
      </c>
      <c r="H8106" s="0" t="n">
        <v>110</v>
      </c>
      <c r="I8106" s="0" t="s">
        <v>27089</v>
      </c>
      <c r="J8106" s="0" t="s">
        <v>27090</v>
      </c>
      <c r="K8106" s="0" t="s">
        <v>27091</v>
      </c>
      <c r="L8106" s="0" t="str">
        <f aca="false">HYPERLINK("https://www.ncbi.nlm.nih.gov/nuccore/CP000304.1?report=graph&amp;tracks=[key:gene_model_track,Options:GeneOnly]&amp;mk=2290386:2290405|offset_17|444444,2290423:2290442|offset_54|444444,2290456:2290475|offset_87|444444,2290479:2290498|offset_110|00cc00&amp;v=2290185:2290698&amp;c=444444", "offset 110")</f>
        <v>offset 110</v>
      </c>
    </row>
    <row r="8107" customFormat="false" ht="12.8" hidden="false" customHeight="false" outlineLevel="0" collapsed="false">
      <c r="A8107" s="0" t="s">
        <v>12</v>
      </c>
      <c r="B8107" s="0" t="n">
        <v>2291645</v>
      </c>
      <c r="C8107" s="0" t="n">
        <v>2291665</v>
      </c>
      <c r="D8107" s="0" t="s">
        <v>27092</v>
      </c>
      <c r="E8107" s="0" t="s">
        <v>89</v>
      </c>
      <c r="F8107" s="0" t="s">
        <v>90</v>
      </c>
      <c r="G8107" s="0" t="s">
        <v>36</v>
      </c>
      <c r="H8107" s="0" t="n">
        <v>0</v>
      </c>
      <c r="I8107" s="0" t="s">
        <v>27093</v>
      </c>
      <c r="J8107" s="0" t="s">
        <v>27094</v>
      </c>
      <c r="K8107" s="0" t="s">
        <v>27095</v>
      </c>
      <c r="L8107" s="0" t="str">
        <f aca="false">HYPERLINK("https://www.ncbi.nlm.nih.gov/nuccore/CP000304.1?report=graph&amp;tracks=[key:gene_model_track,Options:GeneOnly]&amp;mk=2291646:2291665|offset_0|00cc00,2291626:2291645|offset_20|444444,2291594:2291613|offset_52|444444,2291551:2291570|offset_95|444444&amp;v=2291445:2291770&amp;c=444444", "offset 0")</f>
        <v>offset 0</v>
      </c>
    </row>
    <row r="8108" customFormat="false" ht="12.8" hidden="false" customHeight="false" outlineLevel="0" collapsed="false">
      <c r="A8108" s="0" t="s">
        <v>12</v>
      </c>
      <c r="B8108" s="0" t="n">
        <v>2291625</v>
      </c>
      <c r="C8108" s="0" t="n">
        <v>2291645</v>
      </c>
      <c r="D8108" s="0" t="s">
        <v>27092</v>
      </c>
      <c r="E8108" s="0" t="s">
        <v>89</v>
      </c>
      <c r="F8108" s="0" t="s">
        <v>90</v>
      </c>
      <c r="G8108" s="0" t="s">
        <v>32</v>
      </c>
      <c r="H8108" s="0" t="n">
        <v>20</v>
      </c>
      <c r="I8108" s="0" t="s">
        <v>27096</v>
      </c>
      <c r="J8108" s="0" t="s">
        <v>27097</v>
      </c>
      <c r="K8108" s="0" t="s">
        <v>27098</v>
      </c>
      <c r="L8108" s="0" t="str">
        <f aca="false">HYPERLINK("https://www.ncbi.nlm.nih.gov/nuccore/CP000304.1?report=graph&amp;tracks=[key:gene_model_track,Options:GeneOnly]&amp;mk=2291646:2291665|offset_0|444444,2291626:2291645|offset_20|00cc00,2291594:2291613|offset_52|444444,2291551:2291570|offset_95|444444&amp;v=2291445:2291770&amp;c=444444", "offset 20")</f>
        <v>offset 20</v>
      </c>
    </row>
    <row r="8109" customFormat="false" ht="12.8" hidden="false" customHeight="false" outlineLevel="0" collapsed="false">
      <c r="A8109" s="0" t="s">
        <v>12</v>
      </c>
      <c r="B8109" s="0" t="n">
        <v>2291593</v>
      </c>
      <c r="C8109" s="0" t="n">
        <v>2291613</v>
      </c>
      <c r="D8109" s="0" t="s">
        <v>27092</v>
      </c>
      <c r="E8109" s="0" t="s">
        <v>89</v>
      </c>
      <c r="F8109" s="0" t="s">
        <v>90</v>
      </c>
      <c r="G8109" s="0" t="s">
        <v>26</v>
      </c>
      <c r="H8109" s="0" t="n">
        <v>52</v>
      </c>
      <c r="I8109" s="0" t="s">
        <v>27099</v>
      </c>
      <c r="J8109" s="0" t="s">
        <v>27100</v>
      </c>
      <c r="K8109" s="0" t="s">
        <v>27101</v>
      </c>
      <c r="L8109" s="0" t="str">
        <f aca="false">HYPERLINK("https://www.ncbi.nlm.nih.gov/nuccore/CP000304.1?report=graph&amp;tracks=[key:gene_model_track,Options:GeneOnly]&amp;mk=2291646:2291665|offset_0|444444,2291626:2291645|offset_20|444444,2291594:2291613|offset_52|00cc00,2291551:2291570|offset_95|444444&amp;v=2291445:2291770&amp;c=444444", "offset 52")</f>
        <v>offset 52</v>
      </c>
    </row>
    <row r="8110" customFormat="false" ht="12.8" hidden="false" customHeight="false" outlineLevel="0" collapsed="false">
      <c r="A8110" s="0" t="s">
        <v>12</v>
      </c>
      <c r="B8110" s="0" t="n">
        <v>2291550</v>
      </c>
      <c r="C8110" s="0" t="n">
        <v>2291570</v>
      </c>
      <c r="D8110" s="0" t="s">
        <v>27092</v>
      </c>
      <c r="E8110" s="0" t="s">
        <v>89</v>
      </c>
      <c r="F8110" s="0" t="s">
        <v>90</v>
      </c>
      <c r="G8110" s="0" t="s">
        <v>32</v>
      </c>
      <c r="H8110" s="0" t="n">
        <v>95</v>
      </c>
      <c r="I8110" s="0" t="s">
        <v>27102</v>
      </c>
      <c r="J8110" s="0" t="s">
        <v>27103</v>
      </c>
      <c r="K8110" s="0" t="s">
        <v>27104</v>
      </c>
      <c r="L8110" s="0" t="str">
        <f aca="false">HYPERLINK("https://www.ncbi.nlm.nih.gov/nuccore/CP000304.1?report=graph&amp;tracks=[key:gene_model_track,Options:GeneOnly]&amp;mk=2291646:2291665|offset_0|444444,2291626:2291645|offset_20|444444,2291594:2291613|offset_52|444444,2291551:2291570|offset_95|00cc00&amp;v=2291445:2291770&amp;c=444444", "offset 95")</f>
        <v>offset 95</v>
      </c>
    </row>
    <row r="8111" customFormat="false" ht="12.8" hidden="false" customHeight="false" outlineLevel="0" collapsed="false">
      <c r="A8111" s="0" t="s">
        <v>12</v>
      </c>
      <c r="B8111" s="0" t="n">
        <v>2291779</v>
      </c>
      <c r="C8111" s="0" t="n">
        <v>2291799</v>
      </c>
      <c r="D8111" s="0" t="s">
        <v>27105</v>
      </c>
      <c r="E8111" s="0" t="s">
        <v>27106</v>
      </c>
      <c r="F8111" s="0" t="s">
        <v>15</v>
      </c>
      <c r="G8111" s="0" t="s">
        <v>16</v>
      </c>
      <c r="H8111" s="0" t="n">
        <v>43</v>
      </c>
      <c r="I8111" s="0" t="s">
        <v>27107</v>
      </c>
      <c r="J8111" s="0" t="s">
        <v>27108</v>
      </c>
      <c r="K8111" s="0" t="s">
        <v>27109</v>
      </c>
      <c r="L8111" s="0" t="str">
        <f aca="false">HYPERLINK("https://www.ncbi.nlm.nih.gov/nuccore/CP000304.1?report=graph&amp;tracks=[key:gene_model_track,Options:GeneOnly]&amp;mk=2291780:2291799|offset_43|00cc00,2291831:2291850|offset_94|444444,2291884:2291903|offset_147|444444,2291931:2291950|offset_194|444444&amp;v=2291579:2292150&amp;c=444444", "offset 43")</f>
        <v>offset 43</v>
      </c>
    </row>
    <row r="8112" customFormat="false" ht="12.8" hidden="false" customHeight="false" outlineLevel="0" collapsed="false">
      <c r="A8112" s="0" t="s">
        <v>12</v>
      </c>
      <c r="B8112" s="0" t="n">
        <v>2291830</v>
      </c>
      <c r="C8112" s="0" t="n">
        <v>2291850</v>
      </c>
      <c r="D8112" s="0" t="s">
        <v>27105</v>
      </c>
      <c r="E8112" s="0" t="s">
        <v>27106</v>
      </c>
      <c r="F8112" s="0" t="s">
        <v>15</v>
      </c>
      <c r="G8112" s="0" t="s">
        <v>16</v>
      </c>
      <c r="H8112" s="0" t="n">
        <v>94</v>
      </c>
      <c r="I8112" s="0" t="s">
        <v>27110</v>
      </c>
      <c r="J8112" s="0" t="s">
        <v>27111</v>
      </c>
      <c r="K8112" s="0" t="s">
        <v>27112</v>
      </c>
      <c r="L8112" s="0" t="str">
        <f aca="false">HYPERLINK("https://www.ncbi.nlm.nih.gov/nuccore/CP000304.1?report=graph&amp;tracks=[key:gene_model_track,Options:GeneOnly]&amp;mk=2291780:2291799|offset_43|444444,2291831:2291850|offset_94|00cc00,2291884:2291903|offset_147|444444,2291931:2291950|offset_194|444444&amp;v=2291579:2292150&amp;c=444444", "offset 94")</f>
        <v>offset 94</v>
      </c>
    </row>
    <row r="8113" customFormat="false" ht="12.8" hidden="false" customHeight="false" outlineLevel="0" collapsed="false">
      <c r="A8113" s="0" t="s">
        <v>12</v>
      </c>
      <c r="B8113" s="0" t="n">
        <v>2291883</v>
      </c>
      <c r="C8113" s="0" t="n">
        <v>2291903</v>
      </c>
      <c r="D8113" s="0" t="s">
        <v>27105</v>
      </c>
      <c r="E8113" s="0" t="s">
        <v>27106</v>
      </c>
      <c r="F8113" s="0" t="s">
        <v>15</v>
      </c>
      <c r="G8113" s="0" t="s">
        <v>16</v>
      </c>
      <c r="H8113" s="0" t="n">
        <v>147</v>
      </c>
      <c r="I8113" s="0" t="s">
        <v>27113</v>
      </c>
      <c r="J8113" s="0" t="s">
        <v>27114</v>
      </c>
      <c r="K8113" s="0" t="s">
        <v>27115</v>
      </c>
      <c r="L8113" s="0" t="str">
        <f aca="false">HYPERLINK("https://www.ncbi.nlm.nih.gov/nuccore/CP000304.1?report=graph&amp;tracks=[key:gene_model_track,Options:GeneOnly]&amp;mk=2291780:2291799|offset_43|444444,2291831:2291850|offset_94|444444,2291884:2291903|offset_147|00cc00,2291931:2291950|offset_194|444444&amp;v=2291579:2292150&amp;c=444444", "offset 147")</f>
        <v>offset 147</v>
      </c>
    </row>
    <row r="8114" customFormat="false" ht="12.8" hidden="false" customHeight="false" outlineLevel="0" collapsed="false">
      <c r="A8114" s="0" t="s">
        <v>12</v>
      </c>
      <c r="B8114" s="0" t="n">
        <v>2291930</v>
      </c>
      <c r="C8114" s="0" t="n">
        <v>2291950</v>
      </c>
      <c r="D8114" s="0" t="s">
        <v>27105</v>
      </c>
      <c r="E8114" s="0" t="s">
        <v>27106</v>
      </c>
      <c r="F8114" s="0" t="s">
        <v>15</v>
      </c>
      <c r="G8114" s="0" t="s">
        <v>32</v>
      </c>
      <c r="H8114" s="0" t="n">
        <v>194</v>
      </c>
      <c r="I8114" s="0" t="s">
        <v>27116</v>
      </c>
      <c r="J8114" s="0" t="s">
        <v>27117</v>
      </c>
      <c r="K8114" s="0" t="s">
        <v>27118</v>
      </c>
      <c r="L8114" s="0" t="str">
        <f aca="false">HYPERLINK("https://www.ncbi.nlm.nih.gov/nuccore/CP000304.1?report=graph&amp;tracks=[key:gene_model_track,Options:GeneOnly]&amp;mk=2291780:2291799|offset_43|444444,2291831:2291850|offset_94|444444,2291884:2291903|offset_147|444444,2291931:2291950|offset_194|00cc00&amp;v=2291579:2292150&amp;c=444444", "offset 194")</f>
        <v>offset 194</v>
      </c>
    </row>
    <row r="8115" customFormat="false" ht="12.8" hidden="false" customHeight="false" outlineLevel="0" collapsed="false">
      <c r="A8115" s="0" t="s">
        <v>12</v>
      </c>
      <c r="B8115" s="0" t="n">
        <v>2293583</v>
      </c>
      <c r="C8115" s="0" t="n">
        <v>2293603</v>
      </c>
      <c r="D8115" s="0" t="s">
        <v>27119</v>
      </c>
      <c r="E8115" s="0" t="s">
        <v>89</v>
      </c>
      <c r="F8115" s="0" t="s">
        <v>90</v>
      </c>
      <c r="G8115" s="0" t="s">
        <v>32</v>
      </c>
      <c r="H8115" s="0" t="n">
        <v>1</v>
      </c>
      <c r="I8115" s="0" t="s">
        <v>27120</v>
      </c>
      <c r="J8115" s="0" t="s">
        <v>27121</v>
      </c>
      <c r="K8115" s="0" t="s">
        <v>27122</v>
      </c>
      <c r="L8115" s="0" t="str">
        <f aca="false">HYPERLINK("https://www.ncbi.nlm.nih.gov/nuccore/CP000304.1?report=graph&amp;tracks=[key:gene_model_track,Options:GeneOnly]&amp;mk=2293584:2293603|offset_1|00cc00,2293553:2293572|offset_32|444444,2293528:2293547|offset_57|444444,2293499:2293518|offset_86|444444&amp;v=2293383:2293718&amp;c=444444", "offset 1")</f>
        <v>offset 1</v>
      </c>
    </row>
    <row r="8116" customFormat="false" ht="12.8" hidden="false" customHeight="false" outlineLevel="0" collapsed="false">
      <c r="A8116" s="0" t="s">
        <v>12</v>
      </c>
      <c r="B8116" s="0" t="n">
        <v>2293552</v>
      </c>
      <c r="C8116" s="0" t="n">
        <v>2293572</v>
      </c>
      <c r="D8116" s="0" t="s">
        <v>27119</v>
      </c>
      <c r="E8116" s="0" t="s">
        <v>89</v>
      </c>
      <c r="F8116" s="0" t="s">
        <v>90</v>
      </c>
      <c r="G8116" s="0" t="s">
        <v>32</v>
      </c>
      <c r="H8116" s="0" t="n">
        <v>32</v>
      </c>
      <c r="I8116" s="0" t="s">
        <v>27123</v>
      </c>
      <c r="J8116" s="0" t="s">
        <v>27124</v>
      </c>
      <c r="K8116" s="0" t="s">
        <v>27125</v>
      </c>
      <c r="L8116" s="0" t="str">
        <f aca="false">HYPERLINK("https://www.ncbi.nlm.nih.gov/nuccore/CP000304.1?report=graph&amp;tracks=[key:gene_model_track,Options:GeneOnly]&amp;mk=2293584:2293603|offset_1|444444,2293553:2293572|offset_32|00cc00,2293528:2293547|offset_57|444444,2293499:2293518|offset_86|444444&amp;v=2293383:2293718&amp;c=444444", "offset 32")</f>
        <v>offset 32</v>
      </c>
    </row>
    <row r="8117" customFormat="false" ht="12.8" hidden="false" customHeight="false" outlineLevel="0" collapsed="false">
      <c r="A8117" s="0" t="s">
        <v>12</v>
      </c>
      <c r="B8117" s="0" t="n">
        <v>2293527</v>
      </c>
      <c r="C8117" s="0" t="n">
        <v>2293547</v>
      </c>
      <c r="D8117" s="0" t="s">
        <v>27119</v>
      </c>
      <c r="E8117" s="0" t="s">
        <v>89</v>
      </c>
      <c r="F8117" s="0" t="s">
        <v>90</v>
      </c>
      <c r="G8117" s="0" t="s">
        <v>36</v>
      </c>
      <c r="H8117" s="0" t="n">
        <v>57</v>
      </c>
      <c r="I8117" s="0" t="s">
        <v>27126</v>
      </c>
      <c r="J8117" s="0" t="s">
        <v>27127</v>
      </c>
      <c r="K8117" s="0" t="s">
        <v>27128</v>
      </c>
      <c r="L8117" s="0" t="str">
        <f aca="false">HYPERLINK("https://www.ncbi.nlm.nih.gov/nuccore/CP000304.1?report=graph&amp;tracks=[key:gene_model_track,Options:GeneOnly]&amp;mk=2293584:2293603|offset_1|444444,2293553:2293572|offset_32|444444,2293528:2293547|offset_57|00cc00,2293499:2293518|offset_86|444444&amp;v=2293383:2293718&amp;c=444444", "offset 57")</f>
        <v>offset 57</v>
      </c>
    </row>
    <row r="8118" customFormat="false" ht="12.8" hidden="false" customHeight="false" outlineLevel="0" collapsed="false">
      <c r="A8118" s="0" t="s">
        <v>12</v>
      </c>
      <c r="B8118" s="0" t="n">
        <v>2293498</v>
      </c>
      <c r="C8118" s="0" t="n">
        <v>2293518</v>
      </c>
      <c r="D8118" s="0" t="s">
        <v>27119</v>
      </c>
      <c r="E8118" s="0" t="s">
        <v>89</v>
      </c>
      <c r="F8118" s="0" t="s">
        <v>90</v>
      </c>
      <c r="G8118" s="0" t="s">
        <v>32</v>
      </c>
      <c r="H8118" s="0" t="n">
        <v>86</v>
      </c>
      <c r="I8118" s="0" t="s">
        <v>27129</v>
      </c>
      <c r="J8118" s="0" t="s">
        <v>27130</v>
      </c>
      <c r="K8118" s="0" t="s">
        <v>27131</v>
      </c>
      <c r="L8118" s="0" t="str">
        <f aca="false">HYPERLINK("https://www.ncbi.nlm.nih.gov/nuccore/CP000304.1?report=graph&amp;tracks=[key:gene_model_track,Options:GeneOnly]&amp;mk=2293584:2293603|offset_1|444444,2293553:2293572|offset_32|444444,2293528:2293547|offset_57|444444,2293499:2293518|offset_86|00cc00&amp;v=2293383:2293718&amp;c=444444", "offset 86")</f>
        <v>offset 86</v>
      </c>
    </row>
    <row r="8119" customFormat="false" ht="12.8" hidden="false" customHeight="false" outlineLevel="0" collapsed="false">
      <c r="A8119" s="0" t="s">
        <v>12</v>
      </c>
      <c r="B8119" s="0" t="n">
        <v>2293925</v>
      </c>
      <c r="C8119" s="0" t="n">
        <v>2293945</v>
      </c>
      <c r="D8119" s="0" t="s">
        <v>27132</v>
      </c>
      <c r="E8119" s="0" t="s">
        <v>89</v>
      </c>
      <c r="F8119" s="0" t="s">
        <v>90</v>
      </c>
      <c r="G8119" s="0" t="s">
        <v>36</v>
      </c>
      <c r="H8119" s="0" t="n">
        <v>18</v>
      </c>
      <c r="I8119" s="0" t="s">
        <v>27133</v>
      </c>
      <c r="J8119" s="0" t="s">
        <v>27134</v>
      </c>
      <c r="K8119" s="0" t="s">
        <v>27135</v>
      </c>
      <c r="L8119" s="0" t="str">
        <f aca="false">HYPERLINK("https://www.ncbi.nlm.nih.gov/nuccore/CP000304.1?report=graph&amp;tracks=[key:gene_model_track,Options:GeneOnly]&amp;mk=2293926:2293945|offset_18|00cc00,2293900:2293919|offset_44|444444,2293874:2293893|offset_70|444444,2293835:2293854|offset_109|444444&amp;v=2293725:2294054&amp;c=444444", "offset 18")</f>
        <v>offset 18</v>
      </c>
    </row>
    <row r="8120" customFormat="false" ht="12.8" hidden="false" customHeight="false" outlineLevel="0" collapsed="false">
      <c r="A8120" s="0" t="s">
        <v>12</v>
      </c>
      <c r="B8120" s="0" t="n">
        <v>2293899</v>
      </c>
      <c r="C8120" s="0" t="n">
        <v>2293919</v>
      </c>
      <c r="D8120" s="0" t="s">
        <v>27132</v>
      </c>
      <c r="E8120" s="0" t="s">
        <v>89</v>
      </c>
      <c r="F8120" s="0" t="s">
        <v>90</v>
      </c>
      <c r="G8120" s="0" t="s">
        <v>26</v>
      </c>
      <c r="H8120" s="0" t="n">
        <v>44</v>
      </c>
      <c r="I8120" s="0" t="s">
        <v>27136</v>
      </c>
      <c r="J8120" s="0" t="s">
        <v>27137</v>
      </c>
      <c r="K8120" s="0" t="s">
        <v>27138</v>
      </c>
      <c r="L8120" s="0" t="str">
        <f aca="false">HYPERLINK("https://www.ncbi.nlm.nih.gov/nuccore/CP000304.1?report=graph&amp;tracks=[key:gene_model_track,Options:GeneOnly]&amp;mk=2293926:2293945|offset_18|444444,2293900:2293919|offset_44|00cc00,2293874:2293893|offset_70|444444,2293835:2293854|offset_109|444444&amp;v=2293725:2294054&amp;c=444444", "offset 44")</f>
        <v>offset 44</v>
      </c>
    </row>
    <row r="8121" customFormat="false" ht="12.8" hidden="false" customHeight="false" outlineLevel="0" collapsed="false">
      <c r="A8121" s="0" t="s">
        <v>12</v>
      </c>
      <c r="B8121" s="0" t="n">
        <v>2293873</v>
      </c>
      <c r="C8121" s="0" t="n">
        <v>2293893</v>
      </c>
      <c r="D8121" s="0" t="s">
        <v>27132</v>
      </c>
      <c r="E8121" s="0" t="s">
        <v>89</v>
      </c>
      <c r="F8121" s="0" t="s">
        <v>90</v>
      </c>
      <c r="G8121" s="0" t="s">
        <v>16</v>
      </c>
      <c r="H8121" s="0" t="n">
        <v>70</v>
      </c>
      <c r="I8121" s="0" t="s">
        <v>27139</v>
      </c>
      <c r="J8121" s="0" t="s">
        <v>27140</v>
      </c>
      <c r="K8121" s="0" t="s">
        <v>27141</v>
      </c>
      <c r="L8121" s="0" t="str">
        <f aca="false">HYPERLINK("https://www.ncbi.nlm.nih.gov/nuccore/CP000304.1?report=graph&amp;tracks=[key:gene_model_track,Options:GeneOnly]&amp;mk=2293926:2293945|offset_18|444444,2293900:2293919|offset_44|444444,2293874:2293893|offset_70|00cc00,2293835:2293854|offset_109|444444&amp;v=2293725:2294054&amp;c=444444", "offset 70")</f>
        <v>offset 70</v>
      </c>
    </row>
    <row r="8122" customFormat="false" ht="12.8" hidden="false" customHeight="false" outlineLevel="0" collapsed="false">
      <c r="A8122" s="0" t="s">
        <v>12</v>
      </c>
      <c r="B8122" s="0" t="n">
        <v>2293834</v>
      </c>
      <c r="C8122" s="0" t="n">
        <v>2293854</v>
      </c>
      <c r="D8122" s="0" t="s">
        <v>27132</v>
      </c>
      <c r="E8122" s="0" t="s">
        <v>89</v>
      </c>
      <c r="F8122" s="0" t="s">
        <v>90</v>
      </c>
      <c r="G8122" s="0" t="s">
        <v>16</v>
      </c>
      <c r="H8122" s="0" t="n">
        <v>109</v>
      </c>
      <c r="I8122" s="0" t="s">
        <v>27142</v>
      </c>
      <c r="J8122" s="0" t="s">
        <v>27143</v>
      </c>
      <c r="K8122" s="0" t="s">
        <v>27144</v>
      </c>
      <c r="L8122" s="0" t="str">
        <f aca="false">HYPERLINK("https://www.ncbi.nlm.nih.gov/nuccore/CP000304.1?report=graph&amp;tracks=[key:gene_model_track,Options:GeneOnly]&amp;mk=2293926:2293945|offset_18|444444,2293900:2293919|offset_44|444444,2293874:2293893|offset_70|444444,2293835:2293854|offset_109|00cc00&amp;v=2293725:2294054&amp;c=444444", "offset 109")</f>
        <v>offset 109</v>
      </c>
    </row>
    <row r="8123" customFormat="false" ht="12.8" hidden="false" customHeight="false" outlineLevel="0" collapsed="false">
      <c r="A8123" s="0" t="s">
        <v>12</v>
      </c>
      <c r="B8123" s="0" t="n">
        <v>2294883</v>
      </c>
      <c r="C8123" s="0" t="n">
        <v>2294903</v>
      </c>
      <c r="D8123" s="0" t="s">
        <v>27145</v>
      </c>
      <c r="E8123" s="0" t="s">
        <v>89</v>
      </c>
      <c r="F8123" s="0" t="s">
        <v>90</v>
      </c>
      <c r="G8123" s="0" t="s">
        <v>36</v>
      </c>
      <c r="H8123" s="0" t="n">
        <v>10</v>
      </c>
      <c r="I8123" s="0" t="s">
        <v>27146</v>
      </c>
      <c r="J8123" s="0" t="s">
        <v>27147</v>
      </c>
      <c r="K8123" s="0" t="s">
        <v>27148</v>
      </c>
      <c r="L8123" s="0" t="str">
        <f aca="false">HYPERLINK("https://www.ncbi.nlm.nih.gov/nuccore/CP000304.1?report=graph&amp;tracks=[key:gene_model_track,Options:GeneOnly]&amp;mk=2294884:2294903|offset_10|00cc00,2294851:2294870|offset_43|444444,2294827:2294846|offset_67|444444,2294803:2294822|offset_91|444444&amp;v=2294683:2295022&amp;c=444444", "offset 10")</f>
        <v>offset 10</v>
      </c>
    </row>
    <row r="8124" customFormat="false" ht="12.8" hidden="false" customHeight="false" outlineLevel="0" collapsed="false">
      <c r="A8124" s="0" t="s">
        <v>12</v>
      </c>
      <c r="B8124" s="0" t="n">
        <v>2294850</v>
      </c>
      <c r="C8124" s="0" t="n">
        <v>2294870</v>
      </c>
      <c r="D8124" s="0" t="s">
        <v>27145</v>
      </c>
      <c r="E8124" s="0" t="s">
        <v>89</v>
      </c>
      <c r="F8124" s="0" t="s">
        <v>90</v>
      </c>
      <c r="G8124" s="0" t="s">
        <v>36</v>
      </c>
      <c r="H8124" s="0" t="n">
        <v>43</v>
      </c>
      <c r="I8124" s="0" t="s">
        <v>27149</v>
      </c>
      <c r="J8124" s="0" t="s">
        <v>27150</v>
      </c>
      <c r="K8124" s="0" t="s">
        <v>27151</v>
      </c>
      <c r="L8124" s="0" t="str">
        <f aca="false">HYPERLINK("https://www.ncbi.nlm.nih.gov/nuccore/CP000304.1?report=graph&amp;tracks=[key:gene_model_track,Options:GeneOnly]&amp;mk=2294884:2294903|offset_10|444444,2294851:2294870|offset_43|00cc00,2294827:2294846|offset_67|444444,2294803:2294822|offset_91|444444&amp;v=2294683:2295022&amp;c=444444", "offset 43")</f>
        <v>offset 43</v>
      </c>
    </row>
    <row r="8125" customFormat="false" ht="12.8" hidden="false" customHeight="false" outlineLevel="0" collapsed="false">
      <c r="A8125" s="0" t="s">
        <v>12</v>
      </c>
      <c r="B8125" s="0" t="n">
        <v>2294826</v>
      </c>
      <c r="C8125" s="0" t="n">
        <v>2294846</v>
      </c>
      <c r="D8125" s="0" t="s">
        <v>27145</v>
      </c>
      <c r="E8125" s="0" t="s">
        <v>89</v>
      </c>
      <c r="F8125" s="0" t="s">
        <v>90</v>
      </c>
      <c r="G8125" s="0" t="s">
        <v>36</v>
      </c>
      <c r="H8125" s="0" t="n">
        <v>67</v>
      </c>
      <c r="I8125" s="0" t="s">
        <v>27152</v>
      </c>
      <c r="J8125" s="0" t="s">
        <v>27153</v>
      </c>
      <c r="K8125" s="0" t="s">
        <v>27154</v>
      </c>
      <c r="L8125" s="0" t="str">
        <f aca="false">HYPERLINK("https://www.ncbi.nlm.nih.gov/nuccore/CP000304.1?report=graph&amp;tracks=[key:gene_model_track,Options:GeneOnly]&amp;mk=2294884:2294903|offset_10|444444,2294851:2294870|offset_43|444444,2294827:2294846|offset_67|00cc00,2294803:2294822|offset_91|444444&amp;v=2294683:2295022&amp;c=444444", "offset 67")</f>
        <v>offset 67</v>
      </c>
    </row>
    <row r="8126" customFormat="false" ht="12.8" hidden="false" customHeight="false" outlineLevel="0" collapsed="false">
      <c r="A8126" s="0" t="s">
        <v>12</v>
      </c>
      <c r="B8126" s="0" t="n">
        <v>2294802</v>
      </c>
      <c r="C8126" s="0" t="n">
        <v>2294822</v>
      </c>
      <c r="D8126" s="0" t="s">
        <v>27145</v>
      </c>
      <c r="E8126" s="0" t="s">
        <v>89</v>
      </c>
      <c r="F8126" s="0" t="s">
        <v>90</v>
      </c>
      <c r="G8126" s="0" t="s">
        <v>16</v>
      </c>
      <c r="H8126" s="0" t="n">
        <v>91</v>
      </c>
      <c r="I8126" s="0" t="s">
        <v>27155</v>
      </c>
      <c r="J8126" s="0" t="s">
        <v>27156</v>
      </c>
      <c r="K8126" s="0" t="s">
        <v>27157</v>
      </c>
      <c r="L8126" s="0" t="str">
        <f aca="false">HYPERLINK("https://www.ncbi.nlm.nih.gov/nuccore/CP000304.1?report=graph&amp;tracks=[key:gene_model_track,Options:GeneOnly]&amp;mk=2294884:2294903|offset_10|444444,2294851:2294870|offset_43|444444,2294827:2294846|offset_67|444444,2294803:2294822|offset_91|00cc00&amp;v=2294683:2295022&amp;c=444444", "offset 91")</f>
        <v>offset 91</v>
      </c>
    </row>
    <row r="8127" customFormat="false" ht="12.8" hidden="false" customHeight="false" outlineLevel="0" collapsed="false">
      <c r="A8127" s="0" t="s">
        <v>12</v>
      </c>
      <c r="B8127" s="0" t="n">
        <v>2295322</v>
      </c>
      <c r="C8127" s="0" t="n">
        <v>2295342</v>
      </c>
      <c r="D8127" s="0" t="s">
        <v>27158</v>
      </c>
      <c r="E8127" s="0" t="s">
        <v>89</v>
      </c>
      <c r="F8127" s="0" t="s">
        <v>90</v>
      </c>
      <c r="G8127" s="0" t="s">
        <v>32</v>
      </c>
      <c r="H8127" s="0" t="n">
        <v>14</v>
      </c>
      <c r="I8127" s="0" t="s">
        <v>27159</v>
      </c>
      <c r="J8127" s="0" t="s">
        <v>27160</v>
      </c>
      <c r="K8127" s="0" t="s">
        <v>27161</v>
      </c>
      <c r="L8127" s="0" t="str">
        <f aca="false">HYPERLINK("https://www.ncbi.nlm.nih.gov/nuccore/CP000304.1?report=graph&amp;tracks=[key:gene_model_track,Options:GeneOnly]&amp;mk=2295323:2295342|offset_14|00cc00,2295293:2295312|offset_44|444444,2295273:2295292|offset_64|444444,2295237:2295256|offset_100|444444&amp;v=2295122:2295456&amp;c=444444", "offset 14")</f>
        <v>offset 14</v>
      </c>
    </row>
    <row r="8128" customFormat="false" ht="12.8" hidden="false" customHeight="false" outlineLevel="0" collapsed="false">
      <c r="A8128" s="0" t="s">
        <v>12</v>
      </c>
      <c r="B8128" s="0" t="n">
        <v>2295292</v>
      </c>
      <c r="C8128" s="0" t="n">
        <v>2295312</v>
      </c>
      <c r="D8128" s="0" t="s">
        <v>27158</v>
      </c>
      <c r="E8128" s="0" t="s">
        <v>89</v>
      </c>
      <c r="F8128" s="0" t="s">
        <v>90</v>
      </c>
      <c r="G8128" s="0" t="s">
        <v>26</v>
      </c>
      <c r="H8128" s="0" t="n">
        <v>44</v>
      </c>
      <c r="I8128" s="0" t="s">
        <v>27162</v>
      </c>
      <c r="J8128" s="0" t="s">
        <v>27163</v>
      </c>
      <c r="K8128" s="0" t="s">
        <v>27164</v>
      </c>
      <c r="L8128" s="0" t="str">
        <f aca="false">HYPERLINK("https://www.ncbi.nlm.nih.gov/nuccore/CP000304.1?report=graph&amp;tracks=[key:gene_model_track,Options:GeneOnly]&amp;mk=2295323:2295342|offset_14|444444,2295293:2295312|offset_44|00cc00,2295273:2295292|offset_64|444444,2295237:2295256|offset_100|444444&amp;v=2295122:2295456&amp;c=444444", "offset 44")</f>
        <v>offset 44</v>
      </c>
    </row>
    <row r="8129" customFormat="false" ht="12.8" hidden="false" customHeight="false" outlineLevel="0" collapsed="false">
      <c r="A8129" s="0" t="s">
        <v>12</v>
      </c>
      <c r="B8129" s="0" t="n">
        <v>2295272</v>
      </c>
      <c r="C8129" s="0" t="n">
        <v>2295292</v>
      </c>
      <c r="D8129" s="0" t="s">
        <v>27158</v>
      </c>
      <c r="E8129" s="0" t="s">
        <v>89</v>
      </c>
      <c r="F8129" s="0" t="s">
        <v>90</v>
      </c>
      <c r="G8129" s="0" t="s">
        <v>36</v>
      </c>
      <c r="H8129" s="0" t="n">
        <v>64</v>
      </c>
      <c r="I8129" s="0" t="s">
        <v>27165</v>
      </c>
      <c r="J8129" s="0" t="s">
        <v>27166</v>
      </c>
      <c r="K8129" s="0" t="s">
        <v>27167</v>
      </c>
      <c r="L8129" s="0" t="str">
        <f aca="false">HYPERLINK("https://www.ncbi.nlm.nih.gov/nuccore/CP000304.1?report=graph&amp;tracks=[key:gene_model_track,Options:GeneOnly]&amp;mk=2295323:2295342|offset_14|444444,2295293:2295312|offset_44|444444,2295273:2295292|offset_64|00cc00,2295237:2295256|offset_100|444444&amp;v=2295122:2295456&amp;c=444444", "offset 64")</f>
        <v>offset 64</v>
      </c>
    </row>
    <row r="8130" customFormat="false" ht="12.8" hidden="false" customHeight="false" outlineLevel="0" collapsed="false">
      <c r="A8130" s="0" t="s">
        <v>12</v>
      </c>
      <c r="B8130" s="0" t="n">
        <v>2295236</v>
      </c>
      <c r="C8130" s="0" t="n">
        <v>2295256</v>
      </c>
      <c r="D8130" s="0" t="s">
        <v>27158</v>
      </c>
      <c r="E8130" s="0" t="s">
        <v>89</v>
      </c>
      <c r="F8130" s="0" t="s">
        <v>90</v>
      </c>
      <c r="G8130" s="0" t="s">
        <v>26</v>
      </c>
      <c r="H8130" s="0" t="n">
        <v>100</v>
      </c>
      <c r="I8130" s="0" t="s">
        <v>27168</v>
      </c>
      <c r="J8130" s="0" t="s">
        <v>27169</v>
      </c>
      <c r="K8130" s="0" t="s">
        <v>27170</v>
      </c>
      <c r="L8130" s="0" t="str">
        <f aca="false">HYPERLINK("https://www.ncbi.nlm.nih.gov/nuccore/CP000304.1?report=graph&amp;tracks=[key:gene_model_track,Options:GeneOnly]&amp;mk=2295323:2295342|offset_14|444444,2295293:2295312|offset_44|444444,2295273:2295292|offset_64|444444,2295237:2295256|offset_100|00cc00&amp;v=2295122:2295456&amp;c=444444", "offset 100")</f>
        <v>offset 100</v>
      </c>
    </row>
    <row r="8131" customFormat="false" ht="12.8" hidden="false" customHeight="false" outlineLevel="0" collapsed="false">
      <c r="A8131" s="0" t="s">
        <v>12</v>
      </c>
      <c r="B8131" s="0" t="n">
        <v>2295761</v>
      </c>
      <c r="C8131" s="0" t="n">
        <v>2295781</v>
      </c>
      <c r="D8131" s="0" t="s">
        <v>27171</v>
      </c>
      <c r="E8131" s="0" t="s">
        <v>89</v>
      </c>
      <c r="F8131" s="0" t="s">
        <v>90</v>
      </c>
      <c r="G8131" s="0" t="s">
        <v>32</v>
      </c>
      <c r="H8131" s="0" t="n">
        <v>52</v>
      </c>
      <c r="I8131" s="0" t="s">
        <v>27172</v>
      </c>
      <c r="J8131" s="0" t="s">
        <v>27173</v>
      </c>
      <c r="K8131" s="0" t="s">
        <v>27174</v>
      </c>
      <c r="L8131" s="0" t="str">
        <f aca="false">HYPERLINK("https://www.ncbi.nlm.nih.gov/nuccore/CP000304.1?report=graph&amp;tracks=[key:gene_model_track,Options:GeneOnly]&amp;mk=2295762:2295781|offset_52|00cc00,2295735:2295754|offset_79|444444,2295714:2295733|offset_100|444444,2295683:2295702|offset_131|444444&amp;v=2295561:2295902&amp;c=444444", "offset 52")</f>
        <v>offset 52</v>
      </c>
    </row>
    <row r="8132" customFormat="false" ht="12.8" hidden="false" customHeight="false" outlineLevel="0" collapsed="false">
      <c r="A8132" s="0" t="s">
        <v>12</v>
      </c>
      <c r="B8132" s="0" t="n">
        <v>2295734</v>
      </c>
      <c r="C8132" s="0" t="n">
        <v>2295754</v>
      </c>
      <c r="D8132" s="0" t="s">
        <v>27171</v>
      </c>
      <c r="E8132" s="0" t="s">
        <v>89</v>
      </c>
      <c r="F8132" s="0" t="s">
        <v>90</v>
      </c>
      <c r="G8132" s="0" t="s">
        <v>26</v>
      </c>
      <c r="H8132" s="0" t="n">
        <v>79</v>
      </c>
      <c r="I8132" s="0" t="s">
        <v>27175</v>
      </c>
      <c r="J8132" s="0" t="s">
        <v>27176</v>
      </c>
      <c r="K8132" s="0" t="s">
        <v>27177</v>
      </c>
      <c r="L8132" s="0" t="str">
        <f aca="false">HYPERLINK("https://www.ncbi.nlm.nih.gov/nuccore/CP000304.1?report=graph&amp;tracks=[key:gene_model_track,Options:GeneOnly]&amp;mk=2295762:2295781|offset_52|444444,2295735:2295754|offset_79|00cc00,2295714:2295733|offset_100|444444,2295683:2295702|offset_131|444444&amp;v=2295561:2295902&amp;c=444444", "offset 79")</f>
        <v>offset 79</v>
      </c>
    </row>
    <row r="8133" customFormat="false" ht="12.8" hidden="false" customHeight="false" outlineLevel="0" collapsed="false">
      <c r="A8133" s="0" t="s">
        <v>12</v>
      </c>
      <c r="B8133" s="0" t="n">
        <v>2295713</v>
      </c>
      <c r="C8133" s="0" t="n">
        <v>2295733</v>
      </c>
      <c r="D8133" s="0" t="s">
        <v>27171</v>
      </c>
      <c r="E8133" s="0" t="s">
        <v>89</v>
      </c>
      <c r="F8133" s="0" t="s">
        <v>90</v>
      </c>
      <c r="G8133" s="0" t="s">
        <v>32</v>
      </c>
      <c r="H8133" s="0" t="n">
        <v>100</v>
      </c>
      <c r="I8133" s="0" t="s">
        <v>27178</v>
      </c>
      <c r="J8133" s="0" t="s">
        <v>27179</v>
      </c>
      <c r="K8133" s="0" t="s">
        <v>27180</v>
      </c>
      <c r="L8133" s="0" t="str">
        <f aca="false">HYPERLINK("https://www.ncbi.nlm.nih.gov/nuccore/CP000304.1?report=graph&amp;tracks=[key:gene_model_track,Options:GeneOnly]&amp;mk=2295762:2295781|offset_52|444444,2295735:2295754|offset_79|444444,2295714:2295733|offset_100|00cc00,2295683:2295702|offset_131|444444&amp;v=2295561:2295902&amp;c=444444", "offset 100")</f>
        <v>offset 100</v>
      </c>
    </row>
    <row r="8134" customFormat="false" ht="12.8" hidden="false" customHeight="false" outlineLevel="0" collapsed="false">
      <c r="A8134" s="0" t="s">
        <v>12</v>
      </c>
      <c r="B8134" s="0" t="n">
        <v>2295682</v>
      </c>
      <c r="C8134" s="0" t="n">
        <v>2295702</v>
      </c>
      <c r="D8134" s="0" t="s">
        <v>27171</v>
      </c>
      <c r="E8134" s="0" t="s">
        <v>89</v>
      </c>
      <c r="F8134" s="0" t="s">
        <v>90</v>
      </c>
      <c r="G8134" s="0" t="s">
        <v>16</v>
      </c>
      <c r="H8134" s="0" t="n">
        <v>131</v>
      </c>
      <c r="I8134" s="0" t="s">
        <v>27181</v>
      </c>
      <c r="J8134" s="0" t="s">
        <v>27182</v>
      </c>
      <c r="K8134" s="0" t="s">
        <v>27183</v>
      </c>
      <c r="L8134" s="0" t="str">
        <f aca="false">HYPERLINK("https://www.ncbi.nlm.nih.gov/nuccore/CP000304.1?report=graph&amp;tracks=[key:gene_model_track,Options:GeneOnly]&amp;mk=2295762:2295781|offset_52|444444,2295735:2295754|offset_79|444444,2295714:2295733|offset_100|444444,2295683:2295702|offset_131|00cc00&amp;v=2295561:2295902&amp;c=444444", "offset 131")</f>
        <v>offset 131</v>
      </c>
    </row>
    <row r="8135" customFormat="false" ht="12.8" hidden="false" customHeight="false" outlineLevel="0" collapsed="false">
      <c r="A8135" s="0" t="s">
        <v>12</v>
      </c>
      <c r="B8135" s="0" t="n">
        <v>2296695</v>
      </c>
      <c r="C8135" s="0" t="n">
        <v>2296715</v>
      </c>
      <c r="D8135" s="0" t="s">
        <v>27184</v>
      </c>
      <c r="E8135" s="0" t="s">
        <v>27185</v>
      </c>
      <c r="F8135" s="0" t="s">
        <v>90</v>
      </c>
      <c r="G8135" s="0" t="s">
        <v>16</v>
      </c>
      <c r="H8135" s="0" t="n">
        <v>47</v>
      </c>
      <c r="I8135" s="0" t="s">
        <v>27186</v>
      </c>
      <c r="J8135" s="0" t="s">
        <v>27187</v>
      </c>
      <c r="K8135" s="0" t="s">
        <v>27188</v>
      </c>
      <c r="L8135" s="0" t="str">
        <f aca="false">HYPERLINK("https://www.ncbi.nlm.nih.gov/nuccore/CP000304.1?report=graph&amp;tracks=[key:gene_model_track,Options:GeneOnly]&amp;mk=2296696:2296715|offset_47|00cc00,2296669:2296688|offset_74|444444,2296618:2296637|offset_125|444444,2296579:2296598|offset_164|444444&amp;v=2296495:2296798&amp;c=444444", "offset 47")</f>
        <v>offset 47</v>
      </c>
    </row>
    <row r="8136" customFormat="false" ht="12.8" hidden="false" customHeight="false" outlineLevel="0" collapsed="false">
      <c r="A8136" s="0" t="s">
        <v>12</v>
      </c>
      <c r="B8136" s="0" t="n">
        <v>2296668</v>
      </c>
      <c r="C8136" s="0" t="n">
        <v>2296688</v>
      </c>
      <c r="D8136" s="0" t="s">
        <v>27184</v>
      </c>
      <c r="E8136" s="0" t="s">
        <v>27185</v>
      </c>
      <c r="F8136" s="0" t="s">
        <v>90</v>
      </c>
      <c r="G8136" s="0" t="s">
        <v>16</v>
      </c>
      <c r="H8136" s="0" t="n">
        <v>74</v>
      </c>
      <c r="I8136" s="0" t="s">
        <v>27189</v>
      </c>
      <c r="J8136" s="0" t="s">
        <v>27190</v>
      </c>
      <c r="K8136" s="0" t="s">
        <v>27191</v>
      </c>
      <c r="L8136" s="0" t="str">
        <f aca="false">HYPERLINK("https://www.ncbi.nlm.nih.gov/nuccore/CP000304.1?report=graph&amp;tracks=[key:gene_model_track,Options:GeneOnly]&amp;mk=2296696:2296715|offset_47|444444,2296669:2296688|offset_74|00cc00,2296618:2296637|offset_125|444444,2296579:2296598|offset_164|444444&amp;v=2296495:2296798&amp;c=444444", "offset 74")</f>
        <v>offset 74</v>
      </c>
    </row>
    <row r="8137" customFormat="false" ht="12.8" hidden="false" customHeight="false" outlineLevel="0" collapsed="false">
      <c r="A8137" s="0" t="s">
        <v>12</v>
      </c>
      <c r="B8137" s="0" t="n">
        <v>2296617</v>
      </c>
      <c r="C8137" s="0" t="n">
        <v>2296637</v>
      </c>
      <c r="D8137" s="0" t="s">
        <v>27184</v>
      </c>
      <c r="E8137" s="0" t="s">
        <v>27185</v>
      </c>
      <c r="F8137" s="0" t="s">
        <v>90</v>
      </c>
      <c r="G8137" s="0" t="s">
        <v>32</v>
      </c>
      <c r="H8137" s="0" t="n">
        <v>125</v>
      </c>
      <c r="I8137" s="0" t="s">
        <v>27192</v>
      </c>
      <c r="J8137" s="0" t="s">
        <v>27193</v>
      </c>
      <c r="K8137" s="0" t="s">
        <v>27194</v>
      </c>
      <c r="L8137" s="0" t="str">
        <f aca="false">HYPERLINK("https://www.ncbi.nlm.nih.gov/nuccore/CP000304.1?report=graph&amp;tracks=[key:gene_model_track,Options:GeneOnly]&amp;mk=2296696:2296715|offset_47|444444,2296669:2296688|offset_74|444444,2296618:2296637|offset_125|00cc00,2296579:2296598|offset_164|444444&amp;v=2296495:2296798&amp;c=444444", "offset 125")</f>
        <v>offset 125</v>
      </c>
    </row>
    <row r="8138" customFormat="false" ht="12.8" hidden="false" customHeight="false" outlineLevel="0" collapsed="false">
      <c r="A8138" s="0" t="s">
        <v>12</v>
      </c>
      <c r="B8138" s="0" t="n">
        <v>2296578</v>
      </c>
      <c r="C8138" s="0" t="n">
        <v>2296598</v>
      </c>
      <c r="D8138" s="0" t="s">
        <v>27184</v>
      </c>
      <c r="E8138" s="0" t="s">
        <v>27185</v>
      </c>
      <c r="F8138" s="0" t="s">
        <v>90</v>
      </c>
      <c r="G8138" s="0" t="s">
        <v>32</v>
      </c>
      <c r="H8138" s="0" t="n">
        <v>164</v>
      </c>
      <c r="I8138" s="0" t="s">
        <v>27195</v>
      </c>
      <c r="J8138" s="0" t="s">
        <v>27196</v>
      </c>
      <c r="K8138" s="0" t="s">
        <v>27197</v>
      </c>
      <c r="L8138" s="0" t="str">
        <f aca="false">HYPERLINK("https://www.ncbi.nlm.nih.gov/nuccore/CP000304.1?report=graph&amp;tracks=[key:gene_model_track,Options:GeneOnly]&amp;mk=2296696:2296715|offset_47|444444,2296669:2296688|offset_74|444444,2296618:2296637|offset_125|444444,2296579:2296598|offset_164|00cc00&amp;v=2296495:2296798&amp;c=444444", "offset 164")</f>
        <v>offset 164</v>
      </c>
    </row>
    <row r="8139" customFormat="false" ht="12.8" hidden="false" customHeight="false" outlineLevel="0" collapsed="false">
      <c r="A8139" s="0" t="s">
        <v>12</v>
      </c>
      <c r="B8139" s="0" t="n">
        <v>2296909</v>
      </c>
      <c r="C8139" s="0" t="n">
        <v>2296929</v>
      </c>
      <c r="D8139" s="0" t="s">
        <v>27198</v>
      </c>
      <c r="E8139" s="0" t="s">
        <v>89</v>
      </c>
      <c r="F8139" s="0" t="s">
        <v>15</v>
      </c>
      <c r="G8139" s="0" t="s">
        <v>16</v>
      </c>
      <c r="H8139" s="0" t="n">
        <v>53</v>
      </c>
      <c r="I8139" s="0" t="s">
        <v>27199</v>
      </c>
      <c r="J8139" s="0" t="s">
        <v>27200</v>
      </c>
      <c r="K8139" s="0" t="s">
        <v>27201</v>
      </c>
      <c r="L8139" s="0" t="str">
        <f aca="false">HYPERLINK("https://www.ncbi.nlm.nih.gov/nuccore/CP000304.1?report=graph&amp;tracks=[key:gene_model_track,Options:GeneOnly]&amp;mk=2296910:2296929|offset_53|00cc00,2296934:2296953|offset_77|444444,2296956:2296975|offset_99|444444,2296996:2297015|offset_139|444444&amp;v=2296709:2297215&amp;c=444444", "offset 53")</f>
        <v>offset 53</v>
      </c>
    </row>
    <row r="8140" customFormat="false" ht="12.8" hidden="false" customHeight="false" outlineLevel="0" collapsed="false">
      <c r="A8140" s="0" t="s">
        <v>12</v>
      </c>
      <c r="B8140" s="0" t="n">
        <v>2296933</v>
      </c>
      <c r="C8140" s="0" t="n">
        <v>2296953</v>
      </c>
      <c r="D8140" s="0" t="s">
        <v>27198</v>
      </c>
      <c r="E8140" s="0" t="s">
        <v>89</v>
      </c>
      <c r="F8140" s="0" t="s">
        <v>15</v>
      </c>
      <c r="G8140" s="0" t="s">
        <v>36</v>
      </c>
      <c r="H8140" s="0" t="n">
        <v>77</v>
      </c>
      <c r="I8140" s="0" t="s">
        <v>27202</v>
      </c>
      <c r="J8140" s="0" t="s">
        <v>27203</v>
      </c>
      <c r="K8140" s="0" t="s">
        <v>27204</v>
      </c>
      <c r="L8140" s="0" t="str">
        <f aca="false">HYPERLINK("https://www.ncbi.nlm.nih.gov/nuccore/CP000304.1?report=graph&amp;tracks=[key:gene_model_track,Options:GeneOnly]&amp;mk=2296910:2296929|offset_53|444444,2296934:2296953|offset_77|00cc00,2296956:2296975|offset_99|444444,2296996:2297015|offset_139|444444&amp;v=2296709:2297215&amp;c=444444", "offset 77")</f>
        <v>offset 77</v>
      </c>
    </row>
    <row r="8141" customFormat="false" ht="12.8" hidden="false" customHeight="false" outlineLevel="0" collapsed="false">
      <c r="A8141" s="0" t="s">
        <v>12</v>
      </c>
      <c r="B8141" s="0" t="n">
        <v>2296955</v>
      </c>
      <c r="C8141" s="0" t="n">
        <v>2296975</v>
      </c>
      <c r="D8141" s="0" t="s">
        <v>27198</v>
      </c>
      <c r="E8141" s="0" t="s">
        <v>89</v>
      </c>
      <c r="F8141" s="0" t="s">
        <v>15</v>
      </c>
      <c r="G8141" s="0" t="s">
        <v>26</v>
      </c>
      <c r="H8141" s="0" t="n">
        <v>99</v>
      </c>
      <c r="I8141" s="0" t="s">
        <v>27205</v>
      </c>
      <c r="J8141" s="0" t="s">
        <v>27206</v>
      </c>
      <c r="K8141" s="0" t="s">
        <v>27207</v>
      </c>
      <c r="L8141" s="0" t="str">
        <f aca="false">HYPERLINK("https://www.ncbi.nlm.nih.gov/nuccore/CP000304.1?report=graph&amp;tracks=[key:gene_model_track,Options:GeneOnly]&amp;mk=2296910:2296929|offset_53|444444,2296934:2296953|offset_77|444444,2296956:2296975|offset_99|00cc00,2296996:2297015|offset_139|444444&amp;v=2296709:2297215&amp;c=444444", "offset 99")</f>
        <v>offset 99</v>
      </c>
    </row>
    <row r="8142" customFormat="false" ht="12.8" hidden="false" customHeight="false" outlineLevel="0" collapsed="false">
      <c r="A8142" s="0" t="s">
        <v>12</v>
      </c>
      <c r="B8142" s="0" t="n">
        <v>2296995</v>
      </c>
      <c r="C8142" s="0" t="n">
        <v>2297015</v>
      </c>
      <c r="D8142" s="0" t="s">
        <v>27198</v>
      </c>
      <c r="E8142" s="0" t="s">
        <v>89</v>
      </c>
      <c r="F8142" s="0" t="s">
        <v>15</v>
      </c>
      <c r="G8142" s="0" t="s">
        <v>32</v>
      </c>
      <c r="H8142" s="0" t="n">
        <v>139</v>
      </c>
      <c r="I8142" s="0" t="s">
        <v>27208</v>
      </c>
      <c r="J8142" s="0" t="s">
        <v>27209</v>
      </c>
      <c r="K8142" s="0" t="s">
        <v>27210</v>
      </c>
      <c r="L8142" s="0" t="str">
        <f aca="false">HYPERLINK("https://www.ncbi.nlm.nih.gov/nuccore/CP000304.1?report=graph&amp;tracks=[key:gene_model_track,Options:GeneOnly]&amp;mk=2296910:2296929|offset_53|444444,2296934:2296953|offset_77|444444,2296956:2296975|offset_99|444444,2296996:2297015|offset_139|00cc00&amp;v=2296709:2297215&amp;c=444444", "offset 139")</f>
        <v>offset 139</v>
      </c>
    </row>
    <row r="8143" customFormat="false" ht="12.8" hidden="false" customHeight="false" outlineLevel="0" collapsed="false">
      <c r="A8143" s="0" t="s">
        <v>12</v>
      </c>
      <c r="B8143" s="0" t="n">
        <v>2299002</v>
      </c>
      <c r="C8143" s="0" t="n">
        <v>2299022</v>
      </c>
      <c r="D8143" s="0" t="s">
        <v>27211</v>
      </c>
      <c r="E8143" s="0" t="s">
        <v>89</v>
      </c>
      <c r="F8143" s="0" t="s">
        <v>15</v>
      </c>
      <c r="G8143" s="0" t="s">
        <v>32</v>
      </c>
      <c r="H8143" s="0" t="n">
        <v>11</v>
      </c>
      <c r="I8143" s="0" t="s">
        <v>27212</v>
      </c>
      <c r="J8143" s="0" t="s">
        <v>27213</v>
      </c>
      <c r="K8143" s="0" t="s">
        <v>27214</v>
      </c>
      <c r="L8143" s="0" t="str">
        <f aca="false">HYPERLINK("https://www.ncbi.nlm.nih.gov/nuccore/CP000304.1?report=graph&amp;tracks=[key:gene_model_track,Options:GeneOnly]&amp;mk=2299003:2299022|offset_11|00cc00,2299031:2299050|offset_39|444444,2299059:2299078|offset_67|444444,2299083:2299102|offset_91|444444&amp;v=2298802:2299302&amp;c=444444", "offset 11")</f>
        <v>offset 11</v>
      </c>
    </row>
    <row r="8144" customFormat="false" ht="12.8" hidden="false" customHeight="false" outlineLevel="0" collapsed="false">
      <c r="A8144" s="0" t="s">
        <v>12</v>
      </c>
      <c r="B8144" s="0" t="n">
        <v>2299030</v>
      </c>
      <c r="C8144" s="0" t="n">
        <v>2299050</v>
      </c>
      <c r="D8144" s="0" t="s">
        <v>27211</v>
      </c>
      <c r="E8144" s="0" t="s">
        <v>89</v>
      </c>
      <c r="F8144" s="0" t="s">
        <v>15</v>
      </c>
      <c r="G8144" s="0" t="s">
        <v>16</v>
      </c>
      <c r="H8144" s="0" t="n">
        <v>39</v>
      </c>
      <c r="I8144" s="0" t="s">
        <v>27215</v>
      </c>
      <c r="J8144" s="0" t="s">
        <v>27216</v>
      </c>
      <c r="K8144" s="0" t="s">
        <v>27217</v>
      </c>
      <c r="L8144" s="0" t="str">
        <f aca="false">HYPERLINK("https://www.ncbi.nlm.nih.gov/nuccore/CP000304.1?report=graph&amp;tracks=[key:gene_model_track,Options:GeneOnly]&amp;mk=2299003:2299022|offset_11|444444,2299031:2299050|offset_39|00cc00,2299059:2299078|offset_67|444444,2299083:2299102|offset_91|444444&amp;v=2298802:2299302&amp;c=444444", "offset 39")</f>
        <v>offset 39</v>
      </c>
    </row>
    <row r="8145" customFormat="false" ht="12.8" hidden="false" customHeight="false" outlineLevel="0" collapsed="false">
      <c r="A8145" s="0" t="s">
        <v>12</v>
      </c>
      <c r="B8145" s="0" t="n">
        <v>2299058</v>
      </c>
      <c r="C8145" s="0" t="n">
        <v>2299078</v>
      </c>
      <c r="D8145" s="0" t="s">
        <v>27211</v>
      </c>
      <c r="E8145" s="0" t="s">
        <v>89</v>
      </c>
      <c r="F8145" s="0" t="s">
        <v>15</v>
      </c>
      <c r="G8145" s="0" t="s">
        <v>26</v>
      </c>
      <c r="H8145" s="0" t="n">
        <v>67</v>
      </c>
      <c r="I8145" s="0" t="s">
        <v>27218</v>
      </c>
      <c r="J8145" s="0" t="s">
        <v>27219</v>
      </c>
      <c r="K8145" s="0" t="s">
        <v>27220</v>
      </c>
      <c r="L8145" s="0" t="str">
        <f aca="false">HYPERLINK("https://www.ncbi.nlm.nih.gov/nuccore/CP000304.1?report=graph&amp;tracks=[key:gene_model_track,Options:GeneOnly]&amp;mk=2299003:2299022|offset_11|444444,2299031:2299050|offset_39|444444,2299059:2299078|offset_67|00cc00,2299083:2299102|offset_91|444444&amp;v=2298802:2299302&amp;c=444444", "offset 67")</f>
        <v>offset 67</v>
      </c>
    </row>
    <row r="8146" customFormat="false" ht="12.8" hidden="false" customHeight="false" outlineLevel="0" collapsed="false">
      <c r="A8146" s="0" t="s">
        <v>12</v>
      </c>
      <c r="B8146" s="0" t="n">
        <v>2299082</v>
      </c>
      <c r="C8146" s="0" t="n">
        <v>2299102</v>
      </c>
      <c r="D8146" s="0" t="s">
        <v>27211</v>
      </c>
      <c r="E8146" s="0" t="s">
        <v>89</v>
      </c>
      <c r="F8146" s="0" t="s">
        <v>15</v>
      </c>
      <c r="G8146" s="0" t="s">
        <v>16</v>
      </c>
      <c r="H8146" s="0" t="n">
        <v>91</v>
      </c>
      <c r="I8146" s="0" t="s">
        <v>27221</v>
      </c>
      <c r="J8146" s="0" t="s">
        <v>27222</v>
      </c>
      <c r="K8146" s="0" t="s">
        <v>27223</v>
      </c>
      <c r="L8146" s="0" t="str">
        <f aca="false">HYPERLINK("https://www.ncbi.nlm.nih.gov/nuccore/CP000304.1?report=graph&amp;tracks=[key:gene_model_track,Options:GeneOnly]&amp;mk=2299003:2299022|offset_11|444444,2299031:2299050|offset_39|444444,2299059:2299078|offset_67|444444,2299083:2299102|offset_91|00cc00&amp;v=2298802:2299302&amp;c=444444", "offset 91")</f>
        <v>offset 91</v>
      </c>
    </row>
    <row r="8147" customFormat="false" ht="12.8" hidden="false" customHeight="false" outlineLevel="0" collapsed="false">
      <c r="A8147" s="0" t="s">
        <v>12</v>
      </c>
      <c r="B8147" s="0" t="n">
        <v>2299216</v>
      </c>
      <c r="C8147" s="0" t="n">
        <v>2299236</v>
      </c>
      <c r="D8147" s="0" t="s">
        <v>27224</v>
      </c>
      <c r="E8147" s="0" t="s">
        <v>89</v>
      </c>
      <c r="F8147" s="0" t="s">
        <v>15</v>
      </c>
      <c r="G8147" s="0" t="s">
        <v>36</v>
      </c>
      <c r="H8147" s="0" t="n">
        <v>18</v>
      </c>
      <c r="I8147" s="0" t="s">
        <v>27225</v>
      </c>
      <c r="J8147" s="0" t="s">
        <v>27226</v>
      </c>
      <c r="K8147" s="0" t="s">
        <v>27227</v>
      </c>
      <c r="L8147" s="0" t="str">
        <f aca="false">HYPERLINK("https://www.ncbi.nlm.nih.gov/nuccore/CP000304.1?report=graph&amp;tracks=[key:gene_model_track,Options:GeneOnly]&amp;mk=2299217:2299236|offset_18|00cc00,2299242:2299261|offset_43|444444,2299263:2299282|offset_64|444444,2299307:2299326|offset_108|444444&amp;v=2299016:2299526&amp;c=444444", "offset 18")</f>
        <v>offset 18</v>
      </c>
    </row>
    <row r="8148" customFormat="false" ht="12.8" hidden="false" customHeight="false" outlineLevel="0" collapsed="false">
      <c r="A8148" s="0" t="s">
        <v>12</v>
      </c>
      <c r="B8148" s="0" t="n">
        <v>2299241</v>
      </c>
      <c r="C8148" s="0" t="n">
        <v>2299261</v>
      </c>
      <c r="D8148" s="0" t="s">
        <v>27224</v>
      </c>
      <c r="E8148" s="0" t="s">
        <v>89</v>
      </c>
      <c r="F8148" s="0" t="s">
        <v>15</v>
      </c>
      <c r="G8148" s="0" t="s">
        <v>36</v>
      </c>
      <c r="H8148" s="0" t="n">
        <v>43</v>
      </c>
      <c r="I8148" s="0" t="s">
        <v>27228</v>
      </c>
      <c r="J8148" s="0" t="s">
        <v>27229</v>
      </c>
      <c r="K8148" s="0" t="s">
        <v>27230</v>
      </c>
      <c r="L8148" s="0" t="str">
        <f aca="false">HYPERLINK("https://www.ncbi.nlm.nih.gov/nuccore/CP000304.1?report=graph&amp;tracks=[key:gene_model_track,Options:GeneOnly]&amp;mk=2299217:2299236|offset_18|444444,2299242:2299261|offset_43|00cc00,2299263:2299282|offset_64|444444,2299307:2299326|offset_108|444444&amp;v=2299016:2299526&amp;c=444444", "offset 43")</f>
        <v>offset 43</v>
      </c>
    </row>
    <row r="8149" customFormat="false" ht="12.8" hidden="false" customHeight="false" outlineLevel="0" collapsed="false">
      <c r="A8149" s="0" t="s">
        <v>12</v>
      </c>
      <c r="B8149" s="0" t="n">
        <v>2299262</v>
      </c>
      <c r="C8149" s="0" t="n">
        <v>2299282</v>
      </c>
      <c r="D8149" s="0" t="s">
        <v>27224</v>
      </c>
      <c r="E8149" s="0" t="s">
        <v>89</v>
      </c>
      <c r="F8149" s="0" t="s">
        <v>15</v>
      </c>
      <c r="G8149" s="0" t="s">
        <v>32</v>
      </c>
      <c r="H8149" s="0" t="n">
        <v>64</v>
      </c>
      <c r="I8149" s="0" t="s">
        <v>27231</v>
      </c>
      <c r="J8149" s="0" t="s">
        <v>27232</v>
      </c>
      <c r="K8149" s="0" t="s">
        <v>27233</v>
      </c>
      <c r="L8149" s="0" t="str">
        <f aca="false">HYPERLINK("https://www.ncbi.nlm.nih.gov/nuccore/CP000304.1?report=graph&amp;tracks=[key:gene_model_track,Options:GeneOnly]&amp;mk=2299217:2299236|offset_18|444444,2299242:2299261|offset_43|444444,2299263:2299282|offset_64|00cc00,2299307:2299326|offset_108|444444&amp;v=2299016:2299526&amp;c=444444", "offset 64")</f>
        <v>offset 64</v>
      </c>
    </row>
    <row r="8150" customFormat="false" ht="12.8" hidden="false" customHeight="false" outlineLevel="0" collapsed="false">
      <c r="A8150" s="0" t="s">
        <v>12</v>
      </c>
      <c r="B8150" s="0" t="n">
        <v>2299306</v>
      </c>
      <c r="C8150" s="0" t="n">
        <v>2299326</v>
      </c>
      <c r="D8150" s="0" t="s">
        <v>27224</v>
      </c>
      <c r="E8150" s="0" t="s">
        <v>89</v>
      </c>
      <c r="F8150" s="0" t="s">
        <v>15</v>
      </c>
      <c r="G8150" s="0" t="s">
        <v>36</v>
      </c>
      <c r="H8150" s="0" t="n">
        <v>108</v>
      </c>
      <c r="I8150" s="0" t="s">
        <v>27234</v>
      </c>
      <c r="J8150" s="0" t="s">
        <v>27235</v>
      </c>
      <c r="K8150" s="0" t="s">
        <v>27236</v>
      </c>
      <c r="L8150" s="0" t="str">
        <f aca="false">HYPERLINK("https://www.ncbi.nlm.nih.gov/nuccore/CP000304.1?report=graph&amp;tracks=[key:gene_model_track,Options:GeneOnly]&amp;mk=2299217:2299236|offset_18|444444,2299242:2299261|offset_43|444444,2299263:2299282|offset_64|444444,2299307:2299326|offset_108|00cc00&amp;v=2299016:2299526&amp;c=444444", "offset 108")</f>
        <v>offset 108</v>
      </c>
    </row>
    <row r="8151" customFormat="false" ht="12.8" hidden="false" customHeight="false" outlineLevel="0" collapsed="false">
      <c r="A8151" s="0" t="s">
        <v>12</v>
      </c>
      <c r="B8151" s="0" t="n">
        <v>2300102</v>
      </c>
      <c r="C8151" s="0" t="n">
        <v>2300122</v>
      </c>
      <c r="D8151" s="0" t="s">
        <v>27237</v>
      </c>
      <c r="E8151" s="0" t="s">
        <v>89</v>
      </c>
      <c r="F8151" s="0" t="s">
        <v>15</v>
      </c>
      <c r="G8151" s="0" t="s">
        <v>16</v>
      </c>
      <c r="H8151" s="0" t="n">
        <v>8</v>
      </c>
      <c r="I8151" s="0" t="s">
        <v>27238</v>
      </c>
      <c r="J8151" s="0" t="s">
        <v>27239</v>
      </c>
      <c r="K8151" s="0" t="s">
        <v>27240</v>
      </c>
      <c r="L8151" s="0" t="str">
        <f aca="false">HYPERLINK("https://www.ncbi.nlm.nih.gov/nuccore/CP000304.1?report=graph&amp;tracks=[key:gene_model_track,Options:GeneOnly]&amp;mk=2300103:2300122|offset_8|00cc00,2300125:2300144|offset_30|444444,2300147:2300166|offset_52|444444,2300167:2300186|offset_72|444444&amp;v=2299902:2300386&amp;c=444444", "offset 8")</f>
        <v>offset 8</v>
      </c>
    </row>
    <row r="8152" customFormat="false" ht="12.8" hidden="false" customHeight="false" outlineLevel="0" collapsed="false">
      <c r="A8152" s="0" t="s">
        <v>12</v>
      </c>
      <c r="B8152" s="0" t="n">
        <v>2300124</v>
      </c>
      <c r="C8152" s="0" t="n">
        <v>2300144</v>
      </c>
      <c r="D8152" s="0" t="s">
        <v>27237</v>
      </c>
      <c r="E8152" s="0" t="s">
        <v>89</v>
      </c>
      <c r="F8152" s="0" t="s">
        <v>15</v>
      </c>
      <c r="G8152" s="0" t="s">
        <v>36</v>
      </c>
      <c r="H8152" s="0" t="n">
        <v>30</v>
      </c>
      <c r="I8152" s="0" t="s">
        <v>27241</v>
      </c>
      <c r="J8152" s="0" t="s">
        <v>27242</v>
      </c>
      <c r="K8152" s="0" t="s">
        <v>27243</v>
      </c>
      <c r="L8152" s="0" t="str">
        <f aca="false">HYPERLINK("https://www.ncbi.nlm.nih.gov/nuccore/CP000304.1?report=graph&amp;tracks=[key:gene_model_track,Options:GeneOnly]&amp;mk=2300103:2300122|offset_8|444444,2300125:2300144|offset_30|00cc00,2300147:2300166|offset_52|444444,2300167:2300186|offset_72|444444&amp;v=2299902:2300386&amp;c=444444", "offset 30")</f>
        <v>offset 30</v>
      </c>
    </row>
    <row r="8153" customFormat="false" ht="12.8" hidden="false" customHeight="false" outlineLevel="0" collapsed="false">
      <c r="A8153" s="0" t="s">
        <v>12</v>
      </c>
      <c r="B8153" s="0" t="n">
        <v>2300146</v>
      </c>
      <c r="C8153" s="0" t="n">
        <v>2300166</v>
      </c>
      <c r="D8153" s="0" t="s">
        <v>27237</v>
      </c>
      <c r="E8153" s="0" t="s">
        <v>89</v>
      </c>
      <c r="F8153" s="0" t="s">
        <v>15</v>
      </c>
      <c r="G8153" s="0" t="s">
        <v>16</v>
      </c>
      <c r="H8153" s="0" t="n">
        <v>52</v>
      </c>
      <c r="I8153" s="0" t="s">
        <v>27244</v>
      </c>
      <c r="J8153" s="0" t="s">
        <v>27245</v>
      </c>
      <c r="K8153" s="0" t="s">
        <v>27246</v>
      </c>
      <c r="L8153" s="0" t="str">
        <f aca="false">HYPERLINK("https://www.ncbi.nlm.nih.gov/nuccore/CP000304.1?report=graph&amp;tracks=[key:gene_model_track,Options:GeneOnly]&amp;mk=2300103:2300122|offset_8|444444,2300125:2300144|offset_30|444444,2300147:2300166|offset_52|00cc00,2300167:2300186|offset_72|444444&amp;v=2299902:2300386&amp;c=444444", "offset 52")</f>
        <v>offset 52</v>
      </c>
    </row>
    <row r="8154" customFormat="false" ht="12.8" hidden="false" customHeight="false" outlineLevel="0" collapsed="false">
      <c r="A8154" s="0" t="s">
        <v>12</v>
      </c>
      <c r="B8154" s="0" t="n">
        <v>2300166</v>
      </c>
      <c r="C8154" s="0" t="n">
        <v>2300186</v>
      </c>
      <c r="D8154" s="0" t="s">
        <v>27237</v>
      </c>
      <c r="E8154" s="0" t="s">
        <v>89</v>
      </c>
      <c r="F8154" s="0" t="s">
        <v>15</v>
      </c>
      <c r="G8154" s="0" t="s">
        <v>16</v>
      </c>
      <c r="H8154" s="0" t="n">
        <v>72</v>
      </c>
      <c r="I8154" s="0" t="s">
        <v>27247</v>
      </c>
      <c r="J8154" s="0" t="s">
        <v>27248</v>
      </c>
      <c r="K8154" s="0" t="s">
        <v>27249</v>
      </c>
      <c r="L8154" s="0" t="str">
        <f aca="false">HYPERLINK("https://www.ncbi.nlm.nih.gov/nuccore/CP000304.1?report=graph&amp;tracks=[key:gene_model_track,Options:GeneOnly]&amp;mk=2300103:2300122|offset_8|444444,2300125:2300144|offset_30|444444,2300147:2300166|offset_52|444444,2300167:2300186|offset_72|00cc00&amp;v=2299902:2300386&amp;c=444444", "offset 72")</f>
        <v>offset 72</v>
      </c>
    </row>
    <row r="8155" customFormat="false" ht="12.8" hidden="false" customHeight="false" outlineLevel="0" collapsed="false">
      <c r="A8155" s="0" t="s">
        <v>12</v>
      </c>
      <c r="B8155" s="0" t="n">
        <v>2301583</v>
      </c>
      <c r="C8155" s="0" t="n">
        <v>2301603</v>
      </c>
      <c r="D8155" s="0" t="s">
        <v>27250</v>
      </c>
      <c r="E8155" s="0" t="s">
        <v>89</v>
      </c>
      <c r="F8155" s="0" t="s">
        <v>15</v>
      </c>
      <c r="G8155" s="0" t="s">
        <v>16</v>
      </c>
      <c r="H8155" s="0" t="n">
        <v>35</v>
      </c>
      <c r="I8155" s="0" t="s">
        <v>27251</v>
      </c>
      <c r="J8155" s="0" t="s">
        <v>27252</v>
      </c>
      <c r="K8155" s="0" t="s">
        <v>27253</v>
      </c>
      <c r="L8155" s="0" t="str">
        <f aca="false">HYPERLINK("https://www.ncbi.nlm.nih.gov/nuccore/CP000304.1?report=graph&amp;tracks=[key:gene_model_track,Options:GeneOnly]&amp;mk=2301584:2301603|offset_35|00cc00,2301610:2301629|offset_61|444444,2301637:2301656|offset_88|444444,2301677:2301696|offset_128|444444&amp;v=2301383:2301896&amp;c=444444", "offset 35")</f>
        <v>offset 35</v>
      </c>
    </row>
    <row r="8156" customFormat="false" ht="12.8" hidden="false" customHeight="false" outlineLevel="0" collapsed="false">
      <c r="A8156" s="0" t="s">
        <v>12</v>
      </c>
      <c r="B8156" s="0" t="n">
        <v>2301609</v>
      </c>
      <c r="C8156" s="0" t="n">
        <v>2301629</v>
      </c>
      <c r="D8156" s="0" t="s">
        <v>27250</v>
      </c>
      <c r="E8156" s="0" t="s">
        <v>89</v>
      </c>
      <c r="F8156" s="0" t="s">
        <v>15</v>
      </c>
      <c r="G8156" s="0" t="s">
        <v>16</v>
      </c>
      <c r="H8156" s="0" t="n">
        <v>61</v>
      </c>
      <c r="I8156" s="0" t="s">
        <v>27254</v>
      </c>
      <c r="J8156" s="0" t="s">
        <v>27255</v>
      </c>
      <c r="K8156" s="0" t="s">
        <v>27256</v>
      </c>
      <c r="L8156" s="0" t="str">
        <f aca="false">HYPERLINK("https://www.ncbi.nlm.nih.gov/nuccore/CP000304.1?report=graph&amp;tracks=[key:gene_model_track,Options:GeneOnly]&amp;mk=2301584:2301603|offset_35|444444,2301610:2301629|offset_61|00cc00,2301637:2301656|offset_88|444444,2301677:2301696|offset_128|444444&amp;v=2301383:2301896&amp;c=444444", "offset 61")</f>
        <v>offset 61</v>
      </c>
    </row>
    <row r="8157" customFormat="false" ht="12.8" hidden="false" customHeight="false" outlineLevel="0" collapsed="false">
      <c r="A8157" s="0" t="s">
        <v>12</v>
      </c>
      <c r="B8157" s="0" t="n">
        <v>2301636</v>
      </c>
      <c r="C8157" s="0" t="n">
        <v>2301656</v>
      </c>
      <c r="D8157" s="0" t="s">
        <v>27250</v>
      </c>
      <c r="E8157" s="0" t="s">
        <v>89</v>
      </c>
      <c r="F8157" s="0" t="s">
        <v>15</v>
      </c>
      <c r="G8157" s="0" t="s">
        <v>32</v>
      </c>
      <c r="H8157" s="0" t="n">
        <v>88</v>
      </c>
      <c r="I8157" s="0" t="s">
        <v>27257</v>
      </c>
      <c r="J8157" s="0" t="s">
        <v>27258</v>
      </c>
      <c r="K8157" s="0" t="s">
        <v>27259</v>
      </c>
      <c r="L8157" s="0" t="str">
        <f aca="false">HYPERLINK("https://www.ncbi.nlm.nih.gov/nuccore/CP000304.1?report=graph&amp;tracks=[key:gene_model_track,Options:GeneOnly]&amp;mk=2301584:2301603|offset_35|444444,2301610:2301629|offset_61|444444,2301637:2301656|offset_88|00cc00,2301677:2301696|offset_128|444444&amp;v=2301383:2301896&amp;c=444444", "offset 88")</f>
        <v>offset 88</v>
      </c>
    </row>
    <row r="8158" customFormat="false" ht="12.8" hidden="false" customHeight="false" outlineLevel="0" collapsed="false">
      <c r="A8158" s="0" t="s">
        <v>12</v>
      </c>
      <c r="B8158" s="0" t="n">
        <v>2301676</v>
      </c>
      <c r="C8158" s="0" t="n">
        <v>2301696</v>
      </c>
      <c r="D8158" s="0" t="s">
        <v>27250</v>
      </c>
      <c r="E8158" s="0" t="s">
        <v>89</v>
      </c>
      <c r="F8158" s="0" t="s">
        <v>15</v>
      </c>
      <c r="G8158" s="0" t="s">
        <v>32</v>
      </c>
      <c r="H8158" s="0" t="n">
        <v>128</v>
      </c>
      <c r="I8158" s="0" t="s">
        <v>27260</v>
      </c>
      <c r="J8158" s="0" t="s">
        <v>27261</v>
      </c>
      <c r="K8158" s="0" t="s">
        <v>27262</v>
      </c>
      <c r="L8158" s="0" t="str">
        <f aca="false">HYPERLINK("https://www.ncbi.nlm.nih.gov/nuccore/CP000304.1?report=graph&amp;tracks=[key:gene_model_track,Options:GeneOnly]&amp;mk=2301584:2301603|offset_35|444444,2301610:2301629|offset_61|444444,2301637:2301656|offset_88|444444,2301677:2301696|offset_128|00cc00&amp;v=2301383:2301896&amp;c=444444", "offset 128")</f>
        <v>offset 128</v>
      </c>
    </row>
    <row r="8159" customFormat="false" ht="12.8" hidden="false" customHeight="false" outlineLevel="0" collapsed="false">
      <c r="A8159" s="0" t="s">
        <v>12</v>
      </c>
      <c r="B8159" s="0" t="n">
        <v>2302711</v>
      </c>
      <c r="C8159" s="0" t="n">
        <v>2302731</v>
      </c>
      <c r="D8159" s="0" t="s">
        <v>27263</v>
      </c>
      <c r="E8159" s="0" t="s">
        <v>89</v>
      </c>
      <c r="F8159" s="0" t="s">
        <v>15</v>
      </c>
      <c r="G8159" s="0" t="s">
        <v>26</v>
      </c>
      <c r="H8159" s="0" t="n">
        <v>11</v>
      </c>
      <c r="I8159" s="0" t="s">
        <v>27264</v>
      </c>
      <c r="J8159" s="0" t="s">
        <v>27265</v>
      </c>
      <c r="K8159" s="0" t="s">
        <v>27266</v>
      </c>
      <c r="L8159" s="0" t="str">
        <f aca="false">HYPERLINK("https://www.ncbi.nlm.nih.gov/nuccore/CP000304.1?report=graph&amp;tracks=[key:gene_model_track,Options:GeneOnly]&amp;mk=2302712:2302731|offset_11|00cc00,2302764:2302783|offset_63|444444,2302789:2302808|offset_88|444444,2302822:2302841|offset_121|444444&amp;v=2302511:2303041&amp;c=444444", "offset 11")</f>
        <v>offset 11</v>
      </c>
    </row>
    <row r="8160" customFormat="false" ht="12.8" hidden="false" customHeight="false" outlineLevel="0" collapsed="false">
      <c r="A8160" s="0" t="s">
        <v>12</v>
      </c>
      <c r="B8160" s="0" t="n">
        <v>2302763</v>
      </c>
      <c r="C8160" s="0" t="n">
        <v>2302783</v>
      </c>
      <c r="D8160" s="0" t="s">
        <v>27263</v>
      </c>
      <c r="E8160" s="0" t="s">
        <v>89</v>
      </c>
      <c r="F8160" s="0" t="s">
        <v>15</v>
      </c>
      <c r="G8160" s="0" t="s">
        <v>36</v>
      </c>
      <c r="H8160" s="0" t="n">
        <v>63</v>
      </c>
      <c r="I8160" s="0" t="s">
        <v>27267</v>
      </c>
      <c r="J8160" s="0" t="s">
        <v>27268</v>
      </c>
      <c r="K8160" s="0" t="s">
        <v>27269</v>
      </c>
      <c r="L8160" s="0" t="str">
        <f aca="false">HYPERLINK("https://www.ncbi.nlm.nih.gov/nuccore/CP000304.1?report=graph&amp;tracks=[key:gene_model_track,Options:GeneOnly]&amp;mk=2302712:2302731|offset_11|444444,2302764:2302783|offset_63|00cc00,2302789:2302808|offset_88|444444,2302822:2302841|offset_121|444444&amp;v=2302511:2303041&amp;c=444444", "offset 63")</f>
        <v>offset 63</v>
      </c>
    </row>
    <row r="8161" customFormat="false" ht="12.8" hidden="false" customHeight="false" outlineLevel="0" collapsed="false">
      <c r="A8161" s="0" t="s">
        <v>12</v>
      </c>
      <c r="B8161" s="0" t="n">
        <v>2302788</v>
      </c>
      <c r="C8161" s="0" t="n">
        <v>2302808</v>
      </c>
      <c r="D8161" s="0" t="s">
        <v>27263</v>
      </c>
      <c r="E8161" s="0" t="s">
        <v>89</v>
      </c>
      <c r="F8161" s="0" t="s">
        <v>15</v>
      </c>
      <c r="G8161" s="0" t="s">
        <v>16</v>
      </c>
      <c r="H8161" s="0" t="n">
        <v>88</v>
      </c>
      <c r="I8161" s="0" t="s">
        <v>27270</v>
      </c>
      <c r="J8161" s="0" t="s">
        <v>27271</v>
      </c>
      <c r="K8161" s="0" t="s">
        <v>27272</v>
      </c>
      <c r="L8161" s="0" t="str">
        <f aca="false">HYPERLINK("https://www.ncbi.nlm.nih.gov/nuccore/CP000304.1?report=graph&amp;tracks=[key:gene_model_track,Options:GeneOnly]&amp;mk=2302712:2302731|offset_11|444444,2302764:2302783|offset_63|444444,2302789:2302808|offset_88|00cc00,2302822:2302841|offset_121|444444&amp;v=2302511:2303041&amp;c=444444", "offset 88")</f>
        <v>offset 88</v>
      </c>
    </row>
    <row r="8162" customFormat="false" ht="12.8" hidden="false" customHeight="false" outlineLevel="0" collapsed="false">
      <c r="A8162" s="0" t="s">
        <v>12</v>
      </c>
      <c r="B8162" s="0" t="n">
        <v>2302821</v>
      </c>
      <c r="C8162" s="0" t="n">
        <v>2302841</v>
      </c>
      <c r="D8162" s="0" t="s">
        <v>27263</v>
      </c>
      <c r="E8162" s="0" t="s">
        <v>89</v>
      </c>
      <c r="F8162" s="0" t="s">
        <v>15</v>
      </c>
      <c r="G8162" s="0" t="s">
        <v>16</v>
      </c>
      <c r="H8162" s="0" t="n">
        <v>121</v>
      </c>
      <c r="I8162" s="0" t="s">
        <v>27273</v>
      </c>
      <c r="J8162" s="0" t="s">
        <v>27274</v>
      </c>
      <c r="K8162" s="0" t="s">
        <v>27275</v>
      </c>
      <c r="L8162" s="0" t="str">
        <f aca="false">HYPERLINK("https://www.ncbi.nlm.nih.gov/nuccore/CP000304.1?report=graph&amp;tracks=[key:gene_model_track,Options:GeneOnly]&amp;mk=2302712:2302731|offset_11|444444,2302764:2302783|offset_63|444444,2302789:2302808|offset_88|444444,2302822:2302841|offset_121|00cc00&amp;v=2302511:2303041&amp;c=444444", "offset 121")</f>
        <v>offset 121</v>
      </c>
    </row>
    <row r="8163" customFormat="false" ht="12.8" hidden="false" customHeight="false" outlineLevel="0" collapsed="false">
      <c r="A8163" s="0" t="s">
        <v>12</v>
      </c>
      <c r="B8163" s="0" t="n">
        <v>2304071</v>
      </c>
      <c r="C8163" s="0" t="n">
        <v>2304091</v>
      </c>
      <c r="D8163" s="0" t="s">
        <v>27276</v>
      </c>
      <c r="E8163" s="0" t="s">
        <v>89</v>
      </c>
      <c r="F8163" s="0" t="s">
        <v>90</v>
      </c>
      <c r="G8163" s="0" t="s">
        <v>26</v>
      </c>
      <c r="H8163" s="0" t="n">
        <v>0</v>
      </c>
      <c r="I8163" s="0" t="s">
        <v>27277</v>
      </c>
      <c r="J8163" s="0" t="s">
        <v>27278</v>
      </c>
      <c r="K8163" s="0" t="s">
        <v>27279</v>
      </c>
      <c r="L8163" s="0" t="str">
        <f aca="false">HYPERLINK("https://www.ncbi.nlm.nih.gov/nuccore/CP000304.1?report=graph&amp;tracks=[key:gene_model_track,Options:GeneOnly]&amp;mk=2304072:2304091|offset_0|00cc00,2303999:2304018|offset_73|444444,2303932:2303951|offset_140|444444,2303860:2303879|offset_212|444444&amp;v=2303871:2304079&amp;c=444444", "offset 0")</f>
        <v>offset 0</v>
      </c>
    </row>
    <row r="8164" customFormat="false" ht="12.8" hidden="false" customHeight="false" outlineLevel="0" collapsed="false">
      <c r="A8164" s="0" t="s">
        <v>12</v>
      </c>
      <c r="B8164" s="0" t="n">
        <v>2303998</v>
      </c>
      <c r="C8164" s="0" t="n">
        <v>2304018</v>
      </c>
      <c r="D8164" s="0" t="s">
        <v>27276</v>
      </c>
      <c r="E8164" s="0" t="s">
        <v>89</v>
      </c>
      <c r="F8164" s="0" t="s">
        <v>90</v>
      </c>
      <c r="G8164" s="0" t="s">
        <v>16</v>
      </c>
      <c r="H8164" s="0" t="n">
        <v>73</v>
      </c>
      <c r="I8164" s="0" t="s">
        <v>27280</v>
      </c>
      <c r="J8164" s="0" t="s">
        <v>27281</v>
      </c>
      <c r="K8164" s="0" t="s">
        <v>27282</v>
      </c>
      <c r="L8164" s="0" t="str">
        <f aca="false">HYPERLINK("https://www.ncbi.nlm.nih.gov/nuccore/CP000304.1?report=graph&amp;tracks=[key:gene_model_track,Options:GeneOnly]&amp;mk=2304072:2304091|offset_0|444444,2303999:2304018|offset_73|00cc00,2303932:2303951|offset_140|444444,2303860:2303879|offset_212|444444&amp;v=2303871:2304079&amp;c=444444", "offset 73")</f>
        <v>offset 73</v>
      </c>
    </row>
    <row r="8165" customFormat="false" ht="12.8" hidden="false" customHeight="false" outlineLevel="0" collapsed="false">
      <c r="A8165" s="0" t="s">
        <v>12</v>
      </c>
      <c r="B8165" s="0" t="n">
        <v>2303931</v>
      </c>
      <c r="C8165" s="0" t="n">
        <v>2303951</v>
      </c>
      <c r="D8165" s="0" t="s">
        <v>27276</v>
      </c>
      <c r="E8165" s="0" t="s">
        <v>89</v>
      </c>
      <c r="F8165" s="0" t="s">
        <v>90</v>
      </c>
      <c r="G8165" s="0" t="s">
        <v>32</v>
      </c>
      <c r="H8165" s="0" t="n">
        <v>140</v>
      </c>
      <c r="I8165" s="0" t="s">
        <v>27283</v>
      </c>
      <c r="J8165" s="0" t="s">
        <v>27284</v>
      </c>
      <c r="K8165" s="0" t="s">
        <v>27285</v>
      </c>
      <c r="L8165" s="0" t="str">
        <f aca="false">HYPERLINK("https://www.ncbi.nlm.nih.gov/nuccore/CP000304.1?report=graph&amp;tracks=[key:gene_model_track,Options:GeneOnly]&amp;mk=2304072:2304091|offset_0|444444,2303999:2304018|offset_73|444444,2303932:2303951|offset_140|00cc00,2303860:2303879|offset_212|444444&amp;v=2303871:2304079&amp;c=444444", "offset 140")</f>
        <v>offset 140</v>
      </c>
    </row>
    <row r="8166" customFormat="false" ht="12.8" hidden="false" customHeight="false" outlineLevel="0" collapsed="false">
      <c r="A8166" s="0" t="s">
        <v>12</v>
      </c>
      <c r="B8166" s="0" t="n">
        <v>2303859</v>
      </c>
      <c r="C8166" s="0" t="n">
        <v>2303879</v>
      </c>
      <c r="D8166" s="0" t="s">
        <v>27276</v>
      </c>
      <c r="E8166" s="0" t="s">
        <v>89</v>
      </c>
      <c r="F8166" s="0" t="s">
        <v>90</v>
      </c>
      <c r="G8166" s="0" t="s">
        <v>32</v>
      </c>
      <c r="H8166" s="0" t="n">
        <v>212</v>
      </c>
      <c r="I8166" s="0" t="s">
        <v>27286</v>
      </c>
      <c r="J8166" s="0" t="s">
        <v>27287</v>
      </c>
      <c r="K8166" s="0" t="s">
        <v>27288</v>
      </c>
      <c r="L8166" s="0" t="str">
        <f aca="false">HYPERLINK("https://www.ncbi.nlm.nih.gov/nuccore/CP000304.1?report=graph&amp;tracks=[key:gene_model_track,Options:GeneOnly]&amp;mk=2304072:2304091|offset_0|444444,2303999:2304018|offset_73|444444,2303932:2303951|offset_140|444444,2303860:2303879|offset_212|00cc00&amp;v=2303871:2304079&amp;c=444444", "offset 212")</f>
        <v>offset 212</v>
      </c>
    </row>
    <row r="8167" customFormat="false" ht="12.8" hidden="false" customHeight="false" outlineLevel="0" collapsed="false">
      <c r="A8167" s="0" t="s">
        <v>12</v>
      </c>
      <c r="B8167" s="0" t="n">
        <v>2304502</v>
      </c>
      <c r="C8167" s="0" t="n">
        <v>2304522</v>
      </c>
      <c r="D8167" s="0" t="s">
        <v>27289</v>
      </c>
      <c r="E8167" s="0" t="s">
        <v>89</v>
      </c>
      <c r="F8167" s="0" t="s">
        <v>15</v>
      </c>
      <c r="G8167" s="0" t="s">
        <v>32</v>
      </c>
      <c r="H8167" s="0" t="n">
        <v>0</v>
      </c>
      <c r="I8167" s="0" t="s">
        <v>27290</v>
      </c>
      <c r="J8167" s="0" t="s">
        <v>27291</v>
      </c>
      <c r="K8167" s="0" t="s">
        <v>27292</v>
      </c>
      <c r="L8167" s="0" t="str">
        <f aca="false">HYPERLINK("https://www.ncbi.nlm.nih.gov/nuccore/CP000304.1?report=graph&amp;tracks=[key:gene_model_track,Options:GeneOnly]&amp;mk=2304503:2304522|offset_0|00cc00,2304525:2304544|offset_22|444444,2304546:2304565|offset_43|444444,2304574:2304593|offset_71|444444&amp;v=2304302:2304793&amp;c=444444", "offset 0")</f>
        <v>offset 0</v>
      </c>
    </row>
    <row r="8168" customFormat="false" ht="12.8" hidden="false" customHeight="false" outlineLevel="0" collapsed="false">
      <c r="A8168" s="0" t="s">
        <v>12</v>
      </c>
      <c r="B8168" s="0" t="n">
        <v>2304524</v>
      </c>
      <c r="C8168" s="0" t="n">
        <v>2304544</v>
      </c>
      <c r="D8168" s="0" t="s">
        <v>27289</v>
      </c>
      <c r="E8168" s="0" t="s">
        <v>89</v>
      </c>
      <c r="F8168" s="0" t="s">
        <v>15</v>
      </c>
      <c r="G8168" s="0" t="s">
        <v>36</v>
      </c>
      <c r="H8168" s="0" t="n">
        <v>22</v>
      </c>
      <c r="I8168" s="0" t="s">
        <v>27293</v>
      </c>
      <c r="J8168" s="0" t="s">
        <v>27294</v>
      </c>
      <c r="K8168" s="0" t="s">
        <v>27295</v>
      </c>
      <c r="L8168" s="0" t="str">
        <f aca="false">HYPERLINK("https://www.ncbi.nlm.nih.gov/nuccore/CP000304.1?report=graph&amp;tracks=[key:gene_model_track,Options:GeneOnly]&amp;mk=2304503:2304522|offset_0|444444,2304525:2304544|offset_22|00cc00,2304546:2304565|offset_43|444444,2304574:2304593|offset_71|444444&amp;v=2304302:2304793&amp;c=444444", "offset 22")</f>
        <v>offset 22</v>
      </c>
    </row>
    <row r="8169" customFormat="false" ht="12.8" hidden="false" customHeight="false" outlineLevel="0" collapsed="false">
      <c r="A8169" s="0" t="s">
        <v>12</v>
      </c>
      <c r="B8169" s="0" t="n">
        <v>2304545</v>
      </c>
      <c r="C8169" s="0" t="n">
        <v>2304565</v>
      </c>
      <c r="D8169" s="0" t="s">
        <v>27289</v>
      </c>
      <c r="E8169" s="0" t="s">
        <v>89</v>
      </c>
      <c r="F8169" s="0" t="s">
        <v>15</v>
      </c>
      <c r="G8169" s="0" t="s">
        <v>32</v>
      </c>
      <c r="H8169" s="0" t="n">
        <v>43</v>
      </c>
      <c r="I8169" s="0" t="s">
        <v>27296</v>
      </c>
      <c r="J8169" s="0" t="s">
        <v>27297</v>
      </c>
      <c r="K8169" s="0" t="s">
        <v>27298</v>
      </c>
      <c r="L8169" s="0" t="str">
        <f aca="false">HYPERLINK("https://www.ncbi.nlm.nih.gov/nuccore/CP000304.1?report=graph&amp;tracks=[key:gene_model_track,Options:GeneOnly]&amp;mk=2304503:2304522|offset_0|444444,2304525:2304544|offset_22|444444,2304546:2304565|offset_43|00cc00,2304574:2304593|offset_71|444444&amp;v=2304302:2304793&amp;c=444444", "offset 43")</f>
        <v>offset 43</v>
      </c>
    </row>
    <row r="8170" customFormat="false" ht="12.8" hidden="false" customHeight="false" outlineLevel="0" collapsed="false">
      <c r="A8170" s="0" t="s">
        <v>12</v>
      </c>
      <c r="B8170" s="0" t="n">
        <v>2304573</v>
      </c>
      <c r="C8170" s="0" t="n">
        <v>2304593</v>
      </c>
      <c r="D8170" s="0" t="s">
        <v>27289</v>
      </c>
      <c r="E8170" s="0" t="s">
        <v>89</v>
      </c>
      <c r="F8170" s="0" t="s">
        <v>15</v>
      </c>
      <c r="G8170" s="0" t="s">
        <v>26</v>
      </c>
      <c r="H8170" s="0" t="n">
        <v>71</v>
      </c>
      <c r="I8170" s="0" t="s">
        <v>27299</v>
      </c>
      <c r="J8170" s="0" t="s">
        <v>27300</v>
      </c>
      <c r="K8170" s="0" t="s">
        <v>27301</v>
      </c>
      <c r="L8170" s="0" t="str">
        <f aca="false">HYPERLINK("https://www.ncbi.nlm.nih.gov/nuccore/CP000304.1?report=graph&amp;tracks=[key:gene_model_track,Options:GeneOnly]&amp;mk=2304503:2304522|offset_0|444444,2304525:2304544|offset_22|444444,2304546:2304565|offset_43|444444,2304574:2304593|offset_71|00cc00&amp;v=2304302:2304793&amp;c=444444", "offset 71")</f>
        <v>offset 71</v>
      </c>
    </row>
    <row r="8171" customFormat="false" ht="12.8" hidden="false" customHeight="false" outlineLevel="0" collapsed="false">
      <c r="A8171" s="0" t="s">
        <v>12</v>
      </c>
      <c r="B8171" s="0" t="n">
        <v>2306114</v>
      </c>
      <c r="C8171" s="0" t="n">
        <v>2306134</v>
      </c>
      <c r="D8171" s="0" t="s">
        <v>27302</v>
      </c>
      <c r="E8171" s="0" t="s">
        <v>89</v>
      </c>
      <c r="F8171" s="0" t="s">
        <v>15</v>
      </c>
      <c r="G8171" s="0" t="s">
        <v>36</v>
      </c>
      <c r="H8171" s="0" t="n">
        <v>0</v>
      </c>
      <c r="I8171" s="0" t="s">
        <v>27303</v>
      </c>
      <c r="J8171" s="0" t="s">
        <v>27304</v>
      </c>
      <c r="K8171" s="0" t="s">
        <v>27305</v>
      </c>
      <c r="L8171" s="0" t="str">
        <f aca="false">HYPERLINK("https://www.ncbi.nlm.nih.gov/nuccore/CP000304.1?report=graph&amp;tracks=[key:gene_model_track,Options:GeneOnly]&amp;mk=2306115:2306134|offset_0|00cc00,2306143:2306162|offset_28|444444,2306170:2306189|offset_55|444444,2306199:2306218|offset_84|444444&amp;v=2305914:2306418&amp;c=444444", "offset 0")</f>
        <v>offset 0</v>
      </c>
    </row>
    <row r="8172" customFormat="false" ht="12.8" hidden="false" customHeight="false" outlineLevel="0" collapsed="false">
      <c r="A8172" s="0" t="s">
        <v>12</v>
      </c>
      <c r="B8172" s="0" t="n">
        <v>2306142</v>
      </c>
      <c r="C8172" s="0" t="n">
        <v>2306162</v>
      </c>
      <c r="D8172" s="0" t="s">
        <v>27302</v>
      </c>
      <c r="E8172" s="0" t="s">
        <v>89</v>
      </c>
      <c r="F8172" s="0" t="s">
        <v>15</v>
      </c>
      <c r="G8172" s="0" t="s">
        <v>36</v>
      </c>
      <c r="H8172" s="0" t="n">
        <v>28</v>
      </c>
      <c r="I8172" s="0" t="s">
        <v>27306</v>
      </c>
      <c r="J8172" s="0" t="s">
        <v>27307</v>
      </c>
      <c r="K8172" s="0" t="s">
        <v>27308</v>
      </c>
      <c r="L8172" s="0" t="str">
        <f aca="false">HYPERLINK("https://www.ncbi.nlm.nih.gov/nuccore/CP000304.1?report=graph&amp;tracks=[key:gene_model_track,Options:GeneOnly]&amp;mk=2306115:2306134|offset_0|444444,2306143:2306162|offset_28|00cc00,2306170:2306189|offset_55|444444,2306199:2306218|offset_84|444444&amp;v=2305914:2306418&amp;c=444444", "offset 28")</f>
        <v>offset 28</v>
      </c>
    </row>
    <row r="8173" customFormat="false" ht="12.8" hidden="false" customHeight="false" outlineLevel="0" collapsed="false">
      <c r="A8173" s="0" t="s">
        <v>12</v>
      </c>
      <c r="B8173" s="0" t="n">
        <v>2306169</v>
      </c>
      <c r="C8173" s="0" t="n">
        <v>2306189</v>
      </c>
      <c r="D8173" s="0" t="s">
        <v>27302</v>
      </c>
      <c r="E8173" s="0" t="s">
        <v>89</v>
      </c>
      <c r="F8173" s="0" t="s">
        <v>15</v>
      </c>
      <c r="G8173" s="0" t="s">
        <v>16</v>
      </c>
      <c r="H8173" s="0" t="n">
        <v>55</v>
      </c>
      <c r="I8173" s="0" t="s">
        <v>27309</v>
      </c>
      <c r="J8173" s="0" t="s">
        <v>27310</v>
      </c>
      <c r="K8173" s="0" t="s">
        <v>27311</v>
      </c>
      <c r="L8173" s="0" t="str">
        <f aca="false">HYPERLINK("https://www.ncbi.nlm.nih.gov/nuccore/CP000304.1?report=graph&amp;tracks=[key:gene_model_track,Options:GeneOnly]&amp;mk=2306115:2306134|offset_0|444444,2306143:2306162|offset_28|444444,2306170:2306189|offset_55|00cc00,2306199:2306218|offset_84|444444&amp;v=2305914:2306418&amp;c=444444", "offset 55")</f>
        <v>offset 55</v>
      </c>
    </row>
    <row r="8174" customFormat="false" ht="12.8" hidden="false" customHeight="false" outlineLevel="0" collapsed="false">
      <c r="A8174" s="0" t="s">
        <v>12</v>
      </c>
      <c r="B8174" s="0" t="n">
        <v>2306198</v>
      </c>
      <c r="C8174" s="0" t="n">
        <v>2306218</v>
      </c>
      <c r="D8174" s="0" t="s">
        <v>27302</v>
      </c>
      <c r="E8174" s="0" t="s">
        <v>89</v>
      </c>
      <c r="F8174" s="0" t="s">
        <v>15</v>
      </c>
      <c r="G8174" s="0" t="s">
        <v>16</v>
      </c>
      <c r="H8174" s="0" t="n">
        <v>84</v>
      </c>
      <c r="I8174" s="0" t="s">
        <v>27312</v>
      </c>
      <c r="J8174" s="0" t="s">
        <v>27313</v>
      </c>
      <c r="K8174" s="0" t="s">
        <v>27314</v>
      </c>
      <c r="L8174" s="0" t="str">
        <f aca="false">HYPERLINK("https://www.ncbi.nlm.nih.gov/nuccore/CP000304.1?report=graph&amp;tracks=[key:gene_model_track,Options:GeneOnly]&amp;mk=2306115:2306134|offset_0|444444,2306143:2306162|offset_28|444444,2306170:2306189|offset_55|444444,2306199:2306218|offset_84|00cc00&amp;v=2305914:2306418&amp;c=444444", "offset 84")</f>
        <v>offset 84</v>
      </c>
    </row>
    <row r="8175" customFormat="false" ht="12.8" hidden="false" customHeight="false" outlineLevel="0" collapsed="false">
      <c r="A8175" s="0" t="s">
        <v>12</v>
      </c>
      <c r="B8175" s="0" t="n">
        <v>2308914</v>
      </c>
      <c r="C8175" s="0" t="n">
        <v>2308934</v>
      </c>
      <c r="D8175" s="0" t="s">
        <v>27315</v>
      </c>
      <c r="E8175" s="0" t="s">
        <v>27316</v>
      </c>
      <c r="F8175" s="0" t="s">
        <v>90</v>
      </c>
      <c r="G8175" s="0" t="s">
        <v>26</v>
      </c>
      <c r="H8175" s="0" t="n">
        <v>29</v>
      </c>
      <c r="I8175" s="0" t="s">
        <v>27317</v>
      </c>
      <c r="J8175" s="0" t="s">
        <v>27318</v>
      </c>
      <c r="K8175" s="0" t="s">
        <v>27319</v>
      </c>
      <c r="L8175" s="0" t="str">
        <f aca="false">HYPERLINK("https://www.ncbi.nlm.nih.gov/nuccore/CP000304.1?report=graph&amp;tracks=[key:gene_model_track,Options:GeneOnly]&amp;mk=2308915:2308934|offset_29|00cc00,2308866:2308885|offset_78|444444,2308828:2308847|offset_116|444444,2308778:2308797|offset_166|444444&amp;v=2308714:2308997&amp;c=444444", "offset 29")</f>
        <v>offset 29</v>
      </c>
    </row>
    <row r="8176" customFormat="false" ht="12.8" hidden="false" customHeight="false" outlineLevel="0" collapsed="false">
      <c r="A8176" s="0" t="s">
        <v>12</v>
      </c>
      <c r="B8176" s="0" t="n">
        <v>2308865</v>
      </c>
      <c r="C8176" s="0" t="n">
        <v>2308885</v>
      </c>
      <c r="D8176" s="0" t="s">
        <v>27315</v>
      </c>
      <c r="E8176" s="0" t="s">
        <v>27316</v>
      </c>
      <c r="F8176" s="0" t="s">
        <v>90</v>
      </c>
      <c r="G8176" s="0" t="s">
        <v>36</v>
      </c>
      <c r="H8176" s="0" t="n">
        <v>78</v>
      </c>
      <c r="I8176" s="0" t="s">
        <v>27320</v>
      </c>
      <c r="J8176" s="0" t="s">
        <v>27321</v>
      </c>
      <c r="K8176" s="0" t="s">
        <v>27322</v>
      </c>
      <c r="L8176" s="0" t="str">
        <f aca="false">HYPERLINK("https://www.ncbi.nlm.nih.gov/nuccore/CP000304.1?report=graph&amp;tracks=[key:gene_model_track,Options:GeneOnly]&amp;mk=2308915:2308934|offset_29|444444,2308866:2308885|offset_78|00cc00,2308828:2308847|offset_116|444444,2308778:2308797|offset_166|444444&amp;v=2308714:2308997&amp;c=444444", "offset 78")</f>
        <v>offset 78</v>
      </c>
    </row>
    <row r="8177" customFormat="false" ht="12.8" hidden="false" customHeight="false" outlineLevel="0" collapsed="false">
      <c r="A8177" s="0" t="s">
        <v>12</v>
      </c>
      <c r="B8177" s="0" t="n">
        <v>2308827</v>
      </c>
      <c r="C8177" s="0" t="n">
        <v>2308847</v>
      </c>
      <c r="D8177" s="0" t="s">
        <v>27315</v>
      </c>
      <c r="E8177" s="0" t="s">
        <v>27316</v>
      </c>
      <c r="F8177" s="0" t="s">
        <v>90</v>
      </c>
      <c r="G8177" s="0" t="s">
        <v>16</v>
      </c>
      <c r="H8177" s="0" t="n">
        <v>116</v>
      </c>
      <c r="I8177" s="0" t="s">
        <v>27323</v>
      </c>
      <c r="J8177" s="0" t="s">
        <v>27324</v>
      </c>
      <c r="K8177" s="0" t="s">
        <v>27325</v>
      </c>
      <c r="L8177" s="0" t="str">
        <f aca="false">HYPERLINK("https://www.ncbi.nlm.nih.gov/nuccore/CP000304.1?report=graph&amp;tracks=[key:gene_model_track,Options:GeneOnly]&amp;mk=2308915:2308934|offset_29|444444,2308866:2308885|offset_78|444444,2308828:2308847|offset_116|00cc00,2308778:2308797|offset_166|444444&amp;v=2308714:2308997&amp;c=444444", "offset 116")</f>
        <v>offset 116</v>
      </c>
    </row>
    <row r="8178" customFormat="false" ht="12.8" hidden="false" customHeight="false" outlineLevel="0" collapsed="false">
      <c r="A8178" s="0" t="s">
        <v>12</v>
      </c>
      <c r="B8178" s="0" t="n">
        <v>2308777</v>
      </c>
      <c r="C8178" s="0" t="n">
        <v>2308797</v>
      </c>
      <c r="D8178" s="0" t="s">
        <v>27315</v>
      </c>
      <c r="E8178" s="0" t="s">
        <v>27316</v>
      </c>
      <c r="F8178" s="0" t="s">
        <v>90</v>
      </c>
      <c r="G8178" s="0" t="s">
        <v>16</v>
      </c>
      <c r="H8178" s="0" t="n">
        <v>166</v>
      </c>
      <c r="I8178" s="0" t="s">
        <v>27326</v>
      </c>
      <c r="J8178" s="0" t="s">
        <v>27327</v>
      </c>
      <c r="K8178" s="0" t="s">
        <v>27328</v>
      </c>
      <c r="L8178" s="0" t="str">
        <f aca="false">HYPERLINK("https://www.ncbi.nlm.nih.gov/nuccore/CP000304.1?report=graph&amp;tracks=[key:gene_model_track,Options:GeneOnly]&amp;mk=2308915:2308934|offset_29|444444,2308866:2308885|offset_78|444444,2308828:2308847|offset_116|444444,2308778:2308797|offset_166|00cc00&amp;v=2308714:2308997&amp;c=444444", "offset 166")</f>
        <v>offset 166</v>
      </c>
    </row>
    <row r="8179" customFormat="false" ht="12.8" hidden="false" customHeight="false" outlineLevel="0" collapsed="false">
      <c r="A8179" s="0" t="s">
        <v>12</v>
      </c>
      <c r="B8179" s="0" t="n">
        <v>2311560</v>
      </c>
      <c r="C8179" s="0" t="n">
        <v>2311580</v>
      </c>
      <c r="D8179" s="0" t="s">
        <v>27329</v>
      </c>
      <c r="E8179" s="0" t="s">
        <v>89</v>
      </c>
      <c r="F8179" s="0" t="s">
        <v>90</v>
      </c>
      <c r="G8179" s="0" t="s">
        <v>32</v>
      </c>
      <c r="H8179" s="0" t="n">
        <v>1</v>
      </c>
      <c r="I8179" s="0" t="s">
        <v>27330</v>
      </c>
      <c r="J8179" s="0" t="s">
        <v>27331</v>
      </c>
      <c r="K8179" s="0" t="s">
        <v>27332</v>
      </c>
      <c r="L8179" s="0" t="str">
        <f aca="false">HYPERLINK("https://www.ncbi.nlm.nih.gov/nuccore/CP000304.1?report=graph&amp;tracks=[key:gene_model_track,Options:GeneOnly]&amp;mk=2311561:2311580|offset_1|00cc00,2311522:2311541|offset_40|444444,2311490:2311509|offset_72|444444,2311452:2311471|offset_110|444444&amp;v=2311360:2311671&amp;c=444444", "offset 1")</f>
        <v>offset 1</v>
      </c>
    </row>
    <row r="8180" customFormat="false" ht="12.8" hidden="false" customHeight="false" outlineLevel="0" collapsed="false">
      <c r="A8180" s="0" t="s">
        <v>12</v>
      </c>
      <c r="B8180" s="0" t="n">
        <v>2311521</v>
      </c>
      <c r="C8180" s="0" t="n">
        <v>2311541</v>
      </c>
      <c r="D8180" s="0" t="s">
        <v>27329</v>
      </c>
      <c r="E8180" s="0" t="s">
        <v>89</v>
      </c>
      <c r="F8180" s="0" t="s">
        <v>90</v>
      </c>
      <c r="G8180" s="0" t="s">
        <v>16</v>
      </c>
      <c r="H8180" s="0" t="n">
        <v>40</v>
      </c>
      <c r="I8180" s="0" t="s">
        <v>27333</v>
      </c>
      <c r="J8180" s="0" t="s">
        <v>27334</v>
      </c>
      <c r="K8180" s="0" t="s">
        <v>27335</v>
      </c>
      <c r="L8180" s="0" t="str">
        <f aca="false">HYPERLINK("https://www.ncbi.nlm.nih.gov/nuccore/CP000304.1?report=graph&amp;tracks=[key:gene_model_track,Options:GeneOnly]&amp;mk=2311561:2311580|offset_1|444444,2311522:2311541|offset_40|00cc00,2311490:2311509|offset_72|444444,2311452:2311471|offset_110|444444&amp;v=2311360:2311671&amp;c=444444", "offset 40")</f>
        <v>offset 40</v>
      </c>
    </row>
    <row r="8181" customFormat="false" ht="12.8" hidden="false" customHeight="false" outlineLevel="0" collapsed="false">
      <c r="A8181" s="0" t="s">
        <v>12</v>
      </c>
      <c r="B8181" s="0" t="n">
        <v>2311489</v>
      </c>
      <c r="C8181" s="0" t="n">
        <v>2311509</v>
      </c>
      <c r="D8181" s="0" t="s">
        <v>27329</v>
      </c>
      <c r="E8181" s="0" t="s">
        <v>89</v>
      </c>
      <c r="F8181" s="0" t="s">
        <v>90</v>
      </c>
      <c r="G8181" s="0" t="s">
        <v>16</v>
      </c>
      <c r="H8181" s="0" t="n">
        <v>72</v>
      </c>
      <c r="I8181" s="0" t="s">
        <v>27336</v>
      </c>
      <c r="J8181" s="0" t="s">
        <v>27337</v>
      </c>
      <c r="K8181" s="0" t="s">
        <v>27338</v>
      </c>
      <c r="L8181" s="0" t="str">
        <f aca="false">HYPERLINK("https://www.ncbi.nlm.nih.gov/nuccore/CP000304.1?report=graph&amp;tracks=[key:gene_model_track,Options:GeneOnly]&amp;mk=2311561:2311580|offset_1|444444,2311522:2311541|offset_40|444444,2311490:2311509|offset_72|00cc00,2311452:2311471|offset_110|444444&amp;v=2311360:2311671&amp;c=444444", "offset 72")</f>
        <v>offset 72</v>
      </c>
    </row>
    <row r="8182" customFormat="false" ht="12.8" hidden="false" customHeight="false" outlineLevel="0" collapsed="false">
      <c r="A8182" s="0" t="s">
        <v>12</v>
      </c>
      <c r="B8182" s="0" t="n">
        <v>2311451</v>
      </c>
      <c r="C8182" s="0" t="n">
        <v>2311471</v>
      </c>
      <c r="D8182" s="0" t="s">
        <v>27329</v>
      </c>
      <c r="E8182" s="0" t="s">
        <v>89</v>
      </c>
      <c r="F8182" s="0" t="s">
        <v>90</v>
      </c>
      <c r="G8182" s="0" t="s">
        <v>32</v>
      </c>
      <c r="H8182" s="0" t="n">
        <v>110</v>
      </c>
      <c r="I8182" s="0" t="s">
        <v>27339</v>
      </c>
      <c r="J8182" s="0" t="s">
        <v>27340</v>
      </c>
      <c r="K8182" s="0" t="s">
        <v>27341</v>
      </c>
      <c r="L8182" s="0" t="str">
        <f aca="false">HYPERLINK("https://www.ncbi.nlm.nih.gov/nuccore/CP000304.1?report=graph&amp;tracks=[key:gene_model_track,Options:GeneOnly]&amp;mk=2311561:2311580|offset_1|444444,2311522:2311541|offset_40|444444,2311490:2311509|offset_72|444444,2311452:2311471|offset_110|00cc00&amp;v=2311360:2311671&amp;c=444444", "offset 110")</f>
        <v>offset 110</v>
      </c>
    </row>
    <row r="8183" customFormat="false" ht="12.8" hidden="false" customHeight="false" outlineLevel="0" collapsed="false">
      <c r="A8183" s="0" t="s">
        <v>12</v>
      </c>
      <c r="B8183" s="0" t="n">
        <v>2311835</v>
      </c>
      <c r="C8183" s="0" t="n">
        <v>2311855</v>
      </c>
      <c r="D8183" s="0" t="s">
        <v>27342</v>
      </c>
      <c r="E8183" s="0" t="s">
        <v>89</v>
      </c>
      <c r="F8183" s="0" t="s">
        <v>90</v>
      </c>
      <c r="G8183" s="0" t="s">
        <v>26</v>
      </c>
      <c r="H8183" s="0" t="n">
        <v>51</v>
      </c>
      <c r="I8183" s="0" t="s">
        <v>27343</v>
      </c>
      <c r="J8183" s="0" t="s">
        <v>27344</v>
      </c>
      <c r="K8183" s="0" t="s">
        <v>27345</v>
      </c>
      <c r="L8183" s="0" t="str">
        <f aca="false">HYPERLINK("https://www.ncbi.nlm.nih.gov/nuccore/CP000304.1?report=graph&amp;tracks=[key:gene_model_track,Options:GeneOnly]&amp;mk=2311836:2311855|offset_51|00cc00,2311814:2311833|offset_73|444444,2311793:2311812|offset_94|444444,2311765:2311784|offset_122|444444&amp;v=2311635:2311984&amp;c=444444", "offset 51")</f>
        <v>offset 51</v>
      </c>
    </row>
    <row r="8184" customFormat="false" ht="12.8" hidden="false" customHeight="false" outlineLevel="0" collapsed="false">
      <c r="A8184" s="0" t="s">
        <v>12</v>
      </c>
      <c r="B8184" s="0" t="n">
        <v>2311813</v>
      </c>
      <c r="C8184" s="0" t="n">
        <v>2311833</v>
      </c>
      <c r="D8184" s="0" t="s">
        <v>27342</v>
      </c>
      <c r="E8184" s="0" t="s">
        <v>89</v>
      </c>
      <c r="F8184" s="0" t="s">
        <v>90</v>
      </c>
      <c r="G8184" s="0" t="s">
        <v>16</v>
      </c>
      <c r="H8184" s="0" t="n">
        <v>73</v>
      </c>
      <c r="I8184" s="0" t="s">
        <v>27346</v>
      </c>
      <c r="J8184" s="0" t="s">
        <v>27347</v>
      </c>
      <c r="K8184" s="0" t="s">
        <v>27348</v>
      </c>
      <c r="L8184" s="0" t="str">
        <f aca="false">HYPERLINK("https://www.ncbi.nlm.nih.gov/nuccore/CP000304.1?report=graph&amp;tracks=[key:gene_model_track,Options:GeneOnly]&amp;mk=2311836:2311855|offset_51|444444,2311814:2311833|offset_73|00cc00,2311793:2311812|offset_94|444444,2311765:2311784|offset_122|444444&amp;v=2311635:2311984&amp;c=444444", "offset 73")</f>
        <v>offset 73</v>
      </c>
    </row>
    <row r="8185" customFormat="false" ht="12.8" hidden="false" customHeight="false" outlineLevel="0" collapsed="false">
      <c r="A8185" s="0" t="s">
        <v>12</v>
      </c>
      <c r="B8185" s="0" t="n">
        <v>2311792</v>
      </c>
      <c r="C8185" s="0" t="n">
        <v>2311812</v>
      </c>
      <c r="D8185" s="0" t="s">
        <v>27342</v>
      </c>
      <c r="E8185" s="0" t="s">
        <v>89</v>
      </c>
      <c r="F8185" s="0" t="s">
        <v>90</v>
      </c>
      <c r="G8185" s="0" t="s">
        <v>16</v>
      </c>
      <c r="H8185" s="0" t="n">
        <v>94</v>
      </c>
      <c r="I8185" s="0" t="s">
        <v>27349</v>
      </c>
      <c r="J8185" s="0" t="s">
        <v>27350</v>
      </c>
      <c r="K8185" s="0" t="s">
        <v>27351</v>
      </c>
      <c r="L8185" s="0" t="str">
        <f aca="false">HYPERLINK("https://www.ncbi.nlm.nih.gov/nuccore/CP000304.1?report=graph&amp;tracks=[key:gene_model_track,Options:GeneOnly]&amp;mk=2311836:2311855|offset_51|444444,2311814:2311833|offset_73|444444,2311793:2311812|offset_94|00cc00,2311765:2311784|offset_122|444444&amp;v=2311635:2311984&amp;c=444444", "offset 94")</f>
        <v>offset 94</v>
      </c>
    </row>
    <row r="8186" customFormat="false" ht="12.8" hidden="false" customHeight="false" outlineLevel="0" collapsed="false">
      <c r="A8186" s="0" t="s">
        <v>12</v>
      </c>
      <c r="B8186" s="0" t="n">
        <v>2311764</v>
      </c>
      <c r="C8186" s="0" t="n">
        <v>2311784</v>
      </c>
      <c r="D8186" s="0" t="s">
        <v>27342</v>
      </c>
      <c r="E8186" s="0" t="s">
        <v>89</v>
      </c>
      <c r="F8186" s="0" t="s">
        <v>90</v>
      </c>
      <c r="G8186" s="0" t="s">
        <v>36</v>
      </c>
      <c r="H8186" s="0" t="n">
        <v>122</v>
      </c>
      <c r="I8186" s="0" t="s">
        <v>27352</v>
      </c>
      <c r="J8186" s="0" t="s">
        <v>27353</v>
      </c>
      <c r="K8186" s="0" t="s">
        <v>27354</v>
      </c>
      <c r="L8186" s="0" t="str">
        <f aca="false">HYPERLINK("https://www.ncbi.nlm.nih.gov/nuccore/CP000304.1?report=graph&amp;tracks=[key:gene_model_track,Options:GeneOnly]&amp;mk=2311836:2311855|offset_51|444444,2311814:2311833|offset_73|444444,2311793:2311812|offset_94|444444,2311765:2311784|offset_122|00cc00&amp;v=2311635:2311984&amp;c=444444", "offset 122")</f>
        <v>offset 122</v>
      </c>
    </row>
    <row r="8187" customFormat="false" ht="12.8" hidden="false" customHeight="false" outlineLevel="0" collapsed="false">
      <c r="A8187" s="0" t="s">
        <v>12</v>
      </c>
      <c r="B8187" s="0" t="n">
        <v>2312227</v>
      </c>
      <c r="C8187" s="0" t="n">
        <v>2312247</v>
      </c>
      <c r="D8187" s="0" t="s">
        <v>27355</v>
      </c>
      <c r="E8187" s="0" t="s">
        <v>89</v>
      </c>
      <c r="F8187" s="0" t="s">
        <v>90</v>
      </c>
      <c r="G8187" s="0" t="s">
        <v>16</v>
      </c>
      <c r="H8187" s="0" t="n">
        <v>63</v>
      </c>
      <c r="I8187" s="0" t="s">
        <v>27356</v>
      </c>
      <c r="J8187" s="0" t="s">
        <v>27357</v>
      </c>
      <c r="K8187" s="0" t="s">
        <v>27358</v>
      </c>
      <c r="L8187" s="0" t="str">
        <f aca="false">HYPERLINK("https://www.ncbi.nlm.nih.gov/nuccore/CP000304.1?report=graph&amp;tracks=[key:gene_model_track,Options:GeneOnly]&amp;mk=2312228:2312247|offset_63|00cc00,2312167:2312186|offset_124|444444,2312127:2312146|offset_164|444444,2312106:2312125|offset_185|444444&amp;v=2312027:2312325&amp;c=444444", "offset 63")</f>
        <v>offset 63</v>
      </c>
    </row>
    <row r="8188" customFormat="false" ht="12.8" hidden="false" customHeight="false" outlineLevel="0" collapsed="false">
      <c r="A8188" s="0" t="s">
        <v>12</v>
      </c>
      <c r="B8188" s="0" t="n">
        <v>2312166</v>
      </c>
      <c r="C8188" s="0" t="n">
        <v>2312186</v>
      </c>
      <c r="D8188" s="0" t="s">
        <v>27355</v>
      </c>
      <c r="E8188" s="0" t="s">
        <v>89</v>
      </c>
      <c r="F8188" s="0" t="s">
        <v>90</v>
      </c>
      <c r="G8188" s="0" t="s">
        <v>26</v>
      </c>
      <c r="H8188" s="0" t="n">
        <v>124</v>
      </c>
      <c r="I8188" s="0" t="s">
        <v>27359</v>
      </c>
      <c r="J8188" s="0" t="s">
        <v>27360</v>
      </c>
      <c r="K8188" s="0" t="s">
        <v>27361</v>
      </c>
      <c r="L8188" s="0" t="str">
        <f aca="false">HYPERLINK("https://www.ncbi.nlm.nih.gov/nuccore/CP000304.1?report=graph&amp;tracks=[key:gene_model_track,Options:GeneOnly]&amp;mk=2312228:2312247|offset_63|444444,2312167:2312186|offset_124|00cc00,2312127:2312146|offset_164|444444,2312106:2312125|offset_185|444444&amp;v=2312027:2312325&amp;c=444444", "offset 124")</f>
        <v>offset 124</v>
      </c>
    </row>
    <row r="8189" customFormat="false" ht="12.8" hidden="false" customHeight="false" outlineLevel="0" collapsed="false">
      <c r="A8189" s="0" t="s">
        <v>12</v>
      </c>
      <c r="B8189" s="0" t="n">
        <v>2312126</v>
      </c>
      <c r="C8189" s="0" t="n">
        <v>2312146</v>
      </c>
      <c r="D8189" s="0" t="s">
        <v>27355</v>
      </c>
      <c r="E8189" s="0" t="s">
        <v>89</v>
      </c>
      <c r="F8189" s="0" t="s">
        <v>90</v>
      </c>
      <c r="G8189" s="0" t="s">
        <v>16</v>
      </c>
      <c r="H8189" s="0" t="n">
        <v>164</v>
      </c>
      <c r="I8189" s="0" t="s">
        <v>27362</v>
      </c>
      <c r="J8189" s="0" t="s">
        <v>27363</v>
      </c>
      <c r="K8189" s="0" t="s">
        <v>27364</v>
      </c>
      <c r="L8189" s="0" t="str">
        <f aca="false">HYPERLINK("https://www.ncbi.nlm.nih.gov/nuccore/CP000304.1?report=graph&amp;tracks=[key:gene_model_track,Options:GeneOnly]&amp;mk=2312228:2312247|offset_63|444444,2312167:2312186|offset_124|444444,2312127:2312146|offset_164|00cc00,2312106:2312125|offset_185|444444&amp;v=2312027:2312325&amp;c=444444", "offset 164")</f>
        <v>offset 164</v>
      </c>
    </row>
    <row r="8190" customFormat="false" ht="12.8" hidden="false" customHeight="false" outlineLevel="0" collapsed="false">
      <c r="A8190" s="0" t="s">
        <v>12</v>
      </c>
      <c r="B8190" s="0" t="n">
        <v>2312105</v>
      </c>
      <c r="C8190" s="0" t="n">
        <v>2312125</v>
      </c>
      <c r="D8190" s="0" t="s">
        <v>27355</v>
      </c>
      <c r="E8190" s="0" t="s">
        <v>89</v>
      </c>
      <c r="F8190" s="0" t="s">
        <v>90</v>
      </c>
      <c r="G8190" s="0" t="s">
        <v>16</v>
      </c>
      <c r="H8190" s="0" t="n">
        <v>185</v>
      </c>
      <c r="I8190" s="0" t="s">
        <v>27365</v>
      </c>
      <c r="J8190" s="0" t="s">
        <v>27366</v>
      </c>
      <c r="K8190" s="0" t="s">
        <v>27367</v>
      </c>
      <c r="L8190" s="0" t="str">
        <f aca="false">HYPERLINK("https://www.ncbi.nlm.nih.gov/nuccore/CP000304.1?report=graph&amp;tracks=[key:gene_model_track,Options:GeneOnly]&amp;mk=2312228:2312247|offset_63|444444,2312167:2312186|offset_124|444444,2312127:2312146|offset_164|444444,2312106:2312125|offset_185|00cc00&amp;v=2312027:2312325&amp;c=444444", "offset 185")</f>
        <v>offset 185</v>
      </c>
    </row>
    <row r="8191" customFormat="false" ht="12.8" hidden="false" customHeight="false" outlineLevel="0" collapsed="false">
      <c r="A8191" s="0" t="s">
        <v>12</v>
      </c>
      <c r="B8191" s="0" t="n">
        <v>2312836</v>
      </c>
      <c r="C8191" s="0" t="n">
        <v>2312856</v>
      </c>
      <c r="D8191" s="0" t="s">
        <v>27368</v>
      </c>
      <c r="E8191" s="0" t="s">
        <v>89</v>
      </c>
      <c r="F8191" s="0" t="s">
        <v>90</v>
      </c>
      <c r="G8191" s="0" t="s">
        <v>26</v>
      </c>
      <c r="H8191" s="0" t="n">
        <v>6</v>
      </c>
      <c r="I8191" s="0" t="s">
        <v>27369</v>
      </c>
      <c r="J8191" s="0" t="s">
        <v>27370</v>
      </c>
      <c r="K8191" s="0" t="s">
        <v>27371</v>
      </c>
      <c r="L8191" s="0" t="str">
        <f aca="false">HYPERLINK("https://www.ncbi.nlm.nih.gov/nuccore/CP000304.1?report=graph&amp;tracks=[key:gene_model_track,Options:GeneOnly]&amp;mk=2312837:2312856|offset_6|00cc00,2312815:2312834|offset_28|444444,2312785:2312804|offset_58|444444,2312764:2312783|offset_79|444444&amp;v=2312636:2312983&amp;c=444444", "offset 6")</f>
        <v>offset 6</v>
      </c>
    </row>
    <row r="8192" customFormat="false" ht="12.8" hidden="false" customHeight="false" outlineLevel="0" collapsed="false">
      <c r="A8192" s="0" t="s">
        <v>12</v>
      </c>
      <c r="B8192" s="0" t="n">
        <v>2312814</v>
      </c>
      <c r="C8192" s="0" t="n">
        <v>2312834</v>
      </c>
      <c r="D8192" s="0" t="s">
        <v>27368</v>
      </c>
      <c r="E8192" s="0" t="s">
        <v>89</v>
      </c>
      <c r="F8192" s="0" t="s">
        <v>90</v>
      </c>
      <c r="G8192" s="0" t="s">
        <v>16</v>
      </c>
      <c r="H8192" s="0" t="n">
        <v>28</v>
      </c>
      <c r="I8192" s="0" t="s">
        <v>27372</v>
      </c>
      <c r="J8192" s="0" t="s">
        <v>27373</v>
      </c>
      <c r="K8192" s="0" t="s">
        <v>27374</v>
      </c>
      <c r="L8192" s="0" t="str">
        <f aca="false">HYPERLINK("https://www.ncbi.nlm.nih.gov/nuccore/CP000304.1?report=graph&amp;tracks=[key:gene_model_track,Options:GeneOnly]&amp;mk=2312837:2312856|offset_6|444444,2312815:2312834|offset_28|00cc00,2312785:2312804|offset_58|444444,2312764:2312783|offset_79|444444&amp;v=2312636:2312983&amp;c=444444", "offset 28")</f>
        <v>offset 28</v>
      </c>
    </row>
    <row r="8193" customFormat="false" ht="12.8" hidden="false" customHeight="false" outlineLevel="0" collapsed="false">
      <c r="A8193" s="0" t="s">
        <v>12</v>
      </c>
      <c r="B8193" s="0" t="n">
        <v>2312784</v>
      </c>
      <c r="C8193" s="0" t="n">
        <v>2312804</v>
      </c>
      <c r="D8193" s="0" t="s">
        <v>27368</v>
      </c>
      <c r="E8193" s="0" t="s">
        <v>89</v>
      </c>
      <c r="F8193" s="0" t="s">
        <v>90</v>
      </c>
      <c r="G8193" s="0" t="s">
        <v>16</v>
      </c>
      <c r="H8193" s="0" t="n">
        <v>58</v>
      </c>
      <c r="I8193" s="0" t="s">
        <v>27375</v>
      </c>
      <c r="J8193" s="0" t="s">
        <v>27376</v>
      </c>
      <c r="K8193" s="0" t="s">
        <v>27377</v>
      </c>
      <c r="L8193" s="0" t="str">
        <f aca="false">HYPERLINK("https://www.ncbi.nlm.nih.gov/nuccore/CP000304.1?report=graph&amp;tracks=[key:gene_model_track,Options:GeneOnly]&amp;mk=2312837:2312856|offset_6|444444,2312815:2312834|offset_28|444444,2312785:2312804|offset_58|00cc00,2312764:2312783|offset_79|444444&amp;v=2312636:2312983&amp;c=444444", "offset 58")</f>
        <v>offset 58</v>
      </c>
    </row>
    <row r="8194" customFormat="false" ht="12.8" hidden="false" customHeight="false" outlineLevel="0" collapsed="false">
      <c r="A8194" s="0" t="s">
        <v>12</v>
      </c>
      <c r="B8194" s="0" t="n">
        <v>2312763</v>
      </c>
      <c r="C8194" s="0" t="n">
        <v>2312783</v>
      </c>
      <c r="D8194" s="0" t="s">
        <v>27368</v>
      </c>
      <c r="E8194" s="0" t="s">
        <v>89</v>
      </c>
      <c r="F8194" s="0" t="s">
        <v>90</v>
      </c>
      <c r="G8194" s="0" t="s">
        <v>16</v>
      </c>
      <c r="H8194" s="0" t="n">
        <v>79</v>
      </c>
      <c r="I8194" s="0" t="s">
        <v>27378</v>
      </c>
      <c r="J8194" s="0" t="s">
        <v>27379</v>
      </c>
      <c r="K8194" s="0" t="s">
        <v>27380</v>
      </c>
      <c r="L8194" s="0" t="str">
        <f aca="false">HYPERLINK("https://www.ncbi.nlm.nih.gov/nuccore/CP000304.1?report=graph&amp;tracks=[key:gene_model_track,Options:GeneOnly]&amp;mk=2312837:2312856|offset_6|444444,2312815:2312834|offset_28|444444,2312785:2312804|offset_58|444444,2312764:2312783|offset_79|00cc00&amp;v=2312636:2312983&amp;c=444444", "offset 79")</f>
        <v>offset 79</v>
      </c>
    </row>
    <row r="8195" customFormat="false" ht="12.8" hidden="false" customHeight="false" outlineLevel="0" collapsed="false">
      <c r="A8195" s="0" t="s">
        <v>12</v>
      </c>
      <c r="B8195" s="0" t="n">
        <v>2313379</v>
      </c>
      <c r="C8195" s="0" t="n">
        <v>2313399</v>
      </c>
      <c r="D8195" s="0" t="s">
        <v>27381</v>
      </c>
      <c r="E8195" s="0" t="s">
        <v>89</v>
      </c>
      <c r="F8195" s="0" t="s">
        <v>90</v>
      </c>
      <c r="G8195" s="0" t="s">
        <v>36</v>
      </c>
      <c r="H8195" s="0" t="n">
        <v>0</v>
      </c>
      <c r="I8195" s="0" t="s">
        <v>27382</v>
      </c>
      <c r="J8195" s="0" t="s">
        <v>27383</v>
      </c>
      <c r="K8195" s="0" t="s">
        <v>27384</v>
      </c>
      <c r="L8195" s="0" t="str">
        <f aca="false">HYPERLINK("https://www.ncbi.nlm.nih.gov/nuccore/CP000304.1?report=graph&amp;tracks=[key:gene_model_track,Options:GeneOnly]&amp;mk=2313380:2313399|offset_0|00cc00,2313348:2313367|offset_32|444444,2313292:2313311|offset_88|444444,2313268:2313287|offset_112|444444&amp;v=2313179:2313487&amp;c=444444", "offset 0")</f>
        <v>offset 0</v>
      </c>
    </row>
    <row r="8196" customFormat="false" ht="12.8" hidden="false" customHeight="false" outlineLevel="0" collapsed="false">
      <c r="A8196" s="0" t="s">
        <v>12</v>
      </c>
      <c r="B8196" s="0" t="n">
        <v>2313347</v>
      </c>
      <c r="C8196" s="0" t="n">
        <v>2313367</v>
      </c>
      <c r="D8196" s="0" t="s">
        <v>27381</v>
      </c>
      <c r="E8196" s="0" t="s">
        <v>89</v>
      </c>
      <c r="F8196" s="0" t="s">
        <v>90</v>
      </c>
      <c r="G8196" s="0" t="s">
        <v>16</v>
      </c>
      <c r="H8196" s="0" t="n">
        <v>32</v>
      </c>
      <c r="I8196" s="0" t="s">
        <v>27385</v>
      </c>
      <c r="J8196" s="0" t="s">
        <v>27386</v>
      </c>
      <c r="K8196" s="0" t="s">
        <v>27387</v>
      </c>
      <c r="L8196" s="0" t="str">
        <f aca="false">HYPERLINK("https://www.ncbi.nlm.nih.gov/nuccore/CP000304.1?report=graph&amp;tracks=[key:gene_model_track,Options:GeneOnly]&amp;mk=2313380:2313399|offset_0|444444,2313348:2313367|offset_32|00cc00,2313292:2313311|offset_88|444444,2313268:2313287|offset_112|444444&amp;v=2313179:2313487&amp;c=444444", "offset 32")</f>
        <v>offset 32</v>
      </c>
    </row>
    <row r="8197" customFormat="false" ht="12.8" hidden="false" customHeight="false" outlineLevel="0" collapsed="false">
      <c r="A8197" s="0" t="s">
        <v>12</v>
      </c>
      <c r="B8197" s="0" t="n">
        <v>2313291</v>
      </c>
      <c r="C8197" s="0" t="n">
        <v>2313311</v>
      </c>
      <c r="D8197" s="0" t="s">
        <v>27381</v>
      </c>
      <c r="E8197" s="0" t="s">
        <v>89</v>
      </c>
      <c r="F8197" s="0" t="s">
        <v>90</v>
      </c>
      <c r="G8197" s="0" t="s">
        <v>16</v>
      </c>
      <c r="H8197" s="0" t="n">
        <v>88</v>
      </c>
      <c r="I8197" s="0" t="s">
        <v>27388</v>
      </c>
      <c r="J8197" s="0" t="s">
        <v>27389</v>
      </c>
      <c r="K8197" s="0" t="s">
        <v>27390</v>
      </c>
      <c r="L8197" s="0" t="str">
        <f aca="false">HYPERLINK("https://www.ncbi.nlm.nih.gov/nuccore/CP000304.1?report=graph&amp;tracks=[key:gene_model_track,Options:GeneOnly]&amp;mk=2313380:2313399|offset_0|444444,2313348:2313367|offset_32|444444,2313292:2313311|offset_88|00cc00,2313268:2313287|offset_112|444444&amp;v=2313179:2313487&amp;c=444444", "offset 88")</f>
        <v>offset 88</v>
      </c>
    </row>
    <row r="8198" customFormat="false" ht="12.8" hidden="false" customHeight="false" outlineLevel="0" collapsed="false">
      <c r="A8198" s="0" t="s">
        <v>12</v>
      </c>
      <c r="B8198" s="0" t="n">
        <v>2313267</v>
      </c>
      <c r="C8198" s="0" t="n">
        <v>2313287</v>
      </c>
      <c r="D8198" s="0" t="s">
        <v>27381</v>
      </c>
      <c r="E8198" s="0" t="s">
        <v>89</v>
      </c>
      <c r="F8198" s="0" t="s">
        <v>90</v>
      </c>
      <c r="G8198" s="0" t="s">
        <v>32</v>
      </c>
      <c r="H8198" s="0" t="n">
        <v>112</v>
      </c>
      <c r="I8198" s="0" t="s">
        <v>27391</v>
      </c>
      <c r="J8198" s="0" t="s">
        <v>27392</v>
      </c>
      <c r="K8198" s="0" t="s">
        <v>27393</v>
      </c>
      <c r="L8198" s="0" t="str">
        <f aca="false">HYPERLINK("https://www.ncbi.nlm.nih.gov/nuccore/CP000304.1?report=graph&amp;tracks=[key:gene_model_track,Options:GeneOnly]&amp;mk=2313380:2313399|offset_0|444444,2313348:2313367|offset_32|444444,2313292:2313311|offset_88|444444,2313268:2313287|offset_112|00cc00&amp;v=2313179:2313487&amp;c=444444", "offset 112")</f>
        <v>offset 112</v>
      </c>
    </row>
    <row r="8199" customFormat="false" ht="12.8" hidden="false" customHeight="false" outlineLevel="0" collapsed="false">
      <c r="A8199" s="0" t="s">
        <v>12</v>
      </c>
      <c r="B8199" s="0" t="n">
        <v>2313614</v>
      </c>
      <c r="C8199" s="0" t="n">
        <v>2313634</v>
      </c>
      <c r="D8199" s="0" t="s">
        <v>27394</v>
      </c>
      <c r="E8199" s="0" t="s">
        <v>89</v>
      </c>
      <c r="F8199" s="0" t="s">
        <v>15</v>
      </c>
      <c r="G8199" s="0" t="s">
        <v>32</v>
      </c>
      <c r="H8199" s="0" t="n">
        <v>14</v>
      </c>
      <c r="I8199" s="0" t="s">
        <v>27395</v>
      </c>
      <c r="J8199" s="0" t="s">
        <v>27396</v>
      </c>
      <c r="K8199" s="0" t="s">
        <v>27397</v>
      </c>
      <c r="L8199" s="0" t="str">
        <f aca="false">HYPERLINK("https://www.ncbi.nlm.nih.gov/nuccore/CP000304.1?report=graph&amp;tracks=[key:gene_model_track,Options:GeneOnly]&amp;mk=2313615:2313634|offset_14|00cc00,2313656:2313675|offset_55|444444,2313681:2313700|offset_80|444444,2313701:2313720|offset_100|444444&amp;v=2313414:2313920&amp;c=444444", "offset 14")</f>
        <v>offset 14</v>
      </c>
    </row>
    <row r="8200" customFormat="false" ht="12.8" hidden="false" customHeight="false" outlineLevel="0" collapsed="false">
      <c r="A8200" s="0" t="s">
        <v>12</v>
      </c>
      <c r="B8200" s="0" t="n">
        <v>2313655</v>
      </c>
      <c r="C8200" s="0" t="n">
        <v>2313675</v>
      </c>
      <c r="D8200" s="0" t="s">
        <v>27394</v>
      </c>
      <c r="E8200" s="0" t="s">
        <v>89</v>
      </c>
      <c r="F8200" s="0" t="s">
        <v>15</v>
      </c>
      <c r="G8200" s="0" t="s">
        <v>26</v>
      </c>
      <c r="H8200" s="0" t="n">
        <v>55</v>
      </c>
      <c r="I8200" s="0" t="s">
        <v>27398</v>
      </c>
      <c r="J8200" s="0" t="s">
        <v>27399</v>
      </c>
      <c r="K8200" s="0" t="s">
        <v>27400</v>
      </c>
      <c r="L8200" s="0" t="str">
        <f aca="false">HYPERLINK("https://www.ncbi.nlm.nih.gov/nuccore/CP000304.1?report=graph&amp;tracks=[key:gene_model_track,Options:GeneOnly]&amp;mk=2313615:2313634|offset_14|444444,2313656:2313675|offset_55|00cc00,2313681:2313700|offset_80|444444,2313701:2313720|offset_100|444444&amp;v=2313414:2313920&amp;c=444444", "offset 55")</f>
        <v>offset 55</v>
      </c>
    </row>
    <row r="8201" customFormat="false" ht="12.8" hidden="false" customHeight="false" outlineLevel="0" collapsed="false">
      <c r="A8201" s="0" t="s">
        <v>12</v>
      </c>
      <c r="B8201" s="0" t="n">
        <v>2313680</v>
      </c>
      <c r="C8201" s="0" t="n">
        <v>2313700</v>
      </c>
      <c r="D8201" s="0" t="s">
        <v>27394</v>
      </c>
      <c r="E8201" s="0" t="s">
        <v>89</v>
      </c>
      <c r="F8201" s="0" t="s">
        <v>15</v>
      </c>
      <c r="G8201" s="0" t="s">
        <v>26</v>
      </c>
      <c r="H8201" s="0" t="n">
        <v>80</v>
      </c>
      <c r="I8201" s="0" t="s">
        <v>27401</v>
      </c>
      <c r="J8201" s="0" t="s">
        <v>27402</v>
      </c>
      <c r="K8201" s="0" t="s">
        <v>27403</v>
      </c>
      <c r="L8201" s="0" t="str">
        <f aca="false">HYPERLINK("https://www.ncbi.nlm.nih.gov/nuccore/CP000304.1?report=graph&amp;tracks=[key:gene_model_track,Options:GeneOnly]&amp;mk=2313615:2313634|offset_14|444444,2313656:2313675|offset_55|444444,2313681:2313700|offset_80|00cc00,2313701:2313720|offset_100|444444&amp;v=2313414:2313920&amp;c=444444", "offset 80")</f>
        <v>offset 80</v>
      </c>
    </row>
    <row r="8202" customFormat="false" ht="12.8" hidden="false" customHeight="false" outlineLevel="0" collapsed="false">
      <c r="A8202" s="0" t="s">
        <v>12</v>
      </c>
      <c r="B8202" s="0" t="n">
        <v>2313700</v>
      </c>
      <c r="C8202" s="0" t="n">
        <v>2313720</v>
      </c>
      <c r="D8202" s="0" t="s">
        <v>27394</v>
      </c>
      <c r="E8202" s="0" t="s">
        <v>89</v>
      </c>
      <c r="F8202" s="0" t="s">
        <v>15</v>
      </c>
      <c r="G8202" s="0" t="s">
        <v>16</v>
      </c>
      <c r="H8202" s="0" t="n">
        <v>100</v>
      </c>
      <c r="I8202" s="0" t="s">
        <v>27404</v>
      </c>
      <c r="J8202" s="0" t="s">
        <v>27405</v>
      </c>
      <c r="K8202" s="0" t="s">
        <v>27406</v>
      </c>
      <c r="L8202" s="0" t="str">
        <f aca="false">HYPERLINK("https://www.ncbi.nlm.nih.gov/nuccore/CP000304.1?report=graph&amp;tracks=[key:gene_model_track,Options:GeneOnly]&amp;mk=2313615:2313634|offset_14|444444,2313656:2313675|offset_55|444444,2313681:2313700|offset_80|444444,2313701:2313720|offset_100|00cc00&amp;v=2313414:2313920&amp;c=444444", "offset 100")</f>
        <v>offset 100</v>
      </c>
    </row>
    <row r="8203" customFormat="false" ht="12.8" hidden="false" customHeight="false" outlineLevel="0" collapsed="false">
      <c r="A8203" s="0" t="s">
        <v>12</v>
      </c>
      <c r="B8203" s="0" t="n">
        <v>2315171</v>
      </c>
      <c r="C8203" s="0" t="n">
        <v>2315191</v>
      </c>
      <c r="D8203" s="0" t="s">
        <v>27407</v>
      </c>
      <c r="E8203" s="0" t="s">
        <v>89</v>
      </c>
      <c r="F8203" s="0" t="s">
        <v>90</v>
      </c>
      <c r="G8203" s="0" t="s">
        <v>26</v>
      </c>
      <c r="H8203" s="0" t="n">
        <v>32</v>
      </c>
      <c r="I8203" s="0" t="s">
        <v>27408</v>
      </c>
      <c r="J8203" s="0" t="s">
        <v>27409</v>
      </c>
      <c r="K8203" s="0" t="s">
        <v>27410</v>
      </c>
      <c r="L8203" s="0" t="str">
        <f aca="false">HYPERLINK("https://www.ncbi.nlm.nih.gov/nuccore/CP000304.1?report=graph&amp;tracks=[key:gene_model_track,Options:GeneOnly]&amp;mk=2315172:2315191|offset_32|00cc00,2315134:2315153|offset_70|444444,2315113:2315132|offset_91|444444,2315093:2315112|offset_111|444444&amp;v=2314971:2315312&amp;c=444444", "offset 32")</f>
        <v>offset 32</v>
      </c>
    </row>
    <row r="8204" customFormat="false" ht="12.8" hidden="false" customHeight="false" outlineLevel="0" collapsed="false">
      <c r="A8204" s="0" t="s">
        <v>12</v>
      </c>
      <c r="B8204" s="0" t="n">
        <v>2315133</v>
      </c>
      <c r="C8204" s="0" t="n">
        <v>2315153</v>
      </c>
      <c r="D8204" s="0" t="s">
        <v>27407</v>
      </c>
      <c r="E8204" s="0" t="s">
        <v>89</v>
      </c>
      <c r="F8204" s="0" t="s">
        <v>90</v>
      </c>
      <c r="G8204" s="0" t="s">
        <v>26</v>
      </c>
      <c r="H8204" s="0" t="n">
        <v>70</v>
      </c>
      <c r="I8204" s="0" t="s">
        <v>27411</v>
      </c>
      <c r="J8204" s="0" t="s">
        <v>27412</v>
      </c>
      <c r="K8204" s="0" t="s">
        <v>27413</v>
      </c>
      <c r="L8204" s="0" t="str">
        <f aca="false">HYPERLINK("https://www.ncbi.nlm.nih.gov/nuccore/CP000304.1?report=graph&amp;tracks=[key:gene_model_track,Options:GeneOnly]&amp;mk=2315172:2315191|offset_32|444444,2315134:2315153|offset_70|00cc00,2315113:2315132|offset_91|444444,2315093:2315112|offset_111|444444&amp;v=2314971:2315312&amp;c=444444", "offset 70")</f>
        <v>offset 70</v>
      </c>
    </row>
    <row r="8205" customFormat="false" ht="12.8" hidden="false" customHeight="false" outlineLevel="0" collapsed="false">
      <c r="A8205" s="0" t="s">
        <v>12</v>
      </c>
      <c r="B8205" s="0" t="n">
        <v>2315112</v>
      </c>
      <c r="C8205" s="0" t="n">
        <v>2315132</v>
      </c>
      <c r="D8205" s="0" t="s">
        <v>27407</v>
      </c>
      <c r="E8205" s="0" t="s">
        <v>89</v>
      </c>
      <c r="F8205" s="0" t="s">
        <v>90</v>
      </c>
      <c r="G8205" s="0" t="s">
        <v>26</v>
      </c>
      <c r="H8205" s="0" t="n">
        <v>91</v>
      </c>
      <c r="I8205" s="0" t="s">
        <v>27414</v>
      </c>
      <c r="J8205" s="0" t="s">
        <v>27415</v>
      </c>
      <c r="K8205" s="0" t="s">
        <v>27416</v>
      </c>
      <c r="L8205" s="0" t="str">
        <f aca="false">HYPERLINK("https://www.ncbi.nlm.nih.gov/nuccore/CP000304.1?report=graph&amp;tracks=[key:gene_model_track,Options:GeneOnly]&amp;mk=2315172:2315191|offset_32|444444,2315134:2315153|offset_70|444444,2315113:2315132|offset_91|00cc00,2315093:2315112|offset_111|444444&amp;v=2314971:2315312&amp;c=444444", "offset 91")</f>
        <v>offset 91</v>
      </c>
    </row>
    <row r="8206" customFormat="false" ht="12.8" hidden="false" customHeight="false" outlineLevel="0" collapsed="false">
      <c r="A8206" s="0" t="s">
        <v>12</v>
      </c>
      <c r="B8206" s="0" t="n">
        <v>2315092</v>
      </c>
      <c r="C8206" s="0" t="n">
        <v>2315112</v>
      </c>
      <c r="D8206" s="0" t="s">
        <v>27407</v>
      </c>
      <c r="E8206" s="0" t="s">
        <v>89</v>
      </c>
      <c r="F8206" s="0" t="s">
        <v>90</v>
      </c>
      <c r="G8206" s="0" t="s">
        <v>16</v>
      </c>
      <c r="H8206" s="0" t="n">
        <v>111</v>
      </c>
      <c r="I8206" s="0" t="s">
        <v>27417</v>
      </c>
      <c r="J8206" s="0" t="s">
        <v>27418</v>
      </c>
      <c r="K8206" s="0" t="s">
        <v>27419</v>
      </c>
      <c r="L8206" s="0" t="str">
        <f aca="false">HYPERLINK("https://www.ncbi.nlm.nih.gov/nuccore/CP000304.1?report=graph&amp;tracks=[key:gene_model_track,Options:GeneOnly]&amp;mk=2315172:2315191|offset_32|444444,2315134:2315153|offset_70|444444,2315113:2315132|offset_91|444444,2315093:2315112|offset_111|00cc00&amp;v=2314971:2315312&amp;c=444444", "offset 111")</f>
        <v>offset 111</v>
      </c>
    </row>
    <row r="8207" customFormat="false" ht="12.8" hidden="false" customHeight="false" outlineLevel="0" collapsed="false">
      <c r="A8207" s="0" t="s">
        <v>12</v>
      </c>
      <c r="B8207" s="0" t="n">
        <v>2315288</v>
      </c>
      <c r="C8207" s="0" t="n">
        <v>2315308</v>
      </c>
      <c r="D8207" s="0" t="s">
        <v>27420</v>
      </c>
      <c r="E8207" s="0" t="s">
        <v>27421</v>
      </c>
      <c r="F8207" s="0" t="s">
        <v>15</v>
      </c>
      <c r="G8207" s="0" t="s">
        <v>26</v>
      </c>
      <c r="H8207" s="0" t="n">
        <v>31</v>
      </c>
      <c r="I8207" s="0" t="s">
        <v>27422</v>
      </c>
      <c r="J8207" s="0" t="s">
        <v>27423</v>
      </c>
      <c r="K8207" s="0" t="s">
        <v>27424</v>
      </c>
      <c r="L8207" s="0" t="str">
        <f aca="false">HYPERLINK("https://www.ncbi.nlm.nih.gov/nuccore/CP000304.1?report=graph&amp;tracks=[key:gene_model_track,Options:GeneOnly]&amp;mk=2315289:2315308|offset_31|00cc00,2315343:2315362|offset_85|444444,2315364:2315383|offset_106|444444,2315387:2315406|offset_129|444444&amp;v=2315088:2315606&amp;c=444444", "offset 31")</f>
        <v>offset 31</v>
      </c>
    </row>
    <row r="8208" customFormat="false" ht="12.8" hidden="false" customHeight="false" outlineLevel="0" collapsed="false">
      <c r="A8208" s="0" t="s">
        <v>12</v>
      </c>
      <c r="B8208" s="0" t="n">
        <v>2315342</v>
      </c>
      <c r="C8208" s="0" t="n">
        <v>2315362</v>
      </c>
      <c r="D8208" s="0" t="s">
        <v>27420</v>
      </c>
      <c r="E8208" s="0" t="s">
        <v>27421</v>
      </c>
      <c r="F8208" s="0" t="s">
        <v>15</v>
      </c>
      <c r="G8208" s="0" t="s">
        <v>16</v>
      </c>
      <c r="H8208" s="0" t="n">
        <v>85</v>
      </c>
      <c r="I8208" s="0" t="s">
        <v>27425</v>
      </c>
      <c r="J8208" s="0" t="s">
        <v>27426</v>
      </c>
      <c r="K8208" s="0" t="s">
        <v>27427</v>
      </c>
      <c r="L8208" s="0" t="str">
        <f aca="false">HYPERLINK("https://www.ncbi.nlm.nih.gov/nuccore/CP000304.1?report=graph&amp;tracks=[key:gene_model_track,Options:GeneOnly]&amp;mk=2315289:2315308|offset_31|444444,2315343:2315362|offset_85|00cc00,2315364:2315383|offset_106|444444,2315387:2315406|offset_129|444444&amp;v=2315088:2315606&amp;c=444444", "offset 85")</f>
        <v>offset 85</v>
      </c>
    </row>
    <row r="8209" customFormat="false" ht="12.8" hidden="false" customHeight="false" outlineLevel="0" collapsed="false">
      <c r="A8209" s="0" t="s">
        <v>12</v>
      </c>
      <c r="B8209" s="0" t="n">
        <v>2315363</v>
      </c>
      <c r="C8209" s="0" t="n">
        <v>2315383</v>
      </c>
      <c r="D8209" s="0" t="s">
        <v>27420</v>
      </c>
      <c r="E8209" s="0" t="s">
        <v>27421</v>
      </c>
      <c r="F8209" s="0" t="s">
        <v>15</v>
      </c>
      <c r="G8209" s="0" t="s">
        <v>32</v>
      </c>
      <c r="H8209" s="0" t="n">
        <v>106</v>
      </c>
      <c r="I8209" s="0" t="s">
        <v>27428</v>
      </c>
      <c r="J8209" s="0" t="s">
        <v>27429</v>
      </c>
      <c r="K8209" s="0" t="s">
        <v>27430</v>
      </c>
      <c r="L8209" s="0" t="str">
        <f aca="false">HYPERLINK("https://www.ncbi.nlm.nih.gov/nuccore/CP000304.1?report=graph&amp;tracks=[key:gene_model_track,Options:GeneOnly]&amp;mk=2315289:2315308|offset_31|444444,2315343:2315362|offset_85|444444,2315364:2315383|offset_106|00cc00,2315387:2315406|offset_129|444444&amp;v=2315088:2315606&amp;c=444444", "offset 106")</f>
        <v>offset 106</v>
      </c>
    </row>
    <row r="8210" customFormat="false" ht="12.8" hidden="false" customHeight="false" outlineLevel="0" collapsed="false">
      <c r="A8210" s="0" t="s">
        <v>12</v>
      </c>
      <c r="B8210" s="0" t="n">
        <v>2315386</v>
      </c>
      <c r="C8210" s="0" t="n">
        <v>2315406</v>
      </c>
      <c r="D8210" s="0" t="s">
        <v>27420</v>
      </c>
      <c r="E8210" s="0" t="s">
        <v>27421</v>
      </c>
      <c r="F8210" s="0" t="s">
        <v>15</v>
      </c>
      <c r="G8210" s="0" t="s">
        <v>26</v>
      </c>
      <c r="H8210" s="0" t="n">
        <v>129</v>
      </c>
      <c r="I8210" s="0" t="s">
        <v>27431</v>
      </c>
      <c r="J8210" s="0" t="s">
        <v>27432</v>
      </c>
      <c r="K8210" s="0" t="s">
        <v>27433</v>
      </c>
      <c r="L8210" s="0" t="str">
        <f aca="false">HYPERLINK("https://www.ncbi.nlm.nih.gov/nuccore/CP000304.1?report=graph&amp;tracks=[key:gene_model_track,Options:GeneOnly]&amp;mk=2315289:2315308|offset_31|444444,2315343:2315362|offset_85|444444,2315364:2315383|offset_106|444444,2315387:2315406|offset_129|00cc00&amp;v=2315088:2315606&amp;c=444444", "offset 129")</f>
        <v>offset 129</v>
      </c>
    </row>
    <row r="8211" customFormat="false" ht="12.8" hidden="false" customHeight="false" outlineLevel="0" collapsed="false">
      <c r="A8211" s="0" t="s">
        <v>12</v>
      </c>
      <c r="B8211" s="0" t="n">
        <v>2317100</v>
      </c>
      <c r="C8211" s="0" t="n">
        <v>2317120</v>
      </c>
      <c r="D8211" s="0" t="s">
        <v>27434</v>
      </c>
      <c r="E8211" s="0" t="s">
        <v>89</v>
      </c>
      <c r="F8211" s="0" t="s">
        <v>15</v>
      </c>
      <c r="G8211" s="0" t="s">
        <v>26</v>
      </c>
      <c r="H8211" s="0" t="n">
        <v>19</v>
      </c>
      <c r="I8211" s="0" t="s">
        <v>27435</v>
      </c>
      <c r="J8211" s="0" t="s">
        <v>27436</v>
      </c>
      <c r="K8211" s="0" t="s">
        <v>27437</v>
      </c>
      <c r="L8211" s="0" t="str">
        <f aca="false">HYPERLINK("https://www.ncbi.nlm.nih.gov/nuccore/CP000304.1?report=graph&amp;tracks=[key:gene_model_track,Options:GeneOnly]&amp;mk=2317101:2317120|offset_19|00cc00,2317121:2317140|offset_39|444444,2317143:2317162|offset_61|444444,2317166:2317185|offset_84|444444&amp;v=2316900:2317385&amp;c=444444", "offset 19")</f>
        <v>offset 19</v>
      </c>
    </row>
    <row r="8212" customFormat="false" ht="12.8" hidden="false" customHeight="false" outlineLevel="0" collapsed="false">
      <c r="A8212" s="0" t="s">
        <v>12</v>
      </c>
      <c r="B8212" s="0" t="n">
        <v>2317120</v>
      </c>
      <c r="C8212" s="0" t="n">
        <v>2317140</v>
      </c>
      <c r="D8212" s="0" t="s">
        <v>27434</v>
      </c>
      <c r="E8212" s="0" t="s">
        <v>89</v>
      </c>
      <c r="F8212" s="0" t="s">
        <v>15</v>
      </c>
      <c r="G8212" s="0" t="s">
        <v>16</v>
      </c>
      <c r="H8212" s="0" t="n">
        <v>39</v>
      </c>
      <c r="I8212" s="0" t="s">
        <v>27438</v>
      </c>
      <c r="J8212" s="0" t="s">
        <v>27439</v>
      </c>
      <c r="K8212" s="0" t="s">
        <v>27440</v>
      </c>
      <c r="L8212" s="0" t="str">
        <f aca="false">HYPERLINK("https://www.ncbi.nlm.nih.gov/nuccore/CP000304.1?report=graph&amp;tracks=[key:gene_model_track,Options:GeneOnly]&amp;mk=2317101:2317120|offset_19|444444,2317121:2317140|offset_39|00cc00,2317143:2317162|offset_61|444444,2317166:2317185|offset_84|444444&amp;v=2316900:2317385&amp;c=444444", "offset 39")</f>
        <v>offset 39</v>
      </c>
    </row>
    <row r="8213" customFormat="false" ht="12.8" hidden="false" customHeight="false" outlineLevel="0" collapsed="false">
      <c r="A8213" s="0" t="s">
        <v>12</v>
      </c>
      <c r="B8213" s="0" t="n">
        <v>2317142</v>
      </c>
      <c r="C8213" s="0" t="n">
        <v>2317162</v>
      </c>
      <c r="D8213" s="0" t="s">
        <v>27434</v>
      </c>
      <c r="E8213" s="0" t="s">
        <v>89</v>
      </c>
      <c r="F8213" s="0" t="s">
        <v>15</v>
      </c>
      <c r="G8213" s="0" t="s">
        <v>32</v>
      </c>
      <c r="H8213" s="0" t="n">
        <v>61</v>
      </c>
      <c r="I8213" s="0" t="s">
        <v>27441</v>
      </c>
      <c r="J8213" s="0" t="s">
        <v>27442</v>
      </c>
      <c r="K8213" s="0" t="s">
        <v>27443</v>
      </c>
      <c r="L8213" s="0" t="str">
        <f aca="false">HYPERLINK("https://www.ncbi.nlm.nih.gov/nuccore/CP000304.1?report=graph&amp;tracks=[key:gene_model_track,Options:GeneOnly]&amp;mk=2317101:2317120|offset_19|444444,2317121:2317140|offset_39|444444,2317143:2317162|offset_61|00cc00,2317166:2317185|offset_84|444444&amp;v=2316900:2317385&amp;c=444444", "offset 61")</f>
        <v>offset 61</v>
      </c>
    </row>
    <row r="8214" customFormat="false" ht="12.8" hidden="false" customHeight="false" outlineLevel="0" collapsed="false">
      <c r="A8214" s="0" t="s">
        <v>12</v>
      </c>
      <c r="B8214" s="0" t="n">
        <v>2317165</v>
      </c>
      <c r="C8214" s="0" t="n">
        <v>2317185</v>
      </c>
      <c r="D8214" s="0" t="s">
        <v>27434</v>
      </c>
      <c r="E8214" s="0" t="s">
        <v>89</v>
      </c>
      <c r="F8214" s="0" t="s">
        <v>15</v>
      </c>
      <c r="G8214" s="0" t="s">
        <v>36</v>
      </c>
      <c r="H8214" s="0" t="n">
        <v>84</v>
      </c>
      <c r="I8214" s="0" t="s">
        <v>27444</v>
      </c>
      <c r="J8214" s="0" t="s">
        <v>27445</v>
      </c>
      <c r="K8214" s="0" t="s">
        <v>27446</v>
      </c>
      <c r="L8214" s="0" t="str">
        <f aca="false">HYPERLINK("https://www.ncbi.nlm.nih.gov/nuccore/CP000304.1?report=graph&amp;tracks=[key:gene_model_track,Options:GeneOnly]&amp;mk=2317101:2317120|offset_19|444444,2317121:2317140|offset_39|444444,2317143:2317162|offset_61|444444,2317166:2317185|offset_84|00cc00&amp;v=2316900:2317385&amp;c=444444", "offset 84")</f>
        <v>offset 84</v>
      </c>
    </row>
    <row r="8215" customFormat="false" ht="12.8" hidden="false" customHeight="false" outlineLevel="0" collapsed="false">
      <c r="A8215" s="0" t="s">
        <v>12</v>
      </c>
      <c r="B8215" s="0" t="n">
        <v>2318873</v>
      </c>
      <c r="C8215" s="0" t="n">
        <v>2318893</v>
      </c>
      <c r="D8215" s="0" t="s">
        <v>27447</v>
      </c>
      <c r="E8215" s="0" t="s">
        <v>27448</v>
      </c>
      <c r="F8215" s="0" t="s">
        <v>15</v>
      </c>
      <c r="G8215" s="0" t="s">
        <v>16</v>
      </c>
      <c r="H8215" s="0" t="n">
        <v>23</v>
      </c>
      <c r="I8215" s="0" t="s">
        <v>27449</v>
      </c>
      <c r="J8215" s="0" t="s">
        <v>27450</v>
      </c>
      <c r="K8215" s="0" t="s">
        <v>27451</v>
      </c>
      <c r="L8215" s="0" t="str">
        <f aca="false">HYPERLINK("https://www.ncbi.nlm.nih.gov/nuccore/CP000304.1?report=graph&amp;tracks=[key:gene_model_track,Options:GeneOnly]&amp;mk=2318874:2318893|offset_23|00cc00,2318900:2318919|offset_49|444444,2318925:2318944|offset_74|444444,2318973:2318992|offset_122|444444&amp;v=2318673:2319192&amp;c=444444", "offset 23")</f>
        <v>offset 23</v>
      </c>
    </row>
    <row r="8216" customFormat="false" ht="12.8" hidden="false" customHeight="false" outlineLevel="0" collapsed="false">
      <c r="A8216" s="0" t="s">
        <v>12</v>
      </c>
      <c r="B8216" s="0" t="n">
        <v>2318899</v>
      </c>
      <c r="C8216" s="0" t="n">
        <v>2318919</v>
      </c>
      <c r="D8216" s="0" t="s">
        <v>27447</v>
      </c>
      <c r="E8216" s="0" t="s">
        <v>27448</v>
      </c>
      <c r="F8216" s="0" t="s">
        <v>15</v>
      </c>
      <c r="G8216" s="0" t="s">
        <v>32</v>
      </c>
      <c r="H8216" s="0" t="n">
        <v>49</v>
      </c>
      <c r="I8216" s="0" t="s">
        <v>27452</v>
      </c>
      <c r="J8216" s="0" t="s">
        <v>27453</v>
      </c>
      <c r="K8216" s="0" t="s">
        <v>27454</v>
      </c>
      <c r="L8216" s="0" t="str">
        <f aca="false">HYPERLINK("https://www.ncbi.nlm.nih.gov/nuccore/CP000304.1?report=graph&amp;tracks=[key:gene_model_track,Options:GeneOnly]&amp;mk=2318874:2318893|offset_23|444444,2318900:2318919|offset_49|00cc00,2318925:2318944|offset_74|444444,2318973:2318992|offset_122|444444&amp;v=2318673:2319192&amp;c=444444", "offset 49")</f>
        <v>offset 49</v>
      </c>
    </row>
    <row r="8217" customFormat="false" ht="12.8" hidden="false" customHeight="false" outlineLevel="0" collapsed="false">
      <c r="A8217" s="0" t="s">
        <v>12</v>
      </c>
      <c r="B8217" s="0" t="n">
        <v>2318924</v>
      </c>
      <c r="C8217" s="0" t="n">
        <v>2318944</v>
      </c>
      <c r="D8217" s="0" t="s">
        <v>27447</v>
      </c>
      <c r="E8217" s="0" t="s">
        <v>27448</v>
      </c>
      <c r="F8217" s="0" t="s">
        <v>15</v>
      </c>
      <c r="G8217" s="0" t="s">
        <v>16</v>
      </c>
      <c r="H8217" s="0" t="n">
        <v>74</v>
      </c>
      <c r="I8217" s="0" t="s">
        <v>27455</v>
      </c>
      <c r="J8217" s="0" t="s">
        <v>27456</v>
      </c>
      <c r="K8217" s="0" t="s">
        <v>27457</v>
      </c>
      <c r="L8217" s="0" t="str">
        <f aca="false">HYPERLINK("https://www.ncbi.nlm.nih.gov/nuccore/CP000304.1?report=graph&amp;tracks=[key:gene_model_track,Options:GeneOnly]&amp;mk=2318874:2318893|offset_23|444444,2318900:2318919|offset_49|444444,2318925:2318944|offset_74|00cc00,2318973:2318992|offset_122|444444&amp;v=2318673:2319192&amp;c=444444", "offset 74")</f>
        <v>offset 74</v>
      </c>
    </row>
    <row r="8218" customFormat="false" ht="12.8" hidden="false" customHeight="false" outlineLevel="0" collapsed="false">
      <c r="A8218" s="0" t="s">
        <v>12</v>
      </c>
      <c r="B8218" s="0" t="n">
        <v>2318972</v>
      </c>
      <c r="C8218" s="0" t="n">
        <v>2318992</v>
      </c>
      <c r="D8218" s="0" t="s">
        <v>27447</v>
      </c>
      <c r="E8218" s="0" t="s">
        <v>27448</v>
      </c>
      <c r="F8218" s="0" t="s">
        <v>15</v>
      </c>
      <c r="G8218" s="0" t="s">
        <v>26</v>
      </c>
      <c r="H8218" s="0" t="n">
        <v>122</v>
      </c>
      <c r="I8218" s="0" t="s">
        <v>27458</v>
      </c>
      <c r="J8218" s="0" t="s">
        <v>27459</v>
      </c>
      <c r="K8218" s="0" t="s">
        <v>27460</v>
      </c>
      <c r="L8218" s="0" t="str">
        <f aca="false">HYPERLINK("https://www.ncbi.nlm.nih.gov/nuccore/CP000304.1?report=graph&amp;tracks=[key:gene_model_track,Options:GeneOnly]&amp;mk=2318874:2318893|offset_23|444444,2318900:2318919|offset_49|444444,2318925:2318944|offset_74|444444,2318973:2318992|offset_122|00cc00&amp;v=2318673:2319192&amp;c=444444", "offset 122")</f>
        <v>offset 122</v>
      </c>
    </row>
    <row r="8219" customFormat="false" ht="12.8" hidden="false" customHeight="false" outlineLevel="0" collapsed="false">
      <c r="A8219" s="0" t="s">
        <v>12</v>
      </c>
      <c r="B8219" s="0" t="n">
        <v>2320933</v>
      </c>
      <c r="C8219" s="0" t="n">
        <v>2320953</v>
      </c>
      <c r="D8219" s="0" t="s">
        <v>27461</v>
      </c>
      <c r="E8219" s="0" t="s">
        <v>89</v>
      </c>
      <c r="F8219" s="0" t="s">
        <v>15</v>
      </c>
      <c r="G8219" s="0" t="s">
        <v>26</v>
      </c>
      <c r="H8219" s="0" t="n">
        <v>11</v>
      </c>
      <c r="I8219" s="0" t="s">
        <v>27462</v>
      </c>
      <c r="J8219" s="0" t="s">
        <v>27463</v>
      </c>
      <c r="K8219" s="0" t="s">
        <v>27464</v>
      </c>
      <c r="L8219" s="0" t="str">
        <f aca="false">HYPERLINK("https://www.ncbi.nlm.nih.gov/nuccore/CP000304.1?report=graph&amp;tracks=[key:gene_model_track,Options:GeneOnly]&amp;mk=2320934:2320953|offset_11|00cc00,2320964:2320983|offset_41|444444,2320987:2321006|offset_64|444444,2321011:2321030|offset_88|444444&amp;v=2320733:2321230&amp;c=444444", "offset 11")</f>
        <v>offset 11</v>
      </c>
    </row>
    <row r="8220" customFormat="false" ht="12.8" hidden="false" customHeight="false" outlineLevel="0" collapsed="false">
      <c r="A8220" s="0" t="s">
        <v>12</v>
      </c>
      <c r="B8220" s="0" t="n">
        <v>2320963</v>
      </c>
      <c r="C8220" s="0" t="n">
        <v>2320983</v>
      </c>
      <c r="D8220" s="0" t="s">
        <v>27461</v>
      </c>
      <c r="E8220" s="0" t="s">
        <v>89</v>
      </c>
      <c r="F8220" s="0" t="s">
        <v>15</v>
      </c>
      <c r="G8220" s="0" t="s">
        <v>16</v>
      </c>
      <c r="H8220" s="0" t="n">
        <v>41</v>
      </c>
      <c r="I8220" s="0" t="s">
        <v>27465</v>
      </c>
      <c r="J8220" s="0" t="s">
        <v>27466</v>
      </c>
      <c r="K8220" s="0" t="s">
        <v>27467</v>
      </c>
      <c r="L8220" s="0" t="str">
        <f aca="false">HYPERLINK("https://www.ncbi.nlm.nih.gov/nuccore/CP000304.1?report=graph&amp;tracks=[key:gene_model_track,Options:GeneOnly]&amp;mk=2320934:2320953|offset_11|444444,2320964:2320983|offset_41|00cc00,2320987:2321006|offset_64|444444,2321011:2321030|offset_88|444444&amp;v=2320733:2321230&amp;c=444444", "offset 41")</f>
        <v>offset 41</v>
      </c>
    </row>
    <row r="8221" customFormat="false" ht="12.8" hidden="false" customHeight="false" outlineLevel="0" collapsed="false">
      <c r="A8221" s="0" t="s">
        <v>12</v>
      </c>
      <c r="B8221" s="0" t="n">
        <v>2320986</v>
      </c>
      <c r="C8221" s="0" t="n">
        <v>2321006</v>
      </c>
      <c r="D8221" s="0" t="s">
        <v>27461</v>
      </c>
      <c r="E8221" s="0" t="s">
        <v>89</v>
      </c>
      <c r="F8221" s="0" t="s">
        <v>15</v>
      </c>
      <c r="G8221" s="0" t="s">
        <v>32</v>
      </c>
      <c r="H8221" s="0" t="n">
        <v>64</v>
      </c>
      <c r="I8221" s="0" t="s">
        <v>27468</v>
      </c>
      <c r="J8221" s="0" t="s">
        <v>27469</v>
      </c>
      <c r="K8221" s="0" t="s">
        <v>27470</v>
      </c>
      <c r="L8221" s="0" t="str">
        <f aca="false">HYPERLINK("https://www.ncbi.nlm.nih.gov/nuccore/CP000304.1?report=graph&amp;tracks=[key:gene_model_track,Options:GeneOnly]&amp;mk=2320934:2320953|offset_11|444444,2320964:2320983|offset_41|444444,2320987:2321006|offset_64|00cc00,2321011:2321030|offset_88|444444&amp;v=2320733:2321230&amp;c=444444", "offset 64")</f>
        <v>offset 64</v>
      </c>
    </row>
    <row r="8222" customFormat="false" ht="12.8" hidden="false" customHeight="false" outlineLevel="0" collapsed="false">
      <c r="A8222" s="0" t="s">
        <v>12</v>
      </c>
      <c r="B8222" s="0" t="n">
        <v>2321010</v>
      </c>
      <c r="C8222" s="0" t="n">
        <v>2321030</v>
      </c>
      <c r="D8222" s="0" t="s">
        <v>27461</v>
      </c>
      <c r="E8222" s="0" t="s">
        <v>89</v>
      </c>
      <c r="F8222" s="0" t="s">
        <v>15</v>
      </c>
      <c r="G8222" s="0" t="s">
        <v>16</v>
      </c>
      <c r="H8222" s="0" t="n">
        <v>88</v>
      </c>
      <c r="I8222" s="0" t="s">
        <v>27471</v>
      </c>
      <c r="J8222" s="0" t="s">
        <v>27472</v>
      </c>
      <c r="K8222" s="0" t="s">
        <v>27473</v>
      </c>
      <c r="L8222" s="0" t="str">
        <f aca="false">HYPERLINK("https://www.ncbi.nlm.nih.gov/nuccore/CP000304.1?report=graph&amp;tracks=[key:gene_model_track,Options:GeneOnly]&amp;mk=2320934:2320953|offset_11|444444,2320964:2320983|offset_41|444444,2320987:2321006|offset_64|444444,2321011:2321030|offset_88|00cc00&amp;v=2320733:2321230&amp;c=444444", "offset 88")</f>
        <v>offset 88</v>
      </c>
    </row>
    <row r="8223" customFormat="false" ht="12.8" hidden="false" customHeight="false" outlineLevel="0" collapsed="false">
      <c r="A8223" s="0" t="s">
        <v>12</v>
      </c>
      <c r="B8223" s="0" t="n">
        <v>2323755</v>
      </c>
      <c r="C8223" s="0" t="n">
        <v>2323775</v>
      </c>
      <c r="D8223" s="0" t="s">
        <v>27474</v>
      </c>
      <c r="E8223" s="0" t="s">
        <v>89</v>
      </c>
      <c r="F8223" s="0" t="s">
        <v>15</v>
      </c>
      <c r="G8223" s="0" t="s">
        <v>16</v>
      </c>
      <c r="H8223" s="0" t="n">
        <v>26</v>
      </c>
      <c r="I8223" s="0" t="s">
        <v>27475</v>
      </c>
      <c r="J8223" s="0" t="s">
        <v>27476</v>
      </c>
      <c r="K8223" s="0" t="s">
        <v>27477</v>
      </c>
      <c r="L8223" s="0" t="str">
        <f aca="false">HYPERLINK("https://www.ncbi.nlm.nih.gov/nuccore/CP000304.1?report=graph&amp;tracks=[key:gene_model_track,Options:GeneOnly]&amp;mk=2323756:2323775|offset_26|00cc00,2323785:2323804|offset_55|444444,2323848:2323867|offset_118|444444,2323869:2323888|offset_139|444444&amp;v=2323555:2324088&amp;c=444444", "offset 26")</f>
        <v>offset 26</v>
      </c>
    </row>
    <row r="8224" customFormat="false" ht="12.8" hidden="false" customHeight="false" outlineLevel="0" collapsed="false">
      <c r="A8224" s="0" t="s">
        <v>12</v>
      </c>
      <c r="B8224" s="0" t="n">
        <v>2323784</v>
      </c>
      <c r="C8224" s="0" t="n">
        <v>2323804</v>
      </c>
      <c r="D8224" s="0" t="s">
        <v>27474</v>
      </c>
      <c r="E8224" s="0" t="s">
        <v>89</v>
      </c>
      <c r="F8224" s="0" t="s">
        <v>15</v>
      </c>
      <c r="G8224" s="0" t="s">
        <v>16</v>
      </c>
      <c r="H8224" s="0" t="n">
        <v>55</v>
      </c>
      <c r="I8224" s="0" t="s">
        <v>27478</v>
      </c>
      <c r="J8224" s="0" t="s">
        <v>27479</v>
      </c>
      <c r="K8224" s="0" t="s">
        <v>27480</v>
      </c>
      <c r="L8224" s="0" t="str">
        <f aca="false">HYPERLINK("https://www.ncbi.nlm.nih.gov/nuccore/CP000304.1?report=graph&amp;tracks=[key:gene_model_track,Options:GeneOnly]&amp;mk=2323756:2323775|offset_26|444444,2323785:2323804|offset_55|00cc00,2323848:2323867|offset_118|444444,2323869:2323888|offset_139|444444&amp;v=2323555:2324088&amp;c=444444", "offset 55")</f>
        <v>offset 55</v>
      </c>
    </row>
    <row r="8225" customFormat="false" ht="12.8" hidden="false" customHeight="false" outlineLevel="0" collapsed="false">
      <c r="A8225" s="0" t="s">
        <v>12</v>
      </c>
      <c r="B8225" s="0" t="n">
        <v>2323847</v>
      </c>
      <c r="C8225" s="0" t="n">
        <v>2323867</v>
      </c>
      <c r="D8225" s="0" t="s">
        <v>27474</v>
      </c>
      <c r="E8225" s="0" t="s">
        <v>89</v>
      </c>
      <c r="F8225" s="0" t="s">
        <v>15</v>
      </c>
      <c r="G8225" s="0" t="s">
        <v>16</v>
      </c>
      <c r="H8225" s="0" t="n">
        <v>118</v>
      </c>
      <c r="I8225" s="0" t="s">
        <v>27481</v>
      </c>
      <c r="J8225" s="0" t="s">
        <v>27482</v>
      </c>
      <c r="K8225" s="0" t="s">
        <v>27483</v>
      </c>
      <c r="L8225" s="0" t="str">
        <f aca="false">HYPERLINK("https://www.ncbi.nlm.nih.gov/nuccore/CP000304.1?report=graph&amp;tracks=[key:gene_model_track,Options:GeneOnly]&amp;mk=2323756:2323775|offset_26|444444,2323785:2323804|offset_55|444444,2323848:2323867|offset_118|00cc00,2323869:2323888|offset_139|444444&amp;v=2323555:2324088&amp;c=444444", "offset 118")</f>
        <v>offset 118</v>
      </c>
    </row>
    <row r="8226" customFormat="false" ht="12.8" hidden="false" customHeight="false" outlineLevel="0" collapsed="false">
      <c r="A8226" s="0" t="s">
        <v>12</v>
      </c>
      <c r="B8226" s="0" t="n">
        <v>2323868</v>
      </c>
      <c r="C8226" s="0" t="n">
        <v>2323888</v>
      </c>
      <c r="D8226" s="0" t="s">
        <v>27474</v>
      </c>
      <c r="E8226" s="0" t="s">
        <v>89</v>
      </c>
      <c r="F8226" s="0" t="s">
        <v>15</v>
      </c>
      <c r="G8226" s="0" t="s">
        <v>32</v>
      </c>
      <c r="H8226" s="0" t="n">
        <v>139</v>
      </c>
      <c r="I8226" s="0" t="s">
        <v>27484</v>
      </c>
      <c r="J8226" s="0" t="s">
        <v>27485</v>
      </c>
      <c r="K8226" s="0" t="s">
        <v>27486</v>
      </c>
      <c r="L8226" s="0" t="str">
        <f aca="false">HYPERLINK("https://www.ncbi.nlm.nih.gov/nuccore/CP000304.1?report=graph&amp;tracks=[key:gene_model_track,Options:GeneOnly]&amp;mk=2323756:2323775|offset_26|444444,2323785:2323804|offset_55|444444,2323848:2323867|offset_118|444444,2323869:2323888|offset_139|00cc00&amp;v=2323555:2324088&amp;c=444444", "offset 139")</f>
        <v>offset 139</v>
      </c>
    </row>
    <row r="8227" customFormat="false" ht="12.8" hidden="false" customHeight="false" outlineLevel="0" collapsed="false">
      <c r="A8227" s="0" t="s">
        <v>12</v>
      </c>
      <c r="B8227" s="0" t="n">
        <v>2324191</v>
      </c>
      <c r="C8227" s="0" t="n">
        <v>2324211</v>
      </c>
      <c r="D8227" s="0" t="s">
        <v>27487</v>
      </c>
      <c r="E8227" s="0" t="s">
        <v>27488</v>
      </c>
      <c r="F8227" s="0" t="s">
        <v>15</v>
      </c>
      <c r="G8227" s="0" t="s">
        <v>36</v>
      </c>
      <c r="H8227" s="0" t="n">
        <v>18</v>
      </c>
      <c r="I8227" s="0" t="s">
        <v>27489</v>
      </c>
      <c r="J8227" s="0" t="s">
        <v>27490</v>
      </c>
      <c r="K8227" s="0" t="s">
        <v>27491</v>
      </c>
      <c r="L8227" s="0" t="str">
        <f aca="false">HYPERLINK("https://www.ncbi.nlm.nih.gov/nuccore/CP000304.1?report=graph&amp;tracks=[key:gene_model_track,Options:GeneOnly]&amp;mk=2324192:2324211|offset_18|00cc00,2324214:2324233|offset_40|444444,2324236:2324255|offset_62|444444,2324259:2324278|offset_85|444444&amp;v=2323991:2324478&amp;c=444444", "offset 18")</f>
        <v>offset 18</v>
      </c>
    </row>
    <row r="8228" customFormat="false" ht="12.8" hidden="false" customHeight="false" outlineLevel="0" collapsed="false">
      <c r="A8228" s="0" t="s">
        <v>12</v>
      </c>
      <c r="B8228" s="0" t="n">
        <v>2324213</v>
      </c>
      <c r="C8228" s="0" t="n">
        <v>2324233</v>
      </c>
      <c r="D8228" s="0" t="s">
        <v>27487</v>
      </c>
      <c r="E8228" s="0" t="s">
        <v>27488</v>
      </c>
      <c r="F8228" s="0" t="s">
        <v>15</v>
      </c>
      <c r="G8228" s="0" t="s">
        <v>36</v>
      </c>
      <c r="H8228" s="0" t="n">
        <v>40</v>
      </c>
      <c r="I8228" s="0" t="s">
        <v>27492</v>
      </c>
      <c r="J8228" s="0" t="s">
        <v>27493</v>
      </c>
      <c r="K8228" s="0" t="s">
        <v>27494</v>
      </c>
      <c r="L8228" s="0" t="str">
        <f aca="false">HYPERLINK("https://www.ncbi.nlm.nih.gov/nuccore/CP000304.1?report=graph&amp;tracks=[key:gene_model_track,Options:GeneOnly]&amp;mk=2324192:2324211|offset_18|444444,2324214:2324233|offset_40|00cc00,2324236:2324255|offset_62|444444,2324259:2324278|offset_85|444444&amp;v=2323991:2324478&amp;c=444444", "offset 40")</f>
        <v>offset 40</v>
      </c>
    </row>
    <row r="8229" customFormat="false" ht="12.8" hidden="false" customHeight="false" outlineLevel="0" collapsed="false">
      <c r="A8229" s="0" t="s">
        <v>12</v>
      </c>
      <c r="B8229" s="0" t="n">
        <v>2324235</v>
      </c>
      <c r="C8229" s="0" t="n">
        <v>2324255</v>
      </c>
      <c r="D8229" s="0" t="s">
        <v>27487</v>
      </c>
      <c r="E8229" s="0" t="s">
        <v>27488</v>
      </c>
      <c r="F8229" s="0" t="s">
        <v>15</v>
      </c>
      <c r="G8229" s="0" t="s">
        <v>26</v>
      </c>
      <c r="H8229" s="0" t="n">
        <v>62</v>
      </c>
      <c r="I8229" s="0" t="s">
        <v>27495</v>
      </c>
      <c r="J8229" s="0" t="s">
        <v>27496</v>
      </c>
      <c r="K8229" s="0" t="s">
        <v>27497</v>
      </c>
      <c r="L8229" s="0" t="str">
        <f aca="false">HYPERLINK("https://www.ncbi.nlm.nih.gov/nuccore/CP000304.1?report=graph&amp;tracks=[key:gene_model_track,Options:GeneOnly]&amp;mk=2324192:2324211|offset_18|444444,2324214:2324233|offset_40|444444,2324236:2324255|offset_62|00cc00,2324259:2324278|offset_85|444444&amp;v=2323991:2324478&amp;c=444444", "offset 62")</f>
        <v>offset 62</v>
      </c>
    </row>
    <row r="8230" customFormat="false" ht="12.8" hidden="false" customHeight="false" outlineLevel="0" collapsed="false">
      <c r="A8230" s="0" t="s">
        <v>12</v>
      </c>
      <c r="B8230" s="0" t="n">
        <v>2324258</v>
      </c>
      <c r="C8230" s="0" t="n">
        <v>2324278</v>
      </c>
      <c r="D8230" s="0" t="s">
        <v>27487</v>
      </c>
      <c r="E8230" s="0" t="s">
        <v>27488</v>
      </c>
      <c r="F8230" s="0" t="s">
        <v>15</v>
      </c>
      <c r="G8230" s="0" t="s">
        <v>26</v>
      </c>
      <c r="H8230" s="0" t="n">
        <v>85</v>
      </c>
      <c r="I8230" s="0" t="s">
        <v>27498</v>
      </c>
      <c r="J8230" s="0" t="s">
        <v>27499</v>
      </c>
      <c r="K8230" s="0" t="s">
        <v>27500</v>
      </c>
      <c r="L8230" s="0" t="str">
        <f aca="false">HYPERLINK("https://www.ncbi.nlm.nih.gov/nuccore/CP000304.1?report=graph&amp;tracks=[key:gene_model_track,Options:GeneOnly]&amp;mk=2324192:2324211|offset_18|444444,2324214:2324233|offset_40|444444,2324236:2324255|offset_62|444444,2324259:2324278|offset_85|00cc00&amp;v=2323991:2324478&amp;c=444444", "offset 85")</f>
        <v>offset 85</v>
      </c>
    </row>
    <row r="8231" customFormat="false" ht="12.8" hidden="false" customHeight="false" outlineLevel="0" collapsed="false">
      <c r="A8231" s="0" t="s">
        <v>12</v>
      </c>
      <c r="B8231" s="0" t="n">
        <v>2326629</v>
      </c>
      <c r="C8231" s="0" t="n">
        <v>2326649</v>
      </c>
      <c r="D8231" s="0" t="s">
        <v>27501</v>
      </c>
      <c r="E8231" s="0" t="s">
        <v>89</v>
      </c>
      <c r="F8231" s="0" t="s">
        <v>15</v>
      </c>
      <c r="G8231" s="0" t="s">
        <v>16</v>
      </c>
      <c r="H8231" s="0" t="n">
        <v>18</v>
      </c>
      <c r="I8231" s="0" t="s">
        <v>27502</v>
      </c>
      <c r="J8231" s="0" t="s">
        <v>27503</v>
      </c>
      <c r="K8231" s="0" t="s">
        <v>27504</v>
      </c>
      <c r="L8231" s="0" t="str">
        <f aca="false">HYPERLINK("https://www.ncbi.nlm.nih.gov/nuccore/CP000304.1?report=graph&amp;tracks=[key:gene_model_track,Options:GeneOnly]&amp;mk=2326630:2326649|offset_18|00cc00,2326669:2326688|offset_57|444444,2326691:2326710|offset_79|444444,2326712:2326731|offset_100|444444&amp;v=2326429:2326931&amp;c=444444", "offset 18")</f>
        <v>offset 18</v>
      </c>
    </row>
    <row r="8232" customFormat="false" ht="12.8" hidden="false" customHeight="false" outlineLevel="0" collapsed="false">
      <c r="A8232" s="0" t="s">
        <v>12</v>
      </c>
      <c r="B8232" s="0" t="n">
        <v>2326668</v>
      </c>
      <c r="C8232" s="0" t="n">
        <v>2326688</v>
      </c>
      <c r="D8232" s="0" t="s">
        <v>27501</v>
      </c>
      <c r="E8232" s="0" t="s">
        <v>89</v>
      </c>
      <c r="F8232" s="0" t="s">
        <v>15</v>
      </c>
      <c r="G8232" s="0" t="s">
        <v>16</v>
      </c>
      <c r="H8232" s="0" t="n">
        <v>57</v>
      </c>
      <c r="I8232" s="0" t="s">
        <v>27505</v>
      </c>
      <c r="J8232" s="0" t="s">
        <v>27506</v>
      </c>
      <c r="K8232" s="0" t="s">
        <v>27507</v>
      </c>
      <c r="L8232" s="0" t="str">
        <f aca="false">HYPERLINK("https://www.ncbi.nlm.nih.gov/nuccore/CP000304.1?report=graph&amp;tracks=[key:gene_model_track,Options:GeneOnly]&amp;mk=2326630:2326649|offset_18|444444,2326669:2326688|offset_57|00cc00,2326691:2326710|offset_79|444444,2326712:2326731|offset_100|444444&amp;v=2326429:2326931&amp;c=444444", "offset 57")</f>
        <v>offset 57</v>
      </c>
    </row>
    <row r="8233" customFormat="false" ht="12.8" hidden="false" customHeight="false" outlineLevel="0" collapsed="false">
      <c r="A8233" s="0" t="s">
        <v>12</v>
      </c>
      <c r="B8233" s="0" t="n">
        <v>2326690</v>
      </c>
      <c r="C8233" s="0" t="n">
        <v>2326710</v>
      </c>
      <c r="D8233" s="0" t="s">
        <v>27501</v>
      </c>
      <c r="E8233" s="0" t="s">
        <v>89</v>
      </c>
      <c r="F8233" s="0" t="s">
        <v>15</v>
      </c>
      <c r="G8233" s="0" t="s">
        <v>32</v>
      </c>
      <c r="H8233" s="0" t="n">
        <v>79</v>
      </c>
      <c r="I8233" s="0" t="s">
        <v>27508</v>
      </c>
      <c r="J8233" s="0" t="s">
        <v>27509</v>
      </c>
      <c r="K8233" s="0" t="s">
        <v>27510</v>
      </c>
      <c r="L8233" s="0" t="str">
        <f aca="false">HYPERLINK("https://www.ncbi.nlm.nih.gov/nuccore/CP000304.1?report=graph&amp;tracks=[key:gene_model_track,Options:GeneOnly]&amp;mk=2326630:2326649|offset_18|444444,2326669:2326688|offset_57|444444,2326691:2326710|offset_79|00cc00,2326712:2326731|offset_100|444444&amp;v=2326429:2326931&amp;c=444444", "offset 79")</f>
        <v>offset 79</v>
      </c>
    </row>
    <row r="8234" customFormat="false" ht="12.8" hidden="false" customHeight="false" outlineLevel="0" collapsed="false">
      <c r="A8234" s="0" t="s">
        <v>12</v>
      </c>
      <c r="B8234" s="0" t="n">
        <v>2326711</v>
      </c>
      <c r="C8234" s="0" t="n">
        <v>2326731</v>
      </c>
      <c r="D8234" s="0" t="s">
        <v>27501</v>
      </c>
      <c r="E8234" s="0" t="s">
        <v>89</v>
      </c>
      <c r="F8234" s="0" t="s">
        <v>15</v>
      </c>
      <c r="G8234" s="0" t="s">
        <v>16</v>
      </c>
      <c r="H8234" s="0" t="n">
        <v>100</v>
      </c>
      <c r="I8234" s="0" t="s">
        <v>27511</v>
      </c>
      <c r="J8234" s="0" t="s">
        <v>27512</v>
      </c>
      <c r="K8234" s="0" t="s">
        <v>27513</v>
      </c>
      <c r="L8234" s="0" t="str">
        <f aca="false">HYPERLINK("https://www.ncbi.nlm.nih.gov/nuccore/CP000304.1?report=graph&amp;tracks=[key:gene_model_track,Options:GeneOnly]&amp;mk=2326630:2326649|offset_18|444444,2326669:2326688|offset_57|444444,2326691:2326710|offset_79|444444,2326712:2326731|offset_100|00cc00&amp;v=2326429:2326931&amp;c=444444", "offset 100")</f>
        <v>offset 100</v>
      </c>
    </row>
    <row r="8235" customFormat="false" ht="12.8" hidden="false" customHeight="false" outlineLevel="0" collapsed="false">
      <c r="A8235" s="0" t="s">
        <v>12</v>
      </c>
      <c r="B8235" s="0" t="n">
        <v>2328283</v>
      </c>
      <c r="C8235" s="0" t="n">
        <v>2328303</v>
      </c>
      <c r="D8235" s="0" t="s">
        <v>27514</v>
      </c>
      <c r="E8235" s="0" t="s">
        <v>89</v>
      </c>
      <c r="F8235" s="0" t="s">
        <v>90</v>
      </c>
      <c r="G8235" s="0" t="s">
        <v>32</v>
      </c>
      <c r="H8235" s="0" t="n">
        <v>1</v>
      </c>
      <c r="I8235" s="0" t="s">
        <v>27515</v>
      </c>
      <c r="J8235" s="0" t="s">
        <v>27516</v>
      </c>
      <c r="K8235" s="0" t="s">
        <v>27517</v>
      </c>
      <c r="L8235" s="0" t="str">
        <f aca="false">HYPERLINK("https://www.ncbi.nlm.nih.gov/nuccore/CP000304.1?report=graph&amp;tracks=[key:gene_model_track,Options:GeneOnly]&amp;mk=2328284:2328303|offset_1|00cc00,2328246:2328265|offset_39|444444,2328226:2328245|offset_59|444444,2328198:2328217|offset_87|444444&amp;v=2328083:2328417&amp;c=444444", "offset 1")</f>
        <v>offset 1</v>
      </c>
    </row>
    <row r="8236" customFormat="false" ht="12.8" hidden="false" customHeight="false" outlineLevel="0" collapsed="false">
      <c r="A8236" s="0" t="s">
        <v>12</v>
      </c>
      <c r="B8236" s="0" t="n">
        <v>2328245</v>
      </c>
      <c r="C8236" s="0" t="n">
        <v>2328265</v>
      </c>
      <c r="D8236" s="0" t="s">
        <v>27514</v>
      </c>
      <c r="E8236" s="0" t="s">
        <v>89</v>
      </c>
      <c r="F8236" s="0" t="s">
        <v>90</v>
      </c>
      <c r="G8236" s="0" t="s">
        <v>16</v>
      </c>
      <c r="H8236" s="0" t="n">
        <v>39</v>
      </c>
      <c r="I8236" s="0" t="s">
        <v>27518</v>
      </c>
      <c r="J8236" s="0" t="s">
        <v>27519</v>
      </c>
      <c r="K8236" s="0" t="s">
        <v>27520</v>
      </c>
      <c r="L8236" s="0" t="str">
        <f aca="false">HYPERLINK("https://www.ncbi.nlm.nih.gov/nuccore/CP000304.1?report=graph&amp;tracks=[key:gene_model_track,Options:GeneOnly]&amp;mk=2328284:2328303|offset_1|444444,2328246:2328265|offset_39|00cc00,2328226:2328245|offset_59|444444,2328198:2328217|offset_87|444444&amp;v=2328083:2328417&amp;c=444444", "offset 39")</f>
        <v>offset 39</v>
      </c>
    </row>
    <row r="8237" customFormat="false" ht="12.8" hidden="false" customHeight="false" outlineLevel="0" collapsed="false">
      <c r="A8237" s="0" t="s">
        <v>12</v>
      </c>
      <c r="B8237" s="0" t="n">
        <v>2328225</v>
      </c>
      <c r="C8237" s="0" t="n">
        <v>2328245</v>
      </c>
      <c r="D8237" s="0" t="s">
        <v>27514</v>
      </c>
      <c r="E8237" s="0" t="s">
        <v>89</v>
      </c>
      <c r="F8237" s="0" t="s">
        <v>90</v>
      </c>
      <c r="G8237" s="0" t="s">
        <v>26</v>
      </c>
      <c r="H8237" s="0" t="n">
        <v>59</v>
      </c>
      <c r="I8237" s="0" t="s">
        <v>27521</v>
      </c>
      <c r="J8237" s="0" t="s">
        <v>27522</v>
      </c>
      <c r="K8237" s="0" t="s">
        <v>27523</v>
      </c>
      <c r="L8237" s="0" t="str">
        <f aca="false">HYPERLINK("https://www.ncbi.nlm.nih.gov/nuccore/CP000304.1?report=graph&amp;tracks=[key:gene_model_track,Options:GeneOnly]&amp;mk=2328284:2328303|offset_1|444444,2328246:2328265|offset_39|444444,2328226:2328245|offset_59|00cc00,2328198:2328217|offset_87|444444&amp;v=2328083:2328417&amp;c=444444", "offset 59")</f>
        <v>offset 59</v>
      </c>
    </row>
    <row r="8238" customFormat="false" ht="12.8" hidden="false" customHeight="false" outlineLevel="0" collapsed="false">
      <c r="A8238" s="0" t="s">
        <v>12</v>
      </c>
      <c r="B8238" s="0" t="n">
        <v>2328197</v>
      </c>
      <c r="C8238" s="0" t="n">
        <v>2328217</v>
      </c>
      <c r="D8238" s="0" t="s">
        <v>27514</v>
      </c>
      <c r="E8238" s="0" t="s">
        <v>89</v>
      </c>
      <c r="F8238" s="0" t="s">
        <v>90</v>
      </c>
      <c r="G8238" s="0" t="s">
        <v>36</v>
      </c>
      <c r="H8238" s="0" t="n">
        <v>87</v>
      </c>
      <c r="I8238" s="0" t="s">
        <v>27524</v>
      </c>
      <c r="J8238" s="0" t="s">
        <v>27525</v>
      </c>
      <c r="K8238" s="0" t="s">
        <v>27526</v>
      </c>
      <c r="L8238" s="0" t="str">
        <f aca="false">HYPERLINK("https://www.ncbi.nlm.nih.gov/nuccore/CP000304.1?report=graph&amp;tracks=[key:gene_model_track,Options:GeneOnly]&amp;mk=2328284:2328303|offset_1|444444,2328246:2328265|offset_39|444444,2328226:2328245|offset_59|444444,2328198:2328217|offset_87|00cc00&amp;v=2328083:2328417&amp;c=444444", "offset 87")</f>
        <v>offset 87</v>
      </c>
    </row>
    <row r="8239" customFormat="false" ht="12.8" hidden="false" customHeight="false" outlineLevel="0" collapsed="false">
      <c r="A8239" s="0" t="s">
        <v>12</v>
      </c>
      <c r="B8239" s="0" t="n">
        <v>2329132</v>
      </c>
      <c r="C8239" s="0" t="n">
        <v>2329152</v>
      </c>
      <c r="D8239" s="0" t="s">
        <v>27527</v>
      </c>
      <c r="E8239" s="0" t="s">
        <v>89</v>
      </c>
      <c r="F8239" s="0" t="s">
        <v>90</v>
      </c>
      <c r="G8239" s="0" t="s">
        <v>36</v>
      </c>
      <c r="H8239" s="0" t="n">
        <v>7</v>
      </c>
      <c r="I8239" s="0" t="s">
        <v>27528</v>
      </c>
      <c r="J8239" s="0" t="s">
        <v>27529</v>
      </c>
      <c r="K8239" s="0" t="s">
        <v>27530</v>
      </c>
      <c r="L8239" s="0" t="str">
        <f aca="false">HYPERLINK("https://www.ncbi.nlm.nih.gov/nuccore/CP000304.1?report=graph&amp;tracks=[key:gene_model_track,Options:GeneOnly]&amp;mk=2329133:2329152|offset_7|00cc00,2329108:2329127|offset_32|444444,2329083:2329102|offset_57|444444,2329045:2329064|offset_95|444444&amp;v=2328932:2329264&amp;c=444444", "offset 7")</f>
        <v>offset 7</v>
      </c>
    </row>
    <row r="8240" customFormat="false" ht="12.8" hidden="false" customHeight="false" outlineLevel="0" collapsed="false">
      <c r="A8240" s="0" t="s">
        <v>12</v>
      </c>
      <c r="B8240" s="0" t="n">
        <v>2329107</v>
      </c>
      <c r="C8240" s="0" t="n">
        <v>2329127</v>
      </c>
      <c r="D8240" s="0" t="s">
        <v>27527</v>
      </c>
      <c r="E8240" s="0" t="s">
        <v>89</v>
      </c>
      <c r="F8240" s="0" t="s">
        <v>90</v>
      </c>
      <c r="G8240" s="0" t="s">
        <v>32</v>
      </c>
      <c r="H8240" s="0" t="n">
        <v>32</v>
      </c>
      <c r="I8240" s="0" t="s">
        <v>27531</v>
      </c>
      <c r="J8240" s="0" t="s">
        <v>27532</v>
      </c>
      <c r="K8240" s="0" t="s">
        <v>27533</v>
      </c>
      <c r="L8240" s="0" t="str">
        <f aca="false">HYPERLINK("https://www.ncbi.nlm.nih.gov/nuccore/CP000304.1?report=graph&amp;tracks=[key:gene_model_track,Options:GeneOnly]&amp;mk=2329133:2329152|offset_7|444444,2329108:2329127|offset_32|00cc00,2329083:2329102|offset_57|444444,2329045:2329064|offset_95|444444&amp;v=2328932:2329264&amp;c=444444", "offset 32")</f>
        <v>offset 32</v>
      </c>
    </row>
    <row r="8241" customFormat="false" ht="12.8" hidden="false" customHeight="false" outlineLevel="0" collapsed="false">
      <c r="A8241" s="0" t="s">
        <v>12</v>
      </c>
      <c r="B8241" s="0" t="n">
        <v>2329082</v>
      </c>
      <c r="C8241" s="0" t="n">
        <v>2329102</v>
      </c>
      <c r="D8241" s="0" t="s">
        <v>27527</v>
      </c>
      <c r="E8241" s="0" t="s">
        <v>89</v>
      </c>
      <c r="F8241" s="0" t="s">
        <v>90</v>
      </c>
      <c r="G8241" s="0" t="s">
        <v>16</v>
      </c>
      <c r="H8241" s="0" t="n">
        <v>57</v>
      </c>
      <c r="I8241" s="0" t="s">
        <v>27534</v>
      </c>
      <c r="J8241" s="0" t="s">
        <v>27535</v>
      </c>
      <c r="K8241" s="0" t="s">
        <v>27536</v>
      </c>
      <c r="L8241" s="0" t="str">
        <f aca="false">HYPERLINK("https://www.ncbi.nlm.nih.gov/nuccore/CP000304.1?report=graph&amp;tracks=[key:gene_model_track,Options:GeneOnly]&amp;mk=2329133:2329152|offset_7|444444,2329108:2329127|offset_32|444444,2329083:2329102|offset_57|00cc00,2329045:2329064|offset_95|444444&amp;v=2328932:2329264&amp;c=444444", "offset 57")</f>
        <v>offset 57</v>
      </c>
    </row>
    <row r="8242" customFormat="false" ht="12.8" hidden="false" customHeight="false" outlineLevel="0" collapsed="false">
      <c r="A8242" s="0" t="s">
        <v>12</v>
      </c>
      <c r="B8242" s="0" t="n">
        <v>2329044</v>
      </c>
      <c r="C8242" s="0" t="n">
        <v>2329064</v>
      </c>
      <c r="D8242" s="0" t="s">
        <v>27527</v>
      </c>
      <c r="E8242" s="0" t="s">
        <v>89</v>
      </c>
      <c r="F8242" s="0" t="s">
        <v>90</v>
      </c>
      <c r="G8242" s="0" t="s">
        <v>36</v>
      </c>
      <c r="H8242" s="0" t="n">
        <v>95</v>
      </c>
      <c r="I8242" s="0" t="s">
        <v>27537</v>
      </c>
      <c r="J8242" s="0" t="s">
        <v>27538</v>
      </c>
      <c r="K8242" s="0" t="s">
        <v>27539</v>
      </c>
      <c r="L8242" s="0" t="str">
        <f aca="false">HYPERLINK("https://www.ncbi.nlm.nih.gov/nuccore/CP000304.1?report=graph&amp;tracks=[key:gene_model_track,Options:GeneOnly]&amp;mk=2329133:2329152|offset_7|444444,2329108:2329127|offset_32|444444,2329083:2329102|offset_57|444444,2329045:2329064|offset_95|00cc00&amp;v=2328932:2329264&amp;c=444444", "offset 95")</f>
        <v>offset 95</v>
      </c>
    </row>
    <row r="8243" customFormat="false" ht="12.8" hidden="false" customHeight="false" outlineLevel="0" collapsed="false">
      <c r="A8243" s="0" t="s">
        <v>12</v>
      </c>
      <c r="B8243" s="0" t="n">
        <v>2329264</v>
      </c>
      <c r="C8243" s="0" t="n">
        <v>2329284</v>
      </c>
      <c r="D8243" s="0" t="s">
        <v>27540</v>
      </c>
      <c r="E8243" s="0" t="s">
        <v>89</v>
      </c>
      <c r="F8243" s="0" t="s">
        <v>15</v>
      </c>
      <c r="G8243" s="0" t="s">
        <v>32</v>
      </c>
      <c r="H8243" s="0" t="n">
        <v>1</v>
      </c>
      <c r="I8243" s="0" t="s">
        <v>27541</v>
      </c>
      <c r="J8243" s="0" t="s">
        <v>27542</v>
      </c>
      <c r="K8243" s="0" t="s">
        <v>27543</v>
      </c>
      <c r="L8243" s="0" t="str">
        <f aca="false">HYPERLINK("https://www.ncbi.nlm.nih.gov/nuccore/CP000304.1?report=graph&amp;tracks=[key:gene_model_track,Options:GeneOnly]&amp;mk=2329265:2329284|offset_1|00cc00,2329310:2329329|offset_46|444444,2329344:2329363|offset_80|444444,2329367:2329386|offset_103|444444&amp;v=2329064:2329586&amp;c=444444", "offset 1")</f>
        <v>offset 1</v>
      </c>
    </row>
    <row r="8244" customFormat="false" ht="12.8" hidden="false" customHeight="false" outlineLevel="0" collapsed="false">
      <c r="A8244" s="0" t="s">
        <v>12</v>
      </c>
      <c r="B8244" s="0" t="n">
        <v>2329309</v>
      </c>
      <c r="C8244" s="0" t="n">
        <v>2329329</v>
      </c>
      <c r="D8244" s="0" t="s">
        <v>27540</v>
      </c>
      <c r="E8244" s="0" t="s">
        <v>89</v>
      </c>
      <c r="F8244" s="0" t="s">
        <v>15</v>
      </c>
      <c r="G8244" s="0" t="s">
        <v>32</v>
      </c>
      <c r="H8244" s="0" t="n">
        <v>46</v>
      </c>
      <c r="I8244" s="0" t="s">
        <v>27544</v>
      </c>
      <c r="J8244" s="0" t="s">
        <v>27545</v>
      </c>
      <c r="K8244" s="0" t="s">
        <v>27546</v>
      </c>
      <c r="L8244" s="0" t="str">
        <f aca="false">HYPERLINK("https://www.ncbi.nlm.nih.gov/nuccore/CP000304.1?report=graph&amp;tracks=[key:gene_model_track,Options:GeneOnly]&amp;mk=2329265:2329284|offset_1|444444,2329310:2329329|offset_46|00cc00,2329344:2329363|offset_80|444444,2329367:2329386|offset_103|444444&amp;v=2329064:2329586&amp;c=444444", "offset 46")</f>
        <v>offset 46</v>
      </c>
    </row>
    <row r="8245" customFormat="false" ht="12.8" hidden="false" customHeight="false" outlineLevel="0" collapsed="false">
      <c r="A8245" s="0" t="s">
        <v>12</v>
      </c>
      <c r="B8245" s="0" t="n">
        <v>2329343</v>
      </c>
      <c r="C8245" s="0" t="n">
        <v>2329363</v>
      </c>
      <c r="D8245" s="0" t="s">
        <v>27540</v>
      </c>
      <c r="E8245" s="0" t="s">
        <v>89</v>
      </c>
      <c r="F8245" s="0" t="s">
        <v>15</v>
      </c>
      <c r="G8245" s="0" t="s">
        <v>26</v>
      </c>
      <c r="H8245" s="0" t="n">
        <v>80</v>
      </c>
      <c r="I8245" s="0" t="s">
        <v>27547</v>
      </c>
      <c r="J8245" s="0" t="s">
        <v>27548</v>
      </c>
      <c r="K8245" s="0" t="s">
        <v>27549</v>
      </c>
      <c r="L8245" s="0" t="str">
        <f aca="false">HYPERLINK("https://www.ncbi.nlm.nih.gov/nuccore/CP000304.1?report=graph&amp;tracks=[key:gene_model_track,Options:GeneOnly]&amp;mk=2329265:2329284|offset_1|444444,2329310:2329329|offset_46|444444,2329344:2329363|offset_80|00cc00,2329367:2329386|offset_103|444444&amp;v=2329064:2329586&amp;c=444444", "offset 80")</f>
        <v>offset 80</v>
      </c>
    </row>
    <row r="8246" customFormat="false" ht="12.8" hidden="false" customHeight="false" outlineLevel="0" collapsed="false">
      <c r="A8246" s="0" t="s">
        <v>12</v>
      </c>
      <c r="B8246" s="0" t="n">
        <v>2329366</v>
      </c>
      <c r="C8246" s="0" t="n">
        <v>2329386</v>
      </c>
      <c r="D8246" s="0" t="s">
        <v>27540</v>
      </c>
      <c r="E8246" s="0" t="s">
        <v>89</v>
      </c>
      <c r="F8246" s="0" t="s">
        <v>15</v>
      </c>
      <c r="G8246" s="0" t="s">
        <v>32</v>
      </c>
      <c r="H8246" s="0" t="n">
        <v>103</v>
      </c>
      <c r="I8246" s="0" t="s">
        <v>27550</v>
      </c>
      <c r="J8246" s="0" t="s">
        <v>27551</v>
      </c>
      <c r="K8246" s="0" t="s">
        <v>27552</v>
      </c>
      <c r="L8246" s="0" t="str">
        <f aca="false">HYPERLINK("https://www.ncbi.nlm.nih.gov/nuccore/CP000304.1?report=graph&amp;tracks=[key:gene_model_track,Options:GeneOnly]&amp;mk=2329265:2329284|offset_1|444444,2329310:2329329|offset_46|444444,2329344:2329363|offset_80|444444,2329367:2329386|offset_103|00cc00&amp;v=2329064:2329586&amp;c=444444", "offset 103")</f>
        <v>offset 103</v>
      </c>
    </row>
    <row r="8247" customFormat="false" ht="12.8" hidden="false" customHeight="false" outlineLevel="0" collapsed="false">
      <c r="A8247" s="0" t="s">
        <v>12</v>
      </c>
      <c r="B8247" s="0" t="n">
        <v>2330481</v>
      </c>
      <c r="C8247" s="0" t="n">
        <v>2330501</v>
      </c>
      <c r="D8247" s="0" t="s">
        <v>27553</v>
      </c>
      <c r="E8247" s="0" t="s">
        <v>89</v>
      </c>
      <c r="F8247" s="0" t="s">
        <v>15</v>
      </c>
      <c r="G8247" s="0" t="s">
        <v>32</v>
      </c>
      <c r="H8247" s="0" t="n">
        <v>1</v>
      </c>
      <c r="I8247" s="0" t="s">
        <v>27554</v>
      </c>
      <c r="J8247" s="0" t="s">
        <v>27555</v>
      </c>
      <c r="K8247" s="0" t="s">
        <v>27556</v>
      </c>
      <c r="L8247" s="0" t="str">
        <f aca="false">HYPERLINK("https://www.ncbi.nlm.nih.gov/nuccore/CP000304.1?report=graph&amp;tracks=[key:gene_model_track,Options:GeneOnly]&amp;mk=2330482:2330501|offset_1|00cc00,2330506:2330525|offset_25|444444,2330535:2330554|offset_54|444444,2330556:2330575|offset_75|444444&amp;v=2330281:2330775&amp;c=444444", "offset 1")</f>
        <v>offset 1</v>
      </c>
    </row>
    <row r="8248" customFormat="false" ht="12.8" hidden="false" customHeight="false" outlineLevel="0" collapsed="false">
      <c r="A8248" s="0" t="s">
        <v>12</v>
      </c>
      <c r="B8248" s="0" t="n">
        <v>2330505</v>
      </c>
      <c r="C8248" s="0" t="n">
        <v>2330525</v>
      </c>
      <c r="D8248" s="0" t="s">
        <v>27553</v>
      </c>
      <c r="E8248" s="0" t="s">
        <v>89</v>
      </c>
      <c r="F8248" s="0" t="s">
        <v>15</v>
      </c>
      <c r="G8248" s="0" t="s">
        <v>16</v>
      </c>
      <c r="H8248" s="0" t="n">
        <v>25</v>
      </c>
      <c r="I8248" s="0" t="s">
        <v>27557</v>
      </c>
      <c r="J8248" s="0" t="s">
        <v>27558</v>
      </c>
      <c r="K8248" s="0" t="s">
        <v>27559</v>
      </c>
      <c r="L8248" s="0" t="str">
        <f aca="false">HYPERLINK("https://www.ncbi.nlm.nih.gov/nuccore/CP000304.1?report=graph&amp;tracks=[key:gene_model_track,Options:GeneOnly]&amp;mk=2330482:2330501|offset_1|444444,2330506:2330525|offset_25|00cc00,2330535:2330554|offset_54|444444,2330556:2330575|offset_75|444444&amp;v=2330281:2330775&amp;c=444444", "offset 25")</f>
        <v>offset 25</v>
      </c>
    </row>
    <row r="8249" customFormat="false" ht="12.8" hidden="false" customHeight="false" outlineLevel="0" collapsed="false">
      <c r="A8249" s="0" t="s">
        <v>12</v>
      </c>
      <c r="B8249" s="0" t="n">
        <v>2330534</v>
      </c>
      <c r="C8249" s="0" t="n">
        <v>2330554</v>
      </c>
      <c r="D8249" s="0" t="s">
        <v>27553</v>
      </c>
      <c r="E8249" s="0" t="s">
        <v>89</v>
      </c>
      <c r="F8249" s="0" t="s">
        <v>15</v>
      </c>
      <c r="G8249" s="0" t="s">
        <v>16</v>
      </c>
      <c r="H8249" s="0" t="n">
        <v>54</v>
      </c>
      <c r="I8249" s="0" t="s">
        <v>27560</v>
      </c>
      <c r="J8249" s="0" t="s">
        <v>27561</v>
      </c>
      <c r="K8249" s="0" t="s">
        <v>27562</v>
      </c>
      <c r="L8249" s="0" t="str">
        <f aca="false">HYPERLINK("https://www.ncbi.nlm.nih.gov/nuccore/CP000304.1?report=graph&amp;tracks=[key:gene_model_track,Options:GeneOnly]&amp;mk=2330482:2330501|offset_1|444444,2330506:2330525|offset_25|444444,2330535:2330554|offset_54|00cc00,2330556:2330575|offset_75|444444&amp;v=2330281:2330775&amp;c=444444", "offset 54")</f>
        <v>offset 54</v>
      </c>
    </row>
    <row r="8250" customFormat="false" ht="12.8" hidden="false" customHeight="false" outlineLevel="0" collapsed="false">
      <c r="A8250" s="0" t="s">
        <v>12</v>
      </c>
      <c r="B8250" s="0" t="n">
        <v>2330555</v>
      </c>
      <c r="C8250" s="0" t="n">
        <v>2330575</v>
      </c>
      <c r="D8250" s="0" t="s">
        <v>27553</v>
      </c>
      <c r="E8250" s="0" t="s">
        <v>89</v>
      </c>
      <c r="F8250" s="0" t="s">
        <v>15</v>
      </c>
      <c r="G8250" s="0" t="s">
        <v>36</v>
      </c>
      <c r="H8250" s="0" t="n">
        <v>75</v>
      </c>
      <c r="I8250" s="0" t="s">
        <v>27563</v>
      </c>
      <c r="J8250" s="0" t="s">
        <v>27564</v>
      </c>
      <c r="K8250" s="0" t="s">
        <v>27565</v>
      </c>
      <c r="L8250" s="0" t="str">
        <f aca="false">HYPERLINK("https://www.ncbi.nlm.nih.gov/nuccore/CP000304.1?report=graph&amp;tracks=[key:gene_model_track,Options:GeneOnly]&amp;mk=2330482:2330501|offset_1|444444,2330506:2330525|offset_25|444444,2330535:2330554|offset_54|444444,2330556:2330575|offset_75|00cc00&amp;v=2330281:2330775&amp;c=444444", "offset 75")</f>
        <v>offset 75</v>
      </c>
    </row>
    <row r="8251" customFormat="false" ht="12.8" hidden="false" customHeight="false" outlineLevel="0" collapsed="false">
      <c r="A8251" s="0" t="s">
        <v>12</v>
      </c>
      <c r="B8251" s="0" t="n">
        <v>2331749</v>
      </c>
      <c r="C8251" s="0" t="n">
        <v>2331769</v>
      </c>
      <c r="D8251" s="0" t="s">
        <v>27566</v>
      </c>
      <c r="E8251" s="0" t="s">
        <v>89</v>
      </c>
      <c r="F8251" s="0" t="s">
        <v>15</v>
      </c>
      <c r="G8251" s="0" t="s">
        <v>32</v>
      </c>
      <c r="H8251" s="0" t="n">
        <v>1</v>
      </c>
      <c r="I8251" s="0" t="s">
        <v>27567</v>
      </c>
      <c r="J8251" s="0" t="s">
        <v>27568</v>
      </c>
      <c r="K8251" s="0" t="s">
        <v>27569</v>
      </c>
      <c r="L8251" s="0" t="str">
        <f aca="false">HYPERLINK("https://www.ncbi.nlm.nih.gov/nuccore/CP000304.1?report=graph&amp;tracks=[key:gene_model_track,Options:GeneOnly]&amp;mk=2331750:2331769|offset_1|00cc00,2331777:2331796|offset_28|444444,2331814:2331833|offset_65|444444,2331852:2331871|offset_103|444444&amp;v=2331549:2332071&amp;c=444444", "offset 1")</f>
        <v>offset 1</v>
      </c>
    </row>
    <row r="8252" customFormat="false" ht="12.8" hidden="false" customHeight="false" outlineLevel="0" collapsed="false">
      <c r="A8252" s="0" t="s">
        <v>12</v>
      </c>
      <c r="B8252" s="0" t="n">
        <v>2331776</v>
      </c>
      <c r="C8252" s="0" t="n">
        <v>2331796</v>
      </c>
      <c r="D8252" s="0" t="s">
        <v>27566</v>
      </c>
      <c r="E8252" s="0" t="s">
        <v>89</v>
      </c>
      <c r="F8252" s="0" t="s">
        <v>15</v>
      </c>
      <c r="G8252" s="0" t="s">
        <v>16</v>
      </c>
      <c r="H8252" s="0" t="n">
        <v>28</v>
      </c>
      <c r="I8252" s="0" t="s">
        <v>27570</v>
      </c>
      <c r="J8252" s="0" t="s">
        <v>27571</v>
      </c>
      <c r="K8252" s="0" t="s">
        <v>27572</v>
      </c>
      <c r="L8252" s="0" t="str">
        <f aca="false">HYPERLINK("https://www.ncbi.nlm.nih.gov/nuccore/CP000304.1?report=graph&amp;tracks=[key:gene_model_track,Options:GeneOnly]&amp;mk=2331750:2331769|offset_1|444444,2331777:2331796|offset_28|00cc00,2331814:2331833|offset_65|444444,2331852:2331871|offset_103|444444&amp;v=2331549:2332071&amp;c=444444", "offset 28")</f>
        <v>offset 28</v>
      </c>
    </row>
    <row r="8253" customFormat="false" ht="12.8" hidden="false" customHeight="false" outlineLevel="0" collapsed="false">
      <c r="A8253" s="0" t="s">
        <v>12</v>
      </c>
      <c r="B8253" s="0" t="n">
        <v>2331813</v>
      </c>
      <c r="C8253" s="0" t="n">
        <v>2331833</v>
      </c>
      <c r="D8253" s="0" t="s">
        <v>27566</v>
      </c>
      <c r="E8253" s="0" t="s">
        <v>89</v>
      </c>
      <c r="F8253" s="0" t="s">
        <v>15</v>
      </c>
      <c r="G8253" s="0" t="s">
        <v>36</v>
      </c>
      <c r="H8253" s="0" t="n">
        <v>65</v>
      </c>
      <c r="I8253" s="0" t="s">
        <v>27573</v>
      </c>
      <c r="J8253" s="0" t="s">
        <v>27574</v>
      </c>
      <c r="K8253" s="0" t="s">
        <v>27575</v>
      </c>
      <c r="L8253" s="0" t="str">
        <f aca="false">HYPERLINK("https://www.ncbi.nlm.nih.gov/nuccore/CP000304.1?report=graph&amp;tracks=[key:gene_model_track,Options:GeneOnly]&amp;mk=2331750:2331769|offset_1|444444,2331777:2331796|offset_28|444444,2331814:2331833|offset_65|00cc00,2331852:2331871|offset_103|444444&amp;v=2331549:2332071&amp;c=444444", "offset 65")</f>
        <v>offset 65</v>
      </c>
    </row>
    <row r="8254" customFormat="false" ht="12.8" hidden="false" customHeight="false" outlineLevel="0" collapsed="false">
      <c r="A8254" s="0" t="s">
        <v>12</v>
      </c>
      <c r="B8254" s="0" t="n">
        <v>2331851</v>
      </c>
      <c r="C8254" s="0" t="n">
        <v>2331871</v>
      </c>
      <c r="D8254" s="0" t="s">
        <v>27566</v>
      </c>
      <c r="E8254" s="0" t="s">
        <v>89</v>
      </c>
      <c r="F8254" s="0" t="s">
        <v>15</v>
      </c>
      <c r="G8254" s="0" t="s">
        <v>26</v>
      </c>
      <c r="H8254" s="0" t="n">
        <v>103</v>
      </c>
      <c r="I8254" s="0" t="s">
        <v>27576</v>
      </c>
      <c r="J8254" s="0" t="s">
        <v>27577</v>
      </c>
      <c r="K8254" s="0" t="s">
        <v>27578</v>
      </c>
      <c r="L8254" s="0" t="str">
        <f aca="false">HYPERLINK("https://www.ncbi.nlm.nih.gov/nuccore/CP000304.1?report=graph&amp;tracks=[key:gene_model_track,Options:GeneOnly]&amp;mk=2331750:2331769|offset_1|444444,2331777:2331796|offset_28|444444,2331814:2331833|offset_65|444444,2331852:2331871|offset_103|00cc00&amp;v=2331549:2332071&amp;c=444444", "offset 103")</f>
        <v>offset 103</v>
      </c>
    </row>
    <row r="8255" customFormat="false" ht="12.8" hidden="false" customHeight="false" outlineLevel="0" collapsed="false">
      <c r="A8255" s="0" t="s">
        <v>12</v>
      </c>
      <c r="B8255" s="0" t="n">
        <v>2332669</v>
      </c>
      <c r="C8255" s="0" t="n">
        <v>2332689</v>
      </c>
      <c r="D8255" s="0" t="s">
        <v>27579</v>
      </c>
      <c r="E8255" s="0" t="s">
        <v>89</v>
      </c>
      <c r="F8255" s="0" t="s">
        <v>15</v>
      </c>
      <c r="G8255" s="0" t="s">
        <v>36</v>
      </c>
      <c r="H8255" s="0" t="n">
        <v>7</v>
      </c>
      <c r="I8255" s="0" t="s">
        <v>27580</v>
      </c>
      <c r="J8255" s="0" t="s">
        <v>27581</v>
      </c>
      <c r="K8255" s="0" t="s">
        <v>27582</v>
      </c>
      <c r="L8255" s="0" t="str">
        <f aca="false">HYPERLINK("https://www.ncbi.nlm.nih.gov/nuccore/CP000304.1?report=graph&amp;tracks=[key:gene_model_track,Options:GeneOnly]&amp;mk=2332670:2332689|offset_7|00cc00,2332700:2332719|offset_37|444444,2332721:2332740|offset_58|444444,2332746:2332765|offset_83|444444&amp;v=2332469:2332965&amp;c=444444", "offset 7")</f>
        <v>offset 7</v>
      </c>
    </row>
    <row r="8256" customFormat="false" ht="12.8" hidden="false" customHeight="false" outlineLevel="0" collapsed="false">
      <c r="A8256" s="0" t="s">
        <v>12</v>
      </c>
      <c r="B8256" s="0" t="n">
        <v>2332699</v>
      </c>
      <c r="C8256" s="0" t="n">
        <v>2332719</v>
      </c>
      <c r="D8256" s="0" t="s">
        <v>27579</v>
      </c>
      <c r="E8256" s="0" t="s">
        <v>89</v>
      </c>
      <c r="F8256" s="0" t="s">
        <v>15</v>
      </c>
      <c r="G8256" s="0" t="s">
        <v>16</v>
      </c>
      <c r="H8256" s="0" t="n">
        <v>37</v>
      </c>
      <c r="I8256" s="0" t="s">
        <v>27583</v>
      </c>
      <c r="J8256" s="0" t="s">
        <v>27584</v>
      </c>
      <c r="K8256" s="0" t="s">
        <v>27585</v>
      </c>
      <c r="L8256" s="0" t="str">
        <f aca="false">HYPERLINK("https://www.ncbi.nlm.nih.gov/nuccore/CP000304.1?report=graph&amp;tracks=[key:gene_model_track,Options:GeneOnly]&amp;mk=2332670:2332689|offset_7|444444,2332700:2332719|offset_37|00cc00,2332721:2332740|offset_58|444444,2332746:2332765|offset_83|444444&amp;v=2332469:2332965&amp;c=444444", "offset 37")</f>
        <v>offset 37</v>
      </c>
    </row>
    <row r="8257" customFormat="false" ht="12.8" hidden="false" customHeight="false" outlineLevel="0" collapsed="false">
      <c r="A8257" s="0" t="s">
        <v>12</v>
      </c>
      <c r="B8257" s="0" t="n">
        <v>2332720</v>
      </c>
      <c r="C8257" s="0" t="n">
        <v>2332740</v>
      </c>
      <c r="D8257" s="0" t="s">
        <v>27579</v>
      </c>
      <c r="E8257" s="0" t="s">
        <v>89</v>
      </c>
      <c r="F8257" s="0" t="s">
        <v>15</v>
      </c>
      <c r="G8257" s="0" t="s">
        <v>32</v>
      </c>
      <c r="H8257" s="0" t="n">
        <v>58</v>
      </c>
      <c r="I8257" s="0" t="s">
        <v>27586</v>
      </c>
      <c r="J8257" s="0" t="s">
        <v>27587</v>
      </c>
      <c r="K8257" s="0" t="s">
        <v>27588</v>
      </c>
      <c r="L8257" s="0" t="str">
        <f aca="false">HYPERLINK("https://www.ncbi.nlm.nih.gov/nuccore/CP000304.1?report=graph&amp;tracks=[key:gene_model_track,Options:GeneOnly]&amp;mk=2332670:2332689|offset_7|444444,2332700:2332719|offset_37|444444,2332721:2332740|offset_58|00cc00,2332746:2332765|offset_83|444444&amp;v=2332469:2332965&amp;c=444444", "offset 58")</f>
        <v>offset 58</v>
      </c>
    </row>
    <row r="8258" customFormat="false" ht="12.8" hidden="false" customHeight="false" outlineLevel="0" collapsed="false">
      <c r="A8258" s="0" t="s">
        <v>12</v>
      </c>
      <c r="B8258" s="0" t="n">
        <v>2332745</v>
      </c>
      <c r="C8258" s="0" t="n">
        <v>2332765</v>
      </c>
      <c r="D8258" s="0" t="s">
        <v>27579</v>
      </c>
      <c r="E8258" s="0" t="s">
        <v>89</v>
      </c>
      <c r="F8258" s="0" t="s">
        <v>15</v>
      </c>
      <c r="G8258" s="0" t="s">
        <v>26</v>
      </c>
      <c r="H8258" s="0" t="n">
        <v>83</v>
      </c>
      <c r="I8258" s="0" t="s">
        <v>27589</v>
      </c>
      <c r="J8258" s="0" t="s">
        <v>27590</v>
      </c>
      <c r="K8258" s="0" t="s">
        <v>27591</v>
      </c>
      <c r="L8258" s="0" t="str">
        <f aca="false">HYPERLINK("https://www.ncbi.nlm.nih.gov/nuccore/CP000304.1?report=graph&amp;tracks=[key:gene_model_track,Options:GeneOnly]&amp;mk=2332670:2332689|offset_7|444444,2332700:2332719|offset_37|444444,2332721:2332740|offset_58|444444,2332746:2332765|offset_83|00cc00&amp;v=2332469:2332965&amp;c=444444", "offset 83")</f>
        <v>offset 83</v>
      </c>
    </row>
    <row r="8259" customFormat="false" ht="12.8" hidden="false" customHeight="false" outlineLevel="0" collapsed="false">
      <c r="A8259" s="0" t="s">
        <v>12</v>
      </c>
      <c r="B8259" s="0" t="n">
        <v>2333473</v>
      </c>
      <c r="C8259" s="0" t="n">
        <v>2333493</v>
      </c>
      <c r="D8259" s="0" t="s">
        <v>27592</v>
      </c>
      <c r="E8259" s="0" t="s">
        <v>89</v>
      </c>
      <c r="F8259" s="0" t="s">
        <v>15</v>
      </c>
      <c r="G8259" s="0" t="s">
        <v>32</v>
      </c>
      <c r="H8259" s="0" t="n">
        <v>11</v>
      </c>
      <c r="I8259" s="0" t="s">
        <v>27593</v>
      </c>
      <c r="J8259" s="0" t="s">
        <v>27594</v>
      </c>
      <c r="K8259" s="0" t="s">
        <v>27595</v>
      </c>
      <c r="L8259" s="0" t="str">
        <f aca="false">HYPERLINK("https://www.ncbi.nlm.nih.gov/nuccore/CP000304.1?report=graph&amp;tracks=[key:gene_model_track,Options:GeneOnly]&amp;mk=2333474:2333493|offset_11|00cc00,2333495:2333514|offset_32|444444,2333529:2333548|offset_66|444444,2333551:2333570|offset_88|444444&amp;v=2333273:2333770&amp;c=444444", "offset 11")</f>
        <v>offset 11</v>
      </c>
    </row>
    <row r="8260" customFormat="false" ht="12.8" hidden="false" customHeight="false" outlineLevel="0" collapsed="false">
      <c r="A8260" s="0" t="s">
        <v>12</v>
      </c>
      <c r="B8260" s="0" t="n">
        <v>2333494</v>
      </c>
      <c r="C8260" s="0" t="n">
        <v>2333514</v>
      </c>
      <c r="D8260" s="0" t="s">
        <v>27592</v>
      </c>
      <c r="E8260" s="0" t="s">
        <v>89</v>
      </c>
      <c r="F8260" s="0" t="s">
        <v>15</v>
      </c>
      <c r="G8260" s="0" t="s">
        <v>26</v>
      </c>
      <c r="H8260" s="0" t="n">
        <v>32</v>
      </c>
      <c r="I8260" s="0" t="s">
        <v>27596</v>
      </c>
      <c r="J8260" s="0" t="s">
        <v>27597</v>
      </c>
      <c r="K8260" s="0" t="s">
        <v>27598</v>
      </c>
      <c r="L8260" s="0" t="str">
        <f aca="false">HYPERLINK("https://www.ncbi.nlm.nih.gov/nuccore/CP000304.1?report=graph&amp;tracks=[key:gene_model_track,Options:GeneOnly]&amp;mk=2333474:2333493|offset_11|444444,2333495:2333514|offset_32|00cc00,2333529:2333548|offset_66|444444,2333551:2333570|offset_88|444444&amp;v=2333273:2333770&amp;c=444444", "offset 32")</f>
        <v>offset 32</v>
      </c>
    </row>
    <row r="8261" customFormat="false" ht="12.8" hidden="false" customHeight="false" outlineLevel="0" collapsed="false">
      <c r="A8261" s="0" t="s">
        <v>12</v>
      </c>
      <c r="B8261" s="0" t="n">
        <v>2333528</v>
      </c>
      <c r="C8261" s="0" t="n">
        <v>2333548</v>
      </c>
      <c r="D8261" s="0" t="s">
        <v>27592</v>
      </c>
      <c r="E8261" s="0" t="s">
        <v>89</v>
      </c>
      <c r="F8261" s="0" t="s">
        <v>15</v>
      </c>
      <c r="G8261" s="0" t="s">
        <v>26</v>
      </c>
      <c r="H8261" s="0" t="n">
        <v>66</v>
      </c>
      <c r="I8261" s="0" t="s">
        <v>27599</v>
      </c>
      <c r="J8261" s="0" t="s">
        <v>27600</v>
      </c>
      <c r="K8261" s="0" t="s">
        <v>27601</v>
      </c>
      <c r="L8261" s="0" t="str">
        <f aca="false">HYPERLINK("https://www.ncbi.nlm.nih.gov/nuccore/CP000304.1?report=graph&amp;tracks=[key:gene_model_track,Options:GeneOnly]&amp;mk=2333474:2333493|offset_11|444444,2333495:2333514|offset_32|444444,2333529:2333548|offset_66|00cc00,2333551:2333570|offset_88|444444&amp;v=2333273:2333770&amp;c=444444", "offset 66")</f>
        <v>offset 66</v>
      </c>
    </row>
    <row r="8262" customFormat="false" ht="12.8" hidden="false" customHeight="false" outlineLevel="0" collapsed="false">
      <c r="A8262" s="0" t="s">
        <v>12</v>
      </c>
      <c r="B8262" s="0" t="n">
        <v>2333550</v>
      </c>
      <c r="C8262" s="0" t="n">
        <v>2333570</v>
      </c>
      <c r="D8262" s="0" t="s">
        <v>27592</v>
      </c>
      <c r="E8262" s="0" t="s">
        <v>89</v>
      </c>
      <c r="F8262" s="0" t="s">
        <v>15</v>
      </c>
      <c r="G8262" s="0" t="s">
        <v>36</v>
      </c>
      <c r="H8262" s="0" t="n">
        <v>88</v>
      </c>
      <c r="I8262" s="0" t="s">
        <v>27602</v>
      </c>
      <c r="J8262" s="0" t="s">
        <v>27603</v>
      </c>
      <c r="K8262" s="0" t="s">
        <v>27604</v>
      </c>
      <c r="L8262" s="0" t="str">
        <f aca="false">HYPERLINK("https://www.ncbi.nlm.nih.gov/nuccore/CP000304.1?report=graph&amp;tracks=[key:gene_model_track,Options:GeneOnly]&amp;mk=2333474:2333493|offset_11|444444,2333495:2333514|offset_32|444444,2333529:2333548|offset_66|444444,2333551:2333570|offset_88|00cc00&amp;v=2333273:2333770&amp;c=444444", "offset 88")</f>
        <v>offset 88</v>
      </c>
    </row>
    <row r="8263" customFormat="false" ht="12.8" hidden="false" customHeight="false" outlineLevel="0" collapsed="false">
      <c r="A8263" s="0" t="s">
        <v>12</v>
      </c>
      <c r="B8263" s="0" t="n">
        <v>2334963</v>
      </c>
      <c r="C8263" s="0" t="n">
        <v>2334983</v>
      </c>
      <c r="D8263" s="0" t="s">
        <v>27605</v>
      </c>
      <c r="E8263" s="0" t="s">
        <v>89</v>
      </c>
      <c r="F8263" s="0" t="s">
        <v>15</v>
      </c>
      <c r="G8263" s="0" t="s">
        <v>32</v>
      </c>
      <c r="H8263" s="0" t="n">
        <v>77</v>
      </c>
      <c r="I8263" s="0" t="s">
        <v>27606</v>
      </c>
      <c r="J8263" s="0" t="s">
        <v>27607</v>
      </c>
      <c r="K8263" s="0" t="s">
        <v>27608</v>
      </c>
      <c r="L8263" s="0" t="str">
        <f aca="false">HYPERLINK("https://www.ncbi.nlm.nih.gov/nuccore/CP000304.1?report=graph&amp;tracks=[key:gene_model_track,Options:GeneOnly]&amp;mk=2334964:2334983|offset_77|00cc00,2334988:2335007|offset_101|444444,2335014:2335033|offset_127|444444,2335035:2335054|offset_148|444444&amp;v=2334763:2335254&amp;c=444444", "offset 77")</f>
        <v>offset 77</v>
      </c>
    </row>
    <row r="8264" customFormat="false" ht="12.8" hidden="false" customHeight="false" outlineLevel="0" collapsed="false">
      <c r="A8264" s="0" t="s">
        <v>12</v>
      </c>
      <c r="B8264" s="0" t="n">
        <v>2334987</v>
      </c>
      <c r="C8264" s="0" t="n">
        <v>2335007</v>
      </c>
      <c r="D8264" s="0" t="s">
        <v>27605</v>
      </c>
      <c r="E8264" s="0" t="s">
        <v>89</v>
      </c>
      <c r="F8264" s="0" t="s">
        <v>15</v>
      </c>
      <c r="G8264" s="0" t="s">
        <v>26</v>
      </c>
      <c r="H8264" s="0" t="n">
        <v>101</v>
      </c>
      <c r="I8264" s="0" t="s">
        <v>27609</v>
      </c>
      <c r="J8264" s="0" t="s">
        <v>27610</v>
      </c>
      <c r="K8264" s="0" t="s">
        <v>27611</v>
      </c>
      <c r="L8264" s="0" t="str">
        <f aca="false">HYPERLINK("https://www.ncbi.nlm.nih.gov/nuccore/CP000304.1?report=graph&amp;tracks=[key:gene_model_track,Options:GeneOnly]&amp;mk=2334964:2334983|offset_77|444444,2334988:2335007|offset_101|00cc00,2335014:2335033|offset_127|444444,2335035:2335054|offset_148|444444&amp;v=2334763:2335254&amp;c=444444", "offset 101")</f>
        <v>offset 101</v>
      </c>
    </row>
    <row r="8265" customFormat="false" ht="12.8" hidden="false" customHeight="false" outlineLevel="0" collapsed="false">
      <c r="A8265" s="0" t="s">
        <v>12</v>
      </c>
      <c r="B8265" s="0" t="n">
        <v>2335013</v>
      </c>
      <c r="C8265" s="0" t="n">
        <v>2335033</v>
      </c>
      <c r="D8265" s="0" t="s">
        <v>27605</v>
      </c>
      <c r="E8265" s="0" t="s">
        <v>89</v>
      </c>
      <c r="F8265" s="0" t="s">
        <v>15</v>
      </c>
      <c r="G8265" s="0" t="s">
        <v>26</v>
      </c>
      <c r="H8265" s="0" t="n">
        <v>127</v>
      </c>
      <c r="I8265" s="0" t="s">
        <v>27612</v>
      </c>
      <c r="J8265" s="0" t="s">
        <v>27613</v>
      </c>
      <c r="K8265" s="0" t="s">
        <v>27614</v>
      </c>
      <c r="L8265" s="0" t="str">
        <f aca="false">HYPERLINK("https://www.ncbi.nlm.nih.gov/nuccore/CP000304.1?report=graph&amp;tracks=[key:gene_model_track,Options:GeneOnly]&amp;mk=2334964:2334983|offset_77|444444,2334988:2335007|offset_101|444444,2335014:2335033|offset_127|00cc00,2335035:2335054|offset_148|444444&amp;v=2334763:2335254&amp;c=444444", "offset 127")</f>
        <v>offset 127</v>
      </c>
    </row>
    <row r="8266" customFormat="false" ht="12.8" hidden="false" customHeight="false" outlineLevel="0" collapsed="false">
      <c r="A8266" s="0" t="s">
        <v>12</v>
      </c>
      <c r="B8266" s="0" t="n">
        <v>2335034</v>
      </c>
      <c r="C8266" s="0" t="n">
        <v>2335054</v>
      </c>
      <c r="D8266" s="0" t="s">
        <v>27605</v>
      </c>
      <c r="E8266" s="0" t="s">
        <v>89</v>
      </c>
      <c r="F8266" s="0" t="s">
        <v>15</v>
      </c>
      <c r="G8266" s="0" t="s">
        <v>26</v>
      </c>
      <c r="H8266" s="0" t="n">
        <v>148</v>
      </c>
      <c r="I8266" s="0" t="s">
        <v>27615</v>
      </c>
      <c r="J8266" s="0" t="s">
        <v>27616</v>
      </c>
      <c r="K8266" s="0" t="s">
        <v>27617</v>
      </c>
      <c r="L8266" s="0" t="str">
        <f aca="false">HYPERLINK("https://www.ncbi.nlm.nih.gov/nuccore/CP000304.1?report=graph&amp;tracks=[key:gene_model_track,Options:GeneOnly]&amp;mk=2334964:2334983|offset_77|444444,2334988:2335007|offset_101|444444,2335014:2335033|offset_127|444444,2335035:2335054|offset_148|00cc00&amp;v=2334763:2335254&amp;c=444444", "offset 148")</f>
        <v>offset 148</v>
      </c>
    </row>
    <row r="8267" customFormat="false" ht="12.8" hidden="false" customHeight="false" outlineLevel="0" collapsed="false">
      <c r="A8267" s="0" t="s">
        <v>12</v>
      </c>
      <c r="B8267" s="0" t="n">
        <v>2338043</v>
      </c>
      <c r="C8267" s="0" t="n">
        <v>2338063</v>
      </c>
      <c r="D8267" s="0" t="s">
        <v>27618</v>
      </c>
      <c r="E8267" s="0" t="s">
        <v>27619</v>
      </c>
      <c r="F8267" s="0" t="s">
        <v>90</v>
      </c>
      <c r="G8267" s="0" t="s">
        <v>36</v>
      </c>
      <c r="H8267" s="0" t="n">
        <v>179</v>
      </c>
      <c r="I8267" s="0" t="s">
        <v>27620</v>
      </c>
      <c r="J8267" s="0" t="s">
        <v>27621</v>
      </c>
      <c r="K8267" s="0" t="s">
        <v>27622</v>
      </c>
      <c r="L8267" s="0" t="str">
        <f aca="false">HYPERLINK("https://www.ncbi.nlm.nih.gov/nuccore/CP000304.1?report=graph&amp;tracks=[key:gene_model_track,Options:GeneOnly]&amp;mk=2338044:2338063|offset_179|00cc00,2338018:2338037|offset_205|444444,2337988:2338007|offset_235|444444,2337962:2337981|offset_261|444444&amp;v=2337843:2338181&amp;c=444444", "offset 179")</f>
        <v>offset 179</v>
      </c>
    </row>
    <row r="8268" customFormat="false" ht="12.8" hidden="false" customHeight="false" outlineLevel="0" collapsed="false">
      <c r="A8268" s="0" t="s">
        <v>12</v>
      </c>
      <c r="B8268" s="0" t="n">
        <v>2338017</v>
      </c>
      <c r="C8268" s="0" t="n">
        <v>2338037</v>
      </c>
      <c r="D8268" s="0" t="s">
        <v>27618</v>
      </c>
      <c r="E8268" s="0" t="s">
        <v>27619</v>
      </c>
      <c r="F8268" s="0" t="s">
        <v>90</v>
      </c>
      <c r="G8268" s="0" t="s">
        <v>36</v>
      </c>
      <c r="H8268" s="0" t="n">
        <v>205</v>
      </c>
      <c r="I8268" s="0" t="s">
        <v>27623</v>
      </c>
      <c r="J8268" s="0" t="s">
        <v>27624</v>
      </c>
      <c r="K8268" s="0" t="s">
        <v>27625</v>
      </c>
      <c r="L8268" s="0" t="str">
        <f aca="false">HYPERLINK("https://www.ncbi.nlm.nih.gov/nuccore/CP000304.1?report=graph&amp;tracks=[key:gene_model_track,Options:GeneOnly]&amp;mk=2338044:2338063|offset_179|444444,2338018:2338037|offset_205|00cc00,2337988:2338007|offset_235|444444,2337962:2337981|offset_261|444444&amp;v=2337843:2338181&amp;c=444444", "offset 205")</f>
        <v>offset 205</v>
      </c>
    </row>
    <row r="8269" customFormat="false" ht="12.8" hidden="false" customHeight="false" outlineLevel="0" collapsed="false">
      <c r="A8269" s="0" t="s">
        <v>12</v>
      </c>
      <c r="B8269" s="0" t="n">
        <v>2337987</v>
      </c>
      <c r="C8269" s="0" t="n">
        <v>2338007</v>
      </c>
      <c r="D8269" s="0" t="s">
        <v>27618</v>
      </c>
      <c r="E8269" s="0" t="s">
        <v>27619</v>
      </c>
      <c r="F8269" s="0" t="s">
        <v>90</v>
      </c>
      <c r="G8269" s="0" t="s">
        <v>36</v>
      </c>
      <c r="H8269" s="0" t="n">
        <v>235</v>
      </c>
      <c r="I8269" s="0" t="s">
        <v>27626</v>
      </c>
      <c r="J8269" s="0" t="s">
        <v>27627</v>
      </c>
      <c r="K8269" s="0" t="s">
        <v>27628</v>
      </c>
      <c r="L8269" s="0" t="str">
        <f aca="false">HYPERLINK("https://www.ncbi.nlm.nih.gov/nuccore/CP000304.1?report=graph&amp;tracks=[key:gene_model_track,Options:GeneOnly]&amp;mk=2338044:2338063|offset_179|444444,2338018:2338037|offset_205|444444,2337988:2338007|offset_235|00cc00,2337962:2337981|offset_261|444444&amp;v=2337843:2338181&amp;c=444444", "offset 235")</f>
        <v>offset 235</v>
      </c>
    </row>
    <row r="8270" customFormat="false" ht="12.8" hidden="false" customHeight="false" outlineLevel="0" collapsed="false">
      <c r="A8270" s="0" t="s">
        <v>12</v>
      </c>
      <c r="B8270" s="0" t="n">
        <v>2337961</v>
      </c>
      <c r="C8270" s="0" t="n">
        <v>2337981</v>
      </c>
      <c r="D8270" s="0" t="s">
        <v>27618</v>
      </c>
      <c r="E8270" s="0" t="s">
        <v>27619</v>
      </c>
      <c r="F8270" s="0" t="s">
        <v>90</v>
      </c>
      <c r="G8270" s="0" t="s">
        <v>36</v>
      </c>
      <c r="H8270" s="0" t="n">
        <v>261</v>
      </c>
      <c r="I8270" s="0" t="s">
        <v>27629</v>
      </c>
      <c r="J8270" s="0" t="s">
        <v>27630</v>
      </c>
      <c r="K8270" s="0" t="s">
        <v>27631</v>
      </c>
      <c r="L8270" s="0" t="str">
        <f aca="false">HYPERLINK("https://www.ncbi.nlm.nih.gov/nuccore/CP000304.1?report=graph&amp;tracks=[key:gene_model_track,Options:GeneOnly]&amp;mk=2338044:2338063|offset_179|444444,2338018:2338037|offset_205|444444,2337988:2338007|offset_235|444444,2337962:2337981|offset_261|00cc00&amp;v=2337843:2338181&amp;c=444444", "offset 261")</f>
        <v>offset 261</v>
      </c>
    </row>
    <row r="8271" customFormat="false" ht="12.8" hidden="false" customHeight="false" outlineLevel="0" collapsed="false">
      <c r="A8271" s="0" t="s">
        <v>12</v>
      </c>
      <c r="B8271" s="0" t="n">
        <v>2341305</v>
      </c>
      <c r="C8271" s="0" t="n">
        <v>2341325</v>
      </c>
      <c r="D8271" s="0" t="s">
        <v>27632</v>
      </c>
      <c r="E8271" s="0" t="s">
        <v>89</v>
      </c>
      <c r="F8271" s="0" t="s">
        <v>90</v>
      </c>
      <c r="G8271" s="0" t="s">
        <v>32</v>
      </c>
      <c r="H8271" s="0" t="n">
        <v>8</v>
      </c>
      <c r="I8271" s="0" t="s">
        <v>27633</v>
      </c>
      <c r="J8271" s="0" t="s">
        <v>27634</v>
      </c>
      <c r="K8271" s="0" t="s">
        <v>27635</v>
      </c>
      <c r="L8271" s="0" t="str">
        <f aca="false">HYPERLINK("https://www.ncbi.nlm.nih.gov/nuccore/CP000304.1?report=graph&amp;tracks=[key:gene_model_track,Options:GeneOnly]&amp;mk=2341306:2341325|offset_8|00cc00,2341277:2341296|offset_37|444444,2341220:2341239|offset_94|444444,2341188:2341207|offset_126|444444&amp;v=2341105:2341407&amp;c=444444", "offset 8")</f>
        <v>offset 8</v>
      </c>
    </row>
    <row r="8272" customFormat="false" ht="12.8" hidden="false" customHeight="false" outlineLevel="0" collapsed="false">
      <c r="A8272" s="0" t="s">
        <v>12</v>
      </c>
      <c r="B8272" s="0" t="n">
        <v>2341276</v>
      </c>
      <c r="C8272" s="0" t="n">
        <v>2341296</v>
      </c>
      <c r="D8272" s="0" t="s">
        <v>27632</v>
      </c>
      <c r="E8272" s="0" t="s">
        <v>89</v>
      </c>
      <c r="F8272" s="0" t="s">
        <v>90</v>
      </c>
      <c r="G8272" s="0" t="s">
        <v>32</v>
      </c>
      <c r="H8272" s="0" t="n">
        <v>37</v>
      </c>
      <c r="I8272" s="0" t="s">
        <v>27636</v>
      </c>
      <c r="J8272" s="0" t="s">
        <v>27637</v>
      </c>
      <c r="K8272" s="0" t="s">
        <v>27638</v>
      </c>
      <c r="L8272" s="0" t="str">
        <f aca="false">HYPERLINK("https://www.ncbi.nlm.nih.gov/nuccore/CP000304.1?report=graph&amp;tracks=[key:gene_model_track,Options:GeneOnly]&amp;mk=2341306:2341325|offset_8|444444,2341277:2341296|offset_37|00cc00,2341220:2341239|offset_94|444444,2341188:2341207|offset_126|444444&amp;v=2341105:2341407&amp;c=444444", "offset 37")</f>
        <v>offset 37</v>
      </c>
    </row>
    <row r="8273" customFormat="false" ht="12.8" hidden="false" customHeight="false" outlineLevel="0" collapsed="false">
      <c r="A8273" s="0" t="s">
        <v>12</v>
      </c>
      <c r="B8273" s="0" t="n">
        <v>2341219</v>
      </c>
      <c r="C8273" s="0" t="n">
        <v>2341239</v>
      </c>
      <c r="D8273" s="0" t="s">
        <v>27632</v>
      </c>
      <c r="E8273" s="0" t="s">
        <v>89</v>
      </c>
      <c r="F8273" s="0" t="s">
        <v>90</v>
      </c>
      <c r="G8273" s="0" t="s">
        <v>16</v>
      </c>
      <c r="H8273" s="0" t="n">
        <v>94</v>
      </c>
      <c r="I8273" s="0" t="s">
        <v>27639</v>
      </c>
      <c r="J8273" s="0" t="s">
        <v>27640</v>
      </c>
      <c r="K8273" s="0" t="s">
        <v>27641</v>
      </c>
      <c r="L8273" s="0" t="str">
        <f aca="false">HYPERLINK("https://www.ncbi.nlm.nih.gov/nuccore/CP000304.1?report=graph&amp;tracks=[key:gene_model_track,Options:GeneOnly]&amp;mk=2341306:2341325|offset_8|444444,2341277:2341296|offset_37|444444,2341220:2341239|offset_94|00cc00,2341188:2341207|offset_126|444444&amp;v=2341105:2341407&amp;c=444444", "offset 94")</f>
        <v>offset 94</v>
      </c>
    </row>
    <row r="8274" customFormat="false" ht="12.8" hidden="false" customHeight="false" outlineLevel="0" collapsed="false">
      <c r="A8274" s="0" t="s">
        <v>12</v>
      </c>
      <c r="B8274" s="0" t="n">
        <v>2341187</v>
      </c>
      <c r="C8274" s="0" t="n">
        <v>2341207</v>
      </c>
      <c r="D8274" s="0" t="s">
        <v>27632</v>
      </c>
      <c r="E8274" s="0" t="s">
        <v>89</v>
      </c>
      <c r="F8274" s="0" t="s">
        <v>90</v>
      </c>
      <c r="G8274" s="0" t="s">
        <v>16</v>
      </c>
      <c r="H8274" s="0" t="n">
        <v>126</v>
      </c>
      <c r="I8274" s="0" t="s">
        <v>27642</v>
      </c>
      <c r="J8274" s="0" t="s">
        <v>27643</v>
      </c>
      <c r="K8274" s="0" t="s">
        <v>27644</v>
      </c>
      <c r="L8274" s="0" t="str">
        <f aca="false">HYPERLINK("https://www.ncbi.nlm.nih.gov/nuccore/CP000304.1?report=graph&amp;tracks=[key:gene_model_track,Options:GeneOnly]&amp;mk=2341306:2341325|offset_8|444444,2341277:2341296|offset_37|444444,2341220:2341239|offset_94|444444,2341188:2341207|offset_126|00cc00&amp;v=2341105:2341407&amp;c=444444", "offset 126")</f>
        <v>offset 126</v>
      </c>
    </row>
    <row r="8275" customFormat="false" ht="12.8" hidden="false" customHeight="false" outlineLevel="0" collapsed="false">
      <c r="A8275" s="0" t="s">
        <v>12</v>
      </c>
      <c r="B8275" s="0" t="n">
        <v>2343505</v>
      </c>
      <c r="C8275" s="0" t="n">
        <v>2343525</v>
      </c>
      <c r="D8275" s="0" t="s">
        <v>27645</v>
      </c>
      <c r="E8275" s="0" t="s">
        <v>89</v>
      </c>
      <c r="F8275" s="0" t="s">
        <v>90</v>
      </c>
      <c r="G8275" s="0" t="s">
        <v>36</v>
      </c>
      <c r="H8275" s="0" t="n">
        <v>18</v>
      </c>
      <c r="I8275" s="0" t="s">
        <v>27646</v>
      </c>
      <c r="J8275" s="0" t="s">
        <v>27647</v>
      </c>
      <c r="K8275" s="0" t="s">
        <v>27648</v>
      </c>
      <c r="L8275" s="0" t="str">
        <f aca="false">HYPERLINK("https://www.ncbi.nlm.nih.gov/nuccore/CP000304.1?report=graph&amp;tracks=[key:gene_model_track,Options:GeneOnly]&amp;mk=2343506:2343525|offset_18|00cc00,2343472:2343491|offset_52|444444,2343451:2343470|offset_73|444444,2343409:2343428|offset_115|444444&amp;v=2343305:2343628&amp;c=444444", "offset 18")</f>
        <v>offset 18</v>
      </c>
    </row>
    <row r="8276" customFormat="false" ht="12.8" hidden="false" customHeight="false" outlineLevel="0" collapsed="false">
      <c r="A8276" s="0" t="s">
        <v>12</v>
      </c>
      <c r="B8276" s="0" t="n">
        <v>2343471</v>
      </c>
      <c r="C8276" s="0" t="n">
        <v>2343491</v>
      </c>
      <c r="D8276" s="0" t="s">
        <v>27645</v>
      </c>
      <c r="E8276" s="0" t="s">
        <v>89</v>
      </c>
      <c r="F8276" s="0" t="s">
        <v>90</v>
      </c>
      <c r="G8276" s="0" t="s">
        <v>26</v>
      </c>
      <c r="H8276" s="0" t="n">
        <v>52</v>
      </c>
      <c r="I8276" s="0" t="s">
        <v>27649</v>
      </c>
      <c r="J8276" s="0" t="s">
        <v>27650</v>
      </c>
      <c r="K8276" s="0" t="s">
        <v>27651</v>
      </c>
      <c r="L8276" s="0" t="str">
        <f aca="false">HYPERLINK("https://www.ncbi.nlm.nih.gov/nuccore/CP000304.1?report=graph&amp;tracks=[key:gene_model_track,Options:GeneOnly]&amp;mk=2343506:2343525|offset_18|444444,2343472:2343491|offset_52|00cc00,2343451:2343470|offset_73|444444,2343409:2343428|offset_115|444444&amp;v=2343305:2343628&amp;c=444444", "offset 52")</f>
        <v>offset 52</v>
      </c>
    </row>
    <row r="8277" customFormat="false" ht="12.8" hidden="false" customHeight="false" outlineLevel="0" collapsed="false">
      <c r="A8277" s="0" t="s">
        <v>12</v>
      </c>
      <c r="B8277" s="0" t="n">
        <v>2343450</v>
      </c>
      <c r="C8277" s="0" t="n">
        <v>2343470</v>
      </c>
      <c r="D8277" s="0" t="s">
        <v>27645</v>
      </c>
      <c r="E8277" s="0" t="s">
        <v>89</v>
      </c>
      <c r="F8277" s="0" t="s">
        <v>90</v>
      </c>
      <c r="G8277" s="0" t="s">
        <v>32</v>
      </c>
      <c r="H8277" s="0" t="n">
        <v>73</v>
      </c>
      <c r="I8277" s="0" t="s">
        <v>27652</v>
      </c>
      <c r="J8277" s="0" t="s">
        <v>27653</v>
      </c>
      <c r="K8277" s="0" t="s">
        <v>27654</v>
      </c>
      <c r="L8277" s="0" t="str">
        <f aca="false">HYPERLINK("https://www.ncbi.nlm.nih.gov/nuccore/CP000304.1?report=graph&amp;tracks=[key:gene_model_track,Options:GeneOnly]&amp;mk=2343506:2343525|offset_18|444444,2343472:2343491|offset_52|444444,2343451:2343470|offset_73|00cc00,2343409:2343428|offset_115|444444&amp;v=2343305:2343628&amp;c=444444", "offset 73")</f>
        <v>offset 73</v>
      </c>
    </row>
    <row r="8278" customFormat="false" ht="12.8" hidden="false" customHeight="false" outlineLevel="0" collapsed="false">
      <c r="A8278" s="0" t="s">
        <v>12</v>
      </c>
      <c r="B8278" s="0" t="n">
        <v>2343408</v>
      </c>
      <c r="C8278" s="0" t="n">
        <v>2343428</v>
      </c>
      <c r="D8278" s="0" t="s">
        <v>27645</v>
      </c>
      <c r="E8278" s="0" t="s">
        <v>89</v>
      </c>
      <c r="F8278" s="0" t="s">
        <v>90</v>
      </c>
      <c r="G8278" s="0" t="s">
        <v>16</v>
      </c>
      <c r="H8278" s="0" t="n">
        <v>115</v>
      </c>
      <c r="I8278" s="0" t="s">
        <v>27655</v>
      </c>
      <c r="J8278" s="0" t="s">
        <v>27656</v>
      </c>
      <c r="K8278" s="0" t="s">
        <v>27657</v>
      </c>
      <c r="L8278" s="0" t="str">
        <f aca="false">HYPERLINK("https://www.ncbi.nlm.nih.gov/nuccore/CP000304.1?report=graph&amp;tracks=[key:gene_model_track,Options:GeneOnly]&amp;mk=2343506:2343525|offset_18|444444,2343472:2343491|offset_52|444444,2343451:2343470|offset_73|444444,2343409:2343428|offset_115|00cc00&amp;v=2343305:2343628&amp;c=444444", "offset 115")</f>
        <v>offset 115</v>
      </c>
    </row>
    <row r="8279" customFormat="false" ht="12.8" hidden="false" customHeight="false" outlineLevel="0" collapsed="false">
      <c r="A8279" s="0" t="s">
        <v>12</v>
      </c>
      <c r="B8279" s="0" t="n">
        <v>2343580</v>
      </c>
      <c r="C8279" s="0" t="n">
        <v>2343600</v>
      </c>
      <c r="D8279" s="0" t="s">
        <v>27658</v>
      </c>
      <c r="E8279" s="0" t="s">
        <v>89</v>
      </c>
      <c r="F8279" s="0" t="s">
        <v>15</v>
      </c>
      <c r="G8279" s="0" t="s">
        <v>36</v>
      </c>
      <c r="H8279" s="0" t="n">
        <v>6</v>
      </c>
      <c r="I8279" s="0" t="s">
        <v>27659</v>
      </c>
      <c r="J8279" s="0" t="s">
        <v>27660</v>
      </c>
      <c r="K8279" s="0" t="s">
        <v>27661</v>
      </c>
      <c r="L8279" s="0" t="str">
        <f aca="false">HYPERLINK("https://www.ncbi.nlm.nih.gov/nuccore/CP000304.1?report=graph&amp;tracks=[key:gene_model_track,Options:GeneOnly]&amp;mk=2343581:2343600|offset_6|00cc00,2343621:2343640|offset_46|444444,2343658:2343677|offset_83|444444,2343692:2343711|offset_117|444444&amp;v=2343380:2343911&amp;c=444444", "offset 6")</f>
        <v>offset 6</v>
      </c>
    </row>
    <row r="8280" customFormat="false" ht="12.8" hidden="false" customHeight="false" outlineLevel="0" collapsed="false">
      <c r="A8280" s="0" t="s">
        <v>12</v>
      </c>
      <c r="B8280" s="0" t="n">
        <v>2343620</v>
      </c>
      <c r="C8280" s="0" t="n">
        <v>2343640</v>
      </c>
      <c r="D8280" s="0" t="s">
        <v>27658</v>
      </c>
      <c r="E8280" s="0" t="s">
        <v>89</v>
      </c>
      <c r="F8280" s="0" t="s">
        <v>15</v>
      </c>
      <c r="G8280" s="0" t="s">
        <v>16</v>
      </c>
      <c r="H8280" s="0" t="n">
        <v>46</v>
      </c>
      <c r="I8280" s="0" t="s">
        <v>27662</v>
      </c>
      <c r="J8280" s="0" t="s">
        <v>27663</v>
      </c>
      <c r="K8280" s="0" t="s">
        <v>27664</v>
      </c>
      <c r="L8280" s="0" t="str">
        <f aca="false">HYPERLINK("https://www.ncbi.nlm.nih.gov/nuccore/CP000304.1?report=graph&amp;tracks=[key:gene_model_track,Options:GeneOnly]&amp;mk=2343581:2343600|offset_6|444444,2343621:2343640|offset_46|00cc00,2343658:2343677|offset_83|444444,2343692:2343711|offset_117|444444&amp;v=2343380:2343911&amp;c=444444", "offset 46")</f>
        <v>offset 46</v>
      </c>
    </row>
    <row r="8281" customFormat="false" ht="12.8" hidden="false" customHeight="false" outlineLevel="0" collapsed="false">
      <c r="A8281" s="0" t="s">
        <v>12</v>
      </c>
      <c r="B8281" s="0" t="n">
        <v>2343657</v>
      </c>
      <c r="C8281" s="0" t="n">
        <v>2343677</v>
      </c>
      <c r="D8281" s="0" t="s">
        <v>27658</v>
      </c>
      <c r="E8281" s="0" t="s">
        <v>89</v>
      </c>
      <c r="F8281" s="0" t="s">
        <v>15</v>
      </c>
      <c r="G8281" s="0" t="s">
        <v>16</v>
      </c>
      <c r="H8281" s="0" t="n">
        <v>83</v>
      </c>
      <c r="I8281" s="0" t="s">
        <v>27665</v>
      </c>
      <c r="J8281" s="0" t="s">
        <v>27666</v>
      </c>
      <c r="K8281" s="0" t="s">
        <v>27667</v>
      </c>
      <c r="L8281" s="0" t="str">
        <f aca="false">HYPERLINK("https://www.ncbi.nlm.nih.gov/nuccore/CP000304.1?report=graph&amp;tracks=[key:gene_model_track,Options:GeneOnly]&amp;mk=2343581:2343600|offset_6|444444,2343621:2343640|offset_46|444444,2343658:2343677|offset_83|00cc00,2343692:2343711|offset_117|444444&amp;v=2343380:2343911&amp;c=444444", "offset 83")</f>
        <v>offset 83</v>
      </c>
    </row>
    <row r="8282" customFormat="false" ht="12.8" hidden="false" customHeight="false" outlineLevel="0" collapsed="false">
      <c r="A8282" s="0" t="s">
        <v>12</v>
      </c>
      <c r="B8282" s="0" t="n">
        <v>2343691</v>
      </c>
      <c r="C8282" s="0" t="n">
        <v>2343711</v>
      </c>
      <c r="D8282" s="0" t="s">
        <v>27658</v>
      </c>
      <c r="E8282" s="0" t="s">
        <v>89</v>
      </c>
      <c r="F8282" s="0" t="s">
        <v>15</v>
      </c>
      <c r="G8282" s="0" t="s">
        <v>16</v>
      </c>
      <c r="H8282" s="0" t="n">
        <v>117</v>
      </c>
      <c r="I8282" s="0" t="s">
        <v>27668</v>
      </c>
      <c r="J8282" s="0" t="s">
        <v>27669</v>
      </c>
      <c r="K8282" s="0" t="s">
        <v>27670</v>
      </c>
      <c r="L8282" s="0" t="str">
        <f aca="false">HYPERLINK("https://www.ncbi.nlm.nih.gov/nuccore/CP000304.1?report=graph&amp;tracks=[key:gene_model_track,Options:GeneOnly]&amp;mk=2343581:2343600|offset_6|444444,2343621:2343640|offset_46|444444,2343658:2343677|offset_83|444444,2343692:2343711|offset_117|00cc00&amp;v=2343380:2343911&amp;c=444444", "offset 117")</f>
        <v>offset 117</v>
      </c>
    </row>
    <row r="8283" customFormat="false" ht="12.8" hidden="false" customHeight="false" outlineLevel="0" collapsed="false">
      <c r="A8283" s="0" t="s">
        <v>12</v>
      </c>
      <c r="B8283" s="0" t="n">
        <v>2344938</v>
      </c>
      <c r="C8283" s="0" t="n">
        <v>2344958</v>
      </c>
      <c r="D8283" s="0" t="s">
        <v>27671</v>
      </c>
      <c r="E8283" s="0" t="s">
        <v>89</v>
      </c>
      <c r="F8283" s="0" t="s">
        <v>90</v>
      </c>
      <c r="G8283" s="0" t="s">
        <v>36</v>
      </c>
      <c r="H8283" s="0" t="n">
        <v>20</v>
      </c>
      <c r="I8283" s="0" t="s">
        <v>27672</v>
      </c>
      <c r="J8283" s="0" t="s">
        <v>27673</v>
      </c>
      <c r="K8283" s="0" t="s">
        <v>27674</v>
      </c>
      <c r="L8283" s="0" t="str">
        <f aca="false">HYPERLINK("https://www.ncbi.nlm.nih.gov/nuccore/CP000304.1?report=graph&amp;tracks=[key:gene_model_track,Options:GeneOnly]&amp;mk=2344939:2344958|offset_20|00cc00,2344911:2344930|offset_48|444444,2344890:2344909|offset_69|444444,2344867:2344886|offset_92|444444&amp;v=2344738:2345086&amp;c=444444", "offset 20")</f>
        <v>offset 20</v>
      </c>
    </row>
    <row r="8284" customFormat="false" ht="12.8" hidden="false" customHeight="false" outlineLevel="0" collapsed="false">
      <c r="A8284" s="0" t="s">
        <v>12</v>
      </c>
      <c r="B8284" s="0" t="n">
        <v>2344910</v>
      </c>
      <c r="C8284" s="0" t="n">
        <v>2344930</v>
      </c>
      <c r="D8284" s="0" t="s">
        <v>27671</v>
      </c>
      <c r="E8284" s="0" t="s">
        <v>89</v>
      </c>
      <c r="F8284" s="0" t="s">
        <v>90</v>
      </c>
      <c r="G8284" s="0" t="s">
        <v>36</v>
      </c>
      <c r="H8284" s="0" t="n">
        <v>48</v>
      </c>
      <c r="I8284" s="0" t="s">
        <v>27675</v>
      </c>
      <c r="J8284" s="0" t="s">
        <v>27676</v>
      </c>
      <c r="K8284" s="0" t="s">
        <v>27677</v>
      </c>
      <c r="L8284" s="0" t="str">
        <f aca="false">HYPERLINK("https://www.ncbi.nlm.nih.gov/nuccore/CP000304.1?report=graph&amp;tracks=[key:gene_model_track,Options:GeneOnly]&amp;mk=2344939:2344958|offset_20|444444,2344911:2344930|offset_48|00cc00,2344890:2344909|offset_69|444444,2344867:2344886|offset_92|444444&amp;v=2344738:2345086&amp;c=444444", "offset 48")</f>
        <v>offset 48</v>
      </c>
    </row>
    <row r="8285" customFormat="false" ht="12.8" hidden="false" customHeight="false" outlineLevel="0" collapsed="false">
      <c r="A8285" s="0" t="s">
        <v>12</v>
      </c>
      <c r="B8285" s="0" t="n">
        <v>2344889</v>
      </c>
      <c r="C8285" s="0" t="n">
        <v>2344909</v>
      </c>
      <c r="D8285" s="0" t="s">
        <v>27671</v>
      </c>
      <c r="E8285" s="0" t="s">
        <v>89</v>
      </c>
      <c r="F8285" s="0" t="s">
        <v>90</v>
      </c>
      <c r="G8285" s="0" t="s">
        <v>16</v>
      </c>
      <c r="H8285" s="0" t="n">
        <v>69</v>
      </c>
      <c r="I8285" s="0" t="s">
        <v>27678</v>
      </c>
      <c r="J8285" s="0" t="s">
        <v>27679</v>
      </c>
      <c r="K8285" s="0" t="s">
        <v>27680</v>
      </c>
      <c r="L8285" s="0" t="str">
        <f aca="false">HYPERLINK("https://www.ncbi.nlm.nih.gov/nuccore/CP000304.1?report=graph&amp;tracks=[key:gene_model_track,Options:GeneOnly]&amp;mk=2344939:2344958|offset_20|444444,2344911:2344930|offset_48|444444,2344890:2344909|offset_69|00cc00,2344867:2344886|offset_92|444444&amp;v=2344738:2345086&amp;c=444444", "offset 69")</f>
        <v>offset 69</v>
      </c>
    </row>
    <row r="8286" customFormat="false" ht="12.8" hidden="false" customHeight="false" outlineLevel="0" collapsed="false">
      <c r="A8286" s="0" t="s">
        <v>12</v>
      </c>
      <c r="B8286" s="0" t="n">
        <v>2344866</v>
      </c>
      <c r="C8286" s="0" t="n">
        <v>2344886</v>
      </c>
      <c r="D8286" s="0" t="s">
        <v>27671</v>
      </c>
      <c r="E8286" s="0" t="s">
        <v>89</v>
      </c>
      <c r="F8286" s="0" t="s">
        <v>90</v>
      </c>
      <c r="G8286" s="0" t="s">
        <v>32</v>
      </c>
      <c r="H8286" s="0" t="n">
        <v>92</v>
      </c>
      <c r="I8286" s="0" t="s">
        <v>27681</v>
      </c>
      <c r="J8286" s="0" t="s">
        <v>27682</v>
      </c>
      <c r="K8286" s="0" t="s">
        <v>27683</v>
      </c>
      <c r="L8286" s="0" t="str">
        <f aca="false">HYPERLINK("https://www.ncbi.nlm.nih.gov/nuccore/CP000304.1?report=graph&amp;tracks=[key:gene_model_track,Options:GeneOnly]&amp;mk=2344939:2344958|offset_20|444444,2344911:2344930|offset_48|444444,2344890:2344909|offset_69|444444,2344867:2344886|offset_92|00cc00&amp;v=2344738:2345086&amp;c=444444", "offset 92")</f>
        <v>offset 92</v>
      </c>
    </row>
    <row r="8287" customFormat="false" ht="12.8" hidden="false" customHeight="false" outlineLevel="0" collapsed="false">
      <c r="A8287" s="0" t="s">
        <v>12</v>
      </c>
      <c r="B8287" s="0" t="n">
        <v>2345672</v>
      </c>
      <c r="C8287" s="0" t="n">
        <v>2345692</v>
      </c>
      <c r="D8287" s="0" t="s">
        <v>27684</v>
      </c>
      <c r="E8287" s="0" t="s">
        <v>27685</v>
      </c>
      <c r="F8287" s="0" t="s">
        <v>90</v>
      </c>
      <c r="G8287" s="0" t="s">
        <v>32</v>
      </c>
      <c r="H8287" s="0" t="n">
        <v>13</v>
      </c>
      <c r="I8287" s="0" t="s">
        <v>27686</v>
      </c>
      <c r="J8287" s="0" t="s">
        <v>27687</v>
      </c>
      <c r="K8287" s="0" t="s">
        <v>27688</v>
      </c>
      <c r="L8287" s="0" t="str">
        <f aca="false">HYPERLINK("https://www.ncbi.nlm.nih.gov/nuccore/CP000304.1?report=graph&amp;tracks=[key:gene_model_track,Options:GeneOnly]&amp;mk=2345673:2345692|offset_13|00cc00,2345642:2345661|offset_44|444444,2345589:2345608|offset_97|444444,2345564:2345583|offset_122|444444&amp;v=2345472:2345783&amp;c=444444", "offset 13")</f>
        <v>offset 13</v>
      </c>
    </row>
    <row r="8288" customFormat="false" ht="12.8" hidden="false" customHeight="false" outlineLevel="0" collapsed="false">
      <c r="A8288" s="0" t="s">
        <v>12</v>
      </c>
      <c r="B8288" s="0" t="n">
        <v>2345641</v>
      </c>
      <c r="C8288" s="0" t="n">
        <v>2345661</v>
      </c>
      <c r="D8288" s="0" t="s">
        <v>27684</v>
      </c>
      <c r="E8288" s="0" t="s">
        <v>27685</v>
      </c>
      <c r="F8288" s="0" t="s">
        <v>90</v>
      </c>
      <c r="G8288" s="0" t="s">
        <v>36</v>
      </c>
      <c r="H8288" s="0" t="n">
        <v>44</v>
      </c>
      <c r="I8288" s="0" t="s">
        <v>27689</v>
      </c>
      <c r="J8288" s="0" t="s">
        <v>27690</v>
      </c>
      <c r="K8288" s="0" t="s">
        <v>27691</v>
      </c>
      <c r="L8288" s="0" t="str">
        <f aca="false">HYPERLINK("https://www.ncbi.nlm.nih.gov/nuccore/CP000304.1?report=graph&amp;tracks=[key:gene_model_track,Options:GeneOnly]&amp;mk=2345673:2345692|offset_13|444444,2345642:2345661|offset_44|00cc00,2345589:2345608|offset_97|444444,2345564:2345583|offset_122|444444&amp;v=2345472:2345783&amp;c=444444", "offset 44")</f>
        <v>offset 44</v>
      </c>
    </row>
    <row r="8289" customFormat="false" ht="12.8" hidden="false" customHeight="false" outlineLevel="0" collapsed="false">
      <c r="A8289" s="0" t="s">
        <v>12</v>
      </c>
      <c r="B8289" s="0" t="n">
        <v>2345588</v>
      </c>
      <c r="C8289" s="0" t="n">
        <v>2345608</v>
      </c>
      <c r="D8289" s="0" t="s">
        <v>27684</v>
      </c>
      <c r="E8289" s="0" t="s">
        <v>27685</v>
      </c>
      <c r="F8289" s="0" t="s">
        <v>90</v>
      </c>
      <c r="G8289" s="0" t="s">
        <v>36</v>
      </c>
      <c r="H8289" s="0" t="n">
        <v>97</v>
      </c>
      <c r="I8289" s="0" t="s">
        <v>27692</v>
      </c>
      <c r="J8289" s="0" t="s">
        <v>27693</v>
      </c>
      <c r="K8289" s="0" t="s">
        <v>27694</v>
      </c>
      <c r="L8289" s="0" t="str">
        <f aca="false">HYPERLINK("https://www.ncbi.nlm.nih.gov/nuccore/CP000304.1?report=graph&amp;tracks=[key:gene_model_track,Options:GeneOnly]&amp;mk=2345673:2345692|offset_13|444444,2345642:2345661|offset_44|444444,2345589:2345608|offset_97|00cc00,2345564:2345583|offset_122|444444&amp;v=2345472:2345783&amp;c=444444", "offset 97")</f>
        <v>offset 97</v>
      </c>
    </row>
    <row r="8290" customFormat="false" ht="12.8" hidden="false" customHeight="false" outlineLevel="0" collapsed="false">
      <c r="A8290" s="0" t="s">
        <v>12</v>
      </c>
      <c r="B8290" s="0" t="n">
        <v>2345563</v>
      </c>
      <c r="C8290" s="0" t="n">
        <v>2345583</v>
      </c>
      <c r="D8290" s="0" t="s">
        <v>27684</v>
      </c>
      <c r="E8290" s="0" t="s">
        <v>27685</v>
      </c>
      <c r="F8290" s="0" t="s">
        <v>90</v>
      </c>
      <c r="G8290" s="0" t="s">
        <v>36</v>
      </c>
      <c r="H8290" s="0" t="n">
        <v>122</v>
      </c>
      <c r="I8290" s="0" t="s">
        <v>27695</v>
      </c>
      <c r="J8290" s="0" t="s">
        <v>27696</v>
      </c>
      <c r="K8290" s="0" t="s">
        <v>27697</v>
      </c>
      <c r="L8290" s="0" t="str">
        <f aca="false">HYPERLINK("https://www.ncbi.nlm.nih.gov/nuccore/CP000304.1?report=graph&amp;tracks=[key:gene_model_track,Options:GeneOnly]&amp;mk=2345673:2345692|offset_13|444444,2345642:2345661|offset_44|444444,2345589:2345608|offset_97|444444,2345564:2345583|offset_122|00cc00&amp;v=2345472:2345783&amp;c=444444", "offset 122")</f>
        <v>offset 122</v>
      </c>
    </row>
    <row r="8291" customFormat="false" ht="12.8" hidden="false" customHeight="false" outlineLevel="0" collapsed="false">
      <c r="A8291" s="0" t="s">
        <v>12</v>
      </c>
      <c r="B8291" s="0" t="n">
        <v>2346606</v>
      </c>
      <c r="C8291" s="0" t="n">
        <v>2346626</v>
      </c>
      <c r="D8291" s="0" t="s">
        <v>27698</v>
      </c>
      <c r="E8291" s="0" t="s">
        <v>27699</v>
      </c>
      <c r="F8291" s="0" t="s">
        <v>90</v>
      </c>
      <c r="G8291" s="0" t="s">
        <v>32</v>
      </c>
      <c r="H8291" s="0" t="n">
        <v>14</v>
      </c>
      <c r="I8291" s="0" t="s">
        <v>27700</v>
      </c>
      <c r="J8291" s="0" t="s">
        <v>27701</v>
      </c>
      <c r="K8291" s="0" t="s">
        <v>27702</v>
      </c>
      <c r="L8291" s="0" t="str">
        <f aca="false">HYPERLINK("https://www.ncbi.nlm.nih.gov/nuccore/CP000304.1?report=graph&amp;tracks=[key:gene_model_track,Options:GeneOnly]&amp;mk=2346607:2346626|offset_14|00cc00,2346569:2346588|offset_52|444444,2346547:2346566|offset_74|444444,2346482:2346501|offset_139|444444&amp;v=2346406:2346701&amp;c=444444", "offset 14")</f>
        <v>offset 14</v>
      </c>
    </row>
    <row r="8292" customFormat="false" ht="12.8" hidden="false" customHeight="false" outlineLevel="0" collapsed="false">
      <c r="A8292" s="0" t="s">
        <v>12</v>
      </c>
      <c r="B8292" s="0" t="n">
        <v>2346568</v>
      </c>
      <c r="C8292" s="0" t="n">
        <v>2346588</v>
      </c>
      <c r="D8292" s="0" t="s">
        <v>27698</v>
      </c>
      <c r="E8292" s="0" t="s">
        <v>27699</v>
      </c>
      <c r="F8292" s="0" t="s">
        <v>90</v>
      </c>
      <c r="G8292" s="0" t="s">
        <v>32</v>
      </c>
      <c r="H8292" s="0" t="n">
        <v>52</v>
      </c>
      <c r="I8292" s="0" t="s">
        <v>27703</v>
      </c>
      <c r="J8292" s="0" t="s">
        <v>27704</v>
      </c>
      <c r="K8292" s="0" t="s">
        <v>27705</v>
      </c>
      <c r="L8292" s="0" t="str">
        <f aca="false">HYPERLINK("https://www.ncbi.nlm.nih.gov/nuccore/CP000304.1?report=graph&amp;tracks=[key:gene_model_track,Options:GeneOnly]&amp;mk=2346607:2346626|offset_14|444444,2346569:2346588|offset_52|00cc00,2346547:2346566|offset_74|444444,2346482:2346501|offset_139|444444&amp;v=2346406:2346701&amp;c=444444", "offset 52")</f>
        <v>offset 52</v>
      </c>
    </row>
    <row r="8293" customFormat="false" ht="12.8" hidden="false" customHeight="false" outlineLevel="0" collapsed="false">
      <c r="A8293" s="0" t="s">
        <v>12</v>
      </c>
      <c r="B8293" s="0" t="n">
        <v>2346546</v>
      </c>
      <c r="C8293" s="0" t="n">
        <v>2346566</v>
      </c>
      <c r="D8293" s="0" t="s">
        <v>27698</v>
      </c>
      <c r="E8293" s="0" t="s">
        <v>27699</v>
      </c>
      <c r="F8293" s="0" t="s">
        <v>90</v>
      </c>
      <c r="G8293" s="0" t="s">
        <v>16</v>
      </c>
      <c r="H8293" s="0" t="n">
        <v>74</v>
      </c>
      <c r="I8293" s="0" t="s">
        <v>27706</v>
      </c>
      <c r="J8293" s="0" t="s">
        <v>27707</v>
      </c>
      <c r="K8293" s="0" t="s">
        <v>27708</v>
      </c>
      <c r="L8293" s="0" t="str">
        <f aca="false">HYPERLINK("https://www.ncbi.nlm.nih.gov/nuccore/CP000304.1?report=graph&amp;tracks=[key:gene_model_track,Options:GeneOnly]&amp;mk=2346607:2346626|offset_14|444444,2346569:2346588|offset_52|444444,2346547:2346566|offset_74|00cc00,2346482:2346501|offset_139|444444&amp;v=2346406:2346701&amp;c=444444", "offset 74")</f>
        <v>offset 74</v>
      </c>
    </row>
    <row r="8294" customFormat="false" ht="12.8" hidden="false" customHeight="false" outlineLevel="0" collapsed="false">
      <c r="A8294" s="0" t="s">
        <v>12</v>
      </c>
      <c r="B8294" s="0" t="n">
        <v>2346481</v>
      </c>
      <c r="C8294" s="0" t="n">
        <v>2346501</v>
      </c>
      <c r="D8294" s="0" t="s">
        <v>27698</v>
      </c>
      <c r="E8294" s="0" t="s">
        <v>27699</v>
      </c>
      <c r="F8294" s="0" t="s">
        <v>90</v>
      </c>
      <c r="G8294" s="0" t="s">
        <v>26</v>
      </c>
      <c r="H8294" s="0" t="n">
        <v>139</v>
      </c>
      <c r="I8294" s="0" t="s">
        <v>27709</v>
      </c>
      <c r="J8294" s="0" t="s">
        <v>27710</v>
      </c>
      <c r="K8294" s="0" t="s">
        <v>27711</v>
      </c>
      <c r="L8294" s="0" t="str">
        <f aca="false">HYPERLINK("https://www.ncbi.nlm.nih.gov/nuccore/CP000304.1?report=graph&amp;tracks=[key:gene_model_track,Options:GeneOnly]&amp;mk=2346607:2346626|offset_14|444444,2346569:2346588|offset_52|444444,2346547:2346566|offset_74|444444,2346482:2346501|offset_139|00cc00&amp;v=2346406:2346701&amp;c=444444", "offset 139")</f>
        <v>offset 139</v>
      </c>
    </row>
    <row r="8295" customFormat="false" ht="12.8" hidden="false" customHeight="false" outlineLevel="0" collapsed="false">
      <c r="A8295" s="0" t="s">
        <v>12</v>
      </c>
      <c r="B8295" s="0" t="n">
        <v>2349053</v>
      </c>
      <c r="C8295" s="0" t="n">
        <v>2349073</v>
      </c>
      <c r="D8295" s="0" t="s">
        <v>27712</v>
      </c>
      <c r="E8295" s="0" t="s">
        <v>89</v>
      </c>
      <c r="F8295" s="0" t="s">
        <v>90</v>
      </c>
      <c r="G8295" s="0" t="s">
        <v>32</v>
      </c>
      <c r="H8295" s="0" t="n">
        <v>1</v>
      </c>
      <c r="I8295" s="0" t="s">
        <v>27713</v>
      </c>
      <c r="J8295" s="0" t="s">
        <v>27714</v>
      </c>
      <c r="K8295" s="0" t="s">
        <v>27715</v>
      </c>
      <c r="L8295" s="0" t="str">
        <f aca="false">HYPERLINK("https://www.ncbi.nlm.nih.gov/nuccore/CP000304.1?report=graph&amp;tracks=[key:gene_model_track,Options:GeneOnly]&amp;mk=2349054:2349073|offset_1|00cc00,2349029:2349048|offset_26|444444,2349006:2349025|offset_49|444444,2348977:2348996|offset_78|444444&amp;v=2348853:2349196&amp;c=444444", "offset 1")</f>
        <v>offset 1</v>
      </c>
    </row>
    <row r="8296" customFormat="false" ht="12.8" hidden="false" customHeight="false" outlineLevel="0" collapsed="false">
      <c r="A8296" s="0" t="s">
        <v>12</v>
      </c>
      <c r="B8296" s="0" t="n">
        <v>2349028</v>
      </c>
      <c r="C8296" s="0" t="n">
        <v>2349048</v>
      </c>
      <c r="D8296" s="0" t="s">
        <v>27712</v>
      </c>
      <c r="E8296" s="0" t="s">
        <v>89</v>
      </c>
      <c r="F8296" s="0" t="s">
        <v>90</v>
      </c>
      <c r="G8296" s="0" t="s">
        <v>16</v>
      </c>
      <c r="H8296" s="0" t="n">
        <v>26</v>
      </c>
      <c r="I8296" s="0" t="s">
        <v>27716</v>
      </c>
      <c r="J8296" s="0" t="s">
        <v>27717</v>
      </c>
      <c r="K8296" s="0" t="s">
        <v>27718</v>
      </c>
      <c r="L8296" s="0" t="str">
        <f aca="false">HYPERLINK("https://www.ncbi.nlm.nih.gov/nuccore/CP000304.1?report=graph&amp;tracks=[key:gene_model_track,Options:GeneOnly]&amp;mk=2349054:2349073|offset_1|444444,2349029:2349048|offset_26|00cc00,2349006:2349025|offset_49|444444,2348977:2348996|offset_78|444444&amp;v=2348853:2349196&amp;c=444444", "offset 26")</f>
        <v>offset 26</v>
      </c>
    </row>
    <row r="8297" customFormat="false" ht="12.8" hidden="false" customHeight="false" outlineLevel="0" collapsed="false">
      <c r="A8297" s="0" t="s">
        <v>12</v>
      </c>
      <c r="B8297" s="0" t="n">
        <v>2349005</v>
      </c>
      <c r="C8297" s="0" t="n">
        <v>2349025</v>
      </c>
      <c r="D8297" s="0" t="s">
        <v>27712</v>
      </c>
      <c r="E8297" s="0" t="s">
        <v>89</v>
      </c>
      <c r="F8297" s="0" t="s">
        <v>90</v>
      </c>
      <c r="G8297" s="0" t="s">
        <v>32</v>
      </c>
      <c r="H8297" s="0" t="n">
        <v>49</v>
      </c>
      <c r="I8297" s="0" t="s">
        <v>27719</v>
      </c>
      <c r="J8297" s="0" t="s">
        <v>27720</v>
      </c>
      <c r="K8297" s="0" t="s">
        <v>27721</v>
      </c>
      <c r="L8297" s="0" t="str">
        <f aca="false">HYPERLINK("https://www.ncbi.nlm.nih.gov/nuccore/CP000304.1?report=graph&amp;tracks=[key:gene_model_track,Options:GeneOnly]&amp;mk=2349054:2349073|offset_1|444444,2349029:2349048|offset_26|444444,2349006:2349025|offset_49|00cc00,2348977:2348996|offset_78|444444&amp;v=2348853:2349196&amp;c=444444", "offset 49")</f>
        <v>offset 49</v>
      </c>
    </row>
    <row r="8298" customFormat="false" ht="12.8" hidden="false" customHeight="false" outlineLevel="0" collapsed="false">
      <c r="A8298" s="0" t="s">
        <v>12</v>
      </c>
      <c r="B8298" s="0" t="n">
        <v>2348976</v>
      </c>
      <c r="C8298" s="0" t="n">
        <v>2348996</v>
      </c>
      <c r="D8298" s="0" t="s">
        <v>27712</v>
      </c>
      <c r="E8298" s="0" t="s">
        <v>89</v>
      </c>
      <c r="F8298" s="0" t="s">
        <v>90</v>
      </c>
      <c r="G8298" s="0" t="s">
        <v>16</v>
      </c>
      <c r="H8298" s="0" t="n">
        <v>78</v>
      </c>
      <c r="I8298" s="0" t="s">
        <v>27722</v>
      </c>
      <c r="J8298" s="0" t="s">
        <v>27723</v>
      </c>
      <c r="K8298" s="0" t="s">
        <v>27724</v>
      </c>
      <c r="L8298" s="0" t="str">
        <f aca="false">HYPERLINK("https://www.ncbi.nlm.nih.gov/nuccore/CP000304.1?report=graph&amp;tracks=[key:gene_model_track,Options:GeneOnly]&amp;mk=2349054:2349073|offset_1|444444,2349029:2349048|offset_26|444444,2349006:2349025|offset_49|444444,2348977:2348996|offset_78|00cc00&amp;v=2348853:2349196&amp;c=444444", "offset 78")</f>
        <v>offset 78</v>
      </c>
    </row>
    <row r="8299" customFormat="false" ht="12.8" hidden="false" customHeight="false" outlineLevel="0" collapsed="false">
      <c r="A8299" s="0" t="s">
        <v>12</v>
      </c>
      <c r="B8299" s="0" t="n">
        <v>2349696</v>
      </c>
      <c r="C8299" s="0" t="n">
        <v>2349716</v>
      </c>
      <c r="D8299" s="0" t="s">
        <v>27725</v>
      </c>
      <c r="E8299" s="0" t="s">
        <v>89</v>
      </c>
      <c r="F8299" s="0" t="s">
        <v>90</v>
      </c>
      <c r="G8299" s="0" t="s">
        <v>16</v>
      </c>
      <c r="H8299" s="0" t="n">
        <v>0</v>
      </c>
      <c r="I8299" s="0" t="s">
        <v>27726</v>
      </c>
      <c r="J8299" s="0" t="s">
        <v>27727</v>
      </c>
      <c r="K8299" s="0" t="s">
        <v>27728</v>
      </c>
      <c r="L8299" s="0" t="str">
        <f aca="false">HYPERLINK("https://www.ncbi.nlm.nih.gov/nuccore/CP000304.1?report=graph&amp;tracks=[key:gene_model_track,Options:GeneOnly]&amp;mk=2349697:2349716|offset_0|00cc00,2349677:2349696|offset_20|444444,2349648:2349667|offset_49|444444,2349609:2349628|offset_88|444444&amp;v=2349496:2349828&amp;c=444444", "offset 0")</f>
        <v>offset 0</v>
      </c>
    </row>
    <row r="8300" customFormat="false" ht="12.8" hidden="false" customHeight="false" outlineLevel="0" collapsed="false">
      <c r="A8300" s="0" t="s">
        <v>12</v>
      </c>
      <c r="B8300" s="0" t="n">
        <v>2349676</v>
      </c>
      <c r="C8300" s="0" t="n">
        <v>2349696</v>
      </c>
      <c r="D8300" s="0" t="s">
        <v>27725</v>
      </c>
      <c r="E8300" s="0" t="s">
        <v>89</v>
      </c>
      <c r="F8300" s="0" t="s">
        <v>90</v>
      </c>
      <c r="G8300" s="0" t="s">
        <v>16</v>
      </c>
      <c r="H8300" s="0" t="n">
        <v>20</v>
      </c>
      <c r="I8300" s="0" t="s">
        <v>27729</v>
      </c>
      <c r="J8300" s="0" t="s">
        <v>27730</v>
      </c>
      <c r="K8300" s="0" t="s">
        <v>27731</v>
      </c>
      <c r="L8300" s="0" t="str">
        <f aca="false">HYPERLINK("https://www.ncbi.nlm.nih.gov/nuccore/CP000304.1?report=graph&amp;tracks=[key:gene_model_track,Options:GeneOnly]&amp;mk=2349697:2349716|offset_0|444444,2349677:2349696|offset_20|00cc00,2349648:2349667|offset_49|444444,2349609:2349628|offset_88|444444&amp;v=2349496:2349828&amp;c=444444", "offset 20")</f>
        <v>offset 20</v>
      </c>
    </row>
    <row r="8301" customFormat="false" ht="12.8" hidden="false" customHeight="false" outlineLevel="0" collapsed="false">
      <c r="A8301" s="0" t="s">
        <v>12</v>
      </c>
      <c r="B8301" s="0" t="n">
        <v>2349647</v>
      </c>
      <c r="C8301" s="0" t="n">
        <v>2349667</v>
      </c>
      <c r="D8301" s="0" t="s">
        <v>27725</v>
      </c>
      <c r="E8301" s="0" t="s">
        <v>89</v>
      </c>
      <c r="F8301" s="0" t="s">
        <v>90</v>
      </c>
      <c r="G8301" s="0" t="s">
        <v>16</v>
      </c>
      <c r="H8301" s="0" t="n">
        <v>49</v>
      </c>
      <c r="I8301" s="0" t="s">
        <v>27732</v>
      </c>
      <c r="J8301" s="0" t="s">
        <v>27733</v>
      </c>
      <c r="K8301" s="0" t="s">
        <v>27734</v>
      </c>
      <c r="L8301" s="0" t="str">
        <f aca="false">HYPERLINK("https://www.ncbi.nlm.nih.gov/nuccore/CP000304.1?report=graph&amp;tracks=[key:gene_model_track,Options:GeneOnly]&amp;mk=2349697:2349716|offset_0|444444,2349677:2349696|offset_20|444444,2349648:2349667|offset_49|00cc00,2349609:2349628|offset_88|444444&amp;v=2349496:2349828&amp;c=444444", "offset 49")</f>
        <v>offset 49</v>
      </c>
    </row>
    <row r="8302" customFormat="false" ht="12.8" hidden="false" customHeight="false" outlineLevel="0" collapsed="false">
      <c r="A8302" s="0" t="s">
        <v>12</v>
      </c>
      <c r="B8302" s="0" t="n">
        <v>2349608</v>
      </c>
      <c r="C8302" s="0" t="n">
        <v>2349628</v>
      </c>
      <c r="D8302" s="0" t="s">
        <v>27725</v>
      </c>
      <c r="E8302" s="0" t="s">
        <v>89</v>
      </c>
      <c r="F8302" s="0" t="s">
        <v>90</v>
      </c>
      <c r="G8302" s="0" t="s">
        <v>36</v>
      </c>
      <c r="H8302" s="0" t="n">
        <v>88</v>
      </c>
      <c r="I8302" s="0" t="s">
        <v>27735</v>
      </c>
      <c r="J8302" s="0" t="s">
        <v>27736</v>
      </c>
      <c r="K8302" s="0" t="s">
        <v>27737</v>
      </c>
      <c r="L8302" s="0" t="str">
        <f aca="false">HYPERLINK("https://www.ncbi.nlm.nih.gov/nuccore/CP000304.1?report=graph&amp;tracks=[key:gene_model_track,Options:GeneOnly]&amp;mk=2349697:2349716|offset_0|444444,2349677:2349696|offset_20|444444,2349648:2349667|offset_49|444444,2349609:2349628|offset_88|00cc00&amp;v=2349496:2349828&amp;c=444444", "offset 88")</f>
        <v>offset 88</v>
      </c>
    </row>
    <row r="8303" customFormat="false" ht="12.8" hidden="false" customHeight="false" outlineLevel="0" collapsed="false">
      <c r="A8303" s="0" t="s">
        <v>12</v>
      </c>
      <c r="B8303" s="0" t="n">
        <v>2350778</v>
      </c>
      <c r="C8303" s="0" t="n">
        <v>2350798</v>
      </c>
      <c r="D8303" s="0" t="s">
        <v>27738</v>
      </c>
      <c r="E8303" s="0" t="s">
        <v>89</v>
      </c>
      <c r="F8303" s="0" t="s">
        <v>90</v>
      </c>
      <c r="G8303" s="0" t="s">
        <v>16</v>
      </c>
      <c r="H8303" s="0" t="n">
        <v>7</v>
      </c>
      <c r="I8303" s="0" t="s">
        <v>27739</v>
      </c>
      <c r="J8303" s="0" t="s">
        <v>27740</v>
      </c>
      <c r="K8303" s="0" t="s">
        <v>27741</v>
      </c>
      <c r="L8303" s="0" t="str">
        <f aca="false">HYPERLINK("https://www.ncbi.nlm.nih.gov/nuccore/CP000304.1?report=graph&amp;tracks=[key:gene_model_track,Options:GeneOnly]&amp;mk=2350779:2350798|offset_7|00cc00,2350756:2350775|offset_30|444444,2350727:2350746|offset_59|444444,2350704:2350723|offset_82|444444&amp;v=2350578:2350923&amp;c=444444", "offset 7")</f>
        <v>offset 7</v>
      </c>
    </row>
    <row r="8304" customFormat="false" ht="12.8" hidden="false" customHeight="false" outlineLevel="0" collapsed="false">
      <c r="A8304" s="0" t="s">
        <v>12</v>
      </c>
      <c r="B8304" s="0" t="n">
        <v>2350755</v>
      </c>
      <c r="C8304" s="0" t="n">
        <v>2350775</v>
      </c>
      <c r="D8304" s="0" t="s">
        <v>27738</v>
      </c>
      <c r="E8304" s="0" t="s">
        <v>89</v>
      </c>
      <c r="F8304" s="0" t="s">
        <v>90</v>
      </c>
      <c r="G8304" s="0" t="s">
        <v>32</v>
      </c>
      <c r="H8304" s="0" t="n">
        <v>30</v>
      </c>
      <c r="I8304" s="0" t="s">
        <v>27742</v>
      </c>
      <c r="J8304" s="0" t="s">
        <v>27743</v>
      </c>
      <c r="K8304" s="0" t="s">
        <v>27744</v>
      </c>
      <c r="L8304" s="0" t="str">
        <f aca="false">HYPERLINK("https://www.ncbi.nlm.nih.gov/nuccore/CP000304.1?report=graph&amp;tracks=[key:gene_model_track,Options:GeneOnly]&amp;mk=2350779:2350798|offset_7|444444,2350756:2350775|offset_30|00cc00,2350727:2350746|offset_59|444444,2350704:2350723|offset_82|444444&amp;v=2350578:2350923&amp;c=444444", "offset 30")</f>
        <v>offset 30</v>
      </c>
    </row>
    <row r="8305" customFormat="false" ht="12.8" hidden="false" customHeight="false" outlineLevel="0" collapsed="false">
      <c r="A8305" s="0" t="s">
        <v>12</v>
      </c>
      <c r="B8305" s="0" t="n">
        <v>2350726</v>
      </c>
      <c r="C8305" s="0" t="n">
        <v>2350746</v>
      </c>
      <c r="D8305" s="0" t="s">
        <v>27738</v>
      </c>
      <c r="E8305" s="0" t="s">
        <v>89</v>
      </c>
      <c r="F8305" s="0" t="s">
        <v>90</v>
      </c>
      <c r="G8305" s="0" t="s">
        <v>32</v>
      </c>
      <c r="H8305" s="0" t="n">
        <v>59</v>
      </c>
      <c r="I8305" s="0" t="s">
        <v>27745</v>
      </c>
      <c r="J8305" s="0" t="s">
        <v>27746</v>
      </c>
      <c r="K8305" s="0" t="s">
        <v>27747</v>
      </c>
      <c r="L8305" s="0" t="str">
        <f aca="false">HYPERLINK("https://www.ncbi.nlm.nih.gov/nuccore/CP000304.1?report=graph&amp;tracks=[key:gene_model_track,Options:GeneOnly]&amp;mk=2350779:2350798|offset_7|444444,2350756:2350775|offset_30|444444,2350727:2350746|offset_59|00cc00,2350704:2350723|offset_82|444444&amp;v=2350578:2350923&amp;c=444444", "offset 59")</f>
        <v>offset 59</v>
      </c>
    </row>
    <row r="8306" customFormat="false" ht="12.8" hidden="false" customHeight="false" outlineLevel="0" collapsed="false">
      <c r="A8306" s="0" t="s">
        <v>12</v>
      </c>
      <c r="B8306" s="0" t="n">
        <v>2350703</v>
      </c>
      <c r="C8306" s="0" t="n">
        <v>2350723</v>
      </c>
      <c r="D8306" s="0" t="s">
        <v>27738</v>
      </c>
      <c r="E8306" s="0" t="s">
        <v>89</v>
      </c>
      <c r="F8306" s="0" t="s">
        <v>90</v>
      </c>
      <c r="G8306" s="0" t="s">
        <v>32</v>
      </c>
      <c r="H8306" s="0" t="n">
        <v>82</v>
      </c>
      <c r="I8306" s="0" t="s">
        <v>27748</v>
      </c>
      <c r="J8306" s="0" t="s">
        <v>27749</v>
      </c>
      <c r="K8306" s="0" t="s">
        <v>27750</v>
      </c>
      <c r="L8306" s="0" t="str">
        <f aca="false">HYPERLINK("https://www.ncbi.nlm.nih.gov/nuccore/CP000304.1?report=graph&amp;tracks=[key:gene_model_track,Options:GeneOnly]&amp;mk=2350779:2350798|offset_7|444444,2350756:2350775|offset_30|444444,2350727:2350746|offset_59|444444,2350704:2350723|offset_82|00cc00&amp;v=2350578:2350923&amp;c=444444", "offset 82")</f>
        <v>offset 82</v>
      </c>
    </row>
    <row r="8307" customFormat="false" ht="12.8" hidden="false" customHeight="false" outlineLevel="0" collapsed="false">
      <c r="A8307" s="0" t="s">
        <v>12</v>
      </c>
      <c r="B8307" s="0" t="n">
        <v>2351739</v>
      </c>
      <c r="C8307" s="0" t="n">
        <v>2351759</v>
      </c>
      <c r="D8307" s="0" t="s">
        <v>27751</v>
      </c>
      <c r="E8307" s="0" t="s">
        <v>89</v>
      </c>
      <c r="F8307" s="0" t="s">
        <v>90</v>
      </c>
      <c r="G8307" s="0" t="s">
        <v>32</v>
      </c>
      <c r="H8307" s="0" t="n">
        <v>6</v>
      </c>
      <c r="I8307" s="0" t="s">
        <v>27752</v>
      </c>
      <c r="J8307" s="0" t="s">
        <v>27753</v>
      </c>
      <c r="K8307" s="0" t="s">
        <v>27754</v>
      </c>
      <c r="L8307" s="0" t="str">
        <f aca="false">HYPERLINK("https://www.ncbi.nlm.nih.gov/nuccore/CP000304.1?report=graph&amp;tracks=[key:gene_model_track,Options:GeneOnly]&amp;mk=2351740:2351759|offset_6|00cc00,2351693:2351712|offset_53|444444,2351673:2351692|offset_73|444444,2351592:2351611|offset_154|444444&amp;v=2351539:2351811&amp;c=444444", "offset 6")</f>
        <v>offset 6</v>
      </c>
    </row>
    <row r="8308" customFormat="false" ht="12.8" hidden="false" customHeight="false" outlineLevel="0" collapsed="false">
      <c r="A8308" s="0" t="s">
        <v>12</v>
      </c>
      <c r="B8308" s="0" t="n">
        <v>2351692</v>
      </c>
      <c r="C8308" s="0" t="n">
        <v>2351712</v>
      </c>
      <c r="D8308" s="0" t="s">
        <v>27751</v>
      </c>
      <c r="E8308" s="0" t="s">
        <v>89</v>
      </c>
      <c r="F8308" s="0" t="s">
        <v>90</v>
      </c>
      <c r="G8308" s="0" t="s">
        <v>36</v>
      </c>
      <c r="H8308" s="0" t="n">
        <v>53</v>
      </c>
      <c r="I8308" s="0" t="s">
        <v>27755</v>
      </c>
      <c r="J8308" s="0" t="s">
        <v>27756</v>
      </c>
      <c r="K8308" s="0" t="s">
        <v>27757</v>
      </c>
      <c r="L8308" s="0" t="str">
        <f aca="false">HYPERLINK("https://www.ncbi.nlm.nih.gov/nuccore/CP000304.1?report=graph&amp;tracks=[key:gene_model_track,Options:GeneOnly]&amp;mk=2351740:2351759|offset_6|444444,2351693:2351712|offset_53|00cc00,2351673:2351692|offset_73|444444,2351592:2351611|offset_154|444444&amp;v=2351539:2351811&amp;c=444444", "offset 53")</f>
        <v>offset 53</v>
      </c>
    </row>
    <row r="8309" customFormat="false" ht="12.8" hidden="false" customHeight="false" outlineLevel="0" collapsed="false">
      <c r="A8309" s="0" t="s">
        <v>12</v>
      </c>
      <c r="B8309" s="0" t="n">
        <v>2351672</v>
      </c>
      <c r="C8309" s="0" t="n">
        <v>2351692</v>
      </c>
      <c r="D8309" s="0" t="s">
        <v>27751</v>
      </c>
      <c r="E8309" s="0" t="s">
        <v>89</v>
      </c>
      <c r="F8309" s="0" t="s">
        <v>90</v>
      </c>
      <c r="G8309" s="0" t="s">
        <v>32</v>
      </c>
      <c r="H8309" s="0" t="n">
        <v>73</v>
      </c>
      <c r="I8309" s="0" t="s">
        <v>27758</v>
      </c>
      <c r="J8309" s="0" t="s">
        <v>27759</v>
      </c>
      <c r="K8309" s="0" t="s">
        <v>27760</v>
      </c>
      <c r="L8309" s="0" t="str">
        <f aca="false">HYPERLINK("https://www.ncbi.nlm.nih.gov/nuccore/CP000304.1?report=graph&amp;tracks=[key:gene_model_track,Options:GeneOnly]&amp;mk=2351740:2351759|offset_6|444444,2351693:2351712|offset_53|444444,2351673:2351692|offset_73|00cc00,2351592:2351611|offset_154|444444&amp;v=2351539:2351811&amp;c=444444", "offset 73")</f>
        <v>offset 73</v>
      </c>
    </row>
    <row r="8310" customFormat="false" ht="12.8" hidden="false" customHeight="false" outlineLevel="0" collapsed="false">
      <c r="A8310" s="0" t="s">
        <v>12</v>
      </c>
      <c r="B8310" s="0" t="n">
        <v>2351591</v>
      </c>
      <c r="C8310" s="0" t="n">
        <v>2351611</v>
      </c>
      <c r="D8310" s="0" t="s">
        <v>27751</v>
      </c>
      <c r="E8310" s="0" t="s">
        <v>89</v>
      </c>
      <c r="F8310" s="0" t="s">
        <v>90</v>
      </c>
      <c r="G8310" s="0" t="s">
        <v>32</v>
      </c>
      <c r="H8310" s="0" t="n">
        <v>154</v>
      </c>
      <c r="I8310" s="0" t="s">
        <v>27761</v>
      </c>
      <c r="J8310" s="0" t="s">
        <v>27762</v>
      </c>
      <c r="K8310" s="0" t="s">
        <v>27763</v>
      </c>
      <c r="L8310" s="0" t="str">
        <f aca="false">HYPERLINK("https://www.ncbi.nlm.nih.gov/nuccore/CP000304.1?report=graph&amp;tracks=[key:gene_model_track,Options:GeneOnly]&amp;mk=2351740:2351759|offset_6|444444,2351693:2351712|offset_53|444444,2351673:2351692|offset_73|444444,2351592:2351611|offset_154|00cc00&amp;v=2351539:2351811&amp;c=444444", "offset 154")</f>
        <v>offset 154</v>
      </c>
    </row>
    <row r="8311" customFormat="false" ht="12.8" hidden="false" customHeight="false" outlineLevel="0" collapsed="false">
      <c r="A8311" s="0" t="s">
        <v>12</v>
      </c>
      <c r="B8311" s="0" t="n">
        <v>2352635</v>
      </c>
      <c r="C8311" s="0" t="n">
        <v>2352655</v>
      </c>
      <c r="D8311" s="0" t="s">
        <v>27764</v>
      </c>
      <c r="E8311" s="0" t="s">
        <v>89</v>
      </c>
      <c r="F8311" s="0" t="s">
        <v>90</v>
      </c>
      <c r="G8311" s="0" t="s">
        <v>32</v>
      </c>
      <c r="H8311" s="0" t="n">
        <v>1</v>
      </c>
      <c r="I8311" s="0" t="s">
        <v>27765</v>
      </c>
      <c r="J8311" s="0" t="s">
        <v>27766</v>
      </c>
      <c r="K8311" s="0" t="s">
        <v>27767</v>
      </c>
      <c r="L8311" s="0" t="str">
        <f aca="false">HYPERLINK("https://www.ncbi.nlm.nih.gov/nuccore/CP000304.1?report=graph&amp;tracks=[key:gene_model_track,Options:GeneOnly]&amp;mk=2352636:2352655|offset_1|00cc00,2352615:2352634|offset_22|444444,2352589:2352608|offset_48|444444,2352566:2352585|offset_71|444444&amp;v=2352435:2352785&amp;c=444444", "offset 1")</f>
        <v>offset 1</v>
      </c>
    </row>
    <row r="8312" customFormat="false" ht="12.8" hidden="false" customHeight="false" outlineLevel="0" collapsed="false">
      <c r="A8312" s="0" t="s">
        <v>12</v>
      </c>
      <c r="B8312" s="0" t="n">
        <v>2352614</v>
      </c>
      <c r="C8312" s="0" t="n">
        <v>2352634</v>
      </c>
      <c r="D8312" s="0" t="s">
        <v>27764</v>
      </c>
      <c r="E8312" s="0" t="s">
        <v>89</v>
      </c>
      <c r="F8312" s="0" t="s">
        <v>90</v>
      </c>
      <c r="G8312" s="0" t="s">
        <v>36</v>
      </c>
      <c r="H8312" s="0" t="n">
        <v>22</v>
      </c>
      <c r="I8312" s="0" t="s">
        <v>27768</v>
      </c>
      <c r="J8312" s="0" t="s">
        <v>27769</v>
      </c>
      <c r="K8312" s="0" t="s">
        <v>27770</v>
      </c>
      <c r="L8312" s="0" t="str">
        <f aca="false">HYPERLINK("https://www.ncbi.nlm.nih.gov/nuccore/CP000304.1?report=graph&amp;tracks=[key:gene_model_track,Options:GeneOnly]&amp;mk=2352636:2352655|offset_1|444444,2352615:2352634|offset_22|00cc00,2352589:2352608|offset_48|444444,2352566:2352585|offset_71|444444&amp;v=2352435:2352785&amp;c=444444", "offset 22")</f>
        <v>offset 22</v>
      </c>
    </row>
    <row r="8313" customFormat="false" ht="12.8" hidden="false" customHeight="false" outlineLevel="0" collapsed="false">
      <c r="A8313" s="0" t="s">
        <v>12</v>
      </c>
      <c r="B8313" s="0" t="n">
        <v>2352588</v>
      </c>
      <c r="C8313" s="0" t="n">
        <v>2352608</v>
      </c>
      <c r="D8313" s="0" t="s">
        <v>27764</v>
      </c>
      <c r="E8313" s="0" t="s">
        <v>89</v>
      </c>
      <c r="F8313" s="0" t="s">
        <v>90</v>
      </c>
      <c r="G8313" s="0" t="s">
        <v>36</v>
      </c>
      <c r="H8313" s="0" t="n">
        <v>48</v>
      </c>
      <c r="I8313" s="0" t="s">
        <v>27771</v>
      </c>
      <c r="J8313" s="0" t="s">
        <v>27772</v>
      </c>
      <c r="K8313" s="0" t="s">
        <v>27773</v>
      </c>
      <c r="L8313" s="0" t="str">
        <f aca="false">HYPERLINK("https://www.ncbi.nlm.nih.gov/nuccore/CP000304.1?report=graph&amp;tracks=[key:gene_model_track,Options:GeneOnly]&amp;mk=2352636:2352655|offset_1|444444,2352615:2352634|offset_22|444444,2352589:2352608|offset_48|00cc00,2352566:2352585|offset_71|444444&amp;v=2352435:2352785&amp;c=444444", "offset 48")</f>
        <v>offset 48</v>
      </c>
    </row>
    <row r="8314" customFormat="false" ht="12.8" hidden="false" customHeight="false" outlineLevel="0" collapsed="false">
      <c r="A8314" s="0" t="s">
        <v>12</v>
      </c>
      <c r="B8314" s="0" t="n">
        <v>2352565</v>
      </c>
      <c r="C8314" s="0" t="n">
        <v>2352585</v>
      </c>
      <c r="D8314" s="0" t="s">
        <v>27764</v>
      </c>
      <c r="E8314" s="0" t="s">
        <v>89</v>
      </c>
      <c r="F8314" s="0" t="s">
        <v>90</v>
      </c>
      <c r="G8314" s="0" t="s">
        <v>36</v>
      </c>
      <c r="H8314" s="0" t="n">
        <v>71</v>
      </c>
      <c r="I8314" s="0" t="s">
        <v>27774</v>
      </c>
      <c r="J8314" s="0" t="s">
        <v>27775</v>
      </c>
      <c r="K8314" s="0" t="s">
        <v>27776</v>
      </c>
      <c r="L8314" s="0" t="str">
        <f aca="false">HYPERLINK("https://www.ncbi.nlm.nih.gov/nuccore/CP000304.1?report=graph&amp;tracks=[key:gene_model_track,Options:GeneOnly]&amp;mk=2352636:2352655|offset_1|444444,2352615:2352634|offset_22|444444,2352589:2352608|offset_48|444444,2352566:2352585|offset_71|00cc00&amp;v=2352435:2352785&amp;c=444444", "offset 71")</f>
        <v>offset 71</v>
      </c>
    </row>
    <row r="8315" customFormat="false" ht="12.8" hidden="false" customHeight="false" outlineLevel="0" collapsed="false">
      <c r="A8315" s="0" t="s">
        <v>12</v>
      </c>
      <c r="B8315" s="0" t="n">
        <v>2353752</v>
      </c>
      <c r="C8315" s="0" t="n">
        <v>2353772</v>
      </c>
      <c r="D8315" s="0" t="s">
        <v>27777</v>
      </c>
      <c r="E8315" s="0" t="s">
        <v>89</v>
      </c>
      <c r="F8315" s="0" t="s">
        <v>90</v>
      </c>
      <c r="G8315" s="0" t="s">
        <v>36</v>
      </c>
      <c r="H8315" s="0" t="n">
        <v>7</v>
      </c>
      <c r="I8315" s="0" t="s">
        <v>27778</v>
      </c>
      <c r="J8315" s="0" t="s">
        <v>27779</v>
      </c>
      <c r="K8315" s="0" t="s">
        <v>27780</v>
      </c>
      <c r="L8315" s="0" t="str">
        <f aca="false">HYPERLINK("https://www.ncbi.nlm.nih.gov/nuccore/CP000304.1?report=graph&amp;tracks=[key:gene_model_track,Options:GeneOnly]&amp;mk=2353753:2353772|offset_7|00cc00,2353725:2353744|offset_35|444444,2353688:2353707|offset_72|444444,2353665:2353684|offset_95|444444&amp;v=2353552:2353884&amp;c=444444", "offset 7")</f>
        <v>offset 7</v>
      </c>
    </row>
    <row r="8316" customFormat="false" ht="12.8" hidden="false" customHeight="false" outlineLevel="0" collapsed="false">
      <c r="A8316" s="0" t="s">
        <v>12</v>
      </c>
      <c r="B8316" s="0" t="n">
        <v>2353724</v>
      </c>
      <c r="C8316" s="0" t="n">
        <v>2353744</v>
      </c>
      <c r="D8316" s="0" t="s">
        <v>27777</v>
      </c>
      <c r="E8316" s="0" t="s">
        <v>89</v>
      </c>
      <c r="F8316" s="0" t="s">
        <v>90</v>
      </c>
      <c r="G8316" s="0" t="s">
        <v>36</v>
      </c>
      <c r="H8316" s="0" t="n">
        <v>35</v>
      </c>
      <c r="I8316" s="0" t="s">
        <v>27781</v>
      </c>
      <c r="J8316" s="0" t="s">
        <v>27782</v>
      </c>
      <c r="K8316" s="0" t="s">
        <v>27783</v>
      </c>
      <c r="L8316" s="0" t="str">
        <f aca="false">HYPERLINK("https://www.ncbi.nlm.nih.gov/nuccore/CP000304.1?report=graph&amp;tracks=[key:gene_model_track,Options:GeneOnly]&amp;mk=2353753:2353772|offset_7|444444,2353725:2353744|offset_35|00cc00,2353688:2353707|offset_72|444444,2353665:2353684|offset_95|444444&amp;v=2353552:2353884&amp;c=444444", "offset 35")</f>
        <v>offset 35</v>
      </c>
    </row>
    <row r="8317" customFormat="false" ht="12.8" hidden="false" customHeight="false" outlineLevel="0" collapsed="false">
      <c r="A8317" s="0" t="s">
        <v>12</v>
      </c>
      <c r="B8317" s="0" t="n">
        <v>2353687</v>
      </c>
      <c r="C8317" s="0" t="n">
        <v>2353707</v>
      </c>
      <c r="D8317" s="0" t="s">
        <v>27777</v>
      </c>
      <c r="E8317" s="0" t="s">
        <v>89</v>
      </c>
      <c r="F8317" s="0" t="s">
        <v>90</v>
      </c>
      <c r="G8317" s="0" t="s">
        <v>16</v>
      </c>
      <c r="H8317" s="0" t="n">
        <v>72</v>
      </c>
      <c r="I8317" s="0" t="s">
        <v>27784</v>
      </c>
      <c r="J8317" s="0" t="s">
        <v>27785</v>
      </c>
      <c r="K8317" s="0" t="s">
        <v>27786</v>
      </c>
      <c r="L8317" s="0" t="str">
        <f aca="false">HYPERLINK("https://www.ncbi.nlm.nih.gov/nuccore/CP000304.1?report=graph&amp;tracks=[key:gene_model_track,Options:GeneOnly]&amp;mk=2353753:2353772|offset_7|444444,2353725:2353744|offset_35|444444,2353688:2353707|offset_72|00cc00,2353665:2353684|offset_95|444444&amp;v=2353552:2353884&amp;c=444444", "offset 72")</f>
        <v>offset 72</v>
      </c>
    </row>
    <row r="8318" customFormat="false" ht="12.8" hidden="false" customHeight="false" outlineLevel="0" collapsed="false">
      <c r="A8318" s="0" t="s">
        <v>12</v>
      </c>
      <c r="B8318" s="0" t="n">
        <v>2353664</v>
      </c>
      <c r="C8318" s="0" t="n">
        <v>2353684</v>
      </c>
      <c r="D8318" s="0" t="s">
        <v>27777</v>
      </c>
      <c r="E8318" s="0" t="s">
        <v>89</v>
      </c>
      <c r="F8318" s="0" t="s">
        <v>90</v>
      </c>
      <c r="G8318" s="0" t="s">
        <v>26</v>
      </c>
      <c r="H8318" s="0" t="n">
        <v>95</v>
      </c>
      <c r="I8318" s="0" t="s">
        <v>27787</v>
      </c>
      <c r="J8318" s="0" t="s">
        <v>27788</v>
      </c>
      <c r="K8318" s="0" t="s">
        <v>27789</v>
      </c>
      <c r="L8318" s="0" t="str">
        <f aca="false">HYPERLINK("https://www.ncbi.nlm.nih.gov/nuccore/CP000304.1?report=graph&amp;tracks=[key:gene_model_track,Options:GeneOnly]&amp;mk=2353753:2353772|offset_7|444444,2353725:2353744|offset_35|444444,2353688:2353707|offset_72|444444,2353665:2353684|offset_95|00cc00&amp;v=2353552:2353884&amp;c=444444", "offset 95")</f>
        <v>offset 95</v>
      </c>
    </row>
    <row r="8319" customFormat="false" ht="12.8" hidden="false" customHeight="false" outlineLevel="0" collapsed="false">
      <c r="A8319" s="0" t="s">
        <v>12</v>
      </c>
      <c r="B8319" s="0" t="n">
        <v>2354120</v>
      </c>
      <c r="C8319" s="0" t="n">
        <v>2354140</v>
      </c>
      <c r="D8319" s="0" t="s">
        <v>27790</v>
      </c>
      <c r="E8319" s="0" t="s">
        <v>27791</v>
      </c>
      <c r="F8319" s="0" t="s">
        <v>15</v>
      </c>
      <c r="G8319" s="0" t="s">
        <v>36</v>
      </c>
      <c r="H8319" s="0" t="n">
        <v>7</v>
      </c>
      <c r="I8319" s="0" t="s">
        <v>27792</v>
      </c>
      <c r="J8319" s="0" t="s">
        <v>27793</v>
      </c>
      <c r="K8319" s="0" t="s">
        <v>27794</v>
      </c>
      <c r="L8319" s="0" t="str">
        <f aca="false">HYPERLINK("https://www.ncbi.nlm.nih.gov/nuccore/CP000304.1?report=graph&amp;tracks=[key:gene_model_track,Options:GeneOnly]&amp;mk=2354121:2354140|offset_7|00cc00,2354179:2354198|offset_65|444444,2354217:2354236|offset_103|444444,2354259:2354278|offset_145|444444&amp;v=2353920:2354478&amp;c=444444", "offset 7")</f>
        <v>offset 7</v>
      </c>
    </row>
    <row r="8320" customFormat="false" ht="12.8" hidden="false" customHeight="false" outlineLevel="0" collapsed="false">
      <c r="A8320" s="0" t="s">
        <v>12</v>
      </c>
      <c r="B8320" s="0" t="n">
        <v>2354178</v>
      </c>
      <c r="C8320" s="0" t="n">
        <v>2354198</v>
      </c>
      <c r="D8320" s="0" t="s">
        <v>27790</v>
      </c>
      <c r="E8320" s="0" t="s">
        <v>27791</v>
      </c>
      <c r="F8320" s="0" t="s">
        <v>15</v>
      </c>
      <c r="G8320" s="0" t="s">
        <v>26</v>
      </c>
      <c r="H8320" s="0" t="n">
        <v>65</v>
      </c>
      <c r="I8320" s="0" t="s">
        <v>27795</v>
      </c>
      <c r="J8320" s="0" t="s">
        <v>27796</v>
      </c>
      <c r="K8320" s="0" t="s">
        <v>27797</v>
      </c>
      <c r="L8320" s="0" t="str">
        <f aca="false">HYPERLINK("https://www.ncbi.nlm.nih.gov/nuccore/CP000304.1?report=graph&amp;tracks=[key:gene_model_track,Options:GeneOnly]&amp;mk=2354121:2354140|offset_7|444444,2354179:2354198|offset_65|00cc00,2354217:2354236|offset_103|444444,2354259:2354278|offset_145|444444&amp;v=2353920:2354478&amp;c=444444", "offset 65")</f>
        <v>offset 65</v>
      </c>
    </row>
    <row r="8321" customFormat="false" ht="12.8" hidden="false" customHeight="false" outlineLevel="0" collapsed="false">
      <c r="A8321" s="0" t="s">
        <v>12</v>
      </c>
      <c r="B8321" s="0" t="n">
        <v>2354216</v>
      </c>
      <c r="C8321" s="0" t="n">
        <v>2354236</v>
      </c>
      <c r="D8321" s="0" t="s">
        <v>27790</v>
      </c>
      <c r="E8321" s="0" t="s">
        <v>27791</v>
      </c>
      <c r="F8321" s="0" t="s">
        <v>15</v>
      </c>
      <c r="G8321" s="0" t="s">
        <v>16</v>
      </c>
      <c r="H8321" s="0" t="n">
        <v>103</v>
      </c>
      <c r="I8321" s="0" t="s">
        <v>27798</v>
      </c>
      <c r="J8321" s="0" t="s">
        <v>27799</v>
      </c>
      <c r="K8321" s="0" t="s">
        <v>27800</v>
      </c>
      <c r="L8321" s="0" t="str">
        <f aca="false">HYPERLINK("https://www.ncbi.nlm.nih.gov/nuccore/CP000304.1?report=graph&amp;tracks=[key:gene_model_track,Options:GeneOnly]&amp;mk=2354121:2354140|offset_7|444444,2354179:2354198|offset_65|444444,2354217:2354236|offset_103|00cc00,2354259:2354278|offset_145|444444&amp;v=2353920:2354478&amp;c=444444", "offset 103")</f>
        <v>offset 103</v>
      </c>
    </row>
    <row r="8322" customFormat="false" ht="12.8" hidden="false" customHeight="false" outlineLevel="0" collapsed="false">
      <c r="A8322" s="0" t="s">
        <v>12</v>
      </c>
      <c r="B8322" s="0" t="n">
        <v>2354258</v>
      </c>
      <c r="C8322" s="0" t="n">
        <v>2354278</v>
      </c>
      <c r="D8322" s="0" t="s">
        <v>27790</v>
      </c>
      <c r="E8322" s="0" t="s">
        <v>27791</v>
      </c>
      <c r="F8322" s="0" t="s">
        <v>15</v>
      </c>
      <c r="G8322" s="0" t="s">
        <v>36</v>
      </c>
      <c r="H8322" s="0" t="n">
        <v>145</v>
      </c>
      <c r="I8322" s="0" t="s">
        <v>27801</v>
      </c>
      <c r="J8322" s="0" t="s">
        <v>27802</v>
      </c>
      <c r="K8322" s="0" t="s">
        <v>27803</v>
      </c>
      <c r="L8322" s="0" t="str">
        <f aca="false">HYPERLINK("https://www.ncbi.nlm.nih.gov/nuccore/CP000304.1?report=graph&amp;tracks=[key:gene_model_track,Options:GeneOnly]&amp;mk=2354121:2354140|offset_7|444444,2354179:2354198|offset_65|444444,2354217:2354236|offset_103|444444,2354259:2354278|offset_145|00cc00&amp;v=2353920:2354478&amp;c=444444", "offset 145")</f>
        <v>offset 145</v>
      </c>
    </row>
    <row r="8323" customFormat="false" ht="12.8" hidden="false" customHeight="false" outlineLevel="0" collapsed="false">
      <c r="A8323" s="0" t="s">
        <v>12</v>
      </c>
      <c r="B8323" s="0" t="n">
        <v>2355258</v>
      </c>
      <c r="C8323" s="0" t="n">
        <v>2355278</v>
      </c>
      <c r="D8323" s="0" t="s">
        <v>27804</v>
      </c>
      <c r="E8323" s="0" t="s">
        <v>27805</v>
      </c>
      <c r="F8323" s="0" t="s">
        <v>15</v>
      </c>
      <c r="G8323" s="0" t="s">
        <v>26</v>
      </c>
      <c r="H8323" s="0" t="n">
        <v>22</v>
      </c>
      <c r="I8323" s="0" t="s">
        <v>27806</v>
      </c>
      <c r="J8323" s="0" t="s">
        <v>27807</v>
      </c>
      <c r="K8323" s="0" t="s">
        <v>27808</v>
      </c>
      <c r="L8323" s="0" t="str">
        <f aca="false">HYPERLINK("https://www.ncbi.nlm.nih.gov/nuccore/CP000304.1?report=graph&amp;tracks=[key:gene_model_track,Options:GeneOnly]&amp;mk=2355259:2355278|offset_22|00cc00,2355298:2355317|offset_61|444444,2355318:2355337|offset_81|444444,2355342:2355361|offset_105|444444&amp;v=2355058:2355561&amp;c=444444", "offset 22")</f>
        <v>offset 22</v>
      </c>
    </row>
    <row r="8324" customFormat="false" ht="12.8" hidden="false" customHeight="false" outlineLevel="0" collapsed="false">
      <c r="A8324" s="0" t="s">
        <v>12</v>
      </c>
      <c r="B8324" s="0" t="n">
        <v>2355297</v>
      </c>
      <c r="C8324" s="0" t="n">
        <v>2355317</v>
      </c>
      <c r="D8324" s="0" t="s">
        <v>27804</v>
      </c>
      <c r="E8324" s="0" t="s">
        <v>27805</v>
      </c>
      <c r="F8324" s="0" t="s">
        <v>15</v>
      </c>
      <c r="G8324" s="0" t="s">
        <v>16</v>
      </c>
      <c r="H8324" s="0" t="n">
        <v>61</v>
      </c>
      <c r="I8324" s="0" t="s">
        <v>27809</v>
      </c>
      <c r="J8324" s="0" t="s">
        <v>27810</v>
      </c>
      <c r="K8324" s="0" t="s">
        <v>27811</v>
      </c>
      <c r="L8324" s="0" t="str">
        <f aca="false">HYPERLINK("https://www.ncbi.nlm.nih.gov/nuccore/CP000304.1?report=graph&amp;tracks=[key:gene_model_track,Options:GeneOnly]&amp;mk=2355259:2355278|offset_22|444444,2355298:2355317|offset_61|00cc00,2355318:2355337|offset_81|444444,2355342:2355361|offset_105|444444&amp;v=2355058:2355561&amp;c=444444", "offset 61")</f>
        <v>offset 61</v>
      </c>
    </row>
    <row r="8325" customFormat="false" ht="12.8" hidden="false" customHeight="false" outlineLevel="0" collapsed="false">
      <c r="A8325" s="0" t="s">
        <v>12</v>
      </c>
      <c r="B8325" s="0" t="n">
        <v>2355317</v>
      </c>
      <c r="C8325" s="0" t="n">
        <v>2355337</v>
      </c>
      <c r="D8325" s="0" t="s">
        <v>27804</v>
      </c>
      <c r="E8325" s="0" t="s">
        <v>27805</v>
      </c>
      <c r="F8325" s="0" t="s">
        <v>15</v>
      </c>
      <c r="G8325" s="0" t="s">
        <v>16</v>
      </c>
      <c r="H8325" s="0" t="n">
        <v>81</v>
      </c>
      <c r="I8325" s="0" t="s">
        <v>27812</v>
      </c>
      <c r="J8325" s="0" t="s">
        <v>27813</v>
      </c>
      <c r="K8325" s="0" t="s">
        <v>27814</v>
      </c>
      <c r="L8325" s="0" t="str">
        <f aca="false">HYPERLINK("https://www.ncbi.nlm.nih.gov/nuccore/CP000304.1?report=graph&amp;tracks=[key:gene_model_track,Options:GeneOnly]&amp;mk=2355259:2355278|offset_22|444444,2355298:2355317|offset_61|444444,2355318:2355337|offset_81|00cc00,2355342:2355361|offset_105|444444&amp;v=2355058:2355561&amp;c=444444", "offset 81")</f>
        <v>offset 81</v>
      </c>
    </row>
    <row r="8326" customFormat="false" ht="12.8" hidden="false" customHeight="false" outlineLevel="0" collapsed="false">
      <c r="A8326" s="0" t="s">
        <v>12</v>
      </c>
      <c r="B8326" s="0" t="n">
        <v>2355341</v>
      </c>
      <c r="C8326" s="0" t="n">
        <v>2355361</v>
      </c>
      <c r="D8326" s="0" t="s">
        <v>27804</v>
      </c>
      <c r="E8326" s="0" t="s">
        <v>27805</v>
      </c>
      <c r="F8326" s="0" t="s">
        <v>15</v>
      </c>
      <c r="G8326" s="0" t="s">
        <v>32</v>
      </c>
      <c r="H8326" s="0" t="n">
        <v>105</v>
      </c>
      <c r="I8326" s="0" t="s">
        <v>27815</v>
      </c>
      <c r="J8326" s="0" t="s">
        <v>27816</v>
      </c>
      <c r="K8326" s="0" t="s">
        <v>27817</v>
      </c>
      <c r="L8326" s="0" t="str">
        <f aca="false">HYPERLINK("https://www.ncbi.nlm.nih.gov/nuccore/CP000304.1?report=graph&amp;tracks=[key:gene_model_track,Options:GeneOnly]&amp;mk=2355259:2355278|offset_22|444444,2355298:2355317|offset_61|444444,2355318:2355337|offset_81|444444,2355342:2355361|offset_105|00cc00&amp;v=2355058:2355561&amp;c=444444", "offset 105")</f>
        <v>offset 105</v>
      </c>
    </row>
    <row r="8327" customFormat="false" ht="12.8" hidden="false" customHeight="false" outlineLevel="0" collapsed="false">
      <c r="A8327" s="0" t="s">
        <v>12</v>
      </c>
      <c r="B8327" s="0" t="n">
        <v>2359748</v>
      </c>
      <c r="C8327" s="0" t="n">
        <v>2359768</v>
      </c>
      <c r="D8327" s="0" t="s">
        <v>27818</v>
      </c>
      <c r="E8327" s="0" t="s">
        <v>27819</v>
      </c>
      <c r="F8327" s="0" t="s">
        <v>15</v>
      </c>
      <c r="G8327" s="0" t="s">
        <v>36</v>
      </c>
      <c r="H8327" s="0" t="n">
        <v>16</v>
      </c>
      <c r="I8327" s="0" t="s">
        <v>27820</v>
      </c>
      <c r="J8327" s="0" t="s">
        <v>27821</v>
      </c>
      <c r="K8327" s="0" t="s">
        <v>27822</v>
      </c>
      <c r="L8327" s="0" t="str">
        <f aca="false">HYPERLINK("https://www.ncbi.nlm.nih.gov/nuccore/CP000304.1?report=graph&amp;tracks=[key:gene_model_track,Options:GeneOnly]&amp;mk=2359749:2359768|offset_16|00cc00,2359770:2359789|offset_37|444444,2359792:2359811|offset_59|444444,2359814:2359833|offset_81|444444&amp;v=2359548:2360033&amp;c=444444", "offset 16")</f>
        <v>offset 16</v>
      </c>
    </row>
    <row r="8328" customFormat="false" ht="12.8" hidden="false" customHeight="false" outlineLevel="0" collapsed="false">
      <c r="A8328" s="0" t="s">
        <v>12</v>
      </c>
      <c r="B8328" s="0" t="n">
        <v>2359769</v>
      </c>
      <c r="C8328" s="0" t="n">
        <v>2359789</v>
      </c>
      <c r="D8328" s="0" t="s">
        <v>27818</v>
      </c>
      <c r="E8328" s="0" t="s">
        <v>27819</v>
      </c>
      <c r="F8328" s="0" t="s">
        <v>15</v>
      </c>
      <c r="G8328" s="0" t="s">
        <v>32</v>
      </c>
      <c r="H8328" s="0" t="n">
        <v>37</v>
      </c>
      <c r="I8328" s="0" t="s">
        <v>27823</v>
      </c>
      <c r="J8328" s="0" t="s">
        <v>27824</v>
      </c>
      <c r="K8328" s="0" t="s">
        <v>27825</v>
      </c>
      <c r="L8328" s="0" t="str">
        <f aca="false">HYPERLINK("https://www.ncbi.nlm.nih.gov/nuccore/CP000304.1?report=graph&amp;tracks=[key:gene_model_track,Options:GeneOnly]&amp;mk=2359749:2359768|offset_16|444444,2359770:2359789|offset_37|00cc00,2359792:2359811|offset_59|444444,2359814:2359833|offset_81|444444&amp;v=2359548:2360033&amp;c=444444", "offset 37")</f>
        <v>offset 37</v>
      </c>
    </row>
    <row r="8329" customFormat="false" ht="12.8" hidden="false" customHeight="false" outlineLevel="0" collapsed="false">
      <c r="A8329" s="0" t="s">
        <v>12</v>
      </c>
      <c r="B8329" s="0" t="n">
        <v>2359791</v>
      </c>
      <c r="C8329" s="0" t="n">
        <v>2359811</v>
      </c>
      <c r="D8329" s="0" t="s">
        <v>27818</v>
      </c>
      <c r="E8329" s="0" t="s">
        <v>27819</v>
      </c>
      <c r="F8329" s="0" t="s">
        <v>15</v>
      </c>
      <c r="G8329" s="0" t="s">
        <v>36</v>
      </c>
      <c r="H8329" s="0" t="n">
        <v>59</v>
      </c>
      <c r="I8329" s="0" t="s">
        <v>27826</v>
      </c>
      <c r="J8329" s="0" t="s">
        <v>27827</v>
      </c>
      <c r="K8329" s="0" t="s">
        <v>27828</v>
      </c>
      <c r="L8329" s="0" t="str">
        <f aca="false">HYPERLINK("https://www.ncbi.nlm.nih.gov/nuccore/CP000304.1?report=graph&amp;tracks=[key:gene_model_track,Options:GeneOnly]&amp;mk=2359749:2359768|offset_16|444444,2359770:2359789|offset_37|444444,2359792:2359811|offset_59|00cc00,2359814:2359833|offset_81|444444&amp;v=2359548:2360033&amp;c=444444", "offset 59")</f>
        <v>offset 59</v>
      </c>
    </row>
    <row r="8330" customFormat="false" ht="12.8" hidden="false" customHeight="false" outlineLevel="0" collapsed="false">
      <c r="A8330" s="0" t="s">
        <v>12</v>
      </c>
      <c r="B8330" s="0" t="n">
        <v>2359813</v>
      </c>
      <c r="C8330" s="0" t="n">
        <v>2359833</v>
      </c>
      <c r="D8330" s="0" t="s">
        <v>27818</v>
      </c>
      <c r="E8330" s="0" t="s">
        <v>27819</v>
      </c>
      <c r="F8330" s="0" t="s">
        <v>15</v>
      </c>
      <c r="G8330" s="0" t="s">
        <v>16</v>
      </c>
      <c r="H8330" s="0" t="n">
        <v>81</v>
      </c>
      <c r="I8330" s="0" t="s">
        <v>27829</v>
      </c>
      <c r="J8330" s="0" t="s">
        <v>27830</v>
      </c>
      <c r="K8330" s="0" t="s">
        <v>27831</v>
      </c>
      <c r="L8330" s="0" t="str">
        <f aca="false">HYPERLINK("https://www.ncbi.nlm.nih.gov/nuccore/CP000304.1?report=graph&amp;tracks=[key:gene_model_track,Options:GeneOnly]&amp;mk=2359749:2359768|offset_16|444444,2359770:2359789|offset_37|444444,2359792:2359811|offset_59|444444,2359814:2359833|offset_81|00cc00&amp;v=2359548:2360033&amp;c=444444", "offset 81")</f>
        <v>offset 81</v>
      </c>
    </row>
    <row r="8331" customFormat="false" ht="12.8" hidden="false" customHeight="false" outlineLevel="0" collapsed="false">
      <c r="A8331" s="0" t="s">
        <v>12</v>
      </c>
      <c r="B8331" s="0" t="n">
        <v>2361202</v>
      </c>
      <c r="C8331" s="0" t="n">
        <v>2361222</v>
      </c>
      <c r="D8331" s="0" t="s">
        <v>27832</v>
      </c>
      <c r="E8331" s="0" t="s">
        <v>89</v>
      </c>
      <c r="F8331" s="0" t="s">
        <v>15</v>
      </c>
      <c r="G8331" s="0" t="s">
        <v>16</v>
      </c>
      <c r="H8331" s="0" t="n">
        <v>6</v>
      </c>
      <c r="I8331" s="0" t="s">
        <v>27833</v>
      </c>
      <c r="J8331" s="0" t="s">
        <v>27834</v>
      </c>
      <c r="K8331" s="0" t="s">
        <v>27835</v>
      </c>
      <c r="L8331" s="0" t="str">
        <f aca="false">HYPERLINK("https://www.ncbi.nlm.nih.gov/nuccore/CP000304.1?report=graph&amp;tracks=[key:gene_model_track,Options:GeneOnly]&amp;mk=2361203:2361222|offset_6|00cc00,2361228:2361247|offset_31|444444,2361253:2361272|offset_56|444444,2361284:2361303|offset_87|444444&amp;v=2361002:2361503&amp;c=444444", "offset 6")</f>
        <v>offset 6</v>
      </c>
    </row>
    <row r="8332" customFormat="false" ht="12.8" hidden="false" customHeight="false" outlineLevel="0" collapsed="false">
      <c r="A8332" s="0" t="s">
        <v>12</v>
      </c>
      <c r="B8332" s="0" t="n">
        <v>2361227</v>
      </c>
      <c r="C8332" s="0" t="n">
        <v>2361247</v>
      </c>
      <c r="D8332" s="0" t="s">
        <v>27832</v>
      </c>
      <c r="E8332" s="0" t="s">
        <v>89</v>
      </c>
      <c r="F8332" s="0" t="s">
        <v>15</v>
      </c>
      <c r="G8332" s="0" t="s">
        <v>16</v>
      </c>
      <c r="H8332" s="0" t="n">
        <v>31</v>
      </c>
      <c r="I8332" s="0" t="s">
        <v>27836</v>
      </c>
      <c r="J8332" s="0" t="s">
        <v>27837</v>
      </c>
      <c r="K8332" s="0" t="s">
        <v>27838</v>
      </c>
      <c r="L8332" s="0" t="str">
        <f aca="false">HYPERLINK("https://www.ncbi.nlm.nih.gov/nuccore/CP000304.1?report=graph&amp;tracks=[key:gene_model_track,Options:GeneOnly]&amp;mk=2361203:2361222|offset_6|444444,2361228:2361247|offset_31|00cc00,2361253:2361272|offset_56|444444,2361284:2361303|offset_87|444444&amp;v=2361002:2361503&amp;c=444444", "offset 31")</f>
        <v>offset 31</v>
      </c>
    </row>
    <row r="8333" customFormat="false" ht="12.8" hidden="false" customHeight="false" outlineLevel="0" collapsed="false">
      <c r="A8333" s="0" t="s">
        <v>12</v>
      </c>
      <c r="B8333" s="0" t="n">
        <v>2361252</v>
      </c>
      <c r="C8333" s="0" t="n">
        <v>2361272</v>
      </c>
      <c r="D8333" s="0" t="s">
        <v>27832</v>
      </c>
      <c r="E8333" s="0" t="s">
        <v>89</v>
      </c>
      <c r="F8333" s="0" t="s">
        <v>15</v>
      </c>
      <c r="G8333" s="0" t="s">
        <v>16</v>
      </c>
      <c r="H8333" s="0" t="n">
        <v>56</v>
      </c>
      <c r="I8333" s="0" t="s">
        <v>27839</v>
      </c>
      <c r="J8333" s="0" t="s">
        <v>27840</v>
      </c>
      <c r="K8333" s="0" t="s">
        <v>27841</v>
      </c>
      <c r="L8333" s="0" t="str">
        <f aca="false">HYPERLINK("https://www.ncbi.nlm.nih.gov/nuccore/CP000304.1?report=graph&amp;tracks=[key:gene_model_track,Options:GeneOnly]&amp;mk=2361203:2361222|offset_6|444444,2361228:2361247|offset_31|444444,2361253:2361272|offset_56|00cc00,2361284:2361303|offset_87|444444&amp;v=2361002:2361503&amp;c=444444", "offset 56")</f>
        <v>offset 56</v>
      </c>
    </row>
    <row r="8334" customFormat="false" ht="12.8" hidden="false" customHeight="false" outlineLevel="0" collapsed="false">
      <c r="A8334" s="0" t="s">
        <v>12</v>
      </c>
      <c r="B8334" s="0" t="n">
        <v>2361283</v>
      </c>
      <c r="C8334" s="0" t="n">
        <v>2361303</v>
      </c>
      <c r="D8334" s="0" t="s">
        <v>27832</v>
      </c>
      <c r="E8334" s="0" t="s">
        <v>89</v>
      </c>
      <c r="F8334" s="0" t="s">
        <v>15</v>
      </c>
      <c r="G8334" s="0" t="s">
        <v>16</v>
      </c>
      <c r="H8334" s="0" t="n">
        <v>87</v>
      </c>
      <c r="I8334" s="0" t="s">
        <v>27842</v>
      </c>
      <c r="J8334" s="0" t="s">
        <v>27843</v>
      </c>
      <c r="K8334" s="0" t="s">
        <v>27844</v>
      </c>
      <c r="L8334" s="0" t="str">
        <f aca="false">HYPERLINK("https://www.ncbi.nlm.nih.gov/nuccore/CP000304.1?report=graph&amp;tracks=[key:gene_model_track,Options:GeneOnly]&amp;mk=2361203:2361222|offset_6|444444,2361228:2361247|offset_31|444444,2361253:2361272|offset_56|444444,2361284:2361303|offset_87|00cc00&amp;v=2361002:2361503&amp;c=444444", "offset 87")</f>
        <v>offset 87</v>
      </c>
    </row>
    <row r="8335" customFormat="false" ht="12.8" hidden="false" customHeight="false" outlineLevel="0" collapsed="false">
      <c r="A8335" s="0" t="s">
        <v>12</v>
      </c>
      <c r="B8335" s="0" t="n">
        <v>2361383</v>
      </c>
      <c r="C8335" s="0" t="n">
        <v>2361403</v>
      </c>
      <c r="D8335" s="0" t="s">
        <v>27845</v>
      </c>
      <c r="E8335" s="0" t="s">
        <v>89</v>
      </c>
      <c r="F8335" s="0" t="s">
        <v>15</v>
      </c>
      <c r="G8335" s="0" t="s">
        <v>36</v>
      </c>
      <c r="H8335" s="0" t="n">
        <v>8</v>
      </c>
      <c r="I8335" s="0" t="s">
        <v>27846</v>
      </c>
      <c r="J8335" s="0" t="s">
        <v>27847</v>
      </c>
      <c r="K8335" s="0" t="s">
        <v>27848</v>
      </c>
      <c r="L8335" s="0" t="str">
        <f aca="false">HYPERLINK("https://www.ncbi.nlm.nih.gov/nuccore/CP000304.1?report=graph&amp;tracks=[key:gene_model_track,Options:GeneOnly]&amp;mk=2361384:2361403|offset_8|00cc00,2361435:2361454|offset_59|444444,2361455:2361474|offset_79|444444,2361476:2361495|offset_100|444444&amp;v=2361183:2361695&amp;c=444444", "offset 8")</f>
        <v>offset 8</v>
      </c>
    </row>
    <row r="8336" customFormat="false" ht="12.8" hidden="false" customHeight="false" outlineLevel="0" collapsed="false">
      <c r="A8336" s="0" t="s">
        <v>12</v>
      </c>
      <c r="B8336" s="0" t="n">
        <v>2361434</v>
      </c>
      <c r="C8336" s="0" t="n">
        <v>2361454</v>
      </c>
      <c r="D8336" s="0" t="s">
        <v>27845</v>
      </c>
      <c r="E8336" s="0" t="s">
        <v>89</v>
      </c>
      <c r="F8336" s="0" t="s">
        <v>15</v>
      </c>
      <c r="G8336" s="0" t="s">
        <v>26</v>
      </c>
      <c r="H8336" s="0" t="n">
        <v>59</v>
      </c>
      <c r="I8336" s="0" t="s">
        <v>27849</v>
      </c>
      <c r="J8336" s="0" t="s">
        <v>27850</v>
      </c>
      <c r="K8336" s="0" t="s">
        <v>27851</v>
      </c>
      <c r="L8336" s="0" t="str">
        <f aca="false">HYPERLINK("https://www.ncbi.nlm.nih.gov/nuccore/CP000304.1?report=graph&amp;tracks=[key:gene_model_track,Options:GeneOnly]&amp;mk=2361384:2361403|offset_8|444444,2361435:2361454|offset_59|00cc00,2361455:2361474|offset_79|444444,2361476:2361495|offset_100|444444&amp;v=2361183:2361695&amp;c=444444", "offset 59")</f>
        <v>offset 59</v>
      </c>
    </row>
    <row r="8337" customFormat="false" ht="12.8" hidden="false" customHeight="false" outlineLevel="0" collapsed="false">
      <c r="A8337" s="0" t="s">
        <v>12</v>
      </c>
      <c r="B8337" s="0" t="n">
        <v>2361454</v>
      </c>
      <c r="C8337" s="0" t="n">
        <v>2361474</v>
      </c>
      <c r="D8337" s="0" t="s">
        <v>27845</v>
      </c>
      <c r="E8337" s="0" t="s">
        <v>89</v>
      </c>
      <c r="F8337" s="0" t="s">
        <v>15</v>
      </c>
      <c r="G8337" s="0" t="s">
        <v>16</v>
      </c>
      <c r="H8337" s="0" t="n">
        <v>79</v>
      </c>
      <c r="I8337" s="0" t="s">
        <v>27852</v>
      </c>
      <c r="J8337" s="0" t="s">
        <v>27853</v>
      </c>
      <c r="K8337" s="0" t="s">
        <v>27854</v>
      </c>
      <c r="L8337" s="0" t="str">
        <f aca="false">HYPERLINK("https://www.ncbi.nlm.nih.gov/nuccore/CP000304.1?report=graph&amp;tracks=[key:gene_model_track,Options:GeneOnly]&amp;mk=2361384:2361403|offset_8|444444,2361435:2361454|offset_59|444444,2361455:2361474|offset_79|00cc00,2361476:2361495|offset_100|444444&amp;v=2361183:2361695&amp;c=444444", "offset 79")</f>
        <v>offset 79</v>
      </c>
    </row>
    <row r="8338" customFormat="false" ht="12.8" hidden="false" customHeight="false" outlineLevel="0" collapsed="false">
      <c r="A8338" s="0" t="s">
        <v>12</v>
      </c>
      <c r="B8338" s="0" t="n">
        <v>2361475</v>
      </c>
      <c r="C8338" s="0" t="n">
        <v>2361495</v>
      </c>
      <c r="D8338" s="0" t="s">
        <v>27845</v>
      </c>
      <c r="E8338" s="0" t="s">
        <v>89</v>
      </c>
      <c r="F8338" s="0" t="s">
        <v>15</v>
      </c>
      <c r="G8338" s="0" t="s">
        <v>16</v>
      </c>
      <c r="H8338" s="0" t="n">
        <v>100</v>
      </c>
      <c r="I8338" s="0" t="s">
        <v>27855</v>
      </c>
      <c r="J8338" s="0" t="s">
        <v>27856</v>
      </c>
      <c r="K8338" s="0" t="s">
        <v>27857</v>
      </c>
      <c r="L8338" s="0" t="str">
        <f aca="false">HYPERLINK("https://www.ncbi.nlm.nih.gov/nuccore/CP000304.1?report=graph&amp;tracks=[key:gene_model_track,Options:GeneOnly]&amp;mk=2361384:2361403|offset_8|444444,2361435:2361454|offset_59|444444,2361455:2361474|offset_79|444444,2361476:2361495|offset_100|00cc00&amp;v=2361183:2361695&amp;c=444444", "offset 100")</f>
        <v>offset 100</v>
      </c>
    </row>
    <row r="8339" customFormat="false" ht="12.8" hidden="false" customHeight="false" outlineLevel="0" collapsed="false">
      <c r="A8339" s="0" t="s">
        <v>12</v>
      </c>
      <c r="B8339" s="0" t="n">
        <v>2362170</v>
      </c>
      <c r="C8339" s="0" t="n">
        <v>2362190</v>
      </c>
      <c r="D8339" s="0" t="s">
        <v>27858</v>
      </c>
      <c r="E8339" s="0" t="s">
        <v>89</v>
      </c>
      <c r="F8339" s="0" t="s">
        <v>15</v>
      </c>
      <c r="G8339" s="0" t="s">
        <v>32</v>
      </c>
      <c r="H8339" s="0" t="n">
        <v>10</v>
      </c>
      <c r="I8339" s="0" t="s">
        <v>27859</v>
      </c>
      <c r="J8339" s="0" t="s">
        <v>27860</v>
      </c>
      <c r="K8339" s="0" t="s">
        <v>27861</v>
      </c>
      <c r="L8339" s="0" t="str">
        <f aca="false">HYPERLINK("https://www.ncbi.nlm.nih.gov/nuccore/CP000304.1?report=graph&amp;tracks=[key:gene_model_track,Options:GeneOnly]&amp;mk=2362171:2362190|offset_10|00cc00,2362206:2362225|offset_45|444444,2362252:2362271|offset_91|444444,2362276:2362295|offset_115|444444&amp;v=2361970:2362495&amp;c=444444", "offset 10")</f>
        <v>offset 10</v>
      </c>
    </row>
    <row r="8340" customFormat="false" ht="12.8" hidden="false" customHeight="false" outlineLevel="0" collapsed="false">
      <c r="A8340" s="0" t="s">
        <v>12</v>
      </c>
      <c r="B8340" s="0" t="n">
        <v>2362205</v>
      </c>
      <c r="C8340" s="0" t="n">
        <v>2362225</v>
      </c>
      <c r="D8340" s="0" t="s">
        <v>27858</v>
      </c>
      <c r="E8340" s="0" t="s">
        <v>89</v>
      </c>
      <c r="F8340" s="0" t="s">
        <v>15</v>
      </c>
      <c r="G8340" s="0" t="s">
        <v>36</v>
      </c>
      <c r="H8340" s="0" t="n">
        <v>45</v>
      </c>
      <c r="I8340" s="0" t="s">
        <v>27862</v>
      </c>
      <c r="J8340" s="0" t="s">
        <v>27863</v>
      </c>
      <c r="K8340" s="0" t="s">
        <v>27864</v>
      </c>
      <c r="L8340" s="0" t="str">
        <f aca="false">HYPERLINK("https://www.ncbi.nlm.nih.gov/nuccore/CP000304.1?report=graph&amp;tracks=[key:gene_model_track,Options:GeneOnly]&amp;mk=2362171:2362190|offset_10|444444,2362206:2362225|offset_45|00cc00,2362252:2362271|offset_91|444444,2362276:2362295|offset_115|444444&amp;v=2361970:2362495&amp;c=444444", "offset 45")</f>
        <v>offset 45</v>
      </c>
    </row>
    <row r="8341" customFormat="false" ht="12.8" hidden="false" customHeight="false" outlineLevel="0" collapsed="false">
      <c r="A8341" s="0" t="s">
        <v>12</v>
      </c>
      <c r="B8341" s="0" t="n">
        <v>2362251</v>
      </c>
      <c r="C8341" s="0" t="n">
        <v>2362271</v>
      </c>
      <c r="D8341" s="0" t="s">
        <v>27858</v>
      </c>
      <c r="E8341" s="0" t="s">
        <v>89</v>
      </c>
      <c r="F8341" s="0" t="s">
        <v>15</v>
      </c>
      <c r="G8341" s="0" t="s">
        <v>16</v>
      </c>
      <c r="H8341" s="0" t="n">
        <v>91</v>
      </c>
      <c r="I8341" s="0" t="s">
        <v>27865</v>
      </c>
      <c r="J8341" s="0" t="s">
        <v>27866</v>
      </c>
      <c r="K8341" s="0" t="s">
        <v>27867</v>
      </c>
      <c r="L8341" s="0" t="str">
        <f aca="false">HYPERLINK("https://www.ncbi.nlm.nih.gov/nuccore/CP000304.1?report=graph&amp;tracks=[key:gene_model_track,Options:GeneOnly]&amp;mk=2362171:2362190|offset_10|444444,2362206:2362225|offset_45|444444,2362252:2362271|offset_91|00cc00,2362276:2362295|offset_115|444444&amp;v=2361970:2362495&amp;c=444444", "offset 91")</f>
        <v>offset 91</v>
      </c>
    </row>
    <row r="8342" customFormat="false" ht="12.8" hidden="false" customHeight="false" outlineLevel="0" collapsed="false">
      <c r="A8342" s="0" t="s">
        <v>12</v>
      </c>
      <c r="B8342" s="0" t="n">
        <v>2362275</v>
      </c>
      <c r="C8342" s="0" t="n">
        <v>2362295</v>
      </c>
      <c r="D8342" s="0" t="s">
        <v>27858</v>
      </c>
      <c r="E8342" s="0" t="s">
        <v>89</v>
      </c>
      <c r="F8342" s="0" t="s">
        <v>15</v>
      </c>
      <c r="G8342" s="0" t="s">
        <v>16</v>
      </c>
      <c r="H8342" s="0" t="n">
        <v>115</v>
      </c>
      <c r="I8342" s="0" t="s">
        <v>27868</v>
      </c>
      <c r="J8342" s="0" t="s">
        <v>27869</v>
      </c>
      <c r="K8342" s="0" t="s">
        <v>27870</v>
      </c>
      <c r="L8342" s="0" t="str">
        <f aca="false">HYPERLINK("https://www.ncbi.nlm.nih.gov/nuccore/CP000304.1?report=graph&amp;tracks=[key:gene_model_track,Options:GeneOnly]&amp;mk=2362171:2362190|offset_10|444444,2362206:2362225|offset_45|444444,2362252:2362271|offset_91|444444,2362276:2362295|offset_115|00cc00&amp;v=2361970:2362495&amp;c=444444", "offset 115")</f>
        <v>offset 115</v>
      </c>
    </row>
    <row r="8343" customFormat="false" ht="12.8" hidden="false" customHeight="false" outlineLevel="0" collapsed="false">
      <c r="A8343" s="0" t="s">
        <v>12</v>
      </c>
      <c r="B8343" s="0" t="n">
        <v>2362823</v>
      </c>
      <c r="C8343" s="0" t="n">
        <v>2362843</v>
      </c>
      <c r="D8343" s="0" t="s">
        <v>27871</v>
      </c>
      <c r="E8343" s="0" t="s">
        <v>89</v>
      </c>
      <c r="F8343" s="0" t="s">
        <v>15</v>
      </c>
      <c r="G8343" s="0" t="s">
        <v>32</v>
      </c>
      <c r="H8343" s="0" t="n">
        <v>15</v>
      </c>
      <c r="I8343" s="0" t="s">
        <v>27872</v>
      </c>
      <c r="J8343" s="0" t="s">
        <v>27873</v>
      </c>
      <c r="K8343" s="0" t="s">
        <v>27874</v>
      </c>
      <c r="L8343" s="0" t="str">
        <f aca="false">HYPERLINK("https://www.ncbi.nlm.nih.gov/nuccore/CP000304.1?report=graph&amp;tracks=[key:gene_model_track,Options:GeneOnly]&amp;mk=2362824:2362843|offset_15|00cc00,2362857:2362876|offset_48|444444,2362891:2362910|offset_82|444444,2362948:2362967|offset_139|444444&amp;v=2362623:2363167&amp;c=444444", "offset 15")</f>
        <v>offset 15</v>
      </c>
    </row>
    <row r="8344" customFormat="false" ht="12.8" hidden="false" customHeight="false" outlineLevel="0" collapsed="false">
      <c r="A8344" s="0" t="s">
        <v>12</v>
      </c>
      <c r="B8344" s="0" t="n">
        <v>2362856</v>
      </c>
      <c r="C8344" s="0" t="n">
        <v>2362876</v>
      </c>
      <c r="D8344" s="0" t="s">
        <v>27871</v>
      </c>
      <c r="E8344" s="0" t="s">
        <v>89</v>
      </c>
      <c r="F8344" s="0" t="s">
        <v>15</v>
      </c>
      <c r="G8344" s="0" t="s">
        <v>16</v>
      </c>
      <c r="H8344" s="0" t="n">
        <v>48</v>
      </c>
      <c r="I8344" s="0" t="s">
        <v>27875</v>
      </c>
      <c r="J8344" s="0" t="s">
        <v>27876</v>
      </c>
      <c r="K8344" s="0" t="s">
        <v>27877</v>
      </c>
      <c r="L8344" s="0" t="str">
        <f aca="false">HYPERLINK("https://www.ncbi.nlm.nih.gov/nuccore/CP000304.1?report=graph&amp;tracks=[key:gene_model_track,Options:GeneOnly]&amp;mk=2362824:2362843|offset_15|444444,2362857:2362876|offset_48|00cc00,2362891:2362910|offset_82|444444,2362948:2362967|offset_139|444444&amp;v=2362623:2363167&amp;c=444444", "offset 48")</f>
        <v>offset 48</v>
      </c>
    </row>
    <row r="8345" customFormat="false" ht="12.8" hidden="false" customHeight="false" outlineLevel="0" collapsed="false">
      <c r="A8345" s="0" t="s">
        <v>12</v>
      </c>
      <c r="B8345" s="0" t="n">
        <v>2362890</v>
      </c>
      <c r="C8345" s="0" t="n">
        <v>2362910</v>
      </c>
      <c r="D8345" s="0" t="s">
        <v>27871</v>
      </c>
      <c r="E8345" s="0" t="s">
        <v>89</v>
      </c>
      <c r="F8345" s="0" t="s">
        <v>15</v>
      </c>
      <c r="G8345" s="0" t="s">
        <v>16</v>
      </c>
      <c r="H8345" s="0" t="n">
        <v>82</v>
      </c>
      <c r="I8345" s="0" t="s">
        <v>27878</v>
      </c>
      <c r="J8345" s="0" t="s">
        <v>27879</v>
      </c>
      <c r="K8345" s="0" t="s">
        <v>27880</v>
      </c>
      <c r="L8345" s="0" t="str">
        <f aca="false">HYPERLINK("https://www.ncbi.nlm.nih.gov/nuccore/CP000304.1?report=graph&amp;tracks=[key:gene_model_track,Options:GeneOnly]&amp;mk=2362824:2362843|offset_15|444444,2362857:2362876|offset_48|444444,2362891:2362910|offset_82|00cc00,2362948:2362967|offset_139|444444&amp;v=2362623:2363167&amp;c=444444", "offset 82")</f>
        <v>offset 82</v>
      </c>
    </row>
    <row r="8346" customFormat="false" ht="12.8" hidden="false" customHeight="false" outlineLevel="0" collapsed="false">
      <c r="A8346" s="0" t="s">
        <v>12</v>
      </c>
      <c r="B8346" s="0" t="n">
        <v>2362947</v>
      </c>
      <c r="C8346" s="0" t="n">
        <v>2362967</v>
      </c>
      <c r="D8346" s="0" t="s">
        <v>27871</v>
      </c>
      <c r="E8346" s="0" t="s">
        <v>89</v>
      </c>
      <c r="F8346" s="0" t="s">
        <v>15</v>
      </c>
      <c r="G8346" s="0" t="s">
        <v>16</v>
      </c>
      <c r="H8346" s="0" t="n">
        <v>139</v>
      </c>
      <c r="I8346" s="0" t="s">
        <v>27881</v>
      </c>
      <c r="J8346" s="0" t="s">
        <v>27882</v>
      </c>
      <c r="K8346" s="0" t="s">
        <v>27883</v>
      </c>
      <c r="L8346" s="0" t="str">
        <f aca="false">HYPERLINK("https://www.ncbi.nlm.nih.gov/nuccore/CP000304.1?report=graph&amp;tracks=[key:gene_model_track,Options:GeneOnly]&amp;mk=2362824:2362843|offset_15|444444,2362857:2362876|offset_48|444444,2362891:2362910|offset_82|444444,2362948:2362967|offset_139|00cc00&amp;v=2362623:2363167&amp;c=444444", "offset 139")</f>
        <v>offset 139</v>
      </c>
    </row>
    <row r="8347" customFormat="false" ht="12.8" hidden="false" customHeight="false" outlineLevel="0" collapsed="false">
      <c r="A8347" s="0" t="s">
        <v>12</v>
      </c>
      <c r="B8347" s="0" t="n">
        <v>2365298</v>
      </c>
      <c r="C8347" s="0" t="n">
        <v>2365318</v>
      </c>
      <c r="D8347" s="0" t="s">
        <v>27884</v>
      </c>
      <c r="E8347" s="0" t="s">
        <v>89</v>
      </c>
      <c r="F8347" s="0" t="s">
        <v>90</v>
      </c>
      <c r="G8347" s="0" t="s">
        <v>26</v>
      </c>
      <c r="H8347" s="0" t="n">
        <v>1</v>
      </c>
      <c r="I8347" s="0" t="s">
        <v>27885</v>
      </c>
      <c r="J8347" s="0" t="s">
        <v>27886</v>
      </c>
      <c r="K8347" s="0" t="s">
        <v>27887</v>
      </c>
      <c r="L8347" s="0" t="str">
        <f aca="false">HYPERLINK("https://www.ncbi.nlm.nih.gov/nuccore/CP000304.1?report=graph&amp;tracks=[key:gene_model_track,Options:GeneOnly]&amp;mk=2365299:2365318|offset_1|00cc00,2365270:2365289|offset_30|444444,2365246:2365265|offset_54|444444,2365221:2365240|offset_79|444444&amp;v=2365098:2365440&amp;c=444444", "offset 1")</f>
        <v>offset 1</v>
      </c>
    </row>
    <row r="8348" customFormat="false" ht="12.8" hidden="false" customHeight="false" outlineLevel="0" collapsed="false">
      <c r="A8348" s="0" t="s">
        <v>12</v>
      </c>
      <c r="B8348" s="0" t="n">
        <v>2365269</v>
      </c>
      <c r="C8348" s="0" t="n">
        <v>2365289</v>
      </c>
      <c r="D8348" s="0" t="s">
        <v>27884</v>
      </c>
      <c r="E8348" s="0" t="s">
        <v>89</v>
      </c>
      <c r="F8348" s="0" t="s">
        <v>90</v>
      </c>
      <c r="G8348" s="0" t="s">
        <v>36</v>
      </c>
      <c r="H8348" s="0" t="n">
        <v>30</v>
      </c>
      <c r="I8348" s="0" t="s">
        <v>27888</v>
      </c>
      <c r="J8348" s="0" t="s">
        <v>27889</v>
      </c>
      <c r="K8348" s="0" t="s">
        <v>27890</v>
      </c>
      <c r="L8348" s="0" t="str">
        <f aca="false">HYPERLINK("https://www.ncbi.nlm.nih.gov/nuccore/CP000304.1?report=graph&amp;tracks=[key:gene_model_track,Options:GeneOnly]&amp;mk=2365299:2365318|offset_1|444444,2365270:2365289|offset_30|00cc00,2365246:2365265|offset_54|444444,2365221:2365240|offset_79|444444&amp;v=2365098:2365440&amp;c=444444", "offset 30")</f>
        <v>offset 30</v>
      </c>
    </row>
    <row r="8349" customFormat="false" ht="12.8" hidden="false" customHeight="false" outlineLevel="0" collapsed="false">
      <c r="A8349" s="0" t="s">
        <v>12</v>
      </c>
      <c r="B8349" s="0" t="n">
        <v>2365245</v>
      </c>
      <c r="C8349" s="0" t="n">
        <v>2365265</v>
      </c>
      <c r="D8349" s="0" t="s">
        <v>27884</v>
      </c>
      <c r="E8349" s="0" t="s">
        <v>89</v>
      </c>
      <c r="F8349" s="0" t="s">
        <v>90</v>
      </c>
      <c r="G8349" s="0" t="s">
        <v>26</v>
      </c>
      <c r="H8349" s="0" t="n">
        <v>54</v>
      </c>
      <c r="I8349" s="0" t="s">
        <v>27891</v>
      </c>
      <c r="J8349" s="0" t="s">
        <v>27892</v>
      </c>
      <c r="K8349" s="0" t="s">
        <v>27893</v>
      </c>
      <c r="L8349" s="0" t="str">
        <f aca="false">HYPERLINK("https://www.ncbi.nlm.nih.gov/nuccore/CP000304.1?report=graph&amp;tracks=[key:gene_model_track,Options:GeneOnly]&amp;mk=2365299:2365318|offset_1|444444,2365270:2365289|offset_30|444444,2365246:2365265|offset_54|00cc00,2365221:2365240|offset_79|444444&amp;v=2365098:2365440&amp;c=444444", "offset 54")</f>
        <v>offset 54</v>
      </c>
    </row>
    <row r="8350" customFormat="false" ht="12.8" hidden="false" customHeight="false" outlineLevel="0" collapsed="false">
      <c r="A8350" s="0" t="s">
        <v>12</v>
      </c>
      <c r="B8350" s="0" t="n">
        <v>2365220</v>
      </c>
      <c r="C8350" s="0" t="n">
        <v>2365240</v>
      </c>
      <c r="D8350" s="0" t="s">
        <v>27884</v>
      </c>
      <c r="E8350" s="0" t="s">
        <v>89</v>
      </c>
      <c r="F8350" s="0" t="s">
        <v>90</v>
      </c>
      <c r="G8350" s="0" t="s">
        <v>16</v>
      </c>
      <c r="H8350" s="0" t="n">
        <v>79</v>
      </c>
      <c r="I8350" s="0" t="s">
        <v>27894</v>
      </c>
      <c r="J8350" s="0" t="s">
        <v>27895</v>
      </c>
      <c r="K8350" s="0" t="s">
        <v>27896</v>
      </c>
      <c r="L8350" s="0" t="str">
        <f aca="false">HYPERLINK("https://www.ncbi.nlm.nih.gov/nuccore/CP000304.1?report=graph&amp;tracks=[key:gene_model_track,Options:GeneOnly]&amp;mk=2365299:2365318|offset_1|444444,2365270:2365289|offset_30|444444,2365246:2365265|offset_54|444444,2365221:2365240|offset_79|00cc00&amp;v=2365098:2365440&amp;c=444444", "offset 79")</f>
        <v>offset 79</v>
      </c>
    </row>
    <row r="8351" customFormat="false" ht="12.8" hidden="false" customHeight="false" outlineLevel="0" collapsed="false">
      <c r="A8351" s="0" t="s">
        <v>12</v>
      </c>
      <c r="B8351" s="0" t="n">
        <v>2368464</v>
      </c>
      <c r="C8351" s="0" t="n">
        <v>2368484</v>
      </c>
      <c r="D8351" s="0" t="s">
        <v>27897</v>
      </c>
      <c r="E8351" s="0" t="s">
        <v>89</v>
      </c>
      <c r="F8351" s="0" t="s">
        <v>90</v>
      </c>
      <c r="G8351" s="0" t="s">
        <v>26</v>
      </c>
      <c r="H8351" s="0" t="n">
        <v>8</v>
      </c>
      <c r="I8351" s="0" t="s">
        <v>27898</v>
      </c>
      <c r="J8351" s="0" t="s">
        <v>27899</v>
      </c>
      <c r="K8351" s="0" t="s">
        <v>27900</v>
      </c>
      <c r="L8351" s="0" t="str">
        <f aca="false">HYPERLINK("https://www.ncbi.nlm.nih.gov/nuccore/CP000304.1?report=graph&amp;tracks=[key:gene_model_track,Options:GeneOnly]&amp;mk=2368465:2368484|offset_8|00cc00,2368445:2368464|offset_28|444444,2368417:2368436|offset_56|444444,2368381:2368400|offset_92|444444&amp;v=2368264:2368600&amp;c=444444", "offset 8")</f>
        <v>offset 8</v>
      </c>
    </row>
    <row r="8352" customFormat="false" ht="12.8" hidden="false" customHeight="false" outlineLevel="0" collapsed="false">
      <c r="A8352" s="0" t="s">
        <v>12</v>
      </c>
      <c r="B8352" s="0" t="n">
        <v>2368444</v>
      </c>
      <c r="C8352" s="0" t="n">
        <v>2368464</v>
      </c>
      <c r="D8352" s="0" t="s">
        <v>27897</v>
      </c>
      <c r="E8352" s="0" t="s">
        <v>89</v>
      </c>
      <c r="F8352" s="0" t="s">
        <v>90</v>
      </c>
      <c r="G8352" s="0" t="s">
        <v>36</v>
      </c>
      <c r="H8352" s="0" t="n">
        <v>28</v>
      </c>
      <c r="I8352" s="0" t="s">
        <v>27901</v>
      </c>
      <c r="J8352" s="0" t="s">
        <v>27902</v>
      </c>
      <c r="K8352" s="0" t="s">
        <v>27903</v>
      </c>
      <c r="L8352" s="0" t="str">
        <f aca="false">HYPERLINK("https://www.ncbi.nlm.nih.gov/nuccore/CP000304.1?report=graph&amp;tracks=[key:gene_model_track,Options:GeneOnly]&amp;mk=2368465:2368484|offset_8|444444,2368445:2368464|offset_28|00cc00,2368417:2368436|offset_56|444444,2368381:2368400|offset_92|444444&amp;v=2368264:2368600&amp;c=444444", "offset 28")</f>
        <v>offset 28</v>
      </c>
    </row>
    <row r="8353" customFormat="false" ht="12.8" hidden="false" customHeight="false" outlineLevel="0" collapsed="false">
      <c r="A8353" s="0" t="s">
        <v>12</v>
      </c>
      <c r="B8353" s="0" t="n">
        <v>2368416</v>
      </c>
      <c r="C8353" s="0" t="n">
        <v>2368436</v>
      </c>
      <c r="D8353" s="0" t="s">
        <v>27897</v>
      </c>
      <c r="E8353" s="0" t="s">
        <v>89</v>
      </c>
      <c r="F8353" s="0" t="s">
        <v>90</v>
      </c>
      <c r="G8353" s="0" t="s">
        <v>26</v>
      </c>
      <c r="H8353" s="0" t="n">
        <v>56</v>
      </c>
      <c r="I8353" s="0" t="s">
        <v>27904</v>
      </c>
      <c r="J8353" s="0" t="s">
        <v>27905</v>
      </c>
      <c r="K8353" s="0" t="s">
        <v>27906</v>
      </c>
      <c r="L8353" s="0" t="str">
        <f aca="false">HYPERLINK("https://www.ncbi.nlm.nih.gov/nuccore/CP000304.1?report=graph&amp;tracks=[key:gene_model_track,Options:GeneOnly]&amp;mk=2368465:2368484|offset_8|444444,2368445:2368464|offset_28|444444,2368417:2368436|offset_56|00cc00,2368381:2368400|offset_92|444444&amp;v=2368264:2368600&amp;c=444444", "offset 56")</f>
        <v>offset 56</v>
      </c>
    </row>
    <row r="8354" customFormat="false" ht="12.8" hidden="false" customHeight="false" outlineLevel="0" collapsed="false">
      <c r="A8354" s="0" t="s">
        <v>12</v>
      </c>
      <c r="B8354" s="0" t="n">
        <v>2368380</v>
      </c>
      <c r="C8354" s="0" t="n">
        <v>2368400</v>
      </c>
      <c r="D8354" s="0" t="s">
        <v>27897</v>
      </c>
      <c r="E8354" s="0" t="s">
        <v>89</v>
      </c>
      <c r="F8354" s="0" t="s">
        <v>90</v>
      </c>
      <c r="G8354" s="0" t="s">
        <v>26</v>
      </c>
      <c r="H8354" s="0" t="n">
        <v>92</v>
      </c>
      <c r="I8354" s="0" t="s">
        <v>27907</v>
      </c>
      <c r="J8354" s="0" t="s">
        <v>27908</v>
      </c>
      <c r="K8354" s="0" t="s">
        <v>27909</v>
      </c>
      <c r="L8354" s="0" t="str">
        <f aca="false">HYPERLINK("https://www.ncbi.nlm.nih.gov/nuccore/CP000304.1?report=graph&amp;tracks=[key:gene_model_track,Options:GeneOnly]&amp;mk=2368465:2368484|offset_8|444444,2368445:2368464|offset_28|444444,2368417:2368436|offset_56|444444,2368381:2368400|offset_92|00cc00&amp;v=2368264:2368600&amp;c=444444", "offset 92")</f>
        <v>offset 92</v>
      </c>
    </row>
    <row r="8355" customFormat="false" ht="12.8" hidden="false" customHeight="false" outlineLevel="0" collapsed="false">
      <c r="A8355" s="0" t="s">
        <v>12</v>
      </c>
      <c r="B8355" s="0" t="n">
        <v>2371568</v>
      </c>
      <c r="C8355" s="0" t="n">
        <v>2371588</v>
      </c>
      <c r="D8355" s="0" t="s">
        <v>27910</v>
      </c>
      <c r="E8355" s="0" t="s">
        <v>89</v>
      </c>
      <c r="F8355" s="0" t="s">
        <v>90</v>
      </c>
      <c r="G8355" s="0" t="s">
        <v>36</v>
      </c>
      <c r="H8355" s="0" t="n">
        <v>13</v>
      </c>
      <c r="I8355" s="0" t="s">
        <v>27911</v>
      </c>
      <c r="J8355" s="0" t="s">
        <v>27912</v>
      </c>
      <c r="K8355" s="0" t="s">
        <v>27913</v>
      </c>
      <c r="L8355" s="0" t="str">
        <f aca="false">HYPERLINK("https://www.ncbi.nlm.nih.gov/nuccore/CP000304.1?report=graph&amp;tracks=[key:gene_model_track,Options:GeneOnly]&amp;mk=2371569:2371588|offset_13|00cc00,2371549:2371568|offset_33|444444,2371517:2371536|offset_65|444444,2371497:2371516|offset_85|444444&amp;v=2371368:2371716&amp;c=444444", "offset 13")</f>
        <v>offset 13</v>
      </c>
    </row>
    <row r="8356" customFormat="false" ht="12.8" hidden="false" customHeight="false" outlineLevel="0" collapsed="false">
      <c r="A8356" s="0" t="s">
        <v>12</v>
      </c>
      <c r="B8356" s="0" t="n">
        <v>2371548</v>
      </c>
      <c r="C8356" s="0" t="n">
        <v>2371568</v>
      </c>
      <c r="D8356" s="0" t="s">
        <v>27910</v>
      </c>
      <c r="E8356" s="0" t="s">
        <v>89</v>
      </c>
      <c r="F8356" s="0" t="s">
        <v>90</v>
      </c>
      <c r="G8356" s="0" t="s">
        <v>16</v>
      </c>
      <c r="H8356" s="0" t="n">
        <v>33</v>
      </c>
      <c r="I8356" s="0" t="s">
        <v>27914</v>
      </c>
      <c r="J8356" s="0" t="s">
        <v>27915</v>
      </c>
      <c r="K8356" s="0" t="s">
        <v>27916</v>
      </c>
      <c r="L8356" s="0" t="str">
        <f aca="false">HYPERLINK("https://www.ncbi.nlm.nih.gov/nuccore/CP000304.1?report=graph&amp;tracks=[key:gene_model_track,Options:GeneOnly]&amp;mk=2371569:2371588|offset_13|444444,2371549:2371568|offset_33|00cc00,2371517:2371536|offset_65|444444,2371497:2371516|offset_85|444444&amp;v=2371368:2371716&amp;c=444444", "offset 33")</f>
        <v>offset 33</v>
      </c>
    </row>
    <row r="8357" customFormat="false" ht="12.8" hidden="false" customHeight="false" outlineLevel="0" collapsed="false">
      <c r="A8357" s="0" t="s">
        <v>12</v>
      </c>
      <c r="B8357" s="0" t="n">
        <v>2371516</v>
      </c>
      <c r="C8357" s="0" t="n">
        <v>2371536</v>
      </c>
      <c r="D8357" s="0" t="s">
        <v>27910</v>
      </c>
      <c r="E8357" s="0" t="s">
        <v>89</v>
      </c>
      <c r="F8357" s="0" t="s">
        <v>90</v>
      </c>
      <c r="G8357" s="0" t="s">
        <v>26</v>
      </c>
      <c r="H8357" s="0" t="n">
        <v>65</v>
      </c>
      <c r="I8357" s="0" t="s">
        <v>27917</v>
      </c>
      <c r="J8357" s="0" t="s">
        <v>27918</v>
      </c>
      <c r="K8357" s="0" t="s">
        <v>27919</v>
      </c>
      <c r="L8357" s="0" t="str">
        <f aca="false">HYPERLINK("https://www.ncbi.nlm.nih.gov/nuccore/CP000304.1?report=graph&amp;tracks=[key:gene_model_track,Options:GeneOnly]&amp;mk=2371569:2371588|offset_13|444444,2371549:2371568|offset_33|444444,2371517:2371536|offset_65|00cc00,2371497:2371516|offset_85|444444&amp;v=2371368:2371716&amp;c=444444", "offset 65")</f>
        <v>offset 65</v>
      </c>
    </row>
    <row r="8358" customFormat="false" ht="12.8" hidden="false" customHeight="false" outlineLevel="0" collapsed="false">
      <c r="A8358" s="0" t="s">
        <v>12</v>
      </c>
      <c r="B8358" s="0" t="n">
        <v>2371496</v>
      </c>
      <c r="C8358" s="0" t="n">
        <v>2371516</v>
      </c>
      <c r="D8358" s="0" t="s">
        <v>27910</v>
      </c>
      <c r="E8358" s="0" t="s">
        <v>89</v>
      </c>
      <c r="F8358" s="0" t="s">
        <v>90</v>
      </c>
      <c r="G8358" s="0" t="s">
        <v>26</v>
      </c>
      <c r="H8358" s="0" t="n">
        <v>85</v>
      </c>
      <c r="I8358" s="0" t="s">
        <v>27920</v>
      </c>
      <c r="J8358" s="0" t="s">
        <v>27921</v>
      </c>
      <c r="K8358" s="0" t="s">
        <v>27922</v>
      </c>
      <c r="L8358" s="0" t="str">
        <f aca="false">HYPERLINK("https://www.ncbi.nlm.nih.gov/nuccore/CP000304.1?report=graph&amp;tracks=[key:gene_model_track,Options:GeneOnly]&amp;mk=2371569:2371588|offset_13|444444,2371549:2371568|offset_33|444444,2371517:2371536|offset_65|444444,2371497:2371516|offset_85|00cc00&amp;v=2371368:2371716&amp;c=444444", "offset 85")</f>
        <v>offset 85</v>
      </c>
    </row>
    <row r="8359" customFormat="false" ht="12.8" hidden="false" customHeight="false" outlineLevel="0" collapsed="false">
      <c r="A8359" s="0" t="s">
        <v>12</v>
      </c>
      <c r="B8359" s="0" t="n">
        <v>2372841</v>
      </c>
      <c r="C8359" s="0" t="n">
        <v>2372861</v>
      </c>
      <c r="D8359" s="0" t="s">
        <v>27923</v>
      </c>
      <c r="E8359" s="0" t="s">
        <v>89</v>
      </c>
      <c r="F8359" s="0" t="s">
        <v>90</v>
      </c>
      <c r="G8359" s="0" t="s">
        <v>26</v>
      </c>
      <c r="H8359" s="0" t="n">
        <v>38</v>
      </c>
      <c r="I8359" s="0" t="s">
        <v>27924</v>
      </c>
      <c r="J8359" s="0" t="s">
        <v>27925</v>
      </c>
      <c r="K8359" s="0" t="s">
        <v>27926</v>
      </c>
      <c r="L8359" s="0" t="str">
        <f aca="false">HYPERLINK("https://www.ncbi.nlm.nih.gov/nuccore/CP000304.1?report=graph&amp;tracks=[key:gene_model_track,Options:GeneOnly]&amp;mk=2372842:2372861|offset_38|00cc00,2372816:2372835|offset_64|444444,2372789:2372808|offset_91|444444,2372764:2372783|offset_116|444444&amp;v=2372641:2372983&amp;c=444444", "offset 38")</f>
        <v>offset 38</v>
      </c>
    </row>
    <row r="8360" customFormat="false" ht="12.8" hidden="false" customHeight="false" outlineLevel="0" collapsed="false">
      <c r="A8360" s="0" t="s">
        <v>12</v>
      </c>
      <c r="B8360" s="0" t="n">
        <v>2372815</v>
      </c>
      <c r="C8360" s="0" t="n">
        <v>2372835</v>
      </c>
      <c r="D8360" s="0" t="s">
        <v>27923</v>
      </c>
      <c r="E8360" s="0" t="s">
        <v>89</v>
      </c>
      <c r="F8360" s="0" t="s">
        <v>90</v>
      </c>
      <c r="G8360" s="0" t="s">
        <v>16</v>
      </c>
      <c r="H8360" s="0" t="n">
        <v>64</v>
      </c>
      <c r="I8360" s="0" t="s">
        <v>27927</v>
      </c>
      <c r="J8360" s="0" t="s">
        <v>27928</v>
      </c>
      <c r="K8360" s="0" t="s">
        <v>27929</v>
      </c>
      <c r="L8360" s="0" t="str">
        <f aca="false">HYPERLINK("https://www.ncbi.nlm.nih.gov/nuccore/CP000304.1?report=graph&amp;tracks=[key:gene_model_track,Options:GeneOnly]&amp;mk=2372842:2372861|offset_38|444444,2372816:2372835|offset_64|00cc00,2372789:2372808|offset_91|444444,2372764:2372783|offset_116|444444&amp;v=2372641:2372983&amp;c=444444", "offset 64")</f>
        <v>offset 64</v>
      </c>
    </row>
    <row r="8361" customFormat="false" ht="12.8" hidden="false" customHeight="false" outlineLevel="0" collapsed="false">
      <c r="A8361" s="0" t="s">
        <v>12</v>
      </c>
      <c r="B8361" s="0" t="n">
        <v>2372788</v>
      </c>
      <c r="C8361" s="0" t="n">
        <v>2372808</v>
      </c>
      <c r="D8361" s="0" t="s">
        <v>27923</v>
      </c>
      <c r="E8361" s="0" t="s">
        <v>89</v>
      </c>
      <c r="F8361" s="0" t="s">
        <v>90</v>
      </c>
      <c r="G8361" s="0" t="s">
        <v>32</v>
      </c>
      <c r="H8361" s="0" t="n">
        <v>91</v>
      </c>
      <c r="I8361" s="0" t="s">
        <v>27930</v>
      </c>
      <c r="J8361" s="0" t="s">
        <v>27931</v>
      </c>
      <c r="K8361" s="0" t="s">
        <v>27932</v>
      </c>
      <c r="L8361" s="0" t="str">
        <f aca="false">HYPERLINK("https://www.ncbi.nlm.nih.gov/nuccore/CP000304.1?report=graph&amp;tracks=[key:gene_model_track,Options:GeneOnly]&amp;mk=2372842:2372861|offset_38|444444,2372816:2372835|offset_64|444444,2372789:2372808|offset_91|00cc00,2372764:2372783|offset_116|444444&amp;v=2372641:2372983&amp;c=444444", "offset 91")</f>
        <v>offset 91</v>
      </c>
    </row>
    <row r="8362" customFormat="false" ht="12.8" hidden="false" customHeight="false" outlineLevel="0" collapsed="false">
      <c r="A8362" s="0" t="s">
        <v>12</v>
      </c>
      <c r="B8362" s="0" t="n">
        <v>2372763</v>
      </c>
      <c r="C8362" s="0" t="n">
        <v>2372783</v>
      </c>
      <c r="D8362" s="0" t="s">
        <v>27923</v>
      </c>
      <c r="E8362" s="0" t="s">
        <v>89</v>
      </c>
      <c r="F8362" s="0" t="s">
        <v>90</v>
      </c>
      <c r="G8362" s="0" t="s">
        <v>26</v>
      </c>
      <c r="H8362" s="0" t="n">
        <v>116</v>
      </c>
      <c r="I8362" s="0" t="s">
        <v>27933</v>
      </c>
      <c r="J8362" s="0" t="s">
        <v>27934</v>
      </c>
      <c r="K8362" s="0" t="s">
        <v>27935</v>
      </c>
      <c r="L8362" s="0" t="str">
        <f aca="false">HYPERLINK("https://www.ncbi.nlm.nih.gov/nuccore/CP000304.1?report=graph&amp;tracks=[key:gene_model_track,Options:GeneOnly]&amp;mk=2372842:2372861|offset_38|444444,2372816:2372835|offset_64|444444,2372789:2372808|offset_91|444444,2372764:2372783|offset_116|00cc00&amp;v=2372641:2372983&amp;c=444444", "offset 116")</f>
        <v>offset 116</v>
      </c>
    </row>
    <row r="8363" customFormat="false" ht="12.8" hidden="false" customHeight="false" outlineLevel="0" collapsed="false">
      <c r="A8363" s="0" t="s">
        <v>12</v>
      </c>
      <c r="B8363" s="0" t="n">
        <v>2373158</v>
      </c>
      <c r="C8363" s="0" t="n">
        <v>2373178</v>
      </c>
      <c r="D8363" s="0" t="s">
        <v>27936</v>
      </c>
      <c r="E8363" s="0" t="s">
        <v>89</v>
      </c>
      <c r="F8363" s="0" t="s">
        <v>15</v>
      </c>
      <c r="G8363" s="0" t="s">
        <v>32</v>
      </c>
      <c r="H8363" s="0" t="n">
        <v>40</v>
      </c>
      <c r="I8363" s="0" t="s">
        <v>27937</v>
      </c>
      <c r="J8363" s="0" t="s">
        <v>27938</v>
      </c>
      <c r="K8363" s="0" t="s">
        <v>27939</v>
      </c>
      <c r="L8363" s="0" t="str">
        <f aca="false">HYPERLINK("https://www.ncbi.nlm.nih.gov/nuccore/CP000304.1?report=graph&amp;tracks=[key:gene_model_track,Options:GeneOnly]&amp;mk=2373159:2373178|offset_40|00cc00,2373187:2373206|offset_68|444444,2373211:2373230|offset_92|444444,2373250:2373269|offset_131|444444&amp;v=2372958:2373469&amp;c=444444", "offset 40")</f>
        <v>offset 40</v>
      </c>
    </row>
    <row r="8364" customFormat="false" ht="12.8" hidden="false" customHeight="false" outlineLevel="0" collapsed="false">
      <c r="A8364" s="0" t="s">
        <v>12</v>
      </c>
      <c r="B8364" s="0" t="n">
        <v>2373186</v>
      </c>
      <c r="C8364" s="0" t="n">
        <v>2373206</v>
      </c>
      <c r="D8364" s="0" t="s">
        <v>27936</v>
      </c>
      <c r="E8364" s="0" t="s">
        <v>89</v>
      </c>
      <c r="F8364" s="0" t="s">
        <v>15</v>
      </c>
      <c r="G8364" s="0" t="s">
        <v>26</v>
      </c>
      <c r="H8364" s="0" t="n">
        <v>68</v>
      </c>
      <c r="I8364" s="0" t="s">
        <v>27940</v>
      </c>
      <c r="J8364" s="0" t="s">
        <v>27941</v>
      </c>
      <c r="K8364" s="0" t="s">
        <v>27942</v>
      </c>
      <c r="L8364" s="0" t="str">
        <f aca="false">HYPERLINK("https://www.ncbi.nlm.nih.gov/nuccore/CP000304.1?report=graph&amp;tracks=[key:gene_model_track,Options:GeneOnly]&amp;mk=2373159:2373178|offset_40|444444,2373187:2373206|offset_68|00cc00,2373211:2373230|offset_92|444444,2373250:2373269|offset_131|444444&amp;v=2372958:2373469&amp;c=444444", "offset 68")</f>
        <v>offset 68</v>
      </c>
    </row>
    <row r="8365" customFormat="false" ht="12.8" hidden="false" customHeight="false" outlineLevel="0" collapsed="false">
      <c r="A8365" s="0" t="s">
        <v>12</v>
      </c>
      <c r="B8365" s="0" t="n">
        <v>2373210</v>
      </c>
      <c r="C8365" s="0" t="n">
        <v>2373230</v>
      </c>
      <c r="D8365" s="0" t="s">
        <v>27936</v>
      </c>
      <c r="E8365" s="0" t="s">
        <v>89</v>
      </c>
      <c r="F8365" s="0" t="s">
        <v>15</v>
      </c>
      <c r="G8365" s="0" t="s">
        <v>26</v>
      </c>
      <c r="H8365" s="0" t="n">
        <v>92</v>
      </c>
      <c r="I8365" s="0" t="s">
        <v>27943</v>
      </c>
      <c r="J8365" s="0" t="s">
        <v>27944</v>
      </c>
      <c r="K8365" s="0" t="s">
        <v>27945</v>
      </c>
      <c r="L8365" s="0" t="str">
        <f aca="false">HYPERLINK("https://www.ncbi.nlm.nih.gov/nuccore/CP000304.1?report=graph&amp;tracks=[key:gene_model_track,Options:GeneOnly]&amp;mk=2373159:2373178|offset_40|444444,2373187:2373206|offset_68|444444,2373211:2373230|offset_92|00cc00,2373250:2373269|offset_131|444444&amp;v=2372958:2373469&amp;c=444444", "offset 92")</f>
        <v>offset 92</v>
      </c>
    </row>
    <row r="8366" customFormat="false" ht="12.8" hidden="false" customHeight="false" outlineLevel="0" collapsed="false">
      <c r="A8366" s="0" t="s">
        <v>12</v>
      </c>
      <c r="B8366" s="0" t="n">
        <v>2373249</v>
      </c>
      <c r="C8366" s="0" t="n">
        <v>2373269</v>
      </c>
      <c r="D8366" s="0" t="s">
        <v>27936</v>
      </c>
      <c r="E8366" s="0" t="s">
        <v>89</v>
      </c>
      <c r="F8366" s="0" t="s">
        <v>15</v>
      </c>
      <c r="G8366" s="0" t="s">
        <v>26</v>
      </c>
      <c r="H8366" s="0" t="n">
        <v>131</v>
      </c>
      <c r="I8366" s="0" t="s">
        <v>27946</v>
      </c>
      <c r="J8366" s="0" t="s">
        <v>27947</v>
      </c>
      <c r="K8366" s="0" t="s">
        <v>27948</v>
      </c>
      <c r="L8366" s="0" t="str">
        <f aca="false">HYPERLINK("https://www.ncbi.nlm.nih.gov/nuccore/CP000304.1?report=graph&amp;tracks=[key:gene_model_track,Options:GeneOnly]&amp;mk=2373159:2373178|offset_40|444444,2373187:2373206|offset_68|444444,2373211:2373230|offset_92|444444,2373250:2373269|offset_131|00cc00&amp;v=2372958:2373469&amp;c=444444", "offset 131")</f>
        <v>offset 131</v>
      </c>
    </row>
    <row r="8367" customFormat="false" ht="12.8" hidden="false" customHeight="false" outlineLevel="0" collapsed="false">
      <c r="A8367" s="0" t="s">
        <v>12</v>
      </c>
      <c r="B8367" s="0" t="n">
        <v>2375845</v>
      </c>
      <c r="C8367" s="0" t="n">
        <v>2375865</v>
      </c>
      <c r="D8367" s="0" t="s">
        <v>27949</v>
      </c>
      <c r="E8367" s="0" t="s">
        <v>27950</v>
      </c>
      <c r="F8367" s="0" t="s">
        <v>90</v>
      </c>
      <c r="G8367" s="0" t="s">
        <v>36</v>
      </c>
      <c r="H8367" s="0" t="n">
        <v>10</v>
      </c>
      <c r="I8367" s="0" t="s">
        <v>27951</v>
      </c>
      <c r="J8367" s="0" t="s">
        <v>27952</v>
      </c>
      <c r="K8367" s="0" t="s">
        <v>27953</v>
      </c>
      <c r="L8367" s="0" t="str">
        <f aca="false">HYPERLINK("https://www.ncbi.nlm.nih.gov/nuccore/CP000304.1?report=graph&amp;tracks=[key:gene_model_track,Options:GeneOnly]&amp;mk=2375846:2375865|offset_10|00cc00,2375795:2375814|offset_61|444444,2375775:2375794|offset_81|444444,2375752:2375771|offset_104|444444&amp;v=2375645:2375971&amp;c=444444", "offset 10")</f>
        <v>offset 10</v>
      </c>
    </row>
    <row r="8368" customFormat="false" ht="12.8" hidden="false" customHeight="false" outlineLevel="0" collapsed="false">
      <c r="A8368" s="0" t="s">
        <v>12</v>
      </c>
      <c r="B8368" s="0" t="n">
        <v>2375794</v>
      </c>
      <c r="C8368" s="0" t="n">
        <v>2375814</v>
      </c>
      <c r="D8368" s="0" t="s">
        <v>27949</v>
      </c>
      <c r="E8368" s="0" t="s">
        <v>27950</v>
      </c>
      <c r="F8368" s="0" t="s">
        <v>90</v>
      </c>
      <c r="G8368" s="0" t="s">
        <v>36</v>
      </c>
      <c r="H8368" s="0" t="n">
        <v>61</v>
      </c>
      <c r="I8368" s="0" t="s">
        <v>27954</v>
      </c>
      <c r="J8368" s="0" t="s">
        <v>27955</v>
      </c>
      <c r="K8368" s="0" t="s">
        <v>27956</v>
      </c>
      <c r="L8368" s="0" t="str">
        <f aca="false">HYPERLINK("https://www.ncbi.nlm.nih.gov/nuccore/CP000304.1?report=graph&amp;tracks=[key:gene_model_track,Options:GeneOnly]&amp;mk=2375846:2375865|offset_10|444444,2375795:2375814|offset_61|00cc00,2375775:2375794|offset_81|444444,2375752:2375771|offset_104|444444&amp;v=2375645:2375971&amp;c=444444", "offset 61")</f>
        <v>offset 61</v>
      </c>
    </row>
    <row r="8369" customFormat="false" ht="12.8" hidden="false" customHeight="false" outlineLevel="0" collapsed="false">
      <c r="A8369" s="0" t="s">
        <v>12</v>
      </c>
      <c r="B8369" s="0" t="n">
        <v>2375774</v>
      </c>
      <c r="C8369" s="0" t="n">
        <v>2375794</v>
      </c>
      <c r="D8369" s="0" t="s">
        <v>27949</v>
      </c>
      <c r="E8369" s="0" t="s">
        <v>27950</v>
      </c>
      <c r="F8369" s="0" t="s">
        <v>90</v>
      </c>
      <c r="G8369" s="0" t="s">
        <v>32</v>
      </c>
      <c r="H8369" s="0" t="n">
        <v>81</v>
      </c>
      <c r="I8369" s="0" t="s">
        <v>27957</v>
      </c>
      <c r="J8369" s="0" t="s">
        <v>27958</v>
      </c>
      <c r="K8369" s="0" t="s">
        <v>27959</v>
      </c>
      <c r="L8369" s="0" t="str">
        <f aca="false">HYPERLINK("https://www.ncbi.nlm.nih.gov/nuccore/CP000304.1?report=graph&amp;tracks=[key:gene_model_track,Options:GeneOnly]&amp;mk=2375846:2375865|offset_10|444444,2375795:2375814|offset_61|444444,2375775:2375794|offset_81|00cc00,2375752:2375771|offset_104|444444&amp;v=2375645:2375971&amp;c=444444", "offset 81")</f>
        <v>offset 81</v>
      </c>
    </row>
    <row r="8370" customFormat="false" ht="12.8" hidden="false" customHeight="false" outlineLevel="0" collapsed="false">
      <c r="A8370" s="0" t="s">
        <v>12</v>
      </c>
      <c r="B8370" s="0" t="n">
        <v>2375751</v>
      </c>
      <c r="C8370" s="0" t="n">
        <v>2375771</v>
      </c>
      <c r="D8370" s="0" t="s">
        <v>27949</v>
      </c>
      <c r="E8370" s="0" t="s">
        <v>27950</v>
      </c>
      <c r="F8370" s="0" t="s">
        <v>90</v>
      </c>
      <c r="G8370" s="0" t="s">
        <v>36</v>
      </c>
      <c r="H8370" s="0" t="n">
        <v>104</v>
      </c>
      <c r="I8370" s="0" t="s">
        <v>27960</v>
      </c>
      <c r="J8370" s="0" t="s">
        <v>27961</v>
      </c>
      <c r="K8370" s="0" t="s">
        <v>27962</v>
      </c>
      <c r="L8370" s="0" t="str">
        <f aca="false">HYPERLINK("https://www.ncbi.nlm.nih.gov/nuccore/CP000304.1?report=graph&amp;tracks=[key:gene_model_track,Options:GeneOnly]&amp;mk=2375846:2375865|offset_10|444444,2375795:2375814|offset_61|444444,2375775:2375794|offset_81|444444,2375752:2375771|offset_104|00cc00&amp;v=2375645:2375971&amp;c=444444", "offset 104")</f>
        <v>offset 104</v>
      </c>
    </row>
    <row r="8371" customFormat="false" ht="12.8" hidden="false" customHeight="false" outlineLevel="0" collapsed="false">
      <c r="A8371" s="0" t="s">
        <v>12</v>
      </c>
      <c r="B8371" s="0" t="n">
        <v>2376092</v>
      </c>
      <c r="C8371" s="0" t="n">
        <v>2376112</v>
      </c>
      <c r="D8371" s="0" t="s">
        <v>27963</v>
      </c>
      <c r="E8371" s="0" t="s">
        <v>89</v>
      </c>
      <c r="F8371" s="0" t="s">
        <v>90</v>
      </c>
      <c r="G8371" s="0" t="s">
        <v>32</v>
      </c>
      <c r="H8371" s="0" t="n">
        <v>17</v>
      </c>
      <c r="I8371" s="0" t="s">
        <v>27964</v>
      </c>
      <c r="J8371" s="0" t="s">
        <v>27965</v>
      </c>
      <c r="K8371" s="0" t="s">
        <v>27966</v>
      </c>
      <c r="L8371" s="0" t="str">
        <f aca="false">HYPERLINK("https://www.ncbi.nlm.nih.gov/nuccore/CP000304.1?report=graph&amp;tracks=[key:gene_model_track,Options:GeneOnly]&amp;mk=2376093:2376112|offset_17|00cc00,2376048:2376067|offset_62|444444,2376028:2376047|offset_82|444444,2375987:2376006|offset_123|444444&amp;v=2375892:2376206&amp;c=444444", "offset 17")</f>
        <v>offset 17</v>
      </c>
    </row>
    <row r="8372" customFormat="false" ht="12.8" hidden="false" customHeight="false" outlineLevel="0" collapsed="false">
      <c r="A8372" s="0" t="s">
        <v>12</v>
      </c>
      <c r="B8372" s="0" t="n">
        <v>2376047</v>
      </c>
      <c r="C8372" s="0" t="n">
        <v>2376067</v>
      </c>
      <c r="D8372" s="0" t="s">
        <v>27963</v>
      </c>
      <c r="E8372" s="0" t="s">
        <v>89</v>
      </c>
      <c r="F8372" s="0" t="s">
        <v>90</v>
      </c>
      <c r="G8372" s="0" t="s">
        <v>16</v>
      </c>
      <c r="H8372" s="0" t="n">
        <v>62</v>
      </c>
      <c r="I8372" s="0" t="s">
        <v>27967</v>
      </c>
      <c r="J8372" s="0" t="s">
        <v>27968</v>
      </c>
      <c r="K8372" s="0" t="s">
        <v>27969</v>
      </c>
      <c r="L8372" s="0" t="str">
        <f aca="false">HYPERLINK("https://www.ncbi.nlm.nih.gov/nuccore/CP000304.1?report=graph&amp;tracks=[key:gene_model_track,Options:GeneOnly]&amp;mk=2376093:2376112|offset_17|444444,2376048:2376067|offset_62|00cc00,2376028:2376047|offset_82|444444,2375987:2376006|offset_123|444444&amp;v=2375892:2376206&amp;c=444444", "offset 62")</f>
        <v>offset 62</v>
      </c>
    </row>
    <row r="8373" customFormat="false" ht="12.8" hidden="false" customHeight="false" outlineLevel="0" collapsed="false">
      <c r="A8373" s="0" t="s">
        <v>12</v>
      </c>
      <c r="B8373" s="0" t="n">
        <v>2376027</v>
      </c>
      <c r="C8373" s="0" t="n">
        <v>2376047</v>
      </c>
      <c r="D8373" s="0" t="s">
        <v>27963</v>
      </c>
      <c r="E8373" s="0" t="s">
        <v>89</v>
      </c>
      <c r="F8373" s="0" t="s">
        <v>90</v>
      </c>
      <c r="G8373" s="0" t="s">
        <v>16</v>
      </c>
      <c r="H8373" s="0" t="n">
        <v>82</v>
      </c>
      <c r="I8373" s="0" t="s">
        <v>27970</v>
      </c>
      <c r="J8373" s="0" t="s">
        <v>27971</v>
      </c>
      <c r="K8373" s="0" t="s">
        <v>27972</v>
      </c>
      <c r="L8373" s="0" t="str">
        <f aca="false">HYPERLINK("https://www.ncbi.nlm.nih.gov/nuccore/CP000304.1?report=graph&amp;tracks=[key:gene_model_track,Options:GeneOnly]&amp;mk=2376093:2376112|offset_17|444444,2376048:2376067|offset_62|444444,2376028:2376047|offset_82|00cc00,2375987:2376006|offset_123|444444&amp;v=2375892:2376206&amp;c=444444", "offset 82")</f>
        <v>offset 82</v>
      </c>
    </row>
    <row r="8374" customFormat="false" ht="12.8" hidden="false" customHeight="false" outlineLevel="0" collapsed="false">
      <c r="A8374" s="0" t="s">
        <v>12</v>
      </c>
      <c r="B8374" s="0" t="n">
        <v>2375986</v>
      </c>
      <c r="C8374" s="0" t="n">
        <v>2376006</v>
      </c>
      <c r="D8374" s="0" t="s">
        <v>27963</v>
      </c>
      <c r="E8374" s="0" t="s">
        <v>89</v>
      </c>
      <c r="F8374" s="0" t="s">
        <v>90</v>
      </c>
      <c r="G8374" s="0" t="s">
        <v>32</v>
      </c>
      <c r="H8374" s="0" t="n">
        <v>123</v>
      </c>
      <c r="I8374" s="0" t="s">
        <v>27973</v>
      </c>
      <c r="J8374" s="0" t="s">
        <v>27974</v>
      </c>
      <c r="K8374" s="0" t="s">
        <v>27975</v>
      </c>
      <c r="L8374" s="0" t="str">
        <f aca="false">HYPERLINK("https://www.ncbi.nlm.nih.gov/nuccore/CP000304.1?report=graph&amp;tracks=[key:gene_model_track,Options:GeneOnly]&amp;mk=2376093:2376112|offset_17|444444,2376048:2376067|offset_62|444444,2376028:2376047|offset_82|444444,2375987:2376006|offset_123|00cc00&amp;v=2375892:2376206&amp;c=444444", "offset 123")</f>
        <v>offset 123</v>
      </c>
    </row>
    <row r="8375" customFormat="false" ht="12.8" hidden="false" customHeight="false" outlineLevel="0" collapsed="false">
      <c r="A8375" s="0" t="s">
        <v>12</v>
      </c>
      <c r="B8375" s="0" t="n">
        <v>2376647</v>
      </c>
      <c r="C8375" s="0" t="n">
        <v>2376667</v>
      </c>
      <c r="D8375" s="0" t="s">
        <v>27976</v>
      </c>
      <c r="E8375" s="0" t="s">
        <v>27977</v>
      </c>
      <c r="F8375" s="0" t="s">
        <v>90</v>
      </c>
      <c r="G8375" s="0" t="s">
        <v>36</v>
      </c>
      <c r="H8375" s="0" t="n">
        <v>16</v>
      </c>
      <c r="I8375" s="0" t="s">
        <v>27978</v>
      </c>
      <c r="J8375" s="0" t="s">
        <v>27979</v>
      </c>
      <c r="K8375" s="0" t="s">
        <v>27980</v>
      </c>
      <c r="L8375" s="0" t="str">
        <f aca="false">HYPERLINK("https://www.ncbi.nlm.nih.gov/nuccore/CP000304.1?report=graph&amp;tracks=[key:gene_model_track,Options:GeneOnly]&amp;mk=2376648:2376667|offset_16|00cc00,2376621:2376640|offset_43|444444,2376599:2376618|offset_65|444444,2376578:2376597|offset_86|444444&amp;v=2376447:2376797&amp;c=444444", "offset 16")</f>
        <v>offset 16</v>
      </c>
    </row>
    <row r="8376" customFormat="false" ht="12.8" hidden="false" customHeight="false" outlineLevel="0" collapsed="false">
      <c r="A8376" s="0" t="s">
        <v>12</v>
      </c>
      <c r="B8376" s="0" t="n">
        <v>2376620</v>
      </c>
      <c r="C8376" s="0" t="n">
        <v>2376640</v>
      </c>
      <c r="D8376" s="0" t="s">
        <v>27976</v>
      </c>
      <c r="E8376" s="0" t="s">
        <v>27977</v>
      </c>
      <c r="F8376" s="0" t="s">
        <v>90</v>
      </c>
      <c r="G8376" s="0" t="s">
        <v>16</v>
      </c>
      <c r="H8376" s="0" t="n">
        <v>43</v>
      </c>
      <c r="I8376" s="0" t="s">
        <v>27981</v>
      </c>
      <c r="J8376" s="0" t="s">
        <v>27982</v>
      </c>
      <c r="K8376" s="0" t="s">
        <v>27983</v>
      </c>
      <c r="L8376" s="0" t="str">
        <f aca="false">HYPERLINK("https://www.ncbi.nlm.nih.gov/nuccore/CP000304.1?report=graph&amp;tracks=[key:gene_model_track,Options:GeneOnly]&amp;mk=2376648:2376667|offset_16|444444,2376621:2376640|offset_43|00cc00,2376599:2376618|offset_65|444444,2376578:2376597|offset_86|444444&amp;v=2376447:2376797&amp;c=444444", "offset 43")</f>
        <v>offset 43</v>
      </c>
    </row>
    <row r="8377" customFormat="false" ht="12.8" hidden="false" customHeight="false" outlineLevel="0" collapsed="false">
      <c r="A8377" s="0" t="s">
        <v>12</v>
      </c>
      <c r="B8377" s="0" t="n">
        <v>2376598</v>
      </c>
      <c r="C8377" s="0" t="n">
        <v>2376618</v>
      </c>
      <c r="D8377" s="0" t="s">
        <v>27976</v>
      </c>
      <c r="E8377" s="0" t="s">
        <v>27977</v>
      </c>
      <c r="F8377" s="0" t="s">
        <v>90</v>
      </c>
      <c r="G8377" s="0" t="s">
        <v>32</v>
      </c>
      <c r="H8377" s="0" t="n">
        <v>65</v>
      </c>
      <c r="I8377" s="0" t="s">
        <v>27984</v>
      </c>
      <c r="J8377" s="0" t="s">
        <v>27985</v>
      </c>
      <c r="K8377" s="0" t="s">
        <v>27986</v>
      </c>
      <c r="L8377" s="0" t="str">
        <f aca="false">HYPERLINK("https://www.ncbi.nlm.nih.gov/nuccore/CP000304.1?report=graph&amp;tracks=[key:gene_model_track,Options:GeneOnly]&amp;mk=2376648:2376667|offset_16|444444,2376621:2376640|offset_43|444444,2376599:2376618|offset_65|00cc00,2376578:2376597|offset_86|444444&amp;v=2376447:2376797&amp;c=444444", "offset 65")</f>
        <v>offset 65</v>
      </c>
    </row>
    <row r="8378" customFormat="false" ht="12.8" hidden="false" customHeight="false" outlineLevel="0" collapsed="false">
      <c r="A8378" s="0" t="s">
        <v>12</v>
      </c>
      <c r="B8378" s="0" t="n">
        <v>2376577</v>
      </c>
      <c r="C8378" s="0" t="n">
        <v>2376597</v>
      </c>
      <c r="D8378" s="0" t="s">
        <v>27976</v>
      </c>
      <c r="E8378" s="0" t="s">
        <v>27977</v>
      </c>
      <c r="F8378" s="0" t="s">
        <v>90</v>
      </c>
      <c r="G8378" s="0" t="s">
        <v>26</v>
      </c>
      <c r="H8378" s="0" t="n">
        <v>86</v>
      </c>
      <c r="I8378" s="0" t="s">
        <v>27987</v>
      </c>
      <c r="J8378" s="0" t="s">
        <v>27988</v>
      </c>
      <c r="K8378" s="0" t="s">
        <v>27989</v>
      </c>
      <c r="L8378" s="0" t="str">
        <f aca="false">HYPERLINK("https://www.ncbi.nlm.nih.gov/nuccore/CP000304.1?report=graph&amp;tracks=[key:gene_model_track,Options:GeneOnly]&amp;mk=2376648:2376667|offset_16|444444,2376621:2376640|offset_43|444444,2376599:2376618|offset_65|444444,2376578:2376597|offset_86|00cc00&amp;v=2376447:2376797&amp;c=444444", "offset 86")</f>
        <v>offset 86</v>
      </c>
    </row>
    <row r="8379" customFormat="false" ht="12.8" hidden="false" customHeight="false" outlineLevel="0" collapsed="false">
      <c r="A8379" s="0" t="s">
        <v>12</v>
      </c>
      <c r="B8379" s="0" t="n">
        <v>2378123</v>
      </c>
      <c r="C8379" s="0" t="n">
        <v>2378143</v>
      </c>
      <c r="D8379" s="0" t="s">
        <v>27990</v>
      </c>
      <c r="E8379" s="0" t="s">
        <v>89</v>
      </c>
      <c r="F8379" s="0" t="s">
        <v>90</v>
      </c>
      <c r="G8379" s="0" t="s">
        <v>26</v>
      </c>
      <c r="H8379" s="0" t="n">
        <v>20</v>
      </c>
      <c r="I8379" s="0" t="s">
        <v>27991</v>
      </c>
      <c r="J8379" s="0" t="s">
        <v>27992</v>
      </c>
      <c r="K8379" s="0" t="s">
        <v>27993</v>
      </c>
      <c r="L8379" s="0" t="str">
        <f aca="false">HYPERLINK("https://www.ncbi.nlm.nih.gov/nuccore/CP000304.1?report=graph&amp;tracks=[key:gene_model_track,Options:GeneOnly]&amp;mk=2378124:2378143|offset_20|00cc00,2378103:2378122|offset_41|444444,2378076:2378095|offset_68|444444,2378027:2378046|offset_117|444444&amp;v=2377923:2378246&amp;c=444444", "offset 20")</f>
        <v>offset 20</v>
      </c>
    </row>
    <row r="8380" customFormat="false" ht="12.8" hidden="false" customHeight="false" outlineLevel="0" collapsed="false">
      <c r="A8380" s="0" t="s">
        <v>12</v>
      </c>
      <c r="B8380" s="0" t="n">
        <v>2378102</v>
      </c>
      <c r="C8380" s="0" t="n">
        <v>2378122</v>
      </c>
      <c r="D8380" s="0" t="s">
        <v>27990</v>
      </c>
      <c r="E8380" s="0" t="s">
        <v>89</v>
      </c>
      <c r="F8380" s="0" t="s">
        <v>90</v>
      </c>
      <c r="G8380" s="0" t="s">
        <v>26</v>
      </c>
      <c r="H8380" s="0" t="n">
        <v>41</v>
      </c>
      <c r="I8380" s="0" t="s">
        <v>27994</v>
      </c>
      <c r="J8380" s="0" t="s">
        <v>27995</v>
      </c>
      <c r="K8380" s="0" t="s">
        <v>27996</v>
      </c>
      <c r="L8380" s="0" t="str">
        <f aca="false">HYPERLINK("https://www.ncbi.nlm.nih.gov/nuccore/CP000304.1?report=graph&amp;tracks=[key:gene_model_track,Options:GeneOnly]&amp;mk=2378124:2378143|offset_20|444444,2378103:2378122|offset_41|00cc00,2378076:2378095|offset_68|444444,2378027:2378046|offset_117|444444&amp;v=2377923:2378246&amp;c=444444", "offset 41")</f>
        <v>offset 41</v>
      </c>
    </row>
    <row r="8381" customFormat="false" ht="12.8" hidden="false" customHeight="false" outlineLevel="0" collapsed="false">
      <c r="A8381" s="0" t="s">
        <v>12</v>
      </c>
      <c r="B8381" s="0" t="n">
        <v>2378075</v>
      </c>
      <c r="C8381" s="0" t="n">
        <v>2378095</v>
      </c>
      <c r="D8381" s="0" t="s">
        <v>27990</v>
      </c>
      <c r="E8381" s="0" t="s">
        <v>89</v>
      </c>
      <c r="F8381" s="0" t="s">
        <v>90</v>
      </c>
      <c r="G8381" s="0" t="s">
        <v>26</v>
      </c>
      <c r="H8381" s="0" t="n">
        <v>68</v>
      </c>
      <c r="I8381" s="0" t="s">
        <v>27997</v>
      </c>
      <c r="J8381" s="0" t="s">
        <v>27998</v>
      </c>
      <c r="K8381" s="0" t="s">
        <v>27999</v>
      </c>
      <c r="L8381" s="0" t="str">
        <f aca="false">HYPERLINK("https://www.ncbi.nlm.nih.gov/nuccore/CP000304.1?report=graph&amp;tracks=[key:gene_model_track,Options:GeneOnly]&amp;mk=2378124:2378143|offset_20|444444,2378103:2378122|offset_41|444444,2378076:2378095|offset_68|00cc00,2378027:2378046|offset_117|444444&amp;v=2377923:2378246&amp;c=444444", "offset 68")</f>
        <v>offset 68</v>
      </c>
    </row>
    <row r="8382" customFormat="false" ht="12.8" hidden="false" customHeight="false" outlineLevel="0" collapsed="false">
      <c r="A8382" s="0" t="s">
        <v>12</v>
      </c>
      <c r="B8382" s="0" t="n">
        <v>2378026</v>
      </c>
      <c r="C8382" s="0" t="n">
        <v>2378046</v>
      </c>
      <c r="D8382" s="0" t="s">
        <v>27990</v>
      </c>
      <c r="E8382" s="0" t="s">
        <v>89</v>
      </c>
      <c r="F8382" s="0" t="s">
        <v>90</v>
      </c>
      <c r="G8382" s="0" t="s">
        <v>16</v>
      </c>
      <c r="H8382" s="0" t="n">
        <v>117</v>
      </c>
      <c r="I8382" s="0" t="s">
        <v>28000</v>
      </c>
      <c r="J8382" s="0" t="s">
        <v>28001</v>
      </c>
      <c r="K8382" s="0" t="s">
        <v>28002</v>
      </c>
      <c r="L8382" s="0" t="str">
        <f aca="false">HYPERLINK("https://www.ncbi.nlm.nih.gov/nuccore/CP000304.1?report=graph&amp;tracks=[key:gene_model_track,Options:GeneOnly]&amp;mk=2378124:2378143|offset_20|444444,2378103:2378122|offset_41|444444,2378076:2378095|offset_68|444444,2378027:2378046|offset_117|00cc00&amp;v=2377923:2378246&amp;c=444444", "offset 117")</f>
        <v>offset 117</v>
      </c>
    </row>
    <row r="8383" customFormat="false" ht="12.8" hidden="false" customHeight="false" outlineLevel="0" collapsed="false">
      <c r="A8383" s="0" t="s">
        <v>12</v>
      </c>
      <c r="B8383" s="0" t="n">
        <v>2382262</v>
      </c>
      <c r="C8383" s="0" t="n">
        <v>2382282</v>
      </c>
      <c r="D8383" s="0" t="s">
        <v>28003</v>
      </c>
      <c r="E8383" s="0" t="s">
        <v>89</v>
      </c>
      <c r="F8383" s="0" t="s">
        <v>90</v>
      </c>
      <c r="G8383" s="0" t="s">
        <v>26</v>
      </c>
      <c r="H8383" s="0" t="n">
        <v>43</v>
      </c>
      <c r="I8383" s="0" t="s">
        <v>28004</v>
      </c>
      <c r="J8383" s="0" t="s">
        <v>28005</v>
      </c>
      <c r="K8383" s="0" t="s">
        <v>28006</v>
      </c>
      <c r="L8383" s="0" t="str">
        <f aca="false">HYPERLINK("https://www.ncbi.nlm.nih.gov/nuccore/CP000304.1?report=graph&amp;tracks=[key:gene_model_track,Options:GeneOnly]&amp;mk=2382263:2382282|offset_43|00cc00,2382238:2382257|offset_68|444444,2382218:2382237|offset_88|444444,2382183:2382202|offset_123|444444&amp;v=2382062:2382402&amp;c=444444", "offset 43")</f>
        <v>offset 43</v>
      </c>
    </row>
    <row r="8384" customFormat="false" ht="12.8" hidden="false" customHeight="false" outlineLevel="0" collapsed="false">
      <c r="A8384" s="0" t="s">
        <v>12</v>
      </c>
      <c r="B8384" s="0" t="n">
        <v>2382237</v>
      </c>
      <c r="C8384" s="0" t="n">
        <v>2382257</v>
      </c>
      <c r="D8384" s="0" t="s">
        <v>28003</v>
      </c>
      <c r="E8384" s="0" t="s">
        <v>89</v>
      </c>
      <c r="F8384" s="0" t="s">
        <v>90</v>
      </c>
      <c r="G8384" s="0" t="s">
        <v>26</v>
      </c>
      <c r="H8384" s="0" t="n">
        <v>68</v>
      </c>
      <c r="I8384" s="0" t="s">
        <v>28007</v>
      </c>
      <c r="J8384" s="0" t="s">
        <v>28008</v>
      </c>
      <c r="K8384" s="0" t="s">
        <v>28009</v>
      </c>
      <c r="L8384" s="0" t="str">
        <f aca="false">HYPERLINK("https://www.ncbi.nlm.nih.gov/nuccore/CP000304.1?report=graph&amp;tracks=[key:gene_model_track,Options:GeneOnly]&amp;mk=2382263:2382282|offset_43|444444,2382238:2382257|offset_68|00cc00,2382218:2382237|offset_88|444444,2382183:2382202|offset_123|444444&amp;v=2382062:2382402&amp;c=444444", "offset 68")</f>
        <v>offset 68</v>
      </c>
    </row>
    <row r="8385" customFormat="false" ht="12.8" hidden="false" customHeight="false" outlineLevel="0" collapsed="false">
      <c r="A8385" s="0" t="s">
        <v>12</v>
      </c>
      <c r="B8385" s="0" t="n">
        <v>2382217</v>
      </c>
      <c r="C8385" s="0" t="n">
        <v>2382237</v>
      </c>
      <c r="D8385" s="0" t="s">
        <v>28003</v>
      </c>
      <c r="E8385" s="0" t="s">
        <v>89</v>
      </c>
      <c r="F8385" s="0" t="s">
        <v>90</v>
      </c>
      <c r="G8385" s="0" t="s">
        <v>32</v>
      </c>
      <c r="H8385" s="0" t="n">
        <v>88</v>
      </c>
      <c r="I8385" s="0" t="s">
        <v>28010</v>
      </c>
      <c r="J8385" s="0" t="s">
        <v>28011</v>
      </c>
      <c r="K8385" s="0" t="s">
        <v>28012</v>
      </c>
      <c r="L8385" s="0" t="str">
        <f aca="false">HYPERLINK("https://www.ncbi.nlm.nih.gov/nuccore/CP000304.1?report=graph&amp;tracks=[key:gene_model_track,Options:GeneOnly]&amp;mk=2382263:2382282|offset_43|444444,2382238:2382257|offset_68|444444,2382218:2382237|offset_88|00cc00,2382183:2382202|offset_123|444444&amp;v=2382062:2382402&amp;c=444444", "offset 88")</f>
        <v>offset 88</v>
      </c>
    </row>
    <row r="8386" customFormat="false" ht="12.8" hidden="false" customHeight="false" outlineLevel="0" collapsed="false">
      <c r="A8386" s="0" t="s">
        <v>12</v>
      </c>
      <c r="B8386" s="0" t="n">
        <v>2382182</v>
      </c>
      <c r="C8386" s="0" t="n">
        <v>2382202</v>
      </c>
      <c r="D8386" s="0" t="s">
        <v>28003</v>
      </c>
      <c r="E8386" s="0" t="s">
        <v>89</v>
      </c>
      <c r="F8386" s="0" t="s">
        <v>90</v>
      </c>
      <c r="G8386" s="0" t="s">
        <v>26</v>
      </c>
      <c r="H8386" s="0" t="n">
        <v>123</v>
      </c>
      <c r="I8386" s="0" t="s">
        <v>28013</v>
      </c>
      <c r="J8386" s="0" t="s">
        <v>28014</v>
      </c>
      <c r="K8386" s="0" t="s">
        <v>28015</v>
      </c>
      <c r="L8386" s="0" t="str">
        <f aca="false">HYPERLINK("https://www.ncbi.nlm.nih.gov/nuccore/CP000304.1?report=graph&amp;tracks=[key:gene_model_track,Options:GeneOnly]&amp;mk=2382263:2382282|offset_43|444444,2382238:2382257|offset_68|444444,2382218:2382237|offset_88|444444,2382183:2382202|offset_123|00cc00&amp;v=2382062:2382402&amp;c=444444", "offset 123")</f>
        <v>offset 123</v>
      </c>
    </row>
    <row r="8387" customFormat="false" ht="12.8" hidden="false" customHeight="false" outlineLevel="0" collapsed="false">
      <c r="A8387" s="0" t="s">
        <v>12</v>
      </c>
      <c r="B8387" s="0" t="n">
        <v>2384122</v>
      </c>
      <c r="C8387" s="0" t="n">
        <v>2384142</v>
      </c>
      <c r="D8387" s="0" t="s">
        <v>28016</v>
      </c>
      <c r="E8387" s="0" t="s">
        <v>89</v>
      </c>
      <c r="F8387" s="0" t="s">
        <v>90</v>
      </c>
      <c r="G8387" s="0" t="s">
        <v>16</v>
      </c>
      <c r="H8387" s="0" t="n">
        <v>0</v>
      </c>
      <c r="I8387" s="0" t="s">
        <v>28017</v>
      </c>
      <c r="J8387" s="0" t="s">
        <v>28018</v>
      </c>
      <c r="K8387" s="0" t="s">
        <v>28019</v>
      </c>
      <c r="L8387" s="0" t="str">
        <f aca="false">HYPERLINK("https://www.ncbi.nlm.nih.gov/nuccore/CP000304.1?report=graph&amp;tracks=[key:gene_model_track,Options:GeneOnly]&amp;mk=2384123:2384142|offset_0|00cc00,2384097:2384116|offset_26|444444,2384062:2384081|offset_61|444444,2384035:2384054|offset_88|444444&amp;v=2383922:2384254&amp;c=444444", "offset 0")</f>
        <v>offset 0</v>
      </c>
    </row>
    <row r="8388" customFormat="false" ht="12.8" hidden="false" customHeight="false" outlineLevel="0" collapsed="false">
      <c r="A8388" s="0" t="s">
        <v>12</v>
      </c>
      <c r="B8388" s="0" t="n">
        <v>2384096</v>
      </c>
      <c r="C8388" s="0" t="n">
        <v>2384116</v>
      </c>
      <c r="D8388" s="0" t="s">
        <v>28016</v>
      </c>
      <c r="E8388" s="0" t="s">
        <v>89</v>
      </c>
      <c r="F8388" s="0" t="s">
        <v>90</v>
      </c>
      <c r="G8388" s="0" t="s">
        <v>26</v>
      </c>
      <c r="H8388" s="0" t="n">
        <v>26</v>
      </c>
      <c r="I8388" s="0" t="s">
        <v>28020</v>
      </c>
      <c r="J8388" s="0" t="s">
        <v>28021</v>
      </c>
      <c r="K8388" s="0" t="s">
        <v>28022</v>
      </c>
      <c r="L8388" s="0" t="str">
        <f aca="false">HYPERLINK("https://www.ncbi.nlm.nih.gov/nuccore/CP000304.1?report=graph&amp;tracks=[key:gene_model_track,Options:GeneOnly]&amp;mk=2384123:2384142|offset_0|444444,2384097:2384116|offset_26|00cc00,2384062:2384081|offset_61|444444,2384035:2384054|offset_88|444444&amp;v=2383922:2384254&amp;c=444444", "offset 26")</f>
        <v>offset 26</v>
      </c>
    </row>
    <row r="8389" customFormat="false" ht="12.8" hidden="false" customHeight="false" outlineLevel="0" collapsed="false">
      <c r="A8389" s="0" t="s">
        <v>12</v>
      </c>
      <c r="B8389" s="0" t="n">
        <v>2384061</v>
      </c>
      <c r="C8389" s="0" t="n">
        <v>2384081</v>
      </c>
      <c r="D8389" s="0" t="s">
        <v>28016</v>
      </c>
      <c r="E8389" s="0" t="s">
        <v>89</v>
      </c>
      <c r="F8389" s="0" t="s">
        <v>90</v>
      </c>
      <c r="G8389" s="0" t="s">
        <v>32</v>
      </c>
      <c r="H8389" s="0" t="n">
        <v>61</v>
      </c>
      <c r="I8389" s="0" t="s">
        <v>28023</v>
      </c>
      <c r="J8389" s="0" t="s">
        <v>28024</v>
      </c>
      <c r="K8389" s="0" t="s">
        <v>28025</v>
      </c>
      <c r="L8389" s="0" t="str">
        <f aca="false">HYPERLINK("https://www.ncbi.nlm.nih.gov/nuccore/CP000304.1?report=graph&amp;tracks=[key:gene_model_track,Options:GeneOnly]&amp;mk=2384123:2384142|offset_0|444444,2384097:2384116|offset_26|444444,2384062:2384081|offset_61|00cc00,2384035:2384054|offset_88|444444&amp;v=2383922:2384254&amp;c=444444", "offset 61")</f>
        <v>offset 61</v>
      </c>
    </row>
    <row r="8390" customFormat="false" ht="12.8" hidden="false" customHeight="false" outlineLevel="0" collapsed="false">
      <c r="A8390" s="0" t="s">
        <v>12</v>
      </c>
      <c r="B8390" s="0" t="n">
        <v>2384034</v>
      </c>
      <c r="C8390" s="0" t="n">
        <v>2384054</v>
      </c>
      <c r="D8390" s="0" t="s">
        <v>28016</v>
      </c>
      <c r="E8390" s="0" t="s">
        <v>89</v>
      </c>
      <c r="F8390" s="0" t="s">
        <v>90</v>
      </c>
      <c r="G8390" s="0" t="s">
        <v>32</v>
      </c>
      <c r="H8390" s="0" t="n">
        <v>88</v>
      </c>
      <c r="I8390" s="0" t="s">
        <v>28026</v>
      </c>
      <c r="J8390" s="0" t="s">
        <v>28027</v>
      </c>
      <c r="K8390" s="0" t="s">
        <v>28028</v>
      </c>
      <c r="L8390" s="0" t="str">
        <f aca="false">HYPERLINK("https://www.ncbi.nlm.nih.gov/nuccore/CP000304.1?report=graph&amp;tracks=[key:gene_model_track,Options:GeneOnly]&amp;mk=2384123:2384142|offset_0|444444,2384097:2384116|offset_26|444444,2384062:2384081|offset_61|444444,2384035:2384054|offset_88|00cc00&amp;v=2383922:2384254&amp;c=444444", "offset 88")</f>
        <v>offset 88</v>
      </c>
    </row>
    <row r="8391" customFormat="false" ht="12.8" hidden="false" customHeight="false" outlineLevel="0" collapsed="false">
      <c r="A8391" s="0" t="s">
        <v>12</v>
      </c>
      <c r="B8391" s="0" t="n">
        <v>2384815</v>
      </c>
      <c r="C8391" s="0" t="n">
        <v>2384835</v>
      </c>
      <c r="D8391" s="0" t="s">
        <v>28029</v>
      </c>
      <c r="E8391" s="0" t="s">
        <v>89</v>
      </c>
      <c r="F8391" s="0" t="s">
        <v>90</v>
      </c>
      <c r="G8391" s="0" t="s">
        <v>16</v>
      </c>
      <c r="H8391" s="0" t="n">
        <v>6</v>
      </c>
      <c r="I8391" s="0" t="s">
        <v>28030</v>
      </c>
      <c r="J8391" s="0" t="s">
        <v>28031</v>
      </c>
      <c r="K8391" s="0" t="s">
        <v>28032</v>
      </c>
      <c r="L8391" s="0" t="str">
        <f aca="false">HYPERLINK("https://www.ncbi.nlm.nih.gov/nuccore/CP000304.1?report=graph&amp;tracks=[key:gene_model_track,Options:GeneOnly]&amp;mk=2384816:2384835|offset_6|00cc00,2384775:2384794|offset_47|444444,2384742:2384761|offset_80|444444,2384722:2384741|offset_100|444444&amp;v=2384615:2384941&amp;c=444444", "offset 6")</f>
        <v>offset 6</v>
      </c>
    </row>
    <row r="8392" customFormat="false" ht="12.8" hidden="false" customHeight="false" outlineLevel="0" collapsed="false">
      <c r="A8392" s="0" t="s">
        <v>12</v>
      </c>
      <c r="B8392" s="0" t="n">
        <v>2384774</v>
      </c>
      <c r="C8392" s="0" t="n">
        <v>2384794</v>
      </c>
      <c r="D8392" s="0" t="s">
        <v>28029</v>
      </c>
      <c r="E8392" s="0" t="s">
        <v>89</v>
      </c>
      <c r="F8392" s="0" t="s">
        <v>90</v>
      </c>
      <c r="G8392" s="0" t="s">
        <v>16</v>
      </c>
      <c r="H8392" s="0" t="n">
        <v>47</v>
      </c>
      <c r="I8392" s="0" t="s">
        <v>28033</v>
      </c>
      <c r="J8392" s="0" t="s">
        <v>28034</v>
      </c>
      <c r="K8392" s="0" t="s">
        <v>28035</v>
      </c>
      <c r="L8392" s="0" t="str">
        <f aca="false">HYPERLINK("https://www.ncbi.nlm.nih.gov/nuccore/CP000304.1?report=graph&amp;tracks=[key:gene_model_track,Options:GeneOnly]&amp;mk=2384816:2384835|offset_6|444444,2384775:2384794|offset_47|00cc00,2384742:2384761|offset_80|444444,2384722:2384741|offset_100|444444&amp;v=2384615:2384941&amp;c=444444", "offset 47")</f>
        <v>offset 47</v>
      </c>
    </row>
    <row r="8393" customFormat="false" ht="12.8" hidden="false" customHeight="false" outlineLevel="0" collapsed="false">
      <c r="A8393" s="0" t="s">
        <v>12</v>
      </c>
      <c r="B8393" s="0" t="n">
        <v>2384741</v>
      </c>
      <c r="C8393" s="0" t="n">
        <v>2384761</v>
      </c>
      <c r="D8393" s="0" t="s">
        <v>28029</v>
      </c>
      <c r="E8393" s="0" t="s">
        <v>89</v>
      </c>
      <c r="F8393" s="0" t="s">
        <v>90</v>
      </c>
      <c r="G8393" s="0" t="s">
        <v>16</v>
      </c>
      <c r="H8393" s="0" t="n">
        <v>80</v>
      </c>
      <c r="I8393" s="0" t="s">
        <v>28036</v>
      </c>
      <c r="J8393" s="0" t="s">
        <v>28037</v>
      </c>
      <c r="K8393" s="0" t="s">
        <v>28038</v>
      </c>
      <c r="L8393" s="0" t="str">
        <f aca="false">HYPERLINK("https://www.ncbi.nlm.nih.gov/nuccore/CP000304.1?report=graph&amp;tracks=[key:gene_model_track,Options:GeneOnly]&amp;mk=2384816:2384835|offset_6|444444,2384775:2384794|offset_47|444444,2384742:2384761|offset_80|00cc00,2384722:2384741|offset_100|444444&amp;v=2384615:2384941&amp;c=444444", "offset 80")</f>
        <v>offset 80</v>
      </c>
    </row>
    <row r="8394" customFormat="false" ht="12.8" hidden="false" customHeight="false" outlineLevel="0" collapsed="false">
      <c r="A8394" s="0" t="s">
        <v>12</v>
      </c>
      <c r="B8394" s="0" t="n">
        <v>2384721</v>
      </c>
      <c r="C8394" s="0" t="n">
        <v>2384741</v>
      </c>
      <c r="D8394" s="0" t="s">
        <v>28029</v>
      </c>
      <c r="E8394" s="0" t="s">
        <v>89</v>
      </c>
      <c r="F8394" s="0" t="s">
        <v>90</v>
      </c>
      <c r="G8394" s="0" t="s">
        <v>26</v>
      </c>
      <c r="H8394" s="0" t="n">
        <v>100</v>
      </c>
      <c r="I8394" s="0" t="s">
        <v>28039</v>
      </c>
      <c r="J8394" s="0" t="s">
        <v>28040</v>
      </c>
      <c r="K8394" s="0" t="s">
        <v>28041</v>
      </c>
      <c r="L8394" s="0" t="str">
        <f aca="false">HYPERLINK("https://www.ncbi.nlm.nih.gov/nuccore/CP000304.1?report=graph&amp;tracks=[key:gene_model_track,Options:GeneOnly]&amp;mk=2384816:2384835|offset_6|444444,2384775:2384794|offset_47|444444,2384742:2384761|offset_80|444444,2384722:2384741|offset_100|00cc00&amp;v=2384615:2384941&amp;c=444444", "offset 100")</f>
        <v>offset 100</v>
      </c>
    </row>
    <row r="8395" customFormat="false" ht="12.8" hidden="false" customHeight="false" outlineLevel="0" collapsed="false">
      <c r="A8395" s="0" t="s">
        <v>12</v>
      </c>
      <c r="B8395" s="0" t="n">
        <v>2384990</v>
      </c>
      <c r="C8395" s="0" t="n">
        <v>2385010</v>
      </c>
      <c r="D8395" s="0" t="s">
        <v>28042</v>
      </c>
      <c r="E8395" s="0" t="s">
        <v>28043</v>
      </c>
      <c r="F8395" s="0" t="s">
        <v>15</v>
      </c>
      <c r="G8395" s="0" t="s">
        <v>36</v>
      </c>
      <c r="H8395" s="0" t="n">
        <v>22</v>
      </c>
      <c r="I8395" s="0" t="s">
        <v>28044</v>
      </c>
      <c r="J8395" s="0" t="s">
        <v>28045</v>
      </c>
      <c r="K8395" s="0" t="s">
        <v>28046</v>
      </c>
      <c r="L8395" s="0" t="str">
        <f aca="false">HYPERLINK("https://www.ncbi.nlm.nih.gov/nuccore/CP000304.1?report=graph&amp;tracks=[key:gene_model_track,Options:GeneOnly]&amp;mk=2384991:2385010|offset_22|00cc00,2385020:2385039|offset_51|444444,2385046:2385065|offset_77|444444,2385102:2385121|offset_133|444444&amp;v=2384790:2385321&amp;c=444444", "offset 22")</f>
        <v>offset 22</v>
      </c>
    </row>
    <row r="8396" customFormat="false" ht="12.8" hidden="false" customHeight="false" outlineLevel="0" collapsed="false">
      <c r="A8396" s="0" t="s">
        <v>12</v>
      </c>
      <c r="B8396" s="0" t="n">
        <v>2385019</v>
      </c>
      <c r="C8396" s="0" t="n">
        <v>2385039</v>
      </c>
      <c r="D8396" s="0" t="s">
        <v>28042</v>
      </c>
      <c r="E8396" s="0" t="s">
        <v>28043</v>
      </c>
      <c r="F8396" s="0" t="s">
        <v>15</v>
      </c>
      <c r="G8396" s="0" t="s">
        <v>16</v>
      </c>
      <c r="H8396" s="0" t="n">
        <v>51</v>
      </c>
      <c r="I8396" s="0" t="s">
        <v>28047</v>
      </c>
      <c r="J8396" s="0" t="s">
        <v>28048</v>
      </c>
      <c r="K8396" s="0" t="s">
        <v>28049</v>
      </c>
      <c r="L8396" s="0" t="str">
        <f aca="false">HYPERLINK("https://www.ncbi.nlm.nih.gov/nuccore/CP000304.1?report=graph&amp;tracks=[key:gene_model_track,Options:GeneOnly]&amp;mk=2384991:2385010|offset_22|444444,2385020:2385039|offset_51|00cc00,2385046:2385065|offset_77|444444,2385102:2385121|offset_133|444444&amp;v=2384790:2385321&amp;c=444444", "offset 51")</f>
        <v>offset 51</v>
      </c>
    </row>
    <row r="8397" customFormat="false" ht="12.8" hidden="false" customHeight="false" outlineLevel="0" collapsed="false">
      <c r="A8397" s="0" t="s">
        <v>12</v>
      </c>
      <c r="B8397" s="0" t="n">
        <v>2385045</v>
      </c>
      <c r="C8397" s="0" t="n">
        <v>2385065</v>
      </c>
      <c r="D8397" s="0" t="s">
        <v>28042</v>
      </c>
      <c r="E8397" s="0" t="s">
        <v>28043</v>
      </c>
      <c r="F8397" s="0" t="s">
        <v>15</v>
      </c>
      <c r="G8397" s="0" t="s">
        <v>26</v>
      </c>
      <c r="H8397" s="0" t="n">
        <v>77</v>
      </c>
      <c r="I8397" s="0" t="s">
        <v>28050</v>
      </c>
      <c r="J8397" s="0" t="s">
        <v>28051</v>
      </c>
      <c r="K8397" s="0" t="s">
        <v>28052</v>
      </c>
      <c r="L8397" s="0" t="str">
        <f aca="false">HYPERLINK("https://www.ncbi.nlm.nih.gov/nuccore/CP000304.1?report=graph&amp;tracks=[key:gene_model_track,Options:GeneOnly]&amp;mk=2384991:2385010|offset_22|444444,2385020:2385039|offset_51|444444,2385046:2385065|offset_77|00cc00,2385102:2385121|offset_133|444444&amp;v=2384790:2385321&amp;c=444444", "offset 77")</f>
        <v>offset 77</v>
      </c>
    </row>
    <row r="8398" customFormat="false" ht="12.8" hidden="false" customHeight="false" outlineLevel="0" collapsed="false">
      <c r="A8398" s="0" t="s">
        <v>12</v>
      </c>
      <c r="B8398" s="0" t="n">
        <v>2385101</v>
      </c>
      <c r="C8398" s="0" t="n">
        <v>2385121</v>
      </c>
      <c r="D8398" s="0" t="s">
        <v>28042</v>
      </c>
      <c r="E8398" s="0" t="s">
        <v>28043</v>
      </c>
      <c r="F8398" s="0" t="s">
        <v>15</v>
      </c>
      <c r="G8398" s="0" t="s">
        <v>32</v>
      </c>
      <c r="H8398" s="0" t="n">
        <v>133</v>
      </c>
      <c r="I8398" s="0" t="s">
        <v>28053</v>
      </c>
      <c r="J8398" s="0" t="s">
        <v>28054</v>
      </c>
      <c r="K8398" s="0" t="s">
        <v>28055</v>
      </c>
      <c r="L8398" s="0" t="str">
        <f aca="false">HYPERLINK("https://www.ncbi.nlm.nih.gov/nuccore/CP000304.1?report=graph&amp;tracks=[key:gene_model_track,Options:GeneOnly]&amp;mk=2384991:2385010|offset_22|444444,2385020:2385039|offset_51|444444,2385046:2385065|offset_77|444444,2385102:2385121|offset_133|00cc00&amp;v=2384790:2385321&amp;c=444444", "offset 133")</f>
        <v>offset 133</v>
      </c>
    </row>
    <row r="8399" customFormat="false" ht="12.8" hidden="false" customHeight="false" outlineLevel="0" collapsed="false">
      <c r="A8399" s="0" t="s">
        <v>12</v>
      </c>
      <c r="B8399" s="0" t="n">
        <v>2385974</v>
      </c>
      <c r="C8399" s="0" t="n">
        <v>2385994</v>
      </c>
      <c r="D8399" s="0" t="s">
        <v>28056</v>
      </c>
      <c r="E8399" s="0" t="s">
        <v>89</v>
      </c>
      <c r="F8399" s="0" t="s">
        <v>15</v>
      </c>
      <c r="G8399" s="0" t="s">
        <v>32</v>
      </c>
      <c r="H8399" s="0" t="n">
        <v>9</v>
      </c>
      <c r="I8399" s="0" t="s">
        <v>28057</v>
      </c>
      <c r="J8399" s="0" t="s">
        <v>28058</v>
      </c>
      <c r="K8399" s="0" t="s">
        <v>28059</v>
      </c>
      <c r="L8399" s="0" t="str">
        <f aca="false">HYPERLINK("https://www.ncbi.nlm.nih.gov/nuccore/CP000304.1?report=graph&amp;tracks=[key:gene_model_track,Options:GeneOnly]&amp;mk=2385975:2385994|offset_9|00cc00,2386017:2386036|offset_51|444444,2386039:2386058|offset_73|444444,2386071:2386090|offset_105|444444&amp;v=2385774:2386290&amp;c=444444", "offset 9")</f>
        <v>offset 9</v>
      </c>
    </row>
    <row r="8400" customFormat="false" ht="12.8" hidden="false" customHeight="false" outlineLevel="0" collapsed="false">
      <c r="A8400" s="0" t="s">
        <v>12</v>
      </c>
      <c r="B8400" s="0" t="n">
        <v>2386016</v>
      </c>
      <c r="C8400" s="0" t="n">
        <v>2386036</v>
      </c>
      <c r="D8400" s="0" t="s">
        <v>28056</v>
      </c>
      <c r="E8400" s="0" t="s">
        <v>89</v>
      </c>
      <c r="F8400" s="0" t="s">
        <v>15</v>
      </c>
      <c r="G8400" s="0" t="s">
        <v>26</v>
      </c>
      <c r="H8400" s="0" t="n">
        <v>51</v>
      </c>
      <c r="I8400" s="0" t="s">
        <v>28060</v>
      </c>
      <c r="J8400" s="0" t="s">
        <v>28061</v>
      </c>
      <c r="K8400" s="0" t="s">
        <v>28062</v>
      </c>
      <c r="L8400" s="0" t="str">
        <f aca="false">HYPERLINK("https://www.ncbi.nlm.nih.gov/nuccore/CP000304.1?report=graph&amp;tracks=[key:gene_model_track,Options:GeneOnly]&amp;mk=2385975:2385994|offset_9|444444,2386017:2386036|offset_51|00cc00,2386039:2386058|offset_73|444444,2386071:2386090|offset_105|444444&amp;v=2385774:2386290&amp;c=444444", "offset 51")</f>
        <v>offset 51</v>
      </c>
    </row>
    <row r="8401" customFormat="false" ht="12.8" hidden="false" customHeight="false" outlineLevel="0" collapsed="false">
      <c r="A8401" s="0" t="s">
        <v>12</v>
      </c>
      <c r="B8401" s="0" t="n">
        <v>2386038</v>
      </c>
      <c r="C8401" s="0" t="n">
        <v>2386058</v>
      </c>
      <c r="D8401" s="0" t="s">
        <v>28056</v>
      </c>
      <c r="E8401" s="0" t="s">
        <v>89</v>
      </c>
      <c r="F8401" s="0" t="s">
        <v>15</v>
      </c>
      <c r="G8401" s="0" t="s">
        <v>32</v>
      </c>
      <c r="H8401" s="0" t="n">
        <v>73</v>
      </c>
      <c r="I8401" s="0" t="s">
        <v>28063</v>
      </c>
      <c r="J8401" s="0" t="s">
        <v>28064</v>
      </c>
      <c r="K8401" s="0" t="s">
        <v>28065</v>
      </c>
      <c r="L8401" s="0" t="str">
        <f aca="false">HYPERLINK("https://www.ncbi.nlm.nih.gov/nuccore/CP000304.1?report=graph&amp;tracks=[key:gene_model_track,Options:GeneOnly]&amp;mk=2385975:2385994|offset_9|444444,2386017:2386036|offset_51|444444,2386039:2386058|offset_73|00cc00,2386071:2386090|offset_105|444444&amp;v=2385774:2386290&amp;c=444444", "offset 73")</f>
        <v>offset 73</v>
      </c>
    </row>
    <row r="8402" customFormat="false" ht="12.8" hidden="false" customHeight="false" outlineLevel="0" collapsed="false">
      <c r="A8402" s="0" t="s">
        <v>12</v>
      </c>
      <c r="B8402" s="0" t="n">
        <v>2386070</v>
      </c>
      <c r="C8402" s="0" t="n">
        <v>2386090</v>
      </c>
      <c r="D8402" s="0" t="s">
        <v>28056</v>
      </c>
      <c r="E8402" s="0" t="s">
        <v>89</v>
      </c>
      <c r="F8402" s="0" t="s">
        <v>15</v>
      </c>
      <c r="G8402" s="0" t="s">
        <v>16</v>
      </c>
      <c r="H8402" s="0" t="n">
        <v>105</v>
      </c>
      <c r="I8402" s="0" t="s">
        <v>28066</v>
      </c>
      <c r="J8402" s="0" t="s">
        <v>28067</v>
      </c>
      <c r="K8402" s="0" t="s">
        <v>28068</v>
      </c>
      <c r="L8402" s="0" t="str">
        <f aca="false">HYPERLINK("https://www.ncbi.nlm.nih.gov/nuccore/CP000304.1?report=graph&amp;tracks=[key:gene_model_track,Options:GeneOnly]&amp;mk=2385975:2385994|offset_9|444444,2386017:2386036|offset_51|444444,2386039:2386058|offset_73|444444,2386071:2386090|offset_105|00cc00&amp;v=2385774:2386290&amp;c=444444", "offset 105")</f>
        <v>offset 105</v>
      </c>
    </row>
    <row r="8403" customFormat="false" ht="12.8" hidden="false" customHeight="false" outlineLevel="0" collapsed="false">
      <c r="A8403" s="0" t="s">
        <v>12</v>
      </c>
      <c r="B8403" s="0" t="n">
        <v>2387443</v>
      </c>
      <c r="C8403" s="0" t="n">
        <v>2387463</v>
      </c>
      <c r="D8403" s="0" t="s">
        <v>28069</v>
      </c>
      <c r="E8403" s="0" t="s">
        <v>28070</v>
      </c>
      <c r="F8403" s="0" t="s">
        <v>15</v>
      </c>
      <c r="G8403" s="0" t="s">
        <v>26</v>
      </c>
      <c r="H8403" s="0" t="n">
        <v>8</v>
      </c>
      <c r="I8403" s="0" t="s">
        <v>28071</v>
      </c>
      <c r="J8403" s="0" t="s">
        <v>28072</v>
      </c>
      <c r="K8403" s="0" t="s">
        <v>28073</v>
      </c>
      <c r="L8403" s="0" t="str">
        <f aca="false">HYPERLINK("https://www.ncbi.nlm.nih.gov/nuccore/CP000304.1?report=graph&amp;tracks=[key:gene_model_track,Options:GeneOnly]&amp;mk=2387444:2387463|offset_8|00cc00,2387483:2387502|offset_47|444444,2387504:2387523|offset_68|444444,2387524:2387543|offset_88|444444&amp;v=2387243:2387743&amp;c=444444", "offset 8")</f>
        <v>offset 8</v>
      </c>
    </row>
    <row r="8404" customFormat="false" ht="12.8" hidden="false" customHeight="false" outlineLevel="0" collapsed="false">
      <c r="A8404" s="0" t="s">
        <v>12</v>
      </c>
      <c r="B8404" s="0" t="n">
        <v>2387482</v>
      </c>
      <c r="C8404" s="0" t="n">
        <v>2387502</v>
      </c>
      <c r="D8404" s="0" t="s">
        <v>28069</v>
      </c>
      <c r="E8404" s="0" t="s">
        <v>28070</v>
      </c>
      <c r="F8404" s="0" t="s">
        <v>15</v>
      </c>
      <c r="G8404" s="0" t="s">
        <v>36</v>
      </c>
      <c r="H8404" s="0" t="n">
        <v>47</v>
      </c>
      <c r="I8404" s="0" t="s">
        <v>28074</v>
      </c>
      <c r="J8404" s="0" t="s">
        <v>28075</v>
      </c>
      <c r="K8404" s="0" t="s">
        <v>28076</v>
      </c>
      <c r="L8404" s="0" t="str">
        <f aca="false">HYPERLINK("https://www.ncbi.nlm.nih.gov/nuccore/CP000304.1?report=graph&amp;tracks=[key:gene_model_track,Options:GeneOnly]&amp;mk=2387444:2387463|offset_8|444444,2387483:2387502|offset_47|00cc00,2387504:2387523|offset_68|444444,2387524:2387543|offset_88|444444&amp;v=2387243:2387743&amp;c=444444", "offset 47")</f>
        <v>offset 47</v>
      </c>
    </row>
    <row r="8405" customFormat="false" ht="12.8" hidden="false" customHeight="false" outlineLevel="0" collapsed="false">
      <c r="A8405" s="0" t="s">
        <v>12</v>
      </c>
      <c r="B8405" s="0" t="n">
        <v>2387503</v>
      </c>
      <c r="C8405" s="0" t="n">
        <v>2387523</v>
      </c>
      <c r="D8405" s="0" t="s">
        <v>28069</v>
      </c>
      <c r="E8405" s="0" t="s">
        <v>28070</v>
      </c>
      <c r="F8405" s="0" t="s">
        <v>15</v>
      </c>
      <c r="G8405" s="0" t="s">
        <v>26</v>
      </c>
      <c r="H8405" s="0" t="n">
        <v>68</v>
      </c>
      <c r="I8405" s="0" t="s">
        <v>28077</v>
      </c>
      <c r="J8405" s="0" t="s">
        <v>28078</v>
      </c>
      <c r="K8405" s="0" t="s">
        <v>28079</v>
      </c>
      <c r="L8405" s="0" t="str">
        <f aca="false">HYPERLINK("https://www.ncbi.nlm.nih.gov/nuccore/CP000304.1?report=graph&amp;tracks=[key:gene_model_track,Options:GeneOnly]&amp;mk=2387444:2387463|offset_8|444444,2387483:2387502|offset_47|444444,2387504:2387523|offset_68|00cc00,2387524:2387543|offset_88|444444&amp;v=2387243:2387743&amp;c=444444", "offset 68")</f>
        <v>offset 68</v>
      </c>
    </row>
    <row r="8406" customFormat="false" ht="12.8" hidden="false" customHeight="false" outlineLevel="0" collapsed="false">
      <c r="A8406" s="0" t="s">
        <v>12</v>
      </c>
      <c r="B8406" s="0" t="n">
        <v>2387523</v>
      </c>
      <c r="C8406" s="0" t="n">
        <v>2387543</v>
      </c>
      <c r="D8406" s="0" t="s">
        <v>28069</v>
      </c>
      <c r="E8406" s="0" t="s">
        <v>28070</v>
      </c>
      <c r="F8406" s="0" t="s">
        <v>15</v>
      </c>
      <c r="G8406" s="0" t="s">
        <v>16</v>
      </c>
      <c r="H8406" s="0" t="n">
        <v>88</v>
      </c>
      <c r="I8406" s="0" t="s">
        <v>28080</v>
      </c>
      <c r="J8406" s="0" t="s">
        <v>28081</v>
      </c>
      <c r="K8406" s="0" t="s">
        <v>28082</v>
      </c>
      <c r="L8406" s="0" t="str">
        <f aca="false">HYPERLINK("https://www.ncbi.nlm.nih.gov/nuccore/CP000304.1?report=graph&amp;tracks=[key:gene_model_track,Options:GeneOnly]&amp;mk=2387444:2387463|offset_8|444444,2387483:2387502|offset_47|444444,2387504:2387523|offset_68|444444,2387524:2387543|offset_88|00cc00&amp;v=2387243:2387743&amp;c=444444", "offset 88")</f>
        <v>offset 88</v>
      </c>
    </row>
    <row r="8407" customFormat="false" ht="12.8" hidden="false" customHeight="false" outlineLevel="0" collapsed="false">
      <c r="A8407" s="0" t="s">
        <v>12</v>
      </c>
      <c r="B8407" s="0" t="n">
        <v>2388456</v>
      </c>
      <c r="C8407" s="0" t="n">
        <v>2388476</v>
      </c>
      <c r="D8407" s="0" t="s">
        <v>28083</v>
      </c>
      <c r="E8407" s="0" t="s">
        <v>28084</v>
      </c>
      <c r="F8407" s="0" t="s">
        <v>15</v>
      </c>
      <c r="G8407" s="0" t="s">
        <v>16</v>
      </c>
      <c r="H8407" s="0" t="n">
        <v>22</v>
      </c>
      <c r="I8407" s="0" t="s">
        <v>28085</v>
      </c>
      <c r="J8407" s="0" t="s">
        <v>28086</v>
      </c>
      <c r="K8407" s="0" t="s">
        <v>28087</v>
      </c>
      <c r="L8407" s="0" t="str">
        <f aca="false">HYPERLINK("https://www.ncbi.nlm.nih.gov/nuccore/CP000304.1?report=graph&amp;tracks=[key:gene_model_track,Options:GeneOnly]&amp;mk=2388457:2388476|offset_22|00cc00,2388488:2388507|offset_53|444444,2388509:2388528|offset_74|444444,2388530:2388549|offset_95|444444&amp;v=2388256:2388749&amp;c=444444", "offset 22")</f>
        <v>offset 22</v>
      </c>
    </row>
    <row r="8408" customFormat="false" ht="12.8" hidden="false" customHeight="false" outlineLevel="0" collapsed="false">
      <c r="A8408" s="0" t="s">
        <v>12</v>
      </c>
      <c r="B8408" s="0" t="n">
        <v>2388487</v>
      </c>
      <c r="C8408" s="0" t="n">
        <v>2388507</v>
      </c>
      <c r="D8408" s="0" t="s">
        <v>28083</v>
      </c>
      <c r="E8408" s="0" t="s">
        <v>28084</v>
      </c>
      <c r="F8408" s="0" t="s">
        <v>15</v>
      </c>
      <c r="G8408" s="0" t="s">
        <v>32</v>
      </c>
      <c r="H8408" s="0" t="n">
        <v>53</v>
      </c>
      <c r="I8408" s="0" t="s">
        <v>28088</v>
      </c>
      <c r="J8408" s="0" t="s">
        <v>28089</v>
      </c>
      <c r="K8408" s="0" t="s">
        <v>28090</v>
      </c>
      <c r="L8408" s="0" t="str">
        <f aca="false">HYPERLINK("https://www.ncbi.nlm.nih.gov/nuccore/CP000304.1?report=graph&amp;tracks=[key:gene_model_track,Options:GeneOnly]&amp;mk=2388457:2388476|offset_22|444444,2388488:2388507|offset_53|00cc00,2388509:2388528|offset_74|444444,2388530:2388549|offset_95|444444&amp;v=2388256:2388749&amp;c=444444", "offset 53")</f>
        <v>offset 53</v>
      </c>
    </row>
    <row r="8409" customFormat="false" ht="12.8" hidden="false" customHeight="false" outlineLevel="0" collapsed="false">
      <c r="A8409" s="0" t="s">
        <v>12</v>
      </c>
      <c r="B8409" s="0" t="n">
        <v>2388508</v>
      </c>
      <c r="C8409" s="0" t="n">
        <v>2388528</v>
      </c>
      <c r="D8409" s="0" t="s">
        <v>28083</v>
      </c>
      <c r="E8409" s="0" t="s">
        <v>28084</v>
      </c>
      <c r="F8409" s="0" t="s">
        <v>15</v>
      </c>
      <c r="G8409" s="0" t="s">
        <v>16</v>
      </c>
      <c r="H8409" s="0" t="n">
        <v>74</v>
      </c>
      <c r="I8409" s="0" t="s">
        <v>28091</v>
      </c>
      <c r="J8409" s="0" t="s">
        <v>28092</v>
      </c>
      <c r="K8409" s="0" t="s">
        <v>28093</v>
      </c>
      <c r="L8409" s="0" t="str">
        <f aca="false">HYPERLINK("https://www.ncbi.nlm.nih.gov/nuccore/CP000304.1?report=graph&amp;tracks=[key:gene_model_track,Options:GeneOnly]&amp;mk=2388457:2388476|offset_22|444444,2388488:2388507|offset_53|444444,2388509:2388528|offset_74|00cc00,2388530:2388549|offset_95|444444&amp;v=2388256:2388749&amp;c=444444", "offset 74")</f>
        <v>offset 74</v>
      </c>
    </row>
    <row r="8410" customFormat="false" ht="12.8" hidden="false" customHeight="false" outlineLevel="0" collapsed="false">
      <c r="A8410" s="0" t="s">
        <v>12</v>
      </c>
      <c r="B8410" s="0" t="n">
        <v>2388529</v>
      </c>
      <c r="C8410" s="0" t="n">
        <v>2388549</v>
      </c>
      <c r="D8410" s="0" t="s">
        <v>28083</v>
      </c>
      <c r="E8410" s="0" t="s">
        <v>28084</v>
      </c>
      <c r="F8410" s="0" t="s">
        <v>15</v>
      </c>
      <c r="G8410" s="0" t="s">
        <v>36</v>
      </c>
      <c r="H8410" s="0" t="n">
        <v>95</v>
      </c>
      <c r="I8410" s="0" t="s">
        <v>28094</v>
      </c>
      <c r="J8410" s="0" t="s">
        <v>28095</v>
      </c>
      <c r="K8410" s="0" t="s">
        <v>28096</v>
      </c>
      <c r="L8410" s="0" t="str">
        <f aca="false">HYPERLINK("https://www.ncbi.nlm.nih.gov/nuccore/CP000304.1?report=graph&amp;tracks=[key:gene_model_track,Options:GeneOnly]&amp;mk=2388457:2388476|offset_22|444444,2388488:2388507|offset_53|444444,2388509:2388528|offset_74|444444,2388530:2388549|offset_95|00cc00&amp;v=2388256:2388749&amp;c=444444", "offset 95")</f>
        <v>offset 95</v>
      </c>
    </row>
    <row r="8411" customFormat="false" ht="12.8" hidden="false" customHeight="false" outlineLevel="0" collapsed="false">
      <c r="A8411" s="0" t="s">
        <v>12</v>
      </c>
      <c r="B8411" s="0" t="n">
        <v>2389650</v>
      </c>
      <c r="C8411" s="0" t="n">
        <v>2389670</v>
      </c>
      <c r="D8411" s="0" t="s">
        <v>28097</v>
      </c>
      <c r="E8411" s="0" t="s">
        <v>89</v>
      </c>
      <c r="F8411" s="0" t="s">
        <v>15</v>
      </c>
      <c r="G8411" s="0" t="s">
        <v>32</v>
      </c>
      <c r="H8411" s="0" t="n">
        <v>14</v>
      </c>
      <c r="I8411" s="0" t="s">
        <v>28098</v>
      </c>
      <c r="J8411" s="0" t="s">
        <v>28099</v>
      </c>
      <c r="K8411" s="0" t="s">
        <v>28100</v>
      </c>
      <c r="L8411" s="0" t="str">
        <f aca="false">HYPERLINK("https://www.ncbi.nlm.nih.gov/nuccore/CP000304.1?report=graph&amp;tracks=[key:gene_model_track,Options:GeneOnly]&amp;mk=2389651:2389670|offset_14|00cc00,2389671:2389690|offset_34|444444,2389711:2389730|offset_74|444444,2389747:2389766|offset_110|444444&amp;v=2389450:2389966&amp;c=444444", "offset 14")</f>
        <v>offset 14</v>
      </c>
    </row>
    <row r="8412" customFormat="false" ht="12.8" hidden="false" customHeight="false" outlineLevel="0" collapsed="false">
      <c r="A8412" s="0" t="s">
        <v>12</v>
      </c>
      <c r="B8412" s="0" t="n">
        <v>2389670</v>
      </c>
      <c r="C8412" s="0" t="n">
        <v>2389690</v>
      </c>
      <c r="D8412" s="0" t="s">
        <v>28097</v>
      </c>
      <c r="E8412" s="0" t="s">
        <v>89</v>
      </c>
      <c r="F8412" s="0" t="s">
        <v>15</v>
      </c>
      <c r="G8412" s="0" t="s">
        <v>26</v>
      </c>
      <c r="H8412" s="0" t="n">
        <v>34</v>
      </c>
      <c r="I8412" s="0" t="s">
        <v>28101</v>
      </c>
      <c r="J8412" s="0" t="s">
        <v>28102</v>
      </c>
      <c r="K8412" s="0" t="s">
        <v>28103</v>
      </c>
      <c r="L8412" s="0" t="str">
        <f aca="false">HYPERLINK("https://www.ncbi.nlm.nih.gov/nuccore/CP000304.1?report=graph&amp;tracks=[key:gene_model_track,Options:GeneOnly]&amp;mk=2389651:2389670|offset_14|444444,2389671:2389690|offset_34|00cc00,2389711:2389730|offset_74|444444,2389747:2389766|offset_110|444444&amp;v=2389450:2389966&amp;c=444444", "offset 34")</f>
        <v>offset 34</v>
      </c>
    </row>
    <row r="8413" customFormat="false" ht="12.8" hidden="false" customHeight="false" outlineLevel="0" collapsed="false">
      <c r="A8413" s="0" t="s">
        <v>12</v>
      </c>
      <c r="B8413" s="0" t="n">
        <v>2389710</v>
      </c>
      <c r="C8413" s="0" t="n">
        <v>2389730</v>
      </c>
      <c r="D8413" s="0" t="s">
        <v>28097</v>
      </c>
      <c r="E8413" s="0" t="s">
        <v>89</v>
      </c>
      <c r="F8413" s="0" t="s">
        <v>15</v>
      </c>
      <c r="G8413" s="0" t="s">
        <v>26</v>
      </c>
      <c r="H8413" s="0" t="n">
        <v>74</v>
      </c>
      <c r="I8413" s="0" t="s">
        <v>28104</v>
      </c>
      <c r="J8413" s="0" t="s">
        <v>28105</v>
      </c>
      <c r="K8413" s="0" t="s">
        <v>28106</v>
      </c>
      <c r="L8413" s="0" t="str">
        <f aca="false">HYPERLINK("https://www.ncbi.nlm.nih.gov/nuccore/CP000304.1?report=graph&amp;tracks=[key:gene_model_track,Options:GeneOnly]&amp;mk=2389651:2389670|offset_14|444444,2389671:2389690|offset_34|444444,2389711:2389730|offset_74|00cc00,2389747:2389766|offset_110|444444&amp;v=2389450:2389966&amp;c=444444", "offset 74")</f>
        <v>offset 74</v>
      </c>
    </row>
    <row r="8414" customFormat="false" ht="12.8" hidden="false" customHeight="false" outlineLevel="0" collapsed="false">
      <c r="A8414" s="0" t="s">
        <v>12</v>
      </c>
      <c r="B8414" s="0" t="n">
        <v>2389746</v>
      </c>
      <c r="C8414" s="0" t="n">
        <v>2389766</v>
      </c>
      <c r="D8414" s="0" t="s">
        <v>28097</v>
      </c>
      <c r="E8414" s="0" t="s">
        <v>89</v>
      </c>
      <c r="F8414" s="0" t="s">
        <v>15</v>
      </c>
      <c r="G8414" s="0" t="s">
        <v>16</v>
      </c>
      <c r="H8414" s="0" t="n">
        <v>110</v>
      </c>
      <c r="I8414" s="0" t="s">
        <v>28107</v>
      </c>
      <c r="J8414" s="0" t="s">
        <v>28108</v>
      </c>
      <c r="K8414" s="0" t="s">
        <v>28109</v>
      </c>
      <c r="L8414" s="0" t="str">
        <f aca="false">HYPERLINK("https://www.ncbi.nlm.nih.gov/nuccore/CP000304.1?report=graph&amp;tracks=[key:gene_model_track,Options:GeneOnly]&amp;mk=2389651:2389670|offset_14|444444,2389671:2389690|offset_34|444444,2389711:2389730|offset_74|444444,2389747:2389766|offset_110|00cc00&amp;v=2389450:2389966&amp;c=444444", "offset 110")</f>
        <v>offset 110</v>
      </c>
    </row>
    <row r="8415" customFormat="false" ht="12.8" hidden="false" customHeight="false" outlineLevel="0" collapsed="false">
      <c r="A8415" s="0" t="s">
        <v>12</v>
      </c>
      <c r="B8415" s="0" t="n">
        <v>2391036</v>
      </c>
      <c r="C8415" s="0" t="n">
        <v>2391056</v>
      </c>
      <c r="D8415" s="0" t="s">
        <v>28110</v>
      </c>
      <c r="E8415" s="0" t="s">
        <v>89</v>
      </c>
      <c r="F8415" s="0" t="s">
        <v>15</v>
      </c>
      <c r="G8415" s="0" t="s">
        <v>32</v>
      </c>
      <c r="H8415" s="0" t="n">
        <v>10</v>
      </c>
      <c r="I8415" s="0" t="s">
        <v>28111</v>
      </c>
      <c r="J8415" s="0" t="s">
        <v>28112</v>
      </c>
      <c r="K8415" s="0" t="s">
        <v>28113</v>
      </c>
      <c r="L8415" s="0" t="str">
        <f aca="false">HYPERLINK("https://www.ncbi.nlm.nih.gov/nuccore/CP000304.1?report=graph&amp;tracks=[key:gene_model_track,Options:GeneOnly]&amp;mk=2391037:2391056|offset_10|00cc00,2391061:2391080|offset_34|444444,2391081:2391100|offset_54|444444,2391101:2391120|offset_74|444444&amp;v=2390836:2391320&amp;c=444444", "offset 10")</f>
        <v>offset 10</v>
      </c>
    </row>
    <row r="8416" customFormat="false" ht="12.8" hidden="false" customHeight="false" outlineLevel="0" collapsed="false">
      <c r="A8416" s="0" t="s">
        <v>12</v>
      </c>
      <c r="B8416" s="0" t="n">
        <v>2391060</v>
      </c>
      <c r="C8416" s="0" t="n">
        <v>2391080</v>
      </c>
      <c r="D8416" s="0" t="s">
        <v>28110</v>
      </c>
      <c r="E8416" s="0" t="s">
        <v>89</v>
      </c>
      <c r="F8416" s="0" t="s">
        <v>15</v>
      </c>
      <c r="G8416" s="0" t="s">
        <v>36</v>
      </c>
      <c r="H8416" s="0" t="n">
        <v>34</v>
      </c>
      <c r="I8416" s="0" t="s">
        <v>28114</v>
      </c>
      <c r="J8416" s="0" t="s">
        <v>28115</v>
      </c>
      <c r="K8416" s="0" t="s">
        <v>28116</v>
      </c>
      <c r="L8416" s="0" t="str">
        <f aca="false">HYPERLINK("https://www.ncbi.nlm.nih.gov/nuccore/CP000304.1?report=graph&amp;tracks=[key:gene_model_track,Options:GeneOnly]&amp;mk=2391037:2391056|offset_10|444444,2391061:2391080|offset_34|00cc00,2391081:2391100|offset_54|444444,2391101:2391120|offset_74|444444&amp;v=2390836:2391320&amp;c=444444", "offset 34")</f>
        <v>offset 34</v>
      </c>
    </row>
    <row r="8417" customFormat="false" ht="12.8" hidden="false" customHeight="false" outlineLevel="0" collapsed="false">
      <c r="A8417" s="0" t="s">
        <v>12</v>
      </c>
      <c r="B8417" s="0" t="n">
        <v>2391080</v>
      </c>
      <c r="C8417" s="0" t="n">
        <v>2391100</v>
      </c>
      <c r="D8417" s="0" t="s">
        <v>28110</v>
      </c>
      <c r="E8417" s="0" t="s">
        <v>89</v>
      </c>
      <c r="F8417" s="0" t="s">
        <v>15</v>
      </c>
      <c r="G8417" s="0" t="s">
        <v>32</v>
      </c>
      <c r="H8417" s="0" t="n">
        <v>54</v>
      </c>
      <c r="I8417" s="0" t="s">
        <v>28117</v>
      </c>
      <c r="J8417" s="0" t="s">
        <v>28118</v>
      </c>
      <c r="K8417" s="0" t="s">
        <v>28119</v>
      </c>
      <c r="L8417" s="0" t="str">
        <f aca="false">HYPERLINK("https://www.ncbi.nlm.nih.gov/nuccore/CP000304.1?report=graph&amp;tracks=[key:gene_model_track,Options:GeneOnly]&amp;mk=2391037:2391056|offset_10|444444,2391061:2391080|offset_34|444444,2391081:2391100|offset_54|00cc00,2391101:2391120|offset_74|444444&amp;v=2390836:2391320&amp;c=444444", "offset 54")</f>
        <v>offset 54</v>
      </c>
    </row>
    <row r="8418" customFormat="false" ht="12.8" hidden="false" customHeight="false" outlineLevel="0" collapsed="false">
      <c r="A8418" s="0" t="s">
        <v>12</v>
      </c>
      <c r="B8418" s="0" t="n">
        <v>2391100</v>
      </c>
      <c r="C8418" s="0" t="n">
        <v>2391120</v>
      </c>
      <c r="D8418" s="0" t="s">
        <v>28110</v>
      </c>
      <c r="E8418" s="0" t="s">
        <v>89</v>
      </c>
      <c r="F8418" s="0" t="s">
        <v>15</v>
      </c>
      <c r="G8418" s="0" t="s">
        <v>16</v>
      </c>
      <c r="H8418" s="0" t="n">
        <v>74</v>
      </c>
      <c r="I8418" s="0" t="s">
        <v>28120</v>
      </c>
      <c r="J8418" s="0" t="s">
        <v>28121</v>
      </c>
      <c r="K8418" s="0" t="s">
        <v>28122</v>
      </c>
      <c r="L8418" s="0" t="str">
        <f aca="false">HYPERLINK("https://www.ncbi.nlm.nih.gov/nuccore/CP000304.1?report=graph&amp;tracks=[key:gene_model_track,Options:GeneOnly]&amp;mk=2391037:2391056|offset_10|444444,2391061:2391080|offset_34|444444,2391081:2391100|offset_54|444444,2391101:2391120|offset_74|00cc00&amp;v=2390836:2391320&amp;c=444444", "offset 74")</f>
        <v>offset 74</v>
      </c>
    </row>
    <row r="8419" customFormat="false" ht="12.8" hidden="false" customHeight="false" outlineLevel="0" collapsed="false">
      <c r="A8419" s="0" t="s">
        <v>12</v>
      </c>
      <c r="B8419" s="0" t="n">
        <v>2391981</v>
      </c>
      <c r="C8419" s="0" t="n">
        <v>2392001</v>
      </c>
      <c r="D8419" s="0" t="s">
        <v>28123</v>
      </c>
      <c r="E8419" s="0" t="s">
        <v>28124</v>
      </c>
      <c r="F8419" s="0" t="s">
        <v>15</v>
      </c>
      <c r="G8419" s="0" t="s">
        <v>16</v>
      </c>
      <c r="H8419" s="0" t="n">
        <v>0</v>
      </c>
      <c r="I8419" s="0" t="s">
        <v>28125</v>
      </c>
      <c r="J8419" s="0" t="s">
        <v>28126</v>
      </c>
      <c r="K8419" s="0" t="s">
        <v>28127</v>
      </c>
      <c r="L8419" s="0" t="str">
        <f aca="false">HYPERLINK("https://www.ncbi.nlm.nih.gov/nuccore/CP000304.1?report=graph&amp;tracks=[key:gene_model_track,Options:GeneOnly]&amp;mk=2391982:2392001|offset_0|00cc00,2392011:2392030|offset_29|444444,2392040:2392059|offset_58|444444,2392068:2392087|offset_86|444444&amp;v=2391781:2392287&amp;c=444444", "offset 0")</f>
        <v>offset 0</v>
      </c>
    </row>
    <row r="8420" customFormat="false" ht="12.8" hidden="false" customHeight="false" outlineLevel="0" collapsed="false">
      <c r="A8420" s="0" t="s">
        <v>12</v>
      </c>
      <c r="B8420" s="0" t="n">
        <v>2392010</v>
      </c>
      <c r="C8420" s="0" t="n">
        <v>2392030</v>
      </c>
      <c r="D8420" s="0" t="s">
        <v>28123</v>
      </c>
      <c r="E8420" s="0" t="s">
        <v>28124</v>
      </c>
      <c r="F8420" s="0" t="s">
        <v>15</v>
      </c>
      <c r="G8420" s="0" t="s">
        <v>26</v>
      </c>
      <c r="H8420" s="0" t="n">
        <v>29</v>
      </c>
      <c r="I8420" s="0" t="s">
        <v>28128</v>
      </c>
      <c r="J8420" s="0" t="s">
        <v>28129</v>
      </c>
      <c r="K8420" s="0" t="s">
        <v>28130</v>
      </c>
      <c r="L8420" s="0" t="str">
        <f aca="false">HYPERLINK("https://www.ncbi.nlm.nih.gov/nuccore/CP000304.1?report=graph&amp;tracks=[key:gene_model_track,Options:GeneOnly]&amp;mk=2391982:2392001|offset_0|444444,2392011:2392030|offset_29|00cc00,2392040:2392059|offset_58|444444,2392068:2392087|offset_86|444444&amp;v=2391781:2392287&amp;c=444444", "offset 29")</f>
        <v>offset 29</v>
      </c>
    </row>
    <row r="8421" customFormat="false" ht="12.8" hidden="false" customHeight="false" outlineLevel="0" collapsed="false">
      <c r="A8421" s="0" t="s">
        <v>12</v>
      </c>
      <c r="B8421" s="0" t="n">
        <v>2392039</v>
      </c>
      <c r="C8421" s="0" t="n">
        <v>2392059</v>
      </c>
      <c r="D8421" s="0" t="s">
        <v>28123</v>
      </c>
      <c r="E8421" s="0" t="s">
        <v>28124</v>
      </c>
      <c r="F8421" s="0" t="s">
        <v>15</v>
      </c>
      <c r="G8421" s="0" t="s">
        <v>26</v>
      </c>
      <c r="H8421" s="0" t="n">
        <v>58</v>
      </c>
      <c r="I8421" s="0" t="s">
        <v>28131</v>
      </c>
      <c r="J8421" s="0" t="s">
        <v>28132</v>
      </c>
      <c r="K8421" s="0" t="s">
        <v>28133</v>
      </c>
      <c r="L8421" s="0" t="str">
        <f aca="false">HYPERLINK("https://www.ncbi.nlm.nih.gov/nuccore/CP000304.1?report=graph&amp;tracks=[key:gene_model_track,Options:GeneOnly]&amp;mk=2391982:2392001|offset_0|444444,2392011:2392030|offset_29|444444,2392040:2392059|offset_58|00cc00,2392068:2392087|offset_86|444444&amp;v=2391781:2392287&amp;c=444444", "offset 58")</f>
        <v>offset 58</v>
      </c>
    </row>
    <row r="8422" customFormat="false" ht="12.8" hidden="false" customHeight="false" outlineLevel="0" collapsed="false">
      <c r="A8422" s="0" t="s">
        <v>12</v>
      </c>
      <c r="B8422" s="0" t="n">
        <v>2392067</v>
      </c>
      <c r="C8422" s="0" t="n">
        <v>2392087</v>
      </c>
      <c r="D8422" s="0" t="s">
        <v>28123</v>
      </c>
      <c r="E8422" s="0" t="s">
        <v>28124</v>
      </c>
      <c r="F8422" s="0" t="s">
        <v>15</v>
      </c>
      <c r="G8422" s="0" t="s">
        <v>36</v>
      </c>
      <c r="H8422" s="0" t="n">
        <v>86</v>
      </c>
      <c r="I8422" s="0" t="s">
        <v>28134</v>
      </c>
      <c r="J8422" s="0" t="s">
        <v>28135</v>
      </c>
      <c r="K8422" s="0" t="s">
        <v>28136</v>
      </c>
      <c r="L8422" s="0" t="str">
        <f aca="false">HYPERLINK("https://www.ncbi.nlm.nih.gov/nuccore/CP000304.1?report=graph&amp;tracks=[key:gene_model_track,Options:GeneOnly]&amp;mk=2391982:2392001|offset_0|444444,2392011:2392030|offset_29|444444,2392040:2392059|offset_58|444444,2392068:2392087|offset_86|00cc00&amp;v=2391781:2392287&amp;c=444444", "offset 86")</f>
        <v>offset 86</v>
      </c>
    </row>
    <row r="8423" customFormat="false" ht="12.8" hidden="false" customHeight="false" outlineLevel="0" collapsed="false">
      <c r="A8423" s="0" t="s">
        <v>12</v>
      </c>
      <c r="B8423" s="0" t="n">
        <v>2392864</v>
      </c>
      <c r="C8423" s="0" t="n">
        <v>2392884</v>
      </c>
      <c r="D8423" s="0" t="s">
        <v>28137</v>
      </c>
      <c r="E8423" s="0" t="s">
        <v>28138</v>
      </c>
      <c r="F8423" s="0" t="s">
        <v>15</v>
      </c>
      <c r="G8423" s="0" t="s">
        <v>26</v>
      </c>
      <c r="H8423" s="0" t="n">
        <v>11</v>
      </c>
      <c r="I8423" s="0" t="s">
        <v>28139</v>
      </c>
      <c r="J8423" s="0" t="s">
        <v>28140</v>
      </c>
      <c r="K8423" s="0" t="s">
        <v>28141</v>
      </c>
      <c r="L8423" s="0" t="str">
        <f aca="false">HYPERLINK("https://www.ncbi.nlm.nih.gov/nuccore/CP000304.1?report=graph&amp;tracks=[key:gene_model_track,Options:GeneOnly]&amp;mk=2392865:2392884|offset_11|00cc00,2392925:2392944|offset_71|444444,2392997:2393016|offset_143|444444,2393059:2393078|offset_205|444444&amp;v=2392664:2393278&amp;c=444444", "offset 11")</f>
        <v>offset 11</v>
      </c>
    </row>
    <row r="8424" customFormat="false" ht="12.8" hidden="false" customHeight="false" outlineLevel="0" collapsed="false">
      <c r="A8424" s="0" t="s">
        <v>12</v>
      </c>
      <c r="B8424" s="0" t="n">
        <v>2392924</v>
      </c>
      <c r="C8424" s="0" t="n">
        <v>2392944</v>
      </c>
      <c r="D8424" s="0" t="s">
        <v>28137</v>
      </c>
      <c r="E8424" s="0" t="s">
        <v>28138</v>
      </c>
      <c r="F8424" s="0" t="s">
        <v>15</v>
      </c>
      <c r="G8424" s="0" t="s">
        <v>26</v>
      </c>
      <c r="H8424" s="0" t="n">
        <v>71</v>
      </c>
      <c r="I8424" s="0" t="s">
        <v>28142</v>
      </c>
      <c r="J8424" s="0" t="s">
        <v>28143</v>
      </c>
      <c r="K8424" s="0" t="s">
        <v>28144</v>
      </c>
      <c r="L8424" s="0" t="str">
        <f aca="false">HYPERLINK("https://www.ncbi.nlm.nih.gov/nuccore/CP000304.1?report=graph&amp;tracks=[key:gene_model_track,Options:GeneOnly]&amp;mk=2392865:2392884|offset_11|444444,2392925:2392944|offset_71|00cc00,2392997:2393016|offset_143|444444,2393059:2393078|offset_205|444444&amp;v=2392664:2393278&amp;c=444444", "offset 71")</f>
        <v>offset 71</v>
      </c>
    </row>
    <row r="8425" customFormat="false" ht="12.8" hidden="false" customHeight="false" outlineLevel="0" collapsed="false">
      <c r="A8425" s="0" t="s">
        <v>12</v>
      </c>
      <c r="B8425" s="0" t="n">
        <v>2392996</v>
      </c>
      <c r="C8425" s="0" t="n">
        <v>2393016</v>
      </c>
      <c r="D8425" s="0" t="s">
        <v>28137</v>
      </c>
      <c r="E8425" s="0" t="s">
        <v>28138</v>
      </c>
      <c r="F8425" s="0" t="s">
        <v>15</v>
      </c>
      <c r="G8425" s="0" t="s">
        <v>26</v>
      </c>
      <c r="H8425" s="0" t="n">
        <v>143</v>
      </c>
      <c r="I8425" s="0" t="s">
        <v>28145</v>
      </c>
      <c r="J8425" s="0" t="s">
        <v>28146</v>
      </c>
      <c r="K8425" s="0" t="s">
        <v>28147</v>
      </c>
      <c r="L8425" s="0" t="str">
        <f aca="false">HYPERLINK("https://www.ncbi.nlm.nih.gov/nuccore/CP000304.1?report=graph&amp;tracks=[key:gene_model_track,Options:GeneOnly]&amp;mk=2392865:2392884|offset_11|444444,2392925:2392944|offset_71|444444,2392997:2393016|offset_143|00cc00,2393059:2393078|offset_205|444444&amp;v=2392664:2393278&amp;c=444444", "offset 143")</f>
        <v>offset 143</v>
      </c>
    </row>
    <row r="8426" customFormat="false" ht="12.8" hidden="false" customHeight="false" outlineLevel="0" collapsed="false">
      <c r="A8426" s="0" t="s">
        <v>12</v>
      </c>
      <c r="B8426" s="0" t="n">
        <v>2393058</v>
      </c>
      <c r="C8426" s="0" t="n">
        <v>2393078</v>
      </c>
      <c r="D8426" s="0" t="s">
        <v>28137</v>
      </c>
      <c r="E8426" s="0" t="s">
        <v>28138</v>
      </c>
      <c r="F8426" s="0" t="s">
        <v>15</v>
      </c>
      <c r="G8426" s="0" t="s">
        <v>16</v>
      </c>
      <c r="H8426" s="0" t="n">
        <v>205</v>
      </c>
      <c r="I8426" s="0" t="s">
        <v>28148</v>
      </c>
      <c r="J8426" s="0" t="s">
        <v>28149</v>
      </c>
      <c r="K8426" s="0" t="s">
        <v>28150</v>
      </c>
      <c r="L8426" s="0" t="str">
        <f aca="false">HYPERLINK("https://www.ncbi.nlm.nih.gov/nuccore/CP000304.1?report=graph&amp;tracks=[key:gene_model_track,Options:GeneOnly]&amp;mk=2392865:2392884|offset_11|444444,2392925:2392944|offset_71|444444,2392997:2393016|offset_143|444444,2393059:2393078|offset_205|00cc00&amp;v=2392664:2393278&amp;c=444444", "offset 205")</f>
        <v>offset 205</v>
      </c>
    </row>
    <row r="8427" customFormat="false" ht="12.8" hidden="false" customHeight="false" outlineLevel="0" collapsed="false">
      <c r="A8427" s="0" t="s">
        <v>12</v>
      </c>
      <c r="B8427" s="0" t="n">
        <v>2393974</v>
      </c>
      <c r="C8427" s="0" t="n">
        <v>2393994</v>
      </c>
      <c r="D8427" s="0" t="s">
        <v>28151</v>
      </c>
      <c r="E8427" s="0" t="s">
        <v>28152</v>
      </c>
      <c r="F8427" s="0" t="s">
        <v>15</v>
      </c>
      <c r="G8427" s="0" t="s">
        <v>36</v>
      </c>
      <c r="H8427" s="0" t="n">
        <v>46</v>
      </c>
      <c r="I8427" s="0" t="s">
        <v>28153</v>
      </c>
      <c r="J8427" s="0" t="s">
        <v>28154</v>
      </c>
      <c r="K8427" s="0" t="s">
        <v>28155</v>
      </c>
      <c r="L8427" s="0" t="str">
        <f aca="false">HYPERLINK("https://www.ncbi.nlm.nih.gov/nuccore/CP000304.1?report=graph&amp;tracks=[key:gene_model_track,Options:GeneOnly]&amp;mk=2393975:2393994|offset_46|00cc00,2394016:2394035|offset_87|444444,2394037:2394056|offset_108|444444,2394060:2394079|offset_131|444444&amp;v=2393774:2394279&amp;c=444444", "offset 46")</f>
        <v>offset 46</v>
      </c>
    </row>
    <row r="8428" customFormat="false" ht="12.8" hidden="false" customHeight="false" outlineLevel="0" collapsed="false">
      <c r="A8428" s="0" t="s">
        <v>12</v>
      </c>
      <c r="B8428" s="0" t="n">
        <v>2394015</v>
      </c>
      <c r="C8428" s="0" t="n">
        <v>2394035</v>
      </c>
      <c r="D8428" s="0" t="s">
        <v>28151</v>
      </c>
      <c r="E8428" s="0" t="s">
        <v>28152</v>
      </c>
      <c r="F8428" s="0" t="s">
        <v>15</v>
      </c>
      <c r="G8428" s="0" t="s">
        <v>36</v>
      </c>
      <c r="H8428" s="0" t="n">
        <v>87</v>
      </c>
      <c r="I8428" s="0" t="s">
        <v>28156</v>
      </c>
      <c r="J8428" s="0" t="s">
        <v>28157</v>
      </c>
      <c r="K8428" s="0" t="s">
        <v>28158</v>
      </c>
      <c r="L8428" s="0" t="str">
        <f aca="false">HYPERLINK("https://www.ncbi.nlm.nih.gov/nuccore/CP000304.1?report=graph&amp;tracks=[key:gene_model_track,Options:GeneOnly]&amp;mk=2393975:2393994|offset_46|444444,2394016:2394035|offset_87|00cc00,2394037:2394056|offset_108|444444,2394060:2394079|offset_131|444444&amp;v=2393774:2394279&amp;c=444444", "offset 87")</f>
        <v>offset 87</v>
      </c>
    </row>
    <row r="8429" customFormat="false" ht="12.8" hidden="false" customHeight="false" outlineLevel="0" collapsed="false">
      <c r="A8429" s="0" t="s">
        <v>12</v>
      </c>
      <c r="B8429" s="0" t="n">
        <v>2394036</v>
      </c>
      <c r="C8429" s="0" t="n">
        <v>2394056</v>
      </c>
      <c r="D8429" s="0" t="s">
        <v>28151</v>
      </c>
      <c r="E8429" s="0" t="s">
        <v>28152</v>
      </c>
      <c r="F8429" s="0" t="s">
        <v>15</v>
      </c>
      <c r="G8429" s="0" t="s">
        <v>36</v>
      </c>
      <c r="H8429" s="0" t="n">
        <v>108</v>
      </c>
      <c r="I8429" s="0" t="s">
        <v>28159</v>
      </c>
      <c r="J8429" s="0" t="s">
        <v>28160</v>
      </c>
      <c r="K8429" s="0" t="s">
        <v>28161</v>
      </c>
      <c r="L8429" s="0" t="str">
        <f aca="false">HYPERLINK("https://www.ncbi.nlm.nih.gov/nuccore/CP000304.1?report=graph&amp;tracks=[key:gene_model_track,Options:GeneOnly]&amp;mk=2393975:2393994|offset_46|444444,2394016:2394035|offset_87|444444,2394037:2394056|offset_108|00cc00,2394060:2394079|offset_131|444444&amp;v=2393774:2394279&amp;c=444444", "offset 108")</f>
        <v>offset 108</v>
      </c>
    </row>
    <row r="8430" customFormat="false" ht="12.8" hidden="false" customHeight="false" outlineLevel="0" collapsed="false">
      <c r="A8430" s="0" t="s">
        <v>12</v>
      </c>
      <c r="B8430" s="0" t="n">
        <v>2394059</v>
      </c>
      <c r="C8430" s="0" t="n">
        <v>2394079</v>
      </c>
      <c r="D8430" s="0" t="s">
        <v>28151</v>
      </c>
      <c r="E8430" s="0" t="s">
        <v>28152</v>
      </c>
      <c r="F8430" s="0" t="s">
        <v>15</v>
      </c>
      <c r="G8430" s="0" t="s">
        <v>36</v>
      </c>
      <c r="H8430" s="0" t="n">
        <v>131</v>
      </c>
      <c r="I8430" s="0" t="s">
        <v>28162</v>
      </c>
      <c r="J8430" s="0" t="s">
        <v>28163</v>
      </c>
      <c r="K8430" s="0" t="s">
        <v>28164</v>
      </c>
      <c r="L8430" s="0" t="str">
        <f aca="false">HYPERLINK("https://www.ncbi.nlm.nih.gov/nuccore/CP000304.1?report=graph&amp;tracks=[key:gene_model_track,Options:GeneOnly]&amp;mk=2393975:2393994|offset_46|444444,2394016:2394035|offset_87|444444,2394037:2394056|offset_108|444444,2394060:2394079|offset_131|00cc00&amp;v=2393774:2394279&amp;c=444444", "offset 131")</f>
        <v>offset 131</v>
      </c>
    </row>
    <row r="8431" customFormat="false" ht="12.8" hidden="false" customHeight="false" outlineLevel="0" collapsed="false">
      <c r="A8431" s="0" t="s">
        <v>12</v>
      </c>
      <c r="B8431" s="0" t="n">
        <v>2395589</v>
      </c>
      <c r="C8431" s="0" t="n">
        <v>2395609</v>
      </c>
      <c r="D8431" s="0" t="s">
        <v>28165</v>
      </c>
      <c r="E8431" s="0" t="s">
        <v>28166</v>
      </c>
      <c r="F8431" s="0" t="s">
        <v>15</v>
      </c>
      <c r="G8431" s="0" t="s">
        <v>36</v>
      </c>
      <c r="H8431" s="0" t="n">
        <v>28</v>
      </c>
      <c r="I8431" s="0" t="s">
        <v>28167</v>
      </c>
      <c r="J8431" s="0" t="s">
        <v>28168</v>
      </c>
      <c r="K8431" s="0" t="s">
        <v>28169</v>
      </c>
      <c r="L8431" s="0" t="str">
        <f aca="false">HYPERLINK("https://www.ncbi.nlm.nih.gov/nuccore/CP000304.1?report=graph&amp;tracks=[key:gene_model_track,Options:GeneOnly]&amp;mk=2395590:2395609|offset_28|00cc00,2395620:2395639|offset_58|444444,2395642:2395661|offset_80|444444,2395676:2395695|offset_114|444444&amp;v=2395389:2395895&amp;c=444444", "offset 28")</f>
        <v>offset 28</v>
      </c>
    </row>
    <row r="8432" customFormat="false" ht="12.8" hidden="false" customHeight="false" outlineLevel="0" collapsed="false">
      <c r="A8432" s="0" t="s">
        <v>12</v>
      </c>
      <c r="B8432" s="0" t="n">
        <v>2395619</v>
      </c>
      <c r="C8432" s="0" t="n">
        <v>2395639</v>
      </c>
      <c r="D8432" s="0" t="s">
        <v>28165</v>
      </c>
      <c r="E8432" s="0" t="s">
        <v>28166</v>
      </c>
      <c r="F8432" s="0" t="s">
        <v>15</v>
      </c>
      <c r="G8432" s="0" t="s">
        <v>32</v>
      </c>
      <c r="H8432" s="0" t="n">
        <v>58</v>
      </c>
      <c r="I8432" s="0" t="s">
        <v>28170</v>
      </c>
      <c r="J8432" s="0" t="s">
        <v>28171</v>
      </c>
      <c r="K8432" s="0" t="s">
        <v>28172</v>
      </c>
      <c r="L8432" s="0" t="str">
        <f aca="false">HYPERLINK("https://www.ncbi.nlm.nih.gov/nuccore/CP000304.1?report=graph&amp;tracks=[key:gene_model_track,Options:GeneOnly]&amp;mk=2395590:2395609|offset_28|444444,2395620:2395639|offset_58|00cc00,2395642:2395661|offset_80|444444,2395676:2395695|offset_114|444444&amp;v=2395389:2395895&amp;c=444444", "offset 58")</f>
        <v>offset 58</v>
      </c>
    </row>
    <row r="8433" customFormat="false" ht="12.8" hidden="false" customHeight="false" outlineLevel="0" collapsed="false">
      <c r="A8433" s="0" t="s">
        <v>12</v>
      </c>
      <c r="B8433" s="0" t="n">
        <v>2395641</v>
      </c>
      <c r="C8433" s="0" t="n">
        <v>2395661</v>
      </c>
      <c r="D8433" s="0" t="s">
        <v>28165</v>
      </c>
      <c r="E8433" s="0" t="s">
        <v>28166</v>
      </c>
      <c r="F8433" s="0" t="s">
        <v>15</v>
      </c>
      <c r="G8433" s="0" t="s">
        <v>32</v>
      </c>
      <c r="H8433" s="0" t="n">
        <v>80</v>
      </c>
      <c r="I8433" s="0" t="s">
        <v>28173</v>
      </c>
      <c r="J8433" s="0" t="s">
        <v>28174</v>
      </c>
      <c r="K8433" s="0" t="s">
        <v>28175</v>
      </c>
      <c r="L8433" s="0" t="str">
        <f aca="false">HYPERLINK("https://www.ncbi.nlm.nih.gov/nuccore/CP000304.1?report=graph&amp;tracks=[key:gene_model_track,Options:GeneOnly]&amp;mk=2395590:2395609|offset_28|444444,2395620:2395639|offset_58|444444,2395642:2395661|offset_80|00cc00,2395676:2395695|offset_114|444444&amp;v=2395389:2395895&amp;c=444444", "offset 80")</f>
        <v>offset 80</v>
      </c>
    </row>
    <row r="8434" customFormat="false" ht="12.8" hidden="false" customHeight="false" outlineLevel="0" collapsed="false">
      <c r="A8434" s="0" t="s">
        <v>12</v>
      </c>
      <c r="B8434" s="0" t="n">
        <v>2395675</v>
      </c>
      <c r="C8434" s="0" t="n">
        <v>2395695</v>
      </c>
      <c r="D8434" s="0" t="s">
        <v>28165</v>
      </c>
      <c r="E8434" s="0" t="s">
        <v>28166</v>
      </c>
      <c r="F8434" s="0" t="s">
        <v>15</v>
      </c>
      <c r="G8434" s="0" t="s">
        <v>36</v>
      </c>
      <c r="H8434" s="0" t="n">
        <v>114</v>
      </c>
      <c r="I8434" s="0" t="s">
        <v>28176</v>
      </c>
      <c r="J8434" s="0" t="s">
        <v>28177</v>
      </c>
      <c r="K8434" s="0" t="s">
        <v>28178</v>
      </c>
      <c r="L8434" s="0" t="str">
        <f aca="false">HYPERLINK("https://www.ncbi.nlm.nih.gov/nuccore/CP000304.1?report=graph&amp;tracks=[key:gene_model_track,Options:GeneOnly]&amp;mk=2395590:2395609|offset_28|444444,2395620:2395639|offset_58|444444,2395642:2395661|offset_80|444444,2395676:2395695|offset_114|00cc00&amp;v=2395389:2395895&amp;c=444444", "offset 114")</f>
        <v>offset 114</v>
      </c>
    </row>
    <row r="8435" customFormat="false" ht="12.8" hidden="false" customHeight="false" outlineLevel="0" collapsed="false">
      <c r="A8435" s="0" t="s">
        <v>12</v>
      </c>
      <c r="B8435" s="0" t="n">
        <v>2398514</v>
      </c>
      <c r="C8435" s="0" t="n">
        <v>2398534</v>
      </c>
      <c r="D8435" s="0" t="s">
        <v>28179</v>
      </c>
      <c r="E8435" s="0" t="s">
        <v>89</v>
      </c>
      <c r="F8435" s="0" t="s">
        <v>90</v>
      </c>
      <c r="G8435" s="0" t="s">
        <v>16</v>
      </c>
      <c r="H8435" s="0" t="n">
        <v>15</v>
      </c>
      <c r="I8435" s="0" t="s">
        <v>28180</v>
      </c>
      <c r="J8435" s="0" t="s">
        <v>28181</v>
      </c>
      <c r="K8435" s="0" t="s">
        <v>28182</v>
      </c>
      <c r="L8435" s="0" t="str">
        <f aca="false">HYPERLINK("https://www.ncbi.nlm.nih.gov/nuccore/CP000304.1?report=graph&amp;tracks=[key:gene_model_track,Options:GeneOnly]&amp;mk=2398515:2398534|offset_15|00cc00,2398495:2398514|offset_35|444444,2398433:2398452|offset_97|444444,2398401:2398420|offset_129|444444&amp;v=2398314:2398620&amp;c=444444", "offset 15")</f>
        <v>offset 15</v>
      </c>
    </row>
    <row r="8436" customFormat="false" ht="12.8" hidden="false" customHeight="false" outlineLevel="0" collapsed="false">
      <c r="A8436" s="0" t="s">
        <v>12</v>
      </c>
      <c r="B8436" s="0" t="n">
        <v>2398494</v>
      </c>
      <c r="C8436" s="0" t="n">
        <v>2398514</v>
      </c>
      <c r="D8436" s="0" t="s">
        <v>28179</v>
      </c>
      <c r="E8436" s="0" t="s">
        <v>89</v>
      </c>
      <c r="F8436" s="0" t="s">
        <v>90</v>
      </c>
      <c r="G8436" s="0" t="s">
        <v>16</v>
      </c>
      <c r="H8436" s="0" t="n">
        <v>35</v>
      </c>
      <c r="I8436" s="0" t="s">
        <v>28183</v>
      </c>
      <c r="J8436" s="0" t="s">
        <v>28184</v>
      </c>
      <c r="K8436" s="0" t="s">
        <v>28185</v>
      </c>
      <c r="L8436" s="0" t="str">
        <f aca="false">HYPERLINK("https://www.ncbi.nlm.nih.gov/nuccore/CP000304.1?report=graph&amp;tracks=[key:gene_model_track,Options:GeneOnly]&amp;mk=2398515:2398534|offset_15|444444,2398495:2398514|offset_35|00cc00,2398433:2398452|offset_97|444444,2398401:2398420|offset_129|444444&amp;v=2398314:2398620&amp;c=444444", "offset 35")</f>
        <v>offset 35</v>
      </c>
    </row>
    <row r="8437" customFormat="false" ht="12.8" hidden="false" customHeight="false" outlineLevel="0" collapsed="false">
      <c r="A8437" s="0" t="s">
        <v>12</v>
      </c>
      <c r="B8437" s="0" t="n">
        <v>2398432</v>
      </c>
      <c r="C8437" s="0" t="n">
        <v>2398452</v>
      </c>
      <c r="D8437" s="0" t="s">
        <v>28179</v>
      </c>
      <c r="E8437" s="0" t="s">
        <v>89</v>
      </c>
      <c r="F8437" s="0" t="s">
        <v>90</v>
      </c>
      <c r="G8437" s="0" t="s">
        <v>26</v>
      </c>
      <c r="H8437" s="0" t="n">
        <v>97</v>
      </c>
      <c r="I8437" s="0" t="s">
        <v>28186</v>
      </c>
      <c r="J8437" s="0" t="s">
        <v>28187</v>
      </c>
      <c r="K8437" s="0" t="s">
        <v>28188</v>
      </c>
      <c r="L8437" s="0" t="str">
        <f aca="false">HYPERLINK("https://www.ncbi.nlm.nih.gov/nuccore/CP000304.1?report=graph&amp;tracks=[key:gene_model_track,Options:GeneOnly]&amp;mk=2398515:2398534|offset_15|444444,2398495:2398514|offset_35|444444,2398433:2398452|offset_97|00cc00,2398401:2398420|offset_129|444444&amp;v=2398314:2398620&amp;c=444444", "offset 97")</f>
        <v>offset 97</v>
      </c>
    </row>
    <row r="8438" customFormat="false" ht="12.8" hidden="false" customHeight="false" outlineLevel="0" collapsed="false">
      <c r="A8438" s="0" t="s">
        <v>12</v>
      </c>
      <c r="B8438" s="0" t="n">
        <v>2398400</v>
      </c>
      <c r="C8438" s="0" t="n">
        <v>2398420</v>
      </c>
      <c r="D8438" s="0" t="s">
        <v>28179</v>
      </c>
      <c r="E8438" s="0" t="s">
        <v>89</v>
      </c>
      <c r="F8438" s="0" t="s">
        <v>90</v>
      </c>
      <c r="G8438" s="0" t="s">
        <v>26</v>
      </c>
      <c r="H8438" s="0" t="n">
        <v>129</v>
      </c>
      <c r="I8438" s="0" t="s">
        <v>28189</v>
      </c>
      <c r="J8438" s="0" t="s">
        <v>28190</v>
      </c>
      <c r="K8438" s="0" t="s">
        <v>28191</v>
      </c>
      <c r="L8438" s="0" t="str">
        <f aca="false">HYPERLINK("https://www.ncbi.nlm.nih.gov/nuccore/CP000304.1?report=graph&amp;tracks=[key:gene_model_track,Options:GeneOnly]&amp;mk=2398515:2398534|offset_15|444444,2398495:2398514|offset_35|444444,2398433:2398452|offset_97|444444,2398401:2398420|offset_129|00cc00&amp;v=2398314:2398620&amp;c=444444", "offset 129")</f>
        <v>offset 129</v>
      </c>
    </row>
    <row r="8439" customFormat="false" ht="12.8" hidden="false" customHeight="false" outlineLevel="0" collapsed="false">
      <c r="A8439" s="0" t="s">
        <v>12</v>
      </c>
      <c r="B8439" s="0" t="n">
        <v>2398556</v>
      </c>
      <c r="C8439" s="0" t="n">
        <v>2398576</v>
      </c>
      <c r="D8439" s="0" t="s">
        <v>28192</v>
      </c>
      <c r="E8439" s="0" t="s">
        <v>89</v>
      </c>
      <c r="F8439" s="0" t="s">
        <v>15</v>
      </c>
      <c r="G8439" s="0" t="s">
        <v>26</v>
      </c>
      <c r="H8439" s="0" t="n">
        <v>8</v>
      </c>
      <c r="I8439" s="0" t="s">
        <v>28193</v>
      </c>
      <c r="J8439" s="0" t="s">
        <v>28194</v>
      </c>
      <c r="K8439" s="0" t="s">
        <v>28195</v>
      </c>
      <c r="L8439" s="0" t="str">
        <f aca="false">HYPERLINK("https://www.ncbi.nlm.nih.gov/nuccore/CP000304.1?report=graph&amp;tracks=[key:gene_model_track,Options:GeneOnly]&amp;mk=2398557:2398576|offset_8|00cc00,2398598:2398617|offset_49|444444,2398628:2398647|offset_79|444444,2398650:2398669|offset_101|444444&amp;v=2398356:2398869&amp;c=444444", "offset 8")</f>
        <v>offset 8</v>
      </c>
    </row>
    <row r="8440" customFormat="false" ht="12.8" hidden="false" customHeight="false" outlineLevel="0" collapsed="false">
      <c r="A8440" s="0" t="s">
        <v>12</v>
      </c>
      <c r="B8440" s="0" t="n">
        <v>2398597</v>
      </c>
      <c r="C8440" s="0" t="n">
        <v>2398617</v>
      </c>
      <c r="D8440" s="0" t="s">
        <v>28192</v>
      </c>
      <c r="E8440" s="0" t="s">
        <v>89</v>
      </c>
      <c r="F8440" s="0" t="s">
        <v>15</v>
      </c>
      <c r="G8440" s="0" t="s">
        <v>32</v>
      </c>
      <c r="H8440" s="0" t="n">
        <v>49</v>
      </c>
      <c r="I8440" s="0" t="s">
        <v>28196</v>
      </c>
      <c r="J8440" s="0" t="s">
        <v>28197</v>
      </c>
      <c r="K8440" s="0" t="s">
        <v>28198</v>
      </c>
      <c r="L8440" s="0" t="str">
        <f aca="false">HYPERLINK("https://www.ncbi.nlm.nih.gov/nuccore/CP000304.1?report=graph&amp;tracks=[key:gene_model_track,Options:GeneOnly]&amp;mk=2398557:2398576|offset_8|444444,2398598:2398617|offset_49|00cc00,2398628:2398647|offset_79|444444,2398650:2398669|offset_101|444444&amp;v=2398356:2398869&amp;c=444444", "offset 49")</f>
        <v>offset 49</v>
      </c>
    </row>
    <row r="8441" customFormat="false" ht="12.8" hidden="false" customHeight="false" outlineLevel="0" collapsed="false">
      <c r="A8441" s="0" t="s">
        <v>12</v>
      </c>
      <c r="B8441" s="0" t="n">
        <v>2398627</v>
      </c>
      <c r="C8441" s="0" t="n">
        <v>2398647</v>
      </c>
      <c r="D8441" s="0" t="s">
        <v>28192</v>
      </c>
      <c r="E8441" s="0" t="s">
        <v>89</v>
      </c>
      <c r="F8441" s="0" t="s">
        <v>15</v>
      </c>
      <c r="G8441" s="0" t="s">
        <v>16</v>
      </c>
      <c r="H8441" s="0" t="n">
        <v>79</v>
      </c>
      <c r="I8441" s="0" t="s">
        <v>28199</v>
      </c>
      <c r="J8441" s="0" t="s">
        <v>28200</v>
      </c>
      <c r="K8441" s="0" t="s">
        <v>28201</v>
      </c>
      <c r="L8441" s="0" t="str">
        <f aca="false">HYPERLINK("https://www.ncbi.nlm.nih.gov/nuccore/CP000304.1?report=graph&amp;tracks=[key:gene_model_track,Options:GeneOnly]&amp;mk=2398557:2398576|offset_8|444444,2398598:2398617|offset_49|444444,2398628:2398647|offset_79|00cc00,2398650:2398669|offset_101|444444&amp;v=2398356:2398869&amp;c=444444", "offset 79")</f>
        <v>offset 79</v>
      </c>
    </row>
    <row r="8442" customFormat="false" ht="12.8" hidden="false" customHeight="false" outlineLevel="0" collapsed="false">
      <c r="A8442" s="0" t="s">
        <v>12</v>
      </c>
      <c r="B8442" s="0" t="n">
        <v>2398649</v>
      </c>
      <c r="C8442" s="0" t="n">
        <v>2398669</v>
      </c>
      <c r="D8442" s="0" t="s">
        <v>28192</v>
      </c>
      <c r="E8442" s="0" t="s">
        <v>89</v>
      </c>
      <c r="F8442" s="0" t="s">
        <v>15</v>
      </c>
      <c r="G8442" s="0" t="s">
        <v>32</v>
      </c>
      <c r="H8442" s="0" t="n">
        <v>101</v>
      </c>
      <c r="I8442" s="0" t="s">
        <v>28202</v>
      </c>
      <c r="J8442" s="0" t="s">
        <v>28203</v>
      </c>
      <c r="K8442" s="0" t="s">
        <v>28204</v>
      </c>
      <c r="L8442" s="0" t="str">
        <f aca="false">HYPERLINK("https://www.ncbi.nlm.nih.gov/nuccore/CP000304.1?report=graph&amp;tracks=[key:gene_model_track,Options:GeneOnly]&amp;mk=2398557:2398576|offset_8|444444,2398598:2398617|offset_49|444444,2398628:2398647|offset_79|444444,2398650:2398669|offset_101|00cc00&amp;v=2398356:2398869&amp;c=444444", "offset 101")</f>
        <v>offset 101</v>
      </c>
    </row>
    <row r="8443" customFormat="false" ht="12.8" hidden="false" customHeight="false" outlineLevel="0" collapsed="false">
      <c r="A8443" s="0" t="s">
        <v>12</v>
      </c>
      <c r="B8443" s="0" t="n">
        <v>2400313</v>
      </c>
      <c r="C8443" s="0" t="n">
        <v>2400333</v>
      </c>
      <c r="D8443" s="0" t="s">
        <v>28205</v>
      </c>
      <c r="E8443" s="0" t="s">
        <v>28206</v>
      </c>
      <c r="F8443" s="0" t="s">
        <v>90</v>
      </c>
      <c r="G8443" s="0" t="s">
        <v>16</v>
      </c>
      <c r="H8443" s="0" t="n">
        <v>6</v>
      </c>
      <c r="I8443" s="0" t="s">
        <v>28207</v>
      </c>
      <c r="J8443" s="0" t="s">
        <v>28208</v>
      </c>
      <c r="K8443" s="0" t="s">
        <v>28209</v>
      </c>
      <c r="L8443" s="0" t="str">
        <f aca="false">HYPERLINK("https://www.ncbi.nlm.nih.gov/nuccore/CP000304.1?report=graph&amp;tracks=[key:gene_model_track,Options:GeneOnly]&amp;mk=2400314:2400333|offset_6|00cc00,2400294:2400313|offset_26|444444,2400255:2400274|offset_65|444444,2400214:2400233|offset_106|444444&amp;v=2400113:2400433&amp;c=444444", "offset 6")</f>
        <v>offset 6</v>
      </c>
    </row>
    <row r="8444" customFormat="false" ht="12.8" hidden="false" customHeight="false" outlineLevel="0" collapsed="false">
      <c r="A8444" s="0" t="s">
        <v>12</v>
      </c>
      <c r="B8444" s="0" t="n">
        <v>2400293</v>
      </c>
      <c r="C8444" s="0" t="n">
        <v>2400313</v>
      </c>
      <c r="D8444" s="0" t="s">
        <v>28205</v>
      </c>
      <c r="E8444" s="0" t="s">
        <v>28206</v>
      </c>
      <c r="F8444" s="0" t="s">
        <v>90</v>
      </c>
      <c r="G8444" s="0" t="s">
        <v>26</v>
      </c>
      <c r="H8444" s="0" t="n">
        <v>26</v>
      </c>
      <c r="I8444" s="0" t="s">
        <v>28210</v>
      </c>
      <c r="J8444" s="0" t="s">
        <v>28211</v>
      </c>
      <c r="K8444" s="0" t="s">
        <v>28212</v>
      </c>
      <c r="L8444" s="0" t="str">
        <f aca="false">HYPERLINK("https://www.ncbi.nlm.nih.gov/nuccore/CP000304.1?report=graph&amp;tracks=[key:gene_model_track,Options:GeneOnly]&amp;mk=2400314:2400333|offset_6|444444,2400294:2400313|offset_26|00cc00,2400255:2400274|offset_65|444444,2400214:2400233|offset_106|444444&amp;v=2400113:2400433&amp;c=444444", "offset 26")</f>
        <v>offset 26</v>
      </c>
    </row>
    <row r="8445" customFormat="false" ht="12.8" hidden="false" customHeight="false" outlineLevel="0" collapsed="false">
      <c r="A8445" s="0" t="s">
        <v>12</v>
      </c>
      <c r="B8445" s="0" t="n">
        <v>2400254</v>
      </c>
      <c r="C8445" s="0" t="n">
        <v>2400274</v>
      </c>
      <c r="D8445" s="0" t="s">
        <v>28205</v>
      </c>
      <c r="E8445" s="0" t="s">
        <v>28206</v>
      </c>
      <c r="F8445" s="0" t="s">
        <v>90</v>
      </c>
      <c r="G8445" s="0" t="s">
        <v>36</v>
      </c>
      <c r="H8445" s="0" t="n">
        <v>65</v>
      </c>
      <c r="I8445" s="0" t="s">
        <v>28213</v>
      </c>
      <c r="J8445" s="0" t="s">
        <v>28214</v>
      </c>
      <c r="K8445" s="0" t="s">
        <v>28215</v>
      </c>
      <c r="L8445" s="0" t="str">
        <f aca="false">HYPERLINK("https://www.ncbi.nlm.nih.gov/nuccore/CP000304.1?report=graph&amp;tracks=[key:gene_model_track,Options:GeneOnly]&amp;mk=2400314:2400333|offset_6|444444,2400294:2400313|offset_26|444444,2400255:2400274|offset_65|00cc00,2400214:2400233|offset_106|444444&amp;v=2400113:2400433&amp;c=444444", "offset 65")</f>
        <v>offset 65</v>
      </c>
    </row>
    <row r="8446" customFormat="false" ht="12.8" hidden="false" customHeight="false" outlineLevel="0" collapsed="false">
      <c r="A8446" s="0" t="s">
        <v>12</v>
      </c>
      <c r="B8446" s="0" t="n">
        <v>2400213</v>
      </c>
      <c r="C8446" s="0" t="n">
        <v>2400233</v>
      </c>
      <c r="D8446" s="0" t="s">
        <v>28205</v>
      </c>
      <c r="E8446" s="0" t="s">
        <v>28206</v>
      </c>
      <c r="F8446" s="0" t="s">
        <v>90</v>
      </c>
      <c r="G8446" s="0" t="s">
        <v>32</v>
      </c>
      <c r="H8446" s="0" t="n">
        <v>106</v>
      </c>
      <c r="I8446" s="0" t="s">
        <v>28216</v>
      </c>
      <c r="J8446" s="0" t="s">
        <v>28217</v>
      </c>
      <c r="K8446" s="0" t="s">
        <v>28218</v>
      </c>
      <c r="L8446" s="0" t="str">
        <f aca="false">HYPERLINK("https://www.ncbi.nlm.nih.gov/nuccore/CP000304.1?report=graph&amp;tracks=[key:gene_model_track,Options:GeneOnly]&amp;mk=2400314:2400333|offset_6|444444,2400294:2400313|offset_26|444444,2400255:2400274|offset_65|444444,2400214:2400233|offset_106|00cc00&amp;v=2400113:2400433&amp;c=444444", "offset 106")</f>
        <v>offset 106</v>
      </c>
    </row>
    <row r="8447" customFormat="false" ht="12.8" hidden="false" customHeight="false" outlineLevel="0" collapsed="false">
      <c r="A8447" s="0" t="s">
        <v>12</v>
      </c>
      <c r="B8447" s="0" t="n">
        <v>2401558</v>
      </c>
      <c r="C8447" s="0" t="n">
        <v>2401578</v>
      </c>
      <c r="D8447" s="0" t="s">
        <v>28219</v>
      </c>
      <c r="E8447" s="0" t="s">
        <v>89</v>
      </c>
      <c r="F8447" s="0" t="s">
        <v>90</v>
      </c>
      <c r="G8447" s="0" t="s">
        <v>32</v>
      </c>
      <c r="H8447" s="0" t="n">
        <v>1</v>
      </c>
      <c r="I8447" s="0" t="s">
        <v>28220</v>
      </c>
      <c r="J8447" s="0" t="s">
        <v>28221</v>
      </c>
      <c r="K8447" s="0" t="s">
        <v>28222</v>
      </c>
      <c r="L8447" s="0" t="str">
        <f aca="false">HYPERLINK("https://www.ncbi.nlm.nih.gov/nuccore/CP000304.1?report=graph&amp;tracks=[key:gene_model_track,Options:GeneOnly]&amp;mk=2401559:2401578|offset_1|00cc00,2401535:2401554|offset_25|444444,2401501:2401520|offset_59|444444,2401481:2401500|offset_79|444444&amp;v=2401358:2401700&amp;c=444444", "offset 1")</f>
        <v>offset 1</v>
      </c>
    </row>
    <row r="8448" customFormat="false" ht="12.8" hidden="false" customHeight="false" outlineLevel="0" collapsed="false">
      <c r="A8448" s="0" t="s">
        <v>12</v>
      </c>
      <c r="B8448" s="0" t="n">
        <v>2401534</v>
      </c>
      <c r="C8448" s="0" t="n">
        <v>2401554</v>
      </c>
      <c r="D8448" s="0" t="s">
        <v>28219</v>
      </c>
      <c r="E8448" s="0" t="s">
        <v>89</v>
      </c>
      <c r="F8448" s="0" t="s">
        <v>90</v>
      </c>
      <c r="G8448" s="0" t="s">
        <v>36</v>
      </c>
      <c r="H8448" s="0" t="n">
        <v>25</v>
      </c>
      <c r="I8448" s="0" t="s">
        <v>28223</v>
      </c>
      <c r="J8448" s="0" t="s">
        <v>28224</v>
      </c>
      <c r="K8448" s="0" t="s">
        <v>28225</v>
      </c>
      <c r="L8448" s="0" t="str">
        <f aca="false">HYPERLINK("https://www.ncbi.nlm.nih.gov/nuccore/CP000304.1?report=graph&amp;tracks=[key:gene_model_track,Options:GeneOnly]&amp;mk=2401559:2401578|offset_1|444444,2401535:2401554|offset_25|00cc00,2401501:2401520|offset_59|444444,2401481:2401500|offset_79|444444&amp;v=2401358:2401700&amp;c=444444", "offset 25")</f>
        <v>offset 25</v>
      </c>
    </row>
    <row r="8449" customFormat="false" ht="12.8" hidden="false" customHeight="false" outlineLevel="0" collapsed="false">
      <c r="A8449" s="0" t="s">
        <v>12</v>
      </c>
      <c r="B8449" s="0" t="n">
        <v>2401500</v>
      </c>
      <c r="C8449" s="0" t="n">
        <v>2401520</v>
      </c>
      <c r="D8449" s="0" t="s">
        <v>28219</v>
      </c>
      <c r="E8449" s="0" t="s">
        <v>89</v>
      </c>
      <c r="F8449" s="0" t="s">
        <v>90</v>
      </c>
      <c r="G8449" s="0" t="s">
        <v>26</v>
      </c>
      <c r="H8449" s="0" t="n">
        <v>59</v>
      </c>
      <c r="I8449" s="0" t="s">
        <v>28226</v>
      </c>
      <c r="J8449" s="0" t="s">
        <v>28227</v>
      </c>
      <c r="K8449" s="0" t="s">
        <v>28228</v>
      </c>
      <c r="L8449" s="0" t="str">
        <f aca="false">HYPERLINK("https://www.ncbi.nlm.nih.gov/nuccore/CP000304.1?report=graph&amp;tracks=[key:gene_model_track,Options:GeneOnly]&amp;mk=2401559:2401578|offset_1|444444,2401535:2401554|offset_25|444444,2401501:2401520|offset_59|00cc00,2401481:2401500|offset_79|444444&amp;v=2401358:2401700&amp;c=444444", "offset 59")</f>
        <v>offset 59</v>
      </c>
    </row>
    <row r="8450" customFormat="false" ht="12.8" hidden="false" customHeight="false" outlineLevel="0" collapsed="false">
      <c r="A8450" s="0" t="s">
        <v>12</v>
      </c>
      <c r="B8450" s="0" t="n">
        <v>2401480</v>
      </c>
      <c r="C8450" s="0" t="n">
        <v>2401500</v>
      </c>
      <c r="D8450" s="0" t="s">
        <v>28219</v>
      </c>
      <c r="E8450" s="0" t="s">
        <v>89</v>
      </c>
      <c r="F8450" s="0" t="s">
        <v>90</v>
      </c>
      <c r="G8450" s="0" t="s">
        <v>16</v>
      </c>
      <c r="H8450" s="0" t="n">
        <v>79</v>
      </c>
      <c r="I8450" s="0" t="s">
        <v>28229</v>
      </c>
      <c r="J8450" s="0" t="s">
        <v>28230</v>
      </c>
      <c r="K8450" s="0" t="s">
        <v>28231</v>
      </c>
      <c r="L8450" s="0" t="str">
        <f aca="false">HYPERLINK("https://www.ncbi.nlm.nih.gov/nuccore/CP000304.1?report=graph&amp;tracks=[key:gene_model_track,Options:GeneOnly]&amp;mk=2401559:2401578|offset_1|444444,2401535:2401554|offset_25|444444,2401501:2401520|offset_59|444444,2401481:2401500|offset_79|00cc00&amp;v=2401358:2401700&amp;c=444444", "offset 79")</f>
        <v>offset 79</v>
      </c>
    </row>
    <row r="8451" customFormat="false" ht="12.8" hidden="false" customHeight="false" outlineLevel="0" collapsed="false">
      <c r="A8451" s="0" t="s">
        <v>12</v>
      </c>
      <c r="B8451" s="0" t="n">
        <v>2402891</v>
      </c>
      <c r="C8451" s="0" t="n">
        <v>2402911</v>
      </c>
      <c r="D8451" s="0" t="s">
        <v>28232</v>
      </c>
      <c r="E8451" s="0" t="s">
        <v>89</v>
      </c>
      <c r="F8451" s="0" t="s">
        <v>90</v>
      </c>
      <c r="G8451" s="0" t="s">
        <v>16</v>
      </c>
      <c r="H8451" s="0" t="n">
        <v>7</v>
      </c>
      <c r="I8451" s="0" t="s">
        <v>28233</v>
      </c>
      <c r="J8451" s="0" t="s">
        <v>28234</v>
      </c>
      <c r="K8451" s="0" t="s">
        <v>28235</v>
      </c>
      <c r="L8451" s="0" t="str">
        <f aca="false">HYPERLINK("https://www.ncbi.nlm.nih.gov/nuccore/CP000304.1?report=graph&amp;tracks=[key:gene_model_track,Options:GeneOnly]&amp;mk=2402892:2402911|offset_7|00cc00,2402842:2402861|offset_57|444444,2402817:2402836|offset_82|444444,2402795:2402814|offset_104|444444&amp;v=2402691:2403014&amp;c=444444", "offset 7")</f>
        <v>offset 7</v>
      </c>
    </row>
    <row r="8452" customFormat="false" ht="12.8" hidden="false" customHeight="false" outlineLevel="0" collapsed="false">
      <c r="A8452" s="0" t="s">
        <v>12</v>
      </c>
      <c r="B8452" s="0" t="n">
        <v>2402841</v>
      </c>
      <c r="C8452" s="0" t="n">
        <v>2402861</v>
      </c>
      <c r="D8452" s="0" t="s">
        <v>28232</v>
      </c>
      <c r="E8452" s="0" t="s">
        <v>89</v>
      </c>
      <c r="F8452" s="0" t="s">
        <v>90</v>
      </c>
      <c r="G8452" s="0" t="s">
        <v>36</v>
      </c>
      <c r="H8452" s="0" t="n">
        <v>57</v>
      </c>
      <c r="I8452" s="0" t="s">
        <v>28236</v>
      </c>
      <c r="J8452" s="0" t="s">
        <v>28237</v>
      </c>
      <c r="K8452" s="0" t="s">
        <v>28238</v>
      </c>
      <c r="L8452" s="0" t="str">
        <f aca="false">HYPERLINK("https://www.ncbi.nlm.nih.gov/nuccore/CP000304.1?report=graph&amp;tracks=[key:gene_model_track,Options:GeneOnly]&amp;mk=2402892:2402911|offset_7|444444,2402842:2402861|offset_57|00cc00,2402817:2402836|offset_82|444444,2402795:2402814|offset_104|444444&amp;v=2402691:2403014&amp;c=444444", "offset 57")</f>
        <v>offset 57</v>
      </c>
    </row>
    <row r="8453" customFormat="false" ht="12.8" hidden="false" customHeight="false" outlineLevel="0" collapsed="false">
      <c r="A8453" s="0" t="s">
        <v>12</v>
      </c>
      <c r="B8453" s="0" t="n">
        <v>2402816</v>
      </c>
      <c r="C8453" s="0" t="n">
        <v>2402836</v>
      </c>
      <c r="D8453" s="0" t="s">
        <v>28232</v>
      </c>
      <c r="E8453" s="0" t="s">
        <v>89</v>
      </c>
      <c r="F8453" s="0" t="s">
        <v>90</v>
      </c>
      <c r="G8453" s="0" t="s">
        <v>16</v>
      </c>
      <c r="H8453" s="0" t="n">
        <v>82</v>
      </c>
      <c r="I8453" s="0" t="s">
        <v>28239</v>
      </c>
      <c r="J8453" s="0" t="s">
        <v>28240</v>
      </c>
      <c r="K8453" s="0" t="s">
        <v>28241</v>
      </c>
      <c r="L8453" s="0" t="str">
        <f aca="false">HYPERLINK("https://www.ncbi.nlm.nih.gov/nuccore/CP000304.1?report=graph&amp;tracks=[key:gene_model_track,Options:GeneOnly]&amp;mk=2402892:2402911|offset_7|444444,2402842:2402861|offset_57|444444,2402817:2402836|offset_82|00cc00,2402795:2402814|offset_104|444444&amp;v=2402691:2403014&amp;c=444444", "offset 82")</f>
        <v>offset 82</v>
      </c>
    </row>
    <row r="8454" customFormat="false" ht="12.8" hidden="false" customHeight="false" outlineLevel="0" collapsed="false">
      <c r="A8454" s="0" t="s">
        <v>12</v>
      </c>
      <c r="B8454" s="0" t="n">
        <v>2402794</v>
      </c>
      <c r="C8454" s="0" t="n">
        <v>2402814</v>
      </c>
      <c r="D8454" s="0" t="s">
        <v>28232</v>
      </c>
      <c r="E8454" s="0" t="s">
        <v>89</v>
      </c>
      <c r="F8454" s="0" t="s">
        <v>90</v>
      </c>
      <c r="G8454" s="0" t="s">
        <v>26</v>
      </c>
      <c r="H8454" s="0" t="n">
        <v>104</v>
      </c>
      <c r="I8454" s="0" t="s">
        <v>28242</v>
      </c>
      <c r="J8454" s="0" t="s">
        <v>28243</v>
      </c>
      <c r="K8454" s="0" t="s">
        <v>28244</v>
      </c>
      <c r="L8454" s="0" t="str">
        <f aca="false">HYPERLINK("https://www.ncbi.nlm.nih.gov/nuccore/CP000304.1?report=graph&amp;tracks=[key:gene_model_track,Options:GeneOnly]&amp;mk=2402892:2402911|offset_7|444444,2402842:2402861|offset_57|444444,2402817:2402836|offset_82|444444,2402795:2402814|offset_104|00cc00&amp;v=2402691:2403014&amp;c=444444", "offset 104")</f>
        <v>offset 104</v>
      </c>
    </row>
    <row r="8455" customFormat="false" ht="12.8" hidden="false" customHeight="false" outlineLevel="0" collapsed="false">
      <c r="A8455" s="0" t="s">
        <v>12</v>
      </c>
      <c r="B8455" s="0" t="n">
        <v>2404000</v>
      </c>
      <c r="C8455" s="0" t="n">
        <v>2404020</v>
      </c>
      <c r="D8455" s="0" t="s">
        <v>28245</v>
      </c>
      <c r="E8455" s="0" t="s">
        <v>89</v>
      </c>
      <c r="F8455" s="0" t="s">
        <v>90</v>
      </c>
      <c r="G8455" s="0" t="s">
        <v>16</v>
      </c>
      <c r="H8455" s="0" t="n">
        <v>28</v>
      </c>
      <c r="I8455" s="0" t="s">
        <v>28246</v>
      </c>
      <c r="J8455" s="0" t="s">
        <v>28247</v>
      </c>
      <c r="K8455" s="0" t="s">
        <v>28248</v>
      </c>
      <c r="L8455" s="0" t="str">
        <f aca="false">HYPERLINK("https://www.ncbi.nlm.nih.gov/nuccore/CP000304.1?report=graph&amp;tracks=[key:gene_model_track,Options:GeneOnly]&amp;mk=2404001:2404020|offset_28|00cc00,2403980:2403999|offset_49|444444,2403937:2403956|offset_92|444444,2403908:2403927|offset_121|444444&amp;v=2403800:2404127&amp;c=444444", "offset 28")</f>
        <v>offset 28</v>
      </c>
    </row>
    <row r="8456" customFormat="false" ht="12.8" hidden="false" customHeight="false" outlineLevel="0" collapsed="false">
      <c r="A8456" s="0" t="s">
        <v>12</v>
      </c>
      <c r="B8456" s="0" t="n">
        <v>2403979</v>
      </c>
      <c r="C8456" s="0" t="n">
        <v>2403999</v>
      </c>
      <c r="D8456" s="0" t="s">
        <v>28245</v>
      </c>
      <c r="E8456" s="0" t="s">
        <v>89</v>
      </c>
      <c r="F8456" s="0" t="s">
        <v>90</v>
      </c>
      <c r="G8456" s="0" t="s">
        <v>16</v>
      </c>
      <c r="H8456" s="0" t="n">
        <v>49</v>
      </c>
      <c r="I8456" s="0" t="s">
        <v>28249</v>
      </c>
      <c r="J8456" s="0" t="s">
        <v>28250</v>
      </c>
      <c r="K8456" s="0" t="s">
        <v>28251</v>
      </c>
      <c r="L8456" s="0" t="str">
        <f aca="false">HYPERLINK("https://www.ncbi.nlm.nih.gov/nuccore/CP000304.1?report=graph&amp;tracks=[key:gene_model_track,Options:GeneOnly]&amp;mk=2404001:2404020|offset_28|444444,2403980:2403999|offset_49|00cc00,2403937:2403956|offset_92|444444,2403908:2403927|offset_121|444444&amp;v=2403800:2404127&amp;c=444444", "offset 49")</f>
        <v>offset 49</v>
      </c>
    </row>
    <row r="8457" customFormat="false" ht="12.8" hidden="false" customHeight="false" outlineLevel="0" collapsed="false">
      <c r="A8457" s="0" t="s">
        <v>12</v>
      </c>
      <c r="B8457" s="0" t="n">
        <v>2403936</v>
      </c>
      <c r="C8457" s="0" t="n">
        <v>2403956</v>
      </c>
      <c r="D8457" s="0" t="s">
        <v>28245</v>
      </c>
      <c r="E8457" s="0" t="s">
        <v>89</v>
      </c>
      <c r="F8457" s="0" t="s">
        <v>90</v>
      </c>
      <c r="G8457" s="0" t="s">
        <v>36</v>
      </c>
      <c r="H8457" s="0" t="n">
        <v>92</v>
      </c>
      <c r="I8457" s="0" t="s">
        <v>28252</v>
      </c>
      <c r="J8457" s="0" t="s">
        <v>28253</v>
      </c>
      <c r="K8457" s="0" t="s">
        <v>28254</v>
      </c>
      <c r="L8457" s="0" t="str">
        <f aca="false">HYPERLINK("https://www.ncbi.nlm.nih.gov/nuccore/CP000304.1?report=graph&amp;tracks=[key:gene_model_track,Options:GeneOnly]&amp;mk=2404001:2404020|offset_28|444444,2403980:2403999|offset_49|444444,2403937:2403956|offset_92|00cc00,2403908:2403927|offset_121|444444&amp;v=2403800:2404127&amp;c=444444", "offset 92")</f>
        <v>offset 92</v>
      </c>
    </row>
    <row r="8458" customFormat="false" ht="12.8" hidden="false" customHeight="false" outlineLevel="0" collapsed="false">
      <c r="A8458" s="0" t="s">
        <v>12</v>
      </c>
      <c r="B8458" s="0" t="n">
        <v>2403907</v>
      </c>
      <c r="C8458" s="0" t="n">
        <v>2403927</v>
      </c>
      <c r="D8458" s="0" t="s">
        <v>28245</v>
      </c>
      <c r="E8458" s="0" t="s">
        <v>89</v>
      </c>
      <c r="F8458" s="0" t="s">
        <v>90</v>
      </c>
      <c r="G8458" s="0" t="s">
        <v>16</v>
      </c>
      <c r="H8458" s="0" t="n">
        <v>121</v>
      </c>
      <c r="I8458" s="0" t="s">
        <v>28255</v>
      </c>
      <c r="J8458" s="0" t="s">
        <v>28256</v>
      </c>
      <c r="K8458" s="0" t="s">
        <v>28257</v>
      </c>
      <c r="L8458" s="0" t="str">
        <f aca="false">HYPERLINK("https://www.ncbi.nlm.nih.gov/nuccore/CP000304.1?report=graph&amp;tracks=[key:gene_model_track,Options:GeneOnly]&amp;mk=2404001:2404020|offset_28|444444,2403980:2403999|offset_49|444444,2403937:2403956|offset_92|444444,2403908:2403927|offset_121|00cc00&amp;v=2403800:2404127&amp;c=444444", "offset 121")</f>
        <v>offset 121</v>
      </c>
    </row>
    <row r="8459" customFormat="false" ht="12.8" hidden="false" customHeight="false" outlineLevel="0" collapsed="false">
      <c r="A8459" s="0" t="s">
        <v>12</v>
      </c>
      <c r="B8459" s="0" t="n">
        <v>2404133</v>
      </c>
      <c r="C8459" s="0" t="n">
        <v>2404153</v>
      </c>
      <c r="D8459" s="0" t="s">
        <v>28258</v>
      </c>
      <c r="E8459" s="0" t="s">
        <v>89</v>
      </c>
      <c r="F8459" s="0" t="s">
        <v>15</v>
      </c>
      <c r="G8459" s="0" t="s">
        <v>16</v>
      </c>
      <c r="H8459" s="0" t="n">
        <v>20</v>
      </c>
      <c r="I8459" s="0" t="s">
        <v>28259</v>
      </c>
      <c r="J8459" s="0" t="s">
        <v>28260</v>
      </c>
      <c r="K8459" s="0" t="s">
        <v>28261</v>
      </c>
      <c r="L8459" s="0" t="str">
        <f aca="false">HYPERLINK("https://www.ncbi.nlm.nih.gov/nuccore/CP000304.1?report=graph&amp;tracks=[key:gene_model_track,Options:GeneOnly]&amp;mk=2404134:2404153|offset_20|00cc00,2404171:2404190|offset_57|444444,2404193:2404212|offset_79|444444,2404220:2404239|offset_106|444444&amp;v=2403933:2404439&amp;c=444444", "offset 20")</f>
        <v>offset 20</v>
      </c>
    </row>
    <row r="8460" customFormat="false" ht="12.8" hidden="false" customHeight="false" outlineLevel="0" collapsed="false">
      <c r="A8460" s="0" t="s">
        <v>12</v>
      </c>
      <c r="B8460" s="0" t="n">
        <v>2404170</v>
      </c>
      <c r="C8460" s="0" t="n">
        <v>2404190</v>
      </c>
      <c r="D8460" s="0" t="s">
        <v>28258</v>
      </c>
      <c r="E8460" s="0" t="s">
        <v>89</v>
      </c>
      <c r="F8460" s="0" t="s">
        <v>15</v>
      </c>
      <c r="G8460" s="0" t="s">
        <v>16</v>
      </c>
      <c r="H8460" s="0" t="n">
        <v>57</v>
      </c>
      <c r="I8460" s="0" t="s">
        <v>28262</v>
      </c>
      <c r="J8460" s="0" t="s">
        <v>28263</v>
      </c>
      <c r="K8460" s="0" t="s">
        <v>28264</v>
      </c>
      <c r="L8460" s="0" t="str">
        <f aca="false">HYPERLINK("https://www.ncbi.nlm.nih.gov/nuccore/CP000304.1?report=graph&amp;tracks=[key:gene_model_track,Options:GeneOnly]&amp;mk=2404134:2404153|offset_20|444444,2404171:2404190|offset_57|00cc00,2404193:2404212|offset_79|444444,2404220:2404239|offset_106|444444&amp;v=2403933:2404439&amp;c=444444", "offset 57")</f>
        <v>offset 57</v>
      </c>
    </row>
    <row r="8461" customFormat="false" ht="12.8" hidden="false" customHeight="false" outlineLevel="0" collapsed="false">
      <c r="A8461" s="0" t="s">
        <v>12</v>
      </c>
      <c r="B8461" s="0" t="n">
        <v>2404192</v>
      </c>
      <c r="C8461" s="0" t="n">
        <v>2404212</v>
      </c>
      <c r="D8461" s="0" t="s">
        <v>28258</v>
      </c>
      <c r="E8461" s="0" t="s">
        <v>89</v>
      </c>
      <c r="F8461" s="0" t="s">
        <v>15</v>
      </c>
      <c r="G8461" s="0" t="s">
        <v>36</v>
      </c>
      <c r="H8461" s="0" t="n">
        <v>79</v>
      </c>
      <c r="I8461" s="0" t="s">
        <v>28265</v>
      </c>
      <c r="J8461" s="0" t="s">
        <v>28266</v>
      </c>
      <c r="K8461" s="0" t="s">
        <v>28267</v>
      </c>
      <c r="L8461" s="0" t="str">
        <f aca="false">HYPERLINK("https://www.ncbi.nlm.nih.gov/nuccore/CP000304.1?report=graph&amp;tracks=[key:gene_model_track,Options:GeneOnly]&amp;mk=2404134:2404153|offset_20|444444,2404171:2404190|offset_57|444444,2404193:2404212|offset_79|00cc00,2404220:2404239|offset_106|444444&amp;v=2403933:2404439&amp;c=444444", "offset 79")</f>
        <v>offset 79</v>
      </c>
    </row>
    <row r="8462" customFormat="false" ht="12.8" hidden="false" customHeight="false" outlineLevel="0" collapsed="false">
      <c r="A8462" s="0" t="s">
        <v>12</v>
      </c>
      <c r="B8462" s="0" t="n">
        <v>2404219</v>
      </c>
      <c r="C8462" s="0" t="n">
        <v>2404239</v>
      </c>
      <c r="D8462" s="0" t="s">
        <v>28258</v>
      </c>
      <c r="E8462" s="0" t="s">
        <v>89</v>
      </c>
      <c r="F8462" s="0" t="s">
        <v>15</v>
      </c>
      <c r="G8462" s="0" t="s">
        <v>32</v>
      </c>
      <c r="H8462" s="0" t="n">
        <v>106</v>
      </c>
      <c r="I8462" s="0" t="s">
        <v>28268</v>
      </c>
      <c r="J8462" s="0" t="s">
        <v>28269</v>
      </c>
      <c r="K8462" s="0" t="s">
        <v>28270</v>
      </c>
      <c r="L8462" s="0" t="str">
        <f aca="false">HYPERLINK("https://www.ncbi.nlm.nih.gov/nuccore/CP000304.1?report=graph&amp;tracks=[key:gene_model_track,Options:GeneOnly]&amp;mk=2404134:2404153|offset_20|444444,2404171:2404190|offset_57|444444,2404193:2404212|offset_79|444444,2404220:2404239|offset_106|00cc00&amp;v=2403933:2404439&amp;c=444444", "offset 106")</f>
        <v>offset 106</v>
      </c>
    </row>
    <row r="8463" customFormat="false" ht="12.8" hidden="false" customHeight="false" outlineLevel="0" collapsed="false">
      <c r="A8463" s="0" t="s">
        <v>12</v>
      </c>
      <c r="B8463" s="0" t="n">
        <v>2404282</v>
      </c>
      <c r="C8463" s="0" t="n">
        <v>2404302</v>
      </c>
      <c r="D8463" s="0" t="s">
        <v>28271</v>
      </c>
      <c r="E8463" s="0" t="s">
        <v>89</v>
      </c>
      <c r="F8463" s="0" t="s">
        <v>15</v>
      </c>
      <c r="G8463" s="0" t="s">
        <v>36</v>
      </c>
      <c r="H8463" s="0" t="n">
        <v>6</v>
      </c>
      <c r="I8463" s="0" t="s">
        <v>28272</v>
      </c>
      <c r="J8463" s="0" t="s">
        <v>28273</v>
      </c>
      <c r="K8463" s="0" t="s">
        <v>28274</v>
      </c>
      <c r="L8463" s="0" t="str">
        <f aca="false">HYPERLINK("https://www.ncbi.nlm.nih.gov/nuccore/CP000304.1?report=graph&amp;tracks=[key:gene_model_track,Options:GeneOnly]&amp;mk=2404283:2404302|offset_6|00cc00,2404317:2404336|offset_40|444444,2404348:2404367|offset_71|444444,2404380:2404399|offset_103|444444&amp;v=2404082:2404599&amp;c=444444", "offset 6")</f>
        <v>offset 6</v>
      </c>
    </row>
    <row r="8464" customFormat="false" ht="12.8" hidden="false" customHeight="false" outlineLevel="0" collapsed="false">
      <c r="A8464" s="0" t="s">
        <v>12</v>
      </c>
      <c r="B8464" s="0" t="n">
        <v>2404316</v>
      </c>
      <c r="C8464" s="0" t="n">
        <v>2404336</v>
      </c>
      <c r="D8464" s="0" t="s">
        <v>28271</v>
      </c>
      <c r="E8464" s="0" t="s">
        <v>89</v>
      </c>
      <c r="F8464" s="0" t="s">
        <v>15</v>
      </c>
      <c r="G8464" s="0" t="s">
        <v>16</v>
      </c>
      <c r="H8464" s="0" t="n">
        <v>40</v>
      </c>
      <c r="I8464" s="0" t="s">
        <v>28275</v>
      </c>
      <c r="J8464" s="0" t="s">
        <v>28276</v>
      </c>
      <c r="K8464" s="0" t="s">
        <v>28277</v>
      </c>
      <c r="L8464" s="0" t="str">
        <f aca="false">HYPERLINK("https://www.ncbi.nlm.nih.gov/nuccore/CP000304.1?report=graph&amp;tracks=[key:gene_model_track,Options:GeneOnly]&amp;mk=2404283:2404302|offset_6|444444,2404317:2404336|offset_40|00cc00,2404348:2404367|offset_71|444444,2404380:2404399|offset_103|444444&amp;v=2404082:2404599&amp;c=444444", "offset 40")</f>
        <v>offset 40</v>
      </c>
    </row>
    <row r="8465" customFormat="false" ht="12.8" hidden="false" customHeight="false" outlineLevel="0" collapsed="false">
      <c r="A8465" s="0" t="s">
        <v>12</v>
      </c>
      <c r="B8465" s="0" t="n">
        <v>2404347</v>
      </c>
      <c r="C8465" s="0" t="n">
        <v>2404367</v>
      </c>
      <c r="D8465" s="0" t="s">
        <v>28271</v>
      </c>
      <c r="E8465" s="0" t="s">
        <v>89</v>
      </c>
      <c r="F8465" s="0" t="s">
        <v>15</v>
      </c>
      <c r="G8465" s="0" t="s">
        <v>26</v>
      </c>
      <c r="H8465" s="0" t="n">
        <v>71</v>
      </c>
      <c r="I8465" s="0" t="s">
        <v>28278</v>
      </c>
      <c r="J8465" s="0" t="s">
        <v>28279</v>
      </c>
      <c r="K8465" s="0" t="s">
        <v>28280</v>
      </c>
      <c r="L8465" s="0" t="str">
        <f aca="false">HYPERLINK("https://www.ncbi.nlm.nih.gov/nuccore/CP000304.1?report=graph&amp;tracks=[key:gene_model_track,Options:GeneOnly]&amp;mk=2404283:2404302|offset_6|444444,2404317:2404336|offset_40|444444,2404348:2404367|offset_71|00cc00,2404380:2404399|offset_103|444444&amp;v=2404082:2404599&amp;c=444444", "offset 71")</f>
        <v>offset 71</v>
      </c>
    </row>
    <row r="8466" customFormat="false" ht="12.8" hidden="false" customHeight="false" outlineLevel="0" collapsed="false">
      <c r="A8466" s="0" t="s">
        <v>12</v>
      </c>
      <c r="B8466" s="0" t="n">
        <v>2404379</v>
      </c>
      <c r="C8466" s="0" t="n">
        <v>2404399</v>
      </c>
      <c r="D8466" s="0" t="s">
        <v>28271</v>
      </c>
      <c r="E8466" s="0" t="s">
        <v>89</v>
      </c>
      <c r="F8466" s="0" t="s">
        <v>15</v>
      </c>
      <c r="G8466" s="0" t="s">
        <v>36</v>
      </c>
      <c r="H8466" s="0" t="n">
        <v>103</v>
      </c>
      <c r="I8466" s="0" t="s">
        <v>28281</v>
      </c>
      <c r="J8466" s="0" t="s">
        <v>28282</v>
      </c>
      <c r="K8466" s="0" t="s">
        <v>28283</v>
      </c>
      <c r="L8466" s="0" t="str">
        <f aca="false">HYPERLINK("https://www.ncbi.nlm.nih.gov/nuccore/CP000304.1?report=graph&amp;tracks=[key:gene_model_track,Options:GeneOnly]&amp;mk=2404283:2404302|offset_6|444444,2404317:2404336|offset_40|444444,2404348:2404367|offset_71|444444,2404380:2404399|offset_103|00cc00&amp;v=2404082:2404599&amp;c=444444", "offset 103")</f>
        <v>offset 103</v>
      </c>
    </row>
    <row r="8467" customFormat="false" ht="12.8" hidden="false" customHeight="false" outlineLevel="0" collapsed="false">
      <c r="A8467" s="0" t="s">
        <v>12</v>
      </c>
      <c r="B8467" s="0" t="n">
        <v>2406664</v>
      </c>
      <c r="C8467" s="0" t="n">
        <v>2406684</v>
      </c>
      <c r="D8467" s="0" t="s">
        <v>28284</v>
      </c>
      <c r="E8467" s="0" t="s">
        <v>89</v>
      </c>
      <c r="F8467" s="0" t="s">
        <v>90</v>
      </c>
      <c r="G8467" s="0" t="s">
        <v>32</v>
      </c>
      <c r="H8467" s="0" t="n">
        <v>0</v>
      </c>
      <c r="I8467" s="0" t="s">
        <v>28285</v>
      </c>
      <c r="J8467" s="0" t="s">
        <v>28286</v>
      </c>
      <c r="K8467" s="0" t="s">
        <v>28287</v>
      </c>
      <c r="L8467" s="0" t="str">
        <f aca="false">HYPERLINK("https://www.ncbi.nlm.nih.gov/nuccore/CP000304.1?report=graph&amp;tracks=[key:gene_model_track,Options:GeneOnly]&amp;mk=2406665:2406684|offset_0|00cc00,2406643:2406662|offset_22|444444,2406607:2406626|offset_58|444444,2406575:2406594|offset_90|444444&amp;v=2406464:2406794&amp;c=444444", "offset 0")</f>
        <v>offset 0</v>
      </c>
    </row>
    <row r="8468" customFormat="false" ht="12.8" hidden="false" customHeight="false" outlineLevel="0" collapsed="false">
      <c r="A8468" s="0" t="s">
        <v>12</v>
      </c>
      <c r="B8468" s="0" t="n">
        <v>2406642</v>
      </c>
      <c r="C8468" s="0" t="n">
        <v>2406662</v>
      </c>
      <c r="D8468" s="0" t="s">
        <v>28284</v>
      </c>
      <c r="E8468" s="0" t="s">
        <v>89</v>
      </c>
      <c r="F8468" s="0" t="s">
        <v>90</v>
      </c>
      <c r="G8468" s="0" t="s">
        <v>32</v>
      </c>
      <c r="H8468" s="0" t="n">
        <v>22</v>
      </c>
      <c r="I8468" s="0" t="s">
        <v>28288</v>
      </c>
      <c r="J8468" s="0" t="s">
        <v>28289</v>
      </c>
      <c r="K8468" s="0" t="s">
        <v>28290</v>
      </c>
      <c r="L8468" s="0" t="str">
        <f aca="false">HYPERLINK("https://www.ncbi.nlm.nih.gov/nuccore/CP000304.1?report=graph&amp;tracks=[key:gene_model_track,Options:GeneOnly]&amp;mk=2406665:2406684|offset_0|444444,2406643:2406662|offset_22|00cc00,2406607:2406626|offset_58|444444,2406575:2406594|offset_90|444444&amp;v=2406464:2406794&amp;c=444444", "offset 22")</f>
        <v>offset 22</v>
      </c>
    </row>
    <row r="8469" customFormat="false" ht="12.8" hidden="false" customHeight="false" outlineLevel="0" collapsed="false">
      <c r="A8469" s="0" t="s">
        <v>12</v>
      </c>
      <c r="B8469" s="0" t="n">
        <v>2406606</v>
      </c>
      <c r="C8469" s="0" t="n">
        <v>2406626</v>
      </c>
      <c r="D8469" s="0" t="s">
        <v>28284</v>
      </c>
      <c r="E8469" s="0" t="s">
        <v>89</v>
      </c>
      <c r="F8469" s="0" t="s">
        <v>90</v>
      </c>
      <c r="G8469" s="0" t="s">
        <v>16</v>
      </c>
      <c r="H8469" s="0" t="n">
        <v>58</v>
      </c>
      <c r="I8469" s="0" t="s">
        <v>28291</v>
      </c>
      <c r="J8469" s="0" t="s">
        <v>28292</v>
      </c>
      <c r="K8469" s="0" t="s">
        <v>28293</v>
      </c>
      <c r="L8469" s="0" t="str">
        <f aca="false">HYPERLINK("https://www.ncbi.nlm.nih.gov/nuccore/CP000304.1?report=graph&amp;tracks=[key:gene_model_track,Options:GeneOnly]&amp;mk=2406665:2406684|offset_0|444444,2406643:2406662|offset_22|444444,2406607:2406626|offset_58|00cc00,2406575:2406594|offset_90|444444&amp;v=2406464:2406794&amp;c=444444", "offset 58")</f>
        <v>offset 58</v>
      </c>
    </row>
    <row r="8470" customFormat="false" ht="12.8" hidden="false" customHeight="false" outlineLevel="0" collapsed="false">
      <c r="A8470" s="0" t="s">
        <v>12</v>
      </c>
      <c r="B8470" s="0" t="n">
        <v>2406574</v>
      </c>
      <c r="C8470" s="0" t="n">
        <v>2406594</v>
      </c>
      <c r="D8470" s="0" t="s">
        <v>28284</v>
      </c>
      <c r="E8470" s="0" t="s">
        <v>89</v>
      </c>
      <c r="F8470" s="0" t="s">
        <v>90</v>
      </c>
      <c r="G8470" s="0" t="s">
        <v>32</v>
      </c>
      <c r="H8470" s="0" t="n">
        <v>90</v>
      </c>
      <c r="I8470" s="0" t="s">
        <v>28294</v>
      </c>
      <c r="J8470" s="0" t="s">
        <v>28295</v>
      </c>
      <c r="K8470" s="0" t="s">
        <v>28296</v>
      </c>
      <c r="L8470" s="0" t="str">
        <f aca="false">HYPERLINK("https://www.ncbi.nlm.nih.gov/nuccore/CP000304.1?report=graph&amp;tracks=[key:gene_model_track,Options:GeneOnly]&amp;mk=2406665:2406684|offset_0|444444,2406643:2406662|offset_22|444444,2406607:2406626|offset_58|444444,2406575:2406594|offset_90|00cc00&amp;v=2406464:2406794&amp;c=444444", "offset 90")</f>
        <v>offset 90</v>
      </c>
    </row>
    <row r="8471" customFormat="false" ht="12.8" hidden="false" customHeight="false" outlineLevel="0" collapsed="false">
      <c r="A8471" s="0" t="s">
        <v>12</v>
      </c>
      <c r="B8471" s="0" t="n">
        <v>2406783</v>
      </c>
      <c r="C8471" s="0" t="n">
        <v>2406803</v>
      </c>
      <c r="D8471" s="0" t="s">
        <v>28297</v>
      </c>
      <c r="E8471" s="0" t="s">
        <v>89</v>
      </c>
      <c r="F8471" s="0" t="s">
        <v>15</v>
      </c>
      <c r="G8471" s="0" t="s">
        <v>32</v>
      </c>
      <c r="H8471" s="0" t="n">
        <v>43</v>
      </c>
      <c r="I8471" s="0" t="s">
        <v>28298</v>
      </c>
      <c r="J8471" s="0" t="s">
        <v>28299</v>
      </c>
      <c r="K8471" s="0" t="s">
        <v>28300</v>
      </c>
      <c r="L8471" s="0" t="str">
        <f aca="false">HYPERLINK("https://www.ncbi.nlm.nih.gov/nuccore/CP000304.1?report=graph&amp;tracks=[key:gene_model_track,Options:GeneOnly]&amp;mk=2406784:2406803|offset_43|00cc00,2406806:2406825|offset_65|444444,2406859:2406878|offset_118|444444,2406904:2406923|offset_163|444444&amp;v=2406583:2407123&amp;c=444444", "offset 43")</f>
        <v>offset 43</v>
      </c>
    </row>
    <row r="8472" customFormat="false" ht="12.8" hidden="false" customHeight="false" outlineLevel="0" collapsed="false">
      <c r="A8472" s="0" t="s">
        <v>12</v>
      </c>
      <c r="B8472" s="0" t="n">
        <v>2406805</v>
      </c>
      <c r="C8472" s="0" t="n">
        <v>2406825</v>
      </c>
      <c r="D8472" s="0" t="s">
        <v>28297</v>
      </c>
      <c r="E8472" s="0" t="s">
        <v>89</v>
      </c>
      <c r="F8472" s="0" t="s">
        <v>15</v>
      </c>
      <c r="G8472" s="0" t="s">
        <v>32</v>
      </c>
      <c r="H8472" s="0" t="n">
        <v>65</v>
      </c>
      <c r="I8472" s="0" t="s">
        <v>28301</v>
      </c>
      <c r="J8472" s="0" t="s">
        <v>28302</v>
      </c>
      <c r="K8472" s="0" t="s">
        <v>28303</v>
      </c>
      <c r="L8472" s="0" t="str">
        <f aca="false">HYPERLINK("https://www.ncbi.nlm.nih.gov/nuccore/CP000304.1?report=graph&amp;tracks=[key:gene_model_track,Options:GeneOnly]&amp;mk=2406784:2406803|offset_43|444444,2406806:2406825|offset_65|00cc00,2406859:2406878|offset_118|444444,2406904:2406923|offset_163|444444&amp;v=2406583:2407123&amp;c=444444", "offset 65")</f>
        <v>offset 65</v>
      </c>
    </row>
    <row r="8473" customFormat="false" ht="12.8" hidden="false" customHeight="false" outlineLevel="0" collapsed="false">
      <c r="A8473" s="0" t="s">
        <v>12</v>
      </c>
      <c r="B8473" s="0" t="n">
        <v>2406858</v>
      </c>
      <c r="C8473" s="0" t="n">
        <v>2406878</v>
      </c>
      <c r="D8473" s="0" t="s">
        <v>28297</v>
      </c>
      <c r="E8473" s="0" t="s">
        <v>89</v>
      </c>
      <c r="F8473" s="0" t="s">
        <v>15</v>
      </c>
      <c r="G8473" s="0" t="s">
        <v>32</v>
      </c>
      <c r="H8473" s="0" t="n">
        <v>118</v>
      </c>
      <c r="I8473" s="0" t="s">
        <v>28304</v>
      </c>
      <c r="J8473" s="0" t="s">
        <v>28305</v>
      </c>
      <c r="K8473" s="0" t="s">
        <v>28306</v>
      </c>
      <c r="L8473" s="0" t="str">
        <f aca="false">HYPERLINK("https://www.ncbi.nlm.nih.gov/nuccore/CP000304.1?report=graph&amp;tracks=[key:gene_model_track,Options:GeneOnly]&amp;mk=2406784:2406803|offset_43|444444,2406806:2406825|offset_65|444444,2406859:2406878|offset_118|00cc00,2406904:2406923|offset_163|444444&amp;v=2406583:2407123&amp;c=444444", "offset 118")</f>
        <v>offset 118</v>
      </c>
    </row>
    <row r="8474" customFormat="false" ht="12.8" hidden="false" customHeight="false" outlineLevel="0" collapsed="false">
      <c r="A8474" s="0" t="s">
        <v>12</v>
      </c>
      <c r="B8474" s="0" t="n">
        <v>2406903</v>
      </c>
      <c r="C8474" s="0" t="n">
        <v>2406923</v>
      </c>
      <c r="D8474" s="0" t="s">
        <v>28297</v>
      </c>
      <c r="E8474" s="0" t="s">
        <v>89</v>
      </c>
      <c r="F8474" s="0" t="s">
        <v>15</v>
      </c>
      <c r="G8474" s="0" t="s">
        <v>36</v>
      </c>
      <c r="H8474" s="0" t="n">
        <v>163</v>
      </c>
      <c r="I8474" s="0" t="s">
        <v>28307</v>
      </c>
      <c r="J8474" s="0" t="s">
        <v>28308</v>
      </c>
      <c r="K8474" s="0" t="s">
        <v>28309</v>
      </c>
      <c r="L8474" s="0" t="str">
        <f aca="false">HYPERLINK("https://www.ncbi.nlm.nih.gov/nuccore/CP000304.1?report=graph&amp;tracks=[key:gene_model_track,Options:GeneOnly]&amp;mk=2406784:2406803|offset_43|444444,2406806:2406825|offset_65|444444,2406859:2406878|offset_118|444444,2406904:2406923|offset_163|00cc00&amp;v=2406583:2407123&amp;c=444444", "offset 163")</f>
        <v>offset 163</v>
      </c>
    </row>
    <row r="8475" customFormat="false" ht="12.8" hidden="false" customHeight="false" outlineLevel="0" collapsed="false">
      <c r="A8475" s="0" t="s">
        <v>12</v>
      </c>
      <c r="B8475" s="0" t="n">
        <v>2408099</v>
      </c>
      <c r="C8475" s="0" t="n">
        <v>2408119</v>
      </c>
      <c r="D8475" s="0" t="s">
        <v>28310</v>
      </c>
      <c r="E8475" s="0" t="s">
        <v>89</v>
      </c>
      <c r="F8475" s="0" t="s">
        <v>15</v>
      </c>
      <c r="G8475" s="0" t="s">
        <v>36</v>
      </c>
      <c r="H8475" s="0" t="n">
        <v>11</v>
      </c>
      <c r="I8475" s="0" t="s">
        <v>28311</v>
      </c>
      <c r="J8475" s="0" t="s">
        <v>28312</v>
      </c>
      <c r="K8475" s="0" t="s">
        <v>28313</v>
      </c>
      <c r="L8475" s="0" t="str">
        <f aca="false">HYPERLINK("https://www.ncbi.nlm.nih.gov/nuccore/CP000304.1?report=graph&amp;tracks=[key:gene_model_track,Options:GeneOnly]&amp;mk=2408100:2408119|offset_11|00cc00,2408141:2408160|offset_52|444444,2408168:2408187|offset_79|444444,2408204:2408223|offset_115|444444&amp;v=2407899:2408423&amp;c=444444", "offset 11")</f>
        <v>offset 11</v>
      </c>
    </row>
    <row r="8476" customFormat="false" ht="12.8" hidden="false" customHeight="false" outlineLevel="0" collapsed="false">
      <c r="A8476" s="0" t="s">
        <v>12</v>
      </c>
      <c r="B8476" s="0" t="n">
        <v>2408140</v>
      </c>
      <c r="C8476" s="0" t="n">
        <v>2408160</v>
      </c>
      <c r="D8476" s="0" t="s">
        <v>28310</v>
      </c>
      <c r="E8476" s="0" t="s">
        <v>89</v>
      </c>
      <c r="F8476" s="0" t="s">
        <v>15</v>
      </c>
      <c r="G8476" s="0" t="s">
        <v>16</v>
      </c>
      <c r="H8476" s="0" t="n">
        <v>52</v>
      </c>
      <c r="I8476" s="0" t="s">
        <v>28314</v>
      </c>
      <c r="J8476" s="0" t="s">
        <v>28315</v>
      </c>
      <c r="K8476" s="0" t="s">
        <v>28316</v>
      </c>
      <c r="L8476" s="0" t="str">
        <f aca="false">HYPERLINK("https://www.ncbi.nlm.nih.gov/nuccore/CP000304.1?report=graph&amp;tracks=[key:gene_model_track,Options:GeneOnly]&amp;mk=2408100:2408119|offset_11|444444,2408141:2408160|offset_52|00cc00,2408168:2408187|offset_79|444444,2408204:2408223|offset_115|444444&amp;v=2407899:2408423&amp;c=444444", "offset 52")</f>
        <v>offset 52</v>
      </c>
    </row>
    <row r="8477" customFormat="false" ht="12.8" hidden="false" customHeight="false" outlineLevel="0" collapsed="false">
      <c r="A8477" s="0" t="s">
        <v>12</v>
      </c>
      <c r="B8477" s="0" t="n">
        <v>2408167</v>
      </c>
      <c r="C8477" s="0" t="n">
        <v>2408187</v>
      </c>
      <c r="D8477" s="0" t="s">
        <v>28310</v>
      </c>
      <c r="E8477" s="0" t="s">
        <v>89</v>
      </c>
      <c r="F8477" s="0" t="s">
        <v>15</v>
      </c>
      <c r="G8477" s="0" t="s">
        <v>16</v>
      </c>
      <c r="H8477" s="0" t="n">
        <v>79</v>
      </c>
      <c r="I8477" s="0" t="s">
        <v>28317</v>
      </c>
      <c r="J8477" s="0" t="s">
        <v>28318</v>
      </c>
      <c r="K8477" s="0" t="s">
        <v>28319</v>
      </c>
      <c r="L8477" s="0" t="str">
        <f aca="false">HYPERLINK("https://www.ncbi.nlm.nih.gov/nuccore/CP000304.1?report=graph&amp;tracks=[key:gene_model_track,Options:GeneOnly]&amp;mk=2408100:2408119|offset_11|444444,2408141:2408160|offset_52|444444,2408168:2408187|offset_79|00cc00,2408204:2408223|offset_115|444444&amp;v=2407899:2408423&amp;c=444444", "offset 79")</f>
        <v>offset 79</v>
      </c>
    </row>
    <row r="8478" customFormat="false" ht="12.8" hidden="false" customHeight="false" outlineLevel="0" collapsed="false">
      <c r="A8478" s="0" t="s">
        <v>12</v>
      </c>
      <c r="B8478" s="0" t="n">
        <v>2408203</v>
      </c>
      <c r="C8478" s="0" t="n">
        <v>2408223</v>
      </c>
      <c r="D8478" s="0" t="s">
        <v>28310</v>
      </c>
      <c r="E8478" s="0" t="s">
        <v>89</v>
      </c>
      <c r="F8478" s="0" t="s">
        <v>15</v>
      </c>
      <c r="G8478" s="0" t="s">
        <v>16</v>
      </c>
      <c r="H8478" s="0" t="n">
        <v>115</v>
      </c>
      <c r="I8478" s="0" t="s">
        <v>28320</v>
      </c>
      <c r="J8478" s="0" t="s">
        <v>28321</v>
      </c>
      <c r="K8478" s="0" t="s">
        <v>28322</v>
      </c>
      <c r="L8478" s="0" t="str">
        <f aca="false">HYPERLINK("https://www.ncbi.nlm.nih.gov/nuccore/CP000304.1?report=graph&amp;tracks=[key:gene_model_track,Options:GeneOnly]&amp;mk=2408100:2408119|offset_11|444444,2408141:2408160|offset_52|444444,2408168:2408187|offset_79|444444,2408204:2408223|offset_115|00cc00&amp;v=2407899:2408423&amp;c=444444", "offset 115")</f>
        <v>offset 115</v>
      </c>
    </row>
    <row r="8479" customFormat="false" ht="12.8" hidden="false" customHeight="false" outlineLevel="0" collapsed="false">
      <c r="A8479" s="0" t="s">
        <v>12</v>
      </c>
      <c r="B8479" s="0" t="n">
        <v>2411423</v>
      </c>
      <c r="C8479" s="0" t="n">
        <v>2411443</v>
      </c>
      <c r="D8479" s="0" t="s">
        <v>28323</v>
      </c>
      <c r="E8479" s="0" t="s">
        <v>89</v>
      </c>
      <c r="F8479" s="0" t="s">
        <v>15</v>
      </c>
      <c r="G8479" s="0" t="s">
        <v>16</v>
      </c>
      <c r="H8479" s="0" t="n">
        <v>9</v>
      </c>
      <c r="I8479" s="0" t="s">
        <v>28324</v>
      </c>
      <c r="J8479" s="0" t="s">
        <v>28325</v>
      </c>
      <c r="K8479" s="0" t="s">
        <v>28326</v>
      </c>
      <c r="L8479" s="0" t="str">
        <f aca="false">HYPERLINK("https://www.ncbi.nlm.nih.gov/nuccore/CP000304.1?report=graph&amp;tracks=[key:gene_model_track,Options:GeneOnly]&amp;mk=2411424:2411443|offset_9|00cc00,2411445:2411464|offset_30|444444,2411467:2411486|offset_52|444444,2411491:2411510|offset_76|444444&amp;v=2411223:2411710&amp;c=444444", "offset 9")</f>
        <v>offset 9</v>
      </c>
    </row>
    <row r="8480" customFormat="false" ht="12.8" hidden="false" customHeight="false" outlineLevel="0" collapsed="false">
      <c r="A8480" s="0" t="s">
        <v>12</v>
      </c>
      <c r="B8480" s="0" t="n">
        <v>2411444</v>
      </c>
      <c r="C8480" s="0" t="n">
        <v>2411464</v>
      </c>
      <c r="D8480" s="0" t="s">
        <v>28323</v>
      </c>
      <c r="E8480" s="0" t="s">
        <v>89</v>
      </c>
      <c r="F8480" s="0" t="s">
        <v>15</v>
      </c>
      <c r="G8480" s="0" t="s">
        <v>32</v>
      </c>
      <c r="H8480" s="0" t="n">
        <v>30</v>
      </c>
      <c r="I8480" s="0" t="s">
        <v>28327</v>
      </c>
      <c r="J8480" s="0" t="s">
        <v>28328</v>
      </c>
      <c r="K8480" s="0" t="s">
        <v>28329</v>
      </c>
      <c r="L8480" s="0" t="str">
        <f aca="false">HYPERLINK("https://www.ncbi.nlm.nih.gov/nuccore/CP000304.1?report=graph&amp;tracks=[key:gene_model_track,Options:GeneOnly]&amp;mk=2411424:2411443|offset_9|444444,2411445:2411464|offset_30|00cc00,2411467:2411486|offset_52|444444,2411491:2411510|offset_76|444444&amp;v=2411223:2411710&amp;c=444444", "offset 30")</f>
        <v>offset 30</v>
      </c>
    </row>
    <row r="8481" customFormat="false" ht="12.8" hidden="false" customHeight="false" outlineLevel="0" collapsed="false">
      <c r="A8481" s="0" t="s">
        <v>12</v>
      </c>
      <c r="B8481" s="0" t="n">
        <v>2411466</v>
      </c>
      <c r="C8481" s="0" t="n">
        <v>2411486</v>
      </c>
      <c r="D8481" s="0" t="s">
        <v>28323</v>
      </c>
      <c r="E8481" s="0" t="s">
        <v>89</v>
      </c>
      <c r="F8481" s="0" t="s">
        <v>15</v>
      </c>
      <c r="G8481" s="0" t="s">
        <v>26</v>
      </c>
      <c r="H8481" s="0" t="n">
        <v>52</v>
      </c>
      <c r="I8481" s="0" t="s">
        <v>28330</v>
      </c>
      <c r="J8481" s="0" t="s">
        <v>28331</v>
      </c>
      <c r="K8481" s="0" t="s">
        <v>28332</v>
      </c>
      <c r="L8481" s="0" t="str">
        <f aca="false">HYPERLINK("https://www.ncbi.nlm.nih.gov/nuccore/CP000304.1?report=graph&amp;tracks=[key:gene_model_track,Options:GeneOnly]&amp;mk=2411424:2411443|offset_9|444444,2411445:2411464|offset_30|444444,2411467:2411486|offset_52|00cc00,2411491:2411510|offset_76|444444&amp;v=2411223:2411710&amp;c=444444", "offset 52")</f>
        <v>offset 52</v>
      </c>
    </row>
    <row r="8482" customFormat="false" ht="12.8" hidden="false" customHeight="false" outlineLevel="0" collapsed="false">
      <c r="A8482" s="0" t="s">
        <v>12</v>
      </c>
      <c r="B8482" s="0" t="n">
        <v>2411490</v>
      </c>
      <c r="C8482" s="0" t="n">
        <v>2411510</v>
      </c>
      <c r="D8482" s="0" t="s">
        <v>28323</v>
      </c>
      <c r="E8482" s="0" t="s">
        <v>89</v>
      </c>
      <c r="F8482" s="0" t="s">
        <v>15</v>
      </c>
      <c r="G8482" s="0" t="s">
        <v>32</v>
      </c>
      <c r="H8482" s="0" t="n">
        <v>76</v>
      </c>
      <c r="I8482" s="0" t="s">
        <v>28333</v>
      </c>
      <c r="J8482" s="0" t="s">
        <v>28334</v>
      </c>
      <c r="K8482" s="0" t="s">
        <v>28335</v>
      </c>
      <c r="L8482" s="0" t="str">
        <f aca="false">HYPERLINK("https://www.ncbi.nlm.nih.gov/nuccore/CP000304.1?report=graph&amp;tracks=[key:gene_model_track,Options:GeneOnly]&amp;mk=2411424:2411443|offset_9|444444,2411445:2411464|offset_30|444444,2411467:2411486|offset_52|444444,2411491:2411510|offset_76|00cc00&amp;v=2411223:2411710&amp;c=444444", "offset 76")</f>
        <v>offset 76</v>
      </c>
    </row>
    <row r="8483" customFormat="false" ht="12.8" hidden="false" customHeight="false" outlineLevel="0" collapsed="false">
      <c r="A8483" s="0" t="s">
        <v>12</v>
      </c>
      <c r="B8483" s="0" t="n">
        <v>2413868</v>
      </c>
      <c r="C8483" s="0" t="n">
        <v>2413888</v>
      </c>
      <c r="D8483" s="0" t="s">
        <v>28336</v>
      </c>
      <c r="E8483" s="0" t="s">
        <v>89</v>
      </c>
      <c r="F8483" s="0" t="s">
        <v>90</v>
      </c>
      <c r="G8483" s="0" t="s">
        <v>16</v>
      </c>
      <c r="H8483" s="0" t="n">
        <v>58</v>
      </c>
      <c r="I8483" s="0" t="s">
        <v>28337</v>
      </c>
      <c r="J8483" s="0" t="s">
        <v>28338</v>
      </c>
      <c r="K8483" s="0" t="s">
        <v>28339</v>
      </c>
      <c r="L8483" s="0" t="str">
        <f aca="false">HYPERLINK("https://www.ncbi.nlm.nih.gov/nuccore/CP000304.1?report=graph&amp;tracks=[key:gene_model_track,Options:GeneOnly]&amp;mk=2413869:2413888|offset_58|00cc00,2413845:2413864|offset_82|444444,2413788:2413807|offset_139|444444,2413757:2413776|offset_170|444444&amp;v=2413668:2413976&amp;c=444444", "offset 58")</f>
        <v>offset 58</v>
      </c>
    </row>
    <row r="8484" customFormat="false" ht="12.8" hidden="false" customHeight="false" outlineLevel="0" collapsed="false">
      <c r="A8484" s="0" t="s">
        <v>12</v>
      </c>
      <c r="B8484" s="0" t="n">
        <v>2413844</v>
      </c>
      <c r="C8484" s="0" t="n">
        <v>2413864</v>
      </c>
      <c r="D8484" s="0" t="s">
        <v>28336</v>
      </c>
      <c r="E8484" s="0" t="s">
        <v>89</v>
      </c>
      <c r="F8484" s="0" t="s">
        <v>90</v>
      </c>
      <c r="G8484" s="0" t="s">
        <v>16</v>
      </c>
      <c r="H8484" s="0" t="n">
        <v>82</v>
      </c>
      <c r="I8484" s="0" t="s">
        <v>28340</v>
      </c>
      <c r="J8484" s="0" t="s">
        <v>28341</v>
      </c>
      <c r="K8484" s="0" t="s">
        <v>28342</v>
      </c>
      <c r="L8484" s="0" t="str">
        <f aca="false">HYPERLINK("https://www.ncbi.nlm.nih.gov/nuccore/CP000304.1?report=graph&amp;tracks=[key:gene_model_track,Options:GeneOnly]&amp;mk=2413869:2413888|offset_58|444444,2413845:2413864|offset_82|00cc00,2413788:2413807|offset_139|444444,2413757:2413776|offset_170|444444&amp;v=2413668:2413976&amp;c=444444", "offset 82")</f>
        <v>offset 82</v>
      </c>
    </row>
    <row r="8485" customFormat="false" ht="12.8" hidden="false" customHeight="false" outlineLevel="0" collapsed="false">
      <c r="A8485" s="0" t="s">
        <v>12</v>
      </c>
      <c r="B8485" s="0" t="n">
        <v>2413787</v>
      </c>
      <c r="C8485" s="0" t="n">
        <v>2413807</v>
      </c>
      <c r="D8485" s="0" t="s">
        <v>28336</v>
      </c>
      <c r="E8485" s="0" t="s">
        <v>89</v>
      </c>
      <c r="F8485" s="0" t="s">
        <v>90</v>
      </c>
      <c r="G8485" s="0" t="s">
        <v>26</v>
      </c>
      <c r="H8485" s="0" t="n">
        <v>139</v>
      </c>
      <c r="I8485" s="0" t="s">
        <v>28343</v>
      </c>
      <c r="J8485" s="0" t="s">
        <v>28344</v>
      </c>
      <c r="K8485" s="0" t="s">
        <v>28345</v>
      </c>
      <c r="L8485" s="0" t="str">
        <f aca="false">HYPERLINK("https://www.ncbi.nlm.nih.gov/nuccore/CP000304.1?report=graph&amp;tracks=[key:gene_model_track,Options:GeneOnly]&amp;mk=2413869:2413888|offset_58|444444,2413845:2413864|offset_82|444444,2413788:2413807|offset_139|00cc00,2413757:2413776|offset_170|444444&amp;v=2413668:2413976&amp;c=444444", "offset 139")</f>
        <v>offset 139</v>
      </c>
    </row>
    <row r="8486" customFormat="false" ht="12.8" hidden="false" customHeight="false" outlineLevel="0" collapsed="false">
      <c r="A8486" s="0" t="s">
        <v>12</v>
      </c>
      <c r="B8486" s="0" t="n">
        <v>2413756</v>
      </c>
      <c r="C8486" s="0" t="n">
        <v>2413776</v>
      </c>
      <c r="D8486" s="0" t="s">
        <v>28336</v>
      </c>
      <c r="E8486" s="0" t="s">
        <v>89</v>
      </c>
      <c r="F8486" s="0" t="s">
        <v>90</v>
      </c>
      <c r="G8486" s="0" t="s">
        <v>26</v>
      </c>
      <c r="H8486" s="0" t="n">
        <v>170</v>
      </c>
      <c r="I8486" s="0" t="s">
        <v>28346</v>
      </c>
      <c r="J8486" s="0" t="s">
        <v>28347</v>
      </c>
      <c r="K8486" s="0" t="s">
        <v>28348</v>
      </c>
      <c r="L8486" s="0" t="str">
        <f aca="false">HYPERLINK("https://www.ncbi.nlm.nih.gov/nuccore/CP000304.1?report=graph&amp;tracks=[key:gene_model_track,Options:GeneOnly]&amp;mk=2413869:2413888|offset_58|444444,2413845:2413864|offset_82|444444,2413788:2413807|offset_139|444444,2413757:2413776|offset_170|00cc00&amp;v=2413668:2413976&amp;c=444444", "offset 170")</f>
        <v>offset 170</v>
      </c>
    </row>
    <row r="8487" customFormat="false" ht="12.8" hidden="false" customHeight="false" outlineLevel="0" collapsed="false">
      <c r="A8487" s="0" t="s">
        <v>12</v>
      </c>
      <c r="B8487" s="0" t="n">
        <v>2415873</v>
      </c>
      <c r="C8487" s="0" t="n">
        <v>2415893</v>
      </c>
      <c r="D8487" s="0" t="s">
        <v>28349</v>
      </c>
      <c r="E8487" s="0" t="s">
        <v>89</v>
      </c>
      <c r="F8487" s="0" t="s">
        <v>15</v>
      </c>
      <c r="G8487" s="0" t="s">
        <v>16</v>
      </c>
      <c r="H8487" s="0" t="n">
        <v>12</v>
      </c>
      <c r="I8487" s="0" t="s">
        <v>28350</v>
      </c>
      <c r="J8487" s="0" t="s">
        <v>28351</v>
      </c>
      <c r="K8487" s="0" t="s">
        <v>28352</v>
      </c>
      <c r="L8487" s="0" t="str">
        <f aca="false">HYPERLINK("https://www.ncbi.nlm.nih.gov/nuccore/CP000304.1?report=graph&amp;tracks=[key:gene_model_track,Options:GeneOnly]&amp;mk=2415874:2415893|offset_12|00cc00,2415899:2415918|offset_37|444444,2415926:2415945|offset_64|444444,2415948:2415967|offset_86|444444&amp;v=2415673:2416167&amp;c=444444", "offset 12")</f>
        <v>offset 12</v>
      </c>
    </row>
    <row r="8488" customFormat="false" ht="12.8" hidden="false" customHeight="false" outlineLevel="0" collapsed="false">
      <c r="A8488" s="0" t="s">
        <v>12</v>
      </c>
      <c r="B8488" s="0" t="n">
        <v>2415898</v>
      </c>
      <c r="C8488" s="0" t="n">
        <v>2415918</v>
      </c>
      <c r="D8488" s="0" t="s">
        <v>28349</v>
      </c>
      <c r="E8488" s="0" t="s">
        <v>89</v>
      </c>
      <c r="F8488" s="0" t="s">
        <v>15</v>
      </c>
      <c r="G8488" s="0" t="s">
        <v>36</v>
      </c>
      <c r="H8488" s="0" t="n">
        <v>37</v>
      </c>
      <c r="I8488" s="0" t="s">
        <v>28353</v>
      </c>
      <c r="J8488" s="0" t="s">
        <v>28354</v>
      </c>
      <c r="K8488" s="0" t="s">
        <v>28355</v>
      </c>
      <c r="L8488" s="0" t="str">
        <f aca="false">HYPERLINK("https://www.ncbi.nlm.nih.gov/nuccore/CP000304.1?report=graph&amp;tracks=[key:gene_model_track,Options:GeneOnly]&amp;mk=2415874:2415893|offset_12|444444,2415899:2415918|offset_37|00cc00,2415926:2415945|offset_64|444444,2415948:2415967|offset_86|444444&amp;v=2415673:2416167&amp;c=444444", "offset 37")</f>
        <v>offset 37</v>
      </c>
    </row>
    <row r="8489" customFormat="false" ht="12.8" hidden="false" customHeight="false" outlineLevel="0" collapsed="false">
      <c r="A8489" s="0" t="s">
        <v>12</v>
      </c>
      <c r="B8489" s="0" t="n">
        <v>2415925</v>
      </c>
      <c r="C8489" s="0" t="n">
        <v>2415945</v>
      </c>
      <c r="D8489" s="0" t="s">
        <v>28349</v>
      </c>
      <c r="E8489" s="0" t="s">
        <v>89</v>
      </c>
      <c r="F8489" s="0" t="s">
        <v>15</v>
      </c>
      <c r="G8489" s="0" t="s">
        <v>16</v>
      </c>
      <c r="H8489" s="0" t="n">
        <v>64</v>
      </c>
      <c r="I8489" s="0" t="s">
        <v>28356</v>
      </c>
      <c r="J8489" s="0" t="s">
        <v>28357</v>
      </c>
      <c r="K8489" s="0" t="s">
        <v>28358</v>
      </c>
      <c r="L8489" s="0" t="str">
        <f aca="false">HYPERLINK("https://www.ncbi.nlm.nih.gov/nuccore/CP000304.1?report=graph&amp;tracks=[key:gene_model_track,Options:GeneOnly]&amp;mk=2415874:2415893|offset_12|444444,2415899:2415918|offset_37|444444,2415926:2415945|offset_64|00cc00,2415948:2415967|offset_86|444444&amp;v=2415673:2416167&amp;c=444444", "offset 64")</f>
        <v>offset 64</v>
      </c>
    </row>
    <row r="8490" customFormat="false" ht="12.8" hidden="false" customHeight="false" outlineLevel="0" collapsed="false">
      <c r="A8490" s="0" t="s">
        <v>12</v>
      </c>
      <c r="B8490" s="0" t="n">
        <v>2415947</v>
      </c>
      <c r="C8490" s="0" t="n">
        <v>2415967</v>
      </c>
      <c r="D8490" s="0" t="s">
        <v>28349</v>
      </c>
      <c r="E8490" s="0" t="s">
        <v>89</v>
      </c>
      <c r="F8490" s="0" t="s">
        <v>15</v>
      </c>
      <c r="G8490" s="0" t="s">
        <v>16</v>
      </c>
      <c r="H8490" s="0" t="n">
        <v>86</v>
      </c>
      <c r="I8490" s="0" t="s">
        <v>28359</v>
      </c>
      <c r="J8490" s="0" t="s">
        <v>28360</v>
      </c>
      <c r="K8490" s="0" t="s">
        <v>28361</v>
      </c>
      <c r="L8490" s="0" t="str">
        <f aca="false">HYPERLINK("https://www.ncbi.nlm.nih.gov/nuccore/CP000304.1?report=graph&amp;tracks=[key:gene_model_track,Options:GeneOnly]&amp;mk=2415874:2415893|offset_12|444444,2415899:2415918|offset_37|444444,2415926:2415945|offset_64|444444,2415948:2415967|offset_86|00cc00&amp;v=2415673:2416167&amp;c=444444", "offset 86")</f>
        <v>offset 86</v>
      </c>
    </row>
    <row r="8491" customFormat="false" ht="12.8" hidden="false" customHeight="false" outlineLevel="0" collapsed="false">
      <c r="A8491" s="0" t="s">
        <v>12</v>
      </c>
      <c r="B8491" s="0" t="n">
        <v>2416239</v>
      </c>
      <c r="C8491" s="0" t="n">
        <v>2416259</v>
      </c>
      <c r="D8491" s="0" t="s">
        <v>28362</v>
      </c>
      <c r="E8491" s="0" t="s">
        <v>89</v>
      </c>
      <c r="F8491" s="0" t="s">
        <v>15</v>
      </c>
      <c r="G8491" s="0" t="s">
        <v>36</v>
      </c>
      <c r="H8491" s="0" t="n">
        <v>0</v>
      </c>
      <c r="I8491" s="0" t="s">
        <v>28363</v>
      </c>
      <c r="J8491" s="0" t="s">
        <v>28364</v>
      </c>
      <c r="K8491" s="0" t="s">
        <v>28365</v>
      </c>
      <c r="L8491" s="0" t="str">
        <f aca="false">HYPERLINK("https://www.ncbi.nlm.nih.gov/nuccore/CP000304.1?report=graph&amp;tracks=[key:gene_model_track,Options:GeneOnly]&amp;mk=2416240:2416259|offset_0|00cc00,2416271:2416290|offset_31|444444,2416300:2416319|offset_60|444444,2416327:2416346|offset_87|444444&amp;v=2416039:2416546&amp;c=444444", "offset 0")</f>
        <v>offset 0</v>
      </c>
    </row>
    <row r="8492" customFormat="false" ht="12.8" hidden="false" customHeight="false" outlineLevel="0" collapsed="false">
      <c r="A8492" s="0" t="s">
        <v>12</v>
      </c>
      <c r="B8492" s="0" t="n">
        <v>2416270</v>
      </c>
      <c r="C8492" s="0" t="n">
        <v>2416290</v>
      </c>
      <c r="D8492" s="0" t="s">
        <v>28362</v>
      </c>
      <c r="E8492" s="0" t="s">
        <v>89</v>
      </c>
      <c r="F8492" s="0" t="s">
        <v>15</v>
      </c>
      <c r="G8492" s="0" t="s">
        <v>36</v>
      </c>
      <c r="H8492" s="0" t="n">
        <v>31</v>
      </c>
      <c r="I8492" s="0" t="s">
        <v>28366</v>
      </c>
      <c r="J8492" s="0" t="s">
        <v>28367</v>
      </c>
      <c r="K8492" s="0" t="s">
        <v>28368</v>
      </c>
      <c r="L8492" s="0" t="str">
        <f aca="false">HYPERLINK("https://www.ncbi.nlm.nih.gov/nuccore/CP000304.1?report=graph&amp;tracks=[key:gene_model_track,Options:GeneOnly]&amp;mk=2416240:2416259|offset_0|444444,2416271:2416290|offset_31|00cc00,2416300:2416319|offset_60|444444,2416327:2416346|offset_87|444444&amp;v=2416039:2416546&amp;c=444444", "offset 31")</f>
        <v>offset 31</v>
      </c>
    </row>
    <row r="8493" customFormat="false" ht="12.8" hidden="false" customHeight="false" outlineLevel="0" collapsed="false">
      <c r="A8493" s="0" t="s">
        <v>12</v>
      </c>
      <c r="B8493" s="0" t="n">
        <v>2416299</v>
      </c>
      <c r="C8493" s="0" t="n">
        <v>2416319</v>
      </c>
      <c r="D8493" s="0" t="s">
        <v>28362</v>
      </c>
      <c r="E8493" s="0" t="s">
        <v>89</v>
      </c>
      <c r="F8493" s="0" t="s">
        <v>15</v>
      </c>
      <c r="G8493" s="0" t="s">
        <v>26</v>
      </c>
      <c r="H8493" s="0" t="n">
        <v>60</v>
      </c>
      <c r="I8493" s="0" t="s">
        <v>28369</v>
      </c>
      <c r="J8493" s="0" t="s">
        <v>28370</v>
      </c>
      <c r="K8493" s="0" t="s">
        <v>28371</v>
      </c>
      <c r="L8493" s="0" t="str">
        <f aca="false">HYPERLINK("https://www.ncbi.nlm.nih.gov/nuccore/CP000304.1?report=graph&amp;tracks=[key:gene_model_track,Options:GeneOnly]&amp;mk=2416240:2416259|offset_0|444444,2416271:2416290|offset_31|444444,2416300:2416319|offset_60|00cc00,2416327:2416346|offset_87|444444&amp;v=2416039:2416546&amp;c=444444", "offset 60")</f>
        <v>offset 60</v>
      </c>
    </row>
    <row r="8494" customFormat="false" ht="12.8" hidden="false" customHeight="false" outlineLevel="0" collapsed="false">
      <c r="A8494" s="0" t="s">
        <v>12</v>
      </c>
      <c r="B8494" s="0" t="n">
        <v>2416326</v>
      </c>
      <c r="C8494" s="0" t="n">
        <v>2416346</v>
      </c>
      <c r="D8494" s="0" t="s">
        <v>28362</v>
      </c>
      <c r="E8494" s="0" t="s">
        <v>89</v>
      </c>
      <c r="F8494" s="0" t="s">
        <v>15</v>
      </c>
      <c r="G8494" s="0" t="s">
        <v>36</v>
      </c>
      <c r="H8494" s="0" t="n">
        <v>87</v>
      </c>
      <c r="I8494" s="0" t="s">
        <v>28372</v>
      </c>
      <c r="J8494" s="0" t="s">
        <v>28373</v>
      </c>
      <c r="K8494" s="0" t="s">
        <v>28374</v>
      </c>
      <c r="L8494" s="0" t="str">
        <f aca="false">HYPERLINK("https://www.ncbi.nlm.nih.gov/nuccore/CP000304.1?report=graph&amp;tracks=[key:gene_model_track,Options:GeneOnly]&amp;mk=2416240:2416259|offset_0|444444,2416271:2416290|offset_31|444444,2416300:2416319|offset_60|444444,2416327:2416346|offset_87|00cc00&amp;v=2416039:2416546&amp;c=444444", "offset 87")</f>
        <v>offset 87</v>
      </c>
    </row>
    <row r="8495" customFormat="false" ht="12.8" hidden="false" customHeight="false" outlineLevel="0" collapsed="false">
      <c r="A8495" s="0" t="s">
        <v>12</v>
      </c>
      <c r="B8495" s="0" t="n">
        <v>2416777</v>
      </c>
      <c r="C8495" s="0" t="n">
        <v>2416797</v>
      </c>
      <c r="D8495" s="0" t="s">
        <v>28375</v>
      </c>
      <c r="E8495" s="0" t="s">
        <v>89</v>
      </c>
      <c r="F8495" s="0" t="s">
        <v>15</v>
      </c>
      <c r="G8495" s="0" t="s">
        <v>36</v>
      </c>
      <c r="H8495" s="0" t="n">
        <v>6</v>
      </c>
      <c r="I8495" s="0" t="s">
        <v>28376</v>
      </c>
      <c r="J8495" s="0" t="s">
        <v>28377</v>
      </c>
      <c r="K8495" s="0" t="s">
        <v>28378</v>
      </c>
      <c r="L8495" s="0" t="str">
        <f aca="false">HYPERLINK("https://www.ncbi.nlm.nih.gov/nuccore/CP000304.1?report=graph&amp;tracks=[key:gene_model_track,Options:GeneOnly]&amp;mk=2416778:2416797|offset_6|00cc00,2416816:2416835|offset_44|444444,2416859:2416878|offset_87|444444&amp;v=2416577:2417078&amp;c=444444", "offset 6")</f>
        <v>offset 6</v>
      </c>
    </row>
    <row r="8496" customFormat="false" ht="12.8" hidden="false" customHeight="false" outlineLevel="0" collapsed="false">
      <c r="A8496" s="0" t="s">
        <v>12</v>
      </c>
      <c r="B8496" s="0" t="n">
        <v>2416815</v>
      </c>
      <c r="C8496" s="0" t="n">
        <v>2416835</v>
      </c>
      <c r="D8496" s="0" t="s">
        <v>28375</v>
      </c>
      <c r="E8496" s="0" t="s">
        <v>89</v>
      </c>
      <c r="F8496" s="0" t="s">
        <v>15</v>
      </c>
      <c r="G8496" s="0" t="s">
        <v>32</v>
      </c>
      <c r="H8496" s="0" t="n">
        <v>44</v>
      </c>
      <c r="I8496" s="0" t="s">
        <v>28379</v>
      </c>
      <c r="J8496" s="0" t="s">
        <v>28380</v>
      </c>
      <c r="K8496" s="0" t="s">
        <v>28381</v>
      </c>
      <c r="L8496" s="0" t="str">
        <f aca="false">HYPERLINK("https://www.ncbi.nlm.nih.gov/nuccore/CP000304.1?report=graph&amp;tracks=[key:gene_model_track,Options:GeneOnly]&amp;mk=2416778:2416797|offset_6|444444,2416816:2416835|offset_44|00cc00,2416859:2416878|offset_87|444444&amp;v=2416577:2417078&amp;c=444444", "offset 44")</f>
        <v>offset 44</v>
      </c>
    </row>
    <row r="8497" customFormat="false" ht="12.8" hidden="false" customHeight="false" outlineLevel="0" collapsed="false">
      <c r="A8497" s="0" t="s">
        <v>12</v>
      </c>
      <c r="B8497" s="0" t="n">
        <v>2416858</v>
      </c>
      <c r="C8497" s="0" t="n">
        <v>2416878</v>
      </c>
      <c r="D8497" s="0" t="s">
        <v>28375</v>
      </c>
      <c r="E8497" s="0" t="s">
        <v>89</v>
      </c>
      <c r="F8497" s="0" t="s">
        <v>15</v>
      </c>
      <c r="G8497" s="0" t="s">
        <v>36</v>
      </c>
      <c r="H8497" s="0" t="n">
        <v>87</v>
      </c>
      <c r="I8497" s="0" t="s">
        <v>28382</v>
      </c>
      <c r="J8497" s="0" t="s">
        <v>28383</v>
      </c>
      <c r="K8497" s="0" t="s">
        <v>28384</v>
      </c>
      <c r="L8497" s="0" t="str">
        <f aca="false">HYPERLINK("https://www.ncbi.nlm.nih.gov/nuccore/CP000304.1?report=graph&amp;tracks=[key:gene_model_track,Options:GeneOnly]&amp;mk=2416778:2416797|offset_6|444444,2416816:2416835|offset_44|444444,2416859:2416878|offset_87|00cc00&amp;v=2416577:2417078&amp;c=444444", "offset 87")</f>
        <v>offset 87</v>
      </c>
    </row>
    <row r="8498" customFormat="false" ht="12.8" hidden="false" customHeight="false" outlineLevel="0" collapsed="false">
      <c r="A8498" s="0" t="s">
        <v>12</v>
      </c>
      <c r="B8498" s="0" t="n">
        <v>2417033</v>
      </c>
      <c r="C8498" s="0" t="n">
        <v>2417053</v>
      </c>
      <c r="D8498" s="0" t="s">
        <v>28385</v>
      </c>
      <c r="E8498" s="0" t="s">
        <v>89</v>
      </c>
      <c r="F8498" s="0" t="s">
        <v>15</v>
      </c>
      <c r="G8498" s="0" t="s">
        <v>36</v>
      </c>
      <c r="H8498" s="0" t="n">
        <v>7</v>
      </c>
      <c r="I8498" s="0" t="s">
        <v>28386</v>
      </c>
      <c r="J8498" s="0" t="s">
        <v>28387</v>
      </c>
      <c r="K8498" s="0" t="s">
        <v>28388</v>
      </c>
      <c r="L8498" s="0" t="str">
        <f aca="false">HYPERLINK("https://www.ncbi.nlm.nih.gov/nuccore/CP000304.1?report=graph&amp;tracks=[key:gene_model_track,Options:GeneOnly]&amp;mk=2417034:2417053|offset_7|00cc00,2417072:2417091|offset_45|444444,2417115:2417134|offset_88|444444,2417137:2417156|offset_110|444444&amp;v=2416833:2417356&amp;c=444444", "offset 7")</f>
        <v>offset 7</v>
      </c>
    </row>
    <row r="8499" customFormat="false" ht="12.8" hidden="false" customHeight="false" outlineLevel="0" collapsed="false">
      <c r="A8499" s="0" t="s">
        <v>12</v>
      </c>
      <c r="B8499" s="0" t="n">
        <v>2417071</v>
      </c>
      <c r="C8499" s="0" t="n">
        <v>2417091</v>
      </c>
      <c r="D8499" s="0" t="s">
        <v>28385</v>
      </c>
      <c r="E8499" s="0" t="s">
        <v>89</v>
      </c>
      <c r="F8499" s="0" t="s">
        <v>15</v>
      </c>
      <c r="G8499" s="0" t="s">
        <v>16</v>
      </c>
      <c r="H8499" s="0" t="n">
        <v>45</v>
      </c>
      <c r="I8499" s="0" t="s">
        <v>28389</v>
      </c>
      <c r="J8499" s="0" t="s">
        <v>28390</v>
      </c>
      <c r="K8499" s="0" t="s">
        <v>28391</v>
      </c>
      <c r="L8499" s="0" t="str">
        <f aca="false">HYPERLINK("https://www.ncbi.nlm.nih.gov/nuccore/CP000304.1?report=graph&amp;tracks=[key:gene_model_track,Options:GeneOnly]&amp;mk=2417034:2417053|offset_7|444444,2417072:2417091|offset_45|00cc00,2417115:2417134|offset_88|444444,2417137:2417156|offset_110|444444&amp;v=2416833:2417356&amp;c=444444", "offset 45")</f>
        <v>offset 45</v>
      </c>
    </row>
    <row r="8500" customFormat="false" ht="12.8" hidden="false" customHeight="false" outlineLevel="0" collapsed="false">
      <c r="A8500" s="0" t="s">
        <v>12</v>
      </c>
      <c r="B8500" s="0" t="n">
        <v>2417114</v>
      </c>
      <c r="C8500" s="0" t="n">
        <v>2417134</v>
      </c>
      <c r="D8500" s="0" t="s">
        <v>28385</v>
      </c>
      <c r="E8500" s="0" t="s">
        <v>89</v>
      </c>
      <c r="F8500" s="0" t="s">
        <v>15</v>
      </c>
      <c r="G8500" s="0" t="s">
        <v>26</v>
      </c>
      <c r="H8500" s="0" t="n">
        <v>88</v>
      </c>
      <c r="I8500" s="0" t="s">
        <v>28392</v>
      </c>
      <c r="J8500" s="0" t="s">
        <v>28393</v>
      </c>
      <c r="K8500" s="0" t="s">
        <v>28394</v>
      </c>
      <c r="L8500" s="0" t="str">
        <f aca="false">HYPERLINK("https://www.ncbi.nlm.nih.gov/nuccore/CP000304.1?report=graph&amp;tracks=[key:gene_model_track,Options:GeneOnly]&amp;mk=2417034:2417053|offset_7|444444,2417072:2417091|offset_45|444444,2417115:2417134|offset_88|00cc00,2417137:2417156|offset_110|444444&amp;v=2416833:2417356&amp;c=444444", "offset 88")</f>
        <v>offset 88</v>
      </c>
    </row>
    <row r="8501" customFormat="false" ht="12.8" hidden="false" customHeight="false" outlineLevel="0" collapsed="false">
      <c r="A8501" s="0" t="s">
        <v>12</v>
      </c>
      <c r="B8501" s="0" t="n">
        <v>2417136</v>
      </c>
      <c r="C8501" s="0" t="n">
        <v>2417156</v>
      </c>
      <c r="D8501" s="0" t="s">
        <v>28385</v>
      </c>
      <c r="E8501" s="0" t="s">
        <v>89</v>
      </c>
      <c r="F8501" s="0" t="s">
        <v>15</v>
      </c>
      <c r="G8501" s="0" t="s">
        <v>26</v>
      </c>
      <c r="H8501" s="0" t="n">
        <v>110</v>
      </c>
      <c r="I8501" s="0" t="s">
        <v>28395</v>
      </c>
      <c r="J8501" s="0" t="s">
        <v>28396</v>
      </c>
      <c r="K8501" s="0" t="s">
        <v>28397</v>
      </c>
      <c r="L8501" s="0" t="str">
        <f aca="false">HYPERLINK("https://www.ncbi.nlm.nih.gov/nuccore/CP000304.1?report=graph&amp;tracks=[key:gene_model_track,Options:GeneOnly]&amp;mk=2417034:2417053|offset_7|444444,2417072:2417091|offset_45|444444,2417115:2417134|offset_88|444444,2417137:2417156|offset_110|00cc00&amp;v=2416833:2417356&amp;c=444444", "offset 110")</f>
        <v>offset 110</v>
      </c>
    </row>
    <row r="8502" customFormat="false" ht="12.8" hidden="false" customHeight="false" outlineLevel="0" collapsed="false">
      <c r="A8502" s="0" t="s">
        <v>12</v>
      </c>
      <c r="B8502" s="0" t="n">
        <v>2417778</v>
      </c>
      <c r="C8502" s="0" t="n">
        <v>2417798</v>
      </c>
      <c r="D8502" s="0" t="s">
        <v>28398</v>
      </c>
      <c r="E8502" s="0" t="s">
        <v>89</v>
      </c>
      <c r="F8502" s="0" t="s">
        <v>15</v>
      </c>
      <c r="G8502" s="0" t="s">
        <v>32</v>
      </c>
      <c r="H8502" s="0" t="n">
        <v>23</v>
      </c>
      <c r="I8502" s="0" t="s">
        <v>28399</v>
      </c>
      <c r="J8502" s="0" t="s">
        <v>28400</v>
      </c>
      <c r="K8502" s="0" t="s">
        <v>28401</v>
      </c>
      <c r="L8502" s="0" t="str">
        <f aca="false">HYPERLINK("https://www.ncbi.nlm.nih.gov/nuccore/CP000304.1?report=graph&amp;tracks=[key:gene_model_track,Options:GeneOnly]&amp;mk=2417779:2417798|offset_23|00cc00,2417802:2417821|offset_46|444444,2417824:2417843|offset_68|444444,2417858:2417877|offset_102|444444&amp;v=2417578:2418077&amp;c=444444", "offset 23")</f>
        <v>offset 23</v>
      </c>
    </row>
    <row r="8503" customFormat="false" ht="12.8" hidden="false" customHeight="false" outlineLevel="0" collapsed="false">
      <c r="A8503" s="0" t="s">
        <v>12</v>
      </c>
      <c r="B8503" s="0" t="n">
        <v>2417801</v>
      </c>
      <c r="C8503" s="0" t="n">
        <v>2417821</v>
      </c>
      <c r="D8503" s="0" t="s">
        <v>28398</v>
      </c>
      <c r="E8503" s="0" t="s">
        <v>89</v>
      </c>
      <c r="F8503" s="0" t="s">
        <v>15</v>
      </c>
      <c r="G8503" s="0" t="s">
        <v>36</v>
      </c>
      <c r="H8503" s="0" t="n">
        <v>46</v>
      </c>
      <c r="I8503" s="0" t="s">
        <v>28402</v>
      </c>
      <c r="J8503" s="0" t="s">
        <v>28403</v>
      </c>
      <c r="K8503" s="0" t="s">
        <v>28404</v>
      </c>
      <c r="L8503" s="0" t="str">
        <f aca="false">HYPERLINK("https://www.ncbi.nlm.nih.gov/nuccore/CP000304.1?report=graph&amp;tracks=[key:gene_model_track,Options:GeneOnly]&amp;mk=2417779:2417798|offset_23|444444,2417802:2417821|offset_46|00cc00,2417824:2417843|offset_68|444444,2417858:2417877|offset_102|444444&amp;v=2417578:2418077&amp;c=444444", "offset 46")</f>
        <v>offset 46</v>
      </c>
    </row>
    <row r="8504" customFormat="false" ht="12.8" hidden="false" customHeight="false" outlineLevel="0" collapsed="false">
      <c r="A8504" s="0" t="s">
        <v>12</v>
      </c>
      <c r="B8504" s="0" t="n">
        <v>2417823</v>
      </c>
      <c r="C8504" s="0" t="n">
        <v>2417843</v>
      </c>
      <c r="D8504" s="0" t="s">
        <v>28398</v>
      </c>
      <c r="E8504" s="0" t="s">
        <v>89</v>
      </c>
      <c r="F8504" s="0" t="s">
        <v>15</v>
      </c>
      <c r="G8504" s="0" t="s">
        <v>32</v>
      </c>
      <c r="H8504" s="0" t="n">
        <v>68</v>
      </c>
      <c r="I8504" s="0" t="s">
        <v>28405</v>
      </c>
      <c r="J8504" s="0" t="s">
        <v>28406</v>
      </c>
      <c r="K8504" s="0" t="s">
        <v>28407</v>
      </c>
      <c r="L8504" s="0" t="str">
        <f aca="false">HYPERLINK("https://www.ncbi.nlm.nih.gov/nuccore/CP000304.1?report=graph&amp;tracks=[key:gene_model_track,Options:GeneOnly]&amp;mk=2417779:2417798|offset_23|444444,2417802:2417821|offset_46|444444,2417824:2417843|offset_68|00cc00,2417858:2417877|offset_102|444444&amp;v=2417578:2418077&amp;c=444444", "offset 68")</f>
        <v>offset 68</v>
      </c>
    </row>
    <row r="8505" customFormat="false" ht="12.8" hidden="false" customHeight="false" outlineLevel="0" collapsed="false">
      <c r="A8505" s="0" t="s">
        <v>12</v>
      </c>
      <c r="B8505" s="0" t="n">
        <v>2417857</v>
      </c>
      <c r="C8505" s="0" t="n">
        <v>2417877</v>
      </c>
      <c r="D8505" s="0" t="s">
        <v>28398</v>
      </c>
      <c r="E8505" s="0" t="s">
        <v>89</v>
      </c>
      <c r="F8505" s="0" t="s">
        <v>15</v>
      </c>
      <c r="G8505" s="0" t="s">
        <v>26</v>
      </c>
      <c r="H8505" s="0" t="n">
        <v>102</v>
      </c>
      <c r="I8505" s="0" t="s">
        <v>28408</v>
      </c>
      <c r="J8505" s="0" t="s">
        <v>28409</v>
      </c>
      <c r="K8505" s="0" t="s">
        <v>28410</v>
      </c>
      <c r="L8505" s="0" t="str">
        <f aca="false">HYPERLINK("https://www.ncbi.nlm.nih.gov/nuccore/CP000304.1?report=graph&amp;tracks=[key:gene_model_track,Options:GeneOnly]&amp;mk=2417779:2417798|offset_23|444444,2417802:2417821|offset_46|444444,2417824:2417843|offset_68|444444,2417858:2417877|offset_102|00cc00&amp;v=2417578:2418077&amp;c=444444", "offset 102")</f>
        <v>offset 102</v>
      </c>
    </row>
    <row r="8506" customFormat="false" ht="12.8" hidden="false" customHeight="false" outlineLevel="0" collapsed="false">
      <c r="A8506" s="0" t="s">
        <v>12</v>
      </c>
      <c r="B8506" s="0" t="n">
        <v>2420010</v>
      </c>
      <c r="C8506" s="0" t="n">
        <v>2420030</v>
      </c>
      <c r="D8506" s="0" t="s">
        <v>28411</v>
      </c>
      <c r="E8506" s="0" t="s">
        <v>89</v>
      </c>
      <c r="F8506" s="0" t="s">
        <v>90</v>
      </c>
      <c r="G8506" s="0" t="s">
        <v>16</v>
      </c>
      <c r="H8506" s="0" t="n">
        <v>14</v>
      </c>
      <c r="I8506" s="0" t="s">
        <v>28412</v>
      </c>
      <c r="J8506" s="0" t="s">
        <v>28413</v>
      </c>
      <c r="K8506" s="0" t="s">
        <v>28414</v>
      </c>
      <c r="L8506" s="0" t="str">
        <f aca="false">HYPERLINK("https://www.ncbi.nlm.nih.gov/nuccore/CP000304.1?report=graph&amp;tracks=[key:gene_model_track,Options:GeneOnly]&amp;mk=2420011:2420030|offset_14|00cc00,2419982:2420001|offset_43|444444,2419954:2419973|offset_71|444444,2419921:2419940|offset_104|444444&amp;v=2419810:2420140&amp;c=444444", "offset 14")</f>
        <v>offset 14</v>
      </c>
    </row>
    <row r="8507" customFormat="false" ht="12.8" hidden="false" customHeight="false" outlineLevel="0" collapsed="false">
      <c r="A8507" s="0" t="s">
        <v>12</v>
      </c>
      <c r="B8507" s="0" t="n">
        <v>2419981</v>
      </c>
      <c r="C8507" s="0" t="n">
        <v>2420001</v>
      </c>
      <c r="D8507" s="0" t="s">
        <v>28411</v>
      </c>
      <c r="E8507" s="0" t="s">
        <v>89</v>
      </c>
      <c r="F8507" s="0" t="s">
        <v>90</v>
      </c>
      <c r="G8507" s="0" t="s">
        <v>26</v>
      </c>
      <c r="H8507" s="0" t="n">
        <v>43</v>
      </c>
      <c r="I8507" s="0" t="s">
        <v>28415</v>
      </c>
      <c r="J8507" s="0" t="s">
        <v>28416</v>
      </c>
      <c r="K8507" s="0" t="s">
        <v>28417</v>
      </c>
      <c r="L8507" s="0" t="str">
        <f aca="false">HYPERLINK("https://www.ncbi.nlm.nih.gov/nuccore/CP000304.1?report=graph&amp;tracks=[key:gene_model_track,Options:GeneOnly]&amp;mk=2420011:2420030|offset_14|444444,2419982:2420001|offset_43|00cc00,2419954:2419973|offset_71|444444,2419921:2419940|offset_104|444444&amp;v=2419810:2420140&amp;c=444444", "offset 43")</f>
        <v>offset 43</v>
      </c>
    </row>
    <row r="8508" customFormat="false" ht="12.8" hidden="false" customHeight="false" outlineLevel="0" collapsed="false">
      <c r="A8508" s="0" t="s">
        <v>12</v>
      </c>
      <c r="B8508" s="0" t="n">
        <v>2419953</v>
      </c>
      <c r="C8508" s="0" t="n">
        <v>2419973</v>
      </c>
      <c r="D8508" s="0" t="s">
        <v>28411</v>
      </c>
      <c r="E8508" s="0" t="s">
        <v>89</v>
      </c>
      <c r="F8508" s="0" t="s">
        <v>90</v>
      </c>
      <c r="G8508" s="0" t="s">
        <v>36</v>
      </c>
      <c r="H8508" s="0" t="n">
        <v>71</v>
      </c>
      <c r="I8508" s="0" t="s">
        <v>28418</v>
      </c>
      <c r="J8508" s="0" t="s">
        <v>28419</v>
      </c>
      <c r="K8508" s="0" t="s">
        <v>28420</v>
      </c>
      <c r="L8508" s="0" t="str">
        <f aca="false">HYPERLINK("https://www.ncbi.nlm.nih.gov/nuccore/CP000304.1?report=graph&amp;tracks=[key:gene_model_track,Options:GeneOnly]&amp;mk=2420011:2420030|offset_14|444444,2419982:2420001|offset_43|444444,2419954:2419973|offset_71|00cc00,2419921:2419940|offset_104|444444&amp;v=2419810:2420140&amp;c=444444", "offset 71")</f>
        <v>offset 71</v>
      </c>
    </row>
    <row r="8509" customFormat="false" ht="12.8" hidden="false" customHeight="false" outlineLevel="0" collapsed="false">
      <c r="A8509" s="0" t="s">
        <v>12</v>
      </c>
      <c r="B8509" s="0" t="n">
        <v>2419920</v>
      </c>
      <c r="C8509" s="0" t="n">
        <v>2419940</v>
      </c>
      <c r="D8509" s="0" t="s">
        <v>28411</v>
      </c>
      <c r="E8509" s="0" t="s">
        <v>89</v>
      </c>
      <c r="F8509" s="0" t="s">
        <v>90</v>
      </c>
      <c r="G8509" s="0" t="s">
        <v>26</v>
      </c>
      <c r="H8509" s="0" t="n">
        <v>104</v>
      </c>
      <c r="I8509" s="0" t="s">
        <v>28421</v>
      </c>
      <c r="J8509" s="0" t="s">
        <v>28422</v>
      </c>
      <c r="K8509" s="0" t="s">
        <v>28423</v>
      </c>
      <c r="L8509" s="0" t="str">
        <f aca="false">HYPERLINK("https://www.ncbi.nlm.nih.gov/nuccore/CP000304.1?report=graph&amp;tracks=[key:gene_model_track,Options:GeneOnly]&amp;mk=2420011:2420030|offset_14|444444,2419982:2420001|offset_43|444444,2419954:2419973|offset_71|444444,2419921:2419940|offset_104|00cc00&amp;v=2419810:2420140&amp;c=444444", "offset 104")</f>
        <v>offset 104</v>
      </c>
    </row>
    <row r="8510" customFormat="false" ht="12.8" hidden="false" customHeight="false" outlineLevel="0" collapsed="false">
      <c r="A8510" s="0" t="s">
        <v>12</v>
      </c>
      <c r="B8510" s="0" t="n">
        <v>2421087</v>
      </c>
      <c r="C8510" s="0" t="n">
        <v>2421107</v>
      </c>
      <c r="D8510" s="0" t="s">
        <v>28424</v>
      </c>
      <c r="E8510" s="0" t="s">
        <v>89</v>
      </c>
      <c r="F8510" s="0" t="s">
        <v>90</v>
      </c>
      <c r="G8510" s="0" t="s">
        <v>32</v>
      </c>
      <c r="H8510" s="0" t="n">
        <v>1</v>
      </c>
      <c r="I8510" s="0" t="s">
        <v>28425</v>
      </c>
      <c r="J8510" s="0" t="s">
        <v>28426</v>
      </c>
      <c r="K8510" s="0" t="s">
        <v>28427</v>
      </c>
      <c r="L8510" s="0" t="str">
        <f aca="false">HYPERLINK("https://www.ncbi.nlm.nih.gov/nuccore/CP000304.1?report=graph&amp;tracks=[key:gene_model_track,Options:GeneOnly]&amp;mk=2421088:2421107|offset_1|00cc00,2421049:2421068|offset_40|444444,2421017:2421036|offset_72|444444,2420955:2420974|offset_134|444444&amp;v=2420887:2421174&amp;c=444444", "offset 1")</f>
        <v>offset 1</v>
      </c>
    </row>
    <row r="8511" customFormat="false" ht="12.8" hidden="false" customHeight="false" outlineLevel="0" collapsed="false">
      <c r="A8511" s="0" t="s">
        <v>12</v>
      </c>
      <c r="B8511" s="0" t="n">
        <v>2421048</v>
      </c>
      <c r="C8511" s="0" t="n">
        <v>2421068</v>
      </c>
      <c r="D8511" s="0" t="s">
        <v>28424</v>
      </c>
      <c r="E8511" s="0" t="s">
        <v>89</v>
      </c>
      <c r="F8511" s="0" t="s">
        <v>90</v>
      </c>
      <c r="G8511" s="0" t="s">
        <v>36</v>
      </c>
      <c r="H8511" s="0" t="n">
        <v>40</v>
      </c>
      <c r="I8511" s="0" t="s">
        <v>28428</v>
      </c>
      <c r="J8511" s="0" t="s">
        <v>28429</v>
      </c>
      <c r="K8511" s="0" t="s">
        <v>28430</v>
      </c>
      <c r="L8511" s="0" t="str">
        <f aca="false">HYPERLINK("https://www.ncbi.nlm.nih.gov/nuccore/CP000304.1?report=graph&amp;tracks=[key:gene_model_track,Options:GeneOnly]&amp;mk=2421088:2421107|offset_1|444444,2421049:2421068|offset_40|00cc00,2421017:2421036|offset_72|444444,2420955:2420974|offset_134|444444&amp;v=2420887:2421174&amp;c=444444", "offset 40")</f>
        <v>offset 40</v>
      </c>
    </row>
    <row r="8512" customFormat="false" ht="12.8" hidden="false" customHeight="false" outlineLevel="0" collapsed="false">
      <c r="A8512" s="0" t="s">
        <v>12</v>
      </c>
      <c r="B8512" s="0" t="n">
        <v>2421016</v>
      </c>
      <c r="C8512" s="0" t="n">
        <v>2421036</v>
      </c>
      <c r="D8512" s="0" t="s">
        <v>28424</v>
      </c>
      <c r="E8512" s="0" t="s">
        <v>89</v>
      </c>
      <c r="F8512" s="0" t="s">
        <v>90</v>
      </c>
      <c r="G8512" s="0" t="s">
        <v>16</v>
      </c>
      <c r="H8512" s="0" t="n">
        <v>72</v>
      </c>
      <c r="I8512" s="0" t="s">
        <v>28431</v>
      </c>
      <c r="J8512" s="0" t="s">
        <v>28432</v>
      </c>
      <c r="K8512" s="0" t="s">
        <v>28433</v>
      </c>
      <c r="L8512" s="0" t="str">
        <f aca="false">HYPERLINK("https://www.ncbi.nlm.nih.gov/nuccore/CP000304.1?report=graph&amp;tracks=[key:gene_model_track,Options:GeneOnly]&amp;mk=2421088:2421107|offset_1|444444,2421049:2421068|offset_40|444444,2421017:2421036|offset_72|00cc00,2420955:2420974|offset_134|444444&amp;v=2420887:2421174&amp;c=444444", "offset 72")</f>
        <v>offset 72</v>
      </c>
    </row>
    <row r="8513" customFormat="false" ht="12.8" hidden="false" customHeight="false" outlineLevel="0" collapsed="false">
      <c r="A8513" s="0" t="s">
        <v>12</v>
      </c>
      <c r="B8513" s="0" t="n">
        <v>2420954</v>
      </c>
      <c r="C8513" s="0" t="n">
        <v>2420974</v>
      </c>
      <c r="D8513" s="0" t="s">
        <v>28424</v>
      </c>
      <c r="E8513" s="0" t="s">
        <v>89</v>
      </c>
      <c r="F8513" s="0" t="s">
        <v>90</v>
      </c>
      <c r="G8513" s="0" t="s">
        <v>16</v>
      </c>
      <c r="H8513" s="0" t="n">
        <v>134</v>
      </c>
      <c r="I8513" s="0" t="s">
        <v>28434</v>
      </c>
      <c r="J8513" s="0" t="s">
        <v>28435</v>
      </c>
      <c r="K8513" s="0" t="s">
        <v>28436</v>
      </c>
      <c r="L8513" s="0" t="str">
        <f aca="false">HYPERLINK("https://www.ncbi.nlm.nih.gov/nuccore/CP000304.1?report=graph&amp;tracks=[key:gene_model_track,Options:GeneOnly]&amp;mk=2421088:2421107|offset_1|444444,2421049:2421068|offset_40|444444,2421017:2421036|offset_72|444444,2420955:2420974|offset_134|00cc00&amp;v=2420887:2421174&amp;c=444444", "offset 134")</f>
        <v>offset 134</v>
      </c>
    </row>
    <row r="8514" customFormat="false" ht="12.8" hidden="false" customHeight="false" outlineLevel="0" collapsed="false">
      <c r="A8514" s="0" t="s">
        <v>12</v>
      </c>
      <c r="B8514" s="0" t="n">
        <v>2422369</v>
      </c>
      <c r="C8514" s="0" t="n">
        <v>2422389</v>
      </c>
      <c r="D8514" s="0" t="s">
        <v>28437</v>
      </c>
      <c r="E8514" s="0" t="s">
        <v>89</v>
      </c>
      <c r="F8514" s="0" t="s">
        <v>90</v>
      </c>
      <c r="G8514" s="0" t="s">
        <v>16</v>
      </c>
      <c r="H8514" s="0" t="n">
        <v>0</v>
      </c>
      <c r="I8514" s="0" t="s">
        <v>28438</v>
      </c>
      <c r="J8514" s="0" t="s">
        <v>28439</v>
      </c>
      <c r="K8514" s="0" t="s">
        <v>28440</v>
      </c>
      <c r="L8514" s="0" t="str">
        <f aca="false">HYPERLINK("https://www.ncbi.nlm.nih.gov/nuccore/CP000304.1?report=graph&amp;tracks=[key:gene_model_track,Options:GeneOnly]&amp;mk=2422370:2422389|offset_0|00cc00,2422305:2422324|offset_65|444444,2422283:2422302|offset_87|444444,2422261:2422280|offset_109|444444&amp;v=2422169:2422480&amp;c=444444", "offset 0")</f>
        <v>offset 0</v>
      </c>
    </row>
    <row r="8515" customFormat="false" ht="12.8" hidden="false" customHeight="false" outlineLevel="0" collapsed="false">
      <c r="A8515" s="0" t="s">
        <v>12</v>
      </c>
      <c r="B8515" s="0" t="n">
        <v>2422304</v>
      </c>
      <c r="C8515" s="0" t="n">
        <v>2422324</v>
      </c>
      <c r="D8515" s="0" t="s">
        <v>28437</v>
      </c>
      <c r="E8515" s="0" t="s">
        <v>89</v>
      </c>
      <c r="F8515" s="0" t="s">
        <v>90</v>
      </c>
      <c r="G8515" s="0" t="s">
        <v>36</v>
      </c>
      <c r="H8515" s="0" t="n">
        <v>65</v>
      </c>
      <c r="I8515" s="0" t="s">
        <v>28441</v>
      </c>
      <c r="J8515" s="0" t="s">
        <v>28442</v>
      </c>
      <c r="K8515" s="0" t="s">
        <v>28443</v>
      </c>
      <c r="L8515" s="0" t="str">
        <f aca="false">HYPERLINK("https://www.ncbi.nlm.nih.gov/nuccore/CP000304.1?report=graph&amp;tracks=[key:gene_model_track,Options:GeneOnly]&amp;mk=2422370:2422389|offset_0|444444,2422305:2422324|offset_65|00cc00,2422283:2422302|offset_87|444444,2422261:2422280|offset_109|444444&amp;v=2422169:2422480&amp;c=444444", "offset 65")</f>
        <v>offset 65</v>
      </c>
    </row>
    <row r="8516" customFormat="false" ht="12.8" hidden="false" customHeight="false" outlineLevel="0" collapsed="false">
      <c r="A8516" s="0" t="s">
        <v>12</v>
      </c>
      <c r="B8516" s="0" t="n">
        <v>2422282</v>
      </c>
      <c r="C8516" s="0" t="n">
        <v>2422302</v>
      </c>
      <c r="D8516" s="0" t="s">
        <v>28437</v>
      </c>
      <c r="E8516" s="0" t="s">
        <v>89</v>
      </c>
      <c r="F8516" s="0" t="s">
        <v>90</v>
      </c>
      <c r="G8516" s="0" t="s">
        <v>36</v>
      </c>
      <c r="H8516" s="0" t="n">
        <v>87</v>
      </c>
      <c r="I8516" s="0" t="s">
        <v>28444</v>
      </c>
      <c r="J8516" s="0" t="s">
        <v>28445</v>
      </c>
      <c r="K8516" s="0" t="s">
        <v>28446</v>
      </c>
      <c r="L8516" s="0" t="str">
        <f aca="false">HYPERLINK("https://www.ncbi.nlm.nih.gov/nuccore/CP000304.1?report=graph&amp;tracks=[key:gene_model_track,Options:GeneOnly]&amp;mk=2422370:2422389|offset_0|444444,2422305:2422324|offset_65|444444,2422283:2422302|offset_87|00cc00,2422261:2422280|offset_109|444444&amp;v=2422169:2422480&amp;c=444444", "offset 87")</f>
        <v>offset 87</v>
      </c>
    </row>
    <row r="8517" customFormat="false" ht="12.8" hidden="false" customHeight="false" outlineLevel="0" collapsed="false">
      <c r="A8517" s="0" t="s">
        <v>12</v>
      </c>
      <c r="B8517" s="0" t="n">
        <v>2422260</v>
      </c>
      <c r="C8517" s="0" t="n">
        <v>2422280</v>
      </c>
      <c r="D8517" s="0" t="s">
        <v>28437</v>
      </c>
      <c r="E8517" s="0" t="s">
        <v>89</v>
      </c>
      <c r="F8517" s="0" t="s">
        <v>90</v>
      </c>
      <c r="G8517" s="0" t="s">
        <v>16</v>
      </c>
      <c r="H8517" s="0" t="n">
        <v>109</v>
      </c>
      <c r="I8517" s="0" t="s">
        <v>28447</v>
      </c>
      <c r="J8517" s="0" t="s">
        <v>28448</v>
      </c>
      <c r="K8517" s="0" t="s">
        <v>28449</v>
      </c>
      <c r="L8517" s="0" t="str">
        <f aca="false">HYPERLINK("https://www.ncbi.nlm.nih.gov/nuccore/CP000304.1?report=graph&amp;tracks=[key:gene_model_track,Options:GeneOnly]&amp;mk=2422370:2422389|offset_0|444444,2422305:2422324|offset_65|444444,2422283:2422302|offset_87|444444,2422261:2422280|offset_109|00cc00&amp;v=2422169:2422480&amp;c=444444", "offset 109")</f>
        <v>offset 109</v>
      </c>
    </row>
    <row r="8518" customFormat="false" ht="12.8" hidden="false" customHeight="false" outlineLevel="0" collapsed="false">
      <c r="A8518" s="0" t="s">
        <v>12</v>
      </c>
      <c r="B8518" s="0" t="n">
        <v>2423155</v>
      </c>
      <c r="C8518" s="0" t="n">
        <v>2423175</v>
      </c>
      <c r="D8518" s="0" t="s">
        <v>28450</v>
      </c>
      <c r="E8518" s="0" t="s">
        <v>28451</v>
      </c>
      <c r="F8518" s="0" t="s">
        <v>90</v>
      </c>
      <c r="G8518" s="0" t="s">
        <v>36</v>
      </c>
      <c r="H8518" s="0" t="n">
        <v>0</v>
      </c>
      <c r="I8518" s="0" t="s">
        <v>28452</v>
      </c>
      <c r="J8518" s="0" t="s">
        <v>28453</v>
      </c>
      <c r="K8518" s="0" t="s">
        <v>28454</v>
      </c>
      <c r="L8518" s="0" t="str">
        <f aca="false">HYPERLINK("https://www.ncbi.nlm.nih.gov/nuccore/CP000304.1?report=graph&amp;tracks=[key:gene_model_track,Options:GeneOnly]&amp;mk=2423156:2423175|offset_0|00cc00,2423134:2423153|offset_22|444444,2423110:2423129|offset_46|444444,2423086:2423105|offset_70|444444&amp;v=2422955:2423305&amp;c=444444", "offset 0")</f>
        <v>offset 0</v>
      </c>
    </row>
    <row r="8519" customFormat="false" ht="12.8" hidden="false" customHeight="false" outlineLevel="0" collapsed="false">
      <c r="A8519" s="0" t="s">
        <v>12</v>
      </c>
      <c r="B8519" s="0" t="n">
        <v>2423133</v>
      </c>
      <c r="C8519" s="0" t="n">
        <v>2423153</v>
      </c>
      <c r="D8519" s="0" t="s">
        <v>28450</v>
      </c>
      <c r="E8519" s="0" t="s">
        <v>28451</v>
      </c>
      <c r="F8519" s="0" t="s">
        <v>90</v>
      </c>
      <c r="G8519" s="0" t="s">
        <v>16</v>
      </c>
      <c r="H8519" s="0" t="n">
        <v>22</v>
      </c>
      <c r="I8519" s="0" t="s">
        <v>28455</v>
      </c>
      <c r="J8519" s="0" t="s">
        <v>28456</v>
      </c>
      <c r="K8519" s="0" t="s">
        <v>28457</v>
      </c>
      <c r="L8519" s="0" t="str">
        <f aca="false">HYPERLINK("https://www.ncbi.nlm.nih.gov/nuccore/CP000304.1?report=graph&amp;tracks=[key:gene_model_track,Options:GeneOnly]&amp;mk=2423156:2423175|offset_0|444444,2423134:2423153|offset_22|00cc00,2423110:2423129|offset_46|444444,2423086:2423105|offset_70|444444&amp;v=2422955:2423305&amp;c=444444", "offset 22")</f>
        <v>offset 22</v>
      </c>
    </row>
    <row r="8520" customFormat="false" ht="12.8" hidden="false" customHeight="false" outlineLevel="0" collapsed="false">
      <c r="A8520" s="0" t="s">
        <v>12</v>
      </c>
      <c r="B8520" s="0" t="n">
        <v>2423109</v>
      </c>
      <c r="C8520" s="0" t="n">
        <v>2423129</v>
      </c>
      <c r="D8520" s="0" t="s">
        <v>28450</v>
      </c>
      <c r="E8520" s="0" t="s">
        <v>28451</v>
      </c>
      <c r="F8520" s="0" t="s">
        <v>90</v>
      </c>
      <c r="G8520" s="0" t="s">
        <v>16</v>
      </c>
      <c r="H8520" s="0" t="n">
        <v>46</v>
      </c>
      <c r="I8520" s="0" t="s">
        <v>28458</v>
      </c>
      <c r="J8520" s="0" t="s">
        <v>28459</v>
      </c>
      <c r="K8520" s="0" t="s">
        <v>28460</v>
      </c>
      <c r="L8520" s="0" t="str">
        <f aca="false">HYPERLINK("https://www.ncbi.nlm.nih.gov/nuccore/CP000304.1?report=graph&amp;tracks=[key:gene_model_track,Options:GeneOnly]&amp;mk=2423156:2423175|offset_0|444444,2423134:2423153|offset_22|444444,2423110:2423129|offset_46|00cc00,2423086:2423105|offset_70|444444&amp;v=2422955:2423305&amp;c=444444", "offset 46")</f>
        <v>offset 46</v>
      </c>
    </row>
    <row r="8521" customFormat="false" ht="12.8" hidden="false" customHeight="false" outlineLevel="0" collapsed="false">
      <c r="A8521" s="0" t="s">
        <v>12</v>
      </c>
      <c r="B8521" s="0" t="n">
        <v>2423085</v>
      </c>
      <c r="C8521" s="0" t="n">
        <v>2423105</v>
      </c>
      <c r="D8521" s="0" t="s">
        <v>28450</v>
      </c>
      <c r="E8521" s="0" t="s">
        <v>28451</v>
      </c>
      <c r="F8521" s="0" t="s">
        <v>90</v>
      </c>
      <c r="G8521" s="0" t="s">
        <v>32</v>
      </c>
      <c r="H8521" s="0" t="n">
        <v>70</v>
      </c>
      <c r="I8521" s="0" t="s">
        <v>28461</v>
      </c>
      <c r="J8521" s="0" t="s">
        <v>28462</v>
      </c>
      <c r="K8521" s="0" t="s">
        <v>28463</v>
      </c>
      <c r="L8521" s="0" t="str">
        <f aca="false">HYPERLINK("https://www.ncbi.nlm.nih.gov/nuccore/CP000304.1?report=graph&amp;tracks=[key:gene_model_track,Options:GeneOnly]&amp;mk=2423156:2423175|offset_0|444444,2423134:2423153|offset_22|444444,2423110:2423129|offset_46|444444,2423086:2423105|offset_70|00cc00&amp;v=2422955:2423305&amp;c=444444", "offset 70")</f>
        <v>offset 70</v>
      </c>
    </row>
    <row r="8522" customFormat="false" ht="12.8" hidden="false" customHeight="false" outlineLevel="0" collapsed="false">
      <c r="A8522" s="0" t="s">
        <v>12</v>
      </c>
      <c r="B8522" s="0" t="n">
        <v>2425548</v>
      </c>
      <c r="C8522" s="0" t="n">
        <v>2425568</v>
      </c>
      <c r="D8522" s="0" t="s">
        <v>28464</v>
      </c>
      <c r="E8522" s="0" t="s">
        <v>28465</v>
      </c>
      <c r="F8522" s="0" t="s">
        <v>90</v>
      </c>
      <c r="G8522" s="0" t="s">
        <v>36</v>
      </c>
      <c r="H8522" s="0" t="n">
        <v>7</v>
      </c>
      <c r="I8522" s="0" t="s">
        <v>28466</v>
      </c>
      <c r="J8522" s="0" t="s">
        <v>28467</v>
      </c>
      <c r="K8522" s="0" t="s">
        <v>28468</v>
      </c>
      <c r="L8522" s="0" t="str">
        <f aca="false">HYPERLINK("https://www.ncbi.nlm.nih.gov/nuccore/CP000304.1?report=graph&amp;tracks=[key:gene_model_track,Options:GeneOnly]&amp;mk=2425549:2425568|offset_7|00cc00,2425521:2425540|offset_35|444444,2425495:2425514|offset_61|444444,2425467:2425486|offset_89|444444&amp;v=2425348:2425686&amp;c=444444", "offset 7")</f>
        <v>offset 7</v>
      </c>
    </row>
    <row r="8523" customFormat="false" ht="12.8" hidden="false" customHeight="false" outlineLevel="0" collapsed="false">
      <c r="A8523" s="0" t="s">
        <v>12</v>
      </c>
      <c r="B8523" s="0" t="n">
        <v>2425520</v>
      </c>
      <c r="C8523" s="0" t="n">
        <v>2425540</v>
      </c>
      <c r="D8523" s="0" t="s">
        <v>28464</v>
      </c>
      <c r="E8523" s="0" t="s">
        <v>28465</v>
      </c>
      <c r="F8523" s="0" t="s">
        <v>90</v>
      </c>
      <c r="G8523" s="0" t="s">
        <v>26</v>
      </c>
      <c r="H8523" s="0" t="n">
        <v>35</v>
      </c>
      <c r="I8523" s="0" t="s">
        <v>28469</v>
      </c>
      <c r="J8523" s="0" t="s">
        <v>28470</v>
      </c>
      <c r="K8523" s="0" t="s">
        <v>28471</v>
      </c>
      <c r="L8523" s="0" t="str">
        <f aca="false">HYPERLINK("https://www.ncbi.nlm.nih.gov/nuccore/CP000304.1?report=graph&amp;tracks=[key:gene_model_track,Options:GeneOnly]&amp;mk=2425549:2425568|offset_7|444444,2425521:2425540|offset_35|00cc00,2425495:2425514|offset_61|444444,2425467:2425486|offset_89|444444&amp;v=2425348:2425686&amp;c=444444", "offset 35")</f>
        <v>offset 35</v>
      </c>
    </row>
    <row r="8524" customFormat="false" ht="12.8" hidden="false" customHeight="false" outlineLevel="0" collapsed="false">
      <c r="A8524" s="0" t="s">
        <v>12</v>
      </c>
      <c r="B8524" s="0" t="n">
        <v>2425494</v>
      </c>
      <c r="C8524" s="0" t="n">
        <v>2425514</v>
      </c>
      <c r="D8524" s="0" t="s">
        <v>28464</v>
      </c>
      <c r="E8524" s="0" t="s">
        <v>28465</v>
      </c>
      <c r="F8524" s="0" t="s">
        <v>90</v>
      </c>
      <c r="G8524" s="0" t="s">
        <v>16</v>
      </c>
      <c r="H8524" s="0" t="n">
        <v>61</v>
      </c>
      <c r="I8524" s="0" t="s">
        <v>28472</v>
      </c>
      <c r="J8524" s="0" t="s">
        <v>28473</v>
      </c>
      <c r="K8524" s="0" t="s">
        <v>28474</v>
      </c>
      <c r="L8524" s="0" t="str">
        <f aca="false">HYPERLINK("https://www.ncbi.nlm.nih.gov/nuccore/CP000304.1?report=graph&amp;tracks=[key:gene_model_track,Options:GeneOnly]&amp;mk=2425549:2425568|offset_7|444444,2425521:2425540|offset_35|444444,2425495:2425514|offset_61|00cc00,2425467:2425486|offset_89|444444&amp;v=2425348:2425686&amp;c=444444", "offset 61")</f>
        <v>offset 61</v>
      </c>
    </row>
    <row r="8525" customFormat="false" ht="12.8" hidden="false" customHeight="false" outlineLevel="0" collapsed="false">
      <c r="A8525" s="0" t="s">
        <v>12</v>
      </c>
      <c r="B8525" s="0" t="n">
        <v>2425466</v>
      </c>
      <c r="C8525" s="0" t="n">
        <v>2425486</v>
      </c>
      <c r="D8525" s="0" t="s">
        <v>28464</v>
      </c>
      <c r="E8525" s="0" t="s">
        <v>28465</v>
      </c>
      <c r="F8525" s="0" t="s">
        <v>90</v>
      </c>
      <c r="G8525" s="0" t="s">
        <v>32</v>
      </c>
      <c r="H8525" s="0" t="n">
        <v>89</v>
      </c>
      <c r="I8525" s="0" t="s">
        <v>28475</v>
      </c>
      <c r="J8525" s="0" t="s">
        <v>28476</v>
      </c>
      <c r="K8525" s="0" t="s">
        <v>28477</v>
      </c>
      <c r="L8525" s="0" t="str">
        <f aca="false">HYPERLINK("https://www.ncbi.nlm.nih.gov/nuccore/CP000304.1?report=graph&amp;tracks=[key:gene_model_track,Options:GeneOnly]&amp;mk=2425549:2425568|offset_7|444444,2425521:2425540|offset_35|444444,2425495:2425514|offset_61|444444,2425467:2425486|offset_89|00cc00&amp;v=2425348:2425686&amp;c=444444", "offset 89")</f>
        <v>offset 89</v>
      </c>
    </row>
    <row r="8526" customFormat="false" ht="12.8" hidden="false" customHeight="false" outlineLevel="0" collapsed="false">
      <c r="A8526" s="0" t="s">
        <v>12</v>
      </c>
      <c r="B8526" s="0" t="n">
        <v>2425738</v>
      </c>
      <c r="C8526" s="0" t="n">
        <v>2425758</v>
      </c>
      <c r="D8526" s="0" t="s">
        <v>28478</v>
      </c>
      <c r="E8526" s="0" t="s">
        <v>28479</v>
      </c>
      <c r="F8526" s="0" t="s">
        <v>15</v>
      </c>
      <c r="G8526" s="0" t="s">
        <v>36</v>
      </c>
      <c r="H8526" s="0" t="n">
        <v>0</v>
      </c>
      <c r="I8526" s="0" t="s">
        <v>28480</v>
      </c>
      <c r="J8526" s="0" t="s">
        <v>28481</v>
      </c>
      <c r="K8526" s="0" t="s">
        <v>28482</v>
      </c>
      <c r="L8526" s="0" t="str">
        <f aca="false">HYPERLINK("https://www.ncbi.nlm.nih.gov/nuccore/CP000304.1?report=graph&amp;tracks=[key:gene_model_track,Options:GeneOnly]&amp;mk=2425739:2425758|offset_0|00cc00,2425759:2425778|offset_20|444444,2425798:2425817|offset_59|444444,2425824:2425843|offset_85|444444&amp;v=2425538:2426043&amp;c=444444", "offset 0")</f>
        <v>offset 0</v>
      </c>
    </row>
    <row r="8527" customFormat="false" ht="12.8" hidden="false" customHeight="false" outlineLevel="0" collapsed="false">
      <c r="A8527" s="0" t="s">
        <v>12</v>
      </c>
      <c r="B8527" s="0" t="n">
        <v>2425758</v>
      </c>
      <c r="C8527" s="0" t="n">
        <v>2425778</v>
      </c>
      <c r="D8527" s="0" t="s">
        <v>28478</v>
      </c>
      <c r="E8527" s="0" t="s">
        <v>28479</v>
      </c>
      <c r="F8527" s="0" t="s">
        <v>15</v>
      </c>
      <c r="G8527" s="0" t="s">
        <v>16</v>
      </c>
      <c r="H8527" s="0" t="n">
        <v>20</v>
      </c>
      <c r="I8527" s="0" t="s">
        <v>28483</v>
      </c>
      <c r="J8527" s="0" t="s">
        <v>28484</v>
      </c>
      <c r="K8527" s="0" t="s">
        <v>28485</v>
      </c>
      <c r="L8527" s="0" t="str">
        <f aca="false">HYPERLINK("https://www.ncbi.nlm.nih.gov/nuccore/CP000304.1?report=graph&amp;tracks=[key:gene_model_track,Options:GeneOnly]&amp;mk=2425739:2425758|offset_0|444444,2425759:2425778|offset_20|00cc00,2425798:2425817|offset_59|444444,2425824:2425843|offset_85|444444&amp;v=2425538:2426043&amp;c=444444", "offset 20")</f>
        <v>offset 20</v>
      </c>
    </row>
    <row r="8528" customFormat="false" ht="12.8" hidden="false" customHeight="false" outlineLevel="0" collapsed="false">
      <c r="A8528" s="0" t="s">
        <v>12</v>
      </c>
      <c r="B8528" s="0" t="n">
        <v>2425797</v>
      </c>
      <c r="C8528" s="0" t="n">
        <v>2425817</v>
      </c>
      <c r="D8528" s="0" t="s">
        <v>28478</v>
      </c>
      <c r="E8528" s="0" t="s">
        <v>28479</v>
      </c>
      <c r="F8528" s="0" t="s">
        <v>15</v>
      </c>
      <c r="G8528" s="0" t="s">
        <v>26</v>
      </c>
      <c r="H8528" s="0" t="n">
        <v>59</v>
      </c>
      <c r="I8528" s="0" t="s">
        <v>28486</v>
      </c>
      <c r="J8528" s="0" t="s">
        <v>28487</v>
      </c>
      <c r="K8528" s="0" t="s">
        <v>28488</v>
      </c>
      <c r="L8528" s="0" t="str">
        <f aca="false">HYPERLINK("https://www.ncbi.nlm.nih.gov/nuccore/CP000304.1?report=graph&amp;tracks=[key:gene_model_track,Options:GeneOnly]&amp;mk=2425739:2425758|offset_0|444444,2425759:2425778|offset_20|444444,2425798:2425817|offset_59|00cc00,2425824:2425843|offset_85|444444&amp;v=2425538:2426043&amp;c=444444", "offset 59")</f>
        <v>offset 59</v>
      </c>
    </row>
    <row r="8529" customFormat="false" ht="12.8" hidden="false" customHeight="false" outlineLevel="0" collapsed="false">
      <c r="A8529" s="0" t="s">
        <v>12</v>
      </c>
      <c r="B8529" s="0" t="n">
        <v>2425823</v>
      </c>
      <c r="C8529" s="0" t="n">
        <v>2425843</v>
      </c>
      <c r="D8529" s="0" t="s">
        <v>28478</v>
      </c>
      <c r="E8529" s="0" t="s">
        <v>28479</v>
      </c>
      <c r="F8529" s="0" t="s">
        <v>15</v>
      </c>
      <c r="G8529" s="0" t="s">
        <v>32</v>
      </c>
      <c r="H8529" s="0" t="n">
        <v>85</v>
      </c>
      <c r="I8529" s="0" t="s">
        <v>28489</v>
      </c>
      <c r="J8529" s="0" t="s">
        <v>28490</v>
      </c>
      <c r="K8529" s="0" t="s">
        <v>28491</v>
      </c>
      <c r="L8529" s="0" t="str">
        <f aca="false">HYPERLINK("https://www.ncbi.nlm.nih.gov/nuccore/CP000304.1?report=graph&amp;tracks=[key:gene_model_track,Options:GeneOnly]&amp;mk=2425739:2425758|offset_0|444444,2425759:2425778|offset_20|444444,2425798:2425817|offset_59|444444,2425824:2425843|offset_85|00cc00&amp;v=2425538:2426043&amp;c=444444", "offset 85")</f>
        <v>offset 85</v>
      </c>
    </row>
    <row r="8530" customFormat="false" ht="12.8" hidden="false" customHeight="false" outlineLevel="0" collapsed="false">
      <c r="A8530" s="0" t="s">
        <v>12</v>
      </c>
      <c r="B8530" s="0" t="n">
        <v>2429486</v>
      </c>
      <c r="C8530" s="0" t="n">
        <v>2429506</v>
      </c>
      <c r="D8530" s="0" t="s">
        <v>28492</v>
      </c>
      <c r="E8530" s="0" t="s">
        <v>89</v>
      </c>
      <c r="F8530" s="0" t="s">
        <v>15</v>
      </c>
      <c r="G8530" s="0" t="s">
        <v>32</v>
      </c>
      <c r="H8530" s="0" t="n">
        <v>1</v>
      </c>
      <c r="I8530" s="0" t="s">
        <v>28493</v>
      </c>
      <c r="J8530" s="0" t="s">
        <v>28494</v>
      </c>
      <c r="K8530" s="0" t="s">
        <v>28495</v>
      </c>
      <c r="L8530" s="0" t="str">
        <f aca="false">HYPERLINK("https://www.ncbi.nlm.nih.gov/nuccore/CP000304.1?report=graph&amp;tracks=[key:gene_model_track,Options:GeneOnly]&amp;mk=2429487:2429506|offset_1|00cc00,2429532:2429551|offset_46|444444,2429554:2429573|offset_68|444444,2429586:2429605|offset_100|444444&amp;v=2429286:2429805&amp;c=444444", "offset 1")</f>
        <v>offset 1</v>
      </c>
    </row>
    <row r="8531" customFormat="false" ht="12.8" hidden="false" customHeight="false" outlineLevel="0" collapsed="false">
      <c r="A8531" s="0" t="s">
        <v>12</v>
      </c>
      <c r="B8531" s="0" t="n">
        <v>2429531</v>
      </c>
      <c r="C8531" s="0" t="n">
        <v>2429551</v>
      </c>
      <c r="D8531" s="0" t="s">
        <v>28492</v>
      </c>
      <c r="E8531" s="0" t="s">
        <v>89</v>
      </c>
      <c r="F8531" s="0" t="s">
        <v>15</v>
      </c>
      <c r="G8531" s="0" t="s">
        <v>16</v>
      </c>
      <c r="H8531" s="0" t="n">
        <v>46</v>
      </c>
      <c r="I8531" s="0" t="s">
        <v>28496</v>
      </c>
      <c r="J8531" s="0" t="s">
        <v>28497</v>
      </c>
      <c r="K8531" s="0" t="s">
        <v>28498</v>
      </c>
      <c r="L8531" s="0" t="str">
        <f aca="false">HYPERLINK("https://www.ncbi.nlm.nih.gov/nuccore/CP000304.1?report=graph&amp;tracks=[key:gene_model_track,Options:GeneOnly]&amp;mk=2429487:2429506|offset_1|444444,2429532:2429551|offset_46|00cc00,2429554:2429573|offset_68|444444,2429586:2429605|offset_100|444444&amp;v=2429286:2429805&amp;c=444444", "offset 46")</f>
        <v>offset 46</v>
      </c>
    </row>
    <row r="8532" customFormat="false" ht="12.8" hidden="false" customHeight="false" outlineLevel="0" collapsed="false">
      <c r="A8532" s="0" t="s">
        <v>12</v>
      </c>
      <c r="B8532" s="0" t="n">
        <v>2429553</v>
      </c>
      <c r="C8532" s="0" t="n">
        <v>2429573</v>
      </c>
      <c r="D8532" s="0" t="s">
        <v>28492</v>
      </c>
      <c r="E8532" s="0" t="s">
        <v>89</v>
      </c>
      <c r="F8532" s="0" t="s">
        <v>15</v>
      </c>
      <c r="G8532" s="0" t="s">
        <v>26</v>
      </c>
      <c r="H8532" s="0" t="n">
        <v>68</v>
      </c>
      <c r="I8532" s="0" t="s">
        <v>28499</v>
      </c>
      <c r="J8532" s="0" t="s">
        <v>28500</v>
      </c>
      <c r="K8532" s="0" t="s">
        <v>28501</v>
      </c>
      <c r="L8532" s="0" t="str">
        <f aca="false">HYPERLINK("https://www.ncbi.nlm.nih.gov/nuccore/CP000304.1?report=graph&amp;tracks=[key:gene_model_track,Options:GeneOnly]&amp;mk=2429487:2429506|offset_1|444444,2429532:2429551|offset_46|444444,2429554:2429573|offset_68|00cc00,2429586:2429605|offset_100|444444&amp;v=2429286:2429805&amp;c=444444", "offset 68")</f>
        <v>offset 68</v>
      </c>
    </row>
    <row r="8533" customFormat="false" ht="12.8" hidden="false" customHeight="false" outlineLevel="0" collapsed="false">
      <c r="A8533" s="0" t="s">
        <v>12</v>
      </c>
      <c r="B8533" s="0" t="n">
        <v>2429585</v>
      </c>
      <c r="C8533" s="0" t="n">
        <v>2429605</v>
      </c>
      <c r="D8533" s="0" t="s">
        <v>28492</v>
      </c>
      <c r="E8533" s="0" t="s">
        <v>89</v>
      </c>
      <c r="F8533" s="0" t="s">
        <v>15</v>
      </c>
      <c r="G8533" s="0" t="s">
        <v>16</v>
      </c>
      <c r="H8533" s="0" t="n">
        <v>100</v>
      </c>
      <c r="I8533" s="0" t="s">
        <v>28502</v>
      </c>
      <c r="J8533" s="0" t="s">
        <v>28503</v>
      </c>
      <c r="K8533" s="0" t="s">
        <v>28504</v>
      </c>
      <c r="L8533" s="0" t="str">
        <f aca="false">HYPERLINK("https://www.ncbi.nlm.nih.gov/nuccore/CP000304.1?report=graph&amp;tracks=[key:gene_model_track,Options:GeneOnly]&amp;mk=2429487:2429506|offset_1|444444,2429532:2429551|offset_46|444444,2429554:2429573|offset_68|444444,2429586:2429605|offset_100|00cc00&amp;v=2429286:2429805&amp;c=444444", "offset 100")</f>
        <v>offset 100</v>
      </c>
    </row>
    <row r="8534" customFormat="false" ht="12.8" hidden="false" customHeight="false" outlineLevel="0" collapsed="false">
      <c r="A8534" s="0" t="s">
        <v>12</v>
      </c>
      <c r="B8534" s="0" t="n">
        <v>2430135</v>
      </c>
      <c r="C8534" s="0" t="n">
        <v>2430155</v>
      </c>
      <c r="D8534" s="0" t="s">
        <v>28505</v>
      </c>
      <c r="E8534" s="0" t="s">
        <v>89</v>
      </c>
      <c r="F8534" s="0" t="s">
        <v>15</v>
      </c>
      <c r="G8534" s="0" t="s">
        <v>26</v>
      </c>
      <c r="H8534" s="0" t="n">
        <v>29</v>
      </c>
      <c r="I8534" s="0" t="s">
        <v>28506</v>
      </c>
      <c r="J8534" s="0" t="s">
        <v>28507</v>
      </c>
      <c r="K8534" s="0" t="s">
        <v>28508</v>
      </c>
      <c r="L8534" s="0" t="str">
        <f aca="false">HYPERLINK("https://www.ncbi.nlm.nih.gov/nuccore/CP000304.1?report=graph&amp;tracks=[key:gene_model_track,Options:GeneOnly]&amp;mk=2430136:2430155|offset_29|00cc00,2430171:2430190|offset_64|444444,2430196:2430215|offset_89|444444,2430223:2430242|offset_116|444444&amp;v=2429935:2430442&amp;c=444444", "offset 29")</f>
        <v>offset 29</v>
      </c>
    </row>
    <row r="8535" customFormat="false" ht="12.8" hidden="false" customHeight="false" outlineLevel="0" collapsed="false">
      <c r="A8535" s="0" t="s">
        <v>12</v>
      </c>
      <c r="B8535" s="0" t="n">
        <v>2430170</v>
      </c>
      <c r="C8535" s="0" t="n">
        <v>2430190</v>
      </c>
      <c r="D8535" s="0" t="s">
        <v>28505</v>
      </c>
      <c r="E8535" s="0" t="s">
        <v>89</v>
      </c>
      <c r="F8535" s="0" t="s">
        <v>15</v>
      </c>
      <c r="G8535" s="0" t="s">
        <v>16</v>
      </c>
      <c r="H8535" s="0" t="n">
        <v>64</v>
      </c>
      <c r="I8535" s="0" t="s">
        <v>28509</v>
      </c>
      <c r="J8535" s="0" t="s">
        <v>28510</v>
      </c>
      <c r="K8535" s="0" t="s">
        <v>28511</v>
      </c>
      <c r="L8535" s="0" t="str">
        <f aca="false">HYPERLINK("https://www.ncbi.nlm.nih.gov/nuccore/CP000304.1?report=graph&amp;tracks=[key:gene_model_track,Options:GeneOnly]&amp;mk=2430136:2430155|offset_29|444444,2430171:2430190|offset_64|00cc00,2430196:2430215|offset_89|444444,2430223:2430242|offset_116|444444&amp;v=2429935:2430442&amp;c=444444", "offset 64")</f>
        <v>offset 64</v>
      </c>
    </row>
    <row r="8536" customFormat="false" ht="12.8" hidden="false" customHeight="false" outlineLevel="0" collapsed="false">
      <c r="A8536" s="0" t="s">
        <v>12</v>
      </c>
      <c r="B8536" s="0" t="n">
        <v>2430195</v>
      </c>
      <c r="C8536" s="0" t="n">
        <v>2430215</v>
      </c>
      <c r="D8536" s="0" t="s">
        <v>28505</v>
      </c>
      <c r="E8536" s="0" t="s">
        <v>89</v>
      </c>
      <c r="F8536" s="0" t="s">
        <v>15</v>
      </c>
      <c r="G8536" s="0" t="s">
        <v>16</v>
      </c>
      <c r="H8536" s="0" t="n">
        <v>89</v>
      </c>
      <c r="I8536" s="0" t="s">
        <v>28512</v>
      </c>
      <c r="J8536" s="0" t="s">
        <v>28513</v>
      </c>
      <c r="K8536" s="0" t="s">
        <v>28514</v>
      </c>
      <c r="L8536" s="0" t="str">
        <f aca="false">HYPERLINK("https://www.ncbi.nlm.nih.gov/nuccore/CP000304.1?report=graph&amp;tracks=[key:gene_model_track,Options:GeneOnly]&amp;mk=2430136:2430155|offset_29|444444,2430171:2430190|offset_64|444444,2430196:2430215|offset_89|00cc00,2430223:2430242|offset_116|444444&amp;v=2429935:2430442&amp;c=444444", "offset 89")</f>
        <v>offset 89</v>
      </c>
    </row>
    <row r="8537" customFormat="false" ht="12.8" hidden="false" customHeight="false" outlineLevel="0" collapsed="false">
      <c r="A8537" s="0" t="s">
        <v>12</v>
      </c>
      <c r="B8537" s="0" t="n">
        <v>2430222</v>
      </c>
      <c r="C8537" s="0" t="n">
        <v>2430242</v>
      </c>
      <c r="D8537" s="0" t="s">
        <v>28505</v>
      </c>
      <c r="E8537" s="0" t="s">
        <v>89</v>
      </c>
      <c r="F8537" s="0" t="s">
        <v>15</v>
      </c>
      <c r="G8537" s="0" t="s">
        <v>32</v>
      </c>
      <c r="H8537" s="0" t="n">
        <v>116</v>
      </c>
      <c r="I8537" s="0" t="s">
        <v>28515</v>
      </c>
      <c r="J8537" s="0" t="s">
        <v>28516</v>
      </c>
      <c r="K8537" s="0" t="s">
        <v>28517</v>
      </c>
      <c r="L8537" s="0" t="str">
        <f aca="false">HYPERLINK("https://www.ncbi.nlm.nih.gov/nuccore/CP000304.1?report=graph&amp;tracks=[key:gene_model_track,Options:GeneOnly]&amp;mk=2430136:2430155|offset_29|444444,2430171:2430190|offset_64|444444,2430196:2430215|offset_89|444444,2430223:2430242|offset_116|00cc00&amp;v=2429935:2430442&amp;c=444444", "offset 116")</f>
        <v>offset 116</v>
      </c>
    </row>
    <row r="8538" customFormat="false" ht="12.8" hidden="false" customHeight="false" outlineLevel="0" collapsed="false">
      <c r="A8538" s="0" t="s">
        <v>12</v>
      </c>
      <c r="B8538" s="0" t="n">
        <v>2431261</v>
      </c>
      <c r="C8538" s="0" t="n">
        <v>2431281</v>
      </c>
      <c r="D8538" s="0" t="s">
        <v>28518</v>
      </c>
      <c r="E8538" s="0" t="s">
        <v>89</v>
      </c>
      <c r="F8538" s="0" t="s">
        <v>15</v>
      </c>
      <c r="G8538" s="0" t="s">
        <v>26</v>
      </c>
      <c r="H8538" s="0" t="n">
        <v>25</v>
      </c>
      <c r="I8538" s="0" t="s">
        <v>28519</v>
      </c>
      <c r="J8538" s="0" t="s">
        <v>28520</v>
      </c>
      <c r="K8538" s="0" t="s">
        <v>28521</v>
      </c>
      <c r="L8538" s="0" t="str">
        <f aca="false">HYPERLINK("https://www.ncbi.nlm.nih.gov/nuccore/CP000304.1?report=graph&amp;tracks=[key:gene_model_track,Options:GeneOnly]&amp;mk=2431262:2431281|offset_25|00cc00,2431283:2431302|offset_46|444444,2431321:2431340|offset_84|444444,2431370:2431389|offset_133|444444&amp;v=2431061:2431589&amp;c=444444", "offset 25")</f>
        <v>offset 25</v>
      </c>
    </row>
    <row r="8539" customFormat="false" ht="12.8" hidden="false" customHeight="false" outlineLevel="0" collapsed="false">
      <c r="A8539" s="0" t="s">
        <v>12</v>
      </c>
      <c r="B8539" s="0" t="n">
        <v>2431282</v>
      </c>
      <c r="C8539" s="0" t="n">
        <v>2431302</v>
      </c>
      <c r="D8539" s="0" t="s">
        <v>28518</v>
      </c>
      <c r="E8539" s="0" t="s">
        <v>89</v>
      </c>
      <c r="F8539" s="0" t="s">
        <v>15</v>
      </c>
      <c r="G8539" s="0" t="s">
        <v>16</v>
      </c>
      <c r="H8539" s="0" t="n">
        <v>46</v>
      </c>
      <c r="I8539" s="0" t="s">
        <v>28522</v>
      </c>
      <c r="J8539" s="0" t="s">
        <v>28523</v>
      </c>
      <c r="K8539" s="0" t="s">
        <v>28524</v>
      </c>
      <c r="L8539" s="0" t="str">
        <f aca="false">HYPERLINK("https://www.ncbi.nlm.nih.gov/nuccore/CP000304.1?report=graph&amp;tracks=[key:gene_model_track,Options:GeneOnly]&amp;mk=2431262:2431281|offset_25|444444,2431283:2431302|offset_46|00cc00,2431321:2431340|offset_84|444444,2431370:2431389|offset_133|444444&amp;v=2431061:2431589&amp;c=444444", "offset 46")</f>
        <v>offset 46</v>
      </c>
    </row>
    <row r="8540" customFormat="false" ht="12.8" hidden="false" customHeight="false" outlineLevel="0" collapsed="false">
      <c r="A8540" s="0" t="s">
        <v>12</v>
      </c>
      <c r="B8540" s="0" t="n">
        <v>2431320</v>
      </c>
      <c r="C8540" s="0" t="n">
        <v>2431340</v>
      </c>
      <c r="D8540" s="0" t="s">
        <v>28518</v>
      </c>
      <c r="E8540" s="0" t="s">
        <v>89</v>
      </c>
      <c r="F8540" s="0" t="s">
        <v>15</v>
      </c>
      <c r="G8540" s="0" t="s">
        <v>36</v>
      </c>
      <c r="H8540" s="0" t="n">
        <v>84</v>
      </c>
      <c r="I8540" s="0" t="s">
        <v>28525</v>
      </c>
      <c r="J8540" s="0" t="s">
        <v>28526</v>
      </c>
      <c r="K8540" s="0" t="s">
        <v>28527</v>
      </c>
      <c r="L8540" s="0" t="str">
        <f aca="false">HYPERLINK("https://www.ncbi.nlm.nih.gov/nuccore/CP000304.1?report=graph&amp;tracks=[key:gene_model_track,Options:GeneOnly]&amp;mk=2431262:2431281|offset_25|444444,2431283:2431302|offset_46|444444,2431321:2431340|offset_84|00cc00,2431370:2431389|offset_133|444444&amp;v=2431061:2431589&amp;c=444444", "offset 84")</f>
        <v>offset 84</v>
      </c>
    </row>
    <row r="8541" customFormat="false" ht="12.8" hidden="false" customHeight="false" outlineLevel="0" collapsed="false">
      <c r="A8541" s="0" t="s">
        <v>12</v>
      </c>
      <c r="B8541" s="0" t="n">
        <v>2431369</v>
      </c>
      <c r="C8541" s="0" t="n">
        <v>2431389</v>
      </c>
      <c r="D8541" s="0" t="s">
        <v>28518</v>
      </c>
      <c r="E8541" s="0" t="s">
        <v>89</v>
      </c>
      <c r="F8541" s="0" t="s">
        <v>15</v>
      </c>
      <c r="G8541" s="0" t="s">
        <v>32</v>
      </c>
      <c r="H8541" s="0" t="n">
        <v>133</v>
      </c>
      <c r="I8541" s="0" t="s">
        <v>28528</v>
      </c>
      <c r="J8541" s="0" t="s">
        <v>28529</v>
      </c>
      <c r="K8541" s="0" t="s">
        <v>28530</v>
      </c>
      <c r="L8541" s="0" t="str">
        <f aca="false">HYPERLINK("https://www.ncbi.nlm.nih.gov/nuccore/CP000304.1?report=graph&amp;tracks=[key:gene_model_track,Options:GeneOnly]&amp;mk=2431262:2431281|offset_25|444444,2431283:2431302|offset_46|444444,2431321:2431340|offset_84|444444,2431370:2431389|offset_133|00cc00&amp;v=2431061:2431589&amp;c=444444", "offset 133")</f>
        <v>offset 133</v>
      </c>
    </row>
    <row r="8542" customFormat="false" ht="12.8" hidden="false" customHeight="false" outlineLevel="0" collapsed="false">
      <c r="A8542" s="0" t="s">
        <v>12</v>
      </c>
      <c r="B8542" s="0" t="n">
        <v>2431815</v>
      </c>
      <c r="C8542" s="0" t="n">
        <v>2431835</v>
      </c>
      <c r="D8542" s="0" t="s">
        <v>28531</v>
      </c>
      <c r="E8542" s="0" t="s">
        <v>89</v>
      </c>
      <c r="F8542" s="0" t="s">
        <v>15</v>
      </c>
      <c r="G8542" s="0" t="s">
        <v>16</v>
      </c>
      <c r="H8542" s="0" t="n">
        <v>49</v>
      </c>
      <c r="I8542" s="0" t="s">
        <v>28532</v>
      </c>
      <c r="J8542" s="0" t="s">
        <v>28533</v>
      </c>
      <c r="K8542" s="0" t="s">
        <v>28534</v>
      </c>
      <c r="L8542" s="0" t="str">
        <f aca="false">HYPERLINK("https://www.ncbi.nlm.nih.gov/nuccore/CP000304.1?report=graph&amp;tracks=[key:gene_model_track,Options:GeneOnly]&amp;mk=2431816:2431835|offset_49|00cc00,2431849:2431868|offset_82|444444,2431877:2431896|offset_110|444444,2431939:2431958|offset_172|444444&amp;v=2431615:2432158&amp;c=444444", "offset 49")</f>
        <v>offset 49</v>
      </c>
    </row>
    <row r="8543" customFormat="false" ht="12.8" hidden="false" customHeight="false" outlineLevel="0" collapsed="false">
      <c r="A8543" s="0" t="s">
        <v>12</v>
      </c>
      <c r="B8543" s="0" t="n">
        <v>2431848</v>
      </c>
      <c r="C8543" s="0" t="n">
        <v>2431868</v>
      </c>
      <c r="D8543" s="0" t="s">
        <v>28531</v>
      </c>
      <c r="E8543" s="0" t="s">
        <v>89</v>
      </c>
      <c r="F8543" s="0" t="s">
        <v>15</v>
      </c>
      <c r="G8543" s="0" t="s">
        <v>16</v>
      </c>
      <c r="H8543" s="0" t="n">
        <v>82</v>
      </c>
      <c r="I8543" s="0" t="s">
        <v>28535</v>
      </c>
      <c r="J8543" s="0" t="s">
        <v>28536</v>
      </c>
      <c r="K8543" s="0" t="s">
        <v>28537</v>
      </c>
      <c r="L8543" s="0" t="str">
        <f aca="false">HYPERLINK("https://www.ncbi.nlm.nih.gov/nuccore/CP000304.1?report=graph&amp;tracks=[key:gene_model_track,Options:GeneOnly]&amp;mk=2431816:2431835|offset_49|444444,2431849:2431868|offset_82|00cc00,2431877:2431896|offset_110|444444,2431939:2431958|offset_172|444444&amp;v=2431615:2432158&amp;c=444444", "offset 82")</f>
        <v>offset 82</v>
      </c>
    </row>
    <row r="8544" customFormat="false" ht="12.8" hidden="false" customHeight="false" outlineLevel="0" collapsed="false">
      <c r="A8544" s="0" t="s">
        <v>12</v>
      </c>
      <c r="B8544" s="0" t="n">
        <v>2431876</v>
      </c>
      <c r="C8544" s="0" t="n">
        <v>2431896</v>
      </c>
      <c r="D8544" s="0" t="s">
        <v>28531</v>
      </c>
      <c r="E8544" s="0" t="s">
        <v>89</v>
      </c>
      <c r="F8544" s="0" t="s">
        <v>15</v>
      </c>
      <c r="G8544" s="0" t="s">
        <v>26</v>
      </c>
      <c r="H8544" s="0" t="n">
        <v>110</v>
      </c>
      <c r="I8544" s="0" t="s">
        <v>28538</v>
      </c>
      <c r="J8544" s="0" t="s">
        <v>28539</v>
      </c>
      <c r="K8544" s="0" t="s">
        <v>28540</v>
      </c>
      <c r="L8544" s="0" t="str">
        <f aca="false">HYPERLINK("https://www.ncbi.nlm.nih.gov/nuccore/CP000304.1?report=graph&amp;tracks=[key:gene_model_track,Options:GeneOnly]&amp;mk=2431816:2431835|offset_49|444444,2431849:2431868|offset_82|444444,2431877:2431896|offset_110|00cc00,2431939:2431958|offset_172|444444&amp;v=2431615:2432158&amp;c=444444", "offset 110")</f>
        <v>offset 110</v>
      </c>
    </row>
    <row r="8545" customFormat="false" ht="12.8" hidden="false" customHeight="false" outlineLevel="0" collapsed="false">
      <c r="A8545" s="0" t="s">
        <v>12</v>
      </c>
      <c r="B8545" s="0" t="n">
        <v>2431938</v>
      </c>
      <c r="C8545" s="0" t="n">
        <v>2431958</v>
      </c>
      <c r="D8545" s="0" t="s">
        <v>28531</v>
      </c>
      <c r="E8545" s="0" t="s">
        <v>89</v>
      </c>
      <c r="F8545" s="0" t="s">
        <v>15</v>
      </c>
      <c r="G8545" s="0" t="s">
        <v>16</v>
      </c>
      <c r="H8545" s="0" t="n">
        <v>172</v>
      </c>
      <c r="I8545" s="0" t="s">
        <v>28541</v>
      </c>
      <c r="J8545" s="0" t="s">
        <v>28542</v>
      </c>
      <c r="K8545" s="0" t="s">
        <v>28543</v>
      </c>
      <c r="L8545" s="0" t="str">
        <f aca="false">HYPERLINK("https://www.ncbi.nlm.nih.gov/nuccore/CP000304.1?report=graph&amp;tracks=[key:gene_model_track,Options:GeneOnly]&amp;mk=2431816:2431835|offset_49|444444,2431849:2431868|offset_82|444444,2431877:2431896|offset_110|444444,2431939:2431958|offset_172|00cc00&amp;v=2431615:2432158&amp;c=444444", "offset 172")</f>
        <v>offset 172</v>
      </c>
    </row>
    <row r="8546" customFormat="false" ht="12.8" hidden="false" customHeight="false" outlineLevel="0" collapsed="false">
      <c r="A8546" s="0" t="s">
        <v>12</v>
      </c>
      <c r="B8546" s="0" t="n">
        <v>2433269</v>
      </c>
      <c r="C8546" s="0" t="n">
        <v>2433289</v>
      </c>
      <c r="D8546" s="0" t="s">
        <v>28544</v>
      </c>
      <c r="E8546" s="0" t="s">
        <v>89</v>
      </c>
      <c r="F8546" s="0" t="s">
        <v>90</v>
      </c>
      <c r="G8546" s="0" t="s">
        <v>36</v>
      </c>
      <c r="H8546" s="0" t="n">
        <v>24</v>
      </c>
      <c r="I8546" s="0" t="s">
        <v>28545</v>
      </c>
      <c r="J8546" s="0" t="s">
        <v>28546</v>
      </c>
      <c r="K8546" s="0" t="s">
        <v>28547</v>
      </c>
      <c r="L8546" s="0" t="str">
        <f aca="false">HYPERLINK("https://www.ncbi.nlm.nih.gov/nuccore/CP000304.1?report=graph&amp;tracks=[key:gene_model_track,Options:GeneOnly]&amp;mk=2433270:2433289|offset_24|00cc00,2433247:2433266|offset_47|444444,2433211:2433230|offset_83|444444,2433184:2433203|offset_110|444444&amp;v=2433069:2433403&amp;c=444444", "offset 24")</f>
        <v>offset 24</v>
      </c>
    </row>
    <row r="8547" customFormat="false" ht="12.8" hidden="false" customHeight="false" outlineLevel="0" collapsed="false">
      <c r="A8547" s="0" t="s">
        <v>12</v>
      </c>
      <c r="B8547" s="0" t="n">
        <v>2433246</v>
      </c>
      <c r="C8547" s="0" t="n">
        <v>2433266</v>
      </c>
      <c r="D8547" s="0" t="s">
        <v>28544</v>
      </c>
      <c r="E8547" s="0" t="s">
        <v>89</v>
      </c>
      <c r="F8547" s="0" t="s">
        <v>90</v>
      </c>
      <c r="G8547" s="0" t="s">
        <v>16</v>
      </c>
      <c r="H8547" s="0" t="n">
        <v>47</v>
      </c>
      <c r="I8547" s="0" t="s">
        <v>28548</v>
      </c>
      <c r="J8547" s="0" t="s">
        <v>28549</v>
      </c>
      <c r="K8547" s="0" t="s">
        <v>28550</v>
      </c>
      <c r="L8547" s="0" t="str">
        <f aca="false">HYPERLINK("https://www.ncbi.nlm.nih.gov/nuccore/CP000304.1?report=graph&amp;tracks=[key:gene_model_track,Options:GeneOnly]&amp;mk=2433270:2433289|offset_24|444444,2433247:2433266|offset_47|00cc00,2433211:2433230|offset_83|444444,2433184:2433203|offset_110|444444&amp;v=2433069:2433403&amp;c=444444", "offset 47")</f>
        <v>offset 47</v>
      </c>
    </row>
    <row r="8548" customFormat="false" ht="12.8" hidden="false" customHeight="false" outlineLevel="0" collapsed="false">
      <c r="A8548" s="0" t="s">
        <v>12</v>
      </c>
      <c r="B8548" s="0" t="n">
        <v>2433210</v>
      </c>
      <c r="C8548" s="0" t="n">
        <v>2433230</v>
      </c>
      <c r="D8548" s="0" t="s">
        <v>28544</v>
      </c>
      <c r="E8548" s="0" t="s">
        <v>89</v>
      </c>
      <c r="F8548" s="0" t="s">
        <v>90</v>
      </c>
      <c r="G8548" s="0" t="s">
        <v>32</v>
      </c>
      <c r="H8548" s="0" t="n">
        <v>83</v>
      </c>
      <c r="I8548" s="0" t="s">
        <v>28551</v>
      </c>
      <c r="J8548" s="0" t="s">
        <v>28552</v>
      </c>
      <c r="K8548" s="0" t="s">
        <v>28553</v>
      </c>
      <c r="L8548" s="0" t="str">
        <f aca="false">HYPERLINK("https://www.ncbi.nlm.nih.gov/nuccore/CP000304.1?report=graph&amp;tracks=[key:gene_model_track,Options:GeneOnly]&amp;mk=2433270:2433289|offset_24|444444,2433247:2433266|offset_47|444444,2433211:2433230|offset_83|00cc00,2433184:2433203|offset_110|444444&amp;v=2433069:2433403&amp;c=444444", "offset 83")</f>
        <v>offset 83</v>
      </c>
    </row>
    <row r="8549" customFormat="false" ht="12.8" hidden="false" customHeight="false" outlineLevel="0" collapsed="false">
      <c r="A8549" s="0" t="s">
        <v>12</v>
      </c>
      <c r="B8549" s="0" t="n">
        <v>2433183</v>
      </c>
      <c r="C8549" s="0" t="n">
        <v>2433203</v>
      </c>
      <c r="D8549" s="0" t="s">
        <v>28544</v>
      </c>
      <c r="E8549" s="0" t="s">
        <v>89</v>
      </c>
      <c r="F8549" s="0" t="s">
        <v>90</v>
      </c>
      <c r="G8549" s="0" t="s">
        <v>32</v>
      </c>
      <c r="H8549" s="0" t="n">
        <v>110</v>
      </c>
      <c r="I8549" s="0" t="s">
        <v>28554</v>
      </c>
      <c r="J8549" s="0" t="s">
        <v>28555</v>
      </c>
      <c r="K8549" s="0" t="s">
        <v>28556</v>
      </c>
      <c r="L8549" s="0" t="str">
        <f aca="false">HYPERLINK("https://www.ncbi.nlm.nih.gov/nuccore/CP000304.1?report=graph&amp;tracks=[key:gene_model_track,Options:GeneOnly]&amp;mk=2433270:2433289|offset_24|444444,2433247:2433266|offset_47|444444,2433211:2433230|offset_83|444444,2433184:2433203|offset_110|00cc00&amp;v=2433069:2433403&amp;c=444444", "offset 110")</f>
        <v>offset 110</v>
      </c>
    </row>
    <row r="8550" customFormat="false" ht="12.8" hidden="false" customHeight="false" outlineLevel="0" collapsed="false">
      <c r="A8550" s="0" t="s">
        <v>12</v>
      </c>
      <c r="B8550" s="0" t="n">
        <v>2433710</v>
      </c>
      <c r="C8550" s="0" t="n">
        <v>2433730</v>
      </c>
      <c r="D8550" s="0" t="s">
        <v>28557</v>
      </c>
      <c r="E8550" s="0" t="s">
        <v>89</v>
      </c>
      <c r="F8550" s="0" t="s">
        <v>90</v>
      </c>
      <c r="G8550" s="0" t="s">
        <v>16</v>
      </c>
      <c r="H8550" s="0" t="n">
        <v>10</v>
      </c>
      <c r="I8550" s="0" t="s">
        <v>28558</v>
      </c>
      <c r="J8550" s="0" t="s">
        <v>28559</v>
      </c>
      <c r="K8550" s="0" t="s">
        <v>28560</v>
      </c>
      <c r="L8550" s="0" t="str">
        <f aca="false">HYPERLINK("https://www.ncbi.nlm.nih.gov/nuccore/CP000304.1?report=graph&amp;tracks=[key:gene_model_track,Options:GeneOnly]&amp;mk=2433711:2433730|offset_10|00cc00,2433688:2433707|offset_33|444444,2433655:2433674|offset_66|444444,2433617:2433636|offset_104|444444&amp;v=2433510:2433836&amp;c=444444", "offset 10")</f>
        <v>offset 10</v>
      </c>
    </row>
    <row r="8551" customFormat="false" ht="12.8" hidden="false" customHeight="false" outlineLevel="0" collapsed="false">
      <c r="A8551" s="0" t="s">
        <v>12</v>
      </c>
      <c r="B8551" s="0" t="n">
        <v>2433687</v>
      </c>
      <c r="C8551" s="0" t="n">
        <v>2433707</v>
      </c>
      <c r="D8551" s="0" t="s">
        <v>28557</v>
      </c>
      <c r="E8551" s="0" t="s">
        <v>89</v>
      </c>
      <c r="F8551" s="0" t="s">
        <v>90</v>
      </c>
      <c r="G8551" s="0" t="s">
        <v>32</v>
      </c>
      <c r="H8551" s="0" t="n">
        <v>33</v>
      </c>
      <c r="I8551" s="0" t="s">
        <v>28561</v>
      </c>
      <c r="J8551" s="0" t="s">
        <v>28562</v>
      </c>
      <c r="K8551" s="0" t="s">
        <v>28563</v>
      </c>
      <c r="L8551" s="0" t="str">
        <f aca="false">HYPERLINK("https://www.ncbi.nlm.nih.gov/nuccore/CP000304.1?report=graph&amp;tracks=[key:gene_model_track,Options:GeneOnly]&amp;mk=2433711:2433730|offset_10|444444,2433688:2433707|offset_33|00cc00,2433655:2433674|offset_66|444444,2433617:2433636|offset_104|444444&amp;v=2433510:2433836&amp;c=444444", "offset 33")</f>
        <v>offset 33</v>
      </c>
    </row>
    <row r="8552" customFormat="false" ht="12.8" hidden="false" customHeight="false" outlineLevel="0" collapsed="false">
      <c r="A8552" s="0" t="s">
        <v>12</v>
      </c>
      <c r="B8552" s="0" t="n">
        <v>2433654</v>
      </c>
      <c r="C8552" s="0" t="n">
        <v>2433674</v>
      </c>
      <c r="D8552" s="0" t="s">
        <v>28557</v>
      </c>
      <c r="E8552" s="0" t="s">
        <v>89</v>
      </c>
      <c r="F8552" s="0" t="s">
        <v>90</v>
      </c>
      <c r="G8552" s="0" t="s">
        <v>16</v>
      </c>
      <c r="H8552" s="0" t="n">
        <v>66</v>
      </c>
      <c r="I8552" s="0" t="s">
        <v>28564</v>
      </c>
      <c r="J8552" s="0" t="s">
        <v>28565</v>
      </c>
      <c r="K8552" s="0" t="s">
        <v>28566</v>
      </c>
      <c r="L8552" s="0" t="str">
        <f aca="false">HYPERLINK("https://www.ncbi.nlm.nih.gov/nuccore/CP000304.1?report=graph&amp;tracks=[key:gene_model_track,Options:GeneOnly]&amp;mk=2433711:2433730|offset_10|444444,2433688:2433707|offset_33|444444,2433655:2433674|offset_66|00cc00,2433617:2433636|offset_104|444444&amp;v=2433510:2433836&amp;c=444444", "offset 66")</f>
        <v>offset 66</v>
      </c>
    </row>
    <row r="8553" customFormat="false" ht="12.8" hidden="false" customHeight="false" outlineLevel="0" collapsed="false">
      <c r="A8553" s="0" t="s">
        <v>12</v>
      </c>
      <c r="B8553" s="0" t="n">
        <v>2433616</v>
      </c>
      <c r="C8553" s="0" t="n">
        <v>2433636</v>
      </c>
      <c r="D8553" s="0" t="s">
        <v>28557</v>
      </c>
      <c r="E8553" s="0" t="s">
        <v>89</v>
      </c>
      <c r="F8553" s="0" t="s">
        <v>90</v>
      </c>
      <c r="G8553" s="0" t="s">
        <v>32</v>
      </c>
      <c r="H8553" s="0" t="n">
        <v>104</v>
      </c>
      <c r="I8553" s="0" t="s">
        <v>28567</v>
      </c>
      <c r="J8553" s="0" t="s">
        <v>28568</v>
      </c>
      <c r="K8553" s="0" t="s">
        <v>28569</v>
      </c>
      <c r="L8553" s="0" t="str">
        <f aca="false">HYPERLINK("https://www.ncbi.nlm.nih.gov/nuccore/CP000304.1?report=graph&amp;tracks=[key:gene_model_track,Options:GeneOnly]&amp;mk=2433711:2433730|offset_10|444444,2433688:2433707|offset_33|444444,2433655:2433674|offset_66|444444,2433617:2433636|offset_104|00cc00&amp;v=2433510:2433836&amp;c=444444", "offset 104")</f>
        <v>offset 104</v>
      </c>
    </row>
    <row r="8554" customFormat="false" ht="12.8" hidden="false" customHeight="false" outlineLevel="0" collapsed="false">
      <c r="A8554" s="0" t="s">
        <v>12</v>
      </c>
      <c r="B8554" s="0" t="n">
        <v>2434206</v>
      </c>
      <c r="C8554" s="0" t="n">
        <v>2434226</v>
      </c>
      <c r="D8554" s="0" t="s">
        <v>28570</v>
      </c>
      <c r="E8554" s="0" t="s">
        <v>89</v>
      </c>
      <c r="F8554" s="0" t="s">
        <v>15</v>
      </c>
      <c r="G8554" s="0" t="s">
        <v>26</v>
      </c>
      <c r="H8554" s="0" t="n">
        <v>6</v>
      </c>
      <c r="I8554" s="0" t="s">
        <v>28571</v>
      </c>
      <c r="J8554" s="0" t="s">
        <v>28572</v>
      </c>
      <c r="K8554" s="0" t="s">
        <v>28573</v>
      </c>
      <c r="L8554" s="0" t="str">
        <f aca="false">HYPERLINK("https://www.ncbi.nlm.nih.gov/nuccore/CP000304.1?report=graph&amp;tracks=[key:gene_model_track,Options:GeneOnly]&amp;mk=2434207:2434226|offset_6|00cc00,2434235:2434254|offset_34|444444,2434286:2434305|offset_85|444444,2434308:2434327|offset_107|444444&amp;v=2434006:2434527&amp;c=444444", "offset 6")</f>
        <v>offset 6</v>
      </c>
    </row>
    <row r="8555" customFormat="false" ht="12.8" hidden="false" customHeight="false" outlineLevel="0" collapsed="false">
      <c r="A8555" s="0" t="s">
        <v>12</v>
      </c>
      <c r="B8555" s="0" t="n">
        <v>2434234</v>
      </c>
      <c r="C8555" s="0" t="n">
        <v>2434254</v>
      </c>
      <c r="D8555" s="0" t="s">
        <v>28570</v>
      </c>
      <c r="E8555" s="0" t="s">
        <v>89</v>
      </c>
      <c r="F8555" s="0" t="s">
        <v>15</v>
      </c>
      <c r="G8555" s="0" t="s">
        <v>16</v>
      </c>
      <c r="H8555" s="0" t="n">
        <v>34</v>
      </c>
      <c r="I8555" s="0" t="s">
        <v>28574</v>
      </c>
      <c r="J8555" s="0" t="s">
        <v>28575</v>
      </c>
      <c r="K8555" s="0" t="s">
        <v>28576</v>
      </c>
      <c r="L8555" s="0" t="str">
        <f aca="false">HYPERLINK("https://www.ncbi.nlm.nih.gov/nuccore/CP000304.1?report=graph&amp;tracks=[key:gene_model_track,Options:GeneOnly]&amp;mk=2434207:2434226|offset_6|444444,2434235:2434254|offset_34|00cc00,2434286:2434305|offset_85|444444,2434308:2434327|offset_107|444444&amp;v=2434006:2434527&amp;c=444444", "offset 34")</f>
        <v>offset 34</v>
      </c>
    </row>
    <row r="8556" customFormat="false" ht="12.8" hidden="false" customHeight="false" outlineLevel="0" collapsed="false">
      <c r="A8556" s="0" t="s">
        <v>12</v>
      </c>
      <c r="B8556" s="0" t="n">
        <v>2434285</v>
      </c>
      <c r="C8556" s="0" t="n">
        <v>2434305</v>
      </c>
      <c r="D8556" s="0" t="s">
        <v>28570</v>
      </c>
      <c r="E8556" s="0" t="s">
        <v>89</v>
      </c>
      <c r="F8556" s="0" t="s">
        <v>15</v>
      </c>
      <c r="G8556" s="0" t="s">
        <v>26</v>
      </c>
      <c r="H8556" s="0" t="n">
        <v>85</v>
      </c>
      <c r="I8556" s="0" t="s">
        <v>28577</v>
      </c>
      <c r="J8556" s="0" t="s">
        <v>28578</v>
      </c>
      <c r="K8556" s="0" t="s">
        <v>28579</v>
      </c>
      <c r="L8556" s="0" t="str">
        <f aca="false">HYPERLINK("https://www.ncbi.nlm.nih.gov/nuccore/CP000304.1?report=graph&amp;tracks=[key:gene_model_track,Options:GeneOnly]&amp;mk=2434207:2434226|offset_6|444444,2434235:2434254|offset_34|444444,2434286:2434305|offset_85|00cc00,2434308:2434327|offset_107|444444&amp;v=2434006:2434527&amp;c=444444", "offset 85")</f>
        <v>offset 85</v>
      </c>
    </row>
    <row r="8557" customFormat="false" ht="12.8" hidden="false" customHeight="false" outlineLevel="0" collapsed="false">
      <c r="A8557" s="0" t="s">
        <v>12</v>
      </c>
      <c r="B8557" s="0" t="n">
        <v>2434307</v>
      </c>
      <c r="C8557" s="0" t="n">
        <v>2434327</v>
      </c>
      <c r="D8557" s="0" t="s">
        <v>28570</v>
      </c>
      <c r="E8557" s="0" t="s">
        <v>89</v>
      </c>
      <c r="F8557" s="0" t="s">
        <v>15</v>
      </c>
      <c r="G8557" s="0" t="s">
        <v>26</v>
      </c>
      <c r="H8557" s="0" t="n">
        <v>107</v>
      </c>
      <c r="I8557" s="0" t="s">
        <v>28580</v>
      </c>
      <c r="J8557" s="0" t="s">
        <v>28581</v>
      </c>
      <c r="K8557" s="0" t="s">
        <v>28582</v>
      </c>
      <c r="L8557" s="0" t="str">
        <f aca="false">HYPERLINK("https://www.ncbi.nlm.nih.gov/nuccore/CP000304.1?report=graph&amp;tracks=[key:gene_model_track,Options:GeneOnly]&amp;mk=2434207:2434226|offset_6|444444,2434235:2434254|offset_34|444444,2434286:2434305|offset_85|444444,2434308:2434327|offset_107|00cc00&amp;v=2434006:2434527&amp;c=444444", "offset 107")</f>
        <v>offset 107</v>
      </c>
    </row>
    <row r="8558" customFormat="false" ht="12.8" hidden="false" customHeight="false" outlineLevel="0" collapsed="false">
      <c r="A8558" s="0" t="s">
        <v>12</v>
      </c>
      <c r="B8558" s="0" t="n">
        <v>2435263</v>
      </c>
      <c r="C8558" s="0" t="n">
        <v>2435283</v>
      </c>
      <c r="D8558" s="0" t="s">
        <v>28583</v>
      </c>
      <c r="E8558" s="0" t="s">
        <v>89</v>
      </c>
      <c r="F8558" s="0" t="s">
        <v>15</v>
      </c>
      <c r="G8558" s="0" t="s">
        <v>26</v>
      </c>
      <c r="H8558" s="0" t="n">
        <v>0</v>
      </c>
      <c r="I8558" s="0" t="s">
        <v>28584</v>
      </c>
      <c r="J8558" s="0" t="s">
        <v>28585</v>
      </c>
      <c r="K8558" s="0" t="s">
        <v>28586</v>
      </c>
      <c r="L8558" s="0" t="str">
        <f aca="false">HYPERLINK("https://www.ncbi.nlm.nih.gov/nuccore/CP000304.1?report=graph&amp;tracks=[key:gene_model_track,Options:GeneOnly]&amp;mk=2435264:2435283|offset_0|00cc00,2435284:2435303|offset_20|444444,2435310:2435329|offset_46|444444,2435338:2435357|offset_74|444444&amp;v=2435063:2435557&amp;c=444444", "offset 0")</f>
        <v>offset 0</v>
      </c>
    </row>
    <row r="8559" customFormat="false" ht="12.8" hidden="false" customHeight="false" outlineLevel="0" collapsed="false">
      <c r="A8559" s="0" t="s">
        <v>12</v>
      </c>
      <c r="B8559" s="0" t="n">
        <v>2435283</v>
      </c>
      <c r="C8559" s="0" t="n">
        <v>2435303</v>
      </c>
      <c r="D8559" s="0" t="s">
        <v>28583</v>
      </c>
      <c r="E8559" s="0" t="s">
        <v>89</v>
      </c>
      <c r="F8559" s="0" t="s">
        <v>15</v>
      </c>
      <c r="G8559" s="0" t="s">
        <v>32</v>
      </c>
      <c r="H8559" s="0" t="n">
        <v>20</v>
      </c>
      <c r="I8559" s="0" t="s">
        <v>28587</v>
      </c>
      <c r="J8559" s="0" t="s">
        <v>28588</v>
      </c>
      <c r="K8559" s="0" t="s">
        <v>28589</v>
      </c>
      <c r="L8559" s="0" t="str">
        <f aca="false">HYPERLINK("https://www.ncbi.nlm.nih.gov/nuccore/CP000304.1?report=graph&amp;tracks=[key:gene_model_track,Options:GeneOnly]&amp;mk=2435264:2435283|offset_0|444444,2435284:2435303|offset_20|00cc00,2435310:2435329|offset_46|444444,2435338:2435357|offset_74|444444&amp;v=2435063:2435557&amp;c=444444", "offset 20")</f>
        <v>offset 20</v>
      </c>
    </row>
    <row r="8560" customFormat="false" ht="12.8" hidden="false" customHeight="false" outlineLevel="0" collapsed="false">
      <c r="A8560" s="0" t="s">
        <v>12</v>
      </c>
      <c r="B8560" s="0" t="n">
        <v>2435309</v>
      </c>
      <c r="C8560" s="0" t="n">
        <v>2435329</v>
      </c>
      <c r="D8560" s="0" t="s">
        <v>28583</v>
      </c>
      <c r="E8560" s="0" t="s">
        <v>89</v>
      </c>
      <c r="F8560" s="0" t="s">
        <v>15</v>
      </c>
      <c r="G8560" s="0" t="s">
        <v>32</v>
      </c>
      <c r="H8560" s="0" t="n">
        <v>46</v>
      </c>
      <c r="I8560" s="0" t="s">
        <v>28590</v>
      </c>
      <c r="J8560" s="0" t="s">
        <v>28591</v>
      </c>
      <c r="K8560" s="0" t="s">
        <v>28592</v>
      </c>
      <c r="L8560" s="0" t="str">
        <f aca="false">HYPERLINK("https://www.ncbi.nlm.nih.gov/nuccore/CP000304.1?report=graph&amp;tracks=[key:gene_model_track,Options:GeneOnly]&amp;mk=2435264:2435283|offset_0|444444,2435284:2435303|offset_20|444444,2435310:2435329|offset_46|00cc00,2435338:2435357|offset_74|444444&amp;v=2435063:2435557&amp;c=444444", "offset 46")</f>
        <v>offset 46</v>
      </c>
    </row>
    <row r="8561" customFormat="false" ht="12.8" hidden="false" customHeight="false" outlineLevel="0" collapsed="false">
      <c r="A8561" s="0" t="s">
        <v>12</v>
      </c>
      <c r="B8561" s="0" t="n">
        <v>2435337</v>
      </c>
      <c r="C8561" s="0" t="n">
        <v>2435357</v>
      </c>
      <c r="D8561" s="0" t="s">
        <v>28583</v>
      </c>
      <c r="E8561" s="0" t="s">
        <v>89</v>
      </c>
      <c r="F8561" s="0" t="s">
        <v>15</v>
      </c>
      <c r="G8561" s="0" t="s">
        <v>16</v>
      </c>
      <c r="H8561" s="0" t="n">
        <v>74</v>
      </c>
      <c r="I8561" s="0" t="s">
        <v>28593</v>
      </c>
      <c r="J8561" s="0" t="s">
        <v>28594</v>
      </c>
      <c r="K8561" s="0" t="s">
        <v>28595</v>
      </c>
      <c r="L8561" s="0" t="str">
        <f aca="false">HYPERLINK("https://www.ncbi.nlm.nih.gov/nuccore/CP000304.1?report=graph&amp;tracks=[key:gene_model_track,Options:GeneOnly]&amp;mk=2435264:2435283|offset_0|444444,2435284:2435303|offset_20|444444,2435310:2435329|offset_46|444444,2435338:2435357|offset_74|00cc00&amp;v=2435063:2435557&amp;c=444444", "offset 74")</f>
        <v>offset 74</v>
      </c>
    </row>
    <row r="8562" customFormat="false" ht="12.8" hidden="false" customHeight="false" outlineLevel="0" collapsed="false">
      <c r="A8562" s="0" t="s">
        <v>12</v>
      </c>
      <c r="B8562" s="0" t="n">
        <v>2436393</v>
      </c>
      <c r="C8562" s="0" t="n">
        <v>2436413</v>
      </c>
      <c r="D8562" s="0" t="s">
        <v>28596</v>
      </c>
      <c r="E8562" s="0" t="s">
        <v>89</v>
      </c>
      <c r="F8562" s="0" t="s">
        <v>15</v>
      </c>
      <c r="G8562" s="0" t="s">
        <v>36</v>
      </c>
      <c r="H8562" s="0" t="n">
        <v>10</v>
      </c>
      <c r="I8562" s="0" t="s">
        <v>28597</v>
      </c>
      <c r="J8562" s="0" t="s">
        <v>28598</v>
      </c>
      <c r="K8562" s="0" t="s">
        <v>28599</v>
      </c>
      <c r="L8562" s="0" t="str">
        <f aca="false">HYPERLINK("https://www.ncbi.nlm.nih.gov/nuccore/CP000304.1?report=graph&amp;tracks=[key:gene_model_track,Options:GeneOnly]&amp;mk=2436394:2436413|offset_10|00cc00,2436424:2436443|offset_40|444444,2436448:2436467|offset_64|444444,2436468:2436487|offset_84|444444&amp;v=2436193:2436687&amp;c=444444", "offset 10")</f>
        <v>offset 10</v>
      </c>
    </row>
    <row r="8563" customFormat="false" ht="12.8" hidden="false" customHeight="false" outlineLevel="0" collapsed="false">
      <c r="A8563" s="0" t="s">
        <v>12</v>
      </c>
      <c r="B8563" s="0" t="n">
        <v>2436423</v>
      </c>
      <c r="C8563" s="0" t="n">
        <v>2436443</v>
      </c>
      <c r="D8563" s="0" t="s">
        <v>28596</v>
      </c>
      <c r="E8563" s="0" t="s">
        <v>89</v>
      </c>
      <c r="F8563" s="0" t="s">
        <v>15</v>
      </c>
      <c r="G8563" s="0" t="s">
        <v>16</v>
      </c>
      <c r="H8563" s="0" t="n">
        <v>40</v>
      </c>
      <c r="I8563" s="0" t="s">
        <v>28600</v>
      </c>
      <c r="J8563" s="0" t="s">
        <v>28601</v>
      </c>
      <c r="K8563" s="0" t="s">
        <v>28602</v>
      </c>
      <c r="L8563" s="0" t="str">
        <f aca="false">HYPERLINK("https://www.ncbi.nlm.nih.gov/nuccore/CP000304.1?report=graph&amp;tracks=[key:gene_model_track,Options:GeneOnly]&amp;mk=2436394:2436413|offset_10|444444,2436424:2436443|offset_40|00cc00,2436448:2436467|offset_64|444444,2436468:2436487|offset_84|444444&amp;v=2436193:2436687&amp;c=444444", "offset 40")</f>
        <v>offset 40</v>
      </c>
    </row>
    <row r="8564" customFormat="false" ht="12.8" hidden="false" customHeight="false" outlineLevel="0" collapsed="false">
      <c r="A8564" s="0" t="s">
        <v>12</v>
      </c>
      <c r="B8564" s="0" t="n">
        <v>2436447</v>
      </c>
      <c r="C8564" s="0" t="n">
        <v>2436467</v>
      </c>
      <c r="D8564" s="0" t="s">
        <v>28596</v>
      </c>
      <c r="E8564" s="0" t="s">
        <v>89</v>
      </c>
      <c r="F8564" s="0" t="s">
        <v>15</v>
      </c>
      <c r="G8564" s="0" t="s">
        <v>16</v>
      </c>
      <c r="H8564" s="0" t="n">
        <v>64</v>
      </c>
      <c r="I8564" s="0" t="s">
        <v>28603</v>
      </c>
      <c r="J8564" s="0" t="s">
        <v>28604</v>
      </c>
      <c r="K8564" s="0" t="s">
        <v>28605</v>
      </c>
      <c r="L8564" s="0" t="str">
        <f aca="false">HYPERLINK("https://www.ncbi.nlm.nih.gov/nuccore/CP000304.1?report=graph&amp;tracks=[key:gene_model_track,Options:GeneOnly]&amp;mk=2436394:2436413|offset_10|444444,2436424:2436443|offset_40|444444,2436448:2436467|offset_64|00cc00,2436468:2436487|offset_84|444444&amp;v=2436193:2436687&amp;c=444444", "offset 64")</f>
        <v>offset 64</v>
      </c>
    </row>
    <row r="8565" customFormat="false" ht="12.8" hidden="false" customHeight="false" outlineLevel="0" collapsed="false">
      <c r="A8565" s="0" t="s">
        <v>12</v>
      </c>
      <c r="B8565" s="0" t="n">
        <v>2436467</v>
      </c>
      <c r="C8565" s="0" t="n">
        <v>2436487</v>
      </c>
      <c r="D8565" s="0" t="s">
        <v>28596</v>
      </c>
      <c r="E8565" s="0" t="s">
        <v>89</v>
      </c>
      <c r="F8565" s="0" t="s">
        <v>15</v>
      </c>
      <c r="G8565" s="0" t="s">
        <v>36</v>
      </c>
      <c r="H8565" s="0" t="n">
        <v>84</v>
      </c>
      <c r="I8565" s="0" t="s">
        <v>28606</v>
      </c>
      <c r="J8565" s="0" t="s">
        <v>28607</v>
      </c>
      <c r="K8565" s="0" t="s">
        <v>28608</v>
      </c>
      <c r="L8565" s="0" t="str">
        <f aca="false">HYPERLINK("https://www.ncbi.nlm.nih.gov/nuccore/CP000304.1?report=graph&amp;tracks=[key:gene_model_track,Options:GeneOnly]&amp;mk=2436394:2436413|offset_10|444444,2436424:2436443|offset_40|444444,2436448:2436467|offset_64|444444,2436468:2436487|offset_84|00cc00&amp;v=2436193:2436687&amp;c=444444", "offset 84")</f>
        <v>offset 84</v>
      </c>
    </row>
    <row r="8566" customFormat="false" ht="12.8" hidden="false" customHeight="false" outlineLevel="0" collapsed="false">
      <c r="A8566" s="0" t="s">
        <v>12</v>
      </c>
      <c r="B8566" s="0" t="n">
        <v>2437723</v>
      </c>
      <c r="C8566" s="0" t="n">
        <v>2437743</v>
      </c>
      <c r="D8566" s="0" t="s">
        <v>28609</v>
      </c>
      <c r="E8566" s="0" t="s">
        <v>89</v>
      </c>
      <c r="F8566" s="0" t="s">
        <v>15</v>
      </c>
      <c r="G8566" s="0" t="s">
        <v>32</v>
      </c>
      <c r="H8566" s="0" t="n">
        <v>1</v>
      </c>
      <c r="I8566" s="0" t="s">
        <v>28610</v>
      </c>
      <c r="J8566" s="0" t="s">
        <v>28611</v>
      </c>
      <c r="K8566" s="0" t="s">
        <v>28612</v>
      </c>
      <c r="L8566" s="0" t="str">
        <f aca="false">HYPERLINK("https://www.ncbi.nlm.nih.gov/nuccore/CP000304.1?report=graph&amp;tracks=[key:gene_model_track,Options:GeneOnly]&amp;mk=2437724:2437743|offset_1|00cc00,2437750:2437769|offset_27|444444,2437771:2437790|offset_48|444444,2437794:2437813|offset_71|444444&amp;v=2437523:2438013&amp;c=444444", "offset 1")</f>
        <v>offset 1</v>
      </c>
    </row>
    <row r="8567" customFormat="false" ht="12.8" hidden="false" customHeight="false" outlineLevel="0" collapsed="false">
      <c r="A8567" s="0" t="s">
        <v>12</v>
      </c>
      <c r="B8567" s="0" t="n">
        <v>2437749</v>
      </c>
      <c r="C8567" s="0" t="n">
        <v>2437769</v>
      </c>
      <c r="D8567" s="0" t="s">
        <v>28609</v>
      </c>
      <c r="E8567" s="0" t="s">
        <v>89</v>
      </c>
      <c r="F8567" s="0" t="s">
        <v>15</v>
      </c>
      <c r="G8567" s="0" t="s">
        <v>16</v>
      </c>
      <c r="H8567" s="0" t="n">
        <v>27</v>
      </c>
      <c r="I8567" s="0" t="s">
        <v>28613</v>
      </c>
      <c r="J8567" s="0" t="s">
        <v>28614</v>
      </c>
      <c r="K8567" s="0" t="s">
        <v>28615</v>
      </c>
      <c r="L8567" s="0" t="str">
        <f aca="false">HYPERLINK("https://www.ncbi.nlm.nih.gov/nuccore/CP000304.1?report=graph&amp;tracks=[key:gene_model_track,Options:GeneOnly]&amp;mk=2437724:2437743|offset_1|444444,2437750:2437769|offset_27|00cc00,2437771:2437790|offset_48|444444,2437794:2437813|offset_71|444444&amp;v=2437523:2438013&amp;c=444444", "offset 27")</f>
        <v>offset 27</v>
      </c>
    </row>
    <row r="8568" customFormat="false" ht="12.8" hidden="false" customHeight="false" outlineLevel="0" collapsed="false">
      <c r="A8568" s="0" t="s">
        <v>12</v>
      </c>
      <c r="B8568" s="0" t="n">
        <v>2437770</v>
      </c>
      <c r="C8568" s="0" t="n">
        <v>2437790</v>
      </c>
      <c r="D8568" s="0" t="s">
        <v>28609</v>
      </c>
      <c r="E8568" s="0" t="s">
        <v>89</v>
      </c>
      <c r="F8568" s="0" t="s">
        <v>15</v>
      </c>
      <c r="G8568" s="0" t="s">
        <v>36</v>
      </c>
      <c r="H8568" s="0" t="n">
        <v>48</v>
      </c>
      <c r="I8568" s="0" t="s">
        <v>28616</v>
      </c>
      <c r="J8568" s="0" t="s">
        <v>28617</v>
      </c>
      <c r="K8568" s="0" t="s">
        <v>28618</v>
      </c>
      <c r="L8568" s="0" t="str">
        <f aca="false">HYPERLINK("https://www.ncbi.nlm.nih.gov/nuccore/CP000304.1?report=graph&amp;tracks=[key:gene_model_track,Options:GeneOnly]&amp;mk=2437724:2437743|offset_1|444444,2437750:2437769|offset_27|444444,2437771:2437790|offset_48|00cc00,2437794:2437813|offset_71|444444&amp;v=2437523:2438013&amp;c=444444", "offset 48")</f>
        <v>offset 48</v>
      </c>
    </row>
    <row r="8569" customFormat="false" ht="12.8" hidden="false" customHeight="false" outlineLevel="0" collapsed="false">
      <c r="A8569" s="0" t="s">
        <v>12</v>
      </c>
      <c r="B8569" s="0" t="n">
        <v>2437793</v>
      </c>
      <c r="C8569" s="0" t="n">
        <v>2437813</v>
      </c>
      <c r="D8569" s="0" t="s">
        <v>28609</v>
      </c>
      <c r="E8569" s="0" t="s">
        <v>89</v>
      </c>
      <c r="F8569" s="0" t="s">
        <v>15</v>
      </c>
      <c r="G8569" s="0" t="s">
        <v>32</v>
      </c>
      <c r="H8569" s="0" t="n">
        <v>71</v>
      </c>
      <c r="I8569" s="0" t="s">
        <v>28619</v>
      </c>
      <c r="J8569" s="0" t="s">
        <v>28620</v>
      </c>
      <c r="K8569" s="0" t="s">
        <v>28621</v>
      </c>
      <c r="L8569" s="0" t="str">
        <f aca="false">HYPERLINK("https://www.ncbi.nlm.nih.gov/nuccore/CP000304.1?report=graph&amp;tracks=[key:gene_model_track,Options:GeneOnly]&amp;mk=2437724:2437743|offset_1|444444,2437750:2437769|offset_27|444444,2437771:2437790|offset_48|444444,2437794:2437813|offset_71|00cc00&amp;v=2437523:2438013&amp;c=444444", "offset 71")</f>
        <v>offset 71</v>
      </c>
    </row>
    <row r="8570" customFormat="false" ht="12.8" hidden="false" customHeight="false" outlineLevel="0" collapsed="false">
      <c r="A8570" s="0" t="s">
        <v>12</v>
      </c>
      <c r="B8570" s="0" t="n">
        <v>2438347</v>
      </c>
      <c r="C8570" s="0" t="n">
        <v>2438367</v>
      </c>
      <c r="D8570" s="0" t="s">
        <v>28622</v>
      </c>
      <c r="E8570" s="0" t="s">
        <v>89</v>
      </c>
      <c r="F8570" s="0" t="s">
        <v>15</v>
      </c>
      <c r="G8570" s="0" t="s">
        <v>26</v>
      </c>
      <c r="H8570" s="0" t="n">
        <v>24</v>
      </c>
      <c r="I8570" s="0" t="s">
        <v>28623</v>
      </c>
      <c r="J8570" s="0" t="s">
        <v>28624</v>
      </c>
      <c r="K8570" s="0" t="s">
        <v>28625</v>
      </c>
      <c r="L8570" s="0" t="str">
        <f aca="false">HYPERLINK("https://www.ncbi.nlm.nih.gov/nuccore/CP000304.1?report=graph&amp;tracks=[key:gene_model_track,Options:GeneOnly]&amp;mk=2438348:2438367|offset_24|00cc00,2438378:2438397|offset_54|444444,2438404:2438423|offset_80|444444,2438434:2438453|offset_110|444444&amp;v=2438147:2438653&amp;c=444444", "offset 24")</f>
        <v>offset 24</v>
      </c>
    </row>
    <row r="8571" customFormat="false" ht="12.8" hidden="false" customHeight="false" outlineLevel="0" collapsed="false">
      <c r="A8571" s="0" t="s">
        <v>12</v>
      </c>
      <c r="B8571" s="0" t="n">
        <v>2438377</v>
      </c>
      <c r="C8571" s="0" t="n">
        <v>2438397</v>
      </c>
      <c r="D8571" s="0" t="s">
        <v>28622</v>
      </c>
      <c r="E8571" s="0" t="s">
        <v>89</v>
      </c>
      <c r="F8571" s="0" t="s">
        <v>15</v>
      </c>
      <c r="G8571" s="0" t="s">
        <v>16</v>
      </c>
      <c r="H8571" s="0" t="n">
        <v>54</v>
      </c>
      <c r="I8571" s="0" t="s">
        <v>28626</v>
      </c>
      <c r="J8571" s="0" t="s">
        <v>28627</v>
      </c>
      <c r="K8571" s="0" t="s">
        <v>28628</v>
      </c>
      <c r="L8571" s="0" t="str">
        <f aca="false">HYPERLINK("https://www.ncbi.nlm.nih.gov/nuccore/CP000304.1?report=graph&amp;tracks=[key:gene_model_track,Options:GeneOnly]&amp;mk=2438348:2438367|offset_24|444444,2438378:2438397|offset_54|00cc00,2438404:2438423|offset_80|444444,2438434:2438453|offset_110|444444&amp;v=2438147:2438653&amp;c=444444", "offset 54")</f>
        <v>offset 54</v>
      </c>
    </row>
    <row r="8572" customFormat="false" ht="12.8" hidden="false" customHeight="false" outlineLevel="0" collapsed="false">
      <c r="A8572" s="0" t="s">
        <v>12</v>
      </c>
      <c r="B8572" s="0" t="n">
        <v>2438403</v>
      </c>
      <c r="C8572" s="0" t="n">
        <v>2438423</v>
      </c>
      <c r="D8572" s="0" t="s">
        <v>28622</v>
      </c>
      <c r="E8572" s="0" t="s">
        <v>89</v>
      </c>
      <c r="F8572" s="0" t="s">
        <v>15</v>
      </c>
      <c r="G8572" s="0" t="s">
        <v>36</v>
      </c>
      <c r="H8572" s="0" t="n">
        <v>80</v>
      </c>
      <c r="I8572" s="0" t="s">
        <v>28629</v>
      </c>
      <c r="J8572" s="0" t="s">
        <v>28630</v>
      </c>
      <c r="K8572" s="0" t="s">
        <v>28631</v>
      </c>
      <c r="L8572" s="0" t="str">
        <f aca="false">HYPERLINK("https://www.ncbi.nlm.nih.gov/nuccore/CP000304.1?report=graph&amp;tracks=[key:gene_model_track,Options:GeneOnly]&amp;mk=2438348:2438367|offset_24|444444,2438378:2438397|offset_54|444444,2438404:2438423|offset_80|00cc00,2438434:2438453|offset_110|444444&amp;v=2438147:2438653&amp;c=444444", "offset 80")</f>
        <v>offset 80</v>
      </c>
    </row>
    <row r="8573" customFormat="false" ht="12.8" hidden="false" customHeight="false" outlineLevel="0" collapsed="false">
      <c r="A8573" s="0" t="s">
        <v>12</v>
      </c>
      <c r="B8573" s="0" t="n">
        <v>2438433</v>
      </c>
      <c r="C8573" s="0" t="n">
        <v>2438453</v>
      </c>
      <c r="D8573" s="0" t="s">
        <v>28622</v>
      </c>
      <c r="E8573" s="0" t="s">
        <v>89</v>
      </c>
      <c r="F8573" s="0" t="s">
        <v>15</v>
      </c>
      <c r="G8573" s="0" t="s">
        <v>16</v>
      </c>
      <c r="H8573" s="0" t="n">
        <v>110</v>
      </c>
      <c r="I8573" s="0" t="s">
        <v>28632</v>
      </c>
      <c r="J8573" s="0" t="s">
        <v>28633</v>
      </c>
      <c r="K8573" s="0" t="s">
        <v>28634</v>
      </c>
      <c r="L8573" s="0" t="str">
        <f aca="false">HYPERLINK("https://www.ncbi.nlm.nih.gov/nuccore/CP000304.1?report=graph&amp;tracks=[key:gene_model_track,Options:GeneOnly]&amp;mk=2438348:2438367|offset_24|444444,2438378:2438397|offset_54|444444,2438404:2438423|offset_80|444444,2438434:2438453|offset_110|00cc00&amp;v=2438147:2438653&amp;c=444444", "offset 110")</f>
        <v>offset 110</v>
      </c>
    </row>
    <row r="8574" customFormat="false" ht="12.8" hidden="false" customHeight="false" outlineLevel="0" collapsed="false">
      <c r="A8574" s="0" t="s">
        <v>12</v>
      </c>
      <c r="B8574" s="0" t="n">
        <v>2438982</v>
      </c>
      <c r="C8574" s="0" t="n">
        <v>2439002</v>
      </c>
      <c r="D8574" s="0" t="s">
        <v>28635</v>
      </c>
      <c r="E8574" s="0" t="s">
        <v>89</v>
      </c>
      <c r="F8574" s="0" t="s">
        <v>15</v>
      </c>
      <c r="G8574" s="0" t="s">
        <v>32</v>
      </c>
      <c r="H8574" s="0" t="n">
        <v>1</v>
      </c>
      <c r="I8574" s="0" t="s">
        <v>28636</v>
      </c>
      <c r="J8574" s="0" t="s">
        <v>28637</v>
      </c>
      <c r="K8574" s="0" t="s">
        <v>28638</v>
      </c>
      <c r="L8574" s="0" t="str">
        <f aca="false">HYPERLINK("https://www.ncbi.nlm.nih.gov/nuccore/CP000304.1?report=graph&amp;tracks=[key:gene_model_track,Options:GeneOnly]&amp;mk=2438983:2439002|offset_1|00cc00,2439008:2439027|offset_26|444444,2439043:2439062|offset_61|444444,2439074:2439093|offset_92|444444&amp;v=2438782:2439293&amp;c=444444", "offset 1")</f>
        <v>offset 1</v>
      </c>
    </row>
    <row r="8575" customFormat="false" ht="12.8" hidden="false" customHeight="false" outlineLevel="0" collapsed="false">
      <c r="A8575" s="0" t="s">
        <v>12</v>
      </c>
      <c r="B8575" s="0" t="n">
        <v>2439007</v>
      </c>
      <c r="C8575" s="0" t="n">
        <v>2439027</v>
      </c>
      <c r="D8575" s="0" t="s">
        <v>28635</v>
      </c>
      <c r="E8575" s="0" t="s">
        <v>89</v>
      </c>
      <c r="F8575" s="0" t="s">
        <v>15</v>
      </c>
      <c r="G8575" s="0" t="s">
        <v>26</v>
      </c>
      <c r="H8575" s="0" t="n">
        <v>26</v>
      </c>
      <c r="I8575" s="0" t="s">
        <v>28639</v>
      </c>
      <c r="J8575" s="0" t="s">
        <v>28640</v>
      </c>
      <c r="K8575" s="0" t="s">
        <v>28641</v>
      </c>
      <c r="L8575" s="0" t="str">
        <f aca="false">HYPERLINK("https://www.ncbi.nlm.nih.gov/nuccore/CP000304.1?report=graph&amp;tracks=[key:gene_model_track,Options:GeneOnly]&amp;mk=2438983:2439002|offset_1|444444,2439008:2439027|offset_26|00cc00,2439043:2439062|offset_61|444444,2439074:2439093|offset_92|444444&amp;v=2438782:2439293&amp;c=444444", "offset 26")</f>
        <v>offset 26</v>
      </c>
    </row>
    <row r="8576" customFormat="false" ht="12.8" hidden="false" customHeight="false" outlineLevel="0" collapsed="false">
      <c r="A8576" s="0" t="s">
        <v>12</v>
      </c>
      <c r="B8576" s="0" t="n">
        <v>2439042</v>
      </c>
      <c r="C8576" s="0" t="n">
        <v>2439062</v>
      </c>
      <c r="D8576" s="0" t="s">
        <v>28635</v>
      </c>
      <c r="E8576" s="0" t="s">
        <v>89</v>
      </c>
      <c r="F8576" s="0" t="s">
        <v>15</v>
      </c>
      <c r="G8576" s="0" t="s">
        <v>16</v>
      </c>
      <c r="H8576" s="0" t="n">
        <v>61</v>
      </c>
      <c r="I8576" s="0" t="s">
        <v>28642</v>
      </c>
      <c r="J8576" s="0" t="s">
        <v>28643</v>
      </c>
      <c r="K8576" s="0" t="s">
        <v>28644</v>
      </c>
      <c r="L8576" s="0" t="str">
        <f aca="false">HYPERLINK("https://www.ncbi.nlm.nih.gov/nuccore/CP000304.1?report=graph&amp;tracks=[key:gene_model_track,Options:GeneOnly]&amp;mk=2438983:2439002|offset_1|444444,2439008:2439027|offset_26|444444,2439043:2439062|offset_61|00cc00,2439074:2439093|offset_92|444444&amp;v=2438782:2439293&amp;c=444444", "offset 61")</f>
        <v>offset 61</v>
      </c>
    </row>
    <row r="8577" customFormat="false" ht="12.8" hidden="false" customHeight="false" outlineLevel="0" collapsed="false">
      <c r="A8577" s="0" t="s">
        <v>12</v>
      </c>
      <c r="B8577" s="0" t="n">
        <v>2439073</v>
      </c>
      <c r="C8577" s="0" t="n">
        <v>2439093</v>
      </c>
      <c r="D8577" s="0" t="s">
        <v>28635</v>
      </c>
      <c r="E8577" s="0" t="s">
        <v>89</v>
      </c>
      <c r="F8577" s="0" t="s">
        <v>15</v>
      </c>
      <c r="G8577" s="0" t="s">
        <v>16</v>
      </c>
      <c r="H8577" s="0" t="n">
        <v>92</v>
      </c>
      <c r="I8577" s="0" t="s">
        <v>28645</v>
      </c>
      <c r="J8577" s="0" t="s">
        <v>28646</v>
      </c>
      <c r="K8577" s="0" t="s">
        <v>28647</v>
      </c>
      <c r="L8577" s="0" t="str">
        <f aca="false">HYPERLINK("https://www.ncbi.nlm.nih.gov/nuccore/CP000304.1?report=graph&amp;tracks=[key:gene_model_track,Options:GeneOnly]&amp;mk=2438983:2439002|offset_1|444444,2439008:2439027|offset_26|444444,2439043:2439062|offset_61|444444,2439074:2439093|offset_92|00cc00&amp;v=2438782:2439293&amp;c=444444", "offset 92")</f>
        <v>offset 92</v>
      </c>
    </row>
    <row r="8578" customFormat="false" ht="12.8" hidden="false" customHeight="false" outlineLevel="0" collapsed="false">
      <c r="A8578" s="0" t="s">
        <v>12</v>
      </c>
      <c r="B8578" s="0" t="n">
        <v>2439551</v>
      </c>
      <c r="C8578" s="0" t="n">
        <v>2439571</v>
      </c>
      <c r="D8578" s="0" t="s">
        <v>28648</v>
      </c>
      <c r="E8578" s="0" t="s">
        <v>28649</v>
      </c>
      <c r="F8578" s="0" t="s">
        <v>15</v>
      </c>
      <c r="G8578" s="0" t="s">
        <v>32</v>
      </c>
      <c r="H8578" s="0" t="n">
        <v>17</v>
      </c>
      <c r="I8578" s="0" t="s">
        <v>28650</v>
      </c>
      <c r="J8578" s="0" t="s">
        <v>28651</v>
      </c>
      <c r="K8578" s="0" t="s">
        <v>28652</v>
      </c>
      <c r="L8578" s="0" t="str">
        <f aca="false">HYPERLINK("https://www.ncbi.nlm.nih.gov/nuccore/CP000304.1?report=graph&amp;tracks=[key:gene_model_track,Options:GeneOnly]&amp;mk=2439552:2439571|offset_17|00cc00,2439594:2439613|offset_59|444444,2439615:2439634|offset_80|444444,2439645:2439664|offset_110|444444&amp;v=2439351:2439864&amp;c=444444", "offset 17")</f>
        <v>offset 17</v>
      </c>
    </row>
    <row r="8579" customFormat="false" ht="12.8" hidden="false" customHeight="false" outlineLevel="0" collapsed="false">
      <c r="A8579" s="0" t="s">
        <v>12</v>
      </c>
      <c r="B8579" s="0" t="n">
        <v>2439593</v>
      </c>
      <c r="C8579" s="0" t="n">
        <v>2439613</v>
      </c>
      <c r="D8579" s="0" t="s">
        <v>28648</v>
      </c>
      <c r="E8579" s="0" t="s">
        <v>28649</v>
      </c>
      <c r="F8579" s="0" t="s">
        <v>15</v>
      </c>
      <c r="G8579" s="0" t="s">
        <v>16</v>
      </c>
      <c r="H8579" s="0" t="n">
        <v>59</v>
      </c>
      <c r="I8579" s="0" t="s">
        <v>28653</v>
      </c>
      <c r="J8579" s="0" t="s">
        <v>28654</v>
      </c>
      <c r="K8579" s="0" t="s">
        <v>28655</v>
      </c>
      <c r="L8579" s="0" t="str">
        <f aca="false">HYPERLINK("https://www.ncbi.nlm.nih.gov/nuccore/CP000304.1?report=graph&amp;tracks=[key:gene_model_track,Options:GeneOnly]&amp;mk=2439552:2439571|offset_17|444444,2439594:2439613|offset_59|00cc00,2439615:2439634|offset_80|444444,2439645:2439664|offset_110|444444&amp;v=2439351:2439864&amp;c=444444", "offset 59")</f>
        <v>offset 59</v>
      </c>
    </row>
    <row r="8580" customFormat="false" ht="12.8" hidden="false" customHeight="false" outlineLevel="0" collapsed="false">
      <c r="A8580" s="0" t="s">
        <v>12</v>
      </c>
      <c r="B8580" s="0" t="n">
        <v>2439614</v>
      </c>
      <c r="C8580" s="0" t="n">
        <v>2439634</v>
      </c>
      <c r="D8580" s="0" t="s">
        <v>28648</v>
      </c>
      <c r="E8580" s="0" t="s">
        <v>28649</v>
      </c>
      <c r="F8580" s="0" t="s">
        <v>15</v>
      </c>
      <c r="G8580" s="0" t="s">
        <v>26</v>
      </c>
      <c r="H8580" s="0" t="n">
        <v>80</v>
      </c>
      <c r="I8580" s="0" t="s">
        <v>28656</v>
      </c>
      <c r="J8580" s="0" t="s">
        <v>28657</v>
      </c>
      <c r="K8580" s="0" t="s">
        <v>28658</v>
      </c>
      <c r="L8580" s="0" t="str">
        <f aca="false">HYPERLINK("https://www.ncbi.nlm.nih.gov/nuccore/CP000304.1?report=graph&amp;tracks=[key:gene_model_track,Options:GeneOnly]&amp;mk=2439552:2439571|offset_17|444444,2439594:2439613|offset_59|444444,2439615:2439634|offset_80|00cc00,2439645:2439664|offset_110|444444&amp;v=2439351:2439864&amp;c=444444", "offset 80")</f>
        <v>offset 80</v>
      </c>
    </row>
    <row r="8581" customFormat="false" ht="12.8" hidden="false" customHeight="false" outlineLevel="0" collapsed="false">
      <c r="A8581" s="0" t="s">
        <v>12</v>
      </c>
      <c r="B8581" s="0" t="n">
        <v>2439644</v>
      </c>
      <c r="C8581" s="0" t="n">
        <v>2439664</v>
      </c>
      <c r="D8581" s="0" t="s">
        <v>28648</v>
      </c>
      <c r="E8581" s="0" t="s">
        <v>28649</v>
      </c>
      <c r="F8581" s="0" t="s">
        <v>15</v>
      </c>
      <c r="G8581" s="0" t="s">
        <v>16</v>
      </c>
      <c r="H8581" s="0" t="n">
        <v>110</v>
      </c>
      <c r="I8581" s="0" t="s">
        <v>28659</v>
      </c>
      <c r="J8581" s="0" t="s">
        <v>28660</v>
      </c>
      <c r="K8581" s="0" t="s">
        <v>28661</v>
      </c>
      <c r="L8581" s="0" t="str">
        <f aca="false">HYPERLINK("https://www.ncbi.nlm.nih.gov/nuccore/CP000304.1?report=graph&amp;tracks=[key:gene_model_track,Options:GeneOnly]&amp;mk=2439552:2439571|offset_17|444444,2439594:2439613|offset_59|444444,2439615:2439634|offset_80|444444,2439645:2439664|offset_110|00cc00&amp;v=2439351:2439864&amp;c=444444", "offset 110")</f>
        <v>offset 110</v>
      </c>
    </row>
    <row r="8582" customFormat="false" ht="12.8" hidden="false" customHeight="false" outlineLevel="0" collapsed="false">
      <c r="A8582" s="0" t="s">
        <v>12</v>
      </c>
      <c r="B8582" s="0" t="n">
        <v>2441219</v>
      </c>
      <c r="C8582" s="0" t="n">
        <v>2441239</v>
      </c>
      <c r="D8582" s="0" t="s">
        <v>28662</v>
      </c>
      <c r="E8582" s="0" t="s">
        <v>89</v>
      </c>
      <c r="F8582" s="0" t="s">
        <v>15</v>
      </c>
      <c r="G8582" s="0" t="s">
        <v>26</v>
      </c>
      <c r="H8582" s="0" t="n">
        <v>43</v>
      </c>
      <c r="I8582" s="0" t="s">
        <v>28663</v>
      </c>
      <c r="J8582" s="0" t="s">
        <v>28664</v>
      </c>
      <c r="K8582" s="0" t="s">
        <v>28665</v>
      </c>
      <c r="L8582" s="0" t="str">
        <f aca="false">HYPERLINK("https://www.ncbi.nlm.nih.gov/nuccore/CP000304.1?report=graph&amp;tracks=[key:gene_model_track,Options:GeneOnly]&amp;mk=2441220:2441239|offset_43|00cc00,2441247:2441266|offset_70|444444,2441285:2441304|offset_108|444444,2441325:2441344|offset_148|444444&amp;v=2441019:2441544&amp;c=444444", "offset 43")</f>
        <v>offset 43</v>
      </c>
    </row>
    <row r="8583" customFormat="false" ht="12.8" hidden="false" customHeight="false" outlineLevel="0" collapsed="false">
      <c r="A8583" s="0" t="s">
        <v>12</v>
      </c>
      <c r="B8583" s="0" t="n">
        <v>2441246</v>
      </c>
      <c r="C8583" s="0" t="n">
        <v>2441266</v>
      </c>
      <c r="D8583" s="0" t="s">
        <v>28662</v>
      </c>
      <c r="E8583" s="0" t="s">
        <v>89</v>
      </c>
      <c r="F8583" s="0" t="s">
        <v>15</v>
      </c>
      <c r="G8583" s="0" t="s">
        <v>36</v>
      </c>
      <c r="H8583" s="0" t="n">
        <v>70</v>
      </c>
      <c r="I8583" s="0" t="s">
        <v>28666</v>
      </c>
      <c r="J8583" s="0" t="s">
        <v>28667</v>
      </c>
      <c r="K8583" s="0" t="s">
        <v>28668</v>
      </c>
      <c r="L8583" s="0" t="str">
        <f aca="false">HYPERLINK("https://www.ncbi.nlm.nih.gov/nuccore/CP000304.1?report=graph&amp;tracks=[key:gene_model_track,Options:GeneOnly]&amp;mk=2441220:2441239|offset_43|444444,2441247:2441266|offset_70|00cc00,2441285:2441304|offset_108|444444,2441325:2441344|offset_148|444444&amp;v=2441019:2441544&amp;c=444444", "offset 70")</f>
        <v>offset 70</v>
      </c>
    </row>
    <row r="8584" customFormat="false" ht="12.8" hidden="false" customHeight="false" outlineLevel="0" collapsed="false">
      <c r="A8584" s="0" t="s">
        <v>12</v>
      </c>
      <c r="B8584" s="0" t="n">
        <v>2441284</v>
      </c>
      <c r="C8584" s="0" t="n">
        <v>2441304</v>
      </c>
      <c r="D8584" s="0" t="s">
        <v>28662</v>
      </c>
      <c r="E8584" s="0" t="s">
        <v>89</v>
      </c>
      <c r="F8584" s="0" t="s">
        <v>15</v>
      </c>
      <c r="G8584" s="0" t="s">
        <v>16</v>
      </c>
      <c r="H8584" s="0" t="n">
        <v>108</v>
      </c>
      <c r="I8584" s="0" t="s">
        <v>28669</v>
      </c>
      <c r="J8584" s="0" t="s">
        <v>28670</v>
      </c>
      <c r="K8584" s="0" t="s">
        <v>28671</v>
      </c>
      <c r="L8584" s="0" t="str">
        <f aca="false">HYPERLINK("https://www.ncbi.nlm.nih.gov/nuccore/CP000304.1?report=graph&amp;tracks=[key:gene_model_track,Options:GeneOnly]&amp;mk=2441220:2441239|offset_43|444444,2441247:2441266|offset_70|444444,2441285:2441304|offset_108|00cc00,2441325:2441344|offset_148|444444&amp;v=2441019:2441544&amp;c=444444", "offset 108")</f>
        <v>offset 108</v>
      </c>
    </row>
    <row r="8585" customFormat="false" ht="12.8" hidden="false" customHeight="false" outlineLevel="0" collapsed="false">
      <c r="A8585" s="0" t="s">
        <v>12</v>
      </c>
      <c r="B8585" s="0" t="n">
        <v>2441324</v>
      </c>
      <c r="C8585" s="0" t="n">
        <v>2441344</v>
      </c>
      <c r="D8585" s="0" t="s">
        <v>28662</v>
      </c>
      <c r="E8585" s="0" t="s">
        <v>89</v>
      </c>
      <c r="F8585" s="0" t="s">
        <v>15</v>
      </c>
      <c r="G8585" s="0" t="s">
        <v>36</v>
      </c>
      <c r="H8585" s="0" t="n">
        <v>148</v>
      </c>
      <c r="I8585" s="0" t="s">
        <v>28672</v>
      </c>
      <c r="J8585" s="0" t="s">
        <v>28673</v>
      </c>
      <c r="K8585" s="0" t="s">
        <v>28674</v>
      </c>
      <c r="L8585" s="0" t="str">
        <f aca="false">HYPERLINK("https://www.ncbi.nlm.nih.gov/nuccore/CP000304.1?report=graph&amp;tracks=[key:gene_model_track,Options:GeneOnly]&amp;mk=2441220:2441239|offset_43|444444,2441247:2441266|offset_70|444444,2441285:2441304|offset_108|444444,2441325:2441344|offset_148|00cc00&amp;v=2441019:2441544&amp;c=444444", "offset 148")</f>
        <v>offset 148</v>
      </c>
    </row>
    <row r="8586" customFormat="false" ht="12.8" hidden="false" customHeight="false" outlineLevel="0" collapsed="false">
      <c r="A8586" s="0" t="s">
        <v>12</v>
      </c>
      <c r="B8586" s="0" t="n">
        <v>2441744</v>
      </c>
      <c r="C8586" s="0" t="n">
        <v>2441764</v>
      </c>
      <c r="D8586" s="0" t="s">
        <v>28675</v>
      </c>
      <c r="E8586" s="0" t="s">
        <v>89</v>
      </c>
      <c r="F8586" s="0" t="s">
        <v>15</v>
      </c>
      <c r="G8586" s="0" t="s">
        <v>32</v>
      </c>
      <c r="H8586" s="0" t="n">
        <v>21</v>
      </c>
      <c r="I8586" s="0" t="s">
        <v>28676</v>
      </c>
      <c r="J8586" s="0" t="s">
        <v>28677</v>
      </c>
      <c r="K8586" s="0" t="s">
        <v>28678</v>
      </c>
      <c r="L8586" s="0" t="str">
        <f aca="false">HYPERLINK("https://www.ncbi.nlm.nih.gov/nuccore/CP000304.1?report=graph&amp;tracks=[key:gene_model_track,Options:GeneOnly]&amp;mk=2441745:2441764|offset_21|00cc00,2441765:2441784|offset_41|444444,2441794:2441813|offset_70|444444,2441822:2441841|offset_98|444444&amp;v=2441544:2442041&amp;c=444444", "offset 21")</f>
        <v>offset 21</v>
      </c>
    </row>
    <row r="8587" customFormat="false" ht="12.8" hidden="false" customHeight="false" outlineLevel="0" collapsed="false">
      <c r="A8587" s="0" t="s">
        <v>12</v>
      </c>
      <c r="B8587" s="0" t="n">
        <v>2441764</v>
      </c>
      <c r="C8587" s="0" t="n">
        <v>2441784</v>
      </c>
      <c r="D8587" s="0" t="s">
        <v>28675</v>
      </c>
      <c r="E8587" s="0" t="s">
        <v>89</v>
      </c>
      <c r="F8587" s="0" t="s">
        <v>15</v>
      </c>
      <c r="G8587" s="0" t="s">
        <v>16</v>
      </c>
      <c r="H8587" s="0" t="n">
        <v>41</v>
      </c>
      <c r="I8587" s="0" t="s">
        <v>28679</v>
      </c>
      <c r="J8587" s="0" t="s">
        <v>28680</v>
      </c>
      <c r="K8587" s="0" t="s">
        <v>28681</v>
      </c>
      <c r="L8587" s="0" t="str">
        <f aca="false">HYPERLINK("https://www.ncbi.nlm.nih.gov/nuccore/CP000304.1?report=graph&amp;tracks=[key:gene_model_track,Options:GeneOnly]&amp;mk=2441745:2441764|offset_21|444444,2441765:2441784|offset_41|00cc00,2441794:2441813|offset_70|444444,2441822:2441841|offset_98|444444&amp;v=2441544:2442041&amp;c=444444", "offset 41")</f>
        <v>offset 41</v>
      </c>
    </row>
    <row r="8588" customFormat="false" ht="12.8" hidden="false" customHeight="false" outlineLevel="0" collapsed="false">
      <c r="A8588" s="0" t="s">
        <v>12</v>
      </c>
      <c r="B8588" s="0" t="n">
        <v>2441793</v>
      </c>
      <c r="C8588" s="0" t="n">
        <v>2441813</v>
      </c>
      <c r="D8588" s="0" t="s">
        <v>28675</v>
      </c>
      <c r="E8588" s="0" t="s">
        <v>89</v>
      </c>
      <c r="F8588" s="0" t="s">
        <v>15</v>
      </c>
      <c r="G8588" s="0" t="s">
        <v>16</v>
      </c>
      <c r="H8588" s="0" t="n">
        <v>70</v>
      </c>
      <c r="I8588" s="0" t="s">
        <v>28682</v>
      </c>
      <c r="J8588" s="0" t="s">
        <v>28683</v>
      </c>
      <c r="K8588" s="0" t="s">
        <v>28684</v>
      </c>
      <c r="L8588" s="0" t="str">
        <f aca="false">HYPERLINK("https://www.ncbi.nlm.nih.gov/nuccore/CP000304.1?report=graph&amp;tracks=[key:gene_model_track,Options:GeneOnly]&amp;mk=2441745:2441764|offset_21|444444,2441765:2441784|offset_41|444444,2441794:2441813|offset_70|00cc00,2441822:2441841|offset_98|444444&amp;v=2441544:2442041&amp;c=444444", "offset 70")</f>
        <v>offset 70</v>
      </c>
    </row>
    <row r="8589" customFormat="false" ht="12.8" hidden="false" customHeight="false" outlineLevel="0" collapsed="false">
      <c r="A8589" s="0" t="s">
        <v>12</v>
      </c>
      <c r="B8589" s="0" t="n">
        <v>2441821</v>
      </c>
      <c r="C8589" s="0" t="n">
        <v>2441841</v>
      </c>
      <c r="D8589" s="0" t="s">
        <v>28675</v>
      </c>
      <c r="E8589" s="0" t="s">
        <v>89</v>
      </c>
      <c r="F8589" s="0" t="s">
        <v>15</v>
      </c>
      <c r="G8589" s="0" t="s">
        <v>32</v>
      </c>
      <c r="H8589" s="0" t="n">
        <v>98</v>
      </c>
      <c r="I8589" s="0" t="s">
        <v>28685</v>
      </c>
      <c r="J8589" s="0" t="s">
        <v>28686</v>
      </c>
      <c r="K8589" s="0" t="s">
        <v>28687</v>
      </c>
      <c r="L8589" s="0" t="str">
        <f aca="false">HYPERLINK("https://www.ncbi.nlm.nih.gov/nuccore/CP000304.1?report=graph&amp;tracks=[key:gene_model_track,Options:GeneOnly]&amp;mk=2441745:2441764|offset_21|444444,2441765:2441784|offset_41|444444,2441794:2441813|offset_70|444444,2441822:2441841|offset_98|00cc00&amp;v=2441544:2442041&amp;c=444444", "offset 98")</f>
        <v>offset 98</v>
      </c>
    </row>
    <row r="8590" customFormat="false" ht="12.8" hidden="false" customHeight="false" outlineLevel="0" collapsed="false">
      <c r="A8590" s="0" t="s">
        <v>12</v>
      </c>
      <c r="B8590" s="0" t="n">
        <v>2442880</v>
      </c>
      <c r="C8590" s="0" t="n">
        <v>2442900</v>
      </c>
      <c r="D8590" s="0" t="s">
        <v>28688</v>
      </c>
      <c r="E8590" s="0" t="s">
        <v>89</v>
      </c>
      <c r="F8590" s="0" t="s">
        <v>90</v>
      </c>
      <c r="G8590" s="0" t="s">
        <v>16</v>
      </c>
      <c r="H8590" s="0" t="n">
        <v>37</v>
      </c>
      <c r="I8590" s="0" t="s">
        <v>28689</v>
      </c>
      <c r="J8590" s="0" t="s">
        <v>28690</v>
      </c>
      <c r="K8590" s="0" t="s">
        <v>28691</v>
      </c>
      <c r="L8590" s="0" t="str">
        <f aca="false">HYPERLINK("https://www.ncbi.nlm.nih.gov/nuccore/CP000304.1?report=graph&amp;tracks=[key:gene_model_track,Options:GeneOnly]&amp;mk=2442881:2442900|offset_37|00cc00,2442842:2442861|offset_76|444444,2442808:2442827|offset_110|444444,2442764:2442783|offset_154|444444&amp;v=2442680:2442983&amp;c=444444", "offset 37")</f>
        <v>offset 37</v>
      </c>
    </row>
    <row r="8591" customFormat="false" ht="12.8" hidden="false" customHeight="false" outlineLevel="0" collapsed="false">
      <c r="A8591" s="0" t="s">
        <v>12</v>
      </c>
      <c r="B8591" s="0" t="n">
        <v>2442841</v>
      </c>
      <c r="C8591" s="0" t="n">
        <v>2442861</v>
      </c>
      <c r="D8591" s="0" t="s">
        <v>28688</v>
      </c>
      <c r="E8591" s="0" t="s">
        <v>89</v>
      </c>
      <c r="F8591" s="0" t="s">
        <v>90</v>
      </c>
      <c r="G8591" s="0" t="s">
        <v>32</v>
      </c>
      <c r="H8591" s="0" t="n">
        <v>76</v>
      </c>
      <c r="I8591" s="0" t="s">
        <v>28692</v>
      </c>
      <c r="J8591" s="0" t="s">
        <v>28693</v>
      </c>
      <c r="K8591" s="0" t="s">
        <v>28694</v>
      </c>
      <c r="L8591" s="0" t="str">
        <f aca="false">HYPERLINK("https://www.ncbi.nlm.nih.gov/nuccore/CP000304.1?report=graph&amp;tracks=[key:gene_model_track,Options:GeneOnly]&amp;mk=2442881:2442900|offset_37|444444,2442842:2442861|offset_76|00cc00,2442808:2442827|offset_110|444444,2442764:2442783|offset_154|444444&amp;v=2442680:2442983&amp;c=444444", "offset 76")</f>
        <v>offset 76</v>
      </c>
    </row>
    <row r="8592" customFormat="false" ht="12.8" hidden="false" customHeight="false" outlineLevel="0" collapsed="false">
      <c r="A8592" s="0" t="s">
        <v>12</v>
      </c>
      <c r="B8592" s="0" t="n">
        <v>2442807</v>
      </c>
      <c r="C8592" s="0" t="n">
        <v>2442827</v>
      </c>
      <c r="D8592" s="0" t="s">
        <v>28688</v>
      </c>
      <c r="E8592" s="0" t="s">
        <v>89</v>
      </c>
      <c r="F8592" s="0" t="s">
        <v>90</v>
      </c>
      <c r="G8592" s="0" t="s">
        <v>16</v>
      </c>
      <c r="H8592" s="0" t="n">
        <v>110</v>
      </c>
      <c r="I8592" s="0" t="s">
        <v>28695</v>
      </c>
      <c r="J8592" s="0" t="s">
        <v>28696</v>
      </c>
      <c r="K8592" s="0" t="s">
        <v>28697</v>
      </c>
      <c r="L8592" s="0" t="str">
        <f aca="false">HYPERLINK("https://www.ncbi.nlm.nih.gov/nuccore/CP000304.1?report=graph&amp;tracks=[key:gene_model_track,Options:GeneOnly]&amp;mk=2442881:2442900|offset_37|444444,2442842:2442861|offset_76|444444,2442808:2442827|offset_110|00cc00,2442764:2442783|offset_154|444444&amp;v=2442680:2442983&amp;c=444444", "offset 110")</f>
        <v>offset 110</v>
      </c>
    </row>
    <row r="8593" customFormat="false" ht="12.8" hidden="false" customHeight="false" outlineLevel="0" collapsed="false">
      <c r="A8593" s="0" t="s">
        <v>12</v>
      </c>
      <c r="B8593" s="0" t="n">
        <v>2442763</v>
      </c>
      <c r="C8593" s="0" t="n">
        <v>2442783</v>
      </c>
      <c r="D8593" s="0" t="s">
        <v>28688</v>
      </c>
      <c r="E8593" s="0" t="s">
        <v>89</v>
      </c>
      <c r="F8593" s="0" t="s">
        <v>90</v>
      </c>
      <c r="G8593" s="0" t="s">
        <v>32</v>
      </c>
      <c r="H8593" s="0" t="n">
        <v>154</v>
      </c>
      <c r="I8593" s="0" t="s">
        <v>28698</v>
      </c>
      <c r="J8593" s="0" t="s">
        <v>28699</v>
      </c>
      <c r="K8593" s="0" t="s">
        <v>28700</v>
      </c>
      <c r="L8593" s="0" t="str">
        <f aca="false">HYPERLINK("https://www.ncbi.nlm.nih.gov/nuccore/CP000304.1?report=graph&amp;tracks=[key:gene_model_track,Options:GeneOnly]&amp;mk=2442881:2442900|offset_37|444444,2442842:2442861|offset_76|444444,2442808:2442827|offset_110|444444,2442764:2442783|offset_154|00cc00&amp;v=2442680:2442983&amp;c=444444", "offset 154")</f>
        <v>offset 154</v>
      </c>
    </row>
    <row r="8594" customFormat="false" ht="12.8" hidden="false" customHeight="false" outlineLevel="0" collapsed="false">
      <c r="A8594" s="0" t="s">
        <v>12</v>
      </c>
      <c r="B8594" s="0" t="n">
        <v>2443975</v>
      </c>
      <c r="C8594" s="0" t="n">
        <v>2443995</v>
      </c>
      <c r="D8594" s="0" t="s">
        <v>28701</v>
      </c>
      <c r="E8594" s="0" t="s">
        <v>89</v>
      </c>
      <c r="F8594" s="0" t="s">
        <v>90</v>
      </c>
      <c r="G8594" s="0" t="s">
        <v>26</v>
      </c>
      <c r="H8594" s="0" t="n">
        <v>39</v>
      </c>
      <c r="I8594" s="0" t="s">
        <v>28702</v>
      </c>
      <c r="J8594" s="0" t="s">
        <v>28703</v>
      </c>
      <c r="K8594" s="0" t="s">
        <v>28704</v>
      </c>
      <c r="L8594" s="0" t="str">
        <f aca="false">HYPERLINK("https://www.ncbi.nlm.nih.gov/nuccore/CP000304.1?report=graph&amp;tracks=[key:gene_model_track,Options:GeneOnly]&amp;mk=2443976:2443995|offset_39|00cc00,2443930:2443949|offset_85|444444,2443864:2443883|offset_151|444444,2443779:2443798|offset_236|444444&amp;v=2443775:2443998&amp;c=444444", "offset 39")</f>
        <v>offset 39</v>
      </c>
    </row>
    <row r="8595" customFormat="false" ht="12.8" hidden="false" customHeight="false" outlineLevel="0" collapsed="false">
      <c r="A8595" s="0" t="s">
        <v>12</v>
      </c>
      <c r="B8595" s="0" t="n">
        <v>2443929</v>
      </c>
      <c r="C8595" s="0" t="n">
        <v>2443949</v>
      </c>
      <c r="D8595" s="0" t="s">
        <v>28701</v>
      </c>
      <c r="E8595" s="0" t="s">
        <v>89</v>
      </c>
      <c r="F8595" s="0" t="s">
        <v>90</v>
      </c>
      <c r="G8595" s="0" t="s">
        <v>32</v>
      </c>
      <c r="H8595" s="0" t="n">
        <v>85</v>
      </c>
      <c r="I8595" s="0" t="s">
        <v>28705</v>
      </c>
      <c r="J8595" s="0" t="s">
        <v>28706</v>
      </c>
      <c r="K8595" s="0" t="s">
        <v>28707</v>
      </c>
      <c r="L8595" s="0" t="str">
        <f aca="false">HYPERLINK("https://www.ncbi.nlm.nih.gov/nuccore/CP000304.1?report=graph&amp;tracks=[key:gene_model_track,Options:GeneOnly]&amp;mk=2443976:2443995|offset_39|444444,2443930:2443949|offset_85|00cc00,2443864:2443883|offset_151|444444,2443779:2443798|offset_236|444444&amp;v=2443775:2443998&amp;c=444444", "offset 85")</f>
        <v>offset 85</v>
      </c>
    </row>
    <row r="8596" customFormat="false" ht="12.8" hidden="false" customHeight="false" outlineLevel="0" collapsed="false">
      <c r="A8596" s="0" t="s">
        <v>12</v>
      </c>
      <c r="B8596" s="0" t="n">
        <v>2443863</v>
      </c>
      <c r="C8596" s="0" t="n">
        <v>2443883</v>
      </c>
      <c r="D8596" s="0" t="s">
        <v>28701</v>
      </c>
      <c r="E8596" s="0" t="s">
        <v>89</v>
      </c>
      <c r="F8596" s="0" t="s">
        <v>90</v>
      </c>
      <c r="G8596" s="0" t="s">
        <v>32</v>
      </c>
      <c r="H8596" s="0" t="n">
        <v>151</v>
      </c>
      <c r="I8596" s="0" t="s">
        <v>28708</v>
      </c>
      <c r="J8596" s="0" t="s">
        <v>28709</v>
      </c>
      <c r="K8596" s="0" t="s">
        <v>28710</v>
      </c>
      <c r="L8596" s="0" t="str">
        <f aca="false">HYPERLINK("https://www.ncbi.nlm.nih.gov/nuccore/CP000304.1?report=graph&amp;tracks=[key:gene_model_track,Options:GeneOnly]&amp;mk=2443976:2443995|offset_39|444444,2443930:2443949|offset_85|444444,2443864:2443883|offset_151|00cc00,2443779:2443798|offset_236|444444&amp;v=2443775:2443998&amp;c=444444", "offset 151")</f>
        <v>offset 151</v>
      </c>
    </row>
    <row r="8597" customFormat="false" ht="12.8" hidden="false" customHeight="false" outlineLevel="0" collapsed="false">
      <c r="A8597" s="0" t="s">
        <v>12</v>
      </c>
      <c r="B8597" s="0" t="n">
        <v>2443778</v>
      </c>
      <c r="C8597" s="0" t="n">
        <v>2443798</v>
      </c>
      <c r="D8597" s="0" t="s">
        <v>28701</v>
      </c>
      <c r="E8597" s="0" t="s">
        <v>89</v>
      </c>
      <c r="F8597" s="0" t="s">
        <v>90</v>
      </c>
      <c r="G8597" s="0" t="s">
        <v>26</v>
      </c>
      <c r="H8597" s="0" t="n">
        <v>236</v>
      </c>
      <c r="I8597" s="0" t="s">
        <v>28711</v>
      </c>
      <c r="J8597" s="0" t="s">
        <v>28712</v>
      </c>
      <c r="K8597" s="0" t="s">
        <v>28713</v>
      </c>
      <c r="L8597" s="0" t="str">
        <f aca="false">HYPERLINK("https://www.ncbi.nlm.nih.gov/nuccore/CP000304.1?report=graph&amp;tracks=[key:gene_model_track,Options:GeneOnly]&amp;mk=2443976:2443995|offset_39|444444,2443930:2443949|offset_85|444444,2443864:2443883|offset_151|444444,2443779:2443798|offset_236|00cc00&amp;v=2443775:2443998&amp;c=444444", "offset 236")</f>
        <v>offset 236</v>
      </c>
    </row>
    <row r="8598" customFormat="false" ht="12.8" hidden="false" customHeight="false" outlineLevel="0" collapsed="false">
      <c r="A8598" s="0" t="s">
        <v>12</v>
      </c>
      <c r="B8598" s="0" t="n">
        <v>2444223</v>
      </c>
      <c r="C8598" s="0" t="n">
        <v>2444243</v>
      </c>
      <c r="D8598" s="0" t="s">
        <v>28714</v>
      </c>
      <c r="E8598" s="0" t="s">
        <v>89</v>
      </c>
      <c r="F8598" s="0" t="s">
        <v>15</v>
      </c>
      <c r="G8598" s="0" t="s">
        <v>36</v>
      </c>
      <c r="H8598" s="0" t="n">
        <v>10</v>
      </c>
      <c r="I8598" s="0" t="s">
        <v>28715</v>
      </c>
      <c r="J8598" s="0" t="s">
        <v>28716</v>
      </c>
      <c r="K8598" s="0" t="s">
        <v>28717</v>
      </c>
      <c r="L8598" s="0" t="str">
        <f aca="false">HYPERLINK("https://www.ncbi.nlm.nih.gov/nuccore/CP000304.1?report=graph&amp;tracks=[key:gene_model_track,Options:GeneOnly]&amp;mk=2444224:2444243|offset_10|00cc00,2444245:2444264|offset_31|444444,2444291:2444310|offset_77|444444,2444318:2444337|offset_104|444444&amp;v=2444023:2444537&amp;c=444444", "offset 10")</f>
        <v>offset 10</v>
      </c>
    </row>
    <row r="8599" customFormat="false" ht="12.8" hidden="false" customHeight="false" outlineLevel="0" collapsed="false">
      <c r="A8599" s="0" t="s">
        <v>12</v>
      </c>
      <c r="B8599" s="0" t="n">
        <v>2444244</v>
      </c>
      <c r="C8599" s="0" t="n">
        <v>2444264</v>
      </c>
      <c r="D8599" s="0" t="s">
        <v>28714</v>
      </c>
      <c r="E8599" s="0" t="s">
        <v>89</v>
      </c>
      <c r="F8599" s="0" t="s">
        <v>15</v>
      </c>
      <c r="G8599" s="0" t="s">
        <v>16</v>
      </c>
      <c r="H8599" s="0" t="n">
        <v>31</v>
      </c>
      <c r="I8599" s="0" t="s">
        <v>28718</v>
      </c>
      <c r="J8599" s="0" t="s">
        <v>28719</v>
      </c>
      <c r="K8599" s="0" t="s">
        <v>28720</v>
      </c>
      <c r="L8599" s="0" t="str">
        <f aca="false">HYPERLINK("https://www.ncbi.nlm.nih.gov/nuccore/CP000304.1?report=graph&amp;tracks=[key:gene_model_track,Options:GeneOnly]&amp;mk=2444224:2444243|offset_10|444444,2444245:2444264|offset_31|00cc00,2444291:2444310|offset_77|444444,2444318:2444337|offset_104|444444&amp;v=2444023:2444537&amp;c=444444", "offset 31")</f>
        <v>offset 31</v>
      </c>
    </row>
    <row r="8600" customFormat="false" ht="12.8" hidden="false" customHeight="false" outlineLevel="0" collapsed="false">
      <c r="A8600" s="0" t="s">
        <v>12</v>
      </c>
      <c r="B8600" s="0" t="n">
        <v>2444290</v>
      </c>
      <c r="C8600" s="0" t="n">
        <v>2444310</v>
      </c>
      <c r="D8600" s="0" t="s">
        <v>28714</v>
      </c>
      <c r="E8600" s="0" t="s">
        <v>89</v>
      </c>
      <c r="F8600" s="0" t="s">
        <v>15</v>
      </c>
      <c r="G8600" s="0" t="s">
        <v>16</v>
      </c>
      <c r="H8600" s="0" t="n">
        <v>77</v>
      </c>
      <c r="I8600" s="0" t="s">
        <v>28721</v>
      </c>
      <c r="J8600" s="0" t="s">
        <v>28722</v>
      </c>
      <c r="K8600" s="0" t="s">
        <v>28723</v>
      </c>
      <c r="L8600" s="0" t="str">
        <f aca="false">HYPERLINK("https://www.ncbi.nlm.nih.gov/nuccore/CP000304.1?report=graph&amp;tracks=[key:gene_model_track,Options:GeneOnly]&amp;mk=2444224:2444243|offset_10|444444,2444245:2444264|offset_31|444444,2444291:2444310|offset_77|00cc00,2444318:2444337|offset_104|444444&amp;v=2444023:2444537&amp;c=444444", "offset 77")</f>
        <v>offset 77</v>
      </c>
    </row>
    <row r="8601" customFormat="false" ht="12.8" hidden="false" customHeight="false" outlineLevel="0" collapsed="false">
      <c r="A8601" s="0" t="s">
        <v>12</v>
      </c>
      <c r="B8601" s="0" t="n">
        <v>2444317</v>
      </c>
      <c r="C8601" s="0" t="n">
        <v>2444337</v>
      </c>
      <c r="D8601" s="0" t="s">
        <v>28714</v>
      </c>
      <c r="E8601" s="0" t="s">
        <v>89</v>
      </c>
      <c r="F8601" s="0" t="s">
        <v>15</v>
      </c>
      <c r="G8601" s="0" t="s">
        <v>32</v>
      </c>
      <c r="H8601" s="0" t="n">
        <v>104</v>
      </c>
      <c r="I8601" s="0" t="s">
        <v>28724</v>
      </c>
      <c r="J8601" s="0" t="s">
        <v>28725</v>
      </c>
      <c r="K8601" s="0" t="s">
        <v>28726</v>
      </c>
      <c r="L8601" s="0" t="str">
        <f aca="false">HYPERLINK("https://www.ncbi.nlm.nih.gov/nuccore/CP000304.1?report=graph&amp;tracks=[key:gene_model_track,Options:GeneOnly]&amp;mk=2444224:2444243|offset_10|444444,2444245:2444264|offset_31|444444,2444291:2444310|offset_77|444444,2444318:2444337|offset_104|00cc00&amp;v=2444023:2444537&amp;c=444444", "offset 104")</f>
        <v>offset 104</v>
      </c>
    </row>
    <row r="8602" customFormat="false" ht="12.8" hidden="false" customHeight="false" outlineLevel="0" collapsed="false">
      <c r="A8602" s="0" t="s">
        <v>12</v>
      </c>
      <c r="B8602" s="0" t="n">
        <v>2444856</v>
      </c>
      <c r="C8602" s="0" t="n">
        <v>2444876</v>
      </c>
      <c r="D8602" s="0" t="s">
        <v>28727</v>
      </c>
      <c r="E8602" s="0" t="s">
        <v>89</v>
      </c>
      <c r="F8602" s="0" t="s">
        <v>15</v>
      </c>
      <c r="G8602" s="0" t="s">
        <v>36</v>
      </c>
      <c r="H8602" s="0" t="n">
        <v>8</v>
      </c>
      <c r="I8602" s="0" t="s">
        <v>28728</v>
      </c>
      <c r="J8602" s="0" t="s">
        <v>28729</v>
      </c>
      <c r="K8602" s="0" t="s">
        <v>28730</v>
      </c>
      <c r="L8602" s="0" t="str">
        <f aca="false">HYPERLINK("https://www.ncbi.nlm.nih.gov/nuccore/CP000304.1?report=graph&amp;tracks=[key:gene_model_track,Options:GeneOnly]&amp;mk=2444857:2444876|offset_8|00cc00,2444889:2444908|offset_40|444444,2444910:2444929|offset_61|444444,2444934:2444953|offset_85|444444&amp;v=2444656:2445153&amp;c=444444", "offset 8")</f>
        <v>offset 8</v>
      </c>
    </row>
    <row r="8603" customFormat="false" ht="12.8" hidden="false" customHeight="false" outlineLevel="0" collapsed="false">
      <c r="A8603" s="0" t="s">
        <v>12</v>
      </c>
      <c r="B8603" s="0" t="n">
        <v>2444888</v>
      </c>
      <c r="C8603" s="0" t="n">
        <v>2444908</v>
      </c>
      <c r="D8603" s="0" t="s">
        <v>28727</v>
      </c>
      <c r="E8603" s="0" t="s">
        <v>89</v>
      </c>
      <c r="F8603" s="0" t="s">
        <v>15</v>
      </c>
      <c r="G8603" s="0" t="s">
        <v>32</v>
      </c>
      <c r="H8603" s="0" t="n">
        <v>40</v>
      </c>
      <c r="I8603" s="0" t="s">
        <v>28731</v>
      </c>
      <c r="J8603" s="0" t="s">
        <v>28732</v>
      </c>
      <c r="K8603" s="0" t="s">
        <v>28733</v>
      </c>
      <c r="L8603" s="0" t="str">
        <f aca="false">HYPERLINK("https://www.ncbi.nlm.nih.gov/nuccore/CP000304.1?report=graph&amp;tracks=[key:gene_model_track,Options:GeneOnly]&amp;mk=2444857:2444876|offset_8|444444,2444889:2444908|offset_40|00cc00,2444910:2444929|offset_61|444444,2444934:2444953|offset_85|444444&amp;v=2444656:2445153&amp;c=444444", "offset 40")</f>
        <v>offset 40</v>
      </c>
    </row>
    <row r="8604" customFormat="false" ht="12.8" hidden="false" customHeight="false" outlineLevel="0" collapsed="false">
      <c r="A8604" s="0" t="s">
        <v>12</v>
      </c>
      <c r="B8604" s="0" t="n">
        <v>2444909</v>
      </c>
      <c r="C8604" s="0" t="n">
        <v>2444929</v>
      </c>
      <c r="D8604" s="0" t="s">
        <v>28727</v>
      </c>
      <c r="E8604" s="0" t="s">
        <v>89</v>
      </c>
      <c r="F8604" s="0" t="s">
        <v>15</v>
      </c>
      <c r="G8604" s="0" t="s">
        <v>36</v>
      </c>
      <c r="H8604" s="0" t="n">
        <v>61</v>
      </c>
      <c r="I8604" s="0" t="s">
        <v>28734</v>
      </c>
      <c r="J8604" s="0" t="s">
        <v>28735</v>
      </c>
      <c r="K8604" s="0" t="s">
        <v>28736</v>
      </c>
      <c r="L8604" s="0" t="str">
        <f aca="false">HYPERLINK("https://www.ncbi.nlm.nih.gov/nuccore/CP000304.1?report=graph&amp;tracks=[key:gene_model_track,Options:GeneOnly]&amp;mk=2444857:2444876|offset_8|444444,2444889:2444908|offset_40|444444,2444910:2444929|offset_61|00cc00,2444934:2444953|offset_85|444444&amp;v=2444656:2445153&amp;c=444444", "offset 61")</f>
        <v>offset 61</v>
      </c>
    </row>
    <row r="8605" customFormat="false" ht="12.8" hidden="false" customHeight="false" outlineLevel="0" collapsed="false">
      <c r="A8605" s="0" t="s">
        <v>12</v>
      </c>
      <c r="B8605" s="0" t="n">
        <v>2444933</v>
      </c>
      <c r="C8605" s="0" t="n">
        <v>2444953</v>
      </c>
      <c r="D8605" s="0" t="s">
        <v>28727</v>
      </c>
      <c r="E8605" s="0" t="s">
        <v>89</v>
      </c>
      <c r="F8605" s="0" t="s">
        <v>15</v>
      </c>
      <c r="G8605" s="0" t="s">
        <v>26</v>
      </c>
      <c r="H8605" s="0" t="n">
        <v>85</v>
      </c>
      <c r="I8605" s="0" t="s">
        <v>28737</v>
      </c>
      <c r="J8605" s="0" t="s">
        <v>28738</v>
      </c>
      <c r="K8605" s="0" t="s">
        <v>28739</v>
      </c>
      <c r="L8605" s="0" t="str">
        <f aca="false">HYPERLINK("https://www.ncbi.nlm.nih.gov/nuccore/CP000304.1?report=graph&amp;tracks=[key:gene_model_track,Options:GeneOnly]&amp;mk=2444857:2444876|offset_8|444444,2444889:2444908|offset_40|444444,2444910:2444929|offset_61|444444,2444934:2444953|offset_85|00cc00&amp;v=2444656:2445153&amp;c=444444", "offset 85")</f>
        <v>offset 85</v>
      </c>
    </row>
    <row r="8606" customFormat="false" ht="12.8" hidden="false" customHeight="false" outlineLevel="0" collapsed="false">
      <c r="A8606" s="0" t="s">
        <v>12</v>
      </c>
      <c r="B8606" s="0" t="n">
        <v>2445457</v>
      </c>
      <c r="C8606" s="0" t="n">
        <v>2445477</v>
      </c>
      <c r="D8606" s="0" t="s">
        <v>28740</v>
      </c>
      <c r="E8606" s="0" t="s">
        <v>89</v>
      </c>
      <c r="F8606" s="0" t="s">
        <v>15</v>
      </c>
      <c r="G8606" s="0" t="s">
        <v>16</v>
      </c>
      <c r="H8606" s="0" t="n">
        <v>25</v>
      </c>
      <c r="I8606" s="0" t="s">
        <v>28741</v>
      </c>
      <c r="J8606" s="0" t="s">
        <v>28742</v>
      </c>
      <c r="K8606" s="0" t="s">
        <v>28743</v>
      </c>
      <c r="L8606" s="0" t="str">
        <f aca="false">HYPERLINK("https://www.ncbi.nlm.nih.gov/nuccore/CP000304.1?report=graph&amp;tracks=[key:gene_model_track,Options:GeneOnly]&amp;mk=2445458:2445477|offset_25|00cc00,2445484:2445503|offset_51|444444,2445507:2445526|offset_74|444444,2445541:2445560|offset_108|444444&amp;v=2445257:2445760&amp;c=444444", "offset 25")</f>
        <v>offset 25</v>
      </c>
    </row>
    <row r="8607" customFormat="false" ht="12.8" hidden="false" customHeight="false" outlineLevel="0" collapsed="false">
      <c r="A8607" s="0" t="s">
        <v>12</v>
      </c>
      <c r="B8607" s="0" t="n">
        <v>2445483</v>
      </c>
      <c r="C8607" s="0" t="n">
        <v>2445503</v>
      </c>
      <c r="D8607" s="0" t="s">
        <v>28740</v>
      </c>
      <c r="E8607" s="0" t="s">
        <v>89</v>
      </c>
      <c r="F8607" s="0" t="s">
        <v>15</v>
      </c>
      <c r="G8607" s="0" t="s">
        <v>36</v>
      </c>
      <c r="H8607" s="0" t="n">
        <v>51</v>
      </c>
      <c r="I8607" s="0" t="s">
        <v>28744</v>
      </c>
      <c r="J8607" s="0" t="s">
        <v>28745</v>
      </c>
      <c r="K8607" s="0" t="s">
        <v>28746</v>
      </c>
      <c r="L8607" s="0" t="str">
        <f aca="false">HYPERLINK("https://www.ncbi.nlm.nih.gov/nuccore/CP000304.1?report=graph&amp;tracks=[key:gene_model_track,Options:GeneOnly]&amp;mk=2445458:2445477|offset_25|444444,2445484:2445503|offset_51|00cc00,2445507:2445526|offset_74|444444,2445541:2445560|offset_108|444444&amp;v=2445257:2445760&amp;c=444444", "offset 51")</f>
        <v>offset 51</v>
      </c>
    </row>
    <row r="8608" customFormat="false" ht="12.8" hidden="false" customHeight="false" outlineLevel="0" collapsed="false">
      <c r="A8608" s="0" t="s">
        <v>12</v>
      </c>
      <c r="B8608" s="0" t="n">
        <v>2445506</v>
      </c>
      <c r="C8608" s="0" t="n">
        <v>2445526</v>
      </c>
      <c r="D8608" s="0" t="s">
        <v>28740</v>
      </c>
      <c r="E8608" s="0" t="s">
        <v>89</v>
      </c>
      <c r="F8608" s="0" t="s">
        <v>15</v>
      </c>
      <c r="G8608" s="0" t="s">
        <v>26</v>
      </c>
      <c r="H8608" s="0" t="n">
        <v>74</v>
      </c>
      <c r="I8608" s="0" t="s">
        <v>28747</v>
      </c>
      <c r="J8608" s="0" t="s">
        <v>28748</v>
      </c>
      <c r="K8608" s="0" t="s">
        <v>28749</v>
      </c>
      <c r="L8608" s="0" t="str">
        <f aca="false">HYPERLINK("https://www.ncbi.nlm.nih.gov/nuccore/CP000304.1?report=graph&amp;tracks=[key:gene_model_track,Options:GeneOnly]&amp;mk=2445458:2445477|offset_25|444444,2445484:2445503|offset_51|444444,2445507:2445526|offset_74|00cc00,2445541:2445560|offset_108|444444&amp;v=2445257:2445760&amp;c=444444", "offset 74")</f>
        <v>offset 74</v>
      </c>
    </row>
    <row r="8609" customFormat="false" ht="12.8" hidden="false" customHeight="false" outlineLevel="0" collapsed="false">
      <c r="A8609" s="0" t="s">
        <v>12</v>
      </c>
      <c r="B8609" s="0" t="n">
        <v>2445540</v>
      </c>
      <c r="C8609" s="0" t="n">
        <v>2445560</v>
      </c>
      <c r="D8609" s="0" t="s">
        <v>28740</v>
      </c>
      <c r="E8609" s="0" t="s">
        <v>89</v>
      </c>
      <c r="F8609" s="0" t="s">
        <v>15</v>
      </c>
      <c r="G8609" s="0" t="s">
        <v>16</v>
      </c>
      <c r="H8609" s="0" t="n">
        <v>108</v>
      </c>
      <c r="I8609" s="0" t="s">
        <v>28750</v>
      </c>
      <c r="J8609" s="0" t="s">
        <v>28751</v>
      </c>
      <c r="K8609" s="0" t="s">
        <v>28752</v>
      </c>
      <c r="L8609" s="0" t="str">
        <f aca="false">HYPERLINK("https://www.ncbi.nlm.nih.gov/nuccore/CP000304.1?report=graph&amp;tracks=[key:gene_model_track,Options:GeneOnly]&amp;mk=2445458:2445477|offset_25|444444,2445484:2445503|offset_51|444444,2445507:2445526|offset_74|444444,2445541:2445560|offset_108|00cc00&amp;v=2445257:2445760&amp;c=444444", "offset 108")</f>
        <v>offset 108</v>
      </c>
    </row>
    <row r="8610" customFormat="false" ht="12.8" hidden="false" customHeight="false" outlineLevel="0" collapsed="false">
      <c r="A8610" s="0" t="s">
        <v>12</v>
      </c>
      <c r="B8610" s="0" t="n">
        <v>2446557</v>
      </c>
      <c r="C8610" s="0" t="n">
        <v>2446577</v>
      </c>
      <c r="D8610" s="0" t="s">
        <v>28753</v>
      </c>
      <c r="E8610" s="0" t="s">
        <v>89</v>
      </c>
      <c r="F8610" s="0" t="s">
        <v>15</v>
      </c>
      <c r="G8610" s="0" t="s">
        <v>32</v>
      </c>
      <c r="H8610" s="0" t="n">
        <v>1</v>
      </c>
      <c r="I8610" s="0" t="s">
        <v>28754</v>
      </c>
      <c r="J8610" s="0" t="s">
        <v>28755</v>
      </c>
      <c r="K8610" s="0" t="s">
        <v>28756</v>
      </c>
      <c r="L8610" s="0" t="str">
        <f aca="false">HYPERLINK("https://www.ncbi.nlm.nih.gov/nuccore/CP000304.1?report=graph&amp;tracks=[key:gene_model_track,Options:GeneOnly]&amp;mk=2446558:2446577|offset_1|00cc00,2446600:2446619|offset_43|444444,2446654:2446673|offset_97|444444,2446681:2446700|offset_124|444444&amp;v=2446357:2446900&amp;c=444444", "offset 1")</f>
        <v>offset 1</v>
      </c>
    </row>
    <row r="8611" customFormat="false" ht="12.8" hidden="false" customHeight="false" outlineLevel="0" collapsed="false">
      <c r="A8611" s="0" t="s">
        <v>12</v>
      </c>
      <c r="B8611" s="0" t="n">
        <v>2446599</v>
      </c>
      <c r="C8611" s="0" t="n">
        <v>2446619</v>
      </c>
      <c r="D8611" s="0" t="s">
        <v>28753</v>
      </c>
      <c r="E8611" s="0" t="s">
        <v>89</v>
      </c>
      <c r="F8611" s="0" t="s">
        <v>15</v>
      </c>
      <c r="G8611" s="0" t="s">
        <v>26</v>
      </c>
      <c r="H8611" s="0" t="n">
        <v>43</v>
      </c>
      <c r="I8611" s="0" t="s">
        <v>28757</v>
      </c>
      <c r="J8611" s="0" t="s">
        <v>28758</v>
      </c>
      <c r="K8611" s="0" t="s">
        <v>28759</v>
      </c>
      <c r="L8611" s="0" t="str">
        <f aca="false">HYPERLINK("https://www.ncbi.nlm.nih.gov/nuccore/CP000304.1?report=graph&amp;tracks=[key:gene_model_track,Options:GeneOnly]&amp;mk=2446558:2446577|offset_1|444444,2446600:2446619|offset_43|00cc00,2446654:2446673|offset_97|444444,2446681:2446700|offset_124|444444&amp;v=2446357:2446900&amp;c=444444", "offset 43")</f>
        <v>offset 43</v>
      </c>
    </row>
    <row r="8612" customFormat="false" ht="12.8" hidden="false" customHeight="false" outlineLevel="0" collapsed="false">
      <c r="A8612" s="0" t="s">
        <v>12</v>
      </c>
      <c r="B8612" s="0" t="n">
        <v>2446653</v>
      </c>
      <c r="C8612" s="0" t="n">
        <v>2446673</v>
      </c>
      <c r="D8612" s="0" t="s">
        <v>28753</v>
      </c>
      <c r="E8612" s="0" t="s">
        <v>89</v>
      </c>
      <c r="F8612" s="0" t="s">
        <v>15</v>
      </c>
      <c r="G8612" s="0" t="s">
        <v>36</v>
      </c>
      <c r="H8612" s="0" t="n">
        <v>97</v>
      </c>
      <c r="I8612" s="0" t="s">
        <v>28760</v>
      </c>
      <c r="J8612" s="0" t="s">
        <v>28761</v>
      </c>
      <c r="K8612" s="0" t="s">
        <v>28762</v>
      </c>
      <c r="L8612" s="0" t="str">
        <f aca="false">HYPERLINK("https://www.ncbi.nlm.nih.gov/nuccore/CP000304.1?report=graph&amp;tracks=[key:gene_model_track,Options:GeneOnly]&amp;mk=2446558:2446577|offset_1|444444,2446600:2446619|offset_43|444444,2446654:2446673|offset_97|00cc00,2446681:2446700|offset_124|444444&amp;v=2446357:2446900&amp;c=444444", "offset 97")</f>
        <v>offset 97</v>
      </c>
    </row>
    <row r="8613" customFormat="false" ht="12.8" hidden="false" customHeight="false" outlineLevel="0" collapsed="false">
      <c r="A8613" s="0" t="s">
        <v>12</v>
      </c>
      <c r="B8613" s="0" t="n">
        <v>2446680</v>
      </c>
      <c r="C8613" s="0" t="n">
        <v>2446700</v>
      </c>
      <c r="D8613" s="0" t="s">
        <v>28753</v>
      </c>
      <c r="E8613" s="0" t="s">
        <v>89</v>
      </c>
      <c r="F8613" s="0" t="s">
        <v>15</v>
      </c>
      <c r="G8613" s="0" t="s">
        <v>32</v>
      </c>
      <c r="H8613" s="0" t="n">
        <v>124</v>
      </c>
      <c r="I8613" s="0" t="s">
        <v>28763</v>
      </c>
      <c r="J8613" s="0" t="s">
        <v>28764</v>
      </c>
      <c r="K8613" s="0" t="s">
        <v>28765</v>
      </c>
      <c r="L8613" s="0" t="str">
        <f aca="false">HYPERLINK("https://www.ncbi.nlm.nih.gov/nuccore/CP000304.1?report=graph&amp;tracks=[key:gene_model_track,Options:GeneOnly]&amp;mk=2446558:2446577|offset_1|444444,2446600:2446619|offset_43|444444,2446654:2446673|offset_97|444444,2446681:2446700|offset_124|00cc00&amp;v=2446357:2446900&amp;c=444444", "offset 124")</f>
        <v>offset 124</v>
      </c>
    </row>
    <row r="8614" customFormat="false" ht="12.8" hidden="false" customHeight="false" outlineLevel="0" collapsed="false">
      <c r="A8614" s="0" t="s">
        <v>12</v>
      </c>
      <c r="B8614" s="0" t="n">
        <v>2447897</v>
      </c>
      <c r="C8614" s="0" t="n">
        <v>2447917</v>
      </c>
      <c r="D8614" s="0" t="s">
        <v>28766</v>
      </c>
      <c r="E8614" s="0" t="s">
        <v>89</v>
      </c>
      <c r="F8614" s="0" t="s">
        <v>90</v>
      </c>
      <c r="G8614" s="0" t="s">
        <v>26</v>
      </c>
      <c r="H8614" s="0" t="n">
        <v>22</v>
      </c>
      <c r="I8614" s="0" t="s">
        <v>28767</v>
      </c>
      <c r="J8614" s="0" t="s">
        <v>28768</v>
      </c>
      <c r="K8614" s="0" t="s">
        <v>28769</v>
      </c>
      <c r="L8614" s="0" t="str">
        <f aca="false">HYPERLINK("https://www.ncbi.nlm.nih.gov/nuccore/CP000304.1?report=graph&amp;tracks=[key:gene_model_track,Options:GeneOnly]&amp;mk=2447898:2447917|offset_22|00cc00,2447871:2447890|offset_49|444444,2447835:2447854|offset_85|444444,2447806:2447825|offset_114|444444&amp;v=2447697:2448025&amp;c=444444", "offset 22")</f>
        <v>offset 22</v>
      </c>
    </row>
    <row r="8615" customFormat="false" ht="12.8" hidden="false" customHeight="false" outlineLevel="0" collapsed="false">
      <c r="A8615" s="0" t="s">
        <v>12</v>
      </c>
      <c r="B8615" s="0" t="n">
        <v>2447870</v>
      </c>
      <c r="C8615" s="0" t="n">
        <v>2447890</v>
      </c>
      <c r="D8615" s="0" t="s">
        <v>28766</v>
      </c>
      <c r="E8615" s="0" t="s">
        <v>89</v>
      </c>
      <c r="F8615" s="0" t="s">
        <v>90</v>
      </c>
      <c r="G8615" s="0" t="s">
        <v>16</v>
      </c>
      <c r="H8615" s="0" t="n">
        <v>49</v>
      </c>
      <c r="I8615" s="0" t="s">
        <v>28770</v>
      </c>
      <c r="J8615" s="0" t="s">
        <v>28771</v>
      </c>
      <c r="K8615" s="0" t="s">
        <v>28772</v>
      </c>
      <c r="L8615" s="0" t="str">
        <f aca="false">HYPERLINK("https://www.ncbi.nlm.nih.gov/nuccore/CP000304.1?report=graph&amp;tracks=[key:gene_model_track,Options:GeneOnly]&amp;mk=2447898:2447917|offset_22|444444,2447871:2447890|offset_49|00cc00,2447835:2447854|offset_85|444444,2447806:2447825|offset_114|444444&amp;v=2447697:2448025&amp;c=444444", "offset 49")</f>
        <v>offset 49</v>
      </c>
    </row>
    <row r="8616" customFormat="false" ht="12.8" hidden="false" customHeight="false" outlineLevel="0" collapsed="false">
      <c r="A8616" s="0" t="s">
        <v>12</v>
      </c>
      <c r="B8616" s="0" t="n">
        <v>2447834</v>
      </c>
      <c r="C8616" s="0" t="n">
        <v>2447854</v>
      </c>
      <c r="D8616" s="0" t="s">
        <v>28766</v>
      </c>
      <c r="E8616" s="0" t="s">
        <v>89</v>
      </c>
      <c r="F8616" s="0" t="s">
        <v>90</v>
      </c>
      <c r="G8616" s="0" t="s">
        <v>26</v>
      </c>
      <c r="H8616" s="0" t="n">
        <v>85</v>
      </c>
      <c r="I8616" s="0" t="s">
        <v>28773</v>
      </c>
      <c r="J8616" s="0" t="s">
        <v>28774</v>
      </c>
      <c r="K8616" s="0" t="s">
        <v>28775</v>
      </c>
      <c r="L8616" s="0" t="str">
        <f aca="false">HYPERLINK("https://www.ncbi.nlm.nih.gov/nuccore/CP000304.1?report=graph&amp;tracks=[key:gene_model_track,Options:GeneOnly]&amp;mk=2447898:2447917|offset_22|444444,2447871:2447890|offset_49|444444,2447835:2447854|offset_85|00cc00,2447806:2447825|offset_114|444444&amp;v=2447697:2448025&amp;c=444444", "offset 85")</f>
        <v>offset 85</v>
      </c>
    </row>
    <row r="8617" customFormat="false" ht="12.8" hidden="false" customHeight="false" outlineLevel="0" collapsed="false">
      <c r="A8617" s="0" t="s">
        <v>12</v>
      </c>
      <c r="B8617" s="0" t="n">
        <v>2447805</v>
      </c>
      <c r="C8617" s="0" t="n">
        <v>2447825</v>
      </c>
      <c r="D8617" s="0" t="s">
        <v>28766</v>
      </c>
      <c r="E8617" s="0" t="s">
        <v>89</v>
      </c>
      <c r="F8617" s="0" t="s">
        <v>90</v>
      </c>
      <c r="G8617" s="0" t="s">
        <v>36</v>
      </c>
      <c r="H8617" s="0" t="n">
        <v>114</v>
      </c>
      <c r="I8617" s="0" t="s">
        <v>28776</v>
      </c>
      <c r="J8617" s="0" t="s">
        <v>28777</v>
      </c>
      <c r="K8617" s="0" t="s">
        <v>28778</v>
      </c>
      <c r="L8617" s="0" t="str">
        <f aca="false">HYPERLINK("https://www.ncbi.nlm.nih.gov/nuccore/CP000304.1?report=graph&amp;tracks=[key:gene_model_track,Options:GeneOnly]&amp;mk=2447898:2447917|offset_22|444444,2447871:2447890|offset_49|444444,2447835:2447854|offset_85|444444,2447806:2447825|offset_114|00cc00&amp;v=2447697:2448025&amp;c=444444", "offset 114")</f>
        <v>offset 114</v>
      </c>
    </row>
    <row r="8618" customFormat="false" ht="12.8" hidden="false" customHeight="false" outlineLevel="0" collapsed="false">
      <c r="A8618" s="0" t="s">
        <v>12</v>
      </c>
      <c r="B8618" s="0" t="n">
        <v>2448232</v>
      </c>
      <c r="C8618" s="0" t="n">
        <v>2448252</v>
      </c>
      <c r="D8618" s="0" t="s">
        <v>28779</v>
      </c>
      <c r="E8618" s="0" t="s">
        <v>89</v>
      </c>
      <c r="F8618" s="0" t="s">
        <v>15</v>
      </c>
      <c r="G8618" s="0" t="s">
        <v>36</v>
      </c>
      <c r="H8618" s="0" t="n">
        <v>6</v>
      </c>
      <c r="I8618" s="0" t="s">
        <v>28780</v>
      </c>
      <c r="J8618" s="0" t="s">
        <v>28781</v>
      </c>
      <c r="K8618" s="0" t="s">
        <v>28782</v>
      </c>
      <c r="L8618" s="0" t="str">
        <f aca="false">HYPERLINK("https://www.ncbi.nlm.nih.gov/nuccore/CP000304.1?report=graph&amp;tracks=[key:gene_model_track,Options:GeneOnly]&amp;mk=2448233:2448252|offset_6|00cc00,2448259:2448278|offset_32|444444,2448285:2448304|offset_58|444444,2448321:2448340|offset_94|444444&amp;v=2448032:2448540&amp;c=444444", "offset 6")</f>
        <v>offset 6</v>
      </c>
    </row>
    <row r="8619" customFormat="false" ht="12.8" hidden="false" customHeight="false" outlineLevel="0" collapsed="false">
      <c r="A8619" s="0" t="s">
        <v>12</v>
      </c>
      <c r="B8619" s="0" t="n">
        <v>2448258</v>
      </c>
      <c r="C8619" s="0" t="n">
        <v>2448278</v>
      </c>
      <c r="D8619" s="0" t="s">
        <v>28779</v>
      </c>
      <c r="E8619" s="0" t="s">
        <v>89</v>
      </c>
      <c r="F8619" s="0" t="s">
        <v>15</v>
      </c>
      <c r="G8619" s="0" t="s">
        <v>36</v>
      </c>
      <c r="H8619" s="0" t="n">
        <v>32</v>
      </c>
      <c r="I8619" s="0" t="s">
        <v>28783</v>
      </c>
      <c r="J8619" s="0" t="s">
        <v>28784</v>
      </c>
      <c r="K8619" s="0" t="s">
        <v>28785</v>
      </c>
      <c r="L8619" s="0" t="str">
        <f aca="false">HYPERLINK("https://www.ncbi.nlm.nih.gov/nuccore/CP000304.1?report=graph&amp;tracks=[key:gene_model_track,Options:GeneOnly]&amp;mk=2448233:2448252|offset_6|444444,2448259:2448278|offset_32|00cc00,2448285:2448304|offset_58|444444,2448321:2448340|offset_94|444444&amp;v=2448032:2448540&amp;c=444444", "offset 32")</f>
        <v>offset 32</v>
      </c>
    </row>
    <row r="8620" customFormat="false" ht="12.8" hidden="false" customHeight="false" outlineLevel="0" collapsed="false">
      <c r="A8620" s="0" t="s">
        <v>12</v>
      </c>
      <c r="B8620" s="0" t="n">
        <v>2448284</v>
      </c>
      <c r="C8620" s="0" t="n">
        <v>2448304</v>
      </c>
      <c r="D8620" s="0" t="s">
        <v>28779</v>
      </c>
      <c r="E8620" s="0" t="s">
        <v>89</v>
      </c>
      <c r="F8620" s="0" t="s">
        <v>15</v>
      </c>
      <c r="G8620" s="0" t="s">
        <v>16</v>
      </c>
      <c r="H8620" s="0" t="n">
        <v>58</v>
      </c>
      <c r="I8620" s="0" t="s">
        <v>28786</v>
      </c>
      <c r="J8620" s="0" t="s">
        <v>28787</v>
      </c>
      <c r="K8620" s="0" t="s">
        <v>28788</v>
      </c>
      <c r="L8620" s="0" t="str">
        <f aca="false">HYPERLINK("https://www.ncbi.nlm.nih.gov/nuccore/CP000304.1?report=graph&amp;tracks=[key:gene_model_track,Options:GeneOnly]&amp;mk=2448233:2448252|offset_6|444444,2448259:2448278|offset_32|444444,2448285:2448304|offset_58|00cc00,2448321:2448340|offset_94|444444&amp;v=2448032:2448540&amp;c=444444", "offset 58")</f>
        <v>offset 58</v>
      </c>
    </row>
    <row r="8621" customFormat="false" ht="12.8" hidden="false" customHeight="false" outlineLevel="0" collapsed="false">
      <c r="A8621" s="0" t="s">
        <v>12</v>
      </c>
      <c r="B8621" s="0" t="n">
        <v>2448320</v>
      </c>
      <c r="C8621" s="0" t="n">
        <v>2448340</v>
      </c>
      <c r="D8621" s="0" t="s">
        <v>28779</v>
      </c>
      <c r="E8621" s="0" t="s">
        <v>89</v>
      </c>
      <c r="F8621" s="0" t="s">
        <v>15</v>
      </c>
      <c r="G8621" s="0" t="s">
        <v>16</v>
      </c>
      <c r="H8621" s="0" t="n">
        <v>94</v>
      </c>
      <c r="I8621" s="0" t="s">
        <v>28789</v>
      </c>
      <c r="J8621" s="0" t="s">
        <v>28790</v>
      </c>
      <c r="K8621" s="0" t="s">
        <v>28791</v>
      </c>
      <c r="L8621" s="0" t="str">
        <f aca="false">HYPERLINK("https://www.ncbi.nlm.nih.gov/nuccore/CP000304.1?report=graph&amp;tracks=[key:gene_model_track,Options:GeneOnly]&amp;mk=2448233:2448252|offset_6|444444,2448259:2448278|offset_32|444444,2448285:2448304|offset_58|444444,2448321:2448340|offset_94|00cc00&amp;v=2448032:2448540&amp;c=444444", "offset 94")</f>
        <v>offset 94</v>
      </c>
    </row>
    <row r="8622" customFormat="false" ht="12.8" hidden="false" customHeight="false" outlineLevel="0" collapsed="false">
      <c r="A8622" s="0" t="s">
        <v>12</v>
      </c>
      <c r="B8622" s="0" t="n">
        <v>2449782</v>
      </c>
      <c r="C8622" s="0" t="n">
        <v>2449802</v>
      </c>
      <c r="D8622" s="0" t="s">
        <v>28792</v>
      </c>
      <c r="E8622" s="0" t="s">
        <v>89</v>
      </c>
      <c r="F8622" s="0" t="s">
        <v>90</v>
      </c>
      <c r="G8622" s="0" t="s">
        <v>26</v>
      </c>
      <c r="H8622" s="0" t="n">
        <v>8</v>
      </c>
      <c r="I8622" s="0" t="s">
        <v>28793</v>
      </c>
      <c r="J8622" s="0" t="s">
        <v>28794</v>
      </c>
      <c r="K8622" s="0" t="s">
        <v>28795</v>
      </c>
      <c r="L8622" s="0" t="str">
        <f aca="false">HYPERLINK("https://www.ncbi.nlm.nih.gov/nuccore/CP000304.1?report=graph&amp;tracks=[key:gene_model_track,Options:GeneOnly]&amp;mk=2449783:2449802|offset_8|00cc00,2449756:2449775|offset_35|444444,2449720:2449739|offset_71|444444,2449650:2449669|offset_141|444444&amp;v=2449582:2449869&amp;c=444444", "offset 8")</f>
        <v>offset 8</v>
      </c>
    </row>
    <row r="8623" customFormat="false" ht="12.8" hidden="false" customHeight="false" outlineLevel="0" collapsed="false">
      <c r="A8623" s="0" t="s">
        <v>12</v>
      </c>
      <c r="B8623" s="0" t="n">
        <v>2449755</v>
      </c>
      <c r="C8623" s="0" t="n">
        <v>2449775</v>
      </c>
      <c r="D8623" s="0" t="s">
        <v>28792</v>
      </c>
      <c r="E8623" s="0" t="s">
        <v>89</v>
      </c>
      <c r="F8623" s="0" t="s">
        <v>90</v>
      </c>
      <c r="G8623" s="0" t="s">
        <v>36</v>
      </c>
      <c r="H8623" s="0" t="n">
        <v>35</v>
      </c>
      <c r="I8623" s="0" t="s">
        <v>28796</v>
      </c>
      <c r="J8623" s="0" t="s">
        <v>28797</v>
      </c>
      <c r="K8623" s="0" t="s">
        <v>28798</v>
      </c>
      <c r="L8623" s="0" t="str">
        <f aca="false">HYPERLINK("https://www.ncbi.nlm.nih.gov/nuccore/CP000304.1?report=graph&amp;tracks=[key:gene_model_track,Options:GeneOnly]&amp;mk=2449783:2449802|offset_8|444444,2449756:2449775|offset_35|00cc00,2449720:2449739|offset_71|444444,2449650:2449669|offset_141|444444&amp;v=2449582:2449869&amp;c=444444", "offset 35")</f>
        <v>offset 35</v>
      </c>
    </row>
    <row r="8624" customFormat="false" ht="12.8" hidden="false" customHeight="false" outlineLevel="0" collapsed="false">
      <c r="A8624" s="0" t="s">
        <v>12</v>
      </c>
      <c r="B8624" s="0" t="n">
        <v>2449719</v>
      </c>
      <c r="C8624" s="0" t="n">
        <v>2449739</v>
      </c>
      <c r="D8624" s="0" t="s">
        <v>28792</v>
      </c>
      <c r="E8624" s="0" t="s">
        <v>89</v>
      </c>
      <c r="F8624" s="0" t="s">
        <v>90</v>
      </c>
      <c r="G8624" s="0" t="s">
        <v>16</v>
      </c>
      <c r="H8624" s="0" t="n">
        <v>71</v>
      </c>
      <c r="I8624" s="0" t="s">
        <v>28799</v>
      </c>
      <c r="J8624" s="0" t="s">
        <v>28800</v>
      </c>
      <c r="K8624" s="0" t="s">
        <v>28801</v>
      </c>
      <c r="L8624" s="0" t="str">
        <f aca="false">HYPERLINK("https://www.ncbi.nlm.nih.gov/nuccore/CP000304.1?report=graph&amp;tracks=[key:gene_model_track,Options:GeneOnly]&amp;mk=2449783:2449802|offset_8|444444,2449756:2449775|offset_35|444444,2449720:2449739|offset_71|00cc00,2449650:2449669|offset_141|444444&amp;v=2449582:2449869&amp;c=444444", "offset 71")</f>
        <v>offset 71</v>
      </c>
    </row>
    <row r="8625" customFormat="false" ht="12.8" hidden="false" customHeight="false" outlineLevel="0" collapsed="false">
      <c r="A8625" s="0" t="s">
        <v>12</v>
      </c>
      <c r="B8625" s="0" t="n">
        <v>2449649</v>
      </c>
      <c r="C8625" s="0" t="n">
        <v>2449669</v>
      </c>
      <c r="D8625" s="0" t="s">
        <v>28792</v>
      </c>
      <c r="E8625" s="0" t="s">
        <v>89</v>
      </c>
      <c r="F8625" s="0" t="s">
        <v>90</v>
      </c>
      <c r="G8625" s="0" t="s">
        <v>16</v>
      </c>
      <c r="H8625" s="0" t="n">
        <v>141</v>
      </c>
      <c r="I8625" s="0" t="s">
        <v>28802</v>
      </c>
      <c r="J8625" s="0" t="s">
        <v>28803</v>
      </c>
      <c r="K8625" s="0" t="s">
        <v>28804</v>
      </c>
      <c r="L8625" s="0" t="str">
        <f aca="false">HYPERLINK("https://www.ncbi.nlm.nih.gov/nuccore/CP000304.1?report=graph&amp;tracks=[key:gene_model_track,Options:GeneOnly]&amp;mk=2449783:2449802|offset_8|444444,2449756:2449775|offset_35|444444,2449720:2449739|offset_71|444444,2449650:2449669|offset_141|00cc00&amp;v=2449582:2449869&amp;c=444444", "offset 141")</f>
        <v>offset 141</v>
      </c>
    </row>
    <row r="8626" customFormat="false" ht="12.8" hidden="false" customHeight="false" outlineLevel="0" collapsed="false">
      <c r="A8626" s="0" t="s">
        <v>12</v>
      </c>
      <c r="B8626" s="0" t="n">
        <v>2451437</v>
      </c>
      <c r="C8626" s="0" t="n">
        <v>2451457</v>
      </c>
      <c r="D8626" s="0" t="s">
        <v>28805</v>
      </c>
      <c r="E8626" s="0" t="s">
        <v>89</v>
      </c>
      <c r="F8626" s="0" t="s">
        <v>90</v>
      </c>
      <c r="G8626" s="0" t="s">
        <v>16</v>
      </c>
      <c r="H8626" s="0" t="n">
        <v>35</v>
      </c>
      <c r="I8626" s="0" t="s">
        <v>28806</v>
      </c>
      <c r="J8626" s="0" t="s">
        <v>28807</v>
      </c>
      <c r="K8626" s="0" t="s">
        <v>28808</v>
      </c>
      <c r="L8626" s="0" t="str">
        <f aca="false">HYPERLINK("https://www.ncbi.nlm.nih.gov/nuccore/CP000304.1?report=graph&amp;tracks=[key:gene_model_track,Options:GeneOnly]&amp;mk=2451438:2451457|offset_35|00cc00,2451406:2451425|offset_67|444444,2451360:2451379|offset_113|444444,2451336:2451355|offset_137|444444&amp;v=2451237:2451555&amp;c=444444", "offset 35")</f>
        <v>offset 35</v>
      </c>
    </row>
    <row r="8627" customFormat="false" ht="12.8" hidden="false" customHeight="false" outlineLevel="0" collapsed="false">
      <c r="A8627" s="0" t="s">
        <v>12</v>
      </c>
      <c r="B8627" s="0" t="n">
        <v>2451405</v>
      </c>
      <c r="C8627" s="0" t="n">
        <v>2451425</v>
      </c>
      <c r="D8627" s="0" t="s">
        <v>28805</v>
      </c>
      <c r="E8627" s="0" t="s">
        <v>89</v>
      </c>
      <c r="F8627" s="0" t="s">
        <v>90</v>
      </c>
      <c r="G8627" s="0" t="s">
        <v>16</v>
      </c>
      <c r="H8627" s="0" t="n">
        <v>67</v>
      </c>
      <c r="I8627" s="0" t="s">
        <v>28809</v>
      </c>
      <c r="J8627" s="0" t="s">
        <v>28810</v>
      </c>
      <c r="K8627" s="0" t="s">
        <v>28811</v>
      </c>
      <c r="L8627" s="0" t="str">
        <f aca="false">HYPERLINK("https://www.ncbi.nlm.nih.gov/nuccore/CP000304.1?report=graph&amp;tracks=[key:gene_model_track,Options:GeneOnly]&amp;mk=2451438:2451457|offset_35|444444,2451406:2451425|offset_67|00cc00,2451360:2451379|offset_113|444444,2451336:2451355|offset_137|444444&amp;v=2451237:2451555&amp;c=444444", "offset 67")</f>
        <v>offset 67</v>
      </c>
    </row>
    <row r="8628" customFormat="false" ht="12.8" hidden="false" customHeight="false" outlineLevel="0" collapsed="false">
      <c r="A8628" s="0" t="s">
        <v>12</v>
      </c>
      <c r="B8628" s="0" t="n">
        <v>2451359</v>
      </c>
      <c r="C8628" s="0" t="n">
        <v>2451379</v>
      </c>
      <c r="D8628" s="0" t="s">
        <v>28805</v>
      </c>
      <c r="E8628" s="0" t="s">
        <v>89</v>
      </c>
      <c r="F8628" s="0" t="s">
        <v>90</v>
      </c>
      <c r="G8628" s="0" t="s">
        <v>26</v>
      </c>
      <c r="H8628" s="0" t="n">
        <v>113</v>
      </c>
      <c r="I8628" s="0" t="s">
        <v>28812</v>
      </c>
      <c r="J8628" s="0" t="s">
        <v>28813</v>
      </c>
      <c r="K8628" s="0" t="s">
        <v>28814</v>
      </c>
      <c r="L8628" s="0" t="str">
        <f aca="false">HYPERLINK("https://www.ncbi.nlm.nih.gov/nuccore/CP000304.1?report=graph&amp;tracks=[key:gene_model_track,Options:GeneOnly]&amp;mk=2451438:2451457|offset_35|444444,2451406:2451425|offset_67|444444,2451360:2451379|offset_113|00cc00,2451336:2451355|offset_137|444444&amp;v=2451237:2451555&amp;c=444444", "offset 113")</f>
        <v>offset 113</v>
      </c>
    </row>
    <row r="8629" customFormat="false" ht="12.8" hidden="false" customHeight="false" outlineLevel="0" collapsed="false">
      <c r="A8629" s="0" t="s">
        <v>12</v>
      </c>
      <c r="B8629" s="0" t="n">
        <v>2451335</v>
      </c>
      <c r="C8629" s="0" t="n">
        <v>2451355</v>
      </c>
      <c r="D8629" s="0" t="s">
        <v>28805</v>
      </c>
      <c r="E8629" s="0" t="s">
        <v>89</v>
      </c>
      <c r="F8629" s="0" t="s">
        <v>90</v>
      </c>
      <c r="G8629" s="0" t="s">
        <v>26</v>
      </c>
      <c r="H8629" s="0" t="n">
        <v>137</v>
      </c>
      <c r="I8629" s="0" t="s">
        <v>28815</v>
      </c>
      <c r="J8629" s="0" t="s">
        <v>28816</v>
      </c>
      <c r="K8629" s="0" t="s">
        <v>28817</v>
      </c>
      <c r="L8629" s="0" t="str">
        <f aca="false">HYPERLINK("https://www.ncbi.nlm.nih.gov/nuccore/CP000304.1?report=graph&amp;tracks=[key:gene_model_track,Options:GeneOnly]&amp;mk=2451438:2451457|offset_35|444444,2451406:2451425|offset_67|444444,2451360:2451379|offset_113|444444,2451336:2451355|offset_137|00cc00&amp;v=2451237:2451555&amp;c=444444", "offset 137")</f>
        <v>offset 137</v>
      </c>
    </row>
    <row r="8630" customFormat="false" ht="12.8" hidden="false" customHeight="false" outlineLevel="0" collapsed="false">
      <c r="A8630" s="0" t="s">
        <v>12</v>
      </c>
      <c r="B8630" s="0" t="n">
        <v>2452315</v>
      </c>
      <c r="C8630" s="0" t="n">
        <v>2452335</v>
      </c>
      <c r="D8630" s="0" t="s">
        <v>28818</v>
      </c>
      <c r="E8630" s="0" t="s">
        <v>89</v>
      </c>
      <c r="F8630" s="0" t="s">
        <v>90</v>
      </c>
      <c r="G8630" s="0" t="s">
        <v>16</v>
      </c>
      <c r="H8630" s="0" t="n">
        <v>7</v>
      </c>
      <c r="I8630" s="0" t="s">
        <v>28819</v>
      </c>
      <c r="J8630" s="0" t="s">
        <v>28820</v>
      </c>
      <c r="K8630" s="0" t="s">
        <v>28821</v>
      </c>
      <c r="L8630" s="0" t="str">
        <f aca="false">HYPERLINK("https://www.ncbi.nlm.nih.gov/nuccore/CP000304.1?report=graph&amp;tracks=[key:gene_model_track,Options:GeneOnly]&amp;mk=2452316:2452335|offset_7|00cc00,2452274:2452293|offset_49|444444,2452254:2452273|offset_69|444444,2452229:2452248|offset_94|444444&amp;v=2452115:2452448&amp;c=444444", "offset 7")</f>
        <v>offset 7</v>
      </c>
    </row>
    <row r="8631" customFormat="false" ht="12.8" hidden="false" customHeight="false" outlineLevel="0" collapsed="false">
      <c r="A8631" s="0" t="s">
        <v>12</v>
      </c>
      <c r="B8631" s="0" t="n">
        <v>2452273</v>
      </c>
      <c r="C8631" s="0" t="n">
        <v>2452293</v>
      </c>
      <c r="D8631" s="0" t="s">
        <v>28818</v>
      </c>
      <c r="E8631" s="0" t="s">
        <v>89</v>
      </c>
      <c r="F8631" s="0" t="s">
        <v>90</v>
      </c>
      <c r="G8631" s="0" t="s">
        <v>36</v>
      </c>
      <c r="H8631" s="0" t="n">
        <v>49</v>
      </c>
      <c r="I8631" s="0" t="s">
        <v>28822</v>
      </c>
      <c r="J8631" s="0" t="s">
        <v>28823</v>
      </c>
      <c r="K8631" s="0" t="s">
        <v>28824</v>
      </c>
      <c r="L8631" s="0" t="str">
        <f aca="false">HYPERLINK("https://www.ncbi.nlm.nih.gov/nuccore/CP000304.1?report=graph&amp;tracks=[key:gene_model_track,Options:GeneOnly]&amp;mk=2452316:2452335|offset_7|444444,2452274:2452293|offset_49|00cc00,2452254:2452273|offset_69|444444,2452229:2452248|offset_94|444444&amp;v=2452115:2452448&amp;c=444444", "offset 49")</f>
        <v>offset 49</v>
      </c>
    </row>
    <row r="8632" customFormat="false" ht="12.8" hidden="false" customHeight="false" outlineLevel="0" collapsed="false">
      <c r="A8632" s="0" t="s">
        <v>12</v>
      </c>
      <c r="B8632" s="0" t="n">
        <v>2452253</v>
      </c>
      <c r="C8632" s="0" t="n">
        <v>2452273</v>
      </c>
      <c r="D8632" s="0" t="s">
        <v>28818</v>
      </c>
      <c r="E8632" s="0" t="s">
        <v>89</v>
      </c>
      <c r="F8632" s="0" t="s">
        <v>90</v>
      </c>
      <c r="G8632" s="0" t="s">
        <v>36</v>
      </c>
      <c r="H8632" s="0" t="n">
        <v>69</v>
      </c>
      <c r="I8632" s="0" t="s">
        <v>28825</v>
      </c>
      <c r="J8632" s="0" t="s">
        <v>28826</v>
      </c>
      <c r="K8632" s="0" t="s">
        <v>28827</v>
      </c>
      <c r="L8632" s="0" t="str">
        <f aca="false">HYPERLINK("https://www.ncbi.nlm.nih.gov/nuccore/CP000304.1?report=graph&amp;tracks=[key:gene_model_track,Options:GeneOnly]&amp;mk=2452316:2452335|offset_7|444444,2452274:2452293|offset_49|444444,2452254:2452273|offset_69|00cc00,2452229:2452248|offset_94|444444&amp;v=2452115:2452448&amp;c=444444", "offset 69")</f>
        <v>offset 69</v>
      </c>
    </row>
    <row r="8633" customFormat="false" ht="12.8" hidden="false" customHeight="false" outlineLevel="0" collapsed="false">
      <c r="A8633" s="0" t="s">
        <v>12</v>
      </c>
      <c r="B8633" s="0" t="n">
        <v>2452228</v>
      </c>
      <c r="C8633" s="0" t="n">
        <v>2452248</v>
      </c>
      <c r="D8633" s="0" t="s">
        <v>28818</v>
      </c>
      <c r="E8633" s="0" t="s">
        <v>89</v>
      </c>
      <c r="F8633" s="0" t="s">
        <v>90</v>
      </c>
      <c r="G8633" s="0" t="s">
        <v>16</v>
      </c>
      <c r="H8633" s="0" t="n">
        <v>94</v>
      </c>
      <c r="I8633" s="0" t="s">
        <v>28828</v>
      </c>
      <c r="J8633" s="0" t="s">
        <v>28829</v>
      </c>
      <c r="K8633" s="0" t="s">
        <v>28830</v>
      </c>
      <c r="L8633" s="0" t="str">
        <f aca="false">HYPERLINK("https://www.ncbi.nlm.nih.gov/nuccore/CP000304.1?report=graph&amp;tracks=[key:gene_model_track,Options:GeneOnly]&amp;mk=2452316:2452335|offset_7|444444,2452274:2452293|offset_49|444444,2452254:2452273|offset_69|444444,2452229:2452248|offset_94|00cc00&amp;v=2452115:2452448&amp;c=444444", "offset 94")</f>
        <v>offset 94</v>
      </c>
    </row>
    <row r="8634" customFormat="false" ht="12.8" hidden="false" customHeight="false" outlineLevel="0" collapsed="false">
      <c r="A8634" s="0" t="s">
        <v>12</v>
      </c>
      <c r="B8634" s="0" t="n">
        <v>2454738</v>
      </c>
      <c r="C8634" s="0" t="n">
        <v>2454758</v>
      </c>
      <c r="D8634" s="0" t="s">
        <v>28831</v>
      </c>
      <c r="E8634" s="0" t="s">
        <v>89</v>
      </c>
      <c r="F8634" s="0" t="s">
        <v>90</v>
      </c>
      <c r="G8634" s="0" t="s">
        <v>26</v>
      </c>
      <c r="H8634" s="0" t="n">
        <v>14</v>
      </c>
      <c r="I8634" s="0" t="s">
        <v>28832</v>
      </c>
      <c r="J8634" s="0" t="s">
        <v>28833</v>
      </c>
      <c r="K8634" s="0" t="s">
        <v>28834</v>
      </c>
      <c r="L8634" s="0" t="str">
        <f aca="false">HYPERLINK("https://www.ncbi.nlm.nih.gov/nuccore/CP000304.1?report=graph&amp;tracks=[key:gene_model_track,Options:GeneOnly]&amp;mk=2454739:2454758|offset_14|00cc00,2454715:2454734|offset_38|444444,2454692:2454711|offset_61|444444,2454662:2454681|offset_91|444444&amp;v=2454538:2454881&amp;c=444444", "offset 14")</f>
        <v>offset 14</v>
      </c>
    </row>
    <row r="8635" customFormat="false" ht="12.8" hidden="false" customHeight="false" outlineLevel="0" collapsed="false">
      <c r="A8635" s="0" t="s">
        <v>12</v>
      </c>
      <c r="B8635" s="0" t="n">
        <v>2454714</v>
      </c>
      <c r="C8635" s="0" t="n">
        <v>2454734</v>
      </c>
      <c r="D8635" s="0" t="s">
        <v>28831</v>
      </c>
      <c r="E8635" s="0" t="s">
        <v>89</v>
      </c>
      <c r="F8635" s="0" t="s">
        <v>90</v>
      </c>
      <c r="G8635" s="0" t="s">
        <v>32</v>
      </c>
      <c r="H8635" s="0" t="n">
        <v>38</v>
      </c>
      <c r="I8635" s="0" t="s">
        <v>28835</v>
      </c>
      <c r="J8635" s="0" t="s">
        <v>28836</v>
      </c>
      <c r="K8635" s="0" t="s">
        <v>28837</v>
      </c>
      <c r="L8635" s="0" t="str">
        <f aca="false">HYPERLINK("https://www.ncbi.nlm.nih.gov/nuccore/CP000304.1?report=graph&amp;tracks=[key:gene_model_track,Options:GeneOnly]&amp;mk=2454739:2454758|offset_14|444444,2454715:2454734|offset_38|00cc00,2454692:2454711|offset_61|444444,2454662:2454681|offset_91|444444&amp;v=2454538:2454881&amp;c=444444", "offset 38")</f>
        <v>offset 38</v>
      </c>
    </row>
    <row r="8636" customFormat="false" ht="12.8" hidden="false" customHeight="false" outlineLevel="0" collapsed="false">
      <c r="A8636" s="0" t="s">
        <v>12</v>
      </c>
      <c r="B8636" s="0" t="n">
        <v>2454691</v>
      </c>
      <c r="C8636" s="0" t="n">
        <v>2454711</v>
      </c>
      <c r="D8636" s="0" t="s">
        <v>28831</v>
      </c>
      <c r="E8636" s="0" t="s">
        <v>89</v>
      </c>
      <c r="F8636" s="0" t="s">
        <v>90</v>
      </c>
      <c r="G8636" s="0" t="s">
        <v>16</v>
      </c>
      <c r="H8636" s="0" t="n">
        <v>61</v>
      </c>
      <c r="I8636" s="0" t="s">
        <v>28838</v>
      </c>
      <c r="J8636" s="0" t="s">
        <v>28839</v>
      </c>
      <c r="K8636" s="0" t="s">
        <v>28840</v>
      </c>
      <c r="L8636" s="0" t="str">
        <f aca="false">HYPERLINK("https://www.ncbi.nlm.nih.gov/nuccore/CP000304.1?report=graph&amp;tracks=[key:gene_model_track,Options:GeneOnly]&amp;mk=2454739:2454758|offset_14|444444,2454715:2454734|offset_38|444444,2454692:2454711|offset_61|00cc00,2454662:2454681|offset_91|444444&amp;v=2454538:2454881&amp;c=444444", "offset 61")</f>
        <v>offset 61</v>
      </c>
    </row>
    <row r="8637" customFormat="false" ht="12.8" hidden="false" customHeight="false" outlineLevel="0" collapsed="false">
      <c r="A8637" s="0" t="s">
        <v>12</v>
      </c>
      <c r="B8637" s="0" t="n">
        <v>2454661</v>
      </c>
      <c r="C8637" s="0" t="n">
        <v>2454681</v>
      </c>
      <c r="D8637" s="0" t="s">
        <v>28831</v>
      </c>
      <c r="E8637" s="0" t="s">
        <v>89</v>
      </c>
      <c r="F8637" s="0" t="s">
        <v>90</v>
      </c>
      <c r="G8637" s="0" t="s">
        <v>26</v>
      </c>
      <c r="H8637" s="0" t="n">
        <v>91</v>
      </c>
      <c r="I8637" s="0" t="s">
        <v>28841</v>
      </c>
      <c r="J8637" s="0" t="s">
        <v>28842</v>
      </c>
      <c r="K8637" s="0" t="s">
        <v>28843</v>
      </c>
      <c r="L8637" s="0" t="str">
        <f aca="false">HYPERLINK("https://www.ncbi.nlm.nih.gov/nuccore/CP000304.1?report=graph&amp;tracks=[key:gene_model_track,Options:GeneOnly]&amp;mk=2454739:2454758|offset_14|444444,2454715:2454734|offset_38|444444,2454692:2454711|offset_61|444444,2454662:2454681|offset_91|00cc00&amp;v=2454538:2454881&amp;c=444444", "offset 91")</f>
        <v>offset 91</v>
      </c>
    </row>
    <row r="8638" customFormat="false" ht="12.8" hidden="false" customHeight="false" outlineLevel="0" collapsed="false">
      <c r="A8638" s="0" t="s">
        <v>12</v>
      </c>
      <c r="B8638" s="0" t="n">
        <v>2455547</v>
      </c>
      <c r="C8638" s="0" t="n">
        <v>2455567</v>
      </c>
      <c r="D8638" s="0" t="s">
        <v>28844</v>
      </c>
      <c r="E8638" s="0" t="s">
        <v>28845</v>
      </c>
      <c r="F8638" s="0" t="s">
        <v>90</v>
      </c>
      <c r="G8638" s="0" t="s">
        <v>16</v>
      </c>
      <c r="H8638" s="0" t="n">
        <v>25</v>
      </c>
      <c r="I8638" s="0" t="s">
        <v>28846</v>
      </c>
      <c r="J8638" s="0" t="s">
        <v>28847</v>
      </c>
      <c r="K8638" s="0" t="s">
        <v>28848</v>
      </c>
      <c r="L8638" s="0" t="str">
        <f aca="false">HYPERLINK("https://www.ncbi.nlm.nih.gov/nuccore/CP000304.1?report=graph&amp;tracks=[key:gene_model_track,Options:GeneOnly]&amp;mk=2455548:2455567|offset_25|00cc00,2455517:2455536|offset_56|444444,2455475:2455494|offset_98|444444,2455454:2455473|offset_119|444444&amp;v=2455347:2455673&amp;c=444444", "offset 25")</f>
        <v>offset 25</v>
      </c>
    </row>
    <row r="8639" customFormat="false" ht="12.8" hidden="false" customHeight="false" outlineLevel="0" collapsed="false">
      <c r="A8639" s="0" t="s">
        <v>12</v>
      </c>
      <c r="B8639" s="0" t="n">
        <v>2455516</v>
      </c>
      <c r="C8639" s="0" t="n">
        <v>2455536</v>
      </c>
      <c r="D8639" s="0" t="s">
        <v>28844</v>
      </c>
      <c r="E8639" s="0" t="s">
        <v>28845</v>
      </c>
      <c r="F8639" s="0" t="s">
        <v>90</v>
      </c>
      <c r="G8639" s="0" t="s">
        <v>32</v>
      </c>
      <c r="H8639" s="0" t="n">
        <v>56</v>
      </c>
      <c r="I8639" s="0" t="s">
        <v>28849</v>
      </c>
      <c r="J8639" s="0" t="s">
        <v>28850</v>
      </c>
      <c r="K8639" s="0" t="s">
        <v>28851</v>
      </c>
      <c r="L8639" s="0" t="str">
        <f aca="false">HYPERLINK("https://www.ncbi.nlm.nih.gov/nuccore/CP000304.1?report=graph&amp;tracks=[key:gene_model_track,Options:GeneOnly]&amp;mk=2455548:2455567|offset_25|444444,2455517:2455536|offset_56|00cc00,2455475:2455494|offset_98|444444,2455454:2455473|offset_119|444444&amp;v=2455347:2455673&amp;c=444444", "offset 56")</f>
        <v>offset 56</v>
      </c>
    </row>
    <row r="8640" customFormat="false" ht="12.8" hidden="false" customHeight="false" outlineLevel="0" collapsed="false">
      <c r="A8640" s="0" t="s">
        <v>12</v>
      </c>
      <c r="B8640" s="0" t="n">
        <v>2455474</v>
      </c>
      <c r="C8640" s="0" t="n">
        <v>2455494</v>
      </c>
      <c r="D8640" s="0" t="s">
        <v>28844</v>
      </c>
      <c r="E8640" s="0" t="s">
        <v>28845</v>
      </c>
      <c r="F8640" s="0" t="s">
        <v>90</v>
      </c>
      <c r="G8640" s="0" t="s">
        <v>16</v>
      </c>
      <c r="H8640" s="0" t="n">
        <v>98</v>
      </c>
      <c r="I8640" s="0" t="s">
        <v>28852</v>
      </c>
      <c r="J8640" s="0" t="s">
        <v>28853</v>
      </c>
      <c r="K8640" s="0" t="s">
        <v>28854</v>
      </c>
      <c r="L8640" s="0" t="str">
        <f aca="false">HYPERLINK("https://www.ncbi.nlm.nih.gov/nuccore/CP000304.1?report=graph&amp;tracks=[key:gene_model_track,Options:GeneOnly]&amp;mk=2455548:2455567|offset_25|444444,2455517:2455536|offset_56|444444,2455475:2455494|offset_98|00cc00,2455454:2455473|offset_119|444444&amp;v=2455347:2455673&amp;c=444444", "offset 98")</f>
        <v>offset 98</v>
      </c>
    </row>
    <row r="8641" customFormat="false" ht="12.8" hidden="false" customHeight="false" outlineLevel="0" collapsed="false">
      <c r="A8641" s="0" t="s">
        <v>12</v>
      </c>
      <c r="B8641" s="0" t="n">
        <v>2455453</v>
      </c>
      <c r="C8641" s="0" t="n">
        <v>2455473</v>
      </c>
      <c r="D8641" s="0" t="s">
        <v>28844</v>
      </c>
      <c r="E8641" s="0" t="s">
        <v>28845</v>
      </c>
      <c r="F8641" s="0" t="s">
        <v>90</v>
      </c>
      <c r="G8641" s="0" t="s">
        <v>32</v>
      </c>
      <c r="H8641" s="0" t="n">
        <v>119</v>
      </c>
      <c r="I8641" s="0" t="s">
        <v>28855</v>
      </c>
      <c r="J8641" s="0" t="s">
        <v>28856</v>
      </c>
      <c r="K8641" s="0" t="s">
        <v>28857</v>
      </c>
      <c r="L8641" s="0" t="str">
        <f aca="false">HYPERLINK("https://www.ncbi.nlm.nih.gov/nuccore/CP000304.1?report=graph&amp;tracks=[key:gene_model_track,Options:GeneOnly]&amp;mk=2455548:2455567|offset_25|444444,2455517:2455536|offset_56|444444,2455475:2455494|offset_98|444444,2455454:2455473|offset_119|00cc00&amp;v=2455347:2455673&amp;c=444444", "offset 119")</f>
        <v>offset 119</v>
      </c>
    </row>
    <row r="8642" customFormat="false" ht="12.8" hidden="false" customHeight="false" outlineLevel="0" collapsed="false">
      <c r="A8642" s="0" t="s">
        <v>12</v>
      </c>
      <c r="B8642" s="0" t="n">
        <v>2456011</v>
      </c>
      <c r="C8642" s="0" t="n">
        <v>2456031</v>
      </c>
      <c r="D8642" s="0" t="s">
        <v>28858</v>
      </c>
      <c r="E8642" s="0" t="s">
        <v>28859</v>
      </c>
      <c r="F8642" s="0" t="s">
        <v>90</v>
      </c>
      <c r="G8642" s="0" t="s">
        <v>16</v>
      </c>
      <c r="H8642" s="0" t="n">
        <v>31</v>
      </c>
      <c r="I8642" s="0" t="s">
        <v>28860</v>
      </c>
      <c r="J8642" s="0" t="s">
        <v>28861</v>
      </c>
      <c r="K8642" s="0" t="s">
        <v>28862</v>
      </c>
      <c r="L8642" s="0" t="str">
        <f aca="false">HYPERLINK("https://www.ncbi.nlm.nih.gov/nuccore/CP000304.1?report=graph&amp;tracks=[key:gene_model_track,Options:GeneOnly]&amp;mk=2456012:2456031|offset_31|00cc00,2455989:2456008|offset_54|444444,2455920:2455939|offset_123|444444,2455883:2455902|offset_160|444444&amp;v=2455811:2456102&amp;c=444444", "offset 31")</f>
        <v>offset 31</v>
      </c>
    </row>
    <row r="8643" customFormat="false" ht="12.8" hidden="false" customHeight="false" outlineLevel="0" collapsed="false">
      <c r="A8643" s="0" t="s">
        <v>12</v>
      </c>
      <c r="B8643" s="0" t="n">
        <v>2455988</v>
      </c>
      <c r="C8643" s="0" t="n">
        <v>2456008</v>
      </c>
      <c r="D8643" s="0" t="s">
        <v>28858</v>
      </c>
      <c r="E8643" s="0" t="s">
        <v>28859</v>
      </c>
      <c r="F8643" s="0" t="s">
        <v>90</v>
      </c>
      <c r="G8643" s="0" t="s">
        <v>26</v>
      </c>
      <c r="H8643" s="0" t="n">
        <v>54</v>
      </c>
      <c r="I8643" s="0" t="s">
        <v>28863</v>
      </c>
      <c r="J8643" s="0" t="s">
        <v>28864</v>
      </c>
      <c r="K8643" s="0" t="s">
        <v>28865</v>
      </c>
      <c r="L8643" s="0" t="str">
        <f aca="false">HYPERLINK("https://www.ncbi.nlm.nih.gov/nuccore/CP000304.1?report=graph&amp;tracks=[key:gene_model_track,Options:GeneOnly]&amp;mk=2456012:2456031|offset_31|444444,2455989:2456008|offset_54|00cc00,2455920:2455939|offset_123|444444,2455883:2455902|offset_160|444444&amp;v=2455811:2456102&amp;c=444444", "offset 54")</f>
        <v>offset 54</v>
      </c>
    </row>
    <row r="8644" customFormat="false" ht="12.8" hidden="false" customHeight="false" outlineLevel="0" collapsed="false">
      <c r="A8644" s="0" t="s">
        <v>12</v>
      </c>
      <c r="B8644" s="0" t="n">
        <v>2455919</v>
      </c>
      <c r="C8644" s="0" t="n">
        <v>2455939</v>
      </c>
      <c r="D8644" s="0" t="s">
        <v>28858</v>
      </c>
      <c r="E8644" s="0" t="s">
        <v>28859</v>
      </c>
      <c r="F8644" s="0" t="s">
        <v>90</v>
      </c>
      <c r="G8644" s="0" t="s">
        <v>16</v>
      </c>
      <c r="H8644" s="0" t="n">
        <v>123</v>
      </c>
      <c r="I8644" s="0" t="s">
        <v>28866</v>
      </c>
      <c r="J8644" s="0" t="s">
        <v>28867</v>
      </c>
      <c r="K8644" s="0" t="s">
        <v>28868</v>
      </c>
      <c r="L8644" s="0" t="str">
        <f aca="false">HYPERLINK("https://www.ncbi.nlm.nih.gov/nuccore/CP000304.1?report=graph&amp;tracks=[key:gene_model_track,Options:GeneOnly]&amp;mk=2456012:2456031|offset_31|444444,2455989:2456008|offset_54|444444,2455920:2455939|offset_123|00cc00,2455883:2455902|offset_160|444444&amp;v=2455811:2456102&amp;c=444444", "offset 123")</f>
        <v>offset 123</v>
      </c>
    </row>
    <row r="8645" customFormat="false" ht="12.8" hidden="false" customHeight="false" outlineLevel="0" collapsed="false">
      <c r="A8645" s="0" t="s">
        <v>12</v>
      </c>
      <c r="B8645" s="0" t="n">
        <v>2455882</v>
      </c>
      <c r="C8645" s="0" t="n">
        <v>2455902</v>
      </c>
      <c r="D8645" s="0" t="s">
        <v>28858</v>
      </c>
      <c r="E8645" s="0" t="s">
        <v>28859</v>
      </c>
      <c r="F8645" s="0" t="s">
        <v>90</v>
      </c>
      <c r="G8645" s="0" t="s">
        <v>32</v>
      </c>
      <c r="H8645" s="0" t="n">
        <v>160</v>
      </c>
      <c r="I8645" s="0" t="s">
        <v>28869</v>
      </c>
      <c r="J8645" s="0" t="s">
        <v>28870</v>
      </c>
      <c r="K8645" s="0" t="s">
        <v>28871</v>
      </c>
      <c r="L8645" s="0" t="str">
        <f aca="false">HYPERLINK("https://www.ncbi.nlm.nih.gov/nuccore/CP000304.1?report=graph&amp;tracks=[key:gene_model_track,Options:GeneOnly]&amp;mk=2456012:2456031|offset_31|444444,2455989:2456008|offset_54|444444,2455920:2455939|offset_123|444444,2455883:2455902|offset_160|00cc00&amp;v=2455811:2456102&amp;c=444444", "offset 160")</f>
        <v>offset 160</v>
      </c>
    </row>
    <row r="8646" customFormat="false" ht="12.8" hidden="false" customHeight="false" outlineLevel="0" collapsed="false">
      <c r="A8646" s="0" t="s">
        <v>12</v>
      </c>
      <c r="B8646" s="0" t="n">
        <v>2456834</v>
      </c>
      <c r="C8646" s="0" t="n">
        <v>2456854</v>
      </c>
      <c r="D8646" s="0" t="s">
        <v>28872</v>
      </c>
      <c r="E8646" s="0" t="s">
        <v>89</v>
      </c>
      <c r="F8646" s="0" t="s">
        <v>90</v>
      </c>
      <c r="G8646" s="0" t="s">
        <v>16</v>
      </c>
      <c r="H8646" s="0" t="n">
        <v>15</v>
      </c>
      <c r="I8646" s="0" t="s">
        <v>28873</v>
      </c>
      <c r="J8646" s="0" t="s">
        <v>28874</v>
      </c>
      <c r="K8646" s="0" t="s">
        <v>28875</v>
      </c>
      <c r="L8646" s="0" t="str">
        <f aca="false">HYPERLINK("https://www.ncbi.nlm.nih.gov/nuccore/CP000304.1?report=graph&amp;tracks=[key:gene_model_track,Options:GeneOnly]&amp;mk=2456835:2456854|offset_15|00cc00,2456815:2456834|offset_35|444444,2456794:2456813|offset_56|444444,2456774:2456793|offset_76|444444&amp;v=2456634:2456993&amp;c=444444", "offset 15")</f>
        <v>offset 15</v>
      </c>
    </row>
    <row r="8647" customFormat="false" ht="12.8" hidden="false" customHeight="false" outlineLevel="0" collapsed="false">
      <c r="A8647" s="0" t="s">
        <v>12</v>
      </c>
      <c r="B8647" s="0" t="n">
        <v>2456814</v>
      </c>
      <c r="C8647" s="0" t="n">
        <v>2456834</v>
      </c>
      <c r="D8647" s="0" t="s">
        <v>28872</v>
      </c>
      <c r="E8647" s="0" t="s">
        <v>89</v>
      </c>
      <c r="F8647" s="0" t="s">
        <v>90</v>
      </c>
      <c r="G8647" s="0" t="s">
        <v>32</v>
      </c>
      <c r="H8647" s="0" t="n">
        <v>35</v>
      </c>
      <c r="I8647" s="0" t="s">
        <v>28876</v>
      </c>
      <c r="J8647" s="0" t="s">
        <v>28877</v>
      </c>
      <c r="K8647" s="0" t="s">
        <v>28878</v>
      </c>
      <c r="L8647" s="0" t="str">
        <f aca="false">HYPERLINK("https://www.ncbi.nlm.nih.gov/nuccore/CP000304.1?report=graph&amp;tracks=[key:gene_model_track,Options:GeneOnly]&amp;mk=2456835:2456854|offset_15|444444,2456815:2456834|offset_35|00cc00,2456794:2456813|offset_56|444444,2456774:2456793|offset_76|444444&amp;v=2456634:2456993&amp;c=444444", "offset 35")</f>
        <v>offset 35</v>
      </c>
    </row>
    <row r="8648" customFormat="false" ht="12.8" hidden="false" customHeight="false" outlineLevel="0" collapsed="false">
      <c r="A8648" s="0" t="s">
        <v>12</v>
      </c>
      <c r="B8648" s="0" t="n">
        <v>2456793</v>
      </c>
      <c r="C8648" s="0" t="n">
        <v>2456813</v>
      </c>
      <c r="D8648" s="0" t="s">
        <v>28872</v>
      </c>
      <c r="E8648" s="0" t="s">
        <v>89</v>
      </c>
      <c r="F8648" s="0" t="s">
        <v>90</v>
      </c>
      <c r="G8648" s="0" t="s">
        <v>32</v>
      </c>
      <c r="H8648" s="0" t="n">
        <v>56</v>
      </c>
      <c r="I8648" s="0" t="s">
        <v>28879</v>
      </c>
      <c r="J8648" s="0" t="s">
        <v>28880</v>
      </c>
      <c r="K8648" s="0" t="s">
        <v>28881</v>
      </c>
      <c r="L8648" s="0" t="str">
        <f aca="false">HYPERLINK("https://www.ncbi.nlm.nih.gov/nuccore/CP000304.1?report=graph&amp;tracks=[key:gene_model_track,Options:GeneOnly]&amp;mk=2456835:2456854|offset_15|444444,2456815:2456834|offset_35|444444,2456794:2456813|offset_56|00cc00,2456774:2456793|offset_76|444444&amp;v=2456634:2456993&amp;c=444444", "offset 56")</f>
        <v>offset 56</v>
      </c>
    </row>
    <row r="8649" customFormat="false" ht="12.8" hidden="false" customHeight="false" outlineLevel="0" collapsed="false">
      <c r="A8649" s="0" t="s">
        <v>12</v>
      </c>
      <c r="B8649" s="0" t="n">
        <v>2456773</v>
      </c>
      <c r="C8649" s="0" t="n">
        <v>2456793</v>
      </c>
      <c r="D8649" s="0" t="s">
        <v>28872</v>
      </c>
      <c r="E8649" s="0" t="s">
        <v>89</v>
      </c>
      <c r="F8649" s="0" t="s">
        <v>90</v>
      </c>
      <c r="G8649" s="0" t="s">
        <v>16</v>
      </c>
      <c r="H8649" s="0" t="n">
        <v>76</v>
      </c>
      <c r="I8649" s="0" t="s">
        <v>28882</v>
      </c>
      <c r="J8649" s="0" t="s">
        <v>28883</v>
      </c>
      <c r="K8649" s="0" t="s">
        <v>28884</v>
      </c>
      <c r="L8649" s="0" t="str">
        <f aca="false">HYPERLINK("https://www.ncbi.nlm.nih.gov/nuccore/CP000304.1?report=graph&amp;tracks=[key:gene_model_track,Options:GeneOnly]&amp;mk=2456835:2456854|offset_15|444444,2456815:2456834|offset_35|444444,2456794:2456813|offset_56|444444,2456774:2456793|offset_76|00cc00&amp;v=2456634:2456993&amp;c=444444", "offset 76")</f>
        <v>offset 76</v>
      </c>
    </row>
    <row r="8650" customFormat="false" ht="12.8" hidden="false" customHeight="false" outlineLevel="0" collapsed="false">
      <c r="A8650" s="0" t="s">
        <v>12</v>
      </c>
      <c r="B8650" s="0" t="n">
        <v>2456932</v>
      </c>
      <c r="C8650" s="0" t="n">
        <v>2456952</v>
      </c>
      <c r="D8650" s="0" t="s">
        <v>28885</v>
      </c>
      <c r="E8650" s="0" t="s">
        <v>28886</v>
      </c>
      <c r="F8650" s="0" t="s">
        <v>15</v>
      </c>
      <c r="G8650" s="0" t="s">
        <v>32</v>
      </c>
      <c r="H8650" s="0" t="n">
        <v>1</v>
      </c>
      <c r="I8650" s="0" t="s">
        <v>28887</v>
      </c>
      <c r="J8650" s="0" t="s">
        <v>28888</v>
      </c>
      <c r="K8650" s="0" t="s">
        <v>28889</v>
      </c>
      <c r="L8650" s="0" t="str">
        <f aca="false">HYPERLINK("https://www.ncbi.nlm.nih.gov/nuccore/CP000304.1?report=graph&amp;tracks=[key:gene_model_track,Options:GeneOnly]&amp;mk=2456933:2456952|offset_1|00cc00,2456956:2456975|offset_24|444444,2456979:2456998|offset_47|444444,2457006:2457025|offset_74|444444&amp;v=2456732:2457225&amp;c=444444", "offset 1")</f>
        <v>offset 1</v>
      </c>
    </row>
    <row r="8651" customFormat="false" ht="12.8" hidden="false" customHeight="false" outlineLevel="0" collapsed="false">
      <c r="A8651" s="0" t="s">
        <v>12</v>
      </c>
      <c r="B8651" s="0" t="n">
        <v>2456955</v>
      </c>
      <c r="C8651" s="0" t="n">
        <v>2456975</v>
      </c>
      <c r="D8651" s="0" t="s">
        <v>28885</v>
      </c>
      <c r="E8651" s="0" t="s">
        <v>28886</v>
      </c>
      <c r="F8651" s="0" t="s">
        <v>15</v>
      </c>
      <c r="G8651" s="0" t="s">
        <v>36</v>
      </c>
      <c r="H8651" s="0" t="n">
        <v>24</v>
      </c>
      <c r="I8651" s="0" t="s">
        <v>28890</v>
      </c>
      <c r="J8651" s="0" t="s">
        <v>28891</v>
      </c>
      <c r="K8651" s="0" t="s">
        <v>28892</v>
      </c>
      <c r="L8651" s="0" t="str">
        <f aca="false">HYPERLINK("https://www.ncbi.nlm.nih.gov/nuccore/CP000304.1?report=graph&amp;tracks=[key:gene_model_track,Options:GeneOnly]&amp;mk=2456933:2456952|offset_1|444444,2456956:2456975|offset_24|00cc00,2456979:2456998|offset_47|444444,2457006:2457025|offset_74|444444&amp;v=2456732:2457225&amp;c=444444", "offset 24")</f>
        <v>offset 24</v>
      </c>
    </row>
    <row r="8652" customFormat="false" ht="12.8" hidden="false" customHeight="false" outlineLevel="0" collapsed="false">
      <c r="A8652" s="0" t="s">
        <v>12</v>
      </c>
      <c r="B8652" s="0" t="n">
        <v>2456978</v>
      </c>
      <c r="C8652" s="0" t="n">
        <v>2456998</v>
      </c>
      <c r="D8652" s="0" t="s">
        <v>28885</v>
      </c>
      <c r="E8652" s="0" t="s">
        <v>28886</v>
      </c>
      <c r="F8652" s="0" t="s">
        <v>15</v>
      </c>
      <c r="G8652" s="0" t="s">
        <v>26</v>
      </c>
      <c r="H8652" s="0" t="n">
        <v>47</v>
      </c>
      <c r="I8652" s="0" t="s">
        <v>28893</v>
      </c>
      <c r="J8652" s="0" t="s">
        <v>28894</v>
      </c>
      <c r="K8652" s="0" t="s">
        <v>28895</v>
      </c>
      <c r="L8652" s="0" t="str">
        <f aca="false">HYPERLINK("https://www.ncbi.nlm.nih.gov/nuccore/CP000304.1?report=graph&amp;tracks=[key:gene_model_track,Options:GeneOnly]&amp;mk=2456933:2456952|offset_1|444444,2456956:2456975|offset_24|444444,2456979:2456998|offset_47|00cc00,2457006:2457025|offset_74|444444&amp;v=2456732:2457225&amp;c=444444", "offset 47")</f>
        <v>offset 47</v>
      </c>
    </row>
    <row r="8653" customFormat="false" ht="12.8" hidden="false" customHeight="false" outlineLevel="0" collapsed="false">
      <c r="A8653" s="0" t="s">
        <v>12</v>
      </c>
      <c r="B8653" s="0" t="n">
        <v>2457005</v>
      </c>
      <c r="C8653" s="0" t="n">
        <v>2457025</v>
      </c>
      <c r="D8653" s="0" t="s">
        <v>28885</v>
      </c>
      <c r="E8653" s="0" t="s">
        <v>28886</v>
      </c>
      <c r="F8653" s="0" t="s">
        <v>15</v>
      </c>
      <c r="G8653" s="0" t="s">
        <v>26</v>
      </c>
      <c r="H8653" s="0" t="n">
        <v>74</v>
      </c>
      <c r="I8653" s="0" t="s">
        <v>28896</v>
      </c>
      <c r="J8653" s="0" t="s">
        <v>28897</v>
      </c>
      <c r="K8653" s="0" t="s">
        <v>28898</v>
      </c>
      <c r="L8653" s="0" t="str">
        <f aca="false">HYPERLINK("https://www.ncbi.nlm.nih.gov/nuccore/CP000304.1?report=graph&amp;tracks=[key:gene_model_track,Options:GeneOnly]&amp;mk=2456933:2456952|offset_1|444444,2456956:2456975|offset_24|444444,2456979:2456998|offset_47|444444,2457006:2457025|offset_74|00cc00&amp;v=2456732:2457225&amp;c=444444", "offset 74")</f>
        <v>offset 74</v>
      </c>
    </row>
    <row r="8654" customFormat="false" ht="12.8" hidden="false" customHeight="false" outlineLevel="0" collapsed="false">
      <c r="A8654" s="0" t="s">
        <v>12</v>
      </c>
      <c r="B8654" s="0" t="n">
        <v>2457910</v>
      </c>
      <c r="C8654" s="0" t="n">
        <v>2457930</v>
      </c>
      <c r="D8654" s="0" t="s">
        <v>28899</v>
      </c>
      <c r="E8654" s="0" t="s">
        <v>28900</v>
      </c>
      <c r="F8654" s="0" t="s">
        <v>15</v>
      </c>
      <c r="G8654" s="0" t="s">
        <v>32</v>
      </c>
      <c r="H8654" s="0" t="n">
        <v>0</v>
      </c>
      <c r="I8654" s="0" t="s">
        <v>28901</v>
      </c>
      <c r="J8654" s="0" t="s">
        <v>28902</v>
      </c>
      <c r="K8654" s="0" t="s">
        <v>28903</v>
      </c>
      <c r="L8654" s="0" t="str">
        <f aca="false">HYPERLINK("https://www.ncbi.nlm.nih.gov/nuccore/CP000304.1?report=graph&amp;tracks=[key:gene_model_track,Options:GeneOnly]&amp;mk=2457911:2457930|offset_0|00cc00,2457937:2457956|offset_26|444444,2457960:2457979|offset_49|444444,2457984:2458003|offset_73|444444&amp;v=2457710:2458203&amp;c=444444", "offset 0")</f>
        <v>offset 0</v>
      </c>
    </row>
    <row r="8655" customFormat="false" ht="12.8" hidden="false" customHeight="false" outlineLevel="0" collapsed="false">
      <c r="A8655" s="0" t="s">
        <v>12</v>
      </c>
      <c r="B8655" s="0" t="n">
        <v>2457936</v>
      </c>
      <c r="C8655" s="0" t="n">
        <v>2457956</v>
      </c>
      <c r="D8655" s="0" t="s">
        <v>28899</v>
      </c>
      <c r="E8655" s="0" t="s">
        <v>28900</v>
      </c>
      <c r="F8655" s="0" t="s">
        <v>15</v>
      </c>
      <c r="G8655" s="0" t="s">
        <v>32</v>
      </c>
      <c r="H8655" s="0" t="n">
        <v>26</v>
      </c>
      <c r="I8655" s="0" t="s">
        <v>28904</v>
      </c>
      <c r="J8655" s="0" t="s">
        <v>28905</v>
      </c>
      <c r="K8655" s="0" t="s">
        <v>28906</v>
      </c>
      <c r="L8655" s="0" t="str">
        <f aca="false">HYPERLINK("https://www.ncbi.nlm.nih.gov/nuccore/CP000304.1?report=graph&amp;tracks=[key:gene_model_track,Options:GeneOnly]&amp;mk=2457911:2457930|offset_0|444444,2457937:2457956|offset_26|00cc00,2457960:2457979|offset_49|444444,2457984:2458003|offset_73|444444&amp;v=2457710:2458203&amp;c=444444", "offset 26")</f>
        <v>offset 26</v>
      </c>
    </row>
    <row r="8656" customFormat="false" ht="12.8" hidden="false" customHeight="false" outlineLevel="0" collapsed="false">
      <c r="A8656" s="0" t="s">
        <v>12</v>
      </c>
      <c r="B8656" s="0" t="n">
        <v>2457959</v>
      </c>
      <c r="C8656" s="0" t="n">
        <v>2457979</v>
      </c>
      <c r="D8656" s="0" t="s">
        <v>28899</v>
      </c>
      <c r="E8656" s="0" t="s">
        <v>28900</v>
      </c>
      <c r="F8656" s="0" t="s">
        <v>15</v>
      </c>
      <c r="G8656" s="0" t="s">
        <v>26</v>
      </c>
      <c r="H8656" s="0" t="n">
        <v>49</v>
      </c>
      <c r="I8656" s="0" t="s">
        <v>28907</v>
      </c>
      <c r="J8656" s="0" t="s">
        <v>28908</v>
      </c>
      <c r="K8656" s="0" t="s">
        <v>28909</v>
      </c>
      <c r="L8656" s="0" t="str">
        <f aca="false">HYPERLINK("https://www.ncbi.nlm.nih.gov/nuccore/CP000304.1?report=graph&amp;tracks=[key:gene_model_track,Options:GeneOnly]&amp;mk=2457911:2457930|offset_0|444444,2457937:2457956|offset_26|444444,2457960:2457979|offset_49|00cc00,2457984:2458003|offset_73|444444&amp;v=2457710:2458203&amp;c=444444", "offset 49")</f>
        <v>offset 49</v>
      </c>
    </row>
    <row r="8657" customFormat="false" ht="12.8" hidden="false" customHeight="false" outlineLevel="0" collapsed="false">
      <c r="A8657" s="0" t="s">
        <v>12</v>
      </c>
      <c r="B8657" s="0" t="n">
        <v>2457983</v>
      </c>
      <c r="C8657" s="0" t="n">
        <v>2458003</v>
      </c>
      <c r="D8657" s="0" t="s">
        <v>28899</v>
      </c>
      <c r="E8657" s="0" t="s">
        <v>28900</v>
      </c>
      <c r="F8657" s="0" t="s">
        <v>15</v>
      </c>
      <c r="G8657" s="0" t="s">
        <v>32</v>
      </c>
      <c r="H8657" s="0" t="n">
        <v>73</v>
      </c>
      <c r="I8657" s="0" t="s">
        <v>28910</v>
      </c>
      <c r="J8657" s="0" t="s">
        <v>28911</v>
      </c>
      <c r="K8657" s="0" t="s">
        <v>28912</v>
      </c>
      <c r="L8657" s="0" t="str">
        <f aca="false">HYPERLINK("https://www.ncbi.nlm.nih.gov/nuccore/CP000304.1?report=graph&amp;tracks=[key:gene_model_track,Options:GeneOnly]&amp;mk=2457911:2457930|offset_0|444444,2457937:2457956|offset_26|444444,2457960:2457979|offset_49|444444,2457984:2458003|offset_73|00cc00&amp;v=2457710:2458203&amp;c=444444", "offset 73")</f>
        <v>offset 73</v>
      </c>
    </row>
    <row r="8658" customFormat="false" ht="12.8" hidden="false" customHeight="false" outlineLevel="0" collapsed="false">
      <c r="A8658" s="0" t="s">
        <v>12</v>
      </c>
      <c r="B8658" s="0" t="n">
        <v>2461025</v>
      </c>
      <c r="C8658" s="0" t="n">
        <v>2461045</v>
      </c>
      <c r="D8658" s="0" t="s">
        <v>28913</v>
      </c>
      <c r="E8658" s="0" t="s">
        <v>89</v>
      </c>
      <c r="F8658" s="0" t="s">
        <v>90</v>
      </c>
      <c r="G8658" s="0" t="s">
        <v>16</v>
      </c>
      <c r="H8658" s="0" t="n">
        <v>74</v>
      </c>
      <c r="I8658" s="0" t="s">
        <v>28914</v>
      </c>
      <c r="J8658" s="0" t="s">
        <v>28915</v>
      </c>
      <c r="K8658" s="0" t="s">
        <v>28916</v>
      </c>
      <c r="L8658" s="0" t="str">
        <f aca="false">HYPERLINK("https://www.ncbi.nlm.nih.gov/nuccore/CP000304.1?report=graph&amp;tracks=[key:gene_model_track,Options:GeneOnly]&amp;mk=2461026:2461045|offset_74|00cc00,2460996:2461015|offset_104|444444,2460960:2460979|offset_140|444444,2460939:2460958|offset_161|444444&amp;v=2460825:2461158&amp;c=444444", "offset 74")</f>
        <v>offset 74</v>
      </c>
    </row>
    <row r="8659" customFormat="false" ht="12.8" hidden="false" customHeight="false" outlineLevel="0" collapsed="false">
      <c r="A8659" s="0" t="s">
        <v>12</v>
      </c>
      <c r="B8659" s="0" t="n">
        <v>2460995</v>
      </c>
      <c r="C8659" s="0" t="n">
        <v>2461015</v>
      </c>
      <c r="D8659" s="0" t="s">
        <v>28913</v>
      </c>
      <c r="E8659" s="0" t="s">
        <v>89</v>
      </c>
      <c r="F8659" s="0" t="s">
        <v>90</v>
      </c>
      <c r="G8659" s="0" t="s">
        <v>16</v>
      </c>
      <c r="H8659" s="0" t="n">
        <v>104</v>
      </c>
      <c r="I8659" s="0" t="s">
        <v>28917</v>
      </c>
      <c r="J8659" s="0" t="s">
        <v>28918</v>
      </c>
      <c r="K8659" s="0" t="s">
        <v>28919</v>
      </c>
      <c r="L8659" s="0" t="str">
        <f aca="false">HYPERLINK("https://www.ncbi.nlm.nih.gov/nuccore/CP000304.1?report=graph&amp;tracks=[key:gene_model_track,Options:GeneOnly]&amp;mk=2461026:2461045|offset_74|444444,2460996:2461015|offset_104|00cc00,2460960:2460979|offset_140|444444,2460939:2460958|offset_161|444444&amp;v=2460825:2461158&amp;c=444444", "offset 104")</f>
        <v>offset 104</v>
      </c>
    </row>
    <row r="8660" customFormat="false" ht="12.8" hidden="false" customHeight="false" outlineLevel="0" collapsed="false">
      <c r="A8660" s="0" t="s">
        <v>12</v>
      </c>
      <c r="B8660" s="0" t="n">
        <v>2460959</v>
      </c>
      <c r="C8660" s="0" t="n">
        <v>2460979</v>
      </c>
      <c r="D8660" s="0" t="s">
        <v>28913</v>
      </c>
      <c r="E8660" s="0" t="s">
        <v>89</v>
      </c>
      <c r="F8660" s="0" t="s">
        <v>90</v>
      </c>
      <c r="G8660" s="0" t="s">
        <v>16</v>
      </c>
      <c r="H8660" s="0" t="n">
        <v>140</v>
      </c>
      <c r="I8660" s="0" t="s">
        <v>28920</v>
      </c>
      <c r="J8660" s="0" t="s">
        <v>28921</v>
      </c>
      <c r="K8660" s="0" t="s">
        <v>28922</v>
      </c>
      <c r="L8660" s="0" t="str">
        <f aca="false">HYPERLINK("https://www.ncbi.nlm.nih.gov/nuccore/CP000304.1?report=graph&amp;tracks=[key:gene_model_track,Options:GeneOnly]&amp;mk=2461026:2461045|offset_74|444444,2460996:2461015|offset_104|444444,2460960:2460979|offset_140|00cc00,2460939:2460958|offset_161|444444&amp;v=2460825:2461158&amp;c=444444", "offset 140")</f>
        <v>offset 140</v>
      </c>
    </row>
    <row r="8661" customFormat="false" ht="12.8" hidden="false" customHeight="false" outlineLevel="0" collapsed="false">
      <c r="A8661" s="0" t="s">
        <v>12</v>
      </c>
      <c r="B8661" s="0" t="n">
        <v>2460938</v>
      </c>
      <c r="C8661" s="0" t="n">
        <v>2460958</v>
      </c>
      <c r="D8661" s="0" t="s">
        <v>28913</v>
      </c>
      <c r="E8661" s="0" t="s">
        <v>89</v>
      </c>
      <c r="F8661" s="0" t="s">
        <v>90</v>
      </c>
      <c r="G8661" s="0" t="s">
        <v>16</v>
      </c>
      <c r="H8661" s="0" t="n">
        <v>161</v>
      </c>
      <c r="I8661" s="0" t="s">
        <v>28923</v>
      </c>
      <c r="J8661" s="0" t="s">
        <v>28924</v>
      </c>
      <c r="K8661" s="0" t="s">
        <v>28925</v>
      </c>
      <c r="L8661" s="0" t="str">
        <f aca="false">HYPERLINK("https://www.ncbi.nlm.nih.gov/nuccore/CP000304.1?report=graph&amp;tracks=[key:gene_model_track,Options:GeneOnly]&amp;mk=2461026:2461045|offset_74|444444,2460996:2461015|offset_104|444444,2460960:2460979|offset_140|444444,2460939:2460958|offset_161|00cc00&amp;v=2460825:2461158&amp;c=444444", "offset 161")</f>
        <v>offset 161</v>
      </c>
    </row>
    <row r="8662" customFormat="false" ht="12.8" hidden="false" customHeight="false" outlineLevel="0" collapsed="false">
      <c r="A8662" s="0" t="s">
        <v>12</v>
      </c>
      <c r="B8662" s="0" t="n">
        <v>2461121</v>
      </c>
      <c r="C8662" s="0" t="n">
        <v>2461141</v>
      </c>
      <c r="D8662" s="0" t="s">
        <v>28926</v>
      </c>
      <c r="E8662" s="0" t="s">
        <v>89</v>
      </c>
      <c r="F8662" s="0" t="s">
        <v>15</v>
      </c>
      <c r="G8662" s="0" t="s">
        <v>32</v>
      </c>
      <c r="H8662" s="0" t="n">
        <v>61</v>
      </c>
      <c r="I8662" s="0" t="s">
        <v>28927</v>
      </c>
      <c r="J8662" s="0" t="s">
        <v>28928</v>
      </c>
      <c r="K8662" s="0" t="s">
        <v>28929</v>
      </c>
      <c r="L8662" s="0" t="str">
        <f aca="false">HYPERLINK("https://www.ncbi.nlm.nih.gov/nuccore/CP000304.1?report=graph&amp;tracks=[key:gene_model_track,Options:GeneOnly]&amp;mk=2461122:2461141|offset_61|00cc00,2461168:2461187|offset_107|444444,2461201:2461220|offset_140|444444,2461222:2461241|offset_161|444444&amp;v=2460921:2461441&amp;c=444444", "offset 61")</f>
        <v>offset 61</v>
      </c>
    </row>
    <row r="8663" customFormat="false" ht="12.8" hidden="false" customHeight="false" outlineLevel="0" collapsed="false">
      <c r="A8663" s="0" t="s">
        <v>12</v>
      </c>
      <c r="B8663" s="0" t="n">
        <v>2461167</v>
      </c>
      <c r="C8663" s="0" t="n">
        <v>2461187</v>
      </c>
      <c r="D8663" s="0" t="s">
        <v>28926</v>
      </c>
      <c r="E8663" s="0" t="s">
        <v>89</v>
      </c>
      <c r="F8663" s="0" t="s">
        <v>15</v>
      </c>
      <c r="G8663" s="0" t="s">
        <v>36</v>
      </c>
      <c r="H8663" s="0" t="n">
        <v>107</v>
      </c>
      <c r="I8663" s="0" t="s">
        <v>28930</v>
      </c>
      <c r="J8663" s="0" t="s">
        <v>28931</v>
      </c>
      <c r="K8663" s="0" t="s">
        <v>28932</v>
      </c>
      <c r="L8663" s="0" t="str">
        <f aca="false">HYPERLINK("https://www.ncbi.nlm.nih.gov/nuccore/CP000304.1?report=graph&amp;tracks=[key:gene_model_track,Options:GeneOnly]&amp;mk=2461122:2461141|offset_61|444444,2461168:2461187|offset_107|00cc00,2461201:2461220|offset_140|444444,2461222:2461241|offset_161|444444&amp;v=2460921:2461441&amp;c=444444", "offset 107")</f>
        <v>offset 107</v>
      </c>
    </row>
    <row r="8664" customFormat="false" ht="12.8" hidden="false" customHeight="false" outlineLevel="0" collapsed="false">
      <c r="A8664" s="0" t="s">
        <v>12</v>
      </c>
      <c r="B8664" s="0" t="n">
        <v>2461200</v>
      </c>
      <c r="C8664" s="0" t="n">
        <v>2461220</v>
      </c>
      <c r="D8664" s="0" t="s">
        <v>28926</v>
      </c>
      <c r="E8664" s="0" t="s">
        <v>89</v>
      </c>
      <c r="F8664" s="0" t="s">
        <v>15</v>
      </c>
      <c r="G8664" s="0" t="s">
        <v>36</v>
      </c>
      <c r="H8664" s="0" t="n">
        <v>140</v>
      </c>
      <c r="I8664" s="0" t="s">
        <v>28933</v>
      </c>
      <c r="J8664" s="0" t="s">
        <v>28934</v>
      </c>
      <c r="K8664" s="0" t="s">
        <v>28935</v>
      </c>
      <c r="L8664" s="0" t="str">
        <f aca="false">HYPERLINK("https://www.ncbi.nlm.nih.gov/nuccore/CP000304.1?report=graph&amp;tracks=[key:gene_model_track,Options:GeneOnly]&amp;mk=2461122:2461141|offset_61|444444,2461168:2461187|offset_107|444444,2461201:2461220|offset_140|00cc00,2461222:2461241|offset_161|444444&amp;v=2460921:2461441&amp;c=444444", "offset 140")</f>
        <v>offset 140</v>
      </c>
    </row>
    <row r="8665" customFormat="false" ht="12.8" hidden="false" customHeight="false" outlineLevel="0" collapsed="false">
      <c r="A8665" s="0" t="s">
        <v>12</v>
      </c>
      <c r="B8665" s="0" t="n">
        <v>2461221</v>
      </c>
      <c r="C8665" s="0" t="n">
        <v>2461241</v>
      </c>
      <c r="D8665" s="0" t="s">
        <v>28926</v>
      </c>
      <c r="E8665" s="0" t="s">
        <v>89</v>
      </c>
      <c r="F8665" s="0" t="s">
        <v>15</v>
      </c>
      <c r="G8665" s="0" t="s">
        <v>16</v>
      </c>
      <c r="H8665" s="0" t="n">
        <v>161</v>
      </c>
      <c r="I8665" s="0" t="s">
        <v>28936</v>
      </c>
      <c r="J8665" s="0" t="s">
        <v>28937</v>
      </c>
      <c r="K8665" s="0" t="s">
        <v>28938</v>
      </c>
      <c r="L8665" s="0" t="str">
        <f aca="false">HYPERLINK("https://www.ncbi.nlm.nih.gov/nuccore/CP000304.1?report=graph&amp;tracks=[key:gene_model_track,Options:GeneOnly]&amp;mk=2461122:2461141|offset_61|444444,2461168:2461187|offset_107|444444,2461201:2461220|offset_140|444444,2461222:2461241|offset_161|00cc00&amp;v=2460921:2461441&amp;c=444444", "offset 161")</f>
        <v>offset 161</v>
      </c>
    </row>
    <row r="8666" customFormat="false" ht="12.8" hidden="false" customHeight="false" outlineLevel="0" collapsed="false">
      <c r="A8666" s="0" t="s">
        <v>12</v>
      </c>
      <c r="B8666" s="0" t="n">
        <v>2462906</v>
      </c>
      <c r="C8666" s="0" t="n">
        <v>2462926</v>
      </c>
      <c r="D8666" s="0" t="s">
        <v>28939</v>
      </c>
      <c r="E8666" s="0" t="s">
        <v>89</v>
      </c>
      <c r="F8666" s="0" t="s">
        <v>15</v>
      </c>
      <c r="G8666" s="0" t="s">
        <v>32</v>
      </c>
      <c r="H8666" s="0" t="n">
        <v>20</v>
      </c>
      <c r="I8666" s="0" t="s">
        <v>28940</v>
      </c>
      <c r="J8666" s="0" t="s">
        <v>28941</v>
      </c>
      <c r="K8666" s="0" t="s">
        <v>28942</v>
      </c>
      <c r="L8666" s="0" t="str">
        <f aca="false">HYPERLINK("https://www.ncbi.nlm.nih.gov/nuccore/CP000304.1?report=graph&amp;tracks=[key:gene_model_track,Options:GeneOnly]&amp;mk=2462907:2462926|offset_20|00cc00,2462928:2462947|offset_41|444444,2462960:2462979|offset_73|444444,2462981:2463000|offset_94|444444&amp;v=2462706:2463200&amp;c=444444", "offset 20")</f>
        <v>offset 20</v>
      </c>
    </row>
    <row r="8667" customFormat="false" ht="12.8" hidden="false" customHeight="false" outlineLevel="0" collapsed="false">
      <c r="A8667" s="0" t="s">
        <v>12</v>
      </c>
      <c r="B8667" s="0" t="n">
        <v>2462927</v>
      </c>
      <c r="C8667" s="0" t="n">
        <v>2462947</v>
      </c>
      <c r="D8667" s="0" t="s">
        <v>28939</v>
      </c>
      <c r="E8667" s="0" t="s">
        <v>89</v>
      </c>
      <c r="F8667" s="0" t="s">
        <v>15</v>
      </c>
      <c r="G8667" s="0" t="s">
        <v>26</v>
      </c>
      <c r="H8667" s="0" t="n">
        <v>41</v>
      </c>
      <c r="I8667" s="0" t="s">
        <v>28943</v>
      </c>
      <c r="J8667" s="0" t="s">
        <v>28944</v>
      </c>
      <c r="K8667" s="0" t="s">
        <v>28945</v>
      </c>
      <c r="L8667" s="0" t="str">
        <f aca="false">HYPERLINK("https://www.ncbi.nlm.nih.gov/nuccore/CP000304.1?report=graph&amp;tracks=[key:gene_model_track,Options:GeneOnly]&amp;mk=2462907:2462926|offset_20|444444,2462928:2462947|offset_41|00cc00,2462960:2462979|offset_73|444444,2462981:2463000|offset_94|444444&amp;v=2462706:2463200&amp;c=444444", "offset 41")</f>
        <v>offset 41</v>
      </c>
    </row>
    <row r="8668" customFormat="false" ht="12.8" hidden="false" customHeight="false" outlineLevel="0" collapsed="false">
      <c r="A8668" s="0" t="s">
        <v>12</v>
      </c>
      <c r="B8668" s="0" t="n">
        <v>2462959</v>
      </c>
      <c r="C8668" s="0" t="n">
        <v>2462979</v>
      </c>
      <c r="D8668" s="0" t="s">
        <v>28939</v>
      </c>
      <c r="E8668" s="0" t="s">
        <v>89</v>
      </c>
      <c r="F8668" s="0" t="s">
        <v>15</v>
      </c>
      <c r="G8668" s="0" t="s">
        <v>16</v>
      </c>
      <c r="H8668" s="0" t="n">
        <v>73</v>
      </c>
      <c r="I8668" s="0" t="s">
        <v>28946</v>
      </c>
      <c r="J8668" s="0" t="s">
        <v>28947</v>
      </c>
      <c r="K8668" s="0" t="s">
        <v>28948</v>
      </c>
      <c r="L8668" s="0" t="str">
        <f aca="false">HYPERLINK("https://www.ncbi.nlm.nih.gov/nuccore/CP000304.1?report=graph&amp;tracks=[key:gene_model_track,Options:GeneOnly]&amp;mk=2462907:2462926|offset_20|444444,2462928:2462947|offset_41|444444,2462960:2462979|offset_73|00cc00,2462981:2463000|offset_94|444444&amp;v=2462706:2463200&amp;c=444444", "offset 73")</f>
        <v>offset 73</v>
      </c>
    </row>
    <row r="8669" customFormat="false" ht="12.8" hidden="false" customHeight="false" outlineLevel="0" collapsed="false">
      <c r="A8669" s="0" t="s">
        <v>12</v>
      </c>
      <c r="B8669" s="0" t="n">
        <v>2462980</v>
      </c>
      <c r="C8669" s="0" t="n">
        <v>2463000</v>
      </c>
      <c r="D8669" s="0" t="s">
        <v>28939</v>
      </c>
      <c r="E8669" s="0" t="s">
        <v>89</v>
      </c>
      <c r="F8669" s="0" t="s">
        <v>15</v>
      </c>
      <c r="G8669" s="0" t="s">
        <v>36</v>
      </c>
      <c r="H8669" s="0" t="n">
        <v>94</v>
      </c>
      <c r="I8669" s="0" t="s">
        <v>28949</v>
      </c>
      <c r="J8669" s="0" t="s">
        <v>28950</v>
      </c>
      <c r="K8669" s="0" t="s">
        <v>28951</v>
      </c>
      <c r="L8669" s="0" t="str">
        <f aca="false">HYPERLINK("https://www.ncbi.nlm.nih.gov/nuccore/CP000304.1?report=graph&amp;tracks=[key:gene_model_track,Options:GeneOnly]&amp;mk=2462907:2462926|offset_20|444444,2462928:2462947|offset_41|444444,2462960:2462979|offset_73|444444,2462981:2463000|offset_94|00cc00&amp;v=2462706:2463200&amp;c=444444", "offset 94")</f>
        <v>offset 94</v>
      </c>
    </row>
    <row r="8670" customFormat="false" ht="12.8" hidden="false" customHeight="false" outlineLevel="0" collapsed="false">
      <c r="A8670" s="0" t="s">
        <v>12</v>
      </c>
      <c r="B8670" s="0" t="n">
        <v>2464824</v>
      </c>
      <c r="C8670" s="0" t="n">
        <v>2464844</v>
      </c>
      <c r="D8670" s="0" t="s">
        <v>28952</v>
      </c>
      <c r="E8670" s="0" t="s">
        <v>89</v>
      </c>
      <c r="F8670" s="0" t="s">
        <v>15</v>
      </c>
      <c r="G8670" s="0" t="s">
        <v>26</v>
      </c>
      <c r="H8670" s="0" t="n">
        <v>10</v>
      </c>
      <c r="I8670" s="0" t="s">
        <v>28953</v>
      </c>
      <c r="J8670" s="0" t="s">
        <v>28954</v>
      </c>
      <c r="K8670" s="0" t="s">
        <v>28955</v>
      </c>
      <c r="L8670" s="0" t="str">
        <f aca="false">HYPERLINK("https://www.ncbi.nlm.nih.gov/nuccore/CP000304.1?report=graph&amp;tracks=[key:gene_model_track,Options:GeneOnly]&amp;mk=2464825:2464844|offset_10|00cc00,2464857:2464876|offset_42|444444,2464908:2464927|offset_93|444444,2464936:2464955|offset_121|444444&amp;v=2464624:2465155&amp;c=444444", "offset 10")</f>
        <v>offset 10</v>
      </c>
    </row>
    <row r="8671" customFormat="false" ht="12.8" hidden="false" customHeight="false" outlineLevel="0" collapsed="false">
      <c r="A8671" s="0" t="s">
        <v>12</v>
      </c>
      <c r="B8671" s="0" t="n">
        <v>2464856</v>
      </c>
      <c r="C8671" s="0" t="n">
        <v>2464876</v>
      </c>
      <c r="D8671" s="0" t="s">
        <v>28952</v>
      </c>
      <c r="E8671" s="0" t="s">
        <v>89</v>
      </c>
      <c r="F8671" s="0" t="s">
        <v>15</v>
      </c>
      <c r="G8671" s="0" t="s">
        <v>16</v>
      </c>
      <c r="H8671" s="0" t="n">
        <v>42</v>
      </c>
      <c r="I8671" s="0" t="s">
        <v>28956</v>
      </c>
      <c r="J8671" s="0" t="s">
        <v>28957</v>
      </c>
      <c r="K8671" s="0" t="s">
        <v>28958</v>
      </c>
      <c r="L8671" s="0" t="str">
        <f aca="false">HYPERLINK("https://www.ncbi.nlm.nih.gov/nuccore/CP000304.1?report=graph&amp;tracks=[key:gene_model_track,Options:GeneOnly]&amp;mk=2464825:2464844|offset_10|444444,2464857:2464876|offset_42|00cc00,2464908:2464927|offset_93|444444,2464936:2464955|offset_121|444444&amp;v=2464624:2465155&amp;c=444444", "offset 42")</f>
        <v>offset 42</v>
      </c>
    </row>
    <row r="8672" customFormat="false" ht="12.8" hidden="false" customHeight="false" outlineLevel="0" collapsed="false">
      <c r="A8672" s="0" t="s">
        <v>12</v>
      </c>
      <c r="B8672" s="0" t="n">
        <v>2464907</v>
      </c>
      <c r="C8672" s="0" t="n">
        <v>2464927</v>
      </c>
      <c r="D8672" s="0" t="s">
        <v>28952</v>
      </c>
      <c r="E8672" s="0" t="s">
        <v>89</v>
      </c>
      <c r="F8672" s="0" t="s">
        <v>15</v>
      </c>
      <c r="G8672" s="0" t="s">
        <v>32</v>
      </c>
      <c r="H8672" s="0" t="n">
        <v>93</v>
      </c>
      <c r="I8672" s="0" t="s">
        <v>28959</v>
      </c>
      <c r="J8672" s="0" t="s">
        <v>28960</v>
      </c>
      <c r="K8672" s="0" t="s">
        <v>28961</v>
      </c>
      <c r="L8672" s="0" t="str">
        <f aca="false">HYPERLINK("https://www.ncbi.nlm.nih.gov/nuccore/CP000304.1?report=graph&amp;tracks=[key:gene_model_track,Options:GeneOnly]&amp;mk=2464825:2464844|offset_10|444444,2464857:2464876|offset_42|444444,2464908:2464927|offset_93|00cc00,2464936:2464955|offset_121|444444&amp;v=2464624:2465155&amp;c=444444", "offset 93")</f>
        <v>offset 93</v>
      </c>
    </row>
    <row r="8673" customFormat="false" ht="12.8" hidden="false" customHeight="false" outlineLevel="0" collapsed="false">
      <c r="A8673" s="0" t="s">
        <v>12</v>
      </c>
      <c r="B8673" s="0" t="n">
        <v>2464935</v>
      </c>
      <c r="C8673" s="0" t="n">
        <v>2464955</v>
      </c>
      <c r="D8673" s="0" t="s">
        <v>28952</v>
      </c>
      <c r="E8673" s="0" t="s">
        <v>89</v>
      </c>
      <c r="F8673" s="0" t="s">
        <v>15</v>
      </c>
      <c r="G8673" s="0" t="s">
        <v>32</v>
      </c>
      <c r="H8673" s="0" t="n">
        <v>121</v>
      </c>
      <c r="I8673" s="0" t="s">
        <v>28962</v>
      </c>
      <c r="J8673" s="0" t="s">
        <v>28963</v>
      </c>
      <c r="K8673" s="0" t="s">
        <v>28964</v>
      </c>
      <c r="L8673" s="0" t="str">
        <f aca="false">HYPERLINK("https://www.ncbi.nlm.nih.gov/nuccore/CP000304.1?report=graph&amp;tracks=[key:gene_model_track,Options:GeneOnly]&amp;mk=2464825:2464844|offset_10|444444,2464857:2464876|offset_42|444444,2464908:2464927|offset_93|444444,2464936:2464955|offset_121|00cc00&amp;v=2464624:2465155&amp;c=444444", "offset 121")</f>
        <v>offset 121</v>
      </c>
    </row>
    <row r="8674" customFormat="false" ht="12.8" hidden="false" customHeight="false" outlineLevel="0" collapsed="false">
      <c r="A8674" s="0" t="s">
        <v>12</v>
      </c>
      <c r="B8674" s="0" t="n">
        <v>2465902</v>
      </c>
      <c r="C8674" s="0" t="n">
        <v>2465922</v>
      </c>
      <c r="D8674" s="0" t="s">
        <v>28965</v>
      </c>
      <c r="E8674" s="0" t="s">
        <v>89</v>
      </c>
      <c r="F8674" s="0" t="s">
        <v>15</v>
      </c>
      <c r="G8674" s="0" t="s">
        <v>36</v>
      </c>
      <c r="H8674" s="0" t="n">
        <v>13</v>
      </c>
      <c r="I8674" s="0" t="s">
        <v>28966</v>
      </c>
      <c r="J8674" s="0" t="s">
        <v>28967</v>
      </c>
      <c r="K8674" s="0" t="s">
        <v>28968</v>
      </c>
      <c r="L8674" s="0" t="str">
        <f aca="false">HYPERLINK("https://www.ncbi.nlm.nih.gov/nuccore/CP000304.1?report=graph&amp;tracks=[key:gene_model_track,Options:GeneOnly]&amp;mk=2465903:2465922|offset_13|00cc00,2466014:2466033|offset_124|444444,2466060:2466079|offset_170|444444,2466105:2466124|offset_215|444444&amp;v=2465702:2466324&amp;c=444444", "offset 13")</f>
        <v>offset 13</v>
      </c>
    </row>
    <row r="8675" customFormat="false" ht="12.8" hidden="false" customHeight="false" outlineLevel="0" collapsed="false">
      <c r="A8675" s="0" t="s">
        <v>12</v>
      </c>
      <c r="B8675" s="0" t="n">
        <v>2466013</v>
      </c>
      <c r="C8675" s="0" t="n">
        <v>2466033</v>
      </c>
      <c r="D8675" s="0" t="s">
        <v>28965</v>
      </c>
      <c r="E8675" s="0" t="s">
        <v>89</v>
      </c>
      <c r="F8675" s="0" t="s">
        <v>15</v>
      </c>
      <c r="G8675" s="0" t="s">
        <v>32</v>
      </c>
      <c r="H8675" s="0" t="n">
        <v>124</v>
      </c>
      <c r="I8675" s="0" t="s">
        <v>28969</v>
      </c>
      <c r="J8675" s="0" t="s">
        <v>28970</v>
      </c>
      <c r="K8675" s="0" t="s">
        <v>28971</v>
      </c>
      <c r="L8675" s="0" t="str">
        <f aca="false">HYPERLINK("https://www.ncbi.nlm.nih.gov/nuccore/CP000304.1?report=graph&amp;tracks=[key:gene_model_track,Options:GeneOnly]&amp;mk=2465903:2465922|offset_13|444444,2466014:2466033|offset_124|00cc00,2466060:2466079|offset_170|444444,2466105:2466124|offset_215|444444&amp;v=2465702:2466324&amp;c=444444", "offset 124")</f>
        <v>offset 124</v>
      </c>
    </row>
    <row r="8676" customFormat="false" ht="12.8" hidden="false" customHeight="false" outlineLevel="0" collapsed="false">
      <c r="A8676" s="0" t="s">
        <v>12</v>
      </c>
      <c r="B8676" s="0" t="n">
        <v>2466059</v>
      </c>
      <c r="C8676" s="0" t="n">
        <v>2466079</v>
      </c>
      <c r="D8676" s="0" t="s">
        <v>28965</v>
      </c>
      <c r="E8676" s="0" t="s">
        <v>89</v>
      </c>
      <c r="F8676" s="0" t="s">
        <v>15</v>
      </c>
      <c r="G8676" s="0" t="s">
        <v>36</v>
      </c>
      <c r="H8676" s="0" t="n">
        <v>170</v>
      </c>
      <c r="I8676" s="0" t="s">
        <v>28972</v>
      </c>
      <c r="J8676" s="0" t="s">
        <v>28973</v>
      </c>
      <c r="K8676" s="0" t="s">
        <v>28974</v>
      </c>
      <c r="L8676" s="0" t="str">
        <f aca="false">HYPERLINK("https://www.ncbi.nlm.nih.gov/nuccore/CP000304.1?report=graph&amp;tracks=[key:gene_model_track,Options:GeneOnly]&amp;mk=2465903:2465922|offset_13|444444,2466014:2466033|offset_124|444444,2466060:2466079|offset_170|00cc00,2466105:2466124|offset_215|444444&amp;v=2465702:2466324&amp;c=444444", "offset 170")</f>
        <v>offset 170</v>
      </c>
    </row>
    <row r="8677" customFormat="false" ht="12.8" hidden="false" customHeight="false" outlineLevel="0" collapsed="false">
      <c r="A8677" s="0" t="s">
        <v>12</v>
      </c>
      <c r="B8677" s="0" t="n">
        <v>2466104</v>
      </c>
      <c r="C8677" s="0" t="n">
        <v>2466124</v>
      </c>
      <c r="D8677" s="0" t="s">
        <v>28965</v>
      </c>
      <c r="E8677" s="0" t="s">
        <v>89</v>
      </c>
      <c r="F8677" s="0" t="s">
        <v>15</v>
      </c>
      <c r="G8677" s="0" t="s">
        <v>36</v>
      </c>
      <c r="H8677" s="0" t="n">
        <v>215</v>
      </c>
      <c r="I8677" s="0" t="s">
        <v>28975</v>
      </c>
      <c r="J8677" s="0" t="s">
        <v>28976</v>
      </c>
      <c r="K8677" s="0" t="s">
        <v>28977</v>
      </c>
      <c r="L8677" s="0" t="str">
        <f aca="false">HYPERLINK("https://www.ncbi.nlm.nih.gov/nuccore/CP000304.1?report=graph&amp;tracks=[key:gene_model_track,Options:GeneOnly]&amp;mk=2465903:2465922|offset_13|444444,2466014:2466033|offset_124|444444,2466060:2466079|offset_170|444444,2466105:2466124|offset_215|00cc00&amp;v=2465702:2466324&amp;c=444444", "offset 215")</f>
        <v>offset 215</v>
      </c>
    </row>
    <row r="8678" customFormat="false" ht="12.8" hidden="false" customHeight="false" outlineLevel="0" collapsed="false">
      <c r="A8678" s="0" t="s">
        <v>12</v>
      </c>
      <c r="B8678" s="0" t="n">
        <v>2466917</v>
      </c>
      <c r="C8678" s="0" t="n">
        <v>2466937</v>
      </c>
      <c r="D8678" s="0" t="s">
        <v>28978</v>
      </c>
      <c r="E8678" s="0" t="s">
        <v>89</v>
      </c>
      <c r="F8678" s="0" t="s">
        <v>15</v>
      </c>
      <c r="G8678" s="0" t="s">
        <v>16</v>
      </c>
      <c r="H8678" s="0" t="n">
        <v>31</v>
      </c>
      <c r="I8678" s="0" t="s">
        <v>28979</v>
      </c>
      <c r="J8678" s="0" t="s">
        <v>28980</v>
      </c>
      <c r="K8678" s="0" t="s">
        <v>28981</v>
      </c>
      <c r="L8678" s="0" t="str">
        <f aca="false">HYPERLINK("https://www.ncbi.nlm.nih.gov/nuccore/CP000304.1?report=graph&amp;tracks=[key:gene_model_track,Options:GeneOnly]&amp;mk=2466918:2466937|offset_31|00cc00,2466940:2466959|offset_53|444444,2466978:2466997|offset_91|444444,2467024:2467043|offset_137|444444&amp;v=2466717:2467243&amp;c=444444", "offset 31")</f>
        <v>offset 31</v>
      </c>
    </row>
    <row r="8679" customFormat="false" ht="12.8" hidden="false" customHeight="false" outlineLevel="0" collapsed="false">
      <c r="A8679" s="0" t="s">
        <v>12</v>
      </c>
      <c r="B8679" s="0" t="n">
        <v>2466939</v>
      </c>
      <c r="C8679" s="0" t="n">
        <v>2466959</v>
      </c>
      <c r="D8679" s="0" t="s">
        <v>28978</v>
      </c>
      <c r="E8679" s="0" t="s">
        <v>89</v>
      </c>
      <c r="F8679" s="0" t="s">
        <v>15</v>
      </c>
      <c r="G8679" s="0" t="s">
        <v>26</v>
      </c>
      <c r="H8679" s="0" t="n">
        <v>53</v>
      </c>
      <c r="I8679" s="0" t="s">
        <v>28982</v>
      </c>
      <c r="J8679" s="0" t="s">
        <v>28983</v>
      </c>
      <c r="K8679" s="0" t="s">
        <v>28984</v>
      </c>
      <c r="L8679" s="0" t="str">
        <f aca="false">HYPERLINK("https://www.ncbi.nlm.nih.gov/nuccore/CP000304.1?report=graph&amp;tracks=[key:gene_model_track,Options:GeneOnly]&amp;mk=2466918:2466937|offset_31|444444,2466940:2466959|offset_53|00cc00,2466978:2466997|offset_91|444444,2467024:2467043|offset_137|444444&amp;v=2466717:2467243&amp;c=444444", "offset 53")</f>
        <v>offset 53</v>
      </c>
    </row>
    <row r="8680" customFormat="false" ht="12.8" hidden="false" customHeight="false" outlineLevel="0" collapsed="false">
      <c r="A8680" s="0" t="s">
        <v>12</v>
      </c>
      <c r="B8680" s="0" t="n">
        <v>2466977</v>
      </c>
      <c r="C8680" s="0" t="n">
        <v>2466997</v>
      </c>
      <c r="D8680" s="0" t="s">
        <v>28978</v>
      </c>
      <c r="E8680" s="0" t="s">
        <v>89</v>
      </c>
      <c r="F8680" s="0" t="s">
        <v>15</v>
      </c>
      <c r="G8680" s="0" t="s">
        <v>16</v>
      </c>
      <c r="H8680" s="0" t="n">
        <v>91</v>
      </c>
      <c r="I8680" s="0" t="s">
        <v>28985</v>
      </c>
      <c r="J8680" s="0" t="s">
        <v>28986</v>
      </c>
      <c r="K8680" s="0" t="s">
        <v>28987</v>
      </c>
      <c r="L8680" s="0" t="str">
        <f aca="false">HYPERLINK("https://www.ncbi.nlm.nih.gov/nuccore/CP000304.1?report=graph&amp;tracks=[key:gene_model_track,Options:GeneOnly]&amp;mk=2466918:2466937|offset_31|444444,2466940:2466959|offset_53|444444,2466978:2466997|offset_91|00cc00,2467024:2467043|offset_137|444444&amp;v=2466717:2467243&amp;c=444444", "offset 91")</f>
        <v>offset 91</v>
      </c>
    </row>
    <row r="8681" customFormat="false" ht="12.8" hidden="false" customHeight="false" outlineLevel="0" collapsed="false">
      <c r="A8681" s="0" t="s">
        <v>12</v>
      </c>
      <c r="B8681" s="0" t="n">
        <v>2467023</v>
      </c>
      <c r="C8681" s="0" t="n">
        <v>2467043</v>
      </c>
      <c r="D8681" s="0" t="s">
        <v>28978</v>
      </c>
      <c r="E8681" s="0" t="s">
        <v>89</v>
      </c>
      <c r="F8681" s="0" t="s">
        <v>15</v>
      </c>
      <c r="G8681" s="0" t="s">
        <v>16</v>
      </c>
      <c r="H8681" s="0" t="n">
        <v>137</v>
      </c>
      <c r="I8681" s="0" t="s">
        <v>28988</v>
      </c>
      <c r="J8681" s="0" t="s">
        <v>28989</v>
      </c>
      <c r="K8681" s="0" t="s">
        <v>28990</v>
      </c>
      <c r="L8681" s="0" t="str">
        <f aca="false">HYPERLINK("https://www.ncbi.nlm.nih.gov/nuccore/CP000304.1?report=graph&amp;tracks=[key:gene_model_track,Options:GeneOnly]&amp;mk=2466918:2466937|offset_31|444444,2466940:2466959|offset_53|444444,2466978:2466997|offset_91|444444,2467024:2467043|offset_137|00cc00&amp;v=2466717:2467243&amp;c=444444", "offset 137")</f>
        <v>offset 137</v>
      </c>
    </row>
    <row r="8682" customFormat="false" ht="12.8" hidden="false" customHeight="false" outlineLevel="0" collapsed="false">
      <c r="A8682" s="0" t="s">
        <v>12</v>
      </c>
      <c r="B8682" s="0" t="n">
        <v>2468598</v>
      </c>
      <c r="C8682" s="0" t="n">
        <v>2468618</v>
      </c>
      <c r="D8682" s="0" t="s">
        <v>28991</v>
      </c>
      <c r="E8682" s="0" t="s">
        <v>89</v>
      </c>
      <c r="F8682" s="0" t="s">
        <v>15</v>
      </c>
      <c r="G8682" s="0" t="s">
        <v>32</v>
      </c>
      <c r="H8682" s="0" t="n">
        <v>46</v>
      </c>
      <c r="I8682" s="0" t="s">
        <v>28992</v>
      </c>
      <c r="J8682" s="0" t="s">
        <v>28993</v>
      </c>
      <c r="K8682" s="0" t="s">
        <v>28994</v>
      </c>
      <c r="L8682" s="0" t="str">
        <f aca="false">HYPERLINK("https://www.ncbi.nlm.nih.gov/nuccore/CP000304.1?report=graph&amp;tracks=[key:gene_model_track,Options:GeneOnly]&amp;mk=2468599:2468618|offset_46|00cc00,2468629:2468648|offset_76|444444,2468668:2468687|offset_115|444444,2468693:2468712|offset_140|444444&amp;v=2468398:2468912&amp;c=444444", "offset 46")</f>
        <v>offset 46</v>
      </c>
    </row>
    <row r="8683" customFormat="false" ht="12.8" hidden="false" customHeight="false" outlineLevel="0" collapsed="false">
      <c r="A8683" s="0" t="s">
        <v>12</v>
      </c>
      <c r="B8683" s="0" t="n">
        <v>2468628</v>
      </c>
      <c r="C8683" s="0" t="n">
        <v>2468648</v>
      </c>
      <c r="D8683" s="0" t="s">
        <v>28991</v>
      </c>
      <c r="E8683" s="0" t="s">
        <v>89</v>
      </c>
      <c r="F8683" s="0" t="s">
        <v>15</v>
      </c>
      <c r="G8683" s="0" t="s">
        <v>16</v>
      </c>
      <c r="H8683" s="0" t="n">
        <v>76</v>
      </c>
      <c r="I8683" s="0" t="s">
        <v>28995</v>
      </c>
      <c r="J8683" s="0" t="s">
        <v>28996</v>
      </c>
      <c r="K8683" s="0" t="s">
        <v>28997</v>
      </c>
      <c r="L8683" s="0" t="str">
        <f aca="false">HYPERLINK("https://www.ncbi.nlm.nih.gov/nuccore/CP000304.1?report=graph&amp;tracks=[key:gene_model_track,Options:GeneOnly]&amp;mk=2468599:2468618|offset_46|444444,2468629:2468648|offset_76|00cc00,2468668:2468687|offset_115|444444,2468693:2468712|offset_140|444444&amp;v=2468398:2468912&amp;c=444444", "offset 76")</f>
        <v>offset 76</v>
      </c>
    </row>
    <row r="8684" customFormat="false" ht="12.8" hidden="false" customHeight="false" outlineLevel="0" collapsed="false">
      <c r="A8684" s="0" t="s">
        <v>12</v>
      </c>
      <c r="B8684" s="0" t="n">
        <v>2468667</v>
      </c>
      <c r="C8684" s="0" t="n">
        <v>2468687</v>
      </c>
      <c r="D8684" s="0" t="s">
        <v>28991</v>
      </c>
      <c r="E8684" s="0" t="s">
        <v>89</v>
      </c>
      <c r="F8684" s="0" t="s">
        <v>15</v>
      </c>
      <c r="G8684" s="0" t="s">
        <v>26</v>
      </c>
      <c r="H8684" s="0" t="n">
        <v>115</v>
      </c>
      <c r="I8684" s="0" t="s">
        <v>28998</v>
      </c>
      <c r="J8684" s="0" t="s">
        <v>28999</v>
      </c>
      <c r="K8684" s="0" t="s">
        <v>29000</v>
      </c>
      <c r="L8684" s="0" t="str">
        <f aca="false">HYPERLINK("https://www.ncbi.nlm.nih.gov/nuccore/CP000304.1?report=graph&amp;tracks=[key:gene_model_track,Options:GeneOnly]&amp;mk=2468599:2468618|offset_46|444444,2468629:2468648|offset_76|444444,2468668:2468687|offset_115|00cc00,2468693:2468712|offset_140|444444&amp;v=2468398:2468912&amp;c=444444", "offset 115")</f>
        <v>offset 115</v>
      </c>
    </row>
    <row r="8685" customFormat="false" ht="12.8" hidden="false" customHeight="false" outlineLevel="0" collapsed="false">
      <c r="A8685" s="0" t="s">
        <v>12</v>
      </c>
      <c r="B8685" s="0" t="n">
        <v>2468692</v>
      </c>
      <c r="C8685" s="0" t="n">
        <v>2468712</v>
      </c>
      <c r="D8685" s="0" t="s">
        <v>28991</v>
      </c>
      <c r="E8685" s="0" t="s">
        <v>89</v>
      </c>
      <c r="F8685" s="0" t="s">
        <v>15</v>
      </c>
      <c r="G8685" s="0" t="s">
        <v>16</v>
      </c>
      <c r="H8685" s="0" t="n">
        <v>140</v>
      </c>
      <c r="I8685" s="0" t="s">
        <v>29001</v>
      </c>
      <c r="J8685" s="0" t="s">
        <v>29002</v>
      </c>
      <c r="K8685" s="0" t="s">
        <v>29003</v>
      </c>
      <c r="L8685" s="0" t="str">
        <f aca="false">HYPERLINK("https://www.ncbi.nlm.nih.gov/nuccore/CP000304.1?report=graph&amp;tracks=[key:gene_model_track,Options:GeneOnly]&amp;mk=2468599:2468618|offset_46|444444,2468629:2468648|offset_76|444444,2468668:2468687|offset_115|444444,2468693:2468712|offset_140|00cc00&amp;v=2468398:2468912&amp;c=444444", "offset 140")</f>
        <v>offset 140</v>
      </c>
    </row>
    <row r="8686" customFormat="false" ht="12.8" hidden="false" customHeight="false" outlineLevel="0" collapsed="false">
      <c r="A8686" s="0" t="s">
        <v>12</v>
      </c>
      <c r="B8686" s="0" t="n">
        <v>2470089</v>
      </c>
      <c r="C8686" s="0" t="n">
        <v>2470109</v>
      </c>
      <c r="D8686" s="0" t="s">
        <v>29004</v>
      </c>
      <c r="E8686" s="0" t="s">
        <v>89</v>
      </c>
      <c r="F8686" s="0" t="s">
        <v>90</v>
      </c>
      <c r="G8686" s="0" t="s">
        <v>32</v>
      </c>
      <c r="H8686" s="0" t="n">
        <v>70</v>
      </c>
      <c r="I8686" s="0" t="s">
        <v>29005</v>
      </c>
      <c r="J8686" s="0" t="s">
        <v>29006</v>
      </c>
      <c r="K8686" s="0" t="s">
        <v>29007</v>
      </c>
      <c r="L8686" s="0" t="str">
        <f aca="false">HYPERLINK("https://www.ncbi.nlm.nih.gov/nuccore/CP000304.1?report=graph&amp;tracks=[key:gene_model_track,Options:GeneOnly]&amp;mk=2470090:2470109|offset_70|00cc00,2470042:2470061|offset_118|444444,2470017:2470036|offset_143|444444,2469992:2470011|offset_168|444444&amp;v=2469889:2470211&amp;c=444444", "offset 70")</f>
        <v>offset 70</v>
      </c>
    </row>
    <row r="8687" customFormat="false" ht="12.8" hidden="false" customHeight="false" outlineLevel="0" collapsed="false">
      <c r="A8687" s="0" t="s">
        <v>12</v>
      </c>
      <c r="B8687" s="0" t="n">
        <v>2470041</v>
      </c>
      <c r="C8687" s="0" t="n">
        <v>2470061</v>
      </c>
      <c r="D8687" s="0" t="s">
        <v>29004</v>
      </c>
      <c r="E8687" s="0" t="s">
        <v>89</v>
      </c>
      <c r="F8687" s="0" t="s">
        <v>90</v>
      </c>
      <c r="G8687" s="0" t="s">
        <v>32</v>
      </c>
      <c r="H8687" s="0" t="n">
        <v>118</v>
      </c>
      <c r="I8687" s="0" t="s">
        <v>29008</v>
      </c>
      <c r="J8687" s="0" t="s">
        <v>29009</v>
      </c>
      <c r="K8687" s="0" t="s">
        <v>29010</v>
      </c>
      <c r="L8687" s="0" t="str">
        <f aca="false">HYPERLINK("https://www.ncbi.nlm.nih.gov/nuccore/CP000304.1?report=graph&amp;tracks=[key:gene_model_track,Options:GeneOnly]&amp;mk=2470090:2470109|offset_70|444444,2470042:2470061|offset_118|00cc00,2470017:2470036|offset_143|444444,2469992:2470011|offset_168|444444&amp;v=2469889:2470211&amp;c=444444", "offset 118")</f>
        <v>offset 118</v>
      </c>
    </row>
    <row r="8688" customFormat="false" ht="12.8" hidden="false" customHeight="false" outlineLevel="0" collapsed="false">
      <c r="A8688" s="0" t="s">
        <v>12</v>
      </c>
      <c r="B8688" s="0" t="n">
        <v>2470016</v>
      </c>
      <c r="C8688" s="0" t="n">
        <v>2470036</v>
      </c>
      <c r="D8688" s="0" t="s">
        <v>29004</v>
      </c>
      <c r="E8688" s="0" t="s">
        <v>89</v>
      </c>
      <c r="F8688" s="0" t="s">
        <v>90</v>
      </c>
      <c r="G8688" s="0" t="s">
        <v>36</v>
      </c>
      <c r="H8688" s="0" t="n">
        <v>143</v>
      </c>
      <c r="I8688" s="0" t="s">
        <v>29011</v>
      </c>
      <c r="J8688" s="0" t="s">
        <v>29012</v>
      </c>
      <c r="K8688" s="0" t="s">
        <v>29013</v>
      </c>
      <c r="L8688" s="0" t="str">
        <f aca="false">HYPERLINK("https://www.ncbi.nlm.nih.gov/nuccore/CP000304.1?report=graph&amp;tracks=[key:gene_model_track,Options:GeneOnly]&amp;mk=2470090:2470109|offset_70|444444,2470042:2470061|offset_118|444444,2470017:2470036|offset_143|00cc00,2469992:2470011|offset_168|444444&amp;v=2469889:2470211&amp;c=444444", "offset 143")</f>
        <v>offset 143</v>
      </c>
    </row>
    <row r="8689" customFormat="false" ht="12.8" hidden="false" customHeight="false" outlineLevel="0" collapsed="false">
      <c r="A8689" s="0" t="s">
        <v>12</v>
      </c>
      <c r="B8689" s="0" t="n">
        <v>2469991</v>
      </c>
      <c r="C8689" s="0" t="n">
        <v>2470011</v>
      </c>
      <c r="D8689" s="0" t="s">
        <v>29004</v>
      </c>
      <c r="E8689" s="0" t="s">
        <v>89</v>
      </c>
      <c r="F8689" s="0" t="s">
        <v>90</v>
      </c>
      <c r="G8689" s="0" t="s">
        <v>16</v>
      </c>
      <c r="H8689" s="0" t="n">
        <v>168</v>
      </c>
      <c r="I8689" s="0" t="s">
        <v>29014</v>
      </c>
      <c r="J8689" s="0" t="s">
        <v>29015</v>
      </c>
      <c r="K8689" s="0" t="s">
        <v>29016</v>
      </c>
      <c r="L8689" s="0" t="str">
        <f aca="false">HYPERLINK("https://www.ncbi.nlm.nih.gov/nuccore/CP000304.1?report=graph&amp;tracks=[key:gene_model_track,Options:GeneOnly]&amp;mk=2470090:2470109|offset_70|444444,2470042:2470061|offset_118|444444,2470017:2470036|offset_143|444444,2469992:2470011|offset_168|00cc00&amp;v=2469889:2470211&amp;c=444444", "offset 168")</f>
        <v>offset 168</v>
      </c>
    </row>
    <row r="8690" customFormat="false" ht="12.8" hidden="false" customHeight="false" outlineLevel="0" collapsed="false">
      <c r="A8690" s="0" t="s">
        <v>12</v>
      </c>
      <c r="B8690" s="0" t="n">
        <v>2470255</v>
      </c>
      <c r="C8690" s="0" t="n">
        <v>2470275</v>
      </c>
      <c r="D8690" s="0" t="s">
        <v>29017</v>
      </c>
      <c r="E8690" s="0" t="s">
        <v>89</v>
      </c>
      <c r="F8690" s="0" t="s">
        <v>15</v>
      </c>
      <c r="G8690" s="0" t="s">
        <v>36</v>
      </c>
      <c r="H8690" s="0" t="n">
        <v>8</v>
      </c>
      <c r="I8690" s="0" t="s">
        <v>29018</v>
      </c>
      <c r="J8690" s="0" t="s">
        <v>29019</v>
      </c>
      <c r="K8690" s="0" t="s">
        <v>29020</v>
      </c>
      <c r="L8690" s="0" t="str">
        <f aca="false">HYPERLINK("https://www.ncbi.nlm.nih.gov/nuccore/CP000304.1?report=graph&amp;tracks=[key:gene_model_track,Options:GeneOnly]&amp;mk=2470256:2470275|offset_8|00cc00,2470307:2470326|offset_59|444444,2470328:2470347|offset_80|444444,2470358:2470377|offset_110|444444&amp;v=2470055:2470577&amp;c=444444", "offset 8")</f>
        <v>offset 8</v>
      </c>
    </row>
    <row r="8691" customFormat="false" ht="12.8" hidden="false" customHeight="false" outlineLevel="0" collapsed="false">
      <c r="A8691" s="0" t="s">
        <v>12</v>
      </c>
      <c r="B8691" s="0" t="n">
        <v>2470306</v>
      </c>
      <c r="C8691" s="0" t="n">
        <v>2470326</v>
      </c>
      <c r="D8691" s="0" t="s">
        <v>29017</v>
      </c>
      <c r="E8691" s="0" t="s">
        <v>89</v>
      </c>
      <c r="F8691" s="0" t="s">
        <v>15</v>
      </c>
      <c r="G8691" s="0" t="s">
        <v>16</v>
      </c>
      <c r="H8691" s="0" t="n">
        <v>59</v>
      </c>
      <c r="I8691" s="0" t="s">
        <v>29021</v>
      </c>
      <c r="J8691" s="0" t="s">
        <v>29022</v>
      </c>
      <c r="K8691" s="0" t="s">
        <v>29023</v>
      </c>
      <c r="L8691" s="0" t="str">
        <f aca="false">HYPERLINK("https://www.ncbi.nlm.nih.gov/nuccore/CP000304.1?report=graph&amp;tracks=[key:gene_model_track,Options:GeneOnly]&amp;mk=2470256:2470275|offset_8|444444,2470307:2470326|offset_59|00cc00,2470328:2470347|offset_80|444444,2470358:2470377|offset_110|444444&amp;v=2470055:2470577&amp;c=444444", "offset 59")</f>
        <v>offset 59</v>
      </c>
    </row>
    <row r="8692" customFormat="false" ht="12.8" hidden="false" customHeight="false" outlineLevel="0" collapsed="false">
      <c r="A8692" s="0" t="s">
        <v>12</v>
      </c>
      <c r="B8692" s="0" t="n">
        <v>2470327</v>
      </c>
      <c r="C8692" s="0" t="n">
        <v>2470347</v>
      </c>
      <c r="D8692" s="0" t="s">
        <v>29017</v>
      </c>
      <c r="E8692" s="0" t="s">
        <v>89</v>
      </c>
      <c r="F8692" s="0" t="s">
        <v>15</v>
      </c>
      <c r="G8692" s="0" t="s">
        <v>16</v>
      </c>
      <c r="H8692" s="0" t="n">
        <v>80</v>
      </c>
      <c r="I8692" s="0" t="s">
        <v>29024</v>
      </c>
      <c r="J8692" s="0" t="s">
        <v>29025</v>
      </c>
      <c r="K8692" s="0" t="s">
        <v>29026</v>
      </c>
      <c r="L8692" s="0" t="str">
        <f aca="false">HYPERLINK("https://www.ncbi.nlm.nih.gov/nuccore/CP000304.1?report=graph&amp;tracks=[key:gene_model_track,Options:GeneOnly]&amp;mk=2470256:2470275|offset_8|444444,2470307:2470326|offset_59|444444,2470328:2470347|offset_80|00cc00,2470358:2470377|offset_110|444444&amp;v=2470055:2470577&amp;c=444444", "offset 80")</f>
        <v>offset 80</v>
      </c>
    </row>
    <row r="8693" customFormat="false" ht="12.8" hidden="false" customHeight="false" outlineLevel="0" collapsed="false">
      <c r="A8693" s="0" t="s">
        <v>12</v>
      </c>
      <c r="B8693" s="0" t="n">
        <v>2470357</v>
      </c>
      <c r="C8693" s="0" t="n">
        <v>2470377</v>
      </c>
      <c r="D8693" s="0" t="s">
        <v>29017</v>
      </c>
      <c r="E8693" s="0" t="s">
        <v>89</v>
      </c>
      <c r="F8693" s="0" t="s">
        <v>15</v>
      </c>
      <c r="G8693" s="0" t="s">
        <v>16</v>
      </c>
      <c r="H8693" s="0" t="n">
        <v>110</v>
      </c>
      <c r="I8693" s="0" t="s">
        <v>29027</v>
      </c>
      <c r="J8693" s="0" t="s">
        <v>29028</v>
      </c>
      <c r="K8693" s="0" t="s">
        <v>29029</v>
      </c>
      <c r="L8693" s="0" t="str">
        <f aca="false">HYPERLINK("https://www.ncbi.nlm.nih.gov/nuccore/CP000304.1?report=graph&amp;tracks=[key:gene_model_track,Options:GeneOnly]&amp;mk=2470256:2470275|offset_8|444444,2470307:2470326|offset_59|444444,2470328:2470347|offset_80|444444,2470358:2470377|offset_110|00cc00&amp;v=2470055:2470577&amp;c=444444", "offset 110")</f>
        <v>offset 110</v>
      </c>
    </row>
    <row r="8694" customFormat="false" ht="12.8" hidden="false" customHeight="false" outlineLevel="0" collapsed="false">
      <c r="A8694" s="0" t="s">
        <v>12</v>
      </c>
      <c r="B8694" s="0" t="n">
        <v>2473419</v>
      </c>
      <c r="C8694" s="0" t="n">
        <v>2473439</v>
      </c>
      <c r="D8694" s="0" t="s">
        <v>29030</v>
      </c>
      <c r="E8694" s="0" t="s">
        <v>89</v>
      </c>
      <c r="F8694" s="0" t="s">
        <v>90</v>
      </c>
      <c r="G8694" s="0" t="s">
        <v>16</v>
      </c>
      <c r="H8694" s="0" t="n">
        <v>17</v>
      </c>
      <c r="I8694" s="0" t="s">
        <v>29031</v>
      </c>
      <c r="J8694" s="0" t="s">
        <v>29032</v>
      </c>
      <c r="K8694" s="0" t="s">
        <v>29033</v>
      </c>
      <c r="L8694" s="0" t="str">
        <f aca="false">HYPERLINK("https://www.ncbi.nlm.nih.gov/nuccore/CP000304.1?report=graph&amp;tracks=[key:gene_model_track,Options:GeneOnly]&amp;mk=2473420:2473439|offset_17|00cc00,2473400:2473419|offset_37|444444,2473380:2473399|offset_57|444444,2473355:2473374|offset_82|444444&amp;v=2473219:2473574&amp;c=444444", "offset 17")</f>
        <v>offset 17</v>
      </c>
    </row>
    <row r="8695" customFormat="false" ht="12.8" hidden="false" customHeight="false" outlineLevel="0" collapsed="false">
      <c r="A8695" s="0" t="s">
        <v>12</v>
      </c>
      <c r="B8695" s="0" t="n">
        <v>2473399</v>
      </c>
      <c r="C8695" s="0" t="n">
        <v>2473419</v>
      </c>
      <c r="D8695" s="0" t="s">
        <v>29030</v>
      </c>
      <c r="E8695" s="0" t="s">
        <v>89</v>
      </c>
      <c r="F8695" s="0" t="s">
        <v>90</v>
      </c>
      <c r="G8695" s="0" t="s">
        <v>36</v>
      </c>
      <c r="H8695" s="0" t="n">
        <v>37</v>
      </c>
      <c r="I8695" s="0" t="s">
        <v>29034</v>
      </c>
      <c r="J8695" s="0" t="s">
        <v>29035</v>
      </c>
      <c r="K8695" s="0" t="s">
        <v>29036</v>
      </c>
      <c r="L8695" s="0" t="str">
        <f aca="false">HYPERLINK("https://www.ncbi.nlm.nih.gov/nuccore/CP000304.1?report=graph&amp;tracks=[key:gene_model_track,Options:GeneOnly]&amp;mk=2473420:2473439|offset_17|444444,2473400:2473419|offset_37|00cc00,2473380:2473399|offset_57|444444,2473355:2473374|offset_82|444444&amp;v=2473219:2473574&amp;c=444444", "offset 37")</f>
        <v>offset 37</v>
      </c>
    </row>
    <row r="8696" customFormat="false" ht="12.8" hidden="false" customHeight="false" outlineLevel="0" collapsed="false">
      <c r="A8696" s="0" t="s">
        <v>12</v>
      </c>
      <c r="B8696" s="0" t="n">
        <v>2473379</v>
      </c>
      <c r="C8696" s="0" t="n">
        <v>2473399</v>
      </c>
      <c r="D8696" s="0" t="s">
        <v>29030</v>
      </c>
      <c r="E8696" s="0" t="s">
        <v>89</v>
      </c>
      <c r="F8696" s="0" t="s">
        <v>90</v>
      </c>
      <c r="G8696" s="0" t="s">
        <v>26</v>
      </c>
      <c r="H8696" s="0" t="n">
        <v>57</v>
      </c>
      <c r="I8696" s="0" t="s">
        <v>29037</v>
      </c>
      <c r="J8696" s="0" t="s">
        <v>29038</v>
      </c>
      <c r="K8696" s="0" t="s">
        <v>29039</v>
      </c>
      <c r="L8696" s="0" t="str">
        <f aca="false">HYPERLINK("https://www.ncbi.nlm.nih.gov/nuccore/CP000304.1?report=graph&amp;tracks=[key:gene_model_track,Options:GeneOnly]&amp;mk=2473420:2473439|offset_17|444444,2473400:2473419|offset_37|444444,2473380:2473399|offset_57|00cc00,2473355:2473374|offset_82|444444&amp;v=2473219:2473574&amp;c=444444", "offset 57")</f>
        <v>offset 57</v>
      </c>
    </row>
    <row r="8697" customFormat="false" ht="12.8" hidden="false" customHeight="false" outlineLevel="0" collapsed="false">
      <c r="A8697" s="0" t="s">
        <v>12</v>
      </c>
      <c r="B8697" s="0" t="n">
        <v>2473354</v>
      </c>
      <c r="C8697" s="0" t="n">
        <v>2473374</v>
      </c>
      <c r="D8697" s="0" t="s">
        <v>29030</v>
      </c>
      <c r="E8697" s="0" t="s">
        <v>89</v>
      </c>
      <c r="F8697" s="0" t="s">
        <v>90</v>
      </c>
      <c r="G8697" s="0" t="s">
        <v>32</v>
      </c>
      <c r="H8697" s="0" t="n">
        <v>82</v>
      </c>
      <c r="I8697" s="0" t="s">
        <v>29040</v>
      </c>
      <c r="J8697" s="0" t="s">
        <v>29041</v>
      </c>
      <c r="K8697" s="0" t="s">
        <v>29042</v>
      </c>
      <c r="L8697" s="0" t="str">
        <f aca="false">HYPERLINK("https://www.ncbi.nlm.nih.gov/nuccore/CP000304.1?report=graph&amp;tracks=[key:gene_model_track,Options:GeneOnly]&amp;mk=2473420:2473439|offset_17|444444,2473400:2473419|offset_37|444444,2473380:2473399|offset_57|444444,2473355:2473374|offset_82|00cc00&amp;v=2473219:2473574&amp;c=444444", "offset 82")</f>
        <v>offset 82</v>
      </c>
    </row>
    <row r="8698" customFormat="false" ht="12.8" hidden="false" customHeight="false" outlineLevel="0" collapsed="false">
      <c r="A8698" s="0" t="s">
        <v>12</v>
      </c>
      <c r="B8698" s="0" t="n">
        <v>2473538</v>
      </c>
      <c r="C8698" s="0" t="n">
        <v>2473558</v>
      </c>
      <c r="D8698" s="0" t="s">
        <v>29043</v>
      </c>
      <c r="E8698" s="0" t="s">
        <v>89</v>
      </c>
      <c r="F8698" s="0" t="s">
        <v>15</v>
      </c>
      <c r="G8698" s="0" t="s">
        <v>32</v>
      </c>
      <c r="H8698" s="0" t="n">
        <v>1</v>
      </c>
      <c r="I8698" s="0" t="s">
        <v>29044</v>
      </c>
      <c r="J8698" s="0" t="s">
        <v>29045</v>
      </c>
      <c r="K8698" s="0" t="s">
        <v>29046</v>
      </c>
      <c r="L8698" s="0" t="str">
        <f aca="false">HYPERLINK("https://www.ncbi.nlm.nih.gov/nuccore/CP000304.1?report=graph&amp;tracks=[key:gene_model_track,Options:GeneOnly]&amp;mk=2473539:2473558|offset_1|00cc00,2473566:2473585|offset_28|444444,2473587:2473606|offset_49|444444,2473607:2473626|offset_69|444444&amp;v=2473338:2473826&amp;c=444444", "offset 1")</f>
        <v>offset 1</v>
      </c>
    </row>
    <row r="8699" customFormat="false" ht="12.8" hidden="false" customHeight="false" outlineLevel="0" collapsed="false">
      <c r="A8699" s="0" t="s">
        <v>12</v>
      </c>
      <c r="B8699" s="0" t="n">
        <v>2473565</v>
      </c>
      <c r="C8699" s="0" t="n">
        <v>2473585</v>
      </c>
      <c r="D8699" s="0" t="s">
        <v>29043</v>
      </c>
      <c r="E8699" s="0" t="s">
        <v>89</v>
      </c>
      <c r="F8699" s="0" t="s">
        <v>15</v>
      </c>
      <c r="G8699" s="0" t="s">
        <v>36</v>
      </c>
      <c r="H8699" s="0" t="n">
        <v>28</v>
      </c>
      <c r="I8699" s="0" t="s">
        <v>29047</v>
      </c>
      <c r="J8699" s="0" t="s">
        <v>29048</v>
      </c>
      <c r="K8699" s="0" t="s">
        <v>29049</v>
      </c>
      <c r="L8699" s="0" t="str">
        <f aca="false">HYPERLINK("https://www.ncbi.nlm.nih.gov/nuccore/CP000304.1?report=graph&amp;tracks=[key:gene_model_track,Options:GeneOnly]&amp;mk=2473539:2473558|offset_1|444444,2473566:2473585|offset_28|00cc00,2473587:2473606|offset_49|444444,2473607:2473626|offset_69|444444&amp;v=2473338:2473826&amp;c=444444", "offset 28")</f>
        <v>offset 28</v>
      </c>
    </row>
    <row r="8700" customFormat="false" ht="12.8" hidden="false" customHeight="false" outlineLevel="0" collapsed="false">
      <c r="A8700" s="0" t="s">
        <v>12</v>
      </c>
      <c r="B8700" s="0" t="n">
        <v>2473586</v>
      </c>
      <c r="C8700" s="0" t="n">
        <v>2473606</v>
      </c>
      <c r="D8700" s="0" t="s">
        <v>29043</v>
      </c>
      <c r="E8700" s="0" t="s">
        <v>89</v>
      </c>
      <c r="F8700" s="0" t="s">
        <v>15</v>
      </c>
      <c r="G8700" s="0" t="s">
        <v>32</v>
      </c>
      <c r="H8700" s="0" t="n">
        <v>49</v>
      </c>
      <c r="I8700" s="0" t="s">
        <v>29050</v>
      </c>
      <c r="J8700" s="0" t="s">
        <v>29051</v>
      </c>
      <c r="K8700" s="0" t="s">
        <v>29052</v>
      </c>
      <c r="L8700" s="0" t="str">
        <f aca="false">HYPERLINK("https://www.ncbi.nlm.nih.gov/nuccore/CP000304.1?report=graph&amp;tracks=[key:gene_model_track,Options:GeneOnly]&amp;mk=2473539:2473558|offset_1|444444,2473566:2473585|offset_28|444444,2473587:2473606|offset_49|00cc00,2473607:2473626|offset_69|444444&amp;v=2473338:2473826&amp;c=444444", "offset 49")</f>
        <v>offset 49</v>
      </c>
    </row>
    <row r="8701" customFormat="false" ht="12.8" hidden="false" customHeight="false" outlineLevel="0" collapsed="false">
      <c r="A8701" s="0" t="s">
        <v>12</v>
      </c>
      <c r="B8701" s="0" t="n">
        <v>2473606</v>
      </c>
      <c r="C8701" s="0" t="n">
        <v>2473626</v>
      </c>
      <c r="D8701" s="0" t="s">
        <v>29043</v>
      </c>
      <c r="E8701" s="0" t="s">
        <v>89</v>
      </c>
      <c r="F8701" s="0" t="s">
        <v>15</v>
      </c>
      <c r="G8701" s="0" t="s">
        <v>16</v>
      </c>
      <c r="H8701" s="0" t="n">
        <v>69</v>
      </c>
      <c r="I8701" s="0" t="s">
        <v>29053</v>
      </c>
      <c r="J8701" s="0" t="s">
        <v>29054</v>
      </c>
      <c r="K8701" s="0" t="s">
        <v>29055</v>
      </c>
      <c r="L8701" s="0" t="str">
        <f aca="false">HYPERLINK("https://www.ncbi.nlm.nih.gov/nuccore/CP000304.1?report=graph&amp;tracks=[key:gene_model_track,Options:GeneOnly]&amp;mk=2473539:2473558|offset_1|444444,2473566:2473585|offset_28|444444,2473587:2473606|offset_49|444444,2473607:2473626|offset_69|00cc00&amp;v=2473338:2473826&amp;c=444444", "offset 69")</f>
        <v>offset 69</v>
      </c>
    </row>
    <row r="8702" customFormat="false" ht="12.8" hidden="false" customHeight="false" outlineLevel="0" collapsed="false">
      <c r="A8702" s="0" t="s">
        <v>12</v>
      </c>
      <c r="B8702" s="0" t="n">
        <v>2475684</v>
      </c>
      <c r="C8702" s="0" t="n">
        <v>2475704</v>
      </c>
      <c r="D8702" s="0" t="s">
        <v>29056</v>
      </c>
      <c r="E8702" s="0" t="s">
        <v>89</v>
      </c>
      <c r="F8702" s="0" t="s">
        <v>90</v>
      </c>
      <c r="G8702" s="0" t="s">
        <v>26</v>
      </c>
      <c r="H8702" s="0" t="n">
        <v>8</v>
      </c>
      <c r="I8702" s="0" t="s">
        <v>29057</v>
      </c>
      <c r="J8702" s="0" t="s">
        <v>29058</v>
      </c>
      <c r="K8702" s="0" t="s">
        <v>29059</v>
      </c>
      <c r="L8702" s="0" t="str">
        <f aca="false">HYPERLINK("https://www.ncbi.nlm.nih.gov/nuccore/CP000304.1?report=graph&amp;tracks=[key:gene_model_track,Options:GeneOnly]&amp;mk=2475685:2475704|offset_8|00cc00,2475651:2475670|offset_42|444444,2475615:2475634|offset_78|444444,2475569:2475588|offset_124|444444&amp;v=2475484:2475788&amp;c=444444", "offset 8")</f>
        <v>offset 8</v>
      </c>
    </row>
    <row r="8703" customFormat="false" ht="12.8" hidden="false" customHeight="false" outlineLevel="0" collapsed="false">
      <c r="A8703" s="0" t="s">
        <v>12</v>
      </c>
      <c r="B8703" s="0" t="n">
        <v>2475650</v>
      </c>
      <c r="C8703" s="0" t="n">
        <v>2475670</v>
      </c>
      <c r="D8703" s="0" t="s">
        <v>29056</v>
      </c>
      <c r="E8703" s="0" t="s">
        <v>89</v>
      </c>
      <c r="F8703" s="0" t="s">
        <v>90</v>
      </c>
      <c r="G8703" s="0" t="s">
        <v>32</v>
      </c>
      <c r="H8703" s="0" t="n">
        <v>42</v>
      </c>
      <c r="I8703" s="0" t="s">
        <v>29060</v>
      </c>
      <c r="J8703" s="0" t="s">
        <v>29061</v>
      </c>
      <c r="K8703" s="0" t="s">
        <v>29062</v>
      </c>
      <c r="L8703" s="0" t="str">
        <f aca="false">HYPERLINK("https://www.ncbi.nlm.nih.gov/nuccore/CP000304.1?report=graph&amp;tracks=[key:gene_model_track,Options:GeneOnly]&amp;mk=2475685:2475704|offset_8|444444,2475651:2475670|offset_42|00cc00,2475615:2475634|offset_78|444444,2475569:2475588|offset_124|444444&amp;v=2475484:2475788&amp;c=444444", "offset 42")</f>
        <v>offset 42</v>
      </c>
    </row>
    <row r="8704" customFormat="false" ht="12.8" hidden="false" customHeight="false" outlineLevel="0" collapsed="false">
      <c r="A8704" s="0" t="s">
        <v>12</v>
      </c>
      <c r="B8704" s="0" t="n">
        <v>2475614</v>
      </c>
      <c r="C8704" s="0" t="n">
        <v>2475634</v>
      </c>
      <c r="D8704" s="0" t="s">
        <v>29056</v>
      </c>
      <c r="E8704" s="0" t="s">
        <v>89</v>
      </c>
      <c r="F8704" s="0" t="s">
        <v>90</v>
      </c>
      <c r="G8704" s="0" t="s">
        <v>16</v>
      </c>
      <c r="H8704" s="0" t="n">
        <v>78</v>
      </c>
      <c r="I8704" s="0" t="s">
        <v>29063</v>
      </c>
      <c r="J8704" s="0" t="s">
        <v>29064</v>
      </c>
      <c r="K8704" s="0" t="s">
        <v>29065</v>
      </c>
      <c r="L8704" s="0" t="str">
        <f aca="false">HYPERLINK("https://www.ncbi.nlm.nih.gov/nuccore/CP000304.1?report=graph&amp;tracks=[key:gene_model_track,Options:GeneOnly]&amp;mk=2475685:2475704|offset_8|444444,2475651:2475670|offset_42|444444,2475615:2475634|offset_78|00cc00,2475569:2475588|offset_124|444444&amp;v=2475484:2475788&amp;c=444444", "offset 78")</f>
        <v>offset 78</v>
      </c>
    </row>
    <row r="8705" customFormat="false" ht="12.8" hidden="false" customHeight="false" outlineLevel="0" collapsed="false">
      <c r="A8705" s="0" t="s">
        <v>12</v>
      </c>
      <c r="B8705" s="0" t="n">
        <v>2475568</v>
      </c>
      <c r="C8705" s="0" t="n">
        <v>2475588</v>
      </c>
      <c r="D8705" s="0" t="s">
        <v>29056</v>
      </c>
      <c r="E8705" s="0" t="s">
        <v>89</v>
      </c>
      <c r="F8705" s="0" t="s">
        <v>90</v>
      </c>
      <c r="G8705" s="0" t="s">
        <v>32</v>
      </c>
      <c r="H8705" s="0" t="n">
        <v>124</v>
      </c>
      <c r="I8705" s="0" t="s">
        <v>29066</v>
      </c>
      <c r="J8705" s="0" t="s">
        <v>29067</v>
      </c>
      <c r="K8705" s="0" t="s">
        <v>29068</v>
      </c>
      <c r="L8705" s="0" t="str">
        <f aca="false">HYPERLINK("https://www.ncbi.nlm.nih.gov/nuccore/CP000304.1?report=graph&amp;tracks=[key:gene_model_track,Options:GeneOnly]&amp;mk=2475685:2475704|offset_8|444444,2475651:2475670|offset_42|444444,2475615:2475634|offset_78|444444,2475569:2475588|offset_124|00cc00&amp;v=2475484:2475788&amp;c=444444", "offset 124")</f>
        <v>offset 124</v>
      </c>
    </row>
    <row r="8706" customFormat="false" ht="12.8" hidden="false" customHeight="false" outlineLevel="0" collapsed="false">
      <c r="A8706" s="0" t="s">
        <v>12</v>
      </c>
      <c r="B8706" s="0" t="n">
        <v>2476032</v>
      </c>
      <c r="C8706" s="0" t="n">
        <v>2476052</v>
      </c>
      <c r="D8706" s="0" t="s">
        <v>29069</v>
      </c>
      <c r="E8706" s="0" t="s">
        <v>89</v>
      </c>
      <c r="F8706" s="0" t="s">
        <v>90</v>
      </c>
      <c r="G8706" s="0" t="s">
        <v>36</v>
      </c>
      <c r="H8706" s="0" t="n">
        <v>15</v>
      </c>
      <c r="I8706" s="0" t="s">
        <v>29070</v>
      </c>
      <c r="J8706" s="0" t="s">
        <v>29071</v>
      </c>
      <c r="K8706" s="0" t="s">
        <v>29072</v>
      </c>
      <c r="L8706" s="0" t="str">
        <f aca="false">HYPERLINK("https://www.ncbi.nlm.nih.gov/nuccore/CP000304.1?report=graph&amp;tracks=[key:gene_model_track,Options:GeneOnly]&amp;mk=2476033:2476052|offset_15|00cc00,2475971:2475990|offset_77|444444,2475951:2475970|offset_97|444444,2475916:2475935|offset_132|444444&amp;v=2475832:2476135&amp;c=444444", "offset 15")</f>
        <v>offset 15</v>
      </c>
    </row>
    <row r="8707" customFormat="false" ht="12.8" hidden="false" customHeight="false" outlineLevel="0" collapsed="false">
      <c r="A8707" s="0" t="s">
        <v>12</v>
      </c>
      <c r="B8707" s="0" t="n">
        <v>2475970</v>
      </c>
      <c r="C8707" s="0" t="n">
        <v>2475990</v>
      </c>
      <c r="D8707" s="0" t="s">
        <v>29069</v>
      </c>
      <c r="E8707" s="0" t="s">
        <v>89</v>
      </c>
      <c r="F8707" s="0" t="s">
        <v>90</v>
      </c>
      <c r="G8707" s="0" t="s">
        <v>16</v>
      </c>
      <c r="H8707" s="0" t="n">
        <v>77</v>
      </c>
      <c r="I8707" s="0" t="s">
        <v>29073</v>
      </c>
      <c r="J8707" s="0" t="s">
        <v>29074</v>
      </c>
      <c r="K8707" s="0" t="s">
        <v>29075</v>
      </c>
      <c r="L8707" s="0" t="str">
        <f aca="false">HYPERLINK("https://www.ncbi.nlm.nih.gov/nuccore/CP000304.1?report=graph&amp;tracks=[key:gene_model_track,Options:GeneOnly]&amp;mk=2476033:2476052|offset_15|444444,2475971:2475990|offset_77|00cc00,2475951:2475970|offset_97|444444,2475916:2475935|offset_132|444444&amp;v=2475832:2476135&amp;c=444444", "offset 77")</f>
        <v>offset 77</v>
      </c>
    </row>
    <row r="8708" customFormat="false" ht="12.8" hidden="false" customHeight="false" outlineLevel="0" collapsed="false">
      <c r="A8708" s="0" t="s">
        <v>12</v>
      </c>
      <c r="B8708" s="0" t="n">
        <v>2475950</v>
      </c>
      <c r="C8708" s="0" t="n">
        <v>2475970</v>
      </c>
      <c r="D8708" s="0" t="s">
        <v>29069</v>
      </c>
      <c r="E8708" s="0" t="s">
        <v>89</v>
      </c>
      <c r="F8708" s="0" t="s">
        <v>90</v>
      </c>
      <c r="G8708" s="0" t="s">
        <v>36</v>
      </c>
      <c r="H8708" s="0" t="n">
        <v>97</v>
      </c>
      <c r="I8708" s="0" t="s">
        <v>29076</v>
      </c>
      <c r="J8708" s="0" t="s">
        <v>29077</v>
      </c>
      <c r="K8708" s="0" t="s">
        <v>29078</v>
      </c>
      <c r="L8708" s="0" t="str">
        <f aca="false">HYPERLINK("https://www.ncbi.nlm.nih.gov/nuccore/CP000304.1?report=graph&amp;tracks=[key:gene_model_track,Options:GeneOnly]&amp;mk=2476033:2476052|offset_15|444444,2475971:2475990|offset_77|444444,2475951:2475970|offset_97|00cc00,2475916:2475935|offset_132|444444&amp;v=2475832:2476135&amp;c=444444", "offset 97")</f>
        <v>offset 97</v>
      </c>
    </row>
    <row r="8709" customFormat="false" ht="12.8" hidden="false" customHeight="false" outlineLevel="0" collapsed="false">
      <c r="A8709" s="0" t="s">
        <v>12</v>
      </c>
      <c r="B8709" s="0" t="n">
        <v>2475915</v>
      </c>
      <c r="C8709" s="0" t="n">
        <v>2475935</v>
      </c>
      <c r="D8709" s="0" t="s">
        <v>29069</v>
      </c>
      <c r="E8709" s="0" t="s">
        <v>89</v>
      </c>
      <c r="F8709" s="0" t="s">
        <v>90</v>
      </c>
      <c r="G8709" s="0" t="s">
        <v>16</v>
      </c>
      <c r="H8709" s="0" t="n">
        <v>132</v>
      </c>
      <c r="I8709" s="0" t="s">
        <v>29079</v>
      </c>
      <c r="J8709" s="0" t="s">
        <v>29080</v>
      </c>
      <c r="K8709" s="0" t="s">
        <v>29081</v>
      </c>
      <c r="L8709" s="0" t="str">
        <f aca="false">HYPERLINK("https://www.ncbi.nlm.nih.gov/nuccore/CP000304.1?report=graph&amp;tracks=[key:gene_model_track,Options:GeneOnly]&amp;mk=2476033:2476052|offset_15|444444,2475971:2475990|offset_77|444444,2475951:2475970|offset_97|444444,2475916:2475935|offset_132|00cc00&amp;v=2475832:2476135&amp;c=444444", "offset 132")</f>
        <v>offset 132</v>
      </c>
    </row>
    <row r="8710" customFormat="false" ht="12.8" hidden="false" customHeight="false" outlineLevel="0" collapsed="false">
      <c r="A8710" s="0" t="s">
        <v>12</v>
      </c>
      <c r="B8710" s="0" t="n">
        <v>2477453</v>
      </c>
      <c r="C8710" s="0" t="n">
        <v>2477473</v>
      </c>
      <c r="D8710" s="0" t="s">
        <v>29082</v>
      </c>
      <c r="E8710" s="0" t="s">
        <v>89</v>
      </c>
      <c r="F8710" s="0" t="s">
        <v>90</v>
      </c>
      <c r="G8710" s="0" t="s">
        <v>26</v>
      </c>
      <c r="H8710" s="0" t="n">
        <v>23</v>
      </c>
      <c r="I8710" s="0" t="s">
        <v>29083</v>
      </c>
      <c r="J8710" s="0" t="s">
        <v>29084</v>
      </c>
      <c r="K8710" s="0" t="s">
        <v>29085</v>
      </c>
      <c r="L8710" s="0" t="str">
        <f aca="false">HYPERLINK("https://www.ncbi.nlm.nih.gov/nuccore/CP000304.1?report=graph&amp;tracks=[key:gene_model_track,Options:GeneOnly]&amp;mk=2477454:2477473|offset_23|00cc00,2477392:2477411|offset_85|444444,2477337:2477356|offset_140|444444,2477310:2477329|offset_167|444444&amp;v=2477253:2477529&amp;c=444444", "offset 23")</f>
        <v>offset 23</v>
      </c>
    </row>
    <row r="8711" customFormat="false" ht="12.8" hidden="false" customHeight="false" outlineLevel="0" collapsed="false">
      <c r="A8711" s="0" t="s">
        <v>12</v>
      </c>
      <c r="B8711" s="0" t="n">
        <v>2477391</v>
      </c>
      <c r="C8711" s="0" t="n">
        <v>2477411</v>
      </c>
      <c r="D8711" s="0" t="s">
        <v>29082</v>
      </c>
      <c r="E8711" s="0" t="s">
        <v>89</v>
      </c>
      <c r="F8711" s="0" t="s">
        <v>90</v>
      </c>
      <c r="G8711" s="0" t="s">
        <v>26</v>
      </c>
      <c r="H8711" s="0" t="n">
        <v>85</v>
      </c>
      <c r="I8711" s="0" t="s">
        <v>29086</v>
      </c>
      <c r="J8711" s="0" t="s">
        <v>29087</v>
      </c>
      <c r="K8711" s="0" t="s">
        <v>29088</v>
      </c>
      <c r="L8711" s="0" t="str">
        <f aca="false">HYPERLINK("https://www.ncbi.nlm.nih.gov/nuccore/CP000304.1?report=graph&amp;tracks=[key:gene_model_track,Options:GeneOnly]&amp;mk=2477454:2477473|offset_23|444444,2477392:2477411|offset_85|00cc00,2477337:2477356|offset_140|444444,2477310:2477329|offset_167|444444&amp;v=2477253:2477529&amp;c=444444", "offset 85")</f>
        <v>offset 85</v>
      </c>
    </row>
    <row r="8712" customFormat="false" ht="12.8" hidden="false" customHeight="false" outlineLevel="0" collapsed="false">
      <c r="A8712" s="0" t="s">
        <v>12</v>
      </c>
      <c r="B8712" s="0" t="n">
        <v>2477336</v>
      </c>
      <c r="C8712" s="0" t="n">
        <v>2477356</v>
      </c>
      <c r="D8712" s="0" t="s">
        <v>29082</v>
      </c>
      <c r="E8712" s="0" t="s">
        <v>89</v>
      </c>
      <c r="F8712" s="0" t="s">
        <v>90</v>
      </c>
      <c r="G8712" s="0" t="s">
        <v>36</v>
      </c>
      <c r="H8712" s="0" t="n">
        <v>140</v>
      </c>
      <c r="I8712" s="0" t="s">
        <v>29089</v>
      </c>
      <c r="J8712" s="0" t="s">
        <v>29090</v>
      </c>
      <c r="K8712" s="0" t="s">
        <v>29091</v>
      </c>
      <c r="L8712" s="0" t="str">
        <f aca="false">HYPERLINK("https://www.ncbi.nlm.nih.gov/nuccore/CP000304.1?report=graph&amp;tracks=[key:gene_model_track,Options:GeneOnly]&amp;mk=2477454:2477473|offset_23|444444,2477392:2477411|offset_85|444444,2477337:2477356|offset_140|00cc00,2477310:2477329|offset_167|444444&amp;v=2477253:2477529&amp;c=444444", "offset 140")</f>
        <v>offset 140</v>
      </c>
    </row>
    <row r="8713" customFormat="false" ht="12.8" hidden="false" customHeight="false" outlineLevel="0" collapsed="false">
      <c r="A8713" s="0" t="s">
        <v>12</v>
      </c>
      <c r="B8713" s="0" t="n">
        <v>2477309</v>
      </c>
      <c r="C8713" s="0" t="n">
        <v>2477329</v>
      </c>
      <c r="D8713" s="0" t="s">
        <v>29082</v>
      </c>
      <c r="E8713" s="0" t="s">
        <v>89</v>
      </c>
      <c r="F8713" s="0" t="s">
        <v>90</v>
      </c>
      <c r="G8713" s="0" t="s">
        <v>32</v>
      </c>
      <c r="H8713" s="0" t="n">
        <v>167</v>
      </c>
      <c r="I8713" s="0" t="s">
        <v>29092</v>
      </c>
      <c r="J8713" s="0" t="s">
        <v>29093</v>
      </c>
      <c r="K8713" s="0" t="s">
        <v>29094</v>
      </c>
      <c r="L8713" s="0" t="str">
        <f aca="false">HYPERLINK("https://www.ncbi.nlm.nih.gov/nuccore/CP000304.1?report=graph&amp;tracks=[key:gene_model_track,Options:GeneOnly]&amp;mk=2477454:2477473|offset_23|444444,2477392:2477411|offset_85|444444,2477337:2477356|offset_140|444444,2477310:2477329|offset_167|00cc00&amp;v=2477253:2477529&amp;c=444444", "offset 167")</f>
        <v>offset 167</v>
      </c>
    </row>
    <row r="8714" customFormat="false" ht="12.8" hidden="false" customHeight="false" outlineLevel="0" collapsed="false">
      <c r="A8714" s="0" t="s">
        <v>12</v>
      </c>
      <c r="B8714" s="0" t="n">
        <v>2477866</v>
      </c>
      <c r="C8714" s="0" t="n">
        <v>2477886</v>
      </c>
      <c r="D8714" s="0" t="s">
        <v>29095</v>
      </c>
      <c r="E8714" s="0" t="s">
        <v>29096</v>
      </c>
      <c r="F8714" s="0" t="s">
        <v>90</v>
      </c>
      <c r="G8714" s="0" t="s">
        <v>26</v>
      </c>
      <c r="H8714" s="0" t="n">
        <v>47</v>
      </c>
      <c r="I8714" s="0" t="s">
        <v>29097</v>
      </c>
      <c r="J8714" s="0" t="s">
        <v>29098</v>
      </c>
      <c r="K8714" s="0" t="s">
        <v>29099</v>
      </c>
      <c r="L8714" s="0" t="str">
        <f aca="false">HYPERLINK("https://www.ncbi.nlm.nih.gov/nuccore/CP000304.1?report=graph&amp;tracks=[key:gene_model_track,Options:GeneOnly]&amp;mk=2477867:2477886|offset_47|00cc00,2477841:2477860|offset_73|444444,2477808:2477827|offset_106|444444,2477765:2477784|offset_149|444444&amp;v=2477666:2477984&amp;c=444444", "offset 47")</f>
        <v>offset 47</v>
      </c>
    </row>
    <row r="8715" customFormat="false" ht="12.8" hidden="false" customHeight="false" outlineLevel="0" collapsed="false">
      <c r="A8715" s="0" t="s">
        <v>12</v>
      </c>
      <c r="B8715" s="0" t="n">
        <v>2477840</v>
      </c>
      <c r="C8715" s="0" t="n">
        <v>2477860</v>
      </c>
      <c r="D8715" s="0" t="s">
        <v>29095</v>
      </c>
      <c r="E8715" s="0" t="s">
        <v>29096</v>
      </c>
      <c r="F8715" s="0" t="s">
        <v>90</v>
      </c>
      <c r="G8715" s="0" t="s">
        <v>36</v>
      </c>
      <c r="H8715" s="0" t="n">
        <v>73</v>
      </c>
      <c r="I8715" s="0" t="s">
        <v>29100</v>
      </c>
      <c r="J8715" s="0" t="s">
        <v>29101</v>
      </c>
      <c r="K8715" s="0" t="s">
        <v>29102</v>
      </c>
      <c r="L8715" s="0" t="str">
        <f aca="false">HYPERLINK("https://www.ncbi.nlm.nih.gov/nuccore/CP000304.1?report=graph&amp;tracks=[key:gene_model_track,Options:GeneOnly]&amp;mk=2477867:2477886|offset_47|444444,2477841:2477860|offset_73|00cc00,2477808:2477827|offset_106|444444,2477765:2477784|offset_149|444444&amp;v=2477666:2477984&amp;c=444444", "offset 73")</f>
        <v>offset 73</v>
      </c>
    </row>
    <row r="8716" customFormat="false" ht="12.8" hidden="false" customHeight="false" outlineLevel="0" collapsed="false">
      <c r="A8716" s="0" t="s">
        <v>12</v>
      </c>
      <c r="B8716" s="0" t="n">
        <v>2477807</v>
      </c>
      <c r="C8716" s="0" t="n">
        <v>2477827</v>
      </c>
      <c r="D8716" s="0" t="s">
        <v>29095</v>
      </c>
      <c r="E8716" s="0" t="s">
        <v>29096</v>
      </c>
      <c r="F8716" s="0" t="s">
        <v>90</v>
      </c>
      <c r="G8716" s="0" t="s">
        <v>32</v>
      </c>
      <c r="H8716" s="0" t="n">
        <v>106</v>
      </c>
      <c r="I8716" s="0" t="s">
        <v>29103</v>
      </c>
      <c r="J8716" s="0" t="s">
        <v>29104</v>
      </c>
      <c r="K8716" s="0" t="s">
        <v>29105</v>
      </c>
      <c r="L8716" s="0" t="str">
        <f aca="false">HYPERLINK("https://www.ncbi.nlm.nih.gov/nuccore/CP000304.1?report=graph&amp;tracks=[key:gene_model_track,Options:GeneOnly]&amp;mk=2477867:2477886|offset_47|444444,2477841:2477860|offset_73|444444,2477808:2477827|offset_106|00cc00,2477765:2477784|offset_149|444444&amp;v=2477666:2477984&amp;c=444444", "offset 106")</f>
        <v>offset 106</v>
      </c>
    </row>
    <row r="8717" customFormat="false" ht="12.8" hidden="false" customHeight="false" outlineLevel="0" collapsed="false">
      <c r="A8717" s="0" t="s">
        <v>12</v>
      </c>
      <c r="B8717" s="0" t="n">
        <v>2477764</v>
      </c>
      <c r="C8717" s="0" t="n">
        <v>2477784</v>
      </c>
      <c r="D8717" s="0" t="s">
        <v>29095</v>
      </c>
      <c r="E8717" s="0" t="s">
        <v>29096</v>
      </c>
      <c r="F8717" s="0" t="s">
        <v>90</v>
      </c>
      <c r="G8717" s="0" t="s">
        <v>36</v>
      </c>
      <c r="H8717" s="0" t="n">
        <v>149</v>
      </c>
      <c r="I8717" s="0" t="s">
        <v>29106</v>
      </c>
      <c r="J8717" s="0" t="s">
        <v>29107</v>
      </c>
      <c r="K8717" s="0" t="s">
        <v>29108</v>
      </c>
      <c r="L8717" s="0" t="str">
        <f aca="false">HYPERLINK("https://www.ncbi.nlm.nih.gov/nuccore/CP000304.1?report=graph&amp;tracks=[key:gene_model_track,Options:GeneOnly]&amp;mk=2477867:2477886|offset_47|444444,2477841:2477860|offset_73|444444,2477808:2477827|offset_106|444444,2477765:2477784|offset_149|00cc00&amp;v=2477666:2477984&amp;c=444444", "offset 149")</f>
        <v>offset 149</v>
      </c>
    </row>
    <row r="8718" customFormat="false" ht="12.8" hidden="false" customHeight="false" outlineLevel="0" collapsed="false">
      <c r="A8718" s="0" t="s">
        <v>12</v>
      </c>
      <c r="B8718" s="0" t="n">
        <v>2477941</v>
      </c>
      <c r="C8718" s="0" t="n">
        <v>2477961</v>
      </c>
      <c r="D8718" s="0" t="s">
        <v>29109</v>
      </c>
      <c r="E8718" s="0" t="s">
        <v>89</v>
      </c>
      <c r="F8718" s="0" t="s">
        <v>15</v>
      </c>
      <c r="G8718" s="0" t="s">
        <v>32</v>
      </c>
      <c r="H8718" s="0" t="n">
        <v>25</v>
      </c>
      <c r="I8718" s="0" t="s">
        <v>29110</v>
      </c>
      <c r="J8718" s="0" t="s">
        <v>29111</v>
      </c>
      <c r="K8718" s="0" t="s">
        <v>29112</v>
      </c>
      <c r="L8718" s="0" t="str">
        <f aca="false">HYPERLINK("https://www.ncbi.nlm.nih.gov/nuccore/CP000304.1?report=graph&amp;tracks=[key:gene_model_track,Options:GeneOnly]&amp;mk=2477942:2477961|offset_25|00cc00,2477974:2477993|offset_57|444444,2478005:2478024|offset_88|444444,2478028:2478047|offset_111|444444&amp;v=2477741:2478247&amp;c=444444", "offset 25")</f>
        <v>offset 25</v>
      </c>
    </row>
    <row r="8719" customFormat="false" ht="12.8" hidden="false" customHeight="false" outlineLevel="0" collapsed="false">
      <c r="A8719" s="0" t="s">
        <v>12</v>
      </c>
      <c r="B8719" s="0" t="n">
        <v>2477973</v>
      </c>
      <c r="C8719" s="0" t="n">
        <v>2477993</v>
      </c>
      <c r="D8719" s="0" t="s">
        <v>29109</v>
      </c>
      <c r="E8719" s="0" t="s">
        <v>89</v>
      </c>
      <c r="F8719" s="0" t="s">
        <v>15</v>
      </c>
      <c r="G8719" s="0" t="s">
        <v>36</v>
      </c>
      <c r="H8719" s="0" t="n">
        <v>57</v>
      </c>
      <c r="I8719" s="0" t="s">
        <v>29113</v>
      </c>
      <c r="J8719" s="0" t="s">
        <v>29114</v>
      </c>
      <c r="K8719" s="0" t="s">
        <v>29115</v>
      </c>
      <c r="L8719" s="0" t="str">
        <f aca="false">HYPERLINK("https://www.ncbi.nlm.nih.gov/nuccore/CP000304.1?report=graph&amp;tracks=[key:gene_model_track,Options:GeneOnly]&amp;mk=2477942:2477961|offset_25|444444,2477974:2477993|offset_57|00cc00,2478005:2478024|offset_88|444444,2478028:2478047|offset_111|444444&amp;v=2477741:2478247&amp;c=444444", "offset 57")</f>
        <v>offset 57</v>
      </c>
    </row>
    <row r="8720" customFormat="false" ht="12.8" hidden="false" customHeight="false" outlineLevel="0" collapsed="false">
      <c r="A8720" s="0" t="s">
        <v>12</v>
      </c>
      <c r="B8720" s="0" t="n">
        <v>2478004</v>
      </c>
      <c r="C8720" s="0" t="n">
        <v>2478024</v>
      </c>
      <c r="D8720" s="0" t="s">
        <v>29109</v>
      </c>
      <c r="E8720" s="0" t="s">
        <v>89</v>
      </c>
      <c r="F8720" s="0" t="s">
        <v>15</v>
      </c>
      <c r="G8720" s="0" t="s">
        <v>16</v>
      </c>
      <c r="H8720" s="0" t="n">
        <v>88</v>
      </c>
      <c r="I8720" s="0" t="s">
        <v>29116</v>
      </c>
      <c r="J8720" s="0" t="s">
        <v>29117</v>
      </c>
      <c r="K8720" s="0" t="s">
        <v>29118</v>
      </c>
      <c r="L8720" s="0" t="str">
        <f aca="false">HYPERLINK("https://www.ncbi.nlm.nih.gov/nuccore/CP000304.1?report=graph&amp;tracks=[key:gene_model_track,Options:GeneOnly]&amp;mk=2477942:2477961|offset_25|444444,2477974:2477993|offset_57|444444,2478005:2478024|offset_88|00cc00,2478028:2478047|offset_111|444444&amp;v=2477741:2478247&amp;c=444444", "offset 88")</f>
        <v>offset 88</v>
      </c>
    </row>
    <row r="8721" customFormat="false" ht="12.8" hidden="false" customHeight="false" outlineLevel="0" collapsed="false">
      <c r="A8721" s="0" t="s">
        <v>12</v>
      </c>
      <c r="B8721" s="0" t="n">
        <v>2478027</v>
      </c>
      <c r="C8721" s="0" t="n">
        <v>2478047</v>
      </c>
      <c r="D8721" s="0" t="s">
        <v>29109</v>
      </c>
      <c r="E8721" s="0" t="s">
        <v>89</v>
      </c>
      <c r="F8721" s="0" t="s">
        <v>15</v>
      </c>
      <c r="G8721" s="0" t="s">
        <v>26</v>
      </c>
      <c r="H8721" s="0" t="n">
        <v>111</v>
      </c>
      <c r="I8721" s="0" t="s">
        <v>29119</v>
      </c>
      <c r="J8721" s="0" t="s">
        <v>29120</v>
      </c>
      <c r="K8721" s="0" t="s">
        <v>29121</v>
      </c>
      <c r="L8721" s="0" t="str">
        <f aca="false">HYPERLINK("https://www.ncbi.nlm.nih.gov/nuccore/CP000304.1?report=graph&amp;tracks=[key:gene_model_track,Options:GeneOnly]&amp;mk=2477942:2477961|offset_25|444444,2477974:2477993|offset_57|444444,2478005:2478024|offset_88|444444,2478028:2478047|offset_111|00cc00&amp;v=2477741:2478247&amp;c=444444", "offset 111")</f>
        <v>offset 111</v>
      </c>
    </row>
    <row r="8722" customFormat="false" ht="12.8" hidden="false" customHeight="false" outlineLevel="0" collapsed="false">
      <c r="A8722" s="0" t="s">
        <v>12</v>
      </c>
      <c r="B8722" s="0" t="n">
        <v>2480272</v>
      </c>
      <c r="C8722" s="0" t="n">
        <v>2480292</v>
      </c>
      <c r="D8722" s="0" t="s">
        <v>29122</v>
      </c>
      <c r="E8722" s="0" t="s">
        <v>89</v>
      </c>
      <c r="F8722" s="0" t="s">
        <v>15</v>
      </c>
      <c r="G8722" s="0" t="s">
        <v>36</v>
      </c>
      <c r="H8722" s="0" t="n">
        <v>0</v>
      </c>
      <c r="I8722" s="0" t="s">
        <v>29123</v>
      </c>
      <c r="J8722" s="0" t="s">
        <v>29124</v>
      </c>
      <c r="K8722" s="0" t="s">
        <v>29125</v>
      </c>
      <c r="L8722" s="0" t="str">
        <f aca="false">HYPERLINK("https://www.ncbi.nlm.nih.gov/nuccore/CP000304.1?report=graph&amp;tracks=[key:gene_model_track,Options:GeneOnly]&amp;mk=2480273:2480292|offset_0|00cc00,2480325:2480344|offset_52|444444,2480350:2480369|offset_77|444444,2480381:2480400|offset_108|444444&amp;v=2480072:2480600&amp;c=444444", "offset 0")</f>
        <v>offset 0</v>
      </c>
    </row>
    <row r="8723" customFormat="false" ht="12.8" hidden="false" customHeight="false" outlineLevel="0" collapsed="false">
      <c r="A8723" s="0" t="s">
        <v>12</v>
      </c>
      <c r="B8723" s="0" t="n">
        <v>2480324</v>
      </c>
      <c r="C8723" s="0" t="n">
        <v>2480344</v>
      </c>
      <c r="D8723" s="0" t="s">
        <v>29122</v>
      </c>
      <c r="E8723" s="0" t="s">
        <v>89</v>
      </c>
      <c r="F8723" s="0" t="s">
        <v>15</v>
      </c>
      <c r="G8723" s="0" t="s">
        <v>16</v>
      </c>
      <c r="H8723" s="0" t="n">
        <v>52</v>
      </c>
      <c r="I8723" s="0" t="s">
        <v>29126</v>
      </c>
      <c r="J8723" s="0" t="s">
        <v>29127</v>
      </c>
      <c r="K8723" s="0" t="s">
        <v>29128</v>
      </c>
      <c r="L8723" s="0" t="str">
        <f aca="false">HYPERLINK("https://www.ncbi.nlm.nih.gov/nuccore/CP000304.1?report=graph&amp;tracks=[key:gene_model_track,Options:GeneOnly]&amp;mk=2480273:2480292|offset_0|444444,2480325:2480344|offset_52|00cc00,2480350:2480369|offset_77|444444,2480381:2480400|offset_108|444444&amp;v=2480072:2480600&amp;c=444444", "offset 52")</f>
        <v>offset 52</v>
      </c>
    </row>
    <row r="8724" customFormat="false" ht="12.8" hidden="false" customHeight="false" outlineLevel="0" collapsed="false">
      <c r="A8724" s="0" t="s">
        <v>12</v>
      </c>
      <c r="B8724" s="0" t="n">
        <v>2480349</v>
      </c>
      <c r="C8724" s="0" t="n">
        <v>2480369</v>
      </c>
      <c r="D8724" s="0" t="s">
        <v>29122</v>
      </c>
      <c r="E8724" s="0" t="s">
        <v>89</v>
      </c>
      <c r="F8724" s="0" t="s">
        <v>15</v>
      </c>
      <c r="G8724" s="0" t="s">
        <v>36</v>
      </c>
      <c r="H8724" s="0" t="n">
        <v>77</v>
      </c>
      <c r="I8724" s="0" t="s">
        <v>29129</v>
      </c>
      <c r="J8724" s="0" t="s">
        <v>29130</v>
      </c>
      <c r="K8724" s="0" t="s">
        <v>29131</v>
      </c>
      <c r="L8724" s="0" t="str">
        <f aca="false">HYPERLINK("https://www.ncbi.nlm.nih.gov/nuccore/CP000304.1?report=graph&amp;tracks=[key:gene_model_track,Options:GeneOnly]&amp;mk=2480273:2480292|offset_0|444444,2480325:2480344|offset_52|444444,2480350:2480369|offset_77|00cc00,2480381:2480400|offset_108|444444&amp;v=2480072:2480600&amp;c=444444", "offset 77")</f>
        <v>offset 77</v>
      </c>
    </row>
    <row r="8725" customFormat="false" ht="12.8" hidden="false" customHeight="false" outlineLevel="0" collapsed="false">
      <c r="A8725" s="0" t="s">
        <v>12</v>
      </c>
      <c r="B8725" s="0" t="n">
        <v>2480380</v>
      </c>
      <c r="C8725" s="0" t="n">
        <v>2480400</v>
      </c>
      <c r="D8725" s="0" t="s">
        <v>29122</v>
      </c>
      <c r="E8725" s="0" t="s">
        <v>89</v>
      </c>
      <c r="F8725" s="0" t="s">
        <v>15</v>
      </c>
      <c r="G8725" s="0" t="s">
        <v>36</v>
      </c>
      <c r="H8725" s="0" t="n">
        <v>108</v>
      </c>
      <c r="I8725" s="0" t="s">
        <v>29132</v>
      </c>
      <c r="J8725" s="0" t="s">
        <v>29133</v>
      </c>
      <c r="K8725" s="0" t="s">
        <v>29134</v>
      </c>
      <c r="L8725" s="0" t="str">
        <f aca="false">HYPERLINK("https://www.ncbi.nlm.nih.gov/nuccore/CP000304.1?report=graph&amp;tracks=[key:gene_model_track,Options:GeneOnly]&amp;mk=2480273:2480292|offset_0|444444,2480325:2480344|offset_52|444444,2480350:2480369|offset_77|444444,2480381:2480400|offset_108|00cc00&amp;v=2480072:2480600&amp;c=444444", "offset 108")</f>
        <v>offset 108</v>
      </c>
    </row>
    <row r="8726" customFormat="false" ht="12.8" hidden="false" customHeight="false" outlineLevel="0" collapsed="false">
      <c r="A8726" s="0" t="s">
        <v>12</v>
      </c>
      <c r="B8726" s="0" t="n">
        <v>2481078</v>
      </c>
      <c r="C8726" s="0" t="n">
        <v>2481098</v>
      </c>
      <c r="D8726" s="0" t="s">
        <v>29135</v>
      </c>
      <c r="E8726" s="0" t="s">
        <v>89</v>
      </c>
      <c r="F8726" s="0" t="s">
        <v>15</v>
      </c>
      <c r="G8726" s="0" t="s">
        <v>26</v>
      </c>
      <c r="H8726" s="0" t="n">
        <v>17</v>
      </c>
      <c r="I8726" s="0" t="s">
        <v>29136</v>
      </c>
      <c r="J8726" s="0" t="s">
        <v>29137</v>
      </c>
      <c r="K8726" s="0" t="s">
        <v>29138</v>
      </c>
      <c r="L8726" s="0" t="str">
        <f aca="false">HYPERLINK("https://www.ncbi.nlm.nih.gov/nuccore/CP000304.1?report=graph&amp;tracks=[key:gene_model_track,Options:GeneOnly]&amp;mk=2481079:2481098|offset_17|00cc00,2481124:2481143|offset_62|444444,2481163:2481182|offset_101|444444,2481190:2481209|offset_128|444444&amp;v=2480878:2481409&amp;c=444444", "offset 17")</f>
        <v>offset 17</v>
      </c>
    </row>
    <row r="8727" customFormat="false" ht="12.8" hidden="false" customHeight="false" outlineLevel="0" collapsed="false">
      <c r="A8727" s="0" t="s">
        <v>12</v>
      </c>
      <c r="B8727" s="0" t="n">
        <v>2481123</v>
      </c>
      <c r="C8727" s="0" t="n">
        <v>2481143</v>
      </c>
      <c r="D8727" s="0" t="s">
        <v>29135</v>
      </c>
      <c r="E8727" s="0" t="s">
        <v>89</v>
      </c>
      <c r="F8727" s="0" t="s">
        <v>15</v>
      </c>
      <c r="G8727" s="0" t="s">
        <v>32</v>
      </c>
      <c r="H8727" s="0" t="n">
        <v>62</v>
      </c>
      <c r="I8727" s="0" t="s">
        <v>29139</v>
      </c>
      <c r="J8727" s="0" t="s">
        <v>29140</v>
      </c>
      <c r="K8727" s="0" t="s">
        <v>29141</v>
      </c>
      <c r="L8727" s="0" t="str">
        <f aca="false">HYPERLINK("https://www.ncbi.nlm.nih.gov/nuccore/CP000304.1?report=graph&amp;tracks=[key:gene_model_track,Options:GeneOnly]&amp;mk=2481079:2481098|offset_17|444444,2481124:2481143|offset_62|00cc00,2481163:2481182|offset_101|444444,2481190:2481209|offset_128|444444&amp;v=2480878:2481409&amp;c=444444", "offset 62")</f>
        <v>offset 62</v>
      </c>
    </row>
    <row r="8728" customFormat="false" ht="12.8" hidden="false" customHeight="false" outlineLevel="0" collapsed="false">
      <c r="A8728" s="0" t="s">
        <v>12</v>
      </c>
      <c r="B8728" s="0" t="n">
        <v>2481162</v>
      </c>
      <c r="C8728" s="0" t="n">
        <v>2481182</v>
      </c>
      <c r="D8728" s="0" t="s">
        <v>29135</v>
      </c>
      <c r="E8728" s="0" t="s">
        <v>89</v>
      </c>
      <c r="F8728" s="0" t="s">
        <v>15</v>
      </c>
      <c r="G8728" s="0" t="s">
        <v>26</v>
      </c>
      <c r="H8728" s="0" t="n">
        <v>101</v>
      </c>
      <c r="I8728" s="0" t="s">
        <v>29142</v>
      </c>
      <c r="J8728" s="0" t="s">
        <v>29143</v>
      </c>
      <c r="K8728" s="0" t="s">
        <v>29144</v>
      </c>
      <c r="L8728" s="0" t="str">
        <f aca="false">HYPERLINK("https://www.ncbi.nlm.nih.gov/nuccore/CP000304.1?report=graph&amp;tracks=[key:gene_model_track,Options:GeneOnly]&amp;mk=2481079:2481098|offset_17|444444,2481124:2481143|offset_62|444444,2481163:2481182|offset_101|00cc00,2481190:2481209|offset_128|444444&amp;v=2480878:2481409&amp;c=444444", "offset 101")</f>
        <v>offset 101</v>
      </c>
    </row>
    <row r="8729" customFormat="false" ht="12.8" hidden="false" customHeight="false" outlineLevel="0" collapsed="false">
      <c r="A8729" s="0" t="s">
        <v>12</v>
      </c>
      <c r="B8729" s="0" t="n">
        <v>2481189</v>
      </c>
      <c r="C8729" s="0" t="n">
        <v>2481209</v>
      </c>
      <c r="D8729" s="0" t="s">
        <v>29135</v>
      </c>
      <c r="E8729" s="0" t="s">
        <v>89</v>
      </c>
      <c r="F8729" s="0" t="s">
        <v>15</v>
      </c>
      <c r="G8729" s="0" t="s">
        <v>32</v>
      </c>
      <c r="H8729" s="0" t="n">
        <v>128</v>
      </c>
      <c r="I8729" s="0" t="s">
        <v>29145</v>
      </c>
      <c r="J8729" s="0" t="s">
        <v>29146</v>
      </c>
      <c r="K8729" s="0" t="s">
        <v>29147</v>
      </c>
      <c r="L8729" s="0" t="str">
        <f aca="false">HYPERLINK("https://www.ncbi.nlm.nih.gov/nuccore/CP000304.1?report=graph&amp;tracks=[key:gene_model_track,Options:GeneOnly]&amp;mk=2481079:2481098|offset_17|444444,2481124:2481143|offset_62|444444,2481163:2481182|offset_101|444444,2481190:2481209|offset_128|00cc00&amp;v=2480878:2481409&amp;c=444444", "offset 128")</f>
        <v>offset 128</v>
      </c>
    </row>
    <row r="8730" customFormat="false" ht="12.8" hidden="false" customHeight="false" outlineLevel="0" collapsed="false">
      <c r="A8730" s="0" t="s">
        <v>12</v>
      </c>
      <c r="B8730" s="0" t="n">
        <v>2482450</v>
      </c>
      <c r="C8730" s="0" t="n">
        <v>2482470</v>
      </c>
      <c r="D8730" s="0" t="s">
        <v>29148</v>
      </c>
      <c r="E8730" s="0" t="s">
        <v>89</v>
      </c>
      <c r="F8730" s="0" t="s">
        <v>15</v>
      </c>
      <c r="G8730" s="0" t="s">
        <v>36</v>
      </c>
      <c r="H8730" s="0" t="n">
        <v>8</v>
      </c>
      <c r="I8730" s="0" t="s">
        <v>29149</v>
      </c>
      <c r="J8730" s="0" t="s">
        <v>29150</v>
      </c>
      <c r="K8730" s="0" t="s">
        <v>29151</v>
      </c>
      <c r="L8730" s="0" t="str">
        <f aca="false">HYPERLINK("https://www.ncbi.nlm.nih.gov/nuccore/CP000304.1?report=graph&amp;tracks=[key:gene_model_track,Options:GeneOnly]&amp;mk=2482451:2482470|offset_8|00cc00,2482475:2482494|offset_32|444444,2482524:2482543|offset_81|444444,2482552:2482571|offset_109|444444&amp;v=2482250:2482771&amp;c=444444", "offset 8")</f>
        <v>offset 8</v>
      </c>
    </row>
    <row r="8731" customFormat="false" ht="12.8" hidden="false" customHeight="false" outlineLevel="0" collapsed="false">
      <c r="A8731" s="0" t="s">
        <v>12</v>
      </c>
      <c r="B8731" s="0" t="n">
        <v>2482474</v>
      </c>
      <c r="C8731" s="0" t="n">
        <v>2482494</v>
      </c>
      <c r="D8731" s="0" t="s">
        <v>29148</v>
      </c>
      <c r="E8731" s="0" t="s">
        <v>89</v>
      </c>
      <c r="F8731" s="0" t="s">
        <v>15</v>
      </c>
      <c r="G8731" s="0" t="s">
        <v>32</v>
      </c>
      <c r="H8731" s="0" t="n">
        <v>32</v>
      </c>
      <c r="I8731" s="0" t="s">
        <v>29152</v>
      </c>
      <c r="J8731" s="0" t="s">
        <v>29153</v>
      </c>
      <c r="K8731" s="0" t="s">
        <v>29154</v>
      </c>
      <c r="L8731" s="0" t="str">
        <f aca="false">HYPERLINK("https://www.ncbi.nlm.nih.gov/nuccore/CP000304.1?report=graph&amp;tracks=[key:gene_model_track,Options:GeneOnly]&amp;mk=2482451:2482470|offset_8|444444,2482475:2482494|offset_32|00cc00,2482524:2482543|offset_81|444444,2482552:2482571|offset_109|444444&amp;v=2482250:2482771&amp;c=444444", "offset 32")</f>
        <v>offset 32</v>
      </c>
    </row>
    <row r="8732" customFormat="false" ht="12.8" hidden="false" customHeight="false" outlineLevel="0" collapsed="false">
      <c r="A8732" s="0" t="s">
        <v>12</v>
      </c>
      <c r="B8732" s="0" t="n">
        <v>2482523</v>
      </c>
      <c r="C8732" s="0" t="n">
        <v>2482543</v>
      </c>
      <c r="D8732" s="0" t="s">
        <v>29148</v>
      </c>
      <c r="E8732" s="0" t="s">
        <v>89</v>
      </c>
      <c r="F8732" s="0" t="s">
        <v>15</v>
      </c>
      <c r="G8732" s="0" t="s">
        <v>16</v>
      </c>
      <c r="H8732" s="0" t="n">
        <v>81</v>
      </c>
      <c r="I8732" s="0" t="s">
        <v>29155</v>
      </c>
      <c r="J8732" s="0" t="s">
        <v>29156</v>
      </c>
      <c r="K8732" s="0" t="s">
        <v>29157</v>
      </c>
      <c r="L8732" s="0" t="str">
        <f aca="false">HYPERLINK("https://www.ncbi.nlm.nih.gov/nuccore/CP000304.1?report=graph&amp;tracks=[key:gene_model_track,Options:GeneOnly]&amp;mk=2482451:2482470|offset_8|444444,2482475:2482494|offset_32|444444,2482524:2482543|offset_81|00cc00,2482552:2482571|offset_109|444444&amp;v=2482250:2482771&amp;c=444444", "offset 81")</f>
        <v>offset 81</v>
      </c>
    </row>
    <row r="8733" customFormat="false" ht="12.8" hidden="false" customHeight="false" outlineLevel="0" collapsed="false">
      <c r="A8733" s="0" t="s">
        <v>12</v>
      </c>
      <c r="B8733" s="0" t="n">
        <v>2482551</v>
      </c>
      <c r="C8733" s="0" t="n">
        <v>2482571</v>
      </c>
      <c r="D8733" s="0" t="s">
        <v>29148</v>
      </c>
      <c r="E8733" s="0" t="s">
        <v>89</v>
      </c>
      <c r="F8733" s="0" t="s">
        <v>15</v>
      </c>
      <c r="G8733" s="0" t="s">
        <v>32</v>
      </c>
      <c r="H8733" s="0" t="n">
        <v>109</v>
      </c>
      <c r="I8733" s="0" t="s">
        <v>29158</v>
      </c>
      <c r="J8733" s="0" t="s">
        <v>29159</v>
      </c>
      <c r="K8733" s="0" t="s">
        <v>29160</v>
      </c>
      <c r="L8733" s="0" t="str">
        <f aca="false">HYPERLINK("https://www.ncbi.nlm.nih.gov/nuccore/CP000304.1?report=graph&amp;tracks=[key:gene_model_track,Options:GeneOnly]&amp;mk=2482451:2482470|offset_8|444444,2482475:2482494|offset_32|444444,2482524:2482543|offset_81|444444,2482552:2482571|offset_109|00cc00&amp;v=2482250:2482771&amp;c=444444", "offset 109")</f>
        <v>offset 109</v>
      </c>
    </row>
    <row r="8734" customFormat="false" ht="12.8" hidden="false" customHeight="false" outlineLevel="0" collapsed="false">
      <c r="A8734" s="0" t="s">
        <v>12</v>
      </c>
      <c r="B8734" s="0" t="n">
        <v>2483091</v>
      </c>
      <c r="C8734" s="0" t="n">
        <v>2483111</v>
      </c>
      <c r="D8734" s="0" t="s">
        <v>29161</v>
      </c>
      <c r="E8734" s="0" t="s">
        <v>89</v>
      </c>
      <c r="F8734" s="0" t="s">
        <v>15</v>
      </c>
      <c r="G8734" s="0" t="s">
        <v>16</v>
      </c>
      <c r="H8734" s="0" t="n">
        <v>7</v>
      </c>
      <c r="I8734" s="0" t="s">
        <v>29162</v>
      </c>
      <c r="J8734" s="0" t="s">
        <v>29163</v>
      </c>
      <c r="K8734" s="0" t="s">
        <v>29164</v>
      </c>
      <c r="L8734" s="0" t="str">
        <f aca="false">HYPERLINK("https://www.ncbi.nlm.nih.gov/nuccore/CP000304.1?report=graph&amp;tracks=[key:gene_model_track,Options:GeneOnly]&amp;mk=2483092:2483111|offset_7|00cc00,2483116:2483135|offset_31|444444,2483136:2483155|offset_51|444444,2483159:2483178|offset_74|444444&amp;v=2482891:2483378&amp;c=444444", "offset 7")</f>
        <v>offset 7</v>
      </c>
    </row>
    <row r="8735" customFormat="false" ht="12.8" hidden="false" customHeight="false" outlineLevel="0" collapsed="false">
      <c r="A8735" s="0" t="s">
        <v>12</v>
      </c>
      <c r="B8735" s="0" t="n">
        <v>2483115</v>
      </c>
      <c r="C8735" s="0" t="n">
        <v>2483135</v>
      </c>
      <c r="D8735" s="0" t="s">
        <v>29161</v>
      </c>
      <c r="E8735" s="0" t="s">
        <v>89</v>
      </c>
      <c r="F8735" s="0" t="s">
        <v>15</v>
      </c>
      <c r="G8735" s="0" t="s">
        <v>16</v>
      </c>
      <c r="H8735" s="0" t="n">
        <v>31</v>
      </c>
      <c r="I8735" s="0" t="s">
        <v>29165</v>
      </c>
      <c r="J8735" s="0" t="s">
        <v>29166</v>
      </c>
      <c r="K8735" s="0" t="s">
        <v>29167</v>
      </c>
      <c r="L8735" s="0" t="str">
        <f aca="false">HYPERLINK("https://www.ncbi.nlm.nih.gov/nuccore/CP000304.1?report=graph&amp;tracks=[key:gene_model_track,Options:GeneOnly]&amp;mk=2483092:2483111|offset_7|444444,2483116:2483135|offset_31|00cc00,2483136:2483155|offset_51|444444,2483159:2483178|offset_74|444444&amp;v=2482891:2483378&amp;c=444444", "offset 31")</f>
        <v>offset 31</v>
      </c>
    </row>
    <row r="8736" customFormat="false" ht="12.8" hidden="false" customHeight="false" outlineLevel="0" collapsed="false">
      <c r="A8736" s="0" t="s">
        <v>12</v>
      </c>
      <c r="B8736" s="0" t="n">
        <v>2483135</v>
      </c>
      <c r="C8736" s="0" t="n">
        <v>2483155</v>
      </c>
      <c r="D8736" s="0" t="s">
        <v>29161</v>
      </c>
      <c r="E8736" s="0" t="s">
        <v>89</v>
      </c>
      <c r="F8736" s="0" t="s">
        <v>15</v>
      </c>
      <c r="G8736" s="0" t="s">
        <v>16</v>
      </c>
      <c r="H8736" s="0" t="n">
        <v>51</v>
      </c>
      <c r="I8736" s="0" t="s">
        <v>29168</v>
      </c>
      <c r="J8736" s="0" t="s">
        <v>29169</v>
      </c>
      <c r="K8736" s="0" t="s">
        <v>29170</v>
      </c>
      <c r="L8736" s="0" t="str">
        <f aca="false">HYPERLINK("https://www.ncbi.nlm.nih.gov/nuccore/CP000304.1?report=graph&amp;tracks=[key:gene_model_track,Options:GeneOnly]&amp;mk=2483092:2483111|offset_7|444444,2483116:2483135|offset_31|444444,2483136:2483155|offset_51|00cc00,2483159:2483178|offset_74|444444&amp;v=2482891:2483378&amp;c=444444", "offset 51")</f>
        <v>offset 51</v>
      </c>
    </row>
    <row r="8737" customFormat="false" ht="12.8" hidden="false" customHeight="false" outlineLevel="0" collapsed="false">
      <c r="A8737" s="0" t="s">
        <v>12</v>
      </c>
      <c r="B8737" s="0" t="n">
        <v>2483158</v>
      </c>
      <c r="C8737" s="0" t="n">
        <v>2483178</v>
      </c>
      <c r="D8737" s="0" t="s">
        <v>29161</v>
      </c>
      <c r="E8737" s="0" t="s">
        <v>89</v>
      </c>
      <c r="F8737" s="0" t="s">
        <v>15</v>
      </c>
      <c r="G8737" s="0" t="s">
        <v>26</v>
      </c>
      <c r="H8737" s="0" t="n">
        <v>74</v>
      </c>
      <c r="I8737" s="0" t="s">
        <v>29171</v>
      </c>
      <c r="J8737" s="0" t="s">
        <v>29172</v>
      </c>
      <c r="K8737" s="0" t="s">
        <v>29173</v>
      </c>
      <c r="L8737" s="0" t="str">
        <f aca="false">HYPERLINK("https://www.ncbi.nlm.nih.gov/nuccore/CP000304.1?report=graph&amp;tracks=[key:gene_model_track,Options:GeneOnly]&amp;mk=2483092:2483111|offset_7|444444,2483116:2483135|offset_31|444444,2483136:2483155|offset_51|444444,2483159:2483178|offset_74|00cc00&amp;v=2482891:2483378&amp;c=444444", "offset 74")</f>
        <v>offset 74</v>
      </c>
    </row>
    <row r="8738" customFormat="false" ht="12.8" hidden="false" customHeight="false" outlineLevel="0" collapsed="false">
      <c r="A8738" s="0" t="s">
        <v>12</v>
      </c>
      <c r="B8738" s="0" t="n">
        <v>2485947</v>
      </c>
      <c r="C8738" s="0" t="n">
        <v>2485967</v>
      </c>
      <c r="D8738" s="0" t="s">
        <v>29174</v>
      </c>
      <c r="E8738" s="0" t="s">
        <v>89</v>
      </c>
      <c r="F8738" s="0" t="s">
        <v>90</v>
      </c>
      <c r="G8738" s="0" t="s">
        <v>32</v>
      </c>
      <c r="H8738" s="0" t="n">
        <v>1</v>
      </c>
      <c r="I8738" s="0" t="s">
        <v>29175</v>
      </c>
      <c r="J8738" s="0" t="s">
        <v>29176</v>
      </c>
      <c r="K8738" s="0" t="s">
        <v>29177</v>
      </c>
      <c r="L8738" s="0" t="str">
        <f aca="false">HYPERLINK("https://www.ncbi.nlm.nih.gov/nuccore/CP000304.1?report=graph&amp;tracks=[key:gene_model_track,Options:GeneOnly]&amp;mk=2485948:2485967|offset_1|00cc00,2485920:2485939|offset_29|444444,2485900:2485919|offset_49|444444,2485861:2485880|offset_88|444444&amp;v=2485747:2486080&amp;c=444444", "offset 1")</f>
        <v>offset 1</v>
      </c>
    </row>
    <row r="8739" customFormat="false" ht="12.8" hidden="false" customHeight="false" outlineLevel="0" collapsed="false">
      <c r="A8739" s="0" t="s">
        <v>12</v>
      </c>
      <c r="B8739" s="0" t="n">
        <v>2485919</v>
      </c>
      <c r="C8739" s="0" t="n">
        <v>2485939</v>
      </c>
      <c r="D8739" s="0" t="s">
        <v>29174</v>
      </c>
      <c r="E8739" s="0" t="s">
        <v>89</v>
      </c>
      <c r="F8739" s="0" t="s">
        <v>90</v>
      </c>
      <c r="G8739" s="0" t="s">
        <v>26</v>
      </c>
      <c r="H8739" s="0" t="n">
        <v>29</v>
      </c>
      <c r="I8739" s="0" t="s">
        <v>29178</v>
      </c>
      <c r="J8739" s="0" t="s">
        <v>29179</v>
      </c>
      <c r="K8739" s="0" t="s">
        <v>29180</v>
      </c>
      <c r="L8739" s="0" t="str">
        <f aca="false">HYPERLINK("https://www.ncbi.nlm.nih.gov/nuccore/CP000304.1?report=graph&amp;tracks=[key:gene_model_track,Options:GeneOnly]&amp;mk=2485948:2485967|offset_1|444444,2485920:2485939|offset_29|00cc00,2485900:2485919|offset_49|444444,2485861:2485880|offset_88|444444&amp;v=2485747:2486080&amp;c=444444", "offset 29")</f>
        <v>offset 29</v>
      </c>
    </row>
    <row r="8740" customFormat="false" ht="12.8" hidden="false" customHeight="false" outlineLevel="0" collapsed="false">
      <c r="A8740" s="0" t="s">
        <v>12</v>
      </c>
      <c r="B8740" s="0" t="n">
        <v>2485899</v>
      </c>
      <c r="C8740" s="0" t="n">
        <v>2485919</v>
      </c>
      <c r="D8740" s="0" t="s">
        <v>29174</v>
      </c>
      <c r="E8740" s="0" t="s">
        <v>89</v>
      </c>
      <c r="F8740" s="0" t="s">
        <v>90</v>
      </c>
      <c r="G8740" s="0" t="s">
        <v>36</v>
      </c>
      <c r="H8740" s="0" t="n">
        <v>49</v>
      </c>
      <c r="I8740" s="0" t="s">
        <v>29181</v>
      </c>
      <c r="J8740" s="0" t="s">
        <v>29182</v>
      </c>
      <c r="K8740" s="0" t="s">
        <v>29183</v>
      </c>
      <c r="L8740" s="0" t="str">
        <f aca="false">HYPERLINK("https://www.ncbi.nlm.nih.gov/nuccore/CP000304.1?report=graph&amp;tracks=[key:gene_model_track,Options:GeneOnly]&amp;mk=2485948:2485967|offset_1|444444,2485920:2485939|offset_29|444444,2485900:2485919|offset_49|00cc00,2485861:2485880|offset_88|444444&amp;v=2485747:2486080&amp;c=444444", "offset 49")</f>
        <v>offset 49</v>
      </c>
    </row>
    <row r="8741" customFormat="false" ht="12.8" hidden="false" customHeight="false" outlineLevel="0" collapsed="false">
      <c r="A8741" s="0" t="s">
        <v>12</v>
      </c>
      <c r="B8741" s="0" t="n">
        <v>2485860</v>
      </c>
      <c r="C8741" s="0" t="n">
        <v>2485880</v>
      </c>
      <c r="D8741" s="0" t="s">
        <v>29174</v>
      </c>
      <c r="E8741" s="0" t="s">
        <v>89</v>
      </c>
      <c r="F8741" s="0" t="s">
        <v>90</v>
      </c>
      <c r="G8741" s="0" t="s">
        <v>16</v>
      </c>
      <c r="H8741" s="0" t="n">
        <v>88</v>
      </c>
      <c r="I8741" s="0" t="s">
        <v>29184</v>
      </c>
      <c r="J8741" s="0" t="s">
        <v>29185</v>
      </c>
      <c r="K8741" s="0" t="s">
        <v>29186</v>
      </c>
      <c r="L8741" s="0" t="str">
        <f aca="false">HYPERLINK("https://www.ncbi.nlm.nih.gov/nuccore/CP000304.1?report=graph&amp;tracks=[key:gene_model_track,Options:GeneOnly]&amp;mk=2485948:2485967|offset_1|444444,2485920:2485939|offset_29|444444,2485900:2485919|offset_49|444444,2485861:2485880|offset_88|00cc00&amp;v=2485747:2486080&amp;c=444444", "offset 88")</f>
        <v>offset 88</v>
      </c>
    </row>
    <row r="8742" customFormat="false" ht="12.8" hidden="false" customHeight="false" outlineLevel="0" collapsed="false">
      <c r="A8742" s="0" t="s">
        <v>12</v>
      </c>
      <c r="B8742" s="0" t="n">
        <v>2486909</v>
      </c>
      <c r="C8742" s="0" t="n">
        <v>2486929</v>
      </c>
      <c r="D8742" s="0" t="s">
        <v>29187</v>
      </c>
      <c r="E8742" s="0" t="s">
        <v>89</v>
      </c>
      <c r="F8742" s="0" t="s">
        <v>90</v>
      </c>
      <c r="G8742" s="0" t="s">
        <v>32</v>
      </c>
      <c r="H8742" s="0" t="n">
        <v>26</v>
      </c>
      <c r="I8742" s="0" t="s">
        <v>29188</v>
      </c>
      <c r="J8742" s="0" t="s">
        <v>29189</v>
      </c>
      <c r="K8742" s="0" t="s">
        <v>29190</v>
      </c>
      <c r="L8742" s="0" t="str">
        <f aca="false">HYPERLINK("https://www.ncbi.nlm.nih.gov/nuccore/CP000304.1?report=graph&amp;tracks=[key:gene_model_track,Options:GeneOnly]&amp;mk=2486910:2486929|offset_26|00cc00,2486869:2486888|offset_67|444444,2486839:2486858|offset_97|444444,2486795:2486814|offset_141|444444&amp;v=2486709:2487014&amp;c=444444", "offset 26")</f>
        <v>offset 26</v>
      </c>
    </row>
    <row r="8743" customFormat="false" ht="12.8" hidden="false" customHeight="false" outlineLevel="0" collapsed="false">
      <c r="A8743" s="0" t="s">
        <v>12</v>
      </c>
      <c r="B8743" s="0" t="n">
        <v>2486868</v>
      </c>
      <c r="C8743" s="0" t="n">
        <v>2486888</v>
      </c>
      <c r="D8743" s="0" t="s">
        <v>29187</v>
      </c>
      <c r="E8743" s="0" t="s">
        <v>89</v>
      </c>
      <c r="F8743" s="0" t="s">
        <v>90</v>
      </c>
      <c r="G8743" s="0" t="s">
        <v>36</v>
      </c>
      <c r="H8743" s="0" t="n">
        <v>67</v>
      </c>
      <c r="I8743" s="0" t="s">
        <v>29191</v>
      </c>
      <c r="J8743" s="0" t="s">
        <v>29192</v>
      </c>
      <c r="K8743" s="0" t="s">
        <v>29193</v>
      </c>
      <c r="L8743" s="0" t="str">
        <f aca="false">HYPERLINK("https://www.ncbi.nlm.nih.gov/nuccore/CP000304.1?report=graph&amp;tracks=[key:gene_model_track,Options:GeneOnly]&amp;mk=2486910:2486929|offset_26|444444,2486869:2486888|offset_67|00cc00,2486839:2486858|offset_97|444444,2486795:2486814|offset_141|444444&amp;v=2486709:2487014&amp;c=444444", "offset 67")</f>
        <v>offset 67</v>
      </c>
    </row>
    <row r="8744" customFormat="false" ht="12.8" hidden="false" customHeight="false" outlineLevel="0" collapsed="false">
      <c r="A8744" s="0" t="s">
        <v>12</v>
      </c>
      <c r="B8744" s="0" t="n">
        <v>2486838</v>
      </c>
      <c r="C8744" s="0" t="n">
        <v>2486858</v>
      </c>
      <c r="D8744" s="0" t="s">
        <v>29187</v>
      </c>
      <c r="E8744" s="0" t="s">
        <v>89</v>
      </c>
      <c r="F8744" s="0" t="s">
        <v>90</v>
      </c>
      <c r="G8744" s="0" t="s">
        <v>16</v>
      </c>
      <c r="H8744" s="0" t="n">
        <v>97</v>
      </c>
      <c r="I8744" s="0" t="s">
        <v>29194</v>
      </c>
      <c r="J8744" s="0" t="s">
        <v>29195</v>
      </c>
      <c r="K8744" s="0" t="s">
        <v>29196</v>
      </c>
      <c r="L8744" s="0" t="str">
        <f aca="false">HYPERLINK("https://www.ncbi.nlm.nih.gov/nuccore/CP000304.1?report=graph&amp;tracks=[key:gene_model_track,Options:GeneOnly]&amp;mk=2486910:2486929|offset_26|444444,2486869:2486888|offset_67|444444,2486839:2486858|offset_97|00cc00,2486795:2486814|offset_141|444444&amp;v=2486709:2487014&amp;c=444444", "offset 97")</f>
        <v>offset 97</v>
      </c>
    </row>
    <row r="8745" customFormat="false" ht="12.8" hidden="false" customHeight="false" outlineLevel="0" collapsed="false">
      <c r="A8745" s="0" t="s">
        <v>12</v>
      </c>
      <c r="B8745" s="0" t="n">
        <v>2486794</v>
      </c>
      <c r="C8745" s="0" t="n">
        <v>2486814</v>
      </c>
      <c r="D8745" s="0" t="s">
        <v>29187</v>
      </c>
      <c r="E8745" s="0" t="s">
        <v>89</v>
      </c>
      <c r="F8745" s="0" t="s">
        <v>90</v>
      </c>
      <c r="G8745" s="0" t="s">
        <v>16</v>
      </c>
      <c r="H8745" s="0" t="n">
        <v>141</v>
      </c>
      <c r="I8745" s="0" t="s">
        <v>29197</v>
      </c>
      <c r="J8745" s="0" t="s">
        <v>29198</v>
      </c>
      <c r="K8745" s="0" t="s">
        <v>29199</v>
      </c>
      <c r="L8745" s="0" t="str">
        <f aca="false">HYPERLINK("https://www.ncbi.nlm.nih.gov/nuccore/CP000304.1?report=graph&amp;tracks=[key:gene_model_track,Options:GeneOnly]&amp;mk=2486910:2486929|offset_26|444444,2486869:2486888|offset_67|444444,2486839:2486858|offset_97|444444,2486795:2486814|offset_141|00cc00&amp;v=2486709:2487014&amp;c=444444", "offset 141")</f>
        <v>offset 141</v>
      </c>
    </row>
    <row r="8746" customFormat="false" ht="12.8" hidden="false" customHeight="false" outlineLevel="0" collapsed="false">
      <c r="A8746" s="0" t="s">
        <v>12</v>
      </c>
      <c r="B8746" s="0" t="n">
        <v>2488190</v>
      </c>
      <c r="C8746" s="0" t="n">
        <v>2488210</v>
      </c>
      <c r="D8746" s="0" t="s">
        <v>29200</v>
      </c>
      <c r="E8746" s="0" t="s">
        <v>89</v>
      </c>
      <c r="F8746" s="0" t="s">
        <v>90</v>
      </c>
      <c r="G8746" s="0" t="s">
        <v>16</v>
      </c>
      <c r="H8746" s="0" t="n">
        <v>7</v>
      </c>
      <c r="I8746" s="0" t="s">
        <v>29201</v>
      </c>
      <c r="J8746" s="0" t="s">
        <v>29202</v>
      </c>
      <c r="K8746" s="0" t="s">
        <v>29203</v>
      </c>
      <c r="L8746" s="0" t="str">
        <f aca="false">HYPERLINK("https://www.ncbi.nlm.nih.gov/nuccore/CP000304.1?report=graph&amp;tracks=[key:gene_model_track,Options:GeneOnly]&amp;mk=2488191:2488210|offset_7|00cc00,2488149:2488168|offset_49|444444,2488112:2488131|offset_86|444444,2488077:2488096|offset_121|444444&amp;v=2487990:2488296&amp;c=444444", "offset 7")</f>
        <v>offset 7</v>
      </c>
    </row>
    <row r="8747" customFormat="false" ht="12.8" hidden="false" customHeight="false" outlineLevel="0" collapsed="false">
      <c r="A8747" s="0" t="s">
        <v>12</v>
      </c>
      <c r="B8747" s="0" t="n">
        <v>2488148</v>
      </c>
      <c r="C8747" s="0" t="n">
        <v>2488168</v>
      </c>
      <c r="D8747" s="0" t="s">
        <v>29200</v>
      </c>
      <c r="E8747" s="0" t="s">
        <v>89</v>
      </c>
      <c r="F8747" s="0" t="s">
        <v>90</v>
      </c>
      <c r="G8747" s="0" t="s">
        <v>36</v>
      </c>
      <c r="H8747" s="0" t="n">
        <v>49</v>
      </c>
      <c r="I8747" s="0" t="s">
        <v>29204</v>
      </c>
      <c r="J8747" s="0" t="s">
        <v>29205</v>
      </c>
      <c r="K8747" s="0" t="s">
        <v>29206</v>
      </c>
      <c r="L8747" s="0" t="str">
        <f aca="false">HYPERLINK("https://www.ncbi.nlm.nih.gov/nuccore/CP000304.1?report=graph&amp;tracks=[key:gene_model_track,Options:GeneOnly]&amp;mk=2488191:2488210|offset_7|444444,2488149:2488168|offset_49|00cc00,2488112:2488131|offset_86|444444,2488077:2488096|offset_121|444444&amp;v=2487990:2488296&amp;c=444444", "offset 49")</f>
        <v>offset 49</v>
      </c>
    </row>
    <row r="8748" customFormat="false" ht="12.8" hidden="false" customHeight="false" outlineLevel="0" collapsed="false">
      <c r="A8748" s="0" t="s">
        <v>12</v>
      </c>
      <c r="B8748" s="0" t="n">
        <v>2488111</v>
      </c>
      <c r="C8748" s="0" t="n">
        <v>2488131</v>
      </c>
      <c r="D8748" s="0" t="s">
        <v>29200</v>
      </c>
      <c r="E8748" s="0" t="s">
        <v>89</v>
      </c>
      <c r="F8748" s="0" t="s">
        <v>90</v>
      </c>
      <c r="G8748" s="0" t="s">
        <v>32</v>
      </c>
      <c r="H8748" s="0" t="n">
        <v>86</v>
      </c>
      <c r="I8748" s="0" t="s">
        <v>29207</v>
      </c>
      <c r="J8748" s="0" t="s">
        <v>29208</v>
      </c>
      <c r="K8748" s="0" t="s">
        <v>29209</v>
      </c>
      <c r="L8748" s="0" t="str">
        <f aca="false">HYPERLINK("https://www.ncbi.nlm.nih.gov/nuccore/CP000304.1?report=graph&amp;tracks=[key:gene_model_track,Options:GeneOnly]&amp;mk=2488191:2488210|offset_7|444444,2488149:2488168|offset_49|444444,2488112:2488131|offset_86|00cc00,2488077:2488096|offset_121|444444&amp;v=2487990:2488296&amp;c=444444", "offset 86")</f>
        <v>offset 86</v>
      </c>
    </row>
    <row r="8749" customFormat="false" ht="12.8" hidden="false" customHeight="false" outlineLevel="0" collapsed="false">
      <c r="A8749" s="0" t="s">
        <v>12</v>
      </c>
      <c r="B8749" s="0" t="n">
        <v>2488076</v>
      </c>
      <c r="C8749" s="0" t="n">
        <v>2488096</v>
      </c>
      <c r="D8749" s="0" t="s">
        <v>29200</v>
      </c>
      <c r="E8749" s="0" t="s">
        <v>89</v>
      </c>
      <c r="F8749" s="0" t="s">
        <v>90</v>
      </c>
      <c r="G8749" s="0" t="s">
        <v>16</v>
      </c>
      <c r="H8749" s="0" t="n">
        <v>121</v>
      </c>
      <c r="I8749" s="0" t="s">
        <v>29210</v>
      </c>
      <c r="J8749" s="0" t="s">
        <v>29211</v>
      </c>
      <c r="K8749" s="0" t="s">
        <v>29212</v>
      </c>
      <c r="L8749" s="0" t="str">
        <f aca="false">HYPERLINK("https://www.ncbi.nlm.nih.gov/nuccore/CP000304.1?report=graph&amp;tracks=[key:gene_model_track,Options:GeneOnly]&amp;mk=2488191:2488210|offset_7|444444,2488149:2488168|offset_49|444444,2488112:2488131|offset_86|444444,2488077:2488096|offset_121|00cc00&amp;v=2487990:2488296&amp;c=444444", "offset 121")</f>
        <v>offset 121</v>
      </c>
    </row>
    <row r="8750" customFormat="false" ht="12.8" hidden="false" customHeight="false" outlineLevel="0" collapsed="false">
      <c r="A8750" s="0" t="s">
        <v>12</v>
      </c>
      <c r="B8750" s="0" t="n">
        <v>2488853</v>
      </c>
      <c r="C8750" s="0" t="n">
        <v>2488873</v>
      </c>
      <c r="D8750" s="0" t="s">
        <v>29213</v>
      </c>
      <c r="E8750" s="0" t="s">
        <v>89</v>
      </c>
      <c r="F8750" s="0" t="s">
        <v>90</v>
      </c>
      <c r="G8750" s="0" t="s">
        <v>16</v>
      </c>
      <c r="H8750" s="0" t="n">
        <v>26</v>
      </c>
      <c r="I8750" s="0" t="s">
        <v>29214</v>
      </c>
      <c r="J8750" s="0" t="s">
        <v>29215</v>
      </c>
      <c r="K8750" s="0" t="s">
        <v>29216</v>
      </c>
      <c r="L8750" s="0" t="str">
        <f aca="false">HYPERLINK("https://www.ncbi.nlm.nih.gov/nuccore/CP000304.1?report=graph&amp;tracks=[key:gene_model_track,Options:GeneOnly]&amp;mk=2488854:2488873|offset_26|00cc00,2488831:2488850|offset_49|444444,2488810:2488829|offset_70|444444,2488784:2488803|offset_96|444444&amp;v=2488653:2489003&amp;c=444444", "offset 26")</f>
        <v>offset 26</v>
      </c>
    </row>
    <row r="8751" customFormat="false" ht="12.8" hidden="false" customHeight="false" outlineLevel="0" collapsed="false">
      <c r="A8751" s="0" t="s">
        <v>12</v>
      </c>
      <c r="B8751" s="0" t="n">
        <v>2488830</v>
      </c>
      <c r="C8751" s="0" t="n">
        <v>2488850</v>
      </c>
      <c r="D8751" s="0" t="s">
        <v>29213</v>
      </c>
      <c r="E8751" s="0" t="s">
        <v>89</v>
      </c>
      <c r="F8751" s="0" t="s">
        <v>90</v>
      </c>
      <c r="G8751" s="0" t="s">
        <v>26</v>
      </c>
      <c r="H8751" s="0" t="n">
        <v>49</v>
      </c>
      <c r="I8751" s="0" t="s">
        <v>29217</v>
      </c>
      <c r="J8751" s="0" t="s">
        <v>29218</v>
      </c>
      <c r="K8751" s="0" t="s">
        <v>29219</v>
      </c>
      <c r="L8751" s="0" t="str">
        <f aca="false">HYPERLINK("https://www.ncbi.nlm.nih.gov/nuccore/CP000304.1?report=graph&amp;tracks=[key:gene_model_track,Options:GeneOnly]&amp;mk=2488854:2488873|offset_26|444444,2488831:2488850|offset_49|00cc00,2488810:2488829|offset_70|444444,2488784:2488803|offset_96|444444&amp;v=2488653:2489003&amp;c=444444", "offset 49")</f>
        <v>offset 49</v>
      </c>
    </row>
    <row r="8752" customFormat="false" ht="12.8" hidden="false" customHeight="false" outlineLevel="0" collapsed="false">
      <c r="A8752" s="0" t="s">
        <v>12</v>
      </c>
      <c r="B8752" s="0" t="n">
        <v>2488809</v>
      </c>
      <c r="C8752" s="0" t="n">
        <v>2488829</v>
      </c>
      <c r="D8752" s="0" t="s">
        <v>29213</v>
      </c>
      <c r="E8752" s="0" t="s">
        <v>89</v>
      </c>
      <c r="F8752" s="0" t="s">
        <v>90</v>
      </c>
      <c r="G8752" s="0" t="s">
        <v>16</v>
      </c>
      <c r="H8752" s="0" t="n">
        <v>70</v>
      </c>
      <c r="I8752" s="0" t="s">
        <v>29220</v>
      </c>
      <c r="J8752" s="0" t="s">
        <v>29221</v>
      </c>
      <c r="K8752" s="0" t="s">
        <v>29222</v>
      </c>
      <c r="L8752" s="0" t="str">
        <f aca="false">HYPERLINK("https://www.ncbi.nlm.nih.gov/nuccore/CP000304.1?report=graph&amp;tracks=[key:gene_model_track,Options:GeneOnly]&amp;mk=2488854:2488873|offset_26|444444,2488831:2488850|offset_49|444444,2488810:2488829|offset_70|00cc00,2488784:2488803|offset_96|444444&amp;v=2488653:2489003&amp;c=444444", "offset 70")</f>
        <v>offset 70</v>
      </c>
    </row>
    <row r="8753" customFormat="false" ht="12.8" hidden="false" customHeight="false" outlineLevel="0" collapsed="false">
      <c r="A8753" s="0" t="s">
        <v>12</v>
      </c>
      <c r="B8753" s="0" t="n">
        <v>2488783</v>
      </c>
      <c r="C8753" s="0" t="n">
        <v>2488803</v>
      </c>
      <c r="D8753" s="0" t="s">
        <v>29213</v>
      </c>
      <c r="E8753" s="0" t="s">
        <v>89</v>
      </c>
      <c r="F8753" s="0" t="s">
        <v>90</v>
      </c>
      <c r="G8753" s="0" t="s">
        <v>16</v>
      </c>
      <c r="H8753" s="0" t="n">
        <v>96</v>
      </c>
      <c r="I8753" s="0" t="s">
        <v>29223</v>
      </c>
      <c r="J8753" s="0" t="s">
        <v>29224</v>
      </c>
      <c r="K8753" s="0" t="s">
        <v>29225</v>
      </c>
      <c r="L8753" s="0" t="str">
        <f aca="false">HYPERLINK("https://www.ncbi.nlm.nih.gov/nuccore/CP000304.1?report=graph&amp;tracks=[key:gene_model_track,Options:GeneOnly]&amp;mk=2488854:2488873|offset_26|444444,2488831:2488850|offset_49|444444,2488810:2488829|offset_70|444444,2488784:2488803|offset_96|00cc00&amp;v=2488653:2489003&amp;c=444444", "offset 96")</f>
        <v>offset 96</v>
      </c>
    </row>
    <row r="8754" customFormat="false" ht="12.8" hidden="false" customHeight="false" outlineLevel="0" collapsed="false">
      <c r="A8754" s="0" t="s">
        <v>12</v>
      </c>
      <c r="B8754" s="0" t="n">
        <v>2489091</v>
      </c>
      <c r="C8754" s="0" t="n">
        <v>2489111</v>
      </c>
      <c r="D8754" s="0" t="s">
        <v>29226</v>
      </c>
      <c r="E8754" s="0" t="s">
        <v>89</v>
      </c>
      <c r="F8754" s="0" t="s">
        <v>15</v>
      </c>
      <c r="G8754" s="0" t="s">
        <v>26</v>
      </c>
      <c r="H8754" s="0" t="n">
        <v>6</v>
      </c>
      <c r="I8754" s="0" t="s">
        <v>29227</v>
      </c>
      <c r="J8754" s="0" t="s">
        <v>29228</v>
      </c>
      <c r="K8754" s="0" t="s">
        <v>29229</v>
      </c>
      <c r="L8754" s="0" t="str">
        <f aca="false">HYPERLINK("https://www.ncbi.nlm.nih.gov/nuccore/CP000304.1?report=graph&amp;tracks=[key:gene_model_track,Options:GeneOnly]&amp;mk=2489092:2489111|offset_6|00cc00,2489139:2489158|offset_53|444444,2489186:2489205|offset_100|444444,2489213:2489232|offset_127|444444&amp;v=2488891:2489432&amp;c=444444", "offset 6")</f>
        <v>offset 6</v>
      </c>
    </row>
    <row r="8755" customFormat="false" ht="12.8" hidden="false" customHeight="false" outlineLevel="0" collapsed="false">
      <c r="A8755" s="0" t="s">
        <v>12</v>
      </c>
      <c r="B8755" s="0" t="n">
        <v>2489138</v>
      </c>
      <c r="C8755" s="0" t="n">
        <v>2489158</v>
      </c>
      <c r="D8755" s="0" t="s">
        <v>29226</v>
      </c>
      <c r="E8755" s="0" t="s">
        <v>89</v>
      </c>
      <c r="F8755" s="0" t="s">
        <v>15</v>
      </c>
      <c r="G8755" s="0" t="s">
        <v>26</v>
      </c>
      <c r="H8755" s="0" t="n">
        <v>53</v>
      </c>
      <c r="I8755" s="0" t="s">
        <v>29230</v>
      </c>
      <c r="J8755" s="0" t="s">
        <v>29231</v>
      </c>
      <c r="K8755" s="0" t="s">
        <v>29232</v>
      </c>
      <c r="L8755" s="0" t="str">
        <f aca="false">HYPERLINK("https://www.ncbi.nlm.nih.gov/nuccore/CP000304.1?report=graph&amp;tracks=[key:gene_model_track,Options:GeneOnly]&amp;mk=2489092:2489111|offset_6|444444,2489139:2489158|offset_53|00cc00,2489186:2489205|offset_100|444444,2489213:2489232|offset_127|444444&amp;v=2488891:2489432&amp;c=444444", "offset 53")</f>
        <v>offset 53</v>
      </c>
    </row>
    <row r="8756" customFormat="false" ht="12.8" hidden="false" customHeight="false" outlineLevel="0" collapsed="false">
      <c r="A8756" s="0" t="s">
        <v>12</v>
      </c>
      <c r="B8756" s="0" t="n">
        <v>2489185</v>
      </c>
      <c r="C8756" s="0" t="n">
        <v>2489205</v>
      </c>
      <c r="D8756" s="0" t="s">
        <v>29226</v>
      </c>
      <c r="E8756" s="0" t="s">
        <v>89</v>
      </c>
      <c r="F8756" s="0" t="s">
        <v>15</v>
      </c>
      <c r="G8756" s="0" t="s">
        <v>32</v>
      </c>
      <c r="H8756" s="0" t="n">
        <v>100</v>
      </c>
      <c r="I8756" s="0" t="s">
        <v>29233</v>
      </c>
      <c r="J8756" s="0" t="s">
        <v>29234</v>
      </c>
      <c r="K8756" s="0" t="s">
        <v>29235</v>
      </c>
      <c r="L8756" s="0" t="str">
        <f aca="false">HYPERLINK("https://www.ncbi.nlm.nih.gov/nuccore/CP000304.1?report=graph&amp;tracks=[key:gene_model_track,Options:GeneOnly]&amp;mk=2489092:2489111|offset_6|444444,2489139:2489158|offset_53|444444,2489186:2489205|offset_100|00cc00,2489213:2489232|offset_127|444444&amp;v=2488891:2489432&amp;c=444444", "offset 100")</f>
        <v>offset 100</v>
      </c>
    </row>
    <row r="8757" customFormat="false" ht="12.8" hidden="false" customHeight="false" outlineLevel="0" collapsed="false">
      <c r="A8757" s="0" t="s">
        <v>12</v>
      </c>
      <c r="B8757" s="0" t="n">
        <v>2489212</v>
      </c>
      <c r="C8757" s="0" t="n">
        <v>2489232</v>
      </c>
      <c r="D8757" s="0" t="s">
        <v>29226</v>
      </c>
      <c r="E8757" s="0" t="s">
        <v>89</v>
      </c>
      <c r="F8757" s="0" t="s">
        <v>15</v>
      </c>
      <c r="G8757" s="0" t="s">
        <v>36</v>
      </c>
      <c r="H8757" s="0" t="n">
        <v>127</v>
      </c>
      <c r="I8757" s="0" t="s">
        <v>29236</v>
      </c>
      <c r="J8757" s="0" t="s">
        <v>29237</v>
      </c>
      <c r="K8757" s="0" t="s">
        <v>29238</v>
      </c>
      <c r="L8757" s="0" t="str">
        <f aca="false">HYPERLINK("https://www.ncbi.nlm.nih.gov/nuccore/CP000304.1?report=graph&amp;tracks=[key:gene_model_track,Options:GeneOnly]&amp;mk=2489092:2489111|offset_6|444444,2489139:2489158|offset_53|444444,2489186:2489205|offset_100|444444,2489213:2489232|offset_127|00cc00&amp;v=2488891:2489432&amp;c=444444", "offset 127")</f>
        <v>offset 127</v>
      </c>
    </row>
    <row r="8758" customFormat="false" ht="12.8" hidden="false" customHeight="false" outlineLevel="0" collapsed="false">
      <c r="A8758" s="0" t="s">
        <v>12</v>
      </c>
      <c r="B8758" s="0" t="n">
        <v>2491380</v>
      </c>
      <c r="C8758" s="0" t="n">
        <v>2491400</v>
      </c>
      <c r="D8758" s="0" t="s">
        <v>29239</v>
      </c>
      <c r="E8758" s="0" t="s">
        <v>89</v>
      </c>
      <c r="F8758" s="0" t="s">
        <v>15</v>
      </c>
      <c r="G8758" s="0" t="s">
        <v>36</v>
      </c>
      <c r="H8758" s="0" t="n">
        <v>0</v>
      </c>
      <c r="I8758" s="0" t="s">
        <v>29240</v>
      </c>
      <c r="J8758" s="0" t="s">
        <v>29241</v>
      </c>
      <c r="K8758" s="0" t="s">
        <v>29242</v>
      </c>
      <c r="L8758" s="0" t="str">
        <f aca="false">HYPERLINK("https://www.ncbi.nlm.nih.gov/nuccore/CP000304.1?report=graph&amp;tracks=[key:gene_model_track,Options:GeneOnly]&amp;mk=2491381:2491400|offset_0|00cc00,2491406:2491425|offset_25|444444,2491427:2491446|offset_46|444444,2491457:2491476|offset_76|444444&amp;v=2491180:2491676&amp;c=444444", "offset 0")</f>
        <v>offset 0</v>
      </c>
    </row>
    <row r="8759" customFormat="false" ht="12.8" hidden="false" customHeight="false" outlineLevel="0" collapsed="false">
      <c r="A8759" s="0" t="s">
        <v>12</v>
      </c>
      <c r="B8759" s="0" t="n">
        <v>2491405</v>
      </c>
      <c r="C8759" s="0" t="n">
        <v>2491425</v>
      </c>
      <c r="D8759" s="0" t="s">
        <v>29239</v>
      </c>
      <c r="E8759" s="0" t="s">
        <v>89</v>
      </c>
      <c r="F8759" s="0" t="s">
        <v>15</v>
      </c>
      <c r="G8759" s="0" t="s">
        <v>16</v>
      </c>
      <c r="H8759" s="0" t="n">
        <v>25</v>
      </c>
      <c r="I8759" s="0" t="s">
        <v>29243</v>
      </c>
      <c r="J8759" s="0" t="s">
        <v>29244</v>
      </c>
      <c r="K8759" s="0" t="s">
        <v>29245</v>
      </c>
      <c r="L8759" s="0" t="str">
        <f aca="false">HYPERLINK("https://www.ncbi.nlm.nih.gov/nuccore/CP000304.1?report=graph&amp;tracks=[key:gene_model_track,Options:GeneOnly]&amp;mk=2491381:2491400|offset_0|444444,2491406:2491425|offset_25|00cc00,2491427:2491446|offset_46|444444,2491457:2491476|offset_76|444444&amp;v=2491180:2491676&amp;c=444444", "offset 25")</f>
        <v>offset 25</v>
      </c>
    </row>
    <row r="8760" customFormat="false" ht="12.8" hidden="false" customHeight="false" outlineLevel="0" collapsed="false">
      <c r="A8760" s="0" t="s">
        <v>12</v>
      </c>
      <c r="B8760" s="0" t="n">
        <v>2491426</v>
      </c>
      <c r="C8760" s="0" t="n">
        <v>2491446</v>
      </c>
      <c r="D8760" s="0" t="s">
        <v>29239</v>
      </c>
      <c r="E8760" s="0" t="s">
        <v>89</v>
      </c>
      <c r="F8760" s="0" t="s">
        <v>15</v>
      </c>
      <c r="G8760" s="0" t="s">
        <v>26</v>
      </c>
      <c r="H8760" s="0" t="n">
        <v>46</v>
      </c>
      <c r="I8760" s="0" t="s">
        <v>29246</v>
      </c>
      <c r="J8760" s="0" t="s">
        <v>29247</v>
      </c>
      <c r="K8760" s="0" t="s">
        <v>29248</v>
      </c>
      <c r="L8760" s="0" t="str">
        <f aca="false">HYPERLINK("https://www.ncbi.nlm.nih.gov/nuccore/CP000304.1?report=graph&amp;tracks=[key:gene_model_track,Options:GeneOnly]&amp;mk=2491381:2491400|offset_0|444444,2491406:2491425|offset_25|444444,2491427:2491446|offset_46|00cc00,2491457:2491476|offset_76|444444&amp;v=2491180:2491676&amp;c=444444", "offset 46")</f>
        <v>offset 46</v>
      </c>
    </row>
    <row r="8761" customFormat="false" ht="12.8" hidden="false" customHeight="false" outlineLevel="0" collapsed="false">
      <c r="A8761" s="0" t="s">
        <v>12</v>
      </c>
      <c r="B8761" s="0" t="n">
        <v>2491456</v>
      </c>
      <c r="C8761" s="0" t="n">
        <v>2491476</v>
      </c>
      <c r="D8761" s="0" t="s">
        <v>29239</v>
      </c>
      <c r="E8761" s="0" t="s">
        <v>89</v>
      </c>
      <c r="F8761" s="0" t="s">
        <v>15</v>
      </c>
      <c r="G8761" s="0" t="s">
        <v>16</v>
      </c>
      <c r="H8761" s="0" t="n">
        <v>76</v>
      </c>
      <c r="I8761" s="0" t="s">
        <v>29249</v>
      </c>
      <c r="J8761" s="0" t="s">
        <v>29250</v>
      </c>
      <c r="K8761" s="0" t="s">
        <v>29251</v>
      </c>
      <c r="L8761" s="0" t="str">
        <f aca="false">HYPERLINK("https://www.ncbi.nlm.nih.gov/nuccore/CP000304.1?report=graph&amp;tracks=[key:gene_model_track,Options:GeneOnly]&amp;mk=2491381:2491400|offset_0|444444,2491406:2491425|offset_25|444444,2491427:2491446|offset_46|444444,2491457:2491476|offset_76|00cc00&amp;v=2491180:2491676&amp;c=444444", "offset 76")</f>
        <v>offset 76</v>
      </c>
    </row>
    <row r="8762" customFormat="false" ht="12.8" hidden="false" customHeight="false" outlineLevel="0" collapsed="false">
      <c r="A8762" s="0" t="s">
        <v>12</v>
      </c>
      <c r="B8762" s="0" t="n">
        <v>2492578</v>
      </c>
      <c r="C8762" s="0" t="n">
        <v>2492598</v>
      </c>
      <c r="D8762" s="0" t="s">
        <v>29252</v>
      </c>
      <c r="E8762" s="0" t="s">
        <v>89</v>
      </c>
      <c r="F8762" s="0" t="s">
        <v>15</v>
      </c>
      <c r="G8762" s="0" t="s">
        <v>16</v>
      </c>
      <c r="H8762" s="0" t="n">
        <v>8</v>
      </c>
      <c r="I8762" s="0" t="s">
        <v>29253</v>
      </c>
      <c r="J8762" s="0" t="s">
        <v>29254</v>
      </c>
      <c r="K8762" s="0" t="s">
        <v>29255</v>
      </c>
      <c r="L8762" s="0" t="str">
        <f aca="false">HYPERLINK("https://www.ncbi.nlm.nih.gov/nuccore/CP000304.1?report=graph&amp;tracks=[key:gene_model_track,Options:GeneOnly]&amp;mk=2492579:2492598|offset_8|00cc00,2492608:2492627|offset_37|444444,2492629:2492648|offset_58|444444,2492650:2492669|offset_79|444444&amp;v=2492378:2492869&amp;c=444444", "offset 8")</f>
        <v>offset 8</v>
      </c>
    </row>
    <row r="8763" customFormat="false" ht="12.8" hidden="false" customHeight="false" outlineLevel="0" collapsed="false">
      <c r="A8763" s="0" t="s">
        <v>12</v>
      </c>
      <c r="B8763" s="0" t="n">
        <v>2492607</v>
      </c>
      <c r="C8763" s="0" t="n">
        <v>2492627</v>
      </c>
      <c r="D8763" s="0" t="s">
        <v>29252</v>
      </c>
      <c r="E8763" s="0" t="s">
        <v>89</v>
      </c>
      <c r="F8763" s="0" t="s">
        <v>15</v>
      </c>
      <c r="G8763" s="0" t="s">
        <v>36</v>
      </c>
      <c r="H8763" s="0" t="n">
        <v>37</v>
      </c>
      <c r="I8763" s="0" t="s">
        <v>29256</v>
      </c>
      <c r="J8763" s="0" t="s">
        <v>29257</v>
      </c>
      <c r="K8763" s="0" t="s">
        <v>29258</v>
      </c>
      <c r="L8763" s="0" t="str">
        <f aca="false">HYPERLINK("https://www.ncbi.nlm.nih.gov/nuccore/CP000304.1?report=graph&amp;tracks=[key:gene_model_track,Options:GeneOnly]&amp;mk=2492579:2492598|offset_8|444444,2492608:2492627|offset_37|00cc00,2492629:2492648|offset_58|444444,2492650:2492669|offset_79|444444&amp;v=2492378:2492869&amp;c=444444", "offset 37")</f>
        <v>offset 37</v>
      </c>
    </row>
    <row r="8764" customFormat="false" ht="12.8" hidden="false" customHeight="false" outlineLevel="0" collapsed="false">
      <c r="A8764" s="0" t="s">
        <v>12</v>
      </c>
      <c r="B8764" s="0" t="n">
        <v>2492628</v>
      </c>
      <c r="C8764" s="0" t="n">
        <v>2492648</v>
      </c>
      <c r="D8764" s="0" t="s">
        <v>29252</v>
      </c>
      <c r="E8764" s="0" t="s">
        <v>89</v>
      </c>
      <c r="F8764" s="0" t="s">
        <v>15</v>
      </c>
      <c r="G8764" s="0" t="s">
        <v>32</v>
      </c>
      <c r="H8764" s="0" t="n">
        <v>58</v>
      </c>
      <c r="I8764" s="0" t="s">
        <v>29259</v>
      </c>
      <c r="J8764" s="0" t="s">
        <v>29260</v>
      </c>
      <c r="K8764" s="0" t="s">
        <v>29261</v>
      </c>
      <c r="L8764" s="0" t="str">
        <f aca="false">HYPERLINK("https://www.ncbi.nlm.nih.gov/nuccore/CP000304.1?report=graph&amp;tracks=[key:gene_model_track,Options:GeneOnly]&amp;mk=2492579:2492598|offset_8|444444,2492608:2492627|offset_37|444444,2492629:2492648|offset_58|00cc00,2492650:2492669|offset_79|444444&amp;v=2492378:2492869&amp;c=444444", "offset 58")</f>
        <v>offset 58</v>
      </c>
    </row>
    <row r="8765" customFormat="false" ht="12.8" hidden="false" customHeight="false" outlineLevel="0" collapsed="false">
      <c r="A8765" s="0" t="s">
        <v>12</v>
      </c>
      <c r="B8765" s="0" t="n">
        <v>2492649</v>
      </c>
      <c r="C8765" s="0" t="n">
        <v>2492669</v>
      </c>
      <c r="D8765" s="0" t="s">
        <v>29252</v>
      </c>
      <c r="E8765" s="0" t="s">
        <v>89</v>
      </c>
      <c r="F8765" s="0" t="s">
        <v>15</v>
      </c>
      <c r="G8765" s="0" t="s">
        <v>26</v>
      </c>
      <c r="H8765" s="0" t="n">
        <v>79</v>
      </c>
      <c r="I8765" s="0" t="s">
        <v>29262</v>
      </c>
      <c r="J8765" s="0" t="s">
        <v>29263</v>
      </c>
      <c r="K8765" s="0" t="s">
        <v>29264</v>
      </c>
      <c r="L8765" s="0" t="str">
        <f aca="false">HYPERLINK("https://www.ncbi.nlm.nih.gov/nuccore/CP000304.1?report=graph&amp;tracks=[key:gene_model_track,Options:GeneOnly]&amp;mk=2492579:2492598|offset_8|444444,2492608:2492627|offset_37|444444,2492629:2492648|offset_58|444444,2492650:2492669|offset_79|00cc00&amp;v=2492378:2492869&amp;c=444444", "offset 79")</f>
        <v>offset 79</v>
      </c>
    </row>
    <row r="8766" customFormat="false" ht="12.8" hidden="false" customHeight="false" outlineLevel="0" collapsed="false">
      <c r="A8766" s="0" t="s">
        <v>12</v>
      </c>
      <c r="B8766" s="0" t="n">
        <v>2493071</v>
      </c>
      <c r="C8766" s="0" t="n">
        <v>2493091</v>
      </c>
      <c r="D8766" s="0" t="s">
        <v>29265</v>
      </c>
      <c r="E8766" s="0" t="s">
        <v>89</v>
      </c>
      <c r="F8766" s="0" t="s">
        <v>15</v>
      </c>
      <c r="G8766" s="0" t="s">
        <v>36</v>
      </c>
      <c r="H8766" s="0" t="n">
        <v>6</v>
      </c>
      <c r="I8766" s="0" t="s">
        <v>29266</v>
      </c>
      <c r="J8766" s="0" t="s">
        <v>29267</v>
      </c>
      <c r="K8766" s="0" t="s">
        <v>29268</v>
      </c>
      <c r="L8766" s="0" t="str">
        <f aca="false">HYPERLINK("https://www.ncbi.nlm.nih.gov/nuccore/CP000304.1?report=graph&amp;tracks=[key:gene_model_track,Options:GeneOnly]&amp;mk=2493072:2493091|offset_6|00cc00,2493106:2493125|offset_40|444444,2493127:2493146|offset_61|444444,2493154:2493173|offset_88|444444&amp;v=2492871:2493373&amp;c=444444", "offset 6")</f>
        <v>offset 6</v>
      </c>
    </row>
    <row r="8767" customFormat="false" ht="12.8" hidden="false" customHeight="false" outlineLevel="0" collapsed="false">
      <c r="A8767" s="0" t="s">
        <v>12</v>
      </c>
      <c r="B8767" s="0" t="n">
        <v>2493105</v>
      </c>
      <c r="C8767" s="0" t="n">
        <v>2493125</v>
      </c>
      <c r="D8767" s="0" t="s">
        <v>29265</v>
      </c>
      <c r="E8767" s="0" t="s">
        <v>89</v>
      </c>
      <c r="F8767" s="0" t="s">
        <v>15</v>
      </c>
      <c r="G8767" s="0" t="s">
        <v>36</v>
      </c>
      <c r="H8767" s="0" t="n">
        <v>40</v>
      </c>
      <c r="I8767" s="0" t="s">
        <v>29269</v>
      </c>
      <c r="J8767" s="0" t="s">
        <v>29270</v>
      </c>
      <c r="K8767" s="0" t="s">
        <v>29271</v>
      </c>
      <c r="L8767" s="0" t="str">
        <f aca="false">HYPERLINK("https://www.ncbi.nlm.nih.gov/nuccore/CP000304.1?report=graph&amp;tracks=[key:gene_model_track,Options:GeneOnly]&amp;mk=2493072:2493091|offset_6|444444,2493106:2493125|offset_40|00cc00,2493127:2493146|offset_61|444444,2493154:2493173|offset_88|444444&amp;v=2492871:2493373&amp;c=444444", "offset 40")</f>
        <v>offset 40</v>
      </c>
    </row>
    <row r="8768" customFormat="false" ht="12.8" hidden="false" customHeight="false" outlineLevel="0" collapsed="false">
      <c r="A8768" s="0" t="s">
        <v>12</v>
      </c>
      <c r="B8768" s="0" t="n">
        <v>2493126</v>
      </c>
      <c r="C8768" s="0" t="n">
        <v>2493146</v>
      </c>
      <c r="D8768" s="0" t="s">
        <v>29265</v>
      </c>
      <c r="E8768" s="0" t="s">
        <v>89</v>
      </c>
      <c r="F8768" s="0" t="s">
        <v>15</v>
      </c>
      <c r="G8768" s="0" t="s">
        <v>16</v>
      </c>
      <c r="H8768" s="0" t="n">
        <v>61</v>
      </c>
      <c r="I8768" s="0" t="s">
        <v>29272</v>
      </c>
      <c r="J8768" s="0" t="s">
        <v>29273</v>
      </c>
      <c r="K8768" s="0" t="s">
        <v>29274</v>
      </c>
      <c r="L8768" s="0" t="str">
        <f aca="false">HYPERLINK("https://www.ncbi.nlm.nih.gov/nuccore/CP000304.1?report=graph&amp;tracks=[key:gene_model_track,Options:GeneOnly]&amp;mk=2493072:2493091|offset_6|444444,2493106:2493125|offset_40|444444,2493127:2493146|offset_61|00cc00,2493154:2493173|offset_88|444444&amp;v=2492871:2493373&amp;c=444444", "offset 61")</f>
        <v>offset 61</v>
      </c>
    </row>
    <row r="8769" customFormat="false" ht="12.8" hidden="false" customHeight="false" outlineLevel="0" collapsed="false">
      <c r="A8769" s="0" t="s">
        <v>12</v>
      </c>
      <c r="B8769" s="0" t="n">
        <v>2493153</v>
      </c>
      <c r="C8769" s="0" t="n">
        <v>2493173</v>
      </c>
      <c r="D8769" s="0" t="s">
        <v>29265</v>
      </c>
      <c r="E8769" s="0" t="s">
        <v>89</v>
      </c>
      <c r="F8769" s="0" t="s">
        <v>15</v>
      </c>
      <c r="G8769" s="0" t="s">
        <v>32</v>
      </c>
      <c r="H8769" s="0" t="n">
        <v>88</v>
      </c>
      <c r="I8769" s="0" t="s">
        <v>29275</v>
      </c>
      <c r="J8769" s="0" t="s">
        <v>29276</v>
      </c>
      <c r="K8769" s="0" t="s">
        <v>29277</v>
      </c>
      <c r="L8769" s="0" t="str">
        <f aca="false">HYPERLINK("https://www.ncbi.nlm.nih.gov/nuccore/CP000304.1?report=graph&amp;tracks=[key:gene_model_track,Options:GeneOnly]&amp;mk=2493072:2493091|offset_6|444444,2493106:2493125|offset_40|444444,2493127:2493146|offset_61|444444,2493154:2493173|offset_88|00cc00&amp;v=2492871:2493373&amp;c=444444", "offset 88")</f>
        <v>offset 88</v>
      </c>
    </row>
    <row r="8770" customFormat="false" ht="12.8" hidden="false" customHeight="false" outlineLevel="0" collapsed="false">
      <c r="A8770" s="0" t="s">
        <v>12</v>
      </c>
      <c r="B8770" s="0" t="n">
        <v>2494064</v>
      </c>
      <c r="C8770" s="0" t="n">
        <v>2494084</v>
      </c>
      <c r="D8770" s="0" t="s">
        <v>29278</v>
      </c>
      <c r="E8770" s="0" t="s">
        <v>89</v>
      </c>
      <c r="F8770" s="0" t="s">
        <v>15</v>
      </c>
      <c r="G8770" s="0" t="s">
        <v>26</v>
      </c>
      <c r="H8770" s="0" t="n">
        <v>31</v>
      </c>
      <c r="I8770" s="0" t="s">
        <v>29279</v>
      </c>
      <c r="J8770" s="0" t="s">
        <v>29280</v>
      </c>
      <c r="K8770" s="0" t="s">
        <v>29281</v>
      </c>
      <c r="L8770" s="0" t="str">
        <f aca="false">HYPERLINK("https://www.ncbi.nlm.nih.gov/nuccore/CP000304.1?report=graph&amp;tracks=[key:gene_model_track,Options:GeneOnly]&amp;mk=2494065:2494084|offset_31|00cc00,2494110:2494129|offset_76|444444,2494131:2494150|offset_97|444444,2494176:2494195|offset_142|444444&amp;v=2493864:2494395&amp;c=444444", "offset 31")</f>
        <v>offset 31</v>
      </c>
    </row>
    <row r="8771" customFormat="false" ht="12.8" hidden="false" customHeight="false" outlineLevel="0" collapsed="false">
      <c r="A8771" s="0" t="s">
        <v>12</v>
      </c>
      <c r="B8771" s="0" t="n">
        <v>2494109</v>
      </c>
      <c r="C8771" s="0" t="n">
        <v>2494129</v>
      </c>
      <c r="D8771" s="0" t="s">
        <v>29278</v>
      </c>
      <c r="E8771" s="0" t="s">
        <v>89</v>
      </c>
      <c r="F8771" s="0" t="s">
        <v>15</v>
      </c>
      <c r="G8771" s="0" t="s">
        <v>16</v>
      </c>
      <c r="H8771" s="0" t="n">
        <v>76</v>
      </c>
      <c r="I8771" s="0" t="s">
        <v>29282</v>
      </c>
      <c r="J8771" s="0" t="s">
        <v>29283</v>
      </c>
      <c r="K8771" s="0" t="s">
        <v>29284</v>
      </c>
      <c r="L8771" s="0" t="str">
        <f aca="false">HYPERLINK("https://www.ncbi.nlm.nih.gov/nuccore/CP000304.1?report=graph&amp;tracks=[key:gene_model_track,Options:GeneOnly]&amp;mk=2494065:2494084|offset_31|444444,2494110:2494129|offset_76|00cc00,2494131:2494150|offset_97|444444,2494176:2494195|offset_142|444444&amp;v=2493864:2494395&amp;c=444444", "offset 76")</f>
        <v>offset 76</v>
      </c>
    </row>
    <row r="8772" customFormat="false" ht="12.8" hidden="false" customHeight="false" outlineLevel="0" collapsed="false">
      <c r="A8772" s="0" t="s">
        <v>12</v>
      </c>
      <c r="B8772" s="0" t="n">
        <v>2494130</v>
      </c>
      <c r="C8772" s="0" t="n">
        <v>2494150</v>
      </c>
      <c r="D8772" s="0" t="s">
        <v>29278</v>
      </c>
      <c r="E8772" s="0" t="s">
        <v>89</v>
      </c>
      <c r="F8772" s="0" t="s">
        <v>15</v>
      </c>
      <c r="G8772" s="0" t="s">
        <v>16</v>
      </c>
      <c r="H8772" s="0" t="n">
        <v>97</v>
      </c>
      <c r="I8772" s="0" t="s">
        <v>29285</v>
      </c>
      <c r="J8772" s="0" t="s">
        <v>29286</v>
      </c>
      <c r="K8772" s="0" t="s">
        <v>29287</v>
      </c>
      <c r="L8772" s="0" t="str">
        <f aca="false">HYPERLINK("https://www.ncbi.nlm.nih.gov/nuccore/CP000304.1?report=graph&amp;tracks=[key:gene_model_track,Options:GeneOnly]&amp;mk=2494065:2494084|offset_31|444444,2494110:2494129|offset_76|444444,2494131:2494150|offset_97|00cc00,2494176:2494195|offset_142|444444&amp;v=2493864:2494395&amp;c=444444", "offset 97")</f>
        <v>offset 97</v>
      </c>
    </row>
    <row r="8773" customFormat="false" ht="12.8" hidden="false" customHeight="false" outlineLevel="0" collapsed="false">
      <c r="A8773" s="0" t="s">
        <v>12</v>
      </c>
      <c r="B8773" s="0" t="n">
        <v>2494175</v>
      </c>
      <c r="C8773" s="0" t="n">
        <v>2494195</v>
      </c>
      <c r="D8773" s="0" t="s">
        <v>29278</v>
      </c>
      <c r="E8773" s="0" t="s">
        <v>89</v>
      </c>
      <c r="F8773" s="0" t="s">
        <v>15</v>
      </c>
      <c r="G8773" s="0" t="s">
        <v>36</v>
      </c>
      <c r="H8773" s="0" t="n">
        <v>142</v>
      </c>
      <c r="I8773" s="0" t="s">
        <v>29288</v>
      </c>
      <c r="J8773" s="0" t="s">
        <v>29289</v>
      </c>
      <c r="K8773" s="0" t="s">
        <v>29290</v>
      </c>
      <c r="L8773" s="0" t="str">
        <f aca="false">HYPERLINK("https://www.ncbi.nlm.nih.gov/nuccore/CP000304.1?report=graph&amp;tracks=[key:gene_model_track,Options:GeneOnly]&amp;mk=2494065:2494084|offset_31|444444,2494110:2494129|offset_76|444444,2494131:2494150|offset_97|444444,2494176:2494195|offset_142|00cc00&amp;v=2493864:2494395&amp;c=444444", "offset 142")</f>
        <v>offset 142</v>
      </c>
    </row>
    <row r="8774" customFormat="false" ht="12.8" hidden="false" customHeight="false" outlineLevel="0" collapsed="false">
      <c r="A8774" s="0" t="s">
        <v>12</v>
      </c>
      <c r="B8774" s="0" t="n">
        <v>2494870</v>
      </c>
      <c r="C8774" s="0" t="n">
        <v>2494890</v>
      </c>
      <c r="D8774" s="0" t="s">
        <v>29291</v>
      </c>
      <c r="E8774" s="0" t="s">
        <v>89</v>
      </c>
      <c r="F8774" s="0" t="s">
        <v>15</v>
      </c>
      <c r="G8774" s="0" t="s">
        <v>26</v>
      </c>
      <c r="H8774" s="0" t="n">
        <v>10</v>
      </c>
      <c r="I8774" s="0" t="s">
        <v>29292</v>
      </c>
      <c r="J8774" s="0" t="s">
        <v>29293</v>
      </c>
      <c r="K8774" s="0" t="s">
        <v>29294</v>
      </c>
      <c r="L8774" s="0" t="str">
        <f aca="false">HYPERLINK("https://www.ncbi.nlm.nih.gov/nuccore/CP000304.1?report=graph&amp;tracks=[key:gene_model_track,Options:GeneOnly]&amp;mk=2494871:2494890|offset_10|00cc00,2494899:2494918|offset_38|444444,2494923:2494942|offset_62|444444,2494959:2494978|offset_98|444444&amp;v=2494670:2495178&amp;c=444444", "offset 10")</f>
        <v>offset 10</v>
      </c>
    </row>
    <row r="8775" customFormat="false" ht="12.8" hidden="false" customHeight="false" outlineLevel="0" collapsed="false">
      <c r="A8775" s="0" t="s">
        <v>12</v>
      </c>
      <c r="B8775" s="0" t="n">
        <v>2494898</v>
      </c>
      <c r="C8775" s="0" t="n">
        <v>2494918</v>
      </c>
      <c r="D8775" s="0" t="s">
        <v>29291</v>
      </c>
      <c r="E8775" s="0" t="s">
        <v>89</v>
      </c>
      <c r="F8775" s="0" t="s">
        <v>15</v>
      </c>
      <c r="G8775" s="0" t="s">
        <v>26</v>
      </c>
      <c r="H8775" s="0" t="n">
        <v>38</v>
      </c>
      <c r="I8775" s="0" t="s">
        <v>29295</v>
      </c>
      <c r="J8775" s="0" t="s">
        <v>29296</v>
      </c>
      <c r="K8775" s="0" t="s">
        <v>29297</v>
      </c>
      <c r="L8775" s="0" t="str">
        <f aca="false">HYPERLINK("https://www.ncbi.nlm.nih.gov/nuccore/CP000304.1?report=graph&amp;tracks=[key:gene_model_track,Options:GeneOnly]&amp;mk=2494871:2494890|offset_10|444444,2494899:2494918|offset_38|00cc00,2494923:2494942|offset_62|444444,2494959:2494978|offset_98|444444&amp;v=2494670:2495178&amp;c=444444", "offset 38")</f>
        <v>offset 38</v>
      </c>
    </row>
    <row r="8776" customFormat="false" ht="12.8" hidden="false" customHeight="false" outlineLevel="0" collapsed="false">
      <c r="A8776" s="0" t="s">
        <v>12</v>
      </c>
      <c r="B8776" s="0" t="n">
        <v>2494922</v>
      </c>
      <c r="C8776" s="0" t="n">
        <v>2494942</v>
      </c>
      <c r="D8776" s="0" t="s">
        <v>29291</v>
      </c>
      <c r="E8776" s="0" t="s">
        <v>89</v>
      </c>
      <c r="F8776" s="0" t="s">
        <v>15</v>
      </c>
      <c r="G8776" s="0" t="s">
        <v>32</v>
      </c>
      <c r="H8776" s="0" t="n">
        <v>62</v>
      </c>
      <c r="I8776" s="0" t="s">
        <v>29298</v>
      </c>
      <c r="J8776" s="0" t="s">
        <v>29299</v>
      </c>
      <c r="K8776" s="0" t="s">
        <v>29300</v>
      </c>
      <c r="L8776" s="0" t="str">
        <f aca="false">HYPERLINK("https://www.ncbi.nlm.nih.gov/nuccore/CP000304.1?report=graph&amp;tracks=[key:gene_model_track,Options:GeneOnly]&amp;mk=2494871:2494890|offset_10|444444,2494899:2494918|offset_38|444444,2494923:2494942|offset_62|00cc00,2494959:2494978|offset_98|444444&amp;v=2494670:2495178&amp;c=444444", "offset 62")</f>
        <v>offset 62</v>
      </c>
    </row>
    <row r="8777" customFormat="false" ht="12.8" hidden="false" customHeight="false" outlineLevel="0" collapsed="false">
      <c r="A8777" s="0" t="s">
        <v>12</v>
      </c>
      <c r="B8777" s="0" t="n">
        <v>2494958</v>
      </c>
      <c r="C8777" s="0" t="n">
        <v>2494978</v>
      </c>
      <c r="D8777" s="0" t="s">
        <v>29291</v>
      </c>
      <c r="E8777" s="0" t="s">
        <v>89</v>
      </c>
      <c r="F8777" s="0" t="s">
        <v>15</v>
      </c>
      <c r="G8777" s="0" t="s">
        <v>36</v>
      </c>
      <c r="H8777" s="0" t="n">
        <v>98</v>
      </c>
      <c r="I8777" s="0" t="s">
        <v>29301</v>
      </c>
      <c r="J8777" s="0" t="s">
        <v>29302</v>
      </c>
      <c r="K8777" s="0" t="s">
        <v>29303</v>
      </c>
      <c r="L8777" s="0" t="str">
        <f aca="false">HYPERLINK("https://www.ncbi.nlm.nih.gov/nuccore/CP000304.1?report=graph&amp;tracks=[key:gene_model_track,Options:GeneOnly]&amp;mk=2494871:2494890|offset_10|444444,2494899:2494918|offset_38|444444,2494923:2494942|offset_62|444444,2494959:2494978|offset_98|00cc00&amp;v=2494670:2495178&amp;c=444444", "offset 98")</f>
        <v>offset 98</v>
      </c>
    </row>
    <row r="8778" customFormat="false" ht="12.8" hidden="false" customHeight="false" outlineLevel="0" collapsed="false">
      <c r="A8778" s="0" t="s">
        <v>12</v>
      </c>
      <c r="B8778" s="0" t="n">
        <v>2495776</v>
      </c>
      <c r="C8778" s="0" t="n">
        <v>2495796</v>
      </c>
      <c r="D8778" s="0" t="s">
        <v>29304</v>
      </c>
      <c r="E8778" s="0" t="s">
        <v>89</v>
      </c>
      <c r="F8778" s="0" t="s">
        <v>15</v>
      </c>
      <c r="G8778" s="0" t="s">
        <v>36</v>
      </c>
      <c r="H8778" s="0" t="n">
        <v>21</v>
      </c>
      <c r="I8778" s="0" t="s">
        <v>29305</v>
      </c>
      <c r="J8778" s="0" t="s">
        <v>29306</v>
      </c>
      <c r="K8778" s="0" t="s">
        <v>29307</v>
      </c>
      <c r="L8778" s="0" t="str">
        <f aca="false">HYPERLINK("https://www.ncbi.nlm.nih.gov/nuccore/CP000304.1?report=graph&amp;tracks=[key:gene_model_track,Options:GeneOnly]&amp;mk=2495777:2495796|offset_21|00cc00,2495798:2495817|offset_42|444444,2495823:2495842|offset_67|444444,2495844:2495863|offset_88|444444&amp;v=2495576:2496063&amp;c=444444", "offset 21")</f>
        <v>offset 21</v>
      </c>
    </row>
    <row r="8779" customFormat="false" ht="12.8" hidden="false" customHeight="false" outlineLevel="0" collapsed="false">
      <c r="A8779" s="0" t="s">
        <v>12</v>
      </c>
      <c r="B8779" s="0" t="n">
        <v>2495797</v>
      </c>
      <c r="C8779" s="0" t="n">
        <v>2495817</v>
      </c>
      <c r="D8779" s="0" t="s">
        <v>29304</v>
      </c>
      <c r="E8779" s="0" t="s">
        <v>89</v>
      </c>
      <c r="F8779" s="0" t="s">
        <v>15</v>
      </c>
      <c r="G8779" s="0" t="s">
        <v>26</v>
      </c>
      <c r="H8779" s="0" t="n">
        <v>42</v>
      </c>
      <c r="I8779" s="0" t="s">
        <v>29308</v>
      </c>
      <c r="J8779" s="0" t="s">
        <v>29309</v>
      </c>
      <c r="K8779" s="0" t="s">
        <v>29310</v>
      </c>
      <c r="L8779" s="0" t="str">
        <f aca="false">HYPERLINK("https://www.ncbi.nlm.nih.gov/nuccore/CP000304.1?report=graph&amp;tracks=[key:gene_model_track,Options:GeneOnly]&amp;mk=2495777:2495796|offset_21|444444,2495798:2495817|offset_42|00cc00,2495823:2495842|offset_67|444444,2495844:2495863|offset_88|444444&amp;v=2495576:2496063&amp;c=444444", "offset 42")</f>
        <v>offset 42</v>
      </c>
    </row>
    <row r="8780" customFormat="false" ht="12.8" hidden="false" customHeight="false" outlineLevel="0" collapsed="false">
      <c r="A8780" s="0" t="s">
        <v>12</v>
      </c>
      <c r="B8780" s="0" t="n">
        <v>2495822</v>
      </c>
      <c r="C8780" s="0" t="n">
        <v>2495842</v>
      </c>
      <c r="D8780" s="0" t="s">
        <v>29304</v>
      </c>
      <c r="E8780" s="0" t="s">
        <v>89</v>
      </c>
      <c r="F8780" s="0" t="s">
        <v>15</v>
      </c>
      <c r="G8780" s="0" t="s">
        <v>16</v>
      </c>
      <c r="H8780" s="0" t="n">
        <v>67</v>
      </c>
      <c r="I8780" s="0" t="s">
        <v>29311</v>
      </c>
      <c r="J8780" s="0" t="s">
        <v>29312</v>
      </c>
      <c r="K8780" s="0" t="s">
        <v>29313</v>
      </c>
      <c r="L8780" s="0" t="str">
        <f aca="false">HYPERLINK("https://www.ncbi.nlm.nih.gov/nuccore/CP000304.1?report=graph&amp;tracks=[key:gene_model_track,Options:GeneOnly]&amp;mk=2495777:2495796|offset_21|444444,2495798:2495817|offset_42|444444,2495823:2495842|offset_67|00cc00,2495844:2495863|offset_88|444444&amp;v=2495576:2496063&amp;c=444444", "offset 67")</f>
        <v>offset 67</v>
      </c>
    </row>
    <row r="8781" customFormat="false" ht="12.8" hidden="false" customHeight="false" outlineLevel="0" collapsed="false">
      <c r="A8781" s="0" t="s">
        <v>12</v>
      </c>
      <c r="B8781" s="0" t="n">
        <v>2495843</v>
      </c>
      <c r="C8781" s="0" t="n">
        <v>2495863</v>
      </c>
      <c r="D8781" s="0" t="s">
        <v>29304</v>
      </c>
      <c r="E8781" s="0" t="s">
        <v>89</v>
      </c>
      <c r="F8781" s="0" t="s">
        <v>15</v>
      </c>
      <c r="G8781" s="0" t="s">
        <v>36</v>
      </c>
      <c r="H8781" s="0" t="n">
        <v>88</v>
      </c>
      <c r="I8781" s="0" t="s">
        <v>29314</v>
      </c>
      <c r="J8781" s="0" t="s">
        <v>29315</v>
      </c>
      <c r="K8781" s="0" t="s">
        <v>29316</v>
      </c>
      <c r="L8781" s="0" t="str">
        <f aca="false">HYPERLINK("https://www.ncbi.nlm.nih.gov/nuccore/CP000304.1?report=graph&amp;tracks=[key:gene_model_track,Options:GeneOnly]&amp;mk=2495777:2495796|offset_21|444444,2495798:2495817|offset_42|444444,2495823:2495842|offset_67|444444,2495844:2495863|offset_88|00cc00&amp;v=2495576:2496063&amp;c=444444", "offset 88")</f>
        <v>offset 88</v>
      </c>
    </row>
    <row r="8782" customFormat="false" ht="12.8" hidden="false" customHeight="false" outlineLevel="0" collapsed="false">
      <c r="A8782" s="0" t="s">
        <v>12</v>
      </c>
      <c r="B8782" s="0" t="n">
        <v>2496373</v>
      </c>
      <c r="C8782" s="0" t="n">
        <v>2496393</v>
      </c>
      <c r="D8782" s="0" t="s">
        <v>29317</v>
      </c>
      <c r="E8782" s="0" t="s">
        <v>29318</v>
      </c>
      <c r="F8782" s="0" t="s">
        <v>15</v>
      </c>
      <c r="G8782" s="0" t="s">
        <v>26</v>
      </c>
      <c r="H8782" s="0" t="n">
        <v>1</v>
      </c>
      <c r="I8782" s="0" t="s">
        <v>29319</v>
      </c>
      <c r="J8782" s="0" t="s">
        <v>29320</v>
      </c>
      <c r="K8782" s="0" t="s">
        <v>29321</v>
      </c>
      <c r="L8782" s="0" t="str">
        <f aca="false">HYPERLINK("https://www.ncbi.nlm.nih.gov/nuccore/CP000304.1?report=graph&amp;tracks=[key:gene_model_track,Options:GeneOnly]&amp;mk=2496374:2496393|offset_1|00cc00,2496402:2496421|offset_29|444444,2496422:2496441|offset_49|444444,2496451:2496470|offset_78|444444&amp;v=2496173:2496670&amp;c=444444", "offset 1")</f>
        <v>offset 1</v>
      </c>
    </row>
    <row r="8783" customFormat="false" ht="12.8" hidden="false" customHeight="false" outlineLevel="0" collapsed="false">
      <c r="A8783" s="0" t="s">
        <v>12</v>
      </c>
      <c r="B8783" s="0" t="n">
        <v>2496401</v>
      </c>
      <c r="C8783" s="0" t="n">
        <v>2496421</v>
      </c>
      <c r="D8783" s="0" t="s">
        <v>29317</v>
      </c>
      <c r="E8783" s="0" t="s">
        <v>29318</v>
      </c>
      <c r="F8783" s="0" t="s">
        <v>15</v>
      </c>
      <c r="G8783" s="0" t="s">
        <v>32</v>
      </c>
      <c r="H8783" s="0" t="n">
        <v>29</v>
      </c>
      <c r="I8783" s="0" t="s">
        <v>29322</v>
      </c>
      <c r="J8783" s="0" t="s">
        <v>29323</v>
      </c>
      <c r="K8783" s="0" t="s">
        <v>29324</v>
      </c>
      <c r="L8783" s="0" t="str">
        <f aca="false">HYPERLINK("https://www.ncbi.nlm.nih.gov/nuccore/CP000304.1?report=graph&amp;tracks=[key:gene_model_track,Options:GeneOnly]&amp;mk=2496374:2496393|offset_1|444444,2496402:2496421|offset_29|00cc00,2496422:2496441|offset_49|444444,2496451:2496470|offset_78|444444&amp;v=2496173:2496670&amp;c=444444", "offset 29")</f>
        <v>offset 29</v>
      </c>
    </row>
    <row r="8784" customFormat="false" ht="12.8" hidden="false" customHeight="false" outlineLevel="0" collapsed="false">
      <c r="A8784" s="0" t="s">
        <v>12</v>
      </c>
      <c r="B8784" s="0" t="n">
        <v>2496421</v>
      </c>
      <c r="C8784" s="0" t="n">
        <v>2496441</v>
      </c>
      <c r="D8784" s="0" t="s">
        <v>29317</v>
      </c>
      <c r="E8784" s="0" t="s">
        <v>29318</v>
      </c>
      <c r="F8784" s="0" t="s">
        <v>15</v>
      </c>
      <c r="G8784" s="0" t="s">
        <v>32</v>
      </c>
      <c r="H8784" s="0" t="n">
        <v>49</v>
      </c>
      <c r="I8784" s="0" t="s">
        <v>29325</v>
      </c>
      <c r="J8784" s="0" t="s">
        <v>29326</v>
      </c>
      <c r="K8784" s="0" t="s">
        <v>29327</v>
      </c>
      <c r="L8784" s="0" t="str">
        <f aca="false">HYPERLINK("https://www.ncbi.nlm.nih.gov/nuccore/CP000304.1?report=graph&amp;tracks=[key:gene_model_track,Options:GeneOnly]&amp;mk=2496374:2496393|offset_1|444444,2496402:2496421|offset_29|444444,2496422:2496441|offset_49|00cc00,2496451:2496470|offset_78|444444&amp;v=2496173:2496670&amp;c=444444", "offset 49")</f>
        <v>offset 49</v>
      </c>
    </row>
    <row r="8785" customFormat="false" ht="12.8" hidden="false" customHeight="false" outlineLevel="0" collapsed="false">
      <c r="A8785" s="0" t="s">
        <v>12</v>
      </c>
      <c r="B8785" s="0" t="n">
        <v>2496450</v>
      </c>
      <c r="C8785" s="0" t="n">
        <v>2496470</v>
      </c>
      <c r="D8785" s="0" t="s">
        <v>29317</v>
      </c>
      <c r="E8785" s="0" t="s">
        <v>29318</v>
      </c>
      <c r="F8785" s="0" t="s">
        <v>15</v>
      </c>
      <c r="G8785" s="0" t="s">
        <v>36</v>
      </c>
      <c r="H8785" s="0" t="n">
        <v>78</v>
      </c>
      <c r="I8785" s="0" t="s">
        <v>29328</v>
      </c>
      <c r="J8785" s="0" t="s">
        <v>29329</v>
      </c>
      <c r="K8785" s="0" t="s">
        <v>29330</v>
      </c>
      <c r="L8785" s="0" t="str">
        <f aca="false">HYPERLINK("https://www.ncbi.nlm.nih.gov/nuccore/CP000304.1?report=graph&amp;tracks=[key:gene_model_track,Options:GeneOnly]&amp;mk=2496374:2496393|offset_1|444444,2496402:2496421|offset_29|444444,2496422:2496441|offset_49|444444,2496451:2496470|offset_78|00cc00&amp;v=2496173:2496670&amp;c=444444", "offset 78")</f>
        <v>offset 78</v>
      </c>
    </row>
    <row r="8786" customFormat="false" ht="12.8" hidden="false" customHeight="false" outlineLevel="0" collapsed="false">
      <c r="A8786" s="0" t="s">
        <v>12</v>
      </c>
      <c r="B8786" s="0" t="n">
        <v>2498470</v>
      </c>
      <c r="C8786" s="0" t="n">
        <v>2498490</v>
      </c>
      <c r="D8786" s="0" t="s">
        <v>29331</v>
      </c>
      <c r="E8786" s="0" t="s">
        <v>29332</v>
      </c>
      <c r="F8786" s="0" t="s">
        <v>90</v>
      </c>
      <c r="G8786" s="0" t="s">
        <v>36</v>
      </c>
      <c r="H8786" s="0" t="n">
        <v>15</v>
      </c>
      <c r="I8786" s="0" t="s">
        <v>29333</v>
      </c>
      <c r="J8786" s="0" t="s">
        <v>29334</v>
      </c>
      <c r="K8786" s="0" t="s">
        <v>29335</v>
      </c>
      <c r="L8786" s="0" t="str">
        <f aca="false">HYPERLINK("https://www.ncbi.nlm.nih.gov/nuccore/CP000304.1?report=graph&amp;tracks=[key:gene_model_track,Options:GeneOnly]&amp;mk=2498471:2498490|offset_15|00cc00,2498451:2498470|offset_35|444444,2498430:2498449|offset_56|444444,2498403:2498422|offset_83|444444&amp;v=2498270:2498622&amp;c=444444", "offset 15")</f>
        <v>offset 15</v>
      </c>
    </row>
    <row r="8787" customFormat="false" ht="12.8" hidden="false" customHeight="false" outlineLevel="0" collapsed="false">
      <c r="A8787" s="0" t="s">
        <v>12</v>
      </c>
      <c r="B8787" s="0" t="n">
        <v>2498450</v>
      </c>
      <c r="C8787" s="0" t="n">
        <v>2498470</v>
      </c>
      <c r="D8787" s="0" t="s">
        <v>29331</v>
      </c>
      <c r="E8787" s="0" t="s">
        <v>29332</v>
      </c>
      <c r="F8787" s="0" t="s">
        <v>90</v>
      </c>
      <c r="G8787" s="0" t="s">
        <v>32</v>
      </c>
      <c r="H8787" s="0" t="n">
        <v>35</v>
      </c>
      <c r="I8787" s="0" t="s">
        <v>29336</v>
      </c>
      <c r="J8787" s="0" t="s">
        <v>29337</v>
      </c>
      <c r="K8787" s="0" t="s">
        <v>29338</v>
      </c>
      <c r="L8787" s="0" t="str">
        <f aca="false">HYPERLINK("https://www.ncbi.nlm.nih.gov/nuccore/CP000304.1?report=graph&amp;tracks=[key:gene_model_track,Options:GeneOnly]&amp;mk=2498471:2498490|offset_15|444444,2498451:2498470|offset_35|00cc00,2498430:2498449|offset_56|444444,2498403:2498422|offset_83|444444&amp;v=2498270:2498622&amp;c=444444", "offset 35")</f>
        <v>offset 35</v>
      </c>
    </row>
    <row r="8788" customFormat="false" ht="12.8" hidden="false" customHeight="false" outlineLevel="0" collapsed="false">
      <c r="A8788" s="0" t="s">
        <v>12</v>
      </c>
      <c r="B8788" s="0" t="n">
        <v>2498429</v>
      </c>
      <c r="C8788" s="0" t="n">
        <v>2498449</v>
      </c>
      <c r="D8788" s="0" t="s">
        <v>29331</v>
      </c>
      <c r="E8788" s="0" t="s">
        <v>29332</v>
      </c>
      <c r="F8788" s="0" t="s">
        <v>90</v>
      </c>
      <c r="G8788" s="0" t="s">
        <v>26</v>
      </c>
      <c r="H8788" s="0" t="n">
        <v>56</v>
      </c>
      <c r="I8788" s="0" t="s">
        <v>29339</v>
      </c>
      <c r="J8788" s="0" t="s">
        <v>29340</v>
      </c>
      <c r="K8788" s="0" t="s">
        <v>29341</v>
      </c>
      <c r="L8788" s="0" t="str">
        <f aca="false">HYPERLINK("https://www.ncbi.nlm.nih.gov/nuccore/CP000304.1?report=graph&amp;tracks=[key:gene_model_track,Options:GeneOnly]&amp;mk=2498471:2498490|offset_15|444444,2498451:2498470|offset_35|444444,2498430:2498449|offset_56|00cc00,2498403:2498422|offset_83|444444&amp;v=2498270:2498622&amp;c=444444", "offset 56")</f>
        <v>offset 56</v>
      </c>
    </row>
    <row r="8789" customFormat="false" ht="12.8" hidden="false" customHeight="false" outlineLevel="0" collapsed="false">
      <c r="A8789" s="0" t="s">
        <v>12</v>
      </c>
      <c r="B8789" s="0" t="n">
        <v>2498402</v>
      </c>
      <c r="C8789" s="0" t="n">
        <v>2498422</v>
      </c>
      <c r="D8789" s="0" t="s">
        <v>29331</v>
      </c>
      <c r="E8789" s="0" t="s">
        <v>29332</v>
      </c>
      <c r="F8789" s="0" t="s">
        <v>90</v>
      </c>
      <c r="G8789" s="0" t="s">
        <v>16</v>
      </c>
      <c r="H8789" s="0" t="n">
        <v>83</v>
      </c>
      <c r="I8789" s="0" t="s">
        <v>29342</v>
      </c>
      <c r="J8789" s="0" t="s">
        <v>29343</v>
      </c>
      <c r="K8789" s="0" t="s">
        <v>29344</v>
      </c>
      <c r="L8789" s="0" t="str">
        <f aca="false">HYPERLINK("https://www.ncbi.nlm.nih.gov/nuccore/CP000304.1?report=graph&amp;tracks=[key:gene_model_track,Options:GeneOnly]&amp;mk=2498471:2498490|offset_15|444444,2498451:2498470|offset_35|444444,2498430:2498449|offset_56|444444,2498403:2498422|offset_83|00cc00&amp;v=2498270:2498622&amp;c=444444", "offset 83")</f>
        <v>offset 83</v>
      </c>
    </row>
    <row r="8790" customFormat="false" ht="12.8" hidden="false" customHeight="false" outlineLevel="0" collapsed="false">
      <c r="A8790" s="0" t="s">
        <v>12</v>
      </c>
      <c r="B8790" s="0" t="n">
        <v>2499843</v>
      </c>
      <c r="C8790" s="0" t="n">
        <v>2499863</v>
      </c>
      <c r="D8790" s="0" t="s">
        <v>29345</v>
      </c>
      <c r="E8790" s="0" t="s">
        <v>29346</v>
      </c>
      <c r="F8790" s="0" t="s">
        <v>90</v>
      </c>
      <c r="G8790" s="0" t="s">
        <v>32</v>
      </c>
      <c r="H8790" s="0" t="n">
        <v>1</v>
      </c>
      <c r="I8790" s="0" t="s">
        <v>29347</v>
      </c>
      <c r="J8790" s="0" t="s">
        <v>29348</v>
      </c>
      <c r="K8790" s="0" t="s">
        <v>29349</v>
      </c>
      <c r="L8790" s="0" t="str">
        <f aca="false">HYPERLINK("https://www.ncbi.nlm.nih.gov/nuccore/CP000304.1?report=graph&amp;tracks=[key:gene_model_track,Options:GeneOnly]&amp;mk=2499844:2499863|offset_1|00cc00,2499796:2499815|offset_49|444444,2499774:2499793|offset_71|444444,2499739:2499758|offset_106|444444&amp;v=2499643:2499958&amp;c=444444", "offset 1")</f>
        <v>offset 1</v>
      </c>
    </row>
    <row r="8791" customFormat="false" ht="12.8" hidden="false" customHeight="false" outlineLevel="0" collapsed="false">
      <c r="A8791" s="0" t="s">
        <v>12</v>
      </c>
      <c r="B8791" s="0" t="n">
        <v>2499795</v>
      </c>
      <c r="C8791" s="0" t="n">
        <v>2499815</v>
      </c>
      <c r="D8791" s="0" t="s">
        <v>29345</v>
      </c>
      <c r="E8791" s="0" t="s">
        <v>29346</v>
      </c>
      <c r="F8791" s="0" t="s">
        <v>90</v>
      </c>
      <c r="G8791" s="0" t="s">
        <v>36</v>
      </c>
      <c r="H8791" s="0" t="n">
        <v>49</v>
      </c>
      <c r="I8791" s="0" t="s">
        <v>29350</v>
      </c>
      <c r="J8791" s="0" t="s">
        <v>29351</v>
      </c>
      <c r="K8791" s="0" t="s">
        <v>29352</v>
      </c>
      <c r="L8791" s="0" t="str">
        <f aca="false">HYPERLINK("https://www.ncbi.nlm.nih.gov/nuccore/CP000304.1?report=graph&amp;tracks=[key:gene_model_track,Options:GeneOnly]&amp;mk=2499844:2499863|offset_1|444444,2499796:2499815|offset_49|00cc00,2499774:2499793|offset_71|444444,2499739:2499758|offset_106|444444&amp;v=2499643:2499958&amp;c=444444", "offset 49")</f>
        <v>offset 49</v>
      </c>
    </row>
    <row r="8792" customFormat="false" ht="12.8" hidden="false" customHeight="false" outlineLevel="0" collapsed="false">
      <c r="A8792" s="0" t="s">
        <v>12</v>
      </c>
      <c r="B8792" s="0" t="n">
        <v>2499773</v>
      </c>
      <c r="C8792" s="0" t="n">
        <v>2499793</v>
      </c>
      <c r="D8792" s="0" t="s">
        <v>29345</v>
      </c>
      <c r="E8792" s="0" t="s">
        <v>29346</v>
      </c>
      <c r="F8792" s="0" t="s">
        <v>90</v>
      </c>
      <c r="G8792" s="0" t="s">
        <v>32</v>
      </c>
      <c r="H8792" s="0" t="n">
        <v>71</v>
      </c>
      <c r="I8792" s="0" t="s">
        <v>29353</v>
      </c>
      <c r="J8792" s="0" t="s">
        <v>29354</v>
      </c>
      <c r="K8792" s="0" t="s">
        <v>29355</v>
      </c>
      <c r="L8792" s="0" t="str">
        <f aca="false">HYPERLINK("https://www.ncbi.nlm.nih.gov/nuccore/CP000304.1?report=graph&amp;tracks=[key:gene_model_track,Options:GeneOnly]&amp;mk=2499844:2499863|offset_1|444444,2499796:2499815|offset_49|444444,2499774:2499793|offset_71|00cc00,2499739:2499758|offset_106|444444&amp;v=2499643:2499958&amp;c=444444", "offset 71")</f>
        <v>offset 71</v>
      </c>
    </row>
    <row r="8793" customFormat="false" ht="12.8" hidden="false" customHeight="false" outlineLevel="0" collapsed="false">
      <c r="A8793" s="0" t="s">
        <v>12</v>
      </c>
      <c r="B8793" s="0" t="n">
        <v>2499738</v>
      </c>
      <c r="C8793" s="0" t="n">
        <v>2499758</v>
      </c>
      <c r="D8793" s="0" t="s">
        <v>29345</v>
      </c>
      <c r="E8793" s="0" t="s">
        <v>29346</v>
      </c>
      <c r="F8793" s="0" t="s">
        <v>90</v>
      </c>
      <c r="G8793" s="0" t="s">
        <v>36</v>
      </c>
      <c r="H8793" s="0" t="n">
        <v>106</v>
      </c>
      <c r="I8793" s="0" t="s">
        <v>29356</v>
      </c>
      <c r="J8793" s="0" t="s">
        <v>29357</v>
      </c>
      <c r="K8793" s="0" t="s">
        <v>29358</v>
      </c>
      <c r="L8793" s="0" t="str">
        <f aca="false">HYPERLINK("https://www.ncbi.nlm.nih.gov/nuccore/CP000304.1?report=graph&amp;tracks=[key:gene_model_track,Options:GeneOnly]&amp;mk=2499844:2499863|offset_1|444444,2499796:2499815|offset_49|444444,2499774:2499793|offset_71|444444,2499739:2499758|offset_106|00cc00&amp;v=2499643:2499958&amp;c=444444", "offset 106")</f>
        <v>offset 106</v>
      </c>
    </row>
    <row r="8794" customFormat="false" ht="12.8" hidden="false" customHeight="false" outlineLevel="0" collapsed="false">
      <c r="A8794" s="0" t="s">
        <v>12</v>
      </c>
      <c r="B8794" s="0" t="n">
        <v>2500283</v>
      </c>
      <c r="C8794" s="0" t="n">
        <v>2500303</v>
      </c>
      <c r="D8794" s="0" t="s">
        <v>29359</v>
      </c>
      <c r="E8794" s="0" t="s">
        <v>29360</v>
      </c>
      <c r="F8794" s="0" t="s">
        <v>90</v>
      </c>
      <c r="G8794" s="0" t="s">
        <v>16</v>
      </c>
      <c r="H8794" s="0" t="n">
        <v>8</v>
      </c>
      <c r="I8794" s="0" t="s">
        <v>29361</v>
      </c>
      <c r="J8794" s="0" t="s">
        <v>29362</v>
      </c>
      <c r="K8794" s="0" t="s">
        <v>29363</v>
      </c>
      <c r="L8794" s="0" t="str">
        <f aca="false">HYPERLINK("https://www.ncbi.nlm.nih.gov/nuccore/CP000304.1?report=graph&amp;tracks=[key:gene_model_track,Options:GeneOnly]&amp;mk=2500284:2500303|offset_8|00cc00,2500264:2500283|offset_28|444444,2500243:2500262|offset_49|444444,2500219:2500238|offset_73|444444&amp;v=2500083:2500438&amp;c=444444", "offset 8")</f>
        <v>offset 8</v>
      </c>
    </row>
    <row r="8795" customFormat="false" ht="12.8" hidden="false" customHeight="false" outlineLevel="0" collapsed="false">
      <c r="A8795" s="0" t="s">
        <v>12</v>
      </c>
      <c r="B8795" s="0" t="n">
        <v>2500263</v>
      </c>
      <c r="C8795" s="0" t="n">
        <v>2500283</v>
      </c>
      <c r="D8795" s="0" t="s">
        <v>29359</v>
      </c>
      <c r="E8795" s="0" t="s">
        <v>29360</v>
      </c>
      <c r="F8795" s="0" t="s">
        <v>90</v>
      </c>
      <c r="G8795" s="0" t="s">
        <v>26</v>
      </c>
      <c r="H8795" s="0" t="n">
        <v>28</v>
      </c>
      <c r="I8795" s="0" t="s">
        <v>29364</v>
      </c>
      <c r="J8795" s="0" t="s">
        <v>29365</v>
      </c>
      <c r="K8795" s="0" t="s">
        <v>29366</v>
      </c>
      <c r="L8795" s="0" t="str">
        <f aca="false">HYPERLINK("https://www.ncbi.nlm.nih.gov/nuccore/CP000304.1?report=graph&amp;tracks=[key:gene_model_track,Options:GeneOnly]&amp;mk=2500284:2500303|offset_8|444444,2500264:2500283|offset_28|00cc00,2500243:2500262|offset_49|444444,2500219:2500238|offset_73|444444&amp;v=2500083:2500438&amp;c=444444", "offset 28")</f>
        <v>offset 28</v>
      </c>
    </row>
    <row r="8796" customFormat="false" ht="12.8" hidden="false" customHeight="false" outlineLevel="0" collapsed="false">
      <c r="A8796" s="0" t="s">
        <v>12</v>
      </c>
      <c r="B8796" s="0" t="n">
        <v>2500242</v>
      </c>
      <c r="C8796" s="0" t="n">
        <v>2500262</v>
      </c>
      <c r="D8796" s="0" t="s">
        <v>29359</v>
      </c>
      <c r="E8796" s="0" t="s">
        <v>29360</v>
      </c>
      <c r="F8796" s="0" t="s">
        <v>90</v>
      </c>
      <c r="G8796" s="0" t="s">
        <v>36</v>
      </c>
      <c r="H8796" s="0" t="n">
        <v>49</v>
      </c>
      <c r="I8796" s="0" t="s">
        <v>29367</v>
      </c>
      <c r="J8796" s="0" t="s">
        <v>29368</v>
      </c>
      <c r="K8796" s="0" t="s">
        <v>29369</v>
      </c>
      <c r="L8796" s="0" t="str">
        <f aca="false">HYPERLINK("https://www.ncbi.nlm.nih.gov/nuccore/CP000304.1?report=graph&amp;tracks=[key:gene_model_track,Options:GeneOnly]&amp;mk=2500284:2500303|offset_8|444444,2500264:2500283|offset_28|444444,2500243:2500262|offset_49|00cc00,2500219:2500238|offset_73|444444&amp;v=2500083:2500438&amp;c=444444", "offset 49")</f>
        <v>offset 49</v>
      </c>
    </row>
    <row r="8797" customFormat="false" ht="12.8" hidden="false" customHeight="false" outlineLevel="0" collapsed="false">
      <c r="A8797" s="0" t="s">
        <v>12</v>
      </c>
      <c r="B8797" s="0" t="n">
        <v>2500218</v>
      </c>
      <c r="C8797" s="0" t="n">
        <v>2500238</v>
      </c>
      <c r="D8797" s="0" t="s">
        <v>29359</v>
      </c>
      <c r="E8797" s="0" t="s">
        <v>29360</v>
      </c>
      <c r="F8797" s="0" t="s">
        <v>90</v>
      </c>
      <c r="G8797" s="0" t="s">
        <v>26</v>
      </c>
      <c r="H8797" s="0" t="n">
        <v>73</v>
      </c>
      <c r="I8797" s="0" t="s">
        <v>29370</v>
      </c>
      <c r="J8797" s="0" t="s">
        <v>29371</v>
      </c>
      <c r="K8797" s="0" t="s">
        <v>29372</v>
      </c>
      <c r="L8797" s="0" t="str">
        <f aca="false">HYPERLINK("https://www.ncbi.nlm.nih.gov/nuccore/CP000304.1?report=graph&amp;tracks=[key:gene_model_track,Options:GeneOnly]&amp;mk=2500284:2500303|offset_8|444444,2500264:2500283|offset_28|444444,2500243:2500262|offset_49|444444,2500219:2500238|offset_73|00cc00&amp;v=2500083:2500438&amp;c=444444", "offset 73")</f>
        <v>offset 73</v>
      </c>
    </row>
    <row r="8798" customFormat="false" ht="12.8" hidden="false" customHeight="false" outlineLevel="0" collapsed="false">
      <c r="A8798" s="0" t="s">
        <v>12</v>
      </c>
      <c r="B8798" s="0" t="n">
        <v>2501605</v>
      </c>
      <c r="C8798" s="0" t="n">
        <v>2501625</v>
      </c>
      <c r="D8798" s="0" t="s">
        <v>29373</v>
      </c>
      <c r="E8798" s="0" t="s">
        <v>89</v>
      </c>
      <c r="F8798" s="0" t="s">
        <v>90</v>
      </c>
      <c r="G8798" s="0" t="s">
        <v>26</v>
      </c>
      <c r="H8798" s="0" t="n">
        <v>8</v>
      </c>
      <c r="I8798" s="0" t="s">
        <v>29374</v>
      </c>
      <c r="J8798" s="0" t="s">
        <v>29375</v>
      </c>
      <c r="K8798" s="0" t="s">
        <v>29376</v>
      </c>
      <c r="L8798" s="0" t="str">
        <f aca="false">HYPERLINK("https://www.ncbi.nlm.nih.gov/nuccore/CP000304.1?report=graph&amp;tracks=[key:gene_model_track,Options:GeneOnly]&amp;mk=2501606:2501625|offset_8|00cc00,2501583:2501602|offset_31|444444,2501553:2501572|offset_61|444444,2501514:2501533|offset_100|444444&amp;v=2501405:2501733&amp;c=444444", "offset 8")</f>
        <v>offset 8</v>
      </c>
    </row>
    <row r="8799" customFormat="false" ht="12.8" hidden="false" customHeight="false" outlineLevel="0" collapsed="false">
      <c r="A8799" s="0" t="s">
        <v>12</v>
      </c>
      <c r="B8799" s="0" t="n">
        <v>2501582</v>
      </c>
      <c r="C8799" s="0" t="n">
        <v>2501602</v>
      </c>
      <c r="D8799" s="0" t="s">
        <v>29373</v>
      </c>
      <c r="E8799" s="0" t="s">
        <v>89</v>
      </c>
      <c r="F8799" s="0" t="s">
        <v>90</v>
      </c>
      <c r="G8799" s="0" t="s">
        <v>36</v>
      </c>
      <c r="H8799" s="0" t="n">
        <v>31</v>
      </c>
      <c r="I8799" s="0" t="s">
        <v>29377</v>
      </c>
      <c r="J8799" s="0" t="s">
        <v>29378</v>
      </c>
      <c r="K8799" s="0" t="s">
        <v>29379</v>
      </c>
      <c r="L8799" s="0" t="str">
        <f aca="false">HYPERLINK("https://www.ncbi.nlm.nih.gov/nuccore/CP000304.1?report=graph&amp;tracks=[key:gene_model_track,Options:GeneOnly]&amp;mk=2501606:2501625|offset_8|444444,2501583:2501602|offset_31|00cc00,2501553:2501572|offset_61|444444,2501514:2501533|offset_100|444444&amp;v=2501405:2501733&amp;c=444444", "offset 31")</f>
        <v>offset 31</v>
      </c>
    </row>
    <row r="8800" customFormat="false" ht="12.8" hidden="false" customHeight="false" outlineLevel="0" collapsed="false">
      <c r="A8800" s="0" t="s">
        <v>12</v>
      </c>
      <c r="B8800" s="0" t="n">
        <v>2501552</v>
      </c>
      <c r="C8800" s="0" t="n">
        <v>2501572</v>
      </c>
      <c r="D8800" s="0" t="s">
        <v>29373</v>
      </c>
      <c r="E8800" s="0" t="s">
        <v>89</v>
      </c>
      <c r="F8800" s="0" t="s">
        <v>90</v>
      </c>
      <c r="G8800" s="0" t="s">
        <v>32</v>
      </c>
      <c r="H8800" s="0" t="n">
        <v>61</v>
      </c>
      <c r="I8800" s="0" t="s">
        <v>29380</v>
      </c>
      <c r="J8800" s="0" t="s">
        <v>29381</v>
      </c>
      <c r="K8800" s="0" t="s">
        <v>29382</v>
      </c>
      <c r="L8800" s="0" t="str">
        <f aca="false">HYPERLINK("https://www.ncbi.nlm.nih.gov/nuccore/CP000304.1?report=graph&amp;tracks=[key:gene_model_track,Options:GeneOnly]&amp;mk=2501606:2501625|offset_8|444444,2501583:2501602|offset_31|444444,2501553:2501572|offset_61|00cc00,2501514:2501533|offset_100|444444&amp;v=2501405:2501733&amp;c=444444", "offset 61")</f>
        <v>offset 61</v>
      </c>
    </row>
    <row r="8801" customFormat="false" ht="12.8" hidden="false" customHeight="false" outlineLevel="0" collapsed="false">
      <c r="A8801" s="0" t="s">
        <v>12</v>
      </c>
      <c r="B8801" s="0" t="n">
        <v>2501513</v>
      </c>
      <c r="C8801" s="0" t="n">
        <v>2501533</v>
      </c>
      <c r="D8801" s="0" t="s">
        <v>29373</v>
      </c>
      <c r="E8801" s="0" t="s">
        <v>89</v>
      </c>
      <c r="F8801" s="0" t="s">
        <v>90</v>
      </c>
      <c r="G8801" s="0" t="s">
        <v>36</v>
      </c>
      <c r="H8801" s="0" t="n">
        <v>100</v>
      </c>
      <c r="I8801" s="0" t="s">
        <v>29383</v>
      </c>
      <c r="J8801" s="0" t="s">
        <v>29384</v>
      </c>
      <c r="K8801" s="0" t="s">
        <v>29385</v>
      </c>
      <c r="L8801" s="0" t="str">
        <f aca="false">HYPERLINK("https://www.ncbi.nlm.nih.gov/nuccore/CP000304.1?report=graph&amp;tracks=[key:gene_model_track,Options:GeneOnly]&amp;mk=2501606:2501625|offset_8|444444,2501583:2501602|offset_31|444444,2501553:2501572|offset_61|444444,2501514:2501533|offset_100|00cc00&amp;v=2501405:2501733&amp;c=444444", "offset 100")</f>
        <v>offset 100</v>
      </c>
    </row>
    <row r="8802" customFormat="false" ht="12.8" hidden="false" customHeight="false" outlineLevel="0" collapsed="false">
      <c r="A8802" s="0" t="s">
        <v>12</v>
      </c>
      <c r="B8802" s="0" t="n">
        <v>2502299</v>
      </c>
      <c r="C8802" s="0" t="n">
        <v>2502319</v>
      </c>
      <c r="D8802" s="0" t="s">
        <v>29386</v>
      </c>
      <c r="E8802" s="0" t="s">
        <v>29387</v>
      </c>
      <c r="F8802" s="0" t="s">
        <v>90</v>
      </c>
      <c r="G8802" s="0" t="s">
        <v>16</v>
      </c>
      <c r="H8802" s="0" t="n">
        <v>35</v>
      </c>
      <c r="I8802" s="0" t="s">
        <v>29388</v>
      </c>
      <c r="J8802" s="0" t="s">
        <v>29389</v>
      </c>
      <c r="K8802" s="0" t="s">
        <v>29390</v>
      </c>
      <c r="L8802" s="0" t="str">
        <f aca="false">HYPERLINK("https://www.ncbi.nlm.nih.gov/nuccore/CP000304.1?report=graph&amp;tracks=[key:gene_model_track,Options:GeneOnly]&amp;mk=2502300:2502319|offset_35|00cc00,2502279:2502298|offset_56|444444,2502255:2502274|offset_80|444444,2502232:2502251|offset_103|444444&amp;v=2502099:2502451&amp;c=444444", "offset 35")</f>
        <v>offset 35</v>
      </c>
    </row>
    <row r="8803" customFormat="false" ht="12.8" hidden="false" customHeight="false" outlineLevel="0" collapsed="false">
      <c r="A8803" s="0" t="s">
        <v>12</v>
      </c>
      <c r="B8803" s="0" t="n">
        <v>2502278</v>
      </c>
      <c r="C8803" s="0" t="n">
        <v>2502298</v>
      </c>
      <c r="D8803" s="0" t="s">
        <v>29386</v>
      </c>
      <c r="E8803" s="0" t="s">
        <v>29387</v>
      </c>
      <c r="F8803" s="0" t="s">
        <v>90</v>
      </c>
      <c r="G8803" s="0" t="s">
        <v>26</v>
      </c>
      <c r="H8803" s="0" t="n">
        <v>56</v>
      </c>
      <c r="I8803" s="0" t="s">
        <v>29391</v>
      </c>
      <c r="J8803" s="0" t="s">
        <v>29392</v>
      </c>
      <c r="K8803" s="0" t="s">
        <v>29393</v>
      </c>
      <c r="L8803" s="0" t="str">
        <f aca="false">HYPERLINK("https://www.ncbi.nlm.nih.gov/nuccore/CP000304.1?report=graph&amp;tracks=[key:gene_model_track,Options:GeneOnly]&amp;mk=2502300:2502319|offset_35|444444,2502279:2502298|offset_56|00cc00,2502255:2502274|offset_80|444444,2502232:2502251|offset_103|444444&amp;v=2502099:2502451&amp;c=444444", "offset 56")</f>
        <v>offset 56</v>
      </c>
    </row>
    <row r="8804" customFormat="false" ht="12.8" hidden="false" customHeight="false" outlineLevel="0" collapsed="false">
      <c r="A8804" s="0" t="s">
        <v>12</v>
      </c>
      <c r="B8804" s="0" t="n">
        <v>2502254</v>
      </c>
      <c r="C8804" s="0" t="n">
        <v>2502274</v>
      </c>
      <c r="D8804" s="0" t="s">
        <v>29386</v>
      </c>
      <c r="E8804" s="0" t="s">
        <v>29387</v>
      </c>
      <c r="F8804" s="0" t="s">
        <v>90</v>
      </c>
      <c r="G8804" s="0" t="s">
        <v>32</v>
      </c>
      <c r="H8804" s="0" t="n">
        <v>80</v>
      </c>
      <c r="I8804" s="0" t="s">
        <v>29394</v>
      </c>
      <c r="J8804" s="0" t="s">
        <v>29395</v>
      </c>
      <c r="K8804" s="0" t="s">
        <v>29396</v>
      </c>
      <c r="L8804" s="0" t="str">
        <f aca="false">HYPERLINK("https://www.ncbi.nlm.nih.gov/nuccore/CP000304.1?report=graph&amp;tracks=[key:gene_model_track,Options:GeneOnly]&amp;mk=2502300:2502319|offset_35|444444,2502279:2502298|offset_56|444444,2502255:2502274|offset_80|00cc00,2502232:2502251|offset_103|444444&amp;v=2502099:2502451&amp;c=444444", "offset 80")</f>
        <v>offset 80</v>
      </c>
    </row>
    <row r="8805" customFormat="false" ht="12.8" hidden="false" customHeight="false" outlineLevel="0" collapsed="false">
      <c r="A8805" s="0" t="s">
        <v>12</v>
      </c>
      <c r="B8805" s="0" t="n">
        <v>2502231</v>
      </c>
      <c r="C8805" s="0" t="n">
        <v>2502251</v>
      </c>
      <c r="D8805" s="0" t="s">
        <v>29386</v>
      </c>
      <c r="E8805" s="0" t="s">
        <v>29387</v>
      </c>
      <c r="F8805" s="0" t="s">
        <v>90</v>
      </c>
      <c r="G8805" s="0" t="s">
        <v>32</v>
      </c>
      <c r="H8805" s="0" t="n">
        <v>103</v>
      </c>
      <c r="I8805" s="0" t="s">
        <v>29397</v>
      </c>
      <c r="J8805" s="0" t="s">
        <v>29398</v>
      </c>
      <c r="K8805" s="0" t="s">
        <v>29399</v>
      </c>
      <c r="L8805" s="0" t="str">
        <f aca="false">HYPERLINK("https://www.ncbi.nlm.nih.gov/nuccore/CP000304.1?report=graph&amp;tracks=[key:gene_model_track,Options:GeneOnly]&amp;mk=2502300:2502319|offset_35|444444,2502279:2502298|offset_56|444444,2502255:2502274|offset_80|444444,2502232:2502251|offset_103|00cc00&amp;v=2502099:2502451&amp;c=444444", "offset 103")</f>
        <v>offset 103</v>
      </c>
    </row>
    <row r="8806" customFormat="false" ht="12.8" hidden="false" customHeight="false" outlineLevel="0" collapsed="false">
      <c r="A8806" s="0" t="s">
        <v>12</v>
      </c>
      <c r="B8806" s="0" t="n">
        <v>2504899</v>
      </c>
      <c r="C8806" s="0" t="n">
        <v>2504919</v>
      </c>
      <c r="D8806" s="0" t="s">
        <v>29400</v>
      </c>
      <c r="E8806" s="0" t="s">
        <v>29401</v>
      </c>
      <c r="F8806" s="0" t="s">
        <v>90</v>
      </c>
      <c r="G8806" s="0" t="s">
        <v>32</v>
      </c>
      <c r="H8806" s="0" t="n">
        <v>8</v>
      </c>
      <c r="I8806" s="0" t="s">
        <v>29402</v>
      </c>
      <c r="J8806" s="0" t="s">
        <v>29403</v>
      </c>
      <c r="K8806" s="0" t="s">
        <v>29404</v>
      </c>
      <c r="L8806" s="0" t="str">
        <f aca="false">HYPERLINK("https://www.ncbi.nlm.nih.gov/nuccore/CP000304.1?report=graph&amp;tracks=[key:gene_model_track,Options:GeneOnly]&amp;mk=2504900:2504919|offset_8|00cc00,2504860:2504879|offset_48|444444,2504836:2504855|offset_72|444444,2504801:2504820|offset_107|444444&amp;v=2504699:2505020&amp;c=444444", "offset 8")</f>
        <v>offset 8</v>
      </c>
    </row>
    <row r="8807" customFormat="false" ht="12.8" hidden="false" customHeight="false" outlineLevel="0" collapsed="false">
      <c r="A8807" s="0" t="s">
        <v>12</v>
      </c>
      <c r="B8807" s="0" t="n">
        <v>2504859</v>
      </c>
      <c r="C8807" s="0" t="n">
        <v>2504879</v>
      </c>
      <c r="D8807" s="0" t="s">
        <v>29400</v>
      </c>
      <c r="E8807" s="0" t="s">
        <v>29401</v>
      </c>
      <c r="F8807" s="0" t="s">
        <v>90</v>
      </c>
      <c r="G8807" s="0" t="s">
        <v>16</v>
      </c>
      <c r="H8807" s="0" t="n">
        <v>48</v>
      </c>
      <c r="I8807" s="0" t="s">
        <v>29405</v>
      </c>
      <c r="J8807" s="0" t="s">
        <v>29406</v>
      </c>
      <c r="K8807" s="0" t="s">
        <v>29407</v>
      </c>
      <c r="L8807" s="0" t="str">
        <f aca="false">HYPERLINK("https://www.ncbi.nlm.nih.gov/nuccore/CP000304.1?report=graph&amp;tracks=[key:gene_model_track,Options:GeneOnly]&amp;mk=2504900:2504919|offset_8|444444,2504860:2504879|offset_48|00cc00,2504836:2504855|offset_72|444444,2504801:2504820|offset_107|444444&amp;v=2504699:2505020&amp;c=444444", "offset 48")</f>
        <v>offset 48</v>
      </c>
    </row>
    <row r="8808" customFormat="false" ht="12.8" hidden="false" customHeight="false" outlineLevel="0" collapsed="false">
      <c r="A8808" s="0" t="s">
        <v>12</v>
      </c>
      <c r="B8808" s="0" t="n">
        <v>2504835</v>
      </c>
      <c r="C8808" s="0" t="n">
        <v>2504855</v>
      </c>
      <c r="D8808" s="0" t="s">
        <v>29400</v>
      </c>
      <c r="E8808" s="0" t="s">
        <v>29401</v>
      </c>
      <c r="F8808" s="0" t="s">
        <v>90</v>
      </c>
      <c r="G8808" s="0" t="s">
        <v>16</v>
      </c>
      <c r="H8808" s="0" t="n">
        <v>72</v>
      </c>
      <c r="I8808" s="0" t="s">
        <v>29408</v>
      </c>
      <c r="J8808" s="0" t="s">
        <v>29409</v>
      </c>
      <c r="K8808" s="0" t="s">
        <v>29410</v>
      </c>
      <c r="L8808" s="0" t="str">
        <f aca="false">HYPERLINK("https://www.ncbi.nlm.nih.gov/nuccore/CP000304.1?report=graph&amp;tracks=[key:gene_model_track,Options:GeneOnly]&amp;mk=2504900:2504919|offset_8|444444,2504860:2504879|offset_48|444444,2504836:2504855|offset_72|00cc00,2504801:2504820|offset_107|444444&amp;v=2504699:2505020&amp;c=444444", "offset 72")</f>
        <v>offset 72</v>
      </c>
    </row>
    <row r="8809" customFormat="false" ht="12.8" hidden="false" customHeight="false" outlineLevel="0" collapsed="false">
      <c r="A8809" s="0" t="s">
        <v>12</v>
      </c>
      <c r="B8809" s="0" t="n">
        <v>2504800</v>
      </c>
      <c r="C8809" s="0" t="n">
        <v>2504820</v>
      </c>
      <c r="D8809" s="0" t="s">
        <v>29400</v>
      </c>
      <c r="E8809" s="0" t="s">
        <v>29401</v>
      </c>
      <c r="F8809" s="0" t="s">
        <v>90</v>
      </c>
      <c r="G8809" s="0" t="s">
        <v>36</v>
      </c>
      <c r="H8809" s="0" t="n">
        <v>107</v>
      </c>
      <c r="I8809" s="0" t="s">
        <v>29411</v>
      </c>
      <c r="J8809" s="0" t="s">
        <v>29412</v>
      </c>
      <c r="K8809" s="0" t="s">
        <v>29413</v>
      </c>
      <c r="L8809" s="0" t="str">
        <f aca="false">HYPERLINK("https://www.ncbi.nlm.nih.gov/nuccore/CP000304.1?report=graph&amp;tracks=[key:gene_model_track,Options:GeneOnly]&amp;mk=2504900:2504919|offset_8|444444,2504860:2504879|offset_48|444444,2504836:2504855|offset_72|444444,2504801:2504820|offset_107|00cc00&amp;v=2504699:2505020&amp;c=444444", "offset 107")</f>
        <v>offset 107</v>
      </c>
    </row>
    <row r="8810" customFormat="false" ht="12.8" hidden="false" customHeight="false" outlineLevel="0" collapsed="false">
      <c r="A8810" s="0" t="s">
        <v>12</v>
      </c>
      <c r="B8810" s="0" t="n">
        <v>2505000</v>
      </c>
      <c r="C8810" s="0" t="n">
        <v>2505020</v>
      </c>
      <c r="D8810" s="0" t="s">
        <v>29414</v>
      </c>
      <c r="E8810" s="0" t="s">
        <v>29415</v>
      </c>
      <c r="F8810" s="0" t="s">
        <v>15</v>
      </c>
      <c r="G8810" s="0" t="s">
        <v>26</v>
      </c>
      <c r="H8810" s="0" t="n">
        <v>35</v>
      </c>
      <c r="I8810" s="0" t="s">
        <v>29416</v>
      </c>
      <c r="J8810" s="0" t="s">
        <v>29417</v>
      </c>
      <c r="K8810" s="0" t="s">
        <v>29418</v>
      </c>
      <c r="L8810" s="0" t="str">
        <f aca="false">HYPERLINK("https://www.ncbi.nlm.nih.gov/nuccore/CP000304.1?report=graph&amp;tracks=[key:gene_model_track,Options:GeneOnly]&amp;mk=2505001:2505020|offset_35|00cc00,2505027:2505046|offset_61|444444,2505051:2505070|offset_85|444444,2505075:2505094|offset_109|444444&amp;v=2504800:2505294&amp;c=444444", "offset 35")</f>
        <v>offset 35</v>
      </c>
    </row>
    <row r="8811" customFormat="false" ht="12.8" hidden="false" customHeight="false" outlineLevel="0" collapsed="false">
      <c r="A8811" s="0" t="s">
        <v>12</v>
      </c>
      <c r="B8811" s="0" t="n">
        <v>2505026</v>
      </c>
      <c r="C8811" s="0" t="n">
        <v>2505046</v>
      </c>
      <c r="D8811" s="0" t="s">
        <v>29414</v>
      </c>
      <c r="E8811" s="0" t="s">
        <v>29415</v>
      </c>
      <c r="F8811" s="0" t="s">
        <v>15</v>
      </c>
      <c r="G8811" s="0" t="s">
        <v>16</v>
      </c>
      <c r="H8811" s="0" t="n">
        <v>61</v>
      </c>
      <c r="I8811" s="0" t="s">
        <v>29419</v>
      </c>
      <c r="J8811" s="0" t="s">
        <v>29420</v>
      </c>
      <c r="K8811" s="0" t="s">
        <v>29421</v>
      </c>
      <c r="L8811" s="0" t="str">
        <f aca="false">HYPERLINK("https://www.ncbi.nlm.nih.gov/nuccore/CP000304.1?report=graph&amp;tracks=[key:gene_model_track,Options:GeneOnly]&amp;mk=2505001:2505020|offset_35|444444,2505027:2505046|offset_61|00cc00,2505051:2505070|offset_85|444444,2505075:2505094|offset_109|444444&amp;v=2504800:2505294&amp;c=444444", "offset 61")</f>
        <v>offset 61</v>
      </c>
    </row>
    <row r="8812" customFormat="false" ht="12.8" hidden="false" customHeight="false" outlineLevel="0" collapsed="false">
      <c r="A8812" s="0" t="s">
        <v>12</v>
      </c>
      <c r="B8812" s="0" t="n">
        <v>2505050</v>
      </c>
      <c r="C8812" s="0" t="n">
        <v>2505070</v>
      </c>
      <c r="D8812" s="0" t="s">
        <v>29414</v>
      </c>
      <c r="E8812" s="0" t="s">
        <v>29415</v>
      </c>
      <c r="F8812" s="0" t="s">
        <v>15</v>
      </c>
      <c r="G8812" s="0" t="s">
        <v>32</v>
      </c>
      <c r="H8812" s="0" t="n">
        <v>85</v>
      </c>
      <c r="I8812" s="0" t="s">
        <v>29422</v>
      </c>
      <c r="J8812" s="0" t="s">
        <v>29423</v>
      </c>
      <c r="K8812" s="0" t="s">
        <v>29424</v>
      </c>
      <c r="L8812" s="0" t="str">
        <f aca="false">HYPERLINK("https://www.ncbi.nlm.nih.gov/nuccore/CP000304.1?report=graph&amp;tracks=[key:gene_model_track,Options:GeneOnly]&amp;mk=2505001:2505020|offset_35|444444,2505027:2505046|offset_61|444444,2505051:2505070|offset_85|00cc00,2505075:2505094|offset_109|444444&amp;v=2504800:2505294&amp;c=444444", "offset 85")</f>
        <v>offset 85</v>
      </c>
    </row>
    <row r="8813" customFormat="false" ht="12.8" hidden="false" customHeight="false" outlineLevel="0" collapsed="false">
      <c r="A8813" s="0" t="s">
        <v>12</v>
      </c>
      <c r="B8813" s="0" t="n">
        <v>2505074</v>
      </c>
      <c r="C8813" s="0" t="n">
        <v>2505094</v>
      </c>
      <c r="D8813" s="0" t="s">
        <v>29414</v>
      </c>
      <c r="E8813" s="0" t="s">
        <v>29415</v>
      </c>
      <c r="F8813" s="0" t="s">
        <v>15</v>
      </c>
      <c r="G8813" s="0" t="s">
        <v>16</v>
      </c>
      <c r="H8813" s="0" t="n">
        <v>109</v>
      </c>
      <c r="I8813" s="0" t="s">
        <v>29425</v>
      </c>
      <c r="J8813" s="0" t="s">
        <v>29426</v>
      </c>
      <c r="K8813" s="0" t="s">
        <v>29427</v>
      </c>
      <c r="L8813" s="0" t="str">
        <f aca="false">HYPERLINK("https://www.ncbi.nlm.nih.gov/nuccore/CP000304.1?report=graph&amp;tracks=[key:gene_model_track,Options:GeneOnly]&amp;mk=2505001:2505020|offset_35|444444,2505027:2505046|offset_61|444444,2505051:2505070|offset_85|444444,2505075:2505094|offset_109|00cc00&amp;v=2504800:2505294&amp;c=444444", "offset 109")</f>
        <v>offset 109</v>
      </c>
    </row>
    <row r="8814" customFormat="false" ht="12.8" hidden="false" customHeight="false" outlineLevel="0" collapsed="false">
      <c r="A8814" s="0" t="s">
        <v>12</v>
      </c>
      <c r="B8814" s="0" t="n">
        <v>2505968</v>
      </c>
      <c r="C8814" s="0" t="n">
        <v>2505988</v>
      </c>
      <c r="D8814" s="0" t="s">
        <v>29428</v>
      </c>
      <c r="E8814" s="0" t="s">
        <v>29429</v>
      </c>
      <c r="F8814" s="0" t="s">
        <v>15</v>
      </c>
      <c r="G8814" s="0" t="s">
        <v>26</v>
      </c>
      <c r="H8814" s="0" t="n">
        <v>10</v>
      </c>
      <c r="I8814" s="0" t="s">
        <v>29430</v>
      </c>
      <c r="J8814" s="0" t="s">
        <v>29431</v>
      </c>
      <c r="K8814" s="0" t="s">
        <v>29432</v>
      </c>
      <c r="L8814" s="0" t="str">
        <f aca="false">HYPERLINK("https://www.ncbi.nlm.nih.gov/nuccore/CP000304.1?report=graph&amp;tracks=[key:gene_model_track,Options:GeneOnly]&amp;mk=2505969:2505988|offset_10|00cc00,2505998:2506017|offset_39|444444,2506025:2506044|offset_66|444444,2506061:2506080|offset_102|444444&amp;v=2505768:2506280&amp;c=444444", "offset 10")</f>
        <v>offset 10</v>
      </c>
    </row>
    <row r="8815" customFormat="false" ht="12.8" hidden="false" customHeight="false" outlineLevel="0" collapsed="false">
      <c r="A8815" s="0" t="s">
        <v>12</v>
      </c>
      <c r="B8815" s="0" t="n">
        <v>2505997</v>
      </c>
      <c r="C8815" s="0" t="n">
        <v>2506017</v>
      </c>
      <c r="D8815" s="0" t="s">
        <v>29428</v>
      </c>
      <c r="E8815" s="0" t="s">
        <v>29429</v>
      </c>
      <c r="F8815" s="0" t="s">
        <v>15</v>
      </c>
      <c r="G8815" s="0" t="s">
        <v>26</v>
      </c>
      <c r="H8815" s="0" t="n">
        <v>39</v>
      </c>
      <c r="I8815" s="0" t="s">
        <v>29433</v>
      </c>
      <c r="J8815" s="0" t="s">
        <v>29434</v>
      </c>
      <c r="K8815" s="0" t="s">
        <v>29435</v>
      </c>
      <c r="L8815" s="0" t="str">
        <f aca="false">HYPERLINK("https://www.ncbi.nlm.nih.gov/nuccore/CP000304.1?report=graph&amp;tracks=[key:gene_model_track,Options:GeneOnly]&amp;mk=2505969:2505988|offset_10|444444,2505998:2506017|offset_39|00cc00,2506025:2506044|offset_66|444444,2506061:2506080|offset_102|444444&amp;v=2505768:2506280&amp;c=444444", "offset 39")</f>
        <v>offset 39</v>
      </c>
    </row>
    <row r="8816" customFormat="false" ht="12.8" hidden="false" customHeight="false" outlineLevel="0" collapsed="false">
      <c r="A8816" s="0" t="s">
        <v>12</v>
      </c>
      <c r="B8816" s="0" t="n">
        <v>2506024</v>
      </c>
      <c r="C8816" s="0" t="n">
        <v>2506044</v>
      </c>
      <c r="D8816" s="0" t="s">
        <v>29428</v>
      </c>
      <c r="E8816" s="0" t="s">
        <v>29429</v>
      </c>
      <c r="F8816" s="0" t="s">
        <v>15</v>
      </c>
      <c r="G8816" s="0" t="s">
        <v>36</v>
      </c>
      <c r="H8816" s="0" t="n">
        <v>66</v>
      </c>
      <c r="I8816" s="0" t="s">
        <v>29436</v>
      </c>
      <c r="J8816" s="0" t="s">
        <v>29437</v>
      </c>
      <c r="K8816" s="0" t="s">
        <v>29438</v>
      </c>
      <c r="L8816" s="0" t="str">
        <f aca="false">HYPERLINK("https://www.ncbi.nlm.nih.gov/nuccore/CP000304.1?report=graph&amp;tracks=[key:gene_model_track,Options:GeneOnly]&amp;mk=2505969:2505988|offset_10|444444,2505998:2506017|offset_39|444444,2506025:2506044|offset_66|00cc00,2506061:2506080|offset_102|444444&amp;v=2505768:2506280&amp;c=444444", "offset 66")</f>
        <v>offset 66</v>
      </c>
    </row>
    <row r="8817" customFormat="false" ht="12.8" hidden="false" customHeight="false" outlineLevel="0" collapsed="false">
      <c r="A8817" s="0" t="s">
        <v>12</v>
      </c>
      <c r="B8817" s="0" t="n">
        <v>2506060</v>
      </c>
      <c r="C8817" s="0" t="n">
        <v>2506080</v>
      </c>
      <c r="D8817" s="0" t="s">
        <v>29428</v>
      </c>
      <c r="E8817" s="0" t="s">
        <v>29429</v>
      </c>
      <c r="F8817" s="0" t="s">
        <v>15</v>
      </c>
      <c r="G8817" s="0" t="s">
        <v>36</v>
      </c>
      <c r="H8817" s="0" t="n">
        <v>102</v>
      </c>
      <c r="I8817" s="0" t="s">
        <v>29439</v>
      </c>
      <c r="J8817" s="0" t="s">
        <v>29440</v>
      </c>
      <c r="K8817" s="0" t="s">
        <v>29441</v>
      </c>
      <c r="L8817" s="0" t="str">
        <f aca="false">HYPERLINK("https://www.ncbi.nlm.nih.gov/nuccore/CP000304.1?report=graph&amp;tracks=[key:gene_model_track,Options:GeneOnly]&amp;mk=2505969:2505988|offset_10|444444,2505998:2506017|offset_39|444444,2506025:2506044|offset_66|444444,2506061:2506080|offset_102|00cc00&amp;v=2505768:2506280&amp;c=444444", "offset 102")</f>
        <v>offset 102</v>
      </c>
    </row>
    <row r="8818" customFormat="false" ht="12.8" hidden="false" customHeight="false" outlineLevel="0" collapsed="false">
      <c r="A8818" s="0" t="s">
        <v>12</v>
      </c>
      <c r="B8818" s="0" t="n">
        <v>2506692</v>
      </c>
      <c r="C8818" s="0" t="n">
        <v>2506712</v>
      </c>
      <c r="D8818" s="0" t="s">
        <v>29442</v>
      </c>
      <c r="E8818" s="0" t="s">
        <v>89</v>
      </c>
      <c r="F8818" s="0" t="s">
        <v>15</v>
      </c>
      <c r="G8818" s="0" t="s">
        <v>32</v>
      </c>
      <c r="H8818" s="0" t="n">
        <v>1</v>
      </c>
      <c r="I8818" s="0" t="s">
        <v>29443</v>
      </c>
      <c r="J8818" s="0" t="s">
        <v>29444</v>
      </c>
      <c r="K8818" s="0" t="s">
        <v>29445</v>
      </c>
      <c r="L8818" s="0" t="str">
        <f aca="false">HYPERLINK("https://www.ncbi.nlm.nih.gov/nuccore/CP000304.1?report=graph&amp;tracks=[key:gene_model_track,Options:GeneOnly]&amp;mk=2506693:2506712|offset_1|00cc00,2506726:2506745|offset_34|444444,2506751:2506770|offset_59|444444,2506771:2506790|offset_79|444444&amp;v=2506492:2506990&amp;c=444444", "offset 1")</f>
        <v>offset 1</v>
      </c>
    </row>
    <row r="8819" customFormat="false" ht="12.8" hidden="false" customHeight="false" outlineLevel="0" collapsed="false">
      <c r="A8819" s="0" t="s">
        <v>12</v>
      </c>
      <c r="B8819" s="0" t="n">
        <v>2506725</v>
      </c>
      <c r="C8819" s="0" t="n">
        <v>2506745</v>
      </c>
      <c r="D8819" s="0" t="s">
        <v>29442</v>
      </c>
      <c r="E8819" s="0" t="s">
        <v>89</v>
      </c>
      <c r="F8819" s="0" t="s">
        <v>15</v>
      </c>
      <c r="G8819" s="0" t="s">
        <v>32</v>
      </c>
      <c r="H8819" s="0" t="n">
        <v>34</v>
      </c>
      <c r="I8819" s="0" t="s">
        <v>29446</v>
      </c>
      <c r="J8819" s="0" t="s">
        <v>29447</v>
      </c>
      <c r="K8819" s="0" t="s">
        <v>29448</v>
      </c>
      <c r="L8819" s="0" t="str">
        <f aca="false">HYPERLINK("https://www.ncbi.nlm.nih.gov/nuccore/CP000304.1?report=graph&amp;tracks=[key:gene_model_track,Options:GeneOnly]&amp;mk=2506693:2506712|offset_1|444444,2506726:2506745|offset_34|00cc00,2506751:2506770|offset_59|444444,2506771:2506790|offset_79|444444&amp;v=2506492:2506990&amp;c=444444", "offset 34")</f>
        <v>offset 34</v>
      </c>
    </row>
    <row r="8820" customFormat="false" ht="12.8" hidden="false" customHeight="false" outlineLevel="0" collapsed="false">
      <c r="A8820" s="0" t="s">
        <v>12</v>
      </c>
      <c r="B8820" s="0" t="n">
        <v>2506750</v>
      </c>
      <c r="C8820" s="0" t="n">
        <v>2506770</v>
      </c>
      <c r="D8820" s="0" t="s">
        <v>29442</v>
      </c>
      <c r="E8820" s="0" t="s">
        <v>89</v>
      </c>
      <c r="F8820" s="0" t="s">
        <v>15</v>
      </c>
      <c r="G8820" s="0" t="s">
        <v>26</v>
      </c>
      <c r="H8820" s="0" t="n">
        <v>59</v>
      </c>
      <c r="I8820" s="0" t="s">
        <v>29449</v>
      </c>
      <c r="J8820" s="0" t="s">
        <v>29450</v>
      </c>
      <c r="K8820" s="0" t="s">
        <v>29451</v>
      </c>
      <c r="L8820" s="0" t="str">
        <f aca="false">HYPERLINK("https://www.ncbi.nlm.nih.gov/nuccore/CP000304.1?report=graph&amp;tracks=[key:gene_model_track,Options:GeneOnly]&amp;mk=2506693:2506712|offset_1|444444,2506726:2506745|offset_34|444444,2506751:2506770|offset_59|00cc00,2506771:2506790|offset_79|444444&amp;v=2506492:2506990&amp;c=444444", "offset 59")</f>
        <v>offset 59</v>
      </c>
    </row>
    <row r="8821" customFormat="false" ht="12.8" hidden="false" customHeight="false" outlineLevel="0" collapsed="false">
      <c r="A8821" s="0" t="s">
        <v>12</v>
      </c>
      <c r="B8821" s="0" t="n">
        <v>2506770</v>
      </c>
      <c r="C8821" s="0" t="n">
        <v>2506790</v>
      </c>
      <c r="D8821" s="0" t="s">
        <v>29442</v>
      </c>
      <c r="E8821" s="0" t="s">
        <v>89</v>
      </c>
      <c r="F8821" s="0" t="s">
        <v>15</v>
      </c>
      <c r="G8821" s="0" t="s">
        <v>32</v>
      </c>
      <c r="H8821" s="0" t="n">
        <v>79</v>
      </c>
      <c r="I8821" s="0" t="s">
        <v>29452</v>
      </c>
      <c r="J8821" s="0" t="s">
        <v>29453</v>
      </c>
      <c r="K8821" s="0" t="s">
        <v>29454</v>
      </c>
      <c r="L8821" s="0" t="str">
        <f aca="false">HYPERLINK("https://www.ncbi.nlm.nih.gov/nuccore/CP000304.1?report=graph&amp;tracks=[key:gene_model_track,Options:GeneOnly]&amp;mk=2506693:2506712|offset_1|444444,2506726:2506745|offset_34|444444,2506751:2506770|offset_59|444444,2506771:2506790|offset_79|00cc00&amp;v=2506492:2506990&amp;c=444444", "offset 79")</f>
        <v>offset 79</v>
      </c>
    </row>
    <row r="8822" customFormat="false" ht="12.8" hidden="false" customHeight="false" outlineLevel="0" collapsed="false">
      <c r="A8822" s="0" t="s">
        <v>12</v>
      </c>
      <c r="B8822" s="0" t="n">
        <v>2507545</v>
      </c>
      <c r="C8822" s="0" t="n">
        <v>2507565</v>
      </c>
      <c r="D8822" s="0" t="s">
        <v>29455</v>
      </c>
      <c r="E8822" s="0" t="s">
        <v>29456</v>
      </c>
      <c r="F8822" s="0" t="s">
        <v>15</v>
      </c>
      <c r="G8822" s="0" t="s">
        <v>36</v>
      </c>
      <c r="H8822" s="0" t="n">
        <v>49</v>
      </c>
      <c r="I8822" s="0" t="s">
        <v>29457</v>
      </c>
      <c r="J8822" s="0" t="s">
        <v>29458</v>
      </c>
      <c r="K8822" s="0" t="s">
        <v>29459</v>
      </c>
      <c r="L8822" s="0" t="str">
        <f aca="false">HYPERLINK("https://www.ncbi.nlm.nih.gov/nuccore/CP000304.1?report=graph&amp;tracks=[key:gene_model_track,Options:GeneOnly]&amp;mk=2507546:2507565|offset_49|00cc00,2507609:2507628|offset_112|444444,2507634:2507653|offset_137|444444,2507672:2507691|offset_175|444444&amp;v=2507345:2507891&amp;c=444444", "offset 49")</f>
        <v>offset 49</v>
      </c>
    </row>
    <row r="8823" customFormat="false" ht="12.8" hidden="false" customHeight="false" outlineLevel="0" collapsed="false">
      <c r="A8823" s="0" t="s">
        <v>12</v>
      </c>
      <c r="B8823" s="0" t="n">
        <v>2507608</v>
      </c>
      <c r="C8823" s="0" t="n">
        <v>2507628</v>
      </c>
      <c r="D8823" s="0" t="s">
        <v>29455</v>
      </c>
      <c r="E8823" s="0" t="s">
        <v>29456</v>
      </c>
      <c r="F8823" s="0" t="s">
        <v>15</v>
      </c>
      <c r="G8823" s="0" t="s">
        <v>16</v>
      </c>
      <c r="H8823" s="0" t="n">
        <v>112</v>
      </c>
      <c r="I8823" s="0" t="s">
        <v>29460</v>
      </c>
      <c r="J8823" s="0" t="s">
        <v>29461</v>
      </c>
      <c r="K8823" s="0" t="s">
        <v>29462</v>
      </c>
      <c r="L8823" s="0" t="str">
        <f aca="false">HYPERLINK("https://www.ncbi.nlm.nih.gov/nuccore/CP000304.1?report=graph&amp;tracks=[key:gene_model_track,Options:GeneOnly]&amp;mk=2507546:2507565|offset_49|444444,2507609:2507628|offset_112|00cc00,2507634:2507653|offset_137|444444,2507672:2507691|offset_175|444444&amp;v=2507345:2507891&amp;c=444444", "offset 112")</f>
        <v>offset 112</v>
      </c>
    </row>
    <row r="8824" customFormat="false" ht="12.8" hidden="false" customHeight="false" outlineLevel="0" collapsed="false">
      <c r="A8824" s="0" t="s">
        <v>12</v>
      </c>
      <c r="B8824" s="0" t="n">
        <v>2507633</v>
      </c>
      <c r="C8824" s="0" t="n">
        <v>2507653</v>
      </c>
      <c r="D8824" s="0" t="s">
        <v>29455</v>
      </c>
      <c r="E8824" s="0" t="s">
        <v>29456</v>
      </c>
      <c r="F8824" s="0" t="s">
        <v>15</v>
      </c>
      <c r="G8824" s="0" t="s">
        <v>16</v>
      </c>
      <c r="H8824" s="0" t="n">
        <v>137</v>
      </c>
      <c r="I8824" s="0" t="s">
        <v>29463</v>
      </c>
      <c r="J8824" s="0" t="s">
        <v>29464</v>
      </c>
      <c r="K8824" s="0" t="s">
        <v>29465</v>
      </c>
      <c r="L8824" s="0" t="str">
        <f aca="false">HYPERLINK("https://www.ncbi.nlm.nih.gov/nuccore/CP000304.1?report=graph&amp;tracks=[key:gene_model_track,Options:GeneOnly]&amp;mk=2507546:2507565|offset_49|444444,2507609:2507628|offset_112|444444,2507634:2507653|offset_137|00cc00,2507672:2507691|offset_175|444444&amp;v=2507345:2507891&amp;c=444444", "offset 137")</f>
        <v>offset 137</v>
      </c>
    </row>
    <row r="8825" customFormat="false" ht="12.8" hidden="false" customHeight="false" outlineLevel="0" collapsed="false">
      <c r="A8825" s="0" t="s">
        <v>12</v>
      </c>
      <c r="B8825" s="0" t="n">
        <v>2507671</v>
      </c>
      <c r="C8825" s="0" t="n">
        <v>2507691</v>
      </c>
      <c r="D8825" s="0" t="s">
        <v>29455</v>
      </c>
      <c r="E8825" s="0" t="s">
        <v>29456</v>
      </c>
      <c r="F8825" s="0" t="s">
        <v>15</v>
      </c>
      <c r="G8825" s="0" t="s">
        <v>36</v>
      </c>
      <c r="H8825" s="0" t="n">
        <v>175</v>
      </c>
      <c r="I8825" s="0" t="s">
        <v>29466</v>
      </c>
      <c r="J8825" s="0" t="s">
        <v>29467</v>
      </c>
      <c r="K8825" s="0" t="s">
        <v>29468</v>
      </c>
      <c r="L8825" s="0" t="str">
        <f aca="false">HYPERLINK("https://www.ncbi.nlm.nih.gov/nuccore/CP000304.1?report=graph&amp;tracks=[key:gene_model_track,Options:GeneOnly]&amp;mk=2507546:2507565|offset_49|444444,2507609:2507628|offset_112|444444,2507634:2507653|offset_137|444444,2507672:2507691|offset_175|00cc00&amp;v=2507345:2507891&amp;c=444444", "offset 175")</f>
        <v>offset 175</v>
      </c>
    </row>
    <row r="8826" customFormat="false" ht="12.8" hidden="false" customHeight="false" outlineLevel="0" collapsed="false">
      <c r="A8826" s="0" t="s">
        <v>12</v>
      </c>
      <c r="B8826" s="0" t="n">
        <v>2510079</v>
      </c>
      <c r="C8826" s="0" t="n">
        <v>2510099</v>
      </c>
      <c r="D8826" s="0" t="s">
        <v>29469</v>
      </c>
      <c r="E8826" s="0" t="s">
        <v>29470</v>
      </c>
      <c r="F8826" s="0" t="s">
        <v>90</v>
      </c>
      <c r="G8826" s="0" t="s">
        <v>16</v>
      </c>
      <c r="H8826" s="0" t="n">
        <v>11</v>
      </c>
      <c r="I8826" s="0" t="s">
        <v>29471</v>
      </c>
      <c r="J8826" s="0" t="s">
        <v>29472</v>
      </c>
      <c r="K8826" s="0" t="s">
        <v>29473</v>
      </c>
      <c r="L8826" s="0" t="str">
        <f aca="false">HYPERLINK("https://www.ncbi.nlm.nih.gov/nuccore/CP000304.1?report=graph&amp;tracks=[key:gene_model_track,Options:GeneOnly]&amp;mk=2510080:2510099|offset_11|00cc00,2510033:2510052|offset_58|444444,2510002:2510021|offset_89|444444,2509964:2509983|offset_127|444444&amp;v=2509879:2510183&amp;c=444444", "offset 11")</f>
        <v>offset 11</v>
      </c>
    </row>
    <row r="8827" customFormat="false" ht="12.8" hidden="false" customHeight="false" outlineLevel="0" collapsed="false">
      <c r="A8827" s="0" t="s">
        <v>12</v>
      </c>
      <c r="B8827" s="0" t="n">
        <v>2510032</v>
      </c>
      <c r="C8827" s="0" t="n">
        <v>2510052</v>
      </c>
      <c r="D8827" s="0" t="s">
        <v>29469</v>
      </c>
      <c r="E8827" s="0" t="s">
        <v>29470</v>
      </c>
      <c r="F8827" s="0" t="s">
        <v>90</v>
      </c>
      <c r="G8827" s="0" t="s">
        <v>32</v>
      </c>
      <c r="H8827" s="0" t="n">
        <v>58</v>
      </c>
      <c r="I8827" s="0" t="s">
        <v>29474</v>
      </c>
      <c r="J8827" s="0" t="s">
        <v>29475</v>
      </c>
      <c r="K8827" s="0" t="s">
        <v>29476</v>
      </c>
      <c r="L8827" s="0" t="str">
        <f aca="false">HYPERLINK("https://www.ncbi.nlm.nih.gov/nuccore/CP000304.1?report=graph&amp;tracks=[key:gene_model_track,Options:GeneOnly]&amp;mk=2510080:2510099|offset_11|444444,2510033:2510052|offset_58|00cc00,2510002:2510021|offset_89|444444,2509964:2509983|offset_127|444444&amp;v=2509879:2510183&amp;c=444444", "offset 58")</f>
        <v>offset 58</v>
      </c>
    </row>
    <row r="8828" customFormat="false" ht="12.8" hidden="false" customHeight="false" outlineLevel="0" collapsed="false">
      <c r="A8828" s="0" t="s">
        <v>12</v>
      </c>
      <c r="B8828" s="0" t="n">
        <v>2510001</v>
      </c>
      <c r="C8828" s="0" t="n">
        <v>2510021</v>
      </c>
      <c r="D8828" s="0" t="s">
        <v>29469</v>
      </c>
      <c r="E8828" s="0" t="s">
        <v>29470</v>
      </c>
      <c r="F8828" s="0" t="s">
        <v>90</v>
      </c>
      <c r="G8828" s="0" t="s">
        <v>26</v>
      </c>
      <c r="H8828" s="0" t="n">
        <v>89</v>
      </c>
      <c r="I8828" s="0" t="s">
        <v>29477</v>
      </c>
      <c r="J8828" s="0" t="s">
        <v>29478</v>
      </c>
      <c r="K8828" s="0" t="s">
        <v>29479</v>
      </c>
      <c r="L8828" s="0" t="str">
        <f aca="false">HYPERLINK("https://www.ncbi.nlm.nih.gov/nuccore/CP000304.1?report=graph&amp;tracks=[key:gene_model_track,Options:GeneOnly]&amp;mk=2510080:2510099|offset_11|444444,2510033:2510052|offset_58|444444,2510002:2510021|offset_89|00cc00,2509964:2509983|offset_127|444444&amp;v=2509879:2510183&amp;c=444444", "offset 89")</f>
        <v>offset 89</v>
      </c>
    </row>
    <row r="8829" customFormat="false" ht="12.8" hidden="false" customHeight="false" outlineLevel="0" collapsed="false">
      <c r="A8829" s="0" t="s">
        <v>12</v>
      </c>
      <c r="B8829" s="0" t="n">
        <v>2509963</v>
      </c>
      <c r="C8829" s="0" t="n">
        <v>2509983</v>
      </c>
      <c r="D8829" s="0" t="s">
        <v>29469</v>
      </c>
      <c r="E8829" s="0" t="s">
        <v>29470</v>
      </c>
      <c r="F8829" s="0" t="s">
        <v>90</v>
      </c>
      <c r="G8829" s="0" t="s">
        <v>16</v>
      </c>
      <c r="H8829" s="0" t="n">
        <v>127</v>
      </c>
      <c r="I8829" s="0" t="s">
        <v>29480</v>
      </c>
      <c r="J8829" s="0" t="s">
        <v>29481</v>
      </c>
      <c r="K8829" s="0" t="s">
        <v>29482</v>
      </c>
      <c r="L8829" s="0" t="str">
        <f aca="false">HYPERLINK("https://www.ncbi.nlm.nih.gov/nuccore/CP000304.1?report=graph&amp;tracks=[key:gene_model_track,Options:GeneOnly]&amp;mk=2510080:2510099|offset_11|444444,2510033:2510052|offset_58|444444,2510002:2510021|offset_89|444444,2509964:2509983|offset_127|00cc00&amp;v=2509879:2510183&amp;c=444444", "offset 127")</f>
        <v>offset 127</v>
      </c>
    </row>
    <row r="8830" customFormat="false" ht="12.8" hidden="false" customHeight="false" outlineLevel="0" collapsed="false">
      <c r="A8830" s="0" t="s">
        <v>12</v>
      </c>
      <c r="B8830" s="0" t="n">
        <v>2510609</v>
      </c>
      <c r="C8830" s="0" t="n">
        <v>2510629</v>
      </c>
      <c r="D8830" s="0" t="s">
        <v>29483</v>
      </c>
      <c r="E8830" s="0" t="s">
        <v>89</v>
      </c>
      <c r="F8830" s="0" t="s">
        <v>90</v>
      </c>
      <c r="G8830" s="0" t="s">
        <v>36</v>
      </c>
      <c r="H8830" s="0" t="n">
        <v>14</v>
      </c>
      <c r="I8830" s="0" t="s">
        <v>29484</v>
      </c>
      <c r="J8830" s="0" t="s">
        <v>29485</v>
      </c>
      <c r="K8830" s="0" t="s">
        <v>29486</v>
      </c>
      <c r="L8830" s="0" t="str">
        <f aca="false">HYPERLINK("https://www.ncbi.nlm.nih.gov/nuccore/CP000304.1?report=graph&amp;tracks=[key:gene_model_track,Options:GeneOnly]&amp;mk=2510610:2510629|offset_14|00cc00,2510574:2510593|offset_50|444444,2510526:2510545|offset_98|444444,2510504:2510523|offset_120|444444&amp;v=2510409:2510723&amp;c=444444", "offset 14")</f>
        <v>offset 14</v>
      </c>
    </row>
    <row r="8831" customFormat="false" ht="12.8" hidden="false" customHeight="false" outlineLevel="0" collapsed="false">
      <c r="A8831" s="0" t="s">
        <v>12</v>
      </c>
      <c r="B8831" s="0" t="n">
        <v>2510573</v>
      </c>
      <c r="C8831" s="0" t="n">
        <v>2510593</v>
      </c>
      <c r="D8831" s="0" t="s">
        <v>29483</v>
      </c>
      <c r="E8831" s="0" t="s">
        <v>89</v>
      </c>
      <c r="F8831" s="0" t="s">
        <v>90</v>
      </c>
      <c r="G8831" s="0" t="s">
        <v>16</v>
      </c>
      <c r="H8831" s="0" t="n">
        <v>50</v>
      </c>
      <c r="I8831" s="0" t="s">
        <v>29487</v>
      </c>
      <c r="J8831" s="0" t="s">
        <v>29488</v>
      </c>
      <c r="K8831" s="0" t="s">
        <v>29489</v>
      </c>
      <c r="L8831" s="0" t="str">
        <f aca="false">HYPERLINK("https://www.ncbi.nlm.nih.gov/nuccore/CP000304.1?report=graph&amp;tracks=[key:gene_model_track,Options:GeneOnly]&amp;mk=2510610:2510629|offset_14|444444,2510574:2510593|offset_50|00cc00,2510526:2510545|offset_98|444444,2510504:2510523|offset_120|444444&amp;v=2510409:2510723&amp;c=444444", "offset 50")</f>
        <v>offset 50</v>
      </c>
    </row>
    <row r="8832" customFormat="false" ht="12.8" hidden="false" customHeight="false" outlineLevel="0" collapsed="false">
      <c r="A8832" s="0" t="s">
        <v>12</v>
      </c>
      <c r="B8832" s="0" t="n">
        <v>2510525</v>
      </c>
      <c r="C8832" s="0" t="n">
        <v>2510545</v>
      </c>
      <c r="D8832" s="0" t="s">
        <v>29483</v>
      </c>
      <c r="E8832" s="0" t="s">
        <v>89</v>
      </c>
      <c r="F8832" s="0" t="s">
        <v>90</v>
      </c>
      <c r="G8832" s="0" t="s">
        <v>32</v>
      </c>
      <c r="H8832" s="0" t="n">
        <v>98</v>
      </c>
      <c r="I8832" s="0" t="s">
        <v>29490</v>
      </c>
      <c r="J8832" s="0" t="s">
        <v>29491</v>
      </c>
      <c r="K8832" s="0" t="s">
        <v>29492</v>
      </c>
      <c r="L8832" s="0" t="str">
        <f aca="false">HYPERLINK("https://www.ncbi.nlm.nih.gov/nuccore/CP000304.1?report=graph&amp;tracks=[key:gene_model_track,Options:GeneOnly]&amp;mk=2510610:2510629|offset_14|444444,2510574:2510593|offset_50|444444,2510526:2510545|offset_98|00cc00,2510504:2510523|offset_120|444444&amp;v=2510409:2510723&amp;c=444444", "offset 98")</f>
        <v>offset 98</v>
      </c>
    </row>
    <row r="8833" customFormat="false" ht="12.8" hidden="false" customHeight="false" outlineLevel="0" collapsed="false">
      <c r="A8833" s="0" t="s">
        <v>12</v>
      </c>
      <c r="B8833" s="0" t="n">
        <v>2510503</v>
      </c>
      <c r="C8833" s="0" t="n">
        <v>2510523</v>
      </c>
      <c r="D8833" s="0" t="s">
        <v>29483</v>
      </c>
      <c r="E8833" s="0" t="s">
        <v>89</v>
      </c>
      <c r="F8833" s="0" t="s">
        <v>90</v>
      </c>
      <c r="G8833" s="0" t="s">
        <v>32</v>
      </c>
      <c r="H8833" s="0" t="n">
        <v>120</v>
      </c>
      <c r="I8833" s="0" t="s">
        <v>29493</v>
      </c>
      <c r="J8833" s="0" t="s">
        <v>29494</v>
      </c>
      <c r="K8833" s="0" t="s">
        <v>29495</v>
      </c>
      <c r="L8833" s="0" t="str">
        <f aca="false">HYPERLINK("https://www.ncbi.nlm.nih.gov/nuccore/CP000304.1?report=graph&amp;tracks=[key:gene_model_track,Options:GeneOnly]&amp;mk=2510610:2510629|offset_14|444444,2510574:2510593|offset_50|444444,2510526:2510545|offset_98|444444,2510504:2510523|offset_120|00cc00&amp;v=2510409:2510723&amp;c=444444", "offset 120")</f>
        <v>offset 120</v>
      </c>
    </row>
    <row r="8834" customFormat="false" ht="12.8" hidden="false" customHeight="false" outlineLevel="0" collapsed="false">
      <c r="A8834" s="0" t="s">
        <v>12</v>
      </c>
      <c r="B8834" s="0" t="n">
        <v>2510702</v>
      </c>
      <c r="C8834" s="0" t="n">
        <v>2510722</v>
      </c>
      <c r="D8834" s="0" t="s">
        <v>29496</v>
      </c>
      <c r="E8834" s="0" t="s">
        <v>29497</v>
      </c>
      <c r="F8834" s="0" t="s">
        <v>15</v>
      </c>
      <c r="G8834" s="0" t="s">
        <v>26</v>
      </c>
      <c r="H8834" s="0" t="n">
        <v>0</v>
      </c>
      <c r="I8834" s="0" t="s">
        <v>29498</v>
      </c>
      <c r="J8834" s="0" t="s">
        <v>29499</v>
      </c>
      <c r="K8834" s="0" t="s">
        <v>29500</v>
      </c>
      <c r="L8834" s="0" t="str">
        <f aca="false">HYPERLINK("https://www.ncbi.nlm.nih.gov/nuccore/CP000304.1?report=graph&amp;tracks=[key:gene_model_track,Options:GeneOnly]&amp;mk=2510703:2510722|offset_0|00cc00,2510758:2510777|offset_55|444444,2510809:2510828|offset_106|444444,2510879:2510898|offset_176|444444&amp;v=2510502:2511098&amp;c=444444", "offset 0")</f>
        <v>offset 0</v>
      </c>
    </row>
    <row r="8835" customFormat="false" ht="12.8" hidden="false" customHeight="false" outlineLevel="0" collapsed="false">
      <c r="A8835" s="0" t="s">
        <v>12</v>
      </c>
      <c r="B8835" s="0" t="n">
        <v>2510757</v>
      </c>
      <c r="C8835" s="0" t="n">
        <v>2510777</v>
      </c>
      <c r="D8835" s="0" t="s">
        <v>29496</v>
      </c>
      <c r="E8835" s="0" t="s">
        <v>29497</v>
      </c>
      <c r="F8835" s="0" t="s">
        <v>15</v>
      </c>
      <c r="G8835" s="0" t="s">
        <v>32</v>
      </c>
      <c r="H8835" s="0" t="n">
        <v>55</v>
      </c>
      <c r="I8835" s="0" t="s">
        <v>29501</v>
      </c>
      <c r="J8835" s="0" t="s">
        <v>29502</v>
      </c>
      <c r="K8835" s="0" t="s">
        <v>29503</v>
      </c>
      <c r="L8835" s="0" t="str">
        <f aca="false">HYPERLINK("https://www.ncbi.nlm.nih.gov/nuccore/CP000304.1?report=graph&amp;tracks=[key:gene_model_track,Options:GeneOnly]&amp;mk=2510703:2510722|offset_0|444444,2510758:2510777|offset_55|00cc00,2510809:2510828|offset_106|444444,2510879:2510898|offset_176|444444&amp;v=2510502:2511098&amp;c=444444", "offset 55")</f>
        <v>offset 55</v>
      </c>
    </row>
    <row r="8836" customFormat="false" ht="12.8" hidden="false" customHeight="false" outlineLevel="0" collapsed="false">
      <c r="A8836" s="0" t="s">
        <v>12</v>
      </c>
      <c r="B8836" s="0" t="n">
        <v>2510808</v>
      </c>
      <c r="C8836" s="0" t="n">
        <v>2510828</v>
      </c>
      <c r="D8836" s="0" t="s">
        <v>29496</v>
      </c>
      <c r="E8836" s="0" t="s">
        <v>29497</v>
      </c>
      <c r="F8836" s="0" t="s">
        <v>15</v>
      </c>
      <c r="G8836" s="0" t="s">
        <v>36</v>
      </c>
      <c r="H8836" s="0" t="n">
        <v>106</v>
      </c>
      <c r="I8836" s="0" t="s">
        <v>29504</v>
      </c>
      <c r="J8836" s="0" t="s">
        <v>29505</v>
      </c>
      <c r="K8836" s="0" t="s">
        <v>29506</v>
      </c>
      <c r="L8836" s="0" t="str">
        <f aca="false">HYPERLINK("https://www.ncbi.nlm.nih.gov/nuccore/CP000304.1?report=graph&amp;tracks=[key:gene_model_track,Options:GeneOnly]&amp;mk=2510703:2510722|offset_0|444444,2510758:2510777|offset_55|444444,2510809:2510828|offset_106|00cc00,2510879:2510898|offset_176|444444&amp;v=2510502:2511098&amp;c=444444", "offset 106")</f>
        <v>offset 106</v>
      </c>
    </row>
    <row r="8837" customFormat="false" ht="12.8" hidden="false" customHeight="false" outlineLevel="0" collapsed="false">
      <c r="A8837" s="0" t="s">
        <v>12</v>
      </c>
      <c r="B8837" s="0" t="n">
        <v>2510878</v>
      </c>
      <c r="C8837" s="0" t="n">
        <v>2510898</v>
      </c>
      <c r="D8837" s="0" t="s">
        <v>29496</v>
      </c>
      <c r="E8837" s="0" t="s">
        <v>29497</v>
      </c>
      <c r="F8837" s="0" t="s">
        <v>15</v>
      </c>
      <c r="G8837" s="0" t="s">
        <v>26</v>
      </c>
      <c r="H8837" s="0" t="n">
        <v>176</v>
      </c>
      <c r="I8837" s="0" t="s">
        <v>29507</v>
      </c>
      <c r="J8837" s="0" t="s">
        <v>29508</v>
      </c>
      <c r="K8837" s="0" t="s">
        <v>29509</v>
      </c>
      <c r="L8837" s="0" t="str">
        <f aca="false">HYPERLINK("https://www.ncbi.nlm.nih.gov/nuccore/CP000304.1?report=graph&amp;tracks=[key:gene_model_track,Options:GeneOnly]&amp;mk=2510703:2510722|offset_0|444444,2510758:2510777|offset_55|444444,2510809:2510828|offset_106|444444,2510879:2510898|offset_176|00cc00&amp;v=2510502:2511098&amp;c=444444", "offset 176")</f>
        <v>offset 176</v>
      </c>
    </row>
    <row r="8838" customFormat="false" ht="12.8" hidden="false" customHeight="false" outlineLevel="0" collapsed="false">
      <c r="A8838" s="0" t="s">
        <v>12</v>
      </c>
      <c r="B8838" s="0" t="n">
        <v>2512269</v>
      </c>
      <c r="C8838" s="0" t="n">
        <v>2512289</v>
      </c>
      <c r="D8838" s="0" t="s">
        <v>29510</v>
      </c>
      <c r="E8838" s="0" t="s">
        <v>29511</v>
      </c>
      <c r="F8838" s="0" t="s">
        <v>90</v>
      </c>
      <c r="G8838" s="0" t="s">
        <v>32</v>
      </c>
      <c r="H8838" s="0" t="n">
        <v>11</v>
      </c>
      <c r="I8838" s="0" t="s">
        <v>29512</v>
      </c>
      <c r="J8838" s="0" t="s">
        <v>29513</v>
      </c>
      <c r="K8838" s="0" t="s">
        <v>29514</v>
      </c>
      <c r="L8838" s="0" t="str">
        <f aca="false">HYPERLINK("https://www.ncbi.nlm.nih.gov/nuccore/CP000304.1?report=graph&amp;tracks=[key:gene_model_track,Options:GeneOnly]&amp;mk=2512270:2512289|offset_11|00cc00,2512250:2512269|offset_31|444444,2512223:2512242|offset_58|444444,2512203:2512222|offset_78|444444&amp;v=2512069:2512422&amp;c=444444", "offset 11")</f>
        <v>offset 11</v>
      </c>
    </row>
    <row r="8839" customFormat="false" ht="12.8" hidden="false" customHeight="false" outlineLevel="0" collapsed="false">
      <c r="A8839" s="0" t="s">
        <v>12</v>
      </c>
      <c r="B8839" s="0" t="n">
        <v>2512249</v>
      </c>
      <c r="C8839" s="0" t="n">
        <v>2512269</v>
      </c>
      <c r="D8839" s="0" t="s">
        <v>29510</v>
      </c>
      <c r="E8839" s="0" t="s">
        <v>29511</v>
      </c>
      <c r="F8839" s="0" t="s">
        <v>90</v>
      </c>
      <c r="G8839" s="0" t="s">
        <v>32</v>
      </c>
      <c r="H8839" s="0" t="n">
        <v>31</v>
      </c>
      <c r="I8839" s="0" t="s">
        <v>29515</v>
      </c>
      <c r="J8839" s="0" t="s">
        <v>29516</v>
      </c>
      <c r="K8839" s="0" t="s">
        <v>29517</v>
      </c>
      <c r="L8839" s="0" t="str">
        <f aca="false">HYPERLINK("https://www.ncbi.nlm.nih.gov/nuccore/CP000304.1?report=graph&amp;tracks=[key:gene_model_track,Options:GeneOnly]&amp;mk=2512270:2512289|offset_11|444444,2512250:2512269|offset_31|00cc00,2512223:2512242|offset_58|444444,2512203:2512222|offset_78|444444&amp;v=2512069:2512422&amp;c=444444", "offset 31")</f>
        <v>offset 31</v>
      </c>
    </row>
    <row r="8840" customFormat="false" ht="12.8" hidden="false" customHeight="false" outlineLevel="0" collapsed="false">
      <c r="A8840" s="0" t="s">
        <v>12</v>
      </c>
      <c r="B8840" s="0" t="n">
        <v>2512222</v>
      </c>
      <c r="C8840" s="0" t="n">
        <v>2512242</v>
      </c>
      <c r="D8840" s="0" t="s">
        <v>29510</v>
      </c>
      <c r="E8840" s="0" t="s">
        <v>29511</v>
      </c>
      <c r="F8840" s="0" t="s">
        <v>90</v>
      </c>
      <c r="G8840" s="0" t="s">
        <v>16</v>
      </c>
      <c r="H8840" s="0" t="n">
        <v>58</v>
      </c>
      <c r="I8840" s="0" t="s">
        <v>29518</v>
      </c>
      <c r="J8840" s="0" t="s">
        <v>29519</v>
      </c>
      <c r="K8840" s="0" t="s">
        <v>29520</v>
      </c>
      <c r="L8840" s="0" t="str">
        <f aca="false">HYPERLINK("https://www.ncbi.nlm.nih.gov/nuccore/CP000304.1?report=graph&amp;tracks=[key:gene_model_track,Options:GeneOnly]&amp;mk=2512270:2512289|offset_11|444444,2512250:2512269|offset_31|444444,2512223:2512242|offset_58|00cc00,2512203:2512222|offset_78|444444&amp;v=2512069:2512422&amp;c=444444", "offset 58")</f>
        <v>offset 58</v>
      </c>
    </row>
    <row r="8841" customFormat="false" ht="12.8" hidden="false" customHeight="false" outlineLevel="0" collapsed="false">
      <c r="A8841" s="0" t="s">
        <v>12</v>
      </c>
      <c r="B8841" s="0" t="n">
        <v>2512202</v>
      </c>
      <c r="C8841" s="0" t="n">
        <v>2512222</v>
      </c>
      <c r="D8841" s="0" t="s">
        <v>29510</v>
      </c>
      <c r="E8841" s="0" t="s">
        <v>29511</v>
      </c>
      <c r="F8841" s="0" t="s">
        <v>90</v>
      </c>
      <c r="G8841" s="0" t="s">
        <v>36</v>
      </c>
      <c r="H8841" s="0" t="n">
        <v>78</v>
      </c>
      <c r="I8841" s="0" t="s">
        <v>29521</v>
      </c>
      <c r="J8841" s="0" t="s">
        <v>29522</v>
      </c>
      <c r="K8841" s="0" t="s">
        <v>29523</v>
      </c>
      <c r="L8841" s="0" t="str">
        <f aca="false">HYPERLINK("https://www.ncbi.nlm.nih.gov/nuccore/CP000304.1?report=graph&amp;tracks=[key:gene_model_track,Options:GeneOnly]&amp;mk=2512270:2512289|offset_11|444444,2512250:2512269|offset_31|444444,2512223:2512242|offset_58|444444,2512203:2512222|offset_78|00cc00&amp;v=2512069:2512422&amp;c=444444", "offset 78")</f>
        <v>offset 78</v>
      </c>
    </row>
    <row r="8842" customFormat="false" ht="12.8" hidden="false" customHeight="false" outlineLevel="0" collapsed="false">
      <c r="A8842" s="0" t="s">
        <v>12</v>
      </c>
      <c r="B8842" s="0" t="n">
        <v>2512665</v>
      </c>
      <c r="C8842" s="0" t="n">
        <v>2512685</v>
      </c>
      <c r="D8842" s="0" t="s">
        <v>29524</v>
      </c>
      <c r="E8842" s="0" t="s">
        <v>29525</v>
      </c>
      <c r="F8842" s="0" t="s">
        <v>15</v>
      </c>
      <c r="G8842" s="0" t="s">
        <v>32</v>
      </c>
      <c r="H8842" s="0" t="n">
        <v>7</v>
      </c>
      <c r="I8842" s="0" t="s">
        <v>29526</v>
      </c>
      <c r="J8842" s="0" t="s">
        <v>29527</v>
      </c>
      <c r="K8842" s="0" t="s">
        <v>29528</v>
      </c>
      <c r="L8842" s="0" t="str">
        <f aca="false">HYPERLINK("https://www.ncbi.nlm.nih.gov/nuccore/CP000304.1?report=graph&amp;tracks=[key:gene_model_track,Options:GeneOnly]&amp;mk=2512666:2512685|offset_7|00cc00,2512696:2512715|offset_37|444444,2512720:2512739|offset_61|444444,2512747:2512766|offset_88|444444&amp;v=2512465:2512966&amp;c=444444", "offset 7")</f>
        <v>offset 7</v>
      </c>
    </row>
    <row r="8843" customFormat="false" ht="12.8" hidden="false" customHeight="false" outlineLevel="0" collapsed="false">
      <c r="A8843" s="0" t="s">
        <v>12</v>
      </c>
      <c r="B8843" s="0" t="n">
        <v>2512695</v>
      </c>
      <c r="C8843" s="0" t="n">
        <v>2512715</v>
      </c>
      <c r="D8843" s="0" t="s">
        <v>29524</v>
      </c>
      <c r="E8843" s="0" t="s">
        <v>29525</v>
      </c>
      <c r="F8843" s="0" t="s">
        <v>15</v>
      </c>
      <c r="G8843" s="0" t="s">
        <v>16</v>
      </c>
      <c r="H8843" s="0" t="n">
        <v>37</v>
      </c>
      <c r="I8843" s="0" t="s">
        <v>29529</v>
      </c>
      <c r="J8843" s="0" t="s">
        <v>29530</v>
      </c>
      <c r="K8843" s="0" t="s">
        <v>29531</v>
      </c>
      <c r="L8843" s="0" t="str">
        <f aca="false">HYPERLINK("https://www.ncbi.nlm.nih.gov/nuccore/CP000304.1?report=graph&amp;tracks=[key:gene_model_track,Options:GeneOnly]&amp;mk=2512666:2512685|offset_7|444444,2512696:2512715|offset_37|00cc00,2512720:2512739|offset_61|444444,2512747:2512766|offset_88|444444&amp;v=2512465:2512966&amp;c=444444", "offset 37")</f>
        <v>offset 37</v>
      </c>
    </row>
    <row r="8844" customFormat="false" ht="12.8" hidden="false" customHeight="false" outlineLevel="0" collapsed="false">
      <c r="A8844" s="0" t="s">
        <v>12</v>
      </c>
      <c r="B8844" s="0" t="n">
        <v>2512719</v>
      </c>
      <c r="C8844" s="0" t="n">
        <v>2512739</v>
      </c>
      <c r="D8844" s="0" t="s">
        <v>29524</v>
      </c>
      <c r="E8844" s="0" t="s">
        <v>29525</v>
      </c>
      <c r="F8844" s="0" t="s">
        <v>15</v>
      </c>
      <c r="G8844" s="0" t="s">
        <v>26</v>
      </c>
      <c r="H8844" s="0" t="n">
        <v>61</v>
      </c>
      <c r="I8844" s="0" t="s">
        <v>29532</v>
      </c>
      <c r="J8844" s="0" t="s">
        <v>29533</v>
      </c>
      <c r="K8844" s="0" t="s">
        <v>29534</v>
      </c>
      <c r="L8844" s="0" t="str">
        <f aca="false">HYPERLINK("https://www.ncbi.nlm.nih.gov/nuccore/CP000304.1?report=graph&amp;tracks=[key:gene_model_track,Options:GeneOnly]&amp;mk=2512666:2512685|offset_7|444444,2512696:2512715|offset_37|444444,2512720:2512739|offset_61|00cc00,2512747:2512766|offset_88|444444&amp;v=2512465:2512966&amp;c=444444", "offset 61")</f>
        <v>offset 61</v>
      </c>
    </row>
    <row r="8845" customFormat="false" ht="12.8" hidden="false" customHeight="false" outlineLevel="0" collapsed="false">
      <c r="A8845" s="0" t="s">
        <v>12</v>
      </c>
      <c r="B8845" s="0" t="n">
        <v>2512746</v>
      </c>
      <c r="C8845" s="0" t="n">
        <v>2512766</v>
      </c>
      <c r="D8845" s="0" t="s">
        <v>29524</v>
      </c>
      <c r="E8845" s="0" t="s">
        <v>29525</v>
      </c>
      <c r="F8845" s="0" t="s">
        <v>15</v>
      </c>
      <c r="G8845" s="0" t="s">
        <v>26</v>
      </c>
      <c r="H8845" s="0" t="n">
        <v>88</v>
      </c>
      <c r="I8845" s="0" t="s">
        <v>29535</v>
      </c>
      <c r="J8845" s="0" t="s">
        <v>29536</v>
      </c>
      <c r="K8845" s="0" t="s">
        <v>29537</v>
      </c>
      <c r="L8845" s="0" t="str">
        <f aca="false">HYPERLINK("https://www.ncbi.nlm.nih.gov/nuccore/CP000304.1?report=graph&amp;tracks=[key:gene_model_track,Options:GeneOnly]&amp;mk=2512666:2512685|offset_7|444444,2512696:2512715|offset_37|444444,2512720:2512739|offset_61|444444,2512747:2512766|offset_88|00cc00&amp;v=2512465:2512966&amp;c=444444", "offset 88")</f>
        <v>offset 88</v>
      </c>
    </row>
    <row r="8846" customFormat="false" ht="12.8" hidden="false" customHeight="false" outlineLevel="0" collapsed="false">
      <c r="A8846" s="0" t="s">
        <v>12</v>
      </c>
      <c r="B8846" s="0" t="n">
        <v>2514991</v>
      </c>
      <c r="C8846" s="0" t="n">
        <v>2515011</v>
      </c>
      <c r="D8846" s="0" t="s">
        <v>29538</v>
      </c>
      <c r="E8846" s="0" t="s">
        <v>89</v>
      </c>
      <c r="F8846" s="0" t="s">
        <v>15</v>
      </c>
      <c r="G8846" s="0" t="s">
        <v>26</v>
      </c>
      <c r="H8846" s="0" t="n">
        <v>0</v>
      </c>
      <c r="I8846" s="0" t="s">
        <v>29539</v>
      </c>
      <c r="J8846" s="0" t="s">
        <v>29540</v>
      </c>
      <c r="K8846" s="0" t="s">
        <v>29541</v>
      </c>
      <c r="L8846" s="0" t="str">
        <f aca="false">HYPERLINK("https://www.ncbi.nlm.nih.gov/nuccore/CP000304.1?report=graph&amp;tracks=[key:gene_model_track,Options:GeneOnly]&amp;mk=2514992:2515011|offset_0|00cc00,2515017:2515036|offset_25|444444,2515039:2515058|offset_47|444444,2515078:2515097|offset_86|444444&amp;v=2514791:2515297&amp;c=444444", "offset 0")</f>
        <v>offset 0</v>
      </c>
    </row>
    <row r="8847" customFormat="false" ht="12.8" hidden="false" customHeight="false" outlineLevel="0" collapsed="false">
      <c r="A8847" s="0" t="s">
        <v>12</v>
      </c>
      <c r="B8847" s="0" t="n">
        <v>2515016</v>
      </c>
      <c r="C8847" s="0" t="n">
        <v>2515036</v>
      </c>
      <c r="D8847" s="0" t="s">
        <v>29538</v>
      </c>
      <c r="E8847" s="0" t="s">
        <v>89</v>
      </c>
      <c r="F8847" s="0" t="s">
        <v>15</v>
      </c>
      <c r="G8847" s="0" t="s">
        <v>16</v>
      </c>
      <c r="H8847" s="0" t="n">
        <v>25</v>
      </c>
      <c r="I8847" s="0" t="s">
        <v>29542</v>
      </c>
      <c r="J8847" s="0" t="s">
        <v>29543</v>
      </c>
      <c r="K8847" s="0" t="s">
        <v>29544</v>
      </c>
      <c r="L8847" s="0" t="str">
        <f aca="false">HYPERLINK("https://www.ncbi.nlm.nih.gov/nuccore/CP000304.1?report=graph&amp;tracks=[key:gene_model_track,Options:GeneOnly]&amp;mk=2514992:2515011|offset_0|444444,2515017:2515036|offset_25|00cc00,2515039:2515058|offset_47|444444,2515078:2515097|offset_86|444444&amp;v=2514791:2515297&amp;c=444444", "offset 25")</f>
        <v>offset 25</v>
      </c>
    </row>
    <row r="8848" customFormat="false" ht="12.8" hidden="false" customHeight="false" outlineLevel="0" collapsed="false">
      <c r="A8848" s="0" t="s">
        <v>12</v>
      </c>
      <c r="B8848" s="0" t="n">
        <v>2515038</v>
      </c>
      <c r="C8848" s="0" t="n">
        <v>2515058</v>
      </c>
      <c r="D8848" s="0" t="s">
        <v>29538</v>
      </c>
      <c r="E8848" s="0" t="s">
        <v>89</v>
      </c>
      <c r="F8848" s="0" t="s">
        <v>15</v>
      </c>
      <c r="G8848" s="0" t="s">
        <v>32</v>
      </c>
      <c r="H8848" s="0" t="n">
        <v>47</v>
      </c>
      <c r="I8848" s="0" t="s">
        <v>29545</v>
      </c>
      <c r="J8848" s="0" t="s">
        <v>29546</v>
      </c>
      <c r="K8848" s="0" t="s">
        <v>29547</v>
      </c>
      <c r="L8848" s="0" t="str">
        <f aca="false">HYPERLINK("https://www.ncbi.nlm.nih.gov/nuccore/CP000304.1?report=graph&amp;tracks=[key:gene_model_track,Options:GeneOnly]&amp;mk=2514992:2515011|offset_0|444444,2515017:2515036|offset_25|444444,2515039:2515058|offset_47|00cc00,2515078:2515097|offset_86|444444&amp;v=2514791:2515297&amp;c=444444", "offset 47")</f>
        <v>offset 47</v>
      </c>
    </row>
    <row r="8849" customFormat="false" ht="12.8" hidden="false" customHeight="false" outlineLevel="0" collapsed="false">
      <c r="A8849" s="0" t="s">
        <v>12</v>
      </c>
      <c r="B8849" s="0" t="n">
        <v>2515077</v>
      </c>
      <c r="C8849" s="0" t="n">
        <v>2515097</v>
      </c>
      <c r="D8849" s="0" t="s">
        <v>29538</v>
      </c>
      <c r="E8849" s="0" t="s">
        <v>89</v>
      </c>
      <c r="F8849" s="0" t="s">
        <v>15</v>
      </c>
      <c r="G8849" s="0" t="s">
        <v>16</v>
      </c>
      <c r="H8849" s="0" t="n">
        <v>86</v>
      </c>
      <c r="I8849" s="0" t="s">
        <v>29548</v>
      </c>
      <c r="J8849" s="0" t="s">
        <v>29549</v>
      </c>
      <c r="K8849" s="0" t="s">
        <v>29550</v>
      </c>
      <c r="L8849" s="0" t="str">
        <f aca="false">HYPERLINK("https://www.ncbi.nlm.nih.gov/nuccore/CP000304.1?report=graph&amp;tracks=[key:gene_model_track,Options:GeneOnly]&amp;mk=2514992:2515011|offset_0|444444,2515017:2515036|offset_25|444444,2515039:2515058|offset_47|444444,2515078:2515097|offset_86|00cc00&amp;v=2514791:2515297&amp;c=444444", "offset 86")</f>
        <v>offset 86</v>
      </c>
    </row>
    <row r="8850" customFormat="false" ht="12.8" hidden="false" customHeight="false" outlineLevel="0" collapsed="false">
      <c r="A8850" s="0" t="s">
        <v>12</v>
      </c>
      <c r="B8850" s="0" t="n">
        <v>2515515</v>
      </c>
      <c r="C8850" s="0" t="n">
        <v>2515535</v>
      </c>
      <c r="D8850" s="0" t="s">
        <v>29551</v>
      </c>
      <c r="E8850" s="0" t="s">
        <v>29552</v>
      </c>
      <c r="F8850" s="0" t="s">
        <v>15</v>
      </c>
      <c r="G8850" s="0" t="s">
        <v>36</v>
      </c>
      <c r="H8850" s="0" t="n">
        <v>16</v>
      </c>
      <c r="I8850" s="0" t="s">
        <v>29553</v>
      </c>
      <c r="J8850" s="0" t="s">
        <v>29554</v>
      </c>
      <c r="K8850" s="0" t="s">
        <v>29555</v>
      </c>
      <c r="L8850" s="0" t="str">
        <f aca="false">HYPERLINK("https://www.ncbi.nlm.nih.gov/nuccore/CP000304.1?report=graph&amp;tracks=[key:gene_model_track,Options:GeneOnly]&amp;mk=2515516:2515535|offset_16|00cc00,2515558:2515577|offset_58|444444,2515582:2515601|offset_82|444444,2515622:2515641|offset_122|444444&amp;v=2515315:2515841&amp;c=444444", "offset 16")</f>
        <v>offset 16</v>
      </c>
    </row>
    <row r="8851" customFormat="false" ht="12.8" hidden="false" customHeight="false" outlineLevel="0" collapsed="false">
      <c r="A8851" s="0" t="s">
        <v>12</v>
      </c>
      <c r="B8851" s="0" t="n">
        <v>2515557</v>
      </c>
      <c r="C8851" s="0" t="n">
        <v>2515577</v>
      </c>
      <c r="D8851" s="0" t="s">
        <v>29551</v>
      </c>
      <c r="E8851" s="0" t="s">
        <v>29552</v>
      </c>
      <c r="F8851" s="0" t="s">
        <v>15</v>
      </c>
      <c r="G8851" s="0" t="s">
        <v>16</v>
      </c>
      <c r="H8851" s="0" t="n">
        <v>58</v>
      </c>
      <c r="I8851" s="0" t="s">
        <v>29556</v>
      </c>
      <c r="J8851" s="0" t="s">
        <v>29557</v>
      </c>
      <c r="K8851" s="0" t="s">
        <v>29558</v>
      </c>
      <c r="L8851" s="0" t="str">
        <f aca="false">HYPERLINK("https://www.ncbi.nlm.nih.gov/nuccore/CP000304.1?report=graph&amp;tracks=[key:gene_model_track,Options:GeneOnly]&amp;mk=2515516:2515535|offset_16|444444,2515558:2515577|offset_58|00cc00,2515582:2515601|offset_82|444444,2515622:2515641|offset_122|444444&amp;v=2515315:2515841&amp;c=444444", "offset 58")</f>
        <v>offset 58</v>
      </c>
    </row>
    <row r="8852" customFormat="false" ht="12.8" hidden="false" customHeight="false" outlineLevel="0" collapsed="false">
      <c r="A8852" s="0" t="s">
        <v>12</v>
      </c>
      <c r="B8852" s="0" t="n">
        <v>2515581</v>
      </c>
      <c r="C8852" s="0" t="n">
        <v>2515601</v>
      </c>
      <c r="D8852" s="0" t="s">
        <v>29551</v>
      </c>
      <c r="E8852" s="0" t="s">
        <v>29552</v>
      </c>
      <c r="F8852" s="0" t="s">
        <v>15</v>
      </c>
      <c r="G8852" s="0" t="s">
        <v>16</v>
      </c>
      <c r="H8852" s="0" t="n">
        <v>82</v>
      </c>
      <c r="I8852" s="0" t="s">
        <v>29559</v>
      </c>
      <c r="J8852" s="0" t="s">
        <v>29560</v>
      </c>
      <c r="K8852" s="0" t="s">
        <v>29561</v>
      </c>
      <c r="L8852" s="0" t="str">
        <f aca="false">HYPERLINK("https://www.ncbi.nlm.nih.gov/nuccore/CP000304.1?report=graph&amp;tracks=[key:gene_model_track,Options:GeneOnly]&amp;mk=2515516:2515535|offset_16|444444,2515558:2515577|offset_58|444444,2515582:2515601|offset_82|00cc00,2515622:2515641|offset_122|444444&amp;v=2515315:2515841&amp;c=444444", "offset 82")</f>
        <v>offset 82</v>
      </c>
    </row>
    <row r="8853" customFormat="false" ht="12.8" hidden="false" customHeight="false" outlineLevel="0" collapsed="false">
      <c r="A8853" s="0" t="s">
        <v>12</v>
      </c>
      <c r="B8853" s="0" t="n">
        <v>2515621</v>
      </c>
      <c r="C8853" s="0" t="n">
        <v>2515641</v>
      </c>
      <c r="D8853" s="0" t="s">
        <v>29551</v>
      </c>
      <c r="E8853" s="0" t="s">
        <v>29552</v>
      </c>
      <c r="F8853" s="0" t="s">
        <v>15</v>
      </c>
      <c r="G8853" s="0" t="s">
        <v>26</v>
      </c>
      <c r="H8853" s="0" t="n">
        <v>122</v>
      </c>
      <c r="I8853" s="0" t="s">
        <v>29562</v>
      </c>
      <c r="J8853" s="0" t="s">
        <v>29563</v>
      </c>
      <c r="K8853" s="0" t="s">
        <v>29564</v>
      </c>
      <c r="L8853" s="0" t="str">
        <f aca="false">HYPERLINK("https://www.ncbi.nlm.nih.gov/nuccore/CP000304.1?report=graph&amp;tracks=[key:gene_model_track,Options:GeneOnly]&amp;mk=2515516:2515535|offset_16|444444,2515558:2515577|offset_58|444444,2515582:2515601|offset_82|444444,2515622:2515641|offset_122|00cc00&amp;v=2515315:2515841&amp;c=444444", "offset 122")</f>
        <v>offset 122</v>
      </c>
    </row>
    <row r="8854" customFormat="false" ht="12.8" hidden="false" customHeight="false" outlineLevel="0" collapsed="false">
      <c r="A8854" s="0" t="s">
        <v>12</v>
      </c>
      <c r="B8854" s="0" t="n">
        <v>2516675</v>
      </c>
      <c r="C8854" s="0" t="n">
        <v>2516695</v>
      </c>
      <c r="D8854" s="0" t="s">
        <v>29565</v>
      </c>
      <c r="E8854" s="0" t="s">
        <v>89</v>
      </c>
      <c r="F8854" s="0" t="s">
        <v>15</v>
      </c>
      <c r="G8854" s="0" t="s">
        <v>16</v>
      </c>
      <c r="H8854" s="0" t="n">
        <v>52</v>
      </c>
      <c r="I8854" s="0" t="s">
        <v>29566</v>
      </c>
      <c r="J8854" s="0" t="s">
        <v>29567</v>
      </c>
      <c r="K8854" s="0" t="s">
        <v>29568</v>
      </c>
      <c r="L8854" s="0" t="str">
        <f aca="false">HYPERLINK("https://www.ncbi.nlm.nih.gov/nuccore/CP000304.1?report=graph&amp;tracks=[key:gene_model_track,Options:GeneOnly]&amp;mk=2516676:2516695|offset_52|00cc00,2516700:2516719|offset_76|444444,2516724:2516743|offset_100|444444,2516764:2516783|offset_140|444444&amp;v=2516475:2516983&amp;c=444444", "offset 52")</f>
        <v>offset 52</v>
      </c>
    </row>
    <row r="8855" customFormat="false" ht="12.8" hidden="false" customHeight="false" outlineLevel="0" collapsed="false">
      <c r="A8855" s="0" t="s">
        <v>12</v>
      </c>
      <c r="B8855" s="0" t="n">
        <v>2516699</v>
      </c>
      <c r="C8855" s="0" t="n">
        <v>2516719</v>
      </c>
      <c r="D8855" s="0" t="s">
        <v>29565</v>
      </c>
      <c r="E8855" s="0" t="s">
        <v>89</v>
      </c>
      <c r="F8855" s="0" t="s">
        <v>15</v>
      </c>
      <c r="G8855" s="0" t="s">
        <v>36</v>
      </c>
      <c r="H8855" s="0" t="n">
        <v>76</v>
      </c>
      <c r="I8855" s="0" t="s">
        <v>29569</v>
      </c>
      <c r="J8855" s="0" t="s">
        <v>29570</v>
      </c>
      <c r="K8855" s="0" t="s">
        <v>29571</v>
      </c>
      <c r="L8855" s="0" t="str">
        <f aca="false">HYPERLINK("https://www.ncbi.nlm.nih.gov/nuccore/CP000304.1?report=graph&amp;tracks=[key:gene_model_track,Options:GeneOnly]&amp;mk=2516676:2516695|offset_52|444444,2516700:2516719|offset_76|00cc00,2516724:2516743|offset_100|444444,2516764:2516783|offset_140|444444&amp;v=2516475:2516983&amp;c=444444", "offset 76")</f>
        <v>offset 76</v>
      </c>
    </row>
    <row r="8856" customFormat="false" ht="12.8" hidden="false" customHeight="false" outlineLevel="0" collapsed="false">
      <c r="A8856" s="0" t="s">
        <v>12</v>
      </c>
      <c r="B8856" s="0" t="n">
        <v>2516723</v>
      </c>
      <c r="C8856" s="0" t="n">
        <v>2516743</v>
      </c>
      <c r="D8856" s="0" t="s">
        <v>29565</v>
      </c>
      <c r="E8856" s="0" t="s">
        <v>89</v>
      </c>
      <c r="F8856" s="0" t="s">
        <v>15</v>
      </c>
      <c r="G8856" s="0" t="s">
        <v>16</v>
      </c>
      <c r="H8856" s="0" t="n">
        <v>100</v>
      </c>
      <c r="I8856" s="0" t="s">
        <v>29572</v>
      </c>
      <c r="J8856" s="0" t="s">
        <v>29573</v>
      </c>
      <c r="K8856" s="0" t="s">
        <v>29574</v>
      </c>
      <c r="L8856" s="0" t="str">
        <f aca="false">HYPERLINK("https://www.ncbi.nlm.nih.gov/nuccore/CP000304.1?report=graph&amp;tracks=[key:gene_model_track,Options:GeneOnly]&amp;mk=2516676:2516695|offset_52|444444,2516700:2516719|offset_76|444444,2516724:2516743|offset_100|00cc00,2516764:2516783|offset_140|444444&amp;v=2516475:2516983&amp;c=444444", "offset 100")</f>
        <v>offset 100</v>
      </c>
    </row>
    <row r="8857" customFormat="false" ht="12.8" hidden="false" customHeight="false" outlineLevel="0" collapsed="false">
      <c r="A8857" s="0" t="s">
        <v>12</v>
      </c>
      <c r="B8857" s="0" t="n">
        <v>2516763</v>
      </c>
      <c r="C8857" s="0" t="n">
        <v>2516783</v>
      </c>
      <c r="D8857" s="0" t="s">
        <v>29565</v>
      </c>
      <c r="E8857" s="0" t="s">
        <v>89</v>
      </c>
      <c r="F8857" s="0" t="s">
        <v>15</v>
      </c>
      <c r="G8857" s="0" t="s">
        <v>36</v>
      </c>
      <c r="H8857" s="0" t="n">
        <v>140</v>
      </c>
      <c r="I8857" s="0" t="s">
        <v>29575</v>
      </c>
      <c r="J8857" s="0" t="s">
        <v>29576</v>
      </c>
      <c r="K8857" s="0" t="s">
        <v>29577</v>
      </c>
      <c r="L8857" s="0" t="str">
        <f aca="false">HYPERLINK("https://www.ncbi.nlm.nih.gov/nuccore/CP000304.1?report=graph&amp;tracks=[key:gene_model_track,Options:GeneOnly]&amp;mk=2516676:2516695|offset_52|444444,2516700:2516719|offset_76|444444,2516724:2516743|offset_100|444444,2516764:2516783|offset_140|00cc00&amp;v=2516475:2516983&amp;c=444444", "offset 140")</f>
        <v>offset 140</v>
      </c>
    </row>
    <row r="8858" customFormat="false" ht="12.8" hidden="false" customHeight="false" outlineLevel="0" collapsed="false">
      <c r="A8858" s="0" t="s">
        <v>12</v>
      </c>
      <c r="B8858" s="0" t="n">
        <v>2517326</v>
      </c>
      <c r="C8858" s="0" t="n">
        <v>2517346</v>
      </c>
      <c r="D8858" s="0" t="s">
        <v>29578</v>
      </c>
      <c r="E8858" s="0" t="s">
        <v>29579</v>
      </c>
      <c r="F8858" s="0" t="s">
        <v>15</v>
      </c>
      <c r="G8858" s="0" t="s">
        <v>36</v>
      </c>
      <c r="H8858" s="0" t="n">
        <v>6</v>
      </c>
      <c r="I8858" s="0" t="s">
        <v>29580</v>
      </c>
      <c r="J8858" s="0" t="s">
        <v>29581</v>
      </c>
      <c r="K8858" s="0" t="s">
        <v>29582</v>
      </c>
      <c r="L8858" s="0" t="str">
        <f aca="false">HYPERLINK("https://www.ncbi.nlm.nih.gov/nuccore/CP000304.1?report=graph&amp;tracks=[key:gene_model_track,Options:GeneOnly]&amp;mk=2517327:2517346|offset_6|00cc00,2517361:2517380|offset_40|444444,2517381:2517400|offset_60|444444,2517409:2517428|offset_88|444444&amp;v=2517126:2517628&amp;c=444444", "offset 6")</f>
        <v>offset 6</v>
      </c>
    </row>
    <row r="8859" customFormat="false" ht="12.8" hidden="false" customHeight="false" outlineLevel="0" collapsed="false">
      <c r="A8859" s="0" t="s">
        <v>12</v>
      </c>
      <c r="B8859" s="0" t="n">
        <v>2517360</v>
      </c>
      <c r="C8859" s="0" t="n">
        <v>2517380</v>
      </c>
      <c r="D8859" s="0" t="s">
        <v>29578</v>
      </c>
      <c r="E8859" s="0" t="s">
        <v>29579</v>
      </c>
      <c r="F8859" s="0" t="s">
        <v>15</v>
      </c>
      <c r="G8859" s="0" t="s">
        <v>26</v>
      </c>
      <c r="H8859" s="0" t="n">
        <v>40</v>
      </c>
      <c r="I8859" s="0" t="s">
        <v>29583</v>
      </c>
      <c r="J8859" s="0" t="s">
        <v>29584</v>
      </c>
      <c r="K8859" s="0" t="s">
        <v>29585</v>
      </c>
      <c r="L8859" s="0" t="str">
        <f aca="false">HYPERLINK("https://www.ncbi.nlm.nih.gov/nuccore/CP000304.1?report=graph&amp;tracks=[key:gene_model_track,Options:GeneOnly]&amp;mk=2517327:2517346|offset_6|444444,2517361:2517380|offset_40|00cc00,2517381:2517400|offset_60|444444,2517409:2517428|offset_88|444444&amp;v=2517126:2517628&amp;c=444444", "offset 40")</f>
        <v>offset 40</v>
      </c>
    </row>
    <row r="8860" customFormat="false" ht="12.8" hidden="false" customHeight="false" outlineLevel="0" collapsed="false">
      <c r="A8860" s="0" t="s">
        <v>12</v>
      </c>
      <c r="B8860" s="0" t="n">
        <v>2517380</v>
      </c>
      <c r="C8860" s="0" t="n">
        <v>2517400</v>
      </c>
      <c r="D8860" s="0" t="s">
        <v>29578</v>
      </c>
      <c r="E8860" s="0" t="s">
        <v>29579</v>
      </c>
      <c r="F8860" s="0" t="s">
        <v>15</v>
      </c>
      <c r="G8860" s="0" t="s">
        <v>36</v>
      </c>
      <c r="H8860" s="0" t="n">
        <v>60</v>
      </c>
      <c r="I8860" s="0" t="s">
        <v>29586</v>
      </c>
      <c r="J8860" s="0" t="s">
        <v>29587</v>
      </c>
      <c r="K8860" s="0" t="s">
        <v>29588</v>
      </c>
      <c r="L8860" s="0" t="str">
        <f aca="false">HYPERLINK("https://www.ncbi.nlm.nih.gov/nuccore/CP000304.1?report=graph&amp;tracks=[key:gene_model_track,Options:GeneOnly]&amp;mk=2517327:2517346|offset_6|444444,2517361:2517380|offset_40|444444,2517381:2517400|offset_60|00cc00,2517409:2517428|offset_88|444444&amp;v=2517126:2517628&amp;c=444444", "offset 60")</f>
        <v>offset 60</v>
      </c>
    </row>
    <row r="8861" customFormat="false" ht="12.8" hidden="false" customHeight="false" outlineLevel="0" collapsed="false">
      <c r="A8861" s="0" t="s">
        <v>12</v>
      </c>
      <c r="B8861" s="0" t="n">
        <v>2517408</v>
      </c>
      <c r="C8861" s="0" t="n">
        <v>2517428</v>
      </c>
      <c r="D8861" s="0" t="s">
        <v>29578</v>
      </c>
      <c r="E8861" s="0" t="s">
        <v>29579</v>
      </c>
      <c r="F8861" s="0" t="s">
        <v>15</v>
      </c>
      <c r="G8861" s="0" t="s">
        <v>32</v>
      </c>
      <c r="H8861" s="0" t="n">
        <v>88</v>
      </c>
      <c r="I8861" s="0" t="s">
        <v>29589</v>
      </c>
      <c r="J8861" s="0" t="s">
        <v>29590</v>
      </c>
      <c r="K8861" s="0" t="s">
        <v>29591</v>
      </c>
      <c r="L8861" s="0" t="str">
        <f aca="false">HYPERLINK("https://www.ncbi.nlm.nih.gov/nuccore/CP000304.1?report=graph&amp;tracks=[key:gene_model_track,Options:GeneOnly]&amp;mk=2517327:2517346|offset_6|444444,2517361:2517380|offset_40|444444,2517381:2517400|offset_60|444444,2517409:2517428|offset_88|00cc00&amp;v=2517126:2517628&amp;c=444444", "offset 88")</f>
        <v>offset 88</v>
      </c>
    </row>
    <row r="8862" customFormat="false" ht="12.8" hidden="false" customHeight="false" outlineLevel="0" collapsed="false">
      <c r="A8862" s="0" t="s">
        <v>12</v>
      </c>
      <c r="B8862" s="0" t="n">
        <v>2518813</v>
      </c>
      <c r="C8862" s="0" t="n">
        <v>2518833</v>
      </c>
      <c r="D8862" s="0" t="s">
        <v>29592</v>
      </c>
      <c r="E8862" s="0" t="s">
        <v>89</v>
      </c>
      <c r="F8862" s="0" t="s">
        <v>15</v>
      </c>
      <c r="G8862" s="0" t="s">
        <v>32</v>
      </c>
      <c r="H8862" s="0" t="n">
        <v>18</v>
      </c>
      <c r="I8862" s="0" t="s">
        <v>29593</v>
      </c>
      <c r="J8862" s="0" t="s">
        <v>29594</v>
      </c>
      <c r="K8862" s="0" t="s">
        <v>29595</v>
      </c>
      <c r="L8862" s="0" t="str">
        <f aca="false">HYPERLINK("https://www.ncbi.nlm.nih.gov/nuccore/CP000304.1?report=graph&amp;tracks=[key:gene_model_track,Options:GeneOnly]&amp;mk=2518814:2518833|offset_18|00cc00,2518852:2518871|offset_56|444444,2518877:2518896|offset_81|444444,2518900:2518919|offset_104|444444&amp;v=2518613:2519119&amp;c=444444", "offset 18")</f>
        <v>offset 18</v>
      </c>
    </row>
    <row r="8863" customFormat="false" ht="12.8" hidden="false" customHeight="false" outlineLevel="0" collapsed="false">
      <c r="A8863" s="0" t="s">
        <v>12</v>
      </c>
      <c r="B8863" s="0" t="n">
        <v>2518851</v>
      </c>
      <c r="C8863" s="0" t="n">
        <v>2518871</v>
      </c>
      <c r="D8863" s="0" t="s">
        <v>29592</v>
      </c>
      <c r="E8863" s="0" t="s">
        <v>89</v>
      </c>
      <c r="F8863" s="0" t="s">
        <v>15</v>
      </c>
      <c r="G8863" s="0" t="s">
        <v>26</v>
      </c>
      <c r="H8863" s="0" t="n">
        <v>56</v>
      </c>
      <c r="I8863" s="0" t="s">
        <v>29596</v>
      </c>
      <c r="J8863" s="0" t="s">
        <v>29597</v>
      </c>
      <c r="K8863" s="0" t="s">
        <v>29598</v>
      </c>
      <c r="L8863" s="0" t="str">
        <f aca="false">HYPERLINK("https://www.ncbi.nlm.nih.gov/nuccore/CP000304.1?report=graph&amp;tracks=[key:gene_model_track,Options:GeneOnly]&amp;mk=2518814:2518833|offset_18|444444,2518852:2518871|offset_56|00cc00,2518877:2518896|offset_81|444444,2518900:2518919|offset_104|444444&amp;v=2518613:2519119&amp;c=444444", "offset 56")</f>
        <v>offset 56</v>
      </c>
    </row>
    <row r="8864" customFormat="false" ht="12.8" hidden="false" customHeight="false" outlineLevel="0" collapsed="false">
      <c r="A8864" s="0" t="s">
        <v>12</v>
      </c>
      <c r="B8864" s="0" t="n">
        <v>2518876</v>
      </c>
      <c r="C8864" s="0" t="n">
        <v>2518896</v>
      </c>
      <c r="D8864" s="0" t="s">
        <v>29592</v>
      </c>
      <c r="E8864" s="0" t="s">
        <v>89</v>
      </c>
      <c r="F8864" s="0" t="s">
        <v>15</v>
      </c>
      <c r="G8864" s="0" t="s">
        <v>16</v>
      </c>
      <c r="H8864" s="0" t="n">
        <v>81</v>
      </c>
      <c r="I8864" s="0" t="s">
        <v>29599</v>
      </c>
      <c r="J8864" s="0" t="s">
        <v>29600</v>
      </c>
      <c r="K8864" s="0" t="s">
        <v>29601</v>
      </c>
      <c r="L8864" s="0" t="str">
        <f aca="false">HYPERLINK("https://www.ncbi.nlm.nih.gov/nuccore/CP000304.1?report=graph&amp;tracks=[key:gene_model_track,Options:GeneOnly]&amp;mk=2518814:2518833|offset_18|444444,2518852:2518871|offset_56|444444,2518877:2518896|offset_81|00cc00,2518900:2518919|offset_104|444444&amp;v=2518613:2519119&amp;c=444444", "offset 81")</f>
        <v>offset 81</v>
      </c>
    </row>
    <row r="8865" customFormat="false" ht="12.8" hidden="false" customHeight="false" outlineLevel="0" collapsed="false">
      <c r="A8865" s="0" t="s">
        <v>12</v>
      </c>
      <c r="B8865" s="0" t="n">
        <v>2518899</v>
      </c>
      <c r="C8865" s="0" t="n">
        <v>2518919</v>
      </c>
      <c r="D8865" s="0" t="s">
        <v>29592</v>
      </c>
      <c r="E8865" s="0" t="s">
        <v>89</v>
      </c>
      <c r="F8865" s="0" t="s">
        <v>15</v>
      </c>
      <c r="G8865" s="0" t="s">
        <v>36</v>
      </c>
      <c r="H8865" s="0" t="n">
        <v>104</v>
      </c>
      <c r="I8865" s="0" t="s">
        <v>29602</v>
      </c>
      <c r="J8865" s="0" t="s">
        <v>29603</v>
      </c>
      <c r="K8865" s="0" t="s">
        <v>29604</v>
      </c>
      <c r="L8865" s="0" t="str">
        <f aca="false">HYPERLINK("https://www.ncbi.nlm.nih.gov/nuccore/CP000304.1?report=graph&amp;tracks=[key:gene_model_track,Options:GeneOnly]&amp;mk=2518814:2518833|offset_18|444444,2518852:2518871|offset_56|444444,2518877:2518896|offset_81|444444,2518900:2518919|offset_104|00cc00&amp;v=2518613:2519119&amp;c=444444", "offset 104")</f>
        <v>offset 104</v>
      </c>
    </row>
    <row r="8866" customFormat="false" ht="12.8" hidden="false" customHeight="false" outlineLevel="0" collapsed="false">
      <c r="A8866" s="0" t="s">
        <v>12</v>
      </c>
      <c r="B8866" s="0" t="n">
        <v>2520003</v>
      </c>
      <c r="C8866" s="0" t="n">
        <v>2520023</v>
      </c>
      <c r="D8866" s="0" t="s">
        <v>29605</v>
      </c>
      <c r="E8866" s="0" t="s">
        <v>89</v>
      </c>
      <c r="F8866" s="0" t="s">
        <v>15</v>
      </c>
      <c r="G8866" s="0" t="s">
        <v>16</v>
      </c>
      <c r="H8866" s="0" t="n">
        <v>49</v>
      </c>
      <c r="I8866" s="0" t="s">
        <v>29606</v>
      </c>
      <c r="J8866" s="0" t="s">
        <v>29607</v>
      </c>
      <c r="K8866" s="0" t="s">
        <v>29608</v>
      </c>
      <c r="L8866" s="0" t="str">
        <f aca="false">HYPERLINK("https://www.ncbi.nlm.nih.gov/nuccore/CP000304.1?report=graph&amp;tracks=[key:gene_model_track,Options:GeneOnly]&amp;mk=2520004:2520023|offset_49|00cc00,2520028:2520047|offset_73|444444,2520049:2520068|offset_94|444444,2520076:2520095|offset_121|444444&amp;v=2519803:2520295&amp;c=444444", "offset 49")</f>
        <v>offset 49</v>
      </c>
    </row>
    <row r="8867" customFormat="false" ht="12.8" hidden="false" customHeight="false" outlineLevel="0" collapsed="false">
      <c r="A8867" s="0" t="s">
        <v>12</v>
      </c>
      <c r="B8867" s="0" t="n">
        <v>2520027</v>
      </c>
      <c r="C8867" s="0" t="n">
        <v>2520047</v>
      </c>
      <c r="D8867" s="0" t="s">
        <v>29605</v>
      </c>
      <c r="E8867" s="0" t="s">
        <v>89</v>
      </c>
      <c r="F8867" s="0" t="s">
        <v>15</v>
      </c>
      <c r="G8867" s="0" t="s">
        <v>16</v>
      </c>
      <c r="H8867" s="0" t="n">
        <v>73</v>
      </c>
      <c r="I8867" s="0" t="s">
        <v>29609</v>
      </c>
      <c r="J8867" s="0" t="s">
        <v>29610</v>
      </c>
      <c r="K8867" s="0" t="s">
        <v>29611</v>
      </c>
      <c r="L8867" s="0" t="str">
        <f aca="false">HYPERLINK("https://www.ncbi.nlm.nih.gov/nuccore/CP000304.1?report=graph&amp;tracks=[key:gene_model_track,Options:GeneOnly]&amp;mk=2520004:2520023|offset_49|444444,2520028:2520047|offset_73|00cc00,2520049:2520068|offset_94|444444,2520076:2520095|offset_121|444444&amp;v=2519803:2520295&amp;c=444444", "offset 73")</f>
        <v>offset 73</v>
      </c>
    </row>
    <row r="8868" customFormat="false" ht="12.8" hidden="false" customHeight="false" outlineLevel="0" collapsed="false">
      <c r="A8868" s="0" t="s">
        <v>12</v>
      </c>
      <c r="B8868" s="0" t="n">
        <v>2520048</v>
      </c>
      <c r="C8868" s="0" t="n">
        <v>2520068</v>
      </c>
      <c r="D8868" s="0" t="s">
        <v>29605</v>
      </c>
      <c r="E8868" s="0" t="s">
        <v>89</v>
      </c>
      <c r="F8868" s="0" t="s">
        <v>15</v>
      </c>
      <c r="G8868" s="0" t="s">
        <v>16</v>
      </c>
      <c r="H8868" s="0" t="n">
        <v>94</v>
      </c>
      <c r="I8868" s="0" t="s">
        <v>29612</v>
      </c>
      <c r="J8868" s="0" t="s">
        <v>29613</v>
      </c>
      <c r="K8868" s="0" t="s">
        <v>29614</v>
      </c>
      <c r="L8868" s="0" t="str">
        <f aca="false">HYPERLINK("https://www.ncbi.nlm.nih.gov/nuccore/CP000304.1?report=graph&amp;tracks=[key:gene_model_track,Options:GeneOnly]&amp;mk=2520004:2520023|offset_49|444444,2520028:2520047|offset_73|444444,2520049:2520068|offset_94|00cc00,2520076:2520095|offset_121|444444&amp;v=2519803:2520295&amp;c=444444", "offset 94")</f>
        <v>offset 94</v>
      </c>
    </row>
    <row r="8869" customFormat="false" ht="12.8" hidden="false" customHeight="false" outlineLevel="0" collapsed="false">
      <c r="A8869" s="0" t="s">
        <v>12</v>
      </c>
      <c r="B8869" s="0" t="n">
        <v>2520075</v>
      </c>
      <c r="C8869" s="0" t="n">
        <v>2520095</v>
      </c>
      <c r="D8869" s="0" t="s">
        <v>29605</v>
      </c>
      <c r="E8869" s="0" t="s">
        <v>89</v>
      </c>
      <c r="F8869" s="0" t="s">
        <v>15</v>
      </c>
      <c r="G8869" s="0" t="s">
        <v>16</v>
      </c>
      <c r="H8869" s="0" t="n">
        <v>121</v>
      </c>
      <c r="I8869" s="0" t="s">
        <v>29615</v>
      </c>
      <c r="J8869" s="0" t="s">
        <v>29616</v>
      </c>
      <c r="K8869" s="0" t="s">
        <v>29617</v>
      </c>
      <c r="L8869" s="0" t="str">
        <f aca="false">HYPERLINK("https://www.ncbi.nlm.nih.gov/nuccore/CP000304.1?report=graph&amp;tracks=[key:gene_model_track,Options:GeneOnly]&amp;mk=2520004:2520023|offset_49|444444,2520028:2520047|offset_73|444444,2520049:2520068|offset_94|444444,2520076:2520095|offset_121|00cc00&amp;v=2519803:2520295&amp;c=444444", "offset 121")</f>
        <v>offset 121</v>
      </c>
    </row>
    <row r="8870" customFormat="false" ht="12.8" hidden="false" customHeight="false" outlineLevel="0" collapsed="false">
      <c r="A8870" s="0" t="s">
        <v>12</v>
      </c>
      <c r="B8870" s="0" t="n">
        <v>2520402</v>
      </c>
      <c r="C8870" s="0" t="n">
        <v>2520422</v>
      </c>
      <c r="D8870" s="0" t="s">
        <v>29618</v>
      </c>
      <c r="E8870" s="0" t="s">
        <v>89</v>
      </c>
      <c r="F8870" s="0" t="s">
        <v>15</v>
      </c>
      <c r="G8870" s="0" t="s">
        <v>36</v>
      </c>
      <c r="H8870" s="0" t="n">
        <v>16</v>
      </c>
      <c r="I8870" s="0" t="s">
        <v>29619</v>
      </c>
      <c r="J8870" s="0" t="s">
        <v>29620</v>
      </c>
      <c r="K8870" s="0" t="s">
        <v>29621</v>
      </c>
      <c r="L8870" s="0" t="str">
        <f aca="false">HYPERLINK("https://www.ncbi.nlm.nih.gov/nuccore/CP000304.1?report=graph&amp;tracks=[key:gene_model_track,Options:GeneOnly]&amp;mk=2520403:2520422|offset_16|00cc00,2520427:2520446|offset_40|444444,2520454:2520473|offset_67|444444,2520480:2520499|offset_93|444444&amp;v=2520202:2520699&amp;c=444444", "offset 16")</f>
        <v>offset 16</v>
      </c>
    </row>
    <row r="8871" customFormat="false" ht="12.8" hidden="false" customHeight="false" outlineLevel="0" collapsed="false">
      <c r="A8871" s="0" t="s">
        <v>12</v>
      </c>
      <c r="B8871" s="0" t="n">
        <v>2520426</v>
      </c>
      <c r="C8871" s="0" t="n">
        <v>2520446</v>
      </c>
      <c r="D8871" s="0" t="s">
        <v>29618</v>
      </c>
      <c r="E8871" s="0" t="s">
        <v>89</v>
      </c>
      <c r="F8871" s="0" t="s">
        <v>15</v>
      </c>
      <c r="G8871" s="0" t="s">
        <v>16</v>
      </c>
      <c r="H8871" s="0" t="n">
        <v>40</v>
      </c>
      <c r="I8871" s="0" t="s">
        <v>29622</v>
      </c>
      <c r="J8871" s="0" t="s">
        <v>29623</v>
      </c>
      <c r="K8871" s="0" t="s">
        <v>29624</v>
      </c>
      <c r="L8871" s="0" t="str">
        <f aca="false">HYPERLINK("https://www.ncbi.nlm.nih.gov/nuccore/CP000304.1?report=graph&amp;tracks=[key:gene_model_track,Options:GeneOnly]&amp;mk=2520403:2520422|offset_16|444444,2520427:2520446|offset_40|00cc00,2520454:2520473|offset_67|444444,2520480:2520499|offset_93|444444&amp;v=2520202:2520699&amp;c=444444", "offset 40")</f>
        <v>offset 40</v>
      </c>
    </row>
    <row r="8872" customFormat="false" ht="12.8" hidden="false" customHeight="false" outlineLevel="0" collapsed="false">
      <c r="A8872" s="0" t="s">
        <v>12</v>
      </c>
      <c r="B8872" s="0" t="n">
        <v>2520453</v>
      </c>
      <c r="C8872" s="0" t="n">
        <v>2520473</v>
      </c>
      <c r="D8872" s="0" t="s">
        <v>29618</v>
      </c>
      <c r="E8872" s="0" t="s">
        <v>89</v>
      </c>
      <c r="F8872" s="0" t="s">
        <v>15</v>
      </c>
      <c r="G8872" s="0" t="s">
        <v>36</v>
      </c>
      <c r="H8872" s="0" t="n">
        <v>67</v>
      </c>
      <c r="I8872" s="0" t="s">
        <v>29625</v>
      </c>
      <c r="J8872" s="0" t="s">
        <v>29626</v>
      </c>
      <c r="K8872" s="0" t="s">
        <v>29627</v>
      </c>
      <c r="L8872" s="0" t="str">
        <f aca="false">HYPERLINK("https://www.ncbi.nlm.nih.gov/nuccore/CP000304.1?report=graph&amp;tracks=[key:gene_model_track,Options:GeneOnly]&amp;mk=2520403:2520422|offset_16|444444,2520427:2520446|offset_40|444444,2520454:2520473|offset_67|00cc00,2520480:2520499|offset_93|444444&amp;v=2520202:2520699&amp;c=444444", "offset 67")</f>
        <v>offset 67</v>
      </c>
    </row>
    <row r="8873" customFormat="false" ht="12.8" hidden="false" customHeight="false" outlineLevel="0" collapsed="false">
      <c r="A8873" s="0" t="s">
        <v>12</v>
      </c>
      <c r="B8873" s="0" t="n">
        <v>2520479</v>
      </c>
      <c r="C8873" s="0" t="n">
        <v>2520499</v>
      </c>
      <c r="D8873" s="0" t="s">
        <v>29618</v>
      </c>
      <c r="E8873" s="0" t="s">
        <v>89</v>
      </c>
      <c r="F8873" s="0" t="s">
        <v>15</v>
      </c>
      <c r="G8873" s="0" t="s">
        <v>16</v>
      </c>
      <c r="H8873" s="0" t="n">
        <v>93</v>
      </c>
      <c r="I8873" s="0" t="s">
        <v>29628</v>
      </c>
      <c r="J8873" s="0" t="s">
        <v>29629</v>
      </c>
      <c r="K8873" s="0" t="s">
        <v>29630</v>
      </c>
      <c r="L8873" s="0" t="str">
        <f aca="false">HYPERLINK("https://www.ncbi.nlm.nih.gov/nuccore/CP000304.1?report=graph&amp;tracks=[key:gene_model_track,Options:GeneOnly]&amp;mk=2520403:2520422|offset_16|444444,2520427:2520446|offset_40|444444,2520454:2520473|offset_67|444444,2520480:2520499|offset_93|00cc00&amp;v=2520202:2520699&amp;c=444444", "offset 93")</f>
        <v>offset 93</v>
      </c>
    </row>
    <row r="8874" customFormat="false" ht="12.8" hidden="false" customHeight="false" outlineLevel="0" collapsed="false">
      <c r="A8874" s="0" t="s">
        <v>12</v>
      </c>
      <c r="B8874" s="0" t="n">
        <v>2521021</v>
      </c>
      <c r="C8874" s="0" t="n">
        <v>2521041</v>
      </c>
      <c r="D8874" s="0" t="s">
        <v>29631</v>
      </c>
      <c r="E8874" s="0" t="s">
        <v>89</v>
      </c>
      <c r="F8874" s="0" t="s">
        <v>15</v>
      </c>
      <c r="G8874" s="0" t="s">
        <v>26</v>
      </c>
      <c r="H8874" s="0" t="n">
        <v>9</v>
      </c>
      <c r="I8874" s="0" t="s">
        <v>29632</v>
      </c>
      <c r="J8874" s="0" t="s">
        <v>29633</v>
      </c>
      <c r="K8874" s="0" t="s">
        <v>29634</v>
      </c>
      <c r="L8874" s="0" t="str">
        <f aca="false">HYPERLINK("https://www.ncbi.nlm.nih.gov/nuccore/CP000304.1?report=graph&amp;tracks=[key:gene_model_track,Options:GeneOnly]&amp;mk=2521022:2521041|offset_9|00cc00,2521060:2521079|offset_47|444444,2521080:2521099|offset_67|444444,2521102:2521121|offset_89|444444&amp;v=2520821:2521321&amp;c=444444", "offset 9")</f>
        <v>offset 9</v>
      </c>
    </row>
    <row r="8875" customFormat="false" ht="12.8" hidden="false" customHeight="false" outlineLevel="0" collapsed="false">
      <c r="A8875" s="0" t="s">
        <v>12</v>
      </c>
      <c r="B8875" s="0" t="n">
        <v>2521059</v>
      </c>
      <c r="C8875" s="0" t="n">
        <v>2521079</v>
      </c>
      <c r="D8875" s="0" t="s">
        <v>29631</v>
      </c>
      <c r="E8875" s="0" t="s">
        <v>89</v>
      </c>
      <c r="F8875" s="0" t="s">
        <v>15</v>
      </c>
      <c r="G8875" s="0" t="s">
        <v>26</v>
      </c>
      <c r="H8875" s="0" t="n">
        <v>47</v>
      </c>
      <c r="I8875" s="0" t="s">
        <v>29635</v>
      </c>
      <c r="J8875" s="0" t="s">
        <v>29636</v>
      </c>
      <c r="K8875" s="0" t="s">
        <v>29637</v>
      </c>
      <c r="L8875" s="0" t="str">
        <f aca="false">HYPERLINK("https://www.ncbi.nlm.nih.gov/nuccore/CP000304.1?report=graph&amp;tracks=[key:gene_model_track,Options:GeneOnly]&amp;mk=2521022:2521041|offset_9|444444,2521060:2521079|offset_47|00cc00,2521080:2521099|offset_67|444444,2521102:2521121|offset_89|444444&amp;v=2520821:2521321&amp;c=444444", "offset 47")</f>
        <v>offset 47</v>
      </c>
    </row>
    <row r="8876" customFormat="false" ht="12.8" hidden="false" customHeight="false" outlineLevel="0" collapsed="false">
      <c r="A8876" s="0" t="s">
        <v>12</v>
      </c>
      <c r="B8876" s="0" t="n">
        <v>2521079</v>
      </c>
      <c r="C8876" s="0" t="n">
        <v>2521099</v>
      </c>
      <c r="D8876" s="0" t="s">
        <v>29631</v>
      </c>
      <c r="E8876" s="0" t="s">
        <v>89</v>
      </c>
      <c r="F8876" s="0" t="s">
        <v>15</v>
      </c>
      <c r="G8876" s="0" t="s">
        <v>16</v>
      </c>
      <c r="H8876" s="0" t="n">
        <v>67</v>
      </c>
      <c r="I8876" s="0" t="s">
        <v>29638</v>
      </c>
      <c r="J8876" s="0" t="s">
        <v>29639</v>
      </c>
      <c r="K8876" s="0" t="s">
        <v>29640</v>
      </c>
      <c r="L8876" s="0" t="str">
        <f aca="false">HYPERLINK("https://www.ncbi.nlm.nih.gov/nuccore/CP000304.1?report=graph&amp;tracks=[key:gene_model_track,Options:GeneOnly]&amp;mk=2521022:2521041|offset_9|444444,2521060:2521079|offset_47|444444,2521080:2521099|offset_67|00cc00,2521102:2521121|offset_89|444444&amp;v=2520821:2521321&amp;c=444444", "offset 67")</f>
        <v>offset 67</v>
      </c>
    </row>
    <row r="8877" customFormat="false" ht="12.8" hidden="false" customHeight="false" outlineLevel="0" collapsed="false">
      <c r="A8877" s="0" t="s">
        <v>12</v>
      </c>
      <c r="B8877" s="0" t="n">
        <v>2521101</v>
      </c>
      <c r="C8877" s="0" t="n">
        <v>2521121</v>
      </c>
      <c r="D8877" s="0" t="s">
        <v>29631</v>
      </c>
      <c r="E8877" s="0" t="s">
        <v>89</v>
      </c>
      <c r="F8877" s="0" t="s">
        <v>15</v>
      </c>
      <c r="G8877" s="0" t="s">
        <v>16</v>
      </c>
      <c r="H8877" s="0" t="n">
        <v>89</v>
      </c>
      <c r="I8877" s="0" t="s">
        <v>29641</v>
      </c>
      <c r="J8877" s="0" t="s">
        <v>29642</v>
      </c>
      <c r="K8877" s="0" t="s">
        <v>29643</v>
      </c>
      <c r="L8877" s="0" t="str">
        <f aca="false">HYPERLINK("https://www.ncbi.nlm.nih.gov/nuccore/CP000304.1?report=graph&amp;tracks=[key:gene_model_track,Options:GeneOnly]&amp;mk=2521022:2521041|offset_9|444444,2521060:2521079|offset_47|444444,2521080:2521099|offset_67|444444,2521102:2521121|offset_89|00cc00&amp;v=2520821:2521321&amp;c=444444", "offset 89")</f>
        <v>offset 89</v>
      </c>
    </row>
    <row r="8878" customFormat="false" ht="12.8" hidden="false" customHeight="false" outlineLevel="0" collapsed="false">
      <c r="A8878" s="0" t="s">
        <v>12</v>
      </c>
      <c r="B8878" s="0" t="n">
        <v>2522280</v>
      </c>
      <c r="C8878" s="0" t="n">
        <v>2522300</v>
      </c>
      <c r="D8878" s="0" t="s">
        <v>29644</v>
      </c>
      <c r="E8878" s="0" t="s">
        <v>89</v>
      </c>
      <c r="F8878" s="0" t="s">
        <v>15</v>
      </c>
      <c r="G8878" s="0" t="s">
        <v>32</v>
      </c>
      <c r="H8878" s="0" t="n">
        <v>25</v>
      </c>
      <c r="I8878" s="0" t="s">
        <v>29645</v>
      </c>
      <c r="J8878" s="0" t="s">
        <v>29646</v>
      </c>
      <c r="K8878" s="0" t="s">
        <v>29647</v>
      </c>
      <c r="L8878" s="0" t="str">
        <f aca="false">HYPERLINK("https://www.ncbi.nlm.nih.gov/nuccore/CP000304.1?report=graph&amp;tracks=[key:gene_model_track,Options:GeneOnly]&amp;mk=2522281:2522300|offset_25|00cc00,2522311:2522330|offset_55|444444,2522341:2522360|offset_85|444444,2522374:2522393|offset_118|444444&amp;v=2522080:2522593&amp;c=444444", "offset 25")</f>
        <v>offset 25</v>
      </c>
    </row>
    <row r="8879" customFormat="false" ht="12.8" hidden="false" customHeight="false" outlineLevel="0" collapsed="false">
      <c r="A8879" s="0" t="s">
        <v>12</v>
      </c>
      <c r="B8879" s="0" t="n">
        <v>2522310</v>
      </c>
      <c r="C8879" s="0" t="n">
        <v>2522330</v>
      </c>
      <c r="D8879" s="0" t="s">
        <v>29644</v>
      </c>
      <c r="E8879" s="0" t="s">
        <v>89</v>
      </c>
      <c r="F8879" s="0" t="s">
        <v>15</v>
      </c>
      <c r="G8879" s="0" t="s">
        <v>16</v>
      </c>
      <c r="H8879" s="0" t="n">
        <v>55</v>
      </c>
      <c r="I8879" s="0" t="s">
        <v>29648</v>
      </c>
      <c r="J8879" s="0" t="s">
        <v>29649</v>
      </c>
      <c r="K8879" s="0" t="s">
        <v>29650</v>
      </c>
      <c r="L8879" s="0" t="str">
        <f aca="false">HYPERLINK("https://www.ncbi.nlm.nih.gov/nuccore/CP000304.1?report=graph&amp;tracks=[key:gene_model_track,Options:GeneOnly]&amp;mk=2522281:2522300|offset_25|444444,2522311:2522330|offset_55|00cc00,2522341:2522360|offset_85|444444,2522374:2522393|offset_118|444444&amp;v=2522080:2522593&amp;c=444444", "offset 55")</f>
        <v>offset 55</v>
      </c>
    </row>
    <row r="8880" customFormat="false" ht="12.8" hidden="false" customHeight="false" outlineLevel="0" collapsed="false">
      <c r="A8880" s="0" t="s">
        <v>12</v>
      </c>
      <c r="B8880" s="0" t="n">
        <v>2522340</v>
      </c>
      <c r="C8880" s="0" t="n">
        <v>2522360</v>
      </c>
      <c r="D8880" s="0" t="s">
        <v>29644</v>
      </c>
      <c r="E8880" s="0" t="s">
        <v>89</v>
      </c>
      <c r="F8880" s="0" t="s">
        <v>15</v>
      </c>
      <c r="G8880" s="0" t="s">
        <v>16</v>
      </c>
      <c r="H8880" s="0" t="n">
        <v>85</v>
      </c>
      <c r="I8880" s="0" t="s">
        <v>29651</v>
      </c>
      <c r="J8880" s="0" t="s">
        <v>29652</v>
      </c>
      <c r="K8880" s="0" t="s">
        <v>29653</v>
      </c>
      <c r="L8880" s="0" t="str">
        <f aca="false">HYPERLINK("https://www.ncbi.nlm.nih.gov/nuccore/CP000304.1?report=graph&amp;tracks=[key:gene_model_track,Options:GeneOnly]&amp;mk=2522281:2522300|offset_25|444444,2522311:2522330|offset_55|444444,2522341:2522360|offset_85|00cc00,2522374:2522393|offset_118|444444&amp;v=2522080:2522593&amp;c=444444", "offset 85")</f>
        <v>offset 85</v>
      </c>
    </row>
    <row r="8881" customFormat="false" ht="12.8" hidden="false" customHeight="false" outlineLevel="0" collapsed="false">
      <c r="A8881" s="0" t="s">
        <v>12</v>
      </c>
      <c r="B8881" s="0" t="n">
        <v>2522373</v>
      </c>
      <c r="C8881" s="0" t="n">
        <v>2522393</v>
      </c>
      <c r="D8881" s="0" t="s">
        <v>29644</v>
      </c>
      <c r="E8881" s="0" t="s">
        <v>89</v>
      </c>
      <c r="F8881" s="0" t="s">
        <v>15</v>
      </c>
      <c r="G8881" s="0" t="s">
        <v>16</v>
      </c>
      <c r="H8881" s="0" t="n">
        <v>118</v>
      </c>
      <c r="I8881" s="0" t="s">
        <v>29654</v>
      </c>
      <c r="J8881" s="0" t="s">
        <v>29655</v>
      </c>
      <c r="K8881" s="0" t="s">
        <v>29656</v>
      </c>
      <c r="L8881" s="0" t="str">
        <f aca="false">HYPERLINK("https://www.ncbi.nlm.nih.gov/nuccore/CP000304.1?report=graph&amp;tracks=[key:gene_model_track,Options:GeneOnly]&amp;mk=2522281:2522300|offset_25|444444,2522311:2522330|offset_55|444444,2522341:2522360|offset_85|444444,2522374:2522393|offset_118|00cc00&amp;v=2522080:2522593&amp;c=444444", "offset 118")</f>
        <v>offset 118</v>
      </c>
    </row>
    <row r="8882" customFormat="false" ht="12.8" hidden="false" customHeight="false" outlineLevel="0" collapsed="false">
      <c r="A8882" s="0" t="s">
        <v>12</v>
      </c>
      <c r="B8882" s="0" t="n">
        <v>2524084</v>
      </c>
      <c r="C8882" s="0" t="n">
        <v>2524104</v>
      </c>
      <c r="D8882" s="0" t="s">
        <v>29657</v>
      </c>
      <c r="E8882" s="0" t="s">
        <v>89</v>
      </c>
      <c r="F8882" s="0" t="s">
        <v>15</v>
      </c>
      <c r="G8882" s="0" t="s">
        <v>16</v>
      </c>
      <c r="H8882" s="0" t="n">
        <v>1</v>
      </c>
      <c r="I8882" s="0" t="s">
        <v>29658</v>
      </c>
      <c r="J8882" s="0" t="s">
        <v>29659</v>
      </c>
      <c r="K8882" s="0" t="s">
        <v>29660</v>
      </c>
      <c r="L8882" s="0" t="str">
        <f aca="false">HYPERLINK("https://www.ncbi.nlm.nih.gov/nuccore/CP000304.1?report=graph&amp;tracks=[key:gene_model_track,Options:GeneOnly]&amp;mk=2524085:2524104|offset_1|00cc00,2524135:2524154|offset_51|444444,2524156:2524175|offset_72|444444,2524178:2524197|offset_94|444444&amp;v=2523884:2524397&amp;c=444444", "offset 1")</f>
        <v>offset 1</v>
      </c>
    </row>
    <row r="8883" customFormat="false" ht="12.8" hidden="false" customHeight="false" outlineLevel="0" collapsed="false">
      <c r="A8883" s="0" t="s">
        <v>12</v>
      </c>
      <c r="B8883" s="0" t="n">
        <v>2524134</v>
      </c>
      <c r="C8883" s="0" t="n">
        <v>2524154</v>
      </c>
      <c r="D8883" s="0" t="s">
        <v>29657</v>
      </c>
      <c r="E8883" s="0" t="s">
        <v>89</v>
      </c>
      <c r="F8883" s="0" t="s">
        <v>15</v>
      </c>
      <c r="G8883" s="0" t="s">
        <v>36</v>
      </c>
      <c r="H8883" s="0" t="n">
        <v>51</v>
      </c>
      <c r="I8883" s="0" t="s">
        <v>29661</v>
      </c>
      <c r="J8883" s="0" t="s">
        <v>29662</v>
      </c>
      <c r="K8883" s="0" t="s">
        <v>29663</v>
      </c>
      <c r="L8883" s="0" t="str">
        <f aca="false">HYPERLINK("https://www.ncbi.nlm.nih.gov/nuccore/CP000304.1?report=graph&amp;tracks=[key:gene_model_track,Options:GeneOnly]&amp;mk=2524085:2524104|offset_1|444444,2524135:2524154|offset_51|00cc00,2524156:2524175|offset_72|444444,2524178:2524197|offset_94|444444&amp;v=2523884:2524397&amp;c=444444", "offset 51")</f>
        <v>offset 51</v>
      </c>
    </row>
    <row r="8884" customFormat="false" ht="12.8" hidden="false" customHeight="false" outlineLevel="0" collapsed="false">
      <c r="A8884" s="0" t="s">
        <v>12</v>
      </c>
      <c r="B8884" s="0" t="n">
        <v>2524155</v>
      </c>
      <c r="C8884" s="0" t="n">
        <v>2524175</v>
      </c>
      <c r="D8884" s="0" t="s">
        <v>29657</v>
      </c>
      <c r="E8884" s="0" t="s">
        <v>89</v>
      </c>
      <c r="F8884" s="0" t="s">
        <v>15</v>
      </c>
      <c r="G8884" s="0" t="s">
        <v>16</v>
      </c>
      <c r="H8884" s="0" t="n">
        <v>72</v>
      </c>
      <c r="I8884" s="0" t="s">
        <v>29664</v>
      </c>
      <c r="J8884" s="0" t="s">
        <v>29665</v>
      </c>
      <c r="K8884" s="0" t="s">
        <v>29666</v>
      </c>
      <c r="L8884" s="0" t="str">
        <f aca="false">HYPERLINK("https://www.ncbi.nlm.nih.gov/nuccore/CP000304.1?report=graph&amp;tracks=[key:gene_model_track,Options:GeneOnly]&amp;mk=2524085:2524104|offset_1|444444,2524135:2524154|offset_51|444444,2524156:2524175|offset_72|00cc00,2524178:2524197|offset_94|444444&amp;v=2523884:2524397&amp;c=444444", "offset 72")</f>
        <v>offset 72</v>
      </c>
    </row>
    <row r="8885" customFormat="false" ht="12.8" hidden="false" customHeight="false" outlineLevel="0" collapsed="false">
      <c r="A8885" s="0" t="s">
        <v>12</v>
      </c>
      <c r="B8885" s="0" t="n">
        <v>2524177</v>
      </c>
      <c r="C8885" s="0" t="n">
        <v>2524197</v>
      </c>
      <c r="D8885" s="0" t="s">
        <v>29657</v>
      </c>
      <c r="E8885" s="0" t="s">
        <v>89</v>
      </c>
      <c r="F8885" s="0" t="s">
        <v>15</v>
      </c>
      <c r="G8885" s="0" t="s">
        <v>36</v>
      </c>
      <c r="H8885" s="0" t="n">
        <v>94</v>
      </c>
      <c r="I8885" s="0" t="s">
        <v>29667</v>
      </c>
      <c r="J8885" s="0" t="s">
        <v>29668</v>
      </c>
      <c r="K8885" s="0" t="s">
        <v>29669</v>
      </c>
      <c r="L8885" s="0" t="str">
        <f aca="false">HYPERLINK("https://www.ncbi.nlm.nih.gov/nuccore/CP000304.1?report=graph&amp;tracks=[key:gene_model_track,Options:GeneOnly]&amp;mk=2524085:2524104|offset_1|444444,2524135:2524154|offset_51|444444,2524156:2524175|offset_72|444444,2524178:2524197|offset_94|00cc00&amp;v=2523884:2524397&amp;c=444444", "offset 94")</f>
        <v>offset 94</v>
      </c>
    </row>
    <row r="8886" customFormat="false" ht="12.8" hidden="false" customHeight="false" outlineLevel="0" collapsed="false">
      <c r="A8886" s="0" t="s">
        <v>12</v>
      </c>
      <c r="B8886" s="0" t="n">
        <v>2527108</v>
      </c>
      <c r="C8886" s="0" t="n">
        <v>2527128</v>
      </c>
      <c r="D8886" s="0" t="s">
        <v>29670</v>
      </c>
      <c r="E8886" s="0" t="s">
        <v>89</v>
      </c>
      <c r="F8886" s="0" t="s">
        <v>90</v>
      </c>
      <c r="G8886" s="0" t="s">
        <v>36</v>
      </c>
      <c r="H8886" s="0" t="n">
        <v>10</v>
      </c>
      <c r="I8886" s="0" t="s">
        <v>29671</v>
      </c>
      <c r="J8886" s="0" t="s">
        <v>29672</v>
      </c>
      <c r="K8886" s="0" t="s">
        <v>29673</v>
      </c>
      <c r="L8886" s="0" t="str">
        <f aca="false">HYPERLINK("https://www.ncbi.nlm.nih.gov/nuccore/CP000304.1?report=graph&amp;tracks=[key:gene_model_track,Options:GeneOnly]&amp;mk=2527109:2527128|offset_10|00cc00,2527083:2527102|offset_36|444444,2527046:2527065|offset_73|444444,2527018:2527037|offset_101|444444&amp;v=2526908:2527237&amp;c=444444", "offset 10")</f>
        <v>offset 10</v>
      </c>
    </row>
    <row r="8887" customFormat="false" ht="12.8" hidden="false" customHeight="false" outlineLevel="0" collapsed="false">
      <c r="A8887" s="0" t="s">
        <v>12</v>
      </c>
      <c r="B8887" s="0" t="n">
        <v>2527082</v>
      </c>
      <c r="C8887" s="0" t="n">
        <v>2527102</v>
      </c>
      <c r="D8887" s="0" t="s">
        <v>29670</v>
      </c>
      <c r="E8887" s="0" t="s">
        <v>89</v>
      </c>
      <c r="F8887" s="0" t="s">
        <v>90</v>
      </c>
      <c r="G8887" s="0" t="s">
        <v>16</v>
      </c>
      <c r="H8887" s="0" t="n">
        <v>36</v>
      </c>
      <c r="I8887" s="0" t="s">
        <v>29674</v>
      </c>
      <c r="J8887" s="0" t="s">
        <v>29675</v>
      </c>
      <c r="K8887" s="0" t="s">
        <v>29676</v>
      </c>
      <c r="L8887" s="0" t="str">
        <f aca="false">HYPERLINK("https://www.ncbi.nlm.nih.gov/nuccore/CP000304.1?report=graph&amp;tracks=[key:gene_model_track,Options:GeneOnly]&amp;mk=2527109:2527128|offset_10|444444,2527083:2527102|offset_36|00cc00,2527046:2527065|offset_73|444444,2527018:2527037|offset_101|444444&amp;v=2526908:2527237&amp;c=444444", "offset 36")</f>
        <v>offset 36</v>
      </c>
    </row>
    <row r="8888" customFormat="false" ht="12.8" hidden="false" customHeight="false" outlineLevel="0" collapsed="false">
      <c r="A8888" s="0" t="s">
        <v>12</v>
      </c>
      <c r="B8888" s="0" t="n">
        <v>2527045</v>
      </c>
      <c r="C8888" s="0" t="n">
        <v>2527065</v>
      </c>
      <c r="D8888" s="0" t="s">
        <v>29670</v>
      </c>
      <c r="E8888" s="0" t="s">
        <v>89</v>
      </c>
      <c r="F8888" s="0" t="s">
        <v>90</v>
      </c>
      <c r="G8888" s="0" t="s">
        <v>32</v>
      </c>
      <c r="H8888" s="0" t="n">
        <v>73</v>
      </c>
      <c r="I8888" s="0" t="s">
        <v>29677</v>
      </c>
      <c r="J8888" s="0" t="s">
        <v>29678</v>
      </c>
      <c r="K8888" s="0" t="s">
        <v>29679</v>
      </c>
      <c r="L8888" s="0" t="str">
        <f aca="false">HYPERLINK("https://www.ncbi.nlm.nih.gov/nuccore/CP000304.1?report=graph&amp;tracks=[key:gene_model_track,Options:GeneOnly]&amp;mk=2527109:2527128|offset_10|444444,2527083:2527102|offset_36|444444,2527046:2527065|offset_73|00cc00,2527018:2527037|offset_101|444444&amp;v=2526908:2527237&amp;c=444444", "offset 73")</f>
        <v>offset 73</v>
      </c>
    </row>
    <row r="8889" customFormat="false" ht="12.8" hidden="false" customHeight="false" outlineLevel="0" collapsed="false">
      <c r="A8889" s="0" t="s">
        <v>12</v>
      </c>
      <c r="B8889" s="0" t="n">
        <v>2527017</v>
      </c>
      <c r="C8889" s="0" t="n">
        <v>2527037</v>
      </c>
      <c r="D8889" s="0" t="s">
        <v>29670</v>
      </c>
      <c r="E8889" s="0" t="s">
        <v>89</v>
      </c>
      <c r="F8889" s="0" t="s">
        <v>90</v>
      </c>
      <c r="G8889" s="0" t="s">
        <v>26</v>
      </c>
      <c r="H8889" s="0" t="n">
        <v>101</v>
      </c>
      <c r="I8889" s="0" t="s">
        <v>29680</v>
      </c>
      <c r="J8889" s="0" t="s">
        <v>29681</v>
      </c>
      <c r="K8889" s="0" t="s">
        <v>29682</v>
      </c>
      <c r="L8889" s="0" t="str">
        <f aca="false">HYPERLINK("https://www.ncbi.nlm.nih.gov/nuccore/CP000304.1?report=graph&amp;tracks=[key:gene_model_track,Options:GeneOnly]&amp;mk=2527109:2527128|offset_10|444444,2527083:2527102|offset_36|444444,2527046:2527065|offset_73|444444,2527018:2527037|offset_101|00cc00&amp;v=2526908:2527237&amp;c=444444", "offset 101")</f>
        <v>offset 101</v>
      </c>
    </row>
    <row r="8890" customFormat="false" ht="12.8" hidden="false" customHeight="false" outlineLevel="0" collapsed="false">
      <c r="A8890" s="0" t="s">
        <v>12</v>
      </c>
      <c r="B8890" s="0" t="n">
        <v>2527791</v>
      </c>
      <c r="C8890" s="0" t="n">
        <v>2527811</v>
      </c>
      <c r="D8890" s="0" t="s">
        <v>29683</v>
      </c>
      <c r="E8890" s="0" t="s">
        <v>89</v>
      </c>
      <c r="F8890" s="0" t="s">
        <v>15</v>
      </c>
      <c r="G8890" s="0" t="s">
        <v>36</v>
      </c>
      <c r="H8890" s="0" t="n">
        <v>172</v>
      </c>
      <c r="I8890" s="0" t="s">
        <v>29684</v>
      </c>
      <c r="J8890" s="0" t="s">
        <v>29685</v>
      </c>
      <c r="K8890" s="0" t="s">
        <v>29686</v>
      </c>
      <c r="L8890" s="0" t="str">
        <f aca="false">HYPERLINK("https://www.ncbi.nlm.nih.gov/nuccore/CP000304.1?report=graph&amp;tracks=[key:gene_model_track,Options:GeneOnly]&amp;mk=2527792:2527811|offset_172|00cc00&amp;v=2527591:2528011&amp;c=444444", "offset 172")</f>
        <v>offset 172</v>
      </c>
    </row>
    <row r="8891" customFormat="false" ht="12.8" hidden="false" customHeight="false" outlineLevel="0" collapsed="false">
      <c r="A8891" s="0" t="s">
        <v>12</v>
      </c>
      <c r="B8891" s="0" t="n">
        <v>2529787</v>
      </c>
      <c r="C8891" s="0" t="n">
        <v>2529807</v>
      </c>
      <c r="D8891" s="0" t="s">
        <v>29687</v>
      </c>
      <c r="E8891" s="0" t="s">
        <v>89</v>
      </c>
      <c r="F8891" s="0" t="s">
        <v>90</v>
      </c>
      <c r="G8891" s="0" t="s">
        <v>26</v>
      </c>
      <c r="H8891" s="0" t="n">
        <v>47</v>
      </c>
      <c r="I8891" s="0" t="s">
        <v>29688</v>
      </c>
      <c r="J8891" s="0" t="s">
        <v>29689</v>
      </c>
      <c r="K8891" s="0" t="s">
        <v>29690</v>
      </c>
      <c r="L8891" s="0" t="str">
        <f aca="false">HYPERLINK("https://www.ncbi.nlm.nih.gov/nuccore/CP000304.1?report=graph&amp;tracks=[key:gene_model_track,Options:GeneOnly]&amp;mk=2529788:2529807|offset_47|00cc00,2529753:2529772|offset_82|444444,2529704:2529723|offset_131|444444,2529683:2529702|offset_152|444444&amp;v=2529587:2529902&amp;c=444444", "offset 47")</f>
        <v>offset 47</v>
      </c>
    </row>
    <row r="8892" customFormat="false" ht="12.8" hidden="false" customHeight="false" outlineLevel="0" collapsed="false">
      <c r="A8892" s="0" t="s">
        <v>12</v>
      </c>
      <c r="B8892" s="0" t="n">
        <v>2529752</v>
      </c>
      <c r="C8892" s="0" t="n">
        <v>2529772</v>
      </c>
      <c r="D8892" s="0" t="s">
        <v>29687</v>
      </c>
      <c r="E8892" s="0" t="s">
        <v>89</v>
      </c>
      <c r="F8892" s="0" t="s">
        <v>90</v>
      </c>
      <c r="G8892" s="0" t="s">
        <v>16</v>
      </c>
      <c r="H8892" s="0" t="n">
        <v>82</v>
      </c>
      <c r="I8892" s="0" t="s">
        <v>29691</v>
      </c>
      <c r="J8892" s="0" t="s">
        <v>29692</v>
      </c>
      <c r="K8892" s="0" t="s">
        <v>29693</v>
      </c>
      <c r="L8892" s="0" t="str">
        <f aca="false">HYPERLINK("https://www.ncbi.nlm.nih.gov/nuccore/CP000304.1?report=graph&amp;tracks=[key:gene_model_track,Options:GeneOnly]&amp;mk=2529788:2529807|offset_47|444444,2529753:2529772|offset_82|00cc00,2529704:2529723|offset_131|444444,2529683:2529702|offset_152|444444&amp;v=2529587:2529902&amp;c=444444", "offset 82")</f>
        <v>offset 82</v>
      </c>
    </row>
    <row r="8893" customFormat="false" ht="12.8" hidden="false" customHeight="false" outlineLevel="0" collapsed="false">
      <c r="A8893" s="0" t="s">
        <v>12</v>
      </c>
      <c r="B8893" s="0" t="n">
        <v>2529703</v>
      </c>
      <c r="C8893" s="0" t="n">
        <v>2529723</v>
      </c>
      <c r="D8893" s="0" t="s">
        <v>29687</v>
      </c>
      <c r="E8893" s="0" t="s">
        <v>89</v>
      </c>
      <c r="F8893" s="0" t="s">
        <v>90</v>
      </c>
      <c r="G8893" s="0" t="s">
        <v>26</v>
      </c>
      <c r="H8893" s="0" t="n">
        <v>131</v>
      </c>
      <c r="I8893" s="0" t="s">
        <v>29694</v>
      </c>
      <c r="J8893" s="0" t="s">
        <v>29695</v>
      </c>
      <c r="K8893" s="0" t="s">
        <v>29696</v>
      </c>
      <c r="L8893" s="0" t="str">
        <f aca="false">HYPERLINK("https://www.ncbi.nlm.nih.gov/nuccore/CP000304.1?report=graph&amp;tracks=[key:gene_model_track,Options:GeneOnly]&amp;mk=2529788:2529807|offset_47|444444,2529753:2529772|offset_82|444444,2529704:2529723|offset_131|00cc00,2529683:2529702|offset_152|444444&amp;v=2529587:2529902&amp;c=444444", "offset 131")</f>
        <v>offset 131</v>
      </c>
    </row>
    <row r="8894" customFormat="false" ht="12.8" hidden="false" customHeight="false" outlineLevel="0" collapsed="false">
      <c r="A8894" s="0" t="s">
        <v>12</v>
      </c>
      <c r="B8894" s="0" t="n">
        <v>2529682</v>
      </c>
      <c r="C8894" s="0" t="n">
        <v>2529702</v>
      </c>
      <c r="D8894" s="0" t="s">
        <v>29687</v>
      </c>
      <c r="E8894" s="0" t="s">
        <v>89</v>
      </c>
      <c r="F8894" s="0" t="s">
        <v>90</v>
      </c>
      <c r="G8894" s="0" t="s">
        <v>26</v>
      </c>
      <c r="H8894" s="0" t="n">
        <v>152</v>
      </c>
      <c r="I8894" s="0" t="s">
        <v>29697</v>
      </c>
      <c r="J8894" s="0" t="s">
        <v>29698</v>
      </c>
      <c r="K8894" s="0" t="s">
        <v>29699</v>
      </c>
      <c r="L8894" s="0" t="str">
        <f aca="false">HYPERLINK("https://www.ncbi.nlm.nih.gov/nuccore/CP000304.1?report=graph&amp;tracks=[key:gene_model_track,Options:GeneOnly]&amp;mk=2529788:2529807|offset_47|444444,2529753:2529772|offset_82|444444,2529704:2529723|offset_131|444444,2529683:2529702|offset_152|00cc00&amp;v=2529587:2529902&amp;c=444444", "offset 152")</f>
        <v>offset 152</v>
      </c>
    </row>
    <row r="8895" customFormat="false" ht="12.8" hidden="false" customHeight="false" outlineLevel="0" collapsed="false">
      <c r="A8895" s="0" t="s">
        <v>12</v>
      </c>
      <c r="B8895" s="0" t="n">
        <v>2530334</v>
      </c>
      <c r="C8895" s="0" t="n">
        <v>2530354</v>
      </c>
      <c r="D8895" s="0" t="s">
        <v>29700</v>
      </c>
      <c r="E8895" s="0" t="s">
        <v>89</v>
      </c>
      <c r="F8895" s="0" t="s">
        <v>90</v>
      </c>
      <c r="G8895" s="0" t="s">
        <v>16</v>
      </c>
      <c r="H8895" s="0" t="n">
        <v>107</v>
      </c>
      <c r="I8895" s="0" t="s">
        <v>29701</v>
      </c>
      <c r="J8895" s="0" t="s">
        <v>29702</v>
      </c>
      <c r="K8895" s="0" t="s">
        <v>29703</v>
      </c>
      <c r="L8895" s="0" t="str">
        <f aca="false">HYPERLINK("https://www.ncbi.nlm.nih.gov/nuccore/CP000304.1?report=graph&amp;tracks=[key:gene_model_track,Options:GeneOnly]&amp;mk=2530335:2530354|offset_107|00cc00,2530287:2530306|offset_155|444444,2530253:2530272|offset_189|444444,2530204:2530223|offset_238|444444&amp;v=2530134:2530423&amp;c=444444", "offset 107")</f>
        <v>offset 107</v>
      </c>
    </row>
    <row r="8896" customFormat="false" ht="12.8" hidden="false" customHeight="false" outlineLevel="0" collapsed="false">
      <c r="A8896" s="0" t="s">
        <v>12</v>
      </c>
      <c r="B8896" s="0" t="n">
        <v>2530286</v>
      </c>
      <c r="C8896" s="0" t="n">
        <v>2530306</v>
      </c>
      <c r="D8896" s="0" t="s">
        <v>29700</v>
      </c>
      <c r="E8896" s="0" t="s">
        <v>89</v>
      </c>
      <c r="F8896" s="0" t="s">
        <v>90</v>
      </c>
      <c r="G8896" s="0" t="s">
        <v>32</v>
      </c>
      <c r="H8896" s="0" t="n">
        <v>155</v>
      </c>
      <c r="I8896" s="0" t="s">
        <v>29704</v>
      </c>
      <c r="J8896" s="0" t="s">
        <v>29705</v>
      </c>
      <c r="K8896" s="0" t="s">
        <v>29706</v>
      </c>
      <c r="L8896" s="0" t="str">
        <f aca="false">HYPERLINK("https://www.ncbi.nlm.nih.gov/nuccore/CP000304.1?report=graph&amp;tracks=[key:gene_model_track,Options:GeneOnly]&amp;mk=2530335:2530354|offset_107|444444,2530287:2530306|offset_155|00cc00,2530253:2530272|offset_189|444444,2530204:2530223|offset_238|444444&amp;v=2530134:2530423&amp;c=444444", "offset 155")</f>
        <v>offset 155</v>
      </c>
    </row>
    <row r="8897" customFormat="false" ht="12.8" hidden="false" customHeight="false" outlineLevel="0" collapsed="false">
      <c r="A8897" s="0" t="s">
        <v>12</v>
      </c>
      <c r="B8897" s="0" t="n">
        <v>2530252</v>
      </c>
      <c r="C8897" s="0" t="n">
        <v>2530272</v>
      </c>
      <c r="D8897" s="0" t="s">
        <v>29700</v>
      </c>
      <c r="E8897" s="0" t="s">
        <v>89</v>
      </c>
      <c r="F8897" s="0" t="s">
        <v>90</v>
      </c>
      <c r="G8897" s="0" t="s">
        <v>32</v>
      </c>
      <c r="H8897" s="0" t="n">
        <v>189</v>
      </c>
      <c r="I8897" s="0" t="s">
        <v>29707</v>
      </c>
      <c r="J8897" s="0" t="s">
        <v>29708</v>
      </c>
      <c r="K8897" s="0" t="s">
        <v>29709</v>
      </c>
      <c r="L8897" s="0" t="str">
        <f aca="false">HYPERLINK("https://www.ncbi.nlm.nih.gov/nuccore/CP000304.1?report=graph&amp;tracks=[key:gene_model_track,Options:GeneOnly]&amp;mk=2530335:2530354|offset_107|444444,2530287:2530306|offset_155|444444,2530253:2530272|offset_189|00cc00,2530204:2530223|offset_238|444444&amp;v=2530134:2530423&amp;c=444444", "offset 189")</f>
        <v>offset 189</v>
      </c>
    </row>
    <row r="8898" customFormat="false" ht="12.8" hidden="false" customHeight="false" outlineLevel="0" collapsed="false">
      <c r="A8898" s="0" t="s">
        <v>12</v>
      </c>
      <c r="B8898" s="0" t="n">
        <v>2530203</v>
      </c>
      <c r="C8898" s="0" t="n">
        <v>2530223</v>
      </c>
      <c r="D8898" s="0" t="s">
        <v>29700</v>
      </c>
      <c r="E8898" s="0" t="s">
        <v>89</v>
      </c>
      <c r="F8898" s="0" t="s">
        <v>90</v>
      </c>
      <c r="G8898" s="0" t="s">
        <v>32</v>
      </c>
      <c r="H8898" s="0" t="n">
        <v>238</v>
      </c>
      <c r="I8898" s="0" t="s">
        <v>29710</v>
      </c>
      <c r="J8898" s="0" t="s">
        <v>29711</v>
      </c>
      <c r="K8898" s="0" t="s">
        <v>29712</v>
      </c>
      <c r="L8898" s="0" t="str">
        <f aca="false">HYPERLINK("https://www.ncbi.nlm.nih.gov/nuccore/CP000304.1?report=graph&amp;tracks=[key:gene_model_track,Options:GeneOnly]&amp;mk=2530335:2530354|offset_107|444444,2530287:2530306|offset_155|444444,2530253:2530272|offset_189|444444,2530204:2530223|offset_238|00cc00&amp;v=2530134:2530423&amp;c=444444", "offset 238")</f>
        <v>offset 238</v>
      </c>
    </row>
    <row r="8899" customFormat="false" ht="12.8" hidden="false" customHeight="false" outlineLevel="0" collapsed="false">
      <c r="A8899" s="0" t="s">
        <v>12</v>
      </c>
      <c r="B8899" s="0" t="n">
        <v>2536380</v>
      </c>
      <c r="C8899" s="0" t="n">
        <v>2536400</v>
      </c>
      <c r="D8899" s="0" t="s">
        <v>29713</v>
      </c>
      <c r="E8899" s="0" t="s">
        <v>89</v>
      </c>
      <c r="F8899" s="0" t="s">
        <v>15</v>
      </c>
      <c r="G8899" s="0" t="s">
        <v>36</v>
      </c>
      <c r="H8899" s="0" t="n">
        <v>6</v>
      </c>
      <c r="I8899" s="0" t="s">
        <v>29714</v>
      </c>
      <c r="J8899" s="0" t="s">
        <v>29715</v>
      </c>
      <c r="K8899" s="0" t="s">
        <v>29716</v>
      </c>
      <c r="L8899" s="0" t="str">
        <f aca="false">HYPERLINK("https://www.ncbi.nlm.nih.gov/nuccore/CP000304.1?report=graph&amp;tracks=[key:gene_model_track,Options:GeneOnly]&amp;mk=2536381:2536400|offset_6|00cc00,2536433:2536452|offset_58|444444,2536466:2536485|offset_91|444444,2536487:2536506|offset_112|444444&amp;v=2536180:2536706&amp;c=444444", "offset 6")</f>
        <v>offset 6</v>
      </c>
    </row>
    <row r="8900" customFormat="false" ht="12.8" hidden="false" customHeight="false" outlineLevel="0" collapsed="false">
      <c r="A8900" s="0" t="s">
        <v>12</v>
      </c>
      <c r="B8900" s="0" t="n">
        <v>2536432</v>
      </c>
      <c r="C8900" s="0" t="n">
        <v>2536452</v>
      </c>
      <c r="D8900" s="0" t="s">
        <v>29713</v>
      </c>
      <c r="E8900" s="0" t="s">
        <v>89</v>
      </c>
      <c r="F8900" s="0" t="s">
        <v>15</v>
      </c>
      <c r="G8900" s="0" t="s">
        <v>32</v>
      </c>
      <c r="H8900" s="0" t="n">
        <v>58</v>
      </c>
      <c r="I8900" s="0" t="s">
        <v>29717</v>
      </c>
      <c r="J8900" s="0" t="s">
        <v>29718</v>
      </c>
      <c r="K8900" s="0" t="s">
        <v>29719</v>
      </c>
      <c r="L8900" s="0" t="str">
        <f aca="false">HYPERLINK("https://www.ncbi.nlm.nih.gov/nuccore/CP000304.1?report=graph&amp;tracks=[key:gene_model_track,Options:GeneOnly]&amp;mk=2536381:2536400|offset_6|444444,2536433:2536452|offset_58|00cc00,2536466:2536485|offset_91|444444,2536487:2536506|offset_112|444444&amp;v=2536180:2536706&amp;c=444444", "offset 58")</f>
        <v>offset 58</v>
      </c>
    </row>
    <row r="8901" customFormat="false" ht="12.8" hidden="false" customHeight="false" outlineLevel="0" collapsed="false">
      <c r="A8901" s="0" t="s">
        <v>12</v>
      </c>
      <c r="B8901" s="0" t="n">
        <v>2536465</v>
      </c>
      <c r="C8901" s="0" t="n">
        <v>2536485</v>
      </c>
      <c r="D8901" s="0" t="s">
        <v>29713</v>
      </c>
      <c r="E8901" s="0" t="s">
        <v>89</v>
      </c>
      <c r="F8901" s="0" t="s">
        <v>15</v>
      </c>
      <c r="G8901" s="0" t="s">
        <v>26</v>
      </c>
      <c r="H8901" s="0" t="n">
        <v>91</v>
      </c>
      <c r="I8901" s="0" t="s">
        <v>29720</v>
      </c>
      <c r="J8901" s="0" t="s">
        <v>29721</v>
      </c>
      <c r="K8901" s="0" t="s">
        <v>29722</v>
      </c>
      <c r="L8901" s="0" t="str">
        <f aca="false">HYPERLINK("https://www.ncbi.nlm.nih.gov/nuccore/CP000304.1?report=graph&amp;tracks=[key:gene_model_track,Options:GeneOnly]&amp;mk=2536381:2536400|offset_6|444444,2536433:2536452|offset_58|444444,2536466:2536485|offset_91|00cc00,2536487:2536506|offset_112|444444&amp;v=2536180:2536706&amp;c=444444", "offset 91")</f>
        <v>offset 91</v>
      </c>
    </row>
    <row r="8902" customFormat="false" ht="12.8" hidden="false" customHeight="false" outlineLevel="0" collapsed="false">
      <c r="A8902" s="0" t="s">
        <v>12</v>
      </c>
      <c r="B8902" s="0" t="n">
        <v>2536486</v>
      </c>
      <c r="C8902" s="0" t="n">
        <v>2536506</v>
      </c>
      <c r="D8902" s="0" t="s">
        <v>29713</v>
      </c>
      <c r="E8902" s="0" t="s">
        <v>89</v>
      </c>
      <c r="F8902" s="0" t="s">
        <v>15</v>
      </c>
      <c r="G8902" s="0" t="s">
        <v>32</v>
      </c>
      <c r="H8902" s="0" t="n">
        <v>112</v>
      </c>
      <c r="I8902" s="0" t="s">
        <v>29723</v>
      </c>
      <c r="J8902" s="0" t="s">
        <v>29724</v>
      </c>
      <c r="K8902" s="0" t="s">
        <v>29725</v>
      </c>
      <c r="L8902" s="0" t="str">
        <f aca="false">HYPERLINK("https://www.ncbi.nlm.nih.gov/nuccore/CP000304.1?report=graph&amp;tracks=[key:gene_model_track,Options:GeneOnly]&amp;mk=2536381:2536400|offset_6|444444,2536433:2536452|offset_58|444444,2536466:2536485|offset_91|444444,2536487:2536506|offset_112|00cc00&amp;v=2536180:2536706&amp;c=444444", "offset 112")</f>
        <v>offset 112</v>
      </c>
    </row>
    <row r="8903" customFormat="false" ht="12.8" hidden="false" customHeight="false" outlineLevel="0" collapsed="false">
      <c r="A8903" s="0" t="s">
        <v>12</v>
      </c>
      <c r="B8903" s="0" t="n">
        <v>2537991</v>
      </c>
      <c r="C8903" s="0" t="n">
        <v>2538011</v>
      </c>
      <c r="D8903" s="0" t="s">
        <v>29726</v>
      </c>
      <c r="E8903" s="0" t="s">
        <v>29727</v>
      </c>
      <c r="F8903" s="0" t="s">
        <v>15</v>
      </c>
      <c r="G8903" s="0" t="s">
        <v>32</v>
      </c>
      <c r="H8903" s="0" t="n">
        <v>1</v>
      </c>
      <c r="I8903" s="0" t="s">
        <v>29728</v>
      </c>
      <c r="J8903" s="0" t="s">
        <v>29729</v>
      </c>
      <c r="K8903" s="0" t="s">
        <v>29730</v>
      </c>
      <c r="L8903" s="0" t="str">
        <f aca="false">HYPERLINK("https://www.ncbi.nlm.nih.gov/nuccore/CP000304.1?report=graph&amp;tracks=[key:gene_model_track,Options:GeneOnly]&amp;mk=2537992:2538011|offset_1|00cc00,2538022:2538041|offset_31|444444,2538075:2538094|offset_84|444444,2538133:2538152|offset_142|444444&amp;v=2537791:2538352&amp;c=444444", "offset 1")</f>
        <v>offset 1</v>
      </c>
    </row>
    <row r="8904" customFormat="false" ht="12.8" hidden="false" customHeight="false" outlineLevel="0" collapsed="false">
      <c r="A8904" s="0" t="s">
        <v>12</v>
      </c>
      <c r="B8904" s="0" t="n">
        <v>2538021</v>
      </c>
      <c r="C8904" s="0" t="n">
        <v>2538041</v>
      </c>
      <c r="D8904" s="0" t="s">
        <v>29726</v>
      </c>
      <c r="E8904" s="0" t="s">
        <v>29727</v>
      </c>
      <c r="F8904" s="0" t="s">
        <v>15</v>
      </c>
      <c r="G8904" s="0" t="s">
        <v>32</v>
      </c>
      <c r="H8904" s="0" t="n">
        <v>31</v>
      </c>
      <c r="I8904" s="0" t="s">
        <v>29731</v>
      </c>
      <c r="J8904" s="0" t="s">
        <v>29732</v>
      </c>
      <c r="K8904" s="0" t="s">
        <v>29733</v>
      </c>
      <c r="L8904" s="0" t="str">
        <f aca="false">HYPERLINK("https://www.ncbi.nlm.nih.gov/nuccore/CP000304.1?report=graph&amp;tracks=[key:gene_model_track,Options:GeneOnly]&amp;mk=2537992:2538011|offset_1|444444,2538022:2538041|offset_31|00cc00,2538075:2538094|offset_84|444444,2538133:2538152|offset_142|444444&amp;v=2537791:2538352&amp;c=444444", "offset 31")</f>
        <v>offset 31</v>
      </c>
    </row>
    <row r="8905" customFormat="false" ht="12.8" hidden="false" customHeight="false" outlineLevel="0" collapsed="false">
      <c r="A8905" s="0" t="s">
        <v>12</v>
      </c>
      <c r="B8905" s="0" t="n">
        <v>2538074</v>
      </c>
      <c r="C8905" s="0" t="n">
        <v>2538094</v>
      </c>
      <c r="D8905" s="0" t="s">
        <v>29726</v>
      </c>
      <c r="E8905" s="0" t="s">
        <v>29727</v>
      </c>
      <c r="F8905" s="0" t="s">
        <v>15</v>
      </c>
      <c r="G8905" s="0" t="s">
        <v>32</v>
      </c>
      <c r="H8905" s="0" t="n">
        <v>84</v>
      </c>
      <c r="I8905" s="0" t="s">
        <v>29734</v>
      </c>
      <c r="J8905" s="0" t="s">
        <v>29735</v>
      </c>
      <c r="K8905" s="0" t="s">
        <v>29736</v>
      </c>
      <c r="L8905" s="0" t="str">
        <f aca="false">HYPERLINK("https://www.ncbi.nlm.nih.gov/nuccore/CP000304.1?report=graph&amp;tracks=[key:gene_model_track,Options:GeneOnly]&amp;mk=2537992:2538011|offset_1|444444,2538022:2538041|offset_31|444444,2538075:2538094|offset_84|00cc00,2538133:2538152|offset_142|444444&amp;v=2537791:2538352&amp;c=444444", "offset 84")</f>
        <v>offset 84</v>
      </c>
    </row>
    <row r="8906" customFormat="false" ht="12.8" hidden="false" customHeight="false" outlineLevel="0" collapsed="false">
      <c r="A8906" s="0" t="s">
        <v>12</v>
      </c>
      <c r="B8906" s="0" t="n">
        <v>2538132</v>
      </c>
      <c r="C8906" s="0" t="n">
        <v>2538152</v>
      </c>
      <c r="D8906" s="0" t="s">
        <v>29726</v>
      </c>
      <c r="E8906" s="0" t="s">
        <v>29727</v>
      </c>
      <c r="F8906" s="0" t="s">
        <v>15</v>
      </c>
      <c r="G8906" s="0" t="s">
        <v>16</v>
      </c>
      <c r="H8906" s="0" t="n">
        <v>142</v>
      </c>
      <c r="I8906" s="0" t="s">
        <v>29737</v>
      </c>
      <c r="J8906" s="0" t="s">
        <v>29738</v>
      </c>
      <c r="K8906" s="0" t="s">
        <v>29739</v>
      </c>
      <c r="L8906" s="0" t="str">
        <f aca="false">HYPERLINK("https://www.ncbi.nlm.nih.gov/nuccore/CP000304.1?report=graph&amp;tracks=[key:gene_model_track,Options:GeneOnly]&amp;mk=2537992:2538011|offset_1|444444,2538022:2538041|offset_31|444444,2538075:2538094|offset_84|444444,2538133:2538152|offset_142|00cc00&amp;v=2537791:2538352&amp;c=444444", "offset 142")</f>
        <v>offset 142</v>
      </c>
    </row>
    <row r="8907" customFormat="false" ht="12.8" hidden="false" customHeight="false" outlineLevel="0" collapsed="false">
      <c r="A8907" s="0" t="s">
        <v>12</v>
      </c>
      <c r="B8907" s="0" t="n">
        <v>2538696</v>
      </c>
      <c r="C8907" s="0" t="n">
        <v>2538716</v>
      </c>
      <c r="D8907" s="0" t="s">
        <v>29740</v>
      </c>
      <c r="E8907" s="0" t="s">
        <v>29741</v>
      </c>
      <c r="F8907" s="0" t="s">
        <v>15</v>
      </c>
      <c r="G8907" s="0" t="s">
        <v>26</v>
      </c>
      <c r="H8907" s="0" t="n">
        <v>8</v>
      </c>
      <c r="I8907" s="0" t="s">
        <v>29742</v>
      </c>
      <c r="J8907" s="0" t="s">
        <v>29743</v>
      </c>
      <c r="K8907" s="0" t="s">
        <v>29744</v>
      </c>
      <c r="L8907" s="0" t="str">
        <f aca="false">HYPERLINK("https://www.ncbi.nlm.nih.gov/nuccore/CP000304.1?report=graph&amp;tracks=[key:gene_model_track,Options:GeneOnly]&amp;mk=2538697:2538716|offset_8|00cc00,2538729:2538748|offset_40|444444,2538759:2538778|offset_70|444444,2538790:2538809|offset_101|444444&amp;v=2538496:2539009&amp;c=444444", "offset 8")</f>
        <v>offset 8</v>
      </c>
    </row>
    <row r="8908" customFormat="false" ht="12.8" hidden="false" customHeight="false" outlineLevel="0" collapsed="false">
      <c r="A8908" s="0" t="s">
        <v>12</v>
      </c>
      <c r="B8908" s="0" t="n">
        <v>2538728</v>
      </c>
      <c r="C8908" s="0" t="n">
        <v>2538748</v>
      </c>
      <c r="D8908" s="0" t="s">
        <v>29740</v>
      </c>
      <c r="E8908" s="0" t="s">
        <v>29741</v>
      </c>
      <c r="F8908" s="0" t="s">
        <v>15</v>
      </c>
      <c r="G8908" s="0" t="s">
        <v>36</v>
      </c>
      <c r="H8908" s="0" t="n">
        <v>40</v>
      </c>
      <c r="I8908" s="0" t="s">
        <v>29745</v>
      </c>
      <c r="J8908" s="0" t="s">
        <v>29746</v>
      </c>
      <c r="K8908" s="0" t="s">
        <v>29747</v>
      </c>
      <c r="L8908" s="0" t="str">
        <f aca="false">HYPERLINK("https://www.ncbi.nlm.nih.gov/nuccore/CP000304.1?report=graph&amp;tracks=[key:gene_model_track,Options:GeneOnly]&amp;mk=2538697:2538716|offset_8|444444,2538729:2538748|offset_40|00cc00,2538759:2538778|offset_70|444444,2538790:2538809|offset_101|444444&amp;v=2538496:2539009&amp;c=444444", "offset 40")</f>
        <v>offset 40</v>
      </c>
    </row>
    <row r="8909" customFormat="false" ht="12.8" hidden="false" customHeight="false" outlineLevel="0" collapsed="false">
      <c r="A8909" s="0" t="s">
        <v>12</v>
      </c>
      <c r="B8909" s="0" t="n">
        <v>2538758</v>
      </c>
      <c r="C8909" s="0" t="n">
        <v>2538778</v>
      </c>
      <c r="D8909" s="0" t="s">
        <v>29740</v>
      </c>
      <c r="E8909" s="0" t="s">
        <v>29741</v>
      </c>
      <c r="F8909" s="0" t="s">
        <v>15</v>
      </c>
      <c r="G8909" s="0" t="s">
        <v>16</v>
      </c>
      <c r="H8909" s="0" t="n">
        <v>70</v>
      </c>
      <c r="I8909" s="0" t="s">
        <v>29748</v>
      </c>
      <c r="J8909" s="0" t="s">
        <v>29749</v>
      </c>
      <c r="K8909" s="0" t="s">
        <v>29750</v>
      </c>
      <c r="L8909" s="0" t="str">
        <f aca="false">HYPERLINK("https://www.ncbi.nlm.nih.gov/nuccore/CP000304.1?report=graph&amp;tracks=[key:gene_model_track,Options:GeneOnly]&amp;mk=2538697:2538716|offset_8|444444,2538729:2538748|offset_40|444444,2538759:2538778|offset_70|00cc00,2538790:2538809|offset_101|444444&amp;v=2538496:2539009&amp;c=444444", "offset 70")</f>
        <v>offset 70</v>
      </c>
    </row>
    <row r="8910" customFormat="false" ht="12.8" hidden="false" customHeight="false" outlineLevel="0" collapsed="false">
      <c r="A8910" s="0" t="s">
        <v>12</v>
      </c>
      <c r="B8910" s="0" t="n">
        <v>2538789</v>
      </c>
      <c r="C8910" s="0" t="n">
        <v>2538809</v>
      </c>
      <c r="D8910" s="0" t="s">
        <v>29740</v>
      </c>
      <c r="E8910" s="0" t="s">
        <v>29741</v>
      </c>
      <c r="F8910" s="0" t="s">
        <v>15</v>
      </c>
      <c r="G8910" s="0" t="s">
        <v>26</v>
      </c>
      <c r="H8910" s="0" t="n">
        <v>101</v>
      </c>
      <c r="I8910" s="0" t="s">
        <v>29751</v>
      </c>
      <c r="J8910" s="0" t="s">
        <v>29752</v>
      </c>
      <c r="K8910" s="0" t="s">
        <v>29753</v>
      </c>
      <c r="L8910" s="0" t="str">
        <f aca="false">HYPERLINK("https://www.ncbi.nlm.nih.gov/nuccore/CP000304.1?report=graph&amp;tracks=[key:gene_model_track,Options:GeneOnly]&amp;mk=2538697:2538716|offset_8|444444,2538729:2538748|offset_40|444444,2538759:2538778|offset_70|444444,2538790:2538809|offset_101|00cc00&amp;v=2538496:2539009&amp;c=444444", "offset 101")</f>
        <v>offset 101</v>
      </c>
    </row>
    <row r="8911" customFormat="false" ht="12.8" hidden="false" customHeight="false" outlineLevel="0" collapsed="false">
      <c r="A8911" s="0" t="s">
        <v>12</v>
      </c>
      <c r="B8911" s="0" t="n">
        <v>2539444</v>
      </c>
      <c r="C8911" s="0" t="n">
        <v>2539464</v>
      </c>
      <c r="D8911" s="0" t="s">
        <v>29754</v>
      </c>
      <c r="E8911" s="0" t="s">
        <v>89</v>
      </c>
      <c r="F8911" s="0" t="s">
        <v>15</v>
      </c>
      <c r="G8911" s="0" t="s">
        <v>16</v>
      </c>
      <c r="H8911" s="0" t="n">
        <v>0</v>
      </c>
      <c r="I8911" s="0" t="s">
        <v>29755</v>
      </c>
      <c r="J8911" s="0" t="s">
        <v>29756</v>
      </c>
      <c r="K8911" s="0" t="s">
        <v>29757</v>
      </c>
      <c r="L8911" s="0" t="str">
        <f aca="false">HYPERLINK("https://www.ncbi.nlm.nih.gov/nuccore/CP000304.1?report=graph&amp;tracks=[key:gene_model_track,Options:GeneOnly]&amp;mk=2539445:2539464|offset_0|00cc00,2539465:2539484|offset_20|444444,2539495:2539514|offset_50|444444,2539536:2539555|offset_91|444444&amp;v=2539244:2539755&amp;c=444444", "offset 0")</f>
        <v>offset 0</v>
      </c>
    </row>
    <row r="8912" customFormat="false" ht="12.8" hidden="false" customHeight="false" outlineLevel="0" collapsed="false">
      <c r="A8912" s="0" t="s">
        <v>12</v>
      </c>
      <c r="B8912" s="0" t="n">
        <v>2539464</v>
      </c>
      <c r="C8912" s="0" t="n">
        <v>2539484</v>
      </c>
      <c r="D8912" s="0" t="s">
        <v>29754</v>
      </c>
      <c r="E8912" s="0" t="s">
        <v>89</v>
      </c>
      <c r="F8912" s="0" t="s">
        <v>15</v>
      </c>
      <c r="G8912" s="0" t="s">
        <v>16</v>
      </c>
      <c r="H8912" s="0" t="n">
        <v>20</v>
      </c>
      <c r="I8912" s="0" t="s">
        <v>29758</v>
      </c>
      <c r="J8912" s="0" t="s">
        <v>29759</v>
      </c>
      <c r="K8912" s="0" t="s">
        <v>29760</v>
      </c>
      <c r="L8912" s="0" t="str">
        <f aca="false">HYPERLINK("https://www.ncbi.nlm.nih.gov/nuccore/CP000304.1?report=graph&amp;tracks=[key:gene_model_track,Options:GeneOnly]&amp;mk=2539445:2539464|offset_0|444444,2539465:2539484|offset_20|00cc00,2539495:2539514|offset_50|444444,2539536:2539555|offset_91|444444&amp;v=2539244:2539755&amp;c=444444", "offset 20")</f>
        <v>offset 20</v>
      </c>
    </row>
    <row r="8913" customFormat="false" ht="12.8" hidden="false" customHeight="false" outlineLevel="0" collapsed="false">
      <c r="A8913" s="0" t="s">
        <v>12</v>
      </c>
      <c r="B8913" s="0" t="n">
        <v>2539494</v>
      </c>
      <c r="C8913" s="0" t="n">
        <v>2539514</v>
      </c>
      <c r="D8913" s="0" t="s">
        <v>29754</v>
      </c>
      <c r="E8913" s="0" t="s">
        <v>89</v>
      </c>
      <c r="F8913" s="0" t="s">
        <v>15</v>
      </c>
      <c r="G8913" s="0" t="s">
        <v>26</v>
      </c>
      <c r="H8913" s="0" t="n">
        <v>50</v>
      </c>
      <c r="I8913" s="0" t="s">
        <v>29761</v>
      </c>
      <c r="J8913" s="0" t="s">
        <v>29762</v>
      </c>
      <c r="K8913" s="0" t="s">
        <v>29763</v>
      </c>
      <c r="L8913" s="0" t="str">
        <f aca="false">HYPERLINK("https://www.ncbi.nlm.nih.gov/nuccore/CP000304.1?report=graph&amp;tracks=[key:gene_model_track,Options:GeneOnly]&amp;mk=2539445:2539464|offset_0|444444,2539465:2539484|offset_20|444444,2539495:2539514|offset_50|00cc00,2539536:2539555|offset_91|444444&amp;v=2539244:2539755&amp;c=444444", "offset 50")</f>
        <v>offset 50</v>
      </c>
    </row>
    <row r="8914" customFormat="false" ht="12.8" hidden="false" customHeight="false" outlineLevel="0" collapsed="false">
      <c r="A8914" s="0" t="s">
        <v>12</v>
      </c>
      <c r="B8914" s="0" t="n">
        <v>2539535</v>
      </c>
      <c r="C8914" s="0" t="n">
        <v>2539555</v>
      </c>
      <c r="D8914" s="0" t="s">
        <v>29754</v>
      </c>
      <c r="E8914" s="0" t="s">
        <v>89</v>
      </c>
      <c r="F8914" s="0" t="s">
        <v>15</v>
      </c>
      <c r="G8914" s="0" t="s">
        <v>32</v>
      </c>
      <c r="H8914" s="0" t="n">
        <v>91</v>
      </c>
      <c r="I8914" s="0" t="s">
        <v>29764</v>
      </c>
      <c r="J8914" s="0" t="s">
        <v>29765</v>
      </c>
      <c r="K8914" s="0" t="s">
        <v>29766</v>
      </c>
      <c r="L8914" s="0" t="str">
        <f aca="false">HYPERLINK("https://www.ncbi.nlm.nih.gov/nuccore/CP000304.1?report=graph&amp;tracks=[key:gene_model_track,Options:GeneOnly]&amp;mk=2539445:2539464|offset_0|444444,2539465:2539484|offset_20|444444,2539495:2539514|offset_50|444444,2539536:2539555|offset_91|00cc00&amp;v=2539244:2539755&amp;c=444444", "offset 91")</f>
        <v>offset 91</v>
      </c>
    </row>
    <row r="8915" customFormat="false" ht="12.8" hidden="false" customHeight="false" outlineLevel="0" collapsed="false">
      <c r="A8915" s="0" t="s">
        <v>12</v>
      </c>
      <c r="B8915" s="0" t="n">
        <v>2541082</v>
      </c>
      <c r="C8915" s="0" t="n">
        <v>2541102</v>
      </c>
      <c r="D8915" s="0" t="s">
        <v>29767</v>
      </c>
      <c r="E8915" s="0" t="s">
        <v>89</v>
      </c>
      <c r="F8915" s="0" t="s">
        <v>90</v>
      </c>
      <c r="G8915" s="0" t="s">
        <v>36</v>
      </c>
      <c r="H8915" s="0" t="n">
        <v>21</v>
      </c>
      <c r="I8915" s="0" t="s">
        <v>29768</v>
      </c>
      <c r="J8915" s="0" t="s">
        <v>29769</v>
      </c>
      <c r="K8915" s="0" t="s">
        <v>29770</v>
      </c>
      <c r="L8915" s="0" t="str">
        <f aca="false">HYPERLINK("https://www.ncbi.nlm.nih.gov/nuccore/CP000304.1?report=graph&amp;tracks=[key:gene_model_track,Options:GeneOnly]&amp;mk=2541083:2541102|offset_21|00cc00,2541063:2541082|offset_41|444444,2541042:2541061|offset_62|444444,2541020:2541039|offset_84|444444&amp;v=2540882:2541239&amp;c=444444", "offset 21")</f>
        <v>offset 21</v>
      </c>
    </row>
    <row r="8916" customFormat="false" ht="12.8" hidden="false" customHeight="false" outlineLevel="0" collapsed="false">
      <c r="A8916" s="0" t="s">
        <v>12</v>
      </c>
      <c r="B8916" s="0" t="n">
        <v>2541062</v>
      </c>
      <c r="C8916" s="0" t="n">
        <v>2541082</v>
      </c>
      <c r="D8916" s="0" t="s">
        <v>29767</v>
      </c>
      <c r="E8916" s="0" t="s">
        <v>89</v>
      </c>
      <c r="F8916" s="0" t="s">
        <v>90</v>
      </c>
      <c r="G8916" s="0" t="s">
        <v>16</v>
      </c>
      <c r="H8916" s="0" t="n">
        <v>41</v>
      </c>
      <c r="I8916" s="0" t="s">
        <v>29771</v>
      </c>
      <c r="J8916" s="0" t="s">
        <v>29772</v>
      </c>
      <c r="K8916" s="0" t="s">
        <v>29773</v>
      </c>
      <c r="L8916" s="0" t="str">
        <f aca="false">HYPERLINK("https://www.ncbi.nlm.nih.gov/nuccore/CP000304.1?report=graph&amp;tracks=[key:gene_model_track,Options:GeneOnly]&amp;mk=2541083:2541102|offset_21|444444,2541063:2541082|offset_41|00cc00,2541042:2541061|offset_62|444444,2541020:2541039|offset_84|444444&amp;v=2540882:2541239&amp;c=444444", "offset 41")</f>
        <v>offset 41</v>
      </c>
    </row>
    <row r="8917" customFormat="false" ht="12.8" hidden="false" customHeight="false" outlineLevel="0" collapsed="false">
      <c r="A8917" s="0" t="s">
        <v>12</v>
      </c>
      <c r="B8917" s="0" t="n">
        <v>2541041</v>
      </c>
      <c r="C8917" s="0" t="n">
        <v>2541061</v>
      </c>
      <c r="D8917" s="0" t="s">
        <v>29767</v>
      </c>
      <c r="E8917" s="0" t="s">
        <v>89</v>
      </c>
      <c r="F8917" s="0" t="s">
        <v>90</v>
      </c>
      <c r="G8917" s="0" t="s">
        <v>36</v>
      </c>
      <c r="H8917" s="0" t="n">
        <v>62</v>
      </c>
      <c r="I8917" s="0" t="s">
        <v>29774</v>
      </c>
      <c r="J8917" s="0" t="s">
        <v>29775</v>
      </c>
      <c r="K8917" s="0" t="s">
        <v>29776</v>
      </c>
      <c r="L8917" s="0" t="str">
        <f aca="false">HYPERLINK("https://www.ncbi.nlm.nih.gov/nuccore/CP000304.1?report=graph&amp;tracks=[key:gene_model_track,Options:GeneOnly]&amp;mk=2541083:2541102|offset_21|444444,2541063:2541082|offset_41|444444,2541042:2541061|offset_62|00cc00,2541020:2541039|offset_84|444444&amp;v=2540882:2541239&amp;c=444444", "offset 62")</f>
        <v>offset 62</v>
      </c>
    </row>
    <row r="8918" customFormat="false" ht="12.8" hidden="false" customHeight="false" outlineLevel="0" collapsed="false">
      <c r="A8918" s="0" t="s">
        <v>12</v>
      </c>
      <c r="B8918" s="0" t="n">
        <v>2541019</v>
      </c>
      <c r="C8918" s="0" t="n">
        <v>2541039</v>
      </c>
      <c r="D8918" s="0" t="s">
        <v>29767</v>
      </c>
      <c r="E8918" s="0" t="s">
        <v>89</v>
      </c>
      <c r="F8918" s="0" t="s">
        <v>90</v>
      </c>
      <c r="G8918" s="0" t="s">
        <v>32</v>
      </c>
      <c r="H8918" s="0" t="n">
        <v>84</v>
      </c>
      <c r="I8918" s="0" t="s">
        <v>29777</v>
      </c>
      <c r="J8918" s="0" t="s">
        <v>29778</v>
      </c>
      <c r="K8918" s="0" t="s">
        <v>29779</v>
      </c>
      <c r="L8918" s="0" t="str">
        <f aca="false">HYPERLINK("https://www.ncbi.nlm.nih.gov/nuccore/CP000304.1?report=graph&amp;tracks=[key:gene_model_track,Options:GeneOnly]&amp;mk=2541083:2541102|offset_21|444444,2541063:2541082|offset_41|444444,2541042:2541061|offset_62|444444,2541020:2541039|offset_84|00cc00&amp;v=2540882:2541239&amp;c=444444", "offset 84")</f>
        <v>offset 84</v>
      </c>
    </row>
    <row r="8919" customFormat="false" ht="12.8" hidden="false" customHeight="false" outlineLevel="0" collapsed="false">
      <c r="A8919" s="0" t="s">
        <v>12</v>
      </c>
      <c r="B8919" s="0" t="n">
        <v>2542079</v>
      </c>
      <c r="C8919" s="0" t="n">
        <v>2542099</v>
      </c>
      <c r="D8919" s="0" t="s">
        <v>29780</v>
      </c>
      <c r="E8919" s="0" t="s">
        <v>29781</v>
      </c>
      <c r="F8919" s="0" t="s">
        <v>90</v>
      </c>
      <c r="G8919" s="0" t="s">
        <v>32</v>
      </c>
      <c r="H8919" s="0" t="n">
        <v>7</v>
      </c>
      <c r="I8919" s="0" t="s">
        <v>29782</v>
      </c>
      <c r="J8919" s="0" t="s">
        <v>29783</v>
      </c>
      <c r="K8919" s="0" t="s">
        <v>29784</v>
      </c>
      <c r="L8919" s="0" t="str">
        <f aca="false">HYPERLINK("https://www.ncbi.nlm.nih.gov/nuccore/CP000304.1?report=graph&amp;tracks=[key:gene_model_track,Options:GeneOnly]&amp;mk=2542080:2542099|offset_7|00cc00,2542024:2542043|offset_63|444444,2541992:2542011|offset_95|444444,2541959:2541978|offset_128|444444&amp;v=2541879:2542178&amp;c=444444", "offset 7")</f>
        <v>offset 7</v>
      </c>
    </row>
    <row r="8920" customFormat="false" ht="12.8" hidden="false" customHeight="false" outlineLevel="0" collapsed="false">
      <c r="A8920" s="0" t="s">
        <v>12</v>
      </c>
      <c r="B8920" s="0" t="n">
        <v>2542023</v>
      </c>
      <c r="C8920" s="0" t="n">
        <v>2542043</v>
      </c>
      <c r="D8920" s="0" t="s">
        <v>29780</v>
      </c>
      <c r="E8920" s="0" t="s">
        <v>29781</v>
      </c>
      <c r="F8920" s="0" t="s">
        <v>90</v>
      </c>
      <c r="G8920" s="0" t="s">
        <v>16</v>
      </c>
      <c r="H8920" s="0" t="n">
        <v>63</v>
      </c>
      <c r="I8920" s="0" t="s">
        <v>29785</v>
      </c>
      <c r="J8920" s="0" t="s">
        <v>29786</v>
      </c>
      <c r="K8920" s="0" t="s">
        <v>29787</v>
      </c>
      <c r="L8920" s="0" t="str">
        <f aca="false">HYPERLINK("https://www.ncbi.nlm.nih.gov/nuccore/CP000304.1?report=graph&amp;tracks=[key:gene_model_track,Options:GeneOnly]&amp;mk=2542080:2542099|offset_7|444444,2542024:2542043|offset_63|00cc00,2541992:2542011|offset_95|444444,2541959:2541978|offset_128|444444&amp;v=2541879:2542178&amp;c=444444", "offset 63")</f>
        <v>offset 63</v>
      </c>
    </row>
    <row r="8921" customFormat="false" ht="12.8" hidden="false" customHeight="false" outlineLevel="0" collapsed="false">
      <c r="A8921" s="0" t="s">
        <v>12</v>
      </c>
      <c r="B8921" s="0" t="n">
        <v>2541991</v>
      </c>
      <c r="C8921" s="0" t="n">
        <v>2542011</v>
      </c>
      <c r="D8921" s="0" t="s">
        <v>29780</v>
      </c>
      <c r="E8921" s="0" t="s">
        <v>29781</v>
      </c>
      <c r="F8921" s="0" t="s">
        <v>90</v>
      </c>
      <c r="G8921" s="0" t="s">
        <v>26</v>
      </c>
      <c r="H8921" s="0" t="n">
        <v>95</v>
      </c>
      <c r="I8921" s="0" t="s">
        <v>29788</v>
      </c>
      <c r="J8921" s="0" t="s">
        <v>29789</v>
      </c>
      <c r="K8921" s="0" t="s">
        <v>29790</v>
      </c>
      <c r="L8921" s="0" t="str">
        <f aca="false">HYPERLINK("https://www.ncbi.nlm.nih.gov/nuccore/CP000304.1?report=graph&amp;tracks=[key:gene_model_track,Options:GeneOnly]&amp;mk=2542080:2542099|offset_7|444444,2542024:2542043|offset_63|444444,2541992:2542011|offset_95|00cc00,2541959:2541978|offset_128|444444&amp;v=2541879:2542178&amp;c=444444", "offset 95")</f>
        <v>offset 95</v>
      </c>
    </row>
    <row r="8922" customFormat="false" ht="12.8" hidden="false" customHeight="false" outlineLevel="0" collapsed="false">
      <c r="A8922" s="0" t="s">
        <v>12</v>
      </c>
      <c r="B8922" s="0" t="n">
        <v>2541958</v>
      </c>
      <c r="C8922" s="0" t="n">
        <v>2541978</v>
      </c>
      <c r="D8922" s="0" t="s">
        <v>29780</v>
      </c>
      <c r="E8922" s="0" t="s">
        <v>29781</v>
      </c>
      <c r="F8922" s="0" t="s">
        <v>90</v>
      </c>
      <c r="G8922" s="0" t="s">
        <v>26</v>
      </c>
      <c r="H8922" s="0" t="n">
        <v>128</v>
      </c>
      <c r="I8922" s="0" t="s">
        <v>29791</v>
      </c>
      <c r="J8922" s="0" t="s">
        <v>29792</v>
      </c>
      <c r="K8922" s="0" t="s">
        <v>29793</v>
      </c>
      <c r="L8922" s="0" t="str">
        <f aca="false">HYPERLINK("https://www.ncbi.nlm.nih.gov/nuccore/CP000304.1?report=graph&amp;tracks=[key:gene_model_track,Options:GeneOnly]&amp;mk=2542080:2542099|offset_7|444444,2542024:2542043|offset_63|444444,2541992:2542011|offset_95|444444,2541959:2541978|offset_128|00cc00&amp;v=2541879:2542178&amp;c=444444", "offset 128")</f>
        <v>offset 128</v>
      </c>
    </row>
    <row r="8923" customFormat="false" ht="12.8" hidden="false" customHeight="false" outlineLevel="0" collapsed="false">
      <c r="A8923" s="0" t="s">
        <v>12</v>
      </c>
      <c r="B8923" s="0" t="n">
        <v>2542790</v>
      </c>
      <c r="C8923" s="0" t="n">
        <v>2542810</v>
      </c>
      <c r="D8923" s="0" t="s">
        <v>29794</v>
      </c>
      <c r="E8923" s="0" t="s">
        <v>89</v>
      </c>
      <c r="F8923" s="0" t="s">
        <v>90</v>
      </c>
      <c r="G8923" s="0" t="s">
        <v>36</v>
      </c>
      <c r="H8923" s="0" t="n">
        <v>27</v>
      </c>
      <c r="I8923" s="0" t="s">
        <v>29795</v>
      </c>
      <c r="J8923" s="0" t="s">
        <v>29796</v>
      </c>
      <c r="K8923" s="0" t="s">
        <v>29797</v>
      </c>
      <c r="L8923" s="0" t="str">
        <f aca="false">HYPERLINK("https://www.ncbi.nlm.nih.gov/nuccore/CP000304.1?report=graph&amp;tracks=[key:gene_model_track,Options:GeneOnly]&amp;mk=2542791:2542810|offset_27|00cc00,2542733:2542752|offset_85|444444,2542667:2542686|offset_151|444444,2542634:2542653|offset_184|444444&amp;v=2542590:2542853&amp;c=444444", "offset 27")</f>
        <v>offset 27</v>
      </c>
    </row>
    <row r="8924" customFormat="false" ht="12.8" hidden="false" customHeight="false" outlineLevel="0" collapsed="false">
      <c r="A8924" s="0" t="s">
        <v>12</v>
      </c>
      <c r="B8924" s="0" t="n">
        <v>2542732</v>
      </c>
      <c r="C8924" s="0" t="n">
        <v>2542752</v>
      </c>
      <c r="D8924" s="0" t="s">
        <v>29794</v>
      </c>
      <c r="E8924" s="0" t="s">
        <v>89</v>
      </c>
      <c r="F8924" s="0" t="s">
        <v>90</v>
      </c>
      <c r="G8924" s="0" t="s">
        <v>16</v>
      </c>
      <c r="H8924" s="0" t="n">
        <v>85</v>
      </c>
      <c r="I8924" s="0" t="s">
        <v>29798</v>
      </c>
      <c r="J8924" s="0" t="s">
        <v>29799</v>
      </c>
      <c r="K8924" s="0" t="s">
        <v>29800</v>
      </c>
      <c r="L8924" s="0" t="str">
        <f aca="false">HYPERLINK("https://www.ncbi.nlm.nih.gov/nuccore/CP000304.1?report=graph&amp;tracks=[key:gene_model_track,Options:GeneOnly]&amp;mk=2542791:2542810|offset_27|444444,2542733:2542752|offset_85|00cc00,2542667:2542686|offset_151|444444,2542634:2542653|offset_184|444444&amp;v=2542590:2542853&amp;c=444444", "offset 85")</f>
        <v>offset 85</v>
      </c>
    </row>
    <row r="8925" customFormat="false" ht="12.8" hidden="false" customHeight="false" outlineLevel="0" collapsed="false">
      <c r="A8925" s="0" t="s">
        <v>12</v>
      </c>
      <c r="B8925" s="0" t="n">
        <v>2542666</v>
      </c>
      <c r="C8925" s="0" t="n">
        <v>2542686</v>
      </c>
      <c r="D8925" s="0" t="s">
        <v>29794</v>
      </c>
      <c r="E8925" s="0" t="s">
        <v>89</v>
      </c>
      <c r="F8925" s="0" t="s">
        <v>90</v>
      </c>
      <c r="G8925" s="0" t="s">
        <v>16</v>
      </c>
      <c r="H8925" s="0" t="n">
        <v>151</v>
      </c>
      <c r="I8925" s="0" t="s">
        <v>29801</v>
      </c>
      <c r="J8925" s="0" t="s">
        <v>29802</v>
      </c>
      <c r="K8925" s="0" t="s">
        <v>29803</v>
      </c>
      <c r="L8925" s="0" t="str">
        <f aca="false">HYPERLINK("https://www.ncbi.nlm.nih.gov/nuccore/CP000304.1?report=graph&amp;tracks=[key:gene_model_track,Options:GeneOnly]&amp;mk=2542791:2542810|offset_27|444444,2542733:2542752|offset_85|444444,2542667:2542686|offset_151|00cc00,2542634:2542653|offset_184|444444&amp;v=2542590:2542853&amp;c=444444", "offset 151")</f>
        <v>offset 151</v>
      </c>
    </row>
    <row r="8926" customFormat="false" ht="12.8" hidden="false" customHeight="false" outlineLevel="0" collapsed="false">
      <c r="A8926" s="0" t="s">
        <v>12</v>
      </c>
      <c r="B8926" s="0" t="n">
        <v>2542633</v>
      </c>
      <c r="C8926" s="0" t="n">
        <v>2542653</v>
      </c>
      <c r="D8926" s="0" t="s">
        <v>29794</v>
      </c>
      <c r="E8926" s="0" t="s">
        <v>89</v>
      </c>
      <c r="F8926" s="0" t="s">
        <v>90</v>
      </c>
      <c r="G8926" s="0" t="s">
        <v>36</v>
      </c>
      <c r="H8926" s="0" t="n">
        <v>184</v>
      </c>
      <c r="I8926" s="0" t="s">
        <v>29804</v>
      </c>
      <c r="J8926" s="0" t="s">
        <v>29805</v>
      </c>
      <c r="K8926" s="0" t="s">
        <v>29806</v>
      </c>
      <c r="L8926" s="0" t="str">
        <f aca="false">HYPERLINK("https://www.ncbi.nlm.nih.gov/nuccore/CP000304.1?report=graph&amp;tracks=[key:gene_model_track,Options:GeneOnly]&amp;mk=2542791:2542810|offset_27|444444,2542733:2542752|offset_85|444444,2542667:2542686|offset_151|444444,2542634:2542653|offset_184|00cc00&amp;v=2542590:2542853&amp;c=444444", "offset 184")</f>
        <v>offset 184</v>
      </c>
    </row>
    <row r="8927" customFormat="false" ht="12.8" hidden="false" customHeight="false" outlineLevel="0" collapsed="false">
      <c r="A8927" s="0" t="s">
        <v>12</v>
      </c>
      <c r="B8927" s="0" t="n">
        <v>2544273</v>
      </c>
      <c r="C8927" s="0" t="n">
        <v>2544293</v>
      </c>
      <c r="D8927" s="0" t="s">
        <v>29807</v>
      </c>
      <c r="E8927" s="0" t="s">
        <v>89</v>
      </c>
      <c r="F8927" s="0" t="s">
        <v>90</v>
      </c>
      <c r="G8927" s="0" t="s">
        <v>36</v>
      </c>
      <c r="H8927" s="0" t="n">
        <v>0</v>
      </c>
      <c r="I8927" s="0" t="s">
        <v>29808</v>
      </c>
      <c r="J8927" s="0" t="s">
        <v>29809</v>
      </c>
      <c r="K8927" s="0" t="s">
        <v>29810</v>
      </c>
      <c r="L8927" s="0" t="str">
        <f aca="false">HYPERLINK("https://www.ncbi.nlm.nih.gov/nuccore/CP000304.1?report=graph&amp;tracks=[key:gene_model_track,Options:GeneOnly]&amp;mk=2544274:2544293|offset_0|00cc00,2544250:2544269|offset_24|444444,2544225:2544244|offset_49|444444,2544193:2544212|offset_81|444444&amp;v=2544073:2544412&amp;c=444444", "offset 0")</f>
        <v>offset 0</v>
      </c>
    </row>
    <row r="8928" customFormat="false" ht="12.8" hidden="false" customHeight="false" outlineLevel="0" collapsed="false">
      <c r="A8928" s="0" t="s">
        <v>12</v>
      </c>
      <c r="B8928" s="0" t="n">
        <v>2544249</v>
      </c>
      <c r="C8928" s="0" t="n">
        <v>2544269</v>
      </c>
      <c r="D8928" s="0" t="s">
        <v>29807</v>
      </c>
      <c r="E8928" s="0" t="s">
        <v>89</v>
      </c>
      <c r="F8928" s="0" t="s">
        <v>90</v>
      </c>
      <c r="G8928" s="0" t="s">
        <v>36</v>
      </c>
      <c r="H8928" s="0" t="n">
        <v>24</v>
      </c>
      <c r="I8928" s="0" t="s">
        <v>29811</v>
      </c>
      <c r="J8928" s="0" t="s">
        <v>29812</v>
      </c>
      <c r="K8928" s="0" t="s">
        <v>29813</v>
      </c>
      <c r="L8928" s="0" t="str">
        <f aca="false">HYPERLINK("https://www.ncbi.nlm.nih.gov/nuccore/CP000304.1?report=graph&amp;tracks=[key:gene_model_track,Options:GeneOnly]&amp;mk=2544274:2544293|offset_0|444444,2544250:2544269|offset_24|00cc00,2544225:2544244|offset_49|444444,2544193:2544212|offset_81|444444&amp;v=2544073:2544412&amp;c=444444", "offset 24")</f>
        <v>offset 24</v>
      </c>
    </row>
    <row r="8929" customFormat="false" ht="12.8" hidden="false" customHeight="false" outlineLevel="0" collapsed="false">
      <c r="A8929" s="0" t="s">
        <v>12</v>
      </c>
      <c r="B8929" s="0" t="n">
        <v>2544224</v>
      </c>
      <c r="C8929" s="0" t="n">
        <v>2544244</v>
      </c>
      <c r="D8929" s="0" t="s">
        <v>29807</v>
      </c>
      <c r="E8929" s="0" t="s">
        <v>89</v>
      </c>
      <c r="F8929" s="0" t="s">
        <v>90</v>
      </c>
      <c r="G8929" s="0" t="s">
        <v>36</v>
      </c>
      <c r="H8929" s="0" t="n">
        <v>49</v>
      </c>
      <c r="I8929" s="0" t="s">
        <v>29814</v>
      </c>
      <c r="J8929" s="0" t="s">
        <v>29815</v>
      </c>
      <c r="K8929" s="0" t="s">
        <v>29816</v>
      </c>
      <c r="L8929" s="0" t="str">
        <f aca="false">HYPERLINK("https://www.ncbi.nlm.nih.gov/nuccore/CP000304.1?report=graph&amp;tracks=[key:gene_model_track,Options:GeneOnly]&amp;mk=2544274:2544293|offset_0|444444,2544250:2544269|offset_24|444444,2544225:2544244|offset_49|00cc00,2544193:2544212|offset_81|444444&amp;v=2544073:2544412&amp;c=444444", "offset 49")</f>
        <v>offset 49</v>
      </c>
    </row>
    <row r="8930" customFormat="false" ht="12.8" hidden="false" customHeight="false" outlineLevel="0" collapsed="false">
      <c r="A8930" s="0" t="s">
        <v>12</v>
      </c>
      <c r="B8930" s="0" t="n">
        <v>2544192</v>
      </c>
      <c r="C8930" s="0" t="n">
        <v>2544212</v>
      </c>
      <c r="D8930" s="0" t="s">
        <v>29807</v>
      </c>
      <c r="E8930" s="0" t="s">
        <v>89</v>
      </c>
      <c r="F8930" s="0" t="s">
        <v>90</v>
      </c>
      <c r="G8930" s="0" t="s">
        <v>16</v>
      </c>
      <c r="H8930" s="0" t="n">
        <v>81</v>
      </c>
      <c r="I8930" s="0" t="s">
        <v>29817</v>
      </c>
      <c r="J8930" s="0" t="s">
        <v>29818</v>
      </c>
      <c r="K8930" s="0" t="s">
        <v>29819</v>
      </c>
      <c r="L8930" s="0" t="str">
        <f aca="false">HYPERLINK("https://www.ncbi.nlm.nih.gov/nuccore/CP000304.1?report=graph&amp;tracks=[key:gene_model_track,Options:GeneOnly]&amp;mk=2544274:2544293|offset_0|444444,2544250:2544269|offset_24|444444,2544225:2544244|offset_49|444444,2544193:2544212|offset_81|00cc00&amp;v=2544073:2544412&amp;c=444444", "offset 81")</f>
        <v>offset 81</v>
      </c>
    </row>
    <row r="8931" customFormat="false" ht="12.8" hidden="false" customHeight="false" outlineLevel="0" collapsed="false">
      <c r="A8931" s="0" t="s">
        <v>12</v>
      </c>
      <c r="B8931" s="0" t="n">
        <v>2545398</v>
      </c>
      <c r="C8931" s="0" t="n">
        <v>2545418</v>
      </c>
      <c r="D8931" s="0" t="s">
        <v>29820</v>
      </c>
      <c r="E8931" s="0" t="s">
        <v>89</v>
      </c>
      <c r="F8931" s="0" t="s">
        <v>90</v>
      </c>
      <c r="G8931" s="0" t="s">
        <v>16</v>
      </c>
      <c r="H8931" s="0" t="n">
        <v>7</v>
      </c>
      <c r="I8931" s="0" t="s">
        <v>29821</v>
      </c>
      <c r="J8931" s="0" t="s">
        <v>29822</v>
      </c>
      <c r="K8931" s="0" t="s">
        <v>29823</v>
      </c>
      <c r="L8931" s="0" t="str">
        <f aca="false">HYPERLINK("https://www.ncbi.nlm.nih.gov/nuccore/CP000304.1?report=graph&amp;tracks=[key:gene_model_track,Options:GeneOnly]&amp;mk=2545399:2545418|offset_7|00cc00,2545375:2545394|offset_31|444444,2545344:2545363|offset_62|444444,2545314:2545333|offset_92|444444&amp;v=2545198:2545533&amp;c=444444", "offset 7")</f>
        <v>offset 7</v>
      </c>
    </row>
    <row r="8932" customFormat="false" ht="12.8" hidden="false" customHeight="false" outlineLevel="0" collapsed="false">
      <c r="A8932" s="0" t="s">
        <v>12</v>
      </c>
      <c r="B8932" s="0" t="n">
        <v>2545374</v>
      </c>
      <c r="C8932" s="0" t="n">
        <v>2545394</v>
      </c>
      <c r="D8932" s="0" t="s">
        <v>29820</v>
      </c>
      <c r="E8932" s="0" t="s">
        <v>89</v>
      </c>
      <c r="F8932" s="0" t="s">
        <v>90</v>
      </c>
      <c r="G8932" s="0" t="s">
        <v>36</v>
      </c>
      <c r="H8932" s="0" t="n">
        <v>31</v>
      </c>
      <c r="I8932" s="0" t="s">
        <v>29824</v>
      </c>
      <c r="J8932" s="0" t="s">
        <v>29825</v>
      </c>
      <c r="K8932" s="0" t="s">
        <v>29826</v>
      </c>
      <c r="L8932" s="0" t="str">
        <f aca="false">HYPERLINK("https://www.ncbi.nlm.nih.gov/nuccore/CP000304.1?report=graph&amp;tracks=[key:gene_model_track,Options:GeneOnly]&amp;mk=2545399:2545418|offset_7|444444,2545375:2545394|offset_31|00cc00,2545344:2545363|offset_62|444444,2545314:2545333|offset_92|444444&amp;v=2545198:2545533&amp;c=444444", "offset 31")</f>
        <v>offset 31</v>
      </c>
    </row>
    <row r="8933" customFormat="false" ht="12.8" hidden="false" customHeight="false" outlineLevel="0" collapsed="false">
      <c r="A8933" s="0" t="s">
        <v>12</v>
      </c>
      <c r="B8933" s="0" t="n">
        <v>2545343</v>
      </c>
      <c r="C8933" s="0" t="n">
        <v>2545363</v>
      </c>
      <c r="D8933" s="0" t="s">
        <v>29820</v>
      </c>
      <c r="E8933" s="0" t="s">
        <v>89</v>
      </c>
      <c r="F8933" s="0" t="s">
        <v>90</v>
      </c>
      <c r="G8933" s="0" t="s">
        <v>16</v>
      </c>
      <c r="H8933" s="0" t="n">
        <v>62</v>
      </c>
      <c r="I8933" s="0" t="s">
        <v>29827</v>
      </c>
      <c r="J8933" s="0" t="s">
        <v>29828</v>
      </c>
      <c r="K8933" s="0" t="s">
        <v>29829</v>
      </c>
      <c r="L8933" s="0" t="str">
        <f aca="false">HYPERLINK("https://www.ncbi.nlm.nih.gov/nuccore/CP000304.1?report=graph&amp;tracks=[key:gene_model_track,Options:GeneOnly]&amp;mk=2545399:2545418|offset_7|444444,2545375:2545394|offset_31|444444,2545344:2545363|offset_62|00cc00,2545314:2545333|offset_92|444444&amp;v=2545198:2545533&amp;c=444444", "offset 62")</f>
        <v>offset 62</v>
      </c>
    </row>
    <row r="8934" customFormat="false" ht="12.8" hidden="false" customHeight="false" outlineLevel="0" collapsed="false">
      <c r="A8934" s="0" t="s">
        <v>12</v>
      </c>
      <c r="B8934" s="0" t="n">
        <v>2545313</v>
      </c>
      <c r="C8934" s="0" t="n">
        <v>2545333</v>
      </c>
      <c r="D8934" s="0" t="s">
        <v>29820</v>
      </c>
      <c r="E8934" s="0" t="s">
        <v>89</v>
      </c>
      <c r="F8934" s="0" t="s">
        <v>90</v>
      </c>
      <c r="G8934" s="0" t="s">
        <v>32</v>
      </c>
      <c r="H8934" s="0" t="n">
        <v>92</v>
      </c>
      <c r="I8934" s="0" t="s">
        <v>29830</v>
      </c>
      <c r="J8934" s="0" t="s">
        <v>29831</v>
      </c>
      <c r="K8934" s="0" t="s">
        <v>29832</v>
      </c>
      <c r="L8934" s="0" t="str">
        <f aca="false">HYPERLINK("https://www.ncbi.nlm.nih.gov/nuccore/CP000304.1?report=graph&amp;tracks=[key:gene_model_track,Options:GeneOnly]&amp;mk=2545399:2545418|offset_7|444444,2545375:2545394|offset_31|444444,2545344:2545363|offset_62|444444,2545314:2545333|offset_92|00cc00&amp;v=2545198:2545533&amp;c=444444", "offset 92")</f>
        <v>offset 92</v>
      </c>
    </row>
    <row r="8935" customFormat="false" ht="12.8" hidden="false" customHeight="false" outlineLevel="0" collapsed="false">
      <c r="A8935" s="0" t="s">
        <v>12</v>
      </c>
      <c r="B8935" s="0" t="n">
        <v>2545734</v>
      </c>
      <c r="C8935" s="0" t="n">
        <v>2545754</v>
      </c>
      <c r="D8935" s="0" t="s">
        <v>29833</v>
      </c>
      <c r="E8935" s="0" t="s">
        <v>89</v>
      </c>
      <c r="F8935" s="0" t="s">
        <v>15</v>
      </c>
      <c r="G8935" s="0" t="s">
        <v>32</v>
      </c>
      <c r="H8935" s="0" t="n">
        <v>7</v>
      </c>
      <c r="I8935" s="0" t="s">
        <v>29834</v>
      </c>
      <c r="J8935" s="0" t="s">
        <v>29835</v>
      </c>
      <c r="K8935" s="0" t="s">
        <v>29836</v>
      </c>
      <c r="L8935" s="0" t="str">
        <f aca="false">HYPERLINK("https://www.ncbi.nlm.nih.gov/nuccore/CP000304.1?report=graph&amp;tracks=[key:gene_model_track,Options:GeneOnly]&amp;mk=2545735:2545754|offset_7|00cc00,2545766:2545785|offset_38|444444,2545798:2545817|offset_70|444444,2545832:2545851|offset_104|444444&amp;v=2545534:2546051&amp;c=444444", "offset 7")</f>
        <v>offset 7</v>
      </c>
    </row>
    <row r="8936" customFormat="false" ht="12.8" hidden="false" customHeight="false" outlineLevel="0" collapsed="false">
      <c r="A8936" s="0" t="s">
        <v>12</v>
      </c>
      <c r="B8936" s="0" t="n">
        <v>2545765</v>
      </c>
      <c r="C8936" s="0" t="n">
        <v>2545785</v>
      </c>
      <c r="D8936" s="0" t="s">
        <v>29833</v>
      </c>
      <c r="E8936" s="0" t="s">
        <v>89</v>
      </c>
      <c r="F8936" s="0" t="s">
        <v>15</v>
      </c>
      <c r="G8936" s="0" t="s">
        <v>16</v>
      </c>
      <c r="H8936" s="0" t="n">
        <v>38</v>
      </c>
      <c r="I8936" s="0" t="s">
        <v>29837</v>
      </c>
      <c r="J8936" s="0" t="s">
        <v>29838</v>
      </c>
      <c r="K8936" s="0" t="s">
        <v>29839</v>
      </c>
      <c r="L8936" s="0" t="str">
        <f aca="false">HYPERLINK("https://www.ncbi.nlm.nih.gov/nuccore/CP000304.1?report=graph&amp;tracks=[key:gene_model_track,Options:GeneOnly]&amp;mk=2545735:2545754|offset_7|444444,2545766:2545785|offset_38|00cc00,2545798:2545817|offset_70|444444,2545832:2545851|offset_104|444444&amp;v=2545534:2546051&amp;c=444444", "offset 38")</f>
        <v>offset 38</v>
      </c>
    </row>
    <row r="8937" customFormat="false" ht="12.8" hidden="false" customHeight="false" outlineLevel="0" collapsed="false">
      <c r="A8937" s="0" t="s">
        <v>12</v>
      </c>
      <c r="B8937" s="0" t="n">
        <v>2545797</v>
      </c>
      <c r="C8937" s="0" t="n">
        <v>2545817</v>
      </c>
      <c r="D8937" s="0" t="s">
        <v>29833</v>
      </c>
      <c r="E8937" s="0" t="s">
        <v>89</v>
      </c>
      <c r="F8937" s="0" t="s">
        <v>15</v>
      </c>
      <c r="G8937" s="0" t="s">
        <v>32</v>
      </c>
      <c r="H8937" s="0" t="n">
        <v>70</v>
      </c>
      <c r="I8937" s="0" t="s">
        <v>29840</v>
      </c>
      <c r="J8937" s="0" t="s">
        <v>29841</v>
      </c>
      <c r="K8937" s="0" t="s">
        <v>29842</v>
      </c>
      <c r="L8937" s="0" t="str">
        <f aca="false">HYPERLINK("https://www.ncbi.nlm.nih.gov/nuccore/CP000304.1?report=graph&amp;tracks=[key:gene_model_track,Options:GeneOnly]&amp;mk=2545735:2545754|offset_7|444444,2545766:2545785|offset_38|444444,2545798:2545817|offset_70|00cc00,2545832:2545851|offset_104|444444&amp;v=2545534:2546051&amp;c=444444", "offset 70")</f>
        <v>offset 70</v>
      </c>
    </row>
    <row r="8938" customFormat="false" ht="12.8" hidden="false" customHeight="false" outlineLevel="0" collapsed="false">
      <c r="A8938" s="0" t="s">
        <v>12</v>
      </c>
      <c r="B8938" s="0" t="n">
        <v>2545831</v>
      </c>
      <c r="C8938" s="0" t="n">
        <v>2545851</v>
      </c>
      <c r="D8938" s="0" t="s">
        <v>29833</v>
      </c>
      <c r="E8938" s="0" t="s">
        <v>89</v>
      </c>
      <c r="F8938" s="0" t="s">
        <v>15</v>
      </c>
      <c r="G8938" s="0" t="s">
        <v>16</v>
      </c>
      <c r="H8938" s="0" t="n">
        <v>104</v>
      </c>
      <c r="I8938" s="0" t="s">
        <v>29843</v>
      </c>
      <c r="J8938" s="0" t="s">
        <v>29844</v>
      </c>
      <c r="K8938" s="0" t="s">
        <v>29845</v>
      </c>
      <c r="L8938" s="0" t="str">
        <f aca="false">HYPERLINK("https://www.ncbi.nlm.nih.gov/nuccore/CP000304.1?report=graph&amp;tracks=[key:gene_model_track,Options:GeneOnly]&amp;mk=2545735:2545754|offset_7|444444,2545766:2545785|offset_38|444444,2545798:2545817|offset_70|444444,2545832:2545851|offset_104|00cc00&amp;v=2545534:2546051&amp;c=444444", "offset 104")</f>
        <v>offset 104</v>
      </c>
    </row>
    <row r="8939" customFormat="false" ht="12.8" hidden="false" customHeight="false" outlineLevel="0" collapsed="false">
      <c r="A8939" s="0" t="s">
        <v>12</v>
      </c>
      <c r="B8939" s="0" t="n">
        <v>2546381</v>
      </c>
      <c r="C8939" s="0" t="n">
        <v>2546401</v>
      </c>
      <c r="D8939" s="0" t="s">
        <v>29846</v>
      </c>
      <c r="E8939" s="0" t="s">
        <v>89</v>
      </c>
      <c r="F8939" s="0" t="s">
        <v>15</v>
      </c>
      <c r="G8939" s="0" t="s">
        <v>36</v>
      </c>
      <c r="H8939" s="0" t="n">
        <v>0</v>
      </c>
      <c r="I8939" s="0" t="s">
        <v>29847</v>
      </c>
      <c r="J8939" s="0" t="s">
        <v>29848</v>
      </c>
      <c r="K8939" s="0" t="s">
        <v>29849</v>
      </c>
      <c r="L8939" s="0" t="str">
        <f aca="false">HYPERLINK("https://www.ncbi.nlm.nih.gov/nuccore/CP000304.1?report=graph&amp;tracks=[key:gene_model_track,Options:GeneOnly]&amp;mk=2546382:2546401|offset_0|00cc00,2546407:2546426|offset_25|444444,2546439:2546458|offset_57|444444,2546464:2546483|offset_82|444444&amp;v=2546181:2546683&amp;c=444444", "offset 0")</f>
        <v>offset 0</v>
      </c>
    </row>
    <row r="8940" customFormat="false" ht="12.8" hidden="false" customHeight="false" outlineLevel="0" collapsed="false">
      <c r="A8940" s="0" t="s">
        <v>12</v>
      </c>
      <c r="B8940" s="0" t="n">
        <v>2546406</v>
      </c>
      <c r="C8940" s="0" t="n">
        <v>2546426</v>
      </c>
      <c r="D8940" s="0" t="s">
        <v>29846</v>
      </c>
      <c r="E8940" s="0" t="s">
        <v>89</v>
      </c>
      <c r="F8940" s="0" t="s">
        <v>15</v>
      </c>
      <c r="G8940" s="0" t="s">
        <v>36</v>
      </c>
      <c r="H8940" s="0" t="n">
        <v>25</v>
      </c>
      <c r="I8940" s="0" t="s">
        <v>29850</v>
      </c>
      <c r="J8940" s="0" t="s">
        <v>29851</v>
      </c>
      <c r="K8940" s="0" t="s">
        <v>29852</v>
      </c>
      <c r="L8940" s="0" t="str">
        <f aca="false">HYPERLINK("https://www.ncbi.nlm.nih.gov/nuccore/CP000304.1?report=graph&amp;tracks=[key:gene_model_track,Options:GeneOnly]&amp;mk=2546382:2546401|offset_0|444444,2546407:2546426|offset_25|00cc00,2546439:2546458|offset_57|444444,2546464:2546483|offset_82|444444&amp;v=2546181:2546683&amp;c=444444", "offset 25")</f>
        <v>offset 25</v>
      </c>
    </row>
    <row r="8941" customFormat="false" ht="12.8" hidden="false" customHeight="false" outlineLevel="0" collapsed="false">
      <c r="A8941" s="0" t="s">
        <v>12</v>
      </c>
      <c r="B8941" s="0" t="n">
        <v>2546438</v>
      </c>
      <c r="C8941" s="0" t="n">
        <v>2546458</v>
      </c>
      <c r="D8941" s="0" t="s">
        <v>29846</v>
      </c>
      <c r="E8941" s="0" t="s">
        <v>89</v>
      </c>
      <c r="F8941" s="0" t="s">
        <v>15</v>
      </c>
      <c r="G8941" s="0" t="s">
        <v>16</v>
      </c>
      <c r="H8941" s="0" t="n">
        <v>57</v>
      </c>
      <c r="I8941" s="0" t="s">
        <v>29853</v>
      </c>
      <c r="J8941" s="0" t="s">
        <v>29854</v>
      </c>
      <c r="K8941" s="0" t="s">
        <v>29855</v>
      </c>
      <c r="L8941" s="0" t="str">
        <f aca="false">HYPERLINK("https://www.ncbi.nlm.nih.gov/nuccore/CP000304.1?report=graph&amp;tracks=[key:gene_model_track,Options:GeneOnly]&amp;mk=2546382:2546401|offset_0|444444,2546407:2546426|offset_25|444444,2546439:2546458|offset_57|00cc00,2546464:2546483|offset_82|444444&amp;v=2546181:2546683&amp;c=444444", "offset 57")</f>
        <v>offset 57</v>
      </c>
    </row>
    <row r="8942" customFormat="false" ht="12.8" hidden="false" customHeight="false" outlineLevel="0" collapsed="false">
      <c r="A8942" s="0" t="s">
        <v>12</v>
      </c>
      <c r="B8942" s="0" t="n">
        <v>2546463</v>
      </c>
      <c r="C8942" s="0" t="n">
        <v>2546483</v>
      </c>
      <c r="D8942" s="0" t="s">
        <v>29846</v>
      </c>
      <c r="E8942" s="0" t="s">
        <v>89</v>
      </c>
      <c r="F8942" s="0" t="s">
        <v>15</v>
      </c>
      <c r="G8942" s="0" t="s">
        <v>16</v>
      </c>
      <c r="H8942" s="0" t="n">
        <v>82</v>
      </c>
      <c r="I8942" s="0" t="s">
        <v>29856</v>
      </c>
      <c r="J8942" s="0" t="s">
        <v>29857</v>
      </c>
      <c r="K8942" s="0" t="s">
        <v>29858</v>
      </c>
      <c r="L8942" s="0" t="str">
        <f aca="false">HYPERLINK("https://www.ncbi.nlm.nih.gov/nuccore/CP000304.1?report=graph&amp;tracks=[key:gene_model_track,Options:GeneOnly]&amp;mk=2546382:2546401|offset_0|444444,2546407:2546426|offset_25|444444,2546439:2546458|offset_57|444444,2546464:2546483|offset_82|00cc00&amp;v=2546181:2546683&amp;c=444444", "offset 82")</f>
        <v>offset 82</v>
      </c>
    </row>
    <row r="8943" customFormat="false" ht="12.8" hidden="false" customHeight="false" outlineLevel="0" collapsed="false">
      <c r="A8943" s="0" t="s">
        <v>12</v>
      </c>
      <c r="B8943" s="0" t="n">
        <v>2547047</v>
      </c>
      <c r="C8943" s="0" t="n">
        <v>2547067</v>
      </c>
      <c r="D8943" s="0" t="s">
        <v>29859</v>
      </c>
      <c r="E8943" s="0" t="s">
        <v>29860</v>
      </c>
      <c r="F8943" s="0" t="s">
        <v>15</v>
      </c>
      <c r="G8943" s="0" t="s">
        <v>36</v>
      </c>
      <c r="H8943" s="0" t="n">
        <v>7</v>
      </c>
      <c r="I8943" s="0" t="s">
        <v>29861</v>
      </c>
      <c r="J8943" s="0" t="s">
        <v>29862</v>
      </c>
      <c r="K8943" s="0" t="s">
        <v>29863</v>
      </c>
      <c r="L8943" s="0" t="str">
        <f aca="false">HYPERLINK("https://www.ncbi.nlm.nih.gov/nuccore/CP000304.1?report=graph&amp;tracks=[key:gene_model_track,Options:GeneOnly]&amp;mk=2547048:2547067|offset_7|00cc00,2547073:2547092|offset_32|444444,2547100:2547119|offset_59|444444,2547122:2547141|offset_81|444444&amp;v=2546847:2547341&amp;c=444444", "offset 7")</f>
        <v>offset 7</v>
      </c>
    </row>
    <row r="8944" customFormat="false" ht="12.8" hidden="false" customHeight="false" outlineLevel="0" collapsed="false">
      <c r="A8944" s="0" t="s">
        <v>12</v>
      </c>
      <c r="B8944" s="0" t="n">
        <v>2547072</v>
      </c>
      <c r="C8944" s="0" t="n">
        <v>2547092</v>
      </c>
      <c r="D8944" s="0" t="s">
        <v>29859</v>
      </c>
      <c r="E8944" s="0" t="s">
        <v>29860</v>
      </c>
      <c r="F8944" s="0" t="s">
        <v>15</v>
      </c>
      <c r="G8944" s="0" t="s">
        <v>26</v>
      </c>
      <c r="H8944" s="0" t="n">
        <v>32</v>
      </c>
      <c r="I8944" s="0" t="s">
        <v>29864</v>
      </c>
      <c r="J8944" s="0" t="s">
        <v>29865</v>
      </c>
      <c r="K8944" s="0" t="s">
        <v>29866</v>
      </c>
      <c r="L8944" s="0" t="str">
        <f aca="false">HYPERLINK("https://www.ncbi.nlm.nih.gov/nuccore/CP000304.1?report=graph&amp;tracks=[key:gene_model_track,Options:GeneOnly]&amp;mk=2547048:2547067|offset_7|444444,2547073:2547092|offset_32|00cc00,2547100:2547119|offset_59|444444,2547122:2547141|offset_81|444444&amp;v=2546847:2547341&amp;c=444444", "offset 32")</f>
        <v>offset 32</v>
      </c>
    </row>
    <row r="8945" customFormat="false" ht="12.8" hidden="false" customHeight="false" outlineLevel="0" collapsed="false">
      <c r="A8945" s="0" t="s">
        <v>12</v>
      </c>
      <c r="B8945" s="0" t="n">
        <v>2547099</v>
      </c>
      <c r="C8945" s="0" t="n">
        <v>2547119</v>
      </c>
      <c r="D8945" s="0" t="s">
        <v>29859</v>
      </c>
      <c r="E8945" s="0" t="s">
        <v>29860</v>
      </c>
      <c r="F8945" s="0" t="s">
        <v>15</v>
      </c>
      <c r="G8945" s="0" t="s">
        <v>16</v>
      </c>
      <c r="H8945" s="0" t="n">
        <v>59</v>
      </c>
      <c r="I8945" s="0" t="s">
        <v>29867</v>
      </c>
      <c r="J8945" s="0" t="s">
        <v>29868</v>
      </c>
      <c r="K8945" s="0" t="s">
        <v>29869</v>
      </c>
      <c r="L8945" s="0" t="str">
        <f aca="false">HYPERLINK("https://www.ncbi.nlm.nih.gov/nuccore/CP000304.1?report=graph&amp;tracks=[key:gene_model_track,Options:GeneOnly]&amp;mk=2547048:2547067|offset_7|444444,2547073:2547092|offset_32|444444,2547100:2547119|offset_59|00cc00,2547122:2547141|offset_81|444444&amp;v=2546847:2547341&amp;c=444444", "offset 59")</f>
        <v>offset 59</v>
      </c>
    </row>
    <row r="8946" customFormat="false" ht="12.8" hidden="false" customHeight="false" outlineLevel="0" collapsed="false">
      <c r="A8946" s="0" t="s">
        <v>12</v>
      </c>
      <c r="B8946" s="0" t="n">
        <v>2547121</v>
      </c>
      <c r="C8946" s="0" t="n">
        <v>2547141</v>
      </c>
      <c r="D8946" s="0" t="s">
        <v>29859</v>
      </c>
      <c r="E8946" s="0" t="s">
        <v>29860</v>
      </c>
      <c r="F8946" s="0" t="s">
        <v>15</v>
      </c>
      <c r="G8946" s="0" t="s">
        <v>36</v>
      </c>
      <c r="H8946" s="0" t="n">
        <v>81</v>
      </c>
      <c r="I8946" s="0" t="s">
        <v>29870</v>
      </c>
      <c r="J8946" s="0" t="s">
        <v>29871</v>
      </c>
      <c r="K8946" s="0" t="s">
        <v>29872</v>
      </c>
      <c r="L8946" s="0" t="str">
        <f aca="false">HYPERLINK("https://www.ncbi.nlm.nih.gov/nuccore/CP000304.1?report=graph&amp;tracks=[key:gene_model_track,Options:GeneOnly]&amp;mk=2547048:2547067|offset_7|444444,2547073:2547092|offset_32|444444,2547100:2547119|offset_59|444444,2547122:2547141|offset_81|00cc00&amp;v=2546847:2547341&amp;c=444444", "offset 81")</f>
        <v>offset 81</v>
      </c>
    </row>
    <row r="8947" customFormat="false" ht="12.8" hidden="false" customHeight="false" outlineLevel="0" collapsed="false">
      <c r="A8947" s="0" t="s">
        <v>12</v>
      </c>
      <c r="B8947" s="0" t="n">
        <v>2548211</v>
      </c>
      <c r="C8947" s="0" t="n">
        <v>2548231</v>
      </c>
      <c r="D8947" s="0" t="s">
        <v>29873</v>
      </c>
      <c r="E8947" s="0" t="s">
        <v>89</v>
      </c>
      <c r="F8947" s="0" t="s">
        <v>90</v>
      </c>
      <c r="G8947" s="0" t="s">
        <v>32</v>
      </c>
      <c r="H8947" s="0" t="n">
        <v>1</v>
      </c>
      <c r="I8947" s="0" t="s">
        <v>29874</v>
      </c>
      <c r="J8947" s="0" t="s">
        <v>29875</v>
      </c>
      <c r="K8947" s="0" t="s">
        <v>29876</v>
      </c>
      <c r="L8947" s="0" t="str">
        <f aca="false">HYPERLINK("https://www.ncbi.nlm.nih.gov/nuccore/CP000304.1?report=graph&amp;tracks=[key:gene_model_track,Options:GeneOnly]&amp;mk=2548212:2548231|offset_1|00cc00,2548148:2548167|offset_65|444444,2548109:2548128|offset_104|444444,2548066:2548085|offset_147|444444&amp;v=2548011:2548285&amp;c=444444", "offset 1")</f>
        <v>offset 1</v>
      </c>
    </row>
    <row r="8948" customFormat="false" ht="12.8" hidden="false" customHeight="false" outlineLevel="0" collapsed="false">
      <c r="A8948" s="0" t="s">
        <v>12</v>
      </c>
      <c r="B8948" s="0" t="n">
        <v>2548147</v>
      </c>
      <c r="C8948" s="0" t="n">
        <v>2548167</v>
      </c>
      <c r="D8948" s="0" t="s">
        <v>29873</v>
      </c>
      <c r="E8948" s="0" t="s">
        <v>89</v>
      </c>
      <c r="F8948" s="0" t="s">
        <v>90</v>
      </c>
      <c r="G8948" s="0" t="s">
        <v>26</v>
      </c>
      <c r="H8948" s="0" t="n">
        <v>65</v>
      </c>
      <c r="I8948" s="0" t="s">
        <v>29877</v>
      </c>
      <c r="J8948" s="0" t="s">
        <v>29878</v>
      </c>
      <c r="K8948" s="0" t="s">
        <v>29879</v>
      </c>
      <c r="L8948" s="0" t="str">
        <f aca="false">HYPERLINK("https://www.ncbi.nlm.nih.gov/nuccore/CP000304.1?report=graph&amp;tracks=[key:gene_model_track,Options:GeneOnly]&amp;mk=2548212:2548231|offset_1|444444,2548148:2548167|offset_65|00cc00,2548109:2548128|offset_104|444444,2548066:2548085|offset_147|444444&amp;v=2548011:2548285&amp;c=444444", "offset 65")</f>
        <v>offset 65</v>
      </c>
    </row>
    <row r="8949" customFormat="false" ht="12.8" hidden="false" customHeight="false" outlineLevel="0" collapsed="false">
      <c r="A8949" s="0" t="s">
        <v>12</v>
      </c>
      <c r="B8949" s="0" t="n">
        <v>2548108</v>
      </c>
      <c r="C8949" s="0" t="n">
        <v>2548128</v>
      </c>
      <c r="D8949" s="0" t="s">
        <v>29873</v>
      </c>
      <c r="E8949" s="0" t="s">
        <v>89</v>
      </c>
      <c r="F8949" s="0" t="s">
        <v>90</v>
      </c>
      <c r="G8949" s="0" t="s">
        <v>26</v>
      </c>
      <c r="H8949" s="0" t="n">
        <v>104</v>
      </c>
      <c r="I8949" s="0" t="s">
        <v>29880</v>
      </c>
      <c r="J8949" s="0" t="s">
        <v>29881</v>
      </c>
      <c r="K8949" s="0" t="s">
        <v>29882</v>
      </c>
      <c r="L8949" s="0" t="str">
        <f aca="false">HYPERLINK("https://www.ncbi.nlm.nih.gov/nuccore/CP000304.1?report=graph&amp;tracks=[key:gene_model_track,Options:GeneOnly]&amp;mk=2548212:2548231|offset_1|444444,2548148:2548167|offset_65|444444,2548109:2548128|offset_104|00cc00,2548066:2548085|offset_147|444444&amp;v=2548011:2548285&amp;c=444444", "offset 104")</f>
        <v>offset 104</v>
      </c>
    </row>
    <row r="8950" customFormat="false" ht="12.8" hidden="false" customHeight="false" outlineLevel="0" collapsed="false">
      <c r="A8950" s="0" t="s">
        <v>12</v>
      </c>
      <c r="B8950" s="0" t="n">
        <v>2548065</v>
      </c>
      <c r="C8950" s="0" t="n">
        <v>2548085</v>
      </c>
      <c r="D8950" s="0" t="s">
        <v>29873</v>
      </c>
      <c r="E8950" s="0" t="s">
        <v>89</v>
      </c>
      <c r="F8950" s="0" t="s">
        <v>90</v>
      </c>
      <c r="G8950" s="0" t="s">
        <v>16</v>
      </c>
      <c r="H8950" s="0" t="n">
        <v>147</v>
      </c>
      <c r="I8950" s="0" t="s">
        <v>29883</v>
      </c>
      <c r="J8950" s="0" t="s">
        <v>29884</v>
      </c>
      <c r="K8950" s="0" t="s">
        <v>29885</v>
      </c>
      <c r="L8950" s="0" t="str">
        <f aca="false">HYPERLINK("https://www.ncbi.nlm.nih.gov/nuccore/CP000304.1?report=graph&amp;tracks=[key:gene_model_track,Options:GeneOnly]&amp;mk=2548212:2548231|offset_1|444444,2548148:2548167|offset_65|444444,2548109:2548128|offset_104|444444,2548066:2548085|offset_147|00cc00&amp;v=2548011:2548285&amp;c=444444", "offset 147")</f>
        <v>offset 147</v>
      </c>
    </row>
    <row r="8951" customFormat="false" ht="12.8" hidden="false" customHeight="false" outlineLevel="0" collapsed="false">
      <c r="A8951" s="0" t="s">
        <v>12</v>
      </c>
      <c r="B8951" s="0" t="n">
        <v>2549441</v>
      </c>
      <c r="C8951" s="0" t="n">
        <v>2549461</v>
      </c>
      <c r="D8951" s="0" t="s">
        <v>29886</v>
      </c>
      <c r="E8951" s="0" t="s">
        <v>89</v>
      </c>
      <c r="F8951" s="0" t="s">
        <v>90</v>
      </c>
      <c r="G8951" s="0" t="s">
        <v>26</v>
      </c>
      <c r="H8951" s="0" t="n">
        <v>11</v>
      </c>
      <c r="I8951" s="0" t="s">
        <v>29887</v>
      </c>
      <c r="J8951" s="0" t="s">
        <v>29888</v>
      </c>
      <c r="K8951" s="0" t="s">
        <v>29889</v>
      </c>
      <c r="L8951" s="0" t="str">
        <f aca="false">HYPERLINK("https://www.ncbi.nlm.nih.gov/nuccore/CP000304.1?report=graph&amp;tracks=[key:gene_model_track,Options:GeneOnly]&amp;mk=2549442:2549461|offset_11|00cc00,2549419:2549438|offset_34|444444,2549397:2549416|offset_56|444444,2549365:2549384|offset_88|444444&amp;v=2549241:2549584&amp;c=444444", "offset 11")</f>
        <v>offset 11</v>
      </c>
    </row>
    <row r="8952" customFormat="false" ht="12.8" hidden="false" customHeight="false" outlineLevel="0" collapsed="false">
      <c r="A8952" s="0" t="s">
        <v>12</v>
      </c>
      <c r="B8952" s="0" t="n">
        <v>2549418</v>
      </c>
      <c r="C8952" s="0" t="n">
        <v>2549438</v>
      </c>
      <c r="D8952" s="0" t="s">
        <v>29886</v>
      </c>
      <c r="E8952" s="0" t="s">
        <v>89</v>
      </c>
      <c r="F8952" s="0" t="s">
        <v>90</v>
      </c>
      <c r="G8952" s="0" t="s">
        <v>26</v>
      </c>
      <c r="H8952" s="0" t="n">
        <v>34</v>
      </c>
      <c r="I8952" s="0" t="s">
        <v>29890</v>
      </c>
      <c r="J8952" s="0" t="s">
        <v>29891</v>
      </c>
      <c r="K8952" s="0" t="s">
        <v>29892</v>
      </c>
      <c r="L8952" s="0" t="str">
        <f aca="false">HYPERLINK("https://www.ncbi.nlm.nih.gov/nuccore/CP000304.1?report=graph&amp;tracks=[key:gene_model_track,Options:GeneOnly]&amp;mk=2549442:2549461|offset_11|444444,2549419:2549438|offset_34|00cc00,2549397:2549416|offset_56|444444,2549365:2549384|offset_88|444444&amp;v=2549241:2549584&amp;c=444444", "offset 34")</f>
        <v>offset 34</v>
      </c>
    </row>
    <row r="8953" customFormat="false" ht="12.8" hidden="false" customHeight="false" outlineLevel="0" collapsed="false">
      <c r="A8953" s="0" t="s">
        <v>12</v>
      </c>
      <c r="B8953" s="0" t="n">
        <v>2549396</v>
      </c>
      <c r="C8953" s="0" t="n">
        <v>2549416</v>
      </c>
      <c r="D8953" s="0" t="s">
        <v>29886</v>
      </c>
      <c r="E8953" s="0" t="s">
        <v>89</v>
      </c>
      <c r="F8953" s="0" t="s">
        <v>90</v>
      </c>
      <c r="G8953" s="0" t="s">
        <v>26</v>
      </c>
      <c r="H8953" s="0" t="n">
        <v>56</v>
      </c>
      <c r="I8953" s="0" t="s">
        <v>29893</v>
      </c>
      <c r="J8953" s="0" t="s">
        <v>29894</v>
      </c>
      <c r="K8953" s="0" t="s">
        <v>29895</v>
      </c>
      <c r="L8953" s="0" t="str">
        <f aca="false">HYPERLINK("https://www.ncbi.nlm.nih.gov/nuccore/CP000304.1?report=graph&amp;tracks=[key:gene_model_track,Options:GeneOnly]&amp;mk=2549442:2549461|offset_11|444444,2549419:2549438|offset_34|444444,2549397:2549416|offset_56|00cc00,2549365:2549384|offset_88|444444&amp;v=2549241:2549584&amp;c=444444", "offset 56")</f>
        <v>offset 56</v>
      </c>
    </row>
    <row r="8954" customFormat="false" ht="12.8" hidden="false" customHeight="false" outlineLevel="0" collapsed="false">
      <c r="A8954" s="0" t="s">
        <v>12</v>
      </c>
      <c r="B8954" s="0" t="n">
        <v>2549364</v>
      </c>
      <c r="C8954" s="0" t="n">
        <v>2549384</v>
      </c>
      <c r="D8954" s="0" t="s">
        <v>29886</v>
      </c>
      <c r="E8954" s="0" t="s">
        <v>89</v>
      </c>
      <c r="F8954" s="0" t="s">
        <v>90</v>
      </c>
      <c r="G8954" s="0" t="s">
        <v>16</v>
      </c>
      <c r="H8954" s="0" t="n">
        <v>88</v>
      </c>
      <c r="I8954" s="0" t="s">
        <v>29896</v>
      </c>
      <c r="J8954" s="0" t="s">
        <v>29897</v>
      </c>
      <c r="K8954" s="0" t="s">
        <v>29898</v>
      </c>
      <c r="L8954" s="0" t="str">
        <f aca="false">HYPERLINK("https://www.ncbi.nlm.nih.gov/nuccore/CP000304.1?report=graph&amp;tracks=[key:gene_model_track,Options:GeneOnly]&amp;mk=2549442:2549461|offset_11|444444,2549419:2549438|offset_34|444444,2549397:2549416|offset_56|444444,2549365:2549384|offset_88|00cc00&amp;v=2549241:2549584&amp;c=444444", "offset 88")</f>
        <v>offset 88</v>
      </c>
    </row>
    <row r="8955" customFormat="false" ht="12.8" hidden="false" customHeight="false" outlineLevel="0" collapsed="false">
      <c r="A8955" s="0" t="s">
        <v>12</v>
      </c>
      <c r="B8955" s="0" t="n">
        <v>2549531</v>
      </c>
      <c r="C8955" s="0" t="n">
        <v>2549551</v>
      </c>
      <c r="D8955" s="0" t="s">
        <v>29899</v>
      </c>
      <c r="E8955" s="0" t="s">
        <v>89</v>
      </c>
      <c r="F8955" s="0" t="s">
        <v>15</v>
      </c>
      <c r="G8955" s="0" t="s">
        <v>26</v>
      </c>
      <c r="H8955" s="0" t="n">
        <v>6</v>
      </c>
      <c r="I8955" s="0" t="s">
        <v>29900</v>
      </c>
      <c r="J8955" s="0" t="s">
        <v>29901</v>
      </c>
      <c r="K8955" s="0" t="s">
        <v>29902</v>
      </c>
      <c r="L8955" s="0" t="str">
        <f aca="false">HYPERLINK("https://www.ncbi.nlm.nih.gov/nuccore/CP000304.1?report=graph&amp;tracks=[key:gene_model_track,Options:GeneOnly]&amp;mk=2549532:2549551|offset_6|00cc00,2549561:2549580|offset_35|444444,2549610:2549629|offset_84|444444,2549641:2549660|offset_115|444444&amp;v=2549331:2549860&amp;c=444444", "offset 6")</f>
        <v>offset 6</v>
      </c>
    </row>
    <row r="8956" customFormat="false" ht="12.8" hidden="false" customHeight="false" outlineLevel="0" collapsed="false">
      <c r="A8956" s="0" t="s">
        <v>12</v>
      </c>
      <c r="B8956" s="0" t="n">
        <v>2549560</v>
      </c>
      <c r="C8956" s="0" t="n">
        <v>2549580</v>
      </c>
      <c r="D8956" s="0" t="s">
        <v>29899</v>
      </c>
      <c r="E8956" s="0" t="s">
        <v>89</v>
      </c>
      <c r="F8956" s="0" t="s">
        <v>15</v>
      </c>
      <c r="G8956" s="0" t="s">
        <v>32</v>
      </c>
      <c r="H8956" s="0" t="n">
        <v>35</v>
      </c>
      <c r="I8956" s="0" t="s">
        <v>29903</v>
      </c>
      <c r="J8956" s="0" t="s">
        <v>29904</v>
      </c>
      <c r="K8956" s="0" t="s">
        <v>29905</v>
      </c>
      <c r="L8956" s="0" t="str">
        <f aca="false">HYPERLINK("https://www.ncbi.nlm.nih.gov/nuccore/CP000304.1?report=graph&amp;tracks=[key:gene_model_track,Options:GeneOnly]&amp;mk=2549532:2549551|offset_6|444444,2549561:2549580|offset_35|00cc00,2549610:2549629|offset_84|444444,2549641:2549660|offset_115|444444&amp;v=2549331:2549860&amp;c=444444", "offset 35")</f>
        <v>offset 35</v>
      </c>
    </row>
    <row r="8957" customFormat="false" ht="12.8" hidden="false" customHeight="false" outlineLevel="0" collapsed="false">
      <c r="A8957" s="0" t="s">
        <v>12</v>
      </c>
      <c r="B8957" s="0" t="n">
        <v>2549609</v>
      </c>
      <c r="C8957" s="0" t="n">
        <v>2549629</v>
      </c>
      <c r="D8957" s="0" t="s">
        <v>29899</v>
      </c>
      <c r="E8957" s="0" t="s">
        <v>89</v>
      </c>
      <c r="F8957" s="0" t="s">
        <v>15</v>
      </c>
      <c r="G8957" s="0" t="s">
        <v>26</v>
      </c>
      <c r="H8957" s="0" t="n">
        <v>84</v>
      </c>
      <c r="I8957" s="0" t="s">
        <v>29906</v>
      </c>
      <c r="J8957" s="0" t="s">
        <v>29907</v>
      </c>
      <c r="K8957" s="0" t="s">
        <v>29908</v>
      </c>
      <c r="L8957" s="0" t="str">
        <f aca="false">HYPERLINK("https://www.ncbi.nlm.nih.gov/nuccore/CP000304.1?report=graph&amp;tracks=[key:gene_model_track,Options:GeneOnly]&amp;mk=2549532:2549551|offset_6|444444,2549561:2549580|offset_35|444444,2549610:2549629|offset_84|00cc00,2549641:2549660|offset_115|444444&amp;v=2549331:2549860&amp;c=444444", "offset 84")</f>
        <v>offset 84</v>
      </c>
    </row>
    <row r="8958" customFormat="false" ht="12.8" hidden="false" customHeight="false" outlineLevel="0" collapsed="false">
      <c r="A8958" s="0" t="s">
        <v>12</v>
      </c>
      <c r="B8958" s="0" t="n">
        <v>2549640</v>
      </c>
      <c r="C8958" s="0" t="n">
        <v>2549660</v>
      </c>
      <c r="D8958" s="0" t="s">
        <v>29899</v>
      </c>
      <c r="E8958" s="0" t="s">
        <v>89</v>
      </c>
      <c r="F8958" s="0" t="s">
        <v>15</v>
      </c>
      <c r="G8958" s="0" t="s">
        <v>36</v>
      </c>
      <c r="H8958" s="0" t="n">
        <v>115</v>
      </c>
      <c r="I8958" s="0" t="s">
        <v>29909</v>
      </c>
      <c r="J8958" s="0" t="s">
        <v>29910</v>
      </c>
      <c r="K8958" s="0" t="s">
        <v>29911</v>
      </c>
      <c r="L8958" s="0" t="str">
        <f aca="false">HYPERLINK("https://www.ncbi.nlm.nih.gov/nuccore/CP000304.1?report=graph&amp;tracks=[key:gene_model_track,Options:GeneOnly]&amp;mk=2549532:2549551|offset_6|444444,2549561:2549580|offset_35|444444,2549610:2549629|offset_84|444444,2549641:2549660|offset_115|00cc00&amp;v=2549331:2549860&amp;c=444444", "offset 115")</f>
        <v>offset 115</v>
      </c>
    </row>
    <row r="8959" customFormat="false" ht="12.8" hidden="false" customHeight="false" outlineLevel="0" collapsed="false">
      <c r="A8959" s="0" t="s">
        <v>12</v>
      </c>
      <c r="B8959" s="0" t="n">
        <v>2551781</v>
      </c>
      <c r="C8959" s="0" t="n">
        <v>2551801</v>
      </c>
      <c r="D8959" s="0" t="s">
        <v>29912</v>
      </c>
      <c r="E8959" s="0" t="s">
        <v>29913</v>
      </c>
      <c r="F8959" s="0" t="s">
        <v>90</v>
      </c>
      <c r="G8959" s="0" t="s">
        <v>36</v>
      </c>
      <c r="H8959" s="0" t="n">
        <v>8</v>
      </c>
      <c r="I8959" s="0" t="s">
        <v>29914</v>
      </c>
      <c r="J8959" s="0" t="s">
        <v>29915</v>
      </c>
      <c r="K8959" s="0" t="s">
        <v>29916</v>
      </c>
      <c r="L8959" s="0" t="str">
        <f aca="false">HYPERLINK("https://www.ncbi.nlm.nih.gov/nuccore/CP000304.1?report=graph&amp;tracks=[key:gene_model_track,Options:GeneOnly]&amp;mk=2551782:2551801|offset_8|00cc00,2551743:2551762|offset_47|444444,2551686:2551705|offset_104|444444,2551657:2551676|offset_133|444444&amp;v=2551581:2551876&amp;c=444444", "offset 8")</f>
        <v>offset 8</v>
      </c>
    </row>
    <row r="8960" customFormat="false" ht="12.8" hidden="false" customHeight="false" outlineLevel="0" collapsed="false">
      <c r="A8960" s="0" t="s">
        <v>12</v>
      </c>
      <c r="B8960" s="0" t="n">
        <v>2551742</v>
      </c>
      <c r="C8960" s="0" t="n">
        <v>2551762</v>
      </c>
      <c r="D8960" s="0" t="s">
        <v>29912</v>
      </c>
      <c r="E8960" s="0" t="s">
        <v>29913</v>
      </c>
      <c r="F8960" s="0" t="s">
        <v>90</v>
      </c>
      <c r="G8960" s="0" t="s">
        <v>36</v>
      </c>
      <c r="H8960" s="0" t="n">
        <v>47</v>
      </c>
      <c r="I8960" s="0" t="s">
        <v>29917</v>
      </c>
      <c r="J8960" s="0" t="s">
        <v>29918</v>
      </c>
      <c r="K8960" s="0" t="s">
        <v>29919</v>
      </c>
      <c r="L8960" s="0" t="str">
        <f aca="false">HYPERLINK("https://www.ncbi.nlm.nih.gov/nuccore/CP000304.1?report=graph&amp;tracks=[key:gene_model_track,Options:GeneOnly]&amp;mk=2551782:2551801|offset_8|444444,2551743:2551762|offset_47|00cc00,2551686:2551705|offset_104|444444,2551657:2551676|offset_133|444444&amp;v=2551581:2551876&amp;c=444444", "offset 47")</f>
        <v>offset 47</v>
      </c>
    </row>
    <row r="8961" customFormat="false" ht="12.8" hidden="false" customHeight="false" outlineLevel="0" collapsed="false">
      <c r="A8961" s="0" t="s">
        <v>12</v>
      </c>
      <c r="B8961" s="0" t="n">
        <v>2551685</v>
      </c>
      <c r="C8961" s="0" t="n">
        <v>2551705</v>
      </c>
      <c r="D8961" s="0" t="s">
        <v>29912</v>
      </c>
      <c r="E8961" s="0" t="s">
        <v>29913</v>
      </c>
      <c r="F8961" s="0" t="s">
        <v>90</v>
      </c>
      <c r="G8961" s="0" t="s">
        <v>26</v>
      </c>
      <c r="H8961" s="0" t="n">
        <v>104</v>
      </c>
      <c r="I8961" s="0" t="s">
        <v>29920</v>
      </c>
      <c r="J8961" s="0" t="s">
        <v>29921</v>
      </c>
      <c r="K8961" s="0" t="s">
        <v>29922</v>
      </c>
      <c r="L8961" s="0" t="str">
        <f aca="false">HYPERLINK("https://www.ncbi.nlm.nih.gov/nuccore/CP000304.1?report=graph&amp;tracks=[key:gene_model_track,Options:GeneOnly]&amp;mk=2551782:2551801|offset_8|444444,2551743:2551762|offset_47|444444,2551686:2551705|offset_104|00cc00,2551657:2551676|offset_133|444444&amp;v=2551581:2551876&amp;c=444444", "offset 104")</f>
        <v>offset 104</v>
      </c>
    </row>
    <row r="8962" customFormat="false" ht="12.8" hidden="false" customHeight="false" outlineLevel="0" collapsed="false">
      <c r="A8962" s="0" t="s">
        <v>12</v>
      </c>
      <c r="B8962" s="0" t="n">
        <v>2551656</v>
      </c>
      <c r="C8962" s="0" t="n">
        <v>2551676</v>
      </c>
      <c r="D8962" s="0" t="s">
        <v>29912</v>
      </c>
      <c r="E8962" s="0" t="s">
        <v>29913</v>
      </c>
      <c r="F8962" s="0" t="s">
        <v>90</v>
      </c>
      <c r="G8962" s="0" t="s">
        <v>32</v>
      </c>
      <c r="H8962" s="0" t="n">
        <v>133</v>
      </c>
      <c r="I8962" s="0" t="s">
        <v>29923</v>
      </c>
      <c r="J8962" s="0" t="s">
        <v>29924</v>
      </c>
      <c r="K8962" s="0" t="s">
        <v>29925</v>
      </c>
      <c r="L8962" s="0" t="str">
        <f aca="false">HYPERLINK("https://www.ncbi.nlm.nih.gov/nuccore/CP000304.1?report=graph&amp;tracks=[key:gene_model_track,Options:GeneOnly]&amp;mk=2551782:2551801|offset_8|444444,2551743:2551762|offset_47|444444,2551686:2551705|offset_104|444444,2551657:2551676|offset_133|00cc00&amp;v=2551581:2551876&amp;c=444444", "offset 133")</f>
        <v>offset 133</v>
      </c>
    </row>
    <row r="8963" customFormat="false" ht="12.8" hidden="false" customHeight="false" outlineLevel="0" collapsed="false">
      <c r="A8963" s="0" t="s">
        <v>12</v>
      </c>
      <c r="B8963" s="0" t="n">
        <v>2552591</v>
      </c>
      <c r="C8963" s="0" t="n">
        <v>2552611</v>
      </c>
      <c r="D8963" s="0" t="s">
        <v>29926</v>
      </c>
      <c r="E8963" s="0" t="s">
        <v>29927</v>
      </c>
      <c r="F8963" s="0" t="s">
        <v>90</v>
      </c>
      <c r="G8963" s="0" t="s">
        <v>26</v>
      </c>
      <c r="H8963" s="0" t="n">
        <v>12</v>
      </c>
      <c r="I8963" s="0" t="s">
        <v>29928</v>
      </c>
      <c r="J8963" s="0" t="s">
        <v>29929</v>
      </c>
      <c r="K8963" s="0" t="s">
        <v>29930</v>
      </c>
      <c r="L8963" s="0" t="str">
        <f aca="false">HYPERLINK("https://www.ncbi.nlm.nih.gov/nuccore/CP000304.1?report=graph&amp;tracks=[key:gene_model_track,Options:GeneOnly]&amp;mk=2552592:2552611|offset_12|00cc00,2552543:2552562|offset_61|444444,2552495:2552514|offset_109|444444,2552438:2552457|offset_166|444444&amp;v=2552391:2552657&amp;c=444444", "offset 12")</f>
        <v>offset 12</v>
      </c>
    </row>
    <row r="8964" customFormat="false" ht="12.8" hidden="false" customHeight="false" outlineLevel="0" collapsed="false">
      <c r="A8964" s="0" t="s">
        <v>12</v>
      </c>
      <c r="B8964" s="0" t="n">
        <v>2552542</v>
      </c>
      <c r="C8964" s="0" t="n">
        <v>2552562</v>
      </c>
      <c r="D8964" s="0" t="s">
        <v>29926</v>
      </c>
      <c r="E8964" s="0" t="s">
        <v>29927</v>
      </c>
      <c r="F8964" s="0" t="s">
        <v>90</v>
      </c>
      <c r="G8964" s="0" t="s">
        <v>16</v>
      </c>
      <c r="H8964" s="0" t="n">
        <v>61</v>
      </c>
      <c r="I8964" s="0" t="s">
        <v>29931</v>
      </c>
      <c r="J8964" s="0" t="s">
        <v>29932</v>
      </c>
      <c r="K8964" s="0" t="s">
        <v>29933</v>
      </c>
      <c r="L8964" s="0" t="str">
        <f aca="false">HYPERLINK("https://www.ncbi.nlm.nih.gov/nuccore/CP000304.1?report=graph&amp;tracks=[key:gene_model_track,Options:GeneOnly]&amp;mk=2552592:2552611|offset_12|444444,2552543:2552562|offset_61|00cc00,2552495:2552514|offset_109|444444,2552438:2552457|offset_166|444444&amp;v=2552391:2552657&amp;c=444444", "offset 61")</f>
        <v>offset 61</v>
      </c>
    </row>
    <row r="8965" customFormat="false" ht="12.8" hidden="false" customHeight="false" outlineLevel="0" collapsed="false">
      <c r="A8965" s="0" t="s">
        <v>12</v>
      </c>
      <c r="B8965" s="0" t="n">
        <v>2552494</v>
      </c>
      <c r="C8965" s="0" t="n">
        <v>2552514</v>
      </c>
      <c r="D8965" s="0" t="s">
        <v>29926</v>
      </c>
      <c r="E8965" s="0" t="s">
        <v>29927</v>
      </c>
      <c r="F8965" s="0" t="s">
        <v>90</v>
      </c>
      <c r="G8965" s="0" t="s">
        <v>16</v>
      </c>
      <c r="H8965" s="0" t="n">
        <v>109</v>
      </c>
      <c r="I8965" s="0" t="s">
        <v>29934</v>
      </c>
      <c r="J8965" s="0" t="s">
        <v>29935</v>
      </c>
      <c r="K8965" s="0" t="s">
        <v>29936</v>
      </c>
      <c r="L8965" s="0" t="str">
        <f aca="false">HYPERLINK("https://www.ncbi.nlm.nih.gov/nuccore/CP000304.1?report=graph&amp;tracks=[key:gene_model_track,Options:GeneOnly]&amp;mk=2552592:2552611|offset_12|444444,2552543:2552562|offset_61|444444,2552495:2552514|offset_109|00cc00,2552438:2552457|offset_166|444444&amp;v=2552391:2552657&amp;c=444444", "offset 109")</f>
        <v>offset 109</v>
      </c>
    </row>
    <row r="8966" customFormat="false" ht="12.8" hidden="false" customHeight="false" outlineLevel="0" collapsed="false">
      <c r="A8966" s="0" t="s">
        <v>12</v>
      </c>
      <c r="B8966" s="0" t="n">
        <v>2552437</v>
      </c>
      <c r="C8966" s="0" t="n">
        <v>2552457</v>
      </c>
      <c r="D8966" s="0" t="s">
        <v>29926</v>
      </c>
      <c r="E8966" s="0" t="s">
        <v>29927</v>
      </c>
      <c r="F8966" s="0" t="s">
        <v>90</v>
      </c>
      <c r="G8966" s="0" t="s">
        <v>32</v>
      </c>
      <c r="H8966" s="0" t="n">
        <v>166</v>
      </c>
      <c r="I8966" s="0" t="s">
        <v>29937</v>
      </c>
      <c r="J8966" s="0" t="s">
        <v>29938</v>
      </c>
      <c r="K8966" s="0" t="s">
        <v>29939</v>
      </c>
      <c r="L8966" s="0" t="str">
        <f aca="false">HYPERLINK("https://www.ncbi.nlm.nih.gov/nuccore/CP000304.1?report=graph&amp;tracks=[key:gene_model_track,Options:GeneOnly]&amp;mk=2552592:2552611|offset_12|444444,2552543:2552562|offset_61|444444,2552495:2552514|offset_109|444444,2552438:2552457|offset_166|00cc00&amp;v=2552391:2552657&amp;c=444444", "offset 166")</f>
        <v>offset 166</v>
      </c>
    </row>
    <row r="8967" customFormat="false" ht="12.8" hidden="false" customHeight="false" outlineLevel="0" collapsed="false">
      <c r="A8967" s="0" t="s">
        <v>12</v>
      </c>
      <c r="B8967" s="0" t="n">
        <v>2554695</v>
      </c>
      <c r="C8967" s="0" t="n">
        <v>2554715</v>
      </c>
      <c r="D8967" s="0" t="s">
        <v>29940</v>
      </c>
      <c r="E8967" s="0" t="s">
        <v>89</v>
      </c>
      <c r="F8967" s="0" t="s">
        <v>90</v>
      </c>
      <c r="G8967" s="0" t="s">
        <v>36</v>
      </c>
      <c r="H8967" s="0" t="n">
        <v>25</v>
      </c>
      <c r="I8967" s="0" t="s">
        <v>29941</v>
      </c>
      <c r="J8967" s="0" t="s">
        <v>29942</v>
      </c>
      <c r="K8967" s="0" t="s">
        <v>29943</v>
      </c>
      <c r="L8967" s="0" t="str">
        <f aca="false">HYPERLINK("https://www.ncbi.nlm.nih.gov/nuccore/CP000304.1?report=graph&amp;tracks=[key:gene_model_track,Options:GeneOnly]&amp;mk=2554696:2554715|offset_25|00cc00,2554648:2554667|offset_73|444444,2554626:2554645|offset_95|444444,2554600:2554619|offset_121|444444&amp;v=2554495:2554819&amp;c=444444", "offset 25")</f>
        <v>offset 25</v>
      </c>
    </row>
    <row r="8968" customFormat="false" ht="12.8" hidden="false" customHeight="false" outlineLevel="0" collapsed="false">
      <c r="A8968" s="0" t="s">
        <v>12</v>
      </c>
      <c r="B8968" s="0" t="n">
        <v>2554647</v>
      </c>
      <c r="C8968" s="0" t="n">
        <v>2554667</v>
      </c>
      <c r="D8968" s="0" t="s">
        <v>29940</v>
      </c>
      <c r="E8968" s="0" t="s">
        <v>89</v>
      </c>
      <c r="F8968" s="0" t="s">
        <v>90</v>
      </c>
      <c r="G8968" s="0" t="s">
        <v>16</v>
      </c>
      <c r="H8968" s="0" t="n">
        <v>73</v>
      </c>
      <c r="I8968" s="0" t="s">
        <v>29944</v>
      </c>
      <c r="J8968" s="0" t="s">
        <v>29945</v>
      </c>
      <c r="K8968" s="0" t="s">
        <v>29946</v>
      </c>
      <c r="L8968" s="0" t="str">
        <f aca="false">HYPERLINK("https://www.ncbi.nlm.nih.gov/nuccore/CP000304.1?report=graph&amp;tracks=[key:gene_model_track,Options:GeneOnly]&amp;mk=2554696:2554715|offset_25|444444,2554648:2554667|offset_73|00cc00,2554626:2554645|offset_95|444444,2554600:2554619|offset_121|444444&amp;v=2554495:2554819&amp;c=444444", "offset 73")</f>
        <v>offset 73</v>
      </c>
    </row>
    <row r="8969" customFormat="false" ht="12.8" hidden="false" customHeight="false" outlineLevel="0" collapsed="false">
      <c r="A8969" s="0" t="s">
        <v>12</v>
      </c>
      <c r="B8969" s="0" t="n">
        <v>2554625</v>
      </c>
      <c r="C8969" s="0" t="n">
        <v>2554645</v>
      </c>
      <c r="D8969" s="0" t="s">
        <v>29940</v>
      </c>
      <c r="E8969" s="0" t="s">
        <v>89</v>
      </c>
      <c r="F8969" s="0" t="s">
        <v>90</v>
      </c>
      <c r="G8969" s="0" t="s">
        <v>16</v>
      </c>
      <c r="H8969" s="0" t="n">
        <v>95</v>
      </c>
      <c r="I8969" s="0" t="s">
        <v>29947</v>
      </c>
      <c r="J8969" s="0" t="s">
        <v>29948</v>
      </c>
      <c r="K8969" s="0" t="s">
        <v>29949</v>
      </c>
      <c r="L8969" s="0" t="str">
        <f aca="false">HYPERLINK("https://www.ncbi.nlm.nih.gov/nuccore/CP000304.1?report=graph&amp;tracks=[key:gene_model_track,Options:GeneOnly]&amp;mk=2554696:2554715|offset_25|444444,2554648:2554667|offset_73|444444,2554626:2554645|offset_95|00cc00,2554600:2554619|offset_121|444444&amp;v=2554495:2554819&amp;c=444444", "offset 95")</f>
        <v>offset 95</v>
      </c>
    </row>
    <row r="8970" customFormat="false" ht="12.8" hidden="false" customHeight="false" outlineLevel="0" collapsed="false">
      <c r="A8970" s="0" t="s">
        <v>12</v>
      </c>
      <c r="B8970" s="0" t="n">
        <v>2554599</v>
      </c>
      <c r="C8970" s="0" t="n">
        <v>2554619</v>
      </c>
      <c r="D8970" s="0" t="s">
        <v>29940</v>
      </c>
      <c r="E8970" s="0" t="s">
        <v>89</v>
      </c>
      <c r="F8970" s="0" t="s">
        <v>90</v>
      </c>
      <c r="G8970" s="0" t="s">
        <v>32</v>
      </c>
      <c r="H8970" s="0" t="n">
        <v>121</v>
      </c>
      <c r="I8970" s="0" t="s">
        <v>29950</v>
      </c>
      <c r="J8970" s="0" t="s">
        <v>29951</v>
      </c>
      <c r="K8970" s="0" t="s">
        <v>29952</v>
      </c>
      <c r="L8970" s="0" t="str">
        <f aca="false">HYPERLINK("https://www.ncbi.nlm.nih.gov/nuccore/CP000304.1?report=graph&amp;tracks=[key:gene_model_track,Options:GeneOnly]&amp;mk=2554696:2554715|offset_25|444444,2554648:2554667|offset_73|444444,2554626:2554645|offset_95|444444,2554600:2554619|offset_121|00cc00&amp;v=2554495:2554819&amp;c=444444", "offset 121")</f>
        <v>offset 121</v>
      </c>
    </row>
    <row r="8971" customFormat="false" ht="12.8" hidden="false" customHeight="false" outlineLevel="0" collapsed="false">
      <c r="A8971" s="0" t="s">
        <v>12</v>
      </c>
      <c r="B8971" s="0" t="n">
        <v>2555895</v>
      </c>
      <c r="C8971" s="0" t="n">
        <v>2555915</v>
      </c>
      <c r="D8971" s="0" t="s">
        <v>29953</v>
      </c>
      <c r="E8971" s="0" t="s">
        <v>29954</v>
      </c>
      <c r="F8971" s="0" t="s">
        <v>90</v>
      </c>
      <c r="G8971" s="0" t="s">
        <v>26</v>
      </c>
      <c r="H8971" s="0" t="n">
        <v>18</v>
      </c>
      <c r="I8971" s="0" t="s">
        <v>29955</v>
      </c>
      <c r="J8971" s="0" t="s">
        <v>29956</v>
      </c>
      <c r="K8971" s="0" t="s">
        <v>29957</v>
      </c>
      <c r="L8971" s="0" t="str">
        <f aca="false">HYPERLINK("https://www.ncbi.nlm.nih.gov/nuccore/CP000304.1?report=graph&amp;tracks=[key:gene_model_track,Options:GeneOnly]&amp;mk=2555896:2555915|offset_18|00cc00,2555843:2555862|offset_71|444444,2555820:2555839|offset_94|444444,2555796:2555815|offset_118|444444&amp;v=2555695:2556015&amp;c=444444", "offset 18")</f>
        <v>offset 18</v>
      </c>
    </row>
    <row r="8972" customFormat="false" ht="12.8" hidden="false" customHeight="false" outlineLevel="0" collapsed="false">
      <c r="A8972" s="0" t="s">
        <v>12</v>
      </c>
      <c r="B8972" s="0" t="n">
        <v>2555842</v>
      </c>
      <c r="C8972" s="0" t="n">
        <v>2555862</v>
      </c>
      <c r="D8972" s="0" t="s">
        <v>29953</v>
      </c>
      <c r="E8972" s="0" t="s">
        <v>29954</v>
      </c>
      <c r="F8972" s="0" t="s">
        <v>90</v>
      </c>
      <c r="G8972" s="0" t="s">
        <v>36</v>
      </c>
      <c r="H8972" s="0" t="n">
        <v>71</v>
      </c>
      <c r="I8972" s="0" t="s">
        <v>29958</v>
      </c>
      <c r="J8972" s="0" t="s">
        <v>29959</v>
      </c>
      <c r="K8972" s="0" t="s">
        <v>29960</v>
      </c>
      <c r="L8972" s="0" t="str">
        <f aca="false">HYPERLINK("https://www.ncbi.nlm.nih.gov/nuccore/CP000304.1?report=graph&amp;tracks=[key:gene_model_track,Options:GeneOnly]&amp;mk=2555896:2555915|offset_18|444444,2555843:2555862|offset_71|00cc00,2555820:2555839|offset_94|444444,2555796:2555815|offset_118|444444&amp;v=2555695:2556015&amp;c=444444", "offset 71")</f>
        <v>offset 71</v>
      </c>
    </row>
    <row r="8973" customFormat="false" ht="12.8" hidden="false" customHeight="false" outlineLevel="0" collapsed="false">
      <c r="A8973" s="0" t="s">
        <v>12</v>
      </c>
      <c r="B8973" s="0" t="n">
        <v>2555819</v>
      </c>
      <c r="C8973" s="0" t="n">
        <v>2555839</v>
      </c>
      <c r="D8973" s="0" t="s">
        <v>29953</v>
      </c>
      <c r="E8973" s="0" t="s">
        <v>29954</v>
      </c>
      <c r="F8973" s="0" t="s">
        <v>90</v>
      </c>
      <c r="G8973" s="0" t="s">
        <v>32</v>
      </c>
      <c r="H8973" s="0" t="n">
        <v>94</v>
      </c>
      <c r="I8973" s="0" t="s">
        <v>29961</v>
      </c>
      <c r="J8973" s="0" t="s">
        <v>29962</v>
      </c>
      <c r="K8973" s="0" t="s">
        <v>29963</v>
      </c>
      <c r="L8973" s="0" t="str">
        <f aca="false">HYPERLINK("https://www.ncbi.nlm.nih.gov/nuccore/CP000304.1?report=graph&amp;tracks=[key:gene_model_track,Options:GeneOnly]&amp;mk=2555896:2555915|offset_18|444444,2555843:2555862|offset_71|444444,2555820:2555839|offset_94|00cc00,2555796:2555815|offset_118|444444&amp;v=2555695:2556015&amp;c=444444", "offset 94")</f>
        <v>offset 94</v>
      </c>
    </row>
    <row r="8974" customFormat="false" ht="12.8" hidden="false" customHeight="false" outlineLevel="0" collapsed="false">
      <c r="A8974" s="0" t="s">
        <v>12</v>
      </c>
      <c r="B8974" s="0" t="n">
        <v>2555795</v>
      </c>
      <c r="C8974" s="0" t="n">
        <v>2555815</v>
      </c>
      <c r="D8974" s="0" t="s">
        <v>29953</v>
      </c>
      <c r="E8974" s="0" t="s">
        <v>29954</v>
      </c>
      <c r="F8974" s="0" t="s">
        <v>90</v>
      </c>
      <c r="G8974" s="0" t="s">
        <v>32</v>
      </c>
      <c r="H8974" s="0" t="n">
        <v>118</v>
      </c>
      <c r="I8974" s="0" t="s">
        <v>29964</v>
      </c>
      <c r="J8974" s="0" t="s">
        <v>29965</v>
      </c>
      <c r="K8974" s="0" t="s">
        <v>29966</v>
      </c>
      <c r="L8974" s="0" t="str">
        <f aca="false">HYPERLINK("https://www.ncbi.nlm.nih.gov/nuccore/CP000304.1?report=graph&amp;tracks=[key:gene_model_track,Options:GeneOnly]&amp;mk=2555896:2555915|offset_18|444444,2555843:2555862|offset_71|444444,2555820:2555839|offset_94|444444,2555796:2555815|offset_118|00cc00&amp;v=2555695:2556015&amp;c=444444", "offset 118")</f>
        <v>offset 118</v>
      </c>
    </row>
    <row r="8975" customFormat="false" ht="12.8" hidden="false" customHeight="false" outlineLevel="0" collapsed="false">
      <c r="A8975" s="0" t="s">
        <v>12</v>
      </c>
      <c r="B8975" s="0" t="n">
        <v>2557115</v>
      </c>
      <c r="C8975" s="0" t="n">
        <v>2557135</v>
      </c>
      <c r="D8975" s="0" t="s">
        <v>29967</v>
      </c>
      <c r="E8975" s="0" t="s">
        <v>29968</v>
      </c>
      <c r="F8975" s="0" t="s">
        <v>90</v>
      </c>
      <c r="G8975" s="0" t="s">
        <v>16</v>
      </c>
      <c r="H8975" s="0" t="n">
        <v>13</v>
      </c>
      <c r="I8975" s="0" t="s">
        <v>29969</v>
      </c>
      <c r="J8975" s="0" t="s">
        <v>29970</v>
      </c>
      <c r="K8975" s="0" t="s">
        <v>29971</v>
      </c>
      <c r="L8975" s="0" t="str">
        <f aca="false">HYPERLINK("https://www.ncbi.nlm.nih.gov/nuccore/CP000304.1?report=graph&amp;tracks=[key:gene_model_track,Options:GeneOnly]&amp;mk=2557116:2557135|offset_13|00cc00,2557041:2557060|offset_88|444444,2557008:2557027|offset_121|444444,2556971:2556990|offset_158|444444&amp;v=2556915:2557190&amp;c=444444", "offset 13")</f>
        <v>offset 13</v>
      </c>
    </row>
    <row r="8976" customFormat="false" ht="12.8" hidden="false" customHeight="false" outlineLevel="0" collapsed="false">
      <c r="A8976" s="0" t="s">
        <v>12</v>
      </c>
      <c r="B8976" s="0" t="n">
        <v>2557040</v>
      </c>
      <c r="C8976" s="0" t="n">
        <v>2557060</v>
      </c>
      <c r="D8976" s="0" t="s">
        <v>29967</v>
      </c>
      <c r="E8976" s="0" t="s">
        <v>29968</v>
      </c>
      <c r="F8976" s="0" t="s">
        <v>90</v>
      </c>
      <c r="G8976" s="0" t="s">
        <v>36</v>
      </c>
      <c r="H8976" s="0" t="n">
        <v>88</v>
      </c>
      <c r="I8976" s="0" t="s">
        <v>29972</v>
      </c>
      <c r="J8976" s="0" t="s">
        <v>29973</v>
      </c>
      <c r="K8976" s="0" t="s">
        <v>29974</v>
      </c>
      <c r="L8976" s="0" t="str">
        <f aca="false">HYPERLINK("https://www.ncbi.nlm.nih.gov/nuccore/CP000304.1?report=graph&amp;tracks=[key:gene_model_track,Options:GeneOnly]&amp;mk=2557116:2557135|offset_13|444444,2557041:2557060|offset_88|00cc00,2557008:2557027|offset_121|444444,2556971:2556990|offset_158|444444&amp;v=2556915:2557190&amp;c=444444", "offset 88")</f>
        <v>offset 88</v>
      </c>
    </row>
    <row r="8977" customFormat="false" ht="12.8" hidden="false" customHeight="false" outlineLevel="0" collapsed="false">
      <c r="A8977" s="0" t="s">
        <v>12</v>
      </c>
      <c r="B8977" s="0" t="n">
        <v>2557007</v>
      </c>
      <c r="C8977" s="0" t="n">
        <v>2557027</v>
      </c>
      <c r="D8977" s="0" t="s">
        <v>29967</v>
      </c>
      <c r="E8977" s="0" t="s">
        <v>29968</v>
      </c>
      <c r="F8977" s="0" t="s">
        <v>90</v>
      </c>
      <c r="G8977" s="0" t="s">
        <v>16</v>
      </c>
      <c r="H8977" s="0" t="n">
        <v>121</v>
      </c>
      <c r="I8977" s="0" t="s">
        <v>29975</v>
      </c>
      <c r="J8977" s="0" t="s">
        <v>29976</v>
      </c>
      <c r="K8977" s="0" t="s">
        <v>29977</v>
      </c>
      <c r="L8977" s="0" t="str">
        <f aca="false">HYPERLINK("https://www.ncbi.nlm.nih.gov/nuccore/CP000304.1?report=graph&amp;tracks=[key:gene_model_track,Options:GeneOnly]&amp;mk=2557116:2557135|offset_13|444444,2557041:2557060|offset_88|444444,2557008:2557027|offset_121|00cc00,2556971:2556990|offset_158|444444&amp;v=2556915:2557190&amp;c=444444", "offset 121")</f>
        <v>offset 121</v>
      </c>
    </row>
    <row r="8978" customFormat="false" ht="12.8" hidden="false" customHeight="false" outlineLevel="0" collapsed="false">
      <c r="A8978" s="0" t="s">
        <v>12</v>
      </c>
      <c r="B8978" s="0" t="n">
        <v>2556970</v>
      </c>
      <c r="C8978" s="0" t="n">
        <v>2556990</v>
      </c>
      <c r="D8978" s="0" t="s">
        <v>29967</v>
      </c>
      <c r="E8978" s="0" t="s">
        <v>29968</v>
      </c>
      <c r="F8978" s="0" t="s">
        <v>90</v>
      </c>
      <c r="G8978" s="0" t="s">
        <v>16</v>
      </c>
      <c r="H8978" s="0" t="n">
        <v>158</v>
      </c>
      <c r="I8978" s="0" t="s">
        <v>29978</v>
      </c>
      <c r="J8978" s="0" t="s">
        <v>29979</v>
      </c>
      <c r="K8978" s="0" t="s">
        <v>29980</v>
      </c>
      <c r="L8978" s="0" t="str">
        <f aca="false">HYPERLINK("https://www.ncbi.nlm.nih.gov/nuccore/CP000304.1?report=graph&amp;tracks=[key:gene_model_track,Options:GeneOnly]&amp;mk=2557116:2557135|offset_13|444444,2557041:2557060|offset_88|444444,2557008:2557027|offset_121|444444,2556971:2556990|offset_158|00cc00&amp;v=2556915:2557190&amp;c=444444", "offset 158")</f>
        <v>offset 158</v>
      </c>
    </row>
    <row r="8979" customFormat="false" ht="12.8" hidden="false" customHeight="false" outlineLevel="0" collapsed="false">
      <c r="A8979" s="0" t="s">
        <v>12</v>
      </c>
      <c r="B8979" s="0" t="n">
        <v>2558260</v>
      </c>
      <c r="C8979" s="0" t="n">
        <v>2558280</v>
      </c>
      <c r="D8979" s="0" t="s">
        <v>29981</v>
      </c>
      <c r="E8979" s="0" t="s">
        <v>29982</v>
      </c>
      <c r="F8979" s="0" t="s">
        <v>90</v>
      </c>
      <c r="G8979" s="0" t="s">
        <v>32</v>
      </c>
      <c r="H8979" s="0" t="n">
        <v>19</v>
      </c>
      <c r="I8979" s="0" t="s">
        <v>29983</v>
      </c>
      <c r="J8979" s="0" t="s">
        <v>29984</v>
      </c>
      <c r="K8979" s="0" t="s">
        <v>29985</v>
      </c>
      <c r="L8979" s="0" t="str">
        <f aca="false">HYPERLINK("https://www.ncbi.nlm.nih.gov/nuccore/CP000304.1?report=graph&amp;tracks=[key:gene_model_track,Options:GeneOnly]&amp;mk=2558261:2558280|offset_19|00cc00,2558198:2558217|offset_82|444444,2558178:2558197|offset_102|444444,2558155:2558174|offset_125|444444&amp;v=2558060:2558374&amp;c=444444", "offset 19")</f>
        <v>offset 19</v>
      </c>
    </row>
    <row r="8980" customFormat="false" ht="12.8" hidden="false" customHeight="false" outlineLevel="0" collapsed="false">
      <c r="A8980" s="0" t="s">
        <v>12</v>
      </c>
      <c r="B8980" s="0" t="n">
        <v>2558197</v>
      </c>
      <c r="C8980" s="0" t="n">
        <v>2558217</v>
      </c>
      <c r="D8980" s="0" t="s">
        <v>29981</v>
      </c>
      <c r="E8980" s="0" t="s">
        <v>29982</v>
      </c>
      <c r="F8980" s="0" t="s">
        <v>90</v>
      </c>
      <c r="G8980" s="0" t="s">
        <v>26</v>
      </c>
      <c r="H8980" s="0" t="n">
        <v>82</v>
      </c>
      <c r="I8980" s="0" t="s">
        <v>29986</v>
      </c>
      <c r="J8980" s="0" t="s">
        <v>29987</v>
      </c>
      <c r="K8980" s="0" t="s">
        <v>29988</v>
      </c>
      <c r="L8980" s="0" t="str">
        <f aca="false">HYPERLINK("https://www.ncbi.nlm.nih.gov/nuccore/CP000304.1?report=graph&amp;tracks=[key:gene_model_track,Options:GeneOnly]&amp;mk=2558261:2558280|offset_19|444444,2558198:2558217|offset_82|00cc00,2558178:2558197|offset_102|444444,2558155:2558174|offset_125|444444&amp;v=2558060:2558374&amp;c=444444", "offset 82")</f>
        <v>offset 82</v>
      </c>
    </row>
    <row r="8981" customFormat="false" ht="12.8" hidden="false" customHeight="false" outlineLevel="0" collapsed="false">
      <c r="A8981" s="0" t="s">
        <v>12</v>
      </c>
      <c r="B8981" s="0" t="n">
        <v>2558177</v>
      </c>
      <c r="C8981" s="0" t="n">
        <v>2558197</v>
      </c>
      <c r="D8981" s="0" t="s">
        <v>29981</v>
      </c>
      <c r="E8981" s="0" t="s">
        <v>29982</v>
      </c>
      <c r="F8981" s="0" t="s">
        <v>90</v>
      </c>
      <c r="G8981" s="0" t="s">
        <v>16</v>
      </c>
      <c r="H8981" s="0" t="n">
        <v>102</v>
      </c>
      <c r="I8981" s="0" t="s">
        <v>29989</v>
      </c>
      <c r="J8981" s="0" t="s">
        <v>29990</v>
      </c>
      <c r="K8981" s="0" t="s">
        <v>29991</v>
      </c>
      <c r="L8981" s="0" t="str">
        <f aca="false">HYPERLINK("https://www.ncbi.nlm.nih.gov/nuccore/CP000304.1?report=graph&amp;tracks=[key:gene_model_track,Options:GeneOnly]&amp;mk=2558261:2558280|offset_19|444444,2558198:2558217|offset_82|444444,2558178:2558197|offset_102|00cc00,2558155:2558174|offset_125|444444&amp;v=2558060:2558374&amp;c=444444", "offset 102")</f>
        <v>offset 102</v>
      </c>
    </row>
    <row r="8982" customFormat="false" ht="12.8" hidden="false" customHeight="false" outlineLevel="0" collapsed="false">
      <c r="A8982" s="0" t="s">
        <v>12</v>
      </c>
      <c r="B8982" s="0" t="n">
        <v>2558154</v>
      </c>
      <c r="C8982" s="0" t="n">
        <v>2558174</v>
      </c>
      <c r="D8982" s="0" t="s">
        <v>29981</v>
      </c>
      <c r="E8982" s="0" t="s">
        <v>29982</v>
      </c>
      <c r="F8982" s="0" t="s">
        <v>90</v>
      </c>
      <c r="G8982" s="0" t="s">
        <v>26</v>
      </c>
      <c r="H8982" s="0" t="n">
        <v>125</v>
      </c>
      <c r="I8982" s="0" t="s">
        <v>29992</v>
      </c>
      <c r="J8982" s="0" t="s">
        <v>29993</v>
      </c>
      <c r="K8982" s="0" t="s">
        <v>29994</v>
      </c>
      <c r="L8982" s="0" t="str">
        <f aca="false">HYPERLINK("https://www.ncbi.nlm.nih.gov/nuccore/CP000304.1?report=graph&amp;tracks=[key:gene_model_track,Options:GeneOnly]&amp;mk=2558261:2558280|offset_19|444444,2558198:2558217|offset_82|444444,2558178:2558197|offset_102|444444,2558155:2558174|offset_125|00cc00&amp;v=2558060:2558374&amp;c=444444", "offset 125")</f>
        <v>offset 125</v>
      </c>
    </row>
    <row r="8983" customFormat="false" ht="12.8" hidden="false" customHeight="false" outlineLevel="0" collapsed="false">
      <c r="A8983" s="0" t="s">
        <v>12</v>
      </c>
      <c r="B8983" s="0" t="n">
        <v>2561188</v>
      </c>
      <c r="C8983" s="0" t="n">
        <v>2561208</v>
      </c>
      <c r="D8983" s="0" t="s">
        <v>29995</v>
      </c>
      <c r="E8983" s="0" t="s">
        <v>29996</v>
      </c>
      <c r="F8983" s="0" t="s">
        <v>90</v>
      </c>
      <c r="G8983" s="0" t="s">
        <v>32</v>
      </c>
      <c r="H8983" s="0" t="n">
        <v>9</v>
      </c>
      <c r="I8983" s="0" t="s">
        <v>29997</v>
      </c>
      <c r="J8983" s="0" t="s">
        <v>29998</v>
      </c>
      <c r="K8983" s="0" t="s">
        <v>29999</v>
      </c>
      <c r="L8983" s="0" t="str">
        <f aca="false">HYPERLINK("https://www.ncbi.nlm.nih.gov/nuccore/CP000304.1?report=graph&amp;tracks=[key:gene_model_track,Options:GeneOnly]&amp;mk=2561189:2561208|offset_9|00cc00,2561167:2561186|offset_31|444444,2561140:2561159|offset_58|444444,2561115:2561134|offset_83|444444&amp;v=2560988:2561334&amp;c=444444", "offset 9")</f>
        <v>offset 9</v>
      </c>
    </row>
    <row r="8984" customFormat="false" ht="12.8" hidden="false" customHeight="false" outlineLevel="0" collapsed="false">
      <c r="A8984" s="0" t="s">
        <v>12</v>
      </c>
      <c r="B8984" s="0" t="n">
        <v>2561166</v>
      </c>
      <c r="C8984" s="0" t="n">
        <v>2561186</v>
      </c>
      <c r="D8984" s="0" t="s">
        <v>29995</v>
      </c>
      <c r="E8984" s="0" t="s">
        <v>29996</v>
      </c>
      <c r="F8984" s="0" t="s">
        <v>90</v>
      </c>
      <c r="G8984" s="0" t="s">
        <v>36</v>
      </c>
      <c r="H8984" s="0" t="n">
        <v>31</v>
      </c>
      <c r="I8984" s="0" t="s">
        <v>30000</v>
      </c>
      <c r="J8984" s="0" t="s">
        <v>30001</v>
      </c>
      <c r="K8984" s="0" t="s">
        <v>30002</v>
      </c>
      <c r="L8984" s="0" t="str">
        <f aca="false">HYPERLINK("https://www.ncbi.nlm.nih.gov/nuccore/CP000304.1?report=graph&amp;tracks=[key:gene_model_track,Options:GeneOnly]&amp;mk=2561189:2561208|offset_9|444444,2561167:2561186|offset_31|00cc00,2561140:2561159|offset_58|444444,2561115:2561134|offset_83|444444&amp;v=2560988:2561334&amp;c=444444", "offset 31")</f>
        <v>offset 31</v>
      </c>
    </row>
    <row r="8985" customFormat="false" ht="12.8" hidden="false" customHeight="false" outlineLevel="0" collapsed="false">
      <c r="A8985" s="0" t="s">
        <v>12</v>
      </c>
      <c r="B8985" s="0" t="n">
        <v>2561139</v>
      </c>
      <c r="C8985" s="0" t="n">
        <v>2561159</v>
      </c>
      <c r="D8985" s="0" t="s">
        <v>29995</v>
      </c>
      <c r="E8985" s="0" t="s">
        <v>29996</v>
      </c>
      <c r="F8985" s="0" t="s">
        <v>90</v>
      </c>
      <c r="G8985" s="0" t="s">
        <v>32</v>
      </c>
      <c r="H8985" s="0" t="n">
        <v>58</v>
      </c>
      <c r="I8985" s="0" t="s">
        <v>30003</v>
      </c>
      <c r="J8985" s="0" t="s">
        <v>30004</v>
      </c>
      <c r="K8985" s="0" t="s">
        <v>30005</v>
      </c>
      <c r="L8985" s="0" t="str">
        <f aca="false">HYPERLINK("https://www.ncbi.nlm.nih.gov/nuccore/CP000304.1?report=graph&amp;tracks=[key:gene_model_track,Options:GeneOnly]&amp;mk=2561189:2561208|offset_9|444444,2561167:2561186|offset_31|444444,2561140:2561159|offset_58|00cc00,2561115:2561134|offset_83|444444&amp;v=2560988:2561334&amp;c=444444", "offset 58")</f>
        <v>offset 58</v>
      </c>
    </row>
    <row r="8986" customFormat="false" ht="12.8" hidden="false" customHeight="false" outlineLevel="0" collapsed="false">
      <c r="A8986" s="0" t="s">
        <v>12</v>
      </c>
      <c r="B8986" s="0" t="n">
        <v>2561114</v>
      </c>
      <c r="C8986" s="0" t="n">
        <v>2561134</v>
      </c>
      <c r="D8986" s="0" t="s">
        <v>29995</v>
      </c>
      <c r="E8986" s="0" t="s">
        <v>29996</v>
      </c>
      <c r="F8986" s="0" t="s">
        <v>90</v>
      </c>
      <c r="G8986" s="0" t="s">
        <v>26</v>
      </c>
      <c r="H8986" s="0" t="n">
        <v>83</v>
      </c>
      <c r="I8986" s="0" t="s">
        <v>30006</v>
      </c>
      <c r="J8986" s="0" t="s">
        <v>30007</v>
      </c>
      <c r="K8986" s="0" t="s">
        <v>30008</v>
      </c>
      <c r="L8986" s="0" t="str">
        <f aca="false">HYPERLINK("https://www.ncbi.nlm.nih.gov/nuccore/CP000304.1?report=graph&amp;tracks=[key:gene_model_track,Options:GeneOnly]&amp;mk=2561189:2561208|offset_9|444444,2561167:2561186|offset_31|444444,2561140:2561159|offset_58|444444,2561115:2561134|offset_83|00cc00&amp;v=2560988:2561334&amp;c=444444", "offset 83")</f>
        <v>offset 83</v>
      </c>
    </row>
    <row r="8987" customFormat="false" ht="12.8" hidden="false" customHeight="false" outlineLevel="0" collapsed="false">
      <c r="A8987" s="0" t="s">
        <v>12</v>
      </c>
      <c r="B8987" s="0" t="n">
        <v>2562668</v>
      </c>
      <c r="C8987" s="0" t="n">
        <v>2562688</v>
      </c>
      <c r="D8987" s="0" t="s">
        <v>30009</v>
      </c>
      <c r="E8987" s="0" t="s">
        <v>89</v>
      </c>
      <c r="F8987" s="0" t="s">
        <v>90</v>
      </c>
      <c r="G8987" s="0" t="s">
        <v>16</v>
      </c>
      <c r="H8987" s="0" t="n">
        <v>39</v>
      </c>
      <c r="I8987" s="0" t="s">
        <v>30010</v>
      </c>
      <c r="J8987" s="0" t="s">
        <v>30011</v>
      </c>
      <c r="K8987" s="0" t="s">
        <v>30012</v>
      </c>
      <c r="L8987" s="0" t="str">
        <f aca="false">HYPERLINK("https://www.ncbi.nlm.nih.gov/nuccore/CP000304.1?report=graph&amp;tracks=[key:gene_model_track,Options:GeneOnly]&amp;mk=2562669:2562688|offset_39|00cc00,2562636:2562655|offset_72|444444,2562616:2562635|offset_92|444444,2562561:2562580|offset_147|444444&amp;v=2562468:2562780&amp;c=444444", "offset 39")</f>
        <v>offset 39</v>
      </c>
    </row>
    <row r="8988" customFormat="false" ht="12.8" hidden="false" customHeight="false" outlineLevel="0" collapsed="false">
      <c r="A8988" s="0" t="s">
        <v>12</v>
      </c>
      <c r="B8988" s="0" t="n">
        <v>2562635</v>
      </c>
      <c r="C8988" s="0" t="n">
        <v>2562655</v>
      </c>
      <c r="D8988" s="0" t="s">
        <v>30009</v>
      </c>
      <c r="E8988" s="0" t="s">
        <v>89</v>
      </c>
      <c r="F8988" s="0" t="s">
        <v>90</v>
      </c>
      <c r="G8988" s="0" t="s">
        <v>36</v>
      </c>
      <c r="H8988" s="0" t="n">
        <v>72</v>
      </c>
      <c r="I8988" s="0" t="s">
        <v>30013</v>
      </c>
      <c r="J8988" s="0" t="s">
        <v>30014</v>
      </c>
      <c r="K8988" s="0" t="s">
        <v>30015</v>
      </c>
      <c r="L8988" s="0" t="str">
        <f aca="false">HYPERLINK("https://www.ncbi.nlm.nih.gov/nuccore/CP000304.1?report=graph&amp;tracks=[key:gene_model_track,Options:GeneOnly]&amp;mk=2562669:2562688|offset_39|444444,2562636:2562655|offset_72|00cc00,2562616:2562635|offset_92|444444,2562561:2562580|offset_147|444444&amp;v=2562468:2562780&amp;c=444444", "offset 72")</f>
        <v>offset 72</v>
      </c>
    </row>
    <row r="8989" customFormat="false" ht="12.8" hidden="false" customHeight="false" outlineLevel="0" collapsed="false">
      <c r="A8989" s="0" t="s">
        <v>12</v>
      </c>
      <c r="B8989" s="0" t="n">
        <v>2562615</v>
      </c>
      <c r="C8989" s="0" t="n">
        <v>2562635</v>
      </c>
      <c r="D8989" s="0" t="s">
        <v>30009</v>
      </c>
      <c r="E8989" s="0" t="s">
        <v>89</v>
      </c>
      <c r="F8989" s="0" t="s">
        <v>90</v>
      </c>
      <c r="G8989" s="0" t="s">
        <v>32</v>
      </c>
      <c r="H8989" s="0" t="n">
        <v>92</v>
      </c>
      <c r="I8989" s="0" t="s">
        <v>30016</v>
      </c>
      <c r="J8989" s="0" t="s">
        <v>30017</v>
      </c>
      <c r="K8989" s="0" t="s">
        <v>30018</v>
      </c>
      <c r="L8989" s="0" t="str">
        <f aca="false">HYPERLINK("https://www.ncbi.nlm.nih.gov/nuccore/CP000304.1?report=graph&amp;tracks=[key:gene_model_track,Options:GeneOnly]&amp;mk=2562669:2562688|offset_39|444444,2562636:2562655|offset_72|444444,2562616:2562635|offset_92|00cc00,2562561:2562580|offset_147|444444&amp;v=2562468:2562780&amp;c=444444", "offset 92")</f>
        <v>offset 92</v>
      </c>
    </row>
    <row r="8990" customFormat="false" ht="12.8" hidden="false" customHeight="false" outlineLevel="0" collapsed="false">
      <c r="A8990" s="0" t="s">
        <v>12</v>
      </c>
      <c r="B8990" s="0" t="n">
        <v>2562560</v>
      </c>
      <c r="C8990" s="0" t="n">
        <v>2562580</v>
      </c>
      <c r="D8990" s="0" t="s">
        <v>30009</v>
      </c>
      <c r="E8990" s="0" t="s">
        <v>89</v>
      </c>
      <c r="F8990" s="0" t="s">
        <v>90</v>
      </c>
      <c r="G8990" s="0" t="s">
        <v>36</v>
      </c>
      <c r="H8990" s="0" t="n">
        <v>147</v>
      </c>
      <c r="I8990" s="0" t="s">
        <v>30019</v>
      </c>
      <c r="J8990" s="0" t="s">
        <v>30020</v>
      </c>
      <c r="K8990" s="0" t="s">
        <v>30021</v>
      </c>
      <c r="L8990" s="0" t="str">
        <f aca="false">HYPERLINK("https://www.ncbi.nlm.nih.gov/nuccore/CP000304.1?report=graph&amp;tracks=[key:gene_model_track,Options:GeneOnly]&amp;mk=2562669:2562688|offset_39|444444,2562636:2562655|offset_72|444444,2562616:2562635|offset_92|444444,2562561:2562580|offset_147|00cc00&amp;v=2562468:2562780&amp;c=444444", "offset 147")</f>
        <v>offset 147</v>
      </c>
    </row>
    <row r="8991" customFormat="false" ht="12.8" hidden="false" customHeight="false" outlineLevel="0" collapsed="false">
      <c r="A8991" s="0" t="s">
        <v>12</v>
      </c>
      <c r="B8991" s="0" t="n">
        <v>2562733</v>
      </c>
      <c r="C8991" s="0" t="n">
        <v>2562753</v>
      </c>
      <c r="D8991" s="0" t="s">
        <v>30022</v>
      </c>
      <c r="E8991" s="0" t="s">
        <v>89</v>
      </c>
      <c r="F8991" s="0" t="s">
        <v>15</v>
      </c>
      <c r="G8991" s="0" t="s">
        <v>16</v>
      </c>
      <c r="H8991" s="0" t="n">
        <v>18</v>
      </c>
      <c r="I8991" s="0" t="s">
        <v>30023</v>
      </c>
      <c r="J8991" s="0" t="s">
        <v>30024</v>
      </c>
      <c r="K8991" s="0" t="s">
        <v>30025</v>
      </c>
      <c r="L8991" s="0" t="str">
        <f aca="false">HYPERLINK("https://www.ncbi.nlm.nih.gov/nuccore/CP000304.1?report=graph&amp;tracks=[key:gene_model_track,Options:GeneOnly]&amp;mk=2562734:2562753|offset_18|00cc00,2562771:2562790|offset_55|444444,2562795:2562814|offset_79|444444,2562820:2562839|offset_104|444444&amp;v=2562533:2563039&amp;c=444444", "offset 18")</f>
        <v>offset 18</v>
      </c>
    </row>
    <row r="8992" customFormat="false" ht="12.8" hidden="false" customHeight="false" outlineLevel="0" collapsed="false">
      <c r="A8992" s="0" t="s">
        <v>12</v>
      </c>
      <c r="B8992" s="0" t="n">
        <v>2562770</v>
      </c>
      <c r="C8992" s="0" t="n">
        <v>2562790</v>
      </c>
      <c r="D8992" s="0" t="s">
        <v>30022</v>
      </c>
      <c r="E8992" s="0" t="s">
        <v>89</v>
      </c>
      <c r="F8992" s="0" t="s">
        <v>15</v>
      </c>
      <c r="G8992" s="0" t="s">
        <v>16</v>
      </c>
      <c r="H8992" s="0" t="n">
        <v>55</v>
      </c>
      <c r="I8992" s="0" t="s">
        <v>30026</v>
      </c>
      <c r="J8992" s="0" t="s">
        <v>30027</v>
      </c>
      <c r="K8992" s="0" t="s">
        <v>30028</v>
      </c>
      <c r="L8992" s="0" t="str">
        <f aca="false">HYPERLINK("https://www.ncbi.nlm.nih.gov/nuccore/CP000304.1?report=graph&amp;tracks=[key:gene_model_track,Options:GeneOnly]&amp;mk=2562734:2562753|offset_18|444444,2562771:2562790|offset_55|00cc00,2562795:2562814|offset_79|444444,2562820:2562839|offset_104|444444&amp;v=2562533:2563039&amp;c=444444", "offset 55")</f>
        <v>offset 55</v>
      </c>
    </row>
    <row r="8993" customFormat="false" ht="12.8" hidden="false" customHeight="false" outlineLevel="0" collapsed="false">
      <c r="A8993" s="0" t="s">
        <v>12</v>
      </c>
      <c r="B8993" s="0" t="n">
        <v>2562794</v>
      </c>
      <c r="C8993" s="0" t="n">
        <v>2562814</v>
      </c>
      <c r="D8993" s="0" t="s">
        <v>30022</v>
      </c>
      <c r="E8993" s="0" t="s">
        <v>89</v>
      </c>
      <c r="F8993" s="0" t="s">
        <v>15</v>
      </c>
      <c r="G8993" s="0" t="s">
        <v>36</v>
      </c>
      <c r="H8993" s="0" t="n">
        <v>79</v>
      </c>
      <c r="I8993" s="0" t="s">
        <v>30029</v>
      </c>
      <c r="J8993" s="0" t="s">
        <v>30030</v>
      </c>
      <c r="K8993" s="0" t="s">
        <v>30031</v>
      </c>
      <c r="L8993" s="0" t="str">
        <f aca="false">HYPERLINK("https://www.ncbi.nlm.nih.gov/nuccore/CP000304.1?report=graph&amp;tracks=[key:gene_model_track,Options:GeneOnly]&amp;mk=2562734:2562753|offset_18|444444,2562771:2562790|offset_55|444444,2562795:2562814|offset_79|00cc00,2562820:2562839|offset_104|444444&amp;v=2562533:2563039&amp;c=444444", "offset 79")</f>
        <v>offset 79</v>
      </c>
    </row>
    <row r="8994" customFormat="false" ht="12.8" hidden="false" customHeight="false" outlineLevel="0" collapsed="false">
      <c r="A8994" s="0" t="s">
        <v>12</v>
      </c>
      <c r="B8994" s="0" t="n">
        <v>2562819</v>
      </c>
      <c r="C8994" s="0" t="n">
        <v>2562839</v>
      </c>
      <c r="D8994" s="0" t="s">
        <v>30022</v>
      </c>
      <c r="E8994" s="0" t="s">
        <v>89</v>
      </c>
      <c r="F8994" s="0" t="s">
        <v>15</v>
      </c>
      <c r="G8994" s="0" t="s">
        <v>16</v>
      </c>
      <c r="H8994" s="0" t="n">
        <v>104</v>
      </c>
      <c r="I8994" s="0" t="s">
        <v>30032</v>
      </c>
      <c r="J8994" s="0" t="s">
        <v>30033</v>
      </c>
      <c r="K8994" s="0" t="s">
        <v>30034</v>
      </c>
      <c r="L8994" s="0" t="str">
        <f aca="false">HYPERLINK("https://www.ncbi.nlm.nih.gov/nuccore/CP000304.1?report=graph&amp;tracks=[key:gene_model_track,Options:GeneOnly]&amp;mk=2562734:2562753|offset_18|444444,2562771:2562790|offset_55|444444,2562795:2562814|offset_79|444444,2562820:2562839|offset_104|00cc00&amp;v=2562533:2563039&amp;c=444444", "offset 104")</f>
        <v>offset 104</v>
      </c>
    </row>
    <row r="8995" customFormat="false" ht="12.8" hidden="false" customHeight="false" outlineLevel="0" collapsed="false">
      <c r="A8995" s="0" t="s">
        <v>12</v>
      </c>
      <c r="B8995" s="0" t="n">
        <v>2563414</v>
      </c>
      <c r="C8995" s="0" t="n">
        <v>2563434</v>
      </c>
      <c r="D8995" s="0" t="s">
        <v>30035</v>
      </c>
      <c r="E8995" s="0" t="s">
        <v>89</v>
      </c>
      <c r="F8995" s="0" t="s">
        <v>15</v>
      </c>
      <c r="G8995" s="0" t="s">
        <v>26</v>
      </c>
      <c r="H8995" s="0" t="n">
        <v>13</v>
      </c>
      <c r="I8995" s="0" t="s">
        <v>30036</v>
      </c>
      <c r="J8995" s="0" t="s">
        <v>30037</v>
      </c>
      <c r="K8995" s="0" t="s">
        <v>30038</v>
      </c>
      <c r="L8995" s="0" t="str">
        <f aca="false">HYPERLINK("https://www.ncbi.nlm.nih.gov/nuccore/CP000304.1?report=graph&amp;tracks=[key:gene_model_track,Options:GeneOnly]&amp;mk=2563415:2563434|offset_13|00cc00,2563472:2563491|offset_70|444444,2563496:2563515|offset_94|444444,2563535:2563554|offset_133|444444&amp;v=2563214:2563754&amp;c=444444", "offset 13")</f>
        <v>offset 13</v>
      </c>
    </row>
    <row r="8996" customFormat="false" ht="12.8" hidden="false" customHeight="false" outlineLevel="0" collapsed="false">
      <c r="A8996" s="0" t="s">
        <v>12</v>
      </c>
      <c r="B8996" s="0" t="n">
        <v>2563471</v>
      </c>
      <c r="C8996" s="0" t="n">
        <v>2563491</v>
      </c>
      <c r="D8996" s="0" t="s">
        <v>30035</v>
      </c>
      <c r="E8996" s="0" t="s">
        <v>89</v>
      </c>
      <c r="F8996" s="0" t="s">
        <v>15</v>
      </c>
      <c r="G8996" s="0" t="s">
        <v>16</v>
      </c>
      <c r="H8996" s="0" t="n">
        <v>70</v>
      </c>
      <c r="I8996" s="0" t="s">
        <v>30039</v>
      </c>
      <c r="J8996" s="0" t="s">
        <v>30040</v>
      </c>
      <c r="K8996" s="0" t="s">
        <v>30041</v>
      </c>
      <c r="L8996" s="0" t="str">
        <f aca="false">HYPERLINK("https://www.ncbi.nlm.nih.gov/nuccore/CP000304.1?report=graph&amp;tracks=[key:gene_model_track,Options:GeneOnly]&amp;mk=2563415:2563434|offset_13|444444,2563472:2563491|offset_70|00cc00,2563496:2563515|offset_94|444444,2563535:2563554|offset_133|444444&amp;v=2563214:2563754&amp;c=444444", "offset 70")</f>
        <v>offset 70</v>
      </c>
    </row>
    <row r="8997" customFormat="false" ht="12.8" hidden="false" customHeight="false" outlineLevel="0" collapsed="false">
      <c r="A8997" s="0" t="s">
        <v>12</v>
      </c>
      <c r="B8997" s="0" t="n">
        <v>2563495</v>
      </c>
      <c r="C8997" s="0" t="n">
        <v>2563515</v>
      </c>
      <c r="D8997" s="0" t="s">
        <v>30035</v>
      </c>
      <c r="E8997" s="0" t="s">
        <v>89</v>
      </c>
      <c r="F8997" s="0" t="s">
        <v>15</v>
      </c>
      <c r="G8997" s="0" t="s">
        <v>16</v>
      </c>
      <c r="H8997" s="0" t="n">
        <v>94</v>
      </c>
      <c r="I8997" s="0" t="s">
        <v>30042</v>
      </c>
      <c r="J8997" s="0" t="s">
        <v>30043</v>
      </c>
      <c r="K8997" s="0" t="s">
        <v>30044</v>
      </c>
      <c r="L8997" s="0" t="str">
        <f aca="false">HYPERLINK("https://www.ncbi.nlm.nih.gov/nuccore/CP000304.1?report=graph&amp;tracks=[key:gene_model_track,Options:GeneOnly]&amp;mk=2563415:2563434|offset_13|444444,2563472:2563491|offset_70|444444,2563496:2563515|offset_94|00cc00,2563535:2563554|offset_133|444444&amp;v=2563214:2563754&amp;c=444444", "offset 94")</f>
        <v>offset 94</v>
      </c>
    </row>
    <row r="8998" customFormat="false" ht="12.8" hidden="false" customHeight="false" outlineLevel="0" collapsed="false">
      <c r="A8998" s="0" t="s">
        <v>12</v>
      </c>
      <c r="B8998" s="0" t="n">
        <v>2563534</v>
      </c>
      <c r="C8998" s="0" t="n">
        <v>2563554</v>
      </c>
      <c r="D8998" s="0" t="s">
        <v>30035</v>
      </c>
      <c r="E8998" s="0" t="s">
        <v>89</v>
      </c>
      <c r="F8998" s="0" t="s">
        <v>15</v>
      </c>
      <c r="G8998" s="0" t="s">
        <v>16</v>
      </c>
      <c r="H8998" s="0" t="n">
        <v>133</v>
      </c>
      <c r="I8998" s="0" t="s">
        <v>30045</v>
      </c>
      <c r="J8998" s="0" t="s">
        <v>30046</v>
      </c>
      <c r="K8998" s="0" t="s">
        <v>30047</v>
      </c>
      <c r="L8998" s="0" t="str">
        <f aca="false">HYPERLINK("https://www.ncbi.nlm.nih.gov/nuccore/CP000304.1?report=graph&amp;tracks=[key:gene_model_track,Options:GeneOnly]&amp;mk=2563415:2563434|offset_13|444444,2563472:2563491|offset_70|444444,2563496:2563515|offset_94|444444,2563535:2563554|offset_133|00cc00&amp;v=2563214:2563754&amp;c=444444", "offset 133")</f>
        <v>offset 133</v>
      </c>
    </row>
    <row r="8999" customFormat="false" ht="12.8" hidden="false" customHeight="false" outlineLevel="0" collapsed="false">
      <c r="A8999" s="0" t="s">
        <v>12</v>
      </c>
      <c r="B8999" s="0" t="n">
        <v>2564820</v>
      </c>
      <c r="C8999" s="0" t="n">
        <v>2564840</v>
      </c>
      <c r="D8999" s="0" t="s">
        <v>30048</v>
      </c>
      <c r="E8999" s="0" t="s">
        <v>89</v>
      </c>
      <c r="F8999" s="0" t="s">
        <v>15</v>
      </c>
      <c r="G8999" s="0" t="s">
        <v>16</v>
      </c>
      <c r="H8999" s="0" t="n">
        <v>127</v>
      </c>
      <c r="I8999" s="0" t="s">
        <v>30049</v>
      </c>
      <c r="J8999" s="0" t="s">
        <v>30050</v>
      </c>
      <c r="K8999" s="0" t="s">
        <v>30051</v>
      </c>
      <c r="L8999" s="0" t="str">
        <f aca="false">HYPERLINK("https://www.ncbi.nlm.nih.gov/nuccore/CP000304.1?report=graph&amp;tracks=[key:gene_model_track,Options:GeneOnly]&amp;mk=2564821:2564840|offset_127|00cc00,2564843:2564862|offset_149|444444,2564875:2564894|offset_181|444444,2564909:2564928|offset_215|444444&amp;v=2564620:2565128&amp;c=444444", "offset 127")</f>
        <v>offset 127</v>
      </c>
    </row>
    <row r="9000" customFormat="false" ht="12.8" hidden="false" customHeight="false" outlineLevel="0" collapsed="false">
      <c r="A9000" s="0" t="s">
        <v>12</v>
      </c>
      <c r="B9000" s="0" t="n">
        <v>2564842</v>
      </c>
      <c r="C9000" s="0" t="n">
        <v>2564862</v>
      </c>
      <c r="D9000" s="0" t="s">
        <v>30048</v>
      </c>
      <c r="E9000" s="0" t="s">
        <v>89</v>
      </c>
      <c r="F9000" s="0" t="s">
        <v>15</v>
      </c>
      <c r="G9000" s="0" t="s">
        <v>26</v>
      </c>
      <c r="H9000" s="0" t="n">
        <v>149</v>
      </c>
      <c r="I9000" s="0" t="s">
        <v>30052</v>
      </c>
      <c r="J9000" s="0" t="s">
        <v>30053</v>
      </c>
      <c r="K9000" s="0" t="s">
        <v>30054</v>
      </c>
      <c r="L9000" s="0" t="str">
        <f aca="false">HYPERLINK("https://www.ncbi.nlm.nih.gov/nuccore/CP000304.1?report=graph&amp;tracks=[key:gene_model_track,Options:GeneOnly]&amp;mk=2564821:2564840|offset_127|444444,2564843:2564862|offset_149|00cc00,2564875:2564894|offset_181|444444,2564909:2564928|offset_215|444444&amp;v=2564620:2565128&amp;c=444444", "offset 149")</f>
        <v>offset 149</v>
      </c>
    </row>
    <row r="9001" customFormat="false" ht="12.8" hidden="false" customHeight="false" outlineLevel="0" collapsed="false">
      <c r="A9001" s="0" t="s">
        <v>12</v>
      </c>
      <c r="B9001" s="0" t="n">
        <v>2564874</v>
      </c>
      <c r="C9001" s="0" t="n">
        <v>2564894</v>
      </c>
      <c r="D9001" s="0" t="s">
        <v>30048</v>
      </c>
      <c r="E9001" s="0" t="s">
        <v>89</v>
      </c>
      <c r="F9001" s="0" t="s">
        <v>15</v>
      </c>
      <c r="G9001" s="0" t="s">
        <v>32</v>
      </c>
      <c r="H9001" s="0" t="n">
        <v>181</v>
      </c>
      <c r="I9001" s="0" t="s">
        <v>30055</v>
      </c>
      <c r="J9001" s="0" t="s">
        <v>30056</v>
      </c>
      <c r="K9001" s="0" t="s">
        <v>30057</v>
      </c>
      <c r="L9001" s="0" t="str">
        <f aca="false">HYPERLINK("https://www.ncbi.nlm.nih.gov/nuccore/CP000304.1?report=graph&amp;tracks=[key:gene_model_track,Options:GeneOnly]&amp;mk=2564821:2564840|offset_127|444444,2564843:2564862|offset_149|444444,2564875:2564894|offset_181|00cc00,2564909:2564928|offset_215|444444&amp;v=2564620:2565128&amp;c=444444", "offset 181")</f>
        <v>offset 181</v>
      </c>
    </row>
    <row r="9002" customFormat="false" ht="12.8" hidden="false" customHeight="false" outlineLevel="0" collapsed="false">
      <c r="A9002" s="0" t="s">
        <v>12</v>
      </c>
      <c r="B9002" s="0" t="n">
        <v>2564908</v>
      </c>
      <c r="C9002" s="0" t="n">
        <v>2564928</v>
      </c>
      <c r="D9002" s="0" t="s">
        <v>30048</v>
      </c>
      <c r="E9002" s="0" t="s">
        <v>89</v>
      </c>
      <c r="F9002" s="0" t="s">
        <v>15</v>
      </c>
      <c r="G9002" s="0" t="s">
        <v>32</v>
      </c>
      <c r="H9002" s="0" t="n">
        <v>215</v>
      </c>
      <c r="I9002" s="0" t="s">
        <v>30058</v>
      </c>
      <c r="J9002" s="0" t="s">
        <v>30059</v>
      </c>
      <c r="K9002" s="0" t="s">
        <v>30060</v>
      </c>
      <c r="L9002" s="0" t="str">
        <f aca="false">HYPERLINK("https://www.ncbi.nlm.nih.gov/nuccore/CP000304.1?report=graph&amp;tracks=[key:gene_model_track,Options:GeneOnly]&amp;mk=2564821:2564840|offset_127|444444,2564843:2564862|offset_149|444444,2564875:2564894|offset_181|444444,2564909:2564928|offset_215|00cc00&amp;v=2564620:2565128&amp;c=444444", "offset 215")</f>
        <v>offset 215</v>
      </c>
    </row>
    <row r="9003" customFormat="false" ht="12.8" hidden="false" customHeight="false" outlineLevel="0" collapsed="false">
      <c r="A9003" s="0" t="s">
        <v>12</v>
      </c>
      <c r="B9003" s="0" t="n">
        <v>2568209</v>
      </c>
      <c r="C9003" s="0" t="n">
        <v>2568229</v>
      </c>
      <c r="D9003" s="0" t="s">
        <v>30061</v>
      </c>
      <c r="E9003" s="0" t="s">
        <v>89</v>
      </c>
      <c r="F9003" s="0" t="s">
        <v>15</v>
      </c>
      <c r="G9003" s="0" t="s">
        <v>16</v>
      </c>
      <c r="H9003" s="0" t="n">
        <v>1</v>
      </c>
      <c r="I9003" s="0" t="s">
        <v>30062</v>
      </c>
      <c r="J9003" s="0" t="s">
        <v>30063</v>
      </c>
      <c r="K9003" s="0" t="s">
        <v>30064</v>
      </c>
      <c r="L9003" s="0" t="str">
        <f aca="false">HYPERLINK("https://www.ncbi.nlm.nih.gov/nuccore/CP000304.1?report=graph&amp;tracks=[key:gene_model_track,Options:GeneOnly]&amp;mk=2568210:2568229|offset_1|00cc00,2568255:2568274|offset_46|444444,2568308:2568327|offset_99|444444,2568336:2568355|offset_127|444444&amp;v=2568009:2568555&amp;c=444444", "offset 1")</f>
        <v>offset 1</v>
      </c>
    </row>
    <row r="9004" customFormat="false" ht="12.8" hidden="false" customHeight="false" outlineLevel="0" collapsed="false">
      <c r="A9004" s="0" t="s">
        <v>12</v>
      </c>
      <c r="B9004" s="0" t="n">
        <v>2568254</v>
      </c>
      <c r="C9004" s="0" t="n">
        <v>2568274</v>
      </c>
      <c r="D9004" s="0" t="s">
        <v>30061</v>
      </c>
      <c r="E9004" s="0" t="s">
        <v>89</v>
      </c>
      <c r="F9004" s="0" t="s">
        <v>15</v>
      </c>
      <c r="G9004" s="0" t="s">
        <v>36</v>
      </c>
      <c r="H9004" s="0" t="n">
        <v>46</v>
      </c>
      <c r="I9004" s="0" t="s">
        <v>30065</v>
      </c>
      <c r="J9004" s="0" t="s">
        <v>30066</v>
      </c>
      <c r="K9004" s="0" t="s">
        <v>30067</v>
      </c>
      <c r="L9004" s="0" t="str">
        <f aca="false">HYPERLINK("https://www.ncbi.nlm.nih.gov/nuccore/CP000304.1?report=graph&amp;tracks=[key:gene_model_track,Options:GeneOnly]&amp;mk=2568210:2568229|offset_1|444444,2568255:2568274|offset_46|00cc00,2568308:2568327|offset_99|444444,2568336:2568355|offset_127|444444&amp;v=2568009:2568555&amp;c=444444", "offset 46")</f>
        <v>offset 46</v>
      </c>
    </row>
    <row r="9005" customFormat="false" ht="12.8" hidden="false" customHeight="false" outlineLevel="0" collapsed="false">
      <c r="A9005" s="0" t="s">
        <v>12</v>
      </c>
      <c r="B9005" s="0" t="n">
        <v>2568307</v>
      </c>
      <c r="C9005" s="0" t="n">
        <v>2568327</v>
      </c>
      <c r="D9005" s="0" t="s">
        <v>30061</v>
      </c>
      <c r="E9005" s="0" t="s">
        <v>89</v>
      </c>
      <c r="F9005" s="0" t="s">
        <v>15</v>
      </c>
      <c r="G9005" s="0" t="s">
        <v>16</v>
      </c>
      <c r="H9005" s="0" t="n">
        <v>99</v>
      </c>
      <c r="I9005" s="0" t="s">
        <v>30068</v>
      </c>
      <c r="J9005" s="0" t="s">
        <v>30069</v>
      </c>
      <c r="K9005" s="0" t="s">
        <v>30070</v>
      </c>
      <c r="L9005" s="0" t="str">
        <f aca="false">HYPERLINK("https://www.ncbi.nlm.nih.gov/nuccore/CP000304.1?report=graph&amp;tracks=[key:gene_model_track,Options:GeneOnly]&amp;mk=2568210:2568229|offset_1|444444,2568255:2568274|offset_46|444444,2568308:2568327|offset_99|00cc00,2568336:2568355|offset_127|444444&amp;v=2568009:2568555&amp;c=444444", "offset 99")</f>
        <v>offset 99</v>
      </c>
    </row>
    <row r="9006" customFormat="false" ht="12.8" hidden="false" customHeight="false" outlineLevel="0" collapsed="false">
      <c r="A9006" s="0" t="s">
        <v>12</v>
      </c>
      <c r="B9006" s="0" t="n">
        <v>2568335</v>
      </c>
      <c r="C9006" s="0" t="n">
        <v>2568355</v>
      </c>
      <c r="D9006" s="0" t="s">
        <v>30061</v>
      </c>
      <c r="E9006" s="0" t="s">
        <v>89</v>
      </c>
      <c r="F9006" s="0" t="s">
        <v>15</v>
      </c>
      <c r="G9006" s="0" t="s">
        <v>36</v>
      </c>
      <c r="H9006" s="0" t="n">
        <v>127</v>
      </c>
      <c r="I9006" s="0" t="s">
        <v>30071</v>
      </c>
      <c r="J9006" s="0" t="s">
        <v>30072</v>
      </c>
      <c r="K9006" s="0" t="s">
        <v>30073</v>
      </c>
      <c r="L9006" s="0" t="str">
        <f aca="false">HYPERLINK("https://www.ncbi.nlm.nih.gov/nuccore/CP000304.1?report=graph&amp;tracks=[key:gene_model_track,Options:GeneOnly]&amp;mk=2568210:2568229|offset_1|444444,2568255:2568274|offset_46|444444,2568308:2568327|offset_99|444444,2568336:2568355|offset_127|00cc00&amp;v=2568009:2568555&amp;c=444444", "offset 127")</f>
        <v>offset 127</v>
      </c>
    </row>
    <row r="9007" customFormat="false" ht="12.8" hidden="false" customHeight="false" outlineLevel="0" collapsed="false">
      <c r="A9007" s="0" t="s">
        <v>12</v>
      </c>
      <c r="B9007" s="0" t="n">
        <v>2570080</v>
      </c>
      <c r="C9007" s="0" t="n">
        <v>2570100</v>
      </c>
      <c r="D9007" s="0" t="s">
        <v>30074</v>
      </c>
      <c r="E9007" s="0" t="s">
        <v>89</v>
      </c>
      <c r="F9007" s="0" t="s">
        <v>15</v>
      </c>
      <c r="G9007" s="0" t="s">
        <v>26</v>
      </c>
      <c r="H9007" s="0" t="n">
        <v>21</v>
      </c>
      <c r="I9007" s="0" t="s">
        <v>30075</v>
      </c>
      <c r="J9007" s="0" t="s">
        <v>30076</v>
      </c>
      <c r="K9007" s="0" t="s">
        <v>30077</v>
      </c>
      <c r="L9007" s="0" t="str">
        <f aca="false">HYPERLINK("https://www.ncbi.nlm.nih.gov/nuccore/CP000304.1?report=graph&amp;tracks=[key:gene_model_track,Options:GeneOnly]&amp;mk=2570081:2570100|offset_21|00cc00,2570105:2570124|offset_45|444444,2570126:2570145|offset_66|444444,2570147:2570166|offset_87|444444&amp;v=2569880:2570366&amp;c=444444", "offset 21")</f>
        <v>offset 21</v>
      </c>
    </row>
    <row r="9008" customFormat="false" ht="12.8" hidden="false" customHeight="false" outlineLevel="0" collapsed="false">
      <c r="A9008" s="0" t="s">
        <v>12</v>
      </c>
      <c r="B9008" s="0" t="n">
        <v>2570104</v>
      </c>
      <c r="C9008" s="0" t="n">
        <v>2570124</v>
      </c>
      <c r="D9008" s="0" t="s">
        <v>30074</v>
      </c>
      <c r="E9008" s="0" t="s">
        <v>89</v>
      </c>
      <c r="F9008" s="0" t="s">
        <v>15</v>
      </c>
      <c r="G9008" s="0" t="s">
        <v>26</v>
      </c>
      <c r="H9008" s="0" t="n">
        <v>45</v>
      </c>
      <c r="I9008" s="0" t="s">
        <v>30078</v>
      </c>
      <c r="J9008" s="0" t="s">
        <v>30079</v>
      </c>
      <c r="K9008" s="0" t="s">
        <v>30080</v>
      </c>
      <c r="L9008" s="0" t="str">
        <f aca="false">HYPERLINK("https://www.ncbi.nlm.nih.gov/nuccore/CP000304.1?report=graph&amp;tracks=[key:gene_model_track,Options:GeneOnly]&amp;mk=2570081:2570100|offset_21|444444,2570105:2570124|offset_45|00cc00,2570126:2570145|offset_66|444444,2570147:2570166|offset_87|444444&amp;v=2569880:2570366&amp;c=444444", "offset 45")</f>
        <v>offset 45</v>
      </c>
    </row>
    <row r="9009" customFormat="false" ht="12.8" hidden="false" customHeight="false" outlineLevel="0" collapsed="false">
      <c r="A9009" s="0" t="s">
        <v>12</v>
      </c>
      <c r="B9009" s="0" t="n">
        <v>2570125</v>
      </c>
      <c r="C9009" s="0" t="n">
        <v>2570145</v>
      </c>
      <c r="D9009" s="0" t="s">
        <v>30074</v>
      </c>
      <c r="E9009" s="0" t="s">
        <v>89</v>
      </c>
      <c r="F9009" s="0" t="s">
        <v>15</v>
      </c>
      <c r="G9009" s="0" t="s">
        <v>26</v>
      </c>
      <c r="H9009" s="0" t="n">
        <v>66</v>
      </c>
      <c r="I9009" s="0" t="s">
        <v>30081</v>
      </c>
      <c r="J9009" s="0" t="s">
        <v>30082</v>
      </c>
      <c r="K9009" s="0" t="s">
        <v>30083</v>
      </c>
      <c r="L9009" s="0" t="str">
        <f aca="false">HYPERLINK("https://www.ncbi.nlm.nih.gov/nuccore/CP000304.1?report=graph&amp;tracks=[key:gene_model_track,Options:GeneOnly]&amp;mk=2570081:2570100|offset_21|444444,2570105:2570124|offset_45|444444,2570126:2570145|offset_66|00cc00,2570147:2570166|offset_87|444444&amp;v=2569880:2570366&amp;c=444444", "offset 66")</f>
        <v>offset 66</v>
      </c>
    </row>
    <row r="9010" customFormat="false" ht="12.8" hidden="false" customHeight="false" outlineLevel="0" collapsed="false">
      <c r="A9010" s="0" t="s">
        <v>12</v>
      </c>
      <c r="B9010" s="0" t="n">
        <v>2570146</v>
      </c>
      <c r="C9010" s="0" t="n">
        <v>2570166</v>
      </c>
      <c r="D9010" s="0" t="s">
        <v>30074</v>
      </c>
      <c r="E9010" s="0" t="s">
        <v>89</v>
      </c>
      <c r="F9010" s="0" t="s">
        <v>15</v>
      </c>
      <c r="G9010" s="0" t="s">
        <v>36</v>
      </c>
      <c r="H9010" s="0" t="n">
        <v>87</v>
      </c>
      <c r="I9010" s="0" t="s">
        <v>30084</v>
      </c>
      <c r="J9010" s="0" t="s">
        <v>30085</v>
      </c>
      <c r="K9010" s="0" t="s">
        <v>30086</v>
      </c>
      <c r="L9010" s="0" t="str">
        <f aca="false">HYPERLINK("https://www.ncbi.nlm.nih.gov/nuccore/CP000304.1?report=graph&amp;tracks=[key:gene_model_track,Options:GeneOnly]&amp;mk=2570081:2570100|offset_21|444444,2570105:2570124|offset_45|444444,2570126:2570145|offset_66|444444,2570147:2570166|offset_87|00cc00&amp;v=2569880:2570366&amp;c=444444", "offset 87")</f>
        <v>offset 87</v>
      </c>
    </row>
    <row r="9011" customFormat="false" ht="12.8" hidden="false" customHeight="false" outlineLevel="0" collapsed="false">
      <c r="A9011" s="0" t="s">
        <v>12</v>
      </c>
      <c r="B9011" s="0" t="n">
        <v>2571274</v>
      </c>
      <c r="C9011" s="0" t="n">
        <v>2571294</v>
      </c>
      <c r="D9011" s="0" t="s">
        <v>30087</v>
      </c>
      <c r="E9011" s="0" t="s">
        <v>89</v>
      </c>
      <c r="F9011" s="0" t="s">
        <v>15</v>
      </c>
      <c r="G9011" s="0" t="s">
        <v>32</v>
      </c>
      <c r="H9011" s="0" t="n">
        <v>1</v>
      </c>
      <c r="I9011" s="0" t="s">
        <v>30088</v>
      </c>
      <c r="J9011" s="0" t="s">
        <v>30089</v>
      </c>
      <c r="K9011" s="0" t="s">
        <v>30090</v>
      </c>
      <c r="L9011" s="0" t="str">
        <f aca="false">HYPERLINK("https://www.ncbi.nlm.nih.gov/nuccore/CP000304.1?report=graph&amp;tracks=[key:gene_model_track,Options:GeneOnly]&amp;mk=2571275:2571294|offset_1|00cc00,2571300:2571319|offset_26|444444,2571324:2571343|offset_50|444444,2571349:2571368|offset_75|444444&amp;v=2571074:2571568&amp;c=444444", "offset 1")</f>
        <v>offset 1</v>
      </c>
    </row>
    <row r="9012" customFormat="false" ht="12.8" hidden="false" customHeight="false" outlineLevel="0" collapsed="false">
      <c r="A9012" s="0" t="s">
        <v>12</v>
      </c>
      <c r="B9012" s="0" t="n">
        <v>2571299</v>
      </c>
      <c r="C9012" s="0" t="n">
        <v>2571319</v>
      </c>
      <c r="D9012" s="0" t="s">
        <v>30087</v>
      </c>
      <c r="E9012" s="0" t="s">
        <v>89</v>
      </c>
      <c r="F9012" s="0" t="s">
        <v>15</v>
      </c>
      <c r="G9012" s="0" t="s">
        <v>32</v>
      </c>
      <c r="H9012" s="0" t="n">
        <v>26</v>
      </c>
      <c r="I9012" s="0" t="s">
        <v>30091</v>
      </c>
      <c r="J9012" s="0" t="s">
        <v>30092</v>
      </c>
      <c r="K9012" s="0" t="s">
        <v>30093</v>
      </c>
      <c r="L9012" s="0" t="str">
        <f aca="false">HYPERLINK("https://www.ncbi.nlm.nih.gov/nuccore/CP000304.1?report=graph&amp;tracks=[key:gene_model_track,Options:GeneOnly]&amp;mk=2571275:2571294|offset_1|444444,2571300:2571319|offset_26|00cc00,2571324:2571343|offset_50|444444,2571349:2571368|offset_75|444444&amp;v=2571074:2571568&amp;c=444444", "offset 26")</f>
        <v>offset 26</v>
      </c>
    </row>
    <row r="9013" customFormat="false" ht="12.8" hidden="false" customHeight="false" outlineLevel="0" collapsed="false">
      <c r="A9013" s="0" t="s">
        <v>12</v>
      </c>
      <c r="B9013" s="0" t="n">
        <v>2571323</v>
      </c>
      <c r="C9013" s="0" t="n">
        <v>2571343</v>
      </c>
      <c r="D9013" s="0" t="s">
        <v>30087</v>
      </c>
      <c r="E9013" s="0" t="s">
        <v>89</v>
      </c>
      <c r="F9013" s="0" t="s">
        <v>15</v>
      </c>
      <c r="G9013" s="0" t="s">
        <v>26</v>
      </c>
      <c r="H9013" s="0" t="n">
        <v>50</v>
      </c>
      <c r="I9013" s="0" t="s">
        <v>30094</v>
      </c>
      <c r="J9013" s="0" t="s">
        <v>30095</v>
      </c>
      <c r="K9013" s="0" t="s">
        <v>30096</v>
      </c>
      <c r="L9013" s="0" t="str">
        <f aca="false">HYPERLINK("https://www.ncbi.nlm.nih.gov/nuccore/CP000304.1?report=graph&amp;tracks=[key:gene_model_track,Options:GeneOnly]&amp;mk=2571275:2571294|offset_1|444444,2571300:2571319|offset_26|444444,2571324:2571343|offset_50|00cc00,2571349:2571368|offset_75|444444&amp;v=2571074:2571568&amp;c=444444", "offset 50")</f>
        <v>offset 50</v>
      </c>
    </row>
    <row r="9014" customFormat="false" ht="12.8" hidden="false" customHeight="false" outlineLevel="0" collapsed="false">
      <c r="A9014" s="0" t="s">
        <v>12</v>
      </c>
      <c r="B9014" s="0" t="n">
        <v>2571348</v>
      </c>
      <c r="C9014" s="0" t="n">
        <v>2571368</v>
      </c>
      <c r="D9014" s="0" t="s">
        <v>30087</v>
      </c>
      <c r="E9014" s="0" t="s">
        <v>89</v>
      </c>
      <c r="F9014" s="0" t="s">
        <v>15</v>
      </c>
      <c r="G9014" s="0" t="s">
        <v>16</v>
      </c>
      <c r="H9014" s="0" t="n">
        <v>75</v>
      </c>
      <c r="I9014" s="0" t="s">
        <v>30097</v>
      </c>
      <c r="J9014" s="0" t="s">
        <v>30098</v>
      </c>
      <c r="K9014" s="0" t="s">
        <v>30099</v>
      </c>
      <c r="L9014" s="0" t="str">
        <f aca="false">HYPERLINK("https://www.ncbi.nlm.nih.gov/nuccore/CP000304.1?report=graph&amp;tracks=[key:gene_model_track,Options:GeneOnly]&amp;mk=2571275:2571294|offset_1|444444,2571300:2571319|offset_26|444444,2571324:2571343|offset_50|444444,2571349:2571368|offset_75|00cc00&amp;v=2571074:2571568&amp;c=444444", "offset 75")</f>
        <v>offset 75</v>
      </c>
    </row>
    <row r="9015" customFormat="false" ht="12.8" hidden="false" customHeight="false" outlineLevel="0" collapsed="false">
      <c r="A9015" s="0" t="s">
        <v>12</v>
      </c>
      <c r="B9015" s="0" t="n">
        <v>2572081</v>
      </c>
      <c r="C9015" s="0" t="n">
        <v>2572101</v>
      </c>
      <c r="D9015" s="0" t="s">
        <v>30100</v>
      </c>
      <c r="E9015" s="0" t="s">
        <v>89</v>
      </c>
      <c r="F9015" s="0" t="s">
        <v>15</v>
      </c>
      <c r="G9015" s="0" t="s">
        <v>26</v>
      </c>
      <c r="H9015" s="0" t="n">
        <v>17</v>
      </c>
      <c r="I9015" s="0" t="s">
        <v>30101</v>
      </c>
      <c r="J9015" s="0" t="s">
        <v>30102</v>
      </c>
      <c r="K9015" s="0" t="s">
        <v>30103</v>
      </c>
      <c r="L9015" s="0" t="str">
        <f aca="false">HYPERLINK("https://www.ncbi.nlm.nih.gov/nuccore/CP000304.1?report=graph&amp;tracks=[key:gene_model_track,Options:GeneOnly]&amp;mk=2572082:2572101|offset_17|00cc00,2572102:2572121|offset_37|444444,2572135:2572154|offset_70|444444,2572218:2572237|offset_153|444444&amp;v=2571881:2572437&amp;c=444444", "offset 17")</f>
        <v>offset 17</v>
      </c>
    </row>
    <row r="9016" customFormat="false" ht="12.8" hidden="false" customHeight="false" outlineLevel="0" collapsed="false">
      <c r="A9016" s="0" t="s">
        <v>12</v>
      </c>
      <c r="B9016" s="0" t="n">
        <v>2572101</v>
      </c>
      <c r="C9016" s="0" t="n">
        <v>2572121</v>
      </c>
      <c r="D9016" s="0" t="s">
        <v>30100</v>
      </c>
      <c r="E9016" s="0" t="s">
        <v>89</v>
      </c>
      <c r="F9016" s="0" t="s">
        <v>15</v>
      </c>
      <c r="G9016" s="0" t="s">
        <v>36</v>
      </c>
      <c r="H9016" s="0" t="n">
        <v>37</v>
      </c>
      <c r="I9016" s="0" t="s">
        <v>30104</v>
      </c>
      <c r="J9016" s="0" t="s">
        <v>30105</v>
      </c>
      <c r="K9016" s="0" t="s">
        <v>30106</v>
      </c>
      <c r="L9016" s="0" t="str">
        <f aca="false">HYPERLINK("https://www.ncbi.nlm.nih.gov/nuccore/CP000304.1?report=graph&amp;tracks=[key:gene_model_track,Options:GeneOnly]&amp;mk=2572082:2572101|offset_17|444444,2572102:2572121|offset_37|00cc00,2572135:2572154|offset_70|444444,2572218:2572237|offset_153|444444&amp;v=2571881:2572437&amp;c=444444", "offset 37")</f>
        <v>offset 37</v>
      </c>
    </row>
    <row r="9017" customFormat="false" ht="12.8" hidden="false" customHeight="false" outlineLevel="0" collapsed="false">
      <c r="A9017" s="0" t="s">
        <v>12</v>
      </c>
      <c r="B9017" s="0" t="n">
        <v>2572134</v>
      </c>
      <c r="C9017" s="0" t="n">
        <v>2572154</v>
      </c>
      <c r="D9017" s="0" t="s">
        <v>30100</v>
      </c>
      <c r="E9017" s="0" t="s">
        <v>89</v>
      </c>
      <c r="F9017" s="0" t="s">
        <v>15</v>
      </c>
      <c r="G9017" s="0" t="s">
        <v>16</v>
      </c>
      <c r="H9017" s="0" t="n">
        <v>70</v>
      </c>
      <c r="I9017" s="0" t="s">
        <v>30107</v>
      </c>
      <c r="J9017" s="0" t="s">
        <v>30108</v>
      </c>
      <c r="K9017" s="0" t="s">
        <v>30109</v>
      </c>
      <c r="L9017" s="0" t="str">
        <f aca="false">HYPERLINK("https://www.ncbi.nlm.nih.gov/nuccore/CP000304.1?report=graph&amp;tracks=[key:gene_model_track,Options:GeneOnly]&amp;mk=2572082:2572101|offset_17|444444,2572102:2572121|offset_37|444444,2572135:2572154|offset_70|00cc00,2572218:2572237|offset_153|444444&amp;v=2571881:2572437&amp;c=444444", "offset 70")</f>
        <v>offset 70</v>
      </c>
    </row>
    <row r="9018" customFormat="false" ht="12.8" hidden="false" customHeight="false" outlineLevel="0" collapsed="false">
      <c r="A9018" s="0" t="s">
        <v>12</v>
      </c>
      <c r="B9018" s="0" t="n">
        <v>2572217</v>
      </c>
      <c r="C9018" s="0" t="n">
        <v>2572237</v>
      </c>
      <c r="D9018" s="0" t="s">
        <v>30100</v>
      </c>
      <c r="E9018" s="0" t="s">
        <v>89</v>
      </c>
      <c r="F9018" s="0" t="s">
        <v>15</v>
      </c>
      <c r="G9018" s="0" t="s">
        <v>16</v>
      </c>
      <c r="H9018" s="0" t="n">
        <v>153</v>
      </c>
      <c r="I9018" s="0" t="s">
        <v>30110</v>
      </c>
      <c r="J9018" s="0" t="s">
        <v>30111</v>
      </c>
      <c r="K9018" s="0" t="s">
        <v>30112</v>
      </c>
      <c r="L9018" s="0" t="str">
        <f aca="false">HYPERLINK("https://www.ncbi.nlm.nih.gov/nuccore/CP000304.1?report=graph&amp;tracks=[key:gene_model_track,Options:GeneOnly]&amp;mk=2572082:2572101|offset_17|444444,2572102:2572121|offset_37|444444,2572135:2572154|offset_70|444444,2572218:2572237|offset_153|00cc00&amp;v=2571881:2572437&amp;c=444444", "offset 153")</f>
        <v>offset 153</v>
      </c>
    </row>
    <row r="9019" customFormat="false" ht="12.8" hidden="false" customHeight="false" outlineLevel="0" collapsed="false">
      <c r="A9019" s="0" t="s">
        <v>12</v>
      </c>
      <c r="B9019" s="0" t="n">
        <v>2572742</v>
      </c>
      <c r="C9019" s="0" t="n">
        <v>2572762</v>
      </c>
      <c r="D9019" s="0" t="s">
        <v>30113</v>
      </c>
      <c r="E9019" s="0" t="s">
        <v>89</v>
      </c>
      <c r="F9019" s="0" t="s">
        <v>15</v>
      </c>
      <c r="G9019" s="0" t="s">
        <v>16</v>
      </c>
      <c r="H9019" s="0" t="n">
        <v>10</v>
      </c>
      <c r="I9019" s="0" t="s">
        <v>30114</v>
      </c>
      <c r="J9019" s="0" t="s">
        <v>30115</v>
      </c>
      <c r="K9019" s="0" t="s">
        <v>30116</v>
      </c>
      <c r="L9019" s="0" t="str">
        <f aca="false">HYPERLINK("https://www.ncbi.nlm.nih.gov/nuccore/CP000304.1?report=graph&amp;tracks=[key:gene_model_track,Options:GeneOnly]&amp;mk=2572743:2572762|offset_10|00cc00,2572764:2572783|offset_31|444444,2572798:2572817|offset_65|444444,2572861:2572880|offset_128|444444&amp;v=2572542:2573080&amp;c=444444", "offset 10")</f>
        <v>offset 10</v>
      </c>
    </row>
    <row r="9020" customFormat="false" ht="12.8" hidden="false" customHeight="false" outlineLevel="0" collapsed="false">
      <c r="A9020" s="0" t="s">
        <v>12</v>
      </c>
      <c r="B9020" s="0" t="n">
        <v>2572763</v>
      </c>
      <c r="C9020" s="0" t="n">
        <v>2572783</v>
      </c>
      <c r="D9020" s="0" t="s">
        <v>30113</v>
      </c>
      <c r="E9020" s="0" t="s">
        <v>89</v>
      </c>
      <c r="F9020" s="0" t="s">
        <v>15</v>
      </c>
      <c r="G9020" s="0" t="s">
        <v>26</v>
      </c>
      <c r="H9020" s="0" t="n">
        <v>31</v>
      </c>
      <c r="I9020" s="0" t="s">
        <v>30117</v>
      </c>
      <c r="J9020" s="0" t="s">
        <v>30118</v>
      </c>
      <c r="K9020" s="0" t="s">
        <v>30119</v>
      </c>
      <c r="L9020" s="0" t="str">
        <f aca="false">HYPERLINK("https://www.ncbi.nlm.nih.gov/nuccore/CP000304.1?report=graph&amp;tracks=[key:gene_model_track,Options:GeneOnly]&amp;mk=2572743:2572762|offset_10|444444,2572764:2572783|offset_31|00cc00,2572798:2572817|offset_65|444444,2572861:2572880|offset_128|444444&amp;v=2572542:2573080&amp;c=444444", "offset 31")</f>
        <v>offset 31</v>
      </c>
    </row>
    <row r="9021" customFormat="false" ht="12.8" hidden="false" customHeight="false" outlineLevel="0" collapsed="false">
      <c r="A9021" s="0" t="s">
        <v>12</v>
      </c>
      <c r="B9021" s="0" t="n">
        <v>2572797</v>
      </c>
      <c r="C9021" s="0" t="n">
        <v>2572817</v>
      </c>
      <c r="D9021" s="0" t="s">
        <v>30113</v>
      </c>
      <c r="E9021" s="0" t="s">
        <v>89</v>
      </c>
      <c r="F9021" s="0" t="s">
        <v>15</v>
      </c>
      <c r="G9021" s="0" t="s">
        <v>26</v>
      </c>
      <c r="H9021" s="0" t="n">
        <v>65</v>
      </c>
      <c r="I9021" s="0" t="s">
        <v>30120</v>
      </c>
      <c r="J9021" s="0" t="s">
        <v>30121</v>
      </c>
      <c r="K9021" s="0" t="s">
        <v>30122</v>
      </c>
      <c r="L9021" s="0" t="str">
        <f aca="false">HYPERLINK("https://www.ncbi.nlm.nih.gov/nuccore/CP000304.1?report=graph&amp;tracks=[key:gene_model_track,Options:GeneOnly]&amp;mk=2572743:2572762|offset_10|444444,2572764:2572783|offset_31|444444,2572798:2572817|offset_65|00cc00,2572861:2572880|offset_128|444444&amp;v=2572542:2573080&amp;c=444444", "offset 65")</f>
        <v>offset 65</v>
      </c>
    </row>
    <row r="9022" customFormat="false" ht="12.8" hidden="false" customHeight="false" outlineLevel="0" collapsed="false">
      <c r="A9022" s="0" t="s">
        <v>12</v>
      </c>
      <c r="B9022" s="0" t="n">
        <v>2572860</v>
      </c>
      <c r="C9022" s="0" t="n">
        <v>2572880</v>
      </c>
      <c r="D9022" s="0" t="s">
        <v>30113</v>
      </c>
      <c r="E9022" s="0" t="s">
        <v>89</v>
      </c>
      <c r="F9022" s="0" t="s">
        <v>15</v>
      </c>
      <c r="G9022" s="0" t="s">
        <v>26</v>
      </c>
      <c r="H9022" s="0" t="n">
        <v>128</v>
      </c>
      <c r="I9022" s="0" t="s">
        <v>30123</v>
      </c>
      <c r="J9022" s="0" t="s">
        <v>30124</v>
      </c>
      <c r="K9022" s="0" t="s">
        <v>30125</v>
      </c>
      <c r="L9022" s="0" t="str">
        <f aca="false">HYPERLINK("https://www.ncbi.nlm.nih.gov/nuccore/CP000304.1?report=graph&amp;tracks=[key:gene_model_track,Options:GeneOnly]&amp;mk=2572743:2572762|offset_10|444444,2572764:2572783|offset_31|444444,2572798:2572817|offset_65|444444,2572861:2572880|offset_128|00cc00&amp;v=2572542:2573080&amp;c=444444", "offset 128")</f>
        <v>offset 128</v>
      </c>
    </row>
    <row r="9023" customFormat="false" ht="12.8" hidden="false" customHeight="false" outlineLevel="0" collapsed="false">
      <c r="A9023" s="0" t="s">
        <v>12</v>
      </c>
      <c r="B9023" s="0" t="n">
        <v>2573537</v>
      </c>
      <c r="C9023" s="0" t="n">
        <v>2573557</v>
      </c>
      <c r="D9023" s="0" t="s">
        <v>30126</v>
      </c>
      <c r="E9023" s="0" t="s">
        <v>89</v>
      </c>
      <c r="F9023" s="0" t="s">
        <v>15</v>
      </c>
      <c r="G9023" s="0" t="s">
        <v>36</v>
      </c>
      <c r="H9023" s="0" t="n">
        <v>17</v>
      </c>
      <c r="I9023" s="0" t="s">
        <v>30127</v>
      </c>
      <c r="J9023" s="0" t="s">
        <v>30128</v>
      </c>
      <c r="K9023" s="0" t="s">
        <v>30129</v>
      </c>
      <c r="L9023" s="0" t="str">
        <f aca="false">HYPERLINK("https://www.ncbi.nlm.nih.gov/nuccore/CP000304.1?report=graph&amp;tracks=[key:gene_model_track,Options:GeneOnly]&amp;mk=2573538:2573557|offset_17|00cc00,2573559:2573578|offset_38|444444,2573584:2573603|offset_63|444444,2573626:2573645|offset_105|444444&amp;v=2573337:2573845&amp;c=444444", "offset 17")</f>
        <v>offset 17</v>
      </c>
    </row>
    <row r="9024" customFormat="false" ht="12.8" hidden="false" customHeight="false" outlineLevel="0" collapsed="false">
      <c r="A9024" s="0" t="s">
        <v>12</v>
      </c>
      <c r="B9024" s="0" t="n">
        <v>2573558</v>
      </c>
      <c r="C9024" s="0" t="n">
        <v>2573578</v>
      </c>
      <c r="D9024" s="0" t="s">
        <v>30126</v>
      </c>
      <c r="E9024" s="0" t="s">
        <v>89</v>
      </c>
      <c r="F9024" s="0" t="s">
        <v>15</v>
      </c>
      <c r="G9024" s="0" t="s">
        <v>32</v>
      </c>
      <c r="H9024" s="0" t="n">
        <v>38</v>
      </c>
      <c r="I9024" s="0" t="s">
        <v>30130</v>
      </c>
      <c r="J9024" s="0" t="s">
        <v>30131</v>
      </c>
      <c r="K9024" s="0" t="s">
        <v>30132</v>
      </c>
      <c r="L9024" s="0" t="str">
        <f aca="false">HYPERLINK("https://www.ncbi.nlm.nih.gov/nuccore/CP000304.1?report=graph&amp;tracks=[key:gene_model_track,Options:GeneOnly]&amp;mk=2573538:2573557|offset_17|444444,2573559:2573578|offset_38|00cc00,2573584:2573603|offset_63|444444,2573626:2573645|offset_105|444444&amp;v=2573337:2573845&amp;c=444444", "offset 38")</f>
        <v>offset 38</v>
      </c>
    </row>
    <row r="9025" customFormat="false" ht="12.8" hidden="false" customHeight="false" outlineLevel="0" collapsed="false">
      <c r="A9025" s="0" t="s">
        <v>12</v>
      </c>
      <c r="B9025" s="0" t="n">
        <v>2573583</v>
      </c>
      <c r="C9025" s="0" t="n">
        <v>2573603</v>
      </c>
      <c r="D9025" s="0" t="s">
        <v>30126</v>
      </c>
      <c r="E9025" s="0" t="s">
        <v>89</v>
      </c>
      <c r="F9025" s="0" t="s">
        <v>15</v>
      </c>
      <c r="G9025" s="0" t="s">
        <v>16</v>
      </c>
      <c r="H9025" s="0" t="n">
        <v>63</v>
      </c>
      <c r="I9025" s="0" t="s">
        <v>30133</v>
      </c>
      <c r="J9025" s="0" t="s">
        <v>30134</v>
      </c>
      <c r="K9025" s="0" t="s">
        <v>30135</v>
      </c>
      <c r="L9025" s="0" t="str">
        <f aca="false">HYPERLINK("https://www.ncbi.nlm.nih.gov/nuccore/CP000304.1?report=graph&amp;tracks=[key:gene_model_track,Options:GeneOnly]&amp;mk=2573538:2573557|offset_17|444444,2573559:2573578|offset_38|444444,2573584:2573603|offset_63|00cc00,2573626:2573645|offset_105|444444&amp;v=2573337:2573845&amp;c=444444", "offset 63")</f>
        <v>offset 63</v>
      </c>
    </row>
    <row r="9026" customFormat="false" ht="12.8" hidden="false" customHeight="false" outlineLevel="0" collapsed="false">
      <c r="A9026" s="0" t="s">
        <v>12</v>
      </c>
      <c r="B9026" s="0" t="n">
        <v>2573625</v>
      </c>
      <c r="C9026" s="0" t="n">
        <v>2573645</v>
      </c>
      <c r="D9026" s="0" t="s">
        <v>30126</v>
      </c>
      <c r="E9026" s="0" t="s">
        <v>89</v>
      </c>
      <c r="F9026" s="0" t="s">
        <v>15</v>
      </c>
      <c r="G9026" s="0" t="s">
        <v>36</v>
      </c>
      <c r="H9026" s="0" t="n">
        <v>105</v>
      </c>
      <c r="I9026" s="0" t="s">
        <v>30136</v>
      </c>
      <c r="J9026" s="0" t="s">
        <v>30137</v>
      </c>
      <c r="K9026" s="0" t="s">
        <v>30138</v>
      </c>
      <c r="L9026" s="0" t="str">
        <f aca="false">HYPERLINK("https://www.ncbi.nlm.nih.gov/nuccore/CP000304.1?report=graph&amp;tracks=[key:gene_model_track,Options:GeneOnly]&amp;mk=2573538:2573557|offset_17|444444,2573559:2573578|offset_38|444444,2573584:2573603|offset_63|444444,2573626:2573645|offset_105|00cc00&amp;v=2573337:2573845&amp;c=444444", "offset 105")</f>
        <v>offset 105</v>
      </c>
    </row>
    <row r="9027" customFormat="false" ht="12.8" hidden="false" customHeight="false" outlineLevel="0" collapsed="false">
      <c r="A9027" s="0" t="s">
        <v>12</v>
      </c>
      <c r="B9027" s="0" t="n">
        <v>2574655</v>
      </c>
      <c r="C9027" s="0" t="n">
        <v>2574675</v>
      </c>
      <c r="D9027" s="0" t="s">
        <v>30139</v>
      </c>
      <c r="E9027" s="0" t="s">
        <v>89</v>
      </c>
      <c r="F9027" s="0" t="s">
        <v>90</v>
      </c>
      <c r="G9027" s="0" t="s">
        <v>16</v>
      </c>
      <c r="H9027" s="0" t="n">
        <v>12</v>
      </c>
      <c r="I9027" s="0" t="s">
        <v>30140</v>
      </c>
      <c r="J9027" s="0" t="s">
        <v>30141</v>
      </c>
      <c r="K9027" s="0" t="s">
        <v>30142</v>
      </c>
      <c r="L9027" s="0" t="str">
        <f aca="false">HYPERLINK("https://www.ncbi.nlm.nih.gov/nuccore/CP000304.1?report=graph&amp;tracks=[key:gene_model_track,Options:GeneOnly]&amp;mk=2574656:2574675|offset_12|00cc00,2574629:2574648|offset_39|444444,2574609:2574628|offset_59|444444,2574576:2574595|offset_92|444444&amp;v=2574455:2574795&amp;c=444444", "offset 12")</f>
        <v>offset 12</v>
      </c>
    </row>
    <row r="9028" customFormat="false" ht="12.8" hidden="false" customHeight="false" outlineLevel="0" collapsed="false">
      <c r="A9028" s="0" t="s">
        <v>12</v>
      </c>
      <c r="B9028" s="0" t="n">
        <v>2574628</v>
      </c>
      <c r="C9028" s="0" t="n">
        <v>2574648</v>
      </c>
      <c r="D9028" s="0" t="s">
        <v>30139</v>
      </c>
      <c r="E9028" s="0" t="s">
        <v>89</v>
      </c>
      <c r="F9028" s="0" t="s">
        <v>90</v>
      </c>
      <c r="G9028" s="0" t="s">
        <v>26</v>
      </c>
      <c r="H9028" s="0" t="n">
        <v>39</v>
      </c>
      <c r="I9028" s="0" t="s">
        <v>30143</v>
      </c>
      <c r="J9028" s="0" t="s">
        <v>30144</v>
      </c>
      <c r="K9028" s="0" t="s">
        <v>30145</v>
      </c>
      <c r="L9028" s="0" t="str">
        <f aca="false">HYPERLINK("https://www.ncbi.nlm.nih.gov/nuccore/CP000304.1?report=graph&amp;tracks=[key:gene_model_track,Options:GeneOnly]&amp;mk=2574656:2574675|offset_12|444444,2574629:2574648|offset_39|00cc00,2574609:2574628|offset_59|444444,2574576:2574595|offset_92|444444&amp;v=2574455:2574795&amp;c=444444", "offset 39")</f>
        <v>offset 39</v>
      </c>
    </row>
    <row r="9029" customFormat="false" ht="12.8" hidden="false" customHeight="false" outlineLevel="0" collapsed="false">
      <c r="A9029" s="0" t="s">
        <v>12</v>
      </c>
      <c r="B9029" s="0" t="n">
        <v>2574608</v>
      </c>
      <c r="C9029" s="0" t="n">
        <v>2574628</v>
      </c>
      <c r="D9029" s="0" t="s">
        <v>30139</v>
      </c>
      <c r="E9029" s="0" t="s">
        <v>89</v>
      </c>
      <c r="F9029" s="0" t="s">
        <v>90</v>
      </c>
      <c r="G9029" s="0" t="s">
        <v>16</v>
      </c>
      <c r="H9029" s="0" t="n">
        <v>59</v>
      </c>
      <c r="I9029" s="0" t="s">
        <v>30146</v>
      </c>
      <c r="J9029" s="0" t="s">
        <v>30147</v>
      </c>
      <c r="K9029" s="0" t="s">
        <v>30148</v>
      </c>
      <c r="L9029" s="0" t="str">
        <f aca="false">HYPERLINK("https://www.ncbi.nlm.nih.gov/nuccore/CP000304.1?report=graph&amp;tracks=[key:gene_model_track,Options:GeneOnly]&amp;mk=2574656:2574675|offset_12|444444,2574629:2574648|offset_39|444444,2574609:2574628|offset_59|00cc00,2574576:2574595|offset_92|444444&amp;v=2574455:2574795&amp;c=444444", "offset 59")</f>
        <v>offset 59</v>
      </c>
    </row>
    <row r="9030" customFormat="false" ht="12.8" hidden="false" customHeight="false" outlineLevel="0" collapsed="false">
      <c r="A9030" s="0" t="s">
        <v>12</v>
      </c>
      <c r="B9030" s="0" t="n">
        <v>2574575</v>
      </c>
      <c r="C9030" s="0" t="n">
        <v>2574595</v>
      </c>
      <c r="D9030" s="0" t="s">
        <v>30139</v>
      </c>
      <c r="E9030" s="0" t="s">
        <v>89</v>
      </c>
      <c r="F9030" s="0" t="s">
        <v>90</v>
      </c>
      <c r="G9030" s="0" t="s">
        <v>36</v>
      </c>
      <c r="H9030" s="0" t="n">
        <v>92</v>
      </c>
      <c r="I9030" s="0" t="s">
        <v>30149</v>
      </c>
      <c r="J9030" s="0" t="s">
        <v>30150</v>
      </c>
      <c r="K9030" s="0" t="s">
        <v>30151</v>
      </c>
      <c r="L9030" s="0" t="str">
        <f aca="false">HYPERLINK("https://www.ncbi.nlm.nih.gov/nuccore/CP000304.1?report=graph&amp;tracks=[key:gene_model_track,Options:GeneOnly]&amp;mk=2574656:2574675|offset_12|444444,2574629:2574648|offset_39|444444,2574609:2574628|offset_59|444444,2574576:2574595|offset_92|00cc00&amp;v=2574455:2574795&amp;c=444444", "offset 92")</f>
        <v>offset 92</v>
      </c>
    </row>
    <row r="9031" customFormat="false" ht="12.8" hidden="false" customHeight="false" outlineLevel="0" collapsed="false">
      <c r="A9031" s="0" t="s">
        <v>12</v>
      </c>
      <c r="B9031" s="0" t="n">
        <v>2574854</v>
      </c>
      <c r="C9031" s="0" t="n">
        <v>2574874</v>
      </c>
      <c r="D9031" s="0" t="s">
        <v>30152</v>
      </c>
      <c r="E9031" s="0" t="s">
        <v>89</v>
      </c>
      <c r="F9031" s="0" t="s">
        <v>90</v>
      </c>
      <c r="G9031" s="0" t="s">
        <v>36</v>
      </c>
      <c r="H9031" s="0" t="n">
        <v>37</v>
      </c>
      <c r="I9031" s="0" t="s">
        <v>30153</v>
      </c>
      <c r="J9031" s="0" t="s">
        <v>30154</v>
      </c>
      <c r="K9031" s="0" t="s">
        <v>30155</v>
      </c>
      <c r="L9031" s="0" t="str">
        <f aca="false">HYPERLINK("https://www.ncbi.nlm.nih.gov/nuccore/CP000304.1?report=graph&amp;tracks=[key:gene_model_track,Options:GeneOnly]&amp;mk=2574855:2574874|offset_37|00cc00,2574827:2574846|offset_65|444444,2574803:2574822|offset_89|444444,2574780:2574799|offset_112|444444&amp;v=2574654:2574999&amp;c=444444", "offset 37")</f>
        <v>offset 37</v>
      </c>
    </row>
    <row r="9032" customFormat="false" ht="12.8" hidden="false" customHeight="false" outlineLevel="0" collapsed="false">
      <c r="A9032" s="0" t="s">
        <v>12</v>
      </c>
      <c r="B9032" s="0" t="n">
        <v>2574826</v>
      </c>
      <c r="C9032" s="0" t="n">
        <v>2574846</v>
      </c>
      <c r="D9032" s="0" t="s">
        <v>30152</v>
      </c>
      <c r="E9032" s="0" t="s">
        <v>89</v>
      </c>
      <c r="F9032" s="0" t="s">
        <v>90</v>
      </c>
      <c r="G9032" s="0" t="s">
        <v>26</v>
      </c>
      <c r="H9032" s="0" t="n">
        <v>65</v>
      </c>
      <c r="I9032" s="0" t="s">
        <v>30156</v>
      </c>
      <c r="J9032" s="0" t="s">
        <v>30157</v>
      </c>
      <c r="K9032" s="0" t="s">
        <v>30158</v>
      </c>
      <c r="L9032" s="0" t="str">
        <f aca="false">HYPERLINK("https://www.ncbi.nlm.nih.gov/nuccore/CP000304.1?report=graph&amp;tracks=[key:gene_model_track,Options:GeneOnly]&amp;mk=2574855:2574874|offset_37|444444,2574827:2574846|offset_65|00cc00,2574803:2574822|offset_89|444444,2574780:2574799|offset_112|444444&amp;v=2574654:2574999&amp;c=444444", "offset 65")</f>
        <v>offset 65</v>
      </c>
    </row>
    <row r="9033" customFormat="false" ht="12.8" hidden="false" customHeight="false" outlineLevel="0" collapsed="false">
      <c r="A9033" s="0" t="s">
        <v>12</v>
      </c>
      <c r="B9033" s="0" t="n">
        <v>2574802</v>
      </c>
      <c r="C9033" s="0" t="n">
        <v>2574822</v>
      </c>
      <c r="D9033" s="0" t="s">
        <v>30152</v>
      </c>
      <c r="E9033" s="0" t="s">
        <v>89</v>
      </c>
      <c r="F9033" s="0" t="s">
        <v>90</v>
      </c>
      <c r="G9033" s="0" t="s">
        <v>26</v>
      </c>
      <c r="H9033" s="0" t="n">
        <v>89</v>
      </c>
      <c r="I9033" s="0" t="s">
        <v>30159</v>
      </c>
      <c r="J9033" s="0" t="s">
        <v>30160</v>
      </c>
      <c r="K9033" s="0" t="s">
        <v>30161</v>
      </c>
      <c r="L9033" s="0" t="str">
        <f aca="false">HYPERLINK("https://www.ncbi.nlm.nih.gov/nuccore/CP000304.1?report=graph&amp;tracks=[key:gene_model_track,Options:GeneOnly]&amp;mk=2574855:2574874|offset_37|444444,2574827:2574846|offset_65|444444,2574803:2574822|offset_89|00cc00,2574780:2574799|offset_112|444444&amp;v=2574654:2574999&amp;c=444444", "offset 89")</f>
        <v>offset 89</v>
      </c>
    </row>
    <row r="9034" customFormat="false" ht="12.8" hidden="false" customHeight="false" outlineLevel="0" collapsed="false">
      <c r="A9034" s="0" t="s">
        <v>12</v>
      </c>
      <c r="B9034" s="0" t="n">
        <v>2574779</v>
      </c>
      <c r="C9034" s="0" t="n">
        <v>2574799</v>
      </c>
      <c r="D9034" s="0" t="s">
        <v>30152</v>
      </c>
      <c r="E9034" s="0" t="s">
        <v>89</v>
      </c>
      <c r="F9034" s="0" t="s">
        <v>90</v>
      </c>
      <c r="G9034" s="0" t="s">
        <v>32</v>
      </c>
      <c r="H9034" s="0" t="n">
        <v>112</v>
      </c>
      <c r="I9034" s="0" t="s">
        <v>30162</v>
      </c>
      <c r="J9034" s="0" t="s">
        <v>30163</v>
      </c>
      <c r="K9034" s="0" t="s">
        <v>30164</v>
      </c>
      <c r="L9034" s="0" t="str">
        <f aca="false">HYPERLINK("https://www.ncbi.nlm.nih.gov/nuccore/CP000304.1?report=graph&amp;tracks=[key:gene_model_track,Options:GeneOnly]&amp;mk=2574855:2574874|offset_37|444444,2574827:2574846|offset_65|444444,2574803:2574822|offset_89|444444,2574780:2574799|offset_112|00cc00&amp;v=2574654:2574999&amp;c=444444", "offset 112")</f>
        <v>offset 112</v>
      </c>
    </row>
    <row r="9035" customFormat="false" ht="12.8" hidden="false" customHeight="false" outlineLevel="0" collapsed="false">
      <c r="A9035" s="0" t="s">
        <v>12</v>
      </c>
      <c r="B9035" s="0" t="n">
        <v>2576662</v>
      </c>
      <c r="C9035" s="0" t="n">
        <v>2576682</v>
      </c>
      <c r="D9035" s="0" t="s">
        <v>30165</v>
      </c>
      <c r="E9035" s="0" t="s">
        <v>30166</v>
      </c>
      <c r="F9035" s="0" t="s">
        <v>90</v>
      </c>
      <c r="G9035" s="0" t="s">
        <v>16</v>
      </c>
      <c r="H9035" s="0" t="n">
        <v>7</v>
      </c>
      <c r="I9035" s="0" t="s">
        <v>30167</v>
      </c>
      <c r="J9035" s="0" t="s">
        <v>30168</v>
      </c>
      <c r="K9035" s="0" t="s">
        <v>30169</v>
      </c>
      <c r="L9035" s="0" t="str">
        <f aca="false">HYPERLINK("https://www.ncbi.nlm.nih.gov/nuccore/CP000304.1?report=graph&amp;tracks=[key:gene_model_track,Options:GeneOnly]&amp;mk=2576663:2576682|offset_7|00cc00,2576615:2576634|offset_55|444444,2576595:2576614|offset_75|444444,2576529:2576548|offset_141|444444&amp;v=2576462:2576748&amp;c=444444", "offset 7")</f>
        <v>offset 7</v>
      </c>
    </row>
    <row r="9036" customFormat="false" ht="12.8" hidden="false" customHeight="false" outlineLevel="0" collapsed="false">
      <c r="A9036" s="0" t="s">
        <v>12</v>
      </c>
      <c r="B9036" s="0" t="n">
        <v>2576614</v>
      </c>
      <c r="C9036" s="0" t="n">
        <v>2576634</v>
      </c>
      <c r="D9036" s="0" t="s">
        <v>30165</v>
      </c>
      <c r="E9036" s="0" t="s">
        <v>30166</v>
      </c>
      <c r="F9036" s="0" t="s">
        <v>90</v>
      </c>
      <c r="G9036" s="0" t="s">
        <v>16</v>
      </c>
      <c r="H9036" s="0" t="n">
        <v>55</v>
      </c>
      <c r="I9036" s="0" t="s">
        <v>30170</v>
      </c>
      <c r="J9036" s="0" t="s">
        <v>30171</v>
      </c>
      <c r="K9036" s="0" t="s">
        <v>30172</v>
      </c>
      <c r="L9036" s="0" t="str">
        <f aca="false">HYPERLINK("https://www.ncbi.nlm.nih.gov/nuccore/CP000304.1?report=graph&amp;tracks=[key:gene_model_track,Options:GeneOnly]&amp;mk=2576663:2576682|offset_7|444444,2576615:2576634|offset_55|00cc00,2576595:2576614|offset_75|444444,2576529:2576548|offset_141|444444&amp;v=2576462:2576748&amp;c=444444", "offset 55")</f>
        <v>offset 55</v>
      </c>
    </row>
    <row r="9037" customFormat="false" ht="12.8" hidden="false" customHeight="false" outlineLevel="0" collapsed="false">
      <c r="A9037" s="0" t="s">
        <v>12</v>
      </c>
      <c r="B9037" s="0" t="n">
        <v>2576594</v>
      </c>
      <c r="C9037" s="0" t="n">
        <v>2576614</v>
      </c>
      <c r="D9037" s="0" t="s">
        <v>30165</v>
      </c>
      <c r="E9037" s="0" t="s">
        <v>30166</v>
      </c>
      <c r="F9037" s="0" t="s">
        <v>90</v>
      </c>
      <c r="G9037" s="0" t="s">
        <v>16</v>
      </c>
      <c r="H9037" s="0" t="n">
        <v>75</v>
      </c>
      <c r="I9037" s="0" t="s">
        <v>30173</v>
      </c>
      <c r="J9037" s="0" t="s">
        <v>30174</v>
      </c>
      <c r="K9037" s="0" t="s">
        <v>30175</v>
      </c>
      <c r="L9037" s="0" t="str">
        <f aca="false">HYPERLINK("https://www.ncbi.nlm.nih.gov/nuccore/CP000304.1?report=graph&amp;tracks=[key:gene_model_track,Options:GeneOnly]&amp;mk=2576663:2576682|offset_7|444444,2576615:2576634|offset_55|444444,2576595:2576614|offset_75|00cc00,2576529:2576548|offset_141|444444&amp;v=2576462:2576748&amp;c=444444", "offset 75")</f>
        <v>offset 75</v>
      </c>
    </row>
    <row r="9038" customFormat="false" ht="12.8" hidden="false" customHeight="false" outlineLevel="0" collapsed="false">
      <c r="A9038" s="0" t="s">
        <v>12</v>
      </c>
      <c r="B9038" s="0" t="n">
        <v>2576528</v>
      </c>
      <c r="C9038" s="0" t="n">
        <v>2576548</v>
      </c>
      <c r="D9038" s="0" t="s">
        <v>30165</v>
      </c>
      <c r="E9038" s="0" t="s">
        <v>30166</v>
      </c>
      <c r="F9038" s="0" t="s">
        <v>90</v>
      </c>
      <c r="G9038" s="0" t="s">
        <v>36</v>
      </c>
      <c r="H9038" s="0" t="n">
        <v>141</v>
      </c>
      <c r="I9038" s="0" t="s">
        <v>30176</v>
      </c>
      <c r="J9038" s="0" t="s">
        <v>30177</v>
      </c>
      <c r="K9038" s="0" t="s">
        <v>30178</v>
      </c>
      <c r="L9038" s="0" t="str">
        <f aca="false">HYPERLINK("https://www.ncbi.nlm.nih.gov/nuccore/CP000304.1?report=graph&amp;tracks=[key:gene_model_track,Options:GeneOnly]&amp;mk=2576663:2576682|offset_7|444444,2576615:2576634|offset_55|444444,2576595:2576614|offset_75|444444,2576529:2576548|offset_141|00cc00&amp;v=2576462:2576748&amp;c=444444", "offset 141")</f>
        <v>offset 141</v>
      </c>
    </row>
    <row r="9039" customFormat="false" ht="12.8" hidden="false" customHeight="false" outlineLevel="0" collapsed="false">
      <c r="A9039" s="0" t="s">
        <v>12</v>
      </c>
      <c r="B9039" s="0" t="n">
        <v>2577441</v>
      </c>
      <c r="C9039" s="0" t="n">
        <v>2577461</v>
      </c>
      <c r="D9039" s="0" t="s">
        <v>30179</v>
      </c>
      <c r="E9039" s="0" t="s">
        <v>89</v>
      </c>
      <c r="F9039" s="0" t="s">
        <v>90</v>
      </c>
      <c r="G9039" s="0" t="s">
        <v>16</v>
      </c>
      <c r="H9039" s="0" t="n">
        <v>19</v>
      </c>
      <c r="I9039" s="0" t="s">
        <v>30180</v>
      </c>
      <c r="J9039" s="0" t="s">
        <v>30181</v>
      </c>
      <c r="K9039" s="0" t="s">
        <v>30182</v>
      </c>
      <c r="L9039" s="0" t="str">
        <f aca="false">HYPERLINK("https://www.ncbi.nlm.nih.gov/nuccore/CP000304.1?report=graph&amp;tracks=[key:gene_model_track,Options:GeneOnly]&amp;mk=2577442:2577461|offset_19|00cc00,2577420:2577439|offset_41|444444,2577373:2577392|offset_88|444444,2577333:2577352|offset_128|444444&amp;v=2577241:2577552&amp;c=444444", "offset 19")</f>
        <v>offset 19</v>
      </c>
    </row>
    <row r="9040" customFormat="false" ht="12.8" hidden="false" customHeight="false" outlineLevel="0" collapsed="false">
      <c r="A9040" s="0" t="s">
        <v>12</v>
      </c>
      <c r="B9040" s="0" t="n">
        <v>2577419</v>
      </c>
      <c r="C9040" s="0" t="n">
        <v>2577439</v>
      </c>
      <c r="D9040" s="0" t="s">
        <v>30179</v>
      </c>
      <c r="E9040" s="0" t="s">
        <v>89</v>
      </c>
      <c r="F9040" s="0" t="s">
        <v>90</v>
      </c>
      <c r="G9040" s="0" t="s">
        <v>16</v>
      </c>
      <c r="H9040" s="0" t="n">
        <v>41</v>
      </c>
      <c r="I9040" s="0" t="s">
        <v>30183</v>
      </c>
      <c r="J9040" s="0" t="s">
        <v>30184</v>
      </c>
      <c r="K9040" s="0" t="s">
        <v>30185</v>
      </c>
      <c r="L9040" s="0" t="str">
        <f aca="false">HYPERLINK("https://www.ncbi.nlm.nih.gov/nuccore/CP000304.1?report=graph&amp;tracks=[key:gene_model_track,Options:GeneOnly]&amp;mk=2577442:2577461|offset_19|444444,2577420:2577439|offset_41|00cc00,2577373:2577392|offset_88|444444,2577333:2577352|offset_128|444444&amp;v=2577241:2577552&amp;c=444444", "offset 41")</f>
        <v>offset 41</v>
      </c>
    </row>
    <row r="9041" customFormat="false" ht="12.8" hidden="false" customHeight="false" outlineLevel="0" collapsed="false">
      <c r="A9041" s="0" t="s">
        <v>12</v>
      </c>
      <c r="B9041" s="0" t="n">
        <v>2577372</v>
      </c>
      <c r="C9041" s="0" t="n">
        <v>2577392</v>
      </c>
      <c r="D9041" s="0" t="s">
        <v>30179</v>
      </c>
      <c r="E9041" s="0" t="s">
        <v>89</v>
      </c>
      <c r="F9041" s="0" t="s">
        <v>90</v>
      </c>
      <c r="G9041" s="0" t="s">
        <v>16</v>
      </c>
      <c r="H9041" s="0" t="n">
        <v>88</v>
      </c>
      <c r="I9041" s="0" t="s">
        <v>30186</v>
      </c>
      <c r="J9041" s="0" t="s">
        <v>30187</v>
      </c>
      <c r="K9041" s="0" t="s">
        <v>30188</v>
      </c>
      <c r="L9041" s="0" t="str">
        <f aca="false">HYPERLINK("https://www.ncbi.nlm.nih.gov/nuccore/CP000304.1?report=graph&amp;tracks=[key:gene_model_track,Options:GeneOnly]&amp;mk=2577442:2577461|offset_19|444444,2577420:2577439|offset_41|444444,2577373:2577392|offset_88|00cc00,2577333:2577352|offset_128|444444&amp;v=2577241:2577552&amp;c=444444", "offset 88")</f>
        <v>offset 88</v>
      </c>
    </row>
    <row r="9042" customFormat="false" ht="12.8" hidden="false" customHeight="false" outlineLevel="0" collapsed="false">
      <c r="A9042" s="0" t="s">
        <v>12</v>
      </c>
      <c r="B9042" s="0" t="n">
        <v>2577332</v>
      </c>
      <c r="C9042" s="0" t="n">
        <v>2577352</v>
      </c>
      <c r="D9042" s="0" t="s">
        <v>30179</v>
      </c>
      <c r="E9042" s="0" t="s">
        <v>89</v>
      </c>
      <c r="F9042" s="0" t="s">
        <v>90</v>
      </c>
      <c r="G9042" s="0" t="s">
        <v>26</v>
      </c>
      <c r="H9042" s="0" t="n">
        <v>128</v>
      </c>
      <c r="I9042" s="0" t="s">
        <v>30189</v>
      </c>
      <c r="J9042" s="0" t="s">
        <v>30190</v>
      </c>
      <c r="K9042" s="0" t="s">
        <v>30191</v>
      </c>
      <c r="L9042" s="0" t="str">
        <f aca="false">HYPERLINK("https://www.ncbi.nlm.nih.gov/nuccore/CP000304.1?report=graph&amp;tracks=[key:gene_model_track,Options:GeneOnly]&amp;mk=2577442:2577461|offset_19|444444,2577420:2577439|offset_41|444444,2577373:2577392|offset_88|444444,2577333:2577352|offset_128|00cc00&amp;v=2577241:2577552&amp;c=444444", "offset 128")</f>
        <v>offset 128</v>
      </c>
    </row>
    <row r="9043" customFormat="false" ht="12.8" hidden="false" customHeight="false" outlineLevel="0" collapsed="false">
      <c r="A9043" s="0" t="s">
        <v>12</v>
      </c>
      <c r="B9043" s="0" t="n">
        <v>2580585</v>
      </c>
      <c r="C9043" s="0" t="n">
        <v>2580605</v>
      </c>
      <c r="D9043" s="0" t="s">
        <v>30192</v>
      </c>
      <c r="E9043" s="0" t="s">
        <v>89</v>
      </c>
      <c r="F9043" s="0" t="s">
        <v>90</v>
      </c>
      <c r="G9043" s="0" t="s">
        <v>26</v>
      </c>
      <c r="H9043" s="0" t="n">
        <v>6</v>
      </c>
      <c r="I9043" s="0" t="s">
        <v>30193</v>
      </c>
      <c r="J9043" s="0" t="s">
        <v>30194</v>
      </c>
      <c r="K9043" s="0" t="s">
        <v>30195</v>
      </c>
      <c r="L9043" s="0" t="str">
        <f aca="false">HYPERLINK("https://www.ncbi.nlm.nih.gov/nuccore/CP000304.1?report=graph&amp;tracks=[key:gene_model_track,Options:GeneOnly]&amp;mk=2580586:2580605|offset_6|00cc00,2580563:2580582|offset_29|444444,2580542:2580561|offset_50|444444,2580504:2580523|offset_88|444444&amp;v=2580385:2580723&amp;c=444444", "offset 6")</f>
        <v>offset 6</v>
      </c>
    </row>
    <row r="9044" customFormat="false" ht="12.8" hidden="false" customHeight="false" outlineLevel="0" collapsed="false">
      <c r="A9044" s="0" t="s">
        <v>12</v>
      </c>
      <c r="B9044" s="0" t="n">
        <v>2580562</v>
      </c>
      <c r="C9044" s="0" t="n">
        <v>2580582</v>
      </c>
      <c r="D9044" s="0" t="s">
        <v>30192</v>
      </c>
      <c r="E9044" s="0" t="s">
        <v>89</v>
      </c>
      <c r="F9044" s="0" t="s">
        <v>90</v>
      </c>
      <c r="G9044" s="0" t="s">
        <v>26</v>
      </c>
      <c r="H9044" s="0" t="n">
        <v>29</v>
      </c>
      <c r="I9044" s="0" t="s">
        <v>30196</v>
      </c>
      <c r="J9044" s="0" t="s">
        <v>30197</v>
      </c>
      <c r="K9044" s="0" t="s">
        <v>30198</v>
      </c>
      <c r="L9044" s="0" t="str">
        <f aca="false">HYPERLINK("https://www.ncbi.nlm.nih.gov/nuccore/CP000304.1?report=graph&amp;tracks=[key:gene_model_track,Options:GeneOnly]&amp;mk=2580586:2580605|offset_6|444444,2580563:2580582|offset_29|00cc00,2580542:2580561|offset_50|444444,2580504:2580523|offset_88|444444&amp;v=2580385:2580723&amp;c=444444", "offset 29")</f>
        <v>offset 29</v>
      </c>
    </row>
    <row r="9045" customFormat="false" ht="12.8" hidden="false" customHeight="false" outlineLevel="0" collapsed="false">
      <c r="A9045" s="0" t="s">
        <v>12</v>
      </c>
      <c r="B9045" s="0" t="n">
        <v>2580541</v>
      </c>
      <c r="C9045" s="0" t="n">
        <v>2580561</v>
      </c>
      <c r="D9045" s="0" t="s">
        <v>30192</v>
      </c>
      <c r="E9045" s="0" t="s">
        <v>89</v>
      </c>
      <c r="F9045" s="0" t="s">
        <v>90</v>
      </c>
      <c r="G9045" s="0" t="s">
        <v>16</v>
      </c>
      <c r="H9045" s="0" t="n">
        <v>50</v>
      </c>
      <c r="I9045" s="0" t="s">
        <v>30199</v>
      </c>
      <c r="J9045" s="0" t="s">
        <v>30200</v>
      </c>
      <c r="K9045" s="0" t="s">
        <v>30201</v>
      </c>
      <c r="L9045" s="0" t="str">
        <f aca="false">HYPERLINK("https://www.ncbi.nlm.nih.gov/nuccore/CP000304.1?report=graph&amp;tracks=[key:gene_model_track,Options:GeneOnly]&amp;mk=2580586:2580605|offset_6|444444,2580563:2580582|offset_29|444444,2580542:2580561|offset_50|00cc00,2580504:2580523|offset_88|444444&amp;v=2580385:2580723&amp;c=444444", "offset 50")</f>
        <v>offset 50</v>
      </c>
    </row>
    <row r="9046" customFormat="false" ht="12.8" hidden="false" customHeight="false" outlineLevel="0" collapsed="false">
      <c r="A9046" s="0" t="s">
        <v>12</v>
      </c>
      <c r="B9046" s="0" t="n">
        <v>2580503</v>
      </c>
      <c r="C9046" s="0" t="n">
        <v>2580523</v>
      </c>
      <c r="D9046" s="0" t="s">
        <v>30192</v>
      </c>
      <c r="E9046" s="0" t="s">
        <v>89</v>
      </c>
      <c r="F9046" s="0" t="s">
        <v>90</v>
      </c>
      <c r="G9046" s="0" t="s">
        <v>16</v>
      </c>
      <c r="H9046" s="0" t="n">
        <v>88</v>
      </c>
      <c r="I9046" s="0" t="s">
        <v>30202</v>
      </c>
      <c r="J9046" s="0" t="s">
        <v>30203</v>
      </c>
      <c r="K9046" s="0" t="s">
        <v>30204</v>
      </c>
      <c r="L9046" s="0" t="str">
        <f aca="false">HYPERLINK("https://www.ncbi.nlm.nih.gov/nuccore/CP000304.1?report=graph&amp;tracks=[key:gene_model_track,Options:GeneOnly]&amp;mk=2580586:2580605|offset_6|444444,2580563:2580582|offset_29|444444,2580542:2580561|offset_50|444444,2580504:2580523|offset_88|00cc00&amp;v=2580385:2580723&amp;c=444444", "offset 88")</f>
        <v>offset 88</v>
      </c>
    </row>
    <row r="9047" customFormat="false" ht="12.8" hidden="false" customHeight="false" outlineLevel="0" collapsed="false">
      <c r="A9047" s="0" t="s">
        <v>12</v>
      </c>
      <c r="B9047" s="0" t="n">
        <v>2582213</v>
      </c>
      <c r="C9047" s="0" t="n">
        <v>2582233</v>
      </c>
      <c r="D9047" s="0" t="s">
        <v>30205</v>
      </c>
      <c r="E9047" s="0" t="s">
        <v>89</v>
      </c>
      <c r="F9047" s="0" t="s">
        <v>15</v>
      </c>
      <c r="G9047" s="0" t="s">
        <v>32</v>
      </c>
      <c r="H9047" s="0" t="n">
        <v>49</v>
      </c>
      <c r="I9047" s="0" t="s">
        <v>30206</v>
      </c>
      <c r="J9047" s="0" t="s">
        <v>30207</v>
      </c>
      <c r="K9047" s="0" t="s">
        <v>30208</v>
      </c>
      <c r="L9047" s="0" t="str">
        <f aca="false">HYPERLINK("https://www.ncbi.nlm.nih.gov/nuccore/CP000304.1?report=graph&amp;tracks=[key:gene_model_track,Options:GeneOnly]&amp;mk=2582214:2582233|offset_49|00cc00,2582238:2582257|offset_73|444444,2582267:2582286|offset_102|444444,2582296:2582315|offset_131|444444&amp;v=2582013:2582515&amp;c=444444", "offset 49")</f>
        <v>offset 49</v>
      </c>
    </row>
    <row r="9048" customFormat="false" ht="12.8" hidden="false" customHeight="false" outlineLevel="0" collapsed="false">
      <c r="A9048" s="0" t="s">
        <v>12</v>
      </c>
      <c r="B9048" s="0" t="n">
        <v>2582237</v>
      </c>
      <c r="C9048" s="0" t="n">
        <v>2582257</v>
      </c>
      <c r="D9048" s="0" t="s">
        <v>30205</v>
      </c>
      <c r="E9048" s="0" t="s">
        <v>89</v>
      </c>
      <c r="F9048" s="0" t="s">
        <v>15</v>
      </c>
      <c r="G9048" s="0" t="s">
        <v>16</v>
      </c>
      <c r="H9048" s="0" t="n">
        <v>73</v>
      </c>
      <c r="I9048" s="0" t="s">
        <v>30209</v>
      </c>
      <c r="J9048" s="0" t="s">
        <v>30210</v>
      </c>
      <c r="K9048" s="0" t="s">
        <v>30211</v>
      </c>
      <c r="L9048" s="0" t="str">
        <f aca="false">HYPERLINK("https://www.ncbi.nlm.nih.gov/nuccore/CP000304.1?report=graph&amp;tracks=[key:gene_model_track,Options:GeneOnly]&amp;mk=2582214:2582233|offset_49|444444,2582238:2582257|offset_73|00cc00,2582267:2582286|offset_102|444444,2582296:2582315|offset_131|444444&amp;v=2582013:2582515&amp;c=444444", "offset 73")</f>
        <v>offset 73</v>
      </c>
    </row>
    <row r="9049" customFormat="false" ht="12.8" hidden="false" customHeight="false" outlineLevel="0" collapsed="false">
      <c r="A9049" s="0" t="s">
        <v>12</v>
      </c>
      <c r="B9049" s="0" t="n">
        <v>2582266</v>
      </c>
      <c r="C9049" s="0" t="n">
        <v>2582286</v>
      </c>
      <c r="D9049" s="0" t="s">
        <v>30205</v>
      </c>
      <c r="E9049" s="0" t="s">
        <v>89</v>
      </c>
      <c r="F9049" s="0" t="s">
        <v>15</v>
      </c>
      <c r="G9049" s="0" t="s">
        <v>16</v>
      </c>
      <c r="H9049" s="0" t="n">
        <v>102</v>
      </c>
      <c r="I9049" s="0" t="s">
        <v>30212</v>
      </c>
      <c r="J9049" s="0" t="s">
        <v>30213</v>
      </c>
      <c r="K9049" s="0" t="s">
        <v>30214</v>
      </c>
      <c r="L9049" s="0" t="str">
        <f aca="false">HYPERLINK("https://www.ncbi.nlm.nih.gov/nuccore/CP000304.1?report=graph&amp;tracks=[key:gene_model_track,Options:GeneOnly]&amp;mk=2582214:2582233|offset_49|444444,2582238:2582257|offset_73|444444,2582267:2582286|offset_102|00cc00,2582296:2582315|offset_131|444444&amp;v=2582013:2582515&amp;c=444444", "offset 102")</f>
        <v>offset 102</v>
      </c>
    </row>
    <row r="9050" customFormat="false" ht="12.8" hidden="false" customHeight="false" outlineLevel="0" collapsed="false">
      <c r="A9050" s="0" t="s">
        <v>12</v>
      </c>
      <c r="B9050" s="0" t="n">
        <v>2582295</v>
      </c>
      <c r="C9050" s="0" t="n">
        <v>2582315</v>
      </c>
      <c r="D9050" s="0" t="s">
        <v>30205</v>
      </c>
      <c r="E9050" s="0" t="s">
        <v>89</v>
      </c>
      <c r="F9050" s="0" t="s">
        <v>15</v>
      </c>
      <c r="G9050" s="0" t="s">
        <v>32</v>
      </c>
      <c r="H9050" s="0" t="n">
        <v>131</v>
      </c>
      <c r="I9050" s="0" t="s">
        <v>30215</v>
      </c>
      <c r="J9050" s="0" t="s">
        <v>30216</v>
      </c>
      <c r="K9050" s="0" t="s">
        <v>30217</v>
      </c>
      <c r="L9050" s="0" t="str">
        <f aca="false">HYPERLINK("https://www.ncbi.nlm.nih.gov/nuccore/CP000304.1?report=graph&amp;tracks=[key:gene_model_track,Options:GeneOnly]&amp;mk=2582214:2582233|offset_49|444444,2582238:2582257|offset_73|444444,2582267:2582286|offset_102|444444,2582296:2582315|offset_131|00cc00&amp;v=2582013:2582515&amp;c=444444", "offset 131")</f>
        <v>offset 131</v>
      </c>
    </row>
    <row r="9051" customFormat="false" ht="12.8" hidden="false" customHeight="false" outlineLevel="0" collapsed="false">
      <c r="A9051" s="0" t="s">
        <v>12</v>
      </c>
      <c r="B9051" s="0" t="n">
        <v>2583599</v>
      </c>
      <c r="C9051" s="0" t="n">
        <v>2583619</v>
      </c>
      <c r="D9051" s="0" t="s">
        <v>30218</v>
      </c>
      <c r="E9051" s="0" t="s">
        <v>89</v>
      </c>
      <c r="F9051" s="0" t="s">
        <v>15</v>
      </c>
      <c r="G9051" s="0" t="s">
        <v>32</v>
      </c>
      <c r="H9051" s="0" t="n">
        <v>1</v>
      </c>
      <c r="I9051" s="0" t="s">
        <v>30219</v>
      </c>
      <c r="J9051" s="0" t="s">
        <v>30220</v>
      </c>
      <c r="K9051" s="0" t="s">
        <v>30221</v>
      </c>
      <c r="L9051" s="0" t="str">
        <f aca="false">HYPERLINK("https://www.ncbi.nlm.nih.gov/nuccore/CP000304.1?report=graph&amp;tracks=[key:gene_model_track,Options:GeneOnly]&amp;mk=2583600:2583619|offset_1|00cc00,2583649:2583668|offset_50|444444,2583720:2583739|offset_121|444444,2583767:2583786|offset_168|444444&amp;v=2583399:2583986&amp;c=444444", "offset 1")</f>
        <v>offset 1</v>
      </c>
    </row>
    <row r="9052" customFormat="false" ht="12.8" hidden="false" customHeight="false" outlineLevel="0" collapsed="false">
      <c r="A9052" s="0" t="s">
        <v>12</v>
      </c>
      <c r="B9052" s="0" t="n">
        <v>2583648</v>
      </c>
      <c r="C9052" s="0" t="n">
        <v>2583668</v>
      </c>
      <c r="D9052" s="0" t="s">
        <v>30218</v>
      </c>
      <c r="E9052" s="0" t="s">
        <v>89</v>
      </c>
      <c r="F9052" s="0" t="s">
        <v>15</v>
      </c>
      <c r="G9052" s="0" t="s">
        <v>26</v>
      </c>
      <c r="H9052" s="0" t="n">
        <v>50</v>
      </c>
      <c r="I9052" s="0" t="s">
        <v>30222</v>
      </c>
      <c r="J9052" s="0" t="s">
        <v>30223</v>
      </c>
      <c r="K9052" s="0" t="s">
        <v>30224</v>
      </c>
      <c r="L9052" s="0" t="str">
        <f aca="false">HYPERLINK("https://www.ncbi.nlm.nih.gov/nuccore/CP000304.1?report=graph&amp;tracks=[key:gene_model_track,Options:GeneOnly]&amp;mk=2583600:2583619|offset_1|444444,2583649:2583668|offset_50|00cc00,2583720:2583739|offset_121|444444,2583767:2583786|offset_168|444444&amp;v=2583399:2583986&amp;c=444444", "offset 50")</f>
        <v>offset 50</v>
      </c>
    </row>
    <row r="9053" customFormat="false" ht="12.8" hidden="false" customHeight="false" outlineLevel="0" collapsed="false">
      <c r="A9053" s="0" t="s">
        <v>12</v>
      </c>
      <c r="B9053" s="0" t="n">
        <v>2583719</v>
      </c>
      <c r="C9053" s="0" t="n">
        <v>2583739</v>
      </c>
      <c r="D9053" s="0" t="s">
        <v>30218</v>
      </c>
      <c r="E9053" s="0" t="s">
        <v>89</v>
      </c>
      <c r="F9053" s="0" t="s">
        <v>15</v>
      </c>
      <c r="G9053" s="0" t="s">
        <v>26</v>
      </c>
      <c r="H9053" s="0" t="n">
        <v>121</v>
      </c>
      <c r="I9053" s="0" t="s">
        <v>30225</v>
      </c>
      <c r="J9053" s="0" t="s">
        <v>30226</v>
      </c>
      <c r="K9053" s="0" t="s">
        <v>30227</v>
      </c>
      <c r="L9053" s="0" t="str">
        <f aca="false">HYPERLINK("https://www.ncbi.nlm.nih.gov/nuccore/CP000304.1?report=graph&amp;tracks=[key:gene_model_track,Options:GeneOnly]&amp;mk=2583600:2583619|offset_1|444444,2583649:2583668|offset_50|444444,2583720:2583739|offset_121|00cc00,2583767:2583786|offset_168|444444&amp;v=2583399:2583986&amp;c=444444", "offset 121")</f>
        <v>offset 121</v>
      </c>
    </row>
    <row r="9054" customFormat="false" ht="12.8" hidden="false" customHeight="false" outlineLevel="0" collapsed="false">
      <c r="A9054" s="0" t="s">
        <v>12</v>
      </c>
      <c r="B9054" s="0" t="n">
        <v>2583766</v>
      </c>
      <c r="C9054" s="0" t="n">
        <v>2583786</v>
      </c>
      <c r="D9054" s="0" t="s">
        <v>30218</v>
      </c>
      <c r="E9054" s="0" t="s">
        <v>89</v>
      </c>
      <c r="F9054" s="0" t="s">
        <v>15</v>
      </c>
      <c r="G9054" s="0" t="s">
        <v>26</v>
      </c>
      <c r="H9054" s="0" t="n">
        <v>168</v>
      </c>
      <c r="I9054" s="0" t="s">
        <v>30228</v>
      </c>
      <c r="J9054" s="0" t="s">
        <v>30229</v>
      </c>
      <c r="K9054" s="0" t="s">
        <v>30230</v>
      </c>
      <c r="L9054" s="0" t="str">
        <f aca="false">HYPERLINK("https://www.ncbi.nlm.nih.gov/nuccore/CP000304.1?report=graph&amp;tracks=[key:gene_model_track,Options:GeneOnly]&amp;mk=2583600:2583619|offset_1|444444,2583649:2583668|offset_50|444444,2583720:2583739|offset_121|444444,2583767:2583786|offset_168|00cc00&amp;v=2583399:2583986&amp;c=444444", "offset 168")</f>
        <v>offset 168</v>
      </c>
    </row>
    <row r="9055" customFormat="false" ht="12.8" hidden="false" customHeight="false" outlineLevel="0" collapsed="false">
      <c r="A9055" s="0" t="s">
        <v>12</v>
      </c>
      <c r="B9055" s="0" t="n">
        <v>2584645</v>
      </c>
      <c r="C9055" s="0" t="n">
        <v>2584665</v>
      </c>
      <c r="D9055" s="0" t="s">
        <v>30231</v>
      </c>
      <c r="E9055" s="0" t="s">
        <v>89</v>
      </c>
      <c r="F9055" s="0" t="s">
        <v>90</v>
      </c>
      <c r="G9055" s="0" t="s">
        <v>26</v>
      </c>
      <c r="H9055" s="0" t="n">
        <v>33</v>
      </c>
      <c r="I9055" s="0" t="s">
        <v>30232</v>
      </c>
      <c r="J9055" s="0" t="s">
        <v>30233</v>
      </c>
      <c r="K9055" s="0" t="s">
        <v>30234</v>
      </c>
      <c r="L9055" s="0" t="str">
        <f aca="false">HYPERLINK("https://www.ncbi.nlm.nih.gov/nuccore/CP000304.1?report=graph&amp;tracks=[key:gene_model_track,Options:GeneOnly]&amp;mk=2584646:2584665|offset_33|00cc00,2584618:2584637|offset_61|444444,2584583:2584602|offset_96|444444,2584550:2584569|offset_129|444444&amp;v=2584445:2584769&amp;c=444444", "offset 33")</f>
        <v>offset 33</v>
      </c>
    </row>
    <row r="9056" customFormat="false" ht="12.8" hidden="false" customHeight="false" outlineLevel="0" collapsed="false">
      <c r="A9056" s="0" t="s">
        <v>12</v>
      </c>
      <c r="B9056" s="0" t="n">
        <v>2584617</v>
      </c>
      <c r="C9056" s="0" t="n">
        <v>2584637</v>
      </c>
      <c r="D9056" s="0" t="s">
        <v>30231</v>
      </c>
      <c r="E9056" s="0" t="s">
        <v>89</v>
      </c>
      <c r="F9056" s="0" t="s">
        <v>90</v>
      </c>
      <c r="G9056" s="0" t="s">
        <v>32</v>
      </c>
      <c r="H9056" s="0" t="n">
        <v>61</v>
      </c>
      <c r="I9056" s="0" t="s">
        <v>30235</v>
      </c>
      <c r="J9056" s="0" t="s">
        <v>30236</v>
      </c>
      <c r="K9056" s="0" t="s">
        <v>30237</v>
      </c>
      <c r="L9056" s="0" t="str">
        <f aca="false">HYPERLINK("https://www.ncbi.nlm.nih.gov/nuccore/CP000304.1?report=graph&amp;tracks=[key:gene_model_track,Options:GeneOnly]&amp;mk=2584646:2584665|offset_33|444444,2584618:2584637|offset_61|00cc00,2584583:2584602|offset_96|444444,2584550:2584569|offset_129|444444&amp;v=2584445:2584769&amp;c=444444", "offset 61")</f>
        <v>offset 61</v>
      </c>
    </row>
    <row r="9057" customFormat="false" ht="12.8" hidden="false" customHeight="false" outlineLevel="0" collapsed="false">
      <c r="A9057" s="0" t="s">
        <v>12</v>
      </c>
      <c r="B9057" s="0" t="n">
        <v>2584582</v>
      </c>
      <c r="C9057" s="0" t="n">
        <v>2584602</v>
      </c>
      <c r="D9057" s="0" t="s">
        <v>30231</v>
      </c>
      <c r="E9057" s="0" t="s">
        <v>89</v>
      </c>
      <c r="F9057" s="0" t="s">
        <v>90</v>
      </c>
      <c r="G9057" s="0" t="s">
        <v>36</v>
      </c>
      <c r="H9057" s="0" t="n">
        <v>96</v>
      </c>
      <c r="I9057" s="0" t="s">
        <v>30238</v>
      </c>
      <c r="J9057" s="0" t="s">
        <v>30239</v>
      </c>
      <c r="K9057" s="0" t="s">
        <v>30240</v>
      </c>
      <c r="L9057" s="0" t="str">
        <f aca="false">HYPERLINK("https://www.ncbi.nlm.nih.gov/nuccore/CP000304.1?report=graph&amp;tracks=[key:gene_model_track,Options:GeneOnly]&amp;mk=2584646:2584665|offset_33|444444,2584618:2584637|offset_61|444444,2584583:2584602|offset_96|00cc00,2584550:2584569|offset_129|444444&amp;v=2584445:2584769&amp;c=444444", "offset 96")</f>
        <v>offset 96</v>
      </c>
    </row>
    <row r="9058" customFormat="false" ht="12.8" hidden="false" customHeight="false" outlineLevel="0" collapsed="false">
      <c r="A9058" s="0" t="s">
        <v>12</v>
      </c>
      <c r="B9058" s="0" t="n">
        <v>2584549</v>
      </c>
      <c r="C9058" s="0" t="n">
        <v>2584569</v>
      </c>
      <c r="D9058" s="0" t="s">
        <v>30231</v>
      </c>
      <c r="E9058" s="0" t="s">
        <v>89</v>
      </c>
      <c r="F9058" s="0" t="s">
        <v>90</v>
      </c>
      <c r="G9058" s="0" t="s">
        <v>26</v>
      </c>
      <c r="H9058" s="0" t="n">
        <v>129</v>
      </c>
      <c r="I9058" s="0" t="s">
        <v>30241</v>
      </c>
      <c r="J9058" s="0" t="s">
        <v>30242</v>
      </c>
      <c r="K9058" s="0" t="s">
        <v>30243</v>
      </c>
      <c r="L9058" s="0" t="str">
        <f aca="false">HYPERLINK("https://www.ncbi.nlm.nih.gov/nuccore/CP000304.1?report=graph&amp;tracks=[key:gene_model_track,Options:GeneOnly]&amp;mk=2584646:2584665|offset_33|444444,2584618:2584637|offset_61|444444,2584583:2584602|offset_96|444444,2584550:2584569|offset_129|00cc00&amp;v=2584445:2584769&amp;c=444444", "offset 129")</f>
        <v>offset 129</v>
      </c>
    </row>
    <row r="9059" customFormat="false" ht="12.8" hidden="false" customHeight="false" outlineLevel="0" collapsed="false">
      <c r="A9059" s="0" t="s">
        <v>12</v>
      </c>
      <c r="B9059" s="0" t="n">
        <v>2584888</v>
      </c>
      <c r="C9059" s="0" t="n">
        <v>2584908</v>
      </c>
      <c r="D9059" s="0" t="s">
        <v>30244</v>
      </c>
      <c r="E9059" s="0" t="s">
        <v>30245</v>
      </c>
      <c r="F9059" s="0" t="s">
        <v>90</v>
      </c>
      <c r="G9059" s="0" t="s">
        <v>32</v>
      </c>
      <c r="H9059" s="0" t="n">
        <v>73</v>
      </c>
      <c r="I9059" s="0" t="s">
        <v>30246</v>
      </c>
      <c r="J9059" s="0" t="s">
        <v>30247</v>
      </c>
      <c r="K9059" s="0" t="s">
        <v>30248</v>
      </c>
      <c r="L9059" s="0" t="str">
        <f aca="false">HYPERLINK("https://www.ncbi.nlm.nih.gov/nuccore/CP000304.1?report=graph&amp;tracks=[key:gene_model_track,Options:GeneOnly]&amp;mk=2584889:2584908|offset_73|00cc00,2584855:2584874|offset_107|444444,2584817:2584836|offset_145|444444,2584777:2584796|offset_185|444444&amp;v=2584688:2584996&amp;c=444444", "offset 73")</f>
        <v>offset 73</v>
      </c>
    </row>
    <row r="9060" customFormat="false" ht="12.8" hidden="false" customHeight="false" outlineLevel="0" collapsed="false">
      <c r="A9060" s="0" t="s">
        <v>12</v>
      </c>
      <c r="B9060" s="0" t="n">
        <v>2584854</v>
      </c>
      <c r="C9060" s="0" t="n">
        <v>2584874</v>
      </c>
      <c r="D9060" s="0" t="s">
        <v>30244</v>
      </c>
      <c r="E9060" s="0" t="s">
        <v>30245</v>
      </c>
      <c r="F9060" s="0" t="s">
        <v>90</v>
      </c>
      <c r="G9060" s="0" t="s">
        <v>16</v>
      </c>
      <c r="H9060" s="0" t="n">
        <v>107</v>
      </c>
      <c r="I9060" s="0" t="s">
        <v>30249</v>
      </c>
      <c r="J9060" s="0" t="s">
        <v>30250</v>
      </c>
      <c r="K9060" s="0" t="s">
        <v>30251</v>
      </c>
      <c r="L9060" s="0" t="str">
        <f aca="false">HYPERLINK("https://www.ncbi.nlm.nih.gov/nuccore/CP000304.1?report=graph&amp;tracks=[key:gene_model_track,Options:GeneOnly]&amp;mk=2584889:2584908|offset_73|444444,2584855:2584874|offset_107|00cc00,2584817:2584836|offset_145|444444,2584777:2584796|offset_185|444444&amp;v=2584688:2584996&amp;c=444444", "offset 107")</f>
        <v>offset 107</v>
      </c>
    </row>
    <row r="9061" customFormat="false" ht="12.8" hidden="false" customHeight="false" outlineLevel="0" collapsed="false">
      <c r="A9061" s="0" t="s">
        <v>12</v>
      </c>
      <c r="B9061" s="0" t="n">
        <v>2584816</v>
      </c>
      <c r="C9061" s="0" t="n">
        <v>2584836</v>
      </c>
      <c r="D9061" s="0" t="s">
        <v>30244</v>
      </c>
      <c r="E9061" s="0" t="s">
        <v>30245</v>
      </c>
      <c r="F9061" s="0" t="s">
        <v>90</v>
      </c>
      <c r="G9061" s="0" t="s">
        <v>16</v>
      </c>
      <c r="H9061" s="0" t="n">
        <v>145</v>
      </c>
      <c r="I9061" s="0" t="s">
        <v>30252</v>
      </c>
      <c r="J9061" s="0" t="s">
        <v>30253</v>
      </c>
      <c r="K9061" s="0" t="s">
        <v>30254</v>
      </c>
      <c r="L9061" s="0" t="str">
        <f aca="false">HYPERLINK("https://www.ncbi.nlm.nih.gov/nuccore/CP000304.1?report=graph&amp;tracks=[key:gene_model_track,Options:GeneOnly]&amp;mk=2584889:2584908|offset_73|444444,2584855:2584874|offset_107|444444,2584817:2584836|offset_145|00cc00,2584777:2584796|offset_185|444444&amp;v=2584688:2584996&amp;c=444444", "offset 145")</f>
        <v>offset 145</v>
      </c>
    </row>
    <row r="9062" customFormat="false" ht="12.8" hidden="false" customHeight="false" outlineLevel="0" collapsed="false">
      <c r="A9062" s="0" t="s">
        <v>12</v>
      </c>
      <c r="B9062" s="0" t="n">
        <v>2584776</v>
      </c>
      <c r="C9062" s="0" t="n">
        <v>2584796</v>
      </c>
      <c r="D9062" s="0" t="s">
        <v>30244</v>
      </c>
      <c r="E9062" s="0" t="s">
        <v>30245</v>
      </c>
      <c r="F9062" s="0" t="s">
        <v>90</v>
      </c>
      <c r="G9062" s="0" t="s">
        <v>36</v>
      </c>
      <c r="H9062" s="0" t="n">
        <v>185</v>
      </c>
      <c r="I9062" s="0" t="s">
        <v>30255</v>
      </c>
      <c r="J9062" s="0" t="s">
        <v>30256</v>
      </c>
      <c r="K9062" s="0" t="s">
        <v>30257</v>
      </c>
      <c r="L9062" s="0" t="str">
        <f aca="false">HYPERLINK("https://www.ncbi.nlm.nih.gov/nuccore/CP000304.1?report=graph&amp;tracks=[key:gene_model_track,Options:GeneOnly]&amp;mk=2584889:2584908|offset_73|444444,2584855:2584874|offset_107|444444,2584817:2584836|offset_145|444444,2584777:2584796|offset_185|00cc00&amp;v=2584688:2584996&amp;c=444444", "offset 185")</f>
        <v>offset 185</v>
      </c>
    </row>
    <row r="9063" customFormat="false" ht="12.8" hidden="false" customHeight="false" outlineLevel="0" collapsed="false">
      <c r="A9063" s="0" t="s">
        <v>12</v>
      </c>
      <c r="B9063" s="0" t="n">
        <v>2587302</v>
      </c>
      <c r="C9063" s="0" t="n">
        <v>2587322</v>
      </c>
      <c r="D9063" s="0" t="s">
        <v>30258</v>
      </c>
      <c r="E9063" s="0" t="s">
        <v>30259</v>
      </c>
      <c r="F9063" s="0" t="s">
        <v>90</v>
      </c>
      <c r="G9063" s="0" t="s">
        <v>36</v>
      </c>
      <c r="H9063" s="0" t="n">
        <v>41</v>
      </c>
      <c r="I9063" s="0" t="s">
        <v>30260</v>
      </c>
      <c r="J9063" s="0" t="s">
        <v>30261</v>
      </c>
      <c r="K9063" s="0" t="s">
        <v>30262</v>
      </c>
      <c r="L9063" s="0" t="str">
        <f aca="false">HYPERLINK("https://www.ncbi.nlm.nih.gov/nuccore/CP000304.1?report=graph&amp;tracks=[key:gene_model_track,Options:GeneOnly]&amp;mk=2587303:2587322|offset_41|00cc00,2587274:2587293|offset_70|444444,2587241:2587260|offset_103|444444,2587173:2587192|offset_171|444444&amp;v=2587102:2587392&amp;c=444444", "offset 41")</f>
        <v>offset 41</v>
      </c>
    </row>
    <row r="9064" customFormat="false" ht="12.8" hidden="false" customHeight="false" outlineLevel="0" collapsed="false">
      <c r="A9064" s="0" t="s">
        <v>12</v>
      </c>
      <c r="B9064" s="0" t="n">
        <v>2587273</v>
      </c>
      <c r="C9064" s="0" t="n">
        <v>2587293</v>
      </c>
      <c r="D9064" s="0" t="s">
        <v>30258</v>
      </c>
      <c r="E9064" s="0" t="s">
        <v>30259</v>
      </c>
      <c r="F9064" s="0" t="s">
        <v>90</v>
      </c>
      <c r="G9064" s="0" t="s">
        <v>36</v>
      </c>
      <c r="H9064" s="0" t="n">
        <v>70</v>
      </c>
      <c r="I9064" s="0" t="s">
        <v>30263</v>
      </c>
      <c r="J9064" s="0" t="s">
        <v>30264</v>
      </c>
      <c r="K9064" s="0" t="s">
        <v>30265</v>
      </c>
      <c r="L9064" s="0" t="str">
        <f aca="false">HYPERLINK("https://www.ncbi.nlm.nih.gov/nuccore/CP000304.1?report=graph&amp;tracks=[key:gene_model_track,Options:GeneOnly]&amp;mk=2587303:2587322|offset_41|444444,2587274:2587293|offset_70|00cc00,2587241:2587260|offset_103|444444,2587173:2587192|offset_171|444444&amp;v=2587102:2587392&amp;c=444444", "offset 70")</f>
        <v>offset 70</v>
      </c>
    </row>
    <row r="9065" customFormat="false" ht="12.8" hidden="false" customHeight="false" outlineLevel="0" collapsed="false">
      <c r="A9065" s="0" t="s">
        <v>12</v>
      </c>
      <c r="B9065" s="0" t="n">
        <v>2587240</v>
      </c>
      <c r="C9065" s="0" t="n">
        <v>2587260</v>
      </c>
      <c r="D9065" s="0" t="s">
        <v>30258</v>
      </c>
      <c r="E9065" s="0" t="s">
        <v>30259</v>
      </c>
      <c r="F9065" s="0" t="s">
        <v>90</v>
      </c>
      <c r="G9065" s="0" t="s">
        <v>16</v>
      </c>
      <c r="H9065" s="0" t="n">
        <v>103</v>
      </c>
      <c r="I9065" s="0" t="s">
        <v>30266</v>
      </c>
      <c r="J9065" s="0" t="s">
        <v>30267</v>
      </c>
      <c r="K9065" s="0" t="s">
        <v>30268</v>
      </c>
      <c r="L9065" s="0" t="str">
        <f aca="false">HYPERLINK("https://www.ncbi.nlm.nih.gov/nuccore/CP000304.1?report=graph&amp;tracks=[key:gene_model_track,Options:GeneOnly]&amp;mk=2587303:2587322|offset_41|444444,2587274:2587293|offset_70|444444,2587241:2587260|offset_103|00cc00,2587173:2587192|offset_171|444444&amp;v=2587102:2587392&amp;c=444444", "offset 103")</f>
        <v>offset 103</v>
      </c>
    </row>
    <row r="9066" customFormat="false" ht="12.8" hidden="false" customHeight="false" outlineLevel="0" collapsed="false">
      <c r="A9066" s="0" t="s">
        <v>12</v>
      </c>
      <c r="B9066" s="0" t="n">
        <v>2587172</v>
      </c>
      <c r="C9066" s="0" t="n">
        <v>2587192</v>
      </c>
      <c r="D9066" s="0" t="s">
        <v>30258</v>
      </c>
      <c r="E9066" s="0" t="s">
        <v>30259</v>
      </c>
      <c r="F9066" s="0" t="s">
        <v>90</v>
      </c>
      <c r="G9066" s="0" t="s">
        <v>26</v>
      </c>
      <c r="H9066" s="0" t="n">
        <v>171</v>
      </c>
      <c r="I9066" s="0" t="s">
        <v>30269</v>
      </c>
      <c r="J9066" s="0" t="s">
        <v>30270</v>
      </c>
      <c r="K9066" s="0" t="s">
        <v>30271</v>
      </c>
      <c r="L9066" s="0" t="str">
        <f aca="false">HYPERLINK("https://www.ncbi.nlm.nih.gov/nuccore/CP000304.1?report=graph&amp;tracks=[key:gene_model_track,Options:GeneOnly]&amp;mk=2587303:2587322|offset_41|444444,2587274:2587293|offset_70|444444,2587241:2587260|offset_103|444444,2587173:2587192|offset_171|00cc00&amp;v=2587102:2587392&amp;c=444444", "offset 171")</f>
        <v>offset 171</v>
      </c>
    </row>
    <row r="9067" customFormat="false" ht="12.8" hidden="false" customHeight="false" outlineLevel="0" collapsed="false">
      <c r="A9067" s="0" t="s">
        <v>12</v>
      </c>
      <c r="B9067" s="0" t="n">
        <v>2588411</v>
      </c>
      <c r="C9067" s="0" t="n">
        <v>2588431</v>
      </c>
      <c r="D9067" s="0" t="s">
        <v>30272</v>
      </c>
      <c r="E9067" s="0" t="s">
        <v>30273</v>
      </c>
      <c r="F9067" s="0" t="s">
        <v>90</v>
      </c>
      <c r="G9067" s="0" t="s">
        <v>26</v>
      </c>
      <c r="H9067" s="0" t="n">
        <v>36</v>
      </c>
      <c r="I9067" s="0" t="s">
        <v>30274</v>
      </c>
      <c r="J9067" s="0" t="s">
        <v>30275</v>
      </c>
      <c r="K9067" s="0" t="s">
        <v>30276</v>
      </c>
      <c r="L9067" s="0" t="str">
        <f aca="false">HYPERLINK("https://www.ncbi.nlm.nih.gov/nuccore/CP000304.1?report=graph&amp;tracks=[key:gene_model_track,Options:GeneOnly]&amp;mk=2588412:2588431|offset_36|00cc00,2588354:2588373|offset_94|444444,2588314:2588333|offset_134|444444,2588246:2588265|offset_202|444444&amp;v=2588211:2588465&amp;c=444444", "offset 36")</f>
        <v>offset 36</v>
      </c>
    </row>
    <row r="9068" customFormat="false" ht="12.8" hidden="false" customHeight="false" outlineLevel="0" collapsed="false">
      <c r="A9068" s="0" t="s">
        <v>12</v>
      </c>
      <c r="B9068" s="0" t="n">
        <v>2588353</v>
      </c>
      <c r="C9068" s="0" t="n">
        <v>2588373</v>
      </c>
      <c r="D9068" s="0" t="s">
        <v>30272</v>
      </c>
      <c r="E9068" s="0" t="s">
        <v>30273</v>
      </c>
      <c r="F9068" s="0" t="s">
        <v>90</v>
      </c>
      <c r="G9068" s="0" t="s">
        <v>16</v>
      </c>
      <c r="H9068" s="0" t="n">
        <v>94</v>
      </c>
      <c r="I9068" s="0" t="s">
        <v>30277</v>
      </c>
      <c r="J9068" s="0" t="s">
        <v>30278</v>
      </c>
      <c r="K9068" s="0" t="s">
        <v>30279</v>
      </c>
      <c r="L9068" s="0" t="str">
        <f aca="false">HYPERLINK("https://www.ncbi.nlm.nih.gov/nuccore/CP000304.1?report=graph&amp;tracks=[key:gene_model_track,Options:GeneOnly]&amp;mk=2588412:2588431|offset_36|444444,2588354:2588373|offset_94|00cc00,2588314:2588333|offset_134|444444,2588246:2588265|offset_202|444444&amp;v=2588211:2588465&amp;c=444444", "offset 94")</f>
        <v>offset 94</v>
      </c>
    </row>
    <row r="9069" customFormat="false" ht="12.8" hidden="false" customHeight="false" outlineLevel="0" collapsed="false">
      <c r="A9069" s="0" t="s">
        <v>12</v>
      </c>
      <c r="B9069" s="0" t="n">
        <v>2588313</v>
      </c>
      <c r="C9069" s="0" t="n">
        <v>2588333</v>
      </c>
      <c r="D9069" s="0" t="s">
        <v>30272</v>
      </c>
      <c r="E9069" s="0" t="s">
        <v>30273</v>
      </c>
      <c r="F9069" s="0" t="s">
        <v>90</v>
      </c>
      <c r="G9069" s="0" t="s">
        <v>16</v>
      </c>
      <c r="H9069" s="0" t="n">
        <v>134</v>
      </c>
      <c r="I9069" s="0" t="s">
        <v>30280</v>
      </c>
      <c r="J9069" s="0" t="s">
        <v>30281</v>
      </c>
      <c r="K9069" s="0" t="s">
        <v>30282</v>
      </c>
      <c r="L9069" s="0" t="str">
        <f aca="false">HYPERLINK("https://www.ncbi.nlm.nih.gov/nuccore/CP000304.1?report=graph&amp;tracks=[key:gene_model_track,Options:GeneOnly]&amp;mk=2588412:2588431|offset_36|444444,2588354:2588373|offset_94|444444,2588314:2588333|offset_134|00cc00,2588246:2588265|offset_202|444444&amp;v=2588211:2588465&amp;c=444444", "offset 134")</f>
        <v>offset 134</v>
      </c>
    </row>
    <row r="9070" customFormat="false" ht="12.8" hidden="false" customHeight="false" outlineLevel="0" collapsed="false">
      <c r="A9070" s="0" t="s">
        <v>12</v>
      </c>
      <c r="B9070" s="0" t="n">
        <v>2588245</v>
      </c>
      <c r="C9070" s="0" t="n">
        <v>2588265</v>
      </c>
      <c r="D9070" s="0" t="s">
        <v>30272</v>
      </c>
      <c r="E9070" s="0" t="s">
        <v>30273</v>
      </c>
      <c r="F9070" s="0" t="s">
        <v>90</v>
      </c>
      <c r="G9070" s="0" t="s">
        <v>16</v>
      </c>
      <c r="H9070" s="0" t="n">
        <v>202</v>
      </c>
      <c r="I9070" s="0" t="s">
        <v>30283</v>
      </c>
      <c r="J9070" s="0" t="s">
        <v>30284</v>
      </c>
      <c r="K9070" s="0" t="s">
        <v>30285</v>
      </c>
      <c r="L9070" s="0" t="str">
        <f aca="false">HYPERLINK("https://www.ncbi.nlm.nih.gov/nuccore/CP000304.1?report=graph&amp;tracks=[key:gene_model_track,Options:GeneOnly]&amp;mk=2588412:2588431|offset_36|444444,2588354:2588373|offset_94|444444,2588314:2588333|offset_134|444444,2588246:2588265|offset_202|00cc00&amp;v=2588211:2588465&amp;c=444444", "offset 202")</f>
        <v>offset 202</v>
      </c>
    </row>
    <row r="9071" customFormat="false" ht="12.8" hidden="false" customHeight="false" outlineLevel="0" collapsed="false">
      <c r="A9071" s="0" t="s">
        <v>12</v>
      </c>
      <c r="B9071" s="0" t="n">
        <v>2588896</v>
      </c>
      <c r="C9071" s="0" t="n">
        <v>2588916</v>
      </c>
      <c r="D9071" s="0" t="s">
        <v>30286</v>
      </c>
      <c r="E9071" s="0" t="s">
        <v>30287</v>
      </c>
      <c r="F9071" s="0" t="s">
        <v>90</v>
      </c>
      <c r="G9071" s="0" t="s">
        <v>36</v>
      </c>
      <c r="H9071" s="0" t="n">
        <v>31</v>
      </c>
      <c r="I9071" s="0" t="s">
        <v>30288</v>
      </c>
      <c r="J9071" s="0" t="s">
        <v>30289</v>
      </c>
      <c r="K9071" s="0" t="s">
        <v>30290</v>
      </c>
      <c r="L9071" s="0" t="str">
        <f aca="false">HYPERLINK("https://www.ncbi.nlm.nih.gov/nuccore/CP000304.1?report=graph&amp;tracks=[key:gene_model_track,Options:GeneOnly]&amp;mk=2588897:2588916|offset_31|00cc00,2588864:2588883|offset_64|444444,2588830:2588849|offset_98|444444,2588797:2588816|offset_131|444444&amp;v=2588696:2589016&amp;c=444444", "offset 31")</f>
        <v>offset 31</v>
      </c>
    </row>
    <row r="9072" customFormat="false" ht="12.8" hidden="false" customHeight="false" outlineLevel="0" collapsed="false">
      <c r="A9072" s="0" t="s">
        <v>12</v>
      </c>
      <c r="B9072" s="0" t="n">
        <v>2588863</v>
      </c>
      <c r="C9072" s="0" t="n">
        <v>2588883</v>
      </c>
      <c r="D9072" s="0" t="s">
        <v>30286</v>
      </c>
      <c r="E9072" s="0" t="s">
        <v>30287</v>
      </c>
      <c r="F9072" s="0" t="s">
        <v>90</v>
      </c>
      <c r="G9072" s="0" t="s">
        <v>32</v>
      </c>
      <c r="H9072" s="0" t="n">
        <v>64</v>
      </c>
      <c r="I9072" s="0" t="s">
        <v>30291</v>
      </c>
      <c r="J9072" s="0" t="s">
        <v>30292</v>
      </c>
      <c r="K9072" s="0" t="s">
        <v>30293</v>
      </c>
      <c r="L9072" s="0" t="str">
        <f aca="false">HYPERLINK("https://www.ncbi.nlm.nih.gov/nuccore/CP000304.1?report=graph&amp;tracks=[key:gene_model_track,Options:GeneOnly]&amp;mk=2588897:2588916|offset_31|444444,2588864:2588883|offset_64|00cc00,2588830:2588849|offset_98|444444,2588797:2588816|offset_131|444444&amp;v=2588696:2589016&amp;c=444444", "offset 64")</f>
        <v>offset 64</v>
      </c>
    </row>
    <row r="9073" customFormat="false" ht="12.8" hidden="false" customHeight="false" outlineLevel="0" collapsed="false">
      <c r="A9073" s="0" t="s">
        <v>12</v>
      </c>
      <c r="B9073" s="0" t="n">
        <v>2588829</v>
      </c>
      <c r="C9073" s="0" t="n">
        <v>2588849</v>
      </c>
      <c r="D9073" s="0" t="s">
        <v>30286</v>
      </c>
      <c r="E9073" s="0" t="s">
        <v>30287</v>
      </c>
      <c r="F9073" s="0" t="s">
        <v>90</v>
      </c>
      <c r="G9073" s="0" t="s">
        <v>16</v>
      </c>
      <c r="H9073" s="0" t="n">
        <v>98</v>
      </c>
      <c r="I9073" s="0" t="s">
        <v>30294</v>
      </c>
      <c r="J9073" s="0" t="s">
        <v>30295</v>
      </c>
      <c r="K9073" s="0" t="s">
        <v>30296</v>
      </c>
      <c r="L9073" s="0" t="str">
        <f aca="false">HYPERLINK("https://www.ncbi.nlm.nih.gov/nuccore/CP000304.1?report=graph&amp;tracks=[key:gene_model_track,Options:GeneOnly]&amp;mk=2588897:2588916|offset_31|444444,2588864:2588883|offset_64|444444,2588830:2588849|offset_98|00cc00,2588797:2588816|offset_131|444444&amp;v=2588696:2589016&amp;c=444444", "offset 98")</f>
        <v>offset 98</v>
      </c>
    </row>
    <row r="9074" customFormat="false" ht="12.8" hidden="false" customHeight="false" outlineLevel="0" collapsed="false">
      <c r="A9074" s="0" t="s">
        <v>12</v>
      </c>
      <c r="B9074" s="0" t="n">
        <v>2588796</v>
      </c>
      <c r="C9074" s="0" t="n">
        <v>2588816</v>
      </c>
      <c r="D9074" s="0" t="s">
        <v>30286</v>
      </c>
      <c r="E9074" s="0" t="s">
        <v>30287</v>
      </c>
      <c r="F9074" s="0" t="s">
        <v>90</v>
      </c>
      <c r="G9074" s="0" t="s">
        <v>32</v>
      </c>
      <c r="H9074" s="0" t="n">
        <v>131</v>
      </c>
      <c r="I9074" s="0" t="s">
        <v>30297</v>
      </c>
      <c r="J9074" s="0" t="s">
        <v>30298</v>
      </c>
      <c r="K9074" s="0" t="s">
        <v>30299</v>
      </c>
      <c r="L9074" s="0" t="str">
        <f aca="false">HYPERLINK("https://www.ncbi.nlm.nih.gov/nuccore/CP000304.1?report=graph&amp;tracks=[key:gene_model_track,Options:GeneOnly]&amp;mk=2588897:2588916|offset_31|444444,2588864:2588883|offset_64|444444,2588830:2588849|offset_98|444444,2588797:2588816|offset_131|00cc00&amp;v=2588696:2589016&amp;c=444444", "offset 131")</f>
        <v>offset 131</v>
      </c>
    </row>
    <row r="9075" customFormat="false" ht="12.8" hidden="false" customHeight="false" outlineLevel="0" collapsed="false">
      <c r="A9075" s="0" t="s">
        <v>12</v>
      </c>
      <c r="B9075" s="0" t="n">
        <v>2589143</v>
      </c>
      <c r="C9075" s="0" t="n">
        <v>2589163</v>
      </c>
      <c r="D9075" s="0" t="s">
        <v>30300</v>
      </c>
      <c r="E9075" s="0" t="s">
        <v>30301</v>
      </c>
      <c r="F9075" s="0" t="s">
        <v>90</v>
      </c>
      <c r="G9075" s="0" t="s">
        <v>32</v>
      </c>
      <c r="H9075" s="0" t="n">
        <v>6</v>
      </c>
      <c r="I9075" s="0" t="s">
        <v>30302</v>
      </c>
      <c r="J9075" s="0" t="s">
        <v>30303</v>
      </c>
      <c r="K9075" s="0" t="s">
        <v>30304</v>
      </c>
      <c r="L9075" s="0" t="str">
        <f aca="false">HYPERLINK("https://www.ncbi.nlm.nih.gov/nuccore/CP000304.1?report=graph&amp;tracks=[key:gene_model_track,Options:GeneOnly]&amp;mk=2589144:2589163|offset_6|00cc00,2589061:2589080|offset_89|444444,2589041:2589060|offset_109|444444,2588997:2589016|offset_153|444444&amp;v=2588943:2589216&amp;c=444444", "offset 6")</f>
        <v>offset 6</v>
      </c>
    </row>
    <row r="9076" customFormat="false" ht="12.8" hidden="false" customHeight="false" outlineLevel="0" collapsed="false">
      <c r="A9076" s="0" t="s">
        <v>12</v>
      </c>
      <c r="B9076" s="0" t="n">
        <v>2589060</v>
      </c>
      <c r="C9076" s="0" t="n">
        <v>2589080</v>
      </c>
      <c r="D9076" s="0" t="s">
        <v>30300</v>
      </c>
      <c r="E9076" s="0" t="s">
        <v>30301</v>
      </c>
      <c r="F9076" s="0" t="s">
        <v>90</v>
      </c>
      <c r="G9076" s="0" t="s">
        <v>32</v>
      </c>
      <c r="H9076" s="0" t="n">
        <v>89</v>
      </c>
      <c r="I9076" s="0" t="s">
        <v>30305</v>
      </c>
      <c r="J9076" s="0" t="s">
        <v>30306</v>
      </c>
      <c r="K9076" s="0" t="s">
        <v>30307</v>
      </c>
      <c r="L9076" s="0" t="str">
        <f aca="false">HYPERLINK("https://www.ncbi.nlm.nih.gov/nuccore/CP000304.1?report=graph&amp;tracks=[key:gene_model_track,Options:GeneOnly]&amp;mk=2589144:2589163|offset_6|444444,2589061:2589080|offset_89|00cc00,2589041:2589060|offset_109|444444,2588997:2589016|offset_153|444444&amp;v=2588943:2589216&amp;c=444444", "offset 89")</f>
        <v>offset 89</v>
      </c>
    </row>
    <row r="9077" customFormat="false" ht="12.8" hidden="false" customHeight="false" outlineLevel="0" collapsed="false">
      <c r="A9077" s="0" t="s">
        <v>12</v>
      </c>
      <c r="B9077" s="0" t="n">
        <v>2589040</v>
      </c>
      <c r="C9077" s="0" t="n">
        <v>2589060</v>
      </c>
      <c r="D9077" s="0" t="s">
        <v>30300</v>
      </c>
      <c r="E9077" s="0" t="s">
        <v>30301</v>
      </c>
      <c r="F9077" s="0" t="s">
        <v>90</v>
      </c>
      <c r="G9077" s="0" t="s">
        <v>32</v>
      </c>
      <c r="H9077" s="0" t="n">
        <v>109</v>
      </c>
      <c r="I9077" s="0" t="s">
        <v>30308</v>
      </c>
      <c r="J9077" s="0" t="s">
        <v>30309</v>
      </c>
      <c r="K9077" s="0" t="s">
        <v>30310</v>
      </c>
      <c r="L9077" s="0" t="str">
        <f aca="false">HYPERLINK("https://www.ncbi.nlm.nih.gov/nuccore/CP000304.1?report=graph&amp;tracks=[key:gene_model_track,Options:GeneOnly]&amp;mk=2589144:2589163|offset_6|444444,2589061:2589080|offset_89|444444,2589041:2589060|offset_109|00cc00,2588997:2589016|offset_153|444444&amp;v=2588943:2589216&amp;c=444444", "offset 109")</f>
        <v>offset 109</v>
      </c>
    </row>
    <row r="9078" customFormat="false" ht="12.8" hidden="false" customHeight="false" outlineLevel="0" collapsed="false">
      <c r="A9078" s="0" t="s">
        <v>12</v>
      </c>
      <c r="B9078" s="0" t="n">
        <v>2588996</v>
      </c>
      <c r="C9078" s="0" t="n">
        <v>2589016</v>
      </c>
      <c r="D9078" s="0" t="s">
        <v>30300</v>
      </c>
      <c r="E9078" s="0" t="s">
        <v>30301</v>
      </c>
      <c r="F9078" s="0" t="s">
        <v>90</v>
      </c>
      <c r="G9078" s="0" t="s">
        <v>16</v>
      </c>
      <c r="H9078" s="0" t="n">
        <v>153</v>
      </c>
      <c r="I9078" s="0" t="s">
        <v>30311</v>
      </c>
      <c r="J9078" s="0" t="s">
        <v>30312</v>
      </c>
      <c r="K9078" s="0" t="s">
        <v>30313</v>
      </c>
      <c r="L9078" s="0" t="str">
        <f aca="false">HYPERLINK("https://www.ncbi.nlm.nih.gov/nuccore/CP000304.1?report=graph&amp;tracks=[key:gene_model_track,Options:GeneOnly]&amp;mk=2589144:2589163|offset_6|444444,2589061:2589080|offset_89|444444,2589041:2589060|offset_109|444444,2588997:2589016|offset_153|00cc00&amp;v=2588943:2589216&amp;c=444444", "offset 153")</f>
        <v>offset 153</v>
      </c>
    </row>
    <row r="9079" customFormat="false" ht="12.8" hidden="false" customHeight="false" outlineLevel="0" collapsed="false">
      <c r="A9079" s="0" t="s">
        <v>12</v>
      </c>
      <c r="B9079" s="0" t="n">
        <v>2589715</v>
      </c>
      <c r="C9079" s="0" t="n">
        <v>2589735</v>
      </c>
      <c r="D9079" s="0" t="s">
        <v>30314</v>
      </c>
      <c r="E9079" s="0" t="s">
        <v>30315</v>
      </c>
      <c r="F9079" s="0" t="s">
        <v>90</v>
      </c>
      <c r="G9079" s="0" t="s">
        <v>36</v>
      </c>
      <c r="H9079" s="0" t="n">
        <v>27</v>
      </c>
      <c r="I9079" s="0" t="s">
        <v>30316</v>
      </c>
      <c r="J9079" s="0" t="s">
        <v>30317</v>
      </c>
      <c r="K9079" s="0" t="s">
        <v>30318</v>
      </c>
      <c r="L9079" s="0" t="str">
        <f aca="false">HYPERLINK("https://www.ncbi.nlm.nih.gov/nuccore/CP000304.1?report=graph&amp;tracks=[key:gene_model_track,Options:GeneOnly]&amp;mk=2589716:2589735|offset_27|00cc00,2589688:2589707|offset_55|444444,2589610:2589629|offset_133|444444,2589577:2589596|offset_166|444444&amp;v=2589515:2589796&amp;c=444444", "offset 27")</f>
        <v>offset 27</v>
      </c>
    </row>
    <row r="9080" customFormat="false" ht="12.8" hidden="false" customHeight="false" outlineLevel="0" collapsed="false">
      <c r="A9080" s="0" t="s">
        <v>12</v>
      </c>
      <c r="B9080" s="0" t="n">
        <v>2589687</v>
      </c>
      <c r="C9080" s="0" t="n">
        <v>2589707</v>
      </c>
      <c r="D9080" s="0" t="s">
        <v>30314</v>
      </c>
      <c r="E9080" s="0" t="s">
        <v>30315</v>
      </c>
      <c r="F9080" s="0" t="s">
        <v>90</v>
      </c>
      <c r="G9080" s="0" t="s">
        <v>16</v>
      </c>
      <c r="H9080" s="0" t="n">
        <v>55</v>
      </c>
      <c r="I9080" s="0" t="s">
        <v>30319</v>
      </c>
      <c r="J9080" s="0" t="s">
        <v>30320</v>
      </c>
      <c r="K9080" s="0" t="s">
        <v>30321</v>
      </c>
      <c r="L9080" s="0" t="str">
        <f aca="false">HYPERLINK("https://www.ncbi.nlm.nih.gov/nuccore/CP000304.1?report=graph&amp;tracks=[key:gene_model_track,Options:GeneOnly]&amp;mk=2589716:2589735|offset_27|444444,2589688:2589707|offset_55|00cc00,2589610:2589629|offset_133|444444,2589577:2589596|offset_166|444444&amp;v=2589515:2589796&amp;c=444444", "offset 55")</f>
        <v>offset 55</v>
      </c>
    </row>
    <row r="9081" customFormat="false" ht="12.8" hidden="false" customHeight="false" outlineLevel="0" collapsed="false">
      <c r="A9081" s="0" t="s">
        <v>12</v>
      </c>
      <c r="B9081" s="0" t="n">
        <v>2589609</v>
      </c>
      <c r="C9081" s="0" t="n">
        <v>2589629</v>
      </c>
      <c r="D9081" s="0" t="s">
        <v>30314</v>
      </c>
      <c r="E9081" s="0" t="s">
        <v>30315</v>
      </c>
      <c r="F9081" s="0" t="s">
        <v>90</v>
      </c>
      <c r="G9081" s="0" t="s">
        <v>16</v>
      </c>
      <c r="H9081" s="0" t="n">
        <v>133</v>
      </c>
      <c r="I9081" s="0" t="s">
        <v>30322</v>
      </c>
      <c r="J9081" s="0" t="s">
        <v>30323</v>
      </c>
      <c r="K9081" s="0" t="s">
        <v>30324</v>
      </c>
      <c r="L9081" s="0" t="str">
        <f aca="false">HYPERLINK("https://www.ncbi.nlm.nih.gov/nuccore/CP000304.1?report=graph&amp;tracks=[key:gene_model_track,Options:GeneOnly]&amp;mk=2589716:2589735|offset_27|444444,2589688:2589707|offset_55|444444,2589610:2589629|offset_133|00cc00,2589577:2589596|offset_166|444444&amp;v=2589515:2589796&amp;c=444444", "offset 133")</f>
        <v>offset 133</v>
      </c>
    </row>
    <row r="9082" customFormat="false" ht="12.8" hidden="false" customHeight="false" outlineLevel="0" collapsed="false">
      <c r="A9082" s="0" t="s">
        <v>12</v>
      </c>
      <c r="B9082" s="0" t="n">
        <v>2589576</v>
      </c>
      <c r="C9082" s="0" t="n">
        <v>2589596</v>
      </c>
      <c r="D9082" s="0" t="s">
        <v>30314</v>
      </c>
      <c r="E9082" s="0" t="s">
        <v>30315</v>
      </c>
      <c r="F9082" s="0" t="s">
        <v>90</v>
      </c>
      <c r="G9082" s="0" t="s">
        <v>16</v>
      </c>
      <c r="H9082" s="0" t="n">
        <v>166</v>
      </c>
      <c r="I9082" s="0" t="s">
        <v>30325</v>
      </c>
      <c r="J9082" s="0" t="s">
        <v>30326</v>
      </c>
      <c r="K9082" s="0" t="s">
        <v>30327</v>
      </c>
      <c r="L9082" s="0" t="str">
        <f aca="false">HYPERLINK("https://www.ncbi.nlm.nih.gov/nuccore/CP000304.1?report=graph&amp;tracks=[key:gene_model_track,Options:GeneOnly]&amp;mk=2589716:2589735|offset_27|444444,2589688:2589707|offset_55|444444,2589610:2589629|offset_133|444444,2589577:2589596|offset_166|00cc00&amp;v=2589515:2589796&amp;c=444444", "offset 166")</f>
        <v>offset 166</v>
      </c>
    </row>
    <row r="9083" customFormat="false" ht="12.8" hidden="false" customHeight="false" outlineLevel="0" collapsed="false">
      <c r="A9083" s="0" t="s">
        <v>12</v>
      </c>
      <c r="B9083" s="0" t="n">
        <v>2591681</v>
      </c>
      <c r="C9083" s="0" t="n">
        <v>2591701</v>
      </c>
      <c r="D9083" s="0" t="s">
        <v>30328</v>
      </c>
      <c r="E9083" s="0" t="s">
        <v>30329</v>
      </c>
      <c r="F9083" s="0" t="s">
        <v>90</v>
      </c>
      <c r="G9083" s="0" t="s">
        <v>32</v>
      </c>
      <c r="H9083" s="0" t="n">
        <v>1</v>
      </c>
      <c r="I9083" s="0" t="s">
        <v>30330</v>
      </c>
      <c r="J9083" s="0" t="s">
        <v>30331</v>
      </c>
      <c r="K9083" s="0" t="s">
        <v>30332</v>
      </c>
      <c r="L9083" s="0" t="str">
        <f aca="false">HYPERLINK("https://www.ncbi.nlm.nih.gov/nuccore/CP000304.1?report=graph&amp;tracks=[key:gene_model_track,Options:GeneOnly]&amp;mk=2591682:2591701|offset_1|00cc00,2591662:2591681|offset_21|444444,2591632:2591651|offset_51|444444,2591604:2591623|offset_79|444444&amp;v=2591481:2591823&amp;c=444444", "offset 1")</f>
        <v>offset 1</v>
      </c>
    </row>
    <row r="9084" customFormat="false" ht="12.8" hidden="false" customHeight="false" outlineLevel="0" collapsed="false">
      <c r="A9084" s="0" t="s">
        <v>12</v>
      </c>
      <c r="B9084" s="0" t="n">
        <v>2591661</v>
      </c>
      <c r="C9084" s="0" t="n">
        <v>2591681</v>
      </c>
      <c r="D9084" s="0" t="s">
        <v>30328</v>
      </c>
      <c r="E9084" s="0" t="s">
        <v>30329</v>
      </c>
      <c r="F9084" s="0" t="s">
        <v>90</v>
      </c>
      <c r="G9084" s="0" t="s">
        <v>36</v>
      </c>
      <c r="H9084" s="0" t="n">
        <v>21</v>
      </c>
      <c r="I9084" s="0" t="s">
        <v>30333</v>
      </c>
      <c r="J9084" s="0" t="s">
        <v>30334</v>
      </c>
      <c r="K9084" s="0" t="s">
        <v>30335</v>
      </c>
      <c r="L9084" s="0" t="str">
        <f aca="false">HYPERLINK("https://www.ncbi.nlm.nih.gov/nuccore/CP000304.1?report=graph&amp;tracks=[key:gene_model_track,Options:GeneOnly]&amp;mk=2591682:2591701|offset_1|444444,2591662:2591681|offset_21|00cc00,2591632:2591651|offset_51|444444,2591604:2591623|offset_79|444444&amp;v=2591481:2591823&amp;c=444444", "offset 21")</f>
        <v>offset 21</v>
      </c>
    </row>
    <row r="9085" customFormat="false" ht="12.8" hidden="false" customHeight="false" outlineLevel="0" collapsed="false">
      <c r="A9085" s="0" t="s">
        <v>12</v>
      </c>
      <c r="B9085" s="0" t="n">
        <v>2591631</v>
      </c>
      <c r="C9085" s="0" t="n">
        <v>2591651</v>
      </c>
      <c r="D9085" s="0" t="s">
        <v>30328</v>
      </c>
      <c r="E9085" s="0" t="s">
        <v>30329</v>
      </c>
      <c r="F9085" s="0" t="s">
        <v>90</v>
      </c>
      <c r="G9085" s="0" t="s">
        <v>36</v>
      </c>
      <c r="H9085" s="0" t="n">
        <v>51</v>
      </c>
      <c r="I9085" s="0" t="s">
        <v>30336</v>
      </c>
      <c r="J9085" s="0" t="s">
        <v>30337</v>
      </c>
      <c r="K9085" s="0" t="s">
        <v>30338</v>
      </c>
      <c r="L9085" s="0" t="str">
        <f aca="false">HYPERLINK("https://www.ncbi.nlm.nih.gov/nuccore/CP000304.1?report=graph&amp;tracks=[key:gene_model_track,Options:GeneOnly]&amp;mk=2591682:2591701|offset_1|444444,2591662:2591681|offset_21|444444,2591632:2591651|offset_51|00cc00,2591604:2591623|offset_79|444444&amp;v=2591481:2591823&amp;c=444444", "offset 51")</f>
        <v>offset 51</v>
      </c>
    </row>
    <row r="9086" customFormat="false" ht="12.8" hidden="false" customHeight="false" outlineLevel="0" collapsed="false">
      <c r="A9086" s="0" t="s">
        <v>12</v>
      </c>
      <c r="B9086" s="0" t="n">
        <v>2591603</v>
      </c>
      <c r="C9086" s="0" t="n">
        <v>2591623</v>
      </c>
      <c r="D9086" s="0" t="s">
        <v>30328</v>
      </c>
      <c r="E9086" s="0" t="s">
        <v>30329</v>
      </c>
      <c r="F9086" s="0" t="s">
        <v>90</v>
      </c>
      <c r="G9086" s="0" t="s">
        <v>32</v>
      </c>
      <c r="H9086" s="0" t="n">
        <v>79</v>
      </c>
      <c r="I9086" s="0" t="s">
        <v>30339</v>
      </c>
      <c r="J9086" s="0" t="s">
        <v>30340</v>
      </c>
      <c r="K9086" s="0" t="s">
        <v>30341</v>
      </c>
      <c r="L9086" s="0" t="str">
        <f aca="false">HYPERLINK("https://www.ncbi.nlm.nih.gov/nuccore/CP000304.1?report=graph&amp;tracks=[key:gene_model_track,Options:GeneOnly]&amp;mk=2591682:2591701|offset_1|444444,2591662:2591681|offset_21|444444,2591632:2591651|offset_51|444444,2591604:2591623|offset_79|00cc00&amp;v=2591481:2591823&amp;c=444444", "offset 79")</f>
        <v>offset 79</v>
      </c>
    </row>
    <row r="9087" customFormat="false" ht="12.8" hidden="false" customHeight="false" outlineLevel="0" collapsed="false">
      <c r="A9087" s="0" t="s">
        <v>12</v>
      </c>
      <c r="B9087" s="0" t="n">
        <v>2592181</v>
      </c>
      <c r="C9087" s="0" t="n">
        <v>2592201</v>
      </c>
      <c r="D9087" s="0" t="s">
        <v>30342</v>
      </c>
      <c r="E9087" s="0" t="s">
        <v>89</v>
      </c>
      <c r="F9087" s="0" t="s">
        <v>15</v>
      </c>
      <c r="G9087" s="0" t="s">
        <v>16</v>
      </c>
      <c r="H9087" s="0" t="n">
        <v>6</v>
      </c>
      <c r="I9087" s="0" t="s">
        <v>30343</v>
      </c>
      <c r="J9087" s="0" t="s">
        <v>30344</v>
      </c>
      <c r="K9087" s="0" t="s">
        <v>30345</v>
      </c>
      <c r="L9087" s="0" t="str">
        <f aca="false">HYPERLINK("https://www.ncbi.nlm.nih.gov/nuccore/CP000304.1?report=graph&amp;tracks=[key:gene_model_track,Options:GeneOnly]&amp;mk=2592182:2592201|offset_6|00cc00,2592204:2592223|offset_28|444444,2592231:2592250|offset_55|444444,2592288:2592307|offset_112|444444&amp;v=2591981:2592507&amp;c=444444", "offset 6")</f>
        <v>offset 6</v>
      </c>
    </row>
    <row r="9088" customFormat="false" ht="12.8" hidden="false" customHeight="false" outlineLevel="0" collapsed="false">
      <c r="A9088" s="0" t="s">
        <v>12</v>
      </c>
      <c r="B9088" s="0" t="n">
        <v>2592203</v>
      </c>
      <c r="C9088" s="0" t="n">
        <v>2592223</v>
      </c>
      <c r="D9088" s="0" t="s">
        <v>30342</v>
      </c>
      <c r="E9088" s="0" t="s">
        <v>89</v>
      </c>
      <c r="F9088" s="0" t="s">
        <v>15</v>
      </c>
      <c r="G9088" s="0" t="s">
        <v>26</v>
      </c>
      <c r="H9088" s="0" t="n">
        <v>28</v>
      </c>
      <c r="I9088" s="0" t="s">
        <v>30346</v>
      </c>
      <c r="J9088" s="0" t="s">
        <v>30347</v>
      </c>
      <c r="K9088" s="0" t="s">
        <v>30348</v>
      </c>
      <c r="L9088" s="0" t="str">
        <f aca="false">HYPERLINK("https://www.ncbi.nlm.nih.gov/nuccore/CP000304.1?report=graph&amp;tracks=[key:gene_model_track,Options:GeneOnly]&amp;mk=2592182:2592201|offset_6|444444,2592204:2592223|offset_28|00cc00,2592231:2592250|offset_55|444444,2592288:2592307|offset_112|444444&amp;v=2591981:2592507&amp;c=444444", "offset 28")</f>
        <v>offset 28</v>
      </c>
    </row>
    <row r="9089" customFormat="false" ht="12.8" hidden="false" customHeight="false" outlineLevel="0" collapsed="false">
      <c r="A9089" s="0" t="s">
        <v>12</v>
      </c>
      <c r="B9089" s="0" t="n">
        <v>2592230</v>
      </c>
      <c r="C9089" s="0" t="n">
        <v>2592250</v>
      </c>
      <c r="D9089" s="0" t="s">
        <v>30342</v>
      </c>
      <c r="E9089" s="0" t="s">
        <v>89</v>
      </c>
      <c r="F9089" s="0" t="s">
        <v>15</v>
      </c>
      <c r="G9089" s="0" t="s">
        <v>16</v>
      </c>
      <c r="H9089" s="0" t="n">
        <v>55</v>
      </c>
      <c r="I9089" s="0" t="s">
        <v>30349</v>
      </c>
      <c r="J9089" s="0" t="s">
        <v>30350</v>
      </c>
      <c r="K9089" s="0" t="s">
        <v>30351</v>
      </c>
      <c r="L9089" s="0" t="str">
        <f aca="false">HYPERLINK("https://www.ncbi.nlm.nih.gov/nuccore/CP000304.1?report=graph&amp;tracks=[key:gene_model_track,Options:GeneOnly]&amp;mk=2592182:2592201|offset_6|444444,2592204:2592223|offset_28|444444,2592231:2592250|offset_55|00cc00,2592288:2592307|offset_112|444444&amp;v=2591981:2592507&amp;c=444444", "offset 55")</f>
        <v>offset 55</v>
      </c>
    </row>
    <row r="9090" customFormat="false" ht="12.8" hidden="false" customHeight="false" outlineLevel="0" collapsed="false">
      <c r="A9090" s="0" t="s">
        <v>12</v>
      </c>
      <c r="B9090" s="0" t="n">
        <v>2592287</v>
      </c>
      <c r="C9090" s="0" t="n">
        <v>2592307</v>
      </c>
      <c r="D9090" s="0" t="s">
        <v>30342</v>
      </c>
      <c r="E9090" s="0" t="s">
        <v>89</v>
      </c>
      <c r="F9090" s="0" t="s">
        <v>15</v>
      </c>
      <c r="G9090" s="0" t="s">
        <v>16</v>
      </c>
      <c r="H9090" s="0" t="n">
        <v>112</v>
      </c>
      <c r="I9090" s="0" t="s">
        <v>30352</v>
      </c>
      <c r="J9090" s="0" t="s">
        <v>30353</v>
      </c>
      <c r="K9090" s="0" t="s">
        <v>30354</v>
      </c>
      <c r="L9090" s="0" t="str">
        <f aca="false">HYPERLINK("https://www.ncbi.nlm.nih.gov/nuccore/CP000304.1?report=graph&amp;tracks=[key:gene_model_track,Options:GeneOnly]&amp;mk=2592182:2592201|offset_6|444444,2592204:2592223|offset_28|444444,2592231:2592250|offset_55|444444,2592288:2592307|offset_112|00cc00&amp;v=2591981:2592507&amp;c=444444", "offset 112")</f>
        <v>offset 112</v>
      </c>
    </row>
    <row r="9091" customFormat="false" ht="12.8" hidden="false" customHeight="false" outlineLevel="0" collapsed="false">
      <c r="A9091" s="0" t="s">
        <v>12</v>
      </c>
      <c r="B9091" s="0" t="n">
        <v>2594387</v>
      </c>
      <c r="C9091" s="0" t="n">
        <v>2594407</v>
      </c>
      <c r="D9091" s="0" t="s">
        <v>30355</v>
      </c>
      <c r="E9091" s="0" t="s">
        <v>89</v>
      </c>
      <c r="F9091" s="0" t="s">
        <v>90</v>
      </c>
      <c r="G9091" s="0" t="s">
        <v>26</v>
      </c>
      <c r="H9091" s="0" t="n">
        <v>8</v>
      </c>
      <c r="I9091" s="0" t="s">
        <v>30356</v>
      </c>
      <c r="J9091" s="0" t="s">
        <v>30357</v>
      </c>
      <c r="K9091" s="0" t="s">
        <v>30358</v>
      </c>
      <c r="L9091" s="0" t="str">
        <f aca="false">HYPERLINK("https://www.ncbi.nlm.nih.gov/nuccore/CP000304.1?report=graph&amp;tracks=[key:gene_model_track,Options:GeneOnly]&amp;mk=2594388:2594407|offset_8|00cc00,2594358:2594377|offset_38|444444,2594314:2594333|offset_82|444444,2594293:2594312|offset_103|444444&amp;v=2594187:2594512&amp;c=444444", "offset 8")</f>
        <v>offset 8</v>
      </c>
    </row>
    <row r="9092" customFormat="false" ht="12.8" hidden="false" customHeight="false" outlineLevel="0" collapsed="false">
      <c r="A9092" s="0" t="s">
        <v>12</v>
      </c>
      <c r="B9092" s="0" t="n">
        <v>2594357</v>
      </c>
      <c r="C9092" s="0" t="n">
        <v>2594377</v>
      </c>
      <c r="D9092" s="0" t="s">
        <v>30355</v>
      </c>
      <c r="E9092" s="0" t="s">
        <v>89</v>
      </c>
      <c r="F9092" s="0" t="s">
        <v>90</v>
      </c>
      <c r="G9092" s="0" t="s">
        <v>26</v>
      </c>
      <c r="H9092" s="0" t="n">
        <v>38</v>
      </c>
      <c r="I9092" s="0" t="s">
        <v>30359</v>
      </c>
      <c r="J9092" s="0" t="s">
        <v>30360</v>
      </c>
      <c r="K9092" s="0" t="s">
        <v>30361</v>
      </c>
      <c r="L9092" s="0" t="str">
        <f aca="false">HYPERLINK("https://www.ncbi.nlm.nih.gov/nuccore/CP000304.1?report=graph&amp;tracks=[key:gene_model_track,Options:GeneOnly]&amp;mk=2594388:2594407|offset_8|444444,2594358:2594377|offset_38|00cc00,2594314:2594333|offset_82|444444,2594293:2594312|offset_103|444444&amp;v=2594187:2594512&amp;c=444444", "offset 38")</f>
        <v>offset 38</v>
      </c>
    </row>
    <row r="9093" customFormat="false" ht="12.8" hidden="false" customHeight="false" outlineLevel="0" collapsed="false">
      <c r="A9093" s="0" t="s">
        <v>12</v>
      </c>
      <c r="B9093" s="0" t="n">
        <v>2594313</v>
      </c>
      <c r="C9093" s="0" t="n">
        <v>2594333</v>
      </c>
      <c r="D9093" s="0" t="s">
        <v>30355</v>
      </c>
      <c r="E9093" s="0" t="s">
        <v>89</v>
      </c>
      <c r="F9093" s="0" t="s">
        <v>90</v>
      </c>
      <c r="G9093" s="0" t="s">
        <v>26</v>
      </c>
      <c r="H9093" s="0" t="n">
        <v>82</v>
      </c>
      <c r="I9093" s="0" t="s">
        <v>30362</v>
      </c>
      <c r="J9093" s="0" t="s">
        <v>30363</v>
      </c>
      <c r="K9093" s="0" t="s">
        <v>30364</v>
      </c>
      <c r="L9093" s="0" t="str">
        <f aca="false">HYPERLINK("https://www.ncbi.nlm.nih.gov/nuccore/CP000304.1?report=graph&amp;tracks=[key:gene_model_track,Options:GeneOnly]&amp;mk=2594388:2594407|offset_8|444444,2594358:2594377|offset_38|444444,2594314:2594333|offset_82|00cc00,2594293:2594312|offset_103|444444&amp;v=2594187:2594512&amp;c=444444", "offset 82")</f>
        <v>offset 82</v>
      </c>
    </row>
    <row r="9094" customFormat="false" ht="12.8" hidden="false" customHeight="false" outlineLevel="0" collapsed="false">
      <c r="A9094" s="0" t="s">
        <v>12</v>
      </c>
      <c r="B9094" s="0" t="n">
        <v>2594292</v>
      </c>
      <c r="C9094" s="0" t="n">
        <v>2594312</v>
      </c>
      <c r="D9094" s="0" t="s">
        <v>30355</v>
      </c>
      <c r="E9094" s="0" t="s">
        <v>89</v>
      </c>
      <c r="F9094" s="0" t="s">
        <v>90</v>
      </c>
      <c r="G9094" s="0" t="s">
        <v>16</v>
      </c>
      <c r="H9094" s="0" t="n">
        <v>103</v>
      </c>
      <c r="I9094" s="0" t="s">
        <v>30365</v>
      </c>
      <c r="J9094" s="0" t="s">
        <v>30366</v>
      </c>
      <c r="K9094" s="0" t="s">
        <v>30367</v>
      </c>
      <c r="L9094" s="0" t="str">
        <f aca="false">HYPERLINK("https://www.ncbi.nlm.nih.gov/nuccore/CP000304.1?report=graph&amp;tracks=[key:gene_model_track,Options:GeneOnly]&amp;mk=2594388:2594407|offset_8|444444,2594358:2594377|offset_38|444444,2594314:2594333|offset_82|444444,2594293:2594312|offset_103|00cc00&amp;v=2594187:2594512&amp;c=444444", "offset 103")</f>
        <v>offset 103</v>
      </c>
    </row>
    <row r="9095" customFormat="false" ht="12.8" hidden="false" customHeight="false" outlineLevel="0" collapsed="false">
      <c r="A9095" s="0" t="s">
        <v>12</v>
      </c>
      <c r="B9095" s="0" t="n">
        <v>2594783</v>
      </c>
      <c r="C9095" s="0" t="n">
        <v>2594803</v>
      </c>
      <c r="D9095" s="0" t="s">
        <v>30368</v>
      </c>
      <c r="E9095" s="0" t="s">
        <v>89</v>
      </c>
      <c r="F9095" s="0" t="s">
        <v>90</v>
      </c>
      <c r="G9095" s="0" t="s">
        <v>26</v>
      </c>
      <c r="H9095" s="0" t="n">
        <v>10</v>
      </c>
      <c r="I9095" s="0" t="s">
        <v>30369</v>
      </c>
      <c r="J9095" s="0" t="s">
        <v>30370</v>
      </c>
      <c r="K9095" s="0" t="s">
        <v>30371</v>
      </c>
      <c r="L9095" s="0" t="str">
        <f aca="false">HYPERLINK("https://www.ncbi.nlm.nih.gov/nuccore/CP000304.1?report=graph&amp;tracks=[key:gene_model_track,Options:GeneOnly]&amp;mk=2594784:2594803|offset_10|00cc00,2594757:2594776|offset_37|444444,2594735:2594754|offset_59|444444,2594715:2594734|offset_79|444444&amp;v=2594583:2594934&amp;c=444444", "offset 10")</f>
        <v>offset 10</v>
      </c>
    </row>
    <row r="9096" customFormat="false" ht="12.8" hidden="false" customHeight="false" outlineLevel="0" collapsed="false">
      <c r="A9096" s="0" t="s">
        <v>12</v>
      </c>
      <c r="B9096" s="0" t="n">
        <v>2594756</v>
      </c>
      <c r="C9096" s="0" t="n">
        <v>2594776</v>
      </c>
      <c r="D9096" s="0" t="s">
        <v>30368</v>
      </c>
      <c r="E9096" s="0" t="s">
        <v>89</v>
      </c>
      <c r="F9096" s="0" t="s">
        <v>90</v>
      </c>
      <c r="G9096" s="0" t="s">
        <v>16</v>
      </c>
      <c r="H9096" s="0" t="n">
        <v>37</v>
      </c>
      <c r="I9096" s="0" t="s">
        <v>30372</v>
      </c>
      <c r="J9096" s="0" t="s">
        <v>30373</v>
      </c>
      <c r="K9096" s="0" t="s">
        <v>30374</v>
      </c>
      <c r="L9096" s="0" t="str">
        <f aca="false">HYPERLINK("https://www.ncbi.nlm.nih.gov/nuccore/CP000304.1?report=graph&amp;tracks=[key:gene_model_track,Options:GeneOnly]&amp;mk=2594784:2594803|offset_10|444444,2594757:2594776|offset_37|00cc00,2594735:2594754|offset_59|444444,2594715:2594734|offset_79|444444&amp;v=2594583:2594934&amp;c=444444", "offset 37")</f>
        <v>offset 37</v>
      </c>
    </row>
    <row r="9097" customFormat="false" ht="12.8" hidden="false" customHeight="false" outlineLevel="0" collapsed="false">
      <c r="A9097" s="0" t="s">
        <v>12</v>
      </c>
      <c r="B9097" s="0" t="n">
        <v>2594734</v>
      </c>
      <c r="C9097" s="0" t="n">
        <v>2594754</v>
      </c>
      <c r="D9097" s="0" t="s">
        <v>30368</v>
      </c>
      <c r="E9097" s="0" t="s">
        <v>89</v>
      </c>
      <c r="F9097" s="0" t="s">
        <v>90</v>
      </c>
      <c r="G9097" s="0" t="s">
        <v>26</v>
      </c>
      <c r="H9097" s="0" t="n">
        <v>59</v>
      </c>
      <c r="I9097" s="0" t="s">
        <v>30375</v>
      </c>
      <c r="J9097" s="0" t="s">
        <v>30376</v>
      </c>
      <c r="K9097" s="0" t="s">
        <v>30377</v>
      </c>
      <c r="L9097" s="0" t="str">
        <f aca="false">HYPERLINK("https://www.ncbi.nlm.nih.gov/nuccore/CP000304.1?report=graph&amp;tracks=[key:gene_model_track,Options:GeneOnly]&amp;mk=2594784:2594803|offset_10|444444,2594757:2594776|offset_37|444444,2594735:2594754|offset_59|00cc00,2594715:2594734|offset_79|444444&amp;v=2594583:2594934&amp;c=444444", "offset 59")</f>
        <v>offset 59</v>
      </c>
    </row>
    <row r="9098" customFormat="false" ht="12.8" hidden="false" customHeight="false" outlineLevel="0" collapsed="false">
      <c r="A9098" s="0" t="s">
        <v>12</v>
      </c>
      <c r="B9098" s="0" t="n">
        <v>2594714</v>
      </c>
      <c r="C9098" s="0" t="n">
        <v>2594734</v>
      </c>
      <c r="D9098" s="0" t="s">
        <v>30368</v>
      </c>
      <c r="E9098" s="0" t="s">
        <v>89</v>
      </c>
      <c r="F9098" s="0" t="s">
        <v>90</v>
      </c>
      <c r="G9098" s="0" t="s">
        <v>32</v>
      </c>
      <c r="H9098" s="0" t="n">
        <v>79</v>
      </c>
      <c r="I9098" s="0" t="s">
        <v>30378</v>
      </c>
      <c r="J9098" s="0" t="s">
        <v>30379</v>
      </c>
      <c r="K9098" s="0" t="s">
        <v>30380</v>
      </c>
      <c r="L9098" s="0" t="str">
        <f aca="false">HYPERLINK("https://www.ncbi.nlm.nih.gov/nuccore/CP000304.1?report=graph&amp;tracks=[key:gene_model_track,Options:GeneOnly]&amp;mk=2594784:2594803|offset_10|444444,2594757:2594776|offset_37|444444,2594735:2594754|offset_59|444444,2594715:2594734|offset_79|00cc00&amp;v=2594583:2594934&amp;c=444444", "offset 79")</f>
        <v>offset 79</v>
      </c>
    </row>
    <row r="9099" customFormat="false" ht="12.8" hidden="false" customHeight="false" outlineLevel="0" collapsed="false">
      <c r="A9099" s="0" t="s">
        <v>12</v>
      </c>
      <c r="B9099" s="0" t="n">
        <v>2595025</v>
      </c>
      <c r="C9099" s="0" t="n">
        <v>2595045</v>
      </c>
      <c r="D9099" s="0" t="s">
        <v>30381</v>
      </c>
      <c r="E9099" s="0" t="s">
        <v>89</v>
      </c>
      <c r="F9099" s="0" t="s">
        <v>15</v>
      </c>
      <c r="G9099" s="0" t="s">
        <v>16</v>
      </c>
      <c r="H9099" s="0" t="n">
        <v>8</v>
      </c>
      <c r="I9099" s="0" t="s">
        <v>30382</v>
      </c>
      <c r="J9099" s="0" t="s">
        <v>30383</v>
      </c>
      <c r="K9099" s="0" t="s">
        <v>30384</v>
      </c>
      <c r="L9099" s="0" t="str">
        <f aca="false">HYPERLINK("https://www.ncbi.nlm.nih.gov/nuccore/CP000304.1?report=graph&amp;tracks=[key:gene_model_track,Options:GeneOnly]&amp;mk=2595026:2595045|offset_8|00cc00,2595080:2595099|offset_62|444444,2595109:2595128|offset_91|444444,2595164:2595183|offset_146|444444&amp;v=2594825:2595383&amp;c=444444", "offset 8")</f>
        <v>offset 8</v>
      </c>
    </row>
    <row r="9100" customFormat="false" ht="12.8" hidden="false" customHeight="false" outlineLevel="0" collapsed="false">
      <c r="A9100" s="0" t="s">
        <v>12</v>
      </c>
      <c r="B9100" s="0" t="n">
        <v>2595079</v>
      </c>
      <c r="C9100" s="0" t="n">
        <v>2595099</v>
      </c>
      <c r="D9100" s="0" t="s">
        <v>30381</v>
      </c>
      <c r="E9100" s="0" t="s">
        <v>89</v>
      </c>
      <c r="F9100" s="0" t="s">
        <v>15</v>
      </c>
      <c r="G9100" s="0" t="s">
        <v>32</v>
      </c>
      <c r="H9100" s="0" t="n">
        <v>62</v>
      </c>
      <c r="I9100" s="0" t="s">
        <v>30385</v>
      </c>
      <c r="J9100" s="0" t="s">
        <v>30386</v>
      </c>
      <c r="K9100" s="0" t="s">
        <v>30387</v>
      </c>
      <c r="L9100" s="0" t="str">
        <f aca="false">HYPERLINK("https://www.ncbi.nlm.nih.gov/nuccore/CP000304.1?report=graph&amp;tracks=[key:gene_model_track,Options:GeneOnly]&amp;mk=2595026:2595045|offset_8|444444,2595080:2595099|offset_62|00cc00,2595109:2595128|offset_91|444444,2595164:2595183|offset_146|444444&amp;v=2594825:2595383&amp;c=444444", "offset 62")</f>
        <v>offset 62</v>
      </c>
    </row>
    <row r="9101" customFormat="false" ht="12.8" hidden="false" customHeight="false" outlineLevel="0" collapsed="false">
      <c r="A9101" s="0" t="s">
        <v>12</v>
      </c>
      <c r="B9101" s="0" t="n">
        <v>2595108</v>
      </c>
      <c r="C9101" s="0" t="n">
        <v>2595128</v>
      </c>
      <c r="D9101" s="0" t="s">
        <v>30381</v>
      </c>
      <c r="E9101" s="0" t="s">
        <v>89</v>
      </c>
      <c r="F9101" s="0" t="s">
        <v>15</v>
      </c>
      <c r="G9101" s="0" t="s">
        <v>36</v>
      </c>
      <c r="H9101" s="0" t="n">
        <v>91</v>
      </c>
      <c r="I9101" s="0" t="s">
        <v>30388</v>
      </c>
      <c r="J9101" s="0" t="s">
        <v>30389</v>
      </c>
      <c r="K9101" s="0" t="s">
        <v>30390</v>
      </c>
      <c r="L9101" s="0" t="str">
        <f aca="false">HYPERLINK("https://www.ncbi.nlm.nih.gov/nuccore/CP000304.1?report=graph&amp;tracks=[key:gene_model_track,Options:GeneOnly]&amp;mk=2595026:2595045|offset_8|444444,2595080:2595099|offset_62|444444,2595109:2595128|offset_91|00cc00,2595164:2595183|offset_146|444444&amp;v=2594825:2595383&amp;c=444444", "offset 91")</f>
        <v>offset 91</v>
      </c>
    </row>
    <row r="9102" customFormat="false" ht="12.8" hidden="false" customHeight="false" outlineLevel="0" collapsed="false">
      <c r="A9102" s="0" t="s">
        <v>12</v>
      </c>
      <c r="B9102" s="0" t="n">
        <v>2595163</v>
      </c>
      <c r="C9102" s="0" t="n">
        <v>2595183</v>
      </c>
      <c r="D9102" s="0" t="s">
        <v>30381</v>
      </c>
      <c r="E9102" s="0" t="s">
        <v>89</v>
      </c>
      <c r="F9102" s="0" t="s">
        <v>15</v>
      </c>
      <c r="G9102" s="0" t="s">
        <v>26</v>
      </c>
      <c r="H9102" s="0" t="n">
        <v>146</v>
      </c>
      <c r="I9102" s="0" t="s">
        <v>30391</v>
      </c>
      <c r="J9102" s="0" t="s">
        <v>30392</v>
      </c>
      <c r="K9102" s="0" t="s">
        <v>30393</v>
      </c>
      <c r="L9102" s="0" t="str">
        <f aca="false">HYPERLINK("https://www.ncbi.nlm.nih.gov/nuccore/CP000304.1?report=graph&amp;tracks=[key:gene_model_track,Options:GeneOnly]&amp;mk=2595026:2595045|offset_8|444444,2595080:2595099|offset_62|444444,2595109:2595128|offset_91|444444,2595164:2595183|offset_146|00cc00&amp;v=2594825:2595383&amp;c=444444", "offset 146")</f>
        <v>offset 146</v>
      </c>
    </row>
    <row r="9103" customFormat="false" ht="12.8" hidden="false" customHeight="false" outlineLevel="0" collapsed="false">
      <c r="A9103" s="0" t="s">
        <v>12</v>
      </c>
      <c r="B9103" s="0" t="n">
        <v>2596380</v>
      </c>
      <c r="C9103" s="0" t="n">
        <v>2596400</v>
      </c>
      <c r="D9103" s="0" t="s">
        <v>30394</v>
      </c>
      <c r="E9103" s="0" t="s">
        <v>89</v>
      </c>
      <c r="F9103" s="0" t="s">
        <v>90</v>
      </c>
      <c r="G9103" s="0" t="s">
        <v>32</v>
      </c>
      <c r="H9103" s="0" t="n">
        <v>34</v>
      </c>
      <c r="I9103" s="0" t="s">
        <v>30395</v>
      </c>
      <c r="J9103" s="0" t="s">
        <v>30396</v>
      </c>
      <c r="K9103" s="0" t="s">
        <v>30397</v>
      </c>
      <c r="L9103" s="0" t="str">
        <f aca="false">HYPERLINK("https://www.ncbi.nlm.nih.gov/nuccore/CP000304.1?report=graph&amp;tracks=[key:gene_model_track,Options:GeneOnly]&amp;mk=2596381:2596400|offset_34|00cc00,2596313:2596332|offset_102|444444,2596263:2596282|offset_152|444444,2596242:2596261|offset_173|444444&amp;v=2596180:2596461&amp;c=444444", "offset 34")</f>
        <v>offset 34</v>
      </c>
    </row>
    <row r="9104" customFormat="false" ht="12.8" hidden="false" customHeight="false" outlineLevel="0" collapsed="false">
      <c r="A9104" s="0" t="s">
        <v>12</v>
      </c>
      <c r="B9104" s="0" t="n">
        <v>2596312</v>
      </c>
      <c r="C9104" s="0" t="n">
        <v>2596332</v>
      </c>
      <c r="D9104" s="0" t="s">
        <v>30394</v>
      </c>
      <c r="E9104" s="0" t="s">
        <v>89</v>
      </c>
      <c r="F9104" s="0" t="s">
        <v>90</v>
      </c>
      <c r="G9104" s="0" t="s">
        <v>36</v>
      </c>
      <c r="H9104" s="0" t="n">
        <v>102</v>
      </c>
      <c r="I9104" s="0" t="s">
        <v>30398</v>
      </c>
      <c r="J9104" s="0" t="s">
        <v>30399</v>
      </c>
      <c r="K9104" s="0" t="s">
        <v>30400</v>
      </c>
      <c r="L9104" s="0" t="str">
        <f aca="false">HYPERLINK("https://www.ncbi.nlm.nih.gov/nuccore/CP000304.1?report=graph&amp;tracks=[key:gene_model_track,Options:GeneOnly]&amp;mk=2596381:2596400|offset_34|444444,2596313:2596332|offset_102|00cc00,2596263:2596282|offset_152|444444,2596242:2596261|offset_173|444444&amp;v=2596180:2596461&amp;c=444444", "offset 102")</f>
        <v>offset 102</v>
      </c>
    </row>
    <row r="9105" customFormat="false" ht="12.8" hidden="false" customHeight="false" outlineLevel="0" collapsed="false">
      <c r="A9105" s="0" t="s">
        <v>12</v>
      </c>
      <c r="B9105" s="0" t="n">
        <v>2596262</v>
      </c>
      <c r="C9105" s="0" t="n">
        <v>2596282</v>
      </c>
      <c r="D9105" s="0" t="s">
        <v>30394</v>
      </c>
      <c r="E9105" s="0" t="s">
        <v>89</v>
      </c>
      <c r="F9105" s="0" t="s">
        <v>90</v>
      </c>
      <c r="G9105" s="0" t="s">
        <v>32</v>
      </c>
      <c r="H9105" s="0" t="n">
        <v>152</v>
      </c>
      <c r="I9105" s="0" t="s">
        <v>30401</v>
      </c>
      <c r="J9105" s="0" t="s">
        <v>30402</v>
      </c>
      <c r="K9105" s="0" t="s">
        <v>30403</v>
      </c>
      <c r="L9105" s="0" t="str">
        <f aca="false">HYPERLINK("https://www.ncbi.nlm.nih.gov/nuccore/CP000304.1?report=graph&amp;tracks=[key:gene_model_track,Options:GeneOnly]&amp;mk=2596381:2596400|offset_34|444444,2596313:2596332|offset_102|444444,2596263:2596282|offset_152|00cc00,2596242:2596261|offset_173|444444&amp;v=2596180:2596461&amp;c=444444", "offset 152")</f>
        <v>offset 152</v>
      </c>
    </row>
    <row r="9106" customFormat="false" ht="12.8" hidden="false" customHeight="false" outlineLevel="0" collapsed="false">
      <c r="A9106" s="0" t="s">
        <v>12</v>
      </c>
      <c r="B9106" s="0" t="n">
        <v>2596241</v>
      </c>
      <c r="C9106" s="0" t="n">
        <v>2596261</v>
      </c>
      <c r="D9106" s="0" t="s">
        <v>30394</v>
      </c>
      <c r="E9106" s="0" t="s">
        <v>89</v>
      </c>
      <c r="F9106" s="0" t="s">
        <v>90</v>
      </c>
      <c r="G9106" s="0" t="s">
        <v>26</v>
      </c>
      <c r="H9106" s="0" t="n">
        <v>173</v>
      </c>
      <c r="I9106" s="0" t="s">
        <v>30404</v>
      </c>
      <c r="J9106" s="0" t="s">
        <v>30405</v>
      </c>
      <c r="K9106" s="0" t="s">
        <v>30406</v>
      </c>
      <c r="L9106" s="0" t="str">
        <f aca="false">HYPERLINK("https://www.ncbi.nlm.nih.gov/nuccore/CP000304.1?report=graph&amp;tracks=[key:gene_model_track,Options:GeneOnly]&amp;mk=2596381:2596400|offset_34|444444,2596313:2596332|offset_102|444444,2596263:2596282|offset_152|444444,2596242:2596261|offset_173|00cc00&amp;v=2596180:2596461&amp;c=444444", "offset 173")</f>
        <v>offset 173</v>
      </c>
    </row>
    <row r="9107" customFormat="false" ht="12.8" hidden="false" customHeight="false" outlineLevel="0" collapsed="false">
      <c r="A9107" s="0" t="s">
        <v>12</v>
      </c>
      <c r="B9107" s="0" t="n">
        <v>2596635</v>
      </c>
      <c r="C9107" s="0" t="n">
        <v>2596655</v>
      </c>
      <c r="D9107" s="0" t="s">
        <v>30407</v>
      </c>
      <c r="E9107" s="0" t="s">
        <v>30408</v>
      </c>
      <c r="F9107" s="0" t="s">
        <v>15</v>
      </c>
      <c r="G9107" s="0" t="s">
        <v>32</v>
      </c>
      <c r="H9107" s="0" t="n">
        <v>0</v>
      </c>
      <c r="I9107" s="0" t="s">
        <v>30409</v>
      </c>
      <c r="J9107" s="0" t="s">
        <v>30410</v>
      </c>
      <c r="K9107" s="0" t="s">
        <v>30411</v>
      </c>
      <c r="L9107" s="0" t="str">
        <f aca="false">HYPERLINK("https://www.ncbi.nlm.nih.gov/nuccore/CP000304.1?report=graph&amp;tracks=[key:gene_model_track,Options:GeneOnly]&amp;mk=2596636:2596655|offset_0|00cc00,2596656:2596675|offset_20|444444,2596682:2596701|offset_46|444444,2596743:2596762|offset_107|444444&amp;v=2596435:2596962&amp;c=444444", "offset 0")</f>
        <v>offset 0</v>
      </c>
    </row>
    <row r="9108" customFormat="false" ht="12.8" hidden="false" customHeight="false" outlineLevel="0" collapsed="false">
      <c r="A9108" s="0" t="s">
        <v>12</v>
      </c>
      <c r="B9108" s="0" t="n">
        <v>2596655</v>
      </c>
      <c r="C9108" s="0" t="n">
        <v>2596675</v>
      </c>
      <c r="D9108" s="0" t="s">
        <v>30407</v>
      </c>
      <c r="E9108" s="0" t="s">
        <v>30408</v>
      </c>
      <c r="F9108" s="0" t="s">
        <v>15</v>
      </c>
      <c r="G9108" s="0" t="s">
        <v>32</v>
      </c>
      <c r="H9108" s="0" t="n">
        <v>20</v>
      </c>
      <c r="I9108" s="0" t="s">
        <v>30412</v>
      </c>
      <c r="J9108" s="0" t="s">
        <v>30413</v>
      </c>
      <c r="K9108" s="0" t="s">
        <v>30414</v>
      </c>
      <c r="L9108" s="0" t="str">
        <f aca="false">HYPERLINK("https://www.ncbi.nlm.nih.gov/nuccore/CP000304.1?report=graph&amp;tracks=[key:gene_model_track,Options:GeneOnly]&amp;mk=2596636:2596655|offset_0|444444,2596656:2596675|offset_20|00cc00,2596682:2596701|offset_46|444444,2596743:2596762|offset_107|444444&amp;v=2596435:2596962&amp;c=444444", "offset 20")</f>
        <v>offset 20</v>
      </c>
    </row>
    <row r="9109" customFormat="false" ht="12.8" hidden="false" customHeight="false" outlineLevel="0" collapsed="false">
      <c r="A9109" s="0" t="s">
        <v>12</v>
      </c>
      <c r="B9109" s="0" t="n">
        <v>2596681</v>
      </c>
      <c r="C9109" s="0" t="n">
        <v>2596701</v>
      </c>
      <c r="D9109" s="0" t="s">
        <v>30407</v>
      </c>
      <c r="E9109" s="0" t="s">
        <v>30408</v>
      </c>
      <c r="F9109" s="0" t="s">
        <v>15</v>
      </c>
      <c r="G9109" s="0" t="s">
        <v>16</v>
      </c>
      <c r="H9109" s="0" t="n">
        <v>46</v>
      </c>
      <c r="I9109" s="0" t="s">
        <v>30415</v>
      </c>
      <c r="J9109" s="0" t="s">
        <v>30416</v>
      </c>
      <c r="K9109" s="0" t="s">
        <v>30417</v>
      </c>
      <c r="L9109" s="0" t="str">
        <f aca="false">HYPERLINK("https://www.ncbi.nlm.nih.gov/nuccore/CP000304.1?report=graph&amp;tracks=[key:gene_model_track,Options:GeneOnly]&amp;mk=2596636:2596655|offset_0|444444,2596656:2596675|offset_20|444444,2596682:2596701|offset_46|00cc00,2596743:2596762|offset_107|444444&amp;v=2596435:2596962&amp;c=444444", "offset 46")</f>
        <v>offset 46</v>
      </c>
    </row>
    <row r="9110" customFormat="false" ht="12.8" hidden="false" customHeight="false" outlineLevel="0" collapsed="false">
      <c r="A9110" s="0" t="s">
        <v>12</v>
      </c>
      <c r="B9110" s="0" t="n">
        <v>2596742</v>
      </c>
      <c r="C9110" s="0" t="n">
        <v>2596762</v>
      </c>
      <c r="D9110" s="0" t="s">
        <v>30407</v>
      </c>
      <c r="E9110" s="0" t="s">
        <v>30408</v>
      </c>
      <c r="F9110" s="0" t="s">
        <v>15</v>
      </c>
      <c r="G9110" s="0" t="s">
        <v>36</v>
      </c>
      <c r="H9110" s="0" t="n">
        <v>107</v>
      </c>
      <c r="I9110" s="0" t="s">
        <v>30418</v>
      </c>
      <c r="J9110" s="0" t="s">
        <v>30419</v>
      </c>
      <c r="K9110" s="0" t="s">
        <v>30420</v>
      </c>
      <c r="L9110" s="0" t="str">
        <f aca="false">HYPERLINK("https://www.ncbi.nlm.nih.gov/nuccore/CP000304.1?report=graph&amp;tracks=[key:gene_model_track,Options:GeneOnly]&amp;mk=2596636:2596655|offset_0|444444,2596656:2596675|offset_20|444444,2596682:2596701|offset_46|444444,2596743:2596762|offset_107|00cc00&amp;v=2596435:2596962&amp;c=444444", "offset 107")</f>
        <v>offset 107</v>
      </c>
    </row>
    <row r="9111" customFormat="false" ht="12.8" hidden="false" customHeight="false" outlineLevel="0" collapsed="false">
      <c r="A9111" s="0" t="s">
        <v>12</v>
      </c>
      <c r="B9111" s="0" t="n">
        <v>2597257</v>
      </c>
      <c r="C9111" s="0" t="n">
        <v>2597277</v>
      </c>
      <c r="D9111" s="0" t="s">
        <v>30421</v>
      </c>
      <c r="E9111" s="0" t="s">
        <v>89</v>
      </c>
      <c r="F9111" s="0" t="s">
        <v>15</v>
      </c>
      <c r="G9111" s="0" t="s">
        <v>16</v>
      </c>
      <c r="H9111" s="0" t="n">
        <v>0</v>
      </c>
      <c r="I9111" s="0" t="s">
        <v>30422</v>
      </c>
      <c r="J9111" s="0" t="s">
        <v>30423</v>
      </c>
      <c r="K9111" s="0" t="s">
        <v>30424</v>
      </c>
      <c r="L9111" s="0" t="str">
        <f aca="false">HYPERLINK("https://www.ncbi.nlm.nih.gov/nuccore/CP000304.1?report=graph&amp;tracks=[key:gene_model_track,Options:GeneOnly]&amp;mk=2597258:2597277|offset_0|00cc00,2597312:2597331|offset_54|444444,2597349:2597368|offset_91|444444,2597376:2597395|offset_118|444444&amp;v=2597057:2597595&amp;c=444444", "offset 0")</f>
        <v>offset 0</v>
      </c>
    </row>
    <row r="9112" customFormat="false" ht="12.8" hidden="false" customHeight="false" outlineLevel="0" collapsed="false">
      <c r="A9112" s="0" t="s">
        <v>12</v>
      </c>
      <c r="B9112" s="0" t="n">
        <v>2597311</v>
      </c>
      <c r="C9112" s="0" t="n">
        <v>2597331</v>
      </c>
      <c r="D9112" s="0" t="s">
        <v>30421</v>
      </c>
      <c r="E9112" s="0" t="s">
        <v>89</v>
      </c>
      <c r="F9112" s="0" t="s">
        <v>15</v>
      </c>
      <c r="G9112" s="0" t="s">
        <v>36</v>
      </c>
      <c r="H9112" s="0" t="n">
        <v>54</v>
      </c>
      <c r="I9112" s="0" t="s">
        <v>30425</v>
      </c>
      <c r="J9112" s="0" t="s">
        <v>30426</v>
      </c>
      <c r="K9112" s="0" t="s">
        <v>30427</v>
      </c>
      <c r="L9112" s="0" t="str">
        <f aca="false">HYPERLINK("https://www.ncbi.nlm.nih.gov/nuccore/CP000304.1?report=graph&amp;tracks=[key:gene_model_track,Options:GeneOnly]&amp;mk=2597258:2597277|offset_0|444444,2597312:2597331|offset_54|00cc00,2597349:2597368|offset_91|444444,2597376:2597395|offset_118|444444&amp;v=2597057:2597595&amp;c=444444", "offset 54")</f>
        <v>offset 54</v>
      </c>
    </row>
    <row r="9113" customFormat="false" ht="12.8" hidden="false" customHeight="false" outlineLevel="0" collapsed="false">
      <c r="A9113" s="0" t="s">
        <v>12</v>
      </c>
      <c r="B9113" s="0" t="n">
        <v>2597348</v>
      </c>
      <c r="C9113" s="0" t="n">
        <v>2597368</v>
      </c>
      <c r="D9113" s="0" t="s">
        <v>30421</v>
      </c>
      <c r="E9113" s="0" t="s">
        <v>89</v>
      </c>
      <c r="F9113" s="0" t="s">
        <v>15</v>
      </c>
      <c r="G9113" s="0" t="s">
        <v>16</v>
      </c>
      <c r="H9113" s="0" t="n">
        <v>91</v>
      </c>
      <c r="I9113" s="0" t="s">
        <v>30428</v>
      </c>
      <c r="J9113" s="0" t="s">
        <v>30429</v>
      </c>
      <c r="K9113" s="0" t="s">
        <v>30430</v>
      </c>
      <c r="L9113" s="0" t="str">
        <f aca="false">HYPERLINK("https://www.ncbi.nlm.nih.gov/nuccore/CP000304.1?report=graph&amp;tracks=[key:gene_model_track,Options:GeneOnly]&amp;mk=2597258:2597277|offset_0|444444,2597312:2597331|offset_54|444444,2597349:2597368|offset_91|00cc00,2597376:2597395|offset_118|444444&amp;v=2597057:2597595&amp;c=444444", "offset 91")</f>
        <v>offset 91</v>
      </c>
    </row>
    <row r="9114" customFormat="false" ht="12.8" hidden="false" customHeight="false" outlineLevel="0" collapsed="false">
      <c r="A9114" s="0" t="s">
        <v>12</v>
      </c>
      <c r="B9114" s="0" t="n">
        <v>2597375</v>
      </c>
      <c r="C9114" s="0" t="n">
        <v>2597395</v>
      </c>
      <c r="D9114" s="0" t="s">
        <v>30421</v>
      </c>
      <c r="E9114" s="0" t="s">
        <v>89</v>
      </c>
      <c r="F9114" s="0" t="s">
        <v>15</v>
      </c>
      <c r="G9114" s="0" t="s">
        <v>26</v>
      </c>
      <c r="H9114" s="0" t="n">
        <v>118</v>
      </c>
      <c r="I9114" s="0" t="s">
        <v>30431</v>
      </c>
      <c r="J9114" s="0" t="s">
        <v>30432</v>
      </c>
      <c r="K9114" s="0" t="s">
        <v>30433</v>
      </c>
      <c r="L9114" s="0" t="str">
        <f aca="false">HYPERLINK("https://www.ncbi.nlm.nih.gov/nuccore/CP000304.1?report=graph&amp;tracks=[key:gene_model_track,Options:GeneOnly]&amp;mk=2597258:2597277|offset_0|444444,2597312:2597331|offset_54|444444,2597349:2597368|offset_91|444444,2597376:2597395|offset_118|00cc00&amp;v=2597057:2597595&amp;c=444444", "offset 118")</f>
        <v>offset 118</v>
      </c>
    </row>
    <row r="9115" customFormat="false" ht="12.8" hidden="false" customHeight="false" outlineLevel="0" collapsed="false">
      <c r="A9115" s="0" t="s">
        <v>12</v>
      </c>
      <c r="B9115" s="0" t="n">
        <v>2598086</v>
      </c>
      <c r="C9115" s="0" t="n">
        <v>2598106</v>
      </c>
      <c r="D9115" s="0" t="s">
        <v>30434</v>
      </c>
      <c r="E9115" s="0" t="s">
        <v>89</v>
      </c>
      <c r="F9115" s="0" t="s">
        <v>90</v>
      </c>
      <c r="G9115" s="0" t="s">
        <v>32</v>
      </c>
      <c r="H9115" s="0" t="n">
        <v>11</v>
      </c>
      <c r="I9115" s="0" t="s">
        <v>30435</v>
      </c>
      <c r="J9115" s="0" t="s">
        <v>30436</v>
      </c>
      <c r="K9115" s="0" t="s">
        <v>30437</v>
      </c>
      <c r="L9115" s="0" t="str">
        <f aca="false">HYPERLINK("https://www.ncbi.nlm.nih.gov/nuccore/CP000304.1?report=graph&amp;tracks=[key:gene_model_track,Options:GeneOnly]&amp;mk=2598087:2598106|offset_11|00cc00,2598041:2598060|offset_57|444444,2598000:2598019|offset_98|444444,2597966:2597985|offset_132|444444&amp;v=2597886:2598185&amp;c=444444", "offset 11")</f>
        <v>offset 11</v>
      </c>
    </row>
    <row r="9116" customFormat="false" ht="12.8" hidden="false" customHeight="false" outlineLevel="0" collapsed="false">
      <c r="A9116" s="0" t="s">
        <v>12</v>
      </c>
      <c r="B9116" s="0" t="n">
        <v>2598040</v>
      </c>
      <c r="C9116" s="0" t="n">
        <v>2598060</v>
      </c>
      <c r="D9116" s="0" t="s">
        <v>30434</v>
      </c>
      <c r="E9116" s="0" t="s">
        <v>89</v>
      </c>
      <c r="F9116" s="0" t="s">
        <v>90</v>
      </c>
      <c r="G9116" s="0" t="s">
        <v>32</v>
      </c>
      <c r="H9116" s="0" t="n">
        <v>57</v>
      </c>
      <c r="I9116" s="0" t="s">
        <v>30438</v>
      </c>
      <c r="J9116" s="0" t="s">
        <v>30439</v>
      </c>
      <c r="K9116" s="0" t="s">
        <v>30440</v>
      </c>
      <c r="L9116" s="0" t="str">
        <f aca="false">HYPERLINK("https://www.ncbi.nlm.nih.gov/nuccore/CP000304.1?report=graph&amp;tracks=[key:gene_model_track,Options:GeneOnly]&amp;mk=2598087:2598106|offset_11|444444,2598041:2598060|offset_57|00cc00,2598000:2598019|offset_98|444444,2597966:2597985|offset_132|444444&amp;v=2597886:2598185&amp;c=444444", "offset 57")</f>
        <v>offset 57</v>
      </c>
    </row>
    <row r="9117" customFormat="false" ht="12.8" hidden="false" customHeight="false" outlineLevel="0" collapsed="false">
      <c r="A9117" s="0" t="s">
        <v>12</v>
      </c>
      <c r="B9117" s="0" t="n">
        <v>2597999</v>
      </c>
      <c r="C9117" s="0" t="n">
        <v>2598019</v>
      </c>
      <c r="D9117" s="0" t="s">
        <v>30434</v>
      </c>
      <c r="E9117" s="0" t="s">
        <v>89</v>
      </c>
      <c r="F9117" s="0" t="s">
        <v>90</v>
      </c>
      <c r="G9117" s="0" t="s">
        <v>32</v>
      </c>
      <c r="H9117" s="0" t="n">
        <v>98</v>
      </c>
      <c r="I9117" s="0" t="s">
        <v>30441</v>
      </c>
      <c r="J9117" s="0" t="s">
        <v>30442</v>
      </c>
      <c r="K9117" s="0" t="s">
        <v>30443</v>
      </c>
      <c r="L9117" s="0" t="str">
        <f aca="false">HYPERLINK("https://www.ncbi.nlm.nih.gov/nuccore/CP000304.1?report=graph&amp;tracks=[key:gene_model_track,Options:GeneOnly]&amp;mk=2598087:2598106|offset_11|444444,2598041:2598060|offset_57|444444,2598000:2598019|offset_98|00cc00,2597966:2597985|offset_132|444444&amp;v=2597886:2598185&amp;c=444444", "offset 98")</f>
        <v>offset 98</v>
      </c>
    </row>
    <row r="9118" customFormat="false" ht="12.8" hidden="false" customHeight="false" outlineLevel="0" collapsed="false">
      <c r="A9118" s="0" t="s">
        <v>12</v>
      </c>
      <c r="B9118" s="0" t="n">
        <v>2597965</v>
      </c>
      <c r="C9118" s="0" t="n">
        <v>2597985</v>
      </c>
      <c r="D9118" s="0" t="s">
        <v>30434</v>
      </c>
      <c r="E9118" s="0" t="s">
        <v>89</v>
      </c>
      <c r="F9118" s="0" t="s">
        <v>90</v>
      </c>
      <c r="G9118" s="0" t="s">
        <v>16</v>
      </c>
      <c r="H9118" s="0" t="n">
        <v>132</v>
      </c>
      <c r="I9118" s="0" t="s">
        <v>30444</v>
      </c>
      <c r="J9118" s="0" t="s">
        <v>30445</v>
      </c>
      <c r="K9118" s="0" t="s">
        <v>30446</v>
      </c>
      <c r="L9118" s="0" t="str">
        <f aca="false">HYPERLINK("https://www.ncbi.nlm.nih.gov/nuccore/CP000304.1?report=graph&amp;tracks=[key:gene_model_track,Options:GeneOnly]&amp;mk=2598087:2598106|offset_11|444444,2598041:2598060|offset_57|444444,2598000:2598019|offset_98|444444,2597966:2597985|offset_132|00cc00&amp;v=2597886:2598185&amp;c=444444", "offset 132")</f>
        <v>offset 132</v>
      </c>
    </row>
    <row r="9119" customFormat="false" ht="12.8" hidden="false" customHeight="false" outlineLevel="0" collapsed="false">
      <c r="A9119" s="0" t="s">
        <v>12</v>
      </c>
      <c r="B9119" s="0" t="n">
        <v>2598493</v>
      </c>
      <c r="C9119" s="0" t="n">
        <v>2598513</v>
      </c>
      <c r="D9119" s="0" t="s">
        <v>30447</v>
      </c>
      <c r="E9119" s="0" t="s">
        <v>89</v>
      </c>
      <c r="F9119" s="0" t="s">
        <v>15</v>
      </c>
      <c r="G9119" s="0" t="s">
        <v>36</v>
      </c>
      <c r="H9119" s="0" t="n">
        <v>13</v>
      </c>
      <c r="I9119" s="0" t="s">
        <v>30448</v>
      </c>
      <c r="J9119" s="0" t="s">
        <v>30449</v>
      </c>
      <c r="K9119" s="0" t="s">
        <v>30450</v>
      </c>
      <c r="L9119" s="0" t="str">
        <f aca="false">HYPERLINK("https://www.ncbi.nlm.nih.gov/nuccore/CP000304.1?report=graph&amp;tracks=[key:gene_model_track,Options:GeneOnly]&amp;mk=2598494:2598513|offset_13|00cc00,2598515:2598534|offset_34|444444,2598546:2598565|offset_65|444444,2598566:2598585|offset_85|444444&amp;v=2598293:2598785&amp;c=444444", "offset 13")</f>
        <v>offset 13</v>
      </c>
    </row>
    <row r="9120" customFormat="false" ht="12.8" hidden="false" customHeight="false" outlineLevel="0" collapsed="false">
      <c r="A9120" s="0" t="s">
        <v>12</v>
      </c>
      <c r="B9120" s="0" t="n">
        <v>2598514</v>
      </c>
      <c r="C9120" s="0" t="n">
        <v>2598534</v>
      </c>
      <c r="D9120" s="0" t="s">
        <v>30447</v>
      </c>
      <c r="E9120" s="0" t="s">
        <v>89</v>
      </c>
      <c r="F9120" s="0" t="s">
        <v>15</v>
      </c>
      <c r="G9120" s="0" t="s">
        <v>36</v>
      </c>
      <c r="H9120" s="0" t="n">
        <v>34</v>
      </c>
      <c r="I9120" s="0" t="s">
        <v>30451</v>
      </c>
      <c r="J9120" s="0" t="s">
        <v>30452</v>
      </c>
      <c r="K9120" s="0" t="s">
        <v>30453</v>
      </c>
      <c r="L9120" s="0" t="str">
        <f aca="false">HYPERLINK("https://www.ncbi.nlm.nih.gov/nuccore/CP000304.1?report=graph&amp;tracks=[key:gene_model_track,Options:GeneOnly]&amp;mk=2598494:2598513|offset_13|444444,2598515:2598534|offset_34|00cc00,2598546:2598565|offset_65|444444,2598566:2598585|offset_85|444444&amp;v=2598293:2598785&amp;c=444444", "offset 34")</f>
        <v>offset 34</v>
      </c>
    </row>
    <row r="9121" customFormat="false" ht="12.8" hidden="false" customHeight="false" outlineLevel="0" collapsed="false">
      <c r="A9121" s="0" t="s">
        <v>12</v>
      </c>
      <c r="B9121" s="0" t="n">
        <v>2598545</v>
      </c>
      <c r="C9121" s="0" t="n">
        <v>2598565</v>
      </c>
      <c r="D9121" s="0" t="s">
        <v>30447</v>
      </c>
      <c r="E9121" s="0" t="s">
        <v>89</v>
      </c>
      <c r="F9121" s="0" t="s">
        <v>15</v>
      </c>
      <c r="G9121" s="0" t="s">
        <v>36</v>
      </c>
      <c r="H9121" s="0" t="n">
        <v>65</v>
      </c>
      <c r="I9121" s="0" t="s">
        <v>30454</v>
      </c>
      <c r="J9121" s="0" t="s">
        <v>30455</v>
      </c>
      <c r="K9121" s="0" t="s">
        <v>30456</v>
      </c>
      <c r="L9121" s="0" t="str">
        <f aca="false">HYPERLINK("https://www.ncbi.nlm.nih.gov/nuccore/CP000304.1?report=graph&amp;tracks=[key:gene_model_track,Options:GeneOnly]&amp;mk=2598494:2598513|offset_13|444444,2598515:2598534|offset_34|444444,2598546:2598565|offset_65|00cc00,2598566:2598585|offset_85|444444&amp;v=2598293:2598785&amp;c=444444", "offset 65")</f>
        <v>offset 65</v>
      </c>
    </row>
    <row r="9122" customFormat="false" ht="12.8" hidden="false" customHeight="false" outlineLevel="0" collapsed="false">
      <c r="A9122" s="0" t="s">
        <v>12</v>
      </c>
      <c r="B9122" s="0" t="n">
        <v>2598565</v>
      </c>
      <c r="C9122" s="0" t="n">
        <v>2598585</v>
      </c>
      <c r="D9122" s="0" t="s">
        <v>30447</v>
      </c>
      <c r="E9122" s="0" t="s">
        <v>89</v>
      </c>
      <c r="F9122" s="0" t="s">
        <v>15</v>
      </c>
      <c r="G9122" s="0" t="s">
        <v>26</v>
      </c>
      <c r="H9122" s="0" t="n">
        <v>85</v>
      </c>
      <c r="I9122" s="0" t="s">
        <v>30457</v>
      </c>
      <c r="J9122" s="0" t="s">
        <v>30458</v>
      </c>
      <c r="K9122" s="0" t="s">
        <v>30459</v>
      </c>
      <c r="L9122" s="0" t="str">
        <f aca="false">HYPERLINK("https://www.ncbi.nlm.nih.gov/nuccore/CP000304.1?report=graph&amp;tracks=[key:gene_model_track,Options:GeneOnly]&amp;mk=2598494:2598513|offset_13|444444,2598515:2598534|offset_34|444444,2598546:2598565|offset_65|444444,2598566:2598585|offset_85|00cc00&amp;v=2598293:2598785&amp;c=444444", "offset 85")</f>
        <v>offset 85</v>
      </c>
    </row>
    <row r="9123" customFormat="false" ht="12.8" hidden="false" customHeight="false" outlineLevel="0" collapsed="false">
      <c r="A9123" s="0" t="s">
        <v>12</v>
      </c>
      <c r="B9123" s="0" t="n">
        <v>2600009</v>
      </c>
      <c r="C9123" s="0" t="n">
        <v>2600029</v>
      </c>
      <c r="D9123" s="0" t="s">
        <v>30460</v>
      </c>
      <c r="E9123" s="0" t="s">
        <v>89</v>
      </c>
      <c r="F9123" s="0" t="s">
        <v>15</v>
      </c>
      <c r="G9123" s="0" t="s">
        <v>16</v>
      </c>
      <c r="H9123" s="0" t="n">
        <v>10</v>
      </c>
      <c r="I9123" s="0" t="s">
        <v>30461</v>
      </c>
      <c r="J9123" s="0" t="s">
        <v>30462</v>
      </c>
      <c r="K9123" s="0" t="s">
        <v>30463</v>
      </c>
      <c r="L9123" s="0" t="str">
        <f aca="false">HYPERLINK("https://www.ncbi.nlm.nih.gov/nuccore/CP000304.1?report=graph&amp;tracks=[key:gene_model_track,Options:GeneOnly]&amp;mk=2600010:2600029|offset_10|00cc00,2600040:2600059|offset_40|444444,2600070:2600089|offset_70|444444,2600094:2600113|offset_94|444444&amp;v=2599809:2600313&amp;c=444444", "offset 10")</f>
        <v>offset 10</v>
      </c>
    </row>
    <row r="9124" customFormat="false" ht="12.8" hidden="false" customHeight="false" outlineLevel="0" collapsed="false">
      <c r="A9124" s="0" t="s">
        <v>12</v>
      </c>
      <c r="B9124" s="0" t="n">
        <v>2600039</v>
      </c>
      <c r="C9124" s="0" t="n">
        <v>2600059</v>
      </c>
      <c r="D9124" s="0" t="s">
        <v>30460</v>
      </c>
      <c r="E9124" s="0" t="s">
        <v>89</v>
      </c>
      <c r="F9124" s="0" t="s">
        <v>15</v>
      </c>
      <c r="G9124" s="0" t="s">
        <v>36</v>
      </c>
      <c r="H9124" s="0" t="n">
        <v>40</v>
      </c>
      <c r="I9124" s="0" t="s">
        <v>30464</v>
      </c>
      <c r="J9124" s="0" t="s">
        <v>30465</v>
      </c>
      <c r="K9124" s="0" t="s">
        <v>30466</v>
      </c>
      <c r="L9124" s="0" t="str">
        <f aca="false">HYPERLINK("https://www.ncbi.nlm.nih.gov/nuccore/CP000304.1?report=graph&amp;tracks=[key:gene_model_track,Options:GeneOnly]&amp;mk=2600010:2600029|offset_10|444444,2600040:2600059|offset_40|00cc00,2600070:2600089|offset_70|444444,2600094:2600113|offset_94|444444&amp;v=2599809:2600313&amp;c=444444", "offset 40")</f>
        <v>offset 40</v>
      </c>
    </row>
    <row r="9125" customFormat="false" ht="12.8" hidden="false" customHeight="false" outlineLevel="0" collapsed="false">
      <c r="A9125" s="0" t="s">
        <v>12</v>
      </c>
      <c r="B9125" s="0" t="n">
        <v>2600069</v>
      </c>
      <c r="C9125" s="0" t="n">
        <v>2600089</v>
      </c>
      <c r="D9125" s="0" t="s">
        <v>30460</v>
      </c>
      <c r="E9125" s="0" t="s">
        <v>89</v>
      </c>
      <c r="F9125" s="0" t="s">
        <v>15</v>
      </c>
      <c r="G9125" s="0" t="s">
        <v>36</v>
      </c>
      <c r="H9125" s="0" t="n">
        <v>70</v>
      </c>
      <c r="I9125" s="0" t="s">
        <v>30467</v>
      </c>
      <c r="J9125" s="0" t="s">
        <v>30468</v>
      </c>
      <c r="K9125" s="0" t="s">
        <v>30469</v>
      </c>
      <c r="L9125" s="0" t="str">
        <f aca="false">HYPERLINK("https://www.ncbi.nlm.nih.gov/nuccore/CP000304.1?report=graph&amp;tracks=[key:gene_model_track,Options:GeneOnly]&amp;mk=2600010:2600029|offset_10|444444,2600040:2600059|offset_40|444444,2600070:2600089|offset_70|00cc00,2600094:2600113|offset_94|444444&amp;v=2599809:2600313&amp;c=444444", "offset 70")</f>
        <v>offset 70</v>
      </c>
    </row>
    <row r="9126" customFormat="false" ht="12.8" hidden="false" customHeight="false" outlineLevel="0" collapsed="false">
      <c r="A9126" s="0" t="s">
        <v>12</v>
      </c>
      <c r="B9126" s="0" t="n">
        <v>2600093</v>
      </c>
      <c r="C9126" s="0" t="n">
        <v>2600113</v>
      </c>
      <c r="D9126" s="0" t="s">
        <v>30460</v>
      </c>
      <c r="E9126" s="0" t="s">
        <v>89</v>
      </c>
      <c r="F9126" s="0" t="s">
        <v>15</v>
      </c>
      <c r="G9126" s="0" t="s">
        <v>36</v>
      </c>
      <c r="H9126" s="0" t="n">
        <v>94</v>
      </c>
      <c r="I9126" s="0" t="s">
        <v>30470</v>
      </c>
      <c r="J9126" s="0" t="s">
        <v>30471</v>
      </c>
      <c r="K9126" s="0" t="s">
        <v>30472</v>
      </c>
      <c r="L9126" s="0" t="str">
        <f aca="false">HYPERLINK("https://www.ncbi.nlm.nih.gov/nuccore/CP000304.1?report=graph&amp;tracks=[key:gene_model_track,Options:GeneOnly]&amp;mk=2600010:2600029|offset_10|444444,2600040:2600059|offset_40|444444,2600070:2600089|offset_70|444444,2600094:2600113|offset_94|00cc00&amp;v=2599809:2600313&amp;c=444444", "offset 94")</f>
        <v>offset 94</v>
      </c>
    </row>
    <row r="9127" customFormat="false" ht="12.8" hidden="false" customHeight="false" outlineLevel="0" collapsed="false">
      <c r="A9127" s="0" t="s">
        <v>12</v>
      </c>
      <c r="B9127" s="0" t="n">
        <v>2600430</v>
      </c>
      <c r="C9127" s="0" t="n">
        <v>2600450</v>
      </c>
      <c r="D9127" s="0" t="s">
        <v>30473</v>
      </c>
      <c r="E9127" s="0" t="s">
        <v>89</v>
      </c>
      <c r="F9127" s="0" t="s">
        <v>15</v>
      </c>
      <c r="G9127" s="0" t="s">
        <v>36</v>
      </c>
      <c r="H9127" s="0" t="n">
        <v>15</v>
      </c>
      <c r="I9127" s="0" t="s">
        <v>30474</v>
      </c>
      <c r="J9127" s="0" t="s">
        <v>30475</v>
      </c>
      <c r="K9127" s="0" t="s">
        <v>30476</v>
      </c>
      <c r="L9127" s="0" t="str">
        <f aca="false">HYPERLINK("https://www.ncbi.nlm.nih.gov/nuccore/CP000304.1?report=graph&amp;tracks=[key:gene_model_track,Options:GeneOnly]&amp;mk=2600431:2600450|offset_15|00cc00,2600452:2600471|offset_36|444444,2600487:2600506|offset_71|444444,2600540:2600559|offset_124|444444&amp;v=2600230:2600759&amp;c=444444", "offset 15")</f>
        <v>offset 15</v>
      </c>
    </row>
    <row r="9128" customFormat="false" ht="12.8" hidden="false" customHeight="false" outlineLevel="0" collapsed="false">
      <c r="A9128" s="0" t="s">
        <v>12</v>
      </c>
      <c r="B9128" s="0" t="n">
        <v>2600451</v>
      </c>
      <c r="C9128" s="0" t="n">
        <v>2600471</v>
      </c>
      <c r="D9128" s="0" t="s">
        <v>30473</v>
      </c>
      <c r="E9128" s="0" t="s">
        <v>89</v>
      </c>
      <c r="F9128" s="0" t="s">
        <v>15</v>
      </c>
      <c r="G9128" s="0" t="s">
        <v>16</v>
      </c>
      <c r="H9128" s="0" t="n">
        <v>36</v>
      </c>
      <c r="I9128" s="0" t="s">
        <v>30477</v>
      </c>
      <c r="J9128" s="0" t="s">
        <v>30478</v>
      </c>
      <c r="K9128" s="0" t="s">
        <v>30479</v>
      </c>
      <c r="L9128" s="0" t="str">
        <f aca="false">HYPERLINK("https://www.ncbi.nlm.nih.gov/nuccore/CP000304.1?report=graph&amp;tracks=[key:gene_model_track,Options:GeneOnly]&amp;mk=2600431:2600450|offset_15|444444,2600452:2600471|offset_36|00cc00,2600487:2600506|offset_71|444444,2600540:2600559|offset_124|444444&amp;v=2600230:2600759&amp;c=444444", "offset 36")</f>
        <v>offset 36</v>
      </c>
    </row>
    <row r="9129" customFormat="false" ht="12.8" hidden="false" customHeight="false" outlineLevel="0" collapsed="false">
      <c r="A9129" s="0" t="s">
        <v>12</v>
      </c>
      <c r="B9129" s="0" t="n">
        <v>2600486</v>
      </c>
      <c r="C9129" s="0" t="n">
        <v>2600506</v>
      </c>
      <c r="D9129" s="0" t="s">
        <v>30473</v>
      </c>
      <c r="E9129" s="0" t="s">
        <v>89</v>
      </c>
      <c r="F9129" s="0" t="s">
        <v>15</v>
      </c>
      <c r="G9129" s="0" t="s">
        <v>26</v>
      </c>
      <c r="H9129" s="0" t="n">
        <v>71</v>
      </c>
      <c r="I9129" s="0" t="s">
        <v>30480</v>
      </c>
      <c r="J9129" s="0" t="s">
        <v>30481</v>
      </c>
      <c r="K9129" s="0" t="s">
        <v>30482</v>
      </c>
      <c r="L9129" s="0" t="str">
        <f aca="false">HYPERLINK("https://www.ncbi.nlm.nih.gov/nuccore/CP000304.1?report=graph&amp;tracks=[key:gene_model_track,Options:GeneOnly]&amp;mk=2600431:2600450|offset_15|444444,2600452:2600471|offset_36|444444,2600487:2600506|offset_71|00cc00,2600540:2600559|offset_124|444444&amp;v=2600230:2600759&amp;c=444444", "offset 71")</f>
        <v>offset 71</v>
      </c>
    </row>
    <row r="9130" customFormat="false" ht="12.8" hidden="false" customHeight="false" outlineLevel="0" collapsed="false">
      <c r="A9130" s="0" t="s">
        <v>12</v>
      </c>
      <c r="B9130" s="0" t="n">
        <v>2600539</v>
      </c>
      <c r="C9130" s="0" t="n">
        <v>2600559</v>
      </c>
      <c r="D9130" s="0" t="s">
        <v>30473</v>
      </c>
      <c r="E9130" s="0" t="s">
        <v>89</v>
      </c>
      <c r="F9130" s="0" t="s">
        <v>15</v>
      </c>
      <c r="G9130" s="0" t="s">
        <v>36</v>
      </c>
      <c r="H9130" s="0" t="n">
        <v>124</v>
      </c>
      <c r="I9130" s="0" t="s">
        <v>30483</v>
      </c>
      <c r="J9130" s="0" t="s">
        <v>30484</v>
      </c>
      <c r="K9130" s="0" t="s">
        <v>30485</v>
      </c>
      <c r="L9130" s="0" t="str">
        <f aca="false">HYPERLINK("https://www.ncbi.nlm.nih.gov/nuccore/CP000304.1?report=graph&amp;tracks=[key:gene_model_track,Options:GeneOnly]&amp;mk=2600431:2600450|offset_15|444444,2600452:2600471|offset_36|444444,2600487:2600506|offset_71|444444,2600540:2600559|offset_124|00cc00&amp;v=2600230:2600759&amp;c=444444", "offset 124")</f>
        <v>offset 124</v>
      </c>
    </row>
    <row r="9131" customFormat="false" ht="12.8" hidden="false" customHeight="false" outlineLevel="0" collapsed="false">
      <c r="A9131" s="0" t="s">
        <v>12</v>
      </c>
      <c r="B9131" s="0" t="n">
        <v>2600804</v>
      </c>
      <c r="C9131" s="0" t="n">
        <v>2600824</v>
      </c>
      <c r="D9131" s="0" t="s">
        <v>30486</v>
      </c>
      <c r="E9131" s="0" t="s">
        <v>89</v>
      </c>
      <c r="F9131" s="0" t="s">
        <v>15</v>
      </c>
      <c r="G9131" s="0" t="s">
        <v>36</v>
      </c>
      <c r="H9131" s="0" t="n">
        <v>12</v>
      </c>
      <c r="I9131" s="0" t="s">
        <v>30487</v>
      </c>
      <c r="J9131" s="0" t="s">
        <v>30488</v>
      </c>
      <c r="K9131" s="0" t="s">
        <v>30489</v>
      </c>
      <c r="L9131" s="0" t="str">
        <f aca="false">HYPERLINK("https://www.ncbi.nlm.nih.gov/nuccore/CP000304.1?report=graph&amp;tracks=[key:gene_model_track,Options:GeneOnly]&amp;mk=2600805:2600824|offset_12|00cc00,2600843:2600862|offset_50|444444,2600873:2600892|offset_80|444444,2600898:2600917|offset_105|444444&amp;v=2600604:2601117&amp;c=444444", "offset 12")</f>
        <v>offset 12</v>
      </c>
    </row>
    <row r="9132" customFormat="false" ht="12.8" hidden="false" customHeight="false" outlineLevel="0" collapsed="false">
      <c r="A9132" s="0" t="s">
        <v>12</v>
      </c>
      <c r="B9132" s="0" t="n">
        <v>2600842</v>
      </c>
      <c r="C9132" s="0" t="n">
        <v>2600862</v>
      </c>
      <c r="D9132" s="0" t="s">
        <v>30486</v>
      </c>
      <c r="E9132" s="0" t="s">
        <v>89</v>
      </c>
      <c r="F9132" s="0" t="s">
        <v>15</v>
      </c>
      <c r="G9132" s="0" t="s">
        <v>26</v>
      </c>
      <c r="H9132" s="0" t="n">
        <v>50</v>
      </c>
      <c r="I9132" s="0" t="s">
        <v>30490</v>
      </c>
      <c r="J9132" s="0" t="s">
        <v>30491</v>
      </c>
      <c r="K9132" s="0" t="s">
        <v>30492</v>
      </c>
      <c r="L9132" s="0" t="str">
        <f aca="false">HYPERLINK("https://www.ncbi.nlm.nih.gov/nuccore/CP000304.1?report=graph&amp;tracks=[key:gene_model_track,Options:GeneOnly]&amp;mk=2600805:2600824|offset_12|444444,2600843:2600862|offset_50|00cc00,2600873:2600892|offset_80|444444,2600898:2600917|offset_105|444444&amp;v=2600604:2601117&amp;c=444444", "offset 50")</f>
        <v>offset 50</v>
      </c>
    </row>
    <row r="9133" customFormat="false" ht="12.8" hidden="false" customHeight="false" outlineLevel="0" collapsed="false">
      <c r="A9133" s="0" t="s">
        <v>12</v>
      </c>
      <c r="B9133" s="0" t="n">
        <v>2600872</v>
      </c>
      <c r="C9133" s="0" t="n">
        <v>2600892</v>
      </c>
      <c r="D9133" s="0" t="s">
        <v>30486</v>
      </c>
      <c r="E9133" s="0" t="s">
        <v>89</v>
      </c>
      <c r="F9133" s="0" t="s">
        <v>15</v>
      </c>
      <c r="G9133" s="0" t="s">
        <v>32</v>
      </c>
      <c r="H9133" s="0" t="n">
        <v>80</v>
      </c>
      <c r="I9133" s="0" t="s">
        <v>30493</v>
      </c>
      <c r="J9133" s="0" t="s">
        <v>30494</v>
      </c>
      <c r="K9133" s="0" t="s">
        <v>30495</v>
      </c>
      <c r="L9133" s="0" t="str">
        <f aca="false">HYPERLINK("https://www.ncbi.nlm.nih.gov/nuccore/CP000304.1?report=graph&amp;tracks=[key:gene_model_track,Options:GeneOnly]&amp;mk=2600805:2600824|offset_12|444444,2600843:2600862|offset_50|444444,2600873:2600892|offset_80|00cc00,2600898:2600917|offset_105|444444&amp;v=2600604:2601117&amp;c=444444", "offset 80")</f>
        <v>offset 80</v>
      </c>
    </row>
    <row r="9134" customFormat="false" ht="12.8" hidden="false" customHeight="false" outlineLevel="0" collapsed="false">
      <c r="A9134" s="0" t="s">
        <v>12</v>
      </c>
      <c r="B9134" s="0" t="n">
        <v>2600897</v>
      </c>
      <c r="C9134" s="0" t="n">
        <v>2600917</v>
      </c>
      <c r="D9134" s="0" t="s">
        <v>30486</v>
      </c>
      <c r="E9134" s="0" t="s">
        <v>89</v>
      </c>
      <c r="F9134" s="0" t="s">
        <v>15</v>
      </c>
      <c r="G9134" s="0" t="s">
        <v>32</v>
      </c>
      <c r="H9134" s="0" t="n">
        <v>105</v>
      </c>
      <c r="I9134" s="0" t="s">
        <v>30496</v>
      </c>
      <c r="J9134" s="0" t="s">
        <v>30497</v>
      </c>
      <c r="K9134" s="0" t="s">
        <v>30498</v>
      </c>
      <c r="L9134" s="0" t="str">
        <f aca="false">HYPERLINK("https://www.ncbi.nlm.nih.gov/nuccore/CP000304.1?report=graph&amp;tracks=[key:gene_model_track,Options:GeneOnly]&amp;mk=2600805:2600824|offset_12|444444,2600843:2600862|offset_50|444444,2600873:2600892|offset_80|444444,2600898:2600917|offset_105|00cc00&amp;v=2600604:2601117&amp;c=444444", "offset 105")</f>
        <v>offset 105</v>
      </c>
    </row>
    <row r="9135" customFormat="false" ht="12.8" hidden="false" customHeight="false" outlineLevel="0" collapsed="false">
      <c r="A9135" s="0" t="s">
        <v>12</v>
      </c>
      <c r="B9135" s="0" t="n">
        <v>2601295</v>
      </c>
      <c r="C9135" s="0" t="n">
        <v>2601315</v>
      </c>
      <c r="D9135" s="0" t="s">
        <v>30499</v>
      </c>
      <c r="E9135" s="0" t="s">
        <v>89</v>
      </c>
      <c r="F9135" s="0" t="s">
        <v>15</v>
      </c>
      <c r="G9135" s="0" t="s">
        <v>36</v>
      </c>
      <c r="H9135" s="0" t="n">
        <v>25</v>
      </c>
      <c r="I9135" s="0" t="s">
        <v>30500</v>
      </c>
      <c r="J9135" s="0" t="s">
        <v>30501</v>
      </c>
      <c r="K9135" s="0" t="s">
        <v>30502</v>
      </c>
      <c r="L9135" s="0" t="str">
        <f aca="false">HYPERLINK("https://www.ncbi.nlm.nih.gov/nuccore/CP000304.1?report=graph&amp;tracks=[key:gene_model_track,Options:GeneOnly]&amp;mk=2601296:2601315|offset_25|00cc00,2601317:2601336|offset_46|444444,2601348:2601367|offset_77|444444,2601369:2601388|offset_98|444444&amp;v=2601095:2601588&amp;c=444444", "offset 25")</f>
        <v>offset 25</v>
      </c>
    </row>
    <row r="9136" customFormat="false" ht="12.8" hidden="false" customHeight="false" outlineLevel="0" collapsed="false">
      <c r="A9136" s="0" t="s">
        <v>12</v>
      </c>
      <c r="B9136" s="0" t="n">
        <v>2601316</v>
      </c>
      <c r="C9136" s="0" t="n">
        <v>2601336</v>
      </c>
      <c r="D9136" s="0" t="s">
        <v>30499</v>
      </c>
      <c r="E9136" s="0" t="s">
        <v>89</v>
      </c>
      <c r="F9136" s="0" t="s">
        <v>15</v>
      </c>
      <c r="G9136" s="0" t="s">
        <v>16</v>
      </c>
      <c r="H9136" s="0" t="n">
        <v>46</v>
      </c>
      <c r="I9136" s="0" t="s">
        <v>30503</v>
      </c>
      <c r="J9136" s="0" t="s">
        <v>30504</v>
      </c>
      <c r="K9136" s="0" t="s">
        <v>30505</v>
      </c>
      <c r="L9136" s="0" t="str">
        <f aca="false">HYPERLINK("https://www.ncbi.nlm.nih.gov/nuccore/CP000304.1?report=graph&amp;tracks=[key:gene_model_track,Options:GeneOnly]&amp;mk=2601296:2601315|offset_25|444444,2601317:2601336|offset_46|00cc00,2601348:2601367|offset_77|444444,2601369:2601388|offset_98|444444&amp;v=2601095:2601588&amp;c=444444", "offset 46")</f>
        <v>offset 46</v>
      </c>
    </row>
    <row r="9137" customFormat="false" ht="12.8" hidden="false" customHeight="false" outlineLevel="0" collapsed="false">
      <c r="A9137" s="0" t="s">
        <v>12</v>
      </c>
      <c r="B9137" s="0" t="n">
        <v>2601347</v>
      </c>
      <c r="C9137" s="0" t="n">
        <v>2601367</v>
      </c>
      <c r="D9137" s="0" t="s">
        <v>30499</v>
      </c>
      <c r="E9137" s="0" t="s">
        <v>89</v>
      </c>
      <c r="F9137" s="0" t="s">
        <v>15</v>
      </c>
      <c r="G9137" s="0" t="s">
        <v>36</v>
      </c>
      <c r="H9137" s="0" t="n">
        <v>77</v>
      </c>
      <c r="I9137" s="0" t="s">
        <v>30506</v>
      </c>
      <c r="J9137" s="0" t="s">
        <v>30507</v>
      </c>
      <c r="K9137" s="0" t="s">
        <v>30508</v>
      </c>
      <c r="L9137" s="0" t="str">
        <f aca="false">HYPERLINK("https://www.ncbi.nlm.nih.gov/nuccore/CP000304.1?report=graph&amp;tracks=[key:gene_model_track,Options:GeneOnly]&amp;mk=2601296:2601315|offset_25|444444,2601317:2601336|offset_46|444444,2601348:2601367|offset_77|00cc00,2601369:2601388|offset_98|444444&amp;v=2601095:2601588&amp;c=444444", "offset 77")</f>
        <v>offset 77</v>
      </c>
    </row>
    <row r="9138" customFormat="false" ht="12.8" hidden="false" customHeight="false" outlineLevel="0" collapsed="false">
      <c r="A9138" s="0" t="s">
        <v>12</v>
      </c>
      <c r="B9138" s="0" t="n">
        <v>2601368</v>
      </c>
      <c r="C9138" s="0" t="n">
        <v>2601388</v>
      </c>
      <c r="D9138" s="0" t="s">
        <v>30499</v>
      </c>
      <c r="E9138" s="0" t="s">
        <v>89</v>
      </c>
      <c r="F9138" s="0" t="s">
        <v>15</v>
      </c>
      <c r="G9138" s="0" t="s">
        <v>16</v>
      </c>
      <c r="H9138" s="0" t="n">
        <v>98</v>
      </c>
      <c r="I9138" s="0" t="s">
        <v>30509</v>
      </c>
      <c r="J9138" s="0" t="s">
        <v>30510</v>
      </c>
      <c r="K9138" s="0" t="s">
        <v>30511</v>
      </c>
      <c r="L9138" s="0" t="str">
        <f aca="false">HYPERLINK("https://www.ncbi.nlm.nih.gov/nuccore/CP000304.1?report=graph&amp;tracks=[key:gene_model_track,Options:GeneOnly]&amp;mk=2601296:2601315|offset_25|444444,2601317:2601336|offset_46|444444,2601348:2601367|offset_77|444444,2601369:2601388|offset_98|00cc00&amp;v=2601095:2601588&amp;c=444444", "offset 98")</f>
        <v>offset 98</v>
      </c>
    </row>
    <row r="9139" customFormat="false" ht="12.8" hidden="false" customHeight="false" outlineLevel="0" collapsed="false">
      <c r="A9139" s="0" t="s">
        <v>12</v>
      </c>
      <c r="B9139" s="0" t="n">
        <v>2602699</v>
      </c>
      <c r="C9139" s="0" t="n">
        <v>2602719</v>
      </c>
      <c r="D9139" s="0" t="s">
        <v>30512</v>
      </c>
      <c r="E9139" s="0" t="s">
        <v>89</v>
      </c>
      <c r="F9139" s="0" t="s">
        <v>15</v>
      </c>
      <c r="G9139" s="0" t="s">
        <v>16</v>
      </c>
      <c r="H9139" s="0" t="n">
        <v>30</v>
      </c>
      <c r="I9139" s="0" t="s">
        <v>30513</v>
      </c>
      <c r="J9139" s="0" t="s">
        <v>30514</v>
      </c>
      <c r="K9139" s="0" t="s">
        <v>30515</v>
      </c>
      <c r="L9139" s="0" t="str">
        <f aca="false">HYPERLINK("https://www.ncbi.nlm.nih.gov/nuccore/CP000304.1?report=graph&amp;tracks=[key:gene_model_track,Options:GeneOnly]&amp;mk=2602700:2602719|offset_30|00cc00,2602729:2602748|offset_59|444444,2602762:2602781|offset_92|444444,2602816:2602835|offset_146|444444&amp;v=2602499:2603035&amp;c=444444", "offset 30")</f>
        <v>offset 30</v>
      </c>
    </row>
    <row r="9140" customFormat="false" ht="12.8" hidden="false" customHeight="false" outlineLevel="0" collapsed="false">
      <c r="A9140" s="0" t="s">
        <v>12</v>
      </c>
      <c r="B9140" s="0" t="n">
        <v>2602728</v>
      </c>
      <c r="C9140" s="0" t="n">
        <v>2602748</v>
      </c>
      <c r="D9140" s="0" t="s">
        <v>30512</v>
      </c>
      <c r="E9140" s="0" t="s">
        <v>89</v>
      </c>
      <c r="F9140" s="0" t="s">
        <v>15</v>
      </c>
      <c r="G9140" s="0" t="s">
        <v>36</v>
      </c>
      <c r="H9140" s="0" t="n">
        <v>59</v>
      </c>
      <c r="I9140" s="0" t="s">
        <v>30516</v>
      </c>
      <c r="J9140" s="0" t="s">
        <v>30517</v>
      </c>
      <c r="K9140" s="0" t="s">
        <v>30518</v>
      </c>
      <c r="L9140" s="0" t="str">
        <f aca="false">HYPERLINK("https://www.ncbi.nlm.nih.gov/nuccore/CP000304.1?report=graph&amp;tracks=[key:gene_model_track,Options:GeneOnly]&amp;mk=2602700:2602719|offset_30|444444,2602729:2602748|offset_59|00cc00,2602762:2602781|offset_92|444444,2602816:2602835|offset_146|444444&amp;v=2602499:2603035&amp;c=444444", "offset 59")</f>
        <v>offset 59</v>
      </c>
    </row>
    <row r="9141" customFormat="false" ht="12.8" hidden="false" customHeight="false" outlineLevel="0" collapsed="false">
      <c r="A9141" s="0" t="s">
        <v>12</v>
      </c>
      <c r="B9141" s="0" t="n">
        <v>2602761</v>
      </c>
      <c r="C9141" s="0" t="n">
        <v>2602781</v>
      </c>
      <c r="D9141" s="0" t="s">
        <v>30512</v>
      </c>
      <c r="E9141" s="0" t="s">
        <v>89</v>
      </c>
      <c r="F9141" s="0" t="s">
        <v>15</v>
      </c>
      <c r="G9141" s="0" t="s">
        <v>32</v>
      </c>
      <c r="H9141" s="0" t="n">
        <v>92</v>
      </c>
      <c r="I9141" s="0" t="s">
        <v>30519</v>
      </c>
      <c r="J9141" s="0" t="s">
        <v>30520</v>
      </c>
      <c r="K9141" s="0" t="s">
        <v>30521</v>
      </c>
      <c r="L9141" s="0" t="str">
        <f aca="false">HYPERLINK("https://www.ncbi.nlm.nih.gov/nuccore/CP000304.1?report=graph&amp;tracks=[key:gene_model_track,Options:GeneOnly]&amp;mk=2602700:2602719|offset_30|444444,2602729:2602748|offset_59|444444,2602762:2602781|offset_92|00cc00,2602816:2602835|offset_146|444444&amp;v=2602499:2603035&amp;c=444444", "offset 92")</f>
        <v>offset 92</v>
      </c>
    </row>
    <row r="9142" customFormat="false" ht="12.8" hidden="false" customHeight="false" outlineLevel="0" collapsed="false">
      <c r="A9142" s="0" t="s">
        <v>12</v>
      </c>
      <c r="B9142" s="0" t="n">
        <v>2602815</v>
      </c>
      <c r="C9142" s="0" t="n">
        <v>2602835</v>
      </c>
      <c r="D9142" s="0" t="s">
        <v>30512</v>
      </c>
      <c r="E9142" s="0" t="s">
        <v>89</v>
      </c>
      <c r="F9142" s="0" t="s">
        <v>15</v>
      </c>
      <c r="G9142" s="0" t="s">
        <v>26</v>
      </c>
      <c r="H9142" s="0" t="n">
        <v>146</v>
      </c>
      <c r="I9142" s="0" t="s">
        <v>30522</v>
      </c>
      <c r="J9142" s="0" t="s">
        <v>30523</v>
      </c>
      <c r="K9142" s="0" t="s">
        <v>30524</v>
      </c>
      <c r="L9142" s="0" t="str">
        <f aca="false">HYPERLINK("https://www.ncbi.nlm.nih.gov/nuccore/CP000304.1?report=graph&amp;tracks=[key:gene_model_track,Options:GeneOnly]&amp;mk=2602700:2602719|offset_30|444444,2602729:2602748|offset_59|444444,2602762:2602781|offset_92|444444,2602816:2602835|offset_146|00cc00&amp;v=2602499:2603035&amp;c=444444", "offset 146")</f>
        <v>offset 146</v>
      </c>
    </row>
    <row r="9143" customFormat="false" ht="12.8" hidden="false" customHeight="false" outlineLevel="0" collapsed="false">
      <c r="A9143" s="0" t="s">
        <v>12</v>
      </c>
      <c r="B9143" s="0" t="n">
        <v>2604009</v>
      </c>
      <c r="C9143" s="0" t="n">
        <v>2604029</v>
      </c>
      <c r="D9143" s="0" t="s">
        <v>30525</v>
      </c>
      <c r="E9143" s="0" t="s">
        <v>89</v>
      </c>
      <c r="F9143" s="0" t="s">
        <v>90</v>
      </c>
      <c r="G9143" s="0" t="s">
        <v>32</v>
      </c>
      <c r="H9143" s="0" t="n">
        <v>0</v>
      </c>
      <c r="I9143" s="0" t="s">
        <v>30526</v>
      </c>
      <c r="J9143" s="0" t="s">
        <v>30527</v>
      </c>
      <c r="K9143" s="0" t="s">
        <v>30528</v>
      </c>
      <c r="L9143" s="0" t="str">
        <f aca="false">HYPERLINK("https://www.ncbi.nlm.nih.gov/nuccore/CP000304.1?report=graph&amp;tracks=[key:gene_model_track,Options:GeneOnly]&amp;mk=2604010:2604029|offset_0|00cc00,2603987:2604006|offset_23|444444,2603954:2603973|offset_56|444444,2603925:2603944|offset_85|444444&amp;v=2603809:2604144&amp;c=444444", "offset 0")</f>
        <v>offset 0</v>
      </c>
    </row>
    <row r="9144" customFormat="false" ht="12.8" hidden="false" customHeight="false" outlineLevel="0" collapsed="false">
      <c r="A9144" s="0" t="s">
        <v>12</v>
      </c>
      <c r="B9144" s="0" t="n">
        <v>2603986</v>
      </c>
      <c r="C9144" s="0" t="n">
        <v>2604006</v>
      </c>
      <c r="D9144" s="0" t="s">
        <v>30525</v>
      </c>
      <c r="E9144" s="0" t="s">
        <v>89</v>
      </c>
      <c r="F9144" s="0" t="s">
        <v>90</v>
      </c>
      <c r="G9144" s="0" t="s">
        <v>16</v>
      </c>
      <c r="H9144" s="0" t="n">
        <v>23</v>
      </c>
      <c r="I9144" s="0" t="s">
        <v>30529</v>
      </c>
      <c r="J9144" s="0" t="s">
        <v>30530</v>
      </c>
      <c r="K9144" s="0" t="s">
        <v>30531</v>
      </c>
      <c r="L9144" s="0" t="str">
        <f aca="false">HYPERLINK("https://www.ncbi.nlm.nih.gov/nuccore/CP000304.1?report=graph&amp;tracks=[key:gene_model_track,Options:GeneOnly]&amp;mk=2604010:2604029|offset_0|444444,2603987:2604006|offset_23|00cc00,2603954:2603973|offset_56|444444,2603925:2603944|offset_85|444444&amp;v=2603809:2604144&amp;c=444444", "offset 23")</f>
        <v>offset 23</v>
      </c>
    </row>
    <row r="9145" customFormat="false" ht="12.8" hidden="false" customHeight="false" outlineLevel="0" collapsed="false">
      <c r="A9145" s="0" t="s">
        <v>12</v>
      </c>
      <c r="B9145" s="0" t="n">
        <v>2603953</v>
      </c>
      <c r="C9145" s="0" t="n">
        <v>2603973</v>
      </c>
      <c r="D9145" s="0" t="s">
        <v>30525</v>
      </c>
      <c r="E9145" s="0" t="s">
        <v>89</v>
      </c>
      <c r="F9145" s="0" t="s">
        <v>90</v>
      </c>
      <c r="G9145" s="0" t="s">
        <v>32</v>
      </c>
      <c r="H9145" s="0" t="n">
        <v>56</v>
      </c>
      <c r="I9145" s="0" t="s">
        <v>30532</v>
      </c>
      <c r="J9145" s="0" t="s">
        <v>30533</v>
      </c>
      <c r="K9145" s="0" t="s">
        <v>30534</v>
      </c>
      <c r="L9145" s="0" t="str">
        <f aca="false">HYPERLINK("https://www.ncbi.nlm.nih.gov/nuccore/CP000304.1?report=graph&amp;tracks=[key:gene_model_track,Options:GeneOnly]&amp;mk=2604010:2604029|offset_0|444444,2603987:2604006|offset_23|444444,2603954:2603973|offset_56|00cc00,2603925:2603944|offset_85|444444&amp;v=2603809:2604144&amp;c=444444", "offset 56")</f>
        <v>offset 56</v>
      </c>
    </row>
    <row r="9146" customFormat="false" ht="12.8" hidden="false" customHeight="false" outlineLevel="0" collapsed="false">
      <c r="A9146" s="0" t="s">
        <v>12</v>
      </c>
      <c r="B9146" s="0" t="n">
        <v>2603924</v>
      </c>
      <c r="C9146" s="0" t="n">
        <v>2603944</v>
      </c>
      <c r="D9146" s="0" t="s">
        <v>30525</v>
      </c>
      <c r="E9146" s="0" t="s">
        <v>89</v>
      </c>
      <c r="F9146" s="0" t="s">
        <v>90</v>
      </c>
      <c r="G9146" s="0" t="s">
        <v>26</v>
      </c>
      <c r="H9146" s="0" t="n">
        <v>85</v>
      </c>
      <c r="I9146" s="0" t="s">
        <v>30535</v>
      </c>
      <c r="J9146" s="0" t="s">
        <v>30536</v>
      </c>
      <c r="K9146" s="0" t="s">
        <v>30537</v>
      </c>
      <c r="L9146" s="0" t="str">
        <f aca="false">HYPERLINK("https://www.ncbi.nlm.nih.gov/nuccore/CP000304.1?report=graph&amp;tracks=[key:gene_model_track,Options:GeneOnly]&amp;mk=2604010:2604029|offset_0|444444,2603987:2604006|offset_23|444444,2603954:2603973|offset_56|444444,2603925:2603944|offset_85|00cc00&amp;v=2603809:2604144&amp;c=444444", "offset 85")</f>
        <v>offset 85</v>
      </c>
    </row>
    <row r="9147" customFormat="false" ht="12.8" hidden="false" customHeight="false" outlineLevel="0" collapsed="false">
      <c r="A9147" s="0" t="s">
        <v>12</v>
      </c>
      <c r="B9147" s="0" t="n">
        <v>2604308</v>
      </c>
      <c r="C9147" s="0" t="n">
        <v>2604328</v>
      </c>
      <c r="D9147" s="0" t="s">
        <v>30538</v>
      </c>
      <c r="E9147" s="0" t="s">
        <v>30539</v>
      </c>
      <c r="F9147" s="0" t="s">
        <v>15</v>
      </c>
      <c r="G9147" s="0" t="s">
        <v>26</v>
      </c>
      <c r="H9147" s="0" t="n">
        <v>14</v>
      </c>
      <c r="I9147" s="0" t="s">
        <v>30540</v>
      </c>
      <c r="J9147" s="0" t="s">
        <v>30541</v>
      </c>
      <c r="K9147" s="0" t="s">
        <v>30542</v>
      </c>
      <c r="L9147" s="0" t="str">
        <f aca="false">HYPERLINK("https://www.ncbi.nlm.nih.gov/nuccore/CP000304.1?report=graph&amp;tracks=[key:gene_model_track,Options:GeneOnly]&amp;mk=2604309:2604328|offset_14|00cc00,2604329:2604348|offset_34|444444,2604355:2604374|offset_60|444444,2604378:2604397|offset_83|444444&amp;v=2604108:2604597&amp;c=444444", "offset 14")</f>
        <v>offset 14</v>
      </c>
    </row>
    <row r="9148" customFormat="false" ht="12.8" hidden="false" customHeight="false" outlineLevel="0" collapsed="false">
      <c r="A9148" s="0" t="s">
        <v>12</v>
      </c>
      <c r="B9148" s="0" t="n">
        <v>2604328</v>
      </c>
      <c r="C9148" s="0" t="n">
        <v>2604348</v>
      </c>
      <c r="D9148" s="0" t="s">
        <v>30538</v>
      </c>
      <c r="E9148" s="0" t="s">
        <v>30539</v>
      </c>
      <c r="F9148" s="0" t="s">
        <v>15</v>
      </c>
      <c r="G9148" s="0" t="s">
        <v>16</v>
      </c>
      <c r="H9148" s="0" t="n">
        <v>34</v>
      </c>
      <c r="I9148" s="0" t="s">
        <v>30543</v>
      </c>
      <c r="J9148" s="0" t="s">
        <v>30544</v>
      </c>
      <c r="K9148" s="0" t="s">
        <v>30545</v>
      </c>
      <c r="L9148" s="0" t="str">
        <f aca="false">HYPERLINK("https://www.ncbi.nlm.nih.gov/nuccore/CP000304.1?report=graph&amp;tracks=[key:gene_model_track,Options:GeneOnly]&amp;mk=2604309:2604328|offset_14|444444,2604329:2604348|offset_34|00cc00,2604355:2604374|offset_60|444444,2604378:2604397|offset_83|444444&amp;v=2604108:2604597&amp;c=444444", "offset 34")</f>
        <v>offset 34</v>
      </c>
    </row>
    <row r="9149" customFormat="false" ht="12.8" hidden="false" customHeight="false" outlineLevel="0" collapsed="false">
      <c r="A9149" s="0" t="s">
        <v>12</v>
      </c>
      <c r="B9149" s="0" t="n">
        <v>2604354</v>
      </c>
      <c r="C9149" s="0" t="n">
        <v>2604374</v>
      </c>
      <c r="D9149" s="0" t="s">
        <v>30538</v>
      </c>
      <c r="E9149" s="0" t="s">
        <v>30539</v>
      </c>
      <c r="F9149" s="0" t="s">
        <v>15</v>
      </c>
      <c r="G9149" s="0" t="s">
        <v>16</v>
      </c>
      <c r="H9149" s="0" t="n">
        <v>60</v>
      </c>
      <c r="I9149" s="0" t="s">
        <v>30546</v>
      </c>
      <c r="J9149" s="0" t="s">
        <v>30547</v>
      </c>
      <c r="K9149" s="0" t="s">
        <v>30548</v>
      </c>
      <c r="L9149" s="0" t="str">
        <f aca="false">HYPERLINK("https://www.ncbi.nlm.nih.gov/nuccore/CP000304.1?report=graph&amp;tracks=[key:gene_model_track,Options:GeneOnly]&amp;mk=2604309:2604328|offset_14|444444,2604329:2604348|offset_34|444444,2604355:2604374|offset_60|00cc00,2604378:2604397|offset_83|444444&amp;v=2604108:2604597&amp;c=444444", "offset 60")</f>
        <v>offset 60</v>
      </c>
    </row>
    <row r="9150" customFormat="false" ht="12.8" hidden="false" customHeight="false" outlineLevel="0" collapsed="false">
      <c r="A9150" s="0" t="s">
        <v>12</v>
      </c>
      <c r="B9150" s="0" t="n">
        <v>2604377</v>
      </c>
      <c r="C9150" s="0" t="n">
        <v>2604397</v>
      </c>
      <c r="D9150" s="0" t="s">
        <v>30538</v>
      </c>
      <c r="E9150" s="0" t="s">
        <v>30539</v>
      </c>
      <c r="F9150" s="0" t="s">
        <v>15</v>
      </c>
      <c r="G9150" s="0" t="s">
        <v>32</v>
      </c>
      <c r="H9150" s="0" t="n">
        <v>83</v>
      </c>
      <c r="I9150" s="0" t="s">
        <v>30549</v>
      </c>
      <c r="J9150" s="0" t="s">
        <v>30550</v>
      </c>
      <c r="K9150" s="0" t="s">
        <v>30551</v>
      </c>
      <c r="L9150" s="0" t="str">
        <f aca="false">HYPERLINK("https://www.ncbi.nlm.nih.gov/nuccore/CP000304.1?report=graph&amp;tracks=[key:gene_model_track,Options:GeneOnly]&amp;mk=2604309:2604328|offset_14|444444,2604329:2604348|offset_34|444444,2604355:2604374|offset_60|444444,2604378:2604397|offset_83|00cc00&amp;v=2604108:2604597&amp;c=444444", "offset 83")</f>
        <v>offset 83</v>
      </c>
    </row>
    <row r="9151" customFormat="false" ht="12.8" hidden="false" customHeight="false" outlineLevel="0" collapsed="false">
      <c r="A9151" s="0" t="s">
        <v>12</v>
      </c>
      <c r="B9151" s="0" t="n">
        <v>2607956</v>
      </c>
      <c r="C9151" s="0" t="n">
        <v>2607976</v>
      </c>
      <c r="D9151" s="0" t="s">
        <v>30552</v>
      </c>
      <c r="E9151" s="0" t="s">
        <v>89</v>
      </c>
      <c r="F9151" s="0" t="s">
        <v>90</v>
      </c>
      <c r="G9151" s="0" t="s">
        <v>32</v>
      </c>
      <c r="H9151" s="0" t="n">
        <v>1</v>
      </c>
      <c r="I9151" s="0" t="s">
        <v>30553</v>
      </c>
      <c r="J9151" s="0" t="s">
        <v>30554</v>
      </c>
      <c r="K9151" s="0" t="s">
        <v>30555</v>
      </c>
      <c r="L9151" s="0" t="str">
        <f aca="false">HYPERLINK("https://www.ncbi.nlm.nih.gov/nuccore/CP000304.1?report=graph&amp;tracks=[key:gene_model_track,Options:GeneOnly]&amp;mk=2607957:2607976|offset_1|00cc00,2607932:2607951|offset_26|444444,2607905:2607924|offset_53|444444,2607885:2607904|offset_73|444444&amp;v=2607756:2608104&amp;c=444444", "offset 1")</f>
        <v>offset 1</v>
      </c>
    </row>
    <row r="9152" customFormat="false" ht="12.8" hidden="false" customHeight="false" outlineLevel="0" collapsed="false">
      <c r="A9152" s="0" t="s">
        <v>12</v>
      </c>
      <c r="B9152" s="0" t="n">
        <v>2607931</v>
      </c>
      <c r="C9152" s="0" t="n">
        <v>2607951</v>
      </c>
      <c r="D9152" s="0" t="s">
        <v>30552</v>
      </c>
      <c r="E9152" s="0" t="s">
        <v>89</v>
      </c>
      <c r="F9152" s="0" t="s">
        <v>90</v>
      </c>
      <c r="G9152" s="0" t="s">
        <v>26</v>
      </c>
      <c r="H9152" s="0" t="n">
        <v>26</v>
      </c>
      <c r="I9152" s="0" t="s">
        <v>30556</v>
      </c>
      <c r="J9152" s="0" t="s">
        <v>30557</v>
      </c>
      <c r="K9152" s="0" t="s">
        <v>30558</v>
      </c>
      <c r="L9152" s="0" t="str">
        <f aca="false">HYPERLINK("https://www.ncbi.nlm.nih.gov/nuccore/CP000304.1?report=graph&amp;tracks=[key:gene_model_track,Options:GeneOnly]&amp;mk=2607957:2607976|offset_1|444444,2607932:2607951|offset_26|00cc00,2607905:2607924|offset_53|444444,2607885:2607904|offset_73|444444&amp;v=2607756:2608104&amp;c=444444", "offset 26")</f>
        <v>offset 26</v>
      </c>
    </row>
    <row r="9153" customFormat="false" ht="12.8" hidden="false" customHeight="false" outlineLevel="0" collapsed="false">
      <c r="A9153" s="0" t="s">
        <v>12</v>
      </c>
      <c r="B9153" s="0" t="n">
        <v>2607904</v>
      </c>
      <c r="C9153" s="0" t="n">
        <v>2607924</v>
      </c>
      <c r="D9153" s="0" t="s">
        <v>30552</v>
      </c>
      <c r="E9153" s="0" t="s">
        <v>89</v>
      </c>
      <c r="F9153" s="0" t="s">
        <v>90</v>
      </c>
      <c r="G9153" s="0" t="s">
        <v>26</v>
      </c>
      <c r="H9153" s="0" t="n">
        <v>53</v>
      </c>
      <c r="I9153" s="0" t="s">
        <v>30559</v>
      </c>
      <c r="J9153" s="0" t="s">
        <v>30560</v>
      </c>
      <c r="K9153" s="0" t="s">
        <v>30561</v>
      </c>
      <c r="L9153" s="0" t="str">
        <f aca="false">HYPERLINK("https://www.ncbi.nlm.nih.gov/nuccore/CP000304.1?report=graph&amp;tracks=[key:gene_model_track,Options:GeneOnly]&amp;mk=2607957:2607976|offset_1|444444,2607932:2607951|offset_26|444444,2607905:2607924|offset_53|00cc00,2607885:2607904|offset_73|444444&amp;v=2607756:2608104&amp;c=444444", "offset 53")</f>
        <v>offset 53</v>
      </c>
    </row>
    <row r="9154" customFormat="false" ht="12.8" hidden="false" customHeight="false" outlineLevel="0" collapsed="false">
      <c r="A9154" s="0" t="s">
        <v>12</v>
      </c>
      <c r="B9154" s="0" t="n">
        <v>2607884</v>
      </c>
      <c r="C9154" s="0" t="n">
        <v>2607904</v>
      </c>
      <c r="D9154" s="0" t="s">
        <v>30552</v>
      </c>
      <c r="E9154" s="0" t="s">
        <v>89</v>
      </c>
      <c r="F9154" s="0" t="s">
        <v>90</v>
      </c>
      <c r="G9154" s="0" t="s">
        <v>16</v>
      </c>
      <c r="H9154" s="0" t="n">
        <v>73</v>
      </c>
      <c r="I9154" s="0" t="s">
        <v>30562</v>
      </c>
      <c r="J9154" s="0" t="s">
        <v>30563</v>
      </c>
      <c r="K9154" s="0" t="s">
        <v>30564</v>
      </c>
      <c r="L9154" s="0" t="str">
        <f aca="false">HYPERLINK("https://www.ncbi.nlm.nih.gov/nuccore/CP000304.1?report=graph&amp;tracks=[key:gene_model_track,Options:GeneOnly]&amp;mk=2607957:2607976|offset_1|444444,2607932:2607951|offset_26|444444,2607905:2607924|offset_53|444444,2607885:2607904|offset_73|00cc00&amp;v=2607756:2608104&amp;c=444444", "offset 73")</f>
        <v>offset 73</v>
      </c>
    </row>
    <row r="9155" customFormat="false" ht="12.8" hidden="false" customHeight="false" outlineLevel="0" collapsed="false">
      <c r="A9155" s="0" t="s">
        <v>12</v>
      </c>
      <c r="B9155" s="0" t="n">
        <v>2608336</v>
      </c>
      <c r="C9155" s="0" t="n">
        <v>2608356</v>
      </c>
      <c r="D9155" s="0" t="s">
        <v>30565</v>
      </c>
      <c r="E9155" s="0" t="s">
        <v>30566</v>
      </c>
      <c r="F9155" s="0" t="s">
        <v>15</v>
      </c>
      <c r="G9155" s="0" t="s">
        <v>32</v>
      </c>
      <c r="H9155" s="0" t="n">
        <v>0</v>
      </c>
      <c r="I9155" s="0" t="s">
        <v>30567</v>
      </c>
      <c r="J9155" s="0" t="s">
        <v>30568</v>
      </c>
      <c r="K9155" s="0" t="s">
        <v>30569</v>
      </c>
      <c r="L9155" s="0" t="str">
        <f aca="false">HYPERLINK("https://www.ncbi.nlm.nih.gov/nuccore/CP000304.1?report=graph&amp;tracks=[key:gene_model_track,Options:GeneOnly]&amp;mk=2608337:2608356|offset_0|00cc00,2608361:2608380|offset_24|444444,2608420:2608439|offset_83|444444,2608440:2608459|offset_103|444444&amp;v=2608136:2608659&amp;c=444444", "offset 0")</f>
        <v>offset 0</v>
      </c>
    </row>
    <row r="9156" customFormat="false" ht="12.8" hidden="false" customHeight="false" outlineLevel="0" collapsed="false">
      <c r="A9156" s="0" t="s">
        <v>12</v>
      </c>
      <c r="B9156" s="0" t="n">
        <v>2608360</v>
      </c>
      <c r="C9156" s="0" t="n">
        <v>2608380</v>
      </c>
      <c r="D9156" s="0" t="s">
        <v>30565</v>
      </c>
      <c r="E9156" s="0" t="s">
        <v>30566</v>
      </c>
      <c r="F9156" s="0" t="s">
        <v>15</v>
      </c>
      <c r="G9156" s="0" t="s">
        <v>16</v>
      </c>
      <c r="H9156" s="0" t="n">
        <v>24</v>
      </c>
      <c r="I9156" s="0" t="s">
        <v>30570</v>
      </c>
      <c r="J9156" s="0" t="s">
        <v>30571</v>
      </c>
      <c r="K9156" s="0" t="s">
        <v>30572</v>
      </c>
      <c r="L9156" s="0" t="str">
        <f aca="false">HYPERLINK("https://www.ncbi.nlm.nih.gov/nuccore/CP000304.1?report=graph&amp;tracks=[key:gene_model_track,Options:GeneOnly]&amp;mk=2608337:2608356|offset_0|444444,2608361:2608380|offset_24|00cc00,2608420:2608439|offset_83|444444,2608440:2608459|offset_103|444444&amp;v=2608136:2608659&amp;c=444444", "offset 24")</f>
        <v>offset 24</v>
      </c>
    </row>
    <row r="9157" customFormat="false" ht="12.8" hidden="false" customHeight="false" outlineLevel="0" collapsed="false">
      <c r="A9157" s="0" t="s">
        <v>12</v>
      </c>
      <c r="B9157" s="0" t="n">
        <v>2608419</v>
      </c>
      <c r="C9157" s="0" t="n">
        <v>2608439</v>
      </c>
      <c r="D9157" s="0" t="s">
        <v>30565</v>
      </c>
      <c r="E9157" s="0" t="s">
        <v>30566</v>
      </c>
      <c r="F9157" s="0" t="s">
        <v>15</v>
      </c>
      <c r="G9157" s="0" t="s">
        <v>26</v>
      </c>
      <c r="H9157" s="0" t="n">
        <v>83</v>
      </c>
      <c r="I9157" s="0" t="s">
        <v>30573</v>
      </c>
      <c r="J9157" s="0" t="s">
        <v>30574</v>
      </c>
      <c r="K9157" s="0" t="s">
        <v>30575</v>
      </c>
      <c r="L9157" s="0" t="str">
        <f aca="false">HYPERLINK("https://www.ncbi.nlm.nih.gov/nuccore/CP000304.1?report=graph&amp;tracks=[key:gene_model_track,Options:GeneOnly]&amp;mk=2608337:2608356|offset_0|444444,2608361:2608380|offset_24|444444,2608420:2608439|offset_83|00cc00,2608440:2608459|offset_103|444444&amp;v=2608136:2608659&amp;c=444444", "offset 83")</f>
        <v>offset 83</v>
      </c>
    </row>
    <row r="9158" customFormat="false" ht="12.8" hidden="false" customHeight="false" outlineLevel="0" collapsed="false">
      <c r="A9158" s="0" t="s">
        <v>12</v>
      </c>
      <c r="B9158" s="0" t="n">
        <v>2608439</v>
      </c>
      <c r="C9158" s="0" t="n">
        <v>2608459</v>
      </c>
      <c r="D9158" s="0" t="s">
        <v>30565</v>
      </c>
      <c r="E9158" s="0" t="s">
        <v>30566</v>
      </c>
      <c r="F9158" s="0" t="s">
        <v>15</v>
      </c>
      <c r="G9158" s="0" t="s">
        <v>36</v>
      </c>
      <c r="H9158" s="0" t="n">
        <v>103</v>
      </c>
      <c r="I9158" s="0" t="s">
        <v>30576</v>
      </c>
      <c r="J9158" s="0" t="s">
        <v>30577</v>
      </c>
      <c r="K9158" s="0" t="s">
        <v>30578</v>
      </c>
      <c r="L9158" s="0" t="str">
        <f aca="false">HYPERLINK("https://www.ncbi.nlm.nih.gov/nuccore/CP000304.1?report=graph&amp;tracks=[key:gene_model_track,Options:GeneOnly]&amp;mk=2608337:2608356|offset_0|444444,2608361:2608380|offset_24|444444,2608420:2608439|offset_83|444444,2608440:2608459|offset_103|00cc00&amp;v=2608136:2608659&amp;c=444444", "offset 103")</f>
        <v>offset 103</v>
      </c>
    </row>
    <row r="9159" customFormat="false" ht="12.8" hidden="false" customHeight="false" outlineLevel="0" collapsed="false">
      <c r="A9159" s="0" t="s">
        <v>12</v>
      </c>
      <c r="B9159" s="0" t="n">
        <v>2609639</v>
      </c>
      <c r="C9159" s="0" t="n">
        <v>2609659</v>
      </c>
      <c r="D9159" s="0" t="s">
        <v>30579</v>
      </c>
      <c r="E9159" s="0" t="s">
        <v>30580</v>
      </c>
      <c r="F9159" s="0" t="s">
        <v>90</v>
      </c>
      <c r="G9159" s="0" t="s">
        <v>36</v>
      </c>
      <c r="H9159" s="0" t="n">
        <v>16</v>
      </c>
      <c r="I9159" s="0" t="s">
        <v>30581</v>
      </c>
      <c r="J9159" s="0" t="s">
        <v>30582</v>
      </c>
      <c r="K9159" s="0" t="s">
        <v>30583</v>
      </c>
      <c r="L9159" s="0" t="str">
        <f aca="false">HYPERLINK("https://www.ncbi.nlm.nih.gov/nuccore/CP000304.1?report=graph&amp;tracks=[key:gene_model_track,Options:GeneOnly]&amp;mk=2609640:2609659|offset_16|00cc00,2609614:2609633|offset_42|444444,2609592:2609611|offset_64|444444,2609567:2609586|offset_89|444444&amp;v=2609439:2609786&amp;c=444444", "offset 16")</f>
        <v>offset 16</v>
      </c>
    </row>
    <row r="9160" customFormat="false" ht="12.8" hidden="false" customHeight="false" outlineLevel="0" collapsed="false">
      <c r="A9160" s="0" t="s">
        <v>12</v>
      </c>
      <c r="B9160" s="0" t="n">
        <v>2609613</v>
      </c>
      <c r="C9160" s="0" t="n">
        <v>2609633</v>
      </c>
      <c r="D9160" s="0" t="s">
        <v>30579</v>
      </c>
      <c r="E9160" s="0" t="s">
        <v>30580</v>
      </c>
      <c r="F9160" s="0" t="s">
        <v>90</v>
      </c>
      <c r="G9160" s="0" t="s">
        <v>16</v>
      </c>
      <c r="H9160" s="0" t="n">
        <v>42</v>
      </c>
      <c r="I9160" s="0" t="s">
        <v>30584</v>
      </c>
      <c r="J9160" s="0" t="s">
        <v>30585</v>
      </c>
      <c r="K9160" s="0" t="s">
        <v>30586</v>
      </c>
      <c r="L9160" s="0" t="str">
        <f aca="false">HYPERLINK("https://www.ncbi.nlm.nih.gov/nuccore/CP000304.1?report=graph&amp;tracks=[key:gene_model_track,Options:GeneOnly]&amp;mk=2609640:2609659|offset_16|444444,2609614:2609633|offset_42|00cc00,2609592:2609611|offset_64|444444,2609567:2609586|offset_89|444444&amp;v=2609439:2609786&amp;c=444444", "offset 42")</f>
        <v>offset 42</v>
      </c>
    </row>
    <row r="9161" customFormat="false" ht="12.8" hidden="false" customHeight="false" outlineLevel="0" collapsed="false">
      <c r="A9161" s="0" t="s">
        <v>12</v>
      </c>
      <c r="B9161" s="0" t="n">
        <v>2609591</v>
      </c>
      <c r="C9161" s="0" t="n">
        <v>2609611</v>
      </c>
      <c r="D9161" s="0" t="s">
        <v>30579</v>
      </c>
      <c r="E9161" s="0" t="s">
        <v>30580</v>
      </c>
      <c r="F9161" s="0" t="s">
        <v>90</v>
      </c>
      <c r="G9161" s="0" t="s">
        <v>36</v>
      </c>
      <c r="H9161" s="0" t="n">
        <v>64</v>
      </c>
      <c r="I9161" s="0" t="s">
        <v>30587</v>
      </c>
      <c r="J9161" s="0" t="s">
        <v>30588</v>
      </c>
      <c r="K9161" s="0" t="s">
        <v>30589</v>
      </c>
      <c r="L9161" s="0" t="str">
        <f aca="false">HYPERLINK("https://www.ncbi.nlm.nih.gov/nuccore/CP000304.1?report=graph&amp;tracks=[key:gene_model_track,Options:GeneOnly]&amp;mk=2609640:2609659|offset_16|444444,2609614:2609633|offset_42|444444,2609592:2609611|offset_64|00cc00,2609567:2609586|offset_89|444444&amp;v=2609439:2609786&amp;c=444444", "offset 64")</f>
        <v>offset 64</v>
      </c>
    </row>
    <row r="9162" customFormat="false" ht="12.8" hidden="false" customHeight="false" outlineLevel="0" collapsed="false">
      <c r="A9162" s="0" t="s">
        <v>12</v>
      </c>
      <c r="B9162" s="0" t="n">
        <v>2609566</v>
      </c>
      <c r="C9162" s="0" t="n">
        <v>2609586</v>
      </c>
      <c r="D9162" s="0" t="s">
        <v>30579</v>
      </c>
      <c r="E9162" s="0" t="s">
        <v>30580</v>
      </c>
      <c r="F9162" s="0" t="s">
        <v>90</v>
      </c>
      <c r="G9162" s="0" t="s">
        <v>16</v>
      </c>
      <c r="H9162" s="0" t="n">
        <v>89</v>
      </c>
      <c r="I9162" s="0" t="s">
        <v>30590</v>
      </c>
      <c r="J9162" s="0" t="s">
        <v>30591</v>
      </c>
      <c r="K9162" s="0" t="s">
        <v>30592</v>
      </c>
      <c r="L9162" s="0" t="str">
        <f aca="false">HYPERLINK("https://www.ncbi.nlm.nih.gov/nuccore/CP000304.1?report=graph&amp;tracks=[key:gene_model_track,Options:GeneOnly]&amp;mk=2609640:2609659|offset_16|444444,2609614:2609633|offset_42|444444,2609592:2609611|offset_64|444444,2609567:2609586|offset_89|00cc00&amp;v=2609439:2609786&amp;c=444444", "offset 89")</f>
        <v>offset 89</v>
      </c>
    </row>
    <row r="9163" customFormat="false" ht="12.8" hidden="false" customHeight="false" outlineLevel="0" collapsed="false">
      <c r="A9163" s="0" t="s">
        <v>12</v>
      </c>
      <c r="B9163" s="0" t="n">
        <v>2609954</v>
      </c>
      <c r="C9163" s="0" t="n">
        <v>2609974</v>
      </c>
      <c r="D9163" s="0" t="s">
        <v>30593</v>
      </c>
      <c r="E9163" s="0" t="s">
        <v>89</v>
      </c>
      <c r="F9163" s="0" t="s">
        <v>90</v>
      </c>
      <c r="G9163" s="0" t="s">
        <v>16</v>
      </c>
      <c r="H9163" s="0" t="n">
        <v>34</v>
      </c>
      <c r="I9163" s="0" t="s">
        <v>30594</v>
      </c>
      <c r="J9163" s="0" t="s">
        <v>30595</v>
      </c>
      <c r="K9163" s="0" t="s">
        <v>30596</v>
      </c>
      <c r="L9163" s="0" t="str">
        <f aca="false">HYPERLINK("https://www.ncbi.nlm.nih.gov/nuccore/CP000304.1?report=graph&amp;tracks=[key:gene_model_track,Options:GeneOnly]&amp;mk=2609955:2609974|offset_34|00cc00,2609930:2609949|offset_59|444444,2609909:2609928|offset_80|444444,2609876:2609895|offset_113|444444&amp;v=2609754:2610095&amp;c=444444", "offset 34")</f>
        <v>offset 34</v>
      </c>
    </row>
    <row r="9164" customFormat="false" ht="12.8" hidden="false" customHeight="false" outlineLevel="0" collapsed="false">
      <c r="A9164" s="0" t="s">
        <v>12</v>
      </c>
      <c r="B9164" s="0" t="n">
        <v>2609929</v>
      </c>
      <c r="C9164" s="0" t="n">
        <v>2609949</v>
      </c>
      <c r="D9164" s="0" t="s">
        <v>30593</v>
      </c>
      <c r="E9164" s="0" t="s">
        <v>89</v>
      </c>
      <c r="F9164" s="0" t="s">
        <v>90</v>
      </c>
      <c r="G9164" s="0" t="s">
        <v>32</v>
      </c>
      <c r="H9164" s="0" t="n">
        <v>59</v>
      </c>
      <c r="I9164" s="0" t="s">
        <v>30597</v>
      </c>
      <c r="J9164" s="0" t="s">
        <v>30598</v>
      </c>
      <c r="K9164" s="0" t="s">
        <v>30599</v>
      </c>
      <c r="L9164" s="0" t="str">
        <f aca="false">HYPERLINK("https://www.ncbi.nlm.nih.gov/nuccore/CP000304.1?report=graph&amp;tracks=[key:gene_model_track,Options:GeneOnly]&amp;mk=2609955:2609974|offset_34|444444,2609930:2609949|offset_59|00cc00,2609909:2609928|offset_80|444444,2609876:2609895|offset_113|444444&amp;v=2609754:2610095&amp;c=444444", "offset 59")</f>
        <v>offset 59</v>
      </c>
    </row>
    <row r="9165" customFormat="false" ht="12.8" hidden="false" customHeight="false" outlineLevel="0" collapsed="false">
      <c r="A9165" s="0" t="s">
        <v>12</v>
      </c>
      <c r="B9165" s="0" t="n">
        <v>2609908</v>
      </c>
      <c r="C9165" s="0" t="n">
        <v>2609928</v>
      </c>
      <c r="D9165" s="0" t="s">
        <v>30593</v>
      </c>
      <c r="E9165" s="0" t="s">
        <v>89</v>
      </c>
      <c r="F9165" s="0" t="s">
        <v>90</v>
      </c>
      <c r="G9165" s="0" t="s">
        <v>26</v>
      </c>
      <c r="H9165" s="0" t="n">
        <v>80</v>
      </c>
      <c r="I9165" s="0" t="s">
        <v>30600</v>
      </c>
      <c r="J9165" s="0" t="s">
        <v>30601</v>
      </c>
      <c r="K9165" s="0" t="s">
        <v>30602</v>
      </c>
      <c r="L9165" s="0" t="str">
        <f aca="false">HYPERLINK("https://www.ncbi.nlm.nih.gov/nuccore/CP000304.1?report=graph&amp;tracks=[key:gene_model_track,Options:GeneOnly]&amp;mk=2609955:2609974|offset_34|444444,2609930:2609949|offset_59|444444,2609909:2609928|offset_80|00cc00,2609876:2609895|offset_113|444444&amp;v=2609754:2610095&amp;c=444444", "offset 80")</f>
        <v>offset 80</v>
      </c>
    </row>
    <row r="9166" customFormat="false" ht="12.8" hidden="false" customHeight="false" outlineLevel="0" collapsed="false">
      <c r="A9166" s="0" t="s">
        <v>12</v>
      </c>
      <c r="B9166" s="0" t="n">
        <v>2609875</v>
      </c>
      <c r="C9166" s="0" t="n">
        <v>2609895</v>
      </c>
      <c r="D9166" s="0" t="s">
        <v>30593</v>
      </c>
      <c r="E9166" s="0" t="s">
        <v>89</v>
      </c>
      <c r="F9166" s="0" t="s">
        <v>90</v>
      </c>
      <c r="G9166" s="0" t="s">
        <v>26</v>
      </c>
      <c r="H9166" s="0" t="n">
        <v>113</v>
      </c>
      <c r="I9166" s="0" t="s">
        <v>30603</v>
      </c>
      <c r="J9166" s="0" t="s">
        <v>30604</v>
      </c>
      <c r="K9166" s="0" t="s">
        <v>30605</v>
      </c>
      <c r="L9166" s="0" t="str">
        <f aca="false">HYPERLINK("https://www.ncbi.nlm.nih.gov/nuccore/CP000304.1?report=graph&amp;tracks=[key:gene_model_track,Options:GeneOnly]&amp;mk=2609955:2609974|offset_34|444444,2609930:2609949|offset_59|444444,2609909:2609928|offset_80|444444,2609876:2609895|offset_113|00cc00&amp;v=2609754:2610095&amp;c=444444", "offset 113")</f>
        <v>offset 113</v>
      </c>
    </row>
    <row r="9167" customFormat="false" ht="12.8" hidden="false" customHeight="false" outlineLevel="0" collapsed="false">
      <c r="A9167" s="0" t="s">
        <v>12</v>
      </c>
      <c r="B9167" s="0" t="n">
        <v>2610018</v>
      </c>
      <c r="C9167" s="0" t="n">
        <v>2610038</v>
      </c>
      <c r="D9167" s="0" t="s">
        <v>30606</v>
      </c>
      <c r="E9167" s="0" t="s">
        <v>89</v>
      </c>
      <c r="F9167" s="0" t="s">
        <v>15</v>
      </c>
      <c r="G9167" s="0" t="s">
        <v>26</v>
      </c>
      <c r="H9167" s="0" t="n">
        <v>17</v>
      </c>
      <c r="I9167" s="0" t="s">
        <v>30607</v>
      </c>
      <c r="J9167" s="0" t="s">
        <v>30608</v>
      </c>
      <c r="K9167" s="0" t="s">
        <v>30609</v>
      </c>
      <c r="L9167" s="0" t="str">
        <f aca="false">HYPERLINK("https://www.ncbi.nlm.nih.gov/nuccore/CP000304.1?report=graph&amp;tracks=[key:gene_model_track,Options:GeneOnly]&amp;mk=2610019:2610038|offset_17|00cc00,2610045:2610064|offset_43|444444,2610068:2610087|offset_66|444444,2610109:2610128|offset_107|444444&amp;v=2609818:2610328&amp;c=444444", "offset 17")</f>
        <v>offset 17</v>
      </c>
    </row>
    <row r="9168" customFormat="false" ht="12.8" hidden="false" customHeight="false" outlineLevel="0" collapsed="false">
      <c r="A9168" s="0" t="s">
        <v>12</v>
      </c>
      <c r="B9168" s="0" t="n">
        <v>2610044</v>
      </c>
      <c r="C9168" s="0" t="n">
        <v>2610064</v>
      </c>
      <c r="D9168" s="0" t="s">
        <v>30606</v>
      </c>
      <c r="E9168" s="0" t="s">
        <v>89</v>
      </c>
      <c r="F9168" s="0" t="s">
        <v>15</v>
      </c>
      <c r="G9168" s="0" t="s">
        <v>32</v>
      </c>
      <c r="H9168" s="0" t="n">
        <v>43</v>
      </c>
      <c r="I9168" s="0" t="s">
        <v>30610</v>
      </c>
      <c r="J9168" s="0" t="s">
        <v>30611</v>
      </c>
      <c r="K9168" s="0" t="s">
        <v>30612</v>
      </c>
      <c r="L9168" s="0" t="str">
        <f aca="false">HYPERLINK("https://www.ncbi.nlm.nih.gov/nuccore/CP000304.1?report=graph&amp;tracks=[key:gene_model_track,Options:GeneOnly]&amp;mk=2610019:2610038|offset_17|444444,2610045:2610064|offset_43|00cc00,2610068:2610087|offset_66|444444,2610109:2610128|offset_107|444444&amp;v=2609818:2610328&amp;c=444444", "offset 43")</f>
        <v>offset 43</v>
      </c>
    </row>
    <row r="9169" customFormat="false" ht="12.8" hidden="false" customHeight="false" outlineLevel="0" collapsed="false">
      <c r="A9169" s="0" t="s">
        <v>12</v>
      </c>
      <c r="B9169" s="0" t="n">
        <v>2610067</v>
      </c>
      <c r="C9169" s="0" t="n">
        <v>2610087</v>
      </c>
      <c r="D9169" s="0" t="s">
        <v>30606</v>
      </c>
      <c r="E9169" s="0" t="s">
        <v>89</v>
      </c>
      <c r="F9169" s="0" t="s">
        <v>15</v>
      </c>
      <c r="G9169" s="0" t="s">
        <v>16</v>
      </c>
      <c r="H9169" s="0" t="n">
        <v>66</v>
      </c>
      <c r="I9169" s="0" t="s">
        <v>30613</v>
      </c>
      <c r="J9169" s="0" t="s">
        <v>30614</v>
      </c>
      <c r="K9169" s="0" t="s">
        <v>30615</v>
      </c>
      <c r="L9169" s="0" t="str">
        <f aca="false">HYPERLINK("https://www.ncbi.nlm.nih.gov/nuccore/CP000304.1?report=graph&amp;tracks=[key:gene_model_track,Options:GeneOnly]&amp;mk=2610019:2610038|offset_17|444444,2610045:2610064|offset_43|444444,2610068:2610087|offset_66|00cc00,2610109:2610128|offset_107|444444&amp;v=2609818:2610328&amp;c=444444", "offset 66")</f>
        <v>offset 66</v>
      </c>
    </row>
    <row r="9170" customFormat="false" ht="12.8" hidden="false" customHeight="false" outlineLevel="0" collapsed="false">
      <c r="A9170" s="0" t="s">
        <v>12</v>
      </c>
      <c r="B9170" s="0" t="n">
        <v>2610108</v>
      </c>
      <c r="C9170" s="0" t="n">
        <v>2610128</v>
      </c>
      <c r="D9170" s="0" t="s">
        <v>30606</v>
      </c>
      <c r="E9170" s="0" t="s">
        <v>89</v>
      </c>
      <c r="F9170" s="0" t="s">
        <v>15</v>
      </c>
      <c r="G9170" s="0" t="s">
        <v>36</v>
      </c>
      <c r="H9170" s="0" t="n">
        <v>107</v>
      </c>
      <c r="I9170" s="0" t="s">
        <v>30616</v>
      </c>
      <c r="J9170" s="0" t="s">
        <v>30617</v>
      </c>
      <c r="K9170" s="0" t="s">
        <v>30618</v>
      </c>
      <c r="L9170" s="0" t="str">
        <f aca="false">HYPERLINK("https://www.ncbi.nlm.nih.gov/nuccore/CP000304.1?report=graph&amp;tracks=[key:gene_model_track,Options:GeneOnly]&amp;mk=2610019:2610038|offset_17|444444,2610045:2610064|offset_43|444444,2610068:2610087|offset_66|444444,2610109:2610128|offset_107|00cc00&amp;v=2609818:2610328&amp;c=444444", "offset 107")</f>
        <v>offset 107</v>
      </c>
    </row>
    <row r="9171" customFormat="false" ht="12.8" hidden="false" customHeight="false" outlineLevel="0" collapsed="false">
      <c r="A9171" s="0" t="s">
        <v>12</v>
      </c>
      <c r="B9171" s="0" t="n">
        <v>2616014</v>
      </c>
      <c r="C9171" s="0" t="n">
        <v>2616034</v>
      </c>
      <c r="D9171" s="0" t="s">
        <v>30619</v>
      </c>
      <c r="E9171" s="0" t="s">
        <v>89</v>
      </c>
      <c r="F9171" s="0" t="s">
        <v>90</v>
      </c>
      <c r="G9171" s="0" t="s">
        <v>32</v>
      </c>
      <c r="H9171" s="0" t="n">
        <v>22</v>
      </c>
      <c r="I9171" s="0" t="s">
        <v>30620</v>
      </c>
      <c r="J9171" s="0" t="s">
        <v>30621</v>
      </c>
      <c r="K9171" s="0" t="s">
        <v>30622</v>
      </c>
      <c r="L9171" s="0" t="str">
        <f aca="false">HYPERLINK("https://www.ncbi.nlm.nih.gov/nuccore/CP000304.1?report=graph&amp;tracks=[key:gene_model_track,Options:GeneOnly]&amp;mk=2616015:2616034|offset_22|00cc00,2615973:2615992|offset_64|444444,2615951:2615970|offset_86|444444,2615928:2615947|offset_109|444444&amp;v=2615814:2616147&amp;c=444444", "offset 22")</f>
        <v>offset 22</v>
      </c>
    </row>
    <row r="9172" customFormat="false" ht="12.8" hidden="false" customHeight="false" outlineLevel="0" collapsed="false">
      <c r="A9172" s="0" t="s">
        <v>12</v>
      </c>
      <c r="B9172" s="0" t="n">
        <v>2615972</v>
      </c>
      <c r="C9172" s="0" t="n">
        <v>2615992</v>
      </c>
      <c r="D9172" s="0" t="s">
        <v>30619</v>
      </c>
      <c r="E9172" s="0" t="s">
        <v>89</v>
      </c>
      <c r="F9172" s="0" t="s">
        <v>90</v>
      </c>
      <c r="G9172" s="0" t="s">
        <v>36</v>
      </c>
      <c r="H9172" s="0" t="n">
        <v>64</v>
      </c>
      <c r="I9172" s="0" t="s">
        <v>30623</v>
      </c>
      <c r="J9172" s="0" t="s">
        <v>30624</v>
      </c>
      <c r="K9172" s="0" t="s">
        <v>30625</v>
      </c>
      <c r="L9172" s="0" t="str">
        <f aca="false">HYPERLINK("https://www.ncbi.nlm.nih.gov/nuccore/CP000304.1?report=graph&amp;tracks=[key:gene_model_track,Options:GeneOnly]&amp;mk=2616015:2616034|offset_22|444444,2615973:2615992|offset_64|00cc00,2615951:2615970|offset_86|444444,2615928:2615947|offset_109|444444&amp;v=2615814:2616147&amp;c=444444", "offset 64")</f>
        <v>offset 64</v>
      </c>
    </row>
    <row r="9173" customFormat="false" ht="12.8" hidden="false" customHeight="false" outlineLevel="0" collapsed="false">
      <c r="A9173" s="0" t="s">
        <v>12</v>
      </c>
      <c r="B9173" s="0" t="n">
        <v>2615950</v>
      </c>
      <c r="C9173" s="0" t="n">
        <v>2615970</v>
      </c>
      <c r="D9173" s="0" t="s">
        <v>30619</v>
      </c>
      <c r="E9173" s="0" t="s">
        <v>89</v>
      </c>
      <c r="F9173" s="0" t="s">
        <v>90</v>
      </c>
      <c r="G9173" s="0" t="s">
        <v>26</v>
      </c>
      <c r="H9173" s="0" t="n">
        <v>86</v>
      </c>
      <c r="I9173" s="0" t="s">
        <v>30626</v>
      </c>
      <c r="J9173" s="0" t="s">
        <v>30627</v>
      </c>
      <c r="K9173" s="0" t="s">
        <v>30628</v>
      </c>
      <c r="L9173" s="0" t="str">
        <f aca="false">HYPERLINK("https://www.ncbi.nlm.nih.gov/nuccore/CP000304.1?report=graph&amp;tracks=[key:gene_model_track,Options:GeneOnly]&amp;mk=2616015:2616034|offset_22|444444,2615973:2615992|offset_64|444444,2615951:2615970|offset_86|00cc00,2615928:2615947|offset_109|444444&amp;v=2615814:2616147&amp;c=444444", "offset 86")</f>
        <v>offset 86</v>
      </c>
    </row>
    <row r="9174" customFormat="false" ht="12.8" hidden="false" customHeight="false" outlineLevel="0" collapsed="false">
      <c r="A9174" s="0" t="s">
        <v>12</v>
      </c>
      <c r="B9174" s="0" t="n">
        <v>2615927</v>
      </c>
      <c r="C9174" s="0" t="n">
        <v>2615947</v>
      </c>
      <c r="D9174" s="0" t="s">
        <v>30619</v>
      </c>
      <c r="E9174" s="0" t="s">
        <v>89</v>
      </c>
      <c r="F9174" s="0" t="s">
        <v>90</v>
      </c>
      <c r="G9174" s="0" t="s">
        <v>16</v>
      </c>
      <c r="H9174" s="0" t="n">
        <v>109</v>
      </c>
      <c r="I9174" s="0" t="s">
        <v>30629</v>
      </c>
      <c r="J9174" s="0" t="s">
        <v>30630</v>
      </c>
      <c r="K9174" s="0" t="s">
        <v>30631</v>
      </c>
      <c r="L9174" s="0" t="str">
        <f aca="false">HYPERLINK("https://www.ncbi.nlm.nih.gov/nuccore/CP000304.1?report=graph&amp;tracks=[key:gene_model_track,Options:GeneOnly]&amp;mk=2616015:2616034|offset_22|444444,2615973:2615992|offset_64|444444,2615951:2615970|offset_86|444444,2615928:2615947|offset_109|00cc00&amp;v=2615814:2616147&amp;c=444444", "offset 109")</f>
        <v>offset 109</v>
      </c>
    </row>
    <row r="9175" customFormat="false" ht="12.8" hidden="false" customHeight="false" outlineLevel="0" collapsed="false">
      <c r="A9175" s="0" t="s">
        <v>12</v>
      </c>
      <c r="B9175" s="0" t="n">
        <v>2616201</v>
      </c>
      <c r="C9175" s="0" t="n">
        <v>2616221</v>
      </c>
      <c r="D9175" s="0" t="s">
        <v>30632</v>
      </c>
      <c r="E9175" s="0" t="s">
        <v>89</v>
      </c>
      <c r="F9175" s="0" t="s">
        <v>15</v>
      </c>
      <c r="G9175" s="0" t="s">
        <v>16</v>
      </c>
      <c r="H9175" s="0" t="n">
        <v>0</v>
      </c>
      <c r="I9175" s="0" t="s">
        <v>30633</v>
      </c>
      <c r="J9175" s="0" t="s">
        <v>30634</v>
      </c>
      <c r="K9175" s="0" t="s">
        <v>30635</v>
      </c>
      <c r="L9175" s="0" t="str">
        <f aca="false">HYPERLINK("https://www.ncbi.nlm.nih.gov/nuccore/CP000304.1?report=graph&amp;tracks=[key:gene_model_track,Options:GeneOnly]&amp;mk=2616202:2616221|offset_0|00cc00,2616242:2616261|offset_40|444444,2616263:2616282|offset_61|444444,2616309:2616328|offset_107|444444&amp;v=2616001:2616528&amp;c=444444", "offset 0")</f>
        <v>offset 0</v>
      </c>
    </row>
    <row r="9176" customFormat="false" ht="12.8" hidden="false" customHeight="false" outlineLevel="0" collapsed="false">
      <c r="A9176" s="0" t="s">
        <v>12</v>
      </c>
      <c r="B9176" s="0" t="n">
        <v>2616241</v>
      </c>
      <c r="C9176" s="0" t="n">
        <v>2616261</v>
      </c>
      <c r="D9176" s="0" t="s">
        <v>30632</v>
      </c>
      <c r="E9176" s="0" t="s">
        <v>89</v>
      </c>
      <c r="F9176" s="0" t="s">
        <v>15</v>
      </c>
      <c r="G9176" s="0" t="s">
        <v>16</v>
      </c>
      <c r="H9176" s="0" t="n">
        <v>40</v>
      </c>
      <c r="I9176" s="0" t="s">
        <v>30636</v>
      </c>
      <c r="J9176" s="0" t="s">
        <v>30637</v>
      </c>
      <c r="K9176" s="0" t="s">
        <v>30638</v>
      </c>
      <c r="L9176" s="0" t="str">
        <f aca="false">HYPERLINK("https://www.ncbi.nlm.nih.gov/nuccore/CP000304.1?report=graph&amp;tracks=[key:gene_model_track,Options:GeneOnly]&amp;mk=2616202:2616221|offset_0|444444,2616242:2616261|offset_40|00cc00,2616263:2616282|offset_61|444444,2616309:2616328|offset_107|444444&amp;v=2616001:2616528&amp;c=444444", "offset 40")</f>
        <v>offset 40</v>
      </c>
    </row>
    <row r="9177" customFormat="false" ht="12.8" hidden="false" customHeight="false" outlineLevel="0" collapsed="false">
      <c r="A9177" s="0" t="s">
        <v>12</v>
      </c>
      <c r="B9177" s="0" t="n">
        <v>2616262</v>
      </c>
      <c r="C9177" s="0" t="n">
        <v>2616282</v>
      </c>
      <c r="D9177" s="0" t="s">
        <v>30632</v>
      </c>
      <c r="E9177" s="0" t="s">
        <v>89</v>
      </c>
      <c r="F9177" s="0" t="s">
        <v>15</v>
      </c>
      <c r="G9177" s="0" t="s">
        <v>16</v>
      </c>
      <c r="H9177" s="0" t="n">
        <v>61</v>
      </c>
      <c r="I9177" s="0" t="s">
        <v>30639</v>
      </c>
      <c r="J9177" s="0" t="s">
        <v>30640</v>
      </c>
      <c r="K9177" s="0" t="s">
        <v>30641</v>
      </c>
      <c r="L9177" s="0" t="str">
        <f aca="false">HYPERLINK("https://www.ncbi.nlm.nih.gov/nuccore/CP000304.1?report=graph&amp;tracks=[key:gene_model_track,Options:GeneOnly]&amp;mk=2616202:2616221|offset_0|444444,2616242:2616261|offset_40|444444,2616263:2616282|offset_61|00cc00,2616309:2616328|offset_107|444444&amp;v=2616001:2616528&amp;c=444444", "offset 61")</f>
        <v>offset 61</v>
      </c>
    </row>
    <row r="9178" customFormat="false" ht="12.8" hidden="false" customHeight="false" outlineLevel="0" collapsed="false">
      <c r="A9178" s="0" t="s">
        <v>12</v>
      </c>
      <c r="B9178" s="0" t="n">
        <v>2616308</v>
      </c>
      <c r="C9178" s="0" t="n">
        <v>2616328</v>
      </c>
      <c r="D9178" s="0" t="s">
        <v>30632</v>
      </c>
      <c r="E9178" s="0" t="s">
        <v>89</v>
      </c>
      <c r="F9178" s="0" t="s">
        <v>15</v>
      </c>
      <c r="G9178" s="0" t="s">
        <v>26</v>
      </c>
      <c r="H9178" s="0" t="n">
        <v>107</v>
      </c>
      <c r="I9178" s="0" t="s">
        <v>30642</v>
      </c>
      <c r="J9178" s="0" t="s">
        <v>30643</v>
      </c>
      <c r="K9178" s="0" t="s">
        <v>30644</v>
      </c>
      <c r="L9178" s="0" t="str">
        <f aca="false">HYPERLINK("https://www.ncbi.nlm.nih.gov/nuccore/CP000304.1?report=graph&amp;tracks=[key:gene_model_track,Options:GeneOnly]&amp;mk=2616202:2616221|offset_0|444444,2616242:2616261|offset_40|444444,2616263:2616282|offset_61|444444,2616309:2616328|offset_107|00cc00&amp;v=2616001:2616528&amp;c=444444", "offset 107")</f>
        <v>offset 107</v>
      </c>
    </row>
    <row r="9179" customFormat="false" ht="12.8" hidden="false" customHeight="false" outlineLevel="0" collapsed="false">
      <c r="A9179" s="0" t="s">
        <v>12</v>
      </c>
      <c r="B9179" s="0" t="n">
        <v>2617235</v>
      </c>
      <c r="C9179" s="0" t="n">
        <v>2617255</v>
      </c>
      <c r="D9179" s="0" t="s">
        <v>30645</v>
      </c>
      <c r="E9179" s="0" t="s">
        <v>89</v>
      </c>
      <c r="F9179" s="0" t="s">
        <v>15</v>
      </c>
      <c r="G9179" s="0" t="s">
        <v>16</v>
      </c>
      <c r="H9179" s="0" t="n">
        <v>9</v>
      </c>
      <c r="I9179" s="0" t="s">
        <v>30646</v>
      </c>
      <c r="J9179" s="0" t="s">
        <v>30647</v>
      </c>
      <c r="K9179" s="0" t="s">
        <v>30648</v>
      </c>
      <c r="L9179" s="0" t="str">
        <f aca="false">HYPERLINK("https://www.ncbi.nlm.nih.gov/nuccore/CP000304.1?report=graph&amp;tracks=[key:gene_model_track,Options:GeneOnly]&amp;mk=2617236:2617255|offset_9|00cc00,2617260:2617279|offset_33|444444,2617283:2617302|offset_56|444444,2617319:2617338|offset_92|444444&amp;v=2617035:2617538&amp;c=444444", "offset 9")</f>
        <v>offset 9</v>
      </c>
    </row>
    <row r="9180" customFormat="false" ht="12.8" hidden="false" customHeight="false" outlineLevel="0" collapsed="false">
      <c r="A9180" s="0" t="s">
        <v>12</v>
      </c>
      <c r="B9180" s="0" t="n">
        <v>2617259</v>
      </c>
      <c r="C9180" s="0" t="n">
        <v>2617279</v>
      </c>
      <c r="D9180" s="0" t="s">
        <v>30645</v>
      </c>
      <c r="E9180" s="0" t="s">
        <v>89</v>
      </c>
      <c r="F9180" s="0" t="s">
        <v>15</v>
      </c>
      <c r="G9180" s="0" t="s">
        <v>16</v>
      </c>
      <c r="H9180" s="0" t="n">
        <v>33</v>
      </c>
      <c r="I9180" s="0" t="s">
        <v>30649</v>
      </c>
      <c r="J9180" s="0" t="s">
        <v>30650</v>
      </c>
      <c r="K9180" s="0" t="s">
        <v>30651</v>
      </c>
      <c r="L9180" s="0" t="str">
        <f aca="false">HYPERLINK("https://www.ncbi.nlm.nih.gov/nuccore/CP000304.1?report=graph&amp;tracks=[key:gene_model_track,Options:GeneOnly]&amp;mk=2617236:2617255|offset_9|444444,2617260:2617279|offset_33|00cc00,2617283:2617302|offset_56|444444,2617319:2617338|offset_92|444444&amp;v=2617035:2617538&amp;c=444444", "offset 33")</f>
        <v>offset 33</v>
      </c>
    </row>
    <row r="9181" customFormat="false" ht="12.8" hidden="false" customHeight="false" outlineLevel="0" collapsed="false">
      <c r="A9181" s="0" t="s">
        <v>12</v>
      </c>
      <c r="B9181" s="0" t="n">
        <v>2617282</v>
      </c>
      <c r="C9181" s="0" t="n">
        <v>2617302</v>
      </c>
      <c r="D9181" s="0" t="s">
        <v>30645</v>
      </c>
      <c r="E9181" s="0" t="s">
        <v>89</v>
      </c>
      <c r="F9181" s="0" t="s">
        <v>15</v>
      </c>
      <c r="G9181" s="0" t="s">
        <v>16</v>
      </c>
      <c r="H9181" s="0" t="n">
        <v>56</v>
      </c>
      <c r="I9181" s="0" t="s">
        <v>30652</v>
      </c>
      <c r="J9181" s="0" t="s">
        <v>30653</v>
      </c>
      <c r="K9181" s="0" t="s">
        <v>30654</v>
      </c>
      <c r="L9181" s="0" t="str">
        <f aca="false">HYPERLINK("https://www.ncbi.nlm.nih.gov/nuccore/CP000304.1?report=graph&amp;tracks=[key:gene_model_track,Options:GeneOnly]&amp;mk=2617236:2617255|offset_9|444444,2617260:2617279|offset_33|444444,2617283:2617302|offset_56|00cc00,2617319:2617338|offset_92|444444&amp;v=2617035:2617538&amp;c=444444", "offset 56")</f>
        <v>offset 56</v>
      </c>
    </row>
    <row r="9182" customFormat="false" ht="12.8" hidden="false" customHeight="false" outlineLevel="0" collapsed="false">
      <c r="A9182" s="0" t="s">
        <v>12</v>
      </c>
      <c r="B9182" s="0" t="n">
        <v>2617318</v>
      </c>
      <c r="C9182" s="0" t="n">
        <v>2617338</v>
      </c>
      <c r="D9182" s="0" t="s">
        <v>30645</v>
      </c>
      <c r="E9182" s="0" t="s">
        <v>89</v>
      </c>
      <c r="F9182" s="0" t="s">
        <v>15</v>
      </c>
      <c r="G9182" s="0" t="s">
        <v>16</v>
      </c>
      <c r="H9182" s="0" t="n">
        <v>92</v>
      </c>
      <c r="I9182" s="0" t="s">
        <v>30655</v>
      </c>
      <c r="J9182" s="0" t="s">
        <v>30656</v>
      </c>
      <c r="K9182" s="0" t="s">
        <v>30657</v>
      </c>
      <c r="L9182" s="0" t="str">
        <f aca="false">HYPERLINK("https://www.ncbi.nlm.nih.gov/nuccore/CP000304.1?report=graph&amp;tracks=[key:gene_model_track,Options:GeneOnly]&amp;mk=2617236:2617255|offset_9|444444,2617260:2617279|offset_33|444444,2617283:2617302|offset_56|444444,2617319:2617338|offset_92|00cc00&amp;v=2617035:2617538&amp;c=444444", "offset 92")</f>
        <v>offset 92</v>
      </c>
    </row>
    <row r="9183" customFormat="false" ht="12.8" hidden="false" customHeight="false" outlineLevel="0" collapsed="false">
      <c r="A9183" s="0" t="s">
        <v>12</v>
      </c>
      <c r="B9183" s="0" t="n">
        <v>2618194</v>
      </c>
      <c r="C9183" s="0" t="n">
        <v>2618214</v>
      </c>
      <c r="D9183" s="0" t="s">
        <v>30658</v>
      </c>
      <c r="E9183" s="0" t="s">
        <v>89</v>
      </c>
      <c r="F9183" s="0" t="s">
        <v>15</v>
      </c>
      <c r="G9183" s="0" t="s">
        <v>16</v>
      </c>
      <c r="H9183" s="0" t="n">
        <v>9</v>
      </c>
      <c r="I9183" s="0" t="s">
        <v>30659</v>
      </c>
      <c r="J9183" s="0" t="s">
        <v>30660</v>
      </c>
      <c r="K9183" s="0" t="s">
        <v>30661</v>
      </c>
      <c r="L9183" s="0" t="str">
        <f aca="false">HYPERLINK("https://www.ncbi.nlm.nih.gov/nuccore/CP000304.1?report=graph&amp;tracks=[key:gene_model_track,Options:GeneOnly]&amp;mk=2618195:2618214|offset_9|00cc00,2618215:2618234|offset_29|444444,2618238:2618257|offset_52|444444,2618317:2618336|offset_131|444444&amp;v=2617994:2618536&amp;c=444444", "offset 9")</f>
        <v>offset 9</v>
      </c>
    </row>
    <row r="9184" customFormat="false" ht="12.8" hidden="false" customHeight="false" outlineLevel="0" collapsed="false">
      <c r="A9184" s="0" t="s">
        <v>12</v>
      </c>
      <c r="B9184" s="0" t="n">
        <v>2618214</v>
      </c>
      <c r="C9184" s="0" t="n">
        <v>2618234</v>
      </c>
      <c r="D9184" s="0" t="s">
        <v>30658</v>
      </c>
      <c r="E9184" s="0" t="s">
        <v>89</v>
      </c>
      <c r="F9184" s="0" t="s">
        <v>15</v>
      </c>
      <c r="G9184" s="0" t="s">
        <v>26</v>
      </c>
      <c r="H9184" s="0" t="n">
        <v>29</v>
      </c>
      <c r="I9184" s="0" t="s">
        <v>30662</v>
      </c>
      <c r="J9184" s="0" t="s">
        <v>30663</v>
      </c>
      <c r="K9184" s="0" t="s">
        <v>30664</v>
      </c>
      <c r="L9184" s="0" t="str">
        <f aca="false">HYPERLINK("https://www.ncbi.nlm.nih.gov/nuccore/CP000304.1?report=graph&amp;tracks=[key:gene_model_track,Options:GeneOnly]&amp;mk=2618195:2618214|offset_9|444444,2618215:2618234|offset_29|00cc00,2618238:2618257|offset_52|444444,2618317:2618336|offset_131|444444&amp;v=2617994:2618536&amp;c=444444", "offset 29")</f>
        <v>offset 29</v>
      </c>
    </row>
    <row r="9185" customFormat="false" ht="12.8" hidden="false" customHeight="false" outlineLevel="0" collapsed="false">
      <c r="A9185" s="0" t="s">
        <v>12</v>
      </c>
      <c r="B9185" s="0" t="n">
        <v>2618237</v>
      </c>
      <c r="C9185" s="0" t="n">
        <v>2618257</v>
      </c>
      <c r="D9185" s="0" t="s">
        <v>30658</v>
      </c>
      <c r="E9185" s="0" t="s">
        <v>89</v>
      </c>
      <c r="F9185" s="0" t="s">
        <v>15</v>
      </c>
      <c r="G9185" s="0" t="s">
        <v>26</v>
      </c>
      <c r="H9185" s="0" t="n">
        <v>52</v>
      </c>
      <c r="I9185" s="0" t="s">
        <v>30665</v>
      </c>
      <c r="J9185" s="0" t="s">
        <v>30666</v>
      </c>
      <c r="K9185" s="0" t="s">
        <v>30667</v>
      </c>
      <c r="L9185" s="0" t="str">
        <f aca="false">HYPERLINK("https://www.ncbi.nlm.nih.gov/nuccore/CP000304.1?report=graph&amp;tracks=[key:gene_model_track,Options:GeneOnly]&amp;mk=2618195:2618214|offset_9|444444,2618215:2618234|offset_29|444444,2618238:2618257|offset_52|00cc00,2618317:2618336|offset_131|444444&amp;v=2617994:2618536&amp;c=444444", "offset 52")</f>
        <v>offset 52</v>
      </c>
    </row>
    <row r="9186" customFormat="false" ht="12.8" hidden="false" customHeight="false" outlineLevel="0" collapsed="false">
      <c r="A9186" s="0" t="s">
        <v>12</v>
      </c>
      <c r="B9186" s="0" t="n">
        <v>2618316</v>
      </c>
      <c r="C9186" s="0" t="n">
        <v>2618336</v>
      </c>
      <c r="D9186" s="0" t="s">
        <v>30658</v>
      </c>
      <c r="E9186" s="0" t="s">
        <v>89</v>
      </c>
      <c r="F9186" s="0" t="s">
        <v>15</v>
      </c>
      <c r="G9186" s="0" t="s">
        <v>32</v>
      </c>
      <c r="H9186" s="0" t="n">
        <v>131</v>
      </c>
      <c r="I9186" s="0" t="s">
        <v>30668</v>
      </c>
      <c r="J9186" s="0" t="s">
        <v>30669</v>
      </c>
      <c r="K9186" s="0" t="s">
        <v>30670</v>
      </c>
      <c r="L9186" s="0" t="str">
        <f aca="false">HYPERLINK("https://www.ncbi.nlm.nih.gov/nuccore/CP000304.1?report=graph&amp;tracks=[key:gene_model_track,Options:GeneOnly]&amp;mk=2618195:2618214|offset_9|444444,2618215:2618234|offset_29|444444,2618238:2618257|offset_52|444444,2618317:2618336|offset_131|00cc00&amp;v=2617994:2618536&amp;c=444444", "offset 131")</f>
        <v>offset 131</v>
      </c>
    </row>
    <row r="9187" customFormat="false" ht="12.8" hidden="false" customHeight="false" outlineLevel="0" collapsed="false">
      <c r="A9187" s="0" t="s">
        <v>12</v>
      </c>
      <c r="B9187" s="0" t="n">
        <v>2618688</v>
      </c>
      <c r="C9187" s="0" t="n">
        <v>2618708</v>
      </c>
      <c r="D9187" s="0" t="s">
        <v>30671</v>
      </c>
      <c r="E9187" s="0" t="s">
        <v>89</v>
      </c>
      <c r="F9187" s="0" t="s">
        <v>15</v>
      </c>
      <c r="G9187" s="0" t="s">
        <v>26</v>
      </c>
      <c r="H9187" s="0" t="n">
        <v>16</v>
      </c>
      <c r="I9187" s="0" t="s">
        <v>30672</v>
      </c>
      <c r="J9187" s="0" t="s">
        <v>30673</v>
      </c>
      <c r="K9187" s="0" t="s">
        <v>30674</v>
      </c>
      <c r="L9187" s="0" t="str">
        <f aca="false">HYPERLINK("https://www.ncbi.nlm.nih.gov/nuccore/CP000304.1?report=graph&amp;tracks=[key:gene_model_track,Options:GeneOnly]&amp;mk=2618689:2618708|offset_16|00cc00,2618721:2618740|offset_48|444444,2618745:2618764|offset_72|444444,2618767:2618786|offset_94|444444&amp;v=2618488:2618986&amp;c=444444", "offset 16")</f>
        <v>offset 16</v>
      </c>
    </row>
    <row r="9188" customFormat="false" ht="12.8" hidden="false" customHeight="false" outlineLevel="0" collapsed="false">
      <c r="A9188" s="0" t="s">
        <v>12</v>
      </c>
      <c r="B9188" s="0" t="n">
        <v>2618720</v>
      </c>
      <c r="C9188" s="0" t="n">
        <v>2618740</v>
      </c>
      <c r="D9188" s="0" t="s">
        <v>30671</v>
      </c>
      <c r="E9188" s="0" t="s">
        <v>89</v>
      </c>
      <c r="F9188" s="0" t="s">
        <v>15</v>
      </c>
      <c r="G9188" s="0" t="s">
        <v>36</v>
      </c>
      <c r="H9188" s="0" t="n">
        <v>48</v>
      </c>
      <c r="I9188" s="0" t="s">
        <v>30675</v>
      </c>
      <c r="J9188" s="0" t="s">
        <v>30676</v>
      </c>
      <c r="K9188" s="0" t="s">
        <v>30677</v>
      </c>
      <c r="L9188" s="0" t="str">
        <f aca="false">HYPERLINK("https://www.ncbi.nlm.nih.gov/nuccore/CP000304.1?report=graph&amp;tracks=[key:gene_model_track,Options:GeneOnly]&amp;mk=2618689:2618708|offset_16|444444,2618721:2618740|offset_48|00cc00,2618745:2618764|offset_72|444444,2618767:2618786|offset_94|444444&amp;v=2618488:2618986&amp;c=444444", "offset 48")</f>
        <v>offset 48</v>
      </c>
    </row>
    <row r="9189" customFormat="false" ht="12.8" hidden="false" customHeight="false" outlineLevel="0" collapsed="false">
      <c r="A9189" s="0" t="s">
        <v>12</v>
      </c>
      <c r="B9189" s="0" t="n">
        <v>2618744</v>
      </c>
      <c r="C9189" s="0" t="n">
        <v>2618764</v>
      </c>
      <c r="D9189" s="0" t="s">
        <v>30671</v>
      </c>
      <c r="E9189" s="0" t="s">
        <v>89</v>
      </c>
      <c r="F9189" s="0" t="s">
        <v>15</v>
      </c>
      <c r="G9189" s="0" t="s">
        <v>16</v>
      </c>
      <c r="H9189" s="0" t="n">
        <v>72</v>
      </c>
      <c r="I9189" s="0" t="s">
        <v>30678</v>
      </c>
      <c r="J9189" s="0" t="s">
        <v>30679</v>
      </c>
      <c r="K9189" s="0" t="s">
        <v>30680</v>
      </c>
      <c r="L9189" s="0" t="str">
        <f aca="false">HYPERLINK("https://www.ncbi.nlm.nih.gov/nuccore/CP000304.1?report=graph&amp;tracks=[key:gene_model_track,Options:GeneOnly]&amp;mk=2618689:2618708|offset_16|444444,2618721:2618740|offset_48|444444,2618745:2618764|offset_72|00cc00,2618767:2618786|offset_94|444444&amp;v=2618488:2618986&amp;c=444444", "offset 72")</f>
        <v>offset 72</v>
      </c>
    </row>
    <row r="9190" customFormat="false" ht="12.8" hidden="false" customHeight="false" outlineLevel="0" collapsed="false">
      <c r="A9190" s="0" t="s">
        <v>12</v>
      </c>
      <c r="B9190" s="0" t="n">
        <v>2618766</v>
      </c>
      <c r="C9190" s="0" t="n">
        <v>2618786</v>
      </c>
      <c r="D9190" s="0" t="s">
        <v>30671</v>
      </c>
      <c r="E9190" s="0" t="s">
        <v>89</v>
      </c>
      <c r="F9190" s="0" t="s">
        <v>15</v>
      </c>
      <c r="G9190" s="0" t="s">
        <v>16</v>
      </c>
      <c r="H9190" s="0" t="n">
        <v>94</v>
      </c>
      <c r="I9190" s="0" t="s">
        <v>30681</v>
      </c>
      <c r="J9190" s="0" t="s">
        <v>30682</v>
      </c>
      <c r="K9190" s="0" t="s">
        <v>30683</v>
      </c>
      <c r="L9190" s="0" t="str">
        <f aca="false">HYPERLINK("https://www.ncbi.nlm.nih.gov/nuccore/CP000304.1?report=graph&amp;tracks=[key:gene_model_track,Options:GeneOnly]&amp;mk=2618689:2618708|offset_16|444444,2618721:2618740|offset_48|444444,2618745:2618764|offset_72|444444,2618767:2618786|offset_94|00cc00&amp;v=2618488:2618986&amp;c=444444", "offset 94")</f>
        <v>offset 94</v>
      </c>
    </row>
    <row r="9191" customFormat="false" ht="12.8" hidden="false" customHeight="false" outlineLevel="0" collapsed="false">
      <c r="A9191" s="0" t="s">
        <v>12</v>
      </c>
      <c r="B9191" s="0" t="n">
        <v>2619706</v>
      </c>
      <c r="C9191" s="0" t="n">
        <v>2619726</v>
      </c>
      <c r="D9191" s="0" t="s">
        <v>30684</v>
      </c>
      <c r="E9191" s="0" t="s">
        <v>89</v>
      </c>
      <c r="F9191" s="0" t="s">
        <v>15</v>
      </c>
      <c r="G9191" s="0" t="s">
        <v>36</v>
      </c>
      <c r="H9191" s="0" t="n">
        <v>18</v>
      </c>
      <c r="I9191" s="0" t="s">
        <v>30685</v>
      </c>
      <c r="J9191" s="0" t="s">
        <v>30686</v>
      </c>
      <c r="K9191" s="0" t="s">
        <v>30687</v>
      </c>
      <c r="L9191" s="0" t="str">
        <f aca="false">HYPERLINK("https://www.ncbi.nlm.nih.gov/nuccore/CP000304.1?report=graph&amp;tracks=[key:gene_model_track,Options:GeneOnly]&amp;mk=2619707:2619726|offset_18|00cc00,2619735:2619754|offset_46|444444,2619769:2619788|offset_80|444444,2619815:2619834|offset_126|444444&amp;v=2619506:2620034&amp;c=444444", "offset 18")</f>
        <v>offset 18</v>
      </c>
    </row>
    <row r="9192" customFormat="false" ht="12.8" hidden="false" customHeight="false" outlineLevel="0" collapsed="false">
      <c r="A9192" s="0" t="s">
        <v>12</v>
      </c>
      <c r="B9192" s="0" t="n">
        <v>2619734</v>
      </c>
      <c r="C9192" s="0" t="n">
        <v>2619754</v>
      </c>
      <c r="D9192" s="0" t="s">
        <v>30684</v>
      </c>
      <c r="E9192" s="0" t="s">
        <v>89</v>
      </c>
      <c r="F9192" s="0" t="s">
        <v>15</v>
      </c>
      <c r="G9192" s="0" t="s">
        <v>32</v>
      </c>
      <c r="H9192" s="0" t="n">
        <v>46</v>
      </c>
      <c r="I9192" s="0" t="s">
        <v>30688</v>
      </c>
      <c r="J9192" s="0" t="s">
        <v>30689</v>
      </c>
      <c r="K9192" s="0" t="s">
        <v>30690</v>
      </c>
      <c r="L9192" s="0" t="str">
        <f aca="false">HYPERLINK("https://www.ncbi.nlm.nih.gov/nuccore/CP000304.1?report=graph&amp;tracks=[key:gene_model_track,Options:GeneOnly]&amp;mk=2619707:2619726|offset_18|444444,2619735:2619754|offset_46|00cc00,2619769:2619788|offset_80|444444,2619815:2619834|offset_126|444444&amp;v=2619506:2620034&amp;c=444444", "offset 46")</f>
        <v>offset 46</v>
      </c>
    </row>
    <row r="9193" customFormat="false" ht="12.8" hidden="false" customHeight="false" outlineLevel="0" collapsed="false">
      <c r="A9193" s="0" t="s">
        <v>12</v>
      </c>
      <c r="B9193" s="0" t="n">
        <v>2619768</v>
      </c>
      <c r="C9193" s="0" t="n">
        <v>2619788</v>
      </c>
      <c r="D9193" s="0" t="s">
        <v>30684</v>
      </c>
      <c r="E9193" s="0" t="s">
        <v>89</v>
      </c>
      <c r="F9193" s="0" t="s">
        <v>15</v>
      </c>
      <c r="G9193" s="0" t="s">
        <v>26</v>
      </c>
      <c r="H9193" s="0" t="n">
        <v>80</v>
      </c>
      <c r="I9193" s="0" t="s">
        <v>30691</v>
      </c>
      <c r="J9193" s="0" t="s">
        <v>30692</v>
      </c>
      <c r="K9193" s="0" t="s">
        <v>30693</v>
      </c>
      <c r="L9193" s="0" t="str">
        <f aca="false">HYPERLINK("https://www.ncbi.nlm.nih.gov/nuccore/CP000304.1?report=graph&amp;tracks=[key:gene_model_track,Options:GeneOnly]&amp;mk=2619707:2619726|offset_18|444444,2619735:2619754|offset_46|444444,2619769:2619788|offset_80|00cc00,2619815:2619834|offset_126|444444&amp;v=2619506:2620034&amp;c=444444", "offset 80")</f>
        <v>offset 80</v>
      </c>
    </row>
    <row r="9194" customFormat="false" ht="12.8" hidden="false" customHeight="false" outlineLevel="0" collapsed="false">
      <c r="A9194" s="0" t="s">
        <v>12</v>
      </c>
      <c r="B9194" s="0" t="n">
        <v>2619814</v>
      </c>
      <c r="C9194" s="0" t="n">
        <v>2619834</v>
      </c>
      <c r="D9194" s="0" t="s">
        <v>30684</v>
      </c>
      <c r="E9194" s="0" t="s">
        <v>89</v>
      </c>
      <c r="F9194" s="0" t="s">
        <v>15</v>
      </c>
      <c r="G9194" s="0" t="s">
        <v>16</v>
      </c>
      <c r="H9194" s="0" t="n">
        <v>126</v>
      </c>
      <c r="I9194" s="0" t="s">
        <v>30694</v>
      </c>
      <c r="J9194" s="0" t="s">
        <v>30695</v>
      </c>
      <c r="K9194" s="0" t="s">
        <v>30696</v>
      </c>
      <c r="L9194" s="0" t="str">
        <f aca="false">HYPERLINK("https://www.ncbi.nlm.nih.gov/nuccore/CP000304.1?report=graph&amp;tracks=[key:gene_model_track,Options:GeneOnly]&amp;mk=2619707:2619726|offset_18|444444,2619735:2619754|offset_46|444444,2619769:2619788|offset_80|444444,2619815:2619834|offset_126|00cc00&amp;v=2619506:2620034&amp;c=444444", "offset 126")</f>
        <v>offset 126</v>
      </c>
    </row>
    <row r="9195" customFormat="false" ht="12.8" hidden="false" customHeight="false" outlineLevel="0" collapsed="false">
      <c r="A9195" s="0" t="s">
        <v>12</v>
      </c>
      <c r="B9195" s="0" t="n">
        <v>2621405</v>
      </c>
      <c r="C9195" s="0" t="n">
        <v>2621425</v>
      </c>
      <c r="D9195" s="0" t="s">
        <v>30697</v>
      </c>
      <c r="E9195" s="0" t="s">
        <v>89</v>
      </c>
      <c r="F9195" s="0" t="s">
        <v>15</v>
      </c>
      <c r="G9195" s="0" t="s">
        <v>26</v>
      </c>
      <c r="H9195" s="0" t="n">
        <v>98</v>
      </c>
      <c r="I9195" s="0" t="s">
        <v>30698</v>
      </c>
      <c r="J9195" s="0" t="s">
        <v>30699</v>
      </c>
      <c r="K9195" s="0" t="s">
        <v>30700</v>
      </c>
      <c r="L9195" s="0" t="str">
        <f aca="false">HYPERLINK("https://www.ncbi.nlm.nih.gov/nuccore/CP000304.1?report=graph&amp;tracks=[key:gene_model_track,Options:GeneOnly]&amp;mk=2621406:2621425|offset_98|00cc00,2621450:2621469|offset_142|444444,2621484:2621503|offset_176|444444,2621505:2621524|offset_197|444444&amp;v=2621205:2621724&amp;c=444444", "offset 98")</f>
        <v>offset 98</v>
      </c>
    </row>
    <row r="9196" customFormat="false" ht="12.8" hidden="false" customHeight="false" outlineLevel="0" collapsed="false">
      <c r="A9196" s="0" t="s">
        <v>12</v>
      </c>
      <c r="B9196" s="0" t="n">
        <v>2621449</v>
      </c>
      <c r="C9196" s="0" t="n">
        <v>2621469</v>
      </c>
      <c r="D9196" s="0" t="s">
        <v>30697</v>
      </c>
      <c r="E9196" s="0" t="s">
        <v>89</v>
      </c>
      <c r="F9196" s="0" t="s">
        <v>15</v>
      </c>
      <c r="G9196" s="0" t="s">
        <v>16</v>
      </c>
      <c r="H9196" s="0" t="n">
        <v>142</v>
      </c>
      <c r="I9196" s="0" t="s">
        <v>30701</v>
      </c>
      <c r="J9196" s="0" t="s">
        <v>30702</v>
      </c>
      <c r="K9196" s="0" t="s">
        <v>30703</v>
      </c>
      <c r="L9196" s="0" t="str">
        <f aca="false">HYPERLINK("https://www.ncbi.nlm.nih.gov/nuccore/CP000304.1?report=graph&amp;tracks=[key:gene_model_track,Options:GeneOnly]&amp;mk=2621406:2621425|offset_98|444444,2621450:2621469|offset_142|00cc00,2621484:2621503|offset_176|444444,2621505:2621524|offset_197|444444&amp;v=2621205:2621724&amp;c=444444", "offset 142")</f>
        <v>offset 142</v>
      </c>
    </row>
    <row r="9197" customFormat="false" ht="12.8" hidden="false" customHeight="false" outlineLevel="0" collapsed="false">
      <c r="A9197" s="0" t="s">
        <v>12</v>
      </c>
      <c r="B9197" s="0" t="n">
        <v>2621483</v>
      </c>
      <c r="C9197" s="0" t="n">
        <v>2621503</v>
      </c>
      <c r="D9197" s="0" t="s">
        <v>30697</v>
      </c>
      <c r="E9197" s="0" t="s">
        <v>89</v>
      </c>
      <c r="F9197" s="0" t="s">
        <v>15</v>
      </c>
      <c r="G9197" s="0" t="s">
        <v>32</v>
      </c>
      <c r="H9197" s="0" t="n">
        <v>176</v>
      </c>
      <c r="I9197" s="0" t="s">
        <v>30704</v>
      </c>
      <c r="J9197" s="0" t="s">
        <v>30705</v>
      </c>
      <c r="K9197" s="0" t="s">
        <v>30706</v>
      </c>
      <c r="L9197" s="0" t="str">
        <f aca="false">HYPERLINK("https://www.ncbi.nlm.nih.gov/nuccore/CP000304.1?report=graph&amp;tracks=[key:gene_model_track,Options:GeneOnly]&amp;mk=2621406:2621425|offset_98|444444,2621450:2621469|offset_142|444444,2621484:2621503|offset_176|00cc00,2621505:2621524|offset_197|444444&amp;v=2621205:2621724&amp;c=444444", "offset 176")</f>
        <v>offset 176</v>
      </c>
    </row>
    <row r="9198" customFormat="false" ht="12.8" hidden="false" customHeight="false" outlineLevel="0" collapsed="false">
      <c r="A9198" s="0" t="s">
        <v>12</v>
      </c>
      <c r="B9198" s="0" t="n">
        <v>2621504</v>
      </c>
      <c r="C9198" s="0" t="n">
        <v>2621524</v>
      </c>
      <c r="D9198" s="0" t="s">
        <v>30697</v>
      </c>
      <c r="E9198" s="0" t="s">
        <v>89</v>
      </c>
      <c r="F9198" s="0" t="s">
        <v>15</v>
      </c>
      <c r="G9198" s="0" t="s">
        <v>26</v>
      </c>
      <c r="H9198" s="0" t="n">
        <v>197</v>
      </c>
      <c r="I9198" s="0" t="s">
        <v>30707</v>
      </c>
      <c r="J9198" s="0" t="s">
        <v>30708</v>
      </c>
      <c r="K9198" s="0" t="s">
        <v>30709</v>
      </c>
      <c r="L9198" s="0" t="str">
        <f aca="false">HYPERLINK("https://www.ncbi.nlm.nih.gov/nuccore/CP000304.1?report=graph&amp;tracks=[key:gene_model_track,Options:GeneOnly]&amp;mk=2621406:2621425|offset_98|444444,2621450:2621469|offset_142|444444,2621484:2621503|offset_176|444444,2621505:2621524|offset_197|00cc00&amp;v=2621205:2621724&amp;c=444444", "offset 197")</f>
        <v>offset 197</v>
      </c>
    </row>
    <row r="9199" customFormat="false" ht="12.8" hidden="false" customHeight="false" outlineLevel="0" collapsed="false">
      <c r="A9199" s="0" t="s">
        <v>12</v>
      </c>
      <c r="B9199" s="0" t="n">
        <v>2623029</v>
      </c>
      <c r="C9199" s="0" t="n">
        <v>2623049</v>
      </c>
      <c r="D9199" s="0" t="s">
        <v>30710</v>
      </c>
      <c r="E9199" s="0" t="s">
        <v>30711</v>
      </c>
      <c r="F9199" s="0" t="s">
        <v>15</v>
      </c>
      <c r="G9199" s="0" t="s">
        <v>16</v>
      </c>
      <c r="H9199" s="0" t="n">
        <v>101</v>
      </c>
      <c r="I9199" s="0" t="s">
        <v>30712</v>
      </c>
      <c r="J9199" s="0" t="s">
        <v>30713</v>
      </c>
      <c r="K9199" s="0" t="s">
        <v>30714</v>
      </c>
      <c r="L9199" s="0" t="str">
        <f aca="false">HYPERLINK("https://www.ncbi.nlm.nih.gov/nuccore/CP000304.1?report=graph&amp;tracks=[key:gene_model_track,Options:GeneOnly]&amp;mk=2623030:2623049|offset_101|00cc00,2623056:2623075|offset_127|444444,2623079:2623098|offset_150|444444,2623122:2623141|offset_193|444444&amp;v=2622829:2623341&amp;c=444444", "offset 101")</f>
        <v>offset 101</v>
      </c>
    </row>
    <row r="9200" customFormat="false" ht="12.8" hidden="false" customHeight="false" outlineLevel="0" collapsed="false">
      <c r="A9200" s="0" t="s">
        <v>12</v>
      </c>
      <c r="B9200" s="0" t="n">
        <v>2623055</v>
      </c>
      <c r="C9200" s="0" t="n">
        <v>2623075</v>
      </c>
      <c r="D9200" s="0" t="s">
        <v>30710</v>
      </c>
      <c r="E9200" s="0" t="s">
        <v>30711</v>
      </c>
      <c r="F9200" s="0" t="s">
        <v>15</v>
      </c>
      <c r="G9200" s="0" t="s">
        <v>32</v>
      </c>
      <c r="H9200" s="0" t="n">
        <v>127</v>
      </c>
      <c r="I9200" s="0" t="s">
        <v>30715</v>
      </c>
      <c r="J9200" s="0" t="s">
        <v>30716</v>
      </c>
      <c r="K9200" s="0" t="s">
        <v>30717</v>
      </c>
      <c r="L9200" s="0" t="str">
        <f aca="false">HYPERLINK("https://www.ncbi.nlm.nih.gov/nuccore/CP000304.1?report=graph&amp;tracks=[key:gene_model_track,Options:GeneOnly]&amp;mk=2623030:2623049|offset_101|444444,2623056:2623075|offset_127|00cc00,2623079:2623098|offset_150|444444,2623122:2623141|offset_193|444444&amp;v=2622829:2623341&amp;c=444444", "offset 127")</f>
        <v>offset 127</v>
      </c>
    </row>
    <row r="9201" customFormat="false" ht="12.8" hidden="false" customHeight="false" outlineLevel="0" collapsed="false">
      <c r="A9201" s="0" t="s">
        <v>12</v>
      </c>
      <c r="B9201" s="0" t="n">
        <v>2623078</v>
      </c>
      <c r="C9201" s="0" t="n">
        <v>2623098</v>
      </c>
      <c r="D9201" s="0" t="s">
        <v>30710</v>
      </c>
      <c r="E9201" s="0" t="s">
        <v>30711</v>
      </c>
      <c r="F9201" s="0" t="s">
        <v>15</v>
      </c>
      <c r="G9201" s="0" t="s">
        <v>32</v>
      </c>
      <c r="H9201" s="0" t="n">
        <v>150</v>
      </c>
      <c r="I9201" s="0" t="s">
        <v>30718</v>
      </c>
      <c r="J9201" s="0" t="s">
        <v>30719</v>
      </c>
      <c r="K9201" s="0" t="s">
        <v>30720</v>
      </c>
      <c r="L9201" s="0" t="str">
        <f aca="false">HYPERLINK("https://www.ncbi.nlm.nih.gov/nuccore/CP000304.1?report=graph&amp;tracks=[key:gene_model_track,Options:GeneOnly]&amp;mk=2623030:2623049|offset_101|444444,2623056:2623075|offset_127|444444,2623079:2623098|offset_150|00cc00,2623122:2623141|offset_193|444444&amp;v=2622829:2623341&amp;c=444444", "offset 150")</f>
        <v>offset 150</v>
      </c>
    </row>
    <row r="9202" customFormat="false" ht="12.8" hidden="false" customHeight="false" outlineLevel="0" collapsed="false">
      <c r="A9202" s="0" t="s">
        <v>12</v>
      </c>
      <c r="B9202" s="0" t="n">
        <v>2623121</v>
      </c>
      <c r="C9202" s="0" t="n">
        <v>2623141</v>
      </c>
      <c r="D9202" s="0" t="s">
        <v>30710</v>
      </c>
      <c r="E9202" s="0" t="s">
        <v>30711</v>
      </c>
      <c r="F9202" s="0" t="s">
        <v>15</v>
      </c>
      <c r="G9202" s="0" t="s">
        <v>32</v>
      </c>
      <c r="H9202" s="0" t="n">
        <v>193</v>
      </c>
      <c r="I9202" s="0" t="s">
        <v>30721</v>
      </c>
      <c r="J9202" s="0" t="s">
        <v>30722</v>
      </c>
      <c r="K9202" s="0" t="s">
        <v>30723</v>
      </c>
      <c r="L9202" s="0" t="str">
        <f aca="false">HYPERLINK("https://www.ncbi.nlm.nih.gov/nuccore/CP000304.1?report=graph&amp;tracks=[key:gene_model_track,Options:GeneOnly]&amp;mk=2623030:2623049|offset_101|444444,2623056:2623075|offset_127|444444,2623079:2623098|offset_150|444444,2623122:2623141|offset_193|00cc00&amp;v=2622829:2623341&amp;c=444444", "offset 193")</f>
        <v>offset 193</v>
      </c>
    </row>
    <row r="9203" customFormat="false" ht="12.8" hidden="false" customHeight="false" outlineLevel="0" collapsed="false">
      <c r="A9203" s="0" t="s">
        <v>12</v>
      </c>
      <c r="B9203" s="0" t="n">
        <v>2624388</v>
      </c>
      <c r="C9203" s="0" t="n">
        <v>2624408</v>
      </c>
      <c r="D9203" s="0" t="s">
        <v>30724</v>
      </c>
      <c r="E9203" s="0" t="s">
        <v>30725</v>
      </c>
      <c r="F9203" s="0" t="s">
        <v>15</v>
      </c>
      <c r="G9203" s="0" t="s">
        <v>16</v>
      </c>
      <c r="H9203" s="0" t="n">
        <v>46</v>
      </c>
      <c r="I9203" s="0" t="s">
        <v>30726</v>
      </c>
      <c r="J9203" s="0" t="s">
        <v>30727</v>
      </c>
      <c r="K9203" s="0" t="s">
        <v>30728</v>
      </c>
      <c r="L9203" s="0" t="str">
        <f aca="false">HYPERLINK("https://www.ncbi.nlm.nih.gov/nuccore/CP000304.1?report=graph&amp;tracks=[key:gene_model_track,Options:GeneOnly]&amp;mk=2624389:2624408|offset_46|00cc00,2624422:2624441|offset_79|444444,2624464:2624483|offset_121|444444,2624492:2624511|offset_149|444444&amp;v=2624188:2624711&amp;c=444444", "offset 46")</f>
        <v>offset 46</v>
      </c>
    </row>
    <row r="9204" customFormat="false" ht="12.8" hidden="false" customHeight="false" outlineLevel="0" collapsed="false">
      <c r="A9204" s="0" t="s">
        <v>12</v>
      </c>
      <c r="B9204" s="0" t="n">
        <v>2624421</v>
      </c>
      <c r="C9204" s="0" t="n">
        <v>2624441</v>
      </c>
      <c r="D9204" s="0" t="s">
        <v>30724</v>
      </c>
      <c r="E9204" s="0" t="s">
        <v>30725</v>
      </c>
      <c r="F9204" s="0" t="s">
        <v>15</v>
      </c>
      <c r="G9204" s="0" t="s">
        <v>36</v>
      </c>
      <c r="H9204" s="0" t="n">
        <v>79</v>
      </c>
      <c r="I9204" s="0" t="s">
        <v>30729</v>
      </c>
      <c r="J9204" s="0" t="s">
        <v>30730</v>
      </c>
      <c r="K9204" s="0" t="s">
        <v>30731</v>
      </c>
      <c r="L9204" s="0" t="str">
        <f aca="false">HYPERLINK("https://www.ncbi.nlm.nih.gov/nuccore/CP000304.1?report=graph&amp;tracks=[key:gene_model_track,Options:GeneOnly]&amp;mk=2624389:2624408|offset_46|444444,2624422:2624441|offset_79|00cc00,2624464:2624483|offset_121|444444,2624492:2624511|offset_149|444444&amp;v=2624188:2624711&amp;c=444444", "offset 79")</f>
        <v>offset 79</v>
      </c>
    </row>
    <row r="9205" customFormat="false" ht="12.8" hidden="false" customHeight="false" outlineLevel="0" collapsed="false">
      <c r="A9205" s="0" t="s">
        <v>12</v>
      </c>
      <c r="B9205" s="0" t="n">
        <v>2624463</v>
      </c>
      <c r="C9205" s="0" t="n">
        <v>2624483</v>
      </c>
      <c r="D9205" s="0" t="s">
        <v>30724</v>
      </c>
      <c r="E9205" s="0" t="s">
        <v>30725</v>
      </c>
      <c r="F9205" s="0" t="s">
        <v>15</v>
      </c>
      <c r="G9205" s="0" t="s">
        <v>16</v>
      </c>
      <c r="H9205" s="0" t="n">
        <v>121</v>
      </c>
      <c r="I9205" s="0" t="s">
        <v>30732</v>
      </c>
      <c r="J9205" s="0" t="s">
        <v>30733</v>
      </c>
      <c r="K9205" s="0" t="s">
        <v>30734</v>
      </c>
      <c r="L9205" s="0" t="str">
        <f aca="false">HYPERLINK("https://www.ncbi.nlm.nih.gov/nuccore/CP000304.1?report=graph&amp;tracks=[key:gene_model_track,Options:GeneOnly]&amp;mk=2624389:2624408|offset_46|444444,2624422:2624441|offset_79|444444,2624464:2624483|offset_121|00cc00,2624492:2624511|offset_149|444444&amp;v=2624188:2624711&amp;c=444444", "offset 121")</f>
        <v>offset 121</v>
      </c>
    </row>
    <row r="9206" customFormat="false" ht="12.8" hidden="false" customHeight="false" outlineLevel="0" collapsed="false">
      <c r="A9206" s="0" t="s">
        <v>12</v>
      </c>
      <c r="B9206" s="0" t="n">
        <v>2624491</v>
      </c>
      <c r="C9206" s="0" t="n">
        <v>2624511</v>
      </c>
      <c r="D9206" s="0" t="s">
        <v>30724</v>
      </c>
      <c r="E9206" s="0" t="s">
        <v>30725</v>
      </c>
      <c r="F9206" s="0" t="s">
        <v>15</v>
      </c>
      <c r="G9206" s="0" t="s">
        <v>26</v>
      </c>
      <c r="H9206" s="0" t="n">
        <v>149</v>
      </c>
      <c r="I9206" s="0" t="s">
        <v>30735</v>
      </c>
      <c r="J9206" s="0" t="s">
        <v>30736</v>
      </c>
      <c r="K9206" s="0" t="s">
        <v>30737</v>
      </c>
      <c r="L9206" s="0" t="str">
        <f aca="false">HYPERLINK("https://www.ncbi.nlm.nih.gov/nuccore/CP000304.1?report=graph&amp;tracks=[key:gene_model_track,Options:GeneOnly]&amp;mk=2624389:2624408|offset_46|444444,2624422:2624441|offset_79|444444,2624464:2624483|offset_121|444444,2624492:2624511|offset_149|00cc00&amp;v=2624188:2624711&amp;c=444444", "offset 149")</f>
        <v>offset 149</v>
      </c>
    </row>
    <row r="9207" customFormat="false" ht="12.8" hidden="false" customHeight="false" outlineLevel="0" collapsed="false">
      <c r="A9207" s="0" t="s">
        <v>12</v>
      </c>
      <c r="B9207" s="0" t="n">
        <v>2625046</v>
      </c>
      <c r="C9207" s="0" t="n">
        <v>2625066</v>
      </c>
      <c r="D9207" s="0" t="s">
        <v>30738</v>
      </c>
      <c r="E9207" s="0" t="s">
        <v>89</v>
      </c>
      <c r="F9207" s="0" t="s">
        <v>15</v>
      </c>
      <c r="G9207" s="0" t="s">
        <v>32</v>
      </c>
      <c r="H9207" s="0" t="n">
        <v>8</v>
      </c>
      <c r="I9207" s="0" t="s">
        <v>30739</v>
      </c>
      <c r="J9207" s="0" t="s">
        <v>30740</v>
      </c>
      <c r="K9207" s="0" t="s">
        <v>30741</v>
      </c>
      <c r="L9207" s="0" t="str">
        <f aca="false">HYPERLINK("https://www.ncbi.nlm.nih.gov/nuccore/CP000304.1?report=graph&amp;tracks=[key:gene_model_track,Options:GeneOnly]&amp;mk=2625047:2625066|offset_8|00cc00,2625074:2625093|offset_35|444444,2625099:2625118|offset_60|444444,2625129:2625148|offset_90|444444&amp;v=2624846:2625348&amp;c=444444", "offset 8")</f>
        <v>offset 8</v>
      </c>
    </row>
    <row r="9208" customFormat="false" ht="12.8" hidden="false" customHeight="false" outlineLevel="0" collapsed="false">
      <c r="A9208" s="0" t="s">
        <v>12</v>
      </c>
      <c r="B9208" s="0" t="n">
        <v>2625073</v>
      </c>
      <c r="C9208" s="0" t="n">
        <v>2625093</v>
      </c>
      <c r="D9208" s="0" t="s">
        <v>30738</v>
      </c>
      <c r="E9208" s="0" t="s">
        <v>89</v>
      </c>
      <c r="F9208" s="0" t="s">
        <v>15</v>
      </c>
      <c r="G9208" s="0" t="s">
        <v>36</v>
      </c>
      <c r="H9208" s="0" t="n">
        <v>35</v>
      </c>
      <c r="I9208" s="0" t="s">
        <v>30742</v>
      </c>
      <c r="J9208" s="0" t="s">
        <v>30743</v>
      </c>
      <c r="K9208" s="0" t="s">
        <v>30744</v>
      </c>
      <c r="L9208" s="0" t="str">
        <f aca="false">HYPERLINK("https://www.ncbi.nlm.nih.gov/nuccore/CP000304.1?report=graph&amp;tracks=[key:gene_model_track,Options:GeneOnly]&amp;mk=2625047:2625066|offset_8|444444,2625074:2625093|offset_35|00cc00,2625099:2625118|offset_60|444444,2625129:2625148|offset_90|444444&amp;v=2624846:2625348&amp;c=444444", "offset 35")</f>
        <v>offset 35</v>
      </c>
    </row>
    <row r="9209" customFormat="false" ht="12.8" hidden="false" customHeight="false" outlineLevel="0" collapsed="false">
      <c r="A9209" s="0" t="s">
        <v>12</v>
      </c>
      <c r="B9209" s="0" t="n">
        <v>2625098</v>
      </c>
      <c r="C9209" s="0" t="n">
        <v>2625118</v>
      </c>
      <c r="D9209" s="0" t="s">
        <v>30738</v>
      </c>
      <c r="E9209" s="0" t="s">
        <v>89</v>
      </c>
      <c r="F9209" s="0" t="s">
        <v>15</v>
      </c>
      <c r="G9209" s="0" t="s">
        <v>16</v>
      </c>
      <c r="H9209" s="0" t="n">
        <v>60</v>
      </c>
      <c r="I9209" s="0" t="s">
        <v>30745</v>
      </c>
      <c r="J9209" s="0" t="s">
        <v>30746</v>
      </c>
      <c r="K9209" s="0" t="s">
        <v>30747</v>
      </c>
      <c r="L9209" s="0" t="str">
        <f aca="false">HYPERLINK("https://www.ncbi.nlm.nih.gov/nuccore/CP000304.1?report=graph&amp;tracks=[key:gene_model_track,Options:GeneOnly]&amp;mk=2625047:2625066|offset_8|444444,2625074:2625093|offset_35|444444,2625099:2625118|offset_60|00cc00,2625129:2625148|offset_90|444444&amp;v=2624846:2625348&amp;c=444444", "offset 60")</f>
        <v>offset 60</v>
      </c>
    </row>
    <row r="9210" customFormat="false" ht="12.8" hidden="false" customHeight="false" outlineLevel="0" collapsed="false">
      <c r="A9210" s="0" t="s">
        <v>12</v>
      </c>
      <c r="B9210" s="0" t="n">
        <v>2625128</v>
      </c>
      <c r="C9210" s="0" t="n">
        <v>2625148</v>
      </c>
      <c r="D9210" s="0" t="s">
        <v>30738</v>
      </c>
      <c r="E9210" s="0" t="s">
        <v>89</v>
      </c>
      <c r="F9210" s="0" t="s">
        <v>15</v>
      </c>
      <c r="G9210" s="0" t="s">
        <v>16</v>
      </c>
      <c r="H9210" s="0" t="n">
        <v>90</v>
      </c>
      <c r="I9210" s="0" t="s">
        <v>30748</v>
      </c>
      <c r="J9210" s="0" t="s">
        <v>30749</v>
      </c>
      <c r="K9210" s="0" t="s">
        <v>30750</v>
      </c>
      <c r="L9210" s="0" t="str">
        <f aca="false">HYPERLINK("https://www.ncbi.nlm.nih.gov/nuccore/CP000304.1?report=graph&amp;tracks=[key:gene_model_track,Options:GeneOnly]&amp;mk=2625047:2625066|offset_8|444444,2625074:2625093|offset_35|444444,2625099:2625118|offset_60|444444,2625129:2625148|offset_90|00cc00&amp;v=2624846:2625348&amp;c=444444", "offset 90")</f>
        <v>offset 90</v>
      </c>
    </row>
    <row r="9211" customFormat="false" ht="12.8" hidden="false" customHeight="false" outlineLevel="0" collapsed="false">
      <c r="A9211" s="0" t="s">
        <v>12</v>
      </c>
      <c r="B9211" s="0" t="n">
        <v>2626165</v>
      </c>
      <c r="C9211" s="0" t="n">
        <v>2626185</v>
      </c>
      <c r="D9211" s="0" t="s">
        <v>30751</v>
      </c>
      <c r="E9211" s="0" t="s">
        <v>89</v>
      </c>
      <c r="F9211" s="0" t="s">
        <v>15</v>
      </c>
      <c r="G9211" s="0" t="s">
        <v>26</v>
      </c>
      <c r="H9211" s="0" t="n">
        <v>11</v>
      </c>
      <c r="I9211" s="0" t="s">
        <v>30752</v>
      </c>
      <c r="J9211" s="0" t="s">
        <v>30753</v>
      </c>
      <c r="K9211" s="0" t="s">
        <v>30754</v>
      </c>
      <c r="L9211" s="0" t="str">
        <f aca="false">HYPERLINK("https://www.ncbi.nlm.nih.gov/nuccore/CP000304.1?report=graph&amp;tracks=[key:gene_model_track,Options:GeneOnly]&amp;mk=2626166:2626185|offset_11|00cc00,2626190:2626209|offset_35|444444,2626216:2626235|offset_61|444444,2626243:2626262|offset_88|444444&amp;v=2625965:2626462&amp;c=444444", "offset 11")</f>
        <v>offset 11</v>
      </c>
    </row>
    <row r="9212" customFormat="false" ht="12.8" hidden="false" customHeight="false" outlineLevel="0" collapsed="false">
      <c r="A9212" s="0" t="s">
        <v>12</v>
      </c>
      <c r="B9212" s="0" t="n">
        <v>2626189</v>
      </c>
      <c r="C9212" s="0" t="n">
        <v>2626209</v>
      </c>
      <c r="D9212" s="0" t="s">
        <v>30751</v>
      </c>
      <c r="E9212" s="0" t="s">
        <v>89</v>
      </c>
      <c r="F9212" s="0" t="s">
        <v>15</v>
      </c>
      <c r="G9212" s="0" t="s">
        <v>32</v>
      </c>
      <c r="H9212" s="0" t="n">
        <v>35</v>
      </c>
      <c r="I9212" s="0" t="s">
        <v>30755</v>
      </c>
      <c r="J9212" s="0" t="s">
        <v>30756</v>
      </c>
      <c r="K9212" s="0" t="s">
        <v>30757</v>
      </c>
      <c r="L9212" s="0" t="str">
        <f aca="false">HYPERLINK("https://www.ncbi.nlm.nih.gov/nuccore/CP000304.1?report=graph&amp;tracks=[key:gene_model_track,Options:GeneOnly]&amp;mk=2626166:2626185|offset_11|444444,2626190:2626209|offset_35|00cc00,2626216:2626235|offset_61|444444,2626243:2626262|offset_88|444444&amp;v=2625965:2626462&amp;c=444444", "offset 35")</f>
        <v>offset 35</v>
      </c>
    </row>
    <row r="9213" customFormat="false" ht="12.8" hidden="false" customHeight="false" outlineLevel="0" collapsed="false">
      <c r="A9213" s="0" t="s">
        <v>12</v>
      </c>
      <c r="B9213" s="0" t="n">
        <v>2626215</v>
      </c>
      <c r="C9213" s="0" t="n">
        <v>2626235</v>
      </c>
      <c r="D9213" s="0" t="s">
        <v>30751</v>
      </c>
      <c r="E9213" s="0" t="s">
        <v>89</v>
      </c>
      <c r="F9213" s="0" t="s">
        <v>15</v>
      </c>
      <c r="G9213" s="0" t="s">
        <v>16</v>
      </c>
      <c r="H9213" s="0" t="n">
        <v>61</v>
      </c>
      <c r="I9213" s="0" t="s">
        <v>30758</v>
      </c>
      <c r="J9213" s="0" t="s">
        <v>30759</v>
      </c>
      <c r="K9213" s="0" t="s">
        <v>30760</v>
      </c>
      <c r="L9213" s="0" t="str">
        <f aca="false">HYPERLINK("https://www.ncbi.nlm.nih.gov/nuccore/CP000304.1?report=graph&amp;tracks=[key:gene_model_track,Options:GeneOnly]&amp;mk=2626166:2626185|offset_11|444444,2626190:2626209|offset_35|444444,2626216:2626235|offset_61|00cc00,2626243:2626262|offset_88|444444&amp;v=2625965:2626462&amp;c=444444", "offset 61")</f>
        <v>offset 61</v>
      </c>
    </row>
    <row r="9214" customFormat="false" ht="12.8" hidden="false" customHeight="false" outlineLevel="0" collapsed="false">
      <c r="A9214" s="0" t="s">
        <v>12</v>
      </c>
      <c r="B9214" s="0" t="n">
        <v>2626242</v>
      </c>
      <c r="C9214" s="0" t="n">
        <v>2626262</v>
      </c>
      <c r="D9214" s="0" t="s">
        <v>30751</v>
      </c>
      <c r="E9214" s="0" t="s">
        <v>89</v>
      </c>
      <c r="F9214" s="0" t="s">
        <v>15</v>
      </c>
      <c r="G9214" s="0" t="s">
        <v>32</v>
      </c>
      <c r="H9214" s="0" t="n">
        <v>88</v>
      </c>
      <c r="I9214" s="0" t="s">
        <v>30761</v>
      </c>
      <c r="J9214" s="0" t="s">
        <v>30762</v>
      </c>
      <c r="K9214" s="0" t="s">
        <v>30763</v>
      </c>
      <c r="L9214" s="0" t="str">
        <f aca="false">HYPERLINK("https://www.ncbi.nlm.nih.gov/nuccore/CP000304.1?report=graph&amp;tracks=[key:gene_model_track,Options:GeneOnly]&amp;mk=2626166:2626185|offset_11|444444,2626190:2626209|offset_35|444444,2626216:2626235|offset_61|444444,2626243:2626262|offset_88|00cc00&amp;v=2625965:2626462&amp;c=444444", "offset 88")</f>
        <v>offset 88</v>
      </c>
    </row>
    <row r="9215" customFormat="false" ht="12.8" hidden="false" customHeight="false" outlineLevel="0" collapsed="false">
      <c r="A9215" s="0" t="s">
        <v>12</v>
      </c>
      <c r="B9215" s="0" t="n">
        <v>2627504</v>
      </c>
      <c r="C9215" s="0" t="n">
        <v>2627524</v>
      </c>
      <c r="D9215" s="0" t="s">
        <v>30764</v>
      </c>
      <c r="E9215" s="0" t="s">
        <v>89</v>
      </c>
      <c r="F9215" s="0" t="s">
        <v>90</v>
      </c>
      <c r="G9215" s="0" t="s">
        <v>36</v>
      </c>
      <c r="H9215" s="0" t="n">
        <v>6</v>
      </c>
      <c r="I9215" s="0" t="s">
        <v>30765</v>
      </c>
      <c r="J9215" s="0" t="s">
        <v>30766</v>
      </c>
      <c r="K9215" s="0" t="s">
        <v>30767</v>
      </c>
      <c r="L9215" s="0" t="str">
        <f aca="false">HYPERLINK("https://www.ncbi.nlm.nih.gov/nuccore/CP000304.1?report=graph&amp;tracks=[key:gene_model_track,Options:GeneOnly]&amp;mk=2627505:2627524|offset_6|00cc00,2627485:2627504|offset_26|444444,2627453:2627472|offset_58|444444,2627412:2627431|offset_99|444444&amp;v=2627304:2627631&amp;c=444444", "offset 6")</f>
        <v>offset 6</v>
      </c>
    </row>
    <row r="9216" customFormat="false" ht="12.8" hidden="false" customHeight="false" outlineLevel="0" collapsed="false">
      <c r="A9216" s="0" t="s">
        <v>12</v>
      </c>
      <c r="B9216" s="0" t="n">
        <v>2627484</v>
      </c>
      <c r="C9216" s="0" t="n">
        <v>2627504</v>
      </c>
      <c r="D9216" s="0" t="s">
        <v>30764</v>
      </c>
      <c r="E9216" s="0" t="s">
        <v>89</v>
      </c>
      <c r="F9216" s="0" t="s">
        <v>90</v>
      </c>
      <c r="G9216" s="0" t="s">
        <v>26</v>
      </c>
      <c r="H9216" s="0" t="n">
        <v>26</v>
      </c>
      <c r="I9216" s="0" t="s">
        <v>30768</v>
      </c>
      <c r="J9216" s="0" t="s">
        <v>30769</v>
      </c>
      <c r="K9216" s="0" t="s">
        <v>30770</v>
      </c>
      <c r="L9216" s="0" t="str">
        <f aca="false">HYPERLINK("https://www.ncbi.nlm.nih.gov/nuccore/CP000304.1?report=graph&amp;tracks=[key:gene_model_track,Options:GeneOnly]&amp;mk=2627505:2627524|offset_6|444444,2627485:2627504|offset_26|00cc00,2627453:2627472|offset_58|444444,2627412:2627431|offset_99|444444&amp;v=2627304:2627631&amp;c=444444", "offset 26")</f>
        <v>offset 26</v>
      </c>
    </row>
    <row r="9217" customFormat="false" ht="12.8" hidden="false" customHeight="false" outlineLevel="0" collapsed="false">
      <c r="A9217" s="0" t="s">
        <v>12</v>
      </c>
      <c r="B9217" s="0" t="n">
        <v>2627452</v>
      </c>
      <c r="C9217" s="0" t="n">
        <v>2627472</v>
      </c>
      <c r="D9217" s="0" t="s">
        <v>30764</v>
      </c>
      <c r="E9217" s="0" t="s">
        <v>89</v>
      </c>
      <c r="F9217" s="0" t="s">
        <v>90</v>
      </c>
      <c r="G9217" s="0" t="s">
        <v>16</v>
      </c>
      <c r="H9217" s="0" t="n">
        <v>58</v>
      </c>
      <c r="I9217" s="0" t="s">
        <v>30771</v>
      </c>
      <c r="J9217" s="0" t="s">
        <v>30772</v>
      </c>
      <c r="K9217" s="0" t="s">
        <v>30773</v>
      </c>
      <c r="L9217" s="0" t="str">
        <f aca="false">HYPERLINK("https://www.ncbi.nlm.nih.gov/nuccore/CP000304.1?report=graph&amp;tracks=[key:gene_model_track,Options:GeneOnly]&amp;mk=2627505:2627524|offset_6|444444,2627485:2627504|offset_26|444444,2627453:2627472|offset_58|00cc00,2627412:2627431|offset_99|444444&amp;v=2627304:2627631&amp;c=444444", "offset 58")</f>
        <v>offset 58</v>
      </c>
    </row>
    <row r="9218" customFormat="false" ht="12.8" hidden="false" customHeight="false" outlineLevel="0" collapsed="false">
      <c r="A9218" s="0" t="s">
        <v>12</v>
      </c>
      <c r="B9218" s="0" t="n">
        <v>2627411</v>
      </c>
      <c r="C9218" s="0" t="n">
        <v>2627431</v>
      </c>
      <c r="D9218" s="0" t="s">
        <v>30764</v>
      </c>
      <c r="E9218" s="0" t="s">
        <v>89</v>
      </c>
      <c r="F9218" s="0" t="s">
        <v>90</v>
      </c>
      <c r="G9218" s="0" t="s">
        <v>26</v>
      </c>
      <c r="H9218" s="0" t="n">
        <v>99</v>
      </c>
      <c r="I9218" s="0" t="s">
        <v>30774</v>
      </c>
      <c r="J9218" s="0" t="s">
        <v>30775</v>
      </c>
      <c r="K9218" s="0" t="s">
        <v>30776</v>
      </c>
      <c r="L9218" s="0" t="str">
        <f aca="false">HYPERLINK("https://www.ncbi.nlm.nih.gov/nuccore/CP000304.1?report=graph&amp;tracks=[key:gene_model_track,Options:GeneOnly]&amp;mk=2627505:2627524|offset_6|444444,2627485:2627504|offset_26|444444,2627453:2627472|offset_58|444444,2627412:2627431|offset_99|00cc00&amp;v=2627304:2627631&amp;c=444444", "offset 99")</f>
        <v>offset 99</v>
      </c>
    </row>
    <row r="9219" customFormat="false" ht="12.8" hidden="false" customHeight="false" outlineLevel="0" collapsed="false">
      <c r="A9219" s="0" t="s">
        <v>12</v>
      </c>
      <c r="B9219" s="0" t="n">
        <v>2627729</v>
      </c>
      <c r="C9219" s="0" t="n">
        <v>2627749</v>
      </c>
      <c r="D9219" s="0" t="s">
        <v>30777</v>
      </c>
      <c r="E9219" s="0" t="s">
        <v>89</v>
      </c>
      <c r="F9219" s="0" t="s">
        <v>15</v>
      </c>
      <c r="G9219" s="0" t="s">
        <v>32</v>
      </c>
      <c r="H9219" s="0" t="n">
        <v>25</v>
      </c>
      <c r="I9219" s="0" t="s">
        <v>30778</v>
      </c>
      <c r="J9219" s="0" t="s">
        <v>30779</v>
      </c>
      <c r="K9219" s="0" t="s">
        <v>30780</v>
      </c>
      <c r="L9219" s="0" t="str">
        <f aca="false">HYPERLINK("https://www.ncbi.nlm.nih.gov/nuccore/CP000304.1?report=graph&amp;tracks=[key:gene_model_track,Options:GeneOnly]&amp;mk=2627730:2627749|offset_25|00cc00,2627771:2627790|offset_66|444444,2627797:2627816|offset_92|444444,2627817:2627836|offset_112|444444&amp;v=2627529:2628036&amp;c=444444", "offset 25")</f>
        <v>offset 25</v>
      </c>
    </row>
    <row r="9220" customFormat="false" ht="12.8" hidden="false" customHeight="false" outlineLevel="0" collapsed="false">
      <c r="A9220" s="0" t="s">
        <v>12</v>
      </c>
      <c r="B9220" s="0" t="n">
        <v>2627770</v>
      </c>
      <c r="C9220" s="0" t="n">
        <v>2627790</v>
      </c>
      <c r="D9220" s="0" t="s">
        <v>30777</v>
      </c>
      <c r="E9220" s="0" t="s">
        <v>89</v>
      </c>
      <c r="F9220" s="0" t="s">
        <v>15</v>
      </c>
      <c r="G9220" s="0" t="s">
        <v>26</v>
      </c>
      <c r="H9220" s="0" t="n">
        <v>66</v>
      </c>
      <c r="I9220" s="0" t="s">
        <v>30781</v>
      </c>
      <c r="J9220" s="0" t="s">
        <v>30782</v>
      </c>
      <c r="K9220" s="0" t="s">
        <v>30783</v>
      </c>
      <c r="L9220" s="0" t="str">
        <f aca="false">HYPERLINK("https://www.ncbi.nlm.nih.gov/nuccore/CP000304.1?report=graph&amp;tracks=[key:gene_model_track,Options:GeneOnly]&amp;mk=2627730:2627749|offset_25|444444,2627771:2627790|offset_66|00cc00,2627797:2627816|offset_92|444444,2627817:2627836|offset_112|444444&amp;v=2627529:2628036&amp;c=444444", "offset 66")</f>
        <v>offset 66</v>
      </c>
    </row>
    <row r="9221" customFormat="false" ht="12.8" hidden="false" customHeight="false" outlineLevel="0" collapsed="false">
      <c r="A9221" s="0" t="s">
        <v>12</v>
      </c>
      <c r="B9221" s="0" t="n">
        <v>2627796</v>
      </c>
      <c r="C9221" s="0" t="n">
        <v>2627816</v>
      </c>
      <c r="D9221" s="0" t="s">
        <v>30777</v>
      </c>
      <c r="E9221" s="0" t="s">
        <v>89</v>
      </c>
      <c r="F9221" s="0" t="s">
        <v>15</v>
      </c>
      <c r="G9221" s="0" t="s">
        <v>26</v>
      </c>
      <c r="H9221" s="0" t="n">
        <v>92</v>
      </c>
      <c r="I9221" s="0" t="s">
        <v>30784</v>
      </c>
      <c r="J9221" s="0" t="s">
        <v>30785</v>
      </c>
      <c r="K9221" s="0" t="s">
        <v>30786</v>
      </c>
      <c r="L9221" s="0" t="str">
        <f aca="false">HYPERLINK("https://www.ncbi.nlm.nih.gov/nuccore/CP000304.1?report=graph&amp;tracks=[key:gene_model_track,Options:GeneOnly]&amp;mk=2627730:2627749|offset_25|444444,2627771:2627790|offset_66|444444,2627797:2627816|offset_92|00cc00,2627817:2627836|offset_112|444444&amp;v=2627529:2628036&amp;c=444444", "offset 92")</f>
        <v>offset 92</v>
      </c>
    </row>
    <row r="9222" customFormat="false" ht="12.8" hidden="false" customHeight="false" outlineLevel="0" collapsed="false">
      <c r="A9222" s="0" t="s">
        <v>12</v>
      </c>
      <c r="B9222" s="0" t="n">
        <v>2627816</v>
      </c>
      <c r="C9222" s="0" t="n">
        <v>2627836</v>
      </c>
      <c r="D9222" s="0" t="s">
        <v>30777</v>
      </c>
      <c r="E9222" s="0" t="s">
        <v>89</v>
      </c>
      <c r="F9222" s="0" t="s">
        <v>15</v>
      </c>
      <c r="G9222" s="0" t="s">
        <v>16</v>
      </c>
      <c r="H9222" s="0" t="n">
        <v>112</v>
      </c>
      <c r="I9222" s="0" t="s">
        <v>30787</v>
      </c>
      <c r="J9222" s="0" t="s">
        <v>30788</v>
      </c>
      <c r="K9222" s="0" t="s">
        <v>30789</v>
      </c>
      <c r="L9222" s="0" t="str">
        <f aca="false">HYPERLINK("https://www.ncbi.nlm.nih.gov/nuccore/CP000304.1?report=graph&amp;tracks=[key:gene_model_track,Options:GeneOnly]&amp;mk=2627730:2627749|offset_25|444444,2627771:2627790|offset_66|444444,2627797:2627816|offset_92|444444,2627817:2627836|offset_112|00cc00&amp;v=2627529:2628036&amp;c=444444", "offset 112")</f>
        <v>offset 112</v>
      </c>
    </row>
    <row r="9223" customFormat="false" ht="12.8" hidden="false" customHeight="false" outlineLevel="0" collapsed="false">
      <c r="A9223" s="0" t="s">
        <v>12</v>
      </c>
      <c r="B9223" s="0" t="n">
        <v>2627905</v>
      </c>
      <c r="C9223" s="0" t="n">
        <v>2627925</v>
      </c>
      <c r="D9223" s="0" t="s">
        <v>30790</v>
      </c>
      <c r="E9223" s="0" t="s">
        <v>30791</v>
      </c>
      <c r="F9223" s="0" t="s">
        <v>15</v>
      </c>
      <c r="G9223" s="0" t="s">
        <v>16</v>
      </c>
      <c r="H9223" s="0" t="n">
        <v>25</v>
      </c>
      <c r="I9223" s="0" t="s">
        <v>30792</v>
      </c>
      <c r="J9223" s="0" t="s">
        <v>30793</v>
      </c>
      <c r="K9223" s="0" t="s">
        <v>30794</v>
      </c>
      <c r="L9223" s="0" t="str">
        <f aca="false">HYPERLINK("https://www.ncbi.nlm.nih.gov/nuccore/CP000304.1?report=graph&amp;tracks=[key:gene_model_track,Options:GeneOnly]&amp;mk=2627906:2627925|offset_25|00cc00,2627930:2627949|offset_49|444444,2627980:2627999|offset_99|444444,2628002:2628021|offset_121|444444&amp;v=2627705:2628221&amp;c=444444", "offset 25")</f>
        <v>offset 25</v>
      </c>
    </row>
    <row r="9224" customFormat="false" ht="12.8" hidden="false" customHeight="false" outlineLevel="0" collapsed="false">
      <c r="A9224" s="0" t="s">
        <v>12</v>
      </c>
      <c r="B9224" s="0" t="n">
        <v>2627929</v>
      </c>
      <c r="C9224" s="0" t="n">
        <v>2627949</v>
      </c>
      <c r="D9224" s="0" t="s">
        <v>30790</v>
      </c>
      <c r="E9224" s="0" t="s">
        <v>30791</v>
      </c>
      <c r="F9224" s="0" t="s">
        <v>15</v>
      </c>
      <c r="G9224" s="0" t="s">
        <v>26</v>
      </c>
      <c r="H9224" s="0" t="n">
        <v>49</v>
      </c>
      <c r="I9224" s="0" t="s">
        <v>30795</v>
      </c>
      <c r="J9224" s="0" t="s">
        <v>30796</v>
      </c>
      <c r="K9224" s="0" t="s">
        <v>30797</v>
      </c>
      <c r="L9224" s="0" t="str">
        <f aca="false">HYPERLINK("https://www.ncbi.nlm.nih.gov/nuccore/CP000304.1?report=graph&amp;tracks=[key:gene_model_track,Options:GeneOnly]&amp;mk=2627906:2627925|offset_25|444444,2627930:2627949|offset_49|00cc00,2627980:2627999|offset_99|444444,2628002:2628021|offset_121|444444&amp;v=2627705:2628221&amp;c=444444", "offset 49")</f>
        <v>offset 49</v>
      </c>
    </row>
    <row r="9225" customFormat="false" ht="12.8" hidden="false" customHeight="false" outlineLevel="0" collapsed="false">
      <c r="A9225" s="0" t="s">
        <v>12</v>
      </c>
      <c r="B9225" s="0" t="n">
        <v>2627979</v>
      </c>
      <c r="C9225" s="0" t="n">
        <v>2627999</v>
      </c>
      <c r="D9225" s="0" t="s">
        <v>30790</v>
      </c>
      <c r="E9225" s="0" t="s">
        <v>30791</v>
      </c>
      <c r="F9225" s="0" t="s">
        <v>15</v>
      </c>
      <c r="G9225" s="0" t="s">
        <v>16</v>
      </c>
      <c r="H9225" s="0" t="n">
        <v>99</v>
      </c>
      <c r="I9225" s="0" t="s">
        <v>30798</v>
      </c>
      <c r="J9225" s="0" t="s">
        <v>30799</v>
      </c>
      <c r="K9225" s="0" t="s">
        <v>30800</v>
      </c>
      <c r="L9225" s="0" t="str">
        <f aca="false">HYPERLINK("https://www.ncbi.nlm.nih.gov/nuccore/CP000304.1?report=graph&amp;tracks=[key:gene_model_track,Options:GeneOnly]&amp;mk=2627906:2627925|offset_25|444444,2627930:2627949|offset_49|444444,2627980:2627999|offset_99|00cc00,2628002:2628021|offset_121|444444&amp;v=2627705:2628221&amp;c=444444", "offset 99")</f>
        <v>offset 99</v>
      </c>
    </row>
    <row r="9226" customFormat="false" ht="12.8" hidden="false" customHeight="false" outlineLevel="0" collapsed="false">
      <c r="A9226" s="0" t="s">
        <v>12</v>
      </c>
      <c r="B9226" s="0" t="n">
        <v>2628001</v>
      </c>
      <c r="C9226" s="0" t="n">
        <v>2628021</v>
      </c>
      <c r="D9226" s="0" t="s">
        <v>30790</v>
      </c>
      <c r="E9226" s="0" t="s">
        <v>30791</v>
      </c>
      <c r="F9226" s="0" t="s">
        <v>15</v>
      </c>
      <c r="G9226" s="0" t="s">
        <v>16</v>
      </c>
      <c r="H9226" s="0" t="n">
        <v>121</v>
      </c>
      <c r="I9226" s="0" t="s">
        <v>30801</v>
      </c>
      <c r="J9226" s="0" t="s">
        <v>30802</v>
      </c>
      <c r="K9226" s="0" t="s">
        <v>30803</v>
      </c>
      <c r="L9226" s="0" t="str">
        <f aca="false">HYPERLINK("https://www.ncbi.nlm.nih.gov/nuccore/CP000304.1?report=graph&amp;tracks=[key:gene_model_track,Options:GeneOnly]&amp;mk=2627906:2627925|offset_25|444444,2627930:2627949|offset_49|444444,2627980:2627999|offset_99|444444,2628002:2628021|offset_121|00cc00&amp;v=2627705:2628221&amp;c=444444", "offset 121")</f>
        <v>offset 121</v>
      </c>
    </row>
    <row r="9227" customFormat="false" ht="12.8" hidden="false" customHeight="false" outlineLevel="0" collapsed="false">
      <c r="A9227" s="0" t="s">
        <v>12</v>
      </c>
      <c r="B9227" s="0" t="n">
        <v>2629097</v>
      </c>
      <c r="C9227" s="0" t="n">
        <v>2629117</v>
      </c>
      <c r="D9227" s="0" t="s">
        <v>30804</v>
      </c>
      <c r="E9227" s="0" t="s">
        <v>89</v>
      </c>
      <c r="F9227" s="0" t="s">
        <v>15</v>
      </c>
      <c r="G9227" s="0" t="s">
        <v>16</v>
      </c>
      <c r="H9227" s="0" t="n">
        <v>94</v>
      </c>
      <c r="I9227" s="0" t="s">
        <v>30805</v>
      </c>
      <c r="J9227" s="0" t="s">
        <v>30806</v>
      </c>
      <c r="K9227" s="0" t="s">
        <v>30807</v>
      </c>
      <c r="L9227" s="0" t="str">
        <f aca="false">HYPERLINK("https://www.ncbi.nlm.nih.gov/nuccore/CP000304.1?report=graph&amp;tracks=[key:gene_model_track,Options:GeneOnly]&amp;mk=2629098:2629117|offset_94|00cc00,2629128:2629147|offset_124|444444,2629160:2629179|offset_156|444444,2629191:2629210|offset_187|444444&amp;v=2628897:2629410&amp;c=444444", "offset 94")</f>
        <v>offset 94</v>
      </c>
    </row>
    <row r="9228" customFormat="false" ht="12.8" hidden="false" customHeight="false" outlineLevel="0" collapsed="false">
      <c r="A9228" s="0" t="s">
        <v>12</v>
      </c>
      <c r="B9228" s="0" t="n">
        <v>2629127</v>
      </c>
      <c r="C9228" s="0" t="n">
        <v>2629147</v>
      </c>
      <c r="D9228" s="0" t="s">
        <v>30804</v>
      </c>
      <c r="E9228" s="0" t="s">
        <v>89</v>
      </c>
      <c r="F9228" s="0" t="s">
        <v>15</v>
      </c>
      <c r="G9228" s="0" t="s">
        <v>16</v>
      </c>
      <c r="H9228" s="0" t="n">
        <v>124</v>
      </c>
      <c r="I9228" s="0" t="s">
        <v>30808</v>
      </c>
      <c r="J9228" s="0" t="s">
        <v>30809</v>
      </c>
      <c r="K9228" s="0" t="s">
        <v>30810</v>
      </c>
      <c r="L9228" s="0" t="str">
        <f aca="false">HYPERLINK("https://www.ncbi.nlm.nih.gov/nuccore/CP000304.1?report=graph&amp;tracks=[key:gene_model_track,Options:GeneOnly]&amp;mk=2629098:2629117|offset_94|444444,2629128:2629147|offset_124|00cc00,2629160:2629179|offset_156|444444,2629191:2629210|offset_187|444444&amp;v=2628897:2629410&amp;c=444444", "offset 124")</f>
        <v>offset 124</v>
      </c>
    </row>
    <row r="9229" customFormat="false" ht="12.8" hidden="false" customHeight="false" outlineLevel="0" collapsed="false">
      <c r="A9229" s="0" t="s">
        <v>12</v>
      </c>
      <c r="B9229" s="0" t="n">
        <v>2629159</v>
      </c>
      <c r="C9229" s="0" t="n">
        <v>2629179</v>
      </c>
      <c r="D9229" s="0" t="s">
        <v>30804</v>
      </c>
      <c r="E9229" s="0" t="s">
        <v>89</v>
      </c>
      <c r="F9229" s="0" t="s">
        <v>15</v>
      </c>
      <c r="G9229" s="0" t="s">
        <v>36</v>
      </c>
      <c r="H9229" s="0" t="n">
        <v>156</v>
      </c>
      <c r="I9229" s="0" t="s">
        <v>30811</v>
      </c>
      <c r="J9229" s="0" t="s">
        <v>30812</v>
      </c>
      <c r="K9229" s="0" t="s">
        <v>30813</v>
      </c>
      <c r="L9229" s="0" t="str">
        <f aca="false">HYPERLINK("https://www.ncbi.nlm.nih.gov/nuccore/CP000304.1?report=graph&amp;tracks=[key:gene_model_track,Options:GeneOnly]&amp;mk=2629098:2629117|offset_94|444444,2629128:2629147|offset_124|444444,2629160:2629179|offset_156|00cc00,2629191:2629210|offset_187|444444&amp;v=2628897:2629410&amp;c=444444", "offset 156")</f>
        <v>offset 156</v>
      </c>
    </row>
    <row r="9230" customFormat="false" ht="12.8" hidden="false" customHeight="false" outlineLevel="0" collapsed="false">
      <c r="A9230" s="0" t="s">
        <v>12</v>
      </c>
      <c r="B9230" s="0" t="n">
        <v>2629190</v>
      </c>
      <c r="C9230" s="0" t="n">
        <v>2629210</v>
      </c>
      <c r="D9230" s="0" t="s">
        <v>30804</v>
      </c>
      <c r="E9230" s="0" t="s">
        <v>89</v>
      </c>
      <c r="F9230" s="0" t="s">
        <v>15</v>
      </c>
      <c r="G9230" s="0" t="s">
        <v>16</v>
      </c>
      <c r="H9230" s="0" t="n">
        <v>187</v>
      </c>
      <c r="I9230" s="0" t="s">
        <v>30814</v>
      </c>
      <c r="J9230" s="0" t="s">
        <v>30815</v>
      </c>
      <c r="K9230" s="0" t="s">
        <v>30816</v>
      </c>
      <c r="L9230" s="0" t="str">
        <f aca="false">HYPERLINK("https://www.ncbi.nlm.nih.gov/nuccore/CP000304.1?report=graph&amp;tracks=[key:gene_model_track,Options:GeneOnly]&amp;mk=2629098:2629117|offset_94|444444,2629128:2629147|offset_124|444444,2629160:2629179|offset_156|444444,2629191:2629210|offset_187|00cc00&amp;v=2628897:2629410&amp;c=444444", "offset 187")</f>
        <v>offset 187</v>
      </c>
    </row>
    <row r="9231" customFormat="false" ht="12.8" hidden="false" customHeight="false" outlineLevel="0" collapsed="false">
      <c r="A9231" s="0" t="s">
        <v>12</v>
      </c>
      <c r="B9231" s="0" t="n">
        <v>2631088</v>
      </c>
      <c r="C9231" s="0" t="n">
        <v>2631108</v>
      </c>
      <c r="D9231" s="0" t="s">
        <v>30817</v>
      </c>
      <c r="E9231" s="0" t="s">
        <v>89</v>
      </c>
      <c r="F9231" s="0" t="s">
        <v>90</v>
      </c>
      <c r="G9231" s="0" t="s">
        <v>26</v>
      </c>
      <c r="H9231" s="0" t="n">
        <v>29</v>
      </c>
      <c r="I9231" s="0" t="s">
        <v>30818</v>
      </c>
      <c r="J9231" s="0" t="s">
        <v>30819</v>
      </c>
      <c r="K9231" s="0" t="s">
        <v>30820</v>
      </c>
      <c r="L9231" s="0" t="str">
        <f aca="false">HYPERLINK("https://www.ncbi.nlm.nih.gov/nuccore/CP000304.1?report=graph&amp;tracks=[key:gene_model_track,Options:GeneOnly]&amp;mk=2631089:2631108|offset_29|00cc00,2631068:2631087|offset_50|444444,2631044:2631063|offset_74|444444,2631022:2631041|offset_96|444444&amp;v=2630888:2631241&amp;c=444444", "offset 29")</f>
        <v>offset 29</v>
      </c>
    </row>
    <row r="9232" customFormat="false" ht="12.8" hidden="false" customHeight="false" outlineLevel="0" collapsed="false">
      <c r="A9232" s="0" t="s">
        <v>12</v>
      </c>
      <c r="B9232" s="0" t="n">
        <v>2631067</v>
      </c>
      <c r="C9232" s="0" t="n">
        <v>2631087</v>
      </c>
      <c r="D9232" s="0" t="s">
        <v>30817</v>
      </c>
      <c r="E9232" s="0" t="s">
        <v>89</v>
      </c>
      <c r="F9232" s="0" t="s">
        <v>90</v>
      </c>
      <c r="G9232" s="0" t="s">
        <v>26</v>
      </c>
      <c r="H9232" s="0" t="n">
        <v>50</v>
      </c>
      <c r="I9232" s="0" t="s">
        <v>30821</v>
      </c>
      <c r="J9232" s="0" t="s">
        <v>30822</v>
      </c>
      <c r="K9232" s="0" t="s">
        <v>30823</v>
      </c>
      <c r="L9232" s="0" t="str">
        <f aca="false">HYPERLINK("https://www.ncbi.nlm.nih.gov/nuccore/CP000304.1?report=graph&amp;tracks=[key:gene_model_track,Options:GeneOnly]&amp;mk=2631089:2631108|offset_29|444444,2631068:2631087|offset_50|00cc00,2631044:2631063|offset_74|444444,2631022:2631041|offset_96|444444&amp;v=2630888:2631241&amp;c=444444", "offset 50")</f>
        <v>offset 50</v>
      </c>
    </row>
    <row r="9233" customFormat="false" ht="12.8" hidden="false" customHeight="false" outlineLevel="0" collapsed="false">
      <c r="A9233" s="0" t="s">
        <v>12</v>
      </c>
      <c r="B9233" s="0" t="n">
        <v>2631043</v>
      </c>
      <c r="C9233" s="0" t="n">
        <v>2631063</v>
      </c>
      <c r="D9233" s="0" t="s">
        <v>30817</v>
      </c>
      <c r="E9233" s="0" t="s">
        <v>89</v>
      </c>
      <c r="F9233" s="0" t="s">
        <v>90</v>
      </c>
      <c r="G9233" s="0" t="s">
        <v>26</v>
      </c>
      <c r="H9233" s="0" t="n">
        <v>74</v>
      </c>
      <c r="I9233" s="0" t="s">
        <v>30824</v>
      </c>
      <c r="J9233" s="0" t="s">
        <v>30825</v>
      </c>
      <c r="K9233" s="0" t="s">
        <v>30826</v>
      </c>
      <c r="L9233" s="0" t="str">
        <f aca="false">HYPERLINK("https://www.ncbi.nlm.nih.gov/nuccore/CP000304.1?report=graph&amp;tracks=[key:gene_model_track,Options:GeneOnly]&amp;mk=2631089:2631108|offset_29|444444,2631068:2631087|offset_50|444444,2631044:2631063|offset_74|00cc00,2631022:2631041|offset_96|444444&amp;v=2630888:2631241&amp;c=444444", "offset 74")</f>
        <v>offset 74</v>
      </c>
    </row>
    <row r="9234" customFormat="false" ht="12.8" hidden="false" customHeight="false" outlineLevel="0" collapsed="false">
      <c r="A9234" s="0" t="s">
        <v>12</v>
      </c>
      <c r="B9234" s="0" t="n">
        <v>2631021</v>
      </c>
      <c r="C9234" s="0" t="n">
        <v>2631041</v>
      </c>
      <c r="D9234" s="0" t="s">
        <v>30817</v>
      </c>
      <c r="E9234" s="0" t="s">
        <v>89</v>
      </c>
      <c r="F9234" s="0" t="s">
        <v>90</v>
      </c>
      <c r="G9234" s="0" t="s">
        <v>36</v>
      </c>
      <c r="H9234" s="0" t="n">
        <v>96</v>
      </c>
      <c r="I9234" s="0" t="s">
        <v>30827</v>
      </c>
      <c r="J9234" s="0" t="s">
        <v>30828</v>
      </c>
      <c r="K9234" s="0" t="s">
        <v>30829</v>
      </c>
      <c r="L9234" s="0" t="str">
        <f aca="false">HYPERLINK("https://www.ncbi.nlm.nih.gov/nuccore/CP000304.1?report=graph&amp;tracks=[key:gene_model_track,Options:GeneOnly]&amp;mk=2631089:2631108|offset_29|444444,2631068:2631087|offset_50|444444,2631044:2631063|offset_74|444444,2631022:2631041|offset_96|00cc00&amp;v=2630888:2631241&amp;c=444444", "offset 96")</f>
        <v>offset 96</v>
      </c>
    </row>
    <row r="9235" customFormat="false" ht="12.8" hidden="false" customHeight="false" outlineLevel="0" collapsed="false">
      <c r="A9235" s="0" t="s">
        <v>12</v>
      </c>
      <c r="B9235" s="0" t="n">
        <v>2631669</v>
      </c>
      <c r="C9235" s="0" t="n">
        <v>2631689</v>
      </c>
      <c r="D9235" s="0" t="s">
        <v>30830</v>
      </c>
      <c r="E9235" s="0" t="s">
        <v>89</v>
      </c>
      <c r="F9235" s="0" t="s">
        <v>15</v>
      </c>
      <c r="G9235" s="0" t="s">
        <v>16</v>
      </c>
      <c r="H9235" s="0" t="n">
        <v>43</v>
      </c>
      <c r="I9235" s="0" t="s">
        <v>30831</v>
      </c>
      <c r="J9235" s="0" t="s">
        <v>30832</v>
      </c>
      <c r="K9235" s="0" t="s">
        <v>30833</v>
      </c>
      <c r="L9235" s="0" t="str">
        <f aca="false">HYPERLINK("https://www.ncbi.nlm.nih.gov/nuccore/CP000304.1?report=graph&amp;tracks=[key:gene_model_track,Options:GeneOnly]&amp;mk=2631670:2631689|offset_43|00cc00,2631706:2631725|offset_79|444444,2631739:2631758|offset_112|444444,2631761:2631780|offset_134|444444&amp;v=2631469:2631980&amp;c=444444", "offset 43")</f>
        <v>offset 43</v>
      </c>
    </row>
    <row r="9236" customFormat="false" ht="12.8" hidden="false" customHeight="false" outlineLevel="0" collapsed="false">
      <c r="A9236" s="0" t="s">
        <v>12</v>
      </c>
      <c r="B9236" s="0" t="n">
        <v>2631705</v>
      </c>
      <c r="C9236" s="0" t="n">
        <v>2631725</v>
      </c>
      <c r="D9236" s="0" t="s">
        <v>30830</v>
      </c>
      <c r="E9236" s="0" t="s">
        <v>89</v>
      </c>
      <c r="F9236" s="0" t="s">
        <v>15</v>
      </c>
      <c r="G9236" s="0" t="s">
        <v>16</v>
      </c>
      <c r="H9236" s="0" t="n">
        <v>79</v>
      </c>
      <c r="I9236" s="0" t="s">
        <v>30834</v>
      </c>
      <c r="J9236" s="0" t="s">
        <v>30835</v>
      </c>
      <c r="K9236" s="0" t="s">
        <v>30836</v>
      </c>
      <c r="L9236" s="0" t="str">
        <f aca="false">HYPERLINK("https://www.ncbi.nlm.nih.gov/nuccore/CP000304.1?report=graph&amp;tracks=[key:gene_model_track,Options:GeneOnly]&amp;mk=2631670:2631689|offset_43|444444,2631706:2631725|offset_79|00cc00,2631739:2631758|offset_112|444444,2631761:2631780|offset_134|444444&amp;v=2631469:2631980&amp;c=444444", "offset 79")</f>
        <v>offset 79</v>
      </c>
    </row>
    <row r="9237" customFormat="false" ht="12.8" hidden="false" customHeight="false" outlineLevel="0" collapsed="false">
      <c r="A9237" s="0" t="s">
        <v>12</v>
      </c>
      <c r="B9237" s="0" t="n">
        <v>2631738</v>
      </c>
      <c r="C9237" s="0" t="n">
        <v>2631758</v>
      </c>
      <c r="D9237" s="0" t="s">
        <v>30830</v>
      </c>
      <c r="E9237" s="0" t="s">
        <v>89</v>
      </c>
      <c r="F9237" s="0" t="s">
        <v>15</v>
      </c>
      <c r="G9237" s="0" t="s">
        <v>16</v>
      </c>
      <c r="H9237" s="0" t="n">
        <v>112</v>
      </c>
      <c r="I9237" s="0" t="s">
        <v>30837</v>
      </c>
      <c r="J9237" s="0" t="s">
        <v>30838</v>
      </c>
      <c r="K9237" s="0" t="s">
        <v>30839</v>
      </c>
      <c r="L9237" s="0" t="str">
        <f aca="false">HYPERLINK("https://www.ncbi.nlm.nih.gov/nuccore/CP000304.1?report=graph&amp;tracks=[key:gene_model_track,Options:GeneOnly]&amp;mk=2631670:2631689|offset_43|444444,2631706:2631725|offset_79|444444,2631739:2631758|offset_112|00cc00,2631761:2631780|offset_134|444444&amp;v=2631469:2631980&amp;c=444444", "offset 112")</f>
        <v>offset 112</v>
      </c>
    </row>
    <row r="9238" customFormat="false" ht="12.8" hidden="false" customHeight="false" outlineLevel="0" collapsed="false">
      <c r="A9238" s="0" t="s">
        <v>12</v>
      </c>
      <c r="B9238" s="0" t="n">
        <v>2631760</v>
      </c>
      <c r="C9238" s="0" t="n">
        <v>2631780</v>
      </c>
      <c r="D9238" s="0" t="s">
        <v>30830</v>
      </c>
      <c r="E9238" s="0" t="s">
        <v>89</v>
      </c>
      <c r="F9238" s="0" t="s">
        <v>15</v>
      </c>
      <c r="G9238" s="0" t="s">
        <v>16</v>
      </c>
      <c r="H9238" s="0" t="n">
        <v>134</v>
      </c>
      <c r="I9238" s="0" t="s">
        <v>30840</v>
      </c>
      <c r="J9238" s="0" t="s">
        <v>30841</v>
      </c>
      <c r="K9238" s="0" t="s">
        <v>30842</v>
      </c>
      <c r="L9238" s="0" t="str">
        <f aca="false">HYPERLINK("https://www.ncbi.nlm.nih.gov/nuccore/CP000304.1?report=graph&amp;tracks=[key:gene_model_track,Options:GeneOnly]&amp;mk=2631670:2631689|offset_43|444444,2631706:2631725|offset_79|444444,2631739:2631758|offset_112|444444,2631761:2631780|offset_134|00cc00&amp;v=2631469:2631980&amp;c=444444", "offset 134")</f>
        <v>offset 134</v>
      </c>
    </row>
    <row r="9239" customFormat="false" ht="12.8" hidden="false" customHeight="false" outlineLevel="0" collapsed="false">
      <c r="A9239" s="0" t="s">
        <v>12</v>
      </c>
      <c r="B9239" s="0" t="n">
        <v>2634157</v>
      </c>
      <c r="C9239" s="0" t="n">
        <v>2634177</v>
      </c>
      <c r="D9239" s="0" t="s">
        <v>30843</v>
      </c>
      <c r="E9239" s="0" t="s">
        <v>89</v>
      </c>
      <c r="F9239" s="0" t="s">
        <v>15</v>
      </c>
      <c r="G9239" s="0" t="s">
        <v>16</v>
      </c>
      <c r="H9239" s="0" t="n">
        <v>42</v>
      </c>
      <c r="I9239" s="0" t="s">
        <v>30844</v>
      </c>
      <c r="J9239" s="0" t="s">
        <v>30845</v>
      </c>
      <c r="K9239" s="0" t="s">
        <v>30846</v>
      </c>
      <c r="L9239" s="0" t="str">
        <f aca="false">HYPERLINK("https://www.ncbi.nlm.nih.gov/nuccore/CP000304.1?report=graph&amp;tracks=[key:gene_model_track,Options:GeneOnly]&amp;mk=2634158:2634177|offset_42|00cc00,2634180:2634199|offset_64|444444,2634208:2634227|offset_92|444444,2634234:2634253|offset_118|444444&amp;v=2633957:2634453&amp;c=444444", "offset 42")</f>
        <v>offset 42</v>
      </c>
    </row>
    <row r="9240" customFormat="false" ht="12.8" hidden="false" customHeight="false" outlineLevel="0" collapsed="false">
      <c r="A9240" s="0" t="s">
        <v>12</v>
      </c>
      <c r="B9240" s="0" t="n">
        <v>2634179</v>
      </c>
      <c r="C9240" s="0" t="n">
        <v>2634199</v>
      </c>
      <c r="D9240" s="0" t="s">
        <v>30843</v>
      </c>
      <c r="E9240" s="0" t="s">
        <v>89</v>
      </c>
      <c r="F9240" s="0" t="s">
        <v>15</v>
      </c>
      <c r="G9240" s="0" t="s">
        <v>32</v>
      </c>
      <c r="H9240" s="0" t="n">
        <v>64</v>
      </c>
      <c r="I9240" s="0" t="s">
        <v>30847</v>
      </c>
      <c r="J9240" s="0" t="s">
        <v>30848</v>
      </c>
      <c r="K9240" s="0" t="s">
        <v>30849</v>
      </c>
      <c r="L9240" s="0" t="str">
        <f aca="false">HYPERLINK("https://www.ncbi.nlm.nih.gov/nuccore/CP000304.1?report=graph&amp;tracks=[key:gene_model_track,Options:GeneOnly]&amp;mk=2634158:2634177|offset_42|444444,2634180:2634199|offset_64|00cc00,2634208:2634227|offset_92|444444,2634234:2634253|offset_118|444444&amp;v=2633957:2634453&amp;c=444444", "offset 64")</f>
        <v>offset 64</v>
      </c>
    </row>
    <row r="9241" customFormat="false" ht="12.8" hidden="false" customHeight="false" outlineLevel="0" collapsed="false">
      <c r="A9241" s="0" t="s">
        <v>12</v>
      </c>
      <c r="B9241" s="0" t="n">
        <v>2634207</v>
      </c>
      <c r="C9241" s="0" t="n">
        <v>2634227</v>
      </c>
      <c r="D9241" s="0" t="s">
        <v>30843</v>
      </c>
      <c r="E9241" s="0" t="s">
        <v>89</v>
      </c>
      <c r="F9241" s="0" t="s">
        <v>15</v>
      </c>
      <c r="G9241" s="0" t="s">
        <v>16</v>
      </c>
      <c r="H9241" s="0" t="n">
        <v>92</v>
      </c>
      <c r="I9241" s="0" t="s">
        <v>30850</v>
      </c>
      <c r="J9241" s="0" t="s">
        <v>30851</v>
      </c>
      <c r="K9241" s="0" t="s">
        <v>30852</v>
      </c>
      <c r="L9241" s="0" t="str">
        <f aca="false">HYPERLINK("https://www.ncbi.nlm.nih.gov/nuccore/CP000304.1?report=graph&amp;tracks=[key:gene_model_track,Options:GeneOnly]&amp;mk=2634158:2634177|offset_42|444444,2634180:2634199|offset_64|444444,2634208:2634227|offset_92|00cc00,2634234:2634253|offset_118|444444&amp;v=2633957:2634453&amp;c=444444", "offset 92")</f>
        <v>offset 92</v>
      </c>
    </row>
    <row r="9242" customFormat="false" ht="12.8" hidden="false" customHeight="false" outlineLevel="0" collapsed="false">
      <c r="A9242" s="0" t="s">
        <v>12</v>
      </c>
      <c r="B9242" s="0" t="n">
        <v>2634233</v>
      </c>
      <c r="C9242" s="0" t="n">
        <v>2634253</v>
      </c>
      <c r="D9242" s="0" t="s">
        <v>30843</v>
      </c>
      <c r="E9242" s="0" t="s">
        <v>89</v>
      </c>
      <c r="F9242" s="0" t="s">
        <v>15</v>
      </c>
      <c r="G9242" s="0" t="s">
        <v>36</v>
      </c>
      <c r="H9242" s="0" t="n">
        <v>118</v>
      </c>
      <c r="I9242" s="0" t="s">
        <v>30853</v>
      </c>
      <c r="J9242" s="0" t="s">
        <v>30854</v>
      </c>
      <c r="K9242" s="0" t="s">
        <v>30855</v>
      </c>
      <c r="L9242" s="0" t="str">
        <f aca="false">HYPERLINK("https://www.ncbi.nlm.nih.gov/nuccore/CP000304.1?report=graph&amp;tracks=[key:gene_model_track,Options:GeneOnly]&amp;mk=2634158:2634177|offset_42|444444,2634180:2634199|offset_64|444444,2634208:2634227|offset_92|444444,2634234:2634253|offset_118|00cc00&amp;v=2633957:2634453&amp;c=444444", "offset 118")</f>
        <v>offset 118</v>
      </c>
    </row>
    <row r="9243" customFormat="false" ht="12.8" hidden="false" customHeight="false" outlineLevel="0" collapsed="false">
      <c r="A9243" s="0" t="s">
        <v>12</v>
      </c>
      <c r="B9243" s="0" t="n">
        <v>2634488</v>
      </c>
      <c r="C9243" s="0" t="n">
        <v>2634508</v>
      </c>
      <c r="D9243" s="0" t="s">
        <v>30856</v>
      </c>
      <c r="E9243" s="0" t="s">
        <v>89</v>
      </c>
      <c r="F9243" s="0" t="s">
        <v>15</v>
      </c>
      <c r="G9243" s="0" t="s">
        <v>32</v>
      </c>
      <c r="H9243" s="0" t="n">
        <v>1</v>
      </c>
      <c r="I9243" s="0" t="s">
        <v>30857</v>
      </c>
      <c r="J9243" s="0" t="s">
        <v>30858</v>
      </c>
      <c r="K9243" s="0" t="s">
        <v>30859</v>
      </c>
      <c r="L9243" s="0" t="str">
        <f aca="false">HYPERLINK("https://www.ncbi.nlm.nih.gov/nuccore/CP000304.1?report=graph&amp;tracks=[key:gene_model_track,Options:GeneOnly]&amp;mk=2634489:2634508|offset_1|00cc00,2634513:2634532|offset_25|444444,2634571:2634590|offset_83|444444,2634591:2634610|offset_103|444444&amp;v=2634288:2634810&amp;c=444444", "offset 1")</f>
        <v>offset 1</v>
      </c>
    </row>
    <row r="9244" customFormat="false" ht="12.8" hidden="false" customHeight="false" outlineLevel="0" collapsed="false">
      <c r="A9244" s="0" t="s">
        <v>12</v>
      </c>
      <c r="B9244" s="0" t="n">
        <v>2634512</v>
      </c>
      <c r="C9244" s="0" t="n">
        <v>2634532</v>
      </c>
      <c r="D9244" s="0" t="s">
        <v>30856</v>
      </c>
      <c r="E9244" s="0" t="s">
        <v>89</v>
      </c>
      <c r="F9244" s="0" t="s">
        <v>15</v>
      </c>
      <c r="G9244" s="0" t="s">
        <v>26</v>
      </c>
      <c r="H9244" s="0" t="n">
        <v>25</v>
      </c>
      <c r="I9244" s="0" t="s">
        <v>30860</v>
      </c>
      <c r="J9244" s="0" t="s">
        <v>30861</v>
      </c>
      <c r="K9244" s="0" t="s">
        <v>30862</v>
      </c>
      <c r="L9244" s="0" t="str">
        <f aca="false">HYPERLINK("https://www.ncbi.nlm.nih.gov/nuccore/CP000304.1?report=graph&amp;tracks=[key:gene_model_track,Options:GeneOnly]&amp;mk=2634489:2634508|offset_1|444444,2634513:2634532|offset_25|00cc00,2634571:2634590|offset_83|444444,2634591:2634610|offset_103|444444&amp;v=2634288:2634810&amp;c=444444", "offset 25")</f>
        <v>offset 25</v>
      </c>
    </row>
    <row r="9245" customFormat="false" ht="12.8" hidden="false" customHeight="false" outlineLevel="0" collapsed="false">
      <c r="A9245" s="0" t="s">
        <v>12</v>
      </c>
      <c r="B9245" s="0" t="n">
        <v>2634570</v>
      </c>
      <c r="C9245" s="0" t="n">
        <v>2634590</v>
      </c>
      <c r="D9245" s="0" t="s">
        <v>30856</v>
      </c>
      <c r="E9245" s="0" t="s">
        <v>89</v>
      </c>
      <c r="F9245" s="0" t="s">
        <v>15</v>
      </c>
      <c r="G9245" s="0" t="s">
        <v>26</v>
      </c>
      <c r="H9245" s="0" t="n">
        <v>83</v>
      </c>
      <c r="I9245" s="0" t="s">
        <v>30863</v>
      </c>
      <c r="J9245" s="0" t="s">
        <v>30864</v>
      </c>
      <c r="K9245" s="0" t="s">
        <v>30865</v>
      </c>
      <c r="L9245" s="0" t="str">
        <f aca="false">HYPERLINK("https://www.ncbi.nlm.nih.gov/nuccore/CP000304.1?report=graph&amp;tracks=[key:gene_model_track,Options:GeneOnly]&amp;mk=2634489:2634508|offset_1|444444,2634513:2634532|offset_25|444444,2634571:2634590|offset_83|00cc00,2634591:2634610|offset_103|444444&amp;v=2634288:2634810&amp;c=444444", "offset 83")</f>
        <v>offset 83</v>
      </c>
    </row>
    <row r="9246" customFormat="false" ht="12.8" hidden="false" customHeight="false" outlineLevel="0" collapsed="false">
      <c r="A9246" s="0" t="s">
        <v>12</v>
      </c>
      <c r="B9246" s="0" t="n">
        <v>2634590</v>
      </c>
      <c r="C9246" s="0" t="n">
        <v>2634610</v>
      </c>
      <c r="D9246" s="0" t="s">
        <v>30856</v>
      </c>
      <c r="E9246" s="0" t="s">
        <v>89</v>
      </c>
      <c r="F9246" s="0" t="s">
        <v>15</v>
      </c>
      <c r="G9246" s="0" t="s">
        <v>32</v>
      </c>
      <c r="H9246" s="0" t="n">
        <v>103</v>
      </c>
      <c r="I9246" s="0" t="s">
        <v>30866</v>
      </c>
      <c r="J9246" s="0" t="s">
        <v>30867</v>
      </c>
      <c r="K9246" s="0" t="s">
        <v>30868</v>
      </c>
      <c r="L9246" s="0" t="str">
        <f aca="false">HYPERLINK("https://www.ncbi.nlm.nih.gov/nuccore/CP000304.1?report=graph&amp;tracks=[key:gene_model_track,Options:GeneOnly]&amp;mk=2634489:2634508|offset_1|444444,2634513:2634532|offset_25|444444,2634571:2634590|offset_83|444444,2634591:2634610|offset_103|00cc00&amp;v=2634288:2634810&amp;c=444444", "offset 103")</f>
        <v>offset 103</v>
      </c>
    </row>
    <row r="9247" customFormat="false" ht="12.8" hidden="false" customHeight="false" outlineLevel="0" collapsed="false">
      <c r="A9247" s="0" t="s">
        <v>12</v>
      </c>
      <c r="B9247" s="0" t="n">
        <v>2637198</v>
      </c>
      <c r="C9247" s="0" t="n">
        <v>2637218</v>
      </c>
      <c r="D9247" s="0" t="s">
        <v>30869</v>
      </c>
      <c r="E9247" s="0" t="s">
        <v>30870</v>
      </c>
      <c r="F9247" s="0" t="s">
        <v>15</v>
      </c>
      <c r="G9247" s="0" t="s">
        <v>32</v>
      </c>
      <c r="H9247" s="0" t="n">
        <v>82</v>
      </c>
      <c r="I9247" s="0" t="s">
        <v>30871</v>
      </c>
      <c r="J9247" s="0" t="s">
        <v>30872</v>
      </c>
      <c r="K9247" s="0" t="s">
        <v>30873</v>
      </c>
      <c r="L9247" s="0" t="str">
        <f aca="false">HYPERLINK("https://www.ncbi.nlm.nih.gov/nuccore/CP000304.1?report=graph&amp;tracks=[key:gene_model_track,Options:GeneOnly]&amp;mk=2637199:2637218|offset_82|00cc00,2637219:2637238|offset_102|444444,2637250:2637269|offset_133|444444,2637277:2637296|offset_160|444444&amp;v=2636998:2637496&amp;c=444444", "offset 82")</f>
        <v>offset 82</v>
      </c>
    </row>
    <row r="9248" customFormat="false" ht="12.8" hidden="false" customHeight="false" outlineLevel="0" collapsed="false">
      <c r="A9248" s="0" t="s">
        <v>12</v>
      </c>
      <c r="B9248" s="0" t="n">
        <v>2637218</v>
      </c>
      <c r="C9248" s="0" t="n">
        <v>2637238</v>
      </c>
      <c r="D9248" s="0" t="s">
        <v>30869</v>
      </c>
      <c r="E9248" s="0" t="s">
        <v>30870</v>
      </c>
      <c r="F9248" s="0" t="s">
        <v>15</v>
      </c>
      <c r="G9248" s="0" t="s">
        <v>36</v>
      </c>
      <c r="H9248" s="0" t="n">
        <v>102</v>
      </c>
      <c r="I9248" s="0" t="s">
        <v>30874</v>
      </c>
      <c r="J9248" s="0" t="s">
        <v>30875</v>
      </c>
      <c r="K9248" s="0" t="s">
        <v>30876</v>
      </c>
      <c r="L9248" s="0" t="str">
        <f aca="false">HYPERLINK("https://www.ncbi.nlm.nih.gov/nuccore/CP000304.1?report=graph&amp;tracks=[key:gene_model_track,Options:GeneOnly]&amp;mk=2637199:2637218|offset_82|444444,2637219:2637238|offset_102|00cc00,2637250:2637269|offset_133|444444,2637277:2637296|offset_160|444444&amp;v=2636998:2637496&amp;c=444444", "offset 102")</f>
        <v>offset 102</v>
      </c>
    </row>
    <row r="9249" customFormat="false" ht="12.8" hidden="false" customHeight="false" outlineLevel="0" collapsed="false">
      <c r="A9249" s="0" t="s">
        <v>12</v>
      </c>
      <c r="B9249" s="0" t="n">
        <v>2637249</v>
      </c>
      <c r="C9249" s="0" t="n">
        <v>2637269</v>
      </c>
      <c r="D9249" s="0" t="s">
        <v>30869</v>
      </c>
      <c r="E9249" s="0" t="s">
        <v>30870</v>
      </c>
      <c r="F9249" s="0" t="s">
        <v>15</v>
      </c>
      <c r="G9249" s="0" t="s">
        <v>16</v>
      </c>
      <c r="H9249" s="0" t="n">
        <v>133</v>
      </c>
      <c r="I9249" s="0" t="s">
        <v>30877</v>
      </c>
      <c r="J9249" s="0" t="s">
        <v>30878</v>
      </c>
      <c r="K9249" s="0" t="s">
        <v>30879</v>
      </c>
      <c r="L9249" s="0" t="str">
        <f aca="false">HYPERLINK("https://www.ncbi.nlm.nih.gov/nuccore/CP000304.1?report=graph&amp;tracks=[key:gene_model_track,Options:GeneOnly]&amp;mk=2637199:2637218|offset_82|444444,2637219:2637238|offset_102|444444,2637250:2637269|offset_133|00cc00,2637277:2637296|offset_160|444444&amp;v=2636998:2637496&amp;c=444444", "offset 133")</f>
        <v>offset 133</v>
      </c>
    </row>
    <row r="9250" customFormat="false" ht="12.8" hidden="false" customHeight="false" outlineLevel="0" collapsed="false">
      <c r="A9250" s="0" t="s">
        <v>12</v>
      </c>
      <c r="B9250" s="0" t="n">
        <v>2637276</v>
      </c>
      <c r="C9250" s="0" t="n">
        <v>2637296</v>
      </c>
      <c r="D9250" s="0" t="s">
        <v>30869</v>
      </c>
      <c r="E9250" s="0" t="s">
        <v>30870</v>
      </c>
      <c r="F9250" s="0" t="s">
        <v>15</v>
      </c>
      <c r="G9250" s="0" t="s">
        <v>36</v>
      </c>
      <c r="H9250" s="0" t="n">
        <v>160</v>
      </c>
      <c r="I9250" s="0" t="s">
        <v>30880</v>
      </c>
      <c r="J9250" s="0" t="s">
        <v>30881</v>
      </c>
      <c r="K9250" s="0" t="s">
        <v>30882</v>
      </c>
      <c r="L9250" s="0" t="str">
        <f aca="false">HYPERLINK("https://www.ncbi.nlm.nih.gov/nuccore/CP000304.1?report=graph&amp;tracks=[key:gene_model_track,Options:GeneOnly]&amp;mk=2637199:2637218|offset_82|444444,2637219:2637238|offset_102|444444,2637250:2637269|offset_133|444444,2637277:2637296|offset_160|00cc00&amp;v=2636998:2637496&amp;c=444444", "offset 160")</f>
        <v>offset 160</v>
      </c>
    </row>
    <row r="9251" customFormat="false" ht="12.8" hidden="false" customHeight="false" outlineLevel="0" collapsed="false">
      <c r="A9251" s="0" t="s">
        <v>12</v>
      </c>
      <c r="B9251" s="0" t="n">
        <v>2640378</v>
      </c>
      <c r="C9251" s="0" t="n">
        <v>2640398</v>
      </c>
      <c r="D9251" s="0" t="s">
        <v>30883</v>
      </c>
      <c r="E9251" s="0" t="s">
        <v>89</v>
      </c>
      <c r="F9251" s="0" t="s">
        <v>90</v>
      </c>
      <c r="G9251" s="0" t="s">
        <v>32</v>
      </c>
      <c r="H9251" s="0" t="n">
        <v>7</v>
      </c>
      <c r="I9251" s="0" t="s">
        <v>30884</v>
      </c>
      <c r="J9251" s="0" t="s">
        <v>30885</v>
      </c>
      <c r="K9251" s="0" t="s">
        <v>30886</v>
      </c>
      <c r="L9251" s="0" t="str">
        <f aca="false">HYPERLINK("https://www.ncbi.nlm.nih.gov/nuccore/CP000304.1?report=graph&amp;tracks=[key:gene_model_track,Options:GeneOnly]&amp;mk=2640379:2640398|offset_7|00cc00,2640351:2640370|offset_35|444444,2640327:2640346|offset_59|444444,2640285:2640304|offset_101|444444&amp;v=2640178:2640504&amp;c=444444", "offset 7")</f>
        <v>offset 7</v>
      </c>
    </row>
    <row r="9252" customFormat="false" ht="12.8" hidden="false" customHeight="false" outlineLevel="0" collapsed="false">
      <c r="A9252" s="0" t="s">
        <v>12</v>
      </c>
      <c r="B9252" s="0" t="n">
        <v>2640350</v>
      </c>
      <c r="C9252" s="0" t="n">
        <v>2640370</v>
      </c>
      <c r="D9252" s="0" t="s">
        <v>30883</v>
      </c>
      <c r="E9252" s="0" t="s">
        <v>89</v>
      </c>
      <c r="F9252" s="0" t="s">
        <v>90</v>
      </c>
      <c r="G9252" s="0" t="s">
        <v>26</v>
      </c>
      <c r="H9252" s="0" t="n">
        <v>35</v>
      </c>
      <c r="I9252" s="0" t="s">
        <v>30887</v>
      </c>
      <c r="J9252" s="0" t="s">
        <v>30888</v>
      </c>
      <c r="K9252" s="0" t="s">
        <v>30889</v>
      </c>
      <c r="L9252" s="0" t="str">
        <f aca="false">HYPERLINK("https://www.ncbi.nlm.nih.gov/nuccore/CP000304.1?report=graph&amp;tracks=[key:gene_model_track,Options:GeneOnly]&amp;mk=2640379:2640398|offset_7|444444,2640351:2640370|offset_35|00cc00,2640327:2640346|offset_59|444444,2640285:2640304|offset_101|444444&amp;v=2640178:2640504&amp;c=444444", "offset 35")</f>
        <v>offset 35</v>
      </c>
    </row>
    <row r="9253" customFormat="false" ht="12.8" hidden="false" customHeight="false" outlineLevel="0" collapsed="false">
      <c r="A9253" s="0" t="s">
        <v>12</v>
      </c>
      <c r="B9253" s="0" t="n">
        <v>2640326</v>
      </c>
      <c r="C9253" s="0" t="n">
        <v>2640346</v>
      </c>
      <c r="D9253" s="0" t="s">
        <v>30883</v>
      </c>
      <c r="E9253" s="0" t="s">
        <v>89</v>
      </c>
      <c r="F9253" s="0" t="s">
        <v>90</v>
      </c>
      <c r="G9253" s="0" t="s">
        <v>16</v>
      </c>
      <c r="H9253" s="0" t="n">
        <v>59</v>
      </c>
      <c r="I9253" s="0" t="s">
        <v>30890</v>
      </c>
      <c r="J9253" s="0" t="s">
        <v>30891</v>
      </c>
      <c r="K9253" s="0" t="s">
        <v>30892</v>
      </c>
      <c r="L9253" s="0" t="str">
        <f aca="false">HYPERLINK("https://www.ncbi.nlm.nih.gov/nuccore/CP000304.1?report=graph&amp;tracks=[key:gene_model_track,Options:GeneOnly]&amp;mk=2640379:2640398|offset_7|444444,2640351:2640370|offset_35|444444,2640327:2640346|offset_59|00cc00,2640285:2640304|offset_101|444444&amp;v=2640178:2640504&amp;c=444444", "offset 59")</f>
        <v>offset 59</v>
      </c>
    </row>
    <row r="9254" customFormat="false" ht="12.8" hidden="false" customHeight="false" outlineLevel="0" collapsed="false">
      <c r="A9254" s="0" t="s">
        <v>12</v>
      </c>
      <c r="B9254" s="0" t="n">
        <v>2640284</v>
      </c>
      <c r="C9254" s="0" t="n">
        <v>2640304</v>
      </c>
      <c r="D9254" s="0" t="s">
        <v>30883</v>
      </c>
      <c r="E9254" s="0" t="s">
        <v>89</v>
      </c>
      <c r="F9254" s="0" t="s">
        <v>90</v>
      </c>
      <c r="G9254" s="0" t="s">
        <v>26</v>
      </c>
      <c r="H9254" s="0" t="n">
        <v>101</v>
      </c>
      <c r="I9254" s="0" t="s">
        <v>30893</v>
      </c>
      <c r="J9254" s="0" t="s">
        <v>30894</v>
      </c>
      <c r="K9254" s="0" t="s">
        <v>30895</v>
      </c>
      <c r="L9254" s="0" t="str">
        <f aca="false">HYPERLINK("https://www.ncbi.nlm.nih.gov/nuccore/CP000304.1?report=graph&amp;tracks=[key:gene_model_track,Options:GeneOnly]&amp;mk=2640379:2640398|offset_7|444444,2640351:2640370|offset_35|444444,2640327:2640346|offset_59|444444,2640285:2640304|offset_101|00cc00&amp;v=2640178:2640504&amp;c=444444", "offset 101")</f>
        <v>offset 101</v>
      </c>
    </row>
    <row r="9255" customFormat="false" ht="12.8" hidden="false" customHeight="false" outlineLevel="0" collapsed="false">
      <c r="A9255" s="0" t="s">
        <v>12</v>
      </c>
      <c r="B9255" s="0" t="n">
        <v>2641481</v>
      </c>
      <c r="C9255" s="0" t="n">
        <v>2641501</v>
      </c>
      <c r="D9255" s="0" t="s">
        <v>30896</v>
      </c>
      <c r="E9255" s="0" t="s">
        <v>89</v>
      </c>
      <c r="F9255" s="0" t="s">
        <v>90</v>
      </c>
      <c r="G9255" s="0" t="s">
        <v>36</v>
      </c>
      <c r="H9255" s="0" t="n">
        <v>12</v>
      </c>
      <c r="I9255" s="0" t="s">
        <v>30897</v>
      </c>
      <c r="J9255" s="0" t="s">
        <v>30898</v>
      </c>
      <c r="K9255" s="0" t="s">
        <v>30899</v>
      </c>
      <c r="L9255" s="0" t="str">
        <f aca="false">HYPERLINK("https://www.ncbi.nlm.nih.gov/nuccore/CP000304.1?report=graph&amp;tracks=[key:gene_model_track,Options:GeneOnly]&amp;mk=2641482:2641501|offset_12|00cc00,2641451:2641470|offset_43|444444,2641403:2641422|offset_91|444444,2641379:2641398|offset_115|444444&amp;v=2641281:2641598&amp;c=444444", "offset 12")</f>
        <v>offset 12</v>
      </c>
    </row>
    <row r="9256" customFormat="false" ht="12.8" hidden="false" customHeight="false" outlineLevel="0" collapsed="false">
      <c r="A9256" s="0" t="s">
        <v>12</v>
      </c>
      <c r="B9256" s="0" t="n">
        <v>2641450</v>
      </c>
      <c r="C9256" s="0" t="n">
        <v>2641470</v>
      </c>
      <c r="D9256" s="0" t="s">
        <v>30896</v>
      </c>
      <c r="E9256" s="0" t="s">
        <v>89</v>
      </c>
      <c r="F9256" s="0" t="s">
        <v>90</v>
      </c>
      <c r="G9256" s="0" t="s">
        <v>16</v>
      </c>
      <c r="H9256" s="0" t="n">
        <v>43</v>
      </c>
      <c r="I9256" s="0" t="s">
        <v>30900</v>
      </c>
      <c r="J9256" s="0" t="s">
        <v>30901</v>
      </c>
      <c r="K9256" s="0" t="s">
        <v>30902</v>
      </c>
      <c r="L9256" s="0" t="str">
        <f aca="false">HYPERLINK("https://www.ncbi.nlm.nih.gov/nuccore/CP000304.1?report=graph&amp;tracks=[key:gene_model_track,Options:GeneOnly]&amp;mk=2641482:2641501|offset_12|444444,2641451:2641470|offset_43|00cc00,2641403:2641422|offset_91|444444,2641379:2641398|offset_115|444444&amp;v=2641281:2641598&amp;c=444444", "offset 43")</f>
        <v>offset 43</v>
      </c>
    </row>
    <row r="9257" customFormat="false" ht="12.8" hidden="false" customHeight="false" outlineLevel="0" collapsed="false">
      <c r="A9257" s="0" t="s">
        <v>12</v>
      </c>
      <c r="B9257" s="0" t="n">
        <v>2641402</v>
      </c>
      <c r="C9257" s="0" t="n">
        <v>2641422</v>
      </c>
      <c r="D9257" s="0" t="s">
        <v>30896</v>
      </c>
      <c r="E9257" s="0" t="s">
        <v>89</v>
      </c>
      <c r="F9257" s="0" t="s">
        <v>90</v>
      </c>
      <c r="G9257" s="0" t="s">
        <v>16</v>
      </c>
      <c r="H9257" s="0" t="n">
        <v>91</v>
      </c>
      <c r="I9257" s="0" t="s">
        <v>30903</v>
      </c>
      <c r="J9257" s="0" t="s">
        <v>30904</v>
      </c>
      <c r="K9257" s="0" t="s">
        <v>30905</v>
      </c>
      <c r="L9257" s="0" t="str">
        <f aca="false">HYPERLINK("https://www.ncbi.nlm.nih.gov/nuccore/CP000304.1?report=graph&amp;tracks=[key:gene_model_track,Options:GeneOnly]&amp;mk=2641482:2641501|offset_12|444444,2641451:2641470|offset_43|444444,2641403:2641422|offset_91|00cc00,2641379:2641398|offset_115|444444&amp;v=2641281:2641598&amp;c=444444", "offset 91")</f>
        <v>offset 91</v>
      </c>
    </row>
    <row r="9258" customFormat="false" ht="12.8" hidden="false" customHeight="false" outlineLevel="0" collapsed="false">
      <c r="A9258" s="0" t="s">
        <v>12</v>
      </c>
      <c r="B9258" s="0" t="n">
        <v>2641378</v>
      </c>
      <c r="C9258" s="0" t="n">
        <v>2641398</v>
      </c>
      <c r="D9258" s="0" t="s">
        <v>30896</v>
      </c>
      <c r="E9258" s="0" t="s">
        <v>89</v>
      </c>
      <c r="F9258" s="0" t="s">
        <v>90</v>
      </c>
      <c r="G9258" s="0" t="s">
        <v>16</v>
      </c>
      <c r="H9258" s="0" t="n">
        <v>115</v>
      </c>
      <c r="I9258" s="0" t="s">
        <v>30906</v>
      </c>
      <c r="J9258" s="0" t="s">
        <v>30907</v>
      </c>
      <c r="K9258" s="0" t="s">
        <v>30908</v>
      </c>
      <c r="L9258" s="0" t="str">
        <f aca="false">HYPERLINK("https://www.ncbi.nlm.nih.gov/nuccore/CP000304.1?report=graph&amp;tracks=[key:gene_model_track,Options:GeneOnly]&amp;mk=2641482:2641501|offset_12|444444,2641451:2641470|offset_43|444444,2641403:2641422|offset_91|444444,2641379:2641398|offset_115|00cc00&amp;v=2641281:2641598&amp;c=444444", "offset 115")</f>
        <v>offset 115</v>
      </c>
    </row>
    <row r="9259" customFormat="false" ht="12.8" hidden="false" customHeight="false" outlineLevel="0" collapsed="false">
      <c r="A9259" s="0" t="s">
        <v>12</v>
      </c>
      <c r="B9259" s="0" t="n">
        <v>2644502</v>
      </c>
      <c r="C9259" s="0" t="n">
        <v>2644522</v>
      </c>
      <c r="D9259" s="0" t="s">
        <v>30909</v>
      </c>
      <c r="E9259" s="0" t="s">
        <v>30910</v>
      </c>
      <c r="F9259" s="0" t="s">
        <v>90</v>
      </c>
      <c r="G9259" s="0" t="s">
        <v>32</v>
      </c>
      <c r="H9259" s="0" t="n">
        <v>1</v>
      </c>
      <c r="I9259" s="0" t="s">
        <v>30911</v>
      </c>
      <c r="J9259" s="0" t="s">
        <v>30912</v>
      </c>
      <c r="K9259" s="0" t="s">
        <v>30913</v>
      </c>
      <c r="L9259" s="0" t="str">
        <f aca="false">HYPERLINK("https://www.ncbi.nlm.nih.gov/nuccore/CP000304.1?report=graph&amp;tracks=[key:gene_model_track,Options:GeneOnly]&amp;mk=2644503:2644522|offset_1|00cc00,2644460:2644479|offset_44|444444,2644431:2644450|offset_73|444444,2644386:2644405|offset_118|444444&amp;v=2644302:2644605&amp;c=444444", "offset 1")</f>
        <v>offset 1</v>
      </c>
    </row>
    <row r="9260" customFormat="false" ht="12.8" hidden="false" customHeight="false" outlineLevel="0" collapsed="false">
      <c r="A9260" s="0" t="s">
        <v>12</v>
      </c>
      <c r="B9260" s="0" t="n">
        <v>2644459</v>
      </c>
      <c r="C9260" s="0" t="n">
        <v>2644479</v>
      </c>
      <c r="D9260" s="0" t="s">
        <v>30909</v>
      </c>
      <c r="E9260" s="0" t="s">
        <v>30910</v>
      </c>
      <c r="F9260" s="0" t="s">
        <v>90</v>
      </c>
      <c r="G9260" s="0" t="s">
        <v>32</v>
      </c>
      <c r="H9260" s="0" t="n">
        <v>44</v>
      </c>
      <c r="I9260" s="0" t="s">
        <v>30914</v>
      </c>
      <c r="J9260" s="0" t="s">
        <v>30915</v>
      </c>
      <c r="K9260" s="0" t="s">
        <v>30916</v>
      </c>
      <c r="L9260" s="0" t="str">
        <f aca="false">HYPERLINK("https://www.ncbi.nlm.nih.gov/nuccore/CP000304.1?report=graph&amp;tracks=[key:gene_model_track,Options:GeneOnly]&amp;mk=2644503:2644522|offset_1|444444,2644460:2644479|offset_44|00cc00,2644431:2644450|offset_73|444444,2644386:2644405|offset_118|444444&amp;v=2644302:2644605&amp;c=444444", "offset 44")</f>
        <v>offset 44</v>
      </c>
    </row>
    <row r="9261" customFormat="false" ht="12.8" hidden="false" customHeight="false" outlineLevel="0" collapsed="false">
      <c r="A9261" s="0" t="s">
        <v>12</v>
      </c>
      <c r="B9261" s="0" t="n">
        <v>2644430</v>
      </c>
      <c r="C9261" s="0" t="n">
        <v>2644450</v>
      </c>
      <c r="D9261" s="0" t="s">
        <v>30909</v>
      </c>
      <c r="E9261" s="0" t="s">
        <v>30910</v>
      </c>
      <c r="F9261" s="0" t="s">
        <v>90</v>
      </c>
      <c r="G9261" s="0" t="s">
        <v>36</v>
      </c>
      <c r="H9261" s="0" t="n">
        <v>73</v>
      </c>
      <c r="I9261" s="0" t="s">
        <v>30917</v>
      </c>
      <c r="J9261" s="0" t="s">
        <v>30918</v>
      </c>
      <c r="K9261" s="0" t="s">
        <v>30919</v>
      </c>
      <c r="L9261" s="0" t="str">
        <f aca="false">HYPERLINK("https://www.ncbi.nlm.nih.gov/nuccore/CP000304.1?report=graph&amp;tracks=[key:gene_model_track,Options:GeneOnly]&amp;mk=2644503:2644522|offset_1|444444,2644460:2644479|offset_44|444444,2644431:2644450|offset_73|00cc00,2644386:2644405|offset_118|444444&amp;v=2644302:2644605&amp;c=444444", "offset 73")</f>
        <v>offset 73</v>
      </c>
    </row>
    <row r="9262" customFormat="false" ht="12.8" hidden="false" customHeight="false" outlineLevel="0" collapsed="false">
      <c r="A9262" s="0" t="s">
        <v>12</v>
      </c>
      <c r="B9262" s="0" t="n">
        <v>2644385</v>
      </c>
      <c r="C9262" s="0" t="n">
        <v>2644405</v>
      </c>
      <c r="D9262" s="0" t="s">
        <v>30909</v>
      </c>
      <c r="E9262" s="0" t="s">
        <v>30910</v>
      </c>
      <c r="F9262" s="0" t="s">
        <v>90</v>
      </c>
      <c r="G9262" s="0" t="s">
        <v>36</v>
      </c>
      <c r="H9262" s="0" t="n">
        <v>118</v>
      </c>
      <c r="I9262" s="0" t="s">
        <v>30920</v>
      </c>
      <c r="J9262" s="0" t="s">
        <v>30921</v>
      </c>
      <c r="K9262" s="0" t="s">
        <v>30922</v>
      </c>
      <c r="L9262" s="0" t="str">
        <f aca="false">HYPERLINK("https://www.ncbi.nlm.nih.gov/nuccore/CP000304.1?report=graph&amp;tracks=[key:gene_model_track,Options:GeneOnly]&amp;mk=2644503:2644522|offset_1|444444,2644460:2644479|offset_44|444444,2644431:2644450|offset_73|444444,2644386:2644405|offset_118|00cc00&amp;v=2644302:2644605&amp;c=444444", "offset 118")</f>
        <v>offset 118</v>
      </c>
    </row>
    <row r="9263" customFormat="false" ht="12.8" hidden="false" customHeight="false" outlineLevel="0" collapsed="false">
      <c r="A9263" s="0" t="s">
        <v>12</v>
      </c>
      <c r="B9263" s="0" t="n">
        <v>2645498</v>
      </c>
      <c r="C9263" s="0" t="n">
        <v>2645518</v>
      </c>
      <c r="D9263" s="0" t="s">
        <v>30923</v>
      </c>
      <c r="E9263" s="0" t="s">
        <v>89</v>
      </c>
      <c r="F9263" s="0" t="s">
        <v>90</v>
      </c>
      <c r="G9263" s="0" t="s">
        <v>16</v>
      </c>
      <c r="H9263" s="0" t="n">
        <v>30</v>
      </c>
      <c r="I9263" s="0" t="s">
        <v>30924</v>
      </c>
      <c r="J9263" s="0" t="s">
        <v>30925</v>
      </c>
      <c r="K9263" s="0" t="s">
        <v>30926</v>
      </c>
      <c r="L9263" s="0" t="str">
        <f aca="false">HYPERLINK("https://www.ncbi.nlm.nih.gov/nuccore/CP000304.1?report=graph&amp;tracks=[key:gene_model_track,Options:GeneOnly]&amp;mk=2645499:2645518|offset_30|00cc00,2645479:2645498|offset_50|444444,2645451:2645470|offset_78|444444,2645419:2645438|offset_110|444444&amp;v=2645298:2645638&amp;c=444444", "offset 30")</f>
        <v>offset 30</v>
      </c>
    </row>
    <row r="9264" customFormat="false" ht="12.8" hidden="false" customHeight="false" outlineLevel="0" collapsed="false">
      <c r="A9264" s="0" t="s">
        <v>12</v>
      </c>
      <c r="B9264" s="0" t="n">
        <v>2645478</v>
      </c>
      <c r="C9264" s="0" t="n">
        <v>2645498</v>
      </c>
      <c r="D9264" s="0" t="s">
        <v>30923</v>
      </c>
      <c r="E9264" s="0" t="s">
        <v>89</v>
      </c>
      <c r="F9264" s="0" t="s">
        <v>90</v>
      </c>
      <c r="G9264" s="0" t="s">
        <v>26</v>
      </c>
      <c r="H9264" s="0" t="n">
        <v>50</v>
      </c>
      <c r="I9264" s="0" t="s">
        <v>30927</v>
      </c>
      <c r="J9264" s="0" t="s">
        <v>30928</v>
      </c>
      <c r="K9264" s="0" t="s">
        <v>30929</v>
      </c>
      <c r="L9264" s="0" t="str">
        <f aca="false">HYPERLINK("https://www.ncbi.nlm.nih.gov/nuccore/CP000304.1?report=graph&amp;tracks=[key:gene_model_track,Options:GeneOnly]&amp;mk=2645499:2645518|offset_30|444444,2645479:2645498|offset_50|00cc00,2645451:2645470|offset_78|444444,2645419:2645438|offset_110|444444&amp;v=2645298:2645638&amp;c=444444", "offset 50")</f>
        <v>offset 50</v>
      </c>
    </row>
    <row r="9265" customFormat="false" ht="12.8" hidden="false" customHeight="false" outlineLevel="0" collapsed="false">
      <c r="A9265" s="0" t="s">
        <v>12</v>
      </c>
      <c r="B9265" s="0" t="n">
        <v>2645450</v>
      </c>
      <c r="C9265" s="0" t="n">
        <v>2645470</v>
      </c>
      <c r="D9265" s="0" t="s">
        <v>30923</v>
      </c>
      <c r="E9265" s="0" t="s">
        <v>89</v>
      </c>
      <c r="F9265" s="0" t="s">
        <v>90</v>
      </c>
      <c r="G9265" s="0" t="s">
        <v>16</v>
      </c>
      <c r="H9265" s="0" t="n">
        <v>78</v>
      </c>
      <c r="I9265" s="0" t="s">
        <v>30930</v>
      </c>
      <c r="J9265" s="0" t="s">
        <v>30931</v>
      </c>
      <c r="K9265" s="0" t="s">
        <v>30932</v>
      </c>
      <c r="L9265" s="0" t="str">
        <f aca="false">HYPERLINK("https://www.ncbi.nlm.nih.gov/nuccore/CP000304.1?report=graph&amp;tracks=[key:gene_model_track,Options:GeneOnly]&amp;mk=2645499:2645518|offset_30|444444,2645479:2645498|offset_50|444444,2645451:2645470|offset_78|00cc00,2645419:2645438|offset_110|444444&amp;v=2645298:2645638&amp;c=444444", "offset 78")</f>
        <v>offset 78</v>
      </c>
    </row>
    <row r="9266" customFormat="false" ht="12.8" hidden="false" customHeight="false" outlineLevel="0" collapsed="false">
      <c r="A9266" s="0" t="s">
        <v>12</v>
      </c>
      <c r="B9266" s="0" t="n">
        <v>2645418</v>
      </c>
      <c r="C9266" s="0" t="n">
        <v>2645438</v>
      </c>
      <c r="D9266" s="0" t="s">
        <v>30923</v>
      </c>
      <c r="E9266" s="0" t="s">
        <v>89</v>
      </c>
      <c r="F9266" s="0" t="s">
        <v>90</v>
      </c>
      <c r="G9266" s="0" t="s">
        <v>26</v>
      </c>
      <c r="H9266" s="0" t="n">
        <v>110</v>
      </c>
      <c r="I9266" s="0" t="s">
        <v>30933</v>
      </c>
      <c r="J9266" s="0" t="s">
        <v>30934</v>
      </c>
      <c r="K9266" s="0" t="s">
        <v>30935</v>
      </c>
      <c r="L9266" s="0" t="str">
        <f aca="false">HYPERLINK("https://www.ncbi.nlm.nih.gov/nuccore/CP000304.1?report=graph&amp;tracks=[key:gene_model_track,Options:GeneOnly]&amp;mk=2645499:2645518|offset_30|444444,2645479:2645498|offset_50|444444,2645451:2645470|offset_78|444444,2645419:2645438|offset_110|00cc00&amp;v=2645298:2645638&amp;c=444444", "offset 110")</f>
        <v>offset 110</v>
      </c>
    </row>
    <row r="9267" customFormat="false" ht="12.8" hidden="false" customHeight="false" outlineLevel="0" collapsed="false">
      <c r="A9267" s="0" t="s">
        <v>12</v>
      </c>
      <c r="B9267" s="0" t="n">
        <v>2645838</v>
      </c>
      <c r="C9267" s="0" t="n">
        <v>2645858</v>
      </c>
      <c r="D9267" s="0" t="s">
        <v>30936</v>
      </c>
      <c r="E9267" s="0" t="s">
        <v>89</v>
      </c>
      <c r="F9267" s="0" t="s">
        <v>90</v>
      </c>
      <c r="G9267" s="0" t="s">
        <v>32</v>
      </c>
      <c r="H9267" s="0" t="n">
        <v>1</v>
      </c>
      <c r="I9267" s="0" t="s">
        <v>30937</v>
      </c>
      <c r="J9267" s="0" t="s">
        <v>30938</v>
      </c>
      <c r="K9267" s="0" t="s">
        <v>30939</v>
      </c>
      <c r="L9267" s="0" t="str">
        <f aca="false">HYPERLINK("https://www.ncbi.nlm.nih.gov/nuccore/CP000304.1?report=graph&amp;tracks=[key:gene_model_track,Options:GeneOnly]&amp;mk=2645839:2645858|offset_1|00cc00,2645818:2645837|offset_22|444444,2645784:2645803|offset_56|444444,2645745:2645764|offset_95|444444&amp;v=2645638:2645964&amp;c=444444", "offset 1")</f>
        <v>offset 1</v>
      </c>
    </row>
    <row r="9268" customFormat="false" ht="12.8" hidden="false" customHeight="false" outlineLevel="0" collapsed="false">
      <c r="A9268" s="0" t="s">
        <v>12</v>
      </c>
      <c r="B9268" s="0" t="n">
        <v>2645817</v>
      </c>
      <c r="C9268" s="0" t="n">
        <v>2645837</v>
      </c>
      <c r="D9268" s="0" t="s">
        <v>30936</v>
      </c>
      <c r="E9268" s="0" t="s">
        <v>89</v>
      </c>
      <c r="F9268" s="0" t="s">
        <v>90</v>
      </c>
      <c r="G9268" s="0" t="s">
        <v>16</v>
      </c>
      <c r="H9268" s="0" t="n">
        <v>22</v>
      </c>
      <c r="I9268" s="0" t="s">
        <v>30940</v>
      </c>
      <c r="J9268" s="0" t="s">
        <v>30941</v>
      </c>
      <c r="K9268" s="0" t="s">
        <v>30942</v>
      </c>
      <c r="L9268" s="0" t="str">
        <f aca="false">HYPERLINK("https://www.ncbi.nlm.nih.gov/nuccore/CP000304.1?report=graph&amp;tracks=[key:gene_model_track,Options:GeneOnly]&amp;mk=2645839:2645858|offset_1|444444,2645818:2645837|offset_22|00cc00,2645784:2645803|offset_56|444444,2645745:2645764|offset_95|444444&amp;v=2645638:2645964&amp;c=444444", "offset 22")</f>
        <v>offset 22</v>
      </c>
    </row>
    <row r="9269" customFormat="false" ht="12.8" hidden="false" customHeight="false" outlineLevel="0" collapsed="false">
      <c r="A9269" s="0" t="s">
        <v>12</v>
      </c>
      <c r="B9269" s="0" t="n">
        <v>2645783</v>
      </c>
      <c r="C9269" s="0" t="n">
        <v>2645803</v>
      </c>
      <c r="D9269" s="0" t="s">
        <v>30936</v>
      </c>
      <c r="E9269" s="0" t="s">
        <v>89</v>
      </c>
      <c r="F9269" s="0" t="s">
        <v>90</v>
      </c>
      <c r="G9269" s="0" t="s">
        <v>26</v>
      </c>
      <c r="H9269" s="0" t="n">
        <v>56</v>
      </c>
      <c r="I9269" s="0" t="s">
        <v>30943</v>
      </c>
      <c r="J9269" s="0" t="s">
        <v>30944</v>
      </c>
      <c r="K9269" s="0" t="s">
        <v>30945</v>
      </c>
      <c r="L9269" s="0" t="str">
        <f aca="false">HYPERLINK("https://www.ncbi.nlm.nih.gov/nuccore/CP000304.1?report=graph&amp;tracks=[key:gene_model_track,Options:GeneOnly]&amp;mk=2645839:2645858|offset_1|444444,2645818:2645837|offset_22|444444,2645784:2645803|offset_56|00cc00,2645745:2645764|offset_95|444444&amp;v=2645638:2645964&amp;c=444444", "offset 56")</f>
        <v>offset 56</v>
      </c>
    </row>
    <row r="9270" customFormat="false" ht="12.8" hidden="false" customHeight="false" outlineLevel="0" collapsed="false">
      <c r="A9270" s="0" t="s">
        <v>12</v>
      </c>
      <c r="B9270" s="0" t="n">
        <v>2645744</v>
      </c>
      <c r="C9270" s="0" t="n">
        <v>2645764</v>
      </c>
      <c r="D9270" s="0" t="s">
        <v>30936</v>
      </c>
      <c r="E9270" s="0" t="s">
        <v>89</v>
      </c>
      <c r="F9270" s="0" t="s">
        <v>90</v>
      </c>
      <c r="G9270" s="0" t="s">
        <v>16</v>
      </c>
      <c r="H9270" s="0" t="n">
        <v>95</v>
      </c>
      <c r="I9270" s="0" t="s">
        <v>30946</v>
      </c>
      <c r="J9270" s="0" t="s">
        <v>30947</v>
      </c>
      <c r="K9270" s="0" t="s">
        <v>30948</v>
      </c>
      <c r="L9270" s="0" t="str">
        <f aca="false">HYPERLINK("https://www.ncbi.nlm.nih.gov/nuccore/CP000304.1?report=graph&amp;tracks=[key:gene_model_track,Options:GeneOnly]&amp;mk=2645839:2645858|offset_1|444444,2645818:2645837|offset_22|444444,2645784:2645803|offset_56|444444,2645745:2645764|offset_95|00cc00&amp;v=2645638:2645964&amp;c=444444", "offset 95")</f>
        <v>offset 95</v>
      </c>
    </row>
    <row r="9271" customFormat="false" ht="12.8" hidden="false" customHeight="false" outlineLevel="0" collapsed="false">
      <c r="A9271" s="0" t="s">
        <v>12</v>
      </c>
      <c r="B9271" s="0" t="n">
        <v>2646739</v>
      </c>
      <c r="C9271" s="0" t="n">
        <v>2646759</v>
      </c>
      <c r="D9271" s="0" t="s">
        <v>30949</v>
      </c>
      <c r="E9271" s="0" t="s">
        <v>89</v>
      </c>
      <c r="F9271" s="0" t="s">
        <v>90</v>
      </c>
      <c r="G9271" s="0" t="s">
        <v>26</v>
      </c>
      <c r="H9271" s="0" t="n">
        <v>29</v>
      </c>
      <c r="I9271" s="0" t="s">
        <v>30950</v>
      </c>
      <c r="J9271" s="0" t="s">
        <v>30951</v>
      </c>
      <c r="K9271" s="0" t="s">
        <v>30952</v>
      </c>
      <c r="L9271" s="0" t="str">
        <f aca="false">HYPERLINK("https://www.ncbi.nlm.nih.gov/nuccore/CP000304.1?report=graph&amp;tracks=[key:gene_model_track,Options:GeneOnly]&amp;mk=2646740:2646759|offset_29|00cc00,2646705:2646724|offset_64|444444,2646682:2646701|offset_87|444444,2646656:2646675|offset_113|444444&amp;v=2646539:2646875&amp;c=444444", "offset 29")</f>
        <v>offset 29</v>
      </c>
    </row>
    <row r="9272" customFormat="false" ht="12.8" hidden="false" customHeight="false" outlineLevel="0" collapsed="false">
      <c r="A9272" s="0" t="s">
        <v>12</v>
      </c>
      <c r="B9272" s="0" t="n">
        <v>2646704</v>
      </c>
      <c r="C9272" s="0" t="n">
        <v>2646724</v>
      </c>
      <c r="D9272" s="0" t="s">
        <v>30949</v>
      </c>
      <c r="E9272" s="0" t="s">
        <v>89</v>
      </c>
      <c r="F9272" s="0" t="s">
        <v>90</v>
      </c>
      <c r="G9272" s="0" t="s">
        <v>36</v>
      </c>
      <c r="H9272" s="0" t="n">
        <v>64</v>
      </c>
      <c r="I9272" s="0" t="s">
        <v>30953</v>
      </c>
      <c r="J9272" s="0" t="s">
        <v>30954</v>
      </c>
      <c r="K9272" s="0" t="s">
        <v>30955</v>
      </c>
      <c r="L9272" s="0" t="str">
        <f aca="false">HYPERLINK("https://www.ncbi.nlm.nih.gov/nuccore/CP000304.1?report=graph&amp;tracks=[key:gene_model_track,Options:GeneOnly]&amp;mk=2646740:2646759|offset_29|444444,2646705:2646724|offset_64|00cc00,2646682:2646701|offset_87|444444,2646656:2646675|offset_113|444444&amp;v=2646539:2646875&amp;c=444444", "offset 64")</f>
        <v>offset 64</v>
      </c>
    </row>
    <row r="9273" customFormat="false" ht="12.8" hidden="false" customHeight="false" outlineLevel="0" collapsed="false">
      <c r="A9273" s="0" t="s">
        <v>12</v>
      </c>
      <c r="B9273" s="0" t="n">
        <v>2646681</v>
      </c>
      <c r="C9273" s="0" t="n">
        <v>2646701</v>
      </c>
      <c r="D9273" s="0" t="s">
        <v>30949</v>
      </c>
      <c r="E9273" s="0" t="s">
        <v>89</v>
      </c>
      <c r="F9273" s="0" t="s">
        <v>90</v>
      </c>
      <c r="G9273" s="0" t="s">
        <v>16</v>
      </c>
      <c r="H9273" s="0" t="n">
        <v>87</v>
      </c>
      <c r="I9273" s="0" t="s">
        <v>30956</v>
      </c>
      <c r="J9273" s="0" t="s">
        <v>30957</v>
      </c>
      <c r="K9273" s="0" t="s">
        <v>30958</v>
      </c>
      <c r="L9273" s="0" t="str">
        <f aca="false">HYPERLINK("https://www.ncbi.nlm.nih.gov/nuccore/CP000304.1?report=graph&amp;tracks=[key:gene_model_track,Options:GeneOnly]&amp;mk=2646740:2646759|offset_29|444444,2646705:2646724|offset_64|444444,2646682:2646701|offset_87|00cc00,2646656:2646675|offset_113|444444&amp;v=2646539:2646875&amp;c=444444", "offset 87")</f>
        <v>offset 87</v>
      </c>
    </row>
    <row r="9274" customFormat="false" ht="12.8" hidden="false" customHeight="false" outlineLevel="0" collapsed="false">
      <c r="A9274" s="0" t="s">
        <v>12</v>
      </c>
      <c r="B9274" s="0" t="n">
        <v>2646655</v>
      </c>
      <c r="C9274" s="0" t="n">
        <v>2646675</v>
      </c>
      <c r="D9274" s="0" t="s">
        <v>30949</v>
      </c>
      <c r="E9274" s="0" t="s">
        <v>89</v>
      </c>
      <c r="F9274" s="0" t="s">
        <v>90</v>
      </c>
      <c r="G9274" s="0" t="s">
        <v>32</v>
      </c>
      <c r="H9274" s="0" t="n">
        <v>113</v>
      </c>
      <c r="I9274" s="0" t="s">
        <v>30959</v>
      </c>
      <c r="J9274" s="0" t="s">
        <v>30960</v>
      </c>
      <c r="K9274" s="0" t="s">
        <v>30961</v>
      </c>
      <c r="L9274" s="0" t="str">
        <f aca="false">HYPERLINK("https://www.ncbi.nlm.nih.gov/nuccore/CP000304.1?report=graph&amp;tracks=[key:gene_model_track,Options:GeneOnly]&amp;mk=2646740:2646759|offset_29|444444,2646705:2646724|offset_64|444444,2646682:2646701|offset_87|444444,2646656:2646675|offset_113|00cc00&amp;v=2646539:2646875&amp;c=444444", "offset 113")</f>
        <v>offset 113</v>
      </c>
    </row>
    <row r="9275" customFormat="false" ht="12.8" hidden="false" customHeight="false" outlineLevel="0" collapsed="false">
      <c r="A9275" s="0" t="s">
        <v>12</v>
      </c>
      <c r="B9275" s="0" t="n">
        <v>2647718</v>
      </c>
      <c r="C9275" s="0" t="n">
        <v>2647738</v>
      </c>
      <c r="D9275" s="0" t="s">
        <v>30962</v>
      </c>
      <c r="E9275" s="0" t="s">
        <v>89</v>
      </c>
      <c r="F9275" s="0" t="s">
        <v>90</v>
      </c>
      <c r="G9275" s="0" t="s">
        <v>36</v>
      </c>
      <c r="H9275" s="0" t="n">
        <v>15</v>
      </c>
      <c r="I9275" s="0" t="s">
        <v>30963</v>
      </c>
      <c r="J9275" s="0" t="s">
        <v>30964</v>
      </c>
      <c r="K9275" s="0" t="s">
        <v>30965</v>
      </c>
      <c r="L9275" s="0" t="str">
        <f aca="false">HYPERLINK("https://www.ncbi.nlm.nih.gov/nuccore/CP000304.1?report=graph&amp;tracks=[key:gene_model_track,Options:GeneOnly]&amp;mk=2647719:2647738|offset_15|00cc00,2647675:2647694|offset_59|444444,2647636:2647655|offset_98|444444,2647611:2647630|offset_123|444444&amp;v=2647518:2647830&amp;c=444444", "offset 15")</f>
        <v>offset 15</v>
      </c>
    </row>
    <row r="9276" customFormat="false" ht="12.8" hidden="false" customHeight="false" outlineLevel="0" collapsed="false">
      <c r="A9276" s="0" t="s">
        <v>12</v>
      </c>
      <c r="B9276" s="0" t="n">
        <v>2647674</v>
      </c>
      <c r="C9276" s="0" t="n">
        <v>2647694</v>
      </c>
      <c r="D9276" s="0" t="s">
        <v>30962</v>
      </c>
      <c r="E9276" s="0" t="s">
        <v>89</v>
      </c>
      <c r="F9276" s="0" t="s">
        <v>90</v>
      </c>
      <c r="G9276" s="0" t="s">
        <v>32</v>
      </c>
      <c r="H9276" s="0" t="n">
        <v>59</v>
      </c>
      <c r="I9276" s="0" t="s">
        <v>30966</v>
      </c>
      <c r="J9276" s="0" t="s">
        <v>30967</v>
      </c>
      <c r="K9276" s="0" t="s">
        <v>30968</v>
      </c>
      <c r="L9276" s="0" t="str">
        <f aca="false">HYPERLINK("https://www.ncbi.nlm.nih.gov/nuccore/CP000304.1?report=graph&amp;tracks=[key:gene_model_track,Options:GeneOnly]&amp;mk=2647719:2647738|offset_15|444444,2647675:2647694|offset_59|00cc00,2647636:2647655|offset_98|444444,2647611:2647630|offset_123|444444&amp;v=2647518:2647830&amp;c=444444", "offset 59")</f>
        <v>offset 59</v>
      </c>
    </row>
    <row r="9277" customFormat="false" ht="12.8" hidden="false" customHeight="false" outlineLevel="0" collapsed="false">
      <c r="A9277" s="0" t="s">
        <v>12</v>
      </c>
      <c r="B9277" s="0" t="n">
        <v>2647635</v>
      </c>
      <c r="C9277" s="0" t="n">
        <v>2647655</v>
      </c>
      <c r="D9277" s="0" t="s">
        <v>30962</v>
      </c>
      <c r="E9277" s="0" t="s">
        <v>89</v>
      </c>
      <c r="F9277" s="0" t="s">
        <v>90</v>
      </c>
      <c r="G9277" s="0" t="s">
        <v>26</v>
      </c>
      <c r="H9277" s="0" t="n">
        <v>98</v>
      </c>
      <c r="I9277" s="0" t="s">
        <v>30969</v>
      </c>
      <c r="J9277" s="0" t="s">
        <v>30970</v>
      </c>
      <c r="K9277" s="0" t="s">
        <v>30971</v>
      </c>
      <c r="L9277" s="0" t="str">
        <f aca="false">HYPERLINK("https://www.ncbi.nlm.nih.gov/nuccore/CP000304.1?report=graph&amp;tracks=[key:gene_model_track,Options:GeneOnly]&amp;mk=2647719:2647738|offset_15|444444,2647675:2647694|offset_59|444444,2647636:2647655|offset_98|00cc00,2647611:2647630|offset_123|444444&amp;v=2647518:2647830&amp;c=444444", "offset 98")</f>
        <v>offset 98</v>
      </c>
    </row>
    <row r="9278" customFormat="false" ht="12.8" hidden="false" customHeight="false" outlineLevel="0" collapsed="false">
      <c r="A9278" s="0" t="s">
        <v>12</v>
      </c>
      <c r="B9278" s="0" t="n">
        <v>2647610</v>
      </c>
      <c r="C9278" s="0" t="n">
        <v>2647630</v>
      </c>
      <c r="D9278" s="0" t="s">
        <v>30962</v>
      </c>
      <c r="E9278" s="0" t="s">
        <v>89</v>
      </c>
      <c r="F9278" s="0" t="s">
        <v>90</v>
      </c>
      <c r="G9278" s="0" t="s">
        <v>16</v>
      </c>
      <c r="H9278" s="0" t="n">
        <v>123</v>
      </c>
      <c r="I9278" s="0" t="s">
        <v>30972</v>
      </c>
      <c r="J9278" s="0" t="s">
        <v>30973</v>
      </c>
      <c r="K9278" s="0" t="s">
        <v>30974</v>
      </c>
      <c r="L9278" s="0" t="str">
        <f aca="false">HYPERLINK("https://www.ncbi.nlm.nih.gov/nuccore/CP000304.1?report=graph&amp;tracks=[key:gene_model_track,Options:GeneOnly]&amp;mk=2647719:2647738|offset_15|444444,2647675:2647694|offset_59|444444,2647636:2647655|offset_98|444444,2647611:2647630|offset_123|00cc00&amp;v=2647518:2647830&amp;c=444444", "offset 123")</f>
        <v>offset 123</v>
      </c>
    </row>
    <row r="9279" customFormat="false" ht="12.8" hidden="false" customHeight="false" outlineLevel="0" collapsed="false">
      <c r="A9279" s="0" t="s">
        <v>12</v>
      </c>
      <c r="B9279" s="0" t="n">
        <v>2648712</v>
      </c>
      <c r="C9279" s="0" t="n">
        <v>2648732</v>
      </c>
      <c r="D9279" s="0" t="s">
        <v>30975</v>
      </c>
      <c r="E9279" s="0" t="s">
        <v>30976</v>
      </c>
      <c r="F9279" s="0" t="s">
        <v>90</v>
      </c>
      <c r="G9279" s="0" t="s">
        <v>16</v>
      </c>
      <c r="H9279" s="0" t="n">
        <v>10</v>
      </c>
      <c r="I9279" s="0" t="s">
        <v>30977</v>
      </c>
      <c r="J9279" s="0" t="s">
        <v>30978</v>
      </c>
      <c r="K9279" s="0" t="s">
        <v>30979</v>
      </c>
      <c r="L9279" s="0" t="str">
        <f aca="false">HYPERLINK("https://www.ncbi.nlm.nih.gov/nuccore/CP000304.1?report=graph&amp;tracks=[key:gene_model_track,Options:GeneOnly]&amp;mk=2648713:2648732|offset_10|00cc00,2648691:2648710|offset_32|444444,2648653:2648672|offset_70|444444,2648631:2648650|offset_92|444444&amp;v=2648512:2648850&amp;c=444444", "offset 10")</f>
        <v>offset 10</v>
      </c>
    </row>
    <row r="9280" customFormat="false" ht="12.8" hidden="false" customHeight="false" outlineLevel="0" collapsed="false">
      <c r="A9280" s="0" t="s">
        <v>12</v>
      </c>
      <c r="B9280" s="0" t="n">
        <v>2648690</v>
      </c>
      <c r="C9280" s="0" t="n">
        <v>2648710</v>
      </c>
      <c r="D9280" s="0" t="s">
        <v>30975</v>
      </c>
      <c r="E9280" s="0" t="s">
        <v>30976</v>
      </c>
      <c r="F9280" s="0" t="s">
        <v>90</v>
      </c>
      <c r="G9280" s="0" t="s">
        <v>26</v>
      </c>
      <c r="H9280" s="0" t="n">
        <v>32</v>
      </c>
      <c r="I9280" s="0" t="s">
        <v>30980</v>
      </c>
      <c r="J9280" s="0" t="s">
        <v>30981</v>
      </c>
      <c r="K9280" s="0" t="s">
        <v>30982</v>
      </c>
      <c r="L9280" s="0" t="str">
        <f aca="false">HYPERLINK("https://www.ncbi.nlm.nih.gov/nuccore/CP000304.1?report=graph&amp;tracks=[key:gene_model_track,Options:GeneOnly]&amp;mk=2648713:2648732|offset_10|444444,2648691:2648710|offset_32|00cc00,2648653:2648672|offset_70|444444,2648631:2648650|offset_92|444444&amp;v=2648512:2648850&amp;c=444444", "offset 32")</f>
        <v>offset 32</v>
      </c>
    </row>
    <row r="9281" customFormat="false" ht="12.8" hidden="false" customHeight="false" outlineLevel="0" collapsed="false">
      <c r="A9281" s="0" t="s">
        <v>12</v>
      </c>
      <c r="B9281" s="0" t="n">
        <v>2648652</v>
      </c>
      <c r="C9281" s="0" t="n">
        <v>2648672</v>
      </c>
      <c r="D9281" s="0" t="s">
        <v>30975</v>
      </c>
      <c r="E9281" s="0" t="s">
        <v>30976</v>
      </c>
      <c r="F9281" s="0" t="s">
        <v>90</v>
      </c>
      <c r="G9281" s="0" t="s">
        <v>26</v>
      </c>
      <c r="H9281" s="0" t="n">
        <v>70</v>
      </c>
      <c r="I9281" s="0" t="s">
        <v>30983</v>
      </c>
      <c r="J9281" s="0" t="s">
        <v>30984</v>
      </c>
      <c r="K9281" s="0" t="s">
        <v>30985</v>
      </c>
      <c r="L9281" s="0" t="str">
        <f aca="false">HYPERLINK("https://www.ncbi.nlm.nih.gov/nuccore/CP000304.1?report=graph&amp;tracks=[key:gene_model_track,Options:GeneOnly]&amp;mk=2648713:2648732|offset_10|444444,2648691:2648710|offset_32|444444,2648653:2648672|offset_70|00cc00,2648631:2648650|offset_92|444444&amp;v=2648512:2648850&amp;c=444444", "offset 70")</f>
        <v>offset 70</v>
      </c>
    </row>
    <row r="9282" customFormat="false" ht="12.8" hidden="false" customHeight="false" outlineLevel="0" collapsed="false">
      <c r="A9282" s="0" t="s">
        <v>12</v>
      </c>
      <c r="B9282" s="0" t="n">
        <v>2648630</v>
      </c>
      <c r="C9282" s="0" t="n">
        <v>2648650</v>
      </c>
      <c r="D9282" s="0" t="s">
        <v>30975</v>
      </c>
      <c r="E9282" s="0" t="s">
        <v>30976</v>
      </c>
      <c r="F9282" s="0" t="s">
        <v>90</v>
      </c>
      <c r="G9282" s="0" t="s">
        <v>32</v>
      </c>
      <c r="H9282" s="0" t="n">
        <v>92</v>
      </c>
      <c r="I9282" s="0" t="s">
        <v>30986</v>
      </c>
      <c r="J9282" s="0" t="s">
        <v>30987</v>
      </c>
      <c r="K9282" s="0" t="s">
        <v>30988</v>
      </c>
      <c r="L9282" s="0" t="str">
        <f aca="false">HYPERLINK("https://www.ncbi.nlm.nih.gov/nuccore/CP000304.1?report=graph&amp;tracks=[key:gene_model_track,Options:GeneOnly]&amp;mk=2648713:2648732|offset_10|444444,2648691:2648710|offset_32|444444,2648653:2648672|offset_70|444444,2648631:2648650|offset_92|00cc00&amp;v=2648512:2648850&amp;c=444444", "offset 92")</f>
        <v>offset 92</v>
      </c>
    </row>
    <row r="9283" customFormat="false" ht="12.8" hidden="false" customHeight="false" outlineLevel="0" collapsed="false">
      <c r="A9283" s="0" t="s">
        <v>12</v>
      </c>
      <c r="B9283" s="0" t="n">
        <v>2648849</v>
      </c>
      <c r="C9283" s="0" t="n">
        <v>2648869</v>
      </c>
      <c r="D9283" s="0" t="s">
        <v>30989</v>
      </c>
      <c r="E9283" s="0" t="s">
        <v>89</v>
      </c>
      <c r="F9283" s="0" t="s">
        <v>15</v>
      </c>
      <c r="G9283" s="0" t="s">
        <v>36</v>
      </c>
      <c r="H9283" s="0" t="n">
        <v>8</v>
      </c>
      <c r="I9283" s="0" t="s">
        <v>30990</v>
      </c>
      <c r="J9283" s="0" t="s">
        <v>30991</v>
      </c>
      <c r="K9283" s="0" t="s">
        <v>30992</v>
      </c>
      <c r="L9283" s="0" t="str">
        <f aca="false">HYPERLINK("https://www.ncbi.nlm.nih.gov/nuccore/CP000304.1?report=graph&amp;tracks=[key:gene_model_track,Options:GeneOnly]&amp;mk=2648850:2648869|offset_8|00cc00,2648873:2648892|offset_31|444444,2648909:2648928|offset_67|444444,2648929:2648948|offset_87|444444&amp;v=2648649:2649148&amp;c=444444", "offset 8")</f>
        <v>offset 8</v>
      </c>
    </row>
    <row r="9284" customFormat="false" ht="12.8" hidden="false" customHeight="false" outlineLevel="0" collapsed="false">
      <c r="A9284" s="0" t="s">
        <v>12</v>
      </c>
      <c r="B9284" s="0" t="n">
        <v>2648872</v>
      </c>
      <c r="C9284" s="0" t="n">
        <v>2648892</v>
      </c>
      <c r="D9284" s="0" t="s">
        <v>30989</v>
      </c>
      <c r="E9284" s="0" t="s">
        <v>89</v>
      </c>
      <c r="F9284" s="0" t="s">
        <v>15</v>
      </c>
      <c r="G9284" s="0" t="s">
        <v>32</v>
      </c>
      <c r="H9284" s="0" t="n">
        <v>31</v>
      </c>
      <c r="I9284" s="0" t="s">
        <v>30993</v>
      </c>
      <c r="J9284" s="0" t="s">
        <v>30994</v>
      </c>
      <c r="K9284" s="0" t="s">
        <v>30995</v>
      </c>
      <c r="L9284" s="0" t="str">
        <f aca="false">HYPERLINK("https://www.ncbi.nlm.nih.gov/nuccore/CP000304.1?report=graph&amp;tracks=[key:gene_model_track,Options:GeneOnly]&amp;mk=2648850:2648869|offset_8|444444,2648873:2648892|offset_31|00cc00,2648909:2648928|offset_67|444444,2648929:2648948|offset_87|444444&amp;v=2648649:2649148&amp;c=444444", "offset 31")</f>
        <v>offset 31</v>
      </c>
    </row>
    <row r="9285" customFormat="false" ht="12.8" hidden="false" customHeight="false" outlineLevel="0" collapsed="false">
      <c r="A9285" s="0" t="s">
        <v>12</v>
      </c>
      <c r="B9285" s="0" t="n">
        <v>2648908</v>
      </c>
      <c r="C9285" s="0" t="n">
        <v>2648928</v>
      </c>
      <c r="D9285" s="0" t="s">
        <v>30989</v>
      </c>
      <c r="E9285" s="0" t="s">
        <v>89</v>
      </c>
      <c r="F9285" s="0" t="s">
        <v>15</v>
      </c>
      <c r="G9285" s="0" t="s">
        <v>26</v>
      </c>
      <c r="H9285" s="0" t="n">
        <v>67</v>
      </c>
      <c r="I9285" s="0" t="s">
        <v>30996</v>
      </c>
      <c r="J9285" s="0" t="s">
        <v>30997</v>
      </c>
      <c r="K9285" s="0" t="s">
        <v>30998</v>
      </c>
      <c r="L9285" s="0" t="str">
        <f aca="false">HYPERLINK("https://www.ncbi.nlm.nih.gov/nuccore/CP000304.1?report=graph&amp;tracks=[key:gene_model_track,Options:GeneOnly]&amp;mk=2648850:2648869|offset_8|444444,2648873:2648892|offset_31|444444,2648909:2648928|offset_67|00cc00,2648929:2648948|offset_87|444444&amp;v=2648649:2649148&amp;c=444444", "offset 67")</f>
        <v>offset 67</v>
      </c>
    </row>
    <row r="9286" customFormat="false" ht="12.8" hidden="false" customHeight="false" outlineLevel="0" collapsed="false">
      <c r="A9286" s="0" t="s">
        <v>12</v>
      </c>
      <c r="B9286" s="0" t="n">
        <v>2648928</v>
      </c>
      <c r="C9286" s="0" t="n">
        <v>2648948</v>
      </c>
      <c r="D9286" s="0" t="s">
        <v>30989</v>
      </c>
      <c r="E9286" s="0" t="s">
        <v>89</v>
      </c>
      <c r="F9286" s="0" t="s">
        <v>15</v>
      </c>
      <c r="G9286" s="0" t="s">
        <v>36</v>
      </c>
      <c r="H9286" s="0" t="n">
        <v>87</v>
      </c>
      <c r="I9286" s="0" t="s">
        <v>30999</v>
      </c>
      <c r="J9286" s="0" t="s">
        <v>31000</v>
      </c>
      <c r="K9286" s="0" t="s">
        <v>31001</v>
      </c>
      <c r="L9286" s="0" t="str">
        <f aca="false">HYPERLINK("https://www.ncbi.nlm.nih.gov/nuccore/CP000304.1?report=graph&amp;tracks=[key:gene_model_track,Options:GeneOnly]&amp;mk=2648850:2648869|offset_8|444444,2648873:2648892|offset_31|444444,2648909:2648928|offset_67|444444,2648929:2648948|offset_87|00cc00&amp;v=2648649:2649148&amp;c=444444", "offset 87")</f>
        <v>offset 87</v>
      </c>
    </row>
    <row r="9287" customFormat="false" ht="12.8" hidden="false" customHeight="false" outlineLevel="0" collapsed="false">
      <c r="A9287" s="0" t="s">
        <v>12</v>
      </c>
      <c r="B9287" s="0" t="n">
        <v>2649868</v>
      </c>
      <c r="C9287" s="0" t="n">
        <v>2649888</v>
      </c>
      <c r="D9287" s="0" t="s">
        <v>31002</v>
      </c>
      <c r="E9287" s="0" t="s">
        <v>89</v>
      </c>
      <c r="F9287" s="0" t="s">
        <v>15</v>
      </c>
      <c r="G9287" s="0" t="s">
        <v>36</v>
      </c>
      <c r="H9287" s="0" t="n">
        <v>6</v>
      </c>
      <c r="I9287" s="0" t="s">
        <v>31003</v>
      </c>
      <c r="J9287" s="0" t="s">
        <v>31004</v>
      </c>
      <c r="K9287" s="0" t="s">
        <v>31005</v>
      </c>
      <c r="L9287" s="0" t="str">
        <f aca="false">HYPERLINK("https://www.ncbi.nlm.nih.gov/nuccore/CP000304.1?report=graph&amp;tracks=[key:gene_model_track,Options:GeneOnly]&amp;mk=2649869:2649888|offset_6|00cc00,2649894:2649913|offset_31|444444,2649925:2649944|offset_62|444444,2649954:2649973|offset_91|444444&amp;v=2649668:2650173&amp;c=444444", "offset 6")</f>
        <v>offset 6</v>
      </c>
    </row>
    <row r="9288" customFormat="false" ht="12.8" hidden="false" customHeight="false" outlineLevel="0" collapsed="false">
      <c r="A9288" s="0" t="s">
        <v>12</v>
      </c>
      <c r="B9288" s="0" t="n">
        <v>2649893</v>
      </c>
      <c r="C9288" s="0" t="n">
        <v>2649913</v>
      </c>
      <c r="D9288" s="0" t="s">
        <v>31002</v>
      </c>
      <c r="E9288" s="0" t="s">
        <v>89</v>
      </c>
      <c r="F9288" s="0" t="s">
        <v>15</v>
      </c>
      <c r="G9288" s="0" t="s">
        <v>16</v>
      </c>
      <c r="H9288" s="0" t="n">
        <v>31</v>
      </c>
      <c r="I9288" s="0" t="s">
        <v>31006</v>
      </c>
      <c r="J9288" s="0" t="s">
        <v>31007</v>
      </c>
      <c r="K9288" s="0" t="s">
        <v>31008</v>
      </c>
      <c r="L9288" s="0" t="str">
        <f aca="false">HYPERLINK("https://www.ncbi.nlm.nih.gov/nuccore/CP000304.1?report=graph&amp;tracks=[key:gene_model_track,Options:GeneOnly]&amp;mk=2649869:2649888|offset_6|444444,2649894:2649913|offset_31|00cc00,2649925:2649944|offset_62|444444,2649954:2649973|offset_91|444444&amp;v=2649668:2650173&amp;c=444444", "offset 31")</f>
        <v>offset 31</v>
      </c>
    </row>
    <row r="9289" customFormat="false" ht="12.8" hidden="false" customHeight="false" outlineLevel="0" collapsed="false">
      <c r="A9289" s="0" t="s">
        <v>12</v>
      </c>
      <c r="B9289" s="0" t="n">
        <v>2649924</v>
      </c>
      <c r="C9289" s="0" t="n">
        <v>2649944</v>
      </c>
      <c r="D9289" s="0" t="s">
        <v>31002</v>
      </c>
      <c r="E9289" s="0" t="s">
        <v>89</v>
      </c>
      <c r="F9289" s="0" t="s">
        <v>15</v>
      </c>
      <c r="G9289" s="0" t="s">
        <v>26</v>
      </c>
      <c r="H9289" s="0" t="n">
        <v>62</v>
      </c>
      <c r="I9289" s="0" t="s">
        <v>31009</v>
      </c>
      <c r="J9289" s="0" t="s">
        <v>31010</v>
      </c>
      <c r="K9289" s="0" t="s">
        <v>31011</v>
      </c>
      <c r="L9289" s="0" t="str">
        <f aca="false">HYPERLINK("https://www.ncbi.nlm.nih.gov/nuccore/CP000304.1?report=graph&amp;tracks=[key:gene_model_track,Options:GeneOnly]&amp;mk=2649869:2649888|offset_6|444444,2649894:2649913|offset_31|444444,2649925:2649944|offset_62|00cc00,2649954:2649973|offset_91|444444&amp;v=2649668:2650173&amp;c=444444", "offset 62")</f>
        <v>offset 62</v>
      </c>
    </row>
    <row r="9290" customFormat="false" ht="12.8" hidden="false" customHeight="false" outlineLevel="0" collapsed="false">
      <c r="A9290" s="0" t="s">
        <v>12</v>
      </c>
      <c r="B9290" s="0" t="n">
        <v>2649953</v>
      </c>
      <c r="C9290" s="0" t="n">
        <v>2649973</v>
      </c>
      <c r="D9290" s="0" t="s">
        <v>31002</v>
      </c>
      <c r="E9290" s="0" t="s">
        <v>89</v>
      </c>
      <c r="F9290" s="0" t="s">
        <v>15</v>
      </c>
      <c r="G9290" s="0" t="s">
        <v>26</v>
      </c>
      <c r="H9290" s="0" t="n">
        <v>91</v>
      </c>
      <c r="I9290" s="0" t="s">
        <v>31012</v>
      </c>
      <c r="J9290" s="0" t="s">
        <v>31013</v>
      </c>
      <c r="K9290" s="0" t="s">
        <v>31014</v>
      </c>
      <c r="L9290" s="0" t="str">
        <f aca="false">HYPERLINK("https://www.ncbi.nlm.nih.gov/nuccore/CP000304.1?report=graph&amp;tracks=[key:gene_model_track,Options:GeneOnly]&amp;mk=2649869:2649888|offset_6|444444,2649894:2649913|offset_31|444444,2649925:2649944|offset_62|444444,2649954:2649973|offset_91|00cc00&amp;v=2649668:2650173&amp;c=444444", "offset 91")</f>
        <v>offset 91</v>
      </c>
    </row>
    <row r="9291" customFormat="false" ht="12.8" hidden="false" customHeight="false" outlineLevel="0" collapsed="false">
      <c r="A9291" s="0" t="s">
        <v>12</v>
      </c>
      <c r="B9291" s="0" t="n">
        <v>2651784</v>
      </c>
      <c r="C9291" s="0" t="n">
        <v>2651804</v>
      </c>
      <c r="D9291" s="0" t="s">
        <v>31015</v>
      </c>
      <c r="E9291" s="0" t="s">
        <v>89</v>
      </c>
      <c r="F9291" s="0" t="s">
        <v>90</v>
      </c>
      <c r="G9291" s="0" t="s">
        <v>26</v>
      </c>
      <c r="H9291" s="0" t="n">
        <v>38</v>
      </c>
      <c r="I9291" s="0" t="s">
        <v>31016</v>
      </c>
      <c r="J9291" s="0" t="s">
        <v>31017</v>
      </c>
      <c r="K9291" s="0" t="s">
        <v>31018</v>
      </c>
      <c r="L9291" s="0" t="str">
        <f aca="false">HYPERLINK("https://www.ncbi.nlm.nih.gov/nuccore/CP000304.1?report=graph&amp;tracks=[key:gene_model_track,Options:GeneOnly]&amp;mk=2651785:2651804|offset_38|00cc00,2651728:2651747|offset_95|444444,2651658:2651677|offset_165|444444,2651626:2651645|offset_197|444444&amp;v=2651584:2651845&amp;c=444444", "offset 38")</f>
        <v>offset 38</v>
      </c>
    </row>
    <row r="9292" customFormat="false" ht="12.8" hidden="false" customHeight="false" outlineLevel="0" collapsed="false">
      <c r="A9292" s="0" t="s">
        <v>12</v>
      </c>
      <c r="B9292" s="0" t="n">
        <v>2651727</v>
      </c>
      <c r="C9292" s="0" t="n">
        <v>2651747</v>
      </c>
      <c r="D9292" s="0" t="s">
        <v>31015</v>
      </c>
      <c r="E9292" s="0" t="s">
        <v>89</v>
      </c>
      <c r="F9292" s="0" t="s">
        <v>90</v>
      </c>
      <c r="G9292" s="0" t="s">
        <v>36</v>
      </c>
      <c r="H9292" s="0" t="n">
        <v>95</v>
      </c>
      <c r="I9292" s="0" t="s">
        <v>31019</v>
      </c>
      <c r="J9292" s="0" t="s">
        <v>31020</v>
      </c>
      <c r="K9292" s="0" t="s">
        <v>31021</v>
      </c>
      <c r="L9292" s="0" t="str">
        <f aca="false">HYPERLINK("https://www.ncbi.nlm.nih.gov/nuccore/CP000304.1?report=graph&amp;tracks=[key:gene_model_track,Options:GeneOnly]&amp;mk=2651785:2651804|offset_38|444444,2651728:2651747|offset_95|00cc00,2651658:2651677|offset_165|444444,2651626:2651645|offset_197|444444&amp;v=2651584:2651845&amp;c=444444", "offset 95")</f>
        <v>offset 95</v>
      </c>
    </row>
    <row r="9293" customFormat="false" ht="12.8" hidden="false" customHeight="false" outlineLevel="0" collapsed="false">
      <c r="A9293" s="0" t="s">
        <v>12</v>
      </c>
      <c r="B9293" s="0" t="n">
        <v>2651657</v>
      </c>
      <c r="C9293" s="0" t="n">
        <v>2651677</v>
      </c>
      <c r="D9293" s="0" t="s">
        <v>31015</v>
      </c>
      <c r="E9293" s="0" t="s">
        <v>89</v>
      </c>
      <c r="F9293" s="0" t="s">
        <v>90</v>
      </c>
      <c r="G9293" s="0" t="s">
        <v>36</v>
      </c>
      <c r="H9293" s="0" t="n">
        <v>165</v>
      </c>
      <c r="I9293" s="0" t="s">
        <v>31022</v>
      </c>
      <c r="J9293" s="0" t="s">
        <v>31023</v>
      </c>
      <c r="K9293" s="0" t="s">
        <v>31024</v>
      </c>
      <c r="L9293" s="0" t="str">
        <f aca="false">HYPERLINK("https://www.ncbi.nlm.nih.gov/nuccore/CP000304.1?report=graph&amp;tracks=[key:gene_model_track,Options:GeneOnly]&amp;mk=2651785:2651804|offset_38|444444,2651728:2651747|offset_95|444444,2651658:2651677|offset_165|00cc00,2651626:2651645|offset_197|444444&amp;v=2651584:2651845&amp;c=444444", "offset 165")</f>
        <v>offset 165</v>
      </c>
    </row>
    <row r="9294" customFormat="false" ht="12.8" hidden="false" customHeight="false" outlineLevel="0" collapsed="false">
      <c r="A9294" s="0" t="s">
        <v>12</v>
      </c>
      <c r="B9294" s="0" t="n">
        <v>2651625</v>
      </c>
      <c r="C9294" s="0" t="n">
        <v>2651645</v>
      </c>
      <c r="D9294" s="0" t="s">
        <v>31015</v>
      </c>
      <c r="E9294" s="0" t="s">
        <v>89</v>
      </c>
      <c r="F9294" s="0" t="s">
        <v>90</v>
      </c>
      <c r="G9294" s="0" t="s">
        <v>32</v>
      </c>
      <c r="H9294" s="0" t="n">
        <v>197</v>
      </c>
      <c r="I9294" s="0" t="s">
        <v>31025</v>
      </c>
      <c r="J9294" s="0" t="s">
        <v>31026</v>
      </c>
      <c r="K9294" s="0" t="s">
        <v>31027</v>
      </c>
      <c r="L9294" s="0" t="str">
        <f aca="false">HYPERLINK("https://www.ncbi.nlm.nih.gov/nuccore/CP000304.1?report=graph&amp;tracks=[key:gene_model_track,Options:GeneOnly]&amp;mk=2651785:2651804|offset_38|444444,2651728:2651747|offset_95|444444,2651658:2651677|offset_165|444444,2651626:2651645|offset_197|00cc00&amp;v=2651584:2651845&amp;c=444444", "offset 197")</f>
        <v>offset 197</v>
      </c>
    </row>
    <row r="9295" customFormat="false" ht="12.8" hidden="false" customHeight="false" outlineLevel="0" collapsed="false">
      <c r="A9295" s="0" t="s">
        <v>12</v>
      </c>
      <c r="B9295" s="0" t="n">
        <v>2651951</v>
      </c>
      <c r="C9295" s="0" t="n">
        <v>2651971</v>
      </c>
      <c r="D9295" s="0" t="s">
        <v>31028</v>
      </c>
      <c r="E9295" s="0" t="s">
        <v>89</v>
      </c>
      <c r="F9295" s="0" t="s">
        <v>15</v>
      </c>
      <c r="G9295" s="0" t="s">
        <v>16</v>
      </c>
      <c r="H9295" s="0" t="n">
        <v>0</v>
      </c>
      <c r="I9295" s="0" t="s">
        <v>31029</v>
      </c>
      <c r="J9295" s="0" t="s">
        <v>31030</v>
      </c>
      <c r="K9295" s="0" t="s">
        <v>31031</v>
      </c>
      <c r="L9295" s="0" t="str">
        <f aca="false">HYPERLINK("https://www.ncbi.nlm.nih.gov/nuccore/CP000304.1?report=graph&amp;tracks=[key:gene_model_track,Options:GeneOnly]&amp;mk=2651952:2651971|offset_0|00cc00,2651974:2651993|offset_22|444444,2652022:2652041|offset_70|444444,2652044:2652063|offset_92|444444&amp;v=2651751:2652263&amp;c=444444", "offset 0")</f>
        <v>offset 0</v>
      </c>
    </row>
    <row r="9296" customFormat="false" ht="12.8" hidden="false" customHeight="false" outlineLevel="0" collapsed="false">
      <c r="A9296" s="0" t="s">
        <v>12</v>
      </c>
      <c r="B9296" s="0" t="n">
        <v>2651973</v>
      </c>
      <c r="C9296" s="0" t="n">
        <v>2651993</v>
      </c>
      <c r="D9296" s="0" t="s">
        <v>31028</v>
      </c>
      <c r="E9296" s="0" t="s">
        <v>89</v>
      </c>
      <c r="F9296" s="0" t="s">
        <v>15</v>
      </c>
      <c r="G9296" s="0" t="s">
        <v>16</v>
      </c>
      <c r="H9296" s="0" t="n">
        <v>22</v>
      </c>
      <c r="I9296" s="0" t="s">
        <v>31032</v>
      </c>
      <c r="J9296" s="0" t="s">
        <v>31033</v>
      </c>
      <c r="K9296" s="0" t="s">
        <v>31034</v>
      </c>
      <c r="L9296" s="0" t="str">
        <f aca="false">HYPERLINK("https://www.ncbi.nlm.nih.gov/nuccore/CP000304.1?report=graph&amp;tracks=[key:gene_model_track,Options:GeneOnly]&amp;mk=2651952:2651971|offset_0|444444,2651974:2651993|offset_22|00cc00,2652022:2652041|offset_70|444444,2652044:2652063|offset_92|444444&amp;v=2651751:2652263&amp;c=444444", "offset 22")</f>
        <v>offset 22</v>
      </c>
    </row>
    <row r="9297" customFormat="false" ht="12.8" hidden="false" customHeight="false" outlineLevel="0" collapsed="false">
      <c r="A9297" s="0" t="s">
        <v>12</v>
      </c>
      <c r="B9297" s="0" t="n">
        <v>2652021</v>
      </c>
      <c r="C9297" s="0" t="n">
        <v>2652041</v>
      </c>
      <c r="D9297" s="0" t="s">
        <v>31028</v>
      </c>
      <c r="E9297" s="0" t="s">
        <v>89</v>
      </c>
      <c r="F9297" s="0" t="s">
        <v>15</v>
      </c>
      <c r="G9297" s="0" t="s">
        <v>16</v>
      </c>
      <c r="H9297" s="0" t="n">
        <v>70</v>
      </c>
      <c r="I9297" s="0" t="s">
        <v>31035</v>
      </c>
      <c r="J9297" s="0" t="s">
        <v>31036</v>
      </c>
      <c r="K9297" s="0" t="s">
        <v>31037</v>
      </c>
      <c r="L9297" s="0" t="str">
        <f aca="false">HYPERLINK("https://www.ncbi.nlm.nih.gov/nuccore/CP000304.1?report=graph&amp;tracks=[key:gene_model_track,Options:GeneOnly]&amp;mk=2651952:2651971|offset_0|444444,2651974:2651993|offset_22|444444,2652022:2652041|offset_70|00cc00,2652044:2652063|offset_92|444444&amp;v=2651751:2652263&amp;c=444444", "offset 70")</f>
        <v>offset 70</v>
      </c>
    </row>
    <row r="9298" customFormat="false" ht="12.8" hidden="false" customHeight="false" outlineLevel="0" collapsed="false">
      <c r="A9298" s="0" t="s">
        <v>12</v>
      </c>
      <c r="B9298" s="0" t="n">
        <v>2652043</v>
      </c>
      <c r="C9298" s="0" t="n">
        <v>2652063</v>
      </c>
      <c r="D9298" s="0" t="s">
        <v>31028</v>
      </c>
      <c r="E9298" s="0" t="s">
        <v>89</v>
      </c>
      <c r="F9298" s="0" t="s">
        <v>15</v>
      </c>
      <c r="G9298" s="0" t="s">
        <v>26</v>
      </c>
      <c r="H9298" s="0" t="n">
        <v>92</v>
      </c>
      <c r="I9298" s="0" t="s">
        <v>31038</v>
      </c>
      <c r="J9298" s="0" t="s">
        <v>31039</v>
      </c>
      <c r="K9298" s="0" t="s">
        <v>31040</v>
      </c>
      <c r="L9298" s="0" t="str">
        <f aca="false">HYPERLINK("https://www.ncbi.nlm.nih.gov/nuccore/CP000304.1?report=graph&amp;tracks=[key:gene_model_track,Options:GeneOnly]&amp;mk=2651952:2651971|offset_0|444444,2651974:2651993|offset_22|444444,2652022:2652041|offset_70|444444,2652044:2652063|offset_92|00cc00&amp;v=2651751:2652263&amp;c=444444", "offset 92")</f>
        <v>offset 92</v>
      </c>
    </row>
    <row r="9299" customFormat="false" ht="12.8" hidden="false" customHeight="false" outlineLevel="0" collapsed="false">
      <c r="A9299" s="0" t="s">
        <v>12</v>
      </c>
      <c r="B9299" s="0" t="n">
        <v>2653223</v>
      </c>
      <c r="C9299" s="0" t="n">
        <v>2653243</v>
      </c>
      <c r="D9299" s="0" t="s">
        <v>31041</v>
      </c>
      <c r="E9299" s="0" t="s">
        <v>89</v>
      </c>
      <c r="F9299" s="0" t="s">
        <v>90</v>
      </c>
      <c r="G9299" s="0" t="s">
        <v>32</v>
      </c>
      <c r="H9299" s="0" t="n">
        <v>10</v>
      </c>
      <c r="I9299" s="0" t="s">
        <v>31042</v>
      </c>
      <c r="J9299" s="0" t="s">
        <v>31043</v>
      </c>
      <c r="K9299" s="0" t="s">
        <v>31044</v>
      </c>
      <c r="L9299" s="0" t="str">
        <f aca="false">HYPERLINK("https://www.ncbi.nlm.nih.gov/nuccore/CP000304.1?report=graph&amp;tracks=[key:gene_model_track,Options:GeneOnly]&amp;mk=2653224:2653243|offset_10|00cc00,2653197:2653216|offset_37|444444,2653158:2653177|offset_76|444444,2653124:2653143|offset_110|444444&amp;v=2653023:2653343&amp;c=444444", "offset 10")</f>
        <v>offset 10</v>
      </c>
    </row>
    <row r="9300" customFormat="false" ht="12.8" hidden="false" customHeight="false" outlineLevel="0" collapsed="false">
      <c r="A9300" s="0" t="s">
        <v>12</v>
      </c>
      <c r="B9300" s="0" t="n">
        <v>2653196</v>
      </c>
      <c r="C9300" s="0" t="n">
        <v>2653216</v>
      </c>
      <c r="D9300" s="0" t="s">
        <v>31041</v>
      </c>
      <c r="E9300" s="0" t="s">
        <v>89</v>
      </c>
      <c r="F9300" s="0" t="s">
        <v>90</v>
      </c>
      <c r="G9300" s="0" t="s">
        <v>16</v>
      </c>
      <c r="H9300" s="0" t="n">
        <v>37</v>
      </c>
      <c r="I9300" s="0" t="s">
        <v>31045</v>
      </c>
      <c r="J9300" s="0" t="s">
        <v>31046</v>
      </c>
      <c r="K9300" s="0" t="s">
        <v>31047</v>
      </c>
      <c r="L9300" s="0" t="str">
        <f aca="false">HYPERLINK("https://www.ncbi.nlm.nih.gov/nuccore/CP000304.1?report=graph&amp;tracks=[key:gene_model_track,Options:GeneOnly]&amp;mk=2653224:2653243|offset_10|444444,2653197:2653216|offset_37|00cc00,2653158:2653177|offset_76|444444,2653124:2653143|offset_110|444444&amp;v=2653023:2653343&amp;c=444444", "offset 37")</f>
        <v>offset 37</v>
      </c>
    </row>
    <row r="9301" customFormat="false" ht="12.8" hidden="false" customHeight="false" outlineLevel="0" collapsed="false">
      <c r="A9301" s="0" t="s">
        <v>12</v>
      </c>
      <c r="B9301" s="0" t="n">
        <v>2653157</v>
      </c>
      <c r="C9301" s="0" t="n">
        <v>2653177</v>
      </c>
      <c r="D9301" s="0" t="s">
        <v>31041</v>
      </c>
      <c r="E9301" s="0" t="s">
        <v>89</v>
      </c>
      <c r="F9301" s="0" t="s">
        <v>90</v>
      </c>
      <c r="G9301" s="0" t="s">
        <v>36</v>
      </c>
      <c r="H9301" s="0" t="n">
        <v>76</v>
      </c>
      <c r="I9301" s="0" t="s">
        <v>31048</v>
      </c>
      <c r="J9301" s="0" t="s">
        <v>31049</v>
      </c>
      <c r="K9301" s="0" t="s">
        <v>31050</v>
      </c>
      <c r="L9301" s="0" t="str">
        <f aca="false">HYPERLINK("https://www.ncbi.nlm.nih.gov/nuccore/CP000304.1?report=graph&amp;tracks=[key:gene_model_track,Options:GeneOnly]&amp;mk=2653224:2653243|offset_10|444444,2653197:2653216|offset_37|444444,2653158:2653177|offset_76|00cc00,2653124:2653143|offset_110|444444&amp;v=2653023:2653343&amp;c=444444", "offset 76")</f>
        <v>offset 76</v>
      </c>
    </row>
    <row r="9302" customFormat="false" ht="12.8" hidden="false" customHeight="false" outlineLevel="0" collapsed="false">
      <c r="A9302" s="0" t="s">
        <v>12</v>
      </c>
      <c r="B9302" s="0" t="n">
        <v>2653123</v>
      </c>
      <c r="C9302" s="0" t="n">
        <v>2653143</v>
      </c>
      <c r="D9302" s="0" t="s">
        <v>31041</v>
      </c>
      <c r="E9302" s="0" t="s">
        <v>89</v>
      </c>
      <c r="F9302" s="0" t="s">
        <v>90</v>
      </c>
      <c r="G9302" s="0" t="s">
        <v>36</v>
      </c>
      <c r="H9302" s="0" t="n">
        <v>110</v>
      </c>
      <c r="I9302" s="0" t="s">
        <v>31051</v>
      </c>
      <c r="J9302" s="0" t="s">
        <v>31052</v>
      </c>
      <c r="K9302" s="0" t="s">
        <v>31053</v>
      </c>
      <c r="L9302" s="0" t="str">
        <f aca="false">HYPERLINK("https://www.ncbi.nlm.nih.gov/nuccore/CP000304.1?report=graph&amp;tracks=[key:gene_model_track,Options:GeneOnly]&amp;mk=2653224:2653243|offset_10|444444,2653197:2653216|offset_37|444444,2653158:2653177|offset_76|444444,2653124:2653143|offset_110|00cc00&amp;v=2653023:2653343&amp;c=444444", "offset 110")</f>
        <v>offset 110</v>
      </c>
    </row>
    <row r="9303" customFormat="false" ht="12.8" hidden="false" customHeight="false" outlineLevel="0" collapsed="false">
      <c r="A9303" s="0" t="s">
        <v>12</v>
      </c>
      <c r="B9303" s="0" t="n">
        <v>2654407</v>
      </c>
      <c r="C9303" s="0" t="n">
        <v>2654427</v>
      </c>
      <c r="D9303" s="0" t="s">
        <v>31054</v>
      </c>
      <c r="E9303" s="0" t="s">
        <v>31055</v>
      </c>
      <c r="F9303" s="0" t="s">
        <v>90</v>
      </c>
      <c r="G9303" s="0" t="s">
        <v>36</v>
      </c>
      <c r="H9303" s="0" t="n">
        <v>0</v>
      </c>
      <c r="I9303" s="0" t="s">
        <v>31056</v>
      </c>
      <c r="J9303" s="0" t="s">
        <v>31057</v>
      </c>
      <c r="K9303" s="0" t="s">
        <v>31058</v>
      </c>
      <c r="L9303" s="0" t="str">
        <f aca="false">HYPERLINK("https://www.ncbi.nlm.nih.gov/nuccore/CP000304.1?report=graph&amp;tracks=[key:gene_model_track,Options:GeneOnly]&amp;mk=2654408:2654427|offset_0|00cc00,2654326:2654345|offset_82|444444,2654292:2654311|offset_116|444444,2654272:2654291|offset_136|444444&amp;v=2654207:2654491&amp;c=444444", "offset 0")</f>
        <v>offset 0</v>
      </c>
    </row>
    <row r="9304" customFormat="false" ht="12.8" hidden="false" customHeight="false" outlineLevel="0" collapsed="false">
      <c r="A9304" s="0" t="s">
        <v>12</v>
      </c>
      <c r="B9304" s="0" t="n">
        <v>2654325</v>
      </c>
      <c r="C9304" s="0" t="n">
        <v>2654345</v>
      </c>
      <c r="D9304" s="0" t="s">
        <v>31054</v>
      </c>
      <c r="E9304" s="0" t="s">
        <v>31055</v>
      </c>
      <c r="F9304" s="0" t="s">
        <v>90</v>
      </c>
      <c r="G9304" s="0" t="s">
        <v>16</v>
      </c>
      <c r="H9304" s="0" t="n">
        <v>82</v>
      </c>
      <c r="I9304" s="0" t="s">
        <v>31059</v>
      </c>
      <c r="J9304" s="0" t="s">
        <v>31060</v>
      </c>
      <c r="K9304" s="0" t="s">
        <v>31061</v>
      </c>
      <c r="L9304" s="0" t="str">
        <f aca="false">HYPERLINK("https://www.ncbi.nlm.nih.gov/nuccore/CP000304.1?report=graph&amp;tracks=[key:gene_model_track,Options:GeneOnly]&amp;mk=2654408:2654427|offset_0|444444,2654326:2654345|offset_82|00cc00,2654292:2654311|offset_116|444444,2654272:2654291|offset_136|444444&amp;v=2654207:2654491&amp;c=444444", "offset 82")</f>
        <v>offset 82</v>
      </c>
    </row>
    <row r="9305" customFormat="false" ht="12.8" hidden="false" customHeight="false" outlineLevel="0" collapsed="false">
      <c r="A9305" s="0" t="s">
        <v>12</v>
      </c>
      <c r="B9305" s="0" t="n">
        <v>2654291</v>
      </c>
      <c r="C9305" s="0" t="n">
        <v>2654311</v>
      </c>
      <c r="D9305" s="0" t="s">
        <v>31054</v>
      </c>
      <c r="E9305" s="0" t="s">
        <v>31055</v>
      </c>
      <c r="F9305" s="0" t="s">
        <v>90</v>
      </c>
      <c r="G9305" s="0" t="s">
        <v>16</v>
      </c>
      <c r="H9305" s="0" t="n">
        <v>116</v>
      </c>
      <c r="I9305" s="0" t="s">
        <v>31062</v>
      </c>
      <c r="J9305" s="0" t="s">
        <v>31063</v>
      </c>
      <c r="K9305" s="0" t="s">
        <v>31064</v>
      </c>
      <c r="L9305" s="0" t="str">
        <f aca="false">HYPERLINK("https://www.ncbi.nlm.nih.gov/nuccore/CP000304.1?report=graph&amp;tracks=[key:gene_model_track,Options:GeneOnly]&amp;mk=2654408:2654427|offset_0|444444,2654326:2654345|offset_82|444444,2654292:2654311|offset_116|00cc00,2654272:2654291|offset_136|444444&amp;v=2654207:2654491&amp;c=444444", "offset 116")</f>
        <v>offset 116</v>
      </c>
    </row>
    <row r="9306" customFormat="false" ht="12.8" hidden="false" customHeight="false" outlineLevel="0" collapsed="false">
      <c r="A9306" s="0" t="s">
        <v>12</v>
      </c>
      <c r="B9306" s="0" t="n">
        <v>2654271</v>
      </c>
      <c r="C9306" s="0" t="n">
        <v>2654291</v>
      </c>
      <c r="D9306" s="0" t="s">
        <v>31054</v>
      </c>
      <c r="E9306" s="0" t="s">
        <v>31055</v>
      </c>
      <c r="F9306" s="0" t="s">
        <v>90</v>
      </c>
      <c r="G9306" s="0" t="s">
        <v>36</v>
      </c>
      <c r="H9306" s="0" t="n">
        <v>136</v>
      </c>
      <c r="I9306" s="0" t="s">
        <v>31065</v>
      </c>
      <c r="J9306" s="0" t="s">
        <v>31066</v>
      </c>
      <c r="K9306" s="0" t="s">
        <v>31067</v>
      </c>
      <c r="L9306" s="0" t="str">
        <f aca="false">HYPERLINK("https://www.ncbi.nlm.nih.gov/nuccore/CP000304.1?report=graph&amp;tracks=[key:gene_model_track,Options:GeneOnly]&amp;mk=2654408:2654427|offset_0|444444,2654326:2654345|offset_82|444444,2654292:2654311|offset_116|444444,2654272:2654291|offset_136|00cc00&amp;v=2654207:2654491&amp;c=444444", "offset 136")</f>
        <v>offset 136</v>
      </c>
    </row>
    <row r="9307" customFormat="false" ht="12.8" hidden="false" customHeight="false" outlineLevel="0" collapsed="false">
      <c r="A9307" s="0" t="s">
        <v>12</v>
      </c>
      <c r="B9307" s="0" t="n">
        <v>2654620</v>
      </c>
      <c r="C9307" s="0" t="n">
        <v>2654640</v>
      </c>
      <c r="D9307" s="0" t="s">
        <v>31068</v>
      </c>
      <c r="E9307" s="0" t="s">
        <v>31069</v>
      </c>
      <c r="F9307" s="0" t="s">
        <v>15</v>
      </c>
      <c r="G9307" s="0" t="s">
        <v>16</v>
      </c>
      <c r="H9307" s="0" t="n">
        <v>7</v>
      </c>
      <c r="I9307" s="0" t="s">
        <v>31070</v>
      </c>
      <c r="J9307" s="0" t="s">
        <v>31071</v>
      </c>
      <c r="K9307" s="0" t="s">
        <v>31072</v>
      </c>
      <c r="L9307" s="0" t="str">
        <f aca="false">HYPERLINK("https://www.ncbi.nlm.nih.gov/nuccore/CP000304.1?report=graph&amp;tracks=[key:gene_model_track,Options:GeneOnly]&amp;mk=2654621:2654640|offset_7|00cc00,2654643:2654662|offset_29|444444,2654670:2654689|offset_56|444444,2654698:2654717|offset_84|444444&amp;v=2654420:2654917&amp;c=444444", "offset 7")</f>
        <v>offset 7</v>
      </c>
    </row>
    <row r="9308" customFormat="false" ht="12.8" hidden="false" customHeight="false" outlineLevel="0" collapsed="false">
      <c r="A9308" s="0" t="s">
        <v>12</v>
      </c>
      <c r="B9308" s="0" t="n">
        <v>2654642</v>
      </c>
      <c r="C9308" s="0" t="n">
        <v>2654662</v>
      </c>
      <c r="D9308" s="0" t="s">
        <v>31068</v>
      </c>
      <c r="E9308" s="0" t="s">
        <v>31069</v>
      </c>
      <c r="F9308" s="0" t="s">
        <v>15</v>
      </c>
      <c r="G9308" s="0" t="s">
        <v>26</v>
      </c>
      <c r="H9308" s="0" t="n">
        <v>29</v>
      </c>
      <c r="I9308" s="0" t="s">
        <v>31073</v>
      </c>
      <c r="J9308" s="0" t="s">
        <v>31074</v>
      </c>
      <c r="K9308" s="0" t="s">
        <v>31075</v>
      </c>
      <c r="L9308" s="0" t="str">
        <f aca="false">HYPERLINK("https://www.ncbi.nlm.nih.gov/nuccore/CP000304.1?report=graph&amp;tracks=[key:gene_model_track,Options:GeneOnly]&amp;mk=2654621:2654640|offset_7|444444,2654643:2654662|offset_29|00cc00,2654670:2654689|offset_56|444444,2654698:2654717|offset_84|444444&amp;v=2654420:2654917&amp;c=444444", "offset 29")</f>
        <v>offset 29</v>
      </c>
    </row>
    <row r="9309" customFormat="false" ht="12.8" hidden="false" customHeight="false" outlineLevel="0" collapsed="false">
      <c r="A9309" s="0" t="s">
        <v>12</v>
      </c>
      <c r="B9309" s="0" t="n">
        <v>2654669</v>
      </c>
      <c r="C9309" s="0" t="n">
        <v>2654689</v>
      </c>
      <c r="D9309" s="0" t="s">
        <v>31068</v>
      </c>
      <c r="E9309" s="0" t="s">
        <v>31069</v>
      </c>
      <c r="F9309" s="0" t="s">
        <v>15</v>
      </c>
      <c r="G9309" s="0" t="s">
        <v>32</v>
      </c>
      <c r="H9309" s="0" t="n">
        <v>56</v>
      </c>
      <c r="I9309" s="0" t="s">
        <v>31076</v>
      </c>
      <c r="J9309" s="0" t="s">
        <v>31077</v>
      </c>
      <c r="K9309" s="0" t="s">
        <v>31078</v>
      </c>
      <c r="L9309" s="0" t="str">
        <f aca="false">HYPERLINK("https://www.ncbi.nlm.nih.gov/nuccore/CP000304.1?report=graph&amp;tracks=[key:gene_model_track,Options:GeneOnly]&amp;mk=2654621:2654640|offset_7|444444,2654643:2654662|offset_29|444444,2654670:2654689|offset_56|00cc00,2654698:2654717|offset_84|444444&amp;v=2654420:2654917&amp;c=444444", "offset 56")</f>
        <v>offset 56</v>
      </c>
    </row>
    <row r="9310" customFormat="false" ht="12.8" hidden="false" customHeight="false" outlineLevel="0" collapsed="false">
      <c r="A9310" s="0" t="s">
        <v>12</v>
      </c>
      <c r="B9310" s="0" t="n">
        <v>2654697</v>
      </c>
      <c r="C9310" s="0" t="n">
        <v>2654717</v>
      </c>
      <c r="D9310" s="0" t="s">
        <v>31068</v>
      </c>
      <c r="E9310" s="0" t="s">
        <v>31069</v>
      </c>
      <c r="F9310" s="0" t="s">
        <v>15</v>
      </c>
      <c r="G9310" s="0" t="s">
        <v>16</v>
      </c>
      <c r="H9310" s="0" t="n">
        <v>84</v>
      </c>
      <c r="I9310" s="0" t="s">
        <v>31079</v>
      </c>
      <c r="J9310" s="0" t="s">
        <v>31080</v>
      </c>
      <c r="K9310" s="0" t="s">
        <v>31081</v>
      </c>
      <c r="L9310" s="0" t="str">
        <f aca="false">HYPERLINK("https://www.ncbi.nlm.nih.gov/nuccore/CP000304.1?report=graph&amp;tracks=[key:gene_model_track,Options:GeneOnly]&amp;mk=2654621:2654640|offset_7|444444,2654643:2654662|offset_29|444444,2654670:2654689|offset_56|444444,2654698:2654717|offset_84|00cc00&amp;v=2654420:2654917&amp;c=444444", "offset 84")</f>
        <v>offset 84</v>
      </c>
    </row>
    <row r="9311" customFormat="false" ht="12.8" hidden="false" customHeight="false" outlineLevel="0" collapsed="false">
      <c r="A9311" s="0" t="s">
        <v>12</v>
      </c>
      <c r="B9311" s="0" t="n">
        <v>2656021</v>
      </c>
      <c r="C9311" s="0" t="n">
        <v>2656041</v>
      </c>
      <c r="D9311" s="0" t="s">
        <v>31082</v>
      </c>
      <c r="E9311" s="0" t="s">
        <v>89</v>
      </c>
      <c r="F9311" s="0" t="s">
        <v>90</v>
      </c>
      <c r="G9311" s="0" t="s">
        <v>26</v>
      </c>
      <c r="H9311" s="0" t="n">
        <v>17</v>
      </c>
      <c r="I9311" s="0" t="s">
        <v>31083</v>
      </c>
      <c r="J9311" s="0" t="s">
        <v>31084</v>
      </c>
      <c r="K9311" s="0" t="s">
        <v>31085</v>
      </c>
      <c r="L9311" s="0" t="str">
        <f aca="false">HYPERLINK("https://www.ncbi.nlm.nih.gov/nuccore/CP000304.1?report=graph&amp;tracks=[key:gene_model_track,Options:GeneOnly]&amp;mk=2656022:2656041|offset_17|00cc00,2655989:2656008|offset_50|444444,2655963:2655982|offset_76|444444,2655926:2655945|offset_113|444444&amp;v=2655821:2656145&amp;c=444444", "offset 17")</f>
        <v>offset 17</v>
      </c>
    </row>
    <row r="9312" customFormat="false" ht="12.8" hidden="false" customHeight="false" outlineLevel="0" collapsed="false">
      <c r="A9312" s="0" t="s">
        <v>12</v>
      </c>
      <c r="B9312" s="0" t="n">
        <v>2655988</v>
      </c>
      <c r="C9312" s="0" t="n">
        <v>2656008</v>
      </c>
      <c r="D9312" s="0" t="s">
        <v>31082</v>
      </c>
      <c r="E9312" s="0" t="s">
        <v>89</v>
      </c>
      <c r="F9312" s="0" t="s">
        <v>90</v>
      </c>
      <c r="G9312" s="0" t="s">
        <v>36</v>
      </c>
      <c r="H9312" s="0" t="n">
        <v>50</v>
      </c>
      <c r="I9312" s="0" t="s">
        <v>31086</v>
      </c>
      <c r="J9312" s="0" t="s">
        <v>31087</v>
      </c>
      <c r="K9312" s="0" t="s">
        <v>31088</v>
      </c>
      <c r="L9312" s="0" t="str">
        <f aca="false">HYPERLINK("https://www.ncbi.nlm.nih.gov/nuccore/CP000304.1?report=graph&amp;tracks=[key:gene_model_track,Options:GeneOnly]&amp;mk=2656022:2656041|offset_17|444444,2655989:2656008|offset_50|00cc00,2655963:2655982|offset_76|444444,2655926:2655945|offset_113|444444&amp;v=2655821:2656145&amp;c=444444", "offset 50")</f>
        <v>offset 50</v>
      </c>
    </row>
    <row r="9313" customFormat="false" ht="12.8" hidden="false" customHeight="false" outlineLevel="0" collapsed="false">
      <c r="A9313" s="0" t="s">
        <v>12</v>
      </c>
      <c r="B9313" s="0" t="n">
        <v>2655962</v>
      </c>
      <c r="C9313" s="0" t="n">
        <v>2655982</v>
      </c>
      <c r="D9313" s="0" t="s">
        <v>31082</v>
      </c>
      <c r="E9313" s="0" t="s">
        <v>89</v>
      </c>
      <c r="F9313" s="0" t="s">
        <v>90</v>
      </c>
      <c r="G9313" s="0" t="s">
        <v>26</v>
      </c>
      <c r="H9313" s="0" t="n">
        <v>76</v>
      </c>
      <c r="I9313" s="0" t="s">
        <v>31089</v>
      </c>
      <c r="J9313" s="0" t="s">
        <v>31090</v>
      </c>
      <c r="K9313" s="0" t="s">
        <v>31091</v>
      </c>
      <c r="L9313" s="0" t="str">
        <f aca="false">HYPERLINK("https://www.ncbi.nlm.nih.gov/nuccore/CP000304.1?report=graph&amp;tracks=[key:gene_model_track,Options:GeneOnly]&amp;mk=2656022:2656041|offset_17|444444,2655989:2656008|offset_50|444444,2655963:2655982|offset_76|00cc00,2655926:2655945|offset_113|444444&amp;v=2655821:2656145&amp;c=444444", "offset 76")</f>
        <v>offset 76</v>
      </c>
    </row>
    <row r="9314" customFormat="false" ht="12.8" hidden="false" customHeight="false" outlineLevel="0" collapsed="false">
      <c r="A9314" s="0" t="s">
        <v>12</v>
      </c>
      <c r="B9314" s="0" t="n">
        <v>2655925</v>
      </c>
      <c r="C9314" s="0" t="n">
        <v>2655945</v>
      </c>
      <c r="D9314" s="0" t="s">
        <v>31082</v>
      </c>
      <c r="E9314" s="0" t="s">
        <v>89</v>
      </c>
      <c r="F9314" s="0" t="s">
        <v>90</v>
      </c>
      <c r="G9314" s="0" t="s">
        <v>26</v>
      </c>
      <c r="H9314" s="0" t="n">
        <v>113</v>
      </c>
      <c r="I9314" s="0" t="s">
        <v>31092</v>
      </c>
      <c r="J9314" s="0" t="s">
        <v>31093</v>
      </c>
      <c r="K9314" s="0" t="s">
        <v>31094</v>
      </c>
      <c r="L9314" s="0" t="str">
        <f aca="false">HYPERLINK("https://www.ncbi.nlm.nih.gov/nuccore/CP000304.1?report=graph&amp;tracks=[key:gene_model_track,Options:GeneOnly]&amp;mk=2656022:2656041|offset_17|444444,2655989:2656008|offset_50|444444,2655963:2655982|offset_76|444444,2655926:2655945|offset_113|00cc00&amp;v=2655821:2656145&amp;c=444444", "offset 113")</f>
        <v>offset 113</v>
      </c>
    </row>
    <row r="9315" customFormat="false" ht="12.8" hidden="false" customHeight="false" outlineLevel="0" collapsed="false">
      <c r="A9315" s="0" t="s">
        <v>12</v>
      </c>
      <c r="B9315" s="0" t="n">
        <v>2656233</v>
      </c>
      <c r="C9315" s="0" t="n">
        <v>2656253</v>
      </c>
      <c r="D9315" s="0" t="s">
        <v>31095</v>
      </c>
      <c r="E9315" s="0" t="s">
        <v>89</v>
      </c>
      <c r="F9315" s="0" t="s">
        <v>90</v>
      </c>
      <c r="G9315" s="0" t="s">
        <v>16</v>
      </c>
      <c r="H9315" s="0" t="n">
        <v>0</v>
      </c>
      <c r="I9315" s="0" t="s">
        <v>31096</v>
      </c>
      <c r="J9315" s="0" t="s">
        <v>31097</v>
      </c>
      <c r="K9315" s="0" t="s">
        <v>31098</v>
      </c>
      <c r="L9315" s="0" t="str">
        <f aca="false">HYPERLINK("https://www.ncbi.nlm.nih.gov/nuccore/CP000304.1?report=graph&amp;tracks=[key:gene_model_track,Options:GeneOnly]&amp;mk=2656234:2656253|offset_0|00cc00,2656213:2656232|offset_21|444444,2656176:2656195|offset_58|444444,2656154:2656173|offset_80|444444&amp;v=2656033:2656373&amp;c=444444", "offset 0")</f>
        <v>offset 0</v>
      </c>
    </row>
    <row r="9316" customFormat="false" ht="12.8" hidden="false" customHeight="false" outlineLevel="0" collapsed="false">
      <c r="A9316" s="0" t="s">
        <v>12</v>
      </c>
      <c r="B9316" s="0" t="n">
        <v>2656212</v>
      </c>
      <c r="C9316" s="0" t="n">
        <v>2656232</v>
      </c>
      <c r="D9316" s="0" t="s">
        <v>31095</v>
      </c>
      <c r="E9316" s="0" t="s">
        <v>89</v>
      </c>
      <c r="F9316" s="0" t="s">
        <v>90</v>
      </c>
      <c r="G9316" s="0" t="s">
        <v>16</v>
      </c>
      <c r="H9316" s="0" t="n">
        <v>21</v>
      </c>
      <c r="I9316" s="0" t="s">
        <v>31099</v>
      </c>
      <c r="J9316" s="0" t="s">
        <v>31100</v>
      </c>
      <c r="K9316" s="0" t="s">
        <v>31101</v>
      </c>
      <c r="L9316" s="0" t="str">
        <f aca="false">HYPERLINK("https://www.ncbi.nlm.nih.gov/nuccore/CP000304.1?report=graph&amp;tracks=[key:gene_model_track,Options:GeneOnly]&amp;mk=2656234:2656253|offset_0|444444,2656213:2656232|offset_21|00cc00,2656176:2656195|offset_58|444444,2656154:2656173|offset_80|444444&amp;v=2656033:2656373&amp;c=444444", "offset 21")</f>
        <v>offset 21</v>
      </c>
    </row>
    <row r="9317" customFormat="false" ht="12.8" hidden="false" customHeight="false" outlineLevel="0" collapsed="false">
      <c r="A9317" s="0" t="s">
        <v>12</v>
      </c>
      <c r="B9317" s="0" t="n">
        <v>2656175</v>
      </c>
      <c r="C9317" s="0" t="n">
        <v>2656195</v>
      </c>
      <c r="D9317" s="0" t="s">
        <v>31095</v>
      </c>
      <c r="E9317" s="0" t="s">
        <v>89</v>
      </c>
      <c r="F9317" s="0" t="s">
        <v>90</v>
      </c>
      <c r="G9317" s="0" t="s">
        <v>32</v>
      </c>
      <c r="H9317" s="0" t="n">
        <v>58</v>
      </c>
      <c r="I9317" s="0" t="s">
        <v>31102</v>
      </c>
      <c r="J9317" s="0" t="s">
        <v>31103</v>
      </c>
      <c r="K9317" s="0" t="s">
        <v>31104</v>
      </c>
      <c r="L9317" s="0" t="str">
        <f aca="false">HYPERLINK("https://www.ncbi.nlm.nih.gov/nuccore/CP000304.1?report=graph&amp;tracks=[key:gene_model_track,Options:GeneOnly]&amp;mk=2656234:2656253|offset_0|444444,2656213:2656232|offset_21|444444,2656176:2656195|offset_58|00cc00,2656154:2656173|offset_80|444444&amp;v=2656033:2656373&amp;c=444444", "offset 58")</f>
        <v>offset 58</v>
      </c>
    </row>
    <row r="9318" customFormat="false" ht="12.8" hidden="false" customHeight="false" outlineLevel="0" collapsed="false">
      <c r="A9318" s="0" t="s">
        <v>12</v>
      </c>
      <c r="B9318" s="0" t="n">
        <v>2656153</v>
      </c>
      <c r="C9318" s="0" t="n">
        <v>2656173</v>
      </c>
      <c r="D9318" s="0" t="s">
        <v>31095</v>
      </c>
      <c r="E9318" s="0" t="s">
        <v>89</v>
      </c>
      <c r="F9318" s="0" t="s">
        <v>90</v>
      </c>
      <c r="G9318" s="0" t="s">
        <v>36</v>
      </c>
      <c r="H9318" s="0" t="n">
        <v>80</v>
      </c>
      <c r="I9318" s="0" t="s">
        <v>31105</v>
      </c>
      <c r="J9318" s="0" t="s">
        <v>31106</v>
      </c>
      <c r="K9318" s="0" t="s">
        <v>31107</v>
      </c>
      <c r="L9318" s="0" t="str">
        <f aca="false">HYPERLINK("https://www.ncbi.nlm.nih.gov/nuccore/CP000304.1?report=graph&amp;tracks=[key:gene_model_track,Options:GeneOnly]&amp;mk=2656234:2656253|offset_0|444444,2656213:2656232|offset_21|444444,2656176:2656195|offset_58|444444,2656154:2656173|offset_80|00cc00&amp;v=2656033:2656373&amp;c=444444", "offset 80")</f>
        <v>offset 80</v>
      </c>
    </row>
    <row r="9319" customFormat="false" ht="12.8" hidden="false" customHeight="false" outlineLevel="0" collapsed="false">
      <c r="A9319" s="0" t="s">
        <v>12</v>
      </c>
      <c r="B9319" s="0" t="n">
        <v>2656449</v>
      </c>
      <c r="C9319" s="0" t="n">
        <v>2656469</v>
      </c>
      <c r="D9319" s="0" t="s">
        <v>31108</v>
      </c>
      <c r="E9319" s="0" t="s">
        <v>89</v>
      </c>
      <c r="F9319" s="0" t="s">
        <v>90</v>
      </c>
      <c r="G9319" s="0" t="s">
        <v>36</v>
      </c>
      <c r="H9319" s="0" t="n">
        <v>0</v>
      </c>
      <c r="I9319" s="0" t="s">
        <v>31109</v>
      </c>
      <c r="J9319" s="0" t="s">
        <v>31110</v>
      </c>
      <c r="K9319" s="0" t="s">
        <v>31111</v>
      </c>
      <c r="L9319" s="0" t="str">
        <f aca="false">HYPERLINK("https://www.ncbi.nlm.nih.gov/nuccore/CP000304.1?report=graph&amp;tracks=[key:gene_model_track,Options:GeneOnly]&amp;mk=2656450:2656469|offset_0|00cc00,2656418:2656437|offset_32|444444,2656359:2656378|offset_91|444444,2656319:2656338|offset_131|444444&amp;v=2656249:2656538&amp;c=444444", "offset 0")</f>
        <v>offset 0</v>
      </c>
    </row>
    <row r="9320" customFormat="false" ht="12.8" hidden="false" customHeight="false" outlineLevel="0" collapsed="false">
      <c r="A9320" s="0" t="s">
        <v>12</v>
      </c>
      <c r="B9320" s="0" t="n">
        <v>2656417</v>
      </c>
      <c r="C9320" s="0" t="n">
        <v>2656437</v>
      </c>
      <c r="D9320" s="0" t="s">
        <v>31108</v>
      </c>
      <c r="E9320" s="0" t="s">
        <v>89</v>
      </c>
      <c r="F9320" s="0" t="s">
        <v>90</v>
      </c>
      <c r="G9320" s="0" t="s">
        <v>26</v>
      </c>
      <c r="H9320" s="0" t="n">
        <v>32</v>
      </c>
      <c r="I9320" s="0" t="s">
        <v>31112</v>
      </c>
      <c r="J9320" s="0" t="s">
        <v>31113</v>
      </c>
      <c r="K9320" s="0" t="s">
        <v>31114</v>
      </c>
      <c r="L9320" s="0" t="str">
        <f aca="false">HYPERLINK("https://www.ncbi.nlm.nih.gov/nuccore/CP000304.1?report=graph&amp;tracks=[key:gene_model_track,Options:GeneOnly]&amp;mk=2656450:2656469|offset_0|444444,2656418:2656437|offset_32|00cc00,2656359:2656378|offset_91|444444,2656319:2656338|offset_131|444444&amp;v=2656249:2656538&amp;c=444444", "offset 32")</f>
        <v>offset 32</v>
      </c>
    </row>
    <row r="9321" customFormat="false" ht="12.8" hidden="false" customHeight="false" outlineLevel="0" collapsed="false">
      <c r="A9321" s="0" t="s">
        <v>12</v>
      </c>
      <c r="B9321" s="0" t="n">
        <v>2656358</v>
      </c>
      <c r="C9321" s="0" t="n">
        <v>2656378</v>
      </c>
      <c r="D9321" s="0" t="s">
        <v>31108</v>
      </c>
      <c r="E9321" s="0" t="s">
        <v>89</v>
      </c>
      <c r="F9321" s="0" t="s">
        <v>90</v>
      </c>
      <c r="G9321" s="0" t="s">
        <v>32</v>
      </c>
      <c r="H9321" s="0" t="n">
        <v>91</v>
      </c>
      <c r="I9321" s="0" t="s">
        <v>31115</v>
      </c>
      <c r="J9321" s="0" t="s">
        <v>31116</v>
      </c>
      <c r="K9321" s="0" t="s">
        <v>31117</v>
      </c>
      <c r="L9321" s="0" t="str">
        <f aca="false">HYPERLINK("https://www.ncbi.nlm.nih.gov/nuccore/CP000304.1?report=graph&amp;tracks=[key:gene_model_track,Options:GeneOnly]&amp;mk=2656450:2656469|offset_0|444444,2656418:2656437|offset_32|444444,2656359:2656378|offset_91|00cc00,2656319:2656338|offset_131|444444&amp;v=2656249:2656538&amp;c=444444", "offset 91")</f>
        <v>offset 91</v>
      </c>
    </row>
    <row r="9322" customFormat="false" ht="12.8" hidden="false" customHeight="false" outlineLevel="0" collapsed="false">
      <c r="A9322" s="0" t="s">
        <v>12</v>
      </c>
      <c r="B9322" s="0" t="n">
        <v>2656318</v>
      </c>
      <c r="C9322" s="0" t="n">
        <v>2656338</v>
      </c>
      <c r="D9322" s="0" t="s">
        <v>31108</v>
      </c>
      <c r="E9322" s="0" t="s">
        <v>89</v>
      </c>
      <c r="F9322" s="0" t="s">
        <v>90</v>
      </c>
      <c r="G9322" s="0" t="s">
        <v>26</v>
      </c>
      <c r="H9322" s="0" t="n">
        <v>131</v>
      </c>
      <c r="I9322" s="0" t="s">
        <v>31118</v>
      </c>
      <c r="J9322" s="0" t="s">
        <v>31119</v>
      </c>
      <c r="K9322" s="0" t="s">
        <v>31120</v>
      </c>
      <c r="L9322" s="0" t="str">
        <f aca="false">HYPERLINK("https://www.ncbi.nlm.nih.gov/nuccore/CP000304.1?report=graph&amp;tracks=[key:gene_model_track,Options:GeneOnly]&amp;mk=2656450:2656469|offset_0|444444,2656418:2656437|offset_32|444444,2656359:2656378|offset_91|444444,2656319:2656338|offset_131|00cc00&amp;v=2656249:2656538&amp;c=444444", "offset 131")</f>
        <v>offset 131</v>
      </c>
    </row>
    <row r="9323" customFormat="false" ht="12.8" hidden="false" customHeight="false" outlineLevel="0" collapsed="false">
      <c r="A9323" s="0" t="s">
        <v>12</v>
      </c>
      <c r="B9323" s="0" t="n">
        <v>2657192</v>
      </c>
      <c r="C9323" s="0" t="n">
        <v>2657212</v>
      </c>
      <c r="D9323" s="0" t="s">
        <v>31121</v>
      </c>
      <c r="E9323" s="0" t="s">
        <v>89</v>
      </c>
      <c r="F9323" s="0" t="s">
        <v>90</v>
      </c>
      <c r="G9323" s="0" t="s">
        <v>26</v>
      </c>
      <c r="H9323" s="0" t="n">
        <v>11</v>
      </c>
      <c r="I9323" s="0" t="s">
        <v>31122</v>
      </c>
      <c r="J9323" s="0" t="s">
        <v>31123</v>
      </c>
      <c r="K9323" s="0" t="s">
        <v>31124</v>
      </c>
      <c r="L9323" s="0" t="str">
        <f aca="false">HYPERLINK("https://www.ncbi.nlm.nih.gov/nuccore/CP000304.1?report=graph&amp;tracks=[key:gene_model_track,Options:GeneOnly]&amp;mk=2657193:2657212|offset_11|00cc00,2657173:2657192|offset_31|444444,2657148:2657167|offset_56|444444,2657125:2657144|offset_79|444444&amp;v=2656992:2657344&amp;c=444444", "offset 11")</f>
        <v>offset 11</v>
      </c>
    </row>
    <row r="9324" customFormat="false" ht="12.8" hidden="false" customHeight="false" outlineLevel="0" collapsed="false">
      <c r="A9324" s="0" t="s">
        <v>12</v>
      </c>
      <c r="B9324" s="0" t="n">
        <v>2657172</v>
      </c>
      <c r="C9324" s="0" t="n">
        <v>2657192</v>
      </c>
      <c r="D9324" s="0" t="s">
        <v>31121</v>
      </c>
      <c r="E9324" s="0" t="s">
        <v>89</v>
      </c>
      <c r="F9324" s="0" t="s">
        <v>90</v>
      </c>
      <c r="G9324" s="0" t="s">
        <v>36</v>
      </c>
      <c r="H9324" s="0" t="n">
        <v>31</v>
      </c>
      <c r="I9324" s="0" t="s">
        <v>31125</v>
      </c>
      <c r="J9324" s="0" t="s">
        <v>31126</v>
      </c>
      <c r="K9324" s="0" t="s">
        <v>31127</v>
      </c>
      <c r="L9324" s="0" t="str">
        <f aca="false">HYPERLINK("https://www.ncbi.nlm.nih.gov/nuccore/CP000304.1?report=graph&amp;tracks=[key:gene_model_track,Options:GeneOnly]&amp;mk=2657193:2657212|offset_11|444444,2657173:2657192|offset_31|00cc00,2657148:2657167|offset_56|444444,2657125:2657144|offset_79|444444&amp;v=2656992:2657344&amp;c=444444", "offset 31")</f>
        <v>offset 31</v>
      </c>
    </row>
    <row r="9325" customFormat="false" ht="12.8" hidden="false" customHeight="false" outlineLevel="0" collapsed="false">
      <c r="A9325" s="0" t="s">
        <v>12</v>
      </c>
      <c r="B9325" s="0" t="n">
        <v>2657147</v>
      </c>
      <c r="C9325" s="0" t="n">
        <v>2657167</v>
      </c>
      <c r="D9325" s="0" t="s">
        <v>31121</v>
      </c>
      <c r="E9325" s="0" t="s">
        <v>89</v>
      </c>
      <c r="F9325" s="0" t="s">
        <v>90</v>
      </c>
      <c r="G9325" s="0" t="s">
        <v>26</v>
      </c>
      <c r="H9325" s="0" t="n">
        <v>56</v>
      </c>
      <c r="I9325" s="0" t="s">
        <v>31128</v>
      </c>
      <c r="J9325" s="0" t="s">
        <v>31129</v>
      </c>
      <c r="K9325" s="0" t="s">
        <v>31130</v>
      </c>
      <c r="L9325" s="0" t="str">
        <f aca="false">HYPERLINK("https://www.ncbi.nlm.nih.gov/nuccore/CP000304.1?report=graph&amp;tracks=[key:gene_model_track,Options:GeneOnly]&amp;mk=2657193:2657212|offset_11|444444,2657173:2657192|offset_31|444444,2657148:2657167|offset_56|00cc00,2657125:2657144|offset_79|444444&amp;v=2656992:2657344&amp;c=444444", "offset 56")</f>
        <v>offset 56</v>
      </c>
    </row>
    <row r="9326" customFormat="false" ht="12.8" hidden="false" customHeight="false" outlineLevel="0" collapsed="false">
      <c r="A9326" s="0" t="s">
        <v>12</v>
      </c>
      <c r="B9326" s="0" t="n">
        <v>2657124</v>
      </c>
      <c r="C9326" s="0" t="n">
        <v>2657144</v>
      </c>
      <c r="D9326" s="0" t="s">
        <v>31121</v>
      </c>
      <c r="E9326" s="0" t="s">
        <v>89</v>
      </c>
      <c r="F9326" s="0" t="s">
        <v>90</v>
      </c>
      <c r="G9326" s="0" t="s">
        <v>16</v>
      </c>
      <c r="H9326" s="0" t="n">
        <v>79</v>
      </c>
      <c r="I9326" s="0" t="s">
        <v>31131</v>
      </c>
      <c r="J9326" s="0" t="s">
        <v>31132</v>
      </c>
      <c r="K9326" s="0" t="s">
        <v>31133</v>
      </c>
      <c r="L9326" s="0" t="str">
        <f aca="false">HYPERLINK("https://www.ncbi.nlm.nih.gov/nuccore/CP000304.1?report=graph&amp;tracks=[key:gene_model_track,Options:GeneOnly]&amp;mk=2657193:2657212|offset_11|444444,2657173:2657192|offset_31|444444,2657148:2657167|offset_56|444444,2657125:2657144|offset_79|00cc00&amp;v=2656992:2657344&amp;c=444444", "offset 79")</f>
        <v>offset 79</v>
      </c>
    </row>
    <row r="9327" customFormat="false" ht="12.8" hidden="false" customHeight="false" outlineLevel="0" collapsed="false">
      <c r="A9327" s="0" t="s">
        <v>12</v>
      </c>
      <c r="B9327" s="0" t="n">
        <v>2658590</v>
      </c>
      <c r="C9327" s="0" t="n">
        <v>2658610</v>
      </c>
      <c r="D9327" s="0" t="s">
        <v>31134</v>
      </c>
      <c r="E9327" s="0" t="s">
        <v>89</v>
      </c>
      <c r="F9327" s="0" t="s">
        <v>90</v>
      </c>
      <c r="G9327" s="0" t="s">
        <v>32</v>
      </c>
      <c r="H9327" s="0" t="n">
        <v>1</v>
      </c>
      <c r="I9327" s="0" t="s">
        <v>31135</v>
      </c>
      <c r="J9327" s="0" t="s">
        <v>31136</v>
      </c>
      <c r="K9327" s="0" t="s">
        <v>31137</v>
      </c>
      <c r="L9327" s="0" t="str">
        <f aca="false">HYPERLINK("https://www.ncbi.nlm.nih.gov/nuccore/CP000304.1?report=graph&amp;tracks=[key:gene_model_track,Options:GeneOnly]&amp;mk=2658591:2658610|offset_1|00cc00,2658563:2658582|offset_29|444444,2658514:2658533|offset_78|444444,2658492:2658511|offset_100|444444&amp;v=2658390:2658711&amp;c=444444", "offset 1")</f>
        <v>offset 1</v>
      </c>
    </row>
    <row r="9328" customFormat="false" ht="12.8" hidden="false" customHeight="false" outlineLevel="0" collapsed="false">
      <c r="A9328" s="0" t="s">
        <v>12</v>
      </c>
      <c r="B9328" s="0" t="n">
        <v>2658562</v>
      </c>
      <c r="C9328" s="0" t="n">
        <v>2658582</v>
      </c>
      <c r="D9328" s="0" t="s">
        <v>31134</v>
      </c>
      <c r="E9328" s="0" t="s">
        <v>89</v>
      </c>
      <c r="F9328" s="0" t="s">
        <v>90</v>
      </c>
      <c r="G9328" s="0" t="s">
        <v>26</v>
      </c>
      <c r="H9328" s="0" t="n">
        <v>29</v>
      </c>
      <c r="I9328" s="0" t="s">
        <v>31138</v>
      </c>
      <c r="J9328" s="0" t="s">
        <v>31139</v>
      </c>
      <c r="K9328" s="0" t="s">
        <v>31140</v>
      </c>
      <c r="L9328" s="0" t="str">
        <f aca="false">HYPERLINK("https://www.ncbi.nlm.nih.gov/nuccore/CP000304.1?report=graph&amp;tracks=[key:gene_model_track,Options:GeneOnly]&amp;mk=2658591:2658610|offset_1|444444,2658563:2658582|offset_29|00cc00,2658514:2658533|offset_78|444444,2658492:2658511|offset_100|444444&amp;v=2658390:2658711&amp;c=444444", "offset 29")</f>
        <v>offset 29</v>
      </c>
    </row>
    <row r="9329" customFormat="false" ht="12.8" hidden="false" customHeight="false" outlineLevel="0" collapsed="false">
      <c r="A9329" s="0" t="s">
        <v>12</v>
      </c>
      <c r="B9329" s="0" t="n">
        <v>2658513</v>
      </c>
      <c r="C9329" s="0" t="n">
        <v>2658533</v>
      </c>
      <c r="D9329" s="0" t="s">
        <v>31134</v>
      </c>
      <c r="E9329" s="0" t="s">
        <v>89</v>
      </c>
      <c r="F9329" s="0" t="s">
        <v>90</v>
      </c>
      <c r="G9329" s="0" t="s">
        <v>16</v>
      </c>
      <c r="H9329" s="0" t="n">
        <v>78</v>
      </c>
      <c r="I9329" s="0" t="s">
        <v>31141</v>
      </c>
      <c r="J9329" s="0" t="s">
        <v>31142</v>
      </c>
      <c r="K9329" s="0" t="s">
        <v>31143</v>
      </c>
      <c r="L9329" s="0" t="str">
        <f aca="false">HYPERLINK("https://www.ncbi.nlm.nih.gov/nuccore/CP000304.1?report=graph&amp;tracks=[key:gene_model_track,Options:GeneOnly]&amp;mk=2658591:2658610|offset_1|444444,2658563:2658582|offset_29|444444,2658514:2658533|offset_78|00cc00,2658492:2658511|offset_100|444444&amp;v=2658390:2658711&amp;c=444444", "offset 78")</f>
        <v>offset 78</v>
      </c>
    </row>
    <row r="9330" customFormat="false" ht="12.8" hidden="false" customHeight="false" outlineLevel="0" collapsed="false">
      <c r="A9330" s="0" t="s">
        <v>12</v>
      </c>
      <c r="B9330" s="0" t="n">
        <v>2658491</v>
      </c>
      <c r="C9330" s="0" t="n">
        <v>2658511</v>
      </c>
      <c r="D9330" s="0" t="s">
        <v>31134</v>
      </c>
      <c r="E9330" s="0" t="s">
        <v>89</v>
      </c>
      <c r="F9330" s="0" t="s">
        <v>90</v>
      </c>
      <c r="G9330" s="0" t="s">
        <v>36</v>
      </c>
      <c r="H9330" s="0" t="n">
        <v>100</v>
      </c>
      <c r="I9330" s="0" t="s">
        <v>31144</v>
      </c>
      <c r="J9330" s="0" t="s">
        <v>31145</v>
      </c>
      <c r="K9330" s="0" t="s">
        <v>31146</v>
      </c>
      <c r="L9330" s="0" t="str">
        <f aca="false">HYPERLINK("https://www.ncbi.nlm.nih.gov/nuccore/CP000304.1?report=graph&amp;tracks=[key:gene_model_track,Options:GeneOnly]&amp;mk=2658591:2658610|offset_1|444444,2658563:2658582|offset_29|444444,2658514:2658533|offset_78|444444,2658492:2658511|offset_100|00cc00&amp;v=2658390:2658711&amp;c=444444", "offset 100")</f>
        <v>offset 100</v>
      </c>
    </row>
    <row r="9331" customFormat="false" ht="12.8" hidden="false" customHeight="false" outlineLevel="0" collapsed="false">
      <c r="A9331" s="0" t="s">
        <v>12</v>
      </c>
      <c r="B9331" s="0" t="n">
        <v>2659741</v>
      </c>
      <c r="C9331" s="0" t="n">
        <v>2659761</v>
      </c>
      <c r="D9331" s="0" t="s">
        <v>31147</v>
      </c>
      <c r="E9331" s="0" t="s">
        <v>31148</v>
      </c>
      <c r="F9331" s="0" t="s">
        <v>90</v>
      </c>
      <c r="G9331" s="0" t="s">
        <v>16</v>
      </c>
      <c r="H9331" s="0" t="n">
        <v>7</v>
      </c>
      <c r="I9331" s="0" t="s">
        <v>31149</v>
      </c>
      <c r="J9331" s="0" t="s">
        <v>31150</v>
      </c>
      <c r="K9331" s="0" t="s">
        <v>31151</v>
      </c>
      <c r="L9331" s="0" t="str">
        <f aca="false">HYPERLINK("https://www.ncbi.nlm.nih.gov/nuccore/CP000304.1?report=graph&amp;tracks=[key:gene_model_track,Options:GeneOnly]&amp;mk=2659742:2659761|offset_7|00cc00,2659715:2659734|offset_34|444444,2659693:2659712|offset_56|444444,2659673:2659692|offset_76|444444&amp;v=2659541:2659892&amp;c=444444", "offset 7")</f>
        <v>offset 7</v>
      </c>
    </row>
    <row r="9332" customFormat="false" ht="12.8" hidden="false" customHeight="false" outlineLevel="0" collapsed="false">
      <c r="A9332" s="0" t="s">
        <v>12</v>
      </c>
      <c r="B9332" s="0" t="n">
        <v>2659714</v>
      </c>
      <c r="C9332" s="0" t="n">
        <v>2659734</v>
      </c>
      <c r="D9332" s="0" t="s">
        <v>31147</v>
      </c>
      <c r="E9332" s="0" t="s">
        <v>31148</v>
      </c>
      <c r="F9332" s="0" t="s">
        <v>90</v>
      </c>
      <c r="G9332" s="0" t="s">
        <v>16</v>
      </c>
      <c r="H9332" s="0" t="n">
        <v>34</v>
      </c>
      <c r="I9332" s="0" t="s">
        <v>31152</v>
      </c>
      <c r="J9332" s="0" t="s">
        <v>31153</v>
      </c>
      <c r="K9332" s="0" t="s">
        <v>31154</v>
      </c>
      <c r="L9332" s="0" t="str">
        <f aca="false">HYPERLINK("https://www.ncbi.nlm.nih.gov/nuccore/CP000304.1?report=graph&amp;tracks=[key:gene_model_track,Options:GeneOnly]&amp;mk=2659742:2659761|offset_7|444444,2659715:2659734|offset_34|00cc00,2659693:2659712|offset_56|444444,2659673:2659692|offset_76|444444&amp;v=2659541:2659892&amp;c=444444", "offset 34")</f>
        <v>offset 34</v>
      </c>
    </row>
    <row r="9333" customFormat="false" ht="12.8" hidden="false" customHeight="false" outlineLevel="0" collapsed="false">
      <c r="A9333" s="0" t="s">
        <v>12</v>
      </c>
      <c r="B9333" s="0" t="n">
        <v>2659692</v>
      </c>
      <c r="C9333" s="0" t="n">
        <v>2659712</v>
      </c>
      <c r="D9333" s="0" t="s">
        <v>31147</v>
      </c>
      <c r="E9333" s="0" t="s">
        <v>31148</v>
      </c>
      <c r="F9333" s="0" t="s">
        <v>90</v>
      </c>
      <c r="G9333" s="0" t="s">
        <v>32</v>
      </c>
      <c r="H9333" s="0" t="n">
        <v>56</v>
      </c>
      <c r="I9333" s="0" t="s">
        <v>31155</v>
      </c>
      <c r="J9333" s="0" t="s">
        <v>31156</v>
      </c>
      <c r="K9333" s="0" t="s">
        <v>31157</v>
      </c>
      <c r="L9333" s="0" t="str">
        <f aca="false">HYPERLINK("https://www.ncbi.nlm.nih.gov/nuccore/CP000304.1?report=graph&amp;tracks=[key:gene_model_track,Options:GeneOnly]&amp;mk=2659742:2659761|offset_7|444444,2659715:2659734|offset_34|444444,2659693:2659712|offset_56|00cc00,2659673:2659692|offset_76|444444&amp;v=2659541:2659892&amp;c=444444", "offset 56")</f>
        <v>offset 56</v>
      </c>
    </row>
    <row r="9334" customFormat="false" ht="12.8" hidden="false" customHeight="false" outlineLevel="0" collapsed="false">
      <c r="A9334" s="0" t="s">
        <v>12</v>
      </c>
      <c r="B9334" s="0" t="n">
        <v>2659672</v>
      </c>
      <c r="C9334" s="0" t="n">
        <v>2659692</v>
      </c>
      <c r="D9334" s="0" t="s">
        <v>31147</v>
      </c>
      <c r="E9334" s="0" t="s">
        <v>31148</v>
      </c>
      <c r="F9334" s="0" t="s">
        <v>90</v>
      </c>
      <c r="G9334" s="0" t="s">
        <v>32</v>
      </c>
      <c r="H9334" s="0" t="n">
        <v>76</v>
      </c>
      <c r="I9334" s="0" t="s">
        <v>31158</v>
      </c>
      <c r="J9334" s="0" t="s">
        <v>31159</v>
      </c>
      <c r="K9334" s="0" t="s">
        <v>31160</v>
      </c>
      <c r="L9334" s="0" t="str">
        <f aca="false">HYPERLINK("https://www.ncbi.nlm.nih.gov/nuccore/CP000304.1?report=graph&amp;tracks=[key:gene_model_track,Options:GeneOnly]&amp;mk=2659742:2659761|offset_7|444444,2659715:2659734|offset_34|444444,2659693:2659712|offset_56|444444,2659673:2659692|offset_76|00cc00&amp;v=2659541:2659892&amp;c=444444", "offset 76")</f>
        <v>offset 76</v>
      </c>
    </row>
    <row r="9335" customFormat="false" ht="12.8" hidden="false" customHeight="false" outlineLevel="0" collapsed="false">
      <c r="A9335" s="0" t="s">
        <v>12</v>
      </c>
      <c r="B9335" s="0" t="n">
        <v>2659925</v>
      </c>
      <c r="C9335" s="0" t="n">
        <v>2659945</v>
      </c>
      <c r="D9335" s="0" t="s">
        <v>31161</v>
      </c>
      <c r="E9335" s="0" t="s">
        <v>89</v>
      </c>
      <c r="F9335" s="0" t="s">
        <v>15</v>
      </c>
      <c r="G9335" s="0" t="s">
        <v>32</v>
      </c>
      <c r="H9335" s="0" t="n">
        <v>1</v>
      </c>
      <c r="I9335" s="0" t="s">
        <v>31162</v>
      </c>
      <c r="J9335" s="0" t="s">
        <v>31163</v>
      </c>
      <c r="K9335" s="0" t="s">
        <v>31164</v>
      </c>
      <c r="L9335" s="0" t="str">
        <f aca="false">HYPERLINK("https://www.ncbi.nlm.nih.gov/nuccore/CP000304.1?report=graph&amp;tracks=[key:gene_model_track,Options:GeneOnly]&amp;mk=2659926:2659945|offset_1|00cc00,2659959:2659978|offset_34|444444,2659989:2660008|offset_64|444444,2660011:2660030|offset_86|444444&amp;v=2659725:2660230&amp;c=444444", "offset 1")</f>
        <v>offset 1</v>
      </c>
    </row>
    <row r="9336" customFormat="false" ht="12.8" hidden="false" customHeight="false" outlineLevel="0" collapsed="false">
      <c r="A9336" s="0" t="s">
        <v>12</v>
      </c>
      <c r="B9336" s="0" t="n">
        <v>2659958</v>
      </c>
      <c r="C9336" s="0" t="n">
        <v>2659978</v>
      </c>
      <c r="D9336" s="0" t="s">
        <v>31161</v>
      </c>
      <c r="E9336" s="0" t="s">
        <v>89</v>
      </c>
      <c r="F9336" s="0" t="s">
        <v>15</v>
      </c>
      <c r="G9336" s="0" t="s">
        <v>32</v>
      </c>
      <c r="H9336" s="0" t="n">
        <v>34</v>
      </c>
      <c r="I9336" s="0" t="s">
        <v>31165</v>
      </c>
      <c r="J9336" s="0" t="s">
        <v>31166</v>
      </c>
      <c r="K9336" s="0" t="s">
        <v>31167</v>
      </c>
      <c r="L9336" s="0" t="str">
        <f aca="false">HYPERLINK("https://www.ncbi.nlm.nih.gov/nuccore/CP000304.1?report=graph&amp;tracks=[key:gene_model_track,Options:GeneOnly]&amp;mk=2659926:2659945|offset_1|444444,2659959:2659978|offset_34|00cc00,2659989:2660008|offset_64|444444,2660011:2660030|offset_86|444444&amp;v=2659725:2660230&amp;c=444444", "offset 34")</f>
        <v>offset 34</v>
      </c>
    </row>
    <row r="9337" customFormat="false" ht="12.8" hidden="false" customHeight="false" outlineLevel="0" collapsed="false">
      <c r="A9337" s="0" t="s">
        <v>12</v>
      </c>
      <c r="B9337" s="0" t="n">
        <v>2659988</v>
      </c>
      <c r="C9337" s="0" t="n">
        <v>2660008</v>
      </c>
      <c r="D9337" s="0" t="s">
        <v>31161</v>
      </c>
      <c r="E9337" s="0" t="s">
        <v>89</v>
      </c>
      <c r="F9337" s="0" t="s">
        <v>15</v>
      </c>
      <c r="G9337" s="0" t="s">
        <v>36</v>
      </c>
      <c r="H9337" s="0" t="n">
        <v>64</v>
      </c>
      <c r="I9337" s="0" t="s">
        <v>31168</v>
      </c>
      <c r="J9337" s="0" t="s">
        <v>31169</v>
      </c>
      <c r="K9337" s="0" t="s">
        <v>31170</v>
      </c>
      <c r="L9337" s="0" t="str">
        <f aca="false">HYPERLINK("https://www.ncbi.nlm.nih.gov/nuccore/CP000304.1?report=graph&amp;tracks=[key:gene_model_track,Options:GeneOnly]&amp;mk=2659926:2659945|offset_1|444444,2659959:2659978|offset_34|444444,2659989:2660008|offset_64|00cc00,2660011:2660030|offset_86|444444&amp;v=2659725:2660230&amp;c=444444", "offset 64")</f>
        <v>offset 64</v>
      </c>
    </row>
    <row r="9338" customFormat="false" ht="12.8" hidden="false" customHeight="false" outlineLevel="0" collapsed="false">
      <c r="A9338" s="0" t="s">
        <v>12</v>
      </c>
      <c r="B9338" s="0" t="n">
        <v>2660010</v>
      </c>
      <c r="C9338" s="0" t="n">
        <v>2660030</v>
      </c>
      <c r="D9338" s="0" t="s">
        <v>31161</v>
      </c>
      <c r="E9338" s="0" t="s">
        <v>89</v>
      </c>
      <c r="F9338" s="0" t="s">
        <v>15</v>
      </c>
      <c r="G9338" s="0" t="s">
        <v>26</v>
      </c>
      <c r="H9338" s="0" t="n">
        <v>86</v>
      </c>
      <c r="I9338" s="0" t="s">
        <v>31171</v>
      </c>
      <c r="J9338" s="0" t="s">
        <v>31172</v>
      </c>
      <c r="K9338" s="0" t="s">
        <v>31173</v>
      </c>
      <c r="L9338" s="0" t="str">
        <f aca="false">HYPERLINK("https://www.ncbi.nlm.nih.gov/nuccore/CP000304.1?report=graph&amp;tracks=[key:gene_model_track,Options:GeneOnly]&amp;mk=2659926:2659945|offset_1|444444,2659959:2659978|offset_34|444444,2659989:2660008|offset_64|444444,2660011:2660030|offset_86|00cc00&amp;v=2659725:2660230&amp;c=444444", "offset 86")</f>
        <v>offset 86</v>
      </c>
    </row>
    <row r="9339" customFormat="false" ht="12.8" hidden="false" customHeight="false" outlineLevel="0" collapsed="false">
      <c r="A9339" s="0" t="s">
        <v>12</v>
      </c>
      <c r="B9339" s="0" t="n">
        <v>2660974</v>
      </c>
      <c r="C9339" s="0" t="n">
        <v>2660994</v>
      </c>
      <c r="D9339" s="0" t="s">
        <v>31174</v>
      </c>
      <c r="E9339" s="0" t="s">
        <v>89</v>
      </c>
      <c r="F9339" s="0" t="s">
        <v>15</v>
      </c>
      <c r="G9339" s="0" t="s">
        <v>16</v>
      </c>
      <c r="H9339" s="0" t="n">
        <v>7</v>
      </c>
      <c r="I9339" s="0" t="s">
        <v>31175</v>
      </c>
      <c r="J9339" s="0" t="s">
        <v>31176</v>
      </c>
      <c r="K9339" s="0" t="s">
        <v>31177</v>
      </c>
      <c r="L9339" s="0" t="str">
        <f aca="false">HYPERLINK("https://www.ncbi.nlm.nih.gov/nuccore/CP000304.1?report=graph&amp;tracks=[key:gene_model_track,Options:GeneOnly]&amp;mk=2660975:2660994|offset_7|00cc00,2661010:2661029|offset_42|444444,2661031:2661050|offset_63|444444,2661072:2661091|offset_104|444444&amp;v=2660774:2661291&amp;c=444444", "offset 7")</f>
        <v>offset 7</v>
      </c>
    </row>
    <row r="9340" customFormat="false" ht="12.8" hidden="false" customHeight="false" outlineLevel="0" collapsed="false">
      <c r="A9340" s="0" t="s">
        <v>12</v>
      </c>
      <c r="B9340" s="0" t="n">
        <v>2661009</v>
      </c>
      <c r="C9340" s="0" t="n">
        <v>2661029</v>
      </c>
      <c r="D9340" s="0" t="s">
        <v>31174</v>
      </c>
      <c r="E9340" s="0" t="s">
        <v>89</v>
      </c>
      <c r="F9340" s="0" t="s">
        <v>15</v>
      </c>
      <c r="G9340" s="0" t="s">
        <v>32</v>
      </c>
      <c r="H9340" s="0" t="n">
        <v>42</v>
      </c>
      <c r="I9340" s="0" t="s">
        <v>31178</v>
      </c>
      <c r="J9340" s="0" t="s">
        <v>31179</v>
      </c>
      <c r="K9340" s="0" t="s">
        <v>31180</v>
      </c>
      <c r="L9340" s="0" t="str">
        <f aca="false">HYPERLINK("https://www.ncbi.nlm.nih.gov/nuccore/CP000304.1?report=graph&amp;tracks=[key:gene_model_track,Options:GeneOnly]&amp;mk=2660975:2660994|offset_7|444444,2661010:2661029|offset_42|00cc00,2661031:2661050|offset_63|444444,2661072:2661091|offset_104|444444&amp;v=2660774:2661291&amp;c=444444", "offset 42")</f>
        <v>offset 42</v>
      </c>
    </row>
    <row r="9341" customFormat="false" ht="12.8" hidden="false" customHeight="false" outlineLevel="0" collapsed="false">
      <c r="A9341" s="0" t="s">
        <v>12</v>
      </c>
      <c r="B9341" s="0" t="n">
        <v>2661030</v>
      </c>
      <c r="C9341" s="0" t="n">
        <v>2661050</v>
      </c>
      <c r="D9341" s="0" t="s">
        <v>31174</v>
      </c>
      <c r="E9341" s="0" t="s">
        <v>89</v>
      </c>
      <c r="F9341" s="0" t="s">
        <v>15</v>
      </c>
      <c r="G9341" s="0" t="s">
        <v>16</v>
      </c>
      <c r="H9341" s="0" t="n">
        <v>63</v>
      </c>
      <c r="I9341" s="0" t="s">
        <v>31181</v>
      </c>
      <c r="J9341" s="0" t="s">
        <v>31182</v>
      </c>
      <c r="K9341" s="0" t="s">
        <v>31183</v>
      </c>
      <c r="L9341" s="0" t="str">
        <f aca="false">HYPERLINK("https://www.ncbi.nlm.nih.gov/nuccore/CP000304.1?report=graph&amp;tracks=[key:gene_model_track,Options:GeneOnly]&amp;mk=2660975:2660994|offset_7|444444,2661010:2661029|offset_42|444444,2661031:2661050|offset_63|00cc00,2661072:2661091|offset_104|444444&amp;v=2660774:2661291&amp;c=444444", "offset 63")</f>
        <v>offset 63</v>
      </c>
    </row>
    <row r="9342" customFormat="false" ht="12.8" hidden="false" customHeight="false" outlineLevel="0" collapsed="false">
      <c r="A9342" s="0" t="s">
        <v>12</v>
      </c>
      <c r="B9342" s="0" t="n">
        <v>2661071</v>
      </c>
      <c r="C9342" s="0" t="n">
        <v>2661091</v>
      </c>
      <c r="D9342" s="0" t="s">
        <v>31174</v>
      </c>
      <c r="E9342" s="0" t="s">
        <v>89</v>
      </c>
      <c r="F9342" s="0" t="s">
        <v>15</v>
      </c>
      <c r="G9342" s="0" t="s">
        <v>26</v>
      </c>
      <c r="H9342" s="0" t="n">
        <v>104</v>
      </c>
      <c r="I9342" s="0" t="s">
        <v>31184</v>
      </c>
      <c r="J9342" s="0" t="s">
        <v>31185</v>
      </c>
      <c r="K9342" s="0" t="s">
        <v>31186</v>
      </c>
      <c r="L9342" s="0" t="str">
        <f aca="false">HYPERLINK("https://www.ncbi.nlm.nih.gov/nuccore/CP000304.1?report=graph&amp;tracks=[key:gene_model_track,Options:GeneOnly]&amp;mk=2660975:2660994|offset_7|444444,2661010:2661029|offset_42|444444,2661031:2661050|offset_63|444444,2661072:2661091|offset_104|00cc00&amp;v=2660774:2661291&amp;c=444444", "offset 104")</f>
        <v>offset 104</v>
      </c>
    </row>
    <row r="9343" customFormat="false" ht="12.8" hidden="false" customHeight="false" outlineLevel="0" collapsed="false">
      <c r="A9343" s="0" t="s">
        <v>12</v>
      </c>
      <c r="B9343" s="0" t="n">
        <v>2662933</v>
      </c>
      <c r="C9343" s="0" t="n">
        <v>2662953</v>
      </c>
      <c r="D9343" s="0" t="s">
        <v>31187</v>
      </c>
      <c r="E9343" s="0" t="s">
        <v>89</v>
      </c>
      <c r="F9343" s="0" t="s">
        <v>90</v>
      </c>
      <c r="G9343" s="0" t="s">
        <v>36</v>
      </c>
      <c r="H9343" s="0" t="n">
        <v>22</v>
      </c>
      <c r="I9343" s="0" t="s">
        <v>31188</v>
      </c>
      <c r="J9343" s="0" t="s">
        <v>31189</v>
      </c>
      <c r="K9343" s="0" t="s">
        <v>31190</v>
      </c>
      <c r="L9343" s="0" t="str">
        <f aca="false">HYPERLINK("https://www.ncbi.nlm.nih.gov/nuccore/CP000304.1?report=graph&amp;tracks=[key:gene_model_track,Options:GeneOnly]&amp;mk=2662934:2662953|offset_22|00cc00,2662896:2662915|offset_60|444444,2662817:2662836|offset_139|444444,2662794:2662813|offset_162|444444&amp;v=2662733:2663013&amp;c=444444", "offset 22")</f>
        <v>offset 22</v>
      </c>
    </row>
    <row r="9344" customFormat="false" ht="12.8" hidden="false" customHeight="false" outlineLevel="0" collapsed="false">
      <c r="A9344" s="0" t="s">
        <v>12</v>
      </c>
      <c r="B9344" s="0" t="n">
        <v>2662895</v>
      </c>
      <c r="C9344" s="0" t="n">
        <v>2662915</v>
      </c>
      <c r="D9344" s="0" t="s">
        <v>31187</v>
      </c>
      <c r="E9344" s="0" t="s">
        <v>89</v>
      </c>
      <c r="F9344" s="0" t="s">
        <v>90</v>
      </c>
      <c r="G9344" s="0" t="s">
        <v>26</v>
      </c>
      <c r="H9344" s="0" t="n">
        <v>60</v>
      </c>
      <c r="I9344" s="0" t="s">
        <v>31191</v>
      </c>
      <c r="J9344" s="0" t="s">
        <v>31192</v>
      </c>
      <c r="K9344" s="0" t="s">
        <v>31193</v>
      </c>
      <c r="L9344" s="0" t="str">
        <f aca="false">HYPERLINK("https://www.ncbi.nlm.nih.gov/nuccore/CP000304.1?report=graph&amp;tracks=[key:gene_model_track,Options:GeneOnly]&amp;mk=2662934:2662953|offset_22|444444,2662896:2662915|offset_60|00cc00,2662817:2662836|offset_139|444444,2662794:2662813|offset_162|444444&amp;v=2662733:2663013&amp;c=444444", "offset 60")</f>
        <v>offset 60</v>
      </c>
    </row>
    <row r="9345" customFormat="false" ht="12.8" hidden="false" customHeight="false" outlineLevel="0" collapsed="false">
      <c r="A9345" s="0" t="s">
        <v>12</v>
      </c>
      <c r="B9345" s="0" t="n">
        <v>2662816</v>
      </c>
      <c r="C9345" s="0" t="n">
        <v>2662836</v>
      </c>
      <c r="D9345" s="0" t="s">
        <v>31187</v>
      </c>
      <c r="E9345" s="0" t="s">
        <v>89</v>
      </c>
      <c r="F9345" s="0" t="s">
        <v>90</v>
      </c>
      <c r="G9345" s="0" t="s">
        <v>26</v>
      </c>
      <c r="H9345" s="0" t="n">
        <v>139</v>
      </c>
      <c r="I9345" s="0" t="s">
        <v>31194</v>
      </c>
      <c r="J9345" s="0" t="s">
        <v>31195</v>
      </c>
      <c r="K9345" s="0" t="s">
        <v>31196</v>
      </c>
      <c r="L9345" s="0" t="str">
        <f aca="false">HYPERLINK("https://www.ncbi.nlm.nih.gov/nuccore/CP000304.1?report=graph&amp;tracks=[key:gene_model_track,Options:GeneOnly]&amp;mk=2662934:2662953|offset_22|444444,2662896:2662915|offset_60|444444,2662817:2662836|offset_139|00cc00,2662794:2662813|offset_162|444444&amp;v=2662733:2663013&amp;c=444444", "offset 139")</f>
        <v>offset 139</v>
      </c>
    </row>
    <row r="9346" customFormat="false" ht="12.8" hidden="false" customHeight="false" outlineLevel="0" collapsed="false">
      <c r="A9346" s="0" t="s">
        <v>12</v>
      </c>
      <c r="B9346" s="0" t="n">
        <v>2662793</v>
      </c>
      <c r="C9346" s="0" t="n">
        <v>2662813</v>
      </c>
      <c r="D9346" s="0" t="s">
        <v>31187</v>
      </c>
      <c r="E9346" s="0" t="s">
        <v>89</v>
      </c>
      <c r="F9346" s="0" t="s">
        <v>90</v>
      </c>
      <c r="G9346" s="0" t="s">
        <v>16</v>
      </c>
      <c r="H9346" s="0" t="n">
        <v>162</v>
      </c>
      <c r="I9346" s="0" t="s">
        <v>31197</v>
      </c>
      <c r="J9346" s="0" t="s">
        <v>31198</v>
      </c>
      <c r="K9346" s="0" t="s">
        <v>31199</v>
      </c>
      <c r="L9346" s="0" t="str">
        <f aca="false">HYPERLINK("https://www.ncbi.nlm.nih.gov/nuccore/CP000304.1?report=graph&amp;tracks=[key:gene_model_track,Options:GeneOnly]&amp;mk=2662934:2662953|offset_22|444444,2662896:2662915|offset_60|444444,2662817:2662836|offset_139|444444,2662794:2662813|offset_162|00cc00&amp;v=2662733:2663013&amp;c=444444", "offset 162")</f>
        <v>offset 162</v>
      </c>
    </row>
    <row r="9347" customFormat="false" ht="12.8" hidden="false" customHeight="false" outlineLevel="0" collapsed="false">
      <c r="A9347" s="0" t="s">
        <v>12</v>
      </c>
      <c r="B9347" s="0" t="n">
        <v>2664222</v>
      </c>
      <c r="C9347" s="0" t="n">
        <v>2664242</v>
      </c>
      <c r="D9347" s="0" t="s">
        <v>31200</v>
      </c>
      <c r="E9347" s="0" t="s">
        <v>31201</v>
      </c>
      <c r="F9347" s="0" t="s">
        <v>90</v>
      </c>
      <c r="G9347" s="0" t="s">
        <v>36</v>
      </c>
      <c r="H9347" s="0" t="n">
        <v>10</v>
      </c>
      <c r="I9347" s="0" t="s">
        <v>31202</v>
      </c>
      <c r="J9347" s="0" t="s">
        <v>31203</v>
      </c>
      <c r="K9347" s="0" t="s">
        <v>31204</v>
      </c>
      <c r="L9347" s="0" t="str">
        <f aca="false">HYPERLINK("https://www.ncbi.nlm.nih.gov/nuccore/CP000304.1?report=graph&amp;tracks=[key:gene_model_track,Options:GeneOnly]&amp;mk=2664223:2664242|offset_10|00cc00,2664142:2664161|offset_91|444444,2664097:2664116|offset_136|444444,2664076:2664095|offset_157|444444&amp;v=2664022:2664295&amp;c=444444", "offset 10")</f>
        <v>offset 10</v>
      </c>
    </row>
    <row r="9348" customFormat="false" ht="12.8" hidden="false" customHeight="false" outlineLevel="0" collapsed="false">
      <c r="A9348" s="0" t="s">
        <v>12</v>
      </c>
      <c r="B9348" s="0" t="n">
        <v>2664141</v>
      </c>
      <c r="C9348" s="0" t="n">
        <v>2664161</v>
      </c>
      <c r="D9348" s="0" t="s">
        <v>31200</v>
      </c>
      <c r="E9348" s="0" t="s">
        <v>31201</v>
      </c>
      <c r="F9348" s="0" t="s">
        <v>90</v>
      </c>
      <c r="G9348" s="0" t="s">
        <v>16</v>
      </c>
      <c r="H9348" s="0" t="n">
        <v>91</v>
      </c>
      <c r="I9348" s="0" t="s">
        <v>31205</v>
      </c>
      <c r="J9348" s="0" t="s">
        <v>31206</v>
      </c>
      <c r="K9348" s="0" t="s">
        <v>31207</v>
      </c>
      <c r="L9348" s="0" t="str">
        <f aca="false">HYPERLINK("https://www.ncbi.nlm.nih.gov/nuccore/CP000304.1?report=graph&amp;tracks=[key:gene_model_track,Options:GeneOnly]&amp;mk=2664223:2664242|offset_10|444444,2664142:2664161|offset_91|00cc00,2664097:2664116|offset_136|444444,2664076:2664095|offset_157|444444&amp;v=2664022:2664295&amp;c=444444", "offset 91")</f>
        <v>offset 91</v>
      </c>
    </row>
    <row r="9349" customFormat="false" ht="12.8" hidden="false" customHeight="false" outlineLevel="0" collapsed="false">
      <c r="A9349" s="0" t="s">
        <v>12</v>
      </c>
      <c r="B9349" s="0" t="n">
        <v>2664096</v>
      </c>
      <c r="C9349" s="0" t="n">
        <v>2664116</v>
      </c>
      <c r="D9349" s="0" t="s">
        <v>31200</v>
      </c>
      <c r="E9349" s="0" t="s">
        <v>31201</v>
      </c>
      <c r="F9349" s="0" t="s">
        <v>90</v>
      </c>
      <c r="G9349" s="0" t="s">
        <v>32</v>
      </c>
      <c r="H9349" s="0" t="n">
        <v>136</v>
      </c>
      <c r="I9349" s="0" t="s">
        <v>31208</v>
      </c>
      <c r="J9349" s="0" t="s">
        <v>31209</v>
      </c>
      <c r="K9349" s="0" t="s">
        <v>31210</v>
      </c>
      <c r="L9349" s="0" t="str">
        <f aca="false">HYPERLINK("https://www.ncbi.nlm.nih.gov/nuccore/CP000304.1?report=graph&amp;tracks=[key:gene_model_track,Options:GeneOnly]&amp;mk=2664223:2664242|offset_10|444444,2664142:2664161|offset_91|444444,2664097:2664116|offset_136|00cc00,2664076:2664095|offset_157|444444&amp;v=2664022:2664295&amp;c=444444", "offset 136")</f>
        <v>offset 136</v>
      </c>
    </row>
    <row r="9350" customFormat="false" ht="12.8" hidden="false" customHeight="false" outlineLevel="0" collapsed="false">
      <c r="A9350" s="0" t="s">
        <v>12</v>
      </c>
      <c r="B9350" s="0" t="n">
        <v>2664075</v>
      </c>
      <c r="C9350" s="0" t="n">
        <v>2664095</v>
      </c>
      <c r="D9350" s="0" t="s">
        <v>31200</v>
      </c>
      <c r="E9350" s="0" t="s">
        <v>31201</v>
      </c>
      <c r="F9350" s="0" t="s">
        <v>90</v>
      </c>
      <c r="G9350" s="0" t="s">
        <v>16</v>
      </c>
      <c r="H9350" s="0" t="n">
        <v>157</v>
      </c>
      <c r="I9350" s="0" t="s">
        <v>31211</v>
      </c>
      <c r="J9350" s="0" t="s">
        <v>31212</v>
      </c>
      <c r="K9350" s="0" t="s">
        <v>31213</v>
      </c>
      <c r="L9350" s="0" t="str">
        <f aca="false">HYPERLINK("https://www.ncbi.nlm.nih.gov/nuccore/CP000304.1?report=graph&amp;tracks=[key:gene_model_track,Options:GeneOnly]&amp;mk=2664223:2664242|offset_10|444444,2664142:2664161|offset_91|444444,2664097:2664116|offset_136|444444,2664076:2664095|offset_157|00cc00&amp;v=2664022:2664295&amp;c=444444", "offset 157")</f>
        <v>offset 157</v>
      </c>
    </row>
    <row r="9351" customFormat="false" ht="12.8" hidden="false" customHeight="false" outlineLevel="0" collapsed="false">
      <c r="A9351" s="0" t="s">
        <v>12</v>
      </c>
      <c r="B9351" s="0" t="n">
        <v>2665065</v>
      </c>
      <c r="C9351" s="0" t="n">
        <v>2665085</v>
      </c>
      <c r="D9351" s="0" t="s">
        <v>31214</v>
      </c>
      <c r="E9351" s="0" t="s">
        <v>89</v>
      </c>
      <c r="F9351" s="0" t="s">
        <v>90</v>
      </c>
      <c r="G9351" s="0" t="s">
        <v>16</v>
      </c>
      <c r="H9351" s="0" t="n">
        <v>21</v>
      </c>
      <c r="I9351" s="0" t="s">
        <v>31215</v>
      </c>
      <c r="J9351" s="0" t="s">
        <v>31216</v>
      </c>
      <c r="K9351" s="0" t="s">
        <v>31217</v>
      </c>
      <c r="L9351" s="0" t="str">
        <f aca="false">HYPERLINK("https://www.ncbi.nlm.nih.gov/nuccore/CP000304.1?report=graph&amp;tracks=[key:gene_model_track,Options:GeneOnly]&amp;mk=2665066:2665085|offset_21|00cc00,2665041:2665060|offset_46|444444,2665011:2665030|offset_76|444444,2664963:2664982|offset_124|444444&amp;v=2664865:2665182&amp;c=444444", "offset 21")</f>
        <v>offset 21</v>
      </c>
    </row>
    <row r="9352" customFormat="false" ht="12.8" hidden="false" customHeight="false" outlineLevel="0" collapsed="false">
      <c r="A9352" s="0" t="s">
        <v>12</v>
      </c>
      <c r="B9352" s="0" t="n">
        <v>2665040</v>
      </c>
      <c r="C9352" s="0" t="n">
        <v>2665060</v>
      </c>
      <c r="D9352" s="0" t="s">
        <v>31214</v>
      </c>
      <c r="E9352" s="0" t="s">
        <v>89</v>
      </c>
      <c r="F9352" s="0" t="s">
        <v>90</v>
      </c>
      <c r="G9352" s="0" t="s">
        <v>32</v>
      </c>
      <c r="H9352" s="0" t="n">
        <v>46</v>
      </c>
      <c r="I9352" s="0" t="s">
        <v>31218</v>
      </c>
      <c r="J9352" s="0" t="s">
        <v>31219</v>
      </c>
      <c r="K9352" s="0" t="s">
        <v>31220</v>
      </c>
      <c r="L9352" s="0" t="str">
        <f aca="false">HYPERLINK("https://www.ncbi.nlm.nih.gov/nuccore/CP000304.1?report=graph&amp;tracks=[key:gene_model_track,Options:GeneOnly]&amp;mk=2665066:2665085|offset_21|444444,2665041:2665060|offset_46|00cc00,2665011:2665030|offset_76|444444,2664963:2664982|offset_124|444444&amp;v=2664865:2665182&amp;c=444444", "offset 46")</f>
        <v>offset 46</v>
      </c>
    </row>
    <row r="9353" customFormat="false" ht="12.8" hidden="false" customHeight="false" outlineLevel="0" collapsed="false">
      <c r="A9353" s="0" t="s">
        <v>12</v>
      </c>
      <c r="B9353" s="0" t="n">
        <v>2665010</v>
      </c>
      <c r="C9353" s="0" t="n">
        <v>2665030</v>
      </c>
      <c r="D9353" s="0" t="s">
        <v>31214</v>
      </c>
      <c r="E9353" s="0" t="s">
        <v>89</v>
      </c>
      <c r="F9353" s="0" t="s">
        <v>90</v>
      </c>
      <c r="G9353" s="0" t="s">
        <v>16</v>
      </c>
      <c r="H9353" s="0" t="n">
        <v>76</v>
      </c>
      <c r="I9353" s="0" t="s">
        <v>31221</v>
      </c>
      <c r="J9353" s="0" t="s">
        <v>31222</v>
      </c>
      <c r="K9353" s="0" t="s">
        <v>31223</v>
      </c>
      <c r="L9353" s="0" t="str">
        <f aca="false">HYPERLINK("https://www.ncbi.nlm.nih.gov/nuccore/CP000304.1?report=graph&amp;tracks=[key:gene_model_track,Options:GeneOnly]&amp;mk=2665066:2665085|offset_21|444444,2665041:2665060|offset_46|444444,2665011:2665030|offset_76|00cc00,2664963:2664982|offset_124|444444&amp;v=2664865:2665182&amp;c=444444", "offset 76")</f>
        <v>offset 76</v>
      </c>
    </row>
    <row r="9354" customFormat="false" ht="12.8" hidden="false" customHeight="false" outlineLevel="0" collapsed="false">
      <c r="A9354" s="0" t="s">
        <v>12</v>
      </c>
      <c r="B9354" s="0" t="n">
        <v>2664962</v>
      </c>
      <c r="C9354" s="0" t="n">
        <v>2664982</v>
      </c>
      <c r="D9354" s="0" t="s">
        <v>31214</v>
      </c>
      <c r="E9354" s="0" t="s">
        <v>89</v>
      </c>
      <c r="F9354" s="0" t="s">
        <v>90</v>
      </c>
      <c r="G9354" s="0" t="s">
        <v>36</v>
      </c>
      <c r="H9354" s="0" t="n">
        <v>124</v>
      </c>
      <c r="I9354" s="0" t="s">
        <v>31224</v>
      </c>
      <c r="J9354" s="0" t="s">
        <v>31225</v>
      </c>
      <c r="K9354" s="0" t="s">
        <v>31226</v>
      </c>
      <c r="L9354" s="0" t="str">
        <f aca="false">HYPERLINK("https://www.ncbi.nlm.nih.gov/nuccore/CP000304.1?report=graph&amp;tracks=[key:gene_model_track,Options:GeneOnly]&amp;mk=2665066:2665085|offset_21|444444,2665041:2665060|offset_46|444444,2665011:2665030|offset_76|444444,2664963:2664982|offset_124|00cc00&amp;v=2664865:2665182&amp;c=444444", "offset 124")</f>
        <v>offset 124</v>
      </c>
    </row>
    <row r="9355" customFormat="false" ht="12.8" hidden="false" customHeight="false" outlineLevel="0" collapsed="false">
      <c r="A9355" s="0" t="s">
        <v>12</v>
      </c>
      <c r="B9355" s="0" t="n">
        <v>2665995</v>
      </c>
      <c r="C9355" s="0" t="n">
        <v>2666015</v>
      </c>
      <c r="D9355" s="0" t="s">
        <v>31227</v>
      </c>
      <c r="E9355" s="0" t="s">
        <v>89</v>
      </c>
      <c r="F9355" s="0" t="s">
        <v>90</v>
      </c>
      <c r="G9355" s="0" t="s">
        <v>32</v>
      </c>
      <c r="H9355" s="0" t="n">
        <v>1</v>
      </c>
      <c r="I9355" s="0" t="s">
        <v>31228</v>
      </c>
      <c r="J9355" s="0" t="s">
        <v>31229</v>
      </c>
      <c r="K9355" s="0" t="s">
        <v>31230</v>
      </c>
      <c r="L9355" s="0" t="str">
        <f aca="false">HYPERLINK("https://www.ncbi.nlm.nih.gov/nuccore/CP000304.1?report=graph&amp;tracks=[key:gene_model_track,Options:GeneOnly]&amp;mk=2665996:2666015|offset_1|00cc00,2665976:2665995|offset_21|444444,2665942:2665961|offset_55|444444,2665914:2665933|offset_83|444444&amp;v=2665795:2666133&amp;c=444444", "offset 1")</f>
        <v>offset 1</v>
      </c>
    </row>
    <row r="9356" customFormat="false" ht="12.8" hidden="false" customHeight="false" outlineLevel="0" collapsed="false">
      <c r="A9356" s="0" t="s">
        <v>12</v>
      </c>
      <c r="B9356" s="0" t="n">
        <v>2665975</v>
      </c>
      <c r="C9356" s="0" t="n">
        <v>2665995</v>
      </c>
      <c r="D9356" s="0" t="s">
        <v>31227</v>
      </c>
      <c r="E9356" s="0" t="s">
        <v>89</v>
      </c>
      <c r="F9356" s="0" t="s">
        <v>90</v>
      </c>
      <c r="G9356" s="0" t="s">
        <v>36</v>
      </c>
      <c r="H9356" s="0" t="n">
        <v>21</v>
      </c>
      <c r="I9356" s="0" t="s">
        <v>31231</v>
      </c>
      <c r="J9356" s="0" t="s">
        <v>31232</v>
      </c>
      <c r="K9356" s="0" t="s">
        <v>31233</v>
      </c>
      <c r="L9356" s="0" t="str">
        <f aca="false">HYPERLINK("https://www.ncbi.nlm.nih.gov/nuccore/CP000304.1?report=graph&amp;tracks=[key:gene_model_track,Options:GeneOnly]&amp;mk=2665996:2666015|offset_1|444444,2665976:2665995|offset_21|00cc00,2665942:2665961|offset_55|444444,2665914:2665933|offset_83|444444&amp;v=2665795:2666133&amp;c=444444", "offset 21")</f>
        <v>offset 21</v>
      </c>
    </row>
    <row r="9357" customFormat="false" ht="12.8" hidden="false" customHeight="false" outlineLevel="0" collapsed="false">
      <c r="A9357" s="0" t="s">
        <v>12</v>
      </c>
      <c r="B9357" s="0" t="n">
        <v>2665941</v>
      </c>
      <c r="C9357" s="0" t="n">
        <v>2665961</v>
      </c>
      <c r="D9357" s="0" t="s">
        <v>31227</v>
      </c>
      <c r="E9357" s="0" t="s">
        <v>89</v>
      </c>
      <c r="F9357" s="0" t="s">
        <v>90</v>
      </c>
      <c r="G9357" s="0" t="s">
        <v>36</v>
      </c>
      <c r="H9357" s="0" t="n">
        <v>55</v>
      </c>
      <c r="I9357" s="0" t="s">
        <v>31234</v>
      </c>
      <c r="J9357" s="0" t="s">
        <v>31235</v>
      </c>
      <c r="K9357" s="0" t="s">
        <v>31236</v>
      </c>
      <c r="L9357" s="0" t="str">
        <f aca="false">HYPERLINK("https://www.ncbi.nlm.nih.gov/nuccore/CP000304.1?report=graph&amp;tracks=[key:gene_model_track,Options:GeneOnly]&amp;mk=2665996:2666015|offset_1|444444,2665976:2665995|offset_21|444444,2665942:2665961|offset_55|00cc00,2665914:2665933|offset_83|444444&amp;v=2665795:2666133&amp;c=444444", "offset 55")</f>
        <v>offset 55</v>
      </c>
    </row>
    <row r="9358" customFormat="false" ht="12.8" hidden="false" customHeight="false" outlineLevel="0" collapsed="false">
      <c r="A9358" s="0" t="s">
        <v>12</v>
      </c>
      <c r="B9358" s="0" t="n">
        <v>2665913</v>
      </c>
      <c r="C9358" s="0" t="n">
        <v>2665933</v>
      </c>
      <c r="D9358" s="0" t="s">
        <v>31227</v>
      </c>
      <c r="E9358" s="0" t="s">
        <v>89</v>
      </c>
      <c r="F9358" s="0" t="s">
        <v>90</v>
      </c>
      <c r="G9358" s="0" t="s">
        <v>26</v>
      </c>
      <c r="H9358" s="0" t="n">
        <v>83</v>
      </c>
      <c r="I9358" s="0" t="s">
        <v>31237</v>
      </c>
      <c r="J9358" s="0" t="s">
        <v>31238</v>
      </c>
      <c r="K9358" s="0" t="s">
        <v>31239</v>
      </c>
      <c r="L9358" s="0" t="str">
        <f aca="false">HYPERLINK("https://www.ncbi.nlm.nih.gov/nuccore/CP000304.1?report=graph&amp;tracks=[key:gene_model_track,Options:GeneOnly]&amp;mk=2665996:2666015|offset_1|444444,2665976:2665995|offset_21|444444,2665942:2665961|offset_55|444444,2665914:2665933|offset_83|00cc00&amp;v=2665795:2666133&amp;c=444444", "offset 83")</f>
        <v>offset 83</v>
      </c>
    </row>
    <row r="9359" customFormat="false" ht="12.8" hidden="false" customHeight="false" outlineLevel="0" collapsed="false">
      <c r="A9359" s="0" t="s">
        <v>12</v>
      </c>
      <c r="B9359" s="0" t="n">
        <v>2667434</v>
      </c>
      <c r="C9359" s="0" t="n">
        <v>2667454</v>
      </c>
      <c r="D9359" s="0" t="s">
        <v>31240</v>
      </c>
      <c r="E9359" s="0" t="s">
        <v>89</v>
      </c>
      <c r="F9359" s="0" t="s">
        <v>90</v>
      </c>
      <c r="G9359" s="0" t="s">
        <v>32</v>
      </c>
      <c r="H9359" s="0" t="n">
        <v>0</v>
      </c>
      <c r="I9359" s="0" t="s">
        <v>31241</v>
      </c>
      <c r="J9359" s="0" t="s">
        <v>31242</v>
      </c>
      <c r="K9359" s="0" t="s">
        <v>31243</v>
      </c>
      <c r="L9359" s="0" t="str">
        <f aca="false">HYPERLINK("https://www.ncbi.nlm.nih.gov/nuccore/CP000304.1?report=graph&amp;tracks=[key:gene_model_track,Options:GeneOnly]&amp;mk=2667435:2667454|offset_0|00cc00,2667403:2667422|offset_32|444444,2667356:2667375|offset_79|444444,2667323:2667342|offset_112|444444&amp;v=2667234:2667542&amp;c=444444", "offset 0")</f>
        <v>offset 0</v>
      </c>
    </row>
    <row r="9360" customFormat="false" ht="12.8" hidden="false" customHeight="false" outlineLevel="0" collapsed="false">
      <c r="A9360" s="0" t="s">
        <v>12</v>
      </c>
      <c r="B9360" s="0" t="n">
        <v>2667402</v>
      </c>
      <c r="C9360" s="0" t="n">
        <v>2667422</v>
      </c>
      <c r="D9360" s="0" t="s">
        <v>31240</v>
      </c>
      <c r="E9360" s="0" t="s">
        <v>89</v>
      </c>
      <c r="F9360" s="0" t="s">
        <v>90</v>
      </c>
      <c r="G9360" s="0" t="s">
        <v>32</v>
      </c>
      <c r="H9360" s="0" t="n">
        <v>32</v>
      </c>
      <c r="I9360" s="0" t="s">
        <v>31244</v>
      </c>
      <c r="J9360" s="0" t="s">
        <v>31245</v>
      </c>
      <c r="K9360" s="0" t="s">
        <v>31246</v>
      </c>
      <c r="L9360" s="0" t="str">
        <f aca="false">HYPERLINK("https://www.ncbi.nlm.nih.gov/nuccore/CP000304.1?report=graph&amp;tracks=[key:gene_model_track,Options:GeneOnly]&amp;mk=2667435:2667454|offset_0|444444,2667403:2667422|offset_32|00cc00,2667356:2667375|offset_79|444444,2667323:2667342|offset_112|444444&amp;v=2667234:2667542&amp;c=444444", "offset 32")</f>
        <v>offset 32</v>
      </c>
    </row>
    <row r="9361" customFormat="false" ht="12.8" hidden="false" customHeight="false" outlineLevel="0" collapsed="false">
      <c r="A9361" s="0" t="s">
        <v>12</v>
      </c>
      <c r="B9361" s="0" t="n">
        <v>2667355</v>
      </c>
      <c r="C9361" s="0" t="n">
        <v>2667375</v>
      </c>
      <c r="D9361" s="0" t="s">
        <v>31240</v>
      </c>
      <c r="E9361" s="0" t="s">
        <v>89</v>
      </c>
      <c r="F9361" s="0" t="s">
        <v>90</v>
      </c>
      <c r="G9361" s="0" t="s">
        <v>26</v>
      </c>
      <c r="H9361" s="0" t="n">
        <v>79</v>
      </c>
      <c r="I9361" s="0" t="s">
        <v>31247</v>
      </c>
      <c r="J9361" s="0" t="s">
        <v>31248</v>
      </c>
      <c r="K9361" s="0" t="s">
        <v>31249</v>
      </c>
      <c r="L9361" s="0" t="str">
        <f aca="false">HYPERLINK("https://www.ncbi.nlm.nih.gov/nuccore/CP000304.1?report=graph&amp;tracks=[key:gene_model_track,Options:GeneOnly]&amp;mk=2667435:2667454|offset_0|444444,2667403:2667422|offset_32|444444,2667356:2667375|offset_79|00cc00,2667323:2667342|offset_112|444444&amp;v=2667234:2667542&amp;c=444444", "offset 79")</f>
        <v>offset 79</v>
      </c>
    </row>
    <row r="9362" customFormat="false" ht="12.8" hidden="false" customHeight="false" outlineLevel="0" collapsed="false">
      <c r="A9362" s="0" t="s">
        <v>12</v>
      </c>
      <c r="B9362" s="0" t="n">
        <v>2667322</v>
      </c>
      <c r="C9362" s="0" t="n">
        <v>2667342</v>
      </c>
      <c r="D9362" s="0" t="s">
        <v>31240</v>
      </c>
      <c r="E9362" s="0" t="s">
        <v>89</v>
      </c>
      <c r="F9362" s="0" t="s">
        <v>90</v>
      </c>
      <c r="G9362" s="0" t="s">
        <v>16</v>
      </c>
      <c r="H9362" s="0" t="n">
        <v>112</v>
      </c>
      <c r="I9362" s="0" t="s">
        <v>31250</v>
      </c>
      <c r="J9362" s="0" t="s">
        <v>31251</v>
      </c>
      <c r="K9362" s="0" t="s">
        <v>31252</v>
      </c>
      <c r="L9362" s="0" t="str">
        <f aca="false">HYPERLINK("https://www.ncbi.nlm.nih.gov/nuccore/CP000304.1?report=graph&amp;tracks=[key:gene_model_track,Options:GeneOnly]&amp;mk=2667435:2667454|offset_0|444444,2667403:2667422|offset_32|444444,2667356:2667375|offset_79|444444,2667323:2667342|offset_112|00cc00&amp;v=2667234:2667542&amp;c=444444", "offset 112")</f>
        <v>offset 112</v>
      </c>
    </row>
    <row r="9363" customFormat="false" ht="12.8" hidden="false" customHeight="false" outlineLevel="0" collapsed="false">
      <c r="A9363" s="0" t="s">
        <v>12</v>
      </c>
      <c r="B9363" s="0" t="n">
        <v>2668922</v>
      </c>
      <c r="C9363" s="0" t="n">
        <v>2668942</v>
      </c>
      <c r="D9363" s="0" t="s">
        <v>31253</v>
      </c>
      <c r="E9363" s="0" t="s">
        <v>89</v>
      </c>
      <c r="F9363" s="0" t="s">
        <v>90</v>
      </c>
      <c r="G9363" s="0" t="s">
        <v>16</v>
      </c>
      <c r="H9363" s="0" t="n">
        <v>42</v>
      </c>
      <c r="I9363" s="0" t="s">
        <v>31254</v>
      </c>
      <c r="J9363" s="0" t="s">
        <v>31255</v>
      </c>
      <c r="K9363" s="0" t="s">
        <v>31256</v>
      </c>
      <c r="L9363" s="0" t="str">
        <f aca="false">HYPERLINK("https://www.ncbi.nlm.nih.gov/nuccore/CP000304.1?report=graph&amp;tracks=[key:gene_model_track,Options:GeneOnly]&amp;mk=2668923:2668942|offset_42|00cc00,2668888:2668907|offset_77|444444,2668861:2668880|offset_104|444444,2668826:2668845|offset_139|444444&amp;v=2668722:2669045&amp;c=444444", "offset 42")</f>
        <v>offset 42</v>
      </c>
    </row>
    <row r="9364" customFormat="false" ht="12.8" hidden="false" customHeight="false" outlineLevel="0" collapsed="false">
      <c r="A9364" s="0" t="s">
        <v>12</v>
      </c>
      <c r="B9364" s="0" t="n">
        <v>2668887</v>
      </c>
      <c r="C9364" s="0" t="n">
        <v>2668907</v>
      </c>
      <c r="D9364" s="0" t="s">
        <v>31253</v>
      </c>
      <c r="E9364" s="0" t="s">
        <v>89</v>
      </c>
      <c r="F9364" s="0" t="s">
        <v>90</v>
      </c>
      <c r="G9364" s="0" t="s">
        <v>26</v>
      </c>
      <c r="H9364" s="0" t="n">
        <v>77</v>
      </c>
      <c r="I9364" s="0" t="s">
        <v>31257</v>
      </c>
      <c r="J9364" s="0" t="s">
        <v>31258</v>
      </c>
      <c r="K9364" s="0" t="s">
        <v>31259</v>
      </c>
      <c r="L9364" s="0" t="str">
        <f aca="false">HYPERLINK("https://www.ncbi.nlm.nih.gov/nuccore/CP000304.1?report=graph&amp;tracks=[key:gene_model_track,Options:GeneOnly]&amp;mk=2668923:2668942|offset_42|444444,2668888:2668907|offset_77|00cc00,2668861:2668880|offset_104|444444,2668826:2668845|offset_139|444444&amp;v=2668722:2669045&amp;c=444444", "offset 77")</f>
        <v>offset 77</v>
      </c>
    </row>
    <row r="9365" customFormat="false" ht="12.8" hidden="false" customHeight="false" outlineLevel="0" collapsed="false">
      <c r="A9365" s="0" t="s">
        <v>12</v>
      </c>
      <c r="B9365" s="0" t="n">
        <v>2668860</v>
      </c>
      <c r="C9365" s="0" t="n">
        <v>2668880</v>
      </c>
      <c r="D9365" s="0" t="s">
        <v>31253</v>
      </c>
      <c r="E9365" s="0" t="s">
        <v>89</v>
      </c>
      <c r="F9365" s="0" t="s">
        <v>90</v>
      </c>
      <c r="G9365" s="0" t="s">
        <v>26</v>
      </c>
      <c r="H9365" s="0" t="n">
        <v>104</v>
      </c>
      <c r="I9365" s="0" t="s">
        <v>31260</v>
      </c>
      <c r="J9365" s="0" t="s">
        <v>31261</v>
      </c>
      <c r="K9365" s="0" t="s">
        <v>31262</v>
      </c>
      <c r="L9365" s="0" t="str">
        <f aca="false">HYPERLINK("https://www.ncbi.nlm.nih.gov/nuccore/CP000304.1?report=graph&amp;tracks=[key:gene_model_track,Options:GeneOnly]&amp;mk=2668923:2668942|offset_42|444444,2668888:2668907|offset_77|444444,2668861:2668880|offset_104|00cc00,2668826:2668845|offset_139|444444&amp;v=2668722:2669045&amp;c=444444", "offset 104")</f>
        <v>offset 104</v>
      </c>
    </row>
    <row r="9366" customFormat="false" ht="12.8" hidden="false" customHeight="false" outlineLevel="0" collapsed="false">
      <c r="A9366" s="0" t="s">
        <v>12</v>
      </c>
      <c r="B9366" s="0" t="n">
        <v>2668825</v>
      </c>
      <c r="C9366" s="0" t="n">
        <v>2668845</v>
      </c>
      <c r="D9366" s="0" t="s">
        <v>31253</v>
      </c>
      <c r="E9366" s="0" t="s">
        <v>89</v>
      </c>
      <c r="F9366" s="0" t="s">
        <v>90</v>
      </c>
      <c r="G9366" s="0" t="s">
        <v>32</v>
      </c>
      <c r="H9366" s="0" t="n">
        <v>139</v>
      </c>
      <c r="I9366" s="0" t="s">
        <v>31263</v>
      </c>
      <c r="J9366" s="0" t="s">
        <v>31264</v>
      </c>
      <c r="K9366" s="0" t="s">
        <v>31265</v>
      </c>
      <c r="L9366" s="0" t="str">
        <f aca="false">HYPERLINK("https://www.ncbi.nlm.nih.gov/nuccore/CP000304.1?report=graph&amp;tracks=[key:gene_model_track,Options:GeneOnly]&amp;mk=2668923:2668942|offset_42|444444,2668888:2668907|offset_77|444444,2668861:2668880|offset_104|444444,2668826:2668845|offset_139|00cc00&amp;v=2668722:2669045&amp;c=444444", "offset 139")</f>
        <v>offset 139</v>
      </c>
    </row>
    <row r="9367" customFormat="false" ht="12.8" hidden="false" customHeight="false" outlineLevel="0" collapsed="false">
      <c r="A9367" s="0" t="s">
        <v>12</v>
      </c>
      <c r="B9367" s="0" t="n">
        <v>2669674</v>
      </c>
      <c r="C9367" s="0" t="n">
        <v>2669694</v>
      </c>
      <c r="D9367" s="0" t="s">
        <v>31266</v>
      </c>
      <c r="E9367" s="0" t="s">
        <v>31267</v>
      </c>
      <c r="F9367" s="0" t="s">
        <v>90</v>
      </c>
      <c r="G9367" s="0" t="s">
        <v>32</v>
      </c>
      <c r="H9367" s="0" t="n">
        <v>8</v>
      </c>
      <c r="I9367" s="0" t="s">
        <v>31268</v>
      </c>
      <c r="J9367" s="0" t="s">
        <v>31269</v>
      </c>
      <c r="K9367" s="0" t="s">
        <v>31270</v>
      </c>
      <c r="L9367" s="0" t="str">
        <f aca="false">HYPERLINK("https://www.ncbi.nlm.nih.gov/nuccore/CP000304.1?report=graph&amp;tracks=[key:gene_model_track,Options:GeneOnly]&amp;mk=2669675:2669694|offset_8|00cc00,2669630:2669649|offset_53|444444,2669603:2669622|offset_80|444444,2669575:2669594|offset_108|444444&amp;v=2669474:2669794&amp;c=444444", "offset 8")</f>
        <v>offset 8</v>
      </c>
    </row>
    <row r="9368" customFormat="false" ht="12.8" hidden="false" customHeight="false" outlineLevel="0" collapsed="false">
      <c r="A9368" s="0" t="s">
        <v>12</v>
      </c>
      <c r="B9368" s="0" t="n">
        <v>2669629</v>
      </c>
      <c r="C9368" s="0" t="n">
        <v>2669649</v>
      </c>
      <c r="D9368" s="0" t="s">
        <v>31266</v>
      </c>
      <c r="E9368" s="0" t="s">
        <v>31267</v>
      </c>
      <c r="F9368" s="0" t="s">
        <v>90</v>
      </c>
      <c r="G9368" s="0" t="s">
        <v>16</v>
      </c>
      <c r="H9368" s="0" t="n">
        <v>53</v>
      </c>
      <c r="I9368" s="0" t="s">
        <v>31271</v>
      </c>
      <c r="J9368" s="0" t="s">
        <v>31272</v>
      </c>
      <c r="K9368" s="0" t="s">
        <v>31273</v>
      </c>
      <c r="L9368" s="0" t="str">
        <f aca="false">HYPERLINK("https://www.ncbi.nlm.nih.gov/nuccore/CP000304.1?report=graph&amp;tracks=[key:gene_model_track,Options:GeneOnly]&amp;mk=2669675:2669694|offset_8|444444,2669630:2669649|offset_53|00cc00,2669603:2669622|offset_80|444444,2669575:2669594|offset_108|444444&amp;v=2669474:2669794&amp;c=444444", "offset 53")</f>
        <v>offset 53</v>
      </c>
    </row>
    <row r="9369" customFormat="false" ht="12.8" hidden="false" customHeight="false" outlineLevel="0" collapsed="false">
      <c r="A9369" s="0" t="s">
        <v>12</v>
      </c>
      <c r="B9369" s="0" t="n">
        <v>2669602</v>
      </c>
      <c r="C9369" s="0" t="n">
        <v>2669622</v>
      </c>
      <c r="D9369" s="0" t="s">
        <v>31266</v>
      </c>
      <c r="E9369" s="0" t="s">
        <v>31267</v>
      </c>
      <c r="F9369" s="0" t="s">
        <v>90</v>
      </c>
      <c r="G9369" s="0" t="s">
        <v>16</v>
      </c>
      <c r="H9369" s="0" t="n">
        <v>80</v>
      </c>
      <c r="I9369" s="0" t="s">
        <v>31274</v>
      </c>
      <c r="J9369" s="0" t="s">
        <v>31275</v>
      </c>
      <c r="K9369" s="0" t="s">
        <v>31276</v>
      </c>
      <c r="L9369" s="0" t="str">
        <f aca="false">HYPERLINK("https://www.ncbi.nlm.nih.gov/nuccore/CP000304.1?report=graph&amp;tracks=[key:gene_model_track,Options:GeneOnly]&amp;mk=2669675:2669694|offset_8|444444,2669630:2669649|offset_53|444444,2669603:2669622|offset_80|00cc00,2669575:2669594|offset_108|444444&amp;v=2669474:2669794&amp;c=444444", "offset 80")</f>
        <v>offset 80</v>
      </c>
    </row>
    <row r="9370" customFormat="false" ht="12.8" hidden="false" customHeight="false" outlineLevel="0" collapsed="false">
      <c r="A9370" s="0" t="s">
        <v>12</v>
      </c>
      <c r="B9370" s="0" t="n">
        <v>2669574</v>
      </c>
      <c r="C9370" s="0" t="n">
        <v>2669594</v>
      </c>
      <c r="D9370" s="0" t="s">
        <v>31266</v>
      </c>
      <c r="E9370" s="0" t="s">
        <v>31267</v>
      </c>
      <c r="F9370" s="0" t="s">
        <v>90</v>
      </c>
      <c r="G9370" s="0" t="s">
        <v>16</v>
      </c>
      <c r="H9370" s="0" t="n">
        <v>108</v>
      </c>
      <c r="I9370" s="0" t="s">
        <v>31277</v>
      </c>
      <c r="J9370" s="0" t="s">
        <v>31278</v>
      </c>
      <c r="K9370" s="0" t="s">
        <v>31279</v>
      </c>
      <c r="L9370" s="0" t="str">
        <f aca="false">HYPERLINK("https://www.ncbi.nlm.nih.gov/nuccore/CP000304.1?report=graph&amp;tracks=[key:gene_model_track,Options:GeneOnly]&amp;mk=2669675:2669694|offset_8|444444,2669630:2669649|offset_53|444444,2669603:2669622|offset_80|444444,2669575:2669594|offset_108|00cc00&amp;v=2669474:2669794&amp;c=444444", "offset 108")</f>
        <v>offset 108</v>
      </c>
    </row>
    <row r="9371" customFormat="false" ht="12.8" hidden="false" customHeight="false" outlineLevel="0" collapsed="false">
      <c r="A9371" s="0" t="s">
        <v>12</v>
      </c>
      <c r="B9371" s="0" t="n">
        <v>2670665</v>
      </c>
      <c r="C9371" s="0" t="n">
        <v>2670685</v>
      </c>
      <c r="D9371" s="0" t="s">
        <v>31280</v>
      </c>
      <c r="E9371" s="0" t="s">
        <v>31281</v>
      </c>
      <c r="F9371" s="0" t="s">
        <v>90</v>
      </c>
      <c r="G9371" s="0" t="s">
        <v>32</v>
      </c>
      <c r="H9371" s="0" t="n">
        <v>37</v>
      </c>
      <c r="I9371" s="0" t="s">
        <v>31282</v>
      </c>
      <c r="J9371" s="0" t="s">
        <v>31283</v>
      </c>
      <c r="K9371" s="0" t="s">
        <v>31284</v>
      </c>
      <c r="L9371" s="0" t="str">
        <f aca="false">HYPERLINK("https://www.ncbi.nlm.nih.gov/nuccore/CP000304.1?report=graph&amp;tracks=[key:gene_model_track,Options:GeneOnly]&amp;mk=2670666:2670685|offset_37|00cc00,2670610:2670629|offset_93|444444,2670589:2670608|offset_114|444444,2670547:2670566|offset_156|444444&amp;v=2670465:2670766&amp;c=444444", "offset 37")</f>
        <v>offset 37</v>
      </c>
    </row>
    <row r="9372" customFormat="false" ht="12.8" hidden="false" customHeight="false" outlineLevel="0" collapsed="false">
      <c r="A9372" s="0" t="s">
        <v>12</v>
      </c>
      <c r="B9372" s="0" t="n">
        <v>2670609</v>
      </c>
      <c r="C9372" s="0" t="n">
        <v>2670629</v>
      </c>
      <c r="D9372" s="0" t="s">
        <v>31280</v>
      </c>
      <c r="E9372" s="0" t="s">
        <v>31281</v>
      </c>
      <c r="F9372" s="0" t="s">
        <v>90</v>
      </c>
      <c r="G9372" s="0" t="s">
        <v>36</v>
      </c>
      <c r="H9372" s="0" t="n">
        <v>93</v>
      </c>
      <c r="I9372" s="0" t="s">
        <v>31285</v>
      </c>
      <c r="J9372" s="0" t="s">
        <v>31286</v>
      </c>
      <c r="K9372" s="0" t="s">
        <v>31287</v>
      </c>
      <c r="L9372" s="0" t="str">
        <f aca="false">HYPERLINK("https://www.ncbi.nlm.nih.gov/nuccore/CP000304.1?report=graph&amp;tracks=[key:gene_model_track,Options:GeneOnly]&amp;mk=2670666:2670685|offset_37|444444,2670610:2670629|offset_93|00cc00,2670589:2670608|offset_114|444444,2670547:2670566|offset_156|444444&amp;v=2670465:2670766&amp;c=444444", "offset 93")</f>
        <v>offset 93</v>
      </c>
    </row>
    <row r="9373" customFormat="false" ht="12.8" hidden="false" customHeight="false" outlineLevel="0" collapsed="false">
      <c r="A9373" s="0" t="s">
        <v>12</v>
      </c>
      <c r="B9373" s="0" t="n">
        <v>2670588</v>
      </c>
      <c r="C9373" s="0" t="n">
        <v>2670608</v>
      </c>
      <c r="D9373" s="0" t="s">
        <v>31280</v>
      </c>
      <c r="E9373" s="0" t="s">
        <v>31281</v>
      </c>
      <c r="F9373" s="0" t="s">
        <v>90</v>
      </c>
      <c r="G9373" s="0" t="s">
        <v>16</v>
      </c>
      <c r="H9373" s="0" t="n">
        <v>114</v>
      </c>
      <c r="I9373" s="0" t="s">
        <v>31288</v>
      </c>
      <c r="J9373" s="0" t="s">
        <v>31289</v>
      </c>
      <c r="K9373" s="0" t="s">
        <v>31290</v>
      </c>
      <c r="L9373" s="0" t="str">
        <f aca="false">HYPERLINK("https://www.ncbi.nlm.nih.gov/nuccore/CP000304.1?report=graph&amp;tracks=[key:gene_model_track,Options:GeneOnly]&amp;mk=2670666:2670685|offset_37|444444,2670610:2670629|offset_93|444444,2670589:2670608|offset_114|00cc00,2670547:2670566|offset_156|444444&amp;v=2670465:2670766&amp;c=444444", "offset 114")</f>
        <v>offset 114</v>
      </c>
    </row>
    <row r="9374" customFormat="false" ht="12.8" hidden="false" customHeight="false" outlineLevel="0" collapsed="false">
      <c r="A9374" s="0" t="s">
        <v>12</v>
      </c>
      <c r="B9374" s="0" t="n">
        <v>2670546</v>
      </c>
      <c r="C9374" s="0" t="n">
        <v>2670566</v>
      </c>
      <c r="D9374" s="0" t="s">
        <v>31280</v>
      </c>
      <c r="E9374" s="0" t="s">
        <v>31281</v>
      </c>
      <c r="F9374" s="0" t="s">
        <v>90</v>
      </c>
      <c r="G9374" s="0" t="s">
        <v>16</v>
      </c>
      <c r="H9374" s="0" t="n">
        <v>156</v>
      </c>
      <c r="I9374" s="0" t="s">
        <v>31291</v>
      </c>
      <c r="J9374" s="0" t="s">
        <v>31292</v>
      </c>
      <c r="K9374" s="0" t="s">
        <v>31293</v>
      </c>
      <c r="L9374" s="0" t="str">
        <f aca="false">HYPERLINK("https://www.ncbi.nlm.nih.gov/nuccore/CP000304.1?report=graph&amp;tracks=[key:gene_model_track,Options:GeneOnly]&amp;mk=2670666:2670685|offset_37|444444,2670610:2670629|offset_93|444444,2670589:2670608|offset_114|444444,2670547:2670566|offset_156|00cc00&amp;v=2670465:2670766&amp;c=444444", "offset 156")</f>
        <v>offset 156</v>
      </c>
    </row>
    <row r="9375" customFormat="false" ht="12.8" hidden="false" customHeight="false" outlineLevel="0" collapsed="false">
      <c r="A9375" s="0" t="s">
        <v>12</v>
      </c>
      <c r="B9375" s="0" t="n">
        <v>2672520</v>
      </c>
      <c r="C9375" s="0" t="n">
        <v>2672540</v>
      </c>
      <c r="D9375" s="0" t="s">
        <v>31294</v>
      </c>
      <c r="E9375" s="0" t="s">
        <v>89</v>
      </c>
      <c r="F9375" s="0" t="s">
        <v>90</v>
      </c>
      <c r="G9375" s="0" t="s">
        <v>36</v>
      </c>
      <c r="H9375" s="0" t="n">
        <v>8</v>
      </c>
      <c r="I9375" s="0" t="s">
        <v>31295</v>
      </c>
      <c r="J9375" s="0" t="s">
        <v>31296</v>
      </c>
      <c r="K9375" s="0" t="s">
        <v>31297</v>
      </c>
      <c r="L9375" s="0" t="str">
        <f aca="false">HYPERLINK("https://www.ncbi.nlm.nih.gov/nuccore/CP000304.1?report=graph&amp;tracks=[key:gene_model_track,Options:GeneOnly]&amp;mk=2672521:2672540|offset_8|00cc00,2672479:2672498|offset_50|444444,2672458:2672477|offset_71|444444,2672435:2672454|offset_94|444444&amp;v=2672320:2672654&amp;c=444444", "offset 8")</f>
        <v>offset 8</v>
      </c>
    </row>
    <row r="9376" customFormat="false" ht="12.8" hidden="false" customHeight="false" outlineLevel="0" collapsed="false">
      <c r="A9376" s="0" t="s">
        <v>12</v>
      </c>
      <c r="B9376" s="0" t="n">
        <v>2672478</v>
      </c>
      <c r="C9376" s="0" t="n">
        <v>2672498</v>
      </c>
      <c r="D9376" s="0" t="s">
        <v>31294</v>
      </c>
      <c r="E9376" s="0" t="s">
        <v>89</v>
      </c>
      <c r="F9376" s="0" t="s">
        <v>90</v>
      </c>
      <c r="G9376" s="0" t="s">
        <v>16</v>
      </c>
      <c r="H9376" s="0" t="n">
        <v>50</v>
      </c>
      <c r="I9376" s="0" t="s">
        <v>31298</v>
      </c>
      <c r="J9376" s="0" t="s">
        <v>31299</v>
      </c>
      <c r="K9376" s="0" t="s">
        <v>31300</v>
      </c>
      <c r="L9376" s="0" t="str">
        <f aca="false">HYPERLINK("https://www.ncbi.nlm.nih.gov/nuccore/CP000304.1?report=graph&amp;tracks=[key:gene_model_track,Options:GeneOnly]&amp;mk=2672521:2672540|offset_8|444444,2672479:2672498|offset_50|00cc00,2672458:2672477|offset_71|444444,2672435:2672454|offset_94|444444&amp;v=2672320:2672654&amp;c=444444", "offset 50")</f>
        <v>offset 50</v>
      </c>
    </row>
    <row r="9377" customFormat="false" ht="12.8" hidden="false" customHeight="false" outlineLevel="0" collapsed="false">
      <c r="A9377" s="0" t="s">
        <v>12</v>
      </c>
      <c r="B9377" s="0" t="n">
        <v>2672457</v>
      </c>
      <c r="C9377" s="0" t="n">
        <v>2672477</v>
      </c>
      <c r="D9377" s="0" t="s">
        <v>31294</v>
      </c>
      <c r="E9377" s="0" t="s">
        <v>89</v>
      </c>
      <c r="F9377" s="0" t="s">
        <v>90</v>
      </c>
      <c r="G9377" s="0" t="s">
        <v>26</v>
      </c>
      <c r="H9377" s="0" t="n">
        <v>71</v>
      </c>
      <c r="I9377" s="0" t="s">
        <v>31301</v>
      </c>
      <c r="J9377" s="0" t="s">
        <v>31302</v>
      </c>
      <c r="K9377" s="0" t="s">
        <v>31303</v>
      </c>
      <c r="L9377" s="0" t="str">
        <f aca="false">HYPERLINK("https://www.ncbi.nlm.nih.gov/nuccore/CP000304.1?report=graph&amp;tracks=[key:gene_model_track,Options:GeneOnly]&amp;mk=2672521:2672540|offset_8|444444,2672479:2672498|offset_50|444444,2672458:2672477|offset_71|00cc00,2672435:2672454|offset_94|444444&amp;v=2672320:2672654&amp;c=444444", "offset 71")</f>
        <v>offset 71</v>
      </c>
    </row>
    <row r="9378" customFormat="false" ht="12.8" hidden="false" customHeight="false" outlineLevel="0" collapsed="false">
      <c r="A9378" s="0" t="s">
        <v>12</v>
      </c>
      <c r="B9378" s="0" t="n">
        <v>2672434</v>
      </c>
      <c r="C9378" s="0" t="n">
        <v>2672454</v>
      </c>
      <c r="D9378" s="0" t="s">
        <v>31294</v>
      </c>
      <c r="E9378" s="0" t="s">
        <v>89</v>
      </c>
      <c r="F9378" s="0" t="s">
        <v>90</v>
      </c>
      <c r="G9378" s="0" t="s">
        <v>32</v>
      </c>
      <c r="H9378" s="0" t="n">
        <v>94</v>
      </c>
      <c r="I9378" s="0" t="s">
        <v>31304</v>
      </c>
      <c r="J9378" s="0" t="s">
        <v>31305</v>
      </c>
      <c r="K9378" s="0" t="s">
        <v>31306</v>
      </c>
      <c r="L9378" s="0" t="str">
        <f aca="false">HYPERLINK("https://www.ncbi.nlm.nih.gov/nuccore/CP000304.1?report=graph&amp;tracks=[key:gene_model_track,Options:GeneOnly]&amp;mk=2672521:2672540|offset_8|444444,2672479:2672498|offset_50|444444,2672458:2672477|offset_71|444444,2672435:2672454|offset_94|00cc00&amp;v=2672320:2672654&amp;c=444444", "offset 94")</f>
        <v>offset 94</v>
      </c>
    </row>
    <row r="9379" customFormat="false" ht="12.8" hidden="false" customHeight="false" outlineLevel="0" collapsed="false">
      <c r="A9379" s="0" t="s">
        <v>12</v>
      </c>
      <c r="B9379" s="0" t="n">
        <v>2673467</v>
      </c>
      <c r="C9379" s="0" t="n">
        <v>2673487</v>
      </c>
      <c r="D9379" s="0" t="s">
        <v>31307</v>
      </c>
      <c r="E9379" s="0" t="s">
        <v>89</v>
      </c>
      <c r="F9379" s="0" t="s">
        <v>90</v>
      </c>
      <c r="G9379" s="0" t="s">
        <v>16</v>
      </c>
      <c r="H9379" s="0" t="n">
        <v>43</v>
      </c>
      <c r="I9379" s="0" t="s">
        <v>31308</v>
      </c>
      <c r="J9379" s="0" t="s">
        <v>31309</v>
      </c>
      <c r="K9379" s="0" t="s">
        <v>31310</v>
      </c>
      <c r="L9379" s="0" t="str">
        <f aca="false">HYPERLINK("https://www.ncbi.nlm.nih.gov/nuccore/CP000304.1?report=graph&amp;tracks=[key:gene_model_track,Options:GeneOnly]&amp;mk=2673468:2673487|offset_43|00cc00,2673423:2673442|offset_88|444444,2673400:2673419|offset_111|444444,2673352:2673371|offset_159|444444&amp;v=2673267:2673571&amp;c=444444", "offset 43")</f>
        <v>offset 43</v>
      </c>
    </row>
    <row r="9380" customFormat="false" ht="12.8" hidden="false" customHeight="false" outlineLevel="0" collapsed="false">
      <c r="A9380" s="0" t="s">
        <v>12</v>
      </c>
      <c r="B9380" s="0" t="n">
        <v>2673422</v>
      </c>
      <c r="C9380" s="0" t="n">
        <v>2673442</v>
      </c>
      <c r="D9380" s="0" t="s">
        <v>31307</v>
      </c>
      <c r="E9380" s="0" t="s">
        <v>89</v>
      </c>
      <c r="F9380" s="0" t="s">
        <v>90</v>
      </c>
      <c r="G9380" s="0" t="s">
        <v>26</v>
      </c>
      <c r="H9380" s="0" t="n">
        <v>88</v>
      </c>
      <c r="I9380" s="0" t="s">
        <v>31311</v>
      </c>
      <c r="J9380" s="0" t="s">
        <v>31312</v>
      </c>
      <c r="K9380" s="0" t="s">
        <v>31313</v>
      </c>
      <c r="L9380" s="0" t="str">
        <f aca="false">HYPERLINK("https://www.ncbi.nlm.nih.gov/nuccore/CP000304.1?report=graph&amp;tracks=[key:gene_model_track,Options:GeneOnly]&amp;mk=2673468:2673487|offset_43|444444,2673423:2673442|offset_88|00cc00,2673400:2673419|offset_111|444444,2673352:2673371|offset_159|444444&amp;v=2673267:2673571&amp;c=444444", "offset 88")</f>
        <v>offset 88</v>
      </c>
    </row>
    <row r="9381" customFormat="false" ht="12.8" hidden="false" customHeight="false" outlineLevel="0" collapsed="false">
      <c r="A9381" s="0" t="s">
        <v>12</v>
      </c>
      <c r="B9381" s="0" t="n">
        <v>2673399</v>
      </c>
      <c r="C9381" s="0" t="n">
        <v>2673419</v>
      </c>
      <c r="D9381" s="0" t="s">
        <v>31307</v>
      </c>
      <c r="E9381" s="0" t="s">
        <v>89</v>
      </c>
      <c r="F9381" s="0" t="s">
        <v>90</v>
      </c>
      <c r="G9381" s="0" t="s">
        <v>16</v>
      </c>
      <c r="H9381" s="0" t="n">
        <v>111</v>
      </c>
      <c r="I9381" s="0" t="s">
        <v>31314</v>
      </c>
      <c r="J9381" s="0" t="s">
        <v>31315</v>
      </c>
      <c r="K9381" s="0" t="s">
        <v>31316</v>
      </c>
      <c r="L9381" s="0" t="str">
        <f aca="false">HYPERLINK("https://www.ncbi.nlm.nih.gov/nuccore/CP000304.1?report=graph&amp;tracks=[key:gene_model_track,Options:GeneOnly]&amp;mk=2673468:2673487|offset_43|444444,2673423:2673442|offset_88|444444,2673400:2673419|offset_111|00cc00,2673352:2673371|offset_159|444444&amp;v=2673267:2673571&amp;c=444444", "offset 111")</f>
        <v>offset 111</v>
      </c>
    </row>
    <row r="9382" customFormat="false" ht="12.8" hidden="false" customHeight="false" outlineLevel="0" collapsed="false">
      <c r="A9382" s="0" t="s">
        <v>12</v>
      </c>
      <c r="B9382" s="0" t="n">
        <v>2673351</v>
      </c>
      <c r="C9382" s="0" t="n">
        <v>2673371</v>
      </c>
      <c r="D9382" s="0" t="s">
        <v>31307</v>
      </c>
      <c r="E9382" s="0" t="s">
        <v>89</v>
      </c>
      <c r="F9382" s="0" t="s">
        <v>90</v>
      </c>
      <c r="G9382" s="0" t="s">
        <v>26</v>
      </c>
      <c r="H9382" s="0" t="n">
        <v>159</v>
      </c>
      <c r="I9382" s="0" t="s">
        <v>31317</v>
      </c>
      <c r="J9382" s="0" t="s">
        <v>31318</v>
      </c>
      <c r="K9382" s="0" t="s">
        <v>31319</v>
      </c>
      <c r="L9382" s="0" t="str">
        <f aca="false">HYPERLINK("https://www.ncbi.nlm.nih.gov/nuccore/CP000304.1?report=graph&amp;tracks=[key:gene_model_track,Options:GeneOnly]&amp;mk=2673468:2673487|offset_43|444444,2673423:2673442|offset_88|444444,2673400:2673419|offset_111|444444,2673352:2673371|offset_159|00cc00&amp;v=2673267:2673571&amp;c=444444", "offset 159")</f>
        <v>offset 159</v>
      </c>
    </row>
    <row r="9383" customFormat="false" ht="12.8" hidden="false" customHeight="false" outlineLevel="0" collapsed="false">
      <c r="A9383" s="0" t="s">
        <v>12</v>
      </c>
      <c r="B9383" s="0" t="n">
        <v>2674213</v>
      </c>
      <c r="C9383" s="0" t="n">
        <v>2674233</v>
      </c>
      <c r="D9383" s="0" t="s">
        <v>31320</v>
      </c>
      <c r="E9383" s="0" t="s">
        <v>89</v>
      </c>
      <c r="F9383" s="0" t="s">
        <v>90</v>
      </c>
      <c r="G9383" s="0" t="s">
        <v>16</v>
      </c>
      <c r="H9383" s="0" t="n">
        <v>15</v>
      </c>
      <c r="I9383" s="0" t="s">
        <v>31321</v>
      </c>
      <c r="J9383" s="0" t="s">
        <v>31322</v>
      </c>
      <c r="K9383" s="0" t="s">
        <v>31323</v>
      </c>
      <c r="L9383" s="0" t="str">
        <f aca="false">HYPERLINK("https://www.ncbi.nlm.nih.gov/nuccore/CP000304.1?report=graph&amp;tracks=[key:gene_model_track,Options:GeneOnly]&amp;mk=2674214:2674233|offset_15|00cc00,2674193:2674212|offset_36|444444,2674155:2674174|offset_74|444444,2674107:2674126|offset_122|444444&amp;v=2674013:2674326&amp;c=444444", "offset 15")</f>
        <v>offset 15</v>
      </c>
    </row>
    <row r="9384" customFormat="false" ht="12.8" hidden="false" customHeight="false" outlineLevel="0" collapsed="false">
      <c r="A9384" s="0" t="s">
        <v>12</v>
      </c>
      <c r="B9384" s="0" t="n">
        <v>2674192</v>
      </c>
      <c r="C9384" s="0" t="n">
        <v>2674212</v>
      </c>
      <c r="D9384" s="0" t="s">
        <v>31320</v>
      </c>
      <c r="E9384" s="0" t="s">
        <v>89</v>
      </c>
      <c r="F9384" s="0" t="s">
        <v>90</v>
      </c>
      <c r="G9384" s="0" t="s">
        <v>16</v>
      </c>
      <c r="H9384" s="0" t="n">
        <v>36</v>
      </c>
      <c r="I9384" s="0" t="s">
        <v>31324</v>
      </c>
      <c r="J9384" s="0" t="s">
        <v>31325</v>
      </c>
      <c r="K9384" s="0" t="s">
        <v>31326</v>
      </c>
      <c r="L9384" s="0" t="str">
        <f aca="false">HYPERLINK("https://www.ncbi.nlm.nih.gov/nuccore/CP000304.1?report=graph&amp;tracks=[key:gene_model_track,Options:GeneOnly]&amp;mk=2674214:2674233|offset_15|444444,2674193:2674212|offset_36|00cc00,2674155:2674174|offset_74|444444,2674107:2674126|offset_122|444444&amp;v=2674013:2674326&amp;c=444444", "offset 36")</f>
        <v>offset 36</v>
      </c>
    </row>
    <row r="9385" customFormat="false" ht="12.8" hidden="false" customHeight="false" outlineLevel="0" collapsed="false">
      <c r="A9385" s="0" t="s">
        <v>12</v>
      </c>
      <c r="B9385" s="0" t="n">
        <v>2674154</v>
      </c>
      <c r="C9385" s="0" t="n">
        <v>2674174</v>
      </c>
      <c r="D9385" s="0" t="s">
        <v>31320</v>
      </c>
      <c r="E9385" s="0" t="s">
        <v>89</v>
      </c>
      <c r="F9385" s="0" t="s">
        <v>90</v>
      </c>
      <c r="G9385" s="0" t="s">
        <v>36</v>
      </c>
      <c r="H9385" s="0" t="n">
        <v>74</v>
      </c>
      <c r="I9385" s="0" t="s">
        <v>31327</v>
      </c>
      <c r="J9385" s="0" t="s">
        <v>31328</v>
      </c>
      <c r="K9385" s="0" t="s">
        <v>31329</v>
      </c>
      <c r="L9385" s="0" t="str">
        <f aca="false">HYPERLINK("https://www.ncbi.nlm.nih.gov/nuccore/CP000304.1?report=graph&amp;tracks=[key:gene_model_track,Options:GeneOnly]&amp;mk=2674214:2674233|offset_15|444444,2674193:2674212|offset_36|444444,2674155:2674174|offset_74|00cc00,2674107:2674126|offset_122|444444&amp;v=2674013:2674326&amp;c=444444", "offset 74")</f>
        <v>offset 74</v>
      </c>
    </row>
    <row r="9386" customFormat="false" ht="12.8" hidden="false" customHeight="false" outlineLevel="0" collapsed="false">
      <c r="A9386" s="0" t="s">
        <v>12</v>
      </c>
      <c r="B9386" s="0" t="n">
        <v>2674106</v>
      </c>
      <c r="C9386" s="0" t="n">
        <v>2674126</v>
      </c>
      <c r="D9386" s="0" t="s">
        <v>31320</v>
      </c>
      <c r="E9386" s="0" t="s">
        <v>89</v>
      </c>
      <c r="F9386" s="0" t="s">
        <v>90</v>
      </c>
      <c r="G9386" s="0" t="s">
        <v>26</v>
      </c>
      <c r="H9386" s="0" t="n">
        <v>122</v>
      </c>
      <c r="I9386" s="0" t="s">
        <v>31330</v>
      </c>
      <c r="J9386" s="0" t="s">
        <v>31331</v>
      </c>
      <c r="K9386" s="0" t="s">
        <v>31332</v>
      </c>
      <c r="L9386" s="0" t="str">
        <f aca="false">HYPERLINK("https://www.ncbi.nlm.nih.gov/nuccore/CP000304.1?report=graph&amp;tracks=[key:gene_model_track,Options:GeneOnly]&amp;mk=2674214:2674233|offset_15|444444,2674193:2674212|offset_36|444444,2674155:2674174|offset_74|444444,2674107:2674126|offset_122|00cc00&amp;v=2674013:2674326&amp;c=444444", "offset 122")</f>
        <v>offset 122</v>
      </c>
    </row>
    <row r="9387" customFormat="false" ht="12.8" hidden="false" customHeight="false" outlineLevel="0" collapsed="false">
      <c r="A9387" s="0" t="s">
        <v>12</v>
      </c>
      <c r="B9387" s="0" t="n">
        <v>2675538</v>
      </c>
      <c r="C9387" s="0" t="n">
        <v>2675558</v>
      </c>
      <c r="D9387" s="0" t="s">
        <v>31333</v>
      </c>
      <c r="E9387" s="0" t="s">
        <v>89</v>
      </c>
      <c r="F9387" s="0" t="s">
        <v>90</v>
      </c>
      <c r="G9387" s="0" t="s">
        <v>32</v>
      </c>
      <c r="H9387" s="0" t="n">
        <v>10</v>
      </c>
      <c r="I9387" s="0" t="s">
        <v>31334</v>
      </c>
      <c r="J9387" s="0" t="s">
        <v>31335</v>
      </c>
      <c r="K9387" s="0" t="s">
        <v>31336</v>
      </c>
      <c r="L9387" s="0" t="str">
        <f aca="false">HYPERLINK("https://www.ncbi.nlm.nih.gov/nuccore/CP000304.1?report=graph&amp;tracks=[key:gene_model_track,Options:GeneOnly]&amp;mk=2675539:2675558|offset_10|00cc00,2675512:2675531|offset_37|444444,2675484:2675503|offset_65|444444,2675392:2675411|offset_157|444444&amp;v=2675338:2675611&amp;c=444444", "offset 10")</f>
        <v>offset 10</v>
      </c>
    </row>
    <row r="9388" customFormat="false" ht="12.8" hidden="false" customHeight="false" outlineLevel="0" collapsed="false">
      <c r="A9388" s="0" t="s">
        <v>12</v>
      </c>
      <c r="B9388" s="0" t="n">
        <v>2675511</v>
      </c>
      <c r="C9388" s="0" t="n">
        <v>2675531</v>
      </c>
      <c r="D9388" s="0" t="s">
        <v>31333</v>
      </c>
      <c r="E9388" s="0" t="s">
        <v>89</v>
      </c>
      <c r="F9388" s="0" t="s">
        <v>90</v>
      </c>
      <c r="G9388" s="0" t="s">
        <v>16</v>
      </c>
      <c r="H9388" s="0" t="n">
        <v>37</v>
      </c>
      <c r="I9388" s="0" t="s">
        <v>31337</v>
      </c>
      <c r="J9388" s="0" t="s">
        <v>31338</v>
      </c>
      <c r="K9388" s="0" t="s">
        <v>31339</v>
      </c>
      <c r="L9388" s="0" t="str">
        <f aca="false">HYPERLINK("https://www.ncbi.nlm.nih.gov/nuccore/CP000304.1?report=graph&amp;tracks=[key:gene_model_track,Options:GeneOnly]&amp;mk=2675539:2675558|offset_10|444444,2675512:2675531|offset_37|00cc00,2675484:2675503|offset_65|444444,2675392:2675411|offset_157|444444&amp;v=2675338:2675611&amp;c=444444", "offset 37")</f>
        <v>offset 37</v>
      </c>
    </row>
    <row r="9389" customFormat="false" ht="12.8" hidden="false" customHeight="false" outlineLevel="0" collapsed="false">
      <c r="A9389" s="0" t="s">
        <v>12</v>
      </c>
      <c r="B9389" s="0" t="n">
        <v>2675483</v>
      </c>
      <c r="C9389" s="0" t="n">
        <v>2675503</v>
      </c>
      <c r="D9389" s="0" t="s">
        <v>31333</v>
      </c>
      <c r="E9389" s="0" t="s">
        <v>89</v>
      </c>
      <c r="F9389" s="0" t="s">
        <v>90</v>
      </c>
      <c r="G9389" s="0" t="s">
        <v>26</v>
      </c>
      <c r="H9389" s="0" t="n">
        <v>65</v>
      </c>
      <c r="I9389" s="0" t="s">
        <v>31340</v>
      </c>
      <c r="J9389" s="0" t="s">
        <v>31341</v>
      </c>
      <c r="K9389" s="0" t="s">
        <v>31342</v>
      </c>
      <c r="L9389" s="0" t="str">
        <f aca="false">HYPERLINK("https://www.ncbi.nlm.nih.gov/nuccore/CP000304.1?report=graph&amp;tracks=[key:gene_model_track,Options:GeneOnly]&amp;mk=2675539:2675558|offset_10|444444,2675512:2675531|offset_37|444444,2675484:2675503|offset_65|00cc00,2675392:2675411|offset_157|444444&amp;v=2675338:2675611&amp;c=444444", "offset 65")</f>
        <v>offset 65</v>
      </c>
    </row>
    <row r="9390" customFormat="false" ht="12.8" hidden="false" customHeight="false" outlineLevel="0" collapsed="false">
      <c r="A9390" s="0" t="s">
        <v>12</v>
      </c>
      <c r="B9390" s="0" t="n">
        <v>2675391</v>
      </c>
      <c r="C9390" s="0" t="n">
        <v>2675411</v>
      </c>
      <c r="D9390" s="0" t="s">
        <v>31333</v>
      </c>
      <c r="E9390" s="0" t="s">
        <v>89</v>
      </c>
      <c r="F9390" s="0" t="s">
        <v>90</v>
      </c>
      <c r="G9390" s="0" t="s">
        <v>32</v>
      </c>
      <c r="H9390" s="0" t="n">
        <v>157</v>
      </c>
      <c r="I9390" s="0" t="s">
        <v>31343</v>
      </c>
      <c r="J9390" s="0" t="s">
        <v>31344</v>
      </c>
      <c r="K9390" s="0" t="s">
        <v>31345</v>
      </c>
      <c r="L9390" s="0" t="str">
        <f aca="false">HYPERLINK("https://www.ncbi.nlm.nih.gov/nuccore/CP000304.1?report=graph&amp;tracks=[key:gene_model_track,Options:GeneOnly]&amp;mk=2675539:2675558|offset_10|444444,2675512:2675531|offset_37|444444,2675484:2675503|offset_65|444444,2675392:2675411|offset_157|00cc00&amp;v=2675338:2675611&amp;c=444444", "offset 157")</f>
        <v>offset 157</v>
      </c>
    </row>
    <row r="9391" customFormat="false" ht="12.8" hidden="false" customHeight="false" outlineLevel="0" collapsed="false">
      <c r="A9391" s="0" t="s">
        <v>12</v>
      </c>
      <c r="B9391" s="0" t="n">
        <v>2676372</v>
      </c>
      <c r="C9391" s="0" t="n">
        <v>2676392</v>
      </c>
      <c r="D9391" s="0" t="s">
        <v>31346</v>
      </c>
      <c r="E9391" s="0" t="s">
        <v>89</v>
      </c>
      <c r="F9391" s="0" t="s">
        <v>90</v>
      </c>
      <c r="G9391" s="0" t="s">
        <v>36</v>
      </c>
      <c r="H9391" s="0" t="n">
        <v>0</v>
      </c>
      <c r="I9391" s="0" t="s">
        <v>31347</v>
      </c>
      <c r="J9391" s="0" t="s">
        <v>31348</v>
      </c>
      <c r="K9391" s="0" t="s">
        <v>31349</v>
      </c>
      <c r="L9391" s="0" t="str">
        <f aca="false">HYPERLINK("https://www.ncbi.nlm.nih.gov/nuccore/CP000304.1?report=graph&amp;tracks=[key:gene_model_track,Options:GeneOnly]&amp;mk=2676373:2676392|offset_0|00cc00,2676350:2676369|offset_23|444444,2676326:2676345|offset_47|444444,2676299:2676318|offset_74|444444&amp;v=2676172:2676518&amp;c=444444", "offset 0")</f>
        <v>offset 0</v>
      </c>
    </row>
    <row r="9392" customFormat="false" ht="12.8" hidden="false" customHeight="false" outlineLevel="0" collapsed="false">
      <c r="A9392" s="0" t="s">
        <v>12</v>
      </c>
      <c r="B9392" s="0" t="n">
        <v>2676349</v>
      </c>
      <c r="C9392" s="0" t="n">
        <v>2676369</v>
      </c>
      <c r="D9392" s="0" t="s">
        <v>31346</v>
      </c>
      <c r="E9392" s="0" t="s">
        <v>89</v>
      </c>
      <c r="F9392" s="0" t="s">
        <v>90</v>
      </c>
      <c r="G9392" s="0" t="s">
        <v>32</v>
      </c>
      <c r="H9392" s="0" t="n">
        <v>23</v>
      </c>
      <c r="I9392" s="0" t="s">
        <v>31350</v>
      </c>
      <c r="J9392" s="0" t="s">
        <v>31351</v>
      </c>
      <c r="K9392" s="0" t="s">
        <v>31352</v>
      </c>
      <c r="L9392" s="0" t="str">
        <f aca="false">HYPERLINK("https://www.ncbi.nlm.nih.gov/nuccore/CP000304.1?report=graph&amp;tracks=[key:gene_model_track,Options:GeneOnly]&amp;mk=2676373:2676392|offset_0|444444,2676350:2676369|offset_23|00cc00,2676326:2676345|offset_47|444444,2676299:2676318|offset_74|444444&amp;v=2676172:2676518&amp;c=444444", "offset 23")</f>
        <v>offset 23</v>
      </c>
    </row>
    <row r="9393" customFormat="false" ht="12.8" hidden="false" customHeight="false" outlineLevel="0" collapsed="false">
      <c r="A9393" s="0" t="s">
        <v>12</v>
      </c>
      <c r="B9393" s="0" t="n">
        <v>2676325</v>
      </c>
      <c r="C9393" s="0" t="n">
        <v>2676345</v>
      </c>
      <c r="D9393" s="0" t="s">
        <v>31346</v>
      </c>
      <c r="E9393" s="0" t="s">
        <v>89</v>
      </c>
      <c r="F9393" s="0" t="s">
        <v>90</v>
      </c>
      <c r="G9393" s="0" t="s">
        <v>26</v>
      </c>
      <c r="H9393" s="0" t="n">
        <v>47</v>
      </c>
      <c r="I9393" s="0" t="s">
        <v>31353</v>
      </c>
      <c r="J9393" s="0" t="s">
        <v>31354</v>
      </c>
      <c r="K9393" s="0" t="s">
        <v>31355</v>
      </c>
      <c r="L9393" s="0" t="str">
        <f aca="false">HYPERLINK("https://www.ncbi.nlm.nih.gov/nuccore/CP000304.1?report=graph&amp;tracks=[key:gene_model_track,Options:GeneOnly]&amp;mk=2676373:2676392|offset_0|444444,2676350:2676369|offset_23|444444,2676326:2676345|offset_47|00cc00,2676299:2676318|offset_74|444444&amp;v=2676172:2676518&amp;c=444444", "offset 47")</f>
        <v>offset 47</v>
      </c>
    </row>
    <row r="9394" customFormat="false" ht="12.8" hidden="false" customHeight="false" outlineLevel="0" collapsed="false">
      <c r="A9394" s="0" t="s">
        <v>12</v>
      </c>
      <c r="B9394" s="0" t="n">
        <v>2676298</v>
      </c>
      <c r="C9394" s="0" t="n">
        <v>2676318</v>
      </c>
      <c r="D9394" s="0" t="s">
        <v>31346</v>
      </c>
      <c r="E9394" s="0" t="s">
        <v>89</v>
      </c>
      <c r="F9394" s="0" t="s">
        <v>90</v>
      </c>
      <c r="G9394" s="0" t="s">
        <v>16</v>
      </c>
      <c r="H9394" s="0" t="n">
        <v>74</v>
      </c>
      <c r="I9394" s="0" t="s">
        <v>31356</v>
      </c>
      <c r="J9394" s="0" t="s">
        <v>31357</v>
      </c>
      <c r="K9394" s="0" t="s">
        <v>31358</v>
      </c>
      <c r="L9394" s="0" t="str">
        <f aca="false">HYPERLINK("https://www.ncbi.nlm.nih.gov/nuccore/CP000304.1?report=graph&amp;tracks=[key:gene_model_track,Options:GeneOnly]&amp;mk=2676373:2676392|offset_0|444444,2676350:2676369|offset_23|444444,2676326:2676345|offset_47|444444,2676299:2676318|offset_74|00cc00&amp;v=2676172:2676518&amp;c=444444", "offset 74")</f>
        <v>offset 74</v>
      </c>
    </row>
    <row r="9395" customFormat="false" ht="12.8" hidden="false" customHeight="false" outlineLevel="0" collapsed="false">
      <c r="A9395" s="0" t="s">
        <v>12</v>
      </c>
      <c r="B9395" s="0" t="n">
        <v>2677229</v>
      </c>
      <c r="C9395" s="0" t="n">
        <v>2677249</v>
      </c>
      <c r="D9395" s="0" t="s">
        <v>31359</v>
      </c>
      <c r="E9395" s="0" t="s">
        <v>89</v>
      </c>
      <c r="F9395" s="0" t="s">
        <v>90</v>
      </c>
      <c r="G9395" s="0" t="s">
        <v>32</v>
      </c>
      <c r="H9395" s="0" t="n">
        <v>23</v>
      </c>
      <c r="I9395" s="0" t="s">
        <v>31360</v>
      </c>
      <c r="J9395" s="0" t="s">
        <v>31361</v>
      </c>
      <c r="K9395" s="0" t="s">
        <v>31362</v>
      </c>
      <c r="L9395" s="0" t="str">
        <f aca="false">HYPERLINK("https://www.ncbi.nlm.nih.gov/nuccore/CP000304.1?report=graph&amp;tracks=[key:gene_model_track,Options:GeneOnly]&amp;mk=2677230:2677249|offset_23|00cc00,2677195:2677214|offset_58|444444,2677144:2677163|offset_109|444444,2677122:2677141|offset_131|444444&amp;v=2677029:2677341&amp;c=444444", "offset 23")</f>
        <v>offset 23</v>
      </c>
    </row>
    <row r="9396" customFormat="false" ht="12.8" hidden="false" customHeight="false" outlineLevel="0" collapsed="false">
      <c r="A9396" s="0" t="s">
        <v>12</v>
      </c>
      <c r="B9396" s="0" t="n">
        <v>2677194</v>
      </c>
      <c r="C9396" s="0" t="n">
        <v>2677214</v>
      </c>
      <c r="D9396" s="0" t="s">
        <v>31359</v>
      </c>
      <c r="E9396" s="0" t="s">
        <v>89</v>
      </c>
      <c r="F9396" s="0" t="s">
        <v>90</v>
      </c>
      <c r="G9396" s="0" t="s">
        <v>32</v>
      </c>
      <c r="H9396" s="0" t="n">
        <v>58</v>
      </c>
      <c r="I9396" s="0" t="s">
        <v>31363</v>
      </c>
      <c r="J9396" s="0" t="s">
        <v>31364</v>
      </c>
      <c r="K9396" s="0" t="s">
        <v>31365</v>
      </c>
      <c r="L9396" s="0" t="str">
        <f aca="false">HYPERLINK("https://www.ncbi.nlm.nih.gov/nuccore/CP000304.1?report=graph&amp;tracks=[key:gene_model_track,Options:GeneOnly]&amp;mk=2677230:2677249|offset_23|444444,2677195:2677214|offset_58|00cc00,2677144:2677163|offset_109|444444,2677122:2677141|offset_131|444444&amp;v=2677029:2677341&amp;c=444444", "offset 58")</f>
        <v>offset 58</v>
      </c>
    </row>
    <row r="9397" customFormat="false" ht="12.8" hidden="false" customHeight="false" outlineLevel="0" collapsed="false">
      <c r="A9397" s="0" t="s">
        <v>12</v>
      </c>
      <c r="B9397" s="0" t="n">
        <v>2677143</v>
      </c>
      <c r="C9397" s="0" t="n">
        <v>2677163</v>
      </c>
      <c r="D9397" s="0" t="s">
        <v>31359</v>
      </c>
      <c r="E9397" s="0" t="s">
        <v>89</v>
      </c>
      <c r="F9397" s="0" t="s">
        <v>90</v>
      </c>
      <c r="G9397" s="0" t="s">
        <v>16</v>
      </c>
      <c r="H9397" s="0" t="n">
        <v>109</v>
      </c>
      <c r="I9397" s="0" t="s">
        <v>31366</v>
      </c>
      <c r="J9397" s="0" t="s">
        <v>31367</v>
      </c>
      <c r="K9397" s="0" t="s">
        <v>31368</v>
      </c>
      <c r="L9397" s="0" t="str">
        <f aca="false">HYPERLINK("https://www.ncbi.nlm.nih.gov/nuccore/CP000304.1?report=graph&amp;tracks=[key:gene_model_track,Options:GeneOnly]&amp;mk=2677230:2677249|offset_23|444444,2677195:2677214|offset_58|444444,2677144:2677163|offset_109|00cc00,2677122:2677141|offset_131|444444&amp;v=2677029:2677341&amp;c=444444", "offset 109")</f>
        <v>offset 109</v>
      </c>
    </row>
    <row r="9398" customFormat="false" ht="12.8" hidden="false" customHeight="false" outlineLevel="0" collapsed="false">
      <c r="A9398" s="0" t="s">
        <v>12</v>
      </c>
      <c r="B9398" s="0" t="n">
        <v>2677121</v>
      </c>
      <c r="C9398" s="0" t="n">
        <v>2677141</v>
      </c>
      <c r="D9398" s="0" t="s">
        <v>31359</v>
      </c>
      <c r="E9398" s="0" t="s">
        <v>89</v>
      </c>
      <c r="F9398" s="0" t="s">
        <v>90</v>
      </c>
      <c r="G9398" s="0" t="s">
        <v>26</v>
      </c>
      <c r="H9398" s="0" t="n">
        <v>131</v>
      </c>
      <c r="I9398" s="0" t="s">
        <v>31369</v>
      </c>
      <c r="J9398" s="0" t="s">
        <v>31370</v>
      </c>
      <c r="K9398" s="0" t="s">
        <v>31371</v>
      </c>
      <c r="L9398" s="0" t="str">
        <f aca="false">HYPERLINK("https://www.ncbi.nlm.nih.gov/nuccore/CP000304.1?report=graph&amp;tracks=[key:gene_model_track,Options:GeneOnly]&amp;mk=2677230:2677249|offset_23|444444,2677195:2677214|offset_58|444444,2677144:2677163|offset_109|444444,2677122:2677141|offset_131|00cc00&amp;v=2677029:2677341&amp;c=444444", "offset 131")</f>
        <v>offset 131</v>
      </c>
    </row>
    <row r="9399" customFormat="false" ht="12.8" hidden="false" customHeight="false" outlineLevel="0" collapsed="false">
      <c r="A9399" s="0" t="s">
        <v>12</v>
      </c>
      <c r="B9399" s="0" t="n">
        <v>2677616</v>
      </c>
      <c r="C9399" s="0" t="n">
        <v>2677636</v>
      </c>
      <c r="D9399" s="0" t="s">
        <v>31372</v>
      </c>
      <c r="E9399" s="0" t="s">
        <v>89</v>
      </c>
      <c r="F9399" s="0" t="s">
        <v>15</v>
      </c>
      <c r="G9399" s="0" t="s">
        <v>32</v>
      </c>
      <c r="H9399" s="0" t="n">
        <v>1</v>
      </c>
      <c r="I9399" s="0" t="s">
        <v>31373</v>
      </c>
      <c r="J9399" s="0" t="s">
        <v>31374</v>
      </c>
      <c r="K9399" s="0" t="s">
        <v>31375</v>
      </c>
      <c r="L9399" s="0" t="str">
        <f aca="false">HYPERLINK("https://www.ncbi.nlm.nih.gov/nuccore/CP000304.1?report=graph&amp;tracks=[key:gene_model_track,Options:GeneOnly]&amp;mk=2677617:2677636|offset_1|00cc00,2677638:2677657|offset_22|444444,2677666:2677685|offset_50|444444,2677686:2677705|offset_70|444444&amp;v=2677416:2677905&amp;c=444444", "offset 1")</f>
        <v>offset 1</v>
      </c>
    </row>
    <row r="9400" customFormat="false" ht="12.8" hidden="false" customHeight="false" outlineLevel="0" collapsed="false">
      <c r="A9400" s="0" t="s">
        <v>12</v>
      </c>
      <c r="B9400" s="0" t="n">
        <v>2677637</v>
      </c>
      <c r="C9400" s="0" t="n">
        <v>2677657</v>
      </c>
      <c r="D9400" s="0" t="s">
        <v>31372</v>
      </c>
      <c r="E9400" s="0" t="s">
        <v>89</v>
      </c>
      <c r="F9400" s="0" t="s">
        <v>15</v>
      </c>
      <c r="G9400" s="0" t="s">
        <v>32</v>
      </c>
      <c r="H9400" s="0" t="n">
        <v>22</v>
      </c>
      <c r="I9400" s="0" t="s">
        <v>31376</v>
      </c>
      <c r="J9400" s="0" t="s">
        <v>31377</v>
      </c>
      <c r="K9400" s="0" t="s">
        <v>31378</v>
      </c>
      <c r="L9400" s="0" t="str">
        <f aca="false">HYPERLINK("https://www.ncbi.nlm.nih.gov/nuccore/CP000304.1?report=graph&amp;tracks=[key:gene_model_track,Options:GeneOnly]&amp;mk=2677617:2677636|offset_1|444444,2677638:2677657|offset_22|00cc00,2677666:2677685|offset_50|444444,2677686:2677705|offset_70|444444&amp;v=2677416:2677905&amp;c=444444", "offset 22")</f>
        <v>offset 22</v>
      </c>
    </row>
    <row r="9401" customFormat="false" ht="12.8" hidden="false" customHeight="false" outlineLevel="0" collapsed="false">
      <c r="A9401" s="0" t="s">
        <v>12</v>
      </c>
      <c r="B9401" s="0" t="n">
        <v>2677665</v>
      </c>
      <c r="C9401" s="0" t="n">
        <v>2677685</v>
      </c>
      <c r="D9401" s="0" t="s">
        <v>31372</v>
      </c>
      <c r="E9401" s="0" t="s">
        <v>89</v>
      </c>
      <c r="F9401" s="0" t="s">
        <v>15</v>
      </c>
      <c r="G9401" s="0" t="s">
        <v>16</v>
      </c>
      <c r="H9401" s="0" t="n">
        <v>50</v>
      </c>
      <c r="I9401" s="0" t="s">
        <v>31379</v>
      </c>
      <c r="J9401" s="0" t="s">
        <v>31380</v>
      </c>
      <c r="K9401" s="0" t="s">
        <v>31381</v>
      </c>
      <c r="L9401" s="0" t="str">
        <f aca="false">HYPERLINK("https://www.ncbi.nlm.nih.gov/nuccore/CP000304.1?report=graph&amp;tracks=[key:gene_model_track,Options:GeneOnly]&amp;mk=2677617:2677636|offset_1|444444,2677638:2677657|offset_22|444444,2677666:2677685|offset_50|00cc00,2677686:2677705|offset_70|444444&amp;v=2677416:2677905&amp;c=444444", "offset 50")</f>
        <v>offset 50</v>
      </c>
    </row>
    <row r="9402" customFormat="false" ht="12.8" hidden="false" customHeight="false" outlineLevel="0" collapsed="false">
      <c r="A9402" s="0" t="s">
        <v>12</v>
      </c>
      <c r="B9402" s="0" t="n">
        <v>2677685</v>
      </c>
      <c r="C9402" s="0" t="n">
        <v>2677705</v>
      </c>
      <c r="D9402" s="0" t="s">
        <v>31372</v>
      </c>
      <c r="E9402" s="0" t="s">
        <v>89</v>
      </c>
      <c r="F9402" s="0" t="s">
        <v>15</v>
      </c>
      <c r="G9402" s="0" t="s">
        <v>36</v>
      </c>
      <c r="H9402" s="0" t="n">
        <v>70</v>
      </c>
      <c r="I9402" s="0" t="s">
        <v>31382</v>
      </c>
      <c r="J9402" s="0" t="s">
        <v>31383</v>
      </c>
      <c r="K9402" s="0" t="s">
        <v>31384</v>
      </c>
      <c r="L9402" s="0" t="str">
        <f aca="false">HYPERLINK("https://www.ncbi.nlm.nih.gov/nuccore/CP000304.1?report=graph&amp;tracks=[key:gene_model_track,Options:GeneOnly]&amp;mk=2677617:2677636|offset_1|444444,2677638:2677657|offset_22|444444,2677666:2677685|offset_50|444444,2677686:2677705|offset_70|00cc00&amp;v=2677416:2677905&amp;c=444444", "offset 70")</f>
        <v>offset 70</v>
      </c>
    </row>
    <row r="9403" customFormat="false" ht="12.8" hidden="false" customHeight="false" outlineLevel="0" collapsed="false">
      <c r="A9403" s="0" t="s">
        <v>12</v>
      </c>
      <c r="B9403" s="0" t="n">
        <v>2677988</v>
      </c>
      <c r="C9403" s="0" t="n">
        <v>2678008</v>
      </c>
      <c r="D9403" s="0" t="s">
        <v>31385</v>
      </c>
      <c r="E9403" s="0" t="s">
        <v>89</v>
      </c>
      <c r="F9403" s="0" t="s">
        <v>15</v>
      </c>
      <c r="G9403" s="0" t="s">
        <v>16</v>
      </c>
      <c r="H9403" s="0" t="n">
        <v>0</v>
      </c>
      <c r="I9403" s="0" t="s">
        <v>31386</v>
      </c>
      <c r="J9403" s="0" t="s">
        <v>31387</v>
      </c>
      <c r="K9403" s="0" t="s">
        <v>31388</v>
      </c>
      <c r="L9403" s="0" t="str">
        <f aca="false">HYPERLINK("https://www.ncbi.nlm.nih.gov/nuccore/CP000304.1?report=graph&amp;tracks=[key:gene_model_track,Options:GeneOnly]&amp;mk=2677989:2678008|offset_0|00cc00,2678012:2678031|offset_23|444444,2678038:2678057|offset_49|444444,2678073:2678092|offset_84|444444&amp;v=2677788:2678292&amp;c=444444", "offset 0")</f>
        <v>offset 0</v>
      </c>
    </row>
    <row r="9404" customFormat="false" ht="12.8" hidden="false" customHeight="false" outlineLevel="0" collapsed="false">
      <c r="A9404" s="0" t="s">
        <v>12</v>
      </c>
      <c r="B9404" s="0" t="n">
        <v>2678011</v>
      </c>
      <c r="C9404" s="0" t="n">
        <v>2678031</v>
      </c>
      <c r="D9404" s="0" t="s">
        <v>31385</v>
      </c>
      <c r="E9404" s="0" t="s">
        <v>89</v>
      </c>
      <c r="F9404" s="0" t="s">
        <v>15</v>
      </c>
      <c r="G9404" s="0" t="s">
        <v>26</v>
      </c>
      <c r="H9404" s="0" t="n">
        <v>23</v>
      </c>
      <c r="I9404" s="0" t="s">
        <v>31389</v>
      </c>
      <c r="J9404" s="0" t="s">
        <v>31390</v>
      </c>
      <c r="K9404" s="0" t="s">
        <v>31391</v>
      </c>
      <c r="L9404" s="0" t="str">
        <f aca="false">HYPERLINK("https://www.ncbi.nlm.nih.gov/nuccore/CP000304.1?report=graph&amp;tracks=[key:gene_model_track,Options:GeneOnly]&amp;mk=2677989:2678008|offset_0|444444,2678012:2678031|offset_23|00cc00,2678038:2678057|offset_49|444444,2678073:2678092|offset_84|444444&amp;v=2677788:2678292&amp;c=444444", "offset 23")</f>
        <v>offset 23</v>
      </c>
    </row>
    <row r="9405" customFormat="false" ht="12.8" hidden="false" customHeight="false" outlineLevel="0" collapsed="false">
      <c r="A9405" s="0" t="s">
        <v>12</v>
      </c>
      <c r="B9405" s="0" t="n">
        <v>2678037</v>
      </c>
      <c r="C9405" s="0" t="n">
        <v>2678057</v>
      </c>
      <c r="D9405" s="0" t="s">
        <v>31385</v>
      </c>
      <c r="E9405" s="0" t="s">
        <v>89</v>
      </c>
      <c r="F9405" s="0" t="s">
        <v>15</v>
      </c>
      <c r="G9405" s="0" t="s">
        <v>36</v>
      </c>
      <c r="H9405" s="0" t="n">
        <v>49</v>
      </c>
      <c r="I9405" s="0" t="s">
        <v>31392</v>
      </c>
      <c r="J9405" s="0" t="s">
        <v>31393</v>
      </c>
      <c r="K9405" s="0" t="s">
        <v>31394</v>
      </c>
      <c r="L9405" s="0" t="str">
        <f aca="false">HYPERLINK("https://www.ncbi.nlm.nih.gov/nuccore/CP000304.1?report=graph&amp;tracks=[key:gene_model_track,Options:GeneOnly]&amp;mk=2677989:2678008|offset_0|444444,2678012:2678031|offset_23|444444,2678038:2678057|offset_49|00cc00,2678073:2678092|offset_84|444444&amp;v=2677788:2678292&amp;c=444444", "offset 49")</f>
        <v>offset 49</v>
      </c>
    </row>
    <row r="9406" customFormat="false" ht="12.8" hidden="false" customHeight="false" outlineLevel="0" collapsed="false">
      <c r="A9406" s="0" t="s">
        <v>12</v>
      </c>
      <c r="B9406" s="0" t="n">
        <v>2678072</v>
      </c>
      <c r="C9406" s="0" t="n">
        <v>2678092</v>
      </c>
      <c r="D9406" s="0" t="s">
        <v>31385</v>
      </c>
      <c r="E9406" s="0" t="s">
        <v>89</v>
      </c>
      <c r="F9406" s="0" t="s">
        <v>15</v>
      </c>
      <c r="G9406" s="0" t="s">
        <v>16</v>
      </c>
      <c r="H9406" s="0" t="n">
        <v>84</v>
      </c>
      <c r="I9406" s="0" t="s">
        <v>31395</v>
      </c>
      <c r="J9406" s="0" t="s">
        <v>31396</v>
      </c>
      <c r="K9406" s="0" t="s">
        <v>31397</v>
      </c>
      <c r="L9406" s="0" t="str">
        <f aca="false">HYPERLINK("https://www.ncbi.nlm.nih.gov/nuccore/CP000304.1?report=graph&amp;tracks=[key:gene_model_track,Options:GeneOnly]&amp;mk=2677989:2678008|offset_0|444444,2678012:2678031|offset_23|444444,2678038:2678057|offset_49|444444,2678073:2678092|offset_84|00cc00&amp;v=2677788:2678292&amp;c=444444", "offset 84")</f>
        <v>offset 84</v>
      </c>
    </row>
    <row r="9407" customFormat="false" ht="12.8" hidden="false" customHeight="false" outlineLevel="0" collapsed="false">
      <c r="A9407" s="0" t="s">
        <v>12</v>
      </c>
      <c r="B9407" s="0" t="n">
        <v>2678464</v>
      </c>
      <c r="C9407" s="0" t="n">
        <v>2678484</v>
      </c>
      <c r="D9407" s="0" t="s">
        <v>31398</v>
      </c>
      <c r="E9407" s="0" t="s">
        <v>89</v>
      </c>
      <c r="F9407" s="0" t="s">
        <v>15</v>
      </c>
      <c r="G9407" s="0" t="s">
        <v>36</v>
      </c>
      <c r="H9407" s="0" t="n">
        <v>85</v>
      </c>
      <c r="I9407" s="0" t="s">
        <v>31399</v>
      </c>
      <c r="J9407" s="0" t="s">
        <v>31400</v>
      </c>
      <c r="K9407" s="0" t="s">
        <v>31401</v>
      </c>
      <c r="L9407" s="0" t="str">
        <f aca="false">HYPERLINK("https://www.ncbi.nlm.nih.gov/nuccore/CP000304.1?report=graph&amp;tracks=[key:gene_model_track,Options:GeneOnly]&amp;mk=2678465:2678484|offset_85|00cc00,2678518:2678537|offset_138|444444,2678562:2678581|offset_182|444444,2678596:2678615|offset_216|444444&amp;v=2678264:2678815&amp;c=444444", "offset 85")</f>
        <v>offset 85</v>
      </c>
    </row>
    <row r="9408" customFormat="false" ht="12.8" hidden="false" customHeight="false" outlineLevel="0" collapsed="false">
      <c r="A9408" s="0" t="s">
        <v>12</v>
      </c>
      <c r="B9408" s="0" t="n">
        <v>2678517</v>
      </c>
      <c r="C9408" s="0" t="n">
        <v>2678537</v>
      </c>
      <c r="D9408" s="0" t="s">
        <v>31398</v>
      </c>
      <c r="E9408" s="0" t="s">
        <v>89</v>
      </c>
      <c r="F9408" s="0" t="s">
        <v>15</v>
      </c>
      <c r="G9408" s="0" t="s">
        <v>36</v>
      </c>
      <c r="H9408" s="0" t="n">
        <v>138</v>
      </c>
      <c r="I9408" s="0" t="s">
        <v>31402</v>
      </c>
      <c r="J9408" s="0" t="s">
        <v>31403</v>
      </c>
      <c r="K9408" s="0" t="s">
        <v>31404</v>
      </c>
      <c r="L9408" s="0" t="str">
        <f aca="false">HYPERLINK("https://www.ncbi.nlm.nih.gov/nuccore/CP000304.1?report=graph&amp;tracks=[key:gene_model_track,Options:GeneOnly]&amp;mk=2678465:2678484|offset_85|444444,2678518:2678537|offset_138|00cc00,2678562:2678581|offset_182|444444,2678596:2678615|offset_216|444444&amp;v=2678264:2678815&amp;c=444444", "offset 138")</f>
        <v>offset 138</v>
      </c>
    </row>
    <row r="9409" customFormat="false" ht="12.8" hidden="false" customHeight="false" outlineLevel="0" collapsed="false">
      <c r="A9409" s="0" t="s">
        <v>12</v>
      </c>
      <c r="B9409" s="0" t="n">
        <v>2678561</v>
      </c>
      <c r="C9409" s="0" t="n">
        <v>2678581</v>
      </c>
      <c r="D9409" s="0" t="s">
        <v>31398</v>
      </c>
      <c r="E9409" s="0" t="s">
        <v>89</v>
      </c>
      <c r="F9409" s="0" t="s">
        <v>15</v>
      </c>
      <c r="G9409" s="0" t="s">
        <v>26</v>
      </c>
      <c r="H9409" s="0" t="n">
        <v>182</v>
      </c>
      <c r="I9409" s="0" t="s">
        <v>31405</v>
      </c>
      <c r="J9409" s="0" t="s">
        <v>31406</v>
      </c>
      <c r="K9409" s="0" t="s">
        <v>31407</v>
      </c>
      <c r="L9409" s="0" t="str">
        <f aca="false">HYPERLINK("https://www.ncbi.nlm.nih.gov/nuccore/CP000304.1?report=graph&amp;tracks=[key:gene_model_track,Options:GeneOnly]&amp;mk=2678465:2678484|offset_85|444444,2678518:2678537|offset_138|444444,2678562:2678581|offset_182|00cc00,2678596:2678615|offset_216|444444&amp;v=2678264:2678815&amp;c=444444", "offset 182")</f>
        <v>offset 182</v>
      </c>
    </row>
    <row r="9410" customFormat="false" ht="12.8" hidden="false" customHeight="false" outlineLevel="0" collapsed="false">
      <c r="A9410" s="0" t="s">
        <v>12</v>
      </c>
      <c r="B9410" s="0" t="n">
        <v>2678595</v>
      </c>
      <c r="C9410" s="0" t="n">
        <v>2678615</v>
      </c>
      <c r="D9410" s="0" t="s">
        <v>31398</v>
      </c>
      <c r="E9410" s="0" t="s">
        <v>89</v>
      </c>
      <c r="F9410" s="0" t="s">
        <v>15</v>
      </c>
      <c r="G9410" s="0" t="s">
        <v>16</v>
      </c>
      <c r="H9410" s="0" t="n">
        <v>216</v>
      </c>
      <c r="I9410" s="0" t="s">
        <v>31408</v>
      </c>
      <c r="J9410" s="0" t="s">
        <v>31409</v>
      </c>
      <c r="K9410" s="0" t="s">
        <v>31410</v>
      </c>
      <c r="L9410" s="0" t="str">
        <f aca="false">HYPERLINK("https://www.ncbi.nlm.nih.gov/nuccore/CP000304.1?report=graph&amp;tracks=[key:gene_model_track,Options:GeneOnly]&amp;mk=2678465:2678484|offset_85|444444,2678518:2678537|offset_138|444444,2678562:2678581|offset_182|444444,2678596:2678615|offset_216|00cc00&amp;v=2678264:2678815&amp;c=444444", "offset 216")</f>
        <v>offset 216</v>
      </c>
    </row>
    <row r="9411" customFormat="false" ht="12.8" hidden="false" customHeight="false" outlineLevel="0" collapsed="false">
      <c r="A9411" s="0" t="s">
        <v>12</v>
      </c>
      <c r="B9411" s="0" t="n">
        <v>2679236</v>
      </c>
      <c r="C9411" s="0" t="n">
        <v>2679256</v>
      </c>
      <c r="D9411" s="0" t="s">
        <v>31411</v>
      </c>
      <c r="E9411" s="0" t="s">
        <v>89</v>
      </c>
      <c r="F9411" s="0" t="s">
        <v>15</v>
      </c>
      <c r="G9411" s="0" t="s">
        <v>36</v>
      </c>
      <c r="H9411" s="0" t="n">
        <v>22</v>
      </c>
      <c r="I9411" s="0" t="s">
        <v>31412</v>
      </c>
      <c r="J9411" s="0" t="s">
        <v>31413</v>
      </c>
      <c r="K9411" s="0" t="s">
        <v>31414</v>
      </c>
      <c r="L9411" s="0" t="str">
        <f aca="false">HYPERLINK("https://www.ncbi.nlm.nih.gov/nuccore/CP000304.1?report=graph&amp;tracks=[key:gene_model_track,Options:GeneOnly]&amp;mk=2679237:2679256|offset_22|00cc00,2679260:2679279|offset_45|444444,2679281:2679300|offset_66|444444,2679301:2679320|offset_86|444444&amp;v=2679036:2679520&amp;c=444444", "offset 22")</f>
        <v>offset 22</v>
      </c>
    </row>
    <row r="9412" customFormat="false" ht="12.8" hidden="false" customHeight="false" outlineLevel="0" collapsed="false">
      <c r="A9412" s="0" t="s">
        <v>12</v>
      </c>
      <c r="B9412" s="0" t="n">
        <v>2679259</v>
      </c>
      <c r="C9412" s="0" t="n">
        <v>2679279</v>
      </c>
      <c r="D9412" s="0" t="s">
        <v>31411</v>
      </c>
      <c r="E9412" s="0" t="s">
        <v>89</v>
      </c>
      <c r="F9412" s="0" t="s">
        <v>15</v>
      </c>
      <c r="G9412" s="0" t="s">
        <v>16</v>
      </c>
      <c r="H9412" s="0" t="n">
        <v>45</v>
      </c>
      <c r="I9412" s="0" t="s">
        <v>31415</v>
      </c>
      <c r="J9412" s="0" t="s">
        <v>31416</v>
      </c>
      <c r="K9412" s="0" t="s">
        <v>31417</v>
      </c>
      <c r="L9412" s="0" t="str">
        <f aca="false">HYPERLINK("https://www.ncbi.nlm.nih.gov/nuccore/CP000304.1?report=graph&amp;tracks=[key:gene_model_track,Options:GeneOnly]&amp;mk=2679237:2679256|offset_22|444444,2679260:2679279|offset_45|00cc00,2679281:2679300|offset_66|444444,2679301:2679320|offset_86|444444&amp;v=2679036:2679520&amp;c=444444", "offset 45")</f>
        <v>offset 45</v>
      </c>
    </row>
    <row r="9413" customFormat="false" ht="12.8" hidden="false" customHeight="false" outlineLevel="0" collapsed="false">
      <c r="A9413" s="0" t="s">
        <v>12</v>
      </c>
      <c r="B9413" s="0" t="n">
        <v>2679280</v>
      </c>
      <c r="C9413" s="0" t="n">
        <v>2679300</v>
      </c>
      <c r="D9413" s="0" t="s">
        <v>31411</v>
      </c>
      <c r="E9413" s="0" t="s">
        <v>89</v>
      </c>
      <c r="F9413" s="0" t="s">
        <v>15</v>
      </c>
      <c r="G9413" s="0" t="s">
        <v>36</v>
      </c>
      <c r="H9413" s="0" t="n">
        <v>66</v>
      </c>
      <c r="I9413" s="0" t="s">
        <v>31418</v>
      </c>
      <c r="J9413" s="0" t="s">
        <v>31419</v>
      </c>
      <c r="K9413" s="0" t="s">
        <v>31420</v>
      </c>
      <c r="L9413" s="0" t="str">
        <f aca="false">HYPERLINK("https://www.ncbi.nlm.nih.gov/nuccore/CP000304.1?report=graph&amp;tracks=[key:gene_model_track,Options:GeneOnly]&amp;mk=2679237:2679256|offset_22|444444,2679260:2679279|offset_45|444444,2679281:2679300|offset_66|00cc00,2679301:2679320|offset_86|444444&amp;v=2679036:2679520&amp;c=444444", "offset 66")</f>
        <v>offset 66</v>
      </c>
    </row>
    <row r="9414" customFormat="false" ht="12.8" hidden="false" customHeight="false" outlineLevel="0" collapsed="false">
      <c r="A9414" s="0" t="s">
        <v>12</v>
      </c>
      <c r="B9414" s="0" t="n">
        <v>2679300</v>
      </c>
      <c r="C9414" s="0" t="n">
        <v>2679320</v>
      </c>
      <c r="D9414" s="0" t="s">
        <v>31411</v>
      </c>
      <c r="E9414" s="0" t="s">
        <v>89</v>
      </c>
      <c r="F9414" s="0" t="s">
        <v>15</v>
      </c>
      <c r="G9414" s="0" t="s">
        <v>36</v>
      </c>
      <c r="H9414" s="0" t="n">
        <v>86</v>
      </c>
      <c r="I9414" s="0" t="s">
        <v>31421</v>
      </c>
      <c r="J9414" s="0" t="s">
        <v>31422</v>
      </c>
      <c r="K9414" s="0" t="s">
        <v>31423</v>
      </c>
      <c r="L9414" s="0" t="str">
        <f aca="false">HYPERLINK("https://www.ncbi.nlm.nih.gov/nuccore/CP000304.1?report=graph&amp;tracks=[key:gene_model_track,Options:GeneOnly]&amp;mk=2679237:2679256|offset_22|444444,2679260:2679279|offset_45|444444,2679281:2679300|offset_66|444444,2679301:2679320|offset_86|00cc00&amp;v=2679036:2679520&amp;c=444444", "offset 86")</f>
        <v>offset 86</v>
      </c>
    </row>
    <row r="9415" customFormat="false" ht="12.8" hidden="false" customHeight="false" outlineLevel="0" collapsed="false">
      <c r="A9415" s="0" t="s">
        <v>12</v>
      </c>
      <c r="B9415" s="0" t="n">
        <v>2679718</v>
      </c>
      <c r="C9415" s="0" t="n">
        <v>2679738</v>
      </c>
      <c r="D9415" s="0" t="s">
        <v>31424</v>
      </c>
      <c r="E9415" s="0" t="s">
        <v>89</v>
      </c>
      <c r="F9415" s="0" t="s">
        <v>15</v>
      </c>
      <c r="G9415" s="0" t="s">
        <v>16</v>
      </c>
      <c r="H9415" s="0" t="n">
        <v>0</v>
      </c>
      <c r="I9415" s="0" t="s">
        <v>31425</v>
      </c>
      <c r="J9415" s="0" t="s">
        <v>31426</v>
      </c>
      <c r="K9415" s="0" t="s">
        <v>31427</v>
      </c>
      <c r="L9415" s="0" t="str">
        <f aca="false">HYPERLINK("https://www.ncbi.nlm.nih.gov/nuccore/CP000304.1?report=graph&amp;tracks=[key:gene_model_track,Options:GeneOnly]&amp;mk=2679719:2679738|offset_0|00cc00,2679753:2679772|offset_34|444444,2679802:2679821|offset_83|444444,2679822:2679841|offset_103|444444&amp;v=2679518:2680041&amp;c=444444", "offset 0")</f>
        <v>offset 0</v>
      </c>
    </row>
    <row r="9416" customFormat="false" ht="12.8" hidden="false" customHeight="false" outlineLevel="0" collapsed="false">
      <c r="A9416" s="0" t="s">
        <v>12</v>
      </c>
      <c r="B9416" s="0" t="n">
        <v>2679752</v>
      </c>
      <c r="C9416" s="0" t="n">
        <v>2679772</v>
      </c>
      <c r="D9416" s="0" t="s">
        <v>31424</v>
      </c>
      <c r="E9416" s="0" t="s">
        <v>89</v>
      </c>
      <c r="F9416" s="0" t="s">
        <v>15</v>
      </c>
      <c r="G9416" s="0" t="s">
        <v>26</v>
      </c>
      <c r="H9416" s="0" t="n">
        <v>34</v>
      </c>
      <c r="I9416" s="0" t="s">
        <v>31428</v>
      </c>
      <c r="J9416" s="0" t="s">
        <v>31429</v>
      </c>
      <c r="K9416" s="0" t="s">
        <v>31430</v>
      </c>
      <c r="L9416" s="0" t="str">
        <f aca="false">HYPERLINK("https://www.ncbi.nlm.nih.gov/nuccore/CP000304.1?report=graph&amp;tracks=[key:gene_model_track,Options:GeneOnly]&amp;mk=2679719:2679738|offset_0|444444,2679753:2679772|offset_34|00cc00,2679802:2679821|offset_83|444444,2679822:2679841|offset_103|444444&amp;v=2679518:2680041&amp;c=444444", "offset 34")</f>
        <v>offset 34</v>
      </c>
    </row>
    <row r="9417" customFormat="false" ht="12.8" hidden="false" customHeight="false" outlineLevel="0" collapsed="false">
      <c r="A9417" s="0" t="s">
        <v>12</v>
      </c>
      <c r="B9417" s="0" t="n">
        <v>2679801</v>
      </c>
      <c r="C9417" s="0" t="n">
        <v>2679821</v>
      </c>
      <c r="D9417" s="0" t="s">
        <v>31424</v>
      </c>
      <c r="E9417" s="0" t="s">
        <v>89</v>
      </c>
      <c r="F9417" s="0" t="s">
        <v>15</v>
      </c>
      <c r="G9417" s="0" t="s">
        <v>32</v>
      </c>
      <c r="H9417" s="0" t="n">
        <v>83</v>
      </c>
      <c r="I9417" s="0" t="s">
        <v>31431</v>
      </c>
      <c r="J9417" s="0" t="s">
        <v>31432</v>
      </c>
      <c r="K9417" s="0" t="s">
        <v>31433</v>
      </c>
      <c r="L9417" s="0" t="str">
        <f aca="false">HYPERLINK("https://www.ncbi.nlm.nih.gov/nuccore/CP000304.1?report=graph&amp;tracks=[key:gene_model_track,Options:GeneOnly]&amp;mk=2679719:2679738|offset_0|444444,2679753:2679772|offset_34|444444,2679802:2679821|offset_83|00cc00,2679822:2679841|offset_103|444444&amp;v=2679518:2680041&amp;c=444444", "offset 83")</f>
        <v>offset 83</v>
      </c>
    </row>
    <row r="9418" customFormat="false" ht="12.8" hidden="false" customHeight="false" outlineLevel="0" collapsed="false">
      <c r="A9418" s="0" t="s">
        <v>12</v>
      </c>
      <c r="B9418" s="0" t="n">
        <v>2679821</v>
      </c>
      <c r="C9418" s="0" t="n">
        <v>2679841</v>
      </c>
      <c r="D9418" s="0" t="s">
        <v>31424</v>
      </c>
      <c r="E9418" s="0" t="s">
        <v>89</v>
      </c>
      <c r="F9418" s="0" t="s">
        <v>15</v>
      </c>
      <c r="G9418" s="0" t="s">
        <v>26</v>
      </c>
      <c r="H9418" s="0" t="n">
        <v>103</v>
      </c>
      <c r="I9418" s="0" t="s">
        <v>31434</v>
      </c>
      <c r="J9418" s="0" t="s">
        <v>31435</v>
      </c>
      <c r="K9418" s="0" t="s">
        <v>31436</v>
      </c>
      <c r="L9418" s="0" t="str">
        <f aca="false">HYPERLINK("https://www.ncbi.nlm.nih.gov/nuccore/CP000304.1?report=graph&amp;tracks=[key:gene_model_track,Options:GeneOnly]&amp;mk=2679719:2679738|offset_0|444444,2679753:2679772|offset_34|444444,2679802:2679821|offset_83|444444,2679822:2679841|offset_103|00cc00&amp;v=2679518:2680041&amp;c=444444", "offset 103")</f>
        <v>offset 103</v>
      </c>
    </row>
    <row r="9419" customFormat="false" ht="12.8" hidden="false" customHeight="false" outlineLevel="0" collapsed="false">
      <c r="A9419" s="0" t="s">
        <v>12</v>
      </c>
      <c r="B9419" s="0" t="n">
        <v>2681567</v>
      </c>
      <c r="C9419" s="0" t="n">
        <v>2681587</v>
      </c>
      <c r="D9419" s="0" t="s">
        <v>31437</v>
      </c>
      <c r="E9419" s="0" t="s">
        <v>89</v>
      </c>
      <c r="F9419" s="0" t="s">
        <v>90</v>
      </c>
      <c r="G9419" s="0" t="s">
        <v>26</v>
      </c>
      <c r="H9419" s="0" t="n">
        <v>47</v>
      </c>
      <c r="I9419" s="0" t="s">
        <v>31438</v>
      </c>
      <c r="J9419" s="0" t="s">
        <v>31439</v>
      </c>
      <c r="K9419" s="0" t="s">
        <v>31440</v>
      </c>
      <c r="L9419" s="0" t="str">
        <f aca="false">HYPERLINK("https://www.ncbi.nlm.nih.gov/nuccore/CP000304.1?report=graph&amp;tracks=[key:gene_model_track,Options:GeneOnly]&amp;mk=2681568:2681587|offset_47|00cc00,2681545:2681564|offset_70|444444,2681523:2681542|offset_92|444444,2681484:2681503|offset_131|444444&amp;v=2681367:2681703&amp;c=444444", "offset 47")</f>
        <v>offset 47</v>
      </c>
    </row>
    <row r="9420" customFormat="false" ht="12.8" hidden="false" customHeight="false" outlineLevel="0" collapsed="false">
      <c r="A9420" s="0" t="s">
        <v>12</v>
      </c>
      <c r="B9420" s="0" t="n">
        <v>2681544</v>
      </c>
      <c r="C9420" s="0" t="n">
        <v>2681564</v>
      </c>
      <c r="D9420" s="0" t="s">
        <v>31437</v>
      </c>
      <c r="E9420" s="0" t="s">
        <v>89</v>
      </c>
      <c r="F9420" s="0" t="s">
        <v>90</v>
      </c>
      <c r="G9420" s="0" t="s">
        <v>16</v>
      </c>
      <c r="H9420" s="0" t="n">
        <v>70</v>
      </c>
      <c r="I9420" s="0" t="s">
        <v>31441</v>
      </c>
      <c r="J9420" s="0" t="s">
        <v>31442</v>
      </c>
      <c r="K9420" s="0" t="s">
        <v>31443</v>
      </c>
      <c r="L9420" s="0" t="str">
        <f aca="false">HYPERLINK("https://www.ncbi.nlm.nih.gov/nuccore/CP000304.1?report=graph&amp;tracks=[key:gene_model_track,Options:GeneOnly]&amp;mk=2681568:2681587|offset_47|444444,2681545:2681564|offset_70|00cc00,2681523:2681542|offset_92|444444,2681484:2681503|offset_131|444444&amp;v=2681367:2681703&amp;c=444444", "offset 70")</f>
        <v>offset 70</v>
      </c>
    </row>
    <row r="9421" customFormat="false" ht="12.8" hidden="false" customHeight="false" outlineLevel="0" collapsed="false">
      <c r="A9421" s="0" t="s">
        <v>12</v>
      </c>
      <c r="B9421" s="0" t="n">
        <v>2681522</v>
      </c>
      <c r="C9421" s="0" t="n">
        <v>2681542</v>
      </c>
      <c r="D9421" s="0" t="s">
        <v>31437</v>
      </c>
      <c r="E9421" s="0" t="s">
        <v>89</v>
      </c>
      <c r="F9421" s="0" t="s">
        <v>90</v>
      </c>
      <c r="G9421" s="0" t="s">
        <v>16</v>
      </c>
      <c r="H9421" s="0" t="n">
        <v>92</v>
      </c>
      <c r="I9421" s="0" t="s">
        <v>31444</v>
      </c>
      <c r="J9421" s="0" t="s">
        <v>31445</v>
      </c>
      <c r="K9421" s="0" t="s">
        <v>31446</v>
      </c>
      <c r="L9421" s="0" t="str">
        <f aca="false">HYPERLINK("https://www.ncbi.nlm.nih.gov/nuccore/CP000304.1?report=graph&amp;tracks=[key:gene_model_track,Options:GeneOnly]&amp;mk=2681568:2681587|offset_47|444444,2681545:2681564|offset_70|444444,2681523:2681542|offset_92|00cc00,2681484:2681503|offset_131|444444&amp;v=2681367:2681703&amp;c=444444", "offset 92")</f>
        <v>offset 92</v>
      </c>
    </row>
    <row r="9422" customFormat="false" ht="12.8" hidden="false" customHeight="false" outlineLevel="0" collapsed="false">
      <c r="A9422" s="0" t="s">
        <v>12</v>
      </c>
      <c r="B9422" s="0" t="n">
        <v>2681483</v>
      </c>
      <c r="C9422" s="0" t="n">
        <v>2681503</v>
      </c>
      <c r="D9422" s="0" t="s">
        <v>31437</v>
      </c>
      <c r="E9422" s="0" t="s">
        <v>89</v>
      </c>
      <c r="F9422" s="0" t="s">
        <v>90</v>
      </c>
      <c r="G9422" s="0" t="s">
        <v>36</v>
      </c>
      <c r="H9422" s="0" t="n">
        <v>131</v>
      </c>
      <c r="I9422" s="0" t="s">
        <v>31447</v>
      </c>
      <c r="J9422" s="0" t="s">
        <v>31448</v>
      </c>
      <c r="K9422" s="0" t="s">
        <v>31449</v>
      </c>
      <c r="L9422" s="0" t="str">
        <f aca="false">HYPERLINK("https://www.ncbi.nlm.nih.gov/nuccore/CP000304.1?report=graph&amp;tracks=[key:gene_model_track,Options:GeneOnly]&amp;mk=2681568:2681587|offset_47|444444,2681545:2681564|offset_70|444444,2681523:2681542|offset_92|444444,2681484:2681503|offset_131|00cc00&amp;v=2681367:2681703&amp;c=444444", "offset 131")</f>
        <v>offset 131</v>
      </c>
    </row>
    <row r="9423" customFormat="false" ht="12.8" hidden="false" customHeight="false" outlineLevel="0" collapsed="false">
      <c r="A9423" s="0" t="s">
        <v>12</v>
      </c>
      <c r="B9423" s="0" t="n">
        <v>2682076</v>
      </c>
      <c r="C9423" s="0" t="n">
        <v>2682096</v>
      </c>
      <c r="D9423" s="0" t="s">
        <v>31450</v>
      </c>
      <c r="E9423" s="0" t="s">
        <v>89</v>
      </c>
      <c r="F9423" s="0" t="s">
        <v>90</v>
      </c>
      <c r="G9423" s="0" t="s">
        <v>32</v>
      </c>
      <c r="H9423" s="0" t="n">
        <v>1</v>
      </c>
      <c r="I9423" s="0" t="s">
        <v>31451</v>
      </c>
      <c r="J9423" s="0" t="s">
        <v>31452</v>
      </c>
      <c r="K9423" s="0" t="s">
        <v>31453</v>
      </c>
      <c r="L9423" s="0" t="str">
        <f aca="false">HYPERLINK("https://www.ncbi.nlm.nih.gov/nuccore/CP000304.1?report=graph&amp;tracks=[key:gene_model_track,Options:GeneOnly]&amp;mk=2682077:2682096|offset_1|00cc00,2682055:2682074|offset_23|444444,2682017:2682036|offset_61|444444,2681976:2681995|offset_102|444444&amp;v=2681876:2682195&amp;c=444444", "offset 1")</f>
        <v>offset 1</v>
      </c>
    </row>
    <row r="9424" customFormat="false" ht="12.8" hidden="false" customHeight="false" outlineLevel="0" collapsed="false">
      <c r="A9424" s="0" t="s">
        <v>12</v>
      </c>
      <c r="B9424" s="0" t="n">
        <v>2682054</v>
      </c>
      <c r="C9424" s="0" t="n">
        <v>2682074</v>
      </c>
      <c r="D9424" s="0" t="s">
        <v>31450</v>
      </c>
      <c r="E9424" s="0" t="s">
        <v>89</v>
      </c>
      <c r="F9424" s="0" t="s">
        <v>90</v>
      </c>
      <c r="G9424" s="0" t="s">
        <v>26</v>
      </c>
      <c r="H9424" s="0" t="n">
        <v>23</v>
      </c>
      <c r="I9424" s="0" t="s">
        <v>31454</v>
      </c>
      <c r="J9424" s="0" t="s">
        <v>31455</v>
      </c>
      <c r="K9424" s="0" t="s">
        <v>31456</v>
      </c>
      <c r="L9424" s="0" t="str">
        <f aca="false">HYPERLINK("https://www.ncbi.nlm.nih.gov/nuccore/CP000304.1?report=graph&amp;tracks=[key:gene_model_track,Options:GeneOnly]&amp;mk=2682077:2682096|offset_1|444444,2682055:2682074|offset_23|00cc00,2682017:2682036|offset_61|444444,2681976:2681995|offset_102|444444&amp;v=2681876:2682195&amp;c=444444", "offset 23")</f>
        <v>offset 23</v>
      </c>
    </row>
    <row r="9425" customFormat="false" ht="12.8" hidden="false" customHeight="false" outlineLevel="0" collapsed="false">
      <c r="A9425" s="0" t="s">
        <v>12</v>
      </c>
      <c r="B9425" s="0" t="n">
        <v>2682016</v>
      </c>
      <c r="C9425" s="0" t="n">
        <v>2682036</v>
      </c>
      <c r="D9425" s="0" t="s">
        <v>31450</v>
      </c>
      <c r="E9425" s="0" t="s">
        <v>89</v>
      </c>
      <c r="F9425" s="0" t="s">
        <v>90</v>
      </c>
      <c r="G9425" s="0" t="s">
        <v>26</v>
      </c>
      <c r="H9425" s="0" t="n">
        <v>61</v>
      </c>
      <c r="I9425" s="0" t="s">
        <v>31457</v>
      </c>
      <c r="J9425" s="0" t="s">
        <v>31458</v>
      </c>
      <c r="K9425" s="0" t="s">
        <v>31459</v>
      </c>
      <c r="L9425" s="0" t="str">
        <f aca="false">HYPERLINK("https://www.ncbi.nlm.nih.gov/nuccore/CP000304.1?report=graph&amp;tracks=[key:gene_model_track,Options:GeneOnly]&amp;mk=2682077:2682096|offset_1|444444,2682055:2682074|offset_23|444444,2682017:2682036|offset_61|00cc00,2681976:2681995|offset_102|444444&amp;v=2681876:2682195&amp;c=444444", "offset 61")</f>
        <v>offset 61</v>
      </c>
    </row>
    <row r="9426" customFormat="false" ht="12.8" hidden="false" customHeight="false" outlineLevel="0" collapsed="false">
      <c r="A9426" s="0" t="s">
        <v>12</v>
      </c>
      <c r="B9426" s="0" t="n">
        <v>2681975</v>
      </c>
      <c r="C9426" s="0" t="n">
        <v>2681995</v>
      </c>
      <c r="D9426" s="0" t="s">
        <v>31450</v>
      </c>
      <c r="E9426" s="0" t="s">
        <v>89</v>
      </c>
      <c r="F9426" s="0" t="s">
        <v>90</v>
      </c>
      <c r="G9426" s="0" t="s">
        <v>16</v>
      </c>
      <c r="H9426" s="0" t="n">
        <v>102</v>
      </c>
      <c r="I9426" s="0" t="s">
        <v>31460</v>
      </c>
      <c r="J9426" s="0" t="s">
        <v>31461</v>
      </c>
      <c r="K9426" s="0" t="s">
        <v>31462</v>
      </c>
      <c r="L9426" s="0" t="str">
        <f aca="false">HYPERLINK("https://www.ncbi.nlm.nih.gov/nuccore/CP000304.1?report=graph&amp;tracks=[key:gene_model_track,Options:GeneOnly]&amp;mk=2682077:2682096|offset_1|444444,2682055:2682074|offset_23|444444,2682017:2682036|offset_61|444444,2681976:2681995|offset_102|00cc00&amp;v=2681876:2682195&amp;c=444444", "offset 102")</f>
        <v>offset 102</v>
      </c>
    </row>
    <row r="9427" customFormat="false" ht="12.8" hidden="false" customHeight="false" outlineLevel="0" collapsed="false">
      <c r="A9427" s="0" t="s">
        <v>12</v>
      </c>
      <c r="B9427" s="0" t="n">
        <v>2682213</v>
      </c>
      <c r="C9427" s="0" t="n">
        <v>2682233</v>
      </c>
      <c r="D9427" s="0" t="s">
        <v>31463</v>
      </c>
      <c r="E9427" s="0" t="s">
        <v>31464</v>
      </c>
      <c r="F9427" s="0" t="s">
        <v>15</v>
      </c>
      <c r="G9427" s="0" t="s">
        <v>16</v>
      </c>
      <c r="H9427" s="0" t="n">
        <v>8</v>
      </c>
      <c r="I9427" s="0" t="s">
        <v>31465</v>
      </c>
      <c r="J9427" s="0" t="s">
        <v>31466</v>
      </c>
      <c r="K9427" s="0" t="s">
        <v>31467</v>
      </c>
      <c r="L9427" s="0" t="str">
        <f aca="false">HYPERLINK("https://www.ncbi.nlm.nih.gov/nuccore/CP000304.1?report=graph&amp;tracks=[key:gene_model_track,Options:GeneOnly]&amp;mk=2682214:2682233|offset_8|00cc00,2682235:2682254|offset_29|444444,2682258:2682277|offset_52|444444,2682282:2682301|offset_76|444444&amp;v=2682013:2682501&amp;c=444444", "offset 8")</f>
        <v>offset 8</v>
      </c>
    </row>
    <row r="9428" customFormat="false" ht="12.8" hidden="false" customHeight="false" outlineLevel="0" collapsed="false">
      <c r="A9428" s="0" t="s">
        <v>12</v>
      </c>
      <c r="B9428" s="0" t="n">
        <v>2682234</v>
      </c>
      <c r="C9428" s="0" t="n">
        <v>2682254</v>
      </c>
      <c r="D9428" s="0" t="s">
        <v>31463</v>
      </c>
      <c r="E9428" s="0" t="s">
        <v>31464</v>
      </c>
      <c r="F9428" s="0" t="s">
        <v>15</v>
      </c>
      <c r="G9428" s="0" t="s">
        <v>16</v>
      </c>
      <c r="H9428" s="0" t="n">
        <v>29</v>
      </c>
      <c r="I9428" s="0" t="s">
        <v>31468</v>
      </c>
      <c r="J9428" s="0" t="s">
        <v>31469</v>
      </c>
      <c r="K9428" s="0" t="s">
        <v>31470</v>
      </c>
      <c r="L9428" s="0" t="str">
        <f aca="false">HYPERLINK("https://www.ncbi.nlm.nih.gov/nuccore/CP000304.1?report=graph&amp;tracks=[key:gene_model_track,Options:GeneOnly]&amp;mk=2682214:2682233|offset_8|444444,2682235:2682254|offset_29|00cc00,2682258:2682277|offset_52|444444,2682282:2682301|offset_76|444444&amp;v=2682013:2682501&amp;c=444444", "offset 29")</f>
        <v>offset 29</v>
      </c>
    </row>
    <row r="9429" customFormat="false" ht="12.8" hidden="false" customHeight="false" outlineLevel="0" collapsed="false">
      <c r="A9429" s="0" t="s">
        <v>12</v>
      </c>
      <c r="B9429" s="0" t="n">
        <v>2682257</v>
      </c>
      <c r="C9429" s="0" t="n">
        <v>2682277</v>
      </c>
      <c r="D9429" s="0" t="s">
        <v>31463</v>
      </c>
      <c r="E9429" s="0" t="s">
        <v>31464</v>
      </c>
      <c r="F9429" s="0" t="s">
        <v>15</v>
      </c>
      <c r="G9429" s="0" t="s">
        <v>36</v>
      </c>
      <c r="H9429" s="0" t="n">
        <v>52</v>
      </c>
      <c r="I9429" s="0" t="s">
        <v>31471</v>
      </c>
      <c r="J9429" s="0" t="s">
        <v>31472</v>
      </c>
      <c r="K9429" s="0" t="s">
        <v>31473</v>
      </c>
      <c r="L9429" s="0" t="str">
        <f aca="false">HYPERLINK("https://www.ncbi.nlm.nih.gov/nuccore/CP000304.1?report=graph&amp;tracks=[key:gene_model_track,Options:GeneOnly]&amp;mk=2682214:2682233|offset_8|444444,2682235:2682254|offset_29|444444,2682258:2682277|offset_52|00cc00,2682282:2682301|offset_76|444444&amp;v=2682013:2682501&amp;c=444444", "offset 52")</f>
        <v>offset 52</v>
      </c>
    </row>
    <row r="9430" customFormat="false" ht="12.8" hidden="false" customHeight="false" outlineLevel="0" collapsed="false">
      <c r="A9430" s="0" t="s">
        <v>12</v>
      </c>
      <c r="B9430" s="0" t="n">
        <v>2682281</v>
      </c>
      <c r="C9430" s="0" t="n">
        <v>2682301</v>
      </c>
      <c r="D9430" s="0" t="s">
        <v>31463</v>
      </c>
      <c r="E9430" s="0" t="s">
        <v>31464</v>
      </c>
      <c r="F9430" s="0" t="s">
        <v>15</v>
      </c>
      <c r="G9430" s="0" t="s">
        <v>26</v>
      </c>
      <c r="H9430" s="0" t="n">
        <v>76</v>
      </c>
      <c r="I9430" s="0" t="s">
        <v>31474</v>
      </c>
      <c r="J9430" s="0" t="s">
        <v>31475</v>
      </c>
      <c r="K9430" s="0" t="s">
        <v>31476</v>
      </c>
      <c r="L9430" s="0" t="str">
        <f aca="false">HYPERLINK("https://www.ncbi.nlm.nih.gov/nuccore/CP000304.1?report=graph&amp;tracks=[key:gene_model_track,Options:GeneOnly]&amp;mk=2682214:2682233|offset_8|444444,2682235:2682254|offset_29|444444,2682258:2682277|offset_52|444444,2682282:2682301|offset_76|00cc00&amp;v=2682013:2682501&amp;c=444444", "offset 76")</f>
        <v>offset 76</v>
      </c>
    </row>
    <row r="9431" customFormat="false" ht="12.8" hidden="false" customHeight="false" outlineLevel="0" collapsed="false">
      <c r="A9431" s="0" t="s">
        <v>12</v>
      </c>
      <c r="B9431" s="0" t="n">
        <v>2684496</v>
      </c>
      <c r="C9431" s="0" t="n">
        <v>2684516</v>
      </c>
      <c r="D9431" s="0" t="s">
        <v>31477</v>
      </c>
      <c r="E9431" s="0" t="s">
        <v>89</v>
      </c>
      <c r="F9431" s="0" t="s">
        <v>90</v>
      </c>
      <c r="G9431" s="0" t="s">
        <v>16</v>
      </c>
      <c r="H9431" s="0" t="n">
        <v>14</v>
      </c>
      <c r="I9431" s="0" t="s">
        <v>31478</v>
      </c>
      <c r="J9431" s="0" t="s">
        <v>31479</v>
      </c>
      <c r="K9431" s="0" t="s">
        <v>31480</v>
      </c>
      <c r="L9431" s="0" t="str">
        <f aca="false">HYPERLINK("https://www.ncbi.nlm.nih.gov/nuccore/CP000304.1?report=graph&amp;tracks=[key:gene_model_track,Options:GeneOnly]&amp;mk=2684497:2684516|offset_14|00cc00,2684468:2684487|offset_43|444444,2684440:2684459|offset_71|444444,2684411:2684430|offset_100|444444&amp;v=2684296:2684630&amp;c=444444", "offset 14")</f>
        <v>offset 14</v>
      </c>
    </row>
    <row r="9432" customFormat="false" ht="12.8" hidden="false" customHeight="false" outlineLevel="0" collapsed="false">
      <c r="A9432" s="0" t="s">
        <v>12</v>
      </c>
      <c r="B9432" s="0" t="n">
        <v>2684467</v>
      </c>
      <c r="C9432" s="0" t="n">
        <v>2684487</v>
      </c>
      <c r="D9432" s="0" t="s">
        <v>31477</v>
      </c>
      <c r="E9432" s="0" t="s">
        <v>89</v>
      </c>
      <c r="F9432" s="0" t="s">
        <v>90</v>
      </c>
      <c r="G9432" s="0" t="s">
        <v>32</v>
      </c>
      <c r="H9432" s="0" t="n">
        <v>43</v>
      </c>
      <c r="I9432" s="0" t="s">
        <v>31481</v>
      </c>
      <c r="J9432" s="0" t="s">
        <v>31482</v>
      </c>
      <c r="K9432" s="0" t="s">
        <v>31483</v>
      </c>
      <c r="L9432" s="0" t="str">
        <f aca="false">HYPERLINK("https://www.ncbi.nlm.nih.gov/nuccore/CP000304.1?report=graph&amp;tracks=[key:gene_model_track,Options:GeneOnly]&amp;mk=2684497:2684516|offset_14|444444,2684468:2684487|offset_43|00cc00,2684440:2684459|offset_71|444444,2684411:2684430|offset_100|444444&amp;v=2684296:2684630&amp;c=444444", "offset 43")</f>
        <v>offset 43</v>
      </c>
    </row>
    <row r="9433" customFormat="false" ht="12.8" hidden="false" customHeight="false" outlineLevel="0" collapsed="false">
      <c r="A9433" s="0" t="s">
        <v>12</v>
      </c>
      <c r="B9433" s="0" t="n">
        <v>2684439</v>
      </c>
      <c r="C9433" s="0" t="n">
        <v>2684459</v>
      </c>
      <c r="D9433" s="0" t="s">
        <v>31477</v>
      </c>
      <c r="E9433" s="0" t="s">
        <v>89</v>
      </c>
      <c r="F9433" s="0" t="s">
        <v>90</v>
      </c>
      <c r="G9433" s="0" t="s">
        <v>26</v>
      </c>
      <c r="H9433" s="0" t="n">
        <v>71</v>
      </c>
      <c r="I9433" s="0" t="s">
        <v>31484</v>
      </c>
      <c r="J9433" s="0" t="s">
        <v>31485</v>
      </c>
      <c r="K9433" s="0" t="s">
        <v>31486</v>
      </c>
      <c r="L9433" s="0" t="str">
        <f aca="false">HYPERLINK("https://www.ncbi.nlm.nih.gov/nuccore/CP000304.1?report=graph&amp;tracks=[key:gene_model_track,Options:GeneOnly]&amp;mk=2684497:2684516|offset_14|444444,2684468:2684487|offset_43|444444,2684440:2684459|offset_71|00cc00,2684411:2684430|offset_100|444444&amp;v=2684296:2684630&amp;c=444444", "offset 71")</f>
        <v>offset 71</v>
      </c>
    </row>
    <row r="9434" customFormat="false" ht="12.8" hidden="false" customHeight="false" outlineLevel="0" collapsed="false">
      <c r="A9434" s="0" t="s">
        <v>12</v>
      </c>
      <c r="B9434" s="0" t="n">
        <v>2684410</v>
      </c>
      <c r="C9434" s="0" t="n">
        <v>2684430</v>
      </c>
      <c r="D9434" s="0" t="s">
        <v>31477</v>
      </c>
      <c r="E9434" s="0" t="s">
        <v>89</v>
      </c>
      <c r="F9434" s="0" t="s">
        <v>90</v>
      </c>
      <c r="G9434" s="0" t="s">
        <v>26</v>
      </c>
      <c r="H9434" s="0" t="n">
        <v>100</v>
      </c>
      <c r="I9434" s="0" t="s">
        <v>31487</v>
      </c>
      <c r="J9434" s="0" t="s">
        <v>31488</v>
      </c>
      <c r="K9434" s="0" t="s">
        <v>31489</v>
      </c>
      <c r="L9434" s="0" t="str">
        <f aca="false">HYPERLINK("https://www.ncbi.nlm.nih.gov/nuccore/CP000304.1?report=graph&amp;tracks=[key:gene_model_track,Options:GeneOnly]&amp;mk=2684497:2684516|offset_14|444444,2684468:2684487|offset_43|444444,2684440:2684459|offset_71|444444,2684411:2684430|offset_100|00cc00&amp;v=2684296:2684630&amp;c=444444", "offset 100")</f>
        <v>offset 100</v>
      </c>
    </row>
    <row r="9435" customFormat="false" ht="12.8" hidden="false" customHeight="false" outlineLevel="0" collapsed="false">
      <c r="A9435" s="0" t="s">
        <v>12</v>
      </c>
      <c r="B9435" s="0" t="n">
        <v>2685715</v>
      </c>
      <c r="C9435" s="0" t="n">
        <v>2685735</v>
      </c>
      <c r="D9435" s="0" t="s">
        <v>31490</v>
      </c>
      <c r="E9435" s="0" t="s">
        <v>89</v>
      </c>
      <c r="F9435" s="0" t="s">
        <v>90</v>
      </c>
      <c r="G9435" s="0" t="s">
        <v>32</v>
      </c>
      <c r="H9435" s="0" t="n">
        <v>16</v>
      </c>
      <c r="I9435" s="0" t="s">
        <v>31491</v>
      </c>
      <c r="J9435" s="0" t="s">
        <v>31492</v>
      </c>
      <c r="K9435" s="0" t="s">
        <v>31493</v>
      </c>
      <c r="L9435" s="0" t="str">
        <f aca="false">HYPERLINK("https://www.ncbi.nlm.nih.gov/nuccore/CP000304.1?report=graph&amp;tracks=[key:gene_model_track,Options:GeneOnly]&amp;mk=2685716:2685735|offset_16|00cc00,2685685:2685704|offset_47|444444,2685641:2685660|offset_91|444444,2685607:2685626|offset_125|444444&amp;v=2685515:2685826&amp;c=444444", "offset 16")</f>
        <v>offset 16</v>
      </c>
    </row>
    <row r="9436" customFormat="false" ht="12.8" hidden="false" customHeight="false" outlineLevel="0" collapsed="false">
      <c r="A9436" s="0" t="s">
        <v>12</v>
      </c>
      <c r="B9436" s="0" t="n">
        <v>2685684</v>
      </c>
      <c r="C9436" s="0" t="n">
        <v>2685704</v>
      </c>
      <c r="D9436" s="0" t="s">
        <v>31490</v>
      </c>
      <c r="E9436" s="0" t="s">
        <v>89</v>
      </c>
      <c r="F9436" s="0" t="s">
        <v>90</v>
      </c>
      <c r="G9436" s="0" t="s">
        <v>32</v>
      </c>
      <c r="H9436" s="0" t="n">
        <v>47</v>
      </c>
      <c r="I9436" s="0" t="s">
        <v>31494</v>
      </c>
      <c r="J9436" s="0" t="s">
        <v>31495</v>
      </c>
      <c r="K9436" s="0" t="s">
        <v>31496</v>
      </c>
      <c r="L9436" s="0" t="str">
        <f aca="false">HYPERLINK("https://www.ncbi.nlm.nih.gov/nuccore/CP000304.1?report=graph&amp;tracks=[key:gene_model_track,Options:GeneOnly]&amp;mk=2685716:2685735|offset_16|444444,2685685:2685704|offset_47|00cc00,2685641:2685660|offset_91|444444,2685607:2685626|offset_125|444444&amp;v=2685515:2685826&amp;c=444444", "offset 47")</f>
        <v>offset 47</v>
      </c>
    </row>
    <row r="9437" customFormat="false" ht="12.8" hidden="false" customHeight="false" outlineLevel="0" collapsed="false">
      <c r="A9437" s="0" t="s">
        <v>12</v>
      </c>
      <c r="B9437" s="0" t="n">
        <v>2685640</v>
      </c>
      <c r="C9437" s="0" t="n">
        <v>2685660</v>
      </c>
      <c r="D9437" s="0" t="s">
        <v>31490</v>
      </c>
      <c r="E9437" s="0" t="s">
        <v>89</v>
      </c>
      <c r="F9437" s="0" t="s">
        <v>90</v>
      </c>
      <c r="G9437" s="0" t="s">
        <v>16</v>
      </c>
      <c r="H9437" s="0" t="n">
        <v>91</v>
      </c>
      <c r="I9437" s="0" t="s">
        <v>31497</v>
      </c>
      <c r="J9437" s="0" t="s">
        <v>31498</v>
      </c>
      <c r="K9437" s="0" t="s">
        <v>31499</v>
      </c>
      <c r="L9437" s="0" t="str">
        <f aca="false">HYPERLINK("https://www.ncbi.nlm.nih.gov/nuccore/CP000304.1?report=graph&amp;tracks=[key:gene_model_track,Options:GeneOnly]&amp;mk=2685716:2685735|offset_16|444444,2685685:2685704|offset_47|444444,2685641:2685660|offset_91|00cc00,2685607:2685626|offset_125|444444&amp;v=2685515:2685826&amp;c=444444", "offset 91")</f>
        <v>offset 91</v>
      </c>
    </row>
    <row r="9438" customFormat="false" ht="12.8" hidden="false" customHeight="false" outlineLevel="0" collapsed="false">
      <c r="A9438" s="0" t="s">
        <v>12</v>
      </c>
      <c r="B9438" s="0" t="n">
        <v>2685606</v>
      </c>
      <c r="C9438" s="0" t="n">
        <v>2685626</v>
      </c>
      <c r="D9438" s="0" t="s">
        <v>31490</v>
      </c>
      <c r="E9438" s="0" t="s">
        <v>89</v>
      </c>
      <c r="F9438" s="0" t="s">
        <v>90</v>
      </c>
      <c r="G9438" s="0" t="s">
        <v>36</v>
      </c>
      <c r="H9438" s="0" t="n">
        <v>125</v>
      </c>
      <c r="I9438" s="0" t="s">
        <v>31500</v>
      </c>
      <c r="J9438" s="0" t="s">
        <v>31501</v>
      </c>
      <c r="K9438" s="0" t="s">
        <v>31502</v>
      </c>
      <c r="L9438" s="0" t="str">
        <f aca="false">HYPERLINK("https://www.ncbi.nlm.nih.gov/nuccore/CP000304.1?report=graph&amp;tracks=[key:gene_model_track,Options:GeneOnly]&amp;mk=2685716:2685735|offset_16|444444,2685685:2685704|offset_47|444444,2685641:2685660|offset_91|444444,2685607:2685626|offset_125|00cc00&amp;v=2685515:2685826&amp;c=444444", "offset 125")</f>
        <v>offset 125</v>
      </c>
    </row>
    <row r="9439" customFormat="false" ht="12.8" hidden="false" customHeight="false" outlineLevel="0" collapsed="false">
      <c r="A9439" s="0" t="s">
        <v>12</v>
      </c>
      <c r="B9439" s="0" t="n">
        <v>2685872</v>
      </c>
      <c r="C9439" s="0" t="n">
        <v>2685892</v>
      </c>
      <c r="D9439" s="0" t="s">
        <v>31503</v>
      </c>
      <c r="E9439" s="0" t="s">
        <v>89</v>
      </c>
      <c r="F9439" s="0" t="s">
        <v>15</v>
      </c>
      <c r="G9439" s="0" t="s">
        <v>32</v>
      </c>
      <c r="H9439" s="0" t="n">
        <v>1</v>
      </c>
      <c r="I9439" s="0" t="s">
        <v>31504</v>
      </c>
      <c r="J9439" s="0" t="s">
        <v>31505</v>
      </c>
      <c r="K9439" s="0" t="s">
        <v>31506</v>
      </c>
      <c r="L9439" s="0" t="str">
        <f aca="false">HYPERLINK("https://www.ncbi.nlm.nih.gov/nuccore/CP000304.1?report=graph&amp;tracks=[key:gene_model_track,Options:GeneOnly]&amp;mk=2685873:2685892|offset_1|00cc00,2685903:2685922|offset_31|444444,2685923:2685942|offset_51|444444,2685949:2685968|offset_77|444444&amp;v=2685672:2686168&amp;c=444444", "offset 1")</f>
        <v>offset 1</v>
      </c>
    </row>
    <row r="9440" customFormat="false" ht="12.8" hidden="false" customHeight="false" outlineLevel="0" collapsed="false">
      <c r="A9440" s="0" t="s">
        <v>12</v>
      </c>
      <c r="B9440" s="0" t="n">
        <v>2685902</v>
      </c>
      <c r="C9440" s="0" t="n">
        <v>2685922</v>
      </c>
      <c r="D9440" s="0" t="s">
        <v>31503</v>
      </c>
      <c r="E9440" s="0" t="s">
        <v>89</v>
      </c>
      <c r="F9440" s="0" t="s">
        <v>15</v>
      </c>
      <c r="G9440" s="0" t="s">
        <v>36</v>
      </c>
      <c r="H9440" s="0" t="n">
        <v>31</v>
      </c>
      <c r="I9440" s="0" t="s">
        <v>31507</v>
      </c>
      <c r="J9440" s="0" t="s">
        <v>31508</v>
      </c>
      <c r="K9440" s="0" t="s">
        <v>31509</v>
      </c>
      <c r="L9440" s="0" t="str">
        <f aca="false">HYPERLINK("https://www.ncbi.nlm.nih.gov/nuccore/CP000304.1?report=graph&amp;tracks=[key:gene_model_track,Options:GeneOnly]&amp;mk=2685873:2685892|offset_1|444444,2685903:2685922|offset_31|00cc00,2685923:2685942|offset_51|444444,2685949:2685968|offset_77|444444&amp;v=2685672:2686168&amp;c=444444", "offset 31")</f>
        <v>offset 31</v>
      </c>
    </row>
    <row r="9441" customFormat="false" ht="12.8" hidden="false" customHeight="false" outlineLevel="0" collapsed="false">
      <c r="A9441" s="0" t="s">
        <v>12</v>
      </c>
      <c r="B9441" s="0" t="n">
        <v>2685922</v>
      </c>
      <c r="C9441" s="0" t="n">
        <v>2685942</v>
      </c>
      <c r="D9441" s="0" t="s">
        <v>31503</v>
      </c>
      <c r="E9441" s="0" t="s">
        <v>89</v>
      </c>
      <c r="F9441" s="0" t="s">
        <v>15</v>
      </c>
      <c r="G9441" s="0" t="s">
        <v>16</v>
      </c>
      <c r="H9441" s="0" t="n">
        <v>51</v>
      </c>
      <c r="I9441" s="0" t="s">
        <v>31510</v>
      </c>
      <c r="J9441" s="0" t="s">
        <v>31511</v>
      </c>
      <c r="K9441" s="0" t="s">
        <v>31512</v>
      </c>
      <c r="L9441" s="0" t="str">
        <f aca="false">HYPERLINK("https://www.ncbi.nlm.nih.gov/nuccore/CP000304.1?report=graph&amp;tracks=[key:gene_model_track,Options:GeneOnly]&amp;mk=2685873:2685892|offset_1|444444,2685903:2685922|offset_31|444444,2685923:2685942|offset_51|00cc00,2685949:2685968|offset_77|444444&amp;v=2685672:2686168&amp;c=444444", "offset 51")</f>
        <v>offset 51</v>
      </c>
    </row>
    <row r="9442" customFormat="false" ht="12.8" hidden="false" customHeight="false" outlineLevel="0" collapsed="false">
      <c r="A9442" s="0" t="s">
        <v>12</v>
      </c>
      <c r="B9442" s="0" t="n">
        <v>2685948</v>
      </c>
      <c r="C9442" s="0" t="n">
        <v>2685968</v>
      </c>
      <c r="D9442" s="0" t="s">
        <v>31503</v>
      </c>
      <c r="E9442" s="0" t="s">
        <v>89</v>
      </c>
      <c r="F9442" s="0" t="s">
        <v>15</v>
      </c>
      <c r="G9442" s="0" t="s">
        <v>36</v>
      </c>
      <c r="H9442" s="0" t="n">
        <v>77</v>
      </c>
      <c r="I9442" s="0" t="s">
        <v>31513</v>
      </c>
      <c r="J9442" s="0" t="s">
        <v>31514</v>
      </c>
      <c r="K9442" s="0" t="s">
        <v>31515</v>
      </c>
      <c r="L9442" s="0" t="str">
        <f aca="false">HYPERLINK("https://www.ncbi.nlm.nih.gov/nuccore/CP000304.1?report=graph&amp;tracks=[key:gene_model_track,Options:GeneOnly]&amp;mk=2685873:2685892|offset_1|444444,2685903:2685922|offset_31|444444,2685923:2685942|offset_51|444444,2685949:2685968|offset_77|00cc00&amp;v=2685672:2686168&amp;c=444444", "offset 77")</f>
        <v>offset 77</v>
      </c>
    </row>
    <row r="9443" customFormat="false" ht="12.8" hidden="false" customHeight="false" outlineLevel="0" collapsed="false">
      <c r="A9443" s="0" t="s">
        <v>12</v>
      </c>
      <c r="B9443" s="0" t="n">
        <v>2686459</v>
      </c>
      <c r="C9443" s="0" t="n">
        <v>2686479</v>
      </c>
      <c r="D9443" s="0" t="s">
        <v>31516</v>
      </c>
      <c r="E9443" s="0" t="s">
        <v>89</v>
      </c>
      <c r="F9443" s="0" t="s">
        <v>15</v>
      </c>
      <c r="G9443" s="0" t="s">
        <v>32</v>
      </c>
      <c r="H9443" s="0" t="n">
        <v>10</v>
      </c>
      <c r="I9443" s="0" t="s">
        <v>31517</v>
      </c>
      <c r="J9443" s="0" t="s">
        <v>31518</v>
      </c>
      <c r="K9443" s="0" t="s">
        <v>31519</v>
      </c>
      <c r="L9443" s="0" t="str">
        <f aca="false">HYPERLINK("https://www.ncbi.nlm.nih.gov/nuccore/CP000304.1?report=graph&amp;tracks=[key:gene_model_track,Options:GeneOnly]&amp;mk=2686460:2686479|offset_10|00cc00,2686485:2686504|offset_35|444444,2686517:2686536|offset_67|444444,2686544:2686563|offset_94|444444&amp;v=2686259:2686763&amp;c=444444", "offset 10")</f>
        <v>offset 10</v>
      </c>
    </row>
    <row r="9444" customFormat="false" ht="12.8" hidden="false" customHeight="false" outlineLevel="0" collapsed="false">
      <c r="A9444" s="0" t="s">
        <v>12</v>
      </c>
      <c r="B9444" s="0" t="n">
        <v>2686484</v>
      </c>
      <c r="C9444" s="0" t="n">
        <v>2686504</v>
      </c>
      <c r="D9444" s="0" t="s">
        <v>31516</v>
      </c>
      <c r="E9444" s="0" t="s">
        <v>89</v>
      </c>
      <c r="F9444" s="0" t="s">
        <v>15</v>
      </c>
      <c r="G9444" s="0" t="s">
        <v>26</v>
      </c>
      <c r="H9444" s="0" t="n">
        <v>35</v>
      </c>
      <c r="I9444" s="0" t="s">
        <v>31520</v>
      </c>
      <c r="J9444" s="0" t="s">
        <v>31521</v>
      </c>
      <c r="K9444" s="0" t="s">
        <v>31522</v>
      </c>
      <c r="L9444" s="0" t="str">
        <f aca="false">HYPERLINK("https://www.ncbi.nlm.nih.gov/nuccore/CP000304.1?report=graph&amp;tracks=[key:gene_model_track,Options:GeneOnly]&amp;mk=2686460:2686479|offset_10|444444,2686485:2686504|offset_35|00cc00,2686517:2686536|offset_67|444444,2686544:2686563|offset_94|444444&amp;v=2686259:2686763&amp;c=444444", "offset 35")</f>
        <v>offset 35</v>
      </c>
    </row>
    <row r="9445" customFormat="false" ht="12.8" hidden="false" customHeight="false" outlineLevel="0" collapsed="false">
      <c r="A9445" s="0" t="s">
        <v>12</v>
      </c>
      <c r="B9445" s="0" t="n">
        <v>2686516</v>
      </c>
      <c r="C9445" s="0" t="n">
        <v>2686536</v>
      </c>
      <c r="D9445" s="0" t="s">
        <v>31516</v>
      </c>
      <c r="E9445" s="0" t="s">
        <v>89</v>
      </c>
      <c r="F9445" s="0" t="s">
        <v>15</v>
      </c>
      <c r="G9445" s="0" t="s">
        <v>36</v>
      </c>
      <c r="H9445" s="0" t="n">
        <v>67</v>
      </c>
      <c r="I9445" s="0" t="s">
        <v>31523</v>
      </c>
      <c r="J9445" s="0" t="s">
        <v>31524</v>
      </c>
      <c r="K9445" s="0" t="s">
        <v>31525</v>
      </c>
      <c r="L9445" s="0" t="str">
        <f aca="false">HYPERLINK("https://www.ncbi.nlm.nih.gov/nuccore/CP000304.1?report=graph&amp;tracks=[key:gene_model_track,Options:GeneOnly]&amp;mk=2686460:2686479|offset_10|444444,2686485:2686504|offset_35|444444,2686517:2686536|offset_67|00cc00,2686544:2686563|offset_94|444444&amp;v=2686259:2686763&amp;c=444444", "offset 67")</f>
        <v>offset 67</v>
      </c>
    </row>
    <row r="9446" customFormat="false" ht="12.8" hidden="false" customHeight="false" outlineLevel="0" collapsed="false">
      <c r="A9446" s="0" t="s">
        <v>12</v>
      </c>
      <c r="B9446" s="0" t="n">
        <v>2686543</v>
      </c>
      <c r="C9446" s="0" t="n">
        <v>2686563</v>
      </c>
      <c r="D9446" s="0" t="s">
        <v>31516</v>
      </c>
      <c r="E9446" s="0" t="s">
        <v>89</v>
      </c>
      <c r="F9446" s="0" t="s">
        <v>15</v>
      </c>
      <c r="G9446" s="0" t="s">
        <v>16</v>
      </c>
      <c r="H9446" s="0" t="n">
        <v>94</v>
      </c>
      <c r="I9446" s="0" t="s">
        <v>31526</v>
      </c>
      <c r="J9446" s="0" t="s">
        <v>31527</v>
      </c>
      <c r="K9446" s="0" t="s">
        <v>31528</v>
      </c>
      <c r="L9446" s="0" t="str">
        <f aca="false">HYPERLINK("https://www.ncbi.nlm.nih.gov/nuccore/CP000304.1?report=graph&amp;tracks=[key:gene_model_track,Options:GeneOnly]&amp;mk=2686460:2686479|offset_10|444444,2686485:2686504|offset_35|444444,2686517:2686536|offset_67|444444,2686544:2686563|offset_94|00cc00&amp;v=2686259:2686763&amp;c=444444", "offset 94")</f>
        <v>offset 94</v>
      </c>
    </row>
    <row r="9447" customFormat="false" ht="12.8" hidden="false" customHeight="false" outlineLevel="0" collapsed="false">
      <c r="A9447" s="0" t="s">
        <v>12</v>
      </c>
      <c r="B9447" s="0" t="n">
        <v>2687874</v>
      </c>
      <c r="C9447" s="0" t="n">
        <v>2687894</v>
      </c>
      <c r="D9447" s="0" t="s">
        <v>31529</v>
      </c>
      <c r="E9447" s="0" t="s">
        <v>89</v>
      </c>
      <c r="F9447" s="0" t="s">
        <v>15</v>
      </c>
      <c r="G9447" s="0" t="s">
        <v>16</v>
      </c>
      <c r="H9447" s="0" t="n">
        <v>28</v>
      </c>
      <c r="I9447" s="0" t="s">
        <v>31530</v>
      </c>
      <c r="J9447" s="0" t="s">
        <v>31531</v>
      </c>
      <c r="K9447" s="0" t="s">
        <v>31532</v>
      </c>
      <c r="L9447" s="0" t="str">
        <f aca="false">HYPERLINK("https://www.ncbi.nlm.nih.gov/nuccore/CP000304.1?report=graph&amp;tracks=[key:gene_model_track,Options:GeneOnly]&amp;mk=2687875:2687894|offset_28|00cc00,2687895:2687914|offset_48|444444,2687933:2687952|offset_86|444444,2687957:2687976|offset_110|444444&amp;v=2687674:2688176&amp;c=444444", "offset 28")</f>
        <v>offset 28</v>
      </c>
    </row>
    <row r="9448" customFormat="false" ht="12.8" hidden="false" customHeight="false" outlineLevel="0" collapsed="false">
      <c r="A9448" s="0" t="s">
        <v>12</v>
      </c>
      <c r="B9448" s="0" t="n">
        <v>2687894</v>
      </c>
      <c r="C9448" s="0" t="n">
        <v>2687914</v>
      </c>
      <c r="D9448" s="0" t="s">
        <v>31529</v>
      </c>
      <c r="E9448" s="0" t="s">
        <v>89</v>
      </c>
      <c r="F9448" s="0" t="s">
        <v>15</v>
      </c>
      <c r="G9448" s="0" t="s">
        <v>16</v>
      </c>
      <c r="H9448" s="0" t="n">
        <v>48</v>
      </c>
      <c r="I9448" s="0" t="s">
        <v>31533</v>
      </c>
      <c r="J9448" s="0" t="s">
        <v>31534</v>
      </c>
      <c r="K9448" s="0" t="s">
        <v>31535</v>
      </c>
      <c r="L9448" s="0" t="str">
        <f aca="false">HYPERLINK("https://www.ncbi.nlm.nih.gov/nuccore/CP000304.1?report=graph&amp;tracks=[key:gene_model_track,Options:GeneOnly]&amp;mk=2687875:2687894|offset_28|444444,2687895:2687914|offset_48|00cc00,2687933:2687952|offset_86|444444,2687957:2687976|offset_110|444444&amp;v=2687674:2688176&amp;c=444444", "offset 48")</f>
        <v>offset 48</v>
      </c>
    </row>
    <row r="9449" customFormat="false" ht="12.8" hidden="false" customHeight="false" outlineLevel="0" collapsed="false">
      <c r="A9449" s="0" t="s">
        <v>12</v>
      </c>
      <c r="B9449" s="0" t="n">
        <v>2687932</v>
      </c>
      <c r="C9449" s="0" t="n">
        <v>2687952</v>
      </c>
      <c r="D9449" s="0" t="s">
        <v>31529</v>
      </c>
      <c r="E9449" s="0" t="s">
        <v>89</v>
      </c>
      <c r="F9449" s="0" t="s">
        <v>15</v>
      </c>
      <c r="G9449" s="0" t="s">
        <v>32</v>
      </c>
      <c r="H9449" s="0" t="n">
        <v>86</v>
      </c>
      <c r="I9449" s="0" t="s">
        <v>31536</v>
      </c>
      <c r="J9449" s="0" t="s">
        <v>31537</v>
      </c>
      <c r="K9449" s="0" t="s">
        <v>31538</v>
      </c>
      <c r="L9449" s="0" t="str">
        <f aca="false">HYPERLINK("https://www.ncbi.nlm.nih.gov/nuccore/CP000304.1?report=graph&amp;tracks=[key:gene_model_track,Options:GeneOnly]&amp;mk=2687875:2687894|offset_28|444444,2687895:2687914|offset_48|444444,2687933:2687952|offset_86|00cc00,2687957:2687976|offset_110|444444&amp;v=2687674:2688176&amp;c=444444", "offset 86")</f>
        <v>offset 86</v>
      </c>
    </row>
    <row r="9450" customFormat="false" ht="12.8" hidden="false" customHeight="false" outlineLevel="0" collapsed="false">
      <c r="A9450" s="0" t="s">
        <v>12</v>
      </c>
      <c r="B9450" s="0" t="n">
        <v>2687956</v>
      </c>
      <c r="C9450" s="0" t="n">
        <v>2687976</v>
      </c>
      <c r="D9450" s="0" t="s">
        <v>31529</v>
      </c>
      <c r="E9450" s="0" t="s">
        <v>89</v>
      </c>
      <c r="F9450" s="0" t="s">
        <v>15</v>
      </c>
      <c r="G9450" s="0" t="s">
        <v>32</v>
      </c>
      <c r="H9450" s="0" t="n">
        <v>110</v>
      </c>
      <c r="I9450" s="0" t="s">
        <v>31539</v>
      </c>
      <c r="J9450" s="0" t="s">
        <v>31540</v>
      </c>
      <c r="K9450" s="0" t="s">
        <v>31541</v>
      </c>
      <c r="L9450" s="0" t="str">
        <f aca="false">HYPERLINK("https://www.ncbi.nlm.nih.gov/nuccore/CP000304.1?report=graph&amp;tracks=[key:gene_model_track,Options:GeneOnly]&amp;mk=2687875:2687894|offset_28|444444,2687895:2687914|offset_48|444444,2687933:2687952|offset_86|444444,2687957:2687976|offset_110|00cc00&amp;v=2687674:2688176&amp;c=444444", "offset 110")</f>
        <v>offset 110</v>
      </c>
    </row>
    <row r="9451" customFormat="false" ht="12.8" hidden="false" customHeight="false" outlineLevel="0" collapsed="false">
      <c r="A9451" s="0" t="s">
        <v>12</v>
      </c>
      <c r="B9451" s="0" t="n">
        <v>2688847</v>
      </c>
      <c r="C9451" s="0" t="n">
        <v>2688867</v>
      </c>
      <c r="D9451" s="0" t="s">
        <v>31542</v>
      </c>
      <c r="E9451" s="0" t="s">
        <v>89</v>
      </c>
      <c r="F9451" s="0" t="s">
        <v>15</v>
      </c>
      <c r="G9451" s="0" t="s">
        <v>26</v>
      </c>
      <c r="H9451" s="0" t="n">
        <v>11</v>
      </c>
      <c r="I9451" s="0" t="s">
        <v>31543</v>
      </c>
      <c r="J9451" s="0" t="s">
        <v>31544</v>
      </c>
      <c r="K9451" s="0" t="s">
        <v>31545</v>
      </c>
      <c r="L9451" s="0" t="str">
        <f aca="false">HYPERLINK("https://www.ncbi.nlm.nih.gov/nuccore/CP000304.1?report=graph&amp;tracks=[key:gene_model_track,Options:GeneOnly]&amp;mk=2688848:2688867|offset_11|00cc00,2688874:2688893|offset_37|444444,2688898:2688917|offset_61|444444,2688919:2688938|offset_82|444444&amp;v=2688647:2689138&amp;c=444444", "offset 11")</f>
        <v>offset 11</v>
      </c>
    </row>
    <row r="9452" customFormat="false" ht="12.8" hidden="false" customHeight="false" outlineLevel="0" collapsed="false">
      <c r="A9452" s="0" t="s">
        <v>12</v>
      </c>
      <c r="B9452" s="0" t="n">
        <v>2688873</v>
      </c>
      <c r="C9452" s="0" t="n">
        <v>2688893</v>
      </c>
      <c r="D9452" s="0" t="s">
        <v>31542</v>
      </c>
      <c r="E9452" s="0" t="s">
        <v>89</v>
      </c>
      <c r="F9452" s="0" t="s">
        <v>15</v>
      </c>
      <c r="G9452" s="0" t="s">
        <v>16</v>
      </c>
      <c r="H9452" s="0" t="n">
        <v>37</v>
      </c>
      <c r="I9452" s="0" t="s">
        <v>31546</v>
      </c>
      <c r="J9452" s="0" t="s">
        <v>31547</v>
      </c>
      <c r="K9452" s="0" t="s">
        <v>31548</v>
      </c>
      <c r="L9452" s="0" t="str">
        <f aca="false">HYPERLINK("https://www.ncbi.nlm.nih.gov/nuccore/CP000304.1?report=graph&amp;tracks=[key:gene_model_track,Options:GeneOnly]&amp;mk=2688848:2688867|offset_11|444444,2688874:2688893|offset_37|00cc00,2688898:2688917|offset_61|444444,2688919:2688938|offset_82|444444&amp;v=2688647:2689138&amp;c=444444", "offset 37")</f>
        <v>offset 37</v>
      </c>
    </row>
    <row r="9453" customFormat="false" ht="12.8" hidden="false" customHeight="false" outlineLevel="0" collapsed="false">
      <c r="A9453" s="0" t="s">
        <v>12</v>
      </c>
      <c r="B9453" s="0" t="n">
        <v>2688897</v>
      </c>
      <c r="C9453" s="0" t="n">
        <v>2688917</v>
      </c>
      <c r="D9453" s="0" t="s">
        <v>31542</v>
      </c>
      <c r="E9453" s="0" t="s">
        <v>89</v>
      </c>
      <c r="F9453" s="0" t="s">
        <v>15</v>
      </c>
      <c r="G9453" s="0" t="s">
        <v>26</v>
      </c>
      <c r="H9453" s="0" t="n">
        <v>61</v>
      </c>
      <c r="I9453" s="0" t="s">
        <v>31549</v>
      </c>
      <c r="J9453" s="0" t="s">
        <v>31550</v>
      </c>
      <c r="K9453" s="0" t="s">
        <v>31551</v>
      </c>
      <c r="L9453" s="0" t="str">
        <f aca="false">HYPERLINK("https://www.ncbi.nlm.nih.gov/nuccore/CP000304.1?report=graph&amp;tracks=[key:gene_model_track,Options:GeneOnly]&amp;mk=2688848:2688867|offset_11|444444,2688874:2688893|offset_37|444444,2688898:2688917|offset_61|00cc00,2688919:2688938|offset_82|444444&amp;v=2688647:2689138&amp;c=444444", "offset 61")</f>
        <v>offset 61</v>
      </c>
    </row>
    <row r="9454" customFormat="false" ht="12.8" hidden="false" customHeight="false" outlineLevel="0" collapsed="false">
      <c r="A9454" s="0" t="s">
        <v>12</v>
      </c>
      <c r="B9454" s="0" t="n">
        <v>2688918</v>
      </c>
      <c r="C9454" s="0" t="n">
        <v>2688938</v>
      </c>
      <c r="D9454" s="0" t="s">
        <v>31542</v>
      </c>
      <c r="E9454" s="0" t="s">
        <v>89</v>
      </c>
      <c r="F9454" s="0" t="s">
        <v>15</v>
      </c>
      <c r="G9454" s="0" t="s">
        <v>16</v>
      </c>
      <c r="H9454" s="0" t="n">
        <v>82</v>
      </c>
      <c r="I9454" s="0" t="s">
        <v>31552</v>
      </c>
      <c r="J9454" s="0" t="s">
        <v>31553</v>
      </c>
      <c r="K9454" s="0" t="s">
        <v>31554</v>
      </c>
      <c r="L9454" s="0" t="str">
        <f aca="false">HYPERLINK("https://www.ncbi.nlm.nih.gov/nuccore/CP000304.1?report=graph&amp;tracks=[key:gene_model_track,Options:GeneOnly]&amp;mk=2688848:2688867|offset_11|444444,2688874:2688893|offset_37|444444,2688898:2688917|offset_61|444444,2688919:2688938|offset_82|00cc00&amp;v=2688647:2689138&amp;c=444444", "offset 82")</f>
        <v>offset 82</v>
      </c>
    </row>
    <row r="9455" customFormat="false" ht="12.8" hidden="false" customHeight="false" outlineLevel="0" collapsed="false">
      <c r="A9455" s="0" t="s">
        <v>12</v>
      </c>
      <c r="B9455" s="0" t="n">
        <v>2689944</v>
      </c>
      <c r="C9455" s="0" t="n">
        <v>2689964</v>
      </c>
      <c r="D9455" s="0" t="s">
        <v>31555</v>
      </c>
      <c r="E9455" s="0" t="s">
        <v>89</v>
      </c>
      <c r="F9455" s="0" t="s">
        <v>90</v>
      </c>
      <c r="G9455" s="0" t="s">
        <v>26</v>
      </c>
      <c r="H9455" s="0" t="n">
        <v>9</v>
      </c>
      <c r="I9455" s="0" t="s">
        <v>31556</v>
      </c>
      <c r="J9455" s="0" t="s">
        <v>31557</v>
      </c>
      <c r="K9455" s="0" t="s">
        <v>31558</v>
      </c>
      <c r="L9455" s="0" t="str">
        <f aca="false">HYPERLINK("https://www.ncbi.nlm.nih.gov/nuccore/CP000304.1?report=graph&amp;tracks=[key:gene_model_track,Options:GeneOnly]&amp;mk=2689945:2689964|offset_9|00cc00,2689920:2689939|offset_34|444444,2689887:2689906|offset_67|444444,2689857:2689876|offset_97|444444&amp;v=2689744:2690076&amp;c=444444", "offset 9")</f>
        <v>offset 9</v>
      </c>
    </row>
    <row r="9456" customFormat="false" ht="12.8" hidden="false" customHeight="false" outlineLevel="0" collapsed="false">
      <c r="A9456" s="0" t="s">
        <v>12</v>
      </c>
      <c r="B9456" s="0" t="n">
        <v>2689919</v>
      </c>
      <c r="C9456" s="0" t="n">
        <v>2689939</v>
      </c>
      <c r="D9456" s="0" t="s">
        <v>31555</v>
      </c>
      <c r="E9456" s="0" t="s">
        <v>89</v>
      </c>
      <c r="F9456" s="0" t="s">
        <v>90</v>
      </c>
      <c r="G9456" s="0" t="s">
        <v>26</v>
      </c>
      <c r="H9456" s="0" t="n">
        <v>34</v>
      </c>
      <c r="I9456" s="0" t="s">
        <v>31559</v>
      </c>
      <c r="J9456" s="0" t="s">
        <v>31560</v>
      </c>
      <c r="K9456" s="0" t="s">
        <v>31561</v>
      </c>
      <c r="L9456" s="0" t="str">
        <f aca="false">HYPERLINK("https://www.ncbi.nlm.nih.gov/nuccore/CP000304.1?report=graph&amp;tracks=[key:gene_model_track,Options:GeneOnly]&amp;mk=2689945:2689964|offset_9|444444,2689920:2689939|offset_34|00cc00,2689887:2689906|offset_67|444444,2689857:2689876|offset_97|444444&amp;v=2689744:2690076&amp;c=444444", "offset 34")</f>
        <v>offset 34</v>
      </c>
    </row>
    <row r="9457" customFormat="false" ht="12.8" hidden="false" customHeight="false" outlineLevel="0" collapsed="false">
      <c r="A9457" s="0" t="s">
        <v>12</v>
      </c>
      <c r="B9457" s="0" t="n">
        <v>2689886</v>
      </c>
      <c r="C9457" s="0" t="n">
        <v>2689906</v>
      </c>
      <c r="D9457" s="0" t="s">
        <v>31555</v>
      </c>
      <c r="E9457" s="0" t="s">
        <v>89</v>
      </c>
      <c r="F9457" s="0" t="s">
        <v>90</v>
      </c>
      <c r="G9457" s="0" t="s">
        <v>16</v>
      </c>
      <c r="H9457" s="0" t="n">
        <v>67</v>
      </c>
      <c r="I9457" s="0" t="s">
        <v>31562</v>
      </c>
      <c r="J9457" s="0" t="s">
        <v>31563</v>
      </c>
      <c r="K9457" s="0" t="s">
        <v>31564</v>
      </c>
      <c r="L9457" s="0" t="str">
        <f aca="false">HYPERLINK("https://www.ncbi.nlm.nih.gov/nuccore/CP000304.1?report=graph&amp;tracks=[key:gene_model_track,Options:GeneOnly]&amp;mk=2689945:2689964|offset_9|444444,2689920:2689939|offset_34|444444,2689887:2689906|offset_67|00cc00,2689857:2689876|offset_97|444444&amp;v=2689744:2690076&amp;c=444444", "offset 67")</f>
        <v>offset 67</v>
      </c>
    </row>
    <row r="9458" customFormat="false" ht="12.8" hidden="false" customHeight="false" outlineLevel="0" collapsed="false">
      <c r="A9458" s="0" t="s">
        <v>12</v>
      </c>
      <c r="B9458" s="0" t="n">
        <v>2689856</v>
      </c>
      <c r="C9458" s="0" t="n">
        <v>2689876</v>
      </c>
      <c r="D9458" s="0" t="s">
        <v>31555</v>
      </c>
      <c r="E9458" s="0" t="s">
        <v>89</v>
      </c>
      <c r="F9458" s="0" t="s">
        <v>90</v>
      </c>
      <c r="G9458" s="0" t="s">
        <v>26</v>
      </c>
      <c r="H9458" s="0" t="n">
        <v>97</v>
      </c>
      <c r="I9458" s="0" t="s">
        <v>31565</v>
      </c>
      <c r="J9458" s="0" t="s">
        <v>31566</v>
      </c>
      <c r="K9458" s="0" t="s">
        <v>31567</v>
      </c>
      <c r="L9458" s="0" t="str">
        <f aca="false">HYPERLINK("https://www.ncbi.nlm.nih.gov/nuccore/CP000304.1?report=graph&amp;tracks=[key:gene_model_track,Options:GeneOnly]&amp;mk=2689945:2689964|offset_9|444444,2689920:2689939|offset_34|444444,2689887:2689906|offset_67|444444,2689857:2689876|offset_97|00cc00&amp;v=2689744:2690076&amp;c=444444", "offset 97")</f>
        <v>offset 97</v>
      </c>
    </row>
    <row r="9459" customFormat="false" ht="12.8" hidden="false" customHeight="false" outlineLevel="0" collapsed="false">
      <c r="A9459" s="0" t="s">
        <v>12</v>
      </c>
      <c r="B9459" s="0" t="n">
        <v>2690023</v>
      </c>
      <c r="C9459" s="0" t="n">
        <v>2690043</v>
      </c>
      <c r="D9459" s="0" t="s">
        <v>31568</v>
      </c>
      <c r="E9459" s="0" t="s">
        <v>89</v>
      </c>
      <c r="F9459" s="0" t="s">
        <v>15</v>
      </c>
      <c r="G9459" s="0" t="s">
        <v>36</v>
      </c>
      <c r="H9459" s="0" t="n">
        <v>0</v>
      </c>
      <c r="I9459" s="0" t="s">
        <v>31569</v>
      </c>
      <c r="J9459" s="0" t="s">
        <v>31570</v>
      </c>
      <c r="K9459" s="0" t="s">
        <v>31571</v>
      </c>
      <c r="L9459" s="0" t="str">
        <f aca="false">HYPERLINK("https://www.ncbi.nlm.nih.gov/nuccore/CP000304.1?report=graph&amp;tracks=[key:gene_model_track,Options:GeneOnly]&amp;mk=2690024:2690043|offset_0|00cc00,2690046:2690065|offset_22|444444,2690068:2690087|offset_44|444444,2690090:2690109|offset_66|444444&amp;v=2689823:2690309&amp;c=444444", "offset 0")</f>
        <v>offset 0</v>
      </c>
    </row>
    <row r="9460" customFormat="false" ht="12.8" hidden="false" customHeight="false" outlineLevel="0" collapsed="false">
      <c r="A9460" s="0" t="s">
        <v>12</v>
      </c>
      <c r="B9460" s="0" t="n">
        <v>2690045</v>
      </c>
      <c r="C9460" s="0" t="n">
        <v>2690065</v>
      </c>
      <c r="D9460" s="0" t="s">
        <v>31568</v>
      </c>
      <c r="E9460" s="0" t="s">
        <v>89</v>
      </c>
      <c r="F9460" s="0" t="s">
        <v>15</v>
      </c>
      <c r="G9460" s="0" t="s">
        <v>32</v>
      </c>
      <c r="H9460" s="0" t="n">
        <v>22</v>
      </c>
      <c r="I9460" s="0" t="s">
        <v>31572</v>
      </c>
      <c r="J9460" s="0" t="s">
        <v>31573</v>
      </c>
      <c r="K9460" s="0" t="s">
        <v>31574</v>
      </c>
      <c r="L9460" s="0" t="str">
        <f aca="false">HYPERLINK("https://www.ncbi.nlm.nih.gov/nuccore/CP000304.1?report=graph&amp;tracks=[key:gene_model_track,Options:GeneOnly]&amp;mk=2690024:2690043|offset_0|444444,2690046:2690065|offset_22|00cc00,2690068:2690087|offset_44|444444,2690090:2690109|offset_66|444444&amp;v=2689823:2690309&amp;c=444444", "offset 22")</f>
        <v>offset 22</v>
      </c>
    </row>
    <row r="9461" customFormat="false" ht="12.8" hidden="false" customHeight="false" outlineLevel="0" collapsed="false">
      <c r="A9461" s="0" t="s">
        <v>12</v>
      </c>
      <c r="B9461" s="0" t="n">
        <v>2690067</v>
      </c>
      <c r="C9461" s="0" t="n">
        <v>2690087</v>
      </c>
      <c r="D9461" s="0" t="s">
        <v>31568</v>
      </c>
      <c r="E9461" s="0" t="s">
        <v>89</v>
      </c>
      <c r="F9461" s="0" t="s">
        <v>15</v>
      </c>
      <c r="G9461" s="0" t="s">
        <v>26</v>
      </c>
      <c r="H9461" s="0" t="n">
        <v>44</v>
      </c>
      <c r="I9461" s="0" t="s">
        <v>31575</v>
      </c>
      <c r="J9461" s="0" t="s">
        <v>31576</v>
      </c>
      <c r="K9461" s="0" t="s">
        <v>31577</v>
      </c>
      <c r="L9461" s="0" t="str">
        <f aca="false">HYPERLINK("https://www.ncbi.nlm.nih.gov/nuccore/CP000304.1?report=graph&amp;tracks=[key:gene_model_track,Options:GeneOnly]&amp;mk=2690024:2690043|offset_0|444444,2690046:2690065|offset_22|444444,2690068:2690087|offset_44|00cc00,2690090:2690109|offset_66|444444&amp;v=2689823:2690309&amp;c=444444", "offset 44")</f>
        <v>offset 44</v>
      </c>
    </row>
    <row r="9462" customFormat="false" ht="12.8" hidden="false" customHeight="false" outlineLevel="0" collapsed="false">
      <c r="A9462" s="0" t="s">
        <v>12</v>
      </c>
      <c r="B9462" s="0" t="n">
        <v>2690089</v>
      </c>
      <c r="C9462" s="0" t="n">
        <v>2690109</v>
      </c>
      <c r="D9462" s="0" t="s">
        <v>31568</v>
      </c>
      <c r="E9462" s="0" t="s">
        <v>89</v>
      </c>
      <c r="F9462" s="0" t="s">
        <v>15</v>
      </c>
      <c r="G9462" s="0" t="s">
        <v>32</v>
      </c>
      <c r="H9462" s="0" t="n">
        <v>66</v>
      </c>
      <c r="I9462" s="0" t="s">
        <v>31578</v>
      </c>
      <c r="J9462" s="0" t="s">
        <v>31579</v>
      </c>
      <c r="K9462" s="0" t="s">
        <v>31580</v>
      </c>
      <c r="L9462" s="0" t="str">
        <f aca="false">HYPERLINK("https://www.ncbi.nlm.nih.gov/nuccore/CP000304.1?report=graph&amp;tracks=[key:gene_model_track,Options:GeneOnly]&amp;mk=2690024:2690043|offset_0|444444,2690046:2690065|offset_22|444444,2690068:2690087|offset_44|444444,2690090:2690109|offset_66|00cc00&amp;v=2689823:2690309&amp;c=444444", "offset 66")</f>
        <v>offset 66</v>
      </c>
    </row>
    <row r="9463" customFormat="false" ht="12.8" hidden="false" customHeight="false" outlineLevel="0" collapsed="false">
      <c r="A9463" s="0" t="s">
        <v>12</v>
      </c>
      <c r="B9463" s="0" t="n">
        <v>2692629</v>
      </c>
      <c r="C9463" s="0" t="n">
        <v>2692649</v>
      </c>
      <c r="D9463" s="0" t="s">
        <v>31581</v>
      </c>
      <c r="E9463" s="0" t="s">
        <v>89</v>
      </c>
      <c r="F9463" s="0" t="s">
        <v>90</v>
      </c>
      <c r="G9463" s="0" t="s">
        <v>16</v>
      </c>
      <c r="H9463" s="0" t="n">
        <v>28</v>
      </c>
      <c r="I9463" s="0" t="s">
        <v>31582</v>
      </c>
      <c r="J9463" s="0" t="s">
        <v>31583</v>
      </c>
      <c r="K9463" s="0" t="s">
        <v>31584</v>
      </c>
      <c r="L9463" s="0" t="str">
        <f aca="false">HYPERLINK("https://www.ncbi.nlm.nih.gov/nuccore/CP000304.1?report=graph&amp;tracks=[key:gene_model_track,Options:GeneOnly]&amp;mk=2692630:2692649|offset_28|00cc00,2692560:2692579|offset_98|444444,2692512:2692531|offset_146|444444,2692490:2692509|offset_168|444444&amp;v=2692429:2692709&amp;c=444444", "offset 28")</f>
        <v>offset 28</v>
      </c>
    </row>
    <row r="9464" customFormat="false" ht="12.8" hidden="false" customHeight="false" outlineLevel="0" collapsed="false">
      <c r="A9464" s="0" t="s">
        <v>12</v>
      </c>
      <c r="B9464" s="0" t="n">
        <v>2692559</v>
      </c>
      <c r="C9464" s="0" t="n">
        <v>2692579</v>
      </c>
      <c r="D9464" s="0" t="s">
        <v>31581</v>
      </c>
      <c r="E9464" s="0" t="s">
        <v>89</v>
      </c>
      <c r="F9464" s="0" t="s">
        <v>90</v>
      </c>
      <c r="G9464" s="0" t="s">
        <v>26</v>
      </c>
      <c r="H9464" s="0" t="n">
        <v>98</v>
      </c>
      <c r="I9464" s="0" t="s">
        <v>31585</v>
      </c>
      <c r="J9464" s="0" t="s">
        <v>31586</v>
      </c>
      <c r="K9464" s="0" t="s">
        <v>31587</v>
      </c>
      <c r="L9464" s="0" t="str">
        <f aca="false">HYPERLINK("https://www.ncbi.nlm.nih.gov/nuccore/CP000304.1?report=graph&amp;tracks=[key:gene_model_track,Options:GeneOnly]&amp;mk=2692630:2692649|offset_28|444444,2692560:2692579|offset_98|00cc00,2692512:2692531|offset_146|444444,2692490:2692509|offset_168|444444&amp;v=2692429:2692709&amp;c=444444", "offset 98")</f>
        <v>offset 98</v>
      </c>
    </row>
    <row r="9465" customFormat="false" ht="12.8" hidden="false" customHeight="false" outlineLevel="0" collapsed="false">
      <c r="A9465" s="0" t="s">
        <v>12</v>
      </c>
      <c r="B9465" s="0" t="n">
        <v>2692511</v>
      </c>
      <c r="C9465" s="0" t="n">
        <v>2692531</v>
      </c>
      <c r="D9465" s="0" t="s">
        <v>31581</v>
      </c>
      <c r="E9465" s="0" t="s">
        <v>89</v>
      </c>
      <c r="F9465" s="0" t="s">
        <v>90</v>
      </c>
      <c r="G9465" s="0" t="s">
        <v>26</v>
      </c>
      <c r="H9465" s="0" t="n">
        <v>146</v>
      </c>
      <c r="I9465" s="0" t="s">
        <v>31588</v>
      </c>
      <c r="J9465" s="0" t="s">
        <v>31589</v>
      </c>
      <c r="K9465" s="0" t="s">
        <v>31590</v>
      </c>
      <c r="L9465" s="0" t="str">
        <f aca="false">HYPERLINK("https://www.ncbi.nlm.nih.gov/nuccore/CP000304.1?report=graph&amp;tracks=[key:gene_model_track,Options:GeneOnly]&amp;mk=2692630:2692649|offset_28|444444,2692560:2692579|offset_98|444444,2692512:2692531|offset_146|00cc00,2692490:2692509|offset_168|444444&amp;v=2692429:2692709&amp;c=444444", "offset 146")</f>
        <v>offset 146</v>
      </c>
    </row>
    <row r="9466" customFormat="false" ht="12.8" hidden="false" customHeight="false" outlineLevel="0" collapsed="false">
      <c r="A9466" s="0" t="s">
        <v>12</v>
      </c>
      <c r="B9466" s="0" t="n">
        <v>2692489</v>
      </c>
      <c r="C9466" s="0" t="n">
        <v>2692509</v>
      </c>
      <c r="D9466" s="0" t="s">
        <v>31581</v>
      </c>
      <c r="E9466" s="0" t="s">
        <v>89</v>
      </c>
      <c r="F9466" s="0" t="s">
        <v>90</v>
      </c>
      <c r="G9466" s="0" t="s">
        <v>36</v>
      </c>
      <c r="H9466" s="0" t="n">
        <v>168</v>
      </c>
      <c r="I9466" s="0" t="s">
        <v>31591</v>
      </c>
      <c r="J9466" s="0" t="s">
        <v>31592</v>
      </c>
      <c r="K9466" s="0" t="s">
        <v>31593</v>
      </c>
      <c r="L9466" s="0" t="str">
        <f aca="false">HYPERLINK("https://www.ncbi.nlm.nih.gov/nuccore/CP000304.1?report=graph&amp;tracks=[key:gene_model_track,Options:GeneOnly]&amp;mk=2692630:2692649|offset_28|444444,2692560:2692579|offset_98|444444,2692512:2692531|offset_146|444444,2692490:2692509|offset_168|00cc00&amp;v=2692429:2692709&amp;c=444444", "offset 168")</f>
        <v>offset 168</v>
      </c>
    </row>
    <row r="9467" customFormat="false" ht="12.8" hidden="false" customHeight="false" outlineLevel="0" collapsed="false">
      <c r="A9467" s="0" t="s">
        <v>12</v>
      </c>
      <c r="B9467" s="0" t="n">
        <v>2694932</v>
      </c>
      <c r="C9467" s="0" t="n">
        <v>2694952</v>
      </c>
      <c r="D9467" s="0" t="s">
        <v>31594</v>
      </c>
      <c r="E9467" s="0" t="s">
        <v>31595</v>
      </c>
      <c r="F9467" s="0" t="s">
        <v>90</v>
      </c>
      <c r="G9467" s="0" t="s">
        <v>32</v>
      </c>
      <c r="H9467" s="0" t="n">
        <v>11</v>
      </c>
      <c r="I9467" s="0" t="s">
        <v>31596</v>
      </c>
      <c r="J9467" s="0" t="s">
        <v>31597</v>
      </c>
      <c r="K9467" s="0" t="s">
        <v>31598</v>
      </c>
      <c r="L9467" s="0" t="str">
        <f aca="false">HYPERLINK("https://www.ncbi.nlm.nih.gov/nuccore/CP000304.1?report=graph&amp;tracks=[key:gene_model_track,Options:GeneOnly]&amp;mk=2694933:2694952|offset_11|00cc00,2694879:2694898|offset_65|444444,2694820:2694839|offset_124|444444,2694788:2694807|offset_156|444444&amp;v=2694732:2695007&amp;c=444444", "offset 11")</f>
        <v>offset 11</v>
      </c>
    </row>
    <row r="9468" customFormat="false" ht="12.8" hidden="false" customHeight="false" outlineLevel="0" collapsed="false">
      <c r="A9468" s="0" t="s">
        <v>12</v>
      </c>
      <c r="B9468" s="0" t="n">
        <v>2694878</v>
      </c>
      <c r="C9468" s="0" t="n">
        <v>2694898</v>
      </c>
      <c r="D9468" s="0" t="s">
        <v>31594</v>
      </c>
      <c r="E9468" s="0" t="s">
        <v>31595</v>
      </c>
      <c r="F9468" s="0" t="s">
        <v>90</v>
      </c>
      <c r="G9468" s="0" t="s">
        <v>32</v>
      </c>
      <c r="H9468" s="0" t="n">
        <v>65</v>
      </c>
      <c r="I9468" s="0" t="s">
        <v>31599</v>
      </c>
      <c r="J9468" s="0" t="s">
        <v>31600</v>
      </c>
      <c r="K9468" s="0" t="s">
        <v>31601</v>
      </c>
      <c r="L9468" s="0" t="str">
        <f aca="false">HYPERLINK("https://www.ncbi.nlm.nih.gov/nuccore/CP000304.1?report=graph&amp;tracks=[key:gene_model_track,Options:GeneOnly]&amp;mk=2694933:2694952|offset_11|444444,2694879:2694898|offset_65|00cc00,2694820:2694839|offset_124|444444,2694788:2694807|offset_156|444444&amp;v=2694732:2695007&amp;c=444444", "offset 65")</f>
        <v>offset 65</v>
      </c>
    </row>
    <row r="9469" customFormat="false" ht="12.8" hidden="false" customHeight="false" outlineLevel="0" collapsed="false">
      <c r="A9469" s="0" t="s">
        <v>12</v>
      </c>
      <c r="B9469" s="0" t="n">
        <v>2694819</v>
      </c>
      <c r="C9469" s="0" t="n">
        <v>2694839</v>
      </c>
      <c r="D9469" s="0" t="s">
        <v>31594</v>
      </c>
      <c r="E9469" s="0" t="s">
        <v>31595</v>
      </c>
      <c r="F9469" s="0" t="s">
        <v>90</v>
      </c>
      <c r="G9469" s="0" t="s">
        <v>16</v>
      </c>
      <c r="H9469" s="0" t="n">
        <v>124</v>
      </c>
      <c r="I9469" s="0" t="s">
        <v>31602</v>
      </c>
      <c r="J9469" s="0" t="s">
        <v>31603</v>
      </c>
      <c r="K9469" s="0" t="s">
        <v>31604</v>
      </c>
      <c r="L9469" s="0" t="str">
        <f aca="false">HYPERLINK("https://www.ncbi.nlm.nih.gov/nuccore/CP000304.1?report=graph&amp;tracks=[key:gene_model_track,Options:GeneOnly]&amp;mk=2694933:2694952|offset_11|444444,2694879:2694898|offset_65|444444,2694820:2694839|offset_124|00cc00,2694788:2694807|offset_156|444444&amp;v=2694732:2695007&amp;c=444444", "offset 124")</f>
        <v>offset 124</v>
      </c>
    </row>
    <row r="9470" customFormat="false" ht="12.8" hidden="false" customHeight="false" outlineLevel="0" collapsed="false">
      <c r="A9470" s="0" t="s">
        <v>12</v>
      </c>
      <c r="B9470" s="0" t="n">
        <v>2694787</v>
      </c>
      <c r="C9470" s="0" t="n">
        <v>2694807</v>
      </c>
      <c r="D9470" s="0" t="s">
        <v>31594</v>
      </c>
      <c r="E9470" s="0" t="s">
        <v>31595</v>
      </c>
      <c r="F9470" s="0" t="s">
        <v>90</v>
      </c>
      <c r="G9470" s="0" t="s">
        <v>16</v>
      </c>
      <c r="H9470" s="0" t="n">
        <v>156</v>
      </c>
      <c r="I9470" s="0" t="s">
        <v>31605</v>
      </c>
      <c r="J9470" s="0" t="s">
        <v>31606</v>
      </c>
      <c r="K9470" s="0" t="s">
        <v>31607</v>
      </c>
      <c r="L9470" s="0" t="str">
        <f aca="false">HYPERLINK("https://www.ncbi.nlm.nih.gov/nuccore/CP000304.1?report=graph&amp;tracks=[key:gene_model_track,Options:GeneOnly]&amp;mk=2694933:2694952|offset_11|444444,2694879:2694898|offset_65|444444,2694820:2694839|offset_124|444444,2694788:2694807|offset_156|00cc00&amp;v=2694732:2695007&amp;c=444444", "offset 156")</f>
        <v>offset 156</v>
      </c>
    </row>
    <row r="9471" customFormat="false" ht="12.8" hidden="false" customHeight="false" outlineLevel="0" collapsed="false">
      <c r="A9471" s="0" t="s">
        <v>12</v>
      </c>
      <c r="B9471" s="0" t="n">
        <v>2695132</v>
      </c>
      <c r="C9471" s="0" t="n">
        <v>2695152</v>
      </c>
      <c r="D9471" s="0" t="s">
        <v>31608</v>
      </c>
      <c r="E9471" s="0" t="s">
        <v>89</v>
      </c>
      <c r="F9471" s="0" t="s">
        <v>15</v>
      </c>
      <c r="G9471" s="0" t="s">
        <v>16</v>
      </c>
      <c r="H9471" s="0" t="n">
        <v>0</v>
      </c>
      <c r="I9471" s="0" t="s">
        <v>31609</v>
      </c>
      <c r="J9471" s="0" t="s">
        <v>31610</v>
      </c>
      <c r="K9471" s="0" t="s">
        <v>31611</v>
      </c>
      <c r="L9471" s="0" t="str">
        <f aca="false">HYPERLINK("https://www.ncbi.nlm.nih.gov/nuccore/CP000304.1?report=graph&amp;tracks=[key:gene_model_track,Options:GeneOnly]&amp;mk=2695133:2695152|offset_0|00cc00,2695158:2695177|offset_25|444444,2695218:2695237|offset_85|444444,2695265:2695284|offset_132|444444&amp;v=2694932:2695484&amp;c=444444", "offset 0")</f>
        <v>offset 0</v>
      </c>
    </row>
    <row r="9472" customFormat="false" ht="12.8" hidden="false" customHeight="false" outlineLevel="0" collapsed="false">
      <c r="A9472" s="0" t="s">
        <v>12</v>
      </c>
      <c r="B9472" s="0" t="n">
        <v>2695157</v>
      </c>
      <c r="C9472" s="0" t="n">
        <v>2695177</v>
      </c>
      <c r="D9472" s="0" t="s">
        <v>31608</v>
      </c>
      <c r="E9472" s="0" t="s">
        <v>89</v>
      </c>
      <c r="F9472" s="0" t="s">
        <v>15</v>
      </c>
      <c r="G9472" s="0" t="s">
        <v>36</v>
      </c>
      <c r="H9472" s="0" t="n">
        <v>25</v>
      </c>
      <c r="I9472" s="0" t="s">
        <v>31612</v>
      </c>
      <c r="J9472" s="0" t="s">
        <v>31613</v>
      </c>
      <c r="K9472" s="0" t="s">
        <v>31614</v>
      </c>
      <c r="L9472" s="0" t="str">
        <f aca="false">HYPERLINK("https://www.ncbi.nlm.nih.gov/nuccore/CP000304.1?report=graph&amp;tracks=[key:gene_model_track,Options:GeneOnly]&amp;mk=2695133:2695152|offset_0|444444,2695158:2695177|offset_25|00cc00,2695218:2695237|offset_85|444444,2695265:2695284|offset_132|444444&amp;v=2694932:2695484&amp;c=444444", "offset 25")</f>
        <v>offset 25</v>
      </c>
    </row>
    <row r="9473" customFormat="false" ht="12.8" hidden="false" customHeight="false" outlineLevel="0" collapsed="false">
      <c r="A9473" s="0" t="s">
        <v>12</v>
      </c>
      <c r="B9473" s="0" t="n">
        <v>2695217</v>
      </c>
      <c r="C9473" s="0" t="n">
        <v>2695237</v>
      </c>
      <c r="D9473" s="0" t="s">
        <v>31608</v>
      </c>
      <c r="E9473" s="0" t="s">
        <v>89</v>
      </c>
      <c r="F9473" s="0" t="s">
        <v>15</v>
      </c>
      <c r="G9473" s="0" t="s">
        <v>16</v>
      </c>
      <c r="H9473" s="0" t="n">
        <v>85</v>
      </c>
      <c r="I9473" s="0" t="s">
        <v>31615</v>
      </c>
      <c r="J9473" s="0" t="s">
        <v>31616</v>
      </c>
      <c r="K9473" s="0" t="s">
        <v>31617</v>
      </c>
      <c r="L9473" s="0" t="str">
        <f aca="false">HYPERLINK("https://www.ncbi.nlm.nih.gov/nuccore/CP000304.1?report=graph&amp;tracks=[key:gene_model_track,Options:GeneOnly]&amp;mk=2695133:2695152|offset_0|444444,2695158:2695177|offset_25|444444,2695218:2695237|offset_85|00cc00,2695265:2695284|offset_132|444444&amp;v=2694932:2695484&amp;c=444444", "offset 85")</f>
        <v>offset 85</v>
      </c>
    </row>
    <row r="9474" customFormat="false" ht="12.8" hidden="false" customHeight="false" outlineLevel="0" collapsed="false">
      <c r="A9474" s="0" t="s">
        <v>12</v>
      </c>
      <c r="B9474" s="0" t="n">
        <v>2695264</v>
      </c>
      <c r="C9474" s="0" t="n">
        <v>2695284</v>
      </c>
      <c r="D9474" s="0" t="s">
        <v>31608</v>
      </c>
      <c r="E9474" s="0" t="s">
        <v>89</v>
      </c>
      <c r="F9474" s="0" t="s">
        <v>15</v>
      </c>
      <c r="G9474" s="0" t="s">
        <v>36</v>
      </c>
      <c r="H9474" s="0" t="n">
        <v>132</v>
      </c>
      <c r="I9474" s="0" t="s">
        <v>31618</v>
      </c>
      <c r="J9474" s="0" t="s">
        <v>31619</v>
      </c>
      <c r="K9474" s="0" t="s">
        <v>31620</v>
      </c>
      <c r="L9474" s="0" t="str">
        <f aca="false">HYPERLINK("https://www.ncbi.nlm.nih.gov/nuccore/CP000304.1?report=graph&amp;tracks=[key:gene_model_track,Options:GeneOnly]&amp;mk=2695133:2695152|offset_0|444444,2695158:2695177|offset_25|444444,2695218:2695237|offset_85|444444,2695265:2695284|offset_132|00cc00&amp;v=2694932:2695484&amp;c=444444", "offset 132")</f>
        <v>offset 132</v>
      </c>
    </row>
    <row r="9475" customFormat="false" ht="12.8" hidden="false" customHeight="false" outlineLevel="0" collapsed="false">
      <c r="A9475" s="0" t="s">
        <v>12</v>
      </c>
      <c r="B9475" s="0" t="n">
        <v>2695912</v>
      </c>
      <c r="C9475" s="0" t="n">
        <v>2695932</v>
      </c>
      <c r="D9475" s="0" t="s">
        <v>31621</v>
      </c>
      <c r="E9475" s="0" t="s">
        <v>89</v>
      </c>
      <c r="F9475" s="0" t="s">
        <v>15</v>
      </c>
      <c r="G9475" s="0" t="s">
        <v>36</v>
      </c>
      <c r="H9475" s="0" t="n">
        <v>7</v>
      </c>
      <c r="I9475" s="0" t="s">
        <v>31622</v>
      </c>
      <c r="J9475" s="0" t="s">
        <v>31623</v>
      </c>
      <c r="K9475" s="0" t="s">
        <v>31624</v>
      </c>
      <c r="L9475" s="0" t="str">
        <f aca="false">HYPERLINK("https://www.ncbi.nlm.nih.gov/nuccore/CP000304.1?report=graph&amp;tracks=[key:gene_model_track,Options:GeneOnly]&amp;mk=2695913:2695932|offset_7|00cc00,2695935:2695954|offset_29|444444,2696010:2696029|offset_104|444444,2696037:2696056|offset_131|444444&amp;v=2695712:2696256&amp;c=444444", "offset 7")</f>
        <v>offset 7</v>
      </c>
    </row>
    <row r="9476" customFormat="false" ht="12.8" hidden="false" customHeight="false" outlineLevel="0" collapsed="false">
      <c r="A9476" s="0" t="s">
        <v>12</v>
      </c>
      <c r="B9476" s="0" t="n">
        <v>2695934</v>
      </c>
      <c r="C9476" s="0" t="n">
        <v>2695954</v>
      </c>
      <c r="D9476" s="0" t="s">
        <v>31621</v>
      </c>
      <c r="E9476" s="0" t="s">
        <v>89</v>
      </c>
      <c r="F9476" s="0" t="s">
        <v>15</v>
      </c>
      <c r="G9476" s="0" t="s">
        <v>16</v>
      </c>
      <c r="H9476" s="0" t="n">
        <v>29</v>
      </c>
      <c r="I9476" s="0" t="s">
        <v>31625</v>
      </c>
      <c r="J9476" s="0" t="s">
        <v>31626</v>
      </c>
      <c r="K9476" s="0" t="s">
        <v>31627</v>
      </c>
      <c r="L9476" s="0" t="str">
        <f aca="false">HYPERLINK("https://www.ncbi.nlm.nih.gov/nuccore/CP000304.1?report=graph&amp;tracks=[key:gene_model_track,Options:GeneOnly]&amp;mk=2695913:2695932|offset_7|444444,2695935:2695954|offset_29|00cc00,2696010:2696029|offset_104|444444,2696037:2696056|offset_131|444444&amp;v=2695712:2696256&amp;c=444444", "offset 29")</f>
        <v>offset 29</v>
      </c>
    </row>
    <row r="9477" customFormat="false" ht="12.8" hidden="false" customHeight="false" outlineLevel="0" collapsed="false">
      <c r="A9477" s="0" t="s">
        <v>12</v>
      </c>
      <c r="B9477" s="0" t="n">
        <v>2696009</v>
      </c>
      <c r="C9477" s="0" t="n">
        <v>2696029</v>
      </c>
      <c r="D9477" s="0" t="s">
        <v>31621</v>
      </c>
      <c r="E9477" s="0" t="s">
        <v>89</v>
      </c>
      <c r="F9477" s="0" t="s">
        <v>15</v>
      </c>
      <c r="G9477" s="0" t="s">
        <v>26</v>
      </c>
      <c r="H9477" s="0" t="n">
        <v>104</v>
      </c>
      <c r="I9477" s="0" t="s">
        <v>31628</v>
      </c>
      <c r="J9477" s="0" t="s">
        <v>31629</v>
      </c>
      <c r="K9477" s="0" t="s">
        <v>31630</v>
      </c>
      <c r="L9477" s="0" t="str">
        <f aca="false">HYPERLINK("https://www.ncbi.nlm.nih.gov/nuccore/CP000304.1?report=graph&amp;tracks=[key:gene_model_track,Options:GeneOnly]&amp;mk=2695913:2695932|offset_7|444444,2695935:2695954|offset_29|444444,2696010:2696029|offset_104|00cc00,2696037:2696056|offset_131|444444&amp;v=2695712:2696256&amp;c=444444", "offset 104")</f>
        <v>offset 104</v>
      </c>
    </row>
    <row r="9478" customFormat="false" ht="12.8" hidden="false" customHeight="false" outlineLevel="0" collapsed="false">
      <c r="A9478" s="0" t="s">
        <v>12</v>
      </c>
      <c r="B9478" s="0" t="n">
        <v>2696036</v>
      </c>
      <c r="C9478" s="0" t="n">
        <v>2696056</v>
      </c>
      <c r="D9478" s="0" t="s">
        <v>31621</v>
      </c>
      <c r="E9478" s="0" t="s">
        <v>89</v>
      </c>
      <c r="F9478" s="0" t="s">
        <v>15</v>
      </c>
      <c r="G9478" s="0" t="s">
        <v>26</v>
      </c>
      <c r="H9478" s="0" t="n">
        <v>131</v>
      </c>
      <c r="I9478" s="0" t="s">
        <v>31631</v>
      </c>
      <c r="J9478" s="0" t="s">
        <v>31632</v>
      </c>
      <c r="K9478" s="0" t="s">
        <v>31633</v>
      </c>
      <c r="L9478" s="0" t="str">
        <f aca="false">HYPERLINK("https://www.ncbi.nlm.nih.gov/nuccore/CP000304.1?report=graph&amp;tracks=[key:gene_model_track,Options:GeneOnly]&amp;mk=2695913:2695932|offset_7|444444,2695935:2695954|offset_29|444444,2696010:2696029|offset_104|444444,2696037:2696056|offset_131|00cc00&amp;v=2695712:2696256&amp;c=444444", "offset 131")</f>
        <v>offset 131</v>
      </c>
    </row>
    <row r="9479" customFormat="false" ht="12.8" hidden="false" customHeight="false" outlineLevel="0" collapsed="false">
      <c r="A9479" s="0" t="s">
        <v>12</v>
      </c>
      <c r="B9479" s="0" t="n">
        <v>2696929</v>
      </c>
      <c r="C9479" s="0" t="n">
        <v>2696949</v>
      </c>
      <c r="D9479" s="0" t="s">
        <v>31634</v>
      </c>
      <c r="E9479" s="0" t="s">
        <v>89</v>
      </c>
      <c r="F9479" s="0" t="s">
        <v>90</v>
      </c>
      <c r="G9479" s="0" t="s">
        <v>32</v>
      </c>
      <c r="H9479" s="0" t="n">
        <v>1</v>
      </c>
      <c r="I9479" s="0" t="s">
        <v>31635</v>
      </c>
      <c r="J9479" s="0" t="s">
        <v>31636</v>
      </c>
      <c r="K9479" s="0" t="s">
        <v>31637</v>
      </c>
      <c r="L9479" s="0" t="str">
        <f aca="false">HYPERLINK("https://www.ncbi.nlm.nih.gov/nuccore/CP000304.1?report=graph&amp;tracks=[key:gene_model_track,Options:GeneOnly]&amp;mk=2696930:2696949|offset_1|00cc00,2696909:2696928|offset_22|444444,2696881:2696900|offset_50|444444,2696851:2696870|offset_80|444444&amp;v=2696729:2697070&amp;c=444444", "offset 1")</f>
        <v>offset 1</v>
      </c>
    </row>
    <row r="9480" customFormat="false" ht="12.8" hidden="false" customHeight="false" outlineLevel="0" collapsed="false">
      <c r="A9480" s="0" t="s">
        <v>12</v>
      </c>
      <c r="B9480" s="0" t="n">
        <v>2696908</v>
      </c>
      <c r="C9480" s="0" t="n">
        <v>2696928</v>
      </c>
      <c r="D9480" s="0" t="s">
        <v>31634</v>
      </c>
      <c r="E9480" s="0" t="s">
        <v>89</v>
      </c>
      <c r="F9480" s="0" t="s">
        <v>90</v>
      </c>
      <c r="G9480" s="0" t="s">
        <v>36</v>
      </c>
      <c r="H9480" s="0" t="n">
        <v>22</v>
      </c>
      <c r="I9480" s="0" t="s">
        <v>31638</v>
      </c>
      <c r="J9480" s="0" t="s">
        <v>31639</v>
      </c>
      <c r="K9480" s="0" t="s">
        <v>31640</v>
      </c>
      <c r="L9480" s="0" t="str">
        <f aca="false">HYPERLINK("https://www.ncbi.nlm.nih.gov/nuccore/CP000304.1?report=graph&amp;tracks=[key:gene_model_track,Options:GeneOnly]&amp;mk=2696930:2696949|offset_1|444444,2696909:2696928|offset_22|00cc00,2696881:2696900|offset_50|444444,2696851:2696870|offset_80|444444&amp;v=2696729:2697070&amp;c=444444", "offset 22")</f>
        <v>offset 22</v>
      </c>
    </row>
    <row r="9481" customFormat="false" ht="12.8" hidden="false" customHeight="false" outlineLevel="0" collapsed="false">
      <c r="A9481" s="0" t="s">
        <v>12</v>
      </c>
      <c r="B9481" s="0" t="n">
        <v>2696880</v>
      </c>
      <c r="C9481" s="0" t="n">
        <v>2696900</v>
      </c>
      <c r="D9481" s="0" t="s">
        <v>31634</v>
      </c>
      <c r="E9481" s="0" t="s">
        <v>89</v>
      </c>
      <c r="F9481" s="0" t="s">
        <v>90</v>
      </c>
      <c r="G9481" s="0" t="s">
        <v>26</v>
      </c>
      <c r="H9481" s="0" t="n">
        <v>50</v>
      </c>
      <c r="I9481" s="0" t="s">
        <v>31641</v>
      </c>
      <c r="J9481" s="0" t="s">
        <v>31642</v>
      </c>
      <c r="K9481" s="0" t="s">
        <v>31643</v>
      </c>
      <c r="L9481" s="0" t="str">
        <f aca="false">HYPERLINK("https://www.ncbi.nlm.nih.gov/nuccore/CP000304.1?report=graph&amp;tracks=[key:gene_model_track,Options:GeneOnly]&amp;mk=2696930:2696949|offset_1|444444,2696909:2696928|offset_22|444444,2696881:2696900|offset_50|00cc00,2696851:2696870|offset_80|444444&amp;v=2696729:2697070&amp;c=444444", "offset 50")</f>
        <v>offset 50</v>
      </c>
    </row>
    <row r="9482" customFormat="false" ht="12.8" hidden="false" customHeight="false" outlineLevel="0" collapsed="false">
      <c r="A9482" s="0" t="s">
        <v>12</v>
      </c>
      <c r="B9482" s="0" t="n">
        <v>2696850</v>
      </c>
      <c r="C9482" s="0" t="n">
        <v>2696870</v>
      </c>
      <c r="D9482" s="0" t="s">
        <v>31634</v>
      </c>
      <c r="E9482" s="0" t="s">
        <v>89</v>
      </c>
      <c r="F9482" s="0" t="s">
        <v>90</v>
      </c>
      <c r="G9482" s="0" t="s">
        <v>16</v>
      </c>
      <c r="H9482" s="0" t="n">
        <v>80</v>
      </c>
      <c r="I9482" s="0" t="s">
        <v>31644</v>
      </c>
      <c r="J9482" s="0" t="s">
        <v>31645</v>
      </c>
      <c r="K9482" s="0" t="s">
        <v>31646</v>
      </c>
      <c r="L9482" s="0" t="str">
        <f aca="false">HYPERLINK("https://www.ncbi.nlm.nih.gov/nuccore/CP000304.1?report=graph&amp;tracks=[key:gene_model_track,Options:GeneOnly]&amp;mk=2696930:2696949|offset_1|444444,2696909:2696928|offset_22|444444,2696881:2696900|offset_50|444444,2696851:2696870|offset_80|00cc00&amp;v=2696729:2697070&amp;c=444444", "offset 80")</f>
        <v>offset 80</v>
      </c>
    </row>
    <row r="9483" customFormat="false" ht="12.8" hidden="false" customHeight="false" outlineLevel="0" collapsed="false">
      <c r="A9483" s="0" t="s">
        <v>12</v>
      </c>
      <c r="B9483" s="0" t="n">
        <v>2697047</v>
      </c>
      <c r="C9483" s="0" t="n">
        <v>2697067</v>
      </c>
      <c r="D9483" s="0" t="s">
        <v>31647</v>
      </c>
      <c r="E9483" s="0" t="s">
        <v>31648</v>
      </c>
      <c r="F9483" s="0" t="s">
        <v>15</v>
      </c>
      <c r="G9483" s="0" t="s">
        <v>16</v>
      </c>
      <c r="H9483" s="0" t="n">
        <v>10</v>
      </c>
      <c r="I9483" s="0" t="s">
        <v>31649</v>
      </c>
      <c r="J9483" s="0" t="s">
        <v>31650</v>
      </c>
      <c r="K9483" s="0" t="s">
        <v>31651</v>
      </c>
      <c r="L9483" s="0" t="str">
        <f aca="false">HYPERLINK("https://www.ncbi.nlm.nih.gov/nuccore/CP000304.1?report=graph&amp;tracks=[key:gene_model_track,Options:GeneOnly]&amp;mk=2697048:2697067|offset_10|00cc00,2697069:2697088|offset_31|444444,2697143:2697162|offset_105|444444,2697164:2697183|offset_126|444444&amp;v=2696847:2697383&amp;c=444444", "offset 10")</f>
        <v>offset 10</v>
      </c>
    </row>
    <row r="9484" customFormat="false" ht="12.8" hidden="false" customHeight="false" outlineLevel="0" collapsed="false">
      <c r="A9484" s="0" t="s">
        <v>12</v>
      </c>
      <c r="B9484" s="0" t="n">
        <v>2697068</v>
      </c>
      <c r="C9484" s="0" t="n">
        <v>2697088</v>
      </c>
      <c r="D9484" s="0" t="s">
        <v>31647</v>
      </c>
      <c r="E9484" s="0" t="s">
        <v>31648</v>
      </c>
      <c r="F9484" s="0" t="s">
        <v>15</v>
      </c>
      <c r="G9484" s="0" t="s">
        <v>36</v>
      </c>
      <c r="H9484" s="0" t="n">
        <v>31</v>
      </c>
      <c r="I9484" s="0" t="s">
        <v>31652</v>
      </c>
      <c r="J9484" s="0" t="s">
        <v>31653</v>
      </c>
      <c r="K9484" s="0" t="s">
        <v>31654</v>
      </c>
      <c r="L9484" s="0" t="str">
        <f aca="false">HYPERLINK("https://www.ncbi.nlm.nih.gov/nuccore/CP000304.1?report=graph&amp;tracks=[key:gene_model_track,Options:GeneOnly]&amp;mk=2697048:2697067|offset_10|444444,2697069:2697088|offset_31|00cc00,2697143:2697162|offset_105|444444,2697164:2697183|offset_126|444444&amp;v=2696847:2697383&amp;c=444444", "offset 31")</f>
        <v>offset 31</v>
      </c>
    </row>
    <row r="9485" customFormat="false" ht="12.8" hidden="false" customHeight="false" outlineLevel="0" collapsed="false">
      <c r="A9485" s="0" t="s">
        <v>12</v>
      </c>
      <c r="B9485" s="0" t="n">
        <v>2697142</v>
      </c>
      <c r="C9485" s="0" t="n">
        <v>2697162</v>
      </c>
      <c r="D9485" s="0" t="s">
        <v>31647</v>
      </c>
      <c r="E9485" s="0" t="s">
        <v>31648</v>
      </c>
      <c r="F9485" s="0" t="s">
        <v>15</v>
      </c>
      <c r="G9485" s="0" t="s">
        <v>16</v>
      </c>
      <c r="H9485" s="0" t="n">
        <v>105</v>
      </c>
      <c r="I9485" s="0" t="s">
        <v>31655</v>
      </c>
      <c r="J9485" s="0" t="s">
        <v>31656</v>
      </c>
      <c r="K9485" s="0" t="s">
        <v>31657</v>
      </c>
      <c r="L9485" s="0" t="str">
        <f aca="false">HYPERLINK("https://www.ncbi.nlm.nih.gov/nuccore/CP000304.1?report=graph&amp;tracks=[key:gene_model_track,Options:GeneOnly]&amp;mk=2697048:2697067|offset_10|444444,2697069:2697088|offset_31|444444,2697143:2697162|offset_105|00cc00,2697164:2697183|offset_126|444444&amp;v=2696847:2697383&amp;c=444444", "offset 105")</f>
        <v>offset 105</v>
      </c>
    </row>
    <row r="9486" customFormat="false" ht="12.8" hidden="false" customHeight="false" outlineLevel="0" collapsed="false">
      <c r="A9486" s="0" t="s">
        <v>12</v>
      </c>
      <c r="B9486" s="0" t="n">
        <v>2697163</v>
      </c>
      <c r="C9486" s="0" t="n">
        <v>2697183</v>
      </c>
      <c r="D9486" s="0" t="s">
        <v>31647</v>
      </c>
      <c r="E9486" s="0" t="s">
        <v>31648</v>
      </c>
      <c r="F9486" s="0" t="s">
        <v>15</v>
      </c>
      <c r="G9486" s="0" t="s">
        <v>16</v>
      </c>
      <c r="H9486" s="0" t="n">
        <v>126</v>
      </c>
      <c r="I9486" s="0" t="s">
        <v>31658</v>
      </c>
      <c r="J9486" s="0" t="s">
        <v>31659</v>
      </c>
      <c r="K9486" s="0" t="s">
        <v>31660</v>
      </c>
      <c r="L9486" s="0" t="str">
        <f aca="false">HYPERLINK("https://www.ncbi.nlm.nih.gov/nuccore/CP000304.1?report=graph&amp;tracks=[key:gene_model_track,Options:GeneOnly]&amp;mk=2697048:2697067|offset_10|444444,2697069:2697088|offset_31|444444,2697143:2697162|offset_105|444444,2697164:2697183|offset_126|00cc00&amp;v=2696847:2697383&amp;c=444444", "offset 126")</f>
        <v>offset 126</v>
      </c>
    </row>
    <row r="9487" customFormat="false" ht="12.8" hidden="false" customHeight="false" outlineLevel="0" collapsed="false">
      <c r="A9487" s="0" t="s">
        <v>12</v>
      </c>
      <c r="B9487" s="0" t="n">
        <v>2697820</v>
      </c>
      <c r="C9487" s="0" t="n">
        <v>2697840</v>
      </c>
      <c r="D9487" s="0" t="s">
        <v>31661</v>
      </c>
      <c r="E9487" s="0" t="s">
        <v>89</v>
      </c>
      <c r="F9487" s="0" t="s">
        <v>90</v>
      </c>
      <c r="G9487" s="0" t="s">
        <v>32</v>
      </c>
      <c r="H9487" s="0" t="n">
        <v>1</v>
      </c>
      <c r="I9487" s="0" t="s">
        <v>31662</v>
      </c>
      <c r="J9487" s="0" t="s">
        <v>31663</v>
      </c>
      <c r="K9487" s="0" t="s">
        <v>31664</v>
      </c>
      <c r="L9487" s="0" t="str">
        <f aca="false">HYPERLINK("https://www.ncbi.nlm.nih.gov/nuccore/CP000304.1?report=graph&amp;tracks=[key:gene_model_track,Options:GeneOnly]&amp;mk=2697821:2697840|offset_1|00cc00,2697759:2697778|offset_63|444444,2697739:2697758|offset_83|444444&amp;v=2697620:2697958&amp;c=444444", "offset 1")</f>
        <v>offset 1</v>
      </c>
    </row>
    <row r="9488" customFormat="false" ht="12.8" hidden="false" customHeight="false" outlineLevel="0" collapsed="false">
      <c r="A9488" s="0" t="s">
        <v>12</v>
      </c>
      <c r="B9488" s="0" t="n">
        <v>2697758</v>
      </c>
      <c r="C9488" s="0" t="n">
        <v>2697778</v>
      </c>
      <c r="D9488" s="0" t="s">
        <v>31661</v>
      </c>
      <c r="E9488" s="0" t="s">
        <v>89</v>
      </c>
      <c r="F9488" s="0" t="s">
        <v>90</v>
      </c>
      <c r="G9488" s="0" t="s">
        <v>16</v>
      </c>
      <c r="H9488" s="0" t="n">
        <v>63</v>
      </c>
      <c r="I9488" s="0" t="s">
        <v>31665</v>
      </c>
      <c r="J9488" s="0" t="s">
        <v>31666</v>
      </c>
      <c r="K9488" s="0" t="s">
        <v>31667</v>
      </c>
      <c r="L9488" s="0" t="str">
        <f aca="false">HYPERLINK("https://www.ncbi.nlm.nih.gov/nuccore/CP000304.1?report=graph&amp;tracks=[key:gene_model_track,Options:GeneOnly]&amp;mk=2697821:2697840|offset_1|444444,2697759:2697778|offset_63|00cc00,2697739:2697758|offset_83|444444&amp;v=2697620:2697958&amp;c=444444", "offset 63")</f>
        <v>offset 63</v>
      </c>
    </row>
    <row r="9489" customFormat="false" ht="12.8" hidden="false" customHeight="false" outlineLevel="0" collapsed="false">
      <c r="A9489" s="0" t="s">
        <v>12</v>
      </c>
      <c r="B9489" s="0" t="n">
        <v>2697738</v>
      </c>
      <c r="C9489" s="0" t="n">
        <v>2697758</v>
      </c>
      <c r="D9489" s="0" t="s">
        <v>31661</v>
      </c>
      <c r="E9489" s="0" t="s">
        <v>89</v>
      </c>
      <c r="F9489" s="0" t="s">
        <v>90</v>
      </c>
      <c r="G9489" s="0" t="s">
        <v>36</v>
      </c>
      <c r="H9489" s="0" t="n">
        <v>83</v>
      </c>
      <c r="I9489" s="0" t="s">
        <v>31668</v>
      </c>
      <c r="J9489" s="0" t="s">
        <v>31669</v>
      </c>
      <c r="K9489" s="0" t="s">
        <v>31670</v>
      </c>
      <c r="L9489" s="0" t="str">
        <f aca="false">HYPERLINK("https://www.ncbi.nlm.nih.gov/nuccore/CP000304.1?report=graph&amp;tracks=[key:gene_model_track,Options:GeneOnly]&amp;mk=2697821:2697840|offset_1|444444,2697759:2697778|offset_63|444444,2697739:2697758|offset_83|00cc00&amp;v=2697620:2697958&amp;c=444444", "offset 83")</f>
        <v>offset 83</v>
      </c>
    </row>
    <row r="9490" customFormat="false" ht="12.8" hidden="false" customHeight="false" outlineLevel="0" collapsed="false">
      <c r="A9490" s="0" t="s">
        <v>12</v>
      </c>
      <c r="B9490" s="0" t="n">
        <v>2699754</v>
      </c>
      <c r="C9490" s="0" t="n">
        <v>2699774</v>
      </c>
      <c r="D9490" s="0" t="s">
        <v>31671</v>
      </c>
      <c r="E9490" s="0" t="s">
        <v>31672</v>
      </c>
      <c r="F9490" s="0" t="s">
        <v>90</v>
      </c>
      <c r="G9490" s="0" t="s">
        <v>16</v>
      </c>
      <c r="H9490" s="0" t="n">
        <v>7</v>
      </c>
      <c r="I9490" s="0" t="s">
        <v>31673</v>
      </c>
      <c r="J9490" s="0" t="s">
        <v>31674</v>
      </c>
      <c r="K9490" s="0" t="s">
        <v>31675</v>
      </c>
      <c r="L9490" s="0" t="str">
        <f aca="false">HYPERLINK("https://www.ncbi.nlm.nih.gov/nuccore/CP000304.1?report=graph&amp;tracks=[key:gene_model_track,Options:GeneOnly]&amp;mk=2699755:2699774|offset_7|00cc00,2699719:2699738|offset_43|444444,2699694:2699713|offset_68|444444,2699664:2699683|offset_98|444444&amp;v=2699554:2699883&amp;c=444444", "offset 7")</f>
        <v>offset 7</v>
      </c>
    </row>
    <row r="9491" customFormat="false" ht="12.8" hidden="false" customHeight="false" outlineLevel="0" collapsed="false">
      <c r="A9491" s="0" t="s">
        <v>12</v>
      </c>
      <c r="B9491" s="0" t="n">
        <v>2699718</v>
      </c>
      <c r="C9491" s="0" t="n">
        <v>2699738</v>
      </c>
      <c r="D9491" s="0" t="s">
        <v>31671</v>
      </c>
      <c r="E9491" s="0" t="s">
        <v>31672</v>
      </c>
      <c r="F9491" s="0" t="s">
        <v>90</v>
      </c>
      <c r="G9491" s="0" t="s">
        <v>16</v>
      </c>
      <c r="H9491" s="0" t="n">
        <v>43</v>
      </c>
      <c r="I9491" s="0" t="s">
        <v>31676</v>
      </c>
      <c r="J9491" s="0" t="s">
        <v>31677</v>
      </c>
      <c r="K9491" s="0" t="s">
        <v>31678</v>
      </c>
      <c r="L9491" s="0" t="str">
        <f aca="false">HYPERLINK("https://www.ncbi.nlm.nih.gov/nuccore/CP000304.1?report=graph&amp;tracks=[key:gene_model_track,Options:GeneOnly]&amp;mk=2699755:2699774|offset_7|444444,2699719:2699738|offset_43|00cc00,2699694:2699713|offset_68|444444,2699664:2699683|offset_98|444444&amp;v=2699554:2699883&amp;c=444444", "offset 43")</f>
        <v>offset 43</v>
      </c>
    </row>
    <row r="9492" customFormat="false" ht="12.8" hidden="false" customHeight="false" outlineLevel="0" collapsed="false">
      <c r="A9492" s="0" t="s">
        <v>12</v>
      </c>
      <c r="B9492" s="0" t="n">
        <v>2699693</v>
      </c>
      <c r="C9492" s="0" t="n">
        <v>2699713</v>
      </c>
      <c r="D9492" s="0" t="s">
        <v>31671</v>
      </c>
      <c r="E9492" s="0" t="s">
        <v>31672</v>
      </c>
      <c r="F9492" s="0" t="s">
        <v>90</v>
      </c>
      <c r="G9492" s="0" t="s">
        <v>26</v>
      </c>
      <c r="H9492" s="0" t="n">
        <v>68</v>
      </c>
      <c r="I9492" s="0" t="s">
        <v>31679</v>
      </c>
      <c r="J9492" s="0" t="s">
        <v>31680</v>
      </c>
      <c r="K9492" s="0" t="s">
        <v>31681</v>
      </c>
      <c r="L9492" s="0" t="str">
        <f aca="false">HYPERLINK("https://www.ncbi.nlm.nih.gov/nuccore/CP000304.1?report=graph&amp;tracks=[key:gene_model_track,Options:GeneOnly]&amp;mk=2699755:2699774|offset_7|444444,2699719:2699738|offset_43|444444,2699694:2699713|offset_68|00cc00,2699664:2699683|offset_98|444444&amp;v=2699554:2699883&amp;c=444444", "offset 68")</f>
        <v>offset 68</v>
      </c>
    </row>
    <row r="9493" customFormat="false" ht="12.8" hidden="false" customHeight="false" outlineLevel="0" collapsed="false">
      <c r="A9493" s="0" t="s">
        <v>12</v>
      </c>
      <c r="B9493" s="0" t="n">
        <v>2699663</v>
      </c>
      <c r="C9493" s="0" t="n">
        <v>2699683</v>
      </c>
      <c r="D9493" s="0" t="s">
        <v>31671</v>
      </c>
      <c r="E9493" s="0" t="s">
        <v>31672</v>
      </c>
      <c r="F9493" s="0" t="s">
        <v>90</v>
      </c>
      <c r="G9493" s="0" t="s">
        <v>16</v>
      </c>
      <c r="H9493" s="0" t="n">
        <v>98</v>
      </c>
      <c r="I9493" s="0" t="s">
        <v>31682</v>
      </c>
      <c r="J9493" s="0" t="s">
        <v>31683</v>
      </c>
      <c r="K9493" s="0" t="s">
        <v>31684</v>
      </c>
      <c r="L9493" s="0" t="str">
        <f aca="false">HYPERLINK("https://www.ncbi.nlm.nih.gov/nuccore/CP000304.1?report=graph&amp;tracks=[key:gene_model_track,Options:GeneOnly]&amp;mk=2699755:2699774|offset_7|444444,2699719:2699738|offset_43|444444,2699694:2699713|offset_68|444444,2699664:2699683|offset_98|00cc00&amp;v=2699554:2699883&amp;c=444444", "offset 98")</f>
        <v>offset 98</v>
      </c>
    </row>
    <row r="9494" customFormat="false" ht="12.8" hidden="false" customHeight="false" outlineLevel="0" collapsed="false">
      <c r="A9494" s="0" t="s">
        <v>12</v>
      </c>
      <c r="B9494" s="0" t="n">
        <v>2699886</v>
      </c>
      <c r="C9494" s="0" t="n">
        <v>2699906</v>
      </c>
      <c r="D9494" s="0" t="s">
        <v>31685</v>
      </c>
      <c r="E9494" s="0" t="s">
        <v>89</v>
      </c>
      <c r="F9494" s="0" t="s">
        <v>15</v>
      </c>
      <c r="G9494" s="0" t="s">
        <v>32</v>
      </c>
      <c r="H9494" s="0" t="n">
        <v>1</v>
      </c>
      <c r="I9494" s="0" t="s">
        <v>31686</v>
      </c>
      <c r="J9494" s="0" t="s">
        <v>31687</v>
      </c>
      <c r="K9494" s="0" t="s">
        <v>31688</v>
      </c>
      <c r="L9494" s="0" t="str">
        <f aca="false">HYPERLINK("https://www.ncbi.nlm.nih.gov/nuccore/CP000304.1?report=graph&amp;tracks=[key:gene_model_track,Options:GeneOnly]&amp;mk=2699887:2699906|offset_1|00cc00,2699912:2699931|offset_26|444444,2699954:2699973|offset_68|444444,2699983:2700002|offset_97|444444&amp;v=2699686:2700202&amp;c=444444", "offset 1")</f>
        <v>offset 1</v>
      </c>
    </row>
    <row r="9495" customFormat="false" ht="12.8" hidden="false" customHeight="false" outlineLevel="0" collapsed="false">
      <c r="A9495" s="0" t="s">
        <v>12</v>
      </c>
      <c r="B9495" s="0" t="n">
        <v>2699911</v>
      </c>
      <c r="C9495" s="0" t="n">
        <v>2699931</v>
      </c>
      <c r="D9495" s="0" t="s">
        <v>31685</v>
      </c>
      <c r="E9495" s="0" t="s">
        <v>89</v>
      </c>
      <c r="F9495" s="0" t="s">
        <v>15</v>
      </c>
      <c r="G9495" s="0" t="s">
        <v>26</v>
      </c>
      <c r="H9495" s="0" t="n">
        <v>26</v>
      </c>
      <c r="I9495" s="0" t="s">
        <v>31689</v>
      </c>
      <c r="J9495" s="0" t="s">
        <v>31690</v>
      </c>
      <c r="K9495" s="0" t="s">
        <v>31691</v>
      </c>
      <c r="L9495" s="0" t="str">
        <f aca="false">HYPERLINK("https://www.ncbi.nlm.nih.gov/nuccore/CP000304.1?report=graph&amp;tracks=[key:gene_model_track,Options:GeneOnly]&amp;mk=2699887:2699906|offset_1|444444,2699912:2699931|offset_26|00cc00,2699954:2699973|offset_68|444444,2699983:2700002|offset_97|444444&amp;v=2699686:2700202&amp;c=444444", "offset 26")</f>
        <v>offset 26</v>
      </c>
    </row>
    <row r="9496" customFormat="false" ht="12.8" hidden="false" customHeight="false" outlineLevel="0" collapsed="false">
      <c r="A9496" s="0" t="s">
        <v>12</v>
      </c>
      <c r="B9496" s="0" t="n">
        <v>2699953</v>
      </c>
      <c r="C9496" s="0" t="n">
        <v>2699973</v>
      </c>
      <c r="D9496" s="0" t="s">
        <v>31685</v>
      </c>
      <c r="E9496" s="0" t="s">
        <v>89</v>
      </c>
      <c r="F9496" s="0" t="s">
        <v>15</v>
      </c>
      <c r="G9496" s="0" t="s">
        <v>26</v>
      </c>
      <c r="H9496" s="0" t="n">
        <v>68</v>
      </c>
      <c r="I9496" s="0" t="s">
        <v>31692</v>
      </c>
      <c r="J9496" s="0" t="s">
        <v>31693</v>
      </c>
      <c r="K9496" s="0" t="s">
        <v>31694</v>
      </c>
      <c r="L9496" s="0" t="str">
        <f aca="false">HYPERLINK("https://www.ncbi.nlm.nih.gov/nuccore/CP000304.1?report=graph&amp;tracks=[key:gene_model_track,Options:GeneOnly]&amp;mk=2699887:2699906|offset_1|444444,2699912:2699931|offset_26|444444,2699954:2699973|offset_68|00cc00,2699983:2700002|offset_97|444444&amp;v=2699686:2700202&amp;c=444444", "offset 68")</f>
        <v>offset 68</v>
      </c>
    </row>
    <row r="9497" customFormat="false" ht="12.8" hidden="false" customHeight="false" outlineLevel="0" collapsed="false">
      <c r="A9497" s="0" t="s">
        <v>12</v>
      </c>
      <c r="B9497" s="0" t="n">
        <v>2699982</v>
      </c>
      <c r="C9497" s="0" t="n">
        <v>2700002</v>
      </c>
      <c r="D9497" s="0" t="s">
        <v>31685</v>
      </c>
      <c r="E9497" s="0" t="s">
        <v>89</v>
      </c>
      <c r="F9497" s="0" t="s">
        <v>15</v>
      </c>
      <c r="G9497" s="0" t="s">
        <v>26</v>
      </c>
      <c r="H9497" s="0" t="n">
        <v>97</v>
      </c>
      <c r="I9497" s="0" t="s">
        <v>31695</v>
      </c>
      <c r="J9497" s="0" t="s">
        <v>31696</v>
      </c>
      <c r="K9497" s="0" t="s">
        <v>31697</v>
      </c>
      <c r="L9497" s="0" t="str">
        <f aca="false">HYPERLINK("https://www.ncbi.nlm.nih.gov/nuccore/CP000304.1?report=graph&amp;tracks=[key:gene_model_track,Options:GeneOnly]&amp;mk=2699887:2699906|offset_1|444444,2699912:2699931|offset_26|444444,2699954:2699973|offset_68|444444,2699983:2700002|offset_97|00cc00&amp;v=2699686:2700202&amp;c=444444", "offset 97")</f>
        <v>offset 97</v>
      </c>
    </row>
    <row r="9498" customFormat="false" ht="12.8" hidden="false" customHeight="false" outlineLevel="0" collapsed="false">
      <c r="A9498" s="0" t="s">
        <v>12</v>
      </c>
      <c r="B9498" s="0" t="n">
        <v>2701898</v>
      </c>
      <c r="C9498" s="0" t="n">
        <v>2701918</v>
      </c>
      <c r="D9498" s="0" t="s">
        <v>31698</v>
      </c>
      <c r="E9498" s="0" t="s">
        <v>31699</v>
      </c>
      <c r="F9498" s="0" t="s">
        <v>90</v>
      </c>
      <c r="G9498" s="0" t="s">
        <v>16</v>
      </c>
      <c r="H9498" s="0" t="n">
        <v>11</v>
      </c>
      <c r="I9498" s="0" t="s">
        <v>31700</v>
      </c>
      <c r="J9498" s="0" t="s">
        <v>31701</v>
      </c>
      <c r="K9498" s="0" t="s">
        <v>31702</v>
      </c>
      <c r="L9498" s="0" t="str">
        <f aca="false">HYPERLINK("https://www.ncbi.nlm.nih.gov/nuccore/CP000304.1?report=graph&amp;tracks=[key:gene_model_track,Options:GeneOnly]&amp;mk=2701899:2701918|offset_11|00cc00,2701870:2701889|offset_40|444444,2701800:2701819|offset_110|444444,2701750:2701769|offset_160|444444&amp;v=2701698:2701969&amp;c=444444", "offset 11")</f>
        <v>offset 11</v>
      </c>
    </row>
    <row r="9499" customFormat="false" ht="12.8" hidden="false" customHeight="false" outlineLevel="0" collapsed="false">
      <c r="A9499" s="0" t="s">
        <v>12</v>
      </c>
      <c r="B9499" s="0" t="n">
        <v>2701869</v>
      </c>
      <c r="C9499" s="0" t="n">
        <v>2701889</v>
      </c>
      <c r="D9499" s="0" t="s">
        <v>31698</v>
      </c>
      <c r="E9499" s="0" t="s">
        <v>31699</v>
      </c>
      <c r="F9499" s="0" t="s">
        <v>90</v>
      </c>
      <c r="G9499" s="0" t="s">
        <v>36</v>
      </c>
      <c r="H9499" s="0" t="n">
        <v>40</v>
      </c>
      <c r="I9499" s="0" t="s">
        <v>31703</v>
      </c>
      <c r="J9499" s="0" t="s">
        <v>31704</v>
      </c>
      <c r="K9499" s="0" t="s">
        <v>31705</v>
      </c>
      <c r="L9499" s="0" t="str">
        <f aca="false">HYPERLINK("https://www.ncbi.nlm.nih.gov/nuccore/CP000304.1?report=graph&amp;tracks=[key:gene_model_track,Options:GeneOnly]&amp;mk=2701899:2701918|offset_11|444444,2701870:2701889|offset_40|00cc00,2701800:2701819|offset_110|444444,2701750:2701769|offset_160|444444&amp;v=2701698:2701969&amp;c=444444", "offset 40")</f>
        <v>offset 40</v>
      </c>
    </row>
    <row r="9500" customFormat="false" ht="12.8" hidden="false" customHeight="false" outlineLevel="0" collapsed="false">
      <c r="A9500" s="0" t="s">
        <v>12</v>
      </c>
      <c r="B9500" s="0" t="n">
        <v>2701799</v>
      </c>
      <c r="C9500" s="0" t="n">
        <v>2701819</v>
      </c>
      <c r="D9500" s="0" t="s">
        <v>31698</v>
      </c>
      <c r="E9500" s="0" t="s">
        <v>31699</v>
      </c>
      <c r="F9500" s="0" t="s">
        <v>90</v>
      </c>
      <c r="G9500" s="0" t="s">
        <v>26</v>
      </c>
      <c r="H9500" s="0" t="n">
        <v>110</v>
      </c>
      <c r="I9500" s="0" t="s">
        <v>31706</v>
      </c>
      <c r="J9500" s="0" t="s">
        <v>31707</v>
      </c>
      <c r="K9500" s="0" t="s">
        <v>31708</v>
      </c>
      <c r="L9500" s="0" t="str">
        <f aca="false">HYPERLINK("https://www.ncbi.nlm.nih.gov/nuccore/CP000304.1?report=graph&amp;tracks=[key:gene_model_track,Options:GeneOnly]&amp;mk=2701899:2701918|offset_11|444444,2701870:2701889|offset_40|444444,2701800:2701819|offset_110|00cc00,2701750:2701769|offset_160|444444&amp;v=2701698:2701969&amp;c=444444", "offset 110")</f>
        <v>offset 110</v>
      </c>
    </row>
    <row r="9501" customFormat="false" ht="12.8" hidden="false" customHeight="false" outlineLevel="0" collapsed="false">
      <c r="A9501" s="0" t="s">
        <v>12</v>
      </c>
      <c r="B9501" s="0" t="n">
        <v>2701749</v>
      </c>
      <c r="C9501" s="0" t="n">
        <v>2701769</v>
      </c>
      <c r="D9501" s="0" t="s">
        <v>31698</v>
      </c>
      <c r="E9501" s="0" t="s">
        <v>31699</v>
      </c>
      <c r="F9501" s="0" t="s">
        <v>90</v>
      </c>
      <c r="G9501" s="0" t="s">
        <v>32</v>
      </c>
      <c r="H9501" s="0" t="n">
        <v>160</v>
      </c>
      <c r="I9501" s="0" t="s">
        <v>31709</v>
      </c>
      <c r="J9501" s="0" t="s">
        <v>31710</v>
      </c>
      <c r="K9501" s="0" t="s">
        <v>31711</v>
      </c>
      <c r="L9501" s="0" t="str">
        <f aca="false">HYPERLINK("https://www.ncbi.nlm.nih.gov/nuccore/CP000304.1?report=graph&amp;tracks=[key:gene_model_track,Options:GeneOnly]&amp;mk=2701899:2701918|offset_11|444444,2701870:2701889|offset_40|444444,2701800:2701819|offset_110|444444,2701750:2701769|offset_160|00cc00&amp;v=2701698:2701969&amp;c=444444", "offset 160")</f>
        <v>offset 160</v>
      </c>
    </row>
    <row r="9502" customFormat="false" ht="12.8" hidden="false" customHeight="false" outlineLevel="0" collapsed="false">
      <c r="A9502" s="0" t="s">
        <v>12</v>
      </c>
      <c r="B9502" s="0" t="n">
        <v>2701938</v>
      </c>
      <c r="C9502" s="0" t="n">
        <v>2701958</v>
      </c>
      <c r="D9502" s="0" t="s">
        <v>31712</v>
      </c>
      <c r="E9502" s="0" t="s">
        <v>89</v>
      </c>
      <c r="F9502" s="0" t="s">
        <v>15</v>
      </c>
      <c r="G9502" s="0" t="s">
        <v>16</v>
      </c>
      <c r="H9502" s="0" t="n">
        <v>11</v>
      </c>
      <c r="I9502" s="0" t="s">
        <v>31713</v>
      </c>
      <c r="J9502" s="0" t="s">
        <v>31714</v>
      </c>
      <c r="K9502" s="0" t="s">
        <v>31715</v>
      </c>
      <c r="L9502" s="0" t="str">
        <f aca="false">HYPERLINK("https://www.ncbi.nlm.nih.gov/nuccore/CP000304.1?report=graph&amp;tracks=[key:gene_model_track,Options:GeneOnly]&amp;mk=2701939:2701958|offset_11|00cc00,2701960:2701979|offset_32|444444,2701987:2702006|offset_59|444444,2702011:2702030|offset_83|444444&amp;v=2701738:2702230&amp;c=444444", "offset 11")</f>
        <v>offset 11</v>
      </c>
    </row>
    <row r="9503" customFormat="false" ht="12.8" hidden="false" customHeight="false" outlineLevel="0" collapsed="false">
      <c r="A9503" s="0" t="s">
        <v>12</v>
      </c>
      <c r="B9503" s="0" t="n">
        <v>2701959</v>
      </c>
      <c r="C9503" s="0" t="n">
        <v>2701979</v>
      </c>
      <c r="D9503" s="0" t="s">
        <v>31712</v>
      </c>
      <c r="E9503" s="0" t="s">
        <v>89</v>
      </c>
      <c r="F9503" s="0" t="s">
        <v>15</v>
      </c>
      <c r="G9503" s="0" t="s">
        <v>26</v>
      </c>
      <c r="H9503" s="0" t="n">
        <v>32</v>
      </c>
      <c r="I9503" s="0" t="s">
        <v>31716</v>
      </c>
      <c r="J9503" s="0" t="s">
        <v>31717</v>
      </c>
      <c r="K9503" s="0" t="s">
        <v>31718</v>
      </c>
      <c r="L9503" s="0" t="str">
        <f aca="false">HYPERLINK("https://www.ncbi.nlm.nih.gov/nuccore/CP000304.1?report=graph&amp;tracks=[key:gene_model_track,Options:GeneOnly]&amp;mk=2701939:2701958|offset_11|444444,2701960:2701979|offset_32|00cc00,2701987:2702006|offset_59|444444,2702011:2702030|offset_83|444444&amp;v=2701738:2702230&amp;c=444444", "offset 32")</f>
        <v>offset 32</v>
      </c>
    </row>
    <row r="9504" customFormat="false" ht="12.8" hidden="false" customHeight="false" outlineLevel="0" collapsed="false">
      <c r="A9504" s="0" t="s">
        <v>12</v>
      </c>
      <c r="B9504" s="0" t="n">
        <v>2701986</v>
      </c>
      <c r="C9504" s="0" t="n">
        <v>2702006</v>
      </c>
      <c r="D9504" s="0" t="s">
        <v>31712</v>
      </c>
      <c r="E9504" s="0" t="s">
        <v>89</v>
      </c>
      <c r="F9504" s="0" t="s">
        <v>15</v>
      </c>
      <c r="G9504" s="0" t="s">
        <v>26</v>
      </c>
      <c r="H9504" s="0" t="n">
        <v>59</v>
      </c>
      <c r="I9504" s="0" t="s">
        <v>31719</v>
      </c>
      <c r="J9504" s="0" t="s">
        <v>31720</v>
      </c>
      <c r="K9504" s="0" t="s">
        <v>31721</v>
      </c>
      <c r="L9504" s="0" t="str">
        <f aca="false">HYPERLINK("https://www.ncbi.nlm.nih.gov/nuccore/CP000304.1?report=graph&amp;tracks=[key:gene_model_track,Options:GeneOnly]&amp;mk=2701939:2701958|offset_11|444444,2701960:2701979|offset_32|444444,2701987:2702006|offset_59|00cc00,2702011:2702030|offset_83|444444&amp;v=2701738:2702230&amp;c=444444", "offset 59")</f>
        <v>offset 59</v>
      </c>
    </row>
    <row r="9505" customFormat="false" ht="12.8" hidden="false" customHeight="false" outlineLevel="0" collapsed="false">
      <c r="A9505" s="0" t="s">
        <v>12</v>
      </c>
      <c r="B9505" s="0" t="n">
        <v>2702010</v>
      </c>
      <c r="C9505" s="0" t="n">
        <v>2702030</v>
      </c>
      <c r="D9505" s="0" t="s">
        <v>31712</v>
      </c>
      <c r="E9505" s="0" t="s">
        <v>89</v>
      </c>
      <c r="F9505" s="0" t="s">
        <v>15</v>
      </c>
      <c r="G9505" s="0" t="s">
        <v>26</v>
      </c>
      <c r="H9505" s="0" t="n">
        <v>83</v>
      </c>
      <c r="I9505" s="0" t="s">
        <v>31722</v>
      </c>
      <c r="J9505" s="0" t="s">
        <v>31723</v>
      </c>
      <c r="K9505" s="0" t="s">
        <v>31724</v>
      </c>
      <c r="L9505" s="0" t="str">
        <f aca="false">HYPERLINK("https://www.ncbi.nlm.nih.gov/nuccore/CP000304.1?report=graph&amp;tracks=[key:gene_model_track,Options:GeneOnly]&amp;mk=2701939:2701958|offset_11|444444,2701960:2701979|offset_32|444444,2701987:2702006|offset_59|444444,2702011:2702030|offset_83|00cc00&amp;v=2701738:2702230&amp;c=444444", "offset 83")</f>
        <v>offset 83</v>
      </c>
    </row>
    <row r="9506" customFormat="false" ht="12.8" hidden="false" customHeight="false" outlineLevel="0" collapsed="false">
      <c r="A9506" s="0" t="s">
        <v>12</v>
      </c>
      <c r="B9506" s="0" t="n">
        <v>2703162</v>
      </c>
      <c r="C9506" s="0" t="n">
        <v>2703182</v>
      </c>
      <c r="D9506" s="0" t="s">
        <v>31725</v>
      </c>
      <c r="E9506" s="0" t="s">
        <v>89</v>
      </c>
      <c r="F9506" s="0" t="s">
        <v>15</v>
      </c>
      <c r="G9506" s="0" t="s">
        <v>36</v>
      </c>
      <c r="H9506" s="0" t="n">
        <v>19</v>
      </c>
      <c r="I9506" s="0" t="s">
        <v>31726</v>
      </c>
      <c r="J9506" s="0" t="s">
        <v>31727</v>
      </c>
      <c r="K9506" s="0" t="s">
        <v>31728</v>
      </c>
      <c r="L9506" s="0" t="str">
        <f aca="false">HYPERLINK("https://www.ncbi.nlm.nih.gov/nuccore/CP000304.1?report=graph&amp;tracks=[key:gene_model_track,Options:GeneOnly]&amp;mk=2703163:2703182|offset_19|00cc00,2703188:2703207|offset_44|444444,2703211:2703230|offset_67|444444,2703274:2703293|offset_130|444444&amp;v=2702962:2703493&amp;c=444444", "offset 19")</f>
        <v>offset 19</v>
      </c>
    </row>
    <row r="9507" customFormat="false" ht="12.8" hidden="false" customHeight="false" outlineLevel="0" collapsed="false">
      <c r="A9507" s="0" t="s">
        <v>12</v>
      </c>
      <c r="B9507" s="0" t="n">
        <v>2703187</v>
      </c>
      <c r="C9507" s="0" t="n">
        <v>2703207</v>
      </c>
      <c r="D9507" s="0" t="s">
        <v>31725</v>
      </c>
      <c r="E9507" s="0" t="s">
        <v>89</v>
      </c>
      <c r="F9507" s="0" t="s">
        <v>15</v>
      </c>
      <c r="G9507" s="0" t="s">
        <v>26</v>
      </c>
      <c r="H9507" s="0" t="n">
        <v>44</v>
      </c>
      <c r="I9507" s="0" t="s">
        <v>31729</v>
      </c>
      <c r="J9507" s="0" t="s">
        <v>31730</v>
      </c>
      <c r="K9507" s="0" t="s">
        <v>31731</v>
      </c>
      <c r="L9507" s="0" t="str">
        <f aca="false">HYPERLINK("https://www.ncbi.nlm.nih.gov/nuccore/CP000304.1?report=graph&amp;tracks=[key:gene_model_track,Options:GeneOnly]&amp;mk=2703163:2703182|offset_19|444444,2703188:2703207|offset_44|00cc00,2703211:2703230|offset_67|444444,2703274:2703293|offset_130|444444&amp;v=2702962:2703493&amp;c=444444", "offset 44")</f>
        <v>offset 44</v>
      </c>
    </row>
    <row r="9508" customFormat="false" ht="12.8" hidden="false" customHeight="false" outlineLevel="0" collapsed="false">
      <c r="A9508" s="0" t="s">
        <v>12</v>
      </c>
      <c r="B9508" s="0" t="n">
        <v>2703210</v>
      </c>
      <c r="C9508" s="0" t="n">
        <v>2703230</v>
      </c>
      <c r="D9508" s="0" t="s">
        <v>31725</v>
      </c>
      <c r="E9508" s="0" t="s">
        <v>89</v>
      </c>
      <c r="F9508" s="0" t="s">
        <v>15</v>
      </c>
      <c r="G9508" s="0" t="s">
        <v>32</v>
      </c>
      <c r="H9508" s="0" t="n">
        <v>67</v>
      </c>
      <c r="I9508" s="0" t="s">
        <v>31732</v>
      </c>
      <c r="J9508" s="0" t="s">
        <v>31733</v>
      </c>
      <c r="K9508" s="0" t="s">
        <v>31734</v>
      </c>
      <c r="L9508" s="0" t="str">
        <f aca="false">HYPERLINK("https://www.ncbi.nlm.nih.gov/nuccore/CP000304.1?report=graph&amp;tracks=[key:gene_model_track,Options:GeneOnly]&amp;mk=2703163:2703182|offset_19|444444,2703188:2703207|offset_44|444444,2703211:2703230|offset_67|00cc00,2703274:2703293|offset_130|444444&amp;v=2702962:2703493&amp;c=444444", "offset 67")</f>
        <v>offset 67</v>
      </c>
    </row>
    <row r="9509" customFormat="false" ht="12.8" hidden="false" customHeight="false" outlineLevel="0" collapsed="false">
      <c r="A9509" s="0" t="s">
        <v>12</v>
      </c>
      <c r="B9509" s="0" t="n">
        <v>2703273</v>
      </c>
      <c r="C9509" s="0" t="n">
        <v>2703293</v>
      </c>
      <c r="D9509" s="0" t="s">
        <v>31725</v>
      </c>
      <c r="E9509" s="0" t="s">
        <v>89</v>
      </c>
      <c r="F9509" s="0" t="s">
        <v>15</v>
      </c>
      <c r="G9509" s="0" t="s">
        <v>16</v>
      </c>
      <c r="H9509" s="0" t="n">
        <v>130</v>
      </c>
      <c r="I9509" s="0" t="s">
        <v>31735</v>
      </c>
      <c r="J9509" s="0" t="s">
        <v>31736</v>
      </c>
      <c r="K9509" s="0" t="s">
        <v>31737</v>
      </c>
      <c r="L9509" s="0" t="str">
        <f aca="false">HYPERLINK("https://www.ncbi.nlm.nih.gov/nuccore/CP000304.1?report=graph&amp;tracks=[key:gene_model_track,Options:GeneOnly]&amp;mk=2703163:2703182|offset_19|444444,2703188:2703207|offset_44|444444,2703211:2703230|offset_67|444444,2703274:2703293|offset_130|00cc00&amp;v=2702962:2703493&amp;c=444444", "offset 130")</f>
        <v>offset 130</v>
      </c>
    </row>
    <row r="9510" customFormat="false" ht="12.8" hidden="false" customHeight="false" outlineLevel="0" collapsed="false">
      <c r="A9510" s="0" t="s">
        <v>12</v>
      </c>
      <c r="B9510" s="0" t="n">
        <v>2704045</v>
      </c>
      <c r="C9510" s="0" t="n">
        <v>2704065</v>
      </c>
      <c r="D9510" s="0" t="s">
        <v>31738</v>
      </c>
      <c r="E9510" s="0" t="s">
        <v>89</v>
      </c>
      <c r="F9510" s="0" t="s">
        <v>15</v>
      </c>
      <c r="G9510" s="0" t="s">
        <v>32</v>
      </c>
      <c r="H9510" s="0" t="n">
        <v>1</v>
      </c>
      <c r="I9510" s="0" t="s">
        <v>31739</v>
      </c>
      <c r="J9510" s="0" t="s">
        <v>31740</v>
      </c>
      <c r="K9510" s="0" t="s">
        <v>31741</v>
      </c>
      <c r="L9510" s="0" t="str">
        <f aca="false">HYPERLINK("https://www.ncbi.nlm.nih.gov/nuccore/CP000304.1?report=graph&amp;tracks=[key:gene_model_track,Options:GeneOnly]&amp;mk=2704046:2704065|offset_1|00cc00,2704071:2704090|offset_26|444444,2704105:2704124|offset_60|444444,2704128:2704147|offset_83|444444&amp;v=2703845:2704347&amp;c=444444", "offset 1")</f>
        <v>offset 1</v>
      </c>
    </row>
    <row r="9511" customFormat="false" ht="12.8" hidden="false" customHeight="false" outlineLevel="0" collapsed="false">
      <c r="A9511" s="0" t="s">
        <v>12</v>
      </c>
      <c r="B9511" s="0" t="n">
        <v>2704070</v>
      </c>
      <c r="C9511" s="0" t="n">
        <v>2704090</v>
      </c>
      <c r="D9511" s="0" t="s">
        <v>31738</v>
      </c>
      <c r="E9511" s="0" t="s">
        <v>89</v>
      </c>
      <c r="F9511" s="0" t="s">
        <v>15</v>
      </c>
      <c r="G9511" s="0" t="s">
        <v>26</v>
      </c>
      <c r="H9511" s="0" t="n">
        <v>26</v>
      </c>
      <c r="I9511" s="0" t="s">
        <v>31742</v>
      </c>
      <c r="J9511" s="0" t="s">
        <v>31743</v>
      </c>
      <c r="K9511" s="0" t="s">
        <v>31744</v>
      </c>
      <c r="L9511" s="0" t="str">
        <f aca="false">HYPERLINK("https://www.ncbi.nlm.nih.gov/nuccore/CP000304.1?report=graph&amp;tracks=[key:gene_model_track,Options:GeneOnly]&amp;mk=2704046:2704065|offset_1|444444,2704071:2704090|offset_26|00cc00,2704105:2704124|offset_60|444444,2704128:2704147|offset_83|444444&amp;v=2703845:2704347&amp;c=444444", "offset 26")</f>
        <v>offset 26</v>
      </c>
    </row>
    <row r="9512" customFormat="false" ht="12.8" hidden="false" customHeight="false" outlineLevel="0" collapsed="false">
      <c r="A9512" s="0" t="s">
        <v>12</v>
      </c>
      <c r="B9512" s="0" t="n">
        <v>2704104</v>
      </c>
      <c r="C9512" s="0" t="n">
        <v>2704124</v>
      </c>
      <c r="D9512" s="0" t="s">
        <v>31738</v>
      </c>
      <c r="E9512" s="0" t="s">
        <v>89</v>
      </c>
      <c r="F9512" s="0" t="s">
        <v>15</v>
      </c>
      <c r="G9512" s="0" t="s">
        <v>36</v>
      </c>
      <c r="H9512" s="0" t="n">
        <v>60</v>
      </c>
      <c r="I9512" s="0" t="s">
        <v>31745</v>
      </c>
      <c r="J9512" s="0" t="s">
        <v>31746</v>
      </c>
      <c r="K9512" s="0" t="s">
        <v>31747</v>
      </c>
      <c r="L9512" s="0" t="str">
        <f aca="false">HYPERLINK("https://www.ncbi.nlm.nih.gov/nuccore/CP000304.1?report=graph&amp;tracks=[key:gene_model_track,Options:GeneOnly]&amp;mk=2704046:2704065|offset_1|444444,2704071:2704090|offset_26|444444,2704105:2704124|offset_60|00cc00,2704128:2704147|offset_83|444444&amp;v=2703845:2704347&amp;c=444444", "offset 60")</f>
        <v>offset 60</v>
      </c>
    </row>
    <row r="9513" customFormat="false" ht="12.8" hidden="false" customHeight="false" outlineLevel="0" collapsed="false">
      <c r="A9513" s="0" t="s">
        <v>12</v>
      </c>
      <c r="B9513" s="0" t="n">
        <v>2704127</v>
      </c>
      <c r="C9513" s="0" t="n">
        <v>2704147</v>
      </c>
      <c r="D9513" s="0" t="s">
        <v>31738</v>
      </c>
      <c r="E9513" s="0" t="s">
        <v>89</v>
      </c>
      <c r="F9513" s="0" t="s">
        <v>15</v>
      </c>
      <c r="G9513" s="0" t="s">
        <v>32</v>
      </c>
      <c r="H9513" s="0" t="n">
        <v>83</v>
      </c>
      <c r="I9513" s="0" t="s">
        <v>31748</v>
      </c>
      <c r="J9513" s="0" t="s">
        <v>31749</v>
      </c>
      <c r="K9513" s="0" t="s">
        <v>31750</v>
      </c>
      <c r="L9513" s="0" t="str">
        <f aca="false">HYPERLINK("https://www.ncbi.nlm.nih.gov/nuccore/CP000304.1?report=graph&amp;tracks=[key:gene_model_track,Options:GeneOnly]&amp;mk=2704046:2704065|offset_1|444444,2704071:2704090|offset_26|444444,2704105:2704124|offset_60|444444,2704128:2704147|offset_83|00cc00&amp;v=2703845:2704347&amp;c=444444", "offset 83")</f>
        <v>offset 83</v>
      </c>
    </row>
    <row r="9514" customFormat="false" ht="12.8" hidden="false" customHeight="false" outlineLevel="0" collapsed="false">
      <c r="A9514" s="0" t="s">
        <v>12</v>
      </c>
      <c r="B9514" s="0" t="n">
        <v>2704506</v>
      </c>
      <c r="C9514" s="0" t="n">
        <v>2704526</v>
      </c>
      <c r="D9514" s="0" t="s">
        <v>31751</v>
      </c>
      <c r="E9514" s="0" t="s">
        <v>89</v>
      </c>
      <c r="F9514" s="0" t="s">
        <v>15</v>
      </c>
      <c r="G9514" s="0" t="s">
        <v>26</v>
      </c>
      <c r="H9514" s="0" t="n">
        <v>14</v>
      </c>
      <c r="I9514" s="0" t="s">
        <v>31752</v>
      </c>
      <c r="J9514" s="0" t="s">
        <v>31753</v>
      </c>
      <c r="K9514" s="0" t="s">
        <v>31754</v>
      </c>
      <c r="L9514" s="0" t="str">
        <f aca="false">HYPERLINK("https://www.ncbi.nlm.nih.gov/nuccore/CP000304.1?report=graph&amp;tracks=[key:gene_model_track,Options:GeneOnly]&amp;mk=2704507:2704526|offset_14|00cc00,2704527:2704546|offset_34|444444,2704585:2704604|offset_92|444444,2704654:2704673|offset_161|444444&amp;v=2704306:2704873&amp;c=444444", "offset 14")</f>
        <v>offset 14</v>
      </c>
    </row>
    <row r="9515" customFormat="false" ht="12.8" hidden="false" customHeight="false" outlineLevel="0" collapsed="false">
      <c r="A9515" s="0" t="s">
        <v>12</v>
      </c>
      <c r="B9515" s="0" t="n">
        <v>2704526</v>
      </c>
      <c r="C9515" s="0" t="n">
        <v>2704546</v>
      </c>
      <c r="D9515" s="0" t="s">
        <v>31751</v>
      </c>
      <c r="E9515" s="0" t="s">
        <v>89</v>
      </c>
      <c r="F9515" s="0" t="s">
        <v>15</v>
      </c>
      <c r="G9515" s="0" t="s">
        <v>16</v>
      </c>
      <c r="H9515" s="0" t="n">
        <v>34</v>
      </c>
      <c r="I9515" s="0" t="s">
        <v>31755</v>
      </c>
      <c r="J9515" s="0" t="s">
        <v>31756</v>
      </c>
      <c r="K9515" s="0" t="s">
        <v>31757</v>
      </c>
      <c r="L9515" s="0" t="str">
        <f aca="false">HYPERLINK("https://www.ncbi.nlm.nih.gov/nuccore/CP000304.1?report=graph&amp;tracks=[key:gene_model_track,Options:GeneOnly]&amp;mk=2704507:2704526|offset_14|444444,2704527:2704546|offset_34|00cc00,2704585:2704604|offset_92|444444,2704654:2704673|offset_161|444444&amp;v=2704306:2704873&amp;c=444444", "offset 34")</f>
        <v>offset 34</v>
      </c>
    </row>
    <row r="9516" customFormat="false" ht="12.8" hidden="false" customHeight="false" outlineLevel="0" collapsed="false">
      <c r="A9516" s="0" t="s">
        <v>12</v>
      </c>
      <c r="B9516" s="0" t="n">
        <v>2704584</v>
      </c>
      <c r="C9516" s="0" t="n">
        <v>2704604</v>
      </c>
      <c r="D9516" s="0" t="s">
        <v>31751</v>
      </c>
      <c r="E9516" s="0" t="s">
        <v>89</v>
      </c>
      <c r="F9516" s="0" t="s">
        <v>15</v>
      </c>
      <c r="G9516" s="0" t="s">
        <v>16</v>
      </c>
      <c r="H9516" s="0" t="n">
        <v>92</v>
      </c>
      <c r="I9516" s="0" t="s">
        <v>31758</v>
      </c>
      <c r="J9516" s="0" t="s">
        <v>31759</v>
      </c>
      <c r="K9516" s="0" t="s">
        <v>31760</v>
      </c>
      <c r="L9516" s="0" t="str">
        <f aca="false">HYPERLINK("https://www.ncbi.nlm.nih.gov/nuccore/CP000304.1?report=graph&amp;tracks=[key:gene_model_track,Options:GeneOnly]&amp;mk=2704507:2704526|offset_14|444444,2704527:2704546|offset_34|444444,2704585:2704604|offset_92|00cc00,2704654:2704673|offset_161|444444&amp;v=2704306:2704873&amp;c=444444", "offset 92")</f>
        <v>offset 92</v>
      </c>
    </row>
    <row r="9517" customFormat="false" ht="12.8" hidden="false" customHeight="false" outlineLevel="0" collapsed="false">
      <c r="A9517" s="0" t="s">
        <v>12</v>
      </c>
      <c r="B9517" s="0" t="n">
        <v>2704653</v>
      </c>
      <c r="C9517" s="0" t="n">
        <v>2704673</v>
      </c>
      <c r="D9517" s="0" t="s">
        <v>31751</v>
      </c>
      <c r="E9517" s="0" t="s">
        <v>89</v>
      </c>
      <c r="F9517" s="0" t="s">
        <v>15</v>
      </c>
      <c r="G9517" s="0" t="s">
        <v>32</v>
      </c>
      <c r="H9517" s="0" t="n">
        <v>161</v>
      </c>
      <c r="I9517" s="0" t="s">
        <v>31761</v>
      </c>
      <c r="J9517" s="0" t="s">
        <v>31762</v>
      </c>
      <c r="K9517" s="0" t="s">
        <v>31763</v>
      </c>
      <c r="L9517" s="0" t="str">
        <f aca="false">HYPERLINK("https://www.ncbi.nlm.nih.gov/nuccore/CP000304.1?report=graph&amp;tracks=[key:gene_model_track,Options:GeneOnly]&amp;mk=2704507:2704526|offset_14|444444,2704527:2704546|offset_34|444444,2704585:2704604|offset_92|444444,2704654:2704673|offset_161|00cc00&amp;v=2704306:2704873&amp;c=444444", "offset 161")</f>
        <v>offset 161</v>
      </c>
    </row>
    <row r="9518" customFormat="false" ht="12.8" hidden="false" customHeight="false" outlineLevel="0" collapsed="false">
      <c r="A9518" s="0" t="s">
        <v>12</v>
      </c>
      <c r="B9518" s="0" t="n">
        <v>2706185</v>
      </c>
      <c r="C9518" s="0" t="n">
        <v>2706205</v>
      </c>
      <c r="D9518" s="0" t="s">
        <v>31764</v>
      </c>
      <c r="E9518" s="0" t="s">
        <v>89</v>
      </c>
      <c r="F9518" s="0" t="s">
        <v>90</v>
      </c>
      <c r="G9518" s="0" t="s">
        <v>36</v>
      </c>
      <c r="H9518" s="0" t="n">
        <v>28</v>
      </c>
      <c r="I9518" s="0" t="s">
        <v>31765</v>
      </c>
      <c r="J9518" s="0" t="s">
        <v>31766</v>
      </c>
      <c r="K9518" s="0" t="s">
        <v>31767</v>
      </c>
      <c r="L9518" s="0" t="str">
        <f aca="false">HYPERLINK("https://www.ncbi.nlm.nih.gov/nuccore/CP000304.1?report=graph&amp;tracks=[key:gene_model_track,Options:GeneOnly]&amp;mk=2706186:2706205|offset_28|00cc00,2706155:2706174|offset_59|444444,2706132:2706151|offset_82|444444,2706033:2706052|offset_181|444444&amp;v=2705985:2706252&amp;c=444444", "offset 28")</f>
        <v>offset 28</v>
      </c>
    </row>
    <row r="9519" customFormat="false" ht="12.8" hidden="false" customHeight="false" outlineLevel="0" collapsed="false">
      <c r="A9519" s="0" t="s">
        <v>12</v>
      </c>
      <c r="B9519" s="0" t="n">
        <v>2706154</v>
      </c>
      <c r="C9519" s="0" t="n">
        <v>2706174</v>
      </c>
      <c r="D9519" s="0" t="s">
        <v>31764</v>
      </c>
      <c r="E9519" s="0" t="s">
        <v>89</v>
      </c>
      <c r="F9519" s="0" t="s">
        <v>90</v>
      </c>
      <c r="G9519" s="0" t="s">
        <v>32</v>
      </c>
      <c r="H9519" s="0" t="n">
        <v>59</v>
      </c>
      <c r="I9519" s="0" t="s">
        <v>31768</v>
      </c>
      <c r="J9519" s="0" t="s">
        <v>31769</v>
      </c>
      <c r="K9519" s="0" t="s">
        <v>31770</v>
      </c>
      <c r="L9519" s="0" t="str">
        <f aca="false">HYPERLINK("https://www.ncbi.nlm.nih.gov/nuccore/CP000304.1?report=graph&amp;tracks=[key:gene_model_track,Options:GeneOnly]&amp;mk=2706186:2706205|offset_28|444444,2706155:2706174|offset_59|00cc00,2706132:2706151|offset_82|444444,2706033:2706052|offset_181|444444&amp;v=2705985:2706252&amp;c=444444", "offset 59")</f>
        <v>offset 59</v>
      </c>
    </row>
    <row r="9520" customFormat="false" ht="12.8" hidden="false" customHeight="false" outlineLevel="0" collapsed="false">
      <c r="A9520" s="0" t="s">
        <v>12</v>
      </c>
      <c r="B9520" s="0" t="n">
        <v>2706131</v>
      </c>
      <c r="C9520" s="0" t="n">
        <v>2706151</v>
      </c>
      <c r="D9520" s="0" t="s">
        <v>31764</v>
      </c>
      <c r="E9520" s="0" t="s">
        <v>89</v>
      </c>
      <c r="F9520" s="0" t="s">
        <v>90</v>
      </c>
      <c r="G9520" s="0" t="s">
        <v>26</v>
      </c>
      <c r="H9520" s="0" t="n">
        <v>82</v>
      </c>
      <c r="I9520" s="0" t="s">
        <v>31771</v>
      </c>
      <c r="J9520" s="0" t="s">
        <v>31772</v>
      </c>
      <c r="K9520" s="0" t="s">
        <v>31773</v>
      </c>
      <c r="L9520" s="0" t="str">
        <f aca="false">HYPERLINK("https://www.ncbi.nlm.nih.gov/nuccore/CP000304.1?report=graph&amp;tracks=[key:gene_model_track,Options:GeneOnly]&amp;mk=2706186:2706205|offset_28|444444,2706155:2706174|offset_59|444444,2706132:2706151|offset_82|00cc00,2706033:2706052|offset_181|444444&amp;v=2705985:2706252&amp;c=444444", "offset 82")</f>
        <v>offset 82</v>
      </c>
    </row>
    <row r="9521" customFormat="false" ht="12.8" hidden="false" customHeight="false" outlineLevel="0" collapsed="false">
      <c r="A9521" s="0" t="s">
        <v>12</v>
      </c>
      <c r="B9521" s="0" t="n">
        <v>2706032</v>
      </c>
      <c r="C9521" s="0" t="n">
        <v>2706052</v>
      </c>
      <c r="D9521" s="0" t="s">
        <v>31764</v>
      </c>
      <c r="E9521" s="0" t="s">
        <v>89</v>
      </c>
      <c r="F9521" s="0" t="s">
        <v>90</v>
      </c>
      <c r="G9521" s="0" t="s">
        <v>36</v>
      </c>
      <c r="H9521" s="0" t="n">
        <v>181</v>
      </c>
      <c r="I9521" s="0" t="s">
        <v>31774</v>
      </c>
      <c r="J9521" s="0" t="s">
        <v>31775</v>
      </c>
      <c r="K9521" s="0" t="s">
        <v>31776</v>
      </c>
      <c r="L9521" s="0" t="str">
        <f aca="false">HYPERLINK("https://www.ncbi.nlm.nih.gov/nuccore/CP000304.1?report=graph&amp;tracks=[key:gene_model_track,Options:GeneOnly]&amp;mk=2706186:2706205|offset_28|444444,2706155:2706174|offset_59|444444,2706132:2706151|offset_82|444444,2706033:2706052|offset_181|00cc00&amp;v=2705985:2706252&amp;c=444444", "offset 181")</f>
        <v>offset 181</v>
      </c>
    </row>
    <row r="9522" customFormat="false" ht="12.8" hidden="false" customHeight="false" outlineLevel="0" collapsed="false">
      <c r="A9522" s="0" t="s">
        <v>12</v>
      </c>
      <c r="B9522" s="0" t="n">
        <v>2706961</v>
      </c>
      <c r="C9522" s="0" t="n">
        <v>2706981</v>
      </c>
      <c r="D9522" s="0" t="s">
        <v>31777</v>
      </c>
      <c r="E9522" s="0" t="s">
        <v>89</v>
      </c>
      <c r="F9522" s="0" t="s">
        <v>90</v>
      </c>
      <c r="G9522" s="0" t="s">
        <v>32</v>
      </c>
      <c r="H9522" s="0" t="n">
        <v>28</v>
      </c>
      <c r="I9522" s="0" t="s">
        <v>31778</v>
      </c>
      <c r="J9522" s="0" t="s">
        <v>31779</v>
      </c>
      <c r="K9522" s="0" t="s">
        <v>31780</v>
      </c>
      <c r="L9522" s="0" t="str">
        <f aca="false">HYPERLINK("https://www.ncbi.nlm.nih.gov/nuccore/CP000304.1?report=graph&amp;tracks=[key:gene_model_track,Options:GeneOnly]&amp;mk=2706962:2706981|offset_28|00cc00,2706929:2706948|offset_61|444444,2706902:2706921|offset_88|444444,2706872:2706891|offset_118|444444&amp;v=2706761:2707091&amp;c=444444", "offset 28")</f>
        <v>offset 28</v>
      </c>
    </row>
    <row r="9523" customFormat="false" ht="12.8" hidden="false" customHeight="false" outlineLevel="0" collapsed="false">
      <c r="A9523" s="0" t="s">
        <v>12</v>
      </c>
      <c r="B9523" s="0" t="n">
        <v>2706928</v>
      </c>
      <c r="C9523" s="0" t="n">
        <v>2706948</v>
      </c>
      <c r="D9523" s="0" t="s">
        <v>31777</v>
      </c>
      <c r="E9523" s="0" t="s">
        <v>89</v>
      </c>
      <c r="F9523" s="0" t="s">
        <v>90</v>
      </c>
      <c r="G9523" s="0" t="s">
        <v>16</v>
      </c>
      <c r="H9523" s="0" t="n">
        <v>61</v>
      </c>
      <c r="I9523" s="0" t="s">
        <v>31781</v>
      </c>
      <c r="J9523" s="0" t="s">
        <v>31782</v>
      </c>
      <c r="K9523" s="0" t="s">
        <v>31783</v>
      </c>
      <c r="L9523" s="0" t="str">
        <f aca="false">HYPERLINK("https://www.ncbi.nlm.nih.gov/nuccore/CP000304.1?report=graph&amp;tracks=[key:gene_model_track,Options:GeneOnly]&amp;mk=2706962:2706981|offset_28|444444,2706929:2706948|offset_61|00cc00,2706902:2706921|offset_88|444444,2706872:2706891|offset_118|444444&amp;v=2706761:2707091&amp;c=444444", "offset 61")</f>
        <v>offset 61</v>
      </c>
    </row>
    <row r="9524" customFormat="false" ht="12.8" hidden="false" customHeight="false" outlineLevel="0" collapsed="false">
      <c r="A9524" s="0" t="s">
        <v>12</v>
      </c>
      <c r="B9524" s="0" t="n">
        <v>2706901</v>
      </c>
      <c r="C9524" s="0" t="n">
        <v>2706921</v>
      </c>
      <c r="D9524" s="0" t="s">
        <v>31777</v>
      </c>
      <c r="E9524" s="0" t="s">
        <v>89</v>
      </c>
      <c r="F9524" s="0" t="s">
        <v>90</v>
      </c>
      <c r="G9524" s="0" t="s">
        <v>16</v>
      </c>
      <c r="H9524" s="0" t="n">
        <v>88</v>
      </c>
      <c r="I9524" s="0" t="s">
        <v>31784</v>
      </c>
      <c r="J9524" s="0" t="s">
        <v>31785</v>
      </c>
      <c r="K9524" s="0" t="s">
        <v>31786</v>
      </c>
      <c r="L9524" s="0" t="str">
        <f aca="false">HYPERLINK("https://www.ncbi.nlm.nih.gov/nuccore/CP000304.1?report=graph&amp;tracks=[key:gene_model_track,Options:GeneOnly]&amp;mk=2706962:2706981|offset_28|444444,2706929:2706948|offset_61|444444,2706902:2706921|offset_88|00cc00,2706872:2706891|offset_118|444444&amp;v=2706761:2707091&amp;c=444444", "offset 88")</f>
        <v>offset 88</v>
      </c>
    </row>
    <row r="9525" customFormat="false" ht="12.8" hidden="false" customHeight="false" outlineLevel="0" collapsed="false">
      <c r="A9525" s="0" t="s">
        <v>12</v>
      </c>
      <c r="B9525" s="0" t="n">
        <v>2706871</v>
      </c>
      <c r="C9525" s="0" t="n">
        <v>2706891</v>
      </c>
      <c r="D9525" s="0" t="s">
        <v>31777</v>
      </c>
      <c r="E9525" s="0" t="s">
        <v>89</v>
      </c>
      <c r="F9525" s="0" t="s">
        <v>90</v>
      </c>
      <c r="G9525" s="0" t="s">
        <v>26</v>
      </c>
      <c r="H9525" s="0" t="n">
        <v>118</v>
      </c>
      <c r="I9525" s="0" t="s">
        <v>31787</v>
      </c>
      <c r="J9525" s="0" t="s">
        <v>31788</v>
      </c>
      <c r="K9525" s="0" t="s">
        <v>31789</v>
      </c>
      <c r="L9525" s="0" t="str">
        <f aca="false">HYPERLINK("https://www.ncbi.nlm.nih.gov/nuccore/CP000304.1?report=graph&amp;tracks=[key:gene_model_track,Options:GeneOnly]&amp;mk=2706962:2706981|offset_28|444444,2706929:2706948|offset_61|444444,2706902:2706921|offset_88|444444,2706872:2706891|offset_118|00cc00&amp;v=2706761:2707091&amp;c=444444", "offset 118")</f>
        <v>offset 118</v>
      </c>
    </row>
    <row r="9526" customFormat="false" ht="12.8" hidden="false" customHeight="false" outlineLevel="0" collapsed="false">
      <c r="A9526" s="0" t="s">
        <v>12</v>
      </c>
      <c r="B9526" s="0" t="n">
        <v>2707527</v>
      </c>
      <c r="C9526" s="0" t="n">
        <v>2707547</v>
      </c>
      <c r="D9526" s="0" t="s">
        <v>31790</v>
      </c>
      <c r="E9526" s="0" t="s">
        <v>89</v>
      </c>
      <c r="F9526" s="0" t="s">
        <v>90</v>
      </c>
      <c r="G9526" s="0" t="s">
        <v>16</v>
      </c>
      <c r="H9526" s="0" t="n">
        <v>10</v>
      </c>
      <c r="I9526" s="0" t="s">
        <v>31791</v>
      </c>
      <c r="J9526" s="0" t="s">
        <v>31792</v>
      </c>
      <c r="K9526" s="0" t="s">
        <v>31793</v>
      </c>
      <c r="L9526" s="0" t="str">
        <f aca="false">HYPERLINK("https://www.ncbi.nlm.nih.gov/nuccore/CP000304.1?report=graph&amp;tracks=[key:gene_model_track,Options:GeneOnly]&amp;mk=2707528:2707547|offset_10|00cc00,2707502:2707521|offset_36|444444,2707468:2707487|offset_70|444444,2707434:2707453|offset_104|444444&amp;v=2707327:2707653&amp;c=444444", "offset 10")</f>
        <v>offset 10</v>
      </c>
    </row>
    <row r="9527" customFormat="false" ht="12.8" hidden="false" customHeight="false" outlineLevel="0" collapsed="false">
      <c r="A9527" s="0" t="s">
        <v>12</v>
      </c>
      <c r="B9527" s="0" t="n">
        <v>2707501</v>
      </c>
      <c r="C9527" s="0" t="n">
        <v>2707521</v>
      </c>
      <c r="D9527" s="0" t="s">
        <v>31790</v>
      </c>
      <c r="E9527" s="0" t="s">
        <v>89</v>
      </c>
      <c r="F9527" s="0" t="s">
        <v>90</v>
      </c>
      <c r="G9527" s="0" t="s">
        <v>32</v>
      </c>
      <c r="H9527" s="0" t="n">
        <v>36</v>
      </c>
      <c r="I9527" s="0" t="s">
        <v>31794</v>
      </c>
      <c r="J9527" s="0" t="s">
        <v>31795</v>
      </c>
      <c r="K9527" s="0" t="s">
        <v>31796</v>
      </c>
      <c r="L9527" s="0" t="str">
        <f aca="false">HYPERLINK("https://www.ncbi.nlm.nih.gov/nuccore/CP000304.1?report=graph&amp;tracks=[key:gene_model_track,Options:GeneOnly]&amp;mk=2707528:2707547|offset_10|444444,2707502:2707521|offset_36|00cc00,2707468:2707487|offset_70|444444,2707434:2707453|offset_104|444444&amp;v=2707327:2707653&amp;c=444444", "offset 36")</f>
        <v>offset 36</v>
      </c>
    </row>
    <row r="9528" customFormat="false" ht="12.8" hidden="false" customHeight="false" outlineLevel="0" collapsed="false">
      <c r="A9528" s="0" t="s">
        <v>12</v>
      </c>
      <c r="B9528" s="0" t="n">
        <v>2707467</v>
      </c>
      <c r="C9528" s="0" t="n">
        <v>2707487</v>
      </c>
      <c r="D9528" s="0" t="s">
        <v>31790</v>
      </c>
      <c r="E9528" s="0" t="s">
        <v>89</v>
      </c>
      <c r="F9528" s="0" t="s">
        <v>90</v>
      </c>
      <c r="G9528" s="0" t="s">
        <v>26</v>
      </c>
      <c r="H9528" s="0" t="n">
        <v>70</v>
      </c>
      <c r="I9528" s="0" t="s">
        <v>31797</v>
      </c>
      <c r="J9528" s="0" t="s">
        <v>31798</v>
      </c>
      <c r="K9528" s="0" t="s">
        <v>31799</v>
      </c>
      <c r="L9528" s="0" t="str">
        <f aca="false">HYPERLINK("https://www.ncbi.nlm.nih.gov/nuccore/CP000304.1?report=graph&amp;tracks=[key:gene_model_track,Options:GeneOnly]&amp;mk=2707528:2707547|offset_10|444444,2707502:2707521|offset_36|444444,2707468:2707487|offset_70|00cc00,2707434:2707453|offset_104|444444&amp;v=2707327:2707653&amp;c=444444", "offset 70")</f>
        <v>offset 70</v>
      </c>
    </row>
    <row r="9529" customFormat="false" ht="12.8" hidden="false" customHeight="false" outlineLevel="0" collapsed="false">
      <c r="A9529" s="0" t="s">
        <v>12</v>
      </c>
      <c r="B9529" s="0" t="n">
        <v>2707433</v>
      </c>
      <c r="C9529" s="0" t="n">
        <v>2707453</v>
      </c>
      <c r="D9529" s="0" t="s">
        <v>31790</v>
      </c>
      <c r="E9529" s="0" t="s">
        <v>89</v>
      </c>
      <c r="F9529" s="0" t="s">
        <v>90</v>
      </c>
      <c r="G9529" s="0" t="s">
        <v>26</v>
      </c>
      <c r="H9529" s="0" t="n">
        <v>104</v>
      </c>
      <c r="I9529" s="0" t="s">
        <v>31800</v>
      </c>
      <c r="J9529" s="0" t="s">
        <v>31801</v>
      </c>
      <c r="K9529" s="0" t="s">
        <v>31802</v>
      </c>
      <c r="L9529" s="0" t="str">
        <f aca="false">HYPERLINK("https://www.ncbi.nlm.nih.gov/nuccore/CP000304.1?report=graph&amp;tracks=[key:gene_model_track,Options:GeneOnly]&amp;mk=2707528:2707547|offset_10|444444,2707502:2707521|offset_36|444444,2707468:2707487|offset_70|444444,2707434:2707453|offset_104|00cc00&amp;v=2707327:2707653&amp;c=444444", "offset 104")</f>
        <v>offset 104</v>
      </c>
    </row>
    <row r="9530" customFormat="false" ht="12.8" hidden="false" customHeight="false" outlineLevel="0" collapsed="false">
      <c r="A9530" s="0" t="s">
        <v>12</v>
      </c>
      <c r="B9530" s="0" t="n">
        <v>2707748</v>
      </c>
      <c r="C9530" s="0" t="n">
        <v>2707768</v>
      </c>
      <c r="D9530" s="0" t="s">
        <v>31803</v>
      </c>
      <c r="E9530" s="0" t="s">
        <v>89</v>
      </c>
      <c r="F9530" s="0" t="s">
        <v>15</v>
      </c>
      <c r="G9530" s="0" t="s">
        <v>32</v>
      </c>
      <c r="H9530" s="0" t="n">
        <v>1</v>
      </c>
      <c r="I9530" s="0" t="s">
        <v>31804</v>
      </c>
      <c r="J9530" s="0" t="s">
        <v>31805</v>
      </c>
      <c r="K9530" s="0" t="s">
        <v>31806</v>
      </c>
      <c r="L9530" s="0" t="str">
        <f aca="false">HYPERLINK("https://www.ncbi.nlm.nih.gov/nuccore/CP000304.1?report=graph&amp;tracks=[key:gene_model_track,Options:GeneOnly]&amp;mk=2707749:2707768|offset_1|00cc00,2707776:2707795|offset_28|444444,2707798:2707817|offset_50|444444,2707830:2707849|offset_82|444444&amp;v=2707548:2708049&amp;c=444444", "offset 1")</f>
        <v>offset 1</v>
      </c>
    </row>
    <row r="9531" customFormat="false" ht="12.8" hidden="false" customHeight="false" outlineLevel="0" collapsed="false">
      <c r="A9531" s="0" t="s">
        <v>12</v>
      </c>
      <c r="B9531" s="0" t="n">
        <v>2707775</v>
      </c>
      <c r="C9531" s="0" t="n">
        <v>2707795</v>
      </c>
      <c r="D9531" s="0" t="s">
        <v>31803</v>
      </c>
      <c r="E9531" s="0" t="s">
        <v>89</v>
      </c>
      <c r="F9531" s="0" t="s">
        <v>15</v>
      </c>
      <c r="G9531" s="0" t="s">
        <v>32</v>
      </c>
      <c r="H9531" s="0" t="n">
        <v>28</v>
      </c>
      <c r="I9531" s="0" t="s">
        <v>31807</v>
      </c>
      <c r="J9531" s="0" t="s">
        <v>31808</v>
      </c>
      <c r="K9531" s="0" t="s">
        <v>31809</v>
      </c>
      <c r="L9531" s="0" t="str">
        <f aca="false">HYPERLINK("https://www.ncbi.nlm.nih.gov/nuccore/CP000304.1?report=graph&amp;tracks=[key:gene_model_track,Options:GeneOnly]&amp;mk=2707749:2707768|offset_1|444444,2707776:2707795|offset_28|00cc00,2707798:2707817|offset_50|444444,2707830:2707849|offset_82|444444&amp;v=2707548:2708049&amp;c=444444", "offset 28")</f>
        <v>offset 28</v>
      </c>
    </row>
    <row r="9532" customFormat="false" ht="12.8" hidden="false" customHeight="false" outlineLevel="0" collapsed="false">
      <c r="A9532" s="0" t="s">
        <v>12</v>
      </c>
      <c r="B9532" s="0" t="n">
        <v>2707797</v>
      </c>
      <c r="C9532" s="0" t="n">
        <v>2707817</v>
      </c>
      <c r="D9532" s="0" t="s">
        <v>31803</v>
      </c>
      <c r="E9532" s="0" t="s">
        <v>89</v>
      </c>
      <c r="F9532" s="0" t="s">
        <v>15</v>
      </c>
      <c r="G9532" s="0" t="s">
        <v>32</v>
      </c>
      <c r="H9532" s="0" t="n">
        <v>50</v>
      </c>
      <c r="I9532" s="0" t="s">
        <v>31810</v>
      </c>
      <c r="J9532" s="0" t="s">
        <v>31811</v>
      </c>
      <c r="K9532" s="0" t="s">
        <v>31812</v>
      </c>
      <c r="L9532" s="0" t="str">
        <f aca="false">HYPERLINK("https://www.ncbi.nlm.nih.gov/nuccore/CP000304.1?report=graph&amp;tracks=[key:gene_model_track,Options:GeneOnly]&amp;mk=2707749:2707768|offset_1|444444,2707776:2707795|offset_28|444444,2707798:2707817|offset_50|00cc00,2707830:2707849|offset_82|444444&amp;v=2707548:2708049&amp;c=444444", "offset 50")</f>
        <v>offset 50</v>
      </c>
    </row>
    <row r="9533" customFormat="false" ht="12.8" hidden="false" customHeight="false" outlineLevel="0" collapsed="false">
      <c r="A9533" s="0" t="s">
        <v>12</v>
      </c>
      <c r="B9533" s="0" t="n">
        <v>2707829</v>
      </c>
      <c r="C9533" s="0" t="n">
        <v>2707849</v>
      </c>
      <c r="D9533" s="0" t="s">
        <v>31803</v>
      </c>
      <c r="E9533" s="0" t="s">
        <v>89</v>
      </c>
      <c r="F9533" s="0" t="s">
        <v>15</v>
      </c>
      <c r="G9533" s="0" t="s">
        <v>32</v>
      </c>
      <c r="H9533" s="0" t="n">
        <v>82</v>
      </c>
      <c r="I9533" s="0" t="s">
        <v>31813</v>
      </c>
      <c r="J9533" s="0" t="s">
        <v>31814</v>
      </c>
      <c r="K9533" s="0" t="s">
        <v>31815</v>
      </c>
      <c r="L9533" s="0" t="str">
        <f aca="false">HYPERLINK("https://www.ncbi.nlm.nih.gov/nuccore/CP000304.1?report=graph&amp;tracks=[key:gene_model_track,Options:GeneOnly]&amp;mk=2707749:2707768|offset_1|444444,2707776:2707795|offset_28|444444,2707798:2707817|offset_50|444444,2707830:2707849|offset_82|00cc00&amp;v=2707548:2708049&amp;c=444444", "offset 82")</f>
        <v>offset 82</v>
      </c>
    </row>
    <row r="9534" customFormat="false" ht="12.8" hidden="false" customHeight="false" outlineLevel="0" collapsed="false">
      <c r="A9534" s="0" t="s">
        <v>12</v>
      </c>
      <c r="B9534" s="0" t="n">
        <v>2708888</v>
      </c>
      <c r="C9534" s="0" t="n">
        <v>2708908</v>
      </c>
      <c r="D9534" s="0" t="s">
        <v>31816</v>
      </c>
      <c r="E9534" s="0" t="s">
        <v>89</v>
      </c>
      <c r="F9534" s="0" t="s">
        <v>90</v>
      </c>
      <c r="G9534" s="0" t="s">
        <v>16</v>
      </c>
      <c r="H9534" s="0" t="n">
        <v>17</v>
      </c>
      <c r="I9534" s="0" t="s">
        <v>31817</v>
      </c>
      <c r="J9534" s="0" t="s">
        <v>31818</v>
      </c>
      <c r="K9534" s="0" t="s">
        <v>31819</v>
      </c>
      <c r="L9534" s="0" t="str">
        <f aca="false">HYPERLINK("https://www.ncbi.nlm.nih.gov/nuccore/CP000304.1?report=graph&amp;tracks=[key:gene_model_track,Options:GeneOnly]&amp;mk=2708889:2708908|offset_17|00cc00,2708853:2708872|offset_53|444444,2708826:2708845|offset_80|444444,2708804:2708823|offset_102|444444&amp;v=2708688:2709023&amp;c=444444", "offset 17")</f>
        <v>offset 17</v>
      </c>
    </row>
    <row r="9535" customFormat="false" ht="12.8" hidden="false" customHeight="false" outlineLevel="0" collapsed="false">
      <c r="A9535" s="0" t="s">
        <v>12</v>
      </c>
      <c r="B9535" s="0" t="n">
        <v>2708852</v>
      </c>
      <c r="C9535" s="0" t="n">
        <v>2708872</v>
      </c>
      <c r="D9535" s="0" t="s">
        <v>31816</v>
      </c>
      <c r="E9535" s="0" t="s">
        <v>89</v>
      </c>
      <c r="F9535" s="0" t="s">
        <v>90</v>
      </c>
      <c r="G9535" s="0" t="s">
        <v>16</v>
      </c>
      <c r="H9535" s="0" t="n">
        <v>53</v>
      </c>
      <c r="I9535" s="0" t="s">
        <v>31820</v>
      </c>
      <c r="J9535" s="0" t="s">
        <v>31821</v>
      </c>
      <c r="K9535" s="0" t="s">
        <v>31822</v>
      </c>
      <c r="L9535" s="0" t="str">
        <f aca="false">HYPERLINK("https://www.ncbi.nlm.nih.gov/nuccore/CP000304.1?report=graph&amp;tracks=[key:gene_model_track,Options:GeneOnly]&amp;mk=2708889:2708908|offset_17|444444,2708853:2708872|offset_53|00cc00,2708826:2708845|offset_80|444444,2708804:2708823|offset_102|444444&amp;v=2708688:2709023&amp;c=444444", "offset 53")</f>
        <v>offset 53</v>
      </c>
    </row>
    <row r="9536" customFormat="false" ht="12.8" hidden="false" customHeight="false" outlineLevel="0" collapsed="false">
      <c r="A9536" s="0" t="s">
        <v>12</v>
      </c>
      <c r="B9536" s="0" t="n">
        <v>2708825</v>
      </c>
      <c r="C9536" s="0" t="n">
        <v>2708845</v>
      </c>
      <c r="D9536" s="0" t="s">
        <v>31816</v>
      </c>
      <c r="E9536" s="0" t="s">
        <v>89</v>
      </c>
      <c r="F9536" s="0" t="s">
        <v>90</v>
      </c>
      <c r="G9536" s="0" t="s">
        <v>32</v>
      </c>
      <c r="H9536" s="0" t="n">
        <v>80</v>
      </c>
      <c r="I9536" s="0" t="s">
        <v>31823</v>
      </c>
      <c r="J9536" s="0" t="s">
        <v>31824</v>
      </c>
      <c r="K9536" s="0" t="s">
        <v>31825</v>
      </c>
      <c r="L9536" s="0" t="str">
        <f aca="false">HYPERLINK("https://www.ncbi.nlm.nih.gov/nuccore/CP000304.1?report=graph&amp;tracks=[key:gene_model_track,Options:GeneOnly]&amp;mk=2708889:2708908|offset_17|444444,2708853:2708872|offset_53|444444,2708826:2708845|offset_80|00cc00,2708804:2708823|offset_102|444444&amp;v=2708688:2709023&amp;c=444444", "offset 80")</f>
        <v>offset 80</v>
      </c>
    </row>
    <row r="9537" customFormat="false" ht="12.8" hidden="false" customHeight="false" outlineLevel="0" collapsed="false">
      <c r="A9537" s="0" t="s">
        <v>12</v>
      </c>
      <c r="B9537" s="0" t="n">
        <v>2708803</v>
      </c>
      <c r="C9537" s="0" t="n">
        <v>2708823</v>
      </c>
      <c r="D9537" s="0" t="s">
        <v>31816</v>
      </c>
      <c r="E9537" s="0" t="s">
        <v>89</v>
      </c>
      <c r="F9537" s="0" t="s">
        <v>90</v>
      </c>
      <c r="G9537" s="0" t="s">
        <v>16</v>
      </c>
      <c r="H9537" s="0" t="n">
        <v>102</v>
      </c>
      <c r="I9537" s="0" t="s">
        <v>31826</v>
      </c>
      <c r="J9537" s="0" t="s">
        <v>31827</v>
      </c>
      <c r="K9537" s="0" t="s">
        <v>31828</v>
      </c>
      <c r="L9537" s="0" t="str">
        <f aca="false">HYPERLINK("https://www.ncbi.nlm.nih.gov/nuccore/CP000304.1?report=graph&amp;tracks=[key:gene_model_track,Options:GeneOnly]&amp;mk=2708889:2708908|offset_17|444444,2708853:2708872|offset_53|444444,2708826:2708845|offset_80|444444,2708804:2708823|offset_102|00cc00&amp;v=2708688:2709023&amp;c=444444", "offset 102")</f>
        <v>offset 102</v>
      </c>
    </row>
    <row r="9538" customFormat="false" ht="12.8" hidden="false" customHeight="false" outlineLevel="0" collapsed="false">
      <c r="A9538" s="0" t="s">
        <v>12</v>
      </c>
      <c r="B9538" s="0" t="n">
        <v>2710975</v>
      </c>
      <c r="C9538" s="0" t="n">
        <v>2710995</v>
      </c>
      <c r="D9538" s="0" t="s">
        <v>31829</v>
      </c>
      <c r="E9538" s="0" t="s">
        <v>89</v>
      </c>
      <c r="F9538" s="0" t="s">
        <v>90</v>
      </c>
      <c r="G9538" s="0" t="s">
        <v>32</v>
      </c>
      <c r="H9538" s="0" t="n">
        <v>1</v>
      </c>
      <c r="I9538" s="0" t="s">
        <v>31830</v>
      </c>
      <c r="J9538" s="0" t="s">
        <v>31831</v>
      </c>
      <c r="K9538" s="0" t="s">
        <v>31832</v>
      </c>
      <c r="L9538" s="0" t="str">
        <f aca="false">HYPERLINK("https://www.ncbi.nlm.nih.gov/nuccore/CP000304.1?report=graph&amp;tracks=[key:gene_model_track,Options:GeneOnly]&amp;mk=2710976:2710995|offset_1|00cc00,2710955:2710974|offset_22|444444,2710931:2710950|offset_46|444444,2710867:2710886|offset_110|444444&amp;v=2710775:2711086&amp;c=444444", "offset 1")</f>
        <v>offset 1</v>
      </c>
    </row>
    <row r="9539" customFormat="false" ht="12.8" hidden="false" customHeight="false" outlineLevel="0" collapsed="false">
      <c r="A9539" s="0" t="s">
        <v>12</v>
      </c>
      <c r="B9539" s="0" t="n">
        <v>2710954</v>
      </c>
      <c r="C9539" s="0" t="n">
        <v>2710974</v>
      </c>
      <c r="D9539" s="0" t="s">
        <v>31829</v>
      </c>
      <c r="E9539" s="0" t="s">
        <v>89</v>
      </c>
      <c r="F9539" s="0" t="s">
        <v>90</v>
      </c>
      <c r="G9539" s="0" t="s">
        <v>16</v>
      </c>
      <c r="H9539" s="0" t="n">
        <v>22</v>
      </c>
      <c r="I9539" s="0" t="s">
        <v>31833</v>
      </c>
      <c r="J9539" s="0" t="s">
        <v>31834</v>
      </c>
      <c r="K9539" s="0" t="s">
        <v>31835</v>
      </c>
      <c r="L9539" s="0" t="str">
        <f aca="false">HYPERLINK("https://www.ncbi.nlm.nih.gov/nuccore/CP000304.1?report=graph&amp;tracks=[key:gene_model_track,Options:GeneOnly]&amp;mk=2710976:2710995|offset_1|444444,2710955:2710974|offset_22|00cc00,2710931:2710950|offset_46|444444,2710867:2710886|offset_110|444444&amp;v=2710775:2711086&amp;c=444444", "offset 22")</f>
        <v>offset 22</v>
      </c>
    </row>
    <row r="9540" customFormat="false" ht="12.8" hidden="false" customHeight="false" outlineLevel="0" collapsed="false">
      <c r="A9540" s="0" t="s">
        <v>12</v>
      </c>
      <c r="B9540" s="0" t="n">
        <v>2710930</v>
      </c>
      <c r="C9540" s="0" t="n">
        <v>2710950</v>
      </c>
      <c r="D9540" s="0" t="s">
        <v>31829</v>
      </c>
      <c r="E9540" s="0" t="s">
        <v>89</v>
      </c>
      <c r="F9540" s="0" t="s">
        <v>90</v>
      </c>
      <c r="G9540" s="0" t="s">
        <v>32</v>
      </c>
      <c r="H9540" s="0" t="n">
        <v>46</v>
      </c>
      <c r="I9540" s="0" t="s">
        <v>31836</v>
      </c>
      <c r="J9540" s="0" t="s">
        <v>31837</v>
      </c>
      <c r="K9540" s="0" t="s">
        <v>31838</v>
      </c>
      <c r="L9540" s="0" t="str">
        <f aca="false">HYPERLINK("https://www.ncbi.nlm.nih.gov/nuccore/CP000304.1?report=graph&amp;tracks=[key:gene_model_track,Options:GeneOnly]&amp;mk=2710976:2710995|offset_1|444444,2710955:2710974|offset_22|444444,2710931:2710950|offset_46|00cc00,2710867:2710886|offset_110|444444&amp;v=2710775:2711086&amp;c=444444", "offset 46")</f>
        <v>offset 46</v>
      </c>
    </row>
    <row r="9541" customFormat="false" ht="12.8" hidden="false" customHeight="false" outlineLevel="0" collapsed="false">
      <c r="A9541" s="0" t="s">
        <v>12</v>
      </c>
      <c r="B9541" s="0" t="n">
        <v>2710866</v>
      </c>
      <c r="C9541" s="0" t="n">
        <v>2710886</v>
      </c>
      <c r="D9541" s="0" t="s">
        <v>31829</v>
      </c>
      <c r="E9541" s="0" t="s">
        <v>89</v>
      </c>
      <c r="F9541" s="0" t="s">
        <v>90</v>
      </c>
      <c r="G9541" s="0" t="s">
        <v>16</v>
      </c>
      <c r="H9541" s="0" t="n">
        <v>110</v>
      </c>
      <c r="I9541" s="0" t="s">
        <v>31839</v>
      </c>
      <c r="J9541" s="0" t="s">
        <v>31840</v>
      </c>
      <c r="K9541" s="0" t="s">
        <v>31841</v>
      </c>
      <c r="L9541" s="0" t="str">
        <f aca="false">HYPERLINK("https://www.ncbi.nlm.nih.gov/nuccore/CP000304.1?report=graph&amp;tracks=[key:gene_model_track,Options:GeneOnly]&amp;mk=2710976:2710995|offset_1|444444,2710955:2710974|offset_22|444444,2710931:2710950|offset_46|444444,2710867:2710886|offset_110|00cc00&amp;v=2710775:2711086&amp;c=444444", "offset 110")</f>
        <v>offset 110</v>
      </c>
    </row>
    <row r="9542" customFormat="false" ht="12.8" hidden="false" customHeight="false" outlineLevel="0" collapsed="false">
      <c r="A9542" s="0" t="s">
        <v>12</v>
      </c>
      <c r="B9542" s="0" t="n">
        <v>2711228</v>
      </c>
      <c r="C9542" s="0" t="n">
        <v>2711248</v>
      </c>
      <c r="D9542" s="0" t="s">
        <v>31842</v>
      </c>
      <c r="E9542" s="0" t="s">
        <v>89</v>
      </c>
      <c r="F9542" s="0" t="s">
        <v>15</v>
      </c>
      <c r="G9542" s="0" t="s">
        <v>26</v>
      </c>
      <c r="H9542" s="0" t="n">
        <v>0</v>
      </c>
      <c r="I9542" s="0" t="s">
        <v>31843</v>
      </c>
      <c r="J9542" s="0" t="s">
        <v>31844</v>
      </c>
      <c r="K9542" s="0" t="s">
        <v>31845</v>
      </c>
      <c r="L9542" s="0" t="str">
        <f aca="false">HYPERLINK("https://www.ncbi.nlm.nih.gov/nuccore/CP000304.1?report=graph&amp;tracks=[key:gene_model_track,Options:GeneOnly]&amp;mk=2711229:2711248|offset_0|00cc00,2711255:2711274|offset_26|444444,2711290:2711309|offset_61|444444,2711324:2711343|offset_95|444444&amp;v=2711028:2711543&amp;c=444444", "offset 0")</f>
        <v>offset 0</v>
      </c>
    </row>
    <row r="9543" customFormat="false" ht="12.8" hidden="false" customHeight="false" outlineLevel="0" collapsed="false">
      <c r="A9543" s="0" t="s">
        <v>12</v>
      </c>
      <c r="B9543" s="0" t="n">
        <v>2711254</v>
      </c>
      <c r="C9543" s="0" t="n">
        <v>2711274</v>
      </c>
      <c r="D9543" s="0" t="s">
        <v>31842</v>
      </c>
      <c r="E9543" s="0" t="s">
        <v>89</v>
      </c>
      <c r="F9543" s="0" t="s">
        <v>15</v>
      </c>
      <c r="G9543" s="0" t="s">
        <v>26</v>
      </c>
      <c r="H9543" s="0" t="n">
        <v>26</v>
      </c>
      <c r="I9543" s="0" t="s">
        <v>31846</v>
      </c>
      <c r="J9543" s="0" t="s">
        <v>31847</v>
      </c>
      <c r="K9543" s="0" t="s">
        <v>31848</v>
      </c>
      <c r="L9543" s="0" t="str">
        <f aca="false">HYPERLINK("https://www.ncbi.nlm.nih.gov/nuccore/CP000304.1?report=graph&amp;tracks=[key:gene_model_track,Options:GeneOnly]&amp;mk=2711229:2711248|offset_0|444444,2711255:2711274|offset_26|00cc00,2711290:2711309|offset_61|444444,2711324:2711343|offset_95|444444&amp;v=2711028:2711543&amp;c=444444", "offset 26")</f>
        <v>offset 26</v>
      </c>
    </row>
    <row r="9544" customFormat="false" ht="12.8" hidden="false" customHeight="false" outlineLevel="0" collapsed="false">
      <c r="A9544" s="0" t="s">
        <v>12</v>
      </c>
      <c r="B9544" s="0" t="n">
        <v>2711289</v>
      </c>
      <c r="C9544" s="0" t="n">
        <v>2711309</v>
      </c>
      <c r="D9544" s="0" t="s">
        <v>31842</v>
      </c>
      <c r="E9544" s="0" t="s">
        <v>89</v>
      </c>
      <c r="F9544" s="0" t="s">
        <v>15</v>
      </c>
      <c r="G9544" s="0" t="s">
        <v>32</v>
      </c>
      <c r="H9544" s="0" t="n">
        <v>61</v>
      </c>
      <c r="I9544" s="0" t="s">
        <v>31849</v>
      </c>
      <c r="J9544" s="0" t="s">
        <v>31850</v>
      </c>
      <c r="K9544" s="0" t="s">
        <v>31851</v>
      </c>
      <c r="L9544" s="0" t="str">
        <f aca="false">HYPERLINK("https://www.ncbi.nlm.nih.gov/nuccore/CP000304.1?report=graph&amp;tracks=[key:gene_model_track,Options:GeneOnly]&amp;mk=2711229:2711248|offset_0|444444,2711255:2711274|offset_26|444444,2711290:2711309|offset_61|00cc00,2711324:2711343|offset_95|444444&amp;v=2711028:2711543&amp;c=444444", "offset 61")</f>
        <v>offset 61</v>
      </c>
    </row>
    <row r="9545" customFormat="false" ht="12.8" hidden="false" customHeight="false" outlineLevel="0" collapsed="false">
      <c r="A9545" s="0" t="s">
        <v>12</v>
      </c>
      <c r="B9545" s="0" t="n">
        <v>2711323</v>
      </c>
      <c r="C9545" s="0" t="n">
        <v>2711343</v>
      </c>
      <c r="D9545" s="0" t="s">
        <v>31842</v>
      </c>
      <c r="E9545" s="0" t="s">
        <v>89</v>
      </c>
      <c r="F9545" s="0" t="s">
        <v>15</v>
      </c>
      <c r="G9545" s="0" t="s">
        <v>26</v>
      </c>
      <c r="H9545" s="0" t="n">
        <v>95</v>
      </c>
      <c r="I9545" s="0" t="s">
        <v>31852</v>
      </c>
      <c r="J9545" s="0" t="s">
        <v>31853</v>
      </c>
      <c r="K9545" s="0" t="s">
        <v>31854</v>
      </c>
      <c r="L9545" s="0" t="str">
        <f aca="false">HYPERLINK("https://www.ncbi.nlm.nih.gov/nuccore/CP000304.1?report=graph&amp;tracks=[key:gene_model_track,Options:GeneOnly]&amp;mk=2711229:2711248|offset_0|444444,2711255:2711274|offset_26|444444,2711290:2711309|offset_61|444444,2711324:2711343|offset_95|00cc00&amp;v=2711028:2711543&amp;c=444444", "offset 95")</f>
        <v>offset 95</v>
      </c>
    </row>
    <row r="9546" customFormat="false" ht="12.8" hidden="false" customHeight="false" outlineLevel="0" collapsed="false">
      <c r="A9546" s="0" t="s">
        <v>12</v>
      </c>
      <c r="B9546" s="0" t="n">
        <v>2714024</v>
      </c>
      <c r="C9546" s="0" t="n">
        <v>2714044</v>
      </c>
      <c r="D9546" s="0" t="s">
        <v>31855</v>
      </c>
      <c r="E9546" s="0" t="s">
        <v>89</v>
      </c>
      <c r="F9546" s="0" t="s">
        <v>90</v>
      </c>
      <c r="G9546" s="0" t="s">
        <v>26</v>
      </c>
      <c r="H9546" s="0" t="n">
        <v>13</v>
      </c>
      <c r="I9546" s="0" t="s">
        <v>31856</v>
      </c>
      <c r="J9546" s="0" t="s">
        <v>31857</v>
      </c>
      <c r="K9546" s="0" t="s">
        <v>31858</v>
      </c>
      <c r="L9546" s="0" t="str">
        <f aca="false">HYPERLINK("https://www.ncbi.nlm.nih.gov/nuccore/CP000304.1?report=graph&amp;tracks=[key:gene_model_track,Options:GeneOnly]&amp;mk=2714025:2714044|offset_13|00cc00,2713968:2713987|offset_70|444444,2713920:2713939|offset_118|444444,2713896:2713915|offset_142|444444&amp;v=2713824:2714115&amp;c=444444", "offset 13")</f>
        <v>offset 13</v>
      </c>
    </row>
    <row r="9547" customFormat="false" ht="12.8" hidden="false" customHeight="false" outlineLevel="0" collapsed="false">
      <c r="A9547" s="0" t="s">
        <v>12</v>
      </c>
      <c r="B9547" s="0" t="n">
        <v>2713967</v>
      </c>
      <c r="C9547" s="0" t="n">
        <v>2713987</v>
      </c>
      <c r="D9547" s="0" t="s">
        <v>31855</v>
      </c>
      <c r="E9547" s="0" t="s">
        <v>89</v>
      </c>
      <c r="F9547" s="0" t="s">
        <v>90</v>
      </c>
      <c r="G9547" s="0" t="s">
        <v>32</v>
      </c>
      <c r="H9547" s="0" t="n">
        <v>70</v>
      </c>
      <c r="I9547" s="0" t="s">
        <v>31859</v>
      </c>
      <c r="J9547" s="0" t="s">
        <v>31860</v>
      </c>
      <c r="K9547" s="0" t="s">
        <v>31861</v>
      </c>
      <c r="L9547" s="0" t="str">
        <f aca="false">HYPERLINK("https://www.ncbi.nlm.nih.gov/nuccore/CP000304.1?report=graph&amp;tracks=[key:gene_model_track,Options:GeneOnly]&amp;mk=2714025:2714044|offset_13|444444,2713968:2713987|offset_70|00cc00,2713920:2713939|offset_118|444444,2713896:2713915|offset_142|444444&amp;v=2713824:2714115&amp;c=444444", "offset 70")</f>
        <v>offset 70</v>
      </c>
    </row>
    <row r="9548" customFormat="false" ht="12.8" hidden="false" customHeight="false" outlineLevel="0" collapsed="false">
      <c r="A9548" s="0" t="s">
        <v>12</v>
      </c>
      <c r="B9548" s="0" t="n">
        <v>2713919</v>
      </c>
      <c r="C9548" s="0" t="n">
        <v>2713939</v>
      </c>
      <c r="D9548" s="0" t="s">
        <v>31855</v>
      </c>
      <c r="E9548" s="0" t="s">
        <v>89</v>
      </c>
      <c r="F9548" s="0" t="s">
        <v>90</v>
      </c>
      <c r="G9548" s="0" t="s">
        <v>16</v>
      </c>
      <c r="H9548" s="0" t="n">
        <v>118</v>
      </c>
      <c r="I9548" s="0" t="s">
        <v>31862</v>
      </c>
      <c r="J9548" s="0" t="s">
        <v>31863</v>
      </c>
      <c r="K9548" s="0" t="s">
        <v>31864</v>
      </c>
      <c r="L9548" s="0" t="str">
        <f aca="false">HYPERLINK("https://www.ncbi.nlm.nih.gov/nuccore/CP000304.1?report=graph&amp;tracks=[key:gene_model_track,Options:GeneOnly]&amp;mk=2714025:2714044|offset_13|444444,2713968:2713987|offset_70|444444,2713920:2713939|offset_118|00cc00,2713896:2713915|offset_142|444444&amp;v=2713824:2714115&amp;c=444444", "offset 118")</f>
        <v>offset 118</v>
      </c>
    </row>
    <row r="9549" customFormat="false" ht="12.8" hidden="false" customHeight="false" outlineLevel="0" collapsed="false">
      <c r="A9549" s="0" t="s">
        <v>12</v>
      </c>
      <c r="B9549" s="0" t="n">
        <v>2713895</v>
      </c>
      <c r="C9549" s="0" t="n">
        <v>2713915</v>
      </c>
      <c r="D9549" s="0" t="s">
        <v>31855</v>
      </c>
      <c r="E9549" s="0" t="s">
        <v>89</v>
      </c>
      <c r="F9549" s="0" t="s">
        <v>90</v>
      </c>
      <c r="G9549" s="0" t="s">
        <v>36</v>
      </c>
      <c r="H9549" s="0" t="n">
        <v>142</v>
      </c>
      <c r="I9549" s="0" t="s">
        <v>31865</v>
      </c>
      <c r="J9549" s="0" t="s">
        <v>31866</v>
      </c>
      <c r="K9549" s="0" t="s">
        <v>31867</v>
      </c>
      <c r="L9549" s="0" t="str">
        <f aca="false">HYPERLINK("https://www.ncbi.nlm.nih.gov/nuccore/CP000304.1?report=graph&amp;tracks=[key:gene_model_track,Options:GeneOnly]&amp;mk=2714025:2714044|offset_13|444444,2713968:2713987|offset_70|444444,2713920:2713939|offset_118|444444,2713896:2713915|offset_142|00cc00&amp;v=2713824:2714115&amp;c=444444", "offset 142")</f>
        <v>offset 142</v>
      </c>
    </row>
    <row r="9550" customFormat="false" ht="12.8" hidden="false" customHeight="false" outlineLevel="0" collapsed="false">
      <c r="A9550" s="0" t="s">
        <v>12</v>
      </c>
      <c r="B9550" s="0" t="n">
        <v>2715041</v>
      </c>
      <c r="C9550" s="0" t="n">
        <v>2715061</v>
      </c>
      <c r="D9550" s="0" t="s">
        <v>31868</v>
      </c>
      <c r="E9550" s="0" t="s">
        <v>31869</v>
      </c>
      <c r="F9550" s="0" t="s">
        <v>90</v>
      </c>
      <c r="G9550" s="0" t="s">
        <v>16</v>
      </c>
      <c r="H9550" s="0" t="n">
        <v>7</v>
      </c>
      <c r="I9550" s="0" t="s">
        <v>31870</v>
      </c>
      <c r="J9550" s="0" t="s">
        <v>31871</v>
      </c>
      <c r="K9550" s="0" t="s">
        <v>31872</v>
      </c>
      <c r="L9550" s="0" t="str">
        <f aca="false">HYPERLINK("https://www.ncbi.nlm.nih.gov/nuccore/CP000304.1?report=graph&amp;tracks=[key:gene_model_track,Options:GeneOnly]&amp;mk=2715042:2715061|offset_7|00cc00,2715012:2715031|offset_37|444444,2714990:2715009|offset_59|444444,2714946:2714965|offset_103|444444&amp;v=2714841:2715165&amp;c=444444", "offset 7")</f>
        <v>offset 7</v>
      </c>
    </row>
    <row r="9551" customFormat="false" ht="12.8" hidden="false" customHeight="false" outlineLevel="0" collapsed="false">
      <c r="A9551" s="0" t="s">
        <v>12</v>
      </c>
      <c r="B9551" s="0" t="n">
        <v>2715011</v>
      </c>
      <c r="C9551" s="0" t="n">
        <v>2715031</v>
      </c>
      <c r="D9551" s="0" t="s">
        <v>31868</v>
      </c>
      <c r="E9551" s="0" t="s">
        <v>31869</v>
      </c>
      <c r="F9551" s="0" t="s">
        <v>90</v>
      </c>
      <c r="G9551" s="0" t="s">
        <v>36</v>
      </c>
      <c r="H9551" s="0" t="n">
        <v>37</v>
      </c>
      <c r="I9551" s="0" t="s">
        <v>31873</v>
      </c>
      <c r="J9551" s="0" t="s">
        <v>31874</v>
      </c>
      <c r="K9551" s="0" t="s">
        <v>31875</v>
      </c>
      <c r="L9551" s="0" t="str">
        <f aca="false">HYPERLINK("https://www.ncbi.nlm.nih.gov/nuccore/CP000304.1?report=graph&amp;tracks=[key:gene_model_track,Options:GeneOnly]&amp;mk=2715042:2715061|offset_7|444444,2715012:2715031|offset_37|00cc00,2714990:2715009|offset_59|444444,2714946:2714965|offset_103|444444&amp;v=2714841:2715165&amp;c=444444", "offset 37")</f>
        <v>offset 37</v>
      </c>
    </row>
    <row r="9552" customFormat="false" ht="12.8" hidden="false" customHeight="false" outlineLevel="0" collapsed="false">
      <c r="A9552" s="0" t="s">
        <v>12</v>
      </c>
      <c r="B9552" s="0" t="n">
        <v>2714989</v>
      </c>
      <c r="C9552" s="0" t="n">
        <v>2715009</v>
      </c>
      <c r="D9552" s="0" t="s">
        <v>31868</v>
      </c>
      <c r="E9552" s="0" t="s">
        <v>31869</v>
      </c>
      <c r="F9552" s="0" t="s">
        <v>90</v>
      </c>
      <c r="G9552" s="0" t="s">
        <v>26</v>
      </c>
      <c r="H9552" s="0" t="n">
        <v>59</v>
      </c>
      <c r="I9552" s="0" t="s">
        <v>31876</v>
      </c>
      <c r="J9552" s="0" t="s">
        <v>31877</v>
      </c>
      <c r="K9552" s="0" t="s">
        <v>31878</v>
      </c>
      <c r="L9552" s="0" t="str">
        <f aca="false">HYPERLINK("https://www.ncbi.nlm.nih.gov/nuccore/CP000304.1?report=graph&amp;tracks=[key:gene_model_track,Options:GeneOnly]&amp;mk=2715042:2715061|offset_7|444444,2715012:2715031|offset_37|444444,2714990:2715009|offset_59|00cc00,2714946:2714965|offset_103|444444&amp;v=2714841:2715165&amp;c=444444", "offset 59")</f>
        <v>offset 59</v>
      </c>
    </row>
    <row r="9553" customFormat="false" ht="12.8" hidden="false" customHeight="false" outlineLevel="0" collapsed="false">
      <c r="A9553" s="0" t="s">
        <v>12</v>
      </c>
      <c r="B9553" s="0" t="n">
        <v>2714945</v>
      </c>
      <c r="C9553" s="0" t="n">
        <v>2714965</v>
      </c>
      <c r="D9553" s="0" t="s">
        <v>31868</v>
      </c>
      <c r="E9553" s="0" t="s">
        <v>31869</v>
      </c>
      <c r="F9553" s="0" t="s">
        <v>90</v>
      </c>
      <c r="G9553" s="0" t="s">
        <v>32</v>
      </c>
      <c r="H9553" s="0" t="n">
        <v>103</v>
      </c>
      <c r="I9553" s="0" t="s">
        <v>31879</v>
      </c>
      <c r="J9553" s="0" t="s">
        <v>31880</v>
      </c>
      <c r="K9553" s="0" t="s">
        <v>31881</v>
      </c>
      <c r="L9553" s="0" t="str">
        <f aca="false">HYPERLINK("https://www.ncbi.nlm.nih.gov/nuccore/CP000304.1?report=graph&amp;tracks=[key:gene_model_track,Options:GeneOnly]&amp;mk=2715042:2715061|offset_7|444444,2715012:2715031|offset_37|444444,2714990:2715009|offset_59|444444,2714946:2714965|offset_103|00cc00&amp;v=2714841:2715165&amp;c=444444", "offset 103")</f>
        <v>offset 103</v>
      </c>
    </row>
    <row r="9554" customFormat="false" ht="12.8" hidden="false" customHeight="false" outlineLevel="0" collapsed="false">
      <c r="A9554" s="0" t="s">
        <v>12</v>
      </c>
      <c r="B9554" s="0" t="n">
        <v>2716071</v>
      </c>
      <c r="C9554" s="0" t="n">
        <v>2716091</v>
      </c>
      <c r="D9554" s="0" t="s">
        <v>31882</v>
      </c>
      <c r="E9554" s="0" t="s">
        <v>89</v>
      </c>
      <c r="F9554" s="0" t="s">
        <v>90</v>
      </c>
      <c r="G9554" s="0" t="s">
        <v>32</v>
      </c>
      <c r="H9554" s="0" t="n">
        <v>1</v>
      </c>
      <c r="I9554" s="0" t="s">
        <v>31883</v>
      </c>
      <c r="J9554" s="0" t="s">
        <v>31884</v>
      </c>
      <c r="K9554" s="0" t="s">
        <v>31885</v>
      </c>
      <c r="L9554" s="0" t="str">
        <f aca="false">HYPERLINK("https://www.ncbi.nlm.nih.gov/nuccore/CP000304.1?report=graph&amp;tracks=[key:gene_model_track,Options:GeneOnly]&amp;mk=2716072:2716091|offset_1|00cc00,2715955:2715974|offset_118|444444,2715899:2715918|offset_174|444444,2715853:2715872|offset_220|444444&amp;v=2715871:2716072&amp;c=444444", "offset 1")</f>
        <v>offset 1</v>
      </c>
    </row>
    <row r="9555" customFormat="false" ht="12.8" hidden="false" customHeight="false" outlineLevel="0" collapsed="false">
      <c r="A9555" s="0" t="s">
        <v>12</v>
      </c>
      <c r="B9555" s="0" t="n">
        <v>2715954</v>
      </c>
      <c r="C9555" s="0" t="n">
        <v>2715974</v>
      </c>
      <c r="D9555" s="0" t="s">
        <v>31882</v>
      </c>
      <c r="E9555" s="0" t="s">
        <v>89</v>
      </c>
      <c r="F9555" s="0" t="s">
        <v>90</v>
      </c>
      <c r="G9555" s="0" t="s">
        <v>26</v>
      </c>
      <c r="H9555" s="0" t="n">
        <v>118</v>
      </c>
      <c r="I9555" s="0" t="s">
        <v>31886</v>
      </c>
      <c r="J9555" s="0" t="s">
        <v>31887</v>
      </c>
      <c r="K9555" s="0" t="s">
        <v>31888</v>
      </c>
      <c r="L9555" s="0" t="str">
        <f aca="false">HYPERLINK("https://www.ncbi.nlm.nih.gov/nuccore/CP000304.1?report=graph&amp;tracks=[key:gene_model_track,Options:GeneOnly]&amp;mk=2716072:2716091|offset_1|444444,2715955:2715974|offset_118|00cc00,2715899:2715918|offset_174|444444,2715853:2715872|offset_220|444444&amp;v=2715871:2716072&amp;c=444444", "offset 118")</f>
        <v>offset 118</v>
      </c>
    </row>
    <row r="9556" customFormat="false" ht="12.8" hidden="false" customHeight="false" outlineLevel="0" collapsed="false">
      <c r="A9556" s="0" t="s">
        <v>12</v>
      </c>
      <c r="B9556" s="0" t="n">
        <v>2715898</v>
      </c>
      <c r="C9556" s="0" t="n">
        <v>2715918</v>
      </c>
      <c r="D9556" s="0" t="s">
        <v>31882</v>
      </c>
      <c r="E9556" s="0" t="s">
        <v>89</v>
      </c>
      <c r="F9556" s="0" t="s">
        <v>90</v>
      </c>
      <c r="G9556" s="0" t="s">
        <v>16</v>
      </c>
      <c r="H9556" s="0" t="n">
        <v>174</v>
      </c>
      <c r="I9556" s="0" t="s">
        <v>31889</v>
      </c>
      <c r="J9556" s="0" t="s">
        <v>31890</v>
      </c>
      <c r="K9556" s="0" t="s">
        <v>31891</v>
      </c>
      <c r="L9556" s="0" t="str">
        <f aca="false">HYPERLINK("https://www.ncbi.nlm.nih.gov/nuccore/CP000304.1?report=graph&amp;tracks=[key:gene_model_track,Options:GeneOnly]&amp;mk=2716072:2716091|offset_1|444444,2715955:2715974|offset_118|444444,2715899:2715918|offset_174|00cc00,2715853:2715872|offset_220|444444&amp;v=2715871:2716072&amp;c=444444", "offset 174")</f>
        <v>offset 174</v>
      </c>
    </row>
    <row r="9557" customFormat="false" ht="12.8" hidden="false" customHeight="false" outlineLevel="0" collapsed="false">
      <c r="A9557" s="0" t="s">
        <v>12</v>
      </c>
      <c r="B9557" s="0" t="n">
        <v>2715852</v>
      </c>
      <c r="C9557" s="0" t="n">
        <v>2715872</v>
      </c>
      <c r="D9557" s="0" t="s">
        <v>31882</v>
      </c>
      <c r="E9557" s="0" t="s">
        <v>89</v>
      </c>
      <c r="F9557" s="0" t="s">
        <v>90</v>
      </c>
      <c r="G9557" s="0" t="s">
        <v>16</v>
      </c>
      <c r="H9557" s="0" t="n">
        <v>220</v>
      </c>
      <c r="I9557" s="0" t="s">
        <v>31892</v>
      </c>
      <c r="J9557" s="0" t="s">
        <v>31893</v>
      </c>
      <c r="K9557" s="0" t="s">
        <v>31894</v>
      </c>
      <c r="L9557" s="0" t="str">
        <f aca="false">HYPERLINK("https://www.ncbi.nlm.nih.gov/nuccore/CP000304.1?report=graph&amp;tracks=[key:gene_model_track,Options:GeneOnly]&amp;mk=2716072:2716091|offset_1|444444,2715955:2715974|offset_118|444444,2715899:2715918|offset_174|444444,2715853:2715872|offset_220|00cc00&amp;v=2715871:2716072&amp;c=444444", "offset 220")</f>
        <v>offset 220</v>
      </c>
    </row>
    <row r="9558" customFormat="false" ht="12.8" hidden="false" customHeight="false" outlineLevel="0" collapsed="false">
      <c r="A9558" s="0" t="s">
        <v>12</v>
      </c>
      <c r="B9558" s="0" t="n">
        <v>2716181</v>
      </c>
      <c r="C9558" s="0" t="n">
        <v>2716201</v>
      </c>
      <c r="D9558" s="0" t="s">
        <v>31895</v>
      </c>
      <c r="E9558" s="0" t="s">
        <v>89</v>
      </c>
      <c r="F9558" s="0" t="s">
        <v>15</v>
      </c>
      <c r="G9558" s="0" t="s">
        <v>32</v>
      </c>
      <c r="H9558" s="0" t="n">
        <v>30</v>
      </c>
      <c r="I9558" s="0" t="s">
        <v>31896</v>
      </c>
      <c r="J9558" s="0" t="s">
        <v>31897</v>
      </c>
      <c r="K9558" s="0" t="s">
        <v>31898</v>
      </c>
      <c r="L9558" s="0" t="str">
        <f aca="false">HYPERLINK("https://www.ncbi.nlm.nih.gov/nuccore/CP000304.1?report=graph&amp;tracks=[key:gene_model_track,Options:GeneOnly]&amp;mk=2716182:2716201|offset_30|00cc00,2716203:2716222|offset_51|444444,2716223:2716242|offset_71|444444,2716254:2716273|offset_102|444444&amp;v=2715981:2716473&amp;c=444444", "offset 30")</f>
        <v>offset 30</v>
      </c>
    </row>
    <row r="9559" customFormat="false" ht="12.8" hidden="false" customHeight="false" outlineLevel="0" collapsed="false">
      <c r="A9559" s="0" t="s">
        <v>12</v>
      </c>
      <c r="B9559" s="0" t="n">
        <v>2716202</v>
      </c>
      <c r="C9559" s="0" t="n">
        <v>2716222</v>
      </c>
      <c r="D9559" s="0" t="s">
        <v>31895</v>
      </c>
      <c r="E9559" s="0" t="s">
        <v>89</v>
      </c>
      <c r="F9559" s="0" t="s">
        <v>15</v>
      </c>
      <c r="G9559" s="0" t="s">
        <v>16</v>
      </c>
      <c r="H9559" s="0" t="n">
        <v>51</v>
      </c>
      <c r="I9559" s="0" t="s">
        <v>31899</v>
      </c>
      <c r="J9559" s="0" t="s">
        <v>31900</v>
      </c>
      <c r="K9559" s="0" t="s">
        <v>31901</v>
      </c>
      <c r="L9559" s="0" t="str">
        <f aca="false">HYPERLINK("https://www.ncbi.nlm.nih.gov/nuccore/CP000304.1?report=graph&amp;tracks=[key:gene_model_track,Options:GeneOnly]&amp;mk=2716182:2716201|offset_30|444444,2716203:2716222|offset_51|00cc00,2716223:2716242|offset_71|444444,2716254:2716273|offset_102|444444&amp;v=2715981:2716473&amp;c=444444", "offset 51")</f>
        <v>offset 51</v>
      </c>
    </row>
    <row r="9560" customFormat="false" ht="12.8" hidden="false" customHeight="false" outlineLevel="0" collapsed="false">
      <c r="A9560" s="0" t="s">
        <v>12</v>
      </c>
      <c r="B9560" s="0" t="n">
        <v>2716222</v>
      </c>
      <c r="C9560" s="0" t="n">
        <v>2716242</v>
      </c>
      <c r="D9560" s="0" t="s">
        <v>31895</v>
      </c>
      <c r="E9560" s="0" t="s">
        <v>89</v>
      </c>
      <c r="F9560" s="0" t="s">
        <v>15</v>
      </c>
      <c r="G9560" s="0" t="s">
        <v>26</v>
      </c>
      <c r="H9560" s="0" t="n">
        <v>71</v>
      </c>
      <c r="I9560" s="0" t="s">
        <v>31902</v>
      </c>
      <c r="J9560" s="0" t="s">
        <v>31903</v>
      </c>
      <c r="K9560" s="0" t="s">
        <v>31904</v>
      </c>
      <c r="L9560" s="0" t="str">
        <f aca="false">HYPERLINK("https://www.ncbi.nlm.nih.gov/nuccore/CP000304.1?report=graph&amp;tracks=[key:gene_model_track,Options:GeneOnly]&amp;mk=2716182:2716201|offset_30|444444,2716203:2716222|offset_51|444444,2716223:2716242|offset_71|00cc00,2716254:2716273|offset_102|444444&amp;v=2715981:2716473&amp;c=444444", "offset 71")</f>
        <v>offset 71</v>
      </c>
    </row>
    <row r="9561" customFormat="false" ht="12.8" hidden="false" customHeight="false" outlineLevel="0" collapsed="false">
      <c r="A9561" s="0" t="s">
        <v>12</v>
      </c>
      <c r="B9561" s="0" t="n">
        <v>2716253</v>
      </c>
      <c r="C9561" s="0" t="n">
        <v>2716273</v>
      </c>
      <c r="D9561" s="0" t="s">
        <v>31895</v>
      </c>
      <c r="E9561" s="0" t="s">
        <v>89</v>
      </c>
      <c r="F9561" s="0" t="s">
        <v>15</v>
      </c>
      <c r="G9561" s="0" t="s">
        <v>16</v>
      </c>
      <c r="H9561" s="0" t="n">
        <v>102</v>
      </c>
      <c r="I9561" s="0" t="s">
        <v>31905</v>
      </c>
      <c r="J9561" s="0" t="s">
        <v>31906</v>
      </c>
      <c r="K9561" s="0" t="s">
        <v>31907</v>
      </c>
      <c r="L9561" s="0" t="str">
        <f aca="false">HYPERLINK("https://www.ncbi.nlm.nih.gov/nuccore/CP000304.1?report=graph&amp;tracks=[key:gene_model_track,Options:GeneOnly]&amp;mk=2716182:2716201|offset_30|444444,2716203:2716222|offset_51|444444,2716223:2716242|offset_71|444444,2716254:2716273|offset_102|00cc00&amp;v=2715981:2716473&amp;c=444444", "offset 102")</f>
        <v>offset 102</v>
      </c>
    </row>
    <row r="9562" customFormat="false" ht="12.8" hidden="false" customHeight="false" outlineLevel="0" collapsed="false">
      <c r="A9562" s="0" t="s">
        <v>12</v>
      </c>
      <c r="B9562" s="0" t="n">
        <v>2716492</v>
      </c>
      <c r="C9562" s="0" t="n">
        <v>2716512</v>
      </c>
      <c r="D9562" s="0" t="s">
        <v>31908</v>
      </c>
      <c r="E9562" s="0" t="s">
        <v>89</v>
      </c>
      <c r="F9562" s="0" t="s">
        <v>15</v>
      </c>
      <c r="G9562" s="0" t="s">
        <v>36</v>
      </c>
      <c r="H9562" s="0" t="n">
        <v>25</v>
      </c>
      <c r="I9562" s="0" t="s">
        <v>31909</v>
      </c>
      <c r="J9562" s="0" t="s">
        <v>31910</v>
      </c>
      <c r="K9562" s="0" t="s">
        <v>31911</v>
      </c>
      <c r="L9562" s="0" t="str">
        <f aca="false">HYPERLINK("https://www.ncbi.nlm.nih.gov/nuccore/CP000304.1?report=graph&amp;tracks=[key:gene_model_track,Options:GeneOnly]&amp;mk=2716493:2716512|offset_25|00cc00,2716530:2716549|offset_62|444444,2716551:2716570|offset_83|444444,2716573:2716592|offset_105|444444&amp;v=2716292:2716792&amp;c=444444", "offset 25")</f>
        <v>offset 25</v>
      </c>
    </row>
    <row r="9563" customFormat="false" ht="12.8" hidden="false" customHeight="false" outlineLevel="0" collapsed="false">
      <c r="A9563" s="0" t="s">
        <v>12</v>
      </c>
      <c r="B9563" s="0" t="n">
        <v>2716529</v>
      </c>
      <c r="C9563" s="0" t="n">
        <v>2716549</v>
      </c>
      <c r="D9563" s="0" t="s">
        <v>31908</v>
      </c>
      <c r="E9563" s="0" t="s">
        <v>89</v>
      </c>
      <c r="F9563" s="0" t="s">
        <v>15</v>
      </c>
      <c r="G9563" s="0" t="s">
        <v>26</v>
      </c>
      <c r="H9563" s="0" t="n">
        <v>62</v>
      </c>
      <c r="I9563" s="0" t="s">
        <v>31912</v>
      </c>
      <c r="J9563" s="0" t="s">
        <v>31913</v>
      </c>
      <c r="K9563" s="0" t="s">
        <v>31914</v>
      </c>
      <c r="L9563" s="0" t="str">
        <f aca="false">HYPERLINK("https://www.ncbi.nlm.nih.gov/nuccore/CP000304.1?report=graph&amp;tracks=[key:gene_model_track,Options:GeneOnly]&amp;mk=2716493:2716512|offset_25|444444,2716530:2716549|offset_62|00cc00,2716551:2716570|offset_83|444444,2716573:2716592|offset_105|444444&amp;v=2716292:2716792&amp;c=444444", "offset 62")</f>
        <v>offset 62</v>
      </c>
    </row>
    <row r="9564" customFormat="false" ht="12.8" hidden="false" customHeight="false" outlineLevel="0" collapsed="false">
      <c r="A9564" s="0" t="s">
        <v>12</v>
      </c>
      <c r="B9564" s="0" t="n">
        <v>2716550</v>
      </c>
      <c r="C9564" s="0" t="n">
        <v>2716570</v>
      </c>
      <c r="D9564" s="0" t="s">
        <v>31908</v>
      </c>
      <c r="E9564" s="0" t="s">
        <v>89</v>
      </c>
      <c r="F9564" s="0" t="s">
        <v>15</v>
      </c>
      <c r="G9564" s="0" t="s">
        <v>32</v>
      </c>
      <c r="H9564" s="0" t="n">
        <v>83</v>
      </c>
      <c r="I9564" s="0" t="s">
        <v>31915</v>
      </c>
      <c r="J9564" s="0" t="s">
        <v>31916</v>
      </c>
      <c r="K9564" s="0" t="s">
        <v>31917</v>
      </c>
      <c r="L9564" s="0" t="str">
        <f aca="false">HYPERLINK("https://www.ncbi.nlm.nih.gov/nuccore/CP000304.1?report=graph&amp;tracks=[key:gene_model_track,Options:GeneOnly]&amp;mk=2716493:2716512|offset_25|444444,2716530:2716549|offset_62|444444,2716551:2716570|offset_83|00cc00,2716573:2716592|offset_105|444444&amp;v=2716292:2716792&amp;c=444444", "offset 83")</f>
        <v>offset 83</v>
      </c>
    </row>
    <row r="9565" customFormat="false" ht="12.8" hidden="false" customHeight="false" outlineLevel="0" collapsed="false">
      <c r="A9565" s="0" t="s">
        <v>12</v>
      </c>
      <c r="B9565" s="0" t="n">
        <v>2716572</v>
      </c>
      <c r="C9565" s="0" t="n">
        <v>2716592</v>
      </c>
      <c r="D9565" s="0" t="s">
        <v>31908</v>
      </c>
      <c r="E9565" s="0" t="s">
        <v>89</v>
      </c>
      <c r="F9565" s="0" t="s">
        <v>15</v>
      </c>
      <c r="G9565" s="0" t="s">
        <v>36</v>
      </c>
      <c r="H9565" s="0" t="n">
        <v>105</v>
      </c>
      <c r="I9565" s="0" t="s">
        <v>31918</v>
      </c>
      <c r="J9565" s="0" t="s">
        <v>31919</v>
      </c>
      <c r="K9565" s="0" t="s">
        <v>31920</v>
      </c>
      <c r="L9565" s="0" t="str">
        <f aca="false">HYPERLINK("https://www.ncbi.nlm.nih.gov/nuccore/CP000304.1?report=graph&amp;tracks=[key:gene_model_track,Options:GeneOnly]&amp;mk=2716493:2716512|offset_25|444444,2716530:2716549|offset_62|444444,2716551:2716570|offset_83|444444,2716573:2716592|offset_105|00cc00&amp;v=2716292:2716792&amp;c=444444", "offset 105")</f>
        <v>offset 105</v>
      </c>
    </row>
    <row r="9566" customFormat="false" ht="12.8" hidden="false" customHeight="false" outlineLevel="0" collapsed="false">
      <c r="A9566" s="0" t="s">
        <v>12</v>
      </c>
      <c r="B9566" s="0" t="n">
        <v>2718096</v>
      </c>
      <c r="C9566" s="0" t="n">
        <v>2718116</v>
      </c>
      <c r="D9566" s="0" t="s">
        <v>31921</v>
      </c>
      <c r="E9566" s="0" t="s">
        <v>89</v>
      </c>
      <c r="F9566" s="0" t="s">
        <v>15</v>
      </c>
      <c r="G9566" s="0" t="s">
        <v>16</v>
      </c>
      <c r="H9566" s="0" t="n">
        <v>29</v>
      </c>
      <c r="I9566" s="0" t="s">
        <v>31922</v>
      </c>
      <c r="J9566" s="0" t="s">
        <v>31923</v>
      </c>
      <c r="K9566" s="0" t="s">
        <v>31924</v>
      </c>
      <c r="L9566" s="0" t="str">
        <f aca="false">HYPERLINK("https://www.ncbi.nlm.nih.gov/nuccore/CP000304.1?report=graph&amp;tracks=[key:gene_model_track,Options:GeneOnly]&amp;mk=2718097:2718116|offset_29|00cc00,2718142:2718161|offset_74|444444,2718190:2718209|offset_122|444444,2718226:2718245|offset_158|444444&amp;v=2717896:2718445&amp;c=444444", "offset 29")</f>
        <v>offset 29</v>
      </c>
    </row>
    <row r="9567" customFormat="false" ht="12.8" hidden="false" customHeight="false" outlineLevel="0" collapsed="false">
      <c r="A9567" s="0" t="s">
        <v>12</v>
      </c>
      <c r="B9567" s="0" t="n">
        <v>2718141</v>
      </c>
      <c r="C9567" s="0" t="n">
        <v>2718161</v>
      </c>
      <c r="D9567" s="0" t="s">
        <v>31921</v>
      </c>
      <c r="E9567" s="0" t="s">
        <v>89</v>
      </c>
      <c r="F9567" s="0" t="s">
        <v>15</v>
      </c>
      <c r="G9567" s="0" t="s">
        <v>32</v>
      </c>
      <c r="H9567" s="0" t="n">
        <v>74</v>
      </c>
      <c r="I9567" s="0" t="s">
        <v>31925</v>
      </c>
      <c r="J9567" s="0" t="s">
        <v>31926</v>
      </c>
      <c r="K9567" s="0" t="s">
        <v>31927</v>
      </c>
      <c r="L9567" s="0" t="str">
        <f aca="false">HYPERLINK("https://www.ncbi.nlm.nih.gov/nuccore/CP000304.1?report=graph&amp;tracks=[key:gene_model_track,Options:GeneOnly]&amp;mk=2718097:2718116|offset_29|444444,2718142:2718161|offset_74|00cc00,2718190:2718209|offset_122|444444,2718226:2718245|offset_158|444444&amp;v=2717896:2718445&amp;c=444444", "offset 74")</f>
        <v>offset 74</v>
      </c>
    </row>
    <row r="9568" customFormat="false" ht="12.8" hidden="false" customHeight="false" outlineLevel="0" collapsed="false">
      <c r="A9568" s="0" t="s">
        <v>12</v>
      </c>
      <c r="B9568" s="0" t="n">
        <v>2718189</v>
      </c>
      <c r="C9568" s="0" t="n">
        <v>2718209</v>
      </c>
      <c r="D9568" s="0" t="s">
        <v>31921</v>
      </c>
      <c r="E9568" s="0" t="s">
        <v>89</v>
      </c>
      <c r="F9568" s="0" t="s">
        <v>15</v>
      </c>
      <c r="G9568" s="0" t="s">
        <v>36</v>
      </c>
      <c r="H9568" s="0" t="n">
        <v>122</v>
      </c>
      <c r="I9568" s="0" t="s">
        <v>31928</v>
      </c>
      <c r="J9568" s="0" t="s">
        <v>31929</v>
      </c>
      <c r="K9568" s="0" t="s">
        <v>31930</v>
      </c>
      <c r="L9568" s="0" t="str">
        <f aca="false">HYPERLINK("https://www.ncbi.nlm.nih.gov/nuccore/CP000304.1?report=graph&amp;tracks=[key:gene_model_track,Options:GeneOnly]&amp;mk=2718097:2718116|offset_29|444444,2718142:2718161|offset_74|444444,2718190:2718209|offset_122|00cc00,2718226:2718245|offset_158|444444&amp;v=2717896:2718445&amp;c=444444", "offset 122")</f>
        <v>offset 122</v>
      </c>
    </row>
    <row r="9569" customFormat="false" ht="12.8" hidden="false" customHeight="false" outlineLevel="0" collapsed="false">
      <c r="A9569" s="0" t="s">
        <v>12</v>
      </c>
      <c r="B9569" s="0" t="n">
        <v>2718225</v>
      </c>
      <c r="C9569" s="0" t="n">
        <v>2718245</v>
      </c>
      <c r="D9569" s="0" t="s">
        <v>31921</v>
      </c>
      <c r="E9569" s="0" t="s">
        <v>89</v>
      </c>
      <c r="F9569" s="0" t="s">
        <v>15</v>
      </c>
      <c r="G9569" s="0" t="s">
        <v>32</v>
      </c>
      <c r="H9569" s="0" t="n">
        <v>158</v>
      </c>
      <c r="I9569" s="0" t="s">
        <v>31931</v>
      </c>
      <c r="J9569" s="0" t="s">
        <v>31932</v>
      </c>
      <c r="K9569" s="0" t="s">
        <v>31933</v>
      </c>
      <c r="L9569" s="0" t="str">
        <f aca="false">HYPERLINK("https://www.ncbi.nlm.nih.gov/nuccore/CP000304.1?report=graph&amp;tracks=[key:gene_model_track,Options:GeneOnly]&amp;mk=2718097:2718116|offset_29|444444,2718142:2718161|offset_74|444444,2718190:2718209|offset_122|444444,2718226:2718245|offset_158|00cc00&amp;v=2717896:2718445&amp;c=444444", "offset 158")</f>
        <v>offset 158</v>
      </c>
    </row>
    <row r="9570" customFormat="false" ht="12.8" hidden="false" customHeight="false" outlineLevel="0" collapsed="false">
      <c r="A9570" s="0" t="s">
        <v>12</v>
      </c>
      <c r="B9570" s="0" t="n">
        <v>2718514</v>
      </c>
      <c r="C9570" s="0" t="n">
        <v>2718534</v>
      </c>
      <c r="D9570" s="0" t="s">
        <v>31934</v>
      </c>
      <c r="E9570" s="0" t="s">
        <v>89</v>
      </c>
      <c r="F9570" s="0" t="s">
        <v>15</v>
      </c>
      <c r="G9570" s="0" t="s">
        <v>32</v>
      </c>
      <c r="H9570" s="0" t="n">
        <v>10</v>
      </c>
      <c r="I9570" s="0" t="s">
        <v>31935</v>
      </c>
      <c r="J9570" s="0" t="s">
        <v>31936</v>
      </c>
      <c r="K9570" s="0" t="s">
        <v>31937</v>
      </c>
      <c r="L9570" s="0" t="str">
        <f aca="false">HYPERLINK("https://www.ncbi.nlm.nih.gov/nuccore/CP000304.1?report=graph&amp;tracks=[key:gene_model_track,Options:GeneOnly]&amp;mk=2718515:2718534|offset_10|00cc00,2718539:2718558|offset_34|444444,2718561:2718580|offset_56|444444,2718581:2718600|offset_76|444444&amp;v=2718314:2718800&amp;c=444444", "offset 10")</f>
        <v>offset 10</v>
      </c>
    </row>
    <row r="9571" customFormat="false" ht="12.8" hidden="false" customHeight="false" outlineLevel="0" collapsed="false">
      <c r="A9571" s="0" t="s">
        <v>12</v>
      </c>
      <c r="B9571" s="0" t="n">
        <v>2718538</v>
      </c>
      <c r="C9571" s="0" t="n">
        <v>2718558</v>
      </c>
      <c r="D9571" s="0" t="s">
        <v>31934</v>
      </c>
      <c r="E9571" s="0" t="s">
        <v>89</v>
      </c>
      <c r="F9571" s="0" t="s">
        <v>15</v>
      </c>
      <c r="G9571" s="0" t="s">
        <v>32</v>
      </c>
      <c r="H9571" s="0" t="n">
        <v>34</v>
      </c>
      <c r="I9571" s="0" t="s">
        <v>31938</v>
      </c>
      <c r="J9571" s="0" t="s">
        <v>31939</v>
      </c>
      <c r="K9571" s="0" t="s">
        <v>31940</v>
      </c>
      <c r="L9571" s="0" t="str">
        <f aca="false">HYPERLINK("https://www.ncbi.nlm.nih.gov/nuccore/CP000304.1?report=graph&amp;tracks=[key:gene_model_track,Options:GeneOnly]&amp;mk=2718515:2718534|offset_10|444444,2718539:2718558|offset_34|00cc00,2718561:2718580|offset_56|444444,2718581:2718600|offset_76|444444&amp;v=2718314:2718800&amp;c=444444", "offset 34")</f>
        <v>offset 34</v>
      </c>
    </row>
    <row r="9572" customFormat="false" ht="12.8" hidden="false" customHeight="false" outlineLevel="0" collapsed="false">
      <c r="A9572" s="0" t="s">
        <v>12</v>
      </c>
      <c r="B9572" s="0" t="n">
        <v>2718560</v>
      </c>
      <c r="C9572" s="0" t="n">
        <v>2718580</v>
      </c>
      <c r="D9572" s="0" t="s">
        <v>31934</v>
      </c>
      <c r="E9572" s="0" t="s">
        <v>89</v>
      </c>
      <c r="F9572" s="0" t="s">
        <v>15</v>
      </c>
      <c r="G9572" s="0" t="s">
        <v>26</v>
      </c>
      <c r="H9572" s="0" t="n">
        <v>56</v>
      </c>
      <c r="I9572" s="0" t="s">
        <v>31941</v>
      </c>
      <c r="J9572" s="0" t="s">
        <v>31942</v>
      </c>
      <c r="K9572" s="0" t="s">
        <v>31943</v>
      </c>
      <c r="L9572" s="0" t="str">
        <f aca="false">HYPERLINK("https://www.ncbi.nlm.nih.gov/nuccore/CP000304.1?report=graph&amp;tracks=[key:gene_model_track,Options:GeneOnly]&amp;mk=2718515:2718534|offset_10|444444,2718539:2718558|offset_34|444444,2718561:2718580|offset_56|00cc00,2718581:2718600|offset_76|444444&amp;v=2718314:2718800&amp;c=444444", "offset 56")</f>
        <v>offset 56</v>
      </c>
    </row>
    <row r="9573" customFormat="false" ht="12.8" hidden="false" customHeight="false" outlineLevel="0" collapsed="false">
      <c r="A9573" s="0" t="s">
        <v>12</v>
      </c>
      <c r="B9573" s="0" t="n">
        <v>2718580</v>
      </c>
      <c r="C9573" s="0" t="n">
        <v>2718600</v>
      </c>
      <c r="D9573" s="0" t="s">
        <v>31934</v>
      </c>
      <c r="E9573" s="0" t="s">
        <v>89</v>
      </c>
      <c r="F9573" s="0" t="s">
        <v>15</v>
      </c>
      <c r="G9573" s="0" t="s">
        <v>26</v>
      </c>
      <c r="H9573" s="0" t="n">
        <v>76</v>
      </c>
      <c r="I9573" s="0" t="s">
        <v>31944</v>
      </c>
      <c r="J9573" s="0" t="s">
        <v>31945</v>
      </c>
      <c r="K9573" s="0" t="s">
        <v>31946</v>
      </c>
      <c r="L9573" s="0" t="str">
        <f aca="false">HYPERLINK("https://www.ncbi.nlm.nih.gov/nuccore/CP000304.1?report=graph&amp;tracks=[key:gene_model_track,Options:GeneOnly]&amp;mk=2718515:2718534|offset_10|444444,2718539:2718558|offset_34|444444,2718561:2718580|offset_56|444444,2718581:2718600|offset_76|00cc00&amp;v=2718314:2718800&amp;c=444444", "offset 76")</f>
        <v>offset 76</v>
      </c>
    </row>
    <row r="9574" customFormat="false" ht="12.8" hidden="false" customHeight="false" outlineLevel="0" collapsed="false">
      <c r="A9574" s="0" t="s">
        <v>12</v>
      </c>
      <c r="B9574" s="0" t="n">
        <v>2720859</v>
      </c>
      <c r="C9574" s="0" t="n">
        <v>2720879</v>
      </c>
      <c r="D9574" s="0" t="s">
        <v>31947</v>
      </c>
      <c r="E9574" s="0" t="s">
        <v>89</v>
      </c>
      <c r="F9574" s="0" t="s">
        <v>15</v>
      </c>
      <c r="G9574" s="0" t="s">
        <v>32</v>
      </c>
      <c r="H9574" s="0" t="n">
        <v>7</v>
      </c>
      <c r="I9574" s="0" t="s">
        <v>31948</v>
      </c>
      <c r="J9574" s="0" t="s">
        <v>31949</v>
      </c>
      <c r="K9574" s="0" t="s">
        <v>31950</v>
      </c>
      <c r="L9574" s="0" t="str">
        <f aca="false">HYPERLINK("https://www.ncbi.nlm.nih.gov/nuccore/CP000304.1?report=graph&amp;tracks=[key:gene_model_track,Options:GeneOnly]&amp;mk=2720860:2720879|offset_7|00cc00,2720893:2720912|offset_40|444444,2720914:2720933|offset_61|444444,2720944:2720963|offset_91|444444&amp;v=2720659:2721163&amp;c=444444", "offset 7")</f>
        <v>offset 7</v>
      </c>
    </row>
    <row r="9575" customFormat="false" ht="12.8" hidden="false" customHeight="false" outlineLevel="0" collapsed="false">
      <c r="A9575" s="0" t="s">
        <v>12</v>
      </c>
      <c r="B9575" s="0" t="n">
        <v>2720892</v>
      </c>
      <c r="C9575" s="0" t="n">
        <v>2720912</v>
      </c>
      <c r="D9575" s="0" t="s">
        <v>31947</v>
      </c>
      <c r="E9575" s="0" t="s">
        <v>89</v>
      </c>
      <c r="F9575" s="0" t="s">
        <v>15</v>
      </c>
      <c r="G9575" s="0" t="s">
        <v>36</v>
      </c>
      <c r="H9575" s="0" t="n">
        <v>40</v>
      </c>
      <c r="I9575" s="0" t="s">
        <v>31951</v>
      </c>
      <c r="J9575" s="0" t="s">
        <v>31952</v>
      </c>
      <c r="K9575" s="0" t="s">
        <v>31953</v>
      </c>
      <c r="L9575" s="0" t="str">
        <f aca="false">HYPERLINK("https://www.ncbi.nlm.nih.gov/nuccore/CP000304.1?report=graph&amp;tracks=[key:gene_model_track,Options:GeneOnly]&amp;mk=2720860:2720879|offset_7|444444,2720893:2720912|offset_40|00cc00,2720914:2720933|offset_61|444444,2720944:2720963|offset_91|444444&amp;v=2720659:2721163&amp;c=444444", "offset 40")</f>
        <v>offset 40</v>
      </c>
    </row>
    <row r="9576" customFormat="false" ht="12.8" hidden="false" customHeight="false" outlineLevel="0" collapsed="false">
      <c r="A9576" s="0" t="s">
        <v>12</v>
      </c>
      <c r="B9576" s="0" t="n">
        <v>2720913</v>
      </c>
      <c r="C9576" s="0" t="n">
        <v>2720933</v>
      </c>
      <c r="D9576" s="0" t="s">
        <v>31947</v>
      </c>
      <c r="E9576" s="0" t="s">
        <v>89</v>
      </c>
      <c r="F9576" s="0" t="s">
        <v>15</v>
      </c>
      <c r="G9576" s="0" t="s">
        <v>16</v>
      </c>
      <c r="H9576" s="0" t="n">
        <v>61</v>
      </c>
      <c r="I9576" s="0" t="s">
        <v>31954</v>
      </c>
      <c r="J9576" s="0" t="s">
        <v>31955</v>
      </c>
      <c r="K9576" s="0" t="s">
        <v>31956</v>
      </c>
      <c r="L9576" s="0" t="str">
        <f aca="false">HYPERLINK("https://www.ncbi.nlm.nih.gov/nuccore/CP000304.1?report=graph&amp;tracks=[key:gene_model_track,Options:GeneOnly]&amp;mk=2720860:2720879|offset_7|444444,2720893:2720912|offset_40|444444,2720914:2720933|offset_61|00cc00,2720944:2720963|offset_91|444444&amp;v=2720659:2721163&amp;c=444444", "offset 61")</f>
        <v>offset 61</v>
      </c>
    </row>
    <row r="9577" customFormat="false" ht="12.8" hidden="false" customHeight="false" outlineLevel="0" collapsed="false">
      <c r="A9577" s="0" t="s">
        <v>12</v>
      </c>
      <c r="B9577" s="0" t="n">
        <v>2720943</v>
      </c>
      <c r="C9577" s="0" t="n">
        <v>2720963</v>
      </c>
      <c r="D9577" s="0" t="s">
        <v>31947</v>
      </c>
      <c r="E9577" s="0" t="s">
        <v>89</v>
      </c>
      <c r="F9577" s="0" t="s">
        <v>15</v>
      </c>
      <c r="G9577" s="0" t="s">
        <v>16</v>
      </c>
      <c r="H9577" s="0" t="n">
        <v>91</v>
      </c>
      <c r="I9577" s="0" t="s">
        <v>31957</v>
      </c>
      <c r="J9577" s="0" t="s">
        <v>31958</v>
      </c>
      <c r="K9577" s="0" t="s">
        <v>31959</v>
      </c>
      <c r="L9577" s="0" t="str">
        <f aca="false">HYPERLINK("https://www.ncbi.nlm.nih.gov/nuccore/CP000304.1?report=graph&amp;tracks=[key:gene_model_track,Options:GeneOnly]&amp;mk=2720860:2720879|offset_7|444444,2720893:2720912|offset_40|444444,2720914:2720933|offset_61|444444,2720944:2720963|offset_91|00cc00&amp;v=2720659:2721163&amp;c=444444", "offset 91")</f>
        <v>offset 91</v>
      </c>
    </row>
    <row r="9578" customFormat="false" ht="12.8" hidden="false" customHeight="false" outlineLevel="0" collapsed="false">
      <c r="A9578" s="0" t="s">
        <v>12</v>
      </c>
      <c r="B9578" s="0" t="n">
        <v>2721990</v>
      </c>
      <c r="C9578" s="0" t="n">
        <v>2722010</v>
      </c>
      <c r="D9578" s="0" t="s">
        <v>31960</v>
      </c>
      <c r="E9578" s="0" t="s">
        <v>89</v>
      </c>
      <c r="F9578" s="0" t="s">
        <v>15</v>
      </c>
      <c r="G9578" s="0" t="s">
        <v>16</v>
      </c>
      <c r="H9578" s="0" t="n">
        <v>37</v>
      </c>
      <c r="I9578" s="0" t="s">
        <v>31961</v>
      </c>
      <c r="J9578" s="0" t="s">
        <v>31962</v>
      </c>
      <c r="K9578" s="0" t="s">
        <v>31963</v>
      </c>
      <c r="L9578" s="0" t="str">
        <f aca="false">HYPERLINK("https://www.ncbi.nlm.nih.gov/nuccore/CP000304.1?report=graph&amp;tracks=[key:gene_model_track,Options:GeneOnly]&amp;mk=2721991:2722010|offset_37|00cc00,2722048:2722067|offset_94|444444,2722069:2722088|offset_115|444444,2722093:2722112|offset_139|444444&amp;v=2721790:2722312&amp;c=444444", "offset 37")</f>
        <v>offset 37</v>
      </c>
    </row>
    <row r="9579" customFormat="false" ht="12.8" hidden="false" customHeight="false" outlineLevel="0" collapsed="false">
      <c r="A9579" s="0" t="s">
        <v>12</v>
      </c>
      <c r="B9579" s="0" t="n">
        <v>2722047</v>
      </c>
      <c r="C9579" s="0" t="n">
        <v>2722067</v>
      </c>
      <c r="D9579" s="0" t="s">
        <v>31960</v>
      </c>
      <c r="E9579" s="0" t="s">
        <v>89</v>
      </c>
      <c r="F9579" s="0" t="s">
        <v>15</v>
      </c>
      <c r="G9579" s="0" t="s">
        <v>16</v>
      </c>
      <c r="H9579" s="0" t="n">
        <v>94</v>
      </c>
      <c r="I9579" s="0" t="s">
        <v>31964</v>
      </c>
      <c r="J9579" s="0" t="s">
        <v>31965</v>
      </c>
      <c r="K9579" s="0" t="s">
        <v>31966</v>
      </c>
      <c r="L9579" s="0" t="str">
        <f aca="false">HYPERLINK("https://www.ncbi.nlm.nih.gov/nuccore/CP000304.1?report=graph&amp;tracks=[key:gene_model_track,Options:GeneOnly]&amp;mk=2721991:2722010|offset_37|444444,2722048:2722067|offset_94|00cc00,2722069:2722088|offset_115|444444,2722093:2722112|offset_139|444444&amp;v=2721790:2722312&amp;c=444444", "offset 94")</f>
        <v>offset 94</v>
      </c>
    </row>
    <row r="9580" customFormat="false" ht="12.8" hidden="false" customHeight="false" outlineLevel="0" collapsed="false">
      <c r="A9580" s="0" t="s">
        <v>12</v>
      </c>
      <c r="B9580" s="0" t="n">
        <v>2722068</v>
      </c>
      <c r="C9580" s="0" t="n">
        <v>2722088</v>
      </c>
      <c r="D9580" s="0" t="s">
        <v>31960</v>
      </c>
      <c r="E9580" s="0" t="s">
        <v>89</v>
      </c>
      <c r="F9580" s="0" t="s">
        <v>15</v>
      </c>
      <c r="G9580" s="0" t="s">
        <v>36</v>
      </c>
      <c r="H9580" s="0" t="n">
        <v>115</v>
      </c>
      <c r="I9580" s="0" t="s">
        <v>31967</v>
      </c>
      <c r="J9580" s="0" t="s">
        <v>31968</v>
      </c>
      <c r="K9580" s="0" t="s">
        <v>31969</v>
      </c>
      <c r="L9580" s="0" t="str">
        <f aca="false">HYPERLINK("https://www.ncbi.nlm.nih.gov/nuccore/CP000304.1?report=graph&amp;tracks=[key:gene_model_track,Options:GeneOnly]&amp;mk=2721991:2722010|offset_37|444444,2722048:2722067|offset_94|444444,2722069:2722088|offset_115|00cc00,2722093:2722112|offset_139|444444&amp;v=2721790:2722312&amp;c=444444", "offset 115")</f>
        <v>offset 115</v>
      </c>
    </row>
    <row r="9581" customFormat="false" ht="12.8" hidden="false" customHeight="false" outlineLevel="0" collapsed="false">
      <c r="A9581" s="0" t="s">
        <v>12</v>
      </c>
      <c r="B9581" s="0" t="n">
        <v>2722092</v>
      </c>
      <c r="C9581" s="0" t="n">
        <v>2722112</v>
      </c>
      <c r="D9581" s="0" t="s">
        <v>31960</v>
      </c>
      <c r="E9581" s="0" t="s">
        <v>89</v>
      </c>
      <c r="F9581" s="0" t="s">
        <v>15</v>
      </c>
      <c r="G9581" s="0" t="s">
        <v>26</v>
      </c>
      <c r="H9581" s="0" t="n">
        <v>139</v>
      </c>
      <c r="I9581" s="0" t="s">
        <v>31970</v>
      </c>
      <c r="J9581" s="0" t="s">
        <v>31971</v>
      </c>
      <c r="K9581" s="0" t="s">
        <v>31972</v>
      </c>
      <c r="L9581" s="0" t="str">
        <f aca="false">HYPERLINK("https://www.ncbi.nlm.nih.gov/nuccore/CP000304.1?report=graph&amp;tracks=[key:gene_model_track,Options:GeneOnly]&amp;mk=2721991:2722010|offset_37|444444,2722048:2722067|offset_94|444444,2722069:2722088|offset_115|444444,2722093:2722112|offset_139|00cc00&amp;v=2721790:2722312&amp;c=444444", "offset 139")</f>
        <v>offset 139</v>
      </c>
    </row>
    <row r="9582" customFormat="false" ht="12.8" hidden="false" customHeight="false" outlineLevel="0" collapsed="false">
      <c r="A9582" s="0" t="s">
        <v>12</v>
      </c>
      <c r="B9582" s="0" t="n">
        <v>2723192</v>
      </c>
      <c r="C9582" s="0" t="n">
        <v>2723212</v>
      </c>
      <c r="D9582" s="0" t="s">
        <v>31973</v>
      </c>
      <c r="E9582" s="0" t="s">
        <v>89</v>
      </c>
      <c r="F9582" s="0" t="s">
        <v>15</v>
      </c>
      <c r="G9582" s="0" t="s">
        <v>16</v>
      </c>
      <c r="H9582" s="0" t="n">
        <v>1</v>
      </c>
      <c r="I9582" s="0" t="s">
        <v>31974</v>
      </c>
      <c r="J9582" s="0" t="s">
        <v>31975</v>
      </c>
      <c r="K9582" s="0" t="s">
        <v>31976</v>
      </c>
      <c r="L9582" s="0" t="str">
        <f aca="false">HYPERLINK("https://www.ncbi.nlm.nih.gov/nuccore/CP000304.1?report=graph&amp;tracks=[key:gene_model_track,Options:GeneOnly]&amp;mk=2723193:2723212|offset_1|00cc00,2723218:2723237|offset_26|444444,2723259:2723278|offset_67|444444,2723280:2723299|offset_88|444444&amp;v=2722992:2723499&amp;c=444444", "offset 1")</f>
        <v>offset 1</v>
      </c>
    </row>
    <row r="9583" customFormat="false" ht="12.8" hidden="false" customHeight="false" outlineLevel="0" collapsed="false">
      <c r="A9583" s="0" t="s">
        <v>12</v>
      </c>
      <c r="B9583" s="0" t="n">
        <v>2723217</v>
      </c>
      <c r="C9583" s="0" t="n">
        <v>2723237</v>
      </c>
      <c r="D9583" s="0" t="s">
        <v>31973</v>
      </c>
      <c r="E9583" s="0" t="s">
        <v>89</v>
      </c>
      <c r="F9583" s="0" t="s">
        <v>15</v>
      </c>
      <c r="G9583" s="0" t="s">
        <v>26</v>
      </c>
      <c r="H9583" s="0" t="n">
        <v>26</v>
      </c>
      <c r="I9583" s="0" t="s">
        <v>31977</v>
      </c>
      <c r="J9583" s="0" t="s">
        <v>31978</v>
      </c>
      <c r="K9583" s="0" t="s">
        <v>31979</v>
      </c>
      <c r="L9583" s="0" t="str">
        <f aca="false">HYPERLINK("https://www.ncbi.nlm.nih.gov/nuccore/CP000304.1?report=graph&amp;tracks=[key:gene_model_track,Options:GeneOnly]&amp;mk=2723193:2723212|offset_1|444444,2723218:2723237|offset_26|00cc00,2723259:2723278|offset_67|444444,2723280:2723299|offset_88|444444&amp;v=2722992:2723499&amp;c=444444", "offset 26")</f>
        <v>offset 26</v>
      </c>
    </row>
    <row r="9584" customFormat="false" ht="12.8" hidden="false" customHeight="false" outlineLevel="0" collapsed="false">
      <c r="A9584" s="0" t="s">
        <v>12</v>
      </c>
      <c r="B9584" s="0" t="n">
        <v>2723258</v>
      </c>
      <c r="C9584" s="0" t="n">
        <v>2723278</v>
      </c>
      <c r="D9584" s="0" t="s">
        <v>31973</v>
      </c>
      <c r="E9584" s="0" t="s">
        <v>89</v>
      </c>
      <c r="F9584" s="0" t="s">
        <v>15</v>
      </c>
      <c r="G9584" s="0" t="s">
        <v>32</v>
      </c>
      <c r="H9584" s="0" t="n">
        <v>67</v>
      </c>
      <c r="I9584" s="0" t="s">
        <v>31980</v>
      </c>
      <c r="J9584" s="0" t="s">
        <v>31981</v>
      </c>
      <c r="K9584" s="0" t="s">
        <v>31982</v>
      </c>
      <c r="L9584" s="0" t="str">
        <f aca="false">HYPERLINK("https://www.ncbi.nlm.nih.gov/nuccore/CP000304.1?report=graph&amp;tracks=[key:gene_model_track,Options:GeneOnly]&amp;mk=2723193:2723212|offset_1|444444,2723218:2723237|offset_26|444444,2723259:2723278|offset_67|00cc00,2723280:2723299|offset_88|444444&amp;v=2722992:2723499&amp;c=444444", "offset 67")</f>
        <v>offset 67</v>
      </c>
    </row>
    <row r="9585" customFormat="false" ht="12.8" hidden="false" customHeight="false" outlineLevel="0" collapsed="false">
      <c r="A9585" s="0" t="s">
        <v>12</v>
      </c>
      <c r="B9585" s="0" t="n">
        <v>2723279</v>
      </c>
      <c r="C9585" s="0" t="n">
        <v>2723299</v>
      </c>
      <c r="D9585" s="0" t="s">
        <v>31973</v>
      </c>
      <c r="E9585" s="0" t="s">
        <v>89</v>
      </c>
      <c r="F9585" s="0" t="s">
        <v>15</v>
      </c>
      <c r="G9585" s="0" t="s">
        <v>32</v>
      </c>
      <c r="H9585" s="0" t="n">
        <v>88</v>
      </c>
      <c r="I9585" s="0" t="s">
        <v>31983</v>
      </c>
      <c r="J9585" s="0" t="s">
        <v>31984</v>
      </c>
      <c r="K9585" s="0" t="s">
        <v>31985</v>
      </c>
      <c r="L9585" s="0" t="str">
        <f aca="false">HYPERLINK("https://www.ncbi.nlm.nih.gov/nuccore/CP000304.1?report=graph&amp;tracks=[key:gene_model_track,Options:GeneOnly]&amp;mk=2723193:2723212|offset_1|444444,2723218:2723237|offset_26|444444,2723259:2723278|offset_67|444444,2723280:2723299|offset_88|00cc00&amp;v=2722992:2723499&amp;c=444444", "offset 88")</f>
        <v>offset 88</v>
      </c>
    </row>
    <row r="9586" customFormat="false" ht="12.8" hidden="false" customHeight="false" outlineLevel="0" collapsed="false">
      <c r="A9586" s="0" t="s">
        <v>12</v>
      </c>
      <c r="B9586" s="0" t="n">
        <v>2724478</v>
      </c>
      <c r="C9586" s="0" t="n">
        <v>2724498</v>
      </c>
      <c r="D9586" s="0" t="s">
        <v>31986</v>
      </c>
      <c r="E9586" s="0" t="s">
        <v>89</v>
      </c>
      <c r="F9586" s="0" t="s">
        <v>15</v>
      </c>
      <c r="G9586" s="0" t="s">
        <v>26</v>
      </c>
      <c r="H9586" s="0" t="n">
        <v>38</v>
      </c>
      <c r="I9586" s="0" t="s">
        <v>31987</v>
      </c>
      <c r="J9586" s="0" t="s">
        <v>31988</v>
      </c>
      <c r="K9586" s="0" t="s">
        <v>31989</v>
      </c>
      <c r="L9586" s="0" t="str">
        <f aca="false">HYPERLINK("https://www.ncbi.nlm.nih.gov/nuccore/CP000304.1?report=graph&amp;tracks=[key:gene_model_track,Options:GeneOnly]&amp;mk=2724479:2724498|offset_38|00cc00,2724514:2724533|offset_73|444444,2724536:2724555|offset_95|444444,2724560:2724579|offset_119|444444&amp;v=2724278:2724779&amp;c=444444", "offset 38")</f>
        <v>offset 38</v>
      </c>
    </row>
    <row r="9587" customFormat="false" ht="12.8" hidden="false" customHeight="false" outlineLevel="0" collapsed="false">
      <c r="A9587" s="0" t="s">
        <v>12</v>
      </c>
      <c r="B9587" s="0" t="n">
        <v>2724513</v>
      </c>
      <c r="C9587" s="0" t="n">
        <v>2724533</v>
      </c>
      <c r="D9587" s="0" t="s">
        <v>31986</v>
      </c>
      <c r="E9587" s="0" t="s">
        <v>89</v>
      </c>
      <c r="F9587" s="0" t="s">
        <v>15</v>
      </c>
      <c r="G9587" s="0" t="s">
        <v>16</v>
      </c>
      <c r="H9587" s="0" t="n">
        <v>73</v>
      </c>
      <c r="I9587" s="0" t="s">
        <v>31990</v>
      </c>
      <c r="J9587" s="0" t="s">
        <v>31991</v>
      </c>
      <c r="K9587" s="0" t="s">
        <v>31992</v>
      </c>
      <c r="L9587" s="0" t="str">
        <f aca="false">HYPERLINK("https://www.ncbi.nlm.nih.gov/nuccore/CP000304.1?report=graph&amp;tracks=[key:gene_model_track,Options:GeneOnly]&amp;mk=2724479:2724498|offset_38|444444,2724514:2724533|offset_73|00cc00,2724536:2724555|offset_95|444444,2724560:2724579|offset_119|444444&amp;v=2724278:2724779&amp;c=444444", "offset 73")</f>
        <v>offset 73</v>
      </c>
    </row>
    <row r="9588" customFormat="false" ht="12.8" hidden="false" customHeight="false" outlineLevel="0" collapsed="false">
      <c r="A9588" s="0" t="s">
        <v>12</v>
      </c>
      <c r="B9588" s="0" t="n">
        <v>2724535</v>
      </c>
      <c r="C9588" s="0" t="n">
        <v>2724555</v>
      </c>
      <c r="D9588" s="0" t="s">
        <v>31986</v>
      </c>
      <c r="E9588" s="0" t="s">
        <v>89</v>
      </c>
      <c r="F9588" s="0" t="s">
        <v>15</v>
      </c>
      <c r="G9588" s="0" t="s">
        <v>16</v>
      </c>
      <c r="H9588" s="0" t="n">
        <v>95</v>
      </c>
      <c r="I9588" s="0" t="s">
        <v>31993</v>
      </c>
      <c r="J9588" s="0" t="s">
        <v>31994</v>
      </c>
      <c r="K9588" s="0" t="s">
        <v>31995</v>
      </c>
      <c r="L9588" s="0" t="str">
        <f aca="false">HYPERLINK("https://www.ncbi.nlm.nih.gov/nuccore/CP000304.1?report=graph&amp;tracks=[key:gene_model_track,Options:GeneOnly]&amp;mk=2724479:2724498|offset_38|444444,2724514:2724533|offset_73|444444,2724536:2724555|offset_95|00cc00,2724560:2724579|offset_119|444444&amp;v=2724278:2724779&amp;c=444444", "offset 95")</f>
        <v>offset 95</v>
      </c>
    </row>
    <row r="9589" customFormat="false" ht="12.8" hidden="false" customHeight="false" outlineLevel="0" collapsed="false">
      <c r="A9589" s="0" t="s">
        <v>12</v>
      </c>
      <c r="B9589" s="0" t="n">
        <v>2724559</v>
      </c>
      <c r="C9589" s="0" t="n">
        <v>2724579</v>
      </c>
      <c r="D9589" s="0" t="s">
        <v>31986</v>
      </c>
      <c r="E9589" s="0" t="s">
        <v>89</v>
      </c>
      <c r="F9589" s="0" t="s">
        <v>15</v>
      </c>
      <c r="G9589" s="0" t="s">
        <v>16</v>
      </c>
      <c r="H9589" s="0" t="n">
        <v>119</v>
      </c>
      <c r="I9589" s="0" t="s">
        <v>31996</v>
      </c>
      <c r="J9589" s="0" t="s">
        <v>31997</v>
      </c>
      <c r="K9589" s="0" t="s">
        <v>31998</v>
      </c>
      <c r="L9589" s="0" t="str">
        <f aca="false">HYPERLINK("https://www.ncbi.nlm.nih.gov/nuccore/CP000304.1?report=graph&amp;tracks=[key:gene_model_track,Options:GeneOnly]&amp;mk=2724479:2724498|offset_38|444444,2724514:2724533|offset_73|444444,2724536:2724555|offset_95|444444,2724560:2724579|offset_119|00cc00&amp;v=2724278:2724779&amp;c=444444", "offset 119")</f>
        <v>offset 119</v>
      </c>
    </row>
    <row r="9590" customFormat="false" ht="12.8" hidden="false" customHeight="false" outlineLevel="0" collapsed="false">
      <c r="A9590" s="0" t="s">
        <v>12</v>
      </c>
      <c r="B9590" s="0" t="n">
        <v>2725771</v>
      </c>
      <c r="C9590" s="0" t="n">
        <v>2725791</v>
      </c>
      <c r="D9590" s="0" t="s">
        <v>31999</v>
      </c>
      <c r="E9590" s="0" t="s">
        <v>89</v>
      </c>
      <c r="F9590" s="0" t="s">
        <v>15</v>
      </c>
      <c r="G9590" s="0" t="s">
        <v>16</v>
      </c>
      <c r="H9590" s="0" t="n">
        <v>36</v>
      </c>
      <c r="I9590" s="0" t="s">
        <v>32000</v>
      </c>
      <c r="J9590" s="0" t="s">
        <v>32001</v>
      </c>
      <c r="K9590" s="0" t="s">
        <v>32002</v>
      </c>
      <c r="L9590" s="0" t="str">
        <f aca="false">HYPERLINK("https://www.ncbi.nlm.nih.gov/nuccore/CP000304.1?report=graph&amp;tracks=[key:gene_model_track,Options:GeneOnly]&amp;mk=2725772:2725791|offset_36|00cc00,2725806:2725825|offset_70|444444,2725831:2725850|offset_95|444444,2725864:2725883|offset_128|444444&amp;v=2725571:2726083&amp;c=444444", "offset 36")</f>
        <v>offset 36</v>
      </c>
    </row>
    <row r="9591" customFormat="false" ht="12.8" hidden="false" customHeight="false" outlineLevel="0" collapsed="false">
      <c r="A9591" s="0" t="s">
        <v>12</v>
      </c>
      <c r="B9591" s="0" t="n">
        <v>2725805</v>
      </c>
      <c r="C9591" s="0" t="n">
        <v>2725825</v>
      </c>
      <c r="D9591" s="0" t="s">
        <v>31999</v>
      </c>
      <c r="E9591" s="0" t="s">
        <v>89</v>
      </c>
      <c r="F9591" s="0" t="s">
        <v>15</v>
      </c>
      <c r="G9591" s="0" t="s">
        <v>16</v>
      </c>
      <c r="H9591" s="0" t="n">
        <v>70</v>
      </c>
      <c r="I9591" s="0" t="s">
        <v>32003</v>
      </c>
      <c r="J9591" s="0" t="s">
        <v>32004</v>
      </c>
      <c r="K9591" s="0" t="s">
        <v>32005</v>
      </c>
      <c r="L9591" s="0" t="str">
        <f aca="false">HYPERLINK("https://www.ncbi.nlm.nih.gov/nuccore/CP000304.1?report=graph&amp;tracks=[key:gene_model_track,Options:GeneOnly]&amp;mk=2725772:2725791|offset_36|444444,2725806:2725825|offset_70|00cc00,2725831:2725850|offset_95|444444,2725864:2725883|offset_128|444444&amp;v=2725571:2726083&amp;c=444444", "offset 70")</f>
        <v>offset 70</v>
      </c>
    </row>
    <row r="9592" customFormat="false" ht="12.8" hidden="false" customHeight="false" outlineLevel="0" collapsed="false">
      <c r="A9592" s="0" t="s">
        <v>12</v>
      </c>
      <c r="B9592" s="0" t="n">
        <v>2725830</v>
      </c>
      <c r="C9592" s="0" t="n">
        <v>2725850</v>
      </c>
      <c r="D9592" s="0" t="s">
        <v>31999</v>
      </c>
      <c r="E9592" s="0" t="s">
        <v>89</v>
      </c>
      <c r="F9592" s="0" t="s">
        <v>15</v>
      </c>
      <c r="G9592" s="0" t="s">
        <v>36</v>
      </c>
      <c r="H9592" s="0" t="n">
        <v>95</v>
      </c>
      <c r="I9592" s="0" t="s">
        <v>32006</v>
      </c>
      <c r="J9592" s="0" t="s">
        <v>32007</v>
      </c>
      <c r="K9592" s="0" t="s">
        <v>32008</v>
      </c>
      <c r="L9592" s="0" t="str">
        <f aca="false">HYPERLINK("https://www.ncbi.nlm.nih.gov/nuccore/CP000304.1?report=graph&amp;tracks=[key:gene_model_track,Options:GeneOnly]&amp;mk=2725772:2725791|offset_36|444444,2725806:2725825|offset_70|444444,2725831:2725850|offset_95|00cc00,2725864:2725883|offset_128|444444&amp;v=2725571:2726083&amp;c=444444", "offset 95")</f>
        <v>offset 95</v>
      </c>
    </row>
    <row r="9593" customFormat="false" ht="12.8" hidden="false" customHeight="false" outlineLevel="0" collapsed="false">
      <c r="A9593" s="0" t="s">
        <v>12</v>
      </c>
      <c r="B9593" s="0" t="n">
        <v>2725863</v>
      </c>
      <c r="C9593" s="0" t="n">
        <v>2725883</v>
      </c>
      <c r="D9593" s="0" t="s">
        <v>31999</v>
      </c>
      <c r="E9593" s="0" t="s">
        <v>89</v>
      </c>
      <c r="F9593" s="0" t="s">
        <v>15</v>
      </c>
      <c r="G9593" s="0" t="s">
        <v>26</v>
      </c>
      <c r="H9593" s="0" t="n">
        <v>128</v>
      </c>
      <c r="I9593" s="0" t="s">
        <v>32009</v>
      </c>
      <c r="J9593" s="0" t="s">
        <v>32010</v>
      </c>
      <c r="K9593" s="0" t="s">
        <v>32011</v>
      </c>
      <c r="L9593" s="0" t="str">
        <f aca="false">HYPERLINK("https://www.ncbi.nlm.nih.gov/nuccore/CP000304.1?report=graph&amp;tracks=[key:gene_model_track,Options:GeneOnly]&amp;mk=2725772:2725791|offset_36|444444,2725806:2725825|offset_70|444444,2725831:2725850|offset_95|444444,2725864:2725883|offset_128|00cc00&amp;v=2725571:2726083&amp;c=444444", "offset 128")</f>
        <v>offset 128</v>
      </c>
    </row>
    <row r="9594" customFormat="false" ht="12.8" hidden="false" customHeight="false" outlineLevel="0" collapsed="false">
      <c r="A9594" s="0" t="s">
        <v>12</v>
      </c>
      <c r="B9594" s="0" t="n">
        <v>2726994</v>
      </c>
      <c r="C9594" s="0" t="n">
        <v>2727014</v>
      </c>
      <c r="D9594" s="0" t="s">
        <v>32012</v>
      </c>
      <c r="E9594" s="0" t="s">
        <v>89</v>
      </c>
      <c r="F9594" s="0" t="s">
        <v>15</v>
      </c>
      <c r="G9594" s="0" t="s">
        <v>32</v>
      </c>
      <c r="H9594" s="0" t="n">
        <v>46</v>
      </c>
      <c r="I9594" s="0" t="s">
        <v>32013</v>
      </c>
      <c r="J9594" s="0" t="s">
        <v>32014</v>
      </c>
      <c r="K9594" s="0" t="s">
        <v>32015</v>
      </c>
      <c r="L9594" s="0" t="str">
        <f aca="false">HYPERLINK("https://www.ncbi.nlm.nih.gov/nuccore/CP000304.1?report=graph&amp;tracks=[key:gene_model_track,Options:GeneOnly]&amp;mk=2726995:2727014|offset_46|00cc00,2727029:2727048|offset_80|444444,2727067:2727086|offset_118|444444,2727095:2727114|offset_146|444444&amp;v=2726794:2727314&amp;c=444444", "offset 46")</f>
        <v>offset 46</v>
      </c>
    </row>
    <row r="9595" customFormat="false" ht="12.8" hidden="false" customHeight="false" outlineLevel="0" collapsed="false">
      <c r="A9595" s="0" t="s">
        <v>12</v>
      </c>
      <c r="B9595" s="0" t="n">
        <v>2727028</v>
      </c>
      <c r="C9595" s="0" t="n">
        <v>2727048</v>
      </c>
      <c r="D9595" s="0" t="s">
        <v>32012</v>
      </c>
      <c r="E9595" s="0" t="s">
        <v>89</v>
      </c>
      <c r="F9595" s="0" t="s">
        <v>15</v>
      </c>
      <c r="G9595" s="0" t="s">
        <v>36</v>
      </c>
      <c r="H9595" s="0" t="n">
        <v>80</v>
      </c>
      <c r="I9595" s="0" t="s">
        <v>32016</v>
      </c>
      <c r="J9595" s="0" t="s">
        <v>32017</v>
      </c>
      <c r="K9595" s="0" t="s">
        <v>32018</v>
      </c>
      <c r="L9595" s="0" t="str">
        <f aca="false">HYPERLINK("https://www.ncbi.nlm.nih.gov/nuccore/CP000304.1?report=graph&amp;tracks=[key:gene_model_track,Options:GeneOnly]&amp;mk=2726995:2727014|offset_46|444444,2727029:2727048|offset_80|00cc00,2727067:2727086|offset_118|444444,2727095:2727114|offset_146|444444&amp;v=2726794:2727314&amp;c=444444", "offset 80")</f>
        <v>offset 80</v>
      </c>
    </row>
    <row r="9596" customFormat="false" ht="12.8" hidden="false" customHeight="false" outlineLevel="0" collapsed="false">
      <c r="A9596" s="0" t="s">
        <v>12</v>
      </c>
      <c r="B9596" s="0" t="n">
        <v>2727066</v>
      </c>
      <c r="C9596" s="0" t="n">
        <v>2727086</v>
      </c>
      <c r="D9596" s="0" t="s">
        <v>32012</v>
      </c>
      <c r="E9596" s="0" t="s">
        <v>89</v>
      </c>
      <c r="F9596" s="0" t="s">
        <v>15</v>
      </c>
      <c r="G9596" s="0" t="s">
        <v>36</v>
      </c>
      <c r="H9596" s="0" t="n">
        <v>118</v>
      </c>
      <c r="I9596" s="0" t="s">
        <v>32019</v>
      </c>
      <c r="J9596" s="0" t="s">
        <v>32020</v>
      </c>
      <c r="K9596" s="0" t="s">
        <v>32021</v>
      </c>
      <c r="L9596" s="0" t="str">
        <f aca="false">HYPERLINK("https://www.ncbi.nlm.nih.gov/nuccore/CP000304.1?report=graph&amp;tracks=[key:gene_model_track,Options:GeneOnly]&amp;mk=2726995:2727014|offset_46|444444,2727029:2727048|offset_80|444444,2727067:2727086|offset_118|00cc00,2727095:2727114|offset_146|444444&amp;v=2726794:2727314&amp;c=444444", "offset 118")</f>
        <v>offset 118</v>
      </c>
    </row>
    <row r="9597" customFormat="false" ht="12.8" hidden="false" customHeight="false" outlineLevel="0" collapsed="false">
      <c r="A9597" s="0" t="s">
        <v>12</v>
      </c>
      <c r="B9597" s="0" t="n">
        <v>2727094</v>
      </c>
      <c r="C9597" s="0" t="n">
        <v>2727114</v>
      </c>
      <c r="D9597" s="0" t="s">
        <v>32012</v>
      </c>
      <c r="E9597" s="0" t="s">
        <v>89</v>
      </c>
      <c r="F9597" s="0" t="s">
        <v>15</v>
      </c>
      <c r="G9597" s="0" t="s">
        <v>32</v>
      </c>
      <c r="H9597" s="0" t="n">
        <v>146</v>
      </c>
      <c r="I9597" s="0" t="s">
        <v>32022</v>
      </c>
      <c r="J9597" s="0" t="s">
        <v>32023</v>
      </c>
      <c r="K9597" s="0" t="s">
        <v>32024</v>
      </c>
      <c r="L9597" s="0" t="str">
        <f aca="false">HYPERLINK("https://www.ncbi.nlm.nih.gov/nuccore/CP000304.1?report=graph&amp;tracks=[key:gene_model_track,Options:GeneOnly]&amp;mk=2726995:2727014|offset_46|444444,2727029:2727048|offset_80|444444,2727067:2727086|offset_118|444444,2727095:2727114|offset_146|00cc00&amp;v=2726794:2727314&amp;c=444444", "offset 146")</f>
        <v>offset 146</v>
      </c>
    </row>
    <row r="9598" customFormat="false" ht="12.8" hidden="false" customHeight="false" outlineLevel="0" collapsed="false">
      <c r="A9598" s="0" t="s">
        <v>12</v>
      </c>
      <c r="B9598" s="0" t="n">
        <v>2727836</v>
      </c>
      <c r="C9598" s="0" t="n">
        <v>2727856</v>
      </c>
      <c r="D9598" s="0" t="s">
        <v>32025</v>
      </c>
      <c r="E9598" s="0" t="s">
        <v>89</v>
      </c>
      <c r="F9598" s="0" t="s">
        <v>15</v>
      </c>
      <c r="G9598" s="0" t="s">
        <v>32</v>
      </c>
      <c r="H9598" s="0" t="n">
        <v>20</v>
      </c>
      <c r="I9598" s="0" t="s">
        <v>32026</v>
      </c>
      <c r="J9598" s="0" t="s">
        <v>32027</v>
      </c>
      <c r="K9598" s="0" t="s">
        <v>32028</v>
      </c>
      <c r="L9598" s="0" t="str">
        <f aca="false">HYPERLINK("https://www.ncbi.nlm.nih.gov/nuccore/CP000304.1?report=graph&amp;tracks=[key:gene_model_track,Options:GeneOnly]&amp;mk=2727837:2727856|offset_20|00cc00,2727863:2727882|offset_46|444444,2727913:2727932|offset_96|444444,2727934:2727953|offset_117|444444&amp;v=2727636:2728153&amp;c=444444", "offset 20")</f>
        <v>offset 20</v>
      </c>
    </row>
    <row r="9599" customFormat="false" ht="12.8" hidden="false" customHeight="false" outlineLevel="0" collapsed="false">
      <c r="A9599" s="0" t="s">
        <v>12</v>
      </c>
      <c r="B9599" s="0" t="n">
        <v>2727862</v>
      </c>
      <c r="C9599" s="0" t="n">
        <v>2727882</v>
      </c>
      <c r="D9599" s="0" t="s">
        <v>32025</v>
      </c>
      <c r="E9599" s="0" t="s">
        <v>89</v>
      </c>
      <c r="F9599" s="0" t="s">
        <v>15</v>
      </c>
      <c r="G9599" s="0" t="s">
        <v>16</v>
      </c>
      <c r="H9599" s="0" t="n">
        <v>46</v>
      </c>
      <c r="I9599" s="0" t="s">
        <v>32029</v>
      </c>
      <c r="J9599" s="0" t="s">
        <v>32030</v>
      </c>
      <c r="K9599" s="0" t="s">
        <v>32031</v>
      </c>
      <c r="L9599" s="0" t="str">
        <f aca="false">HYPERLINK("https://www.ncbi.nlm.nih.gov/nuccore/CP000304.1?report=graph&amp;tracks=[key:gene_model_track,Options:GeneOnly]&amp;mk=2727837:2727856|offset_20|444444,2727863:2727882|offset_46|00cc00,2727913:2727932|offset_96|444444,2727934:2727953|offset_117|444444&amp;v=2727636:2728153&amp;c=444444", "offset 46")</f>
        <v>offset 46</v>
      </c>
    </row>
    <row r="9600" customFormat="false" ht="12.8" hidden="false" customHeight="false" outlineLevel="0" collapsed="false">
      <c r="A9600" s="0" t="s">
        <v>12</v>
      </c>
      <c r="B9600" s="0" t="n">
        <v>2727912</v>
      </c>
      <c r="C9600" s="0" t="n">
        <v>2727932</v>
      </c>
      <c r="D9600" s="0" t="s">
        <v>32025</v>
      </c>
      <c r="E9600" s="0" t="s">
        <v>89</v>
      </c>
      <c r="F9600" s="0" t="s">
        <v>15</v>
      </c>
      <c r="G9600" s="0" t="s">
        <v>36</v>
      </c>
      <c r="H9600" s="0" t="n">
        <v>96</v>
      </c>
      <c r="I9600" s="0" t="s">
        <v>32032</v>
      </c>
      <c r="J9600" s="0" t="s">
        <v>32033</v>
      </c>
      <c r="K9600" s="0" t="s">
        <v>32034</v>
      </c>
      <c r="L9600" s="0" t="str">
        <f aca="false">HYPERLINK("https://www.ncbi.nlm.nih.gov/nuccore/CP000304.1?report=graph&amp;tracks=[key:gene_model_track,Options:GeneOnly]&amp;mk=2727837:2727856|offset_20|444444,2727863:2727882|offset_46|444444,2727913:2727932|offset_96|00cc00,2727934:2727953|offset_117|444444&amp;v=2727636:2728153&amp;c=444444", "offset 96")</f>
        <v>offset 96</v>
      </c>
    </row>
    <row r="9601" customFormat="false" ht="12.8" hidden="false" customHeight="false" outlineLevel="0" collapsed="false">
      <c r="A9601" s="0" t="s">
        <v>12</v>
      </c>
      <c r="B9601" s="0" t="n">
        <v>2727933</v>
      </c>
      <c r="C9601" s="0" t="n">
        <v>2727953</v>
      </c>
      <c r="D9601" s="0" t="s">
        <v>32025</v>
      </c>
      <c r="E9601" s="0" t="s">
        <v>89</v>
      </c>
      <c r="F9601" s="0" t="s">
        <v>15</v>
      </c>
      <c r="G9601" s="0" t="s">
        <v>36</v>
      </c>
      <c r="H9601" s="0" t="n">
        <v>117</v>
      </c>
      <c r="I9601" s="0" t="s">
        <v>32035</v>
      </c>
      <c r="J9601" s="0" t="s">
        <v>32036</v>
      </c>
      <c r="K9601" s="0" t="s">
        <v>32037</v>
      </c>
      <c r="L9601" s="0" t="str">
        <f aca="false">HYPERLINK("https://www.ncbi.nlm.nih.gov/nuccore/CP000304.1?report=graph&amp;tracks=[key:gene_model_track,Options:GeneOnly]&amp;mk=2727837:2727856|offset_20|444444,2727863:2727882|offset_46|444444,2727913:2727932|offset_96|444444,2727934:2727953|offset_117|00cc00&amp;v=2727636:2728153&amp;c=444444", "offset 117")</f>
        <v>offset 117</v>
      </c>
    </row>
    <row r="9602" customFormat="false" ht="12.8" hidden="false" customHeight="false" outlineLevel="0" collapsed="false">
      <c r="A9602" s="0" t="s">
        <v>12</v>
      </c>
      <c r="B9602" s="0" t="n">
        <v>2729006</v>
      </c>
      <c r="C9602" s="0" t="n">
        <v>2729026</v>
      </c>
      <c r="D9602" s="0" t="s">
        <v>32038</v>
      </c>
      <c r="E9602" s="0" t="s">
        <v>89</v>
      </c>
      <c r="F9602" s="0" t="s">
        <v>15</v>
      </c>
      <c r="G9602" s="0" t="s">
        <v>32</v>
      </c>
      <c r="H9602" s="0" t="n">
        <v>14</v>
      </c>
      <c r="I9602" s="0" t="s">
        <v>32039</v>
      </c>
      <c r="J9602" s="0" t="s">
        <v>32040</v>
      </c>
      <c r="K9602" s="0" t="s">
        <v>32041</v>
      </c>
      <c r="L9602" s="0" t="str">
        <f aca="false">HYPERLINK("https://www.ncbi.nlm.nih.gov/nuccore/CP000304.1?report=graph&amp;tracks=[key:gene_model_track,Options:GeneOnly]&amp;mk=2729007:2729026|offset_14|00cc00,2729030:2729049|offset_37|444444,2729063:2729082|offset_70|444444,2729093:2729112|offset_100|444444&amp;v=2728806:2729312&amp;c=444444", "offset 14")</f>
        <v>offset 14</v>
      </c>
    </row>
    <row r="9603" customFormat="false" ht="12.8" hidden="false" customHeight="false" outlineLevel="0" collapsed="false">
      <c r="A9603" s="0" t="s">
        <v>12</v>
      </c>
      <c r="B9603" s="0" t="n">
        <v>2729029</v>
      </c>
      <c r="C9603" s="0" t="n">
        <v>2729049</v>
      </c>
      <c r="D9603" s="0" t="s">
        <v>32038</v>
      </c>
      <c r="E9603" s="0" t="s">
        <v>89</v>
      </c>
      <c r="F9603" s="0" t="s">
        <v>15</v>
      </c>
      <c r="G9603" s="0" t="s">
        <v>32</v>
      </c>
      <c r="H9603" s="0" t="n">
        <v>37</v>
      </c>
      <c r="I9603" s="0" t="s">
        <v>32042</v>
      </c>
      <c r="J9603" s="0" t="s">
        <v>32043</v>
      </c>
      <c r="K9603" s="0" t="s">
        <v>32044</v>
      </c>
      <c r="L9603" s="0" t="str">
        <f aca="false">HYPERLINK("https://www.ncbi.nlm.nih.gov/nuccore/CP000304.1?report=graph&amp;tracks=[key:gene_model_track,Options:GeneOnly]&amp;mk=2729007:2729026|offset_14|444444,2729030:2729049|offset_37|00cc00,2729063:2729082|offset_70|444444,2729093:2729112|offset_100|444444&amp;v=2728806:2729312&amp;c=444444", "offset 37")</f>
        <v>offset 37</v>
      </c>
    </row>
    <row r="9604" customFormat="false" ht="12.8" hidden="false" customHeight="false" outlineLevel="0" collapsed="false">
      <c r="A9604" s="0" t="s">
        <v>12</v>
      </c>
      <c r="B9604" s="0" t="n">
        <v>2729062</v>
      </c>
      <c r="C9604" s="0" t="n">
        <v>2729082</v>
      </c>
      <c r="D9604" s="0" t="s">
        <v>32038</v>
      </c>
      <c r="E9604" s="0" t="s">
        <v>89</v>
      </c>
      <c r="F9604" s="0" t="s">
        <v>15</v>
      </c>
      <c r="G9604" s="0" t="s">
        <v>16</v>
      </c>
      <c r="H9604" s="0" t="n">
        <v>70</v>
      </c>
      <c r="I9604" s="0" t="s">
        <v>32045</v>
      </c>
      <c r="J9604" s="0" t="s">
        <v>32046</v>
      </c>
      <c r="K9604" s="0" t="s">
        <v>32047</v>
      </c>
      <c r="L9604" s="0" t="str">
        <f aca="false">HYPERLINK("https://www.ncbi.nlm.nih.gov/nuccore/CP000304.1?report=graph&amp;tracks=[key:gene_model_track,Options:GeneOnly]&amp;mk=2729007:2729026|offset_14|444444,2729030:2729049|offset_37|444444,2729063:2729082|offset_70|00cc00,2729093:2729112|offset_100|444444&amp;v=2728806:2729312&amp;c=444444", "offset 70")</f>
        <v>offset 70</v>
      </c>
    </row>
    <row r="9605" customFormat="false" ht="12.8" hidden="false" customHeight="false" outlineLevel="0" collapsed="false">
      <c r="A9605" s="0" t="s">
        <v>12</v>
      </c>
      <c r="B9605" s="0" t="n">
        <v>2729092</v>
      </c>
      <c r="C9605" s="0" t="n">
        <v>2729112</v>
      </c>
      <c r="D9605" s="0" t="s">
        <v>32038</v>
      </c>
      <c r="E9605" s="0" t="s">
        <v>89</v>
      </c>
      <c r="F9605" s="0" t="s">
        <v>15</v>
      </c>
      <c r="G9605" s="0" t="s">
        <v>36</v>
      </c>
      <c r="H9605" s="0" t="n">
        <v>100</v>
      </c>
      <c r="I9605" s="0" t="s">
        <v>32048</v>
      </c>
      <c r="J9605" s="0" t="s">
        <v>32049</v>
      </c>
      <c r="K9605" s="0" t="s">
        <v>32050</v>
      </c>
      <c r="L9605" s="0" t="str">
        <f aca="false">HYPERLINK("https://www.ncbi.nlm.nih.gov/nuccore/CP000304.1?report=graph&amp;tracks=[key:gene_model_track,Options:GeneOnly]&amp;mk=2729007:2729026|offset_14|444444,2729030:2729049|offset_37|444444,2729063:2729082|offset_70|444444,2729093:2729112|offset_100|00cc00&amp;v=2728806:2729312&amp;c=444444", "offset 100")</f>
        <v>offset 100</v>
      </c>
    </row>
    <row r="9606" customFormat="false" ht="12.8" hidden="false" customHeight="false" outlineLevel="0" collapsed="false">
      <c r="A9606" s="0" t="s">
        <v>12</v>
      </c>
      <c r="B9606" s="0" t="n">
        <v>2731521</v>
      </c>
      <c r="C9606" s="0" t="n">
        <v>2731541</v>
      </c>
      <c r="D9606" s="0" t="s">
        <v>32051</v>
      </c>
      <c r="E9606" s="0" t="s">
        <v>89</v>
      </c>
      <c r="F9606" s="0" t="s">
        <v>90</v>
      </c>
      <c r="G9606" s="0" t="s">
        <v>16</v>
      </c>
      <c r="H9606" s="0" t="n">
        <v>37</v>
      </c>
      <c r="I9606" s="0" t="s">
        <v>32052</v>
      </c>
      <c r="J9606" s="0" t="s">
        <v>32053</v>
      </c>
      <c r="K9606" s="0" t="s">
        <v>32054</v>
      </c>
      <c r="L9606" s="0" t="str">
        <f aca="false">HYPERLINK("https://www.ncbi.nlm.nih.gov/nuccore/CP000304.1?report=graph&amp;tracks=[key:gene_model_track,Options:GeneOnly]&amp;mk=2731522:2731541|offset_37|00cc00,2731483:2731502|offset_76|444444,2731421:2731440|offset_138|444444,2731390:2731409|offset_169|444444&amp;v=2731321:2731609&amp;c=444444", "offset 37")</f>
        <v>offset 37</v>
      </c>
    </row>
    <row r="9607" customFormat="false" ht="12.8" hidden="false" customHeight="false" outlineLevel="0" collapsed="false">
      <c r="A9607" s="0" t="s">
        <v>12</v>
      </c>
      <c r="B9607" s="0" t="n">
        <v>2731482</v>
      </c>
      <c r="C9607" s="0" t="n">
        <v>2731502</v>
      </c>
      <c r="D9607" s="0" t="s">
        <v>32051</v>
      </c>
      <c r="E9607" s="0" t="s">
        <v>89</v>
      </c>
      <c r="F9607" s="0" t="s">
        <v>90</v>
      </c>
      <c r="G9607" s="0" t="s">
        <v>36</v>
      </c>
      <c r="H9607" s="0" t="n">
        <v>76</v>
      </c>
      <c r="I9607" s="0" t="s">
        <v>32055</v>
      </c>
      <c r="J9607" s="0" t="s">
        <v>32056</v>
      </c>
      <c r="K9607" s="0" t="s">
        <v>32057</v>
      </c>
      <c r="L9607" s="0" t="str">
        <f aca="false">HYPERLINK("https://www.ncbi.nlm.nih.gov/nuccore/CP000304.1?report=graph&amp;tracks=[key:gene_model_track,Options:GeneOnly]&amp;mk=2731522:2731541|offset_37|444444,2731483:2731502|offset_76|00cc00,2731421:2731440|offset_138|444444,2731390:2731409|offset_169|444444&amp;v=2731321:2731609&amp;c=444444", "offset 76")</f>
        <v>offset 76</v>
      </c>
    </row>
    <row r="9608" customFormat="false" ht="12.8" hidden="false" customHeight="false" outlineLevel="0" collapsed="false">
      <c r="A9608" s="0" t="s">
        <v>12</v>
      </c>
      <c r="B9608" s="0" t="n">
        <v>2731420</v>
      </c>
      <c r="C9608" s="0" t="n">
        <v>2731440</v>
      </c>
      <c r="D9608" s="0" t="s">
        <v>32051</v>
      </c>
      <c r="E9608" s="0" t="s">
        <v>89</v>
      </c>
      <c r="F9608" s="0" t="s">
        <v>90</v>
      </c>
      <c r="G9608" s="0" t="s">
        <v>16</v>
      </c>
      <c r="H9608" s="0" t="n">
        <v>138</v>
      </c>
      <c r="I9608" s="0" t="s">
        <v>32058</v>
      </c>
      <c r="J9608" s="0" t="s">
        <v>32059</v>
      </c>
      <c r="K9608" s="0" t="s">
        <v>32060</v>
      </c>
      <c r="L9608" s="0" t="str">
        <f aca="false">HYPERLINK("https://www.ncbi.nlm.nih.gov/nuccore/CP000304.1?report=graph&amp;tracks=[key:gene_model_track,Options:GeneOnly]&amp;mk=2731522:2731541|offset_37|444444,2731483:2731502|offset_76|444444,2731421:2731440|offset_138|00cc00,2731390:2731409|offset_169|444444&amp;v=2731321:2731609&amp;c=444444", "offset 138")</f>
        <v>offset 138</v>
      </c>
    </row>
    <row r="9609" customFormat="false" ht="12.8" hidden="false" customHeight="false" outlineLevel="0" collapsed="false">
      <c r="A9609" s="0" t="s">
        <v>12</v>
      </c>
      <c r="B9609" s="0" t="n">
        <v>2731389</v>
      </c>
      <c r="C9609" s="0" t="n">
        <v>2731409</v>
      </c>
      <c r="D9609" s="0" t="s">
        <v>32051</v>
      </c>
      <c r="E9609" s="0" t="s">
        <v>89</v>
      </c>
      <c r="F9609" s="0" t="s">
        <v>90</v>
      </c>
      <c r="G9609" s="0" t="s">
        <v>16</v>
      </c>
      <c r="H9609" s="0" t="n">
        <v>169</v>
      </c>
      <c r="I9609" s="0" t="s">
        <v>32061</v>
      </c>
      <c r="J9609" s="0" t="s">
        <v>32062</v>
      </c>
      <c r="K9609" s="0" t="s">
        <v>32063</v>
      </c>
      <c r="L9609" s="0" t="str">
        <f aca="false">HYPERLINK("https://www.ncbi.nlm.nih.gov/nuccore/CP000304.1?report=graph&amp;tracks=[key:gene_model_track,Options:GeneOnly]&amp;mk=2731522:2731541|offset_37|444444,2731483:2731502|offset_76|444444,2731421:2731440|offset_138|444444,2731390:2731409|offset_169|00cc00&amp;v=2731321:2731609&amp;c=444444", "offset 169")</f>
        <v>offset 169</v>
      </c>
    </row>
    <row r="9610" customFormat="false" ht="12.8" hidden="false" customHeight="false" outlineLevel="0" collapsed="false">
      <c r="A9610" s="0" t="s">
        <v>12</v>
      </c>
      <c r="B9610" s="0" t="n">
        <v>2733321</v>
      </c>
      <c r="C9610" s="0" t="n">
        <v>2733341</v>
      </c>
      <c r="D9610" s="0" t="s">
        <v>32064</v>
      </c>
      <c r="E9610" s="0" t="s">
        <v>89</v>
      </c>
      <c r="F9610" s="0" t="s">
        <v>90</v>
      </c>
      <c r="G9610" s="0" t="s">
        <v>16</v>
      </c>
      <c r="H9610" s="0" t="n">
        <v>16</v>
      </c>
      <c r="I9610" s="0" t="s">
        <v>32065</v>
      </c>
      <c r="J9610" s="0" t="s">
        <v>32066</v>
      </c>
      <c r="K9610" s="0" t="s">
        <v>32067</v>
      </c>
      <c r="L9610" s="0" t="str">
        <f aca="false">HYPERLINK("https://www.ncbi.nlm.nih.gov/nuccore/CP000304.1?report=graph&amp;tracks=[key:gene_model_track,Options:GeneOnly]&amp;mk=2733322:2733341|offset_16|00cc00,2733295:2733314|offset_43|444444,2733275:2733294|offset_63|444444,2733255:2733274|offset_83|444444&amp;v=2733121:2733474&amp;c=444444", "offset 16")</f>
        <v>offset 16</v>
      </c>
    </row>
    <row r="9611" customFormat="false" ht="12.8" hidden="false" customHeight="false" outlineLevel="0" collapsed="false">
      <c r="A9611" s="0" t="s">
        <v>12</v>
      </c>
      <c r="B9611" s="0" t="n">
        <v>2733294</v>
      </c>
      <c r="C9611" s="0" t="n">
        <v>2733314</v>
      </c>
      <c r="D9611" s="0" t="s">
        <v>32064</v>
      </c>
      <c r="E9611" s="0" t="s">
        <v>89</v>
      </c>
      <c r="F9611" s="0" t="s">
        <v>90</v>
      </c>
      <c r="G9611" s="0" t="s">
        <v>32</v>
      </c>
      <c r="H9611" s="0" t="n">
        <v>43</v>
      </c>
      <c r="I9611" s="0" t="s">
        <v>32068</v>
      </c>
      <c r="J9611" s="0" t="s">
        <v>32069</v>
      </c>
      <c r="K9611" s="0" t="s">
        <v>32070</v>
      </c>
      <c r="L9611" s="0" t="str">
        <f aca="false">HYPERLINK("https://www.ncbi.nlm.nih.gov/nuccore/CP000304.1?report=graph&amp;tracks=[key:gene_model_track,Options:GeneOnly]&amp;mk=2733322:2733341|offset_16|444444,2733295:2733314|offset_43|00cc00,2733275:2733294|offset_63|444444,2733255:2733274|offset_83|444444&amp;v=2733121:2733474&amp;c=444444", "offset 43")</f>
        <v>offset 43</v>
      </c>
    </row>
    <row r="9612" customFormat="false" ht="12.8" hidden="false" customHeight="false" outlineLevel="0" collapsed="false">
      <c r="A9612" s="0" t="s">
        <v>12</v>
      </c>
      <c r="B9612" s="0" t="n">
        <v>2733274</v>
      </c>
      <c r="C9612" s="0" t="n">
        <v>2733294</v>
      </c>
      <c r="D9612" s="0" t="s">
        <v>32064</v>
      </c>
      <c r="E9612" s="0" t="s">
        <v>89</v>
      </c>
      <c r="F9612" s="0" t="s">
        <v>90</v>
      </c>
      <c r="G9612" s="0" t="s">
        <v>16</v>
      </c>
      <c r="H9612" s="0" t="n">
        <v>63</v>
      </c>
      <c r="I9612" s="0" t="s">
        <v>32071</v>
      </c>
      <c r="J9612" s="0" t="s">
        <v>32072</v>
      </c>
      <c r="K9612" s="0" t="s">
        <v>32073</v>
      </c>
      <c r="L9612" s="0" t="str">
        <f aca="false">HYPERLINK("https://www.ncbi.nlm.nih.gov/nuccore/CP000304.1?report=graph&amp;tracks=[key:gene_model_track,Options:GeneOnly]&amp;mk=2733322:2733341|offset_16|444444,2733295:2733314|offset_43|444444,2733275:2733294|offset_63|00cc00,2733255:2733274|offset_83|444444&amp;v=2733121:2733474&amp;c=444444", "offset 63")</f>
        <v>offset 63</v>
      </c>
    </row>
    <row r="9613" customFormat="false" ht="12.8" hidden="false" customHeight="false" outlineLevel="0" collapsed="false">
      <c r="A9613" s="0" t="s">
        <v>12</v>
      </c>
      <c r="B9613" s="0" t="n">
        <v>2733254</v>
      </c>
      <c r="C9613" s="0" t="n">
        <v>2733274</v>
      </c>
      <c r="D9613" s="0" t="s">
        <v>32064</v>
      </c>
      <c r="E9613" s="0" t="s">
        <v>89</v>
      </c>
      <c r="F9613" s="0" t="s">
        <v>90</v>
      </c>
      <c r="G9613" s="0" t="s">
        <v>26</v>
      </c>
      <c r="H9613" s="0" t="n">
        <v>83</v>
      </c>
      <c r="I9613" s="0" t="s">
        <v>32074</v>
      </c>
      <c r="J9613" s="0" t="s">
        <v>32075</v>
      </c>
      <c r="K9613" s="0" t="s">
        <v>32076</v>
      </c>
      <c r="L9613" s="0" t="str">
        <f aca="false">HYPERLINK("https://www.ncbi.nlm.nih.gov/nuccore/CP000304.1?report=graph&amp;tracks=[key:gene_model_track,Options:GeneOnly]&amp;mk=2733322:2733341|offset_16|444444,2733295:2733314|offset_43|444444,2733275:2733294|offset_63|444444,2733255:2733274|offset_83|00cc00&amp;v=2733121:2733474&amp;c=444444", "offset 83")</f>
        <v>offset 83</v>
      </c>
    </row>
    <row r="9614" customFormat="false" ht="12.8" hidden="false" customHeight="false" outlineLevel="0" collapsed="false">
      <c r="A9614" s="0" t="s">
        <v>12</v>
      </c>
      <c r="B9614" s="0" t="n">
        <v>2733595</v>
      </c>
      <c r="C9614" s="0" t="n">
        <v>2733615</v>
      </c>
      <c r="D9614" s="0" t="s">
        <v>32077</v>
      </c>
      <c r="E9614" s="0" t="s">
        <v>89</v>
      </c>
      <c r="F9614" s="0" t="s">
        <v>15</v>
      </c>
      <c r="G9614" s="0" t="s">
        <v>36</v>
      </c>
      <c r="H9614" s="0" t="n">
        <v>14</v>
      </c>
      <c r="I9614" s="0" t="s">
        <v>32078</v>
      </c>
      <c r="J9614" s="0" t="s">
        <v>32079</v>
      </c>
      <c r="K9614" s="0" t="s">
        <v>32080</v>
      </c>
      <c r="L9614" s="0" t="str">
        <f aca="false">HYPERLINK("https://www.ncbi.nlm.nih.gov/nuccore/CP000304.1?report=graph&amp;tracks=[key:gene_model_track,Options:GeneOnly]&amp;mk=2733596:2733615|offset_14|00cc00,2733621:2733640|offset_39|444444,2733645:2733664|offset_63|444444,2733691:2733710|offset_109|444444&amp;v=2733395:2733910&amp;c=444444", "offset 14")</f>
        <v>offset 14</v>
      </c>
    </row>
    <row r="9615" customFormat="false" ht="12.8" hidden="false" customHeight="false" outlineLevel="0" collapsed="false">
      <c r="A9615" s="0" t="s">
        <v>12</v>
      </c>
      <c r="B9615" s="0" t="n">
        <v>2733620</v>
      </c>
      <c r="C9615" s="0" t="n">
        <v>2733640</v>
      </c>
      <c r="D9615" s="0" t="s">
        <v>32077</v>
      </c>
      <c r="E9615" s="0" t="s">
        <v>89</v>
      </c>
      <c r="F9615" s="0" t="s">
        <v>15</v>
      </c>
      <c r="G9615" s="0" t="s">
        <v>16</v>
      </c>
      <c r="H9615" s="0" t="n">
        <v>39</v>
      </c>
      <c r="I9615" s="0" t="s">
        <v>32081</v>
      </c>
      <c r="J9615" s="0" t="s">
        <v>32082</v>
      </c>
      <c r="K9615" s="0" t="s">
        <v>32083</v>
      </c>
      <c r="L9615" s="0" t="str">
        <f aca="false">HYPERLINK("https://www.ncbi.nlm.nih.gov/nuccore/CP000304.1?report=graph&amp;tracks=[key:gene_model_track,Options:GeneOnly]&amp;mk=2733596:2733615|offset_14|444444,2733621:2733640|offset_39|00cc00,2733645:2733664|offset_63|444444,2733691:2733710|offset_109|444444&amp;v=2733395:2733910&amp;c=444444", "offset 39")</f>
        <v>offset 39</v>
      </c>
    </row>
    <row r="9616" customFormat="false" ht="12.8" hidden="false" customHeight="false" outlineLevel="0" collapsed="false">
      <c r="A9616" s="0" t="s">
        <v>12</v>
      </c>
      <c r="B9616" s="0" t="n">
        <v>2733644</v>
      </c>
      <c r="C9616" s="0" t="n">
        <v>2733664</v>
      </c>
      <c r="D9616" s="0" t="s">
        <v>32077</v>
      </c>
      <c r="E9616" s="0" t="s">
        <v>89</v>
      </c>
      <c r="F9616" s="0" t="s">
        <v>15</v>
      </c>
      <c r="G9616" s="0" t="s">
        <v>36</v>
      </c>
      <c r="H9616" s="0" t="n">
        <v>63</v>
      </c>
      <c r="I9616" s="0" t="s">
        <v>32084</v>
      </c>
      <c r="J9616" s="0" t="s">
        <v>32085</v>
      </c>
      <c r="K9616" s="0" t="s">
        <v>32086</v>
      </c>
      <c r="L9616" s="0" t="str">
        <f aca="false">HYPERLINK("https://www.ncbi.nlm.nih.gov/nuccore/CP000304.1?report=graph&amp;tracks=[key:gene_model_track,Options:GeneOnly]&amp;mk=2733596:2733615|offset_14|444444,2733621:2733640|offset_39|444444,2733645:2733664|offset_63|00cc00,2733691:2733710|offset_109|444444&amp;v=2733395:2733910&amp;c=444444", "offset 63")</f>
        <v>offset 63</v>
      </c>
    </row>
    <row r="9617" customFormat="false" ht="12.8" hidden="false" customHeight="false" outlineLevel="0" collapsed="false">
      <c r="A9617" s="0" t="s">
        <v>12</v>
      </c>
      <c r="B9617" s="0" t="n">
        <v>2733690</v>
      </c>
      <c r="C9617" s="0" t="n">
        <v>2733710</v>
      </c>
      <c r="D9617" s="0" t="s">
        <v>32077</v>
      </c>
      <c r="E9617" s="0" t="s">
        <v>89</v>
      </c>
      <c r="F9617" s="0" t="s">
        <v>15</v>
      </c>
      <c r="G9617" s="0" t="s">
        <v>16</v>
      </c>
      <c r="H9617" s="0" t="n">
        <v>109</v>
      </c>
      <c r="I9617" s="0" t="s">
        <v>32087</v>
      </c>
      <c r="J9617" s="0" t="s">
        <v>32088</v>
      </c>
      <c r="K9617" s="0" t="s">
        <v>32089</v>
      </c>
      <c r="L9617" s="0" t="str">
        <f aca="false">HYPERLINK("https://www.ncbi.nlm.nih.gov/nuccore/CP000304.1?report=graph&amp;tracks=[key:gene_model_track,Options:GeneOnly]&amp;mk=2733596:2733615|offset_14|444444,2733621:2733640|offset_39|444444,2733645:2733664|offset_63|444444,2733691:2733710|offset_109|00cc00&amp;v=2733395:2733910&amp;c=444444", "offset 109")</f>
        <v>offset 109</v>
      </c>
    </row>
    <row r="9618" customFormat="false" ht="12.8" hidden="false" customHeight="false" outlineLevel="0" collapsed="false">
      <c r="A9618" s="0" t="s">
        <v>12</v>
      </c>
      <c r="B9618" s="0" t="n">
        <v>2734476</v>
      </c>
      <c r="C9618" s="0" t="n">
        <v>2734496</v>
      </c>
      <c r="D9618" s="0" t="s">
        <v>32090</v>
      </c>
      <c r="E9618" s="0" t="s">
        <v>89</v>
      </c>
      <c r="F9618" s="0" t="s">
        <v>15</v>
      </c>
      <c r="G9618" s="0" t="s">
        <v>32</v>
      </c>
      <c r="H9618" s="0" t="n">
        <v>1</v>
      </c>
      <c r="I9618" s="0" t="s">
        <v>32091</v>
      </c>
      <c r="J9618" s="0" t="s">
        <v>32092</v>
      </c>
      <c r="K9618" s="0" t="s">
        <v>32093</v>
      </c>
      <c r="L9618" s="0" t="str">
        <f aca="false">HYPERLINK("https://www.ncbi.nlm.nih.gov/nuccore/CP000304.1?report=graph&amp;tracks=[key:gene_model_track,Options:GeneOnly]&amp;mk=2734477:2734496|offset_1|00cc00,2734519:2734538|offset_43|444444,2734543:2734562|offset_67|444444,2734577:2734596|offset_101|444444&amp;v=2734276:2734796&amp;c=444444", "offset 1")</f>
        <v>offset 1</v>
      </c>
    </row>
    <row r="9619" customFormat="false" ht="12.8" hidden="false" customHeight="false" outlineLevel="0" collapsed="false">
      <c r="A9619" s="0" t="s">
        <v>12</v>
      </c>
      <c r="B9619" s="0" t="n">
        <v>2734518</v>
      </c>
      <c r="C9619" s="0" t="n">
        <v>2734538</v>
      </c>
      <c r="D9619" s="0" t="s">
        <v>32090</v>
      </c>
      <c r="E9619" s="0" t="s">
        <v>89</v>
      </c>
      <c r="F9619" s="0" t="s">
        <v>15</v>
      </c>
      <c r="G9619" s="0" t="s">
        <v>36</v>
      </c>
      <c r="H9619" s="0" t="n">
        <v>43</v>
      </c>
      <c r="I9619" s="0" t="s">
        <v>32094</v>
      </c>
      <c r="J9619" s="0" t="s">
        <v>32095</v>
      </c>
      <c r="K9619" s="0" t="s">
        <v>32096</v>
      </c>
      <c r="L9619" s="0" t="str">
        <f aca="false">HYPERLINK("https://www.ncbi.nlm.nih.gov/nuccore/CP000304.1?report=graph&amp;tracks=[key:gene_model_track,Options:GeneOnly]&amp;mk=2734477:2734496|offset_1|444444,2734519:2734538|offset_43|00cc00,2734543:2734562|offset_67|444444,2734577:2734596|offset_101|444444&amp;v=2734276:2734796&amp;c=444444", "offset 43")</f>
        <v>offset 43</v>
      </c>
    </row>
    <row r="9620" customFormat="false" ht="12.8" hidden="false" customHeight="false" outlineLevel="0" collapsed="false">
      <c r="A9620" s="0" t="s">
        <v>12</v>
      </c>
      <c r="B9620" s="0" t="n">
        <v>2734542</v>
      </c>
      <c r="C9620" s="0" t="n">
        <v>2734562</v>
      </c>
      <c r="D9620" s="0" t="s">
        <v>32090</v>
      </c>
      <c r="E9620" s="0" t="s">
        <v>89</v>
      </c>
      <c r="F9620" s="0" t="s">
        <v>15</v>
      </c>
      <c r="G9620" s="0" t="s">
        <v>32</v>
      </c>
      <c r="H9620" s="0" t="n">
        <v>67</v>
      </c>
      <c r="I9620" s="0" t="s">
        <v>32097</v>
      </c>
      <c r="J9620" s="0" t="s">
        <v>32098</v>
      </c>
      <c r="K9620" s="0" t="s">
        <v>32099</v>
      </c>
      <c r="L9620" s="0" t="str">
        <f aca="false">HYPERLINK("https://www.ncbi.nlm.nih.gov/nuccore/CP000304.1?report=graph&amp;tracks=[key:gene_model_track,Options:GeneOnly]&amp;mk=2734477:2734496|offset_1|444444,2734519:2734538|offset_43|444444,2734543:2734562|offset_67|00cc00,2734577:2734596|offset_101|444444&amp;v=2734276:2734796&amp;c=444444", "offset 67")</f>
        <v>offset 67</v>
      </c>
    </row>
    <row r="9621" customFormat="false" ht="12.8" hidden="false" customHeight="false" outlineLevel="0" collapsed="false">
      <c r="A9621" s="0" t="s">
        <v>12</v>
      </c>
      <c r="B9621" s="0" t="n">
        <v>2734576</v>
      </c>
      <c r="C9621" s="0" t="n">
        <v>2734596</v>
      </c>
      <c r="D9621" s="0" t="s">
        <v>32090</v>
      </c>
      <c r="E9621" s="0" t="s">
        <v>89</v>
      </c>
      <c r="F9621" s="0" t="s">
        <v>15</v>
      </c>
      <c r="G9621" s="0" t="s">
        <v>32</v>
      </c>
      <c r="H9621" s="0" t="n">
        <v>101</v>
      </c>
      <c r="I9621" s="0" t="s">
        <v>32100</v>
      </c>
      <c r="J9621" s="0" t="s">
        <v>32101</v>
      </c>
      <c r="K9621" s="0" t="s">
        <v>32102</v>
      </c>
      <c r="L9621" s="0" t="str">
        <f aca="false">HYPERLINK("https://www.ncbi.nlm.nih.gov/nuccore/CP000304.1?report=graph&amp;tracks=[key:gene_model_track,Options:GeneOnly]&amp;mk=2734477:2734496|offset_1|444444,2734519:2734538|offset_43|444444,2734543:2734562|offset_67|444444,2734577:2734596|offset_101|00cc00&amp;v=2734276:2734796&amp;c=444444", "offset 101")</f>
        <v>offset 101</v>
      </c>
    </row>
    <row r="9622" customFormat="false" ht="12.8" hidden="false" customHeight="false" outlineLevel="0" collapsed="false">
      <c r="A9622" s="0" t="s">
        <v>12</v>
      </c>
      <c r="B9622" s="0" t="n">
        <v>2735270</v>
      </c>
      <c r="C9622" s="0" t="n">
        <v>2735290</v>
      </c>
      <c r="D9622" s="0" t="s">
        <v>32103</v>
      </c>
      <c r="E9622" s="0" t="s">
        <v>32104</v>
      </c>
      <c r="F9622" s="0" t="s">
        <v>90</v>
      </c>
      <c r="G9622" s="0" t="s">
        <v>32</v>
      </c>
      <c r="H9622" s="0" t="n">
        <v>1</v>
      </c>
      <c r="I9622" s="0" t="s">
        <v>32105</v>
      </c>
      <c r="J9622" s="0" t="s">
        <v>32106</v>
      </c>
      <c r="K9622" s="0" t="s">
        <v>32107</v>
      </c>
      <c r="L9622" s="0" t="str">
        <f aca="false">HYPERLINK("https://www.ncbi.nlm.nih.gov/nuccore/CP000304.1?report=graph&amp;tracks=[key:gene_model_track,Options:GeneOnly]&amp;mk=2735271:2735290|offset_1|00cc00,2735235:2735254|offset_37|444444,2735214:2735233|offset_58|444444,2735187:2735206|offset_85|444444&amp;v=2735070:2735406&amp;c=444444", "offset 1")</f>
        <v>offset 1</v>
      </c>
    </row>
    <row r="9623" customFormat="false" ht="12.8" hidden="false" customHeight="false" outlineLevel="0" collapsed="false">
      <c r="A9623" s="0" t="s">
        <v>12</v>
      </c>
      <c r="B9623" s="0" t="n">
        <v>2735234</v>
      </c>
      <c r="C9623" s="0" t="n">
        <v>2735254</v>
      </c>
      <c r="D9623" s="0" t="s">
        <v>32103</v>
      </c>
      <c r="E9623" s="0" t="s">
        <v>32104</v>
      </c>
      <c r="F9623" s="0" t="s">
        <v>90</v>
      </c>
      <c r="G9623" s="0" t="s">
        <v>36</v>
      </c>
      <c r="H9623" s="0" t="n">
        <v>37</v>
      </c>
      <c r="I9623" s="0" t="s">
        <v>32108</v>
      </c>
      <c r="J9623" s="0" t="s">
        <v>32109</v>
      </c>
      <c r="K9623" s="0" t="s">
        <v>32110</v>
      </c>
      <c r="L9623" s="0" t="str">
        <f aca="false">HYPERLINK("https://www.ncbi.nlm.nih.gov/nuccore/CP000304.1?report=graph&amp;tracks=[key:gene_model_track,Options:GeneOnly]&amp;mk=2735271:2735290|offset_1|444444,2735235:2735254|offset_37|00cc00,2735214:2735233|offset_58|444444,2735187:2735206|offset_85|444444&amp;v=2735070:2735406&amp;c=444444", "offset 37")</f>
        <v>offset 37</v>
      </c>
    </row>
    <row r="9624" customFormat="false" ht="12.8" hidden="false" customHeight="false" outlineLevel="0" collapsed="false">
      <c r="A9624" s="0" t="s">
        <v>12</v>
      </c>
      <c r="B9624" s="0" t="n">
        <v>2735213</v>
      </c>
      <c r="C9624" s="0" t="n">
        <v>2735233</v>
      </c>
      <c r="D9624" s="0" t="s">
        <v>32103</v>
      </c>
      <c r="E9624" s="0" t="s">
        <v>32104</v>
      </c>
      <c r="F9624" s="0" t="s">
        <v>90</v>
      </c>
      <c r="G9624" s="0" t="s">
        <v>32</v>
      </c>
      <c r="H9624" s="0" t="n">
        <v>58</v>
      </c>
      <c r="I9624" s="0" t="s">
        <v>32111</v>
      </c>
      <c r="J9624" s="0" t="s">
        <v>32112</v>
      </c>
      <c r="K9624" s="0" t="s">
        <v>32113</v>
      </c>
      <c r="L9624" s="0" t="str">
        <f aca="false">HYPERLINK("https://www.ncbi.nlm.nih.gov/nuccore/CP000304.1?report=graph&amp;tracks=[key:gene_model_track,Options:GeneOnly]&amp;mk=2735271:2735290|offset_1|444444,2735235:2735254|offset_37|444444,2735214:2735233|offset_58|00cc00,2735187:2735206|offset_85|444444&amp;v=2735070:2735406&amp;c=444444", "offset 58")</f>
        <v>offset 58</v>
      </c>
    </row>
    <row r="9625" customFormat="false" ht="12.8" hidden="false" customHeight="false" outlineLevel="0" collapsed="false">
      <c r="A9625" s="0" t="s">
        <v>12</v>
      </c>
      <c r="B9625" s="0" t="n">
        <v>2735186</v>
      </c>
      <c r="C9625" s="0" t="n">
        <v>2735206</v>
      </c>
      <c r="D9625" s="0" t="s">
        <v>32103</v>
      </c>
      <c r="E9625" s="0" t="s">
        <v>32104</v>
      </c>
      <c r="F9625" s="0" t="s">
        <v>90</v>
      </c>
      <c r="G9625" s="0" t="s">
        <v>32</v>
      </c>
      <c r="H9625" s="0" t="n">
        <v>85</v>
      </c>
      <c r="I9625" s="0" t="s">
        <v>32114</v>
      </c>
      <c r="J9625" s="0" t="s">
        <v>32115</v>
      </c>
      <c r="K9625" s="0" t="s">
        <v>32116</v>
      </c>
      <c r="L9625" s="0" t="str">
        <f aca="false">HYPERLINK("https://www.ncbi.nlm.nih.gov/nuccore/CP000304.1?report=graph&amp;tracks=[key:gene_model_track,Options:GeneOnly]&amp;mk=2735271:2735290|offset_1|444444,2735235:2735254|offset_37|444444,2735214:2735233|offset_58|444444,2735187:2735206|offset_85|00cc00&amp;v=2735070:2735406&amp;c=444444", "offset 85")</f>
        <v>offset 85</v>
      </c>
    </row>
    <row r="9626" customFormat="false" ht="12.8" hidden="false" customHeight="false" outlineLevel="0" collapsed="false">
      <c r="A9626" s="0" t="s">
        <v>12</v>
      </c>
      <c r="B9626" s="0" t="n">
        <v>2737186</v>
      </c>
      <c r="C9626" s="0" t="n">
        <v>2737206</v>
      </c>
      <c r="D9626" s="0" t="s">
        <v>32117</v>
      </c>
      <c r="E9626" s="0" t="s">
        <v>89</v>
      </c>
      <c r="F9626" s="0" t="s">
        <v>90</v>
      </c>
      <c r="G9626" s="0" t="s">
        <v>36</v>
      </c>
      <c r="H9626" s="0" t="n">
        <v>0</v>
      </c>
      <c r="I9626" s="0" t="s">
        <v>32118</v>
      </c>
      <c r="J9626" s="0" t="s">
        <v>32119</v>
      </c>
      <c r="K9626" s="0" t="s">
        <v>32120</v>
      </c>
      <c r="L9626" s="0" t="str">
        <f aca="false">HYPERLINK("https://www.ncbi.nlm.nih.gov/nuccore/CP000304.1?report=graph&amp;tracks=[key:gene_model_track,Options:GeneOnly]&amp;mk=2737187:2737206|offset_0|00cc00,2737159:2737178|offset_28|444444,2737126:2737145|offset_61|444444,2737100:2737119|offset_87|444444&amp;v=2736986:2737319&amp;c=444444", "offset 0")</f>
        <v>offset 0</v>
      </c>
    </row>
    <row r="9627" customFormat="false" ht="12.8" hidden="false" customHeight="false" outlineLevel="0" collapsed="false">
      <c r="A9627" s="0" t="s">
        <v>12</v>
      </c>
      <c r="B9627" s="0" t="n">
        <v>2737158</v>
      </c>
      <c r="C9627" s="0" t="n">
        <v>2737178</v>
      </c>
      <c r="D9627" s="0" t="s">
        <v>32117</v>
      </c>
      <c r="E9627" s="0" t="s">
        <v>89</v>
      </c>
      <c r="F9627" s="0" t="s">
        <v>90</v>
      </c>
      <c r="G9627" s="0" t="s">
        <v>16</v>
      </c>
      <c r="H9627" s="0" t="n">
        <v>28</v>
      </c>
      <c r="I9627" s="0" t="s">
        <v>32121</v>
      </c>
      <c r="J9627" s="0" t="s">
        <v>32122</v>
      </c>
      <c r="K9627" s="0" t="s">
        <v>32123</v>
      </c>
      <c r="L9627" s="0" t="str">
        <f aca="false">HYPERLINK("https://www.ncbi.nlm.nih.gov/nuccore/CP000304.1?report=graph&amp;tracks=[key:gene_model_track,Options:GeneOnly]&amp;mk=2737187:2737206|offset_0|444444,2737159:2737178|offset_28|00cc00,2737126:2737145|offset_61|444444,2737100:2737119|offset_87|444444&amp;v=2736986:2737319&amp;c=444444", "offset 28")</f>
        <v>offset 28</v>
      </c>
    </row>
    <row r="9628" customFormat="false" ht="12.8" hidden="false" customHeight="false" outlineLevel="0" collapsed="false">
      <c r="A9628" s="0" t="s">
        <v>12</v>
      </c>
      <c r="B9628" s="0" t="n">
        <v>2737125</v>
      </c>
      <c r="C9628" s="0" t="n">
        <v>2737145</v>
      </c>
      <c r="D9628" s="0" t="s">
        <v>32117</v>
      </c>
      <c r="E9628" s="0" t="s">
        <v>89</v>
      </c>
      <c r="F9628" s="0" t="s">
        <v>90</v>
      </c>
      <c r="G9628" s="0" t="s">
        <v>32</v>
      </c>
      <c r="H9628" s="0" t="n">
        <v>61</v>
      </c>
      <c r="I9628" s="0" t="s">
        <v>32124</v>
      </c>
      <c r="J9628" s="0" t="s">
        <v>32125</v>
      </c>
      <c r="K9628" s="0" t="s">
        <v>32126</v>
      </c>
      <c r="L9628" s="0" t="str">
        <f aca="false">HYPERLINK("https://www.ncbi.nlm.nih.gov/nuccore/CP000304.1?report=graph&amp;tracks=[key:gene_model_track,Options:GeneOnly]&amp;mk=2737187:2737206|offset_0|444444,2737159:2737178|offset_28|444444,2737126:2737145|offset_61|00cc00,2737100:2737119|offset_87|444444&amp;v=2736986:2737319&amp;c=444444", "offset 61")</f>
        <v>offset 61</v>
      </c>
    </row>
    <row r="9629" customFormat="false" ht="12.8" hidden="false" customHeight="false" outlineLevel="0" collapsed="false">
      <c r="A9629" s="0" t="s">
        <v>12</v>
      </c>
      <c r="B9629" s="0" t="n">
        <v>2737099</v>
      </c>
      <c r="C9629" s="0" t="n">
        <v>2737119</v>
      </c>
      <c r="D9629" s="0" t="s">
        <v>32117</v>
      </c>
      <c r="E9629" s="0" t="s">
        <v>89</v>
      </c>
      <c r="F9629" s="0" t="s">
        <v>90</v>
      </c>
      <c r="G9629" s="0" t="s">
        <v>16</v>
      </c>
      <c r="H9629" s="0" t="n">
        <v>87</v>
      </c>
      <c r="I9629" s="0" t="s">
        <v>32127</v>
      </c>
      <c r="J9629" s="0" t="s">
        <v>32128</v>
      </c>
      <c r="K9629" s="0" t="s">
        <v>32129</v>
      </c>
      <c r="L9629" s="0" t="str">
        <f aca="false">HYPERLINK("https://www.ncbi.nlm.nih.gov/nuccore/CP000304.1?report=graph&amp;tracks=[key:gene_model_track,Options:GeneOnly]&amp;mk=2737187:2737206|offset_0|444444,2737159:2737178|offset_28|444444,2737126:2737145|offset_61|444444,2737100:2737119|offset_87|00cc00&amp;v=2736986:2737319&amp;c=444444", "offset 87")</f>
        <v>offset 87</v>
      </c>
    </row>
    <row r="9630" customFormat="false" ht="12.8" hidden="false" customHeight="false" outlineLevel="0" collapsed="false">
      <c r="A9630" s="0" t="s">
        <v>12</v>
      </c>
      <c r="B9630" s="0" t="n">
        <v>2739680</v>
      </c>
      <c r="C9630" s="0" t="n">
        <v>2739700</v>
      </c>
      <c r="D9630" s="0" t="s">
        <v>32130</v>
      </c>
      <c r="E9630" s="0" t="s">
        <v>89</v>
      </c>
      <c r="F9630" s="0" t="s">
        <v>90</v>
      </c>
      <c r="G9630" s="0" t="s">
        <v>16</v>
      </c>
      <c r="H9630" s="0" t="n">
        <v>0</v>
      </c>
      <c r="I9630" s="0" t="s">
        <v>32131</v>
      </c>
      <c r="J9630" s="0" t="s">
        <v>32132</v>
      </c>
      <c r="K9630" s="0" t="s">
        <v>32133</v>
      </c>
      <c r="L9630" s="0" t="str">
        <f aca="false">HYPERLINK("https://www.ncbi.nlm.nih.gov/nuccore/CP000304.1?report=graph&amp;tracks=[key:gene_model_track,Options:GeneOnly]&amp;mk=2739681:2739700|offset_0|00cc00,2739661:2739680|offset_20|444444,2739621:2739640|offset_60|444444,2739581:2739600|offset_100|444444&amp;v=2739480:2739800&amp;c=444444", "offset 0")</f>
        <v>offset 0</v>
      </c>
    </row>
    <row r="9631" customFormat="false" ht="12.8" hidden="false" customHeight="false" outlineLevel="0" collapsed="false">
      <c r="A9631" s="0" t="s">
        <v>12</v>
      </c>
      <c r="B9631" s="0" t="n">
        <v>2739660</v>
      </c>
      <c r="C9631" s="0" t="n">
        <v>2739680</v>
      </c>
      <c r="D9631" s="0" t="s">
        <v>32130</v>
      </c>
      <c r="E9631" s="0" t="s">
        <v>89</v>
      </c>
      <c r="F9631" s="0" t="s">
        <v>90</v>
      </c>
      <c r="G9631" s="0" t="s">
        <v>26</v>
      </c>
      <c r="H9631" s="0" t="n">
        <v>20</v>
      </c>
      <c r="I9631" s="0" t="s">
        <v>32134</v>
      </c>
      <c r="J9631" s="0" t="s">
        <v>32135</v>
      </c>
      <c r="K9631" s="0" t="s">
        <v>32136</v>
      </c>
      <c r="L9631" s="0" t="str">
        <f aca="false">HYPERLINK("https://www.ncbi.nlm.nih.gov/nuccore/CP000304.1?report=graph&amp;tracks=[key:gene_model_track,Options:GeneOnly]&amp;mk=2739681:2739700|offset_0|444444,2739661:2739680|offset_20|00cc00,2739621:2739640|offset_60|444444,2739581:2739600|offset_100|444444&amp;v=2739480:2739800&amp;c=444444", "offset 20")</f>
        <v>offset 20</v>
      </c>
    </row>
    <row r="9632" customFormat="false" ht="12.8" hidden="false" customHeight="false" outlineLevel="0" collapsed="false">
      <c r="A9632" s="0" t="s">
        <v>12</v>
      </c>
      <c r="B9632" s="0" t="n">
        <v>2739620</v>
      </c>
      <c r="C9632" s="0" t="n">
        <v>2739640</v>
      </c>
      <c r="D9632" s="0" t="s">
        <v>32130</v>
      </c>
      <c r="E9632" s="0" t="s">
        <v>89</v>
      </c>
      <c r="F9632" s="0" t="s">
        <v>90</v>
      </c>
      <c r="G9632" s="0" t="s">
        <v>36</v>
      </c>
      <c r="H9632" s="0" t="n">
        <v>60</v>
      </c>
      <c r="I9632" s="0" t="s">
        <v>32137</v>
      </c>
      <c r="J9632" s="0" t="s">
        <v>32138</v>
      </c>
      <c r="K9632" s="0" t="s">
        <v>32139</v>
      </c>
      <c r="L9632" s="0" t="str">
        <f aca="false">HYPERLINK("https://www.ncbi.nlm.nih.gov/nuccore/CP000304.1?report=graph&amp;tracks=[key:gene_model_track,Options:GeneOnly]&amp;mk=2739681:2739700|offset_0|444444,2739661:2739680|offset_20|444444,2739621:2739640|offset_60|00cc00,2739581:2739600|offset_100|444444&amp;v=2739480:2739800&amp;c=444444", "offset 60")</f>
        <v>offset 60</v>
      </c>
    </row>
    <row r="9633" customFormat="false" ht="12.8" hidden="false" customHeight="false" outlineLevel="0" collapsed="false">
      <c r="A9633" s="0" t="s">
        <v>12</v>
      </c>
      <c r="B9633" s="0" t="n">
        <v>2739580</v>
      </c>
      <c r="C9633" s="0" t="n">
        <v>2739600</v>
      </c>
      <c r="D9633" s="0" t="s">
        <v>32130</v>
      </c>
      <c r="E9633" s="0" t="s">
        <v>89</v>
      </c>
      <c r="F9633" s="0" t="s">
        <v>90</v>
      </c>
      <c r="G9633" s="0" t="s">
        <v>26</v>
      </c>
      <c r="H9633" s="0" t="n">
        <v>100</v>
      </c>
      <c r="I9633" s="0" t="s">
        <v>32140</v>
      </c>
      <c r="J9633" s="0" t="s">
        <v>32141</v>
      </c>
      <c r="K9633" s="0" t="s">
        <v>32142</v>
      </c>
      <c r="L9633" s="0" t="str">
        <f aca="false">HYPERLINK("https://www.ncbi.nlm.nih.gov/nuccore/CP000304.1?report=graph&amp;tracks=[key:gene_model_track,Options:GeneOnly]&amp;mk=2739681:2739700|offset_0|444444,2739661:2739680|offset_20|444444,2739621:2739640|offset_60|444444,2739581:2739600|offset_100|00cc00&amp;v=2739480:2739800&amp;c=444444", "offset 100")</f>
        <v>offset 100</v>
      </c>
    </row>
    <row r="9634" customFormat="false" ht="12.8" hidden="false" customHeight="false" outlineLevel="0" collapsed="false">
      <c r="A9634" s="0" t="s">
        <v>12</v>
      </c>
      <c r="B9634" s="0" t="n">
        <v>2740669</v>
      </c>
      <c r="C9634" s="0" t="n">
        <v>2740689</v>
      </c>
      <c r="D9634" s="0" t="s">
        <v>32143</v>
      </c>
      <c r="E9634" s="0" t="s">
        <v>89</v>
      </c>
      <c r="F9634" s="0" t="s">
        <v>90</v>
      </c>
      <c r="G9634" s="0" t="s">
        <v>16</v>
      </c>
      <c r="H9634" s="0" t="n">
        <v>56</v>
      </c>
      <c r="I9634" s="0" t="s">
        <v>32144</v>
      </c>
      <c r="J9634" s="0" t="s">
        <v>32145</v>
      </c>
      <c r="K9634" s="0" t="s">
        <v>32146</v>
      </c>
      <c r="L9634" s="0" t="str">
        <f aca="false">HYPERLINK("https://www.ncbi.nlm.nih.gov/nuccore/CP000304.1?report=graph&amp;tracks=[key:gene_model_track,Options:GeneOnly]&amp;mk=2740670:2740689|offset_56|00cc00,2740646:2740665|offset_80|444444,2740596:2740615|offset_130|444444,2740566:2740585|offset_160|444444&amp;v=2740469:2740785&amp;c=444444", "offset 56")</f>
        <v>offset 56</v>
      </c>
    </row>
    <row r="9635" customFormat="false" ht="12.8" hidden="false" customHeight="false" outlineLevel="0" collapsed="false">
      <c r="A9635" s="0" t="s">
        <v>12</v>
      </c>
      <c r="B9635" s="0" t="n">
        <v>2740645</v>
      </c>
      <c r="C9635" s="0" t="n">
        <v>2740665</v>
      </c>
      <c r="D9635" s="0" t="s">
        <v>32143</v>
      </c>
      <c r="E9635" s="0" t="s">
        <v>89</v>
      </c>
      <c r="F9635" s="0" t="s">
        <v>90</v>
      </c>
      <c r="G9635" s="0" t="s">
        <v>16</v>
      </c>
      <c r="H9635" s="0" t="n">
        <v>80</v>
      </c>
      <c r="I9635" s="0" t="s">
        <v>32147</v>
      </c>
      <c r="J9635" s="0" t="s">
        <v>32148</v>
      </c>
      <c r="K9635" s="0" t="s">
        <v>32149</v>
      </c>
      <c r="L9635" s="0" t="str">
        <f aca="false">HYPERLINK("https://www.ncbi.nlm.nih.gov/nuccore/CP000304.1?report=graph&amp;tracks=[key:gene_model_track,Options:GeneOnly]&amp;mk=2740670:2740689|offset_56|444444,2740646:2740665|offset_80|00cc00,2740596:2740615|offset_130|444444,2740566:2740585|offset_160|444444&amp;v=2740469:2740785&amp;c=444444", "offset 80")</f>
        <v>offset 80</v>
      </c>
    </row>
    <row r="9636" customFormat="false" ht="12.8" hidden="false" customHeight="false" outlineLevel="0" collapsed="false">
      <c r="A9636" s="0" t="s">
        <v>12</v>
      </c>
      <c r="B9636" s="0" t="n">
        <v>2740595</v>
      </c>
      <c r="C9636" s="0" t="n">
        <v>2740615</v>
      </c>
      <c r="D9636" s="0" t="s">
        <v>32143</v>
      </c>
      <c r="E9636" s="0" t="s">
        <v>89</v>
      </c>
      <c r="F9636" s="0" t="s">
        <v>90</v>
      </c>
      <c r="G9636" s="0" t="s">
        <v>16</v>
      </c>
      <c r="H9636" s="0" t="n">
        <v>130</v>
      </c>
      <c r="I9636" s="0" t="s">
        <v>32150</v>
      </c>
      <c r="J9636" s="0" t="s">
        <v>32151</v>
      </c>
      <c r="K9636" s="0" t="s">
        <v>32152</v>
      </c>
      <c r="L9636" s="0" t="str">
        <f aca="false">HYPERLINK("https://www.ncbi.nlm.nih.gov/nuccore/CP000304.1?report=graph&amp;tracks=[key:gene_model_track,Options:GeneOnly]&amp;mk=2740670:2740689|offset_56|444444,2740646:2740665|offset_80|444444,2740596:2740615|offset_130|00cc00,2740566:2740585|offset_160|444444&amp;v=2740469:2740785&amp;c=444444", "offset 130")</f>
        <v>offset 130</v>
      </c>
    </row>
    <row r="9637" customFormat="false" ht="12.8" hidden="false" customHeight="false" outlineLevel="0" collapsed="false">
      <c r="A9637" s="0" t="s">
        <v>12</v>
      </c>
      <c r="B9637" s="0" t="n">
        <v>2740565</v>
      </c>
      <c r="C9637" s="0" t="n">
        <v>2740585</v>
      </c>
      <c r="D9637" s="0" t="s">
        <v>32143</v>
      </c>
      <c r="E9637" s="0" t="s">
        <v>89</v>
      </c>
      <c r="F9637" s="0" t="s">
        <v>90</v>
      </c>
      <c r="G9637" s="0" t="s">
        <v>36</v>
      </c>
      <c r="H9637" s="0" t="n">
        <v>160</v>
      </c>
      <c r="I9637" s="0" t="s">
        <v>32153</v>
      </c>
      <c r="J9637" s="0" t="s">
        <v>32154</v>
      </c>
      <c r="K9637" s="0" t="s">
        <v>32155</v>
      </c>
      <c r="L9637" s="0" t="str">
        <f aca="false">HYPERLINK("https://www.ncbi.nlm.nih.gov/nuccore/CP000304.1?report=graph&amp;tracks=[key:gene_model_track,Options:GeneOnly]&amp;mk=2740670:2740689|offset_56|444444,2740646:2740665|offset_80|444444,2740596:2740615|offset_130|444444,2740566:2740585|offset_160|00cc00&amp;v=2740469:2740785&amp;c=444444", "offset 160")</f>
        <v>offset 160</v>
      </c>
    </row>
    <row r="9638" customFormat="false" ht="12.8" hidden="false" customHeight="false" outlineLevel="0" collapsed="false">
      <c r="A9638" s="0" t="s">
        <v>12</v>
      </c>
      <c r="B9638" s="0" t="n">
        <v>2740884</v>
      </c>
      <c r="C9638" s="0" t="n">
        <v>2740904</v>
      </c>
      <c r="D9638" s="0" t="s">
        <v>32156</v>
      </c>
      <c r="E9638" s="0" t="s">
        <v>89</v>
      </c>
      <c r="F9638" s="0" t="s">
        <v>15</v>
      </c>
      <c r="G9638" s="0" t="s">
        <v>32</v>
      </c>
      <c r="H9638" s="0" t="n">
        <v>7</v>
      </c>
      <c r="I9638" s="0" t="s">
        <v>32157</v>
      </c>
      <c r="J9638" s="0" t="s">
        <v>32158</v>
      </c>
      <c r="K9638" s="0" t="s">
        <v>32159</v>
      </c>
      <c r="L9638" s="0" t="str">
        <f aca="false">HYPERLINK("https://www.ncbi.nlm.nih.gov/nuccore/CP000304.1?report=graph&amp;tracks=[key:gene_model_track,Options:GeneOnly]&amp;mk=2740885:2740904|offset_7|00cc00,2740905:2740924|offset_27|444444,2740926:2740945|offset_48|444444,2740950:2740969|offset_72|444444&amp;v=2740684:2741169&amp;c=444444", "offset 7")</f>
        <v>offset 7</v>
      </c>
    </row>
    <row r="9639" customFormat="false" ht="12.8" hidden="false" customHeight="false" outlineLevel="0" collapsed="false">
      <c r="A9639" s="0" t="s">
        <v>12</v>
      </c>
      <c r="B9639" s="0" t="n">
        <v>2740904</v>
      </c>
      <c r="C9639" s="0" t="n">
        <v>2740924</v>
      </c>
      <c r="D9639" s="0" t="s">
        <v>32156</v>
      </c>
      <c r="E9639" s="0" t="s">
        <v>89</v>
      </c>
      <c r="F9639" s="0" t="s">
        <v>15</v>
      </c>
      <c r="G9639" s="0" t="s">
        <v>36</v>
      </c>
      <c r="H9639" s="0" t="n">
        <v>27</v>
      </c>
      <c r="I9639" s="0" t="s">
        <v>32160</v>
      </c>
      <c r="J9639" s="0" t="s">
        <v>32161</v>
      </c>
      <c r="K9639" s="0" t="s">
        <v>32162</v>
      </c>
      <c r="L9639" s="0" t="str">
        <f aca="false">HYPERLINK("https://www.ncbi.nlm.nih.gov/nuccore/CP000304.1?report=graph&amp;tracks=[key:gene_model_track,Options:GeneOnly]&amp;mk=2740885:2740904|offset_7|444444,2740905:2740924|offset_27|00cc00,2740926:2740945|offset_48|444444,2740950:2740969|offset_72|444444&amp;v=2740684:2741169&amp;c=444444", "offset 27")</f>
        <v>offset 27</v>
      </c>
    </row>
    <row r="9640" customFormat="false" ht="12.8" hidden="false" customHeight="false" outlineLevel="0" collapsed="false">
      <c r="A9640" s="0" t="s">
        <v>12</v>
      </c>
      <c r="B9640" s="0" t="n">
        <v>2740925</v>
      </c>
      <c r="C9640" s="0" t="n">
        <v>2740945</v>
      </c>
      <c r="D9640" s="0" t="s">
        <v>32156</v>
      </c>
      <c r="E9640" s="0" t="s">
        <v>89</v>
      </c>
      <c r="F9640" s="0" t="s">
        <v>15</v>
      </c>
      <c r="G9640" s="0" t="s">
        <v>16</v>
      </c>
      <c r="H9640" s="0" t="n">
        <v>48</v>
      </c>
      <c r="I9640" s="0" t="s">
        <v>32163</v>
      </c>
      <c r="J9640" s="0" t="s">
        <v>32164</v>
      </c>
      <c r="K9640" s="0" t="s">
        <v>32165</v>
      </c>
      <c r="L9640" s="0" t="str">
        <f aca="false">HYPERLINK("https://www.ncbi.nlm.nih.gov/nuccore/CP000304.1?report=graph&amp;tracks=[key:gene_model_track,Options:GeneOnly]&amp;mk=2740885:2740904|offset_7|444444,2740905:2740924|offset_27|444444,2740926:2740945|offset_48|00cc00,2740950:2740969|offset_72|444444&amp;v=2740684:2741169&amp;c=444444", "offset 48")</f>
        <v>offset 48</v>
      </c>
    </row>
    <row r="9641" customFormat="false" ht="12.8" hidden="false" customHeight="false" outlineLevel="0" collapsed="false">
      <c r="A9641" s="0" t="s">
        <v>12</v>
      </c>
      <c r="B9641" s="0" t="n">
        <v>2740949</v>
      </c>
      <c r="C9641" s="0" t="n">
        <v>2740969</v>
      </c>
      <c r="D9641" s="0" t="s">
        <v>32156</v>
      </c>
      <c r="E9641" s="0" t="s">
        <v>89</v>
      </c>
      <c r="F9641" s="0" t="s">
        <v>15</v>
      </c>
      <c r="G9641" s="0" t="s">
        <v>16</v>
      </c>
      <c r="H9641" s="0" t="n">
        <v>72</v>
      </c>
      <c r="I9641" s="0" t="s">
        <v>32166</v>
      </c>
      <c r="J9641" s="0" t="s">
        <v>32167</v>
      </c>
      <c r="K9641" s="0" t="s">
        <v>32168</v>
      </c>
      <c r="L9641" s="0" t="str">
        <f aca="false">HYPERLINK("https://www.ncbi.nlm.nih.gov/nuccore/CP000304.1?report=graph&amp;tracks=[key:gene_model_track,Options:GeneOnly]&amp;mk=2740885:2740904|offset_7|444444,2740905:2740924|offset_27|444444,2740926:2740945|offset_48|444444,2740950:2740969|offset_72|00cc00&amp;v=2740684:2741169&amp;c=444444", "offset 72")</f>
        <v>offset 72</v>
      </c>
    </row>
    <row r="9642" customFormat="false" ht="12.8" hidden="false" customHeight="false" outlineLevel="0" collapsed="false">
      <c r="A9642" s="0" t="s">
        <v>12</v>
      </c>
      <c r="B9642" s="0" t="n">
        <v>2742397</v>
      </c>
      <c r="C9642" s="0" t="n">
        <v>2742417</v>
      </c>
      <c r="D9642" s="0" t="s">
        <v>32169</v>
      </c>
      <c r="E9642" s="0" t="s">
        <v>89</v>
      </c>
      <c r="F9642" s="0" t="s">
        <v>15</v>
      </c>
      <c r="G9642" s="0" t="s">
        <v>16</v>
      </c>
      <c r="H9642" s="0" t="n">
        <v>23</v>
      </c>
      <c r="I9642" s="0" t="s">
        <v>32170</v>
      </c>
      <c r="J9642" s="0" t="s">
        <v>32171</v>
      </c>
      <c r="K9642" s="0" t="s">
        <v>32172</v>
      </c>
      <c r="L9642" s="0" t="str">
        <f aca="false">HYPERLINK("https://www.ncbi.nlm.nih.gov/nuccore/CP000304.1?report=graph&amp;tracks=[key:gene_model_track,Options:GeneOnly]&amp;mk=2742398:2742417|offset_23|00cc00,2742428:2742447|offset_53|444444,2742464:2742483|offset_89|444444,2742485:2742504|offset_110|444444&amp;v=2742197:2742704&amp;c=444444", "offset 23")</f>
        <v>offset 23</v>
      </c>
    </row>
    <row r="9643" customFormat="false" ht="12.8" hidden="false" customHeight="false" outlineLevel="0" collapsed="false">
      <c r="A9643" s="0" t="s">
        <v>12</v>
      </c>
      <c r="B9643" s="0" t="n">
        <v>2742427</v>
      </c>
      <c r="C9643" s="0" t="n">
        <v>2742447</v>
      </c>
      <c r="D9643" s="0" t="s">
        <v>32169</v>
      </c>
      <c r="E9643" s="0" t="s">
        <v>89</v>
      </c>
      <c r="F9643" s="0" t="s">
        <v>15</v>
      </c>
      <c r="G9643" s="0" t="s">
        <v>26</v>
      </c>
      <c r="H9643" s="0" t="n">
        <v>53</v>
      </c>
      <c r="I9643" s="0" t="s">
        <v>32173</v>
      </c>
      <c r="J9643" s="0" t="s">
        <v>32174</v>
      </c>
      <c r="K9643" s="0" t="s">
        <v>32175</v>
      </c>
      <c r="L9643" s="0" t="str">
        <f aca="false">HYPERLINK("https://www.ncbi.nlm.nih.gov/nuccore/CP000304.1?report=graph&amp;tracks=[key:gene_model_track,Options:GeneOnly]&amp;mk=2742398:2742417|offset_23|444444,2742428:2742447|offset_53|00cc00,2742464:2742483|offset_89|444444,2742485:2742504|offset_110|444444&amp;v=2742197:2742704&amp;c=444444", "offset 53")</f>
        <v>offset 53</v>
      </c>
    </row>
    <row r="9644" customFormat="false" ht="12.8" hidden="false" customHeight="false" outlineLevel="0" collapsed="false">
      <c r="A9644" s="0" t="s">
        <v>12</v>
      </c>
      <c r="B9644" s="0" t="n">
        <v>2742463</v>
      </c>
      <c r="C9644" s="0" t="n">
        <v>2742483</v>
      </c>
      <c r="D9644" s="0" t="s">
        <v>32169</v>
      </c>
      <c r="E9644" s="0" t="s">
        <v>89</v>
      </c>
      <c r="F9644" s="0" t="s">
        <v>15</v>
      </c>
      <c r="G9644" s="0" t="s">
        <v>26</v>
      </c>
      <c r="H9644" s="0" t="n">
        <v>89</v>
      </c>
      <c r="I9644" s="0" t="s">
        <v>32176</v>
      </c>
      <c r="J9644" s="0" t="s">
        <v>32177</v>
      </c>
      <c r="K9644" s="0" t="s">
        <v>32178</v>
      </c>
      <c r="L9644" s="0" t="str">
        <f aca="false">HYPERLINK("https://www.ncbi.nlm.nih.gov/nuccore/CP000304.1?report=graph&amp;tracks=[key:gene_model_track,Options:GeneOnly]&amp;mk=2742398:2742417|offset_23|444444,2742428:2742447|offset_53|444444,2742464:2742483|offset_89|00cc00,2742485:2742504|offset_110|444444&amp;v=2742197:2742704&amp;c=444444", "offset 89")</f>
        <v>offset 89</v>
      </c>
    </row>
    <row r="9645" customFormat="false" ht="12.8" hidden="false" customHeight="false" outlineLevel="0" collapsed="false">
      <c r="A9645" s="0" t="s">
        <v>12</v>
      </c>
      <c r="B9645" s="0" t="n">
        <v>2742484</v>
      </c>
      <c r="C9645" s="0" t="n">
        <v>2742504</v>
      </c>
      <c r="D9645" s="0" t="s">
        <v>32169</v>
      </c>
      <c r="E9645" s="0" t="s">
        <v>89</v>
      </c>
      <c r="F9645" s="0" t="s">
        <v>15</v>
      </c>
      <c r="G9645" s="0" t="s">
        <v>26</v>
      </c>
      <c r="H9645" s="0" t="n">
        <v>110</v>
      </c>
      <c r="I9645" s="0" t="s">
        <v>32179</v>
      </c>
      <c r="J9645" s="0" t="s">
        <v>32180</v>
      </c>
      <c r="K9645" s="0" t="s">
        <v>32181</v>
      </c>
      <c r="L9645" s="0" t="str">
        <f aca="false">HYPERLINK("https://www.ncbi.nlm.nih.gov/nuccore/CP000304.1?report=graph&amp;tracks=[key:gene_model_track,Options:GeneOnly]&amp;mk=2742398:2742417|offset_23|444444,2742428:2742447|offset_53|444444,2742464:2742483|offset_89|444444,2742485:2742504|offset_110|00cc00&amp;v=2742197:2742704&amp;c=444444", "offset 110")</f>
        <v>offset 110</v>
      </c>
    </row>
    <row r="9646" customFormat="false" ht="12.8" hidden="false" customHeight="false" outlineLevel="0" collapsed="false">
      <c r="A9646" s="0" t="s">
        <v>12</v>
      </c>
      <c r="B9646" s="0" t="n">
        <v>2744427</v>
      </c>
      <c r="C9646" s="0" t="n">
        <v>2744447</v>
      </c>
      <c r="D9646" s="0" t="s">
        <v>32182</v>
      </c>
      <c r="E9646" s="0" t="s">
        <v>32183</v>
      </c>
      <c r="F9646" s="0" t="s">
        <v>90</v>
      </c>
      <c r="G9646" s="0" t="s">
        <v>16</v>
      </c>
      <c r="H9646" s="0" t="n">
        <v>10</v>
      </c>
      <c r="I9646" s="0" t="s">
        <v>32184</v>
      </c>
      <c r="J9646" s="0" t="s">
        <v>32185</v>
      </c>
      <c r="K9646" s="0" t="s">
        <v>32186</v>
      </c>
      <c r="L9646" s="0" t="str">
        <f aca="false">HYPERLINK("https://www.ncbi.nlm.nih.gov/nuccore/CP000304.1?report=graph&amp;tracks=[key:gene_model_track,Options:GeneOnly]&amp;mk=2744428:2744447|offset_10|00cc00,2744406:2744425|offset_32|444444,2744381:2744400|offset_57|444444,2744347:2744366|offset_91|444444&amp;v=2744227:2744566&amp;c=444444", "offset 10")</f>
        <v>offset 10</v>
      </c>
    </row>
    <row r="9647" customFormat="false" ht="12.8" hidden="false" customHeight="false" outlineLevel="0" collapsed="false">
      <c r="A9647" s="0" t="s">
        <v>12</v>
      </c>
      <c r="B9647" s="0" t="n">
        <v>2744405</v>
      </c>
      <c r="C9647" s="0" t="n">
        <v>2744425</v>
      </c>
      <c r="D9647" s="0" t="s">
        <v>32182</v>
      </c>
      <c r="E9647" s="0" t="s">
        <v>32183</v>
      </c>
      <c r="F9647" s="0" t="s">
        <v>90</v>
      </c>
      <c r="G9647" s="0" t="s">
        <v>32</v>
      </c>
      <c r="H9647" s="0" t="n">
        <v>32</v>
      </c>
      <c r="I9647" s="0" t="s">
        <v>32187</v>
      </c>
      <c r="J9647" s="0" t="s">
        <v>32188</v>
      </c>
      <c r="K9647" s="0" t="s">
        <v>32189</v>
      </c>
      <c r="L9647" s="0" t="str">
        <f aca="false">HYPERLINK("https://www.ncbi.nlm.nih.gov/nuccore/CP000304.1?report=graph&amp;tracks=[key:gene_model_track,Options:GeneOnly]&amp;mk=2744428:2744447|offset_10|444444,2744406:2744425|offset_32|00cc00,2744381:2744400|offset_57|444444,2744347:2744366|offset_91|444444&amp;v=2744227:2744566&amp;c=444444", "offset 32")</f>
        <v>offset 32</v>
      </c>
    </row>
    <row r="9648" customFormat="false" ht="12.8" hidden="false" customHeight="false" outlineLevel="0" collapsed="false">
      <c r="A9648" s="0" t="s">
        <v>12</v>
      </c>
      <c r="B9648" s="0" t="n">
        <v>2744380</v>
      </c>
      <c r="C9648" s="0" t="n">
        <v>2744400</v>
      </c>
      <c r="D9648" s="0" t="s">
        <v>32182</v>
      </c>
      <c r="E9648" s="0" t="s">
        <v>32183</v>
      </c>
      <c r="F9648" s="0" t="s">
        <v>90</v>
      </c>
      <c r="G9648" s="0" t="s">
        <v>36</v>
      </c>
      <c r="H9648" s="0" t="n">
        <v>57</v>
      </c>
      <c r="I9648" s="0" t="s">
        <v>32190</v>
      </c>
      <c r="J9648" s="0" t="s">
        <v>32191</v>
      </c>
      <c r="K9648" s="0" t="s">
        <v>32192</v>
      </c>
      <c r="L9648" s="0" t="str">
        <f aca="false">HYPERLINK("https://www.ncbi.nlm.nih.gov/nuccore/CP000304.1?report=graph&amp;tracks=[key:gene_model_track,Options:GeneOnly]&amp;mk=2744428:2744447|offset_10|444444,2744406:2744425|offset_32|444444,2744381:2744400|offset_57|00cc00,2744347:2744366|offset_91|444444&amp;v=2744227:2744566&amp;c=444444", "offset 57")</f>
        <v>offset 57</v>
      </c>
    </row>
    <row r="9649" customFormat="false" ht="12.8" hidden="false" customHeight="false" outlineLevel="0" collapsed="false">
      <c r="A9649" s="0" t="s">
        <v>12</v>
      </c>
      <c r="B9649" s="0" t="n">
        <v>2744346</v>
      </c>
      <c r="C9649" s="0" t="n">
        <v>2744366</v>
      </c>
      <c r="D9649" s="0" t="s">
        <v>32182</v>
      </c>
      <c r="E9649" s="0" t="s">
        <v>32183</v>
      </c>
      <c r="F9649" s="0" t="s">
        <v>90</v>
      </c>
      <c r="G9649" s="0" t="s">
        <v>16</v>
      </c>
      <c r="H9649" s="0" t="n">
        <v>91</v>
      </c>
      <c r="I9649" s="0" t="s">
        <v>32193</v>
      </c>
      <c r="J9649" s="0" t="s">
        <v>32194</v>
      </c>
      <c r="K9649" s="0" t="s">
        <v>32195</v>
      </c>
      <c r="L9649" s="0" t="str">
        <f aca="false">HYPERLINK("https://www.ncbi.nlm.nih.gov/nuccore/CP000304.1?report=graph&amp;tracks=[key:gene_model_track,Options:GeneOnly]&amp;mk=2744428:2744447|offset_10|444444,2744406:2744425|offset_32|444444,2744381:2744400|offset_57|444444,2744347:2744366|offset_91|00cc00&amp;v=2744227:2744566&amp;c=444444", "offset 91")</f>
        <v>offset 91</v>
      </c>
    </row>
    <row r="9650" customFormat="false" ht="12.8" hidden="false" customHeight="false" outlineLevel="0" collapsed="false">
      <c r="A9650" s="0" t="s">
        <v>12</v>
      </c>
      <c r="B9650" s="0" t="n">
        <v>2745552</v>
      </c>
      <c r="C9650" s="0" t="n">
        <v>2745572</v>
      </c>
      <c r="D9650" s="0" t="s">
        <v>32196</v>
      </c>
      <c r="E9650" s="0" t="s">
        <v>89</v>
      </c>
      <c r="F9650" s="0" t="s">
        <v>90</v>
      </c>
      <c r="G9650" s="0" t="s">
        <v>26</v>
      </c>
      <c r="H9650" s="0" t="n">
        <v>31</v>
      </c>
      <c r="I9650" s="0" t="s">
        <v>32197</v>
      </c>
      <c r="J9650" s="0" t="s">
        <v>32198</v>
      </c>
      <c r="K9650" s="0" t="s">
        <v>32199</v>
      </c>
      <c r="L9650" s="0" t="str">
        <f aca="false">HYPERLINK("https://www.ncbi.nlm.nih.gov/nuccore/CP000304.1?report=graph&amp;tracks=[key:gene_model_track,Options:GeneOnly]&amp;mk=2745553:2745572|offset_31|00cc00,2745526:2745545|offset_58|444444,2745481:2745500|offset_103|444444,2745457:2745476|offset_127|444444&amp;v=2745352:2745676&amp;c=444444", "offset 31")</f>
        <v>offset 31</v>
      </c>
    </row>
    <row r="9651" customFormat="false" ht="12.8" hidden="false" customHeight="false" outlineLevel="0" collapsed="false">
      <c r="A9651" s="0" t="s">
        <v>12</v>
      </c>
      <c r="B9651" s="0" t="n">
        <v>2745525</v>
      </c>
      <c r="C9651" s="0" t="n">
        <v>2745545</v>
      </c>
      <c r="D9651" s="0" t="s">
        <v>32196</v>
      </c>
      <c r="E9651" s="0" t="s">
        <v>89</v>
      </c>
      <c r="F9651" s="0" t="s">
        <v>90</v>
      </c>
      <c r="G9651" s="0" t="s">
        <v>16</v>
      </c>
      <c r="H9651" s="0" t="n">
        <v>58</v>
      </c>
      <c r="I9651" s="0" t="s">
        <v>32200</v>
      </c>
      <c r="J9651" s="0" t="s">
        <v>32201</v>
      </c>
      <c r="K9651" s="0" t="s">
        <v>32202</v>
      </c>
      <c r="L9651" s="0" t="str">
        <f aca="false">HYPERLINK("https://www.ncbi.nlm.nih.gov/nuccore/CP000304.1?report=graph&amp;tracks=[key:gene_model_track,Options:GeneOnly]&amp;mk=2745553:2745572|offset_31|444444,2745526:2745545|offset_58|00cc00,2745481:2745500|offset_103|444444,2745457:2745476|offset_127|444444&amp;v=2745352:2745676&amp;c=444444", "offset 58")</f>
        <v>offset 58</v>
      </c>
    </row>
    <row r="9652" customFormat="false" ht="12.8" hidden="false" customHeight="false" outlineLevel="0" collapsed="false">
      <c r="A9652" s="0" t="s">
        <v>12</v>
      </c>
      <c r="B9652" s="0" t="n">
        <v>2745480</v>
      </c>
      <c r="C9652" s="0" t="n">
        <v>2745500</v>
      </c>
      <c r="D9652" s="0" t="s">
        <v>32196</v>
      </c>
      <c r="E9652" s="0" t="s">
        <v>89</v>
      </c>
      <c r="F9652" s="0" t="s">
        <v>90</v>
      </c>
      <c r="G9652" s="0" t="s">
        <v>26</v>
      </c>
      <c r="H9652" s="0" t="n">
        <v>103</v>
      </c>
      <c r="I9652" s="0" t="s">
        <v>32203</v>
      </c>
      <c r="J9652" s="0" t="s">
        <v>32204</v>
      </c>
      <c r="K9652" s="0" t="s">
        <v>32205</v>
      </c>
      <c r="L9652" s="0" t="str">
        <f aca="false">HYPERLINK("https://www.ncbi.nlm.nih.gov/nuccore/CP000304.1?report=graph&amp;tracks=[key:gene_model_track,Options:GeneOnly]&amp;mk=2745553:2745572|offset_31|444444,2745526:2745545|offset_58|444444,2745481:2745500|offset_103|00cc00,2745457:2745476|offset_127|444444&amp;v=2745352:2745676&amp;c=444444", "offset 103")</f>
        <v>offset 103</v>
      </c>
    </row>
    <row r="9653" customFormat="false" ht="12.8" hidden="false" customHeight="false" outlineLevel="0" collapsed="false">
      <c r="A9653" s="0" t="s">
        <v>12</v>
      </c>
      <c r="B9653" s="0" t="n">
        <v>2745456</v>
      </c>
      <c r="C9653" s="0" t="n">
        <v>2745476</v>
      </c>
      <c r="D9653" s="0" t="s">
        <v>32196</v>
      </c>
      <c r="E9653" s="0" t="s">
        <v>89</v>
      </c>
      <c r="F9653" s="0" t="s">
        <v>90</v>
      </c>
      <c r="G9653" s="0" t="s">
        <v>32</v>
      </c>
      <c r="H9653" s="0" t="n">
        <v>127</v>
      </c>
      <c r="I9653" s="0" t="s">
        <v>32206</v>
      </c>
      <c r="J9653" s="0" t="s">
        <v>32207</v>
      </c>
      <c r="K9653" s="0" t="s">
        <v>32208</v>
      </c>
      <c r="L9653" s="0" t="str">
        <f aca="false">HYPERLINK("https://www.ncbi.nlm.nih.gov/nuccore/CP000304.1?report=graph&amp;tracks=[key:gene_model_track,Options:GeneOnly]&amp;mk=2745553:2745572|offset_31|444444,2745526:2745545|offset_58|444444,2745481:2745500|offset_103|444444,2745457:2745476|offset_127|00cc00&amp;v=2745352:2745676&amp;c=444444", "offset 127")</f>
        <v>offset 127</v>
      </c>
    </row>
    <row r="9654" customFormat="false" ht="12.8" hidden="false" customHeight="false" outlineLevel="0" collapsed="false">
      <c r="A9654" s="0" t="s">
        <v>12</v>
      </c>
      <c r="B9654" s="0" t="n">
        <v>2746122</v>
      </c>
      <c r="C9654" s="0" t="n">
        <v>2746142</v>
      </c>
      <c r="D9654" s="0" t="s">
        <v>32209</v>
      </c>
      <c r="E9654" s="0" t="s">
        <v>89</v>
      </c>
      <c r="F9654" s="0" t="s">
        <v>90</v>
      </c>
      <c r="G9654" s="0" t="s">
        <v>26</v>
      </c>
      <c r="H9654" s="0" t="n">
        <v>27</v>
      </c>
      <c r="I9654" s="0" t="s">
        <v>32210</v>
      </c>
      <c r="J9654" s="0" t="s">
        <v>32211</v>
      </c>
      <c r="K9654" s="0" t="s">
        <v>32212</v>
      </c>
      <c r="L9654" s="0" t="str">
        <f aca="false">HYPERLINK("https://www.ncbi.nlm.nih.gov/nuccore/CP000304.1?report=graph&amp;tracks=[key:gene_model_track,Options:GeneOnly]&amp;mk=2746123:2746142|offset_27|00cc00,2746097:2746116|offset_53|444444,2746063:2746082|offset_87|444444,2746022:2746041|offset_128|444444&amp;v=2745922:2746241&amp;c=444444", "offset 27")</f>
        <v>offset 27</v>
      </c>
    </row>
    <row r="9655" customFormat="false" ht="12.8" hidden="false" customHeight="false" outlineLevel="0" collapsed="false">
      <c r="A9655" s="0" t="s">
        <v>12</v>
      </c>
      <c r="B9655" s="0" t="n">
        <v>2746096</v>
      </c>
      <c r="C9655" s="0" t="n">
        <v>2746116</v>
      </c>
      <c r="D9655" s="0" t="s">
        <v>32209</v>
      </c>
      <c r="E9655" s="0" t="s">
        <v>89</v>
      </c>
      <c r="F9655" s="0" t="s">
        <v>90</v>
      </c>
      <c r="G9655" s="0" t="s">
        <v>26</v>
      </c>
      <c r="H9655" s="0" t="n">
        <v>53</v>
      </c>
      <c r="I9655" s="0" t="s">
        <v>32213</v>
      </c>
      <c r="J9655" s="0" t="s">
        <v>32214</v>
      </c>
      <c r="K9655" s="0" t="s">
        <v>32215</v>
      </c>
      <c r="L9655" s="0" t="str">
        <f aca="false">HYPERLINK("https://www.ncbi.nlm.nih.gov/nuccore/CP000304.1?report=graph&amp;tracks=[key:gene_model_track,Options:GeneOnly]&amp;mk=2746123:2746142|offset_27|444444,2746097:2746116|offset_53|00cc00,2746063:2746082|offset_87|444444,2746022:2746041|offset_128|444444&amp;v=2745922:2746241&amp;c=444444", "offset 53")</f>
        <v>offset 53</v>
      </c>
    </row>
    <row r="9656" customFormat="false" ht="12.8" hidden="false" customHeight="false" outlineLevel="0" collapsed="false">
      <c r="A9656" s="0" t="s">
        <v>12</v>
      </c>
      <c r="B9656" s="0" t="n">
        <v>2746062</v>
      </c>
      <c r="C9656" s="0" t="n">
        <v>2746082</v>
      </c>
      <c r="D9656" s="0" t="s">
        <v>32209</v>
      </c>
      <c r="E9656" s="0" t="s">
        <v>89</v>
      </c>
      <c r="F9656" s="0" t="s">
        <v>90</v>
      </c>
      <c r="G9656" s="0" t="s">
        <v>36</v>
      </c>
      <c r="H9656" s="0" t="n">
        <v>87</v>
      </c>
      <c r="I9656" s="0" t="s">
        <v>32216</v>
      </c>
      <c r="J9656" s="0" t="s">
        <v>32217</v>
      </c>
      <c r="K9656" s="0" t="s">
        <v>32218</v>
      </c>
      <c r="L9656" s="0" t="str">
        <f aca="false">HYPERLINK("https://www.ncbi.nlm.nih.gov/nuccore/CP000304.1?report=graph&amp;tracks=[key:gene_model_track,Options:GeneOnly]&amp;mk=2746123:2746142|offset_27|444444,2746097:2746116|offset_53|444444,2746063:2746082|offset_87|00cc00,2746022:2746041|offset_128|444444&amp;v=2745922:2746241&amp;c=444444", "offset 87")</f>
        <v>offset 87</v>
      </c>
    </row>
    <row r="9657" customFormat="false" ht="12.8" hidden="false" customHeight="false" outlineLevel="0" collapsed="false">
      <c r="A9657" s="0" t="s">
        <v>12</v>
      </c>
      <c r="B9657" s="0" t="n">
        <v>2746021</v>
      </c>
      <c r="C9657" s="0" t="n">
        <v>2746041</v>
      </c>
      <c r="D9657" s="0" t="s">
        <v>32209</v>
      </c>
      <c r="E9657" s="0" t="s">
        <v>89</v>
      </c>
      <c r="F9657" s="0" t="s">
        <v>90</v>
      </c>
      <c r="G9657" s="0" t="s">
        <v>16</v>
      </c>
      <c r="H9657" s="0" t="n">
        <v>128</v>
      </c>
      <c r="I9657" s="0" t="s">
        <v>32219</v>
      </c>
      <c r="J9657" s="0" t="s">
        <v>32220</v>
      </c>
      <c r="K9657" s="0" t="s">
        <v>32221</v>
      </c>
      <c r="L9657" s="0" t="str">
        <f aca="false">HYPERLINK("https://www.ncbi.nlm.nih.gov/nuccore/CP000304.1?report=graph&amp;tracks=[key:gene_model_track,Options:GeneOnly]&amp;mk=2746123:2746142|offset_27|444444,2746097:2746116|offset_53|444444,2746063:2746082|offset_87|444444,2746022:2746041|offset_128|00cc00&amp;v=2745922:2746241&amp;c=444444", "offset 128")</f>
        <v>offset 128</v>
      </c>
    </row>
    <row r="9658" customFormat="false" ht="12.8" hidden="false" customHeight="false" outlineLevel="0" collapsed="false">
      <c r="A9658" s="0" t="s">
        <v>12</v>
      </c>
      <c r="B9658" s="0" t="n">
        <v>2746244</v>
      </c>
      <c r="C9658" s="0" t="n">
        <v>2746264</v>
      </c>
      <c r="D9658" s="0" t="s">
        <v>32222</v>
      </c>
      <c r="E9658" s="0" t="s">
        <v>89</v>
      </c>
      <c r="F9658" s="0" t="s">
        <v>15</v>
      </c>
      <c r="G9658" s="0" t="s">
        <v>32</v>
      </c>
      <c r="H9658" s="0" t="n">
        <v>15</v>
      </c>
      <c r="I9658" s="0" t="s">
        <v>32223</v>
      </c>
      <c r="J9658" s="0" t="s">
        <v>32224</v>
      </c>
      <c r="K9658" s="0" t="s">
        <v>32225</v>
      </c>
      <c r="L9658" s="0" t="str">
        <f aca="false">HYPERLINK("https://www.ncbi.nlm.nih.gov/nuccore/CP000304.1?report=graph&amp;tracks=[key:gene_model_track,Options:GeneOnly]&amp;mk=2746245:2746264|offset_15|00cc00,2746282:2746301|offset_52|444444,2746306:2746325|offset_76|444444,2746337:2746356|offset_107|444444&amp;v=2746044:2746556&amp;c=444444", "offset 15")</f>
        <v>offset 15</v>
      </c>
    </row>
    <row r="9659" customFormat="false" ht="12.8" hidden="false" customHeight="false" outlineLevel="0" collapsed="false">
      <c r="A9659" s="0" t="s">
        <v>12</v>
      </c>
      <c r="B9659" s="0" t="n">
        <v>2746281</v>
      </c>
      <c r="C9659" s="0" t="n">
        <v>2746301</v>
      </c>
      <c r="D9659" s="0" t="s">
        <v>32222</v>
      </c>
      <c r="E9659" s="0" t="s">
        <v>89</v>
      </c>
      <c r="F9659" s="0" t="s">
        <v>15</v>
      </c>
      <c r="G9659" s="0" t="s">
        <v>16</v>
      </c>
      <c r="H9659" s="0" t="n">
        <v>52</v>
      </c>
      <c r="I9659" s="0" t="s">
        <v>32226</v>
      </c>
      <c r="J9659" s="0" t="s">
        <v>32227</v>
      </c>
      <c r="K9659" s="0" t="s">
        <v>32228</v>
      </c>
      <c r="L9659" s="0" t="str">
        <f aca="false">HYPERLINK("https://www.ncbi.nlm.nih.gov/nuccore/CP000304.1?report=graph&amp;tracks=[key:gene_model_track,Options:GeneOnly]&amp;mk=2746245:2746264|offset_15|444444,2746282:2746301|offset_52|00cc00,2746306:2746325|offset_76|444444,2746337:2746356|offset_107|444444&amp;v=2746044:2746556&amp;c=444444", "offset 52")</f>
        <v>offset 52</v>
      </c>
    </row>
    <row r="9660" customFormat="false" ht="12.8" hidden="false" customHeight="false" outlineLevel="0" collapsed="false">
      <c r="A9660" s="0" t="s">
        <v>12</v>
      </c>
      <c r="B9660" s="0" t="n">
        <v>2746305</v>
      </c>
      <c r="C9660" s="0" t="n">
        <v>2746325</v>
      </c>
      <c r="D9660" s="0" t="s">
        <v>32222</v>
      </c>
      <c r="E9660" s="0" t="s">
        <v>89</v>
      </c>
      <c r="F9660" s="0" t="s">
        <v>15</v>
      </c>
      <c r="G9660" s="0" t="s">
        <v>16</v>
      </c>
      <c r="H9660" s="0" t="n">
        <v>76</v>
      </c>
      <c r="I9660" s="0" t="s">
        <v>32229</v>
      </c>
      <c r="J9660" s="0" t="s">
        <v>32230</v>
      </c>
      <c r="K9660" s="0" t="s">
        <v>32231</v>
      </c>
      <c r="L9660" s="0" t="str">
        <f aca="false">HYPERLINK("https://www.ncbi.nlm.nih.gov/nuccore/CP000304.1?report=graph&amp;tracks=[key:gene_model_track,Options:GeneOnly]&amp;mk=2746245:2746264|offset_15|444444,2746282:2746301|offset_52|444444,2746306:2746325|offset_76|00cc00,2746337:2746356|offset_107|444444&amp;v=2746044:2746556&amp;c=444444", "offset 76")</f>
        <v>offset 76</v>
      </c>
    </row>
    <row r="9661" customFormat="false" ht="12.8" hidden="false" customHeight="false" outlineLevel="0" collapsed="false">
      <c r="A9661" s="0" t="s">
        <v>12</v>
      </c>
      <c r="B9661" s="0" t="n">
        <v>2746336</v>
      </c>
      <c r="C9661" s="0" t="n">
        <v>2746356</v>
      </c>
      <c r="D9661" s="0" t="s">
        <v>32222</v>
      </c>
      <c r="E9661" s="0" t="s">
        <v>89</v>
      </c>
      <c r="F9661" s="0" t="s">
        <v>15</v>
      </c>
      <c r="G9661" s="0" t="s">
        <v>16</v>
      </c>
      <c r="H9661" s="0" t="n">
        <v>107</v>
      </c>
      <c r="I9661" s="0" t="s">
        <v>32232</v>
      </c>
      <c r="J9661" s="0" t="s">
        <v>32233</v>
      </c>
      <c r="K9661" s="0" t="s">
        <v>32234</v>
      </c>
      <c r="L9661" s="0" t="str">
        <f aca="false">HYPERLINK("https://www.ncbi.nlm.nih.gov/nuccore/CP000304.1?report=graph&amp;tracks=[key:gene_model_track,Options:GeneOnly]&amp;mk=2746245:2746264|offset_15|444444,2746282:2746301|offset_52|444444,2746306:2746325|offset_76|444444,2746337:2746356|offset_107|00cc00&amp;v=2746044:2746556&amp;c=444444", "offset 107")</f>
        <v>offset 107</v>
      </c>
    </row>
    <row r="9662" customFormat="false" ht="12.8" hidden="false" customHeight="false" outlineLevel="0" collapsed="false">
      <c r="A9662" s="0" t="s">
        <v>12</v>
      </c>
      <c r="B9662" s="0" t="n">
        <v>2747317</v>
      </c>
      <c r="C9662" s="0" t="n">
        <v>2747337</v>
      </c>
      <c r="D9662" s="0" t="s">
        <v>32235</v>
      </c>
      <c r="E9662" s="0" t="s">
        <v>89</v>
      </c>
      <c r="F9662" s="0" t="s">
        <v>15</v>
      </c>
      <c r="G9662" s="0" t="s">
        <v>16</v>
      </c>
      <c r="H9662" s="0" t="n">
        <v>0</v>
      </c>
      <c r="I9662" s="0" t="s">
        <v>32236</v>
      </c>
      <c r="J9662" s="0" t="s">
        <v>32237</v>
      </c>
      <c r="K9662" s="0" t="s">
        <v>32238</v>
      </c>
      <c r="L9662" s="0" t="str">
        <f aca="false">HYPERLINK("https://www.ncbi.nlm.nih.gov/nuccore/CP000304.1?report=graph&amp;tracks=[key:gene_model_track,Options:GeneOnly]&amp;mk=2747318:2747337|offset_0|00cc00,2747362:2747381|offset_44|444444,2747391:2747410|offset_73|444444,2747416:2747435|offset_98|444444&amp;v=2747117:2747635&amp;c=444444", "offset 0")</f>
        <v>offset 0</v>
      </c>
    </row>
    <row r="9663" customFormat="false" ht="12.8" hidden="false" customHeight="false" outlineLevel="0" collapsed="false">
      <c r="A9663" s="0" t="s">
        <v>12</v>
      </c>
      <c r="B9663" s="0" t="n">
        <v>2747361</v>
      </c>
      <c r="C9663" s="0" t="n">
        <v>2747381</v>
      </c>
      <c r="D9663" s="0" t="s">
        <v>32235</v>
      </c>
      <c r="E9663" s="0" t="s">
        <v>89</v>
      </c>
      <c r="F9663" s="0" t="s">
        <v>15</v>
      </c>
      <c r="G9663" s="0" t="s">
        <v>26</v>
      </c>
      <c r="H9663" s="0" t="n">
        <v>44</v>
      </c>
      <c r="I9663" s="0" t="s">
        <v>32239</v>
      </c>
      <c r="J9663" s="0" t="s">
        <v>32240</v>
      </c>
      <c r="K9663" s="0" t="s">
        <v>32241</v>
      </c>
      <c r="L9663" s="0" t="str">
        <f aca="false">HYPERLINK("https://www.ncbi.nlm.nih.gov/nuccore/CP000304.1?report=graph&amp;tracks=[key:gene_model_track,Options:GeneOnly]&amp;mk=2747318:2747337|offset_0|444444,2747362:2747381|offset_44|00cc00,2747391:2747410|offset_73|444444,2747416:2747435|offset_98|444444&amp;v=2747117:2747635&amp;c=444444", "offset 44")</f>
        <v>offset 44</v>
      </c>
    </row>
    <row r="9664" customFormat="false" ht="12.8" hidden="false" customHeight="false" outlineLevel="0" collapsed="false">
      <c r="A9664" s="0" t="s">
        <v>12</v>
      </c>
      <c r="B9664" s="0" t="n">
        <v>2747390</v>
      </c>
      <c r="C9664" s="0" t="n">
        <v>2747410</v>
      </c>
      <c r="D9664" s="0" t="s">
        <v>32235</v>
      </c>
      <c r="E9664" s="0" t="s">
        <v>89</v>
      </c>
      <c r="F9664" s="0" t="s">
        <v>15</v>
      </c>
      <c r="G9664" s="0" t="s">
        <v>32</v>
      </c>
      <c r="H9664" s="0" t="n">
        <v>73</v>
      </c>
      <c r="I9664" s="0" t="s">
        <v>32242</v>
      </c>
      <c r="J9664" s="0" t="s">
        <v>32243</v>
      </c>
      <c r="K9664" s="0" t="s">
        <v>32244</v>
      </c>
      <c r="L9664" s="0" t="str">
        <f aca="false">HYPERLINK("https://www.ncbi.nlm.nih.gov/nuccore/CP000304.1?report=graph&amp;tracks=[key:gene_model_track,Options:GeneOnly]&amp;mk=2747318:2747337|offset_0|444444,2747362:2747381|offset_44|444444,2747391:2747410|offset_73|00cc00,2747416:2747435|offset_98|444444&amp;v=2747117:2747635&amp;c=444444", "offset 73")</f>
        <v>offset 73</v>
      </c>
    </row>
    <row r="9665" customFormat="false" ht="12.8" hidden="false" customHeight="false" outlineLevel="0" collapsed="false">
      <c r="A9665" s="0" t="s">
        <v>12</v>
      </c>
      <c r="B9665" s="0" t="n">
        <v>2747415</v>
      </c>
      <c r="C9665" s="0" t="n">
        <v>2747435</v>
      </c>
      <c r="D9665" s="0" t="s">
        <v>32235</v>
      </c>
      <c r="E9665" s="0" t="s">
        <v>89</v>
      </c>
      <c r="F9665" s="0" t="s">
        <v>15</v>
      </c>
      <c r="G9665" s="0" t="s">
        <v>26</v>
      </c>
      <c r="H9665" s="0" t="n">
        <v>98</v>
      </c>
      <c r="I9665" s="0" t="s">
        <v>32245</v>
      </c>
      <c r="J9665" s="0" t="s">
        <v>32246</v>
      </c>
      <c r="K9665" s="0" t="s">
        <v>32247</v>
      </c>
      <c r="L9665" s="0" t="str">
        <f aca="false">HYPERLINK("https://www.ncbi.nlm.nih.gov/nuccore/CP000304.1?report=graph&amp;tracks=[key:gene_model_track,Options:GeneOnly]&amp;mk=2747318:2747337|offset_0|444444,2747362:2747381|offset_44|444444,2747391:2747410|offset_73|444444,2747416:2747435|offset_98|00cc00&amp;v=2747117:2747635&amp;c=444444", "offset 98")</f>
        <v>offset 98</v>
      </c>
    </row>
    <row r="9666" customFormat="false" ht="12.8" hidden="false" customHeight="false" outlineLevel="0" collapsed="false">
      <c r="A9666" s="0" t="s">
        <v>12</v>
      </c>
      <c r="B9666" s="0" t="n">
        <v>2748148</v>
      </c>
      <c r="C9666" s="0" t="n">
        <v>2748168</v>
      </c>
      <c r="D9666" s="0" t="s">
        <v>32248</v>
      </c>
      <c r="E9666" s="0" t="s">
        <v>89</v>
      </c>
      <c r="F9666" s="0" t="s">
        <v>15</v>
      </c>
      <c r="G9666" s="0" t="s">
        <v>36</v>
      </c>
      <c r="H9666" s="0" t="n">
        <v>19</v>
      </c>
      <c r="I9666" s="0" t="s">
        <v>32249</v>
      </c>
      <c r="J9666" s="0" t="s">
        <v>32250</v>
      </c>
      <c r="K9666" s="0" t="s">
        <v>32251</v>
      </c>
      <c r="L9666" s="0" t="str">
        <f aca="false">HYPERLINK("https://www.ncbi.nlm.nih.gov/nuccore/CP000304.1?report=graph&amp;tracks=[key:gene_model_track,Options:GeneOnly]&amp;mk=2748149:2748168|offset_19|00cc00,2748184:2748203|offset_54|444444,2748209:2748228|offset_79|444444,2748278:2748297|offset_148|444444&amp;v=2747948:2748497&amp;c=444444", "offset 19")</f>
        <v>offset 19</v>
      </c>
    </row>
    <row r="9667" customFormat="false" ht="12.8" hidden="false" customHeight="false" outlineLevel="0" collapsed="false">
      <c r="A9667" s="0" t="s">
        <v>12</v>
      </c>
      <c r="B9667" s="0" t="n">
        <v>2748183</v>
      </c>
      <c r="C9667" s="0" t="n">
        <v>2748203</v>
      </c>
      <c r="D9667" s="0" t="s">
        <v>32248</v>
      </c>
      <c r="E9667" s="0" t="s">
        <v>89</v>
      </c>
      <c r="F9667" s="0" t="s">
        <v>15</v>
      </c>
      <c r="G9667" s="0" t="s">
        <v>16</v>
      </c>
      <c r="H9667" s="0" t="n">
        <v>54</v>
      </c>
      <c r="I9667" s="0" t="s">
        <v>32252</v>
      </c>
      <c r="J9667" s="0" t="s">
        <v>32253</v>
      </c>
      <c r="K9667" s="0" t="s">
        <v>32254</v>
      </c>
      <c r="L9667" s="0" t="str">
        <f aca="false">HYPERLINK("https://www.ncbi.nlm.nih.gov/nuccore/CP000304.1?report=graph&amp;tracks=[key:gene_model_track,Options:GeneOnly]&amp;mk=2748149:2748168|offset_19|444444,2748184:2748203|offset_54|00cc00,2748209:2748228|offset_79|444444,2748278:2748297|offset_148|444444&amp;v=2747948:2748497&amp;c=444444", "offset 54")</f>
        <v>offset 54</v>
      </c>
    </row>
    <row r="9668" customFormat="false" ht="12.8" hidden="false" customHeight="false" outlineLevel="0" collapsed="false">
      <c r="A9668" s="0" t="s">
        <v>12</v>
      </c>
      <c r="B9668" s="0" t="n">
        <v>2748208</v>
      </c>
      <c r="C9668" s="0" t="n">
        <v>2748228</v>
      </c>
      <c r="D9668" s="0" t="s">
        <v>32248</v>
      </c>
      <c r="E9668" s="0" t="s">
        <v>89</v>
      </c>
      <c r="F9668" s="0" t="s">
        <v>15</v>
      </c>
      <c r="G9668" s="0" t="s">
        <v>26</v>
      </c>
      <c r="H9668" s="0" t="n">
        <v>79</v>
      </c>
      <c r="I9668" s="0" t="s">
        <v>32255</v>
      </c>
      <c r="J9668" s="0" t="s">
        <v>32256</v>
      </c>
      <c r="K9668" s="0" t="s">
        <v>32257</v>
      </c>
      <c r="L9668" s="0" t="str">
        <f aca="false">HYPERLINK("https://www.ncbi.nlm.nih.gov/nuccore/CP000304.1?report=graph&amp;tracks=[key:gene_model_track,Options:GeneOnly]&amp;mk=2748149:2748168|offset_19|444444,2748184:2748203|offset_54|444444,2748209:2748228|offset_79|00cc00,2748278:2748297|offset_148|444444&amp;v=2747948:2748497&amp;c=444444", "offset 79")</f>
        <v>offset 79</v>
      </c>
    </row>
    <row r="9669" customFormat="false" ht="12.8" hidden="false" customHeight="false" outlineLevel="0" collapsed="false">
      <c r="A9669" s="0" t="s">
        <v>12</v>
      </c>
      <c r="B9669" s="0" t="n">
        <v>2748277</v>
      </c>
      <c r="C9669" s="0" t="n">
        <v>2748297</v>
      </c>
      <c r="D9669" s="0" t="s">
        <v>32248</v>
      </c>
      <c r="E9669" s="0" t="s">
        <v>89</v>
      </c>
      <c r="F9669" s="0" t="s">
        <v>15</v>
      </c>
      <c r="G9669" s="0" t="s">
        <v>16</v>
      </c>
      <c r="H9669" s="0" t="n">
        <v>148</v>
      </c>
      <c r="I9669" s="0" t="s">
        <v>32258</v>
      </c>
      <c r="J9669" s="0" t="s">
        <v>32259</v>
      </c>
      <c r="K9669" s="0" t="s">
        <v>32260</v>
      </c>
      <c r="L9669" s="0" t="str">
        <f aca="false">HYPERLINK("https://www.ncbi.nlm.nih.gov/nuccore/CP000304.1?report=graph&amp;tracks=[key:gene_model_track,Options:GeneOnly]&amp;mk=2748149:2748168|offset_19|444444,2748184:2748203|offset_54|444444,2748209:2748228|offset_79|444444,2748278:2748297|offset_148|00cc00&amp;v=2747948:2748497&amp;c=444444", "offset 148")</f>
        <v>offset 148</v>
      </c>
    </row>
    <row r="9670" customFormat="false" ht="12.8" hidden="false" customHeight="false" outlineLevel="0" collapsed="false">
      <c r="A9670" s="0" t="s">
        <v>12</v>
      </c>
      <c r="B9670" s="0" t="n">
        <v>2749771</v>
      </c>
      <c r="C9670" s="0" t="n">
        <v>2749791</v>
      </c>
      <c r="D9670" s="0" t="s">
        <v>32261</v>
      </c>
      <c r="E9670" s="0" t="s">
        <v>89</v>
      </c>
      <c r="F9670" s="0" t="s">
        <v>90</v>
      </c>
      <c r="G9670" s="0" t="s">
        <v>32</v>
      </c>
      <c r="H9670" s="0" t="n">
        <v>10</v>
      </c>
      <c r="I9670" s="0" t="s">
        <v>32262</v>
      </c>
      <c r="J9670" s="0" t="s">
        <v>32263</v>
      </c>
      <c r="K9670" s="0" t="s">
        <v>32264</v>
      </c>
      <c r="L9670" s="0" t="str">
        <f aca="false">HYPERLINK("https://www.ncbi.nlm.nih.gov/nuccore/CP000304.1?report=graph&amp;tracks=[key:gene_model_track,Options:GeneOnly]&amp;mk=2749772:2749791|offset_10|00cc00,2749751:2749770|offset_31|444444,2749721:2749740|offset_61|444444,2749700:2749719|offset_82|444444&amp;v=2749571:2749919&amp;c=444444", "offset 10")</f>
        <v>offset 10</v>
      </c>
    </row>
    <row r="9671" customFormat="false" ht="12.8" hidden="false" customHeight="false" outlineLevel="0" collapsed="false">
      <c r="A9671" s="0" t="s">
        <v>12</v>
      </c>
      <c r="B9671" s="0" t="n">
        <v>2749750</v>
      </c>
      <c r="C9671" s="0" t="n">
        <v>2749770</v>
      </c>
      <c r="D9671" s="0" t="s">
        <v>32261</v>
      </c>
      <c r="E9671" s="0" t="s">
        <v>89</v>
      </c>
      <c r="F9671" s="0" t="s">
        <v>90</v>
      </c>
      <c r="G9671" s="0" t="s">
        <v>32</v>
      </c>
      <c r="H9671" s="0" t="n">
        <v>31</v>
      </c>
      <c r="I9671" s="0" t="s">
        <v>32265</v>
      </c>
      <c r="J9671" s="0" t="s">
        <v>32266</v>
      </c>
      <c r="K9671" s="0" t="s">
        <v>32267</v>
      </c>
      <c r="L9671" s="0" t="str">
        <f aca="false">HYPERLINK("https://www.ncbi.nlm.nih.gov/nuccore/CP000304.1?report=graph&amp;tracks=[key:gene_model_track,Options:GeneOnly]&amp;mk=2749772:2749791|offset_10|444444,2749751:2749770|offset_31|00cc00,2749721:2749740|offset_61|444444,2749700:2749719|offset_82|444444&amp;v=2749571:2749919&amp;c=444444", "offset 31")</f>
        <v>offset 31</v>
      </c>
    </row>
    <row r="9672" customFormat="false" ht="12.8" hidden="false" customHeight="false" outlineLevel="0" collapsed="false">
      <c r="A9672" s="0" t="s">
        <v>12</v>
      </c>
      <c r="B9672" s="0" t="n">
        <v>2749720</v>
      </c>
      <c r="C9672" s="0" t="n">
        <v>2749740</v>
      </c>
      <c r="D9672" s="0" t="s">
        <v>32261</v>
      </c>
      <c r="E9672" s="0" t="s">
        <v>89</v>
      </c>
      <c r="F9672" s="0" t="s">
        <v>90</v>
      </c>
      <c r="G9672" s="0" t="s">
        <v>36</v>
      </c>
      <c r="H9672" s="0" t="n">
        <v>61</v>
      </c>
      <c r="I9672" s="0" t="s">
        <v>32268</v>
      </c>
      <c r="J9672" s="0" t="s">
        <v>32269</v>
      </c>
      <c r="K9672" s="0" t="s">
        <v>32270</v>
      </c>
      <c r="L9672" s="0" t="str">
        <f aca="false">HYPERLINK("https://www.ncbi.nlm.nih.gov/nuccore/CP000304.1?report=graph&amp;tracks=[key:gene_model_track,Options:GeneOnly]&amp;mk=2749772:2749791|offset_10|444444,2749751:2749770|offset_31|444444,2749721:2749740|offset_61|00cc00,2749700:2749719|offset_82|444444&amp;v=2749571:2749919&amp;c=444444", "offset 61")</f>
        <v>offset 61</v>
      </c>
    </row>
    <row r="9673" customFormat="false" ht="12.8" hidden="false" customHeight="false" outlineLevel="0" collapsed="false">
      <c r="A9673" s="0" t="s">
        <v>12</v>
      </c>
      <c r="B9673" s="0" t="n">
        <v>2749699</v>
      </c>
      <c r="C9673" s="0" t="n">
        <v>2749719</v>
      </c>
      <c r="D9673" s="0" t="s">
        <v>32261</v>
      </c>
      <c r="E9673" s="0" t="s">
        <v>89</v>
      </c>
      <c r="F9673" s="0" t="s">
        <v>90</v>
      </c>
      <c r="G9673" s="0" t="s">
        <v>32</v>
      </c>
      <c r="H9673" s="0" t="n">
        <v>82</v>
      </c>
      <c r="I9673" s="0" t="s">
        <v>32271</v>
      </c>
      <c r="J9673" s="0" t="s">
        <v>32272</v>
      </c>
      <c r="K9673" s="0" t="s">
        <v>32273</v>
      </c>
      <c r="L9673" s="0" t="str">
        <f aca="false">HYPERLINK("https://www.ncbi.nlm.nih.gov/nuccore/CP000304.1?report=graph&amp;tracks=[key:gene_model_track,Options:GeneOnly]&amp;mk=2749772:2749791|offset_10|444444,2749751:2749770|offset_31|444444,2749721:2749740|offset_61|444444,2749700:2749719|offset_82|00cc00&amp;v=2749571:2749919&amp;c=444444", "offset 82")</f>
        <v>offset 82</v>
      </c>
    </row>
    <row r="9674" customFormat="false" ht="12.8" hidden="false" customHeight="false" outlineLevel="0" collapsed="false">
      <c r="A9674" s="0" t="s">
        <v>12</v>
      </c>
      <c r="B9674" s="0" t="n">
        <v>2749991</v>
      </c>
      <c r="C9674" s="0" t="n">
        <v>2750011</v>
      </c>
      <c r="D9674" s="0" t="s">
        <v>32274</v>
      </c>
      <c r="E9674" s="0" t="s">
        <v>89</v>
      </c>
      <c r="F9674" s="0" t="s">
        <v>15</v>
      </c>
      <c r="G9674" s="0" t="s">
        <v>26</v>
      </c>
      <c r="H9674" s="0" t="n">
        <v>6</v>
      </c>
      <c r="I9674" s="0" t="s">
        <v>32275</v>
      </c>
      <c r="J9674" s="0" t="s">
        <v>32276</v>
      </c>
      <c r="K9674" s="0" t="s">
        <v>32277</v>
      </c>
      <c r="L9674" s="0" t="str">
        <f aca="false">HYPERLINK("https://www.ncbi.nlm.nih.gov/nuccore/CP000304.1?report=graph&amp;tracks=[key:gene_model_track,Options:GeneOnly]&amp;mk=2749992:2750011|offset_6|00cc00,2750012:2750031|offset_26|444444,2750081:2750100|offset_95|444444,2750102:2750121|offset_116|444444&amp;v=2749791:2750321&amp;c=444444", "offset 6")</f>
        <v>offset 6</v>
      </c>
    </row>
    <row r="9675" customFormat="false" ht="12.8" hidden="false" customHeight="false" outlineLevel="0" collapsed="false">
      <c r="A9675" s="0" t="s">
        <v>12</v>
      </c>
      <c r="B9675" s="0" t="n">
        <v>2750011</v>
      </c>
      <c r="C9675" s="0" t="n">
        <v>2750031</v>
      </c>
      <c r="D9675" s="0" t="s">
        <v>32274</v>
      </c>
      <c r="E9675" s="0" t="s">
        <v>89</v>
      </c>
      <c r="F9675" s="0" t="s">
        <v>15</v>
      </c>
      <c r="G9675" s="0" t="s">
        <v>16</v>
      </c>
      <c r="H9675" s="0" t="n">
        <v>26</v>
      </c>
      <c r="I9675" s="0" t="s">
        <v>32278</v>
      </c>
      <c r="J9675" s="0" t="s">
        <v>32279</v>
      </c>
      <c r="K9675" s="0" t="s">
        <v>32280</v>
      </c>
      <c r="L9675" s="0" t="str">
        <f aca="false">HYPERLINK("https://www.ncbi.nlm.nih.gov/nuccore/CP000304.1?report=graph&amp;tracks=[key:gene_model_track,Options:GeneOnly]&amp;mk=2749992:2750011|offset_6|444444,2750012:2750031|offset_26|00cc00,2750081:2750100|offset_95|444444,2750102:2750121|offset_116|444444&amp;v=2749791:2750321&amp;c=444444", "offset 26")</f>
        <v>offset 26</v>
      </c>
    </row>
    <row r="9676" customFormat="false" ht="12.8" hidden="false" customHeight="false" outlineLevel="0" collapsed="false">
      <c r="A9676" s="0" t="s">
        <v>12</v>
      </c>
      <c r="B9676" s="0" t="n">
        <v>2750080</v>
      </c>
      <c r="C9676" s="0" t="n">
        <v>2750100</v>
      </c>
      <c r="D9676" s="0" t="s">
        <v>32274</v>
      </c>
      <c r="E9676" s="0" t="s">
        <v>89</v>
      </c>
      <c r="F9676" s="0" t="s">
        <v>15</v>
      </c>
      <c r="G9676" s="0" t="s">
        <v>36</v>
      </c>
      <c r="H9676" s="0" t="n">
        <v>95</v>
      </c>
      <c r="I9676" s="0" t="s">
        <v>32281</v>
      </c>
      <c r="J9676" s="0" t="s">
        <v>32282</v>
      </c>
      <c r="K9676" s="0" t="s">
        <v>32283</v>
      </c>
      <c r="L9676" s="0" t="str">
        <f aca="false">HYPERLINK("https://www.ncbi.nlm.nih.gov/nuccore/CP000304.1?report=graph&amp;tracks=[key:gene_model_track,Options:GeneOnly]&amp;mk=2749992:2750011|offset_6|444444,2750012:2750031|offset_26|444444,2750081:2750100|offset_95|00cc00,2750102:2750121|offset_116|444444&amp;v=2749791:2750321&amp;c=444444", "offset 95")</f>
        <v>offset 95</v>
      </c>
    </row>
    <row r="9677" customFormat="false" ht="12.8" hidden="false" customHeight="false" outlineLevel="0" collapsed="false">
      <c r="A9677" s="0" t="s">
        <v>12</v>
      </c>
      <c r="B9677" s="0" t="n">
        <v>2750101</v>
      </c>
      <c r="C9677" s="0" t="n">
        <v>2750121</v>
      </c>
      <c r="D9677" s="0" t="s">
        <v>32274</v>
      </c>
      <c r="E9677" s="0" t="s">
        <v>89</v>
      </c>
      <c r="F9677" s="0" t="s">
        <v>15</v>
      </c>
      <c r="G9677" s="0" t="s">
        <v>26</v>
      </c>
      <c r="H9677" s="0" t="n">
        <v>116</v>
      </c>
      <c r="I9677" s="0" t="s">
        <v>32284</v>
      </c>
      <c r="J9677" s="0" t="s">
        <v>32285</v>
      </c>
      <c r="K9677" s="0" t="s">
        <v>32286</v>
      </c>
      <c r="L9677" s="0" t="str">
        <f aca="false">HYPERLINK("https://www.ncbi.nlm.nih.gov/nuccore/CP000304.1?report=graph&amp;tracks=[key:gene_model_track,Options:GeneOnly]&amp;mk=2749992:2750011|offset_6|444444,2750012:2750031|offset_26|444444,2750081:2750100|offset_95|444444,2750102:2750121|offset_116|00cc00&amp;v=2749791:2750321&amp;c=444444", "offset 116")</f>
        <v>offset 116</v>
      </c>
    </row>
    <row r="9678" customFormat="false" ht="12.8" hidden="false" customHeight="false" outlineLevel="0" collapsed="false">
      <c r="A9678" s="0" t="s">
        <v>12</v>
      </c>
      <c r="B9678" s="0" t="n">
        <v>2751182</v>
      </c>
      <c r="C9678" s="0" t="n">
        <v>2751202</v>
      </c>
      <c r="D9678" s="0" t="s">
        <v>32287</v>
      </c>
      <c r="E9678" s="0" t="s">
        <v>89</v>
      </c>
      <c r="F9678" s="0" t="s">
        <v>15</v>
      </c>
      <c r="G9678" s="0" t="s">
        <v>26</v>
      </c>
      <c r="H9678" s="0" t="n">
        <v>8</v>
      </c>
      <c r="I9678" s="0" t="s">
        <v>32288</v>
      </c>
      <c r="J9678" s="0" t="s">
        <v>32289</v>
      </c>
      <c r="K9678" s="0" t="s">
        <v>32290</v>
      </c>
      <c r="L9678" s="0" t="str">
        <f aca="false">HYPERLINK("https://www.ncbi.nlm.nih.gov/nuccore/CP000304.1?report=graph&amp;tracks=[key:gene_model_track,Options:GeneOnly]&amp;mk=2751183:2751202|offset_8|00cc00,2751203:2751222|offset_28|444444,2751228:2751247|offset_53|444444,2751263:2751282|offset_88|444444&amp;v=2750982:2751482&amp;c=444444", "offset 8")</f>
        <v>offset 8</v>
      </c>
    </row>
    <row r="9679" customFormat="false" ht="12.8" hidden="false" customHeight="false" outlineLevel="0" collapsed="false">
      <c r="A9679" s="0" t="s">
        <v>12</v>
      </c>
      <c r="B9679" s="0" t="n">
        <v>2751202</v>
      </c>
      <c r="C9679" s="0" t="n">
        <v>2751222</v>
      </c>
      <c r="D9679" s="0" t="s">
        <v>32287</v>
      </c>
      <c r="E9679" s="0" t="s">
        <v>89</v>
      </c>
      <c r="F9679" s="0" t="s">
        <v>15</v>
      </c>
      <c r="G9679" s="0" t="s">
        <v>16</v>
      </c>
      <c r="H9679" s="0" t="n">
        <v>28</v>
      </c>
      <c r="I9679" s="0" t="s">
        <v>32291</v>
      </c>
      <c r="J9679" s="0" t="s">
        <v>32292</v>
      </c>
      <c r="K9679" s="0" t="s">
        <v>32293</v>
      </c>
      <c r="L9679" s="0" t="str">
        <f aca="false">HYPERLINK("https://www.ncbi.nlm.nih.gov/nuccore/CP000304.1?report=graph&amp;tracks=[key:gene_model_track,Options:GeneOnly]&amp;mk=2751183:2751202|offset_8|444444,2751203:2751222|offset_28|00cc00,2751228:2751247|offset_53|444444,2751263:2751282|offset_88|444444&amp;v=2750982:2751482&amp;c=444444", "offset 28")</f>
        <v>offset 28</v>
      </c>
    </row>
    <row r="9680" customFormat="false" ht="12.8" hidden="false" customHeight="false" outlineLevel="0" collapsed="false">
      <c r="A9680" s="0" t="s">
        <v>12</v>
      </c>
      <c r="B9680" s="0" t="n">
        <v>2751227</v>
      </c>
      <c r="C9680" s="0" t="n">
        <v>2751247</v>
      </c>
      <c r="D9680" s="0" t="s">
        <v>32287</v>
      </c>
      <c r="E9680" s="0" t="s">
        <v>89</v>
      </c>
      <c r="F9680" s="0" t="s">
        <v>15</v>
      </c>
      <c r="G9680" s="0" t="s">
        <v>26</v>
      </c>
      <c r="H9680" s="0" t="n">
        <v>53</v>
      </c>
      <c r="I9680" s="0" t="s">
        <v>32294</v>
      </c>
      <c r="J9680" s="0" t="s">
        <v>32295</v>
      </c>
      <c r="K9680" s="0" t="s">
        <v>32296</v>
      </c>
      <c r="L9680" s="0" t="str">
        <f aca="false">HYPERLINK("https://www.ncbi.nlm.nih.gov/nuccore/CP000304.1?report=graph&amp;tracks=[key:gene_model_track,Options:GeneOnly]&amp;mk=2751183:2751202|offset_8|444444,2751203:2751222|offset_28|444444,2751228:2751247|offset_53|00cc00,2751263:2751282|offset_88|444444&amp;v=2750982:2751482&amp;c=444444", "offset 53")</f>
        <v>offset 53</v>
      </c>
    </row>
    <row r="9681" customFormat="false" ht="12.8" hidden="false" customHeight="false" outlineLevel="0" collapsed="false">
      <c r="A9681" s="0" t="s">
        <v>12</v>
      </c>
      <c r="B9681" s="0" t="n">
        <v>2751262</v>
      </c>
      <c r="C9681" s="0" t="n">
        <v>2751282</v>
      </c>
      <c r="D9681" s="0" t="s">
        <v>32287</v>
      </c>
      <c r="E9681" s="0" t="s">
        <v>89</v>
      </c>
      <c r="F9681" s="0" t="s">
        <v>15</v>
      </c>
      <c r="G9681" s="0" t="s">
        <v>26</v>
      </c>
      <c r="H9681" s="0" t="n">
        <v>88</v>
      </c>
      <c r="I9681" s="0" t="s">
        <v>32297</v>
      </c>
      <c r="J9681" s="0" t="s">
        <v>32298</v>
      </c>
      <c r="K9681" s="0" t="s">
        <v>32299</v>
      </c>
      <c r="L9681" s="0" t="str">
        <f aca="false">HYPERLINK("https://www.ncbi.nlm.nih.gov/nuccore/CP000304.1?report=graph&amp;tracks=[key:gene_model_track,Options:GeneOnly]&amp;mk=2751183:2751202|offset_8|444444,2751203:2751222|offset_28|444444,2751228:2751247|offset_53|444444,2751263:2751282|offset_88|00cc00&amp;v=2750982:2751482&amp;c=444444", "offset 88")</f>
        <v>offset 88</v>
      </c>
    </row>
    <row r="9682" customFormat="false" ht="12.8" hidden="false" customHeight="false" outlineLevel="0" collapsed="false">
      <c r="A9682" s="0" t="s">
        <v>12</v>
      </c>
      <c r="B9682" s="0" t="n">
        <v>2752405</v>
      </c>
      <c r="C9682" s="0" t="n">
        <v>2752425</v>
      </c>
      <c r="D9682" s="0" t="s">
        <v>32300</v>
      </c>
      <c r="E9682" s="0" t="s">
        <v>89</v>
      </c>
      <c r="F9682" s="0" t="s">
        <v>15</v>
      </c>
      <c r="G9682" s="0" t="s">
        <v>32</v>
      </c>
      <c r="H9682" s="0" t="n">
        <v>18</v>
      </c>
      <c r="I9682" s="0" t="s">
        <v>32301</v>
      </c>
      <c r="J9682" s="0" t="s">
        <v>32302</v>
      </c>
      <c r="K9682" s="0" t="s">
        <v>32303</v>
      </c>
      <c r="L9682" s="0" t="str">
        <f aca="false">HYPERLINK("https://www.ncbi.nlm.nih.gov/nuccore/CP000304.1?report=graph&amp;tracks=[key:gene_model_track,Options:GeneOnly]&amp;mk=2752406:2752425|offset_18|00cc00,2752435:2752454|offset_47|444444,2752455:2752474|offset_67|444444,2752482:2752501|offset_94|444444&amp;v=2752205:2752701&amp;c=444444", "offset 18")</f>
        <v>offset 18</v>
      </c>
    </row>
    <row r="9683" customFormat="false" ht="12.8" hidden="false" customHeight="false" outlineLevel="0" collapsed="false">
      <c r="A9683" s="0" t="s">
        <v>12</v>
      </c>
      <c r="B9683" s="0" t="n">
        <v>2752434</v>
      </c>
      <c r="C9683" s="0" t="n">
        <v>2752454</v>
      </c>
      <c r="D9683" s="0" t="s">
        <v>32300</v>
      </c>
      <c r="E9683" s="0" t="s">
        <v>89</v>
      </c>
      <c r="F9683" s="0" t="s">
        <v>15</v>
      </c>
      <c r="G9683" s="0" t="s">
        <v>26</v>
      </c>
      <c r="H9683" s="0" t="n">
        <v>47</v>
      </c>
      <c r="I9683" s="0" t="s">
        <v>32304</v>
      </c>
      <c r="J9683" s="0" t="s">
        <v>32305</v>
      </c>
      <c r="K9683" s="0" t="s">
        <v>32306</v>
      </c>
      <c r="L9683" s="0" t="str">
        <f aca="false">HYPERLINK("https://www.ncbi.nlm.nih.gov/nuccore/CP000304.1?report=graph&amp;tracks=[key:gene_model_track,Options:GeneOnly]&amp;mk=2752406:2752425|offset_18|444444,2752435:2752454|offset_47|00cc00,2752455:2752474|offset_67|444444,2752482:2752501|offset_94|444444&amp;v=2752205:2752701&amp;c=444444", "offset 47")</f>
        <v>offset 47</v>
      </c>
    </row>
    <row r="9684" customFormat="false" ht="12.8" hidden="false" customHeight="false" outlineLevel="0" collapsed="false">
      <c r="A9684" s="0" t="s">
        <v>12</v>
      </c>
      <c r="B9684" s="0" t="n">
        <v>2752454</v>
      </c>
      <c r="C9684" s="0" t="n">
        <v>2752474</v>
      </c>
      <c r="D9684" s="0" t="s">
        <v>32300</v>
      </c>
      <c r="E9684" s="0" t="s">
        <v>89</v>
      </c>
      <c r="F9684" s="0" t="s">
        <v>15</v>
      </c>
      <c r="G9684" s="0" t="s">
        <v>26</v>
      </c>
      <c r="H9684" s="0" t="n">
        <v>67</v>
      </c>
      <c r="I9684" s="0" t="s">
        <v>32307</v>
      </c>
      <c r="J9684" s="0" t="s">
        <v>32308</v>
      </c>
      <c r="K9684" s="0" t="s">
        <v>32309</v>
      </c>
      <c r="L9684" s="0" t="str">
        <f aca="false">HYPERLINK("https://www.ncbi.nlm.nih.gov/nuccore/CP000304.1?report=graph&amp;tracks=[key:gene_model_track,Options:GeneOnly]&amp;mk=2752406:2752425|offset_18|444444,2752435:2752454|offset_47|444444,2752455:2752474|offset_67|00cc00,2752482:2752501|offset_94|444444&amp;v=2752205:2752701&amp;c=444444", "offset 67")</f>
        <v>offset 67</v>
      </c>
    </row>
    <row r="9685" customFormat="false" ht="12.8" hidden="false" customHeight="false" outlineLevel="0" collapsed="false">
      <c r="A9685" s="0" t="s">
        <v>12</v>
      </c>
      <c r="B9685" s="0" t="n">
        <v>2752481</v>
      </c>
      <c r="C9685" s="0" t="n">
        <v>2752501</v>
      </c>
      <c r="D9685" s="0" t="s">
        <v>32300</v>
      </c>
      <c r="E9685" s="0" t="s">
        <v>89</v>
      </c>
      <c r="F9685" s="0" t="s">
        <v>15</v>
      </c>
      <c r="G9685" s="0" t="s">
        <v>16</v>
      </c>
      <c r="H9685" s="0" t="n">
        <v>94</v>
      </c>
      <c r="I9685" s="0" t="s">
        <v>32310</v>
      </c>
      <c r="J9685" s="0" t="s">
        <v>32311</v>
      </c>
      <c r="K9685" s="0" t="s">
        <v>32312</v>
      </c>
      <c r="L9685" s="0" t="str">
        <f aca="false">HYPERLINK("https://www.ncbi.nlm.nih.gov/nuccore/CP000304.1?report=graph&amp;tracks=[key:gene_model_track,Options:GeneOnly]&amp;mk=2752406:2752425|offset_18|444444,2752435:2752454|offset_47|444444,2752455:2752474|offset_67|444444,2752482:2752501|offset_94|00cc00&amp;v=2752205:2752701&amp;c=444444", "offset 94")</f>
        <v>offset 94</v>
      </c>
    </row>
    <row r="9686" customFormat="false" ht="12.8" hidden="false" customHeight="false" outlineLevel="0" collapsed="false">
      <c r="A9686" s="0" t="s">
        <v>12</v>
      </c>
      <c r="B9686" s="0" t="n">
        <v>2753281</v>
      </c>
      <c r="C9686" s="0" t="n">
        <v>2753301</v>
      </c>
      <c r="D9686" s="0" t="s">
        <v>32313</v>
      </c>
      <c r="E9686" s="0" t="s">
        <v>89</v>
      </c>
      <c r="F9686" s="0" t="s">
        <v>15</v>
      </c>
      <c r="G9686" s="0" t="s">
        <v>32</v>
      </c>
      <c r="H9686" s="0" t="n">
        <v>1</v>
      </c>
      <c r="I9686" s="0" t="s">
        <v>32314</v>
      </c>
      <c r="J9686" s="0" t="s">
        <v>32315</v>
      </c>
      <c r="K9686" s="0" t="s">
        <v>32316</v>
      </c>
      <c r="L9686" s="0" t="str">
        <f aca="false">HYPERLINK("https://www.ncbi.nlm.nih.gov/nuccore/CP000304.1?report=graph&amp;tracks=[key:gene_model_track,Options:GeneOnly]&amp;mk=2753282:2753301|offset_1|00cc00,2753303:2753322|offset_22|444444,2753327:2753346|offset_46|444444,2753349:2753368|offset_68|444444&amp;v=2753081:2753568&amp;c=444444", "offset 1")</f>
        <v>offset 1</v>
      </c>
    </row>
    <row r="9687" customFormat="false" ht="12.8" hidden="false" customHeight="false" outlineLevel="0" collapsed="false">
      <c r="A9687" s="0" t="s">
        <v>12</v>
      </c>
      <c r="B9687" s="0" t="n">
        <v>2753302</v>
      </c>
      <c r="C9687" s="0" t="n">
        <v>2753322</v>
      </c>
      <c r="D9687" s="0" t="s">
        <v>32313</v>
      </c>
      <c r="E9687" s="0" t="s">
        <v>89</v>
      </c>
      <c r="F9687" s="0" t="s">
        <v>15</v>
      </c>
      <c r="G9687" s="0" t="s">
        <v>26</v>
      </c>
      <c r="H9687" s="0" t="n">
        <v>22</v>
      </c>
      <c r="I9687" s="0" t="s">
        <v>32317</v>
      </c>
      <c r="J9687" s="0" t="s">
        <v>32318</v>
      </c>
      <c r="K9687" s="0" t="s">
        <v>32319</v>
      </c>
      <c r="L9687" s="0" t="str">
        <f aca="false">HYPERLINK("https://www.ncbi.nlm.nih.gov/nuccore/CP000304.1?report=graph&amp;tracks=[key:gene_model_track,Options:GeneOnly]&amp;mk=2753282:2753301|offset_1|444444,2753303:2753322|offset_22|00cc00,2753327:2753346|offset_46|444444,2753349:2753368|offset_68|444444&amp;v=2753081:2753568&amp;c=444444", "offset 22")</f>
        <v>offset 22</v>
      </c>
    </row>
    <row r="9688" customFormat="false" ht="12.8" hidden="false" customHeight="false" outlineLevel="0" collapsed="false">
      <c r="A9688" s="0" t="s">
        <v>12</v>
      </c>
      <c r="B9688" s="0" t="n">
        <v>2753326</v>
      </c>
      <c r="C9688" s="0" t="n">
        <v>2753346</v>
      </c>
      <c r="D9688" s="0" t="s">
        <v>32313</v>
      </c>
      <c r="E9688" s="0" t="s">
        <v>89</v>
      </c>
      <c r="F9688" s="0" t="s">
        <v>15</v>
      </c>
      <c r="G9688" s="0" t="s">
        <v>26</v>
      </c>
      <c r="H9688" s="0" t="n">
        <v>46</v>
      </c>
      <c r="I9688" s="0" t="s">
        <v>32320</v>
      </c>
      <c r="J9688" s="0" t="s">
        <v>32321</v>
      </c>
      <c r="K9688" s="0" t="s">
        <v>32322</v>
      </c>
      <c r="L9688" s="0" t="str">
        <f aca="false">HYPERLINK("https://www.ncbi.nlm.nih.gov/nuccore/CP000304.1?report=graph&amp;tracks=[key:gene_model_track,Options:GeneOnly]&amp;mk=2753282:2753301|offset_1|444444,2753303:2753322|offset_22|444444,2753327:2753346|offset_46|00cc00,2753349:2753368|offset_68|444444&amp;v=2753081:2753568&amp;c=444444", "offset 46")</f>
        <v>offset 46</v>
      </c>
    </row>
    <row r="9689" customFormat="false" ht="12.8" hidden="false" customHeight="false" outlineLevel="0" collapsed="false">
      <c r="A9689" s="0" t="s">
        <v>12</v>
      </c>
      <c r="B9689" s="0" t="n">
        <v>2753348</v>
      </c>
      <c r="C9689" s="0" t="n">
        <v>2753368</v>
      </c>
      <c r="D9689" s="0" t="s">
        <v>32313</v>
      </c>
      <c r="E9689" s="0" t="s">
        <v>89</v>
      </c>
      <c r="F9689" s="0" t="s">
        <v>15</v>
      </c>
      <c r="G9689" s="0" t="s">
        <v>26</v>
      </c>
      <c r="H9689" s="0" t="n">
        <v>68</v>
      </c>
      <c r="I9689" s="0" t="s">
        <v>32323</v>
      </c>
      <c r="J9689" s="0" t="s">
        <v>32324</v>
      </c>
      <c r="K9689" s="0" t="s">
        <v>32325</v>
      </c>
      <c r="L9689" s="0" t="str">
        <f aca="false">HYPERLINK("https://www.ncbi.nlm.nih.gov/nuccore/CP000304.1?report=graph&amp;tracks=[key:gene_model_track,Options:GeneOnly]&amp;mk=2753282:2753301|offset_1|444444,2753303:2753322|offset_22|444444,2753327:2753346|offset_46|444444,2753349:2753368|offset_68|00cc00&amp;v=2753081:2753568&amp;c=444444", "offset 68")</f>
        <v>offset 68</v>
      </c>
    </row>
    <row r="9690" customFormat="false" ht="12.8" hidden="false" customHeight="false" outlineLevel="0" collapsed="false">
      <c r="A9690" s="0" t="s">
        <v>12</v>
      </c>
      <c r="B9690" s="0" t="n">
        <v>2754193</v>
      </c>
      <c r="C9690" s="0" t="n">
        <v>2754213</v>
      </c>
      <c r="D9690" s="0" t="s">
        <v>32326</v>
      </c>
      <c r="E9690" s="0" t="s">
        <v>89</v>
      </c>
      <c r="F9690" s="0" t="s">
        <v>15</v>
      </c>
      <c r="G9690" s="0" t="s">
        <v>36</v>
      </c>
      <c r="H9690" s="0" t="n">
        <v>25</v>
      </c>
      <c r="I9690" s="0" t="s">
        <v>32327</v>
      </c>
      <c r="J9690" s="0" t="s">
        <v>32328</v>
      </c>
      <c r="K9690" s="0" t="s">
        <v>32329</v>
      </c>
      <c r="L9690" s="0" t="str">
        <f aca="false">HYPERLINK("https://www.ncbi.nlm.nih.gov/nuccore/CP000304.1?report=graph&amp;tracks=[key:gene_model_track,Options:GeneOnly]&amp;mk=2754194:2754213|offset_25|00cc00,2754215:2754234|offset_46|444444,2754248:2754267|offset_79|444444,2754279:2754298|offset_110|444444&amp;v=2753993:2754498&amp;c=444444", "offset 25")</f>
        <v>offset 25</v>
      </c>
    </row>
    <row r="9691" customFormat="false" ht="12.8" hidden="false" customHeight="false" outlineLevel="0" collapsed="false">
      <c r="A9691" s="0" t="s">
        <v>12</v>
      </c>
      <c r="B9691" s="0" t="n">
        <v>2754214</v>
      </c>
      <c r="C9691" s="0" t="n">
        <v>2754234</v>
      </c>
      <c r="D9691" s="0" t="s">
        <v>32326</v>
      </c>
      <c r="E9691" s="0" t="s">
        <v>89</v>
      </c>
      <c r="F9691" s="0" t="s">
        <v>15</v>
      </c>
      <c r="G9691" s="0" t="s">
        <v>36</v>
      </c>
      <c r="H9691" s="0" t="n">
        <v>46</v>
      </c>
      <c r="I9691" s="0" t="s">
        <v>32330</v>
      </c>
      <c r="J9691" s="0" t="s">
        <v>32331</v>
      </c>
      <c r="K9691" s="0" t="s">
        <v>32332</v>
      </c>
      <c r="L9691" s="0" t="str">
        <f aca="false">HYPERLINK("https://www.ncbi.nlm.nih.gov/nuccore/CP000304.1?report=graph&amp;tracks=[key:gene_model_track,Options:GeneOnly]&amp;mk=2754194:2754213|offset_25|444444,2754215:2754234|offset_46|00cc00,2754248:2754267|offset_79|444444,2754279:2754298|offset_110|444444&amp;v=2753993:2754498&amp;c=444444", "offset 46")</f>
        <v>offset 46</v>
      </c>
    </row>
    <row r="9692" customFormat="false" ht="12.8" hidden="false" customHeight="false" outlineLevel="0" collapsed="false">
      <c r="A9692" s="0" t="s">
        <v>12</v>
      </c>
      <c r="B9692" s="0" t="n">
        <v>2754247</v>
      </c>
      <c r="C9692" s="0" t="n">
        <v>2754267</v>
      </c>
      <c r="D9692" s="0" t="s">
        <v>32326</v>
      </c>
      <c r="E9692" s="0" t="s">
        <v>89</v>
      </c>
      <c r="F9692" s="0" t="s">
        <v>15</v>
      </c>
      <c r="G9692" s="0" t="s">
        <v>32</v>
      </c>
      <c r="H9692" s="0" t="n">
        <v>79</v>
      </c>
      <c r="I9692" s="0" t="s">
        <v>32333</v>
      </c>
      <c r="J9692" s="0" t="s">
        <v>32334</v>
      </c>
      <c r="K9692" s="0" t="s">
        <v>32335</v>
      </c>
      <c r="L9692" s="0" t="str">
        <f aca="false">HYPERLINK("https://www.ncbi.nlm.nih.gov/nuccore/CP000304.1?report=graph&amp;tracks=[key:gene_model_track,Options:GeneOnly]&amp;mk=2754194:2754213|offset_25|444444,2754215:2754234|offset_46|444444,2754248:2754267|offset_79|00cc00,2754279:2754298|offset_110|444444&amp;v=2753993:2754498&amp;c=444444", "offset 79")</f>
        <v>offset 79</v>
      </c>
    </row>
    <row r="9693" customFormat="false" ht="12.8" hidden="false" customHeight="false" outlineLevel="0" collapsed="false">
      <c r="A9693" s="0" t="s">
        <v>12</v>
      </c>
      <c r="B9693" s="0" t="n">
        <v>2754278</v>
      </c>
      <c r="C9693" s="0" t="n">
        <v>2754298</v>
      </c>
      <c r="D9693" s="0" t="s">
        <v>32326</v>
      </c>
      <c r="E9693" s="0" t="s">
        <v>89</v>
      </c>
      <c r="F9693" s="0" t="s">
        <v>15</v>
      </c>
      <c r="G9693" s="0" t="s">
        <v>16</v>
      </c>
      <c r="H9693" s="0" t="n">
        <v>110</v>
      </c>
      <c r="I9693" s="0" t="s">
        <v>32336</v>
      </c>
      <c r="J9693" s="0" t="s">
        <v>32337</v>
      </c>
      <c r="K9693" s="0" t="s">
        <v>32338</v>
      </c>
      <c r="L9693" s="0" t="str">
        <f aca="false">HYPERLINK("https://www.ncbi.nlm.nih.gov/nuccore/CP000304.1?report=graph&amp;tracks=[key:gene_model_track,Options:GeneOnly]&amp;mk=2754194:2754213|offset_25|444444,2754215:2754234|offset_46|444444,2754248:2754267|offset_79|444444,2754279:2754298|offset_110|00cc00&amp;v=2753993:2754498&amp;c=444444", "offset 110")</f>
        <v>offset 110</v>
      </c>
    </row>
    <row r="9694" customFormat="false" ht="12.8" hidden="false" customHeight="false" outlineLevel="0" collapsed="false">
      <c r="A9694" s="0" t="s">
        <v>12</v>
      </c>
      <c r="B9694" s="0" t="n">
        <v>2755927</v>
      </c>
      <c r="C9694" s="0" t="n">
        <v>2755947</v>
      </c>
      <c r="D9694" s="0" t="s">
        <v>32339</v>
      </c>
      <c r="E9694" s="0" t="s">
        <v>89</v>
      </c>
      <c r="F9694" s="0" t="s">
        <v>15</v>
      </c>
      <c r="G9694" s="0" t="s">
        <v>26</v>
      </c>
      <c r="H9694" s="0" t="n">
        <v>14</v>
      </c>
      <c r="I9694" s="0" t="s">
        <v>32340</v>
      </c>
      <c r="J9694" s="0" t="s">
        <v>32341</v>
      </c>
      <c r="K9694" s="0" t="s">
        <v>32342</v>
      </c>
      <c r="L9694" s="0" t="str">
        <f aca="false">HYPERLINK("https://www.ncbi.nlm.nih.gov/nuccore/CP000304.1?report=graph&amp;tracks=[key:gene_model_track,Options:GeneOnly]&amp;mk=2755928:2755947|offset_14|00cc00,2755960:2755979|offset_46|444444,2755981:2756000|offset_67|444444,2756002:2756021|offset_88|444444&amp;v=2755727:2756221&amp;c=444444", "offset 14")</f>
        <v>offset 14</v>
      </c>
    </row>
    <row r="9695" customFormat="false" ht="12.8" hidden="false" customHeight="false" outlineLevel="0" collapsed="false">
      <c r="A9695" s="0" t="s">
        <v>12</v>
      </c>
      <c r="B9695" s="0" t="n">
        <v>2755959</v>
      </c>
      <c r="C9695" s="0" t="n">
        <v>2755979</v>
      </c>
      <c r="D9695" s="0" t="s">
        <v>32339</v>
      </c>
      <c r="E9695" s="0" t="s">
        <v>89</v>
      </c>
      <c r="F9695" s="0" t="s">
        <v>15</v>
      </c>
      <c r="G9695" s="0" t="s">
        <v>32</v>
      </c>
      <c r="H9695" s="0" t="n">
        <v>46</v>
      </c>
      <c r="I9695" s="0" t="s">
        <v>32343</v>
      </c>
      <c r="J9695" s="0" t="s">
        <v>32344</v>
      </c>
      <c r="K9695" s="0" t="s">
        <v>32345</v>
      </c>
      <c r="L9695" s="0" t="str">
        <f aca="false">HYPERLINK("https://www.ncbi.nlm.nih.gov/nuccore/CP000304.1?report=graph&amp;tracks=[key:gene_model_track,Options:GeneOnly]&amp;mk=2755928:2755947|offset_14|444444,2755960:2755979|offset_46|00cc00,2755981:2756000|offset_67|444444,2756002:2756021|offset_88|444444&amp;v=2755727:2756221&amp;c=444444", "offset 46")</f>
        <v>offset 46</v>
      </c>
    </row>
    <row r="9696" customFormat="false" ht="12.8" hidden="false" customHeight="false" outlineLevel="0" collapsed="false">
      <c r="A9696" s="0" t="s">
        <v>12</v>
      </c>
      <c r="B9696" s="0" t="n">
        <v>2755980</v>
      </c>
      <c r="C9696" s="0" t="n">
        <v>2756000</v>
      </c>
      <c r="D9696" s="0" t="s">
        <v>32339</v>
      </c>
      <c r="E9696" s="0" t="s">
        <v>89</v>
      </c>
      <c r="F9696" s="0" t="s">
        <v>15</v>
      </c>
      <c r="G9696" s="0" t="s">
        <v>16</v>
      </c>
      <c r="H9696" s="0" t="n">
        <v>67</v>
      </c>
      <c r="I9696" s="0" t="s">
        <v>32346</v>
      </c>
      <c r="J9696" s="0" t="s">
        <v>32347</v>
      </c>
      <c r="K9696" s="0" t="s">
        <v>32348</v>
      </c>
      <c r="L9696" s="0" t="str">
        <f aca="false">HYPERLINK("https://www.ncbi.nlm.nih.gov/nuccore/CP000304.1?report=graph&amp;tracks=[key:gene_model_track,Options:GeneOnly]&amp;mk=2755928:2755947|offset_14|444444,2755960:2755979|offset_46|444444,2755981:2756000|offset_67|00cc00,2756002:2756021|offset_88|444444&amp;v=2755727:2756221&amp;c=444444", "offset 67")</f>
        <v>offset 67</v>
      </c>
    </row>
    <row r="9697" customFormat="false" ht="12.8" hidden="false" customHeight="false" outlineLevel="0" collapsed="false">
      <c r="A9697" s="0" t="s">
        <v>12</v>
      </c>
      <c r="B9697" s="0" t="n">
        <v>2756001</v>
      </c>
      <c r="C9697" s="0" t="n">
        <v>2756021</v>
      </c>
      <c r="D9697" s="0" t="s">
        <v>32339</v>
      </c>
      <c r="E9697" s="0" t="s">
        <v>89</v>
      </c>
      <c r="F9697" s="0" t="s">
        <v>15</v>
      </c>
      <c r="G9697" s="0" t="s">
        <v>16</v>
      </c>
      <c r="H9697" s="0" t="n">
        <v>88</v>
      </c>
      <c r="I9697" s="0" t="s">
        <v>32349</v>
      </c>
      <c r="J9697" s="0" t="s">
        <v>32350</v>
      </c>
      <c r="K9697" s="0" t="s">
        <v>32351</v>
      </c>
      <c r="L9697" s="0" t="str">
        <f aca="false">HYPERLINK("https://www.ncbi.nlm.nih.gov/nuccore/CP000304.1?report=graph&amp;tracks=[key:gene_model_track,Options:GeneOnly]&amp;mk=2755928:2755947|offset_14|444444,2755960:2755979|offset_46|444444,2755981:2756000|offset_67|444444,2756002:2756021|offset_88|00cc00&amp;v=2755727:2756221&amp;c=444444", "offset 88")</f>
        <v>offset 88</v>
      </c>
    </row>
    <row r="9698" customFormat="false" ht="12.8" hidden="false" customHeight="false" outlineLevel="0" collapsed="false">
      <c r="A9698" s="0" t="s">
        <v>12</v>
      </c>
      <c r="B9698" s="0" t="n">
        <v>2757722</v>
      </c>
      <c r="C9698" s="0" t="n">
        <v>2757742</v>
      </c>
      <c r="D9698" s="0" t="s">
        <v>32352</v>
      </c>
      <c r="E9698" s="0" t="s">
        <v>89</v>
      </c>
      <c r="F9698" s="0" t="s">
        <v>15</v>
      </c>
      <c r="G9698" s="0" t="s">
        <v>36</v>
      </c>
      <c r="H9698" s="0" t="n">
        <v>34</v>
      </c>
      <c r="I9698" s="0" t="s">
        <v>32353</v>
      </c>
      <c r="J9698" s="0" t="s">
        <v>32354</v>
      </c>
      <c r="K9698" s="0" t="s">
        <v>32355</v>
      </c>
      <c r="L9698" s="0" t="str">
        <f aca="false">HYPERLINK("https://www.ncbi.nlm.nih.gov/nuccore/CP000304.1?report=graph&amp;tracks=[key:gene_model_track,Options:GeneOnly]&amp;mk=2757723:2757742|offset_34|00cc00,2757746:2757765|offset_57|444444,2757799:2757818|offset_110|444444,2757826:2757845|offset_137|444444&amp;v=2757522:2758045&amp;c=444444", "offset 34")</f>
        <v>offset 34</v>
      </c>
    </row>
    <row r="9699" customFormat="false" ht="12.8" hidden="false" customHeight="false" outlineLevel="0" collapsed="false">
      <c r="A9699" s="0" t="s">
        <v>12</v>
      </c>
      <c r="B9699" s="0" t="n">
        <v>2757745</v>
      </c>
      <c r="C9699" s="0" t="n">
        <v>2757765</v>
      </c>
      <c r="D9699" s="0" t="s">
        <v>32352</v>
      </c>
      <c r="E9699" s="0" t="s">
        <v>89</v>
      </c>
      <c r="F9699" s="0" t="s">
        <v>15</v>
      </c>
      <c r="G9699" s="0" t="s">
        <v>16</v>
      </c>
      <c r="H9699" s="0" t="n">
        <v>57</v>
      </c>
      <c r="I9699" s="0" t="s">
        <v>32356</v>
      </c>
      <c r="J9699" s="0" t="s">
        <v>32357</v>
      </c>
      <c r="K9699" s="0" t="s">
        <v>32358</v>
      </c>
      <c r="L9699" s="0" t="str">
        <f aca="false">HYPERLINK("https://www.ncbi.nlm.nih.gov/nuccore/CP000304.1?report=graph&amp;tracks=[key:gene_model_track,Options:GeneOnly]&amp;mk=2757723:2757742|offset_34|444444,2757746:2757765|offset_57|00cc00,2757799:2757818|offset_110|444444,2757826:2757845|offset_137|444444&amp;v=2757522:2758045&amp;c=444444", "offset 57")</f>
        <v>offset 57</v>
      </c>
    </row>
    <row r="9700" customFormat="false" ht="12.8" hidden="false" customHeight="false" outlineLevel="0" collapsed="false">
      <c r="A9700" s="0" t="s">
        <v>12</v>
      </c>
      <c r="B9700" s="0" t="n">
        <v>2757798</v>
      </c>
      <c r="C9700" s="0" t="n">
        <v>2757818</v>
      </c>
      <c r="D9700" s="0" t="s">
        <v>32352</v>
      </c>
      <c r="E9700" s="0" t="s">
        <v>89</v>
      </c>
      <c r="F9700" s="0" t="s">
        <v>15</v>
      </c>
      <c r="G9700" s="0" t="s">
        <v>16</v>
      </c>
      <c r="H9700" s="0" t="n">
        <v>110</v>
      </c>
      <c r="I9700" s="0" t="s">
        <v>32359</v>
      </c>
      <c r="J9700" s="0" t="s">
        <v>32360</v>
      </c>
      <c r="K9700" s="0" t="s">
        <v>32361</v>
      </c>
      <c r="L9700" s="0" t="str">
        <f aca="false">HYPERLINK("https://www.ncbi.nlm.nih.gov/nuccore/CP000304.1?report=graph&amp;tracks=[key:gene_model_track,Options:GeneOnly]&amp;mk=2757723:2757742|offset_34|444444,2757746:2757765|offset_57|444444,2757799:2757818|offset_110|00cc00,2757826:2757845|offset_137|444444&amp;v=2757522:2758045&amp;c=444444", "offset 110")</f>
        <v>offset 110</v>
      </c>
    </row>
    <row r="9701" customFormat="false" ht="12.8" hidden="false" customHeight="false" outlineLevel="0" collapsed="false">
      <c r="A9701" s="0" t="s">
        <v>12</v>
      </c>
      <c r="B9701" s="0" t="n">
        <v>2757825</v>
      </c>
      <c r="C9701" s="0" t="n">
        <v>2757845</v>
      </c>
      <c r="D9701" s="0" t="s">
        <v>32352</v>
      </c>
      <c r="E9701" s="0" t="s">
        <v>89</v>
      </c>
      <c r="F9701" s="0" t="s">
        <v>15</v>
      </c>
      <c r="G9701" s="0" t="s">
        <v>32</v>
      </c>
      <c r="H9701" s="0" t="n">
        <v>137</v>
      </c>
      <c r="I9701" s="0" t="s">
        <v>32362</v>
      </c>
      <c r="J9701" s="0" t="s">
        <v>32363</v>
      </c>
      <c r="K9701" s="0" t="s">
        <v>32364</v>
      </c>
      <c r="L9701" s="0" t="str">
        <f aca="false">HYPERLINK("https://www.ncbi.nlm.nih.gov/nuccore/CP000304.1?report=graph&amp;tracks=[key:gene_model_track,Options:GeneOnly]&amp;mk=2757723:2757742|offset_34|444444,2757746:2757765|offset_57|444444,2757799:2757818|offset_110|444444,2757826:2757845|offset_137|00cc00&amp;v=2757522:2758045&amp;c=444444", "offset 137")</f>
        <v>offset 137</v>
      </c>
    </row>
    <row r="9702" customFormat="false" ht="12.8" hidden="false" customHeight="false" outlineLevel="0" collapsed="false">
      <c r="A9702" s="0" t="s">
        <v>12</v>
      </c>
      <c r="B9702" s="0" t="n">
        <v>2758720</v>
      </c>
      <c r="C9702" s="0" t="n">
        <v>2758740</v>
      </c>
      <c r="D9702" s="0" t="s">
        <v>32365</v>
      </c>
      <c r="E9702" s="0" t="s">
        <v>89</v>
      </c>
      <c r="F9702" s="0" t="s">
        <v>90</v>
      </c>
      <c r="G9702" s="0" t="s">
        <v>16</v>
      </c>
      <c r="H9702" s="0" t="n">
        <v>25</v>
      </c>
      <c r="I9702" s="0" t="s">
        <v>32366</v>
      </c>
      <c r="J9702" s="0" t="s">
        <v>32367</v>
      </c>
      <c r="K9702" s="0" t="s">
        <v>32368</v>
      </c>
      <c r="L9702" s="0" t="str">
        <f aca="false">HYPERLINK("https://www.ncbi.nlm.nih.gov/nuccore/CP000304.1?report=graph&amp;tracks=[key:gene_model_track,Options:GeneOnly]&amp;mk=2758721:2758740|offset_25|00cc00,2758690:2758709|offset_56|444444,2758667:2758686|offset_79|444444,2758640:2758659|offset_106|444444&amp;v=2758520:2758859&amp;c=444444", "offset 25")</f>
        <v>offset 25</v>
      </c>
    </row>
    <row r="9703" customFormat="false" ht="12.8" hidden="false" customHeight="false" outlineLevel="0" collapsed="false">
      <c r="A9703" s="0" t="s">
        <v>12</v>
      </c>
      <c r="B9703" s="0" t="n">
        <v>2758689</v>
      </c>
      <c r="C9703" s="0" t="n">
        <v>2758709</v>
      </c>
      <c r="D9703" s="0" t="s">
        <v>32365</v>
      </c>
      <c r="E9703" s="0" t="s">
        <v>89</v>
      </c>
      <c r="F9703" s="0" t="s">
        <v>90</v>
      </c>
      <c r="G9703" s="0" t="s">
        <v>26</v>
      </c>
      <c r="H9703" s="0" t="n">
        <v>56</v>
      </c>
      <c r="I9703" s="0" t="s">
        <v>32369</v>
      </c>
      <c r="J9703" s="0" t="s">
        <v>32370</v>
      </c>
      <c r="K9703" s="0" t="s">
        <v>32371</v>
      </c>
      <c r="L9703" s="0" t="str">
        <f aca="false">HYPERLINK("https://www.ncbi.nlm.nih.gov/nuccore/CP000304.1?report=graph&amp;tracks=[key:gene_model_track,Options:GeneOnly]&amp;mk=2758721:2758740|offset_25|444444,2758690:2758709|offset_56|00cc00,2758667:2758686|offset_79|444444,2758640:2758659|offset_106|444444&amp;v=2758520:2758859&amp;c=444444", "offset 56")</f>
        <v>offset 56</v>
      </c>
    </row>
    <row r="9704" customFormat="false" ht="12.8" hidden="false" customHeight="false" outlineLevel="0" collapsed="false">
      <c r="A9704" s="0" t="s">
        <v>12</v>
      </c>
      <c r="B9704" s="0" t="n">
        <v>2758666</v>
      </c>
      <c r="C9704" s="0" t="n">
        <v>2758686</v>
      </c>
      <c r="D9704" s="0" t="s">
        <v>32365</v>
      </c>
      <c r="E9704" s="0" t="s">
        <v>89</v>
      </c>
      <c r="F9704" s="0" t="s">
        <v>90</v>
      </c>
      <c r="G9704" s="0" t="s">
        <v>32</v>
      </c>
      <c r="H9704" s="0" t="n">
        <v>79</v>
      </c>
      <c r="I9704" s="0" t="s">
        <v>32372</v>
      </c>
      <c r="J9704" s="0" t="s">
        <v>32373</v>
      </c>
      <c r="K9704" s="0" t="s">
        <v>32374</v>
      </c>
      <c r="L9704" s="0" t="str">
        <f aca="false">HYPERLINK("https://www.ncbi.nlm.nih.gov/nuccore/CP000304.1?report=graph&amp;tracks=[key:gene_model_track,Options:GeneOnly]&amp;mk=2758721:2758740|offset_25|444444,2758690:2758709|offset_56|444444,2758667:2758686|offset_79|00cc00,2758640:2758659|offset_106|444444&amp;v=2758520:2758859&amp;c=444444", "offset 79")</f>
        <v>offset 79</v>
      </c>
    </row>
    <row r="9705" customFormat="false" ht="12.8" hidden="false" customHeight="false" outlineLevel="0" collapsed="false">
      <c r="A9705" s="0" t="s">
        <v>12</v>
      </c>
      <c r="B9705" s="0" t="n">
        <v>2758639</v>
      </c>
      <c r="C9705" s="0" t="n">
        <v>2758659</v>
      </c>
      <c r="D9705" s="0" t="s">
        <v>32365</v>
      </c>
      <c r="E9705" s="0" t="s">
        <v>89</v>
      </c>
      <c r="F9705" s="0" t="s">
        <v>90</v>
      </c>
      <c r="G9705" s="0" t="s">
        <v>16</v>
      </c>
      <c r="H9705" s="0" t="n">
        <v>106</v>
      </c>
      <c r="I9705" s="0" t="s">
        <v>32375</v>
      </c>
      <c r="J9705" s="0" t="s">
        <v>32376</v>
      </c>
      <c r="K9705" s="0" t="s">
        <v>32377</v>
      </c>
      <c r="L9705" s="0" t="str">
        <f aca="false">HYPERLINK("https://www.ncbi.nlm.nih.gov/nuccore/CP000304.1?report=graph&amp;tracks=[key:gene_model_track,Options:GeneOnly]&amp;mk=2758721:2758740|offset_25|444444,2758690:2758709|offset_56|444444,2758667:2758686|offset_79|444444,2758640:2758659|offset_106|00cc00&amp;v=2758520:2758859&amp;c=444444", "offset 106")</f>
        <v>offset 106</v>
      </c>
    </row>
    <row r="9706" customFormat="false" ht="12.8" hidden="false" customHeight="false" outlineLevel="0" collapsed="false">
      <c r="A9706" s="0" t="s">
        <v>12</v>
      </c>
      <c r="B9706" s="0" t="n">
        <v>2759152</v>
      </c>
      <c r="C9706" s="0" t="n">
        <v>2759172</v>
      </c>
      <c r="D9706" s="0" t="s">
        <v>32378</v>
      </c>
      <c r="E9706" s="0" t="s">
        <v>89</v>
      </c>
      <c r="F9706" s="0" t="s">
        <v>90</v>
      </c>
      <c r="G9706" s="0" t="s">
        <v>36</v>
      </c>
      <c r="H9706" s="0" t="n">
        <v>30</v>
      </c>
      <c r="I9706" s="0" t="s">
        <v>32379</v>
      </c>
      <c r="J9706" s="0" t="s">
        <v>32380</v>
      </c>
      <c r="K9706" s="0" t="s">
        <v>32381</v>
      </c>
      <c r="L9706" s="0" t="str">
        <f aca="false">HYPERLINK("https://www.ncbi.nlm.nih.gov/nuccore/CP000304.1?report=graph&amp;tracks=[key:gene_model_track,Options:GeneOnly]&amp;mk=2759153:2759172|offset_30|00cc00,2759127:2759146|offset_56|444444,2759106:2759125|offset_77|444444,2759077:2759096|offset_106|444444&amp;v=2758952:2759296&amp;c=444444", "offset 30")</f>
        <v>offset 30</v>
      </c>
    </row>
    <row r="9707" customFormat="false" ht="12.8" hidden="false" customHeight="false" outlineLevel="0" collapsed="false">
      <c r="A9707" s="0" t="s">
        <v>12</v>
      </c>
      <c r="B9707" s="0" t="n">
        <v>2759126</v>
      </c>
      <c r="C9707" s="0" t="n">
        <v>2759146</v>
      </c>
      <c r="D9707" s="0" t="s">
        <v>32378</v>
      </c>
      <c r="E9707" s="0" t="s">
        <v>89</v>
      </c>
      <c r="F9707" s="0" t="s">
        <v>90</v>
      </c>
      <c r="G9707" s="0" t="s">
        <v>26</v>
      </c>
      <c r="H9707" s="0" t="n">
        <v>56</v>
      </c>
      <c r="I9707" s="0" t="s">
        <v>32382</v>
      </c>
      <c r="J9707" s="0" t="s">
        <v>32383</v>
      </c>
      <c r="K9707" s="0" t="s">
        <v>32384</v>
      </c>
      <c r="L9707" s="0" t="str">
        <f aca="false">HYPERLINK("https://www.ncbi.nlm.nih.gov/nuccore/CP000304.1?report=graph&amp;tracks=[key:gene_model_track,Options:GeneOnly]&amp;mk=2759153:2759172|offset_30|444444,2759127:2759146|offset_56|00cc00,2759106:2759125|offset_77|444444,2759077:2759096|offset_106|444444&amp;v=2758952:2759296&amp;c=444444", "offset 56")</f>
        <v>offset 56</v>
      </c>
    </row>
    <row r="9708" customFormat="false" ht="12.8" hidden="false" customHeight="false" outlineLevel="0" collapsed="false">
      <c r="A9708" s="0" t="s">
        <v>12</v>
      </c>
      <c r="B9708" s="0" t="n">
        <v>2759105</v>
      </c>
      <c r="C9708" s="0" t="n">
        <v>2759125</v>
      </c>
      <c r="D9708" s="0" t="s">
        <v>32378</v>
      </c>
      <c r="E9708" s="0" t="s">
        <v>89</v>
      </c>
      <c r="F9708" s="0" t="s">
        <v>90</v>
      </c>
      <c r="G9708" s="0" t="s">
        <v>26</v>
      </c>
      <c r="H9708" s="0" t="n">
        <v>77</v>
      </c>
      <c r="I9708" s="0" t="s">
        <v>32385</v>
      </c>
      <c r="J9708" s="0" t="s">
        <v>32386</v>
      </c>
      <c r="K9708" s="0" t="s">
        <v>32387</v>
      </c>
      <c r="L9708" s="0" t="str">
        <f aca="false">HYPERLINK("https://www.ncbi.nlm.nih.gov/nuccore/CP000304.1?report=graph&amp;tracks=[key:gene_model_track,Options:GeneOnly]&amp;mk=2759153:2759172|offset_30|444444,2759127:2759146|offset_56|444444,2759106:2759125|offset_77|00cc00,2759077:2759096|offset_106|444444&amp;v=2758952:2759296&amp;c=444444", "offset 77")</f>
        <v>offset 77</v>
      </c>
    </row>
    <row r="9709" customFormat="false" ht="12.8" hidden="false" customHeight="false" outlineLevel="0" collapsed="false">
      <c r="A9709" s="0" t="s">
        <v>12</v>
      </c>
      <c r="B9709" s="0" t="n">
        <v>2759076</v>
      </c>
      <c r="C9709" s="0" t="n">
        <v>2759096</v>
      </c>
      <c r="D9709" s="0" t="s">
        <v>32378</v>
      </c>
      <c r="E9709" s="0" t="s">
        <v>89</v>
      </c>
      <c r="F9709" s="0" t="s">
        <v>90</v>
      </c>
      <c r="G9709" s="0" t="s">
        <v>16</v>
      </c>
      <c r="H9709" s="0" t="n">
        <v>106</v>
      </c>
      <c r="I9709" s="0" t="s">
        <v>32388</v>
      </c>
      <c r="J9709" s="0" t="s">
        <v>32389</v>
      </c>
      <c r="K9709" s="0" t="s">
        <v>32390</v>
      </c>
      <c r="L9709" s="0" t="str">
        <f aca="false">HYPERLINK("https://www.ncbi.nlm.nih.gov/nuccore/CP000304.1?report=graph&amp;tracks=[key:gene_model_track,Options:GeneOnly]&amp;mk=2759153:2759172|offset_30|444444,2759127:2759146|offset_56|444444,2759106:2759125|offset_77|444444,2759077:2759096|offset_106|00cc00&amp;v=2758952:2759296&amp;c=444444", "offset 106")</f>
        <v>offset 106</v>
      </c>
    </row>
    <row r="9710" customFormat="false" ht="12.8" hidden="false" customHeight="false" outlineLevel="0" collapsed="false">
      <c r="A9710" s="0" t="s">
        <v>12</v>
      </c>
      <c r="B9710" s="0" t="n">
        <v>2759487</v>
      </c>
      <c r="C9710" s="0" t="n">
        <v>2759507</v>
      </c>
      <c r="D9710" s="0" t="s">
        <v>32391</v>
      </c>
      <c r="E9710" s="0" t="s">
        <v>89</v>
      </c>
      <c r="F9710" s="0" t="s">
        <v>90</v>
      </c>
      <c r="G9710" s="0" t="s">
        <v>36</v>
      </c>
      <c r="H9710" s="0" t="n">
        <v>9</v>
      </c>
      <c r="I9710" s="0" t="s">
        <v>32392</v>
      </c>
      <c r="J9710" s="0" t="s">
        <v>32393</v>
      </c>
      <c r="K9710" s="0" t="s">
        <v>32394</v>
      </c>
      <c r="L9710" s="0" t="str">
        <f aca="false">HYPERLINK("https://www.ncbi.nlm.nih.gov/nuccore/CP000304.1?report=graph&amp;tracks=[key:gene_model_track,Options:GeneOnly]&amp;mk=2759488:2759507|offset_9|00cc00,2759460:2759479|offset_37|444444,2759439:2759458|offset_58|444444,2759417:2759436|offset_80|444444&amp;v=2759287:2759636&amp;c=444444", "offset 9")</f>
        <v>offset 9</v>
      </c>
    </row>
    <row r="9711" customFormat="false" ht="12.8" hidden="false" customHeight="false" outlineLevel="0" collapsed="false">
      <c r="A9711" s="0" t="s">
        <v>12</v>
      </c>
      <c r="B9711" s="0" t="n">
        <v>2759459</v>
      </c>
      <c r="C9711" s="0" t="n">
        <v>2759479</v>
      </c>
      <c r="D9711" s="0" t="s">
        <v>32391</v>
      </c>
      <c r="E9711" s="0" t="s">
        <v>89</v>
      </c>
      <c r="F9711" s="0" t="s">
        <v>90</v>
      </c>
      <c r="G9711" s="0" t="s">
        <v>32</v>
      </c>
      <c r="H9711" s="0" t="n">
        <v>37</v>
      </c>
      <c r="I9711" s="0" t="s">
        <v>32395</v>
      </c>
      <c r="J9711" s="0" t="s">
        <v>32396</v>
      </c>
      <c r="K9711" s="0" t="s">
        <v>32397</v>
      </c>
      <c r="L9711" s="0" t="str">
        <f aca="false">HYPERLINK("https://www.ncbi.nlm.nih.gov/nuccore/CP000304.1?report=graph&amp;tracks=[key:gene_model_track,Options:GeneOnly]&amp;mk=2759488:2759507|offset_9|444444,2759460:2759479|offset_37|00cc00,2759439:2759458|offset_58|444444,2759417:2759436|offset_80|444444&amp;v=2759287:2759636&amp;c=444444", "offset 37")</f>
        <v>offset 37</v>
      </c>
    </row>
    <row r="9712" customFormat="false" ht="12.8" hidden="false" customHeight="false" outlineLevel="0" collapsed="false">
      <c r="A9712" s="0" t="s">
        <v>12</v>
      </c>
      <c r="B9712" s="0" t="n">
        <v>2759438</v>
      </c>
      <c r="C9712" s="0" t="n">
        <v>2759458</v>
      </c>
      <c r="D9712" s="0" t="s">
        <v>32391</v>
      </c>
      <c r="E9712" s="0" t="s">
        <v>89</v>
      </c>
      <c r="F9712" s="0" t="s">
        <v>90</v>
      </c>
      <c r="G9712" s="0" t="s">
        <v>26</v>
      </c>
      <c r="H9712" s="0" t="n">
        <v>58</v>
      </c>
      <c r="I9712" s="0" t="s">
        <v>32398</v>
      </c>
      <c r="J9712" s="0" t="s">
        <v>32399</v>
      </c>
      <c r="K9712" s="0" t="s">
        <v>32400</v>
      </c>
      <c r="L9712" s="0" t="str">
        <f aca="false">HYPERLINK("https://www.ncbi.nlm.nih.gov/nuccore/CP000304.1?report=graph&amp;tracks=[key:gene_model_track,Options:GeneOnly]&amp;mk=2759488:2759507|offset_9|444444,2759460:2759479|offset_37|444444,2759439:2759458|offset_58|00cc00,2759417:2759436|offset_80|444444&amp;v=2759287:2759636&amp;c=444444", "offset 58")</f>
        <v>offset 58</v>
      </c>
    </row>
    <row r="9713" customFormat="false" ht="12.8" hidden="false" customHeight="false" outlineLevel="0" collapsed="false">
      <c r="A9713" s="0" t="s">
        <v>12</v>
      </c>
      <c r="B9713" s="0" t="n">
        <v>2759416</v>
      </c>
      <c r="C9713" s="0" t="n">
        <v>2759436</v>
      </c>
      <c r="D9713" s="0" t="s">
        <v>32391</v>
      </c>
      <c r="E9713" s="0" t="s">
        <v>89</v>
      </c>
      <c r="F9713" s="0" t="s">
        <v>90</v>
      </c>
      <c r="G9713" s="0" t="s">
        <v>36</v>
      </c>
      <c r="H9713" s="0" t="n">
        <v>80</v>
      </c>
      <c r="I9713" s="0" t="s">
        <v>32401</v>
      </c>
      <c r="J9713" s="0" t="s">
        <v>32402</v>
      </c>
      <c r="K9713" s="0" t="s">
        <v>32403</v>
      </c>
      <c r="L9713" s="0" t="str">
        <f aca="false">HYPERLINK("https://www.ncbi.nlm.nih.gov/nuccore/CP000304.1?report=graph&amp;tracks=[key:gene_model_track,Options:GeneOnly]&amp;mk=2759488:2759507|offset_9|444444,2759460:2759479|offset_37|444444,2759439:2759458|offset_58|444444,2759417:2759436|offset_80|00cc00&amp;v=2759287:2759636&amp;c=444444", "offset 80")</f>
        <v>offset 80</v>
      </c>
    </row>
    <row r="9714" customFormat="false" ht="12.8" hidden="false" customHeight="false" outlineLevel="0" collapsed="false">
      <c r="A9714" s="0" t="s">
        <v>12</v>
      </c>
      <c r="B9714" s="0" t="n">
        <v>2759714</v>
      </c>
      <c r="C9714" s="0" t="n">
        <v>2759734</v>
      </c>
      <c r="D9714" s="0" t="s">
        <v>32404</v>
      </c>
      <c r="E9714" s="0" t="s">
        <v>89</v>
      </c>
      <c r="F9714" s="0" t="s">
        <v>15</v>
      </c>
      <c r="G9714" s="0" t="s">
        <v>32</v>
      </c>
      <c r="H9714" s="0" t="n">
        <v>11</v>
      </c>
      <c r="I9714" s="0" t="s">
        <v>32405</v>
      </c>
      <c r="J9714" s="0" t="s">
        <v>32406</v>
      </c>
      <c r="K9714" s="0" t="s">
        <v>32407</v>
      </c>
      <c r="L9714" s="0" t="str">
        <f aca="false">HYPERLINK("https://www.ncbi.nlm.nih.gov/nuccore/CP000304.1?report=graph&amp;tracks=[key:gene_model_track,Options:GeneOnly]&amp;mk=2759715:2759734|offset_11|00cc00,2759735:2759754|offset_31|444444,2759762:2759781|offset_58|444444,2759861:2759880|offset_157|444444&amp;v=2759514:2760080&amp;c=444444", "offset 11")</f>
        <v>offset 11</v>
      </c>
    </row>
    <row r="9715" customFormat="false" ht="12.8" hidden="false" customHeight="false" outlineLevel="0" collapsed="false">
      <c r="A9715" s="0" t="s">
        <v>12</v>
      </c>
      <c r="B9715" s="0" t="n">
        <v>2759734</v>
      </c>
      <c r="C9715" s="0" t="n">
        <v>2759754</v>
      </c>
      <c r="D9715" s="0" t="s">
        <v>32404</v>
      </c>
      <c r="E9715" s="0" t="s">
        <v>89</v>
      </c>
      <c r="F9715" s="0" t="s">
        <v>15</v>
      </c>
      <c r="G9715" s="0" t="s">
        <v>16</v>
      </c>
      <c r="H9715" s="0" t="n">
        <v>31</v>
      </c>
      <c r="I9715" s="0" t="s">
        <v>32408</v>
      </c>
      <c r="J9715" s="0" t="s">
        <v>32409</v>
      </c>
      <c r="K9715" s="0" t="s">
        <v>32410</v>
      </c>
      <c r="L9715" s="0" t="str">
        <f aca="false">HYPERLINK("https://www.ncbi.nlm.nih.gov/nuccore/CP000304.1?report=graph&amp;tracks=[key:gene_model_track,Options:GeneOnly]&amp;mk=2759715:2759734|offset_11|444444,2759735:2759754|offset_31|00cc00,2759762:2759781|offset_58|444444,2759861:2759880|offset_157|444444&amp;v=2759514:2760080&amp;c=444444", "offset 31")</f>
        <v>offset 31</v>
      </c>
    </row>
    <row r="9716" customFormat="false" ht="12.8" hidden="false" customHeight="false" outlineLevel="0" collapsed="false">
      <c r="A9716" s="0" t="s">
        <v>12</v>
      </c>
      <c r="B9716" s="0" t="n">
        <v>2759761</v>
      </c>
      <c r="C9716" s="0" t="n">
        <v>2759781</v>
      </c>
      <c r="D9716" s="0" t="s">
        <v>32404</v>
      </c>
      <c r="E9716" s="0" t="s">
        <v>89</v>
      </c>
      <c r="F9716" s="0" t="s">
        <v>15</v>
      </c>
      <c r="G9716" s="0" t="s">
        <v>32</v>
      </c>
      <c r="H9716" s="0" t="n">
        <v>58</v>
      </c>
      <c r="I9716" s="0" t="s">
        <v>32411</v>
      </c>
      <c r="J9716" s="0" t="s">
        <v>32412</v>
      </c>
      <c r="K9716" s="0" t="s">
        <v>32413</v>
      </c>
      <c r="L9716" s="0" t="str">
        <f aca="false">HYPERLINK("https://www.ncbi.nlm.nih.gov/nuccore/CP000304.1?report=graph&amp;tracks=[key:gene_model_track,Options:GeneOnly]&amp;mk=2759715:2759734|offset_11|444444,2759735:2759754|offset_31|444444,2759762:2759781|offset_58|00cc00,2759861:2759880|offset_157|444444&amp;v=2759514:2760080&amp;c=444444", "offset 58")</f>
        <v>offset 58</v>
      </c>
    </row>
    <row r="9717" customFormat="false" ht="12.8" hidden="false" customHeight="false" outlineLevel="0" collapsed="false">
      <c r="A9717" s="0" t="s">
        <v>12</v>
      </c>
      <c r="B9717" s="0" t="n">
        <v>2759860</v>
      </c>
      <c r="C9717" s="0" t="n">
        <v>2759880</v>
      </c>
      <c r="D9717" s="0" t="s">
        <v>32404</v>
      </c>
      <c r="E9717" s="0" t="s">
        <v>89</v>
      </c>
      <c r="F9717" s="0" t="s">
        <v>15</v>
      </c>
      <c r="G9717" s="0" t="s">
        <v>16</v>
      </c>
      <c r="H9717" s="0" t="n">
        <v>157</v>
      </c>
      <c r="I9717" s="0" t="s">
        <v>32414</v>
      </c>
      <c r="J9717" s="0" t="s">
        <v>32415</v>
      </c>
      <c r="K9717" s="0" t="s">
        <v>32416</v>
      </c>
      <c r="L9717" s="0" t="str">
        <f aca="false">HYPERLINK("https://www.ncbi.nlm.nih.gov/nuccore/CP000304.1?report=graph&amp;tracks=[key:gene_model_track,Options:GeneOnly]&amp;mk=2759715:2759734|offset_11|444444,2759735:2759754|offset_31|444444,2759762:2759781|offset_58|444444,2759861:2759880|offset_157|00cc00&amp;v=2759514:2760080&amp;c=444444", "offset 157")</f>
        <v>offset 157</v>
      </c>
    </row>
    <row r="9718" customFormat="false" ht="12.8" hidden="false" customHeight="false" outlineLevel="0" collapsed="false">
      <c r="A9718" s="0" t="s">
        <v>12</v>
      </c>
      <c r="B9718" s="0" t="n">
        <v>2760342</v>
      </c>
      <c r="C9718" s="0" t="n">
        <v>2760362</v>
      </c>
      <c r="D9718" s="0" t="s">
        <v>32417</v>
      </c>
      <c r="E9718" s="0" t="s">
        <v>89</v>
      </c>
      <c r="F9718" s="0" t="s">
        <v>15</v>
      </c>
      <c r="G9718" s="0" t="s">
        <v>36</v>
      </c>
      <c r="H9718" s="0" t="n">
        <v>46</v>
      </c>
      <c r="I9718" s="0" t="s">
        <v>32418</v>
      </c>
      <c r="J9718" s="0" t="s">
        <v>32419</v>
      </c>
      <c r="K9718" s="0" t="s">
        <v>32420</v>
      </c>
      <c r="L9718" s="0" t="str">
        <f aca="false">HYPERLINK("https://www.ncbi.nlm.nih.gov/nuccore/CP000304.1?report=graph&amp;tracks=[key:gene_model_track,Options:GeneOnly]&amp;mk=2760343:2760362|offset_46|00cc00,2760364:2760383|offset_67|444444,2760423:2760442|offset_126|444444,2760471:2760490|offset_174|444444&amp;v=2760142:2760690&amp;c=444444", "offset 46")</f>
        <v>offset 46</v>
      </c>
    </row>
    <row r="9719" customFormat="false" ht="12.8" hidden="false" customHeight="false" outlineLevel="0" collapsed="false">
      <c r="A9719" s="0" t="s">
        <v>12</v>
      </c>
      <c r="B9719" s="0" t="n">
        <v>2760363</v>
      </c>
      <c r="C9719" s="0" t="n">
        <v>2760383</v>
      </c>
      <c r="D9719" s="0" t="s">
        <v>32417</v>
      </c>
      <c r="E9719" s="0" t="s">
        <v>89</v>
      </c>
      <c r="F9719" s="0" t="s">
        <v>15</v>
      </c>
      <c r="G9719" s="0" t="s">
        <v>16</v>
      </c>
      <c r="H9719" s="0" t="n">
        <v>67</v>
      </c>
      <c r="I9719" s="0" t="s">
        <v>32421</v>
      </c>
      <c r="J9719" s="0" t="s">
        <v>32422</v>
      </c>
      <c r="K9719" s="0" t="s">
        <v>32423</v>
      </c>
      <c r="L9719" s="0" t="str">
        <f aca="false">HYPERLINK("https://www.ncbi.nlm.nih.gov/nuccore/CP000304.1?report=graph&amp;tracks=[key:gene_model_track,Options:GeneOnly]&amp;mk=2760343:2760362|offset_46|444444,2760364:2760383|offset_67|00cc00,2760423:2760442|offset_126|444444,2760471:2760490|offset_174|444444&amp;v=2760142:2760690&amp;c=444444", "offset 67")</f>
        <v>offset 67</v>
      </c>
    </row>
    <row r="9720" customFormat="false" ht="12.8" hidden="false" customHeight="false" outlineLevel="0" collapsed="false">
      <c r="A9720" s="0" t="s">
        <v>12</v>
      </c>
      <c r="B9720" s="0" t="n">
        <v>2760422</v>
      </c>
      <c r="C9720" s="0" t="n">
        <v>2760442</v>
      </c>
      <c r="D9720" s="0" t="s">
        <v>32417</v>
      </c>
      <c r="E9720" s="0" t="s">
        <v>89</v>
      </c>
      <c r="F9720" s="0" t="s">
        <v>15</v>
      </c>
      <c r="G9720" s="0" t="s">
        <v>26</v>
      </c>
      <c r="H9720" s="0" t="n">
        <v>126</v>
      </c>
      <c r="I9720" s="0" t="s">
        <v>32424</v>
      </c>
      <c r="J9720" s="0" t="s">
        <v>32425</v>
      </c>
      <c r="K9720" s="0" t="s">
        <v>32426</v>
      </c>
      <c r="L9720" s="0" t="str">
        <f aca="false">HYPERLINK("https://www.ncbi.nlm.nih.gov/nuccore/CP000304.1?report=graph&amp;tracks=[key:gene_model_track,Options:GeneOnly]&amp;mk=2760343:2760362|offset_46|444444,2760364:2760383|offset_67|444444,2760423:2760442|offset_126|00cc00,2760471:2760490|offset_174|444444&amp;v=2760142:2760690&amp;c=444444", "offset 126")</f>
        <v>offset 126</v>
      </c>
    </row>
    <row r="9721" customFormat="false" ht="12.8" hidden="false" customHeight="false" outlineLevel="0" collapsed="false">
      <c r="A9721" s="0" t="s">
        <v>12</v>
      </c>
      <c r="B9721" s="0" t="n">
        <v>2760470</v>
      </c>
      <c r="C9721" s="0" t="n">
        <v>2760490</v>
      </c>
      <c r="D9721" s="0" t="s">
        <v>32417</v>
      </c>
      <c r="E9721" s="0" t="s">
        <v>89</v>
      </c>
      <c r="F9721" s="0" t="s">
        <v>15</v>
      </c>
      <c r="G9721" s="0" t="s">
        <v>16</v>
      </c>
      <c r="H9721" s="0" t="n">
        <v>174</v>
      </c>
      <c r="I9721" s="0" t="s">
        <v>32427</v>
      </c>
      <c r="J9721" s="0" t="s">
        <v>32428</v>
      </c>
      <c r="K9721" s="0" t="s">
        <v>32429</v>
      </c>
      <c r="L9721" s="0" t="str">
        <f aca="false">HYPERLINK("https://www.ncbi.nlm.nih.gov/nuccore/CP000304.1?report=graph&amp;tracks=[key:gene_model_track,Options:GeneOnly]&amp;mk=2760343:2760362|offset_46|444444,2760364:2760383|offset_67|444444,2760423:2760442|offset_126|444444,2760471:2760490|offset_174|00cc00&amp;v=2760142:2760690&amp;c=444444", "offset 174")</f>
        <v>offset 174</v>
      </c>
    </row>
    <row r="9722" customFormat="false" ht="12.8" hidden="false" customHeight="false" outlineLevel="0" collapsed="false">
      <c r="A9722" s="0" t="s">
        <v>12</v>
      </c>
      <c r="B9722" s="0" t="n">
        <v>2761383</v>
      </c>
      <c r="C9722" s="0" t="n">
        <v>2761403</v>
      </c>
      <c r="D9722" s="0" t="s">
        <v>32430</v>
      </c>
      <c r="E9722" s="0" t="s">
        <v>89</v>
      </c>
      <c r="F9722" s="0" t="s">
        <v>15</v>
      </c>
      <c r="G9722" s="0" t="s">
        <v>36</v>
      </c>
      <c r="H9722" s="0" t="n">
        <v>13</v>
      </c>
      <c r="I9722" s="0" t="s">
        <v>32431</v>
      </c>
      <c r="J9722" s="0" t="s">
        <v>32432</v>
      </c>
      <c r="K9722" s="0" t="s">
        <v>32433</v>
      </c>
      <c r="L9722" s="0" t="str">
        <f aca="false">HYPERLINK("https://www.ncbi.nlm.nih.gov/nuccore/CP000304.1?report=graph&amp;tracks=[key:gene_model_track,Options:GeneOnly]&amp;mk=2761384:2761403|offset_13|00cc00,2761405:2761424|offset_34|444444,2761433:2761452|offset_62|444444,2761476:2761495|offset_105|444444&amp;v=2761183:2761695&amp;c=444444", "offset 13")</f>
        <v>offset 13</v>
      </c>
    </row>
    <row r="9723" customFormat="false" ht="12.8" hidden="false" customHeight="false" outlineLevel="0" collapsed="false">
      <c r="A9723" s="0" t="s">
        <v>12</v>
      </c>
      <c r="B9723" s="0" t="n">
        <v>2761404</v>
      </c>
      <c r="C9723" s="0" t="n">
        <v>2761424</v>
      </c>
      <c r="D9723" s="0" t="s">
        <v>32430</v>
      </c>
      <c r="E9723" s="0" t="s">
        <v>89</v>
      </c>
      <c r="F9723" s="0" t="s">
        <v>15</v>
      </c>
      <c r="G9723" s="0" t="s">
        <v>36</v>
      </c>
      <c r="H9723" s="0" t="n">
        <v>34</v>
      </c>
      <c r="I9723" s="0" t="s">
        <v>32434</v>
      </c>
      <c r="J9723" s="0" t="s">
        <v>32435</v>
      </c>
      <c r="K9723" s="0" t="s">
        <v>32436</v>
      </c>
      <c r="L9723" s="0" t="str">
        <f aca="false">HYPERLINK("https://www.ncbi.nlm.nih.gov/nuccore/CP000304.1?report=graph&amp;tracks=[key:gene_model_track,Options:GeneOnly]&amp;mk=2761384:2761403|offset_13|444444,2761405:2761424|offset_34|00cc00,2761433:2761452|offset_62|444444,2761476:2761495|offset_105|444444&amp;v=2761183:2761695&amp;c=444444", "offset 34")</f>
        <v>offset 34</v>
      </c>
    </row>
    <row r="9724" customFormat="false" ht="12.8" hidden="false" customHeight="false" outlineLevel="0" collapsed="false">
      <c r="A9724" s="0" t="s">
        <v>12</v>
      </c>
      <c r="B9724" s="0" t="n">
        <v>2761432</v>
      </c>
      <c r="C9724" s="0" t="n">
        <v>2761452</v>
      </c>
      <c r="D9724" s="0" t="s">
        <v>32430</v>
      </c>
      <c r="E9724" s="0" t="s">
        <v>89</v>
      </c>
      <c r="F9724" s="0" t="s">
        <v>15</v>
      </c>
      <c r="G9724" s="0" t="s">
        <v>26</v>
      </c>
      <c r="H9724" s="0" t="n">
        <v>62</v>
      </c>
      <c r="I9724" s="0" t="s">
        <v>32437</v>
      </c>
      <c r="J9724" s="0" t="s">
        <v>32438</v>
      </c>
      <c r="K9724" s="0" t="s">
        <v>32439</v>
      </c>
      <c r="L9724" s="0" t="str">
        <f aca="false">HYPERLINK("https://www.ncbi.nlm.nih.gov/nuccore/CP000304.1?report=graph&amp;tracks=[key:gene_model_track,Options:GeneOnly]&amp;mk=2761384:2761403|offset_13|444444,2761405:2761424|offset_34|444444,2761433:2761452|offset_62|00cc00,2761476:2761495|offset_105|444444&amp;v=2761183:2761695&amp;c=444444", "offset 62")</f>
        <v>offset 62</v>
      </c>
    </row>
    <row r="9725" customFormat="false" ht="12.8" hidden="false" customHeight="false" outlineLevel="0" collapsed="false">
      <c r="A9725" s="0" t="s">
        <v>12</v>
      </c>
      <c r="B9725" s="0" t="n">
        <v>2761475</v>
      </c>
      <c r="C9725" s="0" t="n">
        <v>2761495</v>
      </c>
      <c r="D9725" s="0" t="s">
        <v>32430</v>
      </c>
      <c r="E9725" s="0" t="s">
        <v>89</v>
      </c>
      <c r="F9725" s="0" t="s">
        <v>15</v>
      </c>
      <c r="G9725" s="0" t="s">
        <v>36</v>
      </c>
      <c r="H9725" s="0" t="n">
        <v>105</v>
      </c>
      <c r="I9725" s="0" t="s">
        <v>32440</v>
      </c>
      <c r="J9725" s="0" t="s">
        <v>32441</v>
      </c>
      <c r="K9725" s="0" t="s">
        <v>32442</v>
      </c>
      <c r="L9725" s="0" t="str">
        <f aca="false">HYPERLINK("https://www.ncbi.nlm.nih.gov/nuccore/CP000304.1?report=graph&amp;tracks=[key:gene_model_track,Options:GeneOnly]&amp;mk=2761384:2761403|offset_13|444444,2761405:2761424|offset_34|444444,2761433:2761452|offset_62|444444,2761476:2761495|offset_105|00cc00&amp;v=2761183:2761695&amp;c=444444", "offset 105")</f>
        <v>offset 105</v>
      </c>
    </row>
    <row r="9726" customFormat="false" ht="12.8" hidden="false" customHeight="false" outlineLevel="0" collapsed="false">
      <c r="A9726" s="0" t="s">
        <v>12</v>
      </c>
      <c r="B9726" s="0" t="n">
        <v>2762959</v>
      </c>
      <c r="C9726" s="0" t="n">
        <v>2762979</v>
      </c>
      <c r="D9726" s="0" t="s">
        <v>32443</v>
      </c>
      <c r="E9726" s="0" t="s">
        <v>89</v>
      </c>
      <c r="F9726" s="0" t="s">
        <v>90</v>
      </c>
      <c r="G9726" s="0" t="s">
        <v>26</v>
      </c>
      <c r="H9726" s="0" t="n">
        <v>22</v>
      </c>
      <c r="I9726" s="0" t="s">
        <v>32444</v>
      </c>
      <c r="J9726" s="0" t="s">
        <v>32445</v>
      </c>
      <c r="K9726" s="0" t="s">
        <v>32446</v>
      </c>
      <c r="L9726" s="0" t="str">
        <f aca="false">HYPERLINK("https://www.ncbi.nlm.nih.gov/nuccore/CP000304.1?report=graph&amp;tracks=[key:gene_model_track,Options:GeneOnly]&amp;mk=2762960:2762979|offset_22|00cc00,2762938:2762957|offset_44|444444,2762910:2762929|offset_72|444444,2762848:2762867|offset_134|444444&amp;v=2762759:2763067&amp;c=444444", "offset 22")</f>
        <v>offset 22</v>
      </c>
    </row>
    <row r="9727" customFormat="false" ht="12.8" hidden="false" customHeight="false" outlineLevel="0" collapsed="false">
      <c r="A9727" s="0" t="s">
        <v>12</v>
      </c>
      <c r="B9727" s="0" t="n">
        <v>2762937</v>
      </c>
      <c r="C9727" s="0" t="n">
        <v>2762957</v>
      </c>
      <c r="D9727" s="0" t="s">
        <v>32443</v>
      </c>
      <c r="E9727" s="0" t="s">
        <v>89</v>
      </c>
      <c r="F9727" s="0" t="s">
        <v>90</v>
      </c>
      <c r="G9727" s="0" t="s">
        <v>26</v>
      </c>
      <c r="H9727" s="0" t="n">
        <v>44</v>
      </c>
      <c r="I9727" s="0" t="s">
        <v>32447</v>
      </c>
      <c r="J9727" s="0" t="s">
        <v>32448</v>
      </c>
      <c r="K9727" s="0" t="s">
        <v>32449</v>
      </c>
      <c r="L9727" s="0" t="str">
        <f aca="false">HYPERLINK("https://www.ncbi.nlm.nih.gov/nuccore/CP000304.1?report=graph&amp;tracks=[key:gene_model_track,Options:GeneOnly]&amp;mk=2762960:2762979|offset_22|444444,2762938:2762957|offset_44|00cc00,2762910:2762929|offset_72|444444,2762848:2762867|offset_134|444444&amp;v=2762759:2763067&amp;c=444444", "offset 44")</f>
        <v>offset 44</v>
      </c>
    </row>
    <row r="9728" customFormat="false" ht="12.8" hidden="false" customHeight="false" outlineLevel="0" collapsed="false">
      <c r="A9728" s="0" t="s">
        <v>12</v>
      </c>
      <c r="B9728" s="0" t="n">
        <v>2762909</v>
      </c>
      <c r="C9728" s="0" t="n">
        <v>2762929</v>
      </c>
      <c r="D9728" s="0" t="s">
        <v>32443</v>
      </c>
      <c r="E9728" s="0" t="s">
        <v>89</v>
      </c>
      <c r="F9728" s="0" t="s">
        <v>90</v>
      </c>
      <c r="G9728" s="0" t="s">
        <v>36</v>
      </c>
      <c r="H9728" s="0" t="n">
        <v>72</v>
      </c>
      <c r="I9728" s="0" t="s">
        <v>32450</v>
      </c>
      <c r="J9728" s="0" t="s">
        <v>32451</v>
      </c>
      <c r="K9728" s="0" t="s">
        <v>32452</v>
      </c>
      <c r="L9728" s="0" t="str">
        <f aca="false">HYPERLINK("https://www.ncbi.nlm.nih.gov/nuccore/CP000304.1?report=graph&amp;tracks=[key:gene_model_track,Options:GeneOnly]&amp;mk=2762960:2762979|offset_22|444444,2762938:2762957|offset_44|444444,2762910:2762929|offset_72|00cc00,2762848:2762867|offset_134|444444&amp;v=2762759:2763067&amp;c=444444", "offset 72")</f>
        <v>offset 72</v>
      </c>
    </row>
    <row r="9729" customFormat="false" ht="12.8" hidden="false" customHeight="false" outlineLevel="0" collapsed="false">
      <c r="A9729" s="0" t="s">
        <v>12</v>
      </c>
      <c r="B9729" s="0" t="n">
        <v>2762847</v>
      </c>
      <c r="C9729" s="0" t="n">
        <v>2762867</v>
      </c>
      <c r="D9729" s="0" t="s">
        <v>32443</v>
      </c>
      <c r="E9729" s="0" t="s">
        <v>89</v>
      </c>
      <c r="F9729" s="0" t="s">
        <v>90</v>
      </c>
      <c r="G9729" s="0" t="s">
        <v>16</v>
      </c>
      <c r="H9729" s="0" t="n">
        <v>134</v>
      </c>
      <c r="I9729" s="0" t="s">
        <v>32453</v>
      </c>
      <c r="J9729" s="0" t="s">
        <v>32454</v>
      </c>
      <c r="K9729" s="0" t="s">
        <v>32455</v>
      </c>
      <c r="L9729" s="0" t="str">
        <f aca="false">HYPERLINK("https://www.ncbi.nlm.nih.gov/nuccore/CP000304.1?report=graph&amp;tracks=[key:gene_model_track,Options:GeneOnly]&amp;mk=2762960:2762979|offset_22|444444,2762938:2762957|offset_44|444444,2762910:2762929|offset_72|444444,2762848:2762867|offset_134|00cc00&amp;v=2762759:2763067&amp;c=444444", "offset 134")</f>
        <v>offset 134</v>
      </c>
    </row>
    <row r="9730" customFormat="false" ht="12.8" hidden="false" customHeight="false" outlineLevel="0" collapsed="false">
      <c r="A9730" s="0" t="s">
        <v>12</v>
      </c>
      <c r="B9730" s="0" t="n">
        <v>2763539</v>
      </c>
      <c r="C9730" s="0" t="n">
        <v>2763559</v>
      </c>
      <c r="D9730" s="0" t="s">
        <v>32456</v>
      </c>
      <c r="E9730" s="0" t="s">
        <v>89</v>
      </c>
      <c r="F9730" s="0" t="s">
        <v>90</v>
      </c>
      <c r="G9730" s="0" t="s">
        <v>26</v>
      </c>
      <c r="H9730" s="0" t="n">
        <v>12</v>
      </c>
      <c r="I9730" s="0" t="s">
        <v>32457</v>
      </c>
      <c r="J9730" s="0" t="s">
        <v>32458</v>
      </c>
      <c r="K9730" s="0" t="s">
        <v>32459</v>
      </c>
      <c r="L9730" s="0" t="str">
        <f aca="false">HYPERLINK("https://www.ncbi.nlm.nih.gov/nuccore/CP000304.1?report=graph&amp;tracks=[key:gene_model_track,Options:GeneOnly]&amp;mk=2763540:2763559|offset_12|00cc00,2763515:2763534|offset_37|444444,2763488:2763507|offset_64|444444,2763452:2763471|offset_100|444444&amp;v=2763339:2763671&amp;c=444444", "offset 12")</f>
        <v>offset 12</v>
      </c>
    </row>
    <row r="9731" customFormat="false" ht="12.8" hidden="false" customHeight="false" outlineLevel="0" collapsed="false">
      <c r="A9731" s="0" t="s">
        <v>12</v>
      </c>
      <c r="B9731" s="0" t="n">
        <v>2763514</v>
      </c>
      <c r="C9731" s="0" t="n">
        <v>2763534</v>
      </c>
      <c r="D9731" s="0" t="s">
        <v>32456</v>
      </c>
      <c r="E9731" s="0" t="s">
        <v>89</v>
      </c>
      <c r="F9731" s="0" t="s">
        <v>90</v>
      </c>
      <c r="G9731" s="0" t="s">
        <v>32</v>
      </c>
      <c r="H9731" s="0" t="n">
        <v>37</v>
      </c>
      <c r="I9731" s="0" t="s">
        <v>32460</v>
      </c>
      <c r="J9731" s="0" t="s">
        <v>32461</v>
      </c>
      <c r="K9731" s="0" t="s">
        <v>32462</v>
      </c>
      <c r="L9731" s="0" t="str">
        <f aca="false">HYPERLINK("https://www.ncbi.nlm.nih.gov/nuccore/CP000304.1?report=graph&amp;tracks=[key:gene_model_track,Options:GeneOnly]&amp;mk=2763540:2763559|offset_12|444444,2763515:2763534|offset_37|00cc00,2763488:2763507|offset_64|444444,2763452:2763471|offset_100|444444&amp;v=2763339:2763671&amp;c=444444", "offset 37")</f>
        <v>offset 37</v>
      </c>
    </row>
    <row r="9732" customFormat="false" ht="12.8" hidden="false" customHeight="false" outlineLevel="0" collapsed="false">
      <c r="A9732" s="0" t="s">
        <v>12</v>
      </c>
      <c r="B9732" s="0" t="n">
        <v>2763487</v>
      </c>
      <c r="C9732" s="0" t="n">
        <v>2763507</v>
      </c>
      <c r="D9732" s="0" t="s">
        <v>32456</v>
      </c>
      <c r="E9732" s="0" t="s">
        <v>89</v>
      </c>
      <c r="F9732" s="0" t="s">
        <v>90</v>
      </c>
      <c r="G9732" s="0" t="s">
        <v>16</v>
      </c>
      <c r="H9732" s="0" t="n">
        <v>64</v>
      </c>
      <c r="I9732" s="0" t="s">
        <v>32463</v>
      </c>
      <c r="J9732" s="0" t="s">
        <v>32464</v>
      </c>
      <c r="K9732" s="0" t="s">
        <v>32465</v>
      </c>
      <c r="L9732" s="0" t="str">
        <f aca="false">HYPERLINK("https://www.ncbi.nlm.nih.gov/nuccore/CP000304.1?report=graph&amp;tracks=[key:gene_model_track,Options:GeneOnly]&amp;mk=2763540:2763559|offset_12|444444,2763515:2763534|offset_37|444444,2763488:2763507|offset_64|00cc00,2763452:2763471|offset_100|444444&amp;v=2763339:2763671&amp;c=444444", "offset 64")</f>
        <v>offset 64</v>
      </c>
    </row>
    <row r="9733" customFormat="false" ht="12.8" hidden="false" customHeight="false" outlineLevel="0" collapsed="false">
      <c r="A9733" s="0" t="s">
        <v>12</v>
      </c>
      <c r="B9733" s="0" t="n">
        <v>2763451</v>
      </c>
      <c r="C9733" s="0" t="n">
        <v>2763471</v>
      </c>
      <c r="D9733" s="0" t="s">
        <v>32456</v>
      </c>
      <c r="E9733" s="0" t="s">
        <v>89</v>
      </c>
      <c r="F9733" s="0" t="s">
        <v>90</v>
      </c>
      <c r="G9733" s="0" t="s">
        <v>16</v>
      </c>
      <c r="H9733" s="0" t="n">
        <v>100</v>
      </c>
      <c r="I9733" s="0" t="s">
        <v>32466</v>
      </c>
      <c r="J9733" s="0" t="s">
        <v>32467</v>
      </c>
      <c r="K9733" s="0" t="s">
        <v>32468</v>
      </c>
      <c r="L9733" s="0" t="str">
        <f aca="false">HYPERLINK("https://www.ncbi.nlm.nih.gov/nuccore/CP000304.1?report=graph&amp;tracks=[key:gene_model_track,Options:GeneOnly]&amp;mk=2763540:2763559|offset_12|444444,2763515:2763534|offset_37|444444,2763488:2763507|offset_64|444444,2763452:2763471|offset_100|00cc00&amp;v=2763339:2763671&amp;c=444444", "offset 100")</f>
        <v>offset 100</v>
      </c>
    </row>
    <row r="9734" customFormat="false" ht="12.8" hidden="false" customHeight="false" outlineLevel="0" collapsed="false">
      <c r="A9734" s="0" t="s">
        <v>12</v>
      </c>
      <c r="B9734" s="0" t="n">
        <v>2764097</v>
      </c>
      <c r="C9734" s="0" t="n">
        <v>2764117</v>
      </c>
      <c r="D9734" s="0" t="s">
        <v>32469</v>
      </c>
      <c r="E9734" s="0" t="s">
        <v>89</v>
      </c>
      <c r="F9734" s="0" t="s">
        <v>90</v>
      </c>
      <c r="G9734" s="0" t="s">
        <v>36</v>
      </c>
      <c r="H9734" s="0" t="n">
        <v>16</v>
      </c>
      <c r="I9734" s="0" t="s">
        <v>32470</v>
      </c>
      <c r="J9734" s="0" t="s">
        <v>32471</v>
      </c>
      <c r="K9734" s="0" t="s">
        <v>32472</v>
      </c>
      <c r="L9734" s="0" t="str">
        <f aca="false">HYPERLINK("https://www.ncbi.nlm.nih.gov/nuccore/CP000304.1?report=graph&amp;tracks=[key:gene_model_track,Options:GeneOnly]&amp;mk=2764098:2764117|offset_16|00cc00,2764070:2764089|offset_44|444444,2764023:2764042|offset_91|444444,2763981:2764000|offset_133|444444&amp;v=2763897:2764200&amp;c=444444", "offset 16")</f>
        <v>offset 16</v>
      </c>
    </row>
    <row r="9735" customFormat="false" ht="12.8" hidden="false" customHeight="false" outlineLevel="0" collapsed="false">
      <c r="A9735" s="0" t="s">
        <v>12</v>
      </c>
      <c r="B9735" s="0" t="n">
        <v>2764069</v>
      </c>
      <c r="C9735" s="0" t="n">
        <v>2764089</v>
      </c>
      <c r="D9735" s="0" t="s">
        <v>32469</v>
      </c>
      <c r="E9735" s="0" t="s">
        <v>89</v>
      </c>
      <c r="F9735" s="0" t="s">
        <v>90</v>
      </c>
      <c r="G9735" s="0" t="s">
        <v>26</v>
      </c>
      <c r="H9735" s="0" t="n">
        <v>44</v>
      </c>
      <c r="I9735" s="0" t="s">
        <v>32473</v>
      </c>
      <c r="J9735" s="0" t="s">
        <v>32474</v>
      </c>
      <c r="K9735" s="0" t="s">
        <v>32475</v>
      </c>
      <c r="L9735" s="0" t="str">
        <f aca="false">HYPERLINK("https://www.ncbi.nlm.nih.gov/nuccore/CP000304.1?report=graph&amp;tracks=[key:gene_model_track,Options:GeneOnly]&amp;mk=2764098:2764117|offset_16|444444,2764070:2764089|offset_44|00cc00,2764023:2764042|offset_91|444444,2763981:2764000|offset_133|444444&amp;v=2763897:2764200&amp;c=444444", "offset 44")</f>
        <v>offset 44</v>
      </c>
    </row>
    <row r="9736" customFormat="false" ht="12.8" hidden="false" customHeight="false" outlineLevel="0" collapsed="false">
      <c r="A9736" s="0" t="s">
        <v>12</v>
      </c>
      <c r="B9736" s="0" t="n">
        <v>2764022</v>
      </c>
      <c r="C9736" s="0" t="n">
        <v>2764042</v>
      </c>
      <c r="D9736" s="0" t="s">
        <v>32469</v>
      </c>
      <c r="E9736" s="0" t="s">
        <v>89</v>
      </c>
      <c r="F9736" s="0" t="s">
        <v>90</v>
      </c>
      <c r="G9736" s="0" t="s">
        <v>16</v>
      </c>
      <c r="H9736" s="0" t="n">
        <v>91</v>
      </c>
      <c r="I9736" s="0" t="s">
        <v>32476</v>
      </c>
      <c r="J9736" s="0" t="s">
        <v>32477</v>
      </c>
      <c r="K9736" s="0" t="s">
        <v>32478</v>
      </c>
      <c r="L9736" s="0" t="str">
        <f aca="false">HYPERLINK("https://www.ncbi.nlm.nih.gov/nuccore/CP000304.1?report=graph&amp;tracks=[key:gene_model_track,Options:GeneOnly]&amp;mk=2764098:2764117|offset_16|444444,2764070:2764089|offset_44|444444,2764023:2764042|offset_91|00cc00,2763981:2764000|offset_133|444444&amp;v=2763897:2764200&amp;c=444444", "offset 91")</f>
        <v>offset 91</v>
      </c>
    </row>
    <row r="9737" customFormat="false" ht="12.8" hidden="false" customHeight="false" outlineLevel="0" collapsed="false">
      <c r="A9737" s="0" t="s">
        <v>12</v>
      </c>
      <c r="B9737" s="0" t="n">
        <v>2763980</v>
      </c>
      <c r="C9737" s="0" t="n">
        <v>2764000</v>
      </c>
      <c r="D9737" s="0" t="s">
        <v>32469</v>
      </c>
      <c r="E9737" s="0" t="s">
        <v>89</v>
      </c>
      <c r="F9737" s="0" t="s">
        <v>90</v>
      </c>
      <c r="G9737" s="0" t="s">
        <v>36</v>
      </c>
      <c r="H9737" s="0" t="n">
        <v>133</v>
      </c>
      <c r="I9737" s="0" t="s">
        <v>32479</v>
      </c>
      <c r="J9737" s="0" t="s">
        <v>32480</v>
      </c>
      <c r="K9737" s="0" t="s">
        <v>32481</v>
      </c>
      <c r="L9737" s="0" t="str">
        <f aca="false">HYPERLINK("https://www.ncbi.nlm.nih.gov/nuccore/CP000304.1?report=graph&amp;tracks=[key:gene_model_track,Options:GeneOnly]&amp;mk=2764098:2764117|offset_16|444444,2764070:2764089|offset_44|444444,2764023:2764042|offset_91|444444,2763981:2764000|offset_133|00cc00&amp;v=2763897:2764200&amp;c=444444", "offset 133")</f>
        <v>offset 133</v>
      </c>
    </row>
    <row r="9738" customFormat="false" ht="12.8" hidden="false" customHeight="false" outlineLevel="0" collapsed="false">
      <c r="A9738" s="0" t="s">
        <v>12</v>
      </c>
      <c r="B9738" s="0" t="n">
        <v>2764287</v>
      </c>
      <c r="C9738" s="0" t="n">
        <v>2764307</v>
      </c>
      <c r="D9738" s="0" t="s">
        <v>32482</v>
      </c>
      <c r="E9738" s="0" t="s">
        <v>89</v>
      </c>
      <c r="F9738" s="0" t="s">
        <v>15</v>
      </c>
      <c r="G9738" s="0" t="s">
        <v>32</v>
      </c>
      <c r="H9738" s="0" t="n">
        <v>31</v>
      </c>
      <c r="I9738" s="0" t="s">
        <v>32483</v>
      </c>
      <c r="J9738" s="0" t="s">
        <v>32484</v>
      </c>
      <c r="K9738" s="0" t="s">
        <v>32485</v>
      </c>
      <c r="L9738" s="0" t="str">
        <f aca="false">HYPERLINK("https://www.ncbi.nlm.nih.gov/nuccore/CP000304.1?report=graph&amp;tracks=[key:gene_model_track,Options:GeneOnly]&amp;mk=2764288:2764307|offset_31|00cc00,2764314:2764333|offset_57|444444,2764337:2764356|offset_80|444444,2764361:2764380|offset_104|444444&amp;v=2764087:2764580&amp;c=444444", "offset 31")</f>
        <v>offset 31</v>
      </c>
    </row>
    <row r="9739" customFormat="false" ht="12.8" hidden="false" customHeight="false" outlineLevel="0" collapsed="false">
      <c r="A9739" s="0" t="s">
        <v>12</v>
      </c>
      <c r="B9739" s="0" t="n">
        <v>2764313</v>
      </c>
      <c r="C9739" s="0" t="n">
        <v>2764333</v>
      </c>
      <c r="D9739" s="0" t="s">
        <v>32482</v>
      </c>
      <c r="E9739" s="0" t="s">
        <v>89</v>
      </c>
      <c r="F9739" s="0" t="s">
        <v>15</v>
      </c>
      <c r="G9739" s="0" t="s">
        <v>32</v>
      </c>
      <c r="H9739" s="0" t="n">
        <v>57</v>
      </c>
      <c r="I9739" s="0" t="s">
        <v>32486</v>
      </c>
      <c r="J9739" s="0" t="s">
        <v>32487</v>
      </c>
      <c r="K9739" s="0" t="s">
        <v>32488</v>
      </c>
      <c r="L9739" s="0" t="str">
        <f aca="false">HYPERLINK("https://www.ncbi.nlm.nih.gov/nuccore/CP000304.1?report=graph&amp;tracks=[key:gene_model_track,Options:GeneOnly]&amp;mk=2764288:2764307|offset_31|444444,2764314:2764333|offset_57|00cc00,2764337:2764356|offset_80|444444,2764361:2764380|offset_104|444444&amp;v=2764087:2764580&amp;c=444444", "offset 57")</f>
        <v>offset 57</v>
      </c>
    </row>
    <row r="9740" customFormat="false" ht="12.8" hidden="false" customHeight="false" outlineLevel="0" collapsed="false">
      <c r="A9740" s="0" t="s">
        <v>12</v>
      </c>
      <c r="B9740" s="0" t="n">
        <v>2764336</v>
      </c>
      <c r="C9740" s="0" t="n">
        <v>2764356</v>
      </c>
      <c r="D9740" s="0" t="s">
        <v>32482</v>
      </c>
      <c r="E9740" s="0" t="s">
        <v>89</v>
      </c>
      <c r="F9740" s="0" t="s">
        <v>15</v>
      </c>
      <c r="G9740" s="0" t="s">
        <v>26</v>
      </c>
      <c r="H9740" s="0" t="n">
        <v>80</v>
      </c>
      <c r="I9740" s="0" t="s">
        <v>32489</v>
      </c>
      <c r="J9740" s="0" t="s">
        <v>32490</v>
      </c>
      <c r="K9740" s="0" t="s">
        <v>32491</v>
      </c>
      <c r="L9740" s="0" t="str">
        <f aca="false">HYPERLINK("https://www.ncbi.nlm.nih.gov/nuccore/CP000304.1?report=graph&amp;tracks=[key:gene_model_track,Options:GeneOnly]&amp;mk=2764288:2764307|offset_31|444444,2764314:2764333|offset_57|444444,2764337:2764356|offset_80|00cc00,2764361:2764380|offset_104|444444&amp;v=2764087:2764580&amp;c=444444", "offset 80")</f>
        <v>offset 80</v>
      </c>
    </row>
    <row r="9741" customFormat="false" ht="12.8" hidden="false" customHeight="false" outlineLevel="0" collapsed="false">
      <c r="A9741" s="0" t="s">
        <v>12</v>
      </c>
      <c r="B9741" s="0" t="n">
        <v>2764360</v>
      </c>
      <c r="C9741" s="0" t="n">
        <v>2764380</v>
      </c>
      <c r="D9741" s="0" t="s">
        <v>32482</v>
      </c>
      <c r="E9741" s="0" t="s">
        <v>89</v>
      </c>
      <c r="F9741" s="0" t="s">
        <v>15</v>
      </c>
      <c r="G9741" s="0" t="s">
        <v>26</v>
      </c>
      <c r="H9741" s="0" t="n">
        <v>104</v>
      </c>
      <c r="I9741" s="0" t="s">
        <v>32492</v>
      </c>
      <c r="J9741" s="0" t="s">
        <v>32493</v>
      </c>
      <c r="K9741" s="0" t="s">
        <v>32494</v>
      </c>
      <c r="L9741" s="0" t="str">
        <f aca="false">HYPERLINK("https://www.ncbi.nlm.nih.gov/nuccore/CP000304.1?report=graph&amp;tracks=[key:gene_model_track,Options:GeneOnly]&amp;mk=2764288:2764307|offset_31|444444,2764314:2764333|offset_57|444444,2764337:2764356|offset_80|444444,2764361:2764380|offset_104|00cc00&amp;v=2764087:2764580&amp;c=444444", "offset 104")</f>
        <v>offset 104</v>
      </c>
    </row>
    <row r="9742" customFormat="false" ht="12.8" hidden="false" customHeight="false" outlineLevel="0" collapsed="false">
      <c r="A9742" s="0" t="s">
        <v>12</v>
      </c>
      <c r="B9742" s="0" t="n">
        <v>2765544</v>
      </c>
      <c r="C9742" s="0" t="n">
        <v>2765564</v>
      </c>
      <c r="D9742" s="0" t="s">
        <v>32495</v>
      </c>
      <c r="E9742" s="0" t="s">
        <v>89</v>
      </c>
      <c r="F9742" s="0" t="s">
        <v>15</v>
      </c>
      <c r="G9742" s="0" t="s">
        <v>32</v>
      </c>
      <c r="H9742" s="0" t="n">
        <v>72</v>
      </c>
      <c r="I9742" s="0" t="s">
        <v>32496</v>
      </c>
      <c r="J9742" s="0" t="s">
        <v>32497</v>
      </c>
      <c r="K9742" s="0" t="s">
        <v>32498</v>
      </c>
      <c r="L9742" s="0" t="str">
        <f aca="false">HYPERLINK("https://www.ncbi.nlm.nih.gov/nuccore/CP000304.1?report=graph&amp;tracks=[key:gene_model_track,Options:GeneOnly]&amp;mk=2765545:2765564|offset_72|00cc00,2765574:2765593|offset_101|444444,2765607:2765626|offset_134|444444,2765634:2765653|offset_161|444444&amp;v=2765344:2765853&amp;c=444444", "offset 72")</f>
        <v>offset 72</v>
      </c>
    </row>
    <row r="9743" customFormat="false" ht="12.8" hidden="false" customHeight="false" outlineLevel="0" collapsed="false">
      <c r="A9743" s="0" t="s">
        <v>12</v>
      </c>
      <c r="B9743" s="0" t="n">
        <v>2765573</v>
      </c>
      <c r="C9743" s="0" t="n">
        <v>2765593</v>
      </c>
      <c r="D9743" s="0" t="s">
        <v>32495</v>
      </c>
      <c r="E9743" s="0" t="s">
        <v>89</v>
      </c>
      <c r="F9743" s="0" t="s">
        <v>15</v>
      </c>
      <c r="G9743" s="0" t="s">
        <v>26</v>
      </c>
      <c r="H9743" s="0" t="n">
        <v>101</v>
      </c>
      <c r="I9743" s="0" t="s">
        <v>32499</v>
      </c>
      <c r="J9743" s="0" t="s">
        <v>32500</v>
      </c>
      <c r="K9743" s="0" t="s">
        <v>32501</v>
      </c>
      <c r="L9743" s="0" t="str">
        <f aca="false">HYPERLINK("https://www.ncbi.nlm.nih.gov/nuccore/CP000304.1?report=graph&amp;tracks=[key:gene_model_track,Options:GeneOnly]&amp;mk=2765545:2765564|offset_72|444444,2765574:2765593|offset_101|00cc00,2765607:2765626|offset_134|444444,2765634:2765653|offset_161|444444&amp;v=2765344:2765853&amp;c=444444", "offset 101")</f>
        <v>offset 101</v>
      </c>
    </row>
    <row r="9744" customFormat="false" ht="12.8" hidden="false" customHeight="false" outlineLevel="0" collapsed="false">
      <c r="A9744" s="0" t="s">
        <v>12</v>
      </c>
      <c r="B9744" s="0" t="n">
        <v>2765606</v>
      </c>
      <c r="C9744" s="0" t="n">
        <v>2765626</v>
      </c>
      <c r="D9744" s="0" t="s">
        <v>32495</v>
      </c>
      <c r="E9744" s="0" t="s">
        <v>89</v>
      </c>
      <c r="F9744" s="0" t="s">
        <v>15</v>
      </c>
      <c r="G9744" s="0" t="s">
        <v>26</v>
      </c>
      <c r="H9744" s="0" t="n">
        <v>134</v>
      </c>
      <c r="I9744" s="0" t="s">
        <v>32502</v>
      </c>
      <c r="J9744" s="0" t="s">
        <v>32503</v>
      </c>
      <c r="K9744" s="0" t="s">
        <v>32504</v>
      </c>
      <c r="L9744" s="0" t="str">
        <f aca="false">HYPERLINK("https://www.ncbi.nlm.nih.gov/nuccore/CP000304.1?report=graph&amp;tracks=[key:gene_model_track,Options:GeneOnly]&amp;mk=2765545:2765564|offset_72|444444,2765574:2765593|offset_101|444444,2765607:2765626|offset_134|00cc00,2765634:2765653|offset_161|444444&amp;v=2765344:2765853&amp;c=444444", "offset 134")</f>
        <v>offset 134</v>
      </c>
    </row>
    <row r="9745" customFormat="false" ht="12.8" hidden="false" customHeight="false" outlineLevel="0" collapsed="false">
      <c r="A9745" s="0" t="s">
        <v>12</v>
      </c>
      <c r="B9745" s="0" t="n">
        <v>2765633</v>
      </c>
      <c r="C9745" s="0" t="n">
        <v>2765653</v>
      </c>
      <c r="D9745" s="0" t="s">
        <v>32495</v>
      </c>
      <c r="E9745" s="0" t="s">
        <v>89</v>
      </c>
      <c r="F9745" s="0" t="s">
        <v>15</v>
      </c>
      <c r="G9745" s="0" t="s">
        <v>26</v>
      </c>
      <c r="H9745" s="0" t="n">
        <v>161</v>
      </c>
      <c r="I9745" s="0" t="s">
        <v>32505</v>
      </c>
      <c r="J9745" s="0" t="s">
        <v>32506</v>
      </c>
      <c r="K9745" s="0" t="s">
        <v>32507</v>
      </c>
      <c r="L9745" s="0" t="str">
        <f aca="false">HYPERLINK("https://www.ncbi.nlm.nih.gov/nuccore/CP000304.1?report=graph&amp;tracks=[key:gene_model_track,Options:GeneOnly]&amp;mk=2765545:2765564|offset_72|444444,2765574:2765593|offset_101|444444,2765607:2765626|offset_134|444444,2765634:2765653|offset_161|00cc00&amp;v=2765344:2765853&amp;c=444444", "offset 161")</f>
        <v>offset 161</v>
      </c>
    </row>
    <row r="9746" customFormat="false" ht="12.8" hidden="false" customHeight="false" outlineLevel="0" collapsed="false">
      <c r="A9746" s="0" t="s">
        <v>12</v>
      </c>
      <c r="B9746" s="0" t="n">
        <v>2766054</v>
      </c>
      <c r="C9746" s="0" t="n">
        <v>2766074</v>
      </c>
      <c r="D9746" s="0" t="s">
        <v>32508</v>
      </c>
      <c r="E9746" s="0" t="s">
        <v>32509</v>
      </c>
      <c r="F9746" s="0" t="s">
        <v>15</v>
      </c>
      <c r="G9746" s="0" t="s">
        <v>26</v>
      </c>
      <c r="H9746" s="0" t="n">
        <v>23</v>
      </c>
      <c r="I9746" s="0" t="s">
        <v>32510</v>
      </c>
      <c r="J9746" s="0" t="s">
        <v>32511</v>
      </c>
      <c r="K9746" s="0" t="s">
        <v>32512</v>
      </c>
      <c r="L9746" s="0" t="str">
        <f aca="false">HYPERLINK("https://www.ncbi.nlm.nih.gov/nuccore/CP000304.1?report=graph&amp;tracks=[key:gene_model_track,Options:GeneOnly]&amp;mk=2766055:2766074|offset_23|00cc00,2766076:2766095|offset_44|444444,2766096:2766115|offset_64|444444,2766126:2766145|offset_94|444444&amp;v=2765854:2766345&amp;c=444444", "offset 23")</f>
        <v>offset 23</v>
      </c>
    </row>
    <row r="9747" customFormat="false" ht="12.8" hidden="false" customHeight="false" outlineLevel="0" collapsed="false">
      <c r="A9747" s="0" t="s">
        <v>12</v>
      </c>
      <c r="B9747" s="0" t="n">
        <v>2766075</v>
      </c>
      <c r="C9747" s="0" t="n">
        <v>2766095</v>
      </c>
      <c r="D9747" s="0" t="s">
        <v>32508</v>
      </c>
      <c r="E9747" s="0" t="s">
        <v>32509</v>
      </c>
      <c r="F9747" s="0" t="s">
        <v>15</v>
      </c>
      <c r="G9747" s="0" t="s">
        <v>26</v>
      </c>
      <c r="H9747" s="0" t="n">
        <v>44</v>
      </c>
      <c r="I9747" s="0" t="s">
        <v>32513</v>
      </c>
      <c r="J9747" s="0" t="s">
        <v>32514</v>
      </c>
      <c r="K9747" s="0" t="s">
        <v>32515</v>
      </c>
      <c r="L9747" s="0" t="str">
        <f aca="false">HYPERLINK("https://www.ncbi.nlm.nih.gov/nuccore/CP000304.1?report=graph&amp;tracks=[key:gene_model_track,Options:GeneOnly]&amp;mk=2766055:2766074|offset_23|444444,2766076:2766095|offset_44|00cc00,2766096:2766115|offset_64|444444,2766126:2766145|offset_94|444444&amp;v=2765854:2766345&amp;c=444444", "offset 44")</f>
        <v>offset 44</v>
      </c>
    </row>
    <row r="9748" customFormat="false" ht="12.8" hidden="false" customHeight="false" outlineLevel="0" collapsed="false">
      <c r="A9748" s="0" t="s">
        <v>12</v>
      </c>
      <c r="B9748" s="0" t="n">
        <v>2766095</v>
      </c>
      <c r="C9748" s="0" t="n">
        <v>2766115</v>
      </c>
      <c r="D9748" s="0" t="s">
        <v>32508</v>
      </c>
      <c r="E9748" s="0" t="s">
        <v>32509</v>
      </c>
      <c r="F9748" s="0" t="s">
        <v>15</v>
      </c>
      <c r="G9748" s="0" t="s">
        <v>36</v>
      </c>
      <c r="H9748" s="0" t="n">
        <v>64</v>
      </c>
      <c r="I9748" s="0" t="s">
        <v>32516</v>
      </c>
      <c r="J9748" s="0" t="s">
        <v>32517</v>
      </c>
      <c r="K9748" s="0" t="s">
        <v>32518</v>
      </c>
      <c r="L9748" s="0" t="str">
        <f aca="false">HYPERLINK("https://www.ncbi.nlm.nih.gov/nuccore/CP000304.1?report=graph&amp;tracks=[key:gene_model_track,Options:GeneOnly]&amp;mk=2766055:2766074|offset_23|444444,2766076:2766095|offset_44|444444,2766096:2766115|offset_64|00cc00,2766126:2766145|offset_94|444444&amp;v=2765854:2766345&amp;c=444444", "offset 64")</f>
        <v>offset 64</v>
      </c>
    </row>
    <row r="9749" customFormat="false" ht="12.8" hidden="false" customHeight="false" outlineLevel="0" collapsed="false">
      <c r="A9749" s="0" t="s">
        <v>12</v>
      </c>
      <c r="B9749" s="0" t="n">
        <v>2766125</v>
      </c>
      <c r="C9749" s="0" t="n">
        <v>2766145</v>
      </c>
      <c r="D9749" s="0" t="s">
        <v>32508</v>
      </c>
      <c r="E9749" s="0" t="s">
        <v>32509</v>
      </c>
      <c r="F9749" s="0" t="s">
        <v>15</v>
      </c>
      <c r="G9749" s="0" t="s">
        <v>16</v>
      </c>
      <c r="H9749" s="0" t="n">
        <v>94</v>
      </c>
      <c r="I9749" s="0" t="s">
        <v>32519</v>
      </c>
      <c r="J9749" s="0" t="s">
        <v>32520</v>
      </c>
      <c r="K9749" s="0" t="s">
        <v>32521</v>
      </c>
      <c r="L9749" s="0" t="str">
        <f aca="false">HYPERLINK("https://www.ncbi.nlm.nih.gov/nuccore/CP000304.1?report=graph&amp;tracks=[key:gene_model_track,Options:GeneOnly]&amp;mk=2766055:2766074|offset_23|444444,2766076:2766095|offset_44|444444,2766096:2766115|offset_64|444444,2766126:2766145|offset_94|00cc00&amp;v=2765854:2766345&amp;c=444444", "offset 94")</f>
        <v>offset 94</v>
      </c>
    </row>
    <row r="9750" customFormat="false" ht="12.8" hidden="false" customHeight="false" outlineLevel="0" collapsed="false">
      <c r="A9750" s="0" t="s">
        <v>12</v>
      </c>
      <c r="B9750" s="0" t="n">
        <v>2766971</v>
      </c>
      <c r="C9750" s="0" t="n">
        <v>2766991</v>
      </c>
      <c r="D9750" s="0" t="s">
        <v>32522</v>
      </c>
      <c r="E9750" s="0" t="s">
        <v>89</v>
      </c>
      <c r="F9750" s="0" t="s">
        <v>15</v>
      </c>
      <c r="G9750" s="0" t="s">
        <v>16</v>
      </c>
      <c r="H9750" s="0" t="n">
        <v>17</v>
      </c>
      <c r="I9750" s="0" t="s">
        <v>32523</v>
      </c>
      <c r="J9750" s="0" t="s">
        <v>32524</v>
      </c>
      <c r="K9750" s="0" t="s">
        <v>32525</v>
      </c>
      <c r="L9750" s="0" t="str">
        <f aca="false">HYPERLINK("https://www.ncbi.nlm.nih.gov/nuccore/CP000304.1?report=graph&amp;tracks=[key:gene_model_track,Options:GeneOnly]&amp;mk=2766972:2766991|offset_17|00cc00,2766996:2767015|offset_41|444444,2767019:2767038|offset_64|444444,2767041:2767060|offset_86|444444&amp;v=2766771:2767260&amp;c=444444", "offset 17")</f>
        <v>offset 17</v>
      </c>
    </row>
    <row r="9751" customFormat="false" ht="12.8" hidden="false" customHeight="false" outlineLevel="0" collapsed="false">
      <c r="A9751" s="0" t="s">
        <v>12</v>
      </c>
      <c r="B9751" s="0" t="n">
        <v>2766995</v>
      </c>
      <c r="C9751" s="0" t="n">
        <v>2767015</v>
      </c>
      <c r="D9751" s="0" t="s">
        <v>32522</v>
      </c>
      <c r="E9751" s="0" t="s">
        <v>89</v>
      </c>
      <c r="F9751" s="0" t="s">
        <v>15</v>
      </c>
      <c r="G9751" s="0" t="s">
        <v>16</v>
      </c>
      <c r="H9751" s="0" t="n">
        <v>41</v>
      </c>
      <c r="I9751" s="0" t="s">
        <v>32526</v>
      </c>
      <c r="J9751" s="0" t="s">
        <v>32527</v>
      </c>
      <c r="K9751" s="0" t="s">
        <v>32528</v>
      </c>
      <c r="L9751" s="0" t="str">
        <f aca="false">HYPERLINK("https://www.ncbi.nlm.nih.gov/nuccore/CP000304.1?report=graph&amp;tracks=[key:gene_model_track,Options:GeneOnly]&amp;mk=2766972:2766991|offset_17|444444,2766996:2767015|offset_41|00cc00,2767019:2767038|offset_64|444444,2767041:2767060|offset_86|444444&amp;v=2766771:2767260&amp;c=444444", "offset 41")</f>
        <v>offset 41</v>
      </c>
    </row>
    <row r="9752" customFormat="false" ht="12.8" hidden="false" customHeight="false" outlineLevel="0" collapsed="false">
      <c r="A9752" s="0" t="s">
        <v>12</v>
      </c>
      <c r="B9752" s="0" t="n">
        <v>2767018</v>
      </c>
      <c r="C9752" s="0" t="n">
        <v>2767038</v>
      </c>
      <c r="D9752" s="0" t="s">
        <v>32522</v>
      </c>
      <c r="E9752" s="0" t="s">
        <v>89</v>
      </c>
      <c r="F9752" s="0" t="s">
        <v>15</v>
      </c>
      <c r="G9752" s="0" t="s">
        <v>36</v>
      </c>
      <c r="H9752" s="0" t="n">
        <v>64</v>
      </c>
      <c r="I9752" s="0" t="s">
        <v>32529</v>
      </c>
      <c r="J9752" s="0" t="s">
        <v>32530</v>
      </c>
      <c r="K9752" s="0" t="s">
        <v>32531</v>
      </c>
      <c r="L9752" s="0" t="str">
        <f aca="false">HYPERLINK("https://www.ncbi.nlm.nih.gov/nuccore/CP000304.1?report=graph&amp;tracks=[key:gene_model_track,Options:GeneOnly]&amp;mk=2766972:2766991|offset_17|444444,2766996:2767015|offset_41|444444,2767019:2767038|offset_64|00cc00,2767041:2767060|offset_86|444444&amp;v=2766771:2767260&amp;c=444444", "offset 64")</f>
        <v>offset 64</v>
      </c>
    </row>
    <row r="9753" customFormat="false" ht="12.8" hidden="false" customHeight="false" outlineLevel="0" collapsed="false">
      <c r="A9753" s="0" t="s">
        <v>12</v>
      </c>
      <c r="B9753" s="0" t="n">
        <v>2767040</v>
      </c>
      <c r="C9753" s="0" t="n">
        <v>2767060</v>
      </c>
      <c r="D9753" s="0" t="s">
        <v>32522</v>
      </c>
      <c r="E9753" s="0" t="s">
        <v>89</v>
      </c>
      <c r="F9753" s="0" t="s">
        <v>15</v>
      </c>
      <c r="G9753" s="0" t="s">
        <v>32</v>
      </c>
      <c r="H9753" s="0" t="n">
        <v>86</v>
      </c>
      <c r="I9753" s="0" t="s">
        <v>32532</v>
      </c>
      <c r="J9753" s="0" t="s">
        <v>32533</v>
      </c>
      <c r="K9753" s="0" t="s">
        <v>32534</v>
      </c>
      <c r="L9753" s="0" t="str">
        <f aca="false">HYPERLINK("https://www.ncbi.nlm.nih.gov/nuccore/CP000304.1?report=graph&amp;tracks=[key:gene_model_track,Options:GeneOnly]&amp;mk=2766972:2766991|offset_17|444444,2766996:2767015|offset_41|444444,2767019:2767038|offset_64|444444,2767041:2767060|offset_86|00cc00&amp;v=2766771:2767260&amp;c=444444", "offset 86")</f>
        <v>offset 86</v>
      </c>
    </row>
    <row r="9754" customFormat="false" ht="12.8" hidden="false" customHeight="false" outlineLevel="0" collapsed="false">
      <c r="A9754" s="0" t="s">
        <v>12</v>
      </c>
      <c r="B9754" s="0" t="n">
        <v>2768286</v>
      </c>
      <c r="C9754" s="0" t="n">
        <v>2768306</v>
      </c>
      <c r="D9754" s="0" t="s">
        <v>32535</v>
      </c>
      <c r="E9754" s="0" t="s">
        <v>89</v>
      </c>
      <c r="F9754" s="0" t="s">
        <v>90</v>
      </c>
      <c r="G9754" s="0" t="s">
        <v>32</v>
      </c>
      <c r="H9754" s="0" t="n">
        <v>8</v>
      </c>
      <c r="I9754" s="0" t="s">
        <v>32536</v>
      </c>
      <c r="J9754" s="0" t="s">
        <v>32537</v>
      </c>
      <c r="K9754" s="0" t="s">
        <v>32538</v>
      </c>
      <c r="L9754" s="0" t="str">
        <f aca="false">HYPERLINK("https://www.ncbi.nlm.nih.gov/nuccore/CP000304.1?report=graph&amp;tracks=[key:gene_model_track,Options:GeneOnly]&amp;mk=2768287:2768306|offset_8|00cc00,2768239:2768258|offset_56|444444,2768212:2768231|offset_83|444444,2768187:2768206|offset_108|444444&amp;v=2768086:2768406&amp;c=444444", "offset 8")</f>
        <v>offset 8</v>
      </c>
    </row>
    <row r="9755" customFormat="false" ht="12.8" hidden="false" customHeight="false" outlineLevel="0" collapsed="false">
      <c r="A9755" s="0" t="s">
        <v>12</v>
      </c>
      <c r="B9755" s="0" t="n">
        <v>2768238</v>
      </c>
      <c r="C9755" s="0" t="n">
        <v>2768258</v>
      </c>
      <c r="D9755" s="0" t="s">
        <v>32535</v>
      </c>
      <c r="E9755" s="0" t="s">
        <v>89</v>
      </c>
      <c r="F9755" s="0" t="s">
        <v>90</v>
      </c>
      <c r="G9755" s="0" t="s">
        <v>26</v>
      </c>
      <c r="H9755" s="0" t="n">
        <v>56</v>
      </c>
      <c r="I9755" s="0" t="s">
        <v>32539</v>
      </c>
      <c r="J9755" s="0" t="s">
        <v>32540</v>
      </c>
      <c r="K9755" s="0" t="s">
        <v>32541</v>
      </c>
      <c r="L9755" s="0" t="str">
        <f aca="false">HYPERLINK("https://www.ncbi.nlm.nih.gov/nuccore/CP000304.1?report=graph&amp;tracks=[key:gene_model_track,Options:GeneOnly]&amp;mk=2768287:2768306|offset_8|444444,2768239:2768258|offset_56|00cc00,2768212:2768231|offset_83|444444,2768187:2768206|offset_108|444444&amp;v=2768086:2768406&amp;c=444444", "offset 56")</f>
        <v>offset 56</v>
      </c>
    </row>
    <row r="9756" customFormat="false" ht="12.8" hidden="false" customHeight="false" outlineLevel="0" collapsed="false">
      <c r="A9756" s="0" t="s">
        <v>12</v>
      </c>
      <c r="B9756" s="0" t="n">
        <v>2768211</v>
      </c>
      <c r="C9756" s="0" t="n">
        <v>2768231</v>
      </c>
      <c r="D9756" s="0" t="s">
        <v>32535</v>
      </c>
      <c r="E9756" s="0" t="s">
        <v>89</v>
      </c>
      <c r="F9756" s="0" t="s">
        <v>90</v>
      </c>
      <c r="G9756" s="0" t="s">
        <v>16</v>
      </c>
      <c r="H9756" s="0" t="n">
        <v>83</v>
      </c>
      <c r="I9756" s="0" t="s">
        <v>32542</v>
      </c>
      <c r="J9756" s="0" t="s">
        <v>32543</v>
      </c>
      <c r="K9756" s="0" t="s">
        <v>32544</v>
      </c>
      <c r="L9756" s="0" t="str">
        <f aca="false">HYPERLINK("https://www.ncbi.nlm.nih.gov/nuccore/CP000304.1?report=graph&amp;tracks=[key:gene_model_track,Options:GeneOnly]&amp;mk=2768287:2768306|offset_8|444444,2768239:2768258|offset_56|444444,2768212:2768231|offset_83|00cc00,2768187:2768206|offset_108|444444&amp;v=2768086:2768406&amp;c=444444", "offset 83")</f>
        <v>offset 83</v>
      </c>
    </row>
    <row r="9757" customFormat="false" ht="12.8" hidden="false" customHeight="false" outlineLevel="0" collapsed="false">
      <c r="A9757" s="0" t="s">
        <v>12</v>
      </c>
      <c r="B9757" s="0" t="n">
        <v>2768186</v>
      </c>
      <c r="C9757" s="0" t="n">
        <v>2768206</v>
      </c>
      <c r="D9757" s="0" t="s">
        <v>32535</v>
      </c>
      <c r="E9757" s="0" t="s">
        <v>89</v>
      </c>
      <c r="F9757" s="0" t="s">
        <v>90</v>
      </c>
      <c r="G9757" s="0" t="s">
        <v>36</v>
      </c>
      <c r="H9757" s="0" t="n">
        <v>108</v>
      </c>
      <c r="I9757" s="0" t="s">
        <v>32545</v>
      </c>
      <c r="J9757" s="0" t="s">
        <v>32546</v>
      </c>
      <c r="K9757" s="0" t="s">
        <v>32547</v>
      </c>
      <c r="L9757" s="0" t="str">
        <f aca="false">HYPERLINK("https://www.ncbi.nlm.nih.gov/nuccore/CP000304.1?report=graph&amp;tracks=[key:gene_model_track,Options:GeneOnly]&amp;mk=2768287:2768306|offset_8|444444,2768239:2768258|offset_56|444444,2768212:2768231|offset_83|444444,2768187:2768206|offset_108|00cc00&amp;v=2768086:2768406&amp;c=444444", "offset 108")</f>
        <v>offset 108</v>
      </c>
    </row>
    <row r="9758" customFormat="false" ht="12.8" hidden="false" customHeight="false" outlineLevel="0" collapsed="false">
      <c r="A9758" s="0" t="s">
        <v>12</v>
      </c>
      <c r="B9758" s="0" t="n">
        <v>2769560</v>
      </c>
      <c r="C9758" s="0" t="n">
        <v>2769580</v>
      </c>
      <c r="D9758" s="0" t="s">
        <v>32548</v>
      </c>
      <c r="E9758" s="0" t="s">
        <v>32549</v>
      </c>
      <c r="F9758" s="0" t="s">
        <v>90</v>
      </c>
      <c r="G9758" s="0" t="s">
        <v>32</v>
      </c>
      <c r="H9758" s="0" t="n">
        <v>11</v>
      </c>
      <c r="I9758" s="0" t="s">
        <v>32550</v>
      </c>
      <c r="J9758" s="0" t="s">
        <v>32551</v>
      </c>
      <c r="K9758" s="0" t="s">
        <v>32552</v>
      </c>
      <c r="L9758" s="0" t="str">
        <f aca="false">HYPERLINK("https://www.ncbi.nlm.nih.gov/nuccore/CP000304.1?report=graph&amp;tracks=[key:gene_model_track,Options:GeneOnly]&amp;mk=2769561:2769580|offset_11|00cc00,2769527:2769546|offset_45|444444,2769499:2769518|offset_73|444444,2769444:2769463|offset_128|444444&amp;v=2769360:2769663&amp;c=444444", "offset 11")</f>
        <v>offset 11</v>
      </c>
    </row>
    <row r="9759" customFormat="false" ht="12.8" hidden="false" customHeight="false" outlineLevel="0" collapsed="false">
      <c r="A9759" s="0" t="s">
        <v>12</v>
      </c>
      <c r="B9759" s="0" t="n">
        <v>2769526</v>
      </c>
      <c r="C9759" s="0" t="n">
        <v>2769546</v>
      </c>
      <c r="D9759" s="0" t="s">
        <v>32548</v>
      </c>
      <c r="E9759" s="0" t="s">
        <v>32549</v>
      </c>
      <c r="F9759" s="0" t="s">
        <v>90</v>
      </c>
      <c r="G9759" s="0" t="s">
        <v>16</v>
      </c>
      <c r="H9759" s="0" t="n">
        <v>45</v>
      </c>
      <c r="I9759" s="0" t="s">
        <v>32553</v>
      </c>
      <c r="J9759" s="0" t="s">
        <v>32554</v>
      </c>
      <c r="K9759" s="0" t="s">
        <v>32555</v>
      </c>
      <c r="L9759" s="0" t="str">
        <f aca="false">HYPERLINK("https://www.ncbi.nlm.nih.gov/nuccore/CP000304.1?report=graph&amp;tracks=[key:gene_model_track,Options:GeneOnly]&amp;mk=2769561:2769580|offset_11|444444,2769527:2769546|offset_45|00cc00,2769499:2769518|offset_73|444444,2769444:2769463|offset_128|444444&amp;v=2769360:2769663&amp;c=444444", "offset 45")</f>
        <v>offset 45</v>
      </c>
    </row>
    <row r="9760" customFormat="false" ht="12.8" hidden="false" customHeight="false" outlineLevel="0" collapsed="false">
      <c r="A9760" s="0" t="s">
        <v>12</v>
      </c>
      <c r="B9760" s="0" t="n">
        <v>2769498</v>
      </c>
      <c r="C9760" s="0" t="n">
        <v>2769518</v>
      </c>
      <c r="D9760" s="0" t="s">
        <v>32548</v>
      </c>
      <c r="E9760" s="0" t="s">
        <v>32549</v>
      </c>
      <c r="F9760" s="0" t="s">
        <v>90</v>
      </c>
      <c r="G9760" s="0" t="s">
        <v>26</v>
      </c>
      <c r="H9760" s="0" t="n">
        <v>73</v>
      </c>
      <c r="I9760" s="0" t="s">
        <v>32556</v>
      </c>
      <c r="J9760" s="0" t="s">
        <v>32557</v>
      </c>
      <c r="K9760" s="0" t="s">
        <v>32558</v>
      </c>
      <c r="L9760" s="0" t="str">
        <f aca="false">HYPERLINK("https://www.ncbi.nlm.nih.gov/nuccore/CP000304.1?report=graph&amp;tracks=[key:gene_model_track,Options:GeneOnly]&amp;mk=2769561:2769580|offset_11|444444,2769527:2769546|offset_45|444444,2769499:2769518|offset_73|00cc00,2769444:2769463|offset_128|444444&amp;v=2769360:2769663&amp;c=444444", "offset 73")</f>
        <v>offset 73</v>
      </c>
    </row>
    <row r="9761" customFormat="false" ht="12.8" hidden="false" customHeight="false" outlineLevel="0" collapsed="false">
      <c r="A9761" s="0" t="s">
        <v>12</v>
      </c>
      <c r="B9761" s="0" t="n">
        <v>2769443</v>
      </c>
      <c r="C9761" s="0" t="n">
        <v>2769463</v>
      </c>
      <c r="D9761" s="0" t="s">
        <v>32548</v>
      </c>
      <c r="E9761" s="0" t="s">
        <v>32549</v>
      </c>
      <c r="F9761" s="0" t="s">
        <v>90</v>
      </c>
      <c r="G9761" s="0" t="s">
        <v>26</v>
      </c>
      <c r="H9761" s="0" t="n">
        <v>128</v>
      </c>
      <c r="I9761" s="0" t="s">
        <v>32559</v>
      </c>
      <c r="J9761" s="0" t="s">
        <v>32560</v>
      </c>
      <c r="K9761" s="0" t="s">
        <v>32561</v>
      </c>
      <c r="L9761" s="0" t="str">
        <f aca="false">HYPERLINK("https://www.ncbi.nlm.nih.gov/nuccore/CP000304.1?report=graph&amp;tracks=[key:gene_model_track,Options:GeneOnly]&amp;mk=2769561:2769580|offset_11|444444,2769527:2769546|offset_45|444444,2769499:2769518|offset_73|444444,2769444:2769463|offset_128|00cc00&amp;v=2769360:2769663&amp;c=444444", "offset 128")</f>
        <v>offset 128</v>
      </c>
    </row>
    <row r="9762" customFormat="false" ht="12.8" hidden="false" customHeight="false" outlineLevel="0" collapsed="false">
      <c r="A9762" s="0" t="s">
        <v>12</v>
      </c>
      <c r="B9762" s="0" t="n">
        <v>2770921</v>
      </c>
      <c r="C9762" s="0" t="n">
        <v>2770941</v>
      </c>
      <c r="D9762" s="0" t="s">
        <v>32562</v>
      </c>
      <c r="E9762" s="0" t="s">
        <v>32563</v>
      </c>
      <c r="F9762" s="0" t="s">
        <v>90</v>
      </c>
      <c r="G9762" s="0" t="s">
        <v>32</v>
      </c>
      <c r="H9762" s="0" t="n">
        <v>16</v>
      </c>
      <c r="I9762" s="0" t="s">
        <v>32564</v>
      </c>
      <c r="J9762" s="0" t="s">
        <v>32565</v>
      </c>
      <c r="K9762" s="0" t="s">
        <v>32566</v>
      </c>
      <c r="L9762" s="0" t="str">
        <f aca="false">HYPERLINK("https://www.ncbi.nlm.nih.gov/nuccore/CP000304.1?report=graph&amp;tracks=[key:gene_model_track,Options:GeneOnly]&amp;mk=2770922:2770941|offset_16|00cc00,2770896:2770915|offset_42|444444,2770844:2770863|offset_94|444444,2770792:2770811|offset_146|444444&amp;v=2770721:2771011&amp;c=444444", "offset 16")</f>
        <v>offset 16</v>
      </c>
    </row>
    <row r="9763" customFormat="false" ht="12.8" hidden="false" customHeight="false" outlineLevel="0" collapsed="false">
      <c r="A9763" s="0" t="s">
        <v>12</v>
      </c>
      <c r="B9763" s="0" t="n">
        <v>2770895</v>
      </c>
      <c r="C9763" s="0" t="n">
        <v>2770915</v>
      </c>
      <c r="D9763" s="0" t="s">
        <v>32562</v>
      </c>
      <c r="E9763" s="0" t="s">
        <v>32563</v>
      </c>
      <c r="F9763" s="0" t="s">
        <v>90</v>
      </c>
      <c r="G9763" s="0" t="s">
        <v>36</v>
      </c>
      <c r="H9763" s="0" t="n">
        <v>42</v>
      </c>
      <c r="I9763" s="0" t="s">
        <v>32567</v>
      </c>
      <c r="J9763" s="0" t="s">
        <v>32568</v>
      </c>
      <c r="K9763" s="0" t="s">
        <v>32569</v>
      </c>
      <c r="L9763" s="0" t="str">
        <f aca="false">HYPERLINK("https://www.ncbi.nlm.nih.gov/nuccore/CP000304.1?report=graph&amp;tracks=[key:gene_model_track,Options:GeneOnly]&amp;mk=2770922:2770941|offset_16|444444,2770896:2770915|offset_42|00cc00,2770844:2770863|offset_94|444444,2770792:2770811|offset_146|444444&amp;v=2770721:2771011&amp;c=444444", "offset 42")</f>
        <v>offset 42</v>
      </c>
    </row>
    <row r="9764" customFormat="false" ht="12.8" hidden="false" customHeight="false" outlineLevel="0" collapsed="false">
      <c r="A9764" s="0" t="s">
        <v>12</v>
      </c>
      <c r="B9764" s="0" t="n">
        <v>2770843</v>
      </c>
      <c r="C9764" s="0" t="n">
        <v>2770863</v>
      </c>
      <c r="D9764" s="0" t="s">
        <v>32562</v>
      </c>
      <c r="E9764" s="0" t="s">
        <v>32563</v>
      </c>
      <c r="F9764" s="0" t="s">
        <v>90</v>
      </c>
      <c r="G9764" s="0" t="s">
        <v>16</v>
      </c>
      <c r="H9764" s="0" t="n">
        <v>94</v>
      </c>
      <c r="I9764" s="0" t="s">
        <v>32570</v>
      </c>
      <c r="J9764" s="0" t="s">
        <v>32571</v>
      </c>
      <c r="K9764" s="0" t="s">
        <v>32572</v>
      </c>
      <c r="L9764" s="0" t="str">
        <f aca="false">HYPERLINK("https://www.ncbi.nlm.nih.gov/nuccore/CP000304.1?report=graph&amp;tracks=[key:gene_model_track,Options:GeneOnly]&amp;mk=2770922:2770941|offset_16|444444,2770896:2770915|offset_42|444444,2770844:2770863|offset_94|00cc00,2770792:2770811|offset_146|444444&amp;v=2770721:2771011&amp;c=444444", "offset 94")</f>
        <v>offset 94</v>
      </c>
    </row>
    <row r="9765" customFormat="false" ht="12.8" hidden="false" customHeight="false" outlineLevel="0" collapsed="false">
      <c r="A9765" s="0" t="s">
        <v>12</v>
      </c>
      <c r="B9765" s="0" t="n">
        <v>2770791</v>
      </c>
      <c r="C9765" s="0" t="n">
        <v>2770811</v>
      </c>
      <c r="D9765" s="0" t="s">
        <v>32562</v>
      </c>
      <c r="E9765" s="0" t="s">
        <v>32563</v>
      </c>
      <c r="F9765" s="0" t="s">
        <v>90</v>
      </c>
      <c r="G9765" s="0" t="s">
        <v>16</v>
      </c>
      <c r="H9765" s="0" t="n">
        <v>146</v>
      </c>
      <c r="I9765" s="0" t="s">
        <v>32573</v>
      </c>
      <c r="J9765" s="0" t="s">
        <v>32574</v>
      </c>
      <c r="K9765" s="0" t="s">
        <v>32575</v>
      </c>
      <c r="L9765" s="0" t="str">
        <f aca="false">HYPERLINK("https://www.ncbi.nlm.nih.gov/nuccore/CP000304.1?report=graph&amp;tracks=[key:gene_model_track,Options:GeneOnly]&amp;mk=2770922:2770941|offset_16|444444,2770896:2770915|offset_42|444444,2770844:2770863|offset_94|444444,2770792:2770811|offset_146|00cc00&amp;v=2770721:2771011&amp;c=444444", "offset 146")</f>
        <v>offset 146</v>
      </c>
    </row>
    <row r="9766" customFormat="false" ht="12.8" hidden="false" customHeight="false" outlineLevel="0" collapsed="false">
      <c r="A9766" s="0" t="s">
        <v>12</v>
      </c>
      <c r="B9766" s="0" t="n">
        <v>2772558</v>
      </c>
      <c r="C9766" s="0" t="n">
        <v>2772578</v>
      </c>
      <c r="D9766" s="0" t="s">
        <v>32576</v>
      </c>
      <c r="E9766" s="0" t="s">
        <v>32577</v>
      </c>
      <c r="F9766" s="0" t="s">
        <v>90</v>
      </c>
      <c r="G9766" s="0" t="s">
        <v>26</v>
      </c>
      <c r="H9766" s="0" t="n">
        <v>27</v>
      </c>
      <c r="I9766" s="0" t="s">
        <v>32578</v>
      </c>
      <c r="J9766" s="0" t="s">
        <v>32579</v>
      </c>
      <c r="K9766" s="0" t="s">
        <v>32580</v>
      </c>
      <c r="L9766" s="0" t="str">
        <f aca="false">HYPERLINK("https://www.ncbi.nlm.nih.gov/nuccore/CP000304.1?report=graph&amp;tracks=[key:gene_model_track,Options:GeneOnly]&amp;mk=2772559:2772578|offset_27|00cc00,2772522:2772541|offset_64|444444,2772491:2772510|offset_95|444444,2772432:2772451|offset_154|444444&amp;v=2772358:2772651&amp;c=444444", "offset 27")</f>
        <v>offset 27</v>
      </c>
    </row>
    <row r="9767" customFormat="false" ht="12.8" hidden="false" customHeight="false" outlineLevel="0" collapsed="false">
      <c r="A9767" s="0" t="s">
        <v>12</v>
      </c>
      <c r="B9767" s="0" t="n">
        <v>2772521</v>
      </c>
      <c r="C9767" s="0" t="n">
        <v>2772541</v>
      </c>
      <c r="D9767" s="0" t="s">
        <v>32576</v>
      </c>
      <c r="E9767" s="0" t="s">
        <v>32577</v>
      </c>
      <c r="F9767" s="0" t="s">
        <v>90</v>
      </c>
      <c r="G9767" s="0" t="s">
        <v>32</v>
      </c>
      <c r="H9767" s="0" t="n">
        <v>64</v>
      </c>
      <c r="I9767" s="0" t="s">
        <v>32581</v>
      </c>
      <c r="J9767" s="0" t="s">
        <v>32582</v>
      </c>
      <c r="K9767" s="0" t="s">
        <v>32583</v>
      </c>
      <c r="L9767" s="0" t="str">
        <f aca="false">HYPERLINK("https://www.ncbi.nlm.nih.gov/nuccore/CP000304.1?report=graph&amp;tracks=[key:gene_model_track,Options:GeneOnly]&amp;mk=2772559:2772578|offset_27|444444,2772522:2772541|offset_64|00cc00,2772491:2772510|offset_95|444444,2772432:2772451|offset_154|444444&amp;v=2772358:2772651&amp;c=444444", "offset 64")</f>
        <v>offset 64</v>
      </c>
    </row>
    <row r="9768" customFormat="false" ht="12.8" hidden="false" customHeight="false" outlineLevel="0" collapsed="false">
      <c r="A9768" s="0" t="s">
        <v>12</v>
      </c>
      <c r="B9768" s="0" t="n">
        <v>2772490</v>
      </c>
      <c r="C9768" s="0" t="n">
        <v>2772510</v>
      </c>
      <c r="D9768" s="0" t="s">
        <v>32576</v>
      </c>
      <c r="E9768" s="0" t="s">
        <v>32577</v>
      </c>
      <c r="F9768" s="0" t="s">
        <v>90</v>
      </c>
      <c r="G9768" s="0" t="s">
        <v>16</v>
      </c>
      <c r="H9768" s="0" t="n">
        <v>95</v>
      </c>
      <c r="I9768" s="0" t="s">
        <v>32584</v>
      </c>
      <c r="J9768" s="0" t="s">
        <v>32585</v>
      </c>
      <c r="K9768" s="0" t="s">
        <v>32586</v>
      </c>
      <c r="L9768" s="0" t="str">
        <f aca="false">HYPERLINK("https://www.ncbi.nlm.nih.gov/nuccore/CP000304.1?report=graph&amp;tracks=[key:gene_model_track,Options:GeneOnly]&amp;mk=2772559:2772578|offset_27|444444,2772522:2772541|offset_64|444444,2772491:2772510|offset_95|00cc00,2772432:2772451|offset_154|444444&amp;v=2772358:2772651&amp;c=444444", "offset 95")</f>
        <v>offset 95</v>
      </c>
    </row>
    <row r="9769" customFormat="false" ht="12.8" hidden="false" customHeight="false" outlineLevel="0" collapsed="false">
      <c r="A9769" s="0" t="s">
        <v>12</v>
      </c>
      <c r="B9769" s="0" t="n">
        <v>2772431</v>
      </c>
      <c r="C9769" s="0" t="n">
        <v>2772451</v>
      </c>
      <c r="D9769" s="0" t="s">
        <v>32576</v>
      </c>
      <c r="E9769" s="0" t="s">
        <v>32577</v>
      </c>
      <c r="F9769" s="0" t="s">
        <v>90</v>
      </c>
      <c r="G9769" s="0" t="s">
        <v>32</v>
      </c>
      <c r="H9769" s="0" t="n">
        <v>154</v>
      </c>
      <c r="I9769" s="0" t="s">
        <v>32587</v>
      </c>
      <c r="J9769" s="0" t="s">
        <v>32588</v>
      </c>
      <c r="K9769" s="0" t="s">
        <v>32589</v>
      </c>
      <c r="L9769" s="0" t="str">
        <f aca="false">HYPERLINK("https://www.ncbi.nlm.nih.gov/nuccore/CP000304.1?report=graph&amp;tracks=[key:gene_model_track,Options:GeneOnly]&amp;mk=2772559:2772578|offset_27|444444,2772522:2772541|offset_64|444444,2772491:2772510|offset_95|444444,2772432:2772451|offset_154|00cc00&amp;v=2772358:2772651&amp;c=444444", "offset 154")</f>
        <v>offset 154</v>
      </c>
    </row>
    <row r="9770" customFormat="false" ht="12.8" hidden="false" customHeight="false" outlineLevel="0" collapsed="false">
      <c r="A9770" s="0" t="s">
        <v>12</v>
      </c>
      <c r="B9770" s="0" t="n">
        <v>2773207</v>
      </c>
      <c r="C9770" s="0" t="n">
        <v>2773227</v>
      </c>
      <c r="D9770" s="0" t="s">
        <v>32590</v>
      </c>
      <c r="E9770" s="0" t="s">
        <v>89</v>
      </c>
      <c r="F9770" s="0" t="s">
        <v>90</v>
      </c>
      <c r="G9770" s="0" t="s">
        <v>16</v>
      </c>
      <c r="H9770" s="0" t="n">
        <v>13</v>
      </c>
      <c r="I9770" s="0" t="s">
        <v>32591</v>
      </c>
      <c r="J9770" s="0" t="s">
        <v>32592</v>
      </c>
      <c r="K9770" s="0" t="s">
        <v>32593</v>
      </c>
      <c r="L9770" s="0" t="str">
        <f aca="false">HYPERLINK("https://www.ncbi.nlm.nih.gov/nuccore/CP000304.1?report=graph&amp;tracks=[key:gene_model_track,Options:GeneOnly]&amp;mk=2773208:2773227|offset_13|00cc00,2773187:2773206|offset_34|444444,2773142:2773161|offset_79|444444,2773117:2773136|offset_104|444444&amp;v=2773007:2773336&amp;c=444444", "offset 13")</f>
        <v>offset 13</v>
      </c>
    </row>
    <row r="9771" customFormat="false" ht="12.8" hidden="false" customHeight="false" outlineLevel="0" collapsed="false">
      <c r="A9771" s="0" t="s">
        <v>12</v>
      </c>
      <c r="B9771" s="0" t="n">
        <v>2773186</v>
      </c>
      <c r="C9771" s="0" t="n">
        <v>2773206</v>
      </c>
      <c r="D9771" s="0" t="s">
        <v>32590</v>
      </c>
      <c r="E9771" s="0" t="s">
        <v>89</v>
      </c>
      <c r="F9771" s="0" t="s">
        <v>90</v>
      </c>
      <c r="G9771" s="0" t="s">
        <v>16</v>
      </c>
      <c r="H9771" s="0" t="n">
        <v>34</v>
      </c>
      <c r="I9771" s="0" t="s">
        <v>32594</v>
      </c>
      <c r="J9771" s="0" t="s">
        <v>32595</v>
      </c>
      <c r="K9771" s="0" t="s">
        <v>32596</v>
      </c>
      <c r="L9771" s="0" t="str">
        <f aca="false">HYPERLINK("https://www.ncbi.nlm.nih.gov/nuccore/CP000304.1?report=graph&amp;tracks=[key:gene_model_track,Options:GeneOnly]&amp;mk=2773208:2773227|offset_13|444444,2773187:2773206|offset_34|00cc00,2773142:2773161|offset_79|444444,2773117:2773136|offset_104|444444&amp;v=2773007:2773336&amp;c=444444", "offset 34")</f>
        <v>offset 34</v>
      </c>
    </row>
    <row r="9772" customFormat="false" ht="12.8" hidden="false" customHeight="false" outlineLevel="0" collapsed="false">
      <c r="A9772" s="0" t="s">
        <v>12</v>
      </c>
      <c r="B9772" s="0" t="n">
        <v>2773141</v>
      </c>
      <c r="C9772" s="0" t="n">
        <v>2773161</v>
      </c>
      <c r="D9772" s="0" t="s">
        <v>32590</v>
      </c>
      <c r="E9772" s="0" t="s">
        <v>89</v>
      </c>
      <c r="F9772" s="0" t="s">
        <v>90</v>
      </c>
      <c r="G9772" s="0" t="s">
        <v>32</v>
      </c>
      <c r="H9772" s="0" t="n">
        <v>79</v>
      </c>
      <c r="I9772" s="0" t="s">
        <v>32597</v>
      </c>
      <c r="J9772" s="0" t="s">
        <v>32598</v>
      </c>
      <c r="K9772" s="0" t="s">
        <v>32599</v>
      </c>
      <c r="L9772" s="0" t="str">
        <f aca="false">HYPERLINK("https://www.ncbi.nlm.nih.gov/nuccore/CP000304.1?report=graph&amp;tracks=[key:gene_model_track,Options:GeneOnly]&amp;mk=2773208:2773227|offset_13|444444,2773187:2773206|offset_34|444444,2773142:2773161|offset_79|00cc00,2773117:2773136|offset_104|444444&amp;v=2773007:2773336&amp;c=444444", "offset 79")</f>
        <v>offset 79</v>
      </c>
    </row>
    <row r="9773" customFormat="false" ht="12.8" hidden="false" customHeight="false" outlineLevel="0" collapsed="false">
      <c r="A9773" s="0" t="s">
        <v>12</v>
      </c>
      <c r="B9773" s="0" t="n">
        <v>2773116</v>
      </c>
      <c r="C9773" s="0" t="n">
        <v>2773136</v>
      </c>
      <c r="D9773" s="0" t="s">
        <v>32590</v>
      </c>
      <c r="E9773" s="0" t="s">
        <v>89</v>
      </c>
      <c r="F9773" s="0" t="s">
        <v>90</v>
      </c>
      <c r="G9773" s="0" t="s">
        <v>16</v>
      </c>
      <c r="H9773" s="0" t="n">
        <v>104</v>
      </c>
      <c r="I9773" s="0" t="s">
        <v>32600</v>
      </c>
      <c r="J9773" s="0" t="s">
        <v>32601</v>
      </c>
      <c r="K9773" s="0" t="s">
        <v>32602</v>
      </c>
      <c r="L9773" s="0" t="str">
        <f aca="false">HYPERLINK("https://www.ncbi.nlm.nih.gov/nuccore/CP000304.1?report=graph&amp;tracks=[key:gene_model_track,Options:GeneOnly]&amp;mk=2773208:2773227|offset_13|444444,2773187:2773206|offset_34|444444,2773142:2773161|offset_79|444444,2773117:2773136|offset_104|00cc00&amp;v=2773007:2773336&amp;c=444444", "offset 104")</f>
        <v>offset 104</v>
      </c>
    </row>
    <row r="9774" customFormat="false" ht="12.8" hidden="false" customHeight="false" outlineLevel="0" collapsed="false">
      <c r="A9774" s="0" t="s">
        <v>12</v>
      </c>
      <c r="B9774" s="0" t="n">
        <v>2773794</v>
      </c>
      <c r="C9774" s="0" t="n">
        <v>2773814</v>
      </c>
      <c r="D9774" s="0" t="s">
        <v>32603</v>
      </c>
      <c r="E9774" s="0" t="s">
        <v>89</v>
      </c>
      <c r="F9774" s="0" t="s">
        <v>90</v>
      </c>
      <c r="G9774" s="0" t="s">
        <v>26</v>
      </c>
      <c r="H9774" s="0" t="n">
        <v>8</v>
      </c>
      <c r="I9774" s="0" t="s">
        <v>32604</v>
      </c>
      <c r="J9774" s="0" t="s">
        <v>32605</v>
      </c>
      <c r="K9774" s="0" t="s">
        <v>32606</v>
      </c>
      <c r="L9774" s="0" t="str">
        <f aca="false">HYPERLINK("https://www.ncbi.nlm.nih.gov/nuccore/CP000304.1?report=graph&amp;tracks=[key:gene_model_track,Options:GeneOnly]&amp;mk=2773795:2773814|offset_8|00cc00,2773767:2773786|offset_36|444444,2773745:2773764|offset_58|444444,2773712:2773731|offset_91|444444&amp;v=2773594:2773931&amp;c=444444", "offset 8")</f>
        <v>offset 8</v>
      </c>
    </row>
    <row r="9775" customFormat="false" ht="12.8" hidden="false" customHeight="false" outlineLevel="0" collapsed="false">
      <c r="A9775" s="0" t="s">
        <v>12</v>
      </c>
      <c r="B9775" s="0" t="n">
        <v>2773766</v>
      </c>
      <c r="C9775" s="0" t="n">
        <v>2773786</v>
      </c>
      <c r="D9775" s="0" t="s">
        <v>32603</v>
      </c>
      <c r="E9775" s="0" t="s">
        <v>89</v>
      </c>
      <c r="F9775" s="0" t="s">
        <v>90</v>
      </c>
      <c r="G9775" s="0" t="s">
        <v>36</v>
      </c>
      <c r="H9775" s="0" t="n">
        <v>36</v>
      </c>
      <c r="I9775" s="0" t="s">
        <v>32607</v>
      </c>
      <c r="J9775" s="0" t="s">
        <v>32608</v>
      </c>
      <c r="K9775" s="0" t="s">
        <v>32609</v>
      </c>
      <c r="L9775" s="0" t="str">
        <f aca="false">HYPERLINK("https://www.ncbi.nlm.nih.gov/nuccore/CP000304.1?report=graph&amp;tracks=[key:gene_model_track,Options:GeneOnly]&amp;mk=2773795:2773814|offset_8|444444,2773767:2773786|offset_36|00cc00,2773745:2773764|offset_58|444444,2773712:2773731|offset_91|444444&amp;v=2773594:2773931&amp;c=444444", "offset 36")</f>
        <v>offset 36</v>
      </c>
    </row>
    <row r="9776" customFormat="false" ht="12.8" hidden="false" customHeight="false" outlineLevel="0" collapsed="false">
      <c r="A9776" s="0" t="s">
        <v>12</v>
      </c>
      <c r="B9776" s="0" t="n">
        <v>2773744</v>
      </c>
      <c r="C9776" s="0" t="n">
        <v>2773764</v>
      </c>
      <c r="D9776" s="0" t="s">
        <v>32603</v>
      </c>
      <c r="E9776" s="0" t="s">
        <v>89</v>
      </c>
      <c r="F9776" s="0" t="s">
        <v>90</v>
      </c>
      <c r="G9776" s="0" t="s">
        <v>16</v>
      </c>
      <c r="H9776" s="0" t="n">
        <v>58</v>
      </c>
      <c r="I9776" s="0" t="s">
        <v>32610</v>
      </c>
      <c r="J9776" s="0" t="s">
        <v>32611</v>
      </c>
      <c r="K9776" s="0" t="s">
        <v>32612</v>
      </c>
      <c r="L9776" s="0" t="str">
        <f aca="false">HYPERLINK("https://www.ncbi.nlm.nih.gov/nuccore/CP000304.1?report=graph&amp;tracks=[key:gene_model_track,Options:GeneOnly]&amp;mk=2773795:2773814|offset_8|444444,2773767:2773786|offset_36|444444,2773745:2773764|offset_58|00cc00,2773712:2773731|offset_91|444444&amp;v=2773594:2773931&amp;c=444444", "offset 58")</f>
        <v>offset 58</v>
      </c>
    </row>
    <row r="9777" customFormat="false" ht="12.8" hidden="false" customHeight="false" outlineLevel="0" collapsed="false">
      <c r="A9777" s="0" t="s">
        <v>12</v>
      </c>
      <c r="B9777" s="0" t="n">
        <v>2773711</v>
      </c>
      <c r="C9777" s="0" t="n">
        <v>2773731</v>
      </c>
      <c r="D9777" s="0" t="s">
        <v>32603</v>
      </c>
      <c r="E9777" s="0" t="s">
        <v>89</v>
      </c>
      <c r="F9777" s="0" t="s">
        <v>90</v>
      </c>
      <c r="G9777" s="0" t="s">
        <v>26</v>
      </c>
      <c r="H9777" s="0" t="n">
        <v>91</v>
      </c>
      <c r="I9777" s="0" t="s">
        <v>32613</v>
      </c>
      <c r="J9777" s="0" t="s">
        <v>32614</v>
      </c>
      <c r="K9777" s="0" t="s">
        <v>32615</v>
      </c>
      <c r="L9777" s="0" t="str">
        <f aca="false">HYPERLINK("https://www.ncbi.nlm.nih.gov/nuccore/CP000304.1?report=graph&amp;tracks=[key:gene_model_track,Options:GeneOnly]&amp;mk=2773795:2773814|offset_8|444444,2773767:2773786|offset_36|444444,2773745:2773764|offset_58|444444,2773712:2773731|offset_91|00cc00&amp;v=2773594:2773931&amp;c=444444", "offset 91")</f>
        <v>offset 91</v>
      </c>
    </row>
    <row r="9778" customFormat="false" ht="12.8" hidden="false" customHeight="false" outlineLevel="0" collapsed="false">
      <c r="A9778" s="0" t="s">
        <v>12</v>
      </c>
      <c r="B9778" s="0" t="n">
        <v>2775033</v>
      </c>
      <c r="C9778" s="0" t="n">
        <v>2775053</v>
      </c>
      <c r="D9778" s="0" t="s">
        <v>32616</v>
      </c>
      <c r="E9778" s="0" t="s">
        <v>32617</v>
      </c>
      <c r="F9778" s="0" t="s">
        <v>90</v>
      </c>
      <c r="G9778" s="0" t="s">
        <v>16</v>
      </c>
      <c r="H9778" s="0" t="n">
        <v>7</v>
      </c>
      <c r="I9778" s="0" t="s">
        <v>32618</v>
      </c>
      <c r="J9778" s="0" t="s">
        <v>32619</v>
      </c>
      <c r="K9778" s="0" t="s">
        <v>32620</v>
      </c>
      <c r="L9778" s="0" t="str">
        <f aca="false">HYPERLINK("https://www.ncbi.nlm.nih.gov/nuccore/CP000304.1?report=graph&amp;tracks=[key:gene_model_track,Options:GeneOnly]&amp;mk=2775034:2775053|offset_7|00cc00,2774989:2775008|offset_52|444444,2774953:2774972|offset_88|444444,2774901:2774920|offset_140|444444&amp;v=2774833:2775120&amp;c=444444", "offset 7")</f>
        <v>offset 7</v>
      </c>
    </row>
    <row r="9779" customFormat="false" ht="12.8" hidden="false" customHeight="false" outlineLevel="0" collapsed="false">
      <c r="A9779" s="0" t="s">
        <v>12</v>
      </c>
      <c r="B9779" s="0" t="n">
        <v>2774988</v>
      </c>
      <c r="C9779" s="0" t="n">
        <v>2775008</v>
      </c>
      <c r="D9779" s="0" t="s">
        <v>32616</v>
      </c>
      <c r="E9779" s="0" t="s">
        <v>32617</v>
      </c>
      <c r="F9779" s="0" t="s">
        <v>90</v>
      </c>
      <c r="G9779" s="0" t="s">
        <v>26</v>
      </c>
      <c r="H9779" s="0" t="n">
        <v>52</v>
      </c>
      <c r="I9779" s="0" t="s">
        <v>32621</v>
      </c>
      <c r="J9779" s="0" t="s">
        <v>32622</v>
      </c>
      <c r="K9779" s="0" t="s">
        <v>32623</v>
      </c>
      <c r="L9779" s="0" t="str">
        <f aca="false">HYPERLINK("https://www.ncbi.nlm.nih.gov/nuccore/CP000304.1?report=graph&amp;tracks=[key:gene_model_track,Options:GeneOnly]&amp;mk=2775034:2775053|offset_7|444444,2774989:2775008|offset_52|00cc00,2774953:2774972|offset_88|444444,2774901:2774920|offset_140|444444&amp;v=2774833:2775120&amp;c=444444", "offset 52")</f>
        <v>offset 52</v>
      </c>
    </row>
    <row r="9780" customFormat="false" ht="12.8" hidden="false" customHeight="false" outlineLevel="0" collapsed="false">
      <c r="A9780" s="0" t="s">
        <v>12</v>
      </c>
      <c r="B9780" s="0" t="n">
        <v>2774952</v>
      </c>
      <c r="C9780" s="0" t="n">
        <v>2774972</v>
      </c>
      <c r="D9780" s="0" t="s">
        <v>32616</v>
      </c>
      <c r="E9780" s="0" t="s">
        <v>32617</v>
      </c>
      <c r="F9780" s="0" t="s">
        <v>90</v>
      </c>
      <c r="G9780" s="0" t="s">
        <v>36</v>
      </c>
      <c r="H9780" s="0" t="n">
        <v>88</v>
      </c>
      <c r="I9780" s="0" t="s">
        <v>32624</v>
      </c>
      <c r="J9780" s="0" t="s">
        <v>32625</v>
      </c>
      <c r="K9780" s="0" t="s">
        <v>32626</v>
      </c>
      <c r="L9780" s="0" t="str">
        <f aca="false">HYPERLINK("https://www.ncbi.nlm.nih.gov/nuccore/CP000304.1?report=graph&amp;tracks=[key:gene_model_track,Options:GeneOnly]&amp;mk=2775034:2775053|offset_7|444444,2774989:2775008|offset_52|444444,2774953:2774972|offset_88|00cc00,2774901:2774920|offset_140|444444&amp;v=2774833:2775120&amp;c=444444", "offset 88")</f>
        <v>offset 88</v>
      </c>
    </row>
    <row r="9781" customFormat="false" ht="12.8" hidden="false" customHeight="false" outlineLevel="0" collapsed="false">
      <c r="A9781" s="0" t="s">
        <v>12</v>
      </c>
      <c r="B9781" s="0" t="n">
        <v>2774900</v>
      </c>
      <c r="C9781" s="0" t="n">
        <v>2774920</v>
      </c>
      <c r="D9781" s="0" t="s">
        <v>32616</v>
      </c>
      <c r="E9781" s="0" t="s">
        <v>32617</v>
      </c>
      <c r="F9781" s="0" t="s">
        <v>90</v>
      </c>
      <c r="G9781" s="0" t="s">
        <v>26</v>
      </c>
      <c r="H9781" s="0" t="n">
        <v>140</v>
      </c>
      <c r="I9781" s="0" t="s">
        <v>32627</v>
      </c>
      <c r="J9781" s="0" t="s">
        <v>32628</v>
      </c>
      <c r="K9781" s="0" t="s">
        <v>32629</v>
      </c>
      <c r="L9781" s="0" t="str">
        <f aca="false">HYPERLINK("https://www.ncbi.nlm.nih.gov/nuccore/CP000304.1?report=graph&amp;tracks=[key:gene_model_track,Options:GeneOnly]&amp;mk=2775034:2775053|offset_7|444444,2774989:2775008|offset_52|444444,2774953:2774972|offset_88|444444,2774901:2774920|offset_140|00cc00&amp;v=2774833:2775120&amp;c=444444", "offset 140")</f>
        <v>offset 140</v>
      </c>
    </row>
    <row r="9782" customFormat="false" ht="12.8" hidden="false" customHeight="false" outlineLevel="0" collapsed="false">
      <c r="A9782" s="0" t="s">
        <v>12</v>
      </c>
      <c r="B9782" s="0" t="n">
        <v>2775493</v>
      </c>
      <c r="C9782" s="0" t="n">
        <v>2775513</v>
      </c>
      <c r="D9782" s="0" t="s">
        <v>32630</v>
      </c>
      <c r="E9782" s="0" t="s">
        <v>32631</v>
      </c>
      <c r="F9782" s="0" t="s">
        <v>90</v>
      </c>
      <c r="G9782" s="0" t="s">
        <v>32</v>
      </c>
      <c r="H9782" s="0" t="n">
        <v>17</v>
      </c>
      <c r="I9782" s="0" t="s">
        <v>32632</v>
      </c>
      <c r="J9782" s="0" t="s">
        <v>32633</v>
      </c>
      <c r="K9782" s="0" t="s">
        <v>32634</v>
      </c>
      <c r="L9782" s="0" t="str">
        <f aca="false">HYPERLINK("https://www.ncbi.nlm.nih.gov/nuccore/CP000304.1?report=graph&amp;tracks=[key:gene_model_track,Options:GeneOnly]&amp;mk=2775494:2775513|offset_17|00cc00,2775470:2775489|offset_41|444444,2775438:2775457|offset_73|444444,2775417:2775436|offset_94|444444&amp;v=2775293:2775636&amp;c=444444", "offset 17")</f>
        <v>offset 17</v>
      </c>
    </row>
    <row r="9783" customFormat="false" ht="12.8" hidden="false" customHeight="false" outlineLevel="0" collapsed="false">
      <c r="A9783" s="0" t="s">
        <v>12</v>
      </c>
      <c r="B9783" s="0" t="n">
        <v>2775469</v>
      </c>
      <c r="C9783" s="0" t="n">
        <v>2775489</v>
      </c>
      <c r="D9783" s="0" t="s">
        <v>32630</v>
      </c>
      <c r="E9783" s="0" t="s">
        <v>32631</v>
      </c>
      <c r="F9783" s="0" t="s">
        <v>90</v>
      </c>
      <c r="G9783" s="0" t="s">
        <v>26</v>
      </c>
      <c r="H9783" s="0" t="n">
        <v>41</v>
      </c>
      <c r="I9783" s="0" t="s">
        <v>32635</v>
      </c>
      <c r="J9783" s="0" t="s">
        <v>32636</v>
      </c>
      <c r="K9783" s="0" t="s">
        <v>32637</v>
      </c>
      <c r="L9783" s="0" t="str">
        <f aca="false">HYPERLINK("https://www.ncbi.nlm.nih.gov/nuccore/CP000304.1?report=graph&amp;tracks=[key:gene_model_track,Options:GeneOnly]&amp;mk=2775494:2775513|offset_17|444444,2775470:2775489|offset_41|00cc00,2775438:2775457|offset_73|444444,2775417:2775436|offset_94|444444&amp;v=2775293:2775636&amp;c=444444", "offset 41")</f>
        <v>offset 41</v>
      </c>
    </row>
    <row r="9784" customFormat="false" ht="12.8" hidden="false" customHeight="false" outlineLevel="0" collapsed="false">
      <c r="A9784" s="0" t="s">
        <v>12</v>
      </c>
      <c r="B9784" s="0" t="n">
        <v>2775437</v>
      </c>
      <c r="C9784" s="0" t="n">
        <v>2775457</v>
      </c>
      <c r="D9784" s="0" t="s">
        <v>32630</v>
      </c>
      <c r="E9784" s="0" t="s">
        <v>32631</v>
      </c>
      <c r="F9784" s="0" t="s">
        <v>90</v>
      </c>
      <c r="G9784" s="0" t="s">
        <v>26</v>
      </c>
      <c r="H9784" s="0" t="n">
        <v>73</v>
      </c>
      <c r="I9784" s="0" t="s">
        <v>32638</v>
      </c>
      <c r="J9784" s="0" t="s">
        <v>32639</v>
      </c>
      <c r="K9784" s="0" t="s">
        <v>32640</v>
      </c>
      <c r="L9784" s="0" t="str">
        <f aca="false">HYPERLINK("https://www.ncbi.nlm.nih.gov/nuccore/CP000304.1?report=graph&amp;tracks=[key:gene_model_track,Options:GeneOnly]&amp;mk=2775494:2775513|offset_17|444444,2775470:2775489|offset_41|444444,2775438:2775457|offset_73|00cc00,2775417:2775436|offset_94|444444&amp;v=2775293:2775636&amp;c=444444", "offset 73")</f>
        <v>offset 73</v>
      </c>
    </row>
    <row r="9785" customFormat="false" ht="12.8" hidden="false" customHeight="false" outlineLevel="0" collapsed="false">
      <c r="A9785" s="0" t="s">
        <v>12</v>
      </c>
      <c r="B9785" s="0" t="n">
        <v>2775416</v>
      </c>
      <c r="C9785" s="0" t="n">
        <v>2775436</v>
      </c>
      <c r="D9785" s="0" t="s">
        <v>32630</v>
      </c>
      <c r="E9785" s="0" t="s">
        <v>32631</v>
      </c>
      <c r="F9785" s="0" t="s">
        <v>90</v>
      </c>
      <c r="G9785" s="0" t="s">
        <v>16</v>
      </c>
      <c r="H9785" s="0" t="n">
        <v>94</v>
      </c>
      <c r="I9785" s="0" t="s">
        <v>32641</v>
      </c>
      <c r="J9785" s="0" t="s">
        <v>32642</v>
      </c>
      <c r="K9785" s="0" t="s">
        <v>32643</v>
      </c>
      <c r="L9785" s="0" t="str">
        <f aca="false">HYPERLINK("https://www.ncbi.nlm.nih.gov/nuccore/CP000304.1?report=graph&amp;tracks=[key:gene_model_track,Options:GeneOnly]&amp;mk=2775494:2775513|offset_17|444444,2775470:2775489|offset_41|444444,2775438:2775457|offset_73|444444,2775417:2775436|offset_94|00cc00&amp;v=2775293:2775636&amp;c=444444", "offset 94")</f>
        <v>offset 94</v>
      </c>
    </row>
    <row r="9786" customFormat="false" ht="12.8" hidden="false" customHeight="false" outlineLevel="0" collapsed="false">
      <c r="A9786" s="0" t="s">
        <v>12</v>
      </c>
      <c r="B9786" s="0" t="n">
        <v>2776010</v>
      </c>
      <c r="C9786" s="0" t="n">
        <v>2776030</v>
      </c>
      <c r="D9786" s="0" t="s">
        <v>32644</v>
      </c>
      <c r="E9786" s="0" t="s">
        <v>32645</v>
      </c>
      <c r="F9786" s="0" t="s">
        <v>90</v>
      </c>
      <c r="G9786" s="0" t="s">
        <v>32</v>
      </c>
      <c r="H9786" s="0" t="n">
        <v>12</v>
      </c>
      <c r="I9786" s="0" t="s">
        <v>32646</v>
      </c>
      <c r="J9786" s="0" t="s">
        <v>32647</v>
      </c>
      <c r="K9786" s="0" t="s">
        <v>32648</v>
      </c>
      <c r="L9786" s="0" t="str">
        <f aca="false">HYPERLINK("https://www.ncbi.nlm.nih.gov/nuccore/CP000304.1?report=graph&amp;tracks=[key:gene_model_track,Options:GeneOnly]&amp;mk=2776011:2776030|offset_12|00cc00,2775979:2775998|offset_44|444444,2775954:2775973|offset_69|444444,2775921:2775940|offset_102|444444&amp;v=2775810:2776140&amp;c=444444", "offset 12")</f>
        <v>offset 12</v>
      </c>
    </row>
    <row r="9787" customFormat="false" ht="12.8" hidden="false" customHeight="false" outlineLevel="0" collapsed="false">
      <c r="A9787" s="0" t="s">
        <v>12</v>
      </c>
      <c r="B9787" s="0" t="n">
        <v>2775978</v>
      </c>
      <c r="C9787" s="0" t="n">
        <v>2775998</v>
      </c>
      <c r="D9787" s="0" t="s">
        <v>32644</v>
      </c>
      <c r="E9787" s="0" t="s">
        <v>32645</v>
      </c>
      <c r="F9787" s="0" t="s">
        <v>90</v>
      </c>
      <c r="G9787" s="0" t="s">
        <v>26</v>
      </c>
      <c r="H9787" s="0" t="n">
        <v>44</v>
      </c>
      <c r="I9787" s="0" t="s">
        <v>32649</v>
      </c>
      <c r="J9787" s="0" t="s">
        <v>32650</v>
      </c>
      <c r="K9787" s="0" t="s">
        <v>32651</v>
      </c>
      <c r="L9787" s="0" t="str">
        <f aca="false">HYPERLINK("https://www.ncbi.nlm.nih.gov/nuccore/CP000304.1?report=graph&amp;tracks=[key:gene_model_track,Options:GeneOnly]&amp;mk=2776011:2776030|offset_12|444444,2775979:2775998|offset_44|00cc00,2775954:2775973|offset_69|444444,2775921:2775940|offset_102|444444&amp;v=2775810:2776140&amp;c=444444", "offset 44")</f>
        <v>offset 44</v>
      </c>
    </row>
    <row r="9788" customFormat="false" ht="12.8" hidden="false" customHeight="false" outlineLevel="0" collapsed="false">
      <c r="A9788" s="0" t="s">
        <v>12</v>
      </c>
      <c r="B9788" s="0" t="n">
        <v>2775953</v>
      </c>
      <c r="C9788" s="0" t="n">
        <v>2775973</v>
      </c>
      <c r="D9788" s="0" t="s">
        <v>32644</v>
      </c>
      <c r="E9788" s="0" t="s">
        <v>32645</v>
      </c>
      <c r="F9788" s="0" t="s">
        <v>90</v>
      </c>
      <c r="G9788" s="0" t="s">
        <v>16</v>
      </c>
      <c r="H9788" s="0" t="n">
        <v>69</v>
      </c>
      <c r="I9788" s="0" t="s">
        <v>32652</v>
      </c>
      <c r="J9788" s="0" t="s">
        <v>32653</v>
      </c>
      <c r="K9788" s="0" t="s">
        <v>32654</v>
      </c>
      <c r="L9788" s="0" t="str">
        <f aca="false">HYPERLINK("https://www.ncbi.nlm.nih.gov/nuccore/CP000304.1?report=graph&amp;tracks=[key:gene_model_track,Options:GeneOnly]&amp;mk=2776011:2776030|offset_12|444444,2775979:2775998|offset_44|444444,2775954:2775973|offset_69|00cc00,2775921:2775940|offset_102|444444&amp;v=2775810:2776140&amp;c=444444", "offset 69")</f>
        <v>offset 69</v>
      </c>
    </row>
    <row r="9789" customFormat="false" ht="12.8" hidden="false" customHeight="false" outlineLevel="0" collapsed="false">
      <c r="A9789" s="0" t="s">
        <v>12</v>
      </c>
      <c r="B9789" s="0" t="n">
        <v>2775920</v>
      </c>
      <c r="C9789" s="0" t="n">
        <v>2775940</v>
      </c>
      <c r="D9789" s="0" t="s">
        <v>32644</v>
      </c>
      <c r="E9789" s="0" t="s">
        <v>32645</v>
      </c>
      <c r="F9789" s="0" t="s">
        <v>90</v>
      </c>
      <c r="G9789" s="0" t="s">
        <v>16</v>
      </c>
      <c r="H9789" s="0" t="n">
        <v>102</v>
      </c>
      <c r="I9789" s="0" t="s">
        <v>32655</v>
      </c>
      <c r="J9789" s="0" t="s">
        <v>32656</v>
      </c>
      <c r="K9789" s="0" t="s">
        <v>32657</v>
      </c>
      <c r="L9789" s="0" t="str">
        <f aca="false">HYPERLINK("https://www.ncbi.nlm.nih.gov/nuccore/CP000304.1?report=graph&amp;tracks=[key:gene_model_track,Options:GeneOnly]&amp;mk=2776011:2776030|offset_12|444444,2775979:2775998|offset_44|444444,2775954:2775973|offset_69|444444,2775921:2775940|offset_102|00cc00&amp;v=2775810:2776140&amp;c=444444", "offset 102")</f>
        <v>offset 102</v>
      </c>
    </row>
    <row r="9790" customFormat="false" ht="12.8" hidden="false" customHeight="false" outlineLevel="0" collapsed="false">
      <c r="A9790" s="0" t="s">
        <v>12</v>
      </c>
      <c r="B9790" s="0" t="n">
        <v>2778003</v>
      </c>
      <c r="C9790" s="0" t="n">
        <v>2778023</v>
      </c>
      <c r="D9790" s="0" t="s">
        <v>32658</v>
      </c>
      <c r="E9790" s="0" t="s">
        <v>32659</v>
      </c>
      <c r="F9790" s="0" t="s">
        <v>90</v>
      </c>
      <c r="G9790" s="0" t="s">
        <v>16</v>
      </c>
      <c r="H9790" s="0" t="n">
        <v>9</v>
      </c>
      <c r="I9790" s="0" t="s">
        <v>32660</v>
      </c>
      <c r="J9790" s="0" t="s">
        <v>32661</v>
      </c>
      <c r="K9790" s="0" t="s">
        <v>32662</v>
      </c>
      <c r="L9790" s="0" t="str">
        <f aca="false">HYPERLINK("https://www.ncbi.nlm.nih.gov/nuccore/CP000304.1?report=graph&amp;tracks=[key:gene_model_track,Options:GeneOnly]&amp;mk=2778004:2778023|offset_9|00cc00,2777973:2777992|offset_40|444444,2777949:2777968|offset_64|444444,2777928:2777947|offset_85|444444&amp;v=2777803:2778147&amp;c=444444", "offset 9")</f>
        <v>offset 9</v>
      </c>
    </row>
    <row r="9791" customFormat="false" ht="12.8" hidden="false" customHeight="false" outlineLevel="0" collapsed="false">
      <c r="A9791" s="0" t="s">
        <v>12</v>
      </c>
      <c r="B9791" s="0" t="n">
        <v>2777972</v>
      </c>
      <c r="C9791" s="0" t="n">
        <v>2777992</v>
      </c>
      <c r="D9791" s="0" t="s">
        <v>32658</v>
      </c>
      <c r="E9791" s="0" t="s">
        <v>32659</v>
      </c>
      <c r="F9791" s="0" t="s">
        <v>90</v>
      </c>
      <c r="G9791" s="0" t="s">
        <v>36</v>
      </c>
      <c r="H9791" s="0" t="n">
        <v>40</v>
      </c>
      <c r="I9791" s="0" t="s">
        <v>32663</v>
      </c>
      <c r="J9791" s="0" t="s">
        <v>32664</v>
      </c>
      <c r="K9791" s="0" t="s">
        <v>32665</v>
      </c>
      <c r="L9791" s="0" t="str">
        <f aca="false">HYPERLINK("https://www.ncbi.nlm.nih.gov/nuccore/CP000304.1?report=graph&amp;tracks=[key:gene_model_track,Options:GeneOnly]&amp;mk=2778004:2778023|offset_9|444444,2777973:2777992|offset_40|00cc00,2777949:2777968|offset_64|444444,2777928:2777947|offset_85|444444&amp;v=2777803:2778147&amp;c=444444", "offset 40")</f>
        <v>offset 40</v>
      </c>
    </row>
    <row r="9792" customFormat="false" ht="12.8" hidden="false" customHeight="false" outlineLevel="0" collapsed="false">
      <c r="A9792" s="0" t="s">
        <v>12</v>
      </c>
      <c r="B9792" s="0" t="n">
        <v>2777948</v>
      </c>
      <c r="C9792" s="0" t="n">
        <v>2777968</v>
      </c>
      <c r="D9792" s="0" t="s">
        <v>32658</v>
      </c>
      <c r="E9792" s="0" t="s">
        <v>32659</v>
      </c>
      <c r="F9792" s="0" t="s">
        <v>90</v>
      </c>
      <c r="G9792" s="0" t="s">
        <v>32</v>
      </c>
      <c r="H9792" s="0" t="n">
        <v>64</v>
      </c>
      <c r="I9792" s="0" t="s">
        <v>32666</v>
      </c>
      <c r="J9792" s="0" t="s">
        <v>32667</v>
      </c>
      <c r="K9792" s="0" t="s">
        <v>32668</v>
      </c>
      <c r="L9792" s="0" t="str">
        <f aca="false">HYPERLINK("https://www.ncbi.nlm.nih.gov/nuccore/CP000304.1?report=graph&amp;tracks=[key:gene_model_track,Options:GeneOnly]&amp;mk=2778004:2778023|offset_9|444444,2777973:2777992|offset_40|444444,2777949:2777968|offset_64|00cc00,2777928:2777947|offset_85|444444&amp;v=2777803:2778147&amp;c=444444", "offset 64")</f>
        <v>offset 64</v>
      </c>
    </row>
    <row r="9793" customFormat="false" ht="12.8" hidden="false" customHeight="false" outlineLevel="0" collapsed="false">
      <c r="A9793" s="0" t="s">
        <v>12</v>
      </c>
      <c r="B9793" s="0" t="n">
        <v>2777927</v>
      </c>
      <c r="C9793" s="0" t="n">
        <v>2777947</v>
      </c>
      <c r="D9793" s="0" t="s">
        <v>32658</v>
      </c>
      <c r="E9793" s="0" t="s">
        <v>32659</v>
      </c>
      <c r="F9793" s="0" t="s">
        <v>90</v>
      </c>
      <c r="G9793" s="0" t="s">
        <v>26</v>
      </c>
      <c r="H9793" s="0" t="n">
        <v>85</v>
      </c>
      <c r="I9793" s="0" t="s">
        <v>32669</v>
      </c>
      <c r="J9793" s="0" t="s">
        <v>32670</v>
      </c>
      <c r="K9793" s="0" t="s">
        <v>32671</v>
      </c>
      <c r="L9793" s="0" t="str">
        <f aca="false">HYPERLINK("https://www.ncbi.nlm.nih.gov/nuccore/CP000304.1?report=graph&amp;tracks=[key:gene_model_track,Options:GeneOnly]&amp;mk=2778004:2778023|offset_9|444444,2777973:2777992|offset_40|444444,2777949:2777968|offset_64|444444,2777928:2777947|offset_85|00cc00&amp;v=2777803:2778147&amp;c=444444", "offset 85")</f>
        <v>offset 85</v>
      </c>
    </row>
    <row r="9794" customFormat="false" ht="12.8" hidden="false" customHeight="false" outlineLevel="0" collapsed="false">
      <c r="A9794" s="0" t="s">
        <v>12</v>
      </c>
      <c r="B9794" s="0" t="n">
        <v>2778467</v>
      </c>
      <c r="C9794" s="0" t="n">
        <v>2778487</v>
      </c>
      <c r="D9794" s="0" t="s">
        <v>32672</v>
      </c>
      <c r="E9794" s="0" t="s">
        <v>32673</v>
      </c>
      <c r="F9794" s="0" t="s">
        <v>90</v>
      </c>
      <c r="G9794" s="0" t="s">
        <v>16</v>
      </c>
      <c r="H9794" s="0" t="n">
        <v>9</v>
      </c>
      <c r="I9794" s="0" t="s">
        <v>32674</v>
      </c>
      <c r="J9794" s="0" t="s">
        <v>32675</v>
      </c>
      <c r="K9794" s="0" t="s">
        <v>32676</v>
      </c>
      <c r="L9794" s="0" t="str">
        <f aca="false">HYPERLINK("https://www.ncbi.nlm.nih.gov/nuccore/CP000304.1?report=graph&amp;tracks=[key:gene_model_track,Options:GeneOnly]&amp;mk=2778468:2778487|offset_9|00cc00,2778425:2778444|offset_52|444444,2778392:2778411|offset_85|444444,2778370:2778389|offset_107|444444&amp;v=2778267:2778589&amp;c=444444", "offset 9")</f>
        <v>offset 9</v>
      </c>
    </row>
    <row r="9795" customFormat="false" ht="12.8" hidden="false" customHeight="false" outlineLevel="0" collapsed="false">
      <c r="A9795" s="0" t="s">
        <v>12</v>
      </c>
      <c r="B9795" s="0" t="n">
        <v>2778424</v>
      </c>
      <c r="C9795" s="0" t="n">
        <v>2778444</v>
      </c>
      <c r="D9795" s="0" t="s">
        <v>32672</v>
      </c>
      <c r="E9795" s="0" t="s">
        <v>32673</v>
      </c>
      <c r="F9795" s="0" t="s">
        <v>90</v>
      </c>
      <c r="G9795" s="0" t="s">
        <v>16</v>
      </c>
      <c r="H9795" s="0" t="n">
        <v>52</v>
      </c>
      <c r="I9795" s="0" t="s">
        <v>32677</v>
      </c>
      <c r="J9795" s="0" t="s">
        <v>32678</v>
      </c>
      <c r="K9795" s="0" t="s">
        <v>32679</v>
      </c>
      <c r="L9795" s="0" t="str">
        <f aca="false">HYPERLINK("https://www.ncbi.nlm.nih.gov/nuccore/CP000304.1?report=graph&amp;tracks=[key:gene_model_track,Options:GeneOnly]&amp;mk=2778468:2778487|offset_9|444444,2778425:2778444|offset_52|00cc00,2778392:2778411|offset_85|444444,2778370:2778389|offset_107|444444&amp;v=2778267:2778589&amp;c=444444", "offset 52")</f>
        <v>offset 52</v>
      </c>
    </row>
    <row r="9796" customFormat="false" ht="12.8" hidden="false" customHeight="false" outlineLevel="0" collapsed="false">
      <c r="A9796" s="0" t="s">
        <v>12</v>
      </c>
      <c r="B9796" s="0" t="n">
        <v>2778391</v>
      </c>
      <c r="C9796" s="0" t="n">
        <v>2778411</v>
      </c>
      <c r="D9796" s="0" t="s">
        <v>32672</v>
      </c>
      <c r="E9796" s="0" t="s">
        <v>32673</v>
      </c>
      <c r="F9796" s="0" t="s">
        <v>90</v>
      </c>
      <c r="G9796" s="0" t="s">
        <v>16</v>
      </c>
      <c r="H9796" s="0" t="n">
        <v>85</v>
      </c>
      <c r="I9796" s="0" t="s">
        <v>32680</v>
      </c>
      <c r="J9796" s="0" t="s">
        <v>32681</v>
      </c>
      <c r="K9796" s="0" t="s">
        <v>32682</v>
      </c>
      <c r="L9796" s="0" t="str">
        <f aca="false">HYPERLINK("https://www.ncbi.nlm.nih.gov/nuccore/CP000304.1?report=graph&amp;tracks=[key:gene_model_track,Options:GeneOnly]&amp;mk=2778468:2778487|offset_9|444444,2778425:2778444|offset_52|444444,2778392:2778411|offset_85|00cc00,2778370:2778389|offset_107|444444&amp;v=2778267:2778589&amp;c=444444", "offset 85")</f>
        <v>offset 85</v>
      </c>
    </row>
    <row r="9797" customFormat="false" ht="12.8" hidden="false" customHeight="false" outlineLevel="0" collapsed="false">
      <c r="A9797" s="0" t="s">
        <v>12</v>
      </c>
      <c r="B9797" s="0" t="n">
        <v>2778369</v>
      </c>
      <c r="C9797" s="0" t="n">
        <v>2778389</v>
      </c>
      <c r="D9797" s="0" t="s">
        <v>32672</v>
      </c>
      <c r="E9797" s="0" t="s">
        <v>32673</v>
      </c>
      <c r="F9797" s="0" t="s">
        <v>90</v>
      </c>
      <c r="G9797" s="0" t="s">
        <v>26</v>
      </c>
      <c r="H9797" s="0" t="n">
        <v>107</v>
      </c>
      <c r="I9797" s="0" t="s">
        <v>32683</v>
      </c>
      <c r="J9797" s="0" t="s">
        <v>32684</v>
      </c>
      <c r="K9797" s="0" t="s">
        <v>32685</v>
      </c>
      <c r="L9797" s="0" t="str">
        <f aca="false">HYPERLINK("https://www.ncbi.nlm.nih.gov/nuccore/CP000304.1?report=graph&amp;tracks=[key:gene_model_track,Options:GeneOnly]&amp;mk=2778468:2778487|offset_9|444444,2778425:2778444|offset_52|444444,2778392:2778411|offset_85|444444,2778370:2778389|offset_107|00cc00&amp;v=2778267:2778589&amp;c=444444", "offset 107")</f>
        <v>offset 107</v>
      </c>
    </row>
    <row r="9798" customFormat="false" ht="12.8" hidden="false" customHeight="false" outlineLevel="0" collapsed="false">
      <c r="A9798" s="0" t="s">
        <v>12</v>
      </c>
      <c r="B9798" s="0" t="n">
        <v>2778627</v>
      </c>
      <c r="C9798" s="0" t="n">
        <v>2778647</v>
      </c>
      <c r="D9798" s="0" t="s">
        <v>32686</v>
      </c>
      <c r="E9798" s="0" t="s">
        <v>32687</v>
      </c>
      <c r="F9798" s="0" t="s">
        <v>90</v>
      </c>
      <c r="G9798" s="0" t="s">
        <v>16</v>
      </c>
      <c r="H9798" s="0" t="n">
        <v>22</v>
      </c>
      <c r="I9798" s="0" t="s">
        <v>32688</v>
      </c>
      <c r="J9798" s="0" t="s">
        <v>32689</v>
      </c>
      <c r="K9798" s="0" t="s">
        <v>32690</v>
      </c>
      <c r="L9798" s="0" t="str">
        <f aca="false">HYPERLINK("https://www.ncbi.nlm.nih.gov/nuccore/CP000304.1?report=graph&amp;tracks=[key:gene_model_track,Options:GeneOnly]&amp;mk=2778628:2778647|offset_22|00cc00,2778586:2778605|offset_64|444444,2778539:2778558|offset_111|444444,2778516:2778535|offset_134|444444&amp;v=2778427:2778735&amp;c=444444", "offset 22")</f>
        <v>offset 22</v>
      </c>
    </row>
    <row r="9799" customFormat="false" ht="12.8" hidden="false" customHeight="false" outlineLevel="0" collapsed="false">
      <c r="A9799" s="0" t="s">
        <v>12</v>
      </c>
      <c r="B9799" s="0" t="n">
        <v>2778585</v>
      </c>
      <c r="C9799" s="0" t="n">
        <v>2778605</v>
      </c>
      <c r="D9799" s="0" t="s">
        <v>32686</v>
      </c>
      <c r="E9799" s="0" t="s">
        <v>32687</v>
      </c>
      <c r="F9799" s="0" t="s">
        <v>90</v>
      </c>
      <c r="G9799" s="0" t="s">
        <v>16</v>
      </c>
      <c r="H9799" s="0" t="n">
        <v>64</v>
      </c>
      <c r="I9799" s="0" t="s">
        <v>32691</v>
      </c>
      <c r="J9799" s="0" t="s">
        <v>32692</v>
      </c>
      <c r="K9799" s="0" t="s">
        <v>32693</v>
      </c>
      <c r="L9799" s="0" t="str">
        <f aca="false">HYPERLINK("https://www.ncbi.nlm.nih.gov/nuccore/CP000304.1?report=graph&amp;tracks=[key:gene_model_track,Options:GeneOnly]&amp;mk=2778628:2778647|offset_22|444444,2778586:2778605|offset_64|00cc00,2778539:2778558|offset_111|444444,2778516:2778535|offset_134|444444&amp;v=2778427:2778735&amp;c=444444", "offset 64")</f>
        <v>offset 64</v>
      </c>
    </row>
    <row r="9800" customFormat="false" ht="12.8" hidden="false" customHeight="false" outlineLevel="0" collapsed="false">
      <c r="A9800" s="0" t="s">
        <v>12</v>
      </c>
      <c r="B9800" s="0" t="n">
        <v>2778538</v>
      </c>
      <c r="C9800" s="0" t="n">
        <v>2778558</v>
      </c>
      <c r="D9800" s="0" t="s">
        <v>32686</v>
      </c>
      <c r="E9800" s="0" t="s">
        <v>32687</v>
      </c>
      <c r="F9800" s="0" t="s">
        <v>90</v>
      </c>
      <c r="G9800" s="0" t="s">
        <v>36</v>
      </c>
      <c r="H9800" s="0" t="n">
        <v>111</v>
      </c>
      <c r="I9800" s="0" t="s">
        <v>32694</v>
      </c>
      <c r="J9800" s="0" t="s">
        <v>32695</v>
      </c>
      <c r="K9800" s="0" t="s">
        <v>32696</v>
      </c>
      <c r="L9800" s="0" t="str">
        <f aca="false">HYPERLINK("https://www.ncbi.nlm.nih.gov/nuccore/CP000304.1?report=graph&amp;tracks=[key:gene_model_track,Options:GeneOnly]&amp;mk=2778628:2778647|offset_22|444444,2778586:2778605|offset_64|444444,2778539:2778558|offset_111|00cc00,2778516:2778535|offset_134|444444&amp;v=2778427:2778735&amp;c=444444", "offset 111")</f>
        <v>offset 111</v>
      </c>
    </row>
    <row r="9801" customFormat="false" ht="12.8" hidden="false" customHeight="false" outlineLevel="0" collapsed="false">
      <c r="A9801" s="0" t="s">
        <v>12</v>
      </c>
      <c r="B9801" s="0" t="n">
        <v>2778515</v>
      </c>
      <c r="C9801" s="0" t="n">
        <v>2778535</v>
      </c>
      <c r="D9801" s="0" t="s">
        <v>32686</v>
      </c>
      <c r="E9801" s="0" t="s">
        <v>32687</v>
      </c>
      <c r="F9801" s="0" t="s">
        <v>90</v>
      </c>
      <c r="G9801" s="0" t="s">
        <v>26</v>
      </c>
      <c r="H9801" s="0" t="n">
        <v>134</v>
      </c>
      <c r="I9801" s="0" t="s">
        <v>32697</v>
      </c>
      <c r="J9801" s="0" t="s">
        <v>32698</v>
      </c>
      <c r="K9801" s="0" t="s">
        <v>32699</v>
      </c>
      <c r="L9801" s="0" t="str">
        <f aca="false">HYPERLINK("https://www.ncbi.nlm.nih.gov/nuccore/CP000304.1?report=graph&amp;tracks=[key:gene_model_track,Options:GeneOnly]&amp;mk=2778628:2778647|offset_22|444444,2778586:2778605|offset_64|444444,2778539:2778558|offset_111|444444,2778516:2778535|offset_134|00cc00&amp;v=2778427:2778735&amp;c=444444", "offset 134")</f>
        <v>offset 134</v>
      </c>
    </row>
    <row r="9802" customFormat="false" ht="12.8" hidden="false" customHeight="false" outlineLevel="0" collapsed="false">
      <c r="A9802" s="0" t="s">
        <v>12</v>
      </c>
      <c r="B9802" s="0" t="n">
        <v>2779401</v>
      </c>
      <c r="C9802" s="0" t="n">
        <v>2779421</v>
      </c>
      <c r="D9802" s="0" t="s">
        <v>32700</v>
      </c>
      <c r="E9802" s="0" t="s">
        <v>32701</v>
      </c>
      <c r="F9802" s="0" t="s">
        <v>90</v>
      </c>
      <c r="G9802" s="0" t="s">
        <v>16</v>
      </c>
      <c r="H9802" s="0" t="n">
        <v>0</v>
      </c>
      <c r="I9802" s="0" t="s">
        <v>32702</v>
      </c>
      <c r="J9802" s="0" t="s">
        <v>32703</v>
      </c>
      <c r="K9802" s="0" t="s">
        <v>32704</v>
      </c>
      <c r="L9802" s="0" t="str">
        <f aca="false">HYPERLINK("https://www.ncbi.nlm.nih.gov/nuccore/CP000304.1?report=graph&amp;tracks=[key:gene_model_track,Options:GeneOnly]&amp;mk=2779402:2779421|offset_0|00cc00,2779366:2779385|offset_36|444444,2779330:2779349|offset_72|444444,2779277:2779296|offset_125|444444&amp;v=2779201:2779496&amp;c=444444", "offset 0")</f>
        <v>offset 0</v>
      </c>
    </row>
    <row r="9803" customFormat="false" ht="12.8" hidden="false" customHeight="false" outlineLevel="0" collapsed="false">
      <c r="A9803" s="0" t="s">
        <v>12</v>
      </c>
      <c r="B9803" s="0" t="n">
        <v>2779365</v>
      </c>
      <c r="C9803" s="0" t="n">
        <v>2779385</v>
      </c>
      <c r="D9803" s="0" t="s">
        <v>32700</v>
      </c>
      <c r="E9803" s="0" t="s">
        <v>32701</v>
      </c>
      <c r="F9803" s="0" t="s">
        <v>90</v>
      </c>
      <c r="G9803" s="0" t="s">
        <v>16</v>
      </c>
      <c r="H9803" s="0" t="n">
        <v>36</v>
      </c>
      <c r="I9803" s="0" t="s">
        <v>32705</v>
      </c>
      <c r="J9803" s="0" t="s">
        <v>32706</v>
      </c>
      <c r="K9803" s="0" t="s">
        <v>32707</v>
      </c>
      <c r="L9803" s="0" t="str">
        <f aca="false">HYPERLINK("https://www.ncbi.nlm.nih.gov/nuccore/CP000304.1?report=graph&amp;tracks=[key:gene_model_track,Options:GeneOnly]&amp;mk=2779402:2779421|offset_0|444444,2779366:2779385|offset_36|00cc00,2779330:2779349|offset_72|444444,2779277:2779296|offset_125|444444&amp;v=2779201:2779496&amp;c=444444", "offset 36")</f>
        <v>offset 36</v>
      </c>
    </row>
    <row r="9804" customFormat="false" ht="12.8" hidden="false" customHeight="false" outlineLevel="0" collapsed="false">
      <c r="A9804" s="0" t="s">
        <v>12</v>
      </c>
      <c r="B9804" s="0" t="n">
        <v>2779329</v>
      </c>
      <c r="C9804" s="0" t="n">
        <v>2779349</v>
      </c>
      <c r="D9804" s="0" t="s">
        <v>32700</v>
      </c>
      <c r="E9804" s="0" t="s">
        <v>32701</v>
      </c>
      <c r="F9804" s="0" t="s">
        <v>90</v>
      </c>
      <c r="G9804" s="0" t="s">
        <v>36</v>
      </c>
      <c r="H9804" s="0" t="n">
        <v>72</v>
      </c>
      <c r="I9804" s="0" t="s">
        <v>32708</v>
      </c>
      <c r="J9804" s="0" t="s">
        <v>32709</v>
      </c>
      <c r="K9804" s="0" t="s">
        <v>32710</v>
      </c>
      <c r="L9804" s="0" t="str">
        <f aca="false">HYPERLINK("https://www.ncbi.nlm.nih.gov/nuccore/CP000304.1?report=graph&amp;tracks=[key:gene_model_track,Options:GeneOnly]&amp;mk=2779402:2779421|offset_0|444444,2779366:2779385|offset_36|444444,2779330:2779349|offset_72|00cc00,2779277:2779296|offset_125|444444&amp;v=2779201:2779496&amp;c=444444", "offset 72")</f>
        <v>offset 72</v>
      </c>
    </row>
    <row r="9805" customFormat="false" ht="12.8" hidden="false" customHeight="false" outlineLevel="0" collapsed="false">
      <c r="A9805" s="0" t="s">
        <v>12</v>
      </c>
      <c r="B9805" s="0" t="n">
        <v>2779276</v>
      </c>
      <c r="C9805" s="0" t="n">
        <v>2779296</v>
      </c>
      <c r="D9805" s="0" t="s">
        <v>32700</v>
      </c>
      <c r="E9805" s="0" t="s">
        <v>32701</v>
      </c>
      <c r="F9805" s="0" t="s">
        <v>90</v>
      </c>
      <c r="G9805" s="0" t="s">
        <v>26</v>
      </c>
      <c r="H9805" s="0" t="n">
        <v>125</v>
      </c>
      <c r="I9805" s="0" t="s">
        <v>32711</v>
      </c>
      <c r="J9805" s="0" t="s">
        <v>32712</v>
      </c>
      <c r="K9805" s="0" t="s">
        <v>32713</v>
      </c>
      <c r="L9805" s="0" t="str">
        <f aca="false">HYPERLINK("https://www.ncbi.nlm.nih.gov/nuccore/CP000304.1?report=graph&amp;tracks=[key:gene_model_track,Options:GeneOnly]&amp;mk=2779402:2779421|offset_0|444444,2779366:2779385|offset_36|444444,2779330:2779349|offset_72|444444,2779277:2779296|offset_125|00cc00&amp;v=2779201:2779496&amp;c=444444", "offset 125")</f>
        <v>offset 125</v>
      </c>
    </row>
    <row r="9806" customFormat="false" ht="12.8" hidden="false" customHeight="false" outlineLevel="0" collapsed="false">
      <c r="A9806" s="0" t="s">
        <v>12</v>
      </c>
      <c r="B9806" s="0" t="n">
        <v>2780137</v>
      </c>
      <c r="C9806" s="0" t="n">
        <v>2780157</v>
      </c>
      <c r="D9806" s="0" t="s">
        <v>32714</v>
      </c>
      <c r="E9806" s="0" t="s">
        <v>32715</v>
      </c>
      <c r="F9806" s="0" t="s">
        <v>90</v>
      </c>
      <c r="G9806" s="0" t="s">
        <v>26</v>
      </c>
      <c r="H9806" s="0" t="n">
        <v>23</v>
      </c>
      <c r="I9806" s="0" t="s">
        <v>32716</v>
      </c>
      <c r="J9806" s="0" t="s">
        <v>32717</v>
      </c>
      <c r="K9806" s="0" t="s">
        <v>32718</v>
      </c>
      <c r="L9806" s="0" t="str">
        <f aca="false">HYPERLINK("https://www.ncbi.nlm.nih.gov/nuccore/CP000304.1?report=graph&amp;tracks=[key:gene_model_track,Options:GeneOnly]&amp;mk=2780138:2780157|offset_23|00cc00,2780117:2780136|offset_44|444444,2780097:2780116|offset_64|444444,2780067:2780086|offset_94|444444&amp;v=2779937:2780286&amp;c=444444", "offset 23")</f>
        <v>offset 23</v>
      </c>
    </row>
    <row r="9807" customFormat="false" ht="12.8" hidden="false" customHeight="false" outlineLevel="0" collapsed="false">
      <c r="A9807" s="0" t="s">
        <v>12</v>
      </c>
      <c r="B9807" s="0" t="n">
        <v>2780116</v>
      </c>
      <c r="C9807" s="0" t="n">
        <v>2780136</v>
      </c>
      <c r="D9807" s="0" t="s">
        <v>32714</v>
      </c>
      <c r="E9807" s="0" t="s">
        <v>32715</v>
      </c>
      <c r="F9807" s="0" t="s">
        <v>90</v>
      </c>
      <c r="G9807" s="0" t="s">
        <v>26</v>
      </c>
      <c r="H9807" s="0" t="n">
        <v>44</v>
      </c>
      <c r="I9807" s="0" t="s">
        <v>32719</v>
      </c>
      <c r="J9807" s="0" t="s">
        <v>32720</v>
      </c>
      <c r="K9807" s="0" t="s">
        <v>32721</v>
      </c>
      <c r="L9807" s="0" t="str">
        <f aca="false">HYPERLINK("https://www.ncbi.nlm.nih.gov/nuccore/CP000304.1?report=graph&amp;tracks=[key:gene_model_track,Options:GeneOnly]&amp;mk=2780138:2780157|offset_23|444444,2780117:2780136|offset_44|00cc00,2780097:2780116|offset_64|444444,2780067:2780086|offset_94|444444&amp;v=2779937:2780286&amp;c=444444", "offset 44")</f>
        <v>offset 44</v>
      </c>
    </row>
    <row r="9808" customFormat="false" ht="12.8" hidden="false" customHeight="false" outlineLevel="0" collapsed="false">
      <c r="A9808" s="0" t="s">
        <v>12</v>
      </c>
      <c r="B9808" s="0" t="n">
        <v>2780096</v>
      </c>
      <c r="C9808" s="0" t="n">
        <v>2780116</v>
      </c>
      <c r="D9808" s="0" t="s">
        <v>32714</v>
      </c>
      <c r="E9808" s="0" t="s">
        <v>32715</v>
      </c>
      <c r="F9808" s="0" t="s">
        <v>90</v>
      </c>
      <c r="G9808" s="0" t="s">
        <v>16</v>
      </c>
      <c r="H9808" s="0" t="n">
        <v>64</v>
      </c>
      <c r="I9808" s="0" t="s">
        <v>32722</v>
      </c>
      <c r="J9808" s="0" t="s">
        <v>32723</v>
      </c>
      <c r="K9808" s="0" t="s">
        <v>32724</v>
      </c>
      <c r="L9808" s="0" t="str">
        <f aca="false">HYPERLINK("https://www.ncbi.nlm.nih.gov/nuccore/CP000304.1?report=graph&amp;tracks=[key:gene_model_track,Options:GeneOnly]&amp;mk=2780138:2780157|offset_23|444444,2780117:2780136|offset_44|444444,2780097:2780116|offset_64|00cc00,2780067:2780086|offset_94|444444&amp;v=2779937:2780286&amp;c=444444", "offset 64")</f>
        <v>offset 64</v>
      </c>
    </row>
    <row r="9809" customFormat="false" ht="12.8" hidden="false" customHeight="false" outlineLevel="0" collapsed="false">
      <c r="A9809" s="0" t="s">
        <v>12</v>
      </c>
      <c r="B9809" s="0" t="n">
        <v>2780066</v>
      </c>
      <c r="C9809" s="0" t="n">
        <v>2780086</v>
      </c>
      <c r="D9809" s="0" t="s">
        <v>32714</v>
      </c>
      <c r="E9809" s="0" t="s">
        <v>32715</v>
      </c>
      <c r="F9809" s="0" t="s">
        <v>90</v>
      </c>
      <c r="G9809" s="0" t="s">
        <v>32</v>
      </c>
      <c r="H9809" s="0" t="n">
        <v>94</v>
      </c>
      <c r="I9809" s="0" t="s">
        <v>32725</v>
      </c>
      <c r="J9809" s="0" t="s">
        <v>32726</v>
      </c>
      <c r="K9809" s="0" t="s">
        <v>32727</v>
      </c>
      <c r="L9809" s="0" t="str">
        <f aca="false">HYPERLINK("https://www.ncbi.nlm.nih.gov/nuccore/CP000304.1?report=graph&amp;tracks=[key:gene_model_track,Options:GeneOnly]&amp;mk=2780138:2780157|offset_23|444444,2780117:2780136|offset_44|444444,2780097:2780116|offset_64|444444,2780067:2780086|offset_94|00cc00&amp;v=2779937:2780286&amp;c=444444", "offset 94")</f>
        <v>offset 94</v>
      </c>
    </row>
    <row r="9810" customFormat="false" ht="12.8" hidden="false" customHeight="false" outlineLevel="0" collapsed="false">
      <c r="A9810" s="0" t="s">
        <v>12</v>
      </c>
      <c r="B9810" s="0" t="n">
        <v>2780791</v>
      </c>
      <c r="C9810" s="0" t="n">
        <v>2780811</v>
      </c>
      <c r="D9810" s="0" t="s">
        <v>32728</v>
      </c>
      <c r="E9810" s="0" t="s">
        <v>32729</v>
      </c>
      <c r="F9810" s="0" t="s">
        <v>90</v>
      </c>
      <c r="G9810" s="0" t="s">
        <v>16</v>
      </c>
      <c r="H9810" s="0" t="n">
        <v>1</v>
      </c>
      <c r="I9810" s="0" t="s">
        <v>32730</v>
      </c>
      <c r="J9810" s="0" t="s">
        <v>32731</v>
      </c>
      <c r="K9810" s="0" t="s">
        <v>32732</v>
      </c>
      <c r="L9810" s="0" t="str">
        <f aca="false">HYPERLINK("https://www.ncbi.nlm.nih.gov/nuccore/CP000304.1?report=graph&amp;tracks=[key:gene_model_track,Options:GeneOnly]&amp;mk=2780792:2780811|offset_1|00cc00,2780756:2780775|offset_37|444444,2780713:2780732|offset_80|444444,2780657:2780676|offset_136|444444&amp;v=2780591:2780876&amp;c=444444", "offset 1")</f>
        <v>offset 1</v>
      </c>
    </row>
    <row r="9811" customFormat="false" ht="12.8" hidden="false" customHeight="false" outlineLevel="0" collapsed="false">
      <c r="A9811" s="0" t="s">
        <v>12</v>
      </c>
      <c r="B9811" s="0" t="n">
        <v>2780755</v>
      </c>
      <c r="C9811" s="0" t="n">
        <v>2780775</v>
      </c>
      <c r="D9811" s="0" t="s">
        <v>32728</v>
      </c>
      <c r="E9811" s="0" t="s">
        <v>32729</v>
      </c>
      <c r="F9811" s="0" t="s">
        <v>90</v>
      </c>
      <c r="G9811" s="0" t="s">
        <v>26</v>
      </c>
      <c r="H9811" s="0" t="n">
        <v>37</v>
      </c>
      <c r="I9811" s="0" t="s">
        <v>32733</v>
      </c>
      <c r="J9811" s="0" t="s">
        <v>32734</v>
      </c>
      <c r="K9811" s="0" t="s">
        <v>32735</v>
      </c>
      <c r="L9811" s="0" t="str">
        <f aca="false">HYPERLINK("https://www.ncbi.nlm.nih.gov/nuccore/CP000304.1?report=graph&amp;tracks=[key:gene_model_track,Options:GeneOnly]&amp;mk=2780792:2780811|offset_1|444444,2780756:2780775|offset_37|00cc00,2780713:2780732|offset_80|444444,2780657:2780676|offset_136|444444&amp;v=2780591:2780876&amp;c=444444", "offset 37")</f>
        <v>offset 37</v>
      </c>
    </row>
    <row r="9812" customFormat="false" ht="12.8" hidden="false" customHeight="false" outlineLevel="0" collapsed="false">
      <c r="A9812" s="0" t="s">
        <v>12</v>
      </c>
      <c r="B9812" s="0" t="n">
        <v>2780712</v>
      </c>
      <c r="C9812" s="0" t="n">
        <v>2780732</v>
      </c>
      <c r="D9812" s="0" t="s">
        <v>32728</v>
      </c>
      <c r="E9812" s="0" t="s">
        <v>32729</v>
      </c>
      <c r="F9812" s="0" t="s">
        <v>90</v>
      </c>
      <c r="G9812" s="0" t="s">
        <v>16</v>
      </c>
      <c r="H9812" s="0" t="n">
        <v>80</v>
      </c>
      <c r="I9812" s="0" t="s">
        <v>32736</v>
      </c>
      <c r="J9812" s="0" t="s">
        <v>32737</v>
      </c>
      <c r="K9812" s="0" t="s">
        <v>32738</v>
      </c>
      <c r="L9812" s="0" t="str">
        <f aca="false">HYPERLINK("https://www.ncbi.nlm.nih.gov/nuccore/CP000304.1?report=graph&amp;tracks=[key:gene_model_track,Options:GeneOnly]&amp;mk=2780792:2780811|offset_1|444444,2780756:2780775|offset_37|444444,2780713:2780732|offset_80|00cc00,2780657:2780676|offset_136|444444&amp;v=2780591:2780876&amp;c=444444", "offset 80")</f>
        <v>offset 80</v>
      </c>
    </row>
    <row r="9813" customFormat="false" ht="12.8" hidden="false" customHeight="false" outlineLevel="0" collapsed="false">
      <c r="A9813" s="0" t="s">
        <v>12</v>
      </c>
      <c r="B9813" s="0" t="n">
        <v>2780656</v>
      </c>
      <c r="C9813" s="0" t="n">
        <v>2780676</v>
      </c>
      <c r="D9813" s="0" t="s">
        <v>32728</v>
      </c>
      <c r="E9813" s="0" t="s">
        <v>32729</v>
      </c>
      <c r="F9813" s="0" t="s">
        <v>90</v>
      </c>
      <c r="G9813" s="0" t="s">
        <v>32</v>
      </c>
      <c r="H9813" s="0" t="n">
        <v>136</v>
      </c>
      <c r="I9813" s="0" t="s">
        <v>32739</v>
      </c>
      <c r="J9813" s="0" t="s">
        <v>32740</v>
      </c>
      <c r="K9813" s="0" t="s">
        <v>32741</v>
      </c>
      <c r="L9813" s="0" t="str">
        <f aca="false">HYPERLINK("https://www.ncbi.nlm.nih.gov/nuccore/CP000304.1?report=graph&amp;tracks=[key:gene_model_track,Options:GeneOnly]&amp;mk=2780792:2780811|offset_1|444444,2780756:2780775|offset_37|444444,2780713:2780732|offset_80|444444,2780657:2780676|offset_136|00cc00&amp;v=2780591:2780876&amp;c=444444", "offset 136")</f>
        <v>offset 136</v>
      </c>
    </row>
    <row r="9814" customFormat="false" ht="12.8" hidden="false" customHeight="false" outlineLevel="0" collapsed="false">
      <c r="A9814" s="0" t="s">
        <v>12</v>
      </c>
      <c r="B9814" s="0" t="n">
        <v>2781044</v>
      </c>
      <c r="C9814" s="0" t="n">
        <v>2781064</v>
      </c>
      <c r="D9814" s="0" t="s">
        <v>32742</v>
      </c>
      <c r="E9814" s="0" t="s">
        <v>89</v>
      </c>
      <c r="F9814" s="0" t="s">
        <v>15</v>
      </c>
      <c r="G9814" s="0" t="s">
        <v>16</v>
      </c>
      <c r="H9814" s="0" t="n">
        <v>0</v>
      </c>
      <c r="I9814" s="0" t="s">
        <v>32743</v>
      </c>
      <c r="J9814" s="0" t="s">
        <v>32744</v>
      </c>
      <c r="K9814" s="0" t="s">
        <v>32745</v>
      </c>
      <c r="L9814" s="0" t="str">
        <f aca="false">HYPERLINK("https://www.ncbi.nlm.nih.gov/nuccore/CP000304.1?report=graph&amp;tracks=[key:gene_model_track,Options:GeneOnly]&amp;mk=2781045:2781064|offset_0|00cc00,2781085:2781104|offset_40|444444,2781109:2781128|offset_64|444444,2781137:2781156|offset_92|444444&amp;v=2780844:2781356&amp;c=444444", "offset 0")</f>
        <v>offset 0</v>
      </c>
    </row>
    <row r="9815" customFormat="false" ht="12.8" hidden="false" customHeight="false" outlineLevel="0" collapsed="false">
      <c r="A9815" s="0" t="s">
        <v>12</v>
      </c>
      <c r="B9815" s="0" t="n">
        <v>2781084</v>
      </c>
      <c r="C9815" s="0" t="n">
        <v>2781104</v>
      </c>
      <c r="D9815" s="0" t="s">
        <v>32742</v>
      </c>
      <c r="E9815" s="0" t="s">
        <v>89</v>
      </c>
      <c r="F9815" s="0" t="s">
        <v>15</v>
      </c>
      <c r="G9815" s="0" t="s">
        <v>16</v>
      </c>
      <c r="H9815" s="0" t="n">
        <v>40</v>
      </c>
      <c r="I9815" s="0" t="s">
        <v>32746</v>
      </c>
      <c r="J9815" s="0" t="s">
        <v>32747</v>
      </c>
      <c r="K9815" s="0" t="s">
        <v>32748</v>
      </c>
      <c r="L9815" s="0" t="str">
        <f aca="false">HYPERLINK("https://www.ncbi.nlm.nih.gov/nuccore/CP000304.1?report=graph&amp;tracks=[key:gene_model_track,Options:GeneOnly]&amp;mk=2781045:2781064|offset_0|444444,2781085:2781104|offset_40|00cc00,2781109:2781128|offset_64|444444,2781137:2781156|offset_92|444444&amp;v=2780844:2781356&amp;c=444444", "offset 40")</f>
        <v>offset 40</v>
      </c>
    </row>
    <row r="9816" customFormat="false" ht="12.8" hidden="false" customHeight="false" outlineLevel="0" collapsed="false">
      <c r="A9816" s="0" t="s">
        <v>12</v>
      </c>
      <c r="B9816" s="0" t="n">
        <v>2781108</v>
      </c>
      <c r="C9816" s="0" t="n">
        <v>2781128</v>
      </c>
      <c r="D9816" s="0" t="s">
        <v>32742</v>
      </c>
      <c r="E9816" s="0" t="s">
        <v>89</v>
      </c>
      <c r="F9816" s="0" t="s">
        <v>15</v>
      </c>
      <c r="G9816" s="0" t="s">
        <v>16</v>
      </c>
      <c r="H9816" s="0" t="n">
        <v>64</v>
      </c>
      <c r="I9816" s="0" t="s">
        <v>32749</v>
      </c>
      <c r="J9816" s="0" t="s">
        <v>32750</v>
      </c>
      <c r="K9816" s="0" t="s">
        <v>32751</v>
      </c>
      <c r="L9816" s="0" t="str">
        <f aca="false">HYPERLINK("https://www.ncbi.nlm.nih.gov/nuccore/CP000304.1?report=graph&amp;tracks=[key:gene_model_track,Options:GeneOnly]&amp;mk=2781045:2781064|offset_0|444444,2781085:2781104|offset_40|444444,2781109:2781128|offset_64|00cc00,2781137:2781156|offset_92|444444&amp;v=2780844:2781356&amp;c=444444", "offset 64")</f>
        <v>offset 64</v>
      </c>
    </row>
    <row r="9817" customFormat="false" ht="12.8" hidden="false" customHeight="false" outlineLevel="0" collapsed="false">
      <c r="A9817" s="0" t="s">
        <v>12</v>
      </c>
      <c r="B9817" s="0" t="n">
        <v>2781136</v>
      </c>
      <c r="C9817" s="0" t="n">
        <v>2781156</v>
      </c>
      <c r="D9817" s="0" t="s">
        <v>32742</v>
      </c>
      <c r="E9817" s="0" t="s">
        <v>89</v>
      </c>
      <c r="F9817" s="0" t="s">
        <v>15</v>
      </c>
      <c r="G9817" s="0" t="s">
        <v>26</v>
      </c>
      <c r="H9817" s="0" t="n">
        <v>92</v>
      </c>
      <c r="I9817" s="0" t="s">
        <v>32752</v>
      </c>
      <c r="J9817" s="0" t="s">
        <v>32753</v>
      </c>
      <c r="K9817" s="0" t="s">
        <v>32754</v>
      </c>
      <c r="L9817" s="0" t="str">
        <f aca="false">HYPERLINK("https://www.ncbi.nlm.nih.gov/nuccore/CP000304.1?report=graph&amp;tracks=[key:gene_model_track,Options:GeneOnly]&amp;mk=2781045:2781064|offset_0|444444,2781085:2781104|offset_40|444444,2781109:2781128|offset_64|444444,2781137:2781156|offset_92|00cc00&amp;v=2780844:2781356&amp;c=444444", "offset 92")</f>
        <v>offset 92</v>
      </c>
    </row>
    <row r="9818" customFormat="false" ht="12.8" hidden="false" customHeight="false" outlineLevel="0" collapsed="false">
      <c r="A9818" s="0" t="s">
        <v>12</v>
      </c>
      <c r="B9818" s="0" t="n">
        <v>2782489</v>
      </c>
      <c r="C9818" s="0" t="n">
        <v>2782509</v>
      </c>
      <c r="D9818" s="0" t="s">
        <v>32755</v>
      </c>
      <c r="E9818" s="0" t="s">
        <v>89</v>
      </c>
      <c r="F9818" s="0" t="s">
        <v>15</v>
      </c>
      <c r="G9818" s="0" t="s">
        <v>16</v>
      </c>
      <c r="H9818" s="0" t="n">
        <v>18</v>
      </c>
      <c r="I9818" s="0" t="s">
        <v>32756</v>
      </c>
      <c r="J9818" s="0" t="s">
        <v>32757</v>
      </c>
      <c r="K9818" s="0" t="s">
        <v>32758</v>
      </c>
      <c r="L9818" s="0" t="str">
        <f aca="false">HYPERLINK("https://www.ncbi.nlm.nih.gov/nuccore/CP000304.1?report=graph&amp;tracks=[key:gene_model_track,Options:GeneOnly]&amp;mk=2782490:2782509|offset_18|00cc00,2782532:2782551|offset_60|444444,2782566:2782585|offset_94|444444,2782604:2782623|offset_132|444444&amp;v=2782289:2782823&amp;c=444444", "offset 18")</f>
        <v>offset 18</v>
      </c>
    </row>
    <row r="9819" customFormat="false" ht="12.8" hidden="false" customHeight="false" outlineLevel="0" collapsed="false">
      <c r="A9819" s="0" t="s">
        <v>12</v>
      </c>
      <c r="B9819" s="0" t="n">
        <v>2782531</v>
      </c>
      <c r="C9819" s="0" t="n">
        <v>2782551</v>
      </c>
      <c r="D9819" s="0" t="s">
        <v>32755</v>
      </c>
      <c r="E9819" s="0" t="s">
        <v>89</v>
      </c>
      <c r="F9819" s="0" t="s">
        <v>15</v>
      </c>
      <c r="G9819" s="0" t="s">
        <v>16</v>
      </c>
      <c r="H9819" s="0" t="n">
        <v>60</v>
      </c>
      <c r="I9819" s="0" t="s">
        <v>32759</v>
      </c>
      <c r="J9819" s="0" t="s">
        <v>32760</v>
      </c>
      <c r="K9819" s="0" t="s">
        <v>32761</v>
      </c>
      <c r="L9819" s="0" t="str">
        <f aca="false">HYPERLINK("https://www.ncbi.nlm.nih.gov/nuccore/CP000304.1?report=graph&amp;tracks=[key:gene_model_track,Options:GeneOnly]&amp;mk=2782490:2782509|offset_18|444444,2782532:2782551|offset_60|00cc00,2782566:2782585|offset_94|444444,2782604:2782623|offset_132|444444&amp;v=2782289:2782823&amp;c=444444", "offset 60")</f>
        <v>offset 60</v>
      </c>
    </row>
    <row r="9820" customFormat="false" ht="12.8" hidden="false" customHeight="false" outlineLevel="0" collapsed="false">
      <c r="A9820" s="0" t="s">
        <v>12</v>
      </c>
      <c r="B9820" s="0" t="n">
        <v>2782565</v>
      </c>
      <c r="C9820" s="0" t="n">
        <v>2782585</v>
      </c>
      <c r="D9820" s="0" t="s">
        <v>32755</v>
      </c>
      <c r="E9820" s="0" t="s">
        <v>89</v>
      </c>
      <c r="F9820" s="0" t="s">
        <v>15</v>
      </c>
      <c r="G9820" s="0" t="s">
        <v>16</v>
      </c>
      <c r="H9820" s="0" t="n">
        <v>94</v>
      </c>
      <c r="I9820" s="0" t="s">
        <v>32762</v>
      </c>
      <c r="J9820" s="0" t="s">
        <v>32763</v>
      </c>
      <c r="K9820" s="0" t="s">
        <v>32764</v>
      </c>
      <c r="L9820" s="0" t="str">
        <f aca="false">HYPERLINK("https://www.ncbi.nlm.nih.gov/nuccore/CP000304.1?report=graph&amp;tracks=[key:gene_model_track,Options:GeneOnly]&amp;mk=2782490:2782509|offset_18|444444,2782532:2782551|offset_60|444444,2782566:2782585|offset_94|00cc00,2782604:2782623|offset_132|444444&amp;v=2782289:2782823&amp;c=444444", "offset 94")</f>
        <v>offset 94</v>
      </c>
    </row>
    <row r="9821" customFormat="false" ht="12.8" hidden="false" customHeight="false" outlineLevel="0" collapsed="false">
      <c r="A9821" s="0" t="s">
        <v>12</v>
      </c>
      <c r="B9821" s="0" t="n">
        <v>2782603</v>
      </c>
      <c r="C9821" s="0" t="n">
        <v>2782623</v>
      </c>
      <c r="D9821" s="0" t="s">
        <v>32755</v>
      </c>
      <c r="E9821" s="0" t="s">
        <v>89</v>
      </c>
      <c r="F9821" s="0" t="s">
        <v>15</v>
      </c>
      <c r="G9821" s="0" t="s">
        <v>16</v>
      </c>
      <c r="H9821" s="0" t="n">
        <v>132</v>
      </c>
      <c r="I9821" s="0" t="s">
        <v>32765</v>
      </c>
      <c r="J9821" s="0" t="s">
        <v>32766</v>
      </c>
      <c r="K9821" s="0" t="s">
        <v>32767</v>
      </c>
      <c r="L9821" s="0" t="str">
        <f aca="false">HYPERLINK("https://www.ncbi.nlm.nih.gov/nuccore/CP000304.1?report=graph&amp;tracks=[key:gene_model_track,Options:GeneOnly]&amp;mk=2782490:2782509|offset_18|444444,2782532:2782551|offset_60|444444,2782566:2782585|offset_94|444444,2782604:2782623|offset_132|00cc00&amp;v=2782289:2782823&amp;c=444444", "offset 132")</f>
        <v>offset 132</v>
      </c>
    </row>
    <row r="9822" customFormat="false" ht="12.8" hidden="false" customHeight="false" outlineLevel="0" collapsed="false">
      <c r="A9822" s="0" t="s">
        <v>12</v>
      </c>
      <c r="B9822" s="0" t="n">
        <v>2783147</v>
      </c>
      <c r="C9822" s="0" t="n">
        <v>2783167</v>
      </c>
      <c r="D9822" s="0" t="s">
        <v>32768</v>
      </c>
      <c r="E9822" s="0" t="s">
        <v>89</v>
      </c>
      <c r="F9822" s="0" t="s">
        <v>90</v>
      </c>
      <c r="G9822" s="0" t="s">
        <v>16</v>
      </c>
      <c r="H9822" s="0" t="n">
        <v>58</v>
      </c>
      <c r="I9822" s="0" t="s">
        <v>32769</v>
      </c>
      <c r="J9822" s="0" t="s">
        <v>32770</v>
      </c>
      <c r="K9822" s="0" t="s">
        <v>32771</v>
      </c>
      <c r="L9822" s="0" t="str">
        <f aca="false">HYPERLINK("https://www.ncbi.nlm.nih.gov/nuccore/CP000304.1?report=graph&amp;tracks=[key:gene_model_track,Options:GeneOnly]&amp;mk=2783148:2783167|offset_58|00cc00,2783115:2783134|offset_91|444444,2783057:2783076|offset_149|444444,2783016:2783035|offset_190|444444&amp;v=2782947:2783235&amp;c=444444", "offset 58")</f>
        <v>offset 58</v>
      </c>
    </row>
    <row r="9823" customFormat="false" ht="12.8" hidden="false" customHeight="false" outlineLevel="0" collapsed="false">
      <c r="A9823" s="0" t="s">
        <v>12</v>
      </c>
      <c r="B9823" s="0" t="n">
        <v>2783114</v>
      </c>
      <c r="C9823" s="0" t="n">
        <v>2783134</v>
      </c>
      <c r="D9823" s="0" t="s">
        <v>32768</v>
      </c>
      <c r="E9823" s="0" t="s">
        <v>89</v>
      </c>
      <c r="F9823" s="0" t="s">
        <v>90</v>
      </c>
      <c r="G9823" s="0" t="s">
        <v>16</v>
      </c>
      <c r="H9823" s="0" t="n">
        <v>91</v>
      </c>
      <c r="I9823" s="0" t="s">
        <v>32772</v>
      </c>
      <c r="J9823" s="0" t="s">
        <v>32773</v>
      </c>
      <c r="K9823" s="0" t="s">
        <v>32774</v>
      </c>
      <c r="L9823" s="0" t="str">
        <f aca="false">HYPERLINK("https://www.ncbi.nlm.nih.gov/nuccore/CP000304.1?report=graph&amp;tracks=[key:gene_model_track,Options:GeneOnly]&amp;mk=2783148:2783167|offset_58|444444,2783115:2783134|offset_91|00cc00,2783057:2783076|offset_149|444444,2783016:2783035|offset_190|444444&amp;v=2782947:2783235&amp;c=444444", "offset 91")</f>
        <v>offset 91</v>
      </c>
    </row>
    <row r="9824" customFormat="false" ht="12.8" hidden="false" customHeight="false" outlineLevel="0" collapsed="false">
      <c r="A9824" s="0" t="s">
        <v>12</v>
      </c>
      <c r="B9824" s="0" t="n">
        <v>2783056</v>
      </c>
      <c r="C9824" s="0" t="n">
        <v>2783076</v>
      </c>
      <c r="D9824" s="0" t="s">
        <v>32768</v>
      </c>
      <c r="E9824" s="0" t="s">
        <v>89</v>
      </c>
      <c r="F9824" s="0" t="s">
        <v>90</v>
      </c>
      <c r="G9824" s="0" t="s">
        <v>16</v>
      </c>
      <c r="H9824" s="0" t="n">
        <v>149</v>
      </c>
      <c r="I9824" s="0" t="s">
        <v>32775</v>
      </c>
      <c r="J9824" s="0" t="s">
        <v>32776</v>
      </c>
      <c r="K9824" s="0" t="s">
        <v>32777</v>
      </c>
      <c r="L9824" s="0" t="str">
        <f aca="false">HYPERLINK("https://www.ncbi.nlm.nih.gov/nuccore/CP000304.1?report=graph&amp;tracks=[key:gene_model_track,Options:GeneOnly]&amp;mk=2783148:2783167|offset_58|444444,2783115:2783134|offset_91|444444,2783057:2783076|offset_149|00cc00,2783016:2783035|offset_190|444444&amp;v=2782947:2783235&amp;c=444444", "offset 149")</f>
        <v>offset 149</v>
      </c>
    </row>
    <row r="9825" customFormat="false" ht="12.8" hidden="false" customHeight="false" outlineLevel="0" collapsed="false">
      <c r="A9825" s="0" t="s">
        <v>12</v>
      </c>
      <c r="B9825" s="0" t="n">
        <v>2783015</v>
      </c>
      <c r="C9825" s="0" t="n">
        <v>2783035</v>
      </c>
      <c r="D9825" s="0" t="s">
        <v>32768</v>
      </c>
      <c r="E9825" s="0" t="s">
        <v>89</v>
      </c>
      <c r="F9825" s="0" t="s">
        <v>90</v>
      </c>
      <c r="G9825" s="0" t="s">
        <v>16</v>
      </c>
      <c r="H9825" s="0" t="n">
        <v>190</v>
      </c>
      <c r="I9825" s="0" t="s">
        <v>32778</v>
      </c>
      <c r="J9825" s="0" t="s">
        <v>32779</v>
      </c>
      <c r="K9825" s="0" t="s">
        <v>32780</v>
      </c>
      <c r="L9825" s="0" t="str">
        <f aca="false">HYPERLINK("https://www.ncbi.nlm.nih.gov/nuccore/CP000304.1?report=graph&amp;tracks=[key:gene_model_track,Options:GeneOnly]&amp;mk=2783148:2783167|offset_58|444444,2783115:2783134|offset_91|444444,2783057:2783076|offset_149|444444,2783016:2783035|offset_190|00cc00&amp;v=2782947:2783235&amp;c=444444", "offset 190")</f>
        <v>offset 190</v>
      </c>
    </row>
    <row r="9826" customFormat="false" ht="12.8" hidden="false" customHeight="false" outlineLevel="0" collapsed="false">
      <c r="A9826" s="0" t="s">
        <v>12</v>
      </c>
      <c r="B9826" s="0" t="n">
        <v>2783700</v>
      </c>
      <c r="C9826" s="0" t="n">
        <v>2783720</v>
      </c>
      <c r="D9826" s="0" t="s">
        <v>32781</v>
      </c>
      <c r="E9826" s="0" t="s">
        <v>89</v>
      </c>
      <c r="F9826" s="0" t="s">
        <v>90</v>
      </c>
      <c r="G9826" s="0" t="s">
        <v>26</v>
      </c>
      <c r="H9826" s="0" t="n">
        <v>43</v>
      </c>
      <c r="I9826" s="0" t="s">
        <v>32782</v>
      </c>
      <c r="J9826" s="0" t="s">
        <v>32783</v>
      </c>
      <c r="K9826" s="0" t="s">
        <v>32784</v>
      </c>
      <c r="L9826" s="0" t="str">
        <f aca="false">HYPERLINK("https://www.ncbi.nlm.nih.gov/nuccore/CP000304.1?report=graph&amp;tracks=[key:gene_model_track,Options:GeneOnly]&amp;mk=2783701:2783720|offset_43|00cc00,2783670:2783689|offset_74|444444,2783614:2783633|offset_130|444444,2783580:2783599|offset_164|444444&amp;v=2783500:2783799&amp;c=444444", "offset 43")</f>
        <v>offset 43</v>
      </c>
    </row>
    <row r="9827" customFormat="false" ht="12.8" hidden="false" customHeight="false" outlineLevel="0" collapsed="false">
      <c r="A9827" s="0" t="s">
        <v>12</v>
      </c>
      <c r="B9827" s="0" t="n">
        <v>2783669</v>
      </c>
      <c r="C9827" s="0" t="n">
        <v>2783689</v>
      </c>
      <c r="D9827" s="0" t="s">
        <v>32781</v>
      </c>
      <c r="E9827" s="0" t="s">
        <v>89</v>
      </c>
      <c r="F9827" s="0" t="s">
        <v>90</v>
      </c>
      <c r="G9827" s="0" t="s">
        <v>26</v>
      </c>
      <c r="H9827" s="0" t="n">
        <v>74</v>
      </c>
      <c r="I9827" s="0" t="s">
        <v>32785</v>
      </c>
      <c r="J9827" s="0" t="s">
        <v>32786</v>
      </c>
      <c r="K9827" s="0" t="s">
        <v>32787</v>
      </c>
      <c r="L9827" s="0" t="str">
        <f aca="false">HYPERLINK("https://www.ncbi.nlm.nih.gov/nuccore/CP000304.1?report=graph&amp;tracks=[key:gene_model_track,Options:GeneOnly]&amp;mk=2783701:2783720|offset_43|444444,2783670:2783689|offset_74|00cc00,2783614:2783633|offset_130|444444,2783580:2783599|offset_164|444444&amp;v=2783500:2783799&amp;c=444444", "offset 74")</f>
        <v>offset 74</v>
      </c>
    </row>
    <row r="9828" customFormat="false" ht="12.8" hidden="false" customHeight="false" outlineLevel="0" collapsed="false">
      <c r="A9828" s="0" t="s">
        <v>12</v>
      </c>
      <c r="B9828" s="0" t="n">
        <v>2783613</v>
      </c>
      <c r="C9828" s="0" t="n">
        <v>2783633</v>
      </c>
      <c r="D9828" s="0" t="s">
        <v>32781</v>
      </c>
      <c r="E9828" s="0" t="s">
        <v>89</v>
      </c>
      <c r="F9828" s="0" t="s">
        <v>90</v>
      </c>
      <c r="G9828" s="0" t="s">
        <v>32</v>
      </c>
      <c r="H9828" s="0" t="n">
        <v>130</v>
      </c>
      <c r="I9828" s="0" t="s">
        <v>32788</v>
      </c>
      <c r="J9828" s="0" t="s">
        <v>32789</v>
      </c>
      <c r="K9828" s="0" t="s">
        <v>32790</v>
      </c>
      <c r="L9828" s="0" t="str">
        <f aca="false">HYPERLINK("https://www.ncbi.nlm.nih.gov/nuccore/CP000304.1?report=graph&amp;tracks=[key:gene_model_track,Options:GeneOnly]&amp;mk=2783701:2783720|offset_43|444444,2783670:2783689|offset_74|444444,2783614:2783633|offset_130|00cc00,2783580:2783599|offset_164|444444&amp;v=2783500:2783799&amp;c=444444", "offset 130")</f>
        <v>offset 130</v>
      </c>
    </row>
    <row r="9829" customFormat="false" ht="12.8" hidden="false" customHeight="false" outlineLevel="0" collapsed="false">
      <c r="A9829" s="0" t="s">
        <v>12</v>
      </c>
      <c r="B9829" s="0" t="n">
        <v>2783579</v>
      </c>
      <c r="C9829" s="0" t="n">
        <v>2783599</v>
      </c>
      <c r="D9829" s="0" t="s">
        <v>32781</v>
      </c>
      <c r="E9829" s="0" t="s">
        <v>89</v>
      </c>
      <c r="F9829" s="0" t="s">
        <v>90</v>
      </c>
      <c r="G9829" s="0" t="s">
        <v>16</v>
      </c>
      <c r="H9829" s="0" t="n">
        <v>164</v>
      </c>
      <c r="I9829" s="0" t="s">
        <v>32791</v>
      </c>
      <c r="J9829" s="0" t="s">
        <v>32792</v>
      </c>
      <c r="K9829" s="0" t="s">
        <v>32793</v>
      </c>
      <c r="L9829" s="0" t="str">
        <f aca="false">HYPERLINK("https://www.ncbi.nlm.nih.gov/nuccore/CP000304.1?report=graph&amp;tracks=[key:gene_model_track,Options:GeneOnly]&amp;mk=2783701:2783720|offset_43|444444,2783670:2783689|offset_74|444444,2783614:2783633|offset_130|444444,2783580:2783599|offset_164|00cc00&amp;v=2783500:2783799&amp;c=444444", "offset 164")</f>
        <v>offset 164</v>
      </c>
    </row>
    <row r="9830" customFormat="false" ht="12.8" hidden="false" customHeight="false" outlineLevel="0" collapsed="false">
      <c r="A9830" s="0" t="s">
        <v>12</v>
      </c>
      <c r="B9830" s="0" t="n">
        <v>2784198</v>
      </c>
      <c r="C9830" s="0" t="n">
        <v>2784218</v>
      </c>
      <c r="D9830" s="0" t="s">
        <v>32794</v>
      </c>
      <c r="E9830" s="0" t="s">
        <v>32795</v>
      </c>
      <c r="F9830" s="0" t="s">
        <v>90</v>
      </c>
      <c r="G9830" s="0" t="s">
        <v>16</v>
      </c>
      <c r="H9830" s="0" t="n">
        <v>28</v>
      </c>
      <c r="I9830" s="0" t="s">
        <v>32796</v>
      </c>
      <c r="J9830" s="0" t="s">
        <v>32797</v>
      </c>
      <c r="K9830" s="0" t="s">
        <v>32798</v>
      </c>
      <c r="L9830" s="0" t="str">
        <f aca="false">HYPERLINK("https://www.ncbi.nlm.nih.gov/nuccore/CP000304.1?report=graph&amp;tracks=[key:gene_model_track,Options:GeneOnly]&amp;mk=2784199:2784218|offset_28|00cc00,2784172:2784191|offset_55|444444,2784106:2784125|offset_121|444444,2784080:2784099|offset_147|444444&amp;v=2783998:2784299&amp;c=444444", "offset 28")</f>
        <v>offset 28</v>
      </c>
    </row>
    <row r="9831" customFormat="false" ht="12.8" hidden="false" customHeight="false" outlineLevel="0" collapsed="false">
      <c r="A9831" s="0" t="s">
        <v>12</v>
      </c>
      <c r="B9831" s="0" t="n">
        <v>2784171</v>
      </c>
      <c r="C9831" s="0" t="n">
        <v>2784191</v>
      </c>
      <c r="D9831" s="0" t="s">
        <v>32794</v>
      </c>
      <c r="E9831" s="0" t="s">
        <v>32795</v>
      </c>
      <c r="F9831" s="0" t="s">
        <v>90</v>
      </c>
      <c r="G9831" s="0" t="s">
        <v>26</v>
      </c>
      <c r="H9831" s="0" t="n">
        <v>55</v>
      </c>
      <c r="I9831" s="0" t="s">
        <v>32799</v>
      </c>
      <c r="J9831" s="0" t="s">
        <v>32800</v>
      </c>
      <c r="K9831" s="0" t="s">
        <v>32801</v>
      </c>
      <c r="L9831" s="0" t="str">
        <f aca="false">HYPERLINK("https://www.ncbi.nlm.nih.gov/nuccore/CP000304.1?report=graph&amp;tracks=[key:gene_model_track,Options:GeneOnly]&amp;mk=2784199:2784218|offset_28|444444,2784172:2784191|offset_55|00cc00,2784106:2784125|offset_121|444444,2784080:2784099|offset_147|444444&amp;v=2783998:2784299&amp;c=444444", "offset 55")</f>
        <v>offset 55</v>
      </c>
    </row>
    <row r="9832" customFormat="false" ht="12.8" hidden="false" customHeight="false" outlineLevel="0" collapsed="false">
      <c r="A9832" s="0" t="s">
        <v>12</v>
      </c>
      <c r="B9832" s="0" t="n">
        <v>2784105</v>
      </c>
      <c r="C9832" s="0" t="n">
        <v>2784125</v>
      </c>
      <c r="D9832" s="0" t="s">
        <v>32794</v>
      </c>
      <c r="E9832" s="0" t="s">
        <v>32795</v>
      </c>
      <c r="F9832" s="0" t="s">
        <v>90</v>
      </c>
      <c r="G9832" s="0" t="s">
        <v>16</v>
      </c>
      <c r="H9832" s="0" t="n">
        <v>121</v>
      </c>
      <c r="I9832" s="0" t="s">
        <v>32802</v>
      </c>
      <c r="J9832" s="0" t="s">
        <v>32803</v>
      </c>
      <c r="K9832" s="0" t="s">
        <v>32804</v>
      </c>
      <c r="L9832" s="0" t="str">
        <f aca="false">HYPERLINK("https://www.ncbi.nlm.nih.gov/nuccore/CP000304.1?report=graph&amp;tracks=[key:gene_model_track,Options:GeneOnly]&amp;mk=2784199:2784218|offset_28|444444,2784172:2784191|offset_55|444444,2784106:2784125|offset_121|00cc00,2784080:2784099|offset_147|444444&amp;v=2783998:2784299&amp;c=444444", "offset 121")</f>
        <v>offset 121</v>
      </c>
    </row>
    <row r="9833" customFormat="false" ht="12.8" hidden="false" customHeight="false" outlineLevel="0" collapsed="false">
      <c r="A9833" s="0" t="s">
        <v>12</v>
      </c>
      <c r="B9833" s="0" t="n">
        <v>2784079</v>
      </c>
      <c r="C9833" s="0" t="n">
        <v>2784099</v>
      </c>
      <c r="D9833" s="0" t="s">
        <v>32794</v>
      </c>
      <c r="E9833" s="0" t="s">
        <v>32795</v>
      </c>
      <c r="F9833" s="0" t="s">
        <v>90</v>
      </c>
      <c r="G9833" s="0" t="s">
        <v>26</v>
      </c>
      <c r="H9833" s="0" t="n">
        <v>147</v>
      </c>
      <c r="I9833" s="0" t="s">
        <v>32805</v>
      </c>
      <c r="J9833" s="0" t="s">
        <v>32806</v>
      </c>
      <c r="K9833" s="0" t="s">
        <v>32807</v>
      </c>
      <c r="L9833" s="0" t="str">
        <f aca="false">HYPERLINK("https://www.ncbi.nlm.nih.gov/nuccore/CP000304.1?report=graph&amp;tracks=[key:gene_model_track,Options:GeneOnly]&amp;mk=2784199:2784218|offset_28|444444,2784172:2784191|offset_55|444444,2784106:2784125|offset_121|444444,2784080:2784099|offset_147|00cc00&amp;v=2783998:2784299&amp;c=444444", "offset 147")</f>
        <v>offset 147</v>
      </c>
    </row>
    <row r="9834" customFormat="false" ht="12.8" hidden="false" customHeight="false" outlineLevel="0" collapsed="false">
      <c r="A9834" s="0" t="s">
        <v>12</v>
      </c>
      <c r="B9834" s="0" t="n">
        <v>2785137</v>
      </c>
      <c r="C9834" s="0" t="n">
        <v>2785157</v>
      </c>
      <c r="D9834" s="0" t="s">
        <v>32808</v>
      </c>
      <c r="E9834" s="0" t="s">
        <v>89</v>
      </c>
      <c r="F9834" s="0" t="s">
        <v>90</v>
      </c>
      <c r="G9834" s="0" t="s">
        <v>32</v>
      </c>
      <c r="H9834" s="0" t="n">
        <v>1</v>
      </c>
      <c r="I9834" s="0" t="s">
        <v>32809</v>
      </c>
      <c r="J9834" s="0" t="s">
        <v>32810</v>
      </c>
      <c r="K9834" s="0" t="s">
        <v>32811</v>
      </c>
      <c r="L9834" s="0" t="str">
        <f aca="false">HYPERLINK("https://www.ncbi.nlm.nih.gov/nuccore/CP000304.1?report=graph&amp;tracks=[key:gene_model_track,Options:GeneOnly]&amp;mk=2785138:2785157|offset_1|00cc00,2785117:2785136|offset_22|444444,2785057:2785076|offset_82|444444,2785015:2785034|offset_124|444444&amp;v=2784937:2785234&amp;c=444444", "offset 1")</f>
        <v>offset 1</v>
      </c>
    </row>
    <row r="9835" customFormat="false" ht="12.8" hidden="false" customHeight="false" outlineLevel="0" collapsed="false">
      <c r="A9835" s="0" t="s">
        <v>12</v>
      </c>
      <c r="B9835" s="0" t="n">
        <v>2785116</v>
      </c>
      <c r="C9835" s="0" t="n">
        <v>2785136</v>
      </c>
      <c r="D9835" s="0" t="s">
        <v>32808</v>
      </c>
      <c r="E9835" s="0" t="s">
        <v>89</v>
      </c>
      <c r="F9835" s="0" t="s">
        <v>90</v>
      </c>
      <c r="G9835" s="0" t="s">
        <v>16</v>
      </c>
      <c r="H9835" s="0" t="n">
        <v>22</v>
      </c>
      <c r="I9835" s="0" t="s">
        <v>32812</v>
      </c>
      <c r="J9835" s="0" t="s">
        <v>32813</v>
      </c>
      <c r="K9835" s="0" t="s">
        <v>32814</v>
      </c>
      <c r="L9835" s="0" t="str">
        <f aca="false">HYPERLINK("https://www.ncbi.nlm.nih.gov/nuccore/CP000304.1?report=graph&amp;tracks=[key:gene_model_track,Options:GeneOnly]&amp;mk=2785138:2785157|offset_1|444444,2785117:2785136|offset_22|00cc00,2785057:2785076|offset_82|444444,2785015:2785034|offset_124|444444&amp;v=2784937:2785234&amp;c=444444", "offset 22")</f>
        <v>offset 22</v>
      </c>
    </row>
    <row r="9836" customFormat="false" ht="12.8" hidden="false" customHeight="false" outlineLevel="0" collapsed="false">
      <c r="A9836" s="0" t="s">
        <v>12</v>
      </c>
      <c r="B9836" s="0" t="n">
        <v>2785056</v>
      </c>
      <c r="C9836" s="0" t="n">
        <v>2785076</v>
      </c>
      <c r="D9836" s="0" t="s">
        <v>32808</v>
      </c>
      <c r="E9836" s="0" t="s">
        <v>89</v>
      </c>
      <c r="F9836" s="0" t="s">
        <v>90</v>
      </c>
      <c r="G9836" s="0" t="s">
        <v>32</v>
      </c>
      <c r="H9836" s="0" t="n">
        <v>82</v>
      </c>
      <c r="I9836" s="0" t="s">
        <v>32815</v>
      </c>
      <c r="J9836" s="0" t="s">
        <v>32816</v>
      </c>
      <c r="K9836" s="0" t="s">
        <v>32817</v>
      </c>
      <c r="L9836" s="0" t="str">
        <f aca="false">HYPERLINK("https://www.ncbi.nlm.nih.gov/nuccore/CP000304.1?report=graph&amp;tracks=[key:gene_model_track,Options:GeneOnly]&amp;mk=2785138:2785157|offset_1|444444,2785117:2785136|offset_22|444444,2785057:2785076|offset_82|00cc00,2785015:2785034|offset_124|444444&amp;v=2784937:2785234&amp;c=444444", "offset 82")</f>
        <v>offset 82</v>
      </c>
    </row>
    <row r="9837" customFormat="false" ht="12.8" hidden="false" customHeight="false" outlineLevel="0" collapsed="false">
      <c r="A9837" s="0" t="s">
        <v>12</v>
      </c>
      <c r="B9837" s="0" t="n">
        <v>2785014</v>
      </c>
      <c r="C9837" s="0" t="n">
        <v>2785034</v>
      </c>
      <c r="D9837" s="0" t="s">
        <v>32808</v>
      </c>
      <c r="E9837" s="0" t="s">
        <v>89</v>
      </c>
      <c r="F9837" s="0" t="s">
        <v>90</v>
      </c>
      <c r="G9837" s="0" t="s">
        <v>16</v>
      </c>
      <c r="H9837" s="0" t="n">
        <v>124</v>
      </c>
      <c r="I9837" s="0" t="s">
        <v>32818</v>
      </c>
      <c r="J9837" s="0" t="s">
        <v>32819</v>
      </c>
      <c r="K9837" s="0" t="s">
        <v>32820</v>
      </c>
      <c r="L9837" s="0" t="str">
        <f aca="false">HYPERLINK("https://www.ncbi.nlm.nih.gov/nuccore/CP000304.1?report=graph&amp;tracks=[key:gene_model_track,Options:GeneOnly]&amp;mk=2785138:2785157|offset_1|444444,2785117:2785136|offset_22|444444,2785057:2785076|offset_82|444444,2785015:2785034|offset_124|00cc00&amp;v=2784937:2785234&amp;c=444444", "offset 124")</f>
        <v>offset 124</v>
      </c>
    </row>
    <row r="9838" customFormat="false" ht="12.8" hidden="false" customHeight="false" outlineLevel="0" collapsed="false">
      <c r="A9838" s="0" t="s">
        <v>12</v>
      </c>
      <c r="B9838" s="0" t="n">
        <v>2785991</v>
      </c>
      <c r="C9838" s="0" t="n">
        <v>2786011</v>
      </c>
      <c r="D9838" s="0" t="s">
        <v>32821</v>
      </c>
      <c r="E9838" s="0" t="s">
        <v>89</v>
      </c>
      <c r="F9838" s="0" t="s">
        <v>90</v>
      </c>
      <c r="G9838" s="0" t="s">
        <v>32</v>
      </c>
      <c r="H9838" s="0" t="n">
        <v>22</v>
      </c>
      <c r="I9838" s="0" t="s">
        <v>32822</v>
      </c>
      <c r="J9838" s="0" t="s">
        <v>32823</v>
      </c>
      <c r="K9838" s="0" t="s">
        <v>32824</v>
      </c>
      <c r="L9838" s="0" t="str">
        <f aca="false">HYPERLINK("https://www.ncbi.nlm.nih.gov/nuccore/CP000304.1?report=graph&amp;tracks=[key:gene_model_track,Options:GeneOnly]&amp;mk=2785992:2786011|offset_22|00cc00,2785965:2785984|offset_49|444444,2785932:2785951|offset_82|444444,2785895:2785914|offset_119|444444&amp;v=2785791:2786114&amp;c=444444", "offset 22")</f>
        <v>offset 22</v>
      </c>
    </row>
    <row r="9839" customFormat="false" ht="12.8" hidden="false" customHeight="false" outlineLevel="0" collapsed="false">
      <c r="A9839" s="0" t="s">
        <v>12</v>
      </c>
      <c r="B9839" s="0" t="n">
        <v>2785964</v>
      </c>
      <c r="C9839" s="0" t="n">
        <v>2785984</v>
      </c>
      <c r="D9839" s="0" t="s">
        <v>32821</v>
      </c>
      <c r="E9839" s="0" t="s">
        <v>89</v>
      </c>
      <c r="F9839" s="0" t="s">
        <v>90</v>
      </c>
      <c r="G9839" s="0" t="s">
        <v>32</v>
      </c>
      <c r="H9839" s="0" t="n">
        <v>49</v>
      </c>
      <c r="I9839" s="0" t="s">
        <v>32825</v>
      </c>
      <c r="J9839" s="0" t="s">
        <v>32826</v>
      </c>
      <c r="K9839" s="0" t="s">
        <v>32827</v>
      </c>
      <c r="L9839" s="0" t="str">
        <f aca="false">HYPERLINK("https://www.ncbi.nlm.nih.gov/nuccore/CP000304.1?report=graph&amp;tracks=[key:gene_model_track,Options:GeneOnly]&amp;mk=2785992:2786011|offset_22|444444,2785965:2785984|offset_49|00cc00,2785932:2785951|offset_82|444444,2785895:2785914|offset_119|444444&amp;v=2785791:2786114&amp;c=444444", "offset 49")</f>
        <v>offset 49</v>
      </c>
    </row>
    <row r="9840" customFormat="false" ht="12.8" hidden="false" customHeight="false" outlineLevel="0" collapsed="false">
      <c r="A9840" s="0" t="s">
        <v>12</v>
      </c>
      <c r="B9840" s="0" t="n">
        <v>2785931</v>
      </c>
      <c r="C9840" s="0" t="n">
        <v>2785951</v>
      </c>
      <c r="D9840" s="0" t="s">
        <v>32821</v>
      </c>
      <c r="E9840" s="0" t="s">
        <v>89</v>
      </c>
      <c r="F9840" s="0" t="s">
        <v>90</v>
      </c>
      <c r="G9840" s="0" t="s">
        <v>16</v>
      </c>
      <c r="H9840" s="0" t="n">
        <v>82</v>
      </c>
      <c r="I9840" s="0" t="s">
        <v>32828</v>
      </c>
      <c r="J9840" s="0" t="s">
        <v>32829</v>
      </c>
      <c r="K9840" s="0" t="s">
        <v>32830</v>
      </c>
      <c r="L9840" s="0" t="str">
        <f aca="false">HYPERLINK("https://www.ncbi.nlm.nih.gov/nuccore/CP000304.1?report=graph&amp;tracks=[key:gene_model_track,Options:GeneOnly]&amp;mk=2785992:2786011|offset_22|444444,2785965:2785984|offset_49|444444,2785932:2785951|offset_82|00cc00,2785895:2785914|offset_119|444444&amp;v=2785791:2786114&amp;c=444444", "offset 82")</f>
        <v>offset 82</v>
      </c>
    </row>
    <row r="9841" customFormat="false" ht="12.8" hidden="false" customHeight="false" outlineLevel="0" collapsed="false">
      <c r="A9841" s="0" t="s">
        <v>12</v>
      </c>
      <c r="B9841" s="0" t="n">
        <v>2785894</v>
      </c>
      <c r="C9841" s="0" t="n">
        <v>2785914</v>
      </c>
      <c r="D9841" s="0" t="s">
        <v>32821</v>
      </c>
      <c r="E9841" s="0" t="s">
        <v>89</v>
      </c>
      <c r="F9841" s="0" t="s">
        <v>90</v>
      </c>
      <c r="G9841" s="0" t="s">
        <v>36</v>
      </c>
      <c r="H9841" s="0" t="n">
        <v>119</v>
      </c>
      <c r="I9841" s="0" t="s">
        <v>32831</v>
      </c>
      <c r="J9841" s="0" t="s">
        <v>32832</v>
      </c>
      <c r="K9841" s="0" t="s">
        <v>32833</v>
      </c>
      <c r="L9841" s="0" t="str">
        <f aca="false">HYPERLINK("https://www.ncbi.nlm.nih.gov/nuccore/CP000304.1?report=graph&amp;tracks=[key:gene_model_track,Options:GeneOnly]&amp;mk=2785992:2786011|offset_22|444444,2785965:2785984|offset_49|444444,2785932:2785951|offset_82|444444,2785895:2785914|offset_119|00cc00&amp;v=2785791:2786114&amp;c=444444", "offset 119")</f>
        <v>offset 119</v>
      </c>
    </row>
    <row r="9842" customFormat="false" ht="12.8" hidden="false" customHeight="false" outlineLevel="0" collapsed="false">
      <c r="A9842" s="0" t="s">
        <v>12</v>
      </c>
      <c r="B9842" s="0" t="n">
        <v>2786935</v>
      </c>
      <c r="C9842" s="0" t="n">
        <v>2786955</v>
      </c>
      <c r="D9842" s="0" t="s">
        <v>32834</v>
      </c>
      <c r="E9842" s="0" t="s">
        <v>32835</v>
      </c>
      <c r="F9842" s="0" t="s">
        <v>90</v>
      </c>
      <c r="G9842" s="0" t="s">
        <v>32</v>
      </c>
      <c r="H9842" s="0" t="n">
        <v>1</v>
      </c>
      <c r="I9842" s="0" t="s">
        <v>32836</v>
      </c>
      <c r="J9842" s="0" t="s">
        <v>32837</v>
      </c>
      <c r="K9842" s="0" t="s">
        <v>32838</v>
      </c>
      <c r="L9842" s="0" t="str">
        <f aca="false">HYPERLINK("https://www.ncbi.nlm.nih.gov/nuccore/CP000304.1?report=graph&amp;tracks=[key:gene_model_track,Options:GeneOnly]&amp;mk=2786936:2786955|offset_1|00cc00,2786916:2786935|offset_21|444444,2786861:2786880|offset_76|444444,2786828:2786847|offset_109|444444&amp;v=2786735:2787047&amp;c=444444", "offset 1")</f>
        <v>offset 1</v>
      </c>
    </row>
    <row r="9843" customFormat="false" ht="12.8" hidden="false" customHeight="false" outlineLevel="0" collapsed="false">
      <c r="A9843" s="0" t="s">
        <v>12</v>
      </c>
      <c r="B9843" s="0" t="n">
        <v>2786915</v>
      </c>
      <c r="C9843" s="0" t="n">
        <v>2786935</v>
      </c>
      <c r="D9843" s="0" t="s">
        <v>32834</v>
      </c>
      <c r="E9843" s="0" t="s">
        <v>32835</v>
      </c>
      <c r="F9843" s="0" t="s">
        <v>90</v>
      </c>
      <c r="G9843" s="0" t="s">
        <v>16</v>
      </c>
      <c r="H9843" s="0" t="n">
        <v>21</v>
      </c>
      <c r="I9843" s="0" t="s">
        <v>32839</v>
      </c>
      <c r="J9843" s="0" t="s">
        <v>32840</v>
      </c>
      <c r="K9843" s="0" t="s">
        <v>32841</v>
      </c>
      <c r="L9843" s="0" t="str">
        <f aca="false">HYPERLINK("https://www.ncbi.nlm.nih.gov/nuccore/CP000304.1?report=graph&amp;tracks=[key:gene_model_track,Options:GeneOnly]&amp;mk=2786936:2786955|offset_1|444444,2786916:2786935|offset_21|00cc00,2786861:2786880|offset_76|444444,2786828:2786847|offset_109|444444&amp;v=2786735:2787047&amp;c=444444", "offset 21")</f>
        <v>offset 21</v>
      </c>
    </row>
    <row r="9844" customFormat="false" ht="12.8" hidden="false" customHeight="false" outlineLevel="0" collapsed="false">
      <c r="A9844" s="0" t="s">
        <v>12</v>
      </c>
      <c r="B9844" s="0" t="n">
        <v>2786860</v>
      </c>
      <c r="C9844" s="0" t="n">
        <v>2786880</v>
      </c>
      <c r="D9844" s="0" t="s">
        <v>32834</v>
      </c>
      <c r="E9844" s="0" t="s">
        <v>32835</v>
      </c>
      <c r="F9844" s="0" t="s">
        <v>90</v>
      </c>
      <c r="G9844" s="0" t="s">
        <v>26</v>
      </c>
      <c r="H9844" s="0" t="n">
        <v>76</v>
      </c>
      <c r="I9844" s="0" t="s">
        <v>32842</v>
      </c>
      <c r="J9844" s="0" t="s">
        <v>32843</v>
      </c>
      <c r="K9844" s="0" t="s">
        <v>32844</v>
      </c>
      <c r="L9844" s="0" t="str">
        <f aca="false">HYPERLINK("https://www.ncbi.nlm.nih.gov/nuccore/CP000304.1?report=graph&amp;tracks=[key:gene_model_track,Options:GeneOnly]&amp;mk=2786936:2786955|offset_1|444444,2786916:2786935|offset_21|444444,2786861:2786880|offset_76|00cc00,2786828:2786847|offset_109|444444&amp;v=2786735:2787047&amp;c=444444", "offset 76")</f>
        <v>offset 76</v>
      </c>
    </row>
    <row r="9845" customFormat="false" ht="12.8" hidden="false" customHeight="false" outlineLevel="0" collapsed="false">
      <c r="A9845" s="0" t="s">
        <v>12</v>
      </c>
      <c r="B9845" s="0" t="n">
        <v>2786827</v>
      </c>
      <c r="C9845" s="0" t="n">
        <v>2786847</v>
      </c>
      <c r="D9845" s="0" t="s">
        <v>32834</v>
      </c>
      <c r="E9845" s="0" t="s">
        <v>32835</v>
      </c>
      <c r="F9845" s="0" t="s">
        <v>90</v>
      </c>
      <c r="G9845" s="0" t="s">
        <v>32</v>
      </c>
      <c r="H9845" s="0" t="n">
        <v>109</v>
      </c>
      <c r="I9845" s="0" t="s">
        <v>32845</v>
      </c>
      <c r="J9845" s="0" t="s">
        <v>32846</v>
      </c>
      <c r="K9845" s="0" t="s">
        <v>32847</v>
      </c>
      <c r="L9845" s="0" t="str">
        <f aca="false">HYPERLINK("https://www.ncbi.nlm.nih.gov/nuccore/CP000304.1?report=graph&amp;tracks=[key:gene_model_track,Options:GeneOnly]&amp;mk=2786936:2786955|offset_1|444444,2786916:2786935|offset_21|444444,2786861:2786880|offset_76|444444,2786828:2786847|offset_109|00cc00&amp;v=2786735:2787047&amp;c=444444", "offset 109")</f>
        <v>offset 109</v>
      </c>
    </row>
    <row r="9846" customFormat="false" ht="12.8" hidden="false" customHeight="false" outlineLevel="0" collapsed="false">
      <c r="A9846" s="0" t="s">
        <v>12</v>
      </c>
      <c r="B9846" s="0" t="n">
        <v>2787526</v>
      </c>
      <c r="C9846" s="0" t="n">
        <v>2787546</v>
      </c>
      <c r="D9846" s="0" t="s">
        <v>32848</v>
      </c>
      <c r="E9846" s="0" t="s">
        <v>89</v>
      </c>
      <c r="F9846" s="0" t="s">
        <v>90</v>
      </c>
      <c r="G9846" s="0" t="s">
        <v>16</v>
      </c>
      <c r="H9846" s="0" t="n">
        <v>42</v>
      </c>
      <c r="I9846" s="0" t="s">
        <v>32849</v>
      </c>
      <c r="J9846" s="0" t="s">
        <v>32850</v>
      </c>
      <c r="K9846" s="0" t="s">
        <v>32851</v>
      </c>
      <c r="L9846" s="0" t="str">
        <f aca="false">HYPERLINK("https://www.ncbi.nlm.nih.gov/nuccore/CP000304.1?report=graph&amp;tracks=[key:gene_model_track,Options:GeneOnly]&amp;mk=2787527:2787546|offset_42|00cc00,2787492:2787511|offset_77|444444,2787436:2787455|offset_133|444444,2787396:2787415|offset_173|444444&amp;v=2787326:2787615&amp;c=444444", "offset 42")</f>
        <v>offset 42</v>
      </c>
    </row>
    <row r="9847" customFormat="false" ht="12.8" hidden="false" customHeight="false" outlineLevel="0" collapsed="false">
      <c r="A9847" s="0" t="s">
        <v>12</v>
      </c>
      <c r="B9847" s="0" t="n">
        <v>2787491</v>
      </c>
      <c r="C9847" s="0" t="n">
        <v>2787511</v>
      </c>
      <c r="D9847" s="0" t="s">
        <v>32848</v>
      </c>
      <c r="E9847" s="0" t="s">
        <v>89</v>
      </c>
      <c r="F9847" s="0" t="s">
        <v>90</v>
      </c>
      <c r="G9847" s="0" t="s">
        <v>16</v>
      </c>
      <c r="H9847" s="0" t="n">
        <v>77</v>
      </c>
      <c r="I9847" s="0" t="s">
        <v>32852</v>
      </c>
      <c r="J9847" s="0" t="s">
        <v>32853</v>
      </c>
      <c r="K9847" s="0" t="s">
        <v>32854</v>
      </c>
      <c r="L9847" s="0" t="str">
        <f aca="false">HYPERLINK("https://www.ncbi.nlm.nih.gov/nuccore/CP000304.1?report=graph&amp;tracks=[key:gene_model_track,Options:GeneOnly]&amp;mk=2787527:2787546|offset_42|444444,2787492:2787511|offset_77|00cc00,2787436:2787455|offset_133|444444,2787396:2787415|offset_173|444444&amp;v=2787326:2787615&amp;c=444444", "offset 77")</f>
        <v>offset 77</v>
      </c>
    </row>
    <row r="9848" customFormat="false" ht="12.8" hidden="false" customHeight="false" outlineLevel="0" collapsed="false">
      <c r="A9848" s="0" t="s">
        <v>12</v>
      </c>
      <c r="B9848" s="0" t="n">
        <v>2787435</v>
      </c>
      <c r="C9848" s="0" t="n">
        <v>2787455</v>
      </c>
      <c r="D9848" s="0" t="s">
        <v>32848</v>
      </c>
      <c r="E9848" s="0" t="s">
        <v>89</v>
      </c>
      <c r="F9848" s="0" t="s">
        <v>90</v>
      </c>
      <c r="G9848" s="0" t="s">
        <v>32</v>
      </c>
      <c r="H9848" s="0" t="n">
        <v>133</v>
      </c>
      <c r="I9848" s="0" t="s">
        <v>32855</v>
      </c>
      <c r="J9848" s="0" t="s">
        <v>32856</v>
      </c>
      <c r="K9848" s="0" t="s">
        <v>32857</v>
      </c>
      <c r="L9848" s="0" t="str">
        <f aca="false">HYPERLINK("https://www.ncbi.nlm.nih.gov/nuccore/CP000304.1?report=graph&amp;tracks=[key:gene_model_track,Options:GeneOnly]&amp;mk=2787527:2787546|offset_42|444444,2787492:2787511|offset_77|444444,2787436:2787455|offset_133|00cc00,2787396:2787415|offset_173|444444&amp;v=2787326:2787615&amp;c=444444", "offset 133")</f>
        <v>offset 133</v>
      </c>
    </row>
    <row r="9849" customFormat="false" ht="12.8" hidden="false" customHeight="false" outlineLevel="0" collapsed="false">
      <c r="A9849" s="0" t="s">
        <v>12</v>
      </c>
      <c r="B9849" s="0" t="n">
        <v>2787395</v>
      </c>
      <c r="C9849" s="0" t="n">
        <v>2787415</v>
      </c>
      <c r="D9849" s="0" t="s">
        <v>32848</v>
      </c>
      <c r="E9849" s="0" t="s">
        <v>89</v>
      </c>
      <c r="F9849" s="0" t="s">
        <v>90</v>
      </c>
      <c r="G9849" s="0" t="s">
        <v>26</v>
      </c>
      <c r="H9849" s="0" t="n">
        <v>173</v>
      </c>
      <c r="I9849" s="0" t="s">
        <v>32858</v>
      </c>
      <c r="J9849" s="0" t="s">
        <v>32859</v>
      </c>
      <c r="K9849" s="0" t="s">
        <v>32860</v>
      </c>
      <c r="L9849" s="0" t="str">
        <f aca="false">HYPERLINK("https://www.ncbi.nlm.nih.gov/nuccore/CP000304.1?report=graph&amp;tracks=[key:gene_model_track,Options:GeneOnly]&amp;mk=2787527:2787546|offset_42|444444,2787492:2787511|offset_77|444444,2787436:2787455|offset_133|444444,2787396:2787415|offset_173|00cc00&amp;v=2787326:2787615&amp;c=444444", "offset 173")</f>
        <v>offset 173</v>
      </c>
    </row>
    <row r="9850" customFormat="false" ht="12.8" hidden="false" customHeight="false" outlineLevel="0" collapsed="false">
      <c r="A9850" s="0" t="s">
        <v>12</v>
      </c>
      <c r="B9850" s="0" t="n">
        <v>2788783</v>
      </c>
      <c r="C9850" s="0" t="n">
        <v>2788803</v>
      </c>
      <c r="D9850" s="0" t="s">
        <v>32861</v>
      </c>
      <c r="E9850" s="0" t="s">
        <v>32862</v>
      </c>
      <c r="F9850" s="0" t="s">
        <v>90</v>
      </c>
      <c r="G9850" s="0" t="s">
        <v>26</v>
      </c>
      <c r="H9850" s="0" t="n">
        <v>17</v>
      </c>
      <c r="I9850" s="0" t="s">
        <v>32863</v>
      </c>
      <c r="J9850" s="0" t="s">
        <v>32864</v>
      </c>
      <c r="K9850" s="0" t="s">
        <v>32865</v>
      </c>
      <c r="L9850" s="0" t="str">
        <f aca="false">HYPERLINK("https://www.ncbi.nlm.nih.gov/nuccore/CP000304.1?report=graph&amp;tracks=[key:gene_model_track,Options:GeneOnly]&amp;mk=2788784:2788803|offset_17|00cc00,2788754:2788773|offset_47|444444,2788731:2788750|offset_70|444444,2788701:2788720|offset_100|444444&amp;v=2788583:2788920&amp;c=444444", "offset 17")</f>
        <v>offset 17</v>
      </c>
    </row>
    <row r="9851" customFormat="false" ht="12.8" hidden="false" customHeight="false" outlineLevel="0" collapsed="false">
      <c r="A9851" s="0" t="s">
        <v>12</v>
      </c>
      <c r="B9851" s="0" t="n">
        <v>2788753</v>
      </c>
      <c r="C9851" s="0" t="n">
        <v>2788773</v>
      </c>
      <c r="D9851" s="0" t="s">
        <v>32861</v>
      </c>
      <c r="E9851" s="0" t="s">
        <v>32862</v>
      </c>
      <c r="F9851" s="0" t="s">
        <v>90</v>
      </c>
      <c r="G9851" s="0" t="s">
        <v>16</v>
      </c>
      <c r="H9851" s="0" t="n">
        <v>47</v>
      </c>
      <c r="I9851" s="0" t="s">
        <v>32866</v>
      </c>
      <c r="J9851" s="0" t="s">
        <v>32867</v>
      </c>
      <c r="K9851" s="0" t="s">
        <v>32868</v>
      </c>
      <c r="L9851" s="0" t="str">
        <f aca="false">HYPERLINK("https://www.ncbi.nlm.nih.gov/nuccore/CP000304.1?report=graph&amp;tracks=[key:gene_model_track,Options:GeneOnly]&amp;mk=2788784:2788803|offset_17|444444,2788754:2788773|offset_47|00cc00,2788731:2788750|offset_70|444444,2788701:2788720|offset_100|444444&amp;v=2788583:2788920&amp;c=444444", "offset 47")</f>
        <v>offset 47</v>
      </c>
    </row>
    <row r="9852" customFormat="false" ht="12.8" hidden="false" customHeight="false" outlineLevel="0" collapsed="false">
      <c r="A9852" s="0" t="s">
        <v>12</v>
      </c>
      <c r="B9852" s="0" t="n">
        <v>2788730</v>
      </c>
      <c r="C9852" s="0" t="n">
        <v>2788750</v>
      </c>
      <c r="D9852" s="0" t="s">
        <v>32861</v>
      </c>
      <c r="E9852" s="0" t="s">
        <v>32862</v>
      </c>
      <c r="F9852" s="0" t="s">
        <v>90</v>
      </c>
      <c r="G9852" s="0" t="s">
        <v>26</v>
      </c>
      <c r="H9852" s="0" t="n">
        <v>70</v>
      </c>
      <c r="I9852" s="0" t="s">
        <v>32869</v>
      </c>
      <c r="J9852" s="0" t="s">
        <v>32870</v>
      </c>
      <c r="K9852" s="0" t="s">
        <v>32871</v>
      </c>
      <c r="L9852" s="0" t="str">
        <f aca="false">HYPERLINK("https://www.ncbi.nlm.nih.gov/nuccore/CP000304.1?report=graph&amp;tracks=[key:gene_model_track,Options:GeneOnly]&amp;mk=2788784:2788803|offset_17|444444,2788754:2788773|offset_47|444444,2788731:2788750|offset_70|00cc00,2788701:2788720|offset_100|444444&amp;v=2788583:2788920&amp;c=444444", "offset 70")</f>
        <v>offset 70</v>
      </c>
    </row>
    <row r="9853" customFormat="false" ht="12.8" hidden="false" customHeight="false" outlineLevel="0" collapsed="false">
      <c r="A9853" s="0" t="s">
        <v>12</v>
      </c>
      <c r="B9853" s="0" t="n">
        <v>2788700</v>
      </c>
      <c r="C9853" s="0" t="n">
        <v>2788720</v>
      </c>
      <c r="D9853" s="0" t="s">
        <v>32861</v>
      </c>
      <c r="E9853" s="0" t="s">
        <v>32862</v>
      </c>
      <c r="F9853" s="0" t="s">
        <v>90</v>
      </c>
      <c r="G9853" s="0" t="s">
        <v>16</v>
      </c>
      <c r="H9853" s="0" t="n">
        <v>100</v>
      </c>
      <c r="I9853" s="0" t="s">
        <v>32872</v>
      </c>
      <c r="J9853" s="0" t="s">
        <v>32873</v>
      </c>
      <c r="K9853" s="0" t="s">
        <v>32874</v>
      </c>
      <c r="L9853" s="0" t="str">
        <f aca="false">HYPERLINK("https://www.ncbi.nlm.nih.gov/nuccore/CP000304.1?report=graph&amp;tracks=[key:gene_model_track,Options:GeneOnly]&amp;mk=2788784:2788803|offset_17|444444,2788754:2788773|offset_47|444444,2788731:2788750|offset_70|444444,2788701:2788720|offset_100|00cc00&amp;v=2788583:2788920&amp;c=444444", "offset 100")</f>
        <v>offset 100</v>
      </c>
    </row>
    <row r="9854" customFormat="false" ht="12.8" hidden="false" customHeight="false" outlineLevel="0" collapsed="false">
      <c r="A9854" s="0" t="s">
        <v>12</v>
      </c>
      <c r="B9854" s="0" t="n">
        <v>2791063</v>
      </c>
      <c r="C9854" s="0" t="n">
        <v>2791083</v>
      </c>
      <c r="D9854" s="0" t="s">
        <v>32875</v>
      </c>
      <c r="E9854" s="0" t="s">
        <v>32876</v>
      </c>
      <c r="F9854" s="0" t="s">
        <v>90</v>
      </c>
      <c r="G9854" s="0" t="s">
        <v>16</v>
      </c>
      <c r="H9854" s="0" t="n">
        <v>16</v>
      </c>
      <c r="I9854" s="0" t="s">
        <v>32877</v>
      </c>
      <c r="J9854" s="0" t="s">
        <v>32878</v>
      </c>
      <c r="K9854" s="0" t="s">
        <v>32879</v>
      </c>
      <c r="L9854" s="0" t="str">
        <f aca="false">HYPERLINK("https://www.ncbi.nlm.nih.gov/nuccore/CP000304.1?report=graph&amp;tracks=[key:gene_model_track,Options:GeneOnly]&amp;mk=2791064:2791083|offset_16|00cc00,2791039:2791058|offset_41|444444,2791004:2791023|offset_76|444444,2790976:2790995|offset_104|444444&amp;v=2790863:2791195&amp;c=444444", "offset 16")</f>
        <v>offset 16</v>
      </c>
    </row>
    <row r="9855" customFormat="false" ht="12.8" hidden="false" customHeight="false" outlineLevel="0" collapsed="false">
      <c r="A9855" s="0" t="s">
        <v>12</v>
      </c>
      <c r="B9855" s="0" t="n">
        <v>2791038</v>
      </c>
      <c r="C9855" s="0" t="n">
        <v>2791058</v>
      </c>
      <c r="D9855" s="0" t="s">
        <v>32875</v>
      </c>
      <c r="E9855" s="0" t="s">
        <v>32876</v>
      </c>
      <c r="F9855" s="0" t="s">
        <v>90</v>
      </c>
      <c r="G9855" s="0" t="s">
        <v>26</v>
      </c>
      <c r="H9855" s="0" t="n">
        <v>41</v>
      </c>
      <c r="I9855" s="0" t="s">
        <v>32880</v>
      </c>
      <c r="J9855" s="0" t="s">
        <v>32881</v>
      </c>
      <c r="K9855" s="0" t="s">
        <v>32882</v>
      </c>
      <c r="L9855" s="0" t="str">
        <f aca="false">HYPERLINK("https://www.ncbi.nlm.nih.gov/nuccore/CP000304.1?report=graph&amp;tracks=[key:gene_model_track,Options:GeneOnly]&amp;mk=2791064:2791083|offset_16|444444,2791039:2791058|offset_41|00cc00,2791004:2791023|offset_76|444444,2790976:2790995|offset_104|444444&amp;v=2790863:2791195&amp;c=444444", "offset 41")</f>
        <v>offset 41</v>
      </c>
    </row>
    <row r="9856" customFormat="false" ht="12.8" hidden="false" customHeight="false" outlineLevel="0" collapsed="false">
      <c r="A9856" s="0" t="s">
        <v>12</v>
      </c>
      <c r="B9856" s="0" t="n">
        <v>2791003</v>
      </c>
      <c r="C9856" s="0" t="n">
        <v>2791023</v>
      </c>
      <c r="D9856" s="0" t="s">
        <v>32875</v>
      </c>
      <c r="E9856" s="0" t="s">
        <v>32876</v>
      </c>
      <c r="F9856" s="0" t="s">
        <v>90</v>
      </c>
      <c r="G9856" s="0" t="s">
        <v>16</v>
      </c>
      <c r="H9856" s="0" t="n">
        <v>76</v>
      </c>
      <c r="I9856" s="0" t="s">
        <v>32883</v>
      </c>
      <c r="J9856" s="0" t="s">
        <v>32884</v>
      </c>
      <c r="K9856" s="0" t="s">
        <v>32885</v>
      </c>
      <c r="L9856" s="0" t="str">
        <f aca="false">HYPERLINK("https://www.ncbi.nlm.nih.gov/nuccore/CP000304.1?report=graph&amp;tracks=[key:gene_model_track,Options:GeneOnly]&amp;mk=2791064:2791083|offset_16|444444,2791039:2791058|offset_41|444444,2791004:2791023|offset_76|00cc00,2790976:2790995|offset_104|444444&amp;v=2790863:2791195&amp;c=444444", "offset 76")</f>
        <v>offset 76</v>
      </c>
    </row>
    <row r="9857" customFormat="false" ht="12.8" hidden="false" customHeight="false" outlineLevel="0" collapsed="false">
      <c r="A9857" s="0" t="s">
        <v>12</v>
      </c>
      <c r="B9857" s="0" t="n">
        <v>2790975</v>
      </c>
      <c r="C9857" s="0" t="n">
        <v>2790995</v>
      </c>
      <c r="D9857" s="0" t="s">
        <v>32875</v>
      </c>
      <c r="E9857" s="0" t="s">
        <v>32876</v>
      </c>
      <c r="F9857" s="0" t="s">
        <v>90</v>
      </c>
      <c r="G9857" s="0" t="s">
        <v>36</v>
      </c>
      <c r="H9857" s="0" t="n">
        <v>104</v>
      </c>
      <c r="I9857" s="0" t="s">
        <v>32886</v>
      </c>
      <c r="J9857" s="0" t="s">
        <v>32887</v>
      </c>
      <c r="K9857" s="0" t="s">
        <v>32888</v>
      </c>
      <c r="L9857" s="0" t="str">
        <f aca="false">HYPERLINK("https://www.ncbi.nlm.nih.gov/nuccore/CP000304.1?report=graph&amp;tracks=[key:gene_model_track,Options:GeneOnly]&amp;mk=2791064:2791083|offset_16|444444,2791039:2791058|offset_41|444444,2791004:2791023|offset_76|444444,2790976:2790995|offset_104|00cc00&amp;v=2790863:2791195&amp;c=444444", "offset 104")</f>
        <v>offset 104</v>
      </c>
    </row>
    <row r="9858" customFormat="false" ht="12.8" hidden="false" customHeight="false" outlineLevel="0" collapsed="false">
      <c r="A9858" s="0" t="s">
        <v>12</v>
      </c>
      <c r="B9858" s="0" t="n">
        <v>2791868</v>
      </c>
      <c r="C9858" s="0" t="n">
        <v>2791888</v>
      </c>
      <c r="D9858" s="0" t="s">
        <v>32889</v>
      </c>
      <c r="E9858" s="0" t="s">
        <v>32890</v>
      </c>
      <c r="F9858" s="0" t="s">
        <v>90</v>
      </c>
      <c r="G9858" s="0" t="s">
        <v>32</v>
      </c>
      <c r="H9858" s="0" t="n">
        <v>17</v>
      </c>
      <c r="I9858" s="0" t="s">
        <v>32891</v>
      </c>
      <c r="J9858" s="0" t="s">
        <v>32892</v>
      </c>
      <c r="K9858" s="0" t="s">
        <v>32893</v>
      </c>
      <c r="L9858" s="0" t="str">
        <f aca="false">HYPERLINK("https://www.ncbi.nlm.nih.gov/nuccore/CP000304.1?report=graph&amp;tracks=[key:gene_model_track,Options:GeneOnly]&amp;mk=2791869:2791888|offset_17|00cc00,2791834:2791853|offset_52|444444,2791809:2791828|offset_77|444444,2791696:2791715|offset_190|444444&amp;v=2791668:2791915&amp;c=444444", "offset 17")</f>
        <v>offset 17</v>
      </c>
    </row>
    <row r="9859" customFormat="false" ht="12.8" hidden="false" customHeight="false" outlineLevel="0" collapsed="false">
      <c r="A9859" s="0" t="s">
        <v>12</v>
      </c>
      <c r="B9859" s="0" t="n">
        <v>2791833</v>
      </c>
      <c r="C9859" s="0" t="n">
        <v>2791853</v>
      </c>
      <c r="D9859" s="0" t="s">
        <v>32889</v>
      </c>
      <c r="E9859" s="0" t="s">
        <v>32890</v>
      </c>
      <c r="F9859" s="0" t="s">
        <v>90</v>
      </c>
      <c r="G9859" s="0" t="s">
        <v>32</v>
      </c>
      <c r="H9859" s="0" t="n">
        <v>52</v>
      </c>
      <c r="I9859" s="0" t="s">
        <v>32894</v>
      </c>
      <c r="J9859" s="0" t="s">
        <v>32895</v>
      </c>
      <c r="K9859" s="0" t="s">
        <v>32896</v>
      </c>
      <c r="L9859" s="0" t="str">
        <f aca="false">HYPERLINK("https://www.ncbi.nlm.nih.gov/nuccore/CP000304.1?report=graph&amp;tracks=[key:gene_model_track,Options:GeneOnly]&amp;mk=2791869:2791888|offset_17|444444,2791834:2791853|offset_52|00cc00,2791809:2791828|offset_77|444444,2791696:2791715|offset_190|444444&amp;v=2791668:2791915&amp;c=444444", "offset 52")</f>
        <v>offset 52</v>
      </c>
    </row>
    <row r="9860" customFormat="false" ht="12.8" hidden="false" customHeight="false" outlineLevel="0" collapsed="false">
      <c r="A9860" s="0" t="s">
        <v>12</v>
      </c>
      <c r="B9860" s="0" t="n">
        <v>2791808</v>
      </c>
      <c r="C9860" s="0" t="n">
        <v>2791828</v>
      </c>
      <c r="D9860" s="0" t="s">
        <v>32889</v>
      </c>
      <c r="E9860" s="0" t="s">
        <v>32890</v>
      </c>
      <c r="F9860" s="0" t="s">
        <v>90</v>
      </c>
      <c r="G9860" s="0" t="s">
        <v>26</v>
      </c>
      <c r="H9860" s="0" t="n">
        <v>77</v>
      </c>
      <c r="I9860" s="0" t="s">
        <v>32897</v>
      </c>
      <c r="J9860" s="0" t="s">
        <v>32898</v>
      </c>
      <c r="K9860" s="0" t="s">
        <v>32899</v>
      </c>
      <c r="L9860" s="0" t="str">
        <f aca="false">HYPERLINK("https://www.ncbi.nlm.nih.gov/nuccore/CP000304.1?report=graph&amp;tracks=[key:gene_model_track,Options:GeneOnly]&amp;mk=2791869:2791888|offset_17|444444,2791834:2791853|offset_52|444444,2791809:2791828|offset_77|00cc00,2791696:2791715|offset_190|444444&amp;v=2791668:2791915&amp;c=444444", "offset 77")</f>
        <v>offset 77</v>
      </c>
    </row>
    <row r="9861" customFormat="false" ht="12.8" hidden="false" customHeight="false" outlineLevel="0" collapsed="false">
      <c r="A9861" s="0" t="s">
        <v>12</v>
      </c>
      <c r="B9861" s="0" t="n">
        <v>2791695</v>
      </c>
      <c r="C9861" s="0" t="n">
        <v>2791715</v>
      </c>
      <c r="D9861" s="0" t="s">
        <v>32889</v>
      </c>
      <c r="E9861" s="0" t="s">
        <v>32890</v>
      </c>
      <c r="F9861" s="0" t="s">
        <v>90</v>
      </c>
      <c r="G9861" s="0" t="s">
        <v>32</v>
      </c>
      <c r="H9861" s="0" t="n">
        <v>190</v>
      </c>
      <c r="I9861" s="0" t="s">
        <v>32900</v>
      </c>
      <c r="J9861" s="0" t="s">
        <v>32901</v>
      </c>
      <c r="K9861" s="0" t="s">
        <v>32902</v>
      </c>
      <c r="L9861" s="0" t="str">
        <f aca="false">HYPERLINK("https://www.ncbi.nlm.nih.gov/nuccore/CP000304.1?report=graph&amp;tracks=[key:gene_model_track,Options:GeneOnly]&amp;mk=2791869:2791888|offset_17|444444,2791834:2791853|offset_52|444444,2791809:2791828|offset_77|444444,2791696:2791715|offset_190|00cc00&amp;v=2791668:2791915&amp;c=444444", "offset 190")</f>
        <v>offset 190</v>
      </c>
    </row>
    <row r="9862" customFormat="false" ht="12.8" hidden="false" customHeight="false" outlineLevel="0" collapsed="false">
      <c r="A9862" s="0" t="s">
        <v>12</v>
      </c>
      <c r="B9862" s="0" t="n">
        <v>2792272</v>
      </c>
      <c r="C9862" s="0" t="n">
        <v>2792292</v>
      </c>
      <c r="D9862" s="0" t="s">
        <v>32903</v>
      </c>
      <c r="E9862" s="0" t="s">
        <v>32904</v>
      </c>
      <c r="F9862" s="0" t="s">
        <v>90</v>
      </c>
      <c r="G9862" s="0" t="s">
        <v>26</v>
      </c>
      <c r="H9862" s="0" t="n">
        <v>11</v>
      </c>
      <c r="I9862" s="0" t="s">
        <v>32905</v>
      </c>
      <c r="J9862" s="0" t="s">
        <v>32906</v>
      </c>
      <c r="K9862" s="0" t="s">
        <v>32907</v>
      </c>
      <c r="L9862" s="0" t="str">
        <f aca="false">HYPERLINK("https://www.ncbi.nlm.nih.gov/nuccore/CP000304.1?report=graph&amp;tracks=[key:gene_model_track,Options:GeneOnly]&amp;mk=2792273:2792292|offset_11|00cc00,2792228:2792247|offset_56|444444,2792199:2792218|offset_85|444444,2792178:2792197|offset_106|444444&amp;v=2792072:2792397&amp;c=444444", "offset 11")</f>
        <v>offset 11</v>
      </c>
    </row>
    <row r="9863" customFormat="false" ht="12.8" hidden="false" customHeight="false" outlineLevel="0" collapsed="false">
      <c r="A9863" s="0" t="s">
        <v>12</v>
      </c>
      <c r="B9863" s="0" t="n">
        <v>2792227</v>
      </c>
      <c r="C9863" s="0" t="n">
        <v>2792247</v>
      </c>
      <c r="D9863" s="0" t="s">
        <v>32903</v>
      </c>
      <c r="E9863" s="0" t="s">
        <v>32904</v>
      </c>
      <c r="F9863" s="0" t="s">
        <v>90</v>
      </c>
      <c r="G9863" s="0" t="s">
        <v>26</v>
      </c>
      <c r="H9863" s="0" t="n">
        <v>56</v>
      </c>
      <c r="I9863" s="0" t="s">
        <v>32908</v>
      </c>
      <c r="J9863" s="0" t="s">
        <v>32909</v>
      </c>
      <c r="K9863" s="0" t="s">
        <v>32910</v>
      </c>
      <c r="L9863" s="0" t="str">
        <f aca="false">HYPERLINK("https://www.ncbi.nlm.nih.gov/nuccore/CP000304.1?report=graph&amp;tracks=[key:gene_model_track,Options:GeneOnly]&amp;mk=2792273:2792292|offset_11|444444,2792228:2792247|offset_56|00cc00,2792199:2792218|offset_85|444444,2792178:2792197|offset_106|444444&amp;v=2792072:2792397&amp;c=444444", "offset 56")</f>
        <v>offset 56</v>
      </c>
    </row>
    <row r="9864" customFormat="false" ht="12.8" hidden="false" customHeight="false" outlineLevel="0" collapsed="false">
      <c r="A9864" s="0" t="s">
        <v>12</v>
      </c>
      <c r="B9864" s="0" t="n">
        <v>2792198</v>
      </c>
      <c r="C9864" s="0" t="n">
        <v>2792218</v>
      </c>
      <c r="D9864" s="0" t="s">
        <v>32903</v>
      </c>
      <c r="E9864" s="0" t="s">
        <v>32904</v>
      </c>
      <c r="F9864" s="0" t="s">
        <v>90</v>
      </c>
      <c r="G9864" s="0" t="s">
        <v>16</v>
      </c>
      <c r="H9864" s="0" t="n">
        <v>85</v>
      </c>
      <c r="I9864" s="0" t="s">
        <v>32911</v>
      </c>
      <c r="J9864" s="0" t="s">
        <v>32912</v>
      </c>
      <c r="K9864" s="0" t="s">
        <v>32913</v>
      </c>
      <c r="L9864" s="0" t="str">
        <f aca="false">HYPERLINK("https://www.ncbi.nlm.nih.gov/nuccore/CP000304.1?report=graph&amp;tracks=[key:gene_model_track,Options:GeneOnly]&amp;mk=2792273:2792292|offset_11|444444,2792228:2792247|offset_56|444444,2792199:2792218|offset_85|00cc00,2792178:2792197|offset_106|444444&amp;v=2792072:2792397&amp;c=444444", "offset 85")</f>
        <v>offset 85</v>
      </c>
    </row>
    <row r="9865" customFormat="false" ht="12.8" hidden="false" customHeight="false" outlineLevel="0" collapsed="false">
      <c r="A9865" s="0" t="s">
        <v>12</v>
      </c>
      <c r="B9865" s="0" t="n">
        <v>2792177</v>
      </c>
      <c r="C9865" s="0" t="n">
        <v>2792197</v>
      </c>
      <c r="D9865" s="0" t="s">
        <v>32903</v>
      </c>
      <c r="E9865" s="0" t="s">
        <v>32904</v>
      </c>
      <c r="F9865" s="0" t="s">
        <v>90</v>
      </c>
      <c r="G9865" s="0" t="s">
        <v>32</v>
      </c>
      <c r="H9865" s="0" t="n">
        <v>106</v>
      </c>
      <c r="I9865" s="0" t="s">
        <v>32914</v>
      </c>
      <c r="J9865" s="0" t="s">
        <v>32915</v>
      </c>
      <c r="K9865" s="0" t="s">
        <v>32916</v>
      </c>
      <c r="L9865" s="0" t="str">
        <f aca="false">HYPERLINK("https://www.ncbi.nlm.nih.gov/nuccore/CP000304.1?report=graph&amp;tracks=[key:gene_model_track,Options:GeneOnly]&amp;mk=2792273:2792292|offset_11|444444,2792228:2792247|offset_56|444444,2792199:2792218|offset_85|444444,2792178:2792197|offset_106|00cc00&amp;v=2792072:2792397&amp;c=444444", "offset 106")</f>
        <v>offset 106</v>
      </c>
    </row>
    <row r="9866" customFormat="false" ht="12.8" hidden="false" customHeight="false" outlineLevel="0" collapsed="false">
      <c r="A9866" s="0" t="s">
        <v>12</v>
      </c>
      <c r="B9866" s="0" t="n">
        <v>2793041</v>
      </c>
      <c r="C9866" s="0" t="n">
        <v>2793061</v>
      </c>
      <c r="D9866" s="0" t="s">
        <v>32917</v>
      </c>
      <c r="E9866" s="0" t="s">
        <v>32918</v>
      </c>
      <c r="F9866" s="0" t="s">
        <v>90</v>
      </c>
      <c r="G9866" s="0" t="s">
        <v>16</v>
      </c>
      <c r="H9866" s="0" t="n">
        <v>41</v>
      </c>
      <c r="I9866" s="0" t="s">
        <v>32919</v>
      </c>
      <c r="J9866" s="0" t="s">
        <v>32920</v>
      </c>
      <c r="K9866" s="0" t="s">
        <v>32921</v>
      </c>
      <c r="L9866" s="0" t="str">
        <f aca="false">HYPERLINK("https://www.ncbi.nlm.nih.gov/nuccore/CP000304.1?report=graph&amp;tracks=[key:gene_model_track,Options:GeneOnly]&amp;mk=2793042:2793061|offset_41|00cc00,2793022:2793041|offset_61|444444,2792994:2793013|offset_89|444444,2792974:2792993|offset_109|444444&amp;v=2792841:2793193&amp;c=444444", "offset 41")</f>
        <v>offset 41</v>
      </c>
    </row>
    <row r="9867" customFormat="false" ht="12.8" hidden="false" customHeight="false" outlineLevel="0" collapsed="false">
      <c r="A9867" s="0" t="s">
        <v>12</v>
      </c>
      <c r="B9867" s="0" t="n">
        <v>2793021</v>
      </c>
      <c r="C9867" s="0" t="n">
        <v>2793041</v>
      </c>
      <c r="D9867" s="0" t="s">
        <v>32917</v>
      </c>
      <c r="E9867" s="0" t="s">
        <v>32918</v>
      </c>
      <c r="F9867" s="0" t="s">
        <v>90</v>
      </c>
      <c r="G9867" s="0" t="s">
        <v>36</v>
      </c>
      <c r="H9867" s="0" t="n">
        <v>61</v>
      </c>
      <c r="I9867" s="0" t="s">
        <v>32922</v>
      </c>
      <c r="J9867" s="0" t="s">
        <v>32923</v>
      </c>
      <c r="K9867" s="0" t="s">
        <v>32924</v>
      </c>
      <c r="L9867" s="0" t="str">
        <f aca="false">HYPERLINK("https://www.ncbi.nlm.nih.gov/nuccore/CP000304.1?report=graph&amp;tracks=[key:gene_model_track,Options:GeneOnly]&amp;mk=2793042:2793061|offset_41|444444,2793022:2793041|offset_61|00cc00,2792994:2793013|offset_89|444444,2792974:2792993|offset_109|444444&amp;v=2792841:2793193&amp;c=444444", "offset 61")</f>
        <v>offset 61</v>
      </c>
    </row>
    <row r="9868" customFormat="false" ht="12.8" hidden="false" customHeight="false" outlineLevel="0" collapsed="false">
      <c r="A9868" s="0" t="s">
        <v>12</v>
      </c>
      <c r="B9868" s="0" t="n">
        <v>2792993</v>
      </c>
      <c r="C9868" s="0" t="n">
        <v>2793013</v>
      </c>
      <c r="D9868" s="0" t="s">
        <v>32917</v>
      </c>
      <c r="E9868" s="0" t="s">
        <v>32918</v>
      </c>
      <c r="F9868" s="0" t="s">
        <v>90</v>
      </c>
      <c r="G9868" s="0" t="s">
        <v>26</v>
      </c>
      <c r="H9868" s="0" t="n">
        <v>89</v>
      </c>
      <c r="I9868" s="0" t="s">
        <v>32925</v>
      </c>
      <c r="J9868" s="0" t="s">
        <v>32926</v>
      </c>
      <c r="K9868" s="0" t="s">
        <v>32927</v>
      </c>
      <c r="L9868" s="0" t="str">
        <f aca="false">HYPERLINK("https://www.ncbi.nlm.nih.gov/nuccore/CP000304.1?report=graph&amp;tracks=[key:gene_model_track,Options:GeneOnly]&amp;mk=2793042:2793061|offset_41|444444,2793022:2793041|offset_61|444444,2792994:2793013|offset_89|00cc00,2792974:2792993|offset_109|444444&amp;v=2792841:2793193&amp;c=444444", "offset 89")</f>
        <v>offset 89</v>
      </c>
    </row>
    <row r="9869" customFormat="false" ht="12.8" hidden="false" customHeight="false" outlineLevel="0" collapsed="false">
      <c r="A9869" s="0" t="s">
        <v>12</v>
      </c>
      <c r="B9869" s="0" t="n">
        <v>2792973</v>
      </c>
      <c r="C9869" s="0" t="n">
        <v>2792993</v>
      </c>
      <c r="D9869" s="0" t="s">
        <v>32917</v>
      </c>
      <c r="E9869" s="0" t="s">
        <v>32918</v>
      </c>
      <c r="F9869" s="0" t="s">
        <v>90</v>
      </c>
      <c r="G9869" s="0" t="s">
        <v>32</v>
      </c>
      <c r="H9869" s="0" t="n">
        <v>109</v>
      </c>
      <c r="I9869" s="0" t="s">
        <v>32928</v>
      </c>
      <c r="J9869" s="0" t="s">
        <v>32929</v>
      </c>
      <c r="K9869" s="0" t="s">
        <v>32930</v>
      </c>
      <c r="L9869" s="0" t="str">
        <f aca="false">HYPERLINK("https://www.ncbi.nlm.nih.gov/nuccore/CP000304.1?report=graph&amp;tracks=[key:gene_model_track,Options:GeneOnly]&amp;mk=2793042:2793061|offset_41|444444,2793022:2793041|offset_61|444444,2792994:2793013|offset_89|444444,2792974:2792993|offset_109|00cc00&amp;v=2792841:2793193&amp;c=444444", "offset 109")</f>
        <v>offset 109</v>
      </c>
    </row>
    <row r="9870" customFormat="false" ht="12.8" hidden="false" customHeight="false" outlineLevel="0" collapsed="false">
      <c r="A9870" s="0" t="s">
        <v>12</v>
      </c>
      <c r="B9870" s="0" t="n">
        <v>2793912</v>
      </c>
      <c r="C9870" s="0" t="n">
        <v>2793932</v>
      </c>
      <c r="D9870" s="0" t="s">
        <v>32931</v>
      </c>
      <c r="E9870" s="0" t="s">
        <v>32932</v>
      </c>
      <c r="F9870" s="0" t="s">
        <v>90</v>
      </c>
      <c r="G9870" s="0" t="s">
        <v>36</v>
      </c>
      <c r="H9870" s="0" t="n">
        <v>15</v>
      </c>
      <c r="I9870" s="0" t="s">
        <v>32933</v>
      </c>
      <c r="J9870" s="0" t="s">
        <v>32934</v>
      </c>
      <c r="K9870" s="0" t="s">
        <v>32935</v>
      </c>
      <c r="L9870" s="0" t="str">
        <f aca="false">HYPERLINK("https://www.ncbi.nlm.nih.gov/nuccore/CP000304.1?report=graph&amp;tracks=[key:gene_model_track,Options:GeneOnly]&amp;mk=2793913:2793932|offset_15|00cc00,2793891:2793910|offset_37|444444,2793864:2793883|offset_64|444444,2793831:2793850|offset_97|444444&amp;v=2793712:2794050&amp;c=444444", "offset 15")</f>
        <v>offset 15</v>
      </c>
    </row>
    <row r="9871" customFormat="false" ht="12.8" hidden="false" customHeight="false" outlineLevel="0" collapsed="false">
      <c r="A9871" s="0" t="s">
        <v>12</v>
      </c>
      <c r="B9871" s="0" t="n">
        <v>2793890</v>
      </c>
      <c r="C9871" s="0" t="n">
        <v>2793910</v>
      </c>
      <c r="D9871" s="0" t="s">
        <v>32931</v>
      </c>
      <c r="E9871" s="0" t="s">
        <v>32932</v>
      </c>
      <c r="F9871" s="0" t="s">
        <v>90</v>
      </c>
      <c r="G9871" s="0" t="s">
        <v>16</v>
      </c>
      <c r="H9871" s="0" t="n">
        <v>37</v>
      </c>
      <c r="I9871" s="0" t="s">
        <v>32936</v>
      </c>
      <c r="J9871" s="0" t="s">
        <v>32937</v>
      </c>
      <c r="K9871" s="0" t="s">
        <v>32938</v>
      </c>
      <c r="L9871" s="0" t="str">
        <f aca="false">HYPERLINK("https://www.ncbi.nlm.nih.gov/nuccore/CP000304.1?report=graph&amp;tracks=[key:gene_model_track,Options:GeneOnly]&amp;mk=2793913:2793932|offset_15|444444,2793891:2793910|offset_37|00cc00,2793864:2793883|offset_64|444444,2793831:2793850|offset_97|444444&amp;v=2793712:2794050&amp;c=444444", "offset 37")</f>
        <v>offset 37</v>
      </c>
    </row>
    <row r="9872" customFormat="false" ht="12.8" hidden="false" customHeight="false" outlineLevel="0" collapsed="false">
      <c r="A9872" s="0" t="s">
        <v>12</v>
      </c>
      <c r="B9872" s="0" t="n">
        <v>2793863</v>
      </c>
      <c r="C9872" s="0" t="n">
        <v>2793883</v>
      </c>
      <c r="D9872" s="0" t="s">
        <v>32931</v>
      </c>
      <c r="E9872" s="0" t="s">
        <v>32932</v>
      </c>
      <c r="F9872" s="0" t="s">
        <v>90</v>
      </c>
      <c r="G9872" s="0" t="s">
        <v>32</v>
      </c>
      <c r="H9872" s="0" t="n">
        <v>64</v>
      </c>
      <c r="I9872" s="0" t="s">
        <v>32939</v>
      </c>
      <c r="J9872" s="0" t="s">
        <v>32940</v>
      </c>
      <c r="K9872" s="0" t="s">
        <v>32941</v>
      </c>
      <c r="L9872" s="0" t="str">
        <f aca="false">HYPERLINK("https://www.ncbi.nlm.nih.gov/nuccore/CP000304.1?report=graph&amp;tracks=[key:gene_model_track,Options:GeneOnly]&amp;mk=2793913:2793932|offset_15|444444,2793891:2793910|offset_37|444444,2793864:2793883|offset_64|00cc00,2793831:2793850|offset_97|444444&amp;v=2793712:2794050&amp;c=444444", "offset 64")</f>
        <v>offset 64</v>
      </c>
    </row>
    <row r="9873" customFormat="false" ht="12.8" hidden="false" customHeight="false" outlineLevel="0" collapsed="false">
      <c r="A9873" s="0" t="s">
        <v>12</v>
      </c>
      <c r="B9873" s="0" t="n">
        <v>2793830</v>
      </c>
      <c r="C9873" s="0" t="n">
        <v>2793850</v>
      </c>
      <c r="D9873" s="0" t="s">
        <v>32931</v>
      </c>
      <c r="E9873" s="0" t="s">
        <v>32932</v>
      </c>
      <c r="F9873" s="0" t="s">
        <v>90</v>
      </c>
      <c r="G9873" s="0" t="s">
        <v>16</v>
      </c>
      <c r="H9873" s="0" t="n">
        <v>97</v>
      </c>
      <c r="I9873" s="0" t="s">
        <v>32942</v>
      </c>
      <c r="J9873" s="0" t="s">
        <v>32943</v>
      </c>
      <c r="K9873" s="0" t="s">
        <v>32944</v>
      </c>
      <c r="L9873" s="0" t="str">
        <f aca="false">HYPERLINK("https://www.ncbi.nlm.nih.gov/nuccore/CP000304.1?report=graph&amp;tracks=[key:gene_model_track,Options:GeneOnly]&amp;mk=2793913:2793932|offset_15|444444,2793891:2793910|offset_37|444444,2793864:2793883|offset_64|444444,2793831:2793850|offset_97|00cc00&amp;v=2793712:2794050&amp;c=444444", "offset 97")</f>
        <v>offset 97</v>
      </c>
    </row>
    <row r="9874" customFormat="false" ht="12.8" hidden="false" customHeight="false" outlineLevel="0" collapsed="false">
      <c r="A9874" s="0" t="s">
        <v>12</v>
      </c>
      <c r="B9874" s="0" t="n">
        <v>2795310</v>
      </c>
      <c r="C9874" s="0" t="n">
        <v>2795330</v>
      </c>
      <c r="D9874" s="0" t="s">
        <v>32945</v>
      </c>
      <c r="E9874" s="0" t="s">
        <v>32946</v>
      </c>
      <c r="F9874" s="0" t="s">
        <v>90</v>
      </c>
      <c r="G9874" s="0" t="s">
        <v>32</v>
      </c>
      <c r="H9874" s="0" t="n">
        <v>1</v>
      </c>
      <c r="I9874" s="0" t="s">
        <v>32947</v>
      </c>
      <c r="J9874" s="0" t="s">
        <v>32948</v>
      </c>
      <c r="K9874" s="0" t="s">
        <v>32949</v>
      </c>
      <c r="L9874" s="0" t="str">
        <f aca="false">HYPERLINK("https://www.ncbi.nlm.nih.gov/nuccore/CP000304.1?report=graph&amp;tracks=[key:gene_model_track,Options:GeneOnly]&amp;mk=2795311:2795330|offset_1|00cc00,2795287:2795306|offset_25|444444,2795239:2795258|offset_73|444444,2795206:2795225|offset_106|444444&amp;v=2795110:2795425&amp;c=444444", "offset 1")</f>
        <v>offset 1</v>
      </c>
    </row>
    <row r="9875" customFormat="false" ht="12.8" hidden="false" customHeight="false" outlineLevel="0" collapsed="false">
      <c r="A9875" s="0" t="s">
        <v>12</v>
      </c>
      <c r="B9875" s="0" t="n">
        <v>2795286</v>
      </c>
      <c r="C9875" s="0" t="n">
        <v>2795306</v>
      </c>
      <c r="D9875" s="0" t="s">
        <v>32945</v>
      </c>
      <c r="E9875" s="0" t="s">
        <v>32946</v>
      </c>
      <c r="F9875" s="0" t="s">
        <v>90</v>
      </c>
      <c r="G9875" s="0" t="s">
        <v>16</v>
      </c>
      <c r="H9875" s="0" t="n">
        <v>25</v>
      </c>
      <c r="I9875" s="0" t="s">
        <v>32950</v>
      </c>
      <c r="J9875" s="0" t="s">
        <v>32951</v>
      </c>
      <c r="K9875" s="0" t="s">
        <v>32952</v>
      </c>
      <c r="L9875" s="0" t="str">
        <f aca="false">HYPERLINK("https://www.ncbi.nlm.nih.gov/nuccore/CP000304.1?report=graph&amp;tracks=[key:gene_model_track,Options:GeneOnly]&amp;mk=2795311:2795330|offset_1|444444,2795287:2795306|offset_25|00cc00,2795239:2795258|offset_73|444444,2795206:2795225|offset_106|444444&amp;v=2795110:2795425&amp;c=444444", "offset 25")</f>
        <v>offset 25</v>
      </c>
    </row>
    <row r="9876" customFormat="false" ht="12.8" hidden="false" customHeight="false" outlineLevel="0" collapsed="false">
      <c r="A9876" s="0" t="s">
        <v>12</v>
      </c>
      <c r="B9876" s="0" t="n">
        <v>2795238</v>
      </c>
      <c r="C9876" s="0" t="n">
        <v>2795258</v>
      </c>
      <c r="D9876" s="0" t="s">
        <v>32945</v>
      </c>
      <c r="E9876" s="0" t="s">
        <v>32946</v>
      </c>
      <c r="F9876" s="0" t="s">
        <v>90</v>
      </c>
      <c r="G9876" s="0" t="s">
        <v>16</v>
      </c>
      <c r="H9876" s="0" t="n">
        <v>73</v>
      </c>
      <c r="I9876" s="0" t="s">
        <v>32953</v>
      </c>
      <c r="J9876" s="0" t="s">
        <v>32954</v>
      </c>
      <c r="K9876" s="0" t="s">
        <v>32955</v>
      </c>
      <c r="L9876" s="0" t="str">
        <f aca="false">HYPERLINK("https://www.ncbi.nlm.nih.gov/nuccore/CP000304.1?report=graph&amp;tracks=[key:gene_model_track,Options:GeneOnly]&amp;mk=2795311:2795330|offset_1|444444,2795287:2795306|offset_25|444444,2795239:2795258|offset_73|00cc00,2795206:2795225|offset_106|444444&amp;v=2795110:2795425&amp;c=444444", "offset 73")</f>
        <v>offset 73</v>
      </c>
    </row>
    <row r="9877" customFormat="false" ht="12.8" hidden="false" customHeight="false" outlineLevel="0" collapsed="false">
      <c r="A9877" s="0" t="s">
        <v>12</v>
      </c>
      <c r="B9877" s="0" t="n">
        <v>2795205</v>
      </c>
      <c r="C9877" s="0" t="n">
        <v>2795225</v>
      </c>
      <c r="D9877" s="0" t="s">
        <v>32945</v>
      </c>
      <c r="E9877" s="0" t="s">
        <v>32946</v>
      </c>
      <c r="F9877" s="0" t="s">
        <v>90</v>
      </c>
      <c r="G9877" s="0" t="s">
        <v>16</v>
      </c>
      <c r="H9877" s="0" t="n">
        <v>106</v>
      </c>
      <c r="I9877" s="0" t="s">
        <v>32956</v>
      </c>
      <c r="J9877" s="0" t="s">
        <v>32957</v>
      </c>
      <c r="K9877" s="0" t="s">
        <v>32958</v>
      </c>
      <c r="L9877" s="0" t="str">
        <f aca="false">HYPERLINK("https://www.ncbi.nlm.nih.gov/nuccore/CP000304.1?report=graph&amp;tracks=[key:gene_model_track,Options:GeneOnly]&amp;mk=2795311:2795330|offset_1|444444,2795287:2795306|offset_25|444444,2795239:2795258|offset_73|444444,2795206:2795225|offset_106|00cc00&amp;v=2795110:2795425&amp;c=444444", "offset 106")</f>
        <v>offset 106</v>
      </c>
    </row>
    <row r="9878" customFormat="false" ht="12.8" hidden="false" customHeight="false" outlineLevel="0" collapsed="false">
      <c r="A9878" s="0" t="s">
        <v>12</v>
      </c>
      <c r="B9878" s="0" t="n">
        <v>2797336</v>
      </c>
      <c r="C9878" s="0" t="n">
        <v>2797356</v>
      </c>
      <c r="D9878" s="0" t="s">
        <v>32959</v>
      </c>
      <c r="E9878" s="0" t="s">
        <v>32960</v>
      </c>
      <c r="F9878" s="0" t="s">
        <v>90</v>
      </c>
      <c r="G9878" s="0" t="s">
        <v>16</v>
      </c>
      <c r="H9878" s="0" t="n">
        <v>21</v>
      </c>
      <c r="I9878" s="0" t="s">
        <v>32961</v>
      </c>
      <c r="J9878" s="0" t="s">
        <v>32962</v>
      </c>
      <c r="K9878" s="0" t="s">
        <v>32963</v>
      </c>
      <c r="L9878" s="0" t="str">
        <f aca="false">HYPERLINK("https://www.ncbi.nlm.nih.gov/nuccore/CP000304.1?report=graph&amp;tracks=[key:gene_model_track,Options:GeneOnly]&amp;mk=2797337:2797356|offset_21|00cc00,2797303:2797322|offset_55|444444,2797247:2797266|offset_111|444444,2797227:2797246|offset_131|444444&amp;v=2797136:2797446&amp;c=444444", "offset 21")</f>
        <v>offset 21</v>
      </c>
    </row>
    <row r="9879" customFormat="false" ht="12.8" hidden="false" customHeight="false" outlineLevel="0" collapsed="false">
      <c r="A9879" s="0" t="s">
        <v>12</v>
      </c>
      <c r="B9879" s="0" t="n">
        <v>2797302</v>
      </c>
      <c r="C9879" s="0" t="n">
        <v>2797322</v>
      </c>
      <c r="D9879" s="0" t="s">
        <v>32959</v>
      </c>
      <c r="E9879" s="0" t="s">
        <v>32960</v>
      </c>
      <c r="F9879" s="0" t="s">
        <v>90</v>
      </c>
      <c r="G9879" s="0" t="s">
        <v>26</v>
      </c>
      <c r="H9879" s="0" t="n">
        <v>55</v>
      </c>
      <c r="I9879" s="0" t="s">
        <v>32964</v>
      </c>
      <c r="J9879" s="0" t="s">
        <v>32965</v>
      </c>
      <c r="K9879" s="0" t="s">
        <v>32966</v>
      </c>
      <c r="L9879" s="0" t="str">
        <f aca="false">HYPERLINK("https://www.ncbi.nlm.nih.gov/nuccore/CP000304.1?report=graph&amp;tracks=[key:gene_model_track,Options:GeneOnly]&amp;mk=2797337:2797356|offset_21|444444,2797303:2797322|offset_55|00cc00,2797247:2797266|offset_111|444444,2797227:2797246|offset_131|444444&amp;v=2797136:2797446&amp;c=444444", "offset 55")</f>
        <v>offset 55</v>
      </c>
    </row>
    <row r="9880" customFormat="false" ht="12.8" hidden="false" customHeight="false" outlineLevel="0" collapsed="false">
      <c r="A9880" s="0" t="s">
        <v>12</v>
      </c>
      <c r="B9880" s="0" t="n">
        <v>2797246</v>
      </c>
      <c r="C9880" s="0" t="n">
        <v>2797266</v>
      </c>
      <c r="D9880" s="0" t="s">
        <v>32959</v>
      </c>
      <c r="E9880" s="0" t="s">
        <v>32960</v>
      </c>
      <c r="F9880" s="0" t="s">
        <v>90</v>
      </c>
      <c r="G9880" s="0" t="s">
        <v>16</v>
      </c>
      <c r="H9880" s="0" t="n">
        <v>111</v>
      </c>
      <c r="I9880" s="0" t="s">
        <v>32967</v>
      </c>
      <c r="J9880" s="0" t="s">
        <v>32968</v>
      </c>
      <c r="K9880" s="0" t="s">
        <v>32969</v>
      </c>
      <c r="L9880" s="0" t="str">
        <f aca="false">HYPERLINK("https://www.ncbi.nlm.nih.gov/nuccore/CP000304.1?report=graph&amp;tracks=[key:gene_model_track,Options:GeneOnly]&amp;mk=2797337:2797356|offset_21|444444,2797303:2797322|offset_55|444444,2797247:2797266|offset_111|00cc00,2797227:2797246|offset_131|444444&amp;v=2797136:2797446&amp;c=444444", "offset 111")</f>
        <v>offset 111</v>
      </c>
    </row>
    <row r="9881" customFormat="false" ht="12.8" hidden="false" customHeight="false" outlineLevel="0" collapsed="false">
      <c r="A9881" s="0" t="s">
        <v>12</v>
      </c>
      <c r="B9881" s="0" t="n">
        <v>2797226</v>
      </c>
      <c r="C9881" s="0" t="n">
        <v>2797246</v>
      </c>
      <c r="D9881" s="0" t="s">
        <v>32959</v>
      </c>
      <c r="E9881" s="0" t="s">
        <v>32960</v>
      </c>
      <c r="F9881" s="0" t="s">
        <v>90</v>
      </c>
      <c r="G9881" s="0" t="s">
        <v>36</v>
      </c>
      <c r="H9881" s="0" t="n">
        <v>131</v>
      </c>
      <c r="I9881" s="0" t="s">
        <v>32970</v>
      </c>
      <c r="J9881" s="0" t="s">
        <v>32971</v>
      </c>
      <c r="K9881" s="0" t="s">
        <v>32972</v>
      </c>
      <c r="L9881" s="0" t="str">
        <f aca="false">HYPERLINK("https://www.ncbi.nlm.nih.gov/nuccore/CP000304.1?report=graph&amp;tracks=[key:gene_model_track,Options:GeneOnly]&amp;mk=2797337:2797356|offset_21|444444,2797303:2797322|offset_55|444444,2797247:2797266|offset_111|444444,2797227:2797246|offset_131|00cc00&amp;v=2797136:2797446&amp;c=444444", "offset 131")</f>
        <v>offset 131</v>
      </c>
    </row>
    <row r="9882" customFormat="false" ht="12.8" hidden="false" customHeight="false" outlineLevel="0" collapsed="false">
      <c r="A9882" s="0" t="s">
        <v>12</v>
      </c>
      <c r="B9882" s="0" t="n">
        <v>2797705</v>
      </c>
      <c r="C9882" s="0" t="n">
        <v>2797725</v>
      </c>
      <c r="D9882" s="0" t="s">
        <v>32973</v>
      </c>
      <c r="E9882" s="0" t="s">
        <v>32974</v>
      </c>
      <c r="F9882" s="0" t="s">
        <v>15</v>
      </c>
      <c r="G9882" s="0" t="s">
        <v>16</v>
      </c>
      <c r="H9882" s="0" t="n">
        <v>31</v>
      </c>
      <c r="I9882" s="0" t="s">
        <v>32975</v>
      </c>
      <c r="J9882" s="0" t="s">
        <v>32976</v>
      </c>
      <c r="K9882" s="0" t="s">
        <v>32977</v>
      </c>
      <c r="L9882" s="0" t="str">
        <f aca="false">HYPERLINK("https://www.ncbi.nlm.nih.gov/nuccore/CP000304.1?report=graph&amp;tracks=[key:gene_model_track,Options:GeneOnly]&amp;mk=2797706:2797725|offset_31|00cc00,2797727:2797746|offset_52|444444,2797760:2797779|offset_85|444444,2797787:2797806|offset_112|444444&amp;v=2797505:2798006&amp;c=444444", "offset 31")</f>
        <v>offset 31</v>
      </c>
    </row>
    <row r="9883" customFormat="false" ht="12.8" hidden="false" customHeight="false" outlineLevel="0" collapsed="false">
      <c r="A9883" s="0" t="s">
        <v>12</v>
      </c>
      <c r="B9883" s="0" t="n">
        <v>2797726</v>
      </c>
      <c r="C9883" s="0" t="n">
        <v>2797746</v>
      </c>
      <c r="D9883" s="0" t="s">
        <v>32973</v>
      </c>
      <c r="E9883" s="0" t="s">
        <v>32974</v>
      </c>
      <c r="F9883" s="0" t="s">
        <v>15</v>
      </c>
      <c r="G9883" s="0" t="s">
        <v>36</v>
      </c>
      <c r="H9883" s="0" t="n">
        <v>52</v>
      </c>
      <c r="I9883" s="0" t="s">
        <v>32978</v>
      </c>
      <c r="J9883" s="0" t="s">
        <v>32979</v>
      </c>
      <c r="K9883" s="0" t="s">
        <v>32980</v>
      </c>
      <c r="L9883" s="0" t="str">
        <f aca="false">HYPERLINK("https://www.ncbi.nlm.nih.gov/nuccore/CP000304.1?report=graph&amp;tracks=[key:gene_model_track,Options:GeneOnly]&amp;mk=2797706:2797725|offset_31|444444,2797727:2797746|offset_52|00cc00,2797760:2797779|offset_85|444444,2797787:2797806|offset_112|444444&amp;v=2797505:2798006&amp;c=444444", "offset 52")</f>
        <v>offset 52</v>
      </c>
    </row>
    <row r="9884" customFormat="false" ht="12.8" hidden="false" customHeight="false" outlineLevel="0" collapsed="false">
      <c r="A9884" s="0" t="s">
        <v>12</v>
      </c>
      <c r="B9884" s="0" t="n">
        <v>2797759</v>
      </c>
      <c r="C9884" s="0" t="n">
        <v>2797779</v>
      </c>
      <c r="D9884" s="0" t="s">
        <v>32973</v>
      </c>
      <c r="E9884" s="0" t="s">
        <v>32974</v>
      </c>
      <c r="F9884" s="0" t="s">
        <v>15</v>
      </c>
      <c r="G9884" s="0" t="s">
        <v>16</v>
      </c>
      <c r="H9884" s="0" t="n">
        <v>85</v>
      </c>
      <c r="I9884" s="0" t="s">
        <v>32981</v>
      </c>
      <c r="J9884" s="0" t="s">
        <v>32982</v>
      </c>
      <c r="K9884" s="0" t="s">
        <v>32983</v>
      </c>
      <c r="L9884" s="0" t="str">
        <f aca="false">HYPERLINK("https://www.ncbi.nlm.nih.gov/nuccore/CP000304.1?report=graph&amp;tracks=[key:gene_model_track,Options:GeneOnly]&amp;mk=2797706:2797725|offset_31|444444,2797727:2797746|offset_52|444444,2797760:2797779|offset_85|00cc00,2797787:2797806|offset_112|444444&amp;v=2797505:2798006&amp;c=444444", "offset 85")</f>
        <v>offset 85</v>
      </c>
    </row>
    <row r="9885" customFormat="false" ht="12.8" hidden="false" customHeight="false" outlineLevel="0" collapsed="false">
      <c r="A9885" s="0" t="s">
        <v>12</v>
      </c>
      <c r="B9885" s="0" t="n">
        <v>2797786</v>
      </c>
      <c r="C9885" s="0" t="n">
        <v>2797806</v>
      </c>
      <c r="D9885" s="0" t="s">
        <v>32973</v>
      </c>
      <c r="E9885" s="0" t="s">
        <v>32974</v>
      </c>
      <c r="F9885" s="0" t="s">
        <v>15</v>
      </c>
      <c r="G9885" s="0" t="s">
        <v>16</v>
      </c>
      <c r="H9885" s="0" t="n">
        <v>112</v>
      </c>
      <c r="I9885" s="0" t="s">
        <v>32984</v>
      </c>
      <c r="J9885" s="0" t="s">
        <v>32985</v>
      </c>
      <c r="K9885" s="0" t="s">
        <v>32986</v>
      </c>
      <c r="L9885" s="0" t="str">
        <f aca="false">HYPERLINK("https://www.ncbi.nlm.nih.gov/nuccore/CP000304.1?report=graph&amp;tracks=[key:gene_model_track,Options:GeneOnly]&amp;mk=2797706:2797725|offset_31|444444,2797727:2797746|offset_52|444444,2797760:2797779|offset_85|444444,2797787:2797806|offset_112|00cc00&amp;v=2797505:2798006&amp;c=444444", "offset 112")</f>
        <v>offset 112</v>
      </c>
    </row>
    <row r="9886" customFormat="false" ht="12.8" hidden="false" customHeight="false" outlineLevel="0" collapsed="false">
      <c r="A9886" s="0" t="s">
        <v>12</v>
      </c>
      <c r="B9886" s="0" t="n">
        <v>2799327</v>
      </c>
      <c r="C9886" s="0" t="n">
        <v>2799347</v>
      </c>
      <c r="D9886" s="0" t="s">
        <v>32987</v>
      </c>
      <c r="E9886" s="0" t="s">
        <v>32988</v>
      </c>
      <c r="F9886" s="0" t="s">
        <v>90</v>
      </c>
      <c r="G9886" s="0" t="s">
        <v>16</v>
      </c>
      <c r="H9886" s="0" t="n">
        <v>25</v>
      </c>
      <c r="I9886" s="0" t="s">
        <v>32989</v>
      </c>
      <c r="J9886" s="0" t="s">
        <v>32990</v>
      </c>
      <c r="K9886" s="0" t="s">
        <v>32991</v>
      </c>
      <c r="L9886" s="0" t="str">
        <f aca="false">HYPERLINK("https://www.ncbi.nlm.nih.gov/nuccore/CP000304.1?report=graph&amp;tracks=[key:gene_model_track,Options:GeneOnly]&amp;mk=2799328:2799347|offset_25|00cc00,2799297:2799316|offset_56|444444,2799259:2799278|offset_94|444444,2799202:2799221|offset_151|444444&amp;v=2799127:2799421&amp;c=444444", "offset 25")</f>
        <v>offset 25</v>
      </c>
    </row>
    <row r="9887" customFormat="false" ht="12.8" hidden="false" customHeight="false" outlineLevel="0" collapsed="false">
      <c r="A9887" s="0" t="s">
        <v>12</v>
      </c>
      <c r="B9887" s="0" t="n">
        <v>2799296</v>
      </c>
      <c r="C9887" s="0" t="n">
        <v>2799316</v>
      </c>
      <c r="D9887" s="0" t="s">
        <v>32987</v>
      </c>
      <c r="E9887" s="0" t="s">
        <v>32988</v>
      </c>
      <c r="F9887" s="0" t="s">
        <v>90</v>
      </c>
      <c r="G9887" s="0" t="s">
        <v>26</v>
      </c>
      <c r="H9887" s="0" t="n">
        <v>56</v>
      </c>
      <c r="I9887" s="0" t="s">
        <v>32992</v>
      </c>
      <c r="J9887" s="0" t="s">
        <v>32993</v>
      </c>
      <c r="K9887" s="0" t="s">
        <v>32994</v>
      </c>
      <c r="L9887" s="0" t="str">
        <f aca="false">HYPERLINK("https://www.ncbi.nlm.nih.gov/nuccore/CP000304.1?report=graph&amp;tracks=[key:gene_model_track,Options:GeneOnly]&amp;mk=2799328:2799347|offset_25|444444,2799297:2799316|offset_56|00cc00,2799259:2799278|offset_94|444444,2799202:2799221|offset_151|444444&amp;v=2799127:2799421&amp;c=444444", "offset 56")</f>
        <v>offset 56</v>
      </c>
    </row>
    <row r="9888" customFormat="false" ht="12.8" hidden="false" customHeight="false" outlineLevel="0" collapsed="false">
      <c r="A9888" s="0" t="s">
        <v>12</v>
      </c>
      <c r="B9888" s="0" t="n">
        <v>2799258</v>
      </c>
      <c r="C9888" s="0" t="n">
        <v>2799278</v>
      </c>
      <c r="D9888" s="0" t="s">
        <v>32987</v>
      </c>
      <c r="E9888" s="0" t="s">
        <v>32988</v>
      </c>
      <c r="F9888" s="0" t="s">
        <v>90</v>
      </c>
      <c r="G9888" s="0" t="s">
        <v>36</v>
      </c>
      <c r="H9888" s="0" t="n">
        <v>94</v>
      </c>
      <c r="I9888" s="0" t="s">
        <v>32995</v>
      </c>
      <c r="J9888" s="0" t="s">
        <v>32996</v>
      </c>
      <c r="K9888" s="0" t="s">
        <v>32997</v>
      </c>
      <c r="L9888" s="0" t="str">
        <f aca="false">HYPERLINK("https://www.ncbi.nlm.nih.gov/nuccore/CP000304.1?report=graph&amp;tracks=[key:gene_model_track,Options:GeneOnly]&amp;mk=2799328:2799347|offset_25|444444,2799297:2799316|offset_56|444444,2799259:2799278|offset_94|00cc00,2799202:2799221|offset_151|444444&amp;v=2799127:2799421&amp;c=444444", "offset 94")</f>
        <v>offset 94</v>
      </c>
    </row>
    <row r="9889" customFormat="false" ht="12.8" hidden="false" customHeight="false" outlineLevel="0" collapsed="false">
      <c r="A9889" s="0" t="s">
        <v>12</v>
      </c>
      <c r="B9889" s="0" t="n">
        <v>2799201</v>
      </c>
      <c r="C9889" s="0" t="n">
        <v>2799221</v>
      </c>
      <c r="D9889" s="0" t="s">
        <v>32987</v>
      </c>
      <c r="E9889" s="0" t="s">
        <v>32988</v>
      </c>
      <c r="F9889" s="0" t="s">
        <v>90</v>
      </c>
      <c r="G9889" s="0" t="s">
        <v>16</v>
      </c>
      <c r="H9889" s="0" t="n">
        <v>151</v>
      </c>
      <c r="I9889" s="0" t="s">
        <v>32998</v>
      </c>
      <c r="J9889" s="0" t="s">
        <v>32999</v>
      </c>
      <c r="K9889" s="0" t="s">
        <v>33000</v>
      </c>
      <c r="L9889" s="0" t="str">
        <f aca="false">HYPERLINK("https://www.ncbi.nlm.nih.gov/nuccore/CP000304.1?report=graph&amp;tracks=[key:gene_model_track,Options:GeneOnly]&amp;mk=2799328:2799347|offset_25|444444,2799297:2799316|offset_56|444444,2799259:2799278|offset_94|444444,2799202:2799221|offset_151|00cc00&amp;v=2799127:2799421&amp;c=444444", "offset 151")</f>
        <v>offset 151</v>
      </c>
    </row>
    <row r="9890" customFormat="false" ht="12.8" hidden="false" customHeight="false" outlineLevel="0" collapsed="false">
      <c r="A9890" s="0" t="s">
        <v>12</v>
      </c>
      <c r="B9890" s="0" t="n">
        <v>2800112</v>
      </c>
      <c r="C9890" s="0" t="n">
        <v>2800132</v>
      </c>
      <c r="D9890" s="0" t="s">
        <v>33001</v>
      </c>
      <c r="E9890" s="0" t="s">
        <v>33002</v>
      </c>
      <c r="F9890" s="0" t="s">
        <v>90</v>
      </c>
      <c r="G9890" s="0" t="s">
        <v>26</v>
      </c>
      <c r="H9890" s="0" t="n">
        <v>50</v>
      </c>
      <c r="I9890" s="0" t="s">
        <v>33003</v>
      </c>
      <c r="J9890" s="0" t="s">
        <v>33004</v>
      </c>
      <c r="K9890" s="0" t="s">
        <v>33005</v>
      </c>
      <c r="L9890" s="0" t="str">
        <f aca="false">HYPERLINK("https://www.ncbi.nlm.nih.gov/nuccore/CP000304.1?report=graph&amp;tracks=[key:gene_model_track,Options:GeneOnly]&amp;mk=2800113:2800132|offset_50|00cc00,2800090:2800109|offset_73|444444,2800070:2800089|offset_93|444444,2800046:2800065|offset_117|444444&amp;v=2799912:2800265&amp;c=444444", "offset 50")</f>
        <v>offset 50</v>
      </c>
    </row>
    <row r="9891" customFormat="false" ht="12.8" hidden="false" customHeight="false" outlineLevel="0" collapsed="false">
      <c r="A9891" s="0" t="s">
        <v>12</v>
      </c>
      <c r="B9891" s="0" t="n">
        <v>2800089</v>
      </c>
      <c r="C9891" s="0" t="n">
        <v>2800109</v>
      </c>
      <c r="D9891" s="0" t="s">
        <v>33001</v>
      </c>
      <c r="E9891" s="0" t="s">
        <v>33002</v>
      </c>
      <c r="F9891" s="0" t="s">
        <v>90</v>
      </c>
      <c r="G9891" s="0" t="s">
        <v>16</v>
      </c>
      <c r="H9891" s="0" t="n">
        <v>73</v>
      </c>
      <c r="I9891" s="0" t="s">
        <v>33006</v>
      </c>
      <c r="J9891" s="0" t="s">
        <v>33007</v>
      </c>
      <c r="K9891" s="0" t="s">
        <v>33008</v>
      </c>
      <c r="L9891" s="0" t="str">
        <f aca="false">HYPERLINK("https://www.ncbi.nlm.nih.gov/nuccore/CP000304.1?report=graph&amp;tracks=[key:gene_model_track,Options:GeneOnly]&amp;mk=2800113:2800132|offset_50|444444,2800090:2800109|offset_73|00cc00,2800070:2800089|offset_93|444444,2800046:2800065|offset_117|444444&amp;v=2799912:2800265&amp;c=444444", "offset 73")</f>
        <v>offset 73</v>
      </c>
    </row>
    <row r="9892" customFormat="false" ht="12.8" hidden="false" customHeight="false" outlineLevel="0" collapsed="false">
      <c r="A9892" s="0" t="s">
        <v>12</v>
      </c>
      <c r="B9892" s="0" t="n">
        <v>2800069</v>
      </c>
      <c r="C9892" s="0" t="n">
        <v>2800089</v>
      </c>
      <c r="D9892" s="0" t="s">
        <v>33001</v>
      </c>
      <c r="E9892" s="0" t="s">
        <v>33002</v>
      </c>
      <c r="F9892" s="0" t="s">
        <v>90</v>
      </c>
      <c r="G9892" s="0" t="s">
        <v>16</v>
      </c>
      <c r="H9892" s="0" t="n">
        <v>93</v>
      </c>
      <c r="I9892" s="0" t="s">
        <v>33009</v>
      </c>
      <c r="J9892" s="0" t="s">
        <v>33010</v>
      </c>
      <c r="K9892" s="0" t="s">
        <v>33011</v>
      </c>
      <c r="L9892" s="0" t="str">
        <f aca="false">HYPERLINK("https://www.ncbi.nlm.nih.gov/nuccore/CP000304.1?report=graph&amp;tracks=[key:gene_model_track,Options:GeneOnly]&amp;mk=2800113:2800132|offset_50|444444,2800090:2800109|offset_73|444444,2800070:2800089|offset_93|00cc00,2800046:2800065|offset_117|444444&amp;v=2799912:2800265&amp;c=444444", "offset 93")</f>
        <v>offset 93</v>
      </c>
    </row>
    <row r="9893" customFormat="false" ht="12.8" hidden="false" customHeight="false" outlineLevel="0" collapsed="false">
      <c r="A9893" s="0" t="s">
        <v>12</v>
      </c>
      <c r="B9893" s="0" t="n">
        <v>2800045</v>
      </c>
      <c r="C9893" s="0" t="n">
        <v>2800065</v>
      </c>
      <c r="D9893" s="0" t="s">
        <v>33001</v>
      </c>
      <c r="E9893" s="0" t="s">
        <v>33002</v>
      </c>
      <c r="F9893" s="0" t="s">
        <v>90</v>
      </c>
      <c r="G9893" s="0" t="s">
        <v>16</v>
      </c>
      <c r="H9893" s="0" t="n">
        <v>117</v>
      </c>
      <c r="I9893" s="0" t="s">
        <v>33012</v>
      </c>
      <c r="J9893" s="0" t="s">
        <v>33013</v>
      </c>
      <c r="K9893" s="0" t="s">
        <v>33014</v>
      </c>
      <c r="L9893" s="0" t="str">
        <f aca="false">HYPERLINK("https://www.ncbi.nlm.nih.gov/nuccore/CP000304.1?report=graph&amp;tracks=[key:gene_model_track,Options:GeneOnly]&amp;mk=2800113:2800132|offset_50|444444,2800090:2800109|offset_73|444444,2800070:2800089|offset_93|444444,2800046:2800065|offset_117|00cc00&amp;v=2799912:2800265&amp;c=444444", "offset 117")</f>
        <v>offset 117</v>
      </c>
    </row>
    <row r="9894" customFormat="false" ht="12.8" hidden="false" customHeight="false" outlineLevel="0" collapsed="false">
      <c r="A9894" s="0" t="s">
        <v>12</v>
      </c>
      <c r="B9894" s="0" t="n">
        <v>2800427</v>
      </c>
      <c r="C9894" s="0" t="n">
        <v>2800447</v>
      </c>
      <c r="D9894" s="0" t="s">
        <v>33015</v>
      </c>
      <c r="E9894" s="0" t="s">
        <v>33016</v>
      </c>
      <c r="F9894" s="0" t="s">
        <v>90</v>
      </c>
      <c r="G9894" s="0" t="s">
        <v>32</v>
      </c>
      <c r="H9894" s="0" t="n">
        <v>9</v>
      </c>
      <c r="I9894" s="0" t="s">
        <v>33017</v>
      </c>
      <c r="J9894" s="0" t="s">
        <v>33018</v>
      </c>
      <c r="K9894" s="0" t="s">
        <v>33019</v>
      </c>
      <c r="L9894" s="0" t="str">
        <f aca="false">HYPERLINK("https://www.ncbi.nlm.nih.gov/nuccore/CP000304.1?report=graph&amp;tracks=[key:gene_model_track,Options:GeneOnly]&amp;mk=2800428:2800447|offset_9|00cc00,2800396:2800415|offset_41|444444,2800356:2800375|offset_81|444444,2800321:2800340|offset_116|444444&amp;v=2800227:2800540&amp;c=444444", "offset 9")</f>
        <v>offset 9</v>
      </c>
    </row>
    <row r="9895" customFormat="false" ht="12.8" hidden="false" customHeight="false" outlineLevel="0" collapsed="false">
      <c r="A9895" s="0" t="s">
        <v>12</v>
      </c>
      <c r="B9895" s="0" t="n">
        <v>2800395</v>
      </c>
      <c r="C9895" s="0" t="n">
        <v>2800415</v>
      </c>
      <c r="D9895" s="0" t="s">
        <v>33015</v>
      </c>
      <c r="E9895" s="0" t="s">
        <v>33016</v>
      </c>
      <c r="F9895" s="0" t="s">
        <v>90</v>
      </c>
      <c r="G9895" s="0" t="s">
        <v>26</v>
      </c>
      <c r="H9895" s="0" t="n">
        <v>41</v>
      </c>
      <c r="I9895" s="0" t="s">
        <v>33020</v>
      </c>
      <c r="J9895" s="0" t="s">
        <v>33021</v>
      </c>
      <c r="K9895" s="0" t="s">
        <v>33022</v>
      </c>
      <c r="L9895" s="0" t="str">
        <f aca="false">HYPERLINK("https://www.ncbi.nlm.nih.gov/nuccore/CP000304.1?report=graph&amp;tracks=[key:gene_model_track,Options:GeneOnly]&amp;mk=2800428:2800447|offset_9|444444,2800396:2800415|offset_41|00cc00,2800356:2800375|offset_81|444444,2800321:2800340|offset_116|444444&amp;v=2800227:2800540&amp;c=444444", "offset 41")</f>
        <v>offset 41</v>
      </c>
    </row>
    <row r="9896" customFormat="false" ht="12.8" hidden="false" customHeight="false" outlineLevel="0" collapsed="false">
      <c r="A9896" s="0" t="s">
        <v>12</v>
      </c>
      <c r="B9896" s="0" t="n">
        <v>2800355</v>
      </c>
      <c r="C9896" s="0" t="n">
        <v>2800375</v>
      </c>
      <c r="D9896" s="0" t="s">
        <v>33015</v>
      </c>
      <c r="E9896" s="0" t="s">
        <v>33016</v>
      </c>
      <c r="F9896" s="0" t="s">
        <v>90</v>
      </c>
      <c r="G9896" s="0" t="s">
        <v>36</v>
      </c>
      <c r="H9896" s="0" t="n">
        <v>81</v>
      </c>
      <c r="I9896" s="0" t="s">
        <v>33023</v>
      </c>
      <c r="J9896" s="0" t="s">
        <v>33024</v>
      </c>
      <c r="K9896" s="0" t="s">
        <v>33025</v>
      </c>
      <c r="L9896" s="0" t="str">
        <f aca="false">HYPERLINK("https://www.ncbi.nlm.nih.gov/nuccore/CP000304.1?report=graph&amp;tracks=[key:gene_model_track,Options:GeneOnly]&amp;mk=2800428:2800447|offset_9|444444,2800396:2800415|offset_41|444444,2800356:2800375|offset_81|00cc00,2800321:2800340|offset_116|444444&amp;v=2800227:2800540&amp;c=444444", "offset 81")</f>
        <v>offset 81</v>
      </c>
    </row>
    <row r="9897" customFormat="false" ht="12.8" hidden="false" customHeight="false" outlineLevel="0" collapsed="false">
      <c r="A9897" s="0" t="s">
        <v>12</v>
      </c>
      <c r="B9897" s="0" t="n">
        <v>2800320</v>
      </c>
      <c r="C9897" s="0" t="n">
        <v>2800340</v>
      </c>
      <c r="D9897" s="0" t="s">
        <v>33015</v>
      </c>
      <c r="E9897" s="0" t="s">
        <v>33016</v>
      </c>
      <c r="F9897" s="0" t="s">
        <v>90</v>
      </c>
      <c r="G9897" s="0" t="s">
        <v>32</v>
      </c>
      <c r="H9897" s="0" t="n">
        <v>116</v>
      </c>
      <c r="I9897" s="0" t="s">
        <v>33026</v>
      </c>
      <c r="J9897" s="0" t="s">
        <v>33027</v>
      </c>
      <c r="K9897" s="0" t="s">
        <v>33028</v>
      </c>
      <c r="L9897" s="0" t="str">
        <f aca="false">HYPERLINK("https://www.ncbi.nlm.nih.gov/nuccore/CP000304.1?report=graph&amp;tracks=[key:gene_model_track,Options:GeneOnly]&amp;mk=2800428:2800447|offset_9|444444,2800396:2800415|offset_41|444444,2800356:2800375|offset_81|444444,2800321:2800340|offset_116|00cc00&amp;v=2800227:2800540&amp;c=444444", "offset 116")</f>
        <v>offset 116</v>
      </c>
    </row>
    <row r="9898" customFormat="false" ht="12.8" hidden="false" customHeight="false" outlineLevel="0" collapsed="false">
      <c r="A9898" s="0" t="s">
        <v>12</v>
      </c>
      <c r="B9898" s="0" t="n">
        <v>2801025</v>
      </c>
      <c r="C9898" s="0" t="n">
        <v>2801045</v>
      </c>
      <c r="D9898" s="0" t="s">
        <v>33029</v>
      </c>
      <c r="E9898" s="0" t="s">
        <v>33030</v>
      </c>
      <c r="F9898" s="0" t="s">
        <v>90</v>
      </c>
      <c r="G9898" s="0" t="s">
        <v>36</v>
      </c>
      <c r="H9898" s="0" t="n">
        <v>23</v>
      </c>
      <c r="I9898" s="0" t="s">
        <v>33031</v>
      </c>
      <c r="J9898" s="0" t="s">
        <v>33032</v>
      </c>
      <c r="K9898" s="0" t="s">
        <v>33033</v>
      </c>
      <c r="L9898" s="0" t="str">
        <f aca="false">HYPERLINK("https://www.ncbi.nlm.nih.gov/nuccore/CP000304.1?report=graph&amp;tracks=[key:gene_model_track,Options:GeneOnly]&amp;mk=2801026:2801045|offset_23|00cc00,2801003:2801022|offset_46|444444,2800938:2800957|offset_111|444444,2800915:2800934|offset_134|444444&amp;v=2800825:2801134&amp;c=444444", "offset 23")</f>
        <v>offset 23</v>
      </c>
    </row>
    <row r="9899" customFormat="false" ht="12.8" hidden="false" customHeight="false" outlineLevel="0" collapsed="false">
      <c r="A9899" s="0" t="s">
        <v>12</v>
      </c>
      <c r="B9899" s="0" t="n">
        <v>2801002</v>
      </c>
      <c r="C9899" s="0" t="n">
        <v>2801022</v>
      </c>
      <c r="D9899" s="0" t="s">
        <v>33029</v>
      </c>
      <c r="E9899" s="0" t="s">
        <v>33030</v>
      </c>
      <c r="F9899" s="0" t="s">
        <v>90</v>
      </c>
      <c r="G9899" s="0" t="s">
        <v>32</v>
      </c>
      <c r="H9899" s="0" t="n">
        <v>46</v>
      </c>
      <c r="I9899" s="0" t="s">
        <v>33034</v>
      </c>
      <c r="J9899" s="0" t="s">
        <v>33035</v>
      </c>
      <c r="K9899" s="0" t="s">
        <v>33036</v>
      </c>
      <c r="L9899" s="0" t="str">
        <f aca="false">HYPERLINK("https://www.ncbi.nlm.nih.gov/nuccore/CP000304.1?report=graph&amp;tracks=[key:gene_model_track,Options:GeneOnly]&amp;mk=2801026:2801045|offset_23|444444,2801003:2801022|offset_46|00cc00,2800938:2800957|offset_111|444444,2800915:2800934|offset_134|444444&amp;v=2800825:2801134&amp;c=444444", "offset 46")</f>
        <v>offset 46</v>
      </c>
    </row>
    <row r="9900" customFormat="false" ht="12.8" hidden="false" customHeight="false" outlineLevel="0" collapsed="false">
      <c r="A9900" s="0" t="s">
        <v>12</v>
      </c>
      <c r="B9900" s="0" t="n">
        <v>2800937</v>
      </c>
      <c r="C9900" s="0" t="n">
        <v>2800957</v>
      </c>
      <c r="D9900" s="0" t="s">
        <v>33029</v>
      </c>
      <c r="E9900" s="0" t="s">
        <v>33030</v>
      </c>
      <c r="F9900" s="0" t="s">
        <v>90</v>
      </c>
      <c r="G9900" s="0" t="s">
        <v>16</v>
      </c>
      <c r="H9900" s="0" t="n">
        <v>111</v>
      </c>
      <c r="I9900" s="0" t="s">
        <v>33037</v>
      </c>
      <c r="J9900" s="0" t="s">
        <v>33038</v>
      </c>
      <c r="K9900" s="0" t="s">
        <v>33039</v>
      </c>
      <c r="L9900" s="0" t="str">
        <f aca="false">HYPERLINK("https://www.ncbi.nlm.nih.gov/nuccore/CP000304.1?report=graph&amp;tracks=[key:gene_model_track,Options:GeneOnly]&amp;mk=2801026:2801045|offset_23|444444,2801003:2801022|offset_46|444444,2800938:2800957|offset_111|00cc00,2800915:2800934|offset_134|444444&amp;v=2800825:2801134&amp;c=444444", "offset 111")</f>
        <v>offset 111</v>
      </c>
    </row>
    <row r="9901" customFormat="false" ht="12.8" hidden="false" customHeight="false" outlineLevel="0" collapsed="false">
      <c r="A9901" s="0" t="s">
        <v>12</v>
      </c>
      <c r="B9901" s="0" t="n">
        <v>2800914</v>
      </c>
      <c r="C9901" s="0" t="n">
        <v>2800934</v>
      </c>
      <c r="D9901" s="0" t="s">
        <v>33029</v>
      </c>
      <c r="E9901" s="0" t="s">
        <v>33030</v>
      </c>
      <c r="F9901" s="0" t="s">
        <v>90</v>
      </c>
      <c r="G9901" s="0" t="s">
        <v>26</v>
      </c>
      <c r="H9901" s="0" t="n">
        <v>134</v>
      </c>
      <c r="I9901" s="0" t="s">
        <v>33040</v>
      </c>
      <c r="J9901" s="0" t="s">
        <v>33041</v>
      </c>
      <c r="K9901" s="0" t="s">
        <v>33042</v>
      </c>
      <c r="L9901" s="0" t="str">
        <f aca="false">HYPERLINK("https://www.ncbi.nlm.nih.gov/nuccore/CP000304.1?report=graph&amp;tracks=[key:gene_model_track,Options:GeneOnly]&amp;mk=2801026:2801045|offset_23|444444,2801003:2801022|offset_46|444444,2800938:2800957|offset_111|444444,2800915:2800934|offset_134|00cc00&amp;v=2800825:2801134&amp;c=444444", "offset 134")</f>
        <v>offset 134</v>
      </c>
    </row>
    <row r="9902" customFormat="false" ht="12.8" hidden="false" customHeight="false" outlineLevel="0" collapsed="false">
      <c r="A9902" s="0" t="s">
        <v>12</v>
      </c>
      <c r="B9902" s="0" t="n">
        <v>2801633</v>
      </c>
      <c r="C9902" s="0" t="n">
        <v>2801653</v>
      </c>
      <c r="D9902" s="0" t="s">
        <v>33043</v>
      </c>
      <c r="E9902" s="0" t="s">
        <v>33044</v>
      </c>
      <c r="F9902" s="0" t="s">
        <v>90</v>
      </c>
      <c r="G9902" s="0" t="s">
        <v>26</v>
      </c>
      <c r="H9902" s="0" t="n">
        <v>11</v>
      </c>
      <c r="I9902" s="0" t="s">
        <v>33045</v>
      </c>
      <c r="J9902" s="0" t="s">
        <v>33046</v>
      </c>
      <c r="K9902" s="0" t="s">
        <v>33047</v>
      </c>
      <c r="L9902" s="0" t="str">
        <f aca="false">HYPERLINK("https://www.ncbi.nlm.nih.gov/nuccore/CP000304.1?report=graph&amp;tracks=[key:gene_model_track,Options:GeneOnly]&amp;mk=2801634:2801653|offset_11|00cc00,2801603:2801622|offset_42|444444,2801491:2801510|offset_154|444444,2801459:2801478|offset_186|444444&amp;v=2801433:2801678&amp;c=444444", "offset 11")</f>
        <v>offset 11</v>
      </c>
    </row>
    <row r="9903" customFormat="false" ht="12.8" hidden="false" customHeight="false" outlineLevel="0" collapsed="false">
      <c r="A9903" s="0" t="s">
        <v>12</v>
      </c>
      <c r="B9903" s="0" t="n">
        <v>2801602</v>
      </c>
      <c r="C9903" s="0" t="n">
        <v>2801622</v>
      </c>
      <c r="D9903" s="0" t="s">
        <v>33043</v>
      </c>
      <c r="E9903" s="0" t="s">
        <v>33044</v>
      </c>
      <c r="F9903" s="0" t="s">
        <v>90</v>
      </c>
      <c r="G9903" s="0" t="s">
        <v>16</v>
      </c>
      <c r="H9903" s="0" t="n">
        <v>42</v>
      </c>
      <c r="I9903" s="0" t="s">
        <v>33048</v>
      </c>
      <c r="J9903" s="0" t="s">
        <v>33049</v>
      </c>
      <c r="K9903" s="0" t="s">
        <v>33050</v>
      </c>
      <c r="L9903" s="0" t="str">
        <f aca="false">HYPERLINK("https://www.ncbi.nlm.nih.gov/nuccore/CP000304.1?report=graph&amp;tracks=[key:gene_model_track,Options:GeneOnly]&amp;mk=2801634:2801653|offset_11|444444,2801603:2801622|offset_42|00cc00,2801491:2801510|offset_154|444444,2801459:2801478|offset_186|444444&amp;v=2801433:2801678&amp;c=444444", "offset 42")</f>
        <v>offset 42</v>
      </c>
    </row>
    <row r="9904" customFormat="false" ht="12.8" hidden="false" customHeight="false" outlineLevel="0" collapsed="false">
      <c r="A9904" s="0" t="s">
        <v>12</v>
      </c>
      <c r="B9904" s="0" t="n">
        <v>2801490</v>
      </c>
      <c r="C9904" s="0" t="n">
        <v>2801510</v>
      </c>
      <c r="D9904" s="0" t="s">
        <v>33043</v>
      </c>
      <c r="E9904" s="0" t="s">
        <v>33044</v>
      </c>
      <c r="F9904" s="0" t="s">
        <v>90</v>
      </c>
      <c r="G9904" s="0" t="s">
        <v>26</v>
      </c>
      <c r="H9904" s="0" t="n">
        <v>154</v>
      </c>
      <c r="I9904" s="0" t="s">
        <v>33051</v>
      </c>
      <c r="J9904" s="0" t="s">
        <v>33052</v>
      </c>
      <c r="K9904" s="0" t="s">
        <v>33053</v>
      </c>
      <c r="L9904" s="0" t="str">
        <f aca="false">HYPERLINK("https://www.ncbi.nlm.nih.gov/nuccore/CP000304.1?report=graph&amp;tracks=[key:gene_model_track,Options:GeneOnly]&amp;mk=2801634:2801653|offset_11|444444,2801603:2801622|offset_42|444444,2801491:2801510|offset_154|00cc00,2801459:2801478|offset_186|444444&amp;v=2801433:2801678&amp;c=444444", "offset 154")</f>
        <v>offset 154</v>
      </c>
    </row>
    <row r="9905" customFormat="false" ht="12.8" hidden="false" customHeight="false" outlineLevel="0" collapsed="false">
      <c r="A9905" s="0" t="s">
        <v>12</v>
      </c>
      <c r="B9905" s="0" t="n">
        <v>2801458</v>
      </c>
      <c r="C9905" s="0" t="n">
        <v>2801478</v>
      </c>
      <c r="D9905" s="0" t="s">
        <v>33043</v>
      </c>
      <c r="E9905" s="0" t="s">
        <v>33044</v>
      </c>
      <c r="F9905" s="0" t="s">
        <v>90</v>
      </c>
      <c r="G9905" s="0" t="s">
        <v>16</v>
      </c>
      <c r="H9905" s="0" t="n">
        <v>186</v>
      </c>
      <c r="I9905" s="0" t="s">
        <v>33054</v>
      </c>
      <c r="J9905" s="0" t="s">
        <v>33055</v>
      </c>
      <c r="K9905" s="0" t="s">
        <v>33056</v>
      </c>
      <c r="L9905" s="0" t="str">
        <f aca="false">HYPERLINK("https://www.ncbi.nlm.nih.gov/nuccore/CP000304.1?report=graph&amp;tracks=[key:gene_model_track,Options:GeneOnly]&amp;mk=2801634:2801653|offset_11|444444,2801603:2801622|offset_42|444444,2801491:2801510|offset_154|444444,2801459:2801478|offset_186|00cc00&amp;v=2801433:2801678&amp;c=444444", "offset 186")</f>
        <v>offset 186</v>
      </c>
    </row>
    <row r="9906" customFormat="false" ht="12.8" hidden="false" customHeight="false" outlineLevel="0" collapsed="false">
      <c r="A9906" s="0" t="s">
        <v>12</v>
      </c>
      <c r="B9906" s="0" t="n">
        <v>2802164</v>
      </c>
      <c r="C9906" s="0" t="n">
        <v>2802184</v>
      </c>
      <c r="D9906" s="0" t="s">
        <v>33057</v>
      </c>
      <c r="E9906" s="0" t="s">
        <v>33058</v>
      </c>
      <c r="F9906" s="0" t="s">
        <v>90</v>
      </c>
      <c r="G9906" s="0" t="s">
        <v>32</v>
      </c>
      <c r="H9906" s="0" t="n">
        <v>63</v>
      </c>
      <c r="I9906" s="0" t="s">
        <v>33059</v>
      </c>
      <c r="J9906" s="0" t="s">
        <v>33060</v>
      </c>
      <c r="K9906" s="0" t="s">
        <v>33061</v>
      </c>
      <c r="L9906" s="0" t="str">
        <f aca="false">HYPERLINK("https://www.ncbi.nlm.nih.gov/nuccore/CP000304.1?report=graph&amp;tracks=[key:gene_model_track,Options:GeneOnly]&amp;mk=2802165:2802184|offset_63|00cc00,2802143:2802162|offset_85|444444,2802099:2802118|offset_129|444444,2802068:2802087|offset_160|444444&amp;v=2801964:2802287&amp;c=444444", "offset 63")</f>
        <v>offset 63</v>
      </c>
    </row>
    <row r="9907" customFormat="false" ht="12.8" hidden="false" customHeight="false" outlineLevel="0" collapsed="false">
      <c r="A9907" s="0" t="s">
        <v>12</v>
      </c>
      <c r="B9907" s="0" t="n">
        <v>2802142</v>
      </c>
      <c r="C9907" s="0" t="n">
        <v>2802162</v>
      </c>
      <c r="D9907" s="0" t="s">
        <v>33057</v>
      </c>
      <c r="E9907" s="0" t="s">
        <v>33058</v>
      </c>
      <c r="F9907" s="0" t="s">
        <v>90</v>
      </c>
      <c r="G9907" s="0" t="s">
        <v>16</v>
      </c>
      <c r="H9907" s="0" t="n">
        <v>85</v>
      </c>
      <c r="I9907" s="0" t="s">
        <v>33062</v>
      </c>
      <c r="J9907" s="0" t="s">
        <v>33063</v>
      </c>
      <c r="K9907" s="0" t="s">
        <v>33064</v>
      </c>
      <c r="L9907" s="0" t="str">
        <f aca="false">HYPERLINK("https://www.ncbi.nlm.nih.gov/nuccore/CP000304.1?report=graph&amp;tracks=[key:gene_model_track,Options:GeneOnly]&amp;mk=2802165:2802184|offset_63|444444,2802143:2802162|offset_85|00cc00,2802099:2802118|offset_129|444444,2802068:2802087|offset_160|444444&amp;v=2801964:2802287&amp;c=444444", "offset 85")</f>
        <v>offset 85</v>
      </c>
    </row>
    <row r="9908" customFormat="false" ht="12.8" hidden="false" customHeight="false" outlineLevel="0" collapsed="false">
      <c r="A9908" s="0" t="s">
        <v>12</v>
      </c>
      <c r="B9908" s="0" t="n">
        <v>2802098</v>
      </c>
      <c r="C9908" s="0" t="n">
        <v>2802118</v>
      </c>
      <c r="D9908" s="0" t="s">
        <v>33057</v>
      </c>
      <c r="E9908" s="0" t="s">
        <v>33058</v>
      </c>
      <c r="F9908" s="0" t="s">
        <v>90</v>
      </c>
      <c r="G9908" s="0" t="s">
        <v>36</v>
      </c>
      <c r="H9908" s="0" t="n">
        <v>129</v>
      </c>
      <c r="I9908" s="0" t="s">
        <v>33065</v>
      </c>
      <c r="J9908" s="0" t="s">
        <v>33066</v>
      </c>
      <c r="K9908" s="0" t="s">
        <v>33067</v>
      </c>
      <c r="L9908" s="0" t="str">
        <f aca="false">HYPERLINK("https://www.ncbi.nlm.nih.gov/nuccore/CP000304.1?report=graph&amp;tracks=[key:gene_model_track,Options:GeneOnly]&amp;mk=2802165:2802184|offset_63|444444,2802143:2802162|offset_85|444444,2802099:2802118|offset_129|00cc00,2802068:2802087|offset_160|444444&amp;v=2801964:2802287&amp;c=444444", "offset 129")</f>
        <v>offset 129</v>
      </c>
    </row>
    <row r="9909" customFormat="false" ht="12.8" hidden="false" customHeight="false" outlineLevel="0" collapsed="false">
      <c r="A9909" s="0" t="s">
        <v>12</v>
      </c>
      <c r="B9909" s="0" t="n">
        <v>2802067</v>
      </c>
      <c r="C9909" s="0" t="n">
        <v>2802087</v>
      </c>
      <c r="D9909" s="0" t="s">
        <v>33057</v>
      </c>
      <c r="E9909" s="0" t="s">
        <v>33058</v>
      </c>
      <c r="F9909" s="0" t="s">
        <v>90</v>
      </c>
      <c r="G9909" s="0" t="s">
        <v>16</v>
      </c>
      <c r="H9909" s="0" t="n">
        <v>160</v>
      </c>
      <c r="I9909" s="0" t="s">
        <v>33068</v>
      </c>
      <c r="J9909" s="0" t="s">
        <v>33069</v>
      </c>
      <c r="K9909" s="0" t="s">
        <v>33070</v>
      </c>
      <c r="L9909" s="0" t="str">
        <f aca="false">HYPERLINK("https://www.ncbi.nlm.nih.gov/nuccore/CP000304.1?report=graph&amp;tracks=[key:gene_model_track,Options:GeneOnly]&amp;mk=2802165:2802184|offset_63|444444,2802143:2802162|offset_85|444444,2802099:2802118|offset_129|444444,2802068:2802087|offset_160|00cc00&amp;v=2801964:2802287&amp;c=444444", "offset 160")</f>
        <v>offset 160</v>
      </c>
    </row>
    <row r="9910" customFormat="false" ht="12.8" hidden="false" customHeight="false" outlineLevel="0" collapsed="false">
      <c r="A9910" s="0" t="s">
        <v>12</v>
      </c>
      <c r="B9910" s="0" t="n">
        <v>2803143</v>
      </c>
      <c r="C9910" s="0" t="n">
        <v>2803163</v>
      </c>
      <c r="D9910" s="0" t="s">
        <v>33071</v>
      </c>
      <c r="E9910" s="0" t="s">
        <v>33072</v>
      </c>
      <c r="F9910" s="0" t="s">
        <v>90</v>
      </c>
      <c r="G9910" s="0" t="s">
        <v>16</v>
      </c>
      <c r="H9910" s="0" t="n">
        <v>54</v>
      </c>
      <c r="I9910" s="0" t="s">
        <v>33073</v>
      </c>
      <c r="J9910" s="0" t="s">
        <v>33074</v>
      </c>
      <c r="K9910" s="0" t="s">
        <v>33075</v>
      </c>
      <c r="L9910" s="0" t="str">
        <f aca="false">HYPERLINK("https://www.ncbi.nlm.nih.gov/nuccore/CP000304.1?report=graph&amp;tracks=[key:gene_model_track,Options:GeneOnly]&amp;mk=2803144:2803163|offset_54|00cc00,2803124:2803143|offset_74|444444,2803094:2803113|offset_104|444444,2803062:2803081|offset_136|444444&amp;v=2802943:2803281&amp;c=444444", "offset 54")</f>
        <v>offset 54</v>
      </c>
    </row>
    <row r="9911" customFormat="false" ht="12.8" hidden="false" customHeight="false" outlineLevel="0" collapsed="false">
      <c r="A9911" s="0" t="s">
        <v>12</v>
      </c>
      <c r="B9911" s="0" t="n">
        <v>2803123</v>
      </c>
      <c r="C9911" s="0" t="n">
        <v>2803143</v>
      </c>
      <c r="D9911" s="0" t="s">
        <v>33071</v>
      </c>
      <c r="E9911" s="0" t="s">
        <v>33072</v>
      </c>
      <c r="F9911" s="0" t="s">
        <v>90</v>
      </c>
      <c r="G9911" s="0" t="s">
        <v>26</v>
      </c>
      <c r="H9911" s="0" t="n">
        <v>74</v>
      </c>
      <c r="I9911" s="0" t="s">
        <v>33076</v>
      </c>
      <c r="J9911" s="0" t="s">
        <v>33077</v>
      </c>
      <c r="K9911" s="0" t="s">
        <v>33078</v>
      </c>
      <c r="L9911" s="0" t="str">
        <f aca="false">HYPERLINK("https://www.ncbi.nlm.nih.gov/nuccore/CP000304.1?report=graph&amp;tracks=[key:gene_model_track,Options:GeneOnly]&amp;mk=2803144:2803163|offset_54|444444,2803124:2803143|offset_74|00cc00,2803094:2803113|offset_104|444444,2803062:2803081|offset_136|444444&amp;v=2802943:2803281&amp;c=444444", "offset 74")</f>
        <v>offset 74</v>
      </c>
    </row>
    <row r="9912" customFormat="false" ht="12.8" hidden="false" customHeight="false" outlineLevel="0" collapsed="false">
      <c r="A9912" s="0" t="s">
        <v>12</v>
      </c>
      <c r="B9912" s="0" t="n">
        <v>2803093</v>
      </c>
      <c r="C9912" s="0" t="n">
        <v>2803113</v>
      </c>
      <c r="D9912" s="0" t="s">
        <v>33071</v>
      </c>
      <c r="E9912" s="0" t="s">
        <v>33072</v>
      </c>
      <c r="F9912" s="0" t="s">
        <v>90</v>
      </c>
      <c r="G9912" s="0" t="s">
        <v>26</v>
      </c>
      <c r="H9912" s="0" t="n">
        <v>104</v>
      </c>
      <c r="I9912" s="0" t="s">
        <v>33079</v>
      </c>
      <c r="J9912" s="0" t="s">
        <v>33080</v>
      </c>
      <c r="K9912" s="0" t="s">
        <v>33081</v>
      </c>
      <c r="L9912" s="0" t="str">
        <f aca="false">HYPERLINK("https://www.ncbi.nlm.nih.gov/nuccore/CP000304.1?report=graph&amp;tracks=[key:gene_model_track,Options:GeneOnly]&amp;mk=2803144:2803163|offset_54|444444,2803124:2803143|offset_74|444444,2803094:2803113|offset_104|00cc00,2803062:2803081|offset_136|444444&amp;v=2802943:2803281&amp;c=444444", "offset 104")</f>
        <v>offset 104</v>
      </c>
    </row>
    <row r="9913" customFormat="false" ht="12.8" hidden="false" customHeight="false" outlineLevel="0" collapsed="false">
      <c r="A9913" s="0" t="s">
        <v>12</v>
      </c>
      <c r="B9913" s="0" t="n">
        <v>2803061</v>
      </c>
      <c r="C9913" s="0" t="n">
        <v>2803081</v>
      </c>
      <c r="D9913" s="0" t="s">
        <v>33071</v>
      </c>
      <c r="E9913" s="0" t="s">
        <v>33072</v>
      </c>
      <c r="F9913" s="0" t="s">
        <v>90</v>
      </c>
      <c r="G9913" s="0" t="s">
        <v>16</v>
      </c>
      <c r="H9913" s="0" t="n">
        <v>136</v>
      </c>
      <c r="I9913" s="0" t="s">
        <v>33082</v>
      </c>
      <c r="J9913" s="0" t="s">
        <v>33083</v>
      </c>
      <c r="K9913" s="0" t="s">
        <v>33084</v>
      </c>
      <c r="L9913" s="0" t="str">
        <f aca="false">HYPERLINK("https://www.ncbi.nlm.nih.gov/nuccore/CP000304.1?report=graph&amp;tracks=[key:gene_model_track,Options:GeneOnly]&amp;mk=2803144:2803163|offset_54|444444,2803124:2803143|offset_74|444444,2803094:2803113|offset_104|444444,2803062:2803081|offset_136|00cc00&amp;v=2802943:2803281&amp;c=444444", "offset 136")</f>
        <v>offset 136</v>
      </c>
    </row>
    <row r="9914" customFormat="false" ht="12.8" hidden="false" customHeight="false" outlineLevel="0" collapsed="false">
      <c r="A9914" s="0" t="s">
        <v>12</v>
      </c>
      <c r="B9914" s="0" t="n">
        <v>2803666</v>
      </c>
      <c r="C9914" s="0" t="n">
        <v>2803686</v>
      </c>
      <c r="D9914" s="0" t="s">
        <v>33085</v>
      </c>
      <c r="E9914" s="0" t="s">
        <v>33086</v>
      </c>
      <c r="F9914" s="0" t="s">
        <v>90</v>
      </c>
      <c r="G9914" s="0" t="s">
        <v>36</v>
      </c>
      <c r="H9914" s="0" t="n">
        <v>21</v>
      </c>
      <c r="I9914" s="0" t="s">
        <v>33087</v>
      </c>
      <c r="J9914" s="0" t="s">
        <v>33088</v>
      </c>
      <c r="K9914" s="0" t="s">
        <v>33089</v>
      </c>
      <c r="L9914" s="0" t="str">
        <f aca="false">HYPERLINK("https://www.ncbi.nlm.nih.gov/nuccore/CP000304.1?report=graph&amp;tracks=[key:gene_model_track,Options:GeneOnly]&amp;mk=2803667:2803686|offset_21|00cc00,2803643:2803662|offset_45|444444,2803585:2803604|offset_103|444444,2803561:2803580|offset_127|444444&amp;v=2803466:2803780&amp;c=444444", "offset 21")</f>
        <v>offset 21</v>
      </c>
    </row>
    <row r="9915" customFormat="false" ht="12.8" hidden="false" customHeight="false" outlineLevel="0" collapsed="false">
      <c r="A9915" s="0" t="s">
        <v>12</v>
      </c>
      <c r="B9915" s="0" t="n">
        <v>2803642</v>
      </c>
      <c r="C9915" s="0" t="n">
        <v>2803662</v>
      </c>
      <c r="D9915" s="0" t="s">
        <v>33085</v>
      </c>
      <c r="E9915" s="0" t="s">
        <v>33086</v>
      </c>
      <c r="F9915" s="0" t="s">
        <v>90</v>
      </c>
      <c r="G9915" s="0" t="s">
        <v>16</v>
      </c>
      <c r="H9915" s="0" t="n">
        <v>45</v>
      </c>
      <c r="I9915" s="0" t="s">
        <v>33090</v>
      </c>
      <c r="J9915" s="0" t="s">
        <v>33091</v>
      </c>
      <c r="K9915" s="0" t="s">
        <v>33092</v>
      </c>
      <c r="L9915" s="0" t="str">
        <f aca="false">HYPERLINK("https://www.ncbi.nlm.nih.gov/nuccore/CP000304.1?report=graph&amp;tracks=[key:gene_model_track,Options:GeneOnly]&amp;mk=2803667:2803686|offset_21|444444,2803643:2803662|offset_45|00cc00,2803585:2803604|offset_103|444444,2803561:2803580|offset_127|444444&amp;v=2803466:2803780&amp;c=444444", "offset 45")</f>
        <v>offset 45</v>
      </c>
    </row>
    <row r="9916" customFormat="false" ht="12.8" hidden="false" customHeight="false" outlineLevel="0" collapsed="false">
      <c r="A9916" s="0" t="s">
        <v>12</v>
      </c>
      <c r="B9916" s="0" t="n">
        <v>2803584</v>
      </c>
      <c r="C9916" s="0" t="n">
        <v>2803604</v>
      </c>
      <c r="D9916" s="0" t="s">
        <v>33085</v>
      </c>
      <c r="E9916" s="0" t="s">
        <v>33086</v>
      </c>
      <c r="F9916" s="0" t="s">
        <v>90</v>
      </c>
      <c r="G9916" s="0" t="s">
        <v>32</v>
      </c>
      <c r="H9916" s="0" t="n">
        <v>103</v>
      </c>
      <c r="I9916" s="0" t="s">
        <v>33093</v>
      </c>
      <c r="J9916" s="0" t="s">
        <v>33094</v>
      </c>
      <c r="K9916" s="0" t="s">
        <v>33095</v>
      </c>
      <c r="L9916" s="0" t="str">
        <f aca="false">HYPERLINK("https://www.ncbi.nlm.nih.gov/nuccore/CP000304.1?report=graph&amp;tracks=[key:gene_model_track,Options:GeneOnly]&amp;mk=2803667:2803686|offset_21|444444,2803643:2803662|offset_45|444444,2803585:2803604|offset_103|00cc00,2803561:2803580|offset_127|444444&amp;v=2803466:2803780&amp;c=444444", "offset 103")</f>
        <v>offset 103</v>
      </c>
    </row>
    <row r="9917" customFormat="false" ht="12.8" hidden="false" customHeight="false" outlineLevel="0" collapsed="false">
      <c r="A9917" s="0" t="s">
        <v>12</v>
      </c>
      <c r="B9917" s="0" t="n">
        <v>2803560</v>
      </c>
      <c r="C9917" s="0" t="n">
        <v>2803580</v>
      </c>
      <c r="D9917" s="0" t="s">
        <v>33085</v>
      </c>
      <c r="E9917" s="0" t="s">
        <v>33086</v>
      </c>
      <c r="F9917" s="0" t="s">
        <v>90</v>
      </c>
      <c r="G9917" s="0" t="s">
        <v>16</v>
      </c>
      <c r="H9917" s="0" t="n">
        <v>127</v>
      </c>
      <c r="I9917" s="0" t="s">
        <v>33096</v>
      </c>
      <c r="J9917" s="0" t="s">
        <v>33097</v>
      </c>
      <c r="K9917" s="0" t="s">
        <v>33098</v>
      </c>
      <c r="L9917" s="0" t="str">
        <f aca="false">HYPERLINK("https://www.ncbi.nlm.nih.gov/nuccore/CP000304.1?report=graph&amp;tracks=[key:gene_model_track,Options:GeneOnly]&amp;mk=2803667:2803686|offset_21|444444,2803643:2803662|offset_45|444444,2803585:2803604|offset_103|444444,2803561:2803580|offset_127|00cc00&amp;v=2803466:2803780&amp;c=444444", "offset 127")</f>
        <v>offset 127</v>
      </c>
    </row>
    <row r="9918" customFormat="false" ht="12.8" hidden="false" customHeight="false" outlineLevel="0" collapsed="false">
      <c r="A9918" s="0" t="s">
        <v>12</v>
      </c>
      <c r="B9918" s="0" t="n">
        <v>2805155</v>
      </c>
      <c r="C9918" s="0" t="n">
        <v>2805175</v>
      </c>
      <c r="D9918" s="0" t="s">
        <v>33099</v>
      </c>
      <c r="E9918" s="0" t="s">
        <v>33100</v>
      </c>
      <c r="F9918" s="0" t="s">
        <v>90</v>
      </c>
      <c r="G9918" s="0" t="s">
        <v>16</v>
      </c>
      <c r="H9918" s="0" t="n">
        <v>7</v>
      </c>
      <c r="I9918" s="0" t="s">
        <v>33101</v>
      </c>
      <c r="J9918" s="0" t="s">
        <v>33102</v>
      </c>
      <c r="K9918" s="0" t="s">
        <v>33103</v>
      </c>
      <c r="L9918" s="0" t="str">
        <f aca="false">HYPERLINK("https://www.ncbi.nlm.nih.gov/nuccore/CP000304.1?report=graph&amp;tracks=[key:gene_model_track,Options:GeneOnly]&amp;mk=2805156:2805175|offset_7|00cc00,2805129:2805148|offset_34|444444,2805109:2805128|offset_54|444444,2805088:2805107|offset_75|444444&amp;v=2804955:2805307&amp;c=444444", "offset 7")</f>
        <v>offset 7</v>
      </c>
    </row>
    <row r="9919" customFormat="false" ht="12.8" hidden="false" customHeight="false" outlineLevel="0" collapsed="false">
      <c r="A9919" s="0" t="s">
        <v>12</v>
      </c>
      <c r="B9919" s="0" t="n">
        <v>2805128</v>
      </c>
      <c r="C9919" s="0" t="n">
        <v>2805148</v>
      </c>
      <c r="D9919" s="0" t="s">
        <v>33099</v>
      </c>
      <c r="E9919" s="0" t="s">
        <v>33100</v>
      </c>
      <c r="F9919" s="0" t="s">
        <v>90</v>
      </c>
      <c r="G9919" s="0" t="s">
        <v>36</v>
      </c>
      <c r="H9919" s="0" t="n">
        <v>34</v>
      </c>
      <c r="I9919" s="0" t="s">
        <v>33104</v>
      </c>
      <c r="J9919" s="0" t="s">
        <v>33105</v>
      </c>
      <c r="K9919" s="0" t="s">
        <v>33106</v>
      </c>
      <c r="L9919" s="0" t="str">
        <f aca="false">HYPERLINK("https://www.ncbi.nlm.nih.gov/nuccore/CP000304.1?report=graph&amp;tracks=[key:gene_model_track,Options:GeneOnly]&amp;mk=2805156:2805175|offset_7|444444,2805129:2805148|offset_34|00cc00,2805109:2805128|offset_54|444444,2805088:2805107|offset_75|444444&amp;v=2804955:2805307&amp;c=444444", "offset 34")</f>
        <v>offset 34</v>
      </c>
    </row>
    <row r="9920" customFormat="false" ht="12.8" hidden="false" customHeight="false" outlineLevel="0" collapsed="false">
      <c r="A9920" s="0" t="s">
        <v>12</v>
      </c>
      <c r="B9920" s="0" t="n">
        <v>2805108</v>
      </c>
      <c r="C9920" s="0" t="n">
        <v>2805128</v>
      </c>
      <c r="D9920" s="0" t="s">
        <v>33099</v>
      </c>
      <c r="E9920" s="0" t="s">
        <v>33100</v>
      </c>
      <c r="F9920" s="0" t="s">
        <v>90</v>
      </c>
      <c r="G9920" s="0" t="s">
        <v>36</v>
      </c>
      <c r="H9920" s="0" t="n">
        <v>54</v>
      </c>
      <c r="I9920" s="0" t="s">
        <v>33107</v>
      </c>
      <c r="J9920" s="0" t="s">
        <v>33108</v>
      </c>
      <c r="K9920" s="0" t="s">
        <v>33109</v>
      </c>
      <c r="L9920" s="0" t="str">
        <f aca="false">HYPERLINK("https://www.ncbi.nlm.nih.gov/nuccore/CP000304.1?report=graph&amp;tracks=[key:gene_model_track,Options:GeneOnly]&amp;mk=2805156:2805175|offset_7|444444,2805129:2805148|offset_34|444444,2805109:2805128|offset_54|00cc00,2805088:2805107|offset_75|444444&amp;v=2804955:2805307&amp;c=444444", "offset 54")</f>
        <v>offset 54</v>
      </c>
    </row>
    <row r="9921" customFormat="false" ht="12.8" hidden="false" customHeight="false" outlineLevel="0" collapsed="false">
      <c r="A9921" s="0" t="s">
        <v>12</v>
      </c>
      <c r="B9921" s="0" t="n">
        <v>2805087</v>
      </c>
      <c r="C9921" s="0" t="n">
        <v>2805107</v>
      </c>
      <c r="D9921" s="0" t="s">
        <v>33099</v>
      </c>
      <c r="E9921" s="0" t="s">
        <v>33100</v>
      </c>
      <c r="F9921" s="0" t="s">
        <v>90</v>
      </c>
      <c r="G9921" s="0" t="s">
        <v>26</v>
      </c>
      <c r="H9921" s="0" t="n">
        <v>75</v>
      </c>
      <c r="I9921" s="0" t="s">
        <v>33110</v>
      </c>
      <c r="J9921" s="0" t="s">
        <v>33111</v>
      </c>
      <c r="K9921" s="0" t="s">
        <v>33112</v>
      </c>
      <c r="L9921" s="0" t="str">
        <f aca="false">HYPERLINK("https://www.ncbi.nlm.nih.gov/nuccore/CP000304.1?report=graph&amp;tracks=[key:gene_model_track,Options:GeneOnly]&amp;mk=2805156:2805175|offset_7|444444,2805129:2805148|offset_34|444444,2805109:2805128|offset_54|444444,2805088:2805107|offset_75|00cc00&amp;v=2804955:2805307&amp;c=444444", "offset 75")</f>
        <v>offset 75</v>
      </c>
    </row>
    <row r="9922" customFormat="false" ht="12.8" hidden="false" customHeight="false" outlineLevel="0" collapsed="false">
      <c r="A9922" s="0" t="s">
        <v>12</v>
      </c>
      <c r="B9922" s="0" t="n">
        <v>2805665</v>
      </c>
      <c r="C9922" s="0" t="n">
        <v>2805685</v>
      </c>
      <c r="D9922" s="0" t="s">
        <v>33113</v>
      </c>
      <c r="E9922" s="0" t="s">
        <v>89</v>
      </c>
      <c r="F9922" s="0" t="s">
        <v>90</v>
      </c>
      <c r="G9922" s="0" t="s">
        <v>32</v>
      </c>
      <c r="H9922" s="0" t="n">
        <v>7</v>
      </c>
      <c r="I9922" s="0" t="s">
        <v>33114</v>
      </c>
      <c r="J9922" s="0" t="s">
        <v>33115</v>
      </c>
      <c r="K9922" s="0" t="s">
        <v>33116</v>
      </c>
      <c r="L9922" s="0" t="str">
        <f aca="false">HYPERLINK("https://www.ncbi.nlm.nih.gov/nuccore/CP000304.1?report=graph&amp;tracks=[key:gene_model_track,Options:GeneOnly]&amp;mk=2805666:2805685|offset_7|00cc00,2805645:2805664|offset_28|444444,2805604:2805623|offset_69|444444,2805579:2805598|offset_94|444444&amp;v=2805465:2805798&amp;c=444444", "offset 7")</f>
        <v>offset 7</v>
      </c>
    </row>
    <row r="9923" customFormat="false" ht="12.8" hidden="false" customHeight="false" outlineLevel="0" collapsed="false">
      <c r="A9923" s="0" t="s">
        <v>12</v>
      </c>
      <c r="B9923" s="0" t="n">
        <v>2805644</v>
      </c>
      <c r="C9923" s="0" t="n">
        <v>2805664</v>
      </c>
      <c r="D9923" s="0" t="s">
        <v>33113</v>
      </c>
      <c r="E9923" s="0" t="s">
        <v>89</v>
      </c>
      <c r="F9923" s="0" t="s">
        <v>90</v>
      </c>
      <c r="G9923" s="0" t="s">
        <v>16</v>
      </c>
      <c r="H9923" s="0" t="n">
        <v>28</v>
      </c>
      <c r="I9923" s="0" t="s">
        <v>33117</v>
      </c>
      <c r="J9923" s="0" t="s">
        <v>33118</v>
      </c>
      <c r="K9923" s="0" t="s">
        <v>33119</v>
      </c>
      <c r="L9923" s="0" t="str">
        <f aca="false">HYPERLINK("https://www.ncbi.nlm.nih.gov/nuccore/CP000304.1?report=graph&amp;tracks=[key:gene_model_track,Options:GeneOnly]&amp;mk=2805666:2805685|offset_7|444444,2805645:2805664|offset_28|00cc00,2805604:2805623|offset_69|444444,2805579:2805598|offset_94|444444&amp;v=2805465:2805798&amp;c=444444", "offset 28")</f>
        <v>offset 28</v>
      </c>
    </row>
    <row r="9924" customFormat="false" ht="12.8" hidden="false" customHeight="false" outlineLevel="0" collapsed="false">
      <c r="A9924" s="0" t="s">
        <v>12</v>
      </c>
      <c r="B9924" s="0" t="n">
        <v>2805603</v>
      </c>
      <c r="C9924" s="0" t="n">
        <v>2805623</v>
      </c>
      <c r="D9924" s="0" t="s">
        <v>33113</v>
      </c>
      <c r="E9924" s="0" t="s">
        <v>89</v>
      </c>
      <c r="F9924" s="0" t="s">
        <v>90</v>
      </c>
      <c r="G9924" s="0" t="s">
        <v>16</v>
      </c>
      <c r="H9924" s="0" t="n">
        <v>69</v>
      </c>
      <c r="I9924" s="0" t="s">
        <v>33120</v>
      </c>
      <c r="J9924" s="0" t="s">
        <v>33121</v>
      </c>
      <c r="K9924" s="0" t="s">
        <v>33122</v>
      </c>
      <c r="L9924" s="0" t="str">
        <f aca="false">HYPERLINK("https://www.ncbi.nlm.nih.gov/nuccore/CP000304.1?report=graph&amp;tracks=[key:gene_model_track,Options:GeneOnly]&amp;mk=2805666:2805685|offset_7|444444,2805645:2805664|offset_28|444444,2805604:2805623|offset_69|00cc00,2805579:2805598|offset_94|444444&amp;v=2805465:2805798&amp;c=444444", "offset 69")</f>
        <v>offset 69</v>
      </c>
    </row>
    <row r="9925" customFormat="false" ht="12.8" hidden="false" customHeight="false" outlineLevel="0" collapsed="false">
      <c r="A9925" s="0" t="s">
        <v>12</v>
      </c>
      <c r="B9925" s="0" t="n">
        <v>2805578</v>
      </c>
      <c r="C9925" s="0" t="n">
        <v>2805598</v>
      </c>
      <c r="D9925" s="0" t="s">
        <v>33113</v>
      </c>
      <c r="E9925" s="0" t="s">
        <v>89</v>
      </c>
      <c r="F9925" s="0" t="s">
        <v>90</v>
      </c>
      <c r="G9925" s="0" t="s">
        <v>16</v>
      </c>
      <c r="H9925" s="0" t="n">
        <v>94</v>
      </c>
      <c r="I9925" s="0" t="s">
        <v>33123</v>
      </c>
      <c r="J9925" s="0" t="s">
        <v>33124</v>
      </c>
      <c r="K9925" s="0" t="s">
        <v>33125</v>
      </c>
      <c r="L9925" s="0" t="str">
        <f aca="false">HYPERLINK("https://www.ncbi.nlm.nih.gov/nuccore/CP000304.1?report=graph&amp;tracks=[key:gene_model_track,Options:GeneOnly]&amp;mk=2805666:2805685|offset_7|444444,2805645:2805664|offset_28|444444,2805604:2805623|offset_69|444444,2805579:2805598|offset_94|00cc00&amp;v=2805465:2805798&amp;c=444444", "offset 94")</f>
        <v>offset 94</v>
      </c>
    </row>
    <row r="9926" customFormat="false" ht="12.8" hidden="false" customHeight="false" outlineLevel="0" collapsed="false">
      <c r="A9926" s="0" t="s">
        <v>12</v>
      </c>
      <c r="B9926" s="0" t="n">
        <v>2807291</v>
      </c>
      <c r="C9926" s="0" t="n">
        <v>2807311</v>
      </c>
      <c r="D9926" s="0" t="s">
        <v>33126</v>
      </c>
      <c r="E9926" s="0" t="s">
        <v>89</v>
      </c>
      <c r="F9926" s="0" t="s">
        <v>90</v>
      </c>
      <c r="G9926" s="0" t="s">
        <v>16</v>
      </c>
      <c r="H9926" s="0" t="n">
        <v>10</v>
      </c>
      <c r="I9926" s="0" t="s">
        <v>33127</v>
      </c>
      <c r="J9926" s="0" t="s">
        <v>33128</v>
      </c>
      <c r="K9926" s="0" t="s">
        <v>33129</v>
      </c>
      <c r="L9926" s="0" t="str">
        <f aca="false">HYPERLINK("https://www.ncbi.nlm.nih.gov/nuccore/CP000304.1?report=graph&amp;tracks=[key:gene_model_track,Options:GeneOnly]&amp;mk=2807292:2807311|offset_10|00cc00,2807215:2807234|offset_87|444444,2807190:2807209|offset_112|444444,2807169:2807188|offset_133|444444&amp;v=2807091:2807388&amp;c=444444", "offset 10")</f>
        <v>offset 10</v>
      </c>
    </row>
    <row r="9927" customFormat="false" ht="12.8" hidden="false" customHeight="false" outlineLevel="0" collapsed="false">
      <c r="A9927" s="0" t="s">
        <v>12</v>
      </c>
      <c r="B9927" s="0" t="n">
        <v>2807214</v>
      </c>
      <c r="C9927" s="0" t="n">
        <v>2807234</v>
      </c>
      <c r="D9927" s="0" t="s">
        <v>33126</v>
      </c>
      <c r="E9927" s="0" t="s">
        <v>89</v>
      </c>
      <c r="F9927" s="0" t="s">
        <v>90</v>
      </c>
      <c r="G9927" s="0" t="s">
        <v>16</v>
      </c>
      <c r="H9927" s="0" t="n">
        <v>87</v>
      </c>
      <c r="I9927" s="0" t="s">
        <v>33130</v>
      </c>
      <c r="J9927" s="0" t="s">
        <v>33131</v>
      </c>
      <c r="K9927" s="0" t="s">
        <v>33132</v>
      </c>
      <c r="L9927" s="0" t="str">
        <f aca="false">HYPERLINK("https://www.ncbi.nlm.nih.gov/nuccore/CP000304.1?report=graph&amp;tracks=[key:gene_model_track,Options:GeneOnly]&amp;mk=2807292:2807311|offset_10|444444,2807215:2807234|offset_87|00cc00,2807190:2807209|offset_112|444444,2807169:2807188|offset_133|444444&amp;v=2807091:2807388&amp;c=444444", "offset 87")</f>
        <v>offset 87</v>
      </c>
    </row>
    <row r="9928" customFormat="false" ht="12.8" hidden="false" customHeight="false" outlineLevel="0" collapsed="false">
      <c r="A9928" s="0" t="s">
        <v>12</v>
      </c>
      <c r="B9928" s="0" t="n">
        <v>2807189</v>
      </c>
      <c r="C9928" s="0" t="n">
        <v>2807209</v>
      </c>
      <c r="D9928" s="0" t="s">
        <v>33126</v>
      </c>
      <c r="E9928" s="0" t="s">
        <v>89</v>
      </c>
      <c r="F9928" s="0" t="s">
        <v>90</v>
      </c>
      <c r="G9928" s="0" t="s">
        <v>36</v>
      </c>
      <c r="H9928" s="0" t="n">
        <v>112</v>
      </c>
      <c r="I9928" s="0" t="s">
        <v>33133</v>
      </c>
      <c r="J9928" s="0" t="s">
        <v>33134</v>
      </c>
      <c r="K9928" s="0" t="s">
        <v>33135</v>
      </c>
      <c r="L9928" s="0" t="str">
        <f aca="false">HYPERLINK("https://www.ncbi.nlm.nih.gov/nuccore/CP000304.1?report=graph&amp;tracks=[key:gene_model_track,Options:GeneOnly]&amp;mk=2807292:2807311|offset_10|444444,2807215:2807234|offset_87|444444,2807190:2807209|offset_112|00cc00,2807169:2807188|offset_133|444444&amp;v=2807091:2807388&amp;c=444444", "offset 112")</f>
        <v>offset 112</v>
      </c>
    </row>
    <row r="9929" customFormat="false" ht="12.8" hidden="false" customHeight="false" outlineLevel="0" collapsed="false">
      <c r="A9929" s="0" t="s">
        <v>12</v>
      </c>
      <c r="B9929" s="0" t="n">
        <v>2807168</v>
      </c>
      <c r="C9929" s="0" t="n">
        <v>2807188</v>
      </c>
      <c r="D9929" s="0" t="s">
        <v>33126</v>
      </c>
      <c r="E9929" s="0" t="s">
        <v>89</v>
      </c>
      <c r="F9929" s="0" t="s">
        <v>90</v>
      </c>
      <c r="G9929" s="0" t="s">
        <v>16</v>
      </c>
      <c r="H9929" s="0" t="n">
        <v>133</v>
      </c>
      <c r="I9929" s="0" t="s">
        <v>33136</v>
      </c>
      <c r="J9929" s="0" t="s">
        <v>33137</v>
      </c>
      <c r="K9929" s="0" t="s">
        <v>33138</v>
      </c>
      <c r="L9929" s="0" t="str">
        <f aca="false">HYPERLINK("https://www.ncbi.nlm.nih.gov/nuccore/CP000304.1?report=graph&amp;tracks=[key:gene_model_track,Options:GeneOnly]&amp;mk=2807292:2807311|offset_10|444444,2807215:2807234|offset_87|444444,2807190:2807209|offset_112|444444,2807169:2807188|offset_133|00cc00&amp;v=2807091:2807388&amp;c=444444", "offset 133")</f>
        <v>offset 133</v>
      </c>
    </row>
    <row r="9930" customFormat="false" ht="12.8" hidden="false" customHeight="false" outlineLevel="0" collapsed="false">
      <c r="A9930" s="0" t="s">
        <v>12</v>
      </c>
      <c r="B9930" s="0" t="n">
        <v>2807691</v>
      </c>
      <c r="C9930" s="0" t="n">
        <v>2807711</v>
      </c>
      <c r="D9930" s="0" t="s">
        <v>33139</v>
      </c>
      <c r="E9930" s="0" t="s">
        <v>89</v>
      </c>
      <c r="F9930" s="0" t="s">
        <v>90</v>
      </c>
      <c r="G9930" s="0" t="s">
        <v>32</v>
      </c>
      <c r="H9930" s="0" t="n">
        <v>7</v>
      </c>
      <c r="I9930" s="0" t="s">
        <v>33140</v>
      </c>
      <c r="J9930" s="0" t="s">
        <v>33141</v>
      </c>
      <c r="K9930" s="0" t="s">
        <v>33142</v>
      </c>
      <c r="L9930" s="0" t="str">
        <f aca="false">HYPERLINK("https://www.ncbi.nlm.nih.gov/nuccore/CP000304.1?report=graph&amp;tracks=[key:gene_model_track,Options:GeneOnly]&amp;mk=2807692:2807711|offset_7|00cc00,2807653:2807672|offset_46|444444,2807611:2807630|offset_88|444444,2807577:2807596|offset_122|444444&amp;v=2807491:2807796&amp;c=444444", "offset 7")</f>
        <v>offset 7</v>
      </c>
    </row>
    <row r="9931" customFormat="false" ht="12.8" hidden="false" customHeight="false" outlineLevel="0" collapsed="false">
      <c r="A9931" s="0" t="s">
        <v>12</v>
      </c>
      <c r="B9931" s="0" t="n">
        <v>2807652</v>
      </c>
      <c r="C9931" s="0" t="n">
        <v>2807672</v>
      </c>
      <c r="D9931" s="0" t="s">
        <v>33139</v>
      </c>
      <c r="E9931" s="0" t="s">
        <v>89</v>
      </c>
      <c r="F9931" s="0" t="s">
        <v>90</v>
      </c>
      <c r="G9931" s="0" t="s">
        <v>32</v>
      </c>
      <c r="H9931" s="0" t="n">
        <v>46</v>
      </c>
      <c r="I9931" s="0" t="s">
        <v>33143</v>
      </c>
      <c r="J9931" s="0" t="s">
        <v>33144</v>
      </c>
      <c r="K9931" s="0" t="s">
        <v>33145</v>
      </c>
      <c r="L9931" s="0" t="str">
        <f aca="false">HYPERLINK("https://www.ncbi.nlm.nih.gov/nuccore/CP000304.1?report=graph&amp;tracks=[key:gene_model_track,Options:GeneOnly]&amp;mk=2807692:2807711|offset_7|444444,2807653:2807672|offset_46|00cc00,2807611:2807630|offset_88|444444,2807577:2807596|offset_122|444444&amp;v=2807491:2807796&amp;c=444444", "offset 46")</f>
        <v>offset 46</v>
      </c>
    </row>
    <row r="9932" customFormat="false" ht="12.8" hidden="false" customHeight="false" outlineLevel="0" collapsed="false">
      <c r="A9932" s="0" t="s">
        <v>12</v>
      </c>
      <c r="B9932" s="0" t="n">
        <v>2807610</v>
      </c>
      <c r="C9932" s="0" t="n">
        <v>2807630</v>
      </c>
      <c r="D9932" s="0" t="s">
        <v>33139</v>
      </c>
      <c r="E9932" s="0" t="s">
        <v>89</v>
      </c>
      <c r="F9932" s="0" t="s">
        <v>90</v>
      </c>
      <c r="G9932" s="0" t="s">
        <v>26</v>
      </c>
      <c r="H9932" s="0" t="n">
        <v>88</v>
      </c>
      <c r="I9932" s="0" t="s">
        <v>33146</v>
      </c>
      <c r="J9932" s="0" t="s">
        <v>33147</v>
      </c>
      <c r="K9932" s="0" t="s">
        <v>33148</v>
      </c>
      <c r="L9932" s="0" t="str">
        <f aca="false">HYPERLINK("https://www.ncbi.nlm.nih.gov/nuccore/CP000304.1?report=graph&amp;tracks=[key:gene_model_track,Options:GeneOnly]&amp;mk=2807692:2807711|offset_7|444444,2807653:2807672|offset_46|444444,2807611:2807630|offset_88|00cc00,2807577:2807596|offset_122|444444&amp;v=2807491:2807796&amp;c=444444", "offset 88")</f>
        <v>offset 88</v>
      </c>
    </row>
    <row r="9933" customFormat="false" ht="12.8" hidden="false" customHeight="false" outlineLevel="0" collapsed="false">
      <c r="A9933" s="0" t="s">
        <v>12</v>
      </c>
      <c r="B9933" s="0" t="n">
        <v>2807576</v>
      </c>
      <c r="C9933" s="0" t="n">
        <v>2807596</v>
      </c>
      <c r="D9933" s="0" t="s">
        <v>33139</v>
      </c>
      <c r="E9933" s="0" t="s">
        <v>89</v>
      </c>
      <c r="F9933" s="0" t="s">
        <v>90</v>
      </c>
      <c r="G9933" s="0" t="s">
        <v>36</v>
      </c>
      <c r="H9933" s="0" t="n">
        <v>122</v>
      </c>
      <c r="I9933" s="0" t="s">
        <v>33149</v>
      </c>
      <c r="J9933" s="0" t="s">
        <v>33150</v>
      </c>
      <c r="K9933" s="0" t="s">
        <v>33151</v>
      </c>
      <c r="L9933" s="0" t="str">
        <f aca="false">HYPERLINK("https://www.ncbi.nlm.nih.gov/nuccore/CP000304.1?report=graph&amp;tracks=[key:gene_model_track,Options:GeneOnly]&amp;mk=2807692:2807711|offset_7|444444,2807653:2807672|offset_46|444444,2807611:2807630|offset_88|444444,2807577:2807596|offset_122|00cc00&amp;v=2807491:2807796&amp;c=444444", "offset 122")</f>
        <v>offset 122</v>
      </c>
    </row>
    <row r="9934" customFormat="false" ht="12.8" hidden="false" customHeight="false" outlineLevel="0" collapsed="false">
      <c r="A9934" s="0" t="s">
        <v>12</v>
      </c>
      <c r="B9934" s="0" t="n">
        <v>2808403</v>
      </c>
      <c r="C9934" s="0" t="n">
        <v>2808423</v>
      </c>
      <c r="D9934" s="0" t="s">
        <v>33152</v>
      </c>
      <c r="E9934" s="0" t="s">
        <v>33153</v>
      </c>
      <c r="F9934" s="0" t="s">
        <v>90</v>
      </c>
      <c r="G9934" s="0" t="s">
        <v>32</v>
      </c>
      <c r="H9934" s="0" t="n">
        <v>10</v>
      </c>
      <c r="I9934" s="0" t="s">
        <v>33154</v>
      </c>
      <c r="J9934" s="0" t="s">
        <v>33155</v>
      </c>
      <c r="K9934" s="0" t="s">
        <v>33156</v>
      </c>
      <c r="L9934" s="0" t="str">
        <f aca="false">HYPERLINK("https://www.ncbi.nlm.nih.gov/nuccore/CP000304.1?report=graph&amp;tracks=[key:gene_model_track,Options:GeneOnly]&amp;mk=2808404:2808423|offset_10|00cc00,2808381:2808400|offset_33|444444,2808356:2808375|offset_58|444444,2808317:2808336|offset_97|444444&amp;v=2808203:2808536&amp;c=444444", "offset 10")</f>
        <v>offset 10</v>
      </c>
    </row>
    <row r="9935" customFormat="false" ht="12.8" hidden="false" customHeight="false" outlineLevel="0" collapsed="false">
      <c r="A9935" s="0" t="s">
        <v>12</v>
      </c>
      <c r="B9935" s="0" t="n">
        <v>2808380</v>
      </c>
      <c r="C9935" s="0" t="n">
        <v>2808400</v>
      </c>
      <c r="D9935" s="0" t="s">
        <v>33152</v>
      </c>
      <c r="E9935" s="0" t="s">
        <v>33153</v>
      </c>
      <c r="F9935" s="0" t="s">
        <v>90</v>
      </c>
      <c r="G9935" s="0" t="s">
        <v>16</v>
      </c>
      <c r="H9935" s="0" t="n">
        <v>33</v>
      </c>
      <c r="I9935" s="0" t="s">
        <v>33157</v>
      </c>
      <c r="J9935" s="0" t="s">
        <v>33158</v>
      </c>
      <c r="K9935" s="0" t="s">
        <v>33159</v>
      </c>
      <c r="L9935" s="0" t="str">
        <f aca="false">HYPERLINK("https://www.ncbi.nlm.nih.gov/nuccore/CP000304.1?report=graph&amp;tracks=[key:gene_model_track,Options:GeneOnly]&amp;mk=2808404:2808423|offset_10|444444,2808381:2808400|offset_33|00cc00,2808356:2808375|offset_58|444444,2808317:2808336|offset_97|444444&amp;v=2808203:2808536&amp;c=444444", "offset 33")</f>
        <v>offset 33</v>
      </c>
    </row>
    <row r="9936" customFormat="false" ht="12.8" hidden="false" customHeight="false" outlineLevel="0" collapsed="false">
      <c r="A9936" s="0" t="s">
        <v>12</v>
      </c>
      <c r="B9936" s="0" t="n">
        <v>2808355</v>
      </c>
      <c r="C9936" s="0" t="n">
        <v>2808375</v>
      </c>
      <c r="D9936" s="0" t="s">
        <v>33152</v>
      </c>
      <c r="E9936" s="0" t="s">
        <v>33153</v>
      </c>
      <c r="F9936" s="0" t="s">
        <v>90</v>
      </c>
      <c r="G9936" s="0" t="s">
        <v>16</v>
      </c>
      <c r="H9936" s="0" t="n">
        <v>58</v>
      </c>
      <c r="I9936" s="0" t="s">
        <v>33160</v>
      </c>
      <c r="J9936" s="0" t="s">
        <v>33161</v>
      </c>
      <c r="K9936" s="0" t="s">
        <v>33162</v>
      </c>
      <c r="L9936" s="0" t="str">
        <f aca="false">HYPERLINK("https://www.ncbi.nlm.nih.gov/nuccore/CP000304.1?report=graph&amp;tracks=[key:gene_model_track,Options:GeneOnly]&amp;mk=2808404:2808423|offset_10|444444,2808381:2808400|offset_33|444444,2808356:2808375|offset_58|00cc00,2808317:2808336|offset_97|444444&amp;v=2808203:2808536&amp;c=444444", "offset 58")</f>
        <v>offset 58</v>
      </c>
    </row>
    <row r="9937" customFormat="false" ht="12.8" hidden="false" customHeight="false" outlineLevel="0" collapsed="false">
      <c r="A9937" s="0" t="s">
        <v>12</v>
      </c>
      <c r="B9937" s="0" t="n">
        <v>2808316</v>
      </c>
      <c r="C9937" s="0" t="n">
        <v>2808336</v>
      </c>
      <c r="D9937" s="0" t="s">
        <v>33152</v>
      </c>
      <c r="E9937" s="0" t="s">
        <v>33153</v>
      </c>
      <c r="F9937" s="0" t="s">
        <v>90</v>
      </c>
      <c r="G9937" s="0" t="s">
        <v>36</v>
      </c>
      <c r="H9937" s="0" t="n">
        <v>97</v>
      </c>
      <c r="I9937" s="0" t="s">
        <v>33163</v>
      </c>
      <c r="J9937" s="0" t="s">
        <v>33164</v>
      </c>
      <c r="K9937" s="0" t="s">
        <v>33165</v>
      </c>
      <c r="L9937" s="0" t="str">
        <f aca="false">HYPERLINK("https://www.ncbi.nlm.nih.gov/nuccore/CP000304.1?report=graph&amp;tracks=[key:gene_model_track,Options:GeneOnly]&amp;mk=2808404:2808423|offset_10|444444,2808381:2808400|offset_33|444444,2808356:2808375|offset_58|444444,2808317:2808336|offset_97|00cc00&amp;v=2808203:2808536&amp;c=444444", "offset 97")</f>
        <v>offset 97</v>
      </c>
    </row>
    <row r="9938" customFormat="false" ht="12.8" hidden="false" customHeight="false" outlineLevel="0" collapsed="false">
      <c r="A9938" s="0" t="s">
        <v>12</v>
      </c>
      <c r="B9938" s="0" t="n">
        <v>2809747</v>
      </c>
      <c r="C9938" s="0" t="n">
        <v>2809767</v>
      </c>
      <c r="D9938" s="0" t="s">
        <v>33166</v>
      </c>
      <c r="E9938" s="0" t="s">
        <v>33167</v>
      </c>
      <c r="F9938" s="0" t="s">
        <v>90</v>
      </c>
      <c r="G9938" s="0" t="s">
        <v>32</v>
      </c>
      <c r="H9938" s="0" t="n">
        <v>49</v>
      </c>
      <c r="I9938" s="0" t="s">
        <v>33168</v>
      </c>
      <c r="J9938" s="0" t="s">
        <v>33169</v>
      </c>
      <c r="K9938" s="0" t="s">
        <v>33170</v>
      </c>
      <c r="L9938" s="0" t="str">
        <f aca="false">HYPERLINK("https://www.ncbi.nlm.nih.gov/nuccore/CP000304.1?report=graph&amp;tracks=[key:gene_model_track,Options:GeneOnly]&amp;mk=2809748:2809767|offset_49|00cc00,2809710:2809729|offset_87|444444,2809687:2809706|offset_110|444444,2809666:2809685|offset_131|444444&amp;v=2809547:2809885&amp;c=444444", "offset 49")</f>
        <v>offset 49</v>
      </c>
    </row>
    <row r="9939" customFormat="false" ht="12.8" hidden="false" customHeight="false" outlineLevel="0" collapsed="false">
      <c r="A9939" s="0" t="s">
        <v>12</v>
      </c>
      <c r="B9939" s="0" t="n">
        <v>2809709</v>
      </c>
      <c r="C9939" s="0" t="n">
        <v>2809729</v>
      </c>
      <c r="D9939" s="0" t="s">
        <v>33166</v>
      </c>
      <c r="E9939" s="0" t="s">
        <v>33167</v>
      </c>
      <c r="F9939" s="0" t="s">
        <v>90</v>
      </c>
      <c r="G9939" s="0" t="s">
        <v>36</v>
      </c>
      <c r="H9939" s="0" t="n">
        <v>87</v>
      </c>
      <c r="I9939" s="0" t="s">
        <v>33171</v>
      </c>
      <c r="J9939" s="0" t="s">
        <v>33172</v>
      </c>
      <c r="K9939" s="0" t="s">
        <v>33173</v>
      </c>
      <c r="L9939" s="0" t="str">
        <f aca="false">HYPERLINK("https://www.ncbi.nlm.nih.gov/nuccore/CP000304.1?report=graph&amp;tracks=[key:gene_model_track,Options:GeneOnly]&amp;mk=2809748:2809767|offset_49|444444,2809710:2809729|offset_87|00cc00,2809687:2809706|offset_110|444444,2809666:2809685|offset_131|444444&amp;v=2809547:2809885&amp;c=444444", "offset 87")</f>
        <v>offset 87</v>
      </c>
    </row>
    <row r="9940" customFormat="false" ht="12.8" hidden="false" customHeight="false" outlineLevel="0" collapsed="false">
      <c r="A9940" s="0" t="s">
        <v>12</v>
      </c>
      <c r="B9940" s="0" t="n">
        <v>2809686</v>
      </c>
      <c r="C9940" s="0" t="n">
        <v>2809706</v>
      </c>
      <c r="D9940" s="0" t="s">
        <v>33166</v>
      </c>
      <c r="E9940" s="0" t="s">
        <v>33167</v>
      </c>
      <c r="F9940" s="0" t="s">
        <v>90</v>
      </c>
      <c r="G9940" s="0" t="s">
        <v>16</v>
      </c>
      <c r="H9940" s="0" t="n">
        <v>110</v>
      </c>
      <c r="I9940" s="0" t="s">
        <v>33174</v>
      </c>
      <c r="J9940" s="0" t="s">
        <v>33175</v>
      </c>
      <c r="K9940" s="0" t="s">
        <v>33176</v>
      </c>
      <c r="L9940" s="0" t="str">
        <f aca="false">HYPERLINK("https://www.ncbi.nlm.nih.gov/nuccore/CP000304.1?report=graph&amp;tracks=[key:gene_model_track,Options:GeneOnly]&amp;mk=2809748:2809767|offset_49|444444,2809710:2809729|offset_87|444444,2809687:2809706|offset_110|00cc00,2809666:2809685|offset_131|444444&amp;v=2809547:2809885&amp;c=444444", "offset 110")</f>
        <v>offset 110</v>
      </c>
    </row>
    <row r="9941" customFormat="false" ht="12.8" hidden="false" customHeight="false" outlineLevel="0" collapsed="false">
      <c r="A9941" s="0" t="s">
        <v>12</v>
      </c>
      <c r="B9941" s="0" t="n">
        <v>2809665</v>
      </c>
      <c r="C9941" s="0" t="n">
        <v>2809685</v>
      </c>
      <c r="D9941" s="0" t="s">
        <v>33166</v>
      </c>
      <c r="E9941" s="0" t="s">
        <v>33167</v>
      </c>
      <c r="F9941" s="0" t="s">
        <v>90</v>
      </c>
      <c r="G9941" s="0" t="s">
        <v>26</v>
      </c>
      <c r="H9941" s="0" t="n">
        <v>131</v>
      </c>
      <c r="I9941" s="0" t="s">
        <v>33177</v>
      </c>
      <c r="J9941" s="0" t="s">
        <v>33178</v>
      </c>
      <c r="K9941" s="0" t="s">
        <v>33179</v>
      </c>
      <c r="L9941" s="0" t="str">
        <f aca="false">HYPERLINK("https://www.ncbi.nlm.nih.gov/nuccore/CP000304.1?report=graph&amp;tracks=[key:gene_model_track,Options:GeneOnly]&amp;mk=2809748:2809767|offset_49|444444,2809710:2809729|offset_87|444444,2809687:2809706|offset_110|444444,2809666:2809685|offset_131|00cc00&amp;v=2809547:2809885&amp;c=444444", "offset 131")</f>
        <v>offset 131</v>
      </c>
    </row>
    <row r="9942" customFormat="false" ht="12.8" hidden="false" customHeight="false" outlineLevel="0" collapsed="false">
      <c r="A9942" s="0" t="s">
        <v>12</v>
      </c>
      <c r="B9942" s="0" t="n">
        <v>2810524</v>
      </c>
      <c r="C9942" s="0" t="n">
        <v>2810544</v>
      </c>
      <c r="D9942" s="0" t="s">
        <v>33180</v>
      </c>
      <c r="E9942" s="0" t="s">
        <v>33181</v>
      </c>
      <c r="F9942" s="0" t="s">
        <v>90</v>
      </c>
      <c r="G9942" s="0" t="s">
        <v>36</v>
      </c>
      <c r="H9942" s="0" t="n">
        <v>17</v>
      </c>
      <c r="I9942" s="0" t="s">
        <v>33182</v>
      </c>
      <c r="J9942" s="0" t="s">
        <v>33183</v>
      </c>
      <c r="K9942" s="0" t="s">
        <v>33184</v>
      </c>
      <c r="L9942" s="0" t="str">
        <f aca="false">HYPERLINK("https://www.ncbi.nlm.nih.gov/nuccore/CP000304.1?report=graph&amp;tracks=[key:gene_model_track,Options:GeneOnly]&amp;mk=2810525:2810544|offset_17|00cc00,2810492:2810511|offset_50|444444,2810470:2810489|offset_72|444444,2810434:2810453|offset_108|444444&amp;v=2810324:2810653&amp;c=444444", "offset 17")</f>
        <v>offset 17</v>
      </c>
    </row>
    <row r="9943" customFormat="false" ht="12.8" hidden="false" customHeight="false" outlineLevel="0" collapsed="false">
      <c r="A9943" s="0" t="s">
        <v>12</v>
      </c>
      <c r="B9943" s="0" t="n">
        <v>2810491</v>
      </c>
      <c r="C9943" s="0" t="n">
        <v>2810511</v>
      </c>
      <c r="D9943" s="0" t="s">
        <v>33180</v>
      </c>
      <c r="E9943" s="0" t="s">
        <v>33181</v>
      </c>
      <c r="F9943" s="0" t="s">
        <v>90</v>
      </c>
      <c r="G9943" s="0" t="s">
        <v>26</v>
      </c>
      <c r="H9943" s="0" t="n">
        <v>50</v>
      </c>
      <c r="I9943" s="0" t="s">
        <v>33185</v>
      </c>
      <c r="J9943" s="0" t="s">
        <v>33186</v>
      </c>
      <c r="K9943" s="0" t="s">
        <v>33187</v>
      </c>
      <c r="L9943" s="0" t="str">
        <f aca="false">HYPERLINK("https://www.ncbi.nlm.nih.gov/nuccore/CP000304.1?report=graph&amp;tracks=[key:gene_model_track,Options:GeneOnly]&amp;mk=2810525:2810544|offset_17|444444,2810492:2810511|offset_50|00cc00,2810470:2810489|offset_72|444444,2810434:2810453|offset_108|444444&amp;v=2810324:2810653&amp;c=444444", "offset 50")</f>
        <v>offset 50</v>
      </c>
    </row>
    <row r="9944" customFormat="false" ht="12.8" hidden="false" customHeight="false" outlineLevel="0" collapsed="false">
      <c r="A9944" s="0" t="s">
        <v>12</v>
      </c>
      <c r="B9944" s="0" t="n">
        <v>2810469</v>
      </c>
      <c r="C9944" s="0" t="n">
        <v>2810489</v>
      </c>
      <c r="D9944" s="0" t="s">
        <v>33180</v>
      </c>
      <c r="E9944" s="0" t="s">
        <v>33181</v>
      </c>
      <c r="F9944" s="0" t="s">
        <v>90</v>
      </c>
      <c r="G9944" s="0" t="s">
        <v>36</v>
      </c>
      <c r="H9944" s="0" t="n">
        <v>72</v>
      </c>
      <c r="I9944" s="0" t="s">
        <v>33188</v>
      </c>
      <c r="J9944" s="0" t="s">
        <v>33189</v>
      </c>
      <c r="K9944" s="0" t="s">
        <v>33190</v>
      </c>
      <c r="L9944" s="0" t="str">
        <f aca="false">HYPERLINK("https://www.ncbi.nlm.nih.gov/nuccore/CP000304.1?report=graph&amp;tracks=[key:gene_model_track,Options:GeneOnly]&amp;mk=2810525:2810544|offset_17|444444,2810492:2810511|offset_50|444444,2810470:2810489|offset_72|00cc00,2810434:2810453|offset_108|444444&amp;v=2810324:2810653&amp;c=444444", "offset 72")</f>
        <v>offset 72</v>
      </c>
    </row>
    <row r="9945" customFormat="false" ht="12.8" hidden="false" customHeight="false" outlineLevel="0" collapsed="false">
      <c r="A9945" s="0" t="s">
        <v>12</v>
      </c>
      <c r="B9945" s="0" t="n">
        <v>2810433</v>
      </c>
      <c r="C9945" s="0" t="n">
        <v>2810453</v>
      </c>
      <c r="D9945" s="0" t="s">
        <v>33180</v>
      </c>
      <c r="E9945" s="0" t="s">
        <v>33181</v>
      </c>
      <c r="F9945" s="0" t="s">
        <v>90</v>
      </c>
      <c r="G9945" s="0" t="s">
        <v>16</v>
      </c>
      <c r="H9945" s="0" t="n">
        <v>108</v>
      </c>
      <c r="I9945" s="0" t="s">
        <v>33191</v>
      </c>
      <c r="J9945" s="0" t="s">
        <v>33192</v>
      </c>
      <c r="K9945" s="0" t="s">
        <v>33193</v>
      </c>
      <c r="L9945" s="0" t="str">
        <f aca="false">HYPERLINK("https://www.ncbi.nlm.nih.gov/nuccore/CP000304.1?report=graph&amp;tracks=[key:gene_model_track,Options:GeneOnly]&amp;mk=2810525:2810544|offset_17|444444,2810492:2810511|offset_50|444444,2810470:2810489|offset_72|444444,2810434:2810453|offset_108|00cc00&amp;v=2810324:2810653&amp;c=444444", "offset 108")</f>
        <v>offset 108</v>
      </c>
    </row>
    <row r="9946" customFormat="false" ht="12.8" hidden="false" customHeight="false" outlineLevel="0" collapsed="false">
      <c r="A9946" s="0" t="s">
        <v>12</v>
      </c>
      <c r="B9946" s="0" t="n">
        <v>2811556</v>
      </c>
      <c r="C9946" s="0" t="n">
        <v>2811576</v>
      </c>
      <c r="D9946" s="0" t="s">
        <v>33194</v>
      </c>
      <c r="E9946" s="0" t="s">
        <v>33195</v>
      </c>
      <c r="F9946" s="0" t="s">
        <v>90</v>
      </c>
      <c r="G9946" s="0" t="s">
        <v>32</v>
      </c>
      <c r="H9946" s="0" t="n">
        <v>21</v>
      </c>
      <c r="I9946" s="0" t="s">
        <v>33196</v>
      </c>
      <c r="J9946" s="0" t="s">
        <v>33197</v>
      </c>
      <c r="K9946" s="0" t="s">
        <v>33198</v>
      </c>
      <c r="L9946" s="0" t="str">
        <f aca="false">HYPERLINK("https://www.ncbi.nlm.nih.gov/nuccore/CP000304.1?report=graph&amp;tracks=[key:gene_model_track,Options:GeneOnly]&amp;mk=2811557:2811576|offset_21|00cc00,2811522:2811541|offset_56|444444,2811499:2811518|offset_79|444444,2811477:2811496|offset_101|444444&amp;v=2811356:2811696&amp;c=444444", "offset 21")</f>
        <v>offset 21</v>
      </c>
    </row>
    <row r="9947" customFormat="false" ht="12.8" hidden="false" customHeight="false" outlineLevel="0" collapsed="false">
      <c r="A9947" s="0" t="s">
        <v>12</v>
      </c>
      <c r="B9947" s="0" t="n">
        <v>2811521</v>
      </c>
      <c r="C9947" s="0" t="n">
        <v>2811541</v>
      </c>
      <c r="D9947" s="0" t="s">
        <v>33194</v>
      </c>
      <c r="E9947" s="0" t="s">
        <v>33195</v>
      </c>
      <c r="F9947" s="0" t="s">
        <v>90</v>
      </c>
      <c r="G9947" s="0" t="s">
        <v>26</v>
      </c>
      <c r="H9947" s="0" t="n">
        <v>56</v>
      </c>
      <c r="I9947" s="0" t="s">
        <v>33199</v>
      </c>
      <c r="J9947" s="0" t="s">
        <v>33200</v>
      </c>
      <c r="K9947" s="0" t="s">
        <v>33201</v>
      </c>
      <c r="L9947" s="0" t="str">
        <f aca="false">HYPERLINK("https://www.ncbi.nlm.nih.gov/nuccore/CP000304.1?report=graph&amp;tracks=[key:gene_model_track,Options:GeneOnly]&amp;mk=2811557:2811576|offset_21|444444,2811522:2811541|offset_56|00cc00,2811499:2811518|offset_79|444444,2811477:2811496|offset_101|444444&amp;v=2811356:2811696&amp;c=444444", "offset 56")</f>
        <v>offset 56</v>
      </c>
    </row>
    <row r="9948" customFormat="false" ht="12.8" hidden="false" customHeight="false" outlineLevel="0" collapsed="false">
      <c r="A9948" s="0" t="s">
        <v>12</v>
      </c>
      <c r="B9948" s="0" t="n">
        <v>2811498</v>
      </c>
      <c r="C9948" s="0" t="n">
        <v>2811518</v>
      </c>
      <c r="D9948" s="0" t="s">
        <v>33194</v>
      </c>
      <c r="E9948" s="0" t="s">
        <v>33195</v>
      </c>
      <c r="F9948" s="0" t="s">
        <v>90</v>
      </c>
      <c r="G9948" s="0" t="s">
        <v>16</v>
      </c>
      <c r="H9948" s="0" t="n">
        <v>79</v>
      </c>
      <c r="I9948" s="0" t="s">
        <v>33202</v>
      </c>
      <c r="J9948" s="0" t="s">
        <v>33203</v>
      </c>
      <c r="K9948" s="0" t="s">
        <v>33204</v>
      </c>
      <c r="L9948" s="0" t="str">
        <f aca="false">HYPERLINK("https://www.ncbi.nlm.nih.gov/nuccore/CP000304.1?report=graph&amp;tracks=[key:gene_model_track,Options:GeneOnly]&amp;mk=2811557:2811576|offset_21|444444,2811522:2811541|offset_56|444444,2811499:2811518|offset_79|00cc00,2811477:2811496|offset_101|444444&amp;v=2811356:2811696&amp;c=444444", "offset 79")</f>
        <v>offset 79</v>
      </c>
    </row>
    <row r="9949" customFormat="false" ht="12.8" hidden="false" customHeight="false" outlineLevel="0" collapsed="false">
      <c r="A9949" s="0" t="s">
        <v>12</v>
      </c>
      <c r="B9949" s="0" t="n">
        <v>2811476</v>
      </c>
      <c r="C9949" s="0" t="n">
        <v>2811496</v>
      </c>
      <c r="D9949" s="0" t="s">
        <v>33194</v>
      </c>
      <c r="E9949" s="0" t="s">
        <v>33195</v>
      </c>
      <c r="F9949" s="0" t="s">
        <v>90</v>
      </c>
      <c r="G9949" s="0" t="s">
        <v>32</v>
      </c>
      <c r="H9949" s="0" t="n">
        <v>101</v>
      </c>
      <c r="I9949" s="0" t="s">
        <v>33205</v>
      </c>
      <c r="J9949" s="0" t="s">
        <v>33206</v>
      </c>
      <c r="K9949" s="0" t="s">
        <v>33207</v>
      </c>
      <c r="L9949" s="0" t="str">
        <f aca="false">HYPERLINK("https://www.ncbi.nlm.nih.gov/nuccore/CP000304.1?report=graph&amp;tracks=[key:gene_model_track,Options:GeneOnly]&amp;mk=2811557:2811576|offset_21|444444,2811522:2811541|offset_56|444444,2811499:2811518|offset_79|444444,2811477:2811496|offset_101|00cc00&amp;v=2811356:2811696&amp;c=444444", "offset 101")</f>
        <v>offset 101</v>
      </c>
    </row>
    <row r="9950" customFormat="false" ht="12.8" hidden="false" customHeight="false" outlineLevel="0" collapsed="false">
      <c r="A9950" s="0" t="s">
        <v>12</v>
      </c>
      <c r="B9950" s="0" t="n">
        <v>2813327</v>
      </c>
      <c r="C9950" s="0" t="n">
        <v>2813347</v>
      </c>
      <c r="D9950" s="0" t="s">
        <v>33208</v>
      </c>
      <c r="E9950" s="0" t="s">
        <v>33209</v>
      </c>
      <c r="F9950" s="0" t="s">
        <v>90</v>
      </c>
      <c r="G9950" s="0" t="s">
        <v>16</v>
      </c>
      <c r="H9950" s="0" t="n">
        <v>0</v>
      </c>
      <c r="I9950" s="0" t="s">
        <v>33210</v>
      </c>
      <c r="J9950" s="0" t="s">
        <v>33211</v>
      </c>
      <c r="K9950" s="0" t="s">
        <v>33212</v>
      </c>
      <c r="L9950" s="0" t="str">
        <f aca="false">HYPERLINK("https://www.ncbi.nlm.nih.gov/nuccore/CP000304.1?report=graph&amp;tracks=[key:gene_model_track,Options:GeneOnly]&amp;mk=2813328:2813347|offset_0|00cc00,2813284:2813303|offset_44|444444,2813233:2813252|offset_95|444444,2813213:2813232|offset_115|444444&amp;v=2813127:2813432&amp;c=444444", "offset 0")</f>
        <v>offset 0</v>
      </c>
    </row>
    <row r="9951" customFormat="false" ht="12.8" hidden="false" customHeight="false" outlineLevel="0" collapsed="false">
      <c r="A9951" s="0" t="s">
        <v>12</v>
      </c>
      <c r="B9951" s="0" t="n">
        <v>2813283</v>
      </c>
      <c r="C9951" s="0" t="n">
        <v>2813303</v>
      </c>
      <c r="D9951" s="0" t="s">
        <v>33208</v>
      </c>
      <c r="E9951" s="0" t="s">
        <v>33209</v>
      </c>
      <c r="F9951" s="0" t="s">
        <v>90</v>
      </c>
      <c r="G9951" s="0" t="s">
        <v>26</v>
      </c>
      <c r="H9951" s="0" t="n">
        <v>44</v>
      </c>
      <c r="I9951" s="0" t="s">
        <v>33213</v>
      </c>
      <c r="J9951" s="0" t="s">
        <v>33214</v>
      </c>
      <c r="K9951" s="0" t="s">
        <v>33215</v>
      </c>
      <c r="L9951" s="0" t="str">
        <f aca="false">HYPERLINK("https://www.ncbi.nlm.nih.gov/nuccore/CP000304.1?report=graph&amp;tracks=[key:gene_model_track,Options:GeneOnly]&amp;mk=2813328:2813347|offset_0|444444,2813284:2813303|offset_44|00cc00,2813233:2813252|offset_95|444444,2813213:2813232|offset_115|444444&amp;v=2813127:2813432&amp;c=444444", "offset 44")</f>
        <v>offset 44</v>
      </c>
    </row>
    <row r="9952" customFormat="false" ht="12.8" hidden="false" customHeight="false" outlineLevel="0" collapsed="false">
      <c r="A9952" s="0" t="s">
        <v>12</v>
      </c>
      <c r="B9952" s="0" t="n">
        <v>2813232</v>
      </c>
      <c r="C9952" s="0" t="n">
        <v>2813252</v>
      </c>
      <c r="D9952" s="0" t="s">
        <v>33208</v>
      </c>
      <c r="E9952" s="0" t="s">
        <v>33209</v>
      </c>
      <c r="F9952" s="0" t="s">
        <v>90</v>
      </c>
      <c r="G9952" s="0" t="s">
        <v>26</v>
      </c>
      <c r="H9952" s="0" t="n">
        <v>95</v>
      </c>
      <c r="I9952" s="0" t="s">
        <v>33216</v>
      </c>
      <c r="J9952" s="0" t="s">
        <v>33217</v>
      </c>
      <c r="K9952" s="0" t="s">
        <v>33218</v>
      </c>
      <c r="L9952" s="0" t="str">
        <f aca="false">HYPERLINK("https://www.ncbi.nlm.nih.gov/nuccore/CP000304.1?report=graph&amp;tracks=[key:gene_model_track,Options:GeneOnly]&amp;mk=2813328:2813347|offset_0|444444,2813284:2813303|offset_44|444444,2813233:2813252|offset_95|00cc00,2813213:2813232|offset_115|444444&amp;v=2813127:2813432&amp;c=444444", "offset 95")</f>
        <v>offset 95</v>
      </c>
    </row>
    <row r="9953" customFormat="false" ht="12.8" hidden="false" customHeight="false" outlineLevel="0" collapsed="false">
      <c r="A9953" s="0" t="s">
        <v>12</v>
      </c>
      <c r="B9953" s="0" t="n">
        <v>2813212</v>
      </c>
      <c r="C9953" s="0" t="n">
        <v>2813232</v>
      </c>
      <c r="D9953" s="0" t="s">
        <v>33208</v>
      </c>
      <c r="E9953" s="0" t="s">
        <v>33209</v>
      </c>
      <c r="F9953" s="0" t="s">
        <v>90</v>
      </c>
      <c r="G9953" s="0" t="s">
        <v>32</v>
      </c>
      <c r="H9953" s="0" t="n">
        <v>115</v>
      </c>
      <c r="I9953" s="0" t="s">
        <v>33219</v>
      </c>
      <c r="J9953" s="0" t="s">
        <v>33220</v>
      </c>
      <c r="K9953" s="0" t="s">
        <v>33221</v>
      </c>
      <c r="L9953" s="0" t="str">
        <f aca="false">HYPERLINK("https://www.ncbi.nlm.nih.gov/nuccore/CP000304.1?report=graph&amp;tracks=[key:gene_model_track,Options:GeneOnly]&amp;mk=2813328:2813347|offset_0|444444,2813284:2813303|offset_44|444444,2813233:2813252|offset_95|444444,2813213:2813232|offset_115|00cc00&amp;v=2813127:2813432&amp;c=444444", "offset 115")</f>
        <v>offset 115</v>
      </c>
    </row>
    <row r="9954" customFormat="false" ht="12.8" hidden="false" customHeight="false" outlineLevel="0" collapsed="false">
      <c r="A9954" s="0" t="s">
        <v>12</v>
      </c>
      <c r="B9954" s="0" t="n">
        <v>2813648</v>
      </c>
      <c r="C9954" s="0" t="n">
        <v>2813668</v>
      </c>
      <c r="D9954" s="0" t="s">
        <v>33222</v>
      </c>
      <c r="E9954" s="0" t="s">
        <v>33223</v>
      </c>
      <c r="F9954" s="0" t="s">
        <v>90</v>
      </c>
      <c r="G9954" s="0" t="s">
        <v>32</v>
      </c>
      <c r="H9954" s="0" t="n">
        <v>49</v>
      </c>
      <c r="I9954" s="0" t="s">
        <v>33224</v>
      </c>
      <c r="J9954" s="0" t="s">
        <v>33225</v>
      </c>
      <c r="K9954" s="0" t="s">
        <v>33226</v>
      </c>
      <c r="L9954" s="0" t="str">
        <f aca="false">HYPERLINK("https://www.ncbi.nlm.nih.gov/nuccore/CP000304.1?report=graph&amp;tracks=[key:gene_model_track,Options:GeneOnly]&amp;mk=2813649:2813668|offset_49|00cc00,2813622:2813641|offset_76|444444,2813587:2813606|offset_111|444444,2813564:2813583|offset_134|444444&amp;v=2813448:2813783&amp;c=444444", "offset 49")</f>
        <v>offset 49</v>
      </c>
    </row>
    <row r="9955" customFormat="false" ht="12.8" hidden="false" customHeight="false" outlineLevel="0" collapsed="false">
      <c r="A9955" s="0" t="s">
        <v>12</v>
      </c>
      <c r="B9955" s="0" t="n">
        <v>2813621</v>
      </c>
      <c r="C9955" s="0" t="n">
        <v>2813641</v>
      </c>
      <c r="D9955" s="0" t="s">
        <v>33222</v>
      </c>
      <c r="E9955" s="0" t="s">
        <v>33223</v>
      </c>
      <c r="F9955" s="0" t="s">
        <v>90</v>
      </c>
      <c r="G9955" s="0" t="s">
        <v>32</v>
      </c>
      <c r="H9955" s="0" t="n">
        <v>76</v>
      </c>
      <c r="I9955" s="0" t="s">
        <v>33227</v>
      </c>
      <c r="J9955" s="0" t="s">
        <v>33228</v>
      </c>
      <c r="K9955" s="0" t="s">
        <v>33229</v>
      </c>
      <c r="L9955" s="0" t="str">
        <f aca="false">HYPERLINK("https://www.ncbi.nlm.nih.gov/nuccore/CP000304.1?report=graph&amp;tracks=[key:gene_model_track,Options:GeneOnly]&amp;mk=2813649:2813668|offset_49|444444,2813622:2813641|offset_76|00cc00,2813587:2813606|offset_111|444444,2813564:2813583|offset_134|444444&amp;v=2813448:2813783&amp;c=444444", "offset 76")</f>
        <v>offset 76</v>
      </c>
    </row>
    <row r="9956" customFormat="false" ht="12.8" hidden="false" customHeight="false" outlineLevel="0" collapsed="false">
      <c r="A9956" s="0" t="s">
        <v>12</v>
      </c>
      <c r="B9956" s="0" t="n">
        <v>2813586</v>
      </c>
      <c r="C9956" s="0" t="n">
        <v>2813606</v>
      </c>
      <c r="D9956" s="0" t="s">
        <v>33222</v>
      </c>
      <c r="E9956" s="0" t="s">
        <v>33223</v>
      </c>
      <c r="F9956" s="0" t="s">
        <v>90</v>
      </c>
      <c r="G9956" s="0" t="s">
        <v>16</v>
      </c>
      <c r="H9956" s="0" t="n">
        <v>111</v>
      </c>
      <c r="I9956" s="0" t="s">
        <v>33230</v>
      </c>
      <c r="J9956" s="0" t="s">
        <v>33231</v>
      </c>
      <c r="K9956" s="0" t="s">
        <v>33232</v>
      </c>
      <c r="L9956" s="0" t="str">
        <f aca="false">HYPERLINK("https://www.ncbi.nlm.nih.gov/nuccore/CP000304.1?report=graph&amp;tracks=[key:gene_model_track,Options:GeneOnly]&amp;mk=2813649:2813668|offset_49|444444,2813622:2813641|offset_76|444444,2813587:2813606|offset_111|00cc00,2813564:2813583|offset_134|444444&amp;v=2813448:2813783&amp;c=444444", "offset 111")</f>
        <v>offset 111</v>
      </c>
    </row>
    <row r="9957" customFormat="false" ht="12.8" hidden="false" customHeight="false" outlineLevel="0" collapsed="false">
      <c r="A9957" s="0" t="s">
        <v>12</v>
      </c>
      <c r="B9957" s="0" t="n">
        <v>2813563</v>
      </c>
      <c r="C9957" s="0" t="n">
        <v>2813583</v>
      </c>
      <c r="D9957" s="0" t="s">
        <v>33222</v>
      </c>
      <c r="E9957" s="0" t="s">
        <v>33223</v>
      </c>
      <c r="F9957" s="0" t="s">
        <v>90</v>
      </c>
      <c r="G9957" s="0" t="s">
        <v>32</v>
      </c>
      <c r="H9957" s="0" t="n">
        <v>134</v>
      </c>
      <c r="I9957" s="0" t="s">
        <v>33233</v>
      </c>
      <c r="J9957" s="0" t="s">
        <v>33234</v>
      </c>
      <c r="K9957" s="0" t="s">
        <v>33235</v>
      </c>
      <c r="L9957" s="0" t="str">
        <f aca="false">HYPERLINK("https://www.ncbi.nlm.nih.gov/nuccore/CP000304.1?report=graph&amp;tracks=[key:gene_model_track,Options:GeneOnly]&amp;mk=2813649:2813668|offset_49|444444,2813622:2813641|offset_76|444444,2813587:2813606|offset_111|444444,2813564:2813583|offset_134|00cc00&amp;v=2813448:2813783&amp;c=444444", "offset 134")</f>
        <v>offset 134</v>
      </c>
    </row>
    <row r="9958" customFormat="false" ht="12.8" hidden="false" customHeight="false" outlineLevel="0" collapsed="false">
      <c r="A9958" s="0" t="s">
        <v>12</v>
      </c>
      <c r="B9958" s="0" t="n">
        <v>2813836</v>
      </c>
      <c r="C9958" s="0" t="n">
        <v>2813856</v>
      </c>
      <c r="D9958" s="0" t="s">
        <v>33236</v>
      </c>
      <c r="E9958" s="0" t="s">
        <v>89</v>
      </c>
      <c r="F9958" s="0" t="s">
        <v>15</v>
      </c>
      <c r="G9958" s="0" t="s">
        <v>32</v>
      </c>
      <c r="H9958" s="0" t="n">
        <v>17</v>
      </c>
      <c r="I9958" s="0" t="s">
        <v>33237</v>
      </c>
      <c r="J9958" s="0" t="s">
        <v>33238</v>
      </c>
      <c r="K9958" s="0" t="s">
        <v>33239</v>
      </c>
      <c r="L9958" s="0" t="str">
        <f aca="false">HYPERLINK("https://www.ncbi.nlm.nih.gov/nuccore/CP000304.1?report=graph&amp;tracks=[key:gene_model_track,Options:GeneOnly]&amp;mk=2813837:2813856|offset_17|00cc00,2813864:2813883|offset_44|444444,2813888:2813907|offset_68|444444,2813912:2813931|offset_92|444444&amp;v=2813636:2814131&amp;c=444444", "offset 17")</f>
        <v>offset 17</v>
      </c>
    </row>
    <row r="9959" customFormat="false" ht="12.8" hidden="false" customHeight="false" outlineLevel="0" collapsed="false">
      <c r="A9959" s="0" t="s">
        <v>12</v>
      </c>
      <c r="B9959" s="0" t="n">
        <v>2813863</v>
      </c>
      <c r="C9959" s="0" t="n">
        <v>2813883</v>
      </c>
      <c r="D9959" s="0" t="s">
        <v>33236</v>
      </c>
      <c r="E9959" s="0" t="s">
        <v>89</v>
      </c>
      <c r="F9959" s="0" t="s">
        <v>15</v>
      </c>
      <c r="G9959" s="0" t="s">
        <v>26</v>
      </c>
      <c r="H9959" s="0" t="n">
        <v>44</v>
      </c>
      <c r="I9959" s="0" t="s">
        <v>33240</v>
      </c>
      <c r="J9959" s="0" t="s">
        <v>33241</v>
      </c>
      <c r="K9959" s="0" t="s">
        <v>33242</v>
      </c>
      <c r="L9959" s="0" t="str">
        <f aca="false">HYPERLINK("https://www.ncbi.nlm.nih.gov/nuccore/CP000304.1?report=graph&amp;tracks=[key:gene_model_track,Options:GeneOnly]&amp;mk=2813837:2813856|offset_17|444444,2813864:2813883|offset_44|00cc00,2813888:2813907|offset_68|444444,2813912:2813931|offset_92|444444&amp;v=2813636:2814131&amp;c=444444", "offset 44")</f>
        <v>offset 44</v>
      </c>
    </row>
    <row r="9960" customFormat="false" ht="12.8" hidden="false" customHeight="false" outlineLevel="0" collapsed="false">
      <c r="A9960" s="0" t="s">
        <v>12</v>
      </c>
      <c r="B9960" s="0" t="n">
        <v>2813887</v>
      </c>
      <c r="C9960" s="0" t="n">
        <v>2813907</v>
      </c>
      <c r="D9960" s="0" t="s">
        <v>33236</v>
      </c>
      <c r="E9960" s="0" t="s">
        <v>89</v>
      </c>
      <c r="F9960" s="0" t="s">
        <v>15</v>
      </c>
      <c r="G9960" s="0" t="s">
        <v>32</v>
      </c>
      <c r="H9960" s="0" t="n">
        <v>68</v>
      </c>
      <c r="I9960" s="0" t="s">
        <v>33243</v>
      </c>
      <c r="J9960" s="0" t="s">
        <v>33244</v>
      </c>
      <c r="K9960" s="0" t="s">
        <v>33245</v>
      </c>
      <c r="L9960" s="0" t="str">
        <f aca="false">HYPERLINK("https://www.ncbi.nlm.nih.gov/nuccore/CP000304.1?report=graph&amp;tracks=[key:gene_model_track,Options:GeneOnly]&amp;mk=2813837:2813856|offset_17|444444,2813864:2813883|offset_44|444444,2813888:2813907|offset_68|00cc00,2813912:2813931|offset_92|444444&amp;v=2813636:2814131&amp;c=444444", "offset 68")</f>
        <v>offset 68</v>
      </c>
    </row>
    <row r="9961" customFormat="false" ht="12.8" hidden="false" customHeight="false" outlineLevel="0" collapsed="false">
      <c r="A9961" s="0" t="s">
        <v>12</v>
      </c>
      <c r="B9961" s="0" t="n">
        <v>2813911</v>
      </c>
      <c r="C9961" s="0" t="n">
        <v>2813931</v>
      </c>
      <c r="D9961" s="0" t="s">
        <v>33236</v>
      </c>
      <c r="E9961" s="0" t="s">
        <v>89</v>
      </c>
      <c r="F9961" s="0" t="s">
        <v>15</v>
      </c>
      <c r="G9961" s="0" t="s">
        <v>32</v>
      </c>
      <c r="H9961" s="0" t="n">
        <v>92</v>
      </c>
      <c r="I9961" s="0" t="s">
        <v>33246</v>
      </c>
      <c r="J9961" s="0" t="s">
        <v>33247</v>
      </c>
      <c r="K9961" s="0" t="s">
        <v>33248</v>
      </c>
      <c r="L9961" s="0" t="str">
        <f aca="false">HYPERLINK("https://www.ncbi.nlm.nih.gov/nuccore/CP000304.1?report=graph&amp;tracks=[key:gene_model_track,Options:GeneOnly]&amp;mk=2813837:2813856|offset_17|444444,2813864:2813883|offset_44|444444,2813888:2813907|offset_68|444444,2813912:2813931|offset_92|00cc00&amp;v=2813636:2814131&amp;c=444444", "offset 92")</f>
        <v>offset 92</v>
      </c>
    </row>
    <row r="9962" customFormat="false" ht="12.8" hidden="false" customHeight="false" outlineLevel="0" collapsed="false">
      <c r="A9962" s="0" t="s">
        <v>12</v>
      </c>
      <c r="B9962" s="0" t="n">
        <v>2815919</v>
      </c>
      <c r="C9962" s="0" t="n">
        <v>2815939</v>
      </c>
      <c r="D9962" s="0" t="s">
        <v>33249</v>
      </c>
      <c r="E9962" s="0" t="s">
        <v>89</v>
      </c>
      <c r="F9962" s="0" t="s">
        <v>90</v>
      </c>
      <c r="G9962" s="0" t="s">
        <v>16</v>
      </c>
      <c r="H9962" s="0" t="n">
        <v>19</v>
      </c>
      <c r="I9962" s="0" t="s">
        <v>33250</v>
      </c>
      <c r="J9962" s="0" t="s">
        <v>33251</v>
      </c>
      <c r="K9962" s="0" t="s">
        <v>33252</v>
      </c>
      <c r="L9962" s="0" t="str">
        <f aca="false">HYPERLINK("https://www.ncbi.nlm.nih.gov/nuccore/CP000304.1?report=graph&amp;tracks=[key:gene_model_track,Options:GeneOnly]&amp;mk=2815920:2815939|offset_19|00cc00,2815887:2815906|offset_52|444444,2815854:2815873|offset_85|444444,2815794:2815813|offset_145|444444&amp;v=2815719:2816013&amp;c=444444", "offset 19")</f>
        <v>offset 19</v>
      </c>
    </row>
    <row r="9963" customFormat="false" ht="12.8" hidden="false" customHeight="false" outlineLevel="0" collapsed="false">
      <c r="A9963" s="0" t="s">
        <v>12</v>
      </c>
      <c r="B9963" s="0" t="n">
        <v>2815886</v>
      </c>
      <c r="C9963" s="0" t="n">
        <v>2815906</v>
      </c>
      <c r="D9963" s="0" t="s">
        <v>33249</v>
      </c>
      <c r="E9963" s="0" t="s">
        <v>89</v>
      </c>
      <c r="F9963" s="0" t="s">
        <v>90</v>
      </c>
      <c r="G9963" s="0" t="s">
        <v>16</v>
      </c>
      <c r="H9963" s="0" t="n">
        <v>52</v>
      </c>
      <c r="I9963" s="0" t="s">
        <v>33253</v>
      </c>
      <c r="J9963" s="0" t="s">
        <v>33254</v>
      </c>
      <c r="K9963" s="0" t="s">
        <v>33255</v>
      </c>
      <c r="L9963" s="0" t="str">
        <f aca="false">HYPERLINK("https://www.ncbi.nlm.nih.gov/nuccore/CP000304.1?report=graph&amp;tracks=[key:gene_model_track,Options:GeneOnly]&amp;mk=2815920:2815939|offset_19|444444,2815887:2815906|offset_52|00cc00,2815854:2815873|offset_85|444444,2815794:2815813|offset_145|444444&amp;v=2815719:2816013&amp;c=444444", "offset 52")</f>
        <v>offset 52</v>
      </c>
    </row>
    <row r="9964" customFormat="false" ht="12.8" hidden="false" customHeight="false" outlineLevel="0" collapsed="false">
      <c r="A9964" s="0" t="s">
        <v>12</v>
      </c>
      <c r="B9964" s="0" t="n">
        <v>2815853</v>
      </c>
      <c r="C9964" s="0" t="n">
        <v>2815873</v>
      </c>
      <c r="D9964" s="0" t="s">
        <v>33249</v>
      </c>
      <c r="E9964" s="0" t="s">
        <v>89</v>
      </c>
      <c r="F9964" s="0" t="s">
        <v>90</v>
      </c>
      <c r="G9964" s="0" t="s">
        <v>36</v>
      </c>
      <c r="H9964" s="0" t="n">
        <v>85</v>
      </c>
      <c r="I9964" s="0" t="s">
        <v>33256</v>
      </c>
      <c r="J9964" s="0" t="s">
        <v>33257</v>
      </c>
      <c r="K9964" s="0" t="s">
        <v>33258</v>
      </c>
      <c r="L9964" s="0" t="str">
        <f aca="false">HYPERLINK("https://www.ncbi.nlm.nih.gov/nuccore/CP000304.1?report=graph&amp;tracks=[key:gene_model_track,Options:GeneOnly]&amp;mk=2815920:2815939|offset_19|444444,2815887:2815906|offset_52|444444,2815854:2815873|offset_85|00cc00,2815794:2815813|offset_145|444444&amp;v=2815719:2816013&amp;c=444444", "offset 85")</f>
        <v>offset 85</v>
      </c>
    </row>
    <row r="9965" customFormat="false" ht="12.8" hidden="false" customHeight="false" outlineLevel="0" collapsed="false">
      <c r="A9965" s="0" t="s">
        <v>12</v>
      </c>
      <c r="B9965" s="0" t="n">
        <v>2815793</v>
      </c>
      <c r="C9965" s="0" t="n">
        <v>2815813</v>
      </c>
      <c r="D9965" s="0" t="s">
        <v>33249</v>
      </c>
      <c r="E9965" s="0" t="s">
        <v>89</v>
      </c>
      <c r="F9965" s="0" t="s">
        <v>90</v>
      </c>
      <c r="G9965" s="0" t="s">
        <v>16</v>
      </c>
      <c r="H9965" s="0" t="n">
        <v>145</v>
      </c>
      <c r="I9965" s="0" t="s">
        <v>33259</v>
      </c>
      <c r="J9965" s="0" t="s">
        <v>33260</v>
      </c>
      <c r="K9965" s="0" t="s">
        <v>33261</v>
      </c>
      <c r="L9965" s="0" t="str">
        <f aca="false">HYPERLINK("https://www.ncbi.nlm.nih.gov/nuccore/CP000304.1?report=graph&amp;tracks=[key:gene_model_track,Options:GeneOnly]&amp;mk=2815920:2815939|offset_19|444444,2815887:2815906|offset_52|444444,2815854:2815873|offset_85|444444,2815794:2815813|offset_145|00cc00&amp;v=2815719:2816013&amp;c=444444", "offset 145")</f>
        <v>offset 145</v>
      </c>
    </row>
    <row r="9966" customFormat="false" ht="12.8" hidden="false" customHeight="false" outlineLevel="0" collapsed="false">
      <c r="A9966" s="0" t="s">
        <v>12</v>
      </c>
      <c r="B9966" s="0" t="n">
        <v>2816183</v>
      </c>
      <c r="C9966" s="0" t="n">
        <v>2816203</v>
      </c>
      <c r="D9966" s="0" t="s">
        <v>33262</v>
      </c>
      <c r="E9966" s="0" t="s">
        <v>89</v>
      </c>
      <c r="F9966" s="0" t="s">
        <v>15</v>
      </c>
      <c r="G9966" s="0" t="s">
        <v>36</v>
      </c>
      <c r="H9966" s="0" t="n">
        <v>7</v>
      </c>
      <c r="I9966" s="0" t="s">
        <v>33263</v>
      </c>
      <c r="J9966" s="0" t="s">
        <v>33264</v>
      </c>
      <c r="K9966" s="0" t="s">
        <v>33265</v>
      </c>
      <c r="L9966" s="0" t="str">
        <f aca="false">HYPERLINK("https://www.ncbi.nlm.nih.gov/nuccore/CP000304.1?report=graph&amp;tracks=[key:gene_model_track,Options:GeneOnly]&amp;mk=2816184:2816203|offset_7|00cc00,2816212:2816231|offset_35|444444,2816235:2816254|offset_58|444444,2816264:2816283|offset_87|444444&amp;v=2815983:2816483&amp;c=444444", "offset 7")</f>
        <v>offset 7</v>
      </c>
    </row>
    <row r="9967" customFormat="false" ht="12.8" hidden="false" customHeight="false" outlineLevel="0" collapsed="false">
      <c r="A9967" s="0" t="s">
        <v>12</v>
      </c>
      <c r="B9967" s="0" t="n">
        <v>2816211</v>
      </c>
      <c r="C9967" s="0" t="n">
        <v>2816231</v>
      </c>
      <c r="D9967" s="0" t="s">
        <v>33262</v>
      </c>
      <c r="E9967" s="0" t="s">
        <v>89</v>
      </c>
      <c r="F9967" s="0" t="s">
        <v>15</v>
      </c>
      <c r="G9967" s="0" t="s">
        <v>32</v>
      </c>
      <c r="H9967" s="0" t="n">
        <v>35</v>
      </c>
      <c r="I9967" s="0" t="s">
        <v>33266</v>
      </c>
      <c r="J9967" s="0" t="s">
        <v>33267</v>
      </c>
      <c r="K9967" s="0" t="s">
        <v>33268</v>
      </c>
      <c r="L9967" s="0" t="str">
        <f aca="false">HYPERLINK("https://www.ncbi.nlm.nih.gov/nuccore/CP000304.1?report=graph&amp;tracks=[key:gene_model_track,Options:GeneOnly]&amp;mk=2816184:2816203|offset_7|444444,2816212:2816231|offset_35|00cc00,2816235:2816254|offset_58|444444,2816264:2816283|offset_87|444444&amp;v=2815983:2816483&amp;c=444444", "offset 35")</f>
        <v>offset 35</v>
      </c>
    </row>
    <row r="9968" customFormat="false" ht="12.8" hidden="false" customHeight="false" outlineLevel="0" collapsed="false">
      <c r="A9968" s="0" t="s">
        <v>12</v>
      </c>
      <c r="B9968" s="0" t="n">
        <v>2816234</v>
      </c>
      <c r="C9968" s="0" t="n">
        <v>2816254</v>
      </c>
      <c r="D9968" s="0" t="s">
        <v>33262</v>
      </c>
      <c r="E9968" s="0" t="s">
        <v>89</v>
      </c>
      <c r="F9968" s="0" t="s">
        <v>15</v>
      </c>
      <c r="G9968" s="0" t="s">
        <v>36</v>
      </c>
      <c r="H9968" s="0" t="n">
        <v>58</v>
      </c>
      <c r="I9968" s="0" t="s">
        <v>33269</v>
      </c>
      <c r="J9968" s="0" t="s">
        <v>33270</v>
      </c>
      <c r="K9968" s="0" t="s">
        <v>33271</v>
      </c>
      <c r="L9968" s="0" t="str">
        <f aca="false">HYPERLINK("https://www.ncbi.nlm.nih.gov/nuccore/CP000304.1?report=graph&amp;tracks=[key:gene_model_track,Options:GeneOnly]&amp;mk=2816184:2816203|offset_7|444444,2816212:2816231|offset_35|444444,2816235:2816254|offset_58|00cc00,2816264:2816283|offset_87|444444&amp;v=2815983:2816483&amp;c=444444", "offset 58")</f>
        <v>offset 58</v>
      </c>
    </row>
    <row r="9969" customFormat="false" ht="12.8" hidden="false" customHeight="false" outlineLevel="0" collapsed="false">
      <c r="A9969" s="0" t="s">
        <v>12</v>
      </c>
      <c r="B9969" s="0" t="n">
        <v>2816263</v>
      </c>
      <c r="C9969" s="0" t="n">
        <v>2816283</v>
      </c>
      <c r="D9969" s="0" t="s">
        <v>33262</v>
      </c>
      <c r="E9969" s="0" t="s">
        <v>89</v>
      </c>
      <c r="F9969" s="0" t="s">
        <v>15</v>
      </c>
      <c r="G9969" s="0" t="s">
        <v>16</v>
      </c>
      <c r="H9969" s="0" t="n">
        <v>87</v>
      </c>
      <c r="I9969" s="0" t="s">
        <v>33272</v>
      </c>
      <c r="J9969" s="0" t="s">
        <v>33273</v>
      </c>
      <c r="K9969" s="0" t="s">
        <v>33274</v>
      </c>
      <c r="L9969" s="0" t="str">
        <f aca="false">HYPERLINK("https://www.ncbi.nlm.nih.gov/nuccore/CP000304.1?report=graph&amp;tracks=[key:gene_model_track,Options:GeneOnly]&amp;mk=2816184:2816203|offset_7|444444,2816212:2816231|offset_35|444444,2816235:2816254|offset_58|444444,2816264:2816283|offset_87|00cc00&amp;v=2815983:2816483&amp;c=444444", "offset 87")</f>
        <v>offset 87</v>
      </c>
    </row>
    <row r="9970" customFormat="false" ht="12.8" hidden="false" customHeight="false" outlineLevel="0" collapsed="false">
      <c r="A9970" s="0" t="s">
        <v>12</v>
      </c>
      <c r="B9970" s="0" t="n">
        <v>2817734</v>
      </c>
      <c r="C9970" s="0" t="n">
        <v>2817754</v>
      </c>
      <c r="D9970" s="0" t="s">
        <v>33275</v>
      </c>
      <c r="E9970" s="0" t="s">
        <v>33276</v>
      </c>
      <c r="F9970" s="0" t="s">
        <v>90</v>
      </c>
      <c r="G9970" s="0" t="s">
        <v>26</v>
      </c>
      <c r="H9970" s="0" t="n">
        <v>20</v>
      </c>
      <c r="I9970" s="0" t="s">
        <v>33277</v>
      </c>
      <c r="J9970" s="0" t="s">
        <v>33278</v>
      </c>
      <c r="K9970" s="0" t="s">
        <v>33279</v>
      </c>
      <c r="L9970" s="0" t="str">
        <f aca="false">HYPERLINK("https://www.ncbi.nlm.nih.gov/nuccore/CP000304.1?report=graph&amp;tracks=[key:gene_model_track,Options:GeneOnly]&amp;mk=2817735:2817754|offset_20|00cc00,2817711:2817730|offset_44|444444,2817682:2817701|offset_73|444444,2817640:2817659|offset_115|444444&amp;v=2817534:2817859&amp;c=444444", "offset 20")</f>
        <v>offset 20</v>
      </c>
    </row>
    <row r="9971" customFormat="false" ht="12.8" hidden="false" customHeight="false" outlineLevel="0" collapsed="false">
      <c r="A9971" s="0" t="s">
        <v>12</v>
      </c>
      <c r="B9971" s="0" t="n">
        <v>2817710</v>
      </c>
      <c r="C9971" s="0" t="n">
        <v>2817730</v>
      </c>
      <c r="D9971" s="0" t="s">
        <v>33275</v>
      </c>
      <c r="E9971" s="0" t="s">
        <v>33276</v>
      </c>
      <c r="F9971" s="0" t="s">
        <v>90</v>
      </c>
      <c r="G9971" s="0" t="s">
        <v>36</v>
      </c>
      <c r="H9971" s="0" t="n">
        <v>44</v>
      </c>
      <c r="I9971" s="0" t="s">
        <v>33280</v>
      </c>
      <c r="J9971" s="0" t="s">
        <v>33281</v>
      </c>
      <c r="K9971" s="0" t="s">
        <v>33282</v>
      </c>
      <c r="L9971" s="0" t="str">
        <f aca="false">HYPERLINK("https://www.ncbi.nlm.nih.gov/nuccore/CP000304.1?report=graph&amp;tracks=[key:gene_model_track,Options:GeneOnly]&amp;mk=2817735:2817754|offset_20|444444,2817711:2817730|offset_44|00cc00,2817682:2817701|offset_73|444444,2817640:2817659|offset_115|444444&amp;v=2817534:2817859&amp;c=444444", "offset 44")</f>
        <v>offset 44</v>
      </c>
    </row>
    <row r="9972" customFormat="false" ht="12.8" hidden="false" customHeight="false" outlineLevel="0" collapsed="false">
      <c r="A9972" s="0" t="s">
        <v>12</v>
      </c>
      <c r="B9972" s="0" t="n">
        <v>2817681</v>
      </c>
      <c r="C9972" s="0" t="n">
        <v>2817701</v>
      </c>
      <c r="D9972" s="0" t="s">
        <v>33275</v>
      </c>
      <c r="E9972" s="0" t="s">
        <v>33276</v>
      </c>
      <c r="F9972" s="0" t="s">
        <v>90</v>
      </c>
      <c r="G9972" s="0" t="s">
        <v>16</v>
      </c>
      <c r="H9972" s="0" t="n">
        <v>73</v>
      </c>
      <c r="I9972" s="0" t="s">
        <v>33283</v>
      </c>
      <c r="J9972" s="0" t="s">
        <v>33284</v>
      </c>
      <c r="K9972" s="0" t="s">
        <v>33285</v>
      </c>
      <c r="L9972" s="0" t="str">
        <f aca="false">HYPERLINK("https://www.ncbi.nlm.nih.gov/nuccore/CP000304.1?report=graph&amp;tracks=[key:gene_model_track,Options:GeneOnly]&amp;mk=2817735:2817754|offset_20|444444,2817711:2817730|offset_44|444444,2817682:2817701|offset_73|00cc00,2817640:2817659|offset_115|444444&amp;v=2817534:2817859&amp;c=444444", "offset 73")</f>
        <v>offset 73</v>
      </c>
    </row>
    <row r="9973" customFormat="false" ht="12.8" hidden="false" customHeight="false" outlineLevel="0" collapsed="false">
      <c r="A9973" s="0" t="s">
        <v>12</v>
      </c>
      <c r="B9973" s="0" t="n">
        <v>2817639</v>
      </c>
      <c r="C9973" s="0" t="n">
        <v>2817659</v>
      </c>
      <c r="D9973" s="0" t="s">
        <v>33275</v>
      </c>
      <c r="E9973" s="0" t="s">
        <v>33276</v>
      </c>
      <c r="F9973" s="0" t="s">
        <v>90</v>
      </c>
      <c r="G9973" s="0" t="s">
        <v>16</v>
      </c>
      <c r="H9973" s="0" t="n">
        <v>115</v>
      </c>
      <c r="I9973" s="0" t="s">
        <v>33286</v>
      </c>
      <c r="J9973" s="0" t="s">
        <v>33287</v>
      </c>
      <c r="K9973" s="0" t="s">
        <v>33288</v>
      </c>
      <c r="L9973" s="0" t="str">
        <f aca="false">HYPERLINK("https://www.ncbi.nlm.nih.gov/nuccore/CP000304.1?report=graph&amp;tracks=[key:gene_model_track,Options:GeneOnly]&amp;mk=2817735:2817754|offset_20|444444,2817711:2817730|offset_44|444444,2817682:2817701|offset_73|444444,2817640:2817659|offset_115|00cc00&amp;v=2817534:2817859&amp;c=444444", "offset 115")</f>
        <v>offset 115</v>
      </c>
    </row>
    <row r="9974" customFormat="false" ht="12.8" hidden="false" customHeight="false" outlineLevel="0" collapsed="false">
      <c r="A9974" s="0" t="s">
        <v>12</v>
      </c>
      <c r="B9974" s="0" t="n">
        <v>2818099</v>
      </c>
      <c r="C9974" s="0" t="n">
        <v>2818119</v>
      </c>
      <c r="D9974" s="0" t="s">
        <v>33289</v>
      </c>
      <c r="E9974" s="0" t="s">
        <v>89</v>
      </c>
      <c r="F9974" s="0" t="s">
        <v>15</v>
      </c>
      <c r="G9974" s="0" t="s">
        <v>36</v>
      </c>
      <c r="H9974" s="0" t="n">
        <v>0</v>
      </c>
      <c r="I9974" s="0" t="s">
        <v>33290</v>
      </c>
      <c r="J9974" s="0" t="s">
        <v>33291</v>
      </c>
      <c r="K9974" s="0" t="s">
        <v>33292</v>
      </c>
      <c r="L9974" s="0" t="str">
        <f aca="false">HYPERLINK("https://www.ncbi.nlm.nih.gov/nuccore/CP000304.1?report=graph&amp;tracks=[key:gene_model_track,Options:GeneOnly]&amp;mk=2818100:2818119|offset_0|00cc00,2818176:2818195|offset_76|444444,2818200:2818219|offset_100|444444,2818224:2818243|offset_124|444444&amp;v=2817899:2818443&amp;c=444444", "offset 0")</f>
        <v>offset 0</v>
      </c>
    </row>
    <row r="9975" customFormat="false" ht="12.8" hidden="false" customHeight="false" outlineLevel="0" collapsed="false">
      <c r="A9975" s="0" t="s">
        <v>12</v>
      </c>
      <c r="B9975" s="0" t="n">
        <v>2818175</v>
      </c>
      <c r="C9975" s="0" t="n">
        <v>2818195</v>
      </c>
      <c r="D9975" s="0" t="s">
        <v>33289</v>
      </c>
      <c r="E9975" s="0" t="s">
        <v>89</v>
      </c>
      <c r="F9975" s="0" t="s">
        <v>15</v>
      </c>
      <c r="G9975" s="0" t="s">
        <v>32</v>
      </c>
      <c r="H9975" s="0" t="n">
        <v>76</v>
      </c>
      <c r="I9975" s="0" t="s">
        <v>33293</v>
      </c>
      <c r="J9975" s="0" t="s">
        <v>33294</v>
      </c>
      <c r="K9975" s="0" t="s">
        <v>33295</v>
      </c>
      <c r="L9975" s="0" t="str">
        <f aca="false">HYPERLINK("https://www.ncbi.nlm.nih.gov/nuccore/CP000304.1?report=graph&amp;tracks=[key:gene_model_track,Options:GeneOnly]&amp;mk=2818100:2818119|offset_0|444444,2818176:2818195|offset_76|00cc00,2818200:2818219|offset_100|444444,2818224:2818243|offset_124|444444&amp;v=2817899:2818443&amp;c=444444", "offset 76")</f>
        <v>offset 76</v>
      </c>
    </row>
    <row r="9976" customFormat="false" ht="12.8" hidden="false" customHeight="false" outlineLevel="0" collapsed="false">
      <c r="A9976" s="0" t="s">
        <v>12</v>
      </c>
      <c r="B9976" s="0" t="n">
        <v>2818199</v>
      </c>
      <c r="C9976" s="0" t="n">
        <v>2818219</v>
      </c>
      <c r="D9976" s="0" t="s">
        <v>33289</v>
      </c>
      <c r="E9976" s="0" t="s">
        <v>89</v>
      </c>
      <c r="F9976" s="0" t="s">
        <v>15</v>
      </c>
      <c r="G9976" s="0" t="s">
        <v>16</v>
      </c>
      <c r="H9976" s="0" t="n">
        <v>100</v>
      </c>
      <c r="I9976" s="0" t="s">
        <v>33296</v>
      </c>
      <c r="J9976" s="0" t="s">
        <v>33297</v>
      </c>
      <c r="K9976" s="0" t="s">
        <v>33298</v>
      </c>
      <c r="L9976" s="0" t="str">
        <f aca="false">HYPERLINK("https://www.ncbi.nlm.nih.gov/nuccore/CP000304.1?report=graph&amp;tracks=[key:gene_model_track,Options:GeneOnly]&amp;mk=2818100:2818119|offset_0|444444,2818176:2818195|offset_76|444444,2818200:2818219|offset_100|00cc00,2818224:2818243|offset_124|444444&amp;v=2817899:2818443&amp;c=444444", "offset 100")</f>
        <v>offset 100</v>
      </c>
    </row>
    <row r="9977" customFormat="false" ht="12.8" hidden="false" customHeight="false" outlineLevel="0" collapsed="false">
      <c r="A9977" s="0" t="s">
        <v>12</v>
      </c>
      <c r="B9977" s="0" t="n">
        <v>2818223</v>
      </c>
      <c r="C9977" s="0" t="n">
        <v>2818243</v>
      </c>
      <c r="D9977" s="0" t="s">
        <v>33289</v>
      </c>
      <c r="E9977" s="0" t="s">
        <v>89</v>
      </c>
      <c r="F9977" s="0" t="s">
        <v>15</v>
      </c>
      <c r="G9977" s="0" t="s">
        <v>36</v>
      </c>
      <c r="H9977" s="0" t="n">
        <v>124</v>
      </c>
      <c r="I9977" s="0" t="s">
        <v>33299</v>
      </c>
      <c r="J9977" s="0" t="s">
        <v>33300</v>
      </c>
      <c r="K9977" s="0" t="s">
        <v>33301</v>
      </c>
      <c r="L9977" s="0" t="str">
        <f aca="false">HYPERLINK("https://www.ncbi.nlm.nih.gov/nuccore/CP000304.1?report=graph&amp;tracks=[key:gene_model_track,Options:GeneOnly]&amp;mk=2818100:2818119|offset_0|444444,2818176:2818195|offset_76|444444,2818200:2818219|offset_100|444444,2818224:2818243|offset_124|00cc00&amp;v=2817899:2818443&amp;c=444444", "offset 124")</f>
        <v>offset 124</v>
      </c>
    </row>
    <row r="9978" customFormat="false" ht="12.8" hidden="false" customHeight="false" outlineLevel="0" collapsed="false">
      <c r="A9978" s="0" t="s">
        <v>12</v>
      </c>
      <c r="B9978" s="0" t="n">
        <v>2818393</v>
      </c>
      <c r="C9978" s="0" t="n">
        <v>2818413</v>
      </c>
      <c r="D9978" s="0" t="s">
        <v>33302</v>
      </c>
      <c r="E9978" s="0" t="s">
        <v>89</v>
      </c>
      <c r="F9978" s="0" t="s">
        <v>15</v>
      </c>
      <c r="G9978" s="0" t="s">
        <v>36</v>
      </c>
      <c r="H9978" s="0" t="n">
        <v>12</v>
      </c>
      <c r="I9978" s="0" t="s">
        <v>33303</v>
      </c>
      <c r="J9978" s="0" t="s">
        <v>33304</v>
      </c>
      <c r="K9978" s="0" t="s">
        <v>33305</v>
      </c>
      <c r="L9978" s="0" t="str">
        <f aca="false">HYPERLINK("https://www.ncbi.nlm.nih.gov/nuccore/CP000304.1?report=graph&amp;tracks=[key:gene_model_track,Options:GeneOnly]&amp;mk=2818394:2818413|offset_12|00cc00,2818416:2818435|offset_34|444444,2818443:2818462|offset_61|444444,2818497:2818516|offset_115|444444&amp;v=2818193:2818716&amp;c=444444", "offset 12")</f>
        <v>offset 12</v>
      </c>
    </row>
    <row r="9979" customFormat="false" ht="12.8" hidden="false" customHeight="false" outlineLevel="0" collapsed="false">
      <c r="A9979" s="0" t="s">
        <v>12</v>
      </c>
      <c r="B9979" s="0" t="n">
        <v>2818415</v>
      </c>
      <c r="C9979" s="0" t="n">
        <v>2818435</v>
      </c>
      <c r="D9979" s="0" t="s">
        <v>33302</v>
      </c>
      <c r="E9979" s="0" t="s">
        <v>89</v>
      </c>
      <c r="F9979" s="0" t="s">
        <v>15</v>
      </c>
      <c r="G9979" s="0" t="s">
        <v>32</v>
      </c>
      <c r="H9979" s="0" t="n">
        <v>34</v>
      </c>
      <c r="I9979" s="0" t="s">
        <v>33306</v>
      </c>
      <c r="J9979" s="0" t="s">
        <v>33307</v>
      </c>
      <c r="K9979" s="0" t="s">
        <v>33308</v>
      </c>
      <c r="L9979" s="0" t="str">
        <f aca="false">HYPERLINK("https://www.ncbi.nlm.nih.gov/nuccore/CP000304.1?report=graph&amp;tracks=[key:gene_model_track,Options:GeneOnly]&amp;mk=2818394:2818413|offset_12|444444,2818416:2818435|offset_34|00cc00,2818443:2818462|offset_61|444444,2818497:2818516|offset_115|444444&amp;v=2818193:2818716&amp;c=444444", "offset 34")</f>
        <v>offset 34</v>
      </c>
    </row>
    <row r="9980" customFormat="false" ht="12.8" hidden="false" customHeight="false" outlineLevel="0" collapsed="false">
      <c r="A9980" s="0" t="s">
        <v>12</v>
      </c>
      <c r="B9980" s="0" t="n">
        <v>2818442</v>
      </c>
      <c r="C9980" s="0" t="n">
        <v>2818462</v>
      </c>
      <c r="D9980" s="0" t="s">
        <v>33302</v>
      </c>
      <c r="E9980" s="0" t="s">
        <v>89</v>
      </c>
      <c r="F9980" s="0" t="s">
        <v>15</v>
      </c>
      <c r="G9980" s="0" t="s">
        <v>36</v>
      </c>
      <c r="H9980" s="0" t="n">
        <v>61</v>
      </c>
      <c r="I9980" s="0" t="s">
        <v>33309</v>
      </c>
      <c r="J9980" s="0" t="s">
        <v>33310</v>
      </c>
      <c r="K9980" s="0" t="s">
        <v>33311</v>
      </c>
      <c r="L9980" s="0" t="str">
        <f aca="false">HYPERLINK("https://www.ncbi.nlm.nih.gov/nuccore/CP000304.1?report=graph&amp;tracks=[key:gene_model_track,Options:GeneOnly]&amp;mk=2818394:2818413|offset_12|444444,2818416:2818435|offset_34|444444,2818443:2818462|offset_61|00cc00,2818497:2818516|offset_115|444444&amp;v=2818193:2818716&amp;c=444444", "offset 61")</f>
        <v>offset 61</v>
      </c>
    </row>
    <row r="9981" customFormat="false" ht="12.8" hidden="false" customHeight="false" outlineLevel="0" collapsed="false">
      <c r="A9981" s="0" t="s">
        <v>12</v>
      </c>
      <c r="B9981" s="0" t="n">
        <v>2818496</v>
      </c>
      <c r="C9981" s="0" t="n">
        <v>2818516</v>
      </c>
      <c r="D9981" s="0" t="s">
        <v>33302</v>
      </c>
      <c r="E9981" s="0" t="s">
        <v>89</v>
      </c>
      <c r="F9981" s="0" t="s">
        <v>15</v>
      </c>
      <c r="G9981" s="0" t="s">
        <v>16</v>
      </c>
      <c r="H9981" s="0" t="n">
        <v>115</v>
      </c>
      <c r="I9981" s="0" t="s">
        <v>33312</v>
      </c>
      <c r="J9981" s="0" t="s">
        <v>33313</v>
      </c>
      <c r="K9981" s="0" t="s">
        <v>33314</v>
      </c>
      <c r="L9981" s="0" t="str">
        <f aca="false">HYPERLINK("https://www.ncbi.nlm.nih.gov/nuccore/CP000304.1?report=graph&amp;tracks=[key:gene_model_track,Options:GeneOnly]&amp;mk=2818394:2818413|offset_12|444444,2818416:2818435|offset_34|444444,2818443:2818462|offset_61|444444,2818497:2818516|offset_115|00cc00&amp;v=2818193:2818716&amp;c=444444", "offset 115")</f>
        <v>offset 115</v>
      </c>
    </row>
    <row r="9982" customFormat="false" ht="12.8" hidden="false" customHeight="false" outlineLevel="0" collapsed="false">
      <c r="A9982" s="0" t="s">
        <v>12</v>
      </c>
      <c r="B9982" s="0" t="n">
        <v>2821458</v>
      </c>
      <c r="C9982" s="0" t="n">
        <v>2821478</v>
      </c>
      <c r="D9982" s="0" t="s">
        <v>33315</v>
      </c>
      <c r="E9982" s="0" t="s">
        <v>89</v>
      </c>
      <c r="F9982" s="0" t="s">
        <v>90</v>
      </c>
      <c r="G9982" s="0" t="s">
        <v>16</v>
      </c>
      <c r="H9982" s="0" t="n">
        <v>0</v>
      </c>
      <c r="I9982" s="0" t="s">
        <v>33316</v>
      </c>
      <c r="J9982" s="0" t="s">
        <v>33317</v>
      </c>
      <c r="K9982" s="0" t="s">
        <v>33318</v>
      </c>
      <c r="L9982" s="0" t="str">
        <f aca="false">HYPERLINK("https://www.ncbi.nlm.nih.gov/nuccore/CP000304.1?report=graph&amp;tracks=[key:gene_model_track,Options:GeneOnly]&amp;mk=2821459:2821478|offset_0|00cc00,2821422:2821441|offset_37|444444,2821390:2821409|offset_69|444444,2821366:2821385|offset_93|444444&amp;v=2821258:2821585&amp;c=444444", "offset 0")</f>
        <v>offset 0</v>
      </c>
    </row>
    <row r="9983" customFormat="false" ht="12.8" hidden="false" customHeight="false" outlineLevel="0" collapsed="false">
      <c r="A9983" s="0" t="s">
        <v>12</v>
      </c>
      <c r="B9983" s="0" t="n">
        <v>2821421</v>
      </c>
      <c r="C9983" s="0" t="n">
        <v>2821441</v>
      </c>
      <c r="D9983" s="0" t="s">
        <v>33315</v>
      </c>
      <c r="E9983" s="0" t="s">
        <v>89</v>
      </c>
      <c r="F9983" s="0" t="s">
        <v>90</v>
      </c>
      <c r="G9983" s="0" t="s">
        <v>26</v>
      </c>
      <c r="H9983" s="0" t="n">
        <v>37</v>
      </c>
      <c r="I9983" s="0" t="s">
        <v>33319</v>
      </c>
      <c r="J9983" s="0" t="s">
        <v>33320</v>
      </c>
      <c r="K9983" s="0" t="s">
        <v>33321</v>
      </c>
      <c r="L9983" s="0" t="str">
        <f aca="false">HYPERLINK("https://www.ncbi.nlm.nih.gov/nuccore/CP000304.1?report=graph&amp;tracks=[key:gene_model_track,Options:GeneOnly]&amp;mk=2821459:2821478|offset_0|444444,2821422:2821441|offset_37|00cc00,2821390:2821409|offset_69|444444,2821366:2821385|offset_93|444444&amp;v=2821258:2821585&amp;c=444444", "offset 37")</f>
        <v>offset 37</v>
      </c>
    </row>
    <row r="9984" customFormat="false" ht="12.8" hidden="false" customHeight="false" outlineLevel="0" collapsed="false">
      <c r="A9984" s="0" t="s">
        <v>12</v>
      </c>
      <c r="B9984" s="0" t="n">
        <v>2821389</v>
      </c>
      <c r="C9984" s="0" t="n">
        <v>2821409</v>
      </c>
      <c r="D9984" s="0" t="s">
        <v>33315</v>
      </c>
      <c r="E9984" s="0" t="s">
        <v>89</v>
      </c>
      <c r="F9984" s="0" t="s">
        <v>90</v>
      </c>
      <c r="G9984" s="0" t="s">
        <v>26</v>
      </c>
      <c r="H9984" s="0" t="n">
        <v>69</v>
      </c>
      <c r="I9984" s="0" t="s">
        <v>33322</v>
      </c>
      <c r="J9984" s="0" t="s">
        <v>33323</v>
      </c>
      <c r="K9984" s="0" t="s">
        <v>33324</v>
      </c>
      <c r="L9984" s="0" t="str">
        <f aca="false">HYPERLINK("https://www.ncbi.nlm.nih.gov/nuccore/CP000304.1?report=graph&amp;tracks=[key:gene_model_track,Options:GeneOnly]&amp;mk=2821459:2821478|offset_0|444444,2821422:2821441|offset_37|444444,2821390:2821409|offset_69|00cc00,2821366:2821385|offset_93|444444&amp;v=2821258:2821585&amp;c=444444", "offset 69")</f>
        <v>offset 69</v>
      </c>
    </row>
    <row r="9985" customFormat="false" ht="12.8" hidden="false" customHeight="false" outlineLevel="0" collapsed="false">
      <c r="A9985" s="0" t="s">
        <v>12</v>
      </c>
      <c r="B9985" s="0" t="n">
        <v>2821365</v>
      </c>
      <c r="C9985" s="0" t="n">
        <v>2821385</v>
      </c>
      <c r="D9985" s="0" t="s">
        <v>33315</v>
      </c>
      <c r="E9985" s="0" t="s">
        <v>89</v>
      </c>
      <c r="F9985" s="0" t="s">
        <v>90</v>
      </c>
      <c r="G9985" s="0" t="s">
        <v>32</v>
      </c>
      <c r="H9985" s="0" t="n">
        <v>93</v>
      </c>
      <c r="I9985" s="0" t="s">
        <v>33325</v>
      </c>
      <c r="J9985" s="0" t="s">
        <v>33326</v>
      </c>
      <c r="K9985" s="0" t="s">
        <v>33327</v>
      </c>
      <c r="L9985" s="0" t="str">
        <f aca="false">HYPERLINK("https://www.ncbi.nlm.nih.gov/nuccore/CP000304.1?report=graph&amp;tracks=[key:gene_model_track,Options:GeneOnly]&amp;mk=2821459:2821478|offset_0|444444,2821422:2821441|offset_37|444444,2821390:2821409|offset_69|444444,2821366:2821385|offset_93|00cc00&amp;v=2821258:2821585&amp;c=444444", "offset 93")</f>
        <v>offset 93</v>
      </c>
    </row>
    <row r="9986" customFormat="false" ht="12.8" hidden="false" customHeight="false" outlineLevel="0" collapsed="false">
      <c r="A9986" s="0" t="s">
        <v>12</v>
      </c>
      <c r="B9986" s="0" t="n">
        <v>2822918</v>
      </c>
      <c r="C9986" s="0" t="n">
        <v>2822938</v>
      </c>
      <c r="D9986" s="0" t="s">
        <v>33328</v>
      </c>
      <c r="E9986" s="0" t="s">
        <v>89</v>
      </c>
      <c r="F9986" s="0" t="s">
        <v>90</v>
      </c>
      <c r="G9986" s="0" t="s">
        <v>32</v>
      </c>
      <c r="H9986" s="0" t="n">
        <v>7</v>
      </c>
      <c r="I9986" s="0" t="s">
        <v>33329</v>
      </c>
      <c r="J9986" s="0" t="s">
        <v>33330</v>
      </c>
      <c r="K9986" s="0" t="s">
        <v>33331</v>
      </c>
      <c r="L9986" s="0" t="str">
        <f aca="false">HYPERLINK("https://www.ncbi.nlm.nih.gov/nuccore/CP000304.1?report=graph&amp;tracks=[key:gene_model_track,Options:GeneOnly]&amp;mk=2822919:2822938|offset_7|00cc00,2822891:2822910|offset_35|444444,2822870:2822889|offset_56|444444,2822836:2822855|offset_90|444444&amp;v=2822718:2823055&amp;c=444444", "offset 7")</f>
        <v>offset 7</v>
      </c>
    </row>
    <row r="9987" customFormat="false" ht="12.8" hidden="false" customHeight="false" outlineLevel="0" collapsed="false">
      <c r="A9987" s="0" t="s">
        <v>12</v>
      </c>
      <c r="B9987" s="0" t="n">
        <v>2822890</v>
      </c>
      <c r="C9987" s="0" t="n">
        <v>2822910</v>
      </c>
      <c r="D9987" s="0" t="s">
        <v>33328</v>
      </c>
      <c r="E9987" s="0" t="s">
        <v>89</v>
      </c>
      <c r="F9987" s="0" t="s">
        <v>90</v>
      </c>
      <c r="G9987" s="0" t="s">
        <v>32</v>
      </c>
      <c r="H9987" s="0" t="n">
        <v>35</v>
      </c>
      <c r="I9987" s="0" t="s">
        <v>33332</v>
      </c>
      <c r="J9987" s="0" t="s">
        <v>33333</v>
      </c>
      <c r="K9987" s="0" t="s">
        <v>33334</v>
      </c>
      <c r="L9987" s="0" t="str">
        <f aca="false">HYPERLINK("https://www.ncbi.nlm.nih.gov/nuccore/CP000304.1?report=graph&amp;tracks=[key:gene_model_track,Options:GeneOnly]&amp;mk=2822919:2822938|offset_7|444444,2822891:2822910|offset_35|00cc00,2822870:2822889|offset_56|444444,2822836:2822855|offset_90|444444&amp;v=2822718:2823055&amp;c=444444", "offset 35")</f>
        <v>offset 35</v>
      </c>
    </row>
    <row r="9988" customFormat="false" ht="12.8" hidden="false" customHeight="false" outlineLevel="0" collapsed="false">
      <c r="A9988" s="0" t="s">
        <v>12</v>
      </c>
      <c r="B9988" s="0" t="n">
        <v>2822869</v>
      </c>
      <c r="C9988" s="0" t="n">
        <v>2822889</v>
      </c>
      <c r="D9988" s="0" t="s">
        <v>33328</v>
      </c>
      <c r="E9988" s="0" t="s">
        <v>89</v>
      </c>
      <c r="F9988" s="0" t="s">
        <v>90</v>
      </c>
      <c r="G9988" s="0" t="s">
        <v>16</v>
      </c>
      <c r="H9988" s="0" t="n">
        <v>56</v>
      </c>
      <c r="I9988" s="0" t="s">
        <v>33335</v>
      </c>
      <c r="J9988" s="0" t="s">
        <v>33336</v>
      </c>
      <c r="K9988" s="0" t="s">
        <v>33337</v>
      </c>
      <c r="L9988" s="0" t="str">
        <f aca="false">HYPERLINK("https://www.ncbi.nlm.nih.gov/nuccore/CP000304.1?report=graph&amp;tracks=[key:gene_model_track,Options:GeneOnly]&amp;mk=2822919:2822938|offset_7|444444,2822891:2822910|offset_35|444444,2822870:2822889|offset_56|00cc00,2822836:2822855|offset_90|444444&amp;v=2822718:2823055&amp;c=444444", "offset 56")</f>
        <v>offset 56</v>
      </c>
    </row>
    <row r="9989" customFormat="false" ht="12.8" hidden="false" customHeight="false" outlineLevel="0" collapsed="false">
      <c r="A9989" s="0" t="s">
        <v>12</v>
      </c>
      <c r="B9989" s="0" t="n">
        <v>2822835</v>
      </c>
      <c r="C9989" s="0" t="n">
        <v>2822855</v>
      </c>
      <c r="D9989" s="0" t="s">
        <v>33328</v>
      </c>
      <c r="E9989" s="0" t="s">
        <v>89</v>
      </c>
      <c r="F9989" s="0" t="s">
        <v>90</v>
      </c>
      <c r="G9989" s="0" t="s">
        <v>26</v>
      </c>
      <c r="H9989" s="0" t="n">
        <v>90</v>
      </c>
      <c r="I9989" s="0" t="s">
        <v>33338</v>
      </c>
      <c r="J9989" s="0" t="s">
        <v>33339</v>
      </c>
      <c r="K9989" s="0" t="s">
        <v>33340</v>
      </c>
      <c r="L9989" s="0" t="str">
        <f aca="false">HYPERLINK("https://www.ncbi.nlm.nih.gov/nuccore/CP000304.1?report=graph&amp;tracks=[key:gene_model_track,Options:GeneOnly]&amp;mk=2822919:2822938|offset_7|444444,2822891:2822910|offset_35|444444,2822870:2822889|offset_56|444444,2822836:2822855|offset_90|00cc00&amp;v=2822718:2823055&amp;c=444444", "offset 90")</f>
        <v>offset 90</v>
      </c>
    </row>
    <row r="9990" customFormat="false" ht="12.8" hidden="false" customHeight="false" outlineLevel="0" collapsed="false">
      <c r="A9990" s="0" t="s">
        <v>12</v>
      </c>
      <c r="B9990" s="0" t="n">
        <v>2823809</v>
      </c>
      <c r="C9990" s="0" t="n">
        <v>2823829</v>
      </c>
      <c r="D9990" s="0" t="s">
        <v>33341</v>
      </c>
      <c r="E9990" s="0" t="s">
        <v>89</v>
      </c>
      <c r="F9990" s="0" t="s">
        <v>90</v>
      </c>
      <c r="G9990" s="0" t="s">
        <v>26</v>
      </c>
      <c r="H9990" s="0" t="n">
        <v>14</v>
      </c>
      <c r="I9990" s="0" t="s">
        <v>33342</v>
      </c>
      <c r="J9990" s="0" t="s">
        <v>33343</v>
      </c>
      <c r="K9990" s="0" t="s">
        <v>33344</v>
      </c>
      <c r="L9990" s="0" t="str">
        <f aca="false">HYPERLINK("https://www.ncbi.nlm.nih.gov/nuccore/CP000304.1?report=graph&amp;tracks=[key:gene_model_track,Options:GeneOnly]&amp;mk=2823810:2823829|offset_14|00cc00,2823784:2823803|offset_40|444444,2823748:2823767|offset_76|444444,2823689:2823708|offset_135|444444&amp;v=2823609:2823908&amp;c=444444", "offset 14")</f>
        <v>offset 14</v>
      </c>
    </row>
    <row r="9991" customFormat="false" ht="12.8" hidden="false" customHeight="false" outlineLevel="0" collapsed="false">
      <c r="A9991" s="0" t="s">
        <v>12</v>
      </c>
      <c r="B9991" s="0" t="n">
        <v>2823783</v>
      </c>
      <c r="C9991" s="0" t="n">
        <v>2823803</v>
      </c>
      <c r="D9991" s="0" t="s">
        <v>33341</v>
      </c>
      <c r="E9991" s="0" t="s">
        <v>89</v>
      </c>
      <c r="F9991" s="0" t="s">
        <v>90</v>
      </c>
      <c r="G9991" s="0" t="s">
        <v>16</v>
      </c>
      <c r="H9991" s="0" t="n">
        <v>40</v>
      </c>
      <c r="I9991" s="0" t="s">
        <v>33345</v>
      </c>
      <c r="J9991" s="0" t="s">
        <v>33346</v>
      </c>
      <c r="K9991" s="0" t="s">
        <v>33347</v>
      </c>
      <c r="L9991" s="0" t="str">
        <f aca="false">HYPERLINK("https://www.ncbi.nlm.nih.gov/nuccore/CP000304.1?report=graph&amp;tracks=[key:gene_model_track,Options:GeneOnly]&amp;mk=2823810:2823829|offset_14|444444,2823784:2823803|offset_40|00cc00,2823748:2823767|offset_76|444444,2823689:2823708|offset_135|444444&amp;v=2823609:2823908&amp;c=444444", "offset 40")</f>
        <v>offset 40</v>
      </c>
    </row>
    <row r="9992" customFormat="false" ht="12.8" hidden="false" customHeight="false" outlineLevel="0" collapsed="false">
      <c r="A9992" s="0" t="s">
        <v>12</v>
      </c>
      <c r="B9992" s="0" t="n">
        <v>2823747</v>
      </c>
      <c r="C9992" s="0" t="n">
        <v>2823767</v>
      </c>
      <c r="D9992" s="0" t="s">
        <v>33341</v>
      </c>
      <c r="E9992" s="0" t="s">
        <v>89</v>
      </c>
      <c r="F9992" s="0" t="s">
        <v>90</v>
      </c>
      <c r="G9992" s="0" t="s">
        <v>36</v>
      </c>
      <c r="H9992" s="0" t="n">
        <v>76</v>
      </c>
      <c r="I9992" s="0" t="s">
        <v>33348</v>
      </c>
      <c r="J9992" s="0" t="s">
        <v>33349</v>
      </c>
      <c r="K9992" s="0" t="s">
        <v>33350</v>
      </c>
      <c r="L9992" s="0" t="str">
        <f aca="false">HYPERLINK("https://www.ncbi.nlm.nih.gov/nuccore/CP000304.1?report=graph&amp;tracks=[key:gene_model_track,Options:GeneOnly]&amp;mk=2823810:2823829|offset_14|444444,2823784:2823803|offset_40|444444,2823748:2823767|offset_76|00cc00,2823689:2823708|offset_135|444444&amp;v=2823609:2823908&amp;c=444444", "offset 76")</f>
        <v>offset 76</v>
      </c>
    </row>
    <row r="9993" customFormat="false" ht="12.8" hidden="false" customHeight="false" outlineLevel="0" collapsed="false">
      <c r="A9993" s="0" t="s">
        <v>12</v>
      </c>
      <c r="B9993" s="0" t="n">
        <v>2823688</v>
      </c>
      <c r="C9993" s="0" t="n">
        <v>2823708</v>
      </c>
      <c r="D9993" s="0" t="s">
        <v>33341</v>
      </c>
      <c r="E9993" s="0" t="s">
        <v>89</v>
      </c>
      <c r="F9993" s="0" t="s">
        <v>90</v>
      </c>
      <c r="G9993" s="0" t="s">
        <v>16</v>
      </c>
      <c r="H9993" s="0" t="n">
        <v>135</v>
      </c>
      <c r="I9993" s="0" t="s">
        <v>33351</v>
      </c>
      <c r="J9993" s="0" t="s">
        <v>33352</v>
      </c>
      <c r="K9993" s="0" t="s">
        <v>33353</v>
      </c>
      <c r="L9993" s="0" t="str">
        <f aca="false">HYPERLINK("https://www.ncbi.nlm.nih.gov/nuccore/CP000304.1?report=graph&amp;tracks=[key:gene_model_track,Options:GeneOnly]&amp;mk=2823810:2823829|offset_14|444444,2823784:2823803|offset_40|444444,2823748:2823767|offset_76|444444,2823689:2823708|offset_135|00cc00&amp;v=2823609:2823908&amp;c=444444", "offset 135")</f>
        <v>offset 135</v>
      </c>
    </row>
    <row r="9994" customFormat="false" ht="12.8" hidden="false" customHeight="false" outlineLevel="0" collapsed="false">
      <c r="A9994" s="0" t="s">
        <v>12</v>
      </c>
      <c r="B9994" s="0" t="n">
        <v>2824162</v>
      </c>
      <c r="C9994" s="0" t="n">
        <v>2824182</v>
      </c>
      <c r="D9994" s="0" t="s">
        <v>33354</v>
      </c>
      <c r="E9994" s="0" t="s">
        <v>89</v>
      </c>
      <c r="F9994" s="0" t="s">
        <v>90</v>
      </c>
      <c r="G9994" s="0" t="s">
        <v>36</v>
      </c>
      <c r="H9994" s="0" t="n">
        <v>20</v>
      </c>
      <c r="I9994" s="0" t="s">
        <v>33355</v>
      </c>
      <c r="J9994" s="0" t="s">
        <v>33356</v>
      </c>
      <c r="K9994" s="0" t="s">
        <v>33357</v>
      </c>
      <c r="L9994" s="0" t="str">
        <f aca="false">HYPERLINK("https://www.ncbi.nlm.nih.gov/nuccore/CP000304.1?report=graph&amp;tracks=[key:gene_model_track,Options:GeneOnly]&amp;mk=2824163:2824182|offset_20|00cc00,2824131:2824150|offset_52|444444,2824108:2824127|offset_75|444444,2824077:2824096|offset_106|444444&amp;v=2823962:2824296&amp;c=444444", "offset 20")</f>
        <v>offset 20</v>
      </c>
    </row>
    <row r="9995" customFormat="false" ht="12.8" hidden="false" customHeight="false" outlineLevel="0" collapsed="false">
      <c r="A9995" s="0" t="s">
        <v>12</v>
      </c>
      <c r="B9995" s="0" t="n">
        <v>2824130</v>
      </c>
      <c r="C9995" s="0" t="n">
        <v>2824150</v>
      </c>
      <c r="D9995" s="0" t="s">
        <v>33354</v>
      </c>
      <c r="E9995" s="0" t="s">
        <v>89</v>
      </c>
      <c r="F9995" s="0" t="s">
        <v>90</v>
      </c>
      <c r="G9995" s="0" t="s">
        <v>16</v>
      </c>
      <c r="H9995" s="0" t="n">
        <v>52</v>
      </c>
      <c r="I9995" s="0" t="s">
        <v>33358</v>
      </c>
      <c r="J9995" s="0" t="s">
        <v>33359</v>
      </c>
      <c r="K9995" s="0" t="s">
        <v>33360</v>
      </c>
      <c r="L9995" s="0" t="str">
        <f aca="false">HYPERLINK("https://www.ncbi.nlm.nih.gov/nuccore/CP000304.1?report=graph&amp;tracks=[key:gene_model_track,Options:GeneOnly]&amp;mk=2824163:2824182|offset_20|444444,2824131:2824150|offset_52|00cc00,2824108:2824127|offset_75|444444,2824077:2824096|offset_106|444444&amp;v=2823962:2824296&amp;c=444444", "offset 52")</f>
        <v>offset 52</v>
      </c>
    </row>
    <row r="9996" customFormat="false" ht="12.8" hidden="false" customHeight="false" outlineLevel="0" collapsed="false">
      <c r="A9996" s="0" t="s">
        <v>12</v>
      </c>
      <c r="B9996" s="0" t="n">
        <v>2824107</v>
      </c>
      <c r="C9996" s="0" t="n">
        <v>2824127</v>
      </c>
      <c r="D9996" s="0" t="s">
        <v>33354</v>
      </c>
      <c r="E9996" s="0" t="s">
        <v>89</v>
      </c>
      <c r="F9996" s="0" t="s">
        <v>90</v>
      </c>
      <c r="G9996" s="0" t="s">
        <v>16</v>
      </c>
      <c r="H9996" s="0" t="n">
        <v>75</v>
      </c>
      <c r="I9996" s="0" t="s">
        <v>33361</v>
      </c>
      <c r="J9996" s="0" t="s">
        <v>33362</v>
      </c>
      <c r="K9996" s="0" t="s">
        <v>33363</v>
      </c>
      <c r="L9996" s="0" t="str">
        <f aca="false">HYPERLINK("https://www.ncbi.nlm.nih.gov/nuccore/CP000304.1?report=graph&amp;tracks=[key:gene_model_track,Options:GeneOnly]&amp;mk=2824163:2824182|offset_20|444444,2824131:2824150|offset_52|444444,2824108:2824127|offset_75|00cc00,2824077:2824096|offset_106|444444&amp;v=2823962:2824296&amp;c=444444", "offset 75")</f>
        <v>offset 75</v>
      </c>
    </row>
    <row r="9997" customFormat="false" ht="12.8" hidden="false" customHeight="false" outlineLevel="0" collapsed="false">
      <c r="A9997" s="0" t="s">
        <v>12</v>
      </c>
      <c r="B9997" s="0" t="n">
        <v>2824076</v>
      </c>
      <c r="C9997" s="0" t="n">
        <v>2824096</v>
      </c>
      <c r="D9997" s="0" t="s">
        <v>33354</v>
      </c>
      <c r="E9997" s="0" t="s">
        <v>89</v>
      </c>
      <c r="F9997" s="0" t="s">
        <v>90</v>
      </c>
      <c r="G9997" s="0" t="s">
        <v>16</v>
      </c>
      <c r="H9997" s="0" t="n">
        <v>106</v>
      </c>
      <c r="I9997" s="0" t="s">
        <v>33364</v>
      </c>
      <c r="J9997" s="0" t="s">
        <v>33365</v>
      </c>
      <c r="K9997" s="0" t="s">
        <v>33366</v>
      </c>
      <c r="L9997" s="0" t="str">
        <f aca="false">HYPERLINK("https://www.ncbi.nlm.nih.gov/nuccore/CP000304.1?report=graph&amp;tracks=[key:gene_model_track,Options:GeneOnly]&amp;mk=2824163:2824182|offset_20|444444,2824131:2824150|offset_52|444444,2824108:2824127|offset_75|444444,2824077:2824096|offset_106|00cc00&amp;v=2823962:2824296&amp;c=444444", "offset 106")</f>
        <v>offset 106</v>
      </c>
    </row>
    <row r="9998" customFormat="false" ht="12.8" hidden="false" customHeight="false" outlineLevel="0" collapsed="false">
      <c r="A9998" s="0" t="s">
        <v>12</v>
      </c>
      <c r="B9998" s="0" t="n">
        <v>2825040</v>
      </c>
      <c r="C9998" s="0" t="n">
        <v>2825060</v>
      </c>
      <c r="D9998" s="0" t="s">
        <v>33367</v>
      </c>
      <c r="E9998" s="0" t="s">
        <v>89</v>
      </c>
      <c r="F9998" s="0" t="s">
        <v>90</v>
      </c>
      <c r="G9998" s="0" t="s">
        <v>36</v>
      </c>
      <c r="H9998" s="0" t="n">
        <v>53</v>
      </c>
      <c r="I9998" s="0" t="s">
        <v>33368</v>
      </c>
      <c r="J9998" s="0" t="s">
        <v>33369</v>
      </c>
      <c r="K9998" s="0" t="s">
        <v>33370</v>
      </c>
      <c r="L9998" s="0" t="str">
        <f aca="false">HYPERLINK("https://www.ncbi.nlm.nih.gov/nuccore/CP000304.1?report=graph&amp;tracks=[key:gene_model_track,Options:GeneOnly]&amp;mk=2825041:2825060|offset_53|00cc00,2825003:2825022|offset_91|444444,2824970:2824989|offset_124|444444,2824943:2824962|offset_151|444444&amp;v=2824840:2825162&amp;c=444444", "offset 53")</f>
        <v>offset 53</v>
      </c>
    </row>
    <row r="9999" customFormat="false" ht="12.8" hidden="false" customHeight="false" outlineLevel="0" collapsed="false">
      <c r="A9999" s="0" t="s">
        <v>12</v>
      </c>
      <c r="B9999" s="0" t="n">
        <v>2825002</v>
      </c>
      <c r="C9999" s="0" t="n">
        <v>2825022</v>
      </c>
      <c r="D9999" s="0" t="s">
        <v>33367</v>
      </c>
      <c r="E9999" s="0" t="s">
        <v>89</v>
      </c>
      <c r="F9999" s="0" t="s">
        <v>90</v>
      </c>
      <c r="G9999" s="0" t="s">
        <v>26</v>
      </c>
      <c r="H9999" s="0" t="n">
        <v>91</v>
      </c>
      <c r="I9999" s="0" t="s">
        <v>33371</v>
      </c>
      <c r="J9999" s="0" t="s">
        <v>33372</v>
      </c>
      <c r="K9999" s="0" t="s">
        <v>33373</v>
      </c>
      <c r="L9999" s="0" t="str">
        <f aca="false">HYPERLINK("https://www.ncbi.nlm.nih.gov/nuccore/CP000304.1?report=graph&amp;tracks=[key:gene_model_track,Options:GeneOnly]&amp;mk=2825041:2825060|offset_53|444444,2825003:2825022|offset_91|00cc00,2824970:2824989|offset_124|444444,2824943:2824962|offset_151|444444&amp;v=2824840:2825162&amp;c=444444", "offset 91")</f>
        <v>offset 91</v>
      </c>
    </row>
    <row r="10000" customFormat="false" ht="12.8" hidden="false" customHeight="false" outlineLevel="0" collapsed="false">
      <c r="A10000" s="0" t="s">
        <v>12</v>
      </c>
      <c r="B10000" s="0" t="n">
        <v>2824969</v>
      </c>
      <c r="C10000" s="0" t="n">
        <v>2824989</v>
      </c>
      <c r="D10000" s="0" t="s">
        <v>33367</v>
      </c>
      <c r="E10000" s="0" t="s">
        <v>89</v>
      </c>
      <c r="F10000" s="0" t="s">
        <v>90</v>
      </c>
      <c r="G10000" s="0" t="s">
        <v>36</v>
      </c>
      <c r="H10000" s="0" t="n">
        <v>124</v>
      </c>
      <c r="I10000" s="0" t="s">
        <v>33374</v>
      </c>
      <c r="J10000" s="0" t="s">
        <v>33375</v>
      </c>
      <c r="K10000" s="0" t="s">
        <v>33376</v>
      </c>
      <c r="L10000" s="0" t="str">
        <f aca="false">HYPERLINK("https://www.ncbi.nlm.nih.gov/nuccore/CP000304.1?report=graph&amp;tracks=[key:gene_model_track,Options:GeneOnly]&amp;mk=2825041:2825060|offset_53|444444,2825003:2825022|offset_91|444444,2824970:2824989|offset_124|00cc00,2824943:2824962|offset_151|444444&amp;v=2824840:2825162&amp;c=444444", "offset 124")</f>
        <v>offset 124</v>
      </c>
    </row>
    <row r="10001" customFormat="false" ht="12.8" hidden="false" customHeight="false" outlineLevel="0" collapsed="false">
      <c r="A10001" s="0" t="s">
        <v>12</v>
      </c>
      <c r="B10001" s="0" t="n">
        <v>2824942</v>
      </c>
      <c r="C10001" s="0" t="n">
        <v>2824962</v>
      </c>
      <c r="D10001" s="0" t="s">
        <v>33367</v>
      </c>
      <c r="E10001" s="0" t="s">
        <v>89</v>
      </c>
      <c r="F10001" s="0" t="s">
        <v>90</v>
      </c>
      <c r="G10001" s="0" t="s">
        <v>16</v>
      </c>
      <c r="H10001" s="0" t="n">
        <v>151</v>
      </c>
      <c r="I10001" s="0" t="s">
        <v>33377</v>
      </c>
      <c r="J10001" s="0" t="s">
        <v>33378</v>
      </c>
      <c r="K10001" s="0" t="s">
        <v>33379</v>
      </c>
      <c r="L10001" s="0" t="str">
        <f aca="false">HYPERLINK("https://www.ncbi.nlm.nih.gov/nuccore/CP000304.1?report=graph&amp;tracks=[key:gene_model_track,Options:GeneOnly]&amp;mk=2825041:2825060|offset_53|444444,2825003:2825022|offset_91|444444,2824970:2824989|offset_124|444444,2824943:2824962|offset_151|00cc00&amp;v=2824840:2825162&amp;c=444444", "offset 151")</f>
        <v>offset 151</v>
      </c>
    </row>
    <row r="10002" customFormat="false" ht="12.8" hidden="false" customHeight="false" outlineLevel="0" collapsed="false">
      <c r="A10002" s="0" t="s">
        <v>12</v>
      </c>
      <c r="B10002" s="0" t="n">
        <v>2825123</v>
      </c>
      <c r="C10002" s="0" t="n">
        <v>2825143</v>
      </c>
      <c r="D10002" s="0" t="s">
        <v>33380</v>
      </c>
      <c r="E10002" s="0" t="s">
        <v>89</v>
      </c>
      <c r="F10002" s="0" t="s">
        <v>15</v>
      </c>
      <c r="G10002" s="0" t="s">
        <v>36</v>
      </c>
      <c r="H10002" s="0" t="n">
        <v>61</v>
      </c>
      <c r="I10002" s="0" t="s">
        <v>33381</v>
      </c>
      <c r="J10002" s="0" t="s">
        <v>33382</v>
      </c>
      <c r="K10002" s="0" t="s">
        <v>33383</v>
      </c>
      <c r="L10002" s="0" t="str">
        <f aca="false">HYPERLINK("https://www.ncbi.nlm.nih.gov/nuccore/CP000304.1?report=graph&amp;tracks=[key:gene_model_track,Options:GeneOnly]&amp;mk=2825124:2825143|offset_61|00cc00,2826768:2826787|offset_1705|444444,2826793:2826812|offset_1730|444444&amp;v=2824923:2827012&amp;c=444444", "offset 61")</f>
        <v>offset 61</v>
      </c>
    </row>
    <row r="10003" customFormat="false" ht="12.8" hidden="false" customHeight="false" outlineLevel="0" collapsed="false">
      <c r="A10003" s="0" t="s">
        <v>12</v>
      </c>
      <c r="B10003" s="0" t="n">
        <v>2826767</v>
      </c>
      <c r="C10003" s="0" t="n">
        <v>2826787</v>
      </c>
      <c r="D10003" s="0" t="s">
        <v>33380</v>
      </c>
      <c r="E10003" s="0" t="s">
        <v>89</v>
      </c>
      <c r="F10003" s="0" t="s">
        <v>15</v>
      </c>
      <c r="G10003" s="0" t="s">
        <v>16</v>
      </c>
      <c r="H10003" s="0" t="n">
        <v>1705</v>
      </c>
      <c r="I10003" s="0" t="s">
        <v>33384</v>
      </c>
      <c r="J10003" s="0" t="s">
        <v>33385</v>
      </c>
      <c r="K10003" s="0" t="s">
        <v>33386</v>
      </c>
      <c r="L10003" s="0" t="str">
        <f aca="false">HYPERLINK("https://www.ncbi.nlm.nih.gov/nuccore/CP000304.1?report=graph&amp;tracks=[key:gene_model_track,Options:GeneOnly]&amp;mk=2825124:2825143|offset_61|444444,2826768:2826787|offset_1705|00cc00,2826793:2826812|offset_1730|444444&amp;v=2824923:2827012&amp;c=444444", "offset 1705")</f>
        <v>offset 1705</v>
      </c>
    </row>
    <row r="10004" customFormat="false" ht="12.8" hidden="false" customHeight="false" outlineLevel="0" collapsed="false">
      <c r="A10004" s="0" t="s">
        <v>12</v>
      </c>
      <c r="B10004" s="0" t="n">
        <v>2826792</v>
      </c>
      <c r="C10004" s="0" t="n">
        <v>2826812</v>
      </c>
      <c r="D10004" s="0" t="s">
        <v>33380</v>
      </c>
      <c r="E10004" s="0" t="s">
        <v>89</v>
      </c>
      <c r="F10004" s="0" t="s">
        <v>15</v>
      </c>
      <c r="G10004" s="0" t="s">
        <v>26</v>
      </c>
      <c r="H10004" s="0" t="n">
        <v>1730</v>
      </c>
      <c r="I10004" s="0" t="s">
        <v>33387</v>
      </c>
      <c r="J10004" s="0" t="s">
        <v>33388</v>
      </c>
      <c r="K10004" s="0" t="s">
        <v>33389</v>
      </c>
      <c r="L10004" s="0" t="str">
        <f aca="false">HYPERLINK("https://www.ncbi.nlm.nih.gov/nuccore/CP000304.1?report=graph&amp;tracks=[key:gene_model_track,Options:GeneOnly]&amp;mk=2825124:2825143|offset_61|444444,2826768:2826787|offset_1705|444444,2826793:2826812|offset_1730|00cc00&amp;v=2824923:2827012&amp;c=444444", "offset 1730")</f>
        <v>offset 1730</v>
      </c>
    </row>
    <row r="10005" customFormat="false" ht="12.8" hidden="false" customHeight="false" outlineLevel="0" collapsed="false">
      <c r="A10005" s="0" t="s">
        <v>12</v>
      </c>
      <c r="B10005" s="0" t="n">
        <v>2827006</v>
      </c>
      <c r="C10005" s="0" t="n">
        <v>2827026</v>
      </c>
      <c r="D10005" s="0" t="s">
        <v>33390</v>
      </c>
      <c r="E10005" s="0" t="s">
        <v>89</v>
      </c>
      <c r="F10005" s="0" t="s">
        <v>90</v>
      </c>
      <c r="G10005" s="0" t="s">
        <v>26</v>
      </c>
      <c r="H10005" s="0" t="n">
        <v>23</v>
      </c>
      <c r="I10005" s="0" t="s">
        <v>33391</v>
      </c>
      <c r="J10005" s="0" t="s">
        <v>33392</v>
      </c>
      <c r="K10005" s="0" t="s">
        <v>33393</v>
      </c>
      <c r="L10005" s="0" t="str">
        <f aca="false">HYPERLINK("https://www.ncbi.nlm.nih.gov/nuccore/CP000304.1?report=graph&amp;tracks=[key:gene_model_track,Options:GeneOnly]&amp;mk=2827007:2827026|offset_23|00cc00,2826954:2826973|offset_76|444444,2826910:2826929|offset_120|444444,2826885:2826904|offset_145|444444&amp;v=2826806:2827104&amp;c=444444", "offset 23")</f>
        <v>offset 23</v>
      </c>
    </row>
    <row r="10006" customFormat="false" ht="12.8" hidden="false" customHeight="false" outlineLevel="0" collapsed="false">
      <c r="A10006" s="0" t="s">
        <v>12</v>
      </c>
      <c r="B10006" s="0" t="n">
        <v>2826953</v>
      </c>
      <c r="C10006" s="0" t="n">
        <v>2826973</v>
      </c>
      <c r="D10006" s="0" t="s">
        <v>33390</v>
      </c>
      <c r="E10006" s="0" t="s">
        <v>89</v>
      </c>
      <c r="F10006" s="0" t="s">
        <v>90</v>
      </c>
      <c r="G10006" s="0" t="s">
        <v>36</v>
      </c>
      <c r="H10006" s="0" t="n">
        <v>76</v>
      </c>
      <c r="I10006" s="0" t="s">
        <v>33394</v>
      </c>
      <c r="J10006" s="0" t="s">
        <v>33395</v>
      </c>
      <c r="K10006" s="0" t="s">
        <v>33396</v>
      </c>
      <c r="L10006" s="0" t="str">
        <f aca="false">HYPERLINK("https://www.ncbi.nlm.nih.gov/nuccore/CP000304.1?report=graph&amp;tracks=[key:gene_model_track,Options:GeneOnly]&amp;mk=2827007:2827026|offset_23|444444,2826954:2826973|offset_76|00cc00,2826910:2826929|offset_120|444444,2826885:2826904|offset_145|444444&amp;v=2826806:2827104&amp;c=444444", "offset 76")</f>
        <v>offset 76</v>
      </c>
    </row>
    <row r="10007" customFormat="false" ht="12.8" hidden="false" customHeight="false" outlineLevel="0" collapsed="false">
      <c r="A10007" s="0" t="s">
        <v>12</v>
      </c>
      <c r="B10007" s="0" t="n">
        <v>2826909</v>
      </c>
      <c r="C10007" s="0" t="n">
        <v>2826929</v>
      </c>
      <c r="D10007" s="0" t="s">
        <v>33390</v>
      </c>
      <c r="E10007" s="0" t="s">
        <v>89</v>
      </c>
      <c r="F10007" s="0" t="s">
        <v>90</v>
      </c>
      <c r="G10007" s="0" t="s">
        <v>16</v>
      </c>
      <c r="H10007" s="0" t="n">
        <v>120</v>
      </c>
      <c r="I10007" s="0" t="s">
        <v>33397</v>
      </c>
      <c r="J10007" s="0" t="s">
        <v>33398</v>
      </c>
      <c r="K10007" s="0" t="s">
        <v>33399</v>
      </c>
      <c r="L10007" s="0" t="str">
        <f aca="false">HYPERLINK("https://www.ncbi.nlm.nih.gov/nuccore/CP000304.1?report=graph&amp;tracks=[key:gene_model_track,Options:GeneOnly]&amp;mk=2827007:2827026|offset_23|444444,2826954:2826973|offset_76|444444,2826910:2826929|offset_120|00cc00,2826885:2826904|offset_145|444444&amp;v=2826806:2827104&amp;c=444444", "offset 120")</f>
        <v>offset 120</v>
      </c>
    </row>
    <row r="10008" customFormat="false" ht="12.8" hidden="false" customHeight="false" outlineLevel="0" collapsed="false">
      <c r="A10008" s="0" t="s">
        <v>12</v>
      </c>
      <c r="B10008" s="0" t="n">
        <v>2826884</v>
      </c>
      <c r="C10008" s="0" t="n">
        <v>2826904</v>
      </c>
      <c r="D10008" s="0" t="s">
        <v>33390</v>
      </c>
      <c r="E10008" s="0" t="s">
        <v>89</v>
      </c>
      <c r="F10008" s="0" t="s">
        <v>90</v>
      </c>
      <c r="G10008" s="0" t="s">
        <v>36</v>
      </c>
      <c r="H10008" s="0" t="n">
        <v>145</v>
      </c>
      <c r="I10008" s="0" t="s">
        <v>33400</v>
      </c>
      <c r="J10008" s="0" t="s">
        <v>33401</v>
      </c>
      <c r="K10008" s="0" t="s">
        <v>33402</v>
      </c>
      <c r="L10008" s="0" t="str">
        <f aca="false">HYPERLINK("https://www.ncbi.nlm.nih.gov/nuccore/CP000304.1?report=graph&amp;tracks=[key:gene_model_track,Options:GeneOnly]&amp;mk=2827007:2827026|offset_23|444444,2826954:2826973|offset_76|444444,2826910:2826929|offset_120|444444,2826885:2826904|offset_145|00cc00&amp;v=2826806:2827104&amp;c=444444", "offset 145")</f>
        <v>offset 145</v>
      </c>
    </row>
    <row r="10009" customFormat="false" ht="12.8" hidden="false" customHeight="false" outlineLevel="0" collapsed="false">
      <c r="A10009" s="0" t="s">
        <v>12</v>
      </c>
      <c r="B10009" s="0" t="n">
        <v>2827215</v>
      </c>
      <c r="C10009" s="0" t="n">
        <v>2827235</v>
      </c>
      <c r="D10009" s="0" t="s">
        <v>33403</v>
      </c>
      <c r="E10009" s="0" t="s">
        <v>89</v>
      </c>
      <c r="F10009" s="0" t="s">
        <v>15</v>
      </c>
      <c r="G10009" s="0" t="s">
        <v>16</v>
      </c>
      <c r="H10009" s="0" t="n">
        <v>46</v>
      </c>
      <c r="I10009" s="0" t="s">
        <v>33404</v>
      </c>
      <c r="J10009" s="0" t="s">
        <v>33405</v>
      </c>
      <c r="K10009" s="0" t="s">
        <v>33406</v>
      </c>
      <c r="L10009" s="0" t="str">
        <f aca="false">HYPERLINK("https://www.ncbi.nlm.nih.gov/nuccore/CP000304.1?report=graph&amp;tracks=[key:gene_model_track,Options:GeneOnly]&amp;mk=2827216:2827235|offset_46|00cc00,2827240:2827259|offset_70|444444,2827261:2827280|offset_91|444444,2827309:2827328|offset_139|444444&amp;v=2827015:2827528&amp;c=444444", "offset 46")</f>
        <v>offset 46</v>
      </c>
    </row>
    <row r="10010" customFormat="false" ht="12.8" hidden="false" customHeight="false" outlineLevel="0" collapsed="false">
      <c r="A10010" s="0" t="s">
        <v>12</v>
      </c>
      <c r="B10010" s="0" t="n">
        <v>2827239</v>
      </c>
      <c r="C10010" s="0" t="n">
        <v>2827259</v>
      </c>
      <c r="D10010" s="0" t="s">
        <v>33403</v>
      </c>
      <c r="E10010" s="0" t="s">
        <v>89</v>
      </c>
      <c r="F10010" s="0" t="s">
        <v>15</v>
      </c>
      <c r="G10010" s="0" t="s">
        <v>26</v>
      </c>
      <c r="H10010" s="0" t="n">
        <v>70</v>
      </c>
      <c r="I10010" s="0" t="s">
        <v>33407</v>
      </c>
      <c r="J10010" s="0" t="s">
        <v>33408</v>
      </c>
      <c r="K10010" s="0" t="s">
        <v>33409</v>
      </c>
      <c r="L10010" s="0" t="str">
        <f aca="false">HYPERLINK("https://www.ncbi.nlm.nih.gov/nuccore/CP000304.1?report=graph&amp;tracks=[key:gene_model_track,Options:GeneOnly]&amp;mk=2827216:2827235|offset_46|444444,2827240:2827259|offset_70|00cc00,2827261:2827280|offset_91|444444,2827309:2827328|offset_139|444444&amp;v=2827015:2827528&amp;c=444444", "offset 70")</f>
        <v>offset 70</v>
      </c>
    </row>
    <row r="10011" customFormat="false" ht="12.8" hidden="false" customHeight="false" outlineLevel="0" collapsed="false">
      <c r="A10011" s="0" t="s">
        <v>12</v>
      </c>
      <c r="B10011" s="0" t="n">
        <v>2827260</v>
      </c>
      <c r="C10011" s="0" t="n">
        <v>2827280</v>
      </c>
      <c r="D10011" s="0" t="s">
        <v>33403</v>
      </c>
      <c r="E10011" s="0" t="s">
        <v>89</v>
      </c>
      <c r="F10011" s="0" t="s">
        <v>15</v>
      </c>
      <c r="G10011" s="0" t="s">
        <v>16</v>
      </c>
      <c r="H10011" s="0" t="n">
        <v>91</v>
      </c>
      <c r="I10011" s="0" t="s">
        <v>33410</v>
      </c>
      <c r="J10011" s="0" t="s">
        <v>33411</v>
      </c>
      <c r="K10011" s="0" t="s">
        <v>33412</v>
      </c>
      <c r="L10011" s="0" t="str">
        <f aca="false">HYPERLINK("https://www.ncbi.nlm.nih.gov/nuccore/CP000304.1?report=graph&amp;tracks=[key:gene_model_track,Options:GeneOnly]&amp;mk=2827216:2827235|offset_46|444444,2827240:2827259|offset_70|444444,2827261:2827280|offset_91|00cc00,2827309:2827328|offset_139|444444&amp;v=2827015:2827528&amp;c=444444", "offset 91")</f>
        <v>offset 91</v>
      </c>
    </row>
    <row r="10012" customFormat="false" ht="12.8" hidden="false" customHeight="false" outlineLevel="0" collapsed="false">
      <c r="A10012" s="0" t="s">
        <v>12</v>
      </c>
      <c r="B10012" s="0" t="n">
        <v>2827308</v>
      </c>
      <c r="C10012" s="0" t="n">
        <v>2827328</v>
      </c>
      <c r="D10012" s="0" t="s">
        <v>33403</v>
      </c>
      <c r="E10012" s="0" t="s">
        <v>89</v>
      </c>
      <c r="F10012" s="0" t="s">
        <v>15</v>
      </c>
      <c r="G10012" s="0" t="s">
        <v>16</v>
      </c>
      <c r="H10012" s="0" t="n">
        <v>139</v>
      </c>
      <c r="I10012" s="0" t="s">
        <v>33413</v>
      </c>
      <c r="J10012" s="0" t="s">
        <v>33414</v>
      </c>
      <c r="K10012" s="0" t="s">
        <v>33415</v>
      </c>
      <c r="L10012" s="0" t="str">
        <f aca="false">HYPERLINK("https://www.ncbi.nlm.nih.gov/nuccore/CP000304.1?report=graph&amp;tracks=[key:gene_model_track,Options:GeneOnly]&amp;mk=2827216:2827235|offset_46|444444,2827240:2827259|offset_70|444444,2827261:2827280|offset_91|444444,2827309:2827328|offset_139|00cc00&amp;v=2827015:2827528&amp;c=444444", "offset 139")</f>
        <v>offset 139</v>
      </c>
    </row>
    <row r="10013" customFormat="false" ht="12.8" hidden="false" customHeight="false" outlineLevel="0" collapsed="false">
      <c r="A10013" s="0" t="s">
        <v>12</v>
      </c>
      <c r="B10013" s="0" t="n">
        <v>2829396</v>
      </c>
      <c r="C10013" s="0" t="n">
        <v>2829416</v>
      </c>
      <c r="D10013" s="0" t="s">
        <v>33416</v>
      </c>
      <c r="E10013" s="0" t="s">
        <v>89</v>
      </c>
      <c r="F10013" s="0" t="s">
        <v>90</v>
      </c>
      <c r="G10013" s="0" t="s">
        <v>36</v>
      </c>
      <c r="H10013" s="0" t="n">
        <v>37</v>
      </c>
      <c r="I10013" s="0" t="s">
        <v>33417</v>
      </c>
      <c r="J10013" s="0" t="s">
        <v>33418</v>
      </c>
      <c r="K10013" s="0" t="s">
        <v>33419</v>
      </c>
      <c r="L10013" s="0" t="str">
        <f aca="false">HYPERLINK("https://www.ncbi.nlm.nih.gov/nuccore/CP000304.1?report=graph&amp;tracks=[key:gene_model_track,Options:GeneOnly]&amp;mk=2829397:2829416|offset_37|00cc00,2829365:2829384|offset_69|444444,2829345:2829364|offset_89|444444,2829298:2829317|offset_136|444444&amp;v=2829196:2829517&amp;c=444444", "offset 37")</f>
        <v>offset 37</v>
      </c>
    </row>
    <row r="10014" customFormat="false" ht="12.8" hidden="false" customHeight="false" outlineLevel="0" collapsed="false">
      <c r="A10014" s="0" t="s">
        <v>12</v>
      </c>
      <c r="B10014" s="0" t="n">
        <v>2829364</v>
      </c>
      <c r="C10014" s="0" t="n">
        <v>2829384</v>
      </c>
      <c r="D10014" s="0" t="s">
        <v>33416</v>
      </c>
      <c r="E10014" s="0" t="s">
        <v>89</v>
      </c>
      <c r="F10014" s="0" t="s">
        <v>90</v>
      </c>
      <c r="G10014" s="0" t="s">
        <v>16</v>
      </c>
      <c r="H10014" s="0" t="n">
        <v>69</v>
      </c>
      <c r="I10014" s="0" t="s">
        <v>33420</v>
      </c>
      <c r="J10014" s="0" t="s">
        <v>33421</v>
      </c>
      <c r="K10014" s="0" t="s">
        <v>33422</v>
      </c>
      <c r="L10014" s="0" t="str">
        <f aca="false">HYPERLINK("https://www.ncbi.nlm.nih.gov/nuccore/CP000304.1?report=graph&amp;tracks=[key:gene_model_track,Options:GeneOnly]&amp;mk=2829397:2829416|offset_37|444444,2829365:2829384|offset_69|00cc00,2829345:2829364|offset_89|444444,2829298:2829317|offset_136|444444&amp;v=2829196:2829517&amp;c=444444", "offset 69")</f>
        <v>offset 69</v>
      </c>
    </row>
    <row r="10015" customFormat="false" ht="12.8" hidden="false" customHeight="false" outlineLevel="0" collapsed="false">
      <c r="A10015" s="0" t="s">
        <v>12</v>
      </c>
      <c r="B10015" s="0" t="n">
        <v>2829344</v>
      </c>
      <c r="C10015" s="0" t="n">
        <v>2829364</v>
      </c>
      <c r="D10015" s="0" t="s">
        <v>33416</v>
      </c>
      <c r="E10015" s="0" t="s">
        <v>89</v>
      </c>
      <c r="F10015" s="0" t="s">
        <v>90</v>
      </c>
      <c r="G10015" s="0" t="s">
        <v>36</v>
      </c>
      <c r="H10015" s="0" t="n">
        <v>89</v>
      </c>
      <c r="I10015" s="0" t="s">
        <v>33423</v>
      </c>
      <c r="J10015" s="0" t="s">
        <v>33424</v>
      </c>
      <c r="K10015" s="0" t="s">
        <v>33425</v>
      </c>
      <c r="L10015" s="0" t="str">
        <f aca="false">HYPERLINK("https://www.ncbi.nlm.nih.gov/nuccore/CP000304.1?report=graph&amp;tracks=[key:gene_model_track,Options:GeneOnly]&amp;mk=2829397:2829416|offset_37|444444,2829365:2829384|offset_69|444444,2829345:2829364|offset_89|00cc00,2829298:2829317|offset_136|444444&amp;v=2829196:2829517&amp;c=444444", "offset 89")</f>
        <v>offset 89</v>
      </c>
    </row>
    <row r="10016" customFormat="false" ht="12.8" hidden="false" customHeight="false" outlineLevel="0" collapsed="false">
      <c r="A10016" s="0" t="s">
        <v>12</v>
      </c>
      <c r="B10016" s="0" t="n">
        <v>2829297</v>
      </c>
      <c r="C10016" s="0" t="n">
        <v>2829317</v>
      </c>
      <c r="D10016" s="0" t="s">
        <v>33416</v>
      </c>
      <c r="E10016" s="0" t="s">
        <v>89</v>
      </c>
      <c r="F10016" s="0" t="s">
        <v>90</v>
      </c>
      <c r="G10016" s="0" t="s">
        <v>26</v>
      </c>
      <c r="H10016" s="0" t="n">
        <v>136</v>
      </c>
      <c r="I10016" s="0" t="s">
        <v>33426</v>
      </c>
      <c r="J10016" s="0" t="s">
        <v>33427</v>
      </c>
      <c r="K10016" s="0" t="s">
        <v>33428</v>
      </c>
      <c r="L10016" s="0" t="str">
        <f aca="false">HYPERLINK("https://www.ncbi.nlm.nih.gov/nuccore/CP000304.1?report=graph&amp;tracks=[key:gene_model_track,Options:GeneOnly]&amp;mk=2829397:2829416|offset_37|444444,2829365:2829384|offset_69|444444,2829345:2829364|offset_89|444444,2829298:2829317|offset_136|00cc00&amp;v=2829196:2829517&amp;c=444444", "offset 136")</f>
        <v>offset 136</v>
      </c>
    </row>
    <row r="10017" customFormat="false" ht="12.8" hidden="false" customHeight="false" outlineLevel="0" collapsed="false">
      <c r="A10017" s="0" t="s">
        <v>12</v>
      </c>
      <c r="B10017" s="0" t="n">
        <v>2830177</v>
      </c>
      <c r="C10017" s="0" t="n">
        <v>2830197</v>
      </c>
      <c r="D10017" s="0" t="s">
        <v>33429</v>
      </c>
      <c r="E10017" s="0" t="s">
        <v>89</v>
      </c>
      <c r="F10017" s="0" t="s">
        <v>90</v>
      </c>
      <c r="G10017" s="0" t="s">
        <v>32</v>
      </c>
      <c r="H10017" s="0" t="n">
        <v>68</v>
      </c>
      <c r="I10017" s="0" t="s">
        <v>33430</v>
      </c>
      <c r="J10017" s="0" t="s">
        <v>33431</v>
      </c>
      <c r="K10017" s="0" t="s">
        <v>33432</v>
      </c>
      <c r="L10017" s="0" t="str">
        <f aca="false">HYPERLINK("https://www.ncbi.nlm.nih.gov/nuccore/CP000304.1?report=graph&amp;tracks=[key:gene_model_track,Options:GeneOnly]&amp;mk=2830178:2830197|offset_68|00cc00,2830130:2830149|offset_116|444444,2830095:2830114|offset_151|444444,2830072:2830091|offset_174|444444&amp;v=2829977:2830291&amp;c=444444", "offset 68")</f>
        <v>offset 68</v>
      </c>
    </row>
    <row r="10018" customFormat="false" ht="12.8" hidden="false" customHeight="false" outlineLevel="0" collapsed="false">
      <c r="A10018" s="0" t="s">
        <v>12</v>
      </c>
      <c r="B10018" s="0" t="n">
        <v>2830129</v>
      </c>
      <c r="C10018" s="0" t="n">
        <v>2830149</v>
      </c>
      <c r="D10018" s="0" t="s">
        <v>33429</v>
      </c>
      <c r="E10018" s="0" t="s">
        <v>89</v>
      </c>
      <c r="F10018" s="0" t="s">
        <v>90</v>
      </c>
      <c r="G10018" s="0" t="s">
        <v>16</v>
      </c>
      <c r="H10018" s="0" t="n">
        <v>116</v>
      </c>
      <c r="I10018" s="0" t="s">
        <v>33433</v>
      </c>
      <c r="J10018" s="0" t="s">
        <v>33434</v>
      </c>
      <c r="K10018" s="0" t="s">
        <v>33435</v>
      </c>
      <c r="L10018" s="0" t="str">
        <f aca="false">HYPERLINK("https://www.ncbi.nlm.nih.gov/nuccore/CP000304.1?report=graph&amp;tracks=[key:gene_model_track,Options:GeneOnly]&amp;mk=2830178:2830197|offset_68|444444,2830130:2830149|offset_116|00cc00,2830095:2830114|offset_151|444444,2830072:2830091|offset_174|444444&amp;v=2829977:2830291&amp;c=444444", "offset 116")</f>
        <v>offset 116</v>
      </c>
    </row>
    <row r="10019" customFormat="false" ht="12.8" hidden="false" customHeight="false" outlineLevel="0" collapsed="false">
      <c r="A10019" s="0" t="s">
        <v>12</v>
      </c>
      <c r="B10019" s="0" t="n">
        <v>2830094</v>
      </c>
      <c r="C10019" s="0" t="n">
        <v>2830114</v>
      </c>
      <c r="D10019" s="0" t="s">
        <v>33429</v>
      </c>
      <c r="E10019" s="0" t="s">
        <v>89</v>
      </c>
      <c r="F10019" s="0" t="s">
        <v>90</v>
      </c>
      <c r="G10019" s="0" t="s">
        <v>32</v>
      </c>
      <c r="H10019" s="0" t="n">
        <v>151</v>
      </c>
      <c r="I10019" s="0" t="s">
        <v>33436</v>
      </c>
      <c r="J10019" s="0" t="s">
        <v>33437</v>
      </c>
      <c r="K10019" s="0" t="s">
        <v>33438</v>
      </c>
      <c r="L10019" s="0" t="str">
        <f aca="false">HYPERLINK("https://www.ncbi.nlm.nih.gov/nuccore/CP000304.1?report=graph&amp;tracks=[key:gene_model_track,Options:GeneOnly]&amp;mk=2830178:2830197|offset_68|444444,2830130:2830149|offset_116|444444,2830095:2830114|offset_151|00cc00,2830072:2830091|offset_174|444444&amp;v=2829977:2830291&amp;c=444444", "offset 151")</f>
        <v>offset 151</v>
      </c>
    </row>
    <row r="10020" customFormat="false" ht="12.8" hidden="false" customHeight="false" outlineLevel="0" collapsed="false">
      <c r="A10020" s="0" t="s">
        <v>12</v>
      </c>
      <c r="B10020" s="0" t="n">
        <v>2830071</v>
      </c>
      <c r="C10020" s="0" t="n">
        <v>2830091</v>
      </c>
      <c r="D10020" s="0" t="s">
        <v>33429</v>
      </c>
      <c r="E10020" s="0" t="s">
        <v>89</v>
      </c>
      <c r="F10020" s="0" t="s">
        <v>90</v>
      </c>
      <c r="G10020" s="0" t="s">
        <v>32</v>
      </c>
      <c r="H10020" s="0" t="n">
        <v>174</v>
      </c>
      <c r="I10020" s="0" t="s">
        <v>33439</v>
      </c>
      <c r="J10020" s="0" t="s">
        <v>33440</v>
      </c>
      <c r="K10020" s="0" t="s">
        <v>33441</v>
      </c>
      <c r="L10020" s="0" t="str">
        <f aca="false">HYPERLINK("https://www.ncbi.nlm.nih.gov/nuccore/CP000304.1?report=graph&amp;tracks=[key:gene_model_track,Options:GeneOnly]&amp;mk=2830178:2830197|offset_68|444444,2830130:2830149|offset_116|444444,2830095:2830114|offset_151|444444,2830072:2830091|offset_174|00cc00&amp;v=2829977:2830291&amp;c=444444", "offset 174")</f>
        <v>offset 174</v>
      </c>
    </row>
    <row r="10021" customFormat="false" ht="12.8" hidden="false" customHeight="false" outlineLevel="0" collapsed="false">
      <c r="A10021" s="0" t="s">
        <v>12</v>
      </c>
      <c r="B10021" s="0" t="n">
        <v>2831080</v>
      </c>
      <c r="C10021" s="0" t="n">
        <v>2831100</v>
      </c>
      <c r="D10021" s="0" t="s">
        <v>33442</v>
      </c>
      <c r="E10021" s="0" t="s">
        <v>89</v>
      </c>
      <c r="F10021" s="0" t="s">
        <v>90</v>
      </c>
      <c r="G10021" s="0" t="s">
        <v>36</v>
      </c>
      <c r="H10021" s="0" t="n">
        <v>21</v>
      </c>
      <c r="I10021" s="0" t="s">
        <v>33443</v>
      </c>
      <c r="J10021" s="0" t="s">
        <v>33444</v>
      </c>
      <c r="K10021" s="0" t="s">
        <v>33445</v>
      </c>
      <c r="L10021" s="0" t="str">
        <f aca="false">HYPERLINK("https://www.ncbi.nlm.nih.gov/nuccore/CP000304.1?report=graph&amp;tracks=[key:gene_model_track,Options:GeneOnly]&amp;mk=2831081:2831100|offset_21|00cc00,2831055:2831074|offset_47|444444,2831025:2831044|offset_77|444444,2830993:2831012|offset_109|444444&amp;v=2830880:2831212&amp;c=444444", "offset 21")</f>
        <v>offset 21</v>
      </c>
    </row>
    <row r="10022" customFormat="false" ht="12.8" hidden="false" customHeight="false" outlineLevel="0" collapsed="false">
      <c r="A10022" s="0" t="s">
        <v>12</v>
      </c>
      <c r="B10022" s="0" t="n">
        <v>2831054</v>
      </c>
      <c r="C10022" s="0" t="n">
        <v>2831074</v>
      </c>
      <c r="D10022" s="0" t="s">
        <v>33442</v>
      </c>
      <c r="E10022" s="0" t="s">
        <v>89</v>
      </c>
      <c r="F10022" s="0" t="s">
        <v>90</v>
      </c>
      <c r="G10022" s="0" t="s">
        <v>16</v>
      </c>
      <c r="H10022" s="0" t="n">
        <v>47</v>
      </c>
      <c r="I10022" s="0" t="s">
        <v>33446</v>
      </c>
      <c r="J10022" s="0" t="s">
        <v>33447</v>
      </c>
      <c r="K10022" s="0" t="s">
        <v>33448</v>
      </c>
      <c r="L10022" s="0" t="str">
        <f aca="false">HYPERLINK("https://www.ncbi.nlm.nih.gov/nuccore/CP000304.1?report=graph&amp;tracks=[key:gene_model_track,Options:GeneOnly]&amp;mk=2831081:2831100|offset_21|444444,2831055:2831074|offset_47|00cc00,2831025:2831044|offset_77|444444,2830993:2831012|offset_109|444444&amp;v=2830880:2831212&amp;c=444444", "offset 47")</f>
        <v>offset 47</v>
      </c>
    </row>
    <row r="10023" customFormat="false" ht="12.8" hidden="false" customHeight="false" outlineLevel="0" collapsed="false">
      <c r="A10023" s="0" t="s">
        <v>12</v>
      </c>
      <c r="B10023" s="0" t="n">
        <v>2831024</v>
      </c>
      <c r="C10023" s="0" t="n">
        <v>2831044</v>
      </c>
      <c r="D10023" s="0" t="s">
        <v>33442</v>
      </c>
      <c r="E10023" s="0" t="s">
        <v>89</v>
      </c>
      <c r="F10023" s="0" t="s">
        <v>90</v>
      </c>
      <c r="G10023" s="0" t="s">
        <v>26</v>
      </c>
      <c r="H10023" s="0" t="n">
        <v>77</v>
      </c>
      <c r="I10023" s="0" t="s">
        <v>33449</v>
      </c>
      <c r="J10023" s="0" t="s">
        <v>33450</v>
      </c>
      <c r="K10023" s="0" t="s">
        <v>33451</v>
      </c>
      <c r="L10023" s="0" t="str">
        <f aca="false">HYPERLINK("https://www.ncbi.nlm.nih.gov/nuccore/CP000304.1?report=graph&amp;tracks=[key:gene_model_track,Options:GeneOnly]&amp;mk=2831081:2831100|offset_21|444444,2831055:2831074|offset_47|444444,2831025:2831044|offset_77|00cc00,2830993:2831012|offset_109|444444&amp;v=2830880:2831212&amp;c=444444", "offset 77")</f>
        <v>offset 77</v>
      </c>
    </row>
    <row r="10024" customFormat="false" ht="12.8" hidden="false" customHeight="false" outlineLevel="0" collapsed="false">
      <c r="A10024" s="0" t="s">
        <v>12</v>
      </c>
      <c r="B10024" s="0" t="n">
        <v>2830992</v>
      </c>
      <c r="C10024" s="0" t="n">
        <v>2831012</v>
      </c>
      <c r="D10024" s="0" t="s">
        <v>33442</v>
      </c>
      <c r="E10024" s="0" t="s">
        <v>89</v>
      </c>
      <c r="F10024" s="0" t="s">
        <v>90</v>
      </c>
      <c r="G10024" s="0" t="s">
        <v>26</v>
      </c>
      <c r="H10024" s="0" t="n">
        <v>109</v>
      </c>
      <c r="I10024" s="0" t="s">
        <v>33452</v>
      </c>
      <c r="J10024" s="0" t="s">
        <v>33453</v>
      </c>
      <c r="K10024" s="0" t="s">
        <v>33454</v>
      </c>
      <c r="L10024" s="0" t="str">
        <f aca="false">HYPERLINK("https://www.ncbi.nlm.nih.gov/nuccore/CP000304.1?report=graph&amp;tracks=[key:gene_model_track,Options:GeneOnly]&amp;mk=2831081:2831100|offset_21|444444,2831055:2831074|offset_47|444444,2831025:2831044|offset_77|444444,2830993:2831012|offset_109|00cc00&amp;v=2830880:2831212&amp;c=444444", "offset 109")</f>
        <v>offset 109</v>
      </c>
    </row>
    <row r="10025" customFormat="false" ht="12.8" hidden="false" customHeight="false" outlineLevel="0" collapsed="false">
      <c r="A10025" s="0" t="s">
        <v>12</v>
      </c>
      <c r="B10025" s="0" t="n">
        <v>2831743</v>
      </c>
      <c r="C10025" s="0" t="n">
        <v>2831763</v>
      </c>
      <c r="D10025" s="0" t="s">
        <v>33455</v>
      </c>
      <c r="E10025" s="0" t="s">
        <v>89</v>
      </c>
      <c r="F10025" s="0" t="s">
        <v>90</v>
      </c>
      <c r="G10025" s="0" t="s">
        <v>26</v>
      </c>
      <c r="H10025" s="0" t="n">
        <v>0</v>
      </c>
      <c r="I10025" s="0" t="s">
        <v>33456</v>
      </c>
      <c r="J10025" s="0" t="s">
        <v>33457</v>
      </c>
      <c r="K10025" s="0" t="s">
        <v>33458</v>
      </c>
      <c r="L10025" s="0" t="str">
        <f aca="false">HYPERLINK("https://www.ncbi.nlm.nih.gov/nuccore/CP000304.1?report=graph&amp;tracks=[key:gene_model_track,Options:GeneOnly]&amp;mk=2831744:2831763|offset_0|00cc00,2831718:2831737|offset_26|444444,2831688:2831707|offset_56|444444,2831658:2831677|offset_86|444444&amp;v=2831543:2831877&amp;c=444444", "offset 0")</f>
        <v>offset 0</v>
      </c>
    </row>
    <row r="10026" customFormat="false" ht="12.8" hidden="false" customHeight="false" outlineLevel="0" collapsed="false">
      <c r="A10026" s="0" t="s">
        <v>12</v>
      </c>
      <c r="B10026" s="0" t="n">
        <v>2831717</v>
      </c>
      <c r="C10026" s="0" t="n">
        <v>2831737</v>
      </c>
      <c r="D10026" s="0" t="s">
        <v>33455</v>
      </c>
      <c r="E10026" s="0" t="s">
        <v>89</v>
      </c>
      <c r="F10026" s="0" t="s">
        <v>90</v>
      </c>
      <c r="G10026" s="0" t="s">
        <v>16</v>
      </c>
      <c r="H10026" s="0" t="n">
        <v>26</v>
      </c>
      <c r="I10026" s="0" t="s">
        <v>33459</v>
      </c>
      <c r="J10026" s="0" t="s">
        <v>33460</v>
      </c>
      <c r="K10026" s="0" t="s">
        <v>33461</v>
      </c>
      <c r="L10026" s="0" t="str">
        <f aca="false">HYPERLINK("https://www.ncbi.nlm.nih.gov/nuccore/CP000304.1?report=graph&amp;tracks=[key:gene_model_track,Options:GeneOnly]&amp;mk=2831744:2831763|offset_0|444444,2831718:2831737|offset_26|00cc00,2831688:2831707|offset_56|444444,2831658:2831677|offset_86|444444&amp;v=2831543:2831877&amp;c=444444", "offset 26")</f>
        <v>offset 26</v>
      </c>
    </row>
    <row r="10027" customFormat="false" ht="12.8" hidden="false" customHeight="false" outlineLevel="0" collapsed="false">
      <c r="A10027" s="0" t="s">
        <v>12</v>
      </c>
      <c r="B10027" s="0" t="n">
        <v>2831687</v>
      </c>
      <c r="C10027" s="0" t="n">
        <v>2831707</v>
      </c>
      <c r="D10027" s="0" t="s">
        <v>33455</v>
      </c>
      <c r="E10027" s="0" t="s">
        <v>89</v>
      </c>
      <c r="F10027" s="0" t="s">
        <v>90</v>
      </c>
      <c r="G10027" s="0" t="s">
        <v>26</v>
      </c>
      <c r="H10027" s="0" t="n">
        <v>56</v>
      </c>
      <c r="I10027" s="0" t="s">
        <v>33462</v>
      </c>
      <c r="J10027" s="0" t="s">
        <v>33463</v>
      </c>
      <c r="K10027" s="0" t="s">
        <v>33464</v>
      </c>
      <c r="L10027" s="0" t="str">
        <f aca="false">HYPERLINK("https://www.ncbi.nlm.nih.gov/nuccore/CP000304.1?report=graph&amp;tracks=[key:gene_model_track,Options:GeneOnly]&amp;mk=2831744:2831763|offset_0|444444,2831718:2831737|offset_26|444444,2831688:2831707|offset_56|00cc00,2831658:2831677|offset_86|444444&amp;v=2831543:2831877&amp;c=444444", "offset 56")</f>
        <v>offset 56</v>
      </c>
    </row>
    <row r="10028" customFormat="false" ht="12.8" hidden="false" customHeight="false" outlineLevel="0" collapsed="false">
      <c r="A10028" s="0" t="s">
        <v>12</v>
      </c>
      <c r="B10028" s="0" t="n">
        <v>2831657</v>
      </c>
      <c r="C10028" s="0" t="n">
        <v>2831677</v>
      </c>
      <c r="D10028" s="0" t="s">
        <v>33455</v>
      </c>
      <c r="E10028" s="0" t="s">
        <v>89</v>
      </c>
      <c r="F10028" s="0" t="s">
        <v>90</v>
      </c>
      <c r="G10028" s="0" t="s">
        <v>32</v>
      </c>
      <c r="H10028" s="0" t="n">
        <v>86</v>
      </c>
      <c r="I10028" s="0" t="s">
        <v>33465</v>
      </c>
      <c r="J10028" s="0" t="s">
        <v>33466</v>
      </c>
      <c r="K10028" s="0" t="s">
        <v>33467</v>
      </c>
      <c r="L10028" s="0" t="str">
        <f aca="false">HYPERLINK("https://www.ncbi.nlm.nih.gov/nuccore/CP000304.1?report=graph&amp;tracks=[key:gene_model_track,Options:GeneOnly]&amp;mk=2831744:2831763|offset_0|444444,2831718:2831737|offset_26|444444,2831688:2831707|offset_56|444444,2831658:2831677|offset_86|00cc00&amp;v=2831543:2831877&amp;c=444444", "offset 86")</f>
        <v>offset 86</v>
      </c>
    </row>
    <row r="10029" customFormat="false" ht="12.8" hidden="false" customHeight="false" outlineLevel="0" collapsed="false">
      <c r="A10029" s="0" t="s">
        <v>12</v>
      </c>
      <c r="B10029" s="0" t="n">
        <v>2831837</v>
      </c>
      <c r="C10029" s="0" t="n">
        <v>2831857</v>
      </c>
      <c r="D10029" s="0" t="s">
        <v>33468</v>
      </c>
      <c r="E10029" s="0" t="s">
        <v>89</v>
      </c>
      <c r="F10029" s="0" t="s">
        <v>15</v>
      </c>
      <c r="G10029" s="0" t="s">
        <v>16</v>
      </c>
      <c r="H10029" s="0" t="n">
        <v>0</v>
      </c>
      <c r="I10029" s="0" t="s">
        <v>33469</v>
      </c>
      <c r="J10029" s="0" t="s">
        <v>33470</v>
      </c>
      <c r="K10029" s="0" t="s">
        <v>33471</v>
      </c>
      <c r="L10029" s="0" t="str">
        <f aca="false">HYPERLINK("https://www.ncbi.nlm.nih.gov/nuccore/CP000304.1?report=graph&amp;tracks=[key:gene_model_track,Options:GeneOnly]&amp;mk=2831838:2831857|offset_0|00cc00,2831865:2831884|offset_27|444444,2831910:2831929|offset_72|444444,2831935:2831954|offset_97|444444&amp;v=2831637:2832154&amp;c=444444", "offset 0")</f>
        <v>offset 0</v>
      </c>
    </row>
    <row r="10030" customFormat="false" ht="12.8" hidden="false" customHeight="false" outlineLevel="0" collapsed="false">
      <c r="A10030" s="0" t="s">
        <v>12</v>
      </c>
      <c r="B10030" s="0" t="n">
        <v>2831864</v>
      </c>
      <c r="C10030" s="0" t="n">
        <v>2831884</v>
      </c>
      <c r="D10030" s="0" t="s">
        <v>33468</v>
      </c>
      <c r="E10030" s="0" t="s">
        <v>89</v>
      </c>
      <c r="F10030" s="0" t="s">
        <v>15</v>
      </c>
      <c r="G10030" s="0" t="s">
        <v>16</v>
      </c>
      <c r="H10030" s="0" t="n">
        <v>27</v>
      </c>
      <c r="I10030" s="0" t="s">
        <v>33472</v>
      </c>
      <c r="J10030" s="0" t="s">
        <v>33473</v>
      </c>
      <c r="K10030" s="0" t="s">
        <v>33474</v>
      </c>
      <c r="L10030" s="0" t="str">
        <f aca="false">HYPERLINK("https://www.ncbi.nlm.nih.gov/nuccore/CP000304.1?report=graph&amp;tracks=[key:gene_model_track,Options:GeneOnly]&amp;mk=2831838:2831857|offset_0|444444,2831865:2831884|offset_27|00cc00,2831910:2831929|offset_72|444444,2831935:2831954|offset_97|444444&amp;v=2831637:2832154&amp;c=444444", "offset 27")</f>
        <v>offset 27</v>
      </c>
    </row>
    <row r="10031" customFormat="false" ht="12.8" hidden="false" customHeight="false" outlineLevel="0" collapsed="false">
      <c r="A10031" s="0" t="s">
        <v>12</v>
      </c>
      <c r="B10031" s="0" t="n">
        <v>2831909</v>
      </c>
      <c r="C10031" s="0" t="n">
        <v>2831929</v>
      </c>
      <c r="D10031" s="0" t="s">
        <v>33468</v>
      </c>
      <c r="E10031" s="0" t="s">
        <v>89</v>
      </c>
      <c r="F10031" s="0" t="s">
        <v>15</v>
      </c>
      <c r="G10031" s="0" t="s">
        <v>36</v>
      </c>
      <c r="H10031" s="0" t="n">
        <v>72</v>
      </c>
      <c r="I10031" s="0" t="s">
        <v>33475</v>
      </c>
      <c r="J10031" s="0" t="s">
        <v>33476</v>
      </c>
      <c r="K10031" s="0" t="s">
        <v>33477</v>
      </c>
      <c r="L10031" s="0" t="str">
        <f aca="false">HYPERLINK("https://www.ncbi.nlm.nih.gov/nuccore/CP000304.1?report=graph&amp;tracks=[key:gene_model_track,Options:GeneOnly]&amp;mk=2831838:2831857|offset_0|444444,2831865:2831884|offset_27|444444,2831910:2831929|offset_72|00cc00,2831935:2831954|offset_97|444444&amp;v=2831637:2832154&amp;c=444444", "offset 72")</f>
        <v>offset 72</v>
      </c>
    </row>
    <row r="10032" customFormat="false" ht="12.8" hidden="false" customHeight="false" outlineLevel="0" collapsed="false">
      <c r="A10032" s="0" t="s">
        <v>12</v>
      </c>
      <c r="B10032" s="0" t="n">
        <v>2831934</v>
      </c>
      <c r="C10032" s="0" t="n">
        <v>2831954</v>
      </c>
      <c r="D10032" s="0" t="s">
        <v>33468</v>
      </c>
      <c r="E10032" s="0" t="s">
        <v>89</v>
      </c>
      <c r="F10032" s="0" t="s">
        <v>15</v>
      </c>
      <c r="G10032" s="0" t="s">
        <v>16</v>
      </c>
      <c r="H10032" s="0" t="n">
        <v>97</v>
      </c>
      <c r="I10032" s="0" t="s">
        <v>33478</v>
      </c>
      <c r="J10032" s="0" t="s">
        <v>33479</v>
      </c>
      <c r="K10032" s="0" t="s">
        <v>33480</v>
      </c>
      <c r="L10032" s="0" t="str">
        <f aca="false">HYPERLINK("https://www.ncbi.nlm.nih.gov/nuccore/CP000304.1?report=graph&amp;tracks=[key:gene_model_track,Options:GeneOnly]&amp;mk=2831838:2831857|offset_0|444444,2831865:2831884|offset_27|444444,2831910:2831929|offset_72|444444,2831935:2831954|offset_97|00cc00&amp;v=2831637:2832154&amp;c=444444", "offset 97")</f>
        <v>offset 97</v>
      </c>
    </row>
    <row r="10033" customFormat="false" ht="12.8" hidden="false" customHeight="false" outlineLevel="0" collapsed="false">
      <c r="A10033" s="0" t="s">
        <v>12</v>
      </c>
      <c r="B10033" s="0" t="n">
        <v>2834556</v>
      </c>
      <c r="C10033" s="0" t="n">
        <v>2834576</v>
      </c>
      <c r="D10033" s="0" t="s">
        <v>33481</v>
      </c>
      <c r="E10033" s="0" t="s">
        <v>33482</v>
      </c>
      <c r="F10033" s="0" t="s">
        <v>90</v>
      </c>
      <c r="G10033" s="0" t="s">
        <v>16</v>
      </c>
      <c r="H10033" s="0" t="n">
        <v>7</v>
      </c>
      <c r="I10033" s="0" t="s">
        <v>33483</v>
      </c>
      <c r="J10033" s="0" t="s">
        <v>33484</v>
      </c>
      <c r="K10033" s="0" t="s">
        <v>33485</v>
      </c>
      <c r="L10033" s="0" t="str">
        <f aca="false">HYPERLINK("https://www.ncbi.nlm.nih.gov/nuccore/CP000304.1?report=graph&amp;tracks=[key:gene_model_track,Options:GeneOnly]&amp;mk=2834557:2834576|offset_7|00cc00,2834534:2834553|offset_30|444444,2834511:2834530|offset_53|444444,2834491:2834510|offset_73|444444&amp;v=2834356:2834710&amp;c=444444", "offset 7")</f>
        <v>offset 7</v>
      </c>
    </row>
    <row r="10034" customFormat="false" ht="12.8" hidden="false" customHeight="false" outlineLevel="0" collapsed="false">
      <c r="A10034" s="0" t="s">
        <v>12</v>
      </c>
      <c r="B10034" s="0" t="n">
        <v>2834533</v>
      </c>
      <c r="C10034" s="0" t="n">
        <v>2834553</v>
      </c>
      <c r="D10034" s="0" t="s">
        <v>33481</v>
      </c>
      <c r="E10034" s="0" t="s">
        <v>33482</v>
      </c>
      <c r="F10034" s="0" t="s">
        <v>90</v>
      </c>
      <c r="G10034" s="0" t="s">
        <v>16</v>
      </c>
      <c r="H10034" s="0" t="n">
        <v>30</v>
      </c>
      <c r="I10034" s="0" t="s">
        <v>33486</v>
      </c>
      <c r="J10034" s="0" t="s">
        <v>33487</v>
      </c>
      <c r="K10034" s="0" t="s">
        <v>33488</v>
      </c>
      <c r="L10034" s="0" t="str">
        <f aca="false">HYPERLINK("https://www.ncbi.nlm.nih.gov/nuccore/CP000304.1?report=graph&amp;tracks=[key:gene_model_track,Options:GeneOnly]&amp;mk=2834557:2834576|offset_7|444444,2834534:2834553|offset_30|00cc00,2834511:2834530|offset_53|444444,2834491:2834510|offset_73|444444&amp;v=2834356:2834710&amp;c=444444", "offset 30")</f>
        <v>offset 30</v>
      </c>
    </row>
    <row r="10035" customFormat="false" ht="12.8" hidden="false" customHeight="false" outlineLevel="0" collapsed="false">
      <c r="A10035" s="0" t="s">
        <v>12</v>
      </c>
      <c r="B10035" s="0" t="n">
        <v>2834510</v>
      </c>
      <c r="C10035" s="0" t="n">
        <v>2834530</v>
      </c>
      <c r="D10035" s="0" t="s">
        <v>33481</v>
      </c>
      <c r="E10035" s="0" t="s">
        <v>33482</v>
      </c>
      <c r="F10035" s="0" t="s">
        <v>90</v>
      </c>
      <c r="G10035" s="0" t="s">
        <v>16</v>
      </c>
      <c r="H10035" s="0" t="n">
        <v>53</v>
      </c>
      <c r="I10035" s="0" t="s">
        <v>33489</v>
      </c>
      <c r="J10035" s="0" t="s">
        <v>33490</v>
      </c>
      <c r="K10035" s="0" t="s">
        <v>33491</v>
      </c>
      <c r="L10035" s="0" t="str">
        <f aca="false">HYPERLINK("https://www.ncbi.nlm.nih.gov/nuccore/CP000304.1?report=graph&amp;tracks=[key:gene_model_track,Options:GeneOnly]&amp;mk=2834557:2834576|offset_7|444444,2834534:2834553|offset_30|444444,2834511:2834530|offset_53|00cc00,2834491:2834510|offset_73|444444&amp;v=2834356:2834710&amp;c=444444", "offset 53")</f>
        <v>offset 53</v>
      </c>
    </row>
    <row r="10036" customFormat="false" ht="12.8" hidden="false" customHeight="false" outlineLevel="0" collapsed="false">
      <c r="A10036" s="0" t="s">
        <v>12</v>
      </c>
      <c r="B10036" s="0" t="n">
        <v>2834490</v>
      </c>
      <c r="C10036" s="0" t="n">
        <v>2834510</v>
      </c>
      <c r="D10036" s="0" t="s">
        <v>33481</v>
      </c>
      <c r="E10036" s="0" t="s">
        <v>33482</v>
      </c>
      <c r="F10036" s="0" t="s">
        <v>90</v>
      </c>
      <c r="G10036" s="0" t="s">
        <v>36</v>
      </c>
      <c r="H10036" s="0" t="n">
        <v>73</v>
      </c>
      <c r="I10036" s="0" t="s">
        <v>33492</v>
      </c>
      <c r="J10036" s="0" t="s">
        <v>33493</v>
      </c>
      <c r="K10036" s="0" t="s">
        <v>33494</v>
      </c>
      <c r="L10036" s="0" t="str">
        <f aca="false">HYPERLINK("https://www.ncbi.nlm.nih.gov/nuccore/CP000304.1?report=graph&amp;tracks=[key:gene_model_track,Options:GeneOnly]&amp;mk=2834557:2834576|offset_7|444444,2834534:2834553|offset_30|444444,2834511:2834530|offset_53|444444,2834491:2834510|offset_73|00cc00&amp;v=2834356:2834710&amp;c=444444", "offset 73")</f>
        <v>offset 73</v>
      </c>
    </row>
    <row r="10037" customFormat="false" ht="12.8" hidden="false" customHeight="false" outlineLevel="0" collapsed="false">
      <c r="A10037" s="0" t="s">
        <v>12</v>
      </c>
      <c r="B10037" s="0" t="n">
        <v>2835427</v>
      </c>
      <c r="C10037" s="0" t="n">
        <v>2835447</v>
      </c>
      <c r="D10037" s="0" t="s">
        <v>33495</v>
      </c>
      <c r="E10037" s="0" t="s">
        <v>89</v>
      </c>
      <c r="F10037" s="0" t="s">
        <v>90</v>
      </c>
      <c r="G10037" s="0" t="s">
        <v>32</v>
      </c>
      <c r="H10037" s="0" t="n">
        <v>1</v>
      </c>
      <c r="I10037" s="0" t="s">
        <v>33496</v>
      </c>
      <c r="J10037" s="0" t="s">
        <v>33497</v>
      </c>
      <c r="K10037" s="0" t="s">
        <v>33498</v>
      </c>
      <c r="L10037" s="0" t="str">
        <f aca="false">HYPERLINK("https://www.ncbi.nlm.nih.gov/nuccore/CP000304.1?report=graph&amp;tracks=[key:gene_model_track,Options:GeneOnly]&amp;mk=2835428:2835447|offset_1|00cc00,2835403:2835422|offset_26|444444,2835383:2835402|offset_46|444444,2835344:2835363|offset_85|444444&amp;v=2835227:2835563&amp;c=444444", "offset 1")</f>
        <v>offset 1</v>
      </c>
    </row>
    <row r="10038" customFormat="false" ht="12.8" hidden="false" customHeight="false" outlineLevel="0" collapsed="false">
      <c r="A10038" s="0" t="s">
        <v>12</v>
      </c>
      <c r="B10038" s="0" t="n">
        <v>2835402</v>
      </c>
      <c r="C10038" s="0" t="n">
        <v>2835422</v>
      </c>
      <c r="D10038" s="0" t="s">
        <v>33495</v>
      </c>
      <c r="E10038" s="0" t="s">
        <v>89</v>
      </c>
      <c r="F10038" s="0" t="s">
        <v>90</v>
      </c>
      <c r="G10038" s="0" t="s">
        <v>26</v>
      </c>
      <c r="H10038" s="0" t="n">
        <v>26</v>
      </c>
      <c r="I10038" s="0" t="s">
        <v>33499</v>
      </c>
      <c r="J10038" s="0" t="s">
        <v>33500</v>
      </c>
      <c r="K10038" s="0" t="s">
        <v>33501</v>
      </c>
      <c r="L10038" s="0" t="str">
        <f aca="false">HYPERLINK("https://www.ncbi.nlm.nih.gov/nuccore/CP000304.1?report=graph&amp;tracks=[key:gene_model_track,Options:GeneOnly]&amp;mk=2835428:2835447|offset_1|444444,2835403:2835422|offset_26|00cc00,2835383:2835402|offset_46|444444,2835344:2835363|offset_85|444444&amp;v=2835227:2835563&amp;c=444444", "offset 26")</f>
        <v>offset 26</v>
      </c>
    </row>
    <row r="10039" customFormat="false" ht="12.8" hidden="false" customHeight="false" outlineLevel="0" collapsed="false">
      <c r="A10039" s="0" t="s">
        <v>12</v>
      </c>
      <c r="B10039" s="0" t="n">
        <v>2835382</v>
      </c>
      <c r="C10039" s="0" t="n">
        <v>2835402</v>
      </c>
      <c r="D10039" s="0" t="s">
        <v>33495</v>
      </c>
      <c r="E10039" s="0" t="s">
        <v>89</v>
      </c>
      <c r="F10039" s="0" t="s">
        <v>90</v>
      </c>
      <c r="G10039" s="0" t="s">
        <v>16</v>
      </c>
      <c r="H10039" s="0" t="n">
        <v>46</v>
      </c>
      <c r="I10039" s="0" t="s">
        <v>33502</v>
      </c>
      <c r="J10039" s="0" t="s">
        <v>33503</v>
      </c>
      <c r="K10039" s="0" t="s">
        <v>33504</v>
      </c>
      <c r="L10039" s="0" t="str">
        <f aca="false">HYPERLINK("https://www.ncbi.nlm.nih.gov/nuccore/CP000304.1?report=graph&amp;tracks=[key:gene_model_track,Options:GeneOnly]&amp;mk=2835428:2835447|offset_1|444444,2835403:2835422|offset_26|444444,2835383:2835402|offset_46|00cc00,2835344:2835363|offset_85|444444&amp;v=2835227:2835563&amp;c=444444", "offset 46")</f>
        <v>offset 46</v>
      </c>
    </row>
    <row r="10040" customFormat="false" ht="12.8" hidden="false" customHeight="false" outlineLevel="0" collapsed="false">
      <c r="A10040" s="0" t="s">
        <v>12</v>
      </c>
      <c r="B10040" s="0" t="n">
        <v>2835343</v>
      </c>
      <c r="C10040" s="0" t="n">
        <v>2835363</v>
      </c>
      <c r="D10040" s="0" t="s">
        <v>33495</v>
      </c>
      <c r="E10040" s="0" t="s">
        <v>89</v>
      </c>
      <c r="F10040" s="0" t="s">
        <v>90</v>
      </c>
      <c r="G10040" s="0" t="s">
        <v>36</v>
      </c>
      <c r="H10040" s="0" t="n">
        <v>85</v>
      </c>
      <c r="I10040" s="0" t="s">
        <v>33505</v>
      </c>
      <c r="J10040" s="0" t="s">
        <v>33506</v>
      </c>
      <c r="K10040" s="0" t="s">
        <v>33507</v>
      </c>
      <c r="L10040" s="0" t="str">
        <f aca="false">HYPERLINK("https://www.ncbi.nlm.nih.gov/nuccore/CP000304.1?report=graph&amp;tracks=[key:gene_model_track,Options:GeneOnly]&amp;mk=2835428:2835447|offset_1|444444,2835403:2835422|offset_26|444444,2835383:2835402|offset_46|444444,2835344:2835363|offset_85|00cc00&amp;v=2835227:2835563&amp;c=444444", "offset 85")</f>
        <v>offset 85</v>
      </c>
    </row>
    <row r="10041" customFormat="false" ht="12.8" hidden="false" customHeight="false" outlineLevel="0" collapsed="false">
      <c r="A10041" s="0" t="s">
        <v>12</v>
      </c>
      <c r="B10041" s="0" t="n">
        <v>2835889</v>
      </c>
      <c r="C10041" s="0" t="n">
        <v>2835909</v>
      </c>
      <c r="D10041" s="0" t="s">
        <v>33508</v>
      </c>
      <c r="E10041" s="0" t="s">
        <v>33509</v>
      </c>
      <c r="F10041" s="0" t="s">
        <v>90</v>
      </c>
      <c r="G10041" s="0" t="s">
        <v>26</v>
      </c>
      <c r="H10041" s="0" t="n">
        <v>8</v>
      </c>
      <c r="I10041" s="0" t="s">
        <v>33510</v>
      </c>
      <c r="J10041" s="0" t="s">
        <v>33511</v>
      </c>
      <c r="K10041" s="0" t="s">
        <v>33512</v>
      </c>
      <c r="L10041" s="0" t="str">
        <f aca="false">HYPERLINK("https://www.ncbi.nlm.nih.gov/nuccore/CP000304.1?report=graph&amp;tracks=[key:gene_model_track,Options:GeneOnly]&amp;mk=2835890:2835909|offset_8|00cc00,2835857:2835876|offset_41|444444,2835819:2835838|offset_79|444444,2835778:2835797|offset_120|444444&amp;v=2835689:2835997&amp;c=444444", "offset 8")</f>
        <v>offset 8</v>
      </c>
    </row>
    <row r="10042" customFormat="false" ht="12.8" hidden="false" customHeight="false" outlineLevel="0" collapsed="false">
      <c r="A10042" s="0" t="s">
        <v>12</v>
      </c>
      <c r="B10042" s="0" t="n">
        <v>2835856</v>
      </c>
      <c r="C10042" s="0" t="n">
        <v>2835876</v>
      </c>
      <c r="D10042" s="0" t="s">
        <v>33508</v>
      </c>
      <c r="E10042" s="0" t="s">
        <v>33509</v>
      </c>
      <c r="F10042" s="0" t="s">
        <v>90</v>
      </c>
      <c r="G10042" s="0" t="s">
        <v>26</v>
      </c>
      <c r="H10042" s="0" t="n">
        <v>41</v>
      </c>
      <c r="I10042" s="0" t="s">
        <v>33513</v>
      </c>
      <c r="J10042" s="0" t="s">
        <v>33514</v>
      </c>
      <c r="K10042" s="0" t="s">
        <v>33515</v>
      </c>
      <c r="L10042" s="0" t="str">
        <f aca="false">HYPERLINK("https://www.ncbi.nlm.nih.gov/nuccore/CP000304.1?report=graph&amp;tracks=[key:gene_model_track,Options:GeneOnly]&amp;mk=2835890:2835909|offset_8|444444,2835857:2835876|offset_41|00cc00,2835819:2835838|offset_79|444444,2835778:2835797|offset_120|444444&amp;v=2835689:2835997&amp;c=444444", "offset 41")</f>
        <v>offset 41</v>
      </c>
    </row>
    <row r="10043" customFormat="false" ht="12.8" hidden="false" customHeight="false" outlineLevel="0" collapsed="false">
      <c r="A10043" s="0" t="s">
        <v>12</v>
      </c>
      <c r="B10043" s="0" t="n">
        <v>2835818</v>
      </c>
      <c r="C10043" s="0" t="n">
        <v>2835838</v>
      </c>
      <c r="D10043" s="0" t="s">
        <v>33508</v>
      </c>
      <c r="E10043" s="0" t="s">
        <v>33509</v>
      </c>
      <c r="F10043" s="0" t="s">
        <v>90</v>
      </c>
      <c r="G10043" s="0" t="s">
        <v>16</v>
      </c>
      <c r="H10043" s="0" t="n">
        <v>79</v>
      </c>
      <c r="I10043" s="0" t="s">
        <v>33516</v>
      </c>
      <c r="J10043" s="0" t="s">
        <v>33517</v>
      </c>
      <c r="K10043" s="0" t="s">
        <v>33518</v>
      </c>
      <c r="L10043" s="0" t="str">
        <f aca="false">HYPERLINK("https://www.ncbi.nlm.nih.gov/nuccore/CP000304.1?report=graph&amp;tracks=[key:gene_model_track,Options:GeneOnly]&amp;mk=2835890:2835909|offset_8|444444,2835857:2835876|offset_41|444444,2835819:2835838|offset_79|00cc00,2835778:2835797|offset_120|444444&amp;v=2835689:2835997&amp;c=444444", "offset 79")</f>
        <v>offset 79</v>
      </c>
    </row>
    <row r="10044" customFormat="false" ht="12.8" hidden="false" customHeight="false" outlineLevel="0" collapsed="false">
      <c r="A10044" s="0" t="s">
        <v>12</v>
      </c>
      <c r="B10044" s="0" t="n">
        <v>2835777</v>
      </c>
      <c r="C10044" s="0" t="n">
        <v>2835797</v>
      </c>
      <c r="D10044" s="0" t="s">
        <v>33508</v>
      </c>
      <c r="E10044" s="0" t="s">
        <v>33509</v>
      </c>
      <c r="F10044" s="0" t="s">
        <v>90</v>
      </c>
      <c r="G10044" s="0" t="s">
        <v>16</v>
      </c>
      <c r="H10044" s="0" t="n">
        <v>120</v>
      </c>
      <c r="I10044" s="0" t="s">
        <v>33519</v>
      </c>
      <c r="J10044" s="0" t="s">
        <v>33520</v>
      </c>
      <c r="K10044" s="0" t="s">
        <v>33521</v>
      </c>
      <c r="L10044" s="0" t="str">
        <f aca="false">HYPERLINK("https://www.ncbi.nlm.nih.gov/nuccore/CP000304.1?report=graph&amp;tracks=[key:gene_model_track,Options:GeneOnly]&amp;mk=2835890:2835909|offset_8|444444,2835857:2835876|offset_41|444444,2835819:2835838|offset_79|444444,2835778:2835797|offset_120|00cc00&amp;v=2835689:2835997&amp;c=444444", "offset 120")</f>
        <v>offset 120</v>
      </c>
    </row>
    <row r="10045" customFormat="false" ht="12.8" hidden="false" customHeight="false" outlineLevel="0" collapsed="false">
      <c r="A10045" s="0" t="s">
        <v>12</v>
      </c>
      <c r="B10045" s="0" t="n">
        <v>2836897</v>
      </c>
      <c r="C10045" s="0" t="n">
        <v>2836917</v>
      </c>
      <c r="D10045" s="0" t="s">
        <v>33522</v>
      </c>
      <c r="E10045" s="0" t="s">
        <v>33523</v>
      </c>
      <c r="F10045" s="0" t="s">
        <v>90</v>
      </c>
      <c r="G10045" s="0" t="s">
        <v>36</v>
      </c>
      <c r="H10045" s="0" t="n">
        <v>18</v>
      </c>
      <c r="I10045" s="0" t="s">
        <v>33524</v>
      </c>
      <c r="J10045" s="0" t="s">
        <v>33525</v>
      </c>
      <c r="K10045" s="0" t="s">
        <v>33526</v>
      </c>
      <c r="L10045" s="0" t="str">
        <f aca="false">HYPERLINK("https://www.ncbi.nlm.nih.gov/nuccore/CP000304.1?report=graph&amp;tracks=[key:gene_model_track,Options:GeneOnly]&amp;mk=2836898:2836917|offset_18|00cc00,2836843:2836862|offset_73|444444,2836822:2836841|offset_94|444444,2836770:2836789|offset_146|444444&amp;v=2836697:2836989&amp;c=444444", "offset 18")</f>
        <v>offset 18</v>
      </c>
    </row>
    <row r="10046" customFormat="false" ht="12.8" hidden="false" customHeight="false" outlineLevel="0" collapsed="false">
      <c r="A10046" s="0" t="s">
        <v>12</v>
      </c>
      <c r="B10046" s="0" t="n">
        <v>2836842</v>
      </c>
      <c r="C10046" s="0" t="n">
        <v>2836862</v>
      </c>
      <c r="D10046" s="0" t="s">
        <v>33522</v>
      </c>
      <c r="E10046" s="0" t="s">
        <v>33523</v>
      </c>
      <c r="F10046" s="0" t="s">
        <v>90</v>
      </c>
      <c r="G10046" s="0" t="s">
        <v>26</v>
      </c>
      <c r="H10046" s="0" t="n">
        <v>73</v>
      </c>
      <c r="I10046" s="0" t="s">
        <v>33527</v>
      </c>
      <c r="J10046" s="0" t="s">
        <v>33528</v>
      </c>
      <c r="K10046" s="0" t="s">
        <v>33529</v>
      </c>
      <c r="L10046" s="0" t="str">
        <f aca="false">HYPERLINK("https://www.ncbi.nlm.nih.gov/nuccore/CP000304.1?report=graph&amp;tracks=[key:gene_model_track,Options:GeneOnly]&amp;mk=2836898:2836917|offset_18|444444,2836843:2836862|offset_73|00cc00,2836822:2836841|offset_94|444444,2836770:2836789|offset_146|444444&amp;v=2836697:2836989&amp;c=444444", "offset 73")</f>
        <v>offset 73</v>
      </c>
    </row>
    <row r="10047" customFormat="false" ht="12.8" hidden="false" customHeight="false" outlineLevel="0" collapsed="false">
      <c r="A10047" s="0" t="s">
        <v>12</v>
      </c>
      <c r="B10047" s="0" t="n">
        <v>2836821</v>
      </c>
      <c r="C10047" s="0" t="n">
        <v>2836841</v>
      </c>
      <c r="D10047" s="0" t="s">
        <v>33522</v>
      </c>
      <c r="E10047" s="0" t="s">
        <v>33523</v>
      </c>
      <c r="F10047" s="0" t="s">
        <v>90</v>
      </c>
      <c r="G10047" s="0" t="s">
        <v>16</v>
      </c>
      <c r="H10047" s="0" t="n">
        <v>94</v>
      </c>
      <c r="I10047" s="0" t="s">
        <v>33530</v>
      </c>
      <c r="J10047" s="0" t="s">
        <v>33531</v>
      </c>
      <c r="K10047" s="0" t="s">
        <v>33532</v>
      </c>
      <c r="L10047" s="0" t="str">
        <f aca="false">HYPERLINK("https://www.ncbi.nlm.nih.gov/nuccore/CP000304.1?report=graph&amp;tracks=[key:gene_model_track,Options:GeneOnly]&amp;mk=2836898:2836917|offset_18|444444,2836843:2836862|offset_73|444444,2836822:2836841|offset_94|00cc00,2836770:2836789|offset_146|444444&amp;v=2836697:2836989&amp;c=444444", "offset 94")</f>
        <v>offset 94</v>
      </c>
    </row>
    <row r="10048" customFormat="false" ht="12.8" hidden="false" customHeight="false" outlineLevel="0" collapsed="false">
      <c r="A10048" s="0" t="s">
        <v>12</v>
      </c>
      <c r="B10048" s="0" t="n">
        <v>2836769</v>
      </c>
      <c r="C10048" s="0" t="n">
        <v>2836789</v>
      </c>
      <c r="D10048" s="0" t="s">
        <v>33522</v>
      </c>
      <c r="E10048" s="0" t="s">
        <v>33523</v>
      </c>
      <c r="F10048" s="0" t="s">
        <v>90</v>
      </c>
      <c r="G10048" s="0" t="s">
        <v>32</v>
      </c>
      <c r="H10048" s="0" t="n">
        <v>146</v>
      </c>
      <c r="I10048" s="0" t="s">
        <v>33533</v>
      </c>
      <c r="J10048" s="0" t="s">
        <v>33534</v>
      </c>
      <c r="K10048" s="0" t="s">
        <v>33535</v>
      </c>
      <c r="L10048" s="0" t="str">
        <f aca="false">HYPERLINK("https://www.ncbi.nlm.nih.gov/nuccore/CP000304.1?report=graph&amp;tracks=[key:gene_model_track,Options:GeneOnly]&amp;mk=2836898:2836917|offset_18|444444,2836843:2836862|offset_73|444444,2836822:2836841|offset_94|444444,2836770:2836789|offset_146|00cc00&amp;v=2836697:2836989&amp;c=444444", "offset 146")</f>
        <v>offset 146</v>
      </c>
    </row>
    <row r="10049" customFormat="false" ht="12.8" hidden="false" customHeight="false" outlineLevel="0" collapsed="false">
      <c r="A10049" s="0" t="s">
        <v>12</v>
      </c>
      <c r="B10049" s="0" t="n">
        <v>2837518</v>
      </c>
      <c r="C10049" s="0" t="n">
        <v>2837538</v>
      </c>
      <c r="D10049" s="0" t="s">
        <v>33536</v>
      </c>
      <c r="E10049" s="0" t="s">
        <v>33537</v>
      </c>
      <c r="F10049" s="0" t="s">
        <v>90</v>
      </c>
      <c r="G10049" s="0" t="s">
        <v>36</v>
      </c>
      <c r="H10049" s="0" t="n">
        <v>22</v>
      </c>
      <c r="I10049" s="0" t="s">
        <v>33538</v>
      </c>
      <c r="J10049" s="0" t="s">
        <v>33539</v>
      </c>
      <c r="K10049" s="0" t="s">
        <v>33540</v>
      </c>
      <c r="L10049" s="0" t="str">
        <f aca="false">HYPERLINK("https://www.ncbi.nlm.nih.gov/nuccore/CP000304.1?report=graph&amp;tracks=[key:gene_model_track,Options:GeneOnly]&amp;mk=2837519:2837538|offset_22|00cc00,2837473:2837492|offset_68|444444,2837429:2837448|offset_112|444444,2837409:2837428|offset_132|444444&amp;v=2837318:2837628&amp;c=444444", "offset 22")</f>
        <v>offset 22</v>
      </c>
    </row>
    <row r="10050" customFormat="false" ht="12.8" hidden="false" customHeight="false" outlineLevel="0" collapsed="false">
      <c r="A10050" s="0" t="s">
        <v>12</v>
      </c>
      <c r="B10050" s="0" t="n">
        <v>2837472</v>
      </c>
      <c r="C10050" s="0" t="n">
        <v>2837492</v>
      </c>
      <c r="D10050" s="0" t="s">
        <v>33536</v>
      </c>
      <c r="E10050" s="0" t="s">
        <v>33537</v>
      </c>
      <c r="F10050" s="0" t="s">
        <v>90</v>
      </c>
      <c r="G10050" s="0" t="s">
        <v>26</v>
      </c>
      <c r="H10050" s="0" t="n">
        <v>68</v>
      </c>
      <c r="I10050" s="0" t="s">
        <v>33541</v>
      </c>
      <c r="J10050" s="0" t="s">
        <v>33542</v>
      </c>
      <c r="K10050" s="0" t="s">
        <v>33543</v>
      </c>
      <c r="L10050" s="0" t="str">
        <f aca="false">HYPERLINK("https://www.ncbi.nlm.nih.gov/nuccore/CP000304.1?report=graph&amp;tracks=[key:gene_model_track,Options:GeneOnly]&amp;mk=2837519:2837538|offset_22|444444,2837473:2837492|offset_68|00cc00,2837429:2837448|offset_112|444444,2837409:2837428|offset_132|444444&amp;v=2837318:2837628&amp;c=444444", "offset 68")</f>
        <v>offset 68</v>
      </c>
    </row>
    <row r="10051" customFormat="false" ht="12.8" hidden="false" customHeight="false" outlineLevel="0" collapsed="false">
      <c r="A10051" s="0" t="s">
        <v>12</v>
      </c>
      <c r="B10051" s="0" t="n">
        <v>2837428</v>
      </c>
      <c r="C10051" s="0" t="n">
        <v>2837448</v>
      </c>
      <c r="D10051" s="0" t="s">
        <v>33536</v>
      </c>
      <c r="E10051" s="0" t="s">
        <v>33537</v>
      </c>
      <c r="F10051" s="0" t="s">
        <v>90</v>
      </c>
      <c r="G10051" s="0" t="s">
        <v>36</v>
      </c>
      <c r="H10051" s="0" t="n">
        <v>112</v>
      </c>
      <c r="I10051" s="0" t="s">
        <v>33544</v>
      </c>
      <c r="J10051" s="0" t="s">
        <v>33545</v>
      </c>
      <c r="K10051" s="0" t="s">
        <v>33546</v>
      </c>
      <c r="L10051" s="0" t="str">
        <f aca="false">HYPERLINK("https://www.ncbi.nlm.nih.gov/nuccore/CP000304.1?report=graph&amp;tracks=[key:gene_model_track,Options:GeneOnly]&amp;mk=2837519:2837538|offset_22|444444,2837473:2837492|offset_68|444444,2837429:2837448|offset_112|00cc00,2837409:2837428|offset_132|444444&amp;v=2837318:2837628&amp;c=444444", "offset 112")</f>
        <v>offset 112</v>
      </c>
    </row>
    <row r="10052" customFormat="false" ht="12.8" hidden="false" customHeight="false" outlineLevel="0" collapsed="false">
      <c r="A10052" s="0" t="s">
        <v>12</v>
      </c>
      <c r="B10052" s="0" t="n">
        <v>2837408</v>
      </c>
      <c r="C10052" s="0" t="n">
        <v>2837428</v>
      </c>
      <c r="D10052" s="0" t="s">
        <v>33536</v>
      </c>
      <c r="E10052" s="0" t="s">
        <v>33537</v>
      </c>
      <c r="F10052" s="0" t="s">
        <v>90</v>
      </c>
      <c r="G10052" s="0" t="s">
        <v>32</v>
      </c>
      <c r="H10052" s="0" t="n">
        <v>132</v>
      </c>
      <c r="I10052" s="0" t="s">
        <v>33547</v>
      </c>
      <c r="J10052" s="0" t="s">
        <v>33548</v>
      </c>
      <c r="K10052" s="0" t="s">
        <v>33549</v>
      </c>
      <c r="L10052" s="0" t="str">
        <f aca="false">HYPERLINK("https://www.ncbi.nlm.nih.gov/nuccore/CP000304.1?report=graph&amp;tracks=[key:gene_model_track,Options:GeneOnly]&amp;mk=2837519:2837538|offset_22|444444,2837473:2837492|offset_68|444444,2837429:2837448|offset_112|444444,2837409:2837428|offset_132|00cc00&amp;v=2837318:2837628&amp;c=444444", "offset 132")</f>
        <v>offset 132</v>
      </c>
    </row>
    <row r="10053" customFormat="false" ht="12.8" hidden="false" customHeight="false" outlineLevel="0" collapsed="false">
      <c r="A10053" s="0" t="s">
        <v>12</v>
      </c>
      <c r="B10053" s="0" t="n">
        <v>2838599</v>
      </c>
      <c r="C10053" s="0" t="n">
        <v>2838619</v>
      </c>
      <c r="D10053" s="0" t="s">
        <v>33550</v>
      </c>
      <c r="E10053" s="0" t="s">
        <v>89</v>
      </c>
      <c r="F10053" s="0" t="s">
        <v>90</v>
      </c>
      <c r="G10053" s="0" t="s">
        <v>16</v>
      </c>
      <c r="H10053" s="0" t="n">
        <v>8</v>
      </c>
      <c r="I10053" s="0" t="s">
        <v>33551</v>
      </c>
      <c r="J10053" s="0" t="s">
        <v>33552</v>
      </c>
      <c r="K10053" s="0" t="s">
        <v>33553</v>
      </c>
      <c r="L10053" s="0" t="str">
        <f aca="false">HYPERLINK("https://www.ncbi.nlm.nih.gov/nuccore/CP000304.1?report=graph&amp;tracks=[key:gene_model_track,Options:GeneOnly]&amp;mk=2838600:2838619|offset_8|00cc00,2838535:2838554|offset_73|444444,2838506:2838525|offset_102|444444,2838464:2838483|offset_144|444444&amp;v=2838399:2838683&amp;c=444444", "offset 8")</f>
        <v>offset 8</v>
      </c>
    </row>
    <row r="10054" customFormat="false" ht="12.8" hidden="false" customHeight="false" outlineLevel="0" collapsed="false">
      <c r="A10054" s="0" t="s">
        <v>12</v>
      </c>
      <c r="B10054" s="0" t="n">
        <v>2838534</v>
      </c>
      <c r="C10054" s="0" t="n">
        <v>2838554</v>
      </c>
      <c r="D10054" s="0" t="s">
        <v>33550</v>
      </c>
      <c r="E10054" s="0" t="s">
        <v>89</v>
      </c>
      <c r="F10054" s="0" t="s">
        <v>90</v>
      </c>
      <c r="G10054" s="0" t="s">
        <v>26</v>
      </c>
      <c r="H10054" s="0" t="n">
        <v>73</v>
      </c>
      <c r="I10054" s="0" t="s">
        <v>33554</v>
      </c>
      <c r="J10054" s="0" t="s">
        <v>33555</v>
      </c>
      <c r="K10054" s="0" t="s">
        <v>33556</v>
      </c>
      <c r="L10054" s="0" t="str">
        <f aca="false">HYPERLINK("https://www.ncbi.nlm.nih.gov/nuccore/CP000304.1?report=graph&amp;tracks=[key:gene_model_track,Options:GeneOnly]&amp;mk=2838600:2838619|offset_8|444444,2838535:2838554|offset_73|00cc00,2838506:2838525|offset_102|444444,2838464:2838483|offset_144|444444&amp;v=2838399:2838683&amp;c=444444", "offset 73")</f>
        <v>offset 73</v>
      </c>
    </row>
    <row r="10055" customFormat="false" ht="12.8" hidden="false" customHeight="false" outlineLevel="0" collapsed="false">
      <c r="A10055" s="0" t="s">
        <v>12</v>
      </c>
      <c r="B10055" s="0" t="n">
        <v>2838505</v>
      </c>
      <c r="C10055" s="0" t="n">
        <v>2838525</v>
      </c>
      <c r="D10055" s="0" t="s">
        <v>33550</v>
      </c>
      <c r="E10055" s="0" t="s">
        <v>89</v>
      </c>
      <c r="F10055" s="0" t="s">
        <v>90</v>
      </c>
      <c r="G10055" s="0" t="s">
        <v>36</v>
      </c>
      <c r="H10055" s="0" t="n">
        <v>102</v>
      </c>
      <c r="I10055" s="0" t="s">
        <v>33557</v>
      </c>
      <c r="J10055" s="0" t="s">
        <v>33558</v>
      </c>
      <c r="K10055" s="0" t="s">
        <v>33559</v>
      </c>
      <c r="L10055" s="0" t="str">
        <f aca="false">HYPERLINK("https://www.ncbi.nlm.nih.gov/nuccore/CP000304.1?report=graph&amp;tracks=[key:gene_model_track,Options:GeneOnly]&amp;mk=2838600:2838619|offset_8|444444,2838535:2838554|offset_73|444444,2838506:2838525|offset_102|00cc00,2838464:2838483|offset_144|444444&amp;v=2838399:2838683&amp;c=444444", "offset 102")</f>
        <v>offset 102</v>
      </c>
    </row>
    <row r="10056" customFormat="false" ht="12.8" hidden="false" customHeight="false" outlineLevel="0" collapsed="false">
      <c r="A10056" s="0" t="s">
        <v>12</v>
      </c>
      <c r="B10056" s="0" t="n">
        <v>2838463</v>
      </c>
      <c r="C10056" s="0" t="n">
        <v>2838483</v>
      </c>
      <c r="D10056" s="0" t="s">
        <v>33550</v>
      </c>
      <c r="E10056" s="0" t="s">
        <v>89</v>
      </c>
      <c r="F10056" s="0" t="s">
        <v>90</v>
      </c>
      <c r="G10056" s="0" t="s">
        <v>36</v>
      </c>
      <c r="H10056" s="0" t="n">
        <v>144</v>
      </c>
      <c r="I10056" s="0" t="s">
        <v>33560</v>
      </c>
      <c r="J10056" s="0" t="s">
        <v>33561</v>
      </c>
      <c r="K10056" s="0" t="s">
        <v>33562</v>
      </c>
      <c r="L10056" s="0" t="str">
        <f aca="false">HYPERLINK("https://www.ncbi.nlm.nih.gov/nuccore/CP000304.1?report=graph&amp;tracks=[key:gene_model_track,Options:GeneOnly]&amp;mk=2838600:2838619|offset_8|444444,2838535:2838554|offset_73|444444,2838506:2838525|offset_102|444444,2838464:2838483|offset_144|00cc00&amp;v=2838399:2838683&amp;c=444444", "offset 144")</f>
        <v>offset 144</v>
      </c>
    </row>
    <row r="10057" customFormat="false" ht="12.8" hidden="false" customHeight="false" outlineLevel="0" collapsed="false">
      <c r="A10057" s="0" t="s">
        <v>12</v>
      </c>
      <c r="B10057" s="0" t="n">
        <v>2839395</v>
      </c>
      <c r="C10057" s="0" t="n">
        <v>2839415</v>
      </c>
      <c r="D10057" s="0" t="s">
        <v>33563</v>
      </c>
      <c r="E10057" s="0" t="s">
        <v>33564</v>
      </c>
      <c r="F10057" s="0" t="s">
        <v>90</v>
      </c>
      <c r="G10057" s="0" t="s">
        <v>36</v>
      </c>
      <c r="H10057" s="0" t="n">
        <v>30</v>
      </c>
      <c r="I10057" s="0" t="s">
        <v>33565</v>
      </c>
      <c r="J10057" s="0" t="s">
        <v>33566</v>
      </c>
      <c r="K10057" s="0" t="s">
        <v>33567</v>
      </c>
      <c r="L10057" s="0" t="str">
        <f aca="false">HYPERLINK("https://www.ncbi.nlm.nih.gov/nuccore/CP000304.1?report=graph&amp;tracks=[key:gene_model_track,Options:GeneOnly]&amp;mk=2839396:2839415|offset_30|00cc00,2839359:2839378|offset_67|444444,2839331:2839350|offset_95|444444,2839283:2839302|offset_143|444444&amp;v=2839195:2839502&amp;c=444444", "offset 30")</f>
        <v>offset 30</v>
      </c>
    </row>
    <row r="10058" customFormat="false" ht="12.8" hidden="false" customHeight="false" outlineLevel="0" collapsed="false">
      <c r="A10058" s="0" t="s">
        <v>12</v>
      </c>
      <c r="B10058" s="0" t="n">
        <v>2839358</v>
      </c>
      <c r="C10058" s="0" t="n">
        <v>2839378</v>
      </c>
      <c r="D10058" s="0" t="s">
        <v>33563</v>
      </c>
      <c r="E10058" s="0" t="s">
        <v>33564</v>
      </c>
      <c r="F10058" s="0" t="s">
        <v>90</v>
      </c>
      <c r="G10058" s="0" t="s">
        <v>26</v>
      </c>
      <c r="H10058" s="0" t="n">
        <v>67</v>
      </c>
      <c r="I10058" s="0" t="s">
        <v>33568</v>
      </c>
      <c r="J10058" s="0" t="s">
        <v>33569</v>
      </c>
      <c r="K10058" s="0" t="s">
        <v>33570</v>
      </c>
      <c r="L10058" s="0" t="str">
        <f aca="false">HYPERLINK("https://www.ncbi.nlm.nih.gov/nuccore/CP000304.1?report=graph&amp;tracks=[key:gene_model_track,Options:GeneOnly]&amp;mk=2839396:2839415|offset_30|444444,2839359:2839378|offset_67|00cc00,2839331:2839350|offset_95|444444,2839283:2839302|offset_143|444444&amp;v=2839195:2839502&amp;c=444444", "offset 67")</f>
        <v>offset 67</v>
      </c>
    </row>
    <row r="10059" customFormat="false" ht="12.8" hidden="false" customHeight="false" outlineLevel="0" collapsed="false">
      <c r="A10059" s="0" t="s">
        <v>12</v>
      </c>
      <c r="B10059" s="0" t="n">
        <v>2839330</v>
      </c>
      <c r="C10059" s="0" t="n">
        <v>2839350</v>
      </c>
      <c r="D10059" s="0" t="s">
        <v>33563</v>
      </c>
      <c r="E10059" s="0" t="s">
        <v>33564</v>
      </c>
      <c r="F10059" s="0" t="s">
        <v>90</v>
      </c>
      <c r="G10059" s="0" t="s">
        <v>16</v>
      </c>
      <c r="H10059" s="0" t="n">
        <v>95</v>
      </c>
      <c r="I10059" s="0" t="s">
        <v>33571</v>
      </c>
      <c r="J10059" s="0" t="s">
        <v>33572</v>
      </c>
      <c r="K10059" s="0" t="s">
        <v>33573</v>
      </c>
      <c r="L10059" s="0" t="str">
        <f aca="false">HYPERLINK("https://www.ncbi.nlm.nih.gov/nuccore/CP000304.1?report=graph&amp;tracks=[key:gene_model_track,Options:GeneOnly]&amp;mk=2839396:2839415|offset_30|444444,2839359:2839378|offset_67|444444,2839331:2839350|offset_95|00cc00,2839283:2839302|offset_143|444444&amp;v=2839195:2839502&amp;c=444444", "offset 95")</f>
        <v>offset 95</v>
      </c>
    </row>
    <row r="10060" customFormat="false" ht="12.8" hidden="false" customHeight="false" outlineLevel="0" collapsed="false">
      <c r="A10060" s="0" t="s">
        <v>12</v>
      </c>
      <c r="B10060" s="0" t="n">
        <v>2839282</v>
      </c>
      <c r="C10060" s="0" t="n">
        <v>2839302</v>
      </c>
      <c r="D10060" s="0" t="s">
        <v>33563</v>
      </c>
      <c r="E10060" s="0" t="s">
        <v>33564</v>
      </c>
      <c r="F10060" s="0" t="s">
        <v>90</v>
      </c>
      <c r="G10060" s="0" t="s">
        <v>26</v>
      </c>
      <c r="H10060" s="0" t="n">
        <v>143</v>
      </c>
      <c r="I10060" s="0" t="s">
        <v>33574</v>
      </c>
      <c r="J10060" s="0" t="s">
        <v>33575</v>
      </c>
      <c r="K10060" s="0" t="s">
        <v>33576</v>
      </c>
      <c r="L10060" s="0" t="str">
        <f aca="false">HYPERLINK("https://www.ncbi.nlm.nih.gov/nuccore/CP000304.1?report=graph&amp;tracks=[key:gene_model_track,Options:GeneOnly]&amp;mk=2839396:2839415|offset_30|444444,2839359:2839378|offset_67|444444,2839331:2839350|offset_95|444444,2839283:2839302|offset_143|00cc00&amp;v=2839195:2839502&amp;c=444444", "offset 143")</f>
        <v>offset 143</v>
      </c>
    </row>
    <row r="10061" customFormat="false" ht="12.8" hidden="false" customHeight="false" outlineLevel="0" collapsed="false">
      <c r="A10061" s="0" t="s">
        <v>12</v>
      </c>
      <c r="B10061" s="0" t="n">
        <v>2840618</v>
      </c>
      <c r="C10061" s="0" t="n">
        <v>2840638</v>
      </c>
      <c r="D10061" s="0" t="s">
        <v>33577</v>
      </c>
      <c r="E10061" s="0" t="s">
        <v>33578</v>
      </c>
      <c r="F10061" s="0" t="s">
        <v>90</v>
      </c>
      <c r="G10061" s="0" t="s">
        <v>26</v>
      </c>
      <c r="H10061" s="0" t="n">
        <v>12</v>
      </c>
      <c r="I10061" s="0" t="s">
        <v>33579</v>
      </c>
      <c r="J10061" s="0" t="s">
        <v>33580</v>
      </c>
      <c r="K10061" s="0" t="s">
        <v>33581</v>
      </c>
      <c r="L10061" s="0" t="str">
        <f aca="false">HYPERLINK("https://www.ncbi.nlm.nih.gov/nuccore/CP000304.1?report=graph&amp;tracks=[key:gene_model_track,Options:GeneOnly]&amp;mk=2840619:2840638|offset_12|00cc00,2840557:2840576|offset_74|444444,2840531:2840550|offset_100|444444,2840475:2840494|offset_156|444444&amp;v=2840418:2840694&amp;c=444444", "offset 12")</f>
        <v>offset 12</v>
      </c>
    </row>
    <row r="10062" customFormat="false" ht="12.8" hidden="false" customHeight="false" outlineLevel="0" collapsed="false">
      <c r="A10062" s="0" t="s">
        <v>12</v>
      </c>
      <c r="B10062" s="0" t="n">
        <v>2840556</v>
      </c>
      <c r="C10062" s="0" t="n">
        <v>2840576</v>
      </c>
      <c r="D10062" s="0" t="s">
        <v>33577</v>
      </c>
      <c r="E10062" s="0" t="s">
        <v>33578</v>
      </c>
      <c r="F10062" s="0" t="s">
        <v>90</v>
      </c>
      <c r="G10062" s="0" t="s">
        <v>26</v>
      </c>
      <c r="H10062" s="0" t="n">
        <v>74</v>
      </c>
      <c r="I10062" s="0" t="s">
        <v>33582</v>
      </c>
      <c r="J10062" s="0" t="s">
        <v>33583</v>
      </c>
      <c r="K10062" s="0" t="s">
        <v>33584</v>
      </c>
      <c r="L10062" s="0" t="str">
        <f aca="false">HYPERLINK("https://www.ncbi.nlm.nih.gov/nuccore/CP000304.1?report=graph&amp;tracks=[key:gene_model_track,Options:GeneOnly]&amp;mk=2840619:2840638|offset_12|444444,2840557:2840576|offset_74|00cc00,2840531:2840550|offset_100|444444,2840475:2840494|offset_156|444444&amp;v=2840418:2840694&amp;c=444444", "offset 74")</f>
        <v>offset 74</v>
      </c>
    </row>
    <row r="10063" customFormat="false" ht="12.8" hidden="false" customHeight="false" outlineLevel="0" collapsed="false">
      <c r="A10063" s="0" t="s">
        <v>12</v>
      </c>
      <c r="B10063" s="0" t="n">
        <v>2840530</v>
      </c>
      <c r="C10063" s="0" t="n">
        <v>2840550</v>
      </c>
      <c r="D10063" s="0" t="s">
        <v>33577</v>
      </c>
      <c r="E10063" s="0" t="s">
        <v>33578</v>
      </c>
      <c r="F10063" s="0" t="s">
        <v>90</v>
      </c>
      <c r="G10063" s="0" t="s">
        <v>26</v>
      </c>
      <c r="H10063" s="0" t="n">
        <v>100</v>
      </c>
      <c r="I10063" s="0" t="s">
        <v>33585</v>
      </c>
      <c r="J10063" s="0" t="s">
        <v>33586</v>
      </c>
      <c r="K10063" s="0" t="s">
        <v>33587</v>
      </c>
      <c r="L10063" s="0" t="str">
        <f aca="false">HYPERLINK("https://www.ncbi.nlm.nih.gov/nuccore/CP000304.1?report=graph&amp;tracks=[key:gene_model_track,Options:GeneOnly]&amp;mk=2840619:2840638|offset_12|444444,2840557:2840576|offset_74|444444,2840531:2840550|offset_100|00cc00,2840475:2840494|offset_156|444444&amp;v=2840418:2840694&amp;c=444444", "offset 100")</f>
        <v>offset 100</v>
      </c>
    </row>
    <row r="10064" customFormat="false" ht="12.8" hidden="false" customHeight="false" outlineLevel="0" collapsed="false">
      <c r="A10064" s="0" t="s">
        <v>12</v>
      </c>
      <c r="B10064" s="0" t="n">
        <v>2840474</v>
      </c>
      <c r="C10064" s="0" t="n">
        <v>2840494</v>
      </c>
      <c r="D10064" s="0" t="s">
        <v>33577</v>
      </c>
      <c r="E10064" s="0" t="s">
        <v>33578</v>
      </c>
      <c r="F10064" s="0" t="s">
        <v>90</v>
      </c>
      <c r="G10064" s="0" t="s">
        <v>36</v>
      </c>
      <c r="H10064" s="0" t="n">
        <v>156</v>
      </c>
      <c r="I10064" s="0" t="s">
        <v>33588</v>
      </c>
      <c r="J10064" s="0" t="s">
        <v>33589</v>
      </c>
      <c r="K10064" s="0" t="s">
        <v>33590</v>
      </c>
      <c r="L10064" s="0" t="str">
        <f aca="false">HYPERLINK("https://www.ncbi.nlm.nih.gov/nuccore/CP000304.1?report=graph&amp;tracks=[key:gene_model_track,Options:GeneOnly]&amp;mk=2840619:2840638|offset_12|444444,2840557:2840576|offset_74|444444,2840531:2840550|offset_100|444444,2840475:2840494|offset_156|00cc00&amp;v=2840418:2840694&amp;c=444444", "offset 156")</f>
        <v>offset 156</v>
      </c>
    </row>
    <row r="10065" customFormat="false" ht="12.8" hidden="false" customHeight="false" outlineLevel="0" collapsed="false">
      <c r="A10065" s="0" t="s">
        <v>12</v>
      </c>
      <c r="B10065" s="0" t="n">
        <v>2841057</v>
      </c>
      <c r="C10065" s="0" t="n">
        <v>2841077</v>
      </c>
      <c r="D10065" s="0" t="s">
        <v>33591</v>
      </c>
      <c r="E10065" s="0" t="s">
        <v>33592</v>
      </c>
      <c r="F10065" s="0" t="s">
        <v>90</v>
      </c>
      <c r="G10065" s="0" t="s">
        <v>32</v>
      </c>
      <c r="H10065" s="0" t="n">
        <v>10</v>
      </c>
      <c r="I10065" s="0" t="s">
        <v>33593</v>
      </c>
      <c r="J10065" s="0" t="s">
        <v>33594</v>
      </c>
      <c r="K10065" s="0" t="s">
        <v>33595</v>
      </c>
      <c r="L10065" s="0" t="str">
        <f aca="false">HYPERLINK("https://www.ncbi.nlm.nih.gov/nuccore/CP000304.1?report=graph&amp;tracks=[key:gene_model_track,Options:GeneOnly]&amp;mk=2841058:2841077|offset_10|00cc00,2841028:2841047|offset_40|444444,2840995:2841014|offset_73|444444,2840970:2840989|offset_98|444444&amp;v=2840857:2841189&amp;c=444444", "offset 10")</f>
        <v>offset 10</v>
      </c>
    </row>
    <row r="10066" customFormat="false" ht="12.8" hidden="false" customHeight="false" outlineLevel="0" collapsed="false">
      <c r="A10066" s="0" t="s">
        <v>12</v>
      </c>
      <c r="B10066" s="0" t="n">
        <v>2841027</v>
      </c>
      <c r="C10066" s="0" t="n">
        <v>2841047</v>
      </c>
      <c r="D10066" s="0" t="s">
        <v>33591</v>
      </c>
      <c r="E10066" s="0" t="s">
        <v>33592</v>
      </c>
      <c r="F10066" s="0" t="s">
        <v>90</v>
      </c>
      <c r="G10066" s="0" t="s">
        <v>16</v>
      </c>
      <c r="H10066" s="0" t="n">
        <v>40</v>
      </c>
      <c r="I10066" s="0" t="s">
        <v>33596</v>
      </c>
      <c r="J10066" s="0" t="s">
        <v>33597</v>
      </c>
      <c r="K10066" s="0" t="s">
        <v>33598</v>
      </c>
      <c r="L10066" s="0" t="str">
        <f aca="false">HYPERLINK("https://www.ncbi.nlm.nih.gov/nuccore/CP000304.1?report=graph&amp;tracks=[key:gene_model_track,Options:GeneOnly]&amp;mk=2841058:2841077|offset_10|444444,2841028:2841047|offset_40|00cc00,2840995:2841014|offset_73|444444,2840970:2840989|offset_98|444444&amp;v=2840857:2841189&amp;c=444444", "offset 40")</f>
        <v>offset 40</v>
      </c>
    </row>
    <row r="10067" customFormat="false" ht="12.8" hidden="false" customHeight="false" outlineLevel="0" collapsed="false">
      <c r="A10067" s="0" t="s">
        <v>12</v>
      </c>
      <c r="B10067" s="0" t="n">
        <v>2840994</v>
      </c>
      <c r="C10067" s="0" t="n">
        <v>2841014</v>
      </c>
      <c r="D10067" s="0" t="s">
        <v>33591</v>
      </c>
      <c r="E10067" s="0" t="s">
        <v>33592</v>
      </c>
      <c r="F10067" s="0" t="s">
        <v>90</v>
      </c>
      <c r="G10067" s="0" t="s">
        <v>32</v>
      </c>
      <c r="H10067" s="0" t="n">
        <v>73</v>
      </c>
      <c r="I10067" s="0" t="s">
        <v>33599</v>
      </c>
      <c r="J10067" s="0" t="s">
        <v>33600</v>
      </c>
      <c r="K10067" s="0" t="s">
        <v>33601</v>
      </c>
      <c r="L10067" s="0" t="str">
        <f aca="false">HYPERLINK("https://www.ncbi.nlm.nih.gov/nuccore/CP000304.1?report=graph&amp;tracks=[key:gene_model_track,Options:GeneOnly]&amp;mk=2841058:2841077|offset_10|444444,2841028:2841047|offset_40|444444,2840995:2841014|offset_73|00cc00,2840970:2840989|offset_98|444444&amp;v=2840857:2841189&amp;c=444444", "offset 73")</f>
        <v>offset 73</v>
      </c>
    </row>
    <row r="10068" customFormat="false" ht="12.8" hidden="false" customHeight="false" outlineLevel="0" collapsed="false">
      <c r="A10068" s="0" t="s">
        <v>12</v>
      </c>
      <c r="B10068" s="0" t="n">
        <v>2840969</v>
      </c>
      <c r="C10068" s="0" t="n">
        <v>2840989</v>
      </c>
      <c r="D10068" s="0" t="s">
        <v>33591</v>
      </c>
      <c r="E10068" s="0" t="s">
        <v>33592</v>
      </c>
      <c r="F10068" s="0" t="s">
        <v>90</v>
      </c>
      <c r="G10068" s="0" t="s">
        <v>26</v>
      </c>
      <c r="H10068" s="0" t="n">
        <v>98</v>
      </c>
      <c r="I10068" s="0" t="s">
        <v>33602</v>
      </c>
      <c r="J10068" s="0" t="s">
        <v>33603</v>
      </c>
      <c r="K10068" s="0" t="s">
        <v>33604</v>
      </c>
      <c r="L10068" s="0" t="str">
        <f aca="false">HYPERLINK("https://www.ncbi.nlm.nih.gov/nuccore/CP000304.1?report=graph&amp;tracks=[key:gene_model_track,Options:GeneOnly]&amp;mk=2841058:2841077|offset_10|444444,2841028:2841047|offset_40|444444,2840995:2841014|offset_73|444444,2840970:2840989|offset_98|00cc00&amp;v=2840857:2841189&amp;c=444444", "offset 98")</f>
        <v>offset 98</v>
      </c>
    </row>
    <row r="10069" customFormat="false" ht="12.8" hidden="false" customHeight="false" outlineLevel="0" collapsed="false">
      <c r="A10069" s="0" t="s">
        <v>12</v>
      </c>
      <c r="B10069" s="0" t="n">
        <v>2841960</v>
      </c>
      <c r="C10069" s="0" t="n">
        <v>2841980</v>
      </c>
      <c r="D10069" s="0" t="s">
        <v>33605</v>
      </c>
      <c r="E10069" s="0" t="s">
        <v>89</v>
      </c>
      <c r="F10069" s="0" t="s">
        <v>90</v>
      </c>
      <c r="G10069" s="0" t="s">
        <v>16</v>
      </c>
      <c r="H10069" s="0" t="n">
        <v>44</v>
      </c>
      <c r="I10069" s="0" t="s">
        <v>33606</v>
      </c>
      <c r="J10069" s="0" t="s">
        <v>33607</v>
      </c>
      <c r="K10069" s="0" t="s">
        <v>33608</v>
      </c>
      <c r="L10069" s="0" t="str">
        <f aca="false">HYPERLINK("https://www.ncbi.nlm.nih.gov/nuccore/CP000304.1?report=graph&amp;tracks=[key:gene_model_track,Options:GeneOnly]&amp;mk=2841961:2841980|offset_44|00cc00,2841938:2841957|offset_67|444444,2841893:2841912|offset_112|444444,2841866:2841885|offset_139|444444&amp;v=2841760:2842085&amp;c=444444", "offset 44")</f>
        <v>offset 44</v>
      </c>
    </row>
    <row r="10070" customFormat="false" ht="12.8" hidden="false" customHeight="false" outlineLevel="0" collapsed="false">
      <c r="A10070" s="0" t="s">
        <v>12</v>
      </c>
      <c r="B10070" s="0" t="n">
        <v>2841937</v>
      </c>
      <c r="C10070" s="0" t="n">
        <v>2841957</v>
      </c>
      <c r="D10070" s="0" t="s">
        <v>33605</v>
      </c>
      <c r="E10070" s="0" t="s">
        <v>89</v>
      </c>
      <c r="F10070" s="0" t="s">
        <v>90</v>
      </c>
      <c r="G10070" s="0" t="s">
        <v>36</v>
      </c>
      <c r="H10070" s="0" t="n">
        <v>67</v>
      </c>
      <c r="I10070" s="0" t="s">
        <v>33609</v>
      </c>
      <c r="J10070" s="0" t="s">
        <v>33610</v>
      </c>
      <c r="K10070" s="0" t="s">
        <v>33611</v>
      </c>
      <c r="L10070" s="0" t="str">
        <f aca="false">HYPERLINK("https://www.ncbi.nlm.nih.gov/nuccore/CP000304.1?report=graph&amp;tracks=[key:gene_model_track,Options:GeneOnly]&amp;mk=2841961:2841980|offset_44|444444,2841938:2841957|offset_67|00cc00,2841893:2841912|offset_112|444444,2841866:2841885|offset_139|444444&amp;v=2841760:2842085&amp;c=444444", "offset 67")</f>
        <v>offset 67</v>
      </c>
    </row>
    <row r="10071" customFormat="false" ht="12.8" hidden="false" customHeight="false" outlineLevel="0" collapsed="false">
      <c r="A10071" s="0" t="s">
        <v>12</v>
      </c>
      <c r="B10071" s="0" t="n">
        <v>2841892</v>
      </c>
      <c r="C10071" s="0" t="n">
        <v>2841912</v>
      </c>
      <c r="D10071" s="0" t="s">
        <v>33605</v>
      </c>
      <c r="E10071" s="0" t="s">
        <v>89</v>
      </c>
      <c r="F10071" s="0" t="s">
        <v>90</v>
      </c>
      <c r="G10071" s="0" t="s">
        <v>32</v>
      </c>
      <c r="H10071" s="0" t="n">
        <v>112</v>
      </c>
      <c r="I10071" s="0" t="s">
        <v>33612</v>
      </c>
      <c r="J10071" s="0" t="s">
        <v>33613</v>
      </c>
      <c r="K10071" s="0" t="s">
        <v>33614</v>
      </c>
      <c r="L10071" s="0" t="str">
        <f aca="false">HYPERLINK("https://www.ncbi.nlm.nih.gov/nuccore/CP000304.1?report=graph&amp;tracks=[key:gene_model_track,Options:GeneOnly]&amp;mk=2841961:2841980|offset_44|444444,2841938:2841957|offset_67|444444,2841893:2841912|offset_112|00cc00,2841866:2841885|offset_139|444444&amp;v=2841760:2842085&amp;c=444444", "offset 112")</f>
        <v>offset 112</v>
      </c>
    </row>
    <row r="10072" customFormat="false" ht="12.8" hidden="false" customHeight="false" outlineLevel="0" collapsed="false">
      <c r="A10072" s="0" t="s">
        <v>12</v>
      </c>
      <c r="B10072" s="0" t="n">
        <v>2841865</v>
      </c>
      <c r="C10072" s="0" t="n">
        <v>2841885</v>
      </c>
      <c r="D10072" s="0" t="s">
        <v>33605</v>
      </c>
      <c r="E10072" s="0" t="s">
        <v>89</v>
      </c>
      <c r="F10072" s="0" t="s">
        <v>90</v>
      </c>
      <c r="G10072" s="0" t="s">
        <v>16</v>
      </c>
      <c r="H10072" s="0" t="n">
        <v>139</v>
      </c>
      <c r="I10072" s="0" t="s">
        <v>33615</v>
      </c>
      <c r="J10072" s="0" t="s">
        <v>33616</v>
      </c>
      <c r="K10072" s="0" t="s">
        <v>33617</v>
      </c>
      <c r="L10072" s="0" t="str">
        <f aca="false">HYPERLINK("https://www.ncbi.nlm.nih.gov/nuccore/CP000304.1?report=graph&amp;tracks=[key:gene_model_track,Options:GeneOnly]&amp;mk=2841961:2841980|offset_44|444444,2841938:2841957|offset_67|444444,2841893:2841912|offset_112|444444,2841866:2841885|offset_139|00cc00&amp;v=2841760:2842085&amp;c=444444", "offset 139")</f>
        <v>offset 139</v>
      </c>
    </row>
    <row r="10073" customFormat="false" ht="12.8" hidden="false" customHeight="false" outlineLevel="0" collapsed="false">
      <c r="A10073" s="0" t="s">
        <v>12</v>
      </c>
      <c r="B10073" s="0" t="n">
        <v>2842950</v>
      </c>
      <c r="C10073" s="0" t="n">
        <v>2842970</v>
      </c>
      <c r="D10073" s="0" t="s">
        <v>33618</v>
      </c>
      <c r="E10073" s="0" t="s">
        <v>89</v>
      </c>
      <c r="F10073" s="0" t="s">
        <v>90</v>
      </c>
      <c r="G10073" s="0" t="s">
        <v>16</v>
      </c>
      <c r="H10073" s="0" t="n">
        <v>7</v>
      </c>
      <c r="I10073" s="0" t="s">
        <v>33619</v>
      </c>
      <c r="J10073" s="0" t="s">
        <v>33620</v>
      </c>
      <c r="K10073" s="0" t="s">
        <v>33621</v>
      </c>
      <c r="L10073" s="0" t="str">
        <f aca="false">HYPERLINK("https://www.ncbi.nlm.nih.gov/nuccore/CP000304.1?report=graph&amp;tracks=[key:gene_model_track,Options:GeneOnly]&amp;mk=2842951:2842970|offset_7|00cc00,2842928:2842947|offset_30|444444,2842894:2842913|offset_64|444444,2842858:2842877|offset_100|444444&amp;v=2842750:2843077&amp;c=444444", "offset 7")</f>
        <v>offset 7</v>
      </c>
    </row>
    <row r="10074" customFormat="false" ht="12.8" hidden="false" customHeight="false" outlineLevel="0" collapsed="false">
      <c r="A10074" s="0" t="s">
        <v>12</v>
      </c>
      <c r="B10074" s="0" t="n">
        <v>2842927</v>
      </c>
      <c r="C10074" s="0" t="n">
        <v>2842947</v>
      </c>
      <c r="D10074" s="0" t="s">
        <v>33618</v>
      </c>
      <c r="E10074" s="0" t="s">
        <v>89</v>
      </c>
      <c r="F10074" s="0" t="s">
        <v>90</v>
      </c>
      <c r="G10074" s="0" t="s">
        <v>36</v>
      </c>
      <c r="H10074" s="0" t="n">
        <v>30</v>
      </c>
      <c r="I10074" s="0" t="s">
        <v>33622</v>
      </c>
      <c r="J10074" s="0" t="s">
        <v>33623</v>
      </c>
      <c r="K10074" s="0" t="s">
        <v>33624</v>
      </c>
      <c r="L10074" s="0" t="str">
        <f aca="false">HYPERLINK("https://www.ncbi.nlm.nih.gov/nuccore/CP000304.1?report=graph&amp;tracks=[key:gene_model_track,Options:GeneOnly]&amp;mk=2842951:2842970|offset_7|444444,2842928:2842947|offset_30|00cc00,2842894:2842913|offset_64|444444,2842858:2842877|offset_100|444444&amp;v=2842750:2843077&amp;c=444444", "offset 30")</f>
        <v>offset 30</v>
      </c>
    </row>
    <row r="10075" customFormat="false" ht="12.8" hidden="false" customHeight="false" outlineLevel="0" collapsed="false">
      <c r="A10075" s="0" t="s">
        <v>12</v>
      </c>
      <c r="B10075" s="0" t="n">
        <v>2842893</v>
      </c>
      <c r="C10075" s="0" t="n">
        <v>2842913</v>
      </c>
      <c r="D10075" s="0" t="s">
        <v>33618</v>
      </c>
      <c r="E10075" s="0" t="s">
        <v>89</v>
      </c>
      <c r="F10075" s="0" t="s">
        <v>90</v>
      </c>
      <c r="G10075" s="0" t="s">
        <v>16</v>
      </c>
      <c r="H10075" s="0" t="n">
        <v>64</v>
      </c>
      <c r="I10075" s="0" t="s">
        <v>33625</v>
      </c>
      <c r="J10075" s="0" t="s">
        <v>33626</v>
      </c>
      <c r="K10075" s="0" t="s">
        <v>33627</v>
      </c>
      <c r="L10075" s="0" t="str">
        <f aca="false">HYPERLINK("https://www.ncbi.nlm.nih.gov/nuccore/CP000304.1?report=graph&amp;tracks=[key:gene_model_track,Options:GeneOnly]&amp;mk=2842951:2842970|offset_7|444444,2842928:2842947|offset_30|444444,2842894:2842913|offset_64|00cc00,2842858:2842877|offset_100|444444&amp;v=2842750:2843077&amp;c=444444", "offset 64")</f>
        <v>offset 64</v>
      </c>
    </row>
    <row r="10076" customFormat="false" ht="12.8" hidden="false" customHeight="false" outlineLevel="0" collapsed="false">
      <c r="A10076" s="0" t="s">
        <v>12</v>
      </c>
      <c r="B10076" s="0" t="n">
        <v>2842857</v>
      </c>
      <c r="C10076" s="0" t="n">
        <v>2842877</v>
      </c>
      <c r="D10076" s="0" t="s">
        <v>33618</v>
      </c>
      <c r="E10076" s="0" t="s">
        <v>89</v>
      </c>
      <c r="F10076" s="0" t="s">
        <v>90</v>
      </c>
      <c r="G10076" s="0" t="s">
        <v>26</v>
      </c>
      <c r="H10076" s="0" t="n">
        <v>100</v>
      </c>
      <c r="I10076" s="0" t="s">
        <v>33628</v>
      </c>
      <c r="J10076" s="0" t="s">
        <v>33629</v>
      </c>
      <c r="K10076" s="0" t="s">
        <v>33630</v>
      </c>
      <c r="L10076" s="0" t="str">
        <f aca="false">HYPERLINK("https://www.ncbi.nlm.nih.gov/nuccore/CP000304.1?report=graph&amp;tracks=[key:gene_model_track,Options:GeneOnly]&amp;mk=2842951:2842970|offset_7|444444,2842928:2842947|offset_30|444444,2842894:2842913|offset_64|444444,2842858:2842877|offset_100|00cc00&amp;v=2842750:2843077&amp;c=444444", "offset 100")</f>
        <v>offset 100</v>
      </c>
    </row>
    <row r="10077" customFormat="false" ht="12.8" hidden="false" customHeight="false" outlineLevel="0" collapsed="false">
      <c r="A10077" s="0" t="s">
        <v>12</v>
      </c>
      <c r="B10077" s="0" t="n">
        <v>2844038</v>
      </c>
      <c r="C10077" s="0" t="n">
        <v>2844058</v>
      </c>
      <c r="D10077" s="0" t="s">
        <v>33631</v>
      </c>
      <c r="E10077" s="0" t="s">
        <v>33632</v>
      </c>
      <c r="F10077" s="0" t="s">
        <v>90</v>
      </c>
      <c r="G10077" s="0" t="s">
        <v>36</v>
      </c>
      <c r="H10077" s="0" t="n">
        <v>21</v>
      </c>
      <c r="I10077" s="0" t="s">
        <v>33633</v>
      </c>
      <c r="J10077" s="0" t="s">
        <v>33634</v>
      </c>
      <c r="K10077" s="0" t="s">
        <v>33635</v>
      </c>
      <c r="L10077" s="0" t="str">
        <f aca="false">HYPERLINK("https://www.ncbi.nlm.nih.gov/nuccore/CP000304.1?report=graph&amp;tracks=[key:gene_model_track,Options:GeneOnly]&amp;mk=2844039:2844058|offset_21|00cc00,2844016:2844035|offset_44|444444,2843995:2844014|offset_65|444444,2843968:2843987|offset_92|444444&amp;v=2843838:2844187&amp;c=444444", "offset 21")</f>
        <v>offset 21</v>
      </c>
    </row>
    <row r="10078" customFormat="false" ht="12.8" hidden="false" customHeight="false" outlineLevel="0" collapsed="false">
      <c r="A10078" s="0" t="s">
        <v>12</v>
      </c>
      <c r="B10078" s="0" t="n">
        <v>2844015</v>
      </c>
      <c r="C10078" s="0" t="n">
        <v>2844035</v>
      </c>
      <c r="D10078" s="0" t="s">
        <v>33631</v>
      </c>
      <c r="E10078" s="0" t="s">
        <v>33632</v>
      </c>
      <c r="F10078" s="0" t="s">
        <v>90</v>
      </c>
      <c r="G10078" s="0" t="s">
        <v>26</v>
      </c>
      <c r="H10078" s="0" t="n">
        <v>44</v>
      </c>
      <c r="I10078" s="0" t="s">
        <v>33636</v>
      </c>
      <c r="J10078" s="0" t="s">
        <v>33637</v>
      </c>
      <c r="K10078" s="0" t="s">
        <v>33638</v>
      </c>
      <c r="L10078" s="0" t="str">
        <f aca="false">HYPERLINK("https://www.ncbi.nlm.nih.gov/nuccore/CP000304.1?report=graph&amp;tracks=[key:gene_model_track,Options:GeneOnly]&amp;mk=2844039:2844058|offset_21|444444,2844016:2844035|offset_44|00cc00,2843995:2844014|offset_65|444444,2843968:2843987|offset_92|444444&amp;v=2843838:2844187&amp;c=444444", "offset 44")</f>
        <v>offset 44</v>
      </c>
    </row>
    <row r="10079" customFormat="false" ht="12.8" hidden="false" customHeight="false" outlineLevel="0" collapsed="false">
      <c r="A10079" s="0" t="s">
        <v>12</v>
      </c>
      <c r="B10079" s="0" t="n">
        <v>2843994</v>
      </c>
      <c r="C10079" s="0" t="n">
        <v>2844014</v>
      </c>
      <c r="D10079" s="0" t="s">
        <v>33631</v>
      </c>
      <c r="E10079" s="0" t="s">
        <v>33632</v>
      </c>
      <c r="F10079" s="0" t="s">
        <v>90</v>
      </c>
      <c r="G10079" s="0" t="s">
        <v>36</v>
      </c>
      <c r="H10079" s="0" t="n">
        <v>65</v>
      </c>
      <c r="I10079" s="0" t="s">
        <v>33639</v>
      </c>
      <c r="J10079" s="0" t="s">
        <v>33640</v>
      </c>
      <c r="K10079" s="0" t="s">
        <v>33641</v>
      </c>
      <c r="L10079" s="0" t="str">
        <f aca="false">HYPERLINK("https://www.ncbi.nlm.nih.gov/nuccore/CP000304.1?report=graph&amp;tracks=[key:gene_model_track,Options:GeneOnly]&amp;mk=2844039:2844058|offset_21|444444,2844016:2844035|offset_44|444444,2843995:2844014|offset_65|00cc00,2843968:2843987|offset_92|444444&amp;v=2843838:2844187&amp;c=444444", "offset 65")</f>
        <v>offset 65</v>
      </c>
    </row>
    <row r="10080" customFormat="false" ht="12.8" hidden="false" customHeight="false" outlineLevel="0" collapsed="false">
      <c r="A10080" s="0" t="s">
        <v>12</v>
      </c>
      <c r="B10080" s="0" t="n">
        <v>2843967</v>
      </c>
      <c r="C10080" s="0" t="n">
        <v>2843987</v>
      </c>
      <c r="D10080" s="0" t="s">
        <v>33631</v>
      </c>
      <c r="E10080" s="0" t="s">
        <v>33632</v>
      </c>
      <c r="F10080" s="0" t="s">
        <v>90</v>
      </c>
      <c r="G10080" s="0" t="s">
        <v>32</v>
      </c>
      <c r="H10080" s="0" t="n">
        <v>92</v>
      </c>
      <c r="I10080" s="0" t="s">
        <v>33642</v>
      </c>
      <c r="J10080" s="0" t="s">
        <v>33643</v>
      </c>
      <c r="K10080" s="0" t="s">
        <v>33644</v>
      </c>
      <c r="L10080" s="0" t="str">
        <f aca="false">HYPERLINK("https://www.ncbi.nlm.nih.gov/nuccore/CP000304.1?report=graph&amp;tracks=[key:gene_model_track,Options:GeneOnly]&amp;mk=2844039:2844058|offset_21|444444,2844016:2844035|offset_44|444444,2843995:2844014|offset_65|444444,2843968:2843987|offset_92|00cc00&amp;v=2843838:2844187&amp;c=444444", "offset 92")</f>
        <v>offset 92</v>
      </c>
    </row>
    <row r="10081" customFormat="false" ht="12.8" hidden="false" customHeight="false" outlineLevel="0" collapsed="false">
      <c r="A10081" s="0" t="s">
        <v>12</v>
      </c>
      <c r="B10081" s="0" t="n">
        <v>2844247</v>
      </c>
      <c r="C10081" s="0" t="n">
        <v>2844267</v>
      </c>
      <c r="D10081" s="0" t="s">
        <v>33645</v>
      </c>
      <c r="E10081" s="0" t="s">
        <v>33646</v>
      </c>
      <c r="F10081" s="0" t="s">
        <v>90</v>
      </c>
      <c r="G10081" s="0" t="s">
        <v>36</v>
      </c>
      <c r="H10081" s="0" t="n">
        <v>28</v>
      </c>
      <c r="I10081" s="0" t="s">
        <v>33647</v>
      </c>
      <c r="J10081" s="0" t="s">
        <v>33648</v>
      </c>
      <c r="K10081" s="0" t="s">
        <v>33649</v>
      </c>
      <c r="L10081" s="0" t="str">
        <f aca="false">HYPERLINK("https://www.ncbi.nlm.nih.gov/nuccore/CP000304.1?report=graph&amp;tracks=[key:gene_model_track,Options:GeneOnly]&amp;mk=2844248:2844267|offset_28|00cc00,2844204:2844223|offset_72|444444,2844176:2844195|offset_100|444444,2844154:2844173|offset_122|444444&amp;v=2844047:2844373&amp;c=444444", "offset 28")</f>
        <v>offset 28</v>
      </c>
    </row>
    <row r="10082" customFormat="false" ht="12.8" hidden="false" customHeight="false" outlineLevel="0" collapsed="false">
      <c r="A10082" s="0" t="s">
        <v>12</v>
      </c>
      <c r="B10082" s="0" t="n">
        <v>2844203</v>
      </c>
      <c r="C10082" s="0" t="n">
        <v>2844223</v>
      </c>
      <c r="D10082" s="0" t="s">
        <v>33645</v>
      </c>
      <c r="E10082" s="0" t="s">
        <v>33646</v>
      </c>
      <c r="F10082" s="0" t="s">
        <v>90</v>
      </c>
      <c r="G10082" s="0" t="s">
        <v>16</v>
      </c>
      <c r="H10082" s="0" t="n">
        <v>72</v>
      </c>
      <c r="I10082" s="0" t="s">
        <v>33650</v>
      </c>
      <c r="J10082" s="0" t="s">
        <v>33651</v>
      </c>
      <c r="K10082" s="0" t="s">
        <v>33652</v>
      </c>
      <c r="L10082" s="0" t="str">
        <f aca="false">HYPERLINK("https://www.ncbi.nlm.nih.gov/nuccore/CP000304.1?report=graph&amp;tracks=[key:gene_model_track,Options:GeneOnly]&amp;mk=2844248:2844267|offset_28|444444,2844204:2844223|offset_72|00cc00,2844176:2844195|offset_100|444444,2844154:2844173|offset_122|444444&amp;v=2844047:2844373&amp;c=444444", "offset 72")</f>
        <v>offset 72</v>
      </c>
    </row>
    <row r="10083" customFormat="false" ht="12.8" hidden="false" customHeight="false" outlineLevel="0" collapsed="false">
      <c r="A10083" s="0" t="s">
        <v>12</v>
      </c>
      <c r="B10083" s="0" t="n">
        <v>2844175</v>
      </c>
      <c r="C10083" s="0" t="n">
        <v>2844195</v>
      </c>
      <c r="D10083" s="0" t="s">
        <v>33645</v>
      </c>
      <c r="E10083" s="0" t="s">
        <v>33646</v>
      </c>
      <c r="F10083" s="0" t="s">
        <v>90</v>
      </c>
      <c r="G10083" s="0" t="s">
        <v>16</v>
      </c>
      <c r="H10083" s="0" t="n">
        <v>100</v>
      </c>
      <c r="I10083" s="0" t="s">
        <v>33653</v>
      </c>
      <c r="J10083" s="0" t="s">
        <v>33654</v>
      </c>
      <c r="K10083" s="0" t="s">
        <v>33655</v>
      </c>
      <c r="L10083" s="0" t="str">
        <f aca="false">HYPERLINK("https://www.ncbi.nlm.nih.gov/nuccore/CP000304.1?report=graph&amp;tracks=[key:gene_model_track,Options:GeneOnly]&amp;mk=2844248:2844267|offset_28|444444,2844204:2844223|offset_72|444444,2844176:2844195|offset_100|00cc00,2844154:2844173|offset_122|444444&amp;v=2844047:2844373&amp;c=444444", "offset 100")</f>
        <v>offset 100</v>
      </c>
    </row>
    <row r="10084" customFormat="false" ht="12.8" hidden="false" customHeight="false" outlineLevel="0" collapsed="false">
      <c r="A10084" s="0" t="s">
        <v>12</v>
      </c>
      <c r="B10084" s="0" t="n">
        <v>2844153</v>
      </c>
      <c r="C10084" s="0" t="n">
        <v>2844173</v>
      </c>
      <c r="D10084" s="0" t="s">
        <v>33645</v>
      </c>
      <c r="E10084" s="0" t="s">
        <v>33646</v>
      </c>
      <c r="F10084" s="0" t="s">
        <v>90</v>
      </c>
      <c r="G10084" s="0" t="s">
        <v>32</v>
      </c>
      <c r="H10084" s="0" t="n">
        <v>122</v>
      </c>
      <c r="I10084" s="0" t="s">
        <v>33656</v>
      </c>
      <c r="J10084" s="0" t="s">
        <v>33657</v>
      </c>
      <c r="K10084" s="0" t="s">
        <v>33658</v>
      </c>
      <c r="L10084" s="0" t="str">
        <f aca="false">HYPERLINK("https://www.ncbi.nlm.nih.gov/nuccore/CP000304.1?report=graph&amp;tracks=[key:gene_model_track,Options:GeneOnly]&amp;mk=2844248:2844267|offset_28|444444,2844204:2844223|offset_72|444444,2844176:2844195|offset_100|444444,2844154:2844173|offset_122|00cc00&amp;v=2844047:2844373&amp;c=444444", "offset 122")</f>
        <v>offset 122</v>
      </c>
    </row>
    <row r="10085" customFormat="false" ht="12.8" hidden="false" customHeight="false" outlineLevel="0" collapsed="false">
      <c r="A10085" s="0" t="s">
        <v>12</v>
      </c>
      <c r="B10085" s="0" t="n">
        <v>2844800</v>
      </c>
      <c r="C10085" s="0" t="n">
        <v>2844820</v>
      </c>
      <c r="D10085" s="0" t="s">
        <v>33659</v>
      </c>
      <c r="E10085" s="0" t="s">
        <v>89</v>
      </c>
      <c r="F10085" s="0" t="s">
        <v>90</v>
      </c>
      <c r="G10085" s="0" t="s">
        <v>16</v>
      </c>
      <c r="H10085" s="0" t="n">
        <v>15</v>
      </c>
      <c r="I10085" s="0" t="s">
        <v>33660</v>
      </c>
      <c r="J10085" s="0" t="s">
        <v>33661</v>
      </c>
      <c r="K10085" s="0" t="s">
        <v>33662</v>
      </c>
      <c r="L10085" s="0" t="str">
        <f aca="false">HYPERLINK("https://www.ncbi.nlm.nih.gov/nuccore/CP000304.1?report=graph&amp;tracks=[key:gene_model_track,Options:GeneOnly]&amp;mk=2844801:2844820|offset_15|00cc00,2844780:2844799|offset_36|444444,2844755:2844774|offset_61|444444,2844710:2844729|offset_106|444444&amp;v=2844600:2844929&amp;c=444444", "offset 15")</f>
        <v>offset 15</v>
      </c>
    </row>
    <row r="10086" customFormat="false" ht="12.8" hidden="false" customHeight="false" outlineLevel="0" collapsed="false">
      <c r="A10086" s="0" t="s">
        <v>12</v>
      </c>
      <c r="B10086" s="0" t="n">
        <v>2844779</v>
      </c>
      <c r="C10086" s="0" t="n">
        <v>2844799</v>
      </c>
      <c r="D10086" s="0" t="s">
        <v>33659</v>
      </c>
      <c r="E10086" s="0" t="s">
        <v>89</v>
      </c>
      <c r="F10086" s="0" t="s">
        <v>90</v>
      </c>
      <c r="G10086" s="0" t="s">
        <v>16</v>
      </c>
      <c r="H10086" s="0" t="n">
        <v>36</v>
      </c>
      <c r="I10086" s="0" t="s">
        <v>33663</v>
      </c>
      <c r="J10086" s="0" t="s">
        <v>33664</v>
      </c>
      <c r="K10086" s="0" t="s">
        <v>33665</v>
      </c>
      <c r="L10086" s="0" t="str">
        <f aca="false">HYPERLINK("https://www.ncbi.nlm.nih.gov/nuccore/CP000304.1?report=graph&amp;tracks=[key:gene_model_track,Options:GeneOnly]&amp;mk=2844801:2844820|offset_15|444444,2844780:2844799|offset_36|00cc00,2844755:2844774|offset_61|444444,2844710:2844729|offset_106|444444&amp;v=2844600:2844929&amp;c=444444", "offset 36")</f>
        <v>offset 36</v>
      </c>
    </row>
    <row r="10087" customFormat="false" ht="12.8" hidden="false" customHeight="false" outlineLevel="0" collapsed="false">
      <c r="A10087" s="0" t="s">
        <v>12</v>
      </c>
      <c r="B10087" s="0" t="n">
        <v>2844754</v>
      </c>
      <c r="C10087" s="0" t="n">
        <v>2844774</v>
      </c>
      <c r="D10087" s="0" t="s">
        <v>33659</v>
      </c>
      <c r="E10087" s="0" t="s">
        <v>89</v>
      </c>
      <c r="F10087" s="0" t="s">
        <v>90</v>
      </c>
      <c r="G10087" s="0" t="s">
        <v>32</v>
      </c>
      <c r="H10087" s="0" t="n">
        <v>61</v>
      </c>
      <c r="I10087" s="0" t="s">
        <v>33666</v>
      </c>
      <c r="J10087" s="0" t="s">
        <v>33667</v>
      </c>
      <c r="K10087" s="0" t="s">
        <v>33668</v>
      </c>
      <c r="L10087" s="0" t="str">
        <f aca="false">HYPERLINK("https://www.ncbi.nlm.nih.gov/nuccore/CP000304.1?report=graph&amp;tracks=[key:gene_model_track,Options:GeneOnly]&amp;mk=2844801:2844820|offset_15|444444,2844780:2844799|offset_36|444444,2844755:2844774|offset_61|00cc00,2844710:2844729|offset_106|444444&amp;v=2844600:2844929&amp;c=444444", "offset 61")</f>
        <v>offset 61</v>
      </c>
    </row>
    <row r="10088" customFormat="false" ht="12.8" hidden="false" customHeight="false" outlineLevel="0" collapsed="false">
      <c r="A10088" s="0" t="s">
        <v>12</v>
      </c>
      <c r="B10088" s="0" t="n">
        <v>2844709</v>
      </c>
      <c r="C10088" s="0" t="n">
        <v>2844729</v>
      </c>
      <c r="D10088" s="0" t="s">
        <v>33659</v>
      </c>
      <c r="E10088" s="0" t="s">
        <v>89</v>
      </c>
      <c r="F10088" s="0" t="s">
        <v>90</v>
      </c>
      <c r="G10088" s="0" t="s">
        <v>16</v>
      </c>
      <c r="H10088" s="0" t="n">
        <v>106</v>
      </c>
      <c r="I10088" s="0" t="s">
        <v>33669</v>
      </c>
      <c r="J10088" s="0" t="s">
        <v>33670</v>
      </c>
      <c r="K10088" s="0" t="s">
        <v>33671</v>
      </c>
      <c r="L10088" s="0" t="str">
        <f aca="false">HYPERLINK("https://www.ncbi.nlm.nih.gov/nuccore/CP000304.1?report=graph&amp;tracks=[key:gene_model_track,Options:GeneOnly]&amp;mk=2844801:2844820|offset_15|444444,2844780:2844799|offset_36|444444,2844755:2844774|offset_61|444444,2844710:2844729|offset_106|00cc00&amp;v=2844600:2844929&amp;c=444444", "offset 106")</f>
        <v>offset 106</v>
      </c>
    </row>
    <row r="10089" customFormat="false" ht="12.8" hidden="false" customHeight="false" outlineLevel="0" collapsed="false">
      <c r="A10089" s="0" t="s">
        <v>12</v>
      </c>
      <c r="B10089" s="0" t="n">
        <v>2844947</v>
      </c>
      <c r="C10089" s="0" t="n">
        <v>2844967</v>
      </c>
      <c r="D10089" s="0" t="s">
        <v>33672</v>
      </c>
      <c r="E10089" s="0" t="s">
        <v>33673</v>
      </c>
      <c r="F10089" s="0" t="s">
        <v>15</v>
      </c>
      <c r="G10089" s="0" t="s">
        <v>36</v>
      </c>
      <c r="H10089" s="0" t="n">
        <v>8</v>
      </c>
      <c r="I10089" s="0" t="s">
        <v>33674</v>
      </c>
      <c r="J10089" s="0" t="s">
        <v>33675</v>
      </c>
      <c r="K10089" s="0" t="s">
        <v>33676</v>
      </c>
      <c r="L10089" s="0" t="str">
        <f aca="false">HYPERLINK("https://www.ncbi.nlm.nih.gov/nuccore/CP000304.1?report=graph&amp;tracks=[key:gene_model_track,Options:GeneOnly]&amp;mk=2844948:2844967|offset_8|00cc00,2844981:2845000|offset_41|444444,2845009:2845028|offset_69|444444,2845045:2845064|offset_105|444444&amp;v=2844747:2845264&amp;c=444444", "offset 8")</f>
        <v>offset 8</v>
      </c>
    </row>
    <row r="10090" customFormat="false" ht="12.8" hidden="false" customHeight="false" outlineLevel="0" collapsed="false">
      <c r="A10090" s="0" t="s">
        <v>12</v>
      </c>
      <c r="B10090" s="0" t="n">
        <v>2844980</v>
      </c>
      <c r="C10090" s="0" t="n">
        <v>2845000</v>
      </c>
      <c r="D10090" s="0" t="s">
        <v>33672</v>
      </c>
      <c r="E10090" s="0" t="s">
        <v>33673</v>
      </c>
      <c r="F10090" s="0" t="s">
        <v>15</v>
      </c>
      <c r="G10090" s="0" t="s">
        <v>16</v>
      </c>
      <c r="H10090" s="0" t="n">
        <v>41</v>
      </c>
      <c r="I10090" s="0" t="s">
        <v>33677</v>
      </c>
      <c r="J10090" s="0" t="s">
        <v>33678</v>
      </c>
      <c r="K10090" s="0" t="s">
        <v>33679</v>
      </c>
      <c r="L10090" s="0" t="str">
        <f aca="false">HYPERLINK("https://www.ncbi.nlm.nih.gov/nuccore/CP000304.1?report=graph&amp;tracks=[key:gene_model_track,Options:GeneOnly]&amp;mk=2844948:2844967|offset_8|444444,2844981:2845000|offset_41|00cc00,2845009:2845028|offset_69|444444,2845045:2845064|offset_105|444444&amp;v=2844747:2845264&amp;c=444444", "offset 41")</f>
        <v>offset 41</v>
      </c>
    </row>
    <row r="10091" customFormat="false" ht="12.8" hidden="false" customHeight="false" outlineLevel="0" collapsed="false">
      <c r="A10091" s="0" t="s">
        <v>12</v>
      </c>
      <c r="B10091" s="0" t="n">
        <v>2845008</v>
      </c>
      <c r="C10091" s="0" t="n">
        <v>2845028</v>
      </c>
      <c r="D10091" s="0" t="s">
        <v>33672</v>
      </c>
      <c r="E10091" s="0" t="s">
        <v>33673</v>
      </c>
      <c r="F10091" s="0" t="s">
        <v>15</v>
      </c>
      <c r="G10091" s="0" t="s">
        <v>36</v>
      </c>
      <c r="H10091" s="0" t="n">
        <v>69</v>
      </c>
      <c r="I10091" s="0" t="s">
        <v>33680</v>
      </c>
      <c r="J10091" s="0" t="s">
        <v>33681</v>
      </c>
      <c r="K10091" s="0" t="s">
        <v>33682</v>
      </c>
      <c r="L10091" s="0" t="str">
        <f aca="false">HYPERLINK("https://www.ncbi.nlm.nih.gov/nuccore/CP000304.1?report=graph&amp;tracks=[key:gene_model_track,Options:GeneOnly]&amp;mk=2844948:2844967|offset_8|444444,2844981:2845000|offset_41|444444,2845009:2845028|offset_69|00cc00,2845045:2845064|offset_105|444444&amp;v=2844747:2845264&amp;c=444444", "offset 69")</f>
        <v>offset 69</v>
      </c>
    </row>
    <row r="10092" customFormat="false" ht="12.8" hidden="false" customHeight="false" outlineLevel="0" collapsed="false">
      <c r="A10092" s="0" t="s">
        <v>12</v>
      </c>
      <c r="B10092" s="0" t="n">
        <v>2845044</v>
      </c>
      <c r="C10092" s="0" t="n">
        <v>2845064</v>
      </c>
      <c r="D10092" s="0" t="s">
        <v>33672</v>
      </c>
      <c r="E10092" s="0" t="s">
        <v>33673</v>
      </c>
      <c r="F10092" s="0" t="s">
        <v>15</v>
      </c>
      <c r="G10092" s="0" t="s">
        <v>16</v>
      </c>
      <c r="H10092" s="0" t="n">
        <v>105</v>
      </c>
      <c r="I10092" s="0" t="s">
        <v>33683</v>
      </c>
      <c r="J10092" s="0" t="s">
        <v>33684</v>
      </c>
      <c r="K10092" s="0" t="s">
        <v>33685</v>
      </c>
      <c r="L10092" s="0" t="str">
        <f aca="false">HYPERLINK("https://www.ncbi.nlm.nih.gov/nuccore/CP000304.1?report=graph&amp;tracks=[key:gene_model_track,Options:GeneOnly]&amp;mk=2844948:2844967|offset_8|444444,2844981:2845000|offset_41|444444,2845009:2845028|offset_69|444444,2845045:2845064|offset_105|00cc00&amp;v=2844747:2845264&amp;c=444444", "offset 105")</f>
        <v>offset 105</v>
      </c>
    </row>
    <row r="10093" customFormat="false" ht="12.8" hidden="false" customHeight="false" outlineLevel="0" collapsed="false">
      <c r="A10093" s="0" t="s">
        <v>12</v>
      </c>
      <c r="B10093" s="0" t="n">
        <v>2846474</v>
      </c>
      <c r="C10093" s="0" t="n">
        <v>2846494</v>
      </c>
      <c r="D10093" s="0" t="s">
        <v>33686</v>
      </c>
      <c r="E10093" s="0" t="s">
        <v>33687</v>
      </c>
      <c r="F10093" s="0" t="s">
        <v>90</v>
      </c>
      <c r="G10093" s="0" t="s">
        <v>16</v>
      </c>
      <c r="H10093" s="0" t="n">
        <v>24</v>
      </c>
      <c r="I10093" s="0" t="s">
        <v>33688</v>
      </c>
      <c r="J10093" s="0" t="s">
        <v>33689</v>
      </c>
      <c r="K10093" s="0" t="s">
        <v>33690</v>
      </c>
      <c r="L10093" s="0" t="str">
        <f aca="false">HYPERLINK("https://www.ncbi.nlm.nih.gov/nuccore/CP000304.1?report=graph&amp;tracks=[key:gene_model_track,Options:GeneOnly]&amp;mk=2846475:2846494|offset_24|00cc00,2846423:2846442|offset_76|444444,2846319:2846338|offset_180|444444,2846278:2846297|offset_221|444444&amp;v=2846274:2846497&amp;c=444444", "offset 24")</f>
        <v>offset 24</v>
      </c>
    </row>
    <row r="10094" customFormat="false" ht="12.8" hidden="false" customHeight="false" outlineLevel="0" collapsed="false">
      <c r="A10094" s="0" t="s">
        <v>12</v>
      </c>
      <c r="B10094" s="0" t="n">
        <v>2846422</v>
      </c>
      <c r="C10094" s="0" t="n">
        <v>2846442</v>
      </c>
      <c r="D10094" s="0" t="s">
        <v>33686</v>
      </c>
      <c r="E10094" s="0" t="s">
        <v>33687</v>
      </c>
      <c r="F10094" s="0" t="s">
        <v>90</v>
      </c>
      <c r="G10094" s="0" t="s">
        <v>36</v>
      </c>
      <c r="H10094" s="0" t="n">
        <v>76</v>
      </c>
      <c r="I10094" s="0" t="s">
        <v>33691</v>
      </c>
      <c r="J10094" s="0" t="s">
        <v>33692</v>
      </c>
      <c r="K10094" s="0" t="s">
        <v>33693</v>
      </c>
      <c r="L10094" s="0" t="str">
        <f aca="false">HYPERLINK("https://www.ncbi.nlm.nih.gov/nuccore/CP000304.1?report=graph&amp;tracks=[key:gene_model_track,Options:GeneOnly]&amp;mk=2846475:2846494|offset_24|444444,2846423:2846442|offset_76|00cc00,2846319:2846338|offset_180|444444,2846278:2846297|offset_221|444444&amp;v=2846274:2846497&amp;c=444444", "offset 76")</f>
        <v>offset 76</v>
      </c>
    </row>
    <row r="10095" customFormat="false" ht="12.8" hidden="false" customHeight="false" outlineLevel="0" collapsed="false">
      <c r="A10095" s="0" t="s">
        <v>12</v>
      </c>
      <c r="B10095" s="0" t="n">
        <v>2846318</v>
      </c>
      <c r="C10095" s="0" t="n">
        <v>2846338</v>
      </c>
      <c r="D10095" s="0" t="s">
        <v>33686</v>
      </c>
      <c r="E10095" s="0" t="s">
        <v>33687</v>
      </c>
      <c r="F10095" s="0" t="s">
        <v>90</v>
      </c>
      <c r="G10095" s="0" t="s">
        <v>16</v>
      </c>
      <c r="H10095" s="0" t="n">
        <v>180</v>
      </c>
      <c r="I10095" s="0" t="s">
        <v>33694</v>
      </c>
      <c r="J10095" s="0" t="s">
        <v>33695</v>
      </c>
      <c r="K10095" s="0" t="s">
        <v>33696</v>
      </c>
      <c r="L10095" s="0" t="str">
        <f aca="false">HYPERLINK("https://www.ncbi.nlm.nih.gov/nuccore/CP000304.1?report=graph&amp;tracks=[key:gene_model_track,Options:GeneOnly]&amp;mk=2846475:2846494|offset_24|444444,2846423:2846442|offset_76|444444,2846319:2846338|offset_180|00cc00,2846278:2846297|offset_221|444444&amp;v=2846274:2846497&amp;c=444444", "offset 180")</f>
        <v>offset 180</v>
      </c>
    </row>
    <row r="10096" customFormat="false" ht="12.8" hidden="false" customHeight="false" outlineLevel="0" collapsed="false">
      <c r="A10096" s="0" t="s">
        <v>12</v>
      </c>
      <c r="B10096" s="0" t="n">
        <v>2846277</v>
      </c>
      <c r="C10096" s="0" t="n">
        <v>2846297</v>
      </c>
      <c r="D10096" s="0" t="s">
        <v>33686</v>
      </c>
      <c r="E10096" s="0" t="s">
        <v>33687</v>
      </c>
      <c r="F10096" s="0" t="s">
        <v>90</v>
      </c>
      <c r="G10096" s="0" t="s">
        <v>32</v>
      </c>
      <c r="H10096" s="0" t="n">
        <v>221</v>
      </c>
      <c r="I10096" s="0" t="s">
        <v>33697</v>
      </c>
      <c r="J10096" s="0" t="s">
        <v>33698</v>
      </c>
      <c r="K10096" s="0" t="s">
        <v>33699</v>
      </c>
      <c r="L10096" s="0" t="str">
        <f aca="false">HYPERLINK("https://www.ncbi.nlm.nih.gov/nuccore/CP000304.1?report=graph&amp;tracks=[key:gene_model_track,Options:GeneOnly]&amp;mk=2846475:2846494|offset_24|444444,2846423:2846442|offset_76|444444,2846319:2846338|offset_180|444444,2846278:2846297|offset_221|00cc00&amp;v=2846274:2846497&amp;c=444444", "offset 221")</f>
        <v>offset 221</v>
      </c>
    </row>
    <row r="10097" customFormat="false" ht="12.8" hidden="false" customHeight="false" outlineLevel="0" collapsed="false">
      <c r="A10097" s="0" t="s">
        <v>12</v>
      </c>
      <c r="B10097" s="0" t="n">
        <v>2847131</v>
      </c>
      <c r="C10097" s="0" t="n">
        <v>2847151</v>
      </c>
      <c r="D10097" s="0" t="s">
        <v>33700</v>
      </c>
      <c r="E10097" s="0" t="s">
        <v>89</v>
      </c>
      <c r="F10097" s="0" t="s">
        <v>90</v>
      </c>
      <c r="G10097" s="0" t="s">
        <v>26</v>
      </c>
      <c r="H10097" s="0" t="n">
        <v>43</v>
      </c>
      <c r="I10097" s="0" t="s">
        <v>33701</v>
      </c>
      <c r="J10097" s="0" t="s">
        <v>33702</v>
      </c>
      <c r="K10097" s="0" t="s">
        <v>33703</v>
      </c>
      <c r="L10097" s="0" t="str">
        <f aca="false">HYPERLINK("https://www.ncbi.nlm.nih.gov/nuccore/CP000304.1?report=graph&amp;tracks=[key:gene_model_track,Options:GeneOnly]&amp;mk=2847132:2847151|offset_43|00cc00,2847095:2847114|offset_80|444444,2847071:2847090|offset_104|444444,2847019:2847038|offset_156|444444&amp;v=2846931:2847238&amp;c=444444", "offset 43")</f>
        <v>offset 43</v>
      </c>
    </row>
    <row r="10098" customFormat="false" ht="12.8" hidden="false" customHeight="false" outlineLevel="0" collapsed="false">
      <c r="A10098" s="0" t="s">
        <v>12</v>
      </c>
      <c r="B10098" s="0" t="n">
        <v>2847094</v>
      </c>
      <c r="C10098" s="0" t="n">
        <v>2847114</v>
      </c>
      <c r="D10098" s="0" t="s">
        <v>33700</v>
      </c>
      <c r="E10098" s="0" t="s">
        <v>89</v>
      </c>
      <c r="F10098" s="0" t="s">
        <v>90</v>
      </c>
      <c r="G10098" s="0" t="s">
        <v>32</v>
      </c>
      <c r="H10098" s="0" t="n">
        <v>80</v>
      </c>
      <c r="I10098" s="0" t="s">
        <v>33704</v>
      </c>
      <c r="J10098" s="0" t="s">
        <v>33705</v>
      </c>
      <c r="K10098" s="0" t="s">
        <v>33706</v>
      </c>
      <c r="L10098" s="0" t="str">
        <f aca="false">HYPERLINK("https://www.ncbi.nlm.nih.gov/nuccore/CP000304.1?report=graph&amp;tracks=[key:gene_model_track,Options:GeneOnly]&amp;mk=2847132:2847151|offset_43|444444,2847095:2847114|offset_80|00cc00,2847071:2847090|offset_104|444444,2847019:2847038|offset_156|444444&amp;v=2846931:2847238&amp;c=444444", "offset 80")</f>
        <v>offset 80</v>
      </c>
    </row>
    <row r="10099" customFormat="false" ht="12.8" hidden="false" customHeight="false" outlineLevel="0" collapsed="false">
      <c r="A10099" s="0" t="s">
        <v>12</v>
      </c>
      <c r="B10099" s="0" t="n">
        <v>2847070</v>
      </c>
      <c r="C10099" s="0" t="n">
        <v>2847090</v>
      </c>
      <c r="D10099" s="0" t="s">
        <v>33700</v>
      </c>
      <c r="E10099" s="0" t="s">
        <v>89</v>
      </c>
      <c r="F10099" s="0" t="s">
        <v>90</v>
      </c>
      <c r="G10099" s="0" t="s">
        <v>26</v>
      </c>
      <c r="H10099" s="0" t="n">
        <v>104</v>
      </c>
      <c r="I10099" s="0" t="s">
        <v>33707</v>
      </c>
      <c r="J10099" s="0" t="s">
        <v>33708</v>
      </c>
      <c r="K10099" s="0" t="s">
        <v>33709</v>
      </c>
      <c r="L10099" s="0" t="str">
        <f aca="false">HYPERLINK("https://www.ncbi.nlm.nih.gov/nuccore/CP000304.1?report=graph&amp;tracks=[key:gene_model_track,Options:GeneOnly]&amp;mk=2847132:2847151|offset_43|444444,2847095:2847114|offset_80|444444,2847071:2847090|offset_104|00cc00,2847019:2847038|offset_156|444444&amp;v=2846931:2847238&amp;c=444444", "offset 104")</f>
        <v>offset 104</v>
      </c>
    </row>
    <row r="10100" customFormat="false" ht="12.8" hidden="false" customHeight="false" outlineLevel="0" collapsed="false">
      <c r="A10100" s="0" t="s">
        <v>12</v>
      </c>
      <c r="B10100" s="0" t="n">
        <v>2847018</v>
      </c>
      <c r="C10100" s="0" t="n">
        <v>2847038</v>
      </c>
      <c r="D10100" s="0" t="s">
        <v>33700</v>
      </c>
      <c r="E10100" s="0" t="s">
        <v>89</v>
      </c>
      <c r="F10100" s="0" t="s">
        <v>90</v>
      </c>
      <c r="G10100" s="0" t="s">
        <v>26</v>
      </c>
      <c r="H10100" s="0" t="n">
        <v>156</v>
      </c>
      <c r="I10100" s="0" t="s">
        <v>33710</v>
      </c>
      <c r="J10100" s="0" t="s">
        <v>33711</v>
      </c>
      <c r="K10100" s="0" t="s">
        <v>33712</v>
      </c>
      <c r="L10100" s="0" t="str">
        <f aca="false">HYPERLINK("https://www.ncbi.nlm.nih.gov/nuccore/CP000304.1?report=graph&amp;tracks=[key:gene_model_track,Options:GeneOnly]&amp;mk=2847132:2847151|offset_43|444444,2847095:2847114|offset_80|444444,2847071:2847090|offset_104|444444,2847019:2847038|offset_156|00cc00&amp;v=2846931:2847238&amp;c=444444", "offset 156")</f>
        <v>offset 156</v>
      </c>
    </row>
    <row r="10101" customFormat="false" ht="12.8" hidden="false" customHeight="false" outlineLevel="0" collapsed="false">
      <c r="A10101" s="0" t="s">
        <v>12</v>
      </c>
      <c r="B10101" s="0" t="n">
        <v>2847943</v>
      </c>
      <c r="C10101" s="0" t="n">
        <v>2847963</v>
      </c>
      <c r="D10101" s="0" t="s">
        <v>33713</v>
      </c>
      <c r="E10101" s="0" t="s">
        <v>33714</v>
      </c>
      <c r="F10101" s="0" t="s">
        <v>90</v>
      </c>
      <c r="G10101" s="0" t="s">
        <v>36</v>
      </c>
      <c r="H10101" s="0" t="n">
        <v>24</v>
      </c>
      <c r="I10101" s="0" t="s">
        <v>33715</v>
      </c>
      <c r="J10101" s="0" t="s">
        <v>33716</v>
      </c>
      <c r="K10101" s="0" t="s">
        <v>33717</v>
      </c>
      <c r="L10101" s="0" t="str">
        <f aca="false">HYPERLINK("https://www.ncbi.nlm.nih.gov/nuccore/CP000304.1?report=graph&amp;tracks=[key:gene_model_track,Options:GeneOnly]&amp;mk=2847944:2847963|offset_24|00cc00,2847905:2847924|offset_63|444444,2847875:2847894|offset_93|444444,2847832:2847851|offset_136|444444&amp;v=2847743:2848051&amp;c=444444", "offset 24")</f>
        <v>offset 24</v>
      </c>
    </row>
    <row r="10102" customFormat="false" ht="12.8" hidden="false" customHeight="false" outlineLevel="0" collapsed="false">
      <c r="A10102" s="0" t="s">
        <v>12</v>
      </c>
      <c r="B10102" s="0" t="n">
        <v>2847904</v>
      </c>
      <c r="C10102" s="0" t="n">
        <v>2847924</v>
      </c>
      <c r="D10102" s="0" t="s">
        <v>33713</v>
      </c>
      <c r="E10102" s="0" t="s">
        <v>33714</v>
      </c>
      <c r="F10102" s="0" t="s">
        <v>90</v>
      </c>
      <c r="G10102" s="0" t="s">
        <v>16</v>
      </c>
      <c r="H10102" s="0" t="n">
        <v>63</v>
      </c>
      <c r="I10102" s="0" t="s">
        <v>33718</v>
      </c>
      <c r="J10102" s="0" t="s">
        <v>33719</v>
      </c>
      <c r="K10102" s="0" t="s">
        <v>33720</v>
      </c>
      <c r="L10102" s="0" t="str">
        <f aca="false">HYPERLINK("https://www.ncbi.nlm.nih.gov/nuccore/CP000304.1?report=graph&amp;tracks=[key:gene_model_track,Options:GeneOnly]&amp;mk=2847944:2847963|offset_24|444444,2847905:2847924|offset_63|00cc00,2847875:2847894|offset_93|444444,2847832:2847851|offset_136|444444&amp;v=2847743:2848051&amp;c=444444", "offset 63")</f>
        <v>offset 63</v>
      </c>
    </row>
    <row r="10103" customFormat="false" ht="12.8" hidden="false" customHeight="false" outlineLevel="0" collapsed="false">
      <c r="A10103" s="0" t="s">
        <v>12</v>
      </c>
      <c r="B10103" s="0" t="n">
        <v>2847874</v>
      </c>
      <c r="C10103" s="0" t="n">
        <v>2847894</v>
      </c>
      <c r="D10103" s="0" t="s">
        <v>33713</v>
      </c>
      <c r="E10103" s="0" t="s">
        <v>33714</v>
      </c>
      <c r="F10103" s="0" t="s">
        <v>90</v>
      </c>
      <c r="G10103" s="0" t="s">
        <v>36</v>
      </c>
      <c r="H10103" s="0" t="n">
        <v>93</v>
      </c>
      <c r="I10103" s="0" t="s">
        <v>33721</v>
      </c>
      <c r="J10103" s="0" t="s">
        <v>33722</v>
      </c>
      <c r="K10103" s="0" t="s">
        <v>33723</v>
      </c>
      <c r="L10103" s="0" t="str">
        <f aca="false">HYPERLINK("https://www.ncbi.nlm.nih.gov/nuccore/CP000304.1?report=graph&amp;tracks=[key:gene_model_track,Options:GeneOnly]&amp;mk=2847944:2847963|offset_24|444444,2847905:2847924|offset_63|444444,2847875:2847894|offset_93|00cc00,2847832:2847851|offset_136|444444&amp;v=2847743:2848051&amp;c=444444", "offset 93")</f>
        <v>offset 93</v>
      </c>
    </row>
    <row r="10104" customFormat="false" ht="12.8" hidden="false" customHeight="false" outlineLevel="0" collapsed="false">
      <c r="A10104" s="0" t="s">
        <v>12</v>
      </c>
      <c r="B10104" s="0" t="n">
        <v>2847831</v>
      </c>
      <c r="C10104" s="0" t="n">
        <v>2847851</v>
      </c>
      <c r="D10104" s="0" t="s">
        <v>33713</v>
      </c>
      <c r="E10104" s="0" t="s">
        <v>33714</v>
      </c>
      <c r="F10104" s="0" t="s">
        <v>90</v>
      </c>
      <c r="G10104" s="0" t="s">
        <v>32</v>
      </c>
      <c r="H10104" s="0" t="n">
        <v>136</v>
      </c>
      <c r="I10104" s="0" t="s">
        <v>33724</v>
      </c>
      <c r="J10104" s="0" t="s">
        <v>33725</v>
      </c>
      <c r="K10104" s="0" t="s">
        <v>33726</v>
      </c>
      <c r="L10104" s="0" t="str">
        <f aca="false">HYPERLINK("https://www.ncbi.nlm.nih.gov/nuccore/CP000304.1?report=graph&amp;tracks=[key:gene_model_track,Options:GeneOnly]&amp;mk=2847944:2847963|offset_24|444444,2847905:2847924|offset_63|444444,2847875:2847894|offset_93|444444,2847832:2847851|offset_136|00cc00&amp;v=2847743:2848051&amp;c=444444", "offset 136")</f>
        <v>offset 136</v>
      </c>
    </row>
    <row r="10105" customFormat="false" ht="12.8" hidden="false" customHeight="false" outlineLevel="0" collapsed="false">
      <c r="A10105" s="0" t="s">
        <v>12</v>
      </c>
      <c r="B10105" s="0" t="n">
        <v>2848652</v>
      </c>
      <c r="C10105" s="0" t="n">
        <v>2848672</v>
      </c>
      <c r="D10105" s="0" t="s">
        <v>33727</v>
      </c>
      <c r="E10105" s="0" t="s">
        <v>33728</v>
      </c>
      <c r="F10105" s="0" t="s">
        <v>15</v>
      </c>
      <c r="G10105" s="0" t="s">
        <v>16</v>
      </c>
      <c r="H10105" s="0" t="n">
        <v>6</v>
      </c>
      <c r="I10105" s="0" t="s">
        <v>33729</v>
      </c>
      <c r="J10105" s="0" t="s">
        <v>33730</v>
      </c>
      <c r="K10105" s="0" t="s">
        <v>33731</v>
      </c>
      <c r="L10105" s="0" t="str">
        <f aca="false">HYPERLINK("https://www.ncbi.nlm.nih.gov/nuccore/CP000304.1?report=graph&amp;tracks=[key:gene_model_track,Options:GeneOnly]&amp;mk=2848653:2848672|offset_6|00cc00,2848673:2848692|offset_26|444444,2848725:2848744|offset_78|444444,2848757:2848776|offset_110|444444&amp;v=2848452:2848976&amp;c=444444", "offset 6")</f>
        <v>offset 6</v>
      </c>
    </row>
    <row r="10106" customFormat="false" ht="12.8" hidden="false" customHeight="false" outlineLevel="0" collapsed="false">
      <c r="A10106" s="0" t="s">
        <v>12</v>
      </c>
      <c r="B10106" s="0" t="n">
        <v>2848672</v>
      </c>
      <c r="C10106" s="0" t="n">
        <v>2848692</v>
      </c>
      <c r="D10106" s="0" t="s">
        <v>33727</v>
      </c>
      <c r="E10106" s="0" t="s">
        <v>33728</v>
      </c>
      <c r="F10106" s="0" t="s">
        <v>15</v>
      </c>
      <c r="G10106" s="0" t="s">
        <v>32</v>
      </c>
      <c r="H10106" s="0" t="n">
        <v>26</v>
      </c>
      <c r="I10106" s="0" t="s">
        <v>33732</v>
      </c>
      <c r="J10106" s="0" t="s">
        <v>33733</v>
      </c>
      <c r="K10106" s="0" t="s">
        <v>33734</v>
      </c>
      <c r="L10106" s="0" t="str">
        <f aca="false">HYPERLINK("https://www.ncbi.nlm.nih.gov/nuccore/CP000304.1?report=graph&amp;tracks=[key:gene_model_track,Options:GeneOnly]&amp;mk=2848653:2848672|offset_6|444444,2848673:2848692|offset_26|00cc00,2848725:2848744|offset_78|444444,2848757:2848776|offset_110|444444&amp;v=2848452:2848976&amp;c=444444", "offset 26")</f>
        <v>offset 26</v>
      </c>
    </row>
    <row r="10107" customFormat="false" ht="12.8" hidden="false" customHeight="false" outlineLevel="0" collapsed="false">
      <c r="A10107" s="0" t="s">
        <v>12</v>
      </c>
      <c r="B10107" s="0" t="n">
        <v>2848724</v>
      </c>
      <c r="C10107" s="0" t="n">
        <v>2848744</v>
      </c>
      <c r="D10107" s="0" t="s">
        <v>33727</v>
      </c>
      <c r="E10107" s="0" t="s">
        <v>33728</v>
      </c>
      <c r="F10107" s="0" t="s">
        <v>15</v>
      </c>
      <c r="G10107" s="0" t="s">
        <v>36</v>
      </c>
      <c r="H10107" s="0" t="n">
        <v>78</v>
      </c>
      <c r="I10107" s="0" t="s">
        <v>33735</v>
      </c>
      <c r="J10107" s="0" t="s">
        <v>33736</v>
      </c>
      <c r="K10107" s="0" t="s">
        <v>33737</v>
      </c>
      <c r="L10107" s="0" t="str">
        <f aca="false">HYPERLINK("https://www.ncbi.nlm.nih.gov/nuccore/CP000304.1?report=graph&amp;tracks=[key:gene_model_track,Options:GeneOnly]&amp;mk=2848653:2848672|offset_6|444444,2848673:2848692|offset_26|444444,2848725:2848744|offset_78|00cc00,2848757:2848776|offset_110|444444&amp;v=2848452:2848976&amp;c=444444", "offset 78")</f>
        <v>offset 78</v>
      </c>
    </row>
    <row r="10108" customFormat="false" ht="12.8" hidden="false" customHeight="false" outlineLevel="0" collapsed="false">
      <c r="A10108" s="0" t="s">
        <v>12</v>
      </c>
      <c r="B10108" s="0" t="n">
        <v>2848756</v>
      </c>
      <c r="C10108" s="0" t="n">
        <v>2848776</v>
      </c>
      <c r="D10108" s="0" t="s">
        <v>33727</v>
      </c>
      <c r="E10108" s="0" t="s">
        <v>33728</v>
      </c>
      <c r="F10108" s="0" t="s">
        <v>15</v>
      </c>
      <c r="G10108" s="0" t="s">
        <v>32</v>
      </c>
      <c r="H10108" s="0" t="n">
        <v>110</v>
      </c>
      <c r="I10108" s="0" t="s">
        <v>33738</v>
      </c>
      <c r="J10108" s="0" t="s">
        <v>33739</v>
      </c>
      <c r="K10108" s="0" t="s">
        <v>33740</v>
      </c>
      <c r="L10108" s="0" t="str">
        <f aca="false">HYPERLINK("https://www.ncbi.nlm.nih.gov/nuccore/CP000304.1?report=graph&amp;tracks=[key:gene_model_track,Options:GeneOnly]&amp;mk=2848653:2848672|offset_6|444444,2848673:2848692|offset_26|444444,2848725:2848744|offset_78|444444,2848757:2848776|offset_110|00cc00&amp;v=2848452:2848976&amp;c=444444", "offset 110")</f>
        <v>offset 110</v>
      </c>
    </row>
    <row r="10109" customFormat="false" ht="12.8" hidden="false" customHeight="false" outlineLevel="0" collapsed="false">
      <c r="A10109" s="0" t="s">
        <v>12</v>
      </c>
      <c r="B10109" s="0" t="n">
        <v>2853068</v>
      </c>
      <c r="C10109" s="0" t="n">
        <v>2853088</v>
      </c>
      <c r="D10109" s="0" t="s">
        <v>33741</v>
      </c>
      <c r="E10109" s="0" t="s">
        <v>33742</v>
      </c>
      <c r="F10109" s="0" t="s">
        <v>90</v>
      </c>
      <c r="G10109" s="0" t="s">
        <v>26</v>
      </c>
      <c r="H10109" s="0" t="n">
        <v>8</v>
      </c>
      <c r="I10109" s="0" t="s">
        <v>33743</v>
      </c>
      <c r="J10109" s="0" t="s">
        <v>33744</v>
      </c>
      <c r="K10109" s="0" t="s">
        <v>33745</v>
      </c>
      <c r="L10109" s="0" t="str">
        <f aca="false">HYPERLINK("https://www.ncbi.nlm.nih.gov/nuccore/CP000304.1?report=graph&amp;tracks=[key:gene_model_track,Options:GeneOnly]&amp;mk=2853069:2853088|offset_8|00cc00,2853046:2853065|offset_31|444444,2853022:2853041|offset_55|444444,2852995:2853014|offset_82|444444&amp;v=2852868:2853214&amp;c=444444", "offset 8")</f>
        <v>offset 8</v>
      </c>
    </row>
    <row r="10110" customFormat="false" ht="12.8" hidden="false" customHeight="false" outlineLevel="0" collapsed="false">
      <c r="A10110" s="0" t="s">
        <v>12</v>
      </c>
      <c r="B10110" s="0" t="n">
        <v>2853045</v>
      </c>
      <c r="C10110" s="0" t="n">
        <v>2853065</v>
      </c>
      <c r="D10110" s="0" t="s">
        <v>33741</v>
      </c>
      <c r="E10110" s="0" t="s">
        <v>33742</v>
      </c>
      <c r="F10110" s="0" t="s">
        <v>90</v>
      </c>
      <c r="G10110" s="0" t="s">
        <v>36</v>
      </c>
      <c r="H10110" s="0" t="n">
        <v>31</v>
      </c>
      <c r="I10110" s="0" t="s">
        <v>33746</v>
      </c>
      <c r="J10110" s="0" t="s">
        <v>33747</v>
      </c>
      <c r="K10110" s="0" t="s">
        <v>33748</v>
      </c>
      <c r="L10110" s="0" t="str">
        <f aca="false">HYPERLINK("https://www.ncbi.nlm.nih.gov/nuccore/CP000304.1?report=graph&amp;tracks=[key:gene_model_track,Options:GeneOnly]&amp;mk=2853069:2853088|offset_8|444444,2853046:2853065|offset_31|00cc00,2853022:2853041|offset_55|444444,2852995:2853014|offset_82|444444&amp;v=2852868:2853214&amp;c=444444", "offset 31")</f>
        <v>offset 31</v>
      </c>
    </row>
    <row r="10111" customFormat="false" ht="12.8" hidden="false" customHeight="false" outlineLevel="0" collapsed="false">
      <c r="A10111" s="0" t="s">
        <v>12</v>
      </c>
      <c r="B10111" s="0" t="n">
        <v>2853021</v>
      </c>
      <c r="C10111" s="0" t="n">
        <v>2853041</v>
      </c>
      <c r="D10111" s="0" t="s">
        <v>33741</v>
      </c>
      <c r="E10111" s="0" t="s">
        <v>33742</v>
      </c>
      <c r="F10111" s="0" t="s">
        <v>90</v>
      </c>
      <c r="G10111" s="0" t="s">
        <v>16</v>
      </c>
      <c r="H10111" s="0" t="n">
        <v>55</v>
      </c>
      <c r="I10111" s="0" t="s">
        <v>33749</v>
      </c>
      <c r="J10111" s="0" t="s">
        <v>33750</v>
      </c>
      <c r="K10111" s="0" t="s">
        <v>33751</v>
      </c>
      <c r="L10111" s="0" t="str">
        <f aca="false">HYPERLINK("https://www.ncbi.nlm.nih.gov/nuccore/CP000304.1?report=graph&amp;tracks=[key:gene_model_track,Options:GeneOnly]&amp;mk=2853069:2853088|offset_8|444444,2853046:2853065|offset_31|444444,2853022:2853041|offset_55|00cc00,2852995:2853014|offset_82|444444&amp;v=2852868:2853214&amp;c=444444", "offset 55")</f>
        <v>offset 55</v>
      </c>
    </row>
    <row r="10112" customFormat="false" ht="12.8" hidden="false" customHeight="false" outlineLevel="0" collapsed="false">
      <c r="A10112" s="0" t="s">
        <v>12</v>
      </c>
      <c r="B10112" s="0" t="n">
        <v>2852994</v>
      </c>
      <c r="C10112" s="0" t="n">
        <v>2853014</v>
      </c>
      <c r="D10112" s="0" t="s">
        <v>33741</v>
      </c>
      <c r="E10112" s="0" t="s">
        <v>33742</v>
      </c>
      <c r="F10112" s="0" t="s">
        <v>90</v>
      </c>
      <c r="G10112" s="0" t="s">
        <v>16</v>
      </c>
      <c r="H10112" s="0" t="n">
        <v>82</v>
      </c>
      <c r="I10112" s="0" t="s">
        <v>33752</v>
      </c>
      <c r="J10112" s="0" t="s">
        <v>33753</v>
      </c>
      <c r="K10112" s="0" t="s">
        <v>33754</v>
      </c>
      <c r="L10112" s="0" t="str">
        <f aca="false">HYPERLINK("https://www.ncbi.nlm.nih.gov/nuccore/CP000304.1?report=graph&amp;tracks=[key:gene_model_track,Options:GeneOnly]&amp;mk=2853069:2853088|offset_8|444444,2853046:2853065|offset_31|444444,2853022:2853041|offset_55|444444,2852995:2853014|offset_82|00cc00&amp;v=2852868:2853214&amp;c=444444", "offset 82")</f>
        <v>offset 82</v>
      </c>
    </row>
    <row r="10113" customFormat="false" ht="12.8" hidden="false" customHeight="false" outlineLevel="0" collapsed="false">
      <c r="A10113" s="0" t="s">
        <v>12</v>
      </c>
      <c r="B10113" s="0" t="n">
        <v>2853502</v>
      </c>
      <c r="C10113" s="0" t="n">
        <v>2853522</v>
      </c>
      <c r="D10113" s="0" t="s">
        <v>33755</v>
      </c>
      <c r="E10113" s="0" t="s">
        <v>89</v>
      </c>
      <c r="F10113" s="0" t="s">
        <v>90</v>
      </c>
      <c r="G10113" s="0" t="s">
        <v>16</v>
      </c>
      <c r="H10113" s="0" t="n">
        <v>38</v>
      </c>
      <c r="I10113" s="0" t="s">
        <v>33756</v>
      </c>
      <c r="J10113" s="0" t="s">
        <v>33757</v>
      </c>
      <c r="K10113" s="0" t="s">
        <v>33758</v>
      </c>
      <c r="L10113" s="0" t="str">
        <f aca="false">HYPERLINK("https://www.ncbi.nlm.nih.gov/nuccore/CP000304.1?report=graph&amp;tracks=[key:gene_model_track,Options:GeneOnly]&amp;mk=2853503:2853522|offset_38|00cc00,2853473:2853492|offset_68|444444,2853423:2853442|offset_118|444444,2853391:2853410|offset_150|444444&amp;v=2853302:2853610&amp;c=444444", "offset 38")</f>
        <v>offset 38</v>
      </c>
    </row>
    <row r="10114" customFormat="false" ht="12.8" hidden="false" customHeight="false" outlineLevel="0" collapsed="false">
      <c r="A10114" s="0" t="s">
        <v>12</v>
      </c>
      <c r="B10114" s="0" t="n">
        <v>2853472</v>
      </c>
      <c r="C10114" s="0" t="n">
        <v>2853492</v>
      </c>
      <c r="D10114" s="0" t="s">
        <v>33755</v>
      </c>
      <c r="E10114" s="0" t="s">
        <v>89</v>
      </c>
      <c r="F10114" s="0" t="s">
        <v>90</v>
      </c>
      <c r="G10114" s="0" t="s">
        <v>32</v>
      </c>
      <c r="H10114" s="0" t="n">
        <v>68</v>
      </c>
      <c r="I10114" s="0" t="s">
        <v>33759</v>
      </c>
      <c r="J10114" s="0" t="s">
        <v>33760</v>
      </c>
      <c r="K10114" s="0" t="s">
        <v>33761</v>
      </c>
      <c r="L10114" s="0" t="str">
        <f aca="false">HYPERLINK("https://www.ncbi.nlm.nih.gov/nuccore/CP000304.1?report=graph&amp;tracks=[key:gene_model_track,Options:GeneOnly]&amp;mk=2853503:2853522|offset_38|444444,2853473:2853492|offset_68|00cc00,2853423:2853442|offset_118|444444,2853391:2853410|offset_150|444444&amp;v=2853302:2853610&amp;c=444444", "offset 68")</f>
        <v>offset 68</v>
      </c>
    </row>
    <row r="10115" customFormat="false" ht="12.8" hidden="false" customHeight="false" outlineLevel="0" collapsed="false">
      <c r="A10115" s="0" t="s">
        <v>12</v>
      </c>
      <c r="B10115" s="0" t="n">
        <v>2853422</v>
      </c>
      <c r="C10115" s="0" t="n">
        <v>2853442</v>
      </c>
      <c r="D10115" s="0" t="s">
        <v>33755</v>
      </c>
      <c r="E10115" s="0" t="s">
        <v>89</v>
      </c>
      <c r="F10115" s="0" t="s">
        <v>90</v>
      </c>
      <c r="G10115" s="0" t="s">
        <v>16</v>
      </c>
      <c r="H10115" s="0" t="n">
        <v>118</v>
      </c>
      <c r="I10115" s="0" t="s">
        <v>33762</v>
      </c>
      <c r="J10115" s="0" t="s">
        <v>33763</v>
      </c>
      <c r="K10115" s="0" t="s">
        <v>33764</v>
      </c>
      <c r="L10115" s="0" t="str">
        <f aca="false">HYPERLINK("https://www.ncbi.nlm.nih.gov/nuccore/CP000304.1?report=graph&amp;tracks=[key:gene_model_track,Options:GeneOnly]&amp;mk=2853503:2853522|offset_38|444444,2853473:2853492|offset_68|444444,2853423:2853442|offset_118|00cc00,2853391:2853410|offset_150|444444&amp;v=2853302:2853610&amp;c=444444", "offset 118")</f>
        <v>offset 118</v>
      </c>
    </row>
    <row r="10116" customFormat="false" ht="12.8" hidden="false" customHeight="false" outlineLevel="0" collapsed="false">
      <c r="A10116" s="0" t="s">
        <v>12</v>
      </c>
      <c r="B10116" s="0" t="n">
        <v>2853390</v>
      </c>
      <c r="C10116" s="0" t="n">
        <v>2853410</v>
      </c>
      <c r="D10116" s="0" t="s">
        <v>33755</v>
      </c>
      <c r="E10116" s="0" t="s">
        <v>89</v>
      </c>
      <c r="F10116" s="0" t="s">
        <v>90</v>
      </c>
      <c r="G10116" s="0" t="s">
        <v>32</v>
      </c>
      <c r="H10116" s="0" t="n">
        <v>150</v>
      </c>
      <c r="I10116" s="0" t="s">
        <v>33765</v>
      </c>
      <c r="J10116" s="0" t="s">
        <v>33766</v>
      </c>
      <c r="K10116" s="0" t="s">
        <v>33767</v>
      </c>
      <c r="L10116" s="0" t="str">
        <f aca="false">HYPERLINK("https://www.ncbi.nlm.nih.gov/nuccore/CP000304.1?report=graph&amp;tracks=[key:gene_model_track,Options:GeneOnly]&amp;mk=2853503:2853522|offset_38|444444,2853473:2853492|offset_68|444444,2853423:2853442|offset_118|444444,2853391:2853410|offset_150|00cc00&amp;v=2853302:2853610&amp;c=444444", "offset 150")</f>
        <v>offset 150</v>
      </c>
    </row>
    <row r="10117" customFormat="false" ht="12.8" hidden="false" customHeight="false" outlineLevel="0" collapsed="false">
      <c r="A10117" s="0" t="s">
        <v>12</v>
      </c>
      <c r="B10117" s="0" t="n">
        <v>2854155</v>
      </c>
      <c r="C10117" s="0" t="n">
        <v>2854175</v>
      </c>
      <c r="D10117" s="0" t="s">
        <v>33768</v>
      </c>
      <c r="E10117" s="0" t="s">
        <v>33769</v>
      </c>
      <c r="F10117" s="0" t="s">
        <v>90</v>
      </c>
      <c r="G10117" s="0" t="s">
        <v>32</v>
      </c>
      <c r="H10117" s="0" t="n">
        <v>10</v>
      </c>
      <c r="I10117" s="0" t="s">
        <v>33770</v>
      </c>
      <c r="J10117" s="0" t="s">
        <v>33771</v>
      </c>
      <c r="K10117" s="0" t="s">
        <v>33772</v>
      </c>
      <c r="L10117" s="0" t="str">
        <f aca="false">HYPERLINK("https://www.ncbi.nlm.nih.gov/nuccore/CP000304.1?report=graph&amp;tracks=[key:gene_model_track,Options:GeneOnly]&amp;mk=2854156:2854175|offset_10|00cc00,2854129:2854148|offset_37|444444,2854096:2854115|offset_70|444444,2854072:2854091|offset_94|444444&amp;v=2853955:2854291&amp;c=444444", "offset 10")</f>
        <v>offset 10</v>
      </c>
    </row>
    <row r="10118" customFormat="false" ht="12.8" hidden="false" customHeight="false" outlineLevel="0" collapsed="false">
      <c r="A10118" s="0" t="s">
        <v>12</v>
      </c>
      <c r="B10118" s="0" t="n">
        <v>2854128</v>
      </c>
      <c r="C10118" s="0" t="n">
        <v>2854148</v>
      </c>
      <c r="D10118" s="0" t="s">
        <v>33768</v>
      </c>
      <c r="E10118" s="0" t="s">
        <v>33769</v>
      </c>
      <c r="F10118" s="0" t="s">
        <v>90</v>
      </c>
      <c r="G10118" s="0" t="s">
        <v>26</v>
      </c>
      <c r="H10118" s="0" t="n">
        <v>37</v>
      </c>
      <c r="I10118" s="0" t="s">
        <v>33773</v>
      </c>
      <c r="J10118" s="0" t="s">
        <v>33774</v>
      </c>
      <c r="K10118" s="0" t="s">
        <v>33775</v>
      </c>
      <c r="L10118" s="0" t="str">
        <f aca="false">HYPERLINK("https://www.ncbi.nlm.nih.gov/nuccore/CP000304.1?report=graph&amp;tracks=[key:gene_model_track,Options:GeneOnly]&amp;mk=2854156:2854175|offset_10|444444,2854129:2854148|offset_37|00cc00,2854096:2854115|offset_70|444444,2854072:2854091|offset_94|444444&amp;v=2853955:2854291&amp;c=444444", "offset 37")</f>
        <v>offset 37</v>
      </c>
    </row>
    <row r="10119" customFormat="false" ht="12.8" hidden="false" customHeight="false" outlineLevel="0" collapsed="false">
      <c r="A10119" s="0" t="s">
        <v>12</v>
      </c>
      <c r="B10119" s="0" t="n">
        <v>2854095</v>
      </c>
      <c r="C10119" s="0" t="n">
        <v>2854115</v>
      </c>
      <c r="D10119" s="0" t="s">
        <v>33768</v>
      </c>
      <c r="E10119" s="0" t="s">
        <v>33769</v>
      </c>
      <c r="F10119" s="0" t="s">
        <v>90</v>
      </c>
      <c r="G10119" s="0" t="s">
        <v>36</v>
      </c>
      <c r="H10119" s="0" t="n">
        <v>70</v>
      </c>
      <c r="I10119" s="0" t="s">
        <v>33776</v>
      </c>
      <c r="J10119" s="0" t="s">
        <v>33777</v>
      </c>
      <c r="K10119" s="0" t="s">
        <v>33778</v>
      </c>
      <c r="L10119" s="0" t="str">
        <f aca="false">HYPERLINK("https://www.ncbi.nlm.nih.gov/nuccore/CP000304.1?report=graph&amp;tracks=[key:gene_model_track,Options:GeneOnly]&amp;mk=2854156:2854175|offset_10|444444,2854129:2854148|offset_37|444444,2854096:2854115|offset_70|00cc00,2854072:2854091|offset_94|444444&amp;v=2853955:2854291&amp;c=444444", "offset 70")</f>
        <v>offset 70</v>
      </c>
    </row>
    <row r="10120" customFormat="false" ht="12.8" hidden="false" customHeight="false" outlineLevel="0" collapsed="false">
      <c r="A10120" s="0" t="s">
        <v>12</v>
      </c>
      <c r="B10120" s="0" t="n">
        <v>2854071</v>
      </c>
      <c r="C10120" s="0" t="n">
        <v>2854091</v>
      </c>
      <c r="D10120" s="0" t="s">
        <v>33768</v>
      </c>
      <c r="E10120" s="0" t="s">
        <v>33769</v>
      </c>
      <c r="F10120" s="0" t="s">
        <v>90</v>
      </c>
      <c r="G10120" s="0" t="s">
        <v>16</v>
      </c>
      <c r="H10120" s="0" t="n">
        <v>94</v>
      </c>
      <c r="I10120" s="0" t="s">
        <v>33779</v>
      </c>
      <c r="J10120" s="0" t="s">
        <v>33780</v>
      </c>
      <c r="K10120" s="0" t="s">
        <v>33781</v>
      </c>
      <c r="L10120" s="0" t="str">
        <f aca="false">HYPERLINK("https://www.ncbi.nlm.nih.gov/nuccore/CP000304.1?report=graph&amp;tracks=[key:gene_model_track,Options:GeneOnly]&amp;mk=2854156:2854175|offset_10|444444,2854129:2854148|offset_37|444444,2854096:2854115|offset_70|444444,2854072:2854091|offset_94|00cc00&amp;v=2853955:2854291&amp;c=444444", "offset 94")</f>
        <v>offset 94</v>
      </c>
    </row>
    <row r="10121" customFormat="false" ht="12.8" hidden="false" customHeight="false" outlineLevel="0" collapsed="false">
      <c r="A10121" s="0" t="s">
        <v>12</v>
      </c>
      <c r="B10121" s="0" t="n">
        <v>2854478</v>
      </c>
      <c r="C10121" s="0" t="n">
        <v>2854498</v>
      </c>
      <c r="D10121" s="0" t="s">
        <v>33782</v>
      </c>
      <c r="E10121" s="0" t="s">
        <v>89</v>
      </c>
      <c r="F10121" s="0" t="s">
        <v>90</v>
      </c>
      <c r="G10121" s="0" t="s">
        <v>32</v>
      </c>
      <c r="H10121" s="0" t="n">
        <v>10</v>
      </c>
      <c r="I10121" s="0" t="s">
        <v>33783</v>
      </c>
      <c r="J10121" s="0" t="s">
        <v>33784</v>
      </c>
      <c r="K10121" s="0" t="s">
        <v>33785</v>
      </c>
      <c r="L10121" s="0" t="str">
        <f aca="false">HYPERLINK("https://www.ncbi.nlm.nih.gov/nuccore/CP000304.1?report=graph&amp;tracks=[key:gene_model_track,Options:GeneOnly]&amp;mk=2854479:2854498|offset_10|00cc00,2854458:2854477|offset_31|444444,2854438:2854457|offset_51|444444,2854395:2854414|offset_94|444444&amp;v=2854278:2854614&amp;c=444444", "offset 10")</f>
        <v>offset 10</v>
      </c>
    </row>
    <row r="10122" customFormat="false" ht="12.8" hidden="false" customHeight="false" outlineLevel="0" collapsed="false">
      <c r="A10122" s="0" t="s">
        <v>12</v>
      </c>
      <c r="B10122" s="0" t="n">
        <v>2854457</v>
      </c>
      <c r="C10122" s="0" t="n">
        <v>2854477</v>
      </c>
      <c r="D10122" s="0" t="s">
        <v>33782</v>
      </c>
      <c r="E10122" s="0" t="s">
        <v>89</v>
      </c>
      <c r="F10122" s="0" t="s">
        <v>90</v>
      </c>
      <c r="G10122" s="0" t="s">
        <v>26</v>
      </c>
      <c r="H10122" s="0" t="n">
        <v>31</v>
      </c>
      <c r="I10122" s="0" t="s">
        <v>33786</v>
      </c>
      <c r="J10122" s="0" t="s">
        <v>33787</v>
      </c>
      <c r="K10122" s="0" t="s">
        <v>33788</v>
      </c>
      <c r="L10122" s="0" t="str">
        <f aca="false">HYPERLINK("https://www.ncbi.nlm.nih.gov/nuccore/CP000304.1?report=graph&amp;tracks=[key:gene_model_track,Options:GeneOnly]&amp;mk=2854479:2854498|offset_10|444444,2854458:2854477|offset_31|00cc00,2854438:2854457|offset_51|444444,2854395:2854414|offset_94|444444&amp;v=2854278:2854614&amp;c=444444", "offset 31")</f>
        <v>offset 31</v>
      </c>
    </row>
    <row r="10123" customFormat="false" ht="12.8" hidden="false" customHeight="false" outlineLevel="0" collapsed="false">
      <c r="A10123" s="0" t="s">
        <v>12</v>
      </c>
      <c r="B10123" s="0" t="n">
        <v>2854437</v>
      </c>
      <c r="C10123" s="0" t="n">
        <v>2854457</v>
      </c>
      <c r="D10123" s="0" t="s">
        <v>33782</v>
      </c>
      <c r="E10123" s="0" t="s">
        <v>89</v>
      </c>
      <c r="F10123" s="0" t="s">
        <v>90</v>
      </c>
      <c r="G10123" s="0" t="s">
        <v>16</v>
      </c>
      <c r="H10123" s="0" t="n">
        <v>51</v>
      </c>
      <c r="I10123" s="0" t="s">
        <v>33789</v>
      </c>
      <c r="J10123" s="0" t="s">
        <v>33790</v>
      </c>
      <c r="K10123" s="0" t="s">
        <v>33791</v>
      </c>
      <c r="L10123" s="0" t="str">
        <f aca="false">HYPERLINK("https://www.ncbi.nlm.nih.gov/nuccore/CP000304.1?report=graph&amp;tracks=[key:gene_model_track,Options:GeneOnly]&amp;mk=2854479:2854498|offset_10|444444,2854458:2854477|offset_31|444444,2854438:2854457|offset_51|00cc00,2854395:2854414|offset_94|444444&amp;v=2854278:2854614&amp;c=444444", "offset 51")</f>
        <v>offset 51</v>
      </c>
    </row>
    <row r="10124" customFormat="false" ht="12.8" hidden="false" customHeight="false" outlineLevel="0" collapsed="false">
      <c r="A10124" s="0" t="s">
        <v>12</v>
      </c>
      <c r="B10124" s="0" t="n">
        <v>2854394</v>
      </c>
      <c r="C10124" s="0" t="n">
        <v>2854414</v>
      </c>
      <c r="D10124" s="0" t="s">
        <v>33782</v>
      </c>
      <c r="E10124" s="0" t="s">
        <v>89</v>
      </c>
      <c r="F10124" s="0" t="s">
        <v>90</v>
      </c>
      <c r="G10124" s="0" t="s">
        <v>16</v>
      </c>
      <c r="H10124" s="0" t="n">
        <v>94</v>
      </c>
      <c r="I10124" s="0" t="s">
        <v>33792</v>
      </c>
      <c r="J10124" s="0" t="s">
        <v>33793</v>
      </c>
      <c r="K10124" s="0" t="s">
        <v>33794</v>
      </c>
      <c r="L10124" s="0" t="str">
        <f aca="false">HYPERLINK("https://www.ncbi.nlm.nih.gov/nuccore/CP000304.1?report=graph&amp;tracks=[key:gene_model_track,Options:GeneOnly]&amp;mk=2854479:2854498|offset_10|444444,2854458:2854477|offset_31|444444,2854438:2854457|offset_51|444444,2854395:2854414|offset_94|00cc00&amp;v=2854278:2854614&amp;c=444444", "offset 94")</f>
        <v>offset 94</v>
      </c>
    </row>
    <row r="10125" customFormat="false" ht="12.8" hidden="false" customHeight="false" outlineLevel="0" collapsed="false">
      <c r="A10125" s="0" t="s">
        <v>12</v>
      </c>
      <c r="B10125" s="0" t="n">
        <v>2855531</v>
      </c>
      <c r="C10125" s="0" t="n">
        <v>2855551</v>
      </c>
      <c r="D10125" s="0" t="s">
        <v>33795</v>
      </c>
      <c r="E10125" s="0" t="s">
        <v>33796</v>
      </c>
      <c r="F10125" s="0" t="s">
        <v>90</v>
      </c>
      <c r="G10125" s="0" t="s">
        <v>16</v>
      </c>
      <c r="H10125" s="0" t="n">
        <v>7</v>
      </c>
      <c r="I10125" s="0" t="s">
        <v>33797</v>
      </c>
      <c r="J10125" s="0" t="s">
        <v>33798</v>
      </c>
      <c r="K10125" s="0" t="s">
        <v>33799</v>
      </c>
      <c r="L10125" s="0" t="str">
        <f aca="false">HYPERLINK("https://www.ncbi.nlm.nih.gov/nuccore/CP000304.1?report=graph&amp;tracks=[key:gene_model_track,Options:GeneOnly]&amp;mk=2855532:2855551|offset_7|00cc00,2855508:2855527|offset_31|444444,2855469:2855488|offset_70|444444,2855429:2855448|offset_110|444444&amp;v=2855331:2855648&amp;c=444444", "offset 7")</f>
        <v>offset 7</v>
      </c>
    </row>
    <row r="10126" customFormat="false" ht="12.8" hidden="false" customHeight="false" outlineLevel="0" collapsed="false">
      <c r="A10126" s="0" t="s">
        <v>12</v>
      </c>
      <c r="B10126" s="0" t="n">
        <v>2855507</v>
      </c>
      <c r="C10126" s="0" t="n">
        <v>2855527</v>
      </c>
      <c r="D10126" s="0" t="s">
        <v>33795</v>
      </c>
      <c r="E10126" s="0" t="s">
        <v>33796</v>
      </c>
      <c r="F10126" s="0" t="s">
        <v>90</v>
      </c>
      <c r="G10126" s="0" t="s">
        <v>26</v>
      </c>
      <c r="H10126" s="0" t="n">
        <v>31</v>
      </c>
      <c r="I10126" s="0" t="s">
        <v>33800</v>
      </c>
      <c r="J10126" s="0" t="s">
        <v>33801</v>
      </c>
      <c r="K10126" s="0" t="s">
        <v>33802</v>
      </c>
      <c r="L10126" s="0" t="str">
        <f aca="false">HYPERLINK("https://www.ncbi.nlm.nih.gov/nuccore/CP000304.1?report=graph&amp;tracks=[key:gene_model_track,Options:GeneOnly]&amp;mk=2855532:2855551|offset_7|444444,2855508:2855527|offset_31|00cc00,2855469:2855488|offset_70|444444,2855429:2855448|offset_110|444444&amp;v=2855331:2855648&amp;c=444444", "offset 31")</f>
        <v>offset 31</v>
      </c>
    </row>
    <row r="10127" customFormat="false" ht="12.8" hidden="false" customHeight="false" outlineLevel="0" collapsed="false">
      <c r="A10127" s="0" t="s">
        <v>12</v>
      </c>
      <c r="B10127" s="0" t="n">
        <v>2855468</v>
      </c>
      <c r="C10127" s="0" t="n">
        <v>2855488</v>
      </c>
      <c r="D10127" s="0" t="s">
        <v>33795</v>
      </c>
      <c r="E10127" s="0" t="s">
        <v>33796</v>
      </c>
      <c r="F10127" s="0" t="s">
        <v>90</v>
      </c>
      <c r="G10127" s="0" t="s">
        <v>36</v>
      </c>
      <c r="H10127" s="0" t="n">
        <v>70</v>
      </c>
      <c r="I10127" s="0" t="s">
        <v>33803</v>
      </c>
      <c r="J10127" s="0" t="s">
        <v>33804</v>
      </c>
      <c r="K10127" s="0" t="s">
        <v>33805</v>
      </c>
      <c r="L10127" s="0" t="str">
        <f aca="false">HYPERLINK("https://www.ncbi.nlm.nih.gov/nuccore/CP000304.1?report=graph&amp;tracks=[key:gene_model_track,Options:GeneOnly]&amp;mk=2855532:2855551|offset_7|444444,2855508:2855527|offset_31|444444,2855469:2855488|offset_70|00cc00,2855429:2855448|offset_110|444444&amp;v=2855331:2855648&amp;c=444444", "offset 70")</f>
        <v>offset 70</v>
      </c>
    </row>
    <row r="10128" customFormat="false" ht="12.8" hidden="false" customHeight="false" outlineLevel="0" collapsed="false">
      <c r="A10128" s="0" t="s">
        <v>12</v>
      </c>
      <c r="B10128" s="0" t="n">
        <v>2855428</v>
      </c>
      <c r="C10128" s="0" t="n">
        <v>2855448</v>
      </c>
      <c r="D10128" s="0" t="s">
        <v>33795</v>
      </c>
      <c r="E10128" s="0" t="s">
        <v>33796</v>
      </c>
      <c r="F10128" s="0" t="s">
        <v>90</v>
      </c>
      <c r="G10128" s="0" t="s">
        <v>16</v>
      </c>
      <c r="H10128" s="0" t="n">
        <v>110</v>
      </c>
      <c r="I10128" s="0" t="s">
        <v>33806</v>
      </c>
      <c r="J10128" s="0" t="s">
        <v>33807</v>
      </c>
      <c r="K10128" s="0" t="s">
        <v>33808</v>
      </c>
      <c r="L10128" s="0" t="str">
        <f aca="false">HYPERLINK("https://www.ncbi.nlm.nih.gov/nuccore/CP000304.1?report=graph&amp;tracks=[key:gene_model_track,Options:GeneOnly]&amp;mk=2855532:2855551|offset_7|444444,2855508:2855527|offset_31|444444,2855469:2855488|offset_70|444444,2855429:2855448|offset_110|00cc00&amp;v=2855331:2855648&amp;c=444444", "offset 110")</f>
        <v>offset 110</v>
      </c>
    </row>
    <row r="10129" customFormat="false" ht="12.8" hidden="false" customHeight="false" outlineLevel="0" collapsed="false">
      <c r="A10129" s="0" t="s">
        <v>12</v>
      </c>
      <c r="B10129" s="0" t="n">
        <v>2855955</v>
      </c>
      <c r="C10129" s="0" t="n">
        <v>2855975</v>
      </c>
      <c r="D10129" s="0" t="s">
        <v>33809</v>
      </c>
      <c r="E10129" s="0" t="s">
        <v>89</v>
      </c>
      <c r="F10129" s="0" t="s">
        <v>90</v>
      </c>
      <c r="G10129" s="0" t="s">
        <v>16</v>
      </c>
      <c r="H10129" s="0" t="n">
        <v>11</v>
      </c>
      <c r="I10129" s="0" t="s">
        <v>33810</v>
      </c>
      <c r="J10129" s="0" t="s">
        <v>33811</v>
      </c>
      <c r="K10129" s="0" t="s">
        <v>33812</v>
      </c>
      <c r="L10129" s="0" t="str">
        <f aca="false">HYPERLINK("https://www.ncbi.nlm.nih.gov/nuccore/CP000304.1?report=graph&amp;tracks=[key:gene_model_track,Options:GeneOnly]&amp;mk=2855956:2855975|offset_11|00cc00,2855916:2855935|offset_51|444444,2855893:2855912|offset_74|444444,2855870:2855889|offset_97|444444&amp;v=2855755:2856089&amp;c=444444", "offset 11")</f>
        <v>offset 11</v>
      </c>
    </row>
    <row r="10130" customFormat="false" ht="12.8" hidden="false" customHeight="false" outlineLevel="0" collapsed="false">
      <c r="A10130" s="0" t="s">
        <v>12</v>
      </c>
      <c r="B10130" s="0" t="n">
        <v>2855915</v>
      </c>
      <c r="C10130" s="0" t="n">
        <v>2855935</v>
      </c>
      <c r="D10130" s="0" t="s">
        <v>33809</v>
      </c>
      <c r="E10130" s="0" t="s">
        <v>89</v>
      </c>
      <c r="F10130" s="0" t="s">
        <v>90</v>
      </c>
      <c r="G10130" s="0" t="s">
        <v>16</v>
      </c>
      <c r="H10130" s="0" t="n">
        <v>51</v>
      </c>
      <c r="I10130" s="0" t="s">
        <v>33813</v>
      </c>
      <c r="J10130" s="0" t="s">
        <v>33814</v>
      </c>
      <c r="K10130" s="0" t="s">
        <v>33815</v>
      </c>
      <c r="L10130" s="0" t="str">
        <f aca="false">HYPERLINK("https://www.ncbi.nlm.nih.gov/nuccore/CP000304.1?report=graph&amp;tracks=[key:gene_model_track,Options:GeneOnly]&amp;mk=2855956:2855975|offset_11|444444,2855916:2855935|offset_51|00cc00,2855893:2855912|offset_74|444444,2855870:2855889|offset_97|444444&amp;v=2855755:2856089&amp;c=444444", "offset 51")</f>
        <v>offset 51</v>
      </c>
    </row>
    <row r="10131" customFormat="false" ht="12.8" hidden="false" customHeight="false" outlineLevel="0" collapsed="false">
      <c r="A10131" s="0" t="s">
        <v>12</v>
      </c>
      <c r="B10131" s="0" t="n">
        <v>2855892</v>
      </c>
      <c r="C10131" s="0" t="n">
        <v>2855912</v>
      </c>
      <c r="D10131" s="0" t="s">
        <v>33809</v>
      </c>
      <c r="E10131" s="0" t="s">
        <v>89</v>
      </c>
      <c r="F10131" s="0" t="s">
        <v>90</v>
      </c>
      <c r="G10131" s="0" t="s">
        <v>26</v>
      </c>
      <c r="H10131" s="0" t="n">
        <v>74</v>
      </c>
      <c r="I10131" s="0" t="s">
        <v>33816</v>
      </c>
      <c r="J10131" s="0" t="s">
        <v>33817</v>
      </c>
      <c r="K10131" s="0" t="s">
        <v>33818</v>
      </c>
      <c r="L10131" s="0" t="str">
        <f aca="false">HYPERLINK("https://www.ncbi.nlm.nih.gov/nuccore/CP000304.1?report=graph&amp;tracks=[key:gene_model_track,Options:GeneOnly]&amp;mk=2855956:2855975|offset_11|444444,2855916:2855935|offset_51|444444,2855893:2855912|offset_74|00cc00,2855870:2855889|offset_97|444444&amp;v=2855755:2856089&amp;c=444444", "offset 74")</f>
        <v>offset 74</v>
      </c>
    </row>
    <row r="10132" customFormat="false" ht="12.8" hidden="false" customHeight="false" outlineLevel="0" collapsed="false">
      <c r="A10132" s="0" t="s">
        <v>12</v>
      </c>
      <c r="B10132" s="0" t="n">
        <v>2855869</v>
      </c>
      <c r="C10132" s="0" t="n">
        <v>2855889</v>
      </c>
      <c r="D10132" s="0" t="s">
        <v>33809</v>
      </c>
      <c r="E10132" s="0" t="s">
        <v>89</v>
      </c>
      <c r="F10132" s="0" t="s">
        <v>90</v>
      </c>
      <c r="G10132" s="0" t="s">
        <v>32</v>
      </c>
      <c r="H10132" s="0" t="n">
        <v>97</v>
      </c>
      <c r="I10132" s="0" t="s">
        <v>33819</v>
      </c>
      <c r="J10132" s="0" t="s">
        <v>33820</v>
      </c>
      <c r="K10132" s="0" t="s">
        <v>33821</v>
      </c>
      <c r="L10132" s="0" t="str">
        <f aca="false">HYPERLINK("https://www.ncbi.nlm.nih.gov/nuccore/CP000304.1?report=graph&amp;tracks=[key:gene_model_track,Options:GeneOnly]&amp;mk=2855956:2855975|offset_11|444444,2855916:2855935|offset_51|444444,2855893:2855912|offset_74|444444,2855870:2855889|offset_97|00cc00&amp;v=2855755:2856089&amp;c=444444", "offset 97")</f>
        <v>offset 97</v>
      </c>
    </row>
    <row r="10133" customFormat="false" ht="12.8" hidden="false" customHeight="false" outlineLevel="0" collapsed="false">
      <c r="A10133" s="0" t="s">
        <v>12</v>
      </c>
      <c r="B10133" s="0" t="n">
        <v>2856553</v>
      </c>
      <c r="C10133" s="0" t="n">
        <v>2856573</v>
      </c>
      <c r="D10133" s="0" t="s">
        <v>33822</v>
      </c>
      <c r="E10133" s="0" t="s">
        <v>89</v>
      </c>
      <c r="F10133" s="0" t="s">
        <v>90</v>
      </c>
      <c r="G10133" s="0" t="s">
        <v>32</v>
      </c>
      <c r="H10133" s="0" t="n">
        <v>9</v>
      </c>
      <c r="I10133" s="0" t="s">
        <v>33823</v>
      </c>
      <c r="J10133" s="0" t="s">
        <v>33824</v>
      </c>
      <c r="K10133" s="0" t="s">
        <v>33825</v>
      </c>
      <c r="L10133" s="0" t="str">
        <f aca="false">HYPERLINK("https://www.ncbi.nlm.nih.gov/nuccore/CP000304.1?report=graph&amp;tracks=[key:gene_model_track,Options:GeneOnly]&amp;mk=2856554:2856573|offset_9|00cc00,2856529:2856548|offset_34|444444,2856507:2856526|offset_56|444444,2856486:2856505|offset_77|444444&amp;v=2856353:2856705&amp;c=444444", "offset 9")</f>
        <v>offset 9</v>
      </c>
    </row>
    <row r="10134" customFormat="false" ht="12.8" hidden="false" customHeight="false" outlineLevel="0" collapsed="false">
      <c r="A10134" s="0" t="s">
        <v>12</v>
      </c>
      <c r="B10134" s="0" t="n">
        <v>2856528</v>
      </c>
      <c r="C10134" s="0" t="n">
        <v>2856548</v>
      </c>
      <c r="D10134" s="0" t="s">
        <v>33822</v>
      </c>
      <c r="E10134" s="0" t="s">
        <v>89</v>
      </c>
      <c r="F10134" s="0" t="s">
        <v>90</v>
      </c>
      <c r="G10134" s="0" t="s">
        <v>16</v>
      </c>
      <c r="H10134" s="0" t="n">
        <v>34</v>
      </c>
      <c r="I10134" s="0" t="s">
        <v>33826</v>
      </c>
      <c r="J10134" s="0" t="s">
        <v>33827</v>
      </c>
      <c r="K10134" s="0" t="s">
        <v>33828</v>
      </c>
      <c r="L10134" s="0" t="str">
        <f aca="false">HYPERLINK("https://www.ncbi.nlm.nih.gov/nuccore/CP000304.1?report=graph&amp;tracks=[key:gene_model_track,Options:GeneOnly]&amp;mk=2856554:2856573|offset_9|444444,2856529:2856548|offset_34|00cc00,2856507:2856526|offset_56|444444,2856486:2856505|offset_77|444444&amp;v=2856353:2856705&amp;c=444444", "offset 34")</f>
        <v>offset 34</v>
      </c>
    </row>
    <row r="10135" customFormat="false" ht="12.8" hidden="false" customHeight="false" outlineLevel="0" collapsed="false">
      <c r="A10135" s="0" t="s">
        <v>12</v>
      </c>
      <c r="B10135" s="0" t="n">
        <v>2856506</v>
      </c>
      <c r="C10135" s="0" t="n">
        <v>2856526</v>
      </c>
      <c r="D10135" s="0" t="s">
        <v>33822</v>
      </c>
      <c r="E10135" s="0" t="s">
        <v>89</v>
      </c>
      <c r="F10135" s="0" t="s">
        <v>90</v>
      </c>
      <c r="G10135" s="0" t="s">
        <v>26</v>
      </c>
      <c r="H10135" s="0" t="n">
        <v>56</v>
      </c>
      <c r="I10135" s="0" t="s">
        <v>33829</v>
      </c>
      <c r="J10135" s="0" t="s">
        <v>33830</v>
      </c>
      <c r="K10135" s="0" t="s">
        <v>33831</v>
      </c>
      <c r="L10135" s="0" t="str">
        <f aca="false">HYPERLINK("https://www.ncbi.nlm.nih.gov/nuccore/CP000304.1?report=graph&amp;tracks=[key:gene_model_track,Options:GeneOnly]&amp;mk=2856554:2856573|offset_9|444444,2856529:2856548|offset_34|444444,2856507:2856526|offset_56|00cc00,2856486:2856505|offset_77|444444&amp;v=2856353:2856705&amp;c=444444", "offset 56")</f>
        <v>offset 56</v>
      </c>
    </row>
    <row r="10136" customFormat="false" ht="12.8" hidden="false" customHeight="false" outlineLevel="0" collapsed="false">
      <c r="A10136" s="0" t="s">
        <v>12</v>
      </c>
      <c r="B10136" s="0" t="n">
        <v>2856485</v>
      </c>
      <c r="C10136" s="0" t="n">
        <v>2856505</v>
      </c>
      <c r="D10136" s="0" t="s">
        <v>33822</v>
      </c>
      <c r="E10136" s="0" t="s">
        <v>89</v>
      </c>
      <c r="F10136" s="0" t="s">
        <v>90</v>
      </c>
      <c r="G10136" s="0" t="s">
        <v>16</v>
      </c>
      <c r="H10136" s="0" t="n">
        <v>77</v>
      </c>
      <c r="I10136" s="0" t="s">
        <v>33832</v>
      </c>
      <c r="J10136" s="0" t="s">
        <v>33833</v>
      </c>
      <c r="K10136" s="0" t="s">
        <v>33834</v>
      </c>
      <c r="L10136" s="0" t="str">
        <f aca="false">HYPERLINK("https://www.ncbi.nlm.nih.gov/nuccore/CP000304.1?report=graph&amp;tracks=[key:gene_model_track,Options:GeneOnly]&amp;mk=2856554:2856573|offset_9|444444,2856529:2856548|offset_34|444444,2856507:2856526|offset_56|444444,2856486:2856505|offset_77|00cc00&amp;v=2856353:2856705&amp;c=444444", "offset 77")</f>
        <v>offset 77</v>
      </c>
    </row>
    <row r="10137" customFormat="false" ht="12.8" hidden="false" customHeight="false" outlineLevel="0" collapsed="false">
      <c r="A10137" s="0" t="s">
        <v>12</v>
      </c>
      <c r="B10137" s="0" t="n">
        <v>2858864</v>
      </c>
      <c r="C10137" s="0" t="n">
        <v>2858884</v>
      </c>
      <c r="D10137" s="0" t="s">
        <v>33835</v>
      </c>
      <c r="E10137" s="0" t="s">
        <v>89</v>
      </c>
      <c r="F10137" s="0" t="s">
        <v>90</v>
      </c>
      <c r="G10137" s="0" t="s">
        <v>16</v>
      </c>
      <c r="H10137" s="0" t="n">
        <v>28</v>
      </c>
      <c r="I10137" s="0" t="s">
        <v>33836</v>
      </c>
      <c r="J10137" s="0" t="s">
        <v>33837</v>
      </c>
      <c r="K10137" s="0" t="s">
        <v>33838</v>
      </c>
      <c r="L10137" s="0" t="str">
        <f aca="false">HYPERLINK("https://www.ncbi.nlm.nih.gov/nuccore/CP000304.1?report=graph&amp;tracks=[key:gene_model_track,Options:GeneOnly]&amp;mk=2858865:2858884|offset_28|00cc00,2858840:2858859|offset_53|444444,2858780:2858799|offset_113|444444,2858755:2858774|offset_138|444444&amp;v=2858664:2858974&amp;c=444444", "offset 28")</f>
        <v>offset 28</v>
      </c>
    </row>
    <row r="10138" customFormat="false" ht="12.8" hidden="false" customHeight="false" outlineLevel="0" collapsed="false">
      <c r="A10138" s="0" t="s">
        <v>12</v>
      </c>
      <c r="B10138" s="0" t="n">
        <v>2858839</v>
      </c>
      <c r="C10138" s="0" t="n">
        <v>2858859</v>
      </c>
      <c r="D10138" s="0" t="s">
        <v>33835</v>
      </c>
      <c r="E10138" s="0" t="s">
        <v>89</v>
      </c>
      <c r="F10138" s="0" t="s">
        <v>90</v>
      </c>
      <c r="G10138" s="0" t="s">
        <v>26</v>
      </c>
      <c r="H10138" s="0" t="n">
        <v>53</v>
      </c>
      <c r="I10138" s="0" t="s">
        <v>33839</v>
      </c>
      <c r="J10138" s="0" t="s">
        <v>33840</v>
      </c>
      <c r="K10138" s="0" t="s">
        <v>33841</v>
      </c>
      <c r="L10138" s="0" t="str">
        <f aca="false">HYPERLINK("https://www.ncbi.nlm.nih.gov/nuccore/CP000304.1?report=graph&amp;tracks=[key:gene_model_track,Options:GeneOnly]&amp;mk=2858865:2858884|offset_28|444444,2858840:2858859|offset_53|00cc00,2858780:2858799|offset_113|444444,2858755:2858774|offset_138|444444&amp;v=2858664:2858974&amp;c=444444", "offset 53")</f>
        <v>offset 53</v>
      </c>
    </row>
    <row r="10139" customFormat="false" ht="12.8" hidden="false" customHeight="false" outlineLevel="0" collapsed="false">
      <c r="A10139" s="0" t="s">
        <v>12</v>
      </c>
      <c r="B10139" s="0" t="n">
        <v>2858779</v>
      </c>
      <c r="C10139" s="0" t="n">
        <v>2858799</v>
      </c>
      <c r="D10139" s="0" t="s">
        <v>33835</v>
      </c>
      <c r="E10139" s="0" t="s">
        <v>89</v>
      </c>
      <c r="F10139" s="0" t="s">
        <v>90</v>
      </c>
      <c r="G10139" s="0" t="s">
        <v>26</v>
      </c>
      <c r="H10139" s="0" t="n">
        <v>113</v>
      </c>
      <c r="I10139" s="0" t="s">
        <v>33842</v>
      </c>
      <c r="J10139" s="0" t="s">
        <v>33843</v>
      </c>
      <c r="K10139" s="0" t="s">
        <v>33844</v>
      </c>
      <c r="L10139" s="0" t="str">
        <f aca="false">HYPERLINK("https://www.ncbi.nlm.nih.gov/nuccore/CP000304.1?report=graph&amp;tracks=[key:gene_model_track,Options:GeneOnly]&amp;mk=2858865:2858884|offset_28|444444,2858840:2858859|offset_53|444444,2858780:2858799|offset_113|00cc00,2858755:2858774|offset_138|444444&amp;v=2858664:2858974&amp;c=444444", "offset 113")</f>
        <v>offset 113</v>
      </c>
    </row>
    <row r="10140" customFormat="false" ht="12.8" hidden="false" customHeight="false" outlineLevel="0" collapsed="false">
      <c r="A10140" s="0" t="s">
        <v>12</v>
      </c>
      <c r="B10140" s="0" t="n">
        <v>2858754</v>
      </c>
      <c r="C10140" s="0" t="n">
        <v>2858774</v>
      </c>
      <c r="D10140" s="0" t="s">
        <v>33835</v>
      </c>
      <c r="E10140" s="0" t="s">
        <v>89</v>
      </c>
      <c r="F10140" s="0" t="s">
        <v>90</v>
      </c>
      <c r="G10140" s="0" t="s">
        <v>16</v>
      </c>
      <c r="H10140" s="0" t="n">
        <v>138</v>
      </c>
      <c r="I10140" s="0" t="s">
        <v>33845</v>
      </c>
      <c r="J10140" s="0" t="s">
        <v>33846</v>
      </c>
      <c r="K10140" s="0" t="s">
        <v>33847</v>
      </c>
      <c r="L10140" s="0" t="str">
        <f aca="false">HYPERLINK("https://www.ncbi.nlm.nih.gov/nuccore/CP000304.1?report=graph&amp;tracks=[key:gene_model_track,Options:GeneOnly]&amp;mk=2858865:2858884|offset_28|444444,2858840:2858859|offset_53|444444,2858780:2858799|offset_113|444444,2858755:2858774|offset_138|00cc00&amp;v=2858664:2858974&amp;c=444444", "offset 138")</f>
        <v>offset 138</v>
      </c>
    </row>
    <row r="10141" customFormat="false" ht="12.8" hidden="false" customHeight="false" outlineLevel="0" collapsed="false">
      <c r="A10141" s="0" t="s">
        <v>12</v>
      </c>
      <c r="B10141" s="0" t="n">
        <v>2859062</v>
      </c>
      <c r="C10141" s="0" t="n">
        <v>2859082</v>
      </c>
      <c r="D10141" s="0" t="s">
        <v>33848</v>
      </c>
      <c r="E10141" s="0" t="s">
        <v>89</v>
      </c>
      <c r="F10141" s="0" t="s">
        <v>15</v>
      </c>
      <c r="G10141" s="0" t="s">
        <v>16</v>
      </c>
      <c r="H10141" s="0" t="n">
        <v>6</v>
      </c>
      <c r="I10141" s="0" t="s">
        <v>33849</v>
      </c>
      <c r="J10141" s="0" t="s">
        <v>33850</v>
      </c>
      <c r="K10141" s="0" t="s">
        <v>33851</v>
      </c>
      <c r="L10141" s="0" t="str">
        <f aca="false">HYPERLINK("https://www.ncbi.nlm.nih.gov/nuccore/CP000304.1?report=graph&amp;tracks=[key:gene_model_track,Options:GeneOnly]&amp;mk=2859063:2859082|offset_6|00cc00,2859090:2859109|offset_33|444444,2859121:2859140|offset_64|444444,2859153:2859172|offset_96|444444&amp;v=2858862:2859372&amp;c=444444", "offset 6")</f>
        <v>offset 6</v>
      </c>
    </row>
    <row r="10142" customFormat="false" ht="12.8" hidden="false" customHeight="false" outlineLevel="0" collapsed="false">
      <c r="A10142" s="0" t="s">
        <v>12</v>
      </c>
      <c r="B10142" s="0" t="n">
        <v>2859089</v>
      </c>
      <c r="C10142" s="0" t="n">
        <v>2859109</v>
      </c>
      <c r="D10142" s="0" t="s">
        <v>33848</v>
      </c>
      <c r="E10142" s="0" t="s">
        <v>89</v>
      </c>
      <c r="F10142" s="0" t="s">
        <v>15</v>
      </c>
      <c r="G10142" s="0" t="s">
        <v>16</v>
      </c>
      <c r="H10142" s="0" t="n">
        <v>33</v>
      </c>
      <c r="I10142" s="0" t="s">
        <v>33852</v>
      </c>
      <c r="J10142" s="0" t="s">
        <v>33853</v>
      </c>
      <c r="K10142" s="0" t="s">
        <v>33854</v>
      </c>
      <c r="L10142" s="0" t="str">
        <f aca="false">HYPERLINK("https://www.ncbi.nlm.nih.gov/nuccore/CP000304.1?report=graph&amp;tracks=[key:gene_model_track,Options:GeneOnly]&amp;mk=2859063:2859082|offset_6|444444,2859090:2859109|offset_33|00cc00,2859121:2859140|offset_64|444444,2859153:2859172|offset_96|444444&amp;v=2858862:2859372&amp;c=444444", "offset 33")</f>
        <v>offset 33</v>
      </c>
    </row>
    <row r="10143" customFormat="false" ht="12.8" hidden="false" customHeight="false" outlineLevel="0" collapsed="false">
      <c r="A10143" s="0" t="s">
        <v>12</v>
      </c>
      <c r="B10143" s="0" t="n">
        <v>2859120</v>
      </c>
      <c r="C10143" s="0" t="n">
        <v>2859140</v>
      </c>
      <c r="D10143" s="0" t="s">
        <v>33848</v>
      </c>
      <c r="E10143" s="0" t="s">
        <v>89</v>
      </c>
      <c r="F10143" s="0" t="s">
        <v>15</v>
      </c>
      <c r="G10143" s="0" t="s">
        <v>36</v>
      </c>
      <c r="H10143" s="0" t="n">
        <v>64</v>
      </c>
      <c r="I10143" s="0" t="s">
        <v>33855</v>
      </c>
      <c r="J10143" s="0" t="s">
        <v>33856</v>
      </c>
      <c r="K10143" s="0" t="s">
        <v>33857</v>
      </c>
      <c r="L10143" s="0" t="str">
        <f aca="false">HYPERLINK("https://www.ncbi.nlm.nih.gov/nuccore/CP000304.1?report=graph&amp;tracks=[key:gene_model_track,Options:GeneOnly]&amp;mk=2859063:2859082|offset_6|444444,2859090:2859109|offset_33|444444,2859121:2859140|offset_64|00cc00,2859153:2859172|offset_96|444444&amp;v=2858862:2859372&amp;c=444444", "offset 64")</f>
        <v>offset 64</v>
      </c>
    </row>
    <row r="10144" customFormat="false" ht="12.8" hidden="false" customHeight="false" outlineLevel="0" collapsed="false">
      <c r="A10144" s="0" t="s">
        <v>12</v>
      </c>
      <c r="B10144" s="0" t="n">
        <v>2859152</v>
      </c>
      <c r="C10144" s="0" t="n">
        <v>2859172</v>
      </c>
      <c r="D10144" s="0" t="s">
        <v>33848</v>
      </c>
      <c r="E10144" s="0" t="s">
        <v>89</v>
      </c>
      <c r="F10144" s="0" t="s">
        <v>15</v>
      </c>
      <c r="G10144" s="0" t="s">
        <v>36</v>
      </c>
      <c r="H10144" s="0" t="n">
        <v>96</v>
      </c>
      <c r="I10144" s="0" t="s">
        <v>33858</v>
      </c>
      <c r="J10144" s="0" t="s">
        <v>33859</v>
      </c>
      <c r="K10144" s="0" t="s">
        <v>33860</v>
      </c>
      <c r="L10144" s="0" t="str">
        <f aca="false">HYPERLINK("https://www.ncbi.nlm.nih.gov/nuccore/CP000304.1?report=graph&amp;tracks=[key:gene_model_track,Options:GeneOnly]&amp;mk=2859063:2859082|offset_6|444444,2859090:2859109|offset_33|444444,2859121:2859140|offset_64|444444,2859153:2859172|offset_96|00cc00&amp;v=2858862:2859372&amp;c=444444", "offset 96")</f>
        <v>offset 96</v>
      </c>
    </row>
    <row r="10145" customFormat="false" ht="12.8" hidden="false" customHeight="false" outlineLevel="0" collapsed="false">
      <c r="A10145" s="0" t="s">
        <v>12</v>
      </c>
      <c r="B10145" s="0" t="n">
        <v>2860675</v>
      </c>
      <c r="C10145" s="0" t="n">
        <v>2860695</v>
      </c>
      <c r="D10145" s="0" t="s">
        <v>33861</v>
      </c>
      <c r="E10145" s="0" t="s">
        <v>33862</v>
      </c>
      <c r="F10145" s="0" t="s">
        <v>90</v>
      </c>
      <c r="G10145" s="0" t="s">
        <v>26</v>
      </c>
      <c r="H10145" s="0" t="n">
        <v>14</v>
      </c>
      <c r="I10145" s="0" t="s">
        <v>33863</v>
      </c>
      <c r="J10145" s="0" t="s">
        <v>33864</v>
      </c>
      <c r="K10145" s="0" t="s">
        <v>33865</v>
      </c>
      <c r="L10145" s="0" t="str">
        <f aca="false">HYPERLINK("https://www.ncbi.nlm.nih.gov/nuccore/CP000304.1?report=graph&amp;tracks=[key:gene_model_track,Options:GeneOnly]&amp;mk=2860676:2860695|offset_14|00cc00,2860655:2860674|offset_35|444444,2860618:2860637|offset_72|444444,2860591:2860610|offset_99|444444&amp;v=2860475:2860810&amp;c=444444", "offset 14")</f>
        <v>offset 14</v>
      </c>
    </row>
    <row r="10146" customFormat="false" ht="12.8" hidden="false" customHeight="false" outlineLevel="0" collapsed="false">
      <c r="A10146" s="0" t="s">
        <v>12</v>
      </c>
      <c r="B10146" s="0" t="n">
        <v>2860654</v>
      </c>
      <c r="C10146" s="0" t="n">
        <v>2860674</v>
      </c>
      <c r="D10146" s="0" t="s">
        <v>33861</v>
      </c>
      <c r="E10146" s="0" t="s">
        <v>33862</v>
      </c>
      <c r="F10146" s="0" t="s">
        <v>90</v>
      </c>
      <c r="G10146" s="0" t="s">
        <v>32</v>
      </c>
      <c r="H10146" s="0" t="n">
        <v>35</v>
      </c>
      <c r="I10146" s="0" t="s">
        <v>33866</v>
      </c>
      <c r="J10146" s="0" t="s">
        <v>33867</v>
      </c>
      <c r="K10146" s="0" t="s">
        <v>33868</v>
      </c>
      <c r="L10146" s="0" t="str">
        <f aca="false">HYPERLINK("https://www.ncbi.nlm.nih.gov/nuccore/CP000304.1?report=graph&amp;tracks=[key:gene_model_track,Options:GeneOnly]&amp;mk=2860676:2860695|offset_14|444444,2860655:2860674|offset_35|00cc00,2860618:2860637|offset_72|444444,2860591:2860610|offset_99|444444&amp;v=2860475:2860810&amp;c=444444", "offset 35")</f>
        <v>offset 35</v>
      </c>
    </row>
    <row r="10147" customFormat="false" ht="12.8" hidden="false" customHeight="false" outlineLevel="0" collapsed="false">
      <c r="A10147" s="0" t="s">
        <v>12</v>
      </c>
      <c r="B10147" s="0" t="n">
        <v>2860617</v>
      </c>
      <c r="C10147" s="0" t="n">
        <v>2860637</v>
      </c>
      <c r="D10147" s="0" t="s">
        <v>33861</v>
      </c>
      <c r="E10147" s="0" t="s">
        <v>33862</v>
      </c>
      <c r="F10147" s="0" t="s">
        <v>90</v>
      </c>
      <c r="G10147" s="0" t="s">
        <v>36</v>
      </c>
      <c r="H10147" s="0" t="n">
        <v>72</v>
      </c>
      <c r="I10147" s="0" t="s">
        <v>33869</v>
      </c>
      <c r="J10147" s="0" t="s">
        <v>33870</v>
      </c>
      <c r="K10147" s="0" t="s">
        <v>33871</v>
      </c>
      <c r="L10147" s="0" t="str">
        <f aca="false">HYPERLINK("https://www.ncbi.nlm.nih.gov/nuccore/CP000304.1?report=graph&amp;tracks=[key:gene_model_track,Options:GeneOnly]&amp;mk=2860676:2860695|offset_14|444444,2860655:2860674|offset_35|444444,2860618:2860637|offset_72|00cc00,2860591:2860610|offset_99|444444&amp;v=2860475:2860810&amp;c=444444", "offset 72")</f>
        <v>offset 72</v>
      </c>
    </row>
    <row r="10148" customFormat="false" ht="12.8" hidden="false" customHeight="false" outlineLevel="0" collapsed="false">
      <c r="A10148" s="0" t="s">
        <v>12</v>
      </c>
      <c r="B10148" s="0" t="n">
        <v>2860590</v>
      </c>
      <c r="C10148" s="0" t="n">
        <v>2860610</v>
      </c>
      <c r="D10148" s="0" t="s">
        <v>33861</v>
      </c>
      <c r="E10148" s="0" t="s">
        <v>33862</v>
      </c>
      <c r="F10148" s="0" t="s">
        <v>90</v>
      </c>
      <c r="G10148" s="0" t="s">
        <v>16</v>
      </c>
      <c r="H10148" s="0" t="n">
        <v>99</v>
      </c>
      <c r="I10148" s="0" t="s">
        <v>33872</v>
      </c>
      <c r="J10148" s="0" t="s">
        <v>33873</v>
      </c>
      <c r="K10148" s="0" t="s">
        <v>33874</v>
      </c>
      <c r="L10148" s="0" t="str">
        <f aca="false">HYPERLINK("https://www.ncbi.nlm.nih.gov/nuccore/CP000304.1?report=graph&amp;tracks=[key:gene_model_track,Options:GeneOnly]&amp;mk=2860676:2860695|offset_14|444444,2860655:2860674|offset_35|444444,2860618:2860637|offset_72|444444,2860591:2860610|offset_99|00cc00&amp;v=2860475:2860810&amp;c=444444", "offset 99")</f>
        <v>offset 99</v>
      </c>
    </row>
    <row r="10149" customFormat="false" ht="12.8" hidden="false" customHeight="false" outlineLevel="0" collapsed="false">
      <c r="A10149" s="0" t="s">
        <v>12</v>
      </c>
      <c r="B10149" s="0" t="n">
        <v>2861457</v>
      </c>
      <c r="C10149" s="0" t="n">
        <v>2861477</v>
      </c>
      <c r="D10149" s="0" t="s">
        <v>33875</v>
      </c>
      <c r="E10149" s="0" t="s">
        <v>89</v>
      </c>
      <c r="F10149" s="0" t="s">
        <v>90</v>
      </c>
      <c r="G10149" s="0" t="s">
        <v>26</v>
      </c>
      <c r="H10149" s="0" t="n">
        <v>65</v>
      </c>
      <c r="I10149" s="0" t="s">
        <v>33876</v>
      </c>
      <c r="J10149" s="0" t="s">
        <v>33877</v>
      </c>
      <c r="K10149" s="0" t="s">
        <v>33878</v>
      </c>
      <c r="L10149" s="0" t="str">
        <f aca="false">HYPERLINK("https://www.ncbi.nlm.nih.gov/nuccore/CP000304.1?report=graph&amp;tracks=[key:gene_model_track,Options:GeneOnly]&amp;mk=2861458:2861477|offset_65|00cc00,2861434:2861453|offset_89|444444,2861411:2861430|offset_112|444444,2861389:2861408|offset_134|444444&amp;v=2861257:2861608&amp;c=444444", "offset 65")</f>
        <v>offset 65</v>
      </c>
    </row>
    <row r="10150" customFormat="false" ht="12.8" hidden="false" customHeight="false" outlineLevel="0" collapsed="false">
      <c r="A10150" s="0" t="s">
        <v>12</v>
      </c>
      <c r="B10150" s="0" t="n">
        <v>2861433</v>
      </c>
      <c r="C10150" s="0" t="n">
        <v>2861453</v>
      </c>
      <c r="D10150" s="0" t="s">
        <v>33875</v>
      </c>
      <c r="E10150" s="0" t="s">
        <v>89</v>
      </c>
      <c r="F10150" s="0" t="s">
        <v>90</v>
      </c>
      <c r="G10150" s="0" t="s">
        <v>36</v>
      </c>
      <c r="H10150" s="0" t="n">
        <v>89</v>
      </c>
      <c r="I10150" s="0" t="s">
        <v>33879</v>
      </c>
      <c r="J10150" s="0" t="s">
        <v>33880</v>
      </c>
      <c r="K10150" s="0" t="s">
        <v>33881</v>
      </c>
      <c r="L10150" s="0" t="str">
        <f aca="false">HYPERLINK("https://www.ncbi.nlm.nih.gov/nuccore/CP000304.1?report=graph&amp;tracks=[key:gene_model_track,Options:GeneOnly]&amp;mk=2861458:2861477|offset_65|444444,2861434:2861453|offset_89|00cc00,2861411:2861430|offset_112|444444,2861389:2861408|offset_134|444444&amp;v=2861257:2861608&amp;c=444444", "offset 89")</f>
        <v>offset 89</v>
      </c>
    </row>
    <row r="10151" customFormat="false" ht="12.8" hidden="false" customHeight="false" outlineLevel="0" collapsed="false">
      <c r="A10151" s="0" t="s">
        <v>12</v>
      </c>
      <c r="B10151" s="0" t="n">
        <v>2861410</v>
      </c>
      <c r="C10151" s="0" t="n">
        <v>2861430</v>
      </c>
      <c r="D10151" s="0" t="s">
        <v>33875</v>
      </c>
      <c r="E10151" s="0" t="s">
        <v>89</v>
      </c>
      <c r="F10151" s="0" t="s">
        <v>90</v>
      </c>
      <c r="G10151" s="0" t="s">
        <v>16</v>
      </c>
      <c r="H10151" s="0" t="n">
        <v>112</v>
      </c>
      <c r="I10151" s="0" t="s">
        <v>33882</v>
      </c>
      <c r="J10151" s="0" t="s">
        <v>33883</v>
      </c>
      <c r="K10151" s="0" t="s">
        <v>33884</v>
      </c>
      <c r="L10151" s="0" t="str">
        <f aca="false">HYPERLINK("https://www.ncbi.nlm.nih.gov/nuccore/CP000304.1?report=graph&amp;tracks=[key:gene_model_track,Options:GeneOnly]&amp;mk=2861458:2861477|offset_65|444444,2861434:2861453|offset_89|444444,2861411:2861430|offset_112|00cc00,2861389:2861408|offset_134|444444&amp;v=2861257:2861608&amp;c=444444", "offset 112")</f>
        <v>offset 112</v>
      </c>
    </row>
    <row r="10152" customFormat="false" ht="12.8" hidden="false" customHeight="false" outlineLevel="0" collapsed="false">
      <c r="A10152" s="0" t="s">
        <v>12</v>
      </c>
      <c r="B10152" s="0" t="n">
        <v>2861388</v>
      </c>
      <c r="C10152" s="0" t="n">
        <v>2861408</v>
      </c>
      <c r="D10152" s="0" t="s">
        <v>33875</v>
      </c>
      <c r="E10152" s="0" t="s">
        <v>89</v>
      </c>
      <c r="F10152" s="0" t="s">
        <v>90</v>
      </c>
      <c r="G10152" s="0" t="s">
        <v>36</v>
      </c>
      <c r="H10152" s="0" t="n">
        <v>134</v>
      </c>
      <c r="I10152" s="0" t="s">
        <v>33885</v>
      </c>
      <c r="J10152" s="0" t="s">
        <v>33886</v>
      </c>
      <c r="K10152" s="0" t="s">
        <v>33887</v>
      </c>
      <c r="L10152" s="0" t="str">
        <f aca="false">HYPERLINK("https://www.ncbi.nlm.nih.gov/nuccore/CP000304.1?report=graph&amp;tracks=[key:gene_model_track,Options:GeneOnly]&amp;mk=2861458:2861477|offset_65|444444,2861434:2861453|offset_89|444444,2861411:2861430|offset_112|444444,2861389:2861408|offset_134|00cc00&amp;v=2861257:2861608&amp;c=444444", "offset 134")</f>
        <v>offset 134</v>
      </c>
    </row>
    <row r="10153" customFormat="false" ht="12.8" hidden="false" customHeight="false" outlineLevel="0" collapsed="false">
      <c r="A10153" s="0" t="s">
        <v>12</v>
      </c>
      <c r="B10153" s="0" t="n">
        <v>2862783</v>
      </c>
      <c r="C10153" s="0" t="n">
        <v>2862803</v>
      </c>
      <c r="D10153" s="0" t="s">
        <v>33888</v>
      </c>
      <c r="E10153" s="0" t="s">
        <v>33889</v>
      </c>
      <c r="F10153" s="0" t="s">
        <v>90</v>
      </c>
      <c r="G10153" s="0" t="s">
        <v>36</v>
      </c>
      <c r="H10153" s="0" t="n">
        <v>27</v>
      </c>
      <c r="I10153" s="0" t="s">
        <v>33890</v>
      </c>
      <c r="J10153" s="0" t="s">
        <v>33891</v>
      </c>
      <c r="K10153" s="0" t="s">
        <v>33892</v>
      </c>
      <c r="L10153" s="0" t="str">
        <f aca="false">HYPERLINK("https://www.ncbi.nlm.nih.gov/nuccore/CP000304.1?report=graph&amp;tracks=[key:gene_model_track,Options:GeneOnly]&amp;mk=2862784:2862803|offset_27|00cc00,2862751:2862770|offset_60|444444,2862714:2862733|offset_97|444444,2862690:2862709|offset_121|444444&amp;v=2862583:2862909&amp;c=444444", "offset 27")</f>
        <v>offset 27</v>
      </c>
    </row>
    <row r="10154" customFormat="false" ht="12.8" hidden="false" customHeight="false" outlineLevel="0" collapsed="false">
      <c r="A10154" s="0" t="s">
        <v>12</v>
      </c>
      <c r="B10154" s="0" t="n">
        <v>2862750</v>
      </c>
      <c r="C10154" s="0" t="n">
        <v>2862770</v>
      </c>
      <c r="D10154" s="0" t="s">
        <v>33888</v>
      </c>
      <c r="E10154" s="0" t="s">
        <v>33889</v>
      </c>
      <c r="F10154" s="0" t="s">
        <v>90</v>
      </c>
      <c r="G10154" s="0" t="s">
        <v>16</v>
      </c>
      <c r="H10154" s="0" t="n">
        <v>60</v>
      </c>
      <c r="I10154" s="0" t="s">
        <v>33893</v>
      </c>
      <c r="J10154" s="0" t="s">
        <v>33894</v>
      </c>
      <c r="K10154" s="0" t="s">
        <v>33895</v>
      </c>
      <c r="L10154" s="0" t="str">
        <f aca="false">HYPERLINK("https://www.ncbi.nlm.nih.gov/nuccore/CP000304.1?report=graph&amp;tracks=[key:gene_model_track,Options:GeneOnly]&amp;mk=2862784:2862803|offset_27|444444,2862751:2862770|offset_60|00cc00,2862714:2862733|offset_97|444444,2862690:2862709|offset_121|444444&amp;v=2862583:2862909&amp;c=444444", "offset 60")</f>
        <v>offset 60</v>
      </c>
    </row>
    <row r="10155" customFormat="false" ht="12.8" hidden="false" customHeight="false" outlineLevel="0" collapsed="false">
      <c r="A10155" s="0" t="s">
        <v>12</v>
      </c>
      <c r="B10155" s="0" t="n">
        <v>2862713</v>
      </c>
      <c r="C10155" s="0" t="n">
        <v>2862733</v>
      </c>
      <c r="D10155" s="0" t="s">
        <v>33888</v>
      </c>
      <c r="E10155" s="0" t="s">
        <v>33889</v>
      </c>
      <c r="F10155" s="0" t="s">
        <v>90</v>
      </c>
      <c r="G10155" s="0" t="s">
        <v>32</v>
      </c>
      <c r="H10155" s="0" t="n">
        <v>97</v>
      </c>
      <c r="I10155" s="0" t="s">
        <v>33896</v>
      </c>
      <c r="J10155" s="0" t="s">
        <v>33897</v>
      </c>
      <c r="K10155" s="0" t="s">
        <v>33898</v>
      </c>
      <c r="L10155" s="0" t="str">
        <f aca="false">HYPERLINK("https://www.ncbi.nlm.nih.gov/nuccore/CP000304.1?report=graph&amp;tracks=[key:gene_model_track,Options:GeneOnly]&amp;mk=2862784:2862803|offset_27|444444,2862751:2862770|offset_60|444444,2862714:2862733|offset_97|00cc00,2862690:2862709|offset_121|444444&amp;v=2862583:2862909&amp;c=444444", "offset 97")</f>
        <v>offset 97</v>
      </c>
    </row>
    <row r="10156" customFormat="false" ht="12.8" hidden="false" customHeight="false" outlineLevel="0" collapsed="false">
      <c r="A10156" s="0" t="s">
        <v>12</v>
      </c>
      <c r="B10156" s="0" t="n">
        <v>2862689</v>
      </c>
      <c r="C10156" s="0" t="n">
        <v>2862709</v>
      </c>
      <c r="D10156" s="0" t="s">
        <v>33888</v>
      </c>
      <c r="E10156" s="0" t="s">
        <v>33889</v>
      </c>
      <c r="F10156" s="0" t="s">
        <v>90</v>
      </c>
      <c r="G10156" s="0" t="s">
        <v>26</v>
      </c>
      <c r="H10156" s="0" t="n">
        <v>121</v>
      </c>
      <c r="I10156" s="0" t="s">
        <v>33899</v>
      </c>
      <c r="J10156" s="0" t="s">
        <v>33900</v>
      </c>
      <c r="K10156" s="0" t="s">
        <v>33901</v>
      </c>
      <c r="L10156" s="0" t="str">
        <f aca="false">HYPERLINK("https://www.ncbi.nlm.nih.gov/nuccore/CP000304.1?report=graph&amp;tracks=[key:gene_model_track,Options:GeneOnly]&amp;mk=2862784:2862803|offset_27|444444,2862751:2862770|offset_60|444444,2862714:2862733|offset_97|444444,2862690:2862709|offset_121|00cc00&amp;v=2862583:2862909&amp;c=444444", "offset 121")</f>
        <v>offset 121</v>
      </c>
    </row>
    <row r="10157" customFormat="false" ht="12.8" hidden="false" customHeight="false" outlineLevel="0" collapsed="false">
      <c r="A10157" s="0" t="s">
        <v>12</v>
      </c>
      <c r="B10157" s="0" t="n">
        <v>2862832</v>
      </c>
      <c r="C10157" s="0" t="n">
        <v>2862852</v>
      </c>
      <c r="D10157" s="0" t="s">
        <v>33902</v>
      </c>
      <c r="E10157" s="0" t="s">
        <v>89</v>
      </c>
      <c r="F10157" s="0" t="s">
        <v>15</v>
      </c>
      <c r="G10157" s="0" t="s">
        <v>16</v>
      </c>
      <c r="H10157" s="0" t="n">
        <v>18</v>
      </c>
      <c r="I10157" s="0" t="s">
        <v>33903</v>
      </c>
      <c r="J10157" s="0" t="s">
        <v>33904</v>
      </c>
      <c r="K10157" s="0" t="s">
        <v>33905</v>
      </c>
      <c r="L10157" s="0" t="str">
        <f aca="false">HYPERLINK("https://www.ncbi.nlm.nih.gov/nuccore/CP000304.1?report=graph&amp;tracks=[key:gene_model_track,Options:GeneOnly]&amp;mk=2862833:2862852|offset_18|00cc00,2862856:2862875|offset_41|444444,2862879:2862898|offset_64|444444,2862907:2862926|offset_92|444444&amp;v=2862632:2863126&amp;c=444444", "offset 18")</f>
        <v>offset 18</v>
      </c>
    </row>
    <row r="10158" customFormat="false" ht="12.8" hidden="false" customHeight="false" outlineLevel="0" collapsed="false">
      <c r="A10158" s="0" t="s">
        <v>12</v>
      </c>
      <c r="B10158" s="0" t="n">
        <v>2862855</v>
      </c>
      <c r="C10158" s="0" t="n">
        <v>2862875</v>
      </c>
      <c r="D10158" s="0" t="s">
        <v>33902</v>
      </c>
      <c r="E10158" s="0" t="s">
        <v>89</v>
      </c>
      <c r="F10158" s="0" t="s">
        <v>15</v>
      </c>
      <c r="G10158" s="0" t="s">
        <v>32</v>
      </c>
      <c r="H10158" s="0" t="n">
        <v>41</v>
      </c>
      <c r="I10158" s="0" t="s">
        <v>33906</v>
      </c>
      <c r="J10158" s="0" t="s">
        <v>33907</v>
      </c>
      <c r="K10158" s="0" t="s">
        <v>33908</v>
      </c>
      <c r="L10158" s="0" t="str">
        <f aca="false">HYPERLINK("https://www.ncbi.nlm.nih.gov/nuccore/CP000304.1?report=graph&amp;tracks=[key:gene_model_track,Options:GeneOnly]&amp;mk=2862833:2862852|offset_18|444444,2862856:2862875|offset_41|00cc00,2862879:2862898|offset_64|444444,2862907:2862926|offset_92|444444&amp;v=2862632:2863126&amp;c=444444", "offset 41")</f>
        <v>offset 41</v>
      </c>
    </row>
    <row r="10159" customFormat="false" ht="12.8" hidden="false" customHeight="false" outlineLevel="0" collapsed="false">
      <c r="A10159" s="0" t="s">
        <v>12</v>
      </c>
      <c r="B10159" s="0" t="n">
        <v>2862878</v>
      </c>
      <c r="C10159" s="0" t="n">
        <v>2862898</v>
      </c>
      <c r="D10159" s="0" t="s">
        <v>33902</v>
      </c>
      <c r="E10159" s="0" t="s">
        <v>89</v>
      </c>
      <c r="F10159" s="0" t="s">
        <v>15</v>
      </c>
      <c r="G10159" s="0" t="s">
        <v>32</v>
      </c>
      <c r="H10159" s="0" t="n">
        <v>64</v>
      </c>
      <c r="I10159" s="0" t="s">
        <v>33909</v>
      </c>
      <c r="J10159" s="0" t="s">
        <v>33910</v>
      </c>
      <c r="K10159" s="0" t="s">
        <v>33911</v>
      </c>
      <c r="L10159" s="0" t="str">
        <f aca="false">HYPERLINK("https://www.ncbi.nlm.nih.gov/nuccore/CP000304.1?report=graph&amp;tracks=[key:gene_model_track,Options:GeneOnly]&amp;mk=2862833:2862852|offset_18|444444,2862856:2862875|offset_41|444444,2862879:2862898|offset_64|00cc00,2862907:2862926|offset_92|444444&amp;v=2862632:2863126&amp;c=444444", "offset 64")</f>
        <v>offset 64</v>
      </c>
    </row>
    <row r="10160" customFormat="false" ht="12.8" hidden="false" customHeight="false" outlineLevel="0" collapsed="false">
      <c r="A10160" s="0" t="s">
        <v>12</v>
      </c>
      <c r="B10160" s="0" t="n">
        <v>2862906</v>
      </c>
      <c r="C10160" s="0" t="n">
        <v>2862926</v>
      </c>
      <c r="D10160" s="0" t="s">
        <v>33902</v>
      </c>
      <c r="E10160" s="0" t="s">
        <v>89</v>
      </c>
      <c r="F10160" s="0" t="s">
        <v>15</v>
      </c>
      <c r="G10160" s="0" t="s">
        <v>16</v>
      </c>
      <c r="H10160" s="0" t="n">
        <v>92</v>
      </c>
      <c r="I10160" s="0" t="s">
        <v>33912</v>
      </c>
      <c r="J10160" s="0" t="s">
        <v>33913</v>
      </c>
      <c r="K10160" s="0" t="s">
        <v>33914</v>
      </c>
      <c r="L10160" s="0" t="str">
        <f aca="false">HYPERLINK("https://www.ncbi.nlm.nih.gov/nuccore/CP000304.1?report=graph&amp;tracks=[key:gene_model_track,Options:GeneOnly]&amp;mk=2862833:2862852|offset_18|444444,2862856:2862875|offset_41|444444,2862879:2862898|offset_64|444444,2862907:2862926|offset_92|00cc00&amp;v=2862632:2863126&amp;c=444444", "offset 92")</f>
        <v>offset 92</v>
      </c>
    </row>
    <row r="10161" customFormat="false" ht="12.8" hidden="false" customHeight="false" outlineLevel="0" collapsed="false">
      <c r="A10161" s="0" t="s">
        <v>12</v>
      </c>
      <c r="B10161" s="0" t="n">
        <v>2863453</v>
      </c>
      <c r="C10161" s="0" t="n">
        <v>2863473</v>
      </c>
      <c r="D10161" s="0" t="s">
        <v>33915</v>
      </c>
      <c r="E10161" s="0" t="s">
        <v>89</v>
      </c>
      <c r="F10161" s="0" t="s">
        <v>15</v>
      </c>
      <c r="G10161" s="0" t="s">
        <v>32</v>
      </c>
      <c r="H10161" s="0" t="n">
        <v>0</v>
      </c>
      <c r="I10161" s="0" t="s">
        <v>33916</v>
      </c>
      <c r="J10161" s="0" t="s">
        <v>33917</v>
      </c>
      <c r="K10161" s="0" t="s">
        <v>33918</v>
      </c>
      <c r="L10161" s="0" t="str">
        <f aca="false">HYPERLINK("https://www.ncbi.nlm.nih.gov/nuccore/CP000304.1?report=graph&amp;tracks=[key:gene_model_track,Options:GeneOnly]&amp;mk=2863454:2863473|offset_0|00cc00,2863474:2863493|offset_20|444444,2863499:2863518|offset_45|444444,2863529:2863548|offset_75|444444&amp;v=2863253:2863748&amp;c=444444", "offset 0")</f>
        <v>offset 0</v>
      </c>
    </row>
    <row r="10162" customFormat="false" ht="12.8" hidden="false" customHeight="false" outlineLevel="0" collapsed="false">
      <c r="A10162" s="0" t="s">
        <v>12</v>
      </c>
      <c r="B10162" s="0" t="n">
        <v>2863473</v>
      </c>
      <c r="C10162" s="0" t="n">
        <v>2863493</v>
      </c>
      <c r="D10162" s="0" t="s">
        <v>33915</v>
      </c>
      <c r="E10162" s="0" t="s">
        <v>89</v>
      </c>
      <c r="F10162" s="0" t="s">
        <v>15</v>
      </c>
      <c r="G10162" s="0" t="s">
        <v>26</v>
      </c>
      <c r="H10162" s="0" t="n">
        <v>20</v>
      </c>
      <c r="I10162" s="0" t="s">
        <v>33919</v>
      </c>
      <c r="J10162" s="0" t="s">
        <v>33920</v>
      </c>
      <c r="K10162" s="0" t="s">
        <v>33921</v>
      </c>
      <c r="L10162" s="0" t="str">
        <f aca="false">HYPERLINK("https://www.ncbi.nlm.nih.gov/nuccore/CP000304.1?report=graph&amp;tracks=[key:gene_model_track,Options:GeneOnly]&amp;mk=2863454:2863473|offset_0|444444,2863474:2863493|offset_20|00cc00,2863499:2863518|offset_45|444444,2863529:2863548|offset_75|444444&amp;v=2863253:2863748&amp;c=444444", "offset 20")</f>
        <v>offset 20</v>
      </c>
    </row>
    <row r="10163" customFormat="false" ht="12.8" hidden="false" customHeight="false" outlineLevel="0" collapsed="false">
      <c r="A10163" s="0" t="s">
        <v>12</v>
      </c>
      <c r="B10163" s="0" t="n">
        <v>2863498</v>
      </c>
      <c r="C10163" s="0" t="n">
        <v>2863518</v>
      </c>
      <c r="D10163" s="0" t="s">
        <v>33915</v>
      </c>
      <c r="E10163" s="0" t="s">
        <v>89</v>
      </c>
      <c r="F10163" s="0" t="s">
        <v>15</v>
      </c>
      <c r="G10163" s="0" t="s">
        <v>16</v>
      </c>
      <c r="H10163" s="0" t="n">
        <v>45</v>
      </c>
      <c r="I10163" s="0" t="s">
        <v>33922</v>
      </c>
      <c r="J10163" s="0" t="s">
        <v>33923</v>
      </c>
      <c r="K10163" s="0" t="s">
        <v>33924</v>
      </c>
      <c r="L10163" s="0" t="str">
        <f aca="false">HYPERLINK("https://www.ncbi.nlm.nih.gov/nuccore/CP000304.1?report=graph&amp;tracks=[key:gene_model_track,Options:GeneOnly]&amp;mk=2863454:2863473|offset_0|444444,2863474:2863493|offset_20|444444,2863499:2863518|offset_45|00cc00,2863529:2863548|offset_75|444444&amp;v=2863253:2863748&amp;c=444444", "offset 45")</f>
        <v>offset 45</v>
      </c>
    </row>
    <row r="10164" customFormat="false" ht="12.8" hidden="false" customHeight="false" outlineLevel="0" collapsed="false">
      <c r="A10164" s="0" t="s">
        <v>12</v>
      </c>
      <c r="B10164" s="0" t="n">
        <v>2863528</v>
      </c>
      <c r="C10164" s="0" t="n">
        <v>2863548</v>
      </c>
      <c r="D10164" s="0" t="s">
        <v>33915</v>
      </c>
      <c r="E10164" s="0" t="s">
        <v>89</v>
      </c>
      <c r="F10164" s="0" t="s">
        <v>15</v>
      </c>
      <c r="G10164" s="0" t="s">
        <v>36</v>
      </c>
      <c r="H10164" s="0" t="n">
        <v>75</v>
      </c>
      <c r="I10164" s="0" t="s">
        <v>33925</v>
      </c>
      <c r="J10164" s="0" t="s">
        <v>33926</v>
      </c>
      <c r="K10164" s="0" t="s">
        <v>33927</v>
      </c>
      <c r="L10164" s="0" t="str">
        <f aca="false">HYPERLINK("https://www.ncbi.nlm.nih.gov/nuccore/CP000304.1?report=graph&amp;tracks=[key:gene_model_track,Options:GeneOnly]&amp;mk=2863454:2863473|offset_0|444444,2863474:2863493|offset_20|444444,2863499:2863518|offset_45|444444,2863529:2863548|offset_75|00cc00&amp;v=2863253:2863748&amp;c=444444", "offset 75")</f>
        <v>offset 75</v>
      </c>
    </row>
    <row r="10165" customFormat="false" ht="12.8" hidden="false" customHeight="false" outlineLevel="0" collapsed="false">
      <c r="A10165" s="0" t="s">
        <v>12</v>
      </c>
      <c r="B10165" s="0" t="n">
        <v>2863778</v>
      </c>
      <c r="C10165" s="0" t="n">
        <v>2863798</v>
      </c>
      <c r="D10165" s="0" t="s">
        <v>33928</v>
      </c>
      <c r="E10165" s="0" t="s">
        <v>89</v>
      </c>
      <c r="F10165" s="0" t="s">
        <v>15</v>
      </c>
      <c r="G10165" s="0" t="s">
        <v>32</v>
      </c>
      <c r="H10165" s="0" t="n">
        <v>20</v>
      </c>
      <c r="I10165" s="0" t="s">
        <v>33929</v>
      </c>
      <c r="J10165" s="0" t="s">
        <v>33930</v>
      </c>
      <c r="K10165" s="0" t="s">
        <v>33931</v>
      </c>
      <c r="L10165" s="0" t="str">
        <f aca="false">HYPERLINK("https://www.ncbi.nlm.nih.gov/nuccore/CP000304.1?report=graph&amp;tracks=[key:gene_model_track,Options:GeneOnly]&amp;mk=2863779:2863798|offset_20|00cc00,2863804:2863823|offset_45|444444,2863836:2863855|offset_77|444444,2863869:2863888|offset_110|444444&amp;v=2863578:2864088&amp;c=444444", "offset 20")</f>
        <v>offset 20</v>
      </c>
    </row>
    <row r="10166" customFormat="false" ht="12.8" hidden="false" customHeight="false" outlineLevel="0" collapsed="false">
      <c r="A10166" s="0" t="s">
        <v>12</v>
      </c>
      <c r="B10166" s="0" t="n">
        <v>2863803</v>
      </c>
      <c r="C10166" s="0" t="n">
        <v>2863823</v>
      </c>
      <c r="D10166" s="0" t="s">
        <v>33928</v>
      </c>
      <c r="E10166" s="0" t="s">
        <v>89</v>
      </c>
      <c r="F10166" s="0" t="s">
        <v>15</v>
      </c>
      <c r="G10166" s="0" t="s">
        <v>16</v>
      </c>
      <c r="H10166" s="0" t="n">
        <v>45</v>
      </c>
      <c r="I10166" s="0" t="s">
        <v>33932</v>
      </c>
      <c r="J10166" s="0" t="s">
        <v>33933</v>
      </c>
      <c r="K10166" s="0" t="s">
        <v>33934</v>
      </c>
      <c r="L10166" s="0" t="str">
        <f aca="false">HYPERLINK("https://www.ncbi.nlm.nih.gov/nuccore/CP000304.1?report=graph&amp;tracks=[key:gene_model_track,Options:GeneOnly]&amp;mk=2863779:2863798|offset_20|444444,2863804:2863823|offset_45|00cc00,2863836:2863855|offset_77|444444,2863869:2863888|offset_110|444444&amp;v=2863578:2864088&amp;c=444444", "offset 45")</f>
        <v>offset 45</v>
      </c>
    </row>
    <row r="10167" customFormat="false" ht="12.8" hidden="false" customHeight="false" outlineLevel="0" collapsed="false">
      <c r="A10167" s="0" t="s">
        <v>12</v>
      </c>
      <c r="B10167" s="0" t="n">
        <v>2863835</v>
      </c>
      <c r="C10167" s="0" t="n">
        <v>2863855</v>
      </c>
      <c r="D10167" s="0" t="s">
        <v>33928</v>
      </c>
      <c r="E10167" s="0" t="s">
        <v>89</v>
      </c>
      <c r="F10167" s="0" t="s">
        <v>15</v>
      </c>
      <c r="G10167" s="0" t="s">
        <v>26</v>
      </c>
      <c r="H10167" s="0" t="n">
        <v>77</v>
      </c>
      <c r="I10167" s="0" t="s">
        <v>33935</v>
      </c>
      <c r="J10167" s="0" t="s">
        <v>33936</v>
      </c>
      <c r="K10167" s="0" t="s">
        <v>33937</v>
      </c>
      <c r="L10167" s="0" t="str">
        <f aca="false">HYPERLINK("https://www.ncbi.nlm.nih.gov/nuccore/CP000304.1?report=graph&amp;tracks=[key:gene_model_track,Options:GeneOnly]&amp;mk=2863779:2863798|offset_20|444444,2863804:2863823|offset_45|444444,2863836:2863855|offset_77|00cc00,2863869:2863888|offset_110|444444&amp;v=2863578:2864088&amp;c=444444", "offset 77")</f>
        <v>offset 77</v>
      </c>
    </row>
    <row r="10168" customFormat="false" ht="12.8" hidden="false" customHeight="false" outlineLevel="0" collapsed="false">
      <c r="A10168" s="0" t="s">
        <v>12</v>
      </c>
      <c r="B10168" s="0" t="n">
        <v>2863868</v>
      </c>
      <c r="C10168" s="0" t="n">
        <v>2863888</v>
      </c>
      <c r="D10168" s="0" t="s">
        <v>33928</v>
      </c>
      <c r="E10168" s="0" t="s">
        <v>89</v>
      </c>
      <c r="F10168" s="0" t="s">
        <v>15</v>
      </c>
      <c r="G10168" s="0" t="s">
        <v>26</v>
      </c>
      <c r="H10168" s="0" t="n">
        <v>110</v>
      </c>
      <c r="I10168" s="0" t="s">
        <v>33938</v>
      </c>
      <c r="J10168" s="0" t="s">
        <v>33939</v>
      </c>
      <c r="K10168" s="0" t="s">
        <v>33940</v>
      </c>
      <c r="L10168" s="0" t="str">
        <f aca="false">HYPERLINK("https://www.ncbi.nlm.nih.gov/nuccore/CP000304.1?report=graph&amp;tracks=[key:gene_model_track,Options:GeneOnly]&amp;mk=2863779:2863798|offset_20|444444,2863804:2863823|offset_45|444444,2863836:2863855|offset_77|444444,2863869:2863888|offset_110|00cc00&amp;v=2863578:2864088&amp;c=444444", "offset 110")</f>
        <v>offset 110</v>
      </c>
    </row>
    <row r="10169" customFormat="false" ht="12.8" hidden="false" customHeight="false" outlineLevel="0" collapsed="false">
      <c r="A10169" s="0" t="s">
        <v>12</v>
      </c>
      <c r="B10169" s="0" t="n">
        <v>2865955</v>
      </c>
      <c r="C10169" s="0" t="n">
        <v>2865975</v>
      </c>
      <c r="D10169" s="0" t="s">
        <v>33941</v>
      </c>
      <c r="E10169" s="0" t="s">
        <v>33942</v>
      </c>
      <c r="F10169" s="0" t="s">
        <v>90</v>
      </c>
      <c r="G10169" s="0" t="s">
        <v>26</v>
      </c>
      <c r="H10169" s="0" t="n">
        <v>45</v>
      </c>
      <c r="I10169" s="0" t="s">
        <v>33943</v>
      </c>
      <c r="J10169" s="0" t="s">
        <v>33944</v>
      </c>
      <c r="K10169" s="0" t="s">
        <v>33945</v>
      </c>
      <c r="L10169" s="0" t="str">
        <f aca="false">HYPERLINK("https://www.ncbi.nlm.nih.gov/nuccore/CP000304.1?report=graph&amp;tracks=[key:gene_model_track,Options:GeneOnly]&amp;mk=2865956:2865975|offset_45|00cc00,2865928:2865947|offset_73|444444,2865904:2865923|offset_97|444444,2865861:2865880|offset_140|444444&amp;v=2865755:2866080&amp;c=444444", "offset 45")</f>
        <v>offset 45</v>
      </c>
    </row>
    <row r="10170" customFormat="false" ht="12.8" hidden="false" customHeight="false" outlineLevel="0" collapsed="false">
      <c r="A10170" s="0" t="s">
        <v>12</v>
      </c>
      <c r="B10170" s="0" t="n">
        <v>2865927</v>
      </c>
      <c r="C10170" s="0" t="n">
        <v>2865947</v>
      </c>
      <c r="D10170" s="0" t="s">
        <v>33941</v>
      </c>
      <c r="E10170" s="0" t="s">
        <v>33942</v>
      </c>
      <c r="F10170" s="0" t="s">
        <v>90</v>
      </c>
      <c r="G10170" s="0" t="s">
        <v>16</v>
      </c>
      <c r="H10170" s="0" t="n">
        <v>73</v>
      </c>
      <c r="I10170" s="0" t="s">
        <v>33946</v>
      </c>
      <c r="J10170" s="0" t="s">
        <v>33947</v>
      </c>
      <c r="K10170" s="0" t="s">
        <v>33948</v>
      </c>
      <c r="L10170" s="0" t="str">
        <f aca="false">HYPERLINK("https://www.ncbi.nlm.nih.gov/nuccore/CP000304.1?report=graph&amp;tracks=[key:gene_model_track,Options:GeneOnly]&amp;mk=2865956:2865975|offset_45|444444,2865928:2865947|offset_73|00cc00,2865904:2865923|offset_97|444444,2865861:2865880|offset_140|444444&amp;v=2865755:2866080&amp;c=444444", "offset 73")</f>
        <v>offset 73</v>
      </c>
    </row>
    <row r="10171" customFormat="false" ht="12.8" hidden="false" customHeight="false" outlineLevel="0" collapsed="false">
      <c r="A10171" s="0" t="s">
        <v>12</v>
      </c>
      <c r="B10171" s="0" t="n">
        <v>2865903</v>
      </c>
      <c r="C10171" s="0" t="n">
        <v>2865923</v>
      </c>
      <c r="D10171" s="0" t="s">
        <v>33941</v>
      </c>
      <c r="E10171" s="0" t="s">
        <v>33942</v>
      </c>
      <c r="F10171" s="0" t="s">
        <v>90</v>
      </c>
      <c r="G10171" s="0" t="s">
        <v>16</v>
      </c>
      <c r="H10171" s="0" t="n">
        <v>97</v>
      </c>
      <c r="I10171" s="0" t="s">
        <v>33949</v>
      </c>
      <c r="J10171" s="0" t="s">
        <v>33950</v>
      </c>
      <c r="K10171" s="0" t="s">
        <v>33951</v>
      </c>
      <c r="L10171" s="0" t="str">
        <f aca="false">HYPERLINK("https://www.ncbi.nlm.nih.gov/nuccore/CP000304.1?report=graph&amp;tracks=[key:gene_model_track,Options:GeneOnly]&amp;mk=2865956:2865975|offset_45|444444,2865928:2865947|offset_73|444444,2865904:2865923|offset_97|00cc00,2865861:2865880|offset_140|444444&amp;v=2865755:2866080&amp;c=444444", "offset 97")</f>
        <v>offset 97</v>
      </c>
    </row>
    <row r="10172" customFormat="false" ht="12.8" hidden="false" customHeight="false" outlineLevel="0" collapsed="false">
      <c r="A10172" s="0" t="s">
        <v>12</v>
      </c>
      <c r="B10172" s="0" t="n">
        <v>2865860</v>
      </c>
      <c r="C10172" s="0" t="n">
        <v>2865880</v>
      </c>
      <c r="D10172" s="0" t="s">
        <v>33941</v>
      </c>
      <c r="E10172" s="0" t="s">
        <v>33942</v>
      </c>
      <c r="F10172" s="0" t="s">
        <v>90</v>
      </c>
      <c r="G10172" s="0" t="s">
        <v>26</v>
      </c>
      <c r="H10172" s="0" t="n">
        <v>140</v>
      </c>
      <c r="I10172" s="0" t="s">
        <v>33952</v>
      </c>
      <c r="J10172" s="0" t="s">
        <v>33953</v>
      </c>
      <c r="K10172" s="0" t="s">
        <v>33954</v>
      </c>
      <c r="L10172" s="0" t="str">
        <f aca="false">HYPERLINK("https://www.ncbi.nlm.nih.gov/nuccore/CP000304.1?report=graph&amp;tracks=[key:gene_model_track,Options:GeneOnly]&amp;mk=2865956:2865975|offset_45|444444,2865928:2865947|offset_73|444444,2865904:2865923|offset_97|444444,2865861:2865880|offset_140|00cc00&amp;v=2865755:2866080&amp;c=444444", "offset 140")</f>
        <v>offset 140</v>
      </c>
    </row>
    <row r="10173" customFormat="false" ht="12.8" hidden="false" customHeight="false" outlineLevel="0" collapsed="false">
      <c r="A10173" s="0" t="s">
        <v>12</v>
      </c>
      <c r="B10173" s="0" t="n">
        <v>2866365</v>
      </c>
      <c r="C10173" s="0" t="n">
        <v>2866385</v>
      </c>
      <c r="D10173" s="0" t="s">
        <v>33955</v>
      </c>
      <c r="E10173" s="0" t="s">
        <v>89</v>
      </c>
      <c r="F10173" s="0" t="s">
        <v>90</v>
      </c>
      <c r="G10173" s="0" t="s">
        <v>26</v>
      </c>
      <c r="H10173" s="0" t="n">
        <v>7</v>
      </c>
      <c r="I10173" s="0" t="s">
        <v>33956</v>
      </c>
      <c r="J10173" s="0" t="s">
        <v>33957</v>
      </c>
      <c r="K10173" s="0" t="s">
        <v>33958</v>
      </c>
      <c r="L10173" s="0" t="str">
        <f aca="false">HYPERLINK("https://www.ncbi.nlm.nih.gov/nuccore/CP000304.1?report=graph&amp;tracks=[key:gene_model_track,Options:GeneOnly]&amp;mk=2866366:2866385|offset_7|00cc00,2866318:2866337|offset_55|444444,2866292:2866311|offset_81|444444,2866264:2866283|offset_109|444444&amp;v=2866165:2866483&amp;c=444444", "offset 7")</f>
        <v>offset 7</v>
      </c>
    </row>
    <row r="10174" customFormat="false" ht="12.8" hidden="false" customHeight="false" outlineLevel="0" collapsed="false">
      <c r="A10174" s="0" t="s">
        <v>12</v>
      </c>
      <c r="B10174" s="0" t="n">
        <v>2866317</v>
      </c>
      <c r="C10174" s="0" t="n">
        <v>2866337</v>
      </c>
      <c r="D10174" s="0" t="s">
        <v>33955</v>
      </c>
      <c r="E10174" s="0" t="s">
        <v>89</v>
      </c>
      <c r="F10174" s="0" t="s">
        <v>90</v>
      </c>
      <c r="G10174" s="0" t="s">
        <v>32</v>
      </c>
      <c r="H10174" s="0" t="n">
        <v>55</v>
      </c>
      <c r="I10174" s="0" t="s">
        <v>33959</v>
      </c>
      <c r="J10174" s="0" t="s">
        <v>33960</v>
      </c>
      <c r="K10174" s="0" t="s">
        <v>33961</v>
      </c>
      <c r="L10174" s="0" t="str">
        <f aca="false">HYPERLINK("https://www.ncbi.nlm.nih.gov/nuccore/CP000304.1?report=graph&amp;tracks=[key:gene_model_track,Options:GeneOnly]&amp;mk=2866366:2866385|offset_7|444444,2866318:2866337|offset_55|00cc00,2866292:2866311|offset_81|444444,2866264:2866283|offset_109|444444&amp;v=2866165:2866483&amp;c=444444", "offset 55")</f>
        <v>offset 55</v>
      </c>
    </row>
    <row r="10175" customFormat="false" ht="12.8" hidden="false" customHeight="false" outlineLevel="0" collapsed="false">
      <c r="A10175" s="0" t="s">
        <v>12</v>
      </c>
      <c r="B10175" s="0" t="n">
        <v>2866291</v>
      </c>
      <c r="C10175" s="0" t="n">
        <v>2866311</v>
      </c>
      <c r="D10175" s="0" t="s">
        <v>33955</v>
      </c>
      <c r="E10175" s="0" t="s">
        <v>89</v>
      </c>
      <c r="F10175" s="0" t="s">
        <v>90</v>
      </c>
      <c r="G10175" s="0" t="s">
        <v>36</v>
      </c>
      <c r="H10175" s="0" t="n">
        <v>81</v>
      </c>
      <c r="I10175" s="0" t="s">
        <v>33962</v>
      </c>
      <c r="J10175" s="0" t="s">
        <v>33963</v>
      </c>
      <c r="K10175" s="0" t="s">
        <v>33964</v>
      </c>
      <c r="L10175" s="0" t="str">
        <f aca="false">HYPERLINK("https://www.ncbi.nlm.nih.gov/nuccore/CP000304.1?report=graph&amp;tracks=[key:gene_model_track,Options:GeneOnly]&amp;mk=2866366:2866385|offset_7|444444,2866318:2866337|offset_55|444444,2866292:2866311|offset_81|00cc00,2866264:2866283|offset_109|444444&amp;v=2866165:2866483&amp;c=444444", "offset 81")</f>
        <v>offset 81</v>
      </c>
    </row>
    <row r="10176" customFormat="false" ht="12.8" hidden="false" customHeight="false" outlineLevel="0" collapsed="false">
      <c r="A10176" s="0" t="s">
        <v>12</v>
      </c>
      <c r="B10176" s="0" t="n">
        <v>2866263</v>
      </c>
      <c r="C10176" s="0" t="n">
        <v>2866283</v>
      </c>
      <c r="D10176" s="0" t="s">
        <v>33955</v>
      </c>
      <c r="E10176" s="0" t="s">
        <v>89</v>
      </c>
      <c r="F10176" s="0" t="s">
        <v>90</v>
      </c>
      <c r="G10176" s="0" t="s">
        <v>32</v>
      </c>
      <c r="H10176" s="0" t="n">
        <v>109</v>
      </c>
      <c r="I10176" s="0" t="s">
        <v>33965</v>
      </c>
      <c r="J10176" s="0" t="s">
        <v>33966</v>
      </c>
      <c r="K10176" s="0" t="s">
        <v>33967</v>
      </c>
      <c r="L10176" s="0" t="str">
        <f aca="false">HYPERLINK("https://www.ncbi.nlm.nih.gov/nuccore/CP000304.1?report=graph&amp;tracks=[key:gene_model_track,Options:GeneOnly]&amp;mk=2866366:2866385|offset_7|444444,2866318:2866337|offset_55|444444,2866292:2866311|offset_81|444444,2866264:2866283|offset_109|00cc00&amp;v=2866165:2866483&amp;c=444444", "offset 109")</f>
        <v>offset 109</v>
      </c>
    </row>
    <row r="10177" customFormat="false" ht="12.8" hidden="false" customHeight="false" outlineLevel="0" collapsed="false">
      <c r="A10177" s="0" t="s">
        <v>12</v>
      </c>
      <c r="B10177" s="0" t="n">
        <v>2867410</v>
      </c>
      <c r="C10177" s="0" t="n">
        <v>2867430</v>
      </c>
      <c r="D10177" s="0" t="s">
        <v>33968</v>
      </c>
      <c r="E10177" s="0" t="s">
        <v>89</v>
      </c>
      <c r="F10177" s="0" t="s">
        <v>90</v>
      </c>
      <c r="G10177" s="0" t="s">
        <v>16</v>
      </c>
      <c r="H10177" s="0" t="n">
        <v>8</v>
      </c>
      <c r="I10177" s="0" t="s">
        <v>33969</v>
      </c>
      <c r="J10177" s="0" t="s">
        <v>33970</v>
      </c>
      <c r="K10177" s="0" t="s">
        <v>33971</v>
      </c>
      <c r="L10177" s="0" t="str">
        <f aca="false">HYPERLINK("https://www.ncbi.nlm.nih.gov/nuccore/CP000304.1?report=graph&amp;tracks=[key:gene_model_track,Options:GeneOnly]&amp;mk=2867411:2867430|offset_8|00cc00,2867375:2867394|offset_44|444444,2867343:2867362|offset_76|444444,2867307:2867326|offset_112|444444&amp;v=2867210:2867526&amp;c=444444", "offset 8")</f>
        <v>offset 8</v>
      </c>
    </row>
    <row r="10178" customFormat="false" ht="12.8" hidden="false" customHeight="false" outlineLevel="0" collapsed="false">
      <c r="A10178" s="0" t="s">
        <v>12</v>
      </c>
      <c r="B10178" s="0" t="n">
        <v>2867374</v>
      </c>
      <c r="C10178" s="0" t="n">
        <v>2867394</v>
      </c>
      <c r="D10178" s="0" t="s">
        <v>33968</v>
      </c>
      <c r="E10178" s="0" t="s">
        <v>89</v>
      </c>
      <c r="F10178" s="0" t="s">
        <v>90</v>
      </c>
      <c r="G10178" s="0" t="s">
        <v>32</v>
      </c>
      <c r="H10178" s="0" t="n">
        <v>44</v>
      </c>
      <c r="I10178" s="0" t="s">
        <v>33972</v>
      </c>
      <c r="J10178" s="0" t="s">
        <v>33973</v>
      </c>
      <c r="K10178" s="0" t="s">
        <v>33974</v>
      </c>
      <c r="L10178" s="0" t="str">
        <f aca="false">HYPERLINK("https://www.ncbi.nlm.nih.gov/nuccore/CP000304.1?report=graph&amp;tracks=[key:gene_model_track,Options:GeneOnly]&amp;mk=2867411:2867430|offset_8|444444,2867375:2867394|offset_44|00cc00,2867343:2867362|offset_76|444444,2867307:2867326|offset_112|444444&amp;v=2867210:2867526&amp;c=444444", "offset 44")</f>
        <v>offset 44</v>
      </c>
    </row>
    <row r="10179" customFormat="false" ht="12.8" hidden="false" customHeight="false" outlineLevel="0" collapsed="false">
      <c r="A10179" s="0" t="s">
        <v>12</v>
      </c>
      <c r="B10179" s="0" t="n">
        <v>2867342</v>
      </c>
      <c r="C10179" s="0" t="n">
        <v>2867362</v>
      </c>
      <c r="D10179" s="0" t="s">
        <v>33968</v>
      </c>
      <c r="E10179" s="0" t="s">
        <v>89</v>
      </c>
      <c r="F10179" s="0" t="s">
        <v>90</v>
      </c>
      <c r="G10179" s="0" t="s">
        <v>36</v>
      </c>
      <c r="H10179" s="0" t="n">
        <v>76</v>
      </c>
      <c r="I10179" s="0" t="s">
        <v>33975</v>
      </c>
      <c r="J10179" s="0" t="s">
        <v>33976</v>
      </c>
      <c r="K10179" s="0" t="s">
        <v>33977</v>
      </c>
      <c r="L10179" s="0" t="str">
        <f aca="false">HYPERLINK("https://www.ncbi.nlm.nih.gov/nuccore/CP000304.1?report=graph&amp;tracks=[key:gene_model_track,Options:GeneOnly]&amp;mk=2867411:2867430|offset_8|444444,2867375:2867394|offset_44|444444,2867343:2867362|offset_76|00cc00,2867307:2867326|offset_112|444444&amp;v=2867210:2867526&amp;c=444444", "offset 76")</f>
        <v>offset 76</v>
      </c>
    </row>
    <row r="10180" customFormat="false" ht="12.8" hidden="false" customHeight="false" outlineLevel="0" collapsed="false">
      <c r="A10180" s="0" t="s">
        <v>12</v>
      </c>
      <c r="B10180" s="0" t="n">
        <v>2867306</v>
      </c>
      <c r="C10180" s="0" t="n">
        <v>2867326</v>
      </c>
      <c r="D10180" s="0" t="s">
        <v>33968</v>
      </c>
      <c r="E10180" s="0" t="s">
        <v>89</v>
      </c>
      <c r="F10180" s="0" t="s">
        <v>90</v>
      </c>
      <c r="G10180" s="0" t="s">
        <v>26</v>
      </c>
      <c r="H10180" s="0" t="n">
        <v>112</v>
      </c>
      <c r="I10180" s="0" t="s">
        <v>33978</v>
      </c>
      <c r="J10180" s="0" t="s">
        <v>33979</v>
      </c>
      <c r="K10180" s="0" t="s">
        <v>33980</v>
      </c>
      <c r="L10180" s="0" t="str">
        <f aca="false">HYPERLINK("https://www.ncbi.nlm.nih.gov/nuccore/CP000304.1?report=graph&amp;tracks=[key:gene_model_track,Options:GeneOnly]&amp;mk=2867411:2867430|offset_8|444444,2867375:2867394|offset_44|444444,2867343:2867362|offset_76|444444,2867307:2867326|offset_112|00cc00&amp;v=2867210:2867526&amp;c=444444", "offset 112")</f>
        <v>offset 112</v>
      </c>
    </row>
    <row r="10181" customFormat="false" ht="12.8" hidden="false" customHeight="false" outlineLevel="0" collapsed="false">
      <c r="A10181" s="0" t="s">
        <v>12</v>
      </c>
      <c r="B10181" s="0" t="n">
        <v>2868623</v>
      </c>
      <c r="C10181" s="0" t="n">
        <v>2868643</v>
      </c>
      <c r="D10181" s="0" t="s">
        <v>33981</v>
      </c>
      <c r="E10181" s="0" t="s">
        <v>33982</v>
      </c>
      <c r="F10181" s="0" t="s">
        <v>90</v>
      </c>
      <c r="G10181" s="0" t="s">
        <v>26</v>
      </c>
      <c r="H10181" s="0" t="n">
        <v>20</v>
      </c>
      <c r="I10181" s="0" t="s">
        <v>33983</v>
      </c>
      <c r="J10181" s="0" t="s">
        <v>33984</v>
      </c>
      <c r="K10181" s="0" t="s">
        <v>33985</v>
      </c>
      <c r="L10181" s="0" t="str">
        <f aca="false">HYPERLINK("https://www.ncbi.nlm.nih.gov/nuccore/CP000304.1?report=graph&amp;tracks=[key:gene_model_track,Options:GeneOnly]&amp;mk=2868624:2868643|offset_20|00cc00,2868604:2868623|offset_40|444444,2868573:2868592|offset_71|444444,2868547:2868566|offset_97|444444&amp;v=2868423:2868766&amp;c=444444", "offset 20")</f>
        <v>offset 20</v>
      </c>
    </row>
    <row r="10182" customFormat="false" ht="12.8" hidden="false" customHeight="false" outlineLevel="0" collapsed="false">
      <c r="A10182" s="0" t="s">
        <v>12</v>
      </c>
      <c r="B10182" s="0" t="n">
        <v>2868603</v>
      </c>
      <c r="C10182" s="0" t="n">
        <v>2868623</v>
      </c>
      <c r="D10182" s="0" t="s">
        <v>33981</v>
      </c>
      <c r="E10182" s="0" t="s">
        <v>33982</v>
      </c>
      <c r="F10182" s="0" t="s">
        <v>90</v>
      </c>
      <c r="G10182" s="0" t="s">
        <v>16</v>
      </c>
      <c r="H10182" s="0" t="n">
        <v>40</v>
      </c>
      <c r="I10182" s="0" t="s">
        <v>33986</v>
      </c>
      <c r="J10182" s="0" t="s">
        <v>33987</v>
      </c>
      <c r="K10182" s="0" t="s">
        <v>33988</v>
      </c>
      <c r="L10182" s="0" t="str">
        <f aca="false">HYPERLINK("https://www.ncbi.nlm.nih.gov/nuccore/CP000304.1?report=graph&amp;tracks=[key:gene_model_track,Options:GeneOnly]&amp;mk=2868624:2868643|offset_20|444444,2868604:2868623|offset_40|00cc00,2868573:2868592|offset_71|444444,2868547:2868566|offset_97|444444&amp;v=2868423:2868766&amp;c=444444", "offset 40")</f>
        <v>offset 40</v>
      </c>
    </row>
    <row r="10183" customFormat="false" ht="12.8" hidden="false" customHeight="false" outlineLevel="0" collapsed="false">
      <c r="A10183" s="0" t="s">
        <v>12</v>
      </c>
      <c r="B10183" s="0" t="n">
        <v>2868572</v>
      </c>
      <c r="C10183" s="0" t="n">
        <v>2868592</v>
      </c>
      <c r="D10183" s="0" t="s">
        <v>33981</v>
      </c>
      <c r="E10183" s="0" t="s">
        <v>33982</v>
      </c>
      <c r="F10183" s="0" t="s">
        <v>90</v>
      </c>
      <c r="G10183" s="0" t="s">
        <v>26</v>
      </c>
      <c r="H10183" s="0" t="n">
        <v>71</v>
      </c>
      <c r="I10183" s="0" t="s">
        <v>33989</v>
      </c>
      <c r="J10183" s="0" t="s">
        <v>33990</v>
      </c>
      <c r="K10183" s="0" t="s">
        <v>33991</v>
      </c>
      <c r="L10183" s="0" t="str">
        <f aca="false">HYPERLINK("https://www.ncbi.nlm.nih.gov/nuccore/CP000304.1?report=graph&amp;tracks=[key:gene_model_track,Options:GeneOnly]&amp;mk=2868624:2868643|offset_20|444444,2868604:2868623|offset_40|444444,2868573:2868592|offset_71|00cc00,2868547:2868566|offset_97|444444&amp;v=2868423:2868766&amp;c=444444", "offset 71")</f>
        <v>offset 71</v>
      </c>
    </row>
    <row r="10184" customFormat="false" ht="12.8" hidden="false" customHeight="false" outlineLevel="0" collapsed="false">
      <c r="A10184" s="0" t="s">
        <v>12</v>
      </c>
      <c r="B10184" s="0" t="n">
        <v>2868546</v>
      </c>
      <c r="C10184" s="0" t="n">
        <v>2868566</v>
      </c>
      <c r="D10184" s="0" t="s">
        <v>33981</v>
      </c>
      <c r="E10184" s="0" t="s">
        <v>33982</v>
      </c>
      <c r="F10184" s="0" t="s">
        <v>90</v>
      </c>
      <c r="G10184" s="0" t="s">
        <v>32</v>
      </c>
      <c r="H10184" s="0" t="n">
        <v>97</v>
      </c>
      <c r="I10184" s="0" t="s">
        <v>33992</v>
      </c>
      <c r="J10184" s="0" t="s">
        <v>33993</v>
      </c>
      <c r="K10184" s="0" t="s">
        <v>33994</v>
      </c>
      <c r="L10184" s="0" t="str">
        <f aca="false">HYPERLINK("https://www.ncbi.nlm.nih.gov/nuccore/CP000304.1?report=graph&amp;tracks=[key:gene_model_track,Options:GeneOnly]&amp;mk=2868624:2868643|offset_20|444444,2868604:2868623|offset_40|444444,2868573:2868592|offset_71|444444,2868547:2868566|offset_97|00cc00&amp;v=2868423:2868766&amp;c=444444", "offset 97")</f>
        <v>offset 97</v>
      </c>
    </row>
    <row r="10185" customFormat="false" ht="12.8" hidden="false" customHeight="false" outlineLevel="0" collapsed="false">
      <c r="A10185" s="0" t="s">
        <v>12</v>
      </c>
      <c r="B10185" s="0" t="n">
        <v>2869247</v>
      </c>
      <c r="C10185" s="0" t="n">
        <v>2869267</v>
      </c>
      <c r="D10185" s="0" t="s">
        <v>33995</v>
      </c>
      <c r="E10185" s="0" t="s">
        <v>33996</v>
      </c>
      <c r="F10185" s="0" t="s">
        <v>90</v>
      </c>
      <c r="G10185" s="0" t="s">
        <v>26</v>
      </c>
      <c r="H10185" s="0" t="n">
        <v>20</v>
      </c>
      <c r="I10185" s="0" t="s">
        <v>33997</v>
      </c>
      <c r="J10185" s="0" t="s">
        <v>33998</v>
      </c>
      <c r="K10185" s="0" t="s">
        <v>33999</v>
      </c>
      <c r="L10185" s="0" t="str">
        <f aca="false">HYPERLINK("https://www.ncbi.nlm.nih.gov/nuccore/CP000304.1?report=graph&amp;tracks=[key:gene_model_track,Options:GeneOnly]&amp;mk=2869248:2869267|offset_20|00cc00,2869213:2869232|offset_55|444444,2869186:2869205|offset_82|444444,2869156:2869175|offset_112|444444&amp;v=2869047:2869375&amp;c=444444", "offset 20")</f>
        <v>offset 20</v>
      </c>
    </row>
    <row r="10186" customFormat="false" ht="12.8" hidden="false" customHeight="false" outlineLevel="0" collapsed="false">
      <c r="A10186" s="0" t="s">
        <v>12</v>
      </c>
      <c r="B10186" s="0" t="n">
        <v>2869212</v>
      </c>
      <c r="C10186" s="0" t="n">
        <v>2869232</v>
      </c>
      <c r="D10186" s="0" t="s">
        <v>33995</v>
      </c>
      <c r="E10186" s="0" t="s">
        <v>33996</v>
      </c>
      <c r="F10186" s="0" t="s">
        <v>90</v>
      </c>
      <c r="G10186" s="0" t="s">
        <v>36</v>
      </c>
      <c r="H10186" s="0" t="n">
        <v>55</v>
      </c>
      <c r="I10186" s="0" t="s">
        <v>34000</v>
      </c>
      <c r="J10186" s="0" t="s">
        <v>34001</v>
      </c>
      <c r="K10186" s="0" t="s">
        <v>34002</v>
      </c>
      <c r="L10186" s="0" t="str">
        <f aca="false">HYPERLINK("https://www.ncbi.nlm.nih.gov/nuccore/CP000304.1?report=graph&amp;tracks=[key:gene_model_track,Options:GeneOnly]&amp;mk=2869248:2869267|offset_20|444444,2869213:2869232|offset_55|00cc00,2869186:2869205|offset_82|444444,2869156:2869175|offset_112|444444&amp;v=2869047:2869375&amp;c=444444", "offset 55")</f>
        <v>offset 55</v>
      </c>
    </row>
    <row r="10187" customFormat="false" ht="12.8" hidden="false" customHeight="false" outlineLevel="0" collapsed="false">
      <c r="A10187" s="0" t="s">
        <v>12</v>
      </c>
      <c r="B10187" s="0" t="n">
        <v>2869185</v>
      </c>
      <c r="C10187" s="0" t="n">
        <v>2869205</v>
      </c>
      <c r="D10187" s="0" t="s">
        <v>33995</v>
      </c>
      <c r="E10187" s="0" t="s">
        <v>33996</v>
      </c>
      <c r="F10187" s="0" t="s">
        <v>90</v>
      </c>
      <c r="G10187" s="0" t="s">
        <v>26</v>
      </c>
      <c r="H10187" s="0" t="n">
        <v>82</v>
      </c>
      <c r="I10187" s="0" t="s">
        <v>34003</v>
      </c>
      <c r="J10187" s="0" t="s">
        <v>34004</v>
      </c>
      <c r="K10187" s="0" t="s">
        <v>34005</v>
      </c>
      <c r="L10187" s="0" t="str">
        <f aca="false">HYPERLINK("https://www.ncbi.nlm.nih.gov/nuccore/CP000304.1?report=graph&amp;tracks=[key:gene_model_track,Options:GeneOnly]&amp;mk=2869248:2869267|offset_20|444444,2869213:2869232|offset_55|444444,2869186:2869205|offset_82|00cc00,2869156:2869175|offset_112|444444&amp;v=2869047:2869375&amp;c=444444", "offset 82")</f>
        <v>offset 82</v>
      </c>
    </row>
    <row r="10188" customFormat="false" ht="12.8" hidden="false" customHeight="false" outlineLevel="0" collapsed="false">
      <c r="A10188" s="0" t="s">
        <v>12</v>
      </c>
      <c r="B10188" s="0" t="n">
        <v>2869155</v>
      </c>
      <c r="C10188" s="0" t="n">
        <v>2869175</v>
      </c>
      <c r="D10188" s="0" t="s">
        <v>33995</v>
      </c>
      <c r="E10188" s="0" t="s">
        <v>33996</v>
      </c>
      <c r="F10188" s="0" t="s">
        <v>90</v>
      </c>
      <c r="G10188" s="0" t="s">
        <v>16</v>
      </c>
      <c r="H10188" s="0" t="n">
        <v>112</v>
      </c>
      <c r="I10188" s="0" t="s">
        <v>34006</v>
      </c>
      <c r="J10188" s="0" t="s">
        <v>34007</v>
      </c>
      <c r="K10188" s="0" t="s">
        <v>34008</v>
      </c>
      <c r="L10188" s="0" t="str">
        <f aca="false">HYPERLINK("https://www.ncbi.nlm.nih.gov/nuccore/CP000304.1?report=graph&amp;tracks=[key:gene_model_track,Options:GeneOnly]&amp;mk=2869248:2869267|offset_20|444444,2869213:2869232|offset_55|444444,2869186:2869205|offset_82|444444,2869156:2869175|offset_112|00cc00&amp;v=2869047:2869375&amp;c=444444", "offset 112")</f>
        <v>offset 112</v>
      </c>
    </row>
    <row r="10189" customFormat="false" ht="12.8" hidden="false" customHeight="false" outlineLevel="0" collapsed="false">
      <c r="A10189" s="0" t="s">
        <v>12</v>
      </c>
      <c r="B10189" s="0" t="n">
        <v>2869923</v>
      </c>
      <c r="C10189" s="0" t="n">
        <v>2869943</v>
      </c>
      <c r="D10189" s="0" t="s">
        <v>34009</v>
      </c>
      <c r="E10189" s="0" t="s">
        <v>34010</v>
      </c>
      <c r="F10189" s="0" t="s">
        <v>90</v>
      </c>
      <c r="G10189" s="0" t="s">
        <v>36</v>
      </c>
      <c r="H10189" s="0" t="n">
        <v>12</v>
      </c>
      <c r="I10189" s="0" t="s">
        <v>34011</v>
      </c>
      <c r="J10189" s="0" t="s">
        <v>34012</v>
      </c>
      <c r="K10189" s="0" t="s">
        <v>34013</v>
      </c>
      <c r="L10189" s="0" t="str">
        <f aca="false">HYPERLINK("https://www.ncbi.nlm.nih.gov/nuccore/CP000304.1?report=graph&amp;tracks=[key:gene_model_track,Options:GeneOnly]&amp;mk=2869924:2869943|offset_12|00cc00,2869898:2869917|offset_38|444444,2869871:2869890|offset_65|444444,2869833:2869852|offset_103|444444&amp;v=2869723:2870052&amp;c=444444", "offset 12")</f>
        <v>offset 12</v>
      </c>
    </row>
    <row r="10190" customFormat="false" ht="12.8" hidden="false" customHeight="false" outlineLevel="0" collapsed="false">
      <c r="A10190" s="0" t="s">
        <v>12</v>
      </c>
      <c r="B10190" s="0" t="n">
        <v>2869897</v>
      </c>
      <c r="C10190" s="0" t="n">
        <v>2869917</v>
      </c>
      <c r="D10190" s="0" t="s">
        <v>34009</v>
      </c>
      <c r="E10190" s="0" t="s">
        <v>34010</v>
      </c>
      <c r="F10190" s="0" t="s">
        <v>90</v>
      </c>
      <c r="G10190" s="0" t="s">
        <v>36</v>
      </c>
      <c r="H10190" s="0" t="n">
        <v>38</v>
      </c>
      <c r="I10190" s="0" t="s">
        <v>34014</v>
      </c>
      <c r="J10190" s="0" t="s">
        <v>34015</v>
      </c>
      <c r="K10190" s="0" t="s">
        <v>34016</v>
      </c>
      <c r="L10190" s="0" t="str">
        <f aca="false">HYPERLINK("https://www.ncbi.nlm.nih.gov/nuccore/CP000304.1?report=graph&amp;tracks=[key:gene_model_track,Options:GeneOnly]&amp;mk=2869924:2869943|offset_12|444444,2869898:2869917|offset_38|00cc00,2869871:2869890|offset_65|444444,2869833:2869852|offset_103|444444&amp;v=2869723:2870052&amp;c=444444", "offset 38")</f>
        <v>offset 38</v>
      </c>
    </row>
    <row r="10191" customFormat="false" ht="12.8" hidden="false" customHeight="false" outlineLevel="0" collapsed="false">
      <c r="A10191" s="0" t="s">
        <v>12</v>
      </c>
      <c r="B10191" s="0" t="n">
        <v>2869870</v>
      </c>
      <c r="C10191" s="0" t="n">
        <v>2869890</v>
      </c>
      <c r="D10191" s="0" t="s">
        <v>34009</v>
      </c>
      <c r="E10191" s="0" t="s">
        <v>34010</v>
      </c>
      <c r="F10191" s="0" t="s">
        <v>90</v>
      </c>
      <c r="G10191" s="0" t="s">
        <v>26</v>
      </c>
      <c r="H10191" s="0" t="n">
        <v>65</v>
      </c>
      <c r="I10191" s="0" t="s">
        <v>34017</v>
      </c>
      <c r="J10191" s="0" t="s">
        <v>34018</v>
      </c>
      <c r="K10191" s="0" t="s">
        <v>34019</v>
      </c>
      <c r="L10191" s="0" t="str">
        <f aca="false">HYPERLINK("https://www.ncbi.nlm.nih.gov/nuccore/CP000304.1?report=graph&amp;tracks=[key:gene_model_track,Options:GeneOnly]&amp;mk=2869924:2869943|offset_12|444444,2869898:2869917|offset_38|444444,2869871:2869890|offset_65|00cc00,2869833:2869852|offset_103|444444&amp;v=2869723:2870052&amp;c=444444", "offset 65")</f>
        <v>offset 65</v>
      </c>
    </row>
    <row r="10192" customFormat="false" ht="12.8" hidden="false" customHeight="false" outlineLevel="0" collapsed="false">
      <c r="A10192" s="0" t="s">
        <v>12</v>
      </c>
      <c r="B10192" s="0" t="n">
        <v>2869832</v>
      </c>
      <c r="C10192" s="0" t="n">
        <v>2869852</v>
      </c>
      <c r="D10192" s="0" t="s">
        <v>34009</v>
      </c>
      <c r="E10192" s="0" t="s">
        <v>34010</v>
      </c>
      <c r="F10192" s="0" t="s">
        <v>90</v>
      </c>
      <c r="G10192" s="0" t="s">
        <v>26</v>
      </c>
      <c r="H10192" s="0" t="n">
        <v>103</v>
      </c>
      <c r="I10192" s="0" t="s">
        <v>34020</v>
      </c>
      <c r="J10192" s="0" t="s">
        <v>34021</v>
      </c>
      <c r="K10192" s="0" t="s">
        <v>34022</v>
      </c>
      <c r="L10192" s="0" t="str">
        <f aca="false">HYPERLINK("https://www.ncbi.nlm.nih.gov/nuccore/CP000304.1?report=graph&amp;tracks=[key:gene_model_track,Options:GeneOnly]&amp;mk=2869924:2869943|offset_12|444444,2869898:2869917|offset_38|444444,2869871:2869890|offset_65|444444,2869833:2869852|offset_103|00cc00&amp;v=2869723:2870052&amp;c=444444", "offset 103")</f>
        <v>offset 103</v>
      </c>
    </row>
    <row r="10193" customFormat="false" ht="12.8" hidden="false" customHeight="false" outlineLevel="0" collapsed="false">
      <c r="A10193" s="0" t="s">
        <v>12</v>
      </c>
      <c r="B10193" s="0" t="n">
        <v>2870710</v>
      </c>
      <c r="C10193" s="0" t="n">
        <v>2870730</v>
      </c>
      <c r="D10193" s="0" t="s">
        <v>34023</v>
      </c>
      <c r="E10193" s="0" t="s">
        <v>34024</v>
      </c>
      <c r="F10193" s="0" t="s">
        <v>90</v>
      </c>
      <c r="G10193" s="0" t="s">
        <v>32</v>
      </c>
      <c r="H10193" s="0" t="n">
        <v>22</v>
      </c>
      <c r="I10193" s="0" t="s">
        <v>34025</v>
      </c>
      <c r="J10193" s="0" t="s">
        <v>34026</v>
      </c>
      <c r="K10193" s="0" t="s">
        <v>34027</v>
      </c>
      <c r="L10193" s="0" t="str">
        <f aca="false">HYPERLINK("https://www.ncbi.nlm.nih.gov/nuccore/CP000304.1?report=graph&amp;tracks=[key:gene_model_track,Options:GeneOnly]&amp;mk=2870711:2870730|offset_22|00cc00,2870687:2870706|offset_46|444444,2870663:2870682|offset_70|444444,2870642:2870661|offset_91|444444&amp;v=2870510:2870861&amp;c=444444", "offset 22")</f>
        <v>offset 22</v>
      </c>
    </row>
    <row r="10194" customFormat="false" ht="12.8" hidden="false" customHeight="false" outlineLevel="0" collapsed="false">
      <c r="A10194" s="0" t="s">
        <v>12</v>
      </c>
      <c r="B10194" s="0" t="n">
        <v>2870686</v>
      </c>
      <c r="C10194" s="0" t="n">
        <v>2870706</v>
      </c>
      <c r="D10194" s="0" t="s">
        <v>34023</v>
      </c>
      <c r="E10194" s="0" t="s">
        <v>34024</v>
      </c>
      <c r="F10194" s="0" t="s">
        <v>90</v>
      </c>
      <c r="G10194" s="0" t="s">
        <v>36</v>
      </c>
      <c r="H10194" s="0" t="n">
        <v>46</v>
      </c>
      <c r="I10194" s="0" t="s">
        <v>34028</v>
      </c>
      <c r="J10194" s="0" t="s">
        <v>34029</v>
      </c>
      <c r="K10194" s="0" t="s">
        <v>34030</v>
      </c>
      <c r="L10194" s="0" t="str">
        <f aca="false">HYPERLINK("https://www.ncbi.nlm.nih.gov/nuccore/CP000304.1?report=graph&amp;tracks=[key:gene_model_track,Options:GeneOnly]&amp;mk=2870711:2870730|offset_22|444444,2870687:2870706|offset_46|00cc00,2870663:2870682|offset_70|444444,2870642:2870661|offset_91|444444&amp;v=2870510:2870861&amp;c=444444", "offset 46")</f>
        <v>offset 46</v>
      </c>
    </row>
    <row r="10195" customFormat="false" ht="12.8" hidden="false" customHeight="false" outlineLevel="0" collapsed="false">
      <c r="A10195" s="0" t="s">
        <v>12</v>
      </c>
      <c r="B10195" s="0" t="n">
        <v>2870662</v>
      </c>
      <c r="C10195" s="0" t="n">
        <v>2870682</v>
      </c>
      <c r="D10195" s="0" t="s">
        <v>34023</v>
      </c>
      <c r="E10195" s="0" t="s">
        <v>34024</v>
      </c>
      <c r="F10195" s="0" t="s">
        <v>90</v>
      </c>
      <c r="G10195" s="0" t="s">
        <v>32</v>
      </c>
      <c r="H10195" s="0" t="n">
        <v>70</v>
      </c>
      <c r="I10195" s="0" t="s">
        <v>34031</v>
      </c>
      <c r="J10195" s="0" t="s">
        <v>34032</v>
      </c>
      <c r="K10195" s="0" t="s">
        <v>34033</v>
      </c>
      <c r="L10195" s="0" t="str">
        <f aca="false">HYPERLINK("https://www.ncbi.nlm.nih.gov/nuccore/CP000304.1?report=graph&amp;tracks=[key:gene_model_track,Options:GeneOnly]&amp;mk=2870711:2870730|offset_22|444444,2870687:2870706|offset_46|444444,2870663:2870682|offset_70|00cc00,2870642:2870661|offset_91|444444&amp;v=2870510:2870861&amp;c=444444", "offset 70")</f>
        <v>offset 70</v>
      </c>
    </row>
    <row r="10196" customFormat="false" ht="12.8" hidden="false" customHeight="false" outlineLevel="0" collapsed="false">
      <c r="A10196" s="0" t="s">
        <v>12</v>
      </c>
      <c r="B10196" s="0" t="n">
        <v>2870641</v>
      </c>
      <c r="C10196" s="0" t="n">
        <v>2870661</v>
      </c>
      <c r="D10196" s="0" t="s">
        <v>34023</v>
      </c>
      <c r="E10196" s="0" t="s">
        <v>34024</v>
      </c>
      <c r="F10196" s="0" t="s">
        <v>90</v>
      </c>
      <c r="G10196" s="0" t="s">
        <v>16</v>
      </c>
      <c r="H10196" s="0" t="n">
        <v>91</v>
      </c>
      <c r="I10196" s="0" t="s">
        <v>34034</v>
      </c>
      <c r="J10196" s="0" t="s">
        <v>34035</v>
      </c>
      <c r="K10196" s="0" t="s">
        <v>34036</v>
      </c>
      <c r="L10196" s="0" t="str">
        <f aca="false">HYPERLINK("https://www.ncbi.nlm.nih.gov/nuccore/CP000304.1?report=graph&amp;tracks=[key:gene_model_track,Options:GeneOnly]&amp;mk=2870711:2870730|offset_22|444444,2870687:2870706|offset_46|444444,2870663:2870682|offset_70|444444,2870642:2870661|offset_91|00cc00&amp;v=2870510:2870861&amp;c=444444", "offset 91")</f>
        <v>offset 91</v>
      </c>
    </row>
    <row r="10197" customFormat="false" ht="12.8" hidden="false" customHeight="false" outlineLevel="0" collapsed="false">
      <c r="A10197" s="0" t="s">
        <v>12</v>
      </c>
      <c r="B10197" s="0" t="n">
        <v>2871916</v>
      </c>
      <c r="C10197" s="0" t="n">
        <v>2871936</v>
      </c>
      <c r="D10197" s="0" t="s">
        <v>34037</v>
      </c>
      <c r="E10197" s="0" t="s">
        <v>34038</v>
      </c>
      <c r="F10197" s="0" t="s">
        <v>90</v>
      </c>
      <c r="G10197" s="0" t="s">
        <v>26</v>
      </c>
      <c r="H10197" s="0" t="n">
        <v>20</v>
      </c>
      <c r="I10197" s="0" t="s">
        <v>34039</v>
      </c>
      <c r="J10197" s="0" t="s">
        <v>34040</v>
      </c>
      <c r="K10197" s="0" t="s">
        <v>34041</v>
      </c>
      <c r="L10197" s="0" t="str">
        <f aca="false">HYPERLINK("https://www.ncbi.nlm.nih.gov/nuccore/CP000304.1?report=graph&amp;tracks=[key:gene_model_track,Options:GeneOnly]&amp;mk=2871917:2871936|offset_20|00cc00,2871846:2871865|offset_91|444444,2871826:2871845|offset_111|444444,2871804:2871823|offset_133|444444&amp;v=2871716:2872023&amp;c=444444", "offset 20")</f>
        <v>offset 20</v>
      </c>
    </row>
    <row r="10198" customFormat="false" ht="12.8" hidden="false" customHeight="false" outlineLevel="0" collapsed="false">
      <c r="A10198" s="0" t="s">
        <v>12</v>
      </c>
      <c r="B10198" s="0" t="n">
        <v>2871845</v>
      </c>
      <c r="C10198" s="0" t="n">
        <v>2871865</v>
      </c>
      <c r="D10198" s="0" t="s">
        <v>34037</v>
      </c>
      <c r="E10198" s="0" t="s">
        <v>34038</v>
      </c>
      <c r="F10198" s="0" t="s">
        <v>90</v>
      </c>
      <c r="G10198" s="0" t="s">
        <v>16</v>
      </c>
      <c r="H10198" s="0" t="n">
        <v>91</v>
      </c>
      <c r="I10198" s="0" t="s">
        <v>34042</v>
      </c>
      <c r="J10198" s="0" t="s">
        <v>34043</v>
      </c>
      <c r="K10198" s="0" t="s">
        <v>34044</v>
      </c>
      <c r="L10198" s="0" t="str">
        <f aca="false">HYPERLINK("https://www.ncbi.nlm.nih.gov/nuccore/CP000304.1?report=graph&amp;tracks=[key:gene_model_track,Options:GeneOnly]&amp;mk=2871917:2871936|offset_20|444444,2871846:2871865|offset_91|00cc00,2871826:2871845|offset_111|444444,2871804:2871823|offset_133|444444&amp;v=2871716:2872023&amp;c=444444", "offset 91")</f>
        <v>offset 91</v>
      </c>
    </row>
    <row r="10199" customFormat="false" ht="12.8" hidden="false" customHeight="false" outlineLevel="0" collapsed="false">
      <c r="A10199" s="0" t="s">
        <v>12</v>
      </c>
      <c r="B10199" s="0" t="n">
        <v>2871825</v>
      </c>
      <c r="C10199" s="0" t="n">
        <v>2871845</v>
      </c>
      <c r="D10199" s="0" t="s">
        <v>34037</v>
      </c>
      <c r="E10199" s="0" t="s">
        <v>34038</v>
      </c>
      <c r="F10199" s="0" t="s">
        <v>90</v>
      </c>
      <c r="G10199" s="0" t="s">
        <v>36</v>
      </c>
      <c r="H10199" s="0" t="n">
        <v>111</v>
      </c>
      <c r="I10199" s="0" t="s">
        <v>34045</v>
      </c>
      <c r="J10199" s="0" t="s">
        <v>34046</v>
      </c>
      <c r="K10199" s="0" t="s">
        <v>34047</v>
      </c>
      <c r="L10199" s="0" t="str">
        <f aca="false">HYPERLINK("https://www.ncbi.nlm.nih.gov/nuccore/CP000304.1?report=graph&amp;tracks=[key:gene_model_track,Options:GeneOnly]&amp;mk=2871917:2871936|offset_20|444444,2871846:2871865|offset_91|444444,2871826:2871845|offset_111|00cc00,2871804:2871823|offset_133|444444&amp;v=2871716:2872023&amp;c=444444", "offset 111")</f>
        <v>offset 111</v>
      </c>
    </row>
    <row r="10200" customFormat="false" ht="12.8" hidden="false" customHeight="false" outlineLevel="0" collapsed="false">
      <c r="A10200" s="0" t="s">
        <v>12</v>
      </c>
      <c r="B10200" s="0" t="n">
        <v>2871803</v>
      </c>
      <c r="C10200" s="0" t="n">
        <v>2871823</v>
      </c>
      <c r="D10200" s="0" t="s">
        <v>34037</v>
      </c>
      <c r="E10200" s="0" t="s">
        <v>34038</v>
      </c>
      <c r="F10200" s="0" t="s">
        <v>90</v>
      </c>
      <c r="G10200" s="0" t="s">
        <v>16</v>
      </c>
      <c r="H10200" s="0" t="n">
        <v>133</v>
      </c>
      <c r="I10200" s="0" t="s">
        <v>34048</v>
      </c>
      <c r="J10200" s="0" t="s">
        <v>34049</v>
      </c>
      <c r="K10200" s="0" t="s">
        <v>34050</v>
      </c>
      <c r="L10200" s="0" t="str">
        <f aca="false">HYPERLINK("https://www.ncbi.nlm.nih.gov/nuccore/CP000304.1?report=graph&amp;tracks=[key:gene_model_track,Options:GeneOnly]&amp;mk=2871917:2871936|offset_20|444444,2871846:2871865|offset_91|444444,2871826:2871845|offset_111|444444,2871804:2871823|offset_133|00cc00&amp;v=2871716:2872023&amp;c=444444", "offset 133")</f>
        <v>offset 133</v>
      </c>
    </row>
    <row r="10201" customFormat="false" ht="12.8" hidden="false" customHeight="false" outlineLevel="0" collapsed="false">
      <c r="A10201" s="0" t="s">
        <v>12</v>
      </c>
      <c r="B10201" s="0" t="n">
        <v>2873244</v>
      </c>
      <c r="C10201" s="0" t="n">
        <v>2873264</v>
      </c>
      <c r="D10201" s="0" t="s">
        <v>34051</v>
      </c>
      <c r="E10201" s="0" t="s">
        <v>34052</v>
      </c>
      <c r="F10201" s="0" t="s">
        <v>90</v>
      </c>
      <c r="G10201" s="0" t="s">
        <v>36</v>
      </c>
      <c r="H10201" s="0" t="n">
        <v>6</v>
      </c>
      <c r="I10201" s="0" t="s">
        <v>34053</v>
      </c>
      <c r="J10201" s="0" t="s">
        <v>34054</v>
      </c>
      <c r="K10201" s="0" t="s">
        <v>34055</v>
      </c>
      <c r="L10201" s="0" t="str">
        <f aca="false">HYPERLINK("https://www.ncbi.nlm.nih.gov/nuccore/CP000304.1?report=graph&amp;tracks=[key:gene_model_track,Options:GeneOnly]&amp;mk=2873245:2873264|offset_6|00cc00,2873211:2873230|offset_40|444444,2873163:2873182|offset_88|444444,2873108:2873127|offset_143|444444&amp;v=2873044:2873327&amp;c=444444", "offset 6")</f>
        <v>offset 6</v>
      </c>
    </row>
    <row r="10202" customFormat="false" ht="12.8" hidden="false" customHeight="false" outlineLevel="0" collapsed="false">
      <c r="A10202" s="0" t="s">
        <v>12</v>
      </c>
      <c r="B10202" s="0" t="n">
        <v>2873210</v>
      </c>
      <c r="C10202" s="0" t="n">
        <v>2873230</v>
      </c>
      <c r="D10202" s="0" t="s">
        <v>34051</v>
      </c>
      <c r="E10202" s="0" t="s">
        <v>34052</v>
      </c>
      <c r="F10202" s="0" t="s">
        <v>90</v>
      </c>
      <c r="G10202" s="0" t="s">
        <v>16</v>
      </c>
      <c r="H10202" s="0" t="n">
        <v>40</v>
      </c>
      <c r="I10202" s="0" t="s">
        <v>34056</v>
      </c>
      <c r="J10202" s="0" t="s">
        <v>34057</v>
      </c>
      <c r="K10202" s="0" t="s">
        <v>34058</v>
      </c>
      <c r="L10202" s="0" t="str">
        <f aca="false">HYPERLINK("https://www.ncbi.nlm.nih.gov/nuccore/CP000304.1?report=graph&amp;tracks=[key:gene_model_track,Options:GeneOnly]&amp;mk=2873245:2873264|offset_6|444444,2873211:2873230|offset_40|00cc00,2873163:2873182|offset_88|444444,2873108:2873127|offset_143|444444&amp;v=2873044:2873327&amp;c=444444", "offset 40")</f>
        <v>offset 40</v>
      </c>
    </row>
    <row r="10203" customFormat="false" ht="12.8" hidden="false" customHeight="false" outlineLevel="0" collapsed="false">
      <c r="A10203" s="0" t="s">
        <v>12</v>
      </c>
      <c r="B10203" s="0" t="n">
        <v>2873162</v>
      </c>
      <c r="C10203" s="0" t="n">
        <v>2873182</v>
      </c>
      <c r="D10203" s="0" t="s">
        <v>34051</v>
      </c>
      <c r="E10203" s="0" t="s">
        <v>34052</v>
      </c>
      <c r="F10203" s="0" t="s">
        <v>90</v>
      </c>
      <c r="G10203" s="0" t="s">
        <v>32</v>
      </c>
      <c r="H10203" s="0" t="n">
        <v>88</v>
      </c>
      <c r="I10203" s="0" t="s">
        <v>34059</v>
      </c>
      <c r="J10203" s="0" t="s">
        <v>34060</v>
      </c>
      <c r="K10203" s="0" t="s">
        <v>34061</v>
      </c>
      <c r="L10203" s="0" t="str">
        <f aca="false">HYPERLINK("https://www.ncbi.nlm.nih.gov/nuccore/CP000304.1?report=graph&amp;tracks=[key:gene_model_track,Options:GeneOnly]&amp;mk=2873245:2873264|offset_6|444444,2873211:2873230|offset_40|444444,2873163:2873182|offset_88|00cc00,2873108:2873127|offset_143|444444&amp;v=2873044:2873327&amp;c=444444", "offset 88")</f>
        <v>offset 88</v>
      </c>
    </row>
    <row r="10204" customFormat="false" ht="12.8" hidden="false" customHeight="false" outlineLevel="0" collapsed="false">
      <c r="A10204" s="0" t="s">
        <v>12</v>
      </c>
      <c r="B10204" s="0" t="n">
        <v>2873107</v>
      </c>
      <c r="C10204" s="0" t="n">
        <v>2873127</v>
      </c>
      <c r="D10204" s="0" t="s">
        <v>34051</v>
      </c>
      <c r="E10204" s="0" t="s">
        <v>34052</v>
      </c>
      <c r="F10204" s="0" t="s">
        <v>90</v>
      </c>
      <c r="G10204" s="0" t="s">
        <v>26</v>
      </c>
      <c r="H10204" s="0" t="n">
        <v>143</v>
      </c>
      <c r="I10204" s="0" t="s">
        <v>34062</v>
      </c>
      <c r="J10204" s="0" t="s">
        <v>34063</v>
      </c>
      <c r="K10204" s="0" t="s">
        <v>34064</v>
      </c>
      <c r="L10204" s="0" t="str">
        <f aca="false">HYPERLINK("https://www.ncbi.nlm.nih.gov/nuccore/CP000304.1?report=graph&amp;tracks=[key:gene_model_track,Options:GeneOnly]&amp;mk=2873245:2873264|offset_6|444444,2873211:2873230|offset_40|444444,2873163:2873182|offset_88|444444,2873108:2873127|offset_143|00cc00&amp;v=2873044:2873327&amp;c=444444", "offset 143")</f>
        <v>offset 143</v>
      </c>
    </row>
    <row r="10205" customFormat="false" ht="12.8" hidden="false" customHeight="false" outlineLevel="0" collapsed="false">
      <c r="A10205" s="0" t="s">
        <v>12</v>
      </c>
      <c r="B10205" s="0" t="n">
        <v>2875064</v>
      </c>
      <c r="C10205" s="0" t="n">
        <v>2875084</v>
      </c>
      <c r="D10205" s="0" t="s">
        <v>34065</v>
      </c>
      <c r="E10205" s="0" t="s">
        <v>34066</v>
      </c>
      <c r="F10205" s="0" t="s">
        <v>90</v>
      </c>
      <c r="G10205" s="0" t="s">
        <v>36</v>
      </c>
      <c r="H10205" s="0" t="n">
        <v>0</v>
      </c>
      <c r="I10205" s="0" t="s">
        <v>34067</v>
      </c>
      <c r="J10205" s="0" t="s">
        <v>34068</v>
      </c>
      <c r="K10205" s="0" t="s">
        <v>34069</v>
      </c>
      <c r="L10205" s="0" t="str">
        <f aca="false">HYPERLINK("https://www.ncbi.nlm.nih.gov/nuccore/CP000304.1?report=graph&amp;tracks=[key:gene_model_track,Options:GeneOnly]&amp;mk=2875065:2875084|offset_0|00cc00,2875045:2875064|offset_20|444444,2875012:2875031|offset_53|444444,2874940:2874959|offset_125|444444&amp;v=2874864:2875159&amp;c=444444", "offset 0")</f>
        <v>offset 0</v>
      </c>
    </row>
    <row r="10206" customFormat="false" ht="12.8" hidden="false" customHeight="false" outlineLevel="0" collapsed="false">
      <c r="A10206" s="0" t="s">
        <v>12</v>
      </c>
      <c r="B10206" s="0" t="n">
        <v>2875044</v>
      </c>
      <c r="C10206" s="0" t="n">
        <v>2875064</v>
      </c>
      <c r="D10206" s="0" t="s">
        <v>34065</v>
      </c>
      <c r="E10206" s="0" t="s">
        <v>34066</v>
      </c>
      <c r="F10206" s="0" t="s">
        <v>90</v>
      </c>
      <c r="G10206" s="0" t="s">
        <v>32</v>
      </c>
      <c r="H10206" s="0" t="n">
        <v>20</v>
      </c>
      <c r="I10206" s="0" t="s">
        <v>34070</v>
      </c>
      <c r="J10206" s="0" t="s">
        <v>34071</v>
      </c>
      <c r="K10206" s="0" t="s">
        <v>34072</v>
      </c>
      <c r="L10206" s="0" t="str">
        <f aca="false">HYPERLINK("https://www.ncbi.nlm.nih.gov/nuccore/CP000304.1?report=graph&amp;tracks=[key:gene_model_track,Options:GeneOnly]&amp;mk=2875065:2875084|offset_0|444444,2875045:2875064|offset_20|00cc00,2875012:2875031|offset_53|444444,2874940:2874959|offset_125|444444&amp;v=2874864:2875159&amp;c=444444", "offset 20")</f>
        <v>offset 20</v>
      </c>
    </row>
    <row r="10207" customFormat="false" ht="12.8" hidden="false" customHeight="false" outlineLevel="0" collapsed="false">
      <c r="A10207" s="0" t="s">
        <v>12</v>
      </c>
      <c r="B10207" s="0" t="n">
        <v>2875011</v>
      </c>
      <c r="C10207" s="0" t="n">
        <v>2875031</v>
      </c>
      <c r="D10207" s="0" t="s">
        <v>34065</v>
      </c>
      <c r="E10207" s="0" t="s">
        <v>34066</v>
      </c>
      <c r="F10207" s="0" t="s">
        <v>90</v>
      </c>
      <c r="G10207" s="0" t="s">
        <v>26</v>
      </c>
      <c r="H10207" s="0" t="n">
        <v>53</v>
      </c>
      <c r="I10207" s="0" t="s">
        <v>34073</v>
      </c>
      <c r="J10207" s="0" t="s">
        <v>34074</v>
      </c>
      <c r="K10207" s="0" t="s">
        <v>34075</v>
      </c>
      <c r="L10207" s="0" t="str">
        <f aca="false">HYPERLINK("https://www.ncbi.nlm.nih.gov/nuccore/CP000304.1?report=graph&amp;tracks=[key:gene_model_track,Options:GeneOnly]&amp;mk=2875065:2875084|offset_0|444444,2875045:2875064|offset_20|444444,2875012:2875031|offset_53|00cc00,2874940:2874959|offset_125|444444&amp;v=2874864:2875159&amp;c=444444", "offset 53")</f>
        <v>offset 53</v>
      </c>
    </row>
    <row r="10208" customFormat="false" ht="12.8" hidden="false" customHeight="false" outlineLevel="0" collapsed="false">
      <c r="A10208" s="0" t="s">
        <v>12</v>
      </c>
      <c r="B10208" s="0" t="n">
        <v>2874939</v>
      </c>
      <c r="C10208" s="0" t="n">
        <v>2874959</v>
      </c>
      <c r="D10208" s="0" t="s">
        <v>34065</v>
      </c>
      <c r="E10208" s="0" t="s">
        <v>34066</v>
      </c>
      <c r="F10208" s="0" t="s">
        <v>90</v>
      </c>
      <c r="G10208" s="0" t="s">
        <v>16</v>
      </c>
      <c r="H10208" s="0" t="n">
        <v>125</v>
      </c>
      <c r="I10208" s="0" t="s">
        <v>34076</v>
      </c>
      <c r="J10208" s="0" t="s">
        <v>34077</v>
      </c>
      <c r="K10208" s="0" t="s">
        <v>34078</v>
      </c>
      <c r="L10208" s="0" t="str">
        <f aca="false">HYPERLINK("https://www.ncbi.nlm.nih.gov/nuccore/CP000304.1?report=graph&amp;tracks=[key:gene_model_track,Options:GeneOnly]&amp;mk=2875065:2875084|offset_0|444444,2875045:2875064|offset_20|444444,2875012:2875031|offset_53|444444,2874940:2874959|offset_125|00cc00&amp;v=2874864:2875159&amp;c=444444", "offset 125")</f>
        <v>offset 125</v>
      </c>
    </row>
    <row r="10209" customFormat="false" ht="12.8" hidden="false" customHeight="false" outlineLevel="0" collapsed="false">
      <c r="A10209" s="0" t="s">
        <v>12</v>
      </c>
      <c r="B10209" s="0" t="n">
        <v>2875250</v>
      </c>
      <c r="C10209" s="0" t="n">
        <v>2875270</v>
      </c>
      <c r="D10209" s="0" t="s">
        <v>34079</v>
      </c>
      <c r="E10209" s="0" t="s">
        <v>34080</v>
      </c>
      <c r="F10209" s="0" t="s">
        <v>15</v>
      </c>
      <c r="G10209" s="0" t="s">
        <v>16</v>
      </c>
      <c r="H10209" s="0" t="n">
        <v>7</v>
      </c>
      <c r="I10209" s="0" t="s">
        <v>34081</v>
      </c>
      <c r="J10209" s="0" t="s">
        <v>34082</v>
      </c>
      <c r="K10209" s="0" t="s">
        <v>34083</v>
      </c>
      <c r="L10209" s="0" t="str">
        <f aca="false">HYPERLINK("https://www.ncbi.nlm.nih.gov/nuccore/CP000304.1?report=graph&amp;tracks=[key:gene_model_track,Options:GeneOnly]&amp;mk=2875251:2875270|offset_7|00cc00,2875274:2875293|offset_30|444444,2875310:2875329|offset_66|444444,2875338:2875357|offset_94|444444&amp;v=2875050:2875557&amp;c=444444", "offset 7")</f>
        <v>offset 7</v>
      </c>
    </row>
    <row r="10210" customFormat="false" ht="12.8" hidden="false" customHeight="false" outlineLevel="0" collapsed="false">
      <c r="A10210" s="0" t="s">
        <v>12</v>
      </c>
      <c r="B10210" s="0" t="n">
        <v>2875273</v>
      </c>
      <c r="C10210" s="0" t="n">
        <v>2875293</v>
      </c>
      <c r="D10210" s="0" t="s">
        <v>34079</v>
      </c>
      <c r="E10210" s="0" t="s">
        <v>34080</v>
      </c>
      <c r="F10210" s="0" t="s">
        <v>15</v>
      </c>
      <c r="G10210" s="0" t="s">
        <v>26</v>
      </c>
      <c r="H10210" s="0" t="n">
        <v>30</v>
      </c>
      <c r="I10210" s="0" t="s">
        <v>34084</v>
      </c>
      <c r="J10210" s="0" t="s">
        <v>34085</v>
      </c>
      <c r="K10210" s="0" t="s">
        <v>34086</v>
      </c>
      <c r="L10210" s="0" t="str">
        <f aca="false">HYPERLINK("https://www.ncbi.nlm.nih.gov/nuccore/CP000304.1?report=graph&amp;tracks=[key:gene_model_track,Options:GeneOnly]&amp;mk=2875251:2875270|offset_7|444444,2875274:2875293|offset_30|00cc00,2875310:2875329|offset_66|444444,2875338:2875357|offset_94|444444&amp;v=2875050:2875557&amp;c=444444", "offset 30")</f>
        <v>offset 30</v>
      </c>
    </row>
    <row r="10211" customFormat="false" ht="12.8" hidden="false" customHeight="false" outlineLevel="0" collapsed="false">
      <c r="A10211" s="0" t="s">
        <v>12</v>
      </c>
      <c r="B10211" s="0" t="n">
        <v>2875309</v>
      </c>
      <c r="C10211" s="0" t="n">
        <v>2875329</v>
      </c>
      <c r="D10211" s="0" t="s">
        <v>34079</v>
      </c>
      <c r="E10211" s="0" t="s">
        <v>34080</v>
      </c>
      <c r="F10211" s="0" t="s">
        <v>15</v>
      </c>
      <c r="G10211" s="0" t="s">
        <v>32</v>
      </c>
      <c r="H10211" s="0" t="n">
        <v>66</v>
      </c>
      <c r="I10211" s="0" t="s">
        <v>34087</v>
      </c>
      <c r="J10211" s="0" t="s">
        <v>34088</v>
      </c>
      <c r="K10211" s="0" t="s">
        <v>34089</v>
      </c>
      <c r="L10211" s="0" t="str">
        <f aca="false">HYPERLINK("https://www.ncbi.nlm.nih.gov/nuccore/CP000304.1?report=graph&amp;tracks=[key:gene_model_track,Options:GeneOnly]&amp;mk=2875251:2875270|offset_7|444444,2875274:2875293|offset_30|444444,2875310:2875329|offset_66|00cc00,2875338:2875357|offset_94|444444&amp;v=2875050:2875557&amp;c=444444", "offset 66")</f>
        <v>offset 66</v>
      </c>
    </row>
    <row r="10212" customFormat="false" ht="12.8" hidden="false" customHeight="false" outlineLevel="0" collapsed="false">
      <c r="A10212" s="0" t="s">
        <v>12</v>
      </c>
      <c r="B10212" s="0" t="n">
        <v>2875337</v>
      </c>
      <c r="C10212" s="0" t="n">
        <v>2875357</v>
      </c>
      <c r="D10212" s="0" t="s">
        <v>34079</v>
      </c>
      <c r="E10212" s="0" t="s">
        <v>34080</v>
      </c>
      <c r="F10212" s="0" t="s">
        <v>15</v>
      </c>
      <c r="G10212" s="0" t="s">
        <v>16</v>
      </c>
      <c r="H10212" s="0" t="n">
        <v>94</v>
      </c>
      <c r="I10212" s="0" t="s">
        <v>34090</v>
      </c>
      <c r="J10212" s="0" t="s">
        <v>34091</v>
      </c>
      <c r="K10212" s="0" t="s">
        <v>34092</v>
      </c>
      <c r="L10212" s="0" t="str">
        <f aca="false">HYPERLINK("https://www.ncbi.nlm.nih.gov/nuccore/CP000304.1?report=graph&amp;tracks=[key:gene_model_track,Options:GeneOnly]&amp;mk=2875251:2875270|offset_7|444444,2875274:2875293|offset_30|444444,2875310:2875329|offset_66|444444,2875338:2875357|offset_94|00cc00&amp;v=2875050:2875557&amp;c=444444", "offset 94")</f>
        <v>offset 94</v>
      </c>
    </row>
    <row r="10213" customFormat="false" ht="12.8" hidden="false" customHeight="false" outlineLevel="0" collapsed="false">
      <c r="A10213" s="0" t="s">
        <v>12</v>
      </c>
      <c r="B10213" s="0" t="n">
        <v>2878696</v>
      </c>
      <c r="C10213" s="0" t="n">
        <v>2878716</v>
      </c>
      <c r="D10213" s="0" t="s">
        <v>34093</v>
      </c>
      <c r="E10213" s="0" t="s">
        <v>89</v>
      </c>
      <c r="F10213" s="0" t="s">
        <v>15</v>
      </c>
      <c r="G10213" s="0" t="s">
        <v>16</v>
      </c>
      <c r="H10213" s="0" t="n">
        <v>6</v>
      </c>
      <c r="I10213" s="0" t="s">
        <v>34094</v>
      </c>
      <c r="J10213" s="0" t="s">
        <v>34095</v>
      </c>
      <c r="K10213" s="0" t="s">
        <v>34096</v>
      </c>
      <c r="L10213" s="0" t="str">
        <f aca="false">HYPERLINK("https://www.ncbi.nlm.nih.gov/nuccore/CP000304.1?report=graph&amp;tracks=[key:gene_model_track,Options:GeneOnly]&amp;mk=2878697:2878716|offset_6|00cc00,2878736:2878755|offset_45|444444,2878777:2878796|offset_86|444444,2878806:2878825|offset_115|444444&amp;v=2878496:2879025&amp;c=444444", "offset 6")</f>
        <v>offset 6</v>
      </c>
    </row>
    <row r="10214" customFormat="false" ht="12.8" hidden="false" customHeight="false" outlineLevel="0" collapsed="false">
      <c r="A10214" s="0" t="s">
        <v>12</v>
      </c>
      <c r="B10214" s="0" t="n">
        <v>2878735</v>
      </c>
      <c r="C10214" s="0" t="n">
        <v>2878755</v>
      </c>
      <c r="D10214" s="0" t="s">
        <v>34093</v>
      </c>
      <c r="E10214" s="0" t="s">
        <v>89</v>
      </c>
      <c r="F10214" s="0" t="s">
        <v>15</v>
      </c>
      <c r="G10214" s="0" t="s">
        <v>16</v>
      </c>
      <c r="H10214" s="0" t="n">
        <v>45</v>
      </c>
      <c r="I10214" s="0" t="s">
        <v>34097</v>
      </c>
      <c r="J10214" s="0" t="s">
        <v>34098</v>
      </c>
      <c r="K10214" s="0" t="s">
        <v>34099</v>
      </c>
      <c r="L10214" s="0" t="str">
        <f aca="false">HYPERLINK("https://www.ncbi.nlm.nih.gov/nuccore/CP000304.1?report=graph&amp;tracks=[key:gene_model_track,Options:GeneOnly]&amp;mk=2878697:2878716|offset_6|444444,2878736:2878755|offset_45|00cc00,2878777:2878796|offset_86|444444,2878806:2878825|offset_115|444444&amp;v=2878496:2879025&amp;c=444444", "offset 45")</f>
        <v>offset 45</v>
      </c>
    </row>
    <row r="10215" customFormat="false" ht="12.8" hidden="false" customHeight="false" outlineLevel="0" collapsed="false">
      <c r="A10215" s="0" t="s">
        <v>12</v>
      </c>
      <c r="B10215" s="0" t="n">
        <v>2878776</v>
      </c>
      <c r="C10215" s="0" t="n">
        <v>2878796</v>
      </c>
      <c r="D10215" s="0" t="s">
        <v>34093</v>
      </c>
      <c r="E10215" s="0" t="s">
        <v>89</v>
      </c>
      <c r="F10215" s="0" t="s">
        <v>15</v>
      </c>
      <c r="G10215" s="0" t="s">
        <v>26</v>
      </c>
      <c r="H10215" s="0" t="n">
        <v>86</v>
      </c>
      <c r="I10215" s="0" t="s">
        <v>34100</v>
      </c>
      <c r="J10215" s="0" t="s">
        <v>34101</v>
      </c>
      <c r="K10215" s="0" t="s">
        <v>34102</v>
      </c>
      <c r="L10215" s="0" t="str">
        <f aca="false">HYPERLINK("https://www.ncbi.nlm.nih.gov/nuccore/CP000304.1?report=graph&amp;tracks=[key:gene_model_track,Options:GeneOnly]&amp;mk=2878697:2878716|offset_6|444444,2878736:2878755|offset_45|444444,2878777:2878796|offset_86|00cc00,2878806:2878825|offset_115|444444&amp;v=2878496:2879025&amp;c=444444", "offset 86")</f>
        <v>offset 86</v>
      </c>
    </row>
    <row r="10216" customFormat="false" ht="12.8" hidden="false" customHeight="false" outlineLevel="0" collapsed="false">
      <c r="A10216" s="0" t="s">
        <v>12</v>
      </c>
      <c r="B10216" s="0" t="n">
        <v>2878805</v>
      </c>
      <c r="C10216" s="0" t="n">
        <v>2878825</v>
      </c>
      <c r="D10216" s="0" t="s">
        <v>34093</v>
      </c>
      <c r="E10216" s="0" t="s">
        <v>89</v>
      </c>
      <c r="F10216" s="0" t="s">
        <v>15</v>
      </c>
      <c r="G10216" s="0" t="s">
        <v>32</v>
      </c>
      <c r="H10216" s="0" t="n">
        <v>115</v>
      </c>
      <c r="I10216" s="0" t="s">
        <v>34103</v>
      </c>
      <c r="J10216" s="0" t="s">
        <v>34104</v>
      </c>
      <c r="K10216" s="0" t="s">
        <v>34105</v>
      </c>
      <c r="L10216" s="0" t="str">
        <f aca="false">HYPERLINK("https://www.ncbi.nlm.nih.gov/nuccore/CP000304.1?report=graph&amp;tracks=[key:gene_model_track,Options:GeneOnly]&amp;mk=2878697:2878716|offset_6|444444,2878736:2878755|offset_45|444444,2878777:2878796|offset_86|444444,2878806:2878825|offset_115|00cc00&amp;v=2878496:2879025&amp;c=444444", "offset 115")</f>
        <v>offset 115</v>
      </c>
    </row>
    <row r="10217" customFormat="false" ht="12.8" hidden="false" customHeight="false" outlineLevel="0" collapsed="false">
      <c r="A10217" s="0" t="s">
        <v>12</v>
      </c>
      <c r="B10217" s="0" t="n">
        <v>2879269</v>
      </c>
      <c r="C10217" s="0" t="n">
        <v>2879289</v>
      </c>
      <c r="D10217" s="0" t="s">
        <v>34106</v>
      </c>
      <c r="E10217" s="0" t="s">
        <v>89</v>
      </c>
      <c r="F10217" s="0" t="s">
        <v>15</v>
      </c>
      <c r="G10217" s="0" t="s">
        <v>16</v>
      </c>
      <c r="H10217" s="0" t="n">
        <v>1</v>
      </c>
      <c r="I10217" s="0" t="s">
        <v>34107</v>
      </c>
      <c r="J10217" s="0" t="s">
        <v>34108</v>
      </c>
      <c r="K10217" s="0" t="s">
        <v>34109</v>
      </c>
      <c r="L10217" s="0" t="str">
        <f aca="false">HYPERLINK("https://www.ncbi.nlm.nih.gov/nuccore/CP000304.1?report=graph&amp;tracks=[key:gene_model_track,Options:GeneOnly]&amp;mk=2879270:2879289|offset_1|00cc00,2879295:2879314|offset_26|444444,2879323:2879342|offset_54|444444,2879349:2879368|offset_80|444444&amp;v=2879069:2879568&amp;c=444444", "offset 1")</f>
        <v>offset 1</v>
      </c>
    </row>
    <row r="10218" customFormat="false" ht="12.8" hidden="false" customHeight="false" outlineLevel="0" collapsed="false">
      <c r="A10218" s="0" t="s">
        <v>12</v>
      </c>
      <c r="B10218" s="0" t="n">
        <v>2879294</v>
      </c>
      <c r="C10218" s="0" t="n">
        <v>2879314</v>
      </c>
      <c r="D10218" s="0" t="s">
        <v>34106</v>
      </c>
      <c r="E10218" s="0" t="s">
        <v>89</v>
      </c>
      <c r="F10218" s="0" t="s">
        <v>15</v>
      </c>
      <c r="G10218" s="0" t="s">
        <v>36</v>
      </c>
      <c r="H10218" s="0" t="n">
        <v>26</v>
      </c>
      <c r="I10218" s="0" t="s">
        <v>34110</v>
      </c>
      <c r="J10218" s="0" t="s">
        <v>34111</v>
      </c>
      <c r="K10218" s="0" t="s">
        <v>34112</v>
      </c>
      <c r="L10218" s="0" t="str">
        <f aca="false">HYPERLINK("https://www.ncbi.nlm.nih.gov/nuccore/CP000304.1?report=graph&amp;tracks=[key:gene_model_track,Options:GeneOnly]&amp;mk=2879270:2879289|offset_1|444444,2879295:2879314|offset_26|00cc00,2879323:2879342|offset_54|444444,2879349:2879368|offset_80|444444&amp;v=2879069:2879568&amp;c=444444", "offset 26")</f>
        <v>offset 26</v>
      </c>
    </row>
    <row r="10219" customFormat="false" ht="12.8" hidden="false" customHeight="false" outlineLevel="0" collapsed="false">
      <c r="A10219" s="0" t="s">
        <v>12</v>
      </c>
      <c r="B10219" s="0" t="n">
        <v>2879322</v>
      </c>
      <c r="C10219" s="0" t="n">
        <v>2879342</v>
      </c>
      <c r="D10219" s="0" t="s">
        <v>34106</v>
      </c>
      <c r="E10219" s="0" t="s">
        <v>89</v>
      </c>
      <c r="F10219" s="0" t="s">
        <v>15</v>
      </c>
      <c r="G10219" s="0" t="s">
        <v>16</v>
      </c>
      <c r="H10219" s="0" t="n">
        <v>54</v>
      </c>
      <c r="I10219" s="0" t="s">
        <v>34113</v>
      </c>
      <c r="J10219" s="0" t="s">
        <v>34114</v>
      </c>
      <c r="K10219" s="0" t="s">
        <v>34115</v>
      </c>
      <c r="L10219" s="0" t="str">
        <f aca="false">HYPERLINK("https://www.ncbi.nlm.nih.gov/nuccore/CP000304.1?report=graph&amp;tracks=[key:gene_model_track,Options:GeneOnly]&amp;mk=2879270:2879289|offset_1|444444,2879295:2879314|offset_26|444444,2879323:2879342|offset_54|00cc00,2879349:2879368|offset_80|444444&amp;v=2879069:2879568&amp;c=444444", "offset 54")</f>
        <v>offset 54</v>
      </c>
    </row>
    <row r="10220" customFormat="false" ht="12.8" hidden="false" customHeight="false" outlineLevel="0" collapsed="false">
      <c r="A10220" s="0" t="s">
        <v>12</v>
      </c>
      <c r="B10220" s="0" t="n">
        <v>2879348</v>
      </c>
      <c r="C10220" s="0" t="n">
        <v>2879368</v>
      </c>
      <c r="D10220" s="0" t="s">
        <v>34106</v>
      </c>
      <c r="E10220" s="0" t="s">
        <v>89</v>
      </c>
      <c r="F10220" s="0" t="s">
        <v>15</v>
      </c>
      <c r="G10220" s="0" t="s">
        <v>32</v>
      </c>
      <c r="H10220" s="0" t="n">
        <v>80</v>
      </c>
      <c r="I10220" s="0" t="s">
        <v>34116</v>
      </c>
      <c r="J10220" s="0" t="s">
        <v>34117</v>
      </c>
      <c r="K10220" s="0" t="s">
        <v>34118</v>
      </c>
      <c r="L10220" s="0" t="str">
        <f aca="false">HYPERLINK("https://www.ncbi.nlm.nih.gov/nuccore/CP000304.1?report=graph&amp;tracks=[key:gene_model_track,Options:GeneOnly]&amp;mk=2879270:2879289|offset_1|444444,2879295:2879314|offset_26|444444,2879323:2879342|offset_54|444444,2879349:2879368|offset_80|00cc00&amp;v=2879069:2879568&amp;c=444444", "offset 80")</f>
        <v>offset 80</v>
      </c>
    </row>
    <row r="10221" customFormat="false" ht="12.8" hidden="false" customHeight="false" outlineLevel="0" collapsed="false">
      <c r="A10221" s="0" t="s">
        <v>12</v>
      </c>
      <c r="B10221" s="0" t="n">
        <v>2881723</v>
      </c>
      <c r="C10221" s="0" t="n">
        <v>2881743</v>
      </c>
      <c r="D10221" s="0" t="s">
        <v>34119</v>
      </c>
      <c r="E10221" s="0" t="s">
        <v>89</v>
      </c>
      <c r="F10221" s="0" t="s">
        <v>15</v>
      </c>
      <c r="G10221" s="0" t="s">
        <v>36</v>
      </c>
      <c r="H10221" s="0" t="n">
        <v>0</v>
      </c>
      <c r="I10221" s="0" t="s">
        <v>34120</v>
      </c>
      <c r="J10221" s="0" t="s">
        <v>34121</v>
      </c>
      <c r="K10221" s="0" t="s">
        <v>34122</v>
      </c>
      <c r="L10221" s="0" t="str">
        <f aca="false">HYPERLINK("https://www.ncbi.nlm.nih.gov/nuccore/CP000304.1?report=graph&amp;tracks=[key:gene_model_track,Options:GeneOnly]&amp;mk=2881724:2881743|offset_0|00cc00,2881746:2881765|offset_22|444444,2881766:2881785|offset_42|444444,2881794:2881813|offset_70|444444&amp;v=2881523:2882013&amp;c=444444", "offset 0")</f>
        <v>offset 0</v>
      </c>
    </row>
    <row r="10222" customFormat="false" ht="12.8" hidden="false" customHeight="false" outlineLevel="0" collapsed="false">
      <c r="A10222" s="0" t="s">
        <v>12</v>
      </c>
      <c r="B10222" s="0" t="n">
        <v>2881745</v>
      </c>
      <c r="C10222" s="0" t="n">
        <v>2881765</v>
      </c>
      <c r="D10222" s="0" t="s">
        <v>34119</v>
      </c>
      <c r="E10222" s="0" t="s">
        <v>89</v>
      </c>
      <c r="F10222" s="0" t="s">
        <v>15</v>
      </c>
      <c r="G10222" s="0" t="s">
        <v>26</v>
      </c>
      <c r="H10222" s="0" t="n">
        <v>22</v>
      </c>
      <c r="I10222" s="0" t="s">
        <v>34123</v>
      </c>
      <c r="J10222" s="0" t="s">
        <v>34124</v>
      </c>
      <c r="K10222" s="0" t="s">
        <v>34125</v>
      </c>
      <c r="L10222" s="0" t="str">
        <f aca="false">HYPERLINK("https://www.ncbi.nlm.nih.gov/nuccore/CP000304.1?report=graph&amp;tracks=[key:gene_model_track,Options:GeneOnly]&amp;mk=2881724:2881743|offset_0|444444,2881746:2881765|offset_22|00cc00,2881766:2881785|offset_42|444444,2881794:2881813|offset_70|444444&amp;v=2881523:2882013&amp;c=444444", "offset 22")</f>
        <v>offset 22</v>
      </c>
    </row>
    <row r="10223" customFormat="false" ht="12.8" hidden="false" customHeight="false" outlineLevel="0" collapsed="false">
      <c r="A10223" s="0" t="s">
        <v>12</v>
      </c>
      <c r="B10223" s="0" t="n">
        <v>2881765</v>
      </c>
      <c r="C10223" s="0" t="n">
        <v>2881785</v>
      </c>
      <c r="D10223" s="0" t="s">
        <v>34119</v>
      </c>
      <c r="E10223" s="0" t="s">
        <v>89</v>
      </c>
      <c r="F10223" s="0" t="s">
        <v>15</v>
      </c>
      <c r="G10223" s="0" t="s">
        <v>36</v>
      </c>
      <c r="H10223" s="0" t="n">
        <v>42</v>
      </c>
      <c r="I10223" s="0" t="s">
        <v>34126</v>
      </c>
      <c r="J10223" s="0" t="s">
        <v>34127</v>
      </c>
      <c r="K10223" s="0" t="s">
        <v>34128</v>
      </c>
      <c r="L10223" s="0" t="str">
        <f aca="false">HYPERLINK("https://www.ncbi.nlm.nih.gov/nuccore/CP000304.1?report=graph&amp;tracks=[key:gene_model_track,Options:GeneOnly]&amp;mk=2881724:2881743|offset_0|444444,2881746:2881765|offset_22|444444,2881766:2881785|offset_42|00cc00,2881794:2881813|offset_70|444444&amp;v=2881523:2882013&amp;c=444444", "offset 42")</f>
        <v>offset 42</v>
      </c>
    </row>
    <row r="10224" customFormat="false" ht="12.8" hidden="false" customHeight="false" outlineLevel="0" collapsed="false">
      <c r="A10224" s="0" t="s">
        <v>12</v>
      </c>
      <c r="B10224" s="0" t="n">
        <v>2881793</v>
      </c>
      <c r="C10224" s="0" t="n">
        <v>2881813</v>
      </c>
      <c r="D10224" s="0" t="s">
        <v>34119</v>
      </c>
      <c r="E10224" s="0" t="s">
        <v>89</v>
      </c>
      <c r="F10224" s="0" t="s">
        <v>15</v>
      </c>
      <c r="G10224" s="0" t="s">
        <v>32</v>
      </c>
      <c r="H10224" s="0" t="n">
        <v>70</v>
      </c>
      <c r="I10224" s="0" t="s">
        <v>34129</v>
      </c>
      <c r="J10224" s="0" t="s">
        <v>34130</v>
      </c>
      <c r="K10224" s="0" t="s">
        <v>34131</v>
      </c>
      <c r="L10224" s="0" t="str">
        <f aca="false">HYPERLINK("https://www.ncbi.nlm.nih.gov/nuccore/CP000304.1?report=graph&amp;tracks=[key:gene_model_track,Options:GeneOnly]&amp;mk=2881724:2881743|offset_0|444444,2881746:2881765|offset_22|444444,2881766:2881785|offset_42|444444,2881794:2881813|offset_70|00cc00&amp;v=2881523:2882013&amp;c=444444", "offset 70")</f>
        <v>offset 70</v>
      </c>
    </row>
    <row r="10225" customFormat="false" ht="12.8" hidden="false" customHeight="false" outlineLevel="0" collapsed="false">
      <c r="A10225" s="0" t="s">
        <v>12</v>
      </c>
      <c r="B10225" s="0" t="n">
        <v>2882453</v>
      </c>
      <c r="C10225" s="0" t="n">
        <v>2882473</v>
      </c>
      <c r="D10225" s="0" t="s">
        <v>34132</v>
      </c>
      <c r="E10225" s="0" t="s">
        <v>89</v>
      </c>
      <c r="F10225" s="0" t="s">
        <v>15</v>
      </c>
      <c r="G10225" s="0" t="s">
        <v>36</v>
      </c>
      <c r="H10225" s="0" t="n">
        <v>19</v>
      </c>
      <c r="I10225" s="0" t="s">
        <v>34133</v>
      </c>
      <c r="J10225" s="0" t="s">
        <v>34134</v>
      </c>
      <c r="K10225" s="0" t="s">
        <v>34135</v>
      </c>
      <c r="L10225" s="0" t="str">
        <f aca="false">HYPERLINK("https://www.ncbi.nlm.nih.gov/nuccore/CP000304.1?report=graph&amp;tracks=[key:gene_model_track,Options:GeneOnly]&amp;mk=2882454:2882473|offset_19|00cc00,2882476:2882495|offset_41|444444,2882500:2882519|offset_65|444444,2882523:2882542|offset_88|444444&amp;v=2882253:2882742&amp;c=444444", "offset 19")</f>
        <v>offset 19</v>
      </c>
    </row>
    <row r="10226" customFormat="false" ht="12.8" hidden="false" customHeight="false" outlineLevel="0" collapsed="false">
      <c r="A10226" s="0" t="s">
        <v>12</v>
      </c>
      <c r="B10226" s="0" t="n">
        <v>2882475</v>
      </c>
      <c r="C10226" s="0" t="n">
        <v>2882495</v>
      </c>
      <c r="D10226" s="0" t="s">
        <v>34132</v>
      </c>
      <c r="E10226" s="0" t="s">
        <v>89</v>
      </c>
      <c r="F10226" s="0" t="s">
        <v>15</v>
      </c>
      <c r="G10226" s="0" t="s">
        <v>36</v>
      </c>
      <c r="H10226" s="0" t="n">
        <v>41</v>
      </c>
      <c r="I10226" s="0" t="s">
        <v>34136</v>
      </c>
      <c r="J10226" s="0" t="s">
        <v>34137</v>
      </c>
      <c r="K10226" s="0" t="s">
        <v>34138</v>
      </c>
      <c r="L10226" s="0" t="str">
        <f aca="false">HYPERLINK("https://www.ncbi.nlm.nih.gov/nuccore/CP000304.1?report=graph&amp;tracks=[key:gene_model_track,Options:GeneOnly]&amp;mk=2882454:2882473|offset_19|444444,2882476:2882495|offset_41|00cc00,2882500:2882519|offset_65|444444,2882523:2882542|offset_88|444444&amp;v=2882253:2882742&amp;c=444444", "offset 41")</f>
        <v>offset 41</v>
      </c>
    </row>
    <row r="10227" customFormat="false" ht="12.8" hidden="false" customHeight="false" outlineLevel="0" collapsed="false">
      <c r="A10227" s="0" t="s">
        <v>12</v>
      </c>
      <c r="B10227" s="0" t="n">
        <v>2882499</v>
      </c>
      <c r="C10227" s="0" t="n">
        <v>2882519</v>
      </c>
      <c r="D10227" s="0" t="s">
        <v>34132</v>
      </c>
      <c r="E10227" s="0" t="s">
        <v>89</v>
      </c>
      <c r="F10227" s="0" t="s">
        <v>15</v>
      </c>
      <c r="G10227" s="0" t="s">
        <v>36</v>
      </c>
      <c r="H10227" s="0" t="n">
        <v>65</v>
      </c>
      <c r="I10227" s="0" t="s">
        <v>34139</v>
      </c>
      <c r="J10227" s="0" t="s">
        <v>34140</v>
      </c>
      <c r="K10227" s="0" t="s">
        <v>34141</v>
      </c>
      <c r="L10227" s="0" t="str">
        <f aca="false">HYPERLINK("https://www.ncbi.nlm.nih.gov/nuccore/CP000304.1?report=graph&amp;tracks=[key:gene_model_track,Options:GeneOnly]&amp;mk=2882454:2882473|offset_19|444444,2882476:2882495|offset_41|444444,2882500:2882519|offset_65|00cc00,2882523:2882542|offset_88|444444&amp;v=2882253:2882742&amp;c=444444", "offset 65")</f>
        <v>offset 65</v>
      </c>
    </row>
    <row r="10228" customFormat="false" ht="12.8" hidden="false" customHeight="false" outlineLevel="0" collapsed="false">
      <c r="A10228" s="0" t="s">
        <v>12</v>
      </c>
      <c r="B10228" s="0" t="n">
        <v>2882522</v>
      </c>
      <c r="C10228" s="0" t="n">
        <v>2882542</v>
      </c>
      <c r="D10228" s="0" t="s">
        <v>34132</v>
      </c>
      <c r="E10228" s="0" t="s">
        <v>89</v>
      </c>
      <c r="F10228" s="0" t="s">
        <v>15</v>
      </c>
      <c r="G10228" s="0" t="s">
        <v>16</v>
      </c>
      <c r="H10228" s="0" t="n">
        <v>88</v>
      </c>
      <c r="I10228" s="0" t="s">
        <v>34142</v>
      </c>
      <c r="J10228" s="0" t="s">
        <v>34143</v>
      </c>
      <c r="K10228" s="0" t="s">
        <v>34144</v>
      </c>
      <c r="L10228" s="0" t="str">
        <f aca="false">HYPERLINK("https://www.ncbi.nlm.nih.gov/nuccore/CP000304.1?report=graph&amp;tracks=[key:gene_model_track,Options:GeneOnly]&amp;mk=2882454:2882473|offset_19|444444,2882476:2882495|offset_41|444444,2882500:2882519|offset_65|444444,2882523:2882542|offset_88|00cc00&amp;v=2882253:2882742&amp;c=444444", "offset 88")</f>
        <v>offset 88</v>
      </c>
    </row>
    <row r="10229" customFormat="false" ht="12.8" hidden="false" customHeight="false" outlineLevel="0" collapsed="false">
      <c r="A10229" s="0" t="s">
        <v>12</v>
      </c>
      <c r="B10229" s="0" t="n">
        <v>2883516</v>
      </c>
      <c r="C10229" s="0" t="n">
        <v>2883536</v>
      </c>
      <c r="D10229" s="0" t="s">
        <v>34145</v>
      </c>
      <c r="E10229" s="0" t="s">
        <v>89</v>
      </c>
      <c r="F10229" s="0" t="s">
        <v>15</v>
      </c>
      <c r="G10229" s="0" t="s">
        <v>26</v>
      </c>
      <c r="H10229" s="0" t="n">
        <v>10</v>
      </c>
      <c r="I10229" s="0" t="s">
        <v>34146</v>
      </c>
      <c r="J10229" s="0" t="s">
        <v>34147</v>
      </c>
      <c r="K10229" s="0" t="s">
        <v>34148</v>
      </c>
      <c r="L10229" s="0" t="str">
        <f aca="false">HYPERLINK("https://www.ncbi.nlm.nih.gov/nuccore/CP000304.1?report=graph&amp;tracks=[key:gene_model_track,Options:GeneOnly]&amp;mk=2883517:2883536|offset_10|00cc00,2883539:2883558|offset_32|444444,2883565:2883584|offset_58|444444,2883601:2883620|offset_94|444444&amp;v=2883316:2883820&amp;c=444444", "offset 10")</f>
        <v>offset 10</v>
      </c>
    </row>
    <row r="10230" customFormat="false" ht="12.8" hidden="false" customHeight="false" outlineLevel="0" collapsed="false">
      <c r="A10230" s="0" t="s">
        <v>12</v>
      </c>
      <c r="B10230" s="0" t="n">
        <v>2883538</v>
      </c>
      <c r="C10230" s="0" t="n">
        <v>2883558</v>
      </c>
      <c r="D10230" s="0" t="s">
        <v>34145</v>
      </c>
      <c r="E10230" s="0" t="s">
        <v>89</v>
      </c>
      <c r="F10230" s="0" t="s">
        <v>15</v>
      </c>
      <c r="G10230" s="0" t="s">
        <v>26</v>
      </c>
      <c r="H10230" s="0" t="n">
        <v>32</v>
      </c>
      <c r="I10230" s="0" t="s">
        <v>34149</v>
      </c>
      <c r="J10230" s="0" t="s">
        <v>34150</v>
      </c>
      <c r="K10230" s="0" t="s">
        <v>34151</v>
      </c>
      <c r="L10230" s="0" t="str">
        <f aca="false">HYPERLINK("https://www.ncbi.nlm.nih.gov/nuccore/CP000304.1?report=graph&amp;tracks=[key:gene_model_track,Options:GeneOnly]&amp;mk=2883517:2883536|offset_10|444444,2883539:2883558|offset_32|00cc00,2883565:2883584|offset_58|444444,2883601:2883620|offset_94|444444&amp;v=2883316:2883820&amp;c=444444", "offset 32")</f>
        <v>offset 32</v>
      </c>
    </row>
    <row r="10231" customFormat="false" ht="12.8" hidden="false" customHeight="false" outlineLevel="0" collapsed="false">
      <c r="A10231" s="0" t="s">
        <v>12</v>
      </c>
      <c r="B10231" s="0" t="n">
        <v>2883564</v>
      </c>
      <c r="C10231" s="0" t="n">
        <v>2883584</v>
      </c>
      <c r="D10231" s="0" t="s">
        <v>34145</v>
      </c>
      <c r="E10231" s="0" t="s">
        <v>89</v>
      </c>
      <c r="F10231" s="0" t="s">
        <v>15</v>
      </c>
      <c r="G10231" s="0" t="s">
        <v>32</v>
      </c>
      <c r="H10231" s="0" t="n">
        <v>58</v>
      </c>
      <c r="I10231" s="0" t="s">
        <v>34152</v>
      </c>
      <c r="J10231" s="0" t="s">
        <v>34153</v>
      </c>
      <c r="K10231" s="0" t="s">
        <v>34154</v>
      </c>
      <c r="L10231" s="0" t="str">
        <f aca="false">HYPERLINK("https://www.ncbi.nlm.nih.gov/nuccore/CP000304.1?report=graph&amp;tracks=[key:gene_model_track,Options:GeneOnly]&amp;mk=2883517:2883536|offset_10|444444,2883539:2883558|offset_32|444444,2883565:2883584|offset_58|00cc00,2883601:2883620|offset_94|444444&amp;v=2883316:2883820&amp;c=444444", "offset 58")</f>
        <v>offset 58</v>
      </c>
    </row>
    <row r="10232" customFormat="false" ht="12.8" hidden="false" customHeight="false" outlineLevel="0" collapsed="false">
      <c r="A10232" s="0" t="s">
        <v>12</v>
      </c>
      <c r="B10232" s="0" t="n">
        <v>2883600</v>
      </c>
      <c r="C10232" s="0" t="n">
        <v>2883620</v>
      </c>
      <c r="D10232" s="0" t="s">
        <v>34145</v>
      </c>
      <c r="E10232" s="0" t="s">
        <v>89</v>
      </c>
      <c r="F10232" s="0" t="s">
        <v>15</v>
      </c>
      <c r="G10232" s="0" t="s">
        <v>16</v>
      </c>
      <c r="H10232" s="0" t="n">
        <v>94</v>
      </c>
      <c r="I10232" s="0" t="s">
        <v>34155</v>
      </c>
      <c r="J10232" s="0" t="s">
        <v>34156</v>
      </c>
      <c r="K10232" s="0" t="s">
        <v>34157</v>
      </c>
      <c r="L10232" s="0" t="str">
        <f aca="false">HYPERLINK("https://www.ncbi.nlm.nih.gov/nuccore/CP000304.1?report=graph&amp;tracks=[key:gene_model_track,Options:GeneOnly]&amp;mk=2883517:2883536|offset_10|444444,2883539:2883558|offset_32|444444,2883565:2883584|offset_58|444444,2883601:2883620|offset_94|00cc00&amp;v=2883316:2883820&amp;c=444444", "offset 94")</f>
        <v>offset 94</v>
      </c>
    </row>
    <row r="10233" customFormat="false" ht="12.8" hidden="false" customHeight="false" outlineLevel="0" collapsed="false">
      <c r="A10233" s="0" t="s">
        <v>12</v>
      </c>
      <c r="B10233" s="0" t="n">
        <v>2885218</v>
      </c>
      <c r="C10233" s="0" t="n">
        <v>2885238</v>
      </c>
      <c r="D10233" s="0" t="s">
        <v>34158</v>
      </c>
      <c r="E10233" s="0" t="s">
        <v>89</v>
      </c>
      <c r="F10233" s="0" t="s">
        <v>15</v>
      </c>
      <c r="G10233" s="0" t="s">
        <v>32</v>
      </c>
      <c r="H10233" s="0" t="n">
        <v>9</v>
      </c>
      <c r="I10233" s="0" t="s">
        <v>34159</v>
      </c>
      <c r="J10233" s="0" t="s">
        <v>34160</v>
      </c>
      <c r="K10233" s="0" t="s">
        <v>34161</v>
      </c>
      <c r="L10233" s="0" t="str">
        <f aca="false">HYPERLINK("https://www.ncbi.nlm.nih.gov/nuccore/CP000304.1?report=graph&amp;tracks=[key:gene_model_track,Options:GeneOnly]&amp;mk=2885219:2885238|offset_9|00cc00,2885255:2885274|offset_45|444444,2885282:2885301|offset_72|444444,2885302:2885321|offset_92|444444&amp;v=2885018:2885521&amp;c=444444", "offset 9")</f>
        <v>offset 9</v>
      </c>
    </row>
    <row r="10234" customFormat="false" ht="12.8" hidden="false" customHeight="false" outlineLevel="0" collapsed="false">
      <c r="A10234" s="0" t="s">
        <v>12</v>
      </c>
      <c r="B10234" s="0" t="n">
        <v>2885254</v>
      </c>
      <c r="C10234" s="0" t="n">
        <v>2885274</v>
      </c>
      <c r="D10234" s="0" t="s">
        <v>34158</v>
      </c>
      <c r="E10234" s="0" t="s">
        <v>89</v>
      </c>
      <c r="F10234" s="0" t="s">
        <v>15</v>
      </c>
      <c r="G10234" s="0" t="s">
        <v>36</v>
      </c>
      <c r="H10234" s="0" t="n">
        <v>45</v>
      </c>
      <c r="I10234" s="0" t="s">
        <v>34162</v>
      </c>
      <c r="J10234" s="0" t="s">
        <v>34163</v>
      </c>
      <c r="K10234" s="0" t="s">
        <v>34164</v>
      </c>
      <c r="L10234" s="0" t="str">
        <f aca="false">HYPERLINK("https://www.ncbi.nlm.nih.gov/nuccore/CP000304.1?report=graph&amp;tracks=[key:gene_model_track,Options:GeneOnly]&amp;mk=2885219:2885238|offset_9|444444,2885255:2885274|offset_45|00cc00,2885282:2885301|offset_72|444444,2885302:2885321|offset_92|444444&amp;v=2885018:2885521&amp;c=444444", "offset 45")</f>
        <v>offset 45</v>
      </c>
    </row>
    <row r="10235" customFormat="false" ht="12.8" hidden="false" customHeight="false" outlineLevel="0" collapsed="false">
      <c r="A10235" s="0" t="s">
        <v>12</v>
      </c>
      <c r="B10235" s="0" t="n">
        <v>2885281</v>
      </c>
      <c r="C10235" s="0" t="n">
        <v>2885301</v>
      </c>
      <c r="D10235" s="0" t="s">
        <v>34158</v>
      </c>
      <c r="E10235" s="0" t="s">
        <v>89</v>
      </c>
      <c r="F10235" s="0" t="s">
        <v>15</v>
      </c>
      <c r="G10235" s="0" t="s">
        <v>32</v>
      </c>
      <c r="H10235" s="0" t="n">
        <v>72</v>
      </c>
      <c r="I10235" s="0" t="s">
        <v>34165</v>
      </c>
      <c r="J10235" s="0" t="s">
        <v>34166</v>
      </c>
      <c r="K10235" s="0" t="s">
        <v>34167</v>
      </c>
      <c r="L10235" s="0" t="str">
        <f aca="false">HYPERLINK("https://www.ncbi.nlm.nih.gov/nuccore/CP000304.1?report=graph&amp;tracks=[key:gene_model_track,Options:GeneOnly]&amp;mk=2885219:2885238|offset_9|444444,2885255:2885274|offset_45|444444,2885282:2885301|offset_72|00cc00,2885302:2885321|offset_92|444444&amp;v=2885018:2885521&amp;c=444444", "offset 72")</f>
        <v>offset 72</v>
      </c>
    </row>
    <row r="10236" customFormat="false" ht="12.8" hidden="false" customHeight="false" outlineLevel="0" collapsed="false">
      <c r="A10236" s="0" t="s">
        <v>12</v>
      </c>
      <c r="B10236" s="0" t="n">
        <v>2885301</v>
      </c>
      <c r="C10236" s="0" t="n">
        <v>2885321</v>
      </c>
      <c r="D10236" s="0" t="s">
        <v>34158</v>
      </c>
      <c r="E10236" s="0" t="s">
        <v>89</v>
      </c>
      <c r="F10236" s="0" t="s">
        <v>15</v>
      </c>
      <c r="G10236" s="0" t="s">
        <v>36</v>
      </c>
      <c r="H10236" s="0" t="n">
        <v>92</v>
      </c>
      <c r="I10236" s="0" t="s">
        <v>34168</v>
      </c>
      <c r="J10236" s="0" t="s">
        <v>34169</v>
      </c>
      <c r="K10236" s="0" t="s">
        <v>34170</v>
      </c>
      <c r="L10236" s="0" t="str">
        <f aca="false">HYPERLINK("https://www.ncbi.nlm.nih.gov/nuccore/CP000304.1?report=graph&amp;tracks=[key:gene_model_track,Options:GeneOnly]&amp;mk=2885219:2885238|offset_9|444444,2885255:2885274|offset_45|444444,2885282:2885301|offset_72|444444,2885302:2885321|offset_92|00cc00&amp;v=2885018:2885521&amp;c=444444", "offset 92")</f>
        <v>offset 92</v>
      </c>
    </row>
    <row r="10237" customFormat="false" ht="12.8" hidden="false" customHeight="false" outlineLevel="0" collapsed="false">
      <c r="A10237" s="0" t="s">
        <v>12</v>
      </c>
      <c r="B10237" s="0" t="n">
        <v>2888037</v>
      </c>
      <c r="C10237" s="0" t="n">
        <v>2888057</v>
      </c>
      <c r="D10237" s="0" t="s">
        <v>34171</v>
      </c>
      <c r="E10237" s="0" t="s">
        <v>89</v>
      </c>
      <c r="F10237" s="0" t="s">
        <v>15</v>
      </c>
      <c r="G10237" s="0" t="s">
        <v>16</v>
      </c>
      <c r="H10237" s="0" t="n">
        <v>7</v>
      </c>
      <c r="I10237" s="0" t="s">
        <v>34172</v>
      </c>
      <c r="J10237" s="0" t="s">
        <v>34173</v>
      </c>
      <c r="K10237" s="0" t="s">
        <v>34174</v>
      </c>
      <c r="L10237" s="0" t="str">
        <f aca="false">HYPERLINK("https://www.ncbi.nlm.nih.gov/nuccore/CP000304.1?report=graph&amp;tracks=[key:gene_model_track,Options:GeneOnly]&amp;mk=2888038:2888057|offset_7|00cc00,2888059:2888078|offset_28|444444,2888081:2888100|offset_50|444444,2888101:2888120|offset_70|444444&amp;v=2887837:2888320&amp;c=444444", "offset 7")</f>
        <v>offset 7</v>
      </c>
    </row>
    <row r="10238" customFormat="false" ht="12.8" hidden="false" customHeight="false" outlineLevel="0" collapsed="false">
      <c r="A10238" s="0" t="s">
        <v>12</v>
      </c>
      <c r="B10238" s="0" t="n">
        <v>2888058</v>
      </c>
      <c r="C10238" s="0" t="n">
        <v>2888078</v>
      </c>
      <c r="D10238" s="0" t="s">
        <v>34171</v>
      </c>
      <c r="E10238" s="0" t="s">
        <v>89</v>
      </c>
      <c r="F10238" s="0" t="s">
        <v>15</v>
      </c>
      <c r="G10238" s="0" t="s">
        <v>16</v>
      </c>
      <c r="H10238" s="0" t="n">
        <v>28</v>
      </c>
      <c r="I10238" s="0" t="s">
        <v>34175</v>
      </c>
      <c r="J10238" s="0" t="s">
        <v>34176</v>
      </c>
      <c r="K10238" s="0" t="s">
        <v>34177</v>
      </c>
      <c r="L10238" s="0" t="str">
        <f aca="false">HYPERLINK("https://www.ncbi.nlm.nih.gov/nuccore/CP000304.1?report=graph&amp;tracks=[key:gene_model_track,Options:GeneOnly]&amp;mk=2888038:2888057|offset_7|444444,2888059:2888078|offset_28|00cc00,2888081:2888100|offset_50|444444,2888101:2888120|offset_70|444444&amp;v=2887837:2888320&amp;c=444444", "offset 28")</f>
        <v>offset 28</v>
      </c>
    </row>
    <row r="10239" customFormat="false" ht="12.8" hidden="false" customHeight="false" outlineLevel="0" collapsed="false">
      <c r="A10239" s="0" t="s">
        <v>12</v>
      </c>
      <c r="B10239" s="0" t="n">
        <v>2888080</v>
      </c>
      <c r="C10239" s="0" t="n">
        <v>2888100</v>
      </c>
      <c r="D10239" s="0" t="s">
        <v>34171</v>
      </c>
      <c r="E10239" s="0" t="s">
        <v>89</v>
      </c>
      <c r="F10239" s="0" t="s">
        <v>15</v>
      </c>
      <c r="G10239" s="0" t="s">
        <v>32</v>
      </c>
      <c r="H10239" s="0" t="n">
        <v>50</v>
      </c>
      <c r="I10239" s="0" t="s">
        <v>34178</v>
      </c>
      <c r="J10239" s="0" t="s">
        <v>34179</v>
      </c>
      <c r="K10239" s="0" t="s">
        <v>34180</v>
      </c>
      <c r="L10239" s="0" t="str">
        <f aca="false">HYPERLINK("https://www.ncbi.nlm.nih.gov/nuccore/CP000304.1?report=graph&amp;tracks=[key:gene_model_track,Options:GeneOnly]&amp;mk=2888038:2888057|offset_7|444444,2888059:2888078|offset_28|444444,2888081:2888100|offset_50|00cc00,2888101:2888120|offset_70|444444&amp;v=2887837:2888320&amp;c=444444", "offset 50")</f>
        <v>offset 50</v>
      </c>
    </row>
    <row r="10240" customFormat="false" ht="12.8" hidden="false" customHeight="false" outlineLevel="0" collapsed="false">
      <c r="A10240" s="0" t="s">
        <v>12</v>
      </c>
      <c r="B10240" s="0" t="n">
        <v>2888100</v>
      </c>
      <c r="C10240" s="0" t="n">
        <v>2888120</v>
      </c>
      <c r="D10240" s="0" t="s">
        <v>34171</v>
      </c>
      <c r="E10240" s="0" t="s">
        <v>89</v>
      </c>
      <c r="F10240" s="0" t="s">
        <v>15</v>
      </c>
      <c r="G10240" s="0" t="s">
        <v>32</v>
      </c>
      <c r="H10240" s="0" t="n">
        <v>70</v>
      </c>
      <c r="I10240" s="0" t="s">
        <v>34181</v>
      </c>
      <c r="J10240" s="0" t="s">
        <v>34182</v>
      </c>
      <c r="K10240" s="0" t="s">
        <v>34183</v>
      </c>
      <c r="L10240" s="0" t="str">
        <f aca="false">HYPERLINK("https://www.ncbi.nlm.nih.gov/nuccore/CP000304.1?report=graph&amp;tracks=[key:gene_model_track,Options:GeneOnly]&amp;mk=2888038:2888057|offset_7|444444,2888059:2888078|offset_28|444444,2888081:2888100|offset_50|444444,2888101:2888120|offset_70|00cc00&amp;v=2887837:2888320&amp;c=444444", "offset 70")</f>
        <v>offset 70</v>
      </c>
    </row>
    <row r="10241" customFormat="false" ht="12.8" hidden="false" customHeight="false" outlineLevel="0" collapsed="false">
      <c r="A10241" s="0" t="s">
        <v>12</v>
      </c>
      <c r="B10241" s="0" t="n">
        <v>2888817</v>
      </c>
      <c r="C10241" s="0" t="n">
        <v>2888837</v>
      </c>
      <c r="D10241" s="0" t="s">
        <v>34184</v>
      </c>
      <c r="E10241" s="0" t="s">
        <v>89</v>
      </c>
      <c r="F10241" s="0" t="s">
        <v>90</v>
      </c>
      <c r="G10241" s="0" t="s">
        <v>32</v>
      </c>
      <c r="H10241" s="0" t="n">
        <v>1</v>
      </c>
      <c r="I10241" s="0" t="s">
        <v>34185</v>
      </c>
      <c r="J10241" s="0" t="s">
        <v>34186</v>
      </c>
      <c r="K10241" s="0" t="s">
        <v>34187</v>
      </c>
      <c r="L10241" s="0" t="str">
        <f aca="false">HYPERLINK("https://www.ncbi.nlm.nih.gov/nuccore/CP000304.1?report=graph&amp;tracks=[key:gene_model_track,Options:GeneOnly]&amp;mk=2888818:2888837|offset_1|00cc00,2888748:2888767|offset_71|444444,2888690:2888709|offset_129|444444,2888661:2888680|offset_158|444444&amp;v=2888617:2888880&amp;c=444444", "offset 1")</f>
        <v>offset 1</v>
      </c>
    </row>
    <row r="10242" customFormat="false" ht="12.8" hidden="false" customHeight="false" outlineLevel="0" collapsed="false">
      <c r="A10242" s="0" t="s">
        <v>12</v>
      </c>
      <c r="B10242" s="0" t="n">
        <v>2888747</v>
      </c>
      <c r="C10242" s="0" t="n">
        <v>2888767</v>
      </c>
      <c r="D10242" s="0" t="s">
        <v>34184</v>
      </c>
      <c r="E10242" s="0" t="s">
        <v>89</v>
      </c>
      <c r="F10242" s="0" t="s">
        <v>90</v>
      </c>
      <c r="G10242" s="0" t="s">
        <v>32</v>
      </c>
      <c r="H10242" s="0" t="n">
        <v>71</v>
      </c>
      <c r="I10242" s="0" t="s">
        <v>34188</v>
      </c>
      <c r="J10242" s="0" t="s">
        <v>34189</v>
      </c>
      <c r="K10242" s="0" t="s">
        <v>34190</v>
      </c>
      <c r="L10242" s="0" t="str">
        <f aca="false">HYPERLINK("https://www.ncbi.nlm.nih.gov/nuccore/CP000304.1?report=graph&amp;tracks=[key:gene_model_track,Options:GeneOnly]&amp;mk=2888818:2888837|offset_1|444444,2888748:2888767|offset_71|00cc00,2888690:2888709|offset_129|444444,2888661:2888680|offset_158|444444&amp;v=2888617:2888880&amp;c=444444", "offset 71")</f>
        <v>offset 71</v>
      </c>
    </row>
    <row r="10243" customFormat="false" ht="12.8" hidden="false" customHeight="false" outlineLevel="0" collapsed="false">
      <c r="A10243" s="0" t="s">
        <v>12</v>
      </c>
      <c r="B10243" s="0" t="n">
        <v>2888689</v>
      </c>
      <c r="C10243" s="0" t="n">
        <v>2888709</v>
      </c>
      <c r="D10243" s="0" t="s">
        <v>34184</v>
      </c>
      <c r="E10243" s="0" t="s">
        <v>89</v>
      </c>
      <c r="F10243" s="0" t="s">
        <v>90</v>
      </c>
      <c r="G10243" s="0" t="s">
        <v>16</v>
      </c>
      <c r="H10243" s="0" t="n">
        <v>129</v>
      </c>
      <c r="I10243" s="0" t="s">
        <v>34191</v>
      </c>
      <c r="J10243" s="0" t="s">
        <v>34192</v>
      </c>
      <c r="K10243" s="0" t="s">
        <v>34193</v>
      </c>
      <c r="L10243" s="0" t="str">
        <f aca="false">HYPERLINK("https://www.ncbi.nlm.nih.gov/nuccore/CP000304.1?report=graph&amp;tracks=[key:gene_model_track,Options:GeneOnly]&amp;mk=2888818:2888837|offset_1|444444,2888748:2888767|offset_71|444444,2888690:2888709|offset_129|00cc00,2888661:2888680|offset_158|444444&amp;v=2888617:2888880&amp;c=444444", "offset 129")</f>
        <v>offset 129</v>
      </c>
    </row>
    <row r="10244" customFormat="false" ht="12.8" hidden="false" customHeight="false" outlineLevel="0" collapsed="false">
      <c r="A10244" s="0" t="s">
        <v>12</v>
      </c>
      <c r="B10244" s="0" t="n">
        <v>2888660</v>
      </c>
      <c r="C10244" s="0" t="n">
        <v>2888680</v>
      </c>
      <c r="D10244" s="0" t="s">
        <v>34184</v>
      </c>
      <c r="E10244" s="0" t="s">
        <v>89</v>
      </c>
      <c r="F10244" s="0" t="s">
        <v>90</v>
      </c>
      <c r="G10244" s="0" t="s">
        <v>36</v>
      </c>
      <c r="H10244" s="0" t="n">
        <v>158</v>
      </c>
      <c r="I10244" s="0" t="s">
        <v>34194</v>
      </c>
      <c r="J10244" s="0" t="s">
        <v>34195</v>
      </c>
      <c r="K10244" s="0" t="s">
        <v>34196</v>
      </c>
      <c r="L10244" s="0" t="str">
        <f aca="false">HYPERLINK("https://www.ncbi.nlm.nih.gov/nuccore/CP000304.1?report=graph&amp;tracks=[key:gene_model_track,Options:GeneOnly]&amp;mk=2888818:2888837|offset_1|444444,2888748:2888767|offset_71|444444,2888690:2888709|offset_129|444444,2888661:2888680|offset_158|00cc00&amp;v=2888617:2888880&amp;c=444444", "offset 158")</f>
        <v>offset 158</v>
      </c>
    </row>
    <row r="10245" customFormat="false" ht="12.8" hidden="false" customHeight="false" outlineLevel="0" collapsed="false">
      <c r="A10245" s="0" t="s">
        <v>12</v>
      </c>
      <c r="B10245" s="0" t="n">
        <v>2889039</v>
      </c>
      <c r="C10245" s="0" t="n">
        <v>2889059</v>
      </c>
      <c r="D10245" s="0" t="s">
        <v>34197</v>
      </c>
      <c r="E10245" s="0" t="s">
        <v>89</v>
      </c>
      <c r="F10245" s="0" t="s">
        <v>15</v>
      </c>
      <c r="G10245" s="0" t="s">
        <v>36</v>
      </c>
      <c r="H10245" s="0" t="n">
        <v>0</v>
      </c>
      <c r="I10245" s="0" t="s">
        <v>34198</v>
      </c>
      <c r="J10245" s="0" t="s">
        <v>34199</v>
      </c>
      <c r="K10245" s="0" t="s">
        <v>34200</v>
      </c>
      <c r="L10245" s="0" t="str">
        <f aca="false">HYPERLINK("https://www.ncbi.nlm.nih.gov/nuccore/CP000304.1?report=graph&amp;tracks=[key:gene_model_track,Options:GeneOnly]&amp;mk=2889040:2889059|offset_0|00cc00,2889068:2889087|offset_28|444444,2889113:2889132|offset_73|444444,2889139:2889158|offset_99|444444&amp;v=2888839:2889358&amp;c=444444", "offset 0")</f>
        <v>offset 0</v>
      </c>
    </row>
    <row r="10246" customFormat="false" ht="12.8" hidden="false" customHeight="false" outlineLevel="0" collapsed="false">
      <c r="A10246" s="0" t="s">
        <v>12</v>
      </c>
      <c r="B10246" s="0" t="n">
        <v>2889067</v>
      </c>
      <c r="C10246" s="0" t="n">
        <v>2889087</v>
      </c>
      <c r="D10246" s="0" t="s">
        <v>34197</v>
      </c>
      <c r="E10246" s="0" t="s">
        <v>89</v>
      </c>
      <c r="F10246" s="0" t="s">
        <v>15</v>
      </c>
      <c r="G10246" s="0" t="s">
        <v>16</v>
      </c>
      <c r="H10246" s="0" t="n">
        <v>28</v>
      </c>
      <c r="I10246" s="0" t="s">
        <v>34201</v>
      </c>
      <c r="J10246" s="0" t="s">
        <v>34202</v>
      </c>
      <c r="K10246" s="0" t="s">
        <v>34203</v>
      </c>
      <c r="L10246" s="0" t="str">
        <f aca="false">HYPERLINK("https://www.ncbi.nlm.nih.gov/nuccore/CP000304.1?report=graph&amp;tracks=[key:gene_model_track,Options:GeneOnly]&amp;mk=2889040:2889059|offset_0|444444,2889068:2889087|offset_28|00cc00,2889113:2889132|offset_73|444444,2889139:2889158|offset_99|444444&amp;v=2888839:2889358&amp;c=444444", "offset 28")</f>
        <v>offset 28</v>
      </c>
    </row>
    <row r="10247" customFormat="false" ht="12.8" hidden="false" customHeight="false" outlineLevel="0" collapsed="false">
      <c r="A10247" s="0" t="s">
        <v>12</v>
      </c>
      <c r="B10247" s="0" t="n">
        <v>2889112</v>
      </c>
      <c r="C10247" s="0" t="n">
        <v>2889132</v>
      </c>
      <c r="D10247" s="0" t="s">
        <v>34197</v>
      </c>
      <c r="E10247" s="0" t="s">
        <v>89</v>
      </c>
      <c r="F10247" s="0" t="s">
        <v>15</v>
      </c>
      <c r="G10247" s="0" t="s">
        <v>16</v>
      </c>
      <c r="H10247" s="0" t="n">
        <v>73</v>
      </c>
      <c r="I10247" s="0" t="s">
        <v>34204</v>
      </c>
      <c r="J10247" s="0" t="s">
        <v>34205</v>
      </c>
      <c r="K10247" s="0" t="s">
        <v>34206</v>
      </c>
      <c r="L10247" s="0" t="str">
        <f aca="false">HYPERLINK("https://www.ncbi.nlm.nih.gov/nuccore/CP000304.1?report=graph&amp;tracks=[key:gene_model_track,Options:GeneOnly]&amp;mk=2889040:2889059|offset_0|444444,2889068:2889087|offset_28|444444,2889113:2889132|offset_73|00cc00,2889139:2889158|offset_99|444444&amp;v=2888839:2889358&amp;c=444444", "offset 73")</f>
        <v>offset 73</v>
      </c>
    </row>
    <row r="10248" customFormat="false" ht="12.8" hidden="false" customHeight="false" outlineLevel="0" collapsed="false">
      <c r="A10248" s="0" t="s">
        <v>12</v>
      </c>
      <c r="B10248" s="0" t="n">
        <v>2889138</v>
      </c>
      <c r="C10248" s="0" t="n">
        <v>2889158</v>
      </c>
      <c r="D10248" s="0" t="s">
        <v>34197</v>
      </c>
      <c r="E10248" s="0" t="s">
        <v>89</v>
      </c>
      <c r="F10248" s="0" t="s">
        <v>15</v>
      </c>
      <c r="G10248" s="0" t="s">
        <v>16</v>
      </c>
      <c r="H10248" s="0" t="n">
        <v>99</v>
      </c>
      <c r="I10248" s="0" t="s">
        <v>34207</v>
      </c>
      <c r="J10248" s="0" t="s">
        <v>34208</v>
      </c>
      <c r="K10248" s="0" t="s">
        <v>34209</v>
      </c>
      <c r="L10248" s="0" t="str">
        <f aca="false">HYPERLINK("https://www.ncbi.nlm.nih.gov/nuccore/CP000304.1?report=graph&amp;tracks=[key:gene_model_track,Options:GeneOnly]&amp;mk=2889040:2889059|offset_0|444444,2889068:2889087|offset_28|444444,2889113:2889132|offset_73|444444,2889139:2889158|offset_99|00cc00&amp;v=2888839:2889358&amp;c=444444", "offset 99")</f>
        <v>offset 99</v>
      </c>
    </row>
    <row r="10249" customFormat="false" ht="12.8" hidden="false" customHeight="false" outlineLevel="0" collapsed="false">
      <c r="A10249" s="0" t="s">
        <v>12</v>
      </c>
      <c r="B10249" s="0" t="n">
        <v>2891212</v>
      </c>
      <c r="C10249" s="0" t="n">
        <v>2891232</v>
      </c>
      <c r="D10249" s="0" t="s">
        <v>34210</v>
      </c>
      <c r="E10249" s="0" t="s">
        <v>89</v>
      </c>
      <c r="F10249" s="0" t="s">
        <v>90</v>
      </c>
      <c r="G10249" s="0" t="s">
        <v>36</v>
      </c>
      <c r="H10249" s="0" t="n">
        <v>13</v>
      </c>
      <c r="I10249" s="0" t="s">
        <v>34211</v>
      </c>
      <c r="J10249" s="0" t="s">
        <v>34212</v>
      </c>
      <c r="K10249" s="0" t="s">
        <v>34213</v>
      </c>
      <c r="L10249" s="0" t="str">
        <f aca="false">HYPERLINK("https://www.ncbi.nlm.nih.gov/nuccore/CP000304.1?report=graph&amp;tracks=[key:gene_model_track,Options:GeneOnly]&amp;mk=2891213:2891232|offset_13|00cc00,2891189:2891208|offset_37|444444,2891156:2891175|offset_70|444444,2891128:2891147|offset_98|444444&amp;v=2891012:2891347&amp;c=444444", "offset 13")</f>
        <v>offset 13</v>
      </c>
    </row>
    <row r="10250" customFormat="false" ht="12.8" hidden="false" customHeight="false" outlineLevel="0" collapsed="false">
      <c r="A10250" s="0" t="s">
        <v>12</v>
      </c>
      <c r="B10250" s="0" t="n">
        <v>2891188</v>
      </c>
      <c r="C10250" s="0" t="n">
        <v>2891208</v>
      </c>
      <c r="D10250" s="0" t="s">
        <v>34210</v>
      </c>
      <c r="E10250" s="0" t="s">
        <v>89</v>
      </c>
      <c r="F10250" s="0" t="s">
        <v>90</v>
      </c>
      <c r="G10250" s="0" t="s">
        <v>16</v>
      </c>
      <c r="H10250" s="0" t="n">
        <v>37</v>
      </c>
      <c r="I10250" s="0" t="s">
        <v>34214</v>
      </c>
      <c r="J10250" s="0" t="s">
        <v>34215</v>
      </c>
      <c r="K10250" s="0" t="s">
        <v>34216</v>
      </c>
      <c r="L10250" s="0" t="str">
        <f aca="false">HYPERLINK("https://www.ncbi.nlm.nih.gov/nuccore/CP000304.1?report=graph&amp;tracks=[key:gene_model_track,Options:GeneOnly]&amp;mk=2891213:2891232|offset_13|444444,2891189:2891208|offset_37|00cc00,2891156:2891175|offset_70|444444,2891128:2891147|offset_98|444444&amp;v=2891012:2891347&amp;c=444444", "offset 37")</f>
        <v>offset 37</v>
      </c>
    </row>
    <row r="10251" customFormat="false" ht="12.8" hidden="false" customHeight="false" outlineLevel="0" collapsed="false">
      <c r="A10251" s="0" t="s">
        <v>12</v>
      </c>
      <c r="B10251" s="0" t="n">
        <v>2891155</v>
      </c>
      <c r="C10251" s="0" t="n">
        <v>2891175</v>
      </c>
      <c r="D10251" s="0" t="s">
        <v>34210</v>
      </c>
      <c r="E10251" s="0" t="s">
        <v>89</v>
      </c>
      <c r="F10251" s="0" t="s">
        <v>90</v>
      </c>
      <c r="G10251" s="0" t="s">
        <v>16</v>
      </c>
      <c r="H10251" s="0" t="n">
        <v>70</v>
      </c>
      <c r="I10251" s="0" t="s">
        <v>34217</v>
      </c>
      <c r="J10251" s="0" t="s">
        <v>34218</v>
      </c>
      <c r="K10251" s="0" t="s">
        <v>34219</v>
      </c>
      <c r="L10251" s="0" t="str">
        <f aca="false">HYPERLINK("https://www.ncbi.nlm.nih.gov/nuccore/CP000304.1?report=graph&amp;tracks=[key:gene_model_track,Options:GeneOnly]&amp;mk=2891213:2891232|offset_13|444444,2891189:2891208|offset_37|444444,2891156:2891175|offset_70|00cc00,2891128:2891147|offset_98|444444&amp;v=2891012:2891347&amp;c=444444", "offset 70")</f>
        <v>offset 70</v>
      </c>
    </row>
    <row r="10252" customFormat="false" ht="12.8" hidden="false" customHeight="false" outlineLevel="0" collapsed="false">
      <c r="A10252" s="0" t="s">
        <v>12</v>
      </c>
      <c r="B10252" s="0" t="n">
        <v>2891127</v>
      </c>
      <c r="C10252" s="0" t="n">
        <v>2891147</v>
      </c>
      <c r="D10252" s="0" t="s">
        <v>34210</v>
      </c>
      <c r="E10252" s="0" t="s">
        <v>89</v>
      </c>
      <c r="F10252" s="0" t="s">
        <v>90</v>
      </c>
      <c r="G10252" s="0" t="s">
        <v>26</v>
      </c>
      <c r="H10252" s="0" t="n">
        <v>98</v>
      </c>
      <c r="I10252" s="0" t="s">
        <v>34220</v>
      </c>
      <c r="J10252" s="0" t="s">
        <v>34221</v>
      </c>
      <c r="K10252" s="0" t="s">
        <v>34222</v>
      </c>
      <c r="L10252" s="0" t="str">
        <f aca="false">HYPERLINK("https://www.ncbi.nlm.nih.gov/nuccore/CP000304.1?report=graph&amp;tracks=[key:gene_model_track,Options:GeneOnly]&amp;mk=2891213:2891232|offset_13|444444,2891189:2891208|offset_37|444444,2891156:2891175|offset_70|444444,2891128:2891147|offset_98|00cc00&amp;v=2891012:2891347&amp;c=444444", "offset 98")</f>
        <v>offset 98</v>
      </c>
    </row>
    <row r="10253" customFormat="false" ht="12.8" hidden="false" customHeight="false" outlineLevel="0" collapsed="false">
      <c r="A10253" s="0" t="s">
        <v>12</v>
      </c>
      <c r="B10253" s="0" t="n">
        <v>2892037</v>
      </c>
      <c r="C10253" s="0" t="n">
        <v>2892057</v>
      </c>
      <c r="D10253" s="0" t="s">
        <v>34223</v>
      </c>
      <c r="E10253" s="0" t="s">
        <v>89</v>
      </c>
      <c r="F10253" s="0" t="s">
        <v>90</v>
      </c>
      <c r="G10253" s="0" t="s">
        <v>16</v>
      </c>
      <c r="H10253" s="0" t="n">
        <v>7</v>
      </c>
      <c r="I10253" s="0" t="s">
        <v>34224</v>
      </c>
      <c r="J10253" s="0" t="s">
        <v>34225</v>
      </c>
      <c r="K10253" s="0" t="s">
        <v>34226</v>
      </c>
      <c r="L10253" s="0" t="str">
        <f aca="false">HYPERLINK("https://www.ncbi.nlm.nih.gov/nuccore/CP000304.1?report=graph&amp;tracks=[key:gene_model_track,Options:GeneOnly]&amp;mk=2892038:2892057|offset_7|00cc00,2892003:2892022|offset_42|444444,2891977:2891996|offset_68|444444,2891951:2891970|offset_94|444444&amp;v=2891837:2892170&amp;c=444444", "offset 7")</f>
        <v>offset 7</v>
      </c>
    </row>
    <row r="10254" customFormat="false" ht="12.8" hidden="false" customHeight="false" outlineLevel="0" collapsed="false">
      <c r="A10254" s="0" t="s">
        <v>12</v>
      </c>
      <c r="B10254" s="0" t="n">
        <v>2892002</v>
      </c>
      <c r="C10254" s="0" t="n">
        <v>2892022</v>
      </c>
      <c r="D10254" s="0" t="s">
        <v>34223</v>
      </c>
      <c r="E10254" s="0" t="s">
        <v>89</v>
      </c>
      <c r="F10254" s="0" t="s">
        <v>90</v>
      </c>
      <c r="G10254" s="0" t="s">
        <v>36</v>
      </c>
      <c r="H10254" s="0" t="n">
        <v>42</v>
      </c>
      <c r="I10254" s="0" t="s">
        <v>34227</v>
      </c>
      <c r="J10254" s="0" t="s">
        <v>34228</v>
      </c>
      <c r="K10254" s="0" t="s">
        <v>34229</v>
      </c>
      <c r="L10254" s="0" t="str">
        <f aca="false">HYPERLINK("https://www.ncbi.nlm.nih.gov/nuccore/CP000304.1?report=graph&amp;tracks=[key:gene_model_track,Options:GeneOnly]&amp;mk=2892038:2892057|offset_7|444444,2892003:2892022|offset_42|00cc00,2891977:2891996|offset_68|444444,2891951:2891970|offset_94|444444&amp;v=2891837:2892170&amp;c=444444", "offset 42")</f>
        <v>offset 42</v>
      </c>
    </row>
    <row r="10255" customFormat="false" ht="12.8" hidden="false" customHeight="false" outlineLevel="0" collapsed="false">
      <c r="A10255" s="0" t="s">
        <v>12</v>
      </c>
      <c r="B10255" s="0" t="n">
        <v>2891976</v>
      </c>
      <c r="C10255" s="0" t="n">
        <v>2891996</v>
      </c>
      <c r="D10255" s="0" t="s">
        <v>34223</v>
      </c>
      <c r="E10255" s="0" t="s">
        <v>89</v>
      </c>
      <c r="F10255" s="0" t="s">
        <v>90</v>
      </c>
      <c r="G10255" s="0" t="s">
        <v>32</v>
      </c>
      <c r="H10255" s="0" t="n">
        <v>68</v>
      </c>
      <c r="I10255" s="0" t="s">
        <v>34230</v>
      </c>
      <c r="J10255" s="0" t="s">
        <v>34231</v>
      </c>
      <c r="K10255" s="0" t="s">
        <v>34232</v>
      </c>
      <c r="L10255" s="0" t="str">
        <f aca="false">HYPERLINK("https://www.ncbi.nlm.nih.gov/nuccore/CP000304.1?report=graph&amp;tracks=[key:gene_model_track,Options:GeneOnly]&amp;mk=2892038:2892057|offset_7|444444,2892003:2892022|offset_42|444444,2891977:2891996|offset_68|00cc00,2891951:2891970|offset_94|444444&amp;v=2891837:2892170&amp;c=444444", "offset 68")</f>
        <v>offset 68</v>
      </c>
    </row>
    <row r="10256" customFormat="false" ht="12.8" hidden="false" customHeight="false" outlineLevel="0" collapsed="false">
      <c r="A10256" s="0" t="s">
        <v>12</v>
      </c>
      <c r="B10256" s="0" t="n">
        <v>2891950</v>
      </c>
      <c r="C10256" s="0" t="n">
        <v>2891970</v>
      </c>
      <c r="D10256" s="0" t="s">
        <v>34223</v>
      </c>
      <c r="E10256" s="0" t="s">
        <v>89</v>
      </c>
      <c r="F10256" s="0" t="s">
        <v>90</v>
      </c>
      <c r="G10256" s="0" t="s">
        <v>36</v>
      </c>
      <c r="H10256" s="0" t="n">
        <v>94</v>
      </c>
      <c r="I10256" s="0" t="s">
        <v>34233</v>
      </c>
      <c r="J10256" s="0" t="s">
        <v>34234</v>
      </c>
      <c r="K10256" s="0" t="s">
        <v>34235</v>
      </c>
      <c r="L10256" s="0" t="str">
        <f aca="false">HYPERLINK("https://www.ncbi.nlm.nih.gov/nuccore/CP000304.1?report=graph&amp;tracks=[key:gene_model_track,Options:GeneOnly]&amp;mk=2892038:2892057|offset_7|444444,2892003:2892022|offset_42|444444,2891977:2891996|offset_68|444444,2891951:2891970|offset_94|00cc00&amp;v=2891837:2892170&amp;c=444444", "offset 94")</f>
        <v>offset 94</v>
      </c>
    </row>
    <row r="10257" customFormat="false" ht="12.8" hidden="false" customHeight="false" outlineLevel="0" collapsed="false">
      <c r="A10257" s="0" t="s">
        <v>12</v>
      </c>
      <c r="B10257" s="0" t="n">
        <v>2894554</v>
      </c>
      <c r="C10257" s="0" t="n">
        <v>2894574</v>
      </c>
      <c r="D10257" s="0" t="s">
        <v>34236</v>
      </c>
      <c r="E10257" s="0" t="s">
        <v>34237</v>
      </c>
      <c r="F10257" s="0" t="s">
        <v>90</v>
      </c>
      <c r="G10257" s="0" t="s">
        <v>16</v>
      </c>
      <c r="H10257" s="0" t="n">
        <v>27</v>
      </c>
      <c r="I10257" s="0" t="s">
        <v>34238</v>
      </c>
      <c r="J10257" s="0" t="s">
        <v>34239</v>
      </c>
      <c r="K10257" s="0" t="s">
        <v>34240</v>
      </c>
      <c r="L10257" s="0" t="str">
        <f aca="false">HYPERLINK("https://www.ncbi.nlm.nih.gov/nuccore/CP000304.1?report=graph&amp;tracks=[key:gene_model_track,Options:GeneOnly]&amp;mk=2894555:2894574|offset_27|00cc00,2894529:2894548|offset_53|444444,2894493:2894512|offset_89|444444,2894461:2894480|offset_121|444444&amp;v=2894354:2894680&amp;c=444444", "offset 27")</f>
        <v>offset 27</v>
      </c>
    </row>
    <row r="10258" customFormat="false" ht="12.8" hidden="false" customHeight="false" outlineLevel="0" collapsed="false">
      <c r="A10258" s="0" t="s">
        <v>12</v>
      </c>
      <c r="B10258" s="0" t="n">
        <v>2894528</v>
      </c>
      <c r="C10258" s="0" t="n">
        <v>2894548</v>
      </c>
      <c r="D10258" s="0" t="s">
        <v>34236</v>
      </c>
      <c r="E10258" s="0" t="s">
        <v>34237</v>
      </c>
      <c r="F10258" s="0" t="s">
        <v>90</v>
      </c>
      <c r="G10258" s="0" t="s">
        <v>26</v>
      </c>
      <c r="H10258" s="0" t="n">
        <v>53</v>
      </c>
      <c r="I10258" s="0" t="s">
        <v>34241</v>
      </c>
      <c r="J10258" s="0" t="s">
        <v>34242</v>
      </c>
      <c r="K10258" s="0" t="s">
        <v>34243</v>
      </c>
      <c r="L10258" s="0" t="str">
        <f aca="false">HYPERLINK("https://www.ncbi.nlm.nih.gov/nuccore/CP000304.1?report=graph&amp;tracks=[key:gene_model_track,Options:GeneOnly]&amp;mk=2894555:2894574|offset_27|444444,2894529:2894548|offset_53|00cc00,2894493:2894512|offset_89|444444,2894461:2894480|offset_121|444444&amp;v=2894354:2894680&amp;c=444444", "offset 53")</f>
        <v>offset 53</v>
      </c>
    </row>
    <row r="10259" customFormat="false" ht="12.8" hidden="false" customHeight="false" outlineLevel="0" collapsed="false">
      <c r="A10259" s="0" t="s">
        <v>12</v>
      </c>
      <c r="B10259" s="0" t="n">
        <v>2894492</v>
      </c>
      <c r="C10259" s="0" t="n">
        <v>2894512</v>
      </c>
      <c r="D10259" s="0" t="s">
        <v>34236</v>
      </c>
      <c r="E10259" s="0" t="s">
        <v>34237</v>
      </c>
      <c r="F10259" s="0" t="s">
        <v>90</v>
      </c>
      <c r="G10259" s="0" t="s">
        <v>36</v>
      </c>
      <c r="H10259" s="0" t="n">
        <v>89</v>
      </c>
      <c r="I10259" s="0" t="s">
        <v>34244</v>
      </c>
      <c r="J10259" s="0" t="s">
        <v>34245</v>
      </c>
      <c r="K10259" s="0" t="s">
        <v>34246</v>
      </c>
      <c r="L10259" s="0" t="str">
        <f aca="false">HYPERLINK("https://www.ncbi.nlm.nih.gov/nuccore/CP000304.1?report=graph&amp;tracks=[key:gene_model_track,Options:GeneOnly]&amp;mk=2894555:2894574|offset_27|444444,2894529:2894548|offset_53|444444,2894493:2894512|offset_89|00cc00,2894461:2894480|offset_121|444444&amp;v=2894354:2894680&amp;c=444444", "offset 89")</f>
        <v>offset 89</v>
      </c>
    </row>
    <row r="10260" customFormat="false" ht="12.8" hidden="false" customHeight="false" outlineLevel="0" collapsed="false">
      <c r="A10260" s="0" t="s">
        <v>12</v>
      </c>
      <c r="B10260" s="0" t="n">
        <v>2894460</v>
      </c>
      <c r="C10260" s="0" t="n">
        <v>2894480</v>
      </c>
      <c r="D10260" s="0" t="s">
        <v>34236</v>
      </c>
      <c r="E10260" s="0" t="s">
        <v>34237</v>
      </c>
      <c r="F10260" s="0" t="s">
        <v>90</v>
      </c>
      <c r="G10260" s="0" t="s">
        <v>26</v>
      </c>
      <c r="H10260" s="0" t="n">
        <v>121</v>
      </c>
      <c r="I10260" s="0" t="s">
        <v>34247</v>
      </c>
      <c r="J10260" s="0" t="s">
        <v>34248</v>
      </c>
      <c r="K10260" s="0" t="s">
        <v>34249</v>
      </c>
      <c r="L10260" s="0" t="str">
        <f aca="false">HYPERLINK("https://www.ncbi.nlm.nih.gov/nuccore/CP000304.1?report=graph&amp;tracks=[key:gene_model_track,Options:GeneOnly]&amp;mk=2894555:2894574|offset_27|444444,2894529:2894548|offset_53|444444,2894493:2894512|offset_89|444444,2894461:2894480|offset_121|00cc00&amp;v=2894354:2894680&amp;c=444444", "offset 121")</f>
        <v>offset 121</v>
      </c>
    </row>
    <row r="10261" customFormat="false" ht="12.8" hidden="false" customHeight="false" outlineLevel="0" collapsed="false">
      <c r="A10261" s="0" t="s">
        <v>12</v>
      </c>
      <c r="B10261" s="0" t="n">
        <v>2896032</v>
      </c>
      <c r="C10261" s="0" t="n">
        <v>2896052</v>
      </c>
      <c r="D10261" s="0" t="s">
        <v>34250</v>
      </c>
      <c r="E10261" s="0" t="s">
        <v>34251</v>
      </c>
      <c r="F10261" s="0" t="s">
        <v>90</v>
      </c>
      <c r="G10261" s="0" t="s">
        <v>32</v>
      </c>
      <c r="H10261" s="0" t="n">
        <v>7</v>
      </c>
      <c r="I10261" s="0" t="s">
        <v>34252</v>
      </c>
      <c r="J10261" s="0" t="s">
        <v>34253</v>
      </c>
      <c r="K10261" s="0" t="s">
        <v>34254</v>
      </c>
      <c r="L10261" s="0" t="str">
        <f aca="false">HYPERLINK("https://www.ncbi.nlm.nih.gov/nuccore/CP000304.1?report=graph&amp;tracks=[key:gene_model_track,Options:GeneOnly]&amp;mk=2896033:2896052|offset_7|00cc00,2896004:2896023|offset_36|444444,2895983:2896002|offset_57|444444,2895934:2895953|offset_106|444444&amp;v=2895832:2896153&amp;c=444444", "offset 7")</f>
        <v>offset 7</v>
      </c>
    </row>
    <row r="10262" customFormat="false" ht="12.8" hidden="false" customHeight="false" outlineLevel="0" collapsed="false">
      <c r="A10262" s="0" t="s">
        <v>12</v>
      </c>
      <c r="B10262" s="0" t="n">
        <v>2896003</v>
      </c>
      <c r="C10262" s="0" t="n">
        <v>2896023</v>
      </c>
      <c r="D10262" s="0" t="s">
        <v>34250</v>
      </c>
      <c r="E10262" s="0" t="s">
        <v>34251</v>
      </c>
      <c r="F10262" s="0" t="s">
        <v>90</v>
      </c>
      <c r="G10262" s="0" t="s">
        <v>36</v>
      </c>
      <c r="H10262" s="0" t="n">
        <v>36</v>
      </c>
      <c r="I10262" s="0" t="s">
        <v>34255</v>
      </c>
      <c r="J10262" s="0" t="s">
        <v>34256</v>
      </c>
      <c r="K10262" s="0" t="s">
        <v>34257</v>
      </c>
      <c r="L10262" s="0" t="str">
        <f aca="false">HYPERLINK("https://www.ncbi.nlm.nih.gov/nuccore/CP000304.1?report=graph&amp;tracks=[key:gene_model_track,Options:GeneOnly]&amp;mk=2896033:2896052|offset_7|444444,2896004:2896023|offset_36|00cc00,2895983:2896002|offset_57|444444,2895934:2895953|offset_106|444444&amp;v=2895832:2896153&amp;c=444444", "offset 36")</f>
        <v>offset 36</v>
      </c>
    </row>
    <row r="10263" customFormat="false" ht="12.8" hidden="false" customHeight="false" outlineLevel="0" collapsed="false">
      <c r="A10263" s="0" t="s">
        <v>12</v>
      </c>
      <c r="B10263" s="0" t="n">
        <v>2895982</v>
      </c>
      <c r="C10263" s="0" t="n">
        <v>2896002</v>
      </c>
      <c r="D10263" s="0" t="s">
        <v>34250</v>
      </c>
      <c r="E10263" s="0" t="s">
        <v>34251</v>
      </c>
      <c r="F10263" s="0" t="s">
        <v>90</v>
      </c>
      <c r="G10263" s="0" t="s">
        <v>36</v>
      </c>
      <c r="H10263" s="0" t="n">
        <v>57</v>
      </c>
      <c r="I10263" s="0" t="s">
        <v>34258</v>
      </c>
      <c r="J10263" s="0" t="s">
        <v>34259</v>
      </c>
      <c r="K10263" s="0" t="s">
        <v>34260</v>
      </c>
      <c r="L10263" s="0" t="str">
        <f aca="false">HYPERLINK("https://www.ncbi.nlm.nih.gov/nuccore/CP000304.1?report=graph&amp;tracks=[key:gene_model_track,Options:GeneOnly]&amp;mk=2896033:2896052|offset_7|444444,2896004:2896023|offset_36|444444,2895983:2896002|offset_57|00cc00,2895934:2895953|offset_106|444444&amp;v=2895832:2896153&amp;c=444444", "offset 57")</f>
        <v>offset 57</v>
      </c>
    </row>
    <row r="10264" customFormat="false" ht="12.8" hidden="false" customHeight="false" outlineLevel="0" collapsed="false">
      <c r="A10264" s="0" t="s">
        <v>12</v>
      </c>
      <c r="B10264" s="0" t="n">
        <v>2895933</v>
      </c>
      <c r="C10264" s="0" t="n">
        <v>2895953</v>
      </c>
      <c r="D10264" s="0" t="s">
        <v>34250</v>
      </c>
      <c r="E10264" s="0" t="s">
        <v>34251</v>
      </c>
      <c r="F10264" s="0" t="s">
        <v>90</v>
      </c>
      <c r="G10264" s="0" t="s">
        <v>36</v>
      </c>
      <c r="H10264" s="0" t="n">
        <v>106</v>
      </c>
      <c r="I10264" s="0" t="s">
        <v>34261</v>
      </c>
      <c r="J10264" s="0" t="s">
        <v>34262</v>
      </c>
      <c r="K10264" s="0" t="s">
        <v>34263</v>
      </c>
      <c r="L10264" s="0" t="str">
        <f aca="false">HYPERLINK("https://www.ncbi.nlm.nih.gov/nuccore/CP000304.1?report=graph&amp;tracks=[key:gene_model_track,Options:GeneOnly]&amp;mk=2896033:2896052|offset_7|444444,2896004:2896023|offset_36|444444,2895983:2896002|offset_57|444444,2895934:2895953|offset_106|00cc00&amp;v=2895832:2896153&amp;c=444444", "offset 106")</f>
        <v>offset 106</v>
      </c>
    </row>
    <row r="10265" customFormat="false" ht="12.8" hidden="false" customHeight="false" outlineLevel="0" collapsed="false">
      <c r="A10265" s="0" t="s">
        <v>12</v>
      </c>
      <c r="B10265" s="0" t="n">
        <v>2897049</v>
      </c>
      <c r="C10265" s="0" t="n">
        <v>2897069</v>
      </c>
      <c r="D10265" s="0" t="s">
        <v>34264</v>
      </c>
      <c r="E10265" s="0" t="s">
        <v>34265</v>
      </c>
      <c r="F10265" s="0" t="s">
        <v>90</v>
      </c>
      <c r="G10265" s="0" t="s">
        <v>16</v>
      </c>
      <c r="H10265" s="0" t="n">
        <v>7</v>
      </c>
      <c r="I10265" s="0" t="s">
        <v>34266</v>
      </c>
      <c r="J10265" s="0" t="s">
        <v>34267</v>
      </c>
      <c r="K10265" s="0" t="s">
        <v>34268</v>
      </c>
      <c r="L10265" s="0" t="str">
        <f aca="false">HYPERLINK("https://www.ncbi.nlm.nih.gov/nuccore/CP000304.1?report=graph&amp;tracks=[key:gene_model_track,Options:GeneOnly]&amp;mk=2897050:2897069|offset_7|00cc00,2897021:2897040|offset_36|444444,2896994:2897013|offset_63|444444,2896967:2896986|offset_90|444444&amp;v=2896849:2897186&amp;c=444444", "offset 7")</f>
        <v>offset 7</v>
      </c>
    </row>
    <row r="10266" customFormat="false" ht="12.8" hidden="false" customHeight="false" outlineLevel="0" collapsed="false">
      <c r="A10266" s="0" t="s">
        <v>12</v>
      </c>
      <c r="B10266" s="0" t="n">
        <v>2897020</v>
      </c>
      <c r="C10266" s="0" t="n">
        <v>2897040</v>
      </c>
      <c r="D10266" s="0" t="s">
        <v>34264</v>
      </c>
      <c r="E10266" s="0" t="s">
        <v>34265</v>
      </c>
      <c r="F10266" s="0" t="s">
        <v>90</v>
      </c>
      <c r="G10266" s="0" t="s">
        <v>16</v>
      </c>
      <c r="H10266" s="0" t="n">
        <v>36</v>
      </c>
      <c r="I10266" s="0" t="s">
        <v>34269</v>
      </c>
      <c r="J10266" s="0" t="s">
        <v>34270</v>
      </c>
      <c r="K10266" s="0" t="s">
        <v>34271</v>
      </c>
      <c r="L10266" s="0" t="str">
        <f aca="false">HYPERLINK("https://www.ncbi.nlm.nih.gov/nuccore/CP000304.1?report=graph&amp;tracks=[key:gene_model_track,Options:GeneOnly]&amp;mk=2897050:2897069|offset_7|444444,2897021:2897040|offset_36|00cc00,2896994:2897013|offset_63|444444,2896967:2896986|offset_90|444444&amp;v=2896849:2897186&amp;c=444444", "offset 36")</f>
        <v>offset 36</v>
      </c>
    </row>
    <row r="10267" customFormat="false" ht="12.8" hidden="false" customHeight="false" outlineLevel="0" collapsed="false">
      <c r="A10267" s="0" t="s">
        <v>12</v>
      </c>
      <c r="B10267" s="0" t="n">
        <v>2896993</v>
      </c>
      <c r="C10267" s="0" t="n">
        <v>2897013</v>
      </c>
      <c r="D10267" s="0" t="s">
        <v>34264</v>
      </c>
      <c r="E10267" s="0" t="s">
        <v>34265</v>
      </c>
      <c r="F10267" s="0" t="s">
        <v>90</v>
      </c>
      <c r="G10267" s="0" t="s">
        <v>16</v>
      </c>
      <c r="H10267" s="0" t="n">
        <v>63</v>
      </c>
      <c r="I10267" s="0" t="s">
        <v>34272</v>
      </c>
      <c r="J10267" s="0" t="s">
        <v>34273</v>
      </c>
      <c r="K10267" s="0" t="s">
        <v>34274</v>
      </c>
      <c r="L10267" s="0" t="str">
        <f aca="false">HYPERLINK("https://www.ncbi.nlm.nih.gov/nuccore/CP000304.1?report=graph&amp;tracks=[key:gene_model_track,Options:GeneOnly]&amp;mk=2897050:2897069|offset_7|444444,2897021:2897040|offset_36|444444,2896994:2897013|offset_63|00cc00,2896967:2896986|offset_90|444444&amp;v=2896849:2897186&amp;c=444444", "offset 63")</f>
        <v>offset 63</v>
      </c>
    </row>
    <row r="10268" customFormat="false" ht="12.8" hidden="false" customHeight="false" outlineLevel="0" collapsed="false">
      <c r="A10268" s="0" t="s">
        <v>12</v>
      </c>
      <c r="B10268" s="0" t="n">
        <v>2896966</v>
      </c>
      <c r="C10268" s="0" t="n">
        <v>2896986</v>
      </c>
      <c r="D10268" s="0" t="s">
        <v>34264</v>
      </c>
      <c r="E10268" s="0" t="s">
        <v>34265</v>
      </c>
      <c r="F10268" s="0" t="s">
        <v>90</v>
      </c>
      <c r="G10268" s="0" t="s">
        <v>16</v>
      </c>
      <c r="H10268" s="0" t="n">
        <v>90</v>
      </c>
      <c r="I10268" s="0" t="s">
        <v>34275</v>
      </c>
      <c r="J10268" s="0" t="s">
        <v>34276</v>
      </c>
      <c r="K10268" s="0" t="s">
        <v>34277</v>
      </c>
      <c r="L10268" s="0" t="str">
        <f aca="false">HYPERLINK("https://www.ncbi.nlm.nih.gov/nuccore/CP000304.1?report=graph&amp;tracks=[key:gene_model_track,Options:GeneOnly]&amp;mk=2897050:2897069|offset_7|444444,2897021:2897040|offset_36|444444,2896994:2897013|offset_63|444444,2896967:2896986|offset_90|00cc00&amp;v=2896849:2897186&amp;c=444444", "offset 90")</f>
        <v>offset 90</v>
      </c>
    </row>
    <row r="10269" customFormat="false" ht="12.8" hidden="false" customHeight="false" outlineLevel="0" collapsed="false">
      <c r="A10269" s="0" t="s">
        <v>12</v>
      </c>
      <c r="B10269" s="0" t="n">
        <v>2897967</v>
      </c>
      <c r="C10269" s="0" t="n">
        <v>2897987</v>
      </c>
      <c r="D10269" s="0" t="s">
        <v>34278</v>
      </c>
      <c r="E10269" s="0" t="s">
        <v>89</v>
      </c>
      <c r="F10269" s="0" t="s">
        <v>90</v>
      </c>
      <c r="G10269" s="0" t="s">
        <v>36</v>
      </c>
      <c r="H10269" s="0" t="n">
        <v>14</v>
      </c>
      <c r="I10269" s="0" t="s">
        <v>34279</v>
      </c>
      <c r="J10269" s="0" t="s">
        <v>34280</v>
      </c>
      <c r="K10269" s="0" t="s">
        <v>34281</v>
      </c>
      <c r="L10269" s="0" t="str">
        <f aca="false">HYPERLINK("https://www.ncbi.nlm.nih.gov/nuccore/CP000304.1?report=graph&amp;tracks=[key:gene_model_track,Options:GeneOnly]&amp;mk=2897968:2897987|offset_14|00cc00,2897935:2897954|offset_47|444444,2897902:2897921|offset_80|444444,2897882:2897901|offset_100|444444&amp;v=2897767:2898101&amp;c=444444", "offset 14")</f>
        <v>offset 14</v>
      </c>
    </row>
    <row r="10270" customFormat="false" ht="12.8" hidden="false" customHeight="false" outlineLevel="0" collapsed="false">
      <c r="A10270" s="0" t="s">
        <v>12</v>
      </c>
      <c r="B10270" s="0" t="n">
        <v>2897934</v>
      </c>
      <c r="C10270" s="0" t="n">
        <v>2897954</v>
      </c>
      <c r="D10270" s="0" t="s">
        <v>34278</v>
      </c>
      <c r="E10270" s="0" t="s">
        <v>89</v>
      </c>
      <c r="F10270" s="0" t="s">
        <v>90</v>
      </c>
      <c r="G10270" s="0" t="s">
        <v>16</v>
      </c>
      <c r="H10270" s="0" t="n">
        <v>47</v>
      </c>
      <c r="I10270" s="0" t="s">
        <v>34282</v>
      </c>
      <c r="J10270" s="0" t="s">
        <v>34283</v>
      </c>
      <c r="K10270" s="0" t="s">
        <v>34284</v>
      </c>
      <c r="L10270" s="0" t="str">
        <f aca="false">HYPERLINK("https://www.ncbi.nlm.nih.gov/nuccore/CP000304.1?report=graph&amp;tracks=[key:gene_model_track,Options:GeneOnly]&amp;mk=2897968:2897987|offset_14|444444,2897935:2897954|offset_47|00cc00,2897902:2897921|offset_80|444444,2897882:2897901|offset_100|444444&amp;v=2897767:2898101&amp;c=444444", "offset 47")</f>
        <v>offset 47</v>
      </c>
    </row>
    <row r="10271" customFormat="false" ht="12.8" hidden="false" customHeight="false" outlineLevel="0" collapsed="false">
      <c r="A10271" s="0" t="s">
        <v>12</v>
      </c>
      <c r="B10271" s="0" t="n">
        <v>2897901</v>
      </c>
      <c r="C10271" s="0" t="n">
        <v>2897921</v>
      </c>
      <c r="D10271" s="0" t="s">
        <v>34278</v>
      </c>
      <c r="E10271" s="0" t="s">
        <v>89</v>
      </c>
      <c r="F10271" s="0" t="s">
        <v>90</v>
      </c>
      <c r="G10271" s="0" t="s">
        <v>26</v>
      </c>
      <c r="H10271" s="0" t="n">
        <v>80</v>
      </c>
      <c r="I10271" s="0" t="s">
        <v>34285</v>
      </c>
      <c r="J10271" s="0" t="s">
        <v>34286</v>
      </c>
      <c r="K10271" s="0" t="s">
        <v>34287</v>
      </c>
      <c r="L10271" s="0" t="str">
        <f aca="false">HYPERLINK("https://www.ncbi.nlm.nih.gov/nuccore/CP000304.1?report=graph&amp;tracks=[key:gene_model_track,Options:GeneOnly]&amp;mk=2897968:2897987|offset_14|444444,2897935:2897954|offset_47|444444,2897902:2897921|offset_80|00cc00,2897882:2897901|offset_100|444444&amp;v=2897767:2898101&amp;c=444444", "offset 80")</f>
        <v>offset 80</v>
      </c>
    </row>
    <row r="10272" customFormat="false" ht="12.8" hidden="false" customHeight="false" outlineLevel="0" collapsed="false">
      <c r="A10272" s="0" t="s">
        <v>12</v>
      </c>
      <c r="B10272" s="0" t="n">
        <v>2897881</v>
      </c>
      <c r="C10272" s="0" t="n">
        <v>2897901</v>
      </c>
      <c r="D10272" s="0" t="s">
        <v>34278</v>
      </c>
      <c r="E10272" s="0" t="s">
        <v>89</v>
      </c>
      <c r="F10272" s="0" t="s">
        <v>90</v>
      </c>
      <c r="G10272" s="0" t="s">
        <v>32</v>
      </c>
      <c r="H10272" s="0" t="n">
        <v>100</v>
      </c>
      <c r="I10272" s="0" t="s">
        <v>34288</v>
      </c>
      <c r="J10272" s="0" t="s">
        <v>34289</v>
      </c>
      <c r="K10272" s="0" t="s">
        <v>34290</v>
      </c>
      <c r="L10272" s="0" t="str">
        <f aca="false">HYPERLINK("https://www.ncbi.nlm.nih.gov/nuccore/CP000304.1?report=graph&amp;tracks=[key:gene_model_track,Options:GeneOnly]&amp;mk=2897968:2897987|offset_14|444444,2897935:2897954|offset_47|444444,2897902:2897921|offset_80|444444,2897882:2897901|offset_100|00cc00&amp;v=2897767:2898101&amp;c=444444", "offset 100")</f>
        <v>offset 100</v>
      </c>
    </row>
    <row r="10273" customFormat="false" ht="12.8" hidden="false" customHeight="false" outlineLevel="0" collapsed="false">
      <c r="A10273" s="0" t="s">
        <v>12</v>
      </c>
      <c r="B10273" s="0" t="n">
        <v>2898215</v>
      </c>
      <c r="C10273" s="0" t="n">
        <v>2898235</v>
      </c>
      <c r="D10273" s="0" t="s">
        <v>34291</v>
      </c>
      <c r="E10273" s="0" t="s">
        <v>89</v>
      </c>
      <c r="F10273" s="0" t="s">
        <v>15</v>
      </c>
      <c r="G10273" s="0" t="s">
        <v>16</v>
      </c>
      <c r="H10273" s="0" t="n">
        <v>14</v>
      </c>
      <c r="I10273" s="0" t="s">
        <v>34292</v>
      </c>
      <c r="J10273" s="0" t="s">
        <v>34293</v>
      </c>
      <c r="K10273" s="0" t="s">
        <v>34294</v>
      </c>
      <c r="L10273" s="0" t="str">
        <f aca="false">HYPERLINK("https://www.ncbi.nlm.nih.gov/nuccore/CP000304.1?report=graph&amp;tracks=[key:gene_model_track,Options:GeneOnly]&amp;mk=2898216:2898235|offset_14|00cc00,2898243:2898262|offset_41|444444,2898306:2898325|offset_104|444444,2898327:2898346|offset_125|444444&amp;v=2898015:2898546&amp;c=444444", "offset 14")</f>
        <v>offset 14</v>
      </c>
    </row>
    <row r="10274" customFormat="false" ht="12.8" hidden="false" customHeight="false" outlineLevel="0" collapsed="false">
      <c r="A10274" s="0" t="s">
        <v>12</v>
      </c>
      <c r="B10274" s="0" t="n">
        <v>2898242</v>
      </c>
      <c r="C10274" s="0" t="n">
        <v>2898262</v>
      </c>
      <c r="D10274" s="0" t="s">
        <v>34291</v>
      </c>
      <c r="E10274" s="0" t="s">
        <v>89</v>
      </c>
      <c r="F10274" s="0" t="s">
        <v>15</v>
      </c>
      <c r="G10274" s="0" t="s">
        <v>26</v>
      </c>
      <c r="H10274" s="0" t="n">
        <v>41</v>
      </c>
      <c r="I10274" s="0" t="s">
        <v>34295</v>
      </c>
      <c r="J10274" s="0" t="s">
        <v>34296</v>
      </c>
      <c r="K10274" s="0" t="s">
        <v>34297</v>
      </c>
      <c r="L10274" s="0" t="str">
        <f aca="false">HYPERLINK("https://www.ncbi.nlm.nih.gov/nuccore/CP000304.1?report=graph&amp;tracks=[key:gene_model_track,Options:GeneOnly]&amp;mk=2898216:2898235|offset_14|444444,2898243:2898262|offset_41|00cc00,2898306:2898325|offset_104|444444,2898327:2898346|offset_125|444444&amp;v=2898015:2898546&amp;c=444444", "offset 41")</f>
        <v>offset 41</v>
      </c>
    </row>
    <row r="10275" customFormat="false" ht="12.8" hidden="false" customHeight="false" outlineLevel="0" collapsed="false">
      <c r="A10275" s="0" t="s">
        <v>12</v>
      </c>
      <c r="B10275" s="0" t="n">
        <v>2898305</v>
      </c>
      <c r="C10275" s="0" t="n">
        <v>2898325</v>
      </c>
      <c r="D10275" s="0" t="s">
        <v>34291</v>
      </c>
      <c r="E10275" s="0" t="s">
        <v>89</v>
      </c>
      <c r="F10275" s="0" t="s">
        <v>15</v>
      </c>
      <c r="G10275" s="0" t="s">
        <v>36</v>
      </c>
      <c r="H10275" s="0" t="n">
        <v>104</v>
      </c>
      <c r="I10275" s="0" t="s">
        <v>34298</v>
      </c>
      <c r="J10275" s="0" t="s">
        <v>34299</v>
      </c>
      <c r="K10275" s="0" t="s">
        <v>34300</v>
      </c>
      <c r="L10275" s="0" t="str">
        <f aca="false">HYPERLINK("https://www.ncbi.nlm.nih.gov/nuccore/CP000304.1?report=graph&amp;tracks=[key:gene_model_track,Options:GeneOnly]&amp;mk=2898216:2898235|offset_14|444444,2898243:2898262|offset_41|444444,2898306:2898325|offset_104|00cc00,2898327:2898346|offset_125|444444&amp;v=2898015:2898546&amp;c=444444", "offset 104")</f>
        <v>offset 104</v>
      </c>
    </row>
    <row r="10276" customFormat="false" ht="12.8" hidden="false" customHeight="false" outlineLevel="0" collapsed="false">
      <c r="A10276" s="0" t="s">
        <v>12</v>
      </c>
      <c r="B10276" s="0" t="n">
        <v>2898326</v>
      </c>
      <c r="C10276" s="0" t="n">
        <v>2898346</v>
      </c>
      <c r="D10276" s="0" t="s">
        <v>34291</v>
      </c>
      <c r="E10276" s="0" t="s">
        <v>89</v>
      </c>
      <c r="F10276" s="0" t="s">
        <v>15</v>
      </c>
      <c r="G10276" s="0" t="s">
        <v>36</v>
      </c>
      <c r="H10276" s="0" t="n">
        <v>125</v>
      </c>
      <c r="I10276" s="0" t="s">
        <v>34301</v>
      </c>
      <c r="J10276" s="0" t="s">
        <v>34302</v>
      </c>
      <c r="K10276" s="0" t="s">
        <v>34303</v>
      </c>
      <c r="L10276" s="0" t="str">
        <f aca="false">HYPERLINK("https://www.ncbi.nlm.nih.gov/nuccore/CP000304.1?report=graph&amp;tracks=[key:gene_model_track,Options:GeneOnly]&amp;mk=2898216:2898235|offset_14|444444,2898243:2898262|offset_41|444444,2898306:2898325|offset_104|444444,2898327:2898346|offset_125|00cc00&amp;v=2898015:2898546&amp;c=444444", "offset 125")</f>
        <v>offset 125</v>
      </c>
    </row>
    <row r="10277" customFormat="false" ht="12.8" hidden="false" customHeight="false" outlineLevel="0" collapsed="false">
      <c r="A10277" s="0" t="s">
        <v>12</v>
      </c>
      <c r="B10277" s="0" t="n">
        <v>2898915</v>
      </c>
      <c r="C10277" s="0" t="n">
        <v>2898935</v>
      </c>
      <c r="D10277" s="0" t="s">
        <v>34304</v>
      </c>
      <c r="E10277" s="0" t="s">
        <v>34305</v>
      </c>
      <c r="F10277" s="0" t="s">
        <v>15</v>
      </c>
      <c r="G10277" s="0" t="s">
        <v>36</v>
      </c>
      <c r="H10277" s="0" t="n">
        <v>18</v>
      </c>
      <c r="I10277" s="0" t="s">
        <v>34306</v>
      </c>
      <c r="J10277" s="0" t="s">
        <v>34307</v>
      </c>
      <c r="K10277" s="0" t="s">
        <v>34308</v>
      </c>
      <c r="L10277" s="0" t="str">
        <f aca="false">HYPERLINK("https://www.ncbi.nlm.nih.gov/nuccore/CP000304.1?report=graph&amp;tracks=[key:gene_model_track,Options:GeneOnly]&amp;mk=2898916:2898935|offset_18|00cc00,2898947:2898966|offset_49|444444,2898981:2899000|offset_83|444444,2899002:2899021|offset_104|444444&amp;v=2898715:2899221&amp;c=444444", "offset 18")</f>
        <v>offset 18</v>
      </c>
    </row>
    <row r="10278" customFormat="false" ht="12.8" hidden="false" customHeight="false" outlineLevel="0" collapsed="false">
      <c r="A10278" s="0" t="s">
        <v>12</v>
      </c>
      <c r="B10278" s="0" t="n">
        <v>2898946</v>
      </c>
      <c r="C10278" s="0" t="n">
        <v>2898966</v>
      </c>
      <c r="D10278" s="0" t="s">
        <v>34304</v>
      </c>
      <c r="E10278" s="0" t="s">
        <v>34305</v>
      </c>
      <c r="F10278" s="0" t="s">
        <v>15</v>
      </c>
      <c r="G10278" s="0" t="s">
        <v>26</v>
      </c>
      <c r="H10278" s="0" t="n">
        <v>49</v>
      </c>
      <c r="I10278" s="0" t="s">
        <v>34309</v>
      </c>
      <c r="J10278" s="0" t="s">
        <v>34310</v>
      </c>
      <c r="K10278" s="0" t="s">
        <v>34311</v>
      </c>
      <c r="L10278" s="0" t="str">
        <f aca="false">HYPERLINK("https://www.ncbi.nlm.nih.gov/nuccore/CP000304.1?report=graph&amp;tracks=[key:gene_model_track,Options:GeneOnly]&amp;mk=2898916:2898935|offset_18|444444,2898947:2898966|offset_49|00cc00,2898981:2899000|offset_83|444444,2899002:2899021|offset_104|444444&amp;v=2898715:2899221&amp;c=444444", "offset 49")</f>
        <v>offset 49</v>
      </c>
    </row>
    <row r="10279" customFormat="false" ht="12.8" hidden="false" customHeight="false" outlineLevel="0" collapsed="false">
      <c r="A10279" s="0" t="s">
        <v>12</v>
      </c>
      <c r="B10279" s="0" t="n">
        <v>2898980</v>
      </c>
      <c r="C10279" s="0" t="n">
        <v>2899000</v>
      </c>
      <c r="D10279" s="0" t="s">
        <v>34304</v>
      </c>
      <c r="E10279" s="0" t="s">
        <v>34305</v>
      </c>
      <c r="F10279" s="0" t="s">
        <v>15</v>
      </c>
      <c r="G10279" s="0" t="s">
        <v>32</v>
      </c>
      <c r="H10279" s="0" t="n">
        <v>83</v>
      </c>
      <c r="I10279" s="0" t="s">
        <v>34312</v>
      </c>
      <c r="J10279" s="0" t="s">
        <v>34313</v>
      </c>
      <c r="K10279" s="0" t="s">
        <v>34314</v>
      </c>
      <c r="L10279" s="0" t="str">
        <f aca="false">HYPERLINK("https://www.ncbi.nlm.nih.gov/nuccore/CP000304.1?report=graph&amp;tracks=[key:gene_model_track,Options:GeneOnly]&amp;mk=2898916:2898935|offset_18|444444,2898947:2898966|offset_49|444444,2898981:2899000|offset_83|00cc00,2899002:2899021|offset_104|444444&amp;v=2898715:2899221&amp;c=444444", "offset 83")</f>
        <v>offset 83</v>
      </c>
    </row>
    <row r="10280" customFormat="false" ht="12.8" hidden="false" customHeight="false" outlineLevel="0" collapsed="false">
      <c r="A10280" s="0" t="s">
        <v>12</v>
      </c>
      <c r="B10280" s="0" t="n">
        <v>2899001</v>
      </c>
      <c r="C10280" s="0" t="n">
        <v>2899021</v>
      </c>
      <c r="D10280" s="0" t="s">
        <v>34304</v>
      </c>
      <c r="E10280" s="0" t="s">
        <v>34305</v>
      </c>
      <c r="F10280" s="0" t="s">
        <v>15</v>
      </c>
      <c r="G10280" s="0" t="s">
        <v>32</v>
      </c>
      <c r="H10280" s="0" t="n">
        <v>104</v>
      </c>
      <c r="I10280" s="0" t="s">
        <v>34315</v>
      </c>
      <c r="J10280" s="0" t="s">
        <v>34316</v>
      </c>
      <c r="K10280" s="0" t="s">
        <v>34317</v>
      </c>
      <c r="L10280" s="0" t="str">
        <f aca="false">HYPERLINK("https://www.ncbi.nlm.nih.gov/nuccore/CP000304.1?report=graph&amp;tracks=[key:gene_model_track,Options:GeneOnly]&amp;mk=2898916:2898935|offset_18|444444,2898947:2898966|offset_49|444444,2898981:2899000|offset_83|444444,2899002:2899021|offset_104|00cc00&amp;v=2898715:2899221&amp;c=444444", "offset 104")</f>
        <v>offset 104</v>
      </c>
    </row>
    <row r="10281" customFormat="false" ht="12.8" hidden="false" customHeight="false" outlineLevel="0" collapsed="false">
      <c r="A10281" s="0" t="s">
        <v>12</v>
      </c>
      <c r="B10281" s="0" t="n">
        <v>2901698</v>
      </c>
      <c r="C10281" s="0" t="n">
        <v>2901718</v>
      </c>
      <c r="D10281" s="0" t="s">
        <v>34318</v>
      </c>
      <c r="E10281" s="0" t="s">
        <v>89</v>
      </c>
      <c r="F10281" s="0" t="s">
        <v>15</v>
      </c>
      <c r="G10281" s="0" t="s">
        <v>36</v>
      </c>
      <c r="H10281" s="0" t="n">
        <v>14</v>
      </c>
      <c r="I10281" s="0" t="s">
        <v>34319</v>
      </c>
      <c r="J10281" s="0" t="s">
        <v>34320</v>
      </c>
      <c r="K10281" s="0" t="s">
        <v>34321</v>
      </c>
      <c r="L10281" s="0" t="str">
        <f aca="false">HYPERLINK("https://www.ncbi.nlm.nih.gov/nuccore/CP000304.1?report=graph&amp;tracks=[key:gene_model_track,Options:GeneOnly]&amp;mk=2901699:2901718|offset_14|00cc00,2901725:2901744|offset_40|444444,2901750:2901769|offset_65|444444,2901789:2901808|offset_104|444444&amp;v=2901498:2902008&amp;c=444444", "offset 14")</f>
        <v>offset 14</v>
      </c>
    </row>
    <row r="10282" customFormat="false" ht="12.8" hidden="false" customHeight="false" outlineLevel="0" collapsed="false">
      <c r="A10282" s="0" t="s">
        <v>12</v>
      </c>
      <c r="B10282" s="0" t="n">
        <v>2901724</v>
      </c>
      <c r="C10282" s="0" t="n">
        <v>2901744</v>
      </c>
      <c r="D10282" s="0" t="s">
        <v>34318</v>
      </c>
      <c r="E10282" s="0" t="s">
        <v>89</v>
      </c>
      <c r="F10282" s="0" t="s">
        <v>15</v>
      </c>
      <c r="G10282" s="0" t="s">
        <v>16</v>
      </c>
      <c r="H10282" s="0" t="n">
        <v>40</v>
      </c>
      <c r="I10282" s="0" t="s">
        <v>34322</v>
      </c>
      <c r="J10282" s="0" t="s">
        <v>34323</v>
      </c>
      <c r="K10282" s="0" t="s">
        <v>34324</v>
      </c>
      <c r="L10282" s="0" t="str">
        <f aca="false">HYPERLINK("https://www.ncbi.nlm.nih.gov/nuccore/CP000304.1?report=graph&amp;tracks=[key:gene_model_track,Options:GeneOnly]&amp;mk=2901699:2901718|offset_14|444444,2901725:2901744|offset_40|00cc00,2901750:2901769|offset_65|444444,2901789:2901808|offset_104|444444&amp;v=2901498:2902008&amp;c=444444", "offset 40")</f>
        <v>offset 40</v>
      </c>
    </row>
    <row r="10283" customFormat="false" ht="12.8" hidden="false" customHeight="false" outlineLevel="0" collapsed="false">
      <c r="A10283" s="0" t="s">
        <v>12</v>
      </c>
      <c r="B10283" s="0" t="n">
        <v>2901749</v>
      </c>
      <c r="C10283" s="0" t="n">
        <v>2901769</v>
      </c>
      <c r="D10283" s="0" t="s">
        <v>34318</v>
      </c>
      <c r="E10283" s="0" t="s">
        <v>89</v>
      </c>
      <c r="F10283" s="0" t="s">
        <v>15</v>
      </c>
      <c r="G10283" s="0" t="s">
        <v>26</v>
      </c>
      <c r="H10283" s="0" t="n">
        <v>65</v>
      </c>
      <c r="I10283" s="0" t="s">
        <v>34325</v>
      </c>
      <c r="J10283" s="0" t="s">
        <v>34326</v>
      </c>
      <c r="K10283" s="0" t="s">
        <v>34327</v>
      </c>
      <c r="L10283" s="0" t="str">
        <f aca="false">HYPERLINK("https://www.ncbi.nlm.nih.gov/nuccore/CP000304.1?report=graph&amp;tracks=[key:gene_model_track,Options:GeneOnly]&amp;mk=2901699:2901718|offset_14|444444,2901725:2901744|offset_40|444444,2901750:2901769|offset_65|00cc00,2901789:2901808|offset_104|444444&amp;v=2901498:2902008&amp;c=444444", "offset 65")</f>
        <v>offset 65</v>
      </c>
    </row>
    <row r="10284" customFormat="false" ht="12.8" hidden="false" customHeight="false" outlineLevel="0" collapsed="false">
      <c r="A10284" s="0" t="s">
        <v>12</v>
      </c>
      <c r="B10284" s="0" t="n">
        <v>2901788</v>
      </c>
      <c r="C10284" s="0" t="n">
        <v>2901808</v>
      </c>
      <c r="D10284" s="0" t="s">
        <v>34318</v>
      </c>
      <c r="E10284" s="0" t="s">
        <v>89</v>
      </c>
      <c r="F10284" s="0" t="s">
        <v>15</v>
      </c>
      <c r="G10284" s="0" t="s">
        <v>16</v>
      </c>
      <c r="H10284" s="0" t="n">
        <v>104</v>
      </c>
      <c r="I10284" s="0" t="s">
        <v>34328</v>
      </c>
      <c r="J10284" s="0" t="s">
        <v>34329</v>
      </c>
      <c r="K10284" s="0" t="s">
        <v>34330</v>
      </c>
      <c r="L10284" s="0" t="str">
        <f aca="false">HYPERLINK("https://www.ncbi.nlm.nih.gov/nuccore/CP000304.1?report=graph&amp;tracks=[key:gene_model_track,Options:GeneOnly]&amp;mk=2901699:2901718|offset_14|444444,2901725:2901744|offset_40|444444,2901750:2901769|offset_65|444444,2901789:2901808|offset_104|00cc00&amp;v=2901498:2902008&amp;c=444444", "offset 104")</f>
        <v>offset 104</v>
      </c>
    </row>
    <row r="10285" customFormat="false" ht="12.8" hidden="false" customHeight="false" outlineLevel="0" collapsed="false">
      <c r="A10285" s="0" t="s">
        <v>12</v>
      </c>
      <c r="B10285" s="0" t="n">
        <v>2903770</v>
      </c>
      <c r="C10285" s="0" t="n">
        <v>2903790</v>
      </c>
      <c r="D10285" s="0" t="s">
        <v>34331</v>
      </c>
      <c r="E10285" s="0" t="s">
        <v>89</v>
      </c>
      <c r="F10285" s="0" t="s">
        <v>15</v>
      </c>
      <c r="G10285" s="0" t="s">
        <v>36</v>
      </c>
      <c r="H10285" s="0" t="n">
        <v>0</v>
      </c>
      <c r="I10285" s="0" t="s">
        <v>34332</v>
      </c>
      <c r="J10285" s="0" t="s">
        <v>34333</v>
      </c>
      <c r="K10285" s="0" t="s">
        <v>34334</v>
      </c>
      <c r="L10285" s="0" t="str">
        <f aca="false">HYPERLINK("https://www.ncbi.nlm.nih.gov/nuccore/CP000304.1?report=graph&amp;tracks=[key:gene_model_track,Options:GeneOnly]&amp;mk=2903771:2903790|offset_0|00cc00,2903811:2903830|offset_40|444444,2903831:2903850|offset_60|444444,2903865:2903884|offset_94|444444&amp;v=2903570:2904084&amp;c=444444", "offset 0")</f>
        <v>offset 0</v>
      </c>
    </row>
    <row r="10286" customFormat="false" ht="12.8" hidden="false" customHeight="false" outlineLevel="0" collapsed="false">
      <c r="A10286" s="0" t="s">
        <v>12</v>
      </c>
      <c r="B10286" s="0" t="n">
        <v>2903810</v>
      </c>
      <c r="C10286" s="0" t="n">
        <v>2903830</v>
      </c>
      <c r="D10286" s="0" t="s">
        <v>34331</v>
      </c>
      <c r="E10286" s="0" t="s">
        <v>89</v>
      </c>
      <c r="F10286" s="0" t="s">
        <v>15</v>
      </c>
      <c r="G10286" s="0" t="s">
        <v>36</v>
      </c>
      <c r="H10286" s="0" t="n">
        <v>40</v>
      </c>
      <c r="I10286" s="0" t="s">
        <v>34335</v>
      </c>
      <c r="J10286" s="0" t="s">
        <v>34336</v>
      </c>
      <c r="K10286" s="0" t="s">
        <v>34337</v>
      </c>
      <c r="L10286" s="0" t="str">
        <f aca="false">HYPERLINK("https://www.ncbi.nlm.nih.gov/nuccore/CP000304.1?report=graph&amp;tracks=[key:gene_model_track,Options:GeneOnly]&amp;mk=2903771:2903790|offset_0|444444,2903811:2903830|offset_40|00cc00,2903831:2903850|offset_60|444444,2903865:2903884|offset_94|444444&amp;v=2903570:2904084&amp;c=444444", "offset 40")</f>
        <v>offset 40</v>
      </c>
    </row>
    <row r="10287" customFormat="false" ht="12.8" hidden="false" customHeight="false" outlineLevel="0" collapsed="false">
      <c r="A10287" s="0" t="s">
        <v>12</v>
      </c>
      <c r="B10287" s="0" t="n">
        <v>2903830</v>
      </c>
      <c r="C10287" s="0" t="n">
        <v>2903850</v>
      </c>
      <c r="D10287" s="0" t="s">
        <v>34331</v>
      </c>
      <c r="E10287" s="0" t="s">
        <v>89</v>
      </c>
      <c r="F10287" s="0" t="s">
        <v>15</v>
      </c>
      <c r="G10287" s="0" t="s">
        <v>26</v>
      </c>
      <c r="H10287" s="0" t="n">
        <v>60</v>
      </c>
      <c r="I10287" s="0" t="s">
        <v>34338</v>
      </c>
      <c r="J10287" s="0" t="s">
        <v>34339</v>
      </c>
      <c r="K10287" s="0" t="s">
        <v>34340</v>
      </c>
      <c r="L10287" s="0" t="str">
        <f aca="false">HYPERLINK("https://www.ncbi.nlm.nih.gov/nuccore/CP000304.1?report=graph&amp;tracks=[key:gene_model_track,Options:GeneOnly]&amp;mk=2903771:2903790|offset_0|444444,2903811:2903830|offset_40|444444,2903831:2903850|offset_60|00cc00,2903865:2903884|offset_94|444444&amp;v=2903570:2904084&amp;c=444444", "offset 60")</f>
        <v>offset 60</v>
      </c>
    </row>
    <row r="10288" customFormat="false" ht="12.8" hidden="false" customHeight="false" outlineLevel="0" collapsed="false">
      <c r="A10288" s="0" t="s">
        <v>12</v>
      </c>
      <c r="B10288" s="0" t="n">
        <v>2903864</v>
      </c>
      <c r="C10288" s="0" t="n">
        <v>2903884</v>
      </c>
      <c r="D10288" s="0" t="s">
        <v>34331</v>
      </c>
      <c r="E10288" s="0" t="s">
        <v>89</v>
      </c>
      <c r="F10288" s="0" t="s">
        <v>15</v>
      </c>
      <c r="G10288" s="0" t="s">
        <v>16</v>
      </c>
      <c r="H10288" s="0" t="n">
        <v>94</v>
      </c>
      <c r="I10288" s="0" t="s">
        <v>34341</v>
      </c>
      <c r="J10288" s="0" t="s">
        <v>34342</v>
      </c>
      <c r="K10288" s="0" t="s">
        <v>34343</v>
      </c>
      <c r="L10288" s="0" t="str">
        <f aca="false">HYPERLINK("https://www.ncbi.nlm.nih.gov/nuccore/CP000304.1?report=graph&amp;tracks=[key:gene_model_track,Options:GeneOnly]&amp;mk=2903771:2903790|offset_0|444444,2903811:2903830|offset_40|444444,2903831:2903850|offset_60|444444,2903865:2903884|offset_94|00cc00&amp;v=2903570:2904084&amp;c=444444", "offset 94")</f>
        <v>offset 94</v>
      </c>
    </row>
    <row r="10289" customFormat="false" ht="12.8" hidden="false" customHeight="false" outlineLevel="0" collapsed="false">
      <c r="A10289" s="0" t="s">
        <v>12</v>
      </c>
      <c r="B10289" s="0" t="n">
        <v>2904410</v>
      </c>
      <c r="C10289" s="0" t="n">
        <v>2904430</v>
      </c>
      <c r="D10289" s="0" t="s">
        <v>34344</v>
      </c>
      <c r="E10289" s="0" t="s">
        <v>89</v>
      </c>
      <c r="F10289" s="0" t="s">
        <v>15</v>
      </c>
      <c r="G10289" s="0" t="s">
        <v>32</v>
      </c>
      <c r="H10289" s="0" t="n">
        <v>31</v>
      </c>
      <c r="I10289" s="0" t="s">
        <v>34345</v>
      </c>
      <c r="J10289" s="0" t="s">
        <v>34346</v>
      </c>
      <c r="K10289" s="0" t="s">
        <v>34347</v>
      </c>
      <c r="L10289" s="0" t="str">
        <f aca="false">HYPERLINK("https://www.ncbi.nlm.nih.gov/nuccore/CP000304.1?report=graph&amp;tracks=[key:gene_model_track,Options:GeneOnly]&amp;mk=2904411:2904430|offset_31|00cc00,2904453:2904472|offset_73|444444,2904478:2904497|offset_98|444444,2904535:2904554|offset_155|444444&amp;v=2904210:2904754&amp;c=444444", "offset 31")</f>
        <v>offset 31</v>
      </c>
    </row>
    <row r="10290" customFormat="false" ht="12.8" hidden="false" customHeight="false" outlineLevel="0" collapsed="false">
      <c r="A10290" s="0" t="s">
        <v>12</v>
      </c>
      <c r="B10290" s="0" t="n">
        <v>2904452</v>
      </c>
      <c r="C10290" s="0" t="n">
        <v>2904472</v>
      </c>
      <c r="D10290" s="0" t="s">
        <v>34344</v>
      </c>
      <c r="E10290" s="0" t="s">
        <v>89</v>
      </c>
      <c r="F10290" s="0" t="s">
        <v>15</v>
      </c>
      <c r="G10290" s="0" t="s">
        <v>32</v>
      </c>
      <c r="H10290" s="0" t="n">
        <v>73</v>
      </c>
      <c r="I10290" s="0" t="s">
        <v>34348</v>
      </c>
      <c r="J10290" s="0" t="s">
        <v>34349</v>
      </c>
      <c r="K10290" s="0" t="s">
        <v>34350</v>
      </c>
      <c r="L10290" s="0" t="str">
        <f aca="false">HYPERLINK("https://www.ncbi.nlm.nih.gov/nuccore/CP000304.1?report=graph&amp;tracks=[key:gene_model_track,Options:GeneOnly]&amp;mk=2904411:2904430|offset_31|444444,2904453:2904472|offset_73|00cc00,2904478:2904497|offset_98|444444,2904535:2904554|offset_155|444444&amp;v=2904210:2904754&amp;c=444444", "offset 73")</f>
        <v>offset 73</v>
      </c>
    </row>
    <row r="10291" customFormat="false" ht="12.8" hidden="false" customHeight="false" outlineLevel="0" collapsed="false">
      <c r="A10291" s="0" t="s">
        <v>12</v>
      </c>
      <c r="B10291" s="0" t="n">
        <v>2904477</v>
      </c>
      <c r="C10291" s="0" t="n">
        <v>2904497</v>
      </c>
      <c r="D10291" s="0" t="s">
        <v>34344</v>
      </c>
      <c r="E10291" s="0" t="s">
        <v>89</v>
      </c>
      <c r="F10291" s="0" t="s">
        <v>15</v>
      </c>
      <c r="G10291" s="0" t="s">
        <v>36</v>
      </c>
      <c r="H10291" s="0" t="n">
        <v>98</v>
      </c>
      <c r="I10291" s="0" t="s">
        <v>34351</v>
      </c>
      <c r="J10291" s="0" t="s">
        <v>34352</v>
      </c>
      <c r="K10291" s="0" t="s">
        <v>34353</v>
      </c>
      <c r="L10291" s="0" t="str">
        <f aca="false">HYPERLINK("https://www.ncbi.nlm.nih.gov/nuccore/CP000304.1?report=graph&amp;tracks=[key:gene_model_track,Options:GeneOnly]&amp;mk=2904411:2904430|offset_31|444444,2904453:2904472|offset_73|444444,2904478:2904497|offset_98|00cc00,2904535:2904554|offset_155|444444&amp;v=2904210:2904754&amp;c=444444", "offset 98")</f>
        <v>offset 98</v>
      </c>
    </row>
    <row r="10292" customFormat="false" ht="12.8" hidden="false" customHeight="false" outlineLevel="0" collapsed="false">
      <c r="A10292" s="0" t="s">
        <v>12</v>
      </c>
      <c r="B10292" s="0" t="n">
        <v>2904534</v>
      </c>
      <c r="C10292" s="0" t="n">
        <v>2904554</v>
      </c>
      <c r="D10292" s="0" t="s">
        <v>34344</v>
      </c>
      <c r="E10292" s="0" t="s">
        <v>89</v>
      </c>
      <c r="F10292" s="0" t="s">
        <v>15</v>
      </c>
      <c r="G10292" s="0" t="s">
        <v>26</v>
      </c>
      <c r="H10292" s="0" t="n">
        <v>155</v>
      </c>
      <c r="I10292" s="0" t="s">
        <v>34354</v>
      </c>
      <c r="J10292" s="0" t="s">
        <v>34355</v>
      </c>
      <c r="K10292" s="0" t="s">
        <v>34356</v>
      </c>
      <c r="L10292" s="0" t="str">
        <f aca="false">HYPERLINK("https://www.ncbi.nlm.nih.gov/nuccore/CP000304.1?report=graph&amp;tracks=[key:gene_model_track,Options:GeneOnly]&amp;mk=2904411:2904430|offset_31|444444,2904453:2904472|offset_73|444444,2904478:2904497|offset_98|444444,2904535:2904554|offset_155|00cc00&amp;v=2904210:2904754&amp;c=444444", "offset 155")</f>
        <v>offset 155</v>
      </c>
    </row>
    <row r="10293" customFormat="false" ht="12.8" hidden="false" customHeight="false" outlineLevel="0" collapsed="false">
      <c r="A10293" s="0" t="s">
        <v>12</v>
      </c>
      <c r="B10293" s="0" t="n">
        <v>2905429</v>
      </c>
      <c r="C10293" s="0" t="n">
        <v>2905449</v>
      </c>
      <c r="D10293" s="0" t="s">
        <v>34357</v>
      </c>
      <c r="E10293" s="0" t="s">
        <v>89</v>
      </c>
      <c r="F10293" s="0" t="s">
        <v>90</v>
      </c>
      <c r="G10293" s="0" t="s">
        <v>36</v>
      </c>
      <c r="H10293" s="0" t="n">
        <v>45</v>
      </c>
      <c r="I10293" s="0" t="s">
        <v>34358</v>
      </c>
      <c r="J10293" s="0" t="s">
        <v>34359</v>
      </c>
      <c r="K10293" s="0" t="s">
        <v>34360</v>
      </c>
      <c r="L10293" s="0" t="str">
        <f aca="false">HYPERLINK("https://www.ncbi.nlm.nih.gov/nuccore/CP000304.1?report=graph&amp;tracks=[key:gene_model_track,Options:GeneOnly]&amp;mk=2905430:2905449|offset_45|00cc00,2905406:2905425|offset_69|444444,2905333:2905352|offset_142|444444,2905299:2905318|offset_176|444444&amp;v=2905229:2905518&amp;c=444444", "offset 45")</f>
        <v>offset 45</v>
      </c>
    </row>
    <row r="10294" customFormat="false" ht="12.8" hidden="false" customHeight="false" outlineLevel="0" collapsed="false">
      <c r="A10294" s="0" t="s">
        <v>12</v>
      </c>
      <c r="B10294" s="0" t="n">
        <v>2905405</v>
      </c>
      <c r="C10294" s="0" t="n">
        <v>2905425</v>
      </c>
      <c r="D10294" s="0" t="s">
        <v>34357</v>
      </c>
      <c r="E10294" s="0" t="s">
        <v>89</v>
      </c>
      <c r="F10294" s="0" t="s">
        <v>90</v>
      </c>
      <c r="G10294" s="0" t="s">
        <v>26</v>
      </c>
      <c r="H10294" s="0" t="n">
        <v>69</v>
      </c>
      <c r="I10294" s="0" t="s">
        <v>34361</v>
      </c>
      <c r="J10294" s="0" t="s">
        <v>34362</v>
      </c>
      <c r="K10294" s="0" t="s">
        <v>34363</v>
      </c>
      <c r="L10294" s="0" t="str">
        <f aca="false">HYPERLINK("https://www.ncbi.nlm.nih.gov/nuccore/CP000304.1?report=graph&amp;tracks=[key:gene_model_track,Options:GeneOnly]&amp;mk=2905430:2905449|offset_45|444444,2905406:2905425|offset_69|00cc00,2905333:2905352|offset_142|444444,2905299:2905318|offset_176|444444&amp;v=2905229:2905518&amp;c=444444", "offset 69")</f>
        <v>offset 69</v>
      </c>
    </row>
    <row r="10295" customFormat="false" ht="12.8" hidden="false" customHeight="false" outlineLevel="0" collapsed="false">
      <c r="A10295" s="0" t="s">
        <v>12</v>
      </c>
      <c r="B10295" s="0" t="n">
        <v>2905332</v>
      </c>
      <c r="C10295" s="0" t="n">
        <v>2905352</v>
      </c>
      <c r="D10295" s="0" t="s">
        <v>34357</v>
      </c>
      <c r="E10295" s="0" t="s">
        <v>89</v>
      </c>
      <c r="F10295" s="0" t="s">
        <v>90</v>
      </c>
      <c r="G10295" s="0" t="s">
        <v>32</v>
      </c>
      <c r="H10295" s="0" t="n">
        <v>142</v>
      </c>
      <c r="I10295" s="0" t="s">
        <v>34364</v>
      </c>
      <c r="J10295" s="0" t="s">
        <v>34365</v>
      </c>
      <c r="K10295" s="0" t="s">
        <v>34366</v>
      </c>
      <c r="L10295" s="0" t="str">
        <f aca="false">HYPERLINK("https://www.ncbi.nlm.nih.gov/nuccore/CP000304.1?report=graph&amp;tracks=[key:gene_model_track,Options:GeneOnly]&amp;mk=2905430:2905449|offset_45|444444,2905406:2905425|offset_69|444444,2905333:2905352|offset_142|00cc00,2905299:2905318|offset_176|444444&amp;v=2905229:2905518&amp;c=444444", "offset 142")</f>
        <v>offset 142</v>
      </c>
    </row>
    <row r="10296" customFormat="false" ht="12.8" hidden="false" customHeight="false" outlineLevel="0" collapsed="false">
      <c r="A10296" s="0" t="s">
        <v>12</v>
      </c>
      <c r="B10296" s="0" t="n">
        <v>2905298</v>
      </c>
      <c r="C10296" s="0" t="n">
        <v>2905318</v>
      </c>
      <c r="D10296" s="0" t="s">
        <v>34357</v>
      </c>
      <c r="E10296" s="0" t="s">
        <v>89</v>
      </c>
      <c r="F10296" s="0" t="s">
        <v>90</v>
      </c>
      <c r="G10296" s="0" t="s">
        <v>16</v>
      </c>
      <c r="H10296" s="0" t="n">
        <v>176</v>
      </c>
      <c r="I10296" s="0" t="s">
        <v>34367</v>
      </c>
      <c r="J10296" s="0" t="s">
        <v>34368</v>
      </c>
      <c r="K10296" s="0" t="s">
        <v>34369</v>
      </c>
      <c r="L10296" s="0" t="str">
        <f aca="false">HYPERLINK("https://www.ncbi.nlm.nih.gov/nuccore/CP000304.1?report=graph&amp;tracks=[key:gene_model_track,Options:GeneOnly]&amp;mk=2905430:2905449|offset_45|444444,2905406:2905425|offset_69|444444,2905333:2905352|offset_142|444444,2905299:2905318|offset_176|00cc00&amp;v=2905229:2905518&amp;c=444444", "offset 176")</f>
        <v>offset 176</v>
      </c>
    </row>
    <row r="10297" customFormat="false" ht="12.8" hidden="false" customHeight="false" outlineLevel="0" collapsed="false">
      <c r="A10297" s="0" t="s">
        <v>12</v>
      </c>
      <c r="B10297" s="0" t="n">
        <v>2905602</v>
      </c>
      <c r="C10297" s="0" t="n">
        <v>2905622</v>
      </c>
      <c r="D10297" s="0" t="s">
        <v>34370</v>
      </c>
      <c r="E10297" s="0" t="s">
        <v>89</v>
      </c>
      <c r="F10297" s="0" t="s">
        <v>15</v>
      </c>
      <c r="G10297" s="0" t="s">
        <v>36</v>
      </c>
      <c r="H10297" s="0" t="n">
        <v>14</v>
      </c>
      <c r="I10297" s="0" t="s">
        <v>34371</v>
      </c>
      <c r="J10297" s="0" t="s">
        <v>34372</v>
      </c>
      <c r="K10297" s="0" t="s">
        <v>34373</v>
      </c>
      <c r="L10297" s="0" t="str">
        <f aca="false">HYPERLINK("https://www.ncbi.nlm.nih.gov/nuccore/CP000304.1?report=graph&amp;tracks=[key:gene_model_track,Options:GeneOnly]&amp;mk=2905603:2905622|offset_14|00cc00,2905641:2905660|offset_52|444444,2905671:2905690|offset_82|444444,2905692:2905711|offset_103|444444&amp;v=2905402:2905911&amp;c=444444", "offset 14")</f>
        <v>offset 14</v>
      </c>
    </row>
    <row r="10298" customFormat="false" ht="12.8" hidden="false" customHeight="false" outlineLevel="0" collapsed="false">
      <c r="A10298" s="0" t="s">
        <v>12</v>
      </c>
      <c r="B10298" s="0" t="n">
        <v>2905640</v>
      </c>
      <c r="C10298" s="0" t="n">
        <v>2905660</v>
      </c>
      <c r="D10298" s="0" t="s">
        <v>34370</v>
      </c>
      <c r="E10298" s="0" t="s">
        <v>89</v>
      </c>
      <c r="F10298" s="0" t="s">
        <v>15</v>
      </c>
      <c r="G10298" s="0" t="s">
        <v>32</v>
      </c>
      <c r="H10298" s="0" t="n">
        <v>52</v>
      </c>
      <c r="I10298" s="0" t="s">
        <v>34374</v>
      </c>
      <c r="J10298" s="0" t="s">
        <v>34375</v>
      </c>
      <c r="K10298" s="0" t="s">
        <v>34376</v>
      </c>
      <c r="L10298" s="0" t="str">
        <f aca="false">HYPERLINK("https://www.ncbi.nlm.nih.gov/nuccore/CP000304.1?report=graph&amp;tracks=[key:gene_model_track,Options:GeneOnly]&amp;mk=2905603:2905622|offset_14|444444,2905641:2905660|offset_52|00cc00,2905671:2905690|offset_82|444444,2905692:2905711|offset_103|444444&amp;v=2905402:2905911&amp;c=444444", "offset 52")</f>
        <v>offset 52</v>
      </c>
    </row>
    <row r="10299" customFormat="false" ht="12.8" hidden="false" customHeight="false" outlineLevel="0" collapsed="false">
      <c r="A10299" s="0" t="s">
        <v>12</v>
      </c>
      <c r="B10299" s="0" t="n">
        <v>2905670</v>
      </c>
      <c r="C10299" s="0" t="n">
        <v>2905690</v>
      </c>
      <c r="D10299" s="0" t="s">
        <v>34370</v>
      </c>
      <c r="E10299" s="0" t="s">
        <v>89</v>
      </c>
      <c r="F10299" s="0" t="s">
        <v>15</v>
      </c>
      <c r="G10299" s="0" t="s">
        <v>16</v>
      </c>
      <c r="H10299" s="0" t="n">
        <v>82</v>
      </c>
      <c r="I10299" s="0" t="s">
        <v>34377</v>
      </c>
      <c r="J10299" s="0" t="s">
        <v>34378</v>
      </c>
      <c r="K10299" s="0" t="s">
        <v>34379</v>
      </c>
      <c r="L10299" s="0" t="str">
        <f aca="false">HYPERLINK("https://www.ncbi.nlm.nih.gov/nuccore/CP000304.1?report=graph&amp;tracks=[key:gene_model_track,Options:GeneOnly]&amp;mk=2905603:2905622|offset_14|444444,2905641:2905660|offset_52|444444,2905671:2905690|offset_82|00cc00,2905692:2905711|offset_103|444444&amp;v=2905402:2905911&amp;c=444444", "offset 82")</f>
        <v>offset 82</v>
      </c>
    </row>
    <row r="10300" customFormat="false" ht="12.8" hidden="false" customHeight="false" outlineLevel="0" collapsed="false">
      <c r="A10300" s="0" t="s">
        <v>12</v>
      </c>
      <c r="B10300" s="0" t="n">
        <v>2905691</v>
      </c>
      <c r="C10300" s="0" t="n">
        <v>2905711</v>
      </c>
      <c r="D10300" s="0" t="s">
        <v>34370</v>
      </c>
      <c r="E10300" s="0" t="s">
        <v>89</v>
      </c>
      <c r="F10300" s="0" t="s">
        <v>15</v>
      </c>
      <c r="G10300" s="0" t="s">
        <v>36</v>
      </c>
      <c r="H10300" s="0" t="n">
        <v>103</v>
      </c>
      <c r="I10300" s="0" t="s">
        <v>34380</v>
      </c>
      <c r="J10300" s="0" t="s">
        <v>34381</v>
      </c>
      <c r="K10300" s="0" t="s">
        <v>34382</v>
      </c>
      <c r="L10300" s="0" t="str">
        <f aca="false">HYPERLINK("https://www.ncbi.nlm.nih.gov/nuccore/CP000304.1?report=graph&amp;tracks=[key:gene_model_track,Options:GeneOnly]&amp;mk=2905603:2905622|offset_14|444444,2905641:2905660|offset_52|444444,2905671:2905690|offset_82|444444,2905692:2905711|offset_103|00cc00&amp;v=2905402:2905911&amp;c=444444", "offset 103")</f>
        <v>offset 103</v>
      </c>
    </row>
    <row r="10301" customFormat="false" ht="12.8" hidden="false" customHeight="false" outlineLevel="0" collapsed="false">
      <c r="A10301" s="0" t="s">
        <v>12</v>
      </c>
      <c r="B10301" s="0" t="n">
        <v>2906808</v>
      </c>
      <c r="C10301" s="0" t="n">
        <v>2906828</v>
      </c>
      <c r="D10301" s="0" t="s">
        <v>34383</v>
      </c>
      <c r="E10301" s="0" t="s">
        <v>89</v>
      </c>
      <c r="F10301" s="0" t="s">
        <v>90</v>
      </c>
      <c r="G10301" s="0" t="s">
        <v>32</v>
      </c>
      <c r="H10301" s="0" t="n">
        <v>1</v>
      </c>
      <c r="I10301" s="0" t="s">
        <v>34384</v>
      </c>
      <c r="J10301" s="0" t="s">
        <v>34385</v>
      </c>
      <c r="K10301" s="0" t="s">
        <v>34386</v>
      </c>
      <c r="L10301" s="0" t="str">
        <f aca="false">HYPERLINK("https://www.ncbi.nlm.nih.gov/nuccore/CP000304.1?report=graph&amp;tracks=[key:gene_model_track,Options:GeneOnly]&amp;mk=2906809:2906828|offset_1|00cc00,2906784:2906803|offset_26|444444,2906758:2906777|offset_52|444444,2906735:2906754|offset_75|444444&amp;v=2906608:2906954&amp;c=444444", "offset 1")</f>
        <v>offset 1</v>
      </c>
    </row>
    <row r="10302" customFormat="false" ht="12.8" hidden="false" customHeight="false" outlineLevel="0" collapsed="false">
      <c r="A10302" s="0" t="s">
        <v>12</v>
      </c>
      <c r="B10302" s="0" t="n">
        <v>2906783</v>
      </c>
      <c r="C10302" s="0" t="n">
        <v>2906803</v>
      </c>
      <c r="D10302" s="0" t="s">
        <v>34383</v>
      </c>
      <c r="E10302" s="0" t="s">
        <v>89</v>
      </c>
      <c r="F10302" s="0" t="s">
        <v>90</v>
      </c>
      <c r="G10302" s="0" t="s">
        <v>32</v>
      </c>
      <c r="H10302" s="0" t="n">
        <v>26</v>
      </c>
      <c r="I10302" s="0" t="s">
        <v>34387</v>
      </c>
      <c r="J10302" s="0" t="s">
        <v>34388</v>
      </c>
      <c r="K10302" s="0" t="s">
        <v>34389</v>
      </c>
      <c r="L10302" s="0" t="str">
        <f aca="false">HYPERLINK("https://www.ncbi.nlm.nih.gov/nuccore/CP000304.1?report=graph&amp;tracks=[key:gene_model_track,Options:GeneOnly]&amp;mk=2906809:2906828|offset_1|444444,2906784:2906803|offset_26|00cc00,2906758:2906777|offset_52|444444,2906735:2906754|offset_75|444444&amp;v=2906608:2906954&amp;c=444444", "offset 26")</f>
        <v>offset 26</v>
      </c>
    </row>
    <row r="10303" customFormat="false" ht="12.8" hidden="false" customHeight="false" outlineLevel="0" collapsed="false">
      <c r="A10303" s="0" t="s">
        <v>12</v>
      </c>
      <c r="B10303" s="0" t="n">
        <v>2906757</v>
      </c>
      <c r="C10303" s="0" t="n">
        <v>2906777</v>
      </c>
      <c r="D10303" s="0" t="s">
        <v>34383</v>
      </c>
      <c r="E10303" s="0" t="s">
        <v>89</v>
      </c>
      <c r="F10303" s="0" t="s">
        <v>90</v>
      </c>
      <c r="G10303" s="0" t="s">
        <v>32</v>
      </c>
      <c r="H10303" s="0" t="n">
        <v>52</v>
      </c>
      <c r="I10303" s="0" t="s">
        <v>34390</v>
      </c>
      <c r="J10303" s="0" t="s">
        <v>34391</v>
      </c>
      <c r="K10303" s="0" t="s">
        <v>34392</v>
      </c>
      <c r="L10303" s="0" t="str">
        <f aca="false">HYPERLINK("https://www.ncbi.nlm.nih.gov/nuccore/CP000304.1?report=graph&amp;tracks=[key:gene_model_track,Options:GeneOnly]&amp;mk=2906809:2906828|offset_1|444444,2906784:2906803|offset_26|444444,2906758:2906777|offset_52|00cc00,2906735:2906754|offset_75|444444&amp;v=2906608:2906954&amp;c=444444", "offset 52")</f>
        <v>offset 52</v>
      </c>
    </row>
    <row r="10304" customFormat="false" ht="12.8" hidden="false" customHeight="false" outlineLevel="0" collapsed="false">
      <c r="A10304" s="0" t="s">
        <v>12</v>
      </c>
      <c r="B10304" s="0" t="n">
        <v>2906734</v>
      </c>
      <c r="C10304" s="0" t="n">
        <v>2906754</v>
      </c>
      <c r="D10304" s="0" t="s">
        <v>34383</v>
      </c>
      <c r="E10304" s="0" t="s">
        <v>89</v>
      </c>
      <c r="F10304" s="0" t="s">
        <v>90</v>
      </c>
      <c r="G10304" s="0" t="s">
        <v>32</v>
      </c>
      <c r="H10304" s="0" t="n">
        <v>75</v>
      </c>
      <c r="I10304" s="0" t="s">
        <v>34393</v>
      </c>
      <c r="J10304" s="0" t="s">
        <v>34394</v>
      </c>
      <c r="K10304" s="0" t="s">
        <v>34395</v>
      </c>
      <c r="L10304" s="0" t="str">
        <f aca="false">HYPERLINK("https://www.ncbi.nlm.nih.gov/nuccore/CP000304.1?report=graph&amp;tracks=[key:gene_model_track,Options:GeneOnly]&amp;mk=2906809:2906828|offset_1|444444,2906784:2906803|offset_26|444444,2906758:2906777|offset_52|444444,2906735:2906754|offset_75|00cc00&amp;v=2906608:2906954&amp;c=444444", "offset 75")</f>
        <v>offset 75</v>
      </c>
    </row>
    <row r="10305" customFormat="false" ht="12.8" hidden="false" customHeight="false" outlineLevel="0" collapsed="false">
      <c r="A10305" s="0" t="s">
        <v>12</v>
      </c>
      <c r="B10305" s="0" t="n">
        <v>2906972</v>
      </c>
      <c r="C10305" s="0" t="n">
        <v>2906992</v>
      </c>
      <c r="D10305" s="0" t="s">
        <v>34396</v>
      </c>
      <c r="E10305" s="0" t="s">
        <v>89</v>
      </c>
      <c r="F10305" s="0" t="s">
        <v>15</v>
      </c>
      <c r="G10305" s="0" t="s">
        <v>32</v>
      </c>
      <c r="H10305" s="0" t="n">
        <v>1</v>
      </c>
      <c r="I10305" s="0" t="s">
        <v>34397</v>
      </c>
      <c r="J10305" s="0" t="s">
        <v>34398</v>
      </c>
      <c r="K10305" s="0" t="s">
        <v>34399</v>
      </c>
      <c r="L10305" s="0" t="str">
        <f aca="false">HYPERLINK("https://www.ncbi.nlm.nih.gov/nuccore/CP000304.1?report=graph&amp;tracks=[key:gene_model_track,Options:GeneOnly]&amp;mk=2906973:2906992|offset_1|00cc00,2906994:2907013|offset_22|444444,2907015:2907034|offset_43|444444,2907036:2907055|offset_64|444444&amp;v=2906772:2907255&amp;c=444444", "offset 1")</f>
        <v>offset 1</v>
      </c>
    </row>
    <row r="10306" customFormat="false" ht="12.8" hidden="false" customHeight="false" outlineLevel="0" collapsed="false">
      <c r="A10306" s="0" t="s">
        <v>12</v>
      </c>
      <c r="B10306" s="0" t="n">
        <v>2906993</v>
      </c>
      <c r="C10306" s="0" t="n">
        <v>2907013</v>
      </c>
      <c r="D10306" s="0" t="s">
        <v>34396</v>
      </c>
      <c r="E10306" s="0" t="s">
        <v>89</v>
      </c>
      <c r="F10306" s="0" t="s">
        <v>15</v>
      </c>
      <c r="G10306" s="0" t="s">
        <v>36</v>
      </c>
      <c r="H10306" s="0" t="n">
        <v>22</v>
      </c>
      <c r="I10306" s="0" t="s">
        <v>34400</v>
      </c>
      <c r="J10306" s="0" t="s">
        <v>34401</v>
      </c>
      <c r="K10306" s="0" t="s">
        <v>34402</v>
      </c>
      <c r="L10306" s="0" t="str">
        <f aca="false">HYPERLINK("https://www.ncbi.nlm.nih.gov/nuccore/CP000304.1?report=graph&amp;tracks=[key:gene_model_track,Options:GeneOnly]&amp;mk=2906973:2906992|offset_1|444444,2906994:2907013|offset_22|00cc00,2907015:2907034|offset_43|444444,2907036:2907055|offset_64|444444&amp;v=2906772:2907255&amp;c=444444", "offset 22")</f>
        <v>offset 22</v>
      </c>
    </row>
    <row r="10307" customFormat="false" ht="12.8" hidden="false" customHeight="false" outlineLevel="0" collapsed="false">
      <c r="A10307" s="0" t="s">
        <v>12</v>
      </c>
      <c r="B10307" s="0" t="n">
        <v>2907014</v>
      </c>
      <c r="C10307" s="0" t="n">
        <v>2907034</v>
      </c>
      <c r="D10307" s="0" t="s">
        <v>34396</v>
      </c>
      <c r="E10307" s="0" t="s">
        <v>89</v>
      </c>
      <c r="F10307" s="0" t="s">
        <v>15</v>
      </c>
      <c r="G10307" s="0" t="s">
        <v>32</v>
      </c>
      <c r="H10307" s="0" t="n">
        <v>43</v>
      </c>
      <c r="I10307" s="0" t="s">
        <v>34403</v>
      </c>
      <c r="J10307" s="0" t="s">
        <v>34404</v>
      </c>
      <c r="K10307" s="0" t="s">
        <v>34405</v>
      </c>
      <c r="L10307" s="0" t="str">
        <f aca="false">HYPERLINK("https://www.ncbi.nlm.nih.gov/nuccore/CP000304.1?report=graph&amp;tracks=[key:gene_model_track,Options:GeneOnly]&amp;mk=2906973:2906992|offset_1|444444,2906994:2907013|offset_22|444444,2907015:2907034|offset_43|00cc00,2907036:2907055|offset_64|444444&amp;v=2906772:2907255&amp;c=444444", "offset 43")</f>
        <v>offset 43</v>
      </c>
    </row>
    <row r="10308" customFormat="false" ht="12.8" hidden="false" customHeight="false" outlineLevel="0" collapsed="false">
      <c r="A10308" s="0" t="s">
        <v>12</v>
      </c>
      <c r="B10308" s="0" t="n">
        <v>2907035</v>
      </c>
      <c r="C10308" s="0" t="n">
        <v>2907055</v>
      </c>
      <c r="D10308" s="0" t="s">
        <v>34396</v>
      </c>
      <c r="E10308" s="0" t="s">
        <v>89</v>
      </c>
      <c r="F10308" s="0" t="s">
        <v>15</v>
      </c>
      <c r="G10308" s="0" t="s">
        <v>26</v>
      </c>
      <c r="H10308" s="0" t="n">
        <v>64</v>
      </c>
      <c r="I10308" s="0" t="s">
        <v>34406</v>
      </c>
      <c r="J10308" s="0" t="s">
        <v>34407</v>
      </c>
      <c r="K10308" s="0" t="s">
        <v>34408</v>
      </c>
      <c r="L10308" s="0" t="str">
        <f aca="false">HYPERLINK("https://www.ncbi.nlm.nih.gov/nuccore/CP000304.1?report=graph&amp;tracks=[key:gene_model_track,Options:GeneOnly]&amp;mk=2906973:2906992|offset_1|444444,2906994:2907013|offset_22|444444,2907015:2907034|offset_43|444444,2907036:2907055|offset_64|00cc00&amp;v=2906772:2907255&amp;c=444444", "offset 64")</f>
        <v>offset 64</v>
      </c>
    </row>
    <row r="10309" customFormat="false" ht="12.8" hidden="false" customHeight="false" outlineLevel="0" collapsed="false">
      <c r="A10309" s="0" t="s">
        <v>12</v>
      </c>
      <c r="B10309" s="0" t="n">
        <v>2908632</v>
      </c>
      <c r="C10309" s="0" t="n">
        <v>2908652</v>
      </c>
      <c r="D10309" s="0" t="s">
        <v>34409</v>
      </c>
      <c r="E10309" s="0" t="s">
        <v>34410</v>
      </c>
      <c r="F10309" s="0" t="s">
        <v>90</v>
      </c>
      <c r="G10309" s="0" t="s">
        <v>26</v>
      </c>
      <c r="H10309" s="0" t="n">
        <v>0</v>
      </c>
      <c r="I10309" s="0" t="s">
        <v>34411</v>
      </c>
      <c r="J10309" s="0" t="s">
        <v>34412</v>
      </c>
      <c r="K10309" s="0" t="s">
        <v>34413</v>
      </c>
      <c r="L10309" s="0" t="str">
        <f aca="false">HYPERLINK("https://www.ncbi.nlm.nih.gov/nuccore/CP000304.1?report=graph&amp;tracks=[key:gene_model_track,Options:GeneOnly]&amp;mk=2908633:2908652|offset_0|00cc00,2908611:2908630|offset_22|444444,2908586:2908605|offset_47|444444,2908565:2908584|offset_68|444444&amp;v=2908432:2908784&amp;c=444444", "offset 0")</f>
        <v>offset 0</v>
      </c>
    </row>
    <row r="10310" customFormat="false" ht="12.8" hidden="false" customHeight="false" outlineLevel="0" collapsed="false">
      <c r="A10310" s="0" t="s">
        <v>12</v>
      </c>
      <c r="B10310" s="0" t="n">
        <v>2908610</v>
      </c>
      <c r="C10310" s="0" t="n">
        <v>2908630</v>
      </c>
      <c r="D10310" s="0" t="s">
        <v>34409</v>
      </c>
      <c r="E10310" s="0" t="s">
        <v>34410</v>
      </c>
      <c r="F10310" s="0" t="s">
        <v>90</v>
      </c>
      <c r="G10310" s="0" t="s">
        <v>26</v>
      </c>
      <c r="H10310" s="0" t="n">
        <v>22</v>
      </c>
      <c r="I10310" s="0" t="s">
        <v>34414</v>
      </c>
      <c r="J10310" s="0" t="s">
        <v>34415</v>
      </c>
      <c r="K10310" s="0" t="s">
        <v>34416</v>
      </c>
      <c r="L10310" s="0" t="str">
        <f aca="false">HYPERLINK("https://www.ncbi.nlm.nih.gov/nuccore/CP000304.1?report=graph&amp;tracks=[key:gene_model_track,Options:GeneOnly]&amp;mk=2908633:2908652|offset_0|444444,2908611:2908630|offset_22|00cc00,2908586:2908605|offset_47|444444,2908565:2908584|offset_68|444444&amp;v=2908432:2908784&amp;c=444444", "offset 22")</f>
        <v>offset 22</v>
      </c>
    </row>
    <row r="10311" customFormat="false" ht="12.8" hidden="false" customHeight="false" outlineLevel="0" collapsed="false">
      <c r="A10311" s="0" t="s">
        <v>12</v>
      </c>
      <c r="B10311" s="0" t="n">
        <v>2908585</v>
      </c>
      <c r="C10311" s="0" t="n">
        <v>2908605</v>
      </c>
      <c r="D10311" s="0" t="s">
        <v>34409</v>
      </c>
      <c r="E10311" s="0" t="s">
        <v>34410</v>
      </c>
      <c r="F10311" s="0" t="s">
        <v>90</v>
      </c>
      <c r="G10311" s="0" t="s">
        <v>32</v>
      </c>
      <c r="H10311" s="0" t="n">
        <v>47</v>
      </c>
      <c r="I10311" s="0" t="s">
        <v>34417</v>
      </c>
      <c r="J10311" s="0" t="s">
        <v>34418</v>
      </c>
      <c r="K10311" s="0" t="s">
        <v>34419</v>
      </c>
      <c r="L10311" s="0" t="str">
        <f aca="false">HYPERLINK("https://www.ncbi.nlm.nih.gov/nuccore/CP000304.1?report=graph&amp;tracks=[key:gene_model_track,Options:GeneOnly]&amp;mk=2908633:2908652|offset_0|444444,2908611:2908630|offset_22|444444,2908586:2908605|offset_47|00cc00,2908565:2908584|offset_68|444444&amp;v=2908432:2908784&amp;c=444444", "offset 47")</f>
        <v>offset 47</v>
      </c>
    </row>
    <row r="10312" customFormat="false" ht="12.8" hidden="false" customHeight="false" outlineLevel="0" collapsed="false">
      <c r="A10312" s="0" t="s">
        <v>12</v>
      </c>
      <c r="B10312" s="0" t="n">
        <v>2908564</v>
      </c>
      <c r="C10312" s="0" t="n">
        <v>2908584</v>
      </c>
      <c r="D10312" s="0" t="s">
        <v>34409</v>
      </c>
      <c r="E10312" s="0" t="s">
        <v>34410</v>
      </c>
      <c r="F10312" s="0" t="s">
        <v>90</v>
      </c>
      <c r="G10312" s="0" t="s">
        <v>26</v>
      </c>
      <c r="H10312" s="0" t="n">
        <v>68</v>
      </c>
      <c r="I10312" s="0" t="s">
        <v>34420</v>
      </c>
      <c r="J10312" s="0" t="s">
        <v>34421</v>
      </c>
      <c r="K10312" s="0" t="s">
        <v>34422</v>
      </c>
      <c r="L10312" s="0" t="str">
        <f aca="false">HYPERLINK("https://www.ncbi.nlm.nih.gov/nuccore/CP000304.1?report=graph&amp;tracks=[key:gene_model_track,Options:GeneOnly]&amp;mk=2908633:2908652|offset_0|444444,2908611:2908630|offset_22|444444,2908586:2908605|offset_47|444444,2908565:2908584|offset_68|00cc00&amp;v=2908432:2908784&amp;c=444444", "offset 68")</f>
        <v>offset 68</v>
      </c>
    </row>
    <row r="10313" customFormat="false" ht="12.8" hidden="false" customHeight="false" outlineLevel="0" collapsed="false">
      <c r="A10313" s="0" t="s">
        <v>12</v>
      </c>
      <c r="B10313" s="0" t="n">
        <v>2908800</v>
      </c>
      <c r="C10313" s="0" t="n">
        <v>2908820</v>
      </c>
      <c r="D10313" s="0" t="s">
        <v>34423</v>
      </c>
      <c r="E10313" s="0" t="s">
        <v>89</v>
      </c>
      <c r="F10313" s="0" t="s">
        <v>15</v>
      </c>
      <c r="G10313" s="0" t="s">
        <v>16</v>
      </c>
      <c r="H10313" s="0" t="n">
        <v>34</v>
      </c>
      <c r="I10313" s="0" t="s">
        <v>34424</v>
      </c>
      <c r="J10313" s="0" t="s">
        <v>34425</v>
      </c>
      <c r="K10313" s="0" t="s">
        <v>34426</v>
      </c>
      <c r="L10313" s="0" t="str">
        <f aca="false">HYPERLINK("https://www.ncbi.nlm.nih.gov/nuccore/CP000304.1?report=graph&amp;tracks=[key:gene_model_track,Options:GeneOnly]&amp;mk=2908801:2908820|offset_34|00cc00,2908848:2908867|offset_81|444444,2908899:2908918|offset_132|444444,2908922:2908941|offset_155|444444&amp;v=2908600:2909141&amp;c=444444", "offset 34")</f>
        <v>offset 34</v>
      </c>
    </row>
    <row r="10314" customFormat="false" ht="12.8" hidden="false" customHeight="false" outlineLevel="0" collapsed="false">
      <c r="A10314" s="0" t="s">
        <v>12</v>
      </c>
      <c r="B10314" s="0" t="n">
        <v>2908847</v>
      </c>
      <c r="C10314" s="0" t="n">
        <v>2908867</v>
      </c>
      <c r="D10314" s="0" t="s">
        <v>34423</v>
      </c>
      <c r="E10314" s="0" t="s">
        <v>89</v>
      </c>
      <c r="F10314" s="0" t="s">
        <v>15</v>
      </c>
      <c r="G10314" s="0" t="s">
        <v>16</v>
      </c>
      <c r="H10314" s="0" t="n">
        <v>81</v>
      </c>
      <c r="I10314" s="0" t="s">
        <v>34427</v>
      </c>
      <c r="J10314" s="0" t="s">
        <v>34428</v>
      </c>
      <c r="K10314" s="0" t="s">
        <v>34429</v>
      </c>
      <c r="L10314" s="0" t="str">
        <f aca="false">HYPERLINK("https://www.ncbi.nlm.nih.gov/nuccore/CP000304.1?report=graph&amp;tracks=[key:gene_model_track,Options:GeneOnly]&amp;mk=2908801:2908820|offset_34|444444,2908848:2908867|offset_81|00cc00,2908899:2908918|offset_132|444444,2908922:2908941|offset_155|444444&amp;v=2908600:2909141&amp;c=444444", "offset 81")</f>
        <v>offset 81</v>
      </c>
    </row>
    <row r="10315" customFormat="false" ht="12.8" hidden="false" customHeight="false" outlineLevel="0" collapsed="false">
      <c r="A10315" s="0" t="s">
        <v>12</v>
      </c>
      <c r="B10315" s="0" t="n">
        <v>2908898</v>
      </c>
      <c r="C10315" s="0" t="n">
        <v>2908918</v>
      </c>
      <c r="D10315" s="0" t="s">
        <v>34423</v>
      </c>
      <c r="E10315" s="0" t="s">
        <v>89</v>
      </c>
      <c r="F10315" s="0" t="s">
        <v>15</v>
      </c>
      <c r="G10315" s="0" t="s">
        <v>32</v>
      </c>
      <c r="H10315" s="0" t="n">
        <v>132</v>
      </c>
      <c r="I10315" s="0" t="s">
        <v>34430</v>
      </c>
      <c r="J10315" s="0" t="s">
        <v>34431</v>
      </c>
      <c r="K10315" s="0" t="s">
        <v>34432</v>
      </c>
      <c r="L10315" s="0" t="str">
        <f aca="false">HYPERLINK("https://www.ncbi.nlm.nih.gov/nuccore/CP000304.1?report=graph&amp;tracks=[key:gene_model_track,Options:GeneOnly]&amp;mk=2908801:2908820|offset_34|444444,2908848:2908867|offset_81|444444,2908899:2908918|offset_132|00cc00,2908922:2908941|offset_155|444444&amp;v=2908600:2909141&amp;c=444444", "offset 132")</f>
        <v>offset 132</v>
      </c>
    </row>
    <row r="10316" customFormat="false" ht="12.8" hidden="false" customHeight="false" outlineLevel="0" collapsed="false">
      <c r="A10316" s="0" t="s">
        <v>12</v>
      </c>
      <c r="B10316" s="0" t="n">
        <v>2908921</v>
      </c>
      <c r="C10316" s="0" t="n">
        <v>2908941</v>
      </c>
      <c r="D10316" s="0" t="s">
        <v>34423</v>
      </c>
      <c r="E10316" s="0" t="s">
        <v>89</v>
      </c>
      <c r="F10316" s="0" t="s">
        <v>15</v>
      </c>
      <c r="G10316" s="0" t="s">
        <v>32</v>
      </c>
      <c r="H10316" s="0" t="n">
        <v>155</v>
      </c>
      <c r="I10316" s="0" t="s">
        <v>34433</v>
      </c>
      <c r="J10316" s="0" t="s">
        <v>34434</v>
      </c>
      <c r="K10316" s="0" t="s">
        <v>34435</v>
      </c>
      <c r="L10316" s="0" t="str">
        <f aca="false">HYPERLINK("https://www.ncbi.nlm.nih.gov/nuccore/CP000304.1?report=graph&amp;tracks=[key:gene_model_track,Options:GeneOnly]&amp;mk=2908801:2908820|offset_34|444444,2908848:2908867|offset_81|444444,2908899:2908918|offset_132|444444,2908922:2908941|offset_155|00cc00&amp;v=2908600:2909141&amp;c=444444", "offset 155")</f>
        <v>offset 155</v>
      </c>
    </row>
    <row r="10317" customFormat="false" ht="12.8" hidden="false" customHeight="false" outlineLevel="0" collapsed="false">
      <c r="A10317" s="0" t="s">
        <v>12</v>
      </c>
      <c r="B10317" s="0" t="n">
        <v>2909225</v>
      </c>
      <c r="C10317" s="0" t="n">
        <v>2909245</v>
      </c>
      <c r="D10317" s="0" t="s">
        <v>34436</v>
      </c>
      <c r="E10317" s="0" t="s">
        <v>89</v>
      </c>
      <c r="F10317" s="0" t="s">
        <v>15</v>
      </c>
      <c r="G10317" s="0" t="s">
        <v>26</v>
      </c>
      <c r="H10317" s="0" t="n">
        <v>6</v>
      </c>
      <c r="I10317" s="0" t="s">
        <v>34437</v>
      </c>
      <c r="J10317" s="0" t="s">
        <v>34438</v>
      </c>
      <c r="K10317" s="0" t="s">
        <v>34439</v>
      </c>
      <c r="L10317" s="0" t="str">
        <f aca="false">HYPERLINK("https://www.ncbi.nlm.nih.gov/nuccore/CP000304.1?report=graph&amp;tracks=[key:gene_model_track,Options:GeneOnly]&amp;mk=2909226:2909245|offset_6|00cc00,2909274:2909293|offset_54|444444,2909309:2909328|offset_89|444444,2909333:2909352|offset_113|444444&amp;v=2909025:2909552&amp;c=444444", "offset 6")</f>
        <v>offset 6</v>
      </c>
    </row>
    <row r="10318" customFormat="false" ht="12.8" hidden="false" customHeight="false" outlineLevel="0" collapsed="false">
      <c r="A10318" s="0" t="s">
        <v>12</v>
      </c>
      <c r="B10318" s="0" t="n">
        <v>2909273</v>
      </c>
      <c r="C10318" s="0" t="n">
        <v>2909293</v>
      </c>
      <c r="D10318" s="0" t="s">
        <v>34436</v>
      </c>
      <c r="E10318" s="0" t="s">
        <v>89</v>
      </c>
      <c r="F10318" s="0" t="s">
        <v>15</v>
      </c>
      <c r="G10318" s="0" t="s">
        <v>16</v>
      </c>
      <c r="H10318" s="0" t="n">
        <v>54</v>
      </c>
      <c r="I10318" s="0" t="s">
        <v>34440</v>
      </c>
      <c r="J10318" s="0" t="s">
        <v>34441</v>
      </c>
      <c r="K10318" s="0" t="s">
        <v>34442</v>
      </c>
      <c r="L10318" s="0" t="str">
        <f aca="false">HYPERLINK("https://www.ncbi.nlm.nih.gov/nuccore/CP000304.1?report=graph&amp;tracks=[key:gene_model_track,Options:GeneOnly]&amp;mk=2909226:2909245|offset_6|444444,2909274:2909293|offset_54|00cc00,2909309:2909328|offset_89|444444,2909333:2909352|offset_113|444444&amp;v=2909025:2909552&amp;c=444444", "offset 54")</f>
        <v>offset 54</v>
      </c>
    </row>
    <row r="10319" customFormat="false" ht="12.8" hidden="false" customHeight="false" outlineLevel="0" collapsed="false">
      <c r="A10319" s="0" t="s">
        <v>12</v>
      </c>
      <c r="B10319" s="0" t="n">
        <v>2909308</v>
      </c>
      <c r="C10319" s="0" t="n">
        <v>2909328</v>
      </c>
      <c r="D10319" s="0" t="s">
        <v>34436</v>
      </c>
      <c r="E10319" s="0" t="s">
        <v>89</v>
      </c>
      <c r="F10319" s="0" t="s">
        <v>15</v>
      </c>
      <c r="G10319" s="0" t="s">
        <v>26</v>
      </c>
      <c r="H10319" s="0" t="n">
        <v>89</v>
      </c>
      <c r="I10319" s="0" t="s">
        <v>34443</v>
      </c>
      <c r="J10319" s="0" t="s">
        <v>34444</v>
      </c>
      <c r="K10319" s="0" t="s">
        <v>34445</v>
      </c>
      <c r="L10319" s="0" t="str">
        <f aca="false">HYPERLINK("https://www.ncbi.nlm.nih.gov/nuccore/CP000304.1?report=graph&amp;tracks=[key:gene_model_track,Options:GeneOnly]&amp;mk=2909226:2909245|offset_6|444444,2909274:2909293|offset_54|444444,2909309:2909328|offset_89|00cc00,2909333:2909352|offset_113|444444&amp;v=2909025:2909552&amp;c=444444", "offset 89")</f>
        <v>offset 89</v>
      </c>
    </row>
    <row r="10320" customFormat="false" ht="12.8" hidden="false" customHeight="false" outlineLevel="0" collapsed="false">
      <c r="A10320" s="0" t="s">
        <v>12</v>
      </c>
      <c r="B10320" s="0" t="n">
        <v>2909332</v>
      </c>
      <c r="C10320" s="0" t="n">
        <v>2909352</v>
      </c>
      <c r="D10320" s="0" t="s">
        <v>34436</v>
      </c>
      <c r="E10320" s="0" t="s">
        <v>89</v>
      </c>
      <c r="F10320" s="0" t="s">
        <v>15</v>
      </c>
      <c r="G10320" s="0" t="s">
        <v>16</v>
      </c>
      <c r="H10320" s="0" t="n">
        <v>113</v>
      </c>
      <c r="I10320" s="0" t="s">
        <v>34446</v>
      </c>
      <c r="J10320" s="0" t="s">
        <v>34447</v>
      </c>
      <c r="K10320" s="0" t="s">
        <v>34448</v>
      </c>
      <c r="L10320" s="0" t="str">
        <f aca="false">HYPERLINK("https://www.ncbi.nlm.nih.gov/nuccore/CP000304.1?report=graph&amp;tracks=[key:gene_model_track,Options:GeneOnly]&amp;mk=2909226:2909245|offset_6|444444,2909274:2909293|offset_54|444444,2909309:2909328|offset_89|444444,2909333:2909352|offset_113|00cc00&amp;v=2909025:2909552&amp;c=444444", "offset 113")</f>
        <v>offset 113</v>
      </c>
    </row>
    <row r="10321" customFormat="false" ht="12.8" hidden="false" customHeight="false" outlineLevel="0" collapsed="false">
      <c r="A10321" s="0" t="s">
        <v>12</v>
      </c>
      <c r="B10321" s="0" t="n">
        <v>2910530</v>
      </c>
      <c r="C10321" s="0" t="n">
        <v>2910550</v>
      </c>
      <c r="D10321" s="0" t="s">
        <v>34449</v>
      </c>
      <c r="E10321" s="0" t="s">
        <v>34450</v>
      </c>
      <c r="F10321" s="0" t="s">
        <v>15</v>
      </c>
      <c r="G10321" s="0" t="s">
        <v>16</v>
      </c>
      <c r="H10321" s="0" t="n">
        <v>35</v>
      </c>
      <c r="I10321" s="0" t="s">
        <v>34451</v>
      </c>
      <c r="J10321" s="0" t="s">
        <v>34452</v>
      </c>
      <c r="K10321" s="0" t="s">
        <v>34453</v>
      </c>
      <c r="L10321" s="0" t="str">
        <f aca="false">HYPERLINK("https://www.ncbi.nlm.nih.gov/nuccore/CP000304.1?report=graph&amp;tracks=[key:gene_model_track,Options:GeneOnly]&amp;mk=2910531:2910550|offset_35|00cc00,2910554:2910573|offset_58|444444,2910575:2910594|offset_79|444444,2910609:2910628|offset_113|444444&amp;v=2910330:2910828&amp;c=444444", "offset 35")</f>
        <v>offset 35</v>
      </c>
    </row>
    <row r="10322" customFormat="false" ht="12.8" hidden="false" customHeight="false" outlineLevel="0" collapsed="false">
      <c r="A10322" s="0" t="s">
        <v>12</v>
      </c>
      <c r="B10322" s="0" t="n">
        <v>2910553</v>
      </c>
      <c r="C10322" s="0" t="n">
        <v>2910573</v>
      </c>
      <c r="D10322" s="0" t="s">
        <v>34449</v>
      </c>
      <c r="E10322" s="0" t="s">
        <v>34450</v>
      </c>
      <c r="F10322" s="0" t="s">
        <v>15</v>
      </c>
      <c r="G10322" s="0" t="s">
        <v>32</v>
      </c>
      <c r="H10322" s="0" t="n">
        <v>58</v>
      </c>
      <c r="I10322" s="0" t="s">
        <v>34454</v>
      </c>
      <c r="J10322" s="0" t="s">
        <v>34455</v>
      </c>
      <c r="K10322" s="0" t="s">
        <v>34456</v>
      </c>
      <c r="L10322" s="0" t="str">
        <f aca="false">HYPERLINK("https://www.ncbi.nlm.nih.gov/nuccore/CP000304.1?report=graph&amp;tracks=[key:gene_model_track,Options:GeneOnly]&amp;mk=2910531:2910550|offset_35|444444,2910554:2910573|offset_58|00cc00,2910575:2910594|offset_79|444444,2910609:2910628|offset_113|444444&amp;v=2910330:2910828&amp;c=444444", "offset 58")</f>
        <v>offset 58</v>
      </c>
    </row>
    <row r="10323" customFormat="false" ht="12.8" hidden="false" customHeight="false" outlineLevel="0" collapsed="false">
      <c r="A10323" s="0" t="s">
        <v>12</v>
      </c>
      <c r="B10323" s="0" t="n">
        <v>2910574</v>
      </c>
      <c r="C10323" s="0" t="n">
        <v>2910594</v>
      </c>
      <c r="D10323" s="0" t="s">
        <v>34449</v>
      </c>
      <c r="E10323" s="0" t="s">
        <v>34450</v>
      </c>
      <c r="F10323" s="0" t="s">
        <v>15</v>
      </c>
      <c r="G10323" s="0" t="s">
        <v>36</v>
      </c>
      <c r="H10323" s="0" t="n">
        <v>79</v>
      </c>
      <c r="I10323" s="0" t="s">
        <v>34457</v>
      </c>
      <c r="J10323" s="0" t="s">
        <v>34458</v>
      </c>
      <c r="K10323" s="0" t="s">
        <v>34459</v>
      </c>
      <c r="L10323" s="0" t="str">
        <f aca="false">HYPERLINK("https://www.ncbi.nlm.nih.gov/nuccore/CP000304.1?report=graph&amp;tracks=[key:gene_model_track,Options:GeneOnly]&amp;mk=2910531:2910550|offset_35|444444,2910554:2910573|offset_58|444444,2910575:2910594|offset_79|00cc00,2910609:2910628|offset_113|444444&amp;v=2910330:2910828&amp;c=444444", "offset 79")</f>
        <v>offset 79</v>
      </c>
    </row>
    <row r="10324" customFormat="false" ht="12.8" hidden="false" customHeight="false" outlineLevel="0" collapsed="false">
      <c r="A10324" s="0" t="s">
        <v>12</v>
      </c>
      <c r="B10324" s="0" t="n">
        <v>2910608</v>
      </c>
      <c r="C10324" s="0" t="n">
        <v>2910628</v>
      </c>
      <c r="D10324" s="0" t="s">
        <v>34449</v>
      </c>
      <c r="E10324" s="0" t="s">
        <v>34450</v>
      </c>
      <c r="F10324" s="0" t="s">
        <v>15</v>
      </c>
      <c r="G10324" s="0" t="s">
        <v>26</v>
      </c>
      <c r="H10324" s="0" t="n">
        <v>113</v>
      </c>
      <c r="I10324" s="0" t="s">
        <v>34460</v>
      </c>
      <c r="J10324" s="0" t="s">
        <v>34461</v>
      </c>
      <c r="K10324" s="0" t="s">
        <v>34462</v>
      </c>
      <c r="L10324" s="0" t="str">
        <f aca="false">HYPERLINK("https://www.ncbi.nlm.nih.gov/nuccore/CP000304.1?report=graph&amp;tracks=[key:gene_model_track,Options:GeneOnly]&amp;mk=2910531:2910550|offset_35|444444,2910554:2910573|offset_58|444444,2910575:2910594|offset_79|444444,2910609:2910628|offset_113|00cc00&amp;v=2910330:2910828&amp;c=444444", "offset 113")</f>
        <v>offset 113</v>
      </c>
    </row>
    <row r="10325" customFormat="false" ht="12.8" hidden="false" customHeight="false" outlineLevel="0" collapsed="false">
      <c r="A10325" s="0" t="s">
        <v>12</v>
      </c>
      <c r="B10325" s="0" t="n">
        <v>2911217</v>
      </c>
      <c r="C10325" s="0" t="n">
        <v>2911237</v>
      </c>
      <c r="D10325" s="0" t="s">
        <v>34463</v>
      </c>
      <c r="E10325" s="0" t="s">
        <v>89</v>
      </c>
      <c r="F10325" s="0" t="s">
        <v>15</v>
      </c>
      <c r="G10325" s="0" t="s">
        <v>36</v>
      </c>
      <c r="H10325" s="0" t="n">
        <v>10</v>
      </c>
      <c r="I10325" s="0" t="s">
        <v>34464</v>
      </c>
      <c r="J10325" s="0" t="s">
        <v>34465</v>
      </c>
      <c r="K10325" s="0" t="s">
        <v>34466</v>
      </c>
      <c r="L10325" s="0" t="str">
        <f aca="false">HYPERLINK("https://www.ncbi.nlm.nih.gov/nuccore/CP000304.1?report=graph&amp;tracks=[key:gene_model_track,Options:GeneOnly]&amp;mk=2911218:2911237|offset_10|00cc00,2911270:2911289|offset_62|444444,2911296:2911315|offset_88|444444,2911326:2911345|offset_118|444444&amp;v=2911017:2911545&amp;c=444444", "offset 10")</f>
        <v>offset 10</v>
      </c>
    </row>
    <row r="10326" customFormat="false" ht="12.8" hidden="false" customHeight="false" outlineLevel="0" collapsed="false">
      <c r="A10326" s="0" t="s">
        <v>12</v>
      </c>
      <c r="B10326" s="0" t="n">
        <v>2911269</v>
      </c>
      <c r="C10326" s="0" t="n">
        <v>2911289</v>
      </c>
      <c r="D10326" s="0" t="s">
        <v>34463</v>
      </c>
      <c r="E10326" s="0" t="s">
        <v>89</v>
      </c>
      <c r="F10326" s="0" t="s">
        <v>15</v>
      </c>
      <c r="G10326" s="0" t="s">
        <v>26</v>
      </c>
      <c r="H10326" s="0" t="n">
        <v>62</v>
      </c>
      <c r="I10326" s="0" t="s">
        <v>34467</v>
      </c>
      <c r="J10326" s="0" t="s">
        <v>34468</v>
      </c>
      <c r="K10326" s="0" t="s">
        <v>34469</v>
      </c>
      <c r="L10326" s="0" t="str">
        <f aca="false">HYPERLINK("https://www.ncbi.nlm.nih.gov/nuccore/CP000304.1?report=graph&amp;tracks=[key:gene_model_track,Options:GeneOnly]&amp;mk=2911218:2911237|offset_10|444444,2911270:2911289|offset_62|00cc00,2911296:2911315|offset_88|444444,2911326:2911345|offset_118|444444&amp;v=2911017:2911545&amp;c=444444", "offset 62")</f>
        <v>offset 62</v>
      </c>
    </row>
    <row r="10327" customFormat="false" ht="12.8" hidden="false" customHeight="false" outlineLevel="0" collapsed="false">
      <c r="A10327" s="0" t="s">
        <v>12</v>
      </c>
      <c r="B10327" s="0" t="n">
        <v>2911295</v>
      </c>
      <c r="C10327" s="0" t="n">
        <v>2911315</v>
      </c>
      <c r="D10327" s="0" t="s">
        <v>34463</v>
      </c>
      <c r="E10327" s="0" t="s">
        <v>89</v>
      </c>
      <c r="F10327" s="0" t="s">
        <v>15</v>
      </c>
      <c r="G10327" s="0" t="s">
        <v>32</v>
      </c>
      <c r="H10327" s="0" t="n">
        <v>88</v>
      </c>
      <c r="I10327" s="0" t="s">
        <v>34470</v>
      </c>
      <c r="J10327" s="0" t="s">
        <v>34471</v>
      </c>
      <c r="K10327" s="0" t="s">
        <v>34472</v>
      </c>
      <c r="L10327" s="0" t="str">
        <f aca="false">HYPERLINK("https://www.ncbi.nlm.nih.gov/nuccore/CP000304.1?report=graph&amp;tracks=[key:gene_model_track,Options:GeneOnly]&amp;mk=2911218:2911237|offset_10|444444,2911270:2911289|offset_62|444444,2911296:2911315|offset_88|00cc00,2911326:2911345|offset_118|444444&amp;v=2911017:2911545&amp;c=444444", "offset 88")</f>
        <v>offset 88</v>
      </c>
    </row>
    <row r="10328" customFormat="false" ht="12.8" hidden="false" customHeight="false" outlineLevel="0" collapsed="false">
      <c r="A10328" s="0" t="s">
        <v>12</v>
      </c>
      <c r="B10328" s="0" t="n">
        <v>2911325</v>
      </c>
      <c r="C10328" s="0" t="n">
        <v>2911345</v>
      </c>
      <c r="D10328" s="0" t="s">
        <v>34463</v>
      </c>
      <c r="E10328" s="0" t="s">
        <v>89</v>
      </c>
      <c r="F10328" s="0" t="s">
        <v>15</v>
      </c>
      <c r="G10328" s="0" t="s">
        <v>32</v>
      </c>
      <c r="H10328" s="0" t="n">
        <v>118</v>
      </c>
      <c r="I10328" s="0" t="s">
        <v>34473</v>
      </c>
      <c r="J10328" s="0" t="s">
        <v>34474</v>
      </c>
      <c r="K10328" s="0" t="s">
        <v>34475</v>
      </c>
      <c r="L10328" s="0" t="str">
        <f aca="false">HYPERLINK("https://www.ncbi.nlm.nih.gov/nuccore/CP000304.1?report=graph&amp;tracks=[key:gene_model_track,Options:GeneOnly]&amp;mk=2911218:2911237|offset_10|444444,2911270:2911289|offset_62|444444,2911296:2911315|offset_88|444444,2911326:2911345|offset_118|00cc00&amp;v=2911017:2911545&amp;c=444444", "offset 118")</f>
        <v>offset 118</v>
      </c>
    </row>
    <row r="10329" customFormat="false" ht="12.8" hidden="false" customHeight="false" outlineLevel="0" collapsed="false">
      <c r="A10329" s="0" t="s">
        <v>12</v>
      </c>
      <c r="B10329" s="0" t="n">
        <v>2912748</v>
      </c>
      <c r="C10329" s="0" t="n">
        <v>2912768</v>
      </c>
      <c r="D10329" s="0" t="s">
        <v>34476</v>
      </c>
      <c r="E10329" s="0" t="s">
        <v>89</v>
      </c>
      <c r="F10329" s="0" t="s">
        <v>90</v>
      </c>
      <c r="G10329" s="0" t="s">
        <v>32</v>
      </c>
      <c r="H10329" s="0" t="n">
        <v>1</v>
      </c>
      <c r="I10329" s="0" t="s">
        <v>34477</v>
      </c>
      <c r="J10329" s="0" t="s">
        <v>34478</v>
      </c>
      <c r="K10329" s="0" t="s">
        <v>34479</v>
      </c>
      <c r="L10329" s="0" t="str">
        <f aca="false">HYPERLINK("https://www.ncbi.nlm.nih.gov/nuccore/CP000304.1?report=graph&amp;tracks=[key:gene_model_track,Options:GeneOnly]&amp;mk=2912749:2912768|offset_1|00cc00,2912727:2912746|offset_23|444444,2912707:2912726|offset_43|444444,2912683:2912702|offset_67|444444&amp;v=2912548:2912902&amp;c=444444", "offset 1")</f>
        <v>offset 1</v>
      </c>
    </row>
    <row r="10330" customFormat="false" ht="12.8" hidden="false" customHeight="false" outlineLevel="0" collapsed="false">
      <c r="A10330" s="0" t="s">
        <v>12</v>
      </c>
      <c r="B10330" s="0" t="n">
        <v>2912726</v>
      </c>
      <c r="C10330" s="0" t="n">
        <v>2912746</v>
      </c>
      <c r="D10330" s="0" t="s">
        <v>34476</v>
      </c>
      <c r="E10330" s="0" t="s">
        <v>89</v>
      </c>
      <c r="F10330" s="0" t="s">
        <v>90</v>
      </c>
      <c r="G10330" s="0" t="s">
        <v>16</v>
      </c>
      <c r="H10330" s="0" t="n">
        <v>23</v>
      </c>
      <c r="I10330" s="0" t="s">
        <v>34480</v>
      </c>
      <c r="J10330" s="0" t="s">
        <v>34481</v>
      </c>
      <c r="K10330" s="0" t="s">
        <v>34482</v>
      </c>
      <c r="L10330" s="0" t="str">
        <f aca="false">HYPERLINK("https://www.ncbi.nlm.nih.gov/nuccore/CP000304.1?report=graph&amp;tracks=[key:gene_model_track,Options:GeneOnly]&amp;mk=2912749:2912768|offset_1|444444,2912727:2912746|offset_23|00cc00,2912707:2912726|offset_43|444444,2912683:2912702|offset_67|444444&amp;v=2912548:2912902&amp;c=444444", "offset 23")</f>
        <v>offset 23</v>
      </c>
    </row>
    <row r="10331" customFormat="false" ht="12.8" hidden="false" customHeight="false" outlineLevel="0" collapsed="false">
      <c r="A10331" s="0" t="s">
        <v>12</v>
      </c>
      <c r="B10331" s="0" t="n">
        <v>2912706</v>
      </c>
      <c r="C10331" s="0" t="n">
        <v>2912726</v>
      </c>
      <c r="D10331" s="0" t="s">
        <v>34476</v>
      </c>
      <c r="E10331" s="0" t="s">
        <v>89</v>
      </c>
      <c r="F10331" s="0" t="s">
        <v>90</v>
      </c>
      <c r="G10331" s="0" t="s">
        <v>32</v>
      </c>
      <c r="H10331" s="0" t="n">
        <v>43</v>
      </c>
      <c r="I10331" s="0" t="s">
        <v>34483</v>
      </c>
      <c r="J10331" s="0" t="s">
        <v>34484</v>
      </c>
      <c r="K10331" s="0" t="s">
        <v>34485</v>
      </c>
      <c r="L10331" s="0" t="str">
        <f aca="false">HYPERLINK("https://www.ncbi.nlm.nih.gov/nuccore/CP000304.1?report=graph&amp;tracks=[key:gene_model_track,Options:GeneOnly]&amp;mk=2912749:2912768|offset_1|444444,2912727:2912746|offset_23|444444,2912707:2912726|offset_43|00cc00,2912683:2912702|offset_67|444444&amp;v=2912548:2912902&amp;c=444444", "offset 43")</f>
        <v>offset 43</v>
      </c>
    </row>
    <row r="10332" customFormat="false" ht="12.8" hidden="false" customHeight="false" outlineLevel="0" collapsed="false">
      <c r="A10332" s="0" t="s">
        <v>12</v>
      </c>
      <c r="B10332" s="0" t="n">
        <v>2912682</v>
      </c>
      <c r="C10332" s="0" t="n">
        <v>2912702</v>
      </c>
      <c r="D10332" s="0" t="s">
        <v>34476</v>
      </c>
      <c r="E10332" s="0" t="s">
        <v>89</v>
      </c>
      <c r="F10332" s="0" t="s">
        <v>90</v>
      </c>
      <c r="G10332" s="0" t="s">
        <v>16</v>
      </c>
      <c r="H10332" s="0" t="n">
        <v>67</v>
      </c>
      <c r="I10332" s="0" t="s">
        <v>34486</v>
      </c>
      <c r="J10332" s="0" t="s">
        <v>34487</v>
      </c>
      <c r="K10332" s="0" t="s">
        <v>34488</v>
      </c>
      <c r="L10332" s="0" t="str">
        <f aca="false">HYPERLINK("https://www.ncbi.nlm.nih.gov/nuccore/CP000304.1?report=graph&amp;tracks=[key:gene_model_track,Options:GeneOnly]&amp;mk=2912749:2912768|offset_1|444444,2912727:2912746|offset_23|444444,2912707:2912726|offset_43|444444,2912683:2912702|offset_67|00cc00&amp;v=2912548:2912902&amp;c=444444", "offset 67")</f>
        <v>offset 67</v>
      </c>
    </row>
    <row r="10333" customFormat="false" ht="12.8" hidden="false" customHeight="false" outlineLevel="0" collapsed="false">
      <c r="A10333" s="0" t="s">
        <v>12</v>
      </c>
      <c r="B10333" s="0" t="n">
        <v>2914116</v>
      </c>
      <c r="C10333" s="0" t="n">
        <v>2914136</v>
      </c>
      <c r="D10333" s="0" t="s">
        <v>34489</v>
      </c>
      <c r="E10333" s="0" t="s">
        <v>34490</v>
      </c>
      <c r="F10333" s="0" t="s">
        <v>90</v>
      </c>
      <c r="G10333" s="0" t="s">
        <v>16</v>
      </c>
      <c r="H10333" s="0" t="n">
        <v>8</v>
      </c>
      <c r="I10333" s="0" t="s">
        <v>34491</v>
      </c>
      <c r="J10333" s="0" t="s">
        <v>34492</v>
      </c>
      <c r="K10333" s="0" t="s">
        <v>34493</v>
      </c>
      <c r="L10333" s="0" t="str">
        <f aca="false">HYPERLINK("https://www.ncbi.nlm.nih.gov/nuccore/CP000304.1?report=graph&amp;tracks=[key:gene_model_track,Options:GeneOnly]&amp;mk=2914117:2914136|offset_8|00cc00,2914091:2914110|offset_34|444444,2914067:2914086|offset_58|444444,2914046:2914065|offset_79|444444&amp;v=2913916:2914265&amp;c=444444", "offset 8")</f>
        <v>offset 8</v>
      </c>
    </row>
    <row r="10334" customFormat="false" ht="12.8" hidden="false" customHeight="false" outlineLevel="0" collapsed="false">
      <c r="A10334" s="0" t="s">
        <v>12</v>
      </c>
      <c r="B10334" s="0" t="n">
        <v>2914090</v>
      </c>
      <c r="C10334" s="0" t="n">
        <v>2914110</v>
      </c>
      <c r="D10334" s="0" t="s">
        <v>34489</v>
      </c>
      <c r="E10334" s="0" t="s">
        <v>34490</v>
      </c>
      <c r="F10334" s="0" t="s">
        <v>90</v>
      </c>
      <c r="G10334" s="0" t="s">
        <v>32</v>
      </c>
      <c r="H10334" s="0" t="n">
        <v>34</v>
      </c>
      <c r="I10334" s="0" t="s">
        <v>34494</v>
      </c>
      <c r="J10334" s="0" t="s">
        <v>34495</v>
      </c>
      <c r="K10334" s="0" t="s">
        <v>34496</v>
      </c>
      <c r="L10334" s="0" t="str">
        <f aca="false">HYPERLINK("https://www.ncbi.nlm.nih.gov/nuccore/CP000304.1?report=graph&amp;tracks=[key:gene_model_track,Options:GeneOnly]&amp;mk=2914117:2914136|offset_8|444444,2914091:2914110|offset_34|00cc00,2914067:2914086|offset_58|444444,2914046:2914065|offset_79|444444&amp;v=2913916:2914265&amp;c=444444", "offset 34")</f>
        <v>offset 34</v>
      </c>
    </row>
    <row r="10335" customFormat="false" ht="12.8" hidden="false" customHeight="false" outlineLevel="0" collapsed="false">
      <c r="A10335" s="0" t="s">
        <v>12</v>
      </c>
      <c r="B10335" s="0" t="n">
        <v>2914066</v>
      </c>
      <c r="C10335" s="0" t="n">
        <v>2914086</v>
      </c>
      <c r="D10335" s="0" t="s">
        <v>34489</v>
      </c>
      <c r="E10335" s="0" t="s">
        <v>34490</v>
      </c>
      <c r="F10335" s="0" t="s">
        <v>90</v>
      </c>
      <c r="G10335" s="0" t="s">
        <v>16</v>
      </c>
      <c r="H10335" s="0" t="n">
        <v>58</v>
      </c>
      <c r="I10335" s="0" t="s">
        <v>34497</v>
      </c>
      <c r="J10335" s="0" t="s">
        <v>34498</v>
      </c>
      <c r="K10335" s="0" t="s">
        <v>34499</v>
      </c>
      <c r="L10335" s="0" t="str">
        <f aca="false">HYPERLINK("https://www.ncbi.nlm.nih.gov/nuccore/CP000304.1?report=graph&amp;tracks=[key:gene_model_track,Options:GeneOnly]&amp;mk=2914117:2914136|offset_8|444444,2914091:2914110|offset_34|444444,2914067:2914086|offset_58|00cc00,2914046:2914065|offset_79|444444&amp;v=2913916:2914265&amp;c=444444", "offset 58")</f>
        <v>offset 58</v>
      </c>
    </row>
    <row r="10336" customFormat="false" ht="12.8" hidden="false" customHeight="false" outlineLevel="0" collapsed="false">
      <c r="A10336" s="0" t="s">
        <v>12</v>
      </c>
      <c r="B10336" s="0" t="n">
        <v>2914045</v>
      </c>
      <c r="C10336" s="0" t="n">
        <v>2914065</v>
      </c>
      <c r="D10336" s="0" t="s">
        <v>34489</v>
      </c>
      <c r="E10336" s="0" t="s">
        <v>34490</v>
      </c>
      <c r="F10336" s="0" t="s">
        <v>90</v>
      </c>
      <c r="G10336" s="0" t="s">
        <v>16</v>
      </c>
      <c r="H10336" s="0" t="n">
        <v>79</v>
      </c>
      <c r="I10336" s="0" t="s">
        <v>34500</v>
      </c>
      <c r="J10336" s="0" t="s">
        <v>34501</v>
      </c>
      <c r="K10336" s="0" t="s">
        <v>34502</v>
      </c>
      <c r="L10336" s="0" t="str">
        <f aca="false">HYPERLINK("https://www.ncbi.nlm.nih.gov/nuccore/CP000304.1?report=graph&amp;tracks=[key:gene_model_track,Options:GeneOnly]&amp;mk=2914117:2914136|offset_8|444444,2914091:2914110|offset_34|444444,2914067:2914086|offset_58|444444,2914046:2914065|offset_79|00cc00&amp;v=2913916:2914265&amp;c=444444", "offset 79")</f>
        <v>offset 79</v>
      </c>
    </row>
    <row r="10337" customFormat="false" ht="12.8" hidden="false" customHeight="false" outlineLevel="0" collapsed="false">
      <c r="A10337" s="0" t="s">
        <v>12</v>
      </c>
      <c r="B10337" s="0" t="n">
        <v>2915065</v>
      </c>
      <c r="C10337" s="0" t="n">
        <v>2915085</v>
      </c>
      <c r="D10337" s="0" t="s">
        <v>34503</v>
      </c>
      <c r="E10337" s="0" t="s">
        <v>89</v>
      </c>
      <c r="F10337" s="0" t="s">
        <v>90</v>
      </c>
      <c r="G10337" s="0" t="s">
        <v>36</v>
      </c>
      <c r="H10337" s="0" t="n">
        <v>37</v>
      </c>
      <c r="I10337" s="0" t="s">
        <v>34504</v>
      </c>
      <c r="J10337" s="0" t="s">
        <v>34505</v>
      </c>
      <c r="K10337" s="0" t="s">
        <v>34506</v>
      </c>
      <c r="L10337" s="0" t="str">
        <f aca="false">HYPERLINK("https://www.ncbi.nlm.nih.gov/nuccore/CP000304.1?report=graph&amp;tracks=[key:gene_model_track,Options:GeneOnly]&amp;mk=2915066:2915085|offset_37|00cc00,2915024:2915043|offset_79|444444,2914979:2914998|offset_124|444444,2914942:2914961|offset_161|444444&amp;v=2914865:2915161&amp;c=444444", "offset 37")</f>
        <v>offset 37</v>
      </c>
    </row>
    <row r="10338" customFormat="false" ht="12.8" hidden="false" customHeight="false" outlineLevel="0" collapsed="false">
      <c r="A10338" s="0" t="s">
        <v>12</v>
      </c>
      <c r="B10338" s="0" t="n">
        <v>2915023</v>
      </c>
      <c r="C10338" s="0" t="n">
        <v>2915043</v>
      </c>
      <c r="D10338" s="0" t="s">
        <v>34503</v>
      </c>
      <c r="E10338" s="0" t="s">
        <v>89</v>
      </c>
      <c r="F10338" s="0" t="s">
        <v>90</v>
      </c>
      <c r="G10338" s="0" t="s">
        <v>36</v>
      </c>
      <c r="H10338" s="0" t="n">
        <v>79</v>
      </c>
      <c r="I10338" s="0" t="s">
        <v>34507</v>
      </c>
      <c r="J10338" s="0" t="s">
        <v>34508</v>
      </c>
      <c r="K10338" s="0" t="s">
        <v>34509</v>
      </c>
      <c r="L10338" s="0" t="str">
        <f aca="false">HYPERLINK("https://www.ncbi.nlm.nih.gov/nuccore/CP000304.1?report=graph&amp;tracks=[key:gene_model_track,Options:GeneOnly]&amp;mk=2915066:2915085|offset_37|444444,2915024:2915043|offset_79|00cc00,2914979:2914998|offset_124|444444,2914942:2914961|offset_161|444444&amp;v=2914865:2915161&amp;c=444444", "offset 79")</f>
        <v>offset 79</v>
      </c>
    </row>
    <row r="10339" customFormat="false" ht="12.8" hidden="false" customHeight="false" outlineLevel="0" collapsed="false">
      <c r="A10339" s="0" t="s">
        <v>12</v>
      </c>
      <c r="B10339" s="0" t="n">
        <v>2914978</v>
      </c>
      <c r="C10339" s="0" t="n">
        <v>2914998</v>
      </c>
      <c r="D10339" s="0" t="s">
        <v>34503</v>
      </c>
      <c r="E10339" s="0" t="s">
        <v>89</v>
      </c>
      <c r="F10339" s="0" t="s">
        <v>90</v>
      </c>
      <c r="G10339" s="0" t="s">
        <v>16</v>
      </c>
      <c r="H10339" s="0" t="n">
        <v>124</v>
      </c>
      <c r="I10339" s="0" t="s">
        <v>34510</v>
      </c>
      <c r="J10339" s="0" t="s">
        <v>34511</v>
      </c>
      <c r="K10339" s="0" t="s">
        <v>34512</v>
      </c>
      <c r="L10339" s="0" t="str">
        <f aca="false">HYPERLINK("https://www.ncbi.nlm.nih.gov/nuccore/CP000304.1?report=graph&amp;tracks=[key:gene_model_track,Options:GeneOnly]&amp;mk=2915066:2915085|offset_37|444444,2915024:2915043|offset_79|444444,2914979:2914998|offset_124|00cc00,2914942:2914961|offset_161|444444&amp;v=2914865:2915161&amp;c=444444", "offset 124")</f>
        <v>offset 124</v>
      </c>
    </row>
    <row r="10340" customFormat="false" ht="12.8" hidden="false" customHeight="false" outlineLevel="0" collapsed="false">
      <c r="A10340" s="0" t="s">
        <v>12</v>
      </c>
      <c r="B10340" s="0" t="n">
        <v>2914941</v>
      </c>
      <c r="C10340" s="0" t="n">
        <v>2914961</v>
      </c>
      <c r="D10340" s="0" t="s">
        <v>34503</v>
      </c>
      <c r="E10340" s="0" t="s">
        <v>89</v>
      </c>
      <c r="F10340" s="0" t="s">
        <v>90</v>
      </c>
      <c r="G10340" s="0" t="s">
        <v>26</v>
      </c>
      <c r="H10340" s="0" t="n">
        <v>161</v>
      </c>
      <c r="I10340" s="0" t="s">
        <v>34513</v>
      </c>
      <c r="J10340" s="0" t="s">
        <v>34514</v>
      </c>
      <c r="K10340" s="0" t="s">
        <v>34515</v>
      </c>
      <c r="L10340" s="0" t="str">
        <f aca="false">HYPERLINK("https://www.ncbi.nlm.nih.gov/nuccore/CP000304.1?report=graph&amp;tracks=[key:gene_model_track,Options:GeneOnly]&amp;mk=2915066:2915085|offset_37|444444,2915024:2915043|offset_79|444444,2914979:2914998|offset_124|444444,2914942:2914961|offset_161|00cc00&amp;v=2914865:2915161&amp;c=444444", "offset 161")</f>
        <v>offset 161</v>
      </c>
    </row>
    <row r="10341" customFormat="false" ht="12.8" hidden="false" customHeight="false" outlineLevel="0" collapsed="false">
      <c r="A10341" s="0" t="s">
        <v>12</v>
      </c>
      <c r="B10341" s="0" t="n">
        <v>2915257</v>
      </c>
      <c r="C10341" s="0" t="n">
        <v>2915277</v>
      </c>
      <c r="D10341" s="0" t="s">
        <v>34516</v>
      </c>
      <c r="E10341" s="0" t="s">
        <v>34517</v>
      </c>
      <c r="F10341" s="0" t="s">
        <v>15</v>
      </c>
      <c r="G10341" s="0" t="s">
        <v>16</v>
      </c>
      <c r="H10341" s="0" t="n">
        <v>7</v>
      </c>
      <c r="I10341" s="0" t="s">
        <v>34518</v>
      </c>
      <c r="J10341" s="0" t="s">
        <v>34519</v>
      </c>
      <c r="K10341" s="0" t="s">
        <v>34520</v>
      </c>
      <c r="L10341" s="0" t="str">
        <f aca="false">HYPERLINK("https://www.ncbi.nlm.nih.gov/nuccore/CP000304.1?report=graph&amp;tracks=[key:gene_model_track,Options:GeneOnly]&amp;mk=2915258:2915277|offset_7|00cc00,2915279:2915298|offset_28|444444,2915307:2915326|offset_56|444444,2915340:2915359|offset_89|444444&amp;v=2915057:2915559&amp;c=444444", "offset 7")</f>
        <v>offset 7</v>
      </c>
    </row>
    <row r="10342" customFormat="false" ht="12.8" hidden="false" customHeight="false" outlineLevel="0" collapsed="false">
      <c r="A10342" s="0" t="s">
        <v>12</v>
      </c>
      <c r="B10342" s="0" t="n">
        <v>2915278</v>
      </c>
      <c r="C10342" s="0" t="n">
        <v>2915298</v>
      </c>
      <c r="D10342" s="0" t="s">
        <v>34516</v>
      </c>
      <c r="E10342" s="0" t="s">
        <v>34517</v>
      </c>
      <c r="F10342" s="0" t="s">
        <v>15</v>
      </c>
      <c r="G10342" s="0" t="s">
        <v>36</v>
      </c>
      <c r="H10342" s="0" t="n">
        <v>28</v>
      </c>
      <c r="I10342" s="0" t="s">
        <v>34521</v>
      </c>
      <c r="J10342" s="0" t="s">
        <v>34522</v>
      </c>
      <c r="K10342" s="0" t="s">
        <v>34523</v>
      </c>
      <c r="L10342" s="0" t="str">
        <f aca="false">HYPERLINK("https://www.ncbi.nlm.nih.gov/nuccore/CP000304.1?report=graph&amp;tracks=[key:gene_model_track,Options:GeneOnly]&amp;mk=2915258:2915277|offset_7|444444,2915279:2915298|offset_28|00cc00,2915307:2915326|offset_56|444444,2915340:2915359|offset_89|444444&amp;v=2915057:2915559&amp;c=444444", "offset 28")</f>
        <v>offset 28</v>
      </c>
    </row>
    <row r="10343" customFormat="false" ht="12.8" hidden="false" customHeight="false" outlineLevel="0" collapsed="false">
      <c r="A10343" s="0" t="s">
        <v>12</v>
      </c>
      <c r="B10343" s="0" t="n">
        <v>2915306</v>
      </c>
      <c r="C10343" s="0" t="n">
        <v>2915326</v>
      </c>
      <c r="D10343" s="0" t="s">
        <v>34516</v>
      </c>
      <c r="E10343" s="0" t="s">
        <v>34517</v>
      </c>
      <c r="F10343" s="0" t="s">
        <v>15</v>
      </c>
      <c r="G10343" s="0" t="s">
        <v>16</v>
      </c>
      <c r="H10343" s="0" t="n">
        <v>56</v>
      </c>
      <c r="I10343" s="0" t="s">
        <v>34524</v>
      </c>
      <c r="J10343" s="0" t="s">
        <v>34525</v>
      </c>
      <c r="K10343" s="0" t="s">
        <v>34526</v>
      </c>
      <c r="L10343" s="0" t="str">
        <f aca="false">HYPERLINK("https://www.ncbi.nlm.nih.gov/nuccore/CP000304.1?report=graph&amp;tracks=[key:gene_model_track,Options:GeneOnly]&amp;mk=2915258:2915277|offset_7|444444,2915279:2915298|offset_28|444444,2915307:2915326|offset_56|00cc00,2915340:2915359|offset_89|444444&amp;v=2915057:2915559&amp;c=444444", "offset 56")</f>
        <v>offset 56</v>
      </c>
    </row>
    <row r="10344" customFormat="false" ht="12.8" hidden="false" customHeight="false" outlineLevel="0" collapsed="false">
      <c r="A10344" s="0" t="s">
        <v>12</v>
      </c>
      <c r="B10344" s="0" t="n">
        <v>2915339</v>
      </c>
      <c r="C10344" s="0" t="n">
        <v>2915359</v>
      </c>
      <c r="D10344" s="0" t="s">
        <v>34516</v>
      </c>
      <c r="E10344" s="0" t="s">
        <v>34517</v>
      </c>
      <c r="F10344" s="0" t="s">
        <v>15</v>
      </c>
      <c r="G10344" s="0" t="s">
        <v>32</v>
      </c>
      <c r="H10344" s="0" t="n">
        <v>89</v>
      </c>
      <c r="I10344" s="0" t="s">
        <v>34527</v>
      </c>
      <c r="J10344" s="0" t="s">
        <v>34528</v>
      </c>
      <c r="K10344" s="0" t="s">
        <v>34529</v>
      </c>
      <c r="L10344" s="0" t="str">
        <f aca="false">HYPERLINK("https://www.ncbi.nlm.nih.gov/nuccore/CP000304.1?report=graph&amp;tracks=[key:gene_model_track,Options:GeneOnly]&amp;mk=2915258:2915277|offset_7|444444,2915279:2915298|offset_28|444444,2915307:2915326|offset_56|444444,2915340:2915359|offset_89|00cc00&amp;v=2915057:2915559&amp;c=444444", "offset 89")</f>
        <v>offset 89</v>
      </c>
    </row>
    <row r="10345" customFormat="false" ht="12.8" hidden="false" customHeight="false" outlineLevel="0" collapsed="false">
      <c r="A10345" s="0" t="s">
        <v>12</v>
      </c>
      <c r="B10345" s="0" t="n">
        <v>2916450</v>
      </c>
      <c r="C10345" s="0" t="n">
        <v>2916470</v>
      </c>
      <c r="D10345" s="0" t="s">
        <v>34530</v>
      </c>
      <c r="E10345" s="0" t="s">
        <v>34531</v>
      </c>
      <c r="F10345" s="0" t="s">
        <v>15</v>
      </c>
      <c r="G10345" s="0" t="s">
        <v>26</v>
      </c>
      <c r="H10345" s="0" t="n">
        <v>7</v>
      </c>
      <c r="I10345" s="0" t="s">
        <v>34532</v>
      </c>
      <c r="J10345" s="0" t="s">
        <v>34533</v>
      </c>
      <c r="K10345" s="0" t="s">
        <v>34534</v>
      </c>
      <c r="L10345" s="0" t="str">
        <f aca="false">HYPERLINK("https://www.ncbi.nlm.nih.gov/nuccore/CP000304.1?report=graph&amp;tracks=[key:gene_model_track,Options:GeneOnly]&amp;mk=2916451:2916470|offset_7|00cc00,2916485:2916504|offset_41|444444,2916507:2916526|offset_63|444444,2916527:2916546|offset_83|444444&amp;v=2916250:2916746&amp;c=444444", "offset 7")</f>
        <v>offset 7</v>
      </c>
    </row>
    <row r="10346" customFormat="false" ht="12.8" hidden="false" customHeight="false" outlineLevel="0" collapsed="false">
      <c r="A10346" s="0" t="s">
        <v>12</v>
      </c>
      <c r="B10346" s="0" t="n">
        <v>2916484</v>
      </c>
      <c r="C10346" s="0" t="n">
        <v>2916504</v>
      </c>
      <c r="D10346" s="0" t="s">
        <v>34530</v>
      </c>
      <c r="E10346" s="0" t="s">
        <v>34531</v>
      </c>
      <c r="F10346" s="0" t="s">
        <v>15</v>
      </c>
      <c r="G10346" s="0" t="s">
        <v>32</v>
      </c>
      <c r="H10346" s="0" t="n">
        <v>41</v>
      </c>
      <c r="I10346" s="0" t="s">
        <v>34535</v>
      </c>
      <c r="J10346" s="0" t="s">
        <v>34536</v>
      </c>
      <c r="K10346" s="0" t="s">
        <v>34537</v>
      </c>
      <c r="L10346" s="0" t="str">
        <f aca="false">HYPERLINK("https://www.ncbi.nlm.nih.gov/nuccore/CP000304.1?report=graph&amp;tracks=[key:gene_model_track,Options:GeneOnly]&amp;mk=2916451:2916470|offset_7|444444,2916485:2916504|offset_41|00cc00,2916507:2916526|offset_63|444444,2916527:2916546|offset_83|444444&amp;v=2916250:2916746&amp;c=444444", "offset 41")</f>
        <v>offset 41</v>
      </c>
    </row>
    <row r="10347" customFormat="false" ht="12.8" hidden="false" customHeight="false" outlineLevel="0" collapsed="false">
      <c r="A10347" s="0" t="s">
        <v>12</v>
      </c>
      <c r="B10347" s="0" t="n">
        <v>2916506</v>
      </c>
      <c r="C10347" s="0" t="n">
        <v>2916526</v>
      </c>
      <c r="D10347" s="0" t="s">
        <v>34530</v>
      </c>
      <c r="E10347" s="0" t="s">
        <v>34531</v>
      </c>
      <c r="F10347" s="0" t="s">
        <v>15</v>
      </c>
      <c r="G10347" s="0" t="s">
        <v>36</v>
      </c>
      <c r="H10347" s="0" t="n">
        <v>63</v>
      </c>
      <c r="I10347" s="0" t="s">
        <v>34538</v>
      </c>
      <c r="J10347" s="0" t="s">
        <v>34539</v>
      </c>
      <c r="K10347" s="0" t="s">
        <v>34540</v>
      </c>
      <c r="L10347" s="0" t="str">
        <f aca="false">HYPERLINK("https://www.ncbi.nlm.nih.gov/nuccore/CP000304.1?report=graph&amp;tracks=[key:gene_model_track,Options:GeneOnly]&amp;mk=2916451:2916470|offset_7|444444,2916485:2916504|offset_41|444444,2916507:2916526|offset_63|00cc00,2916527:2916546|offset_83|444444&amp;v=2916250:2916746&amp;c=444444", "offset 63")</f>
        <v>offset 63</v>
      </c>
    </row>
    <row r="10348" customFormat="false" ht="12.8" hidden="false" customHeight="false" outlineLevel="0" collapsed="false">
      <c r="A10348" s="0" t="s">
        <v>12</v>
      </c>
      <c r="B10348" s="0" t="n">
        <v>2916526</v>
      </c>
      <c r="C10348" s="0" t="n">
        <v>2916546</v>
      </c>
      <c r="D10348" s="0" t="s">
        <v>34530</v>
      </c>
      <c r="E10348" s="0" t="s">
        <v>34531</v>
      </c>
      <c r="F10348" s="0" t="s">
        <v>15</v>
      </c>
      <c r="G10348" s="0" t="s">
        <v>16</v>
      </c>
      <c r="H10348" s="0" t="n">
        <v>83</v>
      </c>
      <c r="I10348" s="0" t="s">
        <v>34541</v>
      </c>
      <c r="J10348" s="0" t="s">
        <v>34542</v>
      </c>
      <c r="K10348" s="0" t="s">
        <v>34543</v>
      </c>
      <c r="L10348" s="0" t="str">
        <f aca="false">HYPERLINK("https://www.ncbi.nlm.nih.gov/nuccore/CP000304.1?report=graph&amp;tracks=[key:gene_model_track,Options:GeneOnly]&amp;mk=2916451:2916470|offset_7|444444,2916485:2916504|offset_41|444444,2916507:2916526|offset_63|444444,2916527:2916546|offset_83|00cc00&amp;v=2916250:2916746&amp;c=444444", "offset 83")</f>
        <v>offset 83</v>
      </c>
    </row>
    <row r="10349" customFormat="false" ht="12.8" hidden="false" customHeight="false" outlineLevel="0" collapsed="false">
      <c r="A10349" s="0" t="s">
        <v>12</v>
      </c>
      <c r="B10349" s="0" t="n">
        <v>2917258</v>
      </c>
      <c r="C10349" s="0" t="n">
        <v>2917278</v>
      </c>
      <c r="D10349" s="0" t="s">
        <v>34544</v>
      </c>
      <c r="E10349" s="0" t="s">
        <v>89</v>
      </c>
      <c r="F10349" s="0" t="s">
        <v>15</v>
      </c>
      <c r="G10349" s="0" t="s">
        <v>36</v>
      </c>
      <c r="H10349" s="0" t="n">
        <v>0</v>
      </c>
      <c r="I10349" s="0" t="s">
        <v>34545</v>
      </c>
      <c r="J10349" s="0" t="s">
        <v>34546</v>
      </c>
      <c r="K10349" s="0" t="s">
        <v>34547</v>
      </c>
      <c r="L10349" s="0" t="str">
        <f aca="false">HYPERLINK("https://www.ncbi.nlm.nih.gov/nuccore/CP000304.1?report=graph&amp;tracks=[key:gene_model_track,Options:GeneOnly]&amp;mk=2917259:2917278|offset_0|00cc00,2917288:2917307|offset_29|444444,2917311:2917330|offset_52|444444,2917335:2917354|offset_76|444444&amp;v=2917058:2917554&amp;c=444444", "offset 0")</f>
        <v>offset 0</v>
      </c>
    </row>
    <row r="10350" customFormat="false" ht="12.8" hidden="false" customHeight="false" outlineLevel="0" collapsed="false">
      <c r="A10350" s="0" t="s">
        <v>12</v>
      </c>
      <c r="B10350" s="0" t="n">
        <v>2917287</v>
      </c>
      <c r="C10350" s="0" t="n">
        <v>2917307</v>
      </c>
      <c r="D10350" s="0" t="s">
        <v>34544</v>
      </c>
      <c r="E10350" s="0" t="s">
        <v>89</v>
      </c>
      <c r="F10350" s="0" t="s">
        <v>15</v>
      </c>
      <c r="G10350" s="0" t="s">
        <v>26</v>
      </c>
      <c r="H10350" s="0" t="n">
        <v>29</v>
      </c>
      <c r="I10350" s="0" t="s">
        <v>34548</v>
      </c>
      <c r="J10350" s="0" t="s">
        <v>34549</v>
      </c>
      <c r="K10350" s="0" t="s">
        <v>34550</v>
      </c>
      <c r="L10350" s="0" t="str">
        <f aca="false">HYPERLINK("https://www.ncbi.nlm.nih.gov/nuccore/CP000304.1?report=graph&amp;tracks=[key:gene_model_track,Options:GeneOnly]&amp;mk=2917259:2917278|offset_0|444444,2917288:2917307|offset_29|00cc00,2917311:2917330|offset_52|444444,2917335:2917354|offset_76|444444&amp;v=2917058:2917554&amp;c=444444", "offset 29")</f>
        <v>offset 29</v>
      </c>
    </row>
    <row r="10351" customFormat="false" ht="12.8" hidden="false" customHeight="false" outlineLevel="0" collapsed="false">
      <c r="A10351" s="0" t="s">
        <v>12</v>
      </c>
      <c r="B10351" s="0" t="n">
        <v>2917310</v>
      </c>
      <c r="C10351" s="0" t="n">
        <v>2917330</v>
      </c>
      <c r="D10351" s="0" t="s">
        <v>34544</v>
      </c>
      <c r="E10351" s="0" t="s">
        <v>89</v>
      </c>
      <c r="F10351" s="0" t="s">
        <v>15</v>
      </c>
      <c r="G10351" s="0" t="s">
        <v>16</v>
      </c>
      <c r="H10351" s="0" t="n">
        <v>52</v>
      </c>
      <c r="I10351" s="0" t="s">
        <v>34551</v>
      </c>
      <c r="J10351" s="0" t="s">
        <v>34552</v>
      </c>
      <c r="K10351" s="0" t="s">
        <v>34553</v>
      </c>
      <c r="L10351" s="0" t="str">
        <f aca="false">HYPERLINK("https://www.ncbi.nlm.nih.gov/nuccore/CP000304.1?report=graph&amp;tracks=[key:gene_model_track,Options:GeneOnly]&amp;mk=2917259:2917278|offset_0|444444,2917288:2917307|offset_29|444444,2917311:2917330|offset_52|00cc00,2917335:2917354|offset_76|444444&amp;v=2917058:2917554&amp;c=444444", "offset 52")</f>
        <v>offset 52</v>
      </c>
    </row>
    <row r="10352" customFormat="false" ht="12.8" hidden="false" customHeight="false" outlineLevel="0" collapsed="false">
      <c r="A10352" s="0" t="s">
        <v>12</v>
      </c>
      <c r="B10352" s="0" t="n">
        <v>2917334</v>
      </c>
      <c r="C10352" s="0" t="n">
        <v>2917354</v>
      </c>
      <c r="D10352" s="0" t="s">
        <v>34544</v>
      </c>
      <c r="E10352" s="0" t="s">
        <v>89</v>
      </c>
      <c r="F10352" s="0" t="s">
        <v>15</v>
      </c>
      <c r="G10352" s="0" t="s">
        <v>32</v>
      </c>
      <c r="H10352" s="0" t="n">
        <v>76</v>
      </c>
      <c r="I10352" s="0" t="s">
        <v>34554</v>
      </c>
      <c r="J10352" s="0" t="s">
        <v>34555</v>
      </c>
      <c r="K10352" s="0" t="s">
        <v>34556</v>
      </c>
      <c r="L10352" s="0" t="str">
        <f aca="false">HYPERLINK("https://www.ncbi.nlm.nih.gov/nuccore/CP000304.1?report=graph&amp;tracks=[key:gene_model_track,Options:GeneOnly]&amp;mk=2917259:2917278|offset_0|444444,2917288:2917307|offset_29|444444,2917311:2917330|offset_52|444444,2917335:2917354|offset_76|00cc00&amp;v=2917058:2917554&amp;c=444444", "offset 76")</f>
        <v>offset 76</v>
      </c>
    </row>
    <row r="10353" customFormat="false" ht="12.8" hidden="false" customHeight="false" outlineLevel="0" collapsed="false">
      <c r="A10353" s="0" t="s">
        <v>12</v>
      </c>
      <c r="B10353" s="0" t="n">
        <v>2918126</v>
      </c>
      <c r="C10353" s="0" t="n">
        <v>2918146</v>
      </c>
      <c r="D10353" s="0" t="s">
        <v>34557</v>
      </c>
      <c r="E10353" s="0" t="s">
        <v>89</v>
      </c>
      <c r="F10353" s="0" t="s">
        <v>90</v>
      </c>
      <c r="G10353" s="0" t="s">
        <v>32</v>
      </c>
      <c r="H10353" s="0" t="n">
        <v>23</v>
      </c>
      <c r="I10353" s="0" t="s">
        <v>34558</v>
      </c>
      <c r="J10353" s="0" t="s">
        <v>34559</v>
      </c>
      <c r="K10353" s="0" t="s">
        <v>34560</v>
      </c>
      <c r="L10353" s="0" t="str">
        <f aca="false">HYPERLINK("https://www.ncbi.nlm.nih.gov/nuccore/CP000304.1?report=graph&amp;tracks=[key:gene_model_track,Options:GeneOnly]&amp;mk=2918127:2918146|offset_23|00cc00,2918069:2918088|offset_81|444444,2917989:2918008|offset_161|444444,2917930:2917949|offset_220|444444&amp;v=2917926:2918149&amp;c=444444", "offset 23")</f>
        <v>offset 23</v>
      </c>
    </row>
    <row r="10354" customFormat="false" ht="12.8" hidden="false" customHeight="false" outlineLevel="0" collapsed="false">
      <c r="A10354" s="0" t="s">
        <v>12</v>
      </c>
      <c r="B10354" s="0" t="n">
        <v>2918068</v>
      </c>
      <c r="C10354" s="0" t="n">
        <v>2918088</v>
      </c>
      <c r="D10354" s="0" t="s">
        <v>34557</v>
      </c>
      <c r="E10354" s="0" t="s">
        <v>89</v>
      </c>
      <c r="F10354" s="0" t="s">
        <v>90</v>
      </c>
      <c r="G10354" s="0" t="s">
        <v>26</v>
      </c>
      <c r="H10354" s="0" t="n">
        <v>81</v>
      </c>
      <c r="I10354" s="0" t="s">
        <v>34561</v>
      </c>
      <c r="J10354" s="0" t="s">
        <v>34562</v>
      </c>
      <c r="K10354" s="0" t="s">
        <v>34563</v>
      </c>
      <c r="L10354" s="0" t="str">
        <f aca="false">HYPERLINK("https://www.ncbi.nlm.nih.gov/nuccore/CP000304.1?report=graph&amp;tracks=[key:gene_model_track,Options:GeneOnly]&amp;mk=2918127:2918146|offset_23|444444,2918069:2918088|offset_81|00cc00,2917989:2918008|offset_161|444444,2917930:2917949|offset_220|444444&amp;v=2917926:2918149&amp;c=444444", "offset 81")</f>
        <v>offset 81</v>
      </c>
    </row>
    <row r="10355" customFormat="false" ht="12.8" hidden="false" customHeight="false" outlineLevel="0" collapsed="false">
      <c r="A10355" s="0" t="s">
        <v>12</v>
      </c>
      <c r="B10355" s="0" t="n">
        <v>2917988</v>
      </c>
      <c r="C10355" s="0" t="n">
        <v>2918008</v>
      </c>
      <c r="D10355" s="0" t="s">
        <v>34557</v>
      </c>
      <c r="E10355" s="0" t="s">
        <v>89</v>
      </c>
      <c r="F10355" s="0" t="s">
        <v>90</v>
      </c>
      <c r="G10355" s="0" t="s">
        <v>36</v>
      </c>
      <c r="H10355" s="0" t="n">
        <v>161</v>
      </c>
      <c r="I10355" s="0" t="s">
        <v>34564</v>
      </c>
      <c r="J10355" s="0" t="s">
        <v>34565</v>
      </c>
      <c r="K10355" s="0" t="s">
        <v>34566</v>
      </c>
      <c r="L10355" s="0" t="str">
        <f aca="false">HYPERLINK("https://www.ncbi.nlm.nih.gov/nuccore/CP000304.1?report=graph&amp;tracks=[key:gene_model_track,Options:GeneOnly]&amp;mk=2918127:2918146|offset_23|444444,2918069:2918088|offset_81|444444,2917989:2918008|offset_161|00cc00,2917930:2917949|offset_220|444444&amp;v=2917926:2918149&amp;c=444444", "offset 161")</f>
        <v>offset 161</v>
      </c>
    </row>
    <row r="10356" customFormat="false" ht="12.8" hidden="false" customHeight="false" outlineLevel="0" collapsed="false">
      <c r="A10356" s="0" t="s">
        <v>12</v>
      </c>
      <c r="B10356" s="0" t="n">
        <v>2917929</v>
      </c>
      <c r="C10356" s="0" t="n">
        <v>2917949</v>
      </c>
      <c r="D10356" s="0" t="s">
        <v>34557</v>
      </c>
      <c r="E10356" s="0" t="s">
        <v>89</v>
      </c>
      <c r="F10356" s="0" t="s">
        <v>90</v>
      </c>
      <c r="G10356" s="0" t="s">
        <v>16</v>
      </c>
      <c r="H10356" s="0" t="n">
        <v>220</v>
      </c>
      <c r="I10356" s="0" t="s">
        <v>34567</v>
      </c>
      <c r="J10356" s="0" t="s">
        <v>34568</v>
      </c>
      <c r="K10356" s="0" t="s">
        <v>34569</v>
      </c>
      <c r="L10356" s="0" t="str">
        <f aca="false">HYPERLINK("https://www.ncbi.nlm.nih.gov/nuccore/CP000304.1?report=graph&amp;tracks=[key:gene_model_track,Options:GeneOnly]&amp;mk=2918127:2918146|offset_23|444444,2918069:2918088|offset_81|444444,2917989:2918008|offset_161|444444,2917930:2917949|offset_220|00cc00&amp;v=2917926:2918149&amp;c=444444", "offset 220")</f>
        <v>offset 220</v>
      </c>
    </row>
    <row r="10357" customFormat="false" ht="12.8" hidden="false" customHeight="false" outlineLevel="0" collapsed="false">
      <c r="A10357" s="0" t="s">
        <v>12</v>
      </c>
      <c r="B10357" s="0" t="n">
        <v>2919983</v>
      </c>
      <c r="C10357" s="0" t="n">
        <v>2920003</v>
      </c>
      <c r="D10357" s="0" t="s">
        <v>34570</v>
      </c>
      <c r="E10357" s="0" t="s">
        <v>89</v>
      </c>
      <c r="F10357" s="0" t="s">
        <v>90</v>
      </c>
      <c r="G10357" s="0" t="s">
        <v>32</v>
      </c>
      <c r="H10357" s="0" t="n">
        <v>1</v>
      </c>
      <c r="I10357" s="0" t="s">
        <v>34571</v>
      </c>
      <c r="J10357" s="0" t="s">
        <v>34572</v>
      </c>
      <c r="K10357" s="0" t="s">
        <v>34573</v>
      </c>
      <c r="L10357" s="0" t="str">
        <f aca="false">HYPERLINK("https://www.ncbi.nlm.nih.gov/nuccore/CP000304.1?report=graph&amp;tracks=[key:gene_model_track,Options:GeneOnly]&amp;mk=2919984:2920003|offset_1|00cc00,2919929:2919948|offset_56|444444,2919909:2919928|offset_76|444444,2919888:2919907|offset_97|444444&amp;v=2919783:2920107&amp;c=444444", "offset 1")</f>
        <v>offset 1</v>
      </c>
    </row>
    <row r="10358" customFormat="false" ht="12.8" hidden="false" customHeight="false" outlineLevel="0" collapsed="false">
      <c r="A10358" s="0" t="s">
        <v>12</v>
      </c>
      <c r="B10358" s="0" t="n">
        <v>2919928</v>
      </c>
      <c r="C10358" s="0" t="n">
        <v>2919948</v>
      </c>
      <c r="D10358" s="0" t="s">
        <v>34570</v>
      </c>
      <c r="E10358" s="0" t="s">
        <v>89</v>
      </c>
      <c r="F10358" s="0" t="s">
        <v>90</v>
      </c>
      <c r="G10358" s="0" t="s">
        <v>26</v>
      </c>
      <c r="H10358" s="0" t="n">
        <v>56</v>
      </c>
      <c r="I10358" s="0" t="s">
        <v>34574</v>
      </c>
      <c r="J10358" s="0" t="s">
        <v>34575</v>
      </c>
      <c r="K10358" s="0" t="s">
        <v>34576</v>
      </c>
      <c r="L10358" s="0" t="str">
        <f aca="false">HYPERLINK("https://www.ncbi.nlm.nih.gov/nuccore/CP000304.1?report=graph&amp;tracks=[key:gene_model_track,Options:GeneOnly]&amp;mk=2919984:2920003|offset_1|444444,2919929:2919948|offset_56|00cc00,2919909:2919928|offset_76|444444,2919888:2919907|offset_97|444444&amp;v=2919783:2920107&amp;c=444444", "offset 56")</f>
        <v>offset 56</v>
      </c>
    </row>
    <row r="10359" customFormat="false" ht="12.8" hidden="false" customHeight="false" outlineLevel="0" collapsed="false">
      <c r="A10359" s="0" t="s">
        <v>12</v>
      </c>
      <c r="B10359" s="0" t="n">
        <v>2919908</v>
      </c>
      <c r="C10359" s="0" t="n">
        <v>2919928</v>
      </c>
      <c r="D10359" s="0" t="s">
        <v>34570</v>
      </c>
      <c r="E10359" s="0" t="s">
        <v>89</v>
      </c>
      <c r="F10359" s="0" t="s">
        <v>90</v>
      </c>
      <c r="G10359" s="0" t="s">
        <v>16</v>
      </c>
      <c r="H10359" s="0" t="n">
        <v>76</v>
      </c>
      <c r="I10359" s="0" t="s">
        <v>34577</v>
      </c>
      <c r="J10359" s="0" t="s">
        <v>34578</v>
      </c>
      <c r="K10359" s="0" t="s">
        <v>34579</v>
      </c>
      <c r="L10359" s="0" t="str">
        <f aca="false">HYPERLINK("https://www.ncbi.nlm.nih.gov/nuccore/CP000304.1?report=graph&amp;tracks=[key:gene_model_track,Options:GeneOnly]&amp;mk=2919984:2920003|offset_1|444444,2919929:2919948|offset_56|444444,2919909:2919928|offset_76|00cc00,2919888:2919907|offset_97|444444&amp;v=2919783:2920107&amp;c=444444", "offset 76")</f>
        <v>offset 76</v>
      </c>
    </row>
    <row r="10360" customFormat="false" ht="12.8" hidden="false" customHeight="false" outlineLevel="0" collapsed="false">
      <c r="A10360" s="0" t="s">
        <v>12</v>
      </c>
      <c r="B10360" s="0" t="n">
        <v>2919887</v>
      </c>
      <c r="C10360" s="0" t="n">
        <v>2919907</v>
      </c>
      <c r="D10360" s="0" t="s">
        <v>34570</v>
      </c>
      <c r="E10360" s="0" t="s">
        <v>89</v>
      </c>
      <c r="F10360" s="0" t="s">
        <v>90</v>
      </c>
      <c r="G10360" s="0" t="s">
        <v>36</v>
      </c>
      <c r="H10360" s="0" t="n">
        <v>97</v>
      </c>
      <c r="I10360" s="0" t="s">
        <v>34580</v>
      </c>
      <c r="J10360" s="0" t="s">
        <v>34581</v>
      </c>
      <c r="K10360" s="0" t="s">
        <v>34582</v>
      </c>
      <c r="L10360" s="0" t="str">
        <f aca="false">HYPERLINK("https://www.ncbi.nlm.nih.gov/nuccore/CP000304.1?report=graph&amp;tracks=[key:gene_model_track,Options:GeneOnly]&amp;mk=2919984:2920003|offset_1|444444,2919929:2919948|offset_56|444444,2919909:2919928|offset_76|444444,2919888:2919907|offset_97|00cc00&amp;v=2919783:2920107&amp;c=444444", "offset 97")</f>
        <v>offset 97</v>
      </c>
    </row>
    <row r="10361" customFormat="false" ht="12.8" hidden="false" customHeight="false" outlineLevel="0" collapsed="false">
      <c r="A10361" s="0" t="s">
        <v>12</v>
      </c>
      <c r="B10361" s="0" t="n">
        <v>2920717</v>
      </c>
      <c r="C10361" s="0" t="n">
        <v>2920737</v>
      </c>
      <c r="D10361" s="0" t="s">
        <v>34583</v>
      </c>
      <c r="E10361" s="0" t="s">
        <v>89</v>
      </c>
      <c r="F10361" s="0" t="s">
        <v>90</v>
      </c>
      <c r="G10361" s="0" t="s">
        <v>32</v>
      </c>
      <c r="H10361" s="0" t="n">
        <v>8</v>
      </c>
      <c r="I10361" s="0" t="s">
        <v>34584</v>
      </c>
      <c r="J10361" s="0" t="s">
        <v>34585</v>
      </c>
      <c r="K10361" s="0" t="s">
        <v>34586</v>
      </c>
      <c r="L10361" s="0" t="str">
        <f aca="false">HYPERLINK("https://www.ncbi.nlm.nih.gov/nuccore/CP000304.1?report=graph&amp;tracks=[key:gene_model_track,Options:GeneOnly]&amp;mk=2920718:2920737|offset_8|00cc00,2920674:2920693|offset_52|444444,2920640:2920659|offset_86|444444,2920617:2920636|offset_109|444444&amp;v=2920517:2920836&amp;c=444444", "offset 8")</f>
        <v>offset 8</v>
      </c>
    </row>
    <row r="10362" customFormat="false" ht="12.8" hidden="false" customHeight="false" outlineLevel="0" collapsed="false">
      <c r="A10362" s="0" t="s">
        <v>12</v>
      </c>
      <c r="B10362" s="0" t="n">
        <v>2920673</v>
      </c>
      <c r="C10362" s="0" t="n">
        <v>2920693</v>
      </c>
      <c r="D10362" s="0" t="s">
        <v>34583</v>
      </c>
      <c r="E10362" s="0" t="s">
        <v>89</v>
      </c>
      <c r="F10362" s="0" t="s">
        <v>90</v>
      </c>
      <c r="G10362" s="0" t="s">
        <v>32</v>
      </c>
      <c r="H10362" s="0" t="n">
        <v>52</v>
      </c>
      <c r="I10362" s="0" t="s">
        <v>34587</v>
      </c>
      <c r="J10362" s="0" t="s">
        <v>34588</v>
      </c>
      <c r="K10362" s="0" t="s">
        <v>34589</v>
      </c>
      <c r="L10362" s="0" t="str">
        <f aca="false">HYPERLINK("https://www.ncbi.nlm.nih.gov/nuccore/CP000304.1?report=graph&amp;tracks=[key:gene_model_track,Options:GeneOnly]&amp;mk=2920718:2920737|offset_8|444444,2920674:2920693|offset_52|00cc00,2920640:2920659|offset_86|444444,2920617:2920636|offset_109|444444&amp;v=2920517:2920836&amp;c=444444", "offset 52")</f>
        <v>offset 52</v>
      </c>
    </row>
    <row r="10363" customFormat="false" ht="12.8" hidden="false" customHeight="false" outlineLevel="0" collapsed="false">
      <c r="A10363" s="0" t="s">
        <v>12</v>
      </c>
      <c r="B10363" s="0" t="n">
        <v>2920639</v>
      </c>
      <c r="C10363" s="0" t="n">
        <v>2920659</v>
      </c>
      <c r="D10363" s="0" t="s">
        <v>34583</v>
      </c>
      <c r="E10363" s="0" t="s">
        <v>89</v>
      </c>
      <c r="F10363" s="0" t="s">
        <v>90</v>
      </c>
      <c r="G10363" s="0" t="s">
        <v>26</v>
      </c>
      <c r="H10363" s="0" t="n">
        <v>86</v>
      </c>
      <c r="I10363" s="0" t="s">
        <v>34590</v>
      </c>
      <c r="J10363" s="0" t="s">
        <v>34591</v>
      </c>
      <c r="K10363" s="0" t="s">
        <v>34592</v>
      </c>
      <c r="L10363" s="0" t="str">
        <f aca="false">HYPERLINK("https://www.ncbi.nlm.nih.gov/nuccore/CP000304.1?report=graph&amp;tracks=[key:gene_model_track,Options:GeneOnly]&amp;mk=2920718:2920737|offset_8|444444,2920674:2920693|offset_52|444444,2920640:2920659|offset_86|00cc00,2920617:2920636|offset_109|444444&amp;v=2920517:2920836&amp;c=444444", "offset 86")</f>
        <v>offset 86</v>
      </c>
    </row>
    <row r="10364" customFormat="false" ht="12.8" hidden="false" customHeight="false" outlineLevel="0" collapsed="false">
      <c r="A10364" s="0" t="s">
        <v>12</v>
      </c>
      <c r="B10364" s="0" t="n">
        <v>2920616</v>
      </c>
      <c r="C10364" s="0" t="n">
        <v>2920636</v>
      </c>
      <c r="D10364" s="0" t="s">
        <v>34583</v>
      </c>
      <c r="E10364" s="0" t="s">
        <v>89</v>
      </c>
      <c r="F10364" s="0" t="s">
        <v>90</v>
      </c>
      <c r="G10364" s="0" t="s">
        <v>26</v>
      </c>
      <c r="H10364" s="0" t="n">
        <v>109</v>
      </c>
      <c r="I10364" s="0" t="s">
        <v>34593</v>
      </c>
      <c r="J10364" s="0" t="s">
        <v>34594</v>
      </c>
      <c r="K10364" s="0" t="s">
        <v>34595</v>
      </c>
      <c r="L10364" s="0" t="str">
        <f aca="false">HYPERLINK("https://www.ncbi.nlm.nih.gov/nuccore/CP000304.1?report=graph&amp;tracks=[key:gene_model_track,Options:GeneOnly]&amp;mk=2920718:2920737|offset_8|444444,2920674:2920693|offset_52|444444,2920640:2920659|offset_86|444444,2920617:2920636|offset_109|00cc00&amp;v=2920517:2920836&amp;c=444444", "offset 109")</f>
        <v>offset 109</v>
      </c>
    </row>
    <row r="10365" customFormat="false" ht="12.8" hidden="false" customHeight="false" outlineLevel="0" collapsed="false">
      <c r="A10365" s="0" t="s">
        <v>12</v>
      </c>
      <c r="B10365" s="0" t="n">
        <v>2921599</v>
      </c>
      <c r="C10365" s="0" t="n">
        <v>2921619</v>
      </c>
      <c r="D10365" s="0" t="s">
        <v>34596</v>
      </c>
      <c r="E10365" s="0" t="s">
        <v>89</v>
      </c>
      <c r="F10365" s="0" t="s">
        <v>90</v>
      </c>
      <c r="G10365" s="0" t="s">
        <v>16</v>
      </c>
      <c r="H10365" s="0" t="n">
        <v>46</v>
      </c>
      <c r="I10365" s="0" t="s">
        <v>34597</v>
      </c>
      <c r="J10365" s="0" t="s">
        <v>34598</v>
      </c>
      <c r="K10365" s="0" t="s">
        <v>34599</v>
      </c>
      <c r="L10365" s="0" t="str">
        <f aca="false">HYPERLINK("https://www.ncbi.nlm.nih.gov/nuccore/CP000304.1?report=graph&amp;tracks=[key:gene_model_track,Options:GeneOnly]&amp;mk=2921600:2921619|offset_46|00cc00,2921578:2921597|offset_68|444444,2921548:2921567|offset_98|444444,2921519:2921538|offset_127|444444&amp;v=2921399:2921738&amp;c=444444", "offset 46")</f>
        <v>offset 46</v>
      </c>
    </row>
    <row r="10366" customFormat="false" ht="12.8" hidden="false" customHeight="false" outlineLevel="0" collapsed="false">
      <c r="A10366" s="0" t="s">
        <v>12</v>
      </c>
      <c r="B10366" s="0" t="n">
        <v>2921577</v>
      </c>
      <c r="C10366" s="0" t="n">
        <v>2921597</v>
      </c>
      <c r="D10366" s="0" t="s">
        <v>34596</v>
      </c>
      <c r="E10366" s="0" t="s">
        <v>89</v>
      </c>
      <c r="F10366" s="0" t="s">
        <v>90</v>
      </c>
      <c r="G10366" s="0" t="s">
        <v>32</v>
      </c>
      <c r="H10366" s="0" t="n">
        <v>68</v>
      </c>
      <c r="I10366" s="0" t="s">
        <v>34600</v>
      </c>
      <c r="J10366" s="0" t="s">
        <v>34601</v>
      </c>
      <c r="K10366" s="0" t="s">
        <v>34602</v>
      </c>
      <c r="L10366" s="0" t="str">
        <f aca="false">HYPERLINK("https://www.ncbi.nlm.nih.gov/nuccore/CP000304.1?report=graph&amp;tracks=[key:gene_model_track,Options:GeneOnly]&amp;mk=2921600:2921619|offset_46|444444,2921578:2921597|offset_68|00cc00,2921548:2921567|offset_98|444444,2921519:2921538|offset_127|444444&amp;v=2921399:2921738&amp;c=444444", "offset 68")</f>
        <v>offset 68</v>
      </c>
    </row>
    <row r="10367" customFormat="false" ht="12.8" hidden="false" customHeight="false" outlineLevel="0" collapsed="false">
      <c r="A10367" s="0" t="s">
        <v>12</v>
      </c>
      <c r="B10367" s="0" t="n">
        <v>2921547</v>
      </c>
      <c r="C10367" s="0" t="n">
        <v>2921567</v>
      </c>
      <c r="D10367" s="0" t="s">
        <v>34596</v>
      </c>
      <c r="E10367" s="0" t="s">
        <v>89</v>
      </c>
      <c r="F10367" s="0" t="s">
        <v>90</v>
      </c>
      <c r="G10367" s="0" t="s">
        <v>26</v>
      </c>
      <c r="H10367" s="0" t="n">
        <v>98</v>
      </c>
      <c r="I10367" s="0" t="s">
        <v>34603</v>
      </c>
      <c r="J10367" s="0" t="s">
        <v>34604</v>
      </c>
      <c r="K10367" s="0" t="s">
        <v>34605</v>
      </c>
      <c r="L10367" s="0" t="str">
        <f aca="false">HYPERLINK("https://www.ncbi.nlm.nih.gov/nuccore/CP000304.1?report=graph&amp;tracks=[key:gene_model_track,Options:GeneOnly]&amp;mk=2921600:2921619|offset_46|444444,2921578:2921597|offset_68|444444,2921548:2921567|offset_98|00cc00,2921519:2921538|offset_127|444444&amp;v=2921399:2921738&amp;c=444444", "offset 98")</f>
        <v>offset 98</v>
      </c>
    </row>
    <row r="10368" customFormat="false" ht="12.8" hidden="false" customHeight="false" outlineLevel="0" collapsed="false">
      <c r="A10368" s="0" t="s">
        <v>12</v>
      </c>
      <c r="B10368" s="0" t="n">
        <v>2921518</v>
      </c>
      <c r="C10368" s="0" t="n">
        <v>2921538</v>
      </c>
      <c r="D10368" s="0" t="s">
        <v>34596</v>
      </c>
      <c r="E10368" s="0" t="s">
        <v>89</v>
      </c>
      <c r="F10368" s="0" t="s">
        <v>90</v>
      </c>
      <c r="G10368" s="0" t="s">
        <v>32</v>
      </c>
      <c r="H10368" s="0" t="n">
        <v>127</v>
      </c>
      <c r="I10368" s="0" t="s">
        <v>34606</v>
      </c>
      <c r="J10368" s="0" t="s">
        <v>34607</v>
      </c>
      <c r="K10368" s="0" t="s">
        <v>34608</v>
      </c>
      <c r="L10368" s="0" t="str">
        <f aca="false">HYPERLINK("https://www.ncbi.nlm.nih.gov/nuccore/CP000304.1?report=graph&amp;tracks=[key:gene_model_track,Options:GeneOnly]&amp;mk=2921600:2921619|offset_46|444444,2921578:2921597|offset_68|444444,2921548:2921567|offset_98|444444,2921519:2921538|offset_127|00cc00&amp;v=2921399:2921738&amp;c=444444", "offset 127")</f>
        <v>offset 127</v>
      </c>
    </row>
    <row r="10369" customFormat="false" ht="12.8" hidden="false" customHeight="false" outlineLevel="0" collapsed="false">
      <c r="A10369" s="0" t="s">
        <v>12</v>
      </c>
      <c r="B10369" s="0" t="n">
        <v>2921677</v>
      </c>
      <c r="C10369" s="0" t="n">
        <v>2921697</v>
      </c>
      <c r="D10369" s="0" t="s">
        <v>34609</v>
      </c>
      <c r="E10369" s="0" t="s">
        <v>89</v>
      </c>
      <c r="F10369" s="0" t="s">
        <v>15</v>
      </c>
      <c r="G10369" s="0" t="s">
        <v>32</v>
      </c>
      <c r="H10369" s="0" t="n">
        <v>54</v>
      </c>
      <c r="I10369" s="0" t="s">
        <v>34610</v>
      </c>
      <c r="J10369" s="0" t="s">
        <v>34611</v>
      </c>
      <c r="K10369" s="0" t="s">
        <v>34612</v>
      </c>
      <c r="L10369" s="0" t="str">
        <f aca="false">HYPERLINK("https://www.ncbi.nlm.nih.gov/nuccore/CP000304.1?report=graph&amp;tracks=[key:gene_model_track,Options:GeneOnly]&amp;mk=2921678:2921697|offset_54|00cc00,2921702:2921721|offset_78|444444,2921724:2921743|offset_100|444444,2921775:2921794|offset_151|444444&amp;v=2921477:2921994&amp;c=444444", "offset 54")</f>
        <v>offset 54</v>
      </c>
    </row>
    <row r="10370" customFormat="false" ht="12.8" hidden="false" customHeight="false" outlineLevel="0" collapsed="false">
      <c r="A10370" s="0" t="s">
        <v>12</v>
      </c>
      <c r="B10370" s="0" t="n">
        <v>2921701</v>
      </c>
      <c r="C10370" s="0" t="n">
        <v>2921721</v>
      </c>
      <c r="D10370" s="0" t="s">
        <v>34609</v>
      </c>
      <c r="E10370" s="0" t="s">
        <v>89</v>
      </c>
      <c r="F10370" s="0" t="s">
        <v>15</v>
      </c>
      <c r="G10370" s="0" t="s">
        <v>16</v>
      </c>
      <c r="H10370" s="0" t="n">
        <v>78</v>
      </c>
      <c r="I10370" s="0" t="s">
        <v>34613</v>
      </c>
      <c r="J10370" s="0" t="s">
        <v>34614</v>
      </c>
      <c r="K10370" s="0" t="s">
        <v>34615</v>
      </c>
      <c r="L10370" s="0" t="str">
        <f aca="false">HYPERLINK("https://www.ncbi.nlm.nih.gov/nuccore/CP000304.1?report=graph&amp;tracks=[key:gene_model_track,Options:GeneOnly]&amp;mk=2921678:2921697|offset_54|444444,2921702:2921721|offset_78|00cc00,2921724:2921743|offset_100|444444,2921775:2921794|offset_151|444444&amp;v=2921477:2921994&amp;c=444444", "offset 78")</f>
        <v>offset 78</v>
      </c>
    </row>
    <row r="10371" customFormat="false" ht="12.8" hidden="false" customHeight="false" outlineLevel="0" collapsed="false">
      <c r="A10371" s="0" t="s">
        <v>12</v>
      </c>
      <c r="B10371" s="0" t="n">
        <v>2921723</v>
      </c>
      <c r="C10371" s="0" t="n">
        <v>2921743</v>
      </c>
      <c r="D10371" s="0" t="s">
        <v>34609</v>
      </c>
      <c r="E10371" s="0" t="s">
        <v>89</v>
      </c>
      <c r="F10371" s="0" t="s">
        <v>15</v>
      </c>
      <c r="G10371" s="0" t="s">
        <v>36</v>
      </c>
      <c r="H10371" s="0" t="n">
        <v>100</v>
      </c>
      <c r="I10371" s="0" t="s">
        <v>34616</v>
      </c>
      <c r="J10371" s="0" t="s">
        <v>34617</v>
      </c>
      <c r="K10371" s="0" t="s">
        <v>34618</v>
      </c>
      <c r="L10371" s="0" t="str">
        <f aca="false">HYPERLINK("https://www.ncbi.nlm.nih.gov/nuccore/CP000304.1?report=graph&amp;tracks=[key:gene_model_track,Options:GeneOnly]&amp;mk=2921678:2921697|offset_54|444444,2921702:2921721|offset_78|444444,2921724:2921743|offset_100|00cc00,2921775:2921794|offset_151|444444&amp;v=2921477:2921994&amp;c=444444", "offset 100")</f>
        <v>offset 100</v>
      </c>
    </row>
    <row r="10372" customFormat="false" ht="12.8" hidden="false" customHeight="false" outlineLevel="0" collapsed="false">
      <c r="A10372" s="0" t="s">
        <v>12</v>
      </c>
      <c r="B10372" s="0" t="n">
        <v>2921774</v>
      </c>
      <c r="C10372" s="0" t="n">
        <v>2921794</v>
      </c>
      <c r="D10372" s="0" t="s">
        <v>34609</v>
      </c>
      <c r="E10372" s="0" t="s">
        <v>89</v>
      </c>
      <c r="F10372" s="0" t="s">
        <v>15</v>
      </c>
      <c r="G10372" s="0" t="s">
        <v>32</v>
      </c>
      <c r="H10372" s="0" t="n">
        <v>151</v>
      </c>
      <c r="I10372" s="0" t="s">
        <v>34619</v>
      </c>
      <c r="J10372" s="0" t="s">
        <v>34620</v>
      </c>
      <c r="K10372" s="0" t="s">
        <v>34621</v>
      </c>
      <c r="L10372" s="0" t="str">
        <f aca="false">HYPERLINK("https://www.ncbi.nlm.nih.gov/nuccore/CP000304.1?report=graph&amp;tracks=[key:gene_model_track,Options:GeneOnly]&amp;mk=2921678:2921697|offset_54|444444,2921702:2921721|offset_78|444444,2921724:2921743|offset_100|444444,2921775:2921794|offset_151|00cc00&amp;v=2921477:2921994&amp;c=444444", "offset 151")</f>
        <v>offset 151</v>
      </c>
    </row>
    <row r="10373" customFormat="false" ht="12.8" hidden="false" customHeight="false" outlineLevel="0" collapsed="false">
      <c r="A10373" s="0" t="s">
        <v>12</v>
      </c>
      <c r="B10373" s="0" t="n">
        <v>2922476</v>
      </c>
      <c r="C10373" s="0" t="n">
        <v>2922496</v>
      </c>
      <c r="D10373" s="0" t="s">
        <v>34622</v>
      </c>
      <c r="E10373" s="0" t="s">
        <v>89</v>
      </c>
      <c r="F10373" s="0" t="s">
        <v>15</v>
      </c>
      <c r="G10373" s="0" t="s">
        <v>16</v>
      </c>
      <c r="H10373" s="0" t="n">
        <v>6</v>
      </c>
      <c r="I10373" s="0" t="s">
        <v>34623</v>
      </c>
      <c r="J10373" s="0" t="s">
        <v>34624</v>
      </c>
      <c r="K10373" s="0" t="s">
        <v>34625</v>
      </c>
      <c r="L10373" s="0" t="str">
        <f aca="false">HYPERLINK("https://www.ncbi.nlm.nih.gov/nuccore/CP000304.1?report=graph&amp;tracks=[key:gene_model_track,Options:GeneOnly]&amp;mk=2922477:2922496|offset_6|00cc00,2922499:2922518|offset_28|444444,2922527:2922546|offset_56|444444,2922550:2922569|offset_79|444444&amp;v=2922276:2922769&amp;c=444444", "offset 6")</f>
        <v>offset 6</v>
      </c>
    </row>
    <row r="10374" customFormat="false" ht="12.8" hidden="false" customHeight="false" outlineLevel="0" collapsed="false">
      <c r="A10374" s="0" t="s">
        <v>12</v>
      </c>
      <c r="B10374" s="0" t="n">
        <v>2922498</v>
      </c>
      <c r="C10374" s="0" t="n">
        <v>2922518</v>
      </c>
      <c r="D10374" s="0" t="s">
        <v>34622</v>
      </c>
      <c r="E10374" s="0" t="s">
        <v>89</v>
      </c>
      <c r="F10374" s="0" t="s">
        <v>15</v>
      </c>
      <c r="G10374" s="0" t="s">
        <v>16</v>
      </c>
      <c r="H10374" s="0" t="n">
        <v>28</v>
      </c>
      <c r="I10374" s="0" t="s">
        <v>34626</v>
      </c>
      <c r="J10374" s="0" t="s">
        <v>34627</v>
      </c>
      <c r="K10374" s="0" t="s">
        <v>34628</v>
      </c>
      <c r="L10374" s="0" t="str">
        <f aca="false">HYPERLINK("https://www.ncbi.nlm.nih.gov/nuccore/CP000304.1?report=graph&amp;tracks=[key:gene_model_track,Options:GeneOnly]&amp;mk=2922477:2922496|offset_6|444444,2922499:2922518|offset_28|00cc00,2922527:2922546|offset_56|444444,2922550:2922569|offset_79|444444&amp;v=2922276:2922769&amp;c=444444", "offset 28")</f>
        <v>offset 28</v>
      </c>
    </row>
    <row r="10375" customFormat="false" ht="12.8" hidden="false" customHeight="false" outlineLevel="0" collapsed="false">
      <c r="A10375" s="0" t="s">
        <v>12</v>
      </c>
      <c r="B10375" s="0" t="n">
        <v>2922526</v>
      </c>
      <c r="C10375" s="0" t="n">
        <v>2922546</v>
      </c>
      <c r="D10375" s="0" t="s">
        <v>34622</v>
      </c>
      <c r="E10375" s="0" t="s">
        <v>89</v>
      </c>
      <c r="F10375" s="0" t="s">
        <v>15</v>
      </c>
      <c r="G10375" s="0" t="s">
        <v>36</v>
      </c>
      <c r="H10375" s="0" t="n">
        <v>56</v>
      </c>
      <c r="I10375" s="0" t="s">
        <v>34629</v>
      </c>
      <c r="J10375" s="0" t="s">
        <v>34630</v>
      </c>
      <c r="K10375" s="0" t="s">
        <v>34631</v>
      </c>
      <c r="L10375" s="0" t="str">
        <f aca="false">HYPERLINK("https://www.ncbi.nlm.nih.gov/nuccore/CP000304.1?report=graph&amp;tracks=[key:gene_model_track,Options:GeneOnly]&amp;mk=2922477:2922496|offset_6|444444,2922499:2922518|offset_28|444444,2922527:2922546|offset_56|00cc00,2922550:2922569|offset_79|444444&amp;v=2922276:2922769&amp;c=444444", "offset 56")</f>
        <v>offset 56</v>
      </c>
    </row>
    <row r="10376" customFormat="false" ht="12.8" hidden="false" customHeight="false" outlineLevel="0" collapsed="false">
      <c r="A10376" s="0" t="s">
        <v>12</v>
      </c>
      <c r="B10376" s="0" t="n">
        <v>2922549</v>
      </c>
      <c r="C10376" s="0" t="n">
        <v>2922569</v>
      </c>
      <c r="D10376" s="0" t="s">
        <v>34622</v>
      </c>
      <c r="E10376" s="0" t="s">
        <v>89</v>
      </c>
      <c r="F10376" s="0" t="s">
        <v>15</v>
      </c>
      <c r="G10376" s="0" t="s">
        <v>16</v>
      </c>
      <c r="H10376" s="0" t="n">
        <v>79</v>
      </c>
      <c r="I10376" s="0" t="s">
        <v>34632</v>
      </c>
      <c r="J10376" s="0" t="s">
        <v>34633</v>
      </c>
      <c r="K10376" s="0" t="s">
        <v>34634</v>
      </c>
      <c r="L10376" s="0" t="str">
        <f aca="false">HYPERLINK("https://www.ncbi.nlm.nih.gov/nuccore/CP000304.1?report=graph&amp;tracks=[key:gene_model_track,Options:GeneOnly]&amp;mk=2922477:2922496|offset_6|444444,2922499:2922518|offset_28|444444,2922527:2922546|offset_56|444444,2922550:2922569|offset_79|00cc00&amp;v=2922276:2922769&amp;c=444444", "offset 79")</f>
        <v>offset 79</v>
      </c>
    </row>
    <row r="10377" customFormat="false" ht="12.8" hidden="false" customHeight="false" outlineLevel="0" collapsed="false">
      <c r="A10377" s="0" t="s">
        <v>12</v>
      </c>
      <c r="B10377" s="0" t="n">
        <v>2923088</v>
      </c>
      <c r="C10377" s="0" t="n">
        <v>2923108</v>
      </c>
      <c r="D10377" s="0" t="s">
        <v>34635</v>
      </c>
      <c r="E10377" s="0" t="s">
        <v>89</v>
      </c>
      <c r="F10377" s="0" t="s">
        <v>15</v>
      </c>
      <c r="G10377" s="0" t="s">
        <v>36</v>
      </c>
      <c r="H10377" s="0" t="n">
        <v>6</v>
      </c>
      <c r="I10377" s="0" t="s">
        <v>34636</v>
      </c>
      <c r="J10377" s="0" t="s">
        <v>34637</v>
      </c>
      <c r="K10377" s="0" t="s">
        <v>34638</v>
      </c>
      <c r="L10377" s="0" t="str">
        <f aca="false">HYPERLINK("https://www.ncbi.nlm.nih.gov/nuccore/CP000304.1?report=graph&amp;tracks=[key:gene_model_track,Options:GeneOnly]&amp;mk=2923089:2923108|offset_6|00cc00,2923125:2923144|offset_42|444444,2923159:2923178|offset_76|444444,2923207:2923226|offset_124|444444&amp;v=2922888:2923426&amp;c=444444", "offset 6")</f>
        <v>offset 6</v>
      </c>
    </row>
    <row r="10378" customFormat="false" ht="12.8" hidden="false" customHeight="false" outlineLevel="0" collapsed="false">
      <c r="A10378" s="0" t="s">
        <v>12</v>
      </c>
      <c r="B10378" s="0" t="n">
        <v>2923124</v>
      </c>
      <c r="C10378" s="0" t="n">
        <v>2923144</v>
      </c>
      <c r="D10378" s="0" t="s">
        <v>34635</v>
      </c>
      <c r="E10378" s="0" t="s">
        <v>89</v>
      </c>
      <c r="F10378" s="0" t="s">
        <v>15</v>
      </c>
      <c r="G10378" s="0" t="s">
        <v>36</v>
      </c>
      <c r="H10378" s="0" t="n">
        <v>42</v>
      </c>
      <c r="I10378" s="0" t="s">
        <v>34639</v>
      </c>
      <c r="J10378" s="0" t="s">
        <v>34640</v>
      </c>
      <c r="K10378" s="0" t="s">
        <v>34641</v>
      </c>
      <c r="L10378" s="0" t="str">
        <f aca="false">HYPERLINK("https://www.ncbi.nlm.nih.gov/nuccore/CP000304.1?report=graph&amp;tracks=[key:gene_model_track,Options:GeneOnly]&amp;mk=2923089:2923108|offset_6|444444,2923125:2923144|offset_42|00cc00,2923159:2923178|offset_76|444444,2923207:2923226|offset_124|444444&amp;v=2922888:2923426&amp;c=444444", "offset 42")</f>
        <v>offset 42</v>
      </c>
    </row>
    <row r="10379" customFormat="false" ht="12.8" hidden="false" customHeight="false" outlineLevel="0" collapsed="false">
      <c r="A10379" s="0" t="s">
        <v>12</v>
      </c>
      <c r="B10379" s="0" t="n">
        <v>2923158</v>
      </c>
      <c r="C10379" s="0" t="n">
        <v>2923178</v>
      </c>
      <c r="D10379" s="0" t="s">
        <v>34635</v>
      </c>
      <c r="E10379" s="0" t="s">
        <v>89</v>
      </c>
      <c r="F10379" s="0" t="s">
        <v>15</v>
      </c>
      <c r="G10379" s="0" t="s">
        <v>36</v>
      </c>
      <c r="H10379" s="0" t="n">
        <v>76</v>
      </c>
      <c r="I10379" s="0" t="s">
        <v>34642</v>
      </c>
      <c r="J10379" s="0" t="s">
        <v>34643</v>
      </c>
      <c r="K10379" s="0" t="s">
        <v>34644</v>
      </c>
      <c r="L10379" s="0" t="str">
        <f aca="false">HYPERLINK("https://www.ncbi.nlm.nih.gov/nuccore/CP000304.1?report=graph&amp;tracks=[key:gene_model_track,Options:GeneOnly]&amp;mk=2923089:2923108|offset_6|444444,2923125:2923144|offset_42|444444,2923159:2923178|offset_76|00cc00,2923207:2923226|offset_124|444444&amp;v=2922888:2923426&amp;c=444444", "offset 76")</f>
        <v>offset 76</v>
      </c>
    </row>
    <row r="10380" customFormat="false" ht="12.8" hidden="false" customHeight="false" outlineLevel="0" collapsed="false">
      <c r="A10380" s="0" t="s">
        <v>12</v>
      </c>
      <c r="B10380" s="0" t="n">
        <v>2923206</v>
      </c>
      <c r="C10380" s="0" t="n">
        <v>2923226</v>
      </c>
      <c r="D10380" s="0" t="s">
        <v>34635</v>
      </c>
      <c r="E10380" s="0" t="s">
        <v>89</v>
      </c>
      <c r="F10380" s="0" t="s">
        <v>15</v>
      </c>
      <c r="G10380" s="0" t="s">
        <v>16</v>
      </c>
      <c r="H10380" s="0" t="n">
        <v>124</v>
      </c>
      <c r="I10380" s="0" t="s">
        <v>34645</v>
      </c>
      <c r="J10380" s="0" t="s">
        <v>34646</v>
      </c>
      <c r="K10380" s="0" t="s">
        <v>34647</v>
      </c>
      <c r="L10380" s="0" t="str">
        <f aca="false">HYPERLINK("https://www.ncbi.nlm.nih.gov/nuccore/CP000304.1?report=graph&amp;tracks=[key:gene_model_track,Options:GeneOnly]&amp;mk=2923089:2923108|offset_6|444444,2923125:2923144|offset_42|444444,2923159:2923178|offset_76|444444,2923207:2923226|offset_124|00cc00&amp;v=2922888:2923426&amp;c=444444", "offset 124")</f>
        <v>offset 124</v>
      </c>
    </row>
    <row r="10381" customFormat="false" ht="12.8" hidden="false" customHeight="false" outlineLevel="0" collapsed="false">
      <c r="A10381" s="0" t="s">
        <v>12</v>
      </c>
      <c r="B10381" s="0" t="n">
        <v>2923933</v>
      </c>
      <c r="C10381" s="0" t="n">
        <v>2923953</v>
      </c>
      <c r="D10381" s="0" t="s">
        <v>34648</v>
      </c>
      <c r="E10381" s="0" t="s">
        <v>89</v>
      </c>
      <c r="F10381" s="0" t="s">
        <v>15</v>
      </c>
      <c r="G10381" s="0" t="s">
        <v>32</v>
      </c>
      <c r="H10381" s="0" t="n">
        <v>1</v>
      </c>
      <c r="I10381" s="0" t="s">
        <v>34649</v>
      </c>
      <c r="J10381" s="0" t="s">
        <v>34650</v>
      </c>
      <c r="K10381" s="0" t="s">
        <v>34651</v>
      </c>
      <c r="L10381" s="0" t="str">
        <f aca="false">HYPERLINK("https://www.ncbi.nlm.nih.gov/nuccore/CP000304.1?report=graph&amp;tracks=[key:gene_model_track,Options:GeneOnly]&amp;mk=2923934:2923953|offset_1|00cc00,2923976:2923995|offset_43|444444,2924000:2924019|offset_67|444444,2924024:2924043|offset_91|444444&amp;v=2923733:2924243&amp;c=444444", "offset 1")</f>
        <v>offset 1</v>
      </c>
    </row>
    <row r="10382" customFormat="false" ht="12.8" hidden="false" customHeight="false" outlineLevel="0" collapsed="false">
      <c r="A10382" s="0" t="s">
        <v>12</v>
      </c>
      <c r="B10382" s="0" t="n">
        <v>2923975</v>
      </c>
      <c r="C10382" s="0" t="n">
        <v>2923995</v>
      </c>
      <c r="D10382" s="0" t="s">
        <v>34648</v>
      </c>
      <c r="E10382" s="0" t="s">
        <v>89</v>
      </c>
      <c r="F10382" s="0" t="s">
        <v>15</v>
      </c>
      <c r="G10382" s="0" t="s">
        <v>16</v>
      </c>
      <c r="H10382" s="0" t="n">
        <v>43</v>
      </c>
      <c r="I10382" s="0" t="s">
        <v>34652</v>
      </c>
      <c r="J10382" s="0" t="s">
        <v>34653</v>
      </c>
      <c r="K10382" s="0" t="s">
        <v>34654</v>
      </c>
      <c r="L10382" s="0" t="str">
        <f aca="false">HYPERLINK("https://www.ncbi.nlm.nih.gov/nuccore/CP000304.1?report=graph&amp;tracks=[key:gene_model_track,Options:GeneOnly]&amp;mk=2923934:2923953|offset_1|444444,2923976:2923995|offset_43|00cc00,2924000:2924019|offset_67|444444,2924024:2924043|offset_91|444444&amp;v=2923733:2924243&amp;c=444444", "offset 43")</f>
        <v>offset 43</v>
      </c>
    </row>
    <row r="10383" customFormat="false" ht="12.8" hidden="false" customHeight="false" outlineLevel="0" collapsed="false">
      <c r="A10383" s="0" t="s">
        <v>12</v>
      </c>
      <c r="B10383" s="0" t="n">
        <v>2923999</v>
      </c>
      <c r="C10383" s="0" t="n">
        <v>2924019</v>
      </c>
      <c r="D10383" s="0" t="s">
        <v>34648</v>
      </c>
      <c r="E10383" s="0" t="s">
        <v>89</v>
      </c>
      <c r="F10383" s="0" t="s">
        <v>15</v>
      </c>
      <c r="G10383" s="0" t="s">
        <v>32</v>
      </c>
      <c r="H10383" s="0" t="n">
        <v>67</v>
      </c>
      <c r="I10383" s="0" t="s">
        <v>34655</v>
      </c>
      <c r="J10383" s="0" t="s">
        <v>34656</v>
      </c>
      <c r="K10383" s="0" t="s">
        <v>34657</v>
      </c>
      <c r="L10383" s="0" t="str">
        <f aca="false">HYPERLINK("https://www.ncbi.nlm.nih.gov/nuccore/CP000304.1?report=graph&amp;tracks=[key:gene_model_track,Options:GeneOnly]&amp;mk=2923934:2923953|offset_1|444444,2923976:2923995|offset_43|444444,2924000:2924019|offset_67|00cc00,2924024:2924043|offset_91|444444&amp;v=2923733:2924243&amp;c=444444", "offset 67")</f>
        <v>offset 67</v>
      </c>
    </row>
    <row r="10384" customFormat="false" ht="12.8" hidden="false" customHeight="false" outlineLevel="0" collapsed="false">
      <c r="A10384" s="0" t="s">
        <v>12</v>
      </c>
      <c r="B10384" s="0" t="n">
        <v>2924023</v>
      </c>
      <c r="C10384" s="0" t="n">
        <v>2924043</v>
      </c>
      <c r="D10384" s="0" t="s">
        <v>34648</v>
      </c>
      <c r="E10384" s="0" t="s">
        <v>89</v>
      </c>
      <c r="F10384" s="0" t="s">
        <v>15</v>
      </c>
      <c r="G10384" s="0" t="s">
        <v>36</v>
      </c>
      <c r="H10384" s="0" t="n">
        <v>91</v>
      </c>
      <c r="I10384" s="0" t="s">
        <v>34658</v>
      </c>
      <c r="J10384" s="0" t="s">
        <v>34659</v>
      </c>
      <c r="K10384" s="0" t="s">
        <v>34660</v>
      </c>
      <c r="L10384" s="0" t="str">
        <f aca="false">HYPERLINK("https://www.ncbi.nlm.nih.gov/nuccore/CP000304.1?report=graph&amp;tracks=[key:gene_model_track,Options:GeneOnly]&amp;mk=2923934:2923953|offset_1|444444,2923976:2923995|offset_43|444444,2924000:2924019|offset_67|444444,2924024:2924043|offset_91|00cc00&amp;v=2923733:2924243&amp;c=444444", "offset 91")</f>
        <v>offset 91</v>
      </c>
    </row>
    <row r="10385" customFormat="false" ht="12.8" hidden="false" customHeight="false" outlineLevel="0" collapsed="false">
      <c r="A10385" s="0" t="s">
        <v>12</v>
      </c>
      <c r="B10385" s="0" t="n">
        <v>2924642</v>
      </c>
      <c r="C10385" s="0" t="n">
        <v>2924662</v>
      </c>
      <c r="D10385" s="0" t="s">
        <v>34661</v>
      </c>
      <c r="E10385" s="0" t="s">
        <v>89</v>
      </c>
      <c r="F10385" s="0" t="s">
        <v>15</v>
      </c>
      <c r="G10385" s="0" t="s">
        <v>36</v>
      </c>
      <c r="H10385" s="0" t="n">
        <v>16</v>
      </c>
      <c r="I10385" s="0" t="s">
        <v>34662</v>
      </c>
      <c r="J10385" s="0" t="s">
        <v>34663</v>
      </c>
      <c r="K10385" s="0" t="s">
        <v>34664</v>
      </c>
      <c r="L10385" s="0" t="str">
        <f aca="false">HYPERLINK("https://www.ncbi.nlm.nih.gov/nuccore/CP000304.1?report=graph&amp;tracks=[key:gene_model_track,Options:GeneOnly]&amp;mk=2924643:2924662|offset_16|00cc00,2924673:2924692|offset_46|444444,2924708:2924727|offset_81|444444,2924732:2924751|offset_105|444444&amp;v=2924442:2924951&amp;c=444444", "offset 16")</f>
        <v>offset 16</v>
      </c>
    </row>
    <row r="10386" customFormat="false" ht="12.8" hidden="false" customHeight="false" outlineLevel="0" collapsed="false">
      <c r="A10386" s="0" t="s">
        <v>12</v>
      </c>
      <c r="B10386" s="0" t="n">
        <v>2924672</v>
      </c>
      <c r="C10386" s="0" t="n">
        <v>2924692</v>
      </c>
      <c r="D10386" s="0" t="s">
        <v>34661</v>
      </c>
      <c r="E10386" s="0" t="s">
        <v>89</v>
      </c>
      <c r="F10386" s="0" t="s">
        <v>15</v>
      </c>
      <c r="G10386" s="0" t="s">
        <v>26</v>
      </c>
      <c r="H10386" s="0" t="n">
        <v>46</v>
      </c>
      <c r="I10386" s="0" t="s">
        <v>34665</v>
      </c>
      <c r="J10386" s="0" t="s">
        <v>34666</v>
      </c>
      <c r="K10386" s="0" t="s">
        <v>34667</v>
      </c>
      <c r="L10386" s="0" t="str">
        <f aca="false">HYPERLINK("https://www.ncbi.nlm.nih.gov/nuccore/CP000304.1?report=graph&amp;tracks=[key:gene_model_track,Options:GeneOnly]&amp;mk=2924643:2924662|offset_16|444444,2924673:2924692|offset_46|00cc00,2924708:2924727|offset_81|444444,2924732:2924751|offset_105|444444&amp;v=2924442:2924951&amp;c=444444", "offset 46")</f>
        <v>offset 46</v>
      </c>
    </row>
    <row r="10387" customFormat="false" ht="12.8" hidden="false" customHeight="false" outlineLevel="0" collapsed="false">
      <c r="A10387" s="0" t="s">
        <v>12</v>
      </c>
      <c r="B10387" s="0" t="n">
        <v>2924707</v>
      </c>
      <c r="C10387" s="0" t="n">
        <v>2924727</v>
      </c>
      <c r="D10387" s="0" t="s">
        <v>34661</v>
      </c>
      <c r="E10387" s="0" t="s">
        <v>89</v>
      </c>
      <c r="F10387" s="0" t="s">
        <v>15</v>
      </c>
      <c r="G10387" s="0" t="s">
        <v>36</v>
      </c>
      <c r="H10387" s="0" t="n">
        <v>81</v>
      </c>
      <c r="I10387" s="0" t="s">
        <v>34668</v>
      </c>
      <c r="J10387" s="0" t="s">
        <v>34669</v>
      </c>
      <c r="K10387" s="0" t="s">
        <v>34670</v>
      </c>
      <c r="L10387" s="0" t="str">
        <f aca="false">HYPERLINK("https://www.ncbi.nlm.nih.gov/nuccore/CP000304.1?report=graph&amp;tracks=[key:gene_model_track,Options:GeneOnly]&amp;mk=2924643:2924662|offset_16|444444,2924673:2924692|offset_46|444444,2924708:2924727|offset_81|00cc00,2924732:2924751|offset_105|444444&amp;v=2924442:2924951&amp;c=444444", "offset 81")</f>
        <v>offset 81</v>
      </c>
    </row>
    <row r="10388" customFormat="false" ht="12.8" hidden="false" customHeight="false" outlineLevel="0" collapsed="false">
      <c r="A10388" s="0" t="s">
        <v>12</v>
      </c>
      <c r="B10388" s="0" t="n">
        <v>2924731</v>
      </c>
      <c r="C10388" s="0" t="n">
        <v>2924751</v>
      </c>
      <c r="D10388" s="0" t="s">
        <v>34661</v>
      </c>
      <c r="E10388" s="0" t="s">
        <v>89</v>
      </c>
      <c r="F10388" s="0" t="s">
        <v>15</v>
      </c>
      <c r="G10388" s="0" t="s">
        <v>36</v>
      </c>
      <c r="H10388" s="0" t="n">
        <v>105</v>
      </c>
      <c r="I10388" s="0" t="s">
        <v>34671</v>
      </c>
      <c r="J10388" s="0" t="s">
        <v>34672</v>
      </c>
      <c r="K10388" s="0" t="s">
        <v>34673</v>
      </c>
      <c r="L10388" s="0" t="str">
        <f aca="false">HYPERLINK("https://www.ncbi.nlm.nih.gov/nuccore/CP000304.1?report=graph&amp;tracks=[key:gene_model_track,Options:GeneOnly]&amp;mk=2924643:2924662|offset_16|444444,2924673:2924692|offset_46|444444,2924708:2924727|offset_81|444444,2924732:2924751|offset_105|00cc00&amp;v=2924442:2924951&amp;c=444444", "offset 105")</f>
        <v>offset 105</v>
      </c>
    </row>
    <row r="10389" customFormat="false" ht="12.8" hidden="false" customHeight="false" outlineLevel="0" collapsed="false">
      <c r="A10389" s="0" t="s">
        <v>12</v>
      </c>
      <c r="B10389" s="0" t="n">
        <v>2925050</v>
      </c>
      <c r="C10389" s="0" t="n">
        <v>2925070</v>
      </c>
      <c r="D10389" s="0" t="s">
        <v>34674</v>
      </c>
      <c r="E10389" s="0" t="s">
        <v>89</v>
      </c>
      <c r="F10389" s="0" t="s">
        <v>15</v>
      </c>
      <c r="G10389" s="0" t="s">
        <v>36</v>
      </c>
      <c r="H10389" s="0" t="n">
        <v>7</v>
      </c>
      <c r="I10389" s="0" t="s">
        <v>34675</v>
      </c>
      <c r="J10389" s="0" t="s">
        <v>34676</v>
      </c>
      <c r="K10389" s="0" t="s">
        <v>34677</v>
      </c>
      <c r="L10389" s="0" t="str">
        <f aca="false">HYPERLINK("https://www.ncbi.nlm.nih.gov/nuccore/CP000304.1?report=graph&amp;tracks=[key:gene_model_track,Options:GeneOnly]&amp;mk=2925051:2925070|offset_7|00cc00,2925076:2925095|offset_32|444444,2925102:2925121|offset_58|444444,2925139:2925158|offset_95|444444&amp;v=2924850:2925358&amp;c=444444", "offset 7")</f>
        <v>offset 7</v>
      </c>
    </row>
    <row r="10390" customFormat="false" ht="12.8" hidden="false" customHeight="false" outlineLevel="0" collapsed="false">
      <c r="A10390" s="0" t="s">
        <v>12</v>
      </c>
      <c r="B10390" s="0" t="n">
        <v>2925075</v>
      </c>
      <c r="C10390" s="0" t="n">
        <v>2925095</v>
      </c>
      <c r="D10390" s="0" t="s">
        <v>34674</v>
      </c>
      <c r="E10390" s="0" t="s">
        <v>89</v>
      </c>
      <c r="F10390" s="0" t="s">
        <v>15</v>
      </c>
      <c r="G10390" s="0" t="s">
        <v>16</v>
      </c>
      <c r="H10390" s="0" t="n">
        <v>32</v>
      </c>
      <c r="I10390" s="0" t="s">
        <v>34678</v>
      </c>
      <c r="J10390" s="0" t="s">
        <v>34679</v>
      </c>
      <c r="K10390" s="0" t="s">
        <v>34680</v>
      </c>
      <c r="L10390" s="0" t="str">
        <f aca="false">HYPERLINK("https://www.ncbi.nlm.nih.gov/nuccore/CP000304.1?report=graph&amp;tracks=[key:gene_model_track,Options:GeneOnly]&amp;mk=2925051:2925070|offset_7|444444,2925076:2925095|offset_32|00cc00,2925102:2925121|offset_58|444444,2925139:2925158|offset_95|444444&amp;v=2924850:2925358&amp;c=444444", "offset 32")</f>
        <v>offset 32</v>
      </c>
    </row>
    <row r="10391" customFormat="false" ht="12.8" hidden="false" customHeight="false" outlineLevel="0" collapsed="false">
      <c r="A10391" s="0" t="s">
        <v>12</v>
      </c>
      <c r="B10391" s="0" t="n">
        <v>2925101</v>
      </c>
      <c r="C10391" s="0" t="n">
        <v>2925121</v>
      </c>
      <c r="D10391" s="0" t="s">
        <v>34674</v>
      </c>
      <c r="E10391" s="0" t="s">
        <v>89</v>
      </c>
      <c r="F10391" s="0" t="s">
        <v>15</v>
      </c>
      <c r="G10391" s="0" t="s">
        <v>36</v>
      </c>
      <c r="H10391" s="0" t="n">
        <v>58</v>
      </c>
      <c r="I10391" s="0" t="s">
        <v>34681</v>
      </c>
      <c r="J10391" s="0" t="s">
        <v>34682</v>
      </c>
      <c r="K10391" s="0" t="s">
        <v>34683</v>
      </c>
      <c r="L10391" s="0" t="str">
        <f aca="false">HYPERLINK("https://www.ncbi.nlm.nih.gov/nuccore/CP000304.1?report=graph&amp;tracks=[key:gene_model_track,Options:GeneOnly]&amp;mk=2925051:2925070|offset_7|444444,2925076:2925095|offset_32|444444,2925102:2925121|offset_58|00cc00,2925139:2925158|offset_95|444444&amp;v=2924850:2925358&amp;c=444444", "offset 58")</f>
        <v>offset 58</v>
      </c>
    </row>
    <row r="10392" customFormat="false" ht="12.8" hidden="false" customHeight="false" outlineLevel="0" collapsed="false">
      <c r="A10392" s="0" t="s">
        <v>12</v>
      </c>
      <c r="B10392" s="0" t="n">
        <v>2925138</v>
      </c>
      <c r="C10392" s="0" t="n">
        <v>2925158</v>
      </c>
      <c r="D10392" s="0" t="s">
        <v>34674</v>
      </c>
      <c r="E10392" s="0" t="s">
        <v>89</v>
      </c>
      <c r="F10392" s="0" t="s">
        <v>15</v>
      </c>
      <c r="G10392" s="0" t="s">
        <v>32</v>
      </c>
      <c r="H10392" s="0" t="n">
        <v>95</v>
      </c>
      <c r="I10392" s="0" t="s">
        <v>34684</v>
      </c>
      <c r="J10392" s="0" t="s">
        <v>34685</v>
      </c>
      <c r="K10392" s="0" t="s">
        <v>34686</v>
      </c>
      <c r="L10392" s="0" t="str">
        <f aca="false">HYPERLINK("https://www.ncbi.nlm.nih.gov/nuccore/CP000304.1?report=graph&amp;tracks=[key:gene_model_track,Options:GeneOnly]&amp;mk=2925051:2925070|offset_7|444444,2925076:2925095|offset_32|444444,2925102:2925121|offset_58|444444,2925139:2925158|offset_95|00cc00&amp;v=2924850:2925358&amp;c=444444", "offset 95")</f>
        <v>offset 95</v>
      </c>
    </row>
    <row r="10393" customFormat="false" ht="12.8" hidden="false" customHeight="false" outlineLevel="0" collapsed="false">
      <c r="A10393" s="0" t="s">
        <v>12</v>
      </c>
      <c r="B10393" s="0" t="n">
        <v>2925562</v>
      </c>
      <c r="C10393" s="0" t="n">
        <v>2925582</v>
      </c>
      <c r="D10393" s="0" t="s">
        <v>34687</v>
      </c>
      <c r="E10393" s="0" t="s">
        <v>34688</v>
      </c>
      <c r="F10393" s="0" t="s">
        <v>15</v>
      </c>
      <c r="G10393" s="0" t="s">
        <v>16</v>
      </c>
      <c r="H10393" s="0" t="n">
        <v>17</v>
      </c>
      <c r="I10393" s="0" t="s">
        <v>34689</v>
      </c>
      <c r="J10393" s="0" t="s">
        <v>34690</v>
      </c>
      <c r="K10393" s="0" t="s">
        <v>34691</v>
      </c>
      <c r="L10393" s="0" t="str">
        <f aca="false">HYPERLINK("https://www.ncbi.nlm.nih.gov/nuccore/CP000304.1?report=graph&amp;tracks=[key:gene_model_track,Options:GeneOnly]&amp;mk=2925563:2925582|offset_17|00cc00,2925583:2925602|offset_37|444444,2925610:2925629|offset_64|444444,2925640:2925659|offset_94|444444&amp;v=2925362:2925859&amp;c=444444", "offset 17")</f>
        <v>offset 17</v>
      </c>
    </row>
    <row r="10394" customFormat="false" ht="12.8" hidden="false" customHeight="false" outlineLevel="0" collapsed="false">
      <c r="A10394" s="0" t="s">
        <v>12</v>
      </c>
      <c r="B10394" s="0" t="n">
        <v>2925582</v>
      </c>
      <c r="C10394" s="0" t="n">
        <v>2925602</v>
      </c>
      <c r="D10394" s="0" t="s">
        <v>34687</v>
      </c>
      <c r="E10394" s="0" t="s">
        <v>34688</v>
      </c>
      <c r="F10394" s="0" t="s">
        <v>15</v>
      </c>
      <c r="G10394" s="0" t="s">
        <v>26</v>
      </c>
      <c r="H10394" s="0" t="n">
        <v>37</v>
      </c>
      <c r="I10394" s="0" t="s">
        <v>34692</v>
      </c>
      <c r="J10394" s="0" t="s">
        <v>34693</v>
      </c>
      <c r="K10394" s="0" t="s">
        <v>34694</v>
      </c>
      <c r="L10394" s="0" t="str">
        <f aca="false">HYPERLINK("https://www.ncbi.nlm.nih.gov/nuccore/CP000304.1?report=graph&amp;tracks=[key:gene_model_track,Options:GeneOnly]&amp;mk=2925563:2925582|offset_17|444444,2925583:2925602|offset_37|00cc00,2925610:2925629|offset_64|444444,2925640:2925659|offset_94|444444&amp;v=2925362:2925859&amp;c=444444", "offset 37")</f>
        <v>offset 37</v>
      </c>
    </row>
    <row r="10395" customFormat="false" ht="12.8" hidden="false" customHeight="false" outlineLevel="0" collapsed="false">
      <c r="A10395" s="0" t="s">
        <v>12</v>
      </c>
      <c r="B10395" s="0" t="n">
        <v>2925609</v>
      </c>
      <c r="C10395" s="0" t="n">
        <v>2925629</v>
      </c>
      <c r="D10395" s="0" t="s">
        <v>34687</v>
      </c>
      <c r="E10395" s="0" t="s">
        <v>34688</v>
      </c>
      <c r="F10395" s="0" t="s">
        <v>15</v>
      </c>
      <c r="G10395" s="0" t="s">
        <v>36</v>
      </c>
      <c r="H10395" s="0" t="n">
        <v>64</v>
      </c>
      <c r="I10395" s="0" t="s">
        <v>34695</v>
      </c>
      <c r="J10395" s="0" t="s">
        <v>34696</v>
      </c>
      <c r="K10395" s="0" t="s">
        <v>34697</v>
      </c>
      <c r="L10395" s="0" t="str">
        <f aca="false">HYPERLINK("https://www.ncbi.nlm.nih.gov/nuccore/CP000304.1?report=graph&amp;tracks=[key:gene_model_track,Options:GeneOnly]&amp;mk=2925563:2925582|offset_17|444444,2925583:2925602|offset_37|444444,2925610:2925629|offset_64|00cc00,2925640:2925659|offset_94|444444&amp;v=2925362:2925859&amp;c=444444", "offset 64")</f>
        <v>offset 64</v>
      </c>
    </row>
    <row r="10396" customFormat="false" ht="12.8" hidden="false" customHeight="false" outlineLevel="0" collapsed="false">
      <c r="A10396" s="0" t="s">
        <v>12</v>
      </c>
      <c r="B10396" s="0" t="n">
        <v>2925639</v>
      </c>
      <c r="C10396" s="0" t="n">
        <v>2925659</v>
      </c>
      <c r="D10396" s="0" t="s">
        <v>34687</v>
      </c>
      <c r="E10396" s="0" t="s">
        <v>34688</v>
      </c>
      <c r="F10396" s="0" t="s">
        <v>15</v>
      </c>
      <c r="G10396" s="0" t="s">
        <v>36</v>
      </c>
      <c r="H10396" s="0" t="n">
        <v>94</v>
      </c>
      <c r="I10396" s="0" t="s">
        <v>34698</v>
      </c>
      <c r="J10396" s="0" t="s">
        <v>34699</v>
      </c>
      <c r="K10396" s="0" t="s">
        <v>34700</v>
      </c>
      <c r="L10396" s="0" t="str">
        <f aca="false">HYPERLINK("https://www.ncbi.nlm.nih.gov/nuccore/CP000304.1?report=graph&amp;tracks=[key:gene_model_track,Options:GeneOnly]&amp;mk=2925563:2925582|offset_17|444444,2925583:2925602|offset_37|444444,2925610:2925629|offset_64|444444,2925640:2925659|offset_94|00cc00&amp;v=2925362:2925859&amp;c=444444", "offset 94")</f>
        <v>offset 94</v>
      </c>
    </row>
    <row r="10397" customFormat="false" ht="12.8" hidden="false" customHeight="false" outlineLevel="0" collapsed="false">
      <c r="A10397" s="0" t="s">
        <v>12</v>
      </c>
      <c r="B10397" s="0" t="n">
        <v>2928640</v>
      </c>
      <c r="C10397" s="0" t="n">
        <v>2928660</v>
      </c>
      <c r="D10397" s="0" t="s">
        <v>34701</v>
      </c>
      <c r="E10397" s="0" t="s">
        <v>89</v>
      </c>
      <c r="F10397" s="0" t="s">
        <v>90</v>
      </c>
      <c r="G10397" s="0" t="s">
        <v>26</v>
      </c>
      <c r="H10397" s="0" t="n">
        <v>13</v>
      </c>
      <c r="I10397" s="0" t="s">
        <v>34702</v>
      </c>
      <c r="J10397" s="0" t="s">
        <v>34703</v>
      </c>
      <c r="K10397" s="0" t="s">
        <v>34704</v>
      </c>
      <c r="L10397" s="0" t="str">
        <f aca="false">HYPERLINK("https://www.ncbi.nlm.nih.gov/nuccore/CP000304.1?report=graph&amp;tracks=[key:gene_model_track,Options:GeneOnly]&amp;mk=2928641:2928660|offset_13|00cc00,2928604:2928623|offset_50|444444,2928572:2928591|offset_82|444444,2928538:2928557|offset_116|444444&amp;v=2928440:2928757&amp;c=444444", "offset 13")</f>
        <v>offset 13</v>
      </c>
    </row>
    <row r="10398" customFormat="false" ht="12.8" hidden="false" customHeight="false" outlineLevel="0" collapsed="false">
      <c r="A10398" s="0" t="s">
        <v>12</v>
      </c>
      <c r="B10398" s="0" t="n">
        <v>2928603</v>
      </c>
      <c r="C10398" s="0" t="n">
        <v>2928623</v>
      </c>
      <c r="D10398" s="0" t="s">
        <v>34701</v>
      </c>
      <c r="E10398" s="0" t="s">
        <v>89</v>
      </c>
      <c r="F10398" s="0" t="s">
        <v>90</v>
      </c>
      <c r="G10398" s="0" t="s">
        <v>16</v>
      </c>
      <c r="H10398" s="0" t="n">
        <v>50</v>
      </c>
      <c r="I10398" s="0" t="s">
        <v>34705</v>
      </c>
      <c r="J10398" s="0" t="s">
        <v>34706</v>
      </c>
      <c r="K10398" s="0" t="s">
        <v>34707</v>
      </c>
      <c r="L10398" s="0" t="str">
        <f aca="false">HYPERLINK("https://www.ncbi.nlm.nih.gov/nuccore/CP000304.1?report=graph&amp;tracks=[key:gene_model_track,Options:GeneOnly]&amp;mk=2928641:2928660|offset_13|444444,2928604:2928623|offset_50|00cc00,2928572:2928591|offset_82|444444,2928538:2928557|offset_116|444444&amp;v=2928440:2928757&amp;c=444444", "offset 50")</f>
        <v>offset 50</v>
      </c>
    </row>
    <row r="10399" customFormat="false" ht="12.8" hidden="false" customHeight="false" outlineLevel="0" collapsed="false">
      <c r="A10399" s="0" t="s">
        <v>12</v>
      </c>
      <c r="B10399" s="0" t="n">
        <v>2928571</v>
      </c>
      <c r="C10399" s="0" t="n">
        <v>2928591</v>
      </c>
      <c r="D10399" s="0" t="s">
        <v>34701</v>
      </c>
      <c r="E10399" s="0" t="s">
        <v>89</v>
      </c>
      <c r="F10399" s="0" t="s">
        <v>90</v>
      </c>
      <c r="G10399" s="0" t="s">
        <v>36</v>
      </c>
      <c r="H10399" s="0" t="n">
        <v>82</v>
      </c>
      <c r="I10399" s="0" t="s">
        <v>34708</v>
      </c>
      <c r="J10399" s="0" t="s">
        <v>34709</v>
      </c>
      <c r="K10399" s="0" t="s">
        <v>34710</v>
      </c>
      <c r="L10399" s="0" t="str">
        <f aca="false">HYPERLINK("https://www.ncbi.nlm.nih.gov/nuccore/CP000304.1?report=graph&amp;tracks=[key:gene_model_track,Options:GeneOnly]&amp;mk=2928641:2928660|offset_13|444444,2928604:2928623|offset_50|444444,2928572:2928591|offset_82|00cc00,2928538:2928557|offset_116|444444&amp;v=2928440:2928757&amp;c=444444", "offset 82")</f>
        <v>offset 82</v>
      </c>
    </row>
    <row r="10400" customFormat="false" ht="12.8" hidden="false" customHeight="false" outlineLevel="0" collapsed="false">
      <c r="A10400" s="0" t="s">
        <v>12</v>
      </c>
      <c r="B10400" s="0" t="n">
        <v>2928537</v>
      </c>
      <c r="C10400" s="0" t="n">
        <v>2928557</v>
      </c>
      <c r="D10400" s="0" t="s">
        <v>34701</v>
      </c>
      <c r="E10400" s="0" t="s">
        <v>89</v>
      </c>
      <c r="F10400" s="0" t="s">
        <v>90</v>
      </c>
      <c r="G10400" s="0" t="s">
        <v>16</v>
      </c>
      <c r="H10400" s="0" t="n">
        <v>116</v>
      </c>
      <c r="I10400" s="0" t="s">
        <v>34711</v>
      </c>
      <c r="J10400" s="0" t="s">
        <v>34712</v>
      </c>
      <c r="K10400" s="0" t="s">
        <v>34713</v>
      </c>
      <c r="L10400" s="0" t="str">
        <f aca="false">HYPERLINK("https://www.ncbi.nlm.nih.gov/nuccore/CP000304.1?report=graph&amp;tracks=[key:gene_model_track,Options:GeneOnly]&amp;mk=2928641:2928660|offset_13|444444,2928604:2928623|offset_50|444444,2928572:2928591|offset_82|444444,2928538:2928557|offset_116|00cc00&amp;v=2928440:2928757&amp;c=444444", "offset 116")</f>
        <v>offset 116</v>
      </c>
    </row>
    <row r="10401" customFormat="false" ht="12.8" hidden="false" customHeight="false" outlineLevel="0" collapsed="false">
      <c r="A10401" s="0" t="s">
        <v>12</v>
      </c>
      <c r="B10401" s="0" t="n">
        <v>2928687</v>
      </c>
      <c r="C10401" s="0" t="n">
        <v>2928707</v>
      </c>
      <c r="D10401" s="0" t="s">
        <v>34714</v>
      </c>
      <c r="E10401" s="0" t="s">
        <v>89</v>
      </c>
      <c r="F10401" s="0" t="s">
        <v>15</v>
      </c>
      <c r="G10401" s="0" t="s">
        <v>32</v>
      </c>
      <c r="H10401" s="0" t="n">
        <v>16</v>
      </c>
      <c r="I10401" s="0" t="s">
        <v>34715</v>
      </c>
      <c r="J10401" s="0" t="s">
        <v>34716</v>
      </c>
      <c r="K10401" s="0" t="s">
        <v>34717</v>
      </c>
      <c r="L10401" s="0" t="str">
        <f aca="false">HYPERLINK("https://www.ncbi.nlm.nih.gov/nuccore/CP000304.1?report=graph&amp;tracks=[key:gene_model_track,Options:GeneOnly]&amp;mk=2928688:2928707|offset_16|00cc00,2928709:2928728|offset_37|444444,2928730:2928749|offset_58|444444,2928751:2928770|offset_79|444444&amp;v=2928487:2928970&amp;c=444444", "offset 16")</f>
        <v>offset 16</v>
      </c>
    </row>
    <row r="10402" customFormat="false" ht="12.8" hidden="false" customHeight="false" outlineLevel="0" collapsed="false">
      <c r="A10402" s="0" t="s">
        <v>12</v>
      </c>
      <c r="B10402" s="0" t="n">
        <v>2928708</v>
      </c>
      <c r="C10402" s="0" t="n">
        <v>2928728</v>
      </c>
      <c r="D10402" s="0" t="s">
        <v>34714</v>
      </c>
      <c r="E10402" s="0" t="s">
        <v>89</v>
      </c>
      <c r="F10402" s="0" t="s">
        <v>15</v>
      </c>
      <c r="G10402" s="0" t="s">
        <v>26</v>
      </c>
      <c r="H10402" s="0" t="n">
        <v>37</v>
      </c>
      <c r="I10402" s="0" t="s">
        <v>34718</v>
      </c>
      <c r="J10402" s="0" t="s">
        <v>34719</v>
      </c>
      <c r="K10402" s="0" t="s">
        <v>34720</v>
      </c>
      <c r="L10402" s="0" t="str">
        <f aca="false">HYPERLINK("https://www.ncbi.nlm.nih.gov/nuccore/CP000304.1?report=graph&amp;tracks=[key:gene_model_track,Options:GeneOnly]&amp;mk=2928688:2928707|offset_16|444444,2928709:2928728|offset_37|00cc00,2928730:2928749|offset_58|444444,2928751:2928770|offset_79|444444&amp;v=2928487:2928970&amp;c=444444", "offset 37")</f>
        <v>offset 37</v>
      </c>
    </row>
    <row r="10403" customFormat="false" ht="12.8" hidden="false" customHeight="false" outlineLevel="0" collapsed="false">
      <c r="A10403" s="0" t="s">
        <v>12</v>
      </c>
      <c r="B10403" s="0" t="n">
        <v>2928729</v>
      </c>
      <c r="C10403" s="0" t="n">
        <v>2928749</v>
      </c>
      <c r="D10403" s="0" t="s">
        <v>34714</v>
      </c>
      <c r="E10403" s="0" t="s">
        <v>89</v>
      </c>
      <c r="F10403" s="0" t="s">
        <v>15</v>
      </c>
      <c r="G10403" s="0" t="s">
        <v>36</v>
      </c>
      <c r="H10403" s="0" t="n">
        <v>58</v>
      </c>
      <c r="I10403" s="0" t="s">
        <v>34721</v>
      </c>
      <c r="J10403" s="0" t="s">
        <v>34722</v>
      </c>
      <c r="K10403" s="0" t="s">
        <v>34723</v>
      </c>
      <c r="L10403" s="0" t="str">
        <f aca="false">HYPERLINK("https://www.ncbi.nlm.nih.gov/nuccore/CP000304.1?report=graph&amp;tracks=[key:gene_model_track,Options:GeneOnly]&amp;mk=2928688:2928707|offset_16|444444,2928709:2928728|offset_37|444444,2928730:2928749|offset_58|00cc00,2928751:2928770|offset_79|444444&amp;v=2928487:2928970&amp;c=444444", "offset 58")</f>
        <v>offset 58</v>
      </c>
    </row>
    <row r="10404" customFormat="false" ht="12.8" hidden="false" customHeight="false" outlineLevel="0" collapsed="false">
      <c r="A10404" s="0" t="s">
        <v>12</v>
      </c>
      <c r="B10404" s="0" t="n">
        <v>2928750</v>
      </c>
      <c r="C10404" s="0" t="n">
        <v>2928770</v>
      </c>
      <c r="D10404" s="0" t="s">
        <v>34714</v>
      </c>
      <c r="E10404" s="0" t="s">
        <v>89</v>
      </c>
      <c r="F10404" s="0" t="s">
        <v>15</v>
      </c>
      <c r="G10404" s="0" t="s">
        <v>36</v>
      </c>
      <c r="H10404" s="0" t="n">
        <v>79</v>
      </c>
      <c r="I10404" s="0" t="s">
        <v>34724</v>
      </c>
      <c r="J10404" s="0" t="s">
        <v>34725</v>
      </c>
      <c r="K10404" s="0" t="s">
        <v>34726</v>
      </c>
      <c r="L10404" s="0" t="str">
        <f aca="false">HYPERLINK("https://www.ncbi.nlm.nih.gov/nuccore/CP000304.1?report=graph&amp;tracks=[key:gene_model_track,Options:GeneOnly]&amp;mk=2928688:2928707|offset_16|444444,2928709:2928728|offset_37|444444,2928730:2928749|offset_58|444444,2928751:2928770|offset_79|00cc00&amp;v=2928487:2928970&amp;c=444444", "offset 79")</f>
        <v>offset 79</v>
      </c>
    </row>
    <row r="10405" customFormat="false" ht="12.8" hidden="false" customHeight="false" outlineLevel="0" collapsed="false">
      <c r="A10405" s="0" t="s">
        <v>12</v>
      </c>
      <c r="B10405" s="0" t="n">
        <v>2930190</v>
      </c>
      <c r="C10405" s="0" t="n">
        <v>2930210</v>
      </c>
      <c r="D10405" s="0" t="s">
        <v>34727</v>
      </c>
      <c r="E10405" s="0" t="s">
        <v>34728</v>
      </c>
      <c r="F10405" s="0" t="s">
        <v>90</v>
      </c>
      <c r="G10405" s="0" t="s">
        <v>16</v>
      </c>
      <c r="H10405" s="0" t="n">
        <v>18</v>
      </c>
      <c r="I10405" s="0" t="s">
        <v>34729</v>
      </c>
      <c r="J10405" s="0" t="s">
        <v>34730</v>
      </c>
      <c r="K10405" s="0" t="s">
        <v>34731</v>
      </c>
      <c r="L10405" s="0" t="str">
        <f aca="false">HYPERLINK("https://www.ncbi.nlm.nih.gov/nuccore/CP000304.1?report=graph&amp;tracks=[key:gene_model_track,Options:GeneOnly]&amp;mk=2930191:2930210|offset_18|00cc00,2930162:2930181|offset_47|444444,2930142:2930161|offset_67|444444,2930109:2930128|offset_100|444444&amp;v=2929990:2930328&amp;c=444444", "offset 18")</f>
        <v>offset 18</v>
      </c>
    </row>
    <row r="10406" customFormat="false" ht="12.8" hidden="false" customHeight="false" outlineLevel="0" collapsed="false">
      <c r="A10406" s="0" t="s">
        <v>12</v>
      </c>
      <c r="B10406" s="0" t="n">
        <v>2930161</v>
      </c>
      <c r="C10406" s="0" t="n">
        <v>2930181</v>
      </c>
      <c r="D10406" s="0" t="s">
        <v>34727</v>
      </c>
      <c r="E10406" s="0" t="s">
        <v>34728</v>
      </c>
      <c r="F10406" s="0" t="s">
        <v>90</v>
      </c>
      <c r="G10406" s="0" t="s">
        <v>26</v>
      </c>
      <c r="H10406" s="0" t="n">
        <v>47</v>
      </c>
      <c r="I10406" s="0" t="s">
        <v>34732</v>
      </c>
      <c r="J10406" s="0" t="s">
        <v>34733</v>
      </c>
      <c r="K10406" s="0" t="s">
        <v>34734</v>
      </c>
      <c r="L10406" s="0" t="str">
        <f aca="false">HYPERLINK("https://www.ncbi.nlm.nih.gov/nuccore/CP000304.1?report=graph&amp;tracks=[key:gene_model_track,Options:GeneOnly]&amp;mk=2930191:2930210|offset_18|444444,2930162:2930181|offset_47|00cc00,2930142:2930161|offset_67|444444,2930109:2930128|offset_100|444444&amp;v=2929990:2930328&amp;c=444444", "offset 47")</f>
        <v>offset 47</v>
      </c>
    </row>
    <row r="10407" customFormat="false" ht="12.8" hidden="false" customHeight="false" outlineLevel="0" collapsed="false">
      <c r="A10407" s="0" t="s">
        <v>12</v>
      </c>
      <c r="B10407" s="0" t="n">
        <v>2930141</v>
      </c>
      <c r="C10407" s="0" t="n">
        <v>2930161</v>
      </c>
      <c r="D10407" s="0" t="s">
        <v>34727</v>
      </c>
      <c r="E10407" s="0" t="s">
        <v>34728</v>
      </c>
      <c r="F10407" s="0" t="s">
        <v>90</v>
      </c>
      <c r="G10407" s="0" t="s">
        <v>36</v>
      </c>
      <c r="H10407" s="0" t="n">
        <v>67</v>
      </c>
      <c r="I10407" s="0" t="s">
        <v>34735</v>
      </c>
      <c r="J10407" s="0" t="s">
        <v>34736</v>
      </c>
      <c r="K10407" s="0" t="s">
        <v>34737</v>
      </c>
      <c r="L10407" s="0" t="str">
        <f aca="false">HYPERLINK("https://www.ncbi.nlm.nih.gov/nuccore/CP000304.1?report=graph&amp;tracks=[key:gene_model_track,Options:GeneOnly]&amp;mk=2930191:2930210|offset_18|444444,2930162:2930181|offset_47|444444,2930142:2930161|offset_67|00cc00,2930109:2930128|offset_100|444444&amp;v=2929990:2930328&amp;c=444444", "offset 67")</f>
        <v>offset 67</v>
      </c>
    </row>
    <row r="10408" customFormat="false" ht="12.8" hidden="false" customHeight="false" outlineLevel="0" collapsed="false">
      <c r="A10408" s="0" t="s">
        <v>12</v>
      </c>
      <c r="B10408" s="0" t="n">
        <v>2930108</v>
      </c>
      <c r="C10408" s="0" t="n">
        <v>2930128</v>
      </c>
      <c r="D10408" s="0" t="s">
        <v>34727</v>
      </c>
      <c r="E10408" s="0" t="s">
        <v>34728</v>
      </c>
      <c r="F10408" s="0" t="s">
        <v>90</v>
      </c>
      <c r="G10408" s="0" t="s">
        <v>16</v>
      </c>
      <c r="H10408" s="0" t="n">
        <v>100</v>
      </c>
      <c r="I10408" s="0" t="s">
        <v>34738</v>
      </c>
      <c r="J10408" s="0" t="s">
        <v>34739</v>
      </c>
      <c r="K10408" s="0" t="s">
        <v>34740</v>
      </c>
      <c r="L10408" s="0" t="str">
        <f aca="false">HYPERLINK("https://www.ncbi.nlm.nih.gov/nuccore/CP000304.1?report=graph&amp;tracks=[key:gene_model_track,Options:GeneOnly]&amp;mk=2930191:2930210|offset_18|444444,2930162:2930181|offset_47|444444,2930142:2930161|offset_67|444444,2930109:2930128|offset_100|00cc00&amp;v=2929990:2930328&amp;c=444444", "offset 100")</f>
        <v>offset 100</v>
      </c>
    </row>
    <row r="10409" customFormat="false" ht="12.8" hidden="false" customHeight="false" outlineLevel="0" collapsed="false">
      <c r="A10409" s="0" t="s">
        <v>12</v>
      </c>
      <c r="B10409" s="0" t="n">
        <v>2930996</v>
      </c>
      <c r="C10409" s="0" t="n">
        <v>2931016</v>
      </c>
      <c r="D10409" s="0" t="s">
        <v>34741</v>
      </c>
      <c r="E10409" s="0" t="s">
        <v>89</v>
      </c>
      <c r="F10409" s="0" t="s">
        <v>90</v>
      </c>
      <c r="G10409" s="0" t="s">
        <v>16</v>
      </c>
      <c r="H10409" s="0" t="n">
        <v>24</v>
      </c>
      <c r="I10409" s="0" t="s">
        <v>34742</v>
      </c>
      <c r="J10409" s="0" t="s">
        <v>34743</v>
      </c>
      <c r="K10409" s="0" t="s">
        <v>34744</v>
      </c>
      <c r="L10409" s="0" t="str">
        <f aca="false">HYPERLINK("https://www.ncbi.nlm.nih.gov/nuccore/CP000304.1?report=graph&amp;tracks=[key:gene_model_track,Options:GeneOnly]&amp;mk=2930997:2931016|offset_24|00cc00,2930977:2930996|offset_44|444444,2930942:2930961|offset_79|444444,2930920:2930939|offset_101|444444&amp;v=2930796:2931139&amp;c=444444", "offset 24")</f>
        <v>offset 24</v>
      </c>
    </row>
    <row r="10410" customFormat="false" ht="12.8" hidden="false" customHeight="false" outlineLevel="0" collapsed="false">
      <c r="A10410" s="0" t="s">
        <v>12</v>
      </c>
      <c r="B10410" s="0" t="n">
        <v>2930976</v>
      </c>
      <c r="C10410" s="0" t="n">
        <v>2930996</v>
      </c>
      <c r="D10410" s="0" t="s">
        <v>34741</v>
      </c>
      <c r="E10410" s="0" t="s">
        <v>89</v>
      </c>
      <c r="F10410" s="0" t="s">
        <v>90</v>
      </c>
      <c r="G10410" s="0" t="s">
        <v>32</v>
      </c>
      <c r="H10410" s="0" t="n">
        <v>44</v>
      </c>
      <c r="I10410" s="0" t="s">
        <v>34745</v>
      </c>
      <c r="J10410" s="0" t="s">
        <v>34746</v>
      </c>
      <c r="K10410" s="0" t="s">
        <v>34747</v>
      </c>
      <c r="L10410" s="0" t="str">
        <f aca="false">HYPERLINK("https://www.ncbi.nlm.nih.gov/nuccore/CP000304.1?report=graph&amp;tracks=[key:gene_model_track,Options:GeneOnly]&amp;mk=2930997:2931016|offset_24|444444,2930977:2930996|offset_44|00cc00,2930942:2930961|offset_79|444444,2930920:2930939|offset_101|444444&amp;v=2930796:2931139&amp;c=444444", "offset 44")</f>
        <v>offset 44</v>
      </c>
    </row>
    <row r="10411" customFormat="false" ht="12.8" hidden="false" customHeight="false" outlineLevel="0" collapsed="false">
      <c r="A10411" s="0" t="s">
        <v>12</v>
      </c>
      <c r="B10411" s="0" t="n">
        <v>2930941</v>
      </c>
      <c r="C10411" s="0" t="n">
        <v>2930961</v>
      </c>
      <c r="D10411" s="0" t="s">
        <v>34741</v>
      </c>
      <c r="E10411" s="0" t="s">
        <v>89</v>
      </c>
      <c r="F10411" s="0" t="s">
        <v>90</v>
      </c>
      <c r="G10411" s="0" t="s">
        <v>36</v>
      </c>
      <c r="H10411" s="0" t="n">
        <v>79</v>
      </c>
      <c r="I10411" s="0" t="s">
        <v>34748</v>
      </c>
      <c r="J10411" s="0" t="s">
        <v>34749</v>
      </c>
      <c r="K10411" s="0" t="s">
        <v>34750</v>
      </c>
      <c r="L10411" s="0" t="str">
        <f aca="false">HYPERLINK("https://www.ncbi.nlm.nih.gov/nuccore/CP000304.1?report=graph&amp;tracks=[key:gene_model_track,Options:GeneOnly]&amp;mk=2930997:2931016|offset_24|444444,2930977:2930996|offset_44|444444,2930942:2930961|offset_79|00cc00,2930920:2930939|offset_101|444444&amp;v=2930796:2931139&amp;c=444444", "offset 79")</f>
        <v>offset 79</v>
      </c>
    </row>
    <row r="10412" customFormat="false" ht="12.8" hidden="false" customHeight="false" outlineLevel="0" collapsed="false">
      <c r="A10412" s="0" t="s">
        <v>12</v>
      </c>
      <c r="B10412" s="0" t="n">
        <v>2930919</v>
      </c>
      <c r="C10412" s="0" t="n">
        <v>2930939</v>
      </c>
      <c r="D10412" s="0" t="s">
        <v>34741</v>
      </c>
      <c r="E10412" s="0" t="s">
        <v>89</v>
      </c>
      <c r="F10412" s="0" t="s">
        <v>90</v>
      </c>
      <c r="G10412" s="0" t="s">
        <v>16</v>
      </c>
      <c r="H10412" s="0" t="n">
        <v>101</v>
      </c>
      <c r="I10412" s="0" t="s">
        <v>34751</v>
      </c>
      <c r="J10412" s="0" t="s">
        <v>34752</v>
      </c>
      <c r="K10412" s="0" t="s">
        <v>34753</v>
      </c>
      <c r="L10412" s="0" t="str">
        <f aca="false">HYPERLINK("https://www.ncbi.nlm.nih.gov/nuccore/CP000304.1?report=graph&amp;tracks=[key:gene_model_track,Options:GeneOnly]&amp;mk=2930997:2931016|offset_24|444444,2930977:2930996|offset_44|444444,2930942:2930961|offset_79|444444,2930920:2930939|offset_101|00cc00&amp;v=2930796:2931139&amp;c=444444", "offset 101")</f>
        <v>offset 101</v>
      </c>
    </row>
    <row r="10413" customFormat="false" ht="12.8" hidden="false" customHeight="false" outlineLevel="0" collapsed="false">
      <c r="A10413" s="0" t="s">
        <v>12</v>
      </c>
      <c r="B10413" s="0" t="n">
        <v>2932717</v>
      </c>
      <c r="C10413" s="0" t="n">
        <v>2932737</v>
      </c>
      <c r="D10413" s="0" t="s">
        <v>34754</v>
      </c>
      <c r="E10413" s="0" t="s">
        <v>34755</v>
      </c>
      <c r="F10413" s="0" t="s">
        <v>90</v>
      </c>
      <c r="G10413" s="0" t="s">
        <v>36</v>
      </c>
      <c r="H10413" s="0" t="n">
        <v>39</v>
      </c>
      <c r="I10413" s="0" t="s">
        <v>34756</v>
      </c>
      <c r="J10413" s="0" t="s">
        <v>34757</v>
      </c>
      <c r="K10413" s="0" t="s">
        <v>34758</v>
      </c>
      <c r="L10413" s="0" t="str">
        <f aca="false">HYPERLINK("https://www.ncbi.nlm.nih.gov/nuccore/CP000304.1?report=graph&amp;tracks=[key:gene_model_track,Options:GeneOnly]&amp;mk=2932718:2932737|offset_39|00cc00,2932658:2932677|offset_99|444444,2932625:2932644|offset_132|444444,2932583:2932602|offset_174|444444&amp;v=2932517:2932802&amp;c=444444", "offset 39")</f>
        <v>offset 39</v>
      </c>
    </row>
    <row r="10414" customFormat="false" ht="12.8" hidden="false" customHeight="false" outlineLevel="0" collapsed="false">
      <c r="A10414" s="0" t="s">
        <v>12</v>
      </c>
      <c r="B10414" s="0" t="n">
        <v>2932657</v>
      </c>
      <c r="C10414" s="0" t="n">
        <v>2932677</v>
      </c>
      <c r="D10414" s="0" t="s">
        <v>34754</v>
      </c>
      <c r="E10414" s="0" t="s">
        <v>34755</v>
      </c>
      <c r="F10414" s="0" t="s">
        <v>90</v>
      </c>
      <c r="G10414" s="0" t="s">
        <v>16</v>
      </c>
      <c r="H10414" s="0" t="n">
        <v>99</v>
      </c>
      <c r="I10414" s="0" t="s">
        <v>34759</v>
      </c>
      <c r="J10414" s="0" t="s">
        <v>34760</v>
      </c>
      <c r="K10414" s="0" t="s">
        <v>34761</v>
      </c>
      <c r="L10414" s="0" t="str">
        <f aca="false">HYPERLINK("https://www.ncbi.nlm.nih.gov/nuccore/CP000304.1?report=graph&amp;tracks=[key:gene_model_track,Options:GeneOnly]&amp;mk=2932718:2932737|offset_39|444444,2932658:2932677|offset_99|00cc00,2932625:2932644|offset_132|444444,2932583:2932602|offset_174|444444&amp;v=2932517:2932802&amp;c=444444", "offset 99")</f>
        <v>offset 99</v>
      </c>
    </row>
    <row r="10415" customFormat="false" ht="12.8" hidden="false" customHeight="false" outlineLevel="0" collapsed="false">
      <c r="A10415" s="0" t="s">
        <v>12</v>
      </c>
      <c r="B10415" s="0" t="n">
        <v>2932624</v>
      </c>
      <c r="C10415" s="0" t="n">
        <v>2932644</v>
      </c>
      <c r="D10415" s="0" t="s">
        <v>34754</v>
      </c>
      <c r="E10415" s="0" t="s">
        <v>34755</v>
      </c>
      <c r="F10415" s="0" t="s">
        <v>90</v>
      </c>
      <c r="G10415" s="0" t="s">
        <v>16</v>
      </c>
      <c r="H10415" s="0" t="n">
        <v>132</v>
      </c>
      <c r="I10415" s="0" t="s">
        <v>34762</v>
      </c>
      <c r="J10415" s="0" t="s">
        <v>34763</v>
      </c>
      <c r="K10415" s="0" t="s">
        <v>34764</v>
      </c>
      <c r="L10415" s="0" t="str">
        <f aca="false">HYPERLINK("https://www.ncbi.nlm.nih.gov/nuccore/CP000304.1?report=graph&amp;tracks=[key:gene_model_track,Options:GeneOnly]&amp;mk=2932718:2932737|offset_39|444444,2932658:2932677|offset_99|444444,2932625:2932644|offset_132|00cc00,2932583:2932602|offset_174|444444&amp;v=2932517:2932802&amp;c=444444", "offset 132")</f>
        <v>offset 132</v>
      </c>
    </row>
    <row r="10416" customFormat="false" ht="12.8" hidden="false" customHeight="false" outlineLevel="0" collapsed="false">
      <c r="A10416" s="0" t="s">
        <v>12</v>
      </c>
      <c r="B10416" s="0" t="n">
        <v>2932582</v>
      </c>
      <c r="C10416" s="0" t="n">
        <v>2932602</v>
      </c>
      <c r="D10416" s="0" t="s">
        <v>34754</v>
      </c>
      <c r="E10416" s="0" t="s">
        <v>34755</v>
      </c>
      <c r="F10416" s="0" t="s">
        <v>90</v>
      </c>
      <c r="G10416" s="0" t="s">
        <v>16</v>
      </c>
      <c r="H10416" s="0" t="n">
        <v>174</v>
      </c>
      <c r="I10416" s="0" t="s">
        <v>34765</v>
      </c>
      <c r="J10416" s="0" t="s">
        <v>34766</v>
      </c>
      <c r="K10416" s="0" t="s">
        <v>34767</v>
      </c>
      <c r="L10416" s="0" t="str">
        <f aca="false">HYPERLINK("https://www.ncbi.nlm.nih.gov/nuccore/CP000304.1?report=graph&amp;tracks=[key:gene_model_track,Options:GeneOnly]&amp;mk=2932718:2932737|offset_39|444444,2932658:2932677|offset_99|444444,2932625:2932644|offset_132|444444,2932583:2932602|offset_174|00cc00&amp;v=2932517:2932802&amp;c=444444", "offset 174")</f>
        <v>offset 174</v>
      </c>
    </row>
    <row r="10417" customFormat="false" ht="12.8" hidden="false" customHeight="false" outlineLevel="0" collapsed="false">
      <c r="A10417" s="0" t="s">
        <v>12</v>
      </c>
      <c r="B10417" s="0" t="n">
        <v>2932914</v>
      </c>
      <c r="C10417" s="0" t="n">
        <v>2932934</v>
      </c>
      <c r="D10417" s="0" t="s">
        <v>34768</v>
      </c>
      <c r="E10417" s="0" t="s">
        <v>89</v>
      </c>
      <c r="F10417" s="0" t="s">
        <v>15</v>
      </c>
      <c r="G10417" s="0" t="s">
        <v>36</v>
      </c>
      <c r="H10417" s="0" t="n">
        <v>0</v>
      </c>
      <c r="I10417" s="0" t="s">
        <v>34769</v>
      </c>
      <c r="J10417" s="0" t="s">
        <v>34770</v>
      </c>
      <c r="K10417" s="0" t="s">
        <v>34771</v>
      </c>
      <c r="L10417" s="0" t="str">
        <f aca="false">HYPERLINK("https://www.ncbi.nlm.nih.gov/nuccore/CP000304.1?report=graph&amp;tracks=[key:gene_model_track,Options:GeneOnly]&amp;mk=2932915:2932934|offset_0|00cc00,2932955:2932974|offset_40|444444,2932982:2933001|offset_67|444444,2933006:2933025|offset_91|444444&amp;v=2932714:2933225&amp;c=444444", "offset 0")</f>
        <v>offset 0</v>
      </c>
    </row>
    <row r="10418" customFormat="false" ht="12.8" hidden="false" customHeight="false" outlineLevel="0" collapsed="false">
      <c r="A10418" s="0" t="s">
        <v>12</v>
      </c>
      <c r="B10418" s="0" t="n">
        <v>2932954</v>
      </c>
      <c r="C10418" s="0" t="n">
        <v>2932974</v>
      </c>
      <c r="D10418" s="0" t="s">
        <v>34768</v>
      </c>
      <c r="E10418" s="0" t="s">
        <v>89</v>
      </c>
      <c r="F10418" s="0" t="s">
        <v>15</v>
      </c>
      <c r="G10418" s="0" t="s">
        <v>32</v>
      </c>
      <c r="H10418" s="0" t="n">
        <v>40</v>
      </c>
      <c r="I10418" s="0" t="s">
        <v>34772</v>
      </c>
      <c r="J10418" s="0" t="s">
        <v>34773</v>
      </c>
      <c r="K10418" s="0" t="s">
        <v>34774</v>
      </c>
      <c r="L10418" s="0" t="str">
        <f aca="false">HYPERLINK("https://www.ncbi.nlm.nih.gov/nuccore/CP000304.1?report=graph&amp;tracks=[key:gene_model_track,Options:GeneOnly]&amp;mk=2932915:2932934|offset_0|444444,2932955:2932974|offset_40|00cc00,2932982:2933001|offset_67|444444,2933006:2933025|offset_91|444444&amp;v=2932714:2933225&amp;c=444444", "offset 40")</f>
        <v>offset 40</v>
      </c>
    </row>
    <row r="10419" customFormat="false" ht="12.8" hidden="false" customHeight="false" outlineLevel="0" collapsed="false">
      <c r="A10419" s="0" t="s">
        <v>12</v>
      </c>
      <c r="B10419" s="0" t="n">
        <v>2932981</v>
      </c>
      <c r="C10419" s="0" t="n">
        <v>2933001</v>
      </c>
      <c r="D10419" s="0" t="s">
        <v>34768</v>
      </c>
      <c r="E10419" s="0" t="s">
        <v>89</v>
      </c>
      <c r="F10419" s="0" t="s">
        <v>15</v>
      </c>
      <c r="G10419" s="0" t="s">
        <v>36</v>
      </c>
      <c r="H10419" s="0" t="n">
        <v>67</v>
      </c>
      <c r="I10419" s="0" t="s">
        <v>34775</v>
      </c>
      <c r="J10419" s="0" t="s">
        <v>34776</v>
      </c>
      <c r="K10419" s="0" t="s">
        <v>34777</v>
      </c>
      <c r="L10419" s="0" t="str">
        <f aca="false">HYPERLINK("https://www.ncbi.nlm.nih.gov/nuccore/CP000304.1?report=graph&amp;tracks=[key:gene_model_track,Options:GeneOnly]&amp;mk=2932915:2932934|offset_0|444444,2932955:2932974|offset_40|444444,2932982:2933001|offset_67|00cc00,2933006:2933025|offset_91|444444&amp;v=2932714:2933225&amp;c=444444", "offset 67")</f>
        <v>offset 67</v>
      </c>
    </row>
    <row r="10420" customFormat="false" ht="12.8" hidden="false" customHeight="false" outlineLevel="0" collapsed="false">
      <c r="A10420" s="0" t="s">
        <v>12</v>
      </c>
      <c r="B10420" s="0" t="n">
        <v>2933005</v>
      </c>
      <c r="C10420" s="0" t="n">
        <v>2933025</v>
      </c>
      <c r="D10420" s="0" t="s">
        <v>34768</v>
      </c>
      <c r="E10420" s="0" t="s">
        <v>89</v>
      </c>
      <c r="F10420" s="0" t="s">
        <v>15</v>
      </c>
      <c r="G10420" s="0" t="s">
        <v>16</v>
      </c>
      <c r="H10420" s="0" t="n">
        <v>91</v>
      </c>
      <c r="I10420" s="0" t="s">
        <v>34778</v>
      </c>
      <c r="J10420" s="0" t="s">
        <v>34779</v>
      </c>
      <c r="K10420" s="0" t="s">
        <v>34780</v>
      </c>
      <c r="L10420" s="0" t="str">
        <f aca="false">HYPERLINK("https://www.ncbi.nlm.nih.gov/nuccore/CP000304.1?report=graph&amp;tracks=[key:gene_model_track,Options:GeneOnly]&amp;mk=2932915:2932934|offset_0|444444,2932955:2932974|offset_40|444444,2932982:2933001|offset_67|444444,2933006:2933025|offset_91|00cc00&amp;v=2932714:2933225&amp;c=444444", "offset 91")</f>
        <v>offset 91</v>
      </c>
    </row>
    <row r="10421" customFormat="false" ht="12.8" hidden="false" customHeight="false" outlineLevel="0" collapsed="false">
      <c r="A10421" s="0" t="s">
        <v>12</v>
      </c>
      <c r="B10421" s="0" t="n">
        <v>2933602</v>
      </c>
      <c r="C10421" s="0" t="n">
        <v>2933622</v>
      </c>
      <c r="D10421" s="0" t="s">
        <v>34781</v>
      </c>
      <c r="E10421" s="0" t="s">
        <v>89</v>
      </c>
      <c r="F10421" s="0" t="s">
        <v>15</v>
      </c>
      <c r="G10421" s="0" t="s">
        <v>26</v>
      </c>
      <c r="H10421" s="0" t="n">
        <v>14</v>
      </c>
      <c r="I10421" s="0" t="s">
        <v>34782</v>
      </c>
      <c r="J10421" s="0" t="s">
        <v>34783</v>
      </c>
      <c r="K10421" s="0" t="s">
        <v>34784</v>
      </c>
      <c r="L10421" s="0" t="str">
        <f aca="false">HYPERLINK("https://www.ncbi.nlm.nih.gov/nuccore/CP000304.1?report=graph&amp;tracks=[key:gene_model_track,Options:GeneOnly]&amp;mk=2933603:2933622|offset_14|00cc00,2933632:2933651|offset_43|444444,2933662:2933681|offset_73|444444,2933687:2933706|offset_98|444444&amp;v=2933402:2933906&amp;c=444444", "offset 14")</f>
        <v>offset 14</v>
      </c>
    </row>
    <row r="10422" customFormat="false" ht="12.8" hidden="false" customHeight="false" outlineLevel="0" collapsed="false">
      <c r="A10422" s="0" t="s">
        <v>12</v>
      </c>
      <c r="B10422" s="0" t="n">
        <v>2933631</v>
      </c>
      <c r="C10422" s="0" t="n">
        <v>2933651</v>
      </c>
      <c r="D10422" s="0" t="s">
        <v>34781</v>
      </c>
      <c r="E10422" s="0" t="s">
        <v>89</v>
      </c>
      <c r="F10422" s="0" t="s">
        <v>15</v>
      </c>
      <c r="G10422" s="0" t="s">
        <v>26</v>
      </c>
      <c r="H10422" s="0" t="n">
        <v>43</v>
      </c>
      <c r="I10422" s="0" t="s">
        <v>34785</v>
      </c>
      <c r="J10422" s="0" t="s">
        <v>34786</v>
      </c>
      <c r="K10422" s="0" t="s">
        <v>34787</v>
      </c>
      <c r="L10422" s="0" t="str">
        <f aca="false">HYPERLINK("https://www.ncbi.nlm.nih.gov/nuccore/CP000304.1?report=graph&amp;tracks=[key:gene_model_track,Options:GeneOnly]&amp;mk=2933603:2933622|offset_14|444444,2933632:2933651|offset_43|00cc00,2933662:2933681|offset_73|444444,2933687:2933706|offset_98|444444&amp;v=2933402:2933906&amp;c=444444", "offset 43")</f>
        <v>offset 43</v>
      </c>
    </row>
    <row r="10423" customFormat="false" ht="12.8" hidden="false" customHeight="false" outlineLevel="0" collapsed="false">
      <c r="A10423" s="0" t="s">
        <v>12</v>
      </c>
      <c r="B10423" s="0" t="n">
        <v>2933661</v>
      </c>
      <c r="C10423" s="0" t="n">
        <v>2933681</v>
      </c>
      <c r="D10423" s="0" t="s">
        <v>34781</v>
      </c>
      <c r="E10423" s="0" t="s">
        <v>89</v>
      </c>
      <c r="F10423" s="0" t="s">
        <v>15</v>
      </c>
      <c r="G10423" s="0" t="s">
        <v>26</v>
      </c>
      <c r="H10423" s="0" t="n">
        <v>73</v>
      </c>
      <c r="I10423" s="0" t="s">
        <v>34788</v>
      </c>
      <c r="J10423" s="0" t="s">
        <v>34789</v>
      </c>
      <c r="K10423" s="0" t="s">
        <v>34790</v>
      </c>
      <c r="L10423" s="0" t="str">
        <f aca="false">HYPERLINK("https://www.ncbi.nlm.nih.gov/nuccore/CP000304.1?report=graph&amp;tracks=[key:gene_model_track,Options:GeneOnly]&amp;mk=2933603:2933622|offset_14|444444,2933632:2933651|offset_43|444444,2933662:2933681|offset_73|00cc00,2933687:2933706|offset_98|444444&amp;v=2933402:2933906&amp;c=444444", "offset 73")</f>
        <v>offset 73</v>
      </c>
    </row>
    <row r="10424" customFormat="false" ht="12.8" hidden="false" customHeight="false" outlineLevel="0" collapsed="false">
      <c r="A10424" s="0" t="s">
        <v>12</v>
      </c>
      <c r="B10424" s="0" t="n">
        <v>2933686</v>
      </c>
      <c r="C10424" s="0" t="n">
        <v>2933706</v>
      </c>
      <c r="D10424" s="0" t="s">
        <v>34781</v>
      </c>
      <c r="E10424" s="0" t="s">
        <v>89</v>
      </c>
      <c r="F10424" s="0" t="s">
        <v>15</v>
      </c>
      <c r="G10424" s="0" t="s">
        <v>32</v>
      </c>
      <c r="H10424" s="0" t="n">
        <v>98</v>
      </c>
      <c r="I10424" s="0" t="s">
        <v>34791</v>
      </c>
      <c r="J10424" s="0" t="s">
        <v>34792</v>
      </c>
      <c r="K10424" s="0" t="s">
        <v>34793</v>
      </c>
      <c r="L10424" s="0" t="str">
        <f aca="false">HYPERLINK("https://www.ncbi.nlm.nih.gov/nuccore/CP000304.1?report=graph&amp;tracks=[key:gene_model_track,Options:GeneOnly]&amp;mk=2933603:2933622|offset_14|444444,2933632:2933651|offset_43|444444,2933662:2933681|offset_73|444444,2933687:2933706|offset_98|00cc00&amp;v=2933402:2933906&amp;c=444444", "offset 98")</f>
        <v>offset 98</v>
      </c>
    </row>
    <row r="10425" customFormat="false" ht="12.8" hidden="false" customHeight="false" outlineLevel="0" collapsed="false">
      <c r="A10425" s="0" t="s">
        <v>12</v>
      </c>
      <c r="B10425" s="0" t="n">
        <v>2936221</v>
      </c>
      <c r="C10425" s="0" t="n">
        <v>2936241</v>
      </c>
      <c r="D10425" s="0" t="s">
        <v>34794</v>
      </c>
      <c r="E10425" s="0" t="s">
        <v>89</v>
      </c>
      <c r="F10425" s="0" t="s">
        <v>90</v>
      </c>
      <c r="G10425" s="0" t="s">
        <v>26</v>
      </c>
      <c r="H10425" s="0" t="n">
        <v>35</v>
      </c>
      <c r="I10425" s="0" t="s">
        <v>34795</v>
      </c>
      <c r="J10425" s="0" t="s">
        <v>34796</v>
      </c>
      <c r="K10425" s="0" t="s">
        <v>34797</v>
      </c>
      <c r="L10425" s="0" t="str">
        <f aca="false">HYPERLINK("https://www.ncbi.nlm.nih.gov/nuccore/CP000304.1?report=graph&amp;tracks=[key:gene_model_track,Options:GeneOnly]&amp;mk=2936222:2936241|offset_35|00cc00,2936184:2936203|offset_73|444444,2936150:2936169|offset_107|444444,2936124:2936143|offset_133|444444&amp;v=2936021:2936343&amp;c=444444", "offset 35")</f>
        <v>offset 35</v>
      </c>
    </row>
    <row r="10426" customFormat="false" ht="12.8" hidden="false" customHeight="false" outlineLevel="0" collapsed="false">
      <c r="A10426" s="0" t="s">
        <v>12</v>
      </c>
      <c r="B10426" s="0" t="n">
        <v>2936183</v>
      </c>
      <c r="C10426" s="0" t="n">
        <v>2936203</v>
      </c>
      <c r="D10426" s="0" t="s">
        <v>34794</v>
      </c>
      <c r="E10426" s="0" t="s">
        <v>89</v>
      </c>
      <c r="F10426" s="0" t="s">
        <v>90</v>
      </c>
      <c r="G10426" s="0" t="s">
        <v>16</v>
      </c>
      <c r="H10426" s="0" t="n">
        <v>73</v>
      </c>
      <c r="I10426" s="0" t="s">
        <v>34798</v>
      </c>
      <c r="J10426" s="0" t="s">
        <v>34799</v>
      </c>
      <c r="K10426" s="0" t="s">
        <v>34800</v>
      </c>
      <c r="L10426" s="0" t="str">
        <f aca="false">HYPERLINK("https://www.ncbi.nlm.nih.gov/nuccore/CP000304.1?report=graph&amp;tracks=[key:gene_model_track,Options:GeneOnly]&amp;mk=2936222:2936241|offset_35|444444,2936184:2936203|offset_73|00cc00,2936150:2936169|offset_107|444444,2936124:2936143|offset_133|444444&amp;v=2936021:2936343&amp;c=444444", "offset 73")</f>
        <v>offset 73</v>
      </c>
    </row>
    <row r="10427" customFormat="false" ht="12.8" hidden="false" customHeight="false" outlineLevel="0" collapsed="false">
      <c r="A10427" s="0" t="s">
        <v>12</v>
      </c>
      <c r="B10427" s="0" t="n">
        <v>2936149</v>
      </c>
      <c r="C10427" s="0" t="n">
        <v>2936169</v>
      </c>
      <c r="D10427" s="0" t="s">
        <v>34794</v>
      </c>
      <c r="E10427" s="0" t="s">
        <v>89</v>
      </c>
      <c r="F10427" s="0" t="s">
        <v>90</v>
      </c>
      <c r="G10427" s="0" t="s">
        <v>32</v>
      </c>
      <c r="H10427" s="0" t="n">
        <v>107</v>
      </c>
      <c r="I10427" s="0" t="s">
        <v>34801</v>
      </c>
      <c r="J10427" s="0" t="s">
        <v>34802</v>
      </c>
      <c r="K10427" s="0" t="s">
        <v>34803</v>
      </c>
      <c r="L10427" s="0" t="str">
        <f aca="false">HYPERLINK("https://www.ncbi.nlm.nih.gov/nuccore/CP000304.1?report=graph&amp;tracks=[key:gene_model_track,Options:GeneOnly]&amp;mk=2936222:2936241|offset_35|444444,2936184:2936203|offset_73|444444,2936150:2936169|offset_107|00cc00,2936124:2936143|offset_133|444444&amp;v=2936021:2936343&amp;c=444444", "offset 107")</f>
        <v>offset 107</v>
      </c>
    </row>
    <row r="10428" customFormat="false" ht="12.8" hidden="false" customHeight="false" outlineLevel="0" collapsed="false">
      <c r="A10428" s="0" t="s">
        <v>12</v>
      </c>
      <c r="B10428" s="0" t="n">
        <v>2936123</v>
      </c>
      <c r="C10428" s="0" t="n">
        <v>2936143</v>
      </c>
      <c r="D10428" s="0" t="s">
        <v>34794</v>
      </c>
      <c r="E10428" s="0" t="s">
        <v>89</v>
      </c>
      <c r="F10428" s="0" t="s">
        <v>90</v>
      </c>
      <c r="G10428" s="0" t="s">
        <v>36</v>
      </c>
      <c r="H10428" s="0" t="n">
        <v>133</v>
      </c>
      <c r="I10428" s="0" t="s">
        <v>34804</v>
      </c>
      <c r="J10428" s="0" t="s">
        <v>34805</v>
      </c>
      <c r="K10428" s="0" t="s">
        <v>34806</v>
      </c>
      <c r="L10428" s="0" t="str">
        <f aca="false">HYPERLINK("https://www.ncbi.nlm.nih.gov/nuccore/CP000304.1?report=graph&amp;tracks=[key:gene_model_track,Options:GeneOnly]&amp;mk=2936222:2936241|offset_35|444444,2936184:2936203|offset_73|444444,2936150:2936169|offset_107|444444,2936124:2936143|offset_133|00cc00&amp;v=2936021:2936343&amp;c=444444", "offset 133")</f>
        <v>offset 133</v>
      </c>
    </row>
    <row r="10429" customFormat="false" ht="12.8" hidden="false" customHeight="false" outlineLevel="0" collapsed="false">
      <c r="A10429" s="0" t="s">
        <v>12</v>
      </c>
      <c r="B10429" s="0" t="n">
        <v>2936970</v>
      </c>
      <c r="C10429" s="0" t="n">
        <v>2936990</v>
      </c>
      <c r="D10429" s="0" t="s">
        <v>34807</v>
      </c>
      <c r="E10429" s="0" t="s">
        <v>89</v>
      </c>
      <c r="F10429" s="0" t="s">
        <v>90</v>
      </c>
      <c r="G10429" s="0" t="s">
        <v>32</v>
      </c>
      <c r="H10429" s="0" t="n">
        <v>14</v>
      </c>
      <c r="I10429" s="0" t="s">
        <v>34808</v>
      </c>
      <c r="J10429" s="0" t="s">
        <v>34809</v>
      </c>
      <c r="K10429" s="0" t="s">
        <v>34810</v>
      </c>
      <c r="L10429" s="0" t="str">
        <f aca="false">HYPERLINK("https://www.ncbi.nlm.nih.gov/nuccore/CP000304.1?report=graph&amp;tracks=[key:gene_model_track,Options:GeneOnly]&amp;mk=2936971:2936990|offset_14|00cc00,2936950:2936969|offset_35|444444,2936918:2936937|offset_67|444444,2936894:2936913|offset_91|444444&amp;v=2936770:2937113&amp;c=444444", "offset 14")</f>
        <v>offset 14</v>
      </c>
    </row>
    <row r="10430" customFormat="false" ht="12.8" hidden="false" customHeight="false" outlineLevel="0" collapsed="false">
      <c r="A10430" s="0" t="s">
        <v>12</v>
      </c>
      <c r="B10430" s="0" t="n">
        <v>2936949</v>
      </c>
      <c r="C10430" s="0" t="n">
        <v>2936969</v>
      </c>
      <c r="D10430" s="0" t="s">
        <v>34807</v>
      </c>
      <c r="E10430" s="0" t="s">
        <v>89</v>
      </c>
      <c r="F10430" s="0" t="s">
        <v>90</v>
      </c>
      <c r="G10430" s="0" t="s">
        <v>16</v>
      </c>
      <c r="H10430" s="0" t="n">
        <v>35</v>
      </c>
      <c r="I10430" s="0" t="s">
        <v>34811</v>
      </c>
      <c r="J10430" s="0" t="s">
        <v>34812</v>
      </c>
      <c r="K10430" s="0" t="s">
        <v>34813</v>
      </c>
      <c r="L10430" s="0" t="str">
        <f aca="false">HYPERLINK("https://www.ncbi.nlm.nih.gov/nuccore/CP000304.1?report=graph&amp;tracks=[key:gene_model_track,Options:GeneOnly]&amp;mk=2936971:2936990|offset_14|444444,2936950:2936969|offset_35|00cc00,2936918:2936937|offset_67|444444,2936894:2936913|offset_91|444444&amp;v=2936770:2937113&amp;c=444444", "offset 35")</f>
        <v>offset 35</v>
      </c>
    </row>
    <row r="10431" customFormat="false" ht="12.8" hidden="false" customHeight="false" outlineLevel="0" collapsed="false">
      <c r="A10431" s="0" t="s">
        <v>12</v>
      </c>
      <c r="B10431" s="0" t="n">
        <v>2936917</v>
      </c>
      <c r="C10431" s="0" t="n">
        <v>2936937</v>
      </c>
      <c r="D10431" s="0" t="s">
        <v>34807</v>
      </c>
      <c r="E10431" s="0" t="s">
        <v>89</v>
      </c>
      <c r="F10431" s="0" t="s">
        <v>90</v>
      </c>
      <c r="G10431" s="0" t="s">
        <v>16</v>
      </c>
      <c r="H10431" s="0" t="n">
        <v>67</v>
      </c>
      <c r="I10431" s="0" t="s">
        <v>34814</v>
      </c>
      <c r="J10431" s="0" t="s">
        <v>34815</v>
      </c>
      <c r="K10431" s="0" t="s">
        <v>34816</v>
      </c>
      <c r="L10431" s="0" t="str">
        <f aca="false">HYPERLINK("https://www.ncbi.nlm.nih.gov/nuccore/CP000304.1?report=graph&amp;tracks=[key:gene_model_track,Options:GeneOnly]&amp;mk=2936971:2936990|offset_14|444444,2936950:2936969|offset_35|444444,2936918:2936937|offset_67|00cc00,2936894:2936913|offset_91|444444&amp;v=2936770:2937113&amp;c=444444", "offset 67")</f>
        <v>offset 67</v>
      </c>
    </row>
    <row r="10432" customFormat="false" ht="12.8" hidden="false" customHeight="false" outlineLevel="0" collapsed="false">
      <c r="A10432" s="0" t="s">
        <v>12</v>
      </c>
      <c r="B10432" s="0" t="n">
        <v>2936893</v>
      </c>
      <c r="C10432" s="0" t="n">
        <v>2936913</v>
      </c>
      <c r="D10432" s="0" t="s">
        <v>34807</v>
      </c>
      <c r="E10432" s="0" t="s">
        <v>89</v>
      </c>
      <c r="F10432" s="0" t="s">
        <v>90</v>
      </c>
      <c r="G10432" s="0" t="s">
        <v>26</v>
      </c>
      <c r="H10432" s="0" t="n">
        <v>91</v>
      </c>
      <c r="I10432" s="0" t="s">
        <v>34817</v>
      </c>
      <c r="J10432" s="0" t="s">
        <v>34818</v>
      </c>
      <c r="K10432" s="0" t="s">
        <v>34819</v>
      </c>
      <c r="L10432" s="0" t="str">
        <f aca="false">HYPERLINK("https://www.ncbi.nlm.nih.gov/nuccore/CP000304.1?report=graph&amp;tracks=[key:gene_model_track,Options:GeneOnly]&amp;mk=2936971:2936990|offset_14|444444,2936950:2936969|offset_35|444444,2936918:2936937|offset_67|444444,2936894:2936913|offset_91|00cc00&amp;v=2936770:2937113&amp;c=444444", "offset 91")</f>
        <v>offset 91</v>
      </c>
    </row>
    <row r="10433" customFormat="false" ht="12.8" hidden="false" customHeight="false" outlineLevel="0" collapsed="false">
      <c r="A10433" s="0" t="s">
        <v>12</v>
      </c>
      <c r="B10433" s="0" t="n">
        <v>2937165</v>
      </c>
      <c r="C10433" s="0" t="n">
        <v>2937185</v>
      </c>
      <c r="D10433" s="0" t="s">
        <v>34820</v>
      </c>
      <c r="E10433" s="0" t="s">
        <v>89</v>
      </c>
      <c r="F10433" s="0" t="s">
        <v>15</v>
      </c>
      <c r="G10433" s="0" t="s">
        <v>36</v>
      </c>
      <c r="H10433" s="0" t="n">
        <v>0</v>
      </c>
      <c r="I10433" s="0" t="s">
        <v>34821</v>
      </c>
      <c r="J10433" s="0" t="s">
        <v>34822</v>
      </c>
      <c r="K10433" s="0" t="s">
        <v>34823</v>
      </c>
      <c r="L10433" s="0" t="str">
        <f aca="false">HYPERLINK("https://www.ncbi.nlm.nih.gov/nuccore/CP000304.1?report=graph&amp;tracks=[key:gene_model_track,Options:GeneOnly]&amp;mk=2937166:2937185|offset_0|00cc00,2937194:2937213|offset_28|444444,2937281:2937300|offset_115|444444,2937311:2937330|offset_145|444444&amp;v=2936965:2937530&amp;c=444444", "offset 0")</f>
        <v>offset 0</v>
      </c>
    </row>
    <row r="10434" customFormat="false" ht="12.8" hidden="false" customHeight="false" outlineLevel="0" collapsed="false">
      <c r="A10434" s="0" t="s">
        <v>12</v>
      </c>
      <c r="B10434" s="0" t="n">
        <v>2937193</v>
      </c>
      <c r="C10434" s="0" t="n">
        <v>2937213</v>
      </c>
      <c r="D10434" s="0" t="s">
        <v>34820</v>
      </c>
      <c r="E10434" s="0" t="s">
        <v>89</v>
      </c>
      <c r="F10434" s="0" t="s">
        <v>15</v>
      </c>
      <c r="G10434" s="0" t="s">
        <v>16</v>
      </c>
      <c r="H10434" s="0" t="n">
        <v>28</v>
      </c>
      <c r="I10434" s="0" t="s">
        <v>34824</v>
      </c>
      <c r="J10434" s="0" t="s">
        <v>34825</v>
      </c>
      <c r="K10434" s="0" t="s">
        <v>34826</v>
      </c>
      <c r="L10434" s="0" t="str">
        <f aca="false">HYPERLINK("https://www.ncbi.nlm.nih.gov/nuccore/CP000304.1?report=graph&amp;tracks=[key:gene_model_track,Options:GeneOnly]&amp;mk=2937166:2937185|offset_0|444444,2937194:2937213|offset_28|00cc00,2937281:2937300|offset_115|444444,2937311:2937330|offset_145|444444&amp;v=2936965:2937530&amp;c=444444", "offset 28")</f>
        <v>offset 28</v>
      </c>
    </row>
    <row r="10435" customFormat="false" ht="12.8" hidden="false" customHeight="false" outlineLevel="0" collapsed="false">
      <c r="A10435" s="0" t="s">
        <v>12</v>
      </c>
      <c r="B10435" s="0" t="n">
        <v>2937280</v>
      </c>
      <c r="C10435" s="0" t="n">
        <v>2937300</v>
      </c>
      <c r="D10435" s="0" t="s">
        <v>34820</v>
      </c>
      <c r="E10435" s="0" t="s">
        <v>89</v>
      </c>
      <c r="F10435" s="0" t="s">
        <v>15</v>
      </c>
      <c r="G10435" s="0" t="s">
        <v>16</v>
      </c>
      <c r="H10435" s="0" t="n">
        <v>115</v>
      </c>
      <c r="I10435" s="0" t="s">
        <v>34827</v>
      </c>
      <c r="J10435" s="0" t="s">
        <v>34828</v>
      </c>
      <c r="K10435" s="0" t="s">
        <v>34829</v>
      </c>
      <c r="L10435" s="0" t="str">
        <f aca="false">HYPERLINK("https://www.ncbi.nlm.nih.gov/nuccore/CP000304.1?report=graph&amp;tracks=[key:gene_model_track,Options:GeneOnly]&amp;mk=2937166:2937185|offset_0|444444,2937194:2937213|offset_28|444444,2937281:2937300|offset_115|00cc00,2937311:2937330|offset_145|444444&amp;v=2936965:2937530&amp;c=444444", "offset 115")</f>
        <v>offset 115</v>
      </c>
    </row>
    <row r="10436" customFormat="false" ht="12.8" hidden="false" customHeight="false" outlineLevel="0" collapsed="false">
      <c r="A10436" s="0" t="s">
        <v>12</v>
      </c>
      <c r="B10436" s="0" t="n">
        <v>2937310</v>
      </c>
      <c r="C10436" s="0" t="n">
        <v>2937330</v>
      </c>
      <c r="D10436" s="0" t="s">
        <v>34820</v>
      </c>
      <c r="E10436" s="0" t="s">
        <v>89</v>
      </c>
      <c r="F10436" s="0" t="s">
        <v>15</v>
      </c>
      <c r="G10436" s="0" t="s">
        <v>16</v>
      </c>
      <c r="H10436" s="0" t="n">
        <v>145</v>
      </c>
      <c r="I10436" s="0" t="s">
        <v>34830</v>
      </c>
      <c r="J10436" s="0" t="s">
        <v>34831</v>
      </c>
      <c r="K10436" s="0" t="s">
        <v>34832</v>
      </c>
      <c r="L10436" s="0" t="str">
        <f aca="false">HYPERLINK("https://www.ncbi.nlm.nih.gov/nuccore/CP000304.1?report=graph&amp;tracks=[key:gene_model_track,Options:GeneOnly]&amp;mk=2937166:2937185|offset_0|444444,2937194:2937213|offset_28|444444,2937281:2937300|offset_115|444444,2937311:2937330|offset_145|00cc00&amp;v=2936965:2937530&amp;c=444444", "offset 145")</f>
        <v>offset 145</v>
      </c>
    </row>
    <row r="10437" customFormat="false" ht="12.8" hidden="false" customHeight="false" outlineLevel="0" collapsed="false">
      <c r="A10437" s="0" t="s">
        <v>12</v>
      </c>
      <c r="B10437" s="0" t="n">
        <v>2937458</v>
      </c>
      <c r="C10437" s="0" t="n">
        <v>2937478</v>
      </c>
      <c r="D10437" s="0" t="s">
        <v>34833</v>
      </c>
      <c r="E10437" s="0" t="s">
        <v>89</v>
      </c>
      <c r="F10437" s="0" t="s">
        <v>15</v>
      </c>
      <c r="G10437" s="0" t="s">
        <v>26</v>
      </c>
      <c r="H10437" s="0" t="n">
        <v>9</v>
      </c>
      <c r="I10437" s="0" t="s">
        <v>34834</v>
      </c>
      <c r="J10437" s="0" t="s">
        <v>34835</v>
      </c>
      <c r="K10437" s="0" t="s">
        <v>34836</v>
      </c>
      <c r="L10437" s="0" t="str">
        <f aca="false">HYPERLINK("https://www.ncbi.nlm.nih.gov/nuccore/CP000304.1?report=graph&amp;tracks=[key:gene_model_track,Options:GeneOnly]&amp;mk=2937459:2937478|offset_9|00cc00,2937493:2937512|offset_43|444444,2937530:2937549|offset_80|444444,2937580:2937599|offset_130|444444&amp;v=2937258:2937799&amp;c=444444", "offset 9")</f>
        <v>offset 9</v>
      </c>
    </row>
    <row r="10438" customFormat="false" ht="12.8" hidden="false" customHeight="false" outlineLevel="0" collapsed="false">
      <c r="A10438" s="0" t="s">
        <v>12</v>
      </c>
      <c r="B10438" s="0" t="n">
        <v>2937492</v>
      </c>
      <c r="C10438" s="0" t="n">
        <v>2937512</v>
      </c>
      <c r="D10438" s="0" t="s">
        <v>34833</v>
      </c>
      <c r="E10438" s="0" t="s">
        <v>89</v>
      </c>
      <c r="F10438" s="0" t="s">
        <v>15</v>
      </c>
      <c r="G10438" s="0" t="s">
        <v>16</v>
      </c>
      <c r="H10438" s="0" t="n">
        <v>43</v>
      </c>
      <c r="I10438" s="0" t="s">
        <v>34837</v>
      </c>
      <c r="J10438" s="0" t="s">
        <v>34838</v>
      </c>
      <c r="K10438" s="0" t="s">
        <v>34839</v>
      </c>
      <c r="L10438" s="0" t="str">
        <f aca="false">HYPERLINK("https://www.ncbi.nlm.nih.gov/nuccore/CP000304.1?report=graph&amp;tracks=[key:gene_model_track,Options:GeneOnly]&amp;mk=2937459:2937478|offset_9|444444,2937493:2937512|offset_43|00cc00,2937530:2937549|offset_80|444444,2937580:2937599|offset_130|444444&amp;v=2937258:2937799&amp;c=444444", "offset 43")</f>
        <v>offset 43</v>
      </c>
    </row>
    <row r="10439" customFormat="false" ht="12.8" hidden="false" customHeight="false" outlineLevel="0" collapsed="false">
      <c r="A10439" s="0" t="s">
        <v>12</v>
      </c>
      <c r="B10439" s="0" t="n">
        <v>2937529</v>
      </c>
      <c r="C10439" s="0" t="n">
        <v>2937549</v>
      </c>
      <c r="D10439" s="0" t="s">
        <v>34833</v>
      </c>
      <c r="E10439" s="0" t="s">
        <v>89</v>
      </c>
      <c r="F10439" s="0" t="s">
        <v>15</v>
      </c>
      <c r="G10439" s="0" t="s">
        <v>16</v>
      </c>
      <c r="H10439" s="0" t="n">
        <v>80</v>
      </c>
      <c r="I10439" s="0" t="s">
        <v>34840</v>
      </c>
      <c r="J10439" s="0" t="s">
        <v>34841</v>
      </c>
      <c r="K10439" s="0" t="s">
        <v>34842</v>
      </c>
      <c r="L10439" s="0" t="str">
        <f aca="false">HYPERLINK("https://www.ncbi.nlm.nih.gov/nuccore/CP000304.1?report=graph&amp;tracks=[key:gene_model_track,Options:GeneOnly]&amp;mk=2937459:2937478|offset_9|444444,2937493:2937512|offset_43|444444,2937530:2937549|offset_80|00cc00,2937580:2937599|offset_130|444444&amp;v=2937258:2937799&amp;c=444444", "offset 80")</f>
        <v>offset 80</v>
      </c>
    </row>
    <row r="10440" customFormat="false" ht="12.8" hidden="false" customHeight="false" outlineLevel="0" collapsed="false">
      <c r="A10440" s="0" t="s">
        <v>12</v>
      </c>
      <c r="B10440" s="0" t="n">
        <v>2937579</v>
      </c>
      <c r="C10440" s="0" t="n">
        <v>2937599</v>
      </c>
      <c r="D10440" s="0" t="s">
        <v>34833</v>
      </c>
      <c r="E10440" s="0" t="s">
        <v>89</v>
      </c>
      <c r="F10440" s="0" t="s">
        <v>15</v>
      </c>
      <c r="G10440" s="0" t="s">
        <v>32</v>
      </c>
      <c r="H10440" s="0" t="n">
        <v>130</v>
      </c>
      <c r="I10440" s="0" t="s">
        <v>34843</v>
      </c>
      <c r="J10440" s="0" t="s">
        <v>34844</v>
      </c>
      <c r="K10440" s="0" t="s">
        <v>34845</v>
      </c>
      <c r="L10440" s="0" t="str">
        <f aca="false">HYPERLINK("https://www.ncbi.nlm.nih.gov/nuccore/CP000304.1?report=graph&amp;tracks=[key:gene_model_track,Options:GeneOnly]&amp;mk=2937459:2937478|offset_9|444444,2937493:2937512|offset_43|444444,2937530:2937549|offset_80|444444,2937580:2937599|offset_130|00cc00&amp;v=2937258:2937799&amp;c=444444", "offset 130")</f>
        <v>offset 130</v>
      </c>
    </row>
    <row r="10441" customFormat="false" ht="12.8" hidden="false" customHeight="false" outlineLevel="0" collapsed="false">
      <c r="A10441" s="0" t="s">
        <v>12</v>
      </c>
      <c r="B10441" s="0" t="n">
        <v>2938515</v>
      </c>
      <c r="C10441" s="0" t="n">
        <v>2938535</v>
      </c>
      <c r="D10441" s="0" t="s">
        <v>34846</v>
      </c>
      <c r="E10441" s="0" t="s">
        <v>34847</v>
      </c>
      <c r="F10441" s="0" t="s">
        <v>15</v>
      </c>
      <c r="G10441" s="0" t="s">
        <v>36</v>
      </c>
      <c r="H10441" s="0" t="n">
        <v>15</v>
      </c>
      <c r="I10441" s="0" t="s">
        <v>34848</v>
      </c>
      <c r="J10441" s="0" t="s">
        <v>34849</v>
      </c>
      <c r="K10441" s="0" t="s">
        <v>34850</v>
      </c>
      <c r="L10441" s="0" t="str">
        <f aca="false">HYPERLINK("https://www.ncbi.nlm.nih.gov/nuccore/CP000304.1?report=graph&amp;tracks=[key:gene_model_track,Options:GeneOnly]&amp;mk=2938516:2938535|offset_15|00cc00,2938543:2938562|offset_42|444444,2938563:2938582|offset_62|444444,2938589:2938608|offset_88|444444&amp;v=2938315:2938808&amp;c=444444", "offset 15")</f>
        <v>offset 15</v>
      </c>
    </row>
    <row r="10442" customFormat="false" ht="12.8" hidden="false" customHeight="false" outlineLevel="0" collapsed="false">
      <c r="A10442" s="0" t="s">
        <v>12</v>
      </c>
      <c r="B10442" s="0" t="n">
        <v>2938542</v>
      </c>
      <c r="C10442" s="0" t="n">
        <v>2938562</v>
      </c>
      <c r="D10442" s="0" t="s">
        <v>34846</v>
      </c>
      <c r="E10442" s="0" t="s">
        <v>34847</v>
      </c>
      <c r="F10442" s="0" t="s">
        <v>15</v>
      </c>
      <c r="G10442" s="0" t="s">
        <v>16</v>
      </c>
      <c r="H10442" s="0" t="n">
        <v>42</v>
      </c>
      <c r="I10442" s="0" t="s">
        <v>34851</v>
      </c>
      <c r="J10442" s="0" t="s">
        <v>34852</v>
      </c>
      <c r="K10442" s="0" t="s">
        <v>34853</v>
      </c>
      <c r="L10442" s="0" t="str">
        <f aca="false">HYPERLINK("https://www.ncbi.nlm.nih.gov/nuccore/CP000304.1?report=graph&amp;tracks=[key:gene_model_track,Options:GeneOnly]&amp;mk=2938516:2938535|offset_15|444444,2938543:2938562|offset_42|00cc00,2938563:2938582|offset_62|444444,2938589:2938608|offset_88|444444&amp;v=2938315:2938808&amp;c=444444", "offset 42")</f>
        <v>offset 42</v>
      </c>
    </row>
    <row r="10443" customFormat="false" ht="12.8" hidden="false" customHeight="false" outlineLevel="0" collapsed="false">
      <c r="A10443" s="0" t="s">
        <v>12</v>
      </c>
      <c r="B10443" s="0" t="n">
        <v>2938562</v>
      </c>
      <c r="C10443" s="0" t="n">
        <v>2938582</v>
      </c>
      <c r="D10443" s="0" t="s">
        <v>34846</v>
      </c>
      <c r="E10443" s="0" t="s">
        <v>34847</v>
      </c>
      <c r="F10443" s="0" t="s">
        <v>15</v>
      </c>
      <c r="G10443" s="0" t="s">
        <v>16</v>
      </c>
      <c r="H10443" s="0" t="n">
        <v>62</v>
      </c>
      <c r="I10443" s="0" t="s">
        <v>34854</v>
      </c>
      <c r="J10443" s="0" t="s">
        <v>34855</v>
      </c>
      <c r="K10443" s="0" t="s">
        <v>34856</v>
      </c>
      <c r="L10443" s="0" t="str">
        <f aca="false">HYPERLINK("https://www.ncbi.nlm.nih.gov/nuccore/CP000304.1?report=graph&amp;tracks=[key:gene_model_track,Options:GeneOnly]&amp;mk=2938516:2938535|offset_15|444444,2938543:2938562|offset_42|444444,2938563:2938582|offset_62|00cc00,2938589:2938608|offset_88|444444&amp;v=2938315:2938808&amp;c=444444", "offset 62")</f>
        <v>offset 62</v>
      </c>
    </row>
    <row r="10444" customFormat="false" ht="12.8" hidden="false" customHeight="false" outlineLevel="0" collapsed="false">
      <c r="A10444" s="0" t="s">
        <v>12</v>
      </c>
      <c r="B10444" s="0" t="n">
        <v>2938588</v>
      </c>
      <c r="C10444" s="0" t="n">
        <v>2938608</v>
      </c>
      <c r="D10444" s="0" t="s">
        <v>34846</v>
      </c>
      <c r="E10444" s="0" t="s">
        <v>34847</v>
      </c>
      <c r="F10444" s="0" t="s">
        <v>15</v>
      </c>
      <c r="G10444" s="0" t="s">
        <v>26</v>
      </c>
      <c r="H10444" s="0" t="n">
        <v>88</v>
      </c>
      <c r="I10444" s="0" t="s">
        <v>34857</v>
      </c>
      <c r="J10444" s="0" t="s">
        <v>34858</v>
      </c>
      <c r="K10444" s="0" t="s">
        <v>34859</v>
      </c>
      <c r="L10444" s="0" t="str">
        <f aca="false">HYPERLINK("https://www.ncbi.nlm.nih.gov/nuccore/CP000304.1?report=graph&amp;tracks=[key:gene_model_track,Options:GeneOnly]&amp;mk=2938516:2938535|offset_15|444444,2938543:2938562|offset_42|444444,2938563:2938582|offset_62|444444,2938589:2938608|offset_88|00cc00&amp;v=2938315:2938808&amp;c=444444", "offset 88")</f>
        <v>offset 88</v>
      </c>
    </row>
    <row r="10445" customFormat="false" ht="12.8" hidden="false" customHeight="false" outlineLevel="0" collapsed="false">
      <c r="A10445" s="0" t="s">
        <v>12</v>
      </c>
      <c r="B10445" s="0" t="n">
        <v>2939969</v>
      </c>
      <c r="C10445" s="0" t="n">
        <v>2939989</v>
      </c>
      <c r="D10445" s="0" t="s">
        <v>34860</v>
      </c>
      <c r="E10445" s="0" t="s">
        <v>89</v>
      </c>
      <c r="F10445" s="0" t="s">
        <v>15</v>
      </c>
      <c r="G10445" s="0" t="s">
        <v>26</v>
      </c>
      <c r="H10445" s="0" t="n">
        <v>0</v>
      </c>
      <c r="I10445" s="0" t="s">
        <v>34861</v>
      </c>
      <c r="J10445" s="0" t="s">
        <v>34862</v>
      </c>
      <c r="K10445" s="0" t="s">
        <v>34863</v>
      </c>
      <c r="L10445" s="0" t="str">
        <f aca="false">HYPERLINK("https://www.ncbi.nlm.nih.gov/nuccore/CP000304.1?report=graph&amp;tracks=[key:gene_model_track,Options:GeneOnly]&amp;mk=2939970:2939989|offset_0|00cc00,2939995:2940014|offset_25|444444,2940016:2940035|offset_46|444444,2940041:2940060|offset_71|444444&amp;v=2939769:2940260&amp;c=444444", "offset 0")</f>
        <v>offset 0</v>
      </c>
    </row>
    <row r="10446" customFormat="false" ht="12.8" hidden="false" customHeight="false" outlineLevel="0" collapsed="false">
      <c r="A10446" s="0" t="s">
        <v>12</v>
      </c>
      <c r="B10446" s="0" t="n">
        <v>2939994</v>
      </c>
      <c r="C10446" s="0" t="n">
        <v>2940014</v>
      </c>
      <c r="D10446" s="0" t="s">
        <v>34860</v>
      </c>
      <c r="E10446" s="0" t="s">
        <v>89</v>
      </c>
      <c r="F10446" s="0" t="s">
        <v>15</v>
      </c>
      <c r="G10446" s="0" t="s">
        <v>36</v>
      </c>
      <c r="H10446" s="0" t="n">
        <v>25</v>
      </c>
      <c r="I10446" s="0" t="s">
        <v>34864</v>
      </c>
      <c r="J10446" s="0" t="s">
        <v>34865</v>
      </c>
      <c r="K10446" s="0" t="s">
        <v>34866</v>
      </c>
      <c r="L10446" s="0" t="str">
        <f aca="false">HYPERLINK("https://www.ncbi.nlm.nih.gov/nuccore/CP000304.1?report=graph&amp;tracks=[key:gene_model_track,Options:GeneOnly]&amp;mk=2939970:2939989|offset_0|444444,2939995:2940014|offset_25|00cc00,2940016:2940035|offset_46|444444,2940041:2940060|offset_71|444444&amp;v=2939769:2940260&amp;c=444444", "offset 25")</f>
        <v>offset 25</v>
      </c>
    </row>
    <row r="10447" customFormat="false" ht="12.8" hidden="false" customHeight="false" outlineLevel="0" collapsed="false">
      <c r="A10447" s="0" t="s">
        <v>12</v>
      </c>
      <c r="B10447" s="0" t="n">
        <v>2940015</v>
      </c>
      <c r="C10447" s="0" t="n">
        <v>2940035</v>
      </c>
      <c r="D10447" s="0" t="s">
        <v>34860</v>
      </c>
      <c r="E10447" s="0" t="s">
        <v>89</v>
      </c>
      <c r="F10447" s="0" t="s">
        <v>15</v>
      </c>
      <c r="G10447" s="0" t="s">
        <v>16</v>
      </c>
      <c r="H10447" s="0" t="n">
        <v>46</v>
      </c>
      <c r="I10447" s="0" t="s">
        <v>34867</v>
      </c>
      <c r="J10447" s="0" t="s">
        <v>34868</v>
      </c>
      <c r="K10447" s="0" t="s">
        <v>34869</v>
      </c>
      <c r="L10447" s="0" t="str">
        <f aca="false">HYPERLINK("https://www.ncbi.nlm.nih.gov/nuccore/CP000304.1?report=graph&amp;tracks=[key:gene_model_track,Options:GeneOnly]&amp;mk=2939970:2939989|offset_0|444444,2939995:2940014|offset_25|444444,2940016:2940035|offset_46|00cc00,2940041:2940060|offset_71|444444&amp;v=2939769:2940260&amp;c=444444", "offset 46")</f>
        <v>offset 46</v>
      </c>
    </row>
    <row r="10448" customFormat="false" ht="12.8" hidden="false" customHeight="false" outlineLevel="0" collapsed="false">
      <c r="A10448" s="0" t="s">
        <v>12</v>
      </c>
      <c r="B10448" s="0" t="n">
        <v>2940040</v>
      </c>
      <c r="C10448" s="0" t="n">
        <v>2940060</v>
      </c>
      <c r="D10448" s="0" t="s">
        <v>34860</v>
      </c>
      <c r="E10448" s="0" t="s">
        <v>89</v>
      </c>
      <c r="F10448" s="0" t="s">
        <v>15</v>
      </c>
      <c r="G10448" s="0" t="s">
        <v>32</v>
      </c>
      <c r="H10448" s="0" t="n">
        <v>71</v>
      </c>
      <c r="I10448" s="0" t="s">
        <v>34870</v>
      </c>
      <c r="J10448" s="0" t="s">
        <v>34871</v>
      </c>
      <c r="K10448" s="0" t="s">
        <v>34872</v>
      </c>
      <c r="L10448" s="0" t="str">
        <f aca="false">HYPERLINK("https://www.ncbi.nlm.nih.gov/nuccore/CP000304.1?report=graph&amp;tracks=[key:gene_model_track,Options:GeneOnly]&amp;mk=2939970:2939989|offset_0|444444,2939995:2940014|offset_25|444444,2940016:2940035|offset_46|444444,2940041:2940060|offset_71|00cc00&amp;v=2939769:2940260&amp;c=444444", "offset 71")</f>
        <v>offset 71</v>
      </c>
    </row>
    <row r="10449" customFormat="false" ht="12.8" hidden="false" customHeight="false" outlineLevel="0" collapsed="false">
      <c r="A10449" s="0" t="s">
        <v>12</v>
      </c>
      <c r="B10449" s="0" t="n">
        <v>2940361</v>
      </c>
      <c r="C10449" s="0" t="n">
        <v>2940381</v>
      </c>
      <c r="D10449" s="0" t="s">
        <v>34873</v>
      </c>
      <c r="E10449" s="0" t="s">
        <v>34874</v>
      </c>
      <c r="F10449" s="0" t="s">
        <v>15</v>
      </c>
      <c r="G10449" s="0" t="s">
        <v>32</v>
      </c>
      <c r="H10449" s="0" t="n">
        <v>13</v>
      </c>
      <c r="I10449" s="0" t="s">
        <v>34875</v>
      </c>
      <c r="J10449" s="0" t="s">
        <v>34876</v>
      </c>
      <c r="K10449" s="0" t="s">
        <v>34877</v>
      </c>
      <c r="L10449" s="0" t="str">
        <f aca="false">HYPERLINK("https://www.ncbi.nlm.nih.gov/nuccore/CP000304.1?report=graph&amp;tracks=[key:gene_model_track,Options:GeneOnly]&amp;mk=2940362:2940381|offset_13|00cc00,2940385:2940404|offset_36|444444,2940419:2940438|offset_70|444444,2940456:2940475|offset_107|444444&amp;v=2940161:2940675&amp;c=444444", "offset 13")</f>
        <v>offset 13</v>
      </c>
    </row>
    <row r="10450" customFormat="false" ht="12.8" hidden="false" customHeight="false" outlineLevel="0" collapsed="false">
      <c r="A10450" s="0" t="s">
        <v>12</v>
      </c>
      <c r="B10450" s="0" t="n">
        <v>2940384</v>
      </c>
      <c r="C10450" s="0" t="n">
        <v>2940404</v>
      </c>
      <c r="D10450" s="0" t="s">
        <v>34873</v>
      </c>
      <c r="E10450" s="0" t="s">
        <v>34874</v>
      </c>
      <c r="F10450" s="0" t="s">
        <v>15</v>
      </c>
      <c r="G10450" s="0" t="s">
        <v>16</v>
      </c>
      <c r="H10450" s="0" t="n">
        <v>36</v>
      </c>
      <c r="I10450" s="0" t="s">
        <v>34878</v>
      </c>
      <c r="J10450" s="0" t="s">
        <v>34879</v>
      </c>
      <c r="K10450" s="0" t="s">
        <v>34880</v>
      </c>
      <c r="L10450" s="0" t="str">
        <f aca="false">HYPERLINK("https://www.ncbi.nlm.nih.gov/nuccore/CP000304.1?report=graph&amp;tracks=[key:gene_model_track,Options:GeneOnly]&amp;mk=2940362:2940381|offset_13|444444,2940385:2940404|offset_36|00cc00,2940419:2940438|offset_70|444444,2940456:2940475|offset_107|444444&amp;v=2940161:2940675&amp;c=444444", "offset 36")</f>
        <v>offset 36</v>
      </c>
    </row>
    <row r="10451" customFormat="false" ht="12.8" hidden="false" customHeight="false" outlineLevel="0" collapsed="false">
      <c r="A10451" s="0" t="s">
        <v>12</v>
      </c>
      <c r="B10451" s="0" t="n">
        <v>2940418</v>
      </c>
      <c r="C10451" s="0" t="n">
        <v>2940438</v>
      </c>
      <c r="D10451" s="0" t="s">
        <v>34873</v>
      </c>
      <c r="E10451" s="0" t="s">
        <v>34874</v>
      </c>
      <c r="F10451" s="0" t="s">
        <v>15</v>
      </c>
      <c r="G10451" s="0" t="s">
        <v>16</v>
      </c>
      <c r="H10451" s="0" t="n">
        <v>70</v>
      </c>
      <c r="I10451" s="0" t="s">
        <v>34881</v>
      </c>
      <c r="J10451" s="0" t="s">
        <v>34882</v>
      </c>
      <c r="K10451" s="0" t="s">
        <v>34883</v>
      </c>
      <c r="L10451" s="0" t="str">
        <f aca="false">HYPERLINK("https://www.ncbi.nlm.nih.gov/nuccore/CP000304.1?report=graph&amp;tracks=[key:gene_model_track,Options:GeneOnly]&amp;mk=2940362:2940381|offset_13|444444,2940385:2940404|offset_36|444444,2940419:2940438|offset_70|00cc00,2940456:2940475|offset_107|444444&amp;v=2940161:2940675&amp;c=444444", "offset 70")</f>
        <v>offset 70</v>
      </c>
    </row>
    <row r="10452" customFormat="false" ht="12.8" hidden="false" customHeight="false" outlineLevel="0" collapsed="false">
      <c r="A10452" s="0" t="s">
        <v>12</v>
      </c>
      <c r="B10452" s="0" t="n">
        <v>2940455</v>
      </c>
      <c r="C10452" s="0" t="n">
        <v>2940475</v>
      </c>
      <c r="D10452" s="0" t="s">
        <v>34873</v>
      </c>
      <c r="E10452" s="0" t="s">
        <v>34874</v>
      </c>
      <c r="F10452" s="0" t="s">
        <v>15</v>
      </c>
      <c r="G10452" s="0" t="s">
        <v>36</v>
      </c>
      <c r="H10452" s="0" t="n">
        <v>107</v>
      </c>
      <c r="I10452" s="0" t="s">
        <v>34884</v>
      </c>
      <c r="J10452" s="0" t="s">
        <v>34885</v>
      </c>
      <c r="K10452" s="0" t="s">
        <v>34886</v>
      </c>
      <c r="L10452" s="0" t="str">
        <f aca="false">HYPERLINK("https://www.ncbi.nlm.nih.gov/nuccore/CP000304.1?report=graph&amp;tracks=[key:gene_model_track,Options:GeneOnly]&amp;mk=2940362:2940381|offset_13|444444,2940385:2940404|offset_36|444444,2940419:2940438|offset_70|444444,2940456:2940475|offset_107|00cc00&amp;v=2940161:2940675&amp;c=444444", "offset 107")</f>
        <v>offset 107</v>
      </c>
    </row>
    <row r="10453" customFormat="false" ht="12.8" hidden="false" customHeight="false" outlineLevel="0" collapsed="false">
      <c r="A10453" s="0" t="s">
        <v>12</v>
      </c>
      <c r="B10453" s="0" t="n">
        <v>2941203</v>
      </c>
      <c r="C10453" s="0" t="n">
        <v>2941223</v>
      </c>
      <c r="D10453" s="0" t="s">
        <v>34887</v>
      </c>
      <c r="E10453" s="0" t="s">
        <v>89</v>
      </c>
      <c r="F10453" s="0" t="s">
        <v>15</v>
      </c>
      <c r="G10453" s="0" t="s">
        <v>26</v>
      </c>
      <c r="H10453" s="0" t="n">
        <v>14</v>
      </c>
      <c r="I10453" s="0" t="s">
        <v>34888</v>
      </c>
      <c r="J10453" s="0" t="s">
        <v>34889</v>
      </c>
      <c r="K10453" s="0" t="s">
        <v>34890</v>
      </c>
      <c r="L10453" s="0" t="str">
        <f aca="false">HYPERLINK("https://www.ncbi.nlm.nih.gov/nuccore/CP000304.1?report=graph&amp;tracks=[key:gene_model_track,Options:GeneOnly]&amp;mk=2941204:2941223|offset_14|00cc00,2941227:2941246|offset_37|444444,2941266:2941285|offset_76|444444,2941294:2941313|offset_104|444444&amp;v=2941003:2941513&amp;c=444444", "offset 14")</f>
        <v>offset 14</v>
      </c>
    </row>
    <row r="10454" customFormat="false" ht="12.8" hidden="false" customHeight="false" outlineLevel="0" collapsed="false">
      <c r="A10454" s="0" t="s">
        <v>12</v>
      </c>
      <c r="B10454" s="0" t="n">
        <v>2941226</v>
      </c>
      <c r="C10454" s="0" t="n">
        <v>2941246</v>
      </c>
      <c r="D10454" s="0" t="s">
        <v>34887</v>
      </c>
      <c r="E10454" s="0" t="s">
        <v>89</v>
      </c>
      <c r="F10454" s="0" t="s">
        <v>15</v>
      </c>
      <c r="G10454" s="0" t="s">
        <v>36</v>
      </c>
      <c r="H10454" s="0" t="n">
        <v>37</v>
      </c>
      <c r="I10454" s="0" t="s">
        <v>34891</v>
      </c>
      <c r="J10454" s="0" t="s">
        <v>34892</v>
      </c>
      <c r="K10454" s="0" t="s">
        <v>34893</v>
      </c>
      <c r="L10454" s="0" t="str">
        <f aca="false">HYPERLINK("https://www.ncbi.nlm.nih.gov/nuccore/CP000304.1?report=graph&amp;tracks=[key:gene_model_track,Options:GeneOnly]&amp;mk=2941204:2941223|offset_14|444444,2941227:2941246|offset_37|00cc00,2941266:2941285|offset_76|444444,2941294:2941313|offset_104|444444&amp;v=2941003:2941513&amp;c=444444", "offset 37")</f>
        <v>offset 37</v>
      </c>
    </row>
    <row r="10455" customFormat="false" ht="12.8" hidden="false" customHeight="false" outlineLevel="0" collapsed="false">
      <c r="A10455" s="0" t="s">
        <v>12</v>
      </c>
      <c r="B10455" s="0" t="n">
        <v>2941265</v>
      </c>
      <c r="C10455" s="0" t="n">
        <v>2941285</v>
      </c>
      <c r="D10455" s="0" t="s">
        <v>34887</v>
      </c>
      <c r="E10455" s="0" t="s">
        <v>89</v>
      </c>
      <c r="F10455" s="0" t="s">
        <v>15</v>
      </c>
      <c r="G10455" s="0" t="s">
        <v>16</v>
      </c>
      <c r="H10455" s="0" t="n">
        <v>76</v>
      </c>
      <c r="I10455" s="0" t="s">
        <v>34894</v>
      </c>
      <c r="J10455" s="0" t="s">
        <v>34895</v>
      </c>
      <c r="K10455" s="0" t="s">
        <v>34896</v>
      </c>
      <c r="L10455" s="0" t="str">
        <f aca="false">HYPERLINK("https://www.ncbi.nlm.nih.gov/nuccore/CP000304.1?report=graph&amp;tracks=[key:gene_model_track,Options:GeneOnly]&amp;mk=2941204:2941223|offset_14|444444,2941227:2941246|offset_37|444444,2941266:2941285|offset_76|00cc00,2941294:2941313|offset_104|444444&amp;v=2941003:2941513&amp;c=444444", "offset 76")</f>
        <v>offset 76</v>
      </c>
    </row>
    <row r="10456" customFormat="false" ht="12.8" hidden="false" customHeight="false" outlineLevel="0" collapsed="false">
      <c r="A10456" s="0" t="s">
        <v>12</v>
      </c>
      <c r="B10456" s="0" t="n">
        <v>2941293</v>
      </c>
      <c r="C10456" s="0" t="n">
        <v>2941313</v>
      </c>
      <c r="D10456" s="0" t="s">
        <v>34887</v>
      </c>
      <c r="E10456" s="0" t="s">
        <v>89</v>
      </c>
      <c r="F10456" s="0" t="s">
        <v>15</v>
      </c>
      <c r="G10456" s="0" t="s">
        <v>36</v>
      </c>
      <c r="H10456" s="0" t="n">
        <v>104</v>
      </c>
      <c r="I10456" s="0" t="s">
        <v>34897</v>
      </c>
      <c r="J10456" s="0" t="s">
        <v>34898</v>
      </c>
      <c r="K10456" s="0" t="s">
        <v>34899</v>
      </c>
      <c r="L10456" s="0" t="str">
        <f aca="false">HYPERLINK("https://www.ncbi.nlm.nih.gov/nuccore/CP000304.1?report=graph&amp;tracks=[key:gene_model_track,Options:GeneOnly]&amp;mk=2941204:2941223|offset_14|444444,2941227:2941246|offset_37|444444,2941266:2941285|offset_76|444444,2941294:2941313|offset_104|00cc00&amp;v=2941003:2941513&amp;c=444444", "offset 104")</f>
        <v>offset 104</v>
      </c>
    </row>
    <row r="10457" customFormat="false" ht="12.8" hidden="false" customHeight="false" outlineLevel="0" collapsed="false">
      <c r="A10457" s="0" t="s">
        <v>12</v>
      </c>
      <c r="B10457" s="0" t="n">
        <v>2942378</v>
      </c>
      <c r="C10457" s="0" t="n">
        <v>2942398</v>
      </c>
      <c r="D10457" s="0" t="s">
        <v>34900</v>
      </c>
      <c r="E10457" s="0" t="s">
        <v>89</v>
      </c>
      <c r="F10457" s="0" t="s">
        <v>90</v>
      </c>
      <c r="G10457" s="0" t="s">
        <v>36</v>
      </c>
      <c r="H10457" s="0" t="n">
        <v>0</v>
      </c>
      <c r="I10457" s="0" t="s">
        <v>34901</v>
      </c>
      <c r="J10457" s="0" t="s">
        <v>34902</v>
      </c>
      <c r="K10457" s="0" t="s">
        <v>34903</v>
      </c>
      <c r="L10457" s="0" t="str">
        <f aca="false">HYPERLINK("https://www.ncbi.nlm.nih.gov/nuccore/CP000304.1?report=graph&amp;tracks=[key:gene_model_track,Options:GeneOnly]&amp;mk=2942379:2942398|offset_0|00cc00,2942355:2942374|offset_24|444444,2942335:2942354|offset_44|444444,2942297:2942316|offset_82|444444&amp;v=2942178:2942516&amp;c=444444", "offset 0")</f>
        <v>offset 0</v>
      </c>
    </row>
    <row r="10458" customFormat="false" ht="12.8" hidden="false" customHeight="false" outlineLevel="0" collapsed="false">
      <c r="A10458" s="0" t="s">
        <v>12</v>
      </c>
      <c r="B10458" s="0" t="n">
        <v>2942354</v>
      </c>
      <c r="C10458" s="0" t="n">
        <v>2942374</v>
      </c>
      <c r="D10458" s="0" t="s">
        <v>34900</v>
      </c>
      <c r="E10458" s="0" t="s">
        <v>89</v>
      </c>
      <c r="F10458" s="0" t="s">
        <v>90</v>
      </c>
      <c r="G10458" s="0" t="s">
        <v>16</v>
      </c>
      <c r="H10458" s="0" t="n">
        <v>24</v>
      </c>
      <c r="I10458" s="0" t="s">
        <v>34904</v>
      </c>
      <c r="J10458" s="0" t="s">
        <v>34905</v>
      </c>
      <c r="K10458" s="0" t="s">
        <v>34906</v>
      </c>
      <c r="L10458" s="0" t="str">
        <f aca="false">HYPERLINK("https://www.ncbi.nlm.nih.gov/nuccore/CP000304.1?report=graph&amp;tracks=[key:gene_model_track,Options:GeneOnly]&amp;mk=2942379:2942398|offset_0|444444,2942355:2942374|offset_24|00cc00,2942335:2942354|offset_44|444444,2942297:2942316|offset_82|444444&amp;v=2942178:2942516&amp;c=444444", "offset 24")</f>
        <v>offset 24</v>
      </c>
    </row>
    <row r="10459" customFormat="false" ht="12.8" hidden="false" customHeight="false" outlineLevel="0" collapsed="false">
      <c r="A10459" s="0" t="s">
        <v>12</v>
      </c>
      <c r="B10459" s="0" t="n">
        <v>2942334</v>
      </c>
      <c r="C10459" s="0" t="n">
        <v>2942354</v>
      </c>
      <c r="D10459" s="0" t="s">
        <v>34900</v>
      </c>
      <c r="E10459" s="0" t="s">
        <v>89</v>
      </c>
      <c r="F10459" s="0" t="s">
        <v>90</v>
      </c>
      <c r="G10459" s="0" t="s">
        <v>16</v>
      </c>
      <c r="H10459" s="0" t="n">
        <v>44</v>
      </c>
      <c r="I10459" s="0" t="s">
        <v>34907</v>
      </c>
      <c r="J10459" s="0" t="s">
        <v>34908</v>
      </c>
      <c r="K10459" s="0" t="s">
        <v>34909</v>
      </c>
      <c r="L10459" s="0" t="str">
        <f aca="false">HYPERLINK("https://www.ncbi.nlm.nih.gov/nuccore/CP000304.1?report=graph&amp;tracks=[key:gene_model_track,Options:GeneOnly]&amp;mk=2942379:2942398|offset_0|444444,2942355:2942374|offset_24|444444,2942335:2942354|offset_44|00cc00,2942297:2942316|offset_82|444444&amp;v=2942178:2942516&amp;c=444444", "offset 44")</f>
        <v>offset 44</v>
      </c>
    </row>
    <row r="10460" customFormat="false" ht="12.8" hidden="false" customHeight="false" outlineLevel="0" collapsed="false">
      <c r="A10460" s="0" t="s">
        <v>12</v>
      </c>
      <c r="B10460" s="0" t="n">
        <v>2942296</v>
      </c>
      <c r="C10460" s="0" t="n">
        <v>2942316</v>
      </c>
      <c r="D10460" s="0" t="s">
        <v>34900</v>
      </c>
      <c r="E10460" s="0" t="s">
        <v>89</v>
      </c>
      <c r="F10460" s="0" t="s">
        <v>90</v>
      </c>
      <c r="G10460" s="0" t="s">
        <v>32</v>
      </c>
      <c r="H10460" s="0" t="n">
        <v>82</v>
      </c>
      <c r="I10460" s="0" t="s">
        <v>34910</v>
      </c>
      <c r="J10460" s="0" t="s">
        <v>34911</v>
      </c>
      <c r="K10460" s="0" t="s">
        <v>34912</v>
      </c>
      <c r="L10460" s="0" t="str">
        <f aca="false">HYPERLINK("https://www.ncbi.nlm.nih.gov/nuccore/CP000304.1?report=graph&amp;tracks=[key:gene_model_track,Options:GeneOnly]&amp;mk=2942379:2942398|offset_0|444444,2942355:2942374|offset_24|444444,2942335:2942354|offset_44|444444,2942297:2942316|offset_82|00cc00&amp;v=2942178:2942516&amp;c=444444", "offset 82")</f>
        <v>offset 82</v>
      </c>
    </row>
    <row r="10461" customFormat="false" ht="12.8" hidden="false" customHeight="false" outlineLevel="0" collapsed="false">
      <c r="A10461" s="0" t="s">
        <v>12</v>
      </c>
      <c r="B10461" s="0" t="n">
        <v>2942576</v>
      </c>
      <c r="C10461" s="0" t="n">
        <v>2942596</v>
      </c>
      <c r="D10461" s="0" t="s">
        <v>34913</v>
      </c>
      <c r="E10461" s="0" t="s">
        <v>89</v>
      </c>
      <c r="F10461" s="0" t="s">
        <v>15</v>
      </c>
      <c r="G10461" s="0" t="s">
        <v>32</v>
      </c>
      <c r="H10461" s="0" t="n">
        <v>1</v>
      </c>
      <c r="I10461" s="0" t="s">
        <v>34914</v>
      </c>
      <c r="J10461" s="0" t="s">
        <v>34915</v>
      </c>
      <c r="K10461" s="0" t="s">
        <v>34916</v>
      </c>
      <c r="L10461" s="0" t="str">
        <f aca="false">HYPERLINK("https://www.ncbi.nlm.nih.gov/nuccore/CP000304.1?report=graph&amp;tracks=[key:gene_model_track,Options:GeneOnly]&amp;mk=2942577:2942596|offset_1|00cc00,2942597:2942616|offset_21|444444,2942635:2942654|offset_59|444444,2942665:2942684|offset_89|444444&amp;v=2942376:2942884&amp;c=444444", "offset 1")</f>
        <v>offset 1</v>
      </c>
    </row>
    <row r="10462" customFormat="false" ht="12.8" hidden="false" customHeight="false" outlineLevel="0" collapsed="false">
      <c r="A10462" s="0" t="s">
        <v>12</v>
      </c>
      <c r="B10462" s="0" t="n">
        <v>2942596</v>
      </c>
      <c r="C10462" s="0" t="n">
        <v>2942616</v>
      </c>
      <c r="D10462" s="0" t="s">
        <v>34913</v>
      </c>
      <c r="E10462" s="0" t="s">
        <v>89</v>
      </c>
      <c r="F10462" s="0" t="s">
        <v>15</v>
      </c>
      <c r="G10462" s="0" t="s">
        <v>26</v>
      </c>
      <c r="H10462" s="0" t="n">
        <v>21</v>
      </c>
      <c r="I10462" s="0" t="s">
        <v>34917</v>
      </c>
      <c r="J10462" s="0" t="s">
        <v>34918</v>
      </c>
      <c r="K10462" s="0" t="s">
        <v>34919</v>
      </c>
      <c r="L10462" s="0" t="str">
        <f aca="false">HYPERLINK("https://www.ncbi.nlm.nih.gov/nuccore/CP000304.1?report=graph&amp;tracks=[key:gene_model_track,Options:GeneOnly]&amp;mk=2942577:2942596|offset_1|444444,2942597:2942616|offset_21|00cc00,2942635:2942654|offset_59|444444,2942665:2942684|offset_89|444444&amp;v=2942376:2942884&amp;c=444444", "offset 21")</f>
        <v>offset 21</v>
      </c>
    </row>
    <row r="10463" customFormat="false" ht="12.8" hidden="false" customHeight="false" outlineLevel="0" collapsed="false">
      <c r="A10463" s="0" t="s">
        <v>12</v>
      </c>
      <c r="B10463" s="0" t="n">
        <v>2942634</v>
      </c>
      <c r="C10463" s="0" t="n">
        <v>2942654</v>
      </c>
      <c r="D10463" s="0" t="s">
        <v>34913</v>
      </c>
      <c r="E10463" s="0" t="s">
        <v>89</v>
      </c>
      <c r="F10463" s="0" t="s">
        <v>15</v>
      </c>
      <c r="G10463" s="0" t="s">
        <v>36</v>
      </c>
      <c r="H10463" s="0" t="n">
        <v>59</v>
      </c>
      <c r="I10463" s="0" t="s">
        <v>34920</v>
      </c>
      <c r="J10463" s="0" t="s">
        <v>34921</v>
      </c>
      <c r="K10463" s="0" t="s">
        <v>34922</v>
      </c>
      <c r="L10463" s="0" t="str">
        <f aca="false">HYPERLINK("https://www.ncbi.nlm.nih.gov/nuccore/CP000304.1?report=graph&amp;tracks=[key:gene_model_track,Options:GeneOnly]&amp;mk=2942577:2942596|offset_1|444444,2942597:2942616|offset_21|444444,2942635:2942654|offset_59|00cc00,2942665:2942684|offset_89|444444&amp;v=2942376:2942884&amp;c=444444", "offset 59")</f>
        <v>offset 59</v>
      </c>
    </row>
    <row r="10464" customFormat="false" ht="12.8" hidden="false" customHeight="false" outlineLevel="0" collapsed="false">
      <c r="A10464" s="0" t="s">
        <v>12</v>
      </c>
      <c r="B10464" s="0" t="n">
        <v>2942664</v>
      </c>
      <c r="C10464" s="0" t="n">
        <v>2942684</v>
      </c>
      <c r="D10464" s="0" t="s">
        <v>34913</v>
      </c>
      <c r="E10464" s="0" t="s">
        <v>89</v>
      </c>
      <c r="F10464" s="0" t="s">
        <v>15</v>
      </c>
      <c r="G10464" s="0" t="s">
        <v>36</v>
      </c>
      <c r="H10464" s="0" t="n">
        <v>89</v>
      </c>
      <c r="I10464" s="0" t="s">
        <v>34923</v>
      </c>
      <c r="J10464" s="0" t="s">
        <v>34924</v>
      </c>
      <c r="K10464" s="0" t="s">
        <v>34925</v>
      </c>
      <c r="L10464" s="0" t="str">
        <f aca="false">HYPERLINK("https://www.ncbi.nlm.nih.gov/nuccore/CP000304.1?report=graph&amp;tracks=[key:gene_model_track,Options:GeneOnly]&amp;mk=2942577:2942596|offset_1|444444,2942597:2942616|offset_21|444444,2942635:2942654|offset_59|444444,2942665:2942684|offset_89|00cc00&amp;v=2942376:2942884&amp;c=444444", "offset 89")</f>
        <v>offset 89</v>
      </c>
    </row>
    <row r="10465" customFormat="false" ht="12.8" hidden="false" customHeight="false" outlineLevel="0" collapsed="false">
      <c r="A10465" s="0" t="s">
        <v>12</v>
      </c>
      <c r="B10465" s="0" t="n">
        <v>2943638</v>
      </c>
      <c r="C10465" s="0" t="n">
        <v>2943658</v>
      </c>
      <c r="D10465" s="0" t="s">
        <v>34926</v>
      </c>
      <c r="E10465" s="0" t="s">
        <v>89</v>
      </c>
      <c r="F10465" s="0" t="s">
        <v>90</v>
      </c>
      <c r="G10465" s="0" t="s">
        <v>32</v>
      </c>
      <c r="H10465" s="0" t="n">
        <v>41</v>
      </c>
      <c r="I10465" s="0" t="s">
        <v>34927</v>
      </c>
      <c r="J10465" s="0" t="s">
        <v>34928</v>
      </c>
      <c r="K10465" s="0" t="s">
        <v>34929</v>
      </c>
      <c r="L10465" s="0" t="str">
        <f aca="false">HYPERLINK("https://www.ncbi.nlm.nih.gov/nuccore/CP000304.1?report=graph&amp;tracks=[key:gene_model_track,Options:GeneOnly]&amp;mk=2943639:2943658|offset_41|00cc00,2943601:2943620|offset_79|444444,2943560:2943579|offset_120|444444,2943538:2943557|offset_142|444444&amp;v=2943438:2943757&amp;c=444444", "offset 41")</f>
        <v>offset 41</v>
      </c>
    </row>
    <row r="10466" customFormat="false" ht="12.8" hidden="false" customHeight="false" outlineLevel="0" collapsed="false">
      <c r="A10466" s="0" t="s">
        <v>12</v>
      </c>
      <c r="B10466" s="0" t="n">
        <v>2943600</v>
      </c>
      <c r="C10466" s="0" t="n">
        <v>2943620</v>
      </c>
      <c r="D10466" s="0" t="s">
        <v>34926</v>
      </c>
      <c r="E10466" s="0" t="s">
        <v>89</v>
      </c>
      <c r="F10466" s="0" t="s">
        <v>90</v>
      </c>
      <c r="G10466" s="0" t="s">
        <v>36</v>
      </c>
      <c r="H10466" s="0" t="n">
        <v>79</v>
      </c>
      <c r="I10466" s="0" t="s">
        <v>34930</v>
      </c>
      <c r="J10466" s="0" t="s">
        <v>34931</v>
      </c>
      <c r="K10466" s="0" t="s">
        <v>34932</v>
      </c>
      <c r="L10466" s="0" t="str">
        <f aca="false">HYPERLINK("https://www.ncbi.nlm.nih.gov/nuccore/CP000304.1?report=graph&amp;tracks=[key:gene_model_track,Options:GeneOnly]&amp;mk=2943639:2943658|offset_41|444444,2943601:2943620|offset_79|00cc00,2943560:2943579|offset_120|444444,2943538:2943557|offset_142|444444&amp;v=2943438:2943757&amp;c=444444", "offset 79")</f>
        <v>offset 79</v>
      </c>
    </row>
    <row r="10467" customFormat="false" ht="12.8" hidden="false" customHeight="false" outlineLevel="0" collapsed="false">
      <c r="A10467" s="0" t="s">
        <v>12</v>
      </c>
      <c r="B10467" s="0" t="n">
        <v>2943559</v>
      </c>
      <c r="C10467" s="0" t="n">
        <v>2943579</v>
      </c>
      <c r="D10467" s="0" t="s">
        <v>34926</v>
      </c>
      <c r="E10467" s="0" t="s">
        <v>89</v>
      </c>
      <c r="F10467" s="0" t="s">
        <v>90</v>
      </c>
      <c r="G10467" s="0" t="s">
        <v>16</v>
      </c>
      <c r="H10467" s="0" t="n">
        <v>120</v>
      </c>
      <c r="I10467" s="0" t="s">
        <v>34933</v>
      </c>
      <c r="J10467" s="0" t="s">
        <v>34934</v>
      </c>
      <c r="K10467" s="0" t="s">
        <v>34935</v>
      </c>
      <c r="L10467" s="0" t="str">
        <f aca="false">HYPERLINK("https://www.ncbi.nlm.nih.gov/nuccore/CP000304.1?report=graph&amp;tracks=[key:gene_model_track,Options:GeneOnly]&amp;mk=2943639:2943658|offset_41|444444,2943601:2943620|offset_79|444444,2943560:2943579|offset_120|00cc00,2943538:2943557|offset_142|444444&amp;v=2943438:2943757&amp;c=444444", "offset 120")</f>
        <v>offset 120</v>
      </c>
    </row>
    <row r="10468" customFormat="false" ht="12.8" hidden="false" customHeight="false" outlineLevel="0" collapsed="false">
      <c r="A10468" s="0" t="s">
        <v>12</v>
      </c>
      <c r="B10468" s="0" t="n">
        <v>2943537</v>
      </c>
      <c r="C10468" s="0" t="n">
        <v>2943557</v>
      </c>
      <c r="D10468" s="0" t="s">
        <v>34926</v>
      </c>
      <c r="E10468" s="0" t="s">
        <v>89</v>
      </c>
      <c r="F10468" s="0" t="s">
        <v>90</v>
      </c>
      <c r="G10468" s="0" t="s">
        <v>26</v>
      </c>
      <c r="H10468" s="0" t="n">
        <v>142</v>
      </c>
      <c r="I10468" s="0" t="s">
        <v>34936</v>
      </c>
      <c r="J10468" s="0" t="s">
        <v>34937</v>
      </c>
      <c r="K10468" s="0" t="s">
        <v>34938</v>
      </c>
      <c r="L10468" s="0" t="str">
        <f aca="false">HYPERLINK("https://www.ncbi.nlm.nih.gov/nuccore/CP000304.1?report=graph&amp;tracks=[key:gene_model_track,Options:GeneOnly]&amp;mk=2943639:2943658|offset_41|444444,2943601:2943620|offset_79|444444,2943560:2943579|offset_120|444444,2943538:2943557|offset_142|00cc00&amp;v=2943438:2943757&amp;c=444444", "offset 142")</f>
        <v>offset 142</v>
      </c>
    </row>
    <row r="10469" customFormat="false" ht="12.8" hidden="false" customHeight="false" outlineLevel="0" collapsed="false">
      <c r="A10469" s="0" t="s">
        <v>12</v>
      </c>
      <c r="B10469" s="0" t="n">
        <v>2944430</v>
      </c>
      <c r="C10469" s="0" t="n">
        <v>2944450</v>
      </c>
      <c r="D10469" s="0" t="s">
        <v>34939</v>
      </c>
      <c r="E10469" s="0" t="s">
        <v>89</v>
      </c>
      <c r="F10469" s="0" t="s">
        <v>90</v>
      </c>
      <c r="G10469" s="0" t="s">
        <v>36</v>
      </c>
      <c r="H10469" s="0" t="n">
        <v>18</v>
      </c>
      <c r="I10469" s="0" t="s">
        <v>34940</v>
      </c>
      <c r="J10469" s="0" t="s">
        <v>34941</v>
      </c>
      <c r="K10469" s="0" t="s">
        <v>34942</v>
      </c>
      <c r="L10469" s="0" t="str">
        <f aca="false">HYPERLINK("https://www.ncbi.nlm.nih.gov/nuccore/CP000304.1?report=graph&amp;tracks=[key:gene_model_track,Options:GeneOnly]&amp;mk=2944431:2944450|offset_18|00cc00,2944409:2944428|offset_40|444444,2944388:2944407|offset_61|444444,2944367:2944386|offset_82|444444&amp;v=2944230:2944586&amp;c=444444", "offset 18")</f>
        <v>offset 18</v>
      </c>
    </row>
    <row r="10470" customFormat="false" ht="12.8" hidden="false" customHeight="false" outlineLevel="0" collapsed="false">
      <c r="A10470" s="0" t="s">
        <v>12</v>
      </c>
      <c r="B10470" s="0" t="n">
        <v>2944408</v>
      </c>
      <c r="C10470" s="0" t="n">
        <v>2944428</v>
      </c>
      <c r="D10470" s="0" t="s">
        <v>34939</v>
      </c>
      <c r="E10470" s="0" t="s">
        <v>89</v>
      </c>
      <c r="F10470" s="0" t="s">
        <v>90</v>
      </c>
      <c r="G10470" s="0" t="s">
        <v>36</v>
      </c>
      <c r="H10470" s="0" t="n">
        <v>40</v>
      </c>
      <c r="I10470" s="0" t="s">
        <v>34943</v>
      </c>
      <c r="J10470" s="0" t="s">
        <v>34944</v>
      </c>
      <c r="K10470" s="0" t="s">
        <v>34945</v>
      </c>
      <c r="L10470" s="0" t="str">
        <f aca="false">HYPERLINK("https://www.ncbi.nlm.nih.gov/nuccore/CP000304.1?report=graph&amp;tracks=[key:gene_model_track,Options:GeneOnly]&amp;mk=2944431:2944450|offset_18|444444,2944409:2944428|offset_40|00cc00,2944388:2944407|offset_61|444444,2944367:2944386|offset_82|444444&amp;v=2944230:2944586&amp;c=444444", "offset 40")</f>
        <v>offset 40</v>
      </c>
    </row>
    <row r="10471" customFormat="false" ht="12.8" hidden="false" customHeight="false" outlineLevel="0" collapsed="false">
      <c r="A10471" s="0" t="s">
        <v>12</v>
      </c>
      <c r="B10471" s="0" t="n">
        <v>2944387</v>
      </c>
      <c r="C10471" s="0" t="n">
        <v>2944407</v>
      </c>
      <c r="D10471" s="0" t="s">
        <v>34939</v>
      </c>
      <c r="E10471" s="0" t="s">
        <v>89</v>
      </c>
      <c r="F10471" s="0" t="s">
        <v>90</v>
      </c>
      <c r="G10471" s="0" t="s">
        <v>36</v>
      </c>
      <c r="H10471" s="0" t="n">
        <v>61</v>
      </c>
      <c r="I10471" s="0" t="s">
        <v>34946</v>
      </c>
      <c r="J10471" s="0" t="s">
        <v>34947</v>
      </c>
      <c r="K10471" s="0" t="s">
        <v>34948</v>
      </c>
      <c r="L10471" s="0" t="str">
        <f aca="false">HYPERLINK("https://www.ncbi.nlm.nih.gov/nuccore/CP000304.1?report=graph&amp;tracks=[key:gene_model_track,Options:GeneOnly]&amp;mk=2944431:2944450|offset_18|444444,2944409:2944428|offset_40|444444,2944388:2944407|offset_61|00cc00,2944367:2944386|offset_82|444444&amp;v=2944230:2944586&amp;c=444444", "offset 61")</f>
        <v>offset 61</v>
      </c>
    </row>
    <row r="10472" customFormat="false" ht="12.8" hidden="false" customHeight="false" outlineLevel="0" collapsed="false">
      <c r="A10472" s="0" t="s">
        <v>12</v>
      </c>
      <c r="B10472" s="0" t="n">
        <v>2944366</v>
      </c>
      <c r="C10472" s="0" t="n">
        <v>2944386</v>
      </c>
      <c r="D10472" s="0" t="s">
        <v>34939</v>
      </c>
      <c r="E10472" s="0" t="s">
        <v>89</v>
      </c>
      <c r="F10472" s="0" t="s">
        <v>90</v>
      </c>
      <c r="G10472" s="0" t="s">
        <v>16</v>
      </c>
      <c r="H10472" s="0" t="n">
        <v>82</v>
      </c>
      <c r="I10472" s="0" t="s">
        <v>34949</v>
      </c>
      <c r="J10472" s="0" t="s">
        <v>34950</v>
      </c>
      <c r="K10472" s="0" t="s">
        <v>34951</v>
      </c>
      <c r="L10472" s="0" t="str">
        <f aca="false">HYPERLINK("https://www.ncbi.nlm.nih.gov/nuccore/CP000304.1?report=graph&amp;tracks=[key:gene_model_track,Options:GeneOnly]&amp;mk=2944431:2944450|offset_18|444444,2944409:2944428|offset_40|444444,2944388:2944407|offset_61|444444,2944367:2944386|offset_82|00cc00&amp;v=2944230:2944586&amp;c=444444", "offset 82")</f>
        <v>offset 82</v>
      </c>
    </row>
    <row r="10473" customFormat="false" ht="12.8" hidden="false" customHeight="false" outlineLevel="0" collapsed="false">
      <c r="A10473" s="0" t="s">
        <v>12</v>
      </c>
      <c r="B10473" s="0" t="n">
        <v>2944860</v>
      </c>
      <c r="C10473" s="0" t="n">
        <v>2944880</v>
      </c>
      <c r="D10473" s="0" t="s">
        <v>34952</v>
      </c>
      <c r="E10473" s="0" t="s">
        <v>89</v>
      </c>
      <c r="F10473" s="0" t="s">
        <v>15</v>
      </c>
      <c r="G10473" s="0" t="s">
        <v>16</v>
      </c>
      <c r="H10473" s="0" t="n">
        <v>13</v>
      </c>
      <c r="I10473" s="0" t="s">
        <v>34953</v>
      </c>
      <c r="J10473" s="0" t="s">
        <v>34954</v>
      </c>
      <c r="K10473" s="0" t="s">
        <v>34955</v>
      </c>
      <c r="L10473" s="0" t="str">
        <f aca="false">HYPERLINK("https://www.ncbi.nlm.nih.gov/nuccore/CP000304.1?report=graph&amp;tracks=[key:gene_model_track,Options:GeneOnly]&amp;mk=2944861:2944880|offset_13|00cc00,2944892:2944911|offset_44|444444,2944935:2944954|offset_87|444444,2944980:2944999|offset_132|444444&amp;v=2944660:2945199&amp;c=444444", "offset 13")</f>
        <v>offset 13</v>
      </c>
    </row>
    <row r="10474" customFormat="false" ht="12.8" hidden="false" customHeight="false" outlineLevel="0" collapsed="false">
      <c r="A10474" s="0" t="s">
        <v>12</v>
      </c>
      <c r="B10474" s="0" t="n">
        <v>2944891</v>
      </c>
      <c r="C10474" s="0" t="n">
        <v>2944911</v>
      </c>
      <c r="D10474" s="0" t="s">
        <v>34952</v>
      </c>
      <c r="E10474" s="0" t="s">
        <v>89</v>
      </c>
      <c r="F10474" s="0" t="s">
        <v>15</v>
      </c>
      <c r="G10474" s="0" t="s">
        <v>26</v>
      </c>
      <c r="H10474" s="0" t="n">
        <v>44</v>
      </c>
      <c r="I10474" s="0" t="s">
        <v>34956</v>
      </c>
      <c r="J10474" s="0" t="s">
        <v>34957</v>
      </c>
      <c r="K10474" s="0" t="s">
        <v>34958</v>
      </c>
      <c r="L10474" s="0" t="str">
        <f aca="false">HYPERLINK("https://www.ncbi.nlm.nih.gov/nuccore/CP000304.1?report=graph&amp;tracks=[key:gene_model_track,Options:GeneOnly]&amp;mk=2944861:2944880|offset_13|444444,2944892:2944911|offset_44|00cc00,2944935:2944954|offset_87|444444,2944980:2944999|offset_132|444444&amp;v=2944660:2945199&amp;c=444444", "offset 44")</f>
        <v>offset 44</v>
      </c>
    </row>
    <row r="10475" customFormat="false" ht="12.8" hidden="false" customHeight="false" outlineLevel="0" collapsed="false">
      <c r="A10475" s="0" t="s">
        <v>12</v>
      </c>
      <c r="B10475" s="0" t="n">
        <v>2944934</v>
      </c>
      <c r="C10475" s="0" t="n">
        <v>2944954</v>
      </c>
      <c r="D10475" s="0" t="s">
        <v>34952</v>
      </c>
      <c r="E10475" s="0" t="s">
        <v>89</v>
      </c>
      <c r="F10475" s="0" t="s">
        <v>15</v>
      </c>
      <c r="G10475" s="0" t="s">
        <v>16</v>
      </c>
      <c r="H10475" s="0" t="n">
        <v>87</v>
      </c>
      <c r="I10475" s="0" t="s">
        <v>34959</v>
      </c>
      <c r="J10475" s="0" t="s">
        <v>34960</v>
      </c>
      <c r="K10475" s="0" t="s">
        <v>34961</v>
      </c>
      <c r="L10475" s="0" t="str">
        <f aca="false">HYPERLINK("https://www.ncbi.nlm.nih.gov/nuccore/CP000304.1?report=graph&amp;tracks=[key:gene_model_track,Options:GeneOnly]&amp;mk=2944861:2944880|offset_13|444444,2944892:2944911|offset_44|444444,2944935:2944954|offset_87|00cc00,2944980:2944999|offset_132|444444&amp;v=2944660:2945199&amp;c=444444", "offset 87")</f>
        <v>offset 87</v>
      </c>
    </row>
    <row r="10476" customFormat="false" ht="12.8" hidden="false" customHeight="false" outlineLevel="0" collapsed="false">
      <c r="A10476" s="0" t="s">
        <v>12</v>
      </c>
      <c r="B10476" s="0" t="n">
        <v>2944979</v>
      </c>
      <c r="C10476" s="0" t="n">
        <v>2944999</v>
      </c>
      <c r="D10476" s="0" t="s">
        <v>34952</v>
      </c>
      <c r="E10476" s="0" t="s">
        <v>89</v>
      </c>
      <c r="F10476" s="0" t="s">
        <v>15</v>
      </c>
      <c r="G10476" s="0" t="s">
        <v>16</v>
      </c>
      <c r="H10476" s="0" t="n">
        <v>132</v>
      </c>
      <c r="I10476" s="0" t="s">
        <v>34962</v>
      </c>
      <c r="J10476" s="0" t="s">
        <v>34963</v>
      </c>
      <c r="K10476" s="0" t="s">
        <v>34964</v>
      </c>
      <c r="L10476" s="0" t="str">
        <f aca="false">HYPERLINK("https://www.ncbi.nlm.nih.gov/nuccore/CP000304.1?report=graph&amp;tracks=[key:gene_model_track,Options:GeneOnly]&amp;mk=2944861:2944880|offset_13|444444,2944892:2944911|offset_44|444444,2944935:2944954|offset_87|444444,2944980:2944999|offset_132|00cc00&amp;v=2944660:2945199&amp;c=444444", "offset 132")</f>
        <v>offset 132</v>
      </c>
    </row>
    <row r="10477" customFormat="false" ht="12.8" hidden="false" customHeight="false" outlineLevel="0" collapsed="false">
      <c r="A10477" s="0" t="s">
        <v>12</v>
      </c>
      <c r="B10477" s="0" t="n">
        <v>2947613</v>
      </c>
      <c r="C10477" s="0" t="n">
        <v>2947633</v>
      </c>
      <c r="D10477" s="0" t="s">
        <v>34965</v>
      </c>
      <c r="E10477" s="0" t="s">
        <v>34966</v>
      </c>
      <c r="F10477" s="0" t="s">
        <v>90</v>
      </c>
      <c r="G10477" s="0" t="s">
        <v>16</v>
      </c>
      <c r="H10477" s="0" t="n">
        <v>8</v>
      </c>
      <c r="I10477" s="0" t="s">
        <v>34967</v>
      </c>
      <c r="J10477" s="0" t="s">
        <v>34968</v>
      </c>
      <c r="K10477" s="0" t="s">
        <v>34969</v>
      </c>
      <c r="L10477" s="0" t="str">
        <f aca="false">HYPERLINK("https://www.ncbi.nlm.nih.gov/nuccore/CP000304.1?report=graph&amp;tracks=[key:gene_model_track,Options:GeneOnly]&amp;mk=2947614:2947633|offset_8|00cc00,2947587:2947606|offset_35|444444,2947563:2947582|offset_59|444444,2947543:2947562|offset_79|444444&amp;v=2947413:2947762&amp;c=444444", "offset 8")</f>
        <v>offset 8</v>
      </c>
    </row>
    <row r="10478" customFormat="false" ht="12.8" hidden="false" customHeight="false" outlineLevel="0" collapsed="false">
      <c r="A10478" s="0" t="s">
        <v>12</v>
      </c>
      <c r="B10478" s="0" t="n">
        <v>2947586</v>
      </c>
      <c r="C10478" s="0" t="n">
        <v>2947606</v>
      </c>
      <c r="D10478" s="0" t="s">
        <v>34965</v>
      </c>
      <c r="E10478" s="0" t="s">
        <v>34966</v>
      </c>
      <c r="F10478" s="0" t="s">
        <v>90</v>
      </c>
      <c r="G10478" s="0" t="s">
        <v>26</v>
      </c>
      <c r="H10478" s="0" t="n">
        <v>35</v>
      </c>
      <c r="I10478" s="0" t="s">
        <v>34970</v>
      </c>
      <c r="J10478" s="0" t="s">
        <v>34971</v>
      </c>
      <c r="K10478" s="0" t="s">
        <v>34972</v>
      </c>
      <c r="L10478" s="0" t="str">
        <f aca="false">HYPERLINK("https://www.ncbi.nlm.nih.gov/nuccore/CP000304.1?report=graph&amp;tracks=[key:gene_model_track,Options:GeneOnly]&amp;mk=2947614:2947633|offset_8|444444,2947587:2947606|offset_35|00cc00,2947563:2947582|offset_59|444444,2947543:2947562|offset_79|444444&amp;v=2947413:2947762&amp;c=444444", "offset 35")</f>
        <v>offset 35</v>
      </c>
    </row>
    <row r="10479" customFormat="false" ht="12.8" hidden="false" customHeight="false" outlineLevel="0" collapsed="false">
      <c r="A10479" s="0" t="s">
        <v>12</v>
      </c>
      <c r="B10479" s="0" t="n">
        <v>2947562</v>
      </c>
      <c r="C10479" s="0" t="n">
        <v>2947582</v>
      </c>
      <c r="D10479" s="0" t="s">
        <v>34965</v>
      </c>
      <c r="E10479" s="0" t="s">
        <v>34966</v>
      </c>
      <c r="F10479" s="0" t="s">
        <v>90</v>
      </c>
      <c r="G10479" s="0" t="s">
        <v>36</v>
      </c>
      <c r="H10479" s="0" t="n">
        <v>59</v>
      </c>
      <c r="I10479" s="0" t="s">
        <v>34973</v>
      </c>
      <c r="J10479" s="0" t="s">
        <v>34974</v>
      </c>
      <c r="K10479" s="0" t="s">
        <v>34975</v>
      </c>
      <c r="L10479" s="0" t="str">
        <f aca="false">HYPERLINK("https://www.ncbi.nlm.nih.gov/nuccore/CP000304.1?report=graph&amp;tracks=[key:gene_model_track,Options:GeneOnly]&amp;mk=2947614:2947633|offset_8|444444,2947587:2947606|offset_35|444444,2947563:2947582|offset_59|00cc00,2947543:2947562|offset_79|444444&amp;v=2947413:2947762&amp;c=444444", "offset 59")</f>
        <v>offset 59</v>
      </c>
    </row>
    <row r="10480" customFormat="false" ht="12.8" hidden="false" customHeight="false" outlineLevel="0" collapsed="false">
      <c r="A10480" s="0" t="s">
        <v>12</v>
      </c>
      <c r="B10480" s="0" t="n">
        <v>2947542</v>
      </c>
      <c r="C10480" s="0" t="n">
        <v>2947562</v>
      </c>
      <c r="D10480" s="0" t="s">
        <v>34965</v>
      </c>
      <c r="E10480" s="0" t="s">
        <v>34966</v>
      </c>
      <c r="F10480" s="0" t="s">
        <v>90</v>
      </c>
      <c r="G10480" s="0" t="s">
        <v>26</v>
      </c>
      <c r="H10480" s="0" t="n">
        <v>79</v>
      </c>
      <c r="I10480" s="0" t="s">
        <v>34976</v>
      </c>
      <c r="J10480" s="0" t="s">
        <v>34977</v>
      </c>
      <c r="K10480" s="0" t="s">
        <v>34978</v>
      </c>
      <c r="L10480" s="0" t="str">
        <f aca="false">HYPERLINK("https://www.ncbi.nlm.nih.gov/nuccore/CP000304.1?report=graph&amp;tracks=[key:gene_model_track,Options:GeneOnly]&amp;mk=2947614:2947633|offset_8|444444,2947587:2947606|offset_35|444444,2947563:2947582|offset_59|444444,2947543:2947562|offset_79|00cc00&amp;v=2947413:2947762&amp;c=444444", "offset 79")</f>
        <v>offset 79</v>
      </c>
    </row>
    <row r="10481" customFormat="false" ht="12.8" hidden="false" customHeight="false" outlineLevel="0" collapsed="false">
      <c r="A10481" s="0" t="s">
        <v>12</v>
      </c>
      <c r="B10481" s="0" t="n">
        <v>2949115</v>
      </c>
      <c r="C10481" s="0" t="n">
        <v>2949135</v>
      </c>
      <c r="D10481" s="0" t="s">
        <v>34979</v>
      </c>
      <c r="E10481" s="0" t="s">
        <v>34980</v>
      </c>
      <c r="F10481" s="0" t="s">
        <v>90</v>
      </c>
      <c r="G10481" s="0" t="s">
        <v>16</v>
      </c>
      <c r="H10481" s="0" t="n">
        <v>13</v>
      </c>
      <c r="I10481" s="0" t="s">
        <v>34981</v>
      </c>
      <c r="J10481" s="0" t="s">
        <v>34982</v>
      </c>
      <c r="K10481" s="0" t="s">
        <v>34983</v>
      </c>
      <c r="L10481" s="0" t="str">
        <f aca="false">HYPERLINK("https://www.ncbi.nlm.nih.gov/nuccore/CP000304.1?report=graph&amp;tracks=[key:gene_model_track,Options:GeneOnly]&amp;mk=2949116:2949135|offset_13|00cc00,2949094:2949113|offset_35|444444,2949056:2949075|offset_73|444444,2949028:2949047|offset_101|444444&amp;v=2948915:2949247&amp;c=444444", "offset 13")</f>
        <v>offset 13</v>
      </c>
    </row>
    <row r="10482" customFormat="false" ht="12.8" hidden="false" customHeight="false" outlineLevel="0" collapsed="false">
      <c r="A10482" s="0" t="s">
        <v>12</v>
      </c>
      <c r="B10482" s="0" t="n">
        <v>2949093</v>
      </c>
      <c r="C10482" s="0" t="n">
        <v>2949113</v>
      </c>
      <c r="D10482" s="0" t="s">
        <v>34979</v>
      </c>
      <c r="E10482" s="0" t="s">
        <v>34980</v>
      </c>
      <c r="F10482" s="0" t="s">
        <v>90</v>
      </c>
      <c r="G10482" s="0" t="s">
        <v>26</v>
      </c>
      <c r="H10482" s="0" t="n">
        <v>35</v>
      </c>
      <c r="I10482" s="0" t="s">
        <v>34984</v>
      </c>
      <c r="J10482" s="0" t="s">
        <v>34985</v>
      </c>
      <c r="K10482" s="0" t="s">
        <v>34986</v>
      </c>
      <c r="L10482" s="0" t="str">
        <f aca="false">HYPERLINK("https://www.ncbi.nlm.nih.gov/nuccore/CP000304.1?report=graph&amp;tracks=[key:gene_model_track,Options:GeneOnly]&amp;mk=2949116:2949135|offset_13|444444,2949094:2949113|offset_35|00cc00,2949056:2949075|offset_73|444444,2949028:2949047|offset_101|444444&amp;v=2948915:2949247&amp;c=444444", "offset 35")</f>
        <v>offset 35</v>
      </c>
    </row>
    <row r="10483" customFormat="false" ht="12.8" hidden="false" customHeight="false" outlineLevel="0" collapsed="false">
      <c r="A10483" s="0" t="s">
        <v>12</v>
      </c>
      <c r="B10483" s="0" t="n">
        <v>2949055</v>
      </c>
      <c r="C10483" s="0" t="n">
        <v>2949075</v>
      </c>
      <c r="D10483" s="0" t="s">
        <v>34979</v>
      </c>
      <c r="E10483" s="0" t="s">
        <v>34980</v>
      </c>
      <c r="F10483" s="0" t="s">
        <v>90</v>
      </c>
      <c r="G10483" s="0" t="s">
        <v>36</v>
      </c>
      <c r="H10483" s="0" t="n">
        <v>73</v>
      </c>
      <c r="I10483" s="0" t="s">
        <v>34987</v>
      </c>
      <c r="J10483" s="0" t="s">
        <v>34988</v>
      </c>
      <c r="K10483" s="0" t="s">
        <v>34989</v>
      </c>
      <c r="L10483" s="0" t="str">
        <f aca="false">HYPERLINK("https://www.ncbi.nlm.nih.gov/nuccore/CP000304.1?report=graph&amp;tracks=[key:gene_model_track,Options:GeneOnly]&amp;mk=2949116:2949135|offset_13|444444,2949094:2949113|offset_35|444444,2949056:2949075|offset_73|00cc00,2949028:2949047|offset_101|444444&amp;v=2948915:2949247&amp;c=444444", "offset 73")</f>
        <v>offset 73</v>
      </c>
    </row>
    <row r="10484" customFormat="false" ht="12.8" hidden="false" customHeight="false" outlineLevel="0" collapsed="false">
      <c r="A10484" s="0" t="s">
        <v>12</v>
      </c>
      <c r="B10484" s="0" t="n">
        <v>2949027</v>
      </c>
      <c r="C10484" s="0" t="n">
        <v>2949047</v>
      </c>
      <c r="D10484" s="0" t="s">
        <v>34979</v>
      </c>
      <c r="E10484" s="0" t="s">
        <v>34980</v>
      </c>
      <c r="F10484" s="0" t="s">
        <v>90</v>
      </c>
      <c r="G10484" s="0" t="s">
        <v>26</v>
      </c>
      <c r="H10484" s="0" t="n">
        <v>101</v>
      </c>
      <c r="I10484" s="0" t="s">
        <v>34990</v>
      </c>
      <c r="J10484" s="0" t="s">
        <v>34991</v>
      </c>
      <c r="K10484" s="0" t="s">
        <v>34992</v>
      </c>
      <c r="L10484" s="0" t="str">
        <f aca="false">HYPERLINK("https://www.ncbi.nlm.nih.gov/nuccore/CP000304.1?report=graph&amp;tracks=[key:gene_model_track,Options:GeneOnly]&amp;mk=2949116:2949135|offset_13|444444,2949094:2949113|offset_35|444444,2949056:2949075|offset_73|444444,2949028:2949047|offset_101|00cc00&amp;v=2948915:2949247&amp;c=444444", "offset 101")</f>
        <v>offset 101</v>
      </c>
    </row>
    <row r="10485" customFormat="false" ht="12.8" hidden="false" customHeight="false" outlineLevel="0" collapsed="false">
      <c r="A10485" s="0" t="s">
        <v>12</v>
      </c>
      <c r="B10485" s="0" t="n">
        <v>2951615</v>
      </c>
      <c r="C10485" s="0" t="n">
        <v>2951635</v>
      </c>
      <c r="D10485" s="0" t="s">
        <v>34993</v>
      </c>
      <c r="E10485" s="0" t="s">
        <v>34994</v>
      </c>
      <c r="F10485" s="0" t="s">
        <v>90</v>
      </c>
      <c r="G10485" s="0" t="s">
        <v>16</v>
      </c>
      <c r="H10485" s="0" t="n">
        <v>18</v>
      </c>
      <c r="I10485" s="0" t="s">
        <v>34995</v>
      </c>
      <c r="J10485" s="0" t="s">
        <v>34996</v>
      </c>
      <c r="K10485" s="0" t="s">
        <v>34997</v>
      </c>
      <c r="L10485" s="0" t="str">
        <f aca="false">HYPERLINK("https://www.ncbi.nlm.nih.gov/nuccore/CP000304.1?report=graph&amp;tracks=[key:gene_model_track,Options:GeneOnly]&amp;mk=2951616:2951635|offset_18|00cc00,2951586:2951605|offset_48|444444,2951565:2951584|offset_69|444444,2951545:2951564|offset_89|444444&amp;v=2951415:2951764&amp;c=444444", "offset 18")</f>
        <v>offset 18</v>
      </c>
    </row>
    <row r="10486" customFormat="false" ht="12.8" hidden="false" customHeight="false" outlineLevel="0" collapsed="false">
      <c r="A10486" s="0" t="s">
        <v>12</v>
      </c>
      <c r="B10486" s="0" t="n">
        <v>2951585</v>
      </c>
      <c r="C10486" s="0" t="n">
        <v>2951605</v>
      </c>
      <c r="D10486" s="0" t="s">
        <v>34993</v>
      </c>
      <c r="E10486" s="0" t="s">
        <v>34994</v>
      </c>
      <c r="F10486" s="0" t="s">
        <v>90</v>
      </c>
      <c r="G10486" s="0" t="s">
        <v>16</v>
      </c>
      <c r="H10486" s="0" t="n">
        <v>48</v>
      </c>
      <c r="I10486" s="0" t="s">
        <v>34998</v>
      </c>
      <c r="J10486" s="0" t="s">
        <v>34999</v>
      </c>
      <c r="K10486" s="0" t="s">
        <v>35000</v>
      </c>
      <c r="L10486" s="0" t="str">
        <f aca="false">HYPERLINK("https://www.ncbi.nlm.nih.gov/nuccore/CP000304.1?report=graph&amp;tracks=[key:gene_model_track,Options:GeneOnly]&amp;mk=2951616:2951635|offset_18|444444,2951586:2951605|offset_48|00cc00,2951565:2951584|offset_69|444444,2951545:2951564|offset_89|444444&amp;v=2951415:2951764&amp;c=444444", "offset 48")</f>
        <v>offset 48</v>
      </c>
    </row>
    <row r="10487" customFormat="false" ht="12.8" hidden="false" customHeight="false" outlineLevel="0" collapsed="false">
      <c r="A10487" s="0" t="s">
        <v>12</v>
      </c>
      <c r="B10487" s="0" t="n">
        <v>2951564</v>
      </c>
      <c r="C10487" s="0" t="n">
        <v>2951584</v>
      </c>
      <c r="D10487" s="0" t="s">
        <v>34993</v>
      </c>
      <c r="E10487" s="0" t="s">
        <v>34994</v>
      </c>
      <c r="F10487" s="0" t="s">
        <v>90</v>
      </c>
      <c r="G10487" s="0" t="s">
        <v>16</v>
      </c>
      <c r="H10487" s="0" t="n">
        <v>69</v>
      </c>
      <c r="I10487" s="0" t="s">
        <v>35001</v>
      </c>
      <c r="J10487" s="0" t="s">
        <v>35002</v>
      </c>
      <c r="K10487" s="0" t="s">
        <v>35003</v>
      </c>
      <c r="L10487" s="0" t="str">
        <f aca="false">HYPERLINK("https://www.ncbi.nlm.nih.gov/nuccore/CP000304.1?report=graph&amp;tracks=[key:gene_model_track,Options:GeneOnly]&amp;mk=2951616:2951635|offset_18|444444,2951586:2951605|offset_48|444444,2951565:2951584|offset_69|00cc00,2951545:2951564|offset_89|444444&amp;v=2951415:2951764&amp;c=444444", "offset 69")</f>
        <v>offset 69</v>
      </c>
    </row>
    <row r="10488" customFormat="false" ht="12.8" hidden="false" customHeight="false" outlineLevel="0" collapsed="false">
      <c r="A10488" s="0" t="s">
        <v>12</v>
      </c>
      <c r="B10488" s="0" t="n">
        <v>2951544</v>
      </c>
      <c r="C10488" s="0" t="n">
        <v>2951564</v>
      </c>
      <c r="D10488" s="0" t="s">
        <v>34993</v>
      </c>
      <c r="E10488" s="0" t="s">
        <v>34994</v>
      </c>
      <c r="F10488" s="0" t="s">
        <v>90</v>
      </c>
      <c r="G10488" s="0" t="s">
        <v>16</v>
      </c>
      <c r="H10488" s="0" t="n">
        <v>89</v>
      </c>
      <c r="I10488" s="0" t="s">
        <v>35004</v>
      </c>
      <c r="J10488" s="0" t="s">
        <v>35005</v>
      </c>
      <c r="K10488" s="0" t="s">
        <v>35006</v>
      </c>
      <c r="L10488" s="0" t="str">
        <f aca="false">HYPERLINK("https://www.ncbi.nlm.nih.gov/nuccore/CP000304.1?report=graph&amp;tracks=[key:gene_model_track,Options:GeneOnly]&amp;mk=2951616:2951635|offset_18|444444,2951586:2951605|offset_48|444444,2951565:2951584|offset_69|444444,2951545:2951564|offset_89|00cc00&amp;v=2951415:2951764&amp;c=444444", "offset 89")</f>
        <v>offset 89</v>
      </c>
    </row>
    <row r="10489" customFormat="false" ht="12.8" hidden="false" customHeight="false" outlineLevel="0" collapsed="false">
      <c r="A10489" s="0" t="s">
        <v>12</v>
      </c>
      <c r="B10489" s="0" t="n">
        <v>2952501</v>
      </c>
      <c r="C10489" s="0" t="n">
        <v>2952521</v>
      </c>
      <c r="D10489" s="0" t="s">
        <v>35007</v>
      </c>
      <c r="E10489" s="0" t="s">
        <v>89</v>
      </c>
      <c r="F10489" s="0" t="s">
        <v>90</v>
      </c>
      <c r="G10489" s="0" t="s">
        <v>32</v>
      </c>
      <c r="H10489" s="0" t="n">
        <v>8</v>
      </c>
      <c r="I10489" s="0" t="s">
        <v>35008</v>
      </c>
      <c r="J10489" s="0" t="s">
        <v>35009</v>
      </c>
      <c r="K10489" s="0" t="s">
        <v>35010</v>
      </c>
      <c r="L10489" s="0" t="str">
        <f aca="false">HYPERLINK("https://www.ncbi.nlm.nih.gov/nuccore/CP000304.1?report=graph&amp;tracks=[key:gene_model_track,Options:GeneOnly]&amp;mk=2952502:2952521|offset_8|00cc00,2952472:2952491|offset_38|444444,2952447:2952466|offset_63|444444,2952404:2952423|offset_106|444444&amp;v=2952301:2952623&amp;c=444444", "offset 8")</f>
        <v>offset 8</v>
      </c>
    </row>
    <row r="10490" customFormat="false" ht="12.8" hidden="false" customHeight="false" outlineLevel="0" collapsed="false">
      <c r="A10490" s="0" t="s">
        <v>12</v>
      </c>
      <c r="B10490" s="0" t="n">
        <v>2952471</v>
      </c>
      <c r="C10490" s="0" t="n">
        <v>2952491</v>
      </c>
      <c r="D10490" s="0" t="s">
        <v>35007</v>
      </c>
      <c r="E10490" s="0" t="s">
        <v>89</v>
      </c>
      <c r="F10490" s="0" t="s">
        <v>90</v>
      </c>
      <c r="G10490" s="0" t="s">
        <v>16</v>
      </c>
      <c r="H10490" s="0" t="n">
        <v>38</v>
      </c>
      <c r="I10490" s="0" t="s">
        <v>35011</v>
      </c>
      <c r="J10490" s="0" t="s">
        <v>35012</v>
      </c>
      <c r="K10490" s="0" t="s">
        <v>35013</v>
      </c>
      <c r="L10490" s="0" t="str">
        <f aca="false">HYPERLINK("https://www.ncbi.nlm.nih.gov/nuccore/CP000304.1?report=graph&amp;tracks=[key:gene_model_track,Options:GeneOnly]&amp;mk=2952502:2952521|offset_8|444444,2952472:2952491|offset_38|00cc00,2952447:2952466|offset_63|444444,2952404:2952423|offset_106|444444&amp;v=2952301:2952623&amp;c=444444", "offset 38")</f>
        <v>offset 38</v>
      </c>
    </row>
    <row r="10491" customFormat="false" ht="12.8" hidden="false" customHeight="false" outlineLevel="0" collapsed="false">
      <c r="A10491" s="0" t="s">
        <v>12</v>
      </c>
      <c r="B10491" s="0" t="n">
        <v>2952446</v>
      </c>
      <c r="C10491" s="0" t="n">
        <v>2952466</v>
      </c>
      <c r="D10491" s="0" t="s">
        <v>35007</v>
      </c>
      <c r="E10491" s="0" t="s">
        <v>89</v>
      </c>
      <c r="F10491" s="0" t="s">
        <v>90</v>
      </c>
      <c r="G10491" s="0" t="s">
        <v>36</v>
      </c>
      <c r="H10491" s="0" t="n">
        <v>63</v>
      </c>
      <c r="I10491" s="0" t="s">
        <v>35014</v>
      </c>
      <c r="J10491" s="0" t="s">
        <v>35015</v>
      </c>
      <c r="K10491" s="0" t="s">
        <v>35016</v>
      </c>
      <c r="L10491" s="0" t="str">
        <f aca="false">HYPERLINK("https://www.ncbi.nlm.nih.gov/nuccore/CP000304.1?report=graph&amp;tracks=[key:gene_model_track,Options:GeneOnly]&amp;mk=2952502:2952521|offset_8|444444,2952472:2952491|offset_38|444444,2952447:2952466|offset_63|00cc00,2952404:2952423|offset_106|444444&amp;v=2952301:2952623&amp;c=444444", "offset 63")</f>
        <v>offset 63</v>
      </c>
    </row>
    <row r="10492" customFormat="false" ht="12.8" hidden="false" customHeight="false" outlineLevel="0" collapsed="false">
      <c r="A10492" s="0" t="s">
        <v>12</v>
      </c>
      <c r="B10492" s="0" t="n">
        <v>2952403</v>
      </c>
      <c r="C10492" s="0" t="n">
        <v>2952423</v>
      </c>
      <c r="D10492" s="0" t="s">
        <v>35007</v>
      </c>
      <c r="E10492" s="0" t="s">
        <v>89</v>
      </c>
      <c r="F10492" s="0" t="s">
        <v>90</v>
      </c>
      <c r="G10492" s="0" t="s">
        <v>16</v>
      </c>
      <c r="H10492" s="0" t="n">
        <v>106</v>
      </c>
      <c r="I10492" s="0" t="s">
        <v>35017</v>
      </c>
      <c r="J10492" s="0" t="s">
        <v>35018</v>
      </c>
      <c r="K10492" s="0" t="s">
        <v>35019</v>
      </c>
      <c r="L10492" s="0" t="str">
        <f aca="false">HYPERLINK("https://www.ncbi.nlm.nih.gov/nuccore/CP000304.1?report=graph&amp;tracks=[key:gene_model_track,Options:GeneOnly]&amp;mk=2952502:2952521|offset_8|444444,2952472:2952491|offset_38|444444,2952447:2952466|offset_63|444444,2952404:2952423|offset_106|00cc00&amp;v=2952301:2952623&amp;c=444444", "offset 106")</f>
        <v>offset 106</v>
      </c>
    </row>
    <row r="10493" customFormat="false" ht="12.8" hidden="false" customHeight="false" outlineLevel="0" collapsed="false">
      <c r="A10493" s="0" t="s">
        <v>12</v>
      </c>
      <c r="B10493" s="0" t="n">
        <v>2953357</v>
      </c>
      <c r="C10493" s="0" t="n">
        <v>2953377</v>
      </c>
      <c r="D10493" s="0" t="s">
        <v>35020</v>
      </c>
      <c r="E10493" s="0" t="s">
        <v>89</v>
      </c>
      <c r="F10493" s="0" t="s">
        <v>90</v>
      </c>
      <c r="G10493" s="0" t="s">
        <v>16</v>
      </c>
      <c r="H10493" s="0" t="n">
        <v>7</v>
      </c>
      <c r="I10493" s="0" t="s">
        <v>35021</v>
      </c>
      <c r="J10493" s="0" t="s">
        <v>35022</v>
      </c>
      <c r="K10493" s="0" t="s">
        <v>35023</v>
      </c>
      <c r="L10493" s="0" t="str">
        <f aca="false">HYPERLINK("https://www.ncbi.nlm.nih.gov/nuccore/CP000304.1?report=graph&amp;tracks=[key:gene_model_track,Options:GeneOnly]&amp;mk=2953358:2953377|offset_7|00cc00,2953337:2953356|offset_28|444444,2953314:2953333|offset_51|444444,2953292:2953311|offset_73|444444&amp;v=2953157:2953511&amp;c=444444", "offset 7")</f>
        <v>offset 7</v>
      </c>
    </row>
    <row r="10494" customFormat="false" ht="12.8" hidden="false" customHeight="false" outlineLevel="0" collapsed="false">
      <c r="A10494" s="0" t="s">
        <v>12</v>
      </c>
      <c r="B10494" s="0" t="n">
        <v>2953336</v>
      </c>
      <c r="C10494" s="0" t="n">
        <v>2953356</v>
      </c>
      <c r="D10494" s="0" t="s">
        <v>35020</v>
      </c>
      <c r="E10494" s="0" t="s">
        <v>89</v>
      </c>
      <c r="F10494" s="0" t="s">
        <v>90</v>
      </c>
      <c r="G10494" s="0" t="s">
        <v>26</v>
      </c>
      <c r="H10494" s="0" t="n">
        <v>28</v>
      </c>
      <c r="I10494" s="0" t="s">
        <v>35024</v>
      </c>
      <c r="J10494" s="0" t="s">
        <v>35025</v>
      </c>
      <c r="K10494" s="0" t="s">
        <v>35026</v>
      </c>
      <c r="L10494" s="0" t="str">
        <f aca="false">HYPERLINK("https://www.ncbi.nlm.nih.gov/nuccore/CP000304.1?report=graph&amp;tracks=[key:gene_model_track,Options:GeneOnly]&amp;mk=2953358:2953377|offset_7|444444,2953337:2953356|offset_28|00cc00,2953314:2953333|offset_51|444444,2953292:2953311|offset_73|444444&amp;v=2953157:2953511&amp;c=444444", "offset 28")</f>
        <v>offset 28</v>
      </c>
    </row>
    <row r="10495" customFormat="false" ht="12.8" hidden="false" customHeight="false" outlineLevel="0" collapsed="false">
      <c r="A10495" s="0" t="s">
        <v>12</v>
      </c>
      <c r="B10495" s="0" t="n">
        <v>2953313</v>
      </c>
      <c r="C10495" s="0" t="n">
        <v>2953333</v>
      </c>
      <c r="D10495" s="0" t="s">
        <v>35020</v>
      </c>
      <c r="E10495" s="0" t="s">
        <v>89</v>
      </c>
      <c r="F10495" s="0" t="s">
        <v>90</v>
      </c>
      <c r="G10495" s="0" t="s">
        <v>16</v>
      </c>
      <c r="H10495" s="0" t="n">
        <v>51</v>
      </c>
      <c r="I10495" s="0" t="s">
        <v>35027</v>
      </c>
      <c r="J10495" s="0" t="s">
        <v>35028</v>
      </c>
      <c r="K10495" s="0" t="s">
        <v>35029</v>
      </c>
      <c r="L10495" s="0" t="str">
        <f aca="false">HYPERLINK("https://www.ncbi.nlm.nih.gov/nuccore/CP000304.1?report=graph&amp;tracks=[key:gene_model_track,Options:GeneOnly]&amp;mk=2953358:2953377|offset_7|444444,2953337:2953356|offset_28|444444,2953314:2953333|offset_51|00cc00,2953292:2953311|offset_73|444444&amp;v=2953157:2953511&amp;c=444444", "offset 51")</f>
        <v>offset 51</v>
      </c>
    </row>
    <row r="10496" customFormat="false" ht="12.8" hidden="false" customHeight="false" outlineLevel="0" collapsed="false">
      <c r="A10496" s="0" t="s">
        <v>12</v>
      </c>
      <c r="B10496" s="0" t="n">
        <v>2953291</v>
      </c>
      <c r="C10496" s="0" t="n">
        <v>2953311</v>
      </c>
      <c r="D10496" s="0" t="s">
        <v>35020</v>
      </c>
      <c r="E10496" s="0" t="s">
        <v>89</v>
      </c>
      <c r="F10496" s="0" t="s">
        <v>90</v>
      </c>
      <c r="G10496" s="0" t="s">
        <v>36</v>
      </c>
      <c r="H10496" s="0" t="n">
        <v>73</v>
      </c>
      <c r="I10496" s="0" t="s">
        <v>35030</v>
      </c>
      <c r="J10496" s="0" t="s">
        <v>35031</v>
      </c>
      <c r="K10496" s="0" t="s">
        <v>35032</v>
      </c>
      <c r="L10496" s="0" t="str">
        <f aca="false">HYPERLINK("https://www.ncbi.nlm.nih.gov/nuccore/CP000304.1?report=graph&amp;tracks=[key:gene_model_track,Options:GeneOnly]&amp;mk=2953358:2953377|offset_7|444444,2953337:2953356|offset_28|444444,2953314:2953333|offset_51|444444,2953292:2953311|offset_73|00cc00&amp;v=2953157:2953511&amp;c=444444", "offset 73")</f>
        <v>offset 73</v>
      </c>
    </row>
    <row r="10497" customFormat="false" ht="12.8" hidden="false" customHeight="false" outlineLevel="0" collapsed="false">
      <c r="A10497" s="0" t="s">
        <v>12</v>
      </c>
      <c r="B10497" s="0" t="n">
        <v>2953726</v>
      </c>
      <c r="C10497" s="0" t="n">
        <v>2953746</v>
      </c>
      <c r="D10497" s="0" t="s">
        <v>35033</v>
      </c>
      <c r="E10497" s="0" t="s">
        <v>89</v>
      </c>
      <c r="F10497" s="0" t="s">
        <v>90</v>
      </c>
      <c r="G10497" s="0" t="s">
        <v>16</v>
      </c>
      <c r="H10497" s="0" t="n">
        <v>0</v>
      </c>
      <c r="I10497" s="0" t="s">
        <v>35034</v>
      </c>
      <c r="J10497" s="0" t="s">
        <v>35035</v>
      </c>
      <c r="K10497" s="0" t="s">
        <v>35036</v>
      </c>
      <c r="L10497" s="0" t="str">
        <f aca="false">HYPERLINK("https://www.ncbi.nlm.nih.gov/nuccore/CP000304.1?report=graph&amp;tracks=[key:gene_model_track,Options:GeneOnly]&amp;mk=2953727:2953746|offset_0|00cc00,2953705:2953724|offset_22|444444,2953652:2953671|offset_75|444444,2953593:2953612|offset_134|444444&amp;v=2953526:2953812&amp;c=444444", "offset 0")</f>
        <v>offset 0</v>
      </c>
    </row>
    <row r="10498" customFormat="false" ht="12.8" hidden="false" customHeight="false" outlineLevel="0" collapsed="false">
      <c r="A10498" s="0" t="s">
        <v>12</v>
      </c>
      <c r="B10498" s="0" t="n">
        <v>2953704</v>
      </c>
      <c r="C10498" s="0" t="n">
        <v>2953724</v>
      </c>
      <c r="D10498" s="0" t="s">
        <v>35033</v>
      </c>
      <c r="E10498" s="0" t="s">
        <v>89</v>
      </c>
      <c r="F10498" s="0" t="s">
        <v>90</v>
      </c>
      <c r="G10498" s="0" t="s">
        <v>26</v>
      </c>
      <c r="H10498" s="0" t="n">
        <v>22</v>
      </c>
      <c r="I10498" s="0" t="s">
        <v>35037</v>
      </c>
      <c r="J10498" s="0" t="s">
        <v>35038</v>
      </c>
      <c r="K10498" s="0" t="s">
        <v>35039</v>
      </c>
      <c r="L10498" s="0" t="str">
        <f aca="false">HYPERLINK("https://www.ncbi.nlm.nih.gov/nuccore/CP000304.1?report=graph&amp;tracks=[key:gene_model_track,Options:GeneOnly]&amp;mk=2953727:2953746|offset_0|444444,2953705:2953724|offset_22|00cc00,2953652:2953671|offset_75|444444,2953593:2953612|offset_134|444444&amp;v=2953526:2953812&amp;c=444444", "offset 22")</f>
        <v>offset 22</v>
      </c>
    </row>
    <row r="10499" customFormat="false" ht="12.8" hidden="false" customHeight="false" outlineLevel="0" collapsed="false">
      <c r="A10499" s="0" t="s">
        <v>12</v>
      </c>
      <c r="B10499" s="0" t="n">
        <v>2953651</v>
      </c>
      <c r="C10499" s="0" t="n">
        <v>2953671</v>
      </c>
      <c r="D10499" s="0" t="s">
        <v>35033</v>
      </c>
      <c r="E10499" s="0" t="s">
        <v>89</v>
      </c>
      <c r="F10499" s="0" t="s">
        <v>90</v>
      </c>
      <c r="G10499" s="0" t="s">
        <v>16</v>
      </c>
      <c r="H10499" s="0" t="n">
        <v>75</v>
      </c>
      <c r="I10499" s="0" t="s">
        <v>35040</v>
      </c>
      <c r="J10499" s="0" t="s">
        <v>35041</v>
      </c>
      <c r="K10499" s="0" t="s">
        <v>35042</v>
      </c>
      <c r="L10499" s="0" t="str">
        <f aca="false">HYPERLINK("https://www.ncbi.nlm.nih.gov/nuccore/CP000304.1?report=graph&amp;tracks=[key:gene_model_track,Options:GeneOnly]&amp;mk=2953727:2953746|offset_0|444444,2953705:2953724|offset_22|444444,2953652:2953671|offset_75|00cc00,2953593:2953612|offset_134|444444&amp;v=2953526:2953812&amp;c=444444", "offset 75")</f>
        <v>offset 75</v>
      </c>
    </row>
    <row r="10500" customFormat="false" ht="12.8" hidden="false" customHeight="false" outlineLevel="0" collapsed="false">
      <c r="A10500" s="0" t="s">
        <v>12</v>
      </c>
      <c r="B10500" s="0" t="n">
        <v>2953592</v>
      </c>
      <c r="C10500" s="0" t="n">
        <v>2953612</v>
      </c>
      <c r="D10500" s="0" t="s">
        <v>35033</v>
      </c>
      <c r="E10500" s="0" t="s">
        <v>89</v>
      </c>
      <c r="F10500" s="0" t="s">
        <v>90</v>
      </c>
      <c r="G10500" s="0" t="s">
        <v>16</v>
      </c>
      <c r="H10500" s="0" t="n">
        <v>134</v>
      </c>
      <c r="I10500" s="0" t="s">
        <v>35043</v>
      </c>
      <c r="J10500" s="0" t="s">
        <v>35044</v>
      </c>
      <c r="K10500" s="0" t="s">
        <v>35045</v>
      </c>
      <c r="L10500" s="0" t="str">
        <f aca="false">HYPERLINK("https://www.ncbi.nlm.nih.gov/nuccore/CP000304.1?report=graph&amp;tracks=[key:gene_model_track,Options:GeneOnly]&amp;mk=2953727:2953746|offset_0|444444,2953705:2953724|offset_22|444444,2953652:2953671|offset_75|444444,2953593:2953612|offset_134|00cc00&amp;v=2953526:2953812&amp;c=444444", "offset 134")</f>
        <v>offset 134</v>
      </c>
    </row>
    <row r="10501" customFormat="false" ht="12.8" hidden="false" customHeight="false" outlineLevel="0" collapsed="false">
      <c r="A10501" s="0" t="s">
        <v>12</v>
      </c>
      <c r="B10501" s="0" t="n">
        <v>2954046</v>
      </c>
      <c r="C10501" s="0" t="n">
        <v>2954066</v>
      </c>
      <c r="D10501" s="0" t="s">
        <v>35046</v>
      </c>
      <c r="E10501" s="0" t="s">
        <v>89</v>
      </c>
      <c r="F10501" s="0" t="s">
        <v>15</v>
      </c>
      <c r="G10501" s="0" t="s">
        <v>32</v>
      </c>
      <c r="H10501" s="0" t="n">
        <v>0</v>
      </c>
      <c r="I10501" s="0" t="s">
        <v>35047</v>
      </c>
      <c r="J10501" s="0" t="s">
        <v>35048</v>
      </c>
      <c r="K10501" s="0" t="s">
        <v>35049</v>
      </c>
      <c r="L10501" s="0" t="str">
        <f aca="false">HYPERLINK("https://www.ncbi.nlm.nih.gov/nuccore/CP000304.1?report=graph&amp;tracks=[key:gene_model_track,Options:GeneOnly]&amp;mk=2954047:2954066|offset_0|00cc00,2954084:2954103|offset_37|444444,2954106:2954125|offset_59|444444,2954134:2954153|offset_87|444444&amp;v=2953846:2954353&amp;c=444444", "offset 0")</f>
        <v>offset 0</v>
      </c>
    </row>
    <row r="10502" customFormat="false" ht="12.8" hidden="false" customHeight="false" outlineLevel="0" collapsed="false">
      <c r="A10502" s="0" t="s">
        <v>12</v>
      </c>
      <c r="B10502" s="0" t="n">
        <v>2954083</v>
      </c>
      <c r="C10502" s="0" t="n">
        <v>2954103</v>
      </c>
      <c r="D10502" s="0" t="s">
        <v>35046</v>
      </c>
      <c r="E10502" s="0" t="s">
        <v>89</v>
      </c>
      <c r="F10502" s="0" t="s">
        <v>15</v>
      </c>
      <c r="G10502" s="0" t="s">
        <v>16</v>
      </c>
      <c r="H10502" s="0" t="n">
        <v>37</v>
      </c>
      <c r="I10502" s="0" t="s">
        <v>35050</v>
      </c>
      <c r="J10502" s="0" t="s">
        <v>35051</v>
      </c>
      <c r="K10502" s="0" t="s">
        <v>35052</v>
      </c>
      <c r="L10502" s="0" t="str">
        <f aca="false">HYPERLINK("https://www.ncbi.nlm.nih.gov/nuccore/CP000304.1?report=graph&amp;tracks=[key:gene_model_track,Options:GeneOnly]&amp;mk=2954047:2954066|offset_0|444444,2954084:2954103|offset_37|00cc00,2954106:2954125|offset_59|444444,2954134:2954153|offset_87|444444&amp;v=2953846:2954353&amp;c=444444", "offset 37")</f>
        <v>offset 37</v>
      </c>
    </row>
    <row r="10503" customFormat="false" ht="12.8" hidden="false" customHeight="false" outlineLevel="0" collapsed="false">
      <c r="A10503" s="0" t="s">
        <v>12</v>
      </c>
      <c r="B10503" s="0" t="n">
        <v>2954105</v>
      </c>
      <c r="C10503" s="0" t="n">
        <v>2954125</v>
      </c>
      <c r="D10503" s="0" t="s">
        <v>35046</v>
      </c>
      <c r="E10503" s="0" t="s">
        <v>89</v>
      </c>
      <c r="F10503" s="0" t="s">
        <v>15</v>
      </c>
      <c r="G10503" s="0" t="s">
        <v>16</v>
      </c>
      <c r="H10503" s="0" t="n">
        <v>59</v>
      </c>
      <c r="I10503" s="0" t="s">
        <v>35053</v>
      </c>
      <c r="J10503" s="0" t="s">
        <v>35054</v>
      </c>
      <c r="K10503" s="0" t="s">
        <v>35055</v>
      </c>
      <c r="L10503" s="0" t="str">
        <f aca="false">HYPERLINK("https://www.ncbi.nlm.nih.gov/nuccore/CP000304.1?report=graph&amp;tracks=[key:gene_model_track,Options:GeneOnly]&amp;mk=2954047:2954066|offset_0|444444,2954084:2954103|offset_37|444444,2954106:2954125|offset_59|00cc00,2954134:2954153|offset_87|444444&amp;v=2953846:2954353&amp;c=444444", "offset 59")</f>
        <v>offset 59</v>
      </c>
    </row>
    <row r="10504" customFormat="false" ht="12.8" hidden="false" customHeight="false" outlineLevel="0" collapsed="false">
      <c r="A10504" s="0" t="s">
        <v>12</v>
      </c>
      <c r="B10504" s="0" t="n">
        <v>2954133</v>
      </c>
      <c r="C10504" s="0" t="n">
        <v>2954153</v>
      </c>
      <c r="D10504" s="0" t="s">
        <v>35046</v>
      </c>
      <c r="E10504" s="0" t="s">
        <v>89</v>
      </c>
      <c r="F10504" s="0" t="s">
        <v>15</v>
      </c>
      <c r="G10504" s="0" t="s">
        <v>36</v>
      </c>
      <c r="H10504" s="0" t="n">
        <v>87</v>
      </c>
      <c r="I10504" s="0" t="s">
        <v>35056</v>
      </c>
      <c r="J10504" s="0" t="s">
        <v>35057</v>
      </c>
      <c r="K10504" s="0" t="s">
        <v>35058</v>
      </c>
      <c r="L10504" s="0" t="str">
        <f aca="false">HYPERLINK("https://www.ncbi.nlm.nih.gov/nuccore/CP000304.1?report=graph&amp;tracks=[key:gene_model_track,Options:GeneOnly]&amp;mk=2954047:2954066|offset_0|444444,2954084:2954103|offset_37|444444,2954106:2954125|offset_59|444444,2954134:2954153|offset_87|00cc00&amp;v=2953846:2954353&amp;c=444444", "offset 87")</f>
        <v>offset 87</v>
      </c>
    </row>
    <row r="10505" customFormat="false" ht="12.8" hidden="false" customHeight="false" outlineLevel="0" collapsed="false">
      <c r="A10505" s="0" t="s">
        <v>12</v>
      </c>
      <c r="B10505" s="0" t="n">
        <v>2955473</v>
      </c>
      <c r="C10505" s="0" t="n">
        <v>2955493</v>
      </c>
      <c r="D10505" s="0" t="s">
        <v>35059</v>
      </c>
      <c r="E10505" s="0" t="s">
        <v>89</v>
      </c>
      <c r="F10505" s="0" t="s">
        <v>15</v>
      </c>
      <c r="G10505" s="0" t="s">
        <v>32</v>
      </c>
      <c r="H10505" s="0" t="n">
        <v>1</v>
      </c>
      <c r="I10505" s="0" t="s">
        <v>35060</v>
      </c>
      <c r="J10505" s="0" t="s">
        <v>35061</v>
      </c>
      <c r="K10505" s="0" t="s">
        <v>35062</v>
      </c>
      <c r="L10505" s="0" t="str">
        <f aca="false">HYPERLINK("https://www.ncbi.nlm.nih.gov/nuccore/CP000304.1?report=graph&amp;tracks=[key:gene_model_track,Options:GeneOnly]&amp;mk=2955474:2955493|offset_1|00cc00,2955494:2955513|offset_21|444444,2955525:2955544|offset_52|444444,2955564:2955583|offset_91|444444&amp;v=2955273:2955783&amp;c=444444", "offset 1")</f>
        <v>offset 1</v>
      </c>
    </row>
    <row r="10506" customFormat="false" ht="12.8" hidden="false" customHeight="false" outlineLevel="0" collapsed="false">
      <c r="A10506" s="0" t="s">
        <v>12</v>
      </c>
      <c r="B10506" s="0" t="n">
        <v>2955493</v>
      </c>
      <c r="C10506" s="0" t="n">
        <v>2955513</v>
      </c>
      <c r="D10506" s="0" t="s">
        <v>35059</v>
      </c>
      <c r="E10506" s="0" t="s">
        <v>89</v>
      </c>
      <c r="F10506" s="0" t="s">
        <v>15</v>
      </c>
      <c r="G10506" s="0" t="s">
        <v>16</v>
      </c>
      <c r="H10506" s="0" t="n">
        <v>21</v>
      </c>
      <c r="I10506" s="0" t="s">
        <v>35063</v>
      </c>
      <c r="J10506" s="0" t="s">
        <v>35064</v>
      </c>
      <c r="K10506" s="0" t="s">
        <v>35065</v>
      </c>
      <c r="L10506" s="0" t="str">
        <f aca="false">HYPERLINK("https://www.ncbi.nlm.nih.gov/nuccore/CP000304.1?report=graph&amp;tracks=[key:gene_model_track,Options:GeneOnly]&amp;mk=2955474:2955493|offset_1|444444,2955494:2955513|offset_21|00cc00,2955525:2955544|offset_52|444444,2955564:2955583|offset_91|444444&amp;v=2955273:2955783&amp;c=444444", "offset 21")</f>
        <v>offset 21</v>
      </c>
    </row>
    <row r="10507" customFormat="false" ht="12.8" hidden="false" customHeight="false" outlineLevel="0" collapsed="false">
      <c r="A10507" s="0" t="s">
        <v>12</v>
      </c>
      <c r="B10507" s="0" t="n">
        <v>2955524</v>
      </c>
      <c r="C10507" s="0" t="n">
        <v>2955544</v>
      </c>
      <c r="D10507" s="0" t="s">
        <v>35059</v>
      </c>
      <c r="E10507" s="0" t="s">
        <v>89</v>
      </c>
      <c r="F10507" s="0" t="s">
        <v>15</v>
      </c>
      <c r="G10507" s="0" t="s">
        <v>16</v>
      </c>
      <c r="H10507" s="0" t="n">
        <v>52</v>
      </c>
      <c r="I10507" s="0" t="s">
        <v>35066</v>
      </c>
      <c r="J10507" s="0" t="s">
        <v>35067</v>
      </c>
      <c r="K10507" s="0" t="s">
        <v>35068</v>
      </c>
      <c r="L10507" s="0" t="str">
        <f aca="false">HYPERLINK("https://www.ncbi.nlm.nih.gov/nuccore/CP000304.1?report=graph&amp;tracks=[key:gene_model_track,Options:GeneOnly]&amp;mk=2955474:2955493|offset_1|444444,2955494:2955513|offset_21|444444,2955525:2955544|offset_52|00cc00,2955564:2955583|offset_91|444444&amp;v=2955273:2955783&amp;c=444444", "offset 52")</f>
        <v>offset 52</v>
      </c>
    </row>
    <row r="10508" customFormat="false" ht="12.8" hidden="false" customHeight="false" outlineLevel="0" collapsed="false">
      <c r="A10508" s="0" t="s">
        <v>12</v>
      </c>
      <c r="B10508" s="0" t="n">
        <v>2955563</v>
      </c>
      <c r="C10508" s="0" t="n">
        <v>2955583</v>
      </c>
      <c r="D10508" s="0" t="s">
        <v>35059</v>
      </c>
      <c r="E10508" s="0" t="s">
        <v>89</v>
      </c>
      <c r="F10508" s="0" t="s">
        <v>15</v>
      </c>
      <c r="G10508" s="0" t="s">
        <v>36</v>
      </c>
      <c r="H10508" s="0" t="n">
        <v>91</v>
      </c>
      <c r="I10508" s="0" t="s">
        <v>35069</v>
      </c>
      <c r="J10508" s="0" t="s">
        <v>35070</v>
      </c>
      <c r="K10508" s="0" t="s">
        <v>35071</v>
      </c>
      <c r="L10508" s="0" t="str">
        <f aca="false">HYPERLINK("https://www.ncbi.nlm.nih.gov/nuccore/CP000304.1?report=graph&amp;tracks=[key:gene_model_track,Options:GeneOnly]&amp;mk=2955474:2955493|offset_1|444444,2955494:2955513|offset_21|444444,2955525:2955544|offset_52|444444,2955564:2955583|offset_91|00cc00&amp;v=2955273:2955783&amp;c=444444", "offset 91")</f>
        <v>offset 91</v>
      </c>
    </row>
    <row r="10509" customFormat="false" ht="12.8" hidden="false" customHeight="false" outlineLevel="0" collapsed="false">
      <c r="A10509" s="0" t="s">
        <v>12</v>
      </c>
      <c r="B10509" s="0" t="n">
        <v>2958273</v>
      </c>
      <c r="C10509" s="0" t="n">
        <v>2958293</v>
      </c>
      <c r="D10509" s="0" t="s">
        <v>35072</v>
      </c>
      <c r="E10509" s="0" t="s">
        <v>89</v>
      </c>
      <c r="F10509" s="0" t="s">
        <v>90</v>
      </c>
      <c r="G10509" s="0" t="s">
        <v>36</v>
      </c>
      <c r="H10509" s="0" t="n">
        <v>50</v>
      </c>
      <c r="I10509" s="0" t="s">
        <v>35073</v>
      </c>
      <c r="J10509" s="0" t="s">
        <v>35074</v>
      </c>
      <c r="K10509" s="0" t="s">
        <v>35075</v>
      </c>
      <c r="L10509" s="0" t="str">
        <f aca="false">HYPERLINK("https://www.ncbi.nlm.nih.gov/nuccore/CP000304.1?report=graph&amp;tracks=[key:gene_model_track,Options:GeneOnly]&amp;mk=2958274:2958293|offset_50|00cc00,2958242:2958261|offset_82|444444,2958216:2958235|offset_108|444444,2958143:2958162|offset_181|444444&amp;v=2958073:2958362&amp;c=444444", "offset 50")</f>
        <v>offset 50</v>
      </c>
    </row>
    <row r="10510" customFormat="false" ht="12.8" hidden="false" customHeight="false" outlineLevel="0" collapsed="false">
      <c r="A10510" s="0" t="s">
        <v>12</v>
      </c>
      <c r="B10510" s="0" t="n">
        <v>2958241</v>
      </c>
      <c r="C10510" s="0" t="n">
        <v>2958261</v>
      </c>
      <c r="D10510" s="0" t="s">
        <v>35072</v>
      </c>
      <c r="E10510" s="0" t="s">
        <v>89</v>
      </c>
      <c r="F10510" s="0" t="s">
        <v>90</v>
      </c>
      <c r="G10510" s="0" t="s">
        <v>16</v>
      </c>
      <c r="H10510" s="0" t="n">
        <v>82</v>
      </c>
      <c r="I10510" s="0" t="s">
        <v>35076</v>
      </c>
      <c r="J10510" s="0" t="s">
        <v>35077</v>
      </c>
      <c r="K10510" s="0" t="s">
        <v>35078</v>
      </c>
      <c r="L10510" s="0" t="str">
        <f aca="false">HYPERLINK("https://www.ncbi.nlm.nih.gov/nuccore/CP000304.1?report=graph&amp;tracks=[key:gene_model_track,Options:GeneOnly]&amp;mk=2958274:2958293|offset_50|444444,2958242:2958261|offset_82|00cc00,2958216:2958235|offset_108|444444,2958143:2958162|offset_181|444444&amp;v=2958073:2958362&amp;c=444444", "offset 82")</f>
        <v>offset 82</v>
      </c>
    </row>
    <row r="10511" customFormat="false" ht="12.8" hidden="false" customHeight="false" outlineLevel="0" collapsed="false">
      <c r="A10511" s="0" t="s">
        <v>12</v>
      </c>
      <c r="B10511" s="0" t="n">
        <v>2958215</v>
      </c>
      <c r="C10511" s="0" t="n">
        <v>2958235</v>
      </c>
      <c r="D10511" s="0" t="s">
        <v>35072</v>
      </c>
      <c r="E10511" s="0" t="s">
        <v>89</v>
      </c>
      <c r="F10511" s="0" t="s">
        <v>90</v>
      </c>
      <c r="G10511" s="0" t="s">
        <v>36</v>
      </c>
      <c r="H10511" s="0" t="n">
        <v>108</v>
      </c>
      <c r="I10511" s="0" t="s">
        <v>35079</v>
      </c>
      <c r="J10511" s="0" t="s">
        <v>35080</v>
      </c>
      <c r="K10511" s="0" t="s">
        <v>35081</v>
      </c>
      <c r="L10511" s="0" t="str">
        <f aca="false">HYPERLINK("https://www.ncbi.nlm.nih.gov/nuccore/CP000304.1?report=graph&amp;tracks=[key:gene_model_track,Options:GeneOnly]&amp;mk=2958274:2958293|offset_50|444444,2958242:2958261|offset_82|444444,2958216:2958235|offset_108|00cc00,2958143:2958162|offset_181|444444&amp;v=2958073:2958362&amp;c=444444", "offset 108")</f>
        <v>offset 108</v>
      </c>
    </row>
    <row r="10512" customFormat="false" ht="12.8" hidden="false" customHeight="false" outlineLevel="0" collapsed="false">
      <c r="A10512" s="0" t="s">
        <v>12</v>
      </c>
      <c r="B10512" s="0" t="n">
        <v>2958142</v>
      </c>
      <c r="C10512" s="0" t="n">
        <v>2958162</v>
      </c>
      <c r="D10512" s="0" t="s">
        <v>35072</v>
      </c>
      <c r="E10512" s="0" t="s">
        <v>89</v>
      </c>
      <c r="F10512" s="0" t="s">
        <v>90</v>
      </c>
      <c r="G10512" s="0" t="s">
        <v>32</v>
      </c>
      <c r="H10512" s="0" t="n">
        <v>181</v>
      </c>
      <c r="I10512" s="0" t="s">
        <v>35082</v>
      </c>
      <c r="J10512" s="0" t="s">
        <v>35083</v>
      </c>
      <c r="K10512" s="0" t="s">
        <v>35084</v>
      </c>
      <c r="L10512" s="0" t="str">
        <f aca="false">HYPERLINK("https://www.ncbi.nlm.nih.gov/nuccore/CP000304.1?report=graph&amp;tracks=[key:gene_model_track,Options:GeneOnly]&amp;mk=2958274:2958293|offset_50|444444,2958242:2958261|offset_82|444444,2958216:2958235|offset_108|444444,2958143:2958162|offset_181|00cc00&amp;v=2958073:2958362&amp;c=444444", "offset 181")</f>
        <v>offset 181</v>
      </c>
    </row>
    <row r="10513" customFormat="false" ht="12.8" hidden="false" customHeight="false" outlineLevel="0" collapsed="false">
      <c r="A10513" s="0" t="s">
        <v>12</v>
      </c>
      <c r="B10513" s="0" t="n">
        <v>2959157</v>
      </c>
      <c r="C10513" s="0" t="n">
        <v>2959177</v>
      </c>
      <c r="D10513" s="0" t="s">
        <v>35085</v>
      </c>
      <c r="E10513" s="0" t="s">
        <v>89</v>
      </c>
      <c r="F10513" s="0" t="s">
        <v>90</v>
      </c>
      <c r="G10513" s="0" t="s">
        <v>16</v>
      </c>
      <c r="H10513" s="0" t="n">
        <v>58</v>
      </c>
      <c r="I10513" s="0" t="s">
        <v>35086</v>
      </c>
      <c r="J10513" s="0" t="s">
        <v>35087</v>
      </c>
      <c r="K10513" s="0" t="s">
        <v>35088</v>
      </c>
      <c r="L10513" s="0" t="str">
        <f aca="false">HYPERLINK("https://www.ncbi.nlm.nih.gov/nuccore/CP000304.1?report=graph&amp;tracks=[key:gene_model_track,Options:GeneOnly]&amp;mk=2959158:2959177|offset_58|00cc00,2959115:2959134|offset_101|444444,2959062:2959081|offset_154|444444,2958995:2959014|offset_221|444444&amp;v=2958957:2959214&amp;c=444444", "offset 58")</f>
        <v>offset 58</v>
      </c>
    </row>
    <row r="10514" customFormat="false" ht="12.8" hidden="false" customHeight="false" outlineLevel="0" collapsed="false">
      <c r="A10514" s="0" t="s">
        <v>12</v>
      </c>
      <c r="B10514" s="0" t="n">
        <v>2959114</v>
      </c>
      <c r="C10514" s="0" t="n">
        <v>2959134</v>
      </c>
      <c r="D10514" s="0" t="s">
        <v>35085</v>
      </c>
      <c r="E10514" s="0" t="s">
        <v>89</v>
      </c>
      <c r="F10514" s="0" t="s">
        <v>90</v>
      </c>
      <c r="G10514" s="0" t="s">
        <v>16</v>
      </c>
      <c r="H10514" s="0" t="n">
        <v>101</v>
      </c>
      <c r="I10514" s="0" t="s">
        <v>35089</v>
      </c>
      <c r="J10514" s="0" t="s">
        <v>35090</v>
      </c>
      <c r="K10514" s="0" t="s">
        <v>35091</v>
      </c>
      <c r="L10514" s="0" t="str">
        <f aca="false">HYPERLINK("https://www.ncbi.nlm.nih.gov/nuccore/CP000304.1?report=graph&amp;tracks=[key:gene_model_track,Options:GeneOnly]&amp;mk=2959158:2959177|offset_58|444444,2959115:2959134|offset_101|00cc00,2959062:2959081|offset_154|444444,2958995:2959014|offset_221|444444&amp;v=2958957:2959214&amp;c=444444", "offset 101")</f>
        <v>offset 101</v>
      </c>
    </row>
    <row r="10515" customFormat="false" ht="12.8" hidden="false" customHeight="false" outlineLevel="0" collapsed="false">
      <c r="A10515" s="0" t="s">
        <v>12</v>
      </c>
      <c r="B10515" s="0" t="n">
        <v>2959061</v>
      </c>
      <c r="C10515" s="0" t="n">
        <v>2959081</v>
      </c>
      <c r="D10515" s="0" t="s">
        <v>35085</v>
      </c>
      <c r="E10515" s="0" t="s">
        <v>89</v>
      </c>
      <c r="F10515" s="0" t="s">
        <v>90</v>
      </c>
      <c r="G10515" s="0" t="s">
        <v>32</v>
      </c>
      <c r="H10515" s="0" t="n">
        <v>154</v>
      </c>
      <c r="I10515" s="0" t="s">
        <v>35092</v>
      </c>
      <c r="J10515" s="0" t="s">
        <v>35093</v>
      </c>
      <c r="K10515" s="0" t="s">
        <v>35094</v>
      </c>
      <c r="L10515" s="0" t="str">
        <f aca="false">HYPERLINK("https://www.ncbi.nlm.nih.gov/nuccore/CP000304.1?report=graph&amp;tracks=[key:gene_model_track,Options:GeneOnly]&amp;mk=2959158:2959177|offset_58|444444,2959115:2959134|offset_101|444444,2959062:2959081|offset_154|00cc00,2958995:2959014|offset_221|444444&amp;v=2958957:2959214&amp;c=444444", "offset 154")</f>
        <v>offset 154</v>
      </c>
    </row>
    <row r="10516" customFormat="false" ht="12.8" hidden="false" customHeight="false" outlineLevel="0" collapsed="false">
      <c r="A10516" s="0" t="s">
        <v>12</v>
      </c>
      <c r="B10516" s="0" t="n">
        <v>2958994</v>
      </c>
      <c r="C10516" s="0" t="n">
        <v>2959014</v>
      </c>
      <c r="D10516" s="0" t="s">
        <v>35085</v>
      </c>
      <c r="E10516" s="0" t="s">
        <v>89</v>
      </c>
      <c r="F10516" s="0" t="s">
        <v>90</v>
      </c>
      <c r="G10516" s="0" t="s">
        <v>26</v>
      </c>
      <c r="H10516" s="0" t="n">
        <v>221</v>
      </c>
      <c r="I10516" s="0" t="s">
        <v>35095</v>
      </c>
      <c r="J10516" s="0" t="s">
        <v>35096</v>
      </c>
      <c r="K10516" s="0" t="s">
        <v>35097</v>
      </c>
      <c r="L10516" s="0" t="str">
        <f aca="false">HYPERLINK("https://www.ncbi.nlm.nih.gov/nuccore/CP000304.1?report=graph&amp;tracks=[key:gene_model_track,Options:GeneOnly]&amp;mk=2959158:2959177|offset_58|444444,2959115:2959134|offset_101|444444,2959062:2959081|offset_154|444444,2958995:2959014|offset_221|00cc00&amp;v=2958957:2959214&amp;c=444444", "offset 221")</f>
        <v>offset 221</v>
      </c>
    </row>
    <row r="10517" customFormat="false" ht="12.8" hidden="false" customHeight="false" outlineLevel="0" collapsed="false">
      <c r="A10517" s="0" t="s">
        <v>12</v>
      </c>
      <c r="B10517" s="0" t="n">
        <v>2959879</v>
      </c>
      <c r="C10517" s="0" t="n">
        <v>2959899</v>
      </c>
      <c r="D10517" s="0" t="s">
        <v>35098</v>
      </c>
      <c r="E10517" s="0" t="s">
        <v>89</v>
      </c>
      <c r="F10517" s="0" t="s">
        <v>90</v>
      </c>
      <c r="G10517" s="0" t="s">
        <v>26</v>
      </c>
      <c r="H10517" s="0" t="n">
        <v>10</v>
      </c>
      <c r="I10517" s="0" t="s">
        <v>35099</v>
      </c>
      <c r="J10517" s="0" t="s">
        <v>35100</v>
      </c>
      <c r="K10517" s="0" t="s">
        <v>35101</v>
      </c>
      <c r="L10517" s="0" t="str">
        <f aca="false">HYPERLINK("https://www.ncbi.nlm.nih.gov/nuccore/CP000304.1?report=graph&amp;tracks=[key:gene_model_track,Options:GeneOnly]&amp;mk=2959880:2959899|offset_10|00cc00,2959836:2959855|offset_54|444444,2959782:2959801|offset_108|444444,2959754:2959773|offset_136|444444&amp;v=2959679:2959973&amp;c=444444", "offset 10")</f>
        <v>offset 10</v>
      </c>
    </row>
    <row r="10518" customFormat="false" ht="12.8" hidden="false" customHeight="false" outlineLevel="0" collapsed="false">
      <c r="A10518" s="0" t="s">
        <v>12</v>
      </c>
      <c r="B10518" s="0" t="n">
        <v>2959835</v>
      </c>
      <c r="C10518" s="0" t="n">
        <v>2959855</v>
      </c>
      <c r="D10518" s="0" t="s">
        <v>35098</v>
      </c>
      <c r="E10518" s="0" t="s">
        <v>89</v>
      </c>
      <c r="F10518" s="0" t="s">
        <v>90</v>
      </c>
      <c r="G10518" s="0" t="s">
        <v>32</v>
      </c>
      <c r="H10518" s="0" t="n">
        <v>54</v>
      </c>
      <c r="I10518" s="0" t="s">
        <v>35102</v>
      </c>
      <c r="J10518" s="0" t="s">
        <v>35103</v>
      </c>
      <c r="K10518" s="0" t="s">
        <v>35104</v>
      </c>
      <c r="L10518" s="0" t="str">
        <f aca="false">HYPERLINK("https://www.ncbi.nlm.nih.gov/nuccore/CP000304.1?report=graph&amp;tracks=[key:gene_model_track,Options:GeneOnly]&amp;mk=2959880:2959899|offset_10|444444,2959836:2959855|offset_54|00cc00,2959782:2959801|offset_108|444444,2959754:2959773|offset_136|444444&amp;v=2959679:2959973&amp;c=444444", "offset 54")</f>
        <v>offset 54</v>
      </c>
    </row>
    <row r="10519" customFormat="false" ht="12.8" hidden="false" customHeight="false" outlineLevel="0" collapsed="false">
      <c r="A10519" s="0" t="s">
        <v>12</v>
      </c>
      <c r="B10519" s="0" t="n">
        <v>2959781</v>
      </c>
      <c r="C10519" s="0" t="n">
        <v>2959801</v>
      </c>
      <c r="D10519" s="0" t="s">
        <v>35098</v>
      </c>
      <c r="E10519" s="0" t="s">
        <v>89</v>
      </c>
      <c r="F10519" s="0" t="s">
        <v>90</v>
      </c>
      <c r="G10519" s="0" t="s">
        <v>32</v>
      </c>
      <c r="H10519" s="0" t="n">
        <v>108</v>
      </c>
      <c r="I10519" s="0" t="s">
        <v>35105</v>
      </c>
      <c r="J10519" s="0" t="s">
        <v>35106</v>
      </c>
      <c r="K10519" s="0" t="s">
        <v>35107</v>
      </c>
      <c r="L10519" s="0" t="str">
        <f aca="false">HYPERLINK("https://www.ncbi.nlm.nih.gov/nuccore/CP000304.1?report=graph&amp;tracks=[key:gene_model_track,Options:GeneOnly]&amp;mk=2959880:2959899|offset_10|444444,2959836:2959855|offset_54|444444,2959782:2959801|offset_108|00cc00,2959754:2959773|offset_136|444444&amp;v=2959679:2959973&amp;c=444444", "offset 108")</f>
        <v>offset 108</v>
      </c>
    </row>
    <row r="10520" customFormat="false" ht="12.8" hidden="false" customHeight="false" outlineLevel="0" collapsed="false">
      <c r="A10520" s="0" t="s">
        <v>12</v>
      </c>
      <c r="B10520" s="0" t="n">
        <v>2959753</v>
      </c>
      <c r="C10520" s="0" t="n">
        <v>2959773</v>
      </c>
      <c r="D10520" s="0" t="s">
        <v>35098</v>
      </c>
      <c r="E10520" s="0" t="s">
        <v>89</v>
      </c>
      <c r="F10520" s="0" t="s">
        <v>90</v>
      </c>
      <c r="G10520" s="0" t="s">
        <v>32</v>
      </c>
      <c r="H10520" s="0" t="n">
        <v>136</v>
      </c>
      <c r="I10520" s="0" t="s">
        <v>35108</v>
      </c>
      <c r="J10520" s="0" t="s">
        <v>35109</v>
      </c>
      <c r="K10520" s="0" t="s">
        <v>35110</v>
      </c>
      <c r="L10520" s="0" t="str">
        <f aca="false">HYPERLINK("https://www.ncbi.nlm.nih.gov/nuccore/CP000304.1?report=graph&amp;tracks=[key:gene_model_track,Options:GeneOnly]&amp;mk=2959880:2959899|offset_10|444444,2959836:2959855|offset_54|444444,2959782:2959801|offset_108|444444,2959754:2959773|offset_136|00cc00&amp;v=2959679:2959973&amp;c=444444", "offset 136")</f>
        <v>offset 136</v>
      </c>
    </row>
    <row r="10521" customFormat="false" ht="12.8" hidden="false" customHeight="false" outlineLevel="0" collapsed="false">
      <c r="A10521" s="0" t="s">
        <v>12</v>
      </c>
      <c r="B10521" s="0" t="n">
        <v>2959930</v>
      </c>
      <c r="C10521" s="0" t="n">
        <v>2959950</v>
      </c>
      <c r="D10521" s="0" t="s">
        <v>35111</v>
      </c>
      <c r="E10521" s="0" t="s">
        <v>89</v>
      </c>
      <c r="F10521" s="0" t="s">
        <v>15</v>
      </c>
      <c r="G10521" s="0" t="s">
        <v>32</v>
      </c>
      <c r="H10521" s="0" t="n">
        <v>23</v>
      </c>
      <c r="I10521" s="0" t="s">
        <v>35112</v>
      </c>
      <c r="J10521" s="0" t="s">
        <v>35113</v>
      </c>
      <c r="K10521" s="0" t="s">
        <v>35114</v>
      </c>
      <c r="L10521" s="0" t="str">
        <f aca="false">HYPERLINK("https://www.ncbi.nlm.nih.gov/nuccore/CP000304.1?report=graph&amp;tracks=[key:gene_model_track,Options:GeneOnly]&amp;mk=2959931:2959950|offset_23|00cc00,2959984:2960003|offset_76|444444,2960005:2960024|offset_97|444444,2960030:2960049|offset_122|444444&amp;v=2959730:2960249&amp;c=444444", "offset 23")</f>
        <v>offset 23</v>
      </c>
    </row>
    <row r="10522" customFormat="false" ht="12.8" hidden="false" customHeight="false" outlineLevel="0" collapsed="false">
      <c r="A10522" s="0" t="s">
        <v>12</v>
      </c>
      <c r="B10522" s="0" t="n">
        <v>2959983</v>
      </c>
      <c r="C10522" s="0" t="n">
        <v>2960003</v>
      </c>
      <c r="D10522" s="0" t="s">
        <v>35111</v>
      </c>
      <c r="E10522" s="0" t="s">
        <v>89</v>
      </c>
      <c r="F10522" s="0" t="s">
        <v>15</v>
      </c>
      <c r="G10522" s="0" t="s">
        <v>16</v>
      </c>
      <c r="H10522" s="0" t="n">
        <v>76</v>
      </c>
      <c r="I10522" s="0" t="s">
        <v>35115</v>
      </c>
      <c r="J10522" s="0" t="s">
        <v>35116</v>
      </c>
      <c r="K10522" s="0" t="s">
        <v>35117</v>
      </c>
      <c r="L10522" s="0" t="str">
        <f aca="false">HYPERLINK("https://www.ncbi.nlm.nih.gov/nuccore/CP000304.1?report=graph&amp;tracks=[key:gene_model_track,Options:GeneOnly]&amp;mk=2959931:2959950|offset_23|444444,2959984:2960003|offset_76|00cc00,2960005:2960024|offset_97|444444,2960030:2960049|offset_122|444444&amp;v=2959730:2960249&amp;c=444444", "offset 76")</f>
        <v>offset 76</v>
      </c>
    </row>
    <row r="10523" customFormat="false" ht="12.8" hidden="false" customHeight="false" outlineLevel="0" collapsed="false">
      <c r="A10523" s="0" t="s">
        <v>12</v>
      </c>
      <c r="B10523" s="0" t="n">
        <v>2960004</v>
      </c>
      <c r="C10523" s="0" t="n">
        <v>2960024</v>
      </c>
      <c r="D10523" s="0" t="s">
        <v>35111</v>
      </c>
      <c r="E10523" s="0" t="s">
        <v>89</v>
      </c>
      <c r="F10523" s="0" t="s">
        <v>15</v>
      </c>
      <c r="G10523" s="0" t="s">
        <v>16</v>
      </c>
      <c r="H10523" s="0" t="n">
        <v>97</v>
      </c>
      <c r="I10523" s="0" t="s">
        <v>35118</v>
      </c>
      <c r="J10523" s="0" t="s">
        <v>35119</v>
      </c>
      <c r="K10523" s="0" t="s">
        <v>35120</v>
      </c>
      <c r="L10523" s="0" t="str">
        <f aca="false">HYPERLINK("https://www.ncbi.nlm.nih.gov/nuccore/CP000304.1?report=graph&amp;tracks=[key:gene_model_track,Options:GeneOnly]&amp;mk=2959931:2959950|offset_23|444444,2959984:2960003|offset_76|444444,2960005:2960024|offset_97|00cc00,2960030:2960049|offset_122|444444&amp;v=2959730:2960249&amp;c=444444", "offset 97")</f>
        <v>offset 97</v>
      </c>
    </row>
    <row r="10524" customFormat="false" ht="12.8" hidden="false" customHeight="false" outlineLevel="0" collapsed="false">
      <c r="A10524" s="0" t="s">
        <v>12</v>
      </c>
      <c r="B10524" s="0" t="n">
        <v>2960029</v>
      </c>
      <c r="C10524" s="0" t="n">
        <v>2960049</v>
      </c>
      <c r="D10524" s="0" t="s">
        <v>35111</v>
      </c>
      <c r="E10524" s="0" t="s">
        <v>89</v>
      </c>
      <c r="F10524" s="0" t="s">
        <v>15</v>
      </c>
      <c r="G10524" s="0" t="s">
        <v>26</v>
      </c>
      <c r="H10524" s="0" t="n">
        <v>122</v>
      </c>
      <c r="I10524" s="0" t="s">
        <v>35121</v>
      </c>
      <c r="J10524" s="0" t="s">
        <v>35122</v>
      </c>
      <c r="K10524" s="0" t="s">
        <v>35123</v>
      </c>
      <c r="L10524" s="0" t="str">
        <f aca="false">HYPERLINK("https://www.ncbi.nlm.nih.gov/nuccore/CP000304.1?report=graph&amp;tracks=[key:gene_model_track,Options:GeneOnly]&amp;mk=2959931:2959950|offset_23|444444,2959984:2960003|offset_76|444444,2960005:2960024|offset_97|444444,2960030:2960049|offset_122|00cc00&amp;v=2959730:2960249&amp;c=444444", "offset 122")</f>
        <v>offset 122</v>
      </c>
    </row>
    <row r="10525" customFormat="false" ht="12.8" hidden="false" customHeight="false" outlineLevel="0" collapsed="false">
      <c r="A10525" s="0" t="s">
        <v>12</v>
      </c>
      <c r="B10525" s="0" t="n">
        <v>2963533</v>
      </c>
      <c r="C10525" s="0" t="n">
        <v>2963553</v>
      </c>
      <c r="D10525" s="0" t="s">
        <v>35124</v>
      </c>
      <c r="E10525" s="0" t="s">
        <v>89</v>
      </c>
      <c r="F10525" s="0" t="s">
        <v>90</v>
      </c>
      <c r="G10525" s="0" t="s">
        <v>16</v>
      </c>
      <c r="H10525" s="0" t="n">
        <v>19</v>
      </c>
      <c r="I10525" s="0" t="s">
        <v>35125</v>
      </c>
      <c r="J10525" s="0" t="s">
        <v>35126</v>
      </c>
      <c r="K10525" s="0" t="s">
        <v>35127</v>
      </c>
      <c r="L10525" s="0" t="str">
        <f aca="false">HYPERLINK("https://www.ncbi.nlm.nih.gov/nuccore/CP000304.1?report=graph&amp;tracks=[key:gene_model_track,Options:GeneOnly]&amp;mk=2963534:2963553|offset_19|00cc00,2963480:2963499|offset_73|444444,2963434:2963453|offset_119|444444,2963414:2963433|offset_139|444444&amp;v=2963333:2963633&amp;c=444444", "offset 19")</f>
        <v>offset 19</v>
      </c>
    </row>
    <row r="10526" customFormat="false" ht="12.8" hidden="false" customHeight="false" outlineLevel="0" collapsed="false">
      <c r="A10526" s="0" t="s">
        <v>12</v>
      </c>
      <c r="B10526" s="0" t="n">
        <v>2963479</v>
      </c>
      <c r="C10526" s="0" t="n">
        <v>2963499</v>
      </c>
      <c r="D10526" s="0" t="s">
        <v>35124</v>
      </c>
      <c r="E10526" s="0" t="s">
        <v>89</v>
      </c>
      <c r="F10526" s="0" t="s">
        <v>90</v>
      </c>
      <c r="G10526" s="0" t="s">
        <v>36</v>
      </c>
      <c r="H10526" s="0" t="n">
        <v>73</v>
      </c>
      <c r="I10526" s="0" t="s">
        <v>35128</v>
      </c>
      <c r="J10526" s="0" t="s">
        <v>35129</v>
      </c>
      <c r="K10526" s="0" t="s">
        <v>35130</v>
      </c>
      <c r="L10526" s="0" t="str">
        <f aca="false">HYPERLINK("https://www.ncbi.nlm.nih.gov/nuccore/CP000304.1?report=graph&amp;tracks=[key:gene_model_track,Options:GeneOnly]&amp;mk=2963534:2963553|offset_19|444444,2963480:2963499|offset_73|00cc00,2963434:2963453|offset_119|444444,2963414:2963433|offset_139|444444&amp;v=2963333:2963633&amp;c=444444", "offset 73")</f>
        <v>offset 73</v>
      </c>
    </row>
    <row r="10527" customFormat="false" ht="12.8" hidden="false" customHeight="false" outlineLevel="0" collapsed="false">
      <c r="A10527" s="0" t="s">
        <v>12</v>
      </c>
      <c r="B10527" s="0" t="n">
        <v>2963433</v>
      </c>
      <c r="C10527" s="0" t="n">
        <v>2963453</v>
      </c>
      <c r="D10527" s="0" t="s">
        <v>35124</v>
      </c>
      <c r="E10527" s="0" t="s">
        <v>89</v>
      </c>
      <c r="F10527" s="0" t="s">
        <v>90</v>
      </c>
      <c r="G10527" s="0" t="s">
        <v>36</v>
      </c>
      <c r="H10527" s="0" t="n">
        <v>119</v>
      </c>
      <c r="I10527" s="0" t="s">
        <v>35131</v>
      </c>
      <c r="J10527" s="0" t="s">
        <v>35132</v>
      </c>
      <c r="K10527" s="0" t="s">
        <v>35133</v>
      </c>
      <c r="L10527" s="0" t="str">
        <f aca="false">HYPERLINK("https://www.ncbi.nlm.nih.gov/nuccore/CP000304.1?report=graph&amp;tracks=[key:gene_model_track,Options:GeneOnly]&amp;mk=2963534:2963553|offset_19|444444,2963480:2963499|offset_73|444444,2963434:2963453|offset_119|00cc00,2963414:2963433|offset_139|444444&amp;v=2963333:2963633&amp;c=444444", "offset 119")</f>
        <v>offset 119</v>
      </c>
    </row>
    <row r="10528" customFormat="false" ht="12.8" hidden="false" customHeight="false" outlineLevel="0" collapsed="false">
      <c r="A10528" s="0" t="s">
        <v>12</v>
      </c>
      <c r="B10528" s="0" t="n">
        <v>2963413</v>
      </c>
      <c r="C10528" s="0" t="n">
        <v>2963433</v>
      </c>
      <c r="D10528" s="0" t="s">
        <v>35124</v>
      </c>
      <c r="E10528" s="0" t="s">
        <v>89</v>
      </c>
      <c r="F10528" s="0" t="s">
        <v>90</v>
      </c>
      <c r="G10528" s="0" t="s">
        <v>32</v>
      </c>
      <c r="H10528" s="0" t="n">
        <v>139</v>
      </c>
      <c r="I10528" s="0" t="s">
        <v>35134</v>
      </c>
      <c r="J10528" s="0" t="s">
        <v>35135</v>
      </c>
      <c r="K10528" s="0" t="s">
        <v>35136</v>
      </c>
      <c r="L10528" s="0" t="str">
        <f aca="false">HYPERLINK("https://www.ncbi.nlm.nih.gov/nuccore/CP000304.1?report=graph&amp;tracks=[key:gene_model_track,Options:GeneOnly]&amp;mk=2963534:2963553|offset_19|444444,2963480:2963499|offset_73|444444,2963434:2963453|offset_119|444444,2963414:2963433|offset_139|00cc00&amp;v=2963333:2963633&amp;c=444444", "offset 139")</f>
        <v>offset 139</v>
      </c>
    </row>
    <row r="10529" customFormat="false" ht="12.8" hidden="false" customHeight="false" outlineLevel="0" collapsed="false">
      <c r="A10529" s="0" t="s">
        <v>12</v>
      </c>
      <c r="B10529" s="0" t="n">
        <v>2964704</v>
      </c>
      <c r="C10529" s="0" t="n">
        <v>2964724</v>
      </c>
      <c r="D10529" s="0" t="s">
        <v>35137</v>
      </c>
      <c r="E10529" s="0" t="s">
        <v>89</v>
      </c>
      <c r="F10529" s="0" t="s">
        <v>90</v>
      </c>
      <c r="G10529" s="0" t="s">
        <v>16</v>
      </c>
      <c r="H10529" s="0" t="n">
        <v>49</v>
      </c>
      <c r="I10529" s="0" t="s">
        <v>35138</v>
      </c>
      <c r="J10529" s="0" t="s">
        <v>35139</v>
      </c>
      <c r="K10529" s="0" t="s">
        <v>35140</v>
      </c>
      <c r="L10529" s="0" t="str">
        <f aca="false">HYPERLINK("https://www.ncbi.nlm.nih.gov/nuccore/CP000304.1?report=graph&amp;tracks=[key:gene_model_track,Options:GeneOnly]&amp;mk=2964705:2964724|offset_49|00cc00,2964682:2964701|offset_72|444444,2964650:2964669|offset_104|444444,2964630:2964649|offset_124|444444&amp;v=2964504:2964849&amp;c=444444", "offset 49")</f>
        <v>offset 49</v>
      </c>
    </row>
    <row r="10530" customFormat="false" ht="12.8" hidden="false" customHeight="false" outlineLevel="0" collapsed="false">
      <c r="A10530" s="0" t="s">
        <v>12</v>
      </c>
      <c r="B10530" s="0" t="n">
        <v>2964681</v>
      </c>
      <c r="C10530" s="0" t="n">
        <v>2964701</v>
      </c>
      <c r="D10530" s="0" t="s">
        <v>35137</v>
      </c>
      <c r="E10530" s="0" t="s">
        <v>89</v>
      </c>
      <c r="F10530" s="0" t="s">
        <v>90</v>
      </c>
      <c r="G10530" s="0" t="s">
        <v>16</v>
      </c>
      <c r="H10530" s="0" t="n">
        <v>72</v>
      </c>
      <c r="I10530" s="0" t="s">
        <v>35141</v>
      </c>
      <c r="J10530" s="0" t="s">
        <v>35142</v>
      </c>
      <c r="K10530" s="0" t="s">
        <v>35143</v>
      </c>
      <c r="L10530" s="0" t="str">
        <f aca="false">HYPERLINK("https://www.ncbi.nlm.nih.gov/nuccore/CP000304.1?report=graph&amp;tracks=[key:gene_model_track,Options:GeneOnly]&amp;mk=2964705:2964724|offset_49|444444,2964682:2964701|offset_72|00cc00,2964650:2964669|offset_104|444444,2964630:2964649|offset_124|444444&amp;v=2964504:2964849&amp;c=444444", "offset 72")</f>
        <v>offset 72</v>
      </c>
    </row>
    <row r="10531" customFormat="false" ht="12.8" hidden="false" customHeight="false" outlineLevel="0" collapsed="false">
      <c r="A10531" s="0" t="s">
        <v>12</v>
      </c>
      <c r="B10531" s="0" t="n">
        <v>2964649</v>
      </c>
      <c r="C10531" s="0" t="n">
        <v>2964669</v>
      </c>
      <c r="D10531" s="0" t="s">
        <v>35137</v>
      </c>
      <c r="E10531" s="0" t="s">
        <v>89</v>
      </c>
      <c r="F10531" s="0" t="s">
        <v>90</v>
      </c>
      <c r="G10531" s="0" t="s">
        <v>16</v>
      </c>
      <c r="H10531" s="0" t="n">
        <v>104</v>
      </c>
      <c r="I10531" s="0" t="s">
        <v>35144</v>
      </c>
      <c r="J10531" s="0" t="s">
        <v>35145</v>
      </c>
      <c r="K10531" s="0" t="s">
        <v>35146</v>
      </c>
      <c r="L10531" s="0" t="str">
        <f aca="false">HYPERLINK("https://www.ncbi.nlm.nih.gov/nuccore/CP000304.1?report=graph&amp;tracks=[key:gene_model_track,Options:GeneOnly]&amp;mk=2964705:2964724|offset_49|444444,2964682:2964701|offset_72|444444,2964650:2964669|offset_104|00cc00,2964630:2964649|offset_124|444444&amp;v=2964504:2964849&amp;c=444444", "offset 104")</f>
        <v>offset 104</v>
      </c>
    </row>
    <row r="10532" customFormat="false" ht="12.8" hidden="false" customHeight="false" outlineLevel="0" collapsed="false">
      <c r="A10532" s="0" t="s">
        <v>12</v>
      </c>
      <c r="B10532" s="0" t="n">
        <v>2964629</v>
      </c>
      <c r="C10532" s="0" t="n">
        <v>2964649</v>
      </c>
      <c r="D10532" s="0" t="s">
        <v>35137</v>
      </c>
      <c r="E10532" s="0" t="s">
        <v>89</v>
      </c>
      <c r="F10532" s="0" t="s">
        <v>90</v>
      </c>
      <c r="G10532" s="0" t="s">
        <v>26</v>
      </c>
      <c r="H10532" s="0" t="n">
        <v>124</v>
      </c>
      <c r="I10532" s="0" t="s">
        <v>35147</v>
      </c>
      <c r="J10532" s="0" t="s">
        <v>35148</v>
      </c>
      <c r="K10532" s="0" t="s">
        <v>35149</v>
      </c>
      <c r="L10532" s="0" t="str">
        <f aca="false">HYPERLINK("https://www.ncbi.nlm.nih.gov/nuccore/CP000304.1?report=graph&amp;tracks=[key:gene_model_track,Options:GeneOnly]&amp;mk=2964705:2964724|offset_49|444444,2964682:2964701|offset_72|444444,2964650:2964669|offset_104|444444,2964630:2964649|offset_124|00cc00&amp;v=2964504:2964849&amp;c=444444", "offset 124")</f>
        <v>offset 124</v>
      </c>
    </row>
    <row r="10533" customFormat="false" ht="12.8" hidden="false" customHeight="false" outlineLevel="0" collapsed="false">
      <c r="A10533" s="0" t="s">
        <v>12</v>
      </c>
      <c r="B10533" s="0" t="n">
        <v>2964792</v>
      </c>
      <c r="C10533" s="0" t="n">
        <v>2964812</v>
      </c>
      <c r="D10533" s="0" t="s">
        <v>35150</v>
      </c>
      <c r="E10533" s="0" t="s">
        <v>89</v>
      </c>
      <c r="F10533" s="0" t="s">
        <v>15</v>
      </c>
      <c r="G10533" s="0" t="s">
        <v>36</v>
      </c>
      <c r="H10533" s="0" t="n">
        <v>21</v>
      </c>
      <c r="I10533" s="0" t="s">
        <v>35151</v>
      </c>
      <c r="J10533" s="0" t="s">
        <v>35152</v>
      </c>
      <c r="K10533" s="0" t="s">
        <v>35153</v>
      </c>
      <c r="L10533" s="0" t="str">
        <f aca="false">HYPERLINK("https://www.ncbi.nlm.nih.gov/nuccore/CP000304.1?report=graph&amp;tracks=[key:gene_model_track,Options:GeneOnly]&amp;mk=2964793:2964812|offset_21|00cc00,2964813:2964832|offset_41|444444,2964843:2964862|offset_71|444444,2964867:2964886|offset_95|444444&amp;v=2964592:2965086&amp;c=444444", "offset 21")</f>
        <v>offset 21</v>
      </c>
    </row>
    <row r="10534" customFormat="false" ht="12.8" hidden="false" customHeight="false" outlineLevel="0" collapsed="false">
      <c r="A10534" s="0" t="s">
        <v>12</v>
      </c>
      <c r="B10534" s="0" t="n">
        <v>2964812</v>
      </c>
      <c r="C10534" s="0" t="n">
        <v>2964832</v>
      </c>
      <c r="D10534" s="0" t="s">
        <v>35150</v>
      </c>
      <c r="E10534" s="0" t="s">
        <v>89</v>
      </c>
      <c r="F10534" s="0" t="s">
        <v>15</v>
      </c>
      <c r="G10534" s="0" t="s">
        <v>36</v>
      </c>
      <c r="H10534" s="0" t="n">
        <v>41</v>
      </c>
      <c r="I10534" s="0" t="s">
        <v>35154</v>
      </c>
      <c r="J10534" s="0" t="s">
        <v>35155</v>
      </c>
      <c r="K10534" s="0" t="s">
        <v>35156</v>
      </c>
      <c r="L10534" s="0" t="str">
        <f aca="false">HYPERLINK("https://www.ncbi.nlm.nih.gov/nuccore/CP000304.1?report=graph&amp;tracks=[key:gene_model_track,Options:GeneOnly]&amp;mk=2964793:2964812|offset_21|444444,2964813:2964832|offset_41|00cc00,2964843:2964862|offset_71|444444,2964867:2964886|offset_95|444444&amp;v=2964592:2965086&amp;c=444444", "offset 41")</f>
        <v>offset 41</v>
      </c>
    </row>
    <row r="10535" customFormat="false" ht="12.8" hidden="false" customHeight="false" outlineLevel="0" collapsed="false">
      <c r="A10535" s="0" t="s">
        <v>12</v>
      </c>
      <c r="B10535" s="0" t="n">
        <v>2964842</v>
      </c>
      <c r="C10535" s="0" t="n">
        <v>2964862</v>
      </c>
      <c r="D10535" s="0" t="s">
        <v>35150</v>
      </c>
      <c r="E10535" s="0" t="s">
        <v>89</v>
      </c>
      <c r="F10535" s="0" t="s">
        <v>15</v>
      </c>
      <c r="G10535" s="0" t="s">
        <v>26</v>
      </c>
      <c r="H10535" s="0" t="n">
        <v>71</v>
      </c>
      <c r="I10535" s="0" t="s">
        <v>35157</v>
      </c>
      <c r="J10535" s="0" t="s">
        <v>35158</v>
      </c>
      <c r="K10535" s="0" t="s">
        <v>35159</v>
      </c>
      <c r="L10535" s="0" t="str">
        <f aca="false">HYPERLINK("https://www.ncbi.nlm.nih.gov/nuccore/CP000304.1?report=graph&amp;tracks=[key:gene_model_track,Options:GeneOnly]&amp;mk=2964793:2964812|offset_21|444444,2964813:2964832|offset_41|444444,2964843:2964862|offset_71|00cc00,2964867:2964886|offset_95|444444&amp;v=2964592:2965086&amp;c=444444", "offset 71")</f>
        <v>offset 71</v>
      </c>
    </row>
    <row r="10536" customFormat="false" ht="12.8" hidden="false" customHeight="false" outlineLevel="0" collapsed="false">
      <c r="A10536" s="0" t="s">
        <v>12</v>
      </c>
      <c r="B10536" s="0" t="n">
        <v>2964866</v>
      </c>
      <c r="C10536" s="0" t="n">
        <v>2964886</v>
      </c>
      <c r="D10536" s="0" t="s">
        <v>35150</v>
      </c>
      <c r="E10536" s="0" t="s">
        <v>89</v>
      </c>
      <c r="F10536" s="0" t="s">
        <v>15</v>
      </c>
      <c r="G10536" s="0" t="s">
        <v>26</v>
      </c>
      <c r="H10536" s="0" t="n">
        <v>95</v>
      </c>
      <c r="I10536" s="0" t="s">
        <v>35160</v>
      </c>
      <c r="J10536" s="0" t="s">
        <v>35161</v>
      </c>
      <c r="K10536" s="0" t="s">
        <v>35162</v>
      </c>
      <c r="L10536" s="0" t="str">
        <f aca="false">HYPERLINK("https://www.ncbi.nlm.nih.gov/nuccore/CP000304.1?report=graph&amp;tracks=[key:gene_model_track,Options:GeneOnly]&amp;mk=2964793:2964812|offset_21|444444,2964813:2964832|offset_41|444444,2964843:2964862|offset_71|444444,2964867:2964886|offset_95|00cc00&amp;v=2964592:2965086&amp;c=444444", "offset 95")</f>
        <v>offset 95</v>
      </c>
    </row>
    <row r="10537" customFormat="false" ht="12.8" hidden="false" customHeight="false" outlineLevel="0" collapsed="false">
      <c r="A10537" s="0" t="s">
        <v>12</v>
      </c>
      <c r="B10537" s="0" t="n">
        <v>2966194</v>
      </c>
      <c r="C10537" s="0" t="n">
        <v>2966214</v>
      </c>
      <c r="D10537" s="0" t="s">
        <v>35163</v>
      </c>
      <c r="E10537" s="0" t="s">
        <v>89</v>
      </c>
      <c r="F10537" s="0" t="s">
        <v>90</v>
      </c>
      <c r="G10537" s="0" t="s">
        <v>36</v>
      </c>
      <c r="H10537" s="0" t="n">
        <v>0</v>
      </c>
      <c r="I10537" s="0" t="s">
        <v>35164</v>
      </c>
      <c r="J10537" s="0" t="s">
        <v>35165</v>
      </c>
      <c r="K10537" s="0" t="s">
        <v>35166</v>
      </c>
      <c r="L10537" s="0" t="str">
        <f aca="false">HYPERLINK("https://www.ncbi.nlm.nih.gov/nuccore/CP000304.1?report=graph&amp;tracks=[key:gene_model_track,Options:GeneOnly]&amp;mk=2966195:2966214|offset_0|00cc00,2966159:2966178|offset_36|444444,2966127:2966146|offset_68|444444,2966102:2966121|offset_93|444444&amp;v=2965994:2966321&amp;c=444444", "offset 0")</f>
        <v>offset 0</v>
      </c>
    </row>
    <row r="10538" customFormat="false" ht="12.8" hidden="false" customHeight="false" outlineLevel="0" collapsed="false">
      <c r="A10538" s="0" t="s">
        <v>12</v>
      </c>
      <c r="B10538" s="0" t="n">
        <v>2966158</v>
      </c>
      <c r="C10538" s="0" t="n">
        <v>2966178</v>
      </c>
      <c r="D10538" s="0" t="s">
        <v>35163</v>
      </c>
      <c r="E10538" s="0" t="s">
        <v>89</v>
      </c>
      <c r="F10538" s="0" t="s">
        <v>90</v>
      </c>
      <c r="G10538" s="0" t="s">
        <v>16</v>
      </c>
      <c r="H10538" s="0" t="n">
        <v>36</v>
      </c>
      <c r="I10538" s="0" t="s">
        <v>35167</v>
      </c>
      <c r="J10538" s="0" t="s">
        <v>35168</v>
      </c>
      <c r="K10538" s="0" t="s">
        <v>35169</v>
      </c>
      <c r="L10538" s="0" t="str">
        <f aca="false">HYPERLINK("https://www.ncbi.nlm.nih.gov/nuccore/CP000304.1?report=graph&amp;tracks=[key:gene_model_track,Options:GeneOnly]&amp;mk=2966195:2966214|offset_0|444444,2966159:2966178|offset_36|00cc00,2966127:2966146|offset_68|444444,2966102:2966121|offset_93|444444&amp;v=2965994:2966321&amp;c=444444", "offset 36")</f>
        <v>offset 36</v>
      </c>
    </row>
    <row r="10539" customFormat="false" ht="12.8" hidden="false" customHeight="false" outlineLevel="0" collapsed="false">
      <c r="A10539" s="0" t="s">
        <v>12</v>
      </c>
      <c r="B10539" s="0" t="n">
        <v>2966126</v>
      </c>
      <c r="C10539" s="0" t="n">
        <v>2966146</v>
      </c>
      <c r="D10539" s="0" t="s">
        <v>35163</v>
      </c>
      <c r="E10539" s="0" t="s">
        <v>89</v>
      </c>
      <c r="F10539" s="0" t="s">
        <v>90</v>
      </c>
      <c r="G10539" s="0" t="s">
        <v>32</v>
      </c>
      <c r="H10539" s="0" t="n">
        <v>68</v>
      </c>
      <c r="I10539" s="0" t="s">
        <v>35170</v>
      </c>
      <c r="J10539" s="0" t="s">
        <v>35171</v>
      </c>
      <c r="K10539" s="0" t="s">
        <v>35172</v>
      </c>
      <c r="L10539" s="0" t="str">
        <f aca="false">HYPERLINK("https://www.ncbi.nlm.nih.gov/nuccore/CP000304.1?report=graph&amp;tracks=[key:gene_model_track,Options:GeneOnly]&amp;mk=2966195:2966214|offset_0|444444,2966159:2966178|offset_36|444444,2966127:2966146|offset_68|00cc00,2966102:2966121|offset_93|444444&amp;v=2965994:2966321&amp;c=444444", "offset 68")</f>
        <v>offset 68</v>
      </c>
    </row>
    <row r="10540" customFormat="false" ht="12.8" hidden="false" customHeight="false" outlineLevel="0" collapsed="false">
      <c r="A10540" s="0" t="s">
        <v>12</v>
      </c>
      <c r="B10540" s="0" t="n">
        <v>2966101</v>
      </c>
      <c r="C10540" s="0" t="n">
        <v>2966121</v>
      </c>
      <c r="D10540" s="0" t="s">
        <v>35163</v>
      </c>
      <c r="E10540" s="0" t="s">
        <v>89</v>
      </c>
      <c r="F10540" s="0" t="s">
        <v>90</v>
      </c>
      <c r="G10540" s="0" t="s">
        <v>32</v>
      </c>
      <c r="H10540" s="0" t="n">
        <v>93</v>
      </c>
      <c r="I10540" s="0" t="s">
        <v>35173</v>
      </c>
      <c r="J10540" s="0" t="s">
        <v>35174</v>
      </c>
      <c r="K10540" s="0" t="s">
        <v>35175</v>
      </c>
      <c r="L10540" s="0" t="str">
        <f aca="false">HYPERLINK("https://www.ncbi.nlm.nih.gov/nuccore/CP000304.1?report=graph&amp;tracks=[key:gene_model_track,Options:GeneOnly]&amp;mk=2966195:2966214|offset_0|444444,2966159:2966178|offset_36|444444,2966127:2966146|offset_68|444444,2966102:2966121|offset_93|00cc00&amp;v=2965994:2966321&amp;c=444444", "offset 93")</f>
        <v>offset 93</v>
      </c>
    </row>
    <row r="10541" customFormat="false" ht="12.8" hidden="false" customHeight="false" outlineLevel="0" collapsed="false">
      <c r="A10541" s="0" t="s">
        <v>12</v>
      </c>
      <c r="B10541" s="0" t="n">
        <v>2966951</v>
      </c>
      <c r="C10541" s="0" t="n">
        <v>2966971</v>
      </c>
      <c r="D10541" s="0" t="s">
        <v>35176</v>
      </c>
      <c r="E10541" s="0" t="s">
        <v>89</v>
      </c>
      <c r="F10541" s="0" t="s">
        <v>90</v>
      </c>
      <c r="G10541" s="0" t="s">
        <v>26</v>
      </c>
      <c r="H10541" s="0" t="n">
        <v>7</v>
      </c>
      <c r="I10541" s="0" t="s">
        <v>35177</v>
      </c>
      <c r="J10541" s="0" t="s">
        <v>35178</v>
      </c>
      <c r="K10541" s="0" t="s">
        <v>35179</v>
      </c>
      <c r="L10541" s="0" t="str">
        <f aca="false">HYPERLINK("https://www.ncbi.nlm.nih.gov/nuccore/CP000304.1?report=graph&amp;tracks=[key:gene_model_track,Options:GeneOnly]&amp;mk=2966952:2966971|offset_7|00cc00,2966913:2966932|offset_46|444444,2966873:2966892|offset_86|444444,2966848:2966867|offset_111|444444&amp;v=2966751:2967067&amp;c=444444", "offset 7")</f>
        <v>offset 7</v>
      </c>
    </row>
    <row r="10542" customFormat="false" ht="12.8" hidden="false" customHeight="false" outlineLevel="0" collapsed="false">
      <c r="A10542" s="0" t="s">
        <v>12</v>
      </c>
      <c r="B10542" s="0" t="n">
        <v>2966912</v>
      </c>
      <c r="C10542" s="0" t="n">
        <v>2966932</v>
      </c>
      <c r="D10542" s="0" t="s">
        <v>35176</v>
      </c>
      <c r="E10542" s="0" t="s">
        <v>89</v>
      </c>
      <c r="F10542" s="0" t="s">
        <v>90</v>
      </c>
      <c r="G10542" s="0" t="s">
        <v>16</v>
      </c>
      <c r="H10542" s="0" t="n">
        <v>46</v>
      </c>
      <c r="I10542" s="0" t="s">
        <v>35180</v>
      </c>
      <c r="J10542" s="0" t="s">
        <v>35181</v>
      </c>
      <c r="K10542" s="0" t="s">
        <v>35182</v>
      </c>
      <c r="L10542" s="0" t="str">
        <f aca="false">HYPERLINK("https://www.ncbi.nlm.nih.gov/nuccore/CP000304.1?report=graph&amp;tracks=[key:gene_model_track,Options:GeneOnly]&amp;mk=2966952:2966971|offset_7|444444,2966913:2966932|offset_46|00cc00,2966873:2966892|offset_86|444444,2966848:2966867|offset_111|444444&amp;v=2966751:2967067&amp;c=444444", "offset 46")</f>
        <v>offset 46</v>
      </c>
    </row>
    <row r="10543" customFormat="false" ht="12.8" hidden="false" customHeight="false" outlineLevel="0" collapsed="false">
      <c r="A10543" s="0" t="s">
        <v>12</v>
      </c>
      <c r="B10543" s="0" t="n">
        <v>2966872</v>
      </c>
      <c r="C10543" s="0" t="n">
        <v>2966892</v>
      </c>
      <c r="D10543" s="0" t="s">
        <v>35176</v>
      </c>
      <c r="E10543" s="0" t="s">
        <v>89</v>
      </c>
      <c r="F10543" s="0" t="s">
        <v>90</v>
      </c>
      <c r="G10543" s="0" t="s">
        <v>36</v>
      </c>
      <c r="H10543" s="0" t="n">
        <v>86</v>
      </c>
      <c r="I10543" s="0" t="s">
        <v>35183</v>
      </c>
      <c r="J10543" s="0" t="s">
        <v>35184</v>
      </c>
      <c r="K10543" s="0" t="s">
        <v>35185</v>
      </c>
      <c r="L10543" s="0" t="str">
        <f aca="false">HYPERLINK("https://www.ncbi.nlm.nih.gov/nuccore/CP000304.1?report=graph&amp;tracks=[key:gene_model_track,Options:GeneOnly]&amp;mk=2966952:2966971|offset_7|444444,2966913:2966932|offset_46|444444,2966873:2966892|offset_86|00cc00,2966848:2966867|offset_111|444444&amp;v=2966751:2967067&amp;c=444444", "offset 86")</f>
        <v>offset 86</v>
      </c>
    </row>
    <row r="10544" customFormat="false" ht="12.8" hidden="false" customHeight="false" outlineLevel="0" collapsed="false">
      <c r="A10544" s="0" t="s">
        <v>12</v>
      </c>
      <c r="B10544" s="0" t="n">
        <v>2966847</v>
      </c>
      <c r="C10544" s="0" t="n">
        <v>2966867</v>
      </c>
      <c r="D10544" s="0" t="s">
        <v>35176</v>
      </c>
      <c r="E10544" s="0" t="s">
        <v>89</v>
      </c>
      <c r="F10544" s="0" t="s">
        <v>90</v>
      </c>
      <c r="G10544" s="0" t="s">
        <v>16</v>
      </c>
      <c r="H10544" s="0" t="n">
        <v>111</v>
      </c>
      <c r="I10544" s="0" t="s">
        <v>35186</v>
      </c>
      <c r="J10544" s="0" t="s">
        <v>35187</v>
      </c>
      <c r="K10544" s="0" t="s">
        <v>35188</v>
      </c>
      <c r="L10544" s="0" t="str">
        <f aca="false">HYPERLINK("https://www.ncbi.nlm.nih.gov/nuccore/CP000304.1?report=graph&amp;tracks=[key:gene_model_track,Options:GeneOnly]&amp;mk=2966952:2966971|offset_7|444444,2966913:2966932|offset_46|444444,2966873:2966892|offset_86|444444,2966848:2966867|offset_111|00cc00&amp;v=2966751:2967067&amp;c=444444", "offset 111")</f>
        <v>offset 111</v>
      </c>
    </row>
    <row r="10545" customFormat="false" ht="12.8" hidden="false" customHeight="false" outlineLevel="0" collapsed="false">
      <c r="A10545" s="0" t="s">
        <v>12</v>
      </c>
      <c r="B10545" s="0" t="n">
        <v>2967742</v>
      </c>
      <c r="C10545" s="0" t="n">
        <v>2967762</v>
      </c>
      <c r="D10545" s="0" t="s">
        <v>35189</v>
      </c>
      <c r="E10545" s="0" t="s">
        <v>89</v>
      </c>
      <c r="F10545" s="0" t="s">
        <v>90</v>
      </c>
      <c r="G10545" s="0" t="s">
        <v>32</v>
      </c>
      <c r="H10545" s="0" t="n">
        <v>28</v>
      </c>
      <c r="I10545" s="0" t="s">
        <v>35190</v>
      </c>
      <c r="J10545" s="0" t="s">
        <v>35191</v>
      </c>
      <c r="K10545" s="0" t="s">
        <v>35192</v>
      </c>
      <c r="L10545" s="0" t="str">
        <f aca="false">HYPERLINK("https://www.ncbi.nlm.nih.gov/nuccore/CP000304.1?report=graph&amp;tracks=[key:gene_model_track,Options:GeneOnly]&amp;mk=2967743:2967762|offset_28|00cc00,2967709:2967728|offset_62|444444,2967687:2967706|offset_84|444444,2967665:2967684|offset_106|444444&amp;v=2967542:2967884&amp;c=444444", "offset 28")</f>
        <v>offset 28</v>
      </c>
    </row>
    <row r="10546" customFormat="false" ht="12.8" hidden="false" customHeight="false" outlineLevel="0" collapsed="false">
      <c r="A10546" s="0" t="s">
        <v>12</v>
      </c>
      <c r="B10546" s="0" t="n">
        <v>2967708</v>
      </c>
      <c r="C10546" s="0" t="n">
        <v>2967728</v>
      </c>
      <c r="D10546" s="0" t="s">
        <v>35189</v>
      </c>
      <c r="E10546" s="0" t="s">
        <v>89</v>
      </c>
      <c r="F10546" s="0" t="s">
        <v>90</v>
      </c>
      <c r="G10546" s="0" t="s">
        <v>32</v>
      </c>
      <c r="H10546" s="0" t="n">
        <v>62</v>
      </c>
      <c r="I10546" s="0" t="s">
        <v>35193</v>
      </c>
      <c r="J10546" s="0" t="s">
        <v>35194</v>
      </c>
      <c r="K10546" s="0" t="s">
        <v>35195</v>
      </c>
      <c r="L10546" s="0" t="str">
        <f aca="false">HYPERLINK("https://www.ncbi.nlm.nih.gov/nuccore/CP000304.1?report=graph&amp;tracks=[key:gene_model_track,Options:GeneOnly]&amp;mk=2967743:2967762|offset_28|444444,2967709:2967728|offset_62|00cc00,2967687:2967706|offset_84|444444,2967665:2967684|offset_106|444444&amp;v=2967542:2967884&amp;c=444444", "offset 62")</f>
        <v>offset 62</v>
      </c>
    </row>
    <row r="10547" customFormat="false" ht="12.8" hidden="false" customHeight="false" outlineLevel="0" collapsed="false">
      <c r="A10547" s="0" t="s">
        <v>12</v>
      </c>
      <c r="B10547" s="0" t="n">
        <v>2967686</v>
      </c>
      <c r="C10547" s="0" t="n">
        <v>2967706</v>
      </c>
      <c r="D10547" s="0" t="s">
        <v>35189</v>
      </c>
      <c r="E10547" s="0" t="s">
        <v>89</v>
      </c>
      <c r="F10547" s="0" t="s">
        <v>90</v>
      </c>
      <c r="G10547" s="0" t="s">
        <v>16</v>
      </c>
      <c r="H10547" s="0" t="n">
        <v>84</v>
      </c>
      <c r="I10547" s="0" t="s">
        <v>35196</v>
      </c>
      <c r="J10547" s="0" t="s">
        <v>35197</v>
      </c>
      <c r="K10547" s="0" t="s">
        <v>35198</v>
      </c>
      <c r="L10547" s="0" t="str">
        <f aca="false">HYPERLINK("https://www.ncbi.nlm.nih.gov/nuccore/CP000304.1?report=graph&amp;tracks=[key:gene_model_track,Options:GeneOnly]&amp;mk=2967743:2967762|offset_28|444444,2967709:2967728|offset_62|444444,2967687:2967706|offset_84|00cc00,2967665:2967684|offset_106|444444&amp;v=2967542:2967884&amp;c=444444", "offset 84")</f>
        <v>offset 84</v>
      </c>
    </row>
    <row r="10548" customFormat="false" ht="12.8" hidden="false" customHeight="false" outlineLevel="0" collapsed="false">
      <c r="A10548" s="0" t="s">
        <v>12</v>
      </c>
      <c r="B10548" s="0" t="n">
        <v>2967664</v>
      </c>
      <c r="C10548" s="0" t="n">
        <v>2967684</v>
      </c>
      <c r="D10548" s="0" t="s">
        <v>35189</v>
      </c>
      <c r="E10548" s="0" t="s">
        <v>89</v>
      </c>
      <c r="F10548" s="0" t="s">
        <v>90</v>
      </c>
      <c r="G10548" s="0" t="s">
        <v>32</v>
      </c>
      <c r="H10548" s="0" t="n">
        <v>106</v>
      </c>
      <c r="I10548" s="0" t="s">
        <v>35199</v>
      </c>
      <c r="J10548" s="0" t="s">
        <v>35200</v>
      </c>
      <c r="K10548" s="0" t="s">
        <v>35201</v>
      </c>
      <c r="L10548" s="0" t="str">
        <f aca="false">HYPERLINK("https://www.ncbi.nlm.nih.gov/nuccore/CP000304.1?report=graph&amp;tracks=[key:gene_model_track,Options:GeneOnly]&amp;mk=2967743:2967762|offset_28|444444,2967709:2967728|offset_62|444444,2967687:2967706|offset_84|444444,2967665:2967684|offset_106|00cc00&amp;v=2967542:2967884&amp;c=444444", "offset 106")</f>
        <v>offset 106</v>
      </c>
    </row>
    <row r="10549" customFormat="false" ht="12.8" hidden="false" customHeight="false" outlineLevel="0" collapsed="false">
      <c r="A10549" s="0" t="s">
        <v>12</v>
      </c>
      <c r="B10549" s="0" t="n">
        <v>2968243</v>
      </c>
      <c r="C10549" s="0" t="n">
        <v>2968263</v>
      </c>
      <c r="D10549" s="0" t="s">
        <v>35202</v>
      </c>
      <c r="E10549" s="0" t="s">
        <v>89</v>
      </c>
      <c r="F10549" s="0" t="s">
        <v>90</v>
      </c>
      <c r="G10549" s="0" t="s">
        <v>32</v>
      </c>
      <c r="H10549" s="0" t="n">
        <v>0</v>
      </c>
      <c r="I10549" s="0" t="s">
        <v>35203</v>
      </c>
      <c r="J10549" s="0" t="s">
        <v>35204</v>
      </c>
      <c r="K10549" s="0" t="s">
        <v>35205</v>
      </c>
      <c r="L10549" s="0" t="str">
        <f aca="false">HYPERLINK("https://www.ncbi.nlm.nih.gov/nuccore/CP000304.1?report=graph&amp;tracks=[key:gene_model_track,Options:GeneOnly]&amp;mk=2968244:2968263|offset_0|00cc00,2968218:2968237|offset_26|444444,2968189:2968208|offset_55|444444,2968153:2968172|offset_91|444444&amp;v=2968043:2968372&amp;c=444444", "offset 0")</f>
        <v>offset 0</v>
      </c>
    </row>
    <row r="10550" customFormat="false" ht="12.8" hidden="false" customHeight="false" outlineLevel="0" collapsed="false">
      <c r="A10550" s="0" t="s">
        <v>12</v>
      </c>
      <c r="B10550" s="0" t="n">
        <v>2968217</v>
      </c>
      <c r="C10550" s="0" t="n">
        <v>2968237</v>
      </c>
      <c r="D10550" s="0" t="s">
        <v>35202</v>
      </c>
      <c r="E10550" s="0" t="s">
        <v>89</v>
      </c>
      <c r="F10550" s="0" t="s">
        <v>90</v>
      </c>
      <c r="G10550" s="0" t="s">
        <v>36</v>
      </c>
      <c r="H10550" s="0" t="n">
        <v>26</v>
      </c>
      <c r="I10550" s="0" t="s">
        <v>35206</v>
      </c>
      <c r="J10550" s="0" t="s">
        <v>35207</v>
      </c>
      <c r="K10550" s="0" t="s">
        <v>35208</v>
      </c>
      <c r="L10550" s="0" t="str">
        <f aca="false">HYPERLINK("https://www.ncbi.nlm.nih.gov/nuccore/CP000304.1?report=graph&amp;tracks=[key:gene_model_track,Options:GeneOnly]&amp;mk=2968244:2968263|offset_0|444444,2968218:2968237|offset_26|00cc00,2968189:2968208|offset_55|444444,2968153:2968172|offset_91|444444&amp;v=2968043:2968372&amp;c=444444", "offset 26")</f>
        <v>offset 26</v>
      </c>
    </row>
    <row r="10551" customFormat="false" ht="12.8" hidden="false" customHeight="false" outlineLevel="0" collapsed="false">
      <c r="A10551" s="0" t="s">
        <v>12</v>
      </c>
      <c r="B10551" s="0" t="n">
        <v>2968188</v>
      </c>
      <c r="C10551" s="0" t="n">
        <v>2968208</v>
      </c>
      <c r="D10551" s="0" t="s">
        <v>35202</v>
      </c>
      <c r="E10551" s="0" t="s">
        <v>89</v>
      </c>
      <c r="F10551" s="0" t="s">
        <v>90</v>
      </c>
      <c r="G10551" s="0" t="s">
        <v>36</v>
      </c>
      <c r="H10551" s="0" t="n">
        <v>55</v>
      </c>
      <c r="I10551" s="0" t="s">
        <v>35209</v>
      </c>
      <c r="J10551" s="0" t="s">
        <v>35210</v>
      </c>
      <c r="K10551" s="0" t="s">
        <v>35211</v>
      </c>
      <c r="L10551" s="0" t="str">
        <f aca="false">HYPERLINK("https://www.ncbi.nlm.nih.gov/nuccore/CP000304.1?report=graph&amp;tracks=[key:gene_model_track,Options:GeneOnly]&amp;mk=2968244:2968263|offset_0|444444,2968218:2968237|offset_26|444444,2968189:2968208|offset_55|00cc00,2968153:2968172|offset_91|444444&amp;v=2968043:2968372&amp;c=444444", "offset 55")</f>
        <v>offset 55</v>
      </c>
    </row>
    <row r="10552" customFormat="false" ht="12.8" hidden="false" customHeight="false" outlineLevel="0" collapsed="false">
      <c r="A10552" s="0" t="s">
        <v>12</v>
      </c>
      <c r="B10552" s="0" t="n">
        <v>2968152</v>
      </c>
      <c r="C10552" s="0" t="n">
        <v>2968172</v>
      </c>
      <c r="D10552" s="0" t="s">
        <v>35202</v>
      </c>
      <c r="E10552" s="0" t="s">
        <v>89</v>
      </c>
      <c r="F10552" s="0" t="s">
        <v>90</v>
      </c>
      <c r="G10552" s="0" t="s">
        <v>36</v>
      </c>
      <c r="H10552" s="0" t="n">
        <v>91</v>
      </c>
      <c r="I10552" s="0" t="s">
        <v>35212</v>
      </c>
      <c r="J10552" s="0" t="s">
        <v>35213</v>
      </c>
      <c r="K10552" s="0" t="s">
        <v>35214</v>
      </c>
      <c r="L10552" s="0" t="str">
        <f aca="false">HYPERLINK("https://www.ncbi.nlm.nih.gov/nuccore/CP000304.1?report=graph&amp;tracks=[key:gene_model_track,Options:GeneOnly]&amp;mk=2968244:2968263|offset_0|444444,2968218:2968237|offset_26|444444,2968189:2968208|offset_55|444444,2968153:2968172|offset_91|00cc00&amp;v=2968043:2968372&amp;c=444444", "offset 91")</f>
        <v>offset 91</v>
      </c>
    </row>
    <row r="10553" customFormat="false" ht="12.8" hidden="false" customHeight="false" outlineLevel="0" collapsed="false">
      <c r="A10553" s="0" t="s">
        <v>12</v>
      </c>
      <c r="B10553" s="0" t="n">
        <v>2969033</v>
      </c>
      <c r="C10553" s="0" t="n">
        <v>2969053</v>
      </c>
      <c r="D10553" s="0" t="s">
        <v>35215</v>
      </c>
      <c r="E10553" s="0" t="s">
        <v>89</v>
      </c>
      <c r="F10553" s="0" t="s">
        <v>90</v>
      </c>
      <c r="G10553" s="0" t="s">
        <v>16</v>
      </c>
      <c r="H10553" s="0" t="n">
        <v>0</v>
      </c>
      <c r="I10553" s="0" t="s">
        <v>35216</v>
      </c>
      <c r="J10553" s="0" t="s">
        <v>35217</v>
      </c>
      <c r="K10553" s="0" t="s">
        <v>35218</v>
      </c>
      <c r="L10553" s="0" t="str">
        <f aca="false">HYPERLINK("https://www.ncbi.nlm.nih.gov/nuccore/CP000304.1?report=graph&amp;tracks=[key:gene_model_track,Options:GeneOnly]&amp;mk=2969034:2969053|offset_0|00cc00,2969006:2969025|offset_28|444444,2968985:2969004|offset_49|444444,2968964:2968983|offset_70|444444&amp;v=2968833:2969183&amp;c=444444", "offset 0")</f>
        <v>offset 0</v>
      </c>
    </row>
    <row r="10554" customFormat="false" ht="12.8" hidden="false" customHeight="false" outlineLevel="0" collapsed="false">
      <c r="A10554" s="0" t="s">
        <v>12</v>
      </c>
      <c r="B10554" s="0" t="n">
        <v>2969005</v>
      </c>
      <c r="C10554" s="0" t="n">
        <v>2969025</v>
      </c>
      <c r="D10554" s="0" t="s">
        <v>35215</v>
      </c>
      <c r="E10554" s="0" t="s">
        <v>89</v>
      </c>
      <c r="F10554" s="0" t="s">
        <v>90</v>
      </c>
      <c r="G10554" s="0" t="s">
        <v>26</v>
      </c>
      <c r="H10554" s="0" t="n">
        <v>28</v>
      </c>
      <c r="I10554" s="0" t="s">
        <v>35219</v>
      </c>
      <c r="J10554" s="0" t="s">
        <v>35220</v>
      </c>
      <c r="K10554" s="0" t="s">
        <v>35221</v>
      </c>
      <c r="L10554" s="0" t="str">
        <f aca="false">HYPERLINK("https://www.ncbi.nlm.nih.gov/nuccore/CP000304.1?report=graph&amp;tracks=[key:gene_model_track,Options:GeneOnly]&amp;mk=2969034:2969053|offset_0|444444,2969006:2969025|offset_28|00cc00,2968985:2969004|offset_49|444444,2968964:2968983|offset_70|444444&amp;v=2968833:2969183&amp;c=444444", "offset 28")</f>
        <v>offset 28</v>
      </c>
    </row>
    <row r="10555" customFormat="false" ht="12.8" hidden="false" customHeight="false" outlineLevel="0" collapsed="false">
      <c r="A10555" s="0" t="s">
        <v>12</v>
      </c>
      <c r="B10555" s="0" t="n">
        <v>2968984</v>
      </c>
      <c r="C10555" s="0" t="n">
        <v>2969004</v>
      </c>
      <c r="D10555" s="0" t="s">
        <v>35215</v>
      </c>
      <c r="E10555" s="0" t="s">
        <v>89</v>
      </c>
      <c r="F10555" s="0" t="s">
        <v>90</v>
      </c>
      <c r="G10555" s="0" t="s">
        <v>36</v>
      </c>
      <c r="H10555" s="0" t="n">
        <v>49</v>
      </c>
      <c r="I10555" s="0" t="s">
        <v>35222</v>
      </c>
      <c r="J10555" s="0" t="s">
        <v>35223</v>
      </c>
      <c r="K10555" s="0" t="s">
        <v>35224</v>
      </c>
      <c r="L10555" s="0" t="str">
        <f aca="false">HYPERLINK("https://www.ncbi.nlm.nih.gov/nuccore/CP000304.1?report=graph&amp;tracks=[key:gene_model_track,Options:GeneOnly]&amp;mk=2969034:2969053|offset_0|444444,2969006:2969025|offset_28|444444,2968985:2969004|offset_49|00cc00,2968964:2968983|offset_70|444444&amp;v=2968833:2969183&amp;c=444444", "offset 49")</f>
        <v>offset 49</v>
      </c>
    </row>
    <row r="10556" customFormat="false" ht="12.8" hidden="false" customHeight="false" outlineLevel="0" collapsed="false">
      <c r="A10556" s="0" t="s">
        <v>12</v>
      </c>
      <c r="B10556" s="0" t="n">
        <v>2968963</v>
      </c>
      <c r="C10556" s="0" t="n">
        <v>2968983</v>
      </c>
      <c r="D10556" s="0" t="s">
        <v>35215</v>
      </c>
      <c r="E10556" s="0" t="s">
        <v>89</v>
      </c>
      <c r="F10556" s="0" t="s">
        <v>90</v>
      </c>
      <c r="G10556" s="0" t="s">
        <v>36</v>
      </c>
      <c r="H10556" s="0" t="n">
        <v>70</v>
      </c>
      <c r="I10556" s="0" t="s">
        <v>35225</v>
      </c>
      <c r="J10556" s="0" t="s">
        <v>35226</v>
      </c>
      <c r="K10556" s="0" t="s">
        <v>35227</v>
      </c>
      <c r="L10556" s="0" t="str">
        <f aca="false">HYPERLINK("https://www.ncbi.nlm.nih.gov/nuccore/CP000304.1?report=graph&amp;tracks=[key:gene_model_track,Options:GeneOnly]&amp;mk=2969034:2969053|offset_0|444444,2969006:2969025|offset_28|444444,2968985:2969004|offset_49|444444,2968964:2968983|offset_70|00cc00&amp;v=2968833:2969183&amp;c=444444", "offset 70")</f>
        <v>offset 70</v>
      </c>
    </row>
    <row r="10557" customFormat="false" ht="12.8" hidden="false" customHeight="false" outlineLevel="0" collapsed="false">
      <c r="A10557" s="0" t="s">
        <v>12</v>
      </c>
      <c r="B10557" s="0" t="n">
        <v>2969890</v>
      </c>
      <c r="C10557" s="0" t="n">
        <v>2969910</v>
      </c>
      <c r="D10557" s="0" t="s">
        <v>35228</v>
      </c>
      <c r="E10557" s="0" t="s">
        <v>35229</v>
      </c>
      <c r="F10557" s="0" t="s">
        <v>90</v>
      </c>
      <c r="G10557" s="0" t="s">
        <v>16</v>
      </c>
      <c r="H10557" s="0" t="n">
        <v>6</v>
      </c>
      <c r="I10557" s="0" t="s">
        <v>35230</v>
      </c>
      <c r="J10557" s="0" t="s">
        <v>35231</v>
      </c>
      <c r="K10557" s="0" t="s">
        <v>35232</v>
      </c>
      <c r="L10557" s="0" t="str">
        <f aca="false">HYPERLINK("https://www.ncbi.nlm.nih.gov/nuccore/CP000304.1?report=graph&amp;tracks=[key:gene_model_track,Options:GeneOnly]&amp;mk=2969891:2969910|offset_6|00cc00,2969861:2969880|offset_36|444444,2969839:2969858|offset_58|444444,2969811:2969830|offset_86|444444&amp;v=2969690:2970030&amp;c=444444", "offset 6")</f>
        <v>offset 6</v>
      </c>
    </row>
    <row r="10558" customFormat="false" ht="12.8" hidden="false" customHeight="false" outlineLevel="0" collapsed="false">
      <c r="A10558" s="0" t="s">
        <v>12</v>
      </c>
      <c r="B10558" s="0" t="n">
        <v>2969860</v>
      </c>
      <c r="C10558" s="0" t="n">
        <v>2969880</v>
      </c>
      <c r="D10558" s="0" t="s">
        <v>35228</v>
      </c>
      <c r="E10558" s="0" t="s">
        <v>35229</v>
      </c>
      <c r="F10558" s="0" t="s">
        <v>90</v>
      </c>
      <c r="G10558" s="0" t="s">
        <v>26</v>
      </c>
      <c r="H10558" s="0" t="n">
        <v>36</v>
      </c>
      <c r="I10558" s="0" t="s">
        <v>35233</v>
      </c>
      <c r="J10558" s="0" t="s">
        <v>35234</v>
      </c>
      <c r="K10558" s="0" t="s">
        <v>35235</v>
      </c>
      <c r="L10558" s="0" t="str">
        <f aca="false">HYPERLINK("https://www.ncbi.nlm.nih.gov/nuccore/CP000304.1?report=graph&amp;tracks=[key:gene_model_track,Options:GeneOnly]&amp;mk=2969891:2969910|offset_6|444444,2969861:2969880|offset_36|00cc00,2969839:2969858|offset_58|444444,2969811:2969830|offset_86|444444&amp;v=2969690:2970030&amp;c=444444", "offset 36")</f>
        <v>offset 36</v>
      </c>
    </row>
    <row r="10559" customFormat="false" ht="12.8" hidden="false" customHeight="false" outlineLevel="0" collapsed="false">
      <c r="A10559" s="0" t="s">
        <v>12</v>
      </c>
      <c r="B10559" s="0" t="n">
        <v>2969838</v>
      </c>
      <c r="C10559" s="0" t="n">
        <v>2969858</v>
      </c>
      <c r="D10559" s="0" t="s">
        <v>35228</v>
      </c>
      <c r="E10559" s="0" t="s">
        <v>35229</v>
      </c>
      <c r="F10559" s="0" t="s">
        <v>90</v>
      </c>
      <c r="G10559" s="0" t="s">
        <v>32</v>
      </c>
      <c r="H10559" s="0" t="n">
        <v>58</v>
      </c>
      <c r="I10559" s="0" t="s">
        <v>35236</v>
      </c>
      <c r="J10559" s="0" t="s">
        <v>35237</v>
      </c>
      <c r="K10559" s="0" t="s">
        <v>35238</v>
      </c>
      <c r="L10559" s="0" t="str">
        <f aca="false">HYPERLINK("https://www.ncbi.nlm.nih.gov/nuccore/CP000304.1?report=graph&amp;tracks=[key:gene_model_track,Options:GeneOnly]&amp;mk=2969891:2969910|offset_6|444444,2969861:2969880|offset_36|444444,2969839:2969858|offset_58|00cc00,2969811:2969830|offset_86|444444&amp;v=2969690:2970030&amp;c=444444", "offset 58")</f>
        <v>offset 58</v>
      </c>
    </row>
    <row r="10560" customFormat="false" ht="12.8" hidden="false" customHeight="false" outlineLevel="0" collapsed="false">
      <c r="A10560" s="0" t="s">
        <v>12</v>
      </c>
      <c r="B10560" s="0" t="n">
        <v>2969810</v>
      </c>
      <c r="C10560" s="0" t="n">
        <v>2969830</v>
      </c>
      <c r="D10560" s="0" t="s">
        <v>35228</v>
      </c>
      <c r="E10560" s="0" t="s">
        <v>35229</v>
      </c>
      <c r="F10560" s="0" t="s">
        <v>90</v>
      </c>
      <c r="G10560" s="0" t="s">
        <v>16</v>
      </c>
      <c r="H10560" s="0" t="n">
        <v>86</v>
      </c>
      <c r="I10560" s="0" t="s">
        <v>35239</v>
      </c>
      <c r="J10560" s="0" t="s">
        <v>35240</v>
      </c>
      <c r="K10560" s="0" t="s">
        <v>35241</v>
      </c>
      <c r="L10560" s="0" t="str">
        <f aca="false">HYPERLINK("https://www.ncbi.nlm.nih.gov/nuccore/CP000304.1?report=graph&amp;tracks=[key:gene_model_track,Options:GeneOnly]&amp;mk=2969891:2969910|offset_6|444444,2969861:2969880|offset_36|444444,2969839:2969858|offset_58|444444,2969811:2969830|offset_86|00cc00&amp;v=2969690:2970030&amp;c=444444", "offset 86")</f>
        <v>offset 86</v>
      </c>
    </row>
    <row r="10561" customFormat="false" ht="12.8" hidden="false" customHeight="false" outlineLevel="0" collapsed="false">
      <c r="A10561" s="0" t="s">
        <v>12</v>
      </c>
      <c r="B10561" s="0" t="n">
        <v>2972569</v>
      </c>
      <c r="C10561" s="0" t="n">
        <v>2972589</v>
      </c>
      <c r="D10561" s="0" t="s">
        <v>35242</v>
      </c>
      <c r="E10561" s="0" t="s">
        <v>35243</v>
      </c>
      <c r="F10561" s="0" t="s">
        <v>90</v>
      </c>
      <c r="G10561" s="0" t="s">
        <v>16</v>
      </c>
      <c r="H10561" s="0" t="n">
        <v>74</v>
      </c>
      <c r="I10561" s="0" t="s">
        <v>35244</v>
      </c>
      <c r="J10561" s="0" t="s">
        <v>35245</v>
      </c>
      <c r="K10561" s="0" t="s">
        <v>35246</v>
      </c>
      <c r="L10561" s="0" t="str">
        <f aca="false">HYPERLINK("https://www.ncbi.nlm.nih.gov/nuccore/CP000304.1?report=graph&amp;tracks=[key:gene_model_track,Options:GeneOnly]&amp;mk=2972570:2972589|offset_74|00cc00,2972525:2972544|offset_119|444444,2972469:2972488|offset_175|444444,2972431:2972450|offset_213|444444&amp;v=2972369:2972650&amp;c=444444", "offset 74")</f>
        <v>offset 74</v>
      </c>
    </row>
    <row r="10562" customFormat="false" ht="12.8" hidden="false" customHeight="false" outlineLevel="0" collapsed="false">
      <c r="A10562" s="0" t="s">
        <v>12</v>
      </c>
      <c r="B10562" s="0" t="n">
        <v>2972524</v>
      </c>
      <c r="C10562" s="0" t="n">
        <v>2972544</v>
      </c>
      <c r="D10562" s="0" t="s">
        <v>35242</v>
      </c>
      <c r="E10562" s="0" t="s">
        <v>35243</v>
      </c>
      <c r="F10562" s="0" t="s">
        <v>90</v>
      </c>
      <c r="G10562" s="0" t="s">
        <v>16</v>
      </c>
      <c r="H10562" s="0" t="n">
        <v>119</v>
      </c>
      <c r="I10562" s="0" t="s">
        <v>35247</v>
      </c>
      <c r="J10562" s="0" t="s">
        <v>35248</v>
      </c>
      <c r="K10562" s="0" t="s">
        <v>35249</v>
      </c>
      <c r="L10562" s="0" t="str">
        <f aca="false">HYPERLINK("https://www.ncbi.nlm.nih.gov/nuccore/CP000304.1?report=graph&amp;tracks=[key:gene_model_track,Options:GeneOnly]&amp;mk=2972570:2972589|offset_74|444444,2972525:2972544|offset_119|00cc00,2972469:2972488|offset_175|444444,2972431:2972450|offset_213|444444&amp;v=2972369:2972650&amp;c=444444", "offset 119")</f>
        <v>offset 119</v>
      </c>
    </row>
    <row r="10563" customFormat="false" ht="12.8" hidden="false" customHeight="false" outlineLevel="0" collapsed="false">
      <c r="A10563" s="0" t="s">
        <v>12</v>
      </c>
      <c r="B10563" s="0" t="n">
        <v>2972468</v>
      </c>
      <c r="C10563" s="0" t="n">
        <v>2972488</v>
      </c>
      <c r="D10563" s="0" t="s">
        <v>35242</v>
      </c>
      <c r="E10563" s="0" t="s">
        <v>35243</v>
      </c>
      <c r="F10563" s="0" t="s">
        <v>90</v>
      </c>
      <c r="G10563" s="0" t="s">
        <v>16</v>
      </c>
      <c r="H10563" s="0" t="n">
        <v>175</v>
      </c>
      <c r="I10563" s="0" t="s">
        <v>35250</v>
      </c>
      <c r="J10563" s="0" t="s">
        <v>35251</v>
      </c>
      <c r="K10563" s="0" t="s">
        <v>35252</v>
      </c>
      <c r="L10563" s="0" t="str">
        <f aca="false">HYPERLINK("https://www.ncbi.nlm.nih.gov/nuccore/CP000304.1?report=graph&amp;tracks=[key:gene_model_track,Options:GeneOnly]&amp;mk=2972570:2972589|offset_74|444444,2972525:2972544|offset_119|444444,2972469:2972488|offset_175|00cc00,2972431:2972450|offset_213|444444&amp;v=2972369:2972650&amp;c=444444", "offset 175")</f>
        <v>offset 175</v>
      </c>
    </row>
    <row r="10564" customFormat="false" ht="12.8" hidden="false" customHeight="false" outlineLevel="0" collapsed="false">
      <c r="A10564" s="0" t="s">
        <v>12</v>
      </c>
      <c r="B10564" s="0" t="n">
        <v>2972430</v>
      </c>
      <c r="C10564" s="0" t="n">
        <v>2972450</v>
      </c>
      <c r="D10564" s="0" t="s">
        <v>35242</v>
      </c>
      <c r="E10564" s="0" t="s">
        <v>35243</v>
      </c>
      <c r="F10564" s="0" t="s">
        <v>90</v>
      </c>
      <c r="G10564" s="0" t="s">
        <v>36</v>
      </c>
      <c r="H10564" s="0" t="n">
        <v>213</v>
      </c>
      <c r="I10564" s="0" t="s">
        <v>35253</v>
      </c>
      <c r="J10564" s="0" t="s">
        <v>35254</v>
      </c>
      <c r="K10564" s="0" t="s">
        <v>35255</v>
      </c>
      <c r="L10564" s="0" t="str">
        <f aca="false">HYPERLINK("https://www.ncbi.nlm.nih.gov/nuccore/CP000304.1?report=graph&amp;tracks=[key:gene_model_track,Options:GeneOnly]&amp;mk=2972570:2972589|offset_74|444444,2972525:2972544|offset_119|444444,2972469:2972488|offset_175|444444,2972431:2972450|offset_213|00cc00&amp;v=2972369:2972650&amp;c=444444", "offset 213")</f>
        <v>offset 213</v>
      </c>
    </row>
    <row r="10565" customFormat="false" ht="12.8" hidden="false" customHeight="false" outlineLevel="0" collapsed="false">
      <c r="A10565" s="0" t="s">
        <v>12</v>
      </c>
      <c r="B10565" s="0" t="n">
        <v>2972920</v>
      </c>
      <c r="C10565" s="0" t="n">
        <v>2972940</v>
      </c>
      <c r="D10565" s="0" t="s">
        <v>35256</v>
      </c>
      <c r="E10565" s="0" t="s">
        <v>89</v>
      </c>
      <c r="F10565" s="0" t="s">
        <v>15</v>
      </c>
      <c r="G10565" s="0" t="s">
        <v>32</v>
      </c>
      <c r="H10565" s="0" t="n">
        <v>1</v>
      </c>
      <c r="I10565" s="0" t="s">
        <v>35257</v>
      </c>
      <c r="J10565" s="0" t="s">
        <v>35258</v>
      </c>
      <c r="K10565" s="0" t="s">
        <v>35259</v>
      </c>
      <c r="L10565" s="0" t="str">
        <f aca="false">HYPERLINK("https://www.ncbi.nlm.nih.gov/nuccore/CP000304.1?report=graph&amp;tracks=[key:gene_model_track,Options:GeneOnly]&amp;mk=2972921:2972940|offset_1|00cc00,2972946:2972965|offset_26|444444,2972970:2972989|offset_50|444444,2972997:2973016|offset_77|444444&amp;v=2972720:2973216&amp;c=444444", "offset 1")</f>
        <v>offset 1</v>
      </c>
    </row>
    <row r="10566" customFormat="false" ht="12.8" hidden="false" customHeight="false" outlineLevel="0" collapsed="false">
      <c r="A10566" s="0" t="s">
        <v>12</v>
      </c>
      <c r="B10566" s="0" t="n">
        <v>2972945</v>
      </c>
      <c r="C10566" s="0" t="n">
        <v>2972965</v>
      </c>
      <c r="D10566" s="0" t="s">
        <v>35256</v>
      </c>
      <c r="E10566" s="0" t="s">
        <v>89</v>
      </c>
      <c r="F10566" s="0" t="s">
        <v>15</v>
      </c>
      <c r="G10566" s="0" t="s">
        <v>32</v>
      </c>
      <c r="H10566" s="0" t="n">
        <v>26</v>
      </c>
      <c r="I10566" s="0" t="s">
        <v>35260</v>
      </c>
      <c r="J10566" s="0" t="s">
        <v>35261</v>
      </c>
      <c r="K10566" s="0" t="s">
        <v>35262</v>
      </c>
      <c r="L10566" s="0" t="str">
        <f aca="false">HYPERLINK("https://www.ncbi.nlm.nih.gov/nuccore/CP000304.1?report=graph&amp;tracks=[key:gene_model_track,Options:GeneOnly]&amp;mk=2972921:2972940|offset_1|444444,2972946:2972965|offset_26|00cc00,2972970:2972989|offset_50|444444,2972997:2973016|offset_77|444444&amp;v=2972720:2973216&amp;c=444444", "offset 26")</f>
        <v>offset 26</v>
      </c>
    </row>
    <row r="10567" customFormat="false" ht="12.8" hidden="false" customHeight="false" outlineLevel="0" collapsed="false">
      <c r="A10567" s="0" t="s">
        <v>12</v>
      </c>
      <c r="B10567" s="0" t="n">
        <v>2972969</v>
      </c>
      <c r="C10567" s="0" t="n">
        <v>2972989</v>
      </c>
      <c r="D10567" s="0" t="s">
        <v>35256</v>
      </c>
      <c r="E10567" s="0" t="s">
        <v>89</v>
      </c>
      <c r="F10567" s="0" t="s">
        <v>15</v>
      </c>
      <c r="G10567" s="0" t="s">
        <v>16</v>
      </c>
      <c r="H10567" s="0" t="n">
        <v>50</v>
      </c>
      <c r="I10567" s="0" t="s">
        <v>35263</v>
      </c>
      <c r="J10567" s="0" t="s">
        <v>35264</v>
      </c>
      <c r="K10567" s="0" t="s">
        <v>35265</v>
      </c>
      <c r="L10567" s="0" t="str">
        <f aca="false">HYPERLINK("https://www.ncbi.nlm.nih.gov/nuccore/CP000304.1?report=graph&amp;tracks=[key:gene_model_track,Options:GeneOnly]&amp;mk=2972921:2972940|offset_1|444444,2972946:2972965|offset_26|444444,2972970:2972989|offset_50|00cc00,2972997:2973016|offset_77|444444&amp;v=2972720:2973216&amp;c=444444", "offset 50")</f>
        <v>offset 50</v>
      </c>
    </row>
    <row r="10568" customFormat="false" ht="12.8" hidden="false" customHeight="false" outlineLevel="0" collapsed="false">
      <c r="A10568" s="0" t="s">
        <v>12</v>
      </c>
      <c r="B10568" s="0" t="n">
        <v>2972996</v>
      </c>
      <c r="C10568" s="0" t="n">
        <v>2973016</v>
      </c>
      <c r="D10568" s="0" t="s">
        <v>35256</v>
      </c>
      <c r="E10568" s="0" t="s">
        <v>89</v>
      </c>
      <c r="F10568" s="0" t="s">
        <v>15</v>
      </c>
      <c r="G10568" s="0" t="s">
        <v>36</v>
      </c>
      <c r="H10568" s="0" t="n">
        <v>77</v>
      </c>
      <c r="I10568" s="0" t="s">
        <v>35266</v>
      </c>
      <c r="J10568" s="0" t="s">
        <v>35267</v>
      </c>
      <c r="K10568" s="0" t="s">
        <v>35268</v>
      </c>
      <c r="L10568" s="0" t="str">
        <f aca="false">HYPERLINK("https://www.ncbi.nlm.nih.gov/nuccore/CP000304.1?report=graph&amp;tracks=[key:gene_model_track,Options:GeneOnly]&amp;mk=2972921:2972940|offset_1|444444,2972946:2972965|offset_26|444444,2972970:2972989|offset_50|444444,2972997:2973016|offset_77|00cc00&amp;v=2972720:2973216&amp;c=444444", "offset 77")</f>
        <v>offset 77</v>
      </c>
    </row>
    <row r="10569" customFormat="false" ht="12.8" hidden="false" customHeight="false" outlineLevel="0" collapsed="false">
      <c r="A10569" s="0" t="s">
        <v>12</v>
      </c>
      <c r="B10569" s="0" t="n">
        <v>2973539</v>
      </c>
      <c r="C10569" s="0" t="n">
        <v>2973559</v>
      </c>
      <c r="D10569" s="0" t="s">
        <v>35269</v>
      </c>
      <c r="E10569" s="0" t="s">
        <v>89</v>
      </c>
      <c r="F10569" s="0" t="s">
        <v>15</v>
      </c>
      <c r="G10569" s="0" t="s">
        <v>32</v>
      </c>
      <c r="H10569" s="0" t="n">
        <v>1</v>
      </c>
      <c r="I10569" s="0" t="s">
        <v>35270</v>
      </c>
      <c r="J10569" s="0" t="s">
        <v>35271</v>
      </c>
      <c r="K10569" s="0" t="s">
        <v>35272</v>
      </c>
      <c r="L10569" s="0" t="str">
        <f aca="false">HYPERLINK("https://www.ncbi.nlm.nih.gov/nuccore/CP000304.1?report=graph&amp;tracks=[key:gene_model_track,Options:GeneOnly]&amp;mk=2973540:2973559|offset_1|00cc00,2973561:2973580|offset_22|444444,2973584:2973603|offset_45|444444,2973613:2973632|offset_74|444444&amp;v=2973339:2973832&amp;c=444444", "offset 1")</f>
        <v>offset 1</v>
      </c>
    </row>
    <row r="10570" customFormat="false" ht="12.8" hidden="false" customHeight="false" outlineLevel="0" collapsed="false">
      <c r="A10570" s="0" t="s">
        <v>12</v>
      </c>
      <c r="B10570" s="0" t="n">
        <v>2973560</v>
      </c>
      <c r="C10570" s="0" t="n">
        <v>2973580</v>
      </c>
      <c r="D10570" s="0" t="s">
        <v>35269</v>
      </c>
      <c r="E10570" s="0" t="s">
        <v>89</v>
      </c>
      <c r="F10570" s="0" t="s">
        <v>15</v>
      </c>
      <c r="G10570" s="0" t="s">
        <v>36</v>
      </c>
      <c r="H10570" s="0" t="n">
        <v>22</v>
      </c>
      <c r="I10570" s="0" t="s">
        <v>35273</v>
      </c>
      <c r="J10570" s="0" t="s">
        <v>35274</v>
      </c>
      <c r="K10570" s="0" t="s">
        <v>35275</v>
      </c>
      <c r="L10570" s="0" t="str">
        <f aca="false">HYPERLINK("https://www.ncbi.nlm.nih.gov/nuccore/CP000304.1?report=graph&amp;tracks=[key:gene_model_track,Options:GeneOnly]&amp;mk=2973540:2973559|offset_1|444444,2973561:2973580|offset_22|00cc00,2973584:2973603|offset_45|444444,2973613:2973632|offset_74|444444&amp;v=2973339:2973832&amp;c=444444", "offset 22")</f>
        <v>offset 22</v>
      </c>
    </row>
    <row r="10571" customFormat="false" ht="12.8" hidden="false" customHeight="false" outlineLevel="0" collapsed="false">
      <c r="A10571" s="0" t="s">
        <v>12</v>
      </c>
      <c r="B10571" s="0" t="n">
        <v>2973583</v>
      </c>
      <c r="C10571" s="0" t="n">
        <v>2973603</v>
      </c>
      <c r="D10571" s="0" t="s">
        <v>35269</v>
      </c>
      <c r="E10571" s="0" t="s">
        <v>89</v>
      </c>
      <c r="F10571" s="0" t="s">
        <v>15</v>
      </c>
      <c r="G10571" s="0" t="s">
        <v>36</v>
      </c>
      <c r="H10571" s="0" t="n">
        <v>45</v>
      </c>
      <c r="I10571" s="0" t="s">
        <v>35276</v>
      </c>
      <c r="J10571" s="0" t="s">
        <v>35277</v>
      </c>
      <c r="K10571" s="0" t="s">
        <v>35278</v>
      </c>
      <c r="L10571" s="0" t="str">
        <f aca="false">HYPERLINK("https://www.ncbi.nlm.nih.gov/nuccore/CP000304.1?report=graph&amp;tracks=[key:gene_model_track,Options:GeneOnly]&amp;mk=2973540:2973559|offset_1|444444,2973561:2973580|offset_22|444444,2973584:2973603|offset_45|00cc00,2973613:2973632|offset_74|444444&amp;v=2973339:2973832&amp;c=444444", "offset 45")</f>
        <v>offset 45</v>
      </c>
    </row>
    <row r="10572" customFormat="false" ht="12.8" hidden="false" customHeight="false" outlineLevel="0" collapsed="false">
      <c r="A10572" s="0" t="s">
        <v>12</v>
      </c>
      <c r="B10572" s="0" t="n">
        <v>2973612</v>
      </c>
      <c r="C10572" s="0" t="n">
        <v>2973632</v>
      </c>
      <c r="D10572" s="0" t="s">
        <v>35269</v>
      </c>
      <c r="E10572" s="0" t="s">
        <v>89</v>
      </c>
      <c r="F10572" s="0" t="s">
        <v>15</v>
      </c>
      <c r="G10572" s="0" t="s">
        <v>26</v>
      </c>
      <c r="H10572" s="0" t="n">
        <v>74</v>
      </c>
      <c r="I10572" s="0" t="s">
        <v>35279</v>
      </c>
      <c r="J10572" s="0" t="s">
        <v>35280</v>
      </c>
      <c r="K10572" s="0" t="s">
        <v>35281</v>
      </c>
      <c r="L10572" s="0" t="str">
        <f aca="false">HYPERLINK("https://www.ncbi.nlm.nih.gov/nuccore/CP000304.1?report=graph&amp;tracks=[key:gene_model_track,Options:GeneOnly]&amp;mk=2973540:2973559|offset_1|444444,2973561:2973580|offset_22|444444,2973584:2973603|offset_45|444444,2973613:2973632|offset_74|00cc00&amp;v=2973339:2973832&amp;c=444444", "offset 74")</f>
        <v>offset 74</v>
      </c>
    </row>
    <row r="10573" customFormat="false" ht="12.8" hidden="false" customHeight="false" outlineLevel="0" collapsed="false">
      <c r="A10573" s="0" t="s">
        <v>12</v>
      </c>
      <c r="B10573" s="0" t="n">
        <v>2974000</v>
      </c>
      <c r="C10573" s="0" t="n">
        <v>2974020</v>
      </c>
      <c r="D10573" s="0" t="s">
        <v>35282</v>
      </c>
      <c r="E10573" s="0" t="s">
        <v>89</v>
      </c>
      <c r="F10573" s="0" t="s">
        <v>15</v>
      </c>
      <c r="G10573" s="0" t="s">
        <v>36</v>
      </c>
      <c r="H10573" s="0" t="n">
        <v>19</v>
      </c>
      <c r="I10573" s="0" t="s">
        <v>35283</v>
      </c>
      <c r="J10573" s="0" t="s">
        <v>35284</v>
      </c>
      <c r="K10573" s="0" t="s">
        <v>35285</v>
      </c>
      <c r="L10573" s="0" t="str">
        <f aca="false">HYPERLINK("https://www.ncbi.nlm.nih.gov/nuccore/CP000304.1?report=graph&amp;tracks=[key:gene_model_track,Options:GeneOnly]&amp;mk=2974001:2974020|offset_19|00cc00,2974032:2974051|offset_50|444444,2974054:2974073|offset_72|444444,2974091:2974110|offset_109|444444&amp;v=2973800:2974310&amp;c=444444", "offset 19")</f>
        <v>offset 19</v>
      </c>
    </row>
    <row r="10574" customFormat="false" ht="12.8" hidden="false" customHeight="false" outlineLevel="0" collapsed="false">
      <c r="A10574" s="0" t="s">
        <v>12</v>
      </c>
      <c r="B10574" s="0" t="n">
        <v>2974031</v>
      </c>
      <c r="C10574" s="0" t="n">
        <v>2974051</v>
      </c>
      <c r="D10574" s="0" t="s">
        <v>35282</v>
      </c>
      <c r="E10574" s="0" t="s">
        <v>89</v>
      </c>
      <c r="F10574" s="0" t="s">
        <v>15</v>
      </c>
      <c r="G10574" s="0" t="s">
        <v>26</v>
      </c>
      <c r="H10574" s="0" t="n">
        <v>50</v>
      </c>
      <c r="I10574" s="0" t="s">
        <v>35286</v>
      </c>
      <c r="J10574" s="0" t="s">
        <v>35287</v>
      </c>
      <c r="K10574" s="0" t="s">
        <v>35288</v>
      </c>
      <c r="L10574" s="0" t="str">
        <f aca="false">HYPERLINK("https://www.ncbi.nlm.nih.gov/nuccore/CP000304.1?report=graph&amp;tracks=[key:gene_model_track,Options:GeneOnly]&amp;mk=2974001:2974020|offset_19|444444,2974032:2974051|offset_50|00cc00,2974054:2974073|offset_72|444444,2974091:2974110|offset_109|444444&amp;v=2973800:2974310&amp;c=444444", "offset 50")</f>
        <v>offset 50</v>
      </c>
    </row>
    <row r="10575" customFormat="false" ht="12.8" hidden="false" customHeight="false" outlineLevel="0" collapsed="false">
      <c r="A10575" s="0" t="s">
        <v>12</v>
      </c>
      <c r="B10575" s="0" t="n">
        <v>2974053</v>
      </c>
      <c r="C10575" s="0" t="n">
        <v>2974073</v>
      </c>
      <c r="D10575" s="0" t="s">
        <v>35282</v>
      </c>
      <c r="E10575" s="0" t="s">
        <v>89</v>
      </c>
      <c r="F10575" s="0" t="s">
        <v>15</v>
      </c>
      <c r="G10575" s="0" t="s">
        <v>36</v>
      </c>
      <c r="H10575" s="0" t="n">
        <v>72</v>
      </c>
      <c r="I10575" s="0" t="s">
        <v>35289</v>
      </c>
      <c r="J10575" s="0" t="s">
        <v>35290</v>
      </c>
      <c r="K10575" s="0" t="s">
        <v>35291</v>
      </c>
      <c r="L10575" s="0" t="str">
        <f aca="false">HYPERLINK("https://www.ncbi.nlm.nih.gov/nuccore/CP000304.1?report=graph&amp;tracks=[key:gene_model_track,Options:GeneOnly]&amp;mk=2974001:2974020|offset_19|444444,2974032:2974051|offset_50|444444,2974054:2974073|offset_72|00cc00,2974091:2974110|offset_109|444444&amp;v=2973800:2974310&amp;c=444444", "offset 72")</f>
        <v>offset 72</v>
      </c>
    </row>
    <row r="10576" customFormat="false" ht="12.8" hidden="false" customHeight="false" outlineLevel="0" collapsed="false">
      <c r="A10576" s="0" t="s">
        <v>12</v>
      </c>
      <c r="B10576" s="0" t="n">
        <v>2974090</v>
      </c>
      <c r="C10576" s="0" t="n">
        <v>2974110</v>
      </c>
      <c r="D10576" s="0" t="s">
        <v>35282</v>
      </c>
      <c r="E10576" s="0" t="s">
        <v>89</v>
      </c>
      <c r="F10576" s="0" t="s">
        <v>15</v>
      </c>
      <c r="G10576" s="0" t="s">
        <v>16</v>
      </c>
      <c r="H10576" s="0" t="n">
        <v>109</v>
      </c>
      <c r="I10576" s="0" t="s">
        <v>35292</v>
      </c>
      <c r="J10576" s="0" t="s">
        <v>35293</v>
      </c>
      <c r="K10576" s="0" t="s">
        <v>35294</v>
      </c>
      <c r="L10576" s="0" t="str">
        <f aca="false">HYPERLINK("https://www.ncbi.nlm.nih.gov/nuccore/CP000304.1?report=graph&amp;tracks=[key:gene_model_track,Options:GeneOnly]&amp;mk=2974001:2974020|offset_19|444444,2974032:2974051|offset_50|444444,2974054:2974073|offset_72|444444,2974091:2974110|offset_109|00cc00&amp;v=2973800:2974310&amp;c=444444", "offset 109")</f>
        <v>offset 109</v>
      </c>
    </row>
    <row r="10577" customFormat="false" ht="12.8" hidden="false" customHeight="false" outlineLevel="0" collapsed="false">
      <c r="A10577" s="0" t="s">
        <v>12</v>
      </c>
      <c r="B10577" s="0" t="n">
        <v>2975170</v>
      </c>
      <c r="C10577" s="0" t="n">
        <v>2975190</v>
      </c>
      <c r="D10577" s="0" t="s">
        <v>35295</v>
      </c>
      <c r="E10577" s="0" t="s">
        <v>89</v>
      </c>
      <c r="F10577" s="0" t="s">
        <v>90</v>
      </c>
      <c r="G10577" s="0" t="s">
        <v>36</v>
      </c>
      <c r="H10577" s="0" t="n">
        <v>16</v>
      </c>
      <c r="I10577" s="0" t="s">
        <v>35296</v>
      </c>
      <c r="J10577" s="0" t="s">
        <v>35297</v>
      </c>
      <c r="K10577" s="0" t="s">
        <v>35298</v>
      </c>
      <c r="L10577" s="0" t="str">
        <f aca="false">HYPERLINK("https://www.ncbi.nlm.nih.gov/nuccore/CP000304.1?report=graph&amp;tracks=[key:gene_model_track,Options:GeneOnly]&amp;mk=2975171:2975190|offset_16|00cc00,2975150:2975169|offset_37|444444,2975120:2975139|offset_67|444444,2975090:2975109|offset_97|444444&amp;v=2974970:2975309&amp;c=444444", "offset 16")</f>
        <v>offset 16</v>
      </c>
    </row>
    <row r="10578" customFormat="false" ht="12.8" hidden="false" customHeight="false" outlineLevel="0" collapsed="false">
      <c r="A10578" s="0" t="s">
        <v>12</v>
      </c>
      <c r="B10578" s="0" t="n">
        <v>2975149</v>
      </c>
      <c r="C10578" s="0" t="n">
        <v>2975169</v>
      </c>
      <c r="D10578" s="0" t="s">
        <v>35295</v>
      </c>
      <c r="E10578" s="0" t="s">
        <v>89</v>
      </c>
      <c r="F10578" s="0" t="s">
        <v>90</v>
      </c>
      <c r="G10578" s="0" t="s">
        <v>16</v>
      </c>
      <c r="H10578" s="0" t="n">
        <v>37</v>
      </c>
      <c r="I10578" s="0" t="s">
        <v>35299</v>
      </c>
      <c r="J10578" s="0" t="s">
        <v>35300</v>
      </c>
      <c r="K10578" s="0" t="s">
        <v>35301</v>
      </c>
      <c r="L10578" s="0" t="str">
        <f aca="false">HYPERLINK("https://www.ncbi.nlm.nih.gov/nuccore/CP000304.1?report=graph&amp;tracks=[key:gene_model_track,Options:GeneOnly]&amp;mk=2975171:2975190|offset_16|444444,2975150:2975169|offset_37|00cc00,2975120:2975139|offset_67|444444,2975090:2975109|offset_97|444444&amp;v=2974970:2975309&amp;c=444444", "offset 37")</f>
        <v>offset 37</v>
      </c>
    </row>
    <row r="10579" customFormat="false" ht="12.8" hidden="false" customHeight="false" outlineLevel="0" collapsed="false">
      <c r="A10579" s="0" t="s">
        <v>12</v>
      </c>
      <c r="B10579" s="0" t="n">
        <v>2975119</v>
      </c>
      <c r="C10579" s="0" t="n">
        <v>2975139</v>
      </c>
      <c r="D10579" s="0" t="s">
        <v>35295</v>
      </c>
      <c r="E10579" s="0" t="s">
        <v>89</v>
      </c>
      <c r="F10579" s="0" t="s">
        <v>90</v>
      </c>
      <c r="G10579" s="0" t="s">
        <v>16</v>
      </c>
      <c r="H10579" s="0" t="n">
        <v>67</v>
      </c>
      <c r="I10579" s="0" t="s">
        <v>35302</v>
      </c>
      <c r="J10579" s="0" t="s">
        <v>35303</v>
      </c>
      <c r="K10579" s="0" t="s">
        <v>35304</v>
      </c>
      <c r="L10579" s="0" t="str">
        <f aca="false">HYPERLINK("https://www.ncbi.nlm.nih.gov/nuccore/CP000304.1?report=graph&amp;tracks=[key:gene_model_track,Options:GeneOnly]&amp;mk=2975171:2975190|offset_16|444444,2975150:2975169|offset_37|444444,2975120:2975139|offset_67|00cc00,2975090:2975109|offset_97|444444&amp;v=2974970:2975309&amp;c=444444", "offset 67")</f>
        <v>offset 67</v>
      </c>
    </row>
    <row r="10580" customFormat="false" ht="12.8" hidden="false" customHeight="false" outlineLevel="0" collapsed="false">
      <c r="A10580" s="0" t="s">
        <v>12</v>
      </c>
      <c r="B10580" s="0" t="n">
        <v>2975089</v>
      </c>
      <c r="C10580" s="0" t="n">
        <v>2975109</v>
      </c>
      <c r="D10580" s="0" t="s">
        <v>35295</v>
      </c>
      <c r="E10580" s="0" t="s">
        <v>89</v>
      </c>
      <c r="F10580" s="0" t="s">
        <v>90</v>
      </c>
      <c r="G10580" s="0" t="s">
        <v>16</v>
      </c>
      <c r="H10580" s="0" t="n">
        <v>97</v>
      </c>
      <c r="I10580" s="0" t="s">
        <v>35305</v>
      </c>
      <c r="J10580" s="0" t="s">
        <v>35306</v>
      </c>
      <c r="K10580" s="0" t="s">
        <v>35307</v>
      </c>
      <c r="L10580" s="0" t="str">
        <f aca="false">HYPERLINK("https://www.ncbi.nlm.nih.gov/nuccore/CP000304.1?report=graph&amp;tracks=[key:gene_model_track,Options:GeneOnly]&amp;mk=2975171:2975190|offset_16|444444,2975150:2975169|offset_37|444444,2975120:2975139|offset_67|444444,2975090:2975109|offset_97|00cc00&amp;v=2974970:2975309&amp;c=444444", "offset 97")</f>
        <v>offset 97</v>
      </c>
    </row>
    <row r="10581" customFormat="false" ht="12.8" hidden="false" customHeight="false" outlineLevel="0" collapsed="false">
      <c r="A10581" s="0" t="s">
        <v>12</v>
      </c>
      <c r="B10581" s="0" t="n">
        <v>2975962</v>
      </c>
      <c r="C10581" s="0" t="n">
        <v>2975982</v>
      </c>
      <c r="D10581" s="0" t="s">
        <v>35308</v>
      </c>
      <c r="E10581" s="0" t="s">
        <v>89</v>
      </c>
      <c r="F10581" s="0" t="s">
        <v>90</v>
      </c>
      <c r="G10581" s="0" t="s">
        <v>16</v>
      </c>
      <c r="H10581" s="0" t="n">
        <v>1</v>
      </c>
      <c r="I10581" s="0" t="s">
        <v>35309</v>
      </c>
      <c r="J10581" s="0" t="s">
        <v>35310</v>
      </c>
      <c r="K10581" s="0" t="s">
        <v>35311</v>
      </c>
      <c r="L10581" s="0" t="str">
        <f aca="false">HYPERLINK("https://www.ncbi.nlm.nih.gov/nuccore/CP000304.1?report=graph&amp;tracks=[key:gene_model_track,Options:GeneOnly]&amp;mk=2975963:2975982|offset_1|00cc00,2975932:2975951|offset_32|444444,2975892:2975911|offset_72|444444,2975867:2975886|offset_97|444444&amp;v=2975762:2976086&amp;c=444444", "offset 1")</f>
        <v>offset 1</v>
      </c>
    </row>
    <row r="10582" customFormat="false" ht="12.8" hidden="false" customHeight="false" outlineLevel="0" collapsed="false">
      <c r="A10582" s="0" t="s">
        <v>12</v>
      </c>
      <c r="B10582" s="0" t="n">
        <v>2975931</v>
      </c>
      <c r="C10582" s="0" t="n">
        <v>2975951</v>
      </c>
      <c r="D10582" s="0" t="s">
        <v>35308</v>
      </c>
      <c r="E10582" s="0" t="s">
        <v>89</v>
      </c>
      <c r="F10582" s="0" t="s">
        <v>90</v>
      </c>
      <c r="G10582" s="0" t="s">
        <v>26</v>
      </c>
      <c r="H10582" s="0" t="n">
        <v>32</v>
      </c>
      <c r="I10582" s="0" t="s">
        <v>35312</v>
      </c>
      <c r="J10582" s="0" t="s">
        <v>35313</v>
      </c>
      <c r="K10582" s="0" t="s">
        <v>35314</v>
      </c>
      <c r="L10582" s="0" t="str">
        <f aca="false">HYPERLINK("https://www.ncbi.nlm.nih.gov/nuccore/CP000304.1?report=graph&amp;tracks=[key:gene_model_track,Options:GeneOnly]&amp;mk=2975963:2975982|offset_1|444444,2975932:2975951|offset_32|00cc00,2975892:2975911|offset_72|444444,2975867:2975886|offset_97|444444&amp;v=2975762:2976086&amp;c=444444", "offset 32")</f>
        <v>offset 32</v>
      </c>
    </row>
    <row r="10583" customFormat="false" ht="12.8" hidden="false" customHeight="false" outlineLevel="0" collapsed="false">
      <c r="A10583" s="0" t="s">
        <v>12</v>
      </c>
      <c r="B10583" s="0" t="n">
        <v>2975891</v>
      </c>
      <c r="C10583" s="0" t="n">
        <v>2975911</v>
      </c>
      <c r="D10583" s="0" t="s">
        <v>35308</v>
      </c>
      <c r="E10583" s="0" t="s">
        <v>89</v>
      </c>
      <c r="F10583" s="0" t="s">
        <v>90</v>
      </c>
      <c r="G10583" s="0" t="s">
        <v>36</v>
      </c>
      <c r="H10583" s="0" t="n">
        <v>72</v>
      </c>
      <c r="I10583" s="0" t="s">
        <v>35315</v>
      </c>
      <c r="J10583" s="0" t="s">
        <v>35316</v>
      </c>
      <c r="K10583" s="0" t="s">
        <v>35317</v>
      </c>
      <c r="L10583" s="0" t="str">
        <f aca="false">HYPERLINK("https://www.ncbi.nlm.nih.gov/nuccore/CP000304.1?report=graph&amp;tracks=[key:gene_model_track,Options:GeneOnly]&amp;mk=2975963:2975982|offset_1|444444,2975932:2975951|offset_32|444444,2975892:2975911|offset_72|00cc00,2975867:2975886|offset_97|444444&amp;v=2975762:2976086&amp;c=444444", "offset 72")</f>
        <v>offset 72</v>
      </c>
    </row>
    <row r="10584" customFormat="false" ht="12.8" hidden="false" customHeight="false" outlineLevel="0" collapsed="false">
      <c r="A10584" s="0" t="s">
        <v>12</v>
      </c>
      <c r="B10584" s="0" t="n">
        <v>2975866</v>
      </c>
      <c r="C10584" s="0" t="n">
        <v>2975886</v>
      </c>
      <c r="D10584" s="0" t="s">
        <v>35308</v>
      </c>
      <c r="E10584" s="0" t="s">
        <v>89</v>
      </c>
      <c r="F10584" s="0" t="s">
        <v>90</v>
      </c>
      <c r="G10584" s="0" t="s">
        <v>16</v>
      </c>
      <c r="H10584" s="0" t="n">
        <v>97</v>
      </c>
      <c r="I10584" s="0" t="s">
        <v>35318</v>
      </c>
      <c r="J10584" s="0" t="s">
        <v>35319</v>
      </c>
      <c r="K10584" s="0" t="s">
        <v>35320</v>
      </c>
      <c r="L10584" s="0" t="str">
        <f aca="false">HYPERLINK("https://www.ncbi.nlm.nih.gov/nuccore/CP000304.1?report=graph&amp;tracks=[key:gene_model_track,Options:GeneOnly]&amp;mk=2975963:2975982|offset_1|444444,2975932:2975951|offset_32|444444,2975892:2975911|offset_72|444444,2975867:2975886|offset_97|00cc00&amp;v=2975762:2976086&amp;c=444444", "offset 97")</f>
        <v>offset 97</v>
      </c>
    </row>
    <row r="10585" customFormat="false" ht="12.8" hidden="false" customHeight="false" outlineLevel="0" collapsed="false">
      <c r="A10585" s="0" t="s">
        <v>12</v>
      </c>
      <c r="B10585" s="0" t="n">
        <v>2976420</v>
      </c>
      <c r="C10585" s="0" t="n">
        <v>2976440</v>
      </c>
      <c r="D10585" s="0" t="s">
        <v>35321</v>
      </c>
      <c r="E10585" s="0" t="s">
        <v>89</v>
      </c>
      <c r="F10585" s="0" t="s">
        <v>90</v>
      </c>
      <c r="G10585" s="0" t="s">
        <v>26</v>
      </c>
      <c r="H10585" s="0" t="n">
        <v>23</v>
      </c>
      <c r="I10585" s="0" t="s">
        <v>35322</v>
      </c>
      <c r="J10585" s="0" t="s">
        <v>35323</v>
      </c>
      <c r="K10585" s="0" t="s">
        <v>35324</v>
      </c>
      <c r="L10585" s="0" t="str">
        <f aca="false">HYPERLINK("https://www.ncbi.nlm.nih.gov/nuccore/CP000304.1?report=graph&amp;tracks=[key:gene_model_track,Options:GeneOnly]&amp;mk=2976421:2976440|offset_23|00cc00,2976388:2976407|offset_56|444444,2976343:2976362|offset_101|444444,2976323:2976342|offset_121|444444&amp;v=2976220:2976542&amp;c=444444", "offset 23")</f>
        <v>offset 23</v>
      </c>
    </row>
    <row r="10586" customFormat="false" ht="12.8" hidden="false" customHeight="false" outlineLevel="0" collapsed="false">
      <c r="A10586" s="0" t="s">
        <v>12</v>
      </c>
      <c r="B10586" s="0" t="n">
        <v>2976387</v>
      </c>
      <c r="C10586" s="0" t="n">
        <v>2976407</v>
      </c>
      <c r="D10586" s="0" t="s">
        <v>35321</v>
      </c>
      <c r="E10586" s="0" t="s">
        <v>89</v>
      </c>
      <c r="F10586" s="0" t="s">
        <v>90</v>
      </c>
      <c r="G10586" s="0" t="s">
        <v>26</v>
      </c>
      <c r="H10586" s="0" t="n">
        <v>56</v>
      </c>
      <c r="I10586" s="0" t="s">
        <v>35325</v>
      </c>
      <c r="J10586" s="0" t="s">
        <v>35326</v>
      </c>
      <c r="K10586" s="0" t="s">
        <v>35327</v>
      </c>
      <c r="L10586" s="0" t="str">
        <f aca="false">HYPERLINK("https://www.ncbi.nlm.nih.gov/nuccore/CP000304.1?report=graph&amp;tracks=[key:gene_model_track,Options:GeneOnly]&amp;mk=2976421:2976440|offset_23|444444,2976388:2976407|offset_56|00cc00,2976343:2976362|offset_101|444444,2976323:2976342|offset_121|444444&amp;v=2976220:2976542&amp;c=444444", "offset 56")</f>
        <v>offset 56</v>
      </c>
    </row>
    <row r="10587" customFormat="false" ht="12.8" hidden="false" customHeight="false" outlineLevel="0" collapsed="false">
      <c r="A10587" s="0" t="s">
        <v>12</v>
      </c>
      <c r="B10587" s="0" t="n">
        <v>2976342</v>
      </c>
      <c r="C10587" s="0" t="n">
        <v>2976362</v>
      </c>
      <c r="D10587" s="0" t="s">
        <v>35321</v>
      </c>
      <c r="E10587" s="0" t="s">
        <v>89</v>
      </c>
      <c r="F10587" s="0" t="s">
        <v>90</v>
      </c>
      <c r="G10587" s="0" t="s">
        <v>16</v>
      </c>
      <c r="H10587" s="0" t="n">
        <v>101</v>
      </c>
      <c r="I10587" s="0" t="s">
        <v>35328</v>
      </c>
      <c r="J10587" s="0" t="s">
        <v>35329</v>
      </c>
      <c r="K10587" s="0" t="s">
        <v>35330</v>
      </c>
      <c r="L10587" s="0" t="str">
        <f aca="false">HYPERLINK("https://www.ncbi.nlm.nih.gov/nuccore/CP000304.1?report=graph&amp;tracks=[key:gene_model_track,Options:GeneOnly]&amp;mk=2976421:2976440|offset_23|444444,2976388:2976407|offset_56|444444,2976343:2976362|offset_101|00cc00,2976323:2976342|offset_121|444444&amp;v=2976220:2976542&amp;c=444444", "offset 101")</f>
        <v>offset 101</v>
      </c>
    </row>
    <row r="10588" customFormat="false" ht="12.8" hidden="false" customHeight="false" outlineLevel="0" collapsed="false">
      <c r="A10588" s="0" t="s">
        <v>12</v>
      </c>
      <c r="B10588" s="0" t="n">
        <v>2976322</v>
      </c>
      <c r="C10588" s="0" t="n">
        <v>2976342</v>
      </c>
      <c r="D10588" s="0" t="s">
        <v>35321</v>
      </c>
      <c r="E10588" s="0" t="s">
        <v>89</v>
      </c>
      <c r="F10588" s="0" t="s">
        <v>90</v>
      </c>
      <c r="G10588" s="0" t="s">
        <v>36</v>
      </c>
      <c r="H10588" s="0" t="n">
        <v>121</v>
      </c>
      <c r="I10588" s="0" t="s">
        <v>35331</v>
      </c>
      <c r="J10588" s="0" t="s">
        <v>35332</v>
      </c>
      <c r="K10588" s="0" t="s">
        <v>35333</v>
      </c>
      <c r="L10588" s="0" t="str">
        <f aca="false">HYPERLINK("https://www.ncbi.nlm.nih.gov/nuccore/CP000304.1?report=graph&amp;tracks=[key:gene_model_track,Options:GeneOnly]&amp;mk=2976421:2976440|offset_23|444444,2976388:2976407|offset_56|444444,2976343:2976362|offset_101|444444,2976323:2976342|offset_121|00cc00&amp;v=2976220:2976542&amp;c=444444", "offset 121")</f>
        <v>offset 121</v>
      </c>
    </row>
    <row r="10589" customFormat="false" ht="12.8" hidden="false" customHeight="false" outlineLevel="0" collapsed="false">
      <c r="A10589" s="0" t="s">
        <v>12</v>
      </c>
      <c r="B10589" s="0" t="n">
        <v>2976668</v>
      </c>
      <c r="C10589" s="0" t="n">
        <v>2976688</v>
      </c>
      <c r="D10589" s="0" t="s">
        <v>35334</v>
      </c>
      <c r="E10589" s="0" t="s">
        <v>89</v>
      </c>
      <c r="F10589" s="0" t="s">
        <v>90</v>
      </c>
      <c r="G10589" s="0" t="s">
        <v>26</v>
      </c>
      <c r="H10589" s="0" t="n">
        <v>11</v>
      </c>
      <c r="I10589" s="0" t="s">
        <v>35335</v>
      </c>
      <c r="J10589" s="0" t="s">
        <v>35336</v>
      </c>
      <c r="K10589" s="0" t="s">
        <v>35337</v>
      </c>
      <c r="L10589" s="0" t="str">
        <f aca="false">HYPERLINK("https://www.ncbi.nlm.nih.gov/nuccore/CP000304.1?report=graph&amp;tracks=[key:gene_model_track,Options:GeneOnly]&amp;mk=2976669:2976688|offset_11|00cc00,2976649:2976668|offset_31|444444,2976616:2976635|offset_64|444444,2976592:2976611|offset_88|444444&amp;v=2976468:2976811&amp;c=444444", "offset 11")</f>
        <v>offset 11</v>
      </c>
    </row>
    <row r="10590" customFormat="false" ht="12.8" hidden="false" customHeight="false" outlineLevel="0" collapsed="false">
      <c r="A10590" s="0" t="s">
        <v>12</v>
      </c>
      <c r="B10590" s="0" t="n">
        <v>2976648</v>
      </c>
      <c r="C10590" s="0" t="n">
        <v>2976668</v>
      </c>
      <c r="D10590" s="0" t="s">
        <v>35334</v>
      </c>
      <c r="E10590" s="0" t="s">
        <v>89</v>
      </c>
      <c r="F10590" s="0" t="s">
        <v>90</v>
      </c>
      <c r="G10590" s="0" t="s">
        <v>32</v>
      </c>
      <c r="H10590" s="0" t="n">
        <v>31</v>
      </c>
      <c r="I10590" s="0" t="s">
        <v>35338</v>
      </c>
      <c r="J10590" s="0" t="s">
        <v>35339</v>
      </c>
      <c r="K10590" s="0" t="s">
        <v>35340</v>
      </c>
      <c r="L10590" s="0" t="str">
        <f aca="false">HYPERLINK("https://www.ncbi.nlm.nih.gov/nuccore/CP000304.1?report=graph&amp;tracks=[key:gene_model_track,Options:GeneOnly]&amp;mk=2976669:2976688|offset_11|444444,2976649:2976668|offset_31|00cc00,2976616:2976635|offset_64|444444,2976592:2976611|offset_88|444444&amp;v=2976468:2976811&amp;c=444444", "offset 31")</f>
        <v>offset 31</v>
      </c>
    </row>
    <row r="10591" customFormat="false" ht="12.8" hidden="false" customHeight="false" outlineLevel="0" collapsed="false">
      <c r="A10591" s="0" t="s">
        <v>12</v>
      </c>
      <c r="B10591" s="0" t="n">
        <v>2976615</v>
      </c>
      <c r="C10591" s="0" t="n">
        <v>2976635</v>
      </c>
      <c r="D10591" s="0" t="s">
        <v>35334</v>
      </c>
      <c r="E10591" s="0" t="s">
        <v>89</v>
      </c>
      <c r="F10591" s="0" t="s">
        <v>90</v>
      </c>
      <c r="G10591" s="0" t="s">
        <v>26</v>
      </c>
      <c r="H10591" s="0" t="n">
        <v>64</v>
      </c>
      <c r="I10591" s="0" t="s">
        <v>35341</v>
      </c>
      <c r="J10591" s="0" t="s">
        <v>35342</v>
      </c>
      <c r="K10591" s="0" t="s">
        <v>35343</v>
      </c>
      <c r="L10591" s="0" t="str">
        <f aca="false">HYPERLINK("https://www.ncbi.nlm.nih.gov/nuccore/CP000304.1?report=graph&amp;tracks=[key:gene_model_track,Options:GeneOnly]&amp;mk=2976669:2976688|offset_11|444444,2976649:2976668|offset_31|444444,2976616:2976635|offset_64|00cc00,2976592:2976611|offset_88|444444&amp;v=2976468:2976811&amp;c=444444", "offset 64")</f>
        <v>offset 64</v>
      </c>
    </row>
    <row r="10592" customFormat="false" ht="12.8" hidden="false" customHeight="false" outlineLevel="0" collapsed="false">
      <c r="A10592" s="0" t="s">
        <v>12</v>
      </c>
      <c r="B10592" s="0" t="n">
        <v>2976591</v>
      </c>
      <c r="C10592" s="0" t="n">
        <v>2976611</v>
      </c>
      <c r="D10592" s="0" t="s">
        <v>35334</v>
      </c>
      <c r="E10592" s="0" t="s">
        <v>89</v>
      </c>
      <c r="F10592" s="0" t="s">
        <v>90</v>
      </c>
      <c r="G10592" s="0" t="s">
        <v>36</v>
      </c>
      <c r="H10592" s="0" t="n">
        <v>88</v>
      </c>
      <c r="I10592" s="0" t="s">
        <v>35344</v>
      </c>
      <c r="J10592" s="0" t="s">
        <v>35345</v>
      </c>
      <c r="K10592" s="0" t="s">
        <v>35346</v>
      </c>
      <c r="L10592" s="0" t="str">
        <f aca="false">HYPERLINK("https://www.ncbi.nlm.nih.gov/nuccore/CP000304.1?report=graph&amp;tracks=[key:gene_model_track,Options:GeneOnly]&amp;mk=2976669:2976688|offset_11|444444,2976649:2976668|offset_31|444444,2976616:2976635|offset_64|444444,2976592:2976611|offset_88|00cc00&amp;v=2976468:2976811&amp;c=444444", "offset 88")</f>
        <v>offset 88</v>
      </c>
    </row>
    <row r="10593" customFormat="false" ht="12.8" hidden="false" customHeight="false" outlineLevel="0" collapsed="false">
      <c r="A10593" s="0" t="s">
        <v>12</v>
      </c>
      <c r="B10593" s="0" t="n">
        <v>2978007</v>
      </c>
      <c r="C10593" s="0" t="n">
        <v>2978027</v>
      </c>
      <c r="D10593" s="0" t="s">
        <v>35347</v>
      </c>
      <c r="E10593" s="0" t="s">
        <v>89</v>
      </c>
      <c r="F10593" s="0" t="s">
        <v>90</v>
      </c>
      <c r="G10593" s="0" t="s">
        <v>16</v>
      </c>
      <c r="H10593" s="0" t="n">
        <v>11</v>
      </c>
      <c r="I10593" s="0" t="s">
        <v>35348</v>
      </c>
      <c r="J10593" s="0" t="s">
        <v>35349</v>
      </c>
      <c r="K10593" s="0" t="s">
        <v>35350</v>
      </c>
      <c r="L10593" s="0" t="str">
        <f aca="false">HYPERLINK("https://www.ncbi.nlm.nih.gov/nuccore/CP000304.1?report=graph&amp;tracks=[key:gene_model_track,Options:GeneOnly]&amp;mk=2978008:2978027|offset_11|00cc00,2977982:2978001|offset_37|444444,2977960:2977979|offset_59|444444,2977894:2977913|offset_125|444444&amp;v=2977807:2978113&amp;c=444444", "offset 11")</f>
        <v>offset 11</v>
      </c>
    </row>
    <row r="10594" customFormat="false" ht="12.8" hidden="false" customHeight="false" outlineLevel="0" collapsed="false">
      <c r="A10594" s="0" t="s">
        <v>12</v>
      </c>
      <c r="B10594" s="0" t="n">
        <v>2977981</v>
      </c>
      <c r="C10594" s="0" t="n">
        <v>2978001</v>
      </c>
      <c r="D10594" s="0" t="s">
        <v>35347</v>
      </c>
      <c r="E10594" s="0" t="s">
        <v>89</v>
      </c>
      <c r="F10594" s="0" t="s">
        <v>90</v>
      </c>
      <c r="G10594" s="0" t="s">
        <v>32</v>
      </c>
      <c r="H10594" s="0" t="n">
        <v>37</v>
      </c>
      <c r="I10594" s="0" t="s">
        <v>35351</v>
      </c>
      <c r="J10594" s="0" t="s">
        <v>35352</v>
      </c>
      <c r="K10594" s="0" t="s">
        <v>35353</v>
      </c>
      <c r="L10594" s="0" t="str">
        <f aca="false">HYPERLINK("https://www.ncbi.nlm.nih.gov/nuccore/CP000304.1?report=graph&amp;tracks=[key:gene_model_track,Options:GeneOnly]&amp;mk=2978008:2978027|offset_11|444444,2977982:2978001|offset_37|00cc00,2977960:2977979|offset_59|444444,2977894:2977913|offset_125|444444&amp;v=2977807:2978113&amp;c=444444", "offset 37")</f>
        <v>offset 37</v>
      </c>
    </row>
    <row r="10595" customFormat="false" ht="12.8" hidden="false" customHeight="false" outlineLevel="0" collapsed="false">
      <c r="A10595" s="0" t="s">
        <v>12</v>
      </c>
      <c r="B10595" s="0" t="n">
        <v>2977959</v>
      </c>
      <c r="C10595" s="0" t="n">
        <v>2977979</v>
      </c>
      <c r="D10595" s="0" t="s">
        <v>35347</v>
      </c>
      <c r="E10595" s="0" t="s">
        <v>89</v>
      </c>
      <c r="F10595" s="0" t="s">
        <v>90</v>
      </c>
      <c r="G10595" s="0" t="s">
        <v>16</v>
      </c>
      <c r="H10595" s="0" t="n">
        <v>59</v>
      </c>
      <c r="I10595" s="0" t="s">
        <v>35354</v>
      </c>
      <c r="J10595" s="0" t="s">
        <v>35355</v>
      </c>
      <c r="K10595" s="0" t="s">
        <v>35356</v>
      </c>
      <c r="L10595" s="0" t="str">
        <f aca="false">HYPERLINK("https://www.ncbi.nlm.nih.gov/nuccore/CP000304.1?report=graph&amp;tracks=[key:gene_model_track,Options:GeneOnly]&amp;mk=2978008:2978027|offset_11|444444,2977982:2978001|offset_37|444444,2977960:2977979|offset_59|00cc00,2977894:2977913|offset_125|444444&amp;v=2977807:2978113&amp;c=444444", "offset 59")</f>
        <v>offset 59</v>
      </c>
    </row>
    <row r="10596" customFormat="false" ht="12.8" hidden="false" customHeight="false" outlineLevel="0" collapsed="false">
      <c r="A10596" s="0" t="s">
        <v>12</v>
      </c>
      <c r="B10596" s="0" t="n">
        <v>2977893</v>
      </c>
      <c r="C10596" s="0" t="n">
        <v>2977913</v>
      </c>
      <c r="D10596" s="0" t="s">
        <v>35347</v>
      </c>
      <c r="E10596" s="0" t="s">
        <v>89</v>
      </c>
      <c r="F10596" s="0" t="s">
        <v>90</v>
      </c>
      <c r="G10596" s="0" t="s">
        <v>32</v>
      </c>
      <c r="H10596" s="0" t="n">
        <v>125</v>
      </c>
      <c r="I10596" s="0" t="s">
        <v>35357</v>
      </c>
      <c r="J10596" s="0" t="s">
        <v>35358</v>
      </c>
      <c r="K10596" s="0" t="s">
        <v>35359</v>
      </c>
      <c r="L10596" s="0" t="str">
        <f aca="false">HYPERLINK("https://www.ncbi.nlm.nih.gov/nuccore/CP000304.1?report=graph&amp;tracks=[key:gene_model_track,Options:GeneOnly]&amp;mk=2978008:2978027|offset_11|444444,2977982:2978001|offset_37|444444,2977960:2977979|offset_59|444444,2977894:2977913|offset_125|00cc00&amp;v=2977807:2978113&amp;c=444444", "offset 125")</f>
        <v>offset 125</v>
      </c>
    </row>
    <row r="10597" customFormat="false" ht="12.8" hidden="false" customHeight="false" outlineLevel="0" collapsed="false">
      <c r="A10597" s="0" t="s">
        <v>12</v>
      </c>
      <c r="B10597" s="0" t="n">
        <v>2979378</v>
      </c>
      <c r="C10597" s="0" t="n">
        <v>2979398</v>
      </c>
      <c r="D10597" s="0" t="s">
        <v>35360</v>
      </c>
      <c r="E10597" s="0" t="s">
        <v>35361</v>
      </c>
      <c r="F10597" s="0" t="s">
        <v>90</v>
      </c>
      <c r="G10597" s="0" t="s">
        <v>16</v>
      </c>
      <c r="H10597" s="0" t="n">
        <v>11</v>
      </c>
      <c r="I10597" s="0" t="s">
        <v>35362</v>
      </c>
      <c r="J10597" s="0" t="s">
        <v>35363</v>
      </c>
      <c r="K10597" s="0" t="s">
        <v>35364</v>
      </c>
      <c r="L10597" s="0" t="str">
        <f aca="false">HYPERLINK("https://www.ncbi.nlm.nih.gov/nuccore/CP000304.1?report=graph&amp;tracks=[key:gene_model_track,Options:GeneOnly]&amp;mk=2979379:2979398|offset_11|00cc00,2979337:2979356|offset_53|444444,2979309:2979328|offset_81|444444,2979254:2979273|offset_136|444444&amp;v=2979178:2979473&amp;c=444444", "offset 11")</f>
        <v>offset 11</v>
      </c>
    </row>
    <row r="10598" customFormat="false" ht="12.8" hidden="false" customHeight="false" outlineLevel="0" collapsed="false">
      <c r="A10598" s="0" t="s">
        <v>12</v>
      </c>
      <c r="B10598" s="0" t="n">
        <v>2979336</v>
      </c>
      <c r="C10598" s="0" t="n">
        <v>2979356</v>
      </c>
      <c r="D10598" s="0" t="s">
        <v>35360</v>
      </c>
      <c r="E10598" s="0" t="s">
        <v>35361</v>
      </c>
      <c r="F10598" s="0" t="s">
        <v>90</v>
      </c>
      <c r="G10598" s="0" t="s">
        <v>32</v>
      </c>
      <c r="H10598" s="0" t="n">
        <v>53</v>
      </c>
      <c r="I10598" s="0" t="s">
        <v>35365</v>
      </c>
      <c r="J10598" s="0" t="s">
        <v>35366</v>
      </c>
      <c r="K10598" s="0" t="s">
        <v>35367</v>
      </c>
      <c r="L10598" s="0" t="str">
        <f aca="false">HYPERLINK("https://www.ncbi.nlm.nih.gov/nuccore/CP000304.1?report=graph&amp;tracks=[key:gene_model_track,Options:GeneOnly]&amp;mk=2979379:2979398|offset_11|444444,2979337:2979356|offset_53|00cc00,2979309:2979328|offset_81|444444,2979254:2979273|offset_136|444444&amp;v=2979178:2979473&amp;c=444444", "offset 53")</f>
        <v>offset 53</v>
      </c>
    </row>
    <row r="10599" customFormat="false" ht="12.8" hidden="false" customHeight="false" outlineLevel="0" collapsed="false">
      <c r="A10599" s="0" t="s">
        <v>12</v>
      </c>
      <c r="B10599" s="0" t="n">
        <v>2979308</v>
      </c>
      <c r="C10599" s="0" t="n">
        <v>2979328</v>
      </c>
      <c r="D10599" s="0" t="s">
        <v>35360</v>
      </c>
      <c r="E10599" s="0" t="s">
        <v>35361</v>
      </c>
      <c r="F10599" s="0" t="s">
        <v>90</v>
      </c>
      <c r="G10599" s="0" t="s">
        <v>16</v>
      </c>
      <c r="H10599" s="0" t="n">
        <v>81</v>
      </c>
      <c r="I10599" s="0" t="s">
        <v>35368</v>
      </c>
      <c r="J10599" s="0" t="s">
        <v>35369</v>
      </c>
      <c r="K10599" s="0" t="s">
        <v>35370</v>
      </c>
      <c r="L10599" s="0" t="str">
        <f aca="false">HYPERLINK("https://www.ncbi.nlm.nih.gov/nuccore/CP000304.1?report=graph&amp;tracks=[key:gene_model_track,Options:GeneOnly]&amp;mk=2979379:2979398|offset_11|444444,2979337:2979356|offset_53|444444,2979309:2979328|offset_81|00cc00,2979254:2979273|offset_136|444444&amp;v=2979178:2979473&amp;c=444444", "offset 81")</f>
        <v>offset 81</v>
      </c>
    </row>
    <row r="10600" customFormat="false" ht="12.8" hidden="false" customHeight="false" outlineLevel="0" collapsed="false">
      <c r="A10600" s="0" t="s">
        <v>12</v>
      </c>
      <c r="B10600" s="0" t="n">
        <v>2979253</v>
      </c>
      <c r="C10600" s="0" t="n">
        <v>2979273</v>
      </c>
      <c r="D10600" s="0" t="s">
        <v>35360</v>
      </c>
      <c r="E10600" s="0" t="s">
        <v>35361</v>
      </c>
      <c r="F10600" s="0" t="s">
        <v>90</v>
      </c>
      <c r="G10600" s="0" t="s">
        <v>16</v>
      </c>
      <c r="H10600" s="0" t="n">
        <v>136</v>
      </c>
      <c r="I10600" s="0" t="s">
        <v>35371</v>
      </c>
      <c r="J10600" s="0" t="s">
        <v>35372</v>
      </c>
      <c r="K10600" s="0" t="s">
        <v>35373</v>
      </c>
      <c r="L10600" s="0" t="str">
        <f aca="false">HYPERLINK("https://www.ncbi.nlm.nih.gov/nuccore/CP000304.1?report=graph&amp;tracks=[key:gene_model_track,Options:GeneOnly]&amp;mk=2979379:2979398|offset_11|444444,2979337:2979356|offset_53|444444,2979309:2979328|offset_81|444444,2979254:2979273|offset_136|00cc00&amp;v=2979178:2979473&amp;c=444444", "offset 136")</f>
        <v>offset 136</v>
      </c>
    </row>
    <row r="10601" customFormat="false" ht="12.8" hidden="false" customHeight="false" outlineLevel="0" collapsed="false">
      <c r="A10601" s="0" t="s">
        <v>12</v>
      </c>
      <c r="B10601" s="0" t="n">
        <v>2980486</v>
      </c>
      <c r="C10601" s="0" t="n">
        <v>2980506</v>
      </c>
      <c r="D10601" s="0" t="s">
        <v>35374</v>
      </c>
      <c r="E10601" s="0" t="s">
        <v>89</v>
      </c>
      <c r="F10601" s="0" t="s">
        <v>90</v>
      </c>
      <c r="G10601" s="0" t="s">
        <v>16</v>
      </c>
      <c r="H10601" s="0" t="n">
        <v>1</v>
      </c>
      <c r="I10601" s="0" t="s">
        <v>35375</v>
      </c>
      <c r="J10601" s="0" t="s">
        <v>35376</v>
      </c>
      <c r="K10601" s="0" t="s">
        <v>35377</v>
      </c>
      <c r="L10601" s="0" t="str">
        <f aca="false">HYPERLINK("https://www.ncbi.nlm.nih.gov/nuccore/CP000304.1?report=graph&amp;tracks=[key:gene_model_track,Options:GeneOnly]&amp;mk=2980487:2980506|offset_1|00cc00,2980456:2980475|offset_32|444444,2980426:2980445|offset_62|444444,2980399:2980418|offset_89|444444&amp;v=2980286:2980618&amp;c=444444", "offset 1")</f>
        <v>offset 1</v>
      </c>
    </row>
    <row r="10602" customFormat="false" ht="12.8" hidden="false" customHeight="false" outlineLevel="0" collapsed="false">
      <c r="A10602" s="0" t="s">
        <v>12</v>
      </c>
      <c r="B10602" s="0" t="n">
        <v>2980455</v>
      </c>
      <c r="C10602" s="0" t="n">
        <v>2980475</v>
      </c>
      <c r="D10602" s="0" t="s">
        <v>35374</v>
      </c>
      <c r="E10602" s="0" t="s">
        <v>89</v>
      </c>
      <c r="F10602" s="0" t="s">
        <v>90</v>
      </c>
      <c r="G10602" s="0" t="s">
        <v>26</v>
      </c>
      <c r="H10602" s="0" t="n">
        <v>32</v>
      </c>
      <c r="I10602" s="0" t="s">
        <v>35378</v>
      </c>
      <c r="J10602" s="0" t="s">
        <v>35379</v>
      </c>
      <c r="K10602" s="0" t="s">
        <v>35380</v>
      </c>
      <c r="L10602" s="0" t="str">
        <f aca="false">HYPERLINK("https://www.ncbi.nlm.nih.gov/nuccore/CP000304.1?report=graph&amp;tracks=[key:gene_model_track,Options:GeneOnly]&amp;mk=2980487:2980506|offset_1|444444,2980456:2980475|offset_32|00cc00,2980426:2980445|offset_62|444444,2980399:2980418|offset_89|444444&amp;v=2980286:2980618&amp;c=444444", "offset 32")</f>
        <v>offset 32</v>
      </c>
    </row>
    <row r="10603" customFormat="false" ht="12.8" hidden="false" customHeight="false" outlineLevel="0" collapsed="false">
      <c r="A10603" s="0" t="s">
        <v>12</v>
      </c>
      <c r="B10603" s="0" t="n">
        <v>2980425</v>
      </c>
      <c r="C10603" s="0" t="n">
        <v>2980445</v>
      </c>
      <c r="D10603" s="0" t="s">
        <v>35374</v>
      </c>
      <c r="E10603" s="0" t="s">
        <v>89</v>
      </c>
      <c r="F10603" s="0" t="s">
        <v>90</v>
      </c>
      <c r="G10603" s="0" t="s">
        <v>16</v>
      </c>
      <c r="H10603" s="0" t="n">
        <v>62</v>
      </c>
      <c r="I10603" s="0" t="s">
        <v>35381</v>
      </c>
      <c r="J10603" s="0" t="s">
        <v>35382</v>
      </c>
      <c r="K10603" s="0" t="s">
        <v>35383</v>
      </c>
      <c r="L10603" s="0" t="str">
        <f aca="false">HYPERLINK("https://www.ncbi.nlm.nih.gov/nuccore/CP000304.1?report=graph&amp;tracks=[key:gene_model_track,Options:GeneOnly]&amp;mk=2980487:2980506|offset_1|444444,2980456:2980475|offset_32|444444,2980426:2980445|offset_62|00cc00,2980399:2980418|offset_89|444444&amp;v=2980286:2980618&amp;c=444444", "offset 62")</f>
        <v>offset 62</v>
      </c>
    </row>
    <row r="10604" customFormat="false" ht="12.8" hidden="false" customHeight="false" outlineLevel="0" collapsed="false">
      <c r="A10604" s="0" t="s">
        <v>12</v>
      </c>
      <c r="B10604" s="0" t="n">
        <v>2980398</v>
      </c>
      <c r="C10604" s="0" t="n">
        <v>2980418</v>
      </c>
      <c r="D10604" s="0" t="s">
        <v>35374</v>
      </c>
      <c r="E10604" s="0" t="s">
        <v>89</v>
      </c>
      <c r="F10604" s="0" t="s">
        <v>90</v>
      </c>
      <c r="G10604" s="0" t="s">
        <v>36</v>
      </c>
      <c r="H10604" s="0" t="n">
        <v>89</v>
      </c>
      <c r="I10604" s="0" t="s">
        <v>35384</v>
      </c>
      <c r="J10604" s="0" t="s">
        <v>35385</v>
      </c>
      <c r="K10604" s="0" t="s">
        <v>35386</v>
      </c>
      <c r="L10604" s="0" t="str">
        <f aca="false">HYPERLINK("https://www.ncbi.nlm.nih.gov/nuccore/CP000304.1?report=graph&amp;tracks=[key:gene_model_track,Options:GeneOnly]&amp;mk=2980487:2980506|offset_1|444444,2980456:2980475|offset_32|444444,2980426:2980445|offset_62|444444,2980399:2980418|offset_89|00cc00&amp;v=2980286:2980618&amp;c=444444", "offset 89")</f>
        <v>offset 89</v>
      </c>
    </row>
    <row r="10605" customFormat="false" ht="12.8" hidden="false" customHeight="false" outlineLevel="0" collapsed="false">
      <c r="A10605" s="0" t="s">
        <v>12</v>
      </c>
      <c r="B10605" s="0" t="n">
        <v>2981611</v>
      </c>
      <c r="C10605" s="0" t="n">
        <v>2981631</v>
      </c>
      <c r="D10605" s="0" t="s">
        <v>35387</v>
      </c>
      <c r="E10605" s="0" t="s">
        <v>89</v>
      </c>
      <c r="F10605" s="0" t="s">
        <v>90</v>
      </c>
      <c r="G10605" s="0" t="s">
        <v>16</v>
      </c>
      <c r="H10605" s="0" t="n">
        <v>0</v>
      </c>
      <c r="I10605" s="0" t="s">
        <v>35388</v>
      </c>
      <c r="J10605" s="0" t="s">
        <v>35389</v>
      </c>
      <c r="K10605" s="0" t="s">
        <v>35390</v>
      </c>
      <c r="L10605" s="0" t="str">
        <f aca="false">HYPERLINK("https://www.ncbi.nlm.nih.gov/nuccore/CP000304.1?report=graph&amp;tracks=[key:gene_model_track,Options:GeneOnly]&amp;mk=2981612:2981631|offset_0|00cc00,2981562:2981581|offset_50|444444,2981525:2981544|offset_87|444444,2981502:2981521|offset_110|444444&amp;v=2981411:2981721&amp;c=444444", "offset 0")</f>
        <v>offset 0</v>
      </c>
    </row>
    <row r="10606" customFormat="false" ht="12.8" hidden="false" customHeight="false" outlineLevel="0" collapsed="false">
      <c r="A10606" s="0" t="s">
        <v>12</v>
      </c>
      <c r="B10606" s="0" t="n">
        <v>2981561</v>
      </c>
      <c r="C10606" s="0" t="n">
        <v>2981581</v>
      </c>
      <c r="D10606" s="0" t="s">
        <v>35387</v>
      </c>
      <c r="E10606" s="0" t="s">
        <v>89</v>
      </c>
      <c r="F10606" s="0" t="s">
        <v>90</v>
      </c>
      <c r="G10606" s="0" t="s">
        <v>26</v>
      </c>
      <c r="H10606" s="0" t="n">
        <v>50</v>
      </c>
      <c r="I10606" s="0" t="s">
        <v>35391</v>
      </c>
      <c r="J10606" s="0" t="s">
        <v>35392</v>
      </c>
      <c r="K10606" s="0" t="s">
        <v>35393</v>
      </c>
      <c r="L10606" s="0" t="str">
        <f aca="false">HYPERLINK("https://www.ncbi.nlm.nih.gov/nuccore/CP000304.1?report=graph&amp;tracks=[key:gene_model_track,Options:GeneOnly]&amp;mk=2981612:2981631|offset_0|444444,2981562:2981581|offset_50|00cc00,2981525:2981544|offset_87|444444,2981502:2981521|offset_110|444444&amp;v=2981411:2981721&amp;c=444444", "offset 50")</f>
        <v>offset 50</v>
      </c>
    </row>
    <row r="10607" customFormat="false" ht="12.8" hidden="false" customHeight="false" outlineLevel="0" collapsed="false">
      <c r="A10607" s="0" t="s">
        <v>12</v>
      </c>
      <c r="B10607" s="0" t="n">
        <v>2981524</v>
      </c>
      <c r="C10607" s="0" t="n">
        <v>2981544</v>
      </c>
      <c r="D10607" s="0" t="s">
        <v>35387</v>
      </c>
      <c r="E10607" s="0" t="s">
        <v>89</v>
      </c>
      <c r="F10607" s="0" t="s">
        <v>90</v>
      </c>
      <c r="G10607" s="0" t="s">
        <v>36</v>
      </c>
      <c r="H10607" s="0" t="n">
        <v>87</v>
      </c>
      <c r="I10607" s="0" t="s">
        <v>35394</v>
      </c>
      <c r="J10607" s="0" t="s">
        <v>35395</v>
      </c>
      <c r="K10607" s="0" t="s">
        <v>35396</v>
      </c>
      <c r="L10607" s="0" t="str">
        <f aca="false">HYPERLINK("https://www.ncbi.nlm.nih.gov/nuccore/CP000304.1?report=graph&amp;tracks=[key:gene_model_track,Options:GeneOnly]&amp;mk=2981612:2981631|offset_0|444444,2981562:2981581|offset_50|444444,2981525:2981544|offset_87|00cc00,2981502:2981521|offset_110|444444&amp;v=2981411:2981721&amp;c=444444", "offset 87")</f>
        <v>offset 87</v>
      </c>
    </row>
    <row r="10608" customFormat="false" ht="12.8" hidden="false" customHeight="false" outlineLevel="0" collapsed="false">
      <c r="A10608" s="0" t="s">
        <v>12</v>
      </c>
      <c r="B10608" s="0" t="n">
        <v>2981501</v>
      </c>
      <c r="C10608" s="0" t="n">
        <v>2981521</v>
      </c>
      <c r="D10608" s="0" t="s">
        <v>35387</v>
      </c>
      <c r="E10608" s="0" t="s">
        <v>89</v>
      </c>
      <c r="F10608" s="0" t="s">
        <v>90</v>
      </c>
      <c r="G10608" s="0" t="s">
        <v>26</v>
      </c>
      <c r="H10608" s="0" t="n">
        <v>110</v>
      </c>
      <c r="I10608" s="0" t="s">
        <v>35397</v>
      </c>
      <c r="J10608" s="0" t="s">
        <v>35398</v>
      </c>
      <c r="K10608" s="0" t="s">
        <v>35399</v>
      </c>
      <c r="L10608" s="0" t="str">
        <f aca="false">HYPERLINK("https://www.ncbi.nlm.nih.gov/nuccore/CP000304.1?report=graph&amp;tracks=[key:gene_model_track,Options:GeneOnly]&amp;mk=2981612:2981631|offset_0|444444,2981562:2981581|offset_50|444444,2981525:2981544|offset_87|444444,2981502:2981521|offset_110|00cc00&amp;v=2981411:2981721&amp;c=444444", "offset 110")</f>
        <v>offset 110</v>
      </c>
    </row>
    <row r="10609" customFormat="false" ht="12.8" hidden="false" customHeight="false" outlineLevel="0" collapsed="false">
      <c r="A10609" s="0" t="s">
        <v>12</v>
      </c>
      <c r="B10609" s="0" t="n">
        <v>2982748</v>
      </c>
      <c r="C10609" s="0" t="n">
        <v>2982768</v>
      </c>
      <c r="D10609" s="0" t="s">
        <v>35400</v>
      </c>
      <c r="E10609" s="0" t="s">
        <v>89</v>
      </c>
      <c r="F10609" s="0" t="s">
        <v>90</v>
      </c>
      <c r="G10609" s="0" t="s">
        <v>36</v>
      </c>
      <c r="H10609" s="0" t="n">
        <v>7</v>
      </c>
      <c r="I10609" s="0" t="s">
        <v>35401</v>
      </c>
      <c r="J10609" s="0" t="s">
        <v>35402</v>
      </c>
      <c r="K10609" s="0" t="s">
        <v>35403</v>
      </c>
      <c r="L10609" s="0" t="str">
        <f aca="false">HYPERLINK("https://www.ncbi.nlm.nih.gov/nuccore/CP000304.1?report=graph&amp;tracks=[key:gene_model_track,Options:GeneOnly]&amp;mk=2982749:2982768|offset_7|00cc00,2982727:2982746|offset_29|444444,2982707:2982726|offset_49|444444,2982687:2982706|offset_69|444444&amp;v=2982548:2982906&amp;c=444444", "offset 7")</f>
        <v>offset 7</v>
      </c>
    </row>
    <row r="10610" customFormat="false" ht="12.8" hidden="false" customHeight="false" outlineLevel="0" collapsed="false">
      <c r="A10610" s="0" t="s">
        <v>12</v>
      </c>
      <c r="B10610" s="0" t="n">
        <v>2982726</v>
      </c>
      <c r="C10610" s="0" t="n">
        <v>2982746</v>
      </c>
      <c r="D10610" s="0" t="s">
        <v>35400</v>
      </c>
      <c r="E10610" s="0" t="s">
        <v>89</v>
      </c>
      <c r="F10610" s="0" t="s">
        <v>90</v>
      </c>
      <c r="G10610" s="0" t="s">
        <v>26</v>
      </c>
      <c r="H10610" s="0" t="n">
        <v>29</v>
      </c>
      <c r="I10610" s="0" t="s">
        <v>35404</v>
      </c>
      <c r="J10610" s="0" t="s">
        <v>35405</v>
      </c>
      <c r="K10610" s="0" t="s">
        <v>35406</v>
      </c>
      <c r="L10610" s="0" t="str">
        <f aca="false">HYPERLINK("https://www.ncbi.nlm.nih.gov/nuccore/CP000304.1?report=graph&amp;tracks=[key:gene_model_track,Options:GeneOnly]&amp;mk=2982749:2982768|offset_7|444444,2982727:2982746|offset_29|00cc00,2982707:2982726|offset_49|444444,2982687:2982706|offset_69|444444&amp;v=2982548:2982906&amp;c=444444", "offset 29")</f>
        <v>offset 29</v>
      </c>
    </row>
    <row r="10611" customFormat="false" ht="12.8" hidden="false" customHeight="false" outlineLevel="0" collapsed="false">
      <c r="A10611" s="0" t="s">
        <v>12</v>
      </c>
      <c r="B10611" s="0" t="n">
        <v>2982706</v>
      </c>
      <c r="C10611" s="0" t="n">
        <v>2982726</v>
      </c>
      <c r="D10611" s="0" t="s">
        <v>35400</v>
      </c>
      <c r="E10611" s="0" t="s">
        <v>89</v>
      </c>
      <c r="F10611" s="0" t="s">
        <v>90</v>
      </c>
      <c r="G10611" s="0" t="s">
        <v>32</v>
      </c>
      <c r="H10611" s="0" t="n">
        <v>49</v>
      </c>
      <c r="I10611" s="0" t="s">
        <v>35407</v>
      </c>
      <c r="J10611" s="0" t="s">
        <v>35408</v>
      </c>
      <c r="K10611" s="0" t="s">
        <v>35409</v>
      </c>
      <c r="L10611" s="0" t="str">
        <f aca="false">HYPERLINK("https://www.ncbi.nlm.nih.gov/nuccore/CP000304.1?report=graph&amp;tracks=[key:gene_model_track,Options:GeneOnly]&amp;mk=2982749:2982768|offset_7|444444,2982727:2982746|offset_29|444444,2982707:2982726|offset_49|00cc00,2982687:2982706|offset_69|444444&amp;v=2982548:2982906&amp;c=444444", "offset 49")</f>
        <v>offset 49</v>
      </c>
    </row>
    <row r="10612" customFormat="false" ht="12.8" hidden="false" customHeight="false" outlineLevel="0" collapsed="false">
      <c r="A10612" s="0" t="s">
        <v>12</v>
      </c>
      <c r="B10612" s="0" t="n">
        <v>2982686</v>
      </c>
      <c r="C10612" s="0" t="n">
        <v>2982706</v>
      </c>
      <c r="D10612" s="0" t="s">
        <v>35400</v>
      </c>
      <c r="E10612" s="0" t="s">
        <v>89</v>
      </c>
      <c r="F10612" s="0" t="s">
        <v>90</v>
      </c>
      <c r="G10612" s="0" t="s">
        <v>16</v>
      </c>
      <c r="H10612" s="0" t="n">
        <v>69</v>
      </c>
      <c r="I10612" s="0" t="s">
        <v>35410</v>
      </c>
      <c r="J10612" s="0" t="s">
        <v>35411</v>
      </c>
      <c r="K10612" s="0" t="s">
        <v>35412</v>
      </c>
      <c r="L10612" s="0" t="str">
        <f aca="false">HYPERLINK("https://www.ncbi.nlm.nih.gov/nuccore/CP000304.1?report=graph&amp;tracks=[key:gene_model_track,Options:GeneOnly]&amp;mk=2982749:2982768|offset_7|444444,2982727:2982746|offset_29|444444,2982707:2982726|offset_49|444444,2982687:2982706|offset_69|00cc00&amp;v=2982548:2982906&amp;c=444444", "offset 69")</f>
        <v>offset 69</v>
      </c>
    </row>
    <row r="10613" customFormat="false" ht="12.8" hidden="false" customHeight="false" outlineLevel="0" collapsed="false">
      <c r="A10613" s="0" t="s">
        <v>12</v>
      </c>
      <c r="B10613" s="0" t="n">
        <v>2985067</v>
      </c>
      <c r="C10613" s="0" t="n">
        <v>2985087</v>
      </c>
      <c r="D10613" s="0" t="s">
        <v>35413</v>
      </c>
      <c r="E10613" s="0" t="s">
        <v>89</v>
      </c>
      <c r="F10613" s="0" t="s">
        <v>90</v>
      </c>
      <c r="G10613" s="0" t="s">
        <v>16</v>
      </c>
      <c r="H10613" s="0" t="n">
        <v>166</v>
      </c>
      <c r="I10613" s="0" t="s">
        <v>35414</v>
      </c>
      <c r="J10613" s="0" t="s">
        <v>35415</v>
      </c>
      <c r="K10613" s="0" t="s">
        <v>35416</v>
      </c>
      <c r="L10613" s="0" t="str">
        <f aca="false">HYPERLINK("https://www.ncbi.nlm.nih.gov/nuccore/CP000304.1?report=graph&amp;tracks=[key:gene_model_track,Options:GeneOnly]&amp;mk=2985068:2985087|offset_166|00cc00,2985022:2985041|offset_212|444444,2984998:2985017|offset_236|444444,2984957:2984976|offset_277|444444&amp;v=2984867:2985176&amp;c=444444", "offset 166")</f>
        <v>offset 166</v>
      </c>
    </row>
    <row r="10614" customFormat="false" ht="12.8" hidden="false" customHeight="false" outlineLevel="0" collapsed="false">
      <c r="A10614" s="0" t="s">
        <v>12</v>
      </c>
      <c r="B10614" s="0" t="n">
        <v>2985021</v>
      </c>
      <c r="C10614" s="0" t="n">
        <v>2985041</v>
      </c>
      <c r="D10614" s="0" t="s">
        <v>35413</v>
      </c>
      <c r="E10614" s="0" t="s">
        <v>89</v>
      </c>
      <c r="F10614" s="0" t="s">
        <v>90</v>
      </c>
      <c r="G10614" s="0" t="s">
        <v>36</v>
      </c>
      <c r="H10614" s="0" t="n">
        <v>212</v>
      </c>
      <c r="I10614" s="0" t="s">
        <v>35417</v>
      </c>
      <c r="J10614" s="0" t="s">
        <v>35418</v>
      </c>
      <c r="K10614" s="0" t="s">
        <v>35419</v>
      </c>
      <c r="L10614" s="0" t="str">
        <f aca="false">HYPERLINK("https://www.ncbi.nlm.nih.gov/nuccore/CP000304.1?report=graph&amp;tracks=[key:gene_model_track,Options:GeneOnly]&amp;mk=2985068:2985087|offset_166|444444,2985022:2985041|offset_212|00cc00,2984998:2985017|offset_236|444444,2984957:2984976|offset_277|444444&amp;v=2984867:2985176&amp;c=444444", "offset 212")</f>
        <v>offset 212</v>
      </c>
    </row>
    <row r="10615" customFormat="false" ht="12.8" hidden="false" customHeight="false" outlineLevel="0" collapsed="false">
      <c r="A10615" s="0" t="s">
        <v>12</v>
      </c>
      <c r="B10615" s="0" t="n">
        <v>2984997</v>
      </c>
      <c r="C10615" s="0" t="n">
        <v>2985017</v>
      </c>
      <c r="D10615" s="0" t="s">
        <v>35413</v>
      </c>
      <c r="E10615" s="0" t="s">
        <v>89</v>
      </c>
      <c r="F10615" s="0" t="s">
        <v>90</v>
      </c>
      <c r="G10615" s="0" t="s">
        <v>26</v>
      </c>
      <c r="H10615" s="0" t="n">
        <v>236</v>
      </c>
      <c r="I10615" s="0" t="s">
        <v>35420</v>
      </c>
      <c r="J10615" s="0" t="s">
        <v>35421</v>
      </c>
      <c r="K10615" s="0" t="s">
        <v>35422</v>
      </c>
      <c r="L10615" s="0" t="str">
        <f aca="false">HYPERLINK("https://www.ncbi.nlm.nih.gov/nuccore/CP000304.1?report=graph&amp;tracks=[key:gene_model_track,Options:GeneOnly]&amp;mk=2985068:2985087|offset_166|444444,2985022:2985041|offset_212|444444,2984998:2985017|offset_236|00cc00,2984957:2984976|offset_277|444444&amp;v=2984867:2985176&amp;c=444444", "offset 236")</f>
        <v>offset 236</v>
      </c>
    </row>
    <row r="10616" customFormat="false" ht="12.8" hidden="false" customHeight="false" outlineLevel="0" collapsed="false">
      <c r="A10616" s="0" t="s">
        <v>12</v>
      </c>
      <c r="B10616" s="0" t="n">
        <v>2984956</v>
      </c>
      <c r="C10616" s="0" t="n">
        <v>2984976</v>
      </c>
      <c r="D10616" s="0" t="s">
        <v>35413</v>
      </c>
      <c r="E10616" s="0" t="s">
        <v>89</v>
      </c>
      <c r="F10616" s="0" t="s">
        <v>90</v>
      </c>
      <c r="G10616" s="0" t="s">
        <v>32</v>
      </c>
      <c r="H10616" s="0" t="n">
        <v>277</v>
      </c>
      <c r="I10616" s="0" t="s">
        <v>35423</v>
      </c>
      <c r="J10616" s="0" t="s">
        <v>35424</v>
      </c>
      <c r="K10616" s="0" t="s">
        <v>35425</v>
      </c>
      <c r="L10616" s="0" t="str">
        <f aca="false">HYPERLINK("https://www.ncbi.nlm.nih.gov/nuccore/CP000304.1?report=graph&amp;tracks=[key:gene_model_track,Options:GeneOnly]&amp;mk=2985068:2985087|offset_166|444444,2985022:2985041|offset_212|444444,2984998:2985017|offset_236|444444,2984957:2984976|offset_277|00cc00&amp;v=2984867:2985176&amp;c=444444", "offset 277")</f>
        <v>offset 277</v>
      </c>
    </row>
    <row r="10617" customFormat="false" ht="12.8" hidden="false" customHeight="false" outlineLevel="0" collapsed="false">
      <c r="A10617" s="0" t="s">
        <v>12</v>
      </c>
      <c r="B10617" s="0" t="n">
        <v>2986648</v>
      </c>
      <c r="C10617" s="0" t="n">
        <v>2986668</v>
      </c>
      <c r="D10617" s="0" t="s">
        <v>35426</v>
      </c>
      <c r="E10617" s="0" t="s">
        <v>35427</v>
      </c>
      <c r="F10617" s="0" t="s">
        <v>90</v>
      </c>
      <c r="G10617" s="0" t="s">
        <v>26</v>
      </c>
      <c r="H10617" s="0" t="n">
        <v>9</v>
      </c>
      <c r="I10617" s="0" t="s">
        <v>35428</v>
      </c>
      <c r="J10617" s="0" t="s">
        <v>35429</v>
      </c>
      <c r="K10617" s="0" t="s">
        <v>35430</v>
      </c>
      <c r="L10617" s="0" t="str">
        <f aca="false">HYPERLINK("https://www.ncbi.nlm.nih.gov/nuccore/CP000304.1?report=graph&amp;tracks=[key:gene_model_track,Options:GeneOnly]&amp;mk=2986649:2986668|offset_9|00cc00,2986621:2986640|offset_37|444444,2986575:2986594|offset_83|444444,2986552:2986571|offset_106|444444&amp;v=2986448:2986771&amp;c=444444", "offset 9")</f>
        <v>offset 9</v>
      </c>
    </row>
    <row r="10618" customFormat="false" ht="12.8" hidden="false" customHeight="false" outlineLevel="0" collapsed="false">
      <c r="A10618" s="0" t="s">
        <v>12</v>
      </c>
      <c r="B10618" s="0" t="n">
        <v>2986620</v>
      </c>
      <c r="C10618" s="0" t="n">
        <v>2986640</v>
      </c>
      <c r="D10618" s="0" t="s">
        <v>35426</v>
      </c>
      <c r="E10618" s="0" t="s">
        <v>35427</v>
      </c>
      <c r="F10618" s="0" t="s">
        <v>90</v>
      </c>
      <c r="G10618" s="0" t="s">
        <v>16</v>
      </c>
      <c r="H10618" s="0" t="n">
        <v>37</v>
      </c>
      <c r="I10618" s="0" t="s">
        <v>35431</v>
      </c>
      <c r="J10618" s="0" t="s">
        <v>35432</v>
      </c>
      <c r="K10618" s="0" t="s">
        <v>35433</v>
      </c>
      <c r="L10618" s="0" t="str">
        <f aca="false">HYPERLINK("https://www.ncbi.nlm.nih.gov/nuccore/CP000304.1?report=graph&amp;tracks=[key:gene_model_track,Options:GeneOnly]&amp;mk=2986649:2986668|offset_9|444444,2986621:2986640|offset_37|00cc00,2986575:2986594|offset_83|444444,2986552:2986571|offset_106|444444&amp;v=2986448:2986771&amp;c=444444", "offset 37")</f>
        <v>offset 37</v>
      </c>
    </row>
    <row r="10619" customFormat="false" ht="12.8" hidden="false" customHeight="false" outlineLevel="0" collapsed="false">
      <c r="A10619" s="0" t="s">
        <v>12</v>
      </c>
      <c r="B10619" s="0" t="n">
        <v>2986574</v>
      </c>
      <c r="C10619" s="0" t="n">
        <v>2986594</v>
      </c>
      <c r="D10619" s="0" t="s">
        <v>35426</v>
      </c>
      <c r="E10619" s="0" t="s">
        <v>35427</v>
      </c>
      <c r="F10619" s="0" t="s">
        <v>90</v>
      </c>
      <c r="G10619" s="0" t="s">
        <v>26</v>
      </c>
      <c r="H10619" s="0" t="n">
        <v>83</v>
      </c>
      <c r="I10619" s="0" t="s">
        <v>35434</v>
      </c>
      <c r="J10619" s="0" t="s">
        <v>35435</v>
      </c>
      <c r="K10619" s="0" t="s">
        <v>35436</v>
      </c>
      <c r="L10619" s="0" t="str">
        <f aca="false">HYPERLINK("https://www.ncbi.nlm.nih.gov/nuccore/CP000304.1?report=graph&amp;tracks=[key:gene_model_track,Options:GeneOnly]&amp;mk=2986649:2986668|offset_9|444444,2986621:2986640|offset_37|444444,2986575:2986594|offset_83|00cc00,2986552:2986571|offset_106|444444&amp;v=2986448:2986771&amp;c=444444", "offset 83")</f>
        <v>offset 83</v>
      </c>
    </row>
    <row r="10620" customFormat="false" ht="12.8" hidden="false" customHeight="false" outlineLevel="0" collapsed="false">
      <c r="A10620" s="0" t="s">
        <v>12</v>
      </c>
      <c r="B10620" s="0" t="n">
        <v>2986551</v>
      </c>
      <c r="C10620" s="0" t="n">
        <v>2986571</v>
      </c>
      <c r="D10620" s="0" t="s">
        <v>35426</v>
      </c>
      <c r="E10620" s="0" t="s">
        <v>35427</v>
      </c>
      <c r="F10620" s="0" t="s">
        <v>90</v>
      </c>
      <c r="G10620" s="0" t="s">
        <v>16</v>
      </c>
      <c r="H10620" s="0" t="n">
        <v>106</v>
      </c>
      <c r="I10620" s="0" t="s">
        <v>35437</v>
      </c>
      <c r="J10620" s="0" t="s">
        <v>35438</v>
      </c>
      <c r="K10620" s="0" t="s">
        <v>35439</v>
      </c>
      <c r="L10620" s="0" t="str">
        <f aca="false">HYPERLINK("https://www.ncbi.nlm.nih.gov/nuccore/CP000304.1?report=graph&amp;tracks=[key:gene_model_track,Options:GeneOnly]&amp;mk=2986649:2986668|offset_9|444444,2986621:2986640|offset_37|444444,2986575:2986594|offset_83|444444,2986552:2986571|offset_106|00cc00&amp;v=2986448:2986771&amp;c=444444", "offset 106")</f>
        <v>offset 106</v>
      </c>
    </row>
    <row r="10621" customFormat="false" ht="12.8" hidden="false" customHeight="false" outlineLevel="0" collapsed="false">
      <c r="A10621" s="0" t="s">
        <v>12</v>
      </c>
      <c r="B10621" s="0" t="n">
        <v>2987186</v>
      </c>
      <c r="C10621" s="0" t="n">
        <v>2987206</v>
      </c>
      <c r="D10621" s="0" t="s">
        <v>35440</v>
      </c>
      <c r="E10621" s="0" t="s">
        <v>89</v>
      </c>
      <c r="F10621" s="0" t="s">
        <v>90</v>
      </c>
      <c r="G10621" s="0" t="s">
        <v>26</v>
      </c>
      <c r="H10621" s="0" t="n">
        <v>31</v>
      </c>
      <c r="I10621" s="0" t="s">
        <v>35441</v>
      </c>
      <c r="J10621" s="0" t="s">
        <v>35442</v>
      </c>
      <c r="K10621" s="0" t="s">
        <v>35443</v>
      </c>
      <c r="L10621" s="0" t="str">
        <f aca="false">HYPERLINK("https://www.ncbi.nlm.nih.gov/nuccore/CP000304.1?report=graph&amp;tracks=[key:gene_model_track,Options:GeneOnly]&amp;mk=2987187:2987206|offset_31|00cc00,2987138:2987157|offset_80|444444,2987118:2987137|offset_100|444444,2987096:2987115|offset_122|444444&amp;v=2986986:2987315&amp;c=444444", "offset 31")</f>
        <v>offset 31</v>
      </c>
    </row>
    <row r="10622" customFormat="false" ht="12.8" hidden="false" customHeight="false" outlineLevel="0" collapsed="false">
      <c r="A10622" s="0" t="s">
        <v>12</v>
      </c>
      <c r="B10622" s="0" t="n">
        <v>2987137</v>
      </c>
      <c r="C10622" s="0" t="n">
        <v>2987157</v>
      </c>
      <c r="D10622" s="0" t="s">
        <v>35440</v>
      </c>
      <c r="E10622" s="0" t="s">
        <v>89</v>
      </c>
      <c r="F10622" s="0" t="s">
        <v>90</v>
      </c>
      <c r="G10622" s="0" t="s">
        <v>26</v>
      </c>
      <c r="H10622" s="0" t="n">
        <v>80</v>
      </c>
      <c r="I10622" s="0" t="s">
        <v>35444</v>
      </c>
      <c r="J10622" s="0" t="s">
        <v>35445</v>
      </c>
      <c r="K10622" s="0" t="s">
        <v>35446</v>
      </c>
      <c r="L10622" s="0" t="str">
        <f aca="false">HYPERLINK("https://www.ncbi.nlm.nih.gov/nuccore/CP000304.1?report=graph&amp;tracks=[key:gene_model_track,Options:GeneOnly]&amp;mk=2987187:2987206|offset_31|444444,2987138:2987157|offset_80|00cc00,2987118:2987137|offset_100|444444,2987096:2987115|offset_122|444444&amp;v=2986986:2987315&amp;c=444444", "offset 80")</f>
        <v>offset 80</v>
      </c>
    </row>
    <row r="10623" customFormat="false" ht="12.8" hidden="false" customHeight="false" outlineLevel="0" collapsed="false">
      <c r="A10623" s="0" t="s">
        <v>12</v>
      </c>
      <c r="B10623" s="0" t="n">
        <v>2987117</v>
      </c>
      <c r="C10623" s="0" t="n">
        <v>2987137</v>
      </c>
      <c r="D10623" s="0" t="s">
        <v>35440</v>
      </c>
      <c r="E10623" s="0" t="s">
        <v>89</v>
      </c>
      <c r="F10623" s="0" t="s">
        <v>90</v>
      </c>
      <c r="G10623" s="0" t="s">
        <v>32</v>
      </c>
      <c r="H10623" s="0" t="n">
        <v>100</v>
      </c>
      <c r="I10623" s="0" t="s">
        <v>35447</v>
      </c>
      <c r="J10623" s="0" t="s">
        <v>35448</v>
      </c>
      <c r="K10623" s="0" t="s">
        <v>35449</v>
      </c>
      <c r="L10623" s="0" t="str">
        <f aca="false">HYPERLINK("https://www.ncbi.nlm.nih.gov/nuccore/CP000304.1?report=graph&amp;tracks=[key:gene_model_track,Options:GeneOnly]&amp;mk=2987187:2987206|offset_31|444444,2987138:2987157|offset_80|444444,2987118:2987137|offset_100|00cc00,2987096:2987115|offset_122|444444&amp;v=2986986:2987315&amp;c=444444", "offset 100")</f>
        <v>offset 100</v>
      </c>
    </row>
    <row r="10624" customFormat="false" ht="12.8" hidden="false" customHeight="false" outlineLevel="0" collapsed="false">
      <c r="A10624" s="0" t="s">
        <v>12</v>
      </c>
      <c r="B10624" s="0" t="n">
        <v>2987095</v>
      </c>
      <c r="C10624" s="0" t="n">
        <v>2987115</v>
      </c>
      <c r="D10624" s="0" t="s">
        <v>35440</v>
      </c>
      <c r="E10624" s="0" t="s">
        <v>89</v>
      </c>
      <c r="F10624" s="0" t="s">
        <v>90</v>
      </c>
      <c r="G10624" s="0" t="s">
        <v>26</v>
      </c>
      <c r="H10624" s="0" t="n">
        <v>122</v>
      </c>
      <c r="I10624" s="0" t="s">
        <v>35450</v>
      </c>
      <c r="J10624" s="0" t="s">
        <v>35451</v>
      </c>
      <c r="K10624" s="0" t="s">
        <v>35452</v>
      </c>
      <c r="L10624" s="0" t="str">
        <f aca="false">HYPERLINK("https://www.ncbi.nlm.nih.gov/nuccore/CP000304.1?report=graph&amp;tracks=[key:gene_model_track,Options:GeneOnly]&amp;mk=2987187:2987206|offset_31|444444,2987138:2987157|offset_80|444444,2987118:2987137|offset_100|444444,2987096:2987115|offset_122|00cc00&amp;v=2986986:2987315&amp;c=444444", "offset 122")</f>
        <v>offset 122</v>
      </c>
    </row>
    <row r="10625" customFormat="false" ht="12.8" hidden="false" customHeight="false" outlineLevel="0" collapsed="false">
      <c r="A10625" s="0" t="s">
        <v>12</v>
      </c>
      <c r="B10625" s="0" t="n">
        <v>2987621</v>
      </c>
      <c r="C10625" s="0" t="n">
        <v>2987641</v>
      </c>
      <c r="D10625" s="0" t="s">
        <v>35453</v>
      </c>
      <c r="E10625" s="0" t="s">
        <v>89</v>
      </c>
      <c r="F10625" s="0" t="s">
        <v>15</v>
      </c>
      <c r="G10625" s="0" t="s">
        <v>16</v>
      </c>
      <c r="H10625" s="0" t="n">
        <v>6</v>
      </c>
      <c r="I10625" s="0" t="s">
        <v>35454</v>
      </c>
      <c r="J10625" s="0" t="s">
        <v>35455</v>
      </c>
      <c r="K10625" s="0" t="s">
        <v>35456</v>
      </c>
      <c r="L10625" s="0" t="str">
        <f aca="false">HYPERLINK("https://www.ncbi.nlm.nih.gov/nuccore/CP000304.1?report=graph&amp;tracks=[key:gene_model_track,Options:GeneOnly]&amp;mk=2987622:2987641|offset_6|00cc00,2987647:2987666|offset_31|444444,2987670:2987689|offset_54|444444,2987705:2987724|offset_89|444444&amp;v=2987421:2987924&amp;c=444444", "offset 6")</f>
        <v>offset 6</v>
      </c>
    </row>
    <row r="10626" customFormat="false" ht="12.8" hidden="false" customHeight="false" outlineLevel="0" collapsed="false">
      <c r="A10626" s="0" t="s">
        <v>12</v>
      </c>
      <c r="B10626" s="0" t="n">
        <v>2987646</v>
      </c>
      <c r="C10626" s="0" t="n">
        <v>2987666</v>
      </c>
      <c r="D10626" s="0" t="s">
        <v>35453</v>
      </c>
      <c r="E10626" s="0" t="s">
        <v>89</v>
      </c>
      <c r="F10626" s="0" t="s">
        <v>15</v>
      </c>
      <c r="G10626" s="0" t="s">
        <v>26</v>
      </c>
      <c r="H10626" s="0" t="n">
        <v>31</v>
      </c>
      <c r="I10626" s="0" t="s">
        <v>35457</v>
      </c>
      <c r="J10626" s="0" t="s">
        <v>35458</v>
      </c>
      <c r="K10626" s="0" t="s">
        <v>35459</v>
      </c>
      <c r="L10626" s="0" t="str">
        <f aca="false">HYPERLINK("https://www.ncbi.nlm.nih.gov/nuccore/CP000304.1?report=graph&amp;tracks=[key:gene_model_track,Options:GeneOnly]&amp;mk=2987622:2987641|offset_6|444444,2987647:2987666|offset_31|00cc00,2987670:2987689|offset_54|444444,2987705:2987724|offset_89|444444&amp;v=2987421:2987924&amp;c=444444", "offset 31")</f>
        <v>offset 31</v>
      </c>
    </row>
    <row r="10627" customFormat="false" ht="12.8" hidden="false" customHeight="false" outlineLevel="0" collapsed="false">
      <c r="A10627" s="0" t="s">
        <v>12</v>
      </c>
      <c r="B10627" s="0" t="n">
        <v>2987669</v>
      </c>
      <c r="C10627" s="0" t="n">
        <v>2987689</v>
      </c>
      <c r="D10627" s="0" t="s">
        <v>35453</v>
      </c>
      <c r="E10627" s="0" t="s">
        <v>89</v>
      </c>
      <c r="F10627" s="0" t="s">
        <v>15</v>
      </c>
      <c r="G10627" s="0" t="s">
        <v>16</v>
      </c>
      <c r="H10627" s="0" t="n">
        <v>54</v>
      </c>
      <c r="I10627" s="0" t="s">
        <v>35460</v>
      </c>
      <c r="J10627" s="0" t="s">
        <v>35461</v>
      </c>
      <c r="K10627" s="0" t="s">
        <v>35462</v>
      </c>
      <c r="L10627" s="0" t="str">
        <f aca="false">HYPERLINK("https://www.ncbi.nlm.nih.gov/nuccore/CP000304.1?report=graph&amp;tracks=[key:gene_model_track,Options:GeneOnly]&amp;mk=2987622:2987641|offset_6|444444,2987647:2987666|offset_31|444444,2987670:2987689|offset_54|00cc00,2987705:2987724|offset_89|444444&amp;v=2987421:2987924&amp;c=444444", "offset 54")</f>
        <v>offset 54</v>
      </c>
    </row>
    <row r="10628" customFormat="false" ht="12.8" hidden="false" customHeight="false" outlineLevel="0" collapsed="false">
      <c r="A10628" s="0" t="s">
        <v>12</v>
      </c>
      <c r="B10628" s="0" t="n">
        <v>2987704</v>
      </c>
      <c r="C10628" s="0" t="n">
        <v>2987724</v>
      </c>
      <c r="D10628" s="0" t="s">
        <v>35453</v>
      </c>
      <c r="E10628" s="0" t="s">
        <v>89</v>
      </c>
      <c r="F10628" s="0" t="s">
        <v>15</v>
      </c>
      <c r="G10628" s="0" t="s">
        <v>32</v>
      </c>
      <c r="H10628" s="0" t="n">
        <v>89</v>
      </c>
      <c r="I10628" s="0" t="s">
        <v>35463</v>
      </c>
      <c r="J10628" s="0" t="s">
        <v>35464</v>
      </c>
      <c r="K10628" s="0" t="s">
        <v>35465</v>
      </c>
      <c r="L10628" s="0" t="str">
        <f aca="false">HYPERLINK("https://www.ncbi.nlm.nih.gov/nuccore/CP000304.1?report=graph&amp;tracks=[key:gene_model_track,Options:GeneOnly]&amp;mk=2987622:2987641|offset_6|444444,2987647:2987666|offset_31|444444,2987670:2987689|offset_54|444444,2987705:2987724|offset_89|00cc00&amp;v=2987421:2987924&amp;c=444444", "offset 89")</f>
        <v>offset 89</v>
      </c>
    </row>
    <row r="10629" customFormat="false" ht="12.8" hidden="false" customHeight="false" outlineLevel="0" collapsed="false">
      <c r="A10629" s="0" t="s">
        <v>12</v>
      </c>
      <c r="B10629" s="0" t="n">
        <v>2988324</v>
      </c>
      <c r="C10629" s="0" t="n">
        <v>2988344</v>
      </c>
      <c r="D10629" s="0" t="s">
        <v>35466</v>
      </c>
      <c r="E10629" s="0" t="s">
        <v>89</v>
      </c>
      <c r="F10629" s="0" t="s">
        <v>15</v>
      </c>
      <c r="G10629" s="0" t="s">
        <v>26</v>
      </c>
      <c r="H10629" s="0" t="n">
        <v>38</v>
      </c>
      <c r="I10629" s="0" t="s">
        <v>35467</v>
      </c>
      <c r="J10629" s="0" t="s">
        <v>35468</v>
      </c>
      <c r="K10629" s="0" t="s">
        <v>35469</v>
      </c>
      <c r="L10629" s="0" t="str">
        <f aca="false">HYPERLINK("https://www.ncbi.nlm.nih.gov/nuccore/CP000304.1?report=graph&amp;tracks=[key:gene_model_track,Options:GeneOnly]&amp;mk=2988325:2988344|offset_38|00cc00,2988381:2988400|offset_94|444444,2988434:2988453|offset_147|444444,2988466:2988485|offset_179|444444&amp;v=2988124:2988685&amp;c=444444", "offset 38")</f>
        <v>offset 38</v>
      </c>
    </row>
    <row r="10630" customFormat="false" ht="12.8" hidden="false" customHeight="false" outlineLevel="0" collapsed="false">
      <c r="A10630" s="0" t="s">
        <v>12</v>
      </c>
      <c r="B10630" s="0" t="n">
        <v>2988380</v>
      </c>
      <c r="C10630" s="0" t="n">
        <v>2988400</v>
      </c>
      <c r="D10630" s="0" t="s">
        <v>35466</v>
      </c>
      <c r="E10630" s="0" t="s">
        <v>89</v>
      </c>
      <c r="F10630" s="0" t="s">
        <v>15</v>
      </c>
      <c r="G10630" s="0" t="s">
        <v>16</v>
      </c>
      <c r="H10630" s="0" t="n">
        <v>94</v>
      </c>
      <c r="I10630" s="0" t="s">
        <v>35470</v>
      </c>
      <c r="J10630" s="0" t="s">
        <v>35471</v>
      </c>
      <c r="K10630" s="0" t="s">
        <v>35472</v>
      </c>
      <c r="L10630" s="0" t="str">
        <f aca="false">HYPERLINK("https://www.ncbi.nlm.nih.gov/nuccore/CP000304.1?report=graph&amp;tracks=[key:gene_model_track,Options:GeneOnly]&amp;mk=2988325:2988344|offset_38|444444,2988381:2988400|offset_94|00cc00,2988434:2988453|offset_147|444444,2988466:2988485|offset_179|444444&amp;v=2988124:2988685&amp;c=444444", "offset 94")</f>
        <v>offset 94</v>
      </c>
    </row>
    <row r="10631" customFormat="false" ht="12.8" hidden="false" customHeight="false" outlineLevel="0" collapsed="false">
      <c r="A10631" s="0" t="s">
        <v>12</v>
      </c>
      <c r="B10631" s="0" t="n">
        <v>2988433</v>
      </c>
      <c r="C10631" s="0" t="n">
        <v>2988453</v>
      </c>
      <c r="D10631" s="0" t="s">
        <v>35466</v>
      </c>
      <c r="E10631" s="0" t="s">
        <v>89</v>
      </c>
      <c r="F10631" s="0" t="s">
        <v>15</v>
      </c>
      <c r="G10631" s="0" t="s">
        <v>36</v>
      </c>
      <c r="H10631" s="0" t="n">
        <v>147</v>
      </c>
      <c r="I10631" s="0" t="s">
        <v>35473</v>
      </c>
      <c r="J10631" s="0" t="s">
        <v>35474</v>
      </c>
      <c r="K10631" s="0" t="s">
        <v>35475</v>
      </c>
      <c r="L10631" s="0" t="str">
        <f aca="false">HYPERLINK("https://www.ncbi.nlm.nih.gov/nuccore/CP000304.1?report=graph&amp;tracks=[key:gene_model_track,Options:GeneOnly]&amp;mk=2988325:2988344|offset_38|444444,2988381:2988400|offset_94|444444,2988434:2988453|offset_147|00cc00,2988466:2988485|offset_179|444444&amp;v=2988124:2988685&amp;c=444444", "offset 147")</f>
        <v>offset 147</v>
      </c>
    </row>
    <row r="10632" customFormat="false" ht="12.8" hidden="false" customHeight="false" outlineLevel="0" collapsed="false">
      <c r="A10632" s="0" t="s">
        <v>12</v>
      </c>
      <c r="B10632" s="0" t="n">
        <v>2988465</v>
      </c>
      <c r="C10632" s="0" t="n">
        <v>2988485</v>
      </c>
      <c r="D10632" s="0" t="s">
        <v>35466</v>
      </c>
      <c r="E10632" s="0" t="s">
        <v>89</v>
      </c>
      <c r="F10632" s="0" t="s">
        <v>15</v>
      </c>
      <c r="G10632" s="0" t="s">
        <v>26</v>
      </c>
      <c r="H10632" s="0" t="n">
        <v>179</v>
      </c>
      <c r="I10632" s="0" t="s">
        <v>35476</v>
      </c>
      <c r="J10632" s="0" t="s">
        <v>35477</v>
      </c>
      <c r="K10632" s="0" t="s">
        <v>35478</v>
      </c>
      <c r="L10632" s="0" t="str">
        <f aca="false">HYPERLINK("https://www.ncbi.nlm.nih.gov/nuccore/CP000304.1?report=graph&amp;tracks=[key:gene_model_track,Options:GeneOnly]&amp;mk=2988325:2988344|offset_38|444444,2988381:2988400|offset_94|444444,2988434:2988453|offset_147|444444,2988466:2988485|offset_179|00cc00&amp;v=2988124:2988685&amp;c=444444", "offset 179")</f>
        <v>offset 179</v>
      </c>
    </row>
    <row r="10633" customFormat="false" ht="12.8" hidden="false" customHeight="false" outlineLevel="0" collapsed="false">
      <c r="A10633" s="0" t="s">
        <v>12</v>
      </c>
      <c r="B10633" s="0" t="n">
        <v>2989015</v>
      </c>
      <c r="C10633" s="0" t="n">
        <v>2989035</v>
      </c>
      <c r="D10633" s="0" t="s">
        <v>35479</v>
      </c>
      <c r="E10633" s="0" t="s">
        <v>89</v>
      </c>
      <c r="F10633" s="0" t="s">
        <v>15</v>
      </c>
      <c r="G10633" s="0" t="s">
        <v>16</v>
      </c>
      <c r="H10633" s="0" t="n">
        <v>25</v>
      </c>
      <c r="I10633" s="0" t="s">
        <v>35480</v>
      </c>
      <c r="J10633" s="0" t="s">
        <v>35481</v>
      </c>
      <c r="K10633" s="0" t="s">
        <v>35482</v>
      </c>
      <c r="L10633" s="0" t="str">
        <f aca="false">HYPERLINK("https://www.ncbi.nlm.nih.gov/nuccore/CP000304.1?report=graph&amp;tracks=[key:gene_model_track,Options:GeneOnly]&amp;mk=2989016:2989035|offset_25|00cc00,2989043:2989062|offset_52|444444,2989076:2989095|offset_85|444444,2989103:2989122|offset_112|444444&amp;v=2988815:2989322&amp;c=444444", "offset 25")</f>
        <v>offset 25</v>
      </c>
    </row>
    <row r="10634" customFormat="false" ht="12.8" hidden="false" customHeight="false" outlineLevel="0" collapsed="false">
      <c r="A10634" s="0" t="s">
        <v>12</v>
      </c>
      <c r="B10634" s="0" t="n">
        <v>2989042</v>
      </c>
      <c r="C10634" s="0" t="n">
        <v>2989062</v>
      </c>
      <c r="D10634" s="0" t="s">
        <v>35479</v>
      </c>
      <c r="E10634" s="0" t="s">
        <v>89</v>
      </c>
      <c r="F10634" s="0" t="s">
        <v>15</v>
      </c>
      <c r="G10634" s="0" t="s">
        <v>16</v>
      </c>
      <c r="H10634" s="0" t="n">
        <v>52</v>
      </c>
      <c r="I10634" s="0" t="s">
        <v>35483</v>
      </c>
      <c r="J10634" s="0" t="s">
        <v>35484</v>
      </c>
      <c r="K10634" s="0" t="s">
        <v>35485</v>
      </c>
      <c r="L10634" s="0" t="str">
        <f aca="false">HYPERLINK("https://www.ncbi.nlm.nih.gov/nuccore/CP000304.1?report=graph&amp;tracks=[key:gene_model_track,Options:GeneOnly]&amp;mk=2989016:2989035|offset_25|444444,2989043:2989062|offset_52|00cc00,2989076:2989095|offset_85|444444,2989103:2989122|offset_112|444444&amp;v=2988815:2989322&amp;c=444444", "offset 52")</f>
        <v>offset 52</v>
      </c>
    </row>
    <row r="10635" customFormat="false" ht="12.8" hidden="false" customHeight="false" outlineLevel="0" collapsed="false">
      <c r="A10635" s="0" t="s">
        <v>12</v>
      </c>
      <c r="B10635" s="0" t="n">
        <v>2989075</v>
      </c>
      <c r="C10635" s="0" t="n">
        <v>2989095</v>
      </c>
      <c r="D10635" s="0" t="s">
        <v>35479</v>
      </c>
      <c r="E10635" s="0" t="s">
        <v>89</v>
      </c>
      <c r="F10635" s="0" t="s">
        <v>15</v>
      </c>
      <c r="G10635" s="0" t="s">
        <v>36</v>
      </c>
      <c r="H10635" s="0" t="n">
        <v>85</v>
      </c>
      <c r="I10635" s="0" t="s">
        <v>35486</v>
      </c>
      <c r="J10635" s="0" t="s">
        <v>35487</v>
      </c>
      <c r="K10635" s="0" t="s">
        <v>35488</v>
      </c>
      <c r="L10635" s="0" t="str">
        <f aca="false">HYPERLINK("https://www.ncbi.nlm.nih.gov/nuccore/CP000304.1?report=graph&amp;tracks=[key:gene_model_track,Options:GeneOnly]&amp;mk=2989016:2989035|offset_25|444444,2989043:2989062|offset_52|444444,2989076:2989095|offset_85|00cc00,2989103:2989122|offset_112|444444&amp;v=2988815:2989322&amp;c=444444", "offset 85")</f>
        <v>offset 85</v>
      </c>
    </row>
    <row r="10636" customFormat="false" ht="12.8" hidden="false" customHeight="false" outlineLevel="0" collapsed="false">
      <c r="A10636" s="0" t="s">
        <v>12</v>
      </c>
      <c r="B10636" s="0" t="n">
        <v>2989102</v>
      </c>
      <c r="C10636" s="0" t="n">
        <v>2989122</v>
      </c>
      <c r="D10636" s="0" t="s">
        <v>35479</v>
      </c>
      <c r="E10636" s="0" t="s">
        <v>89</v>
      </c>
      <c r="F10636" s="0" t="s">
        <v>15</v>
      </c>
      <c r="G10636" s="0" t="s">
        <v>36</v>
      </c>
      <c r="H10636" s="0" t="n">
        <v>112</v>
      </c>
      <c r="I10636" s="0" t="s">
        <v>35489</v>
      </c>
      <c r="J10636" s="0" t="s">
        <v>35490</v>
      </c>
      <c r="K10636" s="0" t="s">
        <v>35491</v>
      </c>
      <c r="L10636" s="0" t="str">
        <f aca="false">HYPERLINK("https://www.ncbi.nlm.nih.gov/nuccore/CP000304.1?report=graph&amp;tracks=[key:gene_model_track,Options:GeneOnly]&amp;mk=2989016:2989035|offset_25|444444,2989043:2989062|offset_52|444444,2989076:2989095|offset_85|444444,2989103:2989122|offset_112|00cc00&amp;v=2988815:2989322&amp;c=444444", "offset 112")</f>
        <v>offset 112</v>
      </c>
    </row>
    <row r="10637" customFormat="false" ht="12.8" hidden="false" customHeight="false" outlineLevel="0" collapsed="false">
      <c r="A10637" s="0" t="s">
        <v>12</v>
      </c>
      <c r="B10637" s="0" t="n">
        <v>2989930</v>
      </c>
      <c r="C10637" s="0" t="n">
        <v>2989950</v>
      </c>
      <c r="D10637" s="0" t="s">
        <v>35492</v>
      </c>
      <c r="E10637" s="0" t="s">
        <v>89</v>
      </c>
      <c r="F10637" s="0" t="s">
        <v>15</v>
      </c>
      <c r="G10637" s="0" t="s">
        <v>26</v>
      </c>
      <c r="H10637" s="0" t="n">
        <v>8</v>
      </c>
      <c r="I10637" s="0" t="s">
        <v>35493</v>
      </c>
      <c r="J10637" s="0" t="s">
        <v>35494</v>
      </c>
      <c r="K10637" s="0" t="s">
        <v>35495</v>
      </c>
      <c r="L10637" s="0" t="str">
        <f aca="false">HYPERLINK("https://www.ncbi.nlm.nih.gov/nuccore/CP000304.1?report=graph&amp;tracks=[key:gene_model_track,Options:GeneOnly]&amp;mk=2989931:2989950|offset_8|00cc00,2989954:2989973|offset_31|444444,2989982:2990001|offset_59|444444,2990005:2990024|offset_82|444444&amp;v=2989730:2990224&amp;c=444444", "offset 8")</f>
        <v>offset 8</v>
      </c>
    </row>
    <row r="10638" customFormat="false" ht="12.8" hidden="false" customHeight="false" outlineLevel="0" collapsed="false">
      <c r="A10638" s="0" t="s">
        <v>12</v>
      </c>
      <c r="B10638" s="0" t="n">
        <v>2989953</v>
      </c>
      <c r="C10638" s="0" t="n">
        <v>2989973</v>
      </c>
      <c r="D10638" s="0" t="s">
        <v>35492</v>
      </c>
      <c r="E10638" s="0" t="s">
        <v>89</v>
      </c>
      <c r="F10638" s="0" t="s">
        <v>15</v>
      </c>
      <c r="G10638" s="0" t="s">
        <v>36</v>
      </c>
      <c r="H10638" s="0" t="n">
        <v>31</v>
      </c>
      <c r="I10638" s="0" t="s">
        <v>35496</v>
      </c>
      <c r="J10638" s="0" t="s">
        <v>35497</v>
      </c>
      <c r="K10638" s="0" t="s">
        <v>35498</v>
      </c>
      <c r="L10638" s="0" t="str">
        <f aca="false">HYPERLINK("https://www.ncbi.nlm.nih.gov/nuccore/CP000304.1?report=graph&amp;tracks=[key:gene_model_track,Options:GeneOnly]&amp;mk=2989931:2989950|offset_8|444444,2989954:2989973|offset_31|00cc00,2989982:2990001|offset_59|444444,2990005:2990024|offset_82|444444&amp;v=2989730:2990224&amp;c=444444", "offset 31")</f>
        <v>offset 31</v>
      </c>
    </row>
    <row r="10639" customFormat="false" ht="12.8" hidden="false" customHeight="false" outlineLevel="0" collapsed="false">
      <c r="A10639" s="0" t="s">
        <v>12</v>
      </c>
      <c r="B10639" s="0" t="n">
        <v>2989981</v>
      </c>
      <c r="C10639" s="0" t="n">
        <v>2990001</v>
      </c>
      <c r="D10639" s="0" t="s">
        <v>35492</v>
      </c>
      <c r="E10639" s="0" t="s">
        <v>89</v>
      </c>
      <c r="F10639" s="0" t="s">
        <v>15</v>
      </c>
      <c r="G10639" s="0" t="s">
        <v>32</v>
      </c>
      <c r="H10639" s="0" t="n">
        <v>59</v>
      </c>
      <c r="I10639" s="0" t="s">
        <v>35499</v>
      </c>
      <c r="J10639" s="0" t="s">
        <v>35500</v>
      </c>
      <c r="K10639" s="0" t="s">
        <v>35501</v>
      </c>
      <c r="L10639" s="0" t="str">
        <f aca="false">HYPERLINK("https://www.ncbi.nlm.nih.gov/nuccore/CP000304.1?report=graph&amp;tracks=[key:gene_model_track,Options:GeneOnly]&amp;mk=2989931:2989950|offset_8|444444,2989954:2989973|offset_31|444444,2989982:2990001|offset_59|00cc00,2990005:2990024|offset_82|444444&amp;v=2989730:2990224&amp;c=444444", "offset 59")</f>
        <v>offset 59</v>
      </c>
    </row>
    <row r="10640" customFormat="false" ht="12.8" hidden="false" customHeight="false" outlineLevel="0" collapsed="false">
      <c r="A10640" s="0" t="s">
        <v>12</v>
      </c>
      <c r="B10640" s="0" t="n">
        <v>2990004</v>
      </c>
      <c r="C10640" s="0" t="n">
        <v>2990024</v>
      </c>
      <c r="D10640" s="0" t="s">
        <v>35492</v>
      </c>
      <c r="E10640" s="0" t="s">
        <v>89</v>
      </c>
      <c r="F10640" s="0" t="s">
        <v>15</v>
      </c>
      <c r="G10640" s="0" t="s">
        <v>16</v>
      </c>
      <c r="H10640" s="0" t="n">
        <v>82</v>
      </c>
      <c r="I10640" s="0" t="s">
        <v>35502</v>
      </c>
      <c r="J10640" s="0" t="s">
        <v>35503</v>
      </c>
      <c r="K10640" s="0" t="s">
        <v>35504</v>
      </c>
      <c r="L10640" s="0" t="str">
        <f aca="false">HYPERLINK("https://www.ncbi.nlm.nih.gov/nuccore/CP000304.1?report=graph&amp;tracks=[key:gene_model_track,Options:GeneOnly]&amp;mk=2989931:2989950|offset_8|444444,2989954:2989973|offset_31|444444,2989982:2990001|offset_59|444444,2990005:2990024|offset_82|00cc00&amp;v=2989730:2990224&amp;c=444444", "offset 82")</f>
        <v>offset 82</v>
      </c>
    </row>
    <row r="10641" customFormat="false" ht="12.8" hidden="false" customHeight="false" outlineLevel="0" collapsed="false">
      <c r="A10641" s="0" t="s">
        <v>12</v>
      </c>
      <c r="B10641" s="0" t="n">
        <v>2990764</v>
      </c>
      <c r="C10641" s="0" t="n">
        <v>2990784</v>
      </c>
      <c r="D10641" s="0" t="s">
        <v>35505</v>
      </c>
      <c r="E10641" s="0" t="s">
        <v>89</v>
      </c>
      <c r="F10641" s="0" t="s">
        <v>15</v>
      </c>
      <c r="G10641" s="0" t="s">
        <v>16</v>
      </c>
      <c r="H10641" s="0" t="n">
        <v>6</v>
      </c>
      <c r="I10641" s="0" t="s">
        <v>35506</v>
      </c>
      <c r="J10641" s="0" t="s">
        <v>35507</v>
      </c>
      <c r="K10641" s="0" t="s">
        <v>35508</v>
      </c>
      <c r="L10641" s="0" t="str">
        <f aca="false">HYPERLINK("https://www.ncbi.nlm.nih.gov/nuccore/CP000304.1?report=graph&amp;tracks=[key:gene_model_track,Options:GeneOnly]&amp;mk=2990765:2990784|offset_6|00cc00,2990792:2990811|offset_33|444444,2990828:2990847|offset_69|444444,2990856:2990875|offset_97|444444&amp;v=2990564:2991075&amp;c=444444", "offset 6")</f>
        <v>offset 6</v>
      </c>
    </row>
    <row r="10642" customFormat="false" ht="12.8" hidden="false" customHeight="false" outlineLevel="0" collapsed="false">
      <c r="A10642" s="0" t="s">
        <v>12</v>
      </c>
      <c r="B10642" s="0" t="n">
        <v>2990791</v>
      </c>
      <c r="C10642" s="0" t="n">
        <v>2990811</v>
      </c>
      <c r="D10642" s="0" t="s">
        <v>35505</v>
      </c>
      <c r="E10642" s="0" t="s">
        <v>89</v>
      </c>
      <c r="F10642" s="0" t="s">
        <v>15</v>
      </c>
      <c r="G10642" s="0" t="s">
        <v>36</v>
      </c>
      <c r="H10642" s="0" t="n">
        <v>33</v>
      </c>
      <c r="I10642" s="0" t="s">
        <v>35509</v>
      </c>
      <c r="J10642" s="0" t="s">
        <v>35510</v>
      </c>
      <c r="K10642" s="0" t="s">
        <v>35511</v>
      </c>
      <c r="L10642" s="0" t="str">
        <f aca="false">HYPERLINK("https://www.ncbi.nlm.nih.gov/nuccore/CP000304.1?report=graph&amp;tracks=[key:gene_model_track,Options:GeneOnly]&amp;mk=2990765:2990784|offset_6|444444,2990792:2990811|offset_33|00cc00,2990828:2990847|offset_69|444444,2990856:2990875|offset_97|444444&amp;v=2990564:2991075&amp;c=444444", "offset 33")</f>
        <v>offset 33</v>
      </c>
    </row>
    <row r="10643" customFormat="false" ht="12.8" hidden="false" customHeight="false" outlineLevel="0" collapsed="false">
      <c r="A10643" s="0" t="s">
        <v>12</v>
      </c>
      <c r="B10643" s="0" t="n">
        <v>2990827</v>
      </c>
      <c r="C10643" s="0" t="n">
        <v>2990847</v>
      </c>
      <c r="D10643" s="0" t="s">
        <v>35505</v>
      </c>
      <c r="E10643" s="0" t="s">
        <v>89</v>
      </c>
      <c r="F10643" s="0" t="s">
        <v>15</v>
      </c>
      <c r="G10643" s="0" t="s">
        <v>32</v>
      </c>
      <c r="H10643" s="0" t="n">
        <v>69</v>
      </c>
      <c r="I10643" s="0" t="s">
        <v>35512</v>
      </c>
      <c r="J10643" s="0" t="s">
        <v>35513</v>
      </c>
      <c r="K10643" s="0" t="s">
        <v>35514</v>
      </c>
      <c r="L10643" s="0" t="str">
        <f aca="false">HYPERLINK("https://www.ncbi.nlm.nih.gov/nuccore/CP000304.1?report=graph&amp;tracks=[key:gene_model_track,Options:GeneOnly]&amp;mk=2990765:2990784|offset_6|444444,2990792:2990811|offset_33|444444,2990828:2990847|offset_69|00cc00,2990856:2990875|offset_97|444444&amp;v=2990564:2991075&amp;c=444444", "offset 69")</f>
        <v>offset 69</v>
      </c>
    </row>
    <row r="10644" customFormat="false" ht="12.8" hidden="false" customHeight="false" outlineLevel="0" collapsed="false">
      <c r="A10644" s="0" t="s">
        <v>12</v>
      </c>
      <c r="B10644" s="0" t="n">
        <v>2990855</v>
      </c>
      <c r="C10644" s="0" t="n">
        <v>2990875</v>
      </c>
      <c r="D10644" s="0" t="s">
        <v>35505</v>
      </c>
      <c r="E10644" s="0" t="s">
        <v>89</v>
      </c>
      <c r="F10644" s="0" t="s">
        <v>15</v>
      </c>
      <c r="G10644" s="0" t="s">
        <v>32</v>
      </c>
      <c r="H10644" s="0" t="n">
        <v>97</v>
      </c>
      <c r="I10644" s="0" t="s">
        <v>35515</v>
      </c>
      <c r="J10644" s="0" t="s">
        <v>35516</v>
      </c>
      <c r="K10644" s="0" t="s">
        <v>35517</v>
      </c>
      <c r="L10644" s="0" t="str">
        <f aca="false">HYPERLINK("https://www.ncbi.nlm.nih.gov/nuccore/CP000304.1?report=graph&amp;tracks=[key:gene_model_track,Options:GeneOnly]&amp;mk=2990765:2990784|offset_6|444444,2990792:2990811|offset_33|444444,2990828:2990847|offset_69|444444,2990856:2990875|offset_97|00cc00&amp;v=2990564:2991075&amp;c=444444", "offset 97")</f>
        <v>offset 97</v>
      </c>
    </row>
    <row r="10645" customFormat="false" ht="12.8" hidden="false" customHeight="false" outlineLevel="0" collapsed="false">
      <c r="A10645" s="0" t="s">
        <v>12</v>
      </c>
      <c r="B10645" s="0" t="n">
        <v>2992582</v>
      </c>
      <c r="C10645" s="0" t="n">
        <v>2992602</v>
      </c>
      <c r="D10645" s="0" t="s">
        <v>35518</v>
      </c>
      <c r="E10645" s="0" t="s">
        <v>89</v>
      </c>
      <c r="F10645" s="0" t="s">
        <v>90</v>
      </c>
      <c r="G10645" s="0" t="s">
        <v>36</v>
      </c>
      <c r="H10645" s="0" t="n">
        <v>7</v>
      </c>
      <c r="I10645" s="0" t="s">
        <v>35519</v>
      </c>
      <c r="J10645" s="0" t="s">
        <v>35520</v>
      </c>
      <c r="K10645" s="0" t="s">
        <v>35521</v>
      </c>
      <c r="L10645" s="0" t="str">
        <f aca="false">HYPERLINK("https://www.ncbi.nlm.nih.gov/nuccore/CP000304.1?report=graph&amp;tracks=[key:gene_model_track,Options:GeneOnly]&amp;mk=2992583:2992602|offset_7|00cc00,2992540:2992559|offset_50|444444,2992516:2992535|offset_74|444444,2992492:2992511|offset_98|444444&amp;v=2992382:2992711&amp;c=444444", "offset 7")</f>
        <v>offset 7</v>
      </c>
    </row>
    <row r="10646" customFormat="false" ht="12.8" hidden="false" customHeight="false" outlineLevel="0" collapsed="false">
      <c r="A10646" s="0" t="s">
        <v>12</v>
      </c>
      <c r="B10646" s="0" t="n">
        <v>2992539</v>
      </c>
      <c r="C10646" s="0" t="n">
        <v>2992559</v>
      </c>
      <c r="D10646" s="0" t="s">
        <v>35518</v>
      </c>
      <c r="E10646" s="0" t="s">
        <v>89</v>
      </c>
      <c r="F10646" s="0" t="s">
        <v>90</v>
      </c>
      <c r="G10646" s="0" t="s">
        <v>26</v>
      </c>
      <c r="H10646" s="0" t="n">
        <v>50</v>
      </c>
      <c r="I10646" s="0" t="s">
        <v>35522</v>
      </c>
      <c r="J10646" s="0" t="s">
        <v>35523</v>
      </c>
      <c r="K10646" s="0" t="s">
        <v>35524</v>
      </c>
      <c r="L10646" s="0" t="str">
        <f aca="false">HYPERLINK("https://www.ncbi.nlm.nih.gov/nuccore/CP000304.1?report=graph&amp;tracks=[key:gene_model_track,Options:GeneOnly]&amp;mk=2992583:2992602|offset_7|444444,2992540:2992559|offset_50|00cc00,2992516:2992535|offset_74|444444,2992492:2992511|offset_98|444444&amp;v=2992382:2992711&amp;c=444444", "offset 50")</f>
        <v>offset 50</v>
      </c>
    </row>
    <row r="10647" customFormat="false" ht="12.8" hidden="false" customHeight="false" outlineLevel="0" collapsed="false">
      <c r="A10647" s="0" t="s">
        <v>12</v>
      </c>
      <c r="B10647" s="0" t="n">
        <v>2992515</v>
      </c>
      <c r="C10647" s="0" t="n">
        <v>2992535</v>
      </c>
      <c r="D10647" s="0" t="s">
        <v>35518</v>
      </c>
      <c r="E10647" s="0" t="s">
        <v>89</v>
      </c>
      <c r="F10647" s="0" t="s">
        <v>90</v>
      </c>
      <c r="G10647" s="0" t="s">
        <v>26</v>
      </c>
      <c r="H10647" s="0" t="n">
        <v>74</v>
      </c>
      <c r="I10647" s="0" t="s">
        <v>35525</v>
      </c>
      <c r="J10647" s="0" t="s">
        <v>35526</v>
      </c>
      <c r="K10647" s="0" t="s">
        <v>35527</v>
      </c>
      <c r="L10647" s="0" t="str">
        <f aca="false">HYPERLINK("https://www.ncbi.nlm.nih.gov/nuccore/CP000304.1?report=graph&amp;tracks=[key:gene_model_track,Options:GeneOnly]&amp;mk=2992583:2992602|offset_7|444444,2992540:2992559|offset_50|444444,2992516:2992535|offset_74|00cc00,2992492:2992511|offset_98|444444&amp;v=2992382:2992711&amp;c=444444", "offset 74")</f>
        <v>offset 74</v>
      </c>
    </row>
    <row r="10648" customFormat="false" ht="12.8" hidden="false" customHeight="false" outlineLevel="0" collapsed="false">
      <c r="A10648" s="0" t="s">
        <v>12</v>
      </c>
      <c r="B10648" s="0" t="n">
        <v>2992491</v>
      </c>
      <c r="C10648" s="0" t="n">
        <v>2992511</v>
      </c>
      <c r="D10648" s="0" t="s">
        <v>35518</v>
      </c>
      <c r="E10648" s="0" t="s">
        <v>89</v>
      </c>
      <c r="F10648" s="0" t="s">
        <v>90</v>
      </c>
      <c r="G10648" s="0" t="s">
        <v>36</v>
      </c>
      <c r="H10648" s="0" t="n">
        <v>98</v>
      </c>
      <c r="I10648" s="0" t="s">
        <v>35528</v>
      </c>
      <c r="J10648" s="0" t="s">
        <v>35529</v>
      </c>
      <c r="K10648" s="0" t="s">
        <v>35530</v>
      </c>
      <c r="L10648" s="0" t="str">
        <f aca="false">HYPERLINK("https://www.ncbi.nlm.nih.gov/nuccore/CP000304.1?report=graph&amp;tracks=[key:gene_model_track,Options:GeneOnly]&amp;mk=2992583:2992602|offset_7|444444,2992540:2992559|offset_50|444444,2992516:2992535|offset_74|444444,2992492:2992511|offset_98|00cc00&amp;v=2992382:2992711&amp;c=444444", "offset 98")</f>
        <v>offset 98</v>
      </c>
    </row>
    <row r="10649" customFormat="false" ht="12.8" hidden="false" customHeight="false" outlineLevel="0" collapsed="false">
      <c r="A10649" s="0" t="s">
        <v>12</v>
      </c>
      <c r="B10649" s="0" t="n">
        <v>2993803</v>
      </c>
      <c r="C10649" s="0" t="n">
        <v>2993823</v>
      </c>
      <c r="D10649" s="0" t="s">
        <v>35531</v>
      </c>
      <c r="E10649" s="0" t="s">
        <v>89</v>
      </c>
      <c r="F10649" s="0" t="s">
        <v>90</v>
      </c>
      <c r="G10649" s="0" t="s">
        <v>36</v>
      </c>
      <c r="H10649" s="0" t="n">
        <v>18</v>
      </c>
      <c r="I10649" s="0" t="s">
        <v>35532</v>
      </c>
      <c r="J10649" s="0" t="s">
        <v>35533</v>
      </c>
      <c r="K10649" s="0" t="s">
        <v>35534</v>
      </c>
      <c r="L10649" s="0" t="str">
        <f aca="false">HYPERLINK("https://www.ncbi.nlm.nih.gov/nuccore/CP000304.1?report=graph&amp;tracks=[key:gene_model_track,Options:GeneOnly]&amp;mk=2993804:2993823|offset_18|00cc00,2993769:2993788|offset_53|444444,2993704:2993723|offset_118|444444,2993658:2993677|offset_164|444444&amp;v=2993603:2993877&amp;c=444444", "offset 18")</f>
        <v>offset 18</v>
      </c>
    </row>
    <row r="10650" customFormat="false" ht="12.8" hidden="false" customHeight="false" outlineLevel="0" collapsed="false">
      <c r="A10650" s="0" t="s">
        <v>12</v>
      </c>
      <c r="B10650" s="0" t="n">
        <v>2993768</v>
      </c>
      <c r="C10650" s="0" t="n">
        <v>2993788</v>
      </c>
      <c r="D10650" s="0" t="s">
        <v>35531</v>
      </c>
      <c r="E10650" s="0" t="s">
        <v>89</v>
      </c>
      <c r="F10650" s="0" t="s">
        <v>90</v>
      </c>
      <c r="G10650" s="0" t="s">
        <v>26</v>
      </c>
      <c r="H10650" s="0" t="n">
        <v>53</v>
      </c>
      <c r="I10650" s="0" t="s">
        <v>35535</v>
      </c>
      <c r="J10650" s="0" t="s">
        <v>35536</v>
      </c>
      <c r="K10650" s="0" t="s">
        <v>35537</v>
      </c>
      <c r="L10650" s="0" t="str">
        <f aca="false">HYPERLINK("https://www.ncbi.nlm.nih.gov/nuccore/CP000304.1?report=graph&amp;tracks=[key:gene_model_track,Options:GeneOnly]&amp;mk=2993804:2993823|offset_18|444444,2993769:2993788|offset_53|00cc00,2993704:2993723|offset_118|444444,2993658:2993677|offset_164|444444&amp;v=2993603:2993877&amp;c=444444", "offset 53")</f>
        <v>offset 53</v>
      </c>
    </row>
    <row r="10651" customFormat="false" ht="12.8" hidden="false" customHeight="false" outlineLevel="0" collapsed="false">
      <c r="A10651" s="0" t="s">
        <v>12</v>
      </c>
      <c r="B10651" s="0" t="n">
        <v>2993703</v>
      </c>
      <c r="C10651" s="0" t="n">
        <v>2993723</v>
      </c>
      <c r="D10651" s="0" t="s">
        <v>35531</v>
      </c>
      <c r="E10651" s="0" t="s">
        <v>89</v>
      </c>
      <c r="F10651" s="0" t="s">
        <v>90</v>
      </c>
      <c r="G10651" s="0" t="s">
        <v>26</v>
      </c>
      <c r="H10651" s="0" t="n">
        <v>118</v>
      </c>
      <c r="I10651" s="0" t="s">
        <v>35538</v>
      </c>
      <c r="J10651" s="0" t="s">
        <v>35539</v>
      </c>
      <c r="K10651" s="0" t="s">
        <v>35540</v>
      </c>
      <c r="L10651" s="0" t="str">
        <f aca="false">HYPERLINK("https://www.ncbi.nlm.nih.gov/nuccore/CP000304.1?report=graph&amp;tracks=[key:gene_model_track,Options:GeneOnly]&amp;mk=2993804:2993823|offset_18|444444,2993769:2993788|offset_53|444444,2993704:2993723|offset_118|00cc00,2993658:2993677|offset_164|444444&amp;v=2993603:2993877&amp;c=444444", "offset 118")</f>
        <v>offset 118</v>
      </c>
    </row>
    <row r="10652" customFormat="false" ht="12.8" hidden="false" customHeight="false" outlineLevel="0" collapsed="false">
      <c r="A10652" s="0" t="s">
        <v>12</v>
      </c>
      <c r="B10652" s="0" t="n">
        <v>2993657</v>
      </c>
      <c r="C10652" s="0" t="n">
        <v>2993677</v>
      </c>
      <c r="D10652" s="0" t="s">
        <v>35531</v>
      </c>
      <c r="E10652" s="0" t="s">
        <v>89</v>
      </c>
      <c r="F10652" s="0" t="s">
        <v>90</v>
      </c>
      <c r="G10652" s="0" t="s">
        <v>26</v>
      </c>
      <c r="H10652" s="0" t="n">
        <v>164</v>
      </c>
      <c r="I10652" s="0" t="s">
        <v>35541</v>
      </c>
      <c r="J10652" s="0" t="s">
        <v>35542</v>
      </c>
      <c r="K10652" s="0" t="s">
        <v>35543</v>
      </c>
      <c r="L10652" s="0" t="str">
        <f aca="false">HYPERLINK("https://www.ncbi.nlm.nih.gov/nuccore/CP000304.1?report=graph&amp;tracks=[key:gene_model_track,Options:GeneOnly]&amp;mk=2993804:2993823|offset_18|444444,2993769:2993788|offset_53|444444,2993704:2993723|offset_118|444444,2993658:2993677|offset_164|00cc00&amp;v=2993603:2993877&amp;c=444444", "offset 164")</f>
        <v>offset 164</v>
      </c>
    </row>
    <row r="10653" customFormat="false" ht="12.8" hidden="false" customHeight="false" outlineLevel="0" collapsed="false">
      <c r="A10653" s="0" t="s">
        <v>12</v>
      </c>
      <c r="B10653" s="0" t="n">
        <v>2994368</v>
      </c>
      <c r="C10653" s="0" t="n">
        <v>2994388</v>
      </c>
      <c r="D10653" s="0" t="s">
        <v>35544</v>
      </c>
      <c r="E10653" s="0" t="s">
        <v>89</v>
      </c>
      <c r="F10653" s="0" t="s">
        <v>90</v>
      </c>
      <c r="G10653" s="0" t="s">
        <v>26</v>
      </c>
      <c r="H10653" s="0" t="n">
        <v>26</v>
      </c>
      <c r="I10653" s="0" t="s">
        <v>35545</v>
      </c>
      <c r="J10653" s="0" t="s">
        <v>35546</v>
      </c>
      <c r="K10653" s="0" t="s">
        <v>35547</v>
      </c>
      <c r="L10653" s="0" t="str">
        <f aca="false">HYPERLINK("https://www.ncbi.nlm.nih.gov/nuccore/CP000304.1?report=graph&amp;tracks=[key:gene_model_track,Options:GeneOnly]&amp;mk=2994369:2994388|offset_26|00cc00,2994330:2994349|offset_65|444444,2994291:2994310|offset_104|444444,2994267:2994286|offset_128|444444&amp;v=2994168:2994486&amp;c=444444", "offset 26")</f>
        <v>offset 26</v>
      </c>
    </row>
    <row r="10654" customFormat="false" ht="12.8" hidden="false" customHeight="false" outlineLevel="0" collapsed="false">
      <c r="A10654" s="0" t="s">
        <v>12</v>
      </c>
      <c r="B10654" s="0" t="n">
        <v>2994329</v>
      </c>
      <c r="C10654" s="0" t="n">
        <v>2994349</v>
      </c>
      <c r="D10654" s="0" t="s">
        <v>35544</v>
      </c>
      <c r="E10654" s="0" t="s">
        <v>89</v>
      </c>
      <c r="F10654" s="0" t="s">
        <v>90</v>
      </c>
      <c r="G10654" s="0" t="s">
        <v>16</v>
      </c>
      <c r="H10654" s="0" t="n">
        <v>65</v>
      </c>
      <c r="I10654" s="0" t="s">
        <v>35548</v>
      </c>
      <c r="J10654" s="0" t="s">
        <v>35549</v>
      </c>
      <c r="K10654" s="0" t="s">
        <v>35550</v>
      </c>
      <c r="L10654" s="0" t="str">
        <f aca="false">HYPERLINK("https://www.ncbi.nlm.nih.gov/nuccore/CP000304.1?report=graph&amp;tracks=[key:gene_model_track,Options:GeneOnly]&amp;mk=2994369:2994388|offset_26|444444,2994330:2994349|offset_65|00cc00,2994291:2994310|offset_104|444444,2994267:2994286|offset_128|444444&amp;v=2994168:2994486&amp;c=444444", "offset 65")</f>
        <v>offset 65</v>
      </c>
    </row>
    <row r="10655" customFormat="false" ht="12.8" hidden="false" customHeight="false" outlineLevel="0" collapsed="false">
      <c r="A10655" s="0" t="s">
        <v>12</v>
      </c>
      <c r="B10655" s="0" t="n">
        <v>2994290</v>
      </c>
      <c r="C10655" s="0" t="n">
        <v>2994310</v>
      </c>
      <c r="D10655" s="0" t="s">
        <v>35544</v>
      </c>
      <c r="E10655" s="0" t="s">
        <v>89</v>
      </c>
      <c r="F10655" s="0" t="s">
        <v>90</v>
      </c>
      <c r="G10655" s="0" t="s">
        <v>26</v>
      </c>
      <c r="H10655" s="0" t="n">
        <v>104</v>
      </c>
      <c r="I10655" s="0" t="s">
        <v>35551</v>
      </c>
      <c r="J10655" s="0" t="s">
        <v>35552</v>
      </c>
      <c r="K10655" s="0" t="s">
        <v>35553</v>
      </c>
      <c r="L10655" s="0" t="str">
        <f aca="false">HYPERLINK("https://www.ncbi.nlm.nih.gov/nuccore/CP000304.1?report=graph&amp;tracks=[key:gene_model_track,Options:GeneOnly]&amp;mk=2994369:2994388|offset_26|444444,2994330:2994349|offset_65|444444,2994291:2994310|offset_104|00cc00,2994267:2994286|offset_128|444444&amp;v=2994168:2994486&amp;c=444444", "offset 104")</f>
        <v>offset 104</v>
      </c>
    </row>
    <row r="10656" customFormat="false" ht="12.8" hidden="false" customHeight="false" outlineLevel="0" collapsed="false">
      <c r="A10656" s="0" t="s">
        <v>12</v>
      </c>
      <c r="B10656" s="0" t="n">
        <v>2994266</v>
      </c>
      <c r="C10656" s="0" t="n">
        <v>2994286</v>
      </c>
      <c r="D10656" s="0" t="s">
        <v>35544</v>
      </c>
      <c r="E10656" s="0" t="s">
        <v>89</v>
      </c>
      <c r="F10656" s="0" t="s">
        <v>90</v>
      </c>
      <c r="G10656" s="0" t="s">
        <v>32</v>
      </c>
      <c r="H10656" s="0" t="n">
        <v>128</v>
      </c>
      <c r="I10656" s="0" t="s">
        <v>35554</v>
      </c>
      <c r="J10656" s="0" t="s">
        <v>35555</v>
      </c>
      <c r="K10656" s="0" t="s">
        <v>35556</v>
      </c>
      <c r="L10656" s="0" t="str">
        <f aca="false">HYPERLINK("https://www.ncbi.nlm.nih.gov/nuccore/CP000304.1?report=graph&amp;tracks=[key:gene_model_track,Options:GeneOnly]&amp;mk=2994369:2994388|offset_26|444444,2994330:2994349|offset_65|444444,2994291:2994310|offset_104|444444,2994267:2994286|offset_128|00cc00&amp;v=2994168:2994486&amp;c=444444", "offset 128")</f>
        <v>offset 128</v>
      </c>
    </row>
    <row r="10657" customFormat="false" ht="12.8" hidden="false" customHeight="false" outlineLevel="0" collapsed="false">
      <c r="A10657" s="0" t="s">
        <v>12</v>
      </c>
      <c r="B10657" s="0" t="n">
        <v>2994555</v>
      </c>
      <c r="C10657" s="0" t="n">
        <v>2994575</v>
      </c>
      <c r="D10657" s="0" t="s">
        <v>35557</v>
      </c>
      <c r="E10657" s="0" t="s">
        <v>35558</v>
      </c>
      <c r="F10657" s="0" t="s">
        <v>15</v>
      </c>
      <c r="G10657" s="0" t="s">
        <v>26</v>
      </c>
      <c r="H10657" s="0" t="n">
        <v>44</v>
      </c>
      <c r="I10657" s="0" t="s">
        <v>35559</v>
      </c>
      <c r="J10657" s="0" t="s">
        <v>35560</v>
      </c>
      <c r="K10657" s="0" t="s">
        <v>35561</v>
      </c>
      <c r="L10657" s="0" t="str">
        <f aca="false">HYPERLINK("https://www.ncbi.nlm.nih.gov/nuccore/CP000304.1?report=graph&amp;tracks=[key:gene_model_track,Options:GeneOnly]&amp;mk=2994556:2994575|offset_44|00cc00,2994576:2994595|offset_64|444444,2994678:2994697|offset_166|444444,2994700:2994719|offset_188|444444&amp;v=2994355:2994919&amp;c=444444", "offset 44")</f>
        <v>offset 44</v>
      </c>
    </row>
    <row r="10658" customFormat="false" ht="12.8" hidden="false" customHeight="false" outlineLevel="0" collapsed="false">
      <c r="A10658" s="0" t="s">
        <v>12</v>
      </c>
      <c r="B10658" s="0" t="n">
        <v>2994575</v>
      </c>
      <c r="C10658" s="0" t="n">
        <v>2994595</v>
      </c>
      <c r="D10658" s="0" t="s">
        <v>35557</v>
      </c>
      <c r="E10658" s="0" t="s">
        <v>35558</v>
      </c>
      <c r="F10658" s="0" t="s">
        <v>15</v>
      </c>
      <c r="G10658" s="0" t="s">
        <v>32</v>
      </c>
      <c r="H10658" s="0" t="n">
        <v>64</v>
      </c>
      <c r="I10658" s="0" t="s">
        <v>35562</v>
      </c>
      <c r="J10658" s="0" t="s">
        <v>35563</v>
      </c>
      <c r="K10658" s="0" t="s">
        <v>35564</v>
      </c>
      <c r="L10658" s="0" t="str">
        <f aca="false">HYPERLINK("https://www.ncbi.nlm.nih.gov/nuccore/CP000304.1?report=graph&amp;tracks=[key:gene_model_track,Options:GeneOnly]&amp;mk=2994556:2994575|offset_44|444444,2994576:2994595|offset_64|00cc00,2994678:2994697|offset_166|444444,2994700:2994719|offset_188|444444&amp;v=2994355:2994919&amp;c=444444", "offset 64")</f>
        <v>offset 64</v>
      </c>
    </row>
    <row r="10659" customFormat="false" ht="12.8" hidden="false" customHeight="false" outlineLevel="0" collapsed="false">
      <c r="A10659" s="0" t="s">
        <v>12</v>
      </c>
      <c r="B10659" s="0" t="n">
        <v>2994677</v>
      </c>
      <c r="C10659" s="0" t="n">
        <v>2994697</v>
      </c>
      <c r="D10659" s="0" t="s">
        <v>35557</v>
      </c>
      <c r="E10659" s="0" t="s">
        <v>35558</v>
      </c>
      <c r="F10659" s="0" t="s">
        <v>15</v>
      </c>
      <c r="G10659" s="0" t="s">
        <v>16</v>
      </c>
      <c r="H10659" s="0" t="n">
        <v>166</v>
      </c>
      <c r="I10659" s="0" t="s">
        <v>35565</v>
      </c>
      <c r="J10659" s="0" t="s">
        <v>35566</v>
      </c>
      <c r="K10659" s="0" t="s">
        <v>35567</v>
      </c>
      <c r="L10659" s="0" t="str">
        <f aca="false">HYPERLINK("https://www.ncbi.nlm.nih.gov/nuccore/CP000304.1?report=graph&amp;tracks=[key:gene_model_track,Options:GeneOnly]&amp;mk=2994556:2994575|offset_44|444444,2994576:2994595|offset_64|444444,2994678:2994697|offset_166|00cc00,2994700:2994719|offset_188|444444&amp;v=2994355:2994919&amp;c=444444", "offset 166")</f>
        <v>offset 166</v>
      </c>
    </row>
    <row r="10660" customFormat="false" ht="12.8" hidden="false" customHeight="false" outlineLevel="0" collapsed="false">
      <c r="A10660" s="0" t="s">
        <v>12</v>
      </c>
      <c r="B10660" s="0" t="n">
        <v>2994699</v>
      </c>
      <c r="C10660" s="0" t="n">
        <v>2994719</v>
      </c>
      <c r="D10660" s="0" t="s">
        <v>35557</v>
      </c>
      <c r="E10660" s="0" t="s">
        <v>35558</v>
      </c>
      <c r="F10660" s="0" t="s">
        <v>15</v>
      </c>
      <c r="G10660" s="0" t="s">
        <v>26</v>
      </c>
      <c r="H10660" s="0" t="n">
        <v>188</v>
      </c>
      <c r="I10660" s="0" t="s">
        <v>35568</v>
      </c>
      <c r="J10660" s="0" t="s">
        <v>35569</v>
      </c>
      <c r="K10660" s="0" t="s">
        <v>35570</v>
      </c>
      <c r="L10660" s="0" t="str">
        <f aca="false">HYPERLINK("https://www.ncbi.nlm.nih.gov/nuccore/CP000304.1?report=graph&amp;tracks=[key:gene_model_track,Options:GeneOnly]&amp;mk=2994556:2994575|offset_44|444444,2994576:2994595|offset_64|444444,2994678:2994697|offset_166|444444,2994700:2994719|offset_188|00cc00&amp;v=2994355:2994919&amp;c=444444", "offset 188")</f>
        <v>offset 188</v>
      </c>
    </row>
    <row r="10661" customFormat="false" ht="12.8" hidden="false" customHeight="false" outlineLevel="0" collapsed="false">
      <c r="A10661" s="0" t="s">
        <v>12</v>
      </c>
      <c r="B10661" s="0" t="n">
        <v>2995737</v>
      </c>
      <c r="C10661" s="0" t="n">
        <v>2995757</v>
      </c>
      <c r="D10661" s="0" t="s">
        <v>35571</v>
      </c>
      <c r="E10661" s="0" t="s">
        <v>35572</v>
      </c>
      <c r="F10661" s="0" t="s">
        <v>90</v>
      </c>
      <c r="G10661" s="0" t="s">
        <v>26</v>
      </c>
      <c r="H10661" s="0" t="n">
        <v>30</v>
      </c>
      <c r="I10661" s="0" t="s">
        <v>35573</v>
      </c>
      <c r="J10661" s="0" t="s">
        <v>35574</v>
      </c>
      <c r="K10661" s="0" t="s">
        <v>35575</v>
      </c>
      <c r="L10661" s="0" t="str">
        <f aca="false">HYPERLINK("https://www.ncbi.nlm.nih.gov/nuccore/CP000304.1?report=graph&amp;tracks=[key:gene_model_track,Options:GeneOnly]&amp;mk=2995738:2995757|offset_30|00cc00,2995707:2995726|offset_61|444444,2995669:2995688|offset_99|444444,2995640:2995659|offset_128|444444&amp;v=2995537:2995859&amp;c=444444", "offset 30")</f>
        <v>offset 30</v>
      </c>
    </row>
    <row r="10662" customFormat="false" ht="12.8" hidden="false" customHeight="false" outlineLevel="0" collapsed="false">
      <c r="A10662" s="0" t="s">
        <v>12</v>
      </c>
      <c r="B10662" s="0" t="n">
        <v>2995706</v>
      </c>
      <c r="C10662" s="0" t="n">
        <v>2995726</v>
      </c>
      <c r="D10662" s="0" t="s">
        <v>35571</v>
      </c>
      <c r="E10662" s="0" t="s">
        <v>35572</v>
      </c>
      <c r="F10662" s="0" t="s">
        <v>90</v>
      </c>
      <c r="G10662" s="0" t="s">
        <v>16</v>
      </c>
      <c r="H10662" s="0" t="n">
        <v>61</v>
      </c>
      <c r="I10662" s="0" t="s">
        <v>35576</v>
      </c>
      <c r="J10662" s="0" t="s">
        <v>35577</v>
      </c>
      <c r="K10662" s="0" t="s">
        <v>35578</v>
      </c>
      <c r="L10662" s="0" t="str">
        <f aca="false">HYPERLINK("https://www.ncbi.nlm.nih.gov/nuccore/CP000304.1?report=graph&amp;tracks=[key:gene_model_track,Options:GeneOnly]&amp;mk=2995738:2995757|offset_30|444444,2995707:2995726|offset_61|00cc00,2995669:2995688|offset_99|444444,2995640:2995659|offset_128|444444&amp;v=2995537:2995859&amp;c=444444", "offset 61")</f>
        <v>offset 61</v>
      </c>
    </row>
    <row r="10663" customFormat="false" ht="12.8" hidden="false" customHeight="false" outlineLevel="0" collapsed="false">
      <c r="A10663" s="0" t="s">
        <v>12</v>
      </c>
      <c r="B10663" s="0" t="n">
        <v>2995668</v>
      </c>
      <c r="C10663" s="0" t="n">
        <v>2995688</v>
      </c>
      <c r="D10663" s="0" t="s">
        <v>35571</v>
      </c>
      <c r="E10663" s="0" t="s">
        <v>35572</v>
      </c>
      <c r="F10663" s="0" t="s">
        <v>90</v>
      </c>
      <c r="G10663" s="0" t="s">
        <v>16</v>
      </c>
      <c r="H10663" s="0" t="n">
        <v>99</v>
      </c>
      <c r="I10663" s="0" t="s">
        <v>35579</v>
      </c>
      <c r="J10663" s="0" t="s">
        <v>35580</v>
      </c>
      <c r="K10663" s="0" t="s">
        <v>35581</v>
      </c>
      <c r="L10663" s="0" t="str">
        <f aca="false">HYPERLINK("https://www.ncbi.nlm.nih.gov/nuccore/CP000304.1?report=graph&amp;tracks=[key:gene_model_track,Options:GeneOnly]&amp;mk=2995738:2995757|offset_30|444444,2995707:2995726|offset_61|444444,2995669:2995688|offset_99|00cc00,2995640:2995659|offset_128|444444&amp;v=2995537:2995859&amp;c=444444", "offset 99")</f>
        <v>offset 99</v>
      </c>
    </row>
    <row r="10664" customFormat="false" ht="12.8" hidden="false" customHeight="false" outlineLevel="0" collapsed="false">
      <c r="A10664" s="0" t="s">
        <v>12</v>
      </c>
      <c r="B10664" s="0" t="n">
        <v>2995639</v>
      </c>
      <c r="C10664" s="0" t="n">
        <v>2995659</v>
      </c>
      <c r="D10664" s="0" t="s">
        <v>35571</v>
      </c>
      <c r="E10664" s="0" t="s">
        <v>35572</v>
      </c>
      <c r="F10664" s="0" t="s">
        <v>90</v>
      </c>
      <c r="G10664" s="0" t="s">
        <v>26</v>
      </c>
      <c r="H10664" s="0" t="n">
        <v>128</v>
      </c>
      <c r="I10664" s="0" t="s">
        <v>35582</v>
      </c>
      <c r="J10664" s="0" t="s">
        <v>35583</v>
      </c>
      <c r="K10664" s="0" t="s">
        <v>35584</v>
      </c>
      <c r="L10664" s="0" t="str">
        <f aca="false">HYPERLINK("https://www.ncbi.nlm.nih.gov/nuccore/CP000304.1?report=graph&amp;tracks=[key:gene_model_track,Options:GeneOnly]&amp;mk=2995738:2995757|offset_30|444444,2995707:2995726|offset_61|444444,2995669:2995688|offset_99|444444,2995640:2995659|offset_128|00cc00&amp;v=2995537:2995859&amp;c=444444", "offset 128")</f>
        <v>offset 128</v>
      </c>
    </row>
    <row r="10665" customFormat="false" ht="12.8" hidden="false" customHeight="false" outlineLevel="0" collapsed="false">
      <c r="A10665" s="0" t="s">
        <v>12</v>
      </c>
      <c r="B10665" s="0" t="n">
        <v>2996398</v>
      </c>
      <c r="C10665" s="0" t="n">
        <v>2996418</v>
      </c>
      <c r="D10665" s="0" t="s">
        <v>35585</v>
      </c>
      <c r="E10665" s="0" t="s">
        <v>89</v>
      </c>
      <c r="F10665" s="0" t="s">
        <v>15</v>
      </c>
      <c r="G10665" s="0" t="s">
        <v>26</v>
      </c>
      <c r="H10665" s="0" t="n">
        <v>10</v>
      </c>
      <c r="I10665" s="0" t="s">
        <v>35586</v>
      </c>
      <c r="J10665" s="0" t="s">
        <v>35587</v>
      </c>
      <c r="K10665" s="0" t="s">
        <v>35588</v>
      </c>
      <c r="L10665" s="0" t="str">
        <f aca="false">HYPERLINK("https://www.ncbi.nlm.nih.gov/nuccore/CP000304.1?report=graph&amp;tracks=[key:gene_model_track,Options:GeneOnly]&amp;mk=2996399:2996418|offset_10|00cc00,2996421:2996440|offset_32|444444,2996454:2996473|offset_65|444444,2996483:2996502|offset_94|444444&amp;v=2996198:2996702&amp;c=444444", "offset 10")</f>
        <v>offset 10</v>
      </c>
    </row>
    <row r="10666" customFormat="false" ht="12.8" hidden="false" customHeight="false" outlineLevel="0" collapsed="false">
      <c r="A10666" s="0" t="s">
        <v>12</v>
      </c>
      <c r="B10666" s="0" t="n">
        <v>2996420</v>
      </c>
      <c r="C10666" s="0" t="n">
        <v>2996440</v>
      </c>
      <c r="D10666" s="0" t="s">
        <v>35585</v>
      </c>
      <c r="E10666" s="0" t="s">
        <v>89</v>
      </c>
      <c r="F10666" s="0" t="s">
        <v>15</v>
      </c>
      <c r="G10666" s="0" t="s">
        <v>36</v>
      </c>
      <c r="H10666" s="0" t="n">
        <v>32</v>
      </c>
      <c r="I10666" s="0" t="s">
        <v>35589</v>
      </c>
      <c r="J10666" s="0" t="s">
        <v>35590</v>
      </c>
      <c r="K10666" s="0" t="s">
        <v>35591</v>
      </c>
      <c r="L10666" s="0" t="str">
        <f aca="false">HYPERLINK("https://www.ncbi.nlm.nih.gov/nuccore/CP000304.1?report=graph&amp;tracks=[key:gene_model_track,Options:GeneOnly]&amp;mk=2996399:2996418|offset_10|444444,2996421:2996440|offset_32|00cc00,2996454:2996473|offset_65|444444,2996483:2996502|offset_94|444444&amp;v=2996198:2996702&amp;c=444444", "offset 32")</f>
        <v>offset 32</v>
      </c>
    </row>
    <row r="10667" customFormat="false" ht="12.8" hidden="false" customHeight="false" outlineLevel="0" collapsed="false">
      <c r="A10667" s="0" t="s">
        <v>12</v>
      </c>
      <c r="B10667" s="0" t="n">
        <v>2996453</v>
      </c>
      <c r="C10667" s="0" t="n">
        <v>2996473</v>
      </c>
      <c r="D10667" s="0" t="s">
        <v>35585</v>
      </c>
      <c r="E10667" s="0" t="s">
        <v>89</v>
      </c>
      <c r="F10667" s="0" t="s">
        <v>15</v>
      </c>
      <c r="G10667" s="0" t="s">
        <v>16</v>
      </c>
      <c r="H10667" s="0" t="n">
        <v>65</v>
      </c>
      <c r="I10667" s="0" t="s">
        <v>35592</v>
      </c>
      <c r="J10667" s="0" t="s">
        <v>35593</v>
      </c>
      <c r="K10667" s="0" t="s">
        <v>35594</v>
      </c>
      <c r="L10667" s="0" t="str">
        <f aca="false">HYPERLINK("https://www.ncbi.nlm.nih.gov/nuccore/CP000304.1?report=graph&amp;tracks=[key:gene_model_track,Options:GeneOnly]&amp;mk=2996399:2996418|offset_10|444444,2996421:2996440|offset_32|444444,2996454:2996473|offset_65|00cc00,2996483:2996502|offset_94|444444&amp;v=2996198:2996702&amp;c=444444", "offset 65")</f>
        <v>offset 65</v>
      </c>
    </row>
    <row r="10668" customFormat="false" ht="12.8" hidden="false" customHeight="false" outlineLevel="0" collapsed="false">
      <c r="A10668" s="0" t="s">
        <v>12</v>
      </c>
      <c r="B10668" s="0" t="n">
        <v>2996482</v>
      </c>
      <c r="C10668" s="0" t="n">
        <v>2996502</v>
      </c>
      <c r="D10668" s="0" t="s">
        <v>35585</v>
      </c>
      <c r="E10668" s="0" t="s">
        <v>89</v>
      </c>
      <c r="F10668" s="0" t="s">
        <v>15</v>
      </c>
      <c r="G10668" s="0" t="s">
        <v>16</v>
      </c>
      <c r="H10668" s="0" t="n">
        <v>94</v>
      </c>
      <c r="I10668" s="0" t="s">
        <v>35595</v>
      </c>
      <c r="J10668" s="0" t="s">
        <v>35596</v>
      </c>
      <c r="K10668" s="0" t="s">
        <v>35597</v>
      </c>
      <c r="L10668" s="0" t="str">
        <f aca="false">HYPERLINK("https://www.ncbi.nlm.nih.gov/nuccore/CP000304.1?report=graph&amp;tracks=[key:gene_model_track,Options:GeneOnly]&amp;mk=2996399:2996418|offset_10|444444,2996421:2996440|offset_32|444444,2996454:2996473|offset_65|444444,2996483:2996502|offset_94|00cc00&amp;v=2996198:2996702&amp;c=444444", "offset 94")</f>
        <v>offset 94</v>
      </c>
    </row>
    <row r="10669" customFormat="false" ht="12.8" hidden="false" customHeight="false" outlineLevel="0" collapsed="false">
      <c r="A10669" s="0" t="s">
        <v>12</v>
      </c>
      <c r="B10669" s="0" t="n">
        <v>2998733</v>
      </c>
      <c r="C10669" s="0" t="n">
        <v>2998753</v>
      </c>
      <c r="D10669" s="0" t="s">
        <v>35598</v>
      </c>
      <c r="E10669" s="0" t="s">
        <v>89</v>
      </c>
      <c r="F10669" s="0" t="s">
        <v>90</v>
      </c>
      <c r="G10669" s="0" t="s">
        <v>16</v>
      </c>
      <c r="H10669" s="0" t="n">
        <v>42</v>
      </c>
      <c r="I10669" s="0" t="s">
        <v>35599</v>
      </c>
      <c r="J10669" s="0" t="s">
        <v>35600</v>
      </c>
      <c r="K10669" s="0" t="s">
        <v>35601</v>
      </c>
      <c r="L10669" s="0" t="str">
        <f aca="false">HYPERLINK("https://www.ncbi.nlm.nih.gov/nuccore/CP000304.1?report=graph&amp;tracks=[key:gene_model_track,Options:GeneOnly]&amp;mk=2998734:2998753|offset_42|00cc00,2998713:2998732|offset_63|444444,2998681:2998700|offset_95|444444,2998658:2998677|offset_118|444444&amp;v=2998533:2998877&amp;c=444444", "offset 42")</f>
        <v>offset 42</v>
      </c>
    </row>
    <row r="10670" customFormat="false" ht="12.8" hidden="false" customHeight="false" outlineLevel="0" collapsed="false">
      <c r="A10670" s="0" t="s">
        <v>12</v>
      </c>
      <c r="B10670" s="0" t="n">
        <v>2998712</v>
      </c>
      <c r="C10670" s="0" t="n">
        <v>2998732</v>
      </c>
      <c r="D10670" s="0" t="s">
        <v>35598</v>
      </c>
      <c r="E10670" s="0" t="s">
        <v>89</v>
      </c>
      <c r="F10670" s="0" t="s">
        <v>90</v>
      </c>
      <c r="G10670" s="0" t="s">
        <v>32</v>
      </c>
      <c r="H10670" s="0" t="n">
        <v>63</v>
      </c>
      <c r="I10670" s="0" t="s">
        <v>35602</v>
      </c>
      <c r="J10670" s="0" t="s">
        <v>35603</v>
      </c>
      <c r="K10670" s="0" t="s">
        <v>35604</v>
      </c>
      <c r="L10670" s="0" t="str">
        <f aca="false">HYPERLINK("https://www.ncbi.nlm.nih.gov/nuccore/CP000304.1?report=graph&amp;tracks=[key:gene_model_track,Options:GeneOnly]&amp;mk=2998734:2998753|offset_42|444444,2998713:2998732|offset_63|00cc00,2998681:2998700|offset_95|444444,2998658:2998677|offset_118|444444&amp;v=2998533:2998877&amp;c=444444", "offset 63")</f>
        <v>offset 63</v>
      </c>
    </row>
    <row r="10671" customFormat="false" ht="12.8" hidden="false" customHeight="false" outlineLevel="0" collapsed="false">
      <c r="A10671" s="0" t="s">
        <v>12</v>
      </c>
      <c r="B10671" s="0" t="n">
        <v>2998680</v>
      </c>
      <c r="C10671" s="0" t="n">
        <v>2998700</v>
      </c>
      <c r="D10671" s="0" t="s">
        <v>35598</v>
      </c>
      <c r="E10671" s="0" t="s">
        <v>89</v>
      </c>
      <c r="F10671" s="0" t="s">
        <v>90</v>
      </c>
      <c r="G10671" s="0" t="s">
        <v>16</v>
      </c>
      <c r="H10671" s="0" t="n">
        <v>95</v>
      </c>
      <c r="I10671" s="0" t="s">
        <v>35605</v>
      </c>
      <c r="J10671" s="0" t="s">
        <v>35606</v>
      </c>
      <c r="K10671" s="0" t="s">
        <v>35607</v>
      </c>
      <c r="L10671" s="0" t="str">
        <f aca="false">HYPERLINK("https://www.ncbi.nlm.nih.gov/nuccore/CP000304.1?report=graph&amp;tracks=[key:gene_model_track,Options:GeneOnly]&amp;mk=2998734:2998753|offset_42|444444,2998713:2998732|offset_63|444444,2998681:2998700|offset_95|00cc00,2998658:2998677|offset_118|444444&amp;v=2998533:2998877&amp;c=444444", "offset 95")</f>
        <v>offset 95</v>
      </c>
    </row>
    <row r="10672" customFormat="false" ht="12.8" hidden="false" customHeight="false" outlineLevel="0" collapsed="false">
      <c r="A10672" s="0" t="s">
        <v>12</v>
      </c>
      <c r="B10672" s="0" t="n">
        <v>2998657</v>
      </c>
      <c r="C10672" s="0" t="n">
        <v>2998677</v>
      </c>
      <c r="D10672" s="0" t="s">
        <v>35598</v>
      </c>
      <c r="E10672" s="0" t="s">
        <v>89</v>
      </c>
      <c r="F10672" s="0" t="s">
        <v>90</v>
      </c>
      <c r="G10672" s="0" t="s">
        <v>36</v>
      </c>
      <c r="H10672" s="0" t="n">
        <v>118</v>
      </c>
      <c r="I10672" s="0" t="s">
        <v>35608</v>
      </c>
      <c r="J10672" s="0" t="s">
        <v>35609</v>
      </c>
      <c r="K10672" s="0" t="s">
        <v>35610</v>
      </c>
      <c r="L10672" s="0" t="str">
        <f aca="false">HYPERLINK("https://www.ncbi.nlm.nih.gov/nuccore/CP000304.1?report=graph&amp;tracks=[key:gene_model_track,Options:GeneOnly]&amp;mk=2998734:2998753|offset_42|444444,2998713:2998732|offset_63|444444,2998681:2998700|offset_95|444444,2998658:2998677|offset_118|00cc00&amp;v=2998533:2998877&amp;c=444444", "offset 118")</f>
        <v>offset 118</v>
      </c>
    </row>
    <row r="10673" customFormat="false" ht="12.8" hidden="false" customHeight="false" outlineLevel="0" collapsed="false">
      <c r="A10673" s="0" t="s">
        <v>12</v>
      </c>
      <c r="B10673" s="0" t="n">
        <v>2999088</v>
      </c>
      <c r="C10673" s="0" t="n">
        <v>2999108</v>
      </c>
      <c r="D10673" s="0" t="s">
        <v>35611</v>
      </c>
      <c r="E10673" s="0" t="s">
        <v>89</v>
      </c>
      <c r="F10673" s="0" t="s">
        <v>90</v>
      </c>
      <c r="G10673" s="0" t="s">
        <v>26</v>
      </c>
      <c r="H10673" s="0" t="n">
        <v>10</v>
      </c>
      <c r="I10673" s="0" t="s">
        <v>35612</v>
      </c>
      <c r="J10673" s="0" t="s">
        <v>35613</v>
      </c>
      <c r="K10673" s="0" t="s">
        <v>35614</v>
      </c>
      <c r="L10673" s="0" t="str">
        <f aca="false">HYPERLINK("https://www.ncbi.nlm.nih.gov/nuccore/CP000304.1?report=graph&amp;tracks=[key:gene_model_track,Options:GeneOnly]&amp;mk=2999089:2999108|offset_10|00cc00,2999056:2999075|offset_43|444444,2999029:2999048|offset_70|444444,2999002:2999021|offset_97|444444&amp;v=2998888:2999221&amp;c=444444", "offset 10")</f>
        <v>offset 10</v>
      </c>
    </row>
    <row r="10674" customFormat="false" ht="12.8" hidden="false" customHeight="false" outlineLevel="0" collapsed="false">
      <c r="A10674" s="0" t="s">
        <v>12</v>
      </c>
      <c r="B10674" s="0" t="n">
        <v>2999055</v>
      </c>
      <c r="C10674" s="0" t="n">
        <v>2999075</v>
      </c>
      <c r="D10674" s="0" t="s">
        <v>35611</v>
      </c>
      <c r="E10674" s="0" t="s">
        <v>89</v>
      </c>
      <c r="F10674" s="0" t="s">
        <v>90</v>
      </c>
      <c r="G10674" s="0" t="s">
        <v>26</v>
      </c>
      <c r="H10674" s="0" t="n">
        <v>43</v>
      </c>
      <c r="I10674" s="0" t="s">
        <v>35615</v>
      </c>
      <c r="J10674" s="0" t="s">
        <v>35616</v>
      </c>
      <c r="K10674" s="0" t="s">
        <v>35617</v>
      </c>
      <c r="L10674" s="0" t="str">
        <f aca="false">HYPERLINK("https://www.ncbi.nlm.nih.gov/nuccore/CP000304.1?report=graph&amp;tracks=[key:gene_model_track,Options:GeneOnly]&amp;mk=2999089:2999108|offset_10|444444,2999056:2999075|offset_43|00cc00,2999029:2999048|offset_70|444444,2999002:2999021|offset_97|444444&amp;v=2998888:2999221&amp;c=444444", "offset 43")</f>
        <v>offset 43</v>
      </c>
    </row>
    <row r="10675" customFormat="false" ht="12.8" hidden="false" customHeight="false" outlineLevel="0" collapsed="false">
      <c r="A10675" s="0" t="s">
        <v>12</v>
      </c>
      <c r="B10675" s="0" t="n">
        <v>2999028</v>
      </c>
      <c r="C10675" s="0" t="n">
        <v>2999048</v>
      </c>
      <c r="D10675" s="0" t="s">
        <v>35611</v>
      </c>
      <c r="E10675" s="0" t="s">
        <v>89</v>
      </c>
      <c r="F10675" s="0" t="s">
        <v>90</v>
      </c>
      <c r="G10675" s="0" t="s">
        <v>26</v>
      </c>
      <c r="H10675" s="0" t="n">
        <v>70</v>
      </c>
      <c r="I10675" s="0" t="s">
        <v>35618</v>
      </c>
      <c r="J10675" s="0" t="s">
        <v>35619</v>
      </c>
      <c r="K10675" s="0" t="s">
        <v>35620</v>
      </c>
      <c r="L10675" s="0" t="str">
        <f aca="false">HYPERLINK("https://www.ncbi.nlm.nih.gov/nuccore/CP000304.1?report=graph&amp;tracks=[key:gene_model_track,Options:GeneOnly]&amp;mk=2999089:2999108|offset_10|444444,2999056:2999075|offset_43|444444,2999029:2999048|offset_70|00cc00,2999002:2999021|offset_97|444444&amp;v=2998888:2999221&amp;c=444444", "offset 70")</f>
        <v>offset 70</v>
      </c>
    </row>
    <row r="10676" customFormat="false" ht="12.8" hidden="false" customHeight="false" outlineLevel="0" collapsed="false">
      <c r="A10676" s="0" t="s">
        <v>12</v>
      </c>
      <c r="B10676" s="0" t="n">
        <v>2999001</v>
      </c>
      <c r="C10676" s="0" t="n">
        <v>2999021</v>
      </c>
      <c r="D10676" s="0" t="s">
        <v>35611</v>
      </c>
      <c r="E10676" s="0" t="s">
        <v>89</v>
      </c>
      <c r="F10676" s="0" t="s">
        <v>90</v>
      </c>
      <c r="G10676" s="0" t="s">
        <v>32</v>
      </c>
      <c r="H10676" s="0" t="n">
        <v>97</v>
      </c>
      <c r="I10676" s="0" t="s">
        <v>35621</v>
      </c>
      <c r="J10676" s="0" t="s">
        <v>35622</v>
      </c>
      <c r="K10676" s="0" t="s">
        <v>35623</v>
      </c>
      <c r="L10676" s="0" t="str">
        <f aca="false">HYPERLINK("https://www.ncbi.nlm.nih.gov/nuccore/CP000304.1?report=graph&amp;tracks=[key:gene_model_track,Options:GeneOnly]&amp;mk=2999089:2999108|offset_10|444444,2999056:2999075|offset_43|444444,2999029:2999048|offset_70|444444,2999002:2999021|offset_97|00cc00&amp;v=2998888:2999221&amp;c=444444", "offset 97")</f>
        <v>offset 97</v>
      </c>
    </row>
    <row r="10677" customFormat="false" ht="12.8" hidden="false" customHeight="false" outlineLevel="0" collapsed="false">
      <c r="A10677" s="0" t="s">
        <v>12</v>
      </c>
      <c r="B10677" s="0" t="n">
        <v>2999811</v>
      </c>
      <c r="C10677" s="0" t="n">
        <v>2999831</v>
      </c>
      <c r="D10677" s="0" t="s">
        <v>35624</v>
      </c>
      <c r="E10677" s="0" t="s">
        <v>35625</v>
      </c>
      <c r="F10677" s="0" t="s">
        <v>90</v>
      </c>
      <c r="G10677" s="0" t="s">
        <v>16</v>
      </c>
      <c r="H10677" s="0" t="n">
        <v>0</v>
      </c>
      <c r="I10677" s="0" t="s">
        <v>35626</v>
      </c>
      <c r="J10677" s="0" t="s">
        <v>35627</v>
      </c>
      <c r="K10677" s="0" t="s">
        <v>35628</v>
      </c>
      <c r="L10677" s="0" t="str">
        <f aca="false">HYPERLINK("https://www.ncbi.nlm.nih.gov/nuccore/CP000304.1?report=graph&amp;tracks=[key:gene_model_track,Options:GeneOnly]&amp;mk=2999812:2999831|offset_0|00cc00,2999786:2999805|offset_26|444444,2999764:2999783|offset_48|444444,2999744:2999763|offset_68|444444&amp;v=2999611:2999963&amp;c=444444", "offset 0")</f>
        <v>offset 0</v>
      </c>
    </row>
    <row r="10678" customFormat="false" ht="12.8" hidden="false" customHeight="false" outlineLevel="0" collapsed="false">
      <c r="A10678" s="0" t="s">
        <v>12</v>
      </c>
      <c r="B10678" s="0" t="n">
        <v>2999785</v>
      </c>
      <c r="C10678" s="0" t="n">
        <v>2999805</v>
      </c>
      <c r="D10678" s="0" t="s">
        <v>35624</v>
      </c>
      <c r="E10678" s="0" t="s">
        <v>35625</v>
      </c>
      <c r="F10678" s="0" t="s">
        <v>90</v>
      </c>
      <c r="G10678" s="0" t="s">
        <v>32</v>
      </c>
      <c r="H10678" s="0" t="n">
        <v>26</v>
      </c>
      <c r="I10678" s="0" t="s">
        <v>35629</v>
      </c>
      <c r="J10678" s="0" t="s">
        <v>35630</v>
      </c>
      <c r="K10678" s="0" t="s">
        <v>35631</v>
      </c>
      <c r="L10678" s="0" t="str">
        <f aca="false">HYPERLINK("https://www.ncbi.nlm.nih.gov/nuccore/CP000304.1?report=graph&amp;tracks=[key:gene_model_track,Options:GeneOnly]&amp;mk=2999812:2999831|offset_0|444444,2999786:2999805|offset_26|00cc00,2999764:2999783|offset_48|444444,2999744:2999763|offset_68|444444&amp;v=2999611:2999963&amp;c=444444", "offset 26")</f>
        <v>offset 26</v>
      </c>
    </row>
    <row r="10679" customFormat="false" ht="12.8" hidden="false" customHeight="false" outlineLevel="0" collapsed="false">
      <c r="A10679" s="0" t="s">
        <v>12</v>
      </c>
      <c r="B10679" s="0" t="n">
        <v>2999763</v>
      </c>
      <c r="C10679" s="0" t="n">
        <v>2999783</v>
      </c>
      <c r="D10679" s="0" t="s">
        <v>35624</v>
      </c>
      <c r="E10679" s="0" t="s">
        <v>35625</v>
      </c>
      <c r="F10679" s="0" t="s">
        <v>90</v>
      </c>
      <c r="G10679" s="0" t="s">
        <v>36</v>
      </c>
      <c r="H10679" s="0" t="n">
        <v>48</v>
      </c>
      <c r="I10679" s="0" t="s">
        <v>35632</v>
      </c>
      <c r="J10679" s="0" t="s">
        <v>35633</v>
      </c>
      <c r="K10679" s="0" t="s">
        <v>35634</v>
      </c>
      <c r="L10679" s="0" t="str">
        <f aca="false">HYPERLINK("https://www.ncbi.nlm.nih.gov/nuccore/CP000304.1?report=graph&amp;tracks=[key:gene_model_track,Options:GeneOnly]&amp;mk=2999812:2999831|offset_0|444444,2999786:2999805|offset_26|444444,2999764:2999783|offset_48|00cc00,2999744:2999763|offset_68|444444&amp;v=2999611:2999963&amp;c=444444", "offset 48")</f>
        <v>offset 48</v>
      </c>
    </row>
    <row r="10680" customFormat="false" ht="12.8" hidden="false" customHeight="false" outlineLevel="0" collapsed="false">
      <c r="A10680" s="0" t="s">
        <v>12</v>
      </c>
      <c r="B10680" s="0" t="n">
        <v>2999743</v>
      </c>
      <c r="C10680" s="0" t="n">
        <v>2999763</v>
      </c>
      <c r="D10680" s="0" t="s">
        <v>35624</v>
      </c>
      <c r="E10680" s="0" t="s">
        <v>35625</v>
      </c>
      <c r="F10680" s="0" t="s">
        <v>90</v>
      </c>
      <c r="G10680" s="0" t="s">
        <v>36</v>
      </c>
      <c r="H10680" s="0" t="n">
        <v>68</v>
      </c>
      <c r="I10680" s="0" t="s">
        <v>35635</v>
      </c>
      <c r="J10680" s="0" t="s">
        <v>35636</v>
      </c>
      <c r="K10680" s="0" t="s">
        <v>35637</v>
      </c>
      <c r="L10680" s="0" t="str">
        <f aca="false">HYPERLINK("https://www.ncbi.nlm.nih.gov/nuccore/CP000304.1?report=graph&amp;tracks=[key:gene_model_track,Options:GeneOnly]&amp;mk=2999812:2999831|offset_0|444444,2999786:2999805|offset_26|444444,2999764:2999783|offset_48|444444,2999744:2999763|offset_68|00cc00&amp;v=2999611:2999963&amp;c=444444", "offset 68")</f>
        <v>offset 68</v>
      </c>
    </row>
    <row r="10681" customFormat="false" ht="12.8" hidden="false" customHeight="false" outlineLevel="0" collapsed="false">
      <c r="A10681" s="0" t="s">
        <v>12</v>
      </c>
      <c r="B10681" s="0" t="n">
        <v>3000513</v>
      </c>
      <c r="C10681" s="0" t="n">
        <v>3000533</v>
      </c>
      <c r="D10681" s="0" t="s">
        <v>35638</v>
      </c>
      <c r="E10681" s="0" t="s">
        <v>89</v>
      </c>
      <c r="F10681" s="0" t="s">
        <v>90</v>
      </c>
      <c r="G10681" s="0" t="s">
        <v>16</v>
      </c>
      <c r="H10681" s="0" t="n">
        <v>12</v>
      </c>
      <c r="I10681" s="0" t="s">
        <v>35639</v>
      </c>
      <c r="J10681" s="0" t="s">
        <v>35640</v>
      </c>
      <c r="K10681" s="0" t="s">
        <v>35641</v>
      </c>
      <c r="L10681" s="0" t="str">
        <f aca="false">HYPERLINK("https://www.ncbi.nlm.nih.gov/nuccore/CP000304.1?report=graph&amp;tracks=[key:gene_model_track,Options:GeneOnly]&amp;mk=3000514:3000533|offset_12|00cc00,3000479:3000498|offset_47|444444,3000452:3000471|offset_74|444444,3000422:3000441|offset_104|444444&amp;v=3000313:3000641&amp;c=444444", "offset 12")</f>
        <v>offset 12</v>
      </c>
    </row>
    <row r="10682" customFormat="false" ht="12.8" hidden="false" customHeight="false" outlineLevel="0" collapsed="false">
      <c r="A10682" s="0" t="s">
        <v>12</v>
      </c>
      <c r="B10682" s="0" t="n">
        <v>3000478</v>
      </c>
      <c r="C10682" s="0" t="n">
        <v>3000498</v>
      </c>
      <c r="D10682" s="0" t="s">
        <v>35638</v>
      </c>
      <c r="E10682" s="0" t="s">
        <v>89</v>
      </c>
      <c r="F10682" s="0" t="s">
        <v>90</v>
      </c>
      <c r="G10682" s="0" t="s">
        <v>26</v>
      </c>
      <c r="H10682" s="0" t="n">
        <v>47</v>
      </c>
      <c r="I10682" s="0" t="s">
        <v>35642</v>
      </c>
      <c r="J10682" s="0" t="s">
        <v>35643</v>
      </c>
      <c r="K10682" s="0" t="s">
        <v>35644</v>
      </c>
      <c r="L10682" s="0" t="str">
        <f aca="false">HYPERLINK("https://www.ncbi.nlm.nih.gov/nuccore/CP000304.1?report=graph&amp;tracks=[key:gene_model_track,Options:GeneOnly]&amp;mk=3000514:3000533|offset_12|444444,3000479:3000498|offset_47|00cc00,3000452:3000471|offset_74|444444,3000422:3000441|offset_104|444444&amp;v=3000313:3000641&amp;c=444444", "offset 47")</f>
        <v>offset 47</v>
      </c>
    </row>
    <row r="10683" customFormat="false" ht="12.8" hidden="false" customHeight="false" outlineLevel="0" collapsed="false">
      <c r="A10683" s="0" t="s">
        <v>12</v>
      </c>
      <c r="B10683" s="0" t="n">
        <v>3000451</v>
      </c>
      <c r="C10683" s="0" t="n">
        <v>3000471</v>
      </c>
      <c r="D10683" s="0" t="s">
        <v>35638</v>
      </c>
      <c r="E10683" s="0" t="s">
        <v>89</v>
      </c>
      <c r="F10683" s="0" t="s">
        <v>90</v>
      </c>
      <c r="G10683" s="0" t="s">
        <v>36</v>
      </c>
      <c r="H10683" s="0" t="n">
        <v>74</v>
      </c>
      <c r="I10683" s="0" t="s">
        <v>35645</v>
      </c>
      <c r="J10683" s="0" t="s">
        <v>35646</v>
      </c>
      <c r="K10683" s="0" t="s">
        <v>35647</v>
      </c>
      <c r="L10683" s="0" t="str">
        <f aca="false">HYPERLINK("https://www.ncbi.nlm.nih.gov/nuccore/CP000304.1?report=graph&amp;tracks=[key:gene_model_track,Options:GeneOnly]&amp;mk=3000514:3000533|offset_12|444444,3000479:3000498|offset_47|444444,3000452:3000471|offset_74|00cc00,3000422:3000441|offset_104|444444&amp;v=3000313:3000641&amp;c=444444", "offset 74")</f>
        <v>offset 74</v>
      </c>
    </row>
    <row r="10684" customFormat="false" ht="12.8" hidden="false" customHeight="false" outlineLevel="0" collapsed="false">
      <c r="A10684" s="0" t="s">
        <v>12</v>
      </c>
      <c r="B10684" s="0" t="n">
        <v>3000421</v>
      </c>
      <c r="C10684" s="0" t="n">
        <v>3000441</v>
      </c>
      <c r="D10684" s="0" t="s">
        <v>35638</v>
      </c>
      <c r="E10684" s="0" t="s">
        <v>89</v>
      </c>
      <c r="F10684" s="0" t="s">
        <v>90</v>
      </c>
      <c r="G10684" s="0" t="s">
        <v>16</v>
      </c>
      <c r="H10684" s="0" t="n">
        <v>104</v>
      </c>
      <c r="I10684" s="0" t="s">
        <v>35648</v>
      </c>
      <c r="J10684" s="0" t="s">
        <v>35649</v>
      </c>
      <c r="K10684" s="0" t="s">
        <v>35650</v>
      </c>
      <c r="L10684" s="0" t="str">
        <f aca="false">HYPERLINK("https://www.ncbi.nlm.nih.gov/nuccore/CP000304.1?report=graph&amp;tracks=[key:gene_model_track,Options:GeneOnly]&amp;mk=3000514:3000533|offset_12|444444,3000479:3000498|offset_47|444444,3000452:3000471|offset_74|444444,3000422:3000441|offset_104|00cc00&amp;v=3000313:3000641&amp;c=444444", "offset 104")</f>
        <v>offset 104</v>
      </c>
    </row>
    <row r="10685" customFormat="false" ht="12.8" hidden="false" customHeight="false" outlineLevel="0" collapsed="false">
      <c r="A10685" s="0" t="s">
        <v>12</v>
      </c>
      <c r="B10685" s="0" t="n">
        <v>3000673</v>
      </c>
      <c r="C10685" s="0" t="n">
        <v>3000693</v>
      </c>
      <c r="D10685" s="0" t="s">
        <v>35651</v>
      </c>
      <c r="E10685" s="0" t="s">
        <v>89</v>
      </c>
      <c r="F10685" s="0" t="s">
        <v>15</v>
      </c>
      <c r="G10685" s="0" t="s">
        <v>26</v>
      </c>
      <c r="H10685" s="0" t="n">
        <v>9</v>
      </c>
      <c r="I10685" s="0" t="s">
        <v>35652</v>
      </c>
      <c r="J10685" s="0" t="s">
        <v>35653</v>
      </c>
      <c r="K10685" s="0" t="s">
        <v>35654</v>
      </c>
      <c r="L10685" s="0" t="str">
        <f aca="false">HYPERLINK("https://www.ncbi.nlm.nih.gov/nuccore/CP000304.1?report=graph&amp;tracks=[key:gene_model_track,Options:GeneOnly]&amp;mk=3000674:3000693|offset_9|00cc00,3000704:3000723|offset_39|444444,3000728:3000747|offset_63|444444,3000768:3000787|offset_103|444444&amp;v=3000473:3000987&amp;c=444444", "offset 9")</f>
        <v>offset 9</v>
      </c>
    </row>
    <row r="10686" customFormat="false" ht="12.8" hidden="false" customHeight="false" outlineLevel="0" collapsed="false">
      <c r="A10686" s="0" t="s">
        <v>12</v>
      </c>
      <c r="B10686" s="0" t="n">
        <v>3000703</v>
      </c>
      <c r="C10686" s="0" t="n">
        <v>3000723</v>
      </c>
      <c r="D10686" s="0" t="s">
        <v>35651</v>
      </c>
      <c r="E10686" s="0" t="s">
        <v>89</v>
      </c>
      <c r="F10686" s="0" t="s">
        <v>15</v>
      </c>
      <c r="G10686" s="0" t="s">
        <v>32</v>
      </c>
      <c r="H10686" s="0" t="n">
        <v>39</v>
      </c>
      <c r="I10686" s="0" t="s">
        <v>35655</v>
      </c>
      <c r="J10686" s="0" t="s">
        <v>35656</v>
      </c>
      <c r="K10686" s="0" t="s">
        <v>35657</v>
      </c>
      <c r="L10686" s="0" t="str">
        <f aca="false">HYPERLINK("https://www.ncbi.nlm.nih.gov/nuccore/CP000304.1?report=graph&amp;tracks=[key:gene_model_track,Options:GeneOnly]&amp;mk=3000674:3000693|offset_9|444444,3000704:3000723|offset_39|00cc00,3000728:3000747|offset_63|444444,3000768:3000787|offset_103|444444&amp;v=3000473:3000987&amp;c=444444", "offset 39")</f>
        <v>offset 39</v>
      </c>
    </row>
    <row r="10687" customFormat="false" ht="12.8" hidden="false" customHeight="false" outlineLevel="0" collapsed="false">
      <c r="A10687" s="0" t="s">
        <v>12</v>
      </c>
      <c r="B10687" s="0" t="n">
        <v>3000727</v>
      </c>
      <c r="C10687" s="0" t="n">
        <v>3000747</v>
      </c>
      <c r="D10687" s="0" t="s">
        <v>35651</v>
      </c>
      <c r="E10687" s="0" t="s">
        <v>89</v>
      </c>
      <c r="F10687" s="0" t="s">
        <v>15</v>
      </c>
      <c r="G10687" s="0" t="s">
        <v>26</v>
      </c>
      <c r="H10687" s="0" t="n">
        <v>63</v>
      </c>
      <c r="I10687" s="0" t="s">
        <v>35658</v>
      </c>
      <c r="J10687" s="0" t="s">
        <v>35659</v>
      </c>
      <c r="K10687" s="0" t="s">
        <v>35660</v>
      </c>
      <c r="L10687" s="0" t="str">
        <f aca="false">HYPERLINK("https://www.ncbi.nlm.nih.gov/nuccore/CP000304.1?report=graph&amp;tracks=[key:gene_model_track,Options:GeneOnly]&amp;mk=3000674:3000693|offset_9|444444,3000704:3000723|offset_39|444444,3000728:3000747|offset_63|00cc00,3000768:3000787|offset_103|444444&amp;v=3000473:3000987&amp;c=444444", "offset 63")</f>
        <v>offset 63</v>
      </c>
    </row>
    <row r="10688" customFormat="false" ht="12.8" hidden="false" customHeight="false" outlineLevel="0" collapsed="false">
      <c r="A10688" s="0" t="s">
        <v>12</v>
      </c>
      <c r="B10688" s="0" t="n">
        <v>3000767</v>
      </c>
      <c r="C10688" s="0" t="n">
        <v>3000787</v>
      </c>
      <c r="D10688" s="0" t="s">
        <v>35651</v>
      </c>
      <c r="E10688" s="0" t="s">
        <v>89</v>
      </c>
      <c r="F10688" s="0" t="s">
        <v>15</v>
      </c>
      <c r="G10688" s="0" t="s">
        <v>26</v>
      </c>
      <c r="H10688" s="0" t="n">
        <v>103</v>
      </c>
      <c r="I10688" s="0" t="s">
        <v>35661</v>
      </c>
      <c r="J10688" s="0" t="s">
        <v>35662</v>
      </c>
      <c r="K10688" s="0" t="s">
        <v>35663</v>
      </c>
      <c r="L10688" s="0" t="str">
        <f aca="false">HYPERLINK("https://www.ncbi.nlm.nih.gov/nuccore/CP000304.1?report=graph&amp;tracks=[key:gene_model_track,Options:GeneOnly]&amp;mk=3000674:3000693|offset_9|444444,3000704:3000723|offset_39|444444,3000728:3000747|offset_63|444444,3000768:3000787|offset_103|00cc00&amp;v=3000473:3000987&amp;c=444444", "offset 103")</f>
        <v>offset 103</v>
      </c>
    </row>
    <row r="10689" customFormat="false" ht="12.8" hidden="false" customHeight="false" outlineLevel="0" collapsed="false">
      <c r="A10689" s="0" t="s">
        <v>12</v>
      </c>
      <c r="B10689" s="0" t="n">
        <v>3000850</v>
      </c>
      <c r="C10689" s="0" t="n">
        <v>3000870</v>
      </c>
      <c r="D10689" s="0" t="s">
        <v>35664</v>
      </c>
      <c r="E10689" s="0" t="s">
        <v>89</v>
      </c>
      <c r="F10689" s="0" t="s">
        <v>15</v>
      </c>
      <c r="G10689" s="0" t="s">
        <v>16</v>
      </c>
      <c r="H10689" s="0" t="n">
        <v>28</v>
      </c>
      <c r="I10689" s="0" t="s">
        <v>35665</v>
      </c>
      <c r="J10689" s="0" t="s">
        <v>35666</v>
      </c>
      <c r="K10689" s="0" t="s">
        <v>35667</v>
      </c>
      <c r="L10689" s="0" t="str">
        <f aca="false">HYPERLINK("https://www.ncbi.nlm.nih.gov/nuccore/CP000304.1?report=graph&amp;tracks=[key:gene_model_track,Options:GeneOnly]&amp;mk=3000851:3000870|offset_28|00cc00,3000875:3000894|offset_52|444444,3000906:3000925|offset_83|444444,3000928:3000947|offset_105|444444&amp;v=3000650:3001147&amp;c=444444", "offset 28")</f>
        <v>offset 28</v>
      </c>
    </row>
    <row r="10690" customFormat="false" ht="12.8" hidden="false" customHeight="false" outlineLevel="0" collapsed="false">
      <c r="A10690" s="0" t="s">
        <v>12</v>
      </c>
      <c r="B10690" s="0" t="n">
        <v>3000874</v>
      </c>
      <c r="C10690" s="0" t="n">
        <v>3000894</v>
      </c>
      <c r="D10690" s="0" t="s">
        <v>35664</v>
      </c>
      <c r="E10690" s="0" t="s">
        <v>89</v>
      </c>
      <c r="F10690" s="0" t="s">
        <v>15</v>
      </c>
      <c r="G10690" s="0" t="s">
        <v>32</v>
      </c>
      <c r="H10690" s="0" t="n">
        <v>52</v>
      </c>
      <c r="I10690" s="0" t="s">
        <v>35668</v>
      </c>
      <c r="J10690" s="0" t="s">
        <v>35669</v>
      </c>
      <c r="K10690" s="0" t="s">
        <v>35670</v>
      </c>
      <c r="L10690" s="0" t="str">
        <f aca="false">HYPERLINK("https://www.ncbi.nlm.nih.gov/nuccore/CP000304.1?report=graph&amp;tracks=[key:gene_model_track,Options:GeneOnly]&amp;mk=3000851:3000870|offset_28|444444,3000875:3000894|offset_52|00cc00,3000906:3000925|offset_83|444444,3000928:3000947|offset_105|444444&amp;v=3000650:3001147&amp;c=444444", "offset 52")</f>
        <v>offset 52</v>
      </c>
    </row>
    <row r="10691" customFormat="false" ht="12.8" hidden="false" customHeight="false" outlineLevel="0" collapsed="false">
      <c r="A10691" s="0" t="s">
        <v>12</v>
      </c>
      <c r="B10691" s="0" t="n">
        <v>3000905</v>
      </c>
      <c r="C10691" s="0" t="n">
        <v>3000925</v>
      </c>
      <c r="D10691" s="0" t="s">
        <v>35664</v>
      </c>
      <c r="E10691" s="0" t="s">
        <v>89</v>
      </c>
      <c r="F10691" s="0" t="s">
        <v>15</v>
      </c>
      <c r="G10691" s="0" t="s">
        <v>16</v>
      </c>
      <c r="H10691" s="0" t="n">
        <v>83</v>
      </c>
      <c r="I10691" s="0" t="s">
        <v>35671</v>
      </c>
      <c r="J10691" s="0" t="s">
        <v>35672</v>
      </c>
      <c r="K10691" s="0" t="s">
        <v>35673</v>
      </c>
      <c r="L10691" s="0" t="str">
        <f aca="false">HYPERLINK("https://www.ncbi.nlm.nih.gov/nuccore/CP000304.1?report=graph&amp;tracks=[key:gene_model_track,Options:GeneOnly]&amp;mk=3000851:3000870|offset_28|444444,3000875:3000894|offset_52|444444,3000906:3000925|offset_83|00cc00,3000928:3000947|offset_105|444444&amp;v=3000650:3001147&amp;c=444444", "offset 83")</f>
        <v>offset 83</v>
      </c>
    </row>
    <row r="10692" customFormat="false" ht="12.8" hidden="false" customHeight="false" outlineLevel="0" collapsed="false">
      <c r="A10692" s="0" t="s">
        <v>12</v>
      </c>
      <c r="B10692" s="0" t="n">
        <v>3000927</v>
      </c>
      <c r="C10692" s="0" t="n">
        <v>3000947</v>
      </c>
      <c r="D10692" s="0" t="s">
        <v>35664</v>
      </c>
      <c r="E10692" s="0" t="s">
        <v>89</v>
      </c>
      <c r="F10692" s="0" t="s">
        <v>15</v>
      </c>
      <c r="G10692" s="0" t="s">
        <v>16</v>
      </c>
      <c r="H10692" s="0" t="n">
        <v>105</v>
      </c>
      <c r="I10692" s="0" t="s">
        <v>35674</v>
      </c>
      <c r="J10692" s="0" t="s">
        <v>35675</v>
      </c>
      <c r="K10692" s="0" t="s">
        <v>35676</v>
      </c>
      <c r="L10692" s="0" t="str">
        <f aca="false">HYPERLINK("https://www.ncbi.nlm.nih.gov/nuccore/CP000304.1?report=graph&amp;tracks=[key:gene_model_track,Options:GeneOnly]&amp;mk=3000851:3000870|offset_28|444444,3000875:3000894|offset_52|444444,3000906:3000925|offset_83|444444,3000928:3000947|offset_105|00cc00&amp;v=3000650:3001147&amp;c=444444", "offset 105")</f>
        <v>offset 105</v>
      </c>
    </row>
    <row r="10693" customFormat="false" ht="12.8" hidden="false" customHeight="false" outlineLevel="0" collapsed="false">
      <c r="A10693" s="0" t="s">
        <v>12</v>
      </c>
      <c r="B10693" s="0" t="n">
        <v>3004701</v>
      </c>
      <c r="C10693" s="0" t="n">
        <v>3004721</v>
      </c>
      <c r="D10693" s="0" t="s">
        <v>35677</v>
      </c>
      <c r="E10693" s="0" t="s">
        <v>89</v>
      </c>
      <c r="F10693" s="0" t="s">
        <v>15</v>
      </c>
      <c r="G10693" s="0" t="s">
        <v>16</v>
      </c>
      <c r="H10693" s="0" t="n">
        <v>14</v>
      </c>
      <c r="I10693" s="0" t="s">
        <v>35678</v>
      </c>
      <c r="J10693" s="0" t="s">
        <v>35679</v>
      </c>
      <c r="K10693" s="0" t="s">
        <v>35680</v>
      </c>
      <c r="L10693" s="0" t="str">
        <f aca="false">HYPERLINK("https://www.ncbi.nlm.nih.gov/nuccore/CP000304.1?report=graph&amp;tracks=[key:gene_model_track,Options:GeneOnly]&amp;mk=3004702:3004721|offset_14|00cc00,3004723:3004742|offset_35|444444,3004755:3004774|offset_67|444444,3004815:3004834|offset_127|444444&amp;v=3004501:3005034&amp;c=444444", "offset 14")</f>
        <v>offset 14</v>
      </c>
    </row>
    <row r="10694" customFormat="false" ht="12.8" hidden="false" customHeight="false" outlineLevel="0" collapsed="false">
      <c r="A10694" s="0" t="s">
        <v>12</v>
      </c>
      <c r="B10694" s="0" t="n">
        <v>3004722</v>
      </c>
      <c r="C10694" s="0" t="n">
        <v>3004742</v>
      </c>
      <c r="D10694" s="0" t="s">
        <v>35677</v>
      </c>
      <c r="E10694" s="0" t="s">
        <v>89</v>
      </c>
      <c r="F10694" s="0" t="s">
        <v>15</v>
      </c>
      <c r="G10694" s="0" t="s">
        <v>26</v>
      </c>
      <c r="H10694" s="0" t="n">
        <v>35</v>
      </c>
      <c r="I10694" s="0" t="s">
        <v>35681</v>
      </c>
      <c r="J10694" s="0" t="s">
        <v>35682</v>
      </c>
      <c r="K10694" s="0" t="s">
        <v>35683</v>
      </c>
      <c r="L10694" s="0" t="str">
        <f aca="false">HYPERLINK("https://www.ncbi.nlm.nih.gov/nuccore/CP000304.1?report=graph&amp;tracks=[key:gene_model_track,Options:GeneOnly]&amp;mk=3004702:3004721|offset_14|444444,3004723:3004742|offset_35|00cc00,3004755:3004774|offset_67|444444,3004815:3004834|offset_127|444444&amp;v=3004501:3005034&amp;c=444444", "offset 35")</f>
        <v>offset 35</v>
      </c>
    </row>
    <row r="10695" customFormat="false" ht="12.8" hidden="false" customHeight="false" outlineLevel="0" collapsed="false">
      <c r="A10695" s="0" t="s">
        <v>12</v>
      </c>
      <c r="B10695" s="0" t="n">
        <v>3004754</v>
      </c>
      <c r="C10695" s="0" t="n">
        <v>3004774</v>
      </c>
      <c r="D10695" s="0" t="s">
        <v>35677</v>
      </c>
      <c r="E10695" s="0" t="s">
        <v>89</v>
      </c>
      <c r="F10695" s="0" t="s">
        <v>15</v>
      </c>
      <c r="G10695" s="0" t="s">
        <v>36</v>
      </c>
      <c r="H10695" s="0" t="n">
        <v>67</v>
      </c>
      <c r="I10695" s="0" t="s">
        <v>35684</v>
      </c>
      <c r="J10695" s="0" t="s">
        <v>35685</v>
      </c>
      <c r="K10695" s="0" t="s">
        <v>35686</v>
      </c>
      <c r="L10695" s="0" t="str">
        <f aca="false">HYPERLINK("https://www.ncbi.nlm.nih.gov/nuccore/CP000304.1?report=graph&amp;tracks=[key:gene_model_track,Options:GeneOnly]&amp;mk=3004702:3004721|offset_14|444444,3004723:3004742|offset_35|444444,3004755:3004774|offset_67|00cc00,3004815:3004834|offset_127|444444&amp;v=3004501:3005034&amp;c=444444", "offset 67")</f>
        <v>offset 67</v>
      </c>
    </row>
    <row r="10696" customFormat="false" ht="12.8" hidden="false" customHeight="false" outlineLevel="0" collapsed="false">
      <c r="A10696" s="0" t="s">
        <v>12</v>
      </c>
      <c r="B10696" s="0" t="n">
        <v>3004814</v>
      </c>
      <c r="C10696" s="0" t="n">
        <v>3004834</v>
      </c>
      <c r="D10696" s="0" t="s">
        <v>35677</v>
      </c>
      <c r="E10696" s="0" t="s">
        <v>89</v>
      </c>
      <c r="F10696" s="0" t="s">
        <v>15</v>
      </c>
      <c r="G10696" s="0" t="s">
        <v>16</v>
      </c>
      <c r="H10696" s="0" t="n">
        <v>127</v>
      </c>
      <c r="I10696" s="0" t="s">
        <v>35687</v>
      </c>
      <c r="J10696" s="0" t="s">
        <v>35688</v>
      </c>
      <c r="K10696" s="0" t="s">
        <v>35689</v>
      </c>
      <c r="L10696" s="0" t="str">
        <f aca="false">HYPERLINK("https://www.ncbi.nlm.nih.gov/nuccore/CP000304.1?report=graph&amp;tracks=[key:gene_model_track,Options:GeneOnly]&amp;mk=3004702:3004721|offset_14|444444,3004723:3004742|offset_35|444444,3004755:3004774|offset_67|444444,3004815:3004834|offset_127|00cc00&amp;v=3004501:3005034&amp;c=444444", "offset 127")</f>
        <v>offset 127</v>
      </c>
    </row>
    <row r="10697" customFormat="false" ht="12.8" hidden="false" customHeight="false" outlineLevel="0" collapsed="false">
      <c r="A10697" s="0" t="s">
        <v>12</v>
      </c>
      <c r="B10697" s="0" t="n">
        <v>3007291</v>
      </c>
      <c r="C10697" s="0" t="n">
        <v>3007311</v>
      </c>
      <c r="D10697" s="0" t="s">
        <v>35690</v>
      </c>
      <c r="E10697" s="0" t="s">
        <v>89</v>
      </c>
      <c r="F10697" s="0" t="s">
        <v>90</v>
      </c>
      <c r="G10697" s="0" t="s">
        <v>36</v>
      </c>
      <c r="H10697" s="0" t="n">
        <v>7</v>
      </c>
      <c r="I10697" s="0" t="s">
        <v>35691</v>
      </c>
      <c r="J10697" s="0" t="s">
        <v>35692</v>
      </c>
      <c r="K10697" s="0" t="s">
        <v>35693</v>
      </c>
      <c r="L10697" s="0" t="str">
        <f aca="false">HYPERLINK("https://www.ncbi.nlm.nih.gov/nuccore/CP000304.1?report=graph&amp;tracks=[key:gene_model_track,Options:GeneOnly]&amp;mk=3007292:3007311|offset_7|00cc00,3007252:3007271|offset_47|444444,3007228:3007247|offset_71|444444,3007193:3007212|offset_106|444444&amp;v=3007091:3007412&amp;c=444444", "offset 7")</f>
        <v>offset 7</v>
      </c>
    </row>
    <row r="10698" customFormat="false" ht="12.8" hidden="false" customHeight="false" outlineLevel="0" collapsed="false">
      <c r="A10698" s="0" t="s">
        <v>12</v>
      </c>
      <c r="B10698" s="0" t="n">
        <v>3007251</v>
      </c>
      <c r="C10698" s="0" t="n">
        <v>3007271</v>
      </c>
      <c r="D10698" s="0" t="s">
        <v>35690</v>
      </c>
      <c r="E10698" s="0" t="s">
        <v>89</v>
      </c>
      <c r="F10698" s="0" t="s">
        <v>90</v>
      </c>
      <c r="G10698" s="0" t="s">
        <v>26</v>
      </c>
      <c r="H10698" s="0" t="n">
        <v>47</v>
      </c>
      <c r="I10698" s="0" t="s">
        <v>35694</v>
      </c>
      <c r="J10698" s="0" t="s">
        <v>35695</v>
      </c>
      <c r="K10698" s="0" t="s">
        <v>35696</v>
      </c>
      <c r="L10698" s="0" t="str">
        <f aca="false">HYPERLINK("https://www.ncbi.nlm.nih.gov/nuccore/CP000304.1?report=graph&amp;tracks=[key:gene_model_track,Options:GeneOnly]&amp;mk=3007292:3007311|offset_7|444444,3007252:3007271|offset_47|00cc00,3007228:3007247|offset_71|444444,3007193:3007212|offset_106|444444&amp;v=3007091:3007412&amp;c=444444", "offset 47")</f>
        <v>offset 47</v>
      </c>
    </row>
    <row r="10699" customFormat="false" ht="12.8" hidden="false" customHeight="false" outlineLevel="0" collapsed="false">
      <c r="A10699" s="0" t="s">
        <v>12</v>
      </c>
      <c r="B10699" s="0" t="n">
        <v>3007227</v>
      </c>
      <c r="C10699" s="0" t="n">
        <v>3007247</v>
      </c>
      <c r="D10699" s="0" t="s">
        <v>35690</v>
      </c>
      <c r="E10699" s="0" t="s">
        <v>89</v>
      </c>
      <c r="F10699" s="0" t="s">
        <v>90</v>
      </c>
      <c r="G10699" s="0" t="s">
        <v>26</v>
      </c>
      <c r="H10699" s="0" t="n">
        <v>71</v>
      </c>
      <c r="I10699" s="0" t="s">
        <v>35697</v>
      </c>
      <c r="J10699" s="0" t="s">
        <v>35698</v>
      </c>
      <c r="K10699" s="0" t="s">
        <v>35699</v>
      </c>
      <c r="L10699" s="0" t="str">
        <f aca="false">HYPERLINK("https://www.ncbi.nlm.nih.gov/nuccore/CP000304.1?report=graph&amp;tracks=[key:gene_model_track,Options:GeneOnly]&amp;mk=3007292:3007311|offset_7|444444,3007252:3007271|offset_47|444444,3007228:3007247|offset_71|00cc00,3007193:3007212|offset_106|444444&amp;v=3007091:3007412&amp;c=444444", "offset 71")</f>
        <v>offset 71</v>
      </c>
    </row>
    <row r="10700" customFormat="false" ht="12.8" hidden="false" customHeight="false" outlineLevel="0" collapsed="false">
      <c r="A10700" s="0" t="s">
        <v>12</v>
      </c>
      <c r="B10700" s="0" t="n">
        <v>3007192</v>
      </c>
      <c r="C10700" s="0" t="n">
        <v>3007212</v>
      </c>
      <c r="D10700" s="0" t="s">
        <v>35690</v>
      </c>
      <c r="E10700" s="0" t="s">
        <v>89</v>
      </c>
      <c r="F10700" s="0" t="s">
        <v>90</v>
      </c>
      <c r="G10700" s="0" t="s">
        <v>16</v>
      </c>
      <c r="H10700" s="0" t="n">
        <v>106</v>
      </c>
      <c r="I10700" s="0" t="s">
        <v>35700</v>
      </c>
      <c r="J10700" s="0" t="s">
        <v>35701</v>
      </c>
      <c r="K10700" s="0" t="s">
        <v>35702</v>
      </c>
      <c r="L10700" s="0" t="str">
        <f aca="false">HYPERLINK("https://www.ncbi.nlm.nih.gov/nuccore/CP000304.1?report=graph&amp;tracks=[key:gene_model_track,Options:GeneOnly]&amp;mk=3007292:3007311|offset_7|444444,3007252:3007271|offset_47|444444,3007228:3007247|offset_71|444444,3007193:3007212|offset_106|00cc00&amp;v=3007091:3007412&amp;c=444444", "offset 106")</f>
        <v>offset 106</v>
      </c>
    </row>
    <row r="10701" customFormat="false" ht="12.8" hidden="false" customHeight="false" outlineLevel="0" collapsed="false">
      <c r="A10701" s="0" t="s">
        <v>12</v>
      </c>
      <c r="B10701" s="0" t="n">
        <v>3007759</v>
      </c>
      <c r="C10701" s="0" t="n">
        <v>3007779</v>
      </c>
      <c r="D10701" s="0" t="s">
        <v>35703</v>
      </c>
      <c r="E10701" s="0" t="s">
        <v>89</v>
      </c>
      <c r="F10701" s="0" t="s">
        <v>90</v>
      </c>
      <c r="G10701" s="0" t="s">
        <v>36</v>
      </c>
      <c r="H10701" s="0" t="n">
        <v>24</v>
      </c>
      <c r="I10701" s="0" t="s">
        <v>35704</v>
      </c>
      <c r="J10701" s="0" t="s">
        <v>35705</v>
      </c>
      <c r="K10701" s="0" t="s">
        <v>35706</v>
      </c>
      <c r="L10701" s="0" t="str">
        <f aca="false">HYPERLINK("https://www.ncbi.nlm.nih.gov/nuccore/CP000304.1?report=graph&amp;tracks=[key:gene_model_track,Options:GeneOnly]&amp;mk=3007760:3007779|offset_24|00cc00,3007736:3007755|offset_48|444444,3007689:3007708|offset_95|444444,3007651:3007670|offset_133|444444&amp;v=3007559:3007870&amp;c=444444", "offset 24")</f>
        <v>offset 24</v>
      </c>
    </row>
    <row r="10702" customFormat="false" ht="12.8" hidden="false" customHeight="false" outlineLevel="0" collapsed="false">
      <c r="A10702" s="0" t="s">
        <v>12</v>
      </c>
      <c r="B10702" s="0" t="n">
        <v>3007735</v>
      </c>
      <c r="C10702" s="0" t="n">
        <v>3007755</v>
      </c>
      <c r="D10702" s="0" t="s">
        <v>35703</v>
      </c>
      <c r="E10702" s="0" t="s">
        <v>89</v>
      </c>
      <c r="F10702" s="0" t="s">
        <v>90</v>
      </c>
      <c r="G10702" s="0" t="s">
        <v>32</v>
      </c>
      <c r="H10702" s="0" t="n">
        <v>48</v>
      </c>
      <c r="I10702" s="0" t="s">
        <v>35707</v>
      </c>
      <c r="J10702" s="0" t="s">
        <v>35708</v>
      </c>
      <c r="K10702" s="0" t="s">
        <v>35709</v>
      </c>
      <c r="L10702" s="0" t="str">
        <f aca="false">HYPERLINK("https://www.ncbi.nlm.nih.gov/nuccore/CP000304.1?report=graph&amp;tracks=[key:gene_model_track,Options:GeneOnly]&amp;mk=3007760:3007779|offset_24|444444,3007736:3007755|offset_48|00cc00,3007689:3007708|offset_95|444444,3007651:3007670|offset_133|444444&amp;v=3007559:3007870&amp;c=444444", "offset 48")</f>
        <v>offset 48</v>
      </c>
    </row>
    <row r="10703" customFormat="false" ht="12.8" hidden="false" customHeight="false" outlineLevel="0" collapsed="false">
      <c r="A10703" s="0" t="s">
        <v>12</v>
      </c>
      <c r="B10703" s="0" t="n">
        <v>3007688</v>
      </c>
      <c r="C10703" s="0" t="n">
        <v>3007708</v>
      </c>
      <c r="D10703" s="0" t="s">
        <v>35703</v>
      </c>
      <c r="E10703" s="0" t="s">
        <v>89</v>
      </c>
      <c r="F10703" s="0" t="s">
        <v>90</v>
      </c>
      <c r="G10703" s="0" t="s">
        <v>32</v>
      </c>
      <c r="H10703" s="0" t="n">
        <v>95</v>
      </c>
      <c r="I10703" s="0" t="s">
        <v>35710</v>
      </c>
      <c r="J10703" s="0" t="s">
        <v>35711</v>
      </c>
      <c r="K10703" s="0" t="s">
        <v>35712</v>
      </c>
      <c r="L10703" s="0" t="str">
        <f aca="false">HYPERLINK("https://www.ncbi.nlm.nih.gov/nuccore/CP000304.1?report=graph&amp;tracks=[key:gene_model_track,Options:GeneOnly]&amp;mk=3007760:3007779|offset_24|444444,3007736:3007755|offset_48|444444,3007689:3007708|offset_95|00cc00,3007651:3007670|offset_133|444444&amp;v=3007559:3007870&amp;c=444444", "offset 95")</f>
        <v>offset 95</v>
      </c>
    </row>
    <row r="10704" customFormat="false" ht="12.8" hidden="false" customHeight="false" outlineLevel="0" collapsed="false">
      <c r="A10704" s="0" t="s">
        <v>12</v>
      </c>
      <c r="B10704" s="0" t="n">
        <v>3007650</v>
      </c>
      <c r="C10704" s="0" t="n">
        <v>3007670</v>
      </c>
      <c r="D10704" s="0" t="s">
        <v>35703</v>
      </c>
      <c r="E10704" s="0" t="s">
        <v>89</v>
      </c>
      <c r="F10704" s="0" t="s">
        <v>90</v>
      </c>
      <c r="G10704" s="0" t="s">
        <v>16</v>
      </c>
      <c r="H10704" s="0" t="n">
        <v>133</v>
      </c>
      <c r="I10704" s="0" t="s">
        <v>35713</v>
      </c>
      <c r="J10704" s="0" t="s">
        <v>35714</v>
      </c>
      <c r="K10704" s="0" t="s">
        <v>35715</v>
      </c>
      <c r="L10704" s="0" t="str">
        <f aca="false">HYPERLINK("https://www.ncbi.nlm.nih.gov/nuccore/CP000304.1?report=graph&amp;tracks=[key:gene_model_track,Options:GeneOnly]&amp;mk=3007760:3007779|offset_24|444444,3007736:3007755|offset_48|444444,3007689:3007708|offset_95|444444,3007651:3007670|offset_133|00cc00&amp;v=3007559:3007870&amp;c=444444", "offset 133")</f>
        <v>offset 133</v>
      </c>
    </row>
    <row r="10705" customFormat="false" ht="12.8" hidden="false" customHeight="false" outlineLevel="0" collapsed="false">
      <c r="A10705" s="0" t="s">
        <v>12</v>
      </c>
      <c r="B10705" s="0" t="n">
        <v>3008175</v>
      </c>
      <c r="C10705" s="0" t="n">
        <v>3008195</v>
      </c>
      <c r="D10705" s="0" t="s">
        <v>35716</v>
      </c>
      <c r="E10705" s="0" t="s">
        <v>89</v>
      </c>
      <c r="F10705" s="0" t="s">
        <v>15</v>
      </c>
      <c r="G10705" s="0" t="s">
        <v>16</v>
      </c>
      <c r="H10705" s="0" t="n">
        <v>0</v>
      </c>
      <c r="I10705" s="0" t="s">
        <v>35717</v>
      </c>
      <c r="J10705" s="0" t="s">
        <v>35718</v>
      </c>
      <c r="K10705" s="0" t="s">
        <v>35719</v>
      </c>
      <c r="L10705" s="0" t="str">
        <f aca="false">HYPERLINK("https://www.ncbi.nlm.nih.gov/nuccore/CP000304.1?report=graph&amp;tracks=[key:gene_model_track,Options:GeneOnly]&amp;mk=3008176:3008195|offset_0|00cc00,3008215:3008234|offset_39|444444,3008235:3008254|offset_59|444444,3008262:3008281|offset_86|444444&amp;v=3007975:3008481&amp;c=444444", "offset 0")</f>
        <v>offset 0</v>
      </c>
    </row>
    <row r="10706" customFormat="false" ht="12.8" hidden="false" customHeight="false" outlineLevel="0" collapsed="false">
      <c r="A10706" s="0" t="s">
        <v>12</v>
      </c>
      <c r="B10706" s="0" t="n">
        <v>3008214</v>
      </c>
      <c r="C10706" s="0" t="n">
        <v>3008234</v>
      </c>
      <c r="D10706" s="0" t="s">
        <v>35716</v>
      </c>
      <c r="E10706" s="0" t="s">
        <v>89</v>
      </c>
      <c r="F10706" s="0" t="s">
        <v>15</v>
      </c>
      <c r="G10706" s="0" t="s">
        <v>26</v>
      </c>
      <c r="H10706" s="0" t="n">
        <v>39</v>
      </c>
      <c r="I10706" s="0" t="s">
        <v>35720</v>
      </c>
      <c r="J10706" s="0" t="s">
        <v>35721</v>
      </c>
      <c r="K10706" s="0" t="s">
        <v>35722</v>
      </c>
      <c r="L10706" s="0" t="str">
        <f aca="false">HYPERLINK("https://www.ncbi.nlm.nih.gov/nuccore/CP000304.1?report=graph&amp;tracks=[key:gene_model_track,Options:GeneOnly]&amp;mk=3008176:3008195|offset_0|444444,3008215:3008234|offset_39|00cc00,3008235:3008254|offset_59|444444,3008262:3008281|offset_86|444444&amp;v=3007975:3008481&amp;c=444444", "offset 39")</f>
        <v>offset 39</v>
      </c>
    </row>
    <row r="10707" customFormat="false" ht="12.8" hidden="false" customHeight="false" outlineLevel="0" collapsed="false">
      <c r="A10707" s="0" t="s">
        <v>12</v>
      </c>
      <c r="B10707" s="0" t="n">
        <v>3008234</v>
      </c>
      <c r="C10707" s="0" t="n">
        <v>3008254</v>
      </c>
      <c r="D10707" s="0" t="s">
        <v>35716</v>
      </c>
      <c r="E10707" s="0" t="s">
        <v>89</v>
      </c>
      <c r="F10707" s="0" t="s">
        <v>15</v>
      </c>
      <c r="G10707" s="0" t="s">
        <v>16</v>
      </c>
      <c r="H10707" s="0" t="n">
        <v>59</v>
      </c>
      <c r="I10707" s="0" t="s">
        <v>35723</v>
      </c>
      <c r="J10707" s="0" t="s">
        <v>35724</v>
      </c>
      <c r="K10707" s="0" t="s">
        <v>35725</v>
      </c>
      <c r="L10707" s="0" t="str">
        <f aca="false">HYPERLINK("https://www.ncbi.nlm.nih.gov/nuccore/CP000304.1?report=graph&amp;tracks=[key:gene_model_track,Options:GeneOnly]&amp;mk=3008176:3008195|offset_0|444444,3008215:3008234|offset_39|444444,3008235:3008254|offset_59|00cc00,3008262:3008281|offset_86|444444&amp;v=3007975:3008481&amp;c=444444", "offset 59")</f>
        <v>offset 59</v>
      </c>
    </row>
    <row r="10708" customFormat="false" ht="12.8" hidden="false" customHeight="false" outlineLevel="0" collapsed="false">
      <c r="A10708" s="0" t="s">
        <v>12</v>
      </c>
      <c r="B10708" s="0" t="n">
        <v>3008261</v>
      </c>
      <c r="C10708" s="0" t="n">
        <v>3008281</v>
      </c>
      <c r="D10708" s="0" t="s">
        <v>35716</v>
      </c>
      <c r="E10708" s="0" t="s">
        <v>89</v>
      </c>
      <c r="F10708" s="0" t="s">
        <v>15</v>
      </c>
      <c r="G10708" s="0" t="s">
        <v>36</v>
      </c>
      <c r="H10708" s="0" t="n">
        <v>86</v>
      </c>
      <c r="I10708" s="0" t="s">
        <v>35726</v>
      </c>
      <c r="J10708" s="0" t="s">
        <v>35727</v>
      </c>
      <c r="K10708" s="0" t="s">
        <v>35728</v>
      </c>
      <c r="L10708" s="0" t="str">
        <f aca="false">HYPERLINK("https://www.ncbi.nlm.nih.gov/nuccore/CP000304.1?report=graph&amp;tracks=[key:gene_model_track,Options:GeneOnly]&amp;mk=3008176:3008195|offset_0|444444,3008215:3008234|offset_39|444444,3008235:3008254|offset_59|444444,3008262:3008281|offset_86|00cc00&amp;v=3007975:3008481&amp;c=444444", "offset 86")</f>
        <v>offset 86</v>
      </c>
    </row>
    <row r="10709" customFormat="false" ht="12.8" hidden="false" customHeight="false" outlineLevel="0" collapsed="false">
      <c r="A10709" s="0" t="s">
        <v>12</v>
      </c>
      <c r="B10709" s="0" t="n">
        <v>3010881</v>
      </c>
      <c r="C10709" s="0" t="n">
        <v>3010901</v>
      </c>
      <c r="D10709" s="0" t="s">
        <v>35729</v>
      </c>
      <c r="E10709" s="0" t="s">
        <v>89</v>
      </c>
      <c r="F10709" s="0" t="s">
        <v>15</v>
      </c>
      <c r="G10709" s="0" t="s">
        <v>16</v>
      </c>
      <c r="H10709" s="0" t="n">
        <v>32</v>
      </c>
      <c r="I10709" s="0" t="s">
        <v>35730</v>
      </c>
      <c r="J10709" s="0" t="s">
        <v>35731</v>
      </c>
      <c r="K10709" s="0" t="s">
        <v>35732</v>
      </c>
      <c r="L10709" s="0" t="str">
        <f aca="false">HYPERLINK("https://www.ncbi.nlm.nih.gov/nuccore/CP000304.1?report=graph&amp;tracks=[key:gene_model_track,Options:GeneOnly]&amp;mk=3010882:3010901|offset_32|00cc00,3010933:3010952|offset_83|444444,3010963:3010982|offset_113|444444,3010991:3011010|offset_141|444444&amp;v=3010681:3011210&amp;c=444444", "offset 32")</f>
        <v>offset 32</v>
      </c>
    </row>
    <row r="10710" customFormat="false" ht="12.8" hidden="false" customHeight="false" outlineLevel="0" collapsed="false">
      <c r="A10710" s="0" t="s">
        <v>12</v>
      </c>
      <c r="B10710" s="0" t="n">
        <v>3010932</v>
      </c>
      <c r="C10710" s="0" t="n">
        <v>3010952</v>
      </c>
      <c r="D10710" s="0" t="s">
        <v>35729</v>
      </c>
      <c r="E10710" s="0" t="s">
        <v>89</v>
      </c>
      <c r="F10710" s="0" t="s">
        <v>15</v>
      </c>
      <c r="G10710" s="0" t="s">
        <v>32</v>
      </c>
      <c r="H10710" s="0" t="n">
        <v>83</v>
      </c>
      <c r="I10710" s="0" t="s">
        <v>35733</v>
      </c>
      <c r="J10710" s="0" t="s">
        <v>35734</v>
      </c>
      <c r="K10710" s="0" t="s">
        <v>35735</v>
      </c>
      <c r="L10710" s="0" t="str">
        <f aca="false">HYPERLINK("https://www.ncbi.nlm.nih.gov/nuccore/CP000304.1?report=graph&amp;tracks=[key:gene_model_track,Options:GeneOnly]&amp;mk=3010882:3010901|offset_32|444444,3010933:3010952|offset_83|00cc00,3010963:3010982|offset_113|444444,3010991:3011010|offset_141|444444&amp;v=3010681:3011210&amp;c=444444", "offset 83")</f>
        <v>offset 83</v>
      </c>
    </row>
    <row r="10711" customFormat="false" ht="12.8" hidden="false" customHeight="false" outlineLevel="0" collapsed="false">
      <c r="A10711" s="0" t="s">
        <v>12</v>
      </c>
      <c r="B10711" s="0" t="n">
        <v>3010962</v>
      </c>
      <c r="C10711" s="0" t="n">
        <v>3010982</v>
      </c>
      <c r="D10711" s="0" t="s">
        <v>35729</v>
      </c>
      <c r="E10711" s="0" t="s">
        <v>89</v>
      </c>
      <c r="F10711" s="0" t="s">
        <v>15</v>
      </c>
      <c r="G10711" s="0" t="s">
        <v>16</v>
      </c>
      <c r="H10711" s="0" t="n">
        <v>113</v>
      </c>
      <c r="I10711" s="0" t="s">
        <v>35736</v>
      </c>
      <c r="J10711" s="0" t="s">
        <v>35737</v>
      </c>
      <c r="K10711" s="0" t="s">
        <v>35738</v>
      </c>
      <c r="L10711" s="0" t="str">
        <f aca="false">HYPERLINK("https://www.ncbi.nlm.nih.gov/nuccore/CP000304.1?report=graph&amp;tracks=[key:gene_model_track,Options:GeneOnly]&amp;mk=3010882:3010901|offset_32|444444,3010933:3010952|offset_83|444444,3010963:3010982|offset_113|00cc00,3010991:3011010|offset_141|444444&amp;v=3010681:3011210&amp;c=444444", "offset 113")</f>
        <v>offset 113</v>
      </c>
    </row>
    <row r="10712" customFormat="false" ht="12.8" hidden="false" customHeight="false" outlineLevel="0" collapsed="false">
      <c r="A10712" s="0" t="s">
        <v>12</v>
      </c>
      <c r="B10712" s="0" t="n">
        <v>3010990</v>
      </c>
      <c r="C10712" s="0" t="n">
        <v>3011010</v>
      </c>
      <c r="D10712" s="0" t="s">
        <v>35729</v>
      </c>
      <c r="E10712" s="0" t="s">
        <v>89</v>
      </c>
      <c r="F10712" s="0" t="s">
        <v>15</v>
      </c>
      <c r="G10712" s="0" t="s">
        <v>26</v>
      </c>
      <c r="H10712" s="0" t="n">
        <v>141</v>
      </c>
      <c r="I10712" s="0" t="s">
        <v>35739</v>
      </c>
      <c r="J10712" s="0" t="s">
        <v>35740</v>
      </c>
      <c r="K10712" s="0" t="s">
        <v>35741</v>
      </c>
      <c r="L10712" s="0" t="str">
        <f aca="false">HYPERLINK("https://www.ncbi.nlm.nih.gov/nuccore/CP000304.1?report=graph&amp;tracks=[key:gene_model_track,Options:GeneOnly]&amp;mk=3010882:3010901|offset_32|444444,3010933:3010952|offset_83|444444,3010963:3010982|offset_113|444444,3010991:3011010|offset_141|00cc00&amp;v=3010681:3011210&amp;c=444444", "offset 141")</f>
        <v>offset 141</v>
      </c>
    </row>
    <row r="10713" customFormat="false" ht="12.8" hidden="false" customHeight="false" outlineLevel="0" collapsed="false">
      <c r="A10713" s="0" t="s">
        <v>12</v>
      </c>
      <c r="B10713" s="0" t="n">
        <v>3011791</v>
      </c>
      <c r="C10713" s="0" t="n">
        <v>3011811</v>
      </c>
      <c r="D10713" s="0" t="s">
        <v>35742</v>
      </c>
      <c r="E10713" s="0" t="s">
        <v>89</v>
      </c>
      <c r="F10713" s="0" t="s">
        <v>90</v>
      </c>
      <c r="G10713" s="0" t="s">
        <v>36</v>
      </c>
      <c r="H10713" s="0" t="n">
        <v>8</v>
      </c>
      <c r="I10713" s="0" t="s">
        <v>35743</v>
      </c>
      <c r="J10713" s="0" t="s">
        <v>35744</v>
      </c>
      <c r="K10713" s="0" t="s">
        <v>35745</v>
      </c>
      <c r="L10713" s="0" t="str">
        <f aca="false">HYPERLINK("https://www.ncbi.nlm.nih.gov/nuccore/CP000304.1?report=graph&amp;tracks=[key:gene_model_track,Options:GeneOnly]&amp;mk=3011792:3011811|offset_8|00cc00,3011762:3011781|offset_38|444444,3011713:3011732|offset_87|444444,3011655:3011674|offset_145|444444&amp;v=3011591:3011874&amp;c=444444", "offset 8")</f>
        <v>offset 8</v>
      </c>
    </row>
    <row r="10714" customFormat="false" ht="12.8" hidden="false" customHeight="false" outlineLevel="0" collapsed="false">
      <c r="A10714" s="0" t="s">
        <v>12</v>
      </c>
      <c r="B10714" s="0" t="n">
        <v>3011761</v>
      </c>
      <c r="C10714" s="0" t="n">
        <v>3011781</v>
      </c>
      <c r="D10714" s="0" t="s">
        <v>35742</v>
      </c>
      <c r="E10714" s="0" t="s">
        <v>89</v>
      </c>
      <c r="F10714" s="0" t="s">
        <v>90</v>
      </c>
      <c r="G10714" s="0" t="s">
        <v>26</v>
      </c>
      <c r="H10714" s="0" t="n">
        <v>38</v>
      </c>
      <c r="I10714" s="0" t="s">
        <v>35746</v>
      </c>
      <c r="J10714" s="0" t="s">
        <v>35747</v>
      </c>
      <c r="K10714" s="0" t="s">
        <v>35748</v>
      </c>
      <c r="L10714" s="0" t="str">
        <f aca="false">HYPERLINK("https://www.ncbi.nlm.nih.gov/nuccore/CP000304.1?report=graph&amp;tracks=[key:gene_model_track,Options:GeneOnly]&amp;mk=3011792:3011811|offset_8|444444,3011762:3011781|offset_38|00cc00,3011713:3011732|offset_87|444444,3011655:3011674|offset_145|444444&amp;v=3011591:3011874&amp;c=444444", "offset 38")</f>
        <v>offset 38</v>
      </c>
    </row>
    <row r="10715" customFormat="false" ht="12.8" hidden="false" customHeight="false" outlineLevel="0" collapsed="false">
      <c r="A10715" s="0" t="s">
        <v>12</v>
      </c>
      <c r="B10715" s="0" t="n">
        <v>3011712</v>
      </c>
      <c r="C10715" s="0" t="n">
        <v>3011732</v>
      </c>
      <c r="D10715" s="0" t="s">
        <v>35742</v>
      </c>
      <c r="E10715" s="0" t="s">
        <v>89</v>
      </c>
      <c r="F10715" s="0" t="s">
        <v>90</v>
      </c>
      <c r="G10715" s="0" t="s">
        <v>16</v>
      </c>
      <c r="H10715" s="0" t="n">
        <v>87</v>
      </c>
      <c r="I10715" s="0" t="s">
        <v>35749</v>
      </c>
      <c r="J10715" s="0" t="s">
        <v>35750</v>
      </c>
      <c r="K10715" s="0" t="s">
        <v>35751</v>
      </c>
      <c r="L10715" s="0" t="str">
        <f aca="false">HYPERLINK("https://www.ncbi.nlm.nih.gov/nuccore/CP000304.1?report=graph&amp;tracks=[key:gene_model_track,Options:GeneOnly]&amp;mk=3011792:3011811|offset_8|444444,3011762:3011781|offset_38|444444,3011713:3011732|offset_87|00cc00,3011655:3011674|offset_145|444444&amp;v=3011591:3011874&amp;c=444444", "offset 87")</f>
        <v>offset 87</v>
      </c>
    </row>
    <row r="10716" customFormat="false" ht="12.8" hidden="false" customHeight="false" outlineLevel="0" collapsed="false">
      <c r="A10716" s="0" t="s">
        <v>12</v>
      </c>
      <c r="B10716" s="0" t="n">
        <v>3011654</v>
      </c>
      <c r="C10716" s="0" t="n">
        <v>3011674</v>
      </c>
      <c r="D10716" s="0" t="s">
        <v>35742</v>
      </c>
      <c r="E10716" s="0" t="s">
        <v>89</v>
      </c>
      <c r="F10716" s="0" t="s">
        <v>90</v>
      </c>
      <c r="G10716" s="0" t="s">
        <v>32</v>
      </c>
      <c r="H10716" s="0" t="n">
        <v>145</v>
      </c>
      <c r="I10716" s="0" t="s">
        <v>35752</v>
      </c>
      <c r="J10716" s="0" t="s">
        <v>35753</v>
      </c>
      <c r="K10716" s="0" t="s">
        <v>35754</v>
      </c>
      <c r="L10716" s="0" t="str">
        <f aca="false">HYPERLINK("https://www.ncbi.nlm.nih.gov/nuccore/CP000304.1?report=graph&amp;tracks=[key:gene_model_track,Options:GeneOnly]&amp;mk=3011792:3011811|offset_8|444444,3011762:3011781|offset_38|444444,3011713:3011732|offset_87|444444,3011655:3011674|offset_145|00cc00&amp;v=3011591:3011874&amp;c=444444", "offset 145")</f>
        <v>offset 145</v>
      </c>
    </row>
    <row r="10717" customFormat="false" ht="12.8" hidden="false" customHeight="false" outlineLevel="0" collapsed="false">
      <c r="A10717" s="0" t="s">
        <v>12</v>
      </c>
      <c r="B10717" s="0" t="n">
        <v>3014173</v>
      </c>
      <c r="C10717" s="0" t="n">
        <v>3014193</v>
      </c>
      <c r="D10717" s="0" t="s">
        <v>35755</v>
      </c>
      <c r="E10717" s="0" t="s">
        <v>35756</v>
      </c>
      <c r="F10717" s="0" t="s">
        <v>90</v>
      </c>
      <c r="G10717" s="0" t="s">
        <v>26</v>
      </c>
      <c r="H10717" s="0" t="n">
        <v>29</v>
      </c>
      <c r="I10717" s="0" t="s">
        <v>35757</v>
      </c>
      <c r="J10717" s="0" t="s">
        <v>35758</v>
      </c>
      <c r="K10717" s="0" t="s">
        <v>35759</v>
      </c>
      <c r="L10717" s="0" t="str">
        <f aca="false">HYPERLINK("https://www.ncbi.nlm.nih.gov/nuccore/CP000304.1?report=graph&amp;tracks=[key:gene_model_track,Options:GeneOnly]&amp;mk=3014174:3014193|offset_29|00cc00,3014149:3014168|offset_54|444444,3014118:3014137|offset_85|444444,3014086:3014105|offset_117|444444&amp;v=3013973:3014305&amp;c=444444", "offset 29")</f>
        <v>offset 29</v>
      </c>
    </row>
    <row r="10718" customFormat="false" ht="12.8" hidden="false" customHeight="false" outlineLevel="0" collapsed="false">
      <c r="A10718" s="0" t="s">
        <v>12</v>
      </c>
      <c r="B10718" s="0" t="n">
        <v>3014148</v>
      </c>
      <c r="C10718" s="0" t="n">
        <v>3014168</v>
      </c>
      <c r="D10718" s="0" t="s">
        <v>35755</v>
      </c>
      <c r="E10718" s="0" t="s">
        <v>35756</v>
      </c>
      <c r="F10718" s="0" t="s">
        <v>90</v>
      </c>
      <c r="G10718" s="0" t="s">
        <v>26</v>
      </c>
      <c r="H10718" s="0" t="n">
        <v>54</v>
      </c>
      <c r="I10718" s="0" t="s">
        <v>35760</v>
      </c>
      <c r="J10718" s="0" t="s">
        <v>35761</v>
      </c>
      <c r="K10718" s="0" t="s">
        <v>35762</v>
      </c>
      <c r="L10718" s="0" t="str">
        <f aca="false">HYPERLINK("https://www.ncbi.nlm.nih.gov/nuccore/CP000304.1?report=graph&amp;tracks=[key:gene_model_track,Options:GeneOnly]&amp;mk=3014174:3014193|offset_29|444444,3014149:3014168|offset_54|00cc00,3014118:3014137|offset_85|444444,3014086:3014105|offset_117|444444&amp;v=3013973:3014305&amp;c=444444", "offset 54")</f>
        <v>offset 54</v>
      </c>
    </row>
    <row r="10719" customFormat="false" ht="12.8" hidden="false" customHeight="false" outlineLevel="0" collapsed="false">
      <c r="A10719" s="0" t="s">
        <v>12</v>
      </c>
      <c r="B10719" s="0" t="n">
        <v>3014117</v>
      </c>
      <c r="C10719" s="0" t="n">
        <v>3014137</v>
      </c>
      <c r="D10719" s="0" t="s">
        <v>35755</v>
      </c>
      <c r="E10719" s="0" t="s">
        <v>35756</v>
      </c>
      <c r="F10719" s="0" t="s">
        <v>90</v>
      </c>
      <c r="G10719" s="0" t="s">
        <v>32</v>
      </c>
      <c r="H10719" s="0" t="n">
        <v>85</v>
      </c>
      <c r="I10719" s="0" t="s">
        <v>35763</v>
      </c>
      <c r="J10719" s="0" t="s">
        <v>35764</v>
      </c>
      <c r="K10719" s="0" t="s">
        <v>35765</v>
      </c>
      <c r="L10719" s="0" t="str">
        <f aca="false">HYPERLINK("https://www.ncbi.nlm.nih.gov/nuccore/CP000304.1?report=graph&amp;tracks=[key:gene_model_track,Options:GeneOnly]&amp;mk=3014174:3014193|offset_29|444444,3014149:3014168|offset_54|444444,3014118:3014137|offset_85|00cc00,3014086:3014105|offset_117|444444&amp;v=3013973:3014305&amp;c=444444", "offset 85")</f>
        <v>offset 85</v>
      </c>
    </row>
    <row r="10720" customFormat="false" ht="12.8" hidden="false" customHeight="false" outlineLevel="0" collapsed="false">
      <c r="A10720" s="0" t="s">
        <v>12</v>
      </c>
      <c r="B10720" s="0" t="n">
        <v>3014085</v>
      </c>
      <c r="C10720" s="0" t="n">
        <v>3014105</v>
      </c>
      <c r="D10720" s="0" t="s">
        <v>35755</v>
      </c>
      <c r="E10720" s="0" t="s">
        <v>35756</v>
      </c>
      <c r="F10720" s="0" t="s">
        <v>90</v>
      </c>
      <c r="G10720" s="0" t="s">
        <v>26</v>
      </c>
      <c r="H10720" s="0" t="n">
        <v>117</v>
      </c>
      <c r="I10720" s="0" t="s">
        <v>35766</v>
      </c>
      <c r="J10720" s="0" t="s">
        <v>35767</v>
      </c>
      <c r="K10720" s="0" t="s">
        <v>35768</v>
      </c>
      <c r="L10720" s="0" t="str">
        <f aca="false">HYPERLINK("https://www.ncbi.nlm.nih.gov/nuccore/CP000304.1?report=graph&amp;tracks=[key:gene_model_track,Options:GeneOnly]&amp;mk=3014174:3014193|offset_29|444444,3014149:3014168|offset_54|444444,3014118:3014137|offset_85|444444,3014086:3014105|offset_117|00cc00&amp;v=3013973:3014305&amp;c=444444", "offset 117")</f>
        <v>offset 117</v>
      </c>
    </row>
    <row r="10721" customFormat="false" ht="12.8" hidden="false" customHeight="false" outlineLevel="0" collapsed="false">
      <c r="A10721" s="0" t="s">
        <v>12</v>
      </c>
      <c r="B10721" s="0" t="n">
        <v>3015418</v>
      </c>
      <c r="C10721" s="0" t="n">
        <v>3015438</v>
      </c>
      <c r="D10721" s="0" t="s">
        <v>35769</v>
      </c>
      <c r="E10721" s="0" t="s">
        <v>89</v>
      </c>
      <c r="F10721" s="0" t="s">
        <v>90</v>
      </c>
      <c r="G10721" s="0" t="s">
        <v>32</v>
      </c>
      <c r="H10721" s="0" t="n">
        <v>13</v>
      </c>
      <c r="I10721" s="0" t="s">
        <v>35770</v>
      </c>
      <c r="J10721" s="0" t="s">
        <v>35771</v>
      </c>
      <c r="K10721" s="0" t="s">
        <v>35772</v>
      </c>
      <c r="L10721" s="0" t="str">
        <f aca="false">HYPERLINK("https://www.ncbi.nlm.nih.gov/nuccore/CP000304.1?report=graph&amp;tracks=[key:gene_model_track,Options:GeneOnly]&amp;mk=3015419:3015438|offset_13|00cc00,3015367:3015386|offset_65|444444,3015329:3015348|offset_103|444444,3015298:3015317|offset_134|444444&amp;v=3015218:3015517&amp;c=444444", "offset 13")</f>
        <v>offset 13</v>
      </c>
    </row>
    <row r="10722" customFormat="false" ht="12.8" hidden="false" customHeight="false" outlineLevel="0" collapsed="false">
      <c r="A10722" s="0" t="s">
        <v>12</v>
      </c>
      <c r="B10722" s="0" t="n">
        <v>3015366</v>
      </c>
      <c r="C10722" s="0" t="n">
        <v>3015386</v>
      </c>
      <c r="D10722" s="0" t="s">
        <v>35769</v>
      </c>
      <c r="E10722" s="0" t="s">
        <v>89</v>
      </c>
      <c r="F10722" s="0" t="s">
        <v>90</v>
      </c>
      <c r="G10722" s="0" t="s">
        <v>26</v>
      </c>
      <c r="H10722" s="0" t="n">
        <v>65</v>
      </c>
      <c r="I10722" s="0" t="s">
        <v>35773</v>
      </c>
      <c r="J10722" s="0" t="s">
        <v>35774</v>
      </c>
      <c r="K10722" s="0" t="s">
        <v>35775</v>
      </c>
      <c r="L10722" s="0" t="str">
        <f aca="false">HYPERLINK("https://www.ncbi.nlm.nih.gov/nuccore/CP000304.1?report=graph&amp;tracks=[key:gene_model_track,Options:GeneOnly]&amp;mk=3015419:3015438|offset_13|444444,3015367:3015386|offset_65|00cc00,3015329:3015348|offset_103|444444,3015298:3015317|offset_134|444444&amp;v=3015218:3015517&amp;c=444444", "offset 65")</f>
        <v>offset 65</v>
      </c>
    </row>
    <row r="10723" customFormat="false" ht="12.8" hidden="false" customHeight="false" outlineLevel="0" collapsed="false">
      <c r="A10723" s="0" t="s">
        <v>12</v>
      </c>
      <c r="B10723" s="0" t="n">
        <v>3015328</v>
      </c>
      <c r="C10723" s="0" t="n">
        <v>3015348</v>
      </c>
      <c r="D10723" s="0" t="s">
        <v>35769</v>
      </c>
      <c r="E10723" s="0" t="s">
        <v>89</v>
      </c>
      <c r="F10723" s="0" t="s">
        <v>90</v>
      </c>
      <c r="G10723" s="0" t="s">
        <v>32</v>
      </c>
      <c r="H10723" s="0" t="n">
        <v>103</v>
      </c>
      <c r="I10723" s="0" t="s">
        <v>35776</v>
      </c>
      <c r="J10723" s="0" t="s">
        <v>35777</v>
      </c>
      <c r="K10723" s="0" t="s">
        <v>35778</v>
      </c>
      <c r="L10723" s="0" t="str">
        <f aca="false">HYPERLINK("https://www.ncbi.nlm.nih.gov/nuccore/CP000304.1?report=graph&amp;tracks=[key:gene_model_track,Options:GeneOnly]&amp;mk=3015419:3015438|offset_13|444444,3015367:3015386|offset_65|444444,3015329:3015348|offset_103|00cc00,3015298:3015317|offset_134|444444&amp;v=3015218:3015517&amp;c=444444", "offset 103")</f>
        <v>offset 103</v>
      </c>
    </row>
    <row r="10724" customFormat="false" ht="12.8" hidden="false" customHeight="false" outlineLevel="0" collapsed="false">
      <c r="A10724" s="0" t="s">
        <v>12</v>
      </c>
      <c r="B10724" s="0" t="n">
        <v>3015297</v>
      </c>
      <c r="C10724" s="0" t="n">
        <v>3015317</v>
      </c>
      <c r="D10724" s="0" t="s">
        <v>35769</v>
      </c>
      <c r="E10724" s="0" t="s">
        <v>89</v>
      </c>
      <c r="F10724" s="0" t="s">
        <v>90</v>
      </c>
      <c r="G10724" s="0" t="s">
        <v>26</v>
      </c>
      <c r="H10724" s="0" t="n">
        <v>134</v>
      </c>
      <c r="I10724" s="0" t="s">
        <v>35779</v>
      </c>
      <c r="J10724" s="0" t="s">
        <v>35780</v>
      </c>
      <c r="K10724" s="0" t="s">
        <v>35781</v>
      </c>
      <c r="L10724" s="0" t="str">
        <f aca="false">HYPERLINK("https://www.ncbi.nlm.nih.gov/nuccore/CP000304.1?report=graph&amp;tracks=[key:gene_model_track,Options:GeneOnly]&amp;mk=3015419:3015438|offset_13|444444,3015367:3015386|offset_65|444444,3015329:3015348|offset_103|444444,3015298:3015317|offset_134|00cc00&amp;v=3015218:3015517&amp;c=444444", "offset 134")</f>
        <v>offset 134</v>
      </c>
    </row>
    <row r="10725" customFormat="false" ht="12.8" hidden="false" customHeight="false" outlineLevel="0" collapsed="false">
      <c r="A10725" s="0" t="s">
        <v>12</v>
      </c>
      <c r="B10725" s="0" t="n">
        <v>3016604</v>
      </c>
      <c r="C10725" s="0" t="n">
        <v>3016624</v>
      </c>
      <c r="D10725" s="0" t="s">
        <v>35782</v>
      </c>
      <c r="E10725" s="0" t="s">
        <v>89</v>
      </c>
      <c r="F10725" s="0" t="s">
        <v>90</v>
      </c>
      <c r="G10725" s="0" t="s">
        <v>16</v>
      </c>
      <c r="H10725" s="0" t="n">
        <v>16</v>
      </c>
      <c r="I10725" s="0" t="s">
        <v>35783</v>
      </c>
      <c r="J10725" s="0" t="s">
        <v>35784</v>
      </c>
      <c r="K10725" s="0" t="s">
        <v>35785</v>
      </c>
      <c r="L10725" s="0" t="str">
        <f aca="false">HYPERLINK("https://www.ncbi.nlm.nih.gov/nuccore/CP000304.1?report=graph&amp;tracks=[key:gene_model_track,Options:GeneOnly]&amp;mk=3016605:3016624|offset_16|00cc00,3016569:3016588|offset_52|444444,3016529:3016548|offset_92|444444,3016508:3016527|offset_113|444444&amp;v=3016404:3016727&amp;c=444444", "offset 16")</f>
        <v>offset 16</v>
      </c>
    </row>
    <row r="10726" customFormat="false" ht="12.8" hidden="false" customHeight="false" outlineLevel="0" collapsed="false">
      <c r="A10726" s="0" t="s">
        <v>12</v>
      </c>
      <c r="B10726" s="0" t="n">
        <v>3016568</v>
      </c>
      <c r="C10726" s="0" t="n">
        <v>3016588</v>
      </c>
      <c r="D10726" s="0" t="s">
        <v>35782</v>
      </c>
      <c r="E10726" s="0" t="s">
        <v>89</v>
      </c>
      <c r="F10726" s="0" t="s">
        <v>90</v>
      </c>
      <c r="G10726" s="0" t="s">
        <v>32</v>
      </c>
      <c r="H10726" s="0" t="n">
        <v>52</v>
      </c>
      <c r="I10726" s="0" t="s">
        <v>35786</v>
      </c>
      <c r="J10726" s="0" t="s">
        <v>35787</v>
      </c>
      <c r="K10726" s="0" t="s">
        <v>35788</v>
      </c>
      <c r="L10726" s="0" t="str">
        <f aca="false">HYPERLINK("https://www.ncbi.nlm.nih.gov/nuccore/CP000304.1?report=graph&amp;tracks=[key:gene_model_track,Options:GeneOnly]&amp;mk=3016605:3016624|offset_16|444444,3016569:3016588|offset_52|00cc00,3016529:3016548|offset_92|444444,3016508:3016527|offset_113|444444&amp;v=3016404:3016727&amp;c=444444", "offset 52")</f>
        <v>offset 52</v>
      </c>
    </row>
    <row r="10727" customFormat="false" ht="12.8" hidden="false" customHeight="false" outlineLevel="0" collapsed="false">
      <c r="A10727" s="0" t="s">
        <v>12</v>
      </c>
      <c r="B10727" s="0" t="n">
        <v>3016528</v>
      </c>
      <c r="C10727" s="0" t="n">
        <v>3016548</v>
      </c>
      <c r="D10727" s="0" t="s">
        <v>35782</v>
      </c>
      <c r="E10727" s="0" t="s">
        <v>89</v>
      </c>
      <c r="F10727" s="0" t="s">
        <v>90</v>
      </c>
      <c r="G10727" s="0" t="s">
        <v>16</v>
      </c>
      <c r="H10727" s="0" t="n">
        <v>92</v>
      </c>
      <c r="I10727" s="0" t="s">
        <v>35789</v>
      </c>
      <c r="J10727" s="0" t="s">
        <v>35790</v>
      </c>
      <c r="K10727" s="0" t="s">
        <v>35791</v>
      </c>
      <c r="L10727" s="0" t="str">
        <f aca="false">HYPERLINK("https://www.ncbi.nlm.nih.gov/nuccore/CP000304.1?report=graph&amp;tracks=[key:gene_model_track,Options:GeneOnly]&amp;mk=3016605:3016624|offset_16|444444,3016569:3016588|offset_52|444444,3016529:3016548|offset_92|00cc00,3016508:3016527|offset_113|444444&amp;v=3016404:3016727&amp;c=444444", "offset 92")</f>
        <v>offset 92</v>
      </c>
    </row>
    <row r="10728" customFormat="false" ht="12.8" hidden="false" customHeight="false" outlineLevel="0" collapsed="false">
      <c r="A10728" s="0" t="s">
        <v>12</v>
      </c>
      <c r="B10728" s="0" t="n">
        <v>3016507</v>
      </c>
      <c r="C10728" s="0" t="n">
        <v>3016527</v>
      </c>
      <c r="D10728" s="0" t="s">
        <v>35782</v>
      </c>
      <c r="E10728" s="0" t="s">
        <v>89</v>
      </c>
      <c r="F10728" s="0" t="s">
        <v>90</v>
      </c>
      <c r="G10728" s="0" t="s">
        <v>26</v>
      </c>
      <c r="H10728" s="0" t="n">
        <v>113</v>
      </c>
      <c r="I10728" s="0" t="s">
        <v>35792</v>
      </c>
      <c r="J10728" s="0" t="s">
        <v>35793</v>
      </c>
      <c r="K10728" s="0" t="s">
        <v>35794</v>
      </c>
      <c r="L10728" s="0" t="str">
        <f aca="false">HYPERLINK("https://www.ncbi.nlm.nih.gov/nuccore/CP000304.1?report=graph&amp;tracks=[key:gene_model_track,Options:GeneOnly]&amp;mk=3016605:3016624|offset_16|444444,3016569:3016588|offset_52|444444,3016529:3016548|offset_92|444444,3016508:3016527|offset_113|00cc00&amp;v=3016404:3016727&amp;c=444444", "offset 113")</f>
        <v>offset 113</v>
      </c>
    </row>
    <row r="10729" customFormat="false" ht="12.8" hidden="false" customHeight="false" outlineLevel="0" collapsed="false">
      <c r="A10729" s="0" t="s">
        <v>12</v>
      </c>
      <c r="B10729" s="0" t="n">
        <v>3017479</v>
      </c>
      <c r="C10729" s="0" t="n">
        <v>3017499</v>
      </c>
      <c r="D10729" s="0" t="s">
        <v>35795</v>
      </c>
      <c r="E10729" s="0" t="s">
        <v>35796</v>
      </c>
      <c r="F10729" s="0" t="s">
        <v>90</v>
      </c>
      <c r="G10729" s="0" t="s">
        <v>36</v>
      </c>
      <c r="H10729" s="0" t="n">
        <v>36</v>
      </c>
      <c r="I10729" s="0" t="s">
        <v>35797</v>
      </c>
      <c r="J10729" s="0" t="s">
        <v>35798</v>
      </c>
      <c r="K10729" s="0" t="s">
        <v>35799</v>
      </c>
      <c r="L10729" s="0" t="str">
        <f aca="false">HYPERLINK("https://www.ncbi.nlm.nih.gov/nuccore/CP000304.1?report=graph&amp;tracks=[key:gene_model_track,Options:GeneOnly]&amp;mk=3017480:3017499|offset_36|00cc00,3017445:3017464|offset_71|444444,3017424:3017443|offset_92|444444,3017383:3017402|offset_133|444444&amp;v=3017279:3017602&amp;c=444444", "offset 36")</f>
        <v>offset 36</v>
      </c>
    </row>
    <row r="10730" customFormat="false" ht="12.8" hidden="false" customHeight="false" outlineLevel="0" collapsed="false">
      <c r="A10730" s="0" t="s">
        <v>12</v>
      </c>
      <c r="B10730" s="0" t="n">
        <v>3017444</v>
      </c>
      <c r="C10730" s="0" t="n">
        <v>3017464</v>
      </c>
      <c r="D10730" s="0" t="s">
        <v>35795</v>
      </c>
      <c r="E10730" s="0" t="s">
        <v>35796</v>
      </c>
      <c r="F10730" s="0" t="s">
        <v>90</v>
      </c>
      <c r="G10730" s="0" t="s">
        <v>26</v>
      </c>
      <c r="H10730" s="0" t="n">
        <v>71</v>
      </c>
      <c r="I10730" s="0" t="s">
        <v>35800</v>
      </c>
      <c r="J10730" s="0" t="s">
        <v>35801</v>
      </c>
      <c r="K10730" s="0" t="s">
        <v>35802</v>
      </c>
      <c r="L10730" s="0" t="str">
        <f aca="false">HYPERLINK("https://www.ncbi.nlm.nih.gov/nuccore/CP000304.1?report=graph&amp;tracks=[key:gene_model_track,Options:GeneOnly]&amp;mk=3017480:3017499|offset_36|444444,3017445:3017464|offset_71|00cc00,3017424:3017443|offset_92|444444,3017383:3017402|offset_133|444444&amp;v=3017279:3017602&amp;c=444444", "offset 71")</f>
        <v>offset 71</v>
      </c>
    </row>
    <row r="10731" customFormat="false" ht="12.8" hidden="false" customHeight="false" outlineLevel="0" collapsed="false">
      <c r="A10731" s="0" t="s">
        <v>12</v>
      </c>
      <c r="B10731" s="0" t="n">
        <v>3017423</v>
      </c>
      <c r="C10731" s="0" t="n">
        <v>3017443</v>
      </c>
      <c r="D10731" s="0" t="s">
        <v>35795</v>
      </c>
      <c r="E10731" s="0" t="s">
        <v>35796</v>
      </c>
      <c r="F10731" s="0" t="s">
        <v>90</v>
      </c>
      <c r="G10731" s="0" t="s">
        <v>32</v>
      </c>
      <c r="H10731" s="0" t="n">
        <v>92</v>
      </c>
      <c r="I10731" s="0" t="s">
        <v>35803</v>
      </c>
      <c r="J10731" s="0" t="s">
        <v>35804</v>
      </c>
      <c r="K10731" s="0" t="s">
        <v>35805</v>
      </c>
      <c r="L10731" s="0" t="str">
        <f aca="false">HYPERLINK("https://www.ncbi.nlm.nih.gov/nuccore/CP000304.1?report=graph&amp;tracks=[key:gene_model_track,Options:GeneOnly]&amp;mk=3017480:3017499|offset_36|444444,3017445:3017464|offset_71|444444,3017424:3017443|offset_92|00cc00,3017383:3017402|offset_133|444444&amp;v=3017279:3017602&amp;c=444444", "offset 92")</f>
        <v>offset 92</v>
      </c>
    </row>
    <row r="10732" customFormat="false" ht="12.8" hidden="false" customHeight="false" outlineLevel="0" collapsed="false">
      <c r="A10732" s="0" t="s">
        <v>12</v>
      </c>
      <c r="B10732" s="0" t="n">
        <v>3017382</v>
      </c>
      <c r="C10732" s="0" t="n">
        <v>3017402</v>
      </c>
      <c r="D10732" s="0" t="s">
        <v>35795</v>
      </c>
      <c r="E10732" s="0" t="s">
        <v>35796</v>
      </c>
      <c r="F10732" s="0" t="s">
        <v>90</v>
      </c>
      <c r="G10732" s="0" t="s">
        <v>32</v>
      </c>
      <c r="H10732" s="0" t="n">
        <v>133</v>
      </c>
      <c r="I10732" s="0" t="s">
        <v>35806</v>
      </c>
      <c r="J10732" s="0" t="s">
        <v>35807</v>
      </c>
      <c r="K10732" s="0" t="s">
        <v>35808</v>
      </c>
      <c r="L10732" s="0" t="str">
        <f aca="false">HYPERLINK("https://www.ncbi.nlm.nih.gov/nuccore/CP000304.1?report=graph&amp;tracks=[key:gene_model_track,Options:GeneOnly]&amp;mk=3017480:3017499|offset_36|444444,3017445:3017464|offset_71|444444,3017424:3017443|offset_92|444444,3017383:3017402|offset_133|00cc00&amp;v=3017279:3017602&amp;c=444444", "offset 133")</f>
        <v>offset 133</v>
      </c>
    </row>
    <row r="10733" customFormat="false" ht="12.8" hidden="false" customHeight="false" outlineLevel="0" collapsed="false">
      <c r="A10733" s="0" t="s">
        <v>12</v>
      </c>
      <c r="B10733" s="0" t="n">
        <v>3017824</v>
      </c>
      <c r="C10733" s="0" t="n">
        <v>3017844</v>
      </c>
      <c r="D10733" s="0" t="s">
        <v>35809</v>
      </c>
      <c r="E10733" s="0" t="s">
        <v>89</v>
      </c>
      <c r="F10733" s="0" t="s">
        <v>15</v>
      </c>
      <c r="G10733" s="0" t="s">
        <v>16</v>
      </c>
      <c r="H10733" s="0" t="n">
        <v>0</v>
      </c>
      <c r="I10733" s="0" t="s">
        <v>35810</v>
      </c>
      <c r="J10733" s="0" t="s">
        <v>35811</v>
      </c>
      <c r="K10733" s="0" t="s">
        <v>35812</v>
      </c>
      <c r="L10733" s="0" t="str">
        <f aca="false">HYPERLINK("https://www.ncbi.nlm.nih.gov/nuccore/CP000304.1?report=graph&amp;tracks=[key:gene_model_track,Options:GeneOnly]&amp;mk=3017825:3017844|offset_0|00cc00,3017851:3017870|offset_26|444444,3017893:3017912|offset_68|444444,3017958:3017977|offset_133|444444&amp;v=3017624:3018177&amp;c=444444", "offset 0")</f>
        <v>offset 0</v>
      </c>
    </row>
    <row r="10734" customFormat="false" ht="12.8" hidden="false" customHeight="false" outlineLevel="0" collapsed="false">
      <c r="A10734" s="0" t="s">
        <v>12</v>
      </c>
      <c r="B10734" s="0" t="n">
        <v>3017850</v>
      </c>
      <c r="C10734" s="0" t="n">
        <v>3017870</v>
      </c>
      <c r="D10734" s="0" t="s">
        <v>35809</v>
      </c>
      <c r="E10734" s="0" t="s">
        <v>89</v>
      </c>
      <c r="F10734" s="0" t="s">
        <v>15</v>
      </c>
      <c r="G10734" s="0" t="s">
        <v>16</v>
      </c>
      <c r="H10734" s="0" t="n">
        <v>26</v>
      </c>
      <c r="I10734" s="0" t="s">
        <v>35813</v>
      </c>
      <c r="J10734" s="0" t="s">
        <v>35814</v>
      </c>
      <c r="K10734" s="0" t="s">
        <v>35815</v>
      </c>
      <c r="L10734" s="0" t="str">
        <f aca="false">HYPERLINK("https://www.ncbi.nlm.nih.gov/nuccore/CP000304.1?report=graph&amp;tracks=[key:gene_model_track,Options:GeneOnly]&amp;mk=3017825:3017844|offset_0|444444,3017851:3017870|offset_26|00cc00,3017893:3017912|offset_68|444444,3017958:3017977|offset_133|444444&amp;v=3017624:3018177&amp;c=444444", "offset 26")</f>
        <v>offset 26</v>
      </c>
    </row>
    <row r="10735" customFormat="false" ht="12.8" hidden="false" customHeight="false" outlineLevel="0" collapsed="false">
      <c r="A10735" s="0" t="s">
        <v>12</v>
      </c>
      <c r="B10735" s="0" t="n">
        <v>3017892</v>
      </c>
      <c r="C10735" s="0" t="n">
        <v>3017912</v>
      </c>
      <c r="D10735" s="0" t="s">
        <v>35809</v>
      </c>
      <c r="E10735" s="0" t="s">
        <v>89</v>
      </c>
      <c r="F10735" s="0" t="s">
        <v>15</v>
      </c>
      <c r="G10735" s="0" t="s">
        <v>26</v>
      </c>
      <c r="H10735" s="0" t="n">
        <v>68</v>
      </c>
      <c r="I10735" s="0" t="s">
        <v>35816</v>
      </c>
      <c r="J10735" s="0" t="s">
        <v>35817</v>
      </c>
      <c r="K10735" s="0" t="s">
        <v>35818</v>
      </c>
      <c r="L10735" s="0" t="str">
        <f aca="false">HYPERLINK("https://www.ncbi.nlm.nih.gov/nuccore/CP000304.1?report=graph&amp;tracks=[key:gene_model_track,Options:GeneOnly]&amp;mk=3017825:3017844|offset_0|444444,3017851:3017870|offset_26|444444,3017893:3017912|offset_68|00cc00,3017958:3017977|offset_133|444444&amp;v=3017624:3018177&amp;c=444444", "offset 68")</f>
        <v>offset 68</v>
      </c>
    </row>
    <row r="10736" customFormat="false" ht="12.8" hidden="false" customHeight="false" outlineLevel="0" collapsed="false">
      <c r="A10736" s="0" t="s">
        <v>12</v>
      </c>
      <c r="B10736" s="0" t="n">
        <v>3017957</v>
      </c>
      <c r="C10736" s="0" t="n">
        <v>3017977</v>
      </c>
      <c r="D10736" s="0" t="s">
        <v>35809</v>
      </c>
      <c r="E10736" s="0" t="s">
        <v>89</v>
      </c>
      <c r="F10736" s="0" t="s">
        <v>15</v>
      </c>
      <c r="G10736" s="0" t="s">
        <v>36</v>
      </c>
      <c r="H10736" s="0" t="n">
        <v>133</v>
      </c>
      <c r="I10736" s="0" t="s">
        <v>35819</v>
      </c>
      <c r="J10736" s="0" t="s">
        <v>35820</v>
      </c>
      <c r="K10736" s="0" t="s">
        <v>35821</v>
      </c>
      <c r="L10736" s="0" t="str">
        <f aca="false">HYPERLINK("https://www.ncbi.nlm.nih.gov/nuccore/CP000304.1?report=graph&amp;tracks=[key:gene_model_track,Options:GeneOnly]&amp;mk=3017825:3017844|offset_0|444444,3017851:3017870|offset_26|444444,3017893:3017912|offset_68|444444,3017958:3017977|offset_133|00cc00&amp;v=3017624:3018177&amp;c=444444", "offset 133")</f>
        <v>offset 133</v>
      </c>
    </row>
    <row r="10737" customFormat="false" ht="12.8" hidden="false" customHeight="false" outlineLevel="0" collapsed="false">
      <c r="A10737" s="0" t="s">
        <v>12</v>
      </c>
      <c r="B10737" s="0" t="n">
        <v>3018356</v>
      </c>
      <c r="C10737" s="0" t="n">
        <v>3018376</v>
      </c>
      <c r="D10737" s="0" t="s">
        <v>35822</v>
      </c>
      <c r="E10737" s="0" t="s">
        <v>35823</v>
      </c>
      <c r="F10737" s="0" t="s">
        <v>15</v>
      </c>
      <c r="G10737" s="0" t="s">
        <v>32</v>
      </c>
      <c r="H10737" s="0" t="n">
        <v>20</v>
      </c>
      <c r="I10737" s="0" t="s">
        <v>35824</v>
      </c>
      <c r="J10737" s="0" t="s">
        <v>35825</v>
      </c>
      <c r="K10737" s="0" t="s">
        <v>35826</v>
      </c>
      <c r="L10737" s="0" t="str">
        <f aca="false">HYPERLINK("https://www.ncbi.nlm.nih.gov/nuccore/CP000304.1?report=graph&amp;tracks=[key:gene_model_track,Options:GeneOnly]&amp;mk=3018357:3018376|offset_20|00cc00,3018380:3018399|offset_43|444444,3018408:3018427|offset_71|444444,3018451:3018470|offset_114|444444&amp;v=3018156:3018670&amp;c=444444", "offset 20")</f>
        <v>offset 20</v>
      </c>
    </row>
    <row r="10738" customFormat="false" ht="12.8" hidden="false" customHeight="false" outlineLevel="0" collapsed="false">
      <c r="A10738" s="0" t="s">
        <v>12</v>
      </c>
      <c r="B10738" s="0" t="n">
        <v>3018379</v>
      </c>
      <c r="C10738" s="0" t="n">
        <v>3018399</v>
      </c>
      <c r="D10738" s="0" t="s">
        <v>35822</v>
      </c>
      <c r="E10738" s="0" t="s">
        <v>35823</v>
      </c>
      <c r="F10738" s="0" t="s">
        <v>15</v>
      </c>
      <c r="G10738" s="0" t="s">
        <v>36</v>
      </c>
      <c r="H10738" s="0" t="n">
        <v>43</v>
      </c>
      <c r="I10738" s="0" t="s">
        <v>35827</v>
      </c>
      <c r="J10738" s="0" t="s">
        <v>35828</v>
      </c>
      <c r="K10738" s="0" t="s">
        <v>35829</v>
      </c>
      <c r="L10738" s="0" t="str">
        <f aca="false">HYPERLINK("https://www.ncbi.nlm.nih.gov/nuccore/CP000304.1?report=graph&amp;tracks=[key:gene_model_track,Options:GeneOnly]&amp;mk=3018357:3018376|offset_20|444444,3018380:3018399|offset_43|00cc00,3018408:3018427|offset_71|444444,3018451:3018470|offset_114|444444&amp;v=3018156:3018670&amp;c=444444", "offset 43")</f>
        <v>offset 43</v>
      </c>
    </row>
    <row r="10739" customFormat="false" ht="12.8" hidden="false" customHeight="false" outlineLevel="0" collapsed="false">
      <c r="A10739" s="0" t="s">
        <v>12</v>
      </c>
      <c r="B10739" s="0" t="n">
        <v>3018407</v>
      </c>
      <c r="C10739" s="0" t="n">
        <v>3018427</v>
      </c>
      <c r="D10739" s="0" t="s">
        <v>35822</v>
      </c>
      <c r="E10739" s="0" t="s">
        <v>35823</v>
      </c>
      <c r="F10739" s="0" t="s">
        <v>15</v>
      </c>
      <c r="G10739" s="0" t="s">
        <v>26</v>
      </c>
      <c r="H10739" s="0" t="n">
        <v>71</v>
      </c>
      <c r="I10739" s="0" t="s">
        <v>35830</v>
      </c>
      <c r="J10739" s="0" t="s">
        <v>35831</v>
      </c>
      <c r="K10739" s="0" t="s">
        <v>35832</v>
      </c>
      <c r="L10739" s="0" t="str">
        <f aca="false">HYPERLINK("https://www.ncbi.nlm.nih.gov/nuccore/CP000304.1?report=graph&amp;tracks=[key:gene_model_track,Options:GeneOnly]&amp;mk=3018357:3018376|offset_20|444444,3018380:3018399|offset_43|444444,3018408:3018427|offset_71|00cc00,3018451:3018470|offset_114|444444&amp;v=3018156:3018670&amp;c=444444", "offset 71")</f>
        <v>offset 71</v>
      </c>
    </row>
    <row r="10740" customFormat="false" ht="12.8" hidden="false" customHeight="false" outlineLevel="0" collapsed="false">
      <c r="A10740" s="0" t="s">
        <v>12</v>
      </c>
      <c r="B10740" s="0" t="n">
        <v>3018450</v>
      </c>
      <c r="C10740" s="0" t="n">
        <v>3018470</v>
      </c>
      <c r="D10740" s="0" t="s">
        <v>35822</v>
      </c>
      <c r="E10740" s="0" t="s">
        <v>35823</v>
      </c>
      <c r="F10740" s="0" t="s">
        <v>15</v>
      </c>
      <c r="G10740" s="0" t="s">
        <v>16</v>
      </c>
      <c r="H10740" s="0" t="n">
        <v>114</v>
      </c>
      <c r="I10740" s="0" t="s">
        <v>35833</v>
      </c>
      <c r="J10740" s="0" t="s">
        <v>35834</v>
      </c>
      <c r="K10740" s="0" t="s">
        <v>35835</v>
      </c>
      <c r="L10740" s="0" t="str">
        <f aca="false">HYPERLINK("https://www.ncbi.nlm.nih.gov/nuccore/CP000304.1?report=graph&amp;tracks=[key:gene_model_track,Options:GeneOnly]&amp;mk=3018357:3018376|offset_20|444444,3018380:3018399|offset_43|444444,3018408:3018427|offset_71|444444,3018451:3018470|offset_114|00cc00&amp;v=3018156:3018670&amp;c=444444", "offset 114")</f>
        <v>offset 114</v>
      </c>
    </row>
    <row r="10741" customFormat="false" ht="12.8" hidden="false" customHeight="false" outlineLevel="0" collapsed="false">
      <c r="A10741" s="0" t="s">
        <v>12</v>
      </c>
      <c r="B10741" s="0" t="n">
        <v>3019633</v>
      </c>
      <c r="C10741" s="0" t="n">
        <v>3019653</v>
      </c>
      <c r="D10741" s="0" t="s">
        <v>35836</v>
      </c>
      <c r="E10741" s="0" t="s">
        <v>89</v>
      </c>
      <c r="F10741" s="0" t="s">
        <v>90</v>
      </c>
      <c r="G10741" s="0" t="s">
        <v>16</v>
      </c>
      <c r="H10741" s="0" t="n">
        <v>24</v>
      </c>
      <c r="I10741" s="0" t="s">
        <v>35837</v>
      </c>
      <c r="J10741" s="0" t="s">
        <v>35838</v>
      </c>
      <c r="K10741" s="0" t="s">
        <v>35839</v>
      </c>
      <c r="L10741" s="0" t="str">
        <f aca="false">HYPERLINK("https://www.ncbi.nlm.nih.gov/nuccore/CP000304.1?report=graph&amp;tracks=[key:gene_model_track,Options:GeneOnly]&amp;mk=3019634:3019653|offset_24|00cc00,3019592:3019611|offset_66|444444,3019550:3019569|offset_108|444444,3019525:3019544|offset_133|444444&amp;v=3019433:3019744&amp;c=444444", "offset 24")</f>
        <v>offset 24</v>
      </c>
    </row>
    <row r="10742" customFormat="false" ht="12.8" hidden="false" customHeight="false" outlineLevel="0" collapsed="false">
      <c r="A10742" s="0" t="s">
        <v>12</v>
      </c>
      <c r="B10742" s="0" t="n">
        <v>3019591</v>
      </c>
      <c r="C10742" s="0" t="n">
        <v>3019611</v>
      </c>
      <c r="D10742" s="0" t="s">
        <v>35836</v>
      </c>
      <c r="E10742" s="0" t="s">
        <v>89</v>
      </c>
      <c r="F10742" s="0" t="s">
        <v>90</v>
      </c>
      <c r="G10742" s="0" t="s">
        <v>16</v>
      </c>
      <c r="H10742" s="0" t="n">
        <v>66</v>
      </c>
      <c r="I10742" s="0" t="s">
        <v>35840</v>
      </c>
      <c r="J10742" s="0" t="s">
        <v>35841</v>
      </c>
      <c r="K10742" s="0" t="s">
        <v>35842</v>
      </c>
      <c r="L10742" s="0" t="str">
        <f aca="false">HYPERLINK("https://www.ncbi.nlm.nih.gov/nuccore/CP000304.1?report=graph&amp;tracks=[key:gene_model_track,Options:GeneOnly]&amp;mk=3019634:3019653|offset_24|444444,3019592:3019611|offset_66|00cc00,3019550:3019569|offset_108|444444,3019525:3019544|offset_133|444444&amp;v=3019433:3019744&amp;c=444444", "offset 66")</f>
        <v>offset 66</v>
      </c>
    </row>
    <row r="10743" customFormat="false" ht="12.8" hidden="false" customHeight="false" outlineLevel="0" collapsed="false">
      <c r="A10743" s="0" t="s">
        <v>12</v>
      </c>
      <c r="B10743" s="0" t="n">
        <v>3019549</v>
      </c>
      <c r="C10743" s="0" t="n">
        <v>3019569</v>
      </c>
      <c r="D10743" s="0" t="s">
        <v>35836</v>
      </c>
      <c r="E10743" s="0" t="s">
        <v>89</v>
      </c>
      <c r="F10743" s="0" t="s">
        <v>90</v>
      </c>
      <c r="G10743" s="0" t="s">
        <v>16</v>
      </c>
      <c r="H10743" s="0" t="n">
        <v>108</v>
      </c>
      <c r="I10743" s="0" t="s">
        <v>35843</v>
      </c>
      <c r="J10743" s="0" t="s">
        <v>35844</v>
      </c>
      <c r="K10743" s="0" t="s">
        <v>35845</v>
      </c>
      <c r="L10743" s="0" t="str">
        <f aca="false">HYPERLINK("https://www.ncbi.nlm.nih.gov/nuccore/CP000304.1?report=graph&amp;tracks=[key:gene_model_track,Options:GeneOnly]&amp;mk=3019634:3019653|offset_24|444444,3019592:3019611|offset_66|444444,3019550:3019569|offset_108|00cc00,3019525:3019544|offset_133|444444&amp;v=3019433:3019744&amp;c=444444", "offset 108")</f>
        <v>offset 108</v>
      </c>
    </row>
    <row r="10744" customFormat="false" ht="12.8" hidden="false" customHeight="false" outlineLevel="0" collapsed="false">
      <c r="A10744" s="0" t="s">
        <v>12</v>
      </c>
      <c r="B10744" s="0" t="n">
        <v>3019524</v>
      </c>
      <c r="C10744" s="0" t="n">
        <v>3019544</v>
      </c>
      <c r="D10744" s="0" t="s">
        <v>35836</v>
      </c>
      <c r="E10744" s="0" t="s">
        <v>89</v>
      </c>
      <c r="F10744" s="0" t="s">
        <v>90</v>
      </c>
      <c r="G10744" s="0" t="s">
        <v>16</v>
      </c>
      <c r="H10744" s="0" t="n">
        <v>133</v>
      </c>
      <c r="I10744" s="0" t="s">
        <v>35846</v>
      </c>
      <c r="J10744" s="0" t="s">
        <v>35847</v>
      </c>
      <c r="K10744" s="0" t="s">
        <v>35848</v>
      </c>
      <c r="L10744" s="0" t="str">
        <f aca="false">HYPERLINK("https://www.ncbi.nlm.nih.gov/nuccore/CP000304.1?report=graph&amp;tracks=[key:gene_model_track,Options:GeneOnly]&amp;mk=3019634:3019653|offset_24|444444,3019592:3019611|offset_66|444444,3019550:3019569|offset_108|444444,3019525:3019544|offset_133|00cc00&amp;v=3019433:3019744&amp;c=444444", "offset 133")</f>
        <v>offset 133</v>
      </c>
    </row>
    <row r="10745" customFormat="false" ht="12.8" hidden="false" customHeight="false" outlineLevel="0" collapsed="false">
      <c r="A10745" s="0" t="s">
        <v>12</v>
      </c>
      <c r="B10745" s="0" t="n">
        <v>3020175</v>
      </c>
      <c r="C10745" s="0" t="n">
        <v>3020195</v>
      </c>
      <c r="D10745" s="0" t="s">
        <v>35849</v>
      </c>
      <c r="E10745" s="0" t="s">
        <v>89</v>
      </c>
      <c r="F10745" s="0" t="s">
        <v>90</v>
      </c>
      <c r="G10745" s="0" t="s">
        <v>32</v>
      </c>
      <c r="H10745" s="0" t="n">
        <v>1</v>
      </c>
      <c r="I10745" s="0" t="s">
        <v>35850</v>
      </c>
      <c r="J10745" s="0" t="s">
        <v>35851</v>
      </c>
      <c r="K10745" s="0" t="s">
        <v>35852</v>
      </c>
      <c r="L10745" s="0" t="str">
        <f aca="false">HYPERLINK("https://www.ncbi.nlm.nih.gov/nuccore/CP000304.1?report=graph&amp;tracks=[key:gene_model_track,Options:GeneOnly]&amp;mk=3020176:3020195|offset_1|00cc00,3020150:3020169|offset_27|444444,3020125:3020144|offset_52|444444,3020102:3020121|offset_75|444444&amp;v=3019975:3020321&amp;c=444444", "offset 1")</f>
        <v>offset 1</v>
      </c>
    </row>
    <row r="10746" customFormat="false" ht="12.8" hidden="false" customHeight="false" outlineLevel="0" collapsed="false">
      <c r="A10746" s="0" t="s">
        <v>12</v>
      </c>
      <c r="B10746" s="0" t="n">
        <v>3020149</v>
      </c>
      <c r="C10746" s="0" t="n">
        <v>3020169</v>
      </c>
      <c r="D10746" s="0" t="s">
        <v>35849</v>
      </c>
      <c r="E10746" s="0" t="s">
        <v>89</v>
      </c>
      <c r="F10746" s="0" t="s">
        <v>90</v>
      </c>
      <c r="G10746" s="0" t="s">
        <v>36</v>
      </c>
      <c r="H10746" s="0" t="n">
        <v>27</v>
      </c>
      <c r="I10746" s="0" t="s">
        <v>35853</v>
      </c>
      <c r="J10746" s="0" t="s">
        <v>35854</v>
      </c>
      <c r="K10746" s="0" t="s">
        <v>35855</v>
      </c>
      <c r="L10746" s="0" t="str">
        <f aca="false">HYPERLINK("https://www.ncbi.nlm.nih.gov/nuccore/CP000304.1?report=graph&amp;tracks=[key:gene_model_track,Options:GeneOnly]&amp;mk=3020176:3020195|offset_1|444444,3020150:3020169|offset_27|00cc00,3020125:3020144|offset_52|444444,3020102:3020121|offset_75|444444&amp;v=3019975:3020321&amp;c=444444", "offset 27")</f>
        <v>offset 27</v>
      </c>
    </row>
    <row r="10747" customFormat="false" ht="12.8" hidden="false" customHeight="false" outlineLevel="0" collapsed="false">
      <c r="A10747" s="0" t="s">
        <v>12</v>
      </c>
      <c r="B10747" s="0" t="n">
        <v>3020124</v>
      </c>
      <c r="C10747" s="0" t="n">
        <v>3020144</v>
      </c>
      <c r="D10747" s="0" t="s">
        <v>35849</v>
      </c>
      <c r="E10747" s="0" t="s">
        <v>89</v>
      </c>
      <c r="F10747" s="0" t="s">
        <v>90</v>
      </c>
      <c r="G10747" s="0" t="s">
        <v>16</v>
      </c>
      <c r="H10747" s="0" t="n">
        <v>52</v>
      </c>
      <c r="I10747" s="0" t="s">
        <v>35856</v>
      </c>
      <c r="J10747" s="0" t="s">
        <v>35857</v>
      </c>
      <c r="K10747" s="0" t="s">
        <v>35858</v>
      </c>
      <c r="L10747" s="0" t="str">
        <f aca="false">HYPERLINK("https://www.ncbi.nlm.nih.gov/nuccore/CP000304.1?report=graph&amp;tracks=[key:gene_model_track,Options:GeneOnly]&amp;mk=3020176:3020195|offset_1|444444,3020150:3020169|offset_27|444444,3020125:3020144|offset_52|00cc00,3020102:3020121|offset_75|444444&amp;v=3019975:3020321&amp;c=444444", "offset 52")</f>
        <v>offset 52</v>
      </c>
    </row>
    <row r="10748" customFormat="false" ht="12.8" hidden="false" customHeight="false" outlineLevel="0" collapsed="false">
      <c r="A10748" s="0" t="s">
        <v>12</v>
      </c>
      <c r="B10748" s="0" t="n">
        <v>3020101</v>
      </c>
      <c r="C10748" s="0" t="n">
        <v>3020121</v>
      </c>
      <c r="D10748" s="0" t="s">
        <v>35849</v>
      </c>
      <c r="E10748" s="0" t="s">
        <v>89</v>
      </c>
      <c r="F10748" s="0" t="s">
        <v>90</v>
      </c>
      <c r="G10748" s="0" t="s">
        <v>16</v>
      </c>
      <c r="H10748" s="0" t="n">
        <v>75</v>
      </c>
      <c r="I10748" s="0" t="s">
        <v>35859</v>
      </c>
      <c r="J10748" s="0" t="s">
        <v>35860</v>
      </c>
      <c r="K10748" s="0" t="s">
        <v>35861</v>
      </c>
      <c r="L10748" s="0" t="str">
        <f aca="false">HYPERLINK("https://www.ncbi.nlm.nih.gov/nuccore/CP000304.1?report=graph&amp;tracks=[key:gene_model_track,Options:GeneOnly]&amp;mk=3020176:3020195|offset_1|444444,3020150:3020169|offset_27|444444,3020125:3020144|offset_52|444444,3020102:3020121|offset_75|00cc00&amp;v=3019975:3020321&amp;c=444444", "offset 75")</f>
        <v>offset 75</v>
      </c>
    </row>
    <row r="10749" customFormat="false" ht="12.8" hidden="false" customHeight="false" outlineLevel="0" collapsed="false">
      <c r="A10749" s="0" t="s">
        <v>12</v>
      </c>
      <c r="B10749" s="0" t="n">
        <v>3020323</v>
      </c>
      <c r="C10749" s="0" t="n">
        <v>3020343</v>
      </c>
      <c r="D10749" s="0" t="s">
        <v>35862</v>
      </c>
      <c r="E10749" s="0" t="s">
        <v>89</v>
      </c>
      <c r="F10749" s="0" t="s">
        <v>15</v>
      </c>
      <c r="G10749" s="0" t="s">
        <v>36</v>
      </c>
      <c r="H10749" s="0" t="n">
        <v>17</v>
      </c>
      <c r="I10749" s="0" t="s">
        <v>35863</v>
      </c>
      <c r="J10749" s="0" t="s">
        <v>35864</v>
      </c>
      <c r="K10749" s="0" t="s">
        <v>35865</v>
      </c>
      <c r="L10749" s="0" t="str">
        <f aca="false">HYPERLINK("https://www.ncbi.nlm.nih.gov/nuccore/CP000304.1?report=graph&amp;tracks=[key:gene_model_track,Options:GeneOnly]&amp;mk=3020324:3020343|offset_17|00cc00,3020344:3020363|offset_37|444444,3020382:3020401|offset_75|444444,3020418:3020437|offset_111|444444&amp;v=3020123:3020637&amp;c=444444", "offset 17")</f>
        <v>offset 17</v>
      </c>
    </row>
    <row r="10750" customFormat="false" ht="12.8" hidden="false" customHeight="false" outlineLevel="0" collapsed="false">
      <c r="A10750" s="0" t="s">
        <v>12</v>
      </c>
      <c r="B10750" s="0" t="n">
        <v>3020343</v>
      </c>
      <c r="C10750" s="0" t="n">
        <v>3020363</v>
      </c>
      <c r="D10750" s="0" t="s">
        <v>35862</v>
      </c>
      <c r="E10750" s="0" t="s">
        <v>89</v>
      </c>
      <c r="F10750" s="0" t="s">
        <v>15</v>
      </c>
      <c r="G10750" s="0" t="s">
        <v>26</v>
      </c>
      <c r="H10750" s="0" t="n">
        <v>37</v>
      </c>
      <c r="I10750" s="0" t="s">
        <v>35866</v>
      </c>
      <c r="J10750" s="0" t="s">
        <v>35867</v>
      </c>
      <c r="K10750" s="0" t="s">
        <v>35868</v>
      </c>
      <c r="L10750" s="0" t="str">
        <f aca="false">HYPERLINK("https://www.ncbi.nlm.nih.gov/nuccore/CP000304.1?report=graph&amp;tracks=[key:gene_model_track,Options:GeneOnly]&amp;mk=3020324:3020343|offset_17|444444,3020344:3020363|offset_37|00cc00,3020382:3020401|offset_75|444444,3020418:3020437|offset_111|444444&amp;v=3020123:3020637&amp;c=444444", "offset 37")</f>
        <v>offset 37</v>
      </c>
    </row>
    <row r="10751" customFormat="false" ht="12.8" hidden="false" customHeight="false" outlineLevel="0" collapsed="false">
      <c r="A10751" s="0" t="s">
        <v>12</v>
      </c>
      <c r="B10751" s="0" t="n">
        <v>3020381</v>
      </c>
      <c r="C10751" s="0" t="n">
        <v>3020401</v>
      </c>
      <c r="D10751" s="0" t="s">
        <v>35862</v>
      </c>
      <c r="E10751" s="0" t="s">
        <v>89</v>
      </c>
      <c r="F10751" s="0" t="s">
        <v>15</v>
      </c>
      <c r="G10751" s="0" t="s">
        <v>26</v>
      </c>
      <c r="H10751" s="0" t="n">
        <v>75</v>
      </c>
      <c r="I10751" s="0" t="s">
        <v>35869</v>
      </c>
      <c r="J10751" s="0" t="s">
        <v>35870</v>
      </c>
      <c r="K10751" s="0" t="s">
        <v>35871</v>
      </c>
      <c r="L10751" s="0" t="str">
        <f aca="false">HYPERLINK("https://www.ncbi.nlm.nih.gov/nuccore/CP000304.1?report=graph&amp;tracks=[key:gene_model_track,Options:GeneOnly]&amp;mk=3020324:3020343|offset_17|444444,3020344:3020363|offset_37|444444,3020382:3020401|offset_75|00cc00,3020418:3020437|offset_111|444444&amp;v=3020123:3020637&amp;c=444444", "offset 75")</f>
        <v>offset 75</v>
      </c>
    </row>
    <row r="10752" customFormat="false" ht="12.8" hidden="false" customHeight="false" outlineLevel="0" collapsed="false">
      <c r="A10752" s="0" t="s">
        <v>12</v>
      </c>
      <c r="B10752" s="0" t="n">
        <v>3020417</v>
      </c>
      <c r="C10752" s="0" t="n">
        <v>3020437</v>
      </c>
      <c r="D10752" s="0" t="s">
        <v>35862</v>
      </c>
      <c r="E10752" s="0" t="s">
        <v>89</v>
      </c>
      <c r="F10752" s="0" t="s">
        <v>15</v>
      </c>
      <c r="G10752" s="0" t="s">
        <v>16</v>
      </c>
      <c r="H10752" s="0" t="n">
        <v>111</v>
      </c>
      <c r="I10752" s="0" t="s">
        <v>35872</v>
      </c>
      <c r="J10752" s="0" t="s">
        <v>35873</v>
      </c>
      <c r="K10752" s="0" t="s">
        <v>35874</v>
      </c>
      <c r="L10752" s="0" t="str">
        <f aca="false">HYPERLINK("https://www.ncbi.nlm.nih.gov/nuccore/CP000304.1?report=graph&amp;tracks=[key:gene_model_track,Options:GeneOnly]&amp;mk=3020324:3020343|offset_17|444444,3020344:3020363|offset_37|444444,3020382:3020401|offset_75|444444,3020418:3020437|offset_111|00cc00&amp;v=3020123:3020637&amp;c=444444", "offset 111")</f>
        <v>offset 111</v>
      </c>
    </row>
    <row r="10753" customFormat="false" ht="12.8" hidden="false" customHeight="false" outlineLevel="0" collapsed="false">
      <c r="A10753" s="0" t="s">
        <v>12</v>
      </c>
      <c r="B10753" s="0" t="n">
        <v>3023113</v>
      </c>
      <c r="C10753" s="0" t="n">
        <v>3023133</v>
      </c>
      <c r="D10753" s="0" t="s">
        <v>35875</v>
      </c>
      <c r="E10753" s="0" t="s">
        <v>35876</v>
      </c>
      <c r="F10753" s="0" t="s">
        <v>90</v>
      </c>
      <c r="G10753" s="0" t="s">
        <v>32</v>
      </c>
      <c r="H10753" s="0" t="n">
        <v>53</v>
      </c>
      <c r="I10753" s="0" t="s">
        <v>35877</v>
      </c>
      <c r="J10753" s="0" t="s">
        <v>35878</v>
      </c>
      <c r="K10753" s="0" t="s">
        <v>35879</v>
      </c>
      <c r="L10753" s="0" t="str">
        <f aca="false">HYPERLINK("https://www.ncbi.nlm.nih.gov/nuccore/CP000304.1?report=graph&amp;tracks=[key:gene_model_track,Options:GeneOnly]&amp;mk=3023114:3023133|offset_53|00cc00,3023092:3023111|offset_75|444444,3023063:3023082|offset_104|444444,3023040:3023059|offset_127|444444&amp;v=3022913:3023259&amp;c=444444", "offset 53")</f>
        <v>offset 53</v>
      </c>
    </row>
    <row r="10754" customFormat="false" ht="12.8" hidden="false" customHeight="false" outlineLevel="0" collapsed="false">
      <c r="A10754" s="0" t="s">
        <v>12</v>
      </c>
      <c r="B10754" s="0" t="n">
        <v>3023091</v>
      </c>
      <c r="C10754" s="0" t="n">
        <v>3023111</v>
      </c>
      <c r="D10754" s="0" t="s">
        <v>35875</v>
      </c>
      <c r="E10754" s="0" t="s">
        <v>35876</v>
      </c>
      <c r="F10754" s="0" t="s">
        <v>90</v>
      </c>
      <c r="G10754" s="0" t="s">
        <v>16</v>
      </c>
      <c r="H10754" s="0" t="n">
        <v>75</v>
      </c>
      <c r="I10754" s="0" t="s">
        <v>35880</v>
      </c>
      <c r="J10754" s="0" t="s">
        <v>35881</v>
      </c>
      <c r="K10754" s="0" t="s">
        <v>35882</v>
      </c>
      <c r="L10754" s="0" t="str">
        <f aca="false">HYPERLINK("https://www.ncbi.nlm.nih.gov/nuccore/CP000304.1?report=graph&amp;tracks=[key:gene_model_track,Options:GeneOnly]&amp;mk=3023114:3023133|offset_53|444444,3023092:3023111|offset_75|00cc00,3023063:3023082|offset_104|444444,3023040:3023059|offset_127|444444&amp;v=3022913:3023259&amp;c=444444", "offset 75")</f>
        <v>offset 75</v>
      </c>
    </row>
    <row r="10755" customFormat="false" ht="12.8" hidden="false" customHeight="false" outlineLevel="0" collapsed="false">
      <c r="A10755" s="0" t="s">
        <v>12</v>
      </c>
      <c r="B10755" s="0" t="n">
        <v>3023062</v>
      </c>
      <c r="C10755" s="0" t="n">
        <v>3023082</v>
      </c>
      <c r="D10755" s="0" t="s">
        <v>35875</v>
      </c>
      <c r="E10755" s="0" t="s">
        <v>35876</v>
      </c>
      <c r="F10755" s="0" t="s">
        <v>90</v>
      </c>
      <c r="G10755" s="0" t="s">
        <v>32</v>
      </c>
      <c r="H10755" s="0" t="n">
        <v>104</v>
      </c>
      <c r="I10755" s="0" t="s">
        <v>35883</v>
      </c>
      <c r="J10755" s="0" t="s">
        <v>35884</v>
      </c>
      <c r="K10755" s="0" t="s">
        <v>35885</v>
      </c>
      <c r="L10755" s="0" t="str">
        <f aca="false">HYPERLINK("https://www.ncbi.nlm.nih.gov/nuccore/CP000304.1?report=graph&amp;tracks=[key:gene_model_track,Options:GeneOnly]&amp;mk=3023114:3023133|offset_53|444444,3023092:3023111|offset_75|444444,3023063:3023082|offset_104|00cc00,3023040:3023059|offset_127|444444&amp;v=3022913:3023259&amp;c=444444", "offset 104")</f>
        <v>offset 104</v>
      </c>
    </row>
    <row r="10756" customFormat="false" ht="12.8" hidden="false" customHeight="false" outlineLevel="0" collapsed="false">
      <c r="A10756" s="0" t="s">
        <v>12</v>
      </c>
      <c r="B10756" s="0" t="n">
        <v>3023039</v>
      </c>
      <c r="C10756" s="0" t="n">
        <v>3023059</v>
      </c>
      <c r="D10756" s="0" t="s">
        <v>35875</v>
      </c>
      <c r="E10756" s="0" t="s">
        <v>35876</v>
      </c>
      <c r="F10756" s="0" t="s">
        <v>90</v>
      </c>
      <c r="G10756" s="0" t="s">
        <v>36</v>
      </c>
      <c r="H10756" s="0" t="n">
        <v>127</v>
      </c>
      <c r="I10756" s="0" t="s">
        <v>35886</v>
      </c>
      <c r="J10756" s="0" t="s">
        <v>35887</v>
      </c>
      <c r="K10756" s="0" t="s">
        <v>35888</v>
      </c>
      <c r="L10756" s="0" t="str">
        <f aca="false">HYPERLINK("https://www.ncbi.nlm.nih.gov/nuccore/CP000304.1?report=graph&amp;tracks=[key:gene_model_track,Options:GeneOnly]&amp;mk=3023114:3023133|offset_53|444444,3023092:3023111|offset_75|444444,3023063:3023082|offset_104|444444,3023040:3023059|offset_127|00cc00&amp;v=3022913:3023259&amp;c=444444", "offset 127")</f>
        <v>offset 127</v>
      </c>
    </row>
    <row r="10757" customFormat="false" ht="12.8" hidden="false" customHeight="false" outlineLevel="0" collapsed="false">
      <c r="A10757" s="0" t="s">
        <v>12</v>
      </c>
      <c r="B10757" s="0" t="n">
        <v>3024586</v>
      </c>
      <c r="C10757" s="0" t="n">
        <v>3024606</v>
      </c>
      <c r="D10757" s="0" t="s">
        <v>35889</v>
      </c>
      <c r="E10757" s="0" t="s">
        <v>89</v>
      </c>
      <c r="F10757" s="0" t="s">
        <v>90</v>
      </c>
      <c r="G10757" s="0" t="s">
        <v>26</v>
      </c>
      <c r="H10757" s="0" t="n">
        <v>7</v>
      </c>
      <c r="I10757" s="0" t="s">
        <v>35890</v>
      </c>
      <c r="J10757" s="0" t="s">
        <v>35891</v>
      </c>
      <c r="K10757" s="0" t="s">
        <v>35892</v>
      </c>
      <c r="L10757" s="0" t="str">
        <f aca="false">HYPERLINK("https://www.ncbi.nlm.nih.gov/nuccore/CP000304.1?report=graph&amp;tracks=[key:gene_model_track,Options:GeneOnly]&amp;mk=3024587:3024606|offset_7|00cc00,3024560:3024579|offset_34|444444,3024524:3024543|offset_70|444444,3024502:3024521|offset_92|444444&amp;v=3024386:3024721&amp;c=444444", "offset 7")</f>
        <v>offset 7</v>
      </c>
    </row>
    <row r="10758" customFormat="false" ht="12.8" hidden="false" customHeight="false" outlineLevel="0" collapsed="false">
      <c r="A10758" s="0" t="s">
        <v>12</v>
      </c>
      <c r="B10758" s="0" t="n">
        <v>3024559</v>
      </c>
      <c r="C10758" s="0" t="n">
        <v>3024579</v>
      </c>
      <c r="D10758" s="0" t="s">
        <v>35889</v>
      </c>
      <c r="E10758" s="0" t="s">
        <v>89</v>
      </c>
      <c r="F10758" s="0" t="s">
        <v>90</v>
      </c>
      <c r="G10758" s="0" t="s">
        <v>36</v>
      </c>
      <c r="H10758" s="0" t="n">
        <v>34</v>
      </c>
      <c r="I10758" s="0" t="s">
        <v>35893</v>
      </c>
      <c r="J10758" s="0" t="s">
        <v>35894</v>
      </c>
      <c r="K10758" s="0" t="s">
        <v>35895</v>
      </c>
      <c r="L10758" s="0" t="str">
        <f aca="false">HYPERLINK("https://www.ncbi.nlm.nih.gov/nuccore/CP000304.1?report=graph&amp;tracks=[key:gene_model_track,Options:GeneOnly]&amp;mk=3024587:3024606|offset_7|444444,3024560:3024579|offset_34|00cc00,3024524:3024543|offset_70|444444,3024502:3024521|offset_92|444444&amp;v=3024386:3024721&amp;c=444444", "offset 34")</f>
        <v>offset 34</v>
      </c>
    </row>
    <row r="10759" customFormat="false" ht="12.8" hidden="false" customHeight="false" outlineLevel="0" collapsed="false">
      <c r="A10759" s="0" t="s">
        <v>12</v>
      </c>
      <c r="B10759" s="0" t="n">
        <v>3024523</v>
      </c>
      <c r="C10759" s="0" t="n">
        <v>3024543</v>
      </c>
      <c r="D10759" s="0" t="s">
        <v>35889</v>
      </c>
      <c r="E10759" s="0" t="s">
        <v>89</v>
      </c>
      <c r="F10759" s="0" t="s">
        <v>90</v>
      </c>
      <c r="G10759" s="0" t="s">
        <v>16</v>
      </c>
      <c r="H10759" s="0" t="n">
        <v>70</v>
      </c>
      <c r="I10759" s="0" t="s">
        <v>35896</v>
      </c>
      <c r="J10759" s="0" t="s">
        <v>35897</v>
      </c>
      <c r="K10759" s="0" t="s">
        <v>35898</v>
      </c>
      <c r="L10759" s="0" t="str">
        <f aca="false">HYPERLINK("https://www.ncbi.nlm.nih.gov/nuccore/CP000304.1?report=graph&amp;tracks=[key:gene_model_track,Options:GeneOnly]&amp;mk=3024587:3024606|offset_7|444444,3024560:3024579|offset_34|444444,3024524:3024543|offset_70|00cc00,3024502:3024521|offset_92|444444&amp;v=3024386:3024721&amp;c=444444", "offset 70")</f>
        <v>offset 70</v>
      </c>
    </row>
    <row r="10760" customFormat="false" ht="12.8" hidden="false" customHeight="false" outlineLevel="0" collapsed="false">
      <c r="A10760" s="0" t="s">
        <v>12</v>
      </c>
      <c r="B10760" s="0" t="n">
        <v>3024501</v>
      </c>
      <c r="C10760" s="0" t="n">
        <v>3024521</v>
      </c>
      <c r="D10760" s="0" t="s">
        <v>35889</v>
      </c>
      <c r="E10760" s="0" t="s">
        <v>89</v>
      </c>
      <c r="F10760" s="0" t="s">
        <v>90</v>
      </c>
      <c r="G10760" s="0" t="s">
        <v>16</v>
      </c>
      <c r="H10760" s="0" t="n">
        <v>92</v>
      </c>
      <c r="I10760" s="0" t="s">
        <v>35899</v>
      </c>
      <c r="J10760" s="0" t="s">
        <v>35900</v>
      </c>
      <c r="K10760" s="0" t="s">
        <v>35901</v>
      </c>
      <c r="L10760" s="0" t="str">
        <f aca="false">HYPERLINK("https://www.ncbi.nlm.nih.gov/nuccore/CP000304.1?report=graph&amp;tracks=[key:gene_model_track,Options:GeneOnly]&amp;mk=3024587:3024606|offset_7|444444,3024560:3024579|offset_34|444444,3024524:3024543|offset_70|444444,3024502:3024521|offset_92|00cc00&amp;v=3024386:3024721&amp;c=444444", "offset 92")</f>
        <v>offset 92</v>
      </c>
    </row>
    <row r="10761" customFormat="false" ht="12.8" hidden="false" customHeight="false" outlineLevel="0" collapsed="false">
      <c r="A10761" s="0" t="s">
        <v>12</v>
      </c>
      <c r="B10761" s="0" t="n">
        <v>3025694</v>
      </c>
      <c r="C10761" s="0" t="n">
        <v>3025714</v>
      </c>
      <c r="D10761" s="0" t="s">
        <v>35902</v>
      </c>
      <c r="E10761" s="0" t="s">
        <v>35903</v>
      </c>
      <c r="F10761" s="0" t="s">
        <v>90</v>
      </c>
      <c r="G10761" s="0" t="s">
        <v>36</v>
      </c>
      <c r="H10761" s="0" t="n">
        <v>28</v>
      </c>
      <c r="I10761" s="0" t="s">
        <v>35904</v>
      </c>
      <c r="J10761" s="0" t="s">
        <v>35905</v>
      </c>
      <c r="K10761" s="0" t="s">
        <v>35906</v>
      </c>
      <c r="L10761" s="0" t="str">
        <f aca="false">HYPERLINK("https://www.ncbi.nlm.nih.gov/nuccore/CP000304.1?report=graph&amp;tracks=[key:gene_model_track,Options:GeneOnly]&amp;mk=3025695:3025714|offset_28|00cc00,3025646:3025665|offset_77|444444,3025617:3025636|offset_106|444444,3025584:3025603|offset_139|444444&amp;v=3025494:3025803&amp;c=444444", "offset 28")</f>
        <v>offset 28</v>
      </c>
    </row>
    <row r="10762" customFormat="false" ht="12.8" hidden="false" customHeight="false" outlineLevel="0" collapsed="false">
      <c r="A10762" s="0" t="s">
        <v>12</v>
      </c>
      <c r="B10762" s="0" t="n">
        <v>3025645</v>
      </c>
      <c r="C10762" s="0" t="n">
        <v>3025665</v>
      </c>
      <c r="D10762" s="0" t="s">
        <v>35902</v>
      </c>
      <c r="E10762" s="0" t="s">
        <v>35903</v>
      </c>
      <c r="F10762" s="0" t="s">
        <v>90</v>
      </c>
      <c r="G10762" s="0" t="s">
        <v>26</v>
      </c>
      <c r="H10762" s="0" t="n">
        <v>77</v>
      </c>
      <c r="I10762" s="0" t="s">
        <v>35907</v>
      </c>
      <c r="J10762" s="0" t="s">
        <v>35908</v>
      </c>
      <c r="K10762" s="0" t="s">
        <v>35909</v>
      </c>
      <c r="L10762" s="0" t="str">
        <f aca="false">HYPERLINK("https://www.ncbi.nlm.nih.gov/nuccore/CP000304.1?report=graph&amp;tracks=[key:gene_model_track,Options:GeneOnly]&amp;mk=3025695:3025714|offset_28|444444,3025646:3025665|offset_77|00cc00,3025617:3025636|offset_106|444444,3025584:3025603|offset_139|444444&amp;v=3025494:3025803&amp;c=444444", "offset 77")</f>
        <v>offset 77</v>
      </c>
    </row>
    <row r="10763" customFormat="false" ht="12.8" hidden="false" customHeight="false" outlineLevel="0" collapsed="false">
      <c r="A10763" s="0" t="s">
        <v>12</v>
      </c>
      <c r="B10763" s="0" t="n">
        <v>3025616</v>
      </c>
      <c r="C10763" s="0" t="n">
        <v>3025636</v>
      </c>
      <c r="D10763" s="0" t="s">
        <v>35902</v>
      </c>
      <c r="E10763" s="0" t="s">
        <v>35903</v>
      </c>
      <c r="F10763" s="0" t="s">
        <v>90</v>
      </c>
      <c r="G10763" s="0" t="s">
        <v>16</v>
      </c>
      <c r="H10763" s="0" t="n">
        <v>106</v>
      </c>
      <c r="I10763" s="0" t="s">
        <v>35910</v>
      </c>
      <c r="J10763" s="0" t="s">
        <v>35911</v>
      </c>
      <c r="K10763" s="0" t="s">
        <v>35912</v>
      </c>
      <c r="L10763" s="0" t="str">
        <f aca="false">HYPERLINK("https://www.ncbi.nlm.nih.gov/nuccore/CP000304.1?report=graph&amp;tracks=[key:gene_model_track,Options:GeneOnly]&amp;mk=3025695:3025714|offset_28|444444,3025646:3025665|offset_77|444444,3025617:3025636|offset_106|00cc00,3025584:3025603|offset_139|444444&amp;v=3025494:3025803&amp;c=444444", "offset 106")</f>
        <v>offset 106</v>
      </c>
    </row>
    <row r="10764" customFormat="false" ht="12.8" hidden="false" customHeight="false" outlineLevel="0" collapsed="false">
      <c r="A10764" s="0" t="s">
        <v>12</v>
      </c>
      <c r="B10764" s="0" t="n">
        <v>3025583</v>
      </c>
      <c r="C10764" s="0" t="n">
        <v>3025603</v>
      </c>
      <c r="D10764" s="0" t="s">
        <v>35902</v>
      </c>
      <c r="E10764" s="0" t="s">
        <v>35903</v>
      </c>
      <c r="F10764" s="0" t="s">
        <v>90</v>
      </c>
      <c r="G10764" s="0" t="s">
        <v>26</v>
      </c>
      <c r="H10764" s="0" t="n">
        <v>139</v>
      </c>
      <c r="I10764" s="0" t="s">
        <v>35913</v>
      </c>
      <c r="J10764" s="0" t="s">
        <v>35914</v>
      </c>
      <c r="K10764" s="0" t="s">
        <v>35915</v>
      </c>
      <c r="L10764" s="0" t="str">
        <f aca="false">HYPERLINK("https://www.ncbi.nlm.nih.gov/nuccore/CP000304.1?report=graph&amp;tracks=[key:gene_model_track,Options:GeneOnly]&amp;mk=3025695:3025714|offset_28|444444,3025646:3025665|offset_77|444444,3025617:3025636|offset_106|444444,3025584:3025603|offset_139|00cc00&amp;v=3025494:3025803&amp;c=444444", "offset 139")</f>
        <v>offset 139</v>
      </c>
    </row>
    <row r="10765" customFormat="false" ht="12.8" hidden="false" customHeight="false" outlineLevel="0" collapsed="false">
      <c r="A10765" s="0" t="s">
        <v>12</v>
      </c>
      <c r="B10765" s="0" t="n">
        <v>3026340</v>
      </c>
      <c r="C10765" s="0" t="n">
        <v>3026360</v>
      </c>
      <c r="D10765" s="0" t="s">
        <v>35916</v>
      </c>
      <c r="E10765" s="0" t="s">
        <v>89</v>
      </c>
      <c r="F10765" s="0" t="s">
        <v>90</v>
      </c>
      <c r="G10765" s="0" t="s">
        <v>36</v>
      </c>
      <c r="H10765" s="0" t="n">
        <v>7</v>
      </c>
      <c r="I10765" s="0" t="s">
        <v>35917</v>
      </c>
      <c r="J10765" s="0" t="s">
        <v>35918</v>
      </c>
      <c r="K10765" s="0" t="s">
        <v>35919</v>
      </c>
      <c r="L10765" s="0" t="str">
        <f aca="false">HYPERLINK("https://www.ncbi.nlm.nih.gov/nuccore/CP000304.1?report=graph&amp;tracks=[key:gene_model_track,Options:GeneOnly]&amp;mk=3026341:3026360|offset_7|00cc00,3026293:3026312|offset_55|444444,3026265:3026284|offset_83|444444,3026227:3026246|offset_121|444444&amp;v=3026140:3026446&amp;c=444444", "offset 7")</f>
        <v>offset 7</v>
      </c>
    </row>
    <row r="10766" customFormat="false" ht="12.8" hidden="false" customHeight="false" outlineLevel="0" collapsed="false">
      <c r="A10766" s="0" t="s">
        <v>12</v>
      </c>
      <c r="B10766" s="0" t="n">
        <v>3026292</v>
      </c>
      <c r="C10766" s="0" t="n">
        <v>3026312</v>
      </c>
      <c r="D10766" s="0" t="s">
        <v>35916</v>
      </c>
      <c r="E10766" s="0" t="s">
        <v>89</v>
      </c>
      <c r="F10766" s="0" t="s">
        <v>90</v>
      </c>
      <c r="G10766" s="0" t="s">
        <v>32</v>
      </c>
      <c r="H10766" s="0" t="n">
        <v>55</v>
      </c>
      <c r="I10766" s="0" t="s">
        <v>35920</v>
      </c>
      <c r="J10766" s="0" t="s">
        <v>35921</v>
      </c>
      <c r="K10766" s="0" t="s">
        <v>35922</v>
      </c>
      <c r="L10766" s="0" t="str">
        <f aca="false">HYPERLINK("https://www.ncbi.nlm.nih.gov/nuccore/CP000304.1?report=graph&amp;tracks=[key:gene_model_track,Options:GeneOnly]&amp;mk=3026341:3026360|offset_7|444444,3026293:3026312|offset_55|00cc00,3026265:3026284|offset_83|444444,3026227:3026246|offset_121|444444&amp;v=3026140:3026446&amp;c=444444", "offset 55")</f>
        <v>offset 55</v>
      </c>
    </row>
    <row r="10767" customFormat="false" ht="12.8" hidden="false" customHeight="false" outlineLevel="0" collapsed="false">
      <c r="A10767" s="0" t="s">
        <v>12</v>
      </c>
      <c r="B10767" s="0" t="n">
        <v>3026264</v>
      </c>
      <c r="C10767" s="0" t="n">
        <v>3026284</v>
      </c>
      <c r="D10767" s="0" t="s">
        <v>35916</v>
      </c>
      <c r="E10767" s="0" t="s">
        <v>89</v>
      </c>
      <c r="F10767" s="0" t="s">
        <v>90</v>
      </c>
      <c r="G10767" s="0" t="s">
        <v>26</v>
      </c>
      <c r="H10767" s="0" t="n">
        <v>83</v>
      </c>
      <c r="I10767" s="0" t="s">
        <v>35923</v>
      </c>
      <c r="J10767" s="0" t="s">
        <v>35924</v>
      </c>
      <c r="K10767" s="0" t="s">
        <v>35925</v>
      </c>
      <c r="L10767" s="0" t="str">
        <f aca="false">HYPERLINK("https://www.ncbi.nlm.nih.gov/nuccore/CP000304.1?report=graph&amp;tracks=[key:gene_model_track,Options:GeneOnly]&amp;mk=3026341:3026360|offset_7|444444,3026293:3026312|offset_55|444444,3026265:3026284|offset_83|00cc00,3026227:3026246|offset_121|444444&amp;v=3026140:3026446&amp;c=444444", "offset 83")</f>
        <v>offset 83</v>
      </c>
    </row>
    <row r="10768" customFormat="false" ht="12.8" hidden="false" customHeight="false" outlineLevel="0" collapsed="false">
      <c r="A10768" s="0" t="s">
        <v>12</v>
      </c>
      <c r="B10768" s="0" t="n">
        <v>3026226</v>
      </c>
      <c r="C10768" s="0" t="n">
        <v>3026246</v>
      </c>
      <c r="D10768" s="0" t="s">
        <v>35916</v>
      </c>
      <c r="E10768" s="0" t="s">
        <v>89</v>
      </c>
      <c r="F10768" s="0" t="s">
        <v>90</v>
      </c>
      <c r="G10768" s="0" t="s">
        <v>16</v>
      </c>
      <c r="H10768" s="0" t="n">
        <v>121</v>
      </c>
      <c r="I10768" s="0" t="s">
        <v>35926</v>
      </c>
      <c r="J10768" s="0" t="s">
        <v>35927</v>
      </c>
      <c r="K10768" s="0" t="s">
        <v>35928</v>
      </c>
      <c r="L10768" s="0" t="str">
        <f aca="false">HYPERLINK("https://www.ncbi.nlm.nih.gov/nuccore/CP000304.1?report=graph&amp;tracks=[key:gene_model_track,Options:GeneOnly]&amp;mk=3026341:3026360|offset_7|444444,3026293:3026312|offset_55|444444,3026265:3026284|offset_83|444444,3026227:3026246|offset_121|00cc00&amp;v=3026140:3026446&amp;c=444444", "offset 121")</f>
        <v>offset 121</v>
      </c>
    </row>
    <row r="10769" customFormat="false" ht="12.8" hidden="false" customHeight="false" outlineLevel="0" collapsed="false">
      <c r="A10769" s="0" t="s">
        <v>12</v>
      </c>
      <c r="B10769" s="0" t="n">
        <v>3027265</v>
      </c>
      <c r="C10769" s="0" t="n">
        <v>3027285</v>
      </c>
      <c r="D10769" s="0" t="s">
        <v>35929</v>
      </c>
      <c r="E10769" s="0" t="s">
        <v>89</v>
      </c>
      <c r="F10769" s="0" t="s">
        <v>90</v>
      </c>
      <c r="G10769" s="0" t="s">
        <v>16</v>
      </c>
      <c r="H10769" s="0" t="n">
        <v>14</v>
      </c>
      <c r="I10769" s="0" t="s">
        <v>35930</v>
      </c>
      <c r="J10769" s="0" t="s">
        <v>35931</v>
      </c>
      <c r="K10769" s="0" t="s">
        <v>35932</v>
      </c>
      <c r="L10769" s="0" t="str">
        <f aca="false">HYPERLINK("https://www.ncbi.nlm.nih.gov/nuccore/CP000304.1?report=graph&amp;tracks=[key:gene_model_track,Options:GeneOnly]&amp;mk=3027266:3027285|offset_14|00cc00,3027236:3027255|offset_44|444444,3027208:3027227|offset_72|444444,3027183:3027202|offset_97|444444&amp;v=3027065:3027402&amp;c=444444", "offset 14")</f>
        <v>offset 14</v>
      </c>
    </row>
    <row r="10770" customFormat="false" ht="12.8" hidden="false" customHeight="false" outlineLevel="0" collapsed="false">
      <c r="A10770" s="0" t="s">
        <v>12</v>
      </c>
      <c r="B10770" s="0" t="n">
        <v>3027235</v>
      </c>
      <c r="C10770" s="0" t="n">
        <v>3027255</v>
      </c>
      <c r="D10770" s="0" t="s">
        <v>35929</v>
      </c>
      <c r="E10770" s="0" t="s">
        <v>89</v>
      </c>
      <c r="F10770" s="0" t="s">
        <v>90</v>
      </c>
      <c r="G10770" s="0" t="s">
        <v>26</v>
      </c>
      <c r="H10770" s="0" t="n">
        <v>44</v>
      </c>
      <c r="I10770" s="0" t="s">
        <v>35933</v>
      </c>
      <c r="J10770" s="0" t="s">
        <v>35934</v>
      </c>
      <c r="K10770" s="0" t="s">
        <v>35935</v>
      </c>
      <c r="L10770" s="0" t="str">
        <f aca="false">HYPERLINK("https://www.ncbi.nlm.nih.gov/nuccore/CP000304.1?report=graph&amp;tracks=[key:gene_model_track,Options:GeneOnly]&amp;mk=3027266:3027285|offset_14|444444,3027236:3027255|offset_44|00cc00,3027208:3027227|offset_72|444444,3027183:3027202|offset_97|444444&amp;v=3027065:3027402&amp;c=444444", "offset 44")</f>
        <v>offset 44</v>
      </c>
    </row>
    <row r="10771" customFormat="false" ht="12.8" hidden="false" customHeight="false" outlineLevel="0" collapsed="false">
      <c r="A10771" s="0" t="s">
        <v>12</v>
      </c>
      <c r="B10771" s="0" t="n">
        <v>3027207</v>
      </c>
      <c r="C10771" s="0" t="n">
        <v>3027227</v>
      </c>
      <c r="D10771" s="0" t="s">
        <v>35929</v>
      </c>
      <c r="E10771" s="0" t="s">
        <v>89</v>
      </c>
      <c r="F10771" s="0" t="s">
        <v>90</v>
      </c>
      <c r="G10771" s="0" t="s">
        <v>16</v>
      </c>
      <c r="H10771" s="0" t="n">
        <v>72</v>
      </c>
      <c r="I10771" s="0" t="s">
        <v>35936</v>
      </c>
      <c r="J10771" s="0" t="s">
        <v>35937</v>
      </c>
      <c r="K10771" s="0" t="s">
        <v>35938</v>
      </c>
      <c r="L10771" s="0" t="str">
        <f aca="false">HYPERLINK("https://www.ncbi.nlm.nih.gov/nuccore/CP000304.1?report=graph&amp;tracks=[key:gene_model_track,Options:GeneOnly]&amp;mk=3027266:3027285|offset_14|444444,3027236:3027255|offset_44|444444,3027208:3027227|offset_72|00cc00,3027183:3027202|offset_97|444444&amp;v=3027065:3027402&amp;c=444444", "offset 72")</f>
        <v>offset 72</v>
      </c>
    </row>
    <row r="10772" customFormat="false" ht="12.8" hidden="false" customHeight="false" outlineLevel="0" collapsed="false">
      <c r="A10772" s="0" t="s">
        <v>12</v>
      </c>
      <c r="B10772" s="0" t="n">
        <v>3027182</v>
      </c>
      <c r="C10772" s="0" t="n">
        <v>3027202</v>
      </c>
      <c r="D10772" s="0" t="s">
        <v>35929</v>
      </c>
      <c r="E10772" s="0" t="s">
        <v>89</v>
      </c>
      <c r="F10772" s="0" t="s">
        <v>90</v>
      </c>
      <c r="G10772" s="0" t="s">
        <v>16</v>
      </c>
      <c r="H10772" s="0" t="n">
        <v>97</v>
      </c>
      <c r="I10772" s="0" t="s">
        <v>35939</v>
      </c>
      <c r="J10772" s="0" t="s">
        <v>35940</v>
      </c>
      <c r="K10772" s="0" t="s">
        <v>35941</v>
      </c>
      <c r="L10772" s="0" t="str">
        <f aca="false">HYPERLINK("https://www.ncbi.nlm.nih.gov/nuccore/CP000304.1?report=graph&amp;tracks=[key:gene_model_track,Options:GeneOnly]&amp;mk=3027266:3027285|offset_14|444444,3027236:3027255|offset_44|444444,3027208:3027227|offset_72|444444,3027183:3027202|offset_97|00cc00&amp;v=3027065:3027402&amp;c=444444", "offset 97")</f>
        <v>offset 97</v>
      </c>
    </row>
    <row r="10773" customFormat="false" ht="12.8" hidden="false" customHeight="false" outlineLevel="0" collapsed="false">
      <c r="A10773" s="0" t="s">
        <v>12</v>
      </c>
      <c r="B10773" s="0" t="n">
        <v>3027758</v>
      </c>
      <c r="C10773" s="0" t="n">
        <v>3027778</v>
      </c>
      <c r="D10773" s="0" t="s">
        <v>35942</v>
      </c>
      <c r="E10773" s="0" t="s">
        <v>35943</v>
      </c>
      <c r="F10773" s="0" t="s">
        <v>90</v>
      </c>
      <c r="G10773" s="0" t="s">
        <v>16</v>
      </c>
      <c r="H10773" s="0" t="n">
        <v>31</v>
      </c>
      <c r="I10773" s="0" t="s">
        <v>35944</v>
      </c>
      <c r="J10773" s="0" t="s">
        <v>35945</v>
      </c>
      <c r="K10773" s="0" t="s">
        <v>35946</v>
      </c>
      <c r="L10773" s="0" t="str">
        <f aca="false">HYPERLINK("https://www.ncbi.nlm.nih.gov/nuccore/CP000304.1?report=graph&amp;tracks=[key:gene_model_track,Options:GeneOnly]&amp;mk=3027759:3027778|offset_31|00cc00,3027717:3027736|offset_73|444444,3027673:3027692|offset_117|444444,3027642:3027661|offset_148|444444&amp;v=3027558:3027861&amp;c=444444", "offset 31")</f>
        <v>offset 31</v>
      </c>
    </row>
    <row r="10774" customFormat="false" ht="12.8" hidden="false" customHeight="false" outlineLevel="0" collapsed="false">
      <c r="A10774" s="0" t="s">
        <v>12</v>
      </c>
      <c r="B10774" s="0" t="n">
        <v>3027716</v>
      </c>
      <c r="C10774" s="0" t="n">
        <v>3027736</v>
      </c>
      <c r="D10774" s="0" t="s">
        <v>35942</v>
      </c>
      <c r="E10774" s="0" t="s">
        <v>35943</v>
      </c>
      <c r="F10774" s="0" t="s">
        <v>90</v>
      </c>
      <c r="G10774" s="0" t="s">
        <v>32</v>
      </c>
      <c r="H10774" s="0" t="n">
        <v>73</v>
      </c>
      <c r="I10774" s="0" t="s">
        <v>35947</v>
      </c>
      <c r="J10774" s="0" t="s">
        <v>35948</v>
      </c>
      <c r="K10774" s="0" t="s">
        <v>35949</v>
      </c>
      <c r="L10774" s="0" t="str">
        <f aca="false">HYPERLINK("https://www.ncbi.nlm.nih.gov/nuccore/CP000304.1?report=graph&amp;tracks=[key:gene_model_track,Options:GeneOnly]&amp;mk=3027759:3027778|offset_31|444444,3027717:3027736|offset_73|00cc00,3027673:3027692|offset_117|444444,3027642:3027661|offset_148|444444&amp;v=3027558:3027861&amp;c=444444", "offset 73")</f>
        <v>offset 73</v>
      </c>
    </row>
    <row r="10775" customFormat="false" ht="12.8" hidden="false" customHeight="false" outlineLevel="0" collapsed="false">
      <c r="A10775" s="0" t="s">
        <v>12</v>
      </c>
      <c r="B10775" s="0" t="n">
        <v>3027672</v>
      </c>
      <c r="C10775" s="0" t="n">
        <v>3027692</v>
      </c>
      <c r="D10775" s="0" t="s">
        <v>35942</v>
      </c>
      <c r="E10775" s="0" t="s">
        <v>35943</v>
      </c>
      <c r="F10775" s="0" t="s">
        <v>90</v>
      </c>
      <c r="G10775" s="0" t="s">
        <v>16</v>
      </c>
      <c r="H10775" s="0" t="n">
        <v>117</v>
      </c>
      <c r="I10775" s="0" t="s">
        <v>35950</v>
      </c>
      <c r="J10775" s="0" t="s">
        <v>35951</v>
      </c>
      <c r="K10775" s="0" t="s">
        <v>35952</v>
      </c>
      <c r="L10775" s="0" t="str">
        <f aca="false">HYPERLINK("https://www.ncbi.nlm.nih.gov/nuccore/CP000304.1?report=graph&amp;tracks=[key:gene_model_track,Options:GeneOnly]&amp;mk=3027759:3027778|offset_31|444444,3027717:3027736|offset_73|444444,3027673:3027692|offset_117|00cc00,3027642:3027661|offset_148|444444&amp;v=3027558:3027861&amp;c=444444", "offset 117")</f>
        <v>offset 117</v>
      </c>
    </row>
    <row r="10776" customFormat="false" ht="12.8" hidden="false" customHeight="false" outlineLevel="0" collapsed="false">
      <c r="A10776" s="0" t="s">
        <v>12</v>
      </c>
      <c r="B10776" s="0" t="n">
        <v>3027641</v>
      </c>
      <c r="C10776" s="0" t="n">
        <v>3027661</v>
      </c>
      <c r="D10776" s="0" t="s">
        <v>35942</v>
      </c>
      <c r="E10776" s="0" t="s">
        <v>35943</v>
      </c>
      <c r="F10776" s="0" t="s">
        <v>90</v>
      </c>
      <c r="G10776" s="0" t="s">
        <v>32</v>
      </c>
      <c r="H10776" s="0" t="n">
        <v>148</v>
      </c>
      <c r="I10776" s="0" t="s">
        <v>35953</v>
      </c>
      <c r="J10776" s="0" t="s">
        <v>35954</v>
      </c>
      <c r="K10776" s="0" t="s">
        <v>35955</v>
      </c>
      <c r="L10776" s="0" t="str">
        <f aca="false">HYPERLINK("https://www.ncbi.nlm.nih.gov/nuccore/CP000304.1?report=graph&amp;tracks=[key:gene_model_track,Options:GeneOnly]&amp;mk=3027759:3027778|offset_31|444444,3027717:3027736|offset_73|444444,3027673:3027692|offset_117|444444,3027642:3027661|offset_148|00cc00&amp;v=3027558:3027861&amp;c=444444", "offset 148")</f>
        <v>offset 148</v>
      </c>
    </row>
    <row r="10777" customFormat="false" ht="12.8" hidden="false" customHeight="false" outlineLevel="0" collapsed="false">
      <c r="A10777" s="0" t="s">
        <v>12</v>
      </c>
      <c r="B10777" s="0" t="n">
        <v>3028991</v>
      </c>
      <c r="C10777" s="0" t="n">
        <v>3029011</v>
      </c>
      <c r="D10777" s="0" t="s">
        <v>35956</v>
      </c>
      <c r="E10777" s="0" t="s">
        <v>35957</v>
      </c>
      <c r="F10777" s="0" t="s">
        <v>90</v>
      </c>
      <c r="G10777" s="0" t="s">
        <v>16</v>
      </c>
      <c r="H10777" s="0" t="n">
        <v>1</v>
      </c>
      <c r="I10777" s="0" t="s">
        <v>35958</v>
      </c>
      <c r="J10777" s="0" t="s">
        <v>35959</v>
      </c>
      <c r="K10777" s="0" t="s">
        <v>35960</v>
      </c>
      <c r="L10777" s="0" t="str">
        <f aca="false">HYPERLINK("https://www.ncbi.nlm.nih.gov/nuccore/CP000304.1?report=graph&amp;tracks=[key:gene_model_track,Options:GeneOnly]&amp;mk=3028992:3029011|offset_1|00cc00,3028941:3028960|offset_52|444444,3028921:3028940|offset_72|444444,3028897:3028916|offset_96|444444&amp;v=3028791:3029116&amp;c=444444", "offset 1")</f>
        <v>offset 1</v>
      </c>
    </row>
    <row r="10778" customFormat="false" ht="12.8" hidden="false" customHeight="false" outlineLevel="0" collapsed="false">
      <c r="A10778" s="0" t="s">
        <v>12</v>
      </c>
      <c r="B10778" s="0" t="n">
        <v>3028940</v>
      </c>
      <c r="C10778" s="0" t="n">
        <v>3028960</v>
      </c>
      <c r="D10778" s="0" t="s">
        <v>35956</v>
      </c>
      <c r="E10778" s="0" t="s">
        <v>35957</v>
      </c>
      <c r="F10778" s="0" t="s">
        <v>90</v>
      </c>
      <c r="G10778" s="0" t="s">
        <v>16</v>
      </c>
      <c r="H10778" s="0" t="n">
        <v>52</v>
      </c>
      <c r="I10778" s="0" t="s">
        <v>35961</v>
      </c>
      <c r="J10778" s="0" t="s">
        <v>35962</v>
      </c>
      <c r="K10778" s="0" t="s">
        <v>35963</v>
      </c>
      <c r="L10778" s="0" t="str">
        <f aca="false">HYPERLINK("https://www.ncbi.nlm.nih.gov/nuccore/CP000304.1?report=graph&amp;tracks=[key:gene_model_track,Options:GeneOnly]&amp;mk=3028992:3029011|offset_1|444444,3028941:3028960|offset_52|00cc00,3028921:3028940|offset_72|444444,3028897:3028916|offset_96|444444&amp;v=3028791:3029116&amp;c=444444", "offset 52")</f>
        <v>offset 52</v>
      </c>
    </row>
    <row r="10779" customFormat="false" ht="12.8" hidden="false" customHeight="false" outlineLevel="0" collapsed="false">
      <c r="A10779" s="0" t="s">
        <v>12</v>
      </c>
      <c r="B10779" s="0" t="n">
        <v>3028920</v>
      </c>
      <c r="C10779" s="0" t="n">
        <v>3028940</v>
      </c>
      <c r="D10779" s="0" t="s">
        <v>35956</v>
      </c>
      <c r="E10779" s="0" t="s">
        <v>35957</v>
      </c>
      <c r="F10779" s="0" t="s">
        <v>90</v>
      </c>
      <c r="G10779" s="0" t="s">
        <v>32</v>
      </c>
      <c r="H10779" s="0" t="n">
        <v>72</v>
      </c>
      <c r="I10779" s="0" t="s">
        <v>35964</v>
      </c>
      <c r="J10779" s="0" t="s">
        <v>35965</v>
      </c>
      <c r="K10779" s="0" t="s">
        <v>35966</v>
      </c>
      <c r="L10779" s="0" t="str">
        <f aca="false">HYPERLINK("https://www.ncbi.nlm.nih.gov/nuccore/CP000304.1?report=graph&amp;tracks=[key:gene_model_track,Options:GeneOnly]&amp;mk=3028992:3029011|offset_1|444444,3028941:3028960|offset_52|444444,3028921:3028940|offset_72|00cc00,3028897:3028916|offset_96|444444&amp;v=3028791:3029116&amp;c=444444", "offset 72")</f>
        <v>offset 72</v>
      </c>
    </row>
    <row r="10780" customFormat="false" ht="12.8" hidden="false" customHeight="false" outlineLevel="0" collapsed="false">
      <c r="A10780" s="0" t="s">
        <v>12</v>
      </c>
      <c r="B10780" s="0" t="n">
        <v>3028896</v>
      </c>
      <c r="C10780" s="0" t="n">
        <v>3028916</v>
      </c>
      <c r="D10780" s="0" t="s">
        <v>35956</v>
      </c>
      <c r="E10780" s="0" t="s">
        <v>35957</v>
      </c>
      <c r="F10780" s="0" t="s">
        <v>90</v>
      </c>
      <c r="G10780" s="0" t="s">
        <v>16</v>
      </c>
      <c r="H10780" s="0" t="n">
        <v>96</v>
      </c>
      <c r="I10780" s="0" t="s">
        <v>35967</v>
      </c>
      <c r="J10780" s="0" t="s">
        <v>35968</v>
      </c>
      <c r="K10780" s="0" t="s">
        <v>35969</v>
      </c>
      <c r="L10780" s="0" t="str">
        <f aca="false">HYPERLINK("https://www.ncbi.nlm.nih.gov/nuccore/CP000304.1?report=graph&amp;tracks=[key:gene_model_track,Options:GeneOnly]&amp;mk=3028992:3029011|offset_1|444444,3028941:3028960|offset_52|444444,3028921:3028940|offset_72|444444,3028897:3028916|offset_96|00cc00&amp;v=3028791:3029116&amp;c=444444", "offset 96")</f>
        <v>offset 96</v>
      </c>
    </row>
    <row r="10781" customFormat="false" ht="12.8" hidden="false" customHeight="false" outlineLevel="0" collapsed="false">
      <c r="A10781" s="0" t="s">
        <v>12</v>
      </c>
      <c r="B10781" s="0" t="n">
        <v>3030110</v>
      </c>
      <c r="C10781" s="0" t="n">
        <v>3030130</v>
      </c>
      <c r="D10781" s="0" t="s">
        <v>35970</v>
      </c>
      <c r="E10781" s="0" t="s">
        <v>35971</v>
      </c>
      <c r="F10781" s="0" t="s">
        <v>90</v>
      </c>
      <c r="G10781" s="0" t="s">
        <v>26</v>
      </c>
      <c r="H10781" s="0" t="n">
        <v>24</v>
      </c>
      <c r="I10781" s="0" t="s">
        <v>35972</v>
      </c>
      <c r="J10781" s="0" t="s">
        <v>35973</v>
      </c>
      <c r="K10781" s="0" t="s">
        <v>35974</v>
      </c>
      <c r="L10781" s="0" t="str">
        <f aca="false">HYPERLINK("https://www.ncbi.nlm.nih.gov/nuccore/CP000304.1?report=graph&amp;tracks=[key:gene_model_track,Options:GeneOnly]&amp;mk=3030111:3030130|offset_24|00cc00,3030086:3030105|offset_49|444444,3030029:3030048|offset_106|444444,3030009:3030028|offset_126|444444&amp;v=3029910:3030228&amp;c=444444", "offset 24")</f>
        <v>offset 24</v>
      </c>
    </row>
    <row r="10782" customFormat="false" ht="12.8" hidden="false" customHeight="false" outlineLevel="0" collapsed="false">
      <c r="A10782" s="0" t="s">
        <v>12</v>
      </c>
      <c r="B10782" s="0" t="n">
        <v>3030085</v>
      </c>
      <c r="C10782" s="0" t="n">
        <v>3030105</v>
      </c>
      <c r="D10782" s="0" t="s">
        <v>35970</v>
      </c>
      <c r="E10782" s="0" t="s">
        <v>35971</v>
      </c>
      <c r="F10782" s="0" t="s">
        <v>90</v>
      </c>
      <c r="G10782" s="0" t="s">
        <v>16</v>
      </c>
      <c r="H10782" s="0" t="n">
        <v>49</v>
      </c>
      <c r="I10782" s="0" t="s">
        <v>35975</v>
      </c>
      <c r="J10782" s="0" t="s">
        <v>35976</v>
      </c>
      <c r="K10782" s="0" t="s">
        <v>35977</v>
      </c>
      <c r="L10782" s="0" t="str">
        <f aca="false">HYPERLINK("https://www.ncbi.nlm.nih.gov/nuccore/CP000304.1?report=graph&amp;tracks=[key:gene_model_track,Options:GeneOnly]&amp;mk=3030111:3030130|offset_24|444444,3030086:3030105|offset_49|00cc00,3030029:3030048|offset_106|444444,3030009:3030028|offset_126|444444&amp;v=3029910:3030228&amp;c=444444", "offset 49")</f>
        <v>offset 49</v>
      </c>
    </row>
    <row r="10783" customFormat="false" ht="12.8" hidden="false" customHeight="false" outlineLevel="0" collapsed="false">
      <c r="A10783" s="0" t="s">
        <v>12</v>
      </c>
      <c r="B10783" s="0" t="n">
        <v>3030028</v>
      </c>
      <c r="C10783" s="0" t="n">
        <v>3030048</v>
      </c>
      <c r="D10783" s="0" t="s">
        <v>35970</v>
      </c>
      <c r="E10783" s="0" t="s">
        <v>35971</v>
      </c>
      <c r="F10783" s="0" t="s">
        <v>90</v>
      </c>
      <c r="G10783" s="0" t="s">
        <v>32</v>
      </c>
      <c r="H10783" s="0" t="n">
        <v>106</v>
      </c>
      <c r="I10783" s="0" t="s">
        <v>35978</v>
      </c>
      <c r="J10783" s="0" t="s">
        <v>35979</v>
      </c>
      <c r="K10783" s="0" t="s">
        <v>35980</v>
      </c>
      <c r="L10783" s="0" t="str">
        <f aca="false">HYPERLINK("https://www.ncbi.nlm.nih.gov/nuccore/CP000304.1?report=graph&amp;tracks=[key:gene_model_track,Options:GeneOnly]&amp;mk=3030111:3030130|offset_24|444444,3030086:3030105|offset_49|444444,3030029:3030048|offset_106|00cc00,3030009:3030028|offset_126|444444&amp;v=3029910:3030228&amp;c=444444", "offset 106")</f>
        <v>offset 106</v>
      </c>
    </row>
    <row r="10784" customFormat="false" ht="12.8" hidden="false" customHeight="false" outlineLevel="0" collapsed="false">
      <c r="A10784" s="0" t="s">
        <v>12</v>
      </c>
      <c r="B10784" s="0" t="n">
        <v>3030008</v>
      </c>
      <c r="C10784" s="0" t="n">
        <v>3030028</v>
      </c>
      <c r="D10784" s="0" t="s">
        <v>35970</v>
      </c>
      <c r="E10784" s="0" t="s">
        <v>35971</v>
      </c>
      <c r="F10784" s="0" t="s">
        <v>90</v>
      </c>
      <c r="G10784" s="0" t="s">
        <v>32</v>
      </c>
      <c r="H10784" s="0" t="n">
        <v>126</v>
      </c>
      <c r="I10784" s="0" t="s">
        <v>35981</v>
      </c>
      <c r="J10784" s="0" t="s">
        <v>35982</v>
      </c>
      <c r="K10784" s="0" t="s">
        <v>35983</v>
      </c>
      <c r="L10784" s="0" t="str">
        <f aca="false">HYPERLINK("https://www.ncbi.nlm.nih.gov/nuccore/CP000304.1?report=graph&amp;tracks=[key:gene_model_track,Options:GeneOnly]&amp;mk=3030111:3030130|offset_24|444444,3030086:3030105|offset_49|444444,3030029:3030048|offset_106|444444,3030009:3030028|offset_126|00cc00&amp;v=3029910:3030228&amp;c=444444", "offset 126")</f>
        <v>offset 126</v>
      </c>
    </row>
    <row r="10785" customFormat="false" ht="12.8" hidden="false" customHeight="false" outlineLevel="0" collapsed="false">
      <c r="A10785" s="0" t="s">
        <v>12</v>
      </c>
      <c r="B10785" s="0" t="n">
        <v>3030573</v>
      </c>
      <c r="C10785" s="0" t="n">
        <v>3030593</v>
      </c>
      <c r="D10785" s="0" t="s">
        <v>35984</v>
      </c>
      <c r="E10785" s="0" t="s">
        <v>35985</v>
      </c>
      <c r="F10785" s="0" t="s">
        <v>90</v>
      </c>
      <c r="G10785" s="0" t="s">
        <v>32</v>
      </c>
      <c r="H10785" s="0" t="n">
        <v>1</v>
      </c>
      <c r="I10785" s="0" t="s">
        <v>35986</v>
      </c>
      <c r="J10785" s="0" t="s">
        <v>35987</v>
      </c>
      <c r="K10785" s="0" t="s">
        <v>35988</v>
      </c>
      <c r="L10785" s="0" t="str">
        <f aca="false">HYPERLINK("https://www.ncbi.nlm.nih.gov/nuccore/CP000304.1?report=graph&amp;tracks=[key:gene_model_track,Options:GeneOnly]&amp;mk=3030574:3030593|offset_1|00cc00,3030545:3030564|offset_30|444444,3030470:3030489|offset_105|444444,3030418:3030437|offset_157|444444&amp;v=3030373:3030637&amp;c=444444", "offset 1")</f>
        <v>offset 1</v>
      </c>
    </row>
    <row r="10786" customFormat="false" ht="12.8" hidden="false" customHeight="false" outlineLevel="0" collapsed="false">
      <c r="A10786" s="0" t="s">
        <v>12</v>
      </c>
      <c r="B10786" s="0" t="n">
        <v>3030544</v>
      </c>
      <c r="C10786" s="0" t="n">
        <v>3030564</v>
      </c>
      <c r="D10786" s="0" t="s">
        <v>35984</v>
      </c>
      <c r="E10786" s="0" t="s">
        <v>35985</v>
      </c>
      <c r="F10786" s="0" t="s">
        <v>90</v>
      </c>
      <c r="G10786" s="0" t="s">
        <v>36</v>
      </c>
      <c r="H10786" s="0" t="n">
        <v>30</v>
      </c>
      <c r="I10786" s="0" t="s">
        <v>35989</v>
      </c>
      <c r="J10786" s="0" t="s">
        <v>35990</v>
      </c>
      <c r="K10786" s="0" t="s">
        <v>35991</v>
      </c>
      <c r="L10786" s="0" t="str">
        <f aca="false">HYPERLINK("https://www.ncbi.nlm.nih.gov/nuccore/CP000304.1?report=graph&amp;tracks=[key:gene_model_track,Options:GeneOnly]&amp;mk=3030574:3030593|offset_1|444444,3030545:3030564|offset_30|00cc00,3030470:3030489|offset_105|444444,3030418:3030437|offset_157|444444&amp;v=3030373:3030637&amp;c=444444", "offset 30")</f>
        <v>offset 30</v>
      </c>
    </row>
    <row r="10787" customFormat="false" ht="12.8" hidden="false" customHeight="false" outlineLevel="0" collapsed="false">
      <c r="A10787" s="0" t="s">
        <v>12</v>
      </c>
      <c r="B10787" s="0" t="n">
        <v>3030469</v>
      </c>
      <c r="C10787" s="0" t="n">
        <v>3030489</v>
      </c>
      <c r="D10787" s="0" t="s">
        <v>35984</v>
      </c>
      <c r="E10787" s="0" t="s">
        <v>35985</v>
      </c>
      <c r="F10787" s="0" t="s">
        <v>90</v>
      </c>
      <c r="G10787" s="0" t="s">
        <v>16</v>
      </c>
      <c r="H10787" s="0" t="n">
        <v>105</v>
      </c>
      <c r="I10787" s="0" t="s">
        <v>35992</v>
      </c>
      <c r="J10787" s="0" t="s">
        <v>35993</v>
      </c>
      <c r="K10787" s="0" t="s">
        <v>35994</v>
      </c>
      <c r="L10787" s="0" t="str">
        <f aca="false">HYPERLINK("https://www.ncbi.nlm.nih.gov/nuccore/CP000304.1?report=graph&amp;tracks=[key:gene_model_track,Options:GeneOnly]&amp;mk=3030574:3030593|offset_1|444444,3030545:3030564|offset_30|444444,3030470:3030489|offset_105|00cc00,3030418:3030437|offset_157|444444&amp;v=3030373:3030637&amp;c=444444", "offset 105")</f>
        <v>offset 105</v>
      </c>
    </row>
    <row r="10788" customFormat="false" ht="12.8" hidden="false" customHeight="false" outlineLevel="0" collapsed="false">
      <c r="A10788" s="0" t="s">
        <v>12</v>
      </c>
      <c r="B10788" s="0" t="n">
        <v>3030417</v>
      </c>
      <c r="C10788" s="0" t="n">
        <v>3030437</v>
      </c>
      <c r="D10788" s="0" t="s">
        <v>35984</v>
      </c>
      <c r="E10788" s="0" t="s">
        <v>35985</v>
      </c>
      <c r="F10788" s="0" t="s">
        <v>90</v>
      </c>
      <c r="G10788" s="0" t="s">
        <v>26</v>
      </c>
      <c r="H10788" s="0" t="n">
        <v>157</v>
      </c>
      <c r="I10788" s="0" t="s">
        <v>35995</v>
      </c>
      <c r="J10788" s="0" t="s">
        <v>35996</v>
      </c>
      <c r="K10788" s="0" t="s">
        <v>35997</v>
      </c>
      <c r="L10788" s="0" t="str">
        <f aca="false">HYPERLINK("https://www.ncbi.nlm.nih.gov/nuccore/CP000304.1?report=graph&amp;tracks=[key:gene_model_track,Options:GeneOnly]&amp;mk=3030574:3030593|offset_1|444444,3030545:3030564|offset_30|444444,3030470:3030489|offset_105|444444,3030418:3030437|offset_157|00cc00&amp;v=3030373:3030637&amp;c=444444", "offset 157")</f>
        <v>offset 157</v>
      </c>
    </row>
    <row r="10789" customFormat="false" ht="12.8" hidden="false" customHeight="false" outlineLevel="0" collapsed="false">
      <c r="A10789" s="0" t="s">
        <v>12</v>
      </c>
      <c r="B10789" s="0" t="n">
        <v>3031250</v>
      </c>
      <c r="C10789" s="0" t="n">
        <v>3031270</v>
      </c>
      <c r="D10789" s="0" t="s">
        <v>35998</v>
      </c>
      <c r="E10789" s="0" t="s">
        <v>35999</v>
      </c>
      <c r="F10789" s="0" t="s">
        <v>90</v>
      </c>
      <c r="G10789" s="0" t="s">
        <v>32</v>
      </c>
      <c r="H10789" s="0" t="n">
        <v>1</v>
      </c>
      <c r="I10789" s="0" t="s">
        <v>36000</v>
      </c>
      <c r="J10789" s="0" t="s">
        <v>36001</v>
      </c>
      <c r="K10789" s="0" t="s">
        <v>36002</v>
      </c>
      <c r="L10789" s="0" t="str">
        <f aca="false">HYPERLINK("https://www.ncbi.nlm.nih.gov/nuccore/CP000304.1?report=graph&amp;tracks=[key:gene_model_track,Options:GeneOnly]&amp;mk=3031251:3031270|offset_1|00cc00,3031176:3031195|offset_76|444444,3031131:3031150|offset_121|444444,3031077:3031096|offset_175|444444&amp;v=3031050:3031296&amp;c=444444", "offset 1")</f>
        <v>offset 1</v>
      </c>
    </row>
    <row r="10790" customFormat="false" ht="12.8" hidden="false" customHeight="false" outlineLevel="0" collapsed="false">
      <c r="A10790" s="0" t="s">
        <v>12</v>
      </c>
      <c r="B10790" s="0" t="n">
        <v>3031175</v>
      </c>
      <c r="C10790" s="0" t="n">
        <v>3031195</v>
      </c>
      <c r="D10790" s="0" t="s">
        <v>35998</v>
      </c>
      <c r="E10790" s="0" t="s">
        <v>35999</v>
      </c>
      <c r="F10790" s="0" t="s">
        <v>90</v>
      </c>
      <c r="G10790" s="0" t="s">
        <v>26</v>
      </c>
      <c r="H10790" s="0" t="n">
        <v>76</v>
      </c>
      <c r="I10790" s="0" t="s">
        <v>36003</v>
      </c>
      <c r="J10790" s="0" t="s">
        <v>36004</v>
      </c>
      <c r="K10790" s="0" t="s">
        <v>36005</v>
      </c>
      <c r="L10790" s="0" t="str">
        <f aca="false">HYPERLINK("https://www.ncbi.nlm.nih.gov/nuccore/CP000304.1?report=graph&amp;tracks=[key:gene_model_track,Options:GeneOnly]&amp;mk=3031251:3031270|offset_1|444444,3031176:3031195|offset_76|00cc00,3031131:3031150|offset_121|444444,3031077:3031096|offset_175|444444&amp;v=3031050:3031296&amp;c=444444", "offset 76")</f>
        <v>offset 76</v>
      </c>
    </row>
    <row r="10791" customFormat="false" ht="12.8" hidden="false" customHeight="false" outlineLevel="0" collapsed="false">
      <c r="A10791" s="0" t="s">
        <v>12</v>
      </c>
      <c r="B10791" s="0" t="n">
        <v>3031130</v>
      </c>
      <c r="C10791" s="0" t="n">
        <v>3031150</v>
      </c>
      <c r="D10791" s="0" t="s">
        <v>35998</v>
      </c>
      <c r="E10791" s="0" t="s">
        <v>35999</v>
      </c>
      <c r="F10791" s="0" t="s">
        <v>90</v>
      </c>
      <c r="G10791" s="0" t="s">
        <v>32</v>
      </c>
      <c r="H10791" s="0" t="n">
        <v>121</v>
      </c>
      <c r="I10791" s="0" t="s">
        <v>36006</v>
      </c>
      <c r="J10791" s="0" t="s">
        <v>36007</v>
      </c>
      <c r="K10791" s="0" t="s">
        <v>36008</v>
      </c>
      <c r="L10791" s="0" t="str">
        <f aca="false">HYPERLINK("https://www.ncbi.nlm.nih.gov/nuccore/CP000304.1?report=graph&amp;tracks=[key:gene_model_track,Options:GeneOnly]&amp;mk=3031251:3031270|offset_1|444444,3031176:3031195|offset_76|444444,3031131:3031150|offset_121|00cc00,3031077:3031096|offset_175|444444&amp;v=3031050:3031296&amp;c=444444", "offset 121")</f>
        <v>offset 121</v>
      </c>
    </row>
    <row r="10792" customFormat="false" ht="12.8" hidden="false" customHeight="false" outlineLevel="0" collapsed="false">
      <c r="A10792" s="0" t="s">
        <v>12</v>
      </c>
      <c r="B10792" s="0" t="n">
        <v>3031076</v>
      </c>
      <c r="C10792" s="0" t="n">
        <v>3031096</v>
      </c>
      <c r="D10792" s="0" t="s">
        <v>35998</v>
      </c>
      <c r="E10792" s="0" t="s">
        <v>35999</v>
      </c>
      <c r="F10792" s="0" t="s">
        <v>90</v>
      </c>
      <c r="G10792" s="0" t="s">
        <v>32</v>
      </c>
      <c r="H10792" s="0" t="n">
        <v>175</v>
      </c>
      <c r="I10792" s="0" t="s">
        <v>36009</v>
      </c>
      <c r="J10792" s="0" t="s">
        <v>36010</v>
      </c>
      <c r="K10792" s="0" t="s">
        <v>36011</v>
      </c>
      <c r="L10792" s="0" t="str">
        <f aca="false">HYPERLINK("https://www.ncbi.nlm.nih.gov/nuccore/CP000304.1?report=graph&amp;tracks=[key:gene_model_track,Options:GeneOnly]&amp;mk=3031251:3031270|offset_1|444444,3031176:3031195|offset_76|444444,3031131:3031150|offset_121|444444,3031077:3031096|offset_175|00cc00&amp;v=3031050:3031296&amp;c=444444", "offset 175")</f>
        <v>offset 175</v>
      </c>
    </row>
    <row r="10793" customFormat="false" ht="12.8" hidden="false" customHeight="false" outlineLevel="0" collapsed="false">
      <c r="A10793" s="0" t="s">
        <v>12</v>
      </c>
      <c r="B10793" s="0" t="n">
        <v>3031733</v>
      </c>
      <c r="C10793" s="0" t="n">
        <v>3031753</v>
      </c>
      <c r="D10793" s="0" t="s">
        <v>36012</v>
      </c>
      <c r="E10793" s="0" t="s">
        <v>89</v>
      </c>
      <c r="F10793" s="0" t="s">
        <v>90</v>
      </c>
      <c r="G10793" s="0" t="s">
        <v>16</v>
      </c>
      <c r="H10793" s="0" t="n">
        <v>18</v>
      </c>
      <c r="I10793" s="0" t="s">
        <v>36013</v>
      </c>
      <c r="J10793" s="0" t="s">
        <v>36014</v>
      </c>
      <c r="K10793" s="0" t="s">
        <v>36015</v>
      </c>
      <c r="L10793" s="0" t="str">
        <f aca="false">HYPERLINK("https://www.ncbi.nlm.nih.gov/nuccore/CP000304.1?report=graph&amp;tracks=[key:gene_model_track,Options:GeneOnly]&amp;mk=3031734:3031753|offset_18|00cc00,3031709:3031728|offset_43|444444,3031687:3031706|offset_65|444444,3031661:3031680|offset_91|444444&amp;v=3031533:3031880&amp;c=444444", "offset 18")</f>
        <v>offset 18</v>
      </c>
    </row>
    <row r="10794" customFormat="false" ht="12.8" hidden="false" customHeight="false" outlineLevel="0" collapsed="false">
      <c r="A10794" s="0" t="s">
        <v>12</v>
      </c>
      <c r="B10794" s="0" t="n">
        <v>3031708</v>
      </c>
      <c r="C10794" s="0" t="n">
        <v>3031728</v>
      </c>
      <c r="D10794" s="0" t="s">
        <v>36012</v>
      </c>
      <c r="E10794" s="0" t="s">
        <v>89</v>
      </c>
      <c r="F10794" s="0" t="s">
        <v>90</v>
      </c>
      <c r="G10794" s="0" t="s">
        <v>16</v>
      </c>
      <c r="H10794" s="0" t="n">
        <v>43</v>
      </c>
      <c r="I10794" s="0" t="s">
        <v>36016</v>
      </c>
      <c r="J10794" s="0" t="s">
        <v>36017</v>
      </c>
      <c r="K10794" s="0" t="s">
        <v>36018</v>
      </c>
      <c r="L10794" s="0" t="str">
        <f aca="false">HYPERLINK("https://www.ncbi.nlm.nih.gov/nuccore/CP000304.1?report=graph&amp;tracks=[key:gene_model_track,Options:GeneOnly]&amp;mk=3031734:3031753|offset_18|444444,3031709:3031728|offset_43|00cc00,3031687:3031706|offset_65|444444,3031661:3031680|offset_91|444444&amp;v=3031533:3031880&amp;c=444444", "offset 43")</f>
        <v>offset 43</v>
      </c>
    </row>
    <row r="10795" customFormat="false" ht="12.8" hidden="false" customHeight="false" outlineLevel="0" collapsed="false">
      <c r="A10795" s="0" t="s">
        <v>12</v>
      </c>
      <c r="B10795" s="0" t="n">
        <v>3031686</v>
      </c>
      <c r="C10795" s="0" t="n">
        <v>3031706</v>
      </c>
      <c r="D10795" s="0" t="s">
        <v>36012</v>
      </c>
      <c r="E10795" s="0" t="s">
        <v>89</v>
      </c>
      <c r="F10795" s="0" t="s">
        <v>90</v>
      </c>
      <c r="G10795" s="0" t="s">
        <v>16</v>
      </c>
      <c r="H10795" s="0" t="n">
        <v>65</v>
      </c>
      <c r="I10795" s="0" t="s">
        <v>36019</v>
      </c>
      <c r="J10795" s="0" t="s">
        <v>36020</v>
      </c>
      <c r="K10795" s="0" t="s">
        <v>36021</v>
      </c>
      <c r="L10795" s="0" t="str">
        <f aca="false">HYPERLINK("https://www.ncbi.nlm.nih.gov/nuccore/CP000304.1?report=graph&amp;tracks=[key:gene_model_track,Options:GeneOnly]&amp;mk=3031734:3031753|offset_18|444444,3031709:3031728|offset_43|444444,3031687:3031706|offset_65|00cc00,3031661:3031680|offset_91|444444&amp;v=3031533:3031880&amp;c=444444", "offset 65")</f>
        <v>offset 65</v>
      </c>
    </row>
    <row r="10796" customFormat="false" ht="12.8" hidden="false" customHeight="false" outlineLevel="0" collapsed="false">
      <c r="A10796" s="0" t="s">
        <v>12</v>
      </c>
      <c r="B10796" s="0" t="n">
        <v>3031660</v>
      </c>
      <c r="C10796" s="0" t="n">
        <v>3031680</v>
      </c>
      <c r="D10796" s="0" t="s">
        <v>36012</v>
      </c>
      <c r="E10796" s="0" t="s">
        <v>89</v>
      </c>
      <c r="F10796" s="0" t="s">
        <v>90</v>
      </c>
      <c r="G10796" s="0" t="s">
        <v>16</v>
      </c>
      <c r="H10796" s="0" t="n">
        <v>91</v>
      </c>
      <c r="I10796" s="0" t="s">
        <v>36022</v>
      </c>
      <c r="J10796" s="0" t="s">
        <v>36023</v>
      </c>
      <c r="K10796" s="0" t="s">
        <v>36024</v>
      </c>
      <c r="L10796" s="0" t="str">
        <f aca="false">HYPERLINK("https://www.ncbi.nlm.nih.gov/nuccore/CP000304.1?report=graph&amp;tracks=[key:gene_model_track,Options:GeneOnly]&amp;mk=3031734:3031753|offset_18|444444,3031709:3031728|offset_43|444444,3031687:3031706|offset_65|444444,3031661:3031680|offset_91|00cc00&amp;v=3031533:3031880&amp;c=444444", "offset 91")</f>
        <v>offset 91</v>
      </c>
    </row>
    <row r="10797" customFormat="false" ht="12.8" hidden="false" customHeight="false" outlineLevel="0" collapsed="false">
      <c r="A10797" s="0" t="s">
        <v>12</v>
      </c>
      <c r="B10797" s="0" t="n">
        <v>3032827</v>
      </c>
      <c r="C10797" s="0" t="n">
        <v>3032847</v>
      </c>
      <c r="D10797" s="0" t="s">
        <v>36025</v>
      </c>
      <c r="E10797" s="0" t="s">
        <v>36026</v>
      </c>
      <c r="F10797" s="0" t="s">
        <v>90</v>
      </c>
      <c r="G10797" s="0" t="s">
        <v>32</v>
      </c>
      <c r="H10797" s="0" t="n">
        <v>1</v>
      </c>
      <c r="I10797" s="0" t="s">
        <v>36027</v>
      </c>
      <c r="J10797" s="0" t="s">
        <v>36028</v>
      </c>
      <c r="K10797" s="0" t="s">
        <v>36029</v>
      </c>
      <c r="L10797" s="0" t="str">
        <f aca="false">HYPERLINK("https://www.ncbi.nlm.nih.gov/nuccore/CP000304.1?report=graph&amp;tracks=[key:gene_model_track,Options:GeneOnly]&amp;mk=3032828:3032847|offset_1|00cc00,3032798:3032817|offset_31|444444,3032762:3032781|offset_67|444444,3032728:3032747|offset_101|444444&amp;v=3032627:3032947&amp;c=444444", "offset 1")</f>
        <v>offset 1</v>
      </c>
    </row>
    <row r="10798" customFormat="false" ht="12.8" hidden="false" customHeight="false" outlineLevel="0" collapsed="false">
      <c r="A10798" s="0" t="s">
        <v>12</v>
      </c>
      <c r="B10798" s="0" t="n">
        <v>3032797</v>
      </c>
      <c r="C10798" s="0" t="n">
        <v>3032817</v>
      </c>
      <c r="D10798" s="0" t="s">
        <v>36025</v>
      </c>
      <c r="E10798" s="0" t="s">
        <v>36026</v>
      </c>
      <c r="F10798" s="0" t="s">
        <v>90</v>
      </c>
      <c r="G10798" s="0" t="s">
        <v>32</v>
      </c>
      <c r="H10798" s="0" t="n">
        <v>31</v>
      </c>
      <c r="I10798" s="0" t="s">
        <v>36030</v>
      </c>
      <c r="J10798" s="0" t="s">
        <v>36031</v>
      </c>
      <c r="K10798" s="0" t="s">
        <v>36032</v>
      </c>
      <c r="L10798" s="0" t="str">
        <f aca="false">HYPERLINK("https://www.ncbi.nlm.nih.gov/nuccore/CP000304.1?report=graph&amp;tracks=[key:gene_model_track,Options:GeneOnly]&amp;mk=3032828:3032847|offset_1|444444,3032798:3032817|offset_31|00cc00,3032762:3032781|offset_67|444444,3032728:3032747|offset_101|444444&amp;v=3032627:3032947&amp;c=444444", "offset 31")</f>
        <v>offset 31</v>
      </c>
    </row>
    <row r="10799" customFormat="false" ht="12.8" hidden="false" customHeight="false" outlineLevel="0" collapsed="false">
      <c r="A10799" s="0" t="s">
        <v>12</v>
      </c>
      <c r="B10799" s="0" t="n">
        <v>3032761</v>
      </c>
      <c r="C10799" s="0" t="n">
        <v>3032781</v>
      </c>
      <c r="D10799" s="0" t="s">
        <v>36025</v>
      </c>
      <c r="E10799" s="0" t="s">
        <v>36026</v>
      </c>
      <c r="F10799" s="0" t="s">
        <v>90</v>
      </c>
      <c r="G10799" s="0" t="s">
        <v>32</v>
      </c>
      <c r="H10799" s="0" t="n">
        <v>67</v>
      </c>
      <c r="I10799" s="0" t="s">
        <v>36033</v>
      </c>
      <c r="J10799" s="0" t="s">
        <v>36034</v>
      </c>
      <c r="K10799" s="0" t="s">
        <v>36035</v>
      </c>
      <c r="L10799" s="0" t="str">
        <f aca="false">HYPERLINK("https://www.ncbi.nlm.nih.gov/nuccore/CP000304.1?report=graph&amp;tracks=[key:gene_model_track,Options:GeneOnly]&amp;mk=3032828:3032847|offset_1|444444,3032798:3032817|offset_31|444444,3032762:3032781|offset_67|00cc00,3032728:3032747|offset_101|444444&amp;v=3032627:3032947&amp;c=444444", "offset 67")</f>
        <v>offset 67</v>
      </c>
    </row>
    <row r="10800" customFormat="false" ht="12.8" hidden="false" customHeight="false" outlineLevel="0" collapsed="false">
      <c r="A10800" s="0" t="s">
        <v>12</v>
      </c>
      <c r="B10800" s="0" t="n">
        <v>3032727</v>
      </c>
      <c r="C10800" s="0" t="n">
        <v>3032747</v>
      </c>
      <c r="D10800" s="0" t="s">
        <v>36025</v>
      </c>
      <c r="E10800" s="0" t="s">
        <v>36026</v>
      </c>
      <c r="F10800" s="0" t="s">
        <v>90</v>
      </c>
      <c r="G10800" s="0" t="s">
        <v>32</v>
      </c>
      <c r="H10800" s="0" t="n">
        <v>101</v>
      </c>
      <c r="I10800" s="0" t="s">
        <v>36036</v>
      </c>
      <c r="J10800" s="0" t="s">
        <v>36037</v>
      </c>
      <c r="K10800" s="0" t="s">
        <v>36038</v>
      </c>
      <c r="L10800" s="0" t="str">
        <f aca="false">HYPERLINK("https://www.ncbi.nlm.nih.gov/nuccore/CP000304.1?report=graph&amp;tracks=[key:gene_model_track,Options:GeneOnly]&amp;mk=3032828:3032847|offset_1|444444,3032798:3032817|offset_31|444444,3032762:3032781|offset_67|444444,3032728:3032747|offset_101|00cc00&amp;v=3032627:3032947&amp;c=444444", "offset 101")</f>
        <v>offset 101</v>
      </c>
    </row>
    <row r="10801" customFormat="false" ht="12.8" hidden="false" customHeight="false" outlineLevel="0" collapsed="false">
      <c r="A10801" s="0" t="s">
        <v>12</v>
      </c>
      <c r="B10801" s="0" t="n">
        <v>3033395</v>
      </c>
      <c r="C10801" s="0" t="n">
        <v>3033415</v>
      </c>
      <c r="D10801" s="0" t="s">
        <v>36039</v>
      </c>
      <c r="E10801" s="0" t="s">
        <v>36040</v>
      </c>
      <c r="F10801" s="0" t="s">
        <v>90</v>
      </c>
      <c r="G10801" s="0" t="s">
        <v>16</v>
      </c>
      <c r="H10801" s="0" t="n">
        <v>42</v>
      </c>
      <c r="I10801" s="0" t="s">
        <v>36041</v>
      </c>
      <c r="J10801" s="0" t="s">
        <v>36042</v>
      </c>
      <c r="K10801" s="0" t="s">
        <v>36043</v>
      </c>
      <c r="L10801" s="0" t="str">
        <f aca="false">HYPERLINK("https://www.ncbi.nlm.nih.gov/nuccore/CP000304.1?report=graph&amp;tracks=[key:gene_model_track,Options:GeneOnly]&amp;mk=3033396:3033415|offset_42|00cc00,3033345:3033364|offset_93|444444,3033325:3033344|offset_113|444444,3033290:3033309|offset_148|444444&amp;v=3033195:3033509&amp;c=444444", "offset 42")</f>
        <v>offset 42</v>
      </c>
    </row>
    <row r="10802" customFormat="false" ht="12.8" hidden="false" customHeight="false" outlineLevel="0" collapsed="false">
      <c r="A10802" s="0" t="s">
        <v>12</v>
      </c>
      <c r="B10802" s="0" t="n">
        <v>3033344</v>
      </c>
      <c r="C10802" s="0" t="n">
        <v>3033364</v>
      </c>
      <c r="D10802" s="0" t="s">
        <v>36039</v>
      </c>
      <c r="E10802" s="0" t="s">
        <v>36040</v>
      </c>
      <c r="F10802" s="0" t="s">
        <v>90</v>
      </c>
      <c r="G10802" s="0" t="s">
        <v>16</v>
      </c>
      <c r="H10802" s="0" t="n">
        <v>93</v>
      </c>
      <c r="I10802" s="0" t="s">
        <v>36044</v>
      </c>
      <c r="J10802" s="0" t="s">
        <v>36045</v>
      </c>
      <c r="K10802" s="0" t="s">
        <v>36046</v>
      </c>
      <c r="L10802" s="0" t="str">
        <f aca="false">HYPERLINK("https://www.ncbi.nlm.nih.gov/nuccore/CP000304.1?report=graph&amp;tracks=[key:gene_model_track,Options:GeneOnly]&amp;mk=3033396:3033415|offset_42|444444,3033345:3033364|offset_93|00cc00,3033325:3033344|offset_113|444444,3033290:3033309|offset_148|444444&amp;v=3033195:3033509&amp;c=444444", "offset 93")</f>
        <v>offset 93</v>
      </c>
    </row>
    <row r="10803" customFormat="false" ht="12.8" hidden="false" customHeight="false" outlineLevel="0" collapsed="false">
      <c r="A10803" s="0" t="s">
        <v>12</v>
      </c>
      <c r="B10803" s="0" t="n">
        <v>3033324</v>
      </c>
      <c r="C10803" s="0" t="n">
        <v>3033344</v>
      </c>
      <c r="D10803" s="0" t="s">
        <v>36039</v>
      </c>
      <c r="E10803" s="0" t="s">
        <v>36040</v>
      </c>
      <c r="F10803" s="0" t="s">
        <v>90</v>
      </c>
      <c r="G10803" s="0" t="s">
        <v>26</v>
      </c>
      <c r="H10803" s="0" t="n">
        <v>113</v>
      </c>
      <c r="I10803" s="0" t="s">
        <v>36047</v>
      </c>
      <c r="J10803" s="0" t="s">
        <v>36048</v>
      </c>
      <c r="K10803" s="0" t="s">
        <v>36049</v>
      </c>
      <c r="L10803" s="0" t="str">
        <f aca="false">HYPERLINK("https://www.ncbi.nlm.nih.gov/nuccore/CP000304.1?report=graph&amp;tracks=[key:gene_model_track,Options:GeneOnly]&amp;mk=3033396:3033415|offset_42|444444,3033345:3033364|offset_93|444444,3033325:3033344|offset_113|00cc00,3033290:3033309|offset_148|444444&amp;v=3033195:3033509&amp;c=444444", "offset 113")</f>
        <v>offset 113</v>
      </c>
    </row>
    <row r="10804" customFormat="false" ht="12.8" hidden="false" customHeight="false" outlineLevel="0" collapsed="false">
      <c r="A10804" s="0" t="s">
        <v>12</v>
      </c>
      <c r="B10804" s="0" t="n">
        <v>3033289</v>
      </c>
      <c r="C10804" s="0" t="n">
        <v>3033309</v>
      </c>
      <c r="D10804" s="0" t="s">
        <v>36039</v>
      </c>
      <c r="E10804" s="0" t="s">
        <v>36040</v>
      </c>
      <c r="F10804" s="0" t="s">
        <v>90</v>
      </c>
      <c r="G10804" s="0" t="s">
        <v>36</v>
      </c>
      <c r="H10804" s="0" t="n">
        <v>148</v>
      </c>
      <c r="I10804" s="0" t="s">
        <v>36050</v>
      </c>
      <c r="J10804" s="0" t="s">
        <v>36051</v>
      </c>
      <c r="K10804" s="0" t="s">
        <v>36052</v>
      </c>
      <c r="L10804" s="0" t="str">
        <f aca="false">HYPERLINK("https://www.ncbi.nlm.nih.gov/nuccore/CP000304.1?report=graph&amp;tracks=[key:gene_model_track,Options:GeneOnly]&amp;mk=3033396:3033415|offset_42|444444,3033345:3033364|offset_93|444444,3033325:3033344|offset_113|444444,3033290:3033309|offset_148|00cc00&amp;v=3033195:3033509&amp;c=444444", "offset 148")</f>
        <v>offset 148</v>
      </c>
    </row>
    <row r="10805" customFormat="false" ht="12.8" hidden="false" customHeight="false" outlineLevel="0" collapsed="false">
      <c r="A10805" s="0" t="s">
        <v>12</v>
      </c>
      <c r="B10805" s="0" t="n">
        <v>3033995</v>
      </c>
      <c r="C10805" s="0" t="n">
        <v>3034015</v>
      </c>
      <c r="D10805" s="0" t="s">
        <v>36053</v>
      </c>
      <c r="E10805" s="0" t="s">
        <v>36054</v>
      </c>
      <c r="F10805" s="0" t="s">
        <v>90</v>
      </c>
      <c r="G10805" s="0" t="s">
        <v>16</v>
      </c>
      <c r="H10805" s="0" t="n">
        <v>27</v>
      </c>
      <c r="I10805" s="0" t="s">
        <v>36055</v>
      </c>
      <c r="J10805" s="0" t="s">
        <v>36056</v>
      </c>
      <c r="K10805" s="0" t="s">
        <v>36057</v>
      </c>
      <c r="L10805" s="0" t="str">
        <f aca="false">HYPERLINK("https://www.ncbi.nlm.nih.gov/nuccore/CP000304.1?report=graph&amp;tracks=[key:gene_model_track,Options:GeneOnly]&amp;mk=3033996:3034015|offset_27|00cc00,3033964:3033983|offset_59|444444,3033914:3033933|offset_109|444444,3033881:3033900|offset_142|444444&amp;v=3033795:3034100&amp;c=444444", "offset 27")</f>
        <v>offset 27</v>
      </c>
    </row>
    <row r="10806" customFormat="false" ht="12.8" hidden="false" customHeight="false" outlineLevel="0" collapsed="false">
      <c r="A10806" s="0" t="s">
        <v>12</v>
      </c>
      <c r="B10806" s="0" t="n">
        <v>3033963</v>
      </c>
      <c r="C10806" s="0" t="n">
        <v>3033983</v>
      </c>
      <c r="D10806" s="0" t="s">
        <v>36053</v>
      </c>
      <c r="E10806" s="0" t="s">
        <v>36054</v>
      </c>
      <c r="F10806" s="0" t="s">
        <v>90</v>
      </c>
      <c r="G10806" s="0" t="s">
        <v>16</v>
      </c>
      <c r="H10806" s="0" t="n">
        <v>59</v>
      </c>
      <c r="I10806" s="0" t="s">
        <v>36058</v>
      </c>
      <c r="J10806" s="0" t="s">
        <v>36059</v>
      </c>
      <c r="K10806" s="0" t="s">
        <v>36060</v>
      </c>
      <c r="L10806" s="0" t="str">
        <f aca="false">HYPERLINK("https://www.ncbi.nlm.nih.gov/nuccore/CP000304.1?report=graph&amp;tracks=[key:gene_model_track,Options:GeneOnly]&amp;mk=3033996:3034015|offset_27|444444,3033964:3033983|offset_59|00cc00,3033914:3033933|offset_109|444444,3033881:3033900|offset_142|444444&amp;v=3033795:3034100&amp;c=444444", "offset 59")</f>
        <v>offset 59</v>
      </c>
    </row>
    <row r="10807" customFormat="false" ht="12.8" hidden="false" customHeight="false" outlineLevel="0" collapsed="false">
      <c r="A10807" s="0" t="s">
        <v>12</v>
      </c>
      <c r="B10807" s="0" t="n">
        <v>3033913</v>
      </c>
      <c r="C10807" s="0" t="n">
        <v>3033933</v>
      </c>
      <c r="D10807" s="0" t="s">
        <v>36053</v>
      </c>
      <c r="E10807" s="0" t="s">
        <v>36054</v>
      </c>
      <c r="F10807" s="0" t="s">
        <v>90</v>
      </c>
      <c r="G10807" s="0" t="s">
        <v>16</v>
      </c>
      <c r="H10807" s="0" t="n">
        <v>109</v>
      </c>
      <c r="I10807" s="0" t="s">
        <v>36061</v>
      </c>
      <c r="J10807" s="0" t="s">
        <v>36062</v>
      </c>
      <c r="K10807" s="0" t="s">
        <v>36063</v>
      </c>
      <c r="L10807" s="0" t="str">
        <f aca="false">HYPERLINK("https://www.ncbi.nlm.nih.gov/nuccore/CP000304.1?report=graph&amp;tracks=[key:gene_model_track,Options:GeneOnly]&amp;mk=3033996:3034015|offset_27|444444,3033964:3033983|offset_59|444444,3033914:3033933|offset_109|00cc00,3033881:3033900|offset_142|444444&amp;v=3033795:3034100&amp;c=444444", "offset 109")</f>
        <v>offset 109</v>
      </c>
    </row>
    <row r="10808" customFormat="false" ht="12.8" hidden="false" customHeight="false" outlineLevel="0" collapsed="false">
      <c r="A10808" s="0" t="s">
        <v>12</v>
      </c>
      <c r="B10808" s="0" t="n">
        <v>3033880</v>
      </c>
      <c r="C10808" s="0" t="n">
        <v>3033900</v>
      </c>
      <c r="D10808" s="0" t="s">
        <v>36053</v>
      </c>
      <c r="E10808" s="0" t="s">
        <v>36054</v>
      </c>
      <c r="F10808" s="0" t="s">
        <v>90</v>
      </c>
      <c r="G10808" s="0" t="s">
        <v>16</v>
      </c>
      <c r="H10808" s="0" t="n">
        <v>142</v>
      </c>
      <c r="I10808" s="0" t="s">
        <v>36064</v>
      </c>
      <c r="J10808" s="0" t="s">
        <v>36065</v>
      </c>
      <c r="K10808" s="0" t="s">
        <v>36066</v>
      </c>
      <c r="L10808" s="0" t="str">
        <f aca="false">HYPERLINK("https://www.ncbi.nlm.nih.gov/nuccore/CP000304.1?report=graph&amp;tracks=[key:gene_model_track,Options:GeneOnly]&amp;mk=3033996:3034015|offset_27|444444,3033964:3033983|offset_59|444444,3033914:3033933|offset_109|444444,3033881:3033900|offset_142|00cc00&amp;v=3033795:3034100&amp;c=444444", "offset 142")</f>
        <v>offset 142</v>
      </c>
    </row>
    <row r="10809" customFormat="false" ht="12.8" hidden="false" customHeight="false" outlineLevel="0" collapsed="false">
      <c r="A10809" s="0" t="s">
        <v>12</v>
      </c>
      <c r="B10809" s="0" t="n">
        <v>3034908</v>
      </c>
      <c r="C10809" s="0" t="n">
        <v>3034928</v>
      </c>
      <c r="D10809" s="0" t="s">
        <v>36067</v>
      </c>
      <c r="E10809" s="0" t="s">
        <v>89</v>
      </c>
      <c r="F10809" s="0" t="s">
        <v>90</v>
      </c>
      <c r="G10809" s="0" t="s">
        <v>32</v>
      </c>
      <c r="H10809" s="0" t="n">
        <v>25</v>
      </c>
      <c r="I10809" s="0" t="s">
        <v>36068</v>
      </c>
      <c r="J10809" s="0" t="s">
        <v>36069</v>
      </c>
      <c r="K10809" s="0" t="s">
        <v>36070</v>
      </c>
      <c r="L10809" s="0" t="str">
        <f aca="false">HYPERLINK("https://www.ncbi.nlm.nih.gov/nuccore/CP000304.1?report=graph&amp;tracks=[key:gene_model_track,Options:GeneOnly]&amp;mk=3034909:3034928|offset_25|00cc00,3034884:3034903|offset_50|444444,3034845:3034864|offset_89|444444,3034825:3034844|offset_109|444444&amp;v=3034708:3035044&amp;c=444444", "offset 25")</f>
        <v>offset 25</v>
      </c>
    </row>
    <row r="10810" customFormat="false" ht="12.8" hidden="false" customHeight="false" outlineLevel="0" collapsed="false">
      <c r="A10810" s="0" t="s">
        <v>12</v>
      </c>
      <c r="B10810" s="0" t="n">
        <v>3034883</v>
      </c>
      <c r="C10810" s="0" t="n">
        <v>3034903</v>
      </c>
      <c r="D10810" s="0" t="s">
        <v>36067</v>
      </c>
      <c r="E10810" s="0" t="s">
        <v>89</v>
      </c>
      <c r="F10810" s="0" t="s">
        <v>90</v>
      </c>
      <c r="G10810" s="0" t="s">
        <v>32</v>
      </c>
      <c r="H10810" s="0" t="n">
        <v>50</v>
      </c>
      <c r="I10810" s="0" t="s">
        <v>36071</v>
      </c>
      <c r="J10810" s="0" t="s">
        <v>36072</v>
      </c>
      <c r="K10810" s="0" t="s">
        <v>36073</v>
      </c>
      <c r="L10810" s="0" t="str">
        <f aca="false">HYPERLINK("https://www.ncbi.nlm.nih.gov/nuccore/CP000304.1?report=graph&amp;tracks=[key:gene_model_track,Options:GeneOnly]&amp;mk=3034909:3034928|offset_25|444444,3034884:3034903|offset_50|00cc00,3034845:3034864|offset_89|444444,3034825:3034844|offset_109|444444&amp;v=3034708:3035044&amp;c=444444", "offset 50")</f>
        <v>offset 50</v>
      </c>
    </row>
    <row r="10811" customFormat="false" ht="12.8" hidden="false" customHeight="false" outlineLevel="0" collapsed="false">
      <c r="A10811" s="0" t="s">
        <v>12</v>
      </c>
      <c r="B10811" s="0" t="n">
        <v>3034844</v>
      </c>
      <c r="C10811" s="0" t="n">
        <v>3034864</v>
      </c>
      <c r="D10811" s="0" t="s">
        <v>36067</v>
      </c>
      <c r="E10811" s="0" t="s">
        <v>89</v>
      </c>
      <c r="F10811" s="0" t="s">
        <v>90</v>
      </c>
      <c r="G10811" s="0" t="s">
        <v>16</v>
      </c>
      <c r="H10811" s="0" t="n">
        <v>89</v>
      </c>
      <c r="I10811" s="0" t="s">
        <v>36074</v>
      </c>
      <c r="J10811" s="0" t="s">
        <v>36075</v>
      </c>
      <c r="K10811" s="0" t="s">
        <v>36076</v>
      </c>
      <c r="L10811" s="0" t="str">
        <f aca="false">HYPERLINK("https://www.ncbi.nlm.nih.gov/nuccore/CP000304.1?report=graph&amp;tracks=[key:gene_model_track,Options:GeneOnly]&amp;mk=3034909:3034928|offset_25|444444,3034884:3034903|offset_50|444444,3034845:3034864|offset_89|00cc00,3034825:3034844|offset_109|444444&amp;v=3034708:3035044&amp;c=444444", "offset 89")</f>
        <v>offset 89</v>
      </c>
    </row>
    <row r="10812" customFormat="false" ht="12.8" hidden="false" customHeight="false" outlineLevel="0" collapsed="false">
      <c r="A10812" s="0" t="s">
        <v>12</v>
      </c>
      <c r="B10812" s="0" t="n">
        <v>3034824</v>
      </c>
      <c r="C10812" s="0" t="n">
        <v>3034844</v>
      </c>
      <c r="D10812" s="0" t="s">
        <v>36067</v>
      </c>
      <c r="E10812" s="0" t="s">
        <v>89</v>
      </c>
      <c r="F10812" s="0" t="s">
        <v>90</v>
      </c>
      <c r="G10812" s="0" t="s">
        <v>32</v>
      </c>
      <c r="H10812" s="0" t="n">
        <v>109</v>
      </c>
      <c r="I10812" s="0" t="s">
        <v>36077</v>
      </c>
      <c r="J10812" s="0" t="s">
        <v>36078</v>
      </c>
      <c r="K10812" s="0" t="s">
        <v>36079</v>
      </c>
      <c r="L10812" s="0" t="str">
        <f aca="false">HYPERLINK("https://www.ncbi.nlm.nih.gov/nuccore/CP000304.1?report=graph&amp;tracks=[key:gene_model_track,Options:GeneOnly]&amp;mk=3034909:3034928|offset_25|444444,3034884:3034903|offset_50|444444,3034845:3034864|offset_89|444444,3034825:3034844|offset_109|00cc00&amp;v=3034708:3035044&amp;c=444444", "offset 109")</f>
        <v>offset 109</v>
      </c>
    </row>
    <row r="10813" customFormat="false" ht="12.8" hidden="false" customHeight="false" outlineLevel="0" collapsed="false">
      <c r="A10813" s="0" t="s">
        <v>12</v>
      </c>
      <c r="B10813" s="0" t="n">
        <v>3035111</v>
      </c>
      <c r="C10813" s="0" t="n">
        <v>3035131</v>
      </c>
      <c r="D10813" s="0" t="s">
        <v>36080</v>
      </c>
      <c r="E10813" s="0" t="s">
        <v>36081</v>
      </c>
      <c r="F10813" s="0" t="s">
        <v>90</v>
      </c>
      <c r="G10813" s="0" t="s">
        <v>16</v>
      </c>
      <c r="H10813" s="0" t="n">
        <v>1787</v>
      </c>
      <c r="I10813" s="0" t="s">
        <v>36082</v>
      </c>
      <c r="J10813" s="0" t="s">
        <v>36083</v>
      </c>
      <c r="K10813" s="0" t="s">
        <v>36084</v>
      </c>
      <c r="L10813" s="0" t="str">
        <f aca="false">HYPERLINK("https://www.ncbi.nlm.nih.gov/nuccore/CP000304.1?report=graph&amp;tracks=[key:gene_model_track,Options:GeneOnly]&amp;mk=3035112:3035131|offset_1787|00cc00&amp;v=3034911:3035331&amp;c=444444", "offset 1787")</f>
        <v>offset 1787</v>
      </c>
    </row>
    <row r="10814" customFormat="false" ht="12.8" hidden="false" customHeight="false" outlineLevel="0" collapsed="false">
      <c r="A10814" s="0" t="s">
        <v>12</v>
      </c>
      <c r="B10814" s="0" t="n">
        <v>3036924</v>
      </c>
      <c r="C10814" s="0" t="n">
        <v>3036944</v>
      </c>
      <c r="D10814" s="0" t="s">
        <v>36085</v>
      </c>
      <c r="E10814" s="0" t="s">
        <v>89</v>
      </c>
      <c r="F10814" s="0" t="s">
        <v>15</v>
      </c>
      <c r="G10814" s="0" t="s">
        <v>16</v>
      </c>
      <c r="H10814" s="0" t="n">
        <v>1788</v>
      </c>
      <c r="I10814" s="0" t="s">
        <v>36086</v>
      </c>
      <c r="J10814" s="0" t="s">
        <v>36087</v>
      </c>
      <c r="K10814" s="0" t="s">
        <v>36088</v>
      </c>
      <c r="L10814" s="0" t="str">
        <f aca="false">HYPERLINK("https://www.ncbi.nlm.nih.gov/nuccore/CP000304.1?report=graph&amp;tracks=[key:gene_model_track,Options:GeneOnly]&amp;mk=3036925:3036944|offset_1788|00cc00,3036950:3036969|offset_1813|444444,3036973:3036992|offset_1836|444444,3037001:3037020|offset_1864|444444&amp;v=3036724:3037220&amp;c=444444", "offset 1788")</f>
        <v>offset 1788</v>
      </c>
    </row>
    <row r="10815" customFormat="false" ht="12.8" hidden="false" customHeight="false" outlineLevel="0" collapsed="false">
      <c r="A10815" s="0" t="s">
        <v>12</v>
      </c>
      <c r="B10815" s="0" t="n">
        <v>3036949</v>
      </c>
      <c r="C10815" s="0" t="n">
        <v>3036969</v>
      </c>
      <c r="D10815" s="0" t="s">
        <v>36085</v>
      </c>
      <c r="E10815" s="0" t="s">
        <v>89</v>
      </c>
      <c r="F10815" s="0" t="s">
        <v>15</v>
      </c>
      <c r="G10815" s="0" t="s">
        <v>26</v>
      </c>
      <c r="H10815" s="0" t="n">
        <v>1813</v>
      </c>
      <c r="I10815" s="0" t="s">
        <v>36089</v>
      </c>
      <c r="J10815" s="0" t="s">
        <v>36090</v>
      </c>
      <c r="K10815" s="0" t="s">
        <v>36091</v>
      </c>
      <c r="L10815" s="0" t="str">
        <f aca="false">HYPERLINK("https://www.ncbi.nlm.nih.gov/nuccore/CP000304.1?report=graph&amp;tracks=[key:gene_model_track,Options:GeneOnly]&amp;mk=3036925:3036944|offset_1788|444444,3036950:3036969|offset_1813|00cc00,3036973:3036992|offset_1836|444444,3037001:3037020|offset_1864|444444&amp;v=3036724:3037220&amp;c=444444", "offset 1813")</f>
        <v>offset 1813</v>
      </c>
    </row>
    <row r="10816" customFormat="false" ht="12.8" hidden="false" customHeight="false" outlineLevel="0" collapsed="false">
      <c r="A10816" s="0" t="s">
        <v>12</v>
      </c>
      <c r="B10816" s="0" t="n">
        <v>3036972</v>
      </c>
      <c r="C10816" s="0" t="n">
        <v>3036992</v>
      </c>
      <c r="D10816" s="0" t="s">
        <v>36085</v>
      </c>
      <c r="E10816" s="0" t="s">
        <v>89</v>
      </c>
      <c r="F10816" s="0" t="s">
        <v>15</v>
      </c>
      <c r="G10816" s="0" t="s">
        <v>16</v>
      </c>
      <c r="H10816" s="0" t="n">
        <v>1836</v>
      </c>
      <c r="I10816" s="0" t="s">
        <v>36092</v>
      </c>
      <c r="J10816" s="0" t="s">
        <v>36093</v>
      </c>
      <c r="K10816" s="0" t="s">
        <v>36094</v>
      </c>
      <c r="L10816" s="0" t="str">
        <f aca="false">HYPERLINK("https://www.ncbi.nlm.nih.gov/nuccore/CP000304.1?report=graph&amp;tracks=[key:gene_model_track,Options:GeneOnly]&amp;mk=3036925:3036944|offset_1788|444444,3036950:3036969|offset_1813|444444,3036973:3036992|offset_1836|00cc00,3037001:3037020|offset_1864|444444&amp;v=3036724:3037220&amp;c=444444", "offset 1836")</f>
        <v>offset 1836</v>
      </c>
    </row>
    <row r="10817" customFormat="false" ht="12.8" hidden="false" customHeight="false" outlineLevel="0" collapsed="false">
      <c r="A10817" s="0" t="s">
        <v>12</v>
      </c>
      <c r="B10817" s="0" t="n">
        <v>3037000</v>
      </c>
      <c r="C10817" s="0" t="n">
        <v>3037020</v>
      </c>
      <c r="D10817" s="0" t="s">
        <v>36085</v>
      </c>
      <c r="E10817" s="0" t="s">
        <v>89</v>
      </c>
      <c r="F10817" s="0" t="s">
        <v>15</v>
      </c>
      <c r="G10817" s="0" t="s">
        <v>16</v>
      </c>
      <c r="H10817" s="0" t="n">
        <v>1864</v>
      </c>
      <c r="I10817" s="0" t="s">
        <v>36095</v>
      </c>
      <c r="J10817" s="0" t="s">
        <v>36096</v>
      </c>
      <c r="K10817" s="0" t="s">
        <v>36097</v>
      </c>
      <c r="L10817" s="0" t="str">
        <f aca="false">HYPERLINK("https://www.ncbi.nlm.nih.gov/nuccore/CP000304.1?report=graph&amp;tracks=[key:gene_model_track,Options:GeneOnly]&amp;mk=3036925:3036944|offset_1788|444444,3036950:3036969|offset_1813|444444,3036973:3036992|offset_1836|444444,3037001:3037020|offset_1864|00cc00&amp;v=3036724:3037220&amp;c=444444", "offset 1864")</f>
        <v>offset 1864</v>
      </c>
    </row>
    <row r="10818" customFormat="false" ht="12.8" hidden="false" customHeight="false" outlineLevel="0" collapsed="false">
      <c r="A10818" s="0" t="s">
        <v>12</v>
      </c>
      <c r="B10818" s="0" t="n">
        <v>3037250</v>
      </c>
      <c r="C10818" s="0" t="n">
        <v>3037270</v>
      </c>
      <c r="D10818" s="0" t="s">
        <v>36098</v>
      </c>
      <c r="E10818" s="0" t="s">
        <v>89</v>
      </c>
      <c r="F10818" s="0" t="s">
        <v>15</v>
      </c>
      <c r="G10818" s="0" t="s">
        <v>16</v>
      </c>
      <c r="H10818" s="0" t="n">
        <v>25</v>
      </c>
      <c r="I10818" s="0" t="s">
        <v>36099</v>
      </c>
      <c r="J10818" s="0" t="s">
        <v>36100</v>
      </c>
      <c r="K10818" s="0" t="s">
        <v>36101</v>
      </c>
      <c r="L10818" s="0" t="str">
        <f aca="false">HYPERLINK("https://www.ncbi.nlm.nih.gov/nuccore/CP000304.1?report=graph&amp;tracks=[key:gene_model_track,Options:GeneOnly]&amp;mk=3037251:3037270|offset_25|00cc00,3037275:3037294|offset_49|444444,3037299:3037318|offset_73|444444,3037326:3037345|offset_100|444444&amp;v=3037050:3037545&amp;c=444444", "offset 25")</f>
        <v>offset 25</v>
      </c>
    </row>
    <row r="10819" customFormat="false" ht="12.8" hidden="false" customHeight="false" outlineLevel="0" collapsed="false">
      <c r="A10819" s="0" t="s">
        <v>12</v>
      </c>
      <c r="B10819" s="0" t="n">
        <v>3037274</v>
      </c>
      <c r="C10819" s="0" t="n">
        <v>3037294</v>
      </c>
      <c r="D10819" s="0" t="s">
        <v>36098</v>
      </c>
      <c r="E10819" s="0" t="s">
        <v>89</v>
      </c>
      <c r="F10819" s="0" t="s">
        <v>15</v>
      </c>
      <c r="G10819" s="0" t="s">
        <v>16</v>
      </c>
      <c r="H10819" s="0" t="n">
        <v>49</v>
      </c>
      <c r="I10819" s="0" t="s">
        <v>36102</v>
      </c>
      <c r="J10819" s="0" t="s">
        <v>36103</v>
      </c>
      <c r="K10819" s="0" t="s">
        <v>36104</v>
      </c>
      <c r="L10819" s="0" t="str">
        <f aca="false">HYPERLINK("https://www.ncbi.nlm.nih.gov/nuccore/CP000304.1?report=graph&amp;tracks=[key:gene_model_track,Options:GeneOnly]&amp;mk=3037251:3037270|offset_25|444444,3037275:3037294|offset_49|00cc00,3037299:3037318|offset_73|444444,3037326:3037345|offset_100|444444&amp;v=3037050:3037545&amp;c=444444", "offset 49")</f>
        <v>offset 49</v>
      </c>
    </row>
    <row r="10820" customFormat="false" ht="12.8" hidden="false" customHeight="false" outlineLevel="0" collapsed="false">
      <c r="A10820" s="0" t="s">
        <v>12</v>
      </c>
      <c r="B10820" s="0" t="n">
        <v>3037298</v>
      </c>
      <c r="C10820" s="0" t="n">
        <v>3037318</v>
      </c>
      <c r="D10820" s="0" t="s">
        <v>36098</v>
      </c>
      <c r="E10820" s="0" t="s">
        <v>89</v>
      </c>
      <c r="F10820" s="0" t="s">
        <v>15</v>
      </c>
      <c r="G10820" s="0" t="s">
        <v>16</v>
      </c>
      <c r="H10820" s="0" t="n">
        <v>73</v>
      </c>
      <c r="I10820" s="0" t="s">
        <v>36105</v>
      </c>
      <c r="J10820" s="0" t="s">
        <v>36106</v>
      </c>
      <c r="K10820" s="0" t="s">
        <v>36107</v>
      </c>
      <c r="L10820" s="0" t="str">
        <f aca="false">HYPERLINK("https://www.ncbi.nlm.nih.gov/nuccore/CP000304.1?report=graph&amp;tracks=[key:gene_model_track,Options:GeneOnly]&amp;mk=3037251:3037270|offset_25|444444,3037275:3037294|offset_49|444444,3037299:3037318|offset_73|00cc00,3037326:3037345|offset_100|444444&amp;v=3037050:3037545&amp;c=444444", "offset 73")</f>
        <v>offset 73</v>
      </c>
    </row>
    <row r="10821" customFormat="false" ht="12.8" hidden="false" customHeight="false" outlineLevel="0" collapsed="false">
      <c r="A10821" s="0" t="s">
        <v>12</v>
      </c>
      <c r="B10821" s="0" t="n">
        <v>3037325</v>
      </c>
      <c r="C10821" s="0" t="n">
        <v>3037345</v>
      </c>
      <c r="D10821" s="0" t="s">
        <v>36098</v>
      </c>
      <c r="E10821" s="0" t="s">
        <v>89</v>
      </c>
      <c r="F10821" s="0" t="s">
        <v>15</v>
      </c>
      <c r="G10821" s="0" t="s">
        <v>36</v>
      </c>
      <c r="H10821" s="0" t="n">
        <v>100</v>
      </c>
      <c r="I10821" s="0" t="s">
        <v>36108</v>
      </c>
      <c r="J10821" s="0" t="s">
        <v>36109</v>
      </c>
      <c r="K10821" s="0" t="s">
        <v>36110</v>
      </c>
      <c r="L10821" s="0" t="str">
        <f aca="false">HYPERLINK("https://www.ncbi.nlm.nih.gov/nuccore/CP000304.1?report=graph&amp;tracks=[key:gene_model_track,Options:GeneOnly]&amp;mk=3037251:3037270|offset_25|444444,3037275:3037294|offset_49|444444,3037299:3037318|offset_73|444444,3037326:3037345|offset_100|00cc00&amp;v=3037050:3037545&amp;c=444444", "offset 100")</f>
        <v>offset 100</v>
      </c>
    </row>
    <row r="10822" customFormat="false" ht="12.8" hidden="false" customHeight="false" outlineLevel="0" collapsed="false">
      <c r="A10822" s="0" t="s">
        <v>12</v>
      </c>
      <c r="B10822" s="0" t="n">
        <v>3037826</v>
      </c>
      <c r="C10822" s="0" t="n">
        <v>3037846</v>
      </c>
      <c r="D10822" s="0" t="s">
        <v>36111</v>
      </c>
      <c r="E10822" s="0" t="s">
        <v>89</v>
      </c>
      <c r="F10822" s="0" t="s">
        <v>15</v>
      </c>
      <c r="G10822" s="0" t="s">
        <v>36</v>
      </c>
      <c r="H10822" s="0" t="n">
        <v>6</v>
      </c>
      <c r="I10822" s="0" t="s">
        <v>36112</v>
      </c>
      <c r="J10822" s="0" t="s">
        <v>36113</v>
      </c>
      <c r="K10822" s="0" t="s">
        <v>36114</v>
      </c>
      <c r="L10822" s="0" t="str">
        <f aca="false">HYPERLINK("https://www.ncbi.nlm.nih.gov/nuccore/CP000304.1?report=graph&amp;tracks=[key:gene_model_track,Options:GeneOnly]&amp;mk=3037827:3037846|offset_6|00cc00,3037861:3037880|offset_40|444444,3037881:3037900|offset_60|444444,3037903:3037922|offset_82|444444&amp;v=3037626:3038122&amp;c=444444", "offset 6")</f>
        <v>offset 6</v>
      </c>
    </row>
    <row r="10823" customFormat="false" ht="12.8" hidden="false" customHeight="false" outlineLevel="0" collapsed="false">
      <c r="A10823" s="0" t="s">
        <v>12</v>
      </c>
      <c r="B10823" s="0" t="n">
        <v>3037860</v>
      </c>
      <c r="C10823" s="0" t="n">
        <v>3037880</v>
      </c>
      <c r="D10823" s="0" t="s">
        <v>36111</v>
      </c>
      <c r="E10823" s="0" t="s">
        <v>89</v>
      </c>
      <c r="F10823" s="0" t="s">
        <v>15</v>
      </c>
      <c r="G10823" s="0" t="s">
        <v>36</v>
      </c>
      <c r="H10823" s="0" t="n">
        <v>40</v>
      </c>
      <c r="I10823" s="0" t="s">
        <v>36115</v>
      </c>
      <c r="J10823" s="0" t="s">
        <v>36116</v>
      </c>
      <c r="K10823" s="0" t="s">
        <v>36117</v>
      </c>
      <c r="L10823" s="0" t="str">
        <f aca="false">HYPERLINK("https://www.ncbi.nlm.nih.gov/nuccore/CP000304.1?report=graph&amp;tracks=[key:gene_model_track,Options:GeneOnly]&amp;mk=3037827:3037846|offset_6|444444,3037861:3037880|offset_40|00cc00,3037881:3037900|offset_60|444444,3037903:3037922|offset_82|444444&amp;v=3037626:3038122&amp;c=444444", "offset 40")</f>
        <v>offset 40</v>
      </c>
    </row>
    <row r="10824" customFormat="false" ht="12.8" hidden="false" customHeight="false" outlineLevel="0" collapsed="false">
      <c r="A10824" s="0" t="s">
        <v>12</v>
      </c>
      <c r="B10824" s="0" t="n">
        <v>3037880</v>
      </c>
      <c r="C10824" s="0" t="n">
        <v>3037900</v>
      </c>
      <c r="D10824" s="0" t="s">
        <v>36111</v>
      </c>
      <c r="E10824" s="0" t="s">
        <v>89</v>
      </c>
      <c r="F10824" s="0" t="s">
        <v>15</v>
      </c>
      <c r="G10824" s="0" t="s">
        <v>32</v>
      </c>
      <c r="H10824" s="0" t="n">
        <v>60</v>
      </c>
      <c r="I10824" s="0" t="s">
        <v>36118</v>
      </c>
      <c r="J10824" s="0" t="s">
        <v>36119</v>
      </c>
      <c r="K10824" s="0" t="s">
        <v>36120</v>
      </c>
      <c r="L10824" s="0" t="str">
        <f aca="false">HYPERLINK("https://www.ncbi.nlm.nih.gov/nuccore/CP000304.1?report=graph&amp;tracks=[key:gene_model_track,Options:GeneOnly]&amp;mk=3037827:3037846|offset_6|444444,3037861:3037880|offset_40|444444,3037881:3037900|offset_60|00cc00,3037903:3037922|offset_82|444444&amp;v=3037626:3038122&amp;c=444444", "offset 60")</f>
        <v>offset 60</v>
      </c>
    </row>
    <row r="10825" customFormat="false" ht="12.8" hidden="false" customHeight="false" outlineLevel="0" collapsed="false">
      <c r="A10825" s="0" t="s">
        <v>12</v>
      </c>
      <c r="B10825" s="0" t="n">
        <v>3037902</v>
      </c>
      <c r="C10825" s="0" t="n">
        <v>3037922</v>
      </c>
      <c r="D10825" s="0" t="s">
        <v>36111</v>
      </c>
      <c r="E10825" s="0" t="s">
        <v>89</v>
      </c>
      <c r="F10825" s="0" t="s">
        <v>15</v>
      </c>
      <c r="G10825" s="0" t="s">
        <v>26</v>
      </c>
      <c r="H10825" s="0" t="n">
        <v>82</v>
      </c>
      <c r="I10825" s="0" t="s">
        <v>36121</v>
      </c>
      <c r="J10825" s="0" t="s">
        <v>36122</v>
      </c>
      <c r="K10825" s="0" t="s">
        <v>36123</v>
      </c>
      <c r="L10825" s="0" t="str">
        <f aca="false">HYPERLINK("https://www.ncbi.nlm.nih.gov/nuccore/CP000304.1?report=graph&amp;tracks=[key:gene_model_track,Options:GeneOnly]&amp;mk=3037827:3037846|offset_6|444444,3037861:3037880|offset_40|444444,3037881:3037900|offset_60|444444,3037903:3037922|offset_82|00cc00&amp;v=3037626:3038122&amp;c=444444", "offset 82")</f>
        <v>offset 82</v>
      </c>
    </row>
    <row r="10826" customFormat="false" ht="12.8" hidden="false" customHeight="false" outlineLevel="0" collapsed="false">
      <c r="A10826" s="0" t="s">
        <v>12</v>
      </c>
      <c r="B10826" s="0" t="n">
        <v>3038752</v>
      </c>
      <c r="C10826" s="0" t="n">
        <v>3038772</v>
      </c>
      <c r="D10826" s="0" t="s">
        <v>36124</v>
      </c>
      <c r="E10826" s="0" t="s">
        <v>89</v>
      </c>
      <c r="F10826" s="0" t="s">
        <v>90</v>
      </c>
      <c r="G10826" s="0" t="s">
        <v>26</v>
      </c>
      <c r="H10826" s="0" t="n">
        <v>35</v>
      </c>
      <c r="I10826" s="0" t="s">
        <v>36125</v>
      </c>
      <c r="J10826" s="0" t="s">
        <v>36126</v>
      </c>
      <c r="K10826" s="0" t="s">
        <v>36127</v>
      </c>
      <c r="L10826" s="0" t="str">
        <f aca="false">HYPERLINK("https://www.ncbi.nlm.nih.gov/nuccore/CP000304.1?report=graph&amp;tracks=[key:gene_model_track,Options:GeneOnly]&amp;mk=3038753:3038772|offset_35|00cc00,3038721:3038740|offset_67|444444,3038660:3038679|offset_128|444444,3038604:3038623|offset_184|444444&amp;v=3038552:3038823&amp;c=444444", "offset 35")</f>
        <v>offset 35</v>
      </c>
    </row>
    <row r="10827" customFormat="false" ht="12.8" hidden="false" customHeight="false" outlineLevel="0" collapsed="false">
      <c r="A10827" s="0" t="s">
        <v>12</v>
      </c>
      <c r="B10827" s="0" t="n">
        <v>3038720</v>
      </c>
      <c r="C10827" s="0" t="n">
        <v>3038740</v>
      </c>
      <c r="D10827" s="0" t="s">
        <v>36124</v>
      </c>
      <c r="E10827" s="0" t="s">
        <v>89</v>
      </c>
      <c r="F10827" s="0" t="s">
        <v>90</v>
      </c>
      <c r="G10827" s="0" t="s">
        <v>32</v>
      </c>
      <c r="H10827" s="0" t="n">
        <v>67</v>
      </c>
      <c r="I10827" s="0" t="s">
        <v>36128</v>
      </c>
      <c r="J10827" s="0" t="s">
        <v>36129</v>
      </c>
      <c r="K10827" s="0" t="s">
        <v>36130</v>
      </c>
      <c r="L10827" s="0" t="str">
        <f aca="false">HYPERLINK("https://www.ncbi.nlm.nih.gov/nuccore/CP000304.1?report=graph&amp;tracks=[key:gene_model_track,Options:GeneOnly]&amp;mk=3038753:3038772|offset_35|444444,3038721:3038740|offset_67|00cc00,3038660:3038679|offset_128|444444,3038604:3038623|offset_184|444444&amp;v=3038552:3038823&amp;c=444444", "offset 67")</f>
        <v>offset 67</v>
      </c>
    </row>
    <row r="10828" customFormat="false" ht="12.8" hidden="false" customHeight="false" outlineLevel="0" collapsed="false">
      <c r="A10828" s="0" t="s">
        <v>12</v>
      </c>
      <c r="B10828" s="0" t="n">
        <v>3038659</v>
      </c>
      <c r="C10828" s="0" t="n">
        <v>3038679</v>
      </c>
      <c r="D10828" s="0" t="s">
        <v>36124</v>
      </c>
      <c r="E10828" s="0" t="s">
        <v>89</v>
      </c>
      <c r="F10828" s="0" t="s">
        <v>90</v>
      </c>
      <c r="G10828" s="0" t="s">
        <v>32</v>
      </c>
      <c r="H10828" s="0" t="n">
        <v>128</v>
      </c>
      <c r="I10828" s="0" t="s">
        <v>36131</v>
      </c>
      <c r="J10828" s="0" t="s">
        <v>36132</v>
      </c>
      <c r="K10828" s="0" t="s">
        <v>36133</v>
      </c>
      <c r="L10828" s="0" t="str">
        <f aca="false">HYPERLINK("https://www.ncbi.nlm.nih.gov/nuccore/CP000304.1?report=graph&amp;tracks=[key:gene_model_track,Options:GeneOnly]&amp;mk=3038753:3038772|offset_35|444444,3038721:3038740|offset_67|444444,3038660:3038679|offset_128|00cc00,3038604:3038623|offset_184|444444&amp;v=3038552:3038823&amp;c=444444", "offset 128")</f>
        <v>offset 128</v>
      </c>
    </row>
    <row r="10829" customFormat="false" ht="12.8" hidden="false" customHeight="false" outlineLevel="0" collapsed="false">
      <c r="A10829" s="0" t="s">
        <v>12</v>
      </c>
      <c r="B10829" s="0" t="n">
        <v>3038603</v>
      </c>
      <c r="C10829" s="0" t="n">
        <v>3038623</v>
      </c>
      <c r="D10829" s="0" t="s">
        <v>36124</v>
      </c>
      <c r="E10829" s="0" t="s">
        <v>89</v>
      </c>
      <c r="F10829" s="0" t="s">
        <v>90</v>
      </c>
      <c r="G10829" s="0" t="s">
        <v>16</v>
      </c>
      <c r="H10829" s="0" t="n">
        <v>184</v>
      </c>
      <c r="I10829" s="0" t="s">
        <v>36134</v>
      </c>
      <c r="J10829" s="0" t="s">
        <v>36135</v>
      </c>
      <c r="K10829" s="0" t="s">
        <v>36136</v>
      </c>
      <c r="L10829" s="0" t="str">
        <f aca="false">HYPERLINK("https://www.ncbi.nlm.nih.gov/nuccore/CP000304.1?report=graph&amp;tracks=[key:gene_model_track,Options:GeneOnly]&amp;mk=3038753:3038772|offset_35|444444,3038721:3038740|offset_67|444444,3038660:3038679|offset_128|444444,3038604:3038623|offset_184|00cc00&amp;v=3038552:3038823&amp;c=444444", "offset 184")</f>
        <v>offset 184</v>
      </c>
    </row>
    <row r="10830" customFormat="false" ht="12.8" hidden="false" customHeight="false" outlineLevel="0" collapsed="false">
      <c r="A10830" s="0" t="s">
        <v>12</v>
      </c>
      <c r="B10830" s="0" t="n">
        <v>3039345</v>
      </c>
      <c r="C10830" s="0" t="n">
        <v>3039365</v>
      </c>
      <c r="D10830" s="0" t="s">
        <v>36137</v>
      </c>
      <c r="E10830" s="0" t="s">
        <v>89</v>
      </c>
      <c r="F10830" s="0" t="s">
        <v>90</v>
      </c>
      <c r="G10830" s="0" t="s">
        <v>16</v>
      </c>
      <c r="H10830" s="0" t="n">
        <v>8</v>
      </c>
      <c r="I10830" s="0" t="s">
        <v>36138</v>
      </c>
      <c r="J10830" s="0" t="s">
        <v>36139</v>
      </c>
      <c r="K10830" s="0" t="s">
        <v>36140</v>
      </c>
      <c r="L10830" s="0" t="str">
        <f aca="false">HYPERLINK("https://www.ncbi.nlm.nih.gov/nuccore/CP000304.1?report=graph&amp;tracks=[key:gene_model_track,Options:GeneOnly]&amp;mk=3039346:3039365|offset_8|00cc00,3039314:3039333|offset_40|444444,3039281:3039300|offset_73|444444,3039231:3039250|offset_123|444444&amp;v=3039145:3039450&amp;c=444444", "offset 8")</f>
        <v>offset 8</v>
      </c>
    </row>
    <row r="10831" customFormat="false" ht="12.8" hidden="false" customHeight="false" outlineLevel="0" collapsed="false">
      <c r="A10831" s="0" t="s">
        <v>12</v>
      </c>
      <c r="B10831" s="0" t="n">
        <v>3039313</v>
      </c>
      <c r="C10831" s="0" t="n">
        <v>3039333</v>
      </c>
      <c r="D10831" s="0" t="s">
        <v>36137</v>
      </c>
      <c r="E10831" s="0" t="s">
        <v>89</v>
      </c>
      <c r="F10831" s="0" t="s">
        <v>90</v>
      </c>
      <c r="G10831" s="0" t="s">
        <v>32</v>
      </c>
      <c r="H10831" s="0" t="n">
        <v>40</v>
      </c>
      <c r="I10831" s="0" t="s">
        <v>36141</v>
      </c>
      <c r="J10831" s="0" t="s">
        <v>36142</v>
      </c>
      <c r="K10831" s="0" t="s">
        <v>36143</v>
      </c>
      <c r="L10831" s="0" t="str">
        <f aca="false">HYPERLINK("https://www.ncbi.nlm.nih.gov/nuccore/CP000304.1?report=graph&amp;tracks=[key:gene_model_track,Options:GeneOnly]&amp;mk=3039346:3039365|offset_8|444444,3039314:3039333|offset_40|00cc00,3039281:3039300|offset_73|444444,3039231:3039250|offset_123|444444&amp;v=3039145:3039450&amp;c=444444", "offset 40")</f>
        <v>offset 40</v>
      </c>
    </row>
    <row r="10832" customFormat="false" ht="12.8" hidden="false" customHeight="false" outlineLevel="0" collapsed="false">
      <c r="A10832" s="0" t="s">
        <v>12</v>
      </c>
      <c r="B10832" s="0" t="n">
        <v>3039280</v>
      </c>
      <c r="C10832" s="0" t="n">
        <v>3039300</v>
      </c>
      <c r="D10832" s="0" t="s">
        <v>36137</v>
      </c>
      <c r="E10832" s="0" t="s">
        <v>89</v>
      </c>
      <c r="F10832" s="0" t="s">
        <v>90</v>
      </c>
      <c r="G10832" s="0" t="s">
        <v>16</v>
      </c>
      <c r="H10832" s="0" t="n">
        <v>73</v>
      </c>
      <c r="I10832" s="0" t="s">
        <v>36144</v>
      </c>
      <c r="J10832" s="0" t="s">
        <v>36145</v>
      </c>
      <c r="K10832" s="0" t="s">
        <v>36146</v>
      </c>
      <c r="L10832" s="0" t="str">
        <f aca="false">HYPERLINK("https://www.ncbi.nlm.nih.gov/nuccore/CP000304.1?report=graph&amp;tracks=[key:gene_model_track,Options:GeneOnly]&amp;mk=3039346:3039365|offset_8|444444,3039314:3039333|offset_40|444444,3039281:3039300|offset_73|00cc00,3039231:3039250|offset_123|444444&amp;v=3039145:3039450&amp;c=444444", "offset 73")</f>
        <v>offset 73</v>
      </c>
    </row>
    <row r="10833" customFormat="false" ht="12.8" hidden="false" customHeight="false" outlineLevel="0" collapsed="false">
      <c r="A10833" s="0" t="s">
        <v>12</v>
      </c>
      <c r="B10833" s="0" t="n">
        <v>3039230</v>
      </c>
      <c r="C10833" s="0" t="n">
        <v>3039250</v>
      </c>
      <c r="D10833" s="0" t="s">
        <v>36137</v>
      </c>
      <c r="E10833" s="0" t="s">
        <v>89</v>
      </c>
      <c r="F10833" s="0" t="s">
        <v>90</v>
      </c>
      <c r="G10833" s="0" t="s">
        <v>26</v>
      </c>
      <c r="H10833" s="0" t="n">
        <v>123</v>
      </c>
      <c r="I10833" s="0" t="s">
        <v>36147</v>
      </c>
      <c r="J10833" s="0" t="s">
        <v>36148</v>
      </c>
      <c r="K10833" s="0" t="s">
        <v>36149</v>
      </c>
      <c r="L10833" s="0" t="str">
        <f aca="false">HYPERLINK("https://www.ncbi.nlm.nih.gov/nuccore/CP000304.1?report=graph&amp;tracks=[key:gene_model_track,Options:GeneOnly]&amp;mk=3039346:3039365|offset_8|444444,3039314:3039333|offset_40|444444,3039281:3039300|offset_73|444444,3039231:3039250|offset_123|00cc00&amp;v=3039145:3039450&amp;c=444444", "offset 123")</f>
        <v>offset 123</v>
      </c>
    </row>
    <row r="10834" customFormat="false" ht="12.8" hidden="false" customHeight="false" outlineLevel="0" collapsed="false">
      <c r="A10834" s="0" t="s">
        <v>12</v>
      </c>
      <c r="B10834" s="0" t="n">
        <v>3039692</v>
      </c>
      <c r="C10834" s="0" t="n">
        <v>3039712</v>
      </c>
      <c r="D10834" s="0" t="s">
        <v>36150</v>
      </c>
      <c r="E10834" s="0" t="s">
        <v>36151</v>
      </c>
      <c r="F10834" s="0" t="s">
        <v>15</v>
      </c>
      <c r="G10834" s="0" t="s">
        <v>36</v>
      </c>
      <c r="H10834" s="0" t="n">
        <v>31</v>
      </c>
      <c r="I10834" s="0" t="s">
        <v>36152</v>
      </c>
      <c r="J10834" s="0" t="s">
        <v>36153</v>
      </c>
      <c r="K10834" s="0" t="s">
        <v>36154</v>
      </c>
      <c r="L10834" s="0" t="str">
        <f aca="false">HYPERLINK("https://www.ncbi.nlm.nih.gov/nuccore/CP000304.1?report=graph&amp;tracks=[key:gene_model_track,Options:GeneOnly]&amp;mk=3039693:3039712|offset_31|00cc00,3039714:3039733|offset_52|444444,3039736:3039755|offset_74|444444,3039775:3039794|offset_113|444444&amp;v=3039492:3039994&amp;c=444444", "offset 31")</f>
        <v>offset 31</v>
      </c>
    </row>
    <row r="10835" customFormat="false" ht="12.8" hidden="false" customHeight="false" outlineLevel="0" collapsed="false">
      <c r="A10835" s="0" t="s">
        <v>12</v>
      </c>
      <c r="B10835" s="0" t="n">
        <v>3039713</v>
      </c>
      <c r="C10835" s="0" t="n">
        <v>3039733</v>
      </c>
      <c r="D10835" s="0" t="s">
        <v>36150</v>
      </c>
      <c r="E10835" s="0" t="s">
        <v>36151</v>
      </c>
      <c r="F10835" s="0" t="s">
        <v>15</v>
      </c>
      <c r="G10835" s="0" t="s">
        <v>26</v>
      </c>
      <c r="H10835" s="0" t="n">
        <v>52</v>
      </c>
      <c r="I10835" s="0" t="s">
        <v>36155</v>
      </c>
      <c r="J10835" s="0" t="s">
        <v>36156</v>
      </c>
      <c r="K10835" s="0" t="s">
        <v>36157</v>
      </c>
      <c r="L10835" s="0" t="str">
        <f aca="false">HYPERLINK("https://www.ncbi.nlm.nih.gov/nuccore/CP000304.1?report=graph&amp;tracks=[key:gene_model_track,Options:GeneOnly]&amp;mk=3039693:3039712|offset_31|444444,3039714:3039733|offset_52|00cc00,3039736:3039755|offset_74|444444,3039775:3039794|offset_113|444444&amp;v=3039492:3039994&amp;c=444444", "offset 52")</f>
        <v>offset 52</v>
      </c>
    </row>
    <row r="10836" customFormat="false" ht="12.8" hidden="false" customHeight="false" outlineLevel="0" collapsed="false">
      <c r="A10836" s="0" t="s">
        <v>12</v>
      </c>
      <c r="B10836" s="0" t="n">
        <v>3039735</v>
      </c>
      <c r="C10836" s="0" t="n">
        <v>3039755</v>
      </c>
      <c r="D10836" s="0" t="s">
        <v>36150</v>
      </c>
      <c r="E10836" s="0" t="s">
        <v>36151</v>
      </c>
      <c r="F10836" s="0" t="s">
        <v>15</v>
      </c>
      <c r="G10836" s="0" t="s">
        <v>32</v>
      </c>
      <c r="H10836" s="0" t="n">
        <v>74</v>
      </c>
      <c r="I10836" s="0" t="s">
        <v>36158</v>
      </c>
      <c r="J10836" s="0" t="s">
        <v>36159</v>
      </c>
      <c r="K10836" s="0" t="s">
        <v>36160</v>
      </c>
      <c r="L10836" s="0" t="str">
        <f aca="false">HYPERLINK("https://www.ncbi.nlm.nih.gov/nuccore/CP000304.1?report=graph&amp;tracks=[key:gene_model_track,Options:GeneOnly]&amp;mk=3039693:3039712|offset_31|444444,3039714:3039733|offset_52|444444,3039736:3039755|offset_74|00cc00,3039775:3039794|offset_113|444444&amp;v=3039492:3039994&amp;c=444444", "offset 74")</f>
        <v>offset 74</v>
      </c>
    </row>
    <row r="10837" customFormat="false" ht="12.8" hidden="false" customHeight="false" outlineLevel="0" collapsed="false">
      <c r="A10837" s="0" t="s">
        <v>12</v>
      </c>
      <c r="B10837" s="0" t="n">
        <v>3039774</v>
      </c>
      <c r="C10837" s="0" t="n">
        <v>3039794</v>
      </c>
      <c r="D10837" s="0" t="s">
        <v>36150</v>
      </c>
      <c r="E10837" s="0" t="s">
        <v>36151</v>
      </c>
      <c r="F10837" s="0" t="s">
        <v>15</v>
      </c>
      <c r="G10837" s="0" t="s">
        <v>26</v>
      </c>
      <c r="H10837" s="0" t="n">
        <v>113</v>
      </c>
      <c r="I10837" s="0" t="s">
        <v>36161</v>
      </c>
      <c r="J10837" s="0" t="s">
        <v>36162</v>
      </c>
      <c r="K10837" s="0" t="s">
        <v>36163</v>
      </c>
      <c r="L10837" s="0" t="str">
        <f aca="false">HYPERLINK("https://www.ncbi.nlm.nih.gov/nuccore/CP000304.1?report=graph&amp;tracks=[key:gene_model_track,Options:GeneOnly]&amp;mk=3039693:3039712|offset_31|444444,3039714:3039733|offset_52|444444,3039736:3039755|offset_74|444444,3039775:3039794|offset_113|00cc00&amp;v=3039492:3039994&amp;c=444444", "offset 113")</f>
        <v>offset 113</v>
      </c>
    </row>
    <row r="10838" customFormat="false" ht="12.8" hidden="false" customHeight="false" outlineLevel="0" collapsed="false">
      <c r="A10838" s="0" t="s">
        <v>12</v>
      </c>
      <c r="B10838" s="0" t="n">
        <v>3041122</v>
      </c>
      <c r="C10838" s="0" t="n">
        <v>3041142</v>
      </c>
      <c r="D10838" s="0" t="s">
        <v>36164</v>
      </c>
      <c r="E10838" s="0" t="s">
        <v>36165</v>
      </c>
      <c r="F10838" s="0" t="s">
        <v>15</v>
      </c>
      <c r="G10838" s="0" t="s">
        <v>32</v>
      </c>
      <c r="H10838" s="0" t="n">
        <v>10</v>
      </c>
      <c r="I10838" s="0" t="s">
        <v>36166</v>
      </c>
      <c r="J10838" s="0" t="s">
        <v>36167</v>
      </c>
      <c r="K10838" s="0" t="s">
        <v>36168</v>
      </c>
      <c r="L10838" s="0" t="str">
        <f aca="false">HYPERLINK("https://www.ncbi.nlm.nih.gov/nuccore/CP000304.1?report=graph&amp;tracks=[key:gene_model_track,Options:GeneOnly]&amp;mk=3041123:3041142|offset_10|00cc00,3041144:3041163|offset_31|444444,3041184:3041203|offset_71|444444,3041211:3041230|offset_98|444444&amp;v=3040922:3041430&amp;c=444444", "offset 10")</f>
        <v>offset 10</v>
      </c>
    </row>
    <row r="10839" customFormat="false" ht="12.8" hidden="false" customHeight="false" outlineLevel="0" collapsed="false">
      <c r="A10839" s="0" t="s">
        <v>12</v>
      </c>
      <c r="B10839" s="0" t="n">
        <v>3041143</v>
      </c>
      <c r="C10839" s="0" t="n">
        <v>3041163</v>
      </c>
      <c r="D10839" s="0" t="s">
        <v>36164</v>
      </c>
      <c r="E10839" s="0" t="s">
        <v>36165</v>
      </c>
      <c r="F10839" s="0" t="s">
        <v>15</v>
      </c>
      <c r="G10839" s="0" t="s">
        <v>36</v>
      </c>
      <c r="H10839" s="0" t="n">
        <v>31</v>
      </c>
      <c r="I10839" s="0" t="s">
        <v>36169</v>
      </c>
      <c r="J10839" s="0" t="s">
        <v>36170</v>
      </c>
      <c r="K10839" s="0" t="s">
        <v>36171</v>
      </c>
      <c r="L10839" s="0" t="str">
        <f aca="false">HYPERLINK("https://www.ncbi.nlm.nih.gov/nuccore/CP000304.1?report=graph&amp;tracks=[key:gene_model_track,Options:GeneOnly]&amp;mk=3041123:3041142|offset_10|444444,3041144:3041163|offset_31|00cc00,3041184:3041203|offset_71|444444,3041211:3041230|offset_98|444444&amp;v=3040922:3041430&amp;c=444444", "offset 31")</f>
        <v>offset 31</v>
      </c>
    </row>
    <row r="10840" customFormat="false" ht="12.8" hidden="false" customHeight="false" outlineLevel="0" collapsed="false">
      <c r="A10840" s="0" t="s">
        <v>12</v>
      </c>
      <c r="B10840" s="0" t="n">
        <v>3041183</v>
      </c>
      <c r="C10840" s="0" t="n">
        <v>3041203</v>
      </c>
      <c r="D10840" s="0" t="s">
        <v>36164</v>
      </c>
      <c r="E10840" s="0" t="s">
        <v>36165</v>
      </c>
      <c r="F10840" s="0" t="s">
        <v>15</v>
      </c>
      <c r="G10840" s="0" t="s">
        <v>32</v>
      </c>
      <c r="H10840" s="0" t="n">
        <v>71</v>
      </c>
      <c r="I10840" s="0" t="s">
        <v>36172</v>
      </c>
      <c r="J10840" s="0" t="s">
        <v>36173</v>
      </c>
      <c r="K10840" s="0" t="s">
        <v>36174</v>
      </c>
      <c r="L10840" s="0" t="str">
        <f aca="false">HYPERLINK("https://www.ncbi.nlm.nih.gov/nuccore/CP000304.1?report=graph&amp;tracks=[key:gene_model_track,Options:GeneOnly]&amp;mk=3041123:3041142|offset_10|444444,3041144:3041163|offset_31|444444,3041184:3041203|offset_71|00cc00,3041211:3041230|offset_98|444444&amp;v=3040922:3041430&amp;c=444444", "offset 71")</f>
        <v>offset 71</v>
      </c>
    </row>
    <row r="10841" customFormat="false" ht="12.8" hidden="false" customHeight="false" outlineLevel="0" collapsed="false">
      <c r="A10841" s="0" t="s">
        <v>12</v>
      </c>
      <c r="B10841" s="0" t="n">
        <v>3041210</v>
      </c>
      <c r="C10841" s="0" t="n">
        <v>3041230</v>
      </c>
      <c r="D10841" s="0" t="s">
        <v>36164</v>
      </c>
      <c r="E10841" s="0" t="s">
        <v>36165</v>
      </c>
      <c r="F10841" s="0" t="s">
        <v>15</v>
      </c>
      <c r="G10841" s="0" t="s">
        <v>16</v>
      </c>
      <c r="H10841" s="0" t="n">
        <v>98</v>
      </c>
      <c r="I10841" s="0" t="s">
        <v>36175</v>
      </c>
      <c r="J10841" s="0" t="s">
        <v>36176</v>
      </c>
      <c r="K10841" s="0" t="s">
        <v>36177</v>
      </c>
      <c r="L10841" s="0" t="str">
        <f aca="false">HYPERLINK("https://www.ncbi.nlm.nih.gov/nuccore/CP000304.1?report=graph&amp;tracks=[key:gene_model_track,Options:GeneOnly]&amp;mk=3041123:3041142|offset_10|444444,3041144:3041163|offset_31|444444,3041184:3041203|offset_71|444444,3041211:3041230|offset_98|00cc00&amp;v=3040922:3041430&amp;c=444444", "offset 98")</f>
        <v>offset 98</v>
      </c>
    </row>
    <row r="10842" customFormat="false" ht="12.8" hidden="false" customHeight="false" outlineLevel="0" collapsed="false">
      <c r="A10842" s="0" t="s">
        <v>12</v>
      </c>
      <c r="B10842" s="0" t="n">
        <v>3042838</v>
      </c>
      <c r="C10842" s="0" t="n">
        <v>3042858</v>
      </c>
      <c r="D10842" s="0" t="s">
        <v>36178</v>
      </c>
      <c r="E10842" s="0" t="s">
        <v>89</v>
      </c>
      <c r="F10842" s="0" t="s">
        <v>15</v>
      </c>
      <c r="G10842" s="0" t="s">
        <v>32</v>
      </c>
      <c r="H10842" s="0" t="n">
        <v>1</v>
      </c>
      <c r="I10842" s="0" t="s">
        <v>36179</v>
      </c>
      <c r="J10842" s="0" t="s">
        <v>36180</v>
      </c>
      <c r="K10842" s="0" t="s">
        <v>36181</v>
      </c>
      <c r="L10842" s="0" t="str">
        <f aca="false">HYPERLINK("https://www.ncbi.nlm.nih.gov/nuccore/CP000304.1?report=graph&amp;tracks=[key:gene_model_track,Options:GeneOnly]&amp;mk=3042839:3042858|offset_1|00cc00,3042869:3042888|offset_31|444444,3042911:3042930|offset_73|444444,3042950:3042969|offset_112|444444&amp;v=3042638:3043169&amp;c=444444", "offset 1")</f>
        <v>offset 1</v>
      </c>
    </row>
    <row r="10843" customFormat="false" ht="12.8" hidden="false" customHeight="false" outlineLevel="0" collapsed="false">
      <c r="A10843" s="0" t="s">
        <v>12</v>
      </c>
      <c r="B10843" s="0" t="n">
        <v>3042868</v>
      </c>
      <c r="C10843" s="0" t="n">
        <v>3042888</v>
      </c>
      <c r="D10843" s="0" t="s">
        <v>36178</v>
      </c>
      <c r="E10843" s="0" t="s">
        <v>89</v>
      </c>
      <c r="F10843" s="0" t="s">
        <v>15</v>
      </c>
      <c r="G10843" s="0" t="s">
        <v>32</v>
      </c>
      <c r="H10843" s="0" t="n">
        <v>31</v>
      </c>
      <c r="I10843" s="0" t="s">
        <v>36182</v>
      </c>
      <c r="J10843" s="0" t="s">
        <v>36183</v>
      </c>
      <c r="K10843" s="0" t="s">
        <v>36184</v>
      </c>
      <c r="L10843" s="0" t="str">
        <f aca="false">HYPERLINK("https://www.ncbi.nlm.nih.gov/nuccore/CP000304.1?report=graph&amp;tracks=[key:gene_model_track,Options:GeneOnly]&amp;mk=3042839:3042858|offset_1|444444,3042869:3042888|offset_31|00cc00,3042911:3042930|offset_73|444444,3042950:3042969|offset_112|444444&amp;v=3042638:3043169&amp;c=444444", "offset 31")</f>
        <v>offset 31</v>
      </c>
    </row>
    <row r="10844" customFormat="false" ht="12.8" hidden="false" customHeight="false" outlineLevel="0" collapsed="false">
      <c r="A10844" s="0" t="s">
        <v>12</v>
      </c>
      <c r="B10844" s="0" t="n">
        <v>3042910</v>
      </c>
      <c r="C10844" s="0" t="n">
        <v>3042930</v>
      </c>
      <c r="D10844" s="0" t="s">
        <v>36178</v>
      </c>
      <c r="E10844" s="0" t="s">
        <v>89</v>
      </c>
      <c r="F10844" s="0" t="s">
        <v>15</v>
      </c>
      <c r="G10844" s="0" t="s">
        <v>32</v>
      </c>
      <c r="H10844" s="0" t="n">
        <v>73</v>
      </c>
      <c r="I10844" s="0" t="s">
        <v>36185</v>
      </c>
      <c r="J10844" s="0" t="s">
        <v>36186</v>
      </c>
      <c r="K10844" s="0" t="s">
        <v>36187</v>
      </c>
      <c r="L10844" s="0" t="str">
        <f aca="false">HYPERLINK("https://www.ncbi.nlm.nih.gov/nuccore/CP000304.1?report=graph&amp;tracks=[key:gene_model_track,Options:GeneOnly]&amp;mk=3042839:3042858|offset_1|444444,3042869:3042888|offset_31|444444,3042911:3042930|offset_73|00cc00,3042950:3042969|offset_112|444444&amp;v=3042638:3043169&amp;c=444444", "offset 73")</f>
        <v>offset 73</v>
      </c>
    </row>
    <row r="10845" customFormat="false" ht="12.8" hidden="false" customHeight="false" outlineLevel="0" collapsed="false">
      <c r="A10845" s="0" t="s">
        <v>12</v>
      </c>
      <c r="B10845" s="0" t="n">
        <v>3042949</v>
      </c>
      <c r="C10845" s="0" t="n">
        <v>3042969</v>
      </c>
      <c r="D10845" s="0" t="s">
        <v>36178</v>
      </c>
      <c r="E10845" s="0" t="s">
        <v>89</v>
      </c>
      <c r="F10845" s="0" t="s">
        <v>15</v>
      </c>
      <c r="G10845" s="0" t="s">
        <v>16</v>
      </c>
      <c r="H10845" s="0" t="n">
        <v>112</v>
      </c>
      <c r="I10845" s="0" t="s">
        <v>36188</v>
      </c>
      <c r="J10845" s="0" t="s">
        <v>36189</v>
      </c>
      <c r="K10845" s="0" t="s">
        <v>36190</v>
      </c>
      <c r="L10845" s="0" t="str">
        <f aca="false">HYPERLINK("https://www.ncbi.nlm.nih.gov/nuccore/CP000304.1?report=graph&amp;tracks=[key:gene_model_track,Options:GeneOnly]&amp;mk=3042839:3042858|offset_1|444444,3042869:3042888|offset_31|444444,3042911:3042930|offset_73|444444,3042950:3042969|offset_112|00cc00&amp;v=3042638:3043169&amp;c=444444", "offset 112")</f>
        <v>offset 112</v>
      </c>
    </row>
    <row r="10846" customFormat="false" ht="12.8" hidden="false" customHeight="false" outlineLevel="0" collapsed="false">
      <c r="A10846" s="0" t="s">
        <v>12</v>
      </c>
      <c r="B10846" s="0" t="n">
        <v>3043826</v>
      </c>
      <c r="C10846" s="0" t="n">
        <v>3043846</v>
      </c>
      <c r="D10846" s="0" t="s">
        <v>36191</v>
      </c>
      <c r="E10846" s="0" t="s">
        <v>89</v>
      </c>
      <c r="F10846" s="0" t="s">
        <v>15</v>
      </c>
      <c r="G10846" s="0" t="s">
        <v>16</v>
      </c>
      <c r="H10846" s="0" t="n">
        <v>51</v>
      </c>
      <c r="I10846" s="0" t="s">
        <v>36192</v>
      </c>
      <c r="J10846" s="0" t="s">
        <v>36193</v>
      </c>
      <c r="K10846" s="0" t="s">
        <v>36194</v>
      </c>
      <c r="L10846" s="0" t="str">
        <f aca="false">HYPERLINK("https://www.ncbi.nlm.nih.gov/nuccore/CP000304.1?report=graph&amp;tracks=[key:gene_model_track,Options:GeneOnly]&amp;mk=3043827:3043846|offset_51|00cc00,3043847:3043866|offset_71|444444,3043894:3043913|offset_118|444444,3043927:3043946|offset_151|444444&amp;v=3043626:3044146&amp;c=444444", "offset 51")</f>
        <v>offset 51</v>
      </c>
    </row>
    <row r="10847" customFormat="false" ht="12.8" hidden="false" customHeight="false" outlineLevel="0" collapsed="false">
      <c r="A10847" s="0" t="s">
        <v>12</v>
      </c>
      <c r="B10847" s="0" t="n">
        <v>3043846</v>
      </c>
      <c r="C10847" s="0" t="n">
        <v>3043866</v>
      </c>
      <c r="D10847" s="0" t="s">
        <v>36191</v>
      </c>
      <c r="E10847" s="0" t="s">
        <v>89</v>
      </c>
      <c r="F10847" s="0" t="s">
        <v>15</v>
      </c>
      <c r="G10847" s="0" t="s">
        <v>32</v>
      </c>
      <c r="H10847" s="0" t="n">
        <v>71</v>
      </c>
      <c r="I10847" s="0" t="s">
        <v>36195</v>
      </c>
      <c r="J10847" s="0" t="s">
        <v>36196</v>
      </c>
      <c r="K10847" s="0" t="s">
        <v>36197</v>
      </c>
      <c r="L10847" s="0" t="str">
        <f aca="false">HYPERLINK("https://www.ncbi.nlm.nih.gov/nuccore/CP000304.1?report=graph&amp;tracks=[key:gene_model_track,Options:GeneOnly]&amp;mk=3043827:3043846|offset_51|444444,3043847:3043866|offset_71|00cc00,3043894:3043913|offset_118|444444,3043927:3043946|offset_151|444444&amp;v=3043626:3044146&amp;c=444444", "offset 71")</f>
        <v>offset 71</v>
      </c>
    </row>
    <row r="10848" customFormat="false" ht="12.8" hidden="false" customHeight="false" outlineLevel="0" collapsed="false">
      <c r="A10848" s="0" t="s">
        <v>12</v>
      </c>
      <c r="B10848" s="0" t="n">
        <v>3043893</v>
      </c>
      <c r="C10848" s="0" t="n">
        <v>3043913</v>
      </c>
      <c r="D10848" s="0" t="s">
        <v>36191</v>
      </c>
      <c r="E10848" s="0" t="s">
        <v>89</v>
      </c>
      <c r="F10848" s="0" t="s">
        <v>15</v>
      </c>
      <c r="G10848" s="0" t="s">
        <v>16</v>
      </c>
      <c r="H10848" s="0" t="n">
        <v>118</v>
      </c>
      <c r="I10848" s="0" t="s">
        <v>36198</v>
      </c>
      <c r="J10848" s="0" t="s">
        <v>36199</v>
      </c>
      <c r="K10848" s="0" t="s">
        <v>36200</v>
      </c>
      <c r="L10848" s="0" t="str">
        <f aca="false">HYPERLINK("https://www.ncbi.nlm.nih.gov/nuccore/CP000304.1?report=graph&amp;tracks=[key:gene_model_track,Options:GeneOnly]&amp;mk=3043827:3043846|offset_51|444444,3043847:3043866|offset_71|444444,3043894:3043913|offset_118|00cc00,3043927:3043946|offset_151|444444&amp;v=3043626:3044146&amp;c=444444", "offset 118")</f>
        <v>offset 118</v>
      </c>
    </row>
    <row r="10849" customFormat="false" ht="12.8" hidden="false" customHeight="false" outlineLevel="0" collapsed="false">
      <c r="A10849" s="0" t="s">
        <v>12</v>
      </c>
      <c r="B10849" s="0" t="n">
        <v>3043926</v>
      </c>
      <c r="C10849" s="0" t="n">
        <v>3043946</v>
      </c>
      <c r="D10849" s="0" t="s">
        <v>36191</v>
      </c>
      <c r="E10849" s="0" t="s">
        <v>89</v>
      </c>
      <c r="F10849" s="0" t="s">
        <v>15</v>
      </c>
      <c r="G10849" s="0" t="s">
        <v>16</v>
      </c>
      <c r="H10849" s="0" t="n">
        <v>151</v>
      </c>
      <c r="I10849" s="0" t="s">
        <v>36201</v>
      </c>
      <c r="J10849" s="0" t="s">
        <v>36202</v>
      </c>
      <c r="K10849" s="0" t="s">
        <v>36203</v>
      </c>
      <c r="L10849" s="0" t="str">
        <f aca="false">HYPERLINK("https://www.ncbi.nlm.nih.gov/nuccore/CP000304.1?report=graph&amp;tracks=[key:gene_model_track,Options:GeneOnly]&amp;mk=3043827:3043846|offset_51|444444,3043847:3043866|offset_71|444444,3043894:3043913|offset_118|444444,3043927:3043946|offset_151|00cc00&amp;v=3043626:3044146&amp;c=444444", "offset 151")</f>
        <v>offset 151</v>
      </c>
    </row>
    <row r="10850" customFormat="false" ht="12.8" hidden="false" customHeight="false" outlineLevel="0" collapsed="false">
      <c r="A10850" s="0" t="s">
        <v>12</v>
      </c>
      <c r="B10850" s="0" t="n">
        <v>3044784</v>
      </c>
      <c r="C10850" s="0" t="n">
        <v>3044804</v>
      </c>
      <c r="D10850" s="0" t="s">
        <v>36204</v>
      </c>
      <c r="E10850" s="0" t="s">
        <v>89</v>
      </c>
      <c r="F10850" s="0" t="s">
        <v>90</v>
      </c>
      <c r="G10850" s="0" t="s">
        <v>32</v>
      </c>
      <c r="H10850" s="0" t="n">
        <v>7</v>
      </c>
      <c r="I10850" s="0" t="s">
        <v>36205</v>
      </c>
      <c r="J10850" s="0" t="s">
        <v>36206</v>
      </c>
      <c r="K10850" s="0" t="s">
        <v>36207</v>
      </c>
      <c r="L10850" s="0" t="str">
        <f aca="false">HYPERLINK("https://www.ncbi.nlm.nih.gov/nuccore/CP000304.1?report=graph&amp;tracks=[key:gene_model_track,Options:GeneOnly]&amp;mk=3044785:3044804|offset_7|00cc00,3044755:3044774|offset_37|444444,3044692:3044711|offset_100|444444,3044647:3044666|offset_145|444444&amp;v=3044584:3044866&amp;c=444444", "offset 7")</f>
        <v>offset 7</v>
      </c>
    </row>
    <row r="10851" customFormat="false" ht="12.8" hidden="false" customHeight="false" outlineLevel="0" collapsed="false">
      <c r="A10851" s="0" t="s">
        <v>12</v>
      </c>
      <c r="B10851" s="0" t="n">
        <v>3044754</v>
      </c>
      <c r="C10851" s="0" t="n">
        <v>3044774</v>
      </c>
      <c r="D10851" s="0" t="s">
        <v>36204</v>
      </c>
      <c r="E10851" s="0" t="s">
        <v>89</v>
      </c>
      <c r="F10851" s="0" t="s">
        <v>90</v>
      </c>
      <c r="G10851" s="0" t="s">
        <v>26</v>
      </c>
      <c r="H10851" s="0" t="n">
        <v>37</v>
      </c>
      <c r="I10851" s="0" t="s">
        <v>36208</v>
      </c>
      <c r="J10851" s="0" t="s">
        <v>36209</v>
      </c>
      <c r="K10851" s="0" t="s">
        <v>36210</v>
      </c>
      <c r="L10851" s="0" t="str">
        <f aca="false">HYPERLINK("https://www.ncbi.nlm.nih.gov/nuccore/CP000304.1?report=graph&amp;tracks=[key:gene_model_track,Options:GeneOnly]&amp;mk=3044785:3044804|offset_7|444444,3044755:3044774|offset_37|00cc00,3044692:3044711|offset_100|444444,3044647:3044666|offset_145|444444&amp;v=3044584:3044866&amp;c=444444", "offset 37")</f>
        <v>offset 37</v>
      </c>
    </row>
    <row r="10852" customFormat="false" ht="12.8" hidden="false" customHeight="false" outlineLevel="0" collapsed="false">
      <c r="A10852" s="0" t="s">
        <v>12</v>
      </c>
      <c r="B10852" s="0" t="n">
        <v>3044691</v>
      </c>
      <c r="C10852" s="0" t="n">
        <v>3044711</v>
      </c>
      <c r="D10852" s="0" t="s">
        <v>36204</v>
      </c>
      <c r="E10852" s="0" t="s">
        <v>89</v>
      </c>
      <c r="F10852" s="0" t="s">
        <v>90</v>
      </c>
      <c r="G10852" s="0" t="s">
        <v>16</v>
      </c>
      <c r="H10852" s="0" t="n">
        <v>100</v>
      </c>
      <c r="I10852" s="0" t="s">
        <v>36211</v>
      </c>
      <c r="J10852" s="0" t="s">
        <v>36212</v>
      </c>
      <c r="K10852" s="0" t="s">
        <v>36213</v>
      </c>
      <c r="L10852" s="0" t="str">
        <f aca="false">HYPERLINK("https://www.ncbi.nlm.nih.gov/nuccore/CP000304.1?report=graph&amp;tracks=[key:gene_model_track,Options:GeneOnly]&amp;mk=3044785:3044804|offset_7|444444,3044755:3044774|offset_37|444444,3044692:3044711|offset_100|00cc00,3044647:3044666|offset_145|444444&amp;v=3044584:3044866&amp;c=444444", "offset 100")</f>
        <v>offset 100</v>
      </c>
    </row>
    <row r="10853" customFormat="false" ht="12.8" hidden="false" customHeight="false" outlineLevel="0" collapsed="false">
      <c r="A10853" s="0" t="s">
        <v>12</v>
      </c>
      <c r="B10853" s="0" t="n">
        <v>3044646</v>
      </c>
      <c r="C10853" s="0" t="n">
        <v>3044666</v>
      </c>
      <c r="D10853" s="0" t="s">
        <v>36204</v>
      </c>
      <c r="E10853" s="0" t="s">
        <v>89</v>
      </c>
      <c r="F10853" s="0" t="s">
        <v>90</v>
      </c>
      <c r="G10853" s="0" t="s">
        <v>16</v>
      </c>
      <c r="H10853" s="0" t="n">
        <v>145</v>
      </c>
      <c r="I10853" s="0" t="s">
        <v>36214</v>
      </c>
      <c r="J10853" s="0" t="s">
        <v>36215</v>
      </c>
      <c r="K10853" s="0" t="s">
        <v>36216</v>
      </c>
      <c r="L10853" s="0" t="str">
        <f aca="false">HYPERLINK("https://www.ncbi.nlm.nih.gov/nuccore/CP000304.1?report=graph&amp;tracks=[key:gene_model_track,Options:GeneOnly]&amp;mk=3044785:3044804|offset_7|444444,3044755:3044774|offset_37|444444,3044692:3044711|offset_100|444444,3044647:3044666|offset_145|00cc00&amp;v=3044584:3044866&amp;c=444444", "offset 145")</f>
        <v>offset 145</v>
      </c>
    </row>
    <row r="10854" customFormat="false" ht="12.8" hidden="false" customHeight="false" outlineLevel="0" collapsed="false">
      <c r="A10854" s="0" t="s">
        <v>12</v>
      </c>
      <c r="B10854" s="0" t="n">
        <v>3044823</v>
      </c>
      <c r="C10854" s="0" t="n">
        <v>3044843</v>
      </c>
      <c r="D10854" s="0" t="s">
        <v>36217</v>
      </c>
      <c r="E10854" s="0" t="s">
        <v>89</v>
      </c>
      <c r="F10854" s="0" t="s">
        <v>15</v>
      </c>
      <c r="G10854" s="0" t="s">
        <v>36</v>
      </c>
      <c r="H10854" s="0" t="n">
        <v>14</v>
      </c>
      <c r="I10854" s="0" t="s">
        <v>36218</v>
      </c>
      <c r="J10854" s="0" t="s">
        <v>36219</v>
      </c>
      <c r="K10854" s="0" t="s">
        <v>36220</v>
      </c>
      <c r="L10854" s="0" t="str">
        <f aca="false">HYPERLINK("https://www.ncbi.nlm.nih.gov/nuccore/CP000304.1?report=graph&amp;tracks=[key:gene_model_track,Options:GeneOnly]&amp;mk=3044824:3044843|offset_14|00cc00,3044848:3044867|offset_38|444444,3044871:3044890|offset_61|444444,3044898:3044917|offset_88|444444&amp;v=3044623:3045117&amp;c=444444", "offset 14")</f>
        <v>offset 14</v>
      </c>
    </row>
    <row r="10855" customFormat="false" ht="12.8" hidden="false" customHeight="false" outlineLevel="0" collapsed="false">
      <c r="A10855" s="0" t="s">
        <v>12</v>
      </c>
      <c r="B10855" s="0" t="n">
        <v>3044847</v>
      </c>
      <c r="C10855" s="0" t="n">
        <v>3044867</v>
      </c>
      <c r="D10855" s="0" t="s">
        <v>36217</v>
      </c>
      <c r="E10855" s="0" t="s">
        <v>89</v>
      </c>
      <c r="F10855" s="0" t="s">
        <v>15</v>
      </c>
      <c r="G10855" s="0" t="s">
        <v>16</v>
      </c>
      <c r="H10855" s="0" t="n">
        <v>38</v>
      </c>
      <c r="I10855" s="0" t="s">
        <v>36221</v>
      </c>
      <c r="J10855" s="0" t="s">
        <v>36222</v>
      </c>
      <c r="K10855" s="0" t="s">
        <v>36223</v>
      </c>
      <c r="L10855" s="0" t="str">
        <f aca="false">HYPERLINK("https://www.ncbi.nlm.nih.gov/nuccore/CP000304.1?report=graph&amp;tracks=[key:gene_model_track,Options:GeneOnly]&amp;mk=3044824:3044843|offset_14|444444,3044848:3044867|offset_38|00cc00,3044871:3044890|offset_61|444444,3044898:3044917|offset_88|444444&amp;v=3044623:3045117&amp;c=444444", "offset 38")</f>
        <v>offset 38</v>
      </c>
    </row>
    <row r="10856" customFormat="false" ht="12.8" hidden="false" customHeight="false" outlineLevel="0" collapsed="false">
      <c r="A10856" s="0" t="s">
        <v>12</v>
      </c>
      <c r="B10856" s="0" t="n">
        <v>3044870</v>
      </c>
      <c r="C10856" s="0" t="n">
        <v>3044890</v>
      </c>
      <c r="D10856" s="0" t="s">
        <v>36217</v>
      </c>
      <c r="E10856" s="0" t="s">
        <v>89</v>
      </c>
      <c r="F10856" s="0" t="s">
        <v>15</v>
      </c>
      <c r="G10856" s="0" t="s">
        <v>26</v>
      </c>
      <c r="H10856" s="0" t="n">
        <v>61</v>
      </c>
      <c r="I10856" s="0" t="s">
        <v>36224</v>
      </c>
      <c r="J10856" s="0" t="s">
        <v>36225</v>
      </c>
      <c r="K10856" s="0" t="s">
        <v>36226</v>
      </c>
      <c r="L10856" s="0" t="str">
        <f aca="false">HYPERLINK("https://www.ncbi.nlm.nih.gov/nuccore/CP000304.1?report=graph&amp;tracks=[key:gene_model_track,Options:GeneOnly]&amp;mk=3044824:3044843|offset_14|444444,3044848:3044867|offset_38|444444,3044871:3044890|offset_61|00cc00,3044898:3044917|offset_88|444444&amp;v=3044623:3045117&amp;c=444444", "offset 61")</f>
        <v>offset 61</v>
      </c>
    </row>
    <row r="10857" customFormat="false" ht="12.8" hidden="false" customHeight="false" outlineLevel="0" collapsed="false">
      <c r="A10857" s="0" t="s">
        <v>12</v>
      </c>
      <c r="B10857" s="0" t="n">
        <v>3044897</v>
      </c>
      <c r="C10857" s="0" t="n">
        <v>3044917</v>
      </c>
      <c r="D10857" s="0" t="s">
        <v>36217</v>
      </c>
      <c r="E10857" s="0" t="s">
        <v>89</v>
      </c>
      <c r="F10857" s="0" t="s">
        <v>15</v>
      </c>
      <c r="G10857" s="0" t="s">
        <v>32</v>
      </c>
      <c r="H10857" s="0" t="n">
        <v>88</v>
      </c>
      <c r="I10857" s="0" t="s">
        <v>36227</v>
      </c>
      <c r="J10857" s="0" t="s">
        <v>36228</v>
      </c>
      <c r="K10857" s="0" t="s">
        <v>36229</v>
      </c>
      <c r="L10857" s="0" t="str">
        <f aca="false">HYPERLINK("https://www.ncbi.nlm.nih.gov/nuccore/CP000304.1?report=graph&amp;tracks=[key:gene_model_track,Options:GeneOnly]&amp;mk=3044824:3044843|offset_14|444444,3044848:3044867|offset_38|444444,3044871:3044890|offset_61|444444,3044898:3044917|offset_88|00cc00&amp;v=3044623:3045117&amp;c=444444", "offset 88")</f>
        <v>offset 88</v>
      </c>
    </row>
    <row r="10858" customFormat="false" ht="12.8" hidden="false" customHeight="false" outlineLevel="0" collapsed="false">
      <c r="A10858" s="0" t="s">
        <v>12</v>
      </c>
      <c r="B10858" s="0" t="n">
        <v>3046887</v>
      </c>
      <c r="C10858" s="0" t="n">
        <v>3046907</v>
      </c>
      <c r="D10858" s="0" t="s">
        <v>36230</v>
      </c>
      <c r="E10858" s="0" t="s">
        <v>89</v>
      </c>
      <c r="F10858" s="0" t="s">
        <v>90</v>
      </c>
      <c r="G10858" s="0" t="s">
        <v>26</v>
      </c>
      <c r="H10858" s="0" t="n">
        <v>40</v>
      </c>
      <c r="I10858" s="0" t="s">
        <v>36231</v>
      </c>
      <c r="J10858" s="0" t="s">
        <v>36232</v>
      </c>
      <c r="K10858" s="0" t="s">
        <v>36233</v>
      </c>
      <c r="L10858" s="0" t="str">
        <f aca="false">HYPERLINK("https://www.ncbi.nlm.nih.gov/nuccore/CP000304.1?report=graph&amp;tracks=[key:gene_model_track,Options:GeneOnly]&amp;mk=3046888:3046907|offset_40|00cc00,3046862:3046881|offset_66|444444,3046840:3046859|offset_88|444444,3046766:3046785|offset_162|444444&amp;v=3046687:3046985&amp;c=444444", "offset 40")</f>
        <v>offset 40</v>
      </c>
    </row>
    <row r="10859" customFormat="false" ht="12.8" hidden="false" customHeight="false" outlineLevel="0" collapsed="false">
      <c r="A10859" s="0" t="s">
        <v>12</v>
      </c>
      <c r="B10859" s="0" t="n">
        <v>3046861</v>
      </c>
      <c r="C10859" s="0" t="n">
        <v>3046881</v>
      </c>
      <c r="D10859" s="0" t="s">
        <v>36230</v>
      </c>
      <c r="E10859" s="0" t="s">
        <v>89</v>
      </c>
      <c r="F10859" s="0" t="s">
        <v>90</v>
      </c>
      <c r="G10859" s="0" t="s">
        <v>16</v>
      </c>
      <c r="H10859" s="0" t="n">
        <v>66</v>
      </c>
      <c r="I10859" s="0" t="s">
        <v>36234</v>
      </c>
      <c r="J10859" s="0" t="s">
        <v>36235</v>
      </c>
      <c r="K10859" s="0" t="s">
        <v>36236</v>
      </c>
      <c r="L10859" s="0" t="str">
        <f aca="false">HYPERLINK("https://www.ncbi.nlm.nih.gov/nuccore/CP000304.1?report=graph&amp;tracks=[key:gene_model_track,Options:GeneOnly]&amp;mk=3046888:3046907|offset_40|444444,3046862:3046881|offset_66|00cc00,3046840:3046859|offset_88|444444,3046766:3046785|offset_162|444444&amp;v=3046687:3046985&amp;c=444444", "offset 66")</f>
        <v>offset 66</v>
      </c>
    </row>
    <row r="10860" customFormat="false" ht="12.8" hidden="false" customHeight="false" outlineLevel="0" collapsed="false">
      <c r="A10860" s="0" t="s">
        <v>12</v>
      </c>
      <c r="B10860" s="0" t="n">
        <v>3046839</v>
      </c>
      <c r="C10860" s="0" t="n">
        <v>3046859</v>
      </c>
      <c r="D10860" s="0" t="s">
        <v>36230</v>
      </c>
      <c r="E10860" s="0" t="s">
        <v>89</v>
      </c>
      <c r="F10860" s="0" t="s">
        <v>90</v>
      </c>
      <c r="G10860" s="0" t="s">
        <v>32</v>
      </c>
      <c r="H10860" s="0" t="n">
        <v>88</v>
      </c>
      <c r="I10860" s="0" t="s">
        <v>36237</v>
      </c>
      <c r="J10860" s="0" t="s">
        <v>36238</v>
      </c>
      <c r="K10860" s="0" t="s">
        <v>36239</v>
      </c>
      <c r="L10860" s="0" t="str">
        <f aca="false">HYPERLINK("https://www.ncbi.nlm.nih.gov/nuccore/CP000304.1?report=graph&amp;tracks=[key:gene_model_track,Options:GeneOnly]&amp;mk=3046888:3046907|offset_40|444444,3046862:3046881|offset_66|444444,3046840:3046859|offset_88|00cc00,3046766:3046785|offset_162|444444&amp;v=3046687:3046985&amp;c=444444", "offset 88")</f>
        <v>offset 88</v>
      </c>
    </row>
    <row r="10861" customFormat="false" ht="12.8" hidden="false" customHeight="false" outlineLevel="0" collapsed="false">
      <c r="A10861" s="0" t="s">
        <v>12</v>
      </c>
      <c r="B10861" s="0" t="n">
        <v>3046765</v>
      </c>
      <c r="C10861" s="0" t="n">
        <v>3046785</v>
      </c>
      <c r="D10861" s="0" t="s">
        <v>36230</v>
      </c>
      <c r="E10861" s="0" t="s">
        <v>89</v>
      </c>
      <c r="F10861" s="0" t="s">
        <v>90</v>
      </c>
      <c r="G10861" s="0" t="s">
        <v>16</v>
      </c>
      <c r="H10861" s="0" t="n">
        <v>162</v>
      </c>
      <c r="I10861" s="0" t="s">
        <v>36240</v>
      </c>
      <c r="J10861" s="0" t="s">
        <v>36241</v>
      </c>
      <c r="K10861" s="0" t="s">
        <v>36242</v>
      </c>
      <c r="L10861" s="0" t="str">
        <f aca="false">HYPERLINK("https://www.ncbi.nlm.nih.gov/nuccore/CP000304.1?report=graph&amp;tracks=[key:gene_model_track,Options:GeneOnly]&amp;mk=3046888:3046907|offset_40|444444,3046862:3046881|offset_66|444444,3046840:3046859|offset_88|444444,3046766:3046785|offset_162|00cc00&amp;v=3046687:3046985&amp;c=444444", "offset 162")</f>
        <v>offset 162</v>
      </c>
    </row>
    <row r="10862" customFormat="false" ht="12.8" hidden="false" customHeight="false" outlineLevel="0" collapsed="false">
      <c r="A10862" s="0" t="s">
        <v>12</v>
      </c>
      <c r="B10862" s="0" t="n">
        <v>3046956</v>
      </c>
      <c r="C10862" s="0" t="n">
        <v>3046976</v>
      </c>
      <c r="D10862" s="0" t="s">
        <v>36243</v>
      </c>
      <c r="E10862" s="0" t="s">
        <v>36244</v>
      </c>
      <c r="F10862" s="0" t="s">
        <v>15</v>
      </c>
      <c r="G10862" s="0" t="s">
        <v>16</v>
      </c>
      <c r="H10862" s="0" t="n">
        <v>30</v>
      </c>
      <c r="I10862" s="0" t="s">
        <v>36245</v>
      </c>
      <c r="J10862" s="0" t="s">
        <v>36246</v>
      </c>
      <c r="K10862" s="0" t="s">
        <v>36247</v>
      </c>
      <c r="L10862" s="0" t="str">
        <f aca="false">HYPERLINK("https://www.ncbi.nlm.nih.gov/nuccore/CP000304.1?report=graph&amp;tracks=[key:gene_model_track,Options:GeneOnly]&amp;mk=3046957:3046976|offset_30|00cc00,3047008:3047027|offset_81|444444,3047034:3047053|offset_107|444444,3047058:3047077|offset_131|444444&amp;v=3046756:3047277&amp;c=444444", "offset 30")</f>
        <v>offset 30</v>
      </c>
    </row>
    <row r="10863" customFormat="false" ht="12.8" hidden="false" customHeight="false" outlineLevel="0" collapsed="false">
      <c r="A10863" s="0" t="s">
        <v>12</v>
      </c>
      <c r="B10863" s="0" t="n">
        <v>3047007</v>
      </c>
      <c r="C10863" s="0" t="n">
        <v>3047027</v>
      </c>
      <c r="D10863" s="0" t="s">
        <v>36243</v>
      </c>
      <c r="E10863" s="0" t="s">
        <v>36244</v>
      </c>
      <c r="F10863" s="0" t="s">
        <v>15</v>
      </c>
      <c r="G10863" s="0" t="s">
        <v>36</v>
      </c>
      <c r="H10863" s="0" t="n">
        <v>81</v>
      </c>
      <c r="I10863" s="0" t="s">
        <v>36248</v>
      </c>
      <c r="J10863" s="0" t="s">
        <v>36249</v>
      </c>
      <c r="K10863" s="0" t="s">
        <v>36250</v>
      </c>
      <c r="L10863" s="0" t="str">
        <f aca="false">HYPERLINK("https://www.ncbi.nlm.nih.gov/nuccore/CP000304.1?report=graph&amp;tracks=[key:gene_model_track,Options:GeneOnly]&amp;mk=3046957:3046976|offset_30|444444,3047008:3047027|offset_81|00cc00,3047034:3047053|offset_107|444444,3047058:3047077|offset_131|444444&amp;v=3046756:3047277&amp;c=444444", "offset 81")</f>
        <v>offset 81</v>
      </c>
    </row>
    <row r="10864" customFormat="false" ht="12.8" hidden="false" customHeight="false" outlineLevel="0" collapsed="false">
      <c r="A10864" s="0" t="s">
        <v>12</v>
      </c>
      <c r="B10864" s="0" t="n">
        <v>3047033</v>
      </c>
      <c r="C10864" s="0" t="n">
        <v>3047053</v>
      </c>
      <c r="D10864" s="0" t="s">
        <v>36243</v>
      </c>
      <c r="E10864" s="0" t="s">
        <v>36244</v>
      </c>
      <c r="F10864" s="0" t="s">
        <v>15</v>
      </c>
      <c r="G10864" s="0" t="s">
        <v>32</v>
      </c>
      <c r="H10864" s="0" t="n">
        <v>107</v>
      </c>
      <c r="I10864" s="0" t="s">
        <v>36251</v>
      </c>
      <c r="J10864" s="0" t="s">
        <v>36252</v>
      </c>
      <c r="K10864" s="0" t="s">
        <v>36253</v>
      </c>
      <c r="L10864" s="0" t="str">
        <f aca="false">HYPERLINK("https://www.ncbi.nlm.nih.gov/nuccore/CP000304.1?report=graph&amp;tracks=[key:gene_model_track,Options:GeneOnly]&amp;mk=3046957:3046976|offset_30|444444,3047008:3047027|offset_81|444444,3047034:3047053|offset_107|00cc00,3047058:3047077|offset_131|444444&amp;v=3046756:3047277&amp;c=444444", "offset 107")</f>
        <v>offset 107</v>
      </c>
    </row>
    <row r="10865" customFormat="false" ht="12.8" hidden="false" customHeight="false" outlineLevel="0" collapsed="false">
      <c r="A10865" s="0" t="s">
        <v>12</v>
      </c>
      <c r="B10865" s="0" t="n">
        <v>3047057</v>
      </c>
      <c r="C10865" s="0" t="n">
        <v>3047077</v>
      </c>
      <c r="D10865" s="0" t="s">
        <v>36243</v>
      </c>
      <c r="E10865" s="0" t="s">
        <v>36244</v>
      </c>
      <c r="F10865" s="0" t="s">
        <v>15</v>
      </c>
      <c r="G10865" s="0" t="s">
        <v>32</v>
      </c>
      <c r="H10865" s="0" t="n">
        <v>131</v>
      </c>
      <c r="I10865" s="0" t="s">
        <v>36254</v>
      </c>
      <c r="J10865" s="0" t="s">
        <v>36255</v>
      </c>
      <c r="K10865" s="0" t="s">
        <v>36256</v>
      </c>
      <c r="L10865" s="0" t="str">
        <f aca="false">HYPERLINK("https://www.ncbi.nlm.nih.gov/nuccore/CP000304.1?report=graph&amp;tracks=[key:gene_model_track,Options:GeneOnly]&amp;mk=3046957:3046976|offset_30|444444,3047008:3047027|offset_81|444444,3047034:3047053|offset_107|444444,3047058:3047077|offset_131|00cc00&amp;v=3046756:3047277&amp;c=444444", "offset 131")</f>
        <v>offset 131</v>
      </c>
    </row>
    <row r="10866" customFormat="false" ht="12.8" hidden="false" customHeight="false" outlineLevel="0" collapsed="false">
      <c r="A10866" s="0" t="s">
        <v>12</v>
      </c>
      <c r="B10866" s="0" t="n">
        <v>3047522</v>
      </c>
      <c r="C10866" s="0" t="n">
        <v>3047542</v>
      </c>
      <c r="D10866" s="0" t="s">
        <v>36257</v>
      </c>
      <c r="E10866" s="0" t="s">
        <v>89</v>
      </c>
      <c r="F10866" s="0" t="s">
        <v>15</v>
      </c>
      <c r="G10866" s="0" t="s">
        <v>36</v>
      </c>
      <c r="H10866" s="0" t="n">
        <v>12</v>
      </c>
      <c r="I10866" s="0" t="s">
        <v>36258</v>
      </c>
      <c r="J10866" s="0" t="s">
        <v>36259</v>
      </c>
      <c r="K10866" s="0" t="s">
        <v>36260</v>
      </c>
      <c r="L10866" s="0" t="str">
        <f aca="false">HYPERLINK("https://www.ncbi.nlm.nih.gov/nuccore/CP000304.1?report=graph&amp;tracks=[key:gene_model_track,Options:GeneOnly]&amp;mk=3047523:3047542|offset_12|00cc00,3047549:3047568|offset_38|444444,3047575:3047594|offset_64|444444,3047605:3047624|offset_94|444444&amp;v=3047322:3047824&amp;c=444444", "offset 12")</f>
        <v>offset 12</v>
      </c>
    </row>
    <row r="10867" customFormat="false" ht="12.8" hidden="false" customHeight="false" outlineLevel="0" collapsed="false">
      <c r="A10867" s="0" t="s">
        <v>12</v>
      </c>
      <c r="B10867" s="0" t="n">
        <v>3047548</v>
      </c>
      <c r="C10867" s="0" t="n">
        <v>3047568</v>
      </c>
      <c r="D10867" s="0" t="s">
        <v>36257</v>
      </c>
      <c r="E10867" s="0" t="s">
        <v>89</v>
      </c>
      <c r="F10867" s="0" t="s">
        <v>15</v>
      </c>
      <c r="G10867" s="0" t="s">
        <v>16</v>
      </c>
      <c r="H10867" s="0" t="n">
        <v>38</v>
      </c>
      <c r="I10867" s="0" t="s">
        <v>36261</v>
      </c>
      <c r="J10867" s="0" t="s">
        <v>36262</v>
      </c>
      <c r="K10867" s="0" t="s">
        <v>36263</v>
      </c>
      <c r="L10867" s="0" t="str">
        <f aca="false">HYPERLINK("https://www.ncbi.nlm.nih.gov/nuccore/CP000304.1?report=graph&amp;tracks=[key:gene_model_track,Options:GeneOnly]&amp;mk=3047523:3047542|offset_12|444444,3047549:3047568|offset_38|00cc00,3047575:3047594|offset_64|444444,3047605:3047624|offset_94|444444&amp;v=3047322:3047824&amp;c=444444", "offset 38")</f>
        <v>offset 38</v>
      </c>
    </row>
    <row r="10868" customFormat="false" ht="12.8" hidden="false" customHeight="false" outlineLevel="0" collapsed="false">
      <c r="A10868" s="0" t="s">
        <v>12</v>
      </c>
      <c r="B10868" s="0" t="n">
        <v>3047574</v>
      </c>
      <c r="C10868" s="0" t="n">
        <v>3047594</v>
      </c>
      <c r="D10868" s="0" t="s">
        <v>36257</v>
      </c>
      <c r="E10868" s="0" t="s">
        <v>89</v>
      </c>
      <c r="F10868" s="0" t="s">
        <v>15</v>
      </c>
      <c r="G10868" s="0" t="s">
        <v>36</v>
      </c>
      <c r="H10868" s="0" t="n">
        <v>64</v>
      </c>
      <c r="I10868" s="0" t="s">
        <v>36264</v>
      </c>
      <c r="J10868" s="0" t="s">
        <v>36265</v>
      </c>
      <c r="K10868" s="0" t="s">
        <v>36266</v>
      </c>
      <c r="L10868" s="0" t="str">
        <f aca="false">HYPERLINK("https://www.ncbi.nlm.nih.gov/nuccore/CP000304.1?report=graph&amp;tracks=[key:gene_model_track,Options:GeneOnly]&amp;mk=3047523:3047542|offset_12|444444,3047549:3047568|offset_38|444444,3047575:3047594|offset_64|00cc00,3047605:3047624|offset_94|444444&amp;v=3047322:3047824&amp;c=444444", "offset 64")</f>
        <v>offset 64</v>
      </c>
    </row>
    <row r="10869" customFormat="false" ht="12.8" hidden="false" customHeight="false" outlineLevel="0" collapsed="false">
      <c r="A10869" s="0" t="s">
        <v>12</v>
      </c>
      <c r="B10869" s="0" t="n">
        <v>3047604</v>
      </c>
      <c r="C10869" s="0" t="n">
        <v>3047624</v>
      </c>
      <c r="D10869" s="0" t="s">
        <v>36257</v>
      </c>
      <c r="E10869" s="0" t="s">
        <v>89</v>
      </c>
      <c r="F10869" s="0" t="s">
        <v>15</v>
      </c>
      <c r="G10869" s="0" t="s">
        <v>16</v>
      </c>
      <c r="H10869" s="0" t="n">
        <v>94</v>
      </c>
      <c r="I10869" s="0" t="s">
        <v>36267</v>
      </c>
      <c r="J10869" s="0" t="s">
        <v>36268</v>
      </c>
      <c r="K10869" s="0" t="s">
        <v>36269</v>
      </c>
      <c r="L10869" s="0" t="str">
        <f aca="false">HYPERLINK("https://www.ncbi.nlm.nih.gov/nuccore/CP000304.1?report=graph&amp;tracks=[key:gene_model_track,Options:GeneOnly]&amp;mk=3047523:3047542|offset_12|444444,3047549:3047568|offset_38|444444,3047575:3047594|offset_64|444444,3047605:3047624|offset_94|00cc00&amp;v=3047322:3047824&amp;c=444444", "offset 94")</f>
        <v>offset 94</v>
      </c>
    </row>
    <row r="10870" customFormat="false" ht="12.8" hidden="false" customHeight="false" outlineLevel="0" collapsed="false">
      <c r="A10870" s="0" t="s">
        <v>12</v>
      </c>
      <c r="B10870" s="0" t="n">
        <v>3048129</v>
      </c>
      <c r="C10870" s="0" t="n">
        <v>3048149</v>
      </c>
      <c r="D10870" s="0" t="s">
        <v>36270</v>
      </c>
      <c r="E10870" s="0" t="s">
        <v>89</v>
      </c>
      <c r="F10870" s="0" t="s">
        <v>15</v>
      </c>
      <c r="G10870" s="0" t="s">
        <v>36</v>
      </c>
      <c r="H10870" s="0" t="n">
        <v>21</v>
      </c>
      <c r="I10870" s="0" t="s">
        <v>36271</v>
      </c>
      <c r="J10870" s="0" t="s">
        <v>36272</v>
      </c>
      <c r="K10870" s="0" t="s">
        <v>36273</v>
      </c>
      <c r="L10870" s="0" t="str">
        <f aca="false">HYPERLINK("https://www.ncbi.nlm.nih.gov/nuccore/CP000304.1?report=graph&amp;tracks=[key:gene_model_track,Options:GeneOnly]&amp;mk=3048130:3048149|offset_21|00cc00,3048155:3048174|offset_46|444444,3048186:3048205|offset_77|444444,3048221:3048240|offset_112|444444&amp;v=3047929:3048440&amp;c=444444", "offset 21")</f>
        <v>offset 21</v>
      </c>
    </row>
    <row r="10871" customFormat="false" ht="12.8" hidden="false" customHeight="false" outlineLevel="0" collapsed="false">
      <c r="A10871" s="0" t="s">
        <v>12</v>
      </c>
      <c r="B10871" s="0" t="n">
        <v>3048154</v>
      </c>
      <c r="C10871" s="0" t="n">
        <v>3048174</v>
      </c>
      <c r="D10871" s="0" t="s">
        <v>36270</v>
      </c>
      <c r="E10871" s="0" t="s">
        <v>89</v>
      </c>
      <c r="F10871" s="0" t="s">
        <v>15</v>
      </c>
      <c r="G10871" s="0" t="s">
        <v>36</v>
      </c>
      <c r="H10871" s="0" t="n">
        <v>46</v>
      </c>
      <c r="I10871" s="0" t="s">
        <v>36274</v>
      </c>
      <c r="J10871" s="0" t="s">
        <v>36275</v>
      </c>
      <c r="K10871" s="0" t="s">
        <v>36276</v>
      </c>
      <c r="L10871" s="0" t="str">
        <f aca="false">HYPERLINK("https://www.ncbi.nlm.nih.gov/nuccore/CP000304.1?report=graph&amp;tracks=[key:gene_model_track,Options:GeneOnly]&amp;mk=3048130:3048149|offset_21|444444,3048155:3048174|offset_46|00cc00,3048186:3048205|offset_77|444444,3048221:3048240|offset_112|444444&amp;v=3047929:3048440&amp;c=444444", "offset 46")</f>
        <v>offset 46</v>
      </c>
    </row>
    <row r="10872" customFormat="false" ht="12.8" hidden="false" customHeight="false" outlineLevel="0" collapsed="false">
      <c r="A10872" s="0" t="s">
        <v>12</v>
      </c>
      <c r="B10872" s="0" t="n">
        <v>3048185</v>
      </c>
      <c r="C10872" s="0" t="n">
        <v>3048205</v>
      </c>
      <c r="D10872" s="0" t="s">
        <v>36270</v>
      </c>
      <c r="E10872" s="0" t="s">
        <v>89</v>
      </c>
      <c r="F10872" s="0" t="s">
        <v>15</v>
      </c>
      <c r="G10872" s="0" t="s">
        <v>26</v>
      </c>
      <c r="H10872" s="0" t="n">
        <v>77</v>
      </c>
      <c r="I10872" s="0" t="s">
        <v>36277</v>
      </c>
      <c r="J10872" s="0" t="s">
        <v>36278</v>
      </c>
      <c r="K10872" s="0" t="s">
        <v>36279</v>
      </c>
      <c r="L10872" s="0" t="str">
        <f aca="false">HYPERLINK("https://www.ncbi.nlm.nih.gov/nuccore/CP000304.1?report=graph&amp;tracks=[key:gene_model_track,Options:GeneOnly]&amp;mk=3048130:3048149|offset_21|444444,3048155:3048174|offset_46|444444,3048186:3048205|offset_77|00cc00,3048221:3048240|offset_112|444444&amp;v=3047929:3048440&amp;c=444444", "offset 77")</f>
        <v>offset 77</v>
      </c>
    </row>
    <row r="10873" customFormat="false" ht="12.8" hidden="false" customHeight="false" outlineLevel="0" collapsed="false">
      <c r="A10873" s="0" t="s">
        <v>12</v>
      </c>
      <c r="B10873" s="0" t="n">
        <v>3048220</v>
      </c>
      <c r="C10873" s="0" t="n">
        <v>3048240</v>
      </c>
      <c r="D10873" s="0" t="s">
        <v>36270</v>
      </c>
      <c r="E10873" s="0" t="s">
        <v>89</v>
      </c>
      <c r="F10873" s="0" t="s">
        <v>15</v>
      </c>
      <c r="G10873" s="0" t="s">
        <v>16</v>
      </c>
      <c r="H10873" s="0" t="n">
        <v>112</v>
      </c>
      <c r="I10873" s="0" t="s">
        <v>36280</v>
      </c>
      <c r="J10873" s="0" t="s">
        <v>36281</v>
      </c>
      <c r="K10873" s="0" t="s">
        <v>36282</v>
      </c>
      <c r="L10873" s="0" t="str">
        <f aca="false">HYPERLINK("https://www.ncbi.nlm.nih.gov/nuccore/CP000304.1?report=graph&amp;tracks=[key:gene_model_track,Options:GeneOnly]&amp;mk=3048130:3048149|offset_21|444444,3048155:3048174|offset_46|444444,3048186:3048205|offset_77|444444,3048221:3048240|offset_112|00cc00&amp;v=3047929:3048440&amp;c=444444", "offset 112")</f>
        <v>offset 112</v>
      </c>
    </row>
    <row r="10874" customFormat="false" ht="12.8" hidden="false" customHeight="false" outlineLevel="0" collapsed="false">
      <c r="A10874" s="0" t="s">
        <v>12</v>
      </c>
      <c r="B10874" s="0" t="n">
        <v>3049195</v>
      </c>
      <c r="C10874" s="0" t="n">
        <v>3049215</v>
      </c>
      <c r="D10874" s="0" t="s">
        <v>36283</v>
      </c>
      <c r="E10874" s="0" t="s">
        <v>89</v>
      </c>
      <c r="F10874" s="0" t="s">
        <v>90</v>
      </c>
      <c r="G10874" s="0" t="s">
        <v>32</v>
      </c>
      <c r="H10874" s="0" t="n">
        <v>16</v>
      </c>
      <c r="I10874" s="0" t="s">
        <v>36284</v>
      </c>
      <c r="J10874" s="0" t="s">
        <v>36285</v>
      </c>
      <c r="K10874" s="0" t="s">
        <v>36286</v>
      </c>
      <c r="L10874" s="0" t="str">
        <f aca="false">HYPERLINK("https://www.ncbi.nlm.nih.gov/nuccore/CP000304.1?report=graph&amp;tracks=[key:gene_model_track,Options:GeneOnly]&amp;mk=3049196:3049215|offset_16|00cc00,3049176:3049195|offset_36|444444,3049138:3049157|offset_74|444444,3049112:3049131|offset_100|444444&amp;v=3048995:3049331&amp;c=444444", "offset 16")</f>
        <v>offset 16</v>
      </c>
    </row>
    <row r="10875" customFormat="false" ht="12.8" hidden="false" customHeight="false" outlineLevel="0" collapsed="false">
      <c r="A10875" s="0" t="s">
        <v>12</v>
      </c>
      <c r="B10875" s="0" t="n">
        <v>3049175</v>
      </c>
      <c r="C10875" s="0" t="n">
        <v>3049195</v>
      </c>
      <c r="D10875" s="0" t="s">
        <v>36283</v>
      </c>
      <c r="E10875" s="0" t="s">
        <v>89</v>
      </c>
      <c r="F10875" s="0" t="s">
        <v>90</v>
      </c>
      <c r="G10875" s="0" t="s">
        <v>16</v>
      </c>
      <c r="H10875" s="0" t="n">
        <v>36</v>
      </c>
      <c r="I10875" s="0" t="s">
        <v>36287</v>
      </c>
      <c r="J10875" s="0" t="s">
        <v>36288</v>
      </c>
      <c r="K10875" s="0" t="s">
        <v>36289</v>
      </c>
      <c r="L10875" s="0" t="str">
        <f aca="false">HYPERLINK("https://www.ncbi.nlm.nih.gov/nuccore/CP000304.1?report=graph&amp;tracks=[key:gene_model_track,Options:GeneOnly]&amp;mk=3049196:3049215|offset_16|444444,3049176:3049195|offset_36|00cc00,3049138:3049157|offset_74|444444,3049112:3049131|offset_100|444444&amp;v=3048995:3049331&amp;c=444444", "offset 36")</f>
        <v>offset 36</v>
      </c>
    </row>
    <row r="10876" customFormat="false" ht="12.8" hidden="false" customHeight="false" outlineLevel="0" collapsed="false">
      <c r="A10876" s="0" t="s">
        <v>12</v>
      </c>
      <c r="B10876" s="0" t="n">
        <v>3049137</v>
      </c>
      <c r="C10876" s="0" t="n">
        <v>3049157</v>
      </c>
      <c r="D10876" s="0" t="s">
        <v>36283</v>
      </c>
      <c r="E10876" s="0" t="s">
        <v>89</v>
      </c>
      <c r="F10876" s="0" t="s">
        <v>90</v>
      </c>
      <c r="G10876" s="0" t="s">
        <v>26</v>
      </c>
      <c r="H10876" s="0" t="n">
        <v>74</v>
      </c>
      <c r="I10876" s="0" t="s">
        <v>36290</v>
      </c>
      <c r="J10876" s="0" t="s">
        <v>36291</v>
      </c>
      <c r="K10876" s="0" t="s">
        <v>36292</v>
      </c>
      <c r="L10876" s="0" t="str">
        <f aca="false">HYPERLINK("https://www.ncbi.nlm.nih.gov/nuccore/CP000304.1?report=graph&amp;tracks=[key:gene_model_track,Options:GeneOnly]&amp;mk=3049196:3049215|offset_16|444444,3049176:3049195|offset_36|444444,3049138:3049157|offset_74|00cc00,3049112:3049131|offset_100|444444&amp;v=3048995:3049331&amp;c=444444", "offset 74")</f>
        <v>offset 74</v>
      </c>
    </row>
    <row r="10877" customFormat="false" ht="12.8" hidden="false" customHeight="false" outlineLevel="0" collapsed="false">
      <c r="A10877" s="0" t="s">
        <v>12</v>
      </c>
      <c r="B10877" s="0" t="n">
        <v>3049111</v>
      </c>
      <c r="C10877" s="0" t="n">
        <v>3049131</v>
      </c>
      <c r="D10877" s="0" t="s">
        <v>36283</v>
      </c>
      <c r="E10877" s="0" t="s">
        <v>89</v>
      </c>
      <c r="F10877" s="0" t="s">
        <v>90</v>
      </c>
      <c r="G10877" s="0" t="s">
        <v>16</v>
      </c>
      <c r="H10877" s="0" t="n">
        <v>100</v>
      </c>
      <c r="I10877" s="0" t="s">
        <v>36293</v>
      </c>
      <c r="J10877" s="0" t="s">
        <v>36294</v>
      </c>
      <c r="K10877" s="0" t="s">
        <v>36295</v>
      </c>
      <c r="L10877" s="0" t="str">
        <f aca="false">HYPERLINK("https://www.ncbi.nlm.nih.gov/nuccore/CP000304.1?report=graph&amp;tracks=[key:gene_model_track,Options:GeneOnly]&amp;mk=3049196:3049215|offset_16|444444,3049176:3049195|offset_36|444444,3049138:3049157|offset_74|444444,3049112:3049131|offset_100|00cc00&amp;v=3048995:3049331&amp;c=444444", "offset 100")</f>
        <v>offset 100</v>
      </c>
    </row>
    <row r="10878" customFormat="false" ht="12.8" hidden="false" customHeight="false" outlineLevel="0" collapsed="false">
      <c r="A10878" s="0" t="s">
        <v>12</v>
      </c>
      <c r="B10878" s="0" t="n">
        <v>3050331</v>
      </c>
      <c r="C10878" s="0" t="n">
        <v>3050351</v>
      </c>
      <c r="D10878" s="0" t="s">
        <v>36296</v>
      </c>
      <c r="E10878" s="0" t="s">
        <v>89</v>
      </c>
      <c r="F10878" s="0" t="s">
        <v>90</v>
      </c>
      <c r="G10878" s="0" t="s">
        <v>32</v>
      </c>
      <c r="H10878" s="0" t="n">
        <v>7</v>
      </c>
      <c r="I10878" s="0" t="s">
        <v>36297</v>
      </c>
      <c r="J10878" s="0" t="s">
        <v>36298</v>
      </c>
      <c r="K10878" s="0" t="s">
        <v>36299</v>
      </c>
      <c r="L10878" s="0" t="str">
        <f aca="false">HYPERLINK("https://www.ncbi.nlm.nih.gov/nuccore/CP000304.1?report=graph&amp;tracks=[key:gene_model_track,Options:GeneOnly]&amp;mk=3050332:3050351|offset_7|00cc00,3050295:3050314|offset_44|444444,3050260:3050279|offset_79|444444,3050221:3050240|offset_118|444444&amp;v=3050131:3050440&amp;c=444444", "offset 7")</f>
        <v>offset 7</v>
      </c>
    </row>
    <row r="10879" customFormat="false" ht="12.8" hidden="false" customHeight="false" outlineLevel="0" collapsed="false">
      <c r="A10879" s="0" t="s">
        <v>12</v>
      </c>
      <c r="B10879" s="0" t="n">
        <v>3050294</v>
      </c>
      <c r="C10879" s="0" t="n">
        <v>3050314</v>
      </c>
      <c r="D10879" s="0" t="s">
        <v>36296</v>
      </c>
      <c r="E10879" s="0" t="s">
        <v>89</v>
      </c>
      <c r="F10879" s="0" t="s">
        <v>90</v>
      </c>
      <c r="G10879" s="0" t="s">
        <v>26</v>
      </c>
      <c r="H10879" s="0" t="n">
        <v>44</v>
      </c>
      <c r="I10879" s="0" t="s">
        <v>36300</v>
      </c>
      <c r="J10879" s="0" t="s">
        <v>36301</v>
      </c>
      <c r="K10879" s="0" t="s">
        <v>36302</v>
      </c>
      <c r="L10879" s="0" t="str">
        <f aca="false">HYPERLINK("https://www.ncbi.nlm.nih.gov/nuccore/CP000304.1?report=graph&amp;tracks=[key:gene_model_track,Options:GeneOnly]&amp;mk=3050332:3050351|offset_7|444444,3050295:3050314|offset_44|00cc00,3050260:3050279|offset_79|444444,3050221:3050240|offset_118|444444&amp;v=3050131:3050440&amp;c=444444", "offset 44")</f>
        <v>offset 44</v>
      </c>
    </row>
    <row r="10880" customFormat="false" ht="12.8" hidden="false" customHeight="false" outlineLevel="0" collapsed="false">
      <c r="A10880" s="0" t="s">
        <v>12</v>
      </c>
      <c r="B10880" s="0" t="n">
        <v>3050259</v>
      </c>
      <c r="C10880" s="0" t="n">
        <v>3050279</v>
      </c>
      <c r="D10880" s="0" t="s">
        <v>36296</v>
      </c>
      <c r="E10880" s="0" t="s">
        <v>89</v>
      </c>
      <c r="F10880" s="0" t="s">
        <v>90</v>
      </c>
      <c r="G10880" s="0" t="s">
        <v>36</v>
      </c>
      <c r="H10880" s="0" t="n">
        <v>79</v>
      </c>
      <c r="I10880" s="0" t="s">
        <v>36303</v>
      </c>
      <c r="J10880" s="0" t="s">
        <v>36304</v>
      </c>
      <c r="K10880" s="0" t="s">
        <v>36305</v>
      </c>
      <c r="L10880" s="0" t="str">
        <f aca="false">HYPERLINK("https://www.ncbi.nlm.nih.gov/nuccore/CP000304.1?report=graph&amp;tracks=[key:gene_model_track,Options:GeneOnly]&amp;mk=3050332:3050351|offset_7|444444,3050295:3050314|offset_44|444444,3050260:3050279|offset_79|00cc00,3050221:3050240|offset_118|444444&amp;v=3050131:3050440&amp;c=444444", "offset 79")</f>
        <v>offset 79</v>
      </c>
    </row>
    <row r="10881" customFormat="false" ht="12.8" hidden="false" customHeight="false" outlineLevel="0" collapsed="false">
      <c r="A10881" s="0" t="s">
        <v>12</v>
      </c>
      <c r="B10881" s="0" t="n">
        <v>3050220</v>
      </c>
      <c r="C10881" s="0" t="n">
        <v>3050240</v>
      </c>
      <c r="D10881" s="0" t="s">
        <v>36296</v>
      </c>
      <c r="E10881" s="0" t="s">
        <v>89</v>
      </c>
      <c r="F10881" s="0" t="s">
        <v>90</v>
      </c>
      <c r="G10881" s="0" t="s">
        <v>26</v>
      </c>
      <c r="H10881" s="0" t="n">
        <v>118</v>
      </c>
      <c r="I10881" s="0" t="s">
        <v>36306</v>
      </c>
      <c r="J10881" s="0" t="s">
        <v>36307</v>
      </c>
      <c r="K10881" s="0" t="s">
        <v>36308</v>
      </c>
      <c r="L10881" s="0" t="str">
        <f aca="false">HYPERLINK("https://www.ncbi.nlm.nih.gov/nuccore/CP000304.1?report=graph&amp;tracks=[key:gene_model_track,Options:GeneOnly]&amp;mk=3050332:3050351|offset_7|444444,3050295:3050314|offset_44|444444,3050260:3050279|offset_79|444444,3050221:3050240|offset_118|00cc00&amp;v=3050131:3050440&amp;c=444444", "offset 118")</f>
        <v>offset 118</v>
      </c>
    </row>
    <row r="10882" customFormat="false" ht="12.8" hidden="false" customHeight="false" outlineLevel="0" collapsed="false">
      <c r="A10882" s="0" t="s">
        <v>12</v>
      </c>
      <c r="B10882" s="0" t="n">
        <v>3051910</v>
      </c>
      <c r="C10882" s="0" t="n">
        <v>3051930</v>
      </c>
      <c r="D10882" s="0" t="s">
        <v>36309</v>
      </c>
      <c r="E10882" s="0" t="s">
        <v>36310</v>
      </c>
      <c r="F10882" s="0" t="s">
        <v>15</v>
      </c>
      <c r="G10882" s="0" t="s">
        <v>32</v>
      </c>
      <c r="H10882" s="0" t="n">
        <v>7</v>
      </c>
      <c r="I10882" s="0" t="s">
        <v>36311</v>
      </c>
      <c r="J10882" s="0" t="s">
        <v>36312</v>
      </c>
      <c r="K10882" s="0" t="s">
        <v>36313</v>
      </c>
      <c r="L10882" s="0" t="str">
        <f aca="false">HYPERLINK("https://www.ncbi.nlm.nih.gov/nuccore/CP000304.1?report=graph&amp;tracks=[key:gene_model_track,Options:GeneOnly]&amp;mk=3051911:3051930|offset_7|00cc00,3051945:3051964|offset_41|444444,3051975:3051994|offset_71|444444,3052007:3052026|offset_103|444444&amp;v=3051710:3052226&amp;c=444444", "offset 7")</f>
        <v>offset 7</v>
      </c>
    </row>
    <row r="10883" customFormat="false" ht="12.8" hidden="false" customHeight="false" outlineLevel="0" collapsed="false">
      <c r="A10883" s="0" t="s">
        <v>12</v>
      </c>
      <c r="B10883" s="0" t="n">
        <v>3051944</v>
      </c>
      <c r="C10883" s="0" t="n">
        <v>3051964</v>
      </c>
      <c r="D10883" s="0" t="s">
        <v>36309</v>
      </c>
      <c r="E10883" s="0" t="s">
        <v>36310</v>
      </c>
      <c r="F10883" s="0" t="s">
        <v>15</v>
      </c>
      <c r="G10883" s="0" t="s">
        <v>26</v>
      </c>
      <c r="H10883" s="0" t="n">
        <v>41</v>
      </c>
      <c r="I10883" s="0" t="s">
        <v>36314</v>
      </c>
      <c r="J10883" s="0" t="s">
        <v>36315</v>
      </c>
      <c r="K10883" s="0" t="s">
        <v>36316</v>
      </c>
      <c r="L10883" s="0" t="str">
        <f aca="false">HYPERLINK("https://www.ncbi.nlm.nih.gov/nuccore/CP000304.1?report=graph&amp;tracks=[key:gene_model_track,Options:GeneOnly]&amp;mk=3051911:3051930|offset_7|444444,3051945:3051964|offset_41|00cc00,3051975:3051994|offset_71|444444,3052007:3052026|offset_103|444444&amp;v=3051710:3052226&amp;c=444444", "offset 41")</f>
        <v>offset 41</v>
      </c>
    </row>
    <row r="10884" customFormat="false" ht="12.8" hidden="false" customHeight="false" outlineLevel="0" collapsed="false">
      <c r="A10884" s="0" t="s">
        <v>12</v>
      </c>
      <c r="B10884" s="0" t="n">
        <v>3051974</v>
      </c>
      <c r="C10884" s="0" t="n">
        <v>3051994</v>
      </c>
      <c r="D10884" s="0" t="s">
        <v>36309</v>
      </c>
      <c r="E10884" s="0" t="s">
        <v>36310</v>
      </c>
      <c r="F10884" s="0" t="s">
        <v>15</v>
      </c>
      <c r="G10884" s="0" t="s">
        <v>36</v>
      </c>
      <c r="H10884" s="0" t="n">
        <v>71</v>
      </c>
      <c r="I10884" s="0" t="s">
        <v>36317</v>
      </c>
      <c r="J10884" s="0" t="s">
        <v>36318</v>
      </c>
      <c r="K10884" s="0" t="s">
        <v>36319</v>
      </c>
      <c r="L10884" s="0" t="str">
        <f aca="false">HYPERLINK("https://www.ncbi.nlm.nih.gov/nuccore/CP000304.1?report=graph&amp;tracks=[key:gene_model_track,Options:GeneOnly]&amp;mk=3051911:3051930|offset_7|444444,3051945:3051964|offset_41|444444,3051975:3051994|offset_71|00cc00,3052007:3052026|offset_103|444444&amp;v=3051710:3052226&amp;c=444444", "offset 71")</f>
        <v>offset 71</v>
      </c>
    </row>
    <row r="10885" customFormat="false" ht="12.8" hidden="false" customHeight="false" outlineLevel="0" collapsed="false">
      <c r="A10885" s="0" t="s">
        <v>12</v>
      </c>
      <c r="B10885" s="0" t="n">
        <v>3052006</v>
      </c>
      <c r="C10885" s="0" t="n">
        <v>3052026</v>
      </c>
      <c r="D10885" s="0" t="s">
        <v>36309</v>
      </c>
      <c r="E10885" s="0" t="s">
        <v>36310</v>
      </c>
      <c r="F10885" s="0" t="s">
        <v>15</v>
      </c>
      <c r="G10885" s="0" t="s">
        <v>16</v>
      </c>
      <c r="H10885" s="0" t="n">
        <v>103</v>
      </c>
      <c r="I10885" s="0" t="s">
        <v>36320</v>
      </c>
      <c r="J10885" s="0" t="s">
        <v>36321</v>
      </c>
      <c r="K10885" s="0" t="s">
        <v>36322</v>
      </c>
      <c r="L10885" s="0" t="str">
        <f aca="false">HYPERLINK("https://www.ncbi.nlm.nih.gov/nuccore/CP000304.1?report=graph&amp;tracks=[key:gene_model_track,Options:GeneOnly]&amp;mk=3051911:3051930|offset_7|444444,3051945:3051964|offset_41|444444,3051975:3051994|offset_71|444444,3052007:3052026|offset_103|00cc00&amp;v=3051710:3052226&amp;c=444444", "offset 103")</f>
        <v>offset 103</v>
      </c>
    </row>
    <row r="10886" customFormat="false" ht="12.8" hidden="false" customHeight="false" outlineLevel="0" collapsed="false">
      <c r="A10886" s="0" t="s">
        <v>12</v>
      </c>
      <c r="B10886" s="0" t="n">
        <v>3052890</v>
      </c>
      <c r="C10886" s="0" t="n">
        <v>3052910</v>
      </c>
      <c r="D10886" s="0" t="s">
        <v>36323</v>
      </c>
      <c r="E10886" s="0" t="s">
        <v>36324</v>
      </c>
      <c r="F10886" s="0" t="s">
        <v>15</v>
      </c>
      <c r="G10886" s="0" t="s">
        <v>26</v>
      </c>
      <c r="H10886" s="0" t="n">
        <v>13</v>
      </c>
      <c r="I10886" s="0" t="s">
        <v>36325</v>
      </c>
      <c r="J10886" s="0" t="s">
        <v>36326</v>
      </c>
      <c r="K10886" s="0" t="s">
        <v>36327</v>
      </c>
      <c r="L10886" s="0" t="str">
        <f aca="false">HYPERLINK("https://www.ncbi.nlm.nih.gov/nuccore/CP000304.1?report=graph&amp;tracks=[key:gene_model_track,Options:GeneOnly]&amp;mk=3052891:3052910|offset_13|00cc00,3052921:3052940|offset_43|444444,3052952:3052971|offset_74|444444,3052984:3053003|offset_106|444444&amp;v=3052690:3053203&amp;c=444444", "offset 13")</f>
        <v>offset 13</v>
      </c>
    </row>
    <row r="10887" customFormat="false" ht="12.8" hidden="false" customHeight="false" outlineLevel="0" collapsed="false">
      <c r="A10887" s="0" t="s">
        <v>12</v>
      </c>
      <c r="B10887" s="0" t="n">
        <v>3052920</v>
      </c>
      <c r="C10887" s="0" t="n">
        <v>3052940</v>
      </c>
      <c r="D10887" s="0" t="s">
        <v>36323</v>
      </c>
      <c r="E10887" s="0" t="s">
        <v>36324</v>
      </c>
      <c r="F10887" s="0" t="s">
        <v>15</v>
      </c>
      <c r="G10887" s="0" t="s">
        <v>16</v>
      </c>
      <c r="H10887" s="0" t="n">
        <v>43</v>
      </c>
      <c r="I10887" s="0" t="s">
        <v>36328</v>
      </c>
      <c r="J10887" s="0" t="s">
        <v>36329</v>
      </c>
      <c r="K10887" s="0" t="s">
        <v>36330</v>
      </c>
      <c r="L10887" s="0" t="str">
        <f aca="false">HYPERLINK("https://www.ncbi.nlm.nih.gov/nuccore/CP000304.1?report=graph&amp;tracks=[key:gene_model_track,Options:GeneOnly]&amp;mk=3052891:3052910|offset_13|444444,3052921:3052940|offset_43|00cc00,3052952:3052971|offset_74|444444,3052984:3053003|offset_106|444444&amp;v=3052690:3053203&amp;c=444444", "offset 43")</f>
        <v>offset 43</v>
      </c>
    </row>
    <row r="10888" customFormat="false" ht="12.8" hidden="false" customHeight="false" outlineLevel="0" collapsed="false">
      <c r="A10888" s="0" t="s">
        <v>12</v>
      </c>
      <c r="B10888" s="0" t="n">
        <v>3052951</v>
      </c>
      <c r="C10888" s="0" t="n">
        <v>3052971</v>
      </c>
      <c r="D10888" s="0" t="s">
        <v>36323</v>
      </c>
      <c r="E10888" s="0" t="s">
        <v>36324</v>
      </c>
      <c r="F10888" s="0" t="s">
        <v>15</v>
      </c>
      <c r="G10888" s="0" t="s">
        <v>32</v>
      </c>
      <c r="H10888" s="0" t="n">
        <v>74</v>
      </c>
      <c r="I10888" s="0" t="s">
        <v>36331</v>
      </c>
      <c r="J10888" s="0" t="s">
        <v>36332</v>
      </c>
      <c r="K10888" s="0" t="s">
        <v>36333</v>
      </c>
      <c r="L10888" s="0" t="str">
        <f aca="false">HYPERLINK("https://www.ncbi.nlm.nih.gov/nuccore/CP000304.1?report=graph&amp;tracks=[key:gene_model_track,Options:GeneOnly]&amp;mk=3052891:3052910|offset_13|444444,3052921:3052940|offset_43|444444,3052952:3052971|offset_74|00cc00,3052984:3053003|offset_106|444444&amp;v=3052690:3053203&amp;c=444444", "offset 74")</f>
        <v>offset 74</v>
      </c>
    </row>
    <row r="10889" customFormat="false" ht="12.8" hidden="false" customHeight="false" outlineLevel="0" collapsed="false">
      <c r="A10889" s="0" t="s">
        <v>12</v>
      </c>
      <c r="B10889" s="0" t="n">
        <v>3052983</v>
      </c>
      <c r="C10889" s="0" t="n">
        <v>3053003</v>
      </c>
      <c r="D10889" s="0" t="s">
        <v>36323</v>
      </c>
      <c r="E10889" s="0" t="s">
        <v>36324</v>
      </c>
      <c r="F10889" s="0" t="s">
        <v>15</v>
      </c>
      <c r="G10889" s="0" t="s">
        <v>16</v>
      </c>
      <c r="H10889" s="0" t="n">
        <v>106</v>
      </c>
      <c r="I10889" s="0" t="s">
        <v>36334</v>
      </c>
      <c r="J10889" s="0" t="s">
        <v>36335</v>
      </c>
      <c r="K10889" s="0" t="s">
        <v>36336</v>
      </c>
      <c r="L10889" s="0" t="str">
        <f aca="false">HYPERLINK("https://www.ncbi.nlm.nih.gov/nuccore/CP000304.1?report=graph&amp;tracks=[key:gene_model_track,Options:GeneOnly]&amp;mk=3052891:3052910|offset_13|444444,3052921:3052940|offset_43|444444,3052952:3052971|offset_74|444444,3052984:3053003|offset_106|00cc00&amp;v=3052690:3053203&amp;c=444444", "offset 106")</f>
        <v>offset 106</v>
      </c>
    </row>
    <row r="10890" customFormat="false" ht="12.8" hidden="false" customHeight="false" outlineLevel="0" collapsed="false">
      <c r="A10890" s="0" t="s">
        <v>12</v>
      </c>
      <c r="B10890" s="0" t="n">
        <v>3053534</v>
      </c>
      <c r="C10890" s="0" t="n">
        <v>3053554</v>
      </c>
      <c r="D10890" s="0" t="s">
        <v>36337</v>
      </c>
      <c r="E10890" s="0" t="s">
        <v>89</v>
      </c>
      <c r="F10890" s="0" t="s">
        <v>15</v>
      </c>
      <c r="G10890" s="0" t="s">
        <v>32</v>
      </c>
      <c r="H10890" s="0" t="n">
        <v>1</v>
      </c>
      <c r="I10890" s="0" t="s">
        <v>36338</v>
      </c>
      <c r="J10890" s="0" t="s">
        <v>36339</v>
      </c>
      <c r="K10890" s="0" t="s">
        <v>36340</v>
      </c>
      <c r="L10890" s="0" t="str">
        <f aca="false">HYPERLINK("https://www.ncbi.nlm.nih.gov/nuccore/CP000304.1?report=graph&amp;tracks=[key:gene_model_track,Options:GeneOnly]&amp;mk=3053535:3053554|offset_1|00cc00,3053565:3053584|offset_31|444444,3053589:3053608|offset_55|444444,3053610:3053629|offset_76|444444&amp;v=3053334:3053829&amp;c=444444", "offset 1")</f>
        <v>offset 1</v>
      </c>
    </row>
    <row r="10891" customFormat="false" ht="12.8" hidden="false" customHeight="false" outlineLevel="0" collapsed="false">
      <c r="A10891" s="0" t="s">
        <v>12</v>
      </c>
      <c r="B10891" s="0" t="n">
        <v>3053564</v>
      </c>
      <c r="C10891" s="0" t="n">
        <v>3053584</v>
      </c>
      <c r="D10891" s="0" t="s">
        <v>36337</v>
      </c>
      <c r="E10891" s="0" t="s">
        <v>89</v>
      </c>
      <c r="F10891" s="0" t="s">
        <v>15</v>
      </c>
      <c r="G10891" s="0" t="s">
        <v>16</v>
      </c>
      <c r="H10891" s="0" t="n">
        <v>31</v>
      </c>
      <c r="I10891" s="0" t="s">
        <v>36341</v>
      </c>
      <c r="J10891" s="0" t="s">
        <v>36342</v>
      </c>
      <c r="K10891" s="0" t="s">
        <v>36343</v>
      </c>
      <c r="L10891" s="0" t="str">
        <f aca="false">HYPERLINK("https://www.ncbi.nlm.nih.gov/nuccore/CP000304.1?report=graph&amp;tracks=[key:gene_model_track,Options:GeneOnly]&amp;mk=3053535:3053554|offset_1|444444,3053565:3053584|offset_31|00cc00,3053589:3053608|offset_55|444444,3053610:3053629|offset_76|444444&amp;v=3053334:3053829&amp;c=444444", "offset 31")</f>
        <v>offset 31</v>
      </c>
    </row>
    <row r="10892" customFormat="false" ht="12.8" hidden="false" customHeight="false" outlineLevel="0" collapsed="false">
      <c r="A10892" s="0" t="s">
        <v>12</v>
      </c>
      <c r="B10892" s="0" t="n">
        <v>3053588</v>
      </c>
      <c r="C10892" s="0" t="n">
        <v>3053608</v>
      </c>
      <c r="D10892" s="0" t="s">
        <v>36337</v>
      </c>
      <c r="E10892" s="0" t="s">
        <v>89</v>
      </c>
      <c r="F10892" s="0" t="s">
        <v>15</v>
      </c>
      <c r="G10892" s="0" t="s">
        <v>26</v>
      </c>
      <c r="H10892" s="0" t="n">
        <v>55</v>
      </c>
      <c r="I10892" s="0" t="s">
        <v>36344</v>
      </c>
      <c r="J10892" s="0" t="s">
        <v>36345</v>
      </c>
      <c r="K10892" s="0" t="s">
        <v>36346</v>
      </c>
      <c r="L10892" s="0" t="str">
        <f aca="false">HYPERLINK("https://www.ncbi.nlm.nih.gov/nuccore/CP000304.1?report=graph&amp;tracks=[key:gene_model_track,Options:GeneOnly]&amp;mk=3053535:3053554|offset_1|444444,3053565:3053584|offset_31|444444,3053589:3053608|offset_55|00cc00,3053610:3053629|offset_76|444444&amp;v=3053334:3053829&amp;c=444444", "offset 55")</f>
        <v>offset 55</v>
      </c>
    </row>
    <row r="10893" customFormat="false" ht="12.8" hidden="false" customHeight="false" outlineLevel="0" collapsed="false">
      <c r="A10893" s="0" t="s">
        <v>12</v>
      </c>
      <c r="B10893" s="0" t="n">
        <v>3053609</v>
      </c>
      <c r="C10893" s="0" t="n">
        <v>3053629</v>
      </c>
      <c r="D10893" s="0" t="s">
        <v>36337</v>
      </c>
      <c r="E10893" s="0" t="s">
        <v>89</v>
      </c>
      <c r="F10893" s="0" t="s">
        <v>15</v>
      </c>
      <c r="G10893" s="0" t="s">
        <v>16</v>
      </c>
      <c r="H10893" s="0" t="n">
        <v>76</v>
      </c>
      <c r="I10893" s="0" t="s">
        <v>36347</v>
      </c>
      <c r="J10893" s="0" t="s">
        <v>36348</v>
      </c>
      <c r="K10893" s="0" t="s">
        <v>36349</v>
      </c>
      <c r="L10893" s="0" t="str">
        <f aca="false">HYPERLINK("https://www.ncbi.nlm.nih.gov/nuccore/CP000304.1?report=graph&amp;tracks=[key:gene_model_track,Options:GeneOnly]&amp;mk=3053535:3053554|offset_1|444444,3053565:3053584|offset_31|444444,3053589:3053608|offset_55|444444,3053610:3053629|offset_76|00cc00&amp;v=3053334:3053829&amp;c=444444", "offset 76")</f>
        <v>offset 76</v>
      </c>
    </row>
    <row r="10894" customFormat="false" ht="12.8" hidden="false" customHeight="false" outlineLevel="0" collapsed="false">
      <c r="A10894" s="0" t="s">
        <v>12</v>
      </c>
      <c r="B10894" s="0" t="n">
        <v>3054297</v>
      </c>
      <c r="C10894" s="0" t="n">
        <v>3054317</v>
      </c>
      <c r="D10894" s="0" t="s">
        <v>36350</v>
      </c>
      <c r="E10894" s="0" t="s">
        <v>89</v>
      </c>
      <c r="F10894" s="0" t="s">
        <v>15</v>
      </c>
      <c r="G10894" s="0" t="s">
        <v>16</v>
      </c>
      <c r="H10894" s="0" t="n">
        <v>0</v>
      </c>
      <c r="I10894" s="0" t="s">
        <v>36351</v>
      </c>
      <c r="J10894" s="0" t="s">
        <v>36352</v>
      </c>
      <c r="K10894" s="0" t="s">
        <v>36353</v>
      </c>
      <c r="L10894" s="0" t="str">
        <f aca="false">HYPERLINK("https://www.ncbi.nlm.nih.gov/nuccore/CP000304.1?report=graph&amp;tracks=[key:gene_model_track,Options:GeneOnly]&amp;mk=3054298:3054317|offset_0|00cc00,3054341:3054360|offset_43|444444,3054379:3054398|offset_81|444444,3054402:3054421|offset_104|444444&amp;v=3054097:3054621&amp;c=444444", "offset 0")</f>
        <v>offset 0</v>
      </c>
    </row>
    <row r="10895" customFormat="false" ht="12.8" hidden="false" customHeight="false" outlineLevel="0" collapsed="false">
      <c r="A10895" s="0" t="s">
        <v>12</v>
      </c>
      <c r="B10895" s="0" t="n">
        <v>3054340</v>
      </c>
      <c r="C10895" s="0" t="n">
        <v>3054360</v>
      </c>
      <c r="D10895" s="0" t="s">
        <v>36350</v>
      </c>
      <c r="E10895" s="0" t="s">
        <v>89</v>
      </c>
      <c r="F10895" s="0" t="s">
        <v>15</v>
      </c>
      <c r="G10895" s="0" t="s">
        <v>36</v>
      </c>
      <c r="H10895" s="0" t="n">
        <v>43</v>
      </c>
      <c r="I10895" s="0" t="s">
        <v>36354</v>
      </c>
      <c r="J10895" s="0" t="s">
        <v>36355</v>
      </c>
      <c r="K10895" s="0" t="s">
        <v>36356</v>
      </c>
      <c r="L10895" s="0" t="str">
        <f aca="false">HYPERLINK("https://www.ncbi.nlm.nih.gov/nuccore/CP000304.1?report=graph&amp;tracks=[key:gene_model_track,Options:GeneOnly]&amp;mk=3054298:3054317|offset_0|444444,3054341:3054360|offset_43|00cc00,3054379:3054398|offset_81|444444,3054402:3054421|offset_104|444444&amp;v=3054097:3054621&amp;c=444444", "offset 43")</f>
        <v>offset 43</v>
      </c>
    </row>
    <row r="10896" customFormat="false" ht="12.8" hidden="false" customHeight="false" outlineLevel="0" collapsed="false">
      <c r="A10896" s="0" t="s">
        <v>12</v>
      </c>
      <c r="B10896" s="0" t="n">
        <v>3054378</v>
      </c>
      <c r="C10896" s="0" t="n">
        <v>3054398</v>
      </c>
      <c r="D10896" s="0" t="s">
        <v>36350</v>
      </c>
      <c r="E10896" s="0" t="s">
        <v>89</v>
      </c>
      <c r="F10896" s="0" t="s">
        <v>15</v>
      </c>
      <c r="G10896" s="0" t="s">
        <v>36</v>
      </c>
      <c r="H10896" s="0" t="n">
        <v>81</v>
      </c>
      <c r="I10896" s="0" t="s">
        <v>36357</v>
      </c>
      <c r="J10896" s="0" t="s">
        <v>36358</v>
      </c>
      <c r="K10896" s="0" t="s">
        <v>36359</v>
      </c>
      <c r="L10896" s="0" t="str">
        <f aca="false">HYPERLINK("https://www.ncbi.nlm.nih.gov/nuccore/CP000304.1?report=graph&amp;tracks=[key:gene_model_track,Options:GeneOnly]&amp;mk=3054298:3054317|offset_0|444444,3054341:3054360|offset_43|444444,3054379:3054398|offset_81|00cc00,3054402:3054421|offset_104|444444&amp;v=3054097:3054621&amp;c=444444", "offset 81")</f>
        <v>offset 81</v>
      </c>
    </row>
    <row r="10897" customFormat="false" ht="12.8" hidden="false" customHeight="false" outlineLevel="0" collapsed="false">
      <c r="A10897" s="0" t="s">
        <v>12</v>
      </c>
      <c r="B10897" s="0" t="n">
        <v>3054401</v>
      </c>
      <c r="C10897" s="0" t="n">
        <v>3054421</v>
      </c>
      <c r="D10897" s="0" t="s">
        <v>36350</v>
      </c>
      <c r="E10897" s="0" t="s">
        <v>89</v>
      </c>
      <c r="F10897" s="0" t="s">
        <v>15</v>
      </c>
      <c r="G10897" s="0" t="s">
        <v>26</v>
      </c>
      <c r="H10897" s="0" t="n">
        <v>104</v>
      </c>
      <c r="I10897" s="0" t="s">
        <v>36360</v>
      </c>
      <c r="J10897" s="0" t="s">
        <v>36361</v>
      </c>
      <c r="K10897" s="0" t="s">
        <v>36362</v>
      </c>
      <c r="L10897" s="0" t="str">
        <f aca="false">HYPERLINK("https://www.ncbi.nlm.nih.gov/nuccore/CP000304.1?report=graph&amp;tracks=[key:gene_model_track,Options:GeneOnly]&amp;mk=3054298:3054317|offset_0|444444,3054341:3054360|offset_43|444444,3054379:3054398|offset_81|444444,3054402:3054421|offset_104|00cc00&amp;v=3054097:3054621&amp;c=444444", "offset 104")</f>
        <v>offset 104</v>
      </c>
    </row>
    <row r="10898" customFormat="false" ht="12.8" hidden="false" customHeight="false" outlineLevel="0" collapsed="false">
      <c r="A10898" s="0" t="s">
        <v>12</v>
      </c>
      <c r="B10898" s="0" t="n">
        <v>3055026</v>
      </c>
      <c r="C10898" s="0" t="n">
        <v>3055046</v>
      </c>
      <c r="D10898" s="0" t="s">
        <v>36363</v>
      </c>
      <c r="E10898" s="0" t="s">
        <v>89</v>
      </c>
      <c r="F10898" s="0" t="s">
        <v>15</v>
      </c>
      <c r="G10898" s="0" t="s">
        <v>36</v>
      </c>
      <c r="H10898" s="0" t="n">
        <v>13</v>
      </c>
      <c r="I10898" s="0" t="s">
        <v>36364</v>
      </c>
      <c r="J10898" s="0" t="s">
        <v>36365</v>
      </c>
      <c r="K10898" s="0" t="s">
        <v>36366</v>
      </c>
      <c r="L10898" s="0" t="str">
        <f aca="false">HYPERLINK("https://www.ncbi.nlm.nih.gov/nuccore/CP000304.1?report=graph&amp;tracks=[key:gene_model_track,Options:GeneOnly]&amp;mk=3055027:3055046|offset_13|00cc00,3055049:3055068|offset_35|444444,3055078:3055097|offset_64|444444,3055108:3055127|offset_94|444444&amp;v=3054826:3055327&amp;c=444444", "offset 13")</f>
        <v>offset 13</v>
      </c>
    </row>
    <row r="10899" customFormat="false" ht="12.8" hidden="false" customHeight="false" outlineLevel="0" collapsed="false">
      <c r="A10899" s="0" t="s">
        <v>12</v>
      </c>
      <c r="B10899" s="0" t="n">
        <v>3055048</v>
      </c>
      <c r="C10899" s="0" t="n">
        <v>3055068</v>
      </c>
      <c r="D10899" s="0" t="s">
        <v>36363</v>
      </c>
      <c r="E10899" s="0" t="s">
        <v>89</v>
      </c>
      <c r="F10899" s="0" t="s">
        <v>15</v>
      </c>
      <c r="G10899" s="0" t="s">
        <v>36</v>
      </c>
      <c r="H10899" s="0" t="n">
        <v>35</v>
      </c>
      <c r="I10899" s="0" t="s">
        <v>36367</v>
      </c>
      <c r="J10899" s="0" t="s">
        <v>36368</v>
      </c>
      <c r="K10899" s="0" t="s">
        <v>36369</v>
      </c>
      <c r="L10899" s="0" t="str">
        <f aca="false">HYPERLINK("https://www.ncbi.nlm.nih.gov/nuccore/CP000304.1?report=graph&amp;tracks=[key:gene_model_track,Options:GeneOnly]&amp;mk=3055027:3055046|offset_13|444444,3055049:3055068|offset_35|00cc00,3055078:3055097|offset_64|444444,3055108:3055127|offset_94|444444&amp;v=3054826:3055327&amp;c=444444", "offset 35")</f>
        <v>offset 35</v>
      </c>
    </row>
    <row r="10900" customFormat="false" ht="12.8" hidden="false" customHeight="false" outlineLevel="0" collapsed="false">
      <c r="A10900" s="0" t="s">
        <v>12</v>
      </c>
      <c r="B10900" s="0" t="n">
        <v>3055077</v>
      </c>
      <c r="C10900" s="0" t="n">
        <v>3055097</v>
      </c>
      <c r="D10900" s="0" t="s">
        <v>36363</v>
      </c>
      <c r="E10900" s="0" t="s">
        <v>89</v>
      </c>
      <c r="F10900" s="0" t="s">
        <v>15</v>
      </c>
      <c r="G10900" s="0" t="s">
        <v>16</v>
      </c>
      <c r="H10900" s="0" t="n">
        <v>64</v>
      </c>
      <c r="I10900" s="0" t="s">
        <v>36370</v>
      </c>
      <c r="J10900" s="0" t="s">
        <v>36371</v>
      </c>
      <c r="K10900" s="0" t="s">
        <v>36372</v>
      </c>
      <c r="L10900" s="0" t="str">
        <f aca="false">HYPERLINK("https://www.ncbi.nlm.nih.gov/nuccore/CP000304.1?report=graph&amp;tracks=[key:gene_model_track,Options:GeneOnly]&amp;mk=3055027:3055046|offset_13|444444,3055049:3055068|offset_35|444444,3055078:3055097|offset_64|00cc00,3055108:3055127|offset_94|444444&amp;v=3054826:3055327&amp;c=444444", "offset 64")</f>
        <v>offset 64</v>
      </c>
    </row>
    <row r="10901" customFormat="false" ht="12.8" hidden="false" customHeight="false" outlineLevel="0" collapsed="false">
      <c r="A10901" s="0" t="s">
        <v>12</v>
      </c>
      <c r="B10901" s="0" t="n">
        <v>3055107</v>
      </c>
      <c r="C10901" s="0" t="n">
        <v>3055127</v>
      </c>
      <c r="D10901" s="0" t="s">
        <v>36363</v>
      </c>
      <c r="E10901" s="0" t="s">
        <v>89</v>
      </c>
      <c r="F10901" s="0" t="s">
        <v>15</v>
      </c>
      <c r="G10901" s="0" t="s">
        <v>32</v>
      </c>
      <c r="H10901" s="0" t="n">
        <v>94</v>
      </c>
      <c r="I10901" s="0" t="s">
        <v>36373</v>
      </c>
      <c r="J10901" s="0" t="s">
        <v>36374</v>
      </c>
      <c r="K10901" s="0" t="s">
        <v>36375</v>
      </c>
      <c r="L10901" s="0" t="str">
        <f aca="false">HYPERLINK("https://www.ncbi.nlm.nih.gov/nuccore/CP000304.1?report=graph&amp;tracks=[key:gene_model_track,Options:GeneOnly]&amp;mk=3055027:3055046|offset_13|444444,3055049:3055068|offset_35|444444,3055078:3055097|offset_64|444444,3055108:3055127|offset_94|00cc00&amp;v=3054826:3055327&amp;c=444444", "offset 94")</f>
        <v>offset 94</v>
      </c>
    </row>
    <row r="10902" customFormat="false" ht="12.8" hidden="false" customHeight="false" outlineLevel="0" collapsed="false">
      <c r="A10902" s="0" t="s">
        <v>12</v>
      </c>
      <c r="B10902" s="0" t="n">
        <v>3056341</v>
      </c>
      <c r="C10902" s="0" t="n">
        <v>3056361</v>
      </c>
      <c r="D10902" s="0" t="s">
        <v>36376</v>
      </c>
      <c r="E10902" s="0" t="s">
        <v>89</v>
      </c>
      <c r="F10902" s="0" t="s">
        <v>90</v>
      </c>
      <c r="G10902" s="0" t="s">
        <v>36</v>
      </c>
      <c r="H10902" s="0" t="n">
        <v>51</v>
      </c>
      <c r="I10902" s="0" t="s">
        <v>36377</v>
      </c>
      <c r="J10902" s="0" t="s">
        <v>36378</v>
      </c>
      <c r="K10902" s="0" t="s">
        <v>36379</v>
      </c>
      <c r="L10902" s="0" t="str">
        <f aca="false">HYPERLINK("https://www.ncbi.nlm.nih.gov/nuccore/CP000304.1?report=graph&amp;tracks=[key:gene_model_track,Options:GeneOnly]&amp;mk=3056342:3056361|offset_51|00cc00,3056321:3056340|offset_72|444444,3056291:3056310|offset_102|444444&amp;v=3056141:3056510&amp;c=444444", "offset 51")</f>
        <v>offset 51</v>
      </c>
    </row>
    <row r="10903" customFormat="false" ht="12.8" hidden="false" customHeight="false" outlineLevel="0" collapsed="false">
      <c r="A10903" s="0" t="s">
        <v>12</v>
      </c>
      <c r="B10903" s="0" t="n">
        <v>3056320</v>
      </c>
      <c r="C10903" s="0" t="n">
        <v>3056340</v>
      </c>
      <c r="D10903" s="0" t="s">
        <v>36376</v>
      </c>
      <c r="E10903" s="0" t="s">
        <v>89</v>
      </c>
      <c r="F10903" s="0" t="s">
        <v>90</v>
      </c>
      <c r="G10903" s="0" t="s">
        <v>16</v>
      </c>
      <c r="H10903" s="0" t="n">
        <v>72</v>
      </c>
      <c r="I10903" s="0" t="s">
        <v>36380</v>
      </c>
      <c r="J10903" s="0" t="s">
        <v>36381</v>
      </c>
      <c r="K10903" s="0" t="s">
        <v>36382</v>
      </c>
      <c r="L10903" s="0" t="str">
        <f aca="false">HYPERLINK("https://www.ncbi.nlm.nih.gov/nuccore/CP000304.1?report=graph&amp;tracks=[key:gene_model_track,Options:GeneOnly]&amp;mk=3056342:3056361|offset_51|444444,3056321:3056340|offset_72|00cc00,3056291:3056310|offset_102|444444&amp;v=3056141:3056510&amp;c=444444", "offset 72")</f>
        <v>offset 72</v>
      </c>
    </row>
    <row r="10904" customFormat="false" ht="12.8" hidden="false" customHeight="false" outlineLevel="0" collapsed="false">
      <c r="A10904" s="0" t="s">
        <v>12</v>
      </c>
      <c r="B10904" s="0" t="n">
        <v>3056290</v>
      </c>
      <c r="C10904" s="0" t="n">
        <v>3056310</v>
      </c>
      <c r="D10904" s="0" t="s">
        <v>36376</v>
      </c>
      <c r="E10904" s="0" t="s">
        <v>89</v>
      </c>
      <c r="F10904" s="0" t="s">
        <v>90</v>
      </c>
      <c r="G10904" s="0" t="s">
        <v>16</v>
      </c>
      <c r="H10904" s="0" t="n">
        <v>102</v>
      </c>
      <c r="I10904" s="0" t="s">
        <v>36383</v>
      </c>
      <c r="J10904" s="0" t="s">
        <v>36384</v>
      </c>
      <c r="K10904" s="0" t="s">
        <v>36385</v>
      </c>
      <c r="L10904" s="0" t="str">
        <f aca="false">HYPERLINK("https://www.ncbi.nlm.nih.gov/nuccore/CP000304.1?report=graph&amp;tracks=[key:gene_model_track,Options:GeneOnly]&amp;mk=3056342:3056361|offset_51|444444,3056321:3056340|offset_72|444444,3056291:3056310|offset_102|00cc00&amp;v=3056141:3056510&amp;c=444444", "offset 102")</f>
        <v>offset 102</v>
      </c>
    </row>
    <row r="10905" customFormat="false" ht="12.8" hidden="false" customHeight="false" outlineLevel="0" collapsed="false">
      <c r="A10905" s="0" t="s">
        <v>12</v>
      </c>
      <c r="B10905" s="0" t="n">
        <v>3056601</v>
      </c>
      <c r="C10905" s="0" t="n">
        <v>3056621</v>
      </c>
      <c r="D10905" s="0" t="s">
        <v>36386</v>
      </c>
      <c r="E10905" s="0" t="s">
        <v>89</v>
      </c>
      <c r="F10905" s="0" t="s">
        <v>90</v>
      </c>
      <c r="G10905" s="0" t="s">
        <v>26</v>
      </c>
      <c r="H10905" s="0" t="n">
        <v>51</v>
      </c>
      <c r="I10905" s="0" t="s">
        <v>36387</v>
      </c>
      <c r="J10905" s="0" t="s">
        <v>36388</v>
      </c>
      <c r="K10905" s="0" t="s">
        <v>36389</v>
      </c>
      <c r="L10905" s="0" t="str">
        <f aca="false">HYPERLINK("https://www.ncbi.nlm.nih.gov/nuccore/CP000304.1?report=graph&amp;tracks=[key:gene_model_track,Options:GeneOnly]&amp;mk=3056602:3056621|offset_51|00cc00,3056571:3056590|offset_82|444444,3056523:3056542|offset_130|444444,3056484:3056503|offset_169|444444&amp;v=3056401:3056703&amp;c=444444", "offset 51")</f>
        <v>offset 51</v>
      </c>
    </row>
    <row r="10906" customFormat="false" ht="12.8" hidden="false" customHeight="false" outlineLevel="0" collapsed="false">
      <c r="A10906" s="0" t="s">
        <v>12</v>
      </c>
      <c r="B10906" s="0" t="n">
        <v>3056570</v>
      </c>
      <c r="C10906" s="0" t="n">
        <v>3056590</v>
      </c>
      <c r="D10906" s="0" t="s">
        <v>36386</v>
      </c>
      <c r="E10906" s="0" t="s">
        <v>89</v>
      </c>
      <c r="F10906" s="0" t="s">
        <v>90</v>
      </c>
      <c r="G10906" s="0" t="s">
        <v>32</v>
      </c>
      <c r="H10906" s="0" t="n">
        <v>82</v>
      </c>
      <c r="I10906" s="0" t="s">
        <v>36390</v>
      </c>
      <c r="J10906" s="0" t="s">
        <v>36391</v>
      </c>
      <c r="K10906" s="0" t="s">
        <v>36392</v>
      </c>
      <c r="L10906" s="0" t="str">
        <f aca="false">HYPERLINK("https://www.ncbi.nlm.nih.gov/nuccore/CP000304.1?report=graph&amp;tracks=[key:gene_model_track,Options:GeneOnly]&amp;mk=3056602:3056621|offset_51|444444,3056571:3056590|offset_82|00cc00,3056523:3056542|offset_130|444444,3056484:3056503|offset_169|444444&amp;v=3056401:3056703&amp;c=444444", "offset 82")</f>
        <v>offset 82</v>
      </c>
    </row>
    <row r="10907" customFormat="false" ht="12.8" hidden="false" customHeight="false" outlineLevel="0" collapsed="false">
      <c r="A10907" s="0" t="s">
        <v>12</v>
      </c>
      <c r="B10907" s="0" t="n">
        <v>3056522</v>
      </c>
      <c r="C10907" s="0" t="n">
        <v>3056542</v>
      </c>
      <c r="D10907" s="0" t="s">
        <v>36386</v>
      </c>
      <c r="E10907" s="0" t="s">
        <v>89</v>
      </c>
      <c r="F10907" s="0" t="s">
        <v>90</v>
      </c>
      <c r="G10907" s="0" t="s">
        <v>16</v>
      </c>
      <c r="H10907" s="0" t="n">
        <v>130</v>
      </c>
      <c r="I10907" s="0" t="s">
        <v>36393</v>
      </c>
      <c r="J10907" s="0" t="s">
        <v>36394</v>
      </c>
      <c r="K10907" s="0" t="s">
        <v>36395</v>
      </c>
      <c r="L10907" s="0" t="str">
        <f aca="false">HYPERLINK("https://www.ncbi.nlm.nih.gov/nuccore/CP000304.1?report=graph&amp;tracks=[key:gene_model_track,Options:GeneOnly]&amp;mk=3056602:3056621|offset_51|444444,3056571:3056590|offset_82|444444,3056523:3056542|offset_130|00cc00,3056484:3056503|offset_169|444444&amp;v=3056401:3056703&amp;c=444444", "offset 130")</f>
        <v>offset 130</v>
      </c>
    </row>
    <row r="10908" customFormat="false" ht="12.8" hidden="false" customHeight="false" outlineLevel="0" collapsed="false">
      <c r="A10908" s="0" t="s">
        <v>12</v>
      </c>
      <c r="B10908" s="0" t="n">
        <v>3056483</v>
      </c>
      <c r="C10908" s="0" t="n">
        <v>3056503</v>
      </c>
      <c r="D10908" s="0" t="s">
        <v>36386</v>
      </c>
      <c r="E10908" s="0" t="s">
        <v>89</v>
      </c>
      <c r="F10908" s="0" t="s">
        <v>90</v>
      </c>
      <c r="G10908" s="0" t="s">
        <v>32</v>
      </c>
      <c r="H10908" s="0" t="n">
        <v>169</v>
      </c>
      <c r="I10908" s="0" t="s">
        <v>36396</v>
      </c>
      <c r="J10908" s="0" t="s">
        <v>36397</v>
      </c>
      <c r="K10908" s="0" t="s">
        <v>36398</v>
      </c>
      <c r="L10908" s="0" t="str">
        <f aca="false">HYPERLINK("https://www.ncbi.nlm.nih.gov/nuccore/CP000304.1?report=graph&amp;tracks=[key:gene_model_track,Options:GeneOnly]&amp;mk=3056602:3056621|offset_51|444444,3056571:3056590|offset_82|444444,3056523:3056542|offset_130|444444,3056484:3056503|offset_169|00cc00&amp;v=3056401:3056703&amp;c=444444", "offset 169")</f>
        <v>offset 169</v>
      </c>
    </row>
    <row r="10909" customFormat="false" ht="12.8" hidden="false" customHeight="false" outlineLevel="0" collapsed="false">
      <c r="A10909" s="0" t="s">
        <v>12</v>
      </c>
      <c r="B10909" s="0" t="n">
        <v>3056684</v>
      </c>
      <c r="C10909" s="0" t="n">
        <v>3056704</v>
      </c>
      <c r="D10909" s="0" t="s">
        <v>36399</v>
      </c>
      <c r="E10909" s="0" t="s">
        <v>89</v>
      </c>
      <c r="F10909" s="0" t="s">
        <v>15</v>
      </c>
      <c r="G10909" s="0" t="s">
        <v>26</v>
      </c>
      <c r="H10909" s="0" t="n">
        <v>23</v>
      </c>
      <c r="I10909" s="0" t="s">
        <v>36400</v>
      </c>
      <c r="J10909" s="0" t="s">
        <v>36401</v>
      </c>
      <c r="K10909" s="0" t="s">
        <v>36402</v>
      </c>
      <c r="L10909" s="0" t="str">
        <f aca="false">HYPERLINK("https://www.ncbi.nlm.nih.gov/nuccore/CP000304.1?report=graph&amp;tracks=[key:gene_model_track,Options:GeneOnly]&amp;mk=3056685:3056704|offset_23|00cc00,3056722:3056741|offset_60|444444,3056743:3056762|offset_81|444444,3056776:3056795|offset_114|444444&amp;v=3056484:3056995&amp;c=444444", "offset 23")</f>
        <v>offset 23</v>
      </c>
    </row>
    <row r="10910" customFormat="false" ht="12.8" hidden="false" customHeight="false" outlineLevel="0" collapsed="false">
      <c r="A10910" s="0" t="s">
        <v>12</v>
      </c>
      <c r="B10910" s="0" t="n">
        <v>3056721</v>
      </c>
      <c r="C10910" s="0" t="n">
        <v>3056741</v>
      </c>
      <c r="D10910" s="0" t="s">
        <v>36399</v>
      </c>
      <c r="E10910" s="0" t="s">
        <v>89</v>
      </c>
      <c r="F10910" s="0" t="s">
        <v>15</v>
      </c>
      <c r="G10910" s="0" t="s">
        <v>16</v>
      </c>
      <c r="H10910" s="0" t="n">
        <v>60</v>
      </c>
      <c r="I10910" s="0" t="s">
        <v>36403</v>
      </c>
      <c r="J10910" s="0" t="s">
        <v>36404</v>
      </c>
      <c r="K10910" s="0" t="s">
        <v>36405</v>
      </c>
      <c r="L10910" s="0" t="str">
        <f aca="false">HYPERLINK("https://www.ncbi.nlm.nih.gov/nuccore/CP000304.1?report=graph&amp;tracks=[key:gene_model_track,Options:GeneOnly]&amp;mk=3056685:3056704|offset_23|444444,3056722:3056741|offset_60|00cc00,3056743:3056762|offset_81|444444,3056776:3056795|offset_114|444444&amp;v=3056484:3056995&amp;c=444444", "offset 60")</f>
        <v>offset 60</v>
      </c>
    </row>
    <row r="10911" customFormat="false" ht="12.8" hidden="false" customHeight="false" outlineLevel="0" collapsed="false">
      <c r="A10911" s="0" t="s">
        <v>12</v>
      </c>
      <c r="B10911" s="0" t="n">
        <v>3056742</v>
      </c>
      <c r="C10911" s="0" t="n">
        <v>3056762</v>
      </c>
      <c r="D10911" s="0" t="s">
        <v>36399</v>
      </c>
      <c r="E10911" s="0" t="s">
        <v>89</v>
      </c>
      <c r="F10911" s="0" t="s">
        <v>15</v>
      </c>
      <c r="G10911" s="0" t="s">
        <v>16</v>
      </c>
      <c r="H10911" s="0" t="n">
        <v>81</v>
      </c>
      <c r="I10911" s="0" t="s">
        <v>36406</v>
      </c>
      <c r="J10911" s="0" t="s">
        <v>36407</v>
      </c>
      <c r="K10911" s="0" t="s">
        <v>36408</v>
      </c>
      <c r="L10911" s="0" t="str">
        <f aca="false">HYPERLINK("https://www.ncbi.nlm.nih.gov/nuccore/CP000304.1?report=graph&amp;tracks=[key:gene_model_track,Options:GeneOnly]&amp;mk=3056685:3056704|offset_23|444444,3056722:3056741|offset_60|444444,3056743:3056762|offset_81|00cc00,3056776:3056795|offset_114|444444&amp;v=3056484:3056995&amp;c=444444", "offset 81")</f>
        <v>offset 81</v>
      </c>
    </row>
    <row r="10912" customFormat="false" ht="12.8" hidden="false" customHeight="false" outlineLevel="0" collapsed="false">
      <c r="A10912" s="0" t="s">
        <v>12</v>
      </c>
      <c r="B10912" s="0" t="n">
        <v>3056775</v>
      </c>
      <c r="C10912" s="0" t="n">
        <v>3056795</v>
      </c>
      <c r="D10912" s="0" t="s">
        <v>36399</v>
      </c>
      <c r="E10912" s="0" t="s">
        <v>89</v>
      </c>
      <c r="F10912" s="0" t="s">
        <v>15</v>
      </c>
      <c r="G10912" s="0" t="s">
        <v>26</v>
      </c>
      <c r="H10912" s="0" t="n">
        <v>114</v>
      </c>
      <c r="I10912" s="0" t="s">
        <v>36409</v>
      </c>
      <c r="J10912" s="0" t="s">
        <v>36410</v>
      </c>
      <c r="K10912" s="0" t="s">
        <v>36411</v>
      </c>
      <c r="L10912" s="0" t="str">
        <f aca="false">HYPERLINK("https://www.ncbi.nlm.nih.gov/nuccore/CP000304.1?report=graph&amp;tracks=[key:gene_model_track,Options:GeneOnly]&amp;mk=3056685:3056704|offset_23|444444,3056722:3056741|offset_60|444444,3056743:3056762|offset_81|444444,3056776:3056795|offset_114|00cc00&amp;v=3056484:3056995&amp;c=444444", "offset 114")</f>
        <v>offset 114</v>
      </c>
    </row>
    <row r="10913" customFormat="false" ht="12.8" hidden="false" customHeight="false" outlineLevel="0" collapsed="false">
      <c r="A10913" s="0" t="s">
        <v>12</v>
      </c>
      <c r="B10913" s="0" t="n">
        <v>3057258</v>
      </c>
      <c r="C10913" s="0" t="n">
        <v>3057278</v>
      </c>
      <c r="D10913" s="0" t="s">
        <v>36412</v>
      </c>
      <c r="E10913" s="0" t="s">
        <v>89</v>
      </c>
      <c r="F10913" s="0" t="s">
        <v>15</v>
      </c>
      <c r="G10913" s="0" t="s">
        <v>36</v>
      </c>
      <c r="H10913" s="0" t="n">
        <v>0</v>
      </c>
      <c r="I10913" s="0" t="s">
        <v>36413</v>
      </c>
      <c r="J10913" s="0" t="s">
        <v>36414</v>
      </c>
      <c r="K10913" s="0" t="s">
        <v>36415</v>
      </c>
      <c r="L10913" s="0" t="str">
        <f aca="false">HYPERLINK("https://www.ncbi.nlm.nih.gov/nuccore/CP000304.1?report=graph&amp;tracks=[key:gene_model_track,Options:GeneOnly]&amp;mk=3057259:3057278|offset_0|00cc00,3057288:3057307|offset_29|444444,3057314:3057333|offset_55|444444,3057383:3057402|offset_124|444444&amp;v=3057058:3057602&amp;c=444444", "offset 0")</f>
        <v>offset 0</v>
      </c>
    </row>
    <row r="10914" customFormat="false" ht="12.8" hidden="false" customHeight="false" outlineLevel="0" collapsed="false">
      <c r="A10914" s="0" t="s">
        <v>12</v>
      </c>
      <c r="B10914" s="0" t="n">
        <v>3057287</v>
      </c>
      <c r="C10914" s="0" t="n">
        <v>3057307</v>
      </c>
      <c r="D10914" s="0" t="s">
        <v>36412</v>
      </c>
      <c r="E10914" s="0" t="s">
        <v>89</v>
      </c>
      <c r="F10914" s="0" t="s">
        <v>15</v>
      </c>
      <c r="G10914" s="0" t="s">
        <v>26</v>
      </c>
      <c r="H10914" s="0" t="n">
        <v>29</v>
      </c>
      <c r="I10914" s="0" t="s">
        <v>36416</v>
      </c>
      <c r="J10914" s="0" t="s">
        <v>36417</v>
      </c>
      <c r="K10914" s="0" t="s">
        <v>36418</v>
      </c>
      <c r="L10914" s="0" t="str">
        <f aca="false">HYPERLINK("https://www.ncbi.nlm.nih.gov/nuccore/CP000304.1?report=graph&amp;tracks=[key:gene_model_track,Options:GeneOnly]&amp;mk=3057259:3057278|offset_0|444444,3057288:3057307|offset_29|00cc00,3057314:3057333|offset_55|444444,3057383:3057402|offset_124|444444&amp;v=3057058:3057602&amp;c=444444", "offset 29")</f>
        <v>offset 29</v>
      </c>
    </row>
    <row r="10915" customFormat="false" ht="12.8" hidden="false" customHeight="false" outlineLevel="0" collapsed="false">
      <c r="A10915" s="0" t="s">
        <v>12</v>
      </c>
      <c r="B10915" s="0" t="n">
        <v>3057313</v>
      </c>
      <c r="C10915" s="0" t="n">
        <v>3057333</v>
      </c>
      <c r="D10915" s="0" t="s">
        <v>36412</v>
      </c>
      <c r="E10915" s="0" t="s">
        <v>89</v>
      </c>
      <c r="F10915" s="0" t="s">
        <v>15</v>
      </c>
      <c r="G10915" s="0" t="s">
        <v>32</v>
      </c>
      <c r="H10915" s="0" t="n">
        <v>55</v>
      </c>
      <c r="I10915" s="0" t="s">
        <v>36419</v>
      </c>
      <c r="J10915" s="0" t="s">
        <v>36420</v>
      </c>
      <c r="K10915" s="0" t="s">
        <v>36421</v>
      </c>
      <c r="L10915" s="0" t="str">
        <f aca="false">HYPERLINK("https://www.ncbi.nlm.nih.gov/nuccore/CP000304.1?report=graph&amp;tracks=[key:gene_model_track,Options:GeneOnly]&amp;mk=3057259:3057278|offset_0|444444,3057288:3057307|offset_29|444444,3057314:3057333|offset_55|00cc00,3057383:3057402|offset_124|444444&amp;v=3057058:3057602&amp;c=444444", "offset 55")</f>
        <v>offset 55</v>
      </c>
    </row>
    <row r="10916" customFormat="false" ht="12.8" hidden="false" customHeight="false" outlineLevel="0" collapsed="false">
      <c r="A10916" s="0" t="s">
        <v>12</v>
      </c>
      <c r="B10916" s="0" t="n">
        <v>3057382</v>
      </c>
      <c r="C10916" s="0" t="n">
        <v>3057402</v>
      </c>
      <c r="D10916" s="0" t="s">
        <v>36412</v>
      </c>
      <c r="E10916" s="0" t="s">
        <v>89</v>
      </c>
      <c r="F10916" s="0" t="s">
        <v>15</v>
      </c>
      <c r="G10916" s="0" t="s">
        <v>16</v>
      </c>
      <c r="H10916" s="0" t="n">
        <v>124</v>
      </c>
      <c r="I10916" s="0" t="s">
        <v>36422</v>
      </c>
      <c r="J10916" s="0" t="s">
        <v>36423</v>
      </c>
      <c r="K10916" s="0" t="s">
        <v>36424</v>
      </c>
      <c r="L10916" s="0" t="str">
        <f aca="false">HYPERLINK("https://www.ncbi.nlm.nih.gov/nuccore/CP000304.1?report=graph&amp;tracks=[key:gene_model_track,Options:GeneOnly]&amp;mk=3057259:3057278|offset_0|444444,3057288:3057307|offset_29|444444,3057314:3057333|offset_55|444444,3057383:3057402|offset_124|00cc00&amp;v=3057058:3057602&amp;c=444444", "offset 124")</f>
        <v>offset 124</v>
      </c>
    </row>
    <row r="10917" customFormat="false" ht="12.8" hidden="false" customHeight="false" outlineLevel="0" collapsed="false">
      <c r="A10917" s="0" t="s">
        <v>12</v>
      </c>
      <c r="B10917" s="0" t="n">
        <v>3057674</v>
      </c>
      <c r="C10917" s="0" t="n">
        <v>3057694</v>
      </c>
      <c r="D10917" s="0" t="s">
        <v>36425</v>
      </c>
      <c r="E10917" s="0" t="s">
        <v>36426</v>
      </c>
      <c r="F10917" s="0" t="s">
        <v>15</v>
      </c>
      <c r="G10917" s="0" t="s">
        <v>36</v>
      </c>
      <c r="H10917" s="0" t="n">
        <v>0</v>
      </c>
      <c r="I10917" s="0" t="s">
        <v>36427</v>
      </c>
      <c r="J10917" s="0" t="s">
        <v>36428</v>
      </c>
      <c r="K10917" s="0" t="s">
        <v>36429</v>
      </c>
      <c r="L10917" s="0" t="str">
        <f aca="false">HYPERLINK("https://www.ncbi.nlm.nih.gov/nuccore/CP000304.1?report=graph&amp;tracks=[key:gene_model_track,Options:GeneOnly]&amp;mk=3057675:3057694|offset_0|00cc00,3057698:3057717|offset_23|444444,3057718:3057737|offset_43|444444,3057762:3057781|offset_87|444444&amp;v=3057474:3057981&amp;c=444444", "offset 0")</f>
        <v>offset 0</v>
      </c>
    </row>
    <row r="10918" customFormat="false" ht="12.8" hidden="false" customHeight="false" outlineLevel="0" collapsed="false">
      <c r="A10918" s="0" t="s">
        <v>12</v>
      </c>
      <c r="B10918" s="0" t="n">
        <v>3057697</v>
      </c>
      <c r="C10918" s="0" t="n">
        <v>3057717</v>
      </c>
      <c r="D10918" s="0" t="s">
        <v>36425</v>
      </c>
      <c r="E10918" s="0" t="s">
        <v>36426</v>
      </c>
      <c r="F10918" s="0" t="s">
        <v>15</v>
      </c>
      <c r="G10918" s="0" t="s">
        <v>26</v>
      </c>
      <c r="H10918" s="0" t="n">
        <v>23</v>
      </c>
      <c r="I10918" s="0" t="s">
        <v>36430</v>
      </c>
      <c r="J10918" s="0" t="s">
        <v>36431</v>
      </c>
      <c r="K10918" s="0" t="s">
        <v>36432</v>
      </c>
      <c r="L10918" s="0" t="str">
        <f aca="false">HYPERLINK("https://www.ncbi.nlm.nih.gov/nuccore/CP000304.1?report=graph&amp;tracks=[key:gene_model_track,Options:GeneOnly]&amp;mk=3057675:3057694|offset_0|444444,3057698:3057717|offset_23|00cc00,3057718:3057737|offset_43|444444,3057762:3057781|offset_87|444444&amp;v=3057474:3057981&amp;c=444444", "offset 23")</f>
        <v>offset 23</v>
      </c>
    </row>
    <row r="10919" customFormat="false" ht="12.8" hidden="false" customHeight="false" outlineLevel="0" collapsed="false">
      <c r="A10919" s="0" t="s">
        <v>12</v>
      </c>
      <c r="B10919" s="0" t="n">
        <v>3057717</v>
      </c>
      <c r="C10919" s="0" t="n">
        <v>3057737</v>
      </c>
      <c r="D10919" s="0" t="s">
        <v>36425</v>
      </c>
      <c r="E10919" s="0" t="s">
        <v>36426</v>
      </c>
      <c r="F10919" s="0" t="s">
        <v>15</v>
      </c>
      <c r="G10919" s="0" t="s">
        <v>36</v>
      </c>
      <c r="H10919" s="0" t="n">
        <v>43</v>
      </c>
      <c r="I10919" s="0" t="s">
        <v>36433</v>
      </c>
      <c r="J10919" s="0" t="s">
        <v>36434</v>
      </c>
      <c r="K10919" s="0" t="s">
        <v>36435</v>
      </c>
      <c r="L10919" s="0" t="str">
        <f aca="false">HYPERLINK("https://www.ncbi.nlm.nih.gov/nuccore/CP000304.1?report=graph&amp;tracks=[key:gene_model_track,Options:GeneOnly]&amp;mk=3057675:3057694|offset_0|444444,3057698:3057717|offset_23|444444,3057718:3057737|offset_43|00cc00,3057762:3057781|offset_87|444444&amp;v=3057474:3057981&amp;c=444444", "offset 43")</f>
        <v>offset 43</v>
      </c>
    </row>
    <row r="10920" customFormat="false" ht="12.8" hidden="false" customHeight="false" outlineLevel="0" collapsed="false">
      <c r="A10920" s="0" t="s">
        <v>12</v>
      </c>
      <c r="B10920" s="0" t="n">
        <v>3057761</v>
      </c>
      <c r="C10920" s="0" t="n">
        <v>3057781</v>
      </c>
      <c r="D10920" s="0" t="s">
        <v>36425</v>
      </c>
      <c r="E10920" s="0" t="s">
        <v>36426</v>
      </c>
      <c r="F10920" s="0" t="s">
        <v>15</v>
      </c>
      <c r="G10920" s="0" t="s">
        <v>16</v>
      </c>
      <c r="H10920" s="0" t="n">
        <v>87</v>
      </c>
      <c r="I10920" s="0" t="s">
        <v>36436</v>
      </c>
      <c r="J10920" s="0" t="s">
        <v>36437</v>
      </c>
      <c r="K10920" s="0" t="s">
        <v>36438</v>
      </c>
      <c r="L10920" s="0" t="str">
        <f aca="false">HYPERLINK("https://www.ncbi.nlm.nih.gov/nuccore/CP000304.1?report=graph&amp;tracks=[key:gene_model_track,Options:GeneOnly]&amp;mk=3057675:3057694|offset_0|444444,3057698:3057717|offset_23|444444,3057718:3057737|offset_43|444444,3057762:3057781|offset_87|00cc00&amp;v=3057474:3057981&amp;c=444444", "offset 87")</f>
        <v>offset 87</v>
      </c>
    </row>
    <row r="10921" customFormat="false" ht="12.8" hidden="false" customHeight="false" outlineLevel="0" collapsed="false">
      <c r="A10921" s="0" t="s">
        <v>12</v>
      </c>
      <c r="B10921" s="0" t="n">
        <v>3058787</v>
      </c>
      <c r="C10921" s="0" t="n">
        <v>3058807</v>
      </c>
      <c r="D10921" s="0" t="s">
        <v>36439</v>
      </c>
      <c r="E10921" s="0" t="s">
        <v>36440</v>
      </c>
      <c r="F10921" s="0" t="s">
        <v>15</v>
      </c>
      <c r="G10921" s="0" t="s">
        <v>36</v>
      </c>
      <c r="H10921" s="0" t="n">
        <v>7</v>
      </c>
      <c r="I10921" s="0" t="s">
        <v>36441</v>
      </c>
      <c r="J10921" s="0" t="s">
        <v>36442</v>
      </c>
      <c r="K10921" s="0" t="s">
        <v>36443</v>
      </c>
      <c r="L10921" s="0" t="str">
        <f aca="false">HYPERLINK("https://www.ncbi.nlm.nih.gov/nuccore/CP000304.1?report=graph&amp;tracks=[key:gene_model_track,Options:GeneOnly]&amp;mk=3058788:3058807|offset_7|00cc00,3058816:3058835|offset_35|444444,3058846:3058865|offset_65|444444,3058866:3058885|offset_85|444444&amp;v=3058587:3059085&amp;c=444444", "offset 7")</f>
        <v>offset 7</v>
      </c>
    </row>
    <row r="10922" customFormat="false" ht="12.8" hidden="false" customHeight="false" outlineLevel="0" collapsed="false">
      <c r="A10922" s="0" t="s">
        <v>12</v>
      </c>
      <c r="B10922" s="0" t="n">
        <v>3058815</v>
      </c>
      <c r="C10922" s="0" t="n">
        <v>3058835</v>
      </c>
      <c r="D10922" s="0" t="s">
        <v>36439</v>
      </c>
      <c r="E10922" s="0" t="s">
        <v>36440</v>
      </c>
      <c r="F10922" s="0" t="s">
        <v>15</v>
      </c>
      <c r="G10922" s="0" t="s">
        <v>36</v>
      </c>
      <c r="H10922" s="0" t="n">
        <v>35</v>
      </c>
      <c r="I10922" s="0" t="s">
        <v>36444</v>
      </c>
      <c r="J10922" s="0" t="s">
        <v>36445</v>
      </c>
      <c r="K10922" s="0" t="s">
        <v>36446</v>
      </c>
      <c r="L10922" s="0" t="str">
        <f aca="false">HYPERLINK("https://www.ncbi.nlm.nih.gov/nuccore/CP000304.1?report=graph&amp;tracks=[key:gene_model_track,Options:GeneOnly]&amp;mk=3058788:3058807|offset_7|444444,3058816:3058835|offset_35|00cc00,3058846:3058865|offset_65|444444,3058866:3058885|offset_85|444444&amp;v=3058587:3059085&amp;c=444444", "offset 35")</f>
        <v>offset 35</v>
      </c>
    </row>
    <row r="10923" customFormat="false" ht="12.8" hidden="false" customHeight="false" outlineLevel="0" collapsed="false">
      <c r="A10923" s="0" t="s">
        <v>12</v>
      </c>
      <c r="B10923" s="0" t="n">
        <v>3058845</v>
      </c>
      <c r="C10923" s="0" t="n">
        <v>3058865</v>
      </c>
      <c r="D10923" s="0" t="s">
        <v>36439</v>
      </c>
      <c r="E10923" s="0" t="s">
        <v>36440</v>
      </c>
      <c r="F10923" s="0" t="s">
        <v>15</v>
      </c>
      <c r="G10923" s="0" t="s">
        <v>32</v>
      </c>
      <c r="H10923" s="0" t="n">
        <v>65</v>
      </c>
      <c r="I10923" s="0" t="s">
        <v>36447</v>
      </c>
      <c r="J10923" s="0" t="s">
        <v>36448</v>
      </c>
      <c r="K10923" s="0" t="s">
        <v>36449</v>
      </c>
      <c r="L10923" s="0" t="str">
        <f aca="false">HYPERLINK("https://www.ncbi.nlm.nih.gov/nuccore/CP000304.1?report=graph&amp;tracks=[key:gene_model_track,Options:GeneOnly]&amp;mk=3058788:3058807|offset_7|444444,3058816:3058835|offset_35|444444,3058846:3058865|offset_65|00cc00,3058866:3058885|offset_85|444444&amp;v=3058587:3059085&amp;c=444444", "offset 65")</f>
        <v>offset 65</v>
      </c>
    </row>
    <row r="10924" customFormat="false" ht="12.8" hidden="false" customHeight="false" outlineLevel="0" collapsed="false">
      <c r="A10924" s="0" t="s">
        <v>12</v>
      </c>
      <c r="B10924" s="0" t="n">
        <v>3058865</v>
      </c>
      <c r="C10924" s="0" t="n">
        <v>3058885</v>
      </c>
      <c r="D10924" s="0" t="s">
        <v>36439</v>
      </c>
      <c r="E10924" s="0" t="s">
        <v>36440</v>
      </c>
      <c r="F10924" s="0" t="s">
        <v>15</v>
      </c>
      <c r="G10924" s="0" t="s">
        <v>16</v>
      </c>
      <c r="H10924" s="0" t="n">
        <v>85</v>
      </c>
      <c r="I10924" s="0" t="s">
        <v>36450</v>
      </c>
      <c r="J10924" s="0" t="s">
        <v>36451</v>
      </c>
      <c r="K10924" s="0" t="s">
        <v>36452</v>
      </c>
      <c r="L10924" s="0" t="str">
        <f aca="false">HYPERLINK("https://www.ncbi.nlm.nih.gov/nuccore/CP000304.1?report=graph&amp;tracks=[key:gene_model_track,Options:GeneOnly]&amp;mk=3058788:3058807|offset_7|444444,3058816:3058835|offset_35|444444,3058846:3058865|offset_65|444444,3058866:3058885|offset_85|00cc00&amp;v=3058587:3059085&amp;c=444444", "offset 85")</f>
        <v>offset 85</v>
      </c>
    </row>
    <row r="10925" customFormat="false" ht="12.8" hidden="false" customHeight="false" outlineLevel="0" collapsed="false">
      <c r="A10925" s="0" t="s">
        <v>12</v>
      </c>
      <c r="B10925" s="0" t="n">
        <v>3059997</v>
      </c>
      <c r="C10925" s="0" t="n">
        <v>3060017</v>
      </c>
      <c r="D10925" s="0" t="s">
        <v>36453</v>
      </c>
      <c r="E10925" s="0" t="s">
        <v>36454</v>
      </c>
      <c r="F10925" s="0" t="s">
        <v>15</v>
      </c>
      <c r="G10925" s="0" t="s">
        <v>36</v>
      </c>
      <c r="H10925" s="0" t="n">
        <v>15</v>
      </c>
      <c r="I10925" s="0" t="s">
        <v>36455</v>
      </c>
      <c r="J10925" s="0" t="s">
        <v>36456</v>
      </c>
      <c r="K10925" s="0" t="s">
        <v>36457</v>
      </c>
      <c r="L10925" s="0" t="str">
        <f aca="false">HYPERLINK("https://www.ncbi.nlm.nih.gov/nuccore/CP000304.1?report=graph&amp;tracks=[key:gene_model_track,Options:GeneOnly]&amp;mk=3059998:3060017|offset_15|00cc00,3060026:3060045|offset_43|444444,3060063:3060082|offset_80|444444,3060094:3060113|offset_111|444444&amp;v=3059797:3060313&amp;c=444444", "offset 15")</f>
        <v>offset 15</v>
      </c>
    </row>
    <row r="10926" customFormat="false" ht="12.8" hidden="false" customHeight="false" outlineLevel="0" collapsed="false">
      <c r="A10926" s="0" t="s">
        <v>12</v>
      </c>
      <c r="B10926" s="0" t="n">
        <v>3060025</v>
      </c>
      <c r="C10926" s="0" t="n">
        <v>3060045</v>
      </c>
      <c r="D10926" s="0" t="s">
        <v>36453</v>
      </c>
      <c r="E10926" s="0" t="s">
        <v>36454</v>
      </c>
      <c r="F10926" s="0" t="s">
        <v>15</v>
      </c>
      <c r="G10926" s="0" t="s">
        <v>26</v>
      </c>
      <c r="H10926" s="0" t="n">
        <v>43</v>
      </c>
      <c r="I10926" s="0" t="s">
        <v>36458</v>
      </c>
      <c r="J10926" s="0" t="s">
        <v>36459</v>
      </c>
      <c r="K10926" s="0" t="s">
        <v>36460</v>
      </c>
      <c r="L10926" s="0" t="str">
        <f aca="false">HYPERLINK("https://www.ncbi.nlm.nih.gov/nuccore/CP000304.1?report=graph&amp;tracks=[key:gene_model_track,Options:GeneOnly]&amp;mk=3059998:3060017|offset_15|444444,3060026:3060045|offset_43|00cc00,3060063:3060082|offset_80|444444,3060094:3060113|offset_111|444444&amp;v=3059797:3060313&amp;c=444444", "offset 43")</f>
        <v>offset 43</v>
      </c>
    </row>
    <row r="10927" customFormat="false" ht="12.8" hidden="false" customHeight="false" outlineLevel="0" collapsed="false">
      <c r="A10927" s="0" t="s">
        <v>12</v>
      </c>
      <c r="B10927" s="0" t="n">
        <v>3060062</v>
      </c>
      <c r="C10927" s="0" t="n">
        <v>3060082</v>
      </c>
      <c r="D10927" s="0" t="s">
        <v>36453</v>
      </c>
      <c r="E10927" s="0" t="s">
        <v>36454</v>
      </c>
      <c r="F10927" s="0" t="s">
        <v>15</v>
      </c>
      <c r="G10927" s="0" t="s">
        <v>26</v>
      </c>
      <c r="H10927" s="0" t="n">
        <v>80</v>
      </c>
      <c r="I10927" s="0" t="s">
        <v>36461</v>
      </c>
      <c r="J10927" s="0" t="s">
        <v>36462</v>
      </c>
      <c r="K10927" s="0" t="s">
        <v>36463</v>
      </c>
      <c r="L10927" s="0" t="str">
        <f aca="false">HYPERLINK("https://www.ncbi.nlm.nih.gov/nuccore/CP000304.1?report=graph&amp;tracks=[key:gene_model_track,Options:GeneOnly]&amp;mk=3059998:3060017|offset_15|444444,3060026:3060045|offset_43|444444,3060063:3060082|offset_80|00cc00,3060094:3060113|offset_111|444444&amp;v=3059797:3060313&amp;c=444444", "offset 80")</f>
        <v>offset 80</v>
      </c>
    </row>
    <row r="10928" customFormat="false" ht="12.8" hidden="false" customHeight="false" outlineLevel="0" collapsed="false">
      <c r="A10928" s="0" t="s">
        <v>12</v>
      </c>
      <c r="B10928" s="0" t="n">
        <v>3060093</v>
      </c>
      <c r="C10928" s="0" t="n">
        <v>3060113</v>
      </c>
      <c r="D10928" s="0" t="s">
        <v>36453</v>
      </c>
      <c r="E10928" s="0" t="s">
        <v>36454</v>
      </c>
      <c r="F10928" s="0" t="s">
        <v>15</v>
      </c>
      <c r="G10928" s="0" t="s">
        <v>16</v>
      </c>
      <c r="H10928" s="0" t="n">
        <v>111</v>
      </c>
      <c r="I10928" s="0" t="s">
        <v>36464</v>
      </c>
      <c r="J10928" s="0" t="s">
        <v>36465</v>
      </c>
      <c r="K10928" s="0" t="s">
        <v>36466</v>
      </c>
      <c r="L10928" s="0" t="str">
        <f aca="false">HYPERLINK("https://www.ncbi.nlm.nih.gov/nuccore/CP000304.1?report=graph&amp;tracks=[key:gene_model_track,Options:GeneOnly]&amp;mk=3059998:3060017|offset_15|444444,3060026:3060045|offset_43|444444,3060063:3060082|offset_80|444444,3060094:3060113|offset_111|00cc00&amp;v=3059797:3060313&amp;c=444444", "offset 111")</f>
        <v>offset 111</v>
      </c>
    </row>
    <row r="10929" customFormat="false" ht="12.8" hidden="false" customHeight="false" outlineLevel="0" collapsed="false">
      <c r="A10929" s="0" t="s">
        <v>12</v>
      </c>
      <c r="B10929" s="0" t="n">
        <v>3061513</v>
      </c>
      <c r="C10929" s="0" t="n">
        <v>3061533</v>
      </c>
      <c r="D10929" s="0" t="s">
        <v>36467</v>
      </c>
      <c r="E10929" s="0" t="s">
        <v>89</v>
      </c>
      <c r="F10929" s="0" t="s">
        <v>90</v>
      </c>
      <c r="G10929" s="0" t="s">
        <v>16</v>
      </c>
      <c r="H10929" s="0" t="n">
        <v>28</v>
      </c>
      <c r="I10929" s="0" t="s">
        <v>36468</v>
      </c>
      <c r="J10929" s="0" t="s">
        <v>36469</v>
      </c>
      <c r="K10929" s="0" t="s">
        <v>36470</v>
      </c>
      <c r="L10929" s="0" t="str">
        <f aca="false">HYPERLINK("https://www.ncbi.nlm.nih.gov/nuccore/CP000304.1?report=graph&amp;tracks=[key:gene_model_track,Options:GeneOnly]&amp;mk=3061514:3061533|offset_28|00cc00,3061484:3061503|offset_58|444444,3061454:3061473|offset_88|444444,3061424:3061443|offset_118|444444&amp;v=3061313:3061643&amp;c=444444", "offset 28")</f>
        <v>offset 28</v>
      </c>
    </row>
    <row r="10930" customFormat="false" ht="12.8" hidden="false" customHeight="false" outlineLevel="0" collapsed="false">
      <c r="A10930" s="0" t="s">
        <v>12</v>
      </c>
      <c r="B10930" s="0" t="n">
        <v>3061483</v>
      </c>
      <c r="C10930" s="0" t="n">
        <v>3061503</v>
      </c>
      <c r="D10930" s="0" t="s">
        <v>36467</v>
      </c>
      <c r="E10930" s="0" t="s">
        <v>89</v>
      </c>
      <c r="F10930" s="0" t="s">
        <v>90</v>
      </c>
      <c r="G10930" s="0" t="s">
        <v>32</v>
      </c>
      <c r="H10930" s="0" t="n">
        <v>58</v>
      </c>
      <c r="I10930" s="0" t="s">
        <v>36471</v>
      </c>
      <c r="J10930" s="0" t="s">
        <v>36472</v>
      </c>
      <c r="K10930" s="0" t="s">
        <v>36473</v>
      </c>
      <c r="L10930" s="0" t="str">
        <f aca="false">HYPERLINK("https://www.ncbi.nlm.nih.gov/nuccore/CP000304.1?report=graph&amp;tracks=[key:gene_model_track,Options:GeneOnly]&amp;mk=3061514:3061533|offset_28|444444,3061484:3061503|offset_58|00cc00,3061454:3061473|offset_88|444444,3061424:3061443|offset_118|444444&amp;v=3061313:3061643&amp;c=444444", "offset 58")</f>
        <v>offset 58</v>
      </c>
    </row>
    <row r="10931" customFormat="false" ht="12.8" hidden="false" customHeight="false" outlineLevel="0" collapsed="false">
      <c r="A10931" s="0" t="s">
        <v>12</v>
      </c>
      <c r="B10931" s="0" t="n">
        <v>3061453</v>
      </c>
      <c r="C10931" s="0" t="n">
        <v>3061473</v>
      </c>
      <c r="D10931" s="0" t="s">
        <v>36467</v>
      </c>
      <c r="E10931" s="0" t="s">
        <v>89</v>
      </c>
      <c r="F10931" s="0" t="s">
        <v>90</v>
      </c>
      <c r="G10931" s="0" t="s">
        <v>26</v>
      </c>
      <c r="H10931" s="0" t="n">
        <v>88</v>
      </c>
      <c r="I10931" s="0" t="s">
        <v>36474</v>
      </c>
      <c r="J10931" s="0" t="s">
        <v>36475</v>
      </c>
      <c r="K10931" s="0" t="s">
        <v>36476</v>
      </c>
      <c r="L10931" s="0" t="str">
        <f aca="false">HYPERLINK("https://www.ncbi.nlm.nih.gov/nuccore/CP000304.1?report=graph&amp;tracks=[key:gene_model_track,Options:GeneOnly]&amp;mk=3061514:3061533|offset_28|444444,3061484:3061503|offset_58|444444,3061454:3061473|offset_88|00cc00,3061424:3061443|offset_118|444444&amp;v=3061313:3061643&amp;c=444444", "offset 88")</f>
        <v>offset 88</v>
      </c>
    </row>
    <row r="10932" customFormat="false" ht="12.8" hidden="false" customHeight="false" outlineLevel="0" collapsed="false">
      <c r="A10932" s="0" t="s">
        <v>12</v>
      </c>
      <c r="B10932" s="0" t="n">
        <v>3061423</v>
      </c>
      <c r="C10932" s="0" t="n">
        <v>3061443</v>
      </c>
      <c r="D10932" s="0" t="s">
        <v>36467</v>
      </c>
      <c r="E10932" s="0" t="s">
        <v>89</v>
      </c>
      <c r="F10932" s="0" t="s">
        <v>90</v>
      </c>
      <c r="G10932" s="0" t="s">
        <v>16</v>
      </c>
      <c r="H10932" s="0" t="n">
        <v>118</v>
      </c>
      <c r="I10932" s="0" t="s">
        <v>36477</v>
      </c>
      <c r="J10932" s="0" t="s">
        <v>36478</v>
      </c>
      <c r="K10932" s="0" t="s">
        <v>36479</v>
      </c>
      <c r="L10932" s="0" t="str">
        <f aca="false">HYPERLINK("https://www.ncbi.nlm.nih.gov/nuccore/CP000304.1?report=graph&amp;tracks=[key:gene_model_track,Options:GeneOnly]&amp;mk=3061514:3061533|offset_28|444444,3061484:3061503|offset_58|444444,3061454:3061473|offset_88|444444,3061424:3061443|offset_118|00cc00&amp;v=3061313:3061643&amp;c=444444", "offset 118")</f>
        <v>offset 118</v>
      </c>
    </row>
    <row r="10933" customFormat="false" ht="12.8" hidden="false" customHeight="false" outlineLevel="0" collapsed="false">
      <c r="A10933" s="0" t="s">
        <v>12</v>
      </c>
      <c r="B10933" s="0" t="n">
        <v>3062695</v>
      </c>
      <c r="C10933" s="0" t="n">
        <v>3062715</v>
      </c>
      <c r="D10933" s="0" t="s">
        <v>36480</v>
      </c>
      <c r="E10933" s="0" t="s">
        <v>89</v>
      </c>
      <c r="F10933" s="0" t="s">
        <v>90</v>
      </c>
      <c r="G10933" s="0" t="s">
        <v>36</v>
      </c>
      <c r="H10933" s="0" t="n">
        <v>25</v>
      </c>
      <c r="I10933" s="0" t="s">
        <v>36481</v>
      </c>
      <c r="J10933" s="0" t="s">
        <v>36482</v>
      </c>
      <c r="K10933" s="0" t="s">
        <v>36483</v>
      </c>
      <c r="L10933" s="0" t="str">
        <f aca="false">HYPERLINK("https://www.ncbi.nlm.nih.gov/nuccore/CP000304.1?report=graph&amp;tracks=[key:gene_model_track,Options:GeneOnly]&amp;mk=3062696:3062715|offset_25|00cc00,3062660:3062679|offset_61|444444,3062633:3062652|offset_88|444444,3062603:3062622|offset_118|444444&amp;v=3062495:3062822&amp;c=444444", "offset 25")</f>
        <v>offset 25</v>
      </c>
    </row>
    <row r="10934" customFormat="false" ht="12.8" hidden="false" customHeight="false" outlineLevel="0" collapsed="false">
      <c r="A10934" s="0" t="s">
        <v>12</v>
      </c>
      <c r="B10934" s="0" t="n">
        <v>3062659</v>
      </c>
      <c r="C10934" s="0" t="n">
        <v>3062679</v>
      </c>
      <c r="D10934" s="0" t="s">
        <v>36480</v>
      </c>
      <c r="E10934" s="0" t="s">
        <v>89</v>
      </c>
      <c r="F10934" s="0" t="s">
        <v>90</v>
      </c>
      <c r="G10934" s="0" t="s">
        <v>16</v>
      </c>
      <c r="H10934" s="0" t="n">
        <v>61</v>
      </c>
      <c r="I10934" s="0" t="s">
        <v>36484</v>
      </c>
      <c r="J10934" s="0" t="s">
        <v>36485</v>
      </c>
      <c r="K10934" s="0" t="s">
        <v>36486</v>
      </c>
      <c r="L10934" s="0" t="str">
        <f aca="false">HYPERLINK("https://www.ncbi.nlm.nih.gov/nuccore/CP000304.1?report=graph&amp;tracks=[key:gene_model_track,Options:GeneOnly]&amp;mk=3062696:3062715|offset_25|444444,3062660:3062679|offset_61|00cc00,3062633:3062652|offset_88|444444,3062603:3062622|offset_118|444444&amp;v=3062495:3062822&amp;c=444444", "offset 61")</f>
        <v>offset 61</v>
      </c>
    </row>
    <row r="10935" customFormat="false" ht="12.8" hidden="false" customHeight="false" outlineLevel="0" collapsed="false">
      <c r="A10935" s="0" t="s">
        <v>12</v>
      </c>
      <c r="B10935" s="0" t="n">
        <v>3062632</v>
      </c>
      <c r="C10935" s="0" t="n">
        <v>3062652</v>
      </c>
      <c r="D10935" s="0" t="s">
        <v>36480</v>
      </c>
      <c r="E10935" s="0" t="s">
        <v>89</v>
      </c>
      <c r="F10935" s="0" t="s">
        <v>90</v>
      </c>
      <c r="G10935" s="0" t="s">
        <v>36</v>
      </c>
      <c r="H10935" s="0" t="n">
        <v>88</v>
      </c>
      <c r="I10935" s="0" t="s">
        <v>36487</v>
      </c>
      <c r="J10935" s="0" t="s">
        <v>36488</v>
      </c>
      <c r="K10935" s="0" t="s">
        <v>36489</v>
      </c>
      <c r="L10935" s="0" t="str">
        <f aca="false">HYPERLINK("https://www.ncbi.nlm.nih.gov/nuccore/CP000304.1?report=graph&amp;tracks=[key:gene_model_track,Options:GeneOnly]&amp;mk=3062696:3062715|offset_25|444444,3062660:3062679|offset_61|444444,3062633:3062652|offset_88|00cc00,3062603:3062622|offset_118|444444&amp;v=3062495:3062822&amp;c=444444", "offset 88")</f>
        <v>offset 88</v>
      </c>
    </row>
    <row r="10936" customFormat="false" ht="12.8" hidden="false" customHeight="false" outlineLevel="0" collapsed="false">
      <c r="A10936" s="0" t="s">
        <v>12</v>
      </c>
      <c r="B10936" s="0" t="n">
        <v>3062602</v>
      </c>
      <c r="C10936" s="0" t="n">
        <v>3062622</v>
      </c>
      <c r="D10936" s="0" t="s">
        <v>36480</v>
      </c>
      <c r="E10936" s="0" t="s">
        <v>89</v>
      </c>
      <c r="F10936" s="0" t="s">
        <v>90</v>
      </c>
      <c r="G10936" s="0" t="s">
        <v>16</v>
      </c>
      <c r="H10936" s="0" t="n">
        <v>118</v>
      </c>
      <c r="I10936" s="0" t="s">
        <v>36490</v>
      </c>
      <c r="J10936" s="0" t="s">
        <v>36491</v>
      </c>
      <c r="K10936" s="0" t="s">
        <v>36492</v>
      </c>
      <c r="L10936" s="0" t="str">
        <f aca="false">HYPERLINK("https://www.ncbi.nlm.nih.gov/nuccore/CP000304.1?report=graph&amp;tracks=[key:gene_model_track,Options:GeneOnly]&amp;mk=3062696:3062715|offset_25|444444,3062660:3062679|offset_61|444444,3062633:3062652|offset_88|444444,3062603:3062622|offset_118|00cc00&amp;v=3062495:3062822&amp;c=444444", "offset 118")</f>
        <v>offset 118</v>
      </c>
    </row>
    <row r="10937" customFormat="false" ht="12.8" hidden="false" customHeight="false" outlineLevel="0" collapsed="false">
      <c r="A10937" s="0" t="s">
        <v>12</v>
      </c>
      <c r="B10937" s="0" t="n">
        <v>3063357</v>
      </c>
      <c r="C10937" s="0" t="n">
        <v>3063377</v>
      </c>
      <c r="D10937" s="0" t="s">
        <v>36493</v>
      </c>
      <c r="E10937" s="0" t="s">
        <v>89</v>
      </c>
      <c r="F10937" s="0" t="s">
        <v>90</v>
      </c>
      <c r="G10937" s="0" t="s">
        <v>32</v>
      </c>
      <c r="H10937" s="0" t="n">
        <v>10</v>
      </c>
      <c r="I10937" s="0" t="s">
        <v>36494</v>
      </c>
      <c r="J10937" s="0" t="s">
        <v>36495</v>
      </c>
      <c r="K10937" s="0" t="s">
        <v>36496</v>
      </c>
      <c r="L10937" s="0" t="str">
        <f aca="false">HYPERLINK("https://www.ncbi.nlm.nih.gov/nuccore/CP000304.1?report=graph&amp;tracks=[key:gene_model_track,Options:GeneOnly]&amp;mk=3063358:3063377|offset_10|00cc00,3063298:3063317|offset_70|444444,3063265:3063284|offset_103|444444,3063238:3063257|offset_130|444444&amp;v=3063157:3063457&amp;c=444444", "offset 10")</f>
        <v>offset 10</v>
      </c>
    </row>
    <row r="10938" customFormat="false" ht="12.8" hidden="false" customHeight="false" outlineLevel="0" collapsed="false">
      <c r="A10938" s="0" t="s">
        <v>12</v>
      </c>
      <c r="B10938" s="0" t="n">
        <v>3063297</v>
      </c>
      <c r="C10938" s="0" t="n">
        <v>3063317</v>
      </c>
      <c r="D10938" s="0" t="s">
        <v>36493</v>
      </c>
      <c r="E10938" s="0" t="s">
        <v>89</v>
      </c>
      <c r="F10938" s="0" t="s">
        <v>90</v>
      </c>
      <c r="G10938" s="0" t="s">
        <v>16</v>
      </c>
      <c r="H10938" s="0" t="n">
        <v>70</v>
      </c>
      <c r="I10938" s="0" t="s">
        <v>36497</v>
      </c>
      <c r="J10938" s="0" t="s">
        <v>36498</v>
      </c>
      <c r="K10938" s="0" t="s">
        <v>36499</v>
      </c>
      <c r="L10938" s="0" t="str">
        <f aca="false">HYPERLINK("https://www.ncbi.nlm.nih.gov/nuccore/CP000304.1?report=graph&amp;tracks=[key:gene_model_track,Options:GeneOnly]&amp;mk=3063358:3063377|offset_10|444444,3063298:3063317|offset_70|00cc00,3063265:3063284|offset_103|444444,3063238:3063257|offset_130|444444&amp;v=3063157:3063457&amp;c=444444", "offset 70")</f>
        <v>offset 70</v>
      </c>
    </row>
    <row r="10939" customFormat="false" ht="12.8" hidden="false" customHeight="false" outlineLevel="0" collapsed="false">
      <c r="A10939" s="0" t="s">
        <v>12</v>
      </c>
      <c r="B10939" s="0" t="n">
        <v>3063264</v>
      </c>
      <c r="C10939" s="0" t="n">
        <v>3063284</v>
      </c>
      <c r="D10939" s="0" t="s">
        <v>36493</v>
      </c>
      <c r="E10939" s="0" t="s">
        <v>89</v>
      </c>
      <c r="F10939" s="0" t="s">
        <v>90</v>
      </c>
      <c r="G10939" s="0" t="s">
        <v>32</v>
      </c>
      <c r="H10939" s="0" t="n">
        <v>103</v>
      </c>
      <c r="I10939" s="0" t="s">
        <v>36500</v>
      </c>
      <c r="J10939" s="0" t="s">
        <v>36501</v>
      </c>
      <c r="K10939" s="0" t="s">
        <v>36502</v>
      </c>
      <c r="L10939" s="0" t="str">
        <f aca="false">HYPERLINK("https://www.ncbi.nlm.nih.gov/nuccore/CP000304.1?report=graph&amp;tracks=[key:gene_model_track,Options:GeneOnly]&amp;mk=3063358:3063377|offset_10|444444,3063298:3063317|offset_70|444444,3063265:3063284|offset_103|00cc00,3063238:3063257|offset_130|444444&amp;v=3063157:3063457&amp;c=444444", "offset 103")</f>
        <v>offset 103</v>
      </c>
    </row>
    <row r="10940" customFormat="false" ht="12.8" hidden="false" customHeight="false" outlineLevel="0" collapsed="false">
      <c r="A10940" s="0" t="s">
        <v>12</v>
      </c>
      <c r="B10940" s="0" t="n">
        <v>3063237</v>
      </c>
      <c r="C10940" s="0" t="n">
        <v>3063257</v>
      </c>
      <c r="D10940" s="0" t="s">
        <v>36493</v>
      </c>
      <c r="E10940" s="0" t="s">
        <v>89</v>
      </c>
      <c r="F10940" s="0" t="s">
        <v>90</v>
      </c>
      <c r="G10940" s="0" t="s">
        <v>26</v>
      </c>
      <c r="H10940" s="0" t="n">
        <v>130</v>
      </c>
      <c r="I10940" s="0" t="s">
        <v>36503</v>
      </c>
      <c r="J10940" s="0" t="s">
        <v>36504</v>
      </c>
      <c r="K10940" s="0" t="s">
        <v>36505</v>
      </c>
      <c r="L10940" s="0" t="str">
        <f aca="false">HYPERLINK("https://www.ncbi.nlm.nih.gov/nuccore/CP000304.1?report=graph&amp;tracks=[key:gene_model_track,Options:GeneOnly]&amp;mk=3063358:3063377|offset_10|444444,3063298:3063317|offset_70|444444,3063265:3063284|offset_103|444444,3063238:3063257|offset_130|00cc00&amp;v=3063157:3063457&amp;c=444444", "offset 130")</f>
        <v>offset 130</v>
      </c>
    </row>
    <row r="10941" customFormat="false" ht="12.8" hidden="false" customHeight="false" outlineLevel="0" collapsed="false">
      <c r="A10941" s="0" t="s">
        <v>12</v>
      </c>
      <c r="B10941" s="0" t="n">
        <v>3063644</v>
      </c>
      <c r="C10941" s="0" t="n">
        <v>3063664</v>
      </c>
      <c r="D10941" s="0" t="s">
        <v>36506</v>
      </c>
      <c r="E10941" s="0" t="s">
        <v>89</v>
      </c>
      <c r="F10941" s="0" t="s">
        <v>15</v>
      </c>
      <c r="G10941" s="0" t="s">
        <v>32</v>
      </c>
      <c r="H10941" s="0" t="n">
        <v>1</v>
      </c>
      <c r="I10941" s="0" t="s">
        <v>36507</v>
      </c>
      <c r="J10941" s="0" t="s">
        <v>36508</v>
      </c>
      <c r="K10941" s="0" t="s">
        <v>36509</v>
      </c>
      <c r="L10941" s="0" t="str">
        <f aca="false">HYPERLINK("https://www.ncbi.nlm.nih.gov/nuccore/CP000304.1?report=graph&amp;tracks=[key:gene_model_track,Options:GeneOnly]&amp;mk=3063645:3063664|offset_1|00cc00,3063687:3063706|offset_43|444444,3063735:3063754|offset_91|444444,3063759:3063778|offset_115|444444&amp;v=3063444:3063978&amp;c=444444", "offset 1")</f>
        <v>offset 1</v>
      </c>
    </row>
    <row r="10942" customFormat="false" ht="12.8" hidden="false" customHeight="false" outlineLevel="0" collapsed="false">
      <c r="A10942" s="0" t="s">
        <v>12</v>
      </c>
      <c r="B10942" s="0" t="n">
        <v>3063686</v>
      </c>
      <c r="C10942" s="0" t="n">
        <v>3063706</v>
      </c>
      <c r="D10942" s="0" t="s">
        <v>36506</v>
      </c>
      <c r="E10942" s="0" t="s">
        <v>89</v>
      </c>
      <c r="F10942" s="0" t="s">
        <v>15</v>
      </c>
      <c r="G10942" s="0" t="s">
        <v>16</v>
      </c>
      <c r="H10942" s="0" t="n">
        <v>43</v>
      </c>
      <c r="I10942" s="0" t="s">
        <v>36510</v>
      </c>
      <c r="J10942" s="0" t="s">
        <v>36511</v>
      </c>
      <c r="K10942" s="0" t="s">
        <v>36512</v>
      </c>
      <c r="L10942" s="0" t="str">
        <f aca="false">HYPERLINK("https://www.ncbi.nlm.nih.gov/nuccore/CP000304.1?report=graph&amp;tracks=[key:gene_model_track,Options:GeneOnly]&amp;mk=3063645:3063664|offset_1|444444,3063687:3063706|offset_43|00cc00,3063735:3063754|offset_91|444444,3063759:3063778|offset_115|444444&amp;v=3063444:3063978&amp;c=444444", "offset 43")</f>
        <v>offset 43</v>
      </c>
    </row>
    <row r="10943" customFormat="false" ht="12.8" hidden="false" customHeight="false" outlineLevel="0" collapsed="false">
      <c r="A10943" s="0" t="s">
        <v>12</v>
      </c>
      <c r="B10943" s="0" t="n">
        <v>3063734</v>
      </c>
      <c r="C10943" s="0" t="n">
        <v>3063754</v>
      </c>
      <c r="D10943" s="0" t="s">
        <v>36506</v>
      </c>
      <c r="E10943" s="0" t="s">
        <v>89</v>
      </c>
      <c r="F10943" s="0" t="s">
        <v>15</v>
      </c>
      <c r="G10943" s="0" t="s">
        <v>36</v>
      </c>
      <c r="H10943" s="0" t="n">
        <v>91</v>
      </c>
      <c r="I10943" s="0" t="s">
        <v>36513</v>
      </c>
      <c r="J10943" s="0" t="s">
        <v>36514</v>
      </c>
      <c r="K10943" s="0" t="s">
        <v>36515</v>
      </c>
      <c r="L10943" s="0" t="str">
        <f aca="false">HYPERLINK("https://www.ncbi.nlm.nih.gov/nuccore/CP000304.1?report=graph&amp;tracks=[key:gene_model_track,Options:GeneOnly]&amp;mk=3063645:3063664|offset_1|444444,3063687:3063706|offset_43|444444,3063735:3063754|offset_91|00cc00,3063759:3063778|offset_115|444444&amp;v=3063444:3063978&amp;c=444444", "offset 91")</f>
        <v>offset 91</v>
      </c>
    </row>
    <row r="10944" customFormat="false" ht="12.8" hidden="false" customHeight="false" outlineLevel="0" collapsed="false">
      <c r="A10944" s="0" t="s">
        <v>12</v>
      </c>
      <c r="B10944" s="0" t="n">
        <v>3063758</v>
      </c>
      <c r="C10944" s="0" t="n">
        <v>3063778</v>
      </c>
      <c r="D10944" s="0" t="s">
        <v>36506</v>
      </c>
      <c r="E10944" s="0" t="s">
        <v>89</v>
      </c>
      <c r="F10944" s="0" t="s">
        <v>15</v>
      </c>
      <c r="G10944" s="0" t="s">
        <v>26</v>
      </c>
      <c r="H10944" s="0" t="n">
        <v>115</v>
      </c>
      <c r="I10944" s="0" t="s">
        <v>36516</v>
      </c>
      <c r="J10944" s="0" t="s">
        <v>36517</v>
      </c>
      <c r="K10944" s="0" t="s">
        <v>36518</v>
      </c>
      <c r="L10944" s="0" t="str">
        <f aca="false">HYPERLINK("https://www.ncbi.nlm.nih.gov/nuccore/CP000304.1?report=graph&amp;tracks=[key:gene_model_track,Options:GeneOnly]&amp;mk=3063645:3063664|offset_1|444444,3063687:3063706|offset_43|444444,3063735:3063754|offset_91|444444,3063759:3063778|offset_115|00cc00&amp;v=3063444:3063978&amp;c=444444", "offset 115")</f>
        <v>offset 115</v>
      </c>
    </row>
    <row r="10945" customFormat="false" ht="12.8" hidden="false" customHeight="false" outlineLevel="0" collapsed="false">
      <c r="A10945" s="0" t="s">
        <v>12</v>
      </c>
      <c r="B10945" s="0" t="n">
        <v>3064439</v>
      </c>
      <c r="C10945" s="0" t="n">
        <v>3064459</v>
      </c>
      <c r="D10945" s="0" t="s">
        <v>36519</v>
      </c>
      <c r="E10945" s="0" t="s">
        <v>89</v>
      </c>
      <c r="F10945" s="0" t="s">
        <v>90</v>
      </c>
      <c r="G10945" s="0" t="s">
        <v>26</v>
      </c>
      <c r="H10945" s="0" t="n">
        <v>0</v>
      </c>
      <c r="I10945" s="0" t="s">
        <v>36520</v>
      </c>
      <c r="J10945" s="0" t="s">
        <v>36521</v>
      </c>
      <c r="K10945" s="0" t="s">
        <v>36522</v>
      </c>
      <c r="L10945" s="0" t="str">
        <f aca="false">HYPERLINK("https://www.ncbi.nlm.nih.gov/nuccore/CP000304.1?report=graph&amp;tracks=[key:gene_model_track,Options:GeneOnly]&amp;mk=3064440:3064459|offset_0|00cc00,3064414:3064433|offset_26|444444,3064392:3064411|offset_48|444444,3064356:3064375|offset_84|444444&amp;v=3064239:3064575&amp;c=444444", "offset 0")</f>
        <v>offset 0</v>
      </c>
    </row>
    <row r="10946" customFormat="false" ht="12.8" hidden="false" customHeight="false" outlineLevel="0" collapsed="false">
      <c r="A10946" s="0" t="s">
        <v>12</v>
      </c>
      <c r="B10946" s="0" t="n">
        <v>3064413</v>
      </c>
      <c r="C10946" s="0" t="n">
        <v>3064433</v>
      </c>
      <c r="D10946" s="0" t="s">
        <v>36519</v>
      </c>
      <c r="E10946" s="0" t="s">
        <v>89</v>
      </c>
      <c r="F10946" s="0" t="s">
        <v>90</v>
      </c>
      <c r="G10946" s="0" t="s">
        <v>26</v>
      </c>
      <c r="H10946" s="0" t="n">
        <v>26</v>
      </c>
      <c r="I10946" s="0" t="s">
        <v>36523</v>
      </c>
      <c r="J10946" s="0" t="s">
        <v>36524</v>
      </c>
      <c r="K10946" s="0" t="s">
        <v>36525</v>
      </c>
      <c r="L10946" s="0" t="str">
        <f aca="false">HYPERLINK("https://www.ncbi.nlm.nih.gov/nuccore/CP000304.1?report=graph&amp;tracks=[key:gene_model_track,Options:GeneOnly]&amp;mk=3064440:3064459|offset_0|444444,3064414:3064433|offset_26|00cc00,3064392:3064411|offset_48|444444,3064356:3064375|offset_84|444444&amp;v=3064239:3064575&amp;c=444444", "offset 26")</f>
        <v>offset 26</v>
      </c>
    </row>
    <row r="10947" customFormat="false" ht="12.8" hidden="false" customHeight="false" outlineLevel="0" collapsed="false">
      <c r="A10947" s="0" t="s">
        <v>12</v>
      </c>
      <c r="B10947" s="0" t="n">
        <v>3064391</v>
      </c>
      <c r="C10947" s="0" t="n">
        <v>3064411</v>
      </c>
      <c r="D10947" s="0" t="s">
        <v>36519</v>
      </c>
      <c r="E10947" s="0" t="s">
        <v>89</v>
      </c>
      <c r="F10947" s="0" t="s">
        <v>90</v>
      </c>
      <c r="G10947" s="0" t="s">
        <v>36</v>
      </c>
      <c r="H10947" s="0" t="n">
        <v>48</v>
      </c>
      <c r="I10947" s="0" t="s">
        <v>36526</v>
      </c>
      <c r="J10947" s="0" t="s">
        <v>36527</v>
      </c>
      <c r="K10947" s="0" t="s">
        <v>36528</v>
      </c>
      <c r="L10947" s="0" t="str">
        <f aca="false">HYPERLINK("https://www.ncbi.nlm.nih.gov/nuccore/CP000304.1?report=graph&amp;tracks=[key:gene_model_track,Options:GeneOnly]&amp;mk=3064440:3064459|offset_0|444444,3064414:3064433|offset_26|444444,3064392:3064411|offset_48|00cc00,3064356:3064375|offset_84|444444&amp;v=3064239:3064575&amp;c=444444", "offset 48")</f>
        <v>offset 48</v>
      </c>
    </row>
    <row r="10948" customFormat="false" ht="12.8" hidden="false" customHeight="false" outlineLevel="0" collapsed="false">
      <c r="A10948" s="0" t="s">
        <v>12</v>
      </c>
      <c r="B10948" s="0" t="n">
        <v>3064355</v>
      </c>
      <c r="C10948" s="0" t="n">
        <v>3064375</v>
      </c>
      <c r="D10948" s="0" t="s">
        <v>36519</v>
      </c>
      <c r="E10948" s="0" t="s">
        <v>89</v>
      </c>
      <c r="F10948" s="0" t="s">
        <v>90</v>
      </c>
      <c r="G10948" s="0" t="s">
        <v>36</v>
      </c>
      <c r="H10948" s="0" t="n">
        <v>84</v>
      </c>
      <c r="I10948" s="0" t="s">
        <v>36529</v>
      </c>
      <c r="J10948" s="0" t="s">
        <v>36530</v>
      </c>
      <c r="K10948" s="0" t="s">
        <v>36531</v>
      </c>
      <c r="L10948" s="0" t="str">
        <f aca="false">HYPERLINK("https://www.ncbi.nlm.nih.gov/nuccore/CP000304.1?report=graph&amp;tracks=[key:gene_model_track,Options:GeneOnly]&amp;mk=3064440:3064459|offset_0|444444,3064414:3064433|offset_26|444444,3064392:3064411|offset_48|444444,3064356:3064375|offset_84|00cc00&amp;v=3064239:3064575&amp;c=444444", "offset 84")</f>
        <v>offset 84</v>
      </c>
    </row>
    <row r="10949" customFormat="false" ht="12.8" hidden="false" customHeight="false" outlineLevel="0" collapsed="false">
      <c r="A10949" s="0" t="s">
        <v>12</v>
      </c>
      <c r="B10949" s="0" t="n">
        <v>3064646</v>
      </c>
      <c r="C10949" s="0" t="n">
        <v>3064666</v>
      </c>
      <c r="D10949" s="0" t="s">
        <v>36532</v>
      </c>
      <c r="E10949" s="0" t="s">
        <v>89</v>
      </c>
      <c r="F10949" s="0" t="s">
        <v>15</v>
      </c>
      <c r="G10949" s="0" t="s">
        <v>36</v>
      </c>
      <c r="H10949" s="0" t="n">
        <v>21</v>
      </c>
      <c r="I10949" s="0" t="s">
        <v>36533</v>
      </c>
      <c r="J10949" s="0" t="s">
        <v>36534</v>
      </c>
      <c r="K10949" s="0" t="s">
        <v>36535</v>
      </c>
      <c r="L10949" s="0" t="str">
        <f aca="false">HYPERLINK("https://www.ncbi.nlm.nih.gov/nuccore/CP000304.1?report=graph&amp;tracks=[key:gene_model_track,Options:GeneOnly]&amp;mk=3064647:3064666|offset_21|00cc00,3064681:3064700|offset_55|444444,3064742:3064761|offset_116|444444,3064774:3064793|offset_148|444444&amp;v=3064446:3064993&amp;c=444444", "offset 21")</f>
        <v>offset 21</v>
      </c>
    </row>
    <row r="10950" customFormat="false" ht="12.8" hidden="false" customHeight="false" outlineLevel="0" collapsed="false">
      <c r="A10950" s="0" t="s">
        <v>12</v>
      </c>
      <c r="B10950" s="0" t="n">
        <v>3064680</v>
      </c>
      <c r="C10950" s="0" t="n">
        <v>3064700</v>
      </c>
      <c r="D10950" s="0" t="s">
        <v>36532</v>
      </c>
      <c r="E10950" s="0" t="s">
        <v>89</v>
      </c>
      <c r="F10950" s="0" t="s">
        <v>15</v>
      </c>
      <c r="G10950" s="0" t="s">
        <v>16</v>
      </c>
      <c r="H10950" s="0" t="n">
        <v>55</v>
      </c>
      <c r="I10950" s="0" t="s">
        <v>36536</v>
      </c>
      <c r="J10950" s="0" t="s">
        <v>36537</v>
      </c>
      <c r="K10950" s="0" t="s">
        <v>36538</v>
      </c>
      <c r="L10950" s="0" t="str">
        <f aca="false">HYPERLINK("https://www.ncbi.nlm.nih.gov/nuccore/CP000304.1?report=graph&amp;tracks=[key:gene_model_track,Options:GeneOnly]&amp;mk=3064647:3064666|offset_21|444444,3064681:3064700|offset_55|00cc00,3064742:3064761|offset_116|444444,3064774:3064793|offset_148|444444&amp;v=3064446:3064993&amp;c=444444", "offset 55")</f>
        <v>offset 55</v>
      </c>
    </row>
    <row r="10951" customFormat="false" ht="12.8" hidden="false" customHeight="false" outlineLevel="0" collapsed="false">
      <c r="A10951" s="0" t="s">
        <v>12</v>
      </c>
      <c r="B10951" s="0" t="n">
        <v>3064741</v>
      </c>
      <c r="C10951" s="0" t="n">
        <v>3064761</v>
      </c>
      <c r="D10951" s="0" t="s">
        <v>36532</v>
      </c>
      <c r="E10951" s="0" t="s">
        <v>89</v>
      </c>
      <c r="F10951" s="0" t="s">
        <v>15</v>
      </c>
      <c r="G10951" s="0" t="s">
        <v>32</v>
      </c>
      <c r="H10951" s="0" t="n">
        <v>116</v>
      </c>
      <c r="I10951" s="0" t="s">
        <v>36539</v>
      </c>
      <c r="J10951" s="0" t="s">
        <v>36540</v>
      </c>
      <c r="K10951" s="0" t="s">
        <v>36541</v>
      </c>
      <c r="L10951" s="0" t="str">
        <f aca="false">HYPERLINK("https://www.ncbi.nlm.nih.gov/nuccore/CP000304.1?report=graph&amp;tracks=[key:gene_model_track,Options:GeneOnly]&amp;mk=3064647:3064666|offset_21|444444,3064681:3064700|offset_55|444444,3064742:3064761|offset_116|00cc00,3064774:3064793|offset_148|444444&amp;v=3064446:3064993&amp;c=444444", "offset 116")</f>
        <v>offset 116</v>
      </c>
    </row>
    <row r="10952" customFormat="false" ht="12.8" hidden="false" customHeight="false" outlineLevel="0" collapsed="false">
      <c r="A10952" s="0" t="s">
        <v>12</v>
      </c>
      <c r="B10952" s="0" t="n">
        <v>3064773</v>
      </c>
      <c r="C10952" s="0" t="n">
        <v>3064793</v>
      </c>
      <c r="D10952" s="0" t="s">
        <v>36532</v>
      </c>
      <c r="E10952" s="0" t="s">
        <v>89</v>
      </c>
      <c r="F10952" s="0" t="s">
        <v>15</v>
      </c>
      <c r="G10952" s="0" t="s">
        <v>16</v>
      </c>
      <c r="H10952" s="0" t="n">
        <v>148</v>
      </c>
      <c r="I10952" s="0" t="s">
        <v>36542</v>
      </c>
      <c r="J10952" s="0" t="s">
        <v>36543</v>
      </c>
      <c r="K10952" s="0" t="s">
        <v>36544</v>
      </c>
      <c r="L10952" s="0" t="str">
        <f aca="false">HYPERLINK("https://www.ncbi.nlm.nih.gov/nuccore/CP000304.1?report=graph&amp;tracks=[key:gene_model_track,Options:GeneOnly]&amp;mk=3064647:3064666|offset_21|444444,3064681:3064700|offset_55|444444,3064742:3064761|offset_116|444444,3064774:3064793|offset_148|00cc00&amp;v=3064446:3064993&amp;c=444444", "offset 148")</f>
        <v>offset 148</v>
      </c>
    </row>
    <row r="10953" customFormat="false" ht="12.8" hidden="false" customHeight="false" outlineLevel="0" collapsed="false">
      <c r="A10953" s="0" t="s">
        <v>12</v>
      </c>
      <c r="B10953" s="0" t="n">
        <v>3065613</v>
      </c>
      <c r="C10953" s="0" t="n">
        <v>3065633</v>
      </c>
      <c r="D10953" s="0" t="s">
        <v>36545</v>
      </c>
      <c r="E10953" s="0" t="s">
        <v>89</v>
      </c>
      <c r="F10953" s="0" t="s">
        <v>90</v>
      </c>
      <c r="G10953" s="0" t="s">
        <v>32</v>
      </c>
      <c r="H10953" s="0" t="n">
        <v>1</v>
      </c>
      <c r="I10953" s="0" t="s">
        <v>36546</v>
      </c>
      <c r="J10953" s="0" t="s">
        <v>36547</v>
      </c>
      <c r="K10953" s="0" t="s">
        <v>36548</v>
      </c>
      <c r="L10953" s="0" t="str">
        <f aca="false">HYPERLINK("https://www.ncbi.nlm.nih.gov/nuccore/CP000304.1?report=graph&amp;tracks=[key:gene_model_track,Options:GeneOnly]&amp;mk=3065614:3065633|offset_1|00cc00,3065581:3065600|offset_34|444444,3065544:3065563|offset_71|444444,3065515:3065534|offset_100|444444&amp;v=3065413:3065734&amp;c=444444", "offset 1")</f>
        <v>offset 1</v>
      </c>
    </row>
    <row r="10954" customFormat="false" ht="12.8" hidden="false" customHeight="false" outlineLevel="0" collapsed="false">
      <c r="A10954" s="0" t="s">
        <v>12</v>
      </c>
      <c r="B10954" s="0" t="n">
        <v>3065580</v>
      </c>
      <c r="C10954" s="0" t="n">
        <v>3065600</v>
      </c>
      <c r="D10954" s="0" t="s">
        <v>36545</v>
      </c>
      <c r="E10954" s="0" t="s">
        <v>89</v>
      </c>
      <c r="F10954" s="0" t="s">
        <v>90</v>
      </c>
      <c r="G10954" s="0" t="s">
        <v>36</v>
      </c>
      <c r="H10954" s="0" t="n">
        <v>34</v>
      </c>
      <c r="I10954" s="0" t="s">
        <v>36549</v>
      </c>
      <c r="J10954" s="0" t="s">
        <v>36550</v>
      </c>
      <c r="K10954" s="0" t="s">
        <v>36551</v>
      </c>
      <c r="L10954" s="0" t="str">
        <f aca="false">HYPERLINK("https://www.ncbi.nlm.nih.gov/nuccore/CP000304.1?report=graph&amp;tracks=[key:gene_model_track,Options:GeneOnly]&amp;mk=3065614:3065633|offset_1|444444,3065581:3065600|offset_34|00cc00,3065544:3065563|offset_71|444444,3065515:3065534|offset_100|444444&amp;v=3065413:3065734&amp;c=444444", "offset 34")</f>
        <v>offset 34</v>
      </c>
    </row>
    <row r="10955" customFormat="false" ht="12.8" hidden="false" customHeight="false" outlineLevel="0" collapsed="false">
      <c r="A10955" s="0" t="s">
        <v>12</v>
      </c>
      <c r="B10955" s="0" t="n">
        <v>3065543</v>
      </c>
      <c r="C10955" s="0" t="n">
        <v>3065563</v>
      </c>
      <c r="D10955" s="0" t="s">
        <v>36545</v>
      </c>
      <c r="E10955" s="0" t="s">
        <v>89</v>
      </c>
      <c r="F10955" s="0" t="s">
        <v>90</v>
      </c>
      <c r="G10955" s="0" t="s">
        <v>36</v>
      </c>
      <c r="H10955" s="0" t="n">
        <v>71</v>
      </c>
      <c r="I10955" s="0" t="s">
        <v>36552</v>
      </c>
      <c r="J10955" s="0" t="s">
        <v>36553</v>
      </c>
      <c r="K10955" s="0" t="s">
        <v>36554</v>
      </c>
      <c r="L10955" s="0" t="str">
        <f aca="false">HYPERLINK("https://www.ncbi.nlm.nih.gov/nuccore/CP000304.1?report=graph&amp;tracks=[key:gene_model_track,Options:GeneOnly]&amp;mk=3065614:3065633|offset_1|444444,3065581:3065600|offset_34|444444,3065544:3065563|offset_71|00cc00,3065515:3065534|offset_100|444444&amp;v=3065413:3065734&amp;c=444444", "offset 71")</f>
        <v>offset 71</v>
      </c>
    </row>
    <row r="10956" customFormat="false" ht="12.8" hidden="false" customHeight="false" outlineLevel="0" collapsed="false">
      <c r="A10956" s="0" t="s">
        <v>12</v>
      </c>
      <c r="B10956" s="0" t="n">
        <v>3065514</v>
      </c>
      <c r="C10956" s="0" t="n">
        <v>3065534</v>
      </c>
      <c r="D10956" s="0" t="s">
        <v>36545</v>
      </c>
      <c r="E10956" s="0" t="s">
        <v>89</v>
      </c>
      <c r="F10956" s="0" t="s">
        <v>90</v>
      </c>
      <c r="G10956" s="0" t="s">
        <v>16</v>
      </c>
      <c r="H10956" s="0" t="n">
        <v>100</v>
      </c>
      <c r="I10956" s="0" t="s">
        <v>36555</v>
      </c>
      <c r="J10956" s="0" t="s">
        <v>36556</v>
      </c>
      <c r="K10956" s="0" t="s">
        <v>36557</v>
      </c>
      <c r="L10956" s="0" t="str">
        <f aca="false">HYPERLINK("https://www.ncbi.nlm.nih.gov/nuccore/CP000304.1?report=graph&amp;tracks=[key:gene_model_track,Options:GeneOnly]&amp;mk=3065614:3065633|offset_1|444444,3065581:3065600|offset_34|444444,3065544:3065563|offset_71|444444,3065515:3065534|offset_100|00cc00&amp;v=3065413:3065734&amp;c=444444", "offset 100")</f>
        <v>offset 100</v>
      </c>
    </row>
    <row r="10957" customFormat="false" ht="12.8" hidden="false" customHeight="false" outlineLevel="0" collapsed="false">
      <c r="A10957" s="0" t="s">
        <v>12</v>
      </c>
      <c r="B10957" s="0" t="n">
        <v>3065705</v>
      </c>
      <c r="C10957" s="0" t="n">
        <v>3065725</v>
      </c>
      <c r="D10957" s="0" t="s">
        <v>36558</v>
      </c>
      <c r="E10957" s="0" t="s">
        <v>36559</v>
      </c>
      <c r="F10957" s="0" t="s">
        <v>15</v>
      </c>
      <c r="G10957" s="0" t="s">
        <v>36</v>
      </c>
      <c r="H10957" s="0" t="n">
        <v>0</v>
      </c>
      <c r="I10957" s="0" t="s">
        <v>36560</v>
      </c>
      <c r="J10957" s="0" t="s">
        <v>36561</v>
      </c>
      <c r="K10957" s="0" t="s">
        <v>36562</v>
      </c>
      <c r="L10957" s="0" t="str">
        <f aca="false">HYPERLINK("https://www.ncbi.nlm.nih.gov/nuccore/CP000304.1?report=graph&amp;tracks=[key:gene_model_track,Options:GeneOnly]&amp;mk=3065706:3065725|offset_0|00cc00,3065730:3065749|offset_24|444444,3065755:3065774|offset_49|444444,3065800:3065819|offset_94|444444&amp;v=3065505:3066019&amp;c=444444", "offset 0")</f>
        <v>offset 0</v>
      </c>
    </row>
    <row r="10958" customFormat="false" ht="12.8" hidden="false" customHeight="false" outlineLevel="0" collapsed="false">
      <c r="A10958" s="0" t="s">
        <v>12</v>
      </c>
      <c r="B10958" s="0" t="n">
        <v>3065729</v>
      </c>
      <c r="C10958" s="0" t="n">
        <v>3065749</v>
      </c>
      <c r="D10958" s="0" t="s">
        <v>36558</v>
      </c>
      <c r="E10958" s="0" t="s">
        <v>36559</v>
      </c>
      <c r="F10958" s="0" t="s">
        <v>15</v>
      </c>
      <c r="G10958" s="0" t="s">
        <v>16</v>
      </c>
      <c r="H10958" s="0" t="n">
        <v>24</v>
      </c>
      <c r="I10958" s="0" t="s">
        <v>36563</v>
      </c>
      <c r="J10958" s="0" t="s">
        <v>36564</v>
      </c>
      <c r="K10958" s="0" t="s">
        <v>36565</v>
      </c>
      <c r="L10958" s="0" t="str">
        <f aca="false">HYPERLINK("https://www.ncbi.nlm.nih.gov/nuccore/CP000304.1?report=graph&amp;tracks=[key:gene_model_track,Options:GeneOnly]&amp;mk=3065706:3065725|offset_0|444444,3065730:3065749|offset_24|00cc00,3065755:3065774|offset_49|444444,3065800:3065819|offset_94|444444&amp;v=3065505:3066019&amp;c=444444", "offset 24")</f>
        <v>offset 24</v>
      </c>
    </row>
    <row r="10959" customFormat="false" ht="12.8" hidden="false" customHeight="false" outlineLevel="0" collapsed="false">
      <c r="A10959" s="0" t="s">
        <v>12</v>
      </c>
      <c r="B10959" s="0" t="n">
        <v>3065754</v>
      </c>
      <c r="C10959" s="0" t="n">
        <v>3065774</v>
      </c>
      <c r="D10959" s="0" t="s">
        <v>36558</v>
      </c>
      <c r="E10959" s="0" t="s">
        <v>36559</v>
      </c>
      <c r="F10959" s="0" t="s">
        <v>15</v>
      </c>
      <c r="G10959" s="0" t="s">
        <v>16</v>
      </c>
      <c r="H10959" s="0" t="n">
        <v>49</v>
      </c>
      <c r="I10959" s="0" t="s">
        <v>36566</v>
      </c>
      <c r="J10959" s="0" t="s">
        <v>36567</v>
      </c>
      <c r="K10959" s="0" t="s">
        <v>36568</v>
      </c>
      <c r="L10959" s="0" t="str">
        <f aca="false">HYPERLINK("https://www.ncbi.nlm.nih.gov/nuccore/CP000304.1?report=graph&amp;tracks=[key:gene_model_track,Options:GeneOnly]&amp;mk=3065706:3065725|offset_0|444444,3065730:3065749|offset_24|444444,3065755:3065774|offset_49|00cc00,3065800:3065819|offset_94|444444&amp;v=3065505:3066019&amp;c=444444", "offset 49")</f>
        <v>offset 49</v>
      </c>
    </row>
    <row r="10960" customFormat="false" ht="12.8" hidden="false" customHeight="false" outlineLevel="0" collapsed="false">
      <c r="A10960" s="0" t="s">
        <v>12</v>
      </c>
      <c r="B10960" s="0" t="n">
        <v>3065799</v>
      </c>
      <c r="C10960" s="0" t="n">
        <v>3065819</v>
      </c>
      <c r="D10960" s="0" t="s">
        <v>36558</v>
      </c>
      <c r="E10960" s="0" t="s">
        <v>36559</v>
      </c>
      <c r="F10960" s="0" t="s">
        <v>15</v>
      </c>
      <c r="G10960" s="0" t="s">
        <v>16</v>
      </c>
      <c r="H10960" s="0" t="n">
        <v>94</v>
      </c>
      <c r="I10960" s="0" t="s">
        <v>36569</v>
      </c>
      <c r="J10960" s="0" t="s">
        <v>36570</v>
      </c>
      <c r="K10960" s="0" t="s">
        <v>36571</v>
      </c>
      <c r="L10960" s="0" t="str">
        <f aca="false">HYPERLINK("https://www.ncbi.nlm.nih.gov/nuccore/CP000304.1?report=graph&amp;tracks=[key:gene_model_track,Options:GeneOnly]&amp;mk=3065706:3065725|offset_0|444444,3065730:3065749|offset_24|444444,3065755:3065774|offset_49|444444,3065800:3065819|offset_94|00cc00&amp;v=3065505:3066019&amp;c=444444", "offset 94")</f>
        <v>offset 94</v>
      </c>
    </row>
    <row r="10961" customFormat="false" ht="12.8" hidden="false" customHeight="false" outlineLevel="0" collapsed="false">
      <c r="A10961" s="0" t="s">
        <v>12</v>
      </c>
      <c r="B10961" s="0" t="n">
        <v>3069551</v>
      </c>
      <c r="C10961" s="0" t="n">
        <v>3069571</v>
      </c>
      <c r="D10961" s="0" t="s">
        <v>36572</v>
      </c>
      <c r="E10961" s="0" t="s">
        <v>36573</v>
      </c>
      <c r="F10961" s="0" t="s">
        <v>90</v>
      </c>
      <c r="G10961" s="0" t="s">
        <v>26</v>
      </c>
      <c r="H10961" s="0" t="n">
        <v>20</v>
      </c>
      <c r="I10961" s="0" t="s">
        <v>36574</v>
      </c>
      <c r="J10961" s="0" t="s">
        <v>36575</v>
      </c>
      <c r="K10961" s="0" t="s">
        <v>36576</v>
      </c>
      <c r="L10961" s="0" t="str">
        <f aca="false">HYPERLINK("https://www.ncbi.nlm.nih.gov/nuccore/CP000304.1?report=graph&amp;tracks=[key:gene_model_track,Options:GeneOnly]&amp;mk=3069552:3069571|offset_20|00cc00,3069508:3069527|offset_64|444444,3069468:3069487|offset_104|444444,3069435:3069454|offset_137|444444&amp;v=3069351:3069654&amp;c=444444", "offset 20")</f>
        <v>offset 20</v>
      </c>
    </row>
    <row r="10962" customFormat="false" ht="12.8" hidden="false" customHeight="false" outlineLevel="0" collapsed="false">
      <c r="A10962" s="0" t="s">
        <v>12</v>
      </c>
      <c r="B10962" s="0" t="n">
        <v>3069507</v>
      </c>
      <c r="C10962" s="0" t="n">
        <v>3069527</v>
      </c>
      <c r="D10962" s="0" t="s">
        <v>36572</v>
      </c>
      <c r="E10962" s="0" t="s">
        <v>36573</v>
      </c>
      <c r="F10962" s="0" t="s">
        <v>90</v>
      </c>
      <c r="G10962" s="0" t="s">
        <v>36</v>
      </c>
      <c r="H10962" s="0" t="n">
        <v>64</v>
      </c>
      <c r="I10962" s="0" t="s">
        <v>36577</v>
      </c>
      <c r="J10962" s="0" t="s">
        <v>36578</v>
      </c>
      <c r="K10962" s="0" t="s">
        <v>36579</v>
      </c>
      <c r="L10962" s="0" t="str">
        <f aca="false">HYPERLINK("https://www.ncbi.nlm.nih.gov/nuccore/CP000304.1?report=graph&amp;tracks=[key:gene_model_track,Options:GeneOnly]&amp;mk=3069552:3069571|offset_20|444444,3069508:3069527|offset_64|00cc00,3069468:3069487|offset_104|444444,3069435:3069454|offset_137|444444&amp;v=3069351:3069654&amp;c=444444", "offset 64")</f>
        <v>offset 64</v>
      </c>
    </row>
    <row r="10963" customFormat="false" ht="12.8" hidden="false" customHeight="false" outlineLevel="0" collapsed="false">
      <c r="A10963" s="0" t="s">
        <v>12</v>
      </c>
      <c r="B10963" s="0" t="n">
        <v>3069467</v>
      </c>
      <c r="C10963" s="0" t="n">
        <v>3069487</v>
      </c>
      <c r="D10963" s="0" t="s">
        <v>36572</v>
      </c>
      <c r="E10963" s="0" t="s">
        <v>36573</v>
      </c>
      <c r="F10963" s="0" t="s">
        <v>90</v>
      </c>
      <c r="G10963" s="0" t="s">
        <v>26</v>
      </c>
      <c r="H10963" s="0" t="n">
        <v>104</v>
      </c>
      <c r="I10963" s="0" t="s">
        <v>36580</v>
      </c>
      <c r="J10963" s="0" t="s">
        <v>36581</v>
      </c>
      <c r="K10963" s="0" t="s">
        <v>36582</v>
      </c>
      <c r="L10963" s="0" t="str">
        <f aca="false">HYPERLINK("https://www.ncbi.nlm.nih.gov/nuccore/CP000304.1?report=graph&amp;tracks=[key:gene_model_track,Options:GeneOnly]&amp;mk=3069552:3069571|offset_20|444444,3069508:3069527|offset_64|444444,3069468:3069487|offset_104|00cc00,3069435:3069454|offset_137|444444&amp;v=3069351:3069654&amp;c=444444", "offset 104")</f>
        <v>offset 104</v>
      </c>
    </row>
    <row r="10964" customFormat="false" ht="12.8" hidden="false" customHeight="false" outlineLevel="0" collapsed="false">
      <c r="A10964" s="0" t="s">
        <v>12</v>
      </c>
      <c r="B10964" s="0" t="n">
        <v>3069434</v>
      </c>
      <c r="C10964" s="0" t="n">
        <v>3069454</v>
      </c>
      <c r="D10964" s="0" t="s">
        <v>36572</v>
      </c>
      <c r="E10964" s="0" t="s">
        <v>36573</v>
      </c>
      <c r="F10964" s="0" t="s">
        <v>90</v>
      </c>
      <c r="G10964" s="0" t="s">
        <v>32</v>
      </c>
      <c r="H10964" s="0" t="n">
        <v>137</v>
      </c>
      <c r="I10964" s="0" t="s">
        <v>36583</v>
      </c>
      <c r="J10964" s="0" t="s">
        <v>36584</v>
      </c>
      <c r="K10964" s="0" t="s">
        <v>36585</v>
      </c>
      <c r="L10964" s="0" t="str">
        <f aca="false">HYPERLINK("https://www.ncbi.nlm.nih.gov/nuccore/CP000304.1?report=graph&amp;tracks=[key:gene_model_track,Options:GeneOnly]&amp;mk=3069552:3069571|offset_20|444444,3069508:3069527|offset_64|444444,3069468:3069487|offset_104|444444,3069435:3069454|offset_137|00cc00&amp;v=3069351:3069654&amp;c=444444", "offset 137")</f>
        <v>offset 137</v>
      </c>
    </row>
    <row r="10965" customFormat="false" ht="12.8" hidden="false" customHeight="false" outlineLevel="0" collapsed="false">
      <c r="A10965" s="0" t="s">
        <v>12</v>
      </c>
      <c r="B10965" s="0" t="n">
        <v>3069752</v>
      </c>
      <c r="C10965" s="0" t="n">
        <v>3069772</v>
      </c>
      <c r="D10965" s="0" t="s">
        <v>36586</v>
      </c>
      <c r="E10965" s="0" t="s">
        <v>89</v>
      </c>
      <c r="F10965" s="0" t="s">
        <v>15</v>
      </c>
      <c r="G10965" s="0" t="s">
        <v>36</v>
      </c>
      <c r="H10965" s="0" t="n">
        <v>0</v>
      </c>
      <c r="I10965" s="0" t="s">
        <v>36587</v>
      </c>
      <c r="J10965" s="0" t="s">
        <v>36588</v>
      </c>
      <c r="K10965" s="0" t="s">
        <v>36589</v>
      </c>
      <c r="L10965" s="0" t="str">
        <f aca="false">HYPERLINK("https://www.ncbi.nlm.nih.gov/nuccore/CP000304.1?report=graph&amp;tracks=[key:gene_model_track,Options:GeneOnly]&amp;mk=3069753:3069772|offset_0|00cc00,3069774:3069793|offset_21|444444,3069814:3069833|offset_61|444444,3069859:3069878|offset_106|444444&amp;v=3069552:3070078&amp;c=444444", "offset 0")</f>
        <v>offset 0</v>
      </c>
    </row>
    <row r="10966" customFormat="false" ht="12.8" hidden="false" customHeight="false" outlineLevel="0" collapsed="false">
      <c r="A10966" s="0" t="s">
        <v>12</v>
      </c>
      <c r="B10966" s="0" t="n">
        <v>3069773</v>
      </c>
      <c r="C10966" s="0" t="n">
        <v>3069793</v>
      </c>
      <c r="D10966" s="0" t="s">
        <v>36586</v>
      </c>
      <c r="E10966" s="0" t="s">
        <v>89</v>
      </c>
      <c r="F10966" s="0" t="s">
        <v>15</v>
      </c>
      <c r="G10966" s="0" t="s">
        <v>16</v>
      </c>
      <c r="H10966" s="0" t="n">
        <v>21</v>
      </c>
      <c r="I10966" s="0" t="s">
        <v>36590</v>
      </c>
      <c r="J10966" s="0" t="s">
        <v>36591</v>
      </c>
      <c r="K10966" s="0" t="s">
        <v>36592</v>
      </c>
      <c r="L10966" s="0" t="str">
        <f aca="false">HYPERLINK("https://www.ncbi.nlm.nih.gov/nuccore/CP000304.1?report=graph&amp;tracks=[key:gene_model_track,Options:GeneOnly]&amp;mk=3069753:3069772|offset_0|444444,3069774:3069793|offset_21|00cc00,3069814:3069833|offset_61|444444,3069859:3069878|offset_106|444444&amp;v=3069552:3070078&amp;c=444444", "offset 21")</f>
        <v>offset 21</v>
      </c>
    </row>
    <row r="10967" customFormat="false" ht="12.8" hidden="false" customHeight="false" outlineLevel="0" collapsed="false">
      <c r="A10967" s="0" t="s">
        <v>12</v>
      </c>
      <c r="B10967" s="0" t="n">
        <v>3069813</v>
      </c>
      <c r="C10967" s="0" t="n">
        <v>3069833</v>
      </c>
      <c r="D10967" s="0" t="s">
        <v>36586</v>
      </c>
      <c r="E10967" s="0" t="s">
        <v>89</v>
      </c>
      <c r="F10967" s="0" t="s">
        <v>15</v>
      </c>
      <c r="G10967" s="0" t="s">
        <v>16</v>
      </c>
      <c r="H10967" s="0" t="n">
        <v>61</v>
      </c>
      <c r="I10967" s="0" t="s">
        <v>36593</v>
      </c>
      <c r="J10967" s="0" t="s">
        <v>36594</v>
      </c>
      <c r="K10967" s="0" t="s">
        <v>36595</v>
      </c>
      <c r="L10967" s="0" t="str">
        <f aca="false">HYPERLINK("https://www.ncbi.nlm.nih.gov/nuccore/CP000304.1?report=graph&amp;tracks=[key:gene_model_track,Options:GeneOnly]&amp;mk=3069753:3069772|offset_0|444444,3069774:3069793|offset_21|444444,3069814:3069833|offset_61|00cc00,3069859:3069878|offset_106|444444&amp;v=3069552:3070078&amp;c=444444", "offset 61")</f>
        <v>offset 61</v>
      </c>
    </row>
    <row r="10968" customFormat="false" ht="12.8" hidden="false" customHeight="false" outlineLevel="0" collapsed="false">
      <c r="A10968" s="0" t="s">
        <v>12</v>
      </c>
      <c r="B10968" s="0" t="n">
        <v>3069858</v>
      </c>
      <c r="C10968" s="0" t="n">
        <v>3069878</v>
      </c>
      <c r="D10968" s="0" t="s">
        <v>36586</v>
      </c>
      <c r="E10968" s="0" t="s">
        <v>89</v>
      </c>
      <c r="F10968" s="0" t="s">
        <v>15</v>
      </c>
      <c r="G10968" s="0" t="s">
        <v>32</v>
      </c>
      <c r="H10968" s="0" t="n">
        <v>106</v>
      </c>
      <c r="I10968" s="0" t="s">
        <v>36596</v>
      </c>
      <c r="J10968" s="0" t="s">
        <v>36597</v>
      </c>
      <c r="K10968" s="0" t="s">
        <v>36598</v>
      </c>
      <c r="L10968" s="0" t="str">
        <f aca="false">HYPERLINK("https://www.ncbi.nlm.nih.gov/nuccore/CP000304.1?report=graph&amp;tracks=[key:gene_model_track,Options:GeneOnly]&amp;mk=3069753:3069772|offset_0|444444,3069774:3069793|offset_21|444444,3069814:3069833|offset_61|444444,3069859:3069878|offset_106|00cc00&amp;v=3069552:3070078&amp;c=444444", "offset 106")</f>
        <v>offset 106</v>
      </c>
    </row>
    <row r="10969" customFormat="false" ht="12.8" hidden="false" customHeight="false" outlineLevel="0" collapsed="false">
      <c r="A10969" s="0" t="s">
        <v>12</v>
      </c>
      <c r="B10969" s="0" t="n">
        <v>3070513</v>
      </c>
      <c r="C10969" s="0" t="n">
        <v>3070533</v>
      </c>
      <c r="D10969" s="0" t="s">
        <v>36599</v>
      </c>
      <c r="E10969" s="0" t="s">
        <v>36600</v>
      </c>
      <c r="F10969" s="0" t="s">
        <v>15</v>
      </c>
      <c r="G10969" s="0" t="s">
        <v>32</v>
      </c>
      <c r="H10969" s="0" t="n">
        <v>17</v>
      </c>
      <c r="I10969" s="0" t="s">
        <v>36601</v>
      </c>
      <c r="J10969" s="0" t="s">
        <v>36602</v>
      </c>
      <c r="K10969" s="0" t="s">
        <v>36603</v>
      </c>
      <c r="L10969" s="0" t="str">
        <f aca="false">HYPERLINK("https://www.ncbi.nlm.nih.gov/nuccore/CP000304.1?report=graph&amp;tracks=[key:gene_model_track,Options:GeneOnly]&amp;mk=3070514:3070533|offset_17|00cc00,3070546:3070565|offset_49|444444,3070574:3070593|offset_77|444444,3070600:3070619|offset_103|444444&amp;v=3070313:3070819&amp;c=444444", "offset 17")</f>
        <v>offset 17</v>
      </c>
    </row>
    <row r="10970" customFormat="false" ht="12.8" hidden="false" customHeight="false" outlineLevel="0" collapsed="false">
      <c r="A10970" s="0" t="s">
        <v>12</v>
      </c>
      <c r="B10970" s="0" t="n">
        <v>3070545</v>
      </c>
      <c r="C10970" s="0" t="n">
        <v>3070565</v>
      </c>
      <c r="D10970" s="0" t="s">
        <v>36599</v>
      </c>
      <c r="E10970" s="0" t="s">
        <v>36600</v>
      </c>
      <c r="F10970" s="0" t="s">
        <v>15</v>
      </c>
      <c r="G10970" s="0" t="s">
        <v>16</v>
      </c>
      <c r="H10970" s="0" t="n">
        <v>49</v>
      </c>
      <c r="I10970" s="0" t="s">
        <v>36604</v>
      </c>
      <c r="J10970" s="0" t="s">
        <v>36605</v>
      </c>
      <c r="K10970" s="0" t="s">
        <v>36606</v>
      </c>
      <c r="L10970" s="0" t="str">
        <f aca="false">HYPERLINK("https://www.ncbi.nlm.nih.gov/nuccore/CP000304.1?report=graph&amp;tracks=[key:gene_model_track,Options:GeneOnly]&amp;mk=3070514:3070533|offset_17|444444,3070546:3070565|offset_49|00cc00,3070574:3070593|offset_77|444444,3070600:3070619|offset_103|444444&amp;v=3070313:3070819&amp;c=444444", "offset 49")</f>
        <v>offset 49</v>
      </c>
    </row>
    <row r="10971" customFormat="false" ht="12.8" hidden="false" customHeight="false" outlineLevel="0" collapsed="false">
      <c r="A10971" s="0" t="s">
        <v>12</v>
      </c>
      <c r="B10971" s="0" t="n">
        <v>3070573</v>
      </c>
      <c r="C10971" s="0" t="n">
        <v>3070593</v>
      </c>
      <c r="D10971" s="0" t="s">
        <v>36599</v>
      </c>
      <c r="E10971" s="0" t="s">
        <v>36600</v>
      </c>
      <c r="F10971" s="0" t="s">
        <v>15</v>
      </c>
      <c r="G10971" s="0" t="s">
        <v>26</v>
      </c>
      <c r="H10971" s="0" t="n">
        <v>77</v>
      </c>
      <c r="I10971" s="0" t="s">
        <v>36607</v>
      </c>
      <c r="J10971" s="0" t="s">
        <v>36608</v>
      </c>
      <c r="K10971" s="0" t="s">
        <v>36609</v>
      </c>
      <c r="L10971" s="0" t="str">
        <f aca="false">HYPERLINK("https://www.ncbi.nlm.nih.gov/nuccore/CP000304.1?report=graph&amp;tracks=[key:gene_model_track,Options:GeneOnly]&amp;mk=3070514:3070533|offset_17|444444,3070546:3070565|offset_49|444444,3070574:3070593|offset_77|00cc00,3070600:3070619|offset_103|444444&amp;v=3070313:3070819&amp;c=444444", "offset 77")</f>
        <v>offset 77</v>
      </c>
    </row>
    <row r="10972" customFormat="false" ht="12.8" hidden="false" customHeight="false" outlineLevel="0" collapsed="false">
      <c r="A10972" s="0" t="s">
        <v>12</v>
      </c>
      <c r="B10972" s="0" t="n">
        <v>3070599</v>
      </c>
      <c r="C10972" s="0" t="n">
        <v>3070619</v>
      </c>
      <c r="D10972" s="0" t="s">
        <v>36599</v>
      </c>
      <c r="E10972" s="0" t="s">
        <v>36600</v>
      </c>
      <c r="F10972" s="0" t="s">
        <v>15</v>
      </c>
      <c r="G10972" s="0" t="s">
        <v>36</v>
      </c>
      <c r="H10972" s="0" t="n">
        <v>103</v>
      </c>
      <c r="I10972" s="0" t="s">
        <v>36610</v>
      </c>
      <c r="J10972" s="0" t="s">
        <v>36611</v>
      </c>
      <c r="K10972" s="0" t="s">
        <v>36612</v>
      </c>
      <c r="L10972" s="0" t="str">
        <f aca="false">HYPERLINK("https://www.ncbi.nlm.nih.gov/nuccore/CP000304.1?report=graph&amp;tracks=[key:gene_model_track,Options:GeneOnly]&amp;mk=3070514:3070533|offset_17|444444,3070546:3070565|offset_49|444444,3070574:3070593|offset_77|444444,3070600:3070619|offset_103|00cc00&amp;v=3070313:3070819&amp;c=444444", "offset 103")</f>
        <v>offset 103</v>
      </c>
    </row>
    <row r="10973" customFormat="false" ht="12.8" hidden="false" customHeight="false" outlineLevel="0" collapsed="false">
      <c r="A10973" s="0" t="s">
        <v>12</v>
      </c>
      <c r="B10973" s="0" t="n">
        <v>3072380</v>
      </c>
      <c r="C10973" s="0" t="n">
        <v>3072400</v>
      </c>
      <c r="D10973" s="0" t="s">
        <v>36613</v>
      </c>
      <c r="E10973" s="0" t="s">
        <v>89</v>
      </c>
      <c r="F10973" s="0" t="s">
        <v>90</v>
      </c>
      <c r="G10973" s="0" t="s">
        <v>36</v>
      </c>
      <c r="H10973" s="0" t="n">
        <v>7</v>
      </c>
      <c r="I10973" s="0" t="s">
        <v>36614</v>
      </c>
      <c r="J10973" s="0" t="s">
        <v>36615</v>
      </c>
      <c r="K10973" s="0" t="s">
        <v>36616</v>
      </c>
      <c r="L10973" s="0" t="str">
        <f aca="false">HYPERLINK("https://www.ncbi.nlm.nih.gov/nuccore/CP000304.1?report=graph&amp;tracks=[key:gene_model_track,Options:GeneOnly]&amp;mk=3072381:3072400|offset_7|00cc00,3072345:3072364|offset_43|444444,3072318:3072337|offset_70|444444,3072284:3072303|offset_104|444444&amp;v=3072180:3072503&amp;c=444444", "offset 7")</f>
        <v>offset 7</v>
      </c>
    </row>
    <row r="10974" customFormat="false" ht="12.8" hidden="false" customHeight="false" outlineLevel="0" collapsed="false">
      <c r="A10974" s="0" t="s">
        <v>12</v>
      </c>
      <c r="B10974" s="0" t="n">
        <v>3072344</v>
      </c>
      <c r="C10974" s="0" t="n">
        <v>3072364</v>
      </c>
      <c r="D10974" s="0" t="s">
        <v>36613</v>
      </c>
      <c r="E10974" s="0" t="s">
        <v>89</v>
      </c>
      <c r="F10974" s="0" t="s">
        <v>90</v>
      </c>
      <c r="G10974" s="0" t="s">
        <v>16</v>
      </c>
      <c r="H10974" s="0" t="n">
        <v>43</v>
      </c>
      <c r="I10974" s="0" t="s">
        <v>36617</v>
      </c>
      <c r="J10974" s="0" t="s">
        <v>36618</v>
      </c>
      <c r="K10974" s="0" t="s">
        <v>36619</v>
      </c>
      <c r="L10974" s="0" t="str">
        <f aca="false">HYPERLINK("https://www.ncbi.nlm.nih.gov/nuccore/CP000304.1?report=graph&amp;tracks=[key:gene_model_track,Options:GeneOnly]&amp;mk=3072381:3072400|offset_7|444444,3072345:3072364|offset_43|00cc00,3072318:3072337|offset_70|444444,3072284:3072303|offset_104|444444&amp;v=3072180:3072503&amp;c=444444", "offset 43")</f>
        <v>offset 43</v>
      </c>
    </row>
    <row r="10975" customFormat="false" ht="12.8" hidden="false" customHeight="false" outlineLevel="0" collapsed="false">
      <c r="A10975" s="0" t="s">
        <v>12</v>
      </c>
      <c r="B10975" s="0" t="n">
        <v>3072317</v>
      </c>
      <c r="C10975" s="0" t="n">
        <v>3072337</v>
      </c>
      <c r="D10975" s="0" t="s">
        <v>36613</v>
      </c>
      <c r="E10975" s="0" t="s">
        <v>89</v>
      </c>
      <c r="F10975" s="0" t="s">
        <v>90</v>
      </c>
      <c r="G10975" s="0" t="s">
        <v>16</v>
      </c>
      <c r="H10975" s="0" t="n">
        <v>70</v>
      </c>
      <c r="I10975" s="0" t="s">
        <v>36620</v>
      </c>
      <c r="J10975" s="0" t="s">
        <v>36621</v>
      </c>
      <c r="K10975" s="0" t="s">
        <v>36622</v>
      </c>
      <c r="L10975" s="0" t="str">
        <f aca="false">HYPERLINK("https://www.ncbi.nlm.nih.gov/nuccore/CP000304.1?report=graph&amp;tracks=[key:gene_model_track,Options:GeneOnly]&amp;mk=3072381:3072400|offset_7|444444,3072345:3072364|offset_43|444444,3072318:3072337|offset_70|00cc00,3072284:3072303|offset_104|444444&amp;v=3072180:3072503&amp;c=444444", "offset 70")</f>
        <v>offset 70</v>
      </c>
    </row>
    <row r="10976" customFormat="false" ht="12.8" hidden="false" customHeight="false" outlineLevel="0" collapsed="false">
      <c r="A10976" s="0" t="s">
        <v>12</v>
      </c>
      <c r="B10976" s="0" t="n">
        <v>3072283</v>
      </c>
      <c r="C10976" s="0" t="n">
        <v>3072303</v>
      </c>
      <c r="D10976" s="0" t="s">
        <v>36613</v>
      </c>
      <c r="E10976" s="0" t="s">
        <v>89</v>
      </c>
      <c r="F10976" s="0" t="s">
        <v>90</v>
      </c>
      <c r="G10976" s="0" t="s">
        <v>26</v>
      </c>
      <c r="H10976" s="0" t="n">
        <v>104</v>
      </c>
      <c r="I10976" s="0" t="s">
        <v>36623</v>
      </c>
      <c r="J10976" s="0" t="s">
        <v>36624</v>
      </c>
      <c r="K10976" s="0" t="s">
        <v>36625</v>
      </c>
      <c r="L10976" s="0" t="str">
        <f aca="false">HYPERLINK("https://www.ncbi.nlm.nih.gov/nuccore/CP000304.1?report=graph&amp;tracks=[key:gene_model_track,Options:GeneOnly]&amp;mk=3072381:3072400|offset_7|444444,3072345:3072364|offset_43|444444,3072318:3072337|offset_70|444444,3072284:3072303|offset_104|00cc00&amp;v=3072180:3072503&amp;c=444444", "offset 104")</f>
        <v>offset 104</v>
      </c>
    </row>
    <row r="10977" customFormat="false" ht="12.8" hidden="false" customHeight="false" outlineLevel="0" collapsed="false">
      <c r="A10977" s="0" t="s">
        <v>12</v>
      </c>
      <c r="B10977" s="0" t="n">
        <v>3072896</v>
      </c>
      <c r="C10977" s="0" t="n">
        <v>3072916</v>
      </c>
      <c r="D10977" s="0" t="s">
        <v>36626</v>
      </c>
      <c r="E10977" s="0" t="s">
        <v>89</v>
      </c>
      <c r="F10977" s="0" t="s">
        <v>90</v>
      </c>
      <c r="G10977" s="0" t="s">
        <v>36</v>
      </c>
      <c r="H10977" s="0" t="n">
        <v>41</v>
      </c>
      <c r="I10977" s="0" t="s">
        <v>36627</v>
      </c>
      <c r="J10977" s="0" t="s">
        <v>36628</v>
      </c>
      <c r="K10977" s="0" t="s">
        <v>36629</v>
      </c>
      <c r="L10977" s="0" t="str">
        <f aca="false">HYPERLINK("https://www.ncbi.nlm.nih.gov/nuccore/CP000304.1?report=graph&amp;tracks=[key:gene_model_track,Options:GeneOnly]&amp;mk=3072897:3072916|offset_41|00cc00,3072871:3072890|offset_67|444444,3072849:3072868|offset_89|444444,3072828:3072847|offset_110|444444&amp;v=3072696:3073047&amp;c=444444", "offset 41")</f>
        <v>offset 41</v>
      </c>
    </row>
    <row r="10978" customFormat="false" ht="12.8" hidden="false" customHeight="false" outlineLevel="0" collapsed="false">
      <c r="A10978" s="0" t="s">
        <v>12</v>
      </c>
      <c r="B10978" s="0" t="n">
        <v>3072870</v>
      </c>
      <c r="C10978" s="0" t="n">
        <v>3072890</v>
      </c>
      <c r="D10978" s="0" t="s">
        <v>36626</v>
      </c>
      <c r="E10978" s="0" t="s">
        <v>89</v>
      </c>
      <c r="F10978" s="0" t="s">
        <v>90</v>
      </c>
      <c r="G10978" s="0" t="s">
        <v>16</v>
      </c>
      <c r="H10978" s="0" t="n">
        <v>67</v>
      </c>
      <c r="I10978" s="0" t="s">
        <v>36630</v>
      </c>
      <c r="J10978" s="0" t="s">
        <v>36631</v>
      </c>
      <c r="K10978" s="0" t="s">
        <v>36632</v>
      </c>
      <c r="L10978" s="0" t="str">
        <f aca="false">HYPERLINK("https://www.ncbi.nlm.nih.gov/nuccore/CP000304.1?report=graph&amp;tracks=[key:gene_model_track,Options:GeneOnly]&amp;mk=3072897:3072916|offset_41|444444,3072871:3072890|offset_67|00cc00,3072849:3072868|offset_89|444444,3072828:3072847|offset_110|444444&amp;v=3072696:3073047&amp;c=444444", "offset 67")</f>
        <v>offset 67</v>
      </c>
    </row>
    <row r="10979" customFormat="false" ht="12.8" hidden="false" customHeight="false" outlineLevel="0" collapsed="false">
      <c r="A10979" s="0" t="s">
        <v>12</v>
      </c>
      <c r="B10979" s="0" t="n">
        <v>3072848</v>
      </c>
      <c r="C10979" s="0" t="n">
        <v>3072868</v>
      </c>
      <c r="D10979" s="0" t="s">
        <v>36626</v>
      </c>
      <c r="E10979" s="0" t="s">
        <v>89</v>
      </c>
      <c r="F10979" s="0" t="s">
        <v>90</v>
      </c>
      <c r="G10979" s="0" t="s">
        <v>32</v>
      </c>
      <c r="H10979" s="0" t="n">
        <v>89</v>
      </c>
      <c r="I10979" s="0" t="s">
        <v>36633</v>
      </c>
      <c r="J10979" s="0" t="s">
        <v>36634</v>
      </c>
      <c r="K10979" s="0" t="s">
        <v>36635</v>
      </c>
      <c r="L10979" s="0" t="str">
        <f aca="false">HYPERLINK("https://www.ncbi.nlm.nih.gov/nuccore/CP000304.1?report=graph&amp;tracks=[key:gene_model_track,Options:GeneOnly]&amp;mk=3072897:3072916|offset_41|444444,3072871:3072890|offset_67|444444,3072849:3072868|offset_89|00cc00,3072828:3072847|offset_110|444444&amp;v=3072696:3073047&amp;c=444444", "offset 89")</f>
        <v>offset 89</v>
      </c>
    </row>
    <row r="10980" customFormat="false" ht="12.8" hidden="false" customHeight="false" outlineLevel="0" collapsed="false">
      <c r="A10980" s="0" t="s">
        <v>12</v>
      </c>
      <c r="B10980" s="0" t="n">
        <v>3072827</v>
      </c>
      <c r="C10980" s="0" t="n">
        <v>3072847</v>
      </c>
      <c r="D10980" s="0" t="s">
        <v>36626</v>
      </c>
      <c r="E10980" s="0" t="s">
        <v>89</v>
      </c>
      <c r="F10980" s="0" t="s">
        <v>90</v>
      </c>
      <c r="G10980" s="0" t="s">
        <v>32</v>
      </c>
      <c r="H10980" s="0" t="n">
        <v>110</v>
      </c>
      <c r="I10980" s="0" t="s">
        <v>36636</v>
      </c>
      <c r="J10980" s="0" t="s">
        <v>36637</v>
      </c>
      <c r="K10980" s="0" t="s">
        <v>36638</v>
      </c>
      <c r="L10980" s="0" t="str">
        <f aca="false">HYPERLINK("https://www.ncbi.nlm.nih.gov/nuccore/CP000304.1?report=graph&amp;tracks=[key:gene_model_track,Options:GeneOnly]&amp;mk=3072897:3072916|offset_41|444444,3072871:3072890|offset_67|444444,3072849:3072868|offset_89|444444,3072828:3072847|offset_110|00cc00&amp;v=3072696:3073047&amp;c=444444", "offset 110")</f>
        <v>offset 110</v>
      </c>
    </row>
    <row r="10981" customFormat="false" ht="12.8" hidden="false" customHeight="false" outlineLevel="0" collapsed="false">
      <c r="A10981" s="0" t="s">
        <v>12</v>
      </c>
      <c r="B10981" s="0" t="n">
        <v>3073634</v>
      </c>
      <c r="C10981" s="0" t="n">
        <v>3073654</v>
      </c>
      <c r="D10981" s="0" t="s">
        <v>36639</v>
      </c>
      <c r="E10981" s="0" t="s">
        <v>89</v>
      </c>
      <c r="F10981" s="0" t="s">
        <v>90</v>
      </c>
      <c r="G10981" s="0" t="s">
        <v>36</v>
      </c>
      <c r="H10981" s="0" t="n">
        <v>12</v>
      </c>
      <c r="I10981" s="0" t="s">
        <v>36640</v>
      </c>
      <c r="J10981" s="0" t="s">
        <v>36641</v>
      </c>
      <c r="K10981" s="0" t="s">
        <v>36642</v>
      </c>
      <c r="L10981" s="0" t="str">
        <f aca="false">HYPERLINK("https://www.ncbi.nlm.nih.gov/nuccore/CP000304.1?report=graph&amp;tracks=[key:gene_model_track,Options:GeneOnly]&amp;mk=3073635:3073654|offset_12|00cc00,3073591:3073610|offset_56|444444,3073556:3073575|offset_91|444444,3073517:3073536|offset_130|444444&amp;v=3073434:3073736&amp;c=444444", "offset 12")</f>
        <v>offset 12</v>
      </c>
    </row>
    <row r="10982" customFormat="false" ht="12.8" hidden="false" customHeight="false" outlineLevel="0" collapsed="false">
      <c r="A10982" s="0" t="s">
        <v>12</v>
      </c>
      <c r="B10982" s="0" t="n">
        <v>3073590</v>
      </c>
      <c r="C10982" s="0" t="n">
        <v>3073610</v>
      </c>
      <c r="D10982" s="0" t="s">
        <v>36639</v>
      </c>
      <c r="E10982" s="0" t="s">
        <v>89</v>
      </c>
      <c r="F10982" s="0" t="s">
        <v>90</v>
      </c>
      <c r="G10982" s="0" t="s">
        <v>26</v>
      </c>
      <c r="H10982" s="0" t="n">
        <v>56</v>
      </c>
      <c r="I10982" s="0" t="s">
        <v>36643</v>
      </c>
      <c r="J10982" s="0" t="s">
        <v>36644</v>
      </c>
      <c r="K10982" s="0" t="s">
        <v>36645</v>
      </c>
      <c r="L10982" s="0" t="str">
        <f aca="false">HYPERLINK("https://www.ncbi.nlm.nih.gov/nuccore/CP000304.1?report=graph&amp;tracks=[key:gene_model_track,Options:GeneOnly]&amp;mk=3073635:3073654|offset_12|444444,3073591:3073610|offset_56|00cc00,3073556:3073575|offset_91|444444,3073517:3073536|offset_130|444444&amp;v=3073434:3073736&amp;c=444444", "offset 56")</f>
        <v>offset 56</v>
      </c>
    </row>
    <row r="10983" customFormat="false" ht="12.8" hidden="false" customHeight="false" outlineLevel="0" collapsed="false">
      <c r="A10983" s="0" t="s">
        <v>12</v>
      </c>
      <c r="B10983" s="0" t="n">
        <v>3073555</v>
      </c>
      <c r="C10983" s="0" t="n">
        <v>3073575</v>
      </c>
      <c r="D10983" s="0" t="s">
        <v>36639</v>
      </c>
      <c r="E10983" s="0" t="s">
        <v>89</v>
      </c>
      <c r="F10983" s="0" t="s">
        <v>90</v>
      </c>
      <c r="G10983" s="0" t="s">
        <v>36</v>
      </c>
      <c r="H10983" s="0" t="n">
        <v>91</v>
      </c>
      <c r="I10983" s="0" t="s">
        <v>36646</v>
      </c>
      <c r="J10983" s="0" t="s">
        <v>36647</v>
      </c>
      <c r="K10983" s="0" t="s">
        <v>36648</v>
      </c>
      <c r="L10983" s="0" t="str">
        <f aca="false">HYPERLINK("https://www.ncbi.nlm.nih.gov/nuccore/CP000304.1?report=graph&amp;tracks=[key:gene_model_track,Options:GeneOnly]&amp;mk=3073635:3073654|offset_12|444444,3073591:3073610|offset_56|444444,3073556:3073575|offset_91|00cc00,3073517:3073536|offset_130|444444&amp;v=3073434:3073736&amp;c=444444", "offset 91")</f>
        <v>offset 91</v>
      </c>
    </row>
    <row r="10984" customFormat="false" ht="12.8" hidden="false" customHeight="false" outlineLevel="0" collapsed="false">
      <c r="A10984" s="0" t="s">
        <v>12</v>
      </c>
      <c r="B10984" s="0" t="n">
        <v>3073516</v>
      </c>
      <c r="C10984" s="0" t="n">
        <v>3073536</v>
      </c>
      <c r="D10984" s="0" t="s">
        <v>36639</v>
      </c>
      <c r="E10984" s="0" t="s">
        <v>89</v>
      </c>
      <c r="F10984" s="0" t="s">
        <v>90</v>
      </c>
      <c r="G10984" s="0" t="s">
        <v>16</v>
      </c>
      <c r="H10984" s="0" t="n">
        <v>130</v>
      </c>
      <c r="I10984" s="0" t="s">
        <v>36649</v>
      </c>
      <c r="J10984" s="0" t="s">
        <v>36650</v>
      </c>
      <c r="K10984" s="0" t="s">
        <v>36651</v>
      </c>
      <c r="L10984" s="0" t="str">
        <f aca="false">HYPERLINK("https://www.ncbi.nlm.nih.gov/nuccore/CP000304.1?report=graph&amp;tracks=[key:gene_model_track,Options:GeneOnly]&amp;mk=3073635:3073654|offset_12|444444,3073591:3073610|offset_56|444444,3073556:3073575|offset_91|444444,3073517:3073536|offset_130|00cc00&amp;v=3073434:3073736&amp;c=444444", "offset 130")</f>
        <v>offset 130</v>
      </c>
    </row>
    <row r="10985" customFormat="false" ht="12.8" hidden="false" customHeight="false" outlineLevel="0" collapsed="false">
      <c r="A10985" s="0" t="s">
        <v>12</v>
      </c>
      <c r="B10985" s="0" t="n">
        <v>3073898</v>
      </c>
      <c r="C10985" s="0" t="n">
        <v>3073918</v>
      </c>
      <c r="D10985" s="0" t="s">
        <v>36652</v>
      </c>
      <c r="E10985" s="0" t="s">
        <v>89</v>
      </c>
      <c r="F10985" s="0" t="s">
        <v>15</v>
      </c>
      <c r="G10985" s="0" t="s">
        <v>16</v>
      </c>
      <c r="H10985" s="0" t="n">
        <v>21</v>
      </c>
      <c r="I10985" s="0" t="s">
        <v>36653</v>
      </c>
      <c r="J10985" s="0" t="s">
        <v>36654</v>
      </c>
      <c r="K10985" s="0" t="s">
        <v>36655</v>
      </c>
      <c r="L10985" s="0" t="str">
        <f aca="false">HYPERLINK("https://www.ncbi.nlm.nih.gov/nuccore/CP000304.1?report=graph&amp;tracks=[key:gene_model_track,Options:GeneOnly]&amp;mk=3073899:3073918|offset_21|00cc00,3073919:3073938|offset_41|444444,3073942:3073961|offset_64|444444,3073963:3073982|offset_85|444444&amp;v=3073698:3074182&amp;c=444444", "offset 21")</f>
        <v>offset 21</v>
      </c>
    </row>
    <row r="10986" customFormat="false" ht="12.8" hidden="false" customHeight="false" outlineLevel="0" collapsed="false">
      <c r="A10986" s="0" t="s">
        <v>12</v>
      </c>
      <c r="B10986" s="0" t="n">
        <v>3073918</v>
      </c>
      <c r="C10986" s="0" t="n">
        <v>3073938</v>
      </c>
      <c r="D10986" s="0" t="s">
        <v>36652</v>
      </c>
      <c r="E10986" s="0" t="s">
        <v>89</v>
      </c>
      <c r="F10986" s="0" t="s">
        <v>15</v>
      </c>
      <c r="G10986" s="0" t="s">
        <v>36</v>
      </c>
      <c r="H10986" s="0" t="n">
        <v>41</v>
      </c>
      <c r="I10986" s="0" t="s">
        <v>36656</v>
      </c>
      <c r="J10986" s="0" t="s">
        <v>36657</v>
      </c>
      <c r="K10986" s="0" t="s">
        <v>36658</v>
      </c>
      <c r="L10986" s="0" t="str">
        <f aca="false">HYPERLINK("https://www.ncbi.nlm.nih.gov/nuccore/CP000304.1?report=graph&amp;tracks=[key:gene_model_track,Options:GeneOnly]&amp;mk=3073899:3073918|offset_21|444444,3073919:3073938|offset_41|00cc00,3073942:3073961|offset_64|444444,3073963:3073982|offset_85|444444&amp;v=3073698:3074182&amp;c=444444", "offset 41")</f>
        <v>offset 41</v>
      </c>
    </row>
    <row r="10987" customFormat="false" ht="12.8" hidden="false" customHeight="false" outlineLevel="0" collapsed="false">
      <c r="A10987" s="0" t="s">
        <v>12</v>
      </c>
      <c r="B10987" s="0" t="n">
        <v>3073941</v>
      </c>
      <c r="C10987" s="0" t="n">
        <v>3073961</v>
      </c>
      <c r="D10987" s="0" t="s">
        <v>36652</v>
      </c>
      <c r="E10987" s="0" t="s">
        <v>89</v>
      </c>
      <c r="F10987" s="0" t="s">
        <v>15</v>
      </c>
      <c r="G10987" s="0" t="s">
        <v>32</v>
      </c>
      <c r="H10987" s="0" t="n">
        <v>64</v>
      </c>
      <c r="I10987" s="0" t="s">
        <v>36659</v>
      </c>
      <c r="J10987" s="0" t="s">
        <v>36660</v>
      </c>
      <c r="K10987" s="0" t="s">
        <v>36661</v>
      </c>
      <c r="L10987" s="0" t="str">
        <f aca="false">HYPERLINK("https://www.ncbi.nlm.nih.gov/nuccore/CP000304.1?report=graph&amp;tracks=[key:gene_model_track,Options:GeneOnly]&amp;mk=3073899:3073918|offset_21|444444,3073919:3073938|offset_41|444444,3073942:3073961|offset_64|00cc00,3073963:3073982|offset_85|444444&amp;v=3073698:3074182&amp;c=444444", "offset 64")</f>
        <v>offset 64</v>
      </c>
    </row>
    <row r="10988" customFormat="false" ht="12.8" hidden="false" customHeight="false" outlineLevel="0" collapsed="false">
      <c r="A10988" s="0" t="s">
        <v>12</v>
      </c>
      <c r="B10988" s="0" t="n">
        <v>3073962</v>
      </c>
      <c r="C10988" s="0" t="n">
        <v>3073982</v>
      </c>
      <c r="D10988" s="0" t="s">
        <v>36652</v>
      </c>
      <c r="E10988" s="0" t="s">
        <v>89</v>
      </c>
      <c r="F10988" s="0" t="s">
        <v>15</v>
      </c>
      <c r="G10988" s="0" t="s">
        <v>36</v>
      </c>
      <c r="H10988" s="0" t="n">
        <v>85</v>
      </c>
      <c r="I10988" s="0" t="s">
        <v>36662</v>
      </c>
      <c r="J10988" s="0" t="s">
        <v>36663</v>
      </c>
      <c r="K10988" s="0" t="s">
        <v>36664</v>
      </c>
      <c r="L10988" s="0" t="str">
        <f aca="false">HYPERLINK("https://www.ncbi.nlm.nih.gov/nuccore/CP000304.1?report=graph&amp;tracks=[key:gene_model_track,Options:GeneOnly]&amp;mk=3073899:3073918|offset_21|444444,3073919:3073938|offset_41|444444,3073942:3073961|offset_64|444444,3073963:3073982|offset_85|00cc00&amp;v=3073698:3074182&amp;c=444444", "offset 85")</f>
        <v>offset 85</v>
      </c>
    </row>
    <row r="10989" customFormat="false" ht="12.8" hidden="false" customHeight="false" outlineLevel="0" collapsed="false">
      <c r="A10989" s="0" t="s">
        <v>12</v>
      </c>
      <c r="B10989" s="0" t="n">
        <v>3074562</v>
      </c>
      <c r="C10989" s="0" t="n">
        <v>3074582</v>
      </c>
      <c r="D10989" s="0" t="s">
        <v>36665</v>
      </c>
      <c r="E10989" s="0" t="s">
        <v>89</v>
      </c>
      <c r="F10989" s="0" t="s">
        <v>15</v>
      </c>
      <c r="G10989" s="0" t="s">
        <v>26</v>
      </c>
      <c r="H10989" s="0" t="n">
        <v>41</v>
      </c>
      <c r="I10989" s="0" t="s">
        <v>36666</v>
      </c>
      <c r="J10989" s="0" t="s">
        <v>36667</v>
      </c>
      <c r="K10989" s="0" t="s">
        <v>36668</v>
      </c>
      <c r="L10989" s="0" t="str">
        <f aca="false">HYPERLINK("https://www.ncbi.nlm.nih.gov/nuccore/CP000304.1?report=graph&amp;tracks=[key:gene_model_track,Options:GeneOnly]&amp;mk=3074563:3074582|offset_41|00cc00,3074586:3074605|offset_64|444444,3074607:3074626|offset_85|444444,3074628:3074647|offset_106|444444&amp;v=3074362:3074847&amp;c=444444", "offset 41")</f>
        <v>offset 41</v>
      </c>
    </row>
    <row r="10990" customFormat="false" ht="12.8" hidden="false" customHeight="false" outlineLevel="0" collapsed="false">
      <c r="A10990" s="0" t="s">
        <v>12</v>
      </c>
      <c r="B10990" s="0" t="n">
        <v>3074585</v>
      </c>
      <c r="C10990" s="0" t="n">
        <v>3074605</v>
      </c>
      <c r="D10990" s="0" t="s">
        <v>36665</v>
      </c>
      <c r="E10990" s="0" t="s">
        <v>89</v>
      </c>
      <c r="F10990" s="0" t="s">
        <v>15</v>
      </c>
      <c r="G10990" s="0" t="s">
        <v>16</v>
      </c>
      <c r="H10990" s="0" t="n">
        <v>64</v>
      </c>
      <c r="I10990" s="0" t="s">
        <v>36669</v>
      </c>
      <c r="J10990" s="0" t="s">
        <v>36670</v>
      </c>
      <c r="K10990" s="0" t="s">
        <v>36671</v>
      </c>
      <c r="L10990" s="0" t="str">
        <f aca="false">HYPERLINK("https://www.ncbi.nlm.nih.gov/nuccore/CP000304.1?report=graph&amp;tracks=[key:gene_model_track,Options:GeneOnly]&amp;mk=3074563:3074582|offset_41|444444,3074586:3074605|offset_64|00cc00,3074607:3074626|offset_85|444444,3074628:3074647|offset_106|444444&amp;v=3074362:3074847&amp;c=444444", "offset 64")</f>
        <v>offset 64</v>
      </c>
    </row>
    <row r="10991" customFormat="false" ht="12.8" hidden="false" customHeight="false" outlineLevel="0" collapsed="false">
      <c r="A10991" s="0" t="s">
        <v>12</v>
      </c>
      <c r="B10991" s="0" t="n">
        <v>3074606</v>
      </c>
      <c r="C10991" s="0" t="n">
        <v>3074626</v>
      </c>
      <c r="D10991" s="0" t="s">
        <v>36665</v>
      </c>
      <c r="E10991" s="0" t="s">
        <v>89</v>
      </c>
      <c r="F10991" s="0" t="s">
        <v>15</v>
      </c>
      <c r="G10991" s="0" t="s">
        <v>32</v>
      </c>
      <c r="H10991" s="0" t="n">
        <v>85</v>
      </c>
      <c r="I10991" s="0" t="s">
        <v>36672</v>
      </c>
      <c r="J10991" s="0" t="s">
        <v>36673</v>
      </c>
      <c r="K10991" s="0" t="s">
        <v>36674</v>
      </c>
      <c r="L10991" s="0" t="str">
        <f aca="false">HYPERLINK("https://www.ncbi.nlm.nih.gov/nuccore/CP000304.1?report=graph&amp;tracks=[key:gene_model_track,Options:GeneOnly]&amp;mk=3074563:3074582|offset_41|444444,3074586:3074605|offset_64|444444,3074607:3074626|offset_85|00cc00,3074628:3074647|offset_106|444444&amp;v=3074362:3074847&amp;c=444444", "offset 85")</f>
        <v>offset 85</v>
      </c>
    </row>
    <row r="10992" customFormat="false" ht="12.8" hidden="false" customHeight="false" outlineLevel="0" collapsed="false">
      <c r="A10992" s="0" t="s">
        <v>12</v>
      </c>
      <c r="B10992" s="0" t="n">
        <v>3074627</v>
      </c>
      <c r="C10992" s="0" t="n">
        <v>3074647</v>
      </c>
      <c r="D10992" s="0" t="s">
        <v>36665</v>
      </c>
      <c r="E10992" s="0" t="s">
        <v>89</v>
      </c>
      <c r="F10992" s="0" t="s">
        <v>15</v>
      </c>
      <c r="G10992" s="0" t="s">
        <v>16</v>
      </c>
      <c r="H10992" s="0" t="n">
        <v>106</v>
      </c>
      <c r="I10992" s="0" t="s">
        <v>36675</v>
      </c>
      <c r="J10992" s="0" t="s">
        <v>36676</v>
      </c>
      <c r="K10992" s="0" t="s">
        <v>36677</v>
      </c>
      <c r="L10992" s="0" t="str">
        <f aca="false">HYPERLINK("https://www.ncbi.nlm.nih.gov/nuccore/CP000304.1?report=graph&amp;tracks=[key:gene_model_track,Options:GeneOnly]&amp;mk=3074563:3074582|offset_41|444444,3074586:3074605|offset_64|444444,3074607:3074626|offset_85|444444,3074628:3074647|offset_106|00cc00&amp;v=3074362:3074847&amp;c=444444", "offset 106")</f>
        <v>offset 106</v>
      </c>
    </row>
    <row r="10993" customFormat="false" ht="12.8" hidden="false" customHeight="false" outlineLevel="0" collapsed="false">
      <c r="A10993" s="0" t="s">
        <v>12</v>
      </c>
      <c r="B10993" s="0" t="n">
        <v>3074910</v>
      </c>
      <c r="C10993" s="0" t="n">
        <v>3074930</v>
      </c>
      <c r="D10993" s="0" t="s">
        <v>36678</v>
      </c>
      <c r="E10993" s="0" t="s">
        <v>89</v>
      </c>
      <c r="F10993" s="0" t="s">
        <v>15</v>
      </c>
      <c r="G10993" s="0" t="s">
        <v>16</v>
      </c>
      <c r="H10993" s="0" t="n">
        <v>9</v>
      </c>
      <c r="I10993" s="0" t="s">
        <v>36679</v>
      </c>
      <c r="J10993" s="0" t="s">
        <v>36680</v>
      </c>
      <c r="K10993" s="0" t="s">
        <v>36681</v>
      </c>
      <c r="L10993" s="0" t="str">
        <f aca="false">HYPERLINK("https://www.ncbi.nlm.nih.gov/nuccore/CP000304.1?report=graph&amp;tracks=[key:gene_model_track,Options:GeneOnly]&amp;mk=3074911:3074930|offset_9|00cc00,3074969:3074988|offset_67|444444,3074993:3075012|offset_91|444444,3075021:3075040|offset_119|444444&amp;v=3074710:3075240&amp;c=444444", "offset 9")</f>
        <v>offset 9</v>
      </c>
    </row>
    <row r="10994" customFormat="false" ht="12.8" hidden="false" customHeight="false" outlineLevel="0" collapsed="false">
      <c r="A10994" s="0" t="s">
        <v>12</v>
      </c>
      <c r="B10994" s="0" t="n">
        <v>3074968</v>
      </c>
      <c r="C10994" s="0" t="n">
        <v>3074988</v>
      </c>
      <c r="D10994" s="0" t="s">
        <v>36678</v>
      </c>
      <c r="E10994" s="0" t="s">
        <v>89</v>
      </c>
      <c r="F10994" s="0" t="s">
        <v>15</v>
      </c>
      <c r="G10994" s="0" t="s">
        <v>32</v>
      </c>
      <c r="H10994" s="0" t="n">
        <v>67</v>
      </c>
      <c r="I10994" s="0" t="s">
        <v>36682</v>
      </c>
      <c r="J10994" s="0" t="s">
        <v>36683</v>
      </c>
      <c r="K10994" s="0" t="s">
        <v>36684</v>
      </c>
      <c r="L10994" s="0" t="str">
        <f aca="false">HYPERLINK("https://www.ncbi.nlm.nih.gov/nuccore/CP000304.1?report=graph&amp;tracks=[key:gene_model_track,Options:GeneOnly]&amp;mk=3074911:3074930|offset_9|444444,3074969:3074988|offset_67|00cc00,3074993:3075012|offset_91|444444,3075021:3075040|offset_119|444444&amp;v=3074710:3075240&amp;c=444444", "offset 67")</f>
        <v>offset 67</v>
      </c>
    </row>
    <row r="10995" customFormat="false" ht="12.8" hidden="false" customHeight="false" outlineLevel="0" collapsed="false">
      <c r="A10995" s="0" t="s">
        <v>12</v>
      </c>
      <c r="B10995" s="0" t="n">
        <v>3074992</v>
      </c>
      <c r="C10995" s="0" t="n">
        <v>3075012</v>
      </c>
      <c r="D10995" s="0" t="s">
        <v>36678</v>
      </c>
      <c r="E10995" s="0" t="s">
        <v>89</v>
      </c>
      <c r="F10995" s="0" t="s">
        <v>15</v>
      </c>
      <c r="G10995" s="0" t="s">
        <v>36</v>
      </c>
      <c r="H10995" s="0" t="n">
        <v>91</v>
      </c>
      <c r="I10995" s="0" t="s">
        <v>36685</v>
      </c>
      <c r="J10995" s="0" t="s">
        <v>36686</v>
      </c>
      <c r="K10995" s="0" t="s">
        <v>36687</v>
      </c>
      <c r="L10995" s="0" t="str">
        <f aca="false">HYPERLINK("https://www.ncbi.nlm.nih.gov/nuccore/CP000304.1?report=graph&amp;tracks=[key:gene_model_track,Options:GeneOnly]&amp;mk=3074911:3074930|offset_9|444444,3074969:3074988|offset_67|444444,3074993:3075012|offset_91|00cc00,3075021:3075040|offset_119|444444&amp;v=3074710:3075240&amp;c=444444", "offset 91")</f>
        <v>offset 91</v>
      </c>
    </row>
    <row r="10996" customFormat="false" ht="12.8" hidden="false" customHeight="false" outlineLevel="0" collapsed="false">
      <c r="A10996" s="0" t="s">
        <v>12</v>
      </c>
      <c r="B10996" s="0" t="n">
        <v>3075020</v>
      </c>
      <c r="C10996" s="0" t="n">
        <v>3075040</v>
      </c>
      <c r="D10996" s="0" t="s">
        <v>36678</v>
      </c>
      <c r="E10996" s="0" t="s">
        <v>89</v>
      </c>
      <c r="F10996" s="0" t="s">
        <v>15</v>
      </c>
      <c r="G10996" s="0" t="s">
        <v>36</v>
      </c>
      <c r="H10996" s="0" t="n">
        <v>119</v>
      </c>
      <c r="I10996" s="0" t="s">
        <v>36688</v>
      </c>
      <c r="J10996" s="0" t="s">
        <v>36689</v>
      </c>
      <c r="K10996" s="0" t="s">
        <v>36690</v>
      </c>
      <c r="L10996" s="0" t="str">
        <f aca="false">HYPERLINK("https://www.ncbi.nlm.nih.gov/nuccore/CP000304.1?report=graph&amp;tracks=[key:gene_model_track,Options:GeneOnly]&amp;mk=3074911:3074930|offset_9|444444,3074969:3074988|offset_67|444444,3074993:3075012|offset_91|444444,3075021:3075040|offset_119|00cc00&amp;v=3074710:3075240&amp;c=444444", "offset 119")</f>
        <v>offset 119</v>
      </c>
    </row>
    <row r="10997" customFormat="false" ht="12.8" hidden="false" customHeight="false" outlineLevel="0" collapsed="false">
      <c r="A10997" s="0" t="s">
        <v>12</v>
      </c>
      <c r="B10997" s="0" t="n">
        <v>3075405</v>
      </c>
      <c r="C10997" s="0" t="n">
        <v>3075425</v>
      </c>
      <c r="D10997" s="0" t="s">
        <v>36691</v>
      </c>
      <c r="E10997" s="0" t="s">
        <v>36692</v>
      </c>
      <c r="F10997" s="0" t="s">
        <v>15</v>
      </c>
      <c r="G10997" s="0" t="s">
        <v>36</v>
      </c>
      <c r="H10997" s="0" t="n">
        <v>39</v>
      </c>
      <c r="I10997" s="0" t="s">
        <v>36693</v>
      </c>
      <c r="J10997" s="0" t="s">
        <v>36694</v>
      </c>
      <c r="K10997" s="0" t="s">
        <v>36695</v>
      </c>
      <c r="L10997" s="0" t="str">
        <f aca="false">HYPERLINK("https://www.ncbi.nlm.nih.gov/nuccore/CP000304.1?report=graph&amp;tracks=[key:gene_model_track,Options:GeneOnly]&amp;mk=3075406:3075425|offset_39|00cc00,3075427:3075446|offset_60|444444,3075449:3075468|offset_82|444444,3075478:3075497|offset_111|444444&amp;v=3075205:3075697&amp;c=444444", "offset 39")</f>
        <v>offset 39</v>
      </c>
    </row>
    <row r="10998" customFormat="false" ht="12.8" hidden="false" customHeight="false" outlineLevel="0" collapsed="false">
      <c r="A10998" s="0" t="s">
        <v>12</v>
      </c>
      <c r="B10998" s="0" t="n">
        <v>3075426</v>
      </c>
      <c r="C10998" s="0" t="n">
        <v>3075446</v>
      </c>
      <c r="D10998" s="0" t="s">
        <v>36691</v>
      </c>
      <c r="E10998" s="0" t="s">
        <v>36692</v>
      </c>
      <c r="F10998" s="0" t="s">
        <v>15</v>
      </c>
      <c r="G10998" s="0" t="s">
        <v>16</v>
      </c>
      <c r="H10998" s="0" t="n">
        <v>60</v>
      </c>
      <c r="I10998" s="0" t="s">
        <v>36696</v>
      </c>
      <c r="J10998" s="0" t="s">
        <v>36697</v>
      </c>
      <c r="K10998" s="0" t="s">
        <v>36698</v>
      </c>
      <c r="L10998" s="0" t="str">
        <f aca="false">HYPERLINK("https://www.ncbi.nlm.nih.gov/nuccore/CP000304.1?report=graph&amp;tracks=[key:gene_model_track,Options:GeneOnly]&amp;mk=3075406:3075425|offset_39|444444,3075427:3075446|offset_60|00cc00,3075449:3075468|offset_82|444444,3075478:3075497|offset_111|444444&amp;v=3075205:3075697&amp;c=444444", "offset 60")</f>
        <v>offset 60</v>
      </c>
    </row>
    <row r="10999" customFormat="false" ht="12.8" hidden="false" customHeight="false" outlineLevel="0" collapsed="false">
      <c r="A10999" s="0" t="s">
        <v>12</v>
      </c>
      <c r="B10999" s="0" t="n">
        <v>3075448</v>
      </c>
      <c r="C10999" s="0" t="n">
        <v>3075468</v>
      </c>
      <c r="D10999" s="0" t="s">
        <v>36691</v>
      </c>
      <c r="E10999" s="0" t="s">
        <v>36692</v>
      </c>
      <c r="F10999" s="0" t="s">
        <v>15</v>
      </c>
      <c r="G10999" s="0" t="s">
        <v>26</v>
      </c>
      <c r="H10999" s="0" t="n">
        <v>82</v>
      </c>
      <c r="I10999" s="0" t="s">
        <v>36699</v>
      </c>
      <c r="J10999" s="0" t="s">
        <v>36700</v>
      </c>
      <c r="K10999" s="0" t="s">
        <v>36701</v>
      </c>
      <c r="L10999" s="0" t="str">
        <f aca="false">HYPERLINK("https://www.ncbi.nlm.nih.gov/nuccore/CP000304.1?report=graph&amp;tracks=[key:gene_model_track,Options:GeneOnly]&amp;mk=3075406:3075425|offset_39|444444,3075427:3075446|offset_60|444444,3075449:3075468|offset_82|00cc00,3075478:3075497|offset_111|444444&amp;v=3075205:3075697&amp;c=444444", "offset 82")</f>
        <v>offset 82</v>
      </c>
    </row>
    <row r="11000" customFormat="false" ht="12.8" hidden="false" customHeight="false" outlineLevel="0" collapsed="false">
      <c r="A11000" s="0" t="s">
        <v>12</v>
      </c>
      <c r="B11000" s="0" t="n">
        <v>3075477</v>
      </c>
      <c r="C11000" s="0" t="n">
        <v>3075497</v>
      </c>
      <c r="D11000" s="0" t="s">
        <v>36691</v>
      </c>
      <c r="E11000" s="0" t="s">
        <v>36692</v>
      </c>
      <c r="F11000" s="0" t="s">
        <v>15</v>
      </c>
      <c r="G11000" s="0" t="s">
        <v>36</v>
      </c>
      <c r="H11000" s="0" t="n">
        <v>111</v>
      </c>
      <c r="I11000" s="0" t="s">
        <v>36702</v>
      </c>
      <c r="J11000" s="0" t="s">
        <v>36703</v>
      </c>
      <c r="K11000" s="0" t="s">
        <v>36704</v>
      </c>
      <c r="L11000" s="0" t="str">
        <f aca="false">HYPERLINK("https://www.ncbi.nlm.nih.gov/nuccore/CP000304.1?report=graph&amp;tracks=[key:gene_model_track,Options:GeneOnly]&amp;mk=3075406:3075425|offset_39|444444,3075427:3075446|offset_60|444444,3075449:3075468|offset_82|444444,3075478:3075497|offset_111|00cc00&amp;v=3075205:3075697&amp;c=444444", "offset 111")</f>
        <v>offset 111</v>
      </c>
    </row>
    <row r="11001" customFormat="false" ht="12.8" hidden="false" customHeight="false" outlineLevel="0" collapsed="false">
      <c r="A11001" s="0" t="s">
        <v>12</v>
      </c>
      <c r="B11001" s="0" t="n">
        <v>3076395</v>
      </c>
      <c r="C11001" s="0" t="n">
        <v>3076415</v>
      </c>
      <c r="D11001" s="0" t="s">
        <v>36705</v>
      </c>
      <c r="E11001" s="0" t="s">
        <v>89</v>
      </c>
      <c r="F11001" s="0" t="s">
        <v>15</v>
      </c>
      <c r="G11001" s="0" t="s">
        <v>36</v>
      </c>
      <c r="H11001" s="0" t="n">
        <v>36</v>
      </c>
      <c r="I11001" s="0" t="s">
        <v>36706</v>
      </c>
      <c r="J11001" s="0" t="s">
        <v>36707</v>
      </c>
      <c r="K11001" s="0" t="s">
        <v>36708</v>
      </c>
      <c r="L11001" s="0" t="str">
        <f aca="false">HYPERLINK("https://www.ncbi.nlm.nih.gov/nuccore/CP000304.1?report=graph&amp;tracks=[key:gene_model_track,Options:GeneOnly]&amp;mk=3076396:3076415|offset_36|00cc00,3076428:3076447|offset_68|444444,3076449:3076468|offset_89|444444,3076472:3076491|offset_112|444444&amp;v=3076195:3076691&amp;c=444444", "offset 36")</f>
        <v>offset 36</v>
      </c>
    </row>
    <row r="11002" customFormat="false" ht="12.8" hidden="false" customHeight="false" outlineLevel="0" collapsed="false">
      <c r="A11002" s="0" t="s">
        <v>12</v>
      </c>
      <c r="B11002" s="0" t="n">
        <v>3076427</v>
      </c>
      <c r="C11002" s="0" t="n">
        <v>3076447</v>
      </c>
      <c r="D11002" s="0" t="s">
        <v>36705</v>
      </c>
      <c r="E11002" s="0" t="s">
        <v>89</v>
      </c>
      <c r="F11002" s="0" t="s">
        <v>15</v>
      </c>
      <c r="G11002" s="0" t="s">
        <v>26</v>
      </c>
      <c r="H11002" s="0" t="n">
        <v>68</v>
      </c>
      <c r="I11002" s="0" t="s">
        <v>36709</v>
      </c>
      <c r="J11002" s="0" t="s">
        <v>36710</v>
      </c>
      <c r="K11002" s="0" t="s">
        <v>36711</v>
      </c>
      <c r="L11002" s="0" t="str">
        <f aca="false">HYPERLINK("https://www.ncbi.nlm.nih.gov/nuccore/CP000304.1?report=graph&amp;tracks=[key:gene_model_track,Options:GeneOnly]&amp;mk=3076396:3076415|offset_36|444444,3076428:3076447|offset_68|00cc00,3076449:3076468|offset_89|444444,3076472:3076491|offset_112|444444&amp;v=3076195:3076691&amp;c=444444", "offset 68")</f>
        <v>offset 68</v>
      </c>
    </row>
    <row r="11003" customFormat="false" ht="12.8" hidden="false" customHeight="false" outlineLevel="0" collapsed="false">
      <c r="A11003" s="0" t="s">
        <v>12</v>
      </c>
      <c r="B11003" s="0" t="n">
        <v>3076448</v>
      </c>
      <c r="C11003" s="0" t="n">
        <v>3076468</v>
      </c>
      <c r="D11003" s="0" t="s">
        <v>36705</v>
      </c>
      <c r="E11003" s="0" t="s">
        <v>89</v>
      </c>
      <c r="F11003" s="0" t="s">
        <v>15</v>
      </c>
      <c r="G11003" s="0" t="s">
        <v>26</v>
      </c>
      <c r="H11003" s="0" t="n">
        <v>89</v>
      </c>
      <c r="I11003" s="0" t="s">
        <v>36712</v>
      </c>
      <c r="J11003" s="0" t="s">
        <v>36713</v>
      </c>
      <c r="K11003" s="0" t="s">
        <v>36714</v>
      </c>
      <c r="L11003" s="0" t="str">
        <f aca="false">HYPERLINK("https://www.ncbi.nlm.nih.gov/nuccore/CP000304.1?report=graph&amp;tracks=[key:gene_model_track,Options:GeneOnly]&amp;mk=3076396:3076415|offset_36|444444,3076428:3076447|offset_68|444444,3076449:3076468|offset_89|00cc00,3076472:3076491|offset_112|444444&amp;v=3076195:3076691&amp;c=444444", "offset 89")</f>
        <v>offset 89</v>
      </c>
    </row>
    <row r="11004" customFormat="false" ht="12.8" hidden="false" customHeight="false" outlineLevel="0" collapsed="false">
      <c r="A11004" s="0" t="s">
        <v>12</v>
      </c>
      <c r="B11004" s="0" t="n">
        <v>3076471</v>
      </c>
      <c r="C11004" s="0" t="n">
        <v>3076491</v>
      </c>
      <c r="D11004" s="0" t="s">
        <v>36705</v>
      </c>
      <c r="E11004" s="0" t="s">
        <v>89</v>
      </c>
      <c r="F11004" s="0" t="s">
        <v>15</v>
      </c>
      <c r="G11004" s="0" t="s">
        <v>16</v>
      </c>
      <c r="H11004" s="0" t="n">
        <v>112</v>
      </c>
      <c r="I11004" s="0" t="s">
        <v>36715</v>
      </c>
      <c r="J11004" s="0" t="s">
        <v>36716</v>
      </c>
      <c r="K11004" s="0" t="s">
        <v>36717</v>
      </c>
      <c r="L11004" s="0" t="str">
        <f aca="false">HYPERLINK("https://www.ncbi.nlm.nih.gov/nuccore/CP000304.1?report=graph&amp;tracks=[key:gene_model_track,Options:GeneOnly]&amp;mk=3076396:3076415|offset_36|444444,3076428:3076447|offset_68|444444,3076449:3076468|offset_89|444444,3076472:3076491|offset_112|00cc00&amp;v=3076195:3076691&amp;c=444444", "offset 112")</f>
        <v>offset 112</v>
      </c>
    </row>
    <row r="11005" customFormat="false" ht="12.8" hidden="false" customHeight="false" outlineLevel="0" collapsed="false">
      <c r="A11005" s="0" t="s">
        <v>12</v>
      </c>
      <c r="B11005" s="0" t="n">
        <v>3076958</v>
      </c>
      <c r="C11005" s="0" t="n">
        <v>3076978</v>
      </c>
      <c r="D11005" s="0" t="s">
        <v>36718</v>
      </c>
      <c r="E11005" s="0" t="s">
        <v>89</v>
      </c>
      <c r="F11005" s="0" t="s">
        <v>15</v>
      </c>
      <c r="G11005" s="0" t="s">
        <v>26</v>
      </c>
      <c r="H11005" s="0" t="n">
        <v>18</v>
      </c>
      <c r="I11005" s="0" t="s">
        <v>36719</v>
      </c>
      <c r="J11005" s="0" t="s">
        <v>36720</v>
      </c>
      <c r="K11005" s="0" t="s">
        <v>36721</v>
      </c>
      <c r="L11005" s="0" t="str">
        <f aca="false">HYPERLINK("https://www.ncbi.nlm.nih.gov/nuccore/CP000304.1?report=graph&amp;tracks=[key:gene_model_track,Options:GeneOnly]&amp;mk=3076959:3076978|offset_18|00cc00,3076987:3077006|offset_46|444444,3077008:3077027|offset_67|444444,3077030:3077049|offset_89|444444&amp;v=3076758:3077249&amp;c=444444", "offset 18")</f>
        <v>offset 18</v>
      </c>
    </row>
    <row r="11006" customFormat="false" ht="12.8" hidden="false" customHeight="false" outlineLevel="0" collapsed="false">
      <c r="A11006" s="0" t="s">
        <v>12</v>
      </c>
      <c r="B11006" s="0" t="n">
        <v>3076986</v>
      </c>
      <c r="C11006" s="0" t="n">
        <v>3077006</v>
      </c>
      <c r="D11006" s="0" t="s">
        <v>36718</v>
      </c>
      <c r="E11006" s="0" t="s">
        <v>89</v>
      </c>
      <c r="F11006" s="0" t="s">
        <v>15</v>
      </c>
      <c r="G11006" s="0" t="s">
        <v>32</v>
      </c>
      <c r="H11006" s="0" t="n">
        <v>46</v>
      </c>
      <c r="I11006" s="0" t="s">
        <v>36722</v>
      </c>
      <c r="J11006" s="0" t="s">
        <v>36723</v>
      </c>
      <c r="K11006" s="0" t="s">
        <v>36724</v>
      </c>
      <c r="L11006" s="0" t="str">
        <f aca="false">HYPERLINK("https://www.ncbi.nlm.nih.gov/nuccore/CP000304.1?report=graph&amp;tracks=[key:gene_model_track,Options:GeneOnly]&amp;mk=3076959:3076978|offset_18|444444,3076987:3077006|offset_46|00cc00,3077008:3077027|offset_67|444444,3077030:3077049|offset_89|444444&amp;v=3076758:3077249&amp;c=444444", "offset 46")</f>
        <v>offset 46</v>
      </c>
    </row>
    <row r="11007" customFormat="false" ht="12.8" hidden="false" customHeight="false" outlineLevel="0" collapsed="false">
      <c r="A11007" s="0" t="s">
        <v>12</v>
      </c>
      <c r="B11007" s="0" t="n">
        <v>3077007</v>
      </c>
      <c r="C11007" s="0" t="n">
        <v>3077027</v>
      </c>
      <c r="D11007" s="0" t="s">
        <v>36718</v>
      </c>
      <c r="E11007" s="0" t="s">
        <v>89</v>
      </c>
      <c r="F11007" s="0" t="s">
        <v>15</v>
      </c>
      <c r="G11007" s="0" t="s">
        <v>32</v>
      </c>
      <c r="H11007" s="0" t="n">
        <v>67</v>
      </c>
      <c r="I11007" s="0" t="s">
        <v>36725</v>
      </c>
      <c r="J11007" s="0" t="s">
        <v>36726</v>
      </c>
      <c r="K11007" s="0" t="s">
        <v>36727</v>
      </c>
      <c r="L11007" s="0" t="str">
        <f aca="false">HYPERLINK("https://www.ncbi.nlm.nih.gov/nuccore/CP000304.1?report=graph&amp;tracks=[key:gene_model_track,Options:GeneOnly]&amp;mk=3076959:3076978|offset_18|444444,3076987:3077006|offset_46|444444,3077008:3077027|offset_67|00cc00,3077030:3077049|offset_89|444444&amp;v=3076758:3077249&amp;c=444444", "offset 67")</f>
        <v>offset 67</v>
      </c>
    </row>
    <row r="11008" customFormat="false" ht="12.8" hidden="false" customHeight="false" outlineLevel="0" collapsed="false">
      <c r="A11008" s="0" t="s">
        <v>12</v>
      </c>
      <c r="B11008" s="0" t="n">
        <v>3077029</v>
      </c>
      <c r="C11008" s="0" t="n">
        <v>3077049</v>
      </c>
      <c r="D11008" s="0" t="s">
        <v>36718</v>
      </c>
      <c r="E11008" s="0" t="s">
        <v>89</v>
      </c>
      <c r="F11008" s="0" t="s">
        <v>15</v>
      </c>
      <c r="G11008" s="0" t="s">
        <v>32</v>
      </c>
      <c r="H11008" s="0" t="n">
        <v>89</v>
      </c>
      <c r="I11008" s="0" t="s">
        <v>36728</v>
      </c>
      <c r="J11008" s="0" t="s">
        <v>36729</v>
      </c>
      <c r="K11008" s="0" t="s">
        <v>36730</v>
      </c>
      <c r="L11008" s="0" t="str">
        <f aca="false">HYPERLINK("https://www.ncbi.nlm.nih.gov/nuccore/CP000304.1?report=graph&amp;tracks=[key:gene_model_track,Options:GeneOnly]&amp;mk=3076959:3076978|offset_18|444444,3076987:3077006|offset_46|444444,3077008:3077027|offset_67|444444,3077030:3077049|offset_89|00cc00&amp;v=3076758:3077249&amp;c=444444", "offset 89")</f>
        <v>offset 89</v>
      </c>
    </row>
    <row r="11009" customFormat="false" ht="12.8" hidden="false" customHeight="false" outlineLevel="0" collapsed="false">
      <c r="A11009" s="0" t="s">
        <v>12</v>
      </c>
      <c r="B11009" s="0" t="n">
        <v>3078607</v>
      </c>
      <c r="C11009" s="0" t="n">
        <v>3078627</v>
      </c>
      <c r="D11009" s="0" t="s">
        <v>36731</v>
      </c>
      <c r="E11009" s="0" t="s">
        <v>89</v>
      </c>
      <c r="F11009" s="0" t="s">
        <v>15</v>
      </c>
      <c r="G11009" s="0" t="s">
        <v>26</v>
      </c>
      <c r="H11009" s="0" t="n">
        <v>14</v>
      </c>
      <c r="I11009" s="0" t="s">
        <v>36732</v>
      </c>
      <c r="J11009" s="0" t="s">
        <v>36733</v>
      </c>
      <c r="K11009" s="0" t="s">
        <v>36734</v>
      </c>
      <c r="L11009" s="0" t="str">
        <f aca="false">HYPERLINK("https://www.ncbi.nlm.nih.gov/nuccore/CP000304.1?report=graph&amp;tracks=[key:gene_model_track,Options:GeneOnly]&amp;mk=3078608:3078627|offset_14|00cc00,3078631:3078650|offset_37|444444,3078655:3078674|offset_61|444444,3078689:3078708|offset_95|444444&amp;v=3078407:3078908&amp;c=444444", "offset 14")</f>
        <v>offset 14</v>
      </c>
    </row>
    <row r="11010" customFormat="false" ht="12.8" hidden="false" customHeight="false" outlineLevel="0" collapsed="false">
      <c r="A11010" s="0" t="s">
        <v>12</v>
      </c>
      <c r="B11010" s="0" t="n">
        <v>3078630</v>
      </c>
      <c r="C11010" s="0" t="n">
        <v>3078650</v>
      </c>
      <c r="D11010" s="0" t="s">
        <v>36731</v>
      </c>
      <c r="E11010" s="0" t="s">
        <v>89</v>
      </c>
      <c r="F11010" s="0" t="s">
        <v>15</v>
      </c>
      <c r="G11010" s="0" t="s">
        <v>16</v>
      </c>
      <c r="H11010" s="0" t="n">
        <v>37</v>
      </c>
      <c r="I11010" s="0" t="s">
        <v>36735</v>
      </c>
      <c r="J11010" s="0" t="s">
        <v>36736</v>
      </c>
      <c r="K11010" s="0" t="s">
        <v>36737</v>
      </c>
      <c r="L11010" s="0" t="str">
        <f aca="false">HYPERLINK("https://www.ncbi.nlm.nih.gov/nuccore/CP000304.1?report=graph&amp;tracks=[key:gene_model_track,Options:GeneOnly]&amp;mk=3078608:3078627|offset_14|444444,3078631:3078650|offset_37|00cc00,3078655:3078674|offset_61|444444,3078689:3078708|offset_95|444444&amp;v=3078407:3078908&amp;c=444444", "offset 37")</f>
        <v>offset 37</v>
      </c>
    </row>
    <row r="11011" customFormat="false" ht="12.8" hidden="false" customHeight="false" outlineLevel="0" collapsed="false">
      <c r="A11011" s="0" t="s">
        <v>12</v>
      </c>
      <c r="B11011" s="0" t="n">
        <v>3078654</v>
      </c>
      <c r="C11011" s="0" t="n">
        <v>3078674</v>
      </c>
      <c r="D11011" s="0" t="s">
        <v>36731</v>
      </c>
      <c r="E11011" s="0" t="s">
        <v>89</v>
      </c>
      <c r="F11011" s="0" t="s">
        <v>15</v>
      </c>
      <c r="G11011" s="0" t="s">
        <v>32</v>
      </c>
      <c r="H11011" s="0" t="n">
        <v>61</v>
      </c>
      <c r="I11011" s="0" t="s">
        <v>36738</v>
      </c>
      <c r="J11011" s="0" t="s">
        <v>36739</v>
      </c>
      <c r="K11011" s="0" t="s">
        <v>36740</v>
      </c>
      <c r="L11011" s="0" t="str">
        <f aca="false">HYPERLINK("https://www.ncbi.nlm.nih.gov/nuccore/CP000304.1?report=graph&amp;tracks=[key:gene_model_track,Options:GeneOnly]&amp;mk=3078608:3078627|offset_14|444444,3078631:3078650|offset_37|444444,3078655:3078674|offset_61|00cc00,3078689:3078708|offset_95|444444&amp;v=3078407:3078908&amp;c=444444", "offset 61")</f>
        <v>offset 61</v>
      </c>
    </row>
    <row r="11012" customFormat="false" ht="12.8" hidden="false" customHeight="false" outlineLevel="0" collapsed="false">
      <c r="A11012" s="0" t="s">
        <v>12</v>
      </c>
      <c r="B11012" s="0" t="n">
        <v>3078688</v>
      </c>
      <c r="C11012" s="0" t="n">
        <v>3078708</v>
      </c>
      <c r="D11012" s="0" t="s">
        <v>36731</v>
      </c>
      <c r="E11012" s="0" t="s">
        <v>89</v>
      </c>
      <c r="F11012" s="0" t="s">
        <v>15</v>
      </c>
      <c r="G11012" s="0" t="s">
        <v>26</v>
      </c>
      <c r="H11012" s="0" t="n">
        <v>95</v>
      </c>
      <c r="I11012" s="0" t="s">
        <v>36741</v>
      </c>
      <c r="J11012" s="0" t="s">
        <v>36742</v>
      </c>
      <c r="K11012" s="0" t="s">
        <v>36743</v>
      </c>
      <c r="L11012" s="0" t="str">
        <f aca="false">HYPERLINK("https://www.ncbi.nlm.nih.gov/nuccore/CP000304.1?report=graph&amp;tracks=[key:gene_model_track,Options:GeneOnly]&amp;mk=3078608:3078627|offset_14|444444,3078631:3078650|offset_37|444444,3078655:3078674|offset_61|444444,3078689:3078708|offset_95|00cc00&amp;v=3078407:3078908&amp;c=444444", "offset 95")</f>
        <v>offset 95</v>
      </c>
    </row>
    <row r="11013" customFormat="false" ht="12.8" hidden="false" customHeight="false" outlineLevel="0" collapsed="false">
      <c r="A11013" s="0" t="s">
        <v>12</v>
      </c>
      <c r="B11013" s="0" t="n">
        <v>3079795</v>
      </c>
      <c r="C11013" s="0" t="n">
        <v>3079815</v>
      </c>
      <c r="D11013" s="0" t="s">
        <v>36744</v>
      </c>
      <c r="E11013" s="0" t="s">
        <v>89</v>
      </c>
      <c r="F11013" s="0" t="s">
        <v>15</v>
      </c>
      <c r="G11013" s="0" t="s">
        <v>16</v>
      </c>
      <c r="H11013" s="0" t="n">
        <v>25</v>
      </c>
      <c r="I11013" s="0" t="s">
        <v>36745</v>
      </c>
      <c r="J11013" s="0" t="s">
        <v>36746</v>
      </c>
      <c r="K11013" s="0" t="s">
        <v>36747</v>
      </c>
      <c r="L11013" s="0" t="str">
        <f aca="false">HYPERLINK("https://www.ncbi.nlm.nih.gov/nuccore/CP000304.1?report=graph&amp;tracks=[key:gene_model_track,Options:GeneOnly]&amp;mk=3079796:3079815|offset_25|00cc00,3079872:3079891|offset_101|444444,3079892:3079911|offset_121|444444,3079921:3079940|offset_150|444444&amp;v=3079595:3080140&amp;c=444444", "offset 25")</f>
        <v>offset 25</v>
      </c>
    </row>
    <row r="11014" customFormat="false" ht="12.8" hidden="false" customHeight="false" outlineLevel="0" collapsed="false">
      <c r="A11014" s="0" t="s">
        <v>12</v>
      </c>
      <c r="B11014" s="0" t="n">
        <v>3079871</v>
      </c>
      <c r="C11014" s="0" t="n">
        <v>3079891</v>
      </c>
      <c r="D11014" s="0" t="s">
        <v>36744</v>
      </c>
      <c r="E11014" s="0" t="s">
        <v>89</v>
      </c>
      <c r="F11014" s="0" t="s">
        <v>15</v>
      </c>
      <c r="G11014" s="0" t="s">
        <v>26</v>
      </c>
      <c r="H11014" s="0" t="n">
        <v>101</v>
      </c>
      <c r="I11014" s="0" t="s">
        <v>36748</v>
      </c>
      <c r="J11014" s="0" t="s">
        <v>36749</v>
      </c>
      <c r="K11014" s="0" t="s">
        <v>36750</v>
      </c>
      <c r="L11014" s="0" t="str">
        <f aca="false">HYPERLINK("https://www.ncbi.nlm.nih.gov/nuccore/CP000304.1?report=graph&amp;tracks=[key:gene_model_track,Options:GeneOnly]&amp;mk=3079796:3079815|offset_25|444444,3079872:3079891|offset_101|00cc00,3079892:3079911|offset_121|444444,3079921:3079940|offset_150|444444&amp;v=3079595:3080140&amp;c=444444", "offset 101")</f>
        <v>offset 101</v>
      </c>
    </row>
    <row r="11015" customFormat="false" ht="12.8" hidden="false" customHeight="false" outlineLevel="0" collapsed="false">
      <c r="A11015" s="0" t="s">
        <v>12</v>
      </c>
      <c r="B11015" s="0" t="n">
        <v>3079891</v>
      </c>
      <c r="C11015" s="0" t="n">
        <v>3079911</v>
      </c>
      <c r="D11015" s="0" t="s">
        <v>36744</v>
      </c>
      <c r="E11015" s="0" t="s">
        <v>89</v>
      </c>
      <c r="F11015" s="0" t="s">
        <v>15</v>
      </c>
      <c r="G11015" s="0" t="s">
        <v>26</v>
      </c>
      <c r="H11015" s="0" t="n">
        <v>121</v>
      </c>
      <c r="I11015" s="0" t="s">
        <v>36751</v>
      </c>
      <c r="J11015" s="0" t="s">
        <v>36752</v>
      </c>
      <c r="K11015" s="0" t="s">
        <v>36753</v>
      </c>
      <c r="L11015" s="0" t="str">
        <f aca="false">HYPERLINK("https://www.ncbi.nlm.nih.gov/nuccore/CP000304.1?report=graph&amp;tracks=[key:gene_model_track,Options:GeneOnly]&amp;mk=3079796:3079815|offset_25|444444,3079872:3079891|offset_101|444444,3079892:3079911|offset_121|00cc00,3079921:3079940|offset_150|444444&amp;v=3079595:3080140&amp;c=444444", "offset 121")</f>
        <v>offset 121</v>
      </c>
    </row>
    <row r="11016" customFormat="false" ht="12.8" hidden="false" customHeight="false" outlineLevel="0" collapsed="false">
      <c r="A11016" s="0" t="s">
        <v>12</v>
      </c>
      <c r="B11016" s="0" t="n">
        <v>3079920</v>
      </c>
      <c r="C11016" s="0" t="n">
        <v>3079940</v>
      </c>
      <c r="D11016" s="0" t="s">
        <v>36744</v>
      </c>
      <c r="E11016" s="0" t="s">
        <v>89</v>
      </c>
      <c r="F11016" s="0" t="s">
        <v>15</v>
      </c>
      <c r="G11016" s="0" t="s">
        <v>16</v>
      </c>
      <c r="H11016" s="0" t="n">
        <v>150</v>
      </c>
      <c r="I11016" s="0" t="s">
        <v>36754</v>
      </c>
      <c r="J11016" s="0" t="s">
        <v>36755</v>
      </c>
      <c r="K11016" s="0" t="s">
        <v>36756</v>
      </c>
      <c r="L11016" s="0" t="str">
        <f aca="false">HYPERLINK("https://www.ncbi.nlm.nih.gov/nuccore/CP000304.1?report=graph&amp;tracks=[key:gene_model_track,Options:GeneOnly]&amp;mk=3079796:3079815|offset_25|444444,3079872:3079891|offset_101|444444,3079892:3079911|offset_121|444444,3079921:3079940|offset_150|00cc00&amp;v=3079595:3080140&amp;c=444444", "offset 150")</f>
        <v>offset 150</v>
      </c>
    </row>
    <row r="11017" customFormat="false" ht="12.8" hidden="false" customHeight="false" outlineLevel="0" collapsed="false">
      <c r="A11017" s="0" t="s">
        <v>12</v>
      </c>
      <c r="B11017" s="0" t="n">
        <v>3080315</v>
      </c>
      <c r="C11017" s="0" t="n">
        <v>3080335</v>
      </c>
      <c r="D11017" s="0" t="s">
        <v>36757</v>
      </c>
      <c r="E11017" s="0" t="s">
        <v>89</v>
      </c>
      <c r="F11017" s="0" t="s">
        <v>15</v>
      </c>
      <c r="G11017" s="0" t="s">
        <v>36</v>
      </c>
      <c r="H11017" s="0" t="n">
        <v>7</v>
      </c>
      <c r="I11017" s="0" t="s">
        <v>36758</v>
      </c>
      <c r="J11017" s="0" t="s">
        <v>36759</v>
      </c>
      <c r="K11017" s="0" t="s">
        <v>36760</v>
      </c>
      <c r="L11017" s="0" t="str">
        <f aca="false">HYPERLINK("https://www.ncbi.nlm.nih.gov/nuccore/CP000304.1?report=graph&amp;tracks=[key:gene_model_track,Options:GeneOnly]&amp;mk=3080316:3080335|offset_7|00cc00,3080339:3080358|offset_30|444444,3080368:3080387|offset_59|444444,3080391:3080410|offset_82|444444&amp;v=3080115:3080610&amp;c=444444", "offset 7")</f>
        <v>offset 7</v>
      </c>
    </row>
    <row r="11018" customFormat="false" ht="12.8" hidden="false" customHeight="false" outlineLevel="0" collapsed="false">
      <c r="A11018" s="0" t="s">
        <v>12</v>
      </c>
      <c r="B11018" s="0" t="n">
        <v>3080338</v>
      </c>
      <c r="C11018" s="0" t="n">
        <v>3080358</v>
      </c>
      <c r="D11018" s="0" t="s">
        <v>36757</v>
      </c>
      <c r="E11018" s="0" t="s">
        <v>89</v>
      </c>
      <c r="F11018" s="0" t="s">
        <v>15</v>
      </c>
      <c r="G11018" s="0" t="s">
        <v>16</v>
      </c>
      <c r="H11018" s="0" t="n">
        <v>30</v>
      </c>
      <c r="I11018" s="0" t="s">
        <v>36761</v>
      </c>
      <c r="J11018" s="0" t="s">
        <v>36762</v>
      </c>
      <c r="K11018" s="0" t="s">
        <v>36763</v>
      </c>
      <c r="L11018" s="0" t="str">
        <f aca="false">HYPERLINK("https://www.ncbi.nlm.nih.gov/nuccore/CP000304.1?report=graph&amp;tracks=[key:gene_model_track,Options:GeneOnly]&amp;mk=3080316:3080335|offset_7|444444,3080339:3080358|offset_30|00cc00,3080368:3080387|offset_59|444444,3080391:3080410|offset_82|444444&amp;v=3080115:3080610&amp;c=444444", "offset 30")</f>
        <v>offset 30</v>
      </c>
    </row>
    <row r="11019" customFormat="false" ht="12.8" hidden="false" customHeight="false" outlineLevel="0" collapsed="false">
      <c r="A11019" s="0" t="s">
        <v>12</v>
      </c>
      <c r="B11019" s="0" t="n">
        <v>3080367</v>
      </c>
      <c r="C11019" s="0" t="n">
        <v>3080387</v>
      </c>
      <c r="D11019" s="0" t="s">
        <v>36757</v>
      </c>
      <c r="E11019" s="0" t="s">
        <v>89</v>
      </c>
      <c r="F11019" s="0" t="s">
        <v>15</v>
      </c>
      <c r="G11019" s="0" t="s">
        <v>16</v>
      </c>
      <c r="H11019" s="0" t="n">
        <v>59</v>
      </c>
      <c r="I11019" s="0" t="s">
        <v>36764</v>
      </c>
      <c r="J11019" s="0" t="s">
        <v>36765</v>
      </c>
      <c r="K11019" s="0" t="s">
        <v>36766</v>
      </c>
      <c r="L11019" s="0" t="str">
        <f aca="false">HYPERLINK("https://www.ncbi.nlm.nih.gov/nuccore/CP000304.1?report=graph&amp;tracks=[key:gene_model_track,Options:GeneOnly]&amp;mk=3080316:3080335|offset_7|444444,3080339:3080358|offset_30|444444,3080368:3080387|offset_59|00cc00,3080391:3080410|offset_82|444444&amp;v=3080115:3080610&amp;c=444444", "offset 59")</f>
        <v>offset 59</v>
      </c>
    </row>
    <row r="11020" customFormat="false" ht="12.8" hidden="false" customHeight="false" outlineLevel="0" collapsed="false">
      <c r="A11020" s="0" t="s">
        <v>12</v>
      </c>
      <c r="B11020" s="0" t="n">
        <v>3080390</v>
      </c>
      <c r="C11020" s="0" t="n">
        <v>3080410</v>
      </c>
      <c r="D11020" s="0" t="s">
        <v>36757</v>
      </c>
      <c r="E11020" s="0" t="s">
        <v>89</v>
      </c>
      <c r="F11020" s="0" t="s">
        <v>15</v>
      </c>
      <c r="G11020" s="0" t="s">
        <v>26</v>
      </c>
      <c r="H11020" s="0" t="n">
        <v>82</v>
      </c>
      <c r="I11020" s="0" t="s">
        <v>36767</v>
      </c>
      <c r="J11020" s="0" t="s">
        <v>36768</v>
      </c>
      <c r="K11020" s="0" t="s">
        <v>36769</v>
      </c>
      <c r="L11020" s="0" t="str">
        <f aca="false">HYPERLINK("https://www.ncbi.nlm.nih.gov/nuccore/CP000304.1?report=graph&amp;tracks=[key:gene_model_track,Options:GeneOnly]&amp;mk=3080316:3080335|offset_7|444444,3080339:3080358|offset_30|444444,3080368:3080387|offset_59|444444,3080391:3080410|offset_82|00cc00&amp;v=3080115:3080610&amp;c=444444", "offset 82")</f>
        <v>offset 82</v>
      </c>
    </row>
    <row r="11021" customFormat="false" ht="12.8" hidden="false" customHeight="false" outlineLevel="0" collapsed="false">
      <c r="A11021" s="0" t="s">
        <v>12</v>
      </c>
      <c r="B11021" s="0" t="n">
        <v>3081335</v>
      </c>
      <c r="C11021" s="0" t="n">
        <v>3081355</v>
      </c>
      <c r="D11021" s="0" t="s">
        <v>36770</v>
      </c>
      <c r="E11021" s="0" t="s">
        <v>89</v>
      </c>
      <c r="F11021" s="0" t="s">
        <v>15</v>
      </c>
      <c r="G11021" s="0" t="s">
        <v>36</v>
      </c>
      <c r="H11021" s="0" t="n">
        <v>10</v>
      </c>
      <c r="I11021" s="0" t="s">
        <v>36771</v>
      </c>
      <c r="J11021" s="0" t="s">
        <v>36772</v>
      </c>
      <c r="K11021" s="0" t="s">
        <v>36773</v>
      </c>
      <c r="L11021" s="0" t="str">
        <f aca="false">HYPERLINK("https://www.ncbi.nlm.nih.gov/nuccore/CP000304.1?report=graph&amp;tracks=[key:gene_model_track,Options:GeneOnly]&amp;mk=3081336:3081355|offset_10|00cc00,3081360:3081379|offset_34|444444,3081381:3081400|offset_55|444444,3081408:3081427|offset_82|444444&amp;v=3081135:3081627&amp;c=444444", "offset 10")</f>
        <v>offset 10</v>
      </c>
    </row>
    <row r="11022" customFormat="false" ht="12.8" hidden="false" customHeight="false" outlineLevel="0" collapsed="false">
      <c r="A11022" s="0" t="s">
        <v>12</v>
      </c>
      <c r="B11022" s="0" t="n">
        <v>3081359</v>
      </c>
      <c r="C11022" s="0" t="n">
        <v>3081379</v>
      </c>
      <c r="D11022" s="0" t="s">
        <v>36770</v>
      </c>
      <c r="E11022" s="0" t="s">
        <v>89</v>
      </c>
      <c r="F11022" s="0" t="s">
        <v>15</v>
      </c>
      <c r="G11022" s="0" t="s">
        <v>36</v>
      </c>
      <c r="H11022" s="0" t="n">
        <v>34</v>
      </c>
      <c r="I11022" s="0" t="s">
        <v>36774</v>
      </c>
      <c r="J11022" s="0" t="s">
        <v>36775</v>
      </c>
      <c r="K11022" s="0" t="s">
        <v>36776</v>
      </c>
      <c r="L11022" s="0" t="str">
        <f aca="false">HYPERLINK("https://www.ncbi.nlm.nih.gov/nuccore/CP000304.1?report=graph&amp;tracks=[key:gene_model_track,Options:GeneOnly]&amp;mk=3081336:3081355|offset_10|444444,3081360:3081379|offset_34|00cc00,3081381:3081400|offset_55|444444,3081408:3081427|offset_82|444444&amp;v=3081135:3081627&amp;c=444444", "offset 34")</f>
        <v>offset 34</v>
      </c>
    </row>
    <row r="11023" customFormat="false" ht="12.8" hidden="false" customHeight="false" outlineLevel="0" collapsed="false">
      <c r="A11023" s="0" t="s">
        <v>12</v>
      </c>
      <c r="B11023" s="0" t="n">
        <v>3081380</v>
      </c>
      <c r="C11023" s="0" t="n">
        <v>3081400</v>
      </c>
      <c r="D11023" s="0" t="s">
        <v>36770</v>
      </c>
      <c r="E11023" s="0" t="s">
        <v>89</v>
      </c>
      <c r="F11023" s="0" t="s">
        <v>15</v>
      </c>
      <c r="G11023" s="0" t="s">
        <v>26</v>
      </c>
      <c r="H11023" s="0" t="n">
        <v>55</v>
      </c>
      <c r="I11023" s="0" t="s">
        <v>36777</v>
      </c>
      <c r="J11023" s="0" t="s">
        <v>36778</v>
      </c>
      <c r="K11023" s="0" t="s">
        <v>36779</v>
      </c>
      <c r="L11023" s="0" t="str">
        <f aca="false">HYPERLINK("https://www.ncbi.nlm.nih.gov/nuccore/CP000304.1?report=graph&amp;tracks=[key:gene_model_track,Options:GeneOnly]&amp;mk=3081336:3081355|offset_10|444444,3081360:3081379|offset_34|444444,3081381:3081400|offset_55|00cc00,3081408:3081427|offset_82|444444&amp;v=3081135:3081627&amp;c=444444", "offset 55")</f>
        <v>offset 55</v>
      </c>
    </row>
    <row r="11024" customFormat="false" ht="12.8" hidden="false" customHeight="false" outlineLevel="0" collapsed="false">
      <c r="A11024" s="0" t="s">
        <v>12</v>
      </c>
      <c r="B11024" s="0" t="n">
        <v>3081407</v>
      </c>
      <c r="C11024" s="0" t="n">
        <v>3081427</v>
      </c>
      <c r="D11024" s="0" t="s">
        <v>36770</v>
      </c>
      <c r="E11024" s="0" t="s">
        <v>89</v>
      </c>
      <c r="F11024" s="0" t="s">
        <v>15</v>
      </c>
      <c r="G11024" s="0" t="s">
        <v>36</v>
      </c>
      <c r="H11024" s="0" t="n">
        <v>82</v>
      </c>
      <c r="I11024" s="0" t="s">
        <v>36780</v>
      </c>
      <c r="J11024" s="0" t="s">
        <v>36781</v>
      </c>
      <c r="K11024" s="0" t="s">
        <v>36782</v>
      </c>
      <c r="L11024" s="0" t="str">
        <f aca="false">HYPERLINK("https://www.ncbi.nlm.nih.gov/nuccore/CP000304.1?report=graph&amp;tracks=[key:gene_model_track,Options:GeneOnly]&amp;mk=3081336:3081355|offset_10|444444,3081360:3081379|offset_34|444444,3081381:3081400|offset_55|444444,3081408:3081427|offset_82|00cc00&amp;v=3081135:3081627&amp;c=444444", "offset 82")</f>
        <v>offset 82</v>
      </c>
    </row>
    <row r="11025" customFormat="false" ht="12.8" hidden="false" customHeight="false" outlineLevel="0" collapsed="false">
      <c r="A11025" s="0" t="s">
        <v>12</v>
      </c>
      <c r="B11025" s="0" t="n">
        <v>3082860</v>
      </c>
      <c r="C11025" s="0" t="n">
        <v>3082880</v>
      </c>
      <c r="D11025" s="0" t="s">
        <v>36783</v>
      </c>
      <c r="E11025" s="0" t="s">
        <v>89</v>
      </c>
      <c r="F11025" s="0" t="s">
        <v>90</v>
      </c>
      <c r="G11025" s="0" t="s">
        <v>16</v>
      </c>
      <c r="H11025" s="0" t="n">
        <v>6</v>
      </c>
      <c r="I11025" s="0" t="s">
        <v>36784</v>
      </c>
      <c r="J11025" s="0" t="s">
        <v>36785</v>
      </c>
      <c r="K11025" s="0" t="s">
        <v>36786</v>
      </c>
      <c r="L11025" s="0" t="str">
        <f aca="false">HYPERLINK("https://www.ncbi.nlm.nih.gov/nuccore/CP000304.1?report=graph&amp;tracks=[key:gene_model_track,Options:GeneOnly]&amp;mk=3082861:3082880|offset_6|00cc00,3082831:3082850|offset_36|444444,3082800:3082819|offset_67|444444,3082780:3082799|offset_87|444444&amp;v=3082660:3082999&amp;c=444444", "offset 6")</f>
        <v>offset 6</v>
      </c>
    </row>
    <row r="11026" customFormat="false" ht="12.8" hidden="false" customHeight="false" outlineLevel="0" collapsed="false">
      <c r="A11026" s="0" t="s">
        <v>12</v>
      </c>
      <c r="B11026" s="0" t="n">
        <v>3082830</v>
      </c>
      <c r="C11026" s="0" t="n">
        <v>3082850</v>
      </c>
      <c r="D11026" s="0" t="s">
        <v>36783</v>
      </c>
      <c r="E11026" s="0" t="s">
        <v>89</v>
      </c>
      <c r="F11026" s="0" t="s">
        <v>90</v>
      </c>
      <c r="G11026" s="0" t="s">
        <v>36</v>
      </c>
      <c r="H11026" s="0" t="n">
        <v>36</v>
      </c>
      <c r="I11026" s="0" t="s">
        <v>36787</v>
      </c>
      <c r="J11026" s="0" t="s">
        <v>36788</v>
      </c>
      <c r="K11026" s="0" t="s">
        <v>36789</v>
      </c>
      <c r="L11026" s="0" t="str">
        <f aca="false">HYPERLINK("https://www.ncbi.nlm.nih.gov/nuccore/CP000304.1?report=graph&amp;tracks=[key:gene_model_track,Options:GeneOnly]&amp;mk=3082861:3082880|offset_6|444444,3082831:3082850|offset_36|00cc00,3082800:3082819|offset_67|444444,3082780:3082799|offset_87|444444&amp;v=3082660:3082999&amp;c=444444", "offset 36")</f>
        <v>offset 36</v>
      </c>
    </row>
    <row r="11027" customFormat="false" ht="12.8" hidden="false" customHeight="false" outlineLevel="0" collapsed="false">
      <c r="A11027" s="0" t="s">
        <v>12</v>
      </c>
      <c r="B11027" s="0" t="n">
        <v>3082799</v>
      </c>
      <c r="C11027" s="0" t="n">
        <v>3082819</v>
      </c>
      <c r="D11027" s="0" t="s">
        <v>36783</v>
      </c>
      <c r="E11027" s="0" t="s">
        <v>89</v>
      </c>
      <c r="F11027" s="0" t="s">
        <v>90</v>
      </c>
      <c r="G11027" s="0" t="s">
        <v>36</v>
      </c>
      <c r="H11027" s="0" t="n">
        <v>67</v>
      </c>
      <c r="I11027" s="0" t="s">
        <v>36790</v>
      </c>
      <c r="J11027" s="0" t="s">
        <v>36791</v>
      </c>
      <c r="K11027" s="0" t="s">
        <v>36792</v>
      </c>
      <c r="L11027" s="0" t="str">
        <f aca="false">HYPERLINK("https://www.ncbi.nlm.nih.gov/nuccore/CP000304.1?report=graph&amp;tracks=[key:gene_model_track,Options:GeneOnly]&amp;mk=3082861:3082880|offset_6|444444,3082831:3082850|offset_36|444444,3082800:3082819|offset_67|00cc00,3082780:3082799|offset_87|444444&amp;v=3082660:3082999&amp;c=444444", "offset 67")</f>
        <v>offset 67</v>
      </c>
    </row>
    <row r="11028" customFormat="false" ht="12.8" hidden="false" customHeight="false" outlineLevel="0" collapsed="false">
      <c r="A11028" s="0" t="s">
        <v>12</v>
      </c>
      <c r="B11028" s="0" t="n">
        <v>3082779</v>
      </c>
      <c r="C11028" s="0" t="n">
        <v>3082799</v>
      </c>
      <c r="D11028" s="0" t="s">
        <v>36783</v>
      </c>
      <c r="E11028" s="0" t="s">
        <v>89</v>
      </c>
      <c r="F11028" s="0" t="s">
        <v>90</v>
      </c>
      <c r="G11028" s="0" t="s">
        <v>36</v>
      </c>
      <c r="H11028" s="0" t="n">
        <v>87</v>
      </c>
      <c r="I11028" s="0" t="s">
        <v>36793</v>
      </c>
      <c r="J11028" s="0" t="s">
        <v>36794</v>
      </c>
      <c r="K11028" s="0" t="s">
        <v>36795</v>
      </c>
      <c r="L11028" s="0" t="str">
        <f aca="false">HYPERLINK("https://www.ncbi.nlm.nih.gov/nuccore/CP000304.1?report=graph&amp;tracks=[key:gene_model_track,Options:GeneOnly]&amp;mk=3082861:3082880|offset_6|444444,3082831:3082850|offset_36|444444,3082800:3082819|offset_67|444444,3082780:3082799|offset_87|00cc00&amp;v=3082660:3082999&amp;c=444444", "offset 87")</f>
        <v>offset 87</v>
      </c>
    </row>
    <row r="11029" customFormat="false" ht="12.8" hidden="false" customHeight="false" outlineLevel="0" collapsed="false">
      <c r="A11029" s="0" t="s">
        <v>12</v>
      </c>
      <c r="B11029" s="0" t="n">
        <v>3083168</v>
      </c>
      <c r="C11029" s="0" t="n">
        <v>3083188</v>
      </c>
      <c r="D11029" s="0" t="s">
        <v>36796</v>
      </c>
      <c r="E11029" s="0" t="s">
        <v>89</v>
      </c>
      <c r="F11029" s="0" t="s">
        <v>15</v>
      </c>
      <c r="G11029" s="0" t="s">
        <v>16</v>
      </c>
      <c r="H11029" s="0" t="n">
        <v>94</v>
      </c>
      <c r="I11029" s="0" t="s">
        <v>36797</v>
      </c>
      <c r="J11029" s="0" t="s">
        <v>36798</v>
      </c>
      <c r="K11029" s="0" t="s">
        <v>36799</v>
      </c>
      <c r="L11029" s="0" t="str">
        <f aca="false">HYPERLINK("https://www.ncbi.nlm.nih.gov/nuccore/CP000304.1?report=graph&amp;tracks=[key:gene_model_track,Options:GeneOnly]&amp;mk=3083169:3083188|offset_94|00cc00,3083215:3083234|offset_140|444444,3083236:3083255|offset_161|444444,3083261:3083280|offset_186|444444&amp;v=3082968:3083480&amp;c=444444", "offset 94")</f>
        <v>offset 94</v>
      </c>
    </row>
    <row r="11030" customFormat="false" ht="12.8" hidden="false" customHeight="false" outlineLevel="0" collapsed="false">
      <c r="A11030" s="0" t="s">
        <v>12</v>
      </c>
      <c r="B11030" s="0" t="n">
        <v>3083214</v>
      </c>
      <c r="C11030" s="0" t="n">
        <v>3083234</v>
      </c>
      <c r="D11030" s="0" t="s">
        <v>36796</v>
      </c>
      <c r="E11030" s="0" t="s">
        <v>89</v>
      </c>
      <c r="F11030" s="0" t="s">
        <v>15</v>
      </c>
      <c r="G11030" s="0" t="s">
        <v>32</v>
      </c>
      <c r="H11030" s="0" t="n">
        <v>140</v>
      </c>
      <c r="I11030" s="0" t="s">
        <v>36800</v>
      </c>
      <c r="J11030" s="0" t="s">
        <v>36801</v>
      </c>
      <c r="K11030" s="0" t="s">
        <v>36802</v>
      </c>
      <c r="L11030" s="0" t="str">
        <f aca="false">HYPERLINK("https://www.ncbi.nlm.nih.gov/nuccore/CP000304.1?report=graph&amp;tracks=[key:gene_model_track,Options:GeneOnly]&amp;mk=3083169:3083188|offset_94|444444,3083215:3083234|offset_140|00cc00,3083236:3083255|offset_161|444444,3083261:3083280|offset_186|444444&amp;v=3082968:3083480&amp;c=444444", "offset 140")</f>
        <v>offset 140</v>
      </c>
    </row>
    <row r="11031" customFormat="false" ht="12.8" hidden="false" customHeight="false" outlineLevel="0" collapsed="false">
      <c r="A11031" s="0" t="s">
        <v>12</v>
      </c>
      <c r="B11031" s="0" t="n">
        <v>3083235</v>
      </c>
      <c r="C11031" s="0" t="n">
        <v>3083255</v>
      </c>
      <c r="D11031" s="0" t="s">
        <v>36796</v>
      </c>
      <c r="E11031" s="0" t="s">
        <v>89</v>
      </c>
      <c r="F11031" s="0" t="s">
        <v>15</v>
      </c>
      <c r="G11031" s="0" t="s">
        <v>26</v>
      </c>
      <c r="H11031" s="0" t="n">
        <v>161</v>
      </c>
      <c r="I11031" s="0" t="s">
        <v>36803</v>
      </c>
      <c r="J11031" s="0" t="s">
        <v>36804</v>
      </c>
      <c r="K11031" s="0" t="s">
        <v>36805</v>
      </c>
      <c r="L11031" s="0" t="str">
        <f aca="false">HYPERLINK("https://www.ncbi.nlm.nih.gov/nuccore/CP000304.1?report=graph&amp;tracks=[key:gene_model_track,Options:GeneOnly]&amp;mk=3083169:3083188|offset_94|444444,3083215:3083234|offset_140|444444,3083236:3083255|offset_161|00cc00,3083261:3083280|offset_186|444444&amp;v=3082968:3083480&amp;c=444444", "offset 161")</f>
        <v>offset 161</v>
      </c>
    </row>
    <row r="11032" customFormat="false" ht="12.8" hidden="false" customHeight="false" outlineLevel="0" collapsed="false">
      <c r="A11032" s="0" t="s">
        <v>12</v>
      </c>
      <c r="B11032" s="0" t="n">
        <v>3083260</v>
      </c>
      <c r="C11032" s="0" t="n">
        <v>3083280</v>
      </c>
      <c r="D11032" s="0" t="s">
        <v>36796</v>
      </c>
      <c r="E11032" s="0" t="s">
        <v>89</v>
      </c>
      <c r="F11032" s="0" t="s">
        <v>15</v>
      </c>
      <c r="G11032" s="0" t="s">
        <v>16</v>
      </c>
      <c r="H11032" s="0" t="n">
        <v>186</v>
      </c>
      <c r="I11032" s="0" t="s">
        <v>36806</v>
      </c>
      <c r="J11032" s="0" t="s">
        <v>36807</v>
      </c>
      <c r="K11032" s="0" t="s">
        <v>36808</v>
      </c>
      <c r="L11032" s="0" t="str">
        <f aca="false">HYPERLINK("https://www.ncbi.nlm.nih.gov/nuccore/CP000304.1?report=graph&amp;tracks=[key:gene_model_track,Options:GeneOnly]&amp;mk=3083169:3083188|offset_94|444444,3083215:3083234|offset_140|444444,3083236:3083255|offset_161|444444,3083261:3083280|offset_186|00cc00&amp;v=3082968:3083480&amp;c=444444", "offset 186")</f>
        <v>offset 186</v>
      </c>
    </row>
    <row r="11033" customFormat="false" ht="12.8" hidden="false" customHeight="false" outlineLevel="0" collapsed="false">
      <c r="A11033" s="0" t="s">
        <v>12</v>
      </c>
      <c r="B11033" s="0" t="n">
        <v>3084490</v>
      </c>
      <c r="C11033" s="0" t="n">
        <v>3084510</v>
      </c>
      <c r="D11033" s="0" t="s">
        <v>36809</v>
      </c>
      <c r="E11033" s="0" t="s">
        <v>89</v>
      </c>
      <c r="F11033" s="0" t="s">
        <v>15</v>
      </c>
      <c r="G11033" s="0" t="s">
        <v>16</v>
      </c>
      <c r="H11033" s="0" t="n">
        <v>0</v>
      </c>
      <c r="I11033" s="0" t="s">
        <v>36810</v>
      </c>
      <c r="J11033" s="0" t="s">
        <v>36811</v>
      </c>
      <c r="K11033" s="0" t="s">
        <v>36812</v>
      </c>
      <c r="L11033" s="0" t="str">
        <f aca="false">HYPERLINK("https://www.ncbi.nlm.nih.gov/nuccore/CP000304.1?report=graph&amp;tracks=[key:gene_model_track,Options:GeneOnly]&amp;mk=3084491:3084510|offset_0|00cc00,3084512:3084531|offset_21|444444,3084535:3084554|offset_44|444444,3084562:3084581|offset_71|444444&amp;v=3084290:3084781&amp;c=444444", "offset 0")</f>
        <v>offset 0</v>
      </c>
    </row>
    <row r="11034" customFormat="false" ht="12.8" hidden="false" customHeight="false" outlineLevel="0" collapsed="false">
      <c r="A11034" s="0" t="s">
        <v>12</v>
      </c>
      <c r="B11034" s="0" t="n">
        <v>3084511</v>
      </c>
      <c r="C11034" s="0" t="n">
        <v>3084531</v>
      </c>
      <c r="D11034" s="0" t="s">
        <v>36809</v>
      </c>
      <c r="E11034" s="0" t="s">
        <v>89</v>
      </c>
      <c r="F11034" s="0" t="s">
        <v>15</v>
      </c>
      <c r="G11034" s="0" t="s">
        <v>16</v>
      </c>
      <c r="H11034" s="0" t="n">
        <v>21</v>
      </c>
      <c r="I11034" s="0" t="s">
        <v>36813</v>
      </c>
      <c r="J11034" s="0" t="s">
        <v>36814</v>
      </c>
      <c r="K11034" s="0" t="s">
        <v>36815</v>
      </c>
      <c r="L11034" s="0" t="str">
        <f aca="false">HYPERLINK("https://www.ncbi.nlm.nih.gov/nuccore/CP000304.1?report=graph&amp;tracks=[key:gene_model_track,Options:GeneOnly]&amp;mk=3084491:3084510|offset_0|444444,3084512:3084531|offset_21|00cc00,3084535:3084554|offset_44|444444,3084562:3084581|offset_71|444444&amp;v=3084290:3084781&amp;c=444444", "offset 21")</f>
        <v>offset 21</v>
      </c>
    </row>
    <row r="11035" customFormat="false" ht="12.8" hidden="false" customHeight="false" outlineLevel="0" collapsed="false">
      <c r="A11035" s="0" t="s">
        <v>12</v>
      </c>
      <c r="B11035" s="0" t="n">
        <v>3084534</v>
      </c>
      <c r="C11035" s="0" t="n">
        <v>3084554</v>
      </c>
      <c r="D11035" s="0" t="s">
        <v>36809</v>
      </c>
      <c r="E11035" s="0" t="s">
        <v>89</v>
      </c>
      <c r="F11035" s="0" t="s">
        <v>15</v>
      </c>
      <c r="G11035" s="0" t="s">
        <v>32</v>
      </c>
      <c r="H11035" s="0" t="n">
        <v>44</v>
      </c>
      <c r="I11035" s="0" t="s">
        <v>36816</v>
      </c>
      <c r="J11035" s="0" t="s">
        <v>36817</v>
      </c>
      <c r="K11035" s="0" t="s">
        <v>36818</v>
      </c>
      <c r="L11035" s="0" t="str">
        <f aca="false">HYPERLINK("https://www.ncbi.nlm.nih.gov/nuccore/CP000304.1?report=graph&amp;tracks=[key:gene_model_track,Options:GeneOnly]&amp;mk=3084491:3084510|offset_0|444444,3084512:3084531|offset_21|444444,3084535:3084554|offset_44|00cc00,3084562:3084581|offset_71|444444&amp;v=3084290:3084781&amp;c=444444", "offset 44")</f>
        <v>offset 44</v>
      </c>
    </row>
    <row r="11036" customFormat="false" ht="12.8" hidden="false" customHeight="false" outlineLevel="0" collapsed="false">
      <c r="A11036" s="0" t="s">
        <v>12</v>
      </c>
      <c r="B11036" s="0" t="n">
        <v>3084561</v>
      </c>
      <c r="C11036" s="0" t="n">
        <v>3084581</v>
      </c>
      <c r="D11036" s="0" t="s">
        <v>36809</v>
      </c>
      <c r="E11036" s="0" t="s">
        <v>89</v>
      </c>
      <c r="F11036" s="0" t="s">
        <v>15</v>
      </c>
      <c r="G11036" s="0" t="s">
        <v>36</v>
      </c>
      <c r="H11036" s="0" t="n">
        <v>71</v>
      </c>
      <c r="I11036" s="0" t="s">
        <v>36819</v>
      </c>
      <c r="J11036" s="0" t="s">
        <v>36820</v>
      </c>
      <c r="K11036" s="0" t="s">
        <v>36821</v>
      </c>
      <c r="L11036" s="0" t="str">
        <f aca="false">HYPERLINK("https://www.ncbi.nlm.nih.gov/nuccore/CP000304.1?report=graph&amp;tracks=[key:gene_model_track,Options:GeneOnly]&amp;mk=3084491:3084510|offset_0|444444,3084512:3084531|offset_21|444444,3084535:3084554|offset_44|444444,3084562:3084581|offset_71|00cc00&amp;v=3084290:3084781&amp;c=444444", "offset 71")</f>
        <v>offset 71</v>
      </c>
    </row>
    <row r="11037" customFormat="false" ht="12.8" hidden="false" customHeight="false" outlineLevel="0" collapsed="false">
      <c r="A11037" s="0" t="s">
        <v>12</v>
      </c>
      <c r="B11037" s="0" t="n">
        <v>3086687</v>
      </c>
      <c r="C11037" s="0" t="n">
        <v>3086707</v>
      </c>
      <c r="D11037" s="0" t="s">
        <v>36822</v>
      </c>
      <c r="E11037" s="0" t="s">
        <v>89</v>
      </c>
      <c r="F11037" s="0" t="s">
        <v>90</v>
      </c>
      <c r="G11037" s="0" t="s">
        <v>36</v>
      </c>
      <c r="H11037" s="0" t="n">
        <v>22</v>
      </c>
      <c r="I11037" s="0" t="s">
        <v>36823</v>
      </c>
      <c r="J11037" s="0" t="s">
        <v>36824</v>
      </c>
      <c r="K11037" s="0" t="s">
        <v>36825</v>
      </c>
      <c r="L11037" s="0" t="str">
        <f aca="false">HYPERLINK("https://www.ncbi.nlm.nih.gov/nuccore/CP000304.1?report=graph&amp;tracks=[key:gene_model_track,Options:GeneOnly]&amp;mk=3086688:3086707|offset_22|00cc00,3086652:3086671|offset_58|444444,3086613:3086632|offset_97|444444,3086592:3086611|offset_118|444444&amp;v=3086487:3086811&amp;c=444444", "offset 22")</f>
        <v>offset 22</v>
      </c>
    </row>
    <row r="11038" customFormat="false" ht="12.8" hidden="false" customHeight="false" outlineLevel="0" collapsed="false">
      <c r="A11038" s="0" t="s">
        <v>12</v>
      </c>
      <c r="B11038" s="0" t="n">
        <v>3086651</v>
      </c>
      <c r="C11038" s="0" t="n">
        <v>3086671</v>
      </c>
      <c r="D11038" s="0" t="s">
        <v>36822</v>
      </c>
      <c r="E11038" s="0" t="s">
        <v>89</v>
      </c>
      <c r="F11038" s="0" t="s">
        <v>90</v>
      </c>
      <c r="G11038" s="0" t="s">
        <v>16</v>
      </c>
      <c r="H11038" s="0" t="n">
        <v>58</v>
      </c>
      <c r="I11038" s="0" t="s">
        <v>36826</v>
      </c>
      <c r="J11038" s="0" t="s">
        <v>36827</v>
      </c>
      <c r="K11038" s="0" t="s">
        <v>36828</v>
      </c>
      <c r="L11038" s="0" t="str">
        <f aca="false">HYPERLINK("https://www.ncbi.nlm.nih.gov/nuccore/CP000304.1?report=graph&amp;tracks=[key:gene_model_track,Options:GeneOnly]&amp;mk=3086688:3086707|offset_22|444444,3086652:3086671|offset_58|00cc00,3086613:3086632|offset_97|444444,3086592:3086611|offset_118|444444&amp;v=3086487:3086811&amp;c=444444", "offset 58")</f>
        <v>offset 58</v>
      </c>
    </row>
    <row r="11039" customFormat="false" ht="12.8" hidden="false" customHeight="false" outlineLevel="0" collapsed="false">
      <c r="A11039" s="0" t="s">
        <v>12</v>
      </c>
      <c r="B11039" s="0" t="n">
        <v>3086612</v>
      </c>
      <c r="C11039" s="0" t="n">
        <v>3086632</v>
      </c>
      <c r="D11039" s="0" t="s">
        <v>36822</v>
      </c>
      <c r="E11039" s="0" t="s">
        <v>89</v>
      </c>
      <c r="F11039" s="0" t="s">
        <v>90</v>
      </c>
      <c r="G11039" s="0" t="s">
        <v>16</v>
      </c>
      <c r="H11039" s="0" t="n">
        <v>97</v>
      </c>
      <c r="I11039" s="0" t="s">
        <v>36829</v>
      </c>
      <c r="J11039" s="0" t="s">
        <v>36830</v>
      </c>
      <c r="K11039" s="0" t="s">
        <v>36831</v>
      </c>
      <c r="L11039" s="0" t="str">
        <f aca="false">HYPERLINK("https://www.ncbi.nlm.nih.gov/nuccore/CP000304.1?report=graph&amp;tracks=[key:gene_model_track,Options:GeneOnly]&amp;mk=3086688:3086707|offset_22|444444,3086652:3086671|offset_58|444444,3086613:3086632|offset_97|00cc00,3086592:3086611|offset_118|444444&amp;v=3086487:3086811&amp;c=444444", "offset 97")</f>
        <v>offset 97</v>
      </c>
    </row>
    <row r="11040" customFormat="false" ht="12.8" hidden="false" customHeight="false" outlineLevel="0" collapsed="false">
      <c r="A11040" s="0" t="s">
        <v>12</v>
      </c>
      <c r="B11040" s="0" t="n">
        <v>3086591</v>
      </c>
      <c r="C11040" s="0" t="n">
        <v>3086611</v>
      </c>
      <c r="D11040" s="0" t="s">
        <v>36822</v>
      </c>
      <c r="E11040" s="0" t="s">
        <v>89</v>
      </c>
      <c r="F11040" s="0" t="s">
        <v>90</v>
      </c>
      <c r="G11040" s="0" t="s">
        <v>32</v>
      </c>
      <c r="H11040" s="0" t="n">
        <v>118</v>
      </c>
      <c r="I11040" s="0" t="s">
        <v>36832</v>
      </c>
      <c r="J11040" s="0" t="s">
        <v>36833</v>
      </c>
      <c r="K11040" s="0" t="s">
        <v>36834</v>
      </c>
      <c r="L11040" s="0" t="str">
        <f aca="false">HYPERLINK("https://www.ncbi.nlm.nih.gov/nuccore/CP000304.1?report=graph&amp;tracks=[key:gene_model_track,Options:GeneOnly]&amp;mk=3086688:3086707|offset_22|444444,3086652:3086671|offset_58|444444,3086613:3086632|offset_97|444444,3086592:3086611|offset_118|00cc00&amp;v=3086487:3086811&amp;c=444444", "offset 118")</f>
        <v>offset 118</v>
      </c>
    </row>
    <row r="11041" customFormat="false" ht="12.8" hidden="false" customHeight="false" outlineLevel="0" collapsed="false">
      <c r="A11041" s="0" t="s">
        <v>12</v>
      </c>
      <c r="B11041" s="0" t="n">
        <v>3088048</v>
      </c>
      <c r="C11041" s="0" t="n">
        <v>3088068</v>
      </c>
      <c r="D11041" s="0" t="s">
        <v>36835</v>
      </c>
      <c r="E11041" s="0" t="s">
        <v>89</v>
      </c>
      <c r="F11041" s="0" t="s">
        <v>90</v>
      </c>
      <c r="G11041" s="0" t="s">
        <v>16</v>
      </c>
      <c r="H11041" s="0" t="n">
        <v>13</v>
      </c>
      <c r="I11041" s="0" t="s">
        <v>36836</v>
      </c>
      <c r="J11041" s="0" t="s">
        <v>36837</v>
      </c>
      <c r="K11041" s="0" t="s">
        <v>36838</v>
      </c>
      <c r="L11041" s="0" t="str">
        <f aca="false">HYPERLINK("https://www.ncbi.nlm.nih.gov/nuccore/CP000304.1?report=graph&amp;tracks=[key:gene_model_track,Options:GeneOnly]&amp;mk=3088049:3088068|offset_13|00cc00,3088006:3088025|offset_56|444444,3087946:3087965|offset_116|444444,3087922:3087941|offset_140|444444&amp;v=3087848:3088141&amp;c=444444", "offset 13")</f>
        <v>offset 13</v>
      </c>
    </row>
    <row r="11042" customFormat="false" ht="12.8" hidden="false" customHeight="false" outlineLevel="0" collapsed="false">
      <c r="A11042" s="0" t="s">
        <v>12</v>
      </c>
      <c r="B11042" s="0" t="n">
        <v>3088005</v>
      </c>
      <c r="C11042" s="0" t="n">
        <v>3088025</v>
      </c>
      <c r="D11042" s="0" t="s">
        <v>36835</v>
      </c>
      <c r="E11042" s="0" t="s">
        <v>89</v>
      </c>
      <c r="F11042" s="0" t="s">
        <v>90</v>
      </c>
      <c r="G11042" s="0" t="s">
        <v>16</v>
      </c>
      <c r="H11042" s="0" t="n">
        <v>56</v>
      </c>
      <c r="I11042" s="0" t="s">
        <v>36839</v>
      </c>
      <c r="J11042" s="0" t="s">
        <v>36840</v>
      </c>
      <c r="K11042" s="0" t="s">
        <v>36841</v>
      </c>
      <c r="L11042" s="0" t="str">
        <f aca="false">HYPERLINK("https://www.ncbi.nlm.nih.gov/nuccore/CP000304.1?report=graph&amp;tracks=[key:gene_model_track,Options:GeneOnly]&amp;mk=3088049:3088068|offset_13|444444,3088006:3088025|offset_56|00cc00,3087946:3087965|offset_116|444444,3087922:3087941|offset_140|444444&amp;v=3087848:3088141&amp;c=444444", "offset 56")</f>
        <v>offset 56</v>
      </c>
    </row>
    <row r="11043" customFormat="false" ht="12.8" hidden="false" customHeight="false" outlineLevel="0" collapsed="false">
      <c r="A11043" s="0" t="s">
        <v>12</v>
      </c>
      <c r="B11043" s="0" t="n">
        <v>3087945</v>
      </c>
      <c r="C11043" s="0" t="n">
        <v>3087965</v>
      </c>
      <c r="D11043" s="0" t="s">
        <v>36835</v>
      </c>
      <c r="E11043" s="0" t="s">
        <v>89</v>
      </c>
      <c r="F11043" s="0" t="s">
        <v>90</v>
      </c>
      <c r="G11043" s="0" t="s">
        <v>16</v>
      </c>
      <c r="H11043" s="0" t="n">
        <v>116</v>
      </c>
      <c r="I11043" s="0" t="s">
        <v>36842</v>
      </c>
      <c r="J11043" s="0" t="s">
        <v>36843</v>
      </c>
      <c r="K11043" s="0" t="s">
        <v>36844</v>
      </c>
      <c r="L11043" s="0" t="str">
        <f aca="false">HYPERLINK("https://www.ncbi.nlm.nih.gov/nuccore/CP000304.1?report=graph&amp;tracks=[key:gene_model_track,Options:GeneOnly]&amp;mk=3088049:3088068|offset_13|444444,3088006:3088025|offset_56|444444,3087946:3087965|offset_116|00cc00,3087922:3087941|offset_140|444444&amp;v=3087848:3088141&amp;c=444444", "offset 116")</f>
        <v>offset 116</v>
      </c>
    </row>
    <row r="11044" customFormat="false" ht="12.8" hidden="false" customHeight="false" outlineLevel="0" collapsed="false">
      <c r="A11044" s="0" t="s">
        <v>12</v>
      </c>
      <c r="B11044" s="0" t="n">
        <v>3087921</v>
      </c>
      <c r="C11044" s="0" t="n">
        <v>3087941</v>
      </c>
      <c r="D11044" s="0" t="s">
        <v>36835</v>
      </c>
      <c r="E11044" s="0" t="s">
        <v>89</v>
      </c>
      <c r="F11044" s="0" t="s">
        <v>90</v>
      </c>
      <c r="G11044" s="0" t="s">
        <v>16</v>
      </c>
      <c r="H11044" s="0" t="n">
        <v>140</v>
      </c>
      <c r="I11044" s="0" t="s">
        <v>36845</v>
      </c>
      <c r="J11044" s="0" t="s">
        <v>36846</v>
      </c>
      <c r="K11044" s="0" t="s">
        <v>36847</v>
      </c>
      <c r="L11044" s="0" t="str">
        <f aca="false">HYPERLINK("https://www.ncbi.nlm.nih.gov/nuccore/CP000304.1?report=graph&amp;tracks=[key:gene_model_track,Options:GeneOnly]&amp;mk=3088049:3088068|offset_13|444444,3088006:3088025|offset_56|444444,3087946:3087965|offset_116|444444,3087922:3087941|offset_140|00cc00&amp;v=3087848:3088141&amp;c=444444", "offset 140")</f>
        <v>offset 140</v>
      </c>
    </row>
    <row r="11045" customFormat="false" ht="12.8" hidden="false" customHeight="false" outlineLevel="0" collapsed="false">
      <c r="A11045" s="0" t="s">
        <v>12</v>
      </c>
      <c r="B11045" s="0" t="n">
        <v>3088085</v>
      </c>
      <c r="C11045" s="0" t="n">
        <v>3088105</v>
      </c>
      <c r="D11045" s="0" t="s">
        <v>36848</v>
      </c>
      <c r="E11045" s="0" t="s">
        <v>89</v>
      </c>
      <c r="F11045" s="0" t="s">
        <v>15</v>
      </c>
      <c r="G11045" s="0" t="s">
        <v>36</v>
      </c>
      <c r="H11045" s="0" t="n">
        <v>6</v>
      </c>
      <c r="I11045" s="0" t="s">
        <v>36849</v>
      </c>
      <c r="J11045" s="0" t="s">
        <v>36850</v>
      </c>
      <c r="K11045" s="0" t="s">
        <v>36851</v>
      </c>
      <c r="L11045" s="0" t="str">
        <f aca="false">HYPERLINK("https://www.ncbi.nlm.nih.gov/nuccore/CP000304.1?report=graph&amp;tracks=[key:gene_model_track,Options:GeneOnly]&amp;mk=3088086:3088105|offset_6|00cc00,3088106:3088125|offset_26|444444,3088156:3088175|offset_76|444444,3088180:3088199|offset_100|444444&amp;v=3087885:3088399&amp;c=444444", "offset 6")</f>
        <v>offset 6</v>
      </c>
    </row>
    <row r="11046" customFormat="false" ht="12.8" hidden="false" customHeight="false" outlineLevel="0" collapsed="false">
      <c r="A11046" s="0" t="s">
        <v>12</v>
      </c>
      <c r="B11046" s="0" t="n">
        <v>3088105</v>
      </c>
      <c r="C11046" s="0" t="n">
        <v>3088125</v>
      </c>
      <c r="D11046" s="0" t="s">
        <v>36848</v>
      </c>
      <c r="E11046" s="0" t="s">
        <v>89</v>
      </c>
      <c r="F11046" s="0" t="s">
        <v>15</v>
      </c>
      <c r="G11046" s="0" t="s">
        <v>32</v>
      </c>
      <c r="H11046" s="0" t="n">
        <v>26</v>
      </c>
      <c r="I11046" s="0" t="s">
        <v>36852</v>
      </c>
      <c r="J11046" s="0" t="s">
        <v>36853</v>
      </c>
      <c r="K11046" s="0" t="s">
        <v>36854</v>
      </c>
      <c r="L11046" s="0" t="str">
        <f aca="false">HYPERLINK("https://www.ncbi.nlm.nih.gov/nuccore/CP000304.1?report=graph&amp;tracks=[key:gene_model_track,Options:GeneOnly]&amp;mk=3088086:3088105|offset_6|444444,3088106:3088125|offset_26|00cc00,3088156:3088175|offset_76|444444,3088180:3088199|offset_100|444444&amp;v=3087885:3088399&amp;c=444444", "offset 26")</f>
        <v>offset 26</v>
      </c>
    </row>
    <row r="11047" customFormat="false" ht="12.8" hidden="false" customHeight="false" outlineLevel="0" collapsed="false">
      <c r="A11047" s="0" t="s">
        <v>12</v>
      </c>
      <c r="B11047" s="0" t="n">
        <v>3088155</v>
      </c>
      <c r="C11047" s="0" t="n">
        <v>3088175</v>
      </c>
      <c r="D11047" s="0" t="s">
        <v>36848</v>
      </c>
      <c r="E11047" s="0" t="s">
        <v>89</v>
      </c>
      <c r="F11047" s="0" t="s">
        <v>15</v>
      </c>
      <c r="G11047" s="0" t="s">
        <v>16</v>
      </c>
      <c r="H11047" s="0" t="n">
        <v>76</v>
      </c>
      <c r="I11047" s="0" t="s">
        <v>36855</v>
      </c>
      <c r="J11047" s="0" t="s">
        <v>36856</v>
      </c>
      <c r="K11047" s="0" t="s">
        <v>36857</v>
      </c>
      <c r="L11047" s="0" t="str">
        <f aca="false">HYPERLINK("https://www.ncbi.nlm.nih.gov/nuccore/CP000304.1?report=graph&amp;tracks=[key:gene_model_track,Options:GeneOnly]&amp;mk=3088086:3088105|offset_6|444444,3088106:3088125|offset_26|444444,3088156:3088175|offset_76|00cc00,3088180:3088199|offset_100|444444&amp;v=3087885:3088399&amp;c=444444", "offset 76")</f>
        <v>offset 76</v>
      </c>
    </row>
    <row r="11048" customFormat="false" ht="12.8" hidden="false" customHeight="false" outlineLevel="0" collapsed="false">
      <c r="A11048" s="0" t="s">
        <v>12</v>
      </c>
      <c r="B11048" s="0" t="n">
        <v>3088179</v>
      </c>
      <c r="C11048" s="0" t="n">
        <v>3088199</v>
      </c>
      <c r="D11048" s="0" t="s">
        <v>36848</v>
      </c>
      <c r="E11048" s="0" t="s">
        <v>89</v>
      </c>
      <c r="F11048" s="0" t="s">
        <v>15</v>
      </c>
      <c r="G11048" s="0" t="s">
        <v>16</v>
      </c>
      <c r="H11048" s="0" t="n">
        <v>100</v>
      </c>
      <c r="I11048" s="0" t="s">
        <v>36858</v>
      </c>
      <c r="J11048" s="0" t="s">
        <v>36859</v>
      </c>
      <c r="K11048" s="0" t="s">
        <v>36860</v>
      </c>
      <c r="L11048" s="0" t="str">
        <f aca="false">HYPERLINK("https://www.ncbi.nlm.nih.gov/nuccore/CP000304.1?report=graph&amp;tracks=[key:gene_model_track,Options:GeneOnly]&amp;mk=3088086:3088105|offset_6|444444,3088106:3088125|offset_26|444444,3088156:3088175|offset_76|444444,3088180:3088199|offset_100|00cc00&amp;v=3087885:3088399&amp;c=444444", "offset 100")</f>
        <v>offset 100</v>
      </c>
    </row>
    <row r="11049" customFormat="false" ht="12.8" hidden="false" customHeight="false" outlineLevel="0" collapsed="false">
      <c r="A11049" s="0" t="s">
        <v>12</v>
      </c>
      <c r="B11049" s="0" t="n">
        <v>3090031</v>
      </c>
      <c r="C11049" s="0" t="n">
        <v>3090051</v>
      </c>
      <c r="D11049" s="0" t="s">
        <v>36861</v>
      </c>
      <c r="E11049" s="0" t="s">
        <v>89</v>
      </c>
      <c r="F11049" s="0" t="s">
        <v>90</v>
      </c>
      <c r="G11049" s="0" t="s">
        <v>26</v>
      </c>
      <c r="H11049" s="0" t="n">
        <v>32</v>
      </c>
      <c r="I11049" s="0" t="s">
        <v>36862</v>
      </c>
      <c r="J11049" s="0" t="s">
        <v>36863</v>
      </c>
      <c r="K11049" s="0" t="s">
        <v>36864</v>
      </c>
      <c r="L11049" s="0" t="str">
        <f aca="false">HYPERLINK("https://www.ncbi.nlm.nih.gov/nuccore/CP000304.1?report=graph&amp;tracks=[key:gene_model_track,Options:GeneOnly]&amp;mk=3090032:3090051|offset_32|00cc00,3089995:3090014|offset_69|444444,3089963:3089982|offset_101|444444,3089943:3089962|offset_121|444444&amp;v=3089831:3090162&amp;c=444444", "offset 32")</f>
        <v>offset 32</v>
      </c>
    </row>
    <row r="11050" customFormat="false" ht="12.8" hidden="false" customHeight="false" outlineLevel="0" collapsed="false">
      <c r="A11050" s="0" t="s">
        <v>12</v>
      </c>
      <c r="B11050" s="0" t="n">
        <v>3089994</v>
      </c>
      <c r="C11050" s="0" t="n">
        <v>3090014</v>
      </c>
      <c r="D11050" s="0" t="s">
        <v>36861</v>
      </c>
      <c r="E11050" s="0" t="s">
        <v>89</v>
      </c>
      <c r="F11050" s="0" t="s">
        <v>90</v>
      </c>
      <c r="G11050" s="0" t="s">
        <v>16</v>
      </c>
      <c r="H11050" s="0" t="n">
        <v>69</v>
      </c>
      <c r="I11050" s="0" t="s">
        <v>36865</v>
      </c>
      <c r="J11050" s="0" t="s">
        <v>36866</v>
      </c>
      <c r="K11050" s="0" t="s">
        <v>36867</v>
      </c>
      <c r="L11050" s="0" t="str">
        <f aca="false">HYPERLINK("https://www.ncbi.nlm.nih.gov/nuccore/CP000304.1?report=graph&amp;tracks=[key:gene_model_track,Options:GeneOnly]&amp;mk=3090032:3090051|offset_32|444444,3089995:3090014|offset_69|00cc00,3089963:3089982|offset_101|444444,3089943:3089962|offset_121|444444&amp;v=3089831:3090162&amp;c=444444", "offset 69")</f>
        <v>offset 69</v>
      </c>
    </row>
    <row r="11051" customFormat="false" ht="12.8" hidden="false" customHeight="false" outlineLevel="0" collapsed="false">
      <c r="A11051" s="0" t="s">
        <v>12</v>
      </c>
      <c r="B11051" s="0" t="n">
        <v>3089962</v>
      </c>
      <c r="C11051" s="0" t="n">
        <v>3089982</v>
      </c>
      <c r="D11051" s="0" t="s">
        <v>36861</v>
      </c>
      <c r="E11051" s="0" t="s">
        <v>89</v>
      </c>
      <c r="F11051" s="0" t="s">
        <v>90</v>
      </c>
      <c r="G11051" s="0" t="s">
        <v>26</v>
      </c>
      <c r="H11051" s="0" t="n">
        <v>101</v>
      </c>
      <c r="I11051" s="0" t="s">
        <v>36868</v>
      </c>
      <c r="J11051" s="0" t="s">
        <v>36869</v>
      </c>
      <c r="K11051" s="0" t="s">
        <v>36870</v>
      </c>
      <c r="L11051" s="0" t="str">
        <f aca="false">HYPERLINK("https://www.ncbi.nlm.nih.gov/nuccore/CP000304.1?report=graph&amp;tracks=[key:gene_model_track,Options:GeneOnly]&amp;mk=3090032:3090051|offset_32|444444,3089995:3090014|offset_69|444444,3089963:3089982|offset_101|00cc00,3089943:3089962|offset_121|444444&amp;v=3089831:3090162&amp;c=444444", "offset 101")</f>
        <v>offset 101</v>
      </c>
    </row>
    <row r="11052" customFormat="false" ht="12.8" hidden="false" customHeight="false" outlineLevel="0" collapsed="false">
      <c r="A11052" s="0" t="s">
        <v>12</v>
      </c>
      <c r="B11052" s="0" t="n">
        <v>3089942</v>
      </c>
      <c r="C11052" s="0" t="n">
        <v>3089962</v>
      </c>
      <c r="D11052" s="0" t="s">
        <v>36861</v>
      </c>
      <c r="E11052" s="0" t="s">
        <v>89</v>
      </c>
      <c r="F11052" s="0" t="s">
        <v>90</v>
      </c>
      <c r="G11052" s="0" t="s">
        <v>16</v>
      </c>
      <c r="H11052" s="0" t="n">
        <v>121</v>
      </c>
      <c r="I11052" s="0" t="s">
        <v>36871</v>
      </c>
      <c r="J11052" s="0" t="s">
        <v>36872</v>
      </c>
      <c r="K11052" s="0" t="s">
        <v>36873</v>
      </c>
      <c r="L11052" s="0" t="str">
        <f aca="false">HYPERLINK("https://www.ncbi.nlm.nih.gov/nuccore/CP000304.1?report=graph&amp;tracks=[key:gene_model_track,Options:GeneOnly]&amp;mk=3090032:3090051|offset_32|444444,3089995:3090014|offset_69|444444,3089963:3089982|offset_101|444444,3089943:3089962|offset_121|00cc00&amp;v=3089831:3090162&amp;c=444444", "offset 121")</f>
        <v>offset 121</v>
      </c>
    </row>
    <row r="11053" customFormat="false" ht="12.8" hidden="false" customHeight="false" outlineLevel="0" collapsed="false">
      <c r="A11053" s="0" t="s">
        <v>12</v>
      </c>
      <c r="B11053" s="0" t="n">
        <v>3091689</v>
      </c>
      <c r="C11053" s="0" t="n">
        <v>3091709</v>
      </c>
      <c r="D11053" s="0" t="s">
        <v>36874</v>
      </c>
      <c r="E11053" s="0" t="s">
        <v>89</v>
      </c>
      <c r="F11053" s="0" t="s">
        <v>90</v>
      </c>
      <c r="G11053" s="0" t="s">
        <v>26</v>
      </c>
      <c r="H11053" s="0" t="n">
        <v>6</v>
      </c>
      <c r="I11053" s="0" t="s">
        <v>36875</v>
      </c>
      <c r="J11053" s="0" t="s">
        <v>36876</v>
      </c>
      <c r="K11053" s="0" t="s">
        <v>36877</v>
      </c>
      <c r="L11053" s="0" t="str">
        <f aca="false">HYPERLINK("https://www.ncbi.nlm.nih.gov/nuccore/CP000304.1?report=graph&amp;tracks=[key:gene_model_track,Options:GeneOnly]&amp;mk=3091690:3091709|offset_6|00cc00,3091659:3091678|offset_37|444444,3091635:3091654|offset_61|444444,3091577:3091596|offset_119|444444&amp;v=3091489:3091796&amp;c=444444", "offset 6")</f>
        <v>offset 6</v>
      </c>
    </row>
    <row r="11054" customFormat="false" ht="12.8" hidden="false" customHeight="false" outlineLevel="0" collapsed="false">
      <c r="A11054" s="0" t="s">
        <v>12</v>
      </c>
      <c r="B11054" s="0" t="n">
        <v>3091658</v>
      </c>
      <c r="C11054" s="0" t="n">
        <v>3091678</v>
      </c>
      <c r="D11054" s="0" t="s">
        <v>36874</v>
      </c>
      <c r="E11054" s="0" t="s">
        <v>89</v>
      </c>
      <c r="F11054" s="0" t="s">
        <v>90</v>
      </c>
      <c r="G11054" s="0" t="s">
        <v>32</v>
      </c>
      <c r="H11054" s="0" t="n">
        <v>37</v>
      </c>
      <c r="I11054" s="0" t="s">
        <v>36878</v>
      </c>
      <c r="J11054" s="0" t="s">
        <v>36879</v>
      </c>
      <c r="K11054" s="0" t="s">
        <v>36880</v>
      </c>
      <c r="L11054" s="0" t="str">
        <f aca="false">HYPERLINK("https://www.ncbi.nlm.nih.gov/nuccore/CP000304.1?report=graph&amp;tracks=[key:gene_model_track,Options:GeneOnly]&amp;mk=3091690:3091709|offset_6|444444,3091659:3091678|offset_37|00cc00,3091635:3091654|offset_61|444444,3091577:3091596|offset_119|444444&amp;v=3091489:3091796&amp;c=444444", "offset 37")</f>
        <v>offset 37</v>
      </c>
    </row>
    <row r="11055" customFormat="false" ht="12.8" hidden="false" customHeight="false" outlineLevel="0" collapsed="false">
      <c r="A11055" s="0" t="s">
        <v>12</v>
      </c>
      <c r="B11055" s="0" t="n">
        <v>3091634</v>
      </c>
      <c r="C11055" s="0" t="n">
        <v>3091654</v>
      </c>
      <c r="D11055" s="0" t="s">
        <v>36874</v>
      </c>
      <c r="E11055" s="0" t="s">
        <v>89</v>
      </c>
      <c r="F11055" s="0" t="s">
        <v>90</v>
      </c>
      <c r="G11055" s="0" t="s">
        <v>36</v>
      </c>
      <c r="H11055" s="0" t="n">
        <v>61</v>
      </c>
      <c r="I11055" s="0" t="s">
        <v>36881</v>
      </c>
      <c r="J11055" s="0" t="s">
        <v>36882</v>
      </c>
      <c r="K11055" s="0" t="s">
        <v>36883</v>
      </c>
      <c r="L11055" s="0" t="str">
        <f aca="false">HYPERLINK("https://www.ncbi.nlm.nih.gov/nuccore/CP000304.1?report=graph&amp;tracks=[key:gene_model_track,Options:GeneOnly]&amp;mk=3091690:3091709|offset_6|444444,3091659:3091678|offset_37|444444,3091635:3091654|offset_61|00cc00,3091577:3091596|offset_119|444444&amp;v=3091489:3091796&amp;c=444444", "offset 61")</f>
        <v>offset 61</v>
      </c>
    </row>
    <row r="11056" customFormat="false" ht="12.8" hidden="false" customHeight="false" outlineLevel="0" collapsed="false">
      <c r="A11056" s="0" t="s">
        <v>12</v>
      </c>
      <c r="B11056" s="0" t="n">
        <v>3091576</v>
      </c>
      <c r="C11056" s="0" t="n">
        <v>3091596</v>
      </c>
      <c r="D11056" s="0" t="s">
        <v>36874</v>
      </c>
      <c r="E11056" s="0" t="s">
        <v>89</v>
      </c>
      <c r="F11056" s="0" t="s">
        <v>90</v>
      </c>
      <c r="G11056" s="0" t="s">
        <v>16</v>
      </c>
      <c r="H11056" s="0" t="n">
        <v>119</v>
      </c>
      <c r="I11056" s="0" t="s">
        <v>36884</v>
      </c>
      <c r="J11056" s="0" t="s">
        <v>36885</v>
      </c>
      <c r="K11056" s="0" t="s">
        <v>36886</v>
      </c>
      <c r="L11056" s="0" t="str">
        <f aca="false">HYPERLINK("https://www.ncbi.nlm.nih.gov/nuccore/CP000304.1?report=graph&amp;tracks=[key:gene_model_track,Options:GeneOnly]&amp;mk=3091690:3091709|offset_6|444444,3091659:3091678|offset_37|444444,3091635:3091654|offset_61|444444,3091577:3091596|offset_119|00cc00&amp;v=3091489:3091796&amp;c=444444", "offset 119")</f>
        <v>offset 119</v>
      </c>
    </row>
    <row r="11057" customFormat="false" ht="12.8" hidden="false" customHeight="false" outlineLevel="0" collapsed="false">
      <c r="A11057" s="0" t="s">
        <v>12</v>
      </c>
      <c r="B11057" s="0" t="n">
        <v>3093057</v>
      </c>
      <c r="C11057" s="0" t="n">
        <v>3093077</v>
      </c>
      <c r="D11057" s="0" t="s">
        <v>36887</v>
      </c>
      <c r="E11057" s="0" t="s">
        <v>89</v>
      </c>
      <c r="F11057" s="0" t="s">
        <v>90</v>
      </c>
      <c r="G11057" s="0" t="s">
        <v>32</v>
      </c>
      <c r="H11057" s="0" t="n">
        <v>1</v>
      </c>
      <c r="I11057" s="0" t="s">
        <v>36888</v>
      </c>
      <c r="J11057" s="0" t="s">
        <v>36889</v>
      </c>
      <c r="K11057" s="0" t="s">
        <v>36890</v>
      </c>
      <c r="L11057" s="0" t="str">
        <f aca="false">HYPERLINK("https://www.ncbi.nlm.nih.gov/nuccore/CP000304.1?report=graph&amp;tracks=[key:gene_model_track,Options:GeneOnly]&amp;mk=3093058:3093077|offset_1|00cc00,3093033:3093052|offset_26|444444,3093013:3093032|offset_46|444444,3092986:3093005|offset_73|444444&amp;v=3092857:3093205&amp;c=444444", "offset 1")</f>
        <v>offset 1</v>
      </c>
    </row>
    <row r="11058" customFormat="false" ht="12.8" hidden="false" customHeight="false" outlineLevel="0" collapsed="false">
      <c r="A11058" s="0" t="s">
        <v>12</v>
      </c>
      <c r="B11058" s="0" t="n">
        <v>3093032</v>
      </c>
      <c r="C11058" s="0" t="n">
        <v>3093052</v>
      </c>
      <c r="D11058" s="0" t="s">
        <v>36887</v>
      </c>
      <c r="E11058" s="0" t="s">
        <v>89</v>
      </c>
      <c r="F11058" s="0" t="s">
        <v>90</v>
      </c>
      <c r="G11058" s="0" t="s">
        <v>16</v>
      </c>
      <c r="H11058" s="0" t="n">
        <v>26</v>
      </c>
      <c r="I11058" s="0" t="s">
        <v>36891</v>
      </c>
      <c r="J11058" s="0" t="s">
        <v>36892</v>
      </c>
      <c r="K11058" s="0" t="s">
        <v>36893</v>
      </c>
      <c r="L11058" s="0" t="str">
        <f aca="false">HYPERLINK("https://www.ncbi.nlm.nih.gov/nuccore/CP000304.1?report=graph&amp;tracks=[key:gene_model_track,Options:GeneOnly]&amp;mk=3093058:3093077|offset_1|444444,3093033:3093052|offset_26|00cc00,3093013:3093032|offset_46|444444,3092986:3093005|offset_73|444444&amp;v=3092857:3093205&amp;c=444444", "offset 26")</f>
        <v>offset 26</v>
      </c>
    </row>
    <row r="11059" customFormat="false" ht="12.8" hidden="false" customHeight="false" outlineLevel="0" collapsed="false">
      <c r="A11059" s="0" t="s">
        <v>12</v>
      </c>
      <c r="B11059" s="0" t="n">
        <v>3093012</v>
      </c>
      <c r="C11059" s="0" t="n">
        <v>3093032</v>
      </c>
      <c r="D11059" s="0" t="s">
        <v>36887</v>
      </c>
      <c r="E11059" s="0" t="s">
        <v>89</v>
      </c>
      <c r="F11059" s="0" t="s">
        <v>90</v>
      </c>
      <c r="G11059" s="0" t="s">
        <v>16</v>
      </c>
      <c r="H11059" s="0" t="n">
        <v>46</v>
      </c>
      <c r="I11059" s="0" t="s">
        <v>36894</v>
      </c>
      <c r="J11059" s="0" t="s">
        <v>36895</v>
      </c>
      <c r="K11059" s="0" t="s">
        <v>36896</v>
      </c>
      <c r="L11059" s="0" t="str">
        <f aca="false">HYPERLINK("https://www.ncbi.nlm.nih.gov/nuccore/CP000304.1?report=graph&amp;tracks=[key:gene_model_track,Options:GeneOnly]&amp;mk=3093058:3093077|offset_1|444444,3093033:3093052|offset_26|444444,3093013:3093032|offset_46|00cc00,3092986:3093005|offset_73|444444&amp;v=3092857:3093205&amp;c=444444", "offset 46")</f>
        <v>offset 46</v>
      </c>
    </row>
    <row r="11060" customFormat="false" ht="12.8" hidden="false" customHeight="false" outlineLevel="0" collapsed="false">
      <c r="A11060" s="0" t="s">
        <v>12</v>
      </c>
      <c r="B11060" s="0" t="n">
        <v>3092985</v>
      </c>
      <c r="C11060" s="0" t="n">
        <v>3093005</v>
      </c>
      <c r="D11060" s="0" t="s">
        <v>36887</v>
      </c>
      <c r="E11060" s="0" t="s">
        <v>89</v>
      </c>
      <c r="F11060" s="0" t="s">
        <v>90</v>
      </c>
      <c r="G11060" s="0" t="s">
        <v>32</v>
      </c>
      <c r="H11060" s="0" t="n">
        <v>73</v>
      </c>
      <c r="I11060" s="0" t="s">
        <v>36897</v>
      </c>
      <c r="J11060" s="0" t="s">
        <v>36898</v>
      </c>
      <c r="K11060" s="0" t="s">
        <v>36899</v>
      </c>
      <c r="L11060" s="0" t="str">
        <f aca="false">HYPERLINK("https://www.ncbi.nlm.nih.gov/nuccore/CP000304.1?report=graph&amp;tracks=[key:gene_model_track,Options:GeneOnly]&amp;mk=3093058:3093077|offset_1|444444,3093033:3093052|offset_26|444444,3093013:3093032|offset_46|444444,3092986:3093005|offset_73|00cc00&amp;v=3092857:3093205&amp;c=444444", "offset 73")</f>
        <v>offset 73</v>
      </c>
    </row>
    <row r="11061" customFormat="false" ht="12.8" hidden="false" customHeight="false" outlineLevel="0" collapsed="false">
      <c r="A11061" s="0" t="s">
        <v>12</v>
      </c>
      <c r="B11061" s="0" t="n">
        <v>3093287</v>
      </c>
      <c r="C11061" s="0" t="n">
        <v>3093307</v>
      </c>
      <c r="D11061" s="0" t="s">
        <v>36900</v>
      </c>
      <c r="E11061" s="0" t="s">
        <v>89</v>
      </c>
      <c r="F11061" s="0" t="s">
        <v>90</v>
      </c>
      <c r="G11061" s="0" t="s">
        <v>32</v>
      </c>
      <c r="H11061" s="0" t="n">
        <v>23</v>
      </c>
      <c r="I11061" s="0" t="s">
        <v>36901</v>
      </c>
      <c r="J11061" s="0" t="s">
        <v>36902</v>
      </c>
      <c r="K11061" s="0" t="s">
        <v>36903</v>
      </c>
      <c r="L11061" s="0" t="str">
        <f aca="false">HYPERLINK("https://www.ncbi.nlm.nih.gov/nuccore/CP000304.1?report=graph&amp;tracks=[key:gene_model_track,Options:GeneOnly]&amp;mk=3093288:3093307|offset_23|00cc00,3093237:3093256|offset_74|444444,3093217:3093236|offset_94|444444,3093192:3093211|offset_119|444444&amp;v=3093087:3093411&amp;c=444444", "offset 23")</f>
        <v>offset 23</v>
      </c>
    </row>
    <row r="11062" customFormat="false" ht="12.8" hidden="false" customHeight="false" outlineLevel="0" collapsed="false">
      <c r="A11062" s="0" t="s">
        <v>12</v>
      </c>
      <c r="B11062" s="0" t="n">
        <v>3093236</v>
      </c>
      <c r="C11062" s="0" t="n">
        <v>3093256</v>
      </c>
      <c r="D11062" s="0" t="s">
        <v>36900</v>
      </c>
      <c r="E11062" s="0" t="s">
        <v>89</v>
      </c>
      <c r="F11062" s="0" t="s">
        <v>90</v>
      </c>
      <c r="G11062" s="0" t="s">
        <v>26</v>
      </c>
      <c r="H11062" s="0" t="n">
        <v>74</v>
      </c>
      <c r="I11062" s="0" t="s">
        <v>36904</v>
      </c>
      <c r="J11062" s="0" t="s">
        <v>36905</v>
      </c>
      <c r="K11062" s="0" t="s">
        <v>36906</v>
      </c>
      <c r="L11062" s="0" t="str">
        <f aca="false">HYPERLINK("https://www.ncbi.nlm.nih.gov/nuccore/CP000304.1?report=graph&amp;tracks=[key:gene_model_track,Options:GeneOnly]&amp;mk=3093288:3093307|offset_23|444444,3093237:3093256|offset_74|00cc00,3093217:3093236|offset_94|444444,3093192:3093211|offset_119|444444&amp;v=3093087:3093411&amp;c=444444", "offset 74")</f>
        <v>offset 74</v>
      </c>
    </row>
    <row r="11063" customFormat="false" ht="12.8" hidden="false" customHeight="false" outlineLevel="0" collapsed="false">
      <c r="A11063" s="0" t="s">
        <v>12</v>
      </c>
      <c r="B11063" s="0" t="n">
        <v>3093216</v>
      </c>
      <c r="C11063" s="0" t="n">
        <v>3093236</v>
      </c>
      <c r="D11063" s="0" t="s">
        <v>36900</v>
      </c>
      <c r="E11063" s="0" t="s">
        <v>89</v>
      </c>
      <c r="F11063" s="0" t="s">
        <v>90</v>
      </c>
      <c r="G11063" s="0" t="s">
        <v>16</v>
      </c>
      <c r="H11063" s="0" t="n">
        <v>94</v>
      </c>
      <c r="I11063" s="0" t="s">
        <v>36907</v>
      </c>
      <c r="J11063" s="0" t="s">
        <v>36908</v>
      </c>
      <c r="K11063" s="0" t="s">
        <v>36909</v>
      </c>
      <c r="L11063" s="0" t="str">
        <f aca="false">HYPERLINK("https://www.ncbi.nlm.nih.gov/nuccore/CP000304.1?report=graph&amp;tracks=[key:gene_model_track,Options:GeneOnly]&amp;mk=3093288:3093307|offset_23|444444,3093237:3093256|offset_74|444444,3093217:3093236|offset_94|00cc00,3093192:3093211|offset_119|444444&amp;v=3093087:3093411&amp;c=444444", "offset 94")</f>
        <v>offset 94</v>
      </c>
    </row>
    <row r="11064" customFormat="false" ht="12.8" hidden="false" customHeight="false" outlineLevel="0" collapsed="false">
      <c r="A11064" s="0" t="s">
        <v>12</v>
      </c>
      <c r="B11064" s="0" t="n">
        <v>3093191</v>
      </c>
      <c r="C11064" s="0" t="n">
        <v>3093211</v>
      </c>
      <c r="D11064" s="0" t="s">
        <v>36900</v>
      </c>
      <c r="E11064" s="0" t="s">
        <v>89</v>
      </c>
      <c r="F11064" s="0" t="s">
        <v>90</v>
      </c>
      <c r="G11064" s="0" t="s">
        <v>32</v>
      </c>
      <c r="H11064" s="0" t="n">
        <v>119</v>
      </c>
      <c r="I11064" s="0" t="s">
        <v>36910</v>
      </c>
      <c r="J11064" s="0" t="s">
        <v>36911</v>
      </c>
      <c r="K11064" s="0" t="s">
        <v>36912</v>
      </c>
      <c r="L11064" s="0" t="str">
        <f aca="false">HYPERLINK("https://www.ncbi.nlm.nih.gov/nuccore/CP000304.1?report=graph&amp;tracks=[key:gene_model_track,Options:GeneOnly]&amp;mk=3093288:3093307|offset_23|444444,3093237:3093256|offset_74|444444,3093217:3093236|offset_94|444444,3093192:3093211|offset_119|00cc00&amp;v=3093087:3093411&amp;c=444444", "offset 119")</f>
        <v>offset 119</v>
      </c>
    </row>
    <row r="11065" customFormat="false" ht="12.8" hidden="false" customHeight="false" outlineLevel="0" collapsed="false">
      <c r="A11065" s="0" t="s">
        <v>12</v>
      </c>
      <c r="B11065" s="0" t="n">
        <v>3095192</v>
      </c>
      <c r="C11065" s="0" t="n">
        <v>3095212</v>
      </c>
      <c r="D11065" s="0" t="s">
        <v>36913</v>
      </c>
      <c r="E11065" s="0" t="s">
        <v>89</v>
      </c>
      <c r="F11065" s="0" t="s">
        <v>90</v>
      </c>
      <c r="G11065" s="0" t="s">
        <v>26</v>
      </c>
      <c r="H11065" s="0" t="n">
        <v>16</v>
      </c>
      <c r="I11065" s="0" t="s">
        <v>36914</v>
      </c>
      <c r="J11065" s="0" t="s">
        <v>36915</v>
      </c>
      <c r="K11065" s="0" t="s">
        <v>36916</v>
      </c>
      <c r="L11065" s="0" t="str">
        <f aca="false">HYPERLINK("https://www.ncbi.nlm.nih.gov/nuccore/CP000304.1?report=graph&amp;tracks=[key:gene_model_track,Options:GeneOnly]&amp;mk=3095193:3095212|offset_16|00cc00,3095148:3095167|offset_61|444444,3095109:3095128|offset_100|444444,3095070:3095089|offset_139|444444&amp;v=3094992:3095289&amp;c=444444", "offset 16")</f>
        <v>offset 16</v>
      </c>
    </row>
    <row r="11066" customFormat="false" ht="12.8" hidden="false" customHeight="false" outlineLevel="0" collapsed="false">
      <c r="A11066" s="0" t="s">
        <v>12</v>
      </c>
      <c r="B11066" s="0" t="n">
        <v>3095147</v>
      </c>
      <c r="C11066" s="0" t="n">
        <v>3095167</v>
      </c>
      <c r="D11066" s="0" t="s">
        <v>36913</v>
      </c>
      <c r="E11066" s="0" t="s">
        <v>89</v>
      </c>
      <c r="F11066" s="0" t="s">
        <v>90</v>
      </c>
      <c r="G11066" s="0" t="s">
        <v>32</v>
      </c>
      <c r="H11066" s="0" t="n">
        <v>61</v>
      </c>
      <c r="I11066" s="0" t="s">
        <v>36917</v>
      </c>
      <c r="J11066" s="0" t="s">
        <v>36918</v>
      </c>
      <c r="K11066" s="0" t="s">
        <v>36919</v>
      </c>
      <c r="L11066" s="0" t="str">
        <f aca="false">HYPERLINK("https://www.ncbi.nlm.nih.gov/nuccore/CP000304.1?report=graph&amp;tracks=[key:gene_model_track,Options:GeneOnly]&amp;mk=3095193:3095212|offset_16|444444,3095148:3095167|offset_61|00cc00,3095109:3095128|offset_100|444444,3095070:3095089|offset_139|444444&amp;v=3094992:3095289&amp;c=444444", "offset 61")</f>
        <v>offset 61</v>
      </c>
    </row>
    <row r="11067" customFormat="false" ht="12.8" hidden="false" customHeight="false" outlineLevel="0" collapsed="false">
      <c r="A11067" s="0" t="s">
        <v>12</v>
      </c>
      <c r="B11067" s="0" t="n">
        <v>3095108</v>
      </c>
      <c r="C11067" s="0" t="n">
        <v>3095128</v>
      </c>
      <c r="D11067" s="0" t="s">
        <v>36913</v>
      </c>
      <c r="E11067" s="0" t="s">
        <v>89</v>
      </c>
      <c r="F11067" s="0" t="s">
        <v>90</v>
      </c>
      <c r="G11067" s="0" t="s">
        <v>16</v>
      </c>
      <c r="H11067" s="0" t="n">
        <v>100</v>
      </c>
      <c r="I11067" s="0" t="s">
        <v>36920</v>
      </c>
      <c r="J11067" s="0" t="s">
        <v>36921</v>
      </c>
      <c r="K11067" s="0" t="s">
        <v>36922</v>
      </c>
      <c r="L11067" s="0" t="str">
        <f aca="false">HYPERLINK("https://www.ncbi.nlm.nih.gov/nuccore/CP000304.1?report=graph&amp;tracks=[key:gene_model_track,Options:GeneOnly]&amp;mk=3095193:3095212|offset_16|444444,3095148:3095167|offset_61|444444,3095109:3095128|offset_100|00cc00,3095070:3095089|offset_139|444444&amp;v=3094992:3095289&amp;c=444444", "offset 100")</f>
        <v>offset 100</v>
      </c>
    </row>
    <row r="11068" customFormat="false" ht="12.8" hidden="false" customHeight="false" outlineLevel="0" collapsed="false">
      <c r="A11068" s="0" t="s">
        <v>12</v>
      </c>
      <c r="B11068" s="0" t="n">
        <v>3095069</v>
      </c>
      <c r="C11068" s="0" t="n">
        <v>3095089</v>
      </c>
      <c r="D11068" s="0" t="s">
        <v>36913</v>
      </c>
      <c r="E11068" s="0" t="s">
        <v>89</v>
      </c>
      <c r="F11068" s="0" t="s">
        <v>90</v>
      </c>
      <c r="G11068" s="0" t="s">
        <v>16</v>
      </c>
      <c r="H11068" s="0" t="n">
        <v>139</v>
      </c>
      <c r="I11068" s="0" t="s">
        <v>36923</v>
      </c>
      <c r="J11068" s="0" t="s">
        <v>36924</v>
      </c>
      <c r="K11068" s="0" t="s">
        <v>36925</v>
      </c>
      <c r="L11068" s="0" t="str">
        <f aca="false">HYPERLINK("https://www.ncbi.nlm.nih.gov/nuccore/CP000304.1?report=graph&amp;tracks=[key:gene_model_track,Options:GeneOnly]&amp;mk=3095193:3095212|offset_16|444444,3095148:3095167|offset_61|444444,3095109:3095128|offset_100|444444,3095070:3095089|offset_139|00cc00&amp;v=3094992:3095289&amp;c=444444", "offset 139")</f>
        <v>offset 139</v>
      </c>
    </row>
    <row r="11069" customFormat="false" ht="12.8" hidden="false" customHeight="false" outlineLevel="0" collapsed="false">
      <c r="A11069" s="0" t="s">
        <v>12</v>
      </c>
      <c r="B11069" s="0" t="n">
        <v>3096514</v>
      </c>
      <c r="C11069" s="0" t="n">
        <v>3096534</v>
      </c>
      <c r="D11069" s="0" t="s">
        <v>36926</v>
      </c>
      <c r="E11069" s="0" t="s">
        <v>36927</v>
      </c>
      <c r="F11069" s="0" t="s">
        <v>90</v>
      </c>
      <c r="G11069" s="0" t="s">
        <v>32</v>
      </c>
      <c r="H11069" s="0" t="n">
        <v>10</v>
      </c>
      <c r="I11069" s="0" t="s">
        <v>36928</v>
      </c>
      <c r="J11069" s="0" t="s">
        <v>36929</v>
      </c>
      <c r="K11069" s="0" t="s">
        <v>36930</v>
      </c>
      <c r="L11069" s="0" t="str">
        <f aca="false">HYPERLINK("https://www.ncbi.nlm.nih.gov/nuccore/CP000304.1?report=graph&amp;tracks=[key:gene_model_track,Options:GeneOnly]&amp;mk=3096515:3096534|offset_10|00cc00,3096482:3096501|offset_43|444444,3096455:3096474|offset_70|444444,3096418:3096437|offset_107|444444&amp;v=3096314:3096637&amp;c=444444", "offset 10")</f>
        <v>offset 10</v>
      </c>
    </row>
    <row r="11070" customFormat="false" ht="12.8" hidden="false" customHeight="false" outlineLevel="0" collapsed="false">
      <c r="A11070" s="0" t="s">
        <v>12</v>
      </c>
      <c r="B11070" s="0" t="n">
        <v>3096481</v>
      </c>
      <c r="C11070" s="0" t="n">
        <v>3096501</v>
      </c>
      <c r="D11070" s="0" t="s">
        <v>36926</v>
      </c>
      <c r="E11070" s="0" t="s">
        <v>36927</v>
      </c>
      <c r="F11070" s="0" t="s">
        <v>90</v>
      </c>
      <c r="G11070" s="0" t="s">
        <v>16</v>
      </c>
      <c r="H11070" s="0" t="n">
        <v>43</v>
      </c>
      <c r="I11070" s="0" t="s">
        <v>36931</v>
      </c>
      <c r="J11070" s="0" t="s">
        <v>36932</v>
      </c>
      <c r="K11070" s="0" t="s">
        <v>36933</v>
      </c>
      <c r="L11070" s="0" t="str">
        <f aca="false">HYPERLINK("https://www.ncbi.nlm.nih.gov/nuccore/CP000304.1?report=graph&amp;tracks=[key:gene_model_track,Options:GeneOnly]&amp;mk=3096515:3096534|offset_10|444444,3096482:3096501|offset_43|00cc00,3096455:3096474|offset_70|444444,3096418:3096437|offset_107|444444&amp;v=3096314:3096637&amp;c=444444", "offset 43")</f>
        <v>offset 43</v>
      </c>
    </row>
    <row r="11071" customFormat="false" ht="12.8" hidden="false" customHeight="false" outlineLevel="0" collapsed="false">
      <c r="A11071" s="0" t="s">
        <v>12</v>
      </c>
      <c r="B11071" s="0" t="n">
        <v>3096454</v>
      </c>
      <c r="C11071" s="0" t="n">
        <v>3096474</v>
      </c>
      <c r="D11071" s="0" t="s">
        <v>36926</v>
      </c>
      <c r="E11071" s="0" t="s">
        <v>36927</v>
      </c>
      <c r="F11071" s="0" t="s">
        <v>90</v>
      </c>
      <c r="G11071" s="0" t="s">
        <v>16</v>
      </c>
      <c r="H11071" s="0" t="n">
        <v>70</v>
      </c>
      <c r="I11071" s="0" t="s">
        <v>36934</v>
      </c>
      <c r="J11071" s="0" t="s">
        <v>36935</v>
      </c>
      <c r="K11071" s="0" t="s">
        <v>36936</v>
      </c>
      <c r="L11071" s="0" t="str">
        <f aca="false">HYPERLINK("https://www.ncbi.nlm.nih.gov/nuccore/CP000304.1?report=graph&amp;tracks=[key:gene_model_track,Options:GeneOnly]&amp;mk=3096515:3096534|offset_10|444444,3096482:3096501|offset_43|444444,3096455:3096474|offset_70|00cc00,3096418:3096437|offset_107|444444&amp;v=3096314:3096637&amp;c=444444", "offset 70")</f>
        <v>offset 70</v>
      </c>
    </row>
    <row r="11072" customFormat="false" ht="12.8" hidden="false" customHeight="false" outlineLevel="0" collapsed="false">
      <c r="A11072" s="0" t="s">
        <v>12</v>
      </c>
      <c r="B11072" s="0" t="n">
        <v>3096417</v>
      </c>
      <c r="C11072" s="0" t="n">
        <v>3096437</v>
      </c>
      <c r="D11072" s="0" t="s">
        <v>36926</v>
      </c>
      <c r="E11072" s="0" t="s">
        <v>36927</v>
      </c>
      <c r="F11072" s="0" t="s">
        <v>90</v>
      </c>
      <c r="G11072" s="0" t="s">
        <v>26</v>
      </c>
      <c r="H11072" s="0" t="n">
        <v>107</v>
      </c>
      <c r="I11072" s="0" t="s">
        <v>36937</v>
      </c>
      <c r="J11072" s="0" t="s">
        <v>36938</v>
      </c>
      <c r="K11072" s="0" t="s">
        <v>36939</v>
      </c>
      <c r="L11072" s="0" t="str">
        <f aca="false">HYPERLINK("https://www.ncbi.nlm.nih.gov/nuccore/CP000304.1?report=graph&amp;tracks=[key:gene_model_track,Options:GeneOnly]&amp;mk=3096515:3096534|offset_10|444444,3096482:3096501|offset_43|444444,3096455:3096474|offset_70|444444,3096418:3096437|offset_107|00cc00&amp;v=3096314:3096637&amp;c=444444", "offset 107")</f>
        <v>offset 107</v>
      </c>
    </row>
    <row r="11073" customFormat="false" ht="12.8" hidden="false" customHeight="false" outlineLevel="0" collapsed="false">
      <c r="A11073" s="0" t="s">
        <v>12</v>
      </c>
      <c r="B11073" s="0" t="n">
        <v>3097845</v>
      </c>
      <c r="C11073" s="0" t="n">
        <v>3097865</v>
      </c>
      <c r="D11073" s="0" t="s">
        <v>36940</v>
      </c>
      <c r="E11073" s="0" t="s">
        <v>89</v>
      </c>
      <c r="F11073" s="0" t="s">
        <v>90</v>
      </c>
      <c r="G11073" s="0" t="s">
        <v>16</v>
      </c>
      <c r="H11073" s="0" t="n">
        <v>31</v>
      </c>
      <c r="I11073" s="0" t="s">
        <v>36941</v>
      </c>
      <c r="J11073" s="0" t="s">
        <v>36942</v>
      </c>
      <c r="K11073" s="0" t="s">
        <v>36943</v>
      </c>
      <c r="L11073" s="0" t="str">
        <f aca="false">HYPERLINK("https://www.ncbi.nlm.nih.gov/nuccore/CP000304.1?report=graph&amp;tracks=[key:gene_model_track,Options:GeneOnly]&amp;mk=3097846:3097865|offset_31|00cc00,3097804:3097823|offset_73|444444,3097774:3097793|offset_103|444444,3097730:3097749|offset_147|444444&amp;v=3097645:3097949&amp;c=444444", "offset 31")</f>
        <v>offset 31</v>
      </c>
    </row>
    <row r="11074" customFormat="false" ht="12.8" hidden="false" customHeight="false" outlineLevel="0" collapsed="false">
      <c r="A11074" s="0" t="s">
        <v>12</v>
      </c>
      <c r="B11074" s="0" t="n">
        <v>3097803</v>
      </c>
      <c r="C11074" s="0" t="n">
        <v>3097823</v>
      </c>
      <c r="D11074" s="0" t="s">
        <v>36940</v>
      </c>
      <c r="E11074" s="0" t="s">
        <v>89</v>
      </c>
      <c r="F11074" s="0" t="s">
        <v>90</v>
      </c>
      <c r="G11074" s="0" t="s">
        <v>16</v>
      </c>
      <c r="H11074" s="0" t="n">
        <v>73</v>
      </c>
      <c r="I11074" s="0" t="s">
        <v>36944</v>
      </c>
      <c r="J11074" s="0" t="s">
        <v>36945</v>
      </c>
      <c r="K11074" s="0" t="s">
        <v>36946</v>
      </c>
      <c r="L11074" s="0" t="str">
        <f aca="false">HYPERLINK("https://www.ncbi.nlm.nih.gov/nuccore/CP000304.1?report=graph&amp;tracks=[key:gene_model_track,Options:GeneOnly]&amp;mk=3097846:3097865|offset_31|444444,3097804:3097823|offset_73|00cc00,3097774:3097793|offset_103|444444,3097730:3097749|offset_147|444444&amp;v=3097645:3097949&amp;c=444444", "offset 73")</f>
        <v>offset 73</v>
      </c>
    </row>
    <row r="11075" customFormat="false" ht="12.8" hidden="false" customHeight="false" outlineLevel="0" collapsed="false">
      <c r="A11075" s="0" t="s">
        <v>12</v>
      </c>
      <c r="B11075" s="0" t="n">
        <v>3097773</v>
      </c>
      <c r="C11075" s="0" t="n">
        <v>3097793</v>
      </c>
      <c r="D11075" s="0" t="s">
        <v>36940</v>
      </c>
      <c r="E11075" s="0" t="s">
        <v>89</v>
      </c>
      <c r="F11075" s="0" t="s">
        <v>90</v>
      </c>
      <c r="G11075" s="0" t="s">
        <v>26</v>
      </c>
      <c r="H11075" s="0" t="n">
        <v>103</v>
      </c>
      <c r="I11075" s="0" t="s">
        <v>36947</v>
      </c>
      <c r="J11075" s="0" t="s">
        <v>36948</v>
      </c>
      <c r="K11075" s="0" t="s">
        <v>36949</v>
      </c>
      <c r="L11075" s="0" t="str">
        <f aca="false">HYPERLINK("https://www.ncbi.nlm.nih.gov/nuccore/CP000304.1?report=graph&amp;tracks=[key:gene_model_track,Options:GeneOnly]&amp;mk=3097846:3097865|offset_31|444444,3097804:3097823|offset_73|444444,3097774:3097793|offset_103|00cc00,3097730:3097749|offset_147|444444&amp;v=3097645:3097949&amp;c=444444", "offset 103")</f>
        <v>offset 103</v>
      </c>
    </row>
    <row r="11076" customFormat="false" ht="12.8" hidden="false" customHeight="false" outlineLevel="0" collapsed="false">
      <c r="A11076" s="0" t="s">
        <v>12</v>
      </c>
      <c r="B11076" s="0" t="n">
        <v>3097729</v>
      </c>
      <c r="C11076" s="0" t="n">
        <v>3097749</v>
      </c>
      <c r="D11076" s="0" t="s">
        <v>36940</v>
      </c>
      <c r="E11076" s="0" t="s">
        <v>89</v>
      </c>
      <c r="F11076" s="0" t="s">
        <v>90</v>
      </c>
      <c r="G11076" s="0" t="s">
        <v>16</v>
      </c>
      <c r="H11076" s="0" t="n">
        <v>147</v>
      </c>
      <c r="I11076" s="0" t="s">
        <v>36950</v>
      </c>
      <c r="J11076" s="0" t="s">
        <v>36951</v>
      </c>
      <c r="K11076" s="0" t="s">
        <v>36952</v>
      </c>
      <c r="L11076" s="0" t="str">
        <f aca="false">HYPERLINK("https://www.ncbi.nlm.nih.gov/nuccore/CP000304.1?report=graph&amp;tracks=[key:gene_model_track,Options:GeneOnly]&amp;mk=3097846:3097865|offset_31|444444,3097804:3097823|offset_73|444444,3097774:3097793|offset_103|444444,3097730:3097749|offset_147|00cc00&amp;v=3097645:3097949&amp;c=444444", "offset 147")</f>
        <v>offset 147</v>
      </c>
    </row>
    <row r="11077" customFormat="false" ht="12.8" hidden="false" customHeight="false" outlineLevel="0" collapsed="false">
      <c r="A11077" s="0" t="s">
        <v>12</v>
      </c>
      <c r="B11077" s="0" t="n">
        <v>3098959</v>
      </c>
      <c r="C11077" s="0" t="n">
        <v>3098979</v>
      </c>
      <c r="D11077" s="0" t="s">
        <v>36953</v>
      </c>
      <c r="E11077" s="0" t="s">
        <v>89</v>
      </c>
      <c r="F11077" s="0" t="s">
        <v>90</v>
      </c>
      <c r="G11077" s="0" t="s">
        <v>26</v>
      </c>
      <c r="H11077" s="0" t="n">
        <v>17</v>
      </c>
      <c r="I11077" s="0" t="s">
        <v>36954</v>
      </c>
      <c r="J11077" s="0" t="s">
        <v>36955</v>
      </c>
      <c r="K11077" s="0" t="s">
        <v>36956</v>
      </c>
      <c r="L11077" s="0" t="str">
        <f aca="false">HYPERLINK("https://www.ncbi.nlm.nih.gov/nuccore/CP000304.1?report=graph&amp;tracks=[key:gene_model_track,Options:GeneOnly]&amp;mk=3098960:3098979|offset_17|00cc00,3098929:3098948|offset_48|444444,3098874:3098893|offset_103|444444,3098850:3098869|offset_127|444444&amp;v=3098759:3099069&amp;c=444444", "offset 17")</f>
        <v>offset 17</v>
      </c>
    </row>
    <row r="11078" customFormat="false" ht="12.8" hidden="false" customHeight="false" outlineLevel="0" collapsed="false">
      <c r="A11078" s="0" t="s">
        <v>12</v>
      </c>
      <c r="B11078" s="0" t="n">
        <v>3098928</v>
      </c>
      <c r="C11078" s="0" t="n">
        <v>3098948</v>
      </c>
      <c r="D11078" s="0" t="s">
        <v>36953</v>
      </c>
      <c r="E11078" s="0" t="s">
        <v>89</v>
      </c>
      <c r="F11078" s="0" t="s">
        <v>90</v>
      </c>
      <c r="G11078" s="0" t="s">
        <v>26</v>
      </c>
      <c r="H11078" s="0" t="n">
        <v>48</v>
      </c>
      <c r="I11078" s="0" t="s">
        <v>36957</v>
      </c>
      <c r="J11078" s="0" t="s">
        <v>36958</v>
      </c>
      <c r="K11078" s="0" t="s">
        <v>36959</v>
      </c>
      <c r="L11078" s="0" t="str">
        <f aca="false">HYPERLINK("https://www.ncbi.nlm.nih.gov/nuccore/CP000304.1?report=graph&amp;tracks=[key:gene_model_track,Options:GeneOnly]&amp;mk=3098960:3098979|offset_17|444444,3098929:3098948|offset_48|00cc00,3098874:3098893|offset_103|444444,3098850:3098869|offset_127|444444&amp;v=3098759:3099069&amp;c=444444", "offset 48")</f>
        <v>offset 48</v>
      </c>
    </row>
    <row r="11079" customFormat="false" ht="12.8" hidden="false" customHeight="false" outlineLevel="0" collapsed="false">
      <c r="A11079" s="0" t="s">
        <v>12</v>
      </c>
      <c r="B11079" s="0" t="n">
        <v>3098873</v>
      </c>
      <c r="C11079" s="0" t="n">
        <v>3098893</v>
      </c>
      <c r="D11079" s="0" t="s">
        <v>36953</v>
      </c>
      <c r="E11079" s="0" t="s">
        <v>89</v>
      </c>
      <c r="F11079" s="0" t="s">
        <v>90</v>
      </c>
      <c r="G11079" s="0" t="s">
        <v>16</v>
      </c>
      <c r="H11079" s="0" t="n">
        <v>103</v>
      </c>
      <c r="I11079" s="0" t="s">
        <v>36960</v>
      </c>
      <c r="J11079" s="0" t="s">
        <v>36961</v>
      </c>
      <c r="K11079" s="0" t="s">
        <v>36962</v>
      </c>
      <c r="L11079" s="0" t="str">
        <f aca="false">HYPERLINK("https://www.ncbi.nlm.nih.gov/nuccore/CP000304.1?report=graph&amp;tracks=[key:gene_model_track,Options:GeneOnly]&amp;mk=3098960:3098979|offset_17|444444,3098929:3098948|offset_48|444444,3098874:3098893|offset_103|00cc00,3098850:3098869|offset_127|444444&amp;v=3098759:3099069&amp;c=444444", "offset 103")</f>
        <v>offset 103</v>
      </c>
    </row>
    <row r="11080" customFormat="false" ht="12.8" hidden="false" customHeight="false" outlineLevel="0" collapsed="false">
      <c r="A11080" s="0" t="s">
        <v>12</v>
      </c>
      <c r="B11080" s="0" t="n">
        <v>3098849</v>
      </c>
      <c r="C11080" s="0" t="n">
        <v>3098869</v>
      </c>
      <c r="D11080" s="0" t="s">
        <v>36953</v>
      </c>
      <c r="E11080" s="0" t="s">
        <v>89</v>
      </c>
      <c r="F11080" s="0" t="s">
        <v>90</v>
      </c>
      <c r="G11080" s="0" t="s">
        <v>16</v>
      </c>
      <c r="H11080" s="0" t="n">
        <v>127</v>
      </c>
      <c r="I11080" s="0" t="s">
        <v>36963</v>
      </c>
      <c r="J11080" s="0" t="s">
        <v>36964</v>
      </c>
      <c r="K11080" s="0" t="s">
        <v>36965</v>
      </c>
      <c r="L11080" s="0" t="str">
        <f aca="false">HYPERLINK("https://www.ncbi.nlm.nih.gov/nuccore/CP000304.1?report=graph&amp;tracks=[key:gene_model_track,Options:GeneOnly]&amp;mk=3098960:3098979|offset_17|444444,3098929:3098948|offset_48|444444,3098874:3098893|offset_103|444444,3098850:3098869|offset_127|00cc00&amp;v=3098759:3099069&amp;c=444444", "offset 127")</f>
        <v>offset 127</v>
      </c>
    </row>
    <row r="11081" customFormat="false" ht="12.8" hidden="false" customHeight="false" outlineLevel="0" collapsed="false">
      <c r="A11081" s="0" t="s">
        <v>12</v>
      </c>
      <c r="B11081" s="0" t="n">
        <v>3100163</v>
      </c>
      <c r="C11081" s="0" t="n">
        <v>3100183</v>
      </c>
      <c r="D11081" s="0" t="s">
        <v>36966</v>
      </c>
      <c r="E11081" s="0" t="s">
        <v>89</v>
      </c>
      <c r="F11081" s="0" t="s">
        <v>90</v>
      </c>
      <c r="G11081" s="0" t="s">
        <v>16</v>
      </c>
      <c r="H11081" s="0" t="n">
        <v>0</v>
      </c>
      <c r="I11081" s="0" t="s">
        <v>36967</v>
      </c>
      <c r="J11081" s="0" t="s">
        <v>36968</v>
      </c>
      <c r="K11081" s="0" t="s">
        <v>36969</v>
      </c>
      <c r="L11081" s="0" t="str">
        <f aca="false">HYPERLINK("https://www.ncbi.nlm.nih.gov/nuccore/CP000304.1?report=graph&amp;tracks=[key:gene_model_track,Options:GeneOnly]&amp;mk=3100164:3100183|offset_0|00cc00,3100136:3100155|offset_28|444444,3100109:3100128|offset_55|444444,3100085:3100104|offset_79|444444&amp;v=3099963:3100304&amp;c=444444", "offset 0")</f>
        <v>offset 0</v>
      </c>
    </row>
    <row r="11082" customFormat="false" ht="12.8" hidden="false" customHeight="false" outlineLevel="0" collapsed="false">
      <c r="A11082" s="0" t="s">
        <v>12</v>
      </c>
      <c r="B11082" s="0" t="n">
        <v>3100135</v>
      </c>
      <c r="C11082" s="0" t="n">
        <v>3100155</v>
      </c>
      <c r="D11082" s="0" t="s">
        <v>36966</v>
      </c>
      <c r="E11082" s="0" t="s">
        <v>89</v>
      </c>
      <c r="F11082" s="0" t="s">
        <v>90</v>
      </c>
      <c r="G11082" s="0" t="s">
        <v>26</v>
      </c>
      <c r="H11082" s="0" t="n">
        <v>28</v>
      </c>
      <c r="I11082" s="0" t="s">
        <v>36970</v>
      </c>
      <c r="J11082" s="0" t="s">
        <v>36971</v>
      </c>
      <c r="K11082" s="0" t="s">
        <v>36972</v>
      </c>
      <c r="L11082" s="0" t="str">
        <f aca="false">HYPERLINK("https://www.ncbi.nlm.nih.gov/nuccore/CP000304.1?report=graph&amp;tracks=[key:gene_model_track,Options:GeneOnly]&amp;mk=3100164:3100183|offset_0|444444,3100136:3100155|offset_28|00cc00,3100109:3100128|offset_55|444444,3100085:3100104|offset_79|444444&amp;v=3099963:3100304&amp;c=444444", "offset 28")</f>
        <v>offset 28</v>
      </c>
    </row>
    <row r="11083" customFormat="false" ht="12.8" hidden="false" customHeight="false" outlineLevel="0" collapsed="false">
      <c r="A11083" s="0" t="s">
        <v>12</v>
      </c>
      <c r="B11083" s="0" t="n">
        <v>3100108</v>
      </c>
      <c r="C11083" s="0" t="n">
        <v>3100128</v>
      </c>
      <c r="D11083" s="0" t="s">
        <v>36966</v>
      </c>
      <c r="E11083" s="0" t="s">
        <v>89</v>
      </c>
      <c r="F11083" s="0" t="s">
        <v>90</v>
      </c>
      <c r="G11083" s="0" t="s">
        <v>16</v>
      </c>
      <c r="H11083" s="0" t="n">
        <v>55</v>
      </c>
      <c r="I11083" s="0" t="s">
        <v>36973</v>
      </c>
      <c r="J11083" s="0" t="s">
        <v>36974</v>
      </c>
      <c r="K11083" s="0" t="s">
        <v>36975</v>
      </c>
      <c r="L11083" s="0" t="str">
        <f aca="false">HYPERLINK("https://www.ncbi.nlm.nih.gov/nuccore/CP000304.1?report=graph&amp;tracks=[key:gene_model_track,Options:GeneOnly]&amp;mk=3100164:3100183|offset_0|444444,3100136:3100155|offset_28|444444,3100109:3100128|offset_55|00cc00,3100085:3100104|offset_79|444444&amp;v=3099963:3100304&amp;c=444444", "offset 55")</f>
        <v>offset 55</v>
      </c>
    </row>
    <row r="11084" customFormat="false" ht="12.8" hidden="false" customHeight="false" outlineLevel="0" collapsed="false">
      <c r="A11084" s="0" t="s">
        <v>12</v>
      </c>
      <c r="B11084" s="0" t="n">
        <v>3100084</v>
      </c>
      <c r="C11084" s="0" t="n">
        <v>3100104</v>
      </c>
      <c r="D11084" s="0" t="s">
        <v>36966</v>
      </c>
      <c r="E11084" s="0" t="s">
        <v>89</v>
      </c>
      <c r="F11084" s="0" t="s">
        <v>90</v>
      </c>
      <c r="G11084" s="0" t="s">
        <v>32</v>
      </c>
      <c r="H11084" s="0" t="n">
        <v>79</v>
      </c>
      <c r="I11084" s="0" t="s">
        <v>36976</v>
      </c>
      <c r="J11084" s="0" t="s">
        <v>36977</v>
      </c>
      <c r="K11084" s="0" t="s">
        <v>36978</v>
      </c>
      <c r="L11084" s="0" t="str">
        <f aca="false">HYPERLINK("https://www.ncbi.nlm.nih.gov/nuccore/CP000304.1?report=graph&amp;tracks=[key:gene_model_track,Options:GeneOnly]&amp;mk=3100164:3100183|offset_0|444444,3100136:3100155|offset_28|444444,3100109:3100128|offset_55|444444,3100085:3100104|offset_79|00cc00&amp;v=3099963:3100304&amp;c=444444", "offset 79")</f>
        <v>offset 79</v>
      </c>
    </row>
    <row r="11085" customFormat="false" ht="12.8" hidden="false" customHeight="false" outlineLevel="0" collapsed="false">
      <c r="A11085" s="0" t="s">
        <v>12</v>
      </c>
      <c r="B11085" s="0" t="n">
        <v>3100669</v>
      </c>
      <c r="C11085" s="0" t="n">
        <v>3100689</v>
      </c>
      <c r="D11085" s="0" t="s">
        <v>36979</v>
      </c>
      <c r="E11085" s="0" t="s">
        <v>89</v>
      </c>
      <c r="F11085" s="0" t="s">
        <v>15</v>
      </c>
      <c r="G11085" s="0" t="s">
        <v>16</v>
      </c>
      <c r="H11085" s="0" t="n">
        <v>88</v>
      </c>
      <c r="I11085" s="0" t="s">
        <v>36980</v>
      </c>
      <c r="J11085" s="0" t="s">
        <v>36981</v>
      </c>
      <c r="K11085" s="0" t="s">
        <v>36982</v>
      </c>
      <c r="L11085" s="0" t="str">
        <f aca="false">HYPERLINK("https://www.ncbi.nlm.nih.gov/nuccore/CP000304.1?report=graph&amp;tracks=[key:gene_model_track,Options:GeneOnly]&amp;mk=3100670:3100689|offset_88|00cc00,3100692:3100711|offset_110|444444,3100713:3100732|offset_131|444444,3100777:3100796|offset_195|444444&amp;v=3100469:3100996&amp;c=444444", "offset 88")</f>
        <v>offset 88</v>
      </c>
    </row>
    <row r="11086" customFormat="false" ht="12.8" hidden="false" customHeight="false" outlineLevel="0" collapsed="false">
      <c r="A11086" s="0" t="s">
        <v>12</v>
      </c>
      <c r="B11086" s="0" t="n">
        <v>3100691</v>
      </c>
      <c r="C11086" s="0" t="n">
        <v>3100711</v>
      </c>
      <c r="D11086" s="0" t="s">
        <v>36979</v>
      </c>
      <c r="E11086" s="0" t="s">
        <v>89</v>
      </c>
      <c r="F11086" s="0" t="s">
        <v>15</v>
      </c>
      <c r="G11086" s="0" t="s">
        <v>26</v>
      </c>
      <c r="H11086" s="0" t="n">
        <v>110</v>
      </c>
      <c r="I11086" s="0" t="s">
        <v>36983</v>
      </c>
      <c r="J11086" s="0" t="s">
        <v>36984</v>
      </c>
      <c r="K11086" s="0" t="s">
        <v>36985</v>
      </c>
      <c r="L11086" s="0" t="str">
        <f aca="false">HYPERLINK("https://www.ncbi.nlm.nih.gov/nuccore/CP000304.1?report=graph&amp;tracks=[key:gene_model_track,Options:GeneOnly]&amp;mk=3100670:3100689|offset_88|444444,3100692:3100711|offset_110|00cc00,3100713:3100732|offset_131|444444,3100777:3100796|offset_195|444444&amp;v=3100469:3100996&amp;c=444444", "offset 110")</f>
        <v>offset 110</v>
      </c>
    </row>
    <row r="11087" customFormat="false" ht="12.8" hidden="false" customHeight="false" outlineLevel="0" collapsed="false">
      <c r="A11087" s="0" t="s">
        <v>12</v>
      </c>
      <c r="B11087" s="0" t="n">
        <v>3100712</v>
      </c>
      <c r="C11087" s="0" t="n">
        <v>3100732</v>
      </c>
      <c r="D11087" s="0" t="s">
        <v>36979</v>
      </c>
      <c r="E11087" s="0" t="s">
        <v>89</v>
      </c>
      <c r="F11087" s="0" t="s">
        <v>15</v>
      </c>
      <c r="G11087" s="0" t="s">
        <v>26</v>
      </c>
      <c r="H11087" s="0" t="n">
        <v>131</v>
      </c>
      <c r="I11087" s="0" t="s">
        <v>36986</v>
      </c>
      <c r="J11087" s="0" t="s">
        <v>36987</v>
      </c>
      <c r="K11087" s="0" t="s">
        <v>36988</v>
      </c>
      <c r="L11087" s="0" t="str">
        <f aca="false">HYPERLINK("https://www.ncbi.nlm.nih.gov/nuccore/CP000304.1?report=graph&amp;tracks=[key:gene_model_track,Options:GeneOnly]&amp;mk=3100670:3100689|offset_88|444444,3100692:3100711|offset_110|444444,3100713:3100732|offset_131|00cc00,3100777:3100796|offset_195|444444&amp;v=3100469:3100996&amp;c=444444", "offset 131")</f>
        <v>offset 131</v>
      </c>
    </row>
    <row r="11088" customFormat="false" ht="12.8" hidden="false" customHeight="false" outlineLevel="0" collapsed="false">
      <c r="A11088" s="0" t="s">
        <v>12</v>
      </c>
      <c r="B11088" s="0" t="n">
        <v>3100776</v>
      </c>
      <c r="C11088" s="0" t="n">
        <v>3100796</v>
      </c>
      <c r="D11088" s="0" t="s">
        <v>36979</v>
      </c>
      <c r="E11088" s="0" t="s">
        <v>89</v>
      </c>
      <c r="F11088" s="0" t="s">
        <v>15</v>
      </c>
      <c r="G11088" s="0" t="s">
        <v>16</v>
      </c>
      <c r="H11088" s="0" t="n">
        <v>195</v>
      </c>
      <c r="I11088" s="0" t="s">
        <v>36989</v>
      </c>
      <c r="J11088" s="0" t="s">
        <v>36990</v>
      </c>
      <c r="K11088" s="0" t="s">
        <v>36991</v>
      </c>
      <c r="L11088" s="0" t="str">
        <f aca="false">HYPERLINK("https://www.ncbi.nlm.nih.gov/nuccore/CP000304.1?report=graph&amp;tracks=[key:gene_model_track,Options:GeneOnly]&amp;mk=3100670:3100689|offset_88|444444,3100692:3100711|offset_110|444444,3100713:3100732|offset_131|444444,3100777:3100796|offset_195|00cc00&amp;v=3100469:3100996&amp;c=444444", "offset 195")</f>
        <v>offset 195</v>
      </c>
    </row>
    <row r="11089" customFormat="false" ht="12.8" hidden="false" customHeight="false" outlineLevel="0" collapsed="false">
      <c r="A11089" s="0" t="s">
        <v>12</v>
      </c>
      <c r="B11089" s="0" t="n">
        <v>3103356</v>
      </c>
      <c r="C11089" s="0" t="n">
        <v>3103376</v>
      </c>
      <c r="D11089" s="0" t="s">
        <v>36992</v>
      </c>
      <c r="E11089" s="0" t="s">
        <v>89</v>
      </c>
      <c r="F11089" s="0" t="s">
        <v>90</v>
      </c>
      <c r="G11089" s="0" t="s">
        <v>32</v>
      </c>
      <c r="H11089" s="0" t="n">
        <v>1</v>
      </c>
      <c r="I11089" s="0" t="s">
        <v>36993</v>
      </c>
      <c r="J11089" s="0" t="s">
        <v>36994</v>
      </c>
      <c r="K11089" s="0" t="s">
        <v>36995</v>
      </c>
      <c r="L11089" s="0" t="str">
        <f aca="false">HYPERLINK("https://www.ncbi.nlm.nih.gov/nuccore/CP000304.1?report=graph&amp;tracks=[key:gene_model_track,Options:GeneOnly]&amp;mk=3103357:3103376|offset_1|00cc00,3103337:3103356|offset_21|444444,3103303:3103322|offset_55|444444,3103273:3103292|offset_85|444444&amp;v=3103156:3103492&amp;c=444444", "offset 1")</f>
        <v>offset 1</v>
      </c>
    </row>
    <row r="11090" customFormat="false" ht="12.8" hidden="false" customHeight="false" outlineLevel="0" collapsed="false">
      <c r="A11090" s="0" t="s">
        <v>12</v>
      </c>
      <c r="B11090" s="0" t="n">
        <v>3103336</v>
      </c>
      <c r="C11090" s="0" t="n">
        <v>3103356</v>
      </c>
      <c r="D11090" s="0" t="s">
        <v>36992</v>
      </c>
      <c r="E11090" s="0" t="s">
        <v>89</v>
      </c>
      <c r="F11090" s="0" t="s">
        <v>90</v>
      </c>
      <c r="G11090" s="0" t="s">
        <v>36</v>
      </c>
      <c r="H11090" s="0" t="n">
        <v>21</v>
      </c>
      <c r="I11090" s="0" t="s">
        <v>36996</v>
      </c>
      <c r="J11090" s="0" t="s">
        <v>36997</v>
      </c>
      <c r="K11090" s="0" t="s">
        <v>36998</v>
      </c>
      <c r="L11090" s="0" t="str">
        <f aca="false">HYPERLINK("https://www.ncbi.nlm.nih.gov/nuccore/CP000304.1?report=graph&amp;tracks=[key:gene_model_track,Options:GeneOnly]&amp;mk=3103357:3103376|offset_1|444444,3103337:3103356|offset_21|00cc00,3103303:3103322|offset_55|444444,3103273:3103292|offset_85|444444&amp;v=3103156:3103492&amp;c=444444", "offset 21")</f>
        <v>offset 21</v>
      </c>
    </row>
    <row r="11091" customFormat="false" ht="12.8" hidden="false" customHeight="false" outlineLevel="0" collapsed="false">
      <c r="A11091" s="0" t="s">
        <v>12</v>
      </c>
      <c r="B11091" s="0" t="n">
        <v>3103302</v>
      </c>
      <c r="C11091" s="0" t="n">
        <v>3103322</v>
      </c>
      <c r="D11091" s="0" t="s">
        <v>36992</v>
      </c>
      <c r="E11091" s="0" t="s">
        <v>89</v>
      </c>
      <c r="F11091" s="0" t="s">
        <v>90</v>
      </c>
      <c r="G11091" s="0" t="s">
        <v>16</v>
      </c>
      <c r="H11091" s="0" t="n">
        <v>55</v>
      </c>
      <c r="I11091" s="0" t="s">
        <v>36999</v>
      </c>
      <c r="J11091" s="0" t="s">
        <v>37000</v>
      </c>
      <c r="K11091" s="0" t="s">
        <v>37001</v>
      </c>
      <c r="L11091" s="0" t="str">
        <f aca="false">HYPERLINK("https://www.ncbi.nlm.nih.gov/nuccore/CP000304.1?report=graph&amp;tracks=[key:gene_model_track,Options:GeneOnly]&amp;mk=3103357:3103376|offset_1|444444,3103337:3103356|offset_21|444444,3103303:3103322|offset_55|00cc00,3103273:3103292|offset_85|444444&amp;v=3103156:3103492&amp;c=444444", "offset 55")</f>
        <v>offset 55</v>
      </c>
    </row>
    <row r="11092" customFormat="false" ht="12.8" hidden="false" customHeight="false" outlineLevel="0" collapsed="false">
      <c r="A11092" s="0" t="s">
        <v>12</v>
      </c>
      <c r="B11092" s="0" t="n">
        <v>3103272</v>
      </c>
      <c r="C11092" s="0" t="n">
        <v>3103292</v>
      </c>
      <c r="D11092" s="0" t="s">
        <v>36992</v>
      </c>
      <c r="E11092" s="0" t="s">
        <v>89</v>
      </c>
      <c r="F11092" s="0" t="s">
        <v>90</v>
      </c>
      <c r="G11092" s="0" t="s">
        <v>26</v>
      </c>
      <c r="H11092" s="0" t="n">
        <v>85</v>
      </c>
      <c r="I11092" s="0" t="s">
        <v>37002</v>
      </c>
      <c r="J11092" s="0" t="s">
        <v>37003</v>
      </c>
      <c r="K11092" s="0" t="s">
        <v>37004</v>
      </c>
      <c r="L11092" s="0" t="str">
        <f aca="false">HYPERLINK("https://www.ncbi.nlm.nih.gov/nuccore/CP000304.1?report=graph&amp;tracks=[key:gene_model_track,Options:GeneOnly]&amp;mk=3103357:3103376|offset_1|444444,3103337:3103356|offset_21|444444,3103303:3103322|offset_55|444444,3103273:3103292|offset_85|00cc00&amp;v=3103156:3103492&amp;c=444444", "offset 85")</f>
        <v>offset 85</v>
      </c>
    </row>
    <row r="11093" customFormat="false" ht="12.8" hidden="false" customHeight="false" outlineLevel="0" collapsed="false">
      <c r="A11093" s="0" t="s">
        <v>12</v>
      </c>
      <c r="B11093" s="0" t="n">
        <v>3105040</v>
      </c>
      <c r="C11093" s="0" t="n">
        <v>3105060</v>
      </c>
      <c r="D11093" s="0" t="s">
        <v>37005</v>
      </c>
      <c r="E11093" s="0" t="s">
        <v>89</v>
      </c>
      <c r="F11093" s="0" t="s">
        <v>90</v>
      </c>
      <c r="G11093" s="0" t="s">
        <v>26</v>
      </c>
      <c r="H11093" s="0" t="n">
        <v>7</v>
      </c>
      <c r="I11093" s="0" t="s">
        <v>37006</v>
      </c>
      <c r="J11093" s="0" t="s">
        <v>37007</v>
      </c>
      <c r="K11093" s="0" t="s">
        <v>37008</v>
      </c>
      <c r="L11093" s="0" t="str">
        <f aca="false">HYPERLINK("https://www.ncbi.nlm.nih.gov/nuccore/CP000304.1?report=graph&amp;tracks=[key:gene_model_track,Options:GeneOnly]&amp;mk=3105041:3105060|offset_7|00cc00,3105013:3105032|offset_35|444444,3104993:3105012|offset_55|444444,3104959:3104978|offset_89|444444&amp;v=3104840:3105178&amp;c=444444", "offset 7")</f>
        <v>offset 7</v>
      </c>
    </row>
    <row r="11094" customFormat="false" ht="12.8" hidden="false" customHeight="false" outlineLevel="0" collapsed="false">
      <c r="A11094" s="0" t="s">
        <v>12</v>
      </c>
      <c r="B11094" s="0" t="n">
        <v>3105012</v>
      </c>
      <c r="C11094" s="0" t="n">
        <v>3105032</v>
      </c>
      <c r="D11094" s="0" t="s">
        <v>37005</v>
      </c>
      <c r="E11094" s="0" t="s">
        <v>89</v>
      </c>
      <c r="F11094" s="0" t="s">
        <v>90</v>
      </c>
      <c r="G11094" s="0" t="s">
        <v>16</v>
      </c>
      <c r="H11094" s="0" t="n">
        <v>35</v>
      </c>
      <c r="I11094" s="0" t="s">
        <v>37009</v>
      </c>
      <c r="J11094" s="0" t="s">
        <v>37010</v>
      </c>
      <c r="K11094" s="0" t="s">
        <v>37011</v>
      </c>
      <c r="L11094" s="0" t="str">
        <f aca="false">HYPERLINK("https://www.ncbi.nlm.nih.gov/nuccore/CP000304.1?report=graph&amp;tracks=[key:gene_model_track,Options:GeneOnly]&amp;mk=3105041:3105060|offset_7|444444,3105013:3105032|offset_35|00cc00,3104993:3105012|offset_55|444444,3104959:3104978|offset_89|444444&amp;v=3104840:3105178&amp;c=444444", "offset 35")</f>
        <v>offset 35</v>
      </c>
    </row>
    <row r="11095" customFormat="false" ht="12.8" hidden="false" customHeight="false" outlineLevel="0" collapsed="false">
      <c r="A11095" s="0" t="s">
        <v>12</v>
      </c>
      <c r="B11095" s="0" t="n">
        <v>3104992</v>
      </c>
      <c r="C11095" s="0" t="n">
        <v>3105012</v>
      </c>
      <c r="D11095" s="0" t="s">
        <v>37005</v>
      </c>
      <c r="E11095" s="0" t="s">
        <v>89</v>
      </c>
      <c r="F11095" s="0" t="s">
        <v>90</v>
      </c>
      <c r="G11095" s="0" t="s">
        <v>36</v>
      </c>
      <c r="H11095" s="0" t="n">
        <v>55</v>
      </c>
      <c r="I11095" s="0" t="s">
        <v>37012</v>
      </c>
      <c r="J11095" s="0" t="s">
        <v>37013</v>
      </c>
      <c r="K11095" s="0" t="s">
        <v>37014</v>
      </c>
      <c r="L11095" s="0" t="str">
        <f aca="false">HYPERLINK("https://www.ncbi.nlm.nih.gov/nuccore/CP000304.1?report=graph&amp;tracks=[key:gene_model_track,Options:GeneOnly]&amp;mk=3105041:3105060|offset_7|444444,3105013:3105032|offset_35|444444,3104993:3105012|offset_55|00cc00,3104959:3104978|offset_89|444444&amp;v=3104840:3105178&amp;c=444444", "offset 55")</f>
        <v>offset 55</v>
      </c>
    </row>
    <row r="11096" customFormat="false" ht="12.8" hidden="false" customHeight="false" outlineLevel="0" collapsed="false">
      <c r="A11096" s="0" t="s">
        <v>12</v>
      </c>
      <c r="B11096" s="0" t="n">
        <v>3104958</v>
      </c>
      <c r="C11096" s="0" t="n">
        <v>3104978</v>
      </c>
      <c r="D11096" s="0" t="s">
        <v>37005</v>
      </c>
      <c r="E11096" s="0" t="s">
        <v>89</v>
      </c>
      <c r="F11096" s="0" t="s">
        <v>90</v>
      </c>
      <c r="G11096" s="0" t="s">
        <v>36</v>
      </c>
      <c r="H11096" s="0" t="n">
        <v>89</v>
      </c>
      <c r="I11096" s="0" t="s">
        <v>37015</v>
      </c>
      <c r="J11096" s="0" t="s">
        <v>37016</v>
      </c>
      <c r="K11096" s="0" t="s">
        <v>37017</v>
      </c>
      <c r="L11096" s="0" t="str">
        <f aca="false">HYPERLINK("https://www.ncbi.nlm.nih.gov/nuccore/CP000304.1?report=graph&amp;tracks=[key:gene_model_track,Options:GeneOnly]&amp;mk=3105041:3105060|offset_7|444444,3105013:3105032|offset_35|444444,3104993:3105012|offset_55|444444,3104959:3104978|offset_89|00cc00&amp;v=3104840:3105178&amp;c=444444", "offset 89")</f>
        <v>offset 89</v>
      </c>
    </row>
    <row r="11097" customFormat="false" ht="12.8" hidden="false" customHeight="false" outlineLevel="0" collapsed="false">
      <c r="A11097" s="0" t="s">
        <v>12</v>
      </c>
      <c r="B11097" s="0" t="n">
        <v>3105112</v>
      </c>
      <c r="C11097" s="0" t="n">
        <v>3105132</v>
      </c>
      <c r="D11097" s="0" t="s">
        <v>37018</v>
      </c>
      <c r="E11097" s="0" t="s">
        <v>89</v>
      </c>
      <c r="F11097" s="0" t="s">
        <v>15</v>
      </c>
      <c r="G11097" s="0" t="s">
        <v>16</v>
      </c>
      <c r="H11097" s="0" t="n">
        <v>7</v>
      </c>
      <c r="I11097" s="0" t="s">
        <v>37019</v>
      </c>
      <c r="J11097" s="0" t="s">
        <v>37020</v>
      </c>
      <c r="K11097" s="0" t="s">
        <v>37021</v>
      </c>
      <c r="L11097" s="0" t="str">
        <f aca="false">HYPERLINK("https://www.ncbi.nlm.nih.gov/nuccore/CP000304.1?report=graph&amp;tracks=[key:gene_model_track,Options:GeneOnly]&amp;mk=3105113:3105132|offset_7|00cc00,3105135:3105154|offset_29|444444,3105180:3105199|offset_74|444444,3105204:3105223|offset_98|444444&amp;v=3104912:3105423&amp;c=444444", "offset 7")</f>
        <v>offset 7</v>
      </c>
    </row>
    <row r="11098" customFormat="false" ht="12.8" hidden="false" customHeight="false" outlineLevel="0" collapsed="false">
      <c r="A11098" s="0" t="s">
        <v>12</v>
      </c>
      <c r="B11098" s="0" t="n">
        <v>3105134</v>
      </c>
      <c r="C11098" s="0" t="n">
        <v>3105154</v>
      </c>
      <c r="D11098" s="0" t="s">
        <v>37018</v>
      </c>
      <c r="E11098" s="0" t="s">
        <v>89</v>
      </c>
      <c r="F11098" s="0" t="s">
        <v>15</v>
      </c>
      <c r="G11098" s="0" t="s">
        <v>36</v>
      </c>
      <c r="H11098" s="0" t="n">
        <v>29</v>
      </c>
      <c r="I11098" s="0" t="s">
        <v>37022</v>
      </c>
      <c r="J11098" s="0" t="s">
        <v>37023</v>
      </c>
      <c r="K11098" s="0" t="s">
        <v>37024</v>
      </c>
      <c r="L11098" s="0" t="str">
        <f aca="false">HYPERLINK("https://www.ncbi.nlm.nih.gov/nuccore/CP000304.1?report=graph&amp;tracks=[key:gene_model_track,Options:GeneOnly]&amp;mk=3105113:3105132|offset_7|444444,3105135:3105154|offset_29|00cc00,3105180:3105199|offset_74|444444,3105204:3105223|offset_98|444444&amp;v=3104912:3105423&amp;c=444444", "offset 29")</f>
        <v>offset 29</v>
      </c>
    </row>
    <row r="11099" customFormat="false" ht="12.8" hidden="false" customHeight="false" outlineLevel="0" collapsed="false">
      <c r="A11099" s="0" t="s">
        <v>12</v>
      </c>
      <c r="B11099" s="0" t="n">
        <v>3105179</v>
      </c>
      <c r="C11099" s="0" t="n">
        <v>3105199</v>
      </c>
      <c r="D11099" s="0" t="s">
        <v>37018</v>
      </c>
      <c r="E11099" s="0" t="s">
        <v>89</v>
      </c>
      <c r="F11099" s="0" t="s">
        <v>15</v>
      </c>
      <c r="G11099" s="0" t="s">
        <v>26</v>
      </c>
      <c r="H11099" s="0" t="n">
        <v>74</v>
      </c>
      <c r="I11099" s="0" t="s">
        <v>37025</v>
      </c>
      <c r="J11099" s="0" t="s">
        <v>37026</v>
      </c>
      <c r="K11099" s="0" t="s">
        <v>37027</v>
      </c>
      <c r="L11099" s="0" t="str">
        <f aca="false">HYPERLINK("https://www.ncbi.nlm.nih.gov/nuccore/CP000304.1?report=graph&amp;tracks=[key:gene_model_track,Options:GeneOnly]&amp;mk=3105113:3105132|offset_7|444444,3105135:3105154|offset_29|444444,3105180:3105199|offset_74|00cc00,3105204:3105223|offset_98|444444&amp;v=3104912:3105423&amp;c=444444", "offset 74")</f>
        <v>offset 74</v>
      </c>
    </row>
    <row r="11100" customFormat="false" ht="12.8" hidden="false" customHeight="false" outlineLevel="0" collapsed="false">
      <c r="A11100" s="0" t="s">
        <v>12</v>
      </c>
      <c r="B11100" s="0" t="n">
        <v>3105203</v>
      </c>
      <c r="C11100" s="0" t="n">
        <v>3105223</v>
      </c>
      <c r="D11100" s="0" t="s">
        <v>37018</v>
      </c>
      <c r="E11100" s="0" t="s">
        <v>89</v>
      </c>
      <c r="F11100" s="0" t="s">
        <v>15</v>
      </c>
      <c r="G11100" s="0" t="s">
        <v>26</v>
      </c>
      <c r="H11100" s="0" t="n">
        <v>98</v>
      </c>
      <c r="I11100" s="0" t="s">
        <v>37028</v>
      </c>
      <c r="J11100" s="0" t="s">
        <v>37029</v>
      </c>
      <c r="K11100" s="0" t="s">
        <v>37030</v>
      </c>
      <c r="L11100" s="0" t="str">
        <f aca="false">HYPERLINK("https://www.ncbi.nlm.nih.gov/nuccore/CP000304.1?report=graph&amp;tracks=[key:gene_model_track,Options:GeneOnly]&amp;mk=3105113:3105132|offset_7|444444,3105135:3105154|offset_29|444444,3105180:3105199|offset_74|444444,3105204:3105223|offset_98|00cc00&amp;v=3104912:3105423&amp;c=444444", "offset 98")</f>
        <v>offset 98</v>
      </c>
    </row>
    <row r="11101" customFormat="false" ht="12.8" hidden="false" customHeight="false" outlineLevel="0" collapsed="false">
      <c r="A11101" s="0" t="s">
        <v>12</v>
      </c>
      <c r="B11101" s="0" t="n">
        <v>3106644</v>
      </c>
      <c r="C11101" s="0" t="n">
        <v>3106664</v>
      </c>
      <c r="D11101" s="0" t="s">
        <v>37031</v>
      </c>
      <c r="E11101" s="0" t="s">
        <v>89</v>
      </c>
      <c r="F11101" s="0" t="s">
        <v>15</v>
      </c>
      <c r="G11101" s="0" t="s">
        <v>36</v>
      </c>
      <c r="H11101" s="0" t="n">
        <v>29</v>
      </c>
      <c r="I11101" s="0" t="s">
        <v>37032</v>
      </c>
      <c r="J11101" s="0" t="s">
        <v>37033</v>
      </c>
      <c r="K11101" s="0" t="s">
        <v>37034</v>
      </c>
      <c r="L11101" s="0" t="str">
        <f aca="false">HYPERLINK("https://www.ncbi.nlm.nih.gov/nuccore/CP000304.1?report=graph&amp;tracks=[key:gene_model_track,Options:GeneOnly]&amp;mk=3106645:3106664|offset_29|00cc00,3106665:3106684|offset_49|444444,3106685:3106704|offset_69|444444,3106708:3106727|offset_92|444444&amp;v=3106444:3106927&amp;c=444444", "offset 29")</f>
        <v>offset 29</v>
      </c>
    </row>
    <row r="11102" customFormat="false" ht="12.8" hidden="false" customHeight="false" outlineLevel="0" collapsed="false">
      <c r="A11102" s="0" t="s">
        <v>12</v>
      </c>
      <c r="B11102" s="0" t="n">
        <v>3106664</v>
      </c>
      <c r="C11102" s="0" t="n">
        <v>3106684</v>
      </c>
      <c r="D11102" s="0" t="s">
        <v>37031</v>
      </c>
      <c r="E11102" s="0" t="s">
        <v>89</v>
      </c>
      <c r="F11102" s="0" t="s">
        <v>15</v>
      </c>
      <c r="G11102" s="0" t="s">
        <v>36</v>
      </c>
      <c r="H11102" s="0" t="n">
        <v>49</v>
      </c>
      <c r="I11102" s="0" t="s">
        <v>37035</v>
      </c>
      <c r="J11102" s="0" t="s">
        <v>37036</v>
      </c>
      <c r="K11102" s="0" t="s">
        <v>37037</v>
      </c>
      <c r="L11102" s="0" t="str">
        <f aca="false">HYPERLINK("https://www.ncbi.nlm.nih.gov/nuccore/CP000304.1?report=graph&amp;tracks=[key:gene_model_track,Options:GeneOnly]&amp;mk=3106645:3106664|offset_29|444444,3106665:3106684|offset_49|00cc00,3106685:3106704|offset_69|444444,3106708:3106727|offset_92|444444&amp;v=3106444:3106927&amp;c=444444", "offset 49")</f>
        <v>offset 49</v>
      </c>
    </row>
    <row r="11103" customFormat="false" ht="12.8" hidden="false" customHeight="false" outlineLevel="0" collapsed="false">
      <c r="A11103" s="0" t="s">
        <v>12</v>
      </c>
      <c r="B11103" s="0" t="n">
        <v>3106684</v>
      </c>
      <c r="C11103" s="0" t="n">
        <v>3106704</v>
      </c>
      <c r="D11103" s="0" t="s">
        <v>37031</v>
      </c>
      <c r="E11103" s="0" t="s">
        <v>89</v>
      </c>
      <c r="F11103" s="0" t="s">
        <v>15</v>
      </c>
      <c r="G11103" s="0" t="s">
        <v>36</v>
      </c>
      <c r="H11103" s="0" t="n">
        <v>69</v>
      </c>
      <c r="I11103" s="0" t="s">
        <v>37038</v>
      </c>
      <c r="J11103" s="0" t="s">
        <v>37039</v>
      </c>
      <c r="K11103" s="0" t="s">
        <v>37040</v>
      </c>
      <c r="L11103" s="0" t="str">
        <f aca="false">HYPERLINK("https://www.ncbi.nlm.nih.gov/nuccore/CP000304.1?report=graph&amp;tracks=[key:gene_model_track,Options:GeneOnly]&amp;mk=3106645:3106664|offset_29|444444,3106665:3106684|offset_49|444444,3106685:3106704|offset_69|00cc00,3106708:3106727|offset_92|444444&amp;v=3106444:3106927&amp;c=444444", "offset 69")</f>
        <v>offset 69</v>
      </c>
    </row>
    <row r="11104" customFormat="false" ht="12.8" hidden="false" customHeight="false" outlineLevel="0" collapsed="false">
      <c r="A11104" s="0" t="s">
        <v>12</v>
      </c>
      <c r="B11104" s="0" t="n">
        <v>3106707</v>
      </c>
      <c r="C11104" s="0" t="n">
        <v>3106727</v>
      </c>
      <c r="D11104" s="0" t="s">
        <v>37031</v>
      </c>
      <c r="E11104" s="0" t="s">
        <v>89</v>
      </c>
      <c r="F11104" s="0" t="s">
        <v>15</v>
      </c>
      <c r="G11104" s="0" t="s">
        <v>16</v>
      </c>
      <c r="H11104" s="0" t="n">
        <v>92</v>
      </c>
      <c r="I11104" s="0" t="s">
        <v>37041</v>
      </c>
      <c r="J11104" s="0" t="s">
        <v>37042</v>
      </c>
      <c r="K11104" s="0" t="s">
        <v>37043</v>
      </c>
      <c r="L11104" s="0" t="str">
        <f aca="false">HYPERLINK("https://www.ncbi.nlm.nih.gov/nuccore/CP000304.1?report=graph&amp;tracks=[key:gene_model_track,Options:GeneOnly]&amp;mk=3106645:3106664|offset_29|444444,3106665:3106684|offset_49|444444,3106685:3106704|offset_69|444444,3106708:3106727|offset_92|00cc00&amp;v=3106444:3106927&amp;c=444444", "offset 92")</f>
        <v>offset 92</v>
      </c>
    </row>
    <row r="11105" customFormat="false" ht="12.8" hidden="false" customHeight="false" outlineLevel="0" collapsed="false">
      <c r="A11105" s="0" t="s">
        <v>12</v>
      </c>
      <c r="B11105" s="0" t="n">
        <v>3108517</v>
      </c>
      <c r="C11105" s="0" t="n">
        <v>3108537</v>
      </c>
      <c r="D11105" s="0" t="s">
        <v>37044</v>
      </c>
      <c r="E11105" s="0" t="s">
        <v>89</v>
      </c>
      <c r="F11105" s="0" t="s">
        <v>90</v>
      </c>
      <c r="G11105" s="0" t="s">
        <v>26</v>
      </c>
      <c r="H11105" s="0" t="n">
        <v>16</v>
      </c>
      <c r="I11105" s="0" t="s">
        <v>37045</v>
      </c>
      <c r="J11105" s="0" t="s">
        <v>37046</v>
      </c>
      <c r="K11105" s="0" t="s">
        <v>37047</v>
      </c>
      <c r="L11105" s="0" t="str">
        <f aca="false">HYPERLINK("https://www.ncbi.nlm.nih.gov/nuccore/CP000304.1?report=graph&amp;tracks=[key:gene_model_track,Options:GeneOnly]&amp;mk=3108518:3108537|offset_16|00cc00,3108481:3108500|offset_53|444444,3108417:3108436|offset_117|444444,3108386:3108405|offset_148|444444&amp;v=3108317:3108605&amp;c=444444", "offset 16")</f>
        <v>offset 16</v>
      </c>
    </row>
    <row r="11106" customFormat="false" ht="12.8" hidden="false" customHeight="false" outlineLevel="0" collapsed="false">
      <c r="A11106" s="0" t="s">
        <v>12</v>
      </c>
      <c r="B11106" s="0" t="n">
        <v>3108480</v>
      </c>
      <c r="C11106" s="0" t="n">
        <v>3108500</v>
      </c>
      <c r="D11106" s="0" t="s">
        <v>37044</v>
      </c>
      <c r="E11106" s="0" t="s">
        <v>89</v>
      </c>
      <c r="F11106" s="0" t="s">
        <v>90</v>
      </c>
      <c r="G11106" s="0" t="s">
        <v>36</v>
      </c>
      <c r="H11106" s="0" t="n">
        <v>53</v>
      </c>
      <c r="I11106" s="0" t="s">
        <v>37048</v>
      </c>
      <c r="J11106" s="0" t="s">
        <v>37049</v>
      </c>
      <c r="K11106" s="0" t="s">
        <v>37050</v>
      </c>
      <c r="L11106" s="0" t="str">
        <f aca="false">HYPERLINK("https://www.ncbi.nlm.nih.gov/nuccore/CP000304.1?report=graph&amp;tracks=[key:gene_model_track,Options:GeneOnly]&amp;mk=3108518:3108537|offset_16|444444,3108481:3108500|offset_53|00cc00,3108417:3108436|offset_117|444444,3108386:3108405|offset_148|444444&amp;v=3108317:3108605&amp;c=444444", "offset 53")</f>
        <v>offset 53</v>
      </c>
    </row>
    <row r="11107" customFormat="false" ht="12.8" hidden="false" customHeight="false" outlineLevel="0" collapsed="false">
      <c r="A11107" s="0" t="s">
        <v>12</v>
      </c>
      <c r="B11107" s="0" t="n">
        <v>3108416</v>
      </c>
      <c r="C11107" s="0" t="n">
        <v>3108436</v>
      </c>
      <c r="D11107" s="0" t="s">
        <v>37044</v>
      </c>
      <c r="E11107" s="0" t="s">
        <v>89</v>
      </c>
      <c r="F11107" s="0" t="s">
        <v>90</v>
      </c>
      <c r="G11107" s="0" t="s">
        <v>16</v>
      </c>
      <c r="H11107" s="0" t="n">
        <v>117</v>
      </c>
      <c r="I11107" s="0" t="s">
        <v>37051</v>
      </c>
      <c r="J11107" s="0" t="s">
        <v>37052</v>
      </c>
      <c r="K11107" s="0" t="s">
        <v>37053</v>
      </c>
      <c r="L11107" s="0" t="str">
        <f aca="false">HYPERLINK("https://www.ncbi.nlm.nih.gov/nuccore/CP000304.1?report=graph&amp;tracks=[key:gene_model_track,Options:GeneOnly]&amp;mk=3108518:3108537|offset_16|444444,3108481:3108500|offset_53|444444,3108417:3108436|offset_117|00cc00,3108386:3108405|offset_148|444444&amp;v=3108317:3108605&amp;c=444444", "offset 117")</f>
        <v>offset 117</v>
      </c>
    </row>
    <row r="11108" customFormat="false" ht="12.8" hidden="false" customHeight="false" outlineLevel="0" collapsed="false">
      <c r="A11108" s="0" t="s">
        <v>12</v>
      </c>
      <c r="B11108" s="0" t="n">
        <v>3108385</v>
      </c>
      <c r="C11108" s="0" t="n">
        <v>3108405</v>
      </c>
      <c r="D11108" s="0" t="s">
        <v>37044</v>
      </c>
      <c r="E11108" s="0" t="s">
        <v>89</v>
      </c>
      <c r="F11108" s="0" t="s">
        <v>90</v>
      </c>
      <c r="G11108" s="0" t="s">
        <v>16</v>
      </c>
      <c r="H11108" s="0" t="n">
        <v>148</v>
      </c>
      <c r="I11108" s="0" t="s">
        <v>37054</v>
      </c>
      <c r="J11108" s="0" t="s">
        <v>37055</v>
      </c>
      <c r="K11108" s="0" t="s">
        <v>37056</v>
      </c>
      <c r="L11108" s="0" t="str">
        <f aca="false">HYPERLINK("https://www.ncbi.nlm.nih.gov/nuccore/CP000304.1?report=graph&amp;tracks=[key:gene_model_track,Options:GeneOnly]&amp;mk=3108518:3108537|offset_16|444444,3108481:3108500|offset_53|444444,3108417:3108436|offset_117|444444,3108386:3108405|offset_148|00cc00&amp;v=3108317:3108605&amp;c=444444", "offset 148")</f>
        <v>offset 148</v>
      </c>
    </row>
    <row r="11109" customFormat="false" ht="12.8" hidden="false" customHeight="false" outlineLevel="0" collapsed="false">
      <c r="A11109" s="0" t="s">
        <v>12</v>
      </c>
      <c r="B11109" s="0" t="n">
        <v>3110327</v>
      </c>
      <c r="C11109" s="0" t="n">
        <v>3110347</v>
      </c>
      <c r="D11109" s="0" t="s">
        <v>37057</v>
      </c>
      <c r="E11109" s="0" t="s">
        <v>89</v>
      </c>
      <c r="F11109" s="0" t="s">
        <v>90</v>
      </c>
      <c r="G11109" s="0" t="s">
        <v>32</v>
      </c>
      <c r="H11109" s="0" t="n">
        <v>8</v>
      </c>
      <c r="I11109" s="0" t="s">
        <v>37058</v>
      </c>
      <c r="J11109" s="0" t="s">
        <v>37059</v>
      </c>
      <c r="K11109" s="0" t="s">
        <v>37060</v>
      </c>
      <c r="L11109" s="0" t="str">
        <f aca="false">HYPERLINK("https://www.ncbi.nlm.nih.gov/nuccore/CP000304.1?report=graph&amp;tracks=[key:gene_model_track,Options:GeneOnly]&amp;mk=3110328:3110347|offset_8|00cc00,3110299:3110318|offset_37|444444,3110273:3110292|offset_63|444444,3110237:3110256|offset_99|444444&amp;v=3110127:3110456&amp;c=444444", "offset 8")</f>
        <v>offset 8</v>
      </c>
    </row>
    <row r="11110" customFormat="false" ht="12.8" hidden="false" customHeight="false" outlineLevel="0" collapsed="false">
      <c r="A11110" s="0" t="s">
        <v>12</v>
      </c>
      <c r="B11110" s="0" t="n">
        <v>3110298</v>
      </c>
      <c r="C11110" s="0" t="n">
        <v>3110318</v>
      </c>
      <c r="D11110" s="0" t="s">
        <v>37057</v>
      </c>
      <c r="E11110" s="0" t="s">
        <v>89</v>
      </c>
      <c r="F11110" s="0" t="s">
        <v>90</v>
      </c>
      <c r="G11110" s="0" t="s">
        <v>16</v>
      </c>
      <c r="H11110" s="0" t="n">
        <v>37</v>
      </c>
      <c r="I11110" s="0" t="s">
        <v>37061</v>
      </c>
      <c r="J11110" s="0" t="s">
        <v>37062</v>
      </c>
      <c r="K11110" s="0" t="s">
        <v>37063</v>
      </c>
      <c r="L11110" s="0" t="str">
        <f aca="false">HYPERLINK("https://www.ncbi.nlm.nih.gov/nuccore/CP000304.1?report=graph&amp;tracks=[key:gene_model_track,Options:GeneOnly]&amp;mk=3110328:3110347|offset_8|444444,3110299:3110318|offset_37|00cc00,3110273:3110292|offset_63|444444,3110237:3110256|offset_99|444444&amp;v=3110127:3110456&amp;c=444444", "offset 37")</f>
        <v>offset 37</v>
      </c>
    </row>
    <row r="11111" customFormat="false" ht="12.8" hidden="false" customHeight="false" outlineLevel="0" collapsed="false">
      <c r="A11111" s="0" t="s">
        <v>12</v>
      </c>
      <c r="B11111" s="0" t="n">
        <v>3110272</v>
      </c>
      <c r="C11111" s="0" t="n">
        <v>3110292</v>
      </c>
      <c r="D11111" s="0" t="s">
        <v>37057</v>
      </c>
      <c r="E11111" s="0" t="s">
        <v>89</v>
      </c>
      <c r="F11111" s="0" t="s">
        <v>90</v>
      </c>
      <c r="G11111" s="0" t="s">
        <v>16</v>
      </c>
      <c r="H11111" s="0" t="n">
        <v>63</v>
      </c>
      <c r="I11111" s="0" t="s">
        <v>37064</v>
      </c>
      <c r="J11111" s="0" t="s">
        <v>37065</v>
      </c>
      <c r="K11111" s="0" t="s">
        <v>37066</v>
      </c>
      <c r="L11111" s="0" t="str">
        <f aca="false">HYPERLINK("https://www.ncbi.nlm.nih.gov/nuccore/CP000304.1?report=graph&amp;tracks=[key:gene_model_track,Options:GeneOnly]&amp;mk=3110328:3110347|offset_8|444444,3110299:3110318|offset_37|444444,3110273:3110292|offset_63|00cc00,3110237:3110256|offset_99|444444&amp;v=3110127:3110456&amp;c=444444", "offset 63")</f>
        <v>offset 63</v>
      </c>
    </row>
    <row r="11112" customFormat="false" ht="12.8" hidden="false" customHeight="false" outlineLevel="0" collapsed="false">
      <c r="A11112" s="0" t="s">
        <v>12</v>
      </c>
      <c r="B11112" s="0" t="n">
        <v>3110236</v>
      </c>
      <c r="C11112" s="0" t="n">
        <v>3110256</v>
      </c>
      <c r="D11112" s="0" t="s">
        <v>37057</v>
      </c>
      <c r="E11112" s="0" t="s">
        <v>89</v>
      </c>
      <c r="F11112" s="0" t="s">
        <v>90</v>
      </c>
      <c r="G11112" s="0" t="s">
        <v>36</v>
      </c>
      <c r="H11112" s="0" t="n">
        <v>99</v>
      </c>
      <c r="I11112" s="0" t="s">
        <v>37067</v>
      </c>
      <c r="J11112" s="0" t="s">
        <v>37068</v>
      </c>
      <c r="K11112" s="0" t="s">
        <v>37069</v>
      </c>
      <c r="L11112" s="0" t="str">
        <f aca="false">HYPERLINK("https://www.ncbi.nlm.nih.gov/nuccore/CP000304.1?report=graph&amp;tracks=[key:gene_model_track,Options:GeneOnly]&amp;mk=3110328:3110347|offset_8|444444,3110299:3110318|offset_37|444444,3110273:3110292|offset_63|444444,3110237:3110256|offset_99|00cc00&amp;v=3110127:3110456&amp;c=444444", "offset 99")</f>
        <v>offset 99</v>
      </c>
    </row>
    <row r="11113" customFormat="false" ht="12.8" hidden="false" customHeight="false" outlineLevel="0" collapsed="false">
      <c r="A11113" s="0" t="s">
        <v>12</v>
      </c>
      <c r="B11113" s="0" t="n">
        <v>3111478</v>
      </c>
      <c r="C11113" s="0" t="n">
        <v>3111498</v>
      </c>
      <c r="D11113" s="0" t="s">
        <v>37070</v>
      </c>
      <c r="E11113" s="0" t="s">
        <v>89</v>
      </c>
      <c r="F11113" s="0" t="s">
        <v>90</v>
      </c>
      <c r="G11113" s="0" t="s">
        <v>32</v>
      </c>
      <c r="H11113" s="0" t="n">
        <v>8</v>
      </c>
      <c r="I11113" s="0" t="s">
        <v>37071</v>
      </c>
      <c r="J11113" s="0" t="s">
        <v>37072</v>
      </c>
      <c r="K11113" s="0" t="s">
        <v>37073</v>
      </c>
      <c r="L11113" s="0" t="str">
        <f aca="false">HYPERLINK("https://www.ncbi.nlm.nih.gov/nuccore/CP000304.1?report=graph&amp;tracks=[key:gene_model_track,Options:GeneOnly]&amp;mk=3111479:3111498|offset_8|00cc00,3111428:3111447|offset_59|444444,3111398:3111417|offset_89|444444,3111374:3111393|offset_113|444444&amp;v=3111278:3111593&amp;c=444444", "offset 8")</f>
        <v>offset 8</v>
      </c>
    </row>
    <row r="11114" customFormat="false" ht="12.8" hidden="false" customHeight="false" outlineLevel="0" collapsed="false">
      <c r="A11114" s="0" t="s">
        <v>12</v>
      </c>
      <c r="B11114" s="0" t="n">
        <v>3111427</v>
      </c>
      <c r="C11114" s="0" t="n">
        <v>3111447</v>
      </c>
      <c r="D11114" s="0" t="s">
        <v>37070</v>
      </c>
      <c r="E11114" s="0" t="s">
        <v>89</v>
      </c>
      <c r="F11114" s="0" t="s">
        <v>90</v>
      </c>
      <c r="G11114" s="0" t="s">
        <v>32</v>
      </c>
      <c r="H11114" s="0" t="n">
        <v>59</v>
      </c>
      <c r="I11114" s="0" t="s">
        <v>37074</v>
      </c>
      <c r="J11114" s="0" t="s">
        <v>37075</v>
      </c>
      <c r="K11114" s="0" t="s">
        <v>37076</v>
      </c>
      <c r="L11114" s="0" t="str">
        <f aca="false">HYPERLINK("https://www.ncbi.nlm.nih.gov/nuccore/CP000304.1?report=graph&amp;tracks=[key:gene_model_track,Options:GeneOnly]&amp;mk=3111479:3111498|offset_8|444444,3111428:3111447|offset_59|00cc00,3111398:3111417|offset_89|444444,3111374:3111393|offset_113|444444&amp;v=3111278:3111593&amp;c=444444", "offset 59")</f>
        <v>offset 59</v>
      </c>
    </row>
    <row r="11115" customFormat="false" ht="12.8" hidden="false" customHeight="false" outlineLevel="0" collapsed="false">
      <c r="A11115" s="0" t="s">
        <v>12</v>
      </c>
      <c r="B11115" s="0" t="n">
        <v>3111397</v>
      </c>
      <c r="C11115" s="0" t="n">
        <v>3111417</v>
      </c>
      <c r="D11115" s="0" t="s">
        <v>37070</v>
      </c>
      <c r="E11115" s="0" t="s">
        <v>89</v>
      </c>
      <c r="F11115" s="0" t="s">
        <v>90</v>
      </c>
      <c r="G11115" s="0" t="s">
        <v>26</v>
      </c>
      <c r="H11115" s="0" t="n">
        <v>89</v>
      </c>
      <c r="I11115" s="0" t="s">
        <v>37077</v>
      </c>
      <c r="J11115" s="0" t="s">
        <v>37078</v>
      </c>
      <c r="K11115" s="0" t="s">
        <v>37079</v>
      </c>
      <c r="L11115" s="0" t="str">
        <f aca="false">HYPERLINK("https://www.ncbi.nlm.nih.gov/nuccore/CP000304.1?report=graph&amp;tracks=[key:gene_model_track,Options:GeneOnly]&amp;mk=3111479:3111498|offset_8|444444,3111428:3111447|offset_59|444444,3111398:3111417|offset_89|00cc00,3111374:3111393|offset_113|444444&amp;v=3111278:3111593&amp;c=444444", "offset 89")</f>
        <v>offset 89</v>
      </c>
    </row>
    <row r="11116" customFormat="false" ht="12.8" hidden="false" customHeight="false" outlineLevel="0" collapsed="false">
      <c r="A11116" s="0" t="s">
        <v>12</v>
      </c>
      <c r="B11116" s="0" t="n">
        <v>3111373</v>
      </c>
      <c r="C11116" s="0" t="n">
        <v>3111393</v>
      </c>
      <c r="D11116" s="0" t="s">
        <v>37070</v>
      </c>
      <c r="E11116" s="0" t="s">
        <v>89</v>
      </c>
      <c r="F11116" s="0" t="s">
        <v>90</v>
      </c>
      <c r="G11116" s="0" t="s">
        <v>16</v>
      </c>
      <c r="H11116" s="0" t="n">
        <v>113</v>
      </c>
      <c r="I11116" s="0" t="s">
        <v>37080</v>
      </c>
      <c r="J11116" s="0" t="s">
        <v>37081</v>
      </c>
      <c r="K11116" s="0" t="s">
        <v>37082</v>
      </c>
      <c r="L11116" s="0" t="str">
        <f aca="false">HYPERLINK("https://www.ncbi.nlm.nih.gov/nuccore/CP000304.1?report=graph&amp;tracks=[key:gene_model_track,Options:GeneOnly]&amp;mk=3111479:3111498|offset_8|444444,3111428:3111447|offset_59|444444,3111398:3111417|offset_89|444444,3111374:3111393|offset_113|00cc00&amp;v=3111278:3111593&amp;c=444444", "offset 113")</f>
        <v>offset 113</v>
      </c>
    </row>
    <row r="11117" customFormat="false" ht="12.8" hidden="false" customHeight="false" outlineLevel="0" collapsed="false">
      <c r="A11117" s="0" t="s">
        <v>12</v>
      </c>
      <c r="B11117" s="0" t="n">
        <v>3112788</v>
      </c>
      <c r="C11117" s="0" t="n">
        <v>3112808</v>
      </c>
      <c r="D11117" s="0" t="s">
        <v>37083</v>
      </c>
      <c r="E11117" s="0" t="s">
        <v>37084</v>
      </c>
      <c r="F11117" s="0" t="s">
        <v>90</v>
      </c>
      <c r="G11117" s="0" t="s">
        <v>36</v>
      </c>
      <c r="H11117" s="0" t="n">
        <v>17</v>
      </c>
      <c r="I11117" s="0" t="s">
        <v>37085</v>
      </c>
      <c r="J11117" s="0" t="s">
        <v>37086</v>
      </c>
      <c r="K11117" s="0" t="s">
        <v>37087</v>
      </c>
      <c r="L11117" s="0" t="str">
        <f aca="false">HYPERLINK("https://www.ncbi.nlm.nih.gov/nuccore/CP000304.1?report=graph&amp;tracks=[key:gene_model_track,Options:GeneOnly]&amp;mk=3112789:3112808|offset_17|00cc00,3112744:3112763|offset_62|444444,3112711:3112730|offset_95|444444,3112688:3112707|offset_118|444444&amp;v=3112588:3112907&amp;c=444444", "offset 17")</f>
        <v>offset 17</v>
      </c>
    </row>
    <row r="11118" customFormat="false" ht="12.8" hidden="false" customHeight="false" outlineLevel="0" collapsed="false">
      <c r="A11118" s="0" t="s">
        <v>12</v>
      </c>
      <c r="B11118" s="0" t="n">
        <v>3112743</v>
      </c>
      <c r="C11118" s="0" t="n">
        <v>3112763</v>
      </c>
      <c r="D11118" s="0" t="s">
        <v>37083</v>
      </c>
      <c r="E11118" s="0" t="s">
        <v>37084</v>
      </c>
      <c r="F11118" s="0" t="s">
        <v>90</v>
      </c>
      <c r="G11118" s="0" t="s">
        <v>32</v>
      </c>
      <c r="H11118" s="0" t="n">
        <v>62</v>
      </c>
      <c r="I11118" s="0" t="s">
        <v>37088</v>
      </c>
      <c r="J11118" s="0" t="s">
        <v>37089</v>
      </c>
      <c r="K11118" s="0" t="s">
        <v>37090</v>
      </c>
      <c r="L11118" s="0" t="str">
        <f aca="false">HYPERLINK("https://www.ncbi.nlm.nih.gov/nuccore/CP000304.1?report=graph&amp;tracks=[key:gene_model_track,Options:GeneOnly]&amp;mk=3112789:3112808|offset_17|444444,3112744:3112763|offset_62|00cc00,3112711:3112730|offset_95|444444,3112688:3112707|offset_118|444444&amp;v=3112588:3112907&amp;c=444444", "offset 62")</f>
        <v>offset 62</v>
      </c>
    </row>
    <row r="11119" customFormat="false" ht="12.8" hidden="false" customHeight="false" outlineLevel="0" collapsed="false">
      <c r="A11119" s="0" t="s">
        <v>12</v>
      </c>
      <c r="B11119" s="0" t="n">
        <v>3112710</v>
      </c>
      <c r="C11119" s="0" t="n">
        <v>3112730</v>
      </c>
      <c r="D11119" s="0" t="s">
        <v>37083</v>
      </c>
      <c r="E11119" s="0" t="s">
        <v>37084</v>
      </c>
      <c r="F11119" s="0" t="s">
        <v>90</v>
      </c>
      <c r="G11119" s="0" t="s">
        <v>26</v>
      </c>
      <c r="H11119" s="0" t="n">
        <v>95</v>
      </c>
      <c r="I11119" s="0" t="s">
        <v>37091</v>
      </c>
      <c r="J11119" s="0" t="s">
        <v>37092</v>
      </c>
      <c r="K11119" s="0" t="s">
        <v>37093</v>
      </c>
      <c r="L11119" s="0" t="str">
        <f aca="false">HYPERLINK("https://www.ncbi.nlm.nih.gov/nuccore/CP000304.1?report=graph&amp;tracks=[key:gene_model_track,Options:GeneOnly]&amp;mk=3112789:3112808|offset_17|444444,3112744:3112763|offset_62|444444,3112711:3112730|offset_95|00cc00,3112688:3112707|offset_118|444444&amp;v=3112588:3112907&amp;c=444444", "offset 95")</f>
        <v>offset 95</v>
      </c>
    </row>
    <row r="11120" customFormat="false" ht="12.8" hidden="false" customHeight="false" outlineLevel="0" collapsed="false">
      <c r="A11120" s="0" t="s">
        <v>12</v>
      </c>
      <c r="B11120" s="0" t="n">
        <v>3112687</v>
      </c>
      <c r="C11120" s="0" t="n">
        <v>3112707</v>
      </c>
      <c r="D11120" s="0" t="s">
        <v>37083</v>
      </c>
      <c r="E11120" s="0" t="s">
        <v>37084</v>
      </c>
      <c r="F11120" s="0" t="s">
        <v>90</v>
      </c>
      <c r="G11120" s="0" t="s">
        <v>16</v>
      </c>
      <c r="H11120" s="0" t="n">
        <v>118</v>
      </c>
      <c r="I11120" s="0" t="s">
        <v>37094</v>
      </c>
      <c r="J11120" s="0" t="s">
        <v>37095</v>
      </c>
      <c r="K11120" s="0" t="s">
        <v>37096</v>
      </c>
      <c r="L11120" s="0" t="str">
        <f aca="false">HYPERLINK("https://www.ncbi.nlm.nih.gov/nuccore/CP000304.1?report=graph&amp;tracks=[key:gene_model_track,Options:GeneOnly]&amp;mk=3112789:3112808|offset_17|444444,3112744:3112763|offset_62|444444,3112711:3112730|offset_95|444444,3112688:3112707|offset_118|00cc00&amp;v=3112588:3112907&amp;c=444444", "offset 118")</f>
        <v>offset 118</v>
      </c>
    </row>
    <row r="11121" customFormat="false" ht="12.8" hidden="false" customHeight="false" outlineLevel="0" collapsed="false">
      <c r="A11121" s="0" t="s">
        <v>12</v>
      </c>
      <c r="B11121" s="0" t="n">
        <v>3113964</v>
      </c>
      <c r="C11121" s="0" t="n">
        <v>3113984</v>
      </c>
      <c r="D11121" s="0" t="s">
        <v>37097</v>
      </c>
      <c r="E11121" s="0" t="s">
        <v>89</v>
      </c>
      <c r="F11121" s="0" t="s">
        <v>90</v>
      </c>
      <c r="G11121" s="0" t="s">
        <v>16</v>
      </c>
      <c r="H11121" s="0" t="n">
        <v>13</v>
      </c>
      <c r="I11121" s="0" t="s">
        <v>37098</v>
      </c>
      <c r="J11121" s="0" t="s">
        <v>37099</v>
      </c>
      <c r="K11121" s="0" t="s">
        <v>37100</v>
      </c>
      <c r="L11121" s="0" t="str">
        <f aca="false">HYPERLINK("https://www.ncbi.nlm.nih.gov/nuccore/CP000304.1?report=graph&amp;tracks=[key:gene_model_track,Options:GeneOnly]&amp;mk=3113965:3113984|offset_13|00cc00,3113935:3113954|offset_43|444444,3113915:3113934|offset_63|444444,3113885:3113904|offset_93|444444&amp;v=3113764:3114104&amp;c=444444", "offset 13")</f>
        <v>offset 13</v>
      </c>
    </row>
    <row r="11122" customFormat="false" ht="12.8" hidden="false" customHeight="false" outlineLevel="0" collapsed="false">
      <c r="A11122" s="0" t="s">
        <v>12</v>
      </c>
      <c r="B11122" s="0" t="n">
        <v>3113934</v>
      </c>
      <c r="C11122" s="0" t="n">
        <v>3113954</v>
      </c>
      <c r="D11122" s="0" t="s">
        <v>37097</v>
      </c>
      <c r="E11122" s="0" t="s">
        <v>89</v>
      </c>
      <c r="F11122" s="0" t="s">
        <v>90</v>
      </c>
      <c r="G11122" s="0" t="s">
        <v>36</v>
      </c>
      <c r="H11122" s="0" t="n">
        <v>43</v>
      </c>
      <c r="I11122" s="0" t="s">
        <v>37101</v>
      </c>
      <c r="J11122" s="0" t="s">
        <v>37102</v>
      </c>
      <c r="K11122" s="0" t="s">
        <v>37103</v>
      </c>
      <c r="L11122" s="0" t="str">
        <f aca="false">HYPERLINK("https://www.ncbi.nlm.nih.gov/nuccore/CP000304.1?report=graph&amp;tracks=[key:gene_model_track,Options:GeneOnly]&amp;mk=3113965:3113984|offset_13|444444,3113935:3113954|offset_43|00cc00,3113915:3113934|offset_63|444444,3113885:3113904|offset_93|444444&amp;v=3113764:3114104&amp;c=444444", "offset 43")</f>
        <v>offset 43</v>
      </c>
    </row>
    <row r="11123" customFormat="false" ht="12.8" hidden="false" customHeight="false" outlineLevel="0" collapsed="false">
      <c r="A11123" s="0" t="s">
        <v>12</v>
      </c>
      <c r="B11123" s="0" t="n">
        <v>3113914</v>
      </c>
      <c r="C11123" s="0" t="n">
        <v>3113934</v>
      </c>
      <c r="D11123" s="0" t="s">
        <v>37097</v>
      </c>
      <c r="E11123" s="0" t="s">
        <v>89</v>
      </c>
      <c r="F11123" s="0" t="s">
        <v>90</v>
      </c>
      <c r="G11123" s="0" t="s">
        <v>16</v>
      </c>
      <c r="H11123" s="0" t="n">
        <v>63</v>
      </c>
      <c r="I11123" s="0" t="s">
        <v>37104</v>
      </c>
      <c r="J11123" s="0" t="s">
        <v>37105</v>
      </c>
      <c r="K11123" s="0" t="s">
        <v>37106</v>
      </c>
      <c r="L11123" s="0" t="str">
        <f aca="false">HYPERLINK("https://www.ncbi.nlm.nih.gov/nuccore/CP000304.1?report=graph&amp;tracks=[key:gene_model_track,Options:GeneOnly]&amp;mk=3113965:3113984|offset_13|444444,3113935:3113954|offset_43|444444,3113915:3113934|offset_63|00cc00,3113885:3113904|offset_93|444444&amp;v=3113764:3114104&amp;c=444444", "offset 63")</f>
        <v>offset 63</v>
      </c>
    </row>
    <row r="11124" customFormat="false" ht="12.8" hidden="false" customHeight="false" outlineLevel="0" collapsed="false">
      <c r="A11124" s="0" t="s">
        <v>12</v>
      </c>
      <c r="B11124" s="0" t="n">
        <v>3113884</v>
      </c>
      <c r="C11124" s="0" t="n">
        <v>3113904</v>
      </c>
      <c r="D11124" s="0" t="s">
        <v>37097</v>
      </c>
      <c r="E11124" s="0" t="s">
        <v>89</v>
      </c>
      <c r="F11124" s="0" t="s">
        <v>90</v>
      </c>
      <c r="G11124" s="0" t="s">
        <v>16</v>
      </c>
      <c r="H11124" s="0" t="n">
        <v>93</v>
      </c>
      <c r="I11124" s="0" t="s">
        <v>37107</v>
      </c>
      <c r="J11124" s="0" t="s">
        <v>37108</v>
      </c>
      <c r="K11124" s="0" t="s">
        <v>37109</v>
      </c>
      <c r="L11124" s="0" t="str">
        <f aca="false">HYPERLINK("https://www.ncbi.nlm.nih.gov/nuccore/CP000304.1?report=graph&amp;tracks=[key:gene_model_track,Options:GeneOnly]&amp;mk=3113965:3113984|offset_13|444444,3113935:3113954|offset_43|444444,3113915:3113934|offset_63|444444,3113885:3113904|offset_93|00cc00&amp;v=3113764:3114104&amp;c=444444", "offset 93")</f>
        <v>offset 93</v>
      </c>
    </row>
    <row r="11125" customFormat="false" ht="12.8" hidden="false" customHeight="false" outlineLevel="0" collapsed="false">
      <c r="A11125" s="0" t="s">
        <v>12</v>
      </c>
      <c r="B11125" s="0" t="n">
        <v>3114447</v>
      </c>
      <c r="C11125" s="0" t="n">
        <v>3114467</v>
      </c>
      <c r="D11125" s="0" t="s">
        <v>37110</v>
      </c>
      <c r="E11125" s="0" t="s">
        <v>37111</v>
      </c>
      <c r="F11125" s="0" t="s">
        <v>15</v>
      </c>
      <c r="G11125" s="0" t="s">
        <v>16</v>
      </c>
      <c r="H11125" s="0" t="n">
        <v>25</v>
      </c>
      <c r="I11125" s="0" t="s">
        <v>37112</v>
      </c>
      <c r="J11125" s="0" t="s">
        <v>37113</v>
      </c>
      <c r="K11125" s="0" t="s">
        <v>37114</v>
      </c>
      <c r="L11125" s="0" t="str">
        <f aca="false">HYPERLINK("https://www.ncbi.nlm.nih.gov/nuccore/CP000304.1?report=graph&amp;tracks=[key:gene_model_track,Options:GeneOnly]&amp;mk=3114448:3114467|offset_25|00cc00,3114490:3114509|offset_67|444444,3114518:3114537|offset_95|444444,3114548:3114567|offset_125|444444&amp;v=3114247:3114767&amp;c=444444", "offset 25")</f>
        <v>offset 25</v>
      </c>
    </row>
    <row r="11126" customFormat="false" ht="12.8" hidden="false" customHeight="false" outlineLevel="0" collapsed="false">
      <c r="A11126" s="0" t="s">
        <v>12</v>
      </c>
      <c r="B11126" s="0" t="n">
        <v>3114489</v>
      </c>
      <c r="C11126" s="0" t="n">
        <v>3114509</v>
      </c>
      <c r="D11126" s="0" t="s">
        <v>37110</v>
      </c>
      <c r="E11126" s="0" t="s">
        <v>37111</v>
      </c>
      <c r="F11126" s="0" t="s">
        <v>15</v>
      </c>
      <c r="G11126" s="0" t="s">
        <v>16</v>
      </c>
      <c r="H11126" s="0" t="n">
        <v>67</v>
      </c>
      <c r="I11126" s="0" t="s">
        <v>37115</v>
      </c>
      <c r="J11126" s="0" t="s">
        <v>37116</v>
      </c>
      <c r="K11126" s="0" t="s">
        <v>37117</v>
      </c>
      <c r="L11126" s="0" t="str">
        <f aca="false">HYPERLINK("https://www.ncbi.nlm.nih.gov/nuccore/CP000304.1?report=graph&amp;tracks=[key:gene_model_track,Options:GeneOnly]&amp;mk=3114448:3114467|offset_25|444444,3114490:3114509|offset_67|00cc00,3114518:3114537|offset_95|444444,3114548:3114567|offset_125|444444&amp;v=3114247:3114767&amp;c=444444", "offset 67")</f>
        <v>offset 67</v>
      </c>
    </row>
    <row r="11127" customFormat="false" ht="12.8" hidden="false" customHeight="false" outlineLevel="0" collapsed="false">
      <c r="A11127" s="0" t="s">
        <v>12</v>
      </c>
      <c r="B11127" s="0" t="n">
        <v>3114517</v>
      </c>
      <c r="C11127" s="0" t="n">
        <v>3114537</v>
      </c>
      <c r="D11127" s="0" t="s">
        <v>37110</v>
      </c>
      <c r="E11127" s="0" t="s">
        <v>37111</v>
      </c>
      <c r="F11127" s="0" t="s">
        <v>15</v>
      </c>
      <c r="G11127" s="0" t="s">
        <v>26</v>
      </c>
      <c r="H11127" s="0" t="n">
        <v>95</v>
      </c>
      <c r="I11127" s="0" t="s">
        <v>37118</v>
      </c>
      <c r="J11127" s="0" t="s">
        <v>37119</v>
      </c>
      <c r="K11127" s="0" t="s">
        <v>37120</v>
      </c>
      <c r="L11127" s="0" t="str">
        <f aca="false">HYPERLINK("https://www.ncbi.nlm.nih.gov/nuccore/CP000304.1?report=graph&amp;tracks=[key:gene_model_track,Options:GeneOnly]&amp;mk=3114448:3114467|offset_25|444444,3114490:3114509|offset_67|444444,3114518:3114537|offset_95|00cc00,3114548:3114567|offset_125|444444&amp;v=3114247:3114767&amp;c=444444", "offset 95")</f>
        <v>offset 95</v>
      </c>
    </row>
    <row r="11128" customFormat="false" ht="12.8" hidden="false" customHeight="false" outlineLevel="0" collapsed="false">
      <c r="A11128" s="0" t="s">
        <v>12</v>
      </c>
      <c r="B11128" s="0" t="n">
        <v>3114547</v>
      </c>
      <c r="C11128" s="0" t="n">
        <v>3114567</v>
      </c>
      <c r="D11128" s="0" t="s">
        <v>37110</v>
      </c>
      <c r="E11128" s="0" t="s">
        <v>37111</v>
      </c>
      <c r="F11128" s="0" t="s">
        <v>15</v>
      </c>
      <c r="G11128" s="0" t="s">
        <v>16</v>
      </c>
      <c r="H11128" s="0" t="n">
        <v>125</v>
      </c>
      <c r="I11128" s="0" t="s">
        <v>37121</v>
      </c>
      <c r="J11128" s="0" t="s">
        <v>37122</v>
      </c>
      <c r="K11128" s="0" t="s">
        <v>37123</v>
      </c>
      <c r="L11128" s="0" t="str">
        <f aca="false">HYPERLINK("https://www.ncbi.nlm.nih.gov/nuccore/CP000304.1?report=graph&amp;tracks=[key:gene_model_track,Options:GeneOnly]&amp;mk=3114448:3114467|offset_25|444444,3114490:3114509|offset_67|444444,3114518:3114537|offset_95|444444,3114548:3114567|offset_125|00cc00&amp;v=3114247:3114767&amp;c=444444", "offset 125")</f>
        <v>offset 125</v>
      </c>
    </row>
    <row r="11129" customFormat="false" ht="12.8" hidden="false" customHeight="false" outlineLevel="0" collapsed="false">
      <c r="A11129" s="0" t="s">
        <v>12</v>
      </c>
      <c r="B11129" s="0" t="n">
        <v>3115992</v>
      </c>
      <c r="C11129" s="0" t="n">
        <v>3116012</v>
      </c>
      <c r="D11129" s="0" t="s">
        <v>37124</v>
      </c>
      <c r="E11129" s="0" t="s">
        <v>89</v>
      </c>
      <c r="F11129" s="0" t="s">
        <v>90</v>
      </c>
      <c r="G11129" s="0" t="s">
        <v>16</v>
      </c>
      <c r="H11129" s="0" t="n">
        <v>49</v>
      </c>
      <c r="I11129" s="0" t="s">
        <v>37125</v>
      </c>
      <c r="J11129" s="0" t="s">
        <v>37126</v>
      </c>
      <c r="K11129" s="0" t="s">
        <v>37127</v>
      </c>
      <c r="L11129" s="0" t="str">
        <f aca="false">HYPERLINK("https://www.ncbi.nlm.nih.gov/nuccore/CP000304.1?report=graph&amp;tracks=[key:gene_model_track,Options:GeneOnly]&amp;mk=3115993:3116012|offset_49|00cc00,3115973:3115992|offset_69|444444,3115945:3115964|offset_97|444444,3115906:3115925|offset_136|444444&amp;v=3115792:3116125&amp;c=444444", "offset 49")</f>
        <v>offset 49</v>
      </c>
    </row>
    <row r="11130" customFormat="false" ht="12.8" hidden="false" customHeight="false" outlineLevel="0" collapsed="false">
      <c r="A11130" s="0" t="s">
        <v>12</v>
      </c>
      <c r="B11130" s="0" t="n">
        <v>3115972</v>
      </c>
      <c r="C11130" s="0" t="n">
        <v>3115992</v>
      </c>
      <c r="D11130" s="0" t="s">
        <v>37124</v>
      </c>
      <c r="E11130" s="0" t="s">
        <v>89</v>
      </c>
      <c r="F11130" s="0" t="s">
        <v>90</v>
      </c>
      <c r="G11130" s="0" t="s">
        <v>32</v>
      </c>
      <c r="H11130" s="0" t="n">
        <v>69</v>
      </c>
      <c r="I11130" s="0" t="s">
        <v>37128</v>
      </c>
      <c r="J11130" s="0" t="s">
        <v>37129</v>
      </c>
      <c r="K11130" s="0" t="s">
        <v>37130</v>
      </c>
      <c r="L11130" s="0" t="str">
        <f aca="false">HYPERLINK("https://www.ncbi.nlm.nih.gov/nuccore/CP000304.1?report=graph&amp;tracks=[key:gene_model_track,Options:GeneOnly]&amp;mk=3115993:3116012|offset_49|444444,3115973:3115992|offset_69|00cc00,3115945:3115964|offset_97|444444,3115906:3115925|offset_136|444444&amp;v=3115792:3116125&amp;c=444444", "offset 69")</f>
        <v>offset 69</v>
      </c>
    </row>
    <row r="11131" customFormat="false" ht="12.8" hidden="false" customHeight="false" outlineLevel="0" collapsed="false">
      <c r="A11131" s="0" t="s">
        <v>12</v>
      </c>
      <c r="B11131" s="0" t="n">
        <v>3115944</v>
      </c>
      <c r="C11131" s="0" t="n">
        <v>3115964</v>
      </c>
      <c r="D11131" s="0" t="s">
        <v>37124</v>
      </c>
      <c r="E11131" s="0" t="s">
        <v>89</v>
      </c>
      <c r="F11131" s="0" t="s">
        <v>90</v>
      </c>
      <c r="G11131" s="0" t="s">
        <v>32</v>
      </c>
      <c r="H11131" s="0" t="n">
        <v>97</v>
      </c>
      <c r="I11131" s="0" t="s">
        <v>37131</v>
      </c>
      <c r="J11131" s="0" t="s">
        <v>37132</v>
      </c>
      <c r="K11131" s="0" t="s">
        <v>37133</v>
      </c>
      <c r="L11131" s="0" t="str">
        <f aca="false">HYPERLINK("https://www.ncbi.nlm.nih.gov/nuccore/CP000304.1?report=graph&amp;tracks=[key:gene_model_track,Options:GeneOnly]&amp;mk=3115993:3116012|offset_49|444444,3115973:3115992|offset_69|444444,3115945:3115964|offset_97|00cc00,3115906:3115925|offset_136|444444&amp;v=3115792:3116125&amp;c=444444", "offset 97")</f>
        <v>offset 97</v>
      </c>
    </row>
    <row r="11132" customFormat="false" ht="12.8" hidden="false" customHeight="false" outlineLevel="0" collapsed="false">
      <c r="A11132" s="0" t="s">
        <v>12</v>
      </c>
      <c r="B11132" s="0" t="n">
        <v>3115905</v>
      </c>
      <c r="C11132" s="0" t="n">
        <v>3115925</v>
      </c>
      <c r="D11132" s="0" t="s">
        <v>37124</v>
      </c>
      <c r="E11132" s="0" t="s">
        <v>89</v>
      </c>
      <c r="F11132" s="0" t="s">
        <v>90</v>
      </c>
      <c r="G11132" s="0" t="s">
        <v>16</v>
      </c>
      <c r="H11132" s="0" t="n">
        <v>136</v>
      </c>
      <c r="I11132" s="0" t="s">
        <v>37134</v>
      </c>
      <c r="J11132" s="0" t="s">
        <v>37135</v>
      </c>
      <c r="K11132" s="0" t="s">
        <v>37136</v>
      </c>
      <c r="L11132" s="0" t="str">
        <f aca="false">HYPERLINK("https://www.ncbi.nlm.nih.gov/nuccore/CP000304.1?report=graph&amp;tracks=[key:gene_model_track,Options:GeneOnly]&amp;mk=3115993:3116012|offset_49|444444,3115973:3115992|offset_69|444444,3115945:3115964|offset_97|444444,3115906:3115925|offset_136|00cc00&amp;v=3115792:3116125&amp;c=444444", "offset 136")</f>
        <v>offset 136</v>
      </c>
    </row>
    <row r="11133" customFormat="false" ht="12.8" hidden="false" customHeight="false" outlineLevel="0" collapsed="false">
      <c r="A11133" s="0" t="s">
        <v>12</v>
      </c>
      <c r="B11133" s="0" t="n">
        <v>3117092</v>
      </c>
      <c r="C11133" s="0" t="n">
        <v>3117112</v>
      </c>
      <c r="D11133" s="0" t="s">
        <v>37137</v>
      </c>
      <c r="E11133" s="0" t="s">
        <v>37138</v>
      </c>
      <c r="F11133" s="0" t="s">
        <v>90</v>
      </c>
      <c r="G11133" s="0" t="s">
        <v>26</v>
      </c>
      <c r="H11133" s="0" t="n">
        <v>18</v>
      </c>
      <c r="I11133" s="0" t="s">
        <v>37139</v>
      </c>
      <c r="J11133" s="0" t="s">
        <v>37140</v>
      </c>
      <c r="K11133" s="0" t="s">
        <v>37141</v>
      </c>
      <c r="L11133" s="0" t="str">
        <f aca="false">HYPERLINK("https://www.ncbi.nlm.nih.gov/nuccore/CP000304.1?report=graph&amp;tracks=[key:gene_model_track,Options:GeneOnly]&amp;mk=3117093:3117112|offset_18|00cc00,3117071:3117090|offset_40|444444,3117011:3117030|offset_100|444444,3116956:3116975|offset_155|444444&amp;v=3116892:3117175&amp;c=444444", "offset 18")</f>
        <v>offset 18</v>
      </c>
    </row>
    <row r="11134" customFormat="false" ht="12.8" hidden="false" customHeight="false" outlineLevel="0" collapsed="false">
      <c r="A11134" s="0" t="s">
        <v>12</v>
      </c>
      <c r="B11134" s="0" t="n">
        <v>3117070</v>
      </c>
      <c r="C11134" s="0" t="n">
        <v>3117090</v>
      </c>
      <c r="D11134" s="0" t="s">
        <v>37137</v>
      </c>
      <c r="E11134" s="0" t="s">
        <v>37138</v>
      </c>
      <c r="F11134" s="0" t="s">
        <v>90</v>
      </c>
      <c r="G11134" s="0" t="s">
        <v>26</v>
      </c>
      <c r="H11134" s="0" t="n">
        <v>40</v>
      </c>
      <c r="I11134" s="0" t="s">
        <v>37142</v>
      </c>
      <c r="J11134" s="0" t="s">
        <v>37143</v>
      </c>
      <c r="K11134" s="0" t="s">
        <v>37144</v>
      </c>
      <c r="L11134" s="0" t="str">
        <f aca="false">HYPERLINK("https://www.ncbi.nlm.nih.gov/nuccore/CP000304.1?report=graph&amp;tracks=[key:gene_model_track,Options:GeneOnly]&amp;mk=3117093:3117112|offset_18|444444,3117071:3117090|offset_40|00cc00,3117011:3117030|offset_100|444444,3116956:3116975|offset_155|444444&amp;v=3116892:3117175&amp;c=444444", "offset 40")</f>
        <v>offset 40</v>
      </c>
    </row>
    <row r="11135" customFormat="false" ht="12.8" hidden="false" customHeight="false" outlineLevel="0" collapsed="false">
      <c r="A11135" s="0" t="s">
        <v>12</v>
      </c>
      <c r="B11135" s="0" t="n">
        <v>3117010</v>
      </c>
      <c r="C11135" s="0" t="n">
        <v>3117030</v>
      </c>
      <c r="D11135" s="0" t="s">
        <v>37137</v>
      </c>
      <c r="E11135" s="0" t="s">
        <v>37138</v>
      </c>
      <c r="F11135" s="0" t="s">
        <v>90</v>
      </c>
      <c r="G11135" s="0" t="s">
        <v>36</v>
      </c>
      <c r="H11135" s="0" t="n">
        <v>100</v>
      </c>
      <c r="I11135" s="0" t="s">
        <v>37145</v>
      </c>
      <c r="J11135" s="0" t="s">
        <v>37146</v>
      </c>
      <c r="K11135" s="0" t="s">
        <v>37147</v>
      </c>
      <c r="L11135" s="0" t="str">
        <f aca="false">HYPERLINK("https://www.ncbi.nlm.nih.gov/nuccore/CP000304.1?report=graph&amp;tracks=[key:gene_model_track,Options:GeneOnly]&amp;mk=3117093:3117112|offset_18|444444,3117071:3117090|offset_40|444444,3117011:3117030|offset_100|00cc00,3116956:3116975|offset_155|444444&amp;v=3116892:3117175&amp;c=444444", "offset 100")</f>
        <v>offset 100</v>
      </c>
    </row>
    <row r="11136" customFormat="false" ht="12.8" hidden="false" customHeight="false" outlineLevel="0" collapsed="false">
      <c r="A11136" s="0" t="s">
        <v>12</v>
      </c>
      <c r="B11136" s="0" t="n">
        <v>3116955</v>
      </c>
      <c r="C11136" s="0" t="n">
        <v>3116975</v>
      </c>
      <c r="D11136" s="0" t="s">
        <v>37137</v>
      </c>
      <c r="E11136" s="0" t="s">
        <v>37138</v>
      </c>
      <c r="F11136" s="0" t="s">
        <v>90</v>
      </c>
      <c r="G11136" s="0" t="s">
        <v>26</v>
      </c>
      <c r="H11136" s="0" t="n">
        <v>155</v>
      </c>
      <c r="I11136" s="0" t="s">
        <v>37148</v>
      </c>
      <c r="J11136" s="0" t="s">
        <v>37149</v>
      </c>
      <c r="K11136" s="0" t="s">
        <v>37150</v>
      </c>
      <c r="L11136" s="0" t="str">
        <f aca="false">HYPERLINK("https://www.ncbi.nlm.nih.gov/nuccore/CP000304.1?report=graph&amp;tracks=[key:gene_model_track,Options:GeneOnly]&amp;mk=3117093:3117112|offset_18|444444,3117071:3117090|offset_40|444444,3117011:3117030|offset_100|444444,3116956:3116975|offset_155|00cc00&amp;v=3116892:3117175&amp;c=444444", "offset 155")</f>
        <v>offset 155</v>
      </c>
    </row>
    <row r="11137" customFormat="false" ht="12.8" hidden="false" customHeight="false" outlineLevel="0" collapsed="false">
      <c r="A11137" s="0" t="s">
        <v>12</v>
      </c>
      <c r="B11137" s="0" t="n">
        <v>3117262</v>
      </c>
      <c r="C11137" s="0" t="n">
        <v>3117282</v>
      </c>
      <c r="D11137" s="0" t="s">
        <v>37151</v>
      </c>
      <c r="E11137" s="0" t="s">
        <v>89</v>
      </c>
      <c r="F11137" s="0" t="s">
        <v>15</v>
      </c>
      <c r="G11137" s="0" t="s">
        <v>26</v>
      </c>
      <c r="H11137" s="0" t="n">
        <v>7</v>
      </c>
      <c r="I11137" s="0" t="s">
        <v>37152</v>
      </c>
      <c r="J11137" s="0" t="s">
        <v>37153</v>
      </c>
      <c r="K11137" s="0" t="s">
        <v>37154</v>
      </c>
      <c r="L11137" s="0" t="str">
        <f aca="false">HYPERLINK("https://www.ncbi.nlm.nih.gov/nuccore/CP000304.1?report=graph&amp;tracks=[key:gene_model_track,Options:GeneOnly]&amp;mk=3117263:3117282|offset_7|00cc00,3117287:3117306|offset_31|444444,3117326:3117345|offset_70|444444,3117359:3117378|offset_103|444444&amp;v=3117062:3117578&amp;c=444444", "offset 7")</f>
        <v>offset 7</v>
      </c>
    </row>
    <row r="11138" customFormat="false" ht="12.8" hidden="false" customHeight="false" outlineLevel="0" collapsed="false">
      <c r="A11138" s="0" t="s">
        <v>12</v>
      </c>
      <c r="B11138" s="0" t="n">
        <v>3117286</v>
      </c>
      <c r="C11138" s="0" t="n">
        <v>3117306</v>
      </c>
      <c r="D11138" s="0" t="s">
        <v>37151</v>
      </c>
      <c r="E11138" s="0" t="s">
        <v>89</v>
      </c>
      <c r="F11138" s="0" t="s">
        <v>15</v>
      </c>
      <c r="G11138" s="0" t="s">
        <v>32</v>
      </c>
      <c r="H11138" s="0" t="n">
        <v>31</v>
      </c>
      <c r="I11138" s="0" t="s">
        <v>37155</v>
      </c>
      <c r="J11138" s="0" t="s">
        <v>37156</v>
      </c>
      <c r="K11138" s="0" t="s">
        <v>37157</v>
      </c>
      <c r="L11138" s="0" t="str">
        <f aca="false">HYPERLINK("https://www.ncbi.nlm.nih.gov/nuccore/CP000304.1?report=graph&amp;tracks=[key:gene_model_track,Options:GeneOnly]&amp;mk=3117263:3117282|offset_7|444444,3117287:3117306|offset_31|00cc00,3117326:3117345|offset_70|444444,3117359:3117378|offset_103|444444&amp;v=3117062:3117578&amp;c=444444", "offset 31")</f>
        <v>offset 31</v>
      </c>
    </row>
    <row r="11139" customFormat="false" ht="12.8" hidden="false" customHeight="false" outlineLevel="0" collapsed="false">
      <c r="A11139" s="0" t="s">
        <v>12</v>
      </c>
      <c r="B11139" s="0" t="n">
        <v>3117325</v>
      </c>
      <c r="C11139" s="0" t="n">
        <v>3117345</v>
      </c>
      <c r="D11139" s="0" t="s">
        <v>37151</v>
      </c>
      <c r="E11139" s="0" t="s">
        <v>89</v>
      </c>
      <c r="F11139" s="0" t="s">
        <v>15</v>
      </c>
      <c r="G11139" s="0" t="s">
        <v>16</v>
      </c>
      <c r="H11139" s="0" t="n">
        <v>70</v>
      </c>
      <c r="I11139" s="0" t="s">
        <v>37158</v>
      </c>
      <c r="J11139" s="0" t="s">
        <v>37159</v>
      </c>
      <c r="K11139" s="0" t="s">
        <v>37160</v>
      </c>
      <c r="L11139" s="0" t="str">
        <f aca="false">HYPERLINK("https://www.ncbi.nlm.nih.gov/nuccore/CP000304.1?report=graph&amp;tracks=[key:gene_model_track,Options:GeneOnly]&amp;mk=3117263:3117282|offset_7|444444,3117287:3117306|offset_31|444444,3117326:3117345|offset_70|00cc00,3117359:3117378|offset_103|444444&amp;v=3117062:3117578&amp;c=444444", "offset 70")</f>
        <v>offset 70</v>
      </c>
    </row>
    <row r="11140" customFormat="false" ht="12.8" hidden="false" customHeight="false" outlineLevel="0" collapsed="false">
      <c r="A11140" s="0" t="s">
        <v>12</v>
      </c>
      <c r="B11140" s="0" t="n">
        <v>3117358</v>
      </c>
      <c r="C11140" s="0" t="n">
        <v>3117378</v>
      </c>
      <c r="D11140" s="0" t="s">
        <v>37151</v>
      </c>
      <c r="E11140" s="0" t="s">
        <v>89</v>
      </c>
      <c r="F11140" s="0" t="s">
        <v>15</v>
      </c>
      <c r="G11140" s="0" t="s">
        <v>16</v>
      </c>
      <c r="H11140" s="0" t="n">
        <v>103</v>
      </c>
      <c r="I11140" s="0" t="s">
        <v>37161</v>
      </c>
      <c r="J11140" s="0" t="s">
        <v>37162</v>
      </c>
      <c r="K11140" s="0" t="s">
        <v>37163</v>
      </c>
      <c r="L11140" s="0" t="str">
        <f aca="false">HYPERLINK("https://www.ncbi.nlm.nih.gov/nuccore/CP000304.1?report=graph&amp;tracks=[key:gene_model_track,Options:GeneOnly]&amp;mk=3117263:3117282|offset_7|444444,3117287:3117306|offset_31|444444,3117326:3117345|offset_70|444444,3117359:3117378|offset_103|00cc00&amp;v=3117062:3117578&amp;c=444444", "offset 103")</f>
        <v>offset 103</v>
      </c>
    </row>
    <row r="11141" customFormat="false" ht="12.8" hidden="false" customHeight="false" outlineLevel="0" collapsed="false">
      <c r="A11141" s="0" t="s">
        <v>12</v>
      </c>
      <c r="B11141" s="0" t="n">
        <v>3118471</v>
      </c>
      <c r="C11141" s="0" t="n">
        <v>3118491</v>
      </c>
      <c r="D11141" s="0" t="s">
        <v>37164</v>
      </c>
      <c r="E11141" s="0" t="s">
        <v>37165</v>
      </c>
      <c r="F11141" s="0" t="s">
        <v>15</v>
      </c>
      <c r="G11141" s="0" t="s">
        <v>16</v>
      </c>
      <c r="H11141" s="0" t="n">
        <v>8</v>
      </c>
      <c r="I11141" s="0" t="s">
        <v>37166</v>
      </c>
      <c r="J11141" s="0" t="s">
        <v>37167</v>
      </c>
      <c r="K11141" s="0" t="s">
        <v>37168</v>
      </c>
      <c r="L11141" s="0" t="str">
        <f aca="false">HYPERLINK("https://www.ncbi.nlm.nih.gov/nuccore/CP000304.1?report=graph&amp;tracks=[key:gene_model_track,Options:GeneOnly]&amp;mk=3118472:3118491|offset_8|00cc00,3118511:3118530|offset_47|444444,3118537:3118556|offset_73|444444,3118558:3118577|offset_94|444444&amp;v=3118271:3118777&amp;c=444444", "offset 8")</f>
        <v>offset 8</v>
      </c>
    </row>
    <row r="11142" customFormat="false" ht="12.8" hidden="false" customHeight="false" outlineLevel="0" collapsed="false">
      <c r="A11142" s="0" t="s">
        <v>12</v>
      </c>
      <c r="B11142" s="0" t="n">
        <v>3118510</v>
      </c>
      <c r="C11142" s="0" t="n">
        <v>3118530</v>
      </c>
      <c r="D11142" s="0" t="s">
        <v>37164</v>
      </c>
      <c r="E11142" s="0" t="s">
        <v>37165</v>
      </c>
      <c r="F11142" s="0" t="s">
        <v>15</v>
      </c>
      <c r="G11142" s="0" t="s">
        <v>16</v>
      </c>
      <c r="H11142" s="0" t="n">
        <v>47</v>
      </c>
      <c r="I11142" s="0" t="s">
        <v>37169</v>
      </c>
      <c r="J11142" s="0" t="s">
        <v>37170</v>
      </c>
      <c r="K11142" s="0" t="s">
        <v>37171</v>
      </c>
      <c r="L11142" s="0" t="str">
        <f aca="false">HYPERLINK("https://www.ncbi.nlm.nih.gov/nuccore/CP000304.1?report=graph&amp;tracks=[key:gene_model_track,Options:GeneOnly]&amp;mk=3118472:3118491|offset_8|444444,3118511:3118530|offset_47|00cc00,3118537:3118556|offset_73|444444,3118558:3118577|offset_94|444444&amp;v=3118271:3118777&amp;c=444444", "offset 47")</f>
        <v>offset 47</v>
      </c>
    </row>
    <row r="11143" customFormat="false" ht="12.8" hidden="false" customHeight="false" outlineLevel="0" collapsed="false">
      <c r="A11143" s="0" t="s">
        <v>12</v>
      </c>
      <c r="B11143" s="0" t="n">
        <v>3118536</v>
      </c>
      <c r="C11143" s="0" t="n">
        <v>3118556</v>
      </c>
      <c r="D11143" s="0" t="s">
        <v>37164</v>
      </c>
      <c r="E11143" s="0" t="s">
        <v>37165</v>
      </c>
      <c r="F11143" s="0" t="s">
        <v>15</v>
      </c>
      <c r="G11143" s="0" t="s">
        <v>16</v>
      </c>
      <c r="H11143" s="0" t="n">
        <v>73</v>
      </c>
      <c r="I11143" s="0" t="s">
        <v>37172</v>
      </c>
      <c r="J11143" s="0" t="s">
        <v>37173</v>
      </c>
      <c r="K11143" s="0" t="s">
        <v>37174</v>
      </c>
      <c r="L11143" s="0" t="str">
        <f aca="false">HYPERLINK("https://www.ncbi.nlm.nih.gov/nuccore/CP000304.1?report=graph&amp;tracks=[key:gene_model_track,Options:GeneOnly]&amp;mk=3118472:3118491|offset_8|444444,3118511:3118530|offset_47|444444,3118537:3118556|offset_73|00cc00,3118558:3118577|offset_94|444444&amp;v=3118271:3118777&amp;c=444444", "offset 73")</f>
        <v>offset 73</v>
      </c>
    </row>
    <row r="11144" customFormat="false" ht="12.8" hidden="false" customHeight="false" outlineLevel="0" collapsed="false">
      <c r="A11144" s="0" t="s">
        <v>12</v>
      </c>
      <c r="B11144" s="0" t="n">
        <v>3118557</v>
      </c>
      <c r="C11144" s="0" t="n">
        <v>3118577</v>
      </c>
      <c r="D11144" s="0" t="s">
        <v>37164</v>
      </c>
      <c r="E11144" s="0" t="s">
        <v>37165</v>
      </c>
      <c r="F11144" s="0" t="s">
        <v>15</v>
      </c>
      <c r="G11144" s="0" t="s">
        <v>32</v>
      </c>
      <c r="H11144" s="0" t="n">
        <v>94</v>
      </c>
      <c r="I11144" s="0" t="s">
        <v>37175</v>
      </c>
      <c r="J11144" s="0" t="s">
        <v>37176</v>
      </c>
      <c r="K11144" s="0" t="s">
        <v>37177</v>
      </c>
      <c r="L11144" s="0" t="str">
        <f aca="false">HYPERLINK("https://www.ncbi.nlm.nih.gov/nuccore/CP000304.1?report=graph&amp;tracks=[key:gene_model_track,Options:GeneOnly]&amp;mk=3118472:3118491|offset_8|444444,3118511:3118530|offset_47|444444,3118537:3118556|offset_73|444444,3118558:3118577|offset_94|00cc00&amp;v=3118271:3118777&amp;c=444444", "offset 94")</f>
        <v>offset 94</v>
      </c>
    </row>
    <row r="11145" customFormat="false" ht="12.8" hidden="false" customHeight="false" outlineLevel="0" collapsed="false">
      <c r="A11145" s="0" t="s">
        <v>12</v>
      </c>
      <c r="B11145" s="0" t="n">
        <v>3119660</v>
      </c>
      <c r="C11145" s="0" t="n">
        <v>3119680</v>
      </c>
      <c r="D11145" s="0" t="s">
        <v>37178</v>
      </c>
      <c r="E11145" s="0" t="s">
        <v>89</v>
      </c>
      <c r="F11145" s="0" t="s">
        <v>15</v>
      </c>
      <c r="G11145" s="0" t="s">
        <v>32</v>
      </c>
      <c r="H11145" s="0" t="n">
        <v>1</v>
      </c>
      <c r="I11145" s="0" t="s">
        <v>37179</v>
      </c>
      <c r="J11145" s="0" t="s">
        <v>37180</v>
      </c>
      <c r="K11145" s="0" t="s">
        <v>37181</v>
      </c>
      <c r="L11145" s="0" t="str">
        <f aca="false">HYPERLINK("https://www.ncbi.nlm.nih.gov/nuccore/CP000304.1?report=graph&amp;tracks=[key:gene_model_track,Options:GeneOnly]&amp;mk=3119661:3119680|offset_1|00cc00,3119682:3119701|offset_22|444444,3119708:3119727|offset_48|444444,3119738:3119757|offset_78|444444&amp;v=3119460:3119957&amp;c=444444", "offset 1")</f>
        <v>offset 1</v>
      </c>
    </row>
    <row r="11146" customFormat="false" ht="12.8" hidden="false" customHeight="false" outlineLevel="0" collapsed="false">
      <c r="A11146" s="0" t="s">
        <v>12</v>
      </c>
      <c r="B11146" s="0" t="n">
        <v>3119681</v>
      </c>
      <c r="C11146" s="0" t="n">
        <v>3119701</v>
      </c>
      <c r="D11146" s="0" t="s">
        <v>37178</v>
      </c>
      <c r="E11146" s="0" t="s">
        <v>89</v>
      </c>
      <c r="F11146" s="0" t="s">
        <v>15</v>
      </c>
      <c r="G11146" s="0" t="s">
        <v>36</v>
      </c>
      <c r="H11146" s="0" t="n">
        <v>22</v>
      </c>
      <c r="I11146" s="0" t="s">
        <v>37182</v>
      </c>
      <c r="J11146" s="0" t="s">
        <v>37183</v>
      </c>
      <c r="K11146" s="0" t="s">
        <v>37184</v>
      </c>
      <c r="L11146" s="0" t="str">
        <f aca="false">HYPERLINK("https://www.ncbi.nlm.nih.gov/nuccore/CP000304.1?report=graph&amp;tracks=[key:gene_model_track,Options:GeneOnly]&amp;mk=3119661:3119680|offset_1|444444,3119682:3119701|offset_22|00cc00,3119708:3119727|offset_48|444444,3119738:3119757|offset_78|444444&amp;v=3119460:3119957&amp;c=444444", "offset 22")</f>
        <v>offset 22</v>
      </c>
    </row>
    <row r="11147" customFormat="false" ht="12.8" hidden="false" customHeight="false" outlineLevel="0" collapsed="false">
      <c r="A11147" s="0" t="s">
        <v>12</v>
      </c>
      <c r="B11147" s="0" t="n">
        <v>3119707</v>
      </c>
      <c r="C11147" s="0" t="n">
        <v>3119727</v>
      </c>
      <c r="D11147" s="0" t="s">
        <v>37178</v>
      </c>
      <c r="E11147" s="0" t="s">
        <v>89</v>
      </c>
      <c r="F11147" s="0" t="s">
        <v>15</v>
      </c>
      <c r="G11147" s="0" t="s">
        <v>16</v>
      </c>
      <c r="H11147" s="0" t="n">
        <v>48</v>
      </c>
      <c r="I11147" s="0" t="s">
        <v>37185</v>
      </c>
      <c r="J11147" s="0" t="s">
        <v>37186</v>
      </c>
      <c r="K11147" s="0" t="s">
        <v>37187</v>
      </c>
      <c r="L11147" s="0" t="str">
        <f aca="false">HYPERLINK("https://www.ncbi.nlm.nih.gov/nuccore/CP000304.1?report=graph&amp;tracks=[key:gene_model_track,Options:GeneOnly]&amp;mk=3119661:3119680|offset_1|444444,3119682:3119701|offset_22|444444,3119708:3119727|offset_48|00cc00,3119738:3119757|offset_78|444444&amp;v=3119460:3119957&amp;c=444444", "offset 48")</f>
        <v>offset 48</v>
      </c>
    </row>
    <row r="11148" customFormat="false" ht="12.8" hidden="false" customHeight="false" outlineLevel="0" collapsed="false">
      <c r="A11148" s="0" t="s">
        <v>12</v>
      </c>
      <c r="B11148" s="0" t="n">
        <v>3119737</v>
      </c>
      <c r="C11148" s="0" t="n">
        <v>3119757</v>
      </c>
      <c r="D11148" s="0" t="s">
        <v>37178</v>
      </c>
      <c r="E11148" s="0" t="s">
        <v>89</v>
      </c>
      <c r="F11148" s="0" t="s">
        <v>15</v>
      </c>
      <c r="G11148" s="0" t="s">
        <v>36</v>
      </c>
      <c r="H11148" s="0" t="n">
        <v>78</v>
      </c>
      <c r="I11148" s="0" t="s">
        <v>37188</v>
      </c>
      <c r="J11148" s="0" t="s">
        <v>37189</v>
      </c>
      <c r="K11148" s="0" t="s">
        <v>37190</v>
      </c>
      <c r="L11148" s="0" t="str">
        <f aca="false">HYPERLINK("https://www.ncbi.nlm.nih.gov/nuccore/CP000304.1?report=graph&amp;tracks=[key:gene_model_track,Options:GeneOnly]&amp;mk=3119661:3119680|offset_1|444444,3119682:3119701|offset_22|444444,3119708:3119727|offset_48|444444,3119738:3119757|offset_78|00cc00&amp;v=3119460:3119957&amp;c=444444", "offset 78")</f>
        <v>offset 78</v>
      </c>
    </row>
    <row r="11149" customFormat="false" ht="12.8" hidden="false" customHeight="false" outlineLevel="0" collapsed="false">
      <c r="A11149" s="0" t="s">
        <v>12</v>
      </c>
      <c r="B11149" s="0" t="n">
        <v>3120649</v>
      </c>
      <c r="C11149" s="0" t="n">
        <v>3120669</v>
      </c>
      <c r="D11149" s="0" t="s">
        <v>37191</v>
      </c>
      <c r="E11149" s="0" t="s">
        <v>89</v>
      </c>
      <c r="F11149" s="0" t="s">
        <v>15</v>
      </c>
      <c r="G11149" s="0" t="s">
        <v>26</v>
      </c>
      <c r="H11149" s="0" t="n">
        <v>17</v>
      </c>
      <c r="I11149" s="0" t="s">
        <v>37192</v>
      </c>
      <c r="J11149" s="0" t="s">
        <v>37193</v>
      </c>
      <c r="K11149" s="0" t="s">
        <v>37194</v>
      </c>
      <c r="L11149" s="0" t="str">
        <f aca="false">HYPERLINK("https://www.ncbi.nlm.nih.gov/nuccore/CP000304.1?report=graph&amp;tracks=[key:gene_model_track,Options:GeneOnly]&amp;mk=3120650:3120669|offset_17|00cc00,3120670:3120689|offset_37|444444,3120715:3120734|offset_82|444444,3120744:3120763|offset_111|444444&amp;v=3120449:3120963&amp;c=444444", "offset 17")</f>
        <v>offset 17</v>
      </c>
    </row>
    <row r="11150" customFormat="false" ht="12.8" hidden="false" customHeight="false" outlineLevel="0" collapsed="false">
      <c r="A11150" s="0" t="s">
        <v>12</v>
      </c>
      <c r="B11150" s="0" t="n">
        <v>3120669</v>
      </c>
      <c r="C11150" s="0" t="n">
        <v>3120689</v>
      </c>
      <c r="D11150" s="0" t="s">
        <v>37191</v>
      </c>
      <c r="E11150" s="0" t="s">
        <v>89</v>
      </c>
      <c r="F11150" s="0" t="s">
        <v>15</v>
      </c>
      <c r="G11150" s="0" t="s">
        <v>16</v>
      </c>
      <c r="H11150" s="0" t="n">
        <v>37</v>
      </c>
      <c r="I11150" s="0" t="s">
        <v>37195</v>
      </c>
      <c r="J11150" s="0" t="s">
        <v>37196</v>
      </c>
      <c r="K11150" s="0" t="s">
        <v>37197</v>
      </c>
      <c r="L11150" s="0" t="str">
        <f aca="false">HYPERLINK("https://www.ncbi.nlm.nih.gov/nuccore/CP000304.1?report=graph&amp;tracks=[key:gene_model_track,Options:GeneOnly]&amp;mk=3120650:3120669|offset_17|444444,3120670:3120689|offset_37|00cc00,3120715:3120734|offset_82|444444,3120744:3120763|offset_111|444444&amp;v=3120449:3120963&amp;c=444444", "offset 37")</f>
        <v>offset 37</v>
      </c>
    </row>
    <row r="11151" customFormat="false" ht="12.8" hidden="false" customHeight="false" outlineLevel="0" collapsed="false">
      <c r="A11151" s="0" t="s">
        <v>12</v>
      </c>
      <c r="B11151" s="0" t="n">
        <v>3120714</v>
      </c>
      <c r="C11151" s="0" t="n">
        <v>3120734</v>
      </c>
      <c r="D11151" s="0" t="s">
        <v>37191</v>
      </c>
      <c r="E11151" s="0" t="s">
        <v>89</v>
      </c>
      <c r="F11151" s="0" t="s">
        <v>15</v>
      </c>
      <c r="G11151" s="0" t="s">
        <v>16</v>
      </c>
      <c r="H11151" s="0" t="n">
        <v>82</v>
      </c>
      <c r="I11151" s="0" t="s">
        <v>37198</v>
      </c>
      <c r="J11151" s="0" t="s">
        <v>37199</v>
      </c>
      <c r="K11151" s="0" t="s">
        <v>37200</v>
      </c>
      <c r="L11151" s="0" t="str">
        <f aca="false">HYPERLINK("https://www.ncbi.nlm.nih.gov/nuccore/CP000304.1?report=graph&amp;tracks=[key:gene_model_track,Options:GeneOnly]&amp;mk=3120650:3120669|offset_17|444444,3120670:3120689|offset_37|444444,3120715:3120734|offset_82|00cc00,3120744:3120763|offset_111|444444&amp;v=3120449:3120963&amp;c=444444", "offset 82")</f>
        <v>offset 82</v>
      </c>
    </row>
    <row r="11152" customFormat="false" ht="12.8" hidden="false" customHeight="false" outlineLevel="0" collapsed="false">
      <c r="A11152" s="0" t="s">
        <v>12</v>
      </c>
      <c r="B11152" s="0" t="n">
        <v>3120743</v>
      </c>
      <c r="C11152" s="0" t="n">
        <v>3120763</v>
      </c>
      <c r="D11152" s="0" t="s">
        <v>37191</v>
      </c>
      <c r="E11152" s="0" t="s">
        <v>89</v>
      </c>
      <c r="F11152" s="0" t="s">
        <v>15</v>
      </c>
      <c r="G11152" s="0" t="s">
        <v>16</v>
      </c>
      <c r="H11152" s="0" t="n">
        <v>111</v>
      </c>
      <c r="I11152" s="0" t="s">
        <v>37201</v>
      </c>
      <c r="J11152" s="0" t="s">
        <v>37202</v>
      </c>
      <c r="K11152" s="0" t="s">
        <v>37203</v>
      </c>
      <c r="L11152" s="0" t="str">
        <f aca="false">HYPERLINK("https://www.ncbi.nlm.nih.gov/nuccore/CP000304.1?report=graph&amp;tracks=[key:gene_model_track,Options:GeneOnly]&amp;mk=3120650:3120669|offset_17|444444,3120670:3120689|offset_37|444444,3120715:3120734|offset_82|444444,3120744:3120763|offset_111|00cc00&amp;v=3120449:3120963&amp;c=444444", "offset 111")</f>
        <v>offset 111</v>
      </c>
    </row>
    <row r="11153" customFormat="false" ht="12.8" hidden="false" customHeight="false" outlineLevel="0" collapsed="false">
      <c r="A11153" s="0" t="s">
        <v>12</v>
      </c>
      <c r="B11153" s="0" t="n">
        <v>3121433</v>
      </c>
      <c r="C11153" s="0" t="n">
        <v>3121453</v>
      </c>
      <c r="D11153" s="0" t="s">
        <v>37204</v>
      </c>
      <c r="E11153" s="0" t="s">
        <v>89</v>
      </c>
      <c r="F11153" s="0" t="s">
        <v>15</v>
      </c>
      <c r="G11153" s="0" t="s">
        <v>32</v>
      </c>
      <c r="H11153" s="0" t="n">
        <v>1</v>
      </c>
      <c r="I11153" s="0" t="s">
        <v>37205</v>
      </c>
      <c r="J11153" s="0" t="s">
        <v>37206</v>
      </c>
      <c r="K11153" s="0" t="s">
        <v>37207</v>
      </c>
      <c r="L11153" s="0" t="str">
        <f aca="false">HYPERLINK("https://www.ncbi.nlm.nih.gov/nuccore/CP000304.1?report=graph&amp;tracks=[key:gene_model_track,Options:GeneOnly]&amp;mk=3121434:3121453|offset_1|00cc00,3121465:3121484|offset_32|444444,3121488:3121507|offset_55|444444,3121532:3121551|offset_99|444444&amp;v=3121233:3121751&amp;c=444444", "offset 1")</f>
        <v>offset 1</v>
      </c>
    </row>
    <row r="11154" customFormat="false" ht="12.8" hidden="false" customHeight="false" outlineLevel="0" collapsed="false">
      <c r="A11154" s="0" t="s">
        <v>12</v>
      </c>
      <c r="B11154" s="0" t="n">
        <v>3121464</v>
      </c>
      <c r="C11154" s="0" t="n">
        <v>3121484</v>
      </c>
      <c r="D11154" s="0" t="s">
        <v>37204</v>
      </c>
      <c r="E11154" s="0" t="s">
        <v>89</v>
      </c>
      <c r="F11154" s="0" t="s">
        <v>15</v>
      </c>
      <c r="G11154" s="0" t="s">
        <v>26</v>
      </c>
      <c r="H11154" s="0" t="n">
        <v>32</v>
      </c>
      <c r="I11154" s="0" t="s">
        <v>37208</v>
      </c>
      <c r="J11154" s="0" t="s">
        <v>37209</v>
      </c>
      <c r="K11154" s="0" t="s">
        <v>37210</v>
      </c>
      <c r="L11154" s="0" t="str">
        <f aca="false">HYPERLINK("https://www.ncbi.nlm.nih.gov/nuccore/CP000304.1?report=graph&amp;tracks=[key:gene_model_track,Options:GeneOnly]&amp;mk=3121434:3121453|offset_1|444444,3121465:3121484|offset_32|00cc00,3121488:3121507|offset_55|444444,3121532:3121551|offset_99|444444&amp;v=3121233:3121751&amp;c=444444", "offset 32")</f>
        <v>offset 32</v>
      </c>
    </row>
    <row r="11155" customFormat="false" ht="12.8" hidden="false" customHeight="false" outlineLevel="0" collapsed="false">
      <c r="A11155" s="0" t="s">
        <v>12</v>
      </c>
      <c r="B11155" s="0" t="n">
        <v>3121487</v>
      </c>
      <c r="C11155" s="0" t="n">
        <v>3121507</v>
      </c>
      <c r="D11155" s="0" t="s">
        <v>37204</v>
      </c>
      <c r="E11155" s="0" t="s">
        <v>89</v>
      </c>
      <c r="F11155" s="0" t="s">
        <v>15</v>
      </c>
      <c r="G11155" s="0" t="s">
        <v>16</v>
      </c>
      <c r="H11155" s="0" t="n">
        <v>55</v>
      </c>
      <c r="I11155" s="0" t="s">
        <v>37211</v>
      </c>
      <c r="J11155" s="0" t="s">
        <v>37212</v>
      </c>
      <c r="K11155" s="0" t="s">
        <v>37213</v>
      </c>
      <c r="L11155" s="0" t="str">
        <f aca="false">HYPERLINK("https://www.ncbi.nlm.nih.gov/nuccore/CP000304.1?report=graph&amp;tracks=[key:gene_model_track,Options:GeneOnly]&amp;mk=3121434:3121453|offset_1|444444,3121465:3121484|offset_32|444444,3121488:3121507|offset_55|00cc00,3121532:3121551|offset_99|444444&amp;v=3121233:3121751&amp;c=444444", "offset 55")</f>
        <v>offset 55</v>
      </c>
    </row>
    <row r="11156" customFormat="false" ht="12.8" hidden="false" customHeight="false" outlineLevel="0" collapsed="false">
      <c r="A11156" s="0" t="s">
        <v>12</v>
      </c>
      <c r="B11156" s="0" t="n">
        <v>3121531</v>
      </c>
      <c r="C11156" s="0" t="n">
        <v>3121551</v>
      </c>
      <c r="D11156" s="0" t="s">
        <v>37204</v>
      </c>
      <c r="E11156" s="0" t="s">
        <v>89</v>
      </c>
      <c r="F11156" s="0" t="s">
        <v>15</v>
      </c>
      <c r="G11156" s="0" t="s">
        <v>16</v>
      </c>
      <c r="H11156" s="0" t="n">
        <v>99</v>
      </c>
      <c r="I11156" s="0" t="s">
        <v>37214</v>
      </c>
      <c r="J11156" s="0" t="s">
        <v>37215</v>
      </c>
      <c r="K11156" s="0" t="s">
        <v>37216</v>
      </c>
      <c r="L11156" s="0" t="str">
        <f aca="false">HYPERLINK("https://www.ncbi.nlm.nih.gov/nuccore/CP000304.1?report=graph&amp;tracks=[key:gene_model_track,Options:GeneOnly]&amp;mk=3121434:3121453|offset_1|444444,3121465:3121484|offset_32|444444,3121488:3121507|offset_55|444444,3121532:3121551|offset_99|00cc00&amp;v=3121233:3121751&amp;c=444444", "offset 99")</f>
        <v>offset 99</v>
      </c>
    </row>
    <row r="11157" customFormat="false" ht="12.8" hidden="false" customHeight="false" outlineLevel="0" collapsed="false">
      <c r="A11157" s="0" t="s">
        <v>12</v>
      </c>
      <c r="B11157" s="0" t="n">
        <v>3122415</v>
      </c>
      <c r="C11157" s="0" t="n">
        <v>3122435</v>
      </c>
      <c r="D11157" s="0" t="s">
        <v>37217</v>
      </c>
      <c r="E11157" s="0" t="s">
        <v>89</v>
      </c>
      <c r="F11157" s="0" t="s">
        <v>15</v>
      </c>
      <c r="G11157" s="0" t="s">
        <v>32</v>
      </c>
      <c r="H11157" s="0" t="n">
        <v>1</v>
      </c>
      <c r="I11157" s="0" t="s">
        <v>37218</v>
      </c>
      <c r="J11157" s="0" t="s">
        <v>37219</v>
      </c>
      <c r="K11157" s="0" t="s">
        <v>37220</v>
      </c>
      <c r="L11157" s="0" t="str">
        <f aca="false">HYPERLINK("https://www.ncbi.nlm.nih.gov/nuccore/CP000304.1?report=graph&amp;tracks=[key:gene_model_track,Options:GeneOnly]&amp;mk=3122416:3122435|offset_1|00cc00,3122436:3122455|offset_21|444444,3122477:3122496|offset_62|444444,3122527:3122546|offset_112|444444&amp;v=3122215:3122746&amp;c=444444", "offset 1")</f>
        <v>offset 1</v>
      </c>
    </row>
    <row r="11158" customFormat="false" ht="12.8" hidden="false" customHeight="false" outlineLevel="0" collapsed="false">
      <c r="A11158" s="0" t="s">
        <v>12</v>
      </c>
      <c r="B11158" s="0" t="n">
        <v>3122435</v>
      </c>
      <c r="C11158" s="0" t="n">
        <v>3122455</v>
      </c>
      <c r="D11158" s="0" t="s">
        <v>37217</v>
      </c>
      <c r="E11158" s="0" t="s">
        <v>89</v>
      </c>
      <c r="F11158" s="0" t="s">
        <v>15</v>
      </c>
      <c r="G11158" s="0" t="s">
        <v>36</v>
      </c>
      <c r="H11158" s="0" t="n">
        <v>21</v>
      </c>
      <c r="I11158" s="0" t="s">
        <v>37221</v>
      </c>
      <c r="J11158" s="0" t="s">
        <v>37222</v>
      </c>
      <c r="K11158" s="0" t="s">
        <v>37223</v>
      </c>
      <c r="L11158" s="0" t="str">
        <f aca="false">HYPERLINK("https://www.ncbi.nlm.nih.gov/nuccore/CP000304.1?report=graph&amp;tracks=[key:gene_model_track,Options:GeneOnly]&amp;mk=3122416:3122435|offset_1|444444,3122436:3122455|offset_21|00cc00,3122477:3122496|offset_62|444444,3122527:3122546|offset_112|444444&amp;v=3122215:3122746&amp;c=444444", "offset 21")</f>
        <v>offset 21</v>
      </c>
    </row>
    <row r="11159" customFormat="false" ht="12.8" hidden="false" customHeight="false" outlineLevel="0" collapsed="false">
      <c r="A11159" s="0" t="s">
        <v>12</v>
      </c>
      <c r="B11159" s="0" t="n">
        <v>3122476</v>
      </c>
      <c r="C11159" s="0" t="n">
        <v>3122496</v>
      </c>
      <c r="D11159" s="0" t="s">
        <v>37217</v>
      </c>
      <c r="E11159" s="0" t="s">
        <v>89</v>
      </c>
      <c r="F11159" s="0" t="s">
        <v>15</v>
      </c>
      <c r="G11159" s="0" t="s">
        <v>32</v>
      </c>
      <c r="H11159" s="0" t="n">
        <v>62</v>
      </c>
      <c r="I11159" s="0" t="s">
        <v>37224</v>
      </c>
      <c r="J11159" s="0" t="s">
        <v>37225</v>
      </c>
      <c r="K11159" s="0" t="s">
        <v>37226</v>
      </c>
      <c r="L11159" s="0" t="str">
        <f aca="false">HYPERLINK("https://www.ncbi.nlm.nih.gov/nuccore/CP000304.1?report=graph&amp;tracks=[key:gene_model_track,Options:GeneOnly]&amp;mk=3122416:3122435|offset_1|444444,3122436:3122455|offset_21|444444,3122477:3122496|offset_62|00cc00,3122527:3122546|offset_112|444444&amp;v=3122215:3122746&amp;c=444444", "offset 62")</f>
        <v>offset 62</v>
      </c>
    </row>
    <row r="11160" customFormat="false" ht="12.8" hidden="false" customHeight="false" outlineLevel="0" collapsed="false">
      <c r="A11160" s="0" t="s">
        <v>12</v>
      </c>
      <c r="B11160" s="0" t="n">
        <v>3122526</v>
      </c>
      <c r="C11160" s="0" t="n">
        <v>3122546</v>
      </c>
      <c r="D11160" s="0" t="s">
        <v>37217</v>
      </c>
      <c r="E11160" s="0" t="s">
        <v>89</v>
      </c>
      <c r="F11160" s="0" t="s">
        <v>15</v>
      </c>
      <c r="G11160" s="0" t="s">
        <v>32</v>
      </c>
      <c r="H11160" s="0" t="n">
        <v>112</v>
      </c>
      <c r="I11160" s="0" t="s">
        <v>37227</v>
      </c>
      <c r="J11160" s="0" t="s">
        <v>37228</v>
      </c>
      <c r="K11160" s="0" t="s">
        <v>37229</v>
      </c>
      <c r="L11160" s="0" t="str">
        <f aca="false">HYPERLINK("https://www.ncbi.nlm.nih.gov/nuccore/CP000304.1?report=graph&amp;tracks=[key:gene_model_track,Options:GeneOnly]&amp;mk=3122416:3122435|offset_1|444444,3122436:3122455|offset_21|444444,3122477:3122496|offset_62|444444,3122527:3122546|offset_112|00cc00&amp;v=3122215:3122746&amp;c=444444", "offset 112")</f>
        <v>offset 112</v>
      </c>
    </row>
    <row r="11161" customFormat="false" ht="12.8" hidden="false" customHeight="false" outlineLevel="0" collapsed="false">
      <c r="A11161" s="0" t="s">
        <v>12</v>
      </c>
      <c r="B11161" s="0" t="n">
        <v>3123222</v>
      </c>
      <c r="C11161" s="0" t="n">
        <v>3123242</v>
      </c>
      <c r="D11161" s="0" t="s">
        <v>37230</v>
      </c>
      <c r="E11161" s="0" t="s">
        <v>89</v>
      </c>
      <c r="F11161" s="0" t="s">
        <v>15</v>
      </c>
      <c r="G11161" s="0" t="s">
        <v>36</v>
      </c>
      <c r="H11161" s="0" t="n">
        <v>60</v>
      </c>
      <c r="I11161" s="0" t="s">
        <v>37231</v>
      </c>
      <c r="J11161" s="0" t="s">
        <v>37232</v>
      </c>
      <c r="K11161" s="0" t="s">
        <v>37233</v>
      </c>
      <c r="L11161" s="0" t="str">
        <f aca="false">HYPERLINK("https://www.ncbi.nlm.nih.gov/nuccore/CP000304.1?report=graph&amp;tracks=[key:gene_model_track,Options:GeneOnly]&amp;mk=3123223:3123242|offset_60|00cc00,3123251:3123270|offset_88|444444,3123285:3123304|offset_122|444444,3123308:3123327|offset_145|444444&amp;v=3123022:3123527&amp;c=444444", "offset 60")</f>
        <v>offset 60</v>
      </c>
    </row>
    <row r="11162" customFormat="false" ht="12.8" hidden="false" customHeight="false" outlineLevel="0" collapsed="false">
      <c r="A11162" s="0" t="s">
        <v>12</v>
      </c>
      <c r="B11162" s="0" t="n">
        <v>3123250</v>
      </c>
      <c r="C11162" s="0" t="n">
        <v>3123270</v>
      </c>
      <c r="D11162" s="0" t="s">
        <v>37230</v>
      </c>
      <c r="E11162" s="0" t="s">
        <v>89</v>
      </c>
      <c r="F11162" s="0" t="s">
        <v>15</v>
      </c>
      <c r="G11162" s="0" t="s">
        <v>16</v>
      </c>
      <c r="H11162" s="0" t="n">
        <v>88</v>
      </c>
      <c r="I11162" s="0" t="s">
        <v>37234</v>
      </c>
      <c r="J11162" s="0" t="s">
        <v>37235</v>
      </c>
      <c r="K11162" s="0" t="s">
        <v>37236</v>
      </c>
      <c r="L11162" s="0" t="str">
        <f aca="false">HYPERLINK("https://www.ncbi.nlm.nih.gov/nuccore/CP000304.1?report=graph&amp;tracks=[key:gene_model_track,Options:GeneOnly]&amp;mk=3123223:3123242|offset_60|444444,3123251:3123270|offset_88|00cc00,3123285:3123304|offset_122|444444,3123308:3123327|offset_145|444444&amp;v=3123022:3123527&amp;c=444444", "offset 88")</f>
        <v>offset 88</v>
      </c>
    </row>
    <row r="11163" customFormat="false" ht="12.8" hidden="false" customHeight="false" outlineLevel="0" collapsed="false">
      <c r="A11163" s="0" t="s">
        <v>12</v>
      </c>
      <c r="B11163" s="0" t="n">
        <v>3123284</v>
      </c>
      <c r="C11163" s="0" t="n">
        <v>3123304</v>
      </c>
      <c r="D11163" s="0" t="s">
        <v>37230</v>
      </c>
      <c r="E11163" s="0" t="s">
        <v>89</v>
      </c>
      <c r="F11163" s="0" t="s">
        <v>15</v>
      </c>
      <c r="G11163" s="0" t="s">
        <v>26</v>
      </c>
      <c r="H11163" s="0" t="n">
        <v>122</v>
      </c>
      <c r="I11163" s="0" t="s">
        <v>37237</v>
      </c>
      <c r="J11163" s="0" t="s">
        <v>37238</v>
      </c>
      <c r="K11163" s="0" t="s">
        <v>37239</v>
      </c>
      <c r="L11163" s="0" t="str">
        <f aca="false">HYPERLINK("https://www.ncbi.nlm.nih.gov/nuccore/CP000304.1?report=graph&amp;tracks=[key:gene_model_track,Options:GeneOnly]&amp;mk=3123223:3123242|offset_60|444444,3123251:3123270|offset_88|444444,3123285:3123304|offset_122|00cc00,3123308:3123327|offset_145|444444&amp;v=3123022:3123527&amp;c=444444", "offset 122")</f>
        <v>offset 122</v>
      </c>
    </row>
    <row r="11164" customFormat="false" ht="12.8" hidden="false" customHeight="false" outlineLevel="0" collapsed="false">
      <c r="A11164" s="0" t="s">
        <v>12</v>
      </c>
      <c r="B11164" s="0" t="n">
        <v>3123307</v>
      </c>
      <c r="C11164" s="0" t="n">
        <v>3123327</v>
      </c>
      <c r="D11164" s="0" t="s">
        <v>37230</v>
      </c>
      <c r="E11164" s="0" t="s">
        <v>89</v>
      </c>
      <c r="F11164" s="0" t="s">
        <v>15</v>
      </c>
      <c r="G11164" s="0" t="s">
        <v>26</v>
      </c>
      <c r="H11164" s="0" t="n">
        <v>145</v>
      </c>
      <c r="I11164" s="0" t="s">
        <v>37240</v>
      </c>
      <c r="J11164" s="0" t="s">
        <v>37241</v>
      </c>
      <c r="K11164" s="0" t="s">
        <v>37242</v>
      </c>
      <c r="L11164" s="0" t="str">
        <f aca="false">HYPERLINK("https://www.ncbi.nlm.nih.gov/nuccore/CP000304.1?report=graph&amp;tracks=[key:gene_model_track,Options:GeneOnly]&amp;mk=3123223:3123242|offset_60|444444,3123251:3123270|offset_88|444444,3123285:3123304|offset_122|444444,3123308:3123327|offset_145|00cc00&amp;v=3123022:3123527&amp;c=444444", "offset 145")</f>
        <v>offset 145</v>
      </c>
    </row>
    <row r="11165" customFormat="false" ht="12.8" hidden="false" customHeight="false" outlineLevel="0" collapsed="false">
      <c r="A11165" s="0" t="s">
        <v>12</v>
      </c>
      <c r="B11165" s="0" t="n">
        <v>3124036</v>
      </c>
      <c r="C11165" s="0" t="n">
        <v>3124056</v>
      </c>
      <c r="D11165" s="0" t="s">
        <v>37243</v>
      </c>
      <c r="E11165" s="0" t="s">
        <v>89</v>
      </c>
      <c r="F11165" s="0" t="s">
        <v>15</v>
      </c>
      <c r="G11165" s="0" t="s">
        <v>32</v>
      </c>
      <c r="H11165" s="0" t="n">
        <v>1</v>
      </c>
      <c r="I11165" s="0" t="s">
        <v>37244</v>
      </c>
      <c r="J11165" s="0" t="s">
        <v>37245</v>
      </c>
      <c r="K11165" s="0" t="s">
        <v>37246</v>
      </c>
      <c r="L11165" s="0" t="str">
        <f aca="false">HYPERLINK("https://www.ncbi.nlm.nih.gov/nuccore/CP000304.1?report=graph&amp;tracks=[key:gene_model_track,Options:GeneOnly]&amp;mk=3124037:3124056|offset_1|00cc00,3124058:3124077|offset_22|444444,3124089:3124108|offset_53|444444,3124109:3124128|offset_73|444444&amp;v=3123836:3124328&amp;c=444444", "offset 1")</f>
        <v>offset 1</v>
      </c>
    </row>
    <row r="11166" customFormat="false" ht="12.8" hidden="false" customHeight="false" outlineLevel="0" collapsed="false">
      <c r="A11166" s="0" t="s">
        <v>12</v>
      </c>
      <c r="B11166" s="0" t="n">
        <v>3124057</v>
      </c>
      <c r="C11166" s="0" t="n">
        <v>3124077</v>
      </c>
      <c r="D11166" s="0" t="s">
        <v>37243</v>
      </c>
      <c r="E11166" s="0" t="s">
        <v>89</v>
      </c>
      <c r="F11166" s="0" t="s">
        <v>15</v>
      </c>
      <c r="G11166" s="0" t="s">
        <v>36</v>
      </c>
      <c r="H11166" s="0" t="n">
        <v>22</v>
      </c>
      <c r="I11166" s="0" t="s">
        <v>37247</v>
      </c>
      <c r="J11166" s="0" t="s">
        <v>37248</v>
      </c>
      <c r="K11166" s="0" t="s">
        <v>37249</v>
      </c>
      <c r="L11166" s="0" t="str">
        <f aca="false">HYPERLINK("https://www.ncbi.nlm.nih.gov/nuccore/CP000304.1?report=graph&amp;tracks=[key:gene_model_track,Options:GeneOnly]&amp;mk=3124037:3124056|offset_1|444444,3124058:3124077|offset_22|00cc00,3124089:3124108|offset_53|444444,3124109:3124128|offset_73|444444&amp;v=3123836:3124328&amp;c=444444", "offset 22")</f>
        <v>offset 22</v>
      </c>
    </row>
    <row r="11167" customFormat="false" ht="12.8" hidden="false" customHeight="false" outlineLevel="0" collapsed="false">
      <c r="A11167" s="0" t="s">
        <v>12</v>
      </c>
      <c r="B11167" s="0" t="n">
        <v>3124088</v>
      </c>
      <c r="C11167" s="0" t="n">
        <v>3124108</v>
      </c>
      <c r="D11167" s="0" t="s">
        <v>37243</v>
      </c>
      <c r="E11167" s="0" t="s">
        <v>89</v>
      </c>
      <c r="F11167" s="0" t="s">
        <v>15</v>
      </c>
      <c r="G11167" s="0" t="s">
        <v>16</v>
      </c>
      <c r="H11167" s="0" t="n">
        <v>53</v>
      </c>
      <c r="I11167" s="0" t="s">
        <v>37250</v>
      </c>
      <c r="J11167" s="0" t="s">
        <v>37251</v>
      </c>
      <c r="K11167" s="0" t="s">
        <v>37252</v>
      </c>
      <c r="L11167" s="0" t="str">
        <f aca="false">HYPERLINK("https://www.ncbi.nlm.nih.gov/nuccore/CP000304.1?report=graph&amp;tracks=[key:gene_model_track,Options:GeneOnly]&amp;mk=3124037:3124056|offset_1|444444,3124058:3124077|offset_22|444444,3124089:3124108|offset_53|00cc00,3124109:3124128|offset_73|444444&amp;v=3123836:3124328&amp;c=444444", "offset 53")</f>
        <v>offset 53</v>
      </c>
    </row>
    <row r="11168" customFormat="false" ht="12.8" hidden="false" customHeight="false" outlineLevel="0" collapsed="false">
      <c r="A11168" s="0" t="s">
        <v>12</v>
      </c>
      <c r="B11168" s="0" t="n">
        <v>3124108</v>
      </c>
      <c r="C11168" s="0" t="n">
        <v>3124128</v>
      </c>
      <c r="D11168" s="0" t="s">
        <v>37243</v>
      </c>
      <c r="E11168" s="0" t="s">
        <v>89</v>
      </c>
      <c r="F11168" s="0" t="s">
        <v>15</v>
      </c>
      <c r="G11168" s="0" t="s">
        <v>36</v>
      </c>
      <c r="H11168" s="0" t="n">
        <v>73</v>
      </c>
      <c r="I11168" s="0" t="s">
        <v>37253</v>
      </c>
      <c r="J11168" s="0" t="s">
        <v>37254</v>
      </c>
      <c r="K11168" s="0" t="s">
        <v>37255</v>
      </c>
      <c r="L11168" s="0" t="str">
        <f aca="false">HYPERLINK("https://www.ncbi.nlm.nih.gov/nuccore/CP000304.1?report=graph&amp;tracks=[key:gene_model_track,Options:GeneOnly]&amp;mk=3124037:3124056|offset_1|444444,3124058:3124077|offset_22|444444,3124089:3124108|offset_53|444444,3124109:3124128|offset_73|00cc00&amp;v=3123836:3124328&amp;c=444444", "offset 73")</f>
        <v>offset 73</v>
      </c>
    </row>
    <row r="11169" customFormat="false" ht="12.8" hidden="false" customHeight="false" outlineLevel="0" collapsed="false">
      <c r="A11169" s="0" t="s">
        <v>12</v>
      </c>
      <c r="B11169" s="0" t="n">
        <v>3124629</v>
      </c>
      <c r="C11169" s="0" t="n">
        <v>3124649</v>
      </c>
      <c r="D11169" s="0" t="s">
        <v>37256</v>
      </c>
      <c r="E11169" s="0" t="s">
        <v>89</v>
      </c>
      <c r="F11169" s="0" t="s">
        <v>15</v>
      </c>
      <c r="G11169" s="0" t="s">
        <v>32</v>
      </c>
      <c r="H11169" s="0" t="n">
        <v>0</v>
      </c>
      <c r="I11169" s="0" t="s">
        <v>37257</v>
      </c>
      <c r="J11169" s="0" t="s">
        <v>37258</v>
      </c>
      <c r="K11169" s="0" t="s">
        <v>37259</v>
      </c>
      <c r="L11169" s="0" t="str">
        <f aca="false">HYPERLINK("https://www.ncbi.nlm.nih.gov/nuccore/CP000304.1?report=graph&amp;tracks=[key:gene_model_track,Options:GeneOnly]&amp;mk=3124630:3124649|offset_0|00cc00,3124673:3124692|offset_43|444444,3124694:3124713|offset_64|444444,3124716:3124735|offset_86|444444&amp;v=3124429:3124935&amp;c=444444", "offset 0")</f>
        <v>offset 0</v>
      </c>
    </row>
    <row r="11170" customFormat="false" ht="12.8" hidden="false" customHeight="false" outlineLevel="0" collapsed="false">
      <c r="A11170" s="0" t="s">
        <v>12</v>
      </c>
      <c r="B11170" s="0" t="n">
        <v>3124672</v>
      </c>
      <c r="C11170" s="0" t="n">
        <v>3124692</v>
      </c>
      <c r="D11170" s="0" t="s">
        <v>37256</v>
      </c>
      <c r="E11170" s="0" t="s">
        <v>89</v>
      </c>
      <c r="F11170" s="0" t="s">
        <v>15</v>
      </c>
      <c r="G11170" s="0" t="s">
        <v>32</v>
      </c>
      <c r="H11170" s="0" t="n">
        <v>43</v>
      </c>
      <c r="I11170" s="0" t="s">
        <v>37260</v>
      </c>
      <c r="J11170" s="0" t="s">
        <v>37261</v>
      </c>
      <c r="K11170" s="0" t="s">
        <v>37262</v>
      </c>
      <c r="L11170" s="0" t="str">
        <f aca="false">HYPERLINK("https://www.ncbi.nlm.nih.gov/nuccore/CP000304.1?report=graph&amp;tracks=[key:gene_model_track,Options:GeneOnly]&amp;mk=3124630:3124649|offset_0|444444,3124673:3124692|offset_43|00cc00,3124694:3124713|offset_64|444444,3124716:3124735|offset_86|444444&amp;v=3124429:3124935&amp;c=444444", "offset 43")</f>
        <v>offset 43</v>
      </c>
    </row>
    <row r="11171" customFormat="false" ht="12.8" hidden="false" customHeight="false" outlineLevel="0" collapsed="false">
      <c r="A11171" s="0" t="s">
        <v>12</v>
      </c>
      <c r="B11171" s="0" t="n">
        <v>3124693</v>
      </c>
      <c r="C11171" s="0" t="n">
        <v>3124713</v>
      </c>
      <c r="D11171" s="0" t="s">
        <v>37256</v>
      </c>
      <c r="E11171" s="0" t="s">
        <v>89</v>
      </c>
      <c r="F11171" s="0" t="s">
        <v>15</v>
      </c>
      <c r="G11171" s="0" t="s">
        <v>32</v>
      </c>
      <c r="H11171" s="0" t="n">
        <v>64</v>
      </c>
      <c r="I11171" s="0" t="s">
        <v>37263</v>
      </c>
      <c r="J11171" s="0" t="s">
        <v>37264</v>
      </c>
      <c r="K11171" s="0" t="s">
        <v>37265</v>
      </c>
      <c r="L11171" s="0" t="str">
        <f aca="false">HYPERLINK("https://www.ncbi.nlm.nih.gov/nuccore/CP000304.1?report=graph&amp;tracks=[key:gene_model_track,Options:GeneOnly]&amp;mk=3124630:3124649|offset_0|444444,3124673:3124692|offset_43|444444,3124694:3124713|offset_64|00cc00,3124716:3124735|offset_86|444444&amp;v=3124429:3124935&amp;c=444444", "offset 64")</f>
        <v>offset 64</v>
      </c>
    </row>
    <row r="11172" customFormat="false" ht="12.8" hidden="false" customHeight="false" outlineLevel="0" collapsed="false">
      <c r="A11172" s="0" t="s">
        <v>12</v>
      </c>
      <c r="B11172" s="0" t="n">
        <v>3124715</v>
      </c>
      <c r="C11172" s="0" t="n">
        <v>3124735</v>
      </c>
      <c r="D11172" s="0" t="s">
        <v>37256</v>
      </c>
      <c r="E11172" s="0" t="s">
        <v>89</v>
      </c>
      <c r="F11172" s="0" t="s">
        <v>15</v>
      </c>
      <c r="G11172" s="0" t="s">
        <v>32</v>
      </c>
      <c r="H11172" s="0" t="n">
        <v>86</v>
      </c>
      <c r="I11172" s="0" t="s">
        <v>37266</v>
      </c>
      <c r="J11172" s="0" t="s">
        <v>37267</v>
      </c>
      <c r="K11172" s="0" t="s">
        <v>37268</v>
      </c>
      <c r="L11172" s="0" t="str">
        <f aca="false">HYPERLINK("https://www.ncbi.nlm.nih.gov/nuccore/CP000304.1?report=graph&amp;tracks=[key:gene_model_track,Options:GeneOnly]&amp;mk=3124630:3124649|offset_0|444444,3124673:3124692|offset_43|444444,3124694:3124713|offset_64|444444,3124716:3124735|offset_86|00cc00&amp;v=3124429:3124935&amp;c=444444", "offset 86")</f>
        <v>offset 86</v>
      </c>
    </row>
    <row r="11173" customFormat="false" ht="12.8" hidden="false" customHeight="false" outlineLevel="0" collapsed="false">
      <c r="A11173" s="0" t="s">
        <v>12</v>
      </c>
      <c r="B11173" s="0" t="n">
        <v>3125378</v>
      </c>
      <c r="C11173" s="0" t="n">
        <v>3125398</v>
      </c>
      <c r="D11173" s="0" t="s">
        <v>37269</v>
      </c>
      <c r="E11173" s="0" t="s">
        <v>89</v>
      </c>
      <c r="F11173" s="0" t="s">
        <v>15</v>
      </c>
      <c r="G11173" s="0" t="s">
        <v>32</v>
      </c>
      <c r="H11173" s="0" t="n">
        <v>1</v>
      </c>
      <c r="I11173" s="0" t="s">
        <v>37270</v>
      </c>
      <c r="J11173" s="0" t="s">
        <v>37271</v>
      </c>
      <c r="K11173" s="0" t="s">
        <v>37272</v>
      </c>
      <c r="L11173" s="0" t="str">
        <f aca="false">HYPERLINK("https://www.ncbi.nlm.nih.gov/nuccore/CP000304.1?report=graph&amp;tracks=[key:gene_model_track,Options:GeneOnly]&amp;mk=3125379:3125398|offset_1|00cc00,3125403:3125422|offset_25|444444,3125448:3125467|offset_70|444444,3125476:3125495|offset_98|444444&amp;v=3125178:3125695&amp;c=444444", "offset 1")</f>
        <v>offset 1</v>
      </c>
    </row>
    <row r="11174" customFormat="false" ht="12.8" hidden="false" customHeight="false" outlineLevel="0" collapsed="false">
      <c r="A11174" s="0" t="s">
        <v>12</v>
      </c>
      <c r="B11174" s="0" t="n">
        <v>3125402</v>
      </c>
      <c r="C11174" s="0" t="n">
        <v>3125422</v>
      </c>
      <c r="D11174" s="0" t="s">
        <v>37269</v>
      </c>
      <c r="E11174" s="0" t="s">
        <v>89</v>
      </c>
      <c r="F11174" s="0" t="s">
        <v>15</v>
      </c>
      <c r="G11174" s="0" t="s">
        <v>36</v>
      </c>
      <c r="H11174" s="0" t="n">
        <v>25</v>
      </c>
      <c r="I11174" s="0" t="s">
        <v>37273</v>
      </c>
      <c r="J11174" s="0" t="s">
        <v>37274</v>
      </c>
      <c r="K11174" s="0" t="s">
        <v>37275</v>
      </c>
      <c r="L11174" s="0" t="str">
        <f aca="false">HYPERLINK("https://www.ncbi.nlm.nih.gov/nuccore/CP000304.1?report=graph&amp;tracks=[key:gene_model_track,Options:GeneOnly]&amp;mk=3125379:3125398|offset_1|444444,3125403:3125422|offset_25|00cc00,3125448:3125467|offset_70|444444,3125476:3125495|offset_98|444444&amp;v=3125178:3125695&amp;c=444444", "offset 25")</f>
        <v>offset 25</v>
      </c>
    </row>
    <row r="11175" customFormat="false" ht="12.8" hidden="false" customHeight="false" outlineLevel="0" collapsed="false">
      <c r="A11175" s="0" t="s">
        <v>12</v>
      </c>
      <c r="B11175" s="0" t="n">
        <v>3125447</v>
      </c>
      <c r="C11175" s="0" t="n">
        <v>3125467</v>
      </c>
      <c r="D11175" s="0" t="s">
        <v>37269</v>
      </c>
      <c r="E11175" s="0" t="s">
        <v>89</v>
      </c>
      <c r="F11175" s="0" t="s">
        <v>15</v>
      </c>
      <c r="G11175" s="0" t="s">
        <v>26</v>
      </c>
      <c r="H11175" s="0" t="n">
        <v>70</v>
      </c>
      <c r="I11175" s="0" t="s">
        <v>37276</v>
      </c>
      <c r="J11175" s="0" t="s">
        <v>37277</v>
      </c>
      <c r="K11175" s="0" t="s">
        <v>37278</v>
      </c>
      <c r="L11175" s="0" t="str">
        <f aca="false">HYPERLINK("https://www.ncbi.nlm.nih.gov/nuccore/CP000304.1?report=graph&amp;tracks=[key:gene_model_track,Options:GeneOnly]&amp;mk=3125379:3125398|offset_1|444444,3125403:3125422|offset_25|444444,3125448:3125467|offset_70|00cc00,3125476:3125495|offset_98|444444&amp;v=3125178:3125695&amp;c=444444", "offset 70")</f>
        <v>offset 70</v>
      </c>
    </row>
    <row r="11176" customFormat="false" ht="12.8" hidden="false" customHeight="false" outlineLevel="0" collapsed="false">
      <c r="A11176" s="0" t="s">
        <v>12</v>
      </c>
      <c r="B11176" s="0" t="n">
        <v>3125475</v>
      </c>
      <c r="C11176" s="0" t="n">
        <v>3125495</v>
      </c>
      <c r="D11176" s="0" t="s">
        <v>37269</v>
      </c>
      <c r="E11176" s="0" t="s">
        <v>89</v>
      </c>
      <c r="F11176" s="0" t="s">
        <v>15</v>
      </c>
      <c r="G11176" s="0" t="s">
        <v>32</v>
      </c>
      <c r="H11176" s="0" t="n">
        <v>98</v>
      </c>
      <c r="I11176" s="0" t="s">
        <v>37279</v>
      </c>
      <c r="J11176" s="0" t="s">
        <v>37280</v>
      </c>
      <c r="K11176" s="0" t="s">
        <v>37281</v>
      </c>
      <c r="L11176" s="0" t="str">
        <f aca="false">HYPERLINK("https://www.ncbi.nlm.nih.gov/nuccore/CP000304.1?report=graph&amp;tracks=[key:gene_model_track,Options:GeneOnly]&amp;mk=3125379:3125398|offset_1|444444,3125403:3125422|offset_25|444444,3125448:3125467|offset_70|444444,3125476:3125495|offset_98|00cc00&amp;v=3125178:3125695&amp;c=444444", "offset 98")</f>
        <v>offset 98</v>
      </c>
    </row>
    <row r="11177" customFormat="false" ht="12.8" hidden="false" customHeight="false" outlineLevel="0" collapsed="false">
      <c r="A11177" s="0" t="s">
        <v>12</v>
      </c>
      <c r="B11177" s="0" t="n">
        <v>3126870</v>
      </c>
      <c r="C11177" s="0" t="n">
        <v>3126890</v>
      </c>
      <c r="D11177" s="0" t="s">
        <v>37282</v>
      </c>
      <c r="E11177" s="0" t="s">
        <v>89</v>
      </c>
      <c r="F11177" s="0" t="s">
        <v>90</v>
      </c>
      <c r="G11177" s="0" t="s">
        <v>32</v>
      </c>
      <c r="H11177" s="0" t="n">
        <v>8</v>
      </c>
      <c r="I11177" s="0" t="s">
        <v>37283</v>
      </c>
      <c r="J11177" s="0" t="s">
        <v>37284</v>
      </c>
      <c r="K11177" s="0" t="s">
        <v>37285</v>
      </c>
      <c r="L11177" s="0" t="str">
        <f aca="false">HYPERLINK("https://www.ncbi.nlm.nih.gov/nuccore/CP000304.1?report=graph&amp;tracks=[key:gene_model_track,Options:GeneOnly]&amp;mk=3126871:3126890|offset_8|00cc00,3126851:3126870|offset_28|444444,3126827:3126846|offset_52|444444,3126802:3126821|offset_77|444444&amp;v=3126670:3127021&amp;c=444444", "offset 8")</f>
        <v>offset 8</v>
      </c>
    </row>
    <row r="11178" customFormat="false" ht="12.8" hidden="false" customHeight="false" outlineLevel="0" collapsed="false">
      <c r="A11178" s="0" t="s">
        <v>12</v>
      </c>
      <c r="B11178" s="0" t="n">
        <v>3126850</v>
      </c>
      <c r="C11178" s="0" t="n">
        <v>3126870</v>
      </c>
      <c r="D11178" s="0" t="s">
        <v>37282</v>
      </c>
      <c r="E11178" s="0" t="s">
        <v>89</v>
      </c>
      <c r="F11178" s="0" t="s">
        <v>90</v>
      </c>
      <c r="G11178" s="0" t="s">
        <v>16</v>
      </c>
      <c r="H11178" s="0" t="n">
        <v>28</v>
      </c>
      <c r="I11178" s="0" t="s">
        <v>37286</v>
      </c>
      <c r="J11178" s="0" t="s">
        <v>37287</v>
      </c>
      <c r="K11178" s="0" t="s">
        <v>37288</v>
      </c>
      <c r="L11178" s="0" t="str">
        <f aca="false">HYPERLINK("https://www.ncbi.nlm.nih.gov/nuccore/CP000304.1?report=graph&amp;tracks=[key:gene_model_track,Options:GeneOnly]&amp;mk=3126871:3126890|offset_8|444444,3126851:3126870|offset_28|00cc00,3126827:3126846|offset_52|444444,3126802:3126821|offset_77|444444&amp;v=3126670:3127021&amp;c=444444", "offset 28")</f>
        <v>offset 28</v>
      </c>
    </row>
    <row r="11179" customFormat="false" ht="12.8" hidden="false" customHeight="false" outlineLevel="0" collapsed="false">
      <c r="A11179" s="0" t="s">
        <v>12</v>
      </c>
      <c r="B11179" s="0" t="n">
        <v>3126826</v>
      </c>
      <c r="C11179" s="0" t="n">
        <v>3126846</v>
      </c>
      <c r="D11179" s="0" t="s">
        <v>37282</v>
      </c>
      <c r="E11179" s="0" t="s">
        <v>89</v>
      </c>
      <c r="F11179" s="0" t="s">
        <v>90</v>
      </c>
      <c r="G11179" s="0" t="s">
        <v>16</v>
      </c>
      <c r="H11179" s="0" t="n">
        <v>52</v>
      </c>
      <c r="I11179" s="0" t="s">
        <v>37289</v>
      </c>
      <c r="J11179" s="0" t="s">
        <v>37290</v>
      </c>
      <c r="K11179" s="0" t="s">
        <v>37291</v>
      </c>
      <c r="L11179" s="0" t="str">
        <f aca="false">HYPERLINK("https://www.ncbi.nlm.nih.gov/nuccore/CP000304.1?report=graph&amp;tracks=[key:gene_model_track,Options:GeneOnly]&amp;mk=3126871:3126890|offset_8|444444,3126851:3126870|offset_28|444444,3126827:3126846|offset_52|00cc00,3126802:3126821|offset_77|444444&amp;v=3126670:3127021&amp;c=444444", "offset 52")</f>
        <v>offset 52</v>
      </c>
    </row>
    <row r="11180" customFormat="false" ht="12.8" hidden="false" customHeight="false" outlineLevel="0" collapsed="false">
      <c r="A11180" s="0" t="s">
        <v>12</v>
      </c>
      <c r="B11180" s="0" t="n">
        <v>3126801</v>
      </c>
      <c r="C11180" s="0" t="n">
        <v>3126821</v>
      </c>
      <c r="D11180" s="0" t="s">
        <v>37282</v>
      </c>
      <c r="E11180" s="0" t="s">
        <v>89</v>
      </c>
      <c r="F11180" s="0" t="s">
        <v>90</v>
      </c>
      <c r="G11180" s="0" t="s">
        <v>26</v>
      </c>
      <c r="H11180" s="0" t="n">
        <v>77</v>
      </c>
      <c r="I11180" s="0" t="s">
        <v>37292</v>
      </c>
      <c r="J11180" s="0" t="s">
        <v>37293</v>
      </c>
      <c r="K11180" s="0" t="s">
        <v>37294</v>
      </c>
      <c r="L11180" s="0" t="str">
        <f aca="false">HYPERLINK("https://www.ncbi.nlm.nih.gov/nuccore/CP000304.1?report=graph&amp;tracks=[key:gene_model_track,Options:GeneOnly]&amp;mk=3126871:3126890|offset_8|444444,3126851:3126870|offset_28|444444,3126827:3126846|offset_52|444444,3126802:3126821|offset_77|00cc00&amp;v=3126670:3127021&amp;c=444444", "offset 77")</f>
        <v>offset 77</v>
      </c>
    </row>
    <row r="11181" customFormat="false" ht="12.8" hidden="false" customHeight="false" outlineLevel="0" collapsed="false">
      <c r="A11181" s="0" t="s">
        <v>12</v>
      </c>
      <c r="B11181" s="0" t="n">
        <v>3127227</v>
      </c>
      <c r="C11181" s="0" t="n">
        <v>3127247</v>
      </c>
      <c r="D11181" s="0" t="s">
        <v>37295</v>
      </c>
      <c r="E11181" s="0" t="s">
        <v>89</v>
      </c>
      <c r="F11181" s="0" t="s">
        <v>90</v>
      </c>
      <c r="G11181" s="0" t="s">
        <v>36</v>
      </c>
      <c r="H11181" s="0" t="n">
        <v>13</v>
      </c>
      <c r="I11181" s="0" t="s">
        <v>37296</v>
      </c>
      <c r="J11181" s="0" t="s">
        <v>37297</v>
      </c>
      <c r="K11181" s="0" t="s">
        <v>37298</v>
      </c>
      <c r="L11181" s="0" t="str">
        <f aca="false">HYPERLINK("https://www.ncbi.nlm.nih.gov/nuccore/CP000304.1?report=graph&amp;tracks=[key:gene_model_track,Options:GeneOnly]&amp;mk=3127228:3127247|offset_13|00cc00,3127194:3127213|offset_47|444444,3127165:3127184|offset_76|444444,3127119:3127138|offset_122|444444&amp;v=3127027:3127338&amp;c=444444", "offset 13")</f>
        <v>offset 13</v>
      </c>
    </row>
    <row r="11182" customFormat="false" ht="12.8" hidden="false" customHeight="false" outlineLevel="0" collapsed="false">
      <c r="A11182" s="0" t="s">
        <v>12</v>
      </c>
      <c r="B11182" s="0" t="n">
        <v>3127193</v>
      </c>
      <c r="C11182" s="0" t="n">
        <v>3127213</v>
      </c>
      <c r="D11182" s="0" t="s">
        <v>37295</v>
      </c>
      <c r="E11182" s="0" t="s">
        <v>89</v>
      </c>
      <c r="F11182" s="0" t="s">
        <v>90</v>
      </c>
      <c r="G11182" s="0" t="s">
        <v>32</v>
      </c>
      <c r="H11182" s="0" t="n">
        <v>47</v>
      </c>
      <c r="I11182" s="0" t="s">
        <v>37299</v>
      </c>
      <c r="J11182" s="0" t="s">
        <v>37300</v>
      </c>
      <c r="K11182" s="0" t="s">
        <v>37301</v>
      </c>
      <c r="L11182" s="0" t="str">
        <f aca="false">HYPERLINK("https://www.ncbi.nlm.nih.gov/nuccore/CP000304.1?report=graph&amp;tracks=[key:gene_model_track,Options:GeneOnly]&amp;mk=3127228:3127247|offset_13|444444,3127194:3127213|offset_47|00cc00,3127165:3127184|offset_76|444444,3127119:3127138|offset_122|444444&amp;v=3127027:3127338&amp;c=444444", "offset 47")</f>
        <v>offset 47</v>
      </c>
    </row>
    <row r="11183" customFormat="false" ht="12.8" hidden="false" customHeight="false" outlineLevel="0" collapsed="false">
      <c r="A11183" s="0" t="s">
        <v>12</v>
      </c>
      <c r="B11183" s="0" t="n">
        <v>3127164</v>
      </c>
      <c r="C11183" s="0" t="n">
        <v>3127184</v>
      </c>
      <c r="D11183" s="0" t="s">
        <v>37295</v>
      </c>
      <c r="E11183" s="0" t="s">
        <v>89</v>
      </c>
      <c r="F11183" s="0" t="s">
        <v>90</v>
      </c>
      <c r="G11183" s="0" t="s">
        <v>16</v>
      </c>
      <c r="H11183" s="0" t="n">
        <v>76</v>
      </c>
      <c r="I11183" s="0" t="s">
        <v>37302</v>
      </c>
      <c r="J11183" s="0" t="s">
        <v>37303</v>
      </c>
      <c r="K11183" s="0" t="s">
        <v>37304</v>
      </c>
      <c r="L11183" s="0" t="str">
        <f aca="false">HYPERLINK("https://www.ncbi.nlm.nih.gov/nuccore/CP000304.1?report=graph&amp;tracks=[key:gene_model_track,Options:GeneOnly]&amp;mk=3127228:3127247|offset_13|444444,3127194:3127213|offset_47|444444,3127165:3127184|offset_76|00cc00,3127119:3127138|offset_122|444444&amp;v=3127027:3127338&amp;c=444444", "offset 76")</f>
        <v>offset 76</v>
      </c>
    </row>
    <row r="11184" customFormat="false" ht="12.8" hidden="false" customHeight="false" outlineLevel="0" collapsed="false">
      <c r="A11184" s="0" t="s">
        <v>12</v>
      </c>
      <c r="B11184" s="0" t="n">
        <v>3127118</v>
      </c>
      <c r="C11184" s="0" t="n">
        <v>3127138</v>
      </c>
      <c r="D11184" s="0" t="s">
        <v>37295</v>
      </c>
      <c r="E11184" s="0" t="s">
        <v>89</v>
      </c>
      <c r="F11184" s="0" t="s">
        <v>90</v>
      </c>
      <c r="G11184" s="0" t="s">
        <v>16</v>
      </c>
      <c r="H11184" s="0" t="n">
        <v>122</v>
      </c>
      <c r="I11184" s="0" t="s">
        <v>37305</v>
      </c>
      <c r="J11184" s="0" t="s">
        <v>37306</v>
      </c>
      <c r="K11184" s="0" t="s">
        <v>37307</v>
      </c>
      <c r="L11184" s="0" t="str">
        <f aca="false">HYPERLINK("https://www.ncbi.nlm.nih.gov/nuccore/CP000304.1?report=graph&amp;tracks=[key:gene_model_track,Options:GeneOnly]&amp;mk=3127228:3127247|offset_13|444444,3127194:3127213|offset_47|444444,3127165:3127184|offset_76|444444,3127119:3127138|offset_122|00cc00&amp;v=3127027:3127338&amp;c=444444", "offset 122")</f>
        <v>offset 122</v>
      </c>
    </row>
    <row r="11185" customFormat="false" ht="12.8" hidden="false" customHeight="false" outlineLevel="0" collapsed="false">
      <c r="A11185" s="0" t="s">
        <v>12</v>
      </c>
      <c r="B11185" s="0" t="n">
        <v>3127379</v>
      </c>
      <c r="C11185" s="0" t="n">
        <v>3127399</v>
      </c>
      <c r="D11185" s="0" t="s">
        <v>37308</v>
      </c>
      <c r="E11185" s="0" t="s">
        <v>89</v>
      </c>
      <c r="F11185" s="0" t="s">
        <v>15</v>
      </c>
      <c r="G11185" s="0" t="s">
        <v>36</v>
      </c>
      <c r="H11185" s="0" t="n">
        <v>11</v>
      </c>
      <c r="I11185" s="0" t="s">
        <v>37309</v>
      </c>
      <c r="J11185" s="0" t="s">
        <v>37310</v>
      </c>
      <c r="K11185" s="0" t="s">
        <v>37311</v>
      </c>
      <c r="L11185" s="0" t="str">
        <f aca="false">HYPERLINK("https://www.ncbi.nlm.nih.gov/nuccore/CP000304.1?report=graph&amp;tracks=[key:gene_model_track,Options:GeneOnly]&amp;mk=3127380:3127399|offset_11|00cc00,3127419:3127438|offset_50|444444,3127466:3127485|offset_97|444444,3127487:3127506|offset_118|444444&amp;v=3127179:3127706&amp;c=444444", "offset 11")</f>
        <v>offset 11</v>
      </c>
    </row>
    <row r="11186" customFormat="false" ht="12.8" hidden="false" customHeight="false" outlineLevel="0" collapsed="false">
      <c r="A11186" s="0" t="s">
        <v>12</v>
      </c>
      <c r="B11186" s="0" t="n">
        <v>3127418</v>
      </c>
      <c r="C11186" s="0" t="n">
        <v>3127438</v>
      </c>
      <c r="D11186" s="0" t="s">
        <v>37308</v>
      </c>
      <c r="E11186" s="0" t="s">
        <v>89</v>
      </c>
      <c r="F11186" s="0" t="s">
        <v>15</v>
      </c>
      <c r="G11186" s="0" t="s">
        <v>32</v>
      </c>
      <c r="H11186" s="0" t="n">
        <v>50</v>
      </c>
      <c r="I11186" s="0" t="s">
        <v>37312</v>
      </c>
      <c r="J11186" s="0" t="s">
        <v>37313</v>
      </c>
      <c r="K11186" s="0" t="s">
        <v>37314</v>
      </c>
      <c r="L11186" s="0" t="str">
        <f aca="false">HYPERLINK("https://www.ncbi.nlm.nih.gov/nuccore/CP000304.1?report=graph&amp;tracks=[key:gene_model_track,Options:GeneOnly]&amp;mk=3127380:3127399|offset_11|444444,3127419:3127438|offset_50|00cc00,3127466:3127485|offset_97|444444,3127487:3127506|offset_118|444444&amp;v=3127179:3127706&amp;c=444444", "offset 50")</f>
        <v>offset 50</v>
      </c>
    </row>
    <row r="11187" customFormat="false" ht="12.8" hidden="false" customHeight="false" outlineLevel="0" collapsed="false">
      <c r="A11187" s="0" t="s">
        <v>12</v>
      </c>
      <c r="B11187" s="0" t="n">
        <v>3127465</v>
      </c>
      <c r="C11187" s="0" t="n">
        <v>3127485</v>
      </c>
      <c r="D11187" s="0" t="s">
        <v>37308</v>
      </c>
      <c r="E11187" s="0" t="s">
        <v>89</v>
      </c>
      <c r="F11187" s="0" t="s">
        <v>15</v>
      </c>
      <c r="G11187" s="0" t="s">
        <v>26</v>
      </c>
      <c r="H11187" s="0" t="n">
        <v>97</v>
      </c>
      <c r="I11187" s="0" t="s">
        <v>37315</v>
      </c>
      <c r="J11187" s="0" t="s">
        <v>37316</v>
      </c>
      <c r="K11187" s="0" t="s">
        <v>37317</v>
      </c>
      <c r="L11187" s="0" t="str">
        <f aca="false">HYPERLINK("https://www.ncbi.nlm.nih.gov/nuccore/CP000304.1?report=graph&amp;tracks=[key:gene_model_track,Options:GeneOnly]&amp;mk=3127380:3127399|offset_11|444444,3127419:3127438|offset_50|444444,3127466:3127485|offset_97|00cc00,3127487:3127506|offset_118|444444&amp;v=3127179:3127706&amp;c=444444", "offset 97")</f>
        <v>offset 97</v>
      </c>
    </row>
    <row r="11188" customFormat="false" ht="12.8" hidden="false" customHeight="false" outlineLevel="0" collapsed="false">
      <c r="A11188" s="0" t="s">
        <v>12</v>
      </c>
      <c r="B11188" s="0" t="n">
        <v>3127486</v>
      </c>
      <c r="C11188" s="0" t="n">
        <v>3127506</v>
      </c>
      <c r="D11188" s="0" t="s">
        <v>37308</v>
      </c>
      <c r="E11188" s="0" t="s">
        <v>89</v>
      </c>
      <c r="F11188" s="0" t="s">
        <v>15</v>
      </c>
      <c r="G11188" s="0" t="s">
        <v>16</v>
      </c>
      <c r="H11188" s="0" t="n">
        <v>118</v>
      </c>
      <c r="I11188" s="0" t="s">
        <v>37318</v>
      </c>
      <c r="J11188" s="0" t="s">
        <v>37319</v>
      </c>
      <c r="K11188" s="0" t="s">
        <v>37320</v>
      </c>
      <c r="L11188" s="0" t="str">
        <f aca="false">HYPERLINK("https://www.ncbi.nlm.nih.gov/nuccore/CP000304.1?report=graph&amp;tracks=[key:gene_model_track,Options:GeneOnly]&amp;mk=3127380:3127399|offset_11|444444,3127419:3127438|offset_50|444444,3127466:3127485|offset_97|444444,3127487:3127506|offset_118|00cc00&amp;v=3127179:3127706&amp;c=444444", "offset 118")</f>
        <v>offset 118</v>
      </c>
    </row>
    <row r="11189" customFormat="false" ht="12.8" hidden="false" customHeight="false" outlineLevel="0" collapsed="false">
      <c r="A11189" s="0" t="s">
        <v>12</v>
      </c>
      <c r="B11189" s="0" t="n">
        <v>3128739</v>
      </c>
      <c r="C11189" s="0" t="n">
        <v>3128759</v>
      </c>
      <c r="D11189" s="0" t="s">
        <v>37321</v>
      </c>
      <c r="E11189" s="0" t="s">
        <v>89</v>
      </c>
      <c r="F11189" s="0" t="s">
        <v>15</v>
      </c>
      <c r="G11189" s="0" t="s">
        <v>36</v>
      </c>
      <c r="H11189" s="0" t="n">
        <v>21</v>
      </c>
      <c r="I11189" s="0" t="s">
        <v>37322</v>
      </c>
      <c r="J11189" s="0" t="s">
        <v>37323</v>
      </c>
      <c r="K11189" s="0" t="s">
        <v>37324</v>
      </c>
      <c r="L11189" s="0" t="str">
        <f aca="false">HYPERLINK("https://www.ncbi.nlm.nih.gov/nuccore/CP000304.1?report=graph&amp;tracks=[key:gene_model_track,Options:GeneOnly]&amp;mk=3128740:3128759|offset_21|00cc00,3128762:3128781|offset_43|444444,3128829:3128848|offset_110|444444,3128877:3128896|offset_158|444444&amp;v=3128539:3129096&amp;c=444444", "offset 21")</f>
        <v>offset 21</v>
      </c>
    </row>
    <row r="11190" customFormat="false" ht="12.8" hidden="false" customHeight="false" outlineLevel="0" collapsed="false">
      <c r="A11190" s="0" t="s">
        <v>12</v>
      </c>
      <c r="B11190" s="0" t="n">
        <v>3128761</v>
      </c>
      <c r="C11190" s="0" t="n">
        <v>3128781</v>
      </c>
      <c r="D11190" s="0" t="s">
        <v>37321</v>
      </c>
      <c r="E11190" s="0" t="s">
        <v>89</v>
      </c>
      <c r="F11190" s="0" t="s">
        <v>15</v>
      </c>
      <c r="G11190" s="0" t="s">
        <v>32</v>
      </c>
      <c r="H11190" s="0" t="n">
        <v>43</v>
      </c>
      <c r="I11190" s="0" t="s">
        <v>37325</v>
      </c>
      <c r="J11190" s="0" t="s">
        <v>37326</v>
      </c>
      <c r="K11190" s="0" t="s">
        <v>37327</v>
      </c>
      <c r="L11190" s="0" t="str">
        <f aca="false">HYPERLINK("https://www.ncbi.nlm.nih.gov/nuccore/CP000304.1?report=graph&amp;tracks=[key:gene_model_track,Options:GeneOnly]&amp;mk=3128740:3128759|offset_21|444444,3128762:3128781|offset_43|00cc00,3128829:3128848|offset_110|444444,3128877:3128896|offset_158|444444&amp;v=3128539:3129096&amp;c=444444", "offset 43")</f>
        <v>offset 43</v>
      </c>
    </row>
    <row r="11191" customFormat="false" ht="12.8" hidden="false" customHeight="false" outlineLevel="0" collapsed="false">
      <c r="A11191" s="0" t="s">
        <v>12</v>
      </c>
      <c r="B11191" s="0" t="n">
        <v>3128828</v>
      </c>
      <c r="C11191" s="0" t="n">
        <v>3128848</v>
      </c>
      <c r="D11191" s="0" t="s">
        <v>37321</v>
      </c>
      <c r="E11191" s="0" t="s">
        <v>89</v>
      </c>
      <c r="F11191" s="0" t="s">
        <v>15</v>
      </c>
      <c r="G11191" s="0" t="s">
        <v>26</v>
      </c>
      <c r="H11191" s="0" t="n">
        <v>110</v>
      </c>
      <c r="I11191" s="0" t="s">
        <v>37328</v>
      </c>
      <c r="J11191" s="0" t="s">
        <v>37329</v>
      </c>
      <c r="K11191" s="0" t="s">
        <v>37330</v>
      </c>
      <c r="L11191" s="0" t="str">
        <f aca="false">HYPERLINK("https://www.ncbi.nlm.nih.gov/nuccore/CP000304.1?report=graph&amp;tracks=[key:gene_model_track,Options:GeneOnly]&amp;mk=3128740:3128759|offset_21|444444,3128762:3128781|offset_43|444444,3128829:3128848|offset_110|00cc00,3128877:3128896|offset_158|444444&amp;v=3128539:3129096&amp;c=444444", "offset 110")</f>
        <v>offset 110</v>
      </c>
    </row>
    <row r="11192" customFormat="false" ht="12.8" hidden="false" customHeight="false" outlineLevel="0" collapsed="false">
      <c r="A11192" s="0" t="s">
        <v>12</v>
      </c>
      <c r="B11192" s="0" t="n">
        <v>3128876</v>
      </c>
      <c r="C11192" s="0" t="n">
        <v>3128896</v>
      </c>
      <c r="D11192" s="0" t="s">
        <v>37321</v>
      </c>
      <c r="E11192" s="0" t="s">
        <v>89</v>
      </c>
      <c r="F11192" s="0" t="s">
        <v>15</v>
      </c>
      <c r="G11192" s="0" t="s">
        <v>36</v>
      </c>
      <c r="H11192" s="0" t="n">
        <v>158</v>
      </c>
      <c r="I11192" s="0" t="s">
        <v>37331</v>
      </c>
      <c r="J11192" s="0" t="s">
        <v>37332</v>
      </c>
      <c r="K11192" s="0" t="s">
        <v>37333</v>
      </c>
      <c r="L11192" s="0" t="str">
        <f aca="false">HYPERLINK("https://www.ncbi.nlm.nih.gov/nuccore/CP000304.1?report=graph&amp;tracks=[key:gene_model_track,Options:GeneOnly]&amp;mk=3128740:3128759|offset_21|444444,3128762:3128781|offset_43|444444,3128829:3128848|offset_110|444444,3128877:3128896|offset_158|00cc00&amp;v=3128539:3129096&amp;c=444444", "offset 158")</f>
        <v>offset 158</v>
      </c>
    </row>
    <row r="11193" customFormat="false" ht="12.8" hidden="false" customHeight="false" outlineLevel="0" collapsed="false">
      <c r="A11193" s="0" t="s">
        <v>12</v>
      </c>
      <c r="B11193" s="0" t="n">
        <v>3129890</v>
      </c>
      <c r="C11193" s="0" t="n">
        <v>3129910</v>
      </c>
      <c r="D11193" s="0" t="s">
        <v>37334</v>
      </c>
      <c r="E11193" s="0" t="s">
        <v>89</v>
      </c>
      <c r="F11193" s="0" t="s">
        <v>15</v>
      </c>
      <c r="G11193" s="0" t="s">
        <v>16</v>
      </c>
      <c r="H11193" s="0" t="n">
        <v>0</v>
      </c>
      <c r="I11193" s="0" t="s">
        <v>37335</v>
      </c>
      <c r="J11193" s="0" t="s">
        <v>37336</v>
      </c>
      <c r="K11193" s="0" t="s">
        <v>37337</v>
      </c>
      <c r="L11193" s="0" t="str">
        <f aca="false">HYPERLINK("https://www.ncbi.nlm.nih.gov/nuccore/CP000304.1?report=graph&amp;tracks=[key:gene_model_track,Options:GeneOnly]&amp;mk=3129891:3129910|offset_0|00cc00,3129913:3129932|offset_22|444444,3129935:3129954|offset_44|444444,3129965:3129984|offset_74|444444&amp;v=3129690:3130184&amp;c=444444", "offset 0")</f>
        <v>offset 0</v>
      </c>
    </row>
    <row r="11194" customFormat="false" ht="12.8" hidden="false" customHeight="false" outlineLevel="0" collapsed="false">
      <c r="A11194" s="0" t="s">
        <v>12</v>
      </c>
      <c r="B11194" s="0" t="n">
        <v>3129912</v>
      </c>
      <c r="C11194" s="0" t="n">
        <v>3129932</v>
      </c>
      <c r="D11194" s="0" t="s">
        <v>37334</v>
      </c>
      <c r="E11194" s="0" t="s">
        <v>89</v>
      </c>
      <c r="F11194" s="0" t="s">
        <v>15</v>
      </c>
      <c r="G11194" s="0" t="s">
        <v>32</v>
      </c>
      <c r="H11194" s="0" t="n">
        <v>22</v>
      </c>
      <c r="I11194" s="0" t="s">
        <v>37338</v>
      </c>
      <c r="J11194" s="0" t="s">
        <v>37339</v>
      </c>
      <c r="K11194" s="0" t="s">
        <v>37340</v>
      </c>
      <c r="L11194" s="0" t="str">
        <f aca="false">HYPERLINK("https://www.ncbi.nlm.nih.gov/nuccore/CP000304.1?report=graph&amp;tracks=[key:gene_model_track,Options:GeneOnly]&amp;mk=3129891:3129910|offset_0|444444,3129913:3129932|offset_22|00cc00,3129935:3129954|offset_44|444444,3129965:3129984|offset_74|444444&amp;v=3129690:3130184&amp;c=444444", "offset 22")</f>
        <v>offset 22</v>
      </c>
    </row>
    <row r="11195" customFormat="false" ht="12.8" hidden="false" customHeight="false" outlineLevel="0" collapsed="false">
      <c r="A11195" s="0" t="s">
        <v>12</v>
      </c>
      <c r="B11195" s="0" t="n">
        <v>3129934</v>
      </c>
      <c r="C11195" s="0" t="n">
        <v>3129954</v>
      </c>
      <c r="D11195" s="0" t="s">
        <v>37334</v>
      </c>
      <c r="E11195" s="0" t="s">
        <v>89</v>
      </c>
      <c r="F11195" s="0" t="s">
        <v>15</v>
      </c>
      <c r="G11195" s="0" t="s">
        <v>16</v>
      </c>
      <c r="H11195" s="0" t="n">
        <v>44</v>
      </c>
      <c r="I11195" s="0" t="s">
        <v>37341</v>
      </c>
      <c r="J11195" s="0" t="s">
        <v>37342</v>
      </c>
      <c r="K11195" s="0" t="s">
        <v>37343</v>
      </c>
      <c r="L11195" s="0" t="str">
        <f aca="false">HYPERLINK("https://www.ncbi.nlm.nih.gov/nuccore/CP000304.1?report=graph&amp;tracks=[key:gene_model_track,Options:GeneOnly]&amp;mk=3129891:3129910|offset_0|444444,3129913:3129932|offset_22|444444,3129935:3129954|offset_44|00cc00,3129965:3129984|offset_74|444444&amp;v=3129690:3130184&amp;c=444444", "offset 44")</f>
        <v>offset 44</v>
      </c>
    </row>
    <row r="11196" customFormat="false" ht="12.8" hidden="false" customHeight="false" outlineLevel="0" collapsed="false">
      <c r="A11196" s="0" t="s">
        <v>12</v>
      </c>
      <c r="B11196" s="0" t="n">
        <v>3129964</v>
      </c>
      <c r="C11196" s="0" t="n">
        <v>3129984</v>
      </c>
      <c r="D11196" s="0" t="s">
        <v>37334</v>
      </c>
      <c r="E11196" s="0" t="s">
        <v>89</v>
      </c>
      <c r="F11196" s="0" t="s">
        <v>15</v>
      </c>
      <c r="G11196" s="0" t="s">
        <v>26</v>
      </c>
      <c r="H11196" s="0" t="n">
        <v>74</v>
      </c>
      <c r="I11196" s="0" t="s">
        <v>37344</v>
      </c>
      <c r="J11196" s="0" t="s">
        <v>37345</v>
      </c>
      <c r="K11196" s="0" t="s">
        <v>37346</v>
      </c>
      <c r="L11196" s="0" t="str">
        <f aca="false">HYPERLINK("https://www.ncbi.nlm.nih.gov/nuccore/CP000304.1?report=graph&amp;tracks=[key:gene_model_track,Options:GeneOnly]&amp;mk=3129891:3129910|offset_0|444444,3129913:3129932|offset_22|444444,3129935:3129954|offset_44|444444,3129965:3129984|offset_74|00cc00&amp;v=3129690:3130184&amp;c=444444", "offset 74")</f>
        <v>offset 74</v>
      </c>
    </row>
    <row r="11197" customFormat="false" ht="12.8" hidden="false" customHeight="false" outlineLevel="0" collapsed="false">
      <c r="A11197" s="0" t="s">
        <v>12</v>
      </c>
      <c r="B11197" s="0" t="n">
        <v>3132195</v>
      </c>
      <c r="C11197" s="0" t="n">
        <v>3132215</v>
      </c>
      <c r="D11197" s="0" t="s">
        <v>37347</v>
      </c>
      <c r="E11197" s="0" t="s">
        <v>89</v>
      </c>
      <c r="F11197" s="0" t="s">
        <v>90</v>
      </c>
      <c r="G11197" s="0" t="s">
        <v>16</v>
      </c>
      <c r="H11197" s="0" t="n">
        <v>30</v>
      </c>
      <c r="I11197" s="0" t="s">
        <v>37348</v>
      </c>
      <c r="J11197" s="0" t="s">
        <v>37349</v>
      </c>
      <c r="K11197" s="0" t="s">
        <v>37350</v>
      </c>
      <c r="L11197" s="0" t="str">
        <f aca="false">HYPERLINK("https://www.ncbi.nlm.nih.gov/nuccore/CP000304.1?report=graph&amp;tracks=[key:gene_model_track,Options:GeneOnly]&amp;mk=3132196:3132215|offset_30|00cc00,3132168:3132187|offset_58|444444,3132120:3132139|offset_106|444444,3132095:3132114|offset_131|444444&amp;v=3131995:3132314&amp;c=444444", "offset 30")</f>
        <v>offset 30</v>
      </c>
    </row>
    <row r="11198" customFormat="false" ht="12.8" hidden="false" customHeight="false" outlineLevel="0" collapsed="false">
      <c r="A11198" s="0" t="s">
        <v>12</v>
      </c>
      <c r="B11198" s="0" t="n">
        <v>3132167</v>
      </c>
      <c r="C11198" s="0" t="n">
        <v>3132187</v>
      </c>
      <c r="D11198" s="0" t="s">
        <v>37347</v>
      </c>
      <c r="E11198" s="0" t="s">
        <v>89</v>
      </c>
      <c r="F11198" s="0" t="s">
        <v>90</v>
      </c>
      <c r="G11198" s="0" t="s">
        <v>26</v>
      </c>
      <c r="H11198" s="0" t="n">
        <v>58</v>
      </c>
      <c r="I11198" s="0" t="s">
        <v>37351</v>
      </c>
      <c r="J11198" s="0" t="s">
        <v>37352</v>
      </c>
      <c r="K11198" s="0" t="s">
        <v>37353</v>
      </c>
      <c r="L11198" s="0" t="str">
        <f aca="false">HYPERLINK("https://www.ncbi.nlm.nih.gov/nuccore/CP000304.1?report=graph&amp;tracks=[key:gene_model_track,Options:GeneOnly]&amp;mk=3132196:3132215|offset_30|444444,3132168:3132187|offset_58|00cc00,3132120:3132139|offset_106|444444,3132095:3132114|offset_131|444444&amp;v=3131995:3132314&amp;c=444444", "offset 58")</f>
        <v>offset 58</v>
      </c>
    </row>
    <row r="11199" customFormat="false" ht="12.8" hidden="false" customHeight="false" outlineLevel="0" collapsed="false">
      <c r="A11199" s="0" t="s">
        <v>12</v>
      </c>
      <c r="B11199" s="0" t="n">
        <v>3132119</v>
      </c>
      <c r="C11199" s="0" t="n">
        <v>3132139</v>
      </c>
      <c r="D11199" s="0" t="s">
        <v>37347</v>
      </c>
      <c r="E11199" s="0" t="s">
        <v>89</v>
      </c>
      <c r="F11199" s="0" t="s">
        <v>90</v>
      </c>
      <c r="G11199" s="0" t="s">
        <v>16</v>
      </c>
      <c r="H11199" s="0" t="n">
        <v>106</v>
      </c>
      <c r="I11199" s="0" t="s">
        <v>37354</v>
      </c>
      <c r="J11199" s="0" t="s">
        <v>37355</v>
      </c>
      <c r="K11199" s="0" t="s">
        <v>37356</v>
      </c>
      <c r="L11199" s="0" t="str">
        <f aca="false">HYPERLINK("https://www.ncbi.nlm.nih.gov/nuccore/CP000304.1?report=graph&amp;tracks=[key:gene_model_track,Options:GeneOnly]&amp;mk=3132196:3132215|offset_30|444444,3132168:3132187|offset_58|444444,3132120:3132139|offset_106|00cc00,3132095:3132114|offset_131|444444&amp;v=3131995:3132314&amp;c=444444", "offset 106")</f>
        <v>offset 106</v>
      </c>
    </row>
    <row r="11200" customFormat="false" ht="12.8" hidden="false" customHeight="false" outlineLevel="0" collapsed="false">
      <c r="A11200" s="0" t="s">
        <v>12</v>
      </c>
      <c r="B11200" s="0" t="n">
        <v>3132094</v>
      </c>
      <c r="C11200" s="0" t="n">
        <v>3132114</v>
      </c>
      <c r="D11200" s="0" t="s">
        <v>37347</v>
      </c>
      <c r="E11200" s="0" t="s">
        <v>89</v>
      </c>
      <c r="F11200" s="0" t="s">
        <v>90</v>
      </c>
      <c r="G11200" s="0" t="s">
        <v>26</v>
      </c>
      <c r="H11200" s="0" t="n">
        <v>131</v>
      </c>
      <c r="I11200" s="0" t="s">
        <v>37357</v>
      </c>
      <c r="J11200" s="0" t="s">
        <v>37358</v>
      </c>
      <c r="K11200" s="0" t="s">
        <v>37359</v>
      </c>
      <c r="L11200" s="0" t="str">
        <f aca="false">HYPERLINK("https://www.ncbi.nlm.nih.gov/nuccore/CP000304.1?report=graph&amp;tracks=[key:gene_model_track,Options:GeneOnly]&amp;mk=3132196:3132215|offset_30|444444,3132168:3132187|offset_58|444444,3132120:3132139|offset_106|444444,3132095:3132114|offset_131|00cc00&amp;v=3131995:3132314&amp;c=444444", "offset 131")</f>
        <v>offset 131</v>
      </c>
    </row>
    <row r="11201" customFormat="false" ht="12.8" hidden="false" customHeight="false" outlineLevel="0" collapsed="false">
      <c r="A11201" s="0" t="s">
        <v>12</v>
      </c>
      <c r="B11201" s="0" t="n">
        <v>3132722</v>
      </c>
      <c r="C11201" s="0" t="n">
        <v>3132742</v>
      </c>
      <c r="D11201" s="0" t="s">
        <v>37360</v>
      </c>
      <c r="E11201" s="0" t="s">
        <v>89</v>
      </c>
      <c r="F11201" s="0" t="s">
        <v>90</v>
      </c>
      <c r="G11201" s="0" t="s">
        <v>16</v>
      </c>
      <c r="H11201" s="0" t="n">
        <v>76</v>
      </c>
      <c r="I11201" s="0" t="s">
        <v>37361</v>
      </c>
      <c r="J11201" s="0" t="s">
        <v>37362</v>
      </c>
      <c r="K11201" s="0" t="s">
        <v>37363</v>
      </c>
      <c r="L11201" s="0" t="str">
        <f aca="false">HYPERLINK("https://www.ncbi.nlm.nih.gov/nuccore/CP000304.1?report=graph&amp;tracks=[key:gene_model_track,Options:GeneOnly]&amp;mk=3132723:3132742|offset_76|00cc00,3132687:3132706|offset_112|444444,3132666:3132685|offset_133|444444,3132588:3132607|offset_211|444444&amp;v=3132522:3132807&amp;c=444444", "offset 76")</f>
        <v>offset 76</v>
      </c>
    </row>
    <row r="11202" customFormat="false" ht="12.8" hidden="false" customHeight="false" outlineLevel="0" collapsed="false">
      <c r="A11202" s="0" t="s">
        <v>12</v>
      </c>
      <c r="B11202" s="0" t="n">
        <v>3132686</v>
      </c>
      <c r="C11202" s="0" t="n">
        <v>3132706</v>
      </c>
      <c r="D11202" s="0" t="s">
        <v>37360</v>
      </c>
      <c r="E11202" s="0" t="s">
        <v>89</v>
      </c>
      <c r="F11202" s="0" t="s">
        <v>90</v>
      </c>
      <c r="G11202" s="0" t="s">
        <v>16</v>
      </c>
      <c r="H11202" s="0" t="n">
        <v>112</v>
      </c>
      <c r="I11202" s="0" t="s">
        <v>37364</v>
      </c>
      <c r="J11202" s="0" t="s">
        <v>37365</v>
      </c>
      <c r="K11202" s="0" t="s">
        <v>37366</v>
      </c>
      <c r="L11202" s="0" t="str">
        <f aca="false">HYPERLINK("https://www.ncbi.nlm.nih.gov/nuccore/CP000304.1?report=graph&amp;tracks=[key:gene_model_track,Options:GeneOnly]&amp;mk=3132723:3132742|offset_76|444444,3132687:3132706|offset_112|00cc00,3132666:3132685|offset_133|444444,3132588:3132607|offset_211|444444&amp;v=3132522:3132807&amp;c=444444", "offset 112")</f>
        <v>offset 112</v>
      </c>
    </row>
    <row r="11203" customFormat="false" ht="12.8" hidden="false" customHeight="false" outlineLevel="0" collapsed="false">
      <c r="A11203" s="0" t="s">
        <v>12</v>
      </c>
      <c r="B11203" s="0" t="n">
        <v>3132665</v>
      </c>
      <c r="C11203" s="0" t="n">
        <v>3132685</v>
      </c>
      <c r="D11203" s="0" t="s">
        <v>37360</v>
      </c>
      <c r="E11203" s="0" t="s">
        <v>89</v>
      </c>
      <c r="F11203" s="0" t="s">
        <v>90</v>
      </c>
      <c r="G11203" s="0" t="s">
        <v>16</v>
      </c>
      <c r="H11203" s="0" t="n">
        <v>133</v>
      </c>
      <c r="I11203" s="0" t="s">
        <v>37367</v>
      </c>
      <c r="J11203" s="0" t="s">
        <v>37368</v>
      </c>
      <c r="K11203" s="0" t="s">
        <v>37369</v>
      </c>
      <c r="L11203" s="0" t="str">
        <f aca="false">HYPERLINK("https://www.ncbi.nlm.nih.gov/nuccore/CP000304.1?report=graph&amp;tracks=[key:gene_model_track,Options:GeneOnly]&amp;mk=3132723:3132742|offset_76|444444,3132687:3132706|offset_112|444444,3132666:3132685|offset_133|00cc00,3132588:3132607|offset_211|444444&amp;v=3132522:3132807&amp;c=444444", "offset 133")</f>
        <v>offset 133</v>
      </c>
    </row>
    <row r="11204" customFormat="false" ht="12.8" hidden="false" customHeight="false" outlineLevel="0" collapsed="false">
      <c r="A11204" s="0" t="s">
        <v>12</v>
      </c>
      <c r="B11204" s="0" t="n">
        <v>3132587</v>
      </c>
      <c r="C11204" s="0" t="n">
        <v>3132607</v>
      </c>
      <c r="D11204" s="0" t="s">
        <v>37360</v>
      </c>
      <c r="E11204" s="0" t="s">
        <v>89</v>
      </c>
      <c r="F11204" s="0" t="s">
        <v>90</v>
      </c>
      <c r="G11204" s="0" t="s">
        <v>36</v>
      </c>
      <c r="H11204" s="0" t="n">
        <v>211</v>
      </c>
      <c r="I11204" s="0" t="s">
        <v>37370</v>
      </c>
      <c r="J11204" s="0" t="s">
        <v>37371</v>
      </c>
      <c r="K11204" s="0" t="s">
        <v>37372</v>
      </c>
      <c r="L11204" s="0" t="str">
        <f aca="false">HYPERLINK("https://www.ncbi.nlm.nih.gov/nuccore/CP000304.1?report=graph&amp;tracks=[key:gene_model_track,Options:GeneOnly]&amp;mk=3132723:3132742|offset_76|444444,3132687:3132706|offset_112|444444,3132666:3132685|offset_133|444444,3132588:3132607|offset_211|00cc00&amp;v=3132522:3132807&amp;c=444444", "offset 211")</f>
        <v>offset 211</v>
      </c>
    </row>
    <row r="11205" customFormat="false" ht="12.8" hidden="false" customHeight="false" outlineLevel="0" collapsed="false">
      <c r="A11205" s="0" t="s">
        <v>12</v>
      </c>
      <c r="B11205" s="0" t="n">
        <v>3132840</v>
      </c>
      <c r="C11205" s="0" t="n">
        <v>3132860</v>
      </c>
      <c r="D11205" s="0" t="s">
        <v>37373</v>
      </c>
      <c r="E11205" s="0" t="s">
        <v>89</v>
      </c>
      <c r="F11205" s="0" t="s">
        <v>15</v>
      </c>
      <c r="G11205" s="0" t="s">
        <v>26</v>
      </c>
      <c r="H11205" s="0" t="n">
        <v>1</v>
      </c>
      <c r="I11205" s="0" t="s">
        <v>37374</v>
      </c>
      <c r="J11205" s="0" t="s">
        <v>37375</v>
      </c>
      <c r="K11205" s="0" t="s">
        <v>37376</v>
      </c>
      <c r="L11205" s="0" t="str">
        <f aca="false">HYPERLINK("https://www.ncbi.nlm.nih.gov/nuccore/CP000304.1?report=graph&amp;tracks=[key:gene_model_track,Options:GeneOnly]&amp;mk=3132841:3132860|offset_1|00cc00,3132881:3132900|offset_41|444444,3132907:3132926|offset_67|444444,3132930:3132949|offset_90|444444&amp;v=3132640:3133149&amp;c=444444", "offset 1")</f>
        <v>offset 1</v>
      </c>
    </row>
    <row r="11206" customFormat="false" ht="12.8" hidden="false" customHeight="false" outlineLevel="0" collapsed="false">
      <c r="A11206" s="0" t="s">
        <v>12</v>
      </c>
      <c r="B11206" s="0" t="n">
        <v>3132880</v>
      </c>
      <c r="C11206" s="0" t="n">
        <v>3132900</v>
      </c>
      <c r="D11206" s="0" t="s">
        <v>37373</v>
      </c>
      <c r="E11206" s="0" t="s">
        <v>89</v>
      </c>
      <c r="F11206" s="0" t="s">
        <v>15</v>
      </c>
      <c r="G11206" s="0" t="s">
        <v>26</v>
      </c>
      <c r="H11206" s="0" t="n">
        <v>41</v>
      </c>
      <c r="I11206" s="0" t="s">
        <v>37377</v>
      </c>
      <c r="J11206" s="0" t="s">
        <v>37378</v>
      </c>
      <c r="K11206" s="0" t="s">
        <v>37379</v>
      </c>
      <c r="L11206" s="0" t="str">
        <f aca="false">HYPERLINK("https://www.ncbi.nlm.nih.gov/nuccore/CP000304.1?report=graph&amp;tracks=[key:gene_model_track,Options:GeneOnly]&amp;mk=3132841:3132860|offset_1|444444,3132881:3132900|offset_41|00cc00,3132907:3132926|offset_67|444444,3132930:3132949|offset_90|444444&amp;v=3132640:3133149&amp;c=444444", "offset 41")</f>
        <v>offset 41</v>
      </c>
    </row>
    <row r="11207" customFormat="false" ht="12.8" hidden="false" customHeight="false" outlineLevel="0" collapsed="false">
      <c r="A11207" s="0" t="s">
        <v>12</v>
      </c>
      <c r="B11207" s="0" t="n">
        <v>3132906</v>
      </c>
      <c r="C11207" s="0" t="n">
        <v>3132926</v>
      </c>
      <c r="D11207" s="0" t="s">
        <v>37373</v>
      </c>
      <c r="E11207" s="0" t="s">
        <v>89</v>
      </c>
      <c r="F11207" s="0" t="s">
        <v>15</v>
      </c>
      <c r="G11207" s="0" t="s">
        <v>16</v>
      </c>
      <c r="H11207" s="0" t="n">
        <v>67</v>
      </c>
      <c r="I11207" s="0" t="s">
        <v>37380</v>
      </c>
      <c r="J11207" s="0" t="s">
        <v>37381</v>
      </c>
      <c r="K11207" s="0" t="s">
        <v>37382</v>
      </c>
      <c r="L11207" s="0" t="str">
        <f aca="false">HYPERLINK("https://www.ncbi.nlm.nih.gov/nuccore/CP000304.1?report=graph&amp;tracks=[key:gene_model_track,Options:GeneOnly]&amp;mk=3132841:3132860|offset_1|444444,3132881:3132900|offset_41|444444,3132907:3132926|offset_67|00cc00,3132930:3132949|offset_90|444444&amp;v=3132640:3133149&amp;c=444444", "offset 67")</f>
        <v>offset 67</v>
      </c>
    </row>
    <row r="11208" customFormat="false" ht="12.8" hidden="false" customHeight="false" outlineLevel="0" collapsed="false">
      <c r="A11208" s="0" t="s">
        <v>12</v>
      </c>
      <c r="B11208" s="0" t="n">
        <v>3132929</v>
      </c>
      <c r="C11208" s="0" t="n">
        <v>3132949</v>
      </c>
      <c r="D11208" s="0" t="s">
        <v>37373</v>
      </c>
      <c r="E11208" s="0" t="s">
        <v>89</v>
      </c>
      <c r="F11208" s="0" t="s">
        <v>15</v>
      </c>
      <c r="G11208" s="0" t="s">
        <v>36</v>
      </c>
      <c r="H11208" s="0" t="n">
        <v>90</v>
      </c>
      <c r="I11208" s="0" t="s">
        <v>37383</v>
      </c>
      <c r="J11208" s="0" t="s">
        <v>37384</v>
      </c>
      <c r="K11208" s="0" t="s">
        <v>37385</v>
      </c>
      <c r="L11208" s="0" t="str">
        <f aca="false">HYPERLINK("https://www.ncbi.nlm.nih.gov/nuccore/CP000304.1?report=graph&amp;tracks=[key:gene_model_track,Options:GeneOnly]&amp;mk=3132841:3132860|offset_1|444444,3132881:3132900|offset_41|444444,3132907:3132926|offset_67|444444,3132930:3132949|offset_90|00cc00&amp;v=3132640:3133149&amp;c=444444", "offset 90")</f>
        <v>offset 90</v>
      </c>
    </row>
    <row r="11209" customFormat="false" ht="12.8" hidden="false" customHeight="false" outlineLevel="0" collapsed="false">
      <c r="A11209" s="0" t="s">
        <v>12</v>
      </c>
      <c r="B11209" s="0" t="n">
        <v>3134612</v>
      </c>
      <c r="C11209" s="0" t="n">
        <v>3134632</v>
      </c>
      <c r="D11209" s="0" t="s">
        <v>37386</v>
      </c>
      <c r="E11209" s="0" t="s">
        <v>37387</v>
      </c>
      <c r="F11209" s="0" t="s">
        <v>15</v>
      </c>
      <c r="G11209" s="0" t="s">
        <v>26</v>
      </c>
      <c r="H11209" s="0" t="n">
        <v>13</v>
      </c>
      <c r="I11209" s="0" t="s">
        <v>37388</v>
      </c>
      <c r="J11209" s="0" t="s">
        <v>37389</v>
      </c>
      <c r="K11209" s="0" t="s">
        <v>37390</v>
      </c>
      <c r="L11209" s="0" t="str">
        <f aca="false">HYPERLINK("https://www.ncbi.nlm.nih.gov/nuccore/CP000304.1?report=graph&amp;tracks=[key:gene_model_track,Options:GeneOnly]&amp;mk=3134613:3134632|offset_13|00cc00,3134640:3134659|offset_40|444444,3134662:3134681|offset_62|444444,3134688:3134707|offset_88|444444&amp;v=3134412:3134907&amp;c=444444", "offset 13")</f>
        <v>offset 13</v>
      </c>
    </row>
    <row r="11210" customFormat="false" ht="12.8" hidden="false" customHeight="false" outlineLevel="0" collapsed="false">
      <c r="A11210" s="0" t="s">
        <v>12</v>
      </c>
      <c r="B11210" s="0" t="n">
        <v>3134639</v>
      </c>
      <c r="C11210" s="0" t="n">
        <v>3134659</v>
      </c>
      <c r="D11210" s="0" t="s">
        <v>37386</v>
      </c>
      <c r="E11210" s="0" t="s">
        <v>37387</v>
      </c>
      <c r="F11210" s="0" t="s">
        <v>15</v>
      </c>
      <c r="G11210" s="0" t="s">
        <v>16</v>
      </c>
      <c r="H11210" s="0" t="n">
        <v>40</v>
      </c>
      <c r="I11210" s="0" t="s">
        <v>37391</v>
      </c>
      <c r="J11210" s="0" t="s">
        <v>37392</v>
      </c>
      <c r="K11210" s="0" t="s">
        <v>37393</v>
      </c>
      <c r="L11210" s="0" t="str">
        <f aca="false">HYPERLINK("https://www.ncbi.nlm.nih.gov/nuccore/CP000304.1?report=graph&amp;tracks=[key:gene_model_track,Options:GeneOnly]&amp;mk=3134613:3134632|offset_13|444444,3134640:3134659|offset_40|00cc00,3134662:3134681|offset_62|444444,3134688:3134707|offset_88|444444&amp;v=3134412:3134907&amp;c=444444", "offset 40")</f>
        <v>offset 40</v>
      </c>
    </row>
    <row r="11211" customFormat="false" ht="12.8" hidden="false" customHeight="false" outlineLevel="0" collapsed="false">
      <c r="A11211" s="0" t="s">
        <v>12</v>
      </c>
      <c r="B11211" s="0" t="n">
        <v>3134661</v>
      </c>
      <c r="C11211" s="0" t="n">
        <v>3134681</v>
      </c>
      <c r="D11211" s="0" t="s">
        <v>37386</v>
      </c>
      <c r="E11211" s="0" t="s">
        <v>37387</v>
      </c>
      <c r="F11211" s="0" t="s">
        <v>15</v>
      </c>
      <c r="G11211" s="0" t="s">
        <v>36</v>
      </c>
      <c r="H11211" s="0" t="n">
        <v>62</v>
      </c>
      <c r="I11211" s="0" t="s">
        <v>37394</v>
      </c>
      <c r="J11211" s="0" t="s">
        <v>37395</v>
      </c>
      <c r="K11211" s="0" t="s">
        <v>37396</v>
      </c>
      <c r="L11211" s="0" t="str">
        <f aca="false">HYPERLINK("https://www.ncbi.nlm.nih.gov/nuccore/CP000304.1?report=graph&amp;tracks=[key:gene_model_track,Options:GeneOnly]&amp;mk=3134613:3134632|offset_13|444444,3134640:3134659|offset_40|444444,3134662:3134681|offset_62|00cc00,3134688:3134707|offset_88|444444&amp;v=3134412:3134907&amp;c=444444", "offset 62")</f>
        <v>offset 62</v>
      </c>
    </row>
    <row r="11212" customFormat="false" ht="12.8" hidden="false" customHeight="false" outlineLevel="0" collapsed="false">
      <c r="A11212" s="0" t="s">
        <v>12</v>
      </c>
      <c r="B11212" s="0" t="n">
        <v>3134687</v>
      </c>
      <c r="C11212" s="0" t="n">
        <v>3134707</v>
      </c>
      <c r="D11212" s="0" t="s">
        <v>37386</v>
      </c>
      <c r="E11212" s="0" t="s">
        <v>37387</v>
      </c>
      <c r="F11212" s="0" t="s">
        <v>15</v>
      </c>
      <c r="G11212" s="0" t="s">
        <v>16</v>
      </c>
      <c r="H11212" s="0" t="n">
        <v>88</v>
      </c>
      <c r="I11212" s="0" t="s">
        <v>37397</v>
      </c>
      <c r="J11212" s="0" t="s">
        <v>37398</v>
      </c>
      <c r="K11212" s="0" t="s">
        <v>37399</v>
      </c>
      <c r="L11212" s="0" t="str">
        <f aca="false">HYPERLINK("https://www.ncbi.nlm.nih.gov/nuccore/CP000304.1?report=graph&amp;tracks=[key:gene_model_track,Options:GeneOnly]&amp;mk=3134613:3134632|offset_13|444444,3134640:3134659|offset_40|444444,3134662:3134681|offset_62|444444,3134688:3134707|offset_88|00cc00&amp;v=3134412:3134907&amp;c=444444", "offset 88")</f>
        <v>offset 88</v>
      </c>
    </row>
    <row r="11213" customFormat="false" ht="12.8" hidden="false" customHeight="false" outlineLevel="0" collapsed="false">
      <c r="A11213" s="0" t="s">
        <v>12</v>
      </c>
      <c r="B11213" s="0" t="n">
        <v>3136970</v>
      </c>
      <c r="C11213" s="0" t="n">
        <v>3136990</v>
      </c>
      <c r="D11213" s="0" t="s">
        <v>37400</v>
      </c>
      <c r="E11213" s="0" t="s">
        <v>89</v>
      </c>
      <c r="F11213" s="0" t="s">
        <v>90</v>
      </c>
      <c r="G11213" s="0" t="s">
        <v>36</v>
      </c>
      <c r="H11213" s="0" t="n">
        <v>16</v>
      </c>
      <c r="I11213" s="0" t="s">
        <v>37401</v>
      </c>
      <c r="J11213" s="0" t="s">
        <v>37402</v>
      </c>
      <c r="K11213" s="0" t="s">
        <v>37403</v>
      </c>
      <c r="L11213" s="0" t="str">
        <f aca="false">HYPERLINK("https://www.ncbi.nlm.nih.gov/nuccore/CP000304.1?report=graph&amp;tracks=[key:gene_model_track,Options:GeneOnly]&amp;mk=3136971:3136990|offset_16|00cc00,3136950:3136969|offset_37|444444,3136923:3136942|offset_64|444444,3136902:3136921|offset_85|444444&amp;v=3136770:3137121&amp;c=444444", "offset 16")</f>
        <v>offset 16</v>
      </c>
    </row>
    <row r="11214" customFormat="false" ht="12.8" hidden="false" customHeight="false" outlineLevel="0" collapsed="false">
      <c r="A11214" s="0" t="s">
        <v>12</v>
      </c>
      <c r="B11214" s="0" t="n">
        <v>3136949</v>
      </c>
      <c r="C11214" s="0" t="n">
        <v>3136969</v>
      </c>
      <c r="D11214" s="0" t="s">
        <v>37400</v>
      </c>
      <c r="E11214" s="0" t="s">
        <v>89</v>
      </c>
      <c r="F11214" s="0" t="s">
        <v>90</v>
      </c>
      <c r="G11214" s="0" t="s">
        <v>32</v>
      </c>
      <c r="H11214" s="0" t="n">
        <v>37</v>
      </c>
      <c r="I11214" s="0" t="s">
        <v>37404</v>
      </c>
      <c r="J11214" s="0" t="s">
        <v>37405</v>
      </c>
      <c r="K11214" s="0" t="s">
        <v>37406</v>
      </c>
      <c r="L11214" s="0" t="str">
        <f aca="false">HYPERLINK("https://www.ncbi.nlm.nih.gov/nuccore/CP000304.1?report=graph&amp;tracks=[key:gene_model_track,Options:GeneOnly]&amp;mk=3136971:3136990|offset_16|444444,3136950:3136969|offset_37|00cc00,3136923:3136942|offset_64|444444,3136902:3136921|offset_85|444444&amp;v=3136770:3137121&amp;c=444444", "offset 37")</f>
        <v>offset 37</v>
      </c>
    </row>
    <row r="11215" customFormat="false" ht="12.8" hidden="false" customHeight="false" outlineLevel="0" collapsed="false">
      <c r="A11215" s="0" t="s">
        <v>12</v>
      </c>
      <c r="B11215" s="0" t="n">
        <v>3136922</v>
      </c>
      <c r="C11215" s="0" t="n">
        <v>3136942</v>
      </c>
      <c r="D11215" s="0" t="s">
        <v>37400</v>
      </c>
      <c r="E11215" s="0" t="s">
        <v>89</v>
      </c>
      <c r="F11215" s="0" t="s">
        <v>90</v>
      </c>
      <c r="G11215" s="0" t="s">
        <v>32</v>
      </c>
      <c r="H11215" s="0" t="n">
        <v>64</v>
      </c>
      <c r="I11215" s="0" t="s">
        <v>37407</v>
      </c>
      <c r="J11215" s="0" t="s">
        <v>37408</v>
      </c>
      <c r="K11215" s="0" t="s">
        <v>37409</v>
      </c>
      <c r="L11215" s="0" t="str">
        <f aca="false">HYPERLINK("https://www.ncbi.nlm.nih.gov/nuccore/CP000304.1?report=graph&amp;tracks=[key:gene_model_track,Options:GeneOnly]&amp;mk=3136971:3136990|offset_16|444444,3136950:3136969|offset_37|444444,3136923:3136942|offset_64|00cc00,3136902:3136921|offset_85|444444&amp;v=3136770:3137121&amp;c=444444", "offset 64")</f>
        <v>offset 64</v>
      </c>
    </row>
    <row r="11216" customFormat="false" ht="12.8" hidden="false" customHeight="false" outlineLevel="0" collapsed="false">
      <c r="A11216" s="0" t="s">
        <v>12</v>
      </c>
      <c r="B11216" s="0" t="n">
        <v>3136901</v>
      </c>
      <c r="C11216" s="0" t="n">
        <v>3136921</v>
      </c>
      <c r="D11216" s="0" t="s">
        <v>37400</v>
      </c>
      <c r="E11216" s="0" t="s">
        <v>89</v>
      </c>
      <c r="F11216" s="0" t="s">
        <v>90</v>
      </c>
      <c r="G11216" s="0" t="s">
        <v>36</v>
      </c>
      <c r="H11216" s="0" t="n">
        <v>85</v>
      </c>
      <c r="I11216" s="0" t="s">
        <v>37410</v>
      </c>
      <c r="J11216" s="0" t="s">
        <v>37411</v>
      </c>
      <c r="K11216" s="0" t="s">
        <v>37412</v>
      </c>
      <c r="L11216" s="0" t="str">
        <f aca="false">HYPERLINK("https://www.ncbi.nlm.nih.gov/nuccore/CP000304.1?report=graph&amp;tracks=[key:gene_model_track,Options:GeneOnly]&amp;mk=3136971:3136990|offset_16|444444,3136950:3136969|offset_37|444444,3136923:3136942|offset_64|444444,3136902:3136921|offset_85|00cc00&amp;v=3136770:3137121&amp;c=444444", "offset 85")</f>
        <v>offset 85</v>
      </c>
    </row>
    <row r="11217" customFormat="false" ht="12.8" hidden="false" customHeight="false" outlineLevel="0" collapsed="false">
      <c r="A11217" s="0" t="s">
        <v>12</v>
      </c>
      <c r="B11217" s="0" t="n">
        <v>3138160</v>
      </c>
      <c r="C11217" s="0" t="n">
        <v>3138180</v>
      </c>
      <c r="D11217" s="0" t="s">
        <v>37413</v>
      </c>
      <c r="E11217" s="0" t="s">
        <v>89</v>
      </c>
      <c r="F11217" s="0" t="s">
        <v>90</v>
      </c>
      <c r="G11217" s="0" t="s">
        <v>16</v>
      </c>
      <c r="H11217" s="0" t="n">
        <v>16</v>
      </c>
      <c r="I11217" s="0" t="s">
        <v>37414</v>
      </c>
      <c r="J11217" s="0" t="s">
        <v>37415</v>
      </c>
      <c r="K11217" s="0" t="s">
        <v>37416</v>
      </c>
      <c r="L11217" s="0" t="str">
        <f aca="false">HYPERLINK("https://www.ncbi.nlm.nih.gov/nuccore/CP000304.1?report=graph&amp;tracks=[key:gene_model_track,Options:GeneOnly]&amp;mk=3138161:3138180|offset_16|00cc00,3138129:3138148|offset_48|444444,3138084:3138103|offset_93|444444,3138061:3138080|offset_116|444444&amp;v=3137960:3138280&amp;c=444444", "offset 16")</f>
        <v>offset 16</v>
      </c>
    </row>
    <row r="11218" customFormat="false" ht="12.8" hidden="false" customHeight="false" outlineLevel="0" collapsed="false">
      <c r="A11218" s="0" t="s">
        <v>12</v>
      </c>
      <c r="B11218" s="0" t="n">
        <v>3138128</v>
      </c>
      <c r="C11218" s="0" t="n">
        <v>3138148</v>
      </c>
      <c r="D11218" s="0" t="s">
        <v>37413</v>
      </c>
      <c r="E11218" s="0" t="s">
        <v>89</v>
      </c>
      <c r="F11218" s="0" t="s">
        <v>90</v>
      </c>
      <c r="G11218" s="0" t="s">
        <v>16</v>
      </c>
      <c r="H11218" s="0" t="n">
        <v>48</v>
      </c>
      <c r="I11218" s="0" t="s">
        <v>37417</v>
      </c>
      <c r="J11218" s="0" t="s">
        <v>37418</v>
      </c>
      <c r="K11218" s="0" t="s">
        <v>37419</v>
      </c>
      <c r="L11218" s="0" t="str">
        <f aca="false">HYPERLINK("https://www.ncbi.nlm.nih.gov/nuccore/CP000304.1?report=graph&amp;tracks=[key:gene_model_track,Options:GeneOnly]&amp;mk=3138161:3138180|offset_16|444444,3138129:3138148|offset_48|00cc00,3138084:3138103|offset_93|444444,3138061:3138080|offset_116|444444&amp;v=3137960:3138280&amp;c=444444", "offset 48")</f>
        <v>offset 48</v>
      </c>
    </row>
    <row r="11219" customFormat="false" ht="12.8" hidden="false" customHeight="false" outlineLevel="0" collapsed="false">
      <c r="A11219" s="0" t="s">
        <v>12</v>
      </c>
      <c r="B11219" s="0" t="n">
        <v>3138083</v>
      </c>
      <c r="C11219" s="0" t="n">
        <v>3138103</v>
      </c>
      <c r="D11219" s="0" t="s">
        <v>37413</v>
      </c>
      <c r="E11219" s="0" t="s">
        <v>89</v>
      </c>
      <c r="F11219" s="0" t="s">
        <v>90</v>
      </c>
      <c r="G11219" s="0" t="s">
        <v>36</v>
      </c>
      <c r="H11219" s="0" t="n">
        <v>93</v>
      </c>
      <c r="I11219" s="0" t="s">
        <v>37420</v>
      </c>
      <c r="J11219" s="0" t="s">
        <v>37421</v>
      </c>
      <c r="K11219" s="0" t="s">
        <v>37422</v>
      </c>
      <c r="L11219" s="0" t="str">
        <f aca="false">HYPERLINK("https://www.ncbi.nlm.nih.gov/nuccore/CP000304.1?report=graph&amp;tracks=[key:gene_model_track,Options:GeneOnly]&amp;mk=3138161:3138180|offset_16|444444,3138129:3138148|offset_48|444444,3138084:3138103|offset_93|00cc00,3138061:3138080|offset_116|444444&amp;v=3137960:3138280&amp;c=444444", "offset 93")</f>
        <v>offset 93</v>
      </c>
    </row>
    <row r="11220" customFormat="false" ht="12.8" hidden="false" customHeight="false" outlineLevel="0" collapsed="false">
      <c r="A11220" s="0" t="s">
        <v>12</v>
      </c>
      <c r="B11220" s="0" t="n">
        <v>3138060</v>
      </c>
      <c r="C11220" s="0" t="n">
        <v>3138080</v>
      </c>
      <c r="D11220" s="0" t="s">
        <v>37413</v>
      </c>
      <c r="E11220" s="0" t="s">
        <v>89</v>
      </c>
      <c r="F11220" s="0" t="s">
        <v>90</v>
      </c>
      <c r="G11220" s="0" t="s">
        <v>16</v>
      </c>
      <c r="H11220" s="0" t="n">
        <v>116</v>
      </c>
      <c r="I11220" s="0" t="s">
        <v>37423</v>
      </c>
      <c r="J11220" s="0" t="s">
        <v>37424</v>
      </c>
      <c r="K11220" s="0" t="s">
        <v>37425</v>
      </c>
      <c r="L11220" s="0" t="str">
        <f aca="false">HYPERLINK("https://www.ncbi.nlm.nih.gov/nuccore/CP000304.1?report=graph&amp;tracks=[key:gene_model_track,Options:GeneOnly]&amp;mk=3138161:3138180|offset_16|444444,3138129:3138148|offset_48|444444,3138084:3138103|offset_93|444444,3138061:3138080|offset_116|00cc00&amp;v=3137960:3138280&amp;c=444444", "offset 116")</f>
        <v>offset 116</v>
      </c>
    </row>
    <row r="11221" customFormat="false" ht="12.8" hidden="false" customHeight="false" outlineLevel="0" collapsed="false">
      <c r="A11221" s="0" t="s">
        <v>12</v>
      </c>
      <c r="B11221" s="0" t="n">
        <v>3138201</v>
      </c>
      <c r="C11221" s="0" t="n">
        <v>3138221</v>
      </c>
      <c r="D11221" s="0" t="s">
        <v>37426</v>
      </c>
      <c r="E11221" s="0" t="s">
        <v>89</v>
      </c>
      <c r="F11221" s="0" t="s">
        <v>15</v>
      </c>
      <c r="G11221" s="0" t="s">
        <v>16</v>
      </c>
      <c r="H11221" s="0" t="n">
        <v>7</v>
      </c>
      <c r="I11221" s="0" t="s">
        <v>37427</v>
      </c>
      <c r="J11221" s="0" t="s">
        <v>37428</v>
      </c>
      <c r="K11221" s="0" t="s">
        <v>37429</v>
      </c>
      <c r="L11221" s="0" t="str">
        <f aca="false">HYPERLINK("https://www.ncbi.nlm.nih.gov/nuccore/CP000304.1?report=graph&amp;tracks=[key:gene_model_track,Options:GeneOnly]&amp;mk=3138202:3138221|offset_7|00cc00,3138278:3138297|offset_83|444444,3138304:3138323|offset_109|444444,3138327:3138346|offset_132|444444&amp;v=3138001:3138546&amp;c=444444", "offset 7")</f>
        <v>offset 7</v>
      </c>
    </row>
    <row r="11222" customFormat="false" ht="12.8" hidden="false" customHeight="false" outlineLevel="0" collapsed="false">
      <c r="A11222" s="0" t="s">
        <v>12</v>
      </c>
      <c r="B11222" s="0" t="n">
        <v>3138277</v>
      </c>
      <c r="C11222" s="0" t="n">
        <v>3138297</v>
      </c>
      <c r="D11222" s="0" t="s">
        <v>37426</v>
      </c>
      <c r="E11222" s="0" t="s">
        <v>89</v>
      </c>
      <c r="F11222" s="0" t="s">
        <v>15</v>
      </c>
      <c r="G11222" s="0" t="s">
        <v>26</v>
      </c>
      <c r="H11222" s="0" t="n">
        <v>83</v>
      </c>
      <c r="I11222" s="0" t="s">
        <v>37430</v>
      </c>
      <c r="J11222" s="0" t="s">
        <v>37431</v>
      </c>
      <c r="K11222" s="0" t="s">
        <v>37432</v>
      </c>
      <c r="L11222" s="0" t="str">
        <f aca="false">HYPERLINK("https://www.ncbi.nlm.nih.gov/nuccore/CP000304.1?report=graph&amp;tracks=[key:gene_model_track,Options:GeneOnly]&amp;mk=3138202:3138221|offset_7|444444,3138278:3138297|offset_83|00cc00,3138304:3138323|offset_109|444444,3138327:3138346|offset_132|444444&amp;v=3138001:3138546&amp;c=444444", "offset 83")</f>
        <v>offset 83</v>
      </c>
    </row>
    <row r="11223" customFormat="false" ht="12.8" hidden="false" customHeight="false" outlineLevel="0" collapsed="false">
      <c r="A11223" s="0" t="s">
        <v>12</v>
      </c>
      <c r="B11223" s="0" t="n">
        <v>3138303</v>
      </c>
      <c r="C11223" s="0" t="n">
        <v>3138323</v>
      </c>
      <c r="D11223" s="0" t="s">
        <v>37426</v>
      </c>
      <c r="E11223" s="0" t="s">
        <v>89</v>
      </c>
      <c r="F11223" s="0" t="s">
        <v>15</v>
      </c>
      <c r="G11223" s="0" t="s">
        <v>26</v>
      </c>
      <c r="H11223" s="0" t="n">
        <v>109</v>
      </c>
      <c r="I11223" s="0" t="s">
        <v>37433</v>
      </c>
      <c r="J11223" s="0" t="s">
        <v>37434</v>
      </c>
      <c r="K11223" s="0" t="s">
        <v>37435</v>
      </c>
      <c r="L11223" s="0" t="str">
        <f aca="false">HYPERLINK("https://www.ncbi.nlm.nih.gov/nuccore/CP000304.1?report=graph&amp;tracks=[key:gene_model_track,Options:GeneOnly]&amp;mk=3138202:3138221|offset_7|444444,3138278:3138297|offset_83|444444,3138304:3138323|offset_109|00cc00,3138327:3138346|offset_132|444444&amp;v=3138001:3138546&amp;c=444444", "offset 109")</f>
        <v>offset 109</v>
      </c>
    </row>
    <row r="11224" customFormat="false" ht="12.8" hidden="false" customHeight="false" outlineLevel="0" collapsed="false">
      <c r="A11224" s="0" t="s">
        <v>12</v>
      </c>
      <c r="B11224" s="0" t="n">
        <v>3138326</v>
      </c>
      <c r="C11224" s="0" t="n">
        <v>3138346</v>
      </c>
      <c r="D11224" s="0" t="s">
        <v>37426</v>
      </c>
      <c r="E11224" s="0" t="s">
        <v>89</v>
      </c>
      <c r="F11224" s="0" t="s">
        <v>15</v>
      </c>
      <c r="G11224" s="0" t="s">
        <v>16</v>
      </c>
      <c r="H11224" s="0" t="n">
        <v>132</v>
      </c>
      <c r="I11224" s="0" t="s">
        <v>37436</v>
      </c>
      <c r="J11224" s="0" t="s">
        <v>37437</v>
      </c>
      <c r="K11224" s="0" t="s">
        <v>37438</v>
      </c>
      <c r="L11224" s="0" t="str">
        <f aca="false">HYPERLINK("https://www.ncbi.nlm.nih.gov/nuccore/CP000304.1?report=graph&amp;tracks=[key:gene_model_track,Options:GeneOnly]&amp;mk=3138202:3138221|offset_7|444444,3138278:3138297|offset_83|444444,3138304:3138323|offset_109|444444,3138327:3138346|offset_132|00cc00&amp;v=3138001:3138546&amp;c=444444", "offset 132")</f>
        <v>offset 132</v>
      </c>
    </row>
    <row r="11225" customFormat="false" ht="12.8" hidden="false" customHeight="false" outlineLevel="0" collapsed="false">
      <c r="A11225" s="0" t="s">
        <v>12</v>
      </c>
      <c r="B11225" s="0" t="n">
        <v>3142208</v>
      </c>
      <c r="C11225" s="0" t="n">
        <v>3142228</v>
      </c>
      <c r="D11225" s="0" t="s">
        <v>37439</v>
      </c>
      <c r="E11225" s="0" t="s">
        <v>89</v>
      </c>
      <c r="F11225" s="0" t="s">
        <v>90</v>
      </c>
      <c r="G11225" s="0" t="s">
        <v>16</v>
      </c>
      <c r="H11225" s="0" t="n">
        <v>22</v>
      </c>
      <c r="I11225" s="0" t="s">
        <v>37440</v>
      </c>
      <c r="J11225" s="0" t="s">
        <v>37441</v>
      </c>
      <c r="K11225" s="0" t="s">
        <v>37442</v>
      </c>
      <c r="L11225" s="0" t="str">
        <f aca="false">HYPERLINK("https://www.ncbi.nlm.nih.gov/nuccore/CP000304.1?report=graph&amp;tracks=[key:gene_model_track,Options:GeneOnly]&amp;mk=3142209:3142228|offset_22|00cc00,3142181:3142200|offset_50|444444,3142156:3142175|offset_75|444444,3142124:3142143|offset_107|444444&amp;v=3142008:3142343&amp;c=444444", "offset 22")</f>
        <v>offset 22</v>
      </c>
    </row>
    <row r="11226" customFormat="false" ht="12.8" hidden="false" customHeight="false" outlineLevel="0" collapsed="false">
      <c r="A11226" s="0" t="s">
        <v>12</v>
      </c>
      <c r="B11226" s="0" t="n">
        <v>3142180</v>
      </c>
      <c r="C11226" s="0" t="n">
        <v>3142200</v>
      </c>
      <c r="D11226" s="0" t="s">
        <v>37439</v>
      </c>
      <c r="E11226" s="0" t="s">
        <v>89</v>
      </c>
      <c r="F11226" s="0" t="s">
        <v>90</v>
      </c>
      <c r="G11226" s="0" t="s">
        <v>32</v>
      </c>
      <c r="H11226" s="0" t="n">
        <v>50</v>
      </c>
      <c r="I11226" s="0" t="s">
        <v>37443</v>
      </c>
      <c r="J11226" s="0" t="s">
        <v>37444</v>
      </c>
      <c r="K11226" s="0" t="s">
        <v>37445</v>
      </c>
      <c r="L11226" s="0" t="str">
        <f aca="false">HYPERLINK("https://www.ncbi.nlm.nih.gov/nuccore/CP000304.1?report=graph&amp;tracks=[key:gene_model_track,Options:GeneOnly]&amp;mk=3142209:3142228|offset_22|444444,3142181:3142200|offset_50|00cc00,3142156:3142175|offset_75|444444,3142124:3142143|offset_107|444444&amp;v=3142008:3142343&amp;c=444444", "offset 50")</f>
        <v>offset 50</v>
      </c>
    </row>
    <row r="11227" customFormat="false" ht="12.8" hidden="false" customHeight="false" outlineLevel="0" collapsed="false">
      <c r="A11227" s="0" t="s">
        <v>12</v>
      </c>
      <c r="B11227" s="0" t="n">
        <v>3142155</v>
      </c>
      <c r="C11227" s="0" t="n">
        <v>3142175</v>
      </c>
      <c r="D11227" s="0" t="s">
        <v>37439</v>
      </c>
      <c r="E11227" s="0" t="s">
        <v>89</v>
      </c>
      <c r="F11227" s="0" t="s">
        <v>90</v>
      </c>
      <c r="G11227" s="0" t="s">
        <v>32</v>
      </c>
      <c r="H11227" s="0" t="n">
        <v>75</v>
      </c>
      <c r="I11227" s="0" t="s">
        <v>37446</v>
      </c>
      <c r="J11227" s="0" t="s">
        <v>37447</v>
      </c>
      <c r="K11227" s="0" t="s">
        <v>37448</v>
      </c>
      <c r="L11227" s="0" t="str">
        <f aca="false">HYPERLINK("https://www.ncbi.nlm.nih.gov/nuccore/CP000304.1?report=graph&amp;tracks=[key:gene_model_track,Options:GeneOnly]&amp;mk=3142209:3142228|offset_22|444444,3142181:3142200|offset_50|444444,3142156:3142175|offset_75|00cc00,3142124:3142143|offset_107|444444&amp;v=3142008:3142343&amp;c=444444", "offset 75")</f>
        <v>offset 75</v>
      </c>
    </row>
    <row r="11228" customFormat="false" ht="12.8" hidden="false" customHeight="false" outlineLevel="0" collapsed="false">
      <c r="A11228" s="0" t="s">
        <v>12</v>
      </c>
      <c r="B11228" s="0" t="n">
        <v>3142123</v>
      </c>
      <c r="C11228" s="0" t="n">
        <v>3142143</v>
      </c>
      <c r="D11228" s="0" t="s">
        <v>37439</v>
      </c>
      <c r="E11228" s="0" t="s">
        <v>89</v>
      </c>
      <c r="F11228" s="0" t="s">
        <v>90</v>
      </c>
      <c r="G11228" s="0" t="s">
        <v>16</v>
      </c>
      <c r="H11228" s="0" t="n">
        <v>107</v>
      </c>
      <c r="I11228" s="0" t="s">
        <v>37449</v>
      </c>
      <c r="J11228" s="0" t="s">
        <v>37450</v>
      </c>
      <c r="K11228" s="0" t="s">
        <v>37451</v>
      </c>
      <c r="L11228" s="0" t="str">
        <f aca="false">HYPERLINK("https://www.ncbi.nlm.nih.gov/nuccore/CP000304.1?report=graph&amp;tracks=[key:gene_model_track,Options:GeneOnly]&amp;mk=3142209:3142228|offset_22|444444,3142181:3142200|offset_50|444444,3142156:3142175|offset_75|444444,3142124:3142143|offset_107|00cc00&amp;v=3142008:3142343&amp;c=444444", "offset 107")</f>
        <v>offset 107</v>
      </c>
    </row>
    <row r="11229" customFormat="false" ht="12.8" hidden="false" customHeight="false" outlineLevel="0" collapsed="false">
      <c r="A11229" s="0" t="s">
        <v>12</v>
      </c>
      <c r="B11229" s="0" t="n">
        <v>3142458</v>
      </c>
      <c r="C11229" s="0" t="n">
        <v>3142478</v>
      </c>
      <c r="D11229" s="0" t="s">
        <v>37452</v>
      </c>
      <c r="E11229" s="0" t="s">
        <v>89</v>
      </c>
      <c r="F11229" s="0" t="s">
        <v>15</v>
      </c>
      <c r="G11229" s="0" t="s">
        <v>32</v>
      </c>
      <c r="H11229" s="0" t="n">
        <v>1</v>
      </c>
      <c r="I11229" s="0" t="s">
        <v>37453</v>
      </c>
      <c r="J11229" s="0" t="s">
        <v>37454</v>
      </c>
      <c r="K11229" s="0" t="s">
        <v>37455</v>
      </c>
      <c r="L11229" s="0" t="str">
        <f aca="false">HYPERLINK("https://www.ncbi.nlm.nih.gov/nuccore/CP000304.1?report=graph&amp;tracks=[key:gene_model_track,Options:GeneOnly]&amp;mk=3142459:3142478|offset_1|00cc00,3142488:3142507|offset_30|444444,3142528:3142547|offset_70|444444,3142558:3142577|offset_100|444444&amp;v=3142258:3142777&amp;c=444444", "offset 1")</f>
        <v>offset 1</v>
      </c>
    </row>
    <row r="11230" customFormat="false" ht="12.8" hidden="false" customHeight="false" outlineLevel="0" collapsed="false">
      <c r="A11230" s="0" t="s">
        <v>12</v>
      </c>
      <c r="B11230" s="0" t="n">
        <v>3142487</v>
      </c>
      <c r="C11230" s="0" t="n">
        <v>3142507</v>
      </c>
      <c r="D11230" s="0" t="s">
        <v>37452</v>
      </c>
      <c r="E11230" s="0" t="s">
        <v>89</v>
      </c>
      <c r="F11230" s="0" t="s">
        <v>15</v>
      </c>
      <c r="G11230" s="0" t="s">
        <v>16</v>
      </c>
      <c r="H11230" s="0" t="n">
        <v>30</v>
      </c>
      <c r="I11230" s="0" t="s">
        <v>37456</v>
      </c>
      <c r="J11230" s="0" t="s">
        <v>37457</v>
      </c>
      <c r="K11230" s="0" t="s">
        <v>37458</v>
      </c>
      <c r="L11230" s="0" t="str">
        <f aca="false">HYPERLINK("https://www.ncbi.nlm.nih.gov/nuccore/CP000304.1?report=graph&amp;tracks=[key:gene_model_track,Options:GeneOnly]&amp;mk=3142459:3142478|offset_1|444444,3142488:3142507|offset_30|00cc00,3142528:3142547|offset_70|444444,3142558:3142577|offset_100|444444&amp;v=3142258:3142777&amp;c=444444", "offset 30")</f>
        <v>offset 30</v>
      </c>
    </row>
    <row r="11231" customFormat="false" ht="12.8" hidden="false" customHeight="false" outlineLevel="0" collapsed="false">
      <c r="A11231" s="0" t="s">
        <v>12</v>
      </c>
      <c r="B11231" s="0" t="n">
        <v>3142527</v>
      </c>
      <c r="C11231" s="0" t="n">
        <v>3142547</v>
      </c>
      <c r="D11231" s="0" t="s">
        <v>37452</v>
      </c>
      <c r="E11231" s="0" t="s">
        <v>89</v>
      </c>
      <c r="F11231" s="0" t="s">
        <v>15</v>
      </c>
      <c r="G11231" s="0" t="s">
        <v>36</v>
      </c>
      <c r="H11231" s="0" t="n">
        <v>70</v>
      </c>
      <c r="I11231" s="0" t="s">
        <v>37459</v>
      </c>
      <c r="J11231" s="0" t="s">
        <v>37460</v>
      </c>
      <c r="K11231" s="0" t="s">
        <v>37461</v>
      </c>
      <c r="L11231" s="0" t="str">
        <f aca="false">HYPERLINK("https://www.ncbi.nlm.nih.gov/nuccore/CP000304.1?report=graph&amp;tracks=[key:gene_model_track,Options:GeneOnly]&amp;mk=3142459:3142478|offset_1|444444,3142488:3142507|offset_30|444444,3142528:3142547|offset_70|00cc00,3142558:3142577|offset_100|444444&amp;v=3142258:3142777&amp;c=444444", "offset 70")</f>
        <v>offset 70</v>
      </c>
    </row>
    <row r="11232" customFormat="false" ht="12.8" hidden="false" customHeight="false" outlineLevel="0" collapsed="false">
      <c r="A11232" s="0" t="s">
        <v>12</v>
      </c>
      <c r="B11232" s="0" t="n">
        <v>3142557</v>
      </c>
      <c r="C11232" s="0" t="n">
        <v>3142577</v>
      </c>
      <c r="D11232" s="0" t="s">
        <v>37452</v>
      </c>
      <c r="E11232" s="0" t="s">
        <v>89</v>
      </c>
      <c r="F11232" s="0" t="s">
        <v>15</v>
      </c>
      <c r="G11232" s="0" t="s">
        <v>16</v>
      </c>
      <c r="H11232" s="0" t="n">
        <v>100</v>
      </c>
      <c r="I11232" s="0" t="s">
        <v>37462</v>
      </c>
      <c r="J11232" s="0" t="s">
        <v>37463</v>
      </c>
      <c r="K11232" s="0" t="s">
        <v>37464</v>
      </c>
      <c r="L11232" s="0" t="str">
        <f aca="false">HYPERLINK("https://www.ncbi.nlm.nih.gov/nuccore/CP000304.1?report=graph&amp;tracks=[key:gene_model_track,Options:GeneOnly]&amp;mk=3142459:3142478|offset_1|444444,3142488:3142507|offset_30|444444,3142528:3142547|offset_70|444444,3142558:3142577|offset_100|00cc00&amp;v=3142258:3142777&amp;c=444444", "offset 100")</f>
        <v>offset 100</v>
      </c>
    </row>
    <row r="11233" customFormat="false" ht="12.8" hidden="false" customHeight="false" outlineLevel="0" collapsed="false">
      <c r="A11233" s="0" t="s">
        <v>12</v>
      </c>
      <c r="B11233" s="0" t="n">
        <v>3143819</v>
      </c>
      <c r="C11233" s="0" t="n">
        <v>3143839</v>
      </c>
      <c r="D11233" s="0" t="s">
        <v>37465</v>
      </c>
      <c r="E11233" s="0" t="s">
        <v>89</v>
      </c>
      <c r="F11233" s="0" t="s">
        <v>15</v>
      </c>
      <c r="G11233" s="0" t="s">
        <v>36</v>
      </c>
      <c r="H11233" s="0" t="n">
        <v>0</v>
      </c>
      <c r="I11233" s="0" t="s">
        <v>37466</v>
      </c>
      <c r="J11233" s="0" t="s">
        <v>37467</v>
      </c>
      <c r="K11233" s="0" t="s">
        <v>37468</v>
      </c>
      <c r="L11233" s="0" t="str">
        <f aca="false">HYPERLINK("https://www.ncbi.nlm.nih.gov/nuccore/CP000304.1?report=graph&amp;tracks=[key:gene_model_track,Options:GeneOnly]&amp;mk=3143820:3143839|offset_0|00cc00,3143854:3143873|offset_34|444444,3143881:3143900|offset_61|444444,3143901:3143920|offset_81|444444&amp;v=3143619:3144120&amp;c=444444", "offset 0")</f>
        <v>offset 0</v>
      </c>
    </row>
    <row r="11234" customFormat="false" ht="12.8" hidden="false" customHeight="false" outlineLevel="0" collapsed="false">
      <c r="A11234" s="0" t="s">
        <v>12</v>
      </c>
      <c r="B11234" s="0" t="n">
        <v>3143853</v>
      </c>
      <c r="C11234" s="0" t="n">
        <v>3143873</v>
      </c>
      <c r="D11234" s="0" t="s">
        <v>37465</v>
      </c>
      <c r="E11234" s="0" t="s">
        <v>89</v>
      </c>
      <c r="F11234" s="0" t="s">
        <v>15</v>
      </c>
      <c r="G11234" s="0" t="s">
        <v>36</v>
      </c>
      <c r="H11234" s="0" t="n">
        <v>34</v>
      </c>
      <c r="I11234" s="0" t="s">
        <v>37469</v>
      </c>
      <c r="J11234" s="0" t="s">
        <v>37470</v>
      </c>
      <c r="K11234" s="0" t="s">
        <v>37471</v>
      </c>
      <c r="L11234" s="0" t="str">
        <f aca="false">HYPERLINK("https://www.ncbi.nlm.nih.gov/nuccore/CP000304.1?report=graph&amp;tracks=[key:gene_model_track,Options:GeneOnly]&amp;mk=3143820:3143839|offset_0|444444,3143854:3143873|offset_34|00cc00,3143881:3143900|offset_61|444444,3143901:3143920|offset_81|444444&amp;v=3143619:3144120&amp;c=444444", "offset 34")</f>
        <v>offset 34</v>
      </c>
    </row>
    <row r="11235" customFormat="false" ht="12.8" hidden="false" customHeight="false" outlineLevel="0" collapsed="false">
      <c r="A11235" s="0" t="s">
        <v>12</v>
      </c>
      <c r="B11235" s="0" t="n">
        <v>3143880</v>
      </c>
      <c r="C11235" s="0" t="n">
        <v>3143900</v>
      </c>
      <c r="D11235" s="0" t="s">
        <v>37465</v>
      </c>
      <c r="E11235" s="0" t="s">
        <v>89</v>
      </c>
      <c r="F11235" s="0" t="s">
        <v>15</v>
      </c>
      <c r="G11235" s="0" t="s">
        <v>32</v>
      </c>
      <c r="H11235" s="0" t="n">
        <v>61</v>
      </c>
      <c r="I11235" s="0" t="s">
        <v>37472</v>
      </c>
      <c r="J11235" s="0" t="s">
        <v>37473</v>
      </c>
      <c r="K11235" s="0" t="s">
        <v>37474</v>
      </c>
      <c r="L11235" s="0" t="str">
        <f aca="false">HYPERLINK("https://www.ncbi.nlm.nih.gov/nuccore/CP000304.1?report=graph&amp;tracks=[key:gene_model_track,Options:GeneOnly]&amp;mk=3143820:3143839|offset_0|444444,3143854:3143873|offset_34|444444,3143881:3143900|offset_61|00cc00,3143901:3143920|offset_81|444444&amp;v=3143619:3144120&amp;c=444444", "offset 61")</f>
        <v>offset 61</v>
      </c>
    </row>
    <row r="11236" customFormat="false" ht="12.8" hidden="false" customHeight="false" outlineLevel="0" collapsed="false">
      <c r="A11236" s="0" t="s">
        <v>12</v>
      </c>
      <c r="B11236" s="0" t="n">
        <v>3143900</v>
      </c>
      <c r="C11236" s="0" t="n">
        <v>3143920</v>
      </c>
      <c r="D11236" s="0" t="s">
        <v>37465</v>
      </c>
      <c r="E11236" s="0" t="s">
        <v>89</v>
      </c>
      <c r="F11236" s="0" t="s">
        <v>15</v>
      </c>
      <c r="G11236" s="0" t="s">
        <v>16</v>
      </c>
      <c r="H11236" s="0" t="n">
        <v>81</v>
      </c>
      <c r="I11236" s="0" t="s">
        <v>37475</v>
      </c>
      <c r="J11236" s="0" t="s">
        <v>37476</v>
      </c>
      <c r="K11236" s="0" t="s">
        <v>37477</v>
      </c>
      <c r="L11236" s="0" t="str">
        <f aca="false">HYPERLINK("https://www.ncbi.nlm.nih.gov/nuccore/CP000304.1?report=graph&amp;tracks=[key:gene_model_track,Options:GeneOnly]&amp;mk=3143820:3143839|offset_0|444444,3143854:3143873|offset_34|444444,3143881:3143900|offset_61|444444,3143901:3143920|offset_81|00cc00&amp;v=3143619:3144120&amp;c=444444", "offset 81")</f>
        <v>offset 81</v>
      </c>
    </row>
    <row r="11237" customFormat="false" ht="12.8" hidden="false" customHeight="false" outlineLevel="0" collapsed="false">
      <c r="A11237" s="0" t="s">
        <v>12</v>
      </c>
      <c r="B11237" s="0" t="n">
        <v>3144855</v>
      </c>
      <c r="C11237" s="0" t="n">
        <v>3144875</v>
      </c>
      <c r="D11237" s="0" t="s">
        <v>37478</v>
      </c>
      <c r="E11237" s="0" t="s">
        <v>89</v>
      </c>
      <c r="F11237" s="0" t="s">
        <v>15</v>
      </c>
      <c r="G11237" s="0" t="s">
        <v>16</v>
      </c>
      <c r="H11237" s="0" t="n">
        <v>36</v>
      </c>
      <c r="I11237" s="0" t="s">
        <v>37479</v>
      </c>
      <c r="J11237" s="0" t="s">
        <v>37480</v>
      </c>
      <c r="K11237" s="0" t="s">
        <v>37481</v>
      </c>
      <c r="L11237" s="0" t="str">
        <f aca="false">HYPERLINK("https://www.ncbi.nlm.nih.gov/nuccore/CP000304.1?report=graph&amp;tracks=[key:gene_model_track,Options:GeneOnly]&amp;mk=3144856:3144875|offset_36|00cc00,3144887:3144906|offset_67|444444,3144908:3144927|offset_88|444444,3144939:3144958|offset_119|444444&amp;v=3144655:3145158&amp;c=444444", "offset 36")</f>
        <v>offset 36</v>
      </c>
    </row>
    <row r="11238" customFormat="false" ht="12.8" hidden="false" customHeight="false" outlineLevel="0" collapsed="false">
      <c r="A11238" s="0" t="s">
        <v>12</v>
      </c>
      <c r="B11238" s="0" t="n">
        <v>3144886</v>
      </c>
      <c r="C11238" s="0" t="n">
        <v>3144906</v>
      </c>
      <c r="D11238" s="0" t="s">
        <v>37478</v>
      </c>
      <c r="E11238" s="0" t="s">
        <v>89</v>
      </c>
      <c r="F11238" s="0" t="s">
        <v>15</v>
      </c>
      <c r="G11238" s="0" t="s">
        <v>26</v>
      </c>
      <c r="H11238" s="0" t="n">
        <v>67</v>
      </c>
      <c r="I11238" s="0" t="s">
        <v>37482</v>
      </c>
      <c r="J11238" s="0" t="s">
        <v>37483</v>
      </c>
      <c r="K11238" s="0" t="s">
        <v>37484</v>
      </c>
      <c r="L11238" s="0" t="str">
        <f aca="false">HYPERLINK("https://www.ncbi.nlm.nih.gov/nuccore/CP000304.1?report=graph&amp;tracks=[key:gene_model_track,Options:GeneOnly]&amp;mk=3144856:3144875|offset_36|444444,3144887:3144906|offset_67|00cc00,3144908:3144927|offset_88|444444,3144939:3144958|offset_119|444444&amp;v=3144655:3145158&amp;c=444444", "offset 67")</f>
        <v>offset 67</v>
      </c>
    </row>
    <row r="11239" customFormat="false" ht="12.8" hidden="false" customHeight="false" outlineLevel="0" collapsed="false">
      <c r="A11239" s="0" t="s">
        <v>12</v>
      </c>
      <c r="B11239" s="0" t="n">
        <v>3144907</v>
      </c>
      <c r="C11239" s="0" t="n">
        <v>3144927</v>
      </c>
      <c r="D11239" s="0" t="s">
        <v>37478</v>
      </c>
      <c r="E11239" s="0" t="s">
        <v>89</v>
      </c>
      <c r="F11239" s="0" t="s">
        <v>15</v>
      </c>
      <c r="G11239" s="0" t="s">
        <v>16</v>
      </c>
      <c r="H11239" s="0" t="n">
        <v>88</v>
      </c>
      <c r="I11239" s="0" t="s">
        <v>37485</v>
      </c>
      <c r="J11239" s="0" t="s">
        <v>37486</v>
      </c>
      <c r="K11239" s="0" t="s">
        <v>37487</v>
      </c>
      <c r="L11239" s="0" t="str">
        <f aca="false">HYPERLINK("https://www.ncbi.nlm.nih.gov/nuccore/CP000304.1?report=graph&amp;tracks=[key:gene_model_track,Options:GeneOnly]&amp;mk=3144856:3144875|offset_36|444444,3144887:3144906|offset_67|444444,3144908:3144927|offset_88|00cc00,3144939:3144958|offset_119|444444&amp;v=3144655:3145158&amp;c=444444", "offset 88")</f>
        <v>offset 88</v>
      </c>
    </row>
    <row r="11240" customFormat="false" ht="12.8" hidden="false" customHeight="false" outlineLevel="0" collapsed="false">
      <c r="A11240" s="0" t="s">
        <v>12</v>
      </c>
      <c r="B11240" s="0" t="n">
        <v>3144938</v>
      </c>
      <c r="C11240" s="0" t="n">
        <v>3144958</v>
      </c>
      <c r="D11240" s="0" t="s">
        <v>37478</v>
      </c>
      <c r="E11240" s="0" t="s">
        <v>89</v>
      </c>
      <c r="F11240" s="0" t="s">
        <v>15</v>
      </c>
      <c r="G11240" s="0" t="s">
        <v>26</v>
      </c>
      <c r="H11240" s="0" t="n">
        <v>119</v>
      </c>
      <c r="I11240" s="0" t="s">
        <v>37488</v>
      </c>
      <c r="J11240" s="0" t="s">
        <v>37489</v>
      </c>
      <c r="K11240" s="0" t="s">
        <v>37490</v>
      </c>
      <c r="L11240" s="0" t="str">
        <f aca="false">HYPERLINK("https://www.ncbi.nlm.nih.gov/nuccore/CP000304.1?report=graph&amp;tracks=[key:gene_model_track,Options:GeneOnly]&amp;mk=3144856:3144875|offset_36|444444,3144887:3144906|offset_67|444444,3144908:3144927|offset_88|444444,3144939:3144958|offset_119|00cc00&amp;v=3144655:3145158&amp;c=444444", "offset 119")</f>
        <v>offset 119</v>
      </c>
    </row>
    <row r="11241" customFormat="false" ht="12.8" hidden="false" customHeight="false" outlineLevel="0" collapsed="false">
      <c r="A11241" s="0" t="s">
        <v>12</v>
      </c>
      <c r="B11241" s="0" t="n">
        <v>3145780</v>
      </c>
      <c r="C11241" s="0" t="n">
        <v>3145800</v>
      </c>
      <c r="D11241" s="0" t="s">
        <v>37491</v>
      </c>
      <c r="E11241" s="0" t="s">
        <v>89</v>
      </c>
      <c r="F11241" s="0" t="s">
        <v>15</v>
      </c>
      <c r="G11241" s="0" t="s">
        <v>36</v>
      </c>
      <c r="H11241" s="0" t="n">
        <v>63</v>
      </c>
      <c r="I11241" s="0" t="s">
        <v>37492</v>
      </c>
      <c r="J11241" s="0" t="s">
        <v>37493</v>
      </c>
      <c r="K11241" s="0" t="s">
        <v>37494</v>
      </c>
      <c r="L11241" s="0" t="str">
        <f aca="false">HYPERLINK("https://www.ncbi.nlm.nih.gov/nuccore/CP000304.1?report=graph&amp;tracks=[key:gene_model_track,Options:GeneOnly]&amp;mk=3145781:3145800|offset_63|00cc00,3145808:3145827|offset_90|444444,3145870:3145889|offset_152|444444,3145929:3145948|offset_211|444444&amp;v=3145580:3146148&amp;c=444444", "offset 63")</f>
        <v>offset 63</v>
      </c>
    </row>
    <row r="11242" customFormat="false" ht="12.8" hidden="false" customHeight="false" outlineLevel="0" collapsed="false">
      <c r="A11242" s="0" t="s">
        <v>12</v>
      </c>
      <c r="B11242" s="0" t="n">
        <v>3145807</v>
      </c>
      <c r="C11242" s="0" t="n">
        <v>3145827</v>
      </c>
      <c r="D11242" s="0" t="s">
        <v>37491</v>
      </c>
      <c r="E11242" s="0" t="s">
        <v>89</v>
      </c>
      <c r="F11242" s="0" t="s">
        <v>15</v>
      </c>
      <c r="G11242" s="0" t="s">
        <v>36</v>
      </c>
      <c r="H11242" s="0" t="n">
        <v>90</v>
      </c>
      <c r="I11242" s="0" t="s">
        <v>37495</v>
      </c>
      <c r="J11242" s="0" t="s">
        <v>37496</v>
      </c>
      <c r="K11242" s="0" t="s">
        <v>37497</v>
      </c>
      <c r="L11242" s="0" t="str">
        <f aca="false">HYPERLINK("https://www.ncbi.nlm.nih.gov/nuccore/CP000304.1?report=graph&amp;tracks=[key:gene_model_track,Options:GeneOnly]&amp;mk=3145781:3145800|offset_63|444444,3145808:3145827|offset_90|00cc00,3145870:3145889|offset_152|444444,3145929:3145948|offset_211|444444&amp;v=3145580:3146148&amp;c=444444", "offset 90")</f>
        <v>offset 90</v>
      </c>
    </row>
    <row r="11243" customFormat="false" ht="12.8" hidden="false" customHeight="false" outlineLevel="0" collapsed="false">
      <c r="A11243" s="0" t="s">
        <v>12</v>
      </c>
      <c r="B11243" s="0" t="n">
        <v>3145869</v>
      </c>
      <c r="C11243" s="0" t="n">
        <v>3145889</v>
      </c>
      <c r="D11243" s="0" t="s">
        <v>37491</v>
      </c>
      <c r="E11243" s="0" t="s">
        <v>89</v>
      </c>
      <c r="F11243" s="0" t="s">
        <v>15</v>
      </c>
      <c r="G11243" s="0" t="s">
        <v>36</v>
      </c>
      <c r="H11243" s="0" t="n">
        <v>152</v>
      </c>
      <c r="I11243" s="0" t="s">
        <v>37498</v>
      </c>
      <c r="J11243" s="0" t="s">
        <v>37499</v>
      </c>
      <c r="K11243" s="0" t="s">
        <v>37500</v>
      </c>
      <c r="L11243" s="0" t="str">
        <f aca="false">HYPERLINK("https://www.ncbi.nlm.nih.gov/nuccore/CP000304.1?report=graph&amp;tracks=[key:gene_model_track,Options:GeneOnly]&amp;mk=3145781:3145800|offset_63|444444,3145808:3145827|offset_90|444444,3145870:3145889|offset_152|00cc00,3145929:3145948|offset_211|444444&amp;v=3145580:3146148&amp;c=444444", "offset 152")</f>
        <v>offset 152</v>
      </c>
    </row>
    <row r="11244" customFormat="false" ht="12.8" hidden="false" customHeight="false" outlineLevel="0" collapsed="false">
      <c r="A11244" s="0" t="s">
        <v>12</v>
      </c>
      <c r="B11244" s="0" t="n">
        <v>3145928</v>
      </c>
      <c r="C11244" s="0" t="n">
        <v>3145948</v>
      </c>
      <c r="D11244" s="0" t="s">
        <v>37491</v>
      </c>
      <c r="E11244" s="0" t="s">
        <v>89</v>
      </c>
      <c r="F11244" s="0" t="s">
        <v>15</v>
      </c>
      <c r="G11244" s="0" t="s">
        <v>16</v>
      </c>
      <c r="H11244" s="0" t="n">
        <v>211</v>
      </c>
      <c r="I11244" s="0" t="s">
        <v>37501</v>
      </c>
      <c r="J11244" s="0" t="s">
        <v>37502</v>
      </c>
      <c r="K11244" s="0" t="s">
        <v>37503</v>
      </c>
      <c r="L11244" s="0" t="str">
        <f aca="false">HYPERLINK("https://www.ncbi.nlm.nih.gov/nuccore/CP000304.1?report=graph&amp;tracks=[key:gene_model_track,Options:GeneOnly]&amp;mk=3145781:3145800|offset_63|444444,3145808:3145827|offset_90|444444,3145870:3145889|offset_152|444444,3145929:3145948|offset_211|00cc00&amp;v=3145580:3146148&amp;c=444444", "offset 211")</f>
        <v>offset 211</v>
      </c>
    </row>
    <row r="11245" customFormat="false" ht="12.8" hidden="false" customHeight="false" outlineLevel="0" collapsed="false">
      <c r="A11245" s="0" t="s">
        <v>12</v>
      </c>
      <c r="B11245" s="0" t="n">
        <v>3148167</v>
      </c>
      <c r="C11245" s="0" t="n">
        <v>3148187</v>
      </c>
      <c r="D11245" s="0" t="s">
        <v>37504</v>
      </c>
      <c r="E11245" s="0" t="s">
        <v>89</v>
      </c>
      <c r="F11245" s="0" t="s">
        <v>90</v>
      </c>
      <c r="G11245" s="0" t="s">
        <v>26</v>
      </c>
      <c r="H11245" s="0" t="n">
        <v>10</v>
      </c>
      <c r="I11245" s="0" t="s">
        <v>37505</v>
      </c>
      <c r="J11245" s="0" t="s">
        <v>37506</v>
      </c>
      <c r="K11245" s="0" t="s">
        <v>37507</v>
      </c>
      <c r="L11245" s="0" t="str">
        <f aca="false">HYPERLINK("https://www.ncbi.nlm.nih.gov/nuccore/CP000304.1?report=graph&amp;tracks=[key:gene_model_track,Options:GeneOnly]&amp;mk=3148168:3148187|offset_10|00cc00,3148147:3148166|offset_31|444444,3148117:3148136|offset_61|444444,3148096:3148115|offset_82|444444&amp;v=3147967:3148315&amp;c=444444", "offset 10")</f>
        <v>offset 10</v>
      </c>
    </row>
    <row r="11246" customFormat="false" ht="12.8" hidden="false" customHeight="false" outlineLevel="0" collapsed="false">
      <c r="A11246" s="0" t="s">
        <v>12</v>
      </c>
      <c r="B11246" s="0" t="n">
        <v>3148146</v>
      </c>
      <c r="C11246" s="0" t="n">
        <v>3148166</v>
      </c>
      <c r="D11246" s="0" t="s">
        <v>37504</v>
      </c>
      <c r="E11246" s="0" t="s">
        <v>89</v>
      </c>
      <c r="F11246" s="0" t="s">
        <v>90</v>
      </c>
      <c r="G11246" s="0" t="s">
        <v>16</v>
      </c>
      <c r="H11246" s="0" t="n">
        <v>31</v>
      </c>
      <c r="I11246" s="0" t="s">
        <v>37508</v>
      </c>
      <c r="J11246" s="0" t="s">
        <v>37509</v>
      </c>
      <c r="K11246" s="0" t="s">
        <v>37510</v>
      </c>
      <c r="L11246" s="0" t="str">
        <f aca="false">HYPERLINK("https://www.ncbi.nlm.nih.gov/nuccore/CP000304.1?report=graph&amp;tracks=[key:gene_model_track,Options:GeneOnly]&amp;mk=3148168:3148187|offset_10|444444,3148147:3148166|offset_31|00cc00,3148117:3148136|offset_61|444444,3148096:3148115|offset_82|444444&amp;v=3147967:3148315&amp;c=444444", "offset 31")</f>
        <v>offset 31</v>
      </c>
    </row>
    <row r="11247" customFormat="false" ht="12.8" hidden="false" customHeight="false" outlineLevel="0" collapsed="false">
      <c r="A11247" s="0" t="s">
        <v>12</v>
      </c>
      <c r="B11247" s="0" t="n">
        <v>3148116</v>
      </c>
      <c r="C11247" s="0" t="n">
        <v>3148136</v>
      </c>
      <c r="D11247" s="0" t="s">
        <v>37504</v>
      </c>
      <c r="E11247" s="0" t="s">
        <v>89</v>
      </c>
      <c r="F11247" s="0" t="s">
        <v>90</v>
      </c>
      <c r="G11247" s="0" t="s">
        <v>16</v>
      </c>
      <c r="H11247" s="0" t="n">
        <v>61</v>
      </c>
      <c r="I11247" s="0" t="s">
        <v>37511</v>
      </c>
      <c r="J11247" s="0" t="s">
        <v>37512</v>
      </c>
      <c r="K11247" s="0" t="s">
        <v>37513</v>
      </c>
      <c r="L11247" s="0" t="str">
        <f aca="false">HYPERLINK("https://www.ncbi.nlm.nih.gov/nuccore/CP000304.1?report=graph&amp;tracks=[key:gene_model_track,Options:GeneOnly]&amp;mk=3148168:3148187|offset_10|444444,3148147:3148166|offset_31|444444,3148117:3148136|offset_61|00cc00,3148096:3148115|offset_82|444444&amp;v=3147967:3148315&amp;c=444444", "offset 61")</f>
        <v>offset 61</v>
      </c>
    </row>
    <row r="11248" customFormat="false" ht="12.8" hidden="false" customHeight="false" outlineLevel="0" collapsed="false">
      <c r="A11248" s="0" t="s">
        <v>12</v>
      </c>
      <c r="B11248" s="0" t="n">
        <v>3148095</v>
      </c>
      <c r="C11248" s="0" t="n">
        <v>3148115</v>
      </c>
      <c r="D11248" s="0" t="s">
        <v>37504</v>
      </c>
      <c r="E11248" s="0" t="s">
        <v>89</v>
      </c>
      <c r="F11248" s="0" t="s">
        <v>90</v>
      </c>
      <c r="G11248" s="0" t="s">
        <v>16</v>
      </c>
      <c r="H11248" s="0" t="n">
        <v>82</v>
      </c>
      <c r="I11248" s="0" t="s">
        <v>37514</v>
      </c>
      <c r="J11248" s="0" t="s">
        <v>37515</v>
      </c>
      <c r="K11248" s="0" t="s">
        <v>37516</v>
      </c>
      <c r="L11248" s="0" t="str">
        <f aca="false">HYPERLINK("https://www.ncbi.nlm.nih.gov/nuccore/CP000304.1?report=graph&amp;tracks=[key:gene_model_track,Options:GeneOnly]&amp;mk=3148168:3148187|offset_10|444444,3148147:3148166|offset_31|444444,3148117:3148136|offset_61|444444,3148096:3148115|offset_82|00cc00&amp;v=3147967:3148315&amp;c=444444", "offset 82")</f>
        <v>offset 82</v>
      </c>
    </row>
    <row r="11249" customFormat="false" ht="12.8" hidden="false" customHeight="false" outlineLevel="0" collapsed="false">
      <c r="A11249" s="0" t="s">
        <v>12</v>
      </c>
      <c r="B11249" s="0" t="n">
        <v>3149978</v>
      </c>
      <c r="C11249" s="0" t="n">
        <v>3149998</v>
      </c>
      <c r="D11249" s="0" t="s">
        <v>37517</v>
      </c>
      <c r="E11249" s="0" t="s">
        <v>89</v>
      </c>
      <c r="F11249" s="0" t="s">
        <v>90</v>
      </c>
      <c r="G11249" s="0" t="s">
        <v>16</v>
      </c>
      <c r="H11249" s="0" t="n">
        <v>9</v>
      </c>
      <c r="I11249" s="0" t="s">
        <v>37518</v>
      </c>
      <c r="J11249" s="0" t="s">
        <v>37519</v>
      </c>
      <c r="K11249" s="0" t="s">
        <v>37520</v>
      </c>
      <c r="L11249" s="0" t="str">
        <f aca="false">HYPERLINK("https://www.ncbi.nlm.nih.gov/nuccore/CP000304.1?report=graph&amp;tracks=[key:gene_model_track,Options:GeneOnly]&amp;mk=3149979:3149998|offset_9|00cc00,3149952:3149971|offset_36|444444,3149926:3149945|offset_62|444444,3149902:3149921|offset_86|444444&amp;v=3149778:3150121&amp;c=444444", "offset 9")</f>
        <v>offset 9</v>
      </c>
    </row>
    <row r="11250" customFormat="false" ht="12.8" hidden="false" customHeight="false" outlineLevel="0" collapsed="false">
      <c r="A11250" s="0" t="s">
        <v>12</v>
      </c>
      <c r="B11250" s="0" t="n">
        <v>3149951</v>
      </c>
      <c r="C11250" s="0" t="n">
        <v>3149971</v>
      </c>
      <c r="D11250" s="0" t="s">
        <v>37517</v>
      </c>
      <c r="E11250" s="0" t="s">
        <v>89</v>
      </c>
      <c r="F11250" s="0" t="s">
        <v>90</v>
      </c>
      <c r="G11250" s="0" t="s">
        <v>26</v>
      </c>
      <c r="H11250" s="0" t="n">
        <v>36</v>
      </c>
      <c r="I11250" s="0" t="s">
        <v>37521</v>
      </c>
      <c r="J11250" s="0" t="s">
        <v>37522</v>
      </c>
      <c r="K11250" s="0" t="s">
        <v>37523</v>
      </c>
      <c r="L11250" s="0" t="str">
        <f aca="false">HYPERLINK("https://www.ncbi.nlm.nih.gov/nuccore/CP000304.1?report=graph&amp;tracks=[key:gene_model_track,Options:GeneOnly]&amp;mk=3149979:3149998|offset_9|444444,3149952:3149971|offset_36|00cc00,3149926:3149945|offset_62|444444,3149902:3149921|offset_86|444444&amp;v=3149778:3150121&amp;c=444444", "offset 36")</f>
        <v>offset 36</v>
      </c>
    </row>
    <row r="11251" customFormat="false" ht="12.8" hidden="false" customHeight="false" outlineLevel="0" collapsed="false">
      <c r="A11251" s="0" t="s">
        <v>12</v>
      </c>
      <c r="B11251" s="0" t="n">
        <v>3149925</v>
      </c>
      <c r="C11251" s="0" t="n">
        <v>3149945</v>
      </c>
      <c r="D11251" s="0" t="s">
        <v>37517</v>
      </c>
      <c r="E11251" s="0" t="s">
        <v>89</v>
      </c>
      <c r="F11251" s="0" t="s">
        <v>90</v>
      </c>
      <c r="G11251" s="0" t="s">
        <v>26</v>
      </c>
      <c r="H11251" s="0" t="n">
        <v>62</v>
      </c>
      <c r="I11251" s="0" t="s">
        <v>37524</v>
      </c>
      <c r="J11251" s="0" t="s">
        <v>37525</v>
      </c>
      <c r="K11251" s="0" t="s">
        <v>37526</v>
      </c>
      <c r="L11251" s="0" t="str">
        <f aca="false">HYPERLINK("https://www.ncbi.nlm.nih.gov/nuccore/CP000304.1?report=graph&amp;tracks=[key:gene_model_track,Options:GeneOnly]&amp;mk=3149979:3149998|offset_9|444444,3149952:3149971|offset_36|444444,3149926:3149945|offset_62|00cc00,3149902:3149921|offset_86|444444&amp;v=3149778:3150121&amp;c=444444", "offset 62")</f>
        <v>offset 62</v>
      </c>
    </row>
    <row r="11252" customFormat="false" ht="12.8" hidden="false" customHeight="false" outlineLevel="0" collapsed="false">
      <c r="A11252" s="0" t="s">
        <v>12</v>
      </c>
      <c r="B11252" s="0" t="n">
        <v>3149901</v>
      </c>
      <c r="C11252" s="0" t="n">
        <v>3149921</v>
      </c>
      <c r="D11252" s="0" t="s">
        <v>37517</v>
      </c>
      <c r="E11252" s="0" t="s">
        <v>89</v>
      </c>
      <c r="F11252" s="0" t="s">
        <v>90</v>
      </c>
      <c r="G11252" s="0" t="s">
        <v>32</v>
      </c>
      <c r="H11252" s="0" t="n">
        <v>86</v>
      </c>
      <c r="I11252" s="0" t="s">
        <v>37527</v>
      </c>
      <c r="J11252" s="0" t="s">
        <v>37528</v>
      </c>
      <c r="K11252" s="0" t="s">
        <v>37529</v>
      </c>
      <c r="L11252" s="0" t="str">
        <f aca="false">HYPERLINK("https://www.ncbi.nlm.nih.gov/nuccore/CP000304.1?report=graph&amp;tracks=[key:gene_model_track,Options:GeneOnly]&amp;mk=3149979:3149998|offset_9|444444,3149952:3149971|offset_36|444444,3149926:3149945|offset_62|444444,3149902:3149921|offset_86|00cc00&amp;v=3149778:3150121&amp;c=444444", "offset 86")</f>
        <v>offset 86</v>
      </c>
    </row>
    <row r="11253" customFormat="false" ht="12.8" hidden="false" customHeight="false" outlineLevel="0" collapsed="false">
      <c r="A11253" s="0" t="s">
        <v>12</v>
      </c>
      <c r="B11253" s="0" t="n">
        <v>3151100</v>
      </c>
      <c r="C11253" s="0" t="n">
        <v>3151120</v>
      </c>
      <c r="D11253" s="0" t="s">
        <v>37530</v>
      </c>
      <c r="E11253" s="0" t="s">
        <v>89</v>
      </c>
      <c r="F11253" s="0" t="s">
        <v>90</v>
      </c>
      <c r="G11253" s="0" t="s">
        <v>36</v>
      </c>
      <c r="H11253" s="0" t="n">
        <v>0</v>
      </c>
      <c r="I11253" s="0" t="s">
        <v>37531</v>
      </c>
      <c r="J11253" s="0" t="s">
        <v>37532</v>
      </c>
      <c r="K11253" s="0" t="s">
        <v>37533</v>
      </c>
      <c r="L11253" s="0" t="str">
        <f aca="false">HYPERLINK("https://www.ncbi.nlm.nih.gov/nuccore/CP000304.1?report=graph&amp;tracks=[key:gene_model_track,Options:GeneOnly]&amp;mk=3151101:3151120|offset_0|00cc00,3151076:3151095|offset_25|444444,3151038:3151057|offset_63|444444,3151017:3151036|offset_84|444444&amp;v=3150900:3151236&amp;c=444444", "offset 0")</f>
        <v>offset 0</v>
      </c>
    </row>
    <row r="11254" customFormat="false" ht="12.8" hidden="false" customHeight="false" outlineLevel="0" collapsed="false">
      <c r="A11254" s="0" t="s">
        <v>12</v>
      </c>
      <c r="B11254" s="0" t="n">
        <v>3151075</v>
      </c>
      <c r="C11254" s="0" t="n">
        <v>3151095</v>
      </c>
      <c r="D11254" s="0" t="s">
        <v>37530</v>
      </c>
      <c r="E11254" s="0" t="s">
        <v>89</v>
      </c>
      <c r="F11254" s="0" t="s">
        <v>90</v>
      </c>
      <c r="G11254" s="0" t="s">
        <v>16</v>
      </c>
      <c r="H11254" s="0" t="n">
        <v>25</v>
      </c>
      <c r="I11254" s="0" t="s">
        <v>37534</v>
      </c>
      <c r="J11254" s="0" t="s">
        <v>37535</v>
      </c>
      <c r="K11254" s="0" t="s">
        <v>37536</v>
      </c>
      <c r="L11254" s="0" t="str">
        <f aca="false">HYPERLINK("https://www.ncbi.nlm.nih.gov/nuccore/CP000304.1?report=graph&amp;tracks=[key:gene_model_track,Options:GeneOnly]&amp;mk=3151101:3151120|offset_0|444444,3151076:3151095|offset_25|00cc00,3151038:3151057|offset_63|444444,3151017:3151036|offset_84|444444&amp;v=3150900:3151236&amp;c=444444", "offset 25")</f>
        <v>offset 25</v>
      </c>
    </row>
    <row r="11255" customFormat="false" ht="12.8" hidden="false" customHeight="false" outlineLevel="0" collapsed="false">
      <c r="A11255" s="0" t="s">
        <v>12</v>
      </c>
      <c r="B11255" s="0" t="n">
        <v>3151037</v>
      </c>
      <c r="C11255" s="0" t="n">
        <v>3151057</v>
      </c>
      <c r="D11255" s="0" t="s">
        <v>37530</v>
      </c>
      <c r="E11255" s="0" t="s">
        <v>89</v>
      </c>
      <c r="F11255" s="0" t="s">
        <v>90</v>
      </c>
      <c r="G11255" s="0" t="s">
        <v>36</v>
      </c>
      <c r="H11255" s="0" t="n">
        <v>63</v>
      </c>
      <c r="I11255" s="0" t="s">
        <v>37537</v>
      </c>
      <c r="J11255" s="0" t="s">
        <v>37538</v>
      </c>
      <c r="K11255" s="0" t="s">
        <v>37539</v>
      </c>
      <c r="L11255" s="0" t="str">
        <f aca="false">HYPERLINK("https://www.ncbi.nlm.nih.gov/nuccore/CP000304.1?report=graph&amp;tracks=[key:gene_model_track,Options:GeneOnly]&amp;mk=3151101:3151120|offset_0|444444,3151076:3151095|offset_25|444444,3151038:3151057|offset_63|00cc00,3151017:3151036|offset_84|444444&amp;v=3150900:3151236&amp;c=444444", "offset 63")</f>
        <v>offset 63</v>
      </c>
    </row>
    <row r="11256" customFormat="false" ht="12.8" hidden="false" customHeight="false" outlineLevel="0" collapsed="false">
      <c r="A11256" s="0" t="s">
        <v>12</v>
      </c>
      <c r="B11256" s="0" t="n">
        <v>3151016</v>
      </c>
      <c r="C11256" s="0" t="n">
        <v>3151036</v>
      </c>
      <c r="D11256" s="0" t="s">
        <v>37530</v>
      </c>
      <c r="E11256" s="0" t="s">
        <v>89</v>
      </c>
      <c r="F11256" s="0" t="s">
        <v>90</v>
      </c>
      <c r="G11256" s="0" t="s">
        <v>16</v>
      </c>
      <c r="H11256" s="0" t="n">
        <v>84</v>
      </c>
      <c r="I11256" s="0" t="s">
        <v>37540</v>
      </c>
      <c r="J11256" s="0" t="s">
        <v>37541</v>
      </c>
      <c r="K11256" s="0" t="s">
        <v>37542</v>
      </c>
      <c r="L11256" s="0" t="str">
        <f aca="false">HYPERLINK("https://www.ncbi.nlm.nih.gov/nuccore/CP000304.1?report=graph&amp;tracks=[key:gene_model_track,Options:GeneOnly]&amp;mk=3151101:3151120|offset_0|444444,3151076:3151095|offset_25|444444,3151038:3151057|offset_63|444444,3151017:3151036|offset_84|00cc00&amp;v=3150900:3151236&amp;c=444444", "offset 84")</f>
        <v>offset 84</v>
      </c>
    </row>
    <row r="11257" customFormat="false" ht="12.8" hidden="false" customHeight="false" outlineLevel="0" collapsed="false">
      <c r="A11257" s="0" t="s">
        <v>12</v>
      </c>
      <c r="B11257" s="0" t="n">
        <v>3151244</v>
      </c>
      <c r="C11257" s="0" t="n">
        <v>3151264</v>
      </c>
      <c r="D11257" s="0" t="s">
        <v>37543</v>
      </c>
      <c r="E11257" s="0" t="s">
        <v>89</v>
      </c>
      <c r="F11257" s="0" t="s">
        <v>15</v>
      </c>
      <c r="G11257" s="0" t="s">
        <v>36</v>
      </c>
      <c r="H11257" s="0" t="n">
        <v>11</v>
      </c>
      <c r="I11257" s="0" t="s">
        <v>37544</v>
      </c>
      <c r="J11257" s="0" t="s">
        <v>37545</v>
      </c>
      <c r="K11257" s="0" t="s">
        <v>37546</v>
      </c>
      <c r="L11257" s="0" t="str">
        <f aca="false">HYPERLINK("https://www.ncbi.nlm.nih.gov/nuccore/CP000304.1?report=graph&amp;tracks=[key:gene_model_track,Options:GeneOnly]&amp;mk=3151245:3151264|offset_11|00cc00,3151283:3151302|offset_49|444444,3151307:3151326|offset_73|444444,3151337:3151356|offset_103|444444&amp;v=3151044:3151556&amp;c=444444", "offset 11")</f>
        <v>offset 11</v>
      </c>
    </row>
    <row r="11258" customFormat="false" ht="12.8" hidden="false" customHeight="false" outlineLevel="0" collapsed="false">
      <c r="A11258" s="0" t="s">
        <v>12</v>
      </c>
      <c r="B11258" s="0" t="n">
        <v>3151282</v>
      </c>
      <c r="C11258" s="0" t="n">
        <v>3151302</v>
      </c>
      <c r="D11258" s="0" t="s">
        <v>37543</v>
      </c>
      <c r="E11258" s="0" t="s">
        <v>89</v>
      </c>
      <c r="F11258" s="0" t="s">
        <v>15</v>
      </c>
      <c r="G11258" s="0" t="s">
        <v>36</v>
      </c>
      <c r="H11258" s="0" t="n">
        <v>49</v>
      </c>
      <c r="I11258" s="0" t="s">
        <v>37547</v>
      </c>
      <c r="J11258" s="0" t="s">
        <v>37548</v>
      </c>
      <c r="K11258" s="0" t="s">
        <v>37549</v>
      </c>
      <c r="L11258" s="0" t="str">
        <f aca="false">HYPERLINK("https://www.ncbi.nlm.nih.gov/nuccore/CP000304.1?report=graph&amp;tracks=[key:gene_model_track,Options:GeneOnly]&amp;mk=3151245:3151264|offset_11|444444,3151283:3151302|offset_49|00cc00,3151307:3151326|offset_73|444444,3151337:3151356|offset_103|444444&amp;v=3151044:3151556&amp;c=444444", "offset 49")</f>
        <v>offset 49</v>
      </c>
    </row>
    <row r="11259" customFormat="false" ht="12.8" hidden="false" customHeight="false" outlineLevel="0" collapsed="false">
      <c r="A11259" s="0" t="s">
        <v>12</v>
      </c>
      <c r="B11259" s="0" t="n">
        <v>3151306</v>
      </c>
      <c r="C11259" s="0" t="n">
        <v>3151326</v>
      </c>
      <c r="D11259" s="0" t="s">
        <v>37543</v>
      </c>
      <c r="E11259" s="0" t="s">
        <v>89</v>
      </c>
      <c r="F11259" s="0" t="s">
        <v>15</v>
      </c>
      <c r="G11259" s="0" t="s">
        <v>16</v>
      </c>
      <c r="H11259" s="0" t="n">
        <v>73</v>
      </c>
      <c r="I11259" s="0" t="s">
        <v>37550</v>
      </c>
      <c r="J11259" s="0" t="s">
        <v>37551</v>
      </c>
      <c r="K11259" s="0" t="s">
        <v>37552</v>
      </c>
      <c r="L11259" s="0" t="str">
        <f aca="false">HYPERLINK("https://www.ncbi.nlm.nih.gov/nuccore/CP000304.1?report=graph&amp;tracks=[key:gene_model_track,Options:GeneOnly]&amp;mk=3151245:3151264|offset_11|444444,3151283:3151302|offset_49|444444,3151307:3151326|offset_73|00cc00,3151337:3151356|offset_103|444444&amp;v=3151044:3151556&amp;c=444444", "offset 73")</f>
        <v>offset 73</v>
      </c>
    </row>
    <row r="11260" customFormat="false" ht="12.8" hidden="false" customHeight="false" outlineLevel="0" collapsed="false">
      <c r="A11260" s="0" t="s">
        <v>12</v>
      </c>
      <c r="B11260" s="0" t="n">
        <v>3151336</v>
      </c>
      <c r="C11260" s="0" t="n">
        <v>3151356</v>
      </c>
      <c r="D11260" s="0" t="s">
        <v>37543</v>
      </c>
      <c r="E11260" s="0" t="s">
        <v>89</v>
      </c>
      <c r="F11260" s="0" t="s">
        <v>15</v>
      </c>
      <c r="G11260" s="0" t="s">
        <v>16</v>
      </c>
      <c r="H11260" s="0" t="n">
        <v>103</v>
      </c>
      <c r="I11260" s="0" t="s">
        <v>37553</v>
      </c>
      <c r="J11260" s="0" t="s">
        <v>37554</v>
      </c>
      <c r="K11260" s="0" t="s">
        <v>37555</v>
      </c>
      <c r="L11260" s="0" t="str">
        <f aca="false">HYPERLINK("https://www.ncbi.nlm.nih.gov/nuccore/CP000304.1?report=graph&amp;tracks=[key:gene_model_track,Options:GeneOnly]&amp;mk=3151245:3151264|offset_11|444444,3151283:3151302|offset_49|444444,3151307:3151326|offset_73|444444,3151337:3151356|offset_103|00cc00&amp;v=3151044:3151556&amp;c=444444", "offset 103")</f>
        <v>offset 103</v>
      </c>
    </row>
    <row r="11261" customFormat="false" ht="12.8" hidden="false" customHeight="false" outlineLevel="0" collapsed="false">
      <c r="A11261" s="0" t="s">
        <v>12</v>
      </c>
      <c r="B11261" s="0" t="n">
        <v>3152621</v>
      </c>
      <c r="C11261" s="0" t="n">
        <v>3152641</v>
      </c>
      <c r="D11261" s="0" t="s">
        <v>37556</v>
      </c>
      <c r="E11261" s="0" t="s">
        <v>89</v>
      </c>
      <c r="F11261" s="0" t="s">
        <v>90</v>
      </c>
      <c r="G11261" s="0" t="s">
        <v>16</v>
      </c>
      <c r="H11261" s="0" t="n">
        <v>7</v>
      </c>
      <c r="I11261" s="0" t="s">
        <v>37557</v>
      </c>
      <c r="J11261" s="0" t="s">
        <v>37558</v>
      </c>
      <c r="K11261" s="0" t="s">
        <v>37559</v>
      </c>
      <c r="L11261" s="0" t="str">
        <f aca="false">HYPERLINK("https://www.ncbi.nlm.nih.gov/nuccore/CP000304.1?report=graph&amp;tracks=[key:gene_model_track,Options:GeneOnly]&amp;mk=3152622:3152641|offset_7|00cc00,3152601:3152620|offset_28|444444,3152538:3152557|offset_91|444444,3152514:3152533|offset_115|444444&amp;v=3152421:3152733&amp;c=444444", "offset 7")</f>
        <v>offset 7</v>
      </c>
    </row>
    <row r="11262" customFormat="false" ht="12.8" hidden="false" customHeight="false" outlineLevel="0" collapsed="false">
      <c r="A11262" s="0" t="s">
        <v>12</v>
      </c>
      <c r="B11262" s="0" t="n">
        <v>3152600</v>
      </c>
      <c r="C11262" s="0" t="n">
        <v>3152620</v>
      </c>
      <c r="D11262" s="0" t="s">
        <v>37556</v>
      </c>
      <c r="E11262" s="0" t="s">
        <v>89</v>
      </c>
      <c r="F11262" s="0" t="s">
        <v>90</v>
      </c>
      <c r="G11262" s="0" t="s">
        <v>32</v>
      </c>
      <c r="H11262" s="0" t="n">
        <v>28</v>
      </c>
      <c r="I11262" s="0" t="s">
        <v>37560</v>
      </c>
      <c r="J11262" s="0" t="s">
        <v>37561</v>
      </c>
      <c r="K11262" s="0" t="s">
        <v>37562</v>
      </c>
      <c r="L11262" s="0" t="str">
        <f aca="false">HYPERLINK("https://www.ncbi.nlm.nih.gov/nuccore/CP000304.1?report=graph&amp;tracks=[key:gene_model_track,Options:GeneOnly]&amp;mk=3152622:3152641|offset_7|444444,3152601:3152620|offset_28|00cc00,3152538:3152557|offset_91|444444,3152514:3152533|offset_115|444444&amp;v=3152421:3152733&amp;c=444444", "offset 28")</f>
        <v>offset 28</v>
      </c>
    </row>
    <row r="11263" customFormat="false" ht="12.8" hidden="false" customHeight="false" outlineLevel="0" collapsed="false">
      <c r="A11263" s="0" t="s">
        <v>12</v>
      </c>
      <c r="B11263" s="0" t="n">
        <v>3152537</v>
      </c>
      <c r="C11263" s="0" t="n">
        <v>3152557</v>
      </c>
      <c r="D11263" s="0" t="s">
        <v>37556</v>
      </c>
      <c r="E11263" s="0" t="s">
        <v>89</v>
      </c>
      <c r="F11263" s="0" t="s">
        <v>90</v>
      </c>
      <c r="G11263" s="0" t="s">
        <v>32</v>
      </c>
      <c r="H11263" s="0" t="n">
        <v>91</v>
      </c>
      <c r="I11263" s="0" t="s">
        <v>37563</v>
      </c>
      <c r="J11263" s="0" t="s">
        <v>37564</v>
      </c>
      <c r="K11263" s="0" t="s">
        <v>37565</v>
      </c>
      <c r="L11263" s="0" t="str">
        <f aca="false">HYPERLINK("https://www.ncbi.nlm.nih.gov/nuccore/CP000304.1?report=graph&amp;tracks=[key:gene_model_track,Options:GeneOnly]&amp;mk=3152622:3152641|offset_7|444444,3152601:3152620|offset_28|444444,3152538:3152557|offset_91|00cc00,3152514:3152533|offset_115|444444&amp;v=3152421:3152733&amp;c=444444", "offset 91")</f>
        <v>offset 91</v>
      </c>
    </row>
    <row r="11264" customFormat="false" ht="12.8" hidden="false" customHeight="false" outlineLevel="0" collapsed="false">
      <c r="A11264" s="0" t="s">
        <v>12</v>
      </c>
      <c r="B11264" s="0" t="n">
        <v>3152513</v>
      </c>
      <c r="C11264" s="0" t="n">
        <v>3152533</v>
      </c>
      <c r="D11264" s="0" t="s">
        <v>37556</v>
      </c>
      <c r="E11264" s="0" t="s">
        <v>89</v>
      </c>
      <c r="F11264" s="0" t="s">
        <v>90</v>
      </c>
      <c r="G11264" s="0" t="s">
        <v>32</v>
      </c>
      <c r="H11264" s="0" t="n">
        <v>115</v>
      </c>
      <c r="I11264" s="0" t="s">
        <v>37566</v>
      </c>
      <c r="J11264" s="0" t="s">
        <v>37567</v>
      </c>
      <c r="K11264" s="0" t="s">
        <v>37568</v>
      </c>
      <c r="L11264" s="0" t="str">
        <f aca="false">HYPERLINK("https://www.ncbi.nlm.nih.gov/nuccore/CP000304.1?report=graph&amp;tracks=[key:gene_model_track,Options:GeneOnly]&amp;mk=3152622:3152641|offset_7|444444,3152601:3152620|offset_28|444444,3152538:3152557|offset_91|444444,3152514:3152533|offset_115|00cc00&amp;v=3152421:3152733&amp;c=444444", "offset 115")</f>
        <v>offset 115</v>
      </c>
    </row>
    <row r="11265" customFormat="false" ht="12.8" hidden="false" customHeight="false" outlineLevel="0" collapsed="false">
      <c r="A11265" s="0" t="s">
        <v>12</v>
      </c>
      <c r="B11265" s="0" t="n">
        <v>3153248</v>
      </c>
      <c r="C11265" s="0" t="n">
        <v>3153268</v>
      </c>
      <c r="D11265" s="0" t="s">
        <v>37569</v>
      </c>
      <c r="E11265" s="0" t="s">
        <v>89</v>
      </c>
      <c r="F11265" s="0" t="s">
        <v>90</v>
      </c>
      <c r="G11265" s="0" t="s">
        <v>16</v>
      </c>
      <c r="H11265" s="0" t="n">
        <v>1</v>
      </c>
      <c r="I11265" s="0" t="s">
        <v>37570</v>
      </c>
      <c r="J11265" s="0" t="s">
        <v>37571</v>
      </c>
      <c r="K11265" s="0" t="s">
        <v>37572</v>
      </c>
      <c r="L11265" s="0" t="str">
        <f aca="false">HYPERLINK("https://www.ncbi.nlm.nih.gov/nuccore/CP000304.1?report=graph&amp;tracks=[key:gene_model_track,Options:GeneOnly]&amp;mk=3153249:3153268|offset_1|00cc00,3153223:3153242|offset_27|444444,3153202:3153221|offset_48|444444,3153145:3153164|offset_105|444444&amp;v=3153048:3153364&amp;c=444444", "offset 1")</f>
        <v>offset 1</v>
      </c>
    </row>
    <row r="11266" customFormat="false" ht="12.8" hidden="false" customHeight="false" outlineLevel="0" collapsed="false">
      <c r="A11266" s="0" t="s">
        <v>12</v>
      </c>
      <c r="B11266" s="0" t="n">
        <v>3153222</v>
      </c>
      <c r="C11266" s="0" t="n">
        <v>3153242</v>
      </c>
      <c r="D11266" s="0" t="s">
        <v>37569</v>
      </c>
      <c r="E11266" s="0" t="s">
        <v>89</v>
      </c>
      <c r="F11266" s="0" t="s">
        <v>90</v>
      </c>
      <c r="G11266" s="0" t="s">
        <v>16</v>
      </c>
      <c r="H11266" s="0" t="n">
        <v>27</v>
      </c>
      <c r="I11266" s="0" t="s">
        <v>37573</v>
      </c>
      <c r="J11266" s="0" t="s">
        <v>37574</v>
      </c>
      <c r="K11266" s="0" t="s">
        <v>37575</v>
      </c>
      <c r="L11266" s="0" t="str">
        <f aca="false">HYPERLINK("https://www.ncbi.nlm.nih.gov/nuccore/CP000304.1?report=graph&amp;tracks=[key:gene_model_track,Options:GeneOnly]&amp;mk=3153249:3153268|offset_1|444444,3153223:3153242|offset_27|00cc00,3153202:3153221|offset_48|444444,3153145:3153164|offset_105|444444&amp;v=3153048:3153364&amp;c=444444", "offset 27")</f>
        <v>offset 27</v>
      </c>
    </row>
    <row r="11267" customFormat="false" ht="12.8" hidden="false" customHeight="false" outlineLevel="0" collapsed="false">
      <c r="A11267" s="0" t="s">
        <v>12</v>
      </c>
      <c r="B11267" s="0" t="n">
        <v>3153201</v>
      </c>
      <c r="C11267" s="0" t="n">
        <v>3153221</v>
      </c>
      <c r="D11267" s="0" t="s">
        <v>37569</v>
      </c>
      <c r="E11267" s="0" t="s">
        <v>89</v>
      </c>
      <c r="F11267" s="0" t="s">
        <v>90</v>
      </c>
      <c r="G11267" s="0" t="s">
        <v>32</v>
      </c>
      <c r="H11267" s="0" t="n">
        <v>48</v>
      </c>
      <c r="I11267" s="0" t="s">
        <v>37576</v>
      </c>
      <c r="J11267" s="0" t="s">
        <v>37577</v>
      </c>
      <c r="K11267" s="0" t="s">
        <v>37578</v>
      </c>
      <c r="L11267" s="0" t="str">
        <f aca="false">HYPERLINK("https://www.ncbi.nlm.nih.gov/nuccore/CP000304.1?report=graph&amp;tracks=[key:gene_model_track,Options:GeneOnly]&amp;mk=3153249:3153268|offset_1|444444,3153223:3153242|offset_27|444444,3153202:3153221|offset_48|00cc00,3153145:3153164|offset_105|444444&amp;v=3153048:3153364&amp;c=444444", "offset 48")</f>
        <v>offset 48</v>
      </c>
    </row>
    <row r="11268" customFormat="false" ht="12.8" hidden="false" customHeight="false" outlineLevel="0" collapsed="false">
      <c r="A11268" s="0" t="s">
        <v>12</v>
      </c>
      <c r="B11268" s="0" t="n">
        <v>3153144</v>
      </c>
      <c r="C11268" s="0" t="n">
        <v>3153164</v>
      </c>
      <c r="D11268" s="0" t="s">
        <v>37569</v>
      </c>
      <c r="E11268" s="0" t="s">
        <v>89</v>
      </c>
      <c r="F11268" s="0" t="s">
        <v>90</v>
      </c>
      <c r="G11268" s="0" t="s">
        <v>36</v>
      </c>
      <c r="H11268" s="0" t="n">
        <v>105</v>
      </c>
      <c r="I11268" s="0" t="s">
        <v>37579</v>
      </c>
      <c r="J11268" s="0" t="s">
        <v>37580</v>
      </c>
      <c r="K11268" s="0" t="s">
        <v>37581</v>
      </c>
      <c r="L11268" s="0" t="str">
        <f aca="false">HYPERLINK("https://www.ncbi.nlm.nih.gov/nuccore/CP000304.1?report=graph&amp;tracks=[key:gene_model_track,Options:GeneOnly]&amp;mk=3153249:3153268|offset_1|444444,3153223:3153242|offset_27|444444,3153202:3153221|offset_48|444444,3153145:3153164|offset_105|00cc00&amp;v=3153048:3153364&amp;c=444444", "offset 105")</f>
        <v>offset 105</v>
      </c>
    </row>
    <row r="11269" customFormat="false" ht="12.8" hidden="false" customHeight="false" outlineLevel="0" collapsed="false">
      <c r="A11269" s="0" t="s">
        <v>12</v>
      </c>
      <c r="B11269" s="0" t="n">
        <v>3153278</v>
      </c>
      <c r="C11269" s="0" t="n">
        <v>3153298</v>
      </c>
      <c r="D11269" s="0" t="s">
        <v>37582</v>
      </c>
      <c r="E11269" s="0" t="s">
        <v>89</v>
      </c>
      <c r="F11269" s="0" t="s">
        <v>15</v>
      </c>
      <c r="G11269" s="0" t="s">
        <v>16</v>
      </c>
      <c r="H11269" s="0" t="n">
        <v>0</v>
      </c>
      <c r="I11269" s="0" t="s">
        <v>37583</v>
      </c>
      <c r="J11269" s="0" t="s">
        <v>37584</v>
      </c>
      <c r="K11269" s="0" t="s">
        <v>37585</v>
      </c>
      <c r="L11269" s="0" t="str">
        <f aca="false">HYPERLINK("https://www.ncbi.nlm.nih.gov/nuccore/CP000304.1?report=graph&amp;tracks=[key:gene_model_track,Options:GeneOnly]&amp;mk=3153279:3153298|offset_0|00cc00,3153303:3153322|offset_24|444444,3153344:3153363|offset_65|444444,3153378:3153397|offset_99|444444&amp;v=3153078:3153597&amp;c=444444", "offset 0")</f>
        <v>offset 0</v>
      </c>
    </row>
    <row r="11270" customFormat="false" ht="12.8" hidden="false" customHeight="false" outlineLevel="0" collapsed="false">
      <c r="A11270" s="0" t="s">
        <v>12</v>
      </c>
      <c r="B11270" s="0" t="n">
        <v>3153302</v>
      </c>
      <c r="C11270" s="0" t="n">
        <v>3153322</v>
      </c>
      <c r="D11270" s="0" t="s">
        <v>37582</v>
      </c>
      <c r="E11270" s="0" t="s">
        <v>89</v>
      </c>
      <c r="F11270" s="0" t="s">
        <v>15</v>
      </c>
      <c r="G11270" s="0" t="s">
        <v>32</v>
      </c>
      <c r="H11270" s="0" t="n">
        <v>24</v>
      </c>
      <c r="I11270" s="0" t="s">
        <v>37586</v>
      </c>
      <c r="J11270" s="0" t="s">
        <v>37587</v>
      </c>
      <c r="K11270" s="0" t="s">
        <v>37588</v>
      </c>
      <c r="L11270" s="0" t="str">
        <f aca="false">HYPERLINK("https://www.ncbi.nlm.nih.gov/nuccore/CP000304.1?report=graph&amp;tracks=[key:gene_model_track,Options:GeneOnly]&amp;mk=3153279:3153298|offset_0|444444,3153303:3153322|offset_24|00cc00,3153344:3153363|offset_65|444444,3153378:3153397|offset_99|444444&amp;v=3153078:3153597&amp;c=444444", "offset 24")</f>
        <v>offset 24</v>
      </c>
    </row>
    <row r="11271" customFormat="false" ht="12.8" hidden="false" customHeight="false" outlineLevel="0" collapsed="false">
      <c r="A11271" s="0" t="s">
        <v>12</v>
      </c>
      <c r="B11271" s="0" t="n">
        <v>3153343</v>
      </c>
      <c r="C11271" s="0" t="n">
        <v>3153363</v>
      </c>
      <c r="D11271" s="0" t="s">
        <v>37582</v>
      </c>
      <c r="E11271" s="0" t="s">
        <v>89</v>
      </c>
      <c r="F11271" s="0" t="s">
        <v>15</v>
      </c>
      <c r="G11271" s="0" t="s">
        <v>32</v>
      </c>
      <c r="H11271" s="0" t="n">
        <v>65</v>
      </c>
      <c r="I11271" s="0" t="s">
        <v>37589</v>
      </c>
      <c r="J11271" s="0" t="s">
        <v>37590</v>
      </c>
      <c r="K11271" s="0" t="s">
        <v>37591</v>
      </c>
      <c r="L11271" s="0" t="str">
        <f aca="false">HYPERLINK("https://www.ncbi.nlm.nih.gov/nuccore/CP000304.1?report=graph&amp;tracks=[key:gene_model_track,Options:GeneOnly]&amp;mk=3153279:3153298|offset_0|444444,3153303:3153322|offset_24|444444,3153344:3153363|offset_65|00cc00,3153378:3153397|offset_99|444444&amp;v=3153078:3153597&amp;c=444444", "offset 65")</f>
        <v>offset 65</v>
      </c>
    </row>
    <row r="11272" customFormat="false" ht="12.8" hidden="false" customHeight="false" outlineLevel="0" collapsed="false">
      <c r="A11272" s="0" t="s">
        <v>12</v>
      </c>
      <c r="B11272" s="0" t="n">
        <v>3153377</v>
      </c>
      <c r="C11272" s="0" t="n">
        <v>3153397</v>
      </c>
      <c r="D11272" s="0" t="s">
        <v>37582</v>
      </c>
      <c r="E11272" s="0" t="s">
        <v>89</v>
      </c>
      <c r="F11272" s="0" t="s">
        <v>15</v>
      </c>
      <c r="G11272" s="0" t="s">
        <v>26</v>
      </c>
      <c r="H11272" s="0" t="n">
        <v>99</v>
      </c>
      <c r="I11272" s="0" t="s">
        <v>37592</v>
      </c>
      <c r="J11272" s="0" t="s">
        <v>37593</v>
      </c>
      <c r="K11272" s="0" t="s">
        <v>37594</v>
      </c>
      <c r="L11272" s="0" t="str">
        <f aca="false">HYPERLINK("https://www.ncbi.nlm.nih.gov/nuccore/CP000304.1?report=graph&amp;tracks=[key:gene_model_track,Options:GeneOnly]&amp;mk=3153279:3153298|offset_0|444444,3153303:3153322|offset_24|444444,3153344:3153363|offset_65|444444,3153378:3153397|offset_99|00cc00&amp;v=3153078:3153597&amp;c=444444", "offset 99")</f>
        <v>offset 99</v>
      </c>
    </row>
    <row r="11273" customFormat="false" ht="12.8" hidden="false" customHeight="false" outlineLevel="0" collapsed="false">
      <c r="A11273" s="0" t="s">
        <v>12</v>
      </c>
      <c r="B11273" s="0" t="n">
        <v>3155515</v>
      </c>
      <c r="C11273" s="0" t="n">
        <v>3155535</v>
      </c>
      <c r="D11273" s="0" t="s">
        <v>37595</v>
      </c>
      <c r="E11273" s="0" t="s">
        <v>89</v>
      </c>
      <c r="F11273" s="0" t="s">
        <v>15</v>
      </c>
      <c r="G11273" s="0" t="s">
        <v>32</v>
      </c>
      <c r="H11273" s="0" t="n">
        <v>1</v>
      </c>
      <c r="I11273" s="0" t="s">
        <v>37596</v>
      </c>
      <c r="J11273" s="0" t="s">
        <v>37597</v>
      </c>
      <c r="K11273" s="0" t="s">
        <v>37598</v>
      </c>
      <c r="L11273" s="0" t="str">
        <f aca="false">HYPERLINK("https://www.ncbi.nlm.nih.gov/nuccore/CP000304.1?report=graph&amp;tracks=[key:gene_model_track,Options:GeneOnly]&amp;mk=3155516:3155535|offset_1|00cc00,3155540:3155559|offset_25|444444,3155562:3155581|offset_47|444444,3155582:3155601|offset_67|444444&amp;v=3155315:3155801&amp;c=444444", "offset 1")</f>
        <v>offset 1</v>
      </c>
    </row>
    <row r="11274" customFormat="false" ht="12.8" hidden="false" customHeight="false" outlineLevel="0" collapsed="false">
      <c r="A11274" s="0" t="s">
        <v>12</v>
      </c>
      <c r="B11274" s="0" t="n">
        <v>3155539</v>
      </c>
      <c r="C11274" s="0" t="n">
        <v>3155559</v>
      </c>
      <c r="D11274" s="0" t="s">
        <v>37595</v>
      </c>
      <c r="E11274" s="0" t="s">
        <v>89</v>
      </c>
      <c r="F11274" s="0" t="s">
        <v>15</v>
      </c>
      <c r="G11274" s="0" t="s">
        <v>36</v>
      </c>
      <c r="H11274" s="0" t="n">
        <v>25</v>
      </c>
      <c r="I11274" s="0" t="s">
        <v>37599</v>
      </c>
      <c r="J11274" s="0" t="s">
        <v>37600</v>
      </c>
      <c r="K11274" s="0" t="s">
        <v>37601</v>
      </c>
      <c r="L11274" s="0" t="str">
        <f aca="false">HYPERLINK("https://www.ncbi.nlm.nih.gov/nuccore/CP000304.1?report=graph&amp;tracks=[key:gene_model_track,Options:GeneOnly]&amp;mk=3155516:3155535|offset_1|444444,3155540:3155559|offset_25|00cc00,3155562:3155581|offset_47|444444,3155582:3155601|offset_67|444444&amp;v=3155315:3155801&amp;c=444444", "offset 25")</f>
        <v>offset 25</v>
      </c>
    </row>
    <row r="11275" customFormat="false" ht="12.8" hidden="false" customHeight="false" outlineLevel="0" collapsed="false">
      <c r="A11275" s="0" t="s">
        <v>12</v>
      </c>
      <c r="B11275" s="0" t="n">
        <v>3155561</v>
      </c>
      <c r="C11275" s="0" t="n">
        <v>3155581</v>
      </c>
      <c r="D11275" s="0" t="s">
        <v>37595</v>
      </c>
      <c r="E11275" s="0" t="s">
        <v>89</v>
      </c>
      <c r="F11275" s="0" t="s">
        <v>15</v>
      </c>
      <c r="G11275" s="0" t="s">
        <v>36</v>
      </c>
      <c r="H11275" s="0" t="n">
        <v>47</v>
      </c>
      <c r="I11275" s="0" t="s">
        <v>37602</v>
      </c>
      <c r="J11275" s="0" t="s">
        <v>37603</v>
      </c>
      <c r="K11275" s="0" t="s">
        <v>37604</v>
      </c>
      <c r="L11275" s="0" t="str">
        <f aca="false">HYPERLINK("https://www.ncbi.nlm.nih.gov/nuccore/CP000304.1?report=graph&amp;tracks=[key:gene_model_track,Options:GeneOnly]&amp;mk=3155516:3155535|offset_1|444444,3155540:3155559|offset_25|444444,3155562:3155581|offset_47|00cc00,3155582:3155601|offset_67|444444&amp;v=3155315:3155801&amp;c=444444", "offset 47")</f>
        <v>offset 47</v>
      </c>
    </row>
    <row r="11276" customFormat="false" ht="12.8" hidden="false" customHeight="false" outlineLevel="0" collapsed="false">
      <c r="A11276" s="0" t="s">
        <v>12</v>
      </c>
      <c r="B11276" s="0" t="n">
        <v>3155581</v>
      </c>
      <c r="C11276" s="0" t="n">
        <v>3155601</v>
      </c>
      <c r="D11276" s="0" t="s">
        <v>37595</v>
      </c>
      <c r="E11276" s="0" t="s">
        <v>89</v>
      </c>
      <c r="F11276" s="0" t="s">
        <v>15</v>
      </c>
      <c r="G11276" s="0" t="s">
        <v>36</v>
      </c>
      <c r="H11276" s="0" t="n">
        <v>67</v>
      </c>
      <c r="I11276" s="0" t="s">
        <v>37605</v>
      </c>
      <c r="J11276" s="0" t="s">
        <v>37606</v>
      </c>
      <c r="K11276" s="0" t="s">
        <v>37607</v>
      </c>
      <c r="L11276" s="0" t="str">
        <f aca="false">HYPERLINK("https://www.ncbi.nlm.nih.gov/nuccore/CP000304.1?report=graph&amp;tracks=[key:gene_model_track,Options:GeneOnly]&amp;mk=3155516:3155535|offset_1|444444,3155540:3155559|offset_25|444444,3155562:3155581|offset_47|444444,3155582:3155601|offset_67|00cc00&amp;v=3155315:3155801&amp;c=444444", "offset 67")</f>
        <v>offset 67</v>
      </c>
    </row>
    <row r="11277" customFormat="false" ht="12.8" hidden="false" customHeight="false" outlineLevel="0" collapsed="false">
      <c r="A11277" s="0" t="s">
        <v>12</v>
      </c>
      <c r="B11277" s="0" t="n">
        <v>3156105</v>
      </c>
      <c r="C11277" s="0" t="n">
        <v>3156125</v>
      </c>
      <c r="D11277" s="0" t="s">
        <v>37608</v>
      </c>
      <c r="E11277" s="0" t="s">
        <v>89</v>
      </c>
      <c r="F11277" s="0" t="s">
        <v>15</v>
      </c>
      <c r="G11277" s="0" t="s">
        <v>26</v>
      </c>
      <c r="H11277" s="0" t="n">
        <v>22</v>
      </c>
      <c r="I11277" s="0" t="s">
        <v>37609</v>
      </c>
      <c r="J11277" s="0" t="s">
        <v>37610</v>
      </c>
      <c r="K11277" s="0" t="s">
        <v>37611</v>
      </c>
      <c r="L11277" s="0" t="str">
        <f aca="false">HYPERLINK("https://www.ncbi.nlm.nih.gov/nuccore/CP000304.1?report=graph&amp;tracks=[key:gene_model_track,Options:GeneOnly]&amp;mk=3156106:3156125|offset_22|00cc00,3156163:3156182|offset_79|444444,3156187:3156206|offset_103|444444,3156207:3156226|offset_123|444444&amp;v=3155905:3156426&amp;c=444444", "offset 22")</f>
        <v>offset 22</v>
      </c>
    </row>
    <row r="11278" customFormat="false" ht="12.8" hidden="false" customHeight="false" outlineLevel="0" collapsed="false">
      <c r="A11278" s="0" t="s">
        <v>12</v>
      </c>
      <c r="B11278" s="0" t="n">
        <v>3156162</v>
      </c>
      <c r="C11278" s="0" t="n">
        <v>3156182</v>
      </c>
      <c r="D11278" s="0" t="s">
        <v>37608</v>
      </c>
      <c r="E11278" s="0" t="s">
        <v>89</v>
      </c>
      <c r="F11278" s="0" t="s">
        <v>15</v>
      </c>
      <c r="G11278" s="0" t="s">
        <v>16</v>
      </c>
      <c r="H11278" s="0" t="n">
        <v>79</v>
      </c>
      <c r="I11278" s="0" t="s">
        <v>37612</v>
      </c>
      <c r="J11278" s="0" t="s">
        <v>37613</v>
      </c>
      <c r="K11278" s="0" t="s">
        <v>37614</v>
      </c>
      <c r="L11278" s="0" t="str">
        <f aca="false">HYPERLINK("https://www.ncbi.nlm.nih.gov/nuccore/CP000304.1?report=graph&amp;tracks=[key:gene_model_track,Options:GeneOnly]&amp;mk=3156106:3156125|offset_22|444444,3156163:3156182|offset_79|00cc00,3156187:3156206|offset_103|444444,3156207:3156226|offset_123|444444&amp;v=3155905:3156426&amp;c=444444", "offset 79")</f>
        <v>offset 79</v>
      </c>
    </row>
    <row r="11279" customFormat="false" ht="12.8" hidden="false" customHeight="false" outlineLevel="0" collapsed="false">
      <c r="A11279" s="0" t="s">
        <v>12</v>
      </c>
      <c r="B11279" s="0" t="n">
        <v>3156186</v>
      </c>
      <c r="C11279" s="0" t="n">
        <v>3156206</v>
      </c>
      <c r="D11279" s="0" t="s">
        <v>37608</v>
      </c>
      <c r="E11279" s="0" t="s">
        <v>89</v>
      </c>
      <c r="F11279" s="0" t="s">
        <v>15</v>
      </c>
      <c r="G11279" s="0" t="s">
        <v>36</v>
      </c>
      <c r="H11279" s="0" t="n">
        <v>103</v>
      </c>
      <c r="I11279" s="0" t="s">
        <v>37615</v>
      </c>
      <c r="J11279" s="0" t="s">
        <v>37616</v>
      </c>
      <c r="K11279" s="0" t="s">
        <v>37617</v>
      </c>
      <c r="L11279" s="0" t="str">
        <f aca="false">HYPERLINK("https://www.ncbi.nlm.nih.gov/nuccore/CP000304.1?report=graph&amp;tracks=[key:gene_model_track,Options:GeneOnly]&amp;mk=3156106:3156125|offset_22|444444,3156163:3156182|offset_79|444444,3156187:3156206|offset_103|00cc00,3156207:3156226|offset_123|444444&amp;v=3155905:3156426&amp;c=444444", "offset 103")</f>
        <v>offset 103</v>
      </c>
    </row>
    <row r="11280" customFormat="false" ht="12.8" hidden="false" customHeight="false" outlineLevel="0" collapsed="false">
      <c r="A11280" s="0" t="s">
        <v>12</v>
      </c>
      <c r="B11280" s="0" t="n">
        <v>3156206</v>
      </c>
      <c r="C11280" s="0" t="n">
        <v>3156226</v>
      </c>
      <c r="D11280" s="0" t="s">
        <v>37608</v>
      </c>
      <c r="E11280" s="0" t="s">
        <v>89</v>
      </c>
      <c r="F11280" s="0" t="s">
        <v>15</v>
      </c>
      <c r="G11280" s="0" t="s">
        <v>16</v>
      </c>
      <c r="H11280" s="0" t="n">
        <v>123</v>
      </c>
      <c r="I11280" s="0" t="s">
        <v>37618</v>
      </c>
      <c r="J11280" s="0" t="s">
        <v>37619</v>
      </c>
      <c r="K11280" s="0" t="s">
        <v>37620</v>
      </c>
      <c r="L11280" s="0" t="str">
        <f aca="false">HYPERLINK("https://www.ncbi.nlm.nih.gov/nuccore/CP000304.1?report=graph&amp;tracks=[key:gene_model_track,Options:GeneOnly]&amp;mk=3156106:3156125|offset_22|444444,3156163:3156182|offset_79|444444,3156187:3156206|offset_103|444444,3156207:3156226|offset_123|00cc00&amp;v=3155905:3156426&amp;c=444444", "offset 123")</f>
        <v>offset 123</v>
      </c>
    </row>
    <row r="11281" customFormat="false" ht="12.8" hidden="false" customHeight="false" outlineLevel="0" collapsed="false">
      <c r="A11281" s="0" t="s">
        <v>12</v>
      </c>
      <c r="B11281" s="0" t="n">
        <v>3157962</v>
      </c>
      <c r="C11281" s="0" t="n">
        <v>3157982</v>
      </c>
      <c r="D11281" s="0" t="s">
        <v>37621</v>
      </c>
      <c r="E11281" s="0" t="s">
        <v>89</v>
      </c>
      <c r="F11281" s="0" t="s">
        <v>90</v>
      </c>
      <c r="G11281" s="0" t="s">
        <v>26</v>
      </c>
      <c r="H11281" s="0" t="n">
        <v>17</v>
      </c>
      <c r="I11281" s="0" t="s">
        <v>37622</v>
      </c>
      <c r="J11281" s="0" t="s">
        <v>37623</v>
      </c>
      <c r="K11281" s="0" t="s">
        <v>37624</v>
      </c>
      <c r="L11281" s="0" t="str">
        <f aca="false">HYPERLINK("https://www.ncbi.nlm.nih.gov/nuccore/CP000304.1?report=graph&amp;tracks=[key:gene_model_track,Options:GeneOnly]&amp;mk=3157963:3157982|offset_17|00cc00,3157942:3157961|offset_38|444444,3157915:3157934|offset_65|444444,3157888:3157907|offset_92|444444&amp;v=3157762:3158107&amp;c=444444", "offset 17")</f>
        <v>offset 17</v>
      </c>
    </row>
    <row r="11282" customFormat="false" ht="12.8" hidden="false" customHeight="false" outlineLevel="0" collapsed="false">
      <c r="A11282" s="0" t="s">
        <v>12</v>
      </c>
      <c r="B11282" s="0" t="n">
        <v>3157941</v>
      </c>
      <c r="C11282" s="0" t="n">
        <v>3157961</v>
      </c>
      <c r="D11282" s="0" t="s">
        <v>37621</v>
      </c>
      <c r="E11282" s="0" t="s">
        <v>89</v>
      </c>
      <c r="F11282" s="0" t="s">
        <v>90</v>
      </c>
      <c r="G11282" s="0" t="s">
        <v>32</v>
      </c>
      <c r="H11282" s="0" t="n">
        <v>38</v>
      </c>
      <c r="I11282" s="0" t="s">
        <v>37625</v>
      </c>
      <c r="J11282" s="0" t="s">
        <v>37626</v>
      </c>
      <c r="K11282" s="0" t="s">
        <v>37627</v>
      </c>
      <c r="L11282" s="0" t="str">
        <f aca="false">HYPERLINK("https://www.ncbi.nlm.nih.gov/nuccore/CP000304.1?report=graph&amp;tracks=[key:gene_model_track,Options:GeneOnly]&amp;mk=3157963:3157982|offset_17|444444,3157942:3157961|offset_38|00cc00,3157915:3157934|offset_65|444444,3157888:3157907|offset_92|444444&amp;v=3157762:3158107&amp;c=444444", "offset 38")</f>
        <v>offset 38</v>
      </c>
    </row>
    <row r="11283" customFormat="false" ht="12.8" hidden="false" customHeight="false" outlineLevel="0" collapsed="false">
      <c r="A11283" s="0" t="s">
        <v>12</v>
      </c>
      <c r="B11283" s="0" t="n">
        <v>3157914</v>
      </c>
      <c r="C11283" s="0" t="n">
        <v>3157934</v>
      </c>
      <c r="D11283" s="0" t="s">
        <v>37621</v>
      </c>
      <c r="E11283" s="0" t="s">
        <v>89</v>
      </c>
      <c r="F11283" s="0" t="s">
        <v>90</v>
      </c>
      <c r="G11283" s="0" t="s">
        <v>16</v>
      </c>
      <c r="H11283" s="0" t="n">
        <v>65</v>
      </c>
      <c r="I11283" s="0" t="s">
        <v>37628</v>
      </c>
      <c r="J11283" s="0" t="s">
        <v>37629</v>
      </c>
      <c r="K11283" s="0" t="s">
        <v>37630</v>
      </c>
      <c r="L11283" s="0" t="str">
        <f aca="false">HYPERLINK("https://www.ncbi.nlm.nih.gov/nuccore/CP000304.1?report=graph&amp;tracks=[key:gene_model_track,Options:GeneOnly]&amp;mk=3157963:3157982|offset_17|444444,3157942:3157961|offset_38|444444,3157915:3157934|offset_65|00cc00,3157888:3157907|offset_92|444444&amp;v=3157762:3158107&amp;c=444444", "offset 65")</f>
        <v>offset 65</v>
      </c>
    </row>
    <row r="11284" customFormat="false" ht="12.8" hidden="false" customHeight="false" outlineLevel="0" collapsed="false">
      <c r="A11284" s="0" t="s">
        <v>12</v>
      </c>
      <c r="B11284" s="0" t="n">
        <v>3157887</v>
      </c>
      <c r="C11284" s="0" t="n">
        <v>3157907</v>
      </c>
      <c r="D11284" s="0" t="s">
        <v>37621</v>
      </c>
      <c r="E11284" s="0" t="s">
        <v>89</v>
      </c>
      <c r="F11284" s="0" t="s">
        <v>90</v>
      </c>
      <c r="G11284" s="0" t="s">
        <v>26</v>
      </c>
      <c r="H11284" s="0" t="n">
        <v>92</v>
      </c>
      <c r="I11284" s="0" t="s">
        <v>37631</v>
      </c>
      <c r="J11284" s="0" t="s">
        <v>37632</v>
      </c>
      <c r="K11284" s="0" t="s">
        <v>37633</v>
      </c>
      <c r="L11284" s="0" t="str">
        <f aca="false">HYPERLINK("https://www.ncbi.nlm.nih.gov/nuccore/CP000304.1?report=graph&amp;tracks=[key:gene_model_track,Options:GeneOnly]&amp;mk=3157963:3157982|offset_17|444444,3157942:3157961|offset_38|444444,3157915:3157934|offset_65|444444,3157888:3157907|offset_92|00cc00&amp;v=3157762:3158107&amp;c=444444", "offset 92")</f>
        <v>offset 92</v>
      </c>
    </row>
    <row r="11285" customFormat="false" ht="12.8" hidden="false" customHeight="false" outlineLevel="0" collapsed="false">
      <c r="A11285" s="0" t="s">
        <v>12</v>
      </c>
      <c r="B11285" s="0" t="n">
        <v>3158711</v>
      </c>
      <c r="C11285" s="0" t="n">
        <v>3158731</v>
      </c>
      <c r="D11285" s="0" t="s">
        <v>37634</v>
      </c>
      <c r="E11285" s="0" t="s">
        <v>89</v>
      </c>
      <c r="F11285" s="0" t="s">
        <v>90</v>
      </c>
      <c r="G11285" s="0" t="s">
        <v>26</v>
      </c>
      <c r="H11285" s="0" t="n">
        <v>22</v>
      </c>
      <c r="I11285" s="0" t="s">
        <v>37635</v>
      </c>
      <c r="J11285" s="0" t="s">
        <v>37636</v>
      </c>
      <c r="K11285" s="0" t="s">
        <v>37637</v>
      </c>
      <c r="L11285" s="0" t="str">
        <f aca="false">HYPERLINK("https://www.ncbi.nlm.nih.gov/nuccore/CP000304.1?report=graph&amp;tracks=[key:gene_model_track,Options:GeneOnly]&amp;mk=3158712:3158731|offset_22|00cc00,3158673:3158692|offset_61|444444,3158647:3158666|offset_87|444444,3158613:3158632|offset_121|444444&amp;v=3158511:3158832&amp;c=444444", "offset 22")</f>
        <v>offset 22</v>
      </c>
    </row>
    <row r="11286" customFormat="false" ht="12.8" hidden="false" customHeight="false" outlineLevel="0" collapsed="false">
      <c r="A11286" s="0" t="s">
        <v>12</v>
      </c>
      <c r="B11286" s="0" t="n">
        <v>3158672</v>
      </c>
      <c r="C11286" s="0" t="n">
        <v>3158692</v>
      </c>
      <c r="D11286" s="0" t="s">
        <v>37634</v>
      </c>
      <c r="E11286" s="0" t="s">
        <v>89</v>
      </c>
      <c r="F11286" s="0" t="s">
        <v>90</v>
      </c>
      <c r="G11286" s="0" t="s">
        <v>16</v>
      </c>
      <c r="H11286" s="0" t="n">
        <v>61</v>
      </c>
      <c r="I11286" s="0" t="s">
        <v>37638</v>
      </c>
      <c r="J11286" s="0" t="s">
        <v>37639</v>
      </c>
      <c r="K11286" s="0" t="s">
        <v>37640</v>
      </c>
      <c r="L11286" s="0" t="str">
        <f aca="false">HYPERLINK("https://www.ncbi.nlm.nih.gov/nuccore/CP000304.1?report=graph&amp;tracks=[key:gene_model_track,Options:GeneOnly]&amp;mk=3158712:3158731|offset_22|444444,3158673:3158692|offset_61|00cc00,3158647:3158666|offset_87|444444,3158613:3158632|offset_121|444444&amp;v=3158511:3158832&amp;c=444444", "offset 61")</f>
        <v>offset 61</v>
      </c>
    </row>
    <row r="11287" customFormat="false" ht="12.8" hidden="false" customHeight="false" outlineLevel="0" collapsed="false">
      <c r="A11287" s="0" t="s">
        <v>12</v>
      </c>
      <c r="B11287" s="0" t="n">
        <v>3158646</v>
      </c>
      <c r="C11287" s="0" t="n">
        <v>3158666</v>
      </c>
      <c r="D11287" s="0" t="s">
        <v>37634</v>
      </c>
      <c r="E11287" s="0" t="s">
        <v>89</v>
      </c>
      <c r="F11287" s="0" t="s">
        <v>90</v>
      </c>
      <c r="G11287" s="0" t="s">
        <v>16</v>
      </c>
      <c r="H11287" s="0" t="n">
        <v>87</v>
      </c>
      <c r="I11287" s="0" t="s">
        <v>37641</v>
      </c>
      <c r="J11287" s="0" t="s">
        <v>37642</v>
      </c>
      <c r="K11287" s="0" t="s">
        <v>37643</v>
      </c>
      <c r="L11287" s="0" t="str">
        <f aca="false">HYPERLINK("https://www.ncbi.nlm.nih.gov/nuccore/CP000304.1?report=graph&amp;tracks=[key:gene_model_track,Options:GeneOnly]&amp;mk=3158712:3158731|offset_22|444444,3158673:3158692|offset_61|444444,3158647:3158666|offset_87|00cc00,3158613:3158632|offset_121|444444&amp;v=3158511:3158832&amp;c=444444", "offset 87")</f>
        <v>offset 87</v>
      </c>
    </row>
    <row r="11288" customFormat="false" ht="12.8" hidden="false" customHeight="false" outlineLevel="0" collapsed="false">
      <c r="A11288" s="0" t="s">
        <v>12</v>
      </c>
      <c r="B11288" s="0" t="n">
        <v>3158612</v>
      </c>
      <c r="C11288" s="0" t="n">
        <v>3158632</v>
      </c>
      <c r="D11288" s="0" t="s">
        <v>37634</v>
      </c>
      <c r="E11288" s="0" t="s">
        <v>89</v>
      </c>
      <c r="F11288" s="0" t="s">
        <v>90</v>
      </c>
      <c r="G11288" s="0" t="s">
        <v>26</v>
      </c>
      <c r="H11288" s="0" t="n">
        <v>121</v>
      </c>
      <c r="I11288" s="0" t="s">
        <v>37644</v>
      </c>
      <c r="J11288" s="0" t="s">
        <v>37645</v>
      </c>
      <c r="K11288" s="0" t="s">
        <v>37646</v>
      </c>
      <c r="L11288" s="0" t="str">
        <f aca="false">HYPERLINK("https://www.ncbi.nlm.nih.gov/nuccore/CP000304.1?report=graph&amp;tracks=[key:gene_model_track,Options:GeneOnly]&amp;mk=3158712:3158731|offset_22|444444,3158673:3158692|offset_61|444444,3158647:3158666|offset_87|444444,3158613:3158632|offset_121|00cc00&amp;v=3158511:3158832&amp;c=444444", "offset 121")</f>
        <v>offset 121</v>
      </c>
    </row>
    <row r="11289" customFormat="false" ht="12.8" hidden="false" customHeight="false" outlineLevel="0" collapsed="false">
      <c r="A11289" s="0" t="s">
        <v>12</v>
      </c>
      <c r="B11289" s="0" t="n">
        <v>3159728</v>
      </c>
      <c r="C11289" s="0" t="n">
        <v>3159748</v>
      </c>
      <c r="D11289" s="0" t="s">
        <v>37647</v>
      </c>
      <c r="E11289" s="0" t="s">
        <v>89</v>
      </c>
      <c r="F11289" s="0" t="s">
        <v>90</v>
      </c>
      <c r="G11289" s="0" t="s">
        <v>26</v>
      </c>
      <c r="H11289" s="0" t="n">
        <v>6</v>
      </c>
      <c r="I11289" s="0" t="s">
        <v>37648</v>
      </c>
      <c r="J11289" s="0" t="s">
        <v>37649</v>
      </c>
      <c r="K11289" s="0" t="s">
        <v>37650</v>
      </c>
      <c r="L11289" s="0" t="str">
        <f aca="false">HYPERLINK("https://www.ncbi.nlm.nih.gov/nuccore/CP000304.1?report=graph&amp;tracks=[key:gene_model_track,Options:GeneOnly]&amp;mk=3159729:3159748|offset_6|00cc00,3159706:3159725|offset_29|444444,3159641:3159660|offset_94|444444,3159617:3159636|offset_118|444444&amp;v=3159528:3159836&amp;c=444444", "offset 6")</f>
        <v>offset 6</v>
      </c>
    </row>
    <row r="11290" customFormat="false" ht="12.8" hidden="false" customHeight="false" outlineLevel="0" collapsed="false">
      <c r="A11290" s="0" t="s">
        <v>12</v>
      </c>
      <c r="B11290" s="0" t="n">
        <v>3159705</v>
      </c>
      <c r="C11290" s="0" t="n">
        <v>3159725</v>
      </c>
      <c r="D11290" s="0" t="s">
        <v>37647</v>
      </c>
      <c r="E11290" s="0" t="s">
        <v>89</v>
      </c>
      <c r="F11290" s="0" t="s">
        <v>90</v>
      </c>
      <c r="G11290" s="0" t="s">
        <v>16</v>
      </c>
      <c r="H11290" s="0" t="n">
        <v>29</v>
      </c>
      <c r="I11290" s="0" t="s">
        <v>37651</v>
      </c>
      <c r="J11290" s="0" t="s">
        <v>37652</v>
      </c>
      <c r="K11290" s="0" t="s">
        <v>37653</v>
      </c>
      <c r="L11290" s="0" t="str">
        <f aca="false">HYPERLINK("https://www.ncbi.nlm.nih.gov/nuccore/CP000304.1?report=graph&amp;tracks=[key:gene_model_track,Options:GeneOnly]&amp;mk=3159729:3159748|offset_6|444444,3159706:3159725|offset_29|00cc00,3159641:3159660|offset_94|444444,3159617:3159636|offset_118|444444&amp;v=3159528:3159836&amp;c=444444", "offset 29")</f>
        <v>offset 29</v>
      </c>
    </row>
    <row r="11291" customFormat="false" ht="12.8" hidden="false" customHeight="false" outlineLevel="0" collapsed="false">
      <c r="A11291" s="0" t="s">
        <v>12</v>
      </c>
      <c r="B11291" s="0" t="n">
        <v>3159640</v>
      </c>
      <c r="C11291" s="0" t="n">
        <v>3159660</v>
      </c>
      <c r="D11291" s="0" t="s">
        <v>37647</v>
      </c>
      <c r="E11291" s="0" t="s">
        <v>89</v>
      </c>
      <c r="F11291" s="0" t="s">
        <v>90</v>
      </c>
      <c r="G11291" s="0" t="s">
        <v>16</v>
      </c>
      <c r="H11291" s="0" t="n">
        <v>94</v>
      </c>
      <c r="I11291" s="0" t="s">
        <v>37654</v>
      </c>
      <c r="J11291" s="0" t="s">
        <v>37655</v>
      </c>
      <c r="K11291" s="0" t="s">
        <v>37656</v>
      </c>
      <c r="L11291" s="0" t="str">
        <f aca="false">HYPERLINK("https://www.ncbi.nlm.nih.gov/nuccore/CP000304.1?report=graph&amp;tracks=[key:gene_model_track,Options:GeneOnly]&amp;mk=3159729:3159748|offset_6|444444,3159706:3159725|offset_29|444444,3159641:3159660|offset_94|00cc00,3159617:3159636|offset_118|444444&amp;v=3159528:3159836&amp;c=444444", "offset 94")</f>
        <v>offset 94</v>
      </c>
    </row>
    <row r="11292" customFormat="false" ht="12.8" hidden="false" customHeight="false" outlineLevel="0" collapsed="false">
      <c r="A11292" s="0" t="s">
        <v>12</v>
      </c>
      <c r="B11292" s="0" t="n">
        <v>3159616</v>
      </c>
      <c r="C11292" s="0" t="n">
        <v>3159636</v>
      </c>
      <c r="D11292" s="0" t="s">
        <v>37647</v>
      </c>
      <c r="E11292" s="0" t="s">
        <v>89</v>
      </c>
      <c r="F11292" s="0" t="s">
        <v>90</v>
      </c>
      <c r="G11292" s="0" t="s">
        <v>16</v>
      </c>
      <c r="H11292" s="0" t="n">
        <v>118</v>
      </c>
      <c r="I11292" s="0" t="s">
        <v>37657</v>
      </c>
      <c r="J11292" s="0" t="s">
        <v>37658</v>
      </c>
      <c r="K11292" s="0" t="s">
        <v>37659</v>
      </c>
      <c r="L11292" s="0" t="str">
        <f aca="false">HYPERLINK("https://www.ncbi.nlm.nih.gov/nuccore/CP000304.1?report=graph&amp;tracks=[key:gene_model_track,Options:GeneOnly]&amp;mk=3159729:3159748|offset_6|444444,3159706:3159725|offset_29|444444,3159641:3159660|offset_94|444444,3159617:3159636|offset_118|00cc00&amp;v=3159528:3159836&amp;c=444444", "offset 118")</f>
        <v>offset 118</v>
      </c>
    </row>
    <row r="11293" customFormat="false" ht="12.8" hidden="false" customHeight="false" outlineLevel="0" collapsed="false">
      <c r="A11293" s="0" t="s">
        <v>12</v>
      </c>
      <c r="B11293" s="0" t="n">
        <v>3160289</v>
      </c>
      <c r="C11293" s="0" t="n">
        <v>3160309</v>
      </c>
      <c r="D11293" s="0" t="s">
        <v>37660</v>
      </c>
      <c r="E11293" s="0" t="s">
        <v>89</v>
      </c>
      <c r="F11293" s="0" t="s">
        <v>90</v>
      </c>
      <c r="G11293" s="0" t="s">
        <v>16</v>
      </c>
      <c r="H11293" s="0" t="n">
        <v>0</v>
      </c>
      <c r="I11293" s="0" t="s">
        <v>37661</v>
      </c>
      <c r="J11293" s="0" t="s">
        <v>37662</v>
      </c>
      <c r="K11293" s="0" t="s">
        <v>37663</v>
      </c>
      <c r="L11293" s="0" t="str">
        <f aca="false">HYPERLINK("https://www.ncbi.nlm.nih.gov/nuccore/CP000304.1?report=graph&amp;tracks=[key:gene_model_track,Options:GeneOnly]&amp;mk=3160290:3160309|offset_0|00cc00,3160263:3160282|offset_27|444444,3160226:3160245|offset_64|444444,3160171:3160190|offset_119|444444&amp;v=3160089:3160390&amp;c=444444", "offset 0")</f>
        <v>offset 0</v>
      </c>
    </row>
    <row r="11294" customFormat="false" ht="12.8" hidden="false" customHeight="false" outlineLevel="0" collapsed="false">
      <c r="A11294" s="0" t="s">
        <v>12</v>
      </c>
      <c r="B11294" s="0" t="n">
        <v>3160262</v>
      </c>
      <c r="C11294" s="0" t="n">
        <v>3160282</v>
      </c>
      <c r="D11294" s="0" t="s">
        <v>37660</v>
      </c>
      <c r="E11294" s="0" t="s">
        <v>89</v>
      </c>
      <c r="F11294" s="0" t="s">
        <v>90</v>
      </c>
      <c r="G11294" s="0" t="s">
        <v>16</v>
      </c>
      <c r="H11294" s="0" t="n">
        <v>27</v>
      </c>
      <c r="I11294" s="0" t="s">
        <v>37664</v>
      </c>
      <c r="J11294" s="0" t="s">
        <v>37665</v>
      </c>
      <c r="K11294" s="0" t="s">
        <v>37666</v>
      </c>
      <c r="L11294" s="0" t="str">
        <f aca="false">HYPERLINK("https://www.ncbi.nlm.nih.gov/nuccore/CP000304.1?report=graph&amp;tracks=[key:gene_model_track,Options:GeneOnly]&amp;mk=3160290:3160309|offset_0|444444,3160263:3160282|offset_27|00cc00,3160226:3160245|offset_64|444444,3160171:3160190|offset_119|444444&amp;v=3160089:3160390&amp;c=444444", "offset 27")</f>
        <v>offset 27</v>
      </c>
    </row>
    <row r="11295" customFormat="false" ht="12.8" hidden="false" customHeight="false" outlineLevel="0" collapsed="false">
      <c r="A11295" s="0" t="s">
        <v>12</v>
      </c>
      <c r="B11295" s="0" t="n">
        <v>3160225</v>
      </c>
      <c r="C11295" s="0" t="n">
        <v>3160245</v>
      </c>
      <c r="D11295" s="0" t="s">
        <v>37660</v>
      </c>
      <c r="E11295" s="0" t="s">
        <v>89</v>
      </c>
      <c r="F11295" s="0" t="s">
        <v>90</v>
      </c>
      <c r="G11295" s="0" t="s">
        <v>36</v>
      </c>
      <c r="H11295" s="0" t="n">
        <v>64</v>
      </c>
      <c r="I11295" s="0" t="s">
        <v>37667</v>
      </c>
      <c r="J11295" s="0" t="s">
        <v>37668</v>
      </c>
      <c r="K11295" s="0" t="s">
        <v>37669</v>
      </c>
      <c r="L11295" s="0" t="str">
        <f aca="false">HYPERLINK("https://www.ncbi.nlm.nih.gov/nuccore/CP000304.1?report=graph&amp;tracks=[key:gene_model_track,Options:GeneOnly]&amp;mk=3160290:3160309|offset_0|444444,3160263:3160282|offset_27|444444,3160226:3160245|offset_64|00cc00,3160171:3160190|offset_119|444444&amp;v=3160089:3160390&amp;c=444444", "offset 64")</f>
        <v>offset 64</v>
      </c>
    </row>
    <row r="11296" customFormat="false" ht="12.8" hidden="false" customHeight="false" outlineLevel="0" collapsed="false">
      <c r="A11296" s="0" t="s">
        <v>12</v>
      </c>
      <c r="B11296" s="0" t="n">
        <v>3160170</v>
      </c>
      <c r="C11296" s="0" t="n">
        <v>3160190</v>
      </c>
      <c r="D11296" s="0" t="s">
        <v>37660</v>
      </c>
      <c r="E11296" s="0" t="s">
        <v>89</v>
      </c>
      <c r="F11296" s="0" t="s">
        <v>90</v>
      </c>
      <c r="G11296" s="0" t="s">
        <v>36</v>
      </c>
      <c r="H11296" s="0" t="n">
        <v>119</v>
      </c>
      <c r="I11296" s="0" t="s">
        <v>37670</v>
      </c>
      <c r="J11296" s="0" t="s">
        <v>37671</v>
      </c>
      <c r="K11296" s="0" t="s">
        <v>37672</v>
      </c>
      <c r="L11296" s="0" t="str">
        <f aca="false">HYPERLINK("https://www.ncbi.nlm.nih.gov/nuccore/CP000304.1?report=graph&amp;tracks=[key:gene_model_track,Options:GeneOnly]&amp;mk=3160290:3160309|offset_0|444444,3160263:3160282|offset_27|444444,3160226:3160245|offset_64|444444,3160171:3160190|offset_119|00cc00&amp;v=3160089:3160390&amp;c=444444", "offset 119")</f>
        <v>offset 119</v>
      </c>
    </row>
    <row r="11297" customFormat="false" ht="12.8" hidden="false" customHeight="false" outlineLevel="0" collapsed="false">
      <c r="A11297" s="0" t="s">
        <v>12</v>
      </c>
      <c r="B11297" s="0" t="n">
        <v>3160384</v>
      </c>
      <c r="C11297" s="0" t="n">
        <v>3160404</v>
      </c>
      <c r="D11297" s="0" t="s">
        <v>37673</v>
      </c>
      <c r="E11297" s="0" t="s">
        <v>37674</v>
      </c>
      <c r="F11297" s="0" t="s">
        <v>15</v>
      </c>
      <c r="G11297" s="0" t="s">
        <v>32</v>
      </c>
      <c r="H11297" s="0" t="n">
        <v>8</v>
      </c>
      <c r="I11297" s="0" t="s">
        <v>37675</v>
      </c>
      <c r="J11297" s="0" t="s">
        <v>37676</v>
      </c>
      <c r="K11297" s="0" t="s">
        <v>37677</v>
      </c>
      <c r="L11297" s="0" t="str">
        <f aca="false">HYPERLINK("https://www.ncbi.nlm.nih.gov/nuccore/CP000304.1?report=graph&amp;tracks=[key:gene_model_track,Options:GeneOnly]&amp;mk=3160385:3160404|offset_8|00cc00,3160409:3160428|offset_32|444444,3160433:3160452|offset_56|444444,3160456:3160475|offset_79|444444&amp;v=3160184:3160675&amp;c=444444", "offset 8")</f>
        <v>offset 8</v>
      </c>
    </row>
    <row r="11298" customFormat="false" ht="12.8" hidden="false" customHeight="false" outlineLevel="0" collapsed="false">
      <c r="A11298" s="0" t="s">
        <v>12</v>
      </c>
      <c r="B11298" s="0" t="n">
        <v>3160408</v>
      </c>
      <c r="C11298" s="0" t="n">
        <v>3160428</v>
      </c>
      <c r="D11298" s="0" t="s">
        <v>37673</v>
      </c>
      <c r="E11298" s="0" t="s">
        <v>37674</v>
      </c>
      <c r="F11298" s="0" t="s">
        <v>15</v>
      </c>
      <c r="G11298" s="0" t="s">
        <v>32</v>
      </c>
      <c r="H11298" s="0" t="n">
        <v>32</v>
      </c>
      <c r="I11298" s="0" t="s">
        <v>37678</v>
      </c>
      <c r="J11298" s="0" t="s">
        <v>37679</v>
      </c>
      <c r="K11298" s="0" t="s">
        <v>37680</v>
      </c>
      <c r="L11298" s="0" t="str">
        <f aca="false">HYPERLINK("https://www.ncbi.nlm.nih.gov/nuccore/CP000304.1?report=graph&amp;tracks=[key:gene_model_track,Options:GeneOnly]&amp;mk=3160385:3160404|offset_8|444444,3160409:3160428|offset_32|00cc00,3160433:3160452|offset_56|444444,3160456:3160475|offset_79|444444&amp;v=3160184:3160675&amp;c=444444", "offset 32")</f>
        <v>offset 32</v>
      </c>
    </row>
    <row r="11299" customFormat="false" ht="12.8" hidden="false" customHeight="false" outlineLevel="0" collapsed="false">
      <c r="A11299" s="0" t="s">
        <v>12</v>
      </c>
      <c r="B11299" s="0" t="n">
        <v>3160432</v>
      </c>
      <c r="C11299" s="0" t="n">
        <v>3160452</v>
      </c>
      <c r="D11299" s="0" t="s">
        <v>37673</v>
      </c>
      <c r="E11299" s="0" t="s">
        <v>37674</v>
      </c>
      <c r="F11299" s="0" t="s">
        <v>15</v>
      </c>
      <c r="G11299" s="0" t="s">
        <v>36</v>
      </c>
      <c r="H11299" s="0" t="n">
        <v>56</v>
      </c>
      <c r="I11299" s="0" t="s">
        <v>37681</v>
      </c>
      <c r="J11299" s="0" t="s">
        <v>37682</v>
      </c>
      <c r="K11299" s="0" t="s">
        <v>37683</v>
      </c>
      <c r="L11299" s="0" t="str">
        <f aca="false">HYPERLINK("https://www.ncbi.nlm.nih.gov/nuccore/CP000304.1?report=graph&amp;tracks=[key:gene_model_track,Options:GeneOnly]&amp;mk=3160385:3160404|offset_8|444444,3160409:3160428|offset_32|444444,3160433:3160452|offset_56|00cc00,3160456:3160475|offset_79|444444&amp;v=3160184:3160675&amp;c=444444", "offset 56")</f>
        <v>offset 56</v>
      </c>
    </row>
    <row r="11300" customFormat="false" ht="12.8" hidden="false" customHeight="false" outlineLevel="0" collapsed="false">
      <c r="A11300" s="0" t="s">
        <v>12</v>
      </c>
      <c r="B11300" s="0" t="n">
        <v>3160455</v>
      </c>
      <c r="C11300" s="0" t="n">
        <v>3160475</v>
      </c>
      <c r="D11300" s="0" t="s">
        <v>37673</v>
      </c>
      <c r="E11300" s="0" t="s">
        <v>37674</v>
      </c>
      <c r="F11300" s="0" t="s">
        <v>15</v>
      </c>
      <c r="G11300" s="0" t="s">
        <v>36</v>
      </c>
      <c r="H11300" s="0" t="n">
        <v>79</v>
      </c>
      <c r="I11300" s="0" t="s">
        <v>37684</v>
      </c>
      <c r="J11300" s="0" t="s">
        <v>37685</v>
      </c>
      <c r="K11300" s="0" t="s">
        <v>37686</v>
      </c>
      <c r="L11300" s="0" t="str">
        <f aca="false">HYPERLINK("https://www.ncbi.nlm.nih.gov/nuccore/CP000304.1?report=graph&amp;tracks=[key:gene_model_track,Options:GeneOnly]&amp;mk=3160385:3160404|offset_8|444444,3160409:3160428|offset_32|444444,3160433:3160452|offset_56|444444,3160456:3160475|offset_79|00cc00&amp;v=3160184:3160675&amp;c=444444", "offset 79")</f>
        <v>offset 79</v>
      </c>
    </row>
    <row r="11301" customFormat="false" ht="12.8" hidden="false" customHeight="false" outlineLevel="0" collapsed="false">
      <c r="A11301" s="0" t="s">
        <v>12</v>
      </c>
      <c r="B11301" s="0" t="n">
        <v>3161809</v>
      </c>
      <c r="C11301" s="0" t="n">
        <v>3161829</v>
      </c>
      <c r="D11301" s="0" t="s">
        <v>37687</v>
      </c>
      <c r="E11301" s="0" t="s">
        <v>89</v>
      </c>
      <c r="F11301" s="0" t="s">
        <v>15</v>
      </c>
      <c r="G11301" s="0" t="s">
        <v>32</v>
      </c>
      <c r="H11301" s="0" t="n">
        <v>13</v>
      </c>
      <c r="I11301" s="0" t="s">
        <v>37688</v>
      </c>
      <c r="J11301" s="0" t="s">
        <v>37689</v>
      </c>
      <c r="K11301" s="0" t="s">
        <v>37690</v>
      </c>
      <c r="L11301" s="0" t="str">
        <f aca="false">HYPERLINK("https://www.ncbi.nlm.nih.gov/nuccore/CP000304.1?report=graph&amp;tracks=[key:gene_model_track,Options:GeneOnly]&amp;mk=3161810:3161829|offset_13|00cc00,3161840:3161859|offset_43|444444,3161873:3161892|offset_76|444444,3161899:3161918|offset_102|444444&amp;v=3161609:3162118&amp;c=444444", "offset 13")</f>
        <v>offset 13</v>
      </c>
    </row>
    <row r="11302" customFormat="false" ht="12.8" hidden="false" customHeight="false" outlineLevel="0" collapsed="false">
      <c r="A11302" s="0" t="s">
        <v>12</v>
      </c>
      <c r="B11302" s="0" t="n">
        <v>3161839</v>
      </c>
      <c r="C11302" s="0" t="n">
        <v>3161859</v>
      </c>
      <c r="D11302" s="0" t="s">
        <v>37687</v>
      </c>
      <c r="E11302" s="0" t="s">
        <v>89</v>
      </c>
      <c r="F11302" s="0" t="s">
        <v>15</v>
      </c>
      <c r="G11302" s="0" t="s">
        <v>16</v>
      </c>
      <c r="H11302" s="0" t="n">
        <v>43</v>
      </c>
      <c r="I11302" s="0" t="s">
        <v>37691</v>
      </c>
      <c r="J11302" s="0" t="s">
        <v>37692</v>
      </c>
      <c r="K11302" s="0" t="s">
        <v>37693</v>
      </c>
      <c r="L11302" s="0" t="str">
        <f aca="false">HYPERLINK("https://www.ncbi.nlm.nih.gov/nuccore/CP000304.1?report=graph&amp;tracks=[key:gene_model_track,Options:GeneOnly]&amp;mk=3161810:3161829|offset_13|444444,3161840:3161859|offset_43|00cc00,3161873:3161892|offset_76|444444,3161899:3161918|offset_102|444444&amp;v=3161609:3162118&amp;c=444444", "offset 43")</f>
        <v>offset 43</v>
      </c>
    </row>
    <row r="11303" customFormat="false" ht="12.8" hidden="false" customHeight="false" outlineLevel="0" collapsed="false">
      <c r="A11303" s="0" t="s">
        <v>12</v>
      </c>
      <c r="B11303" s="0" t="n">
        <v>3161872</v>
      </c>
      <c r="C11303" s="0" t="n">
        <v>3161892</v>
      </c>
      <c r="D11303" s="0" t="s">
        <v>37687</v>
      </c>
      <c r="E11303" s="0" t="s">
        <v>89</v>
      </c>
      <c r="F11303" s="0" t="s">
        <v>15</v>
      </c>
      <c r="G11303" s="0" t="s">
        <v>32</v>
      </c>
      <c r="H11303" s="0" t="n">
        <v>76</v>
      </c>
      <c r="I11303" s="0" t="s">
        <v>37694</v>
      </c>
      <c r="J11303" s="0" t="s">
        <v>37695</v>
      </c>
      <c r="K11303" s="0" t="s">
        <v>37696</v>
      </c>
      <c r="L11303" s="0" t="str">
        <f aca="false">HYPERLINK("https://www.ncbi.nlm.nih.gov/nuccore/CP000304.1?report=graph&amp;tracks=[key:gene_model_track,Options:GeneOnly]&amp;mk=3161810:3161829|offset_13|444444,3161840:3161859|offset_43|444444,3161873:3161892|offset_76|00cc00,3161899:3161918|offset_102|444444&amp;v=3161609:3162118&amp;c=444444", "offset 76")</f>
        <v>offset 76</v>
      </c>
    </row>
    <row r="11304" customFormat="false" ht="12.8" hidden="false" customHeight="false" outlineLevel="0" collapsed="false">
      <c r="A11304" s="0" t="s">
        <v>12</v>
      </c>
      <c r="B11304" s="0" t="n">
        <v>3161898</v>
      </c>
      <c r="C11304" s="0" t="n">
        <v>3161918</v>
      </c>
      <c r="D11304" s="0" t="s">
        <v>37687</v>
      </c>
      <c r="E11304" s="0" t="s">
        <v>89</v>
      </c>
      <c r="F11304" s="0" t="s">
        <v>15</v>
      </c>
      <c r="G11304" s="0" t="s">
        <v>16</v>
      </c>
      <c r="H11304" s="0" t="n">
        <v>102</v>
      </c>
      <c r="I11304" s="0" t="s">
        <v>37697</v>
      </c>
      <c r="J11304" s="0" t="s">
        <v>37698</v>
      </c>
      <c r="K11304" s="0" t="s">
        <v>37699</v>
      </c>
      <c r="L11304" s="0" t="str">
        <f aca="false">HYPERLINK("https://www.ncbi.nlm.nih.gov/nuccore/CP000304.1?report=graph&amp;tracks=[key:gene_model_track,Options:GeneOnly]&amp;mk=3161810:3161829|offset_13|444444,3161840:3161859|offset_43|444444,3161873:3161892|offset_76|444444,3161899:3161918|offset_102|00cc00&amp;v=3161609:3162118&amp;c=444444", "offset 102")</f>
        <v>offset 102</v>
      </c>
    </row>
    <row r="11305" customFormat="false" ht="12.8" hidden="false" customHeight="false" outlineLevel="0" collapsed="false">
      <c r="A11305" s="0" t="s">
        <v>12</v>
      </c>
      <c r="B11305" s="0" t="n">
        <v>3162589</v>
      </c>
      <c r="C11305" s="0" t="n">
        <v>3162609</v>
      </c>
      <c r="D11305" s="0" t="s">
        <v>37700</v>
      </c>
      <c r="E11305" s="0" t="s">
        <v>89</v>
      </c>
      <c r="F11305" s="0" t="s">
        <v>15</v>
      </c>
      <c r="G11305" s="0" t="s">
        <v>16</v>
      </c>
      <c r="H11305" s="0" t="n">
        <v>8</v>
      </c>
      <c r="I11305" s="0" t="s">
        <v>37701</v>
      </c>
      <c r="J11305" s="0" t="s">
        <v>37702</v>
      </c>
      <c r="K11305" s="0" t="s">
        <v>37703</v>
      </c>
      <c r="L11305" s="0" t="str">
        <f aca="false">HYPERLINK("https://www.ncbi.nlm.nih.gov/nuccore/CP000304.1?report=graph&amp;tracks=[key:gene_model_track,Options:GeneOnly]&amp;mk=3162590:3162609|offset_8|00cc00,3162611:3162630|offset_29|444444,3162631:3162650|offset_49|444444,3162657:3162676|offset_75|444444&amp;v=3162389:3162876&amp;c=444444", "offset 8")</f>
        <v>offset 8</v>
      </c>
    </row>
    <row r="11306" customFormat="false" ht="12.8" hidden="false" customHeight="false" outlineLevel="0" collapsed="false">
      <c r="A11306" s="0" t="s">
        <v>12</v>
      </c>
      <c r="B11306" s="0" t="n">
        <v>3162610</v>
      </c>
      <c r="C11306" s="0" t="n">
        <v>3162630</v>
      </c>
      <c r="D11306" s="0" t="s">
        <v>37700</v>
      </c>
      <c r="E11306" s="0" t="s">
        <v>89</v>
      </c>
      <c r="F11306" s="0" t="s">
        <v>15</v>
      </c>
      <c r="G11306" s="0" t="s">
        <v>26</v>
      </c>
      <c r="H11306" s="0" t="n">
        <v>29</v>
      </c>
      <c r="I11306" s="0" t="s">
        <v>37704</v>
      </c>
      <c r="J11306" s="0" t="s">
        <v>37705</v>
      </c>
      <c r="K11306" s="0" t="s">
        <v>37706</v>
      </c>
      <c r="L11306" s="0" t="str">
        <f aca="false">HYPERLINK("https://www.ncbi.nlm.nih.gov/nuccore/CP000304.1?report=graph&amp;tracks=[key:gene_model_track,Options:GeneOnly]&amp;mk=3162590:3162609|offset_8|444444,3162611:3162630|offset_29|00cc00,3162631:3162650|offset_49|444444,3162657:3162676|offset_75|444444&amp;v=3162389:3162876&amp;c=444444", "offset 29")</f>
        <v>offset 29</v>
      </c>
    </row>
    <row r="11307" customFormat="false" ht="12.8" hidden="false" customHeight="false" outlineLevel="0" collapsed="false">
      <c r="A11307" s="0" t="s">
        <v>12</v>
      </c>
      <c r="B11307" s="0" t="n">
        <v>3162630</v>
      </c>
      <c r="C11307" s="0" t="n">
        <v>3162650</v>
      </c>
      <c r="D11307" s="0" t="s">
        <v>37700</v>
      </c>
      <c r="E11307" s="0" t="s">
        <v>89</v>
      </c>
      <c r="F11307" s="0" t="s">
        <v>15</v>
      </c>
      <c r="G11307" s="0" t="s">
        <v>16</v>
      </c>
      <c r="H11307" s="0" t="n">
        <v>49</v>
      </c>
      <c r="I11307" s="0" t="s">
        <v>37707</v>
      </c>
      <c r="J11307" s="0" t="s">
        <v>37708</v>
      </c>
      <c r="K11307" s="0" t="s">
        <v>37709</v>
      </c>
      <c r="L11307" s="0" t="str">
        <f aca="false">HYPERLINK("https://www.ncbi.nlm.nih.gov/nuccore/CP000304.1?report=graph&amp;tracks=[key:gene_model_track,Options:GeneOnly]&amp;mk=3162590:3162609|offset_8|444444,3162611:3162630|offset_29|444444,3162631:3162650|offset_49|00cc00,3162657:3162676|offset_75|444444&amp;v=3162389:3162876&amp;c=444444", "offset 49")</f>
        <v>offset 49</v>
      </c>
    </row>
    <row r="11308" customFormat="false" ht="12.8" hidden="false" customHeight="false" outlineLevel="0" collapsed="false">
      <c r="A11308" s="0" t="s">
        <v>12</v>
      </c>
      <c r="B11308" s="0" t="n">
        <v>3162656</v>
      </c>
      <c r="C11308" s="0" t="n">
        <v>3162676</v>
      </c>
      <c r="D11308" s="0" t="s">
        <v>37700</v>
      </c>
      <c r="E11308" s="0" t="s">
        <v>89</v>
      </c>
      <c r="F11308" s="0" t="s">
        <v>15</v>
      </c>
      <c r="G11308" s="0" t="s">
        <v>16</v>
      </c>
      <c r="H11308" s="0" t="n">
        <v>75</v>
      </c>
      <c r="I11308" s="0" t="s">
        <v>37710</v>
      </c>
      <c r="J11308" s="0" t="s">
        <v>37711</v>
      </c>
      <c r="K11308" s="0" t="s">
        <v>37712</v>
      </c>
      <c r="L11308" s="0" t="str">
        <f aca="false">HYPERLINK("https://www.ncbi.nlm.nih.gov/nuccore/CP000304.1?report=graph&amp;tracks=[key:gene_model_track,Options:GeneOnly]&amp;mk=3162590:3162609|offset_8|444444,3162611:3162630|offset_29|444444,3162631:3162650|offset_49|444444,3162657:3162676|offset_75|00cc00&amp;v=3162389:3162876&amp;c=444444", "offset 75")</f>
        <v>offset 75</v>
      </c>
    </row>
    <row r="11309" customFormat="false" ht="12.8" hidden="false" customHeight="false" outlineLevel="0" collapsed="false">
      <c r="A11309" s="0" t="s">
        <v>12</v>
      </c>
      <c r="B11309" s="0" t="n">
        <v>3163258</v>
      </c>
      <c r="C11309" s="0" t="n">
        <v>3163278</v>
      </c>
      <c r="D11309" s="0" t="s">
        <v>37713</v>
      </c>
      <c r="E11309" s="0" t="s">
        <v>89</v>
      </c>
      <c r="F11309" s="0" t="s">
        <v>15</v>
      </c>
      <c r="G11309" s="0" t="s">
        <v>16</v>
      </c>
      <c r="H11309" s="0" t="n">
        <v>31</v>
      </c>
      <c r="I11309" s="0" t="s">
        <v>37714</v>
      </c>
      <c r="J11309" s="0" t="s">
        <v>37715</v>
      </c>
      <c r="K11309" s="0" t="s">
        <v>37716</v>
      </c>
      <c r="L11309" s="0" t="str">
        <f aca="false">HYPERLINK("https://www.ncbi.nlm.nih.gov/nuccore/CP000304.1?report=graph&amp;tracks=[key:gene_model_track,Options:GeneOnly]&amp;mk=3163259:3163278|offset_31|00cc00,3163282:3163301|offset_54|444444,3163310:3163329|offset_82|444444,3163337:3163356|offset_109|444444&amp;v=3163058:3163556&amp;c=444444", "offset 31")</f>
        <v>offset 31</v>
      </c>
    </row>
    <row r="11310" customFormat="false" ht="12.8" hidden="false" customHeight="false" outlineLevel="0" collapsed="false">
      <c r="A11310" s="0" t="s">
        <v>12</v>
      </c>
      <c r="B11310" s="0" t="n">
        <v>3163281</v>
      </c>
      <c r="C11310" s="0" t="n">
        <v>3163301</v>
      </c>
      <c r="D11310" s="0" t="s">
        <v>37713</v>
      </c>
      <c r="E11310" s="0" t="s">
        <v>89</v>
      </c>
      <c r="F11310" s="0" t="s">
        <v>15</v>
      </c>
      <c r="G11310" s="0" t="s">
        <v>16</v>
      </c>
      <c r="H11310" s="0" t="n">
        <v>54</v>
      </c>
      <c r="I11310" s="0" t="s">
        <v>37717</v>
      </c>
      <c r="J11310" s="0" t="s">
        <v>37718</v>
      </c>
      <c r="K11310" s="0" t="s">
        <v>37719</v>
      </c>
      <c r="L11310" s="0" t="str">
        <f aca="false">HYPERLINK("https://www.ncbi.nlm.nih.gov/nuccore/CP000304.1?report=graph&amp;tracks=[key:gene_model_track,Options:GeneOnly]&amp;mk=3163259:3163278|offset_31|444444,3163282:3163301|offset_54|00cc00,3163310:3163329|offset_82|444444,3163337:3163356|offset_109|444444&amp;v=3163058:3163556&amp;c=444444", "offset 54")</f>
        <v>offset 54</v>
      </c>
    </row>
    <row r="11311" customFormat="false" ht="12.8" hidden="false" customHeight="false" outlineLevel="0" collapsed="false">
      <c r="A11311" s="0" t="s">
        <v>12</v>
      </c>
      <c r="B11311" s="0" t="n">
        <v>3163309</v>
      </c>
      <c r="C11311" s="0" t="n">
        <v>3163329</v>
      </c>
      <c r="D11311" s="0" t="s">
        <v>37713</v>
      </c>
      <c r="E11311" s="0" t="s">
        <v>89</v>
      </c>
      <c r="F11311" s="0" t="s">
        <v>15</v>
      </c>
      <c r="G11311" s="0" t="s">
        <v>32</v>
      </c>
      <c r="H11311" s="0" t="n">
        <v>82</v>
      </c>
      <c r="I11311" s="0" t="s">
        <v>37720</v>
      </c>
      <c r="J11311" s="0" t="s">
        <v>37721</v>
      </c>
      <c r="K11311" s="0" t="s">
        <v>37722</v>
      </c>
      <c r="L11311" s="0" t="str">
        <f aca="false">HYPERLINK("https://www.ncbi.nlm.nih.gov/nuccore/CP000304.1?report=graph&amp;tracks=[key:gene_model_track,Options:GeneOnly]&amp;mk=3163259:3163278|offset_31|444444,3163282:3163301|offset_54|444444,3163310:3163329|offset_82|00cc00,3163337:3163356|offset_109|444444&amp;v=3163058:3163556&amp;c=444444", "offset 82")</f>
        <v>offset 82</v>
      </c>
    </row>
    <row r="11312" customFormat="false" ht="12.8" hidden="false" customHeight="false" outlineLevel="0" collapsed="false">
      <c r="A11312" s="0" t="s">
        <v>12</v>
      </c>
      <c r="B11312" s="0" t="n">
        <v>3163336</v>
      </c>
      <c r="C11312" s="0" t="n">
        <v>3163356</v>
      </c>
      <c r="D11312" s="0" t="s">
        <v>37713</v>
      </c>
      <c r="E11312" s="0" t="s">
        <v>89</v>
      </c>
      <c r="F11312" s="0" t="s">
        <v>15</v>
      </c>
      <c r="G11312" s="0" t="s">
        <v>16</v>
      </c>
      <c r="H11312" s="0" t="n">
        <v>109</v>
      </c>
      <c r="I11312" s="0" t="s">
        <v>37723</v>
      </c>
      <c r="J11312" s="0" t="s">
        <v>37724</v>
      </c>
      <c r="K11312" s="0" t="s">
        <v>37725</v>
      </c>
      <c r="L11312" s="0" t="str">
        <f aca="false">HYPERLINK("https://www.ncbi.nlm.nih.gov/nuccore/CP000304.1?report=graph&amp;tracks=[key:gene_model_track,Options:GeneOnly]&amp;mk=3163259:3163278|offset_31|444444,3163282:3163301|offset_54|444444,3163310:3163329|offset_82|444444,3163337:3163356|offset_109|00cc00&amp;v=3163058:3163556&amp;c=444444", "offset 109")</f>
        <v>offset 109</v>
      </c>
    </row>
    <row r="11313" customFormat="false" ht="12.8" hidden="false" customHeight="false" outlineLevel="0" collapsed="false">
      <c r="A11313" s="0" t="s">
        <v>12</v>
      </c>
      <c r="B11313" s="0" t="n">
        <v>3164007</v>
      </c>
      <c r="C11313" s="0" t="n">
        <v>3164027</v>
      </c>
      <c r="D11313" s="0" t="s">
        <v>37726</v>
      </c>
      <c r="E11313" s="0" t="s">
        <v>89</v>
      </c>
      <c r="F11313" s="0" t="s">
        <v>15</v>
      </c>
      <c r="G11313" s="0" t="s">
        <v>16</v>
      </c>
      <c r="H11313" s="0" t="n">
        <v>0</v>
      </c>
      <c r="I11313" s="0" t="s">
        <v>37727</v>
      </c>
      <c r="J11313" s="0" t="s">
        <v>37728</v>
      </c>
      <c r="K11313" s="0" t="s">
        <v>37729</v>
      </c>
      <c r="L11313" s="0" t="str">
        <f aca="false">HYPERLINK("https://www.ncbi.nlm.nih.gov/nuccore/CP000304.1?report=graph&amp;tracks=[key:gene_model_track,Options:GeneOnly]&amp;mk=3164008:3164027|offset_0|00cc00,3164036:3164055|offset_28|444444,3164058:3164077|offset_50|444444,3164087:3164106|offset_79|444444&amp;v=3163807:3164306&amp;c=444444", "offset 0")</f>
        <v>offset 0</v>
      </c>
    </row>
    <row r="11314" customFormat="false" ht="12.8" hidden="false" customHeight="false" outlineLevel="0" collapsed="false">
      <c r="A11314" s="0" t="s">
        <v>12</v>
      </c>
      <c r="B11314" s="0" t="n">
        <v>3164035</v>
      </c>
      <c r="C11314" s="0" t="n">
        <v>3164055</v>
      </c>
      <c r="D11314" s="0" t="s">
        <v>37726</v>
      </c>
      <c r="E11314" s="0" t="s">
        <v>89</v>
      </c>
      <c r="F11314" s="0" t="s">
        <v>15</v>
      </c>
      <c r="G11314" s="0" t="s">
        <v>32</v>
      </c>
      <c r="H11314" s="0" t="n">
        <v>28</v>
      </c>
      <c r="I11314" s="0" t="s">
        <v>37730</v>
      </c>
      <c r="J11314" s="0" t="s">
        <v>37731</v>
      </c>
      <c r="K11314" s="0" t="s">
        <v>37732</v>
      </c>
      <c r="L11314" s="0" t="str">
        <f aca="false">HYPERLINK("https://www.ncbi.nlm.nih.gov/nuccore/CP000304.1?report=graph&amp;tracks=[key:gene_model_track,Options:GeneOnly]&amp;mk=3164008:3164027|offset_0|444444,3164036:3164055|offset_28|00cc00,3164058:3164077|offset_50|444444,3164087:3164106|offset_79|444444&amp;v=3163807:3164306&amp;c=444444", "offset 28")</f>
        <v>offset 28</v>
      </c>
    </row>
    <row r="11315" customFormat="false" ht="12.8" hidden="false" customHeight="false" outlineLevel="0" collapsed="false">
      <c r="A11315" s="0" t="s">
        <v>12</v>
      </c>
      <c r="B11315" s="0" t="n">
        <v>3164057</v>
      </c>
      <c r="C11315" s="0" t="n">
        <v>3164077</v>
      </c>
      <c r="D11315" s="0" t="s">
        <v>37726</v>
      </c>
      <c r="E11315" s="0" t="s">
        <v>89</v>
      </c>
      <c r="F11315" s="0" t="s">
        <v>15</v>
      </c>
      <c r="G11315" s="0" t="s">
        <v>32</v>
      </c>
      <c r="H11315" s="0" t="n">
        <v>50</v>
      </c>
      <c r="I11315" s="0" t="s">
        <v>37733</v>
      </c>
      <c r="J11315" s="0" t="s">
        <v>37734</v>
      </c>
      <c r="K11315" s="0" t="s">
        <v>37735</v>
      </c>
      <c r="L11315" s="0" t="str">
        <f aca="false">HYPERLINK("https://www.ncbi.nlm.nih.gov/nuccore/CP000304.1?report=graph&amp;tracks=[key:gene_model_track,Options:GeneOnly]&amp;mk=3164008:3164027|offset_0|444444,3164036:3164055|offset_28|444444,3164058:3164077|offset_50|00cc00,3164087:3164106|offset_79|444444&amp;v=3163807:3164306&amp;c=444444", "offset 50")</f>
        <v>offset 50</v>
      </c>
    </row>
    <row r="11316" customFormat="false" ht="12.8" hidden="false" customHeight="false" outlineLevel="0" collapsed="false">
      <c r="A11316" s="0" t="s">
        <v>12</v>
      </c>
      <c r="B11316" s="0" t="n">
        <v>3164086</v>
      </c>
      <c r="C11316" s="0" t="n">
        <v>3164106</v>
      </c>
      <c r="D11316" s="0" t="s">
        <v>37726</v>
      </c>
      <c r="E11316" s="0" t="s">
        <v>89</v>
      </c>
      <c r="F11316" s="0" t="s">
        <v>15</v>
      </c>
      <c r="G11316" s="0" t="s">
        <v>32</v>
      </c>
      <c r="H11316" s="0" t="n">
        <v>79</v>
      </c>
      <c r="I11316" s="0" t="s">
        <v>37736</v>
      </c>
      <c r="J11316" s="0" t="s">
        <v>37737</v>
      </c>
      <c r="K11316" s="0" t="s">
        <v>37738</v>
      </c>
      <c r="L11316" s="0" t="str">
        <f aca="false">HYPERLINK("https://www.ncbi.nlm.nih.gov/nuccore/CP000304.1?report=graph&amp;tracks=[key:gene_model_track,Options:GeneOnly]&amp;mk=3164008:3164027|offset_0|444444,3164036:3164055|offset_28|444444,3164058:3164077|offset_50|444444,3164087:3164106|offset_79|00cc00&amp;v=3163807:3164306&amp;c=444444", "offset 79")</f>
        <v>offset 79</v>
      </c>
    </row>
    <row r="11317" customFormat="false" ht="12.8" hidden="false" customHeight="false" outlineLevel="0" collapsed="false">
      <c r="A11317" s="0" t="s">
        <v>12</v>
      </c>
      <c r="B11317" s="0" t="n">
        <v>3164457</v>
      </c>
      <c r="C11317" s="0" t="n">
        <v>3164477</v>
      </c>
      <c r="D11317" s="0" t="s">
        <v>37739</v>
      </c>
      <c r="E11317" s="0" t="s">
        <v>89</v>
      </c>
      <c r="F11317" s="0" t="s">
        <v>15</v>
      </c>
      <c r="G11317" s="0" t="s">
        <v>32</v>
      </c>
      <c r="H11317" s="0" t="n">
        <v>13</v>
      </c>
      <c r="I11317" s="0" t="s">
        <v>37740</v>
      </c>
      <c r="J11317" s="0" t="s">
        <v>37741</v>
      </c>
      <c r="K11317" s="0" t="s">
        <v>37742</v>
      </c>
      <c r="L11317" s="0" t="str">
        <f aca="false">HYPERLINK("https://www.ncbi.nlm.nih.gov/nuccore/CP000304.1?report=graph&amp;tracks=[key:gene_model_track,Options:GeneOnly]&amp;mk=3164458:3164477|offset_13|00cc00,3164485:3164504|offset_40|444444,3164507:3164526|offset_62|444444,3164527:3164546|offset_82|444444&amp;v=3164257:3164746&amp;c=444444", "offset 13")</f>
        <v>offset 13</v>
      </c>
    </row>
    <row r="11318" customFormat="false" ht="12.8" hidden="false" customHeight="false" outlineLevel="0" collapsed="false">
      <c r="A11318" s="0" t="s">
        <v>12</v>
      </c>
      <c r="B11318" s="0" t="n">
        <v>3164484</v>
      </c>
      <c r="C11318" s="0" t="n">
        <v>3164504</v>
      </c>
      <c r="D11318" s="0" t="s">
        <v>37739</v>
      </c>
      <c r="E11318" s="0" t="s">
        <v>89</v>
      </c>
      <c r="F11318" s="0" t="s">
        <v>15</v>
      </c>
      <c r="G11318" s="0" t="s">
        <v>36</v>
      </c>
      <c r="H11318" s="0" t="n">
        <v>40</v>
      </c>
      <c r="I11318" s="0" t="s">
        <v>37743</v>
      </c>
      <c r="J11318" s="0" t="s">
        <v>37744</v>
      </c>
      <c r="K11318" s="0" t="s">
        <v>37745</v>
      </c>
      <c r="L11318" s="0" t="str">
        <f aca="false">HYPERLINK("https://www.ncbi.nlm.nih.gov/nuccore/CP000304.1?report=graph&amp;tracks=[key:gene_model_track,Options:GeneOnly]&amp;mk=3164458:3164477|offset_13|444444,3164485:3164504|offset_40|00cc00,3164507:3164526|offset_62|444444,3164527:3164546|offset_82|444444&amp;v=3164257:3164746&amp;c=444444", "offset 40")</f>
        <v>offset 40</v>
      </c>
    </row>
    <row r="11319" customFormat="false" ht="12.8" hidden="false" customHeight="false" outlineLevel="0" collapsed="false">
      <c r="A11319" s="0" t="s">
        <v>12</v>
      </c>
      <c r="B11319" s="0" t="n">
        <v>3164506</v>
      </c>
      <c r="C11319" s="0" t="n">
        <v>3164526</v>
      </c>
      <c r="D11319" s="0" t="s">
        <v>37739</v>
      </c>
      <c r="E11319" s="0" t="s">
        <v>89</v>
      </c>
      <c r="F11319" s="0" t="s">
        <v>15</v>
      </c>
      <c r="G11319" s="0" t="s">
        <v>32</v>
      </c>
      <c r="H11319" s="0" t="n">
        <v>62</v>
      </c>
      <c r="I11319" s="0" t="s">
        <v>37746</v>
      </c>
      <c r="J11319" s="0" t="s">
        <v>37747</v>
      </c>
      <c r="K11319" s="0" t="s">
        <v>37748</v>
      </c>
      <c r="L11319" s="0" t="str">
        <f aca="false">HYPERLINK("https://www.ncbi.nlm.nih.gov/nuccore/CP000304.1?report=graph&amp;tracks=[key:gene_model_track,Options:GeneOnly]&amp;mk=3164458:3164477|offset_13|444444,3164485:3164504|offset_40|444444,3164507:3164526|offset_62|00cc00,3164527:3164546|offset_82|444444&amp;v=3164257:3164746&amp;c=444444", "offset 62")</f>
        <v>offset 62</v>
      </c>
    </row>
    <row r="11320" customFormat="false" ht="12.8" hidden="false" customHeight="false" outlineLevel="0" collapsed="false">
      <c r="A11320" s="0" t="s">
        <v>12</v>
      </c>
      <c r="B11320" s="0" t="n">
        <v>3164526</v>
      </c>
      <c r="C11320" s="0" t="n">
        <v>3164546</v>
      </c>
      <c r="D11320" s="0" t="s">
        <v>37739</v>
      </c>
      <c r="E11320" s="0" t="s">
        <v>89</v>
      </c>
      <c r="F11320" s="0" t="s">
        <v>15</v>
      </c>
      <c r="G11320" s="0" t="s">
        <v>36</v>
      </c>
      <c r="H11320" s="0" t="n">
        <v>82</v>
      </c>
      <c r="I11320" s="0" t="s">
        <v>37749</v>
      </c>
      <c r="J11320" s="0" t="s">
        <v>37750</v>
      </c>
      <c r="K11320" s="0" t="s">
        <v>37751</v>
      </c>
      <c r="L11320" s="0" t="str">
        <f aca="false">HYPERLINK("https://www.ncbi.nlm.nih.gov/nuccore/CP000304.1?report=graph&amp;tracks=[key:gene_model_track,Options:GeneOnly]&amp;mk=3164458:3164477|offset_13|444444,3164485:3164504|offset_40|444444,3164507:3164526|offset_62|444444,3164527:3164546|offset_82|00cc00&amp;v=3164257:3164746&amp;c=444444", "offset 82")</f>
        <v>offset 82</v>
      </c>
    </row>
    <row r="11321" customFormat="false" ht="12.8" hidden="false" customHeight="false" outlineLevel="0" collapsed="false">
      <c r="A11321" s="0" t="s">
        <v>12</v>
      </c>
      <c r="B11321" s="0" t="n">
        <v>3165062</v>
      </c>
      <c r="C11321" s="0" t="n">
        <v>3165082</v>
      </c>
      <c r="D11321" s="0" t="s">
        <v>37752</v>
      </c>
      <c r="E11321" s="0" t="s">
        <v>89</v>
      </c>
      <c r="F11321" s="0" t="s">
        <v>15</v>
      </c>
      <c r="G11321" s="0" t="s">
        <v>16</v>
      </c>
      <c r="H11321" s="0" t="n">
        <v>7</v>
      </c>
      <c r="I11321" s="0" t="s">
        <v>37753</v>
      </c>
      <c r="J11321" s="0" t="s">
        <v>37754</v>
      </c>
      <c r="K11321" s="0" t="s">
        <v>37755</v>
      </c>
      <c r="L11321" s="0" t="str">
        <f aca="false">HYPERLINK("https://www.ncbi.nlm.nih.gov/nuccore/CP000304.1?report=graph&amp;tracks=[key:gene_model_track,Options:GeneOnly]&amp;mk=3165063:3165082|offset_7|00cc00,3165083:3165102|offset_27|444444,3165124:3165143|offset_68|444444,3165151:3165170|offset_95|444444&amp;v=3164862:3165370&amp;c=444444", "offset 7")</f>
        <v>offset 7</v>
      </c>
    </row>
    <row r="11322" customFormat="false" ht="12.8" hidden="false" customHeight="false" outlineLevel="0" collapsed="false">
      <c r="A11322" s="0" t="s">
        <v>12</v>
      </c>
      <c r="B11322" s="0" t="n">
        <v>3165082</v>
      </c>
      <c r="C11322" s="0" t="n">
        <v>3165102</v>
      </c>
      <c r="D11322" s="0" t="s">
        <v>37752</v>
      </c>
      <c r="E11322" s="0" t="s">
        <v>89</v>
      </c>
      <c r="F11322" s="0" t="s">
        <v>15</v>
      </c>
      <c r="G11322" s="0" t="s">
        <v>36</v>
      </c>
      <c r="H11322" s="0" t="n">
        <v>27</v>
      </c>
      <c r="I11322" s="0" t="s">
        <v>37756</v>
      </c>
      <c r="J11322" s="0" t="s">
        <v>37757</v>
      </c>
      <c r="K11322" s="0" t="s">
        <v>37758</v>
      </c>
      <c r="L11322" s="0" t="str">
        <f aca="false">HYPERLINK("https://www.ncbi.nlm.nih.gov/nuccore/CP000304.1?report=graph&amp;tracks=[key:gene_model_track,Options:GeneOnly]&amp;mk=3165063:3165082|offset_7|444444,3165083:3165102|offset_27|00cc00,3165124:3165143|offset_68|444444,3165151:3165170|offset_95|444444&amp;v=3164862:3165370&amp;c=444444", "offset 27")</f>
        <v>offset 27</v>
      </c>
    </row>
    <row r="11323" customFormat="false" ht="12.8" hidden="false" customHeight="false" outlineLevel="0" collapsed="false">
      <c r="A11323" s="0" t="s">
        <v>12</v>
      </c>
      <c r="B11323" s="0" t="n">
        <v>3165123</v>
      </c>
      <c r="C11323" s="0" t="n">
        <v>3165143</v>
      </c>
      <c r="D11323" s="0" t="s">
        <v>37752</v>
      </c>
      <c r="E11323" s="0" t="s">
        <v>89</v>
      </c>
      <c r="F11323" s="0" t="s">
        <v>15</v>
      </c>
      <c r="G11323" s="0" t="s">
        <v>26</v>
      </c>
      <c r="H11323" s="0" t="n">
        <v>68</v>
      </c>
      <c r="I11323" s="0" t="s">
        <v>37759</v>
      </c>
      <c r="J11323" s="0" t="s">
        <v>37760</v>
      </c>
      <c r="K11323" s="0" t="s">
        <v>37761</v>
      </c>
      <c r="L11323" s="0" t="str">
        <f aca="false">HYPERLINK("https://www.ncbi.nlm.nih.gov/nuccore/CP000304.1?report=graph&amp;tracks=[key:gene_model_track,Options:GeneOnly]&amp;mk=3165063:3165082|offset_7|444444,3165083:3165102|offset_27|444444,3165124:3165143|offset_68|00cc00,3165151:3165170|offset_95|444444&amp;v=3164862:3165370&amp;c=444444", "offset 68")</f>
        <v>offset 68</v>
      </c>
    </row>
    <row r="11324" customFormat="false" ht="12.8" hidden="false" customHeight="false" outlineLevel="0" collapsed="false">
      <c r="A11324" s="0" t="s">
        <v>12</v>
      </c>
      <c r="B11324" s="0" t="n">
        <v>3165150</v>
      </c>
      <c r="C11324" s="0" t="n">
        <v>3165170</v>
      </c>
      <c r="D11324" s="0" t="s">
        <v>37752</v>
      </c>
      <c r="E11324" s="0" t="s">
        <v>89</v>
      </c>
      <c r="F11324" s="0" t="s">
        <v>15</v>
      </c>
      <c r="G11324" s="0" t="s">
        <v>32</v>
      </c>
      <c r="H11324" s="0" t="n">
        <v>95</v>
      </c>
      <c r="I11324" s="0" t="s">
        <v>37762</v>
      </c>
      <c r="J11324" s="0" t="s">
        <v>37763</v>
      </c>
      <c r="K11324" s="0" t="s">
        <v>37764</v>
      </c>
      <c r="L11324" s="0" t="str">
        <f aca="false">HYPERLINK("https://www.ncbi.nlm.nih.gov/nuccore/CP000304.1?report=graph&amp;tracks=[key:gene_model_track,Options:GeneOnly]&amp;mk=3165063:3165082|offset_7|444444,3165083:3165102|offset_27|444444,3165124:3165143|offset_68|444444,3165151:3165170|offset_95|00cc00&amp;v=3164862:3165370&amp;c=444444", "offset 95")</f>
        <v>offset 95</v>
      </c>
    </row>
    <row r="11325" customFormat="false" ht="12.8" hidden="false" customHeight="false" outlineLevel="0" collapsed="false">
      <c r="A11325" s="0" t="s">
        <v>12</v>
      </c>
      <c r="B11325" s="0" t="n">
        <v>3167581</v>
      </c>
      <c r="C11325" s="0" t="n">
        <v>3167601</v>
      </c>
      <c r="D11325" s="0" t="s">
        <v>37765</v>
      </c>
      <c r="E11325" s="0" t="s">
        <v>89</v>
      </c>
      <c r="F11325" s="0" t="s">
        <v>90</v>
      </c>
      <c r="G11325" s="0" t="s">
        <v>36</v>
      </c>
      <c r="H11325" s="0" t="n">
        <v>10</v>
      </c>
      <c r="I11325" s="0" t="s">
        <v>37766</v>
      </c>
      <c r="J11325" s="0" t="s">
        <v>37767</v>
      </c>
      <c r="K11325" s="0" t="s">
        <v>37768</v>
      </c>
      <c r="L11325" s="0" t="str">
        <f aca="false">HYPERLINK("https://www.ncbi.nlm.nih.gov/nuccore/CP000304.1?report=graph&amp;tracks=[key:gene_model_track,Options:GeneOnly]&amp;mk=3167582:3167601|offset_10|00cc00,3167554:3167573|offset_38|444444,3167520:3167539|offset_72|444444,3167496:3167515|offset_96|444444&amp;v=3167381:3167715&amp;c=444444", "offset 10")</f>
        <v>offset 10</v>
      </c>
    </row>
    <row r="11326" customFormat="false" ht="12.8" hidden="false" customHeight="false" outlineLevel="0" collapsed="false">
      <c r="A11326" s="0" t="s">
        <v>12</v>
      </c>
      <c r="B11326" s="0" t="n">
        <v>3167553</v>
      </c>
      <c r="C11326" s="0" t="n">
        <v>3167573</v>
      </c>
      <c r="D11326" s="0" t="s">
        <v>37765</v>
      </c>
      <c r="E11326" s="0" t="s">
        <v>89</v>
      </c>
      <c r="F11326" s="0" t="s">
        <v>90</v>
      </c>
      <c r="G11326" s="0" t="s">
        <v>26</v>
      </c>
      <c r="H11326" s="0" t="n">
        <v>38</v>
      </c>
      <c r="I11326" s="0" t="s">
        <v>37769</v>
      </c>
      <c r="J11326" s="0" t="s">
        <v>37770</v>
      </c>
      <c r="K11326" s="0" t="s">
        <v>37771</v>
      </c>
      <c r="L11326" s="0" t="str">
        <f aca="false">HYPERLINK("https://www.ncbi.nlm.nih.gov/nuccore/CP000304.1?report=graph&amp;tracks=[key:gene_model_track,Options:GeneOnly]&amp;mk=3167582:3167601|offset_10|444444,3167554:3167573|offset_38|00cc00,3167520:3167539|offset_72|444444,3167496:3167515|offset_96|444444&amp;v=3167381:3167715&amp;c=444444", "offset 38")</f>
        <v>offset 38</v>
      </c>
    </row>
    <row r="11327" customFormat="false" ht="12.8" hidden="false" customHeight="false" outlineLevel="0" collapsed="false">
      <c r="A11327" s="0" t="s">
        <v>12</v>
      </c>
      <c r="B11327" s="0" t="n">
        <v>3167519</v>
      </c>
      <c r="C11327" s="0" t="n">
        <v>3167539</v>
      </c>
      <c r="D11327" s="0" t="s">
        <v>37765</v>
      </c>
      <c r="E11327" s="0" t="s">
        <v>89</v>
      </c>
      <c r="F11327" s="0" t="s">
        <v>90</v>
      </c>
      <c r="G11327" s="0" t="s">
        <v>36</v>
      </c>
      <c r="H11327" s="0" t="n">
        <v>72</v>
      </c>
      <c r="I11327" s="0" t="s">
        <v>37772</v>
      </c>
      <c r="J11327" s="0" t="s">
        <v>37773</v>
      </c>
      <c r="K11327" s="0" t="s">
        <v>37774</v>
      </c>
      <c r="L11327" s="0" t="str">
        <f aca="false">HYPERLINK("https://www.ncbi.nlm.nih.gov/nuccore/CP000304.1?report=graph&amp;tracks=[key:gene_model_track,Options:GeneOnly]&amp;mk=3167582:3167601|offset_10|444444,3167554:3167573|offset_38|444444,3167520:3167539|offset_72|00cc00,3167496:3167515|offset_96|444444&amp;v=3167381:3167715&amp;c=444444", "offset 72")</f>
        <v>offset 72</v>
      </c>
    </row>
    <row r="11328" customFormat="false" ht="12.8" hidden="false" customHeight="false" outlineLevel="0" collapsed="false">
      <c r="A11328" s="0" t="s">
        <v>12</v>
      </c>
      <c r="B11328" s="0" t="n">
        <v>3167495</v>
      </c>
      <c r="C11328" s="0" t="n">
        <v>3167515</v>
      </c>
      <c r="D11328" s="0" t="s">
        <v>37765</v>
      </c>
      <c r="E11328" s="0" t="s">
        <v>89</v>
      </c>
      <c r="F11328" s="0" t="s">
        <v>90</v>
      </c>
      <c r="G11328" s="0" t="s">
        <v>16</v>
      </c>
      <c r="H11328" s="0" t="n">
        <v>96</v>
      </c>
      <c r="I11328" s="0" t="s">
        <v>37775</v>
      </c>
      <c r="J11328" s="0" t="s">
        <v>37776</v>
      </c>
      <c r="K11328" s="0" t="s">
        <v>37777</v>
      </c>
      <c r="L11328" s="0" t="str">
        <f aca="false">HYPERLINK("https://www.ncbi.nlm.nih.gov/nuccore/CP000304.1?report=graph&amp;tracks=[key:gene_model_track,Options:GeneOnly]&amp;mk=3167582:3167601|offset_10|444444,3167554:3167573|offset_38|444444,3167520:3167539|offset_72|444444,3167496:3167515|offset_96|00cc00&amp;v=3167381:3167715&amp;c=444444", "offset 96")</f>
        <v>offset 96</v>
      </c>
    </row>
    <row r="11329" customFormat="false" ht="12.8" hidden="false" customHeight="false" outlineLevel="0" collapsed="false">
      <c r="A11329" s="0" t="s">
        <v>12</v>
      </c>
      <c r="B11329" s="0" t="n">
        <v>3167822</v>
      </c>
      <c r="C11329" s="0" t="n">
        <v>3167842</v>
      </c>
      <c r="D11329" s="0" t="s">
        <v>37778</v>
      </c>
      <c r="E11329" s="0" t="s">
        <v>89</v>
      </c>
      <c r="F11329" s="0" t="s">
        <v>15</v>
      </c>
      <c r="G11329" s="0" t="s">
        <v>36</v>
      </c>
      <c r="H11329" s="0" t="n">
        <v>11</v>
      </c>
      <c r="I11329" s="0" t="s">
        <v>37779</v>
      </c>
      <c r="J11329" s="0" t="s">
        <v>37780</v>
      </c>
      <c r="K11329" s="0" t="s">
        <v>37781</v>
      </c>
      <c r="L11329" s="0" t="str">
        <f aca="false">HYPERLINK("https://www.ncbi.nlm.nih.gov/nuccore/CP000304.1?report=graph&amp;tracks=[key:gene_model_track,Options:GeneOnly]&amp;mk=3167823:3167842|offset_11|00cc00,3167846:3167865|offset_34|444444,3167872:3167891|offset_60|444444,3167897:3167916|offset_85|444444&amp;v=3167622:3168116&amp;c=444444", "offset 11")</f>
        <v>offset 11</v>
      </c>
    </row>
    <row r="11330" customFormat="false" ht="12.8" hidden="false" customHeight="false" outlineLevel="0" collapsed="false">
      <c r="A11330" s="0" t="s">
        <v>12</v>
      </c>
      <c r="B11330" s="0" t="n">
        <v>3167845</v>
      </c>
      <c r="C11330" s="0" t="n">
        <v>3167865</v>
      </c>
      <c r="D11330" s="0" t="s">
        <v>37778</v>
      </c>
      <c r="E11330" s="0" t="s">
        <v>89</v>
      </c>
      <c r="F11330" s="0" t="s">
        <v>15</v>
      </c>
      <c r="G11330" s="0" t="s">
        <v>32</v>
      </c>
      <c r="H11330" s="0" t="n">
        <v>34</v>
      </c>
      <c r="I11330" s="0" t="s">
        <v>37782</v>
      </c>
      <c r="J11330" s="0" t="s">
        <v>37783</v>
      </c>
      <c r="K11330" s="0" t="s">
        <v>37784</v>
      </c>
      <c r="L11330" s="0" t="str">
        <f aca="false">HYPERLINK("https://www.ncbi.nlm.nih.gov/nuccore/CP000304.1?report=graph&amp;tracks=[key:gene_model_track,Options:GeneOnly]&amp;mk=3167823:3167842|offset_11|444444,3167846:3167865|offset_34|00cc00,3167872:3167891|offset_60|444444,3167897:3167916|offset_85|444444&amp;v=3167622:3168116&amp;c=444444", "offset 34")</f>
        <v>offset 34</v>
      </c>
    </row>
    <row r="11331" customFormat="false" ht="12.8" hidden="false" customHeight="false" outlineLevel="0" collapsed="false">
      <c r="A11331" s="0" t="s">
        <v>12</v>
      </c>
      <c r="B11331" s="0" t="n">
        <v>3167871</v>
      </c>
      <c r="C11331" s="0" t="n">
        <v>3167891</v>
      </c>
      <c r="D11331" s="0" t="s">
        <v>37778</v>
      </c>
      <c r="E11331" s="0" t="s">
        <v>89</v>
      </c>
      <c r="F11331" s="0" t="s">
        <v>15</v>
      </c>
      <c r="G11331" s="0" t="s">
        <v>26</v>
      </c>
      <c r="H11331" s="0" t="n">
        <v>60</v>
      </c>
      <c r="I11331" s="0" t="s">
        <v>37785</v>
      </c>
      <c r="J11331" s="0" t="s">
        <v>37786</v>
      </c>
      <c r="K11331" s="0" t="s">
        <v>37787</v>
      </c>
      <c r="L11331" s="0" t="str">
        <f aca="false">HYPERLINK("https://www.ncbi.nlm.nih.gov/nuccore/CP000304.1?report=graph&amp;tracks=[key:gene_model_track,Options:GeneOnly]&amp;mk=3167823:3167842|offset_11|444444,3167846:3167865|offset_34|444444,3167872:3167891|offset_60|00cc00,3167897:3167916|offset_85|444444&amp;v=3167622:3168116&amp;c=444444", "offset 60")</f>
        <v>offset 60</v>
      </c>
    </row>
    <row r="11332" customFormat="false" ht="12.8" hidden="false" customHeight="false" outlineLevel="0" collapsed="false">
      <c r="A11332" s="0" t="s">
        <v>12</v>
      </c>
      <c r="B11332" s="0" t="n">
        <v>3167896</v>
      </c>
      <c r="C11332" s="0" t="n">
        <v>3167916</v>
      </c>
      <c r="D11332" s="0" t="s">
        <v>37778</v>
      </c>
      <c r="E11332" s="0" t="s">
        <v>89</v>
      </c>
      <c r="F11332" s="0" t="s">
        <v>15</v>
      </c>
      <c r="G11332" s="0" t="s">
        <v>36</v>
      </c>
      <c r="H11332" s="0" t="n">
        <v>85</v>
      </c>
      <c r="I11332" s="0" t="s">
        <v>37788</v>
      </c>
      <c r="J11332" s="0" t="s">
        <v>37789</v>
      </c>
      <c r="K11332" s="0" t="s">
        <v>37790</v>
      </c>
      <c r="L11332" s="0" t="str">
        <f aca="false">HYPERLINK("https://www.ncbi.nlm.nih.gov/nuccore/CP000304.1?report=graph&amp;tracks=[key:gene_model_track,Options:GeneOnly]&amp;mk=3167823:3167842|offset_11|444444,3167846:3167865|offset_34|444444,3167872:3167891|offset_60|444444,3167897:3167916|offset_85|00cc00&amp;v=3167622:3168116&amp;c=444444", "offset 85")</f>
        <v>offset 85</v>
      </c>
    </row>
    <row r="11333" customFormat="false" ht="12.8" hidden="false" customHeight="false" outlineLevel="0" collapsed="false">
      <c r="A11333" s="0" t="s">
        <v>12</v>
      </c>
      <c r="B11333" s="0" t="n">
        <v>3169536</v>
      </c>
      <c r="C11333" s="0" t="n">
        <v>3169556</v>
      </c>
      <c r="D11333" s="0" t="s">
        <v>37791</v>
      </c>
      <c r="E11333" s="0" t="s">
        <v>89</v>
      </c>
      <c r="F11333" s="0" t="s">
        <v>15</v>
      </c>
      <c r="G11333" s="0" t="s">
        <v>36</v>
      </c>
      <c r="H11333" s="0" t="n">
        <v>6</v>
      </c>
      <c r="I11333" s="0" t="s">
        <v>37792</v>
      </c>
      <c r="J11333" s="0" t="s">
        <v>37793</v>
      </c>
      <c r="K11333" s="0" t="s">
        <v>37794</v>
      </c>
      <c r="L11333" s="0" t="str">
        <f aca="false">HYPERLINK("https://www.ncbi.nlm.nih.gov/nuccore/CP000304.1?report=graph&amp;tracks=[key:gene_model_track,Options:GeneOnly]&amp;mk=3169537:3169556|offset_6|00cc00,3169562:3169581|offset_31|444444,3169622:3169641|offset_91|444444,3169661:3169680|offset_130|444444&amp;v=3169336:3169880&amp;c=444444", "offset 6")</f>
        <v>offset 6</v>
      </c>
    </row>
    <row r="11334" customFormat="false" ht="12.8" hidden="false" customHeight="false" outlineLevel="0" collapsed="false">
      <c r="A11334" s="0" t="s">
        <v>12</v>
      </c>
      <c r="B11334" s="0" t="n">
        <v>3169561</v>
      </c>
      <c r="C11334" s="0" t="n">
        <v>3169581</v>
      </c>
      <c r="D11334" s="0" t="s">
        <v>37791</v>
      </c>
      <c r="E11334" s="0" t="s">
        <v>89</v>
      </c>
      <c r="F11334" s="0" t="s">
        <v>15</v>
      </c>
      <c r="G11334" s="0" t="s">
        <v>26</v>
      </c>
      <c r="H11334" s="0" t="n">
        <v>31</v>
      </c>
      <c r="I11334" s="0" t="s">
        <v>37795</v>
      </c>
      <c r="J11334" s="0" t="s">
        <v>37796</v>
      </c>
      <c r="K11334" s="0" t="s">
        <v>37797</v>
      </c>
      <c r="L11334" s="0" t="str">
        <f aca="false">HYPERLINK("https://www.ncbi.nlm.nih.gov/nuccore/CP000304.1?report=graph&amp;tracks=[key:gene_model_track,Options:GeneOnly]&amp;mk=3169537:3169556|offset_6|444444,3169562:3169581|offset_31|00cc00,3169622:3169641|offset_91|444444,3169661:3169680|offset_130|444444&amp;v=3169336:3169880&amp;c=444444", "offset 31")</f>
        <v>offset 31</v>
      </c>
    </row>
    <row r="11335" customFormat="false" ht="12.8" hidden="false" customHeight="false" outlineLevel="0" collapsed="false">
      <c r="A11335" s="0" t="s">
        <v>12</v>
      </c>
      <c r="B11335" s="0" t="n">
        <v>3169621</v>
      </c>
      <c r="C11335" s="0" t="n">
        <v>3169641</v>
      </c>
      <c r="D11335" s="0" t="s">
        <v>37791</v>
      </c>
      <c r="E11335" s="0" t="s">
        <v>89</v>
      </c>
      <c r="F11335" s="0" t="s">
        <v>15</v>
      </c>
      <c r="G11335" s="0" t="s">
        <v>16</v>
      </c>
      <c r="H11335" s="0" t="n">
        <v>91</v>
      </c>
      <c r="I11335" s="0" t="s">
        <v>37798</v>
      </c>
      <c r="J11335" s="0" t="s">
        <v>37799</v>
      </c>
      <c r="K11335" s="0" t="s">
        <v>37800</v>
      </c>
      <c r="L11335" s="0" t="str">
        <f aca="false">HYPERLINK("https://www.ncbi.nlm.nih.gov/nuccore/CP000304.1?report=graph&amp;tracks=[key:gene_model_track,Options:GeneOnly]&amp;mk=3169537:3169556|offset_6|444444,3169562:3169581|offset_31|444444,3169622:3169641|offset_91|00cc00,3169661:3169680|offset_130|444444&amp;v=3169336:3169880&amp;c=444444", "offset 91")</f>
        <v>offset 91</v>
      </c>
    </row>
    <row r="11336" customFormat="false" ht="12.8" hidden="false" customHeight="false" outlineLevel="0" collapsed="false">
      <c r="A11336" s="0" t="s">
        <v>12</v>
      </c>
      <c r="B11336" s="0" t="n">
        <v>3169660</v>
      </c>
      <c r="C11336" s="0" t="n">
        <v>3169680</v>
      </c>
      <c r="D11336" s="0" t="s">
        <v>37791</v>
      </c>
      <c r="E11336" s="0" t="s">
        <v>89</v>
      </c>
      <c r="F11336" s="0" t="s">
        <v>15</v>
      </c>
      <c r="G11336" s="0" t="s">
        <v>36</v>
      </c>
      <c r="H11336" s="0" t="n">
        <v>130</v>
      </c>
      <c r="I11336" s="0" t="s">
        <v>37801</v>
      </c>
      <c r="J11336" s="0" t="s">
        <v>37802</v>
      </c>
      <c r="K11336" s="0" t="s">
        <v>37803</v>
      </c>
      <c r="L11336" s="0" t="str">
        <f aca="false">HYPERLINK("https://www.ncbi.nlm.nih.gov/nuccore/CP000304.1?report=graph&amp;tracks=[key:gene_model_track,Options:GeneOnly]&amp;mk=3169537:3169556|offset_6|444444,3169562:3169581|offset_31|444444,3169622:3169641|offset_91|444444,3169661:3169680|offset_130|00cc00&amp;v=3169336:3169880&amp;c=444444", "offset 130")</f>
        <v>offset 130</v>
      </c>
    </row>
    <row r="11337" customFormat="false" ht="12.8" hidden="false" customHeight="false" outlineLevel="0" collapsed="false">
      <c r="A11337" s="0" t="s">
        <v>12</v>
      </c>
      <c r="B11337" s="0" t="n">
        <v>3170627</v>
      </c>
      <c r="C11337" s="0" t="n">
        <v>3170647</v>
      </c>
      <c r="D11337" s="0" t="s">
        <v>37804</v>
      </c>
      <c r="E11337" s="0" t="s">
        <v>89</v>
      </c>
      <c r="F11337" s="0" t="s">
        <v>15</v>
      </c>
      <c r="G11337" s="0" t="s">
        <v>16</v>
      </c>
      <c r="H11337" s="0" t="n">
        <v>0</v>
      </c>
      <c r="I11337" s="0" t="s">
        <v>37805</v>
      </c>
      <c r="J11337" s="0" t="s">
        <v>37806</v>
      </c>
      <c r="K11337" s="0" t="s">
        <v>37807</v>
      </c>
      <c r="L11337" s="0" t="str">
        <f aca="false">HYPERLINK("https://www.ncbi.nlm.nih.gov/nuccore/CP000304.1?report=graph&amp;tracks=[key:gene_model_track,Options:GeneOnly]&amp;mk=3170628:3170647|offset_0|00cc00,3170659:3170678|offset_31|444444,3170708:3170727|offset_80|444444,3170731:3170750|offset_103|444444&amp;v=3170427:3170950&amp;c=444444", "offset 0")</f>
        <v>offset 0</v>
      </c>
    </row>
    <row r="11338" customFormat="false" ht="12.8" hidden="false" customHeight="false" outlineLevel="0" collapsed="false">
      <c r="A11338" s="0" t="s">
        <v>12</v>
      </c>
      <c r="B11338" s="0" t="n">
        <v>3170658</v>
      </c>
      <c r="C11338" s="0" t="n">
        <v>3170678</v>
      </c>
      <c r="D11338" s="0" t="s">
        <v>37804</v>
      </c>
      <c r="E11338" s="0" t="s">
        <v>89</v>
      </c>
      <c r="F11338" s="0" t="s">
        <v>15</v>
      </c>
      <c r="G11338" s="0" t="s">
        <v>36</v>
      </c>
      <c r="H11338" s="0" t="n">
        <v>31</v>
      </c>
      <c r="I11338" s="0" t="s">
        <v>37808</v>
      </c>
      <c r="J11338" s="0" t="s">
        <v>37809</v>
      </c>
      <c r="K11338" s="0" t="s">
        <v>37810</v>
      </c>
      <c r="L11338" s="0" t="str">
        <f aca="false">HYPERLINK("https://www.ncbi.nlm.nih.gov/nuccore/CP000304.1?report=graph&amp;tracks=[key:gene_model_track,Options:GeneOnly]&amp;mk=3170628:3170647|offset_0|444444,3170659:3170678|offset_31|00cc00,3170708:3170727|offset_80|444444,3170731:3170750|offset_103|444444&amp;v=3170427:3170950&amp;c=444444", "offset 31")</f>
        <v>offset 31</v>
      </c>
    </row>
    <row r="11339" customFormat="false" ht="12.8" hidden="false" customHeight="false" outlineLevel="0" collapsed="false">
      <c r="A11339" s="0" t="s">
        <v>12</v>
      </c>
      <c r="B11339" s="0" t="n">
        <v>3170707</v>
      </c>
      <c r="C11339" s="0" t="n">
        <v>3170727</v>
      </c>
      <c r="D11339" s="0" t="s">
        <v>37804</v>
      </c>
      <c r="E11339" s="0" t="s">
        <v>89</v>
      </c>
      <c r="F11339" s="0" t="s">
        <v>15</v>
      </c>
      <c r="G11339" s="0" t="s">
        <v>16</v>
      </c>
      <c r="H11339" s="0" t="n">
        <v>80</v>
      </c>
      <c r="I11339" s="0" t="s">
        <v>37811</v>
      </c>
      <c r="J11339" s="0" t="s">
        <v>37812</v>
      </c>
      <c r="K11339" s="0" t="s">
        <v>37813</v>
      </c>
      <c r="L11339" s="0" t="str">
        <f aca="false">HYPERLINK("https://www.ncbi.nlm.nih.gov/nuccore/CP000304.1?report=graph&amp;tracks=[key:gene_model_track,Options:GeneOnly]&amp;mk=3170628:3170647|offset_0|444444,3170659:3170678|offset_31|444444,3170708:3170727|offset_80|00cc00,3170731:3170750|offset_103|444444&amp;v=3170427:3170950&amp;c=444444", "offset 80")</f>
        <v>offset 80</v>
      </c>
    </row>
    <row r="11340" customFormat="false" ht="12.8" hidden="false" customHeight="false" outlineLevel="0" collapsed="false">
      <c r="A11340" s="0" t="s">
        <v>12</v>
      </c>
      <c r="B11340" s="0" t="n">
        <v>3170730</v>
      </c>
      <c r="C11340" s="0" t="n">
        <v>3170750</v>
      </c>
      <c r="D11340" s="0" t="s">
        <v>37804</v>
      </c>
      <c r="E11340" s="0" t="s">
        <v>89</v>
      </c>
      <c r="F11340" s="0" t="s">
        <v>15</v>
      </c>
      <c r="G11340" s="0" t="s">
        <v>32</v>
      </c>
      <c r="H11340" s="0" t="n">
        <v>103</v>
      </c>
      <c r="I11340" s="0" t="s">
        <v>37814</v>
      </c>
      <c r="J11340" s="0" t="s">
        <v>37815</v>
      </c>
      <c r="K11340" s="0" t="s">
        <v>37816</v>
      </c>
      <c r="L11340" s="0" t="str">
        <f aca="false">HYPERLINK("https://www.ncbi.nlm.nih.gov/nuccore/CP000304.1?report=graph&amp;tracks=[key:gene_model_track,Options:GeneOnly]&amp;mk=3170628:3170647|offset_0|444444,3170659:3170678|offset_31|444444,3170708:3170727|offset_80|444444,3170731:3170750|offset_103|00cc00&amp;v=3170427:3170950&amp;c=444444", "offset 103")</f>
        <v>offset 103</v>
      </c>
    </row>
    <row r="11341" customFormat="false" ht="12.8" hidden="false" customHeight="false" outlineLevel="0" collapsed="false">
      <c r="A11341" s="0" t="s">
        <v>12</v>
      </c>
      <c r="B11341" s="0" t="n">
        <v>3171669</v>
      </c>
      <c r="C11341" s="0" t="n">
        <v>3171689</v>
      </c>
      <c r="D11341" s="0" t="s">
        <v>37817</v>
      </c>
      <c r="E11341" s="0" t="s">
        <v>89</v>
      </c>
      <c r="F11341" s="0" t="s">
        <v>15</v>
      </c>
      <c r="G11341" s="0" t="s">
        <v>32</v>
      </c>
      <c r="H11341" s="0" t="n">
        <v>1</v>
      </c>
      <c r="I11341" s="0" t="s">
        <v>37818</v>
      </c>
      <c r="J11341" s="0" t="s">
        <v>37819</v>
      </c>
      <c r="K11341" s="0" t="s">
        <v>37820</v>
      </c>
      <c r="L11341" s="0" t="str">
        <f aca="false">HYPERLINK("https://www.ncbi.nlm.nih.gov/nuccore/CP000304.1?report=graph&amp;tracks=[key:gene_model_track,Options:GeneOnly]&amp;mk=3171670:3171689|offset_1|00cc00,3171701:3171720|offset_32|444444,3171727:3171746|offset_58|444444,3171758:3171777|offset_89|444444&amp;v=3171469:3171977&amp;c=444444", "offset 1")</f>
        <v>offset 1</v>
      </c>
    </row>
    <row r="11342" customFormat="false" ht="12.8" hidden="false" customHeight="false" outlineLevel="0" collapsed="false">
      <c r="A11342" s="0" t="s">
        <v>12</v>
      </c>
      <c r="B11342" s="0" t="n">
        <v>3171700</v>
      </c>
      <c r="C11342" s="0" t="n">
        <v>3171720</v>
      </c>
      <c r="D11342" s="0" t="s">
        <v>37817</v>
      </c>
      <c r="E11342" s="0" t="s">
        <v>89</v>
      </c>
      <c r="F11342" s="0" t="s">
        <v>15</v>
      </c>
      <c r="G11342" s="0" t="s">
        <v>36</v>
      </c>
      <c r="H11342" s="0" t="n">
        <v>32</v>
      </c>
      <c r="I11342" s="0" t="s">
        <v>37821</v>
      </c>
      <c r="J11342" s="0" t="s">
        <v>37822</v>
      </c>
      <c r="K11342" s="0" t="s">
        <v>37823</v>
      </c>
      <c r="L11342" s="0" t="str">
        <f aca="false">HYPERLINK("https://www.ncbi.nlm.nih.gov/nuccore/CP000304.1?report=graph&amp;tracks=[key:gene_model_track,Options:GeneOnly]&amp;mk=3171670:3171689|offset_1|444444,3171701:3171720|offset_32|00cc00,3171727:3171746|offset_58|444444,3171758:3171777|offset_89|444444&amp;v=3171469:3171977&amp;c=444444", "offset 32")</f>
        <v>offset 32</v>
      </c>
    </row>
    <row r="11343" customFormat="false" ht="12.8" hidden="false" customHeight="false" outlineLevel="0" collapsed="false">
      <c r="A11343" s="0" t="s">
        <v>12</v>
      </c>
      <c r="B11343" s="0" t="n">
        <v>3171726</v>
      </c>
      <c r="C11343" s="0" t="n">
        <v>3171746</v>
      </c>
      <c r="D11343" s="0" t="s">
        <v>37817</v>
      </c>
      <c r="E11343" s="0" t="s">
        <v>89</v>
      </c>
      <c r="F11343" s="0" t="s">
        <v>15</v>
      </c>
      <c r="G11343" s="0" t="s">
        <v>36</v>
      </c>
      <c r="H11343" s="0" t="n">
        <v>58</v>
      </c>
      <c r="I11343" s="0" t="s">
        <v>37824</v>
      </c>
      <c r="J11343" s="0" t="s">
        <v>37825</v>
      </c>
      <c r="K11343" s="0" t="s">
        <v>37826</v>
      </c>
      <c r="L11343" s="0" t="str">
        <f aca="false">HYPERLINK("https://www.ncbi.nlm.nih.gov/nuccore/CP000304.1?report=graph&amp;tracks=[key:gene_model_track,Options:GeneOnly]&amp;mk=3171670:3171689|offset_1|444444,3171701:3171720|offset_32|444444,3171727:3171746|offset_58|00cc00,3171758:3171777|offset_89|444444&amp;v=3171469:3171977&amp;c=444444", "offset 58")</f>
        <v>offset 58</v>
      </c>
    </row>
    <row r="11344" customFormat="false" ht="12.8" hidden="false" customHeight="false" outlineLevel="0" collapsed="false">
      <c r="A11344" s="0" t="s">
        <v>12</v>
      </c>
      <c r="B11344" s="0" t="n">
        <v>3171757</v>
      </c>
      <c r="C11344" s="0" t="n">
        <v>3171777</v>
      </c>
      <c r="D11344" s="0" t="s">
        <v>37817</v>
      </c>
      <c r="E11344" s="0" t="s">
        <v>89</v>
      </c>
      <c r="F11344" s="0" t="s">
        <v>15</v>
      </c>
      <c r="G11344" s="0" t="s">
        <v>36</v>
      </c>
      <c r="H11344" s="0" t="n">
        <v>89</v>
      </c>
      <c r="I11344" s="0" t="s">
        <v>37827</v>
      </c>
      <c r="J11344" s="0" t="s">
        <v>37828</v>
      </c>
      <c r="K11344" s="0" t="s">
        <v>37829</v>
      </c>
      <c r="L11344" s="0" t="str">
        <f aca="false">HYPERLINK("https://www.ncbi.nlm.nih.gov/nuccore/CP000304.1?report=graph&amp;tracks=[key:gene_model_track,Options:GeneOnly]&amp;mk=3171670:3171689|offset_1|444444,3171701:3171720|offset_32|444444,3171727:3171746|offset_58|444444,3171758:3171777|offset_89|00cc00&amp;v=3171469:3171977&amp;c=444444", "offset 89")</f>
        <v>offset 89</v>
      </c>
    </row>
    <row r="11345" customFormat="false" ht="12.8" hidden="false" customHeight="false" outlineLevel="0" collapsed="false">
      <c r="A11345" s="0" t="s">
        <v>12</v>
      </c>
      <c r="B11345" s="0" t="n">
        <v>3173303</v>
      </c>
      <c r="C11345" s="0" t="n">
        <v>3173323</v>
      </c>
      <c r="D11345" s="0" t="s">
        <v>37830</v>
      </c>
      <c r="E11345" s="0" t="s">
        <v>89</v>
      </c>
      <c r="F11345" s="0" t="s">
        <v>90</v>
      </c>
      <c r="G11345" s="0" t="s">
        <v>16</v>
      </c>
      <c r="H11345" s="0" t="n">
        <v>10</v>
      </c>
      <c r="I11345" s="0" t="s">
        <v>37831</v>
      </c>
      <c r="J11345" s="0" t="s">
        <v>37832</v>
      </c>
      <c r="K11345" s="0" t="s">
        <v>37833</v>
      </c>
      <c r="L11345" s="0" t="str">
        <f aca="false">HYPERLINK("https://www.ncbi.nlm.nih.gov/nuccore/CP000304.1?report=graph&amp;tracks=[key:gene_model_track,Options:GeneOnly]&amp;mk=3173304:3173323|offset_10|00cc00,3173284:3173303|offset_30|444444,3173256:3173275|offset_58|444444,3173211:3173230|offset_103|444444&amp;v=3173103:3173430&amp;c=444444", "offset 10")</f>
        <v>offset 10</v>
      </c>
    </row>
    <row r="11346" customFormat="false" ht="12.8" hidden="false" customHeight="false" outlineLevel="0" collapsed="false">
      <c r="A11346" s="0" t="s">
        <v>12</v>
      </c>
      <c r="B11346" s="0" t="n">
        <v>3173283</v>
      </c>
      <c r="C11346" s="0" t="n">
        <v>3173303</v>
      </c>
      <c r="D11346" s="0" t="s">
        <v>37830</v>
      </c>
      <c r="E11346" s="0" t="s">
        <v>89</v>
      </c>
      <c r="F11346" s="0" t="s">
        <v>90</v>
      </c>
      <c r="G11346" s="0" t="s">
        <v>36</v>
      </c>
      <c r="H11346" s="0" t="n">
        <v>30</v>
      </c>
      <c r="I11346" s="0" t="s">
        <v>37834</v>
      </c>
      <c r="J11346" s="0" t="s">
        <v>37835</v>
      </c>
      <c r="K11346" s="0" t="s">
        <v>37836</v>
      </c>
      <c r="L11346" s="0" t="str">
        <f aca="false">HYPERLINK("https://www.ncbi.nlm.nih.gov/nuccore/CP000304.1?report=graph&amp;tracks=[key:gene_model_track,Options:GeneOnly]&amp;mk=3173304:3173323|offset_10|444444,3173284:3173303|offset_30|00cc00,3173256:3173275|offset_58|444444,3173211:3173230|offset_103|444444&amp;v=3173103:3173430&amp;c=444444", "offset 30")</f>
        <v>offset 30</v>
      </c>
    </row>
    <row r="11347" customFormat="false" ht="12.8" hidden="false" customHeight="false" outlineLevel="0" collapsed="false">
      <c r="A11347" s="0" t="s">
        <v>12</v>
      </c>
      <c r="B11347" s="0" t="n">
        <v>3173255</v>
      </c>
      <c r="C11347" s="0" t="n">
        <v>3173275</v>
      </c>
      <c r="D11347" s="0" t="s">
        <v>37830</v>
      </c>
      <c r="E11347" s="0" t="s">
        <v>89</v>
      </c>
      <c r="F11347" s="0" t="s">
        <v>90</v>
      </c>
      <c r="G11347" s="0" t="s">
        <v>32</v>
      </c>
      <c r="H11347" s="0" t="n">
        <v>58</v>
      </c>
      <c r="I11347" s="0" t="s">
        <v>37837</v>
      </c>
      <c r="J11347" s="0" t="s">
        <v>37838</v>
      </c>
      <c r="K11347" s="0" t="s">
        <v>37839</v>
      </c>
      <c r="L11347" s="0" t="str">
        <f aca="false">HYPERLINK("https://www.ncbi.nlm.nih.gov/nuccore/CP000304.1?report=graph&amp;tracks=[key:gene_model_track,Options:GeneOnly]&amp;mk=3173304:3173323|offset_10|444444,3173284:3173303|offset_30|444444,3173256:3173275|offset_58|00cc00,3173211:3173230|offset_103|444444&amp;v=3173103:3173430&amp;c=444444", "offset 58")</f>
        <v>offset 58</v>
      </c>
    </row>
    <row r="11348" customFormat="false" ht="12.8" hidden="false" customHeight="false" outlineLevel="0" collapsed="false">
      <c r="A11348" s="0" t="s">
        <v>12</v>
      </c>
      <c r="B11348" s="0" t="n">
        <v>3173210</v>
      </c>
      <c r="C11348" s="0" t="n">
        <v>3173230</v>
      </c>
      <c r="D11348" s="0" t="s">
        <v>37830</v>
      </c>
      <c r="E11348" s="0" t="s">
        <v>89</v>
      </c>
      <c r="F11348" s="0" t="s">
        <v>90</v>
      </c>
      <c r="G11348" s="0" t="s">
        <v>36</v>
      </c>
      <c r="H11348" s="0" t="n">
        <v>103</v>
      </c>
      <c r="I11348" s="0" t="s">
        <v>37840</v>
      </c>
      <c r="J11348" s="0" t="s">
        <v>37841</v>
      </c>
      <c r="K11348" s="0" t="s">
        <v>37842</v>
      </c>
      <c r="L11348" s="0" t="str">
        <f aca="false">HYPERLINK("https://www.ncbi.nlm.nih.gov/nuccore/CP000304.1?report=graph&amp;tracks=[key:gene_model_track,Options:GeneOnly]&amp;mk=3173304:3173323|offset_10|444444,3173284:3173303|offset_30|444444,3173256:3173275|offset_58|444444,3173211:3173230|offset_103|00cc00&amp;v=3173103:3173430&amp;c=444444", "offset 103")</f>
        <v>offset 103</v>
      </c>
    </row>
    <row r="11349" customFormat="false" ht="12.8" hidden="false" customHeight="false" outlineLevel="0" collapsed="false">
      <c r="A11349" s="0" t="s">
        <v>12</v>
      </c>
      <c r="B11349" s="0" t="n">
        <v>3174451</v>
      </c>
      <c r="C11349" s="0" t="n">
        <v>3174471</v>
      </c>
      <c r="D11349" s="0" t="s">
        <v>37843</v>
      </c>
      <c r="E11349" s="0" t="s">
        <v>37844</v>
      </c>
      <c r="F11349" s="0" t="s">
        <v>90</v>
      </c>
      <c r="G11349" s="0" t="s">
        <v>16</v>
      </c>
      <c r="H11349" s="0" t="n">
        <v>1</v>
      </c>
      <c r="I11349" s="0" t="s">
        <v>37845</v>
      </c>
      <c r="J11349" s="0" t="s">
        <v>37846</v>
      </c>
      <c r="K11349" s="0" t="s">
        <v>37847</v>
      </c>
      <c r="L11349" s="0" t="str">
        <f aca="false">HYPERLINK("https://www.ncbi.nlm.nih.gov/nuccore/CP000304.1?report=graph&amp;tracks=[key:gene_model_track,Options:GeneOnly]&amp;mk=3174452:3174471|offset_1|00cc00,3174425:3174444|offset_28|444444,3174384:3174403|offset_69|444444,3174341:3174360|offset_112|444444&amp;v=3174251:3174560&amp;c=444444", "offset 1")</f>
        <v>offset 1</v>
      </c>
    </row>
    <row r="11350" customFormat="false" ht="12.8" hidden="false" customHeight="false" outlineLevel="0" collapsed="false">
      <c r="A11350" s="0" t="s">
        <v>12</v>
      </c>
      <c r="B11350" s="0" t="n">
        <v>3174424</v>
      </c>
      <c r="C11350" s="0" t="n">
        <v>3174444</v>
      </c>
      <c r="D11350" s="0" t="s">
        <v>37843</v>
      </c>
      <c r="E11350" s="0" t="s">
        <v>37844</v>
      </c>
      <c r="F11350" s="0" t="s">
        <v>90</v>
      </c>
      <c r="G11350" s="0" t="s">
        <v>32</v>
      </c>
      <c r="H11350" s="0" t="n">
        <v>28</v>
      </c>
      <c r="I11350" s="0" t="s">
        <v>37848</v>
      </c>
      <c r="J11350" s="0" t="s">
        <v>37849</v>
      </c>
      <c r="K11350" s="0" t="s">
        <v>37850</v>
      </c>
      <c r="L11350" s="0" t="str">
        <f aca="false">HYPERLINK("https://www.ncbi.nlm.nih.gov/nuccore/CP000304.1?report=graph&amp;tracks=[key:gene_model_track,Options:GeneOnly]&amp;mk=3174452:3174471|offset_1|444444,3174425:3174444|offset_28|00cc00,3174384:3174403|offset_69|444444,3174341:3174360|offset_112|444444&amp;v=3174251:3174560&amp;c=444444", "offset 28")</f>
        <v>offset 28</v>
      </c>
    </row>
    <row r="11351" customFormat="false" ht="12.8" hidden="false" customHeight="false" outlineLevel="0" collapsed="false">
      <c r="A11351" s="0" t="s">
        <v>12</v>
      </c>
      <c r="B11351" s="0" t="n">
        <v>3174383</v>
      </c>
      <c r="C11351" s="0" t="n">
        <v>3174403</v>
      </c>
      <c r="D11351" s="0" t="s">
        <v>37843</v>
      </c>
      <c r="E11351" s="0" t="s">
        <v>37844</v>
      </c>
      <c r="F11351" s="0" t="s">
        <v>90</v>
      </c>
      <c r="G11351" s="0" t="s">
        <v>36</v>
      </c>
      <c r="H11351" s="0" t="n">
        <v>69</v>
      </c>
      <c r="I11351" s="0" t="s">
        <v>37851</v>
      </c>
      <c r="J11351" s="0" t="s">
        <v>37852</v>
      </c>
      <c r="K11351" s="0" t="s">
        <v>37853</v>
      </c>
      <c r="L11351" s="0" t="str">
        <f aca="false">HYPERLINK("https://www.ncbi.nlm.nih.gov/nuccore/CP000304.1?report=graph&amp;tracks=[key:gene_model_track,Options:GeneOnly]&amp;mk=3174452:3174471|offset_1|444444,3174425:3174444|offset_28|444444,3174384:3174403|offset_69|00cc00,3174341:3174360|offset_112|444444&amp;v=3174251:3174560&amp;c=444444", "offset 69")</f>
        <v>offset 69</v>
      </c>
    </row>
    <row r="11352" customFormat="false" ht="12.8" hidden="false" customHeight="false" outlineLevel="0" collapsed="false">
      <c r="A11352" s="0" t="s">
        <v>12</v>
      </c>
      <c r="B11352" s="0" t="n">
        <v>3174340</v>
      </c>
      <c r="C11352" s="0" t="n">
        <v>3174360</v>
      </c>
      <c r="D11352" s="0" t="s">
        <v>37843</v>
      </c>
      <c r="E11352" s="0" t="s">
        <v>37844</v>
      </c>
      <c r="F11352" s="0" t="s">
        <v>90</v>
      </c>
      <c r="G11352" s="0" t="s">
        <v>32</v>
      </c>
      <c r="H11352" s="0" t="n">
        <v>112</v>
      </c>
      <c r="I11352" s="0" t="s">
        <v>37854</v>
      </c>
      <c r="J11352" s="0" t="s">
        <v>37855</v>
      </c>
      <c r="K11352" s="0" t="s">
        <v>37856</v>
      </c>
      <c r="L11352" s="0" t="str">
        <f aca="false">HYPERLINK("https://www.ncbi.nlm.nih.gov/nuccore/CP000304.1?report=graph&amp;tracks=[key:gene_model_track,Options:GeneOnly]&amp;mk=3174452:3174471|offset_1|444444,3174425:3174444|offset_28|444444,3174384:3174403|offset_69|444444,3174341:3174360|offset_112|00cc00&amp;v=3174251:3174560&amp;c=444444", "offset 112")</f>
        <v>offset 112</v>
      </c>
    </row>
    <row r="11353" customFormat="false" ht="12.8" hidden="false" customHeight="false" outlineLevel="0" collapsed="false">
      <c r="A11353" s="0" t="s">
        <v>12</v>
      </c>
      <c r="B11353" s="0" t="n">
        <v>3174673</v>
      </c>
      <c r="C11353" s="0" t="n">
        <v>3174693</v>
      </c>
      <c r="D11353" s="0" t="s">
        <v>37857</v>
      </c>
      <c r="E11353" s="0" t="s">
        <v>89</v>
      </c>
      <c r="F11353" s="0" t="s">
        <v>15</v>
      </c>
      <c r="G11353" s="0" t="s">
        <v>26</v>
      </c>
      <c r="H11353" s="0" t="n">
        <v>9</v>
      </c>
      <c r="I11353" s="0" t="s">
        <v>37858</v>
      </c>
      <c r="J11353" s="0" t="s">
        <v>37859</v>
      </c>
      <c r="K11353" s="0" t="s">
        <v>37860</v>
      </c>
      <c r="L11353" s="0" t="str">
        <f aca="false">HYPERLINK("https://www.ncbi.nlm.nih.gov/nuccore/CP000304.1?report=graph&amp;tracks=[key:gene_model_track,Options:GeneOnly]&amp;mk=3174674:3174693|offset_9|00cc00,3174705:3174724|offset_40|444444,3174729:3174748|offset_64|444444,3174750:3174769|offset_85|444444&amp;v=3174473:3174969&amp;c=444444", "offset 9")</f>
        <v>offset 9</v>
      </c>
    </row>
    <row r="11354" customFormat="false" ht="12.8" hidden="false" customHeight="false" outlineLevel="0" collapsed="false">
      <c r="A11354" s="0" t="s">
        <v>12</v>
      </c>
      <c r="B11354" s="0" t="n">
        <v>3174704</v>
      </c>
      <c r="C11354" s="0" t="n">
        <v>3174724</v>
      </c>
      <c r="D11354" s="0" t="s">
        <v>37857</v>
      </c>
      <c r="E11354" s="0" t="s">
        <v>89</v>
      </c>
      <c r="F11354" s="0" t="s">
        <v>15</v>
      </c>
      <c r="G11354" s="0" t="s">
        <v>32</v>
      </c>
      <c r="H11354" s="0" t="n">
        <v>40</v>
      </c>
      <c r="I11354" s="0" t="s">
        <v>37861</v>
      </c>
      <c r="J11354" s="0" t="s">
        <v>37862</v>
      </c>
      <c r="K11354" s="0" t="s">
        <v>37863</v>
      </c>
      <c r="L11354" s="0" t="str">
        <f aca="false">HYPERLINK("https://www.ncbi.nlm.nih.gov/nuccore/CP000304.1?report=graph&amp;tracks=[key:gene_model_track,Options:GeneOnly]&amp;mk=3174674:3174693|offset_9|444444,3174705:3174724|offset_40|00cc00,3174729:3174748|offset_64|444444,3174750:3174769|offset_85|444444&amp;v=3174473:3174969&amp;c=444444", "offset 40")</f>
        <v>offset 40</v>
      </c>
    </row>
    <row r="11355" customFormat="false" ht="12.8" hidden="false" customHeight="false" outlineLevel="0" collapsed="false">
      <c r="A11355" s="0" t="s">
        <v>12</v>
      </c>
      <c r="B11355" s="0" t="n">
        <v>3174728</v>
      </c>
      <c r="C11355" s="0" t="n">
        <v>3174748</v>
      </c>
      <c r="D11355" s="0" t="s">
        <v>37857</v>
      </c>
      <c r="E11355" s="0" t="s">
        <v>89</v>
      </c>
      <c r="F11355" s="0" t="s">
        <v>15</v>
      </c>
      <c r="G11355" s="0" t="s">
        <v>36</v>
      </c>
      <c r="H11355" s="0" t="n">
        <v>64</v>
      </c>
      <c r="I11355" s="0" t="s">
        <v>37864</v>
      </c>
      <c r="J11355" s="0" t="s">
        <v>37865</v>
      </c>
      <c r="K11355" s="0" t="s">
        <v>37866</v>
      </c>
      <c r="L11355" s="0" t="str">
        <f aca="false">HYPERLINK("https://www.ncbi.nlm.nih.gov/nuccore/CP000304.1?report=graph&amp;tracks=[key:gene_model_track,Options:GeneOnly]&amp;mk=3174674:3174693|offset_9|444444,3174705:3174724|offset_40|444444,3174729:3174748|offset_64|00cc00,3174750:3174769|offset_85|444444&amp;v=3174473:3174969&amp;c=444444", "offset 64")</f>
        <v>offset 64</v>
      </c>
    </row>
    <row r="11356" customFormat="false" ht="12.8" hidden="false" customHeight="false" outlineLevel="0" collapsed="false">
      <c r="A11356" s="0" t="s">
        <v>12</v>
      </c>
      <c r="B11356" s="0" t="n">
        <v>3174749</v>
      </c>
      <c r="C11356" s="0" t="n">
        <v>3174769</v>
      </c>
      <c r="D11356" s="0" t="s">
        <v>37857</v>
      </c>
      <c r="E11356" s="0" t="s">
        <v>89</v>
      </c>
      <c r="F11356" s="0" t="s">
        <v>15</v>
      </c>
      <c r="G11356" s="0" t="s">
        <v>16</v>
      </c>
      <c r="H11356" s="0" t="n">
        <v>85</v>
      </c>
      <c r="I11356" s="0" t="s">
        <v>37867</v>
      </c>
      <c r="J11356" s="0" t="s">
        <v>37868</v>
      </c>
      <c r="K11356" s="0" t="s">
        <v>37869</v>
      </c>
      <c r="L11356" s="0" t="str">
        <f aca="false">HYPERLINK("https://www.ncbi.nlm.nih.gov/nuccore/CP000304.1?report=graph&amp;tracks=[key:gene_model_track,Options:GeneOnly]&amp;mk=3174674:3174693|offset_9|444444,3174705:3174724|offset_40|444444,3174729:3174748|offset_64|444444,3174750:3174769|offset_85|00cc00&amp;v=3174473:3174969&amp;c=444444", "offset 85")</f>
        <v>offset 85</v>
      </c>
    </row>
    <row r="11357" customFormat="false" ht="12.8" hidden="false" customHeight="false" outlineLevel="0" collapsed="false">
      <c r="A11357" s="0" t="s">
        <v>12</v>
      </c>
      <c r="B11357" s="0" t="n">
        <v>3176384</v>
      </c>
      <c r="C11357" s="0" t="n">
        <v>3176404</v>
      </c>
      <c r="D11357" s="0" t="s">
        <v>37870</v>
      </c>
      <c r="E11357" s="0" t="s">
        <v>89</v>
      </c>
      <c r="F11357" s="0" t="s">
        <v>15</v>
      </c>
      <c r="G11357" s="0" t="s">
        <v>32</v>
      </c>
      <c r="H11357" s="0" t="n">
        <v>32</v>
      </c>
      <c r="I11357" s="0" t="s">
        <v>37871</v>
      </c>
      <c r="J11357" s="0" t="s">
        <v>37872</v>
      </c>
      <c r="K11357" s="0" t="s">
        <v>37873</v>
      </c>
      <c r="L11357" s="0" t="str">
        <f aca="false">HYPERLINK("https://www.ncbi.nlm.nih.gov/nuccore/CP000304.1?report=graph&amp;tracks=[key:gene_model_track,Options:GeneOnly]&amp;mk=3176385:3176404|offset_32|00cc00,3176463:3176482|offset_110|444444,3176504:3176523|offset_151|444444,3176529:3176548|offset_176|444444&amp;v=3176184:3176748&amp;c=444444", "offset 32")</f>
        <v>offset 32</v>
      </c>
    </row>
    <row r="11358" customFormat="false" ht="12.8" hidden="false" customHeight="false" outlineLevel="0" collapsed="false">
      <c r="A11358" s="0" t="s">
        <v>12</v>
      </c>
      <c r="B11358" s="0" t="n">
        <v>3176462</v>
      </c>
      <c r="C11358" s="0" t="n">
        <v>3176482</v>
      </c>
      <c r="D11358" s="0" t="s">
        <v>37870</v>
      </c>
      <c r="E11358" s="0" t="s">
        <v>89</v>
      </c>
      <c r="F11358" s="0" t="s">
        <v>15</v>
      </c>
      <c r="G11358" s="0" t="s">
        <v>26</v>
      </c>
      <c r="H11358" s="0" t="n">
        <v>110</v>
      </c>
      <c r="I11358" s="0" t="s">
        <v>37874</v>
      </c>
      <c r="J11358" s="0" t="s">
        <v>37875</v>
      </c>
      <c r="K11358" s="0" t="s">
        <v>37876</v>
      </c>
      <c r="L11358" s="0" t="str">
        <f aca="false">HYPERLINK("https://www.ncbi.nlm.nih.gov/nuccore/CP000304.1?report=graph&amp;tracks=[key:gene_model_track,Options:GeneOnly]&amp;mk=3176385:3176404|offset_32|444444,3176463:3176482|offset_110|00cc00,3176504:3176523|offset_151|444444,3176529:3176548|offset_176|444444&amp;v=3176184:3176748&amp;c=444444", "offset 110")</f>
        <v>offset 110</v>
      </c>
    </row>
    <row r="11359" customFormat="false" ht="12.8" hidden="false" customHeight="false" outlineLevel="0" collapsed="false">
      <c r="A11359" s="0" t="s">
        <v>12</v>
      </c>
      <c r="B11359" s="0" t="n">
        <v>3176503</v>
      </c>
      <c r="C11359" s="0" t="n">
        <v>3176523</v>
      </c>
      <c r="D11359" s="0" t="s">
        <v>37870</v>
      </c>
      <c r="E11359" s="0" t="s">
        <v>89</v>
      </c>
      <c r="F11359" s="0" t="s">
        <v>15</v>
      </c>
      <c r="G11359" s="0" t="s">
        <v>32</v>
      </c>
      <c r="H11359" s="0" t="n">
        <v>151</v>
      </c>
      <c r="I11359" s="0" t="s">
        <v>37877</v>
      </c>
      <c r="J11359" s="0" t="s">
        <v>37878</v>
      </c>
      <c r="K11359" s="0" t="s">
        <v>37879</v>
      </c>
      <c r="L11359" s="0" t="str">
        <f aca="false">HYPERLINK("https://www.ncbi.nlm.nih.gov/nuccore/CP000304.1?report=graph&amp;tracks=[key:gene_model_track,Options:GeneOnly]&amp;mk=3176385:3176404|offset_32|444444,3176463:3176482|offset_110|444444,3176504:3176523|offset_151|00cc00,3176529:3176548|offset_176|444444&amp;v=3176184:3176748&amp;c=444444", "offset 151")</f>
        <v>offset 151</v>
      </c>
    </row>
    <row r="11360" customFormat="false" ht="12.8" hidden="false" customHeight="false" outlineLevel="0" collapsed="false">
      <c r="A11360" s="0" t="s">
        <v>12</v>
      </c>
      <c r="B11360" s="0" t="n">
        <v>3176528</v>
      </c>
      <c r="C11360" s="0" t="n">
        <v>3176548</v>
      </c>
      <c r="D11360" s="0" t="s">
        <v>37870</v>
      </c>
      <c r="E11360" s="0" t="s">
        <v>89</v>
      </c>
      <c r="F11360" s="0" t="s">
        <v>15</v>
      </c>
      <c r="G11360" s="0" t="s">
        <v>36</v>
      </c>
      <c r="H11360" s="0" t="n">
        <v>176</v>
      </c>
      <c r="I11360" s="0" t="s">
        <v>37880</v>
      </c>
      <c r="J11360" s="0" t="s">
        <v>37881</v>
      </c>
      <c r="K11360" s="0" t="s">
        <v>37882</v>
      </c>
      <c r="L11360" s="0" t="str">
        <f aca="false">HYPERLINK("https://www.ncbi.nlm.nih.gov/nuccore/CP000304.1?report=graph&amp;tracks=[key:gene_model_track,Options:GeneOnly]&amp;mk=3176385:3176404|offset_32|444444,3176463:3176482|offset_110|444444,3176504:3176523|offset_151|444444,3176529:3176548|offset_176|00cc00&amp;v=3176184:3176748&amp;c=444444", "offset 176")</f>
        <v>offset 176</v>
      </c>
    </row>
    <row r="11361" customFormat="false" ht="12.8" hidden="false" customHeight="false" outlineLevel="0" collapsed="false">
      <c r="A11361" s="0" t="s">
        <v>12</v>
      </c>
      <c r="B11361" s="0" t="n">
        <v>3177094</v>
      </c>
      <c r="C11361" s="0" t="n">
        <v>3177114</v>
      </c>
      <c r="D11361" s="0" t="s">
        <v>37883</v>
      </c>
      <c r="E11361" s="0" t="s">
        <v>89</v>
      </c>
      <c r="F11361" s="0" t="s">
        <v>15</v>
      </c>
      <c r="G11361" s="0" t="s">
        <v>26</v>
      </c>
      <c r="H11361" s="0" t="n">
        <v>86</v>
      </c>
      <c r="I11361" s="0" t="s">
        <v>37884</v>
      </c>
      <c r="J11361" s="0" t="s">
        <v>37885</v>
      </c>
      <c r="K11361" s="0" t="s">
        <v>37886</v>
      </c>
      <c r="L11361" s="0" t="str">
        <f aca="false">HYPERLINK("https://www.ncbi.nlm.nih.gov/nuccore/CP000304.1?report=graph&amp;tracks=[key:gene_model_track,Options:GeneOnly]&amp;mk=3177095:3177114|offset_86|00cc00,3177124:3177143|offset_115|444444,3177149:3177168|offset_140|444444,3177174:3177193|offset_165|444444&amp;v=3176894:3177393&amp;c=444444", "offset 86")</f>
        <v>offset 86</v>
      </c>
    </row>
    <row r="11362" customFormat="false" ht="12.8" hidden="false" customHeight="false" outlineLevel="0" collapsed="false">
      <c r="A11362" s="0" t="s">
        <v>12</v>
      </c>
      <c r="B11362" s="0" t="n">
        <v>3177123</v>
      </c>
      <c r="C11362" s="0" t="n">
        <v>3177143</v>
      </c>
      <c r="D11362" s="0" t="s">
        <v>37883</v>
      </c>
      <c r="E11362" s="0" t="s">
        <v>89</v>
      </c>
      <c r="F11362" s="0" t="s">
        <v>15</v>
      </c>
      <c r="G11362" s="0" t="s">
        <v>16</v>
      </c>
      <c r="H11362" s="0" t="n">
        <v>115</v>
      </c>
      <c r="I11362" s="0" t="s">
        <v>37887</v>
      </c>
      <c r="J11362" s="0" t="s">
        <v>37888</v>
      </c>
      <c r="K11362" s="0" t="s">
        <v>37889</v>
      </c>
      <c r="L11362" s="0" t="str">
        <f aca="false">HYPERLINK("https://www.ncbi.nlm.nih.gov/nuccore/CP000304.1?report=graph&amp;tracks=[key:gene_model_track,Options:GeneOnly]&amp;mk=3177095:3177114|offset_86|444444,3177124:3177143|offset_115|00cc00,3177149:3177168|offset_140|444444,3177174:3177193|offset_165|444444&amp;v=3176894:3177393&amp;c=444444", "offset 115")</f>
        <v>offset 115</v>
      </c>
    </row>
    <row r="11363" customFormat="false" ht="12.8" hidden="false" customHeight="false" outlineLevel="0" collapsed="false">
      <c r="A11363" s="0" t="s">
        <v>12</v>
      </c>
      <c r="B11363" s="0" t="n">
        <v>3177148</v>
      </c>
      <c r="C11363" s="0" t="n">
        <v>3177168</v>
      </c>
      <c r="D11363" s="0" t="s">
        <v>37883</v>
      </c>
      <c r="E11363" s="0" t="s">
        <v>89</v>
      </c>
      <c r="F11363" s="0" t="s">
        <v>15</v>
      </c>
      <c r="G11363" s="0" t="s">
        <v>16</v>
      </c>
      <c r="H11363" s="0" t="n">
        <v>140</v>
      </c>
      <c r="I11363" s="0" t="s">
        <v>37890</v>
      </c>
      <c r="J11363" s="0" t="s">
        <v>37891</v>
      </c>
      <c r="K11363" s="0" t="s">
        <v>37892</v>
      </c>
      <c r="L11363" s="0" t="str">
        <f aca="false">HYPERLINK("https://www.ncbi.nlm.nih.gov/nuccore/CP000304.1?report=graph&amp;tracks=[key:gene_model_track,Options:GeneOnly]&amp;mk=3177095:3177114|offset_86|444444,3177124:3177143|offset_115|444444,3177149:3177168|offset_140|00cc00,3177174:3177193|offset_165|444444&amp;v=3176894:3177393&amp;c=444444", "offset 140")</f>
        <v>offset 140</v>
      </c>
    </row>
    <row r="11364" customFormat="false" ht="12.8" hidden="false" customHeight="false" outlineLevel="0" collapsed="false">
      <c r="A11364" s="0" t="s">
        <v>12</v>
      </c>
      <c r="B11364" s="0" t="n">
        <v>3177173</v>
      </c>
      <c r="C11364" s="0" t="n">
        <v>3177193</v>
      </c>
      <c r="D11364" s="0" t="s">
        <v>37883</v>
      </c>
      <c r="E11364" s="0" t="s">
        <v>89</v>
      </c>
      <c r="F11364" s="0" t="s">
        <v>15</v>
      </c>
      <c r="G11364" s="0" t="s">
        <v>36</v>
      </c>
      <c r="H11364" s="0" t="n">
        <v>165</v>
      </c>
      <c r="I11364" s="0" t="s">
        <v>37893</v>
      </c>
      <c r="J11364" s="0" t="s">
        <v>37894</v>
      </c>
      <c r="K11364" s="0" t="s">
        <v>37895</v>
      </c>
      <c r="L11364" s="0" t="str">
        <f aca="false">HYPERLINK("https://www.ncbi.nlm.nih.gov/nuccore/CP000304.1?report=graph&amp;tracks=[key:gene_model_track,Options:GeneOnly]&amp;mk=3177095:3177114|offset_86|444444,3177124:3177143|offset_115|444444,3177149:3177168|offset_140|444444,3177174:3177193|offset_165|00cc00&amp;v=3176894:3177393&amp;c=444444", "offset 165")</f>
        <v>offset 165</v>
      </c>
    </row>
    <row r="11365" customFormat="false" ht="12.8" hidden="false" customHeight="false" outlineLevel="0" collapsed="false">
      <c r="A11365" s="0" t="s">
        <v>12</v>
      </c>
      <c r="B11365" s="0" t="n">
        <v>3178077</v>
      </c>
      <c r="C11365" s="0" t="n">
        <v>3178097</v>
      </c>
      <c r="D11365" s="0" t="s">
        <v>37896</v>
      </c>
      <c r="E11365" s="0" t="s">
        <v>89</v>
      </c>
      <c r="F11365" s="0" t="s">
        <v>15</v>
      </c>
      <c r="G11365" s="0" t="s">
        <v>32</v>
      </c>
      <c r="H11365" s="0" t="n">
        <v>1</v>
      </c>
      <c r="I11365" s="0" t="s">
        <v>37897</v>
      </c>
      <c r="J11365" s="0" t="s">
        <v>37898</v>
      </c>
      <c r="K11365" s="0" t="s">
        <v>37899</v>
      </c>
      <c r="L11365" s="0" t="str">
        <f aca="false">HYPERLINK("https://www.ncbi.nlm.nih.gov/nuccore/CP000304.1?report=graph&amp;tracks=[key:gene_model_track,Options:GeneOnly]&amp;mk=3178078:3178097|offset_1|00cc00,3178104:3178123|offset_27|444444,3178157:3178176|offset_80|444444,3178213:3178232|offset_136|444444&amp;v=3177877:3178432&amp;c=444444", "offset 1")</f>
        <v>offset 1</v>
      </c>
    </row>
    <row r="11366" customFormat="false" ht="12.8" hidden="false" customHeight="false" outlineLevel="0" collapsed="false">
      <c r="A11366" s="0" t="s">
        <v>12</v>
      </c>
      <c r="B11366" s="0" t="n">
        <v>3178103</v>
      </c>
      <c r="C11366" s="0" t="n">
        <v>3178123</v>
      </c>
      <c r="D11366" s="0" t="s">
        <v>37896</v>
      </c>
      <c r="E11366" s="0" t="s">
        <v>89</v>
      </c>
      <c r="F11366" s="0" t="s">
        <v>15</v>
      </c>
      <c r="G11366" s="0" t="s">
        <v>36</v>
      </c>
      <c r="H11366" s="0" t="n">
        <v>27</v>
      </c>
      <c r="I11366" s="0" t="s">
        <v>37900</v>
      </c>
      <c r="J11366" s="0" t="s">
        <v>37901</v>
      </c>
      <c r="K11366" s="0" t="s">
        <v>37902</v>
      </c>
      <c r="L11366" s="0" t="str">
        <f aca="false">HYPERLINK("https://www.ncbi.nlm.nih.gov/nuccore/CP000304.1?report=graph&amp;tracks=[key:gene_model_track,Options:GeneOnly]&amp;mk=3178078:3178097|offset_1|444444,3178104:3178123|offset_27|00cc00,3178157:3178176|offset_80|444444,3178213:3178232|offset_136|444444&amp;v=3177877:3178432&amp;c=444444", "offset 27")</f>
        <v>offset 27</v>
      </c>
    </row>
    <row r="11367" customFormat="false" ht="12.8" hidden="false" customHeight="false" outlineLevel="0" collapsed="false">
      <c r="A11367" s="0" t="s">
        <v>12</v>
      </c>
      <c r="B11367" s="0" t="n">
        <v>3178156</v>
      </c>
      <c r="C11367" s="0" t="n">
        <v>3178176</v>
      </c>
      <c r="D11367" s="0" t="s">
        <v>37896</v>
      </c>
      <c r="E11367" s="0" t="s">
        <v>89</v>
      </c>
      <c r="F11367" s="0" t="s">
        <v>15</v>
      </c>
      <c r="G11367" s="0" t="s">
        <v>26</v>
      </c>
      <c r="H11367" s="0" t="n">
        <v>80</v>
      </c>
      <c r="I11367" s="0" t="s">
        <v>37903</v>
      </c>
      <c r="J11367" s="0" t="s">
        <v>37904</v>
      </c>
      <c r="K11367" s="0" t="s">
        <v>37905</v>
      </c>
      <c r="L11367" s="0" t="str">
        <f aca="false">HYPERLINK("https://www.ncbi.nlm.nih.gov/nuccore/CP000304.1?report=graph&amp;tracks=[key:gene_model_track,Options:GeneOnly]&amp;mk=3178078:3178097|offset_1|444444,3178104:3178123|offset_27|444444,3178157:3178176|offset_80|00cc00,3178213:3178232|offset_136|444444&amp;v=3177877:3178432&amp;c=444444", "offset 80")</f>
        <v>offset 80</v>
      </c>
    </row>
    <row r="11368" customFormat="false" ht="12.8" hidden="false" customHeight="false" outlineLevel="0" collapsed="false">
      <c r="A11368" s="0" t="s">
        <v>12</v>
      </c>
      <c r="B11368" s="0" t="n">
        <v>3178212</v>
      </c>
      <c r="C11368" s="0" t="n">
        <v>3178232</v>
      </c>
      <c r="D11368" s="0" t="s">
        <v>37896</v>
      </c>
      <c r="E11368" s="0" t="s">
        <v>89</v>
      </c>
      <c r="F11368" s="0" t="s">
        <v>15</v>
      </c>
      <c r="G11368" s="0" t="s">
        <v>16</v>
      </c>
      <c r="H11368" s="0" t="n">
        <v>136</v>
      </c>
      <c r="I11368" s="0" t="s">
        <v>37906</v>
      </c>
      <c r="J11368" s="0" t="s">
        <v>37907</v>
      </c>
      <c r="K11368" s="0" t="s">
        <v>37908</v>
      </c>
      <c r="L11368" s="0" t="str">
        <f aca="false">HYPERLINK("https://www.ncbi.nlm.nih.gov/nuccore/CP000304.1?report=graph&amp;tracks=[key:gene_model_track,Options:GeneOnly]&amp;mk=3178078:3178097|offset_1|444444,3178104:3178123|offset_27|444444,3178157:3178176|offset_80|444444,3178213:3178232|offset_136|00cc00&amp;v=3177877:3178432&amp;c=444444", "offset 136")</f>
        <v>offset 136</v>
      </c>
    </row>
    <row r="11369" customFormat="false" ht="12.8" hidden="false" customHeight="false" outlineLevel="0" collapsed="false">
      <c r="A11369" s="0" t="s">
        <v>12</v>
      </c>
      <c r="B11369" s="0" t="n">
        <v>3179722</v>
      </c>
      <c r="C11369" s="0" t="n">
        <v>3179742</v>
      </c>
      <c r="D11369" s="0" t="s">
        <v>37909</v>
      </c>
      <c r="E11369" s="0" t="s">
        <v>89</v>
      </c>
      <c r="F11369" s="0" t="s">
        <v>15</v>
      </c>
      <c r="G11369" s="0" t="s">
        <v>32</v>
      </c>
      <c r="H11369" s="0" t="n">
        <v>32</v>
      </c>
      <c r="I11369" s="0" t="s">
        <v>37910</v>
      </c>
      <c r="J11369" s="0" t="s">
        <v>37911</v>
      </c>
      <c r="K11369" s="0" t="s">
        <v>37912</v>
      </c>
      <c r="L11369" s="0" t="str">
        <f aca="false">HYPERLINK("https://www.ncbi.nlm.nih.gov/nuccore/CP000304.1?report=graph&amp;tracks=[key:gene_model_track,Options:GeneOnly]&amp;mk=3179723:3179742|offset_32|00cc00,3179743:3179762|offset_52|444444,3179767:3179786|offset_76|444444,3179800:3179819|offset_109|444444&amp;v=3179522:3180019&amp;c=444444", "offset 32")</f>
        <v>offset 32</v>
      </c>
    </row>
    <row r="11370" customFormat="false" ht="12.8" hidden="false" customHeight="false" outlineLevel="0" collapsed="false">
      <c r="A11370" s="0" t="s">
        <v>12</v>
      </c>
      <c r="B11370" s="0" t="n">
        <v>3179742</v>
      </c>
      <c r="C11370" s="0" t="n">
        <v>3179762</v>
      </c>
      <c r="D11370" s="0" t="s">
        <v>37909</v>
      </c>
      <c r="E11370" s="0" t="s">
        <v>89</v>
      </c>
      <c r="F11370" s="0" t="s">
        <v>15</v>
      </c>
      <c r="G11370" s="0" t="s">
        <v>16</v>
      </c>
      <c r="H11370" s="0" t="n">
        <v>52</v>
      </c>
      <c r="I11370" s="0" t="s">
        <v>37913</v>
      </c>
      <c r="J11370" s="0" t="s">
        <v>37914</v>
      </c>
      <c r="K11370" s="0" t="s">
        <v>37915</v>
      </c>
      <c r="L11370" s="0" t="str">
        <f aca="false">HYPERLINK("https://www.ncbi.nlm.nih.gov/nuccore/CP000304.1?report=graph&amp;tracks=[key:gene_model_track,Options:GeneOnly]&amp;mk=3179723:3179742|offset_32|444444,3179743:3179762|offset_52|00cc00,3179767:3179786|offset_76|444444,3179800:3179819|offset_109|444444&amp;v=3179522:3180019&amp;c=444444", "offset 52")</f>
        <v>offset 52</v>
      </c>
    </row>
    <row r="11371" customFormat="false" ht="12.8" hidden="false" customHeight="false" outlineLevel="0" collapsed="false">
      <c r="A11371" s="0" t="s">
        <v>12</v>
      </c>
      <c r="B11371" s="0" t="n">
        <v>3179766</v>
      </c>
      <c r="C11371" s="0" t="n">
        <v>3179786</v>
      </c>
      <c r="D11371" s="0" t="s">
        <v>37909</v>
      </c>
      <c r="E11371" s="0" t="s">
        <v>89</v>
      </c>
      <c r="F11371" s="0" t="s">
        <v>15</v>
      </c>
      <c r="G11371" s="0" t="s">
        <v>16</v>
      </c>
      <c r="H11371" s="0" t="n">
        <v>76</v>
      </c>
      <c r="I11371" s="0" t="s">
        <v>37916</v>
      </c>
      <c r="J11371" s="0" t="s">
        <v>37917</v>
      </c>
      <c r="K11371" s="0" t="s">
        <v>37918</v>
      </c>
      <c r="L11371" s="0" t="str">
        <f aca="false">HYPERLINK("https://www.ncbi.nlm.nih.gov/nuccore/CP000304.1?report=graph&amp;tracks=[key:gene_model_track,Options:GeneOnly]&amp;mk=3179723:3179742|offset_32|444444,3179743:3179762|offset_52|444444,3179767:3179786|offset_76|00cc00,3179800:3179819|offset_109|444444&amp;v=3179522:3180019&amp;c=444444", "offset 76")</f>
        <v>offset 76</v>
      </c>
    </row>
    <row r="11372" customFormat="false" ht="12.8" hidden="false" customHeight="false" outlineLevel="0" collapsed="false">
      <c r="A11372" s="0" t="s">
        <v>12</v>
      </c>
      <c r="B11372" s="0" t="n">
        <v>3179799</v>
      </c>
      <c r="C11372" s="0" t="n">
        <v>3179819</v>
      </c>
      <c r="D11372" s="0" t="s">
        <v>37909</v>
      </c>
      <c r="E11372" s="0" t="s">
        <v>89</v>
      </c>
      <c r="F11372" s="0" t="s">
        <v>15</v>
      </c>
      <c r="G11372" s="0" t="s">
        <v>16</v>
      </c>
      <c r="H11372" s="0" t="n">
        <v>109</v>
      </c>
      <c r="I11372" s="0" t="s">
        <v>37919</v>
      </c>
      <c r="J11372" s="0" t="s">
        <v>37920</v>
      </c>
      <c r="K11372" s="0" t="s">
        <v>37921</v>
      </c>
      <c r="L11372" s="0" t="str">
        <f aca="false">HYPERLINK("https://www.ncbi.nlm.nih.gov/nuccore/CP000304.1?report=graph&amp;tracks=[key:gene_model_track,Options:GeneOnly]&amp;mk=3179723:3179742|offset_32|444444,3179743:3179762|offset_52|444444,3179767:3179786|offset_76|444444,3179800:3179819|offset_109|00cc00&amp;v=3179522:3180019&amp;c=444444", "offset 109")</f>
        <v>offset 109</v>
      </c>
    </row>
    <row r="11373" customFormat="false" ht="12.8" hidden="false" customHeight="false" outlineLevel="0" collapsed="false">
      <c r="A11373" s="0" t="s">
        <v>12</v>
      </c>
      <c r="B11373" s="0" t="n">
        <v>3181526</v>
      </c>
      <c r="C11373" s="0" t="n">
        <v>3181546</v>
      </c>
      <c r="D11373" s="0" t="s">
        <v>37922</v>
      </c>
      <c r="E11373" s="0" t="s">
        <v>37923</v>
      </c>
      <c r="F11373" s="0" t="s">
        <v>90</v>
      </c>
      <c r="G11373" s="0" t="s">
        <v>26</v>
      </c>
      <c r="H11373" s="0" t="n">
        <v>7</v>
      </c>
      <c r="I11373" s="0" t="s">
        <v>37924</v>
      </c>
      <c r="J11373" s="0" t="s">
        <v>37925</v>
      </c>
      <c r="K11373" s="0" t="s">
        <v>37926</v>
      </c>
      <c r="L11373" s="0" t="str">
        <f aca="false">HYPERLINK("https://www.ncbi.nlm.nih.gov/nuccore/CP000304.1?report=graph&amp;tracks=[key:gene_model_track,Options:GeneOnly]&amp;mk=3181527:3181546|offset_7|00cc00,3181499:3181518|offset_35|444444,3181476:3181495|offset_58|444444,3181446:3181465|offset_88|444444&amp;v=3181326:3181665&amp;c=444444", "offset 7")</f>
        <v>offset 7</v>
      </c>
    </row>
    <row r="11374" customFormat="false" ht="12.8" hidden="false" customHeight="false" outlineLevel="0" collapsed="false">
      <c r="A11374" s="0" t="s">
        <v>12</v>
      </c>
      <c r="B11374" s="0" t="n">
        <v>3181498</v>
      </c>
      <c r="C11374" s="0" t="n">
        <v>3181518</v>
      </c>
      <c r="D11374" s="0" t="s">
        <v>37922</v>
      </c>
      <c r="E11374" s="0" t="s">
        <v>37923</v>
      </c>
      <c r="F11374" s="0" t="s">
        <v>90</v>
      </c>
      <c r="G11374" s="0" t="s">
        <v>32</v>
      </c>
      <c r="H11374" s="0" t="n">
        <v>35</v>
      </c>
      <c r="I11374" s="0" t="s">
        <v>37927</v>
      </c>
      <c r="J11374" s="0" t="s">
        <v>37928</v>
      </c>
      <c r="K11374" s="0" t="s">
        <v>37929</v>
      </c>
      <c r="L11374" s="0" t="str">
        <f aca="false">HYPERLINK("https://www.ncbi.nlm.nih.gov/nuccore/CP000304.1?report=graph&amp;tracks=[key:gene_model_track,Options:GeneOnly]&amp;mk=3181527:3181546|offset_7|444444,3181499:3181518|offset_35|00cc00,3181476:3181495|offset_58|444444,3181446:3181465|offset_88|444444&amp;v=3181326:3181665&amp;c=444444", "offset 35")</f>
        <v>offset 35</v>
      </c>
    </row>
    <row r="11375" customFormat="false" ht="12.8" hidden="false" customHeight="false" outlineLevel="0" collapsed="false">
      <c r="A11375" s="0" t="s">
        <v>12</v>
      </c>
      <c r="B11375" s="0" t="n">
        <v>3181475</v>
      </c>
      <c r="C11375" s="0" t="n">
        <v>3181495</v>
      </c>
      <c r="D11375" s="0" t="s">
        <v>37922</v>
      </c>
      <c r="E11375" s="0" t="s">
        <v>37923</v>
      </c>
      <c r="F11375" s="0" t="s">
        <v>90</v>
      </c>
      <c r="G11375" s="0" t="s">
        <v>32</v>
      </c>
      <c r="H11375" s="0" t="n">
        <v>58</v>
      </c>
      <c r="I11375" s="0" t="s">
        <v>37930</v>
      </c>
      <c r="J11375" s="0" t="s">
        <v>37931</v>
      </c>
      <c r="K11375" s="0" t="s">
        <v>37932</v>
      </c>
      <c r="L11375" s="0" t="str">
        <f aca="false">HYPERLINK("https://www.ncbi.nlm.nih.gov/nuccore/CP000304.1?report=graph&amp;tracks=[key:gene_model_track,Options:GeneOnly]&amp;mk=3181527:3181546|offset_7|444444,3181499:3181518|offset_35|444444,3181476:3181495|offset_58|00cc00,3181446:3181465|offset_88|444444&amp;v=3181326:3181665&amp;c=444444", "offset 58")</f>
        <v>offset 58</v>
      </c>
    </row>
    <row r="11376" customFormat="false" ht="12.8" hidden="false" customHeight="false" outlineLevel="0" collapsed="false">
      <c r="A11376" s="0" t="s">
        <v>12</v>
      </c>
      <c r="B11376" s="0" t="n">
        <v>3181445</v>
      </c>
      <c r="C11376" s="0" t="n">
        <v>3181465</v>
      </c>
      <c r="D11376" s="0" t="s">
        <v>37922</v>
      </c>
      <c r="E11376" s="0" t="s">
        <v>37923</v>
      </c>
      <c r="F11376" s="0" t="s">
        <v>90</v>
      </c>
      <c r="G11376" s="0" t="s">
        <v>32</v>
      </c>
      <c r="H11376" s="0" t="n">
        <v>88</v>
      </c>
      <c r="I11376" s="0" t="s">
        <v>37933</v>
      </c>
      <c r="J11376" s="0" t="s">
        <v>37934</v>
      </c>
      <c r="K11376" s="0" t="s">
        <v>37935</v>
      </c>
      <c r="L11376" s="0" t="str">
        <f aca="false">HYPERLINK("https://www.ncbi.nlm.nih.gov/nuccore/CP000304.1?report=graph&amp;tracks=[key:gene_model_track,Options:GeneOnly]&amp;mk=3181527:3181546|offset_7|444444,3181499:3181518|offset_35|444444,3181476:3181495|offset_58|444444,3181446:3181465|offset_88|00cc00&amp;v=3181326:3181665&amp;c=444444", "offset 88")</f>
        <v>offset 88</v>
      </c>
    </row>
    <row r="11377" customFormat="false" ht="12.8" hidden="false" customHeight="false" outlineLevel="0" collapsed="false">
      <c r="A11377" s="0" t="s">
        <v>12</v>
      </c>
      <c r="B11377" s="0" t="n">
        <v>3185717</v>
      </c>
      <c r="C11377" s="0" t="n">
        <v>3185737</v>
      </c>
      <c r="D11377" s="0" t="s">
        <v>37936</v>
      </c>
      <c r="E11377" s="0" t="s">
        <v>37937</v>
      </c>
      <c r="F11377" s="0" t="s">
        <v>90</v>
      </c>
      <c r="G11377" s="0" t="s">
        <v>26</v>
      </c>
      <c r="H11377" s="0" t="n">
        <v>101</v>
      </c>
      <c r="I11377" s="0" t="s">
        <v>37938</v>
      </c>
      <c r="J11377" s="0" t="s">
        <v>37939</v>
      </c>
      <c r="K11377" s="0" t="s">
        <v>37940</v>
      </c>
      <c r="L11377" s="0" t="str">
        <f aca="false">HYPERLINK("https://www.ncbi.nlm.nih.gov/nuccore/CP000304.1?report=graph&amp;tracks=[key:gene_model_track,Options:GeneOnly]&amp;mk=3185718:3185737|offset_101|00cc00,3185697:3185716|offset_122|444444,3185667:3185686|offset_152|444444,3185643:3185662|offset_176|444444&amp;v=3185517:3185862&amp;c=444444", "offset 101")</f>
        <v>offset 101</v>
      </c>
    </row>
    <row r="11378" customFormat="false" ht="12.8" hidden="false" customHeight="false" outlineLevel="0" collapsed="false">
      <c r="A11378" s="0" t="s">
        <v>12</v>
      </c>
      <c r="B11378" s="0" t="n">
        <v>3185696</v>
      </c>
      <c r="C11378" s="0" t="n">
        <v>3185716</v>
      </c>
      <c r="D11378" s="0" t="s">
        <v>37936</v>
      </c>
      <c r="E11378" s="0" t="s">
        <v>37937</v>
      </c>
      <c r="F11378" s="0" t="s">
        <v>90</v>
      </c>
      <c r="G11378" s="0" t="s">
        <v>16</v>
      </c>
      <c r="H11378" s="0" t="n">
        <v>122</v>
      </c>
      <c r="I11378" s="0" t="s">
        <v>37941</v>
      </c>
      <c r="J11378" s="0" t="s">
        <v>37942</v>
      </c>
      <c r="K11378" s="0" t="s">
        <v>37943</v>
      </c>
      <c r="L11378" s="0" t="str">
        <f aca="false">HYPERLINK("https://www.ncbi.nlm.nih.gov/nuccore/CP000304.1?report=graph&amp;tracks=[key:gene_model_track,Options:GeneOnly]&amp;mk=3185718:3185737|offset_101|444444,3185697:3185716|offset_122|00cc00,3185667:3185686|offset_152|444444,3185643:3185662|offset_176|444444&amp;v=3185517:3185862&amp;c=444444", "offset 122")</f>
        <v>offset 122</v>
      </c>
    </row>
    <row r="11379" customFormat="false" ht="12.8" hidden="false" customHeight="false" outlineLevel="0" collapsed="false">
      <c r="A11379" s="0" t="s">
        <v>12</v>
      </c>
      <c r="B11379" s="0" t="n">
        <v>3185666</v>
      </c>
      <c r="C11379" s="0" t="n">
        <v>3185686</v>
      </c>
      <c r="D11379" s="0" t="s">
        <v>37936</v>
      </c>
      <c r="E11379" s="0" t="s">
        <v>37937</v>
      </c>
      <c r="F11379" s="0" t="s">
        <v>90</v>
      </c>
      <c r="G11379" s="0" t="s">
        <v>36</v>
      </c>
      <c r="H11379" s="0" t="n">
        <v>152</v>
      </c>
      <c r="I11379" s="0" t="s">
        <v>37944</v>
      </c>
      <c r="J11379" s="0" t="s">
        <v>37945</v>
      </c>
      <c r="K11379" s="0" t="s">
        <v>37946</v>
      </c>
      <c r="L11379" s="0" t="str">
        <f aca="false">HYPERLINK("https://www.ncbi.nlm.nih.gov/nuccore/CP000304.1?report=graph&amp;tracks=[key:gene_model_track,Options:GeneOnly]&amp;mk=3185718:3185737|offset_101|444444,3185697:3185716|offset_122|444444,3185667:3185686|offset_152|00cc00,3185643:3185662|offset_176|444444&amp;v=3185517:3185862&amp;c=444444", "offset 152")</f>
        <v>offset 152</v>
      </c>
    </row>
    <row r="11380" customFormat="false" ht="12.8" hidden="false" customHeight="false" outlineLevel="0" collapsed="false">
      <c r="A11380" s="0" t="s">
        <v>12</v>
      </c>
      <c r="B11380" s="0" t="n">
        <v>3185642</v>
      </c>
      <c r="C11380" s="0" t="n">
        <v>3185662</v>
      </c>
      <c r="D11380" s="0" t="s">
        <v>37936</v>
      </c>
      <c r="E11380" s="0" t="s">
        <v>37937</v>
      </c>
      <c r="F11380" s="0" t="s">
        <v>90</v>
      </c>
      <c r="G11380" s="0" t="s">
        <v>36</v>
      </c>
      <c r="H11380" s="0" t="n">
        <v>176</v>
      </c>
      <c r="I11380" s="0" t="s">
        <v>37947</v>
      </c>
      <c r="J11380" s="0" t="s">
        <v>37948</v>
      </c>
      <c r="K11380" s="0" t="s">
        <v>37949</v>
      </c>
      <c r="L11380" s="0" t="str">
        <f aca="false">HYPERLINK("https://www.ncbi.nlm.nih.gov/nuccore/CP000304.1?report=graph&amp;tracks=[key:gene_model_track,Options:GeneOnly]&amp;mk=3185718:3185737|offset_101|444444,3185697:3185716|offset_122|444444,3185667:3185686|offset_152|444444,3185643:3185662|offset_176|00cc00&amp;v=3185517:3185862&amp;c=444444", "offset 176")</f>
        <v>offset 176</v>
      </c>
    </row>
    <row r="11381" customFormat="false" ht="12.8" hidden="false" customHeight="false" outlineLevel="0" collapsed="false">
      <c r="A11381" s="0" t="s">
        <v>12</v>
      </c>
      <c r="B11381" s="0" t="n">
        <v>3187328</v>
      </c>
      <c r="C11381" s="0" t="n">
        <v>3187348</v>
      </c>
      <c r="D11381" s="0" t="s">
        <v>37950</v>
      </c>
      <c r="E11381" s="0" t="s">
        <v>89</v>
      </c>
      <c r="F11381" s="0" t="s">
        <v>90</v>
      </c>
      <c r="G11381" s="0" t="s">
        <v>36</v>
      </c>
      <c r="H11381" s="0" t="n">
        <v>0</v>
      </c>
      <c r="I11381" s="0" t="s">
        <v>37951</v>
      </c>
      <c r="J11381" s="0" t="s">
        <v>37952</v>
      </c>
      <c r="K11381" s="0" t="s">
        <v>37953</v>
      </c>
      <c r="L11381" s="0" t="str">
        <f aca="false">HYPERLINK("https://www.ncbi.nlm.nih.gov/nuccore/CP000304.1?report=graph&amp;tracks=[key:gene_model_track,Options:GeneOnly]&amp;mk=3187329:3187348|offset_0|00cc00,3187274:3187293|offset_55|444444,3187251:3187270|offset_78|444444,3187212:3187231|offset_117|444444&amp;v=3187128:3187431&amp;c=444444", "offset 0")</f>
        <v>offset 0</v>
      </c>
    </row>
    <row r="11382" customFormat="false" ht="12.8" hidden="false" customHeight="false" outlineLevel="0" collapsed="false">
      <c r="A11382" s="0" t="s">
        <v>12</v>
      </c>
      <c r="B11382" s="0" t="n">
        <v>3187273</v>
      </c>
      <c r="C11382" s="0" t="n">
        <v>3187293</v>
      </c>
      <c r="D11382" s="0" t="s">
        <v>37950</v>
      </c>
      <c r="E11382" s="0" t="s">
        <v>89</v>
      </c>
      <c r="F11382" s="0" t="s">
        <v>90</v>
      </c>
      <c r="G11382" s="0" t="s">
        <v>32</v>
      </c>
      <c r="H11382" s="0" t="n">
        <v>55</v>
      </c>
      <c r="I11382" s="0" t="s">
        <v>37954</v>
      </c>
      <c r="J11382" s="0" t="s">
        <v>37955</v>
      </c>
      <c r="K11382" s="0" t="s">
        <v>37956</v>
      </c>
      <c r="L11382" s="0" t="str">
        <f aca="false">HYPERLINK("https://www.ncbi.nlm.nih.gov/nuccore/CP000304.1?report=graph&amp;tracks=[key:gene_model_track,Options:GeneOnly]&amp;mk=3187329:3187348|offset_0|444444,3187274:3187293|offset_55|00cc00,3187251:3187270|offset_78|444444,3187212:3187231|offset_117|444444&amp;v=3187128:3187431&amp;c=444444", "offset 55")</f>
        <v>offset 55</v>
      </c>
    </row>
    <row r="11383" customFormat="false" ht="12.8" hidden="false" customHeight="false" outlineLevel="0" collapsed="false">
      <c r="A11383" s="0" t="s">
        <v>12</v>
      </c>
      <c r="B11383" s="0" t="n">
        <v>3187250</v>
      </c>
      <c r="C11383" s="0" t="n">
        <v>3187270</v>
      </c>
      <c r="D11383" s="0" t="s">
        <v>37950</v>
      </c>
      <c r="E11383" s="0" t="s">
        <v>89</v>
      </c>
      <c r="F11383" s="0" t="s">
        <v>90</v>
      </c>
      <c r="G11383" s="0" t="s">
        <v>32</v>
      </c>
      <c r="H11383" s="0" t="n">
        <v>78</v>
      </c>
      <c r="I11383" s="0" t="s">
        <v>37957</v>
      </c>
      <c r="J11383" s="0" t="s">
        <v>37958</v>
      </c>
      <c r="K11383" s="0" t="s">
        <v>37959</v>
      </c>
      <c r="L11383" s="0" t="str">
        <f aca="false">HYPERLINK("https://www.ncbi.nlm.nih.gov/nuccore/CP000304.1?report=graph&amp;tracks=[key:gene_model_track,Options:GeneOnly]&amp;mk=3187329:3187348|offset_0|444444,3187274:3187293|offset_55|444444,3187251:3187270|offset_78|00cc00,3187212:3187231|offset_117|444444&amp;v=3187128:3187431&amp;c=444444", "offset 78")</f>
        <v>offset 78</v>
      </c>
    </row>
    <row r="11384" customFormat="false" ht="12.8" hidden="false" customHeight="false" outlineLevel="0" collapsed="false">
      <c r="A11384" s="0" t="s">
        <v>12</v>
      </c>
      <c r="B11384" s="0" t="n">
        <v>3187211</v>
      </c>
      <c r="C11384" s="0" t="n">
        <v>3187231</v>
      </c>
      <c r="D11384" s="0" t="s">
        <v>37950</v>
      </c>
      <c r="E11384" s="0" t="s">
        <v>89</v>
      </c>
      <c r="F11384" s="0" t="s">
        <v>90</v>
      </c>
      <c r="G11384" s="0" t="s">
        <v>16</v>
      </c>
      <c r="H11384" s="0" t="n">
        <v>117</v>
      </c>
      <c r="I11384" s="0" t="s">
        <v>37960</v>
      </c>
      <c r="J11384" s="0" t="s">
        <v>37961</v>
      </c>
      <c r="K11384" s="0" t="s">
        <v>37962</v>
      </c>
      <c r="L11384" s="0" t="str">
        <f aca="false">HYPERLINK("https://www.ncbi.nlm.nih.gov/nuccore/CP000304.1?report=graph&amp;tracks=[key:gene_model_track,Options:GeneOnly]&amp;mk=3187329:3187348|offset_0|444444,3187274:3187293|offset_55|444444,3187251:3187270|offset_78|444444,3187212:3187231|offset_117|00cc00&amp;v=3187128:3187431&amp;c=444444", "offset 117")</f>
        <v>offset 117</v>
      </c>
    </row>
    <row r="11385" customFormat="false" ht="12.8" hidden="false" customHeight="false" outlineLevel="0" collapsed="false">
      <c r="A11385" s="0" t="s">
        <v>12</v>
      </c>
      <c r="B11385" s="0" t="n">
        <v>3187542</v>
      </c>
      <c r="C11385" s="0" t="n">
        <v>3187562</v>
      </c>
      <c r="D11385" s="0" t="s">
        <v>37963</v>
      </c>
      <c r="E11385" s="0" t="s">
        <v>89</v>
      </c>
      <c r="F11385" s="0" t="s">
        <v>90</v>
      </c>
      <c r="G11385" s="0" t="s">
        <v>26</v>
      </c>
      <c r="H11385" s="0" t="n">
        <v>6</v>
      </c>
      <c r="I11385" s="0" t="s">
        <v>37964</v>
      </c>
      <c r="J11385" s="0" t="s">
        <v>37965</v>
      </c>
      <c r="K11385" s="0" t="s">
        <v>37966</v>
      </c>
      <c r="L11385" s="0" t="str">
        <f aca="false">HYPERLINK("https://www.ncbi.nlm.nih.gov/nuccore/CP000304.1?report=graph&amp;tracks=[key:gene_model_track,Options:GeneOnly]&amp;mk=3187543:3187562|offset_6|00cc00,3187516:3187535|offset_33|444444,3187488:3187507|offset_61|444444,3187464:3187483|offset_85|444444&amp;v=3187342:3187683&amp;c=444444", "offset 6")</f>
        <v>offset 6</v>
      </c>
    </row>
    <row r="11386" customFormat="false" ht="12.8" hidden="false" customHeight="false" outlineLevel="0" collapsed="false">
      <c r="A11386" s="0" t="s">
        <v>12</v>
      </c>
      <c r="B11386" s="0" t="n">
        <v>3187515</v>
      </c>
      <c r="C11386" s="0" t="n">
        <v>3187535</v>
      </c>
      <c r="D11386" s="0" t="s">
        <v>37963</v>
      </c>
      <c r="E11386" s="0" t="s">
        <v>89</v>
      </c>
      <c r="F11386" s="0" t="s">
        <v>90</v>
      </c>
      <c r="G11386" s="0" t="s">
        <v>16</v>
      </c>
      <c r="H11386" s="0" t="n">
        <v>33</v>
      </c>
      <c r="I11386" s="0" t="s">
        <v>37967</v>
      </c>
      <c r="J11386" s="0" t="s">
        <v>37968</v>
      </c>
      <c r="K11386" s="0" t="s">
        <v>37969</v>
      </c>
      <c r="L11386" s="0" t="str">
        <f aca="false">HYPERLINK("https://www.ncbi.nlm.nih.gov/nuccore/CP000304.1?report=graph&amp;tracks=[key:gene_model_track,Options:GeneOnly]&amp;mk=3187543:3187562|offset_6|444444,3187516:3187535|offset_33|00cc00,3187488:3187507|offset_61|444444,3187464:3187483|offset_85|444444&amp;v=3187342:3187683&amp;c=444444", "offset 33")</f>
        <v>offset 33</v>
      </c>
    </row>
    <row r="11387" customFormat="false" ht="12.8" hidden="false" customHeight="false" outlineLevel="0" collapsed="false">
      <c r="A11387" s="0" t="s">
        <v>12</v>
      </c>
      <c r="B11387" s="0" t="n">
        <v>3187487</v>
      </c>
      <c r="C11387" s="0" t="n">
        <v>3187507</v>
      </c>
      <c r="D11387" s="0" t="s">
        <v>37963</v>
      </c>
      <c r="E11387" s="0" t="s">
        <v>89</v>
      </c>
      <c r="F11387" s="0" t="s">
        <v>90</v>
      </c>
      <c r="G11387" s="0" t="s">
        <v>36</v>
      </c>
      <c r="H11387" s="0" t="n">
        <v>61</v>
      </c>
      <c r="I11387" s="0" t="s">
        <v>37970</v>
      </c>
      <c r="J11387" s="0" t="s">
        <v>37971</v>
      </c>
      <c r="K11387" s="0" t="s">
        <v>37972</v>
      </c>
      <c r="L11387" s="0" t="str">
        <f aca="false">HYPERLINK("https://www.ncbi.nlm.nih.gov/nuccore/CP000304.1?report=graph&amp;tracks=[key:gene_model_track,Options:GeneOnly]&amp;mk=3187543:3187562|offset_6|444444,3187516:3187535|offset_33|444444,3187488:3187507|offset_61|00cc00,3187464:3187483|offset_85|444444&amp;v=3187342:3187683&amp;c=444444", "offset 61")</f>
        <v>offset 61</v>
      </c>
    </row>
    <row r="11388" customFormat="false" ht="12.8" hidden="false" customHeight="false" outlineLevel="0" collapsed="false">
      <c r="A11388" s="0" t="s">
        <v>12</v>
      </c>
      <c r="B11388" s="0" t="n">
        <v>3187463</v>
      </c>
      <c r="C11388" s="0" t="n">
        <v>3187483</v>
      </c>
      <c r="D11388" s="0" t="s">
        <v>37963</v>
      </c>
      <c r="E11388" s="0" t="s">
        <v>89</v>
      </c>
      <c r="F11388" s="0" t="s">
        <v>90</v>
      </c>
      <c r="G11388" s="0" t="s">
        <v>16</v>
      </c>
      <c r="H11388" s="0" t="n">
        <v>85</v>
      </c>
      <c r="I11388" s="0" t="s">
        <v>37973</v>
      </c>
      <c r="J11388" s="0" t="s">
        <v>37974</v>
      </c>
      <c r="K11388" s="0" t="s">
        <v>37975</v>
      </c>
      <c r="L11388" s="0" t="str">
        <f aca="false">HYPERLINK("https://www.ncbi.nlm.nih.gov/nuccore/CP000304.1?report=graph&amp;tracks=[key:gene_model_track,Options:GeneOnly]&amp;mk=3187543:3187562|offset_6|444444,3187516:3187535|offset_33|444444,3187488:3187507|offset_61|444444,3187464:3187483|offset_85|00cc00&amp;v=3187342:3187683&amp;c=444444", "offset 85")</f>
        <v>offset 85</v>
      </c>
    </row>
    <row r="11389" customFormat="false" ht="12.8" hidden="false" customHeight="false" outlineLevel="0" collapsed="false">
      <c r="A11389" s="0" t="s">
        <v>12</v>
      </c>
      <c r="B11389" s="0" t="n">
        <v>3189278</v>
      </c>
      <c r="C11389" s="0" t="n">
        <v>3189298</v>
      </c>
      <c r="D11389" s="0" t="s">
        <v>37976</v>
      </c>
      <c r="E11389" s="0" t="s">
        <v>89</v>
      </c>
      <c r="F11389" s="0" t="s">
        <v>90</v>
      </c>
      <c r="G11389" s="0" t="s">
        <v>26</v>
      </c>
      <c r="H11389" s="0" t="n">
        <v>61</v>
      </c>
      <c r="I11389" s="0" t="s">
        <v>37977</v>
      </c>
      <c r="J11389" s="0" t="s">
        <v>37978</v>
      </c>
      <c r="K11389" s="0" t="s">
        <v>37979</v>
      </c>
      <c r="L11389" s="0" t="str">
        <f aca="false">HYPERLINK("https://www.ncbi.nlm.nih.gov/nuccore/CP000304.1?report=graph&amp;tracks=[key:gene_model_track,Options:GeneOnly]&amp;mk=3189279:3189298|offset_61|00cc00,3189206:3189225|offset_134|444444,3189185:3189204|offset_155|444444,3189149:3189168|offset_191|444444&amp;v=3189078:3189368&amp;c=444444", "offset 61")</f>
        <v>offset 61</v>
      </c>
    </row>
    <row r="11390" customFormat="false" ht="12.8" hidden="false" customHeight="false" outlineLevel="0" collapsed="false">
      <c r="A11390" s="0" t="s">
        <v>12</v>
      </c>
      <c r="B11390" s="0" t="n">
        <v>3189205</v>
      </c>
      <c r="C11390" s="0" t="n">
        <v>3189225</v>
      </c>
      <c r="D11390" s="0" t="s">
        <v>37976</v>
      </c>
      <c r="E11390" s="0" t="s">
        <v>89</v>
      </c>
      <c r="F11390" s="0" t="s">
        <v>90</v>
      </c>
      <c r="G11390" s="0" t="s">
        <v>36</v>
      </c>
      <c r="H11390" s="0" t="n">
        <v>134</v>
      </c>
      <c r="I11390" s="0" t="s">
        <v>37980</v>
      </c>
      <c r="J11390" s="0" t="s">
        <v>37981</v>
      </c>
      <c r="K11390" s="0" t="s">
        <v>37982</v>
      </c>
      <c r="L11390" s="0" t="str">
        <f aca="false">HYPERLINK("https://www.ncbi.nlm.nih.gov/nuccore/CP000304.1?report=graph&amp;tracks=[key:gene_model_track,Options:GeneOnly]&amp;mk=3189279:3189298|offset_61|444444,3189206:3189225|offset_134|00cc00,3189185:3189204|offset_155|444444,3189149:3189168|offset_191|444444&amp;v=3189078:3189368&amp;c=444444", "offset 134")</f>
        <v>offset 134</v>
      </c>
    </row>
    <row r="11391" customFormat="false" ht="12.8" hidden="false" customHeight="false" outlineLevel="0" collapsed="false">
      <c r="A11391" s="0" t="s">
        <v>12</v>
      </c>
      <c r="B11391" s="0" t="n">
        <v>3189184</v>
      </c>
      <c r="C11391" s="0" t="n">
        <v>3189204</v>
      </c>
      <c r="D11391" s="0" t="s">
        <v>37976</v>
      </c>
      <c r="E11391" s="0" t="s">
        <v>89</v>
      </c>
      <c r="F11391" s="0" t="s">
        <v>90</v>
      </c>
      <c r="G11391" s="0" t="s">
        <v>26</v>
      </c>
      <c r="H11391" s="0" t="n">
        <v>155</v>
      </c>
      <c r="I11391" s="0" t="s">
        <v>37983</v>
      </c>
      <c r="J11391" s="0" t="s">
        <v>37984</v>
      </c>
      <c r="K11391" s="0" t="s">
        <v>37985</v>
      </c>
      <c r="L11391" s="0" t="str">
        <f aca="false">HYPERLINK("https://www.ncbi.nlm.nih.gov/nuccore/CP000304.1?report=graph&amp;tracks=[key:gene_model_track,Options:GeneOnly]&amp;mk=3189279:3189298|offset_61|444444,3189206:3189225|offset_134|444444,3189185:3189204|offset_155|00cc00,3189149:3189168|offset_191|444444&amp;v=3189078:3189368&amp;c=444444", "offset 155")</f>
        <v>offset 155</v>
      </c>
    </row>
    <row r="11392" customFormat="false" ht="12.8" hidden="false" customHeight="false" outlineLevel="0" collapsed="false">
      <c r="A11392" s="0" t="s">
        <v>12</v>
      </c>
      <c r="B11392" s="0" t="n">
        <v>3189148</v>
      </c>
      <c r="C11392" s="0" t="n">
        <v>3189168</v>
      </c>
      <c r="D11392" s="0" t="s">
        <v>37976</v>
      </c>
      <c r="E11392" s="0" t="s">
        <v>89</v>
      </c>
      <c r="F11392" s="0" t="s">
        <v>90</v>
      </c>
      <c r="G11392" s="0" t="s">
        <v>26</v>
      </c>
      <c r="H11392" s="0" t="n">
        <v>191</v>
      </c>
      <c r="I11392" s="0" t="s">
        <v>37986</v>
      </c>
      <c r="J11392" s="0" t="s">
        <v>37987</v>
      </c>
      <c r="K11392" s="0" t="s">
        <v>37988</v>
      </c>
      <c r="L11392" s="0" t="str">
        <f aca="false">HYPERLINK("https://www.ncbi.nlm.nih.gov/nuccore/CP000304.1?report=graph&amp;tracks=[key:gene_model_track,Options:GeneOnly]&amp;mk=3189279:3189298|offset_61|444444,3189206:3189225|offset_134|444444,3189185:3189204|offset_155|444444,3189149:3189168|offset_191|00cc00&amp;v=3189078:3189368&amp;c=444444", "offset 191")</f>
        <v>offset 191</v>
      </c>
    </row>
    <row r="11393" customFormat="false" ht="12.8" hidden="false" customHeight="false" outlineLevel="0" collapsed="false">
      <c r="A11393" s="0" t="s">
        <v>12</v>
      </c>
      <c r="B11393" s="0" t="n">
        <v>3191122</v>
      </c>
      <c r="C11393" s="0" t="n">
        <v>3191142</v>
      </c>
      <c r="D11393" s="0" t="s">
        <v>37989</v>
      </c>
      <c r="E11393" s="0" t="s">
        <v>89</v>
      </c>
      <c r="F11393" s="0" t="s">
        <v>90</v>
      </c>
      <c r="G11393" s="0" t="s">
        <v>26</v>
      </c>
      <c r="H11393" s="0" t="n">
        <v>10</v>
      </c>
      <c r="I11393" s="0" t="s">
        <v>37990</v>
      </c>
      <c r="J11393" s="0" t="s">
        <v>37991</v>
      </c>
      <c r="K11393" s="0" t="s">
        <v>37992</v>
      </c>
      <c r="L11393" s="0" t="str">
        <f aca="false">HYPERLINK("https://www.ncbi.nlm.nih.gov/nuccore/CP000304.1?report=graph&amp;tracks=[key:gene_model_track,Options:GeneOnly]&amp;mk=3191123:3191142|offset_10|00cc00,3191095:3191114|offset_38|444444,3191063:3191082|offset_70|444444,3191018:3191037|offset_115|444444&amp;v=3190922:3191237&amp;c=444444", "offset 10")</f>
        <v>offset 10</v>
      </c>
    </row>
    <row r="11394" customFormat="false" ht="12.8" hidden="false" customHeight="false" outlineLevel="0" collapsed="false">
      <c r="A11394" s="0" t="s">
        <v>12</v>
      </c>
      <c r="B11394" s="0" t="n">
        <v>3191094</v>
      </c>
      <c r="C11394" s="0" t="n">
        <v>3191114</v>
      </c>
      <c r="D11394" s="0" t="s">
        <v>37989</v>
      </c>
      <c r="E11394" s="0" t="s">
        <v>89</v>
      </c>
      <c r="F11394" s="0" t="s">
        <v>90</v>
      </c>
      <c r="G11394" s="0" t="s">
        <v>26</v>
      </c>
      <c r="H11394" s="0" t="n">
        <v>38</v>
      </c>
      <c r="I11394" s="0" t="s">
        <v>37993</v>
      </c>
      <c r="J11394" s="0" t="s">
        <v>37994</v>
      </c>
      <c r="K11394" s="0" t="s">
        <v>37995</v>
      </c>
      <c r="L11394" s="0" t="str">
        <f aca="false">HYPERLINK("https://www.ncbi.nlm.nih.gov/nuccore/CP000304.1?report=graph&amp;tracks=[key:gene_model_track,Options:GeneOnly]&amp;mk=3191123:3191142|offset_10|444444,3191095:3191114|offset_38|00cc00,3191063:3191082|offset_70|444444,3191018:3191037|offset_115|444444&amp;v=3190922:3191237&amp;c=444444", "offset 38")</f>
        <v>offset 38</v>
      </c>
    </row>
    <row r="11395" customFormat="false" ht="12.8" hidden="false" customHeight="false" outlineLevel="0" collapsed="false">
      <c r="A11395" s="0" t="s">
        <v>12</v>
      </c>
      <c r="B11395" s="0" t="n">
        <v>3191062</v>
      </c>
      <c r="C11395" s="0" t="n">
        <v>3191082</v>
      </c>
      <c r="D11395" s="0" t="s">
        <v>37989</v>
      </c>
      <c r="E11395" s="0" t="s">
        <v>89</v>
      </c>
      <c r="F11395" s="0" t="s">
        <v>90</v>
      </c>
      <c r="G11395" s="0" t="s">
        <v>36</v>
      </c>
      <c r="H11395" s="0" t="n">
        <v>70</v>
      </c>
      <c r="I11395" s="0" t="s">
        <v>37996</v>
      </c>
      <c r="J11395" s="0" t="s">
        <v>37997</v>
      </c>
      <c r="K11395" s="0" t="s">
        <v>37998</v>
      </c>
      <c r="L11395" s="0" t="str">
        <f aca="false">HYPERLINK("https://www.ncbi.nlm.nih.gov/nuccore/CP000304.1?report=graph&amp;tracks=[key:gene_model_track,Options:GeneOnly]&amp;mk=3191123:3191142|offset_10|444444,3191095:3191114|offset_38|444444,3191063:3191082|offset_70|00cc00,3191018:3191037|offset_115|444444&amp;v=3190922:3191237&amp;c=444444", "offset 70")</f>
        <v>offset 70</v>
      </c>
    </row>
    <row r="11396" customFormat="false" ht="12.8" hidden="false" customHeight="false" outlineLevel="0" collapsed="false">
      <c r="A11396" s="0" t="s">
        <v>12</v>
      </c>
      <c r="B11396" s="0" t="n">
        <v>3191017</v>
      </c>
      <c r="C11396" s="0" t="n">
        <v>3191037</v>
      </c>
      <c r="D11396" s="0" t="s">
        <v>37989</v>
      </c>
      <c r="E11396" s="0" t="s">
        <v>89</v>
      </c>
      <c r="F11396" s="0" t="s">
        <v>90</v>
      </c>
      <c r="G11396" s="0" t="s">
        <v>16</v>
      </c>
      <c r="H11396" s="0" t="n">
        <v>115</v>
      </c>
      <c r="I11396" s="0" t="s">
        <v>37999</v>
      </c>
      <c r="J11396" s="0" t="s">
        <v>38000</v>
      </c>
      <c r="K11396" s="0" t="s">
        <v>38001</v>
      </c>
      <c r="L11396" s="0" t="str">
        <f aca="false">HYPERLINK("https://www.ncbi.nlm.nih.gov/nuccore/CP000304.1?report=graph&amp;tracks=[key:gene_model_track,Options:GeneOnly]&amp;mk=3191123:3191142|offset_10|444444,3191095:3191114|offset_38|444444,3191063:3191082|offset_70|444444,3191018:3191037|offset_115|00cc00&amp;v=3190922:3191237&amp;c=444444", "offset 115")</f>
        <v>offset 115</v>
      </c>
    </row>
    <row r="11397" customFormat="false" ht="12.8" hidden="false" customHeight="false" outlineLevel="0" collapsed="false">
      <c r="A11397" s="0" t="s">
        <v>12</v>
      </c>
      <c r="B11397" s="0" t="n">
        <v>3192993</v>
      </c>
      <c r="C11397" s="0" t="n">
        <v>3193013</v>
      </c>
      <c r="D11397" s="0" t="s">
        <v>38002</v>
      </c>
      <c r="E11397" s="0" t="s">
        <v>38003</v>
      </c>
      <c r="F11397" s="0" t="s">
        <v>90</v>
      </c>
      <c r="G11397" s="0" t="s">
        <v>16</v>
      </c>
      <c r="H11397" s="0" t="n">
        <v>7</v>
      </c>
      <c r="I11397" s="0" t="s">
        <v>38004</v>
      </c>
      <c r="J11397" s="0" t="s">
        <v>38005</v>
      </c>
      <c r="K11397" s="0" t="s">
        <v>38006</v>
      </c>
      <c r="L11397" s="0" t="str">
        <f aca="false">HYPERLINK("https://www.ncbi.nlm.nih.gov/nuccore/CP000304.1?report=graph&amp;tracks=[key:gene_model_track,Options:GeneOnly]&amp;mk=3192994:3193013|offset_7|00cc00,3192968:3192987|offset_33|444444,3192941:3192960|offset_60|444444,3192921:3192940|offset_80|444444&amp;v=3192793:3193140&amp;c=444444", "offset 7")</f>
        <v>offset 7</v>
      </c>
    </row>
    <row r="11398" customFormat="false" ht="12.8" hidden="false" customHeight="false" outlineLevel="0" collapsed="false">
      <c r="A11398" s="0" t="s">
        <v>12</v>
      </c>
      <c r="B11398" s="0" t="n">
        <v>3192967</v>
      </c>
      <c r="C11398" s="0" t="n">
        <v>3192987</v>
      </c>
      <c r="D11398" s="0" t="s">
        <v>38002</v>
      </c>
      <c r="E11398" s="0" t="s">
        <v>38003</v>
      </c>
      <c r="F11398" s="0" t="s">
        <v>90</v>
      </c>
      <c r="G11398" s="0" t="s">
        <v>26</v>
      </c>
      <c r="H11398" s="0" t="n">
        <v>33</v>
      </c>
      <c r="I11398" s="0" t="s">
        <v>38007</v>
      </c>
      <c r="J11398" s="0" t="s">
        <v>38008</v>
      </c>
      <c r="K11398" s="0" t="s">
        <v>38009</v>
      </c>
      <c r="L11398" s="0" t="str">
        <f aca="false">HYPERLINK("https://www.ncbi.nlm.nih.gov/nuccore/CP000304.1?report=graph&amp;tracks=[key:gene_model_track,Options:GeneOnly]&amp;mk=3192994:3193013|offset_7|444444,3192968:3192987|offset_33|00cc00,3192941:3192960|offset_60|444444,3192921:3192940|offset_80|444444&amp;v=3192793:3193140&amp;c=444444", "offset 33")</f>
        <v>offset 33</v>
      </c>
    </row>
    <row r="11399" customFormat="false" ht="12.8" hidden="false" customHeight="false" outlineLevel="0" collapsed="false">
      <c r="A11399" s="0" t="s">
        <v>12</v>
      </c>
      <c r="B11399" s="0" t="n">
        <v>3192940</v>
      </c>
      <c r="C11399" s="0" t="n">
        <v>3192960</v>
      </c>
      <c r="D11399" s="0" t="s">
        <v>38002</v>
      </c>
      <c r="E11399" s="0" t="s">
        <v>38003</v>
      </c>
      <c r="F11399" s="0" t="s">
        <v>90</v>
      </c>
      <c r="G11399" s="0" t="s">
        <v>36</v>
      </c>
      <c r="H11399" s="0" t="n">
        <v>60</v>
      </c>
      <c r="I11399" s="0" t="s">
        <v>38010</v>
      </c>
      <c r="J11399" s="0" t="s">
        <v>38011</v>
      </c>
      <c r="K11399" s="0" t="s">
        <v>38012</v>
      </c>
      <c r="L11399" s="0" t="str">
        <f aca="false">HYPERLINK("https://www.ncbi.nlm.nih.gov/nuccore/CP000304.1?report=graph&amp;tracks=[key:gene_model_track,Options:GeneOnly]&amp;mk=3192994:3193013|offset_7|444444,3192968:3192987|offset_33|444444,3192941:3192960|offset_60|00cc00,3192921:3192940|offset_80|444444&amp;v=3192793:3193140&amp;c=444444", "offset 60")</f>
        <v>offset 60</v>
      </c>
    </row>
    <row r="11400" customFormat="false" ht="12.8" hidden="false" customHeight="false" outlineLevel="0" collapsed="false">
      <c r="A11400" s="0" t="s">
        <v>12</v>
      </c>
      <c r="B11400" s="0" t="n">
        <v>3192920</v>
      </c>
      <c r="C11400" s="0" t="n">
        <v>3192940</v>
      </c>
      <c r="D11400" s="0" t="s">
        <v>38002</v>
      </c>
      <c r="E11400" s="0" t="s">
        <v>38003</v>
      </c>
      <c r="F11400" s="0" t="s">
        <v>90</v>
      </c>
      <c r="G11400" s="0" t="s">
        <v>32</v>
      </c>
      <c r="H11400" s="0" t="n">
        <v>80</v>
      </c>
      <c r="I11400" s="0" t="s">
        <v>38013</v>
      </c>
      <c r="J11400" s="0" t="s">
        <v>38014</v>
      </c>
      <c r="K11400" s="0" t="s">
        <v>38015</v>
      </c>
      <c r="L11400" s="0" t="str">
        <f aca="false">HYPERLINK("https://www.ncbi.nlm.nih.gov/nuccore/CP000304.1?report=graph&amp;tracks=[key:gene_model_track,Options:GeneOnly]&amp;mk=3192994:3193013|offset_7|444444,3192968:3192987|offset_33|444444,3192941:3192960|offset_60|444444,3192921:3192940|offset_80|00cc00&amp;v=3192793:3193140&amp;c=444444", "offset 80")</f>
        <v>offset 80</v>
      </c>
    </row>
    <row r="11401" customFormat="false" ht="12.8" hidden="false" customHeight="false" outlineLevel="0" collapsed="false">
      <c r="A11401" s="0" t="s">
        <v>12</v>
      </c>
      <c r="B11401" s="0" t="n">
        <v>3194979</v>
      </c>
      <c r="C11401" s="0" t="n">
        <v>3194999</v>
      </c>
      <c r="D11401" s="0" t="s">
        <v>38016</v>
      </c>
      <c r="E11401" s="0" t="s">
        <v>89</v>
      </c>
      <c r="F11401" s="0" t="s">
        <v>90</v>
      </c>
      <c r="G11401" s="0" t="s">
        <v>16</v>
      </c>
      <c r="H11401" s="0" t="n">
        <v>38</v>
      </c>
      <c r="I11401" s="0" t="s">
        <v>38017</v>
      </c>
      <c r="J11401" s="0" t="s">
        <v>38018</v>
      </c>
      <c r="K11401" s="0" t="s">
        <v>38019</v>
      </c>
      <c r="L11401" s="0" t="str">
        <f aca="false">HYPERLINK("https://www.ncbi.nlm.nih.gov/nuccore/CP000304.1?report=graph&amp;tracks=[key:gene_model_track,Options:GeneOnly]&amp;mk=3194980:3194999|offset_38|00cc00,3194957:3194976|offset_61|444444,3194919:3194938|offset_99|444444,3194881:3194900|offset_137|444444&amp;v=3194779:3195100&amp;c=444444", "offset 38")</f>
        <v>offset 38</v>
      </c>
    </row>
    <row r="11402" customFormat="false" ht="12.8" hidden="false" customHeight="false" outlineLevel="0" collapsed="false">
      <c r="A11402" s="0" t="s">
        <v>12</v>
      </c>
      <c r="B11402" s="0" t="n">
        <v>3194956</v>
      </c>
      <c r="C11402" s="0" t="n">
        <v>3194976</v>
      </c>
      <c r="D11402" s="0" t="s">
        <v>38016</v>
      </c>
      <c r="E11402" s="0" t="s">
        <v>89</v>
      </c>
      <c r="F11402" s="0" t="s">
        <v>90</v>
      </c>
      <c r="G11402" s="0" t="s">
        <v>36</v>
      </c>
      <c r="H11402" s="0" t="n">
        <v>61</v>
      </c>
      <c r="I11402" s="0" t="s">
        <v>38020</v>
      </c>
      <c r="J11402" s="0" t="s">
        <v>38021</v>
      </c>
      <c r="K11402" s="0" t="s">
        <v>38022</v>
      </c>
      <c r="L11402" s="0" t="str">
        <f aca="false">HYPERLINK("https://www.ncbi.nlm.nih.gov/nuccore/CP000304.1?report=graph&amp;tracks=[key:gene_model_track,Options:GeneOnly]&amp;mk=3194980:3194999|offset_38|444444,3194957:3194976|offset_61|00cc00,3194919:3194938|offset_99|444444,3194881:3194900|offset_137|444444&amp;v=3194779:3195100&amp;c=444444", "offset 61")</f>
        <v>offset 61</v>
      </c>
    </row>
    <row r="11403" customFormat="false" ht="12.8" hidden="false" customHeight="false" outlineLevel="0" collapsed="false">
      <c r="A11403" s="0" t="s">
        <v>12</v>
      </c>
      <c r="B11403" s="0" t="n">
        <v>3194918</v>
      </c>
      <c r="C11403" s="0" t="n">
        <v>3194938</v>
      </c>
      <c r="D11403" s="0" t="s">
        <v>38016</v>
      </c>
      <c r="E11403" s="0" t="s">
        <v>89</v>
      </c>
      <c r="F11403" s="0" t="s">
        <v>90</v>
      </c>
      <c r="G11403" s="0" t="s">
        <v>32</v>
      </c>
      <c r="H11403" s="0" t="n">
        <v>99</v>
      </c>
      <c r="I11403" s="0" t="s">
        <v>38023</v>
      </c>
      <c r="J11403" s="0" t="s">
        <v>38024</v>
      </c>
      <c r="K11403" s="0" t="s">
        <v>38025</v>
      </c>
      <c r="L11403" s="0" t="str">
        <f aca="false">HYPERLINK("https://www.ncbi.nlm.nih.gov/nuccore/CP000304.1?report=graph&amp;tracks=[key:gene_model_track,Options:GeneOnly]&amp;mk=3194980:3194999|offset_38|444444,3194957:3194976|offset_61|444444,3194919:3194938|offset_99|00cc00,3194881:3194900|offset_137|444444&amp;v=3194779:3195100&amp;c=444444", "offset 99")</f>
        <v>offset 99</v>
      </c>
    </row>
    <row r="11404" customFormat="false" ht="12.8" hidden="false" customHeight="false" outlineLevel="0" collapsed="false">
      <c r="A11404" s="0" t="s">
        <v>12</v>
      </c>
      <c r="B11404" s="0" t="n">
        <v>3194880</v>
      </c>
      <c r="C11404" s="0" t="n">
        <v>3194900</v>
      </c>
      <c r="D11404" s="0" t="s">
        <v>38016</v>
      </c>
      <c r="E11404" s="0" t="s">
        <v>89</v>
      </c>
      <c r="F11404" s="0" t="s">
        <v>90</v>
      </c>
      <c r="G11404" s="0" t="s">
        <v>36</v>
      </c>
      <c r="H11404" s="0" t="n">
        <v>137</v>
      </c>
      <c r="I11404" s="0" t="s">
        <v>38026</v>
      </c>
      <c r="J11404" s="0" t="s">
        <v>38027</v>
      </c>
      <c r="K11404" s="0" t="s">
        <v>38028</v>
      </c>
      <c r="L11404" s="0" t="str">
        <f aca="false">HYPERLINK("https://www.ncbi.nlm.nih.gov/nuccore/CP000304.1?report=graph&amp;tracks=[key:gene_model_track,Options:GeneOnly]&amp;mk=3194980:3194999|offset_38|444444,3194957:3194976|offset_61|444444,3194919:3194938|offset_99|444444,3194881:3194900|offset_137|00cc00&amp;v=3194779:3195100&amp;c=444444", "offset 137")</f>
        <v>offset 137</v>
      </c>
    </row>
    <row r="11405" customFormat="false" ht="12.8" hidden="false" customHeight="false" outlineLevel="0" collapsed="false">
      <c r="A11405" s="0" t="s">
        <v>12</v>
      </c>
      <c r="B11405" s="0" t="n">
        <v>3195229</v>
      </c>
      <c r="C11405" s="0" t="n">
        <v>3195249</v>
      </c>
      <c r="D11405" s="0" t="s">
        <v>38029</v>
      </c>
      <c r="E11405" s="0" t="s">
        <v>38030</v>
      </c>
      <c r="F11405" s="0" t="s">
        <v>15</v>
      </c>
      <c r="G11405" s="0" t="s">
        <v>26</v>
      </c>
      <c r="H11405" s="0" t="n">
        <v>24</v>
      </c>
      <c r="I11405" s="0" t="s">
        <v>38031</v>
      </c>
      <c r="J11405" s="0" t="s">
        <v>38032</v>
      </c>
      <c r="K11405" s="0" t="s">
        <v>38033</v>
      </c>
      <c r="L11405" s="0" t="str">
        <f aca="false">HYPERLINK("https://www.ncbi.nlm.nih.gov/nuccore/CP000304.1?report=graph&amp;tracks=[key:gene_model_track,Options:GeneOnly]&amp;mk=3195230:3195249|offset_24|00cc00,3195306:3195325|offset_100|444444,3195328:3195347|offset_122|444444,3195354:3195373|offset_148|444444&amp;v=3195029:3195573&amp;c=444444", "offset 24")</f>
        <v>offset 24</v>
      </c>
    </row>
    <row r="11406" customFormat="false" ht="12.8" hidden="false" customHeight="false" outlineLevel="0" collapsed="false">
      <c r="A11406" s="0" t="s">
        <v>12</v>
      </c>
      <c r="B11406" s="0" t="n">
        <v>3195305</v>
      </c>
      <c r="C11406" s="0" t="n">
        <v>3195325</v>
      </c>
      <c r="D11406" s="0" t="s">
        <v>38029</v>
      </c>
      <c r="E11406" s="0" t="s">
        <v>38030</v>
      </c>
      <c r="F11406" s="0" t="s">
        <v>15</v>
      </c>
      <c r="G11406" s="0" t="s">
        <v>16</v>
      </c>
      <c r="H11406" s="0" t="n">
        <v>100</v>
      </c>
      <c r="I11406" s="0" t="s">
        <v>38034</v>
      </c>
      <c r="J11406" s="0" t="s">
        <v>38035</v>
      </c>
      <c r="K11406" s="0" t="s">
        <v>38036</v>
      </c>
      <c r="L11406" s="0" t="str">
        <f aca="false">HYPERLINK("https://www.ncbi.nlm.nih.gov/nuccore/CP000304.1?report=graph&amp;tracks=[key:gene_model_track,Options:GeneOnly]&amp;mk=3195230:3195249|offset_24|444444,3195306:3195325|offset_100|00cc00,3195328:3195347|offset_122|444444,3195354:3195373|offset_148|444444&amp;v=3195029:3195573&amp;c=444444", "offset 100")</f>
        <v>offset 100</v>
      </c>
    </row>
    <row r="11407" customFormat="false" ht="12.8" hidden="false" customHeight="false" outlineLevel="0" collapsed="false">
      <c r="A11407" s="0" t="s">
        <v>12</v>
      </c>
      <c r="B11407" s="0" t="n">
        <v>3195327</v>
      </c>
      <c r="C11407" s="0" t="n">
        <v>3195347</v>
      </c>
      <c r="D11407" s="0" t="s">
        <v>38029</v>
      </c>
      <c r="E11407" s="0" t="s">
        <v>38030</v>
      </c>
      <c r="F11407" s="0" t="s">
        <v>15</v>
      </c>
      <c r="G11407" s="0" t="s">
        <v>36</v>
      </c>
      <c r="H11407" s="0" t="n">
        <v>122</v>
      </c>
      <c r="I11407" s="0" t="s">
        <v>38037</v>
      </c>
      <c r="J11407" s="0" t="s">
        <v>38038</v>
      </c>
      <c r="K11407" s="0" t="s">
        <v>38039</v>
      </c>
      <c r="L11407" s="0" t="str">
        <f aca="false">HYPERLINK("https://www.ncbi.nlm.nih.gov/nuccore/CP000304.1?report=graph&amp;tracks=[key:gene_model_track,Options:GeneOnly]&amp;mk=3195230:3195249|offset_24|444444,3195306:3195325|offset_100|444444,3195328:3195347|offset_122|00cc00,3195354:3195373|offset_148|444444&amp;v=3195029:3195573&amp;c=444444", "offset 122")</f>
        <v>offset 122</v>
      </c>
    </row>
    <row r="11408" customFormat="false" ht="12.8" hidden="false" customHeight="false" outlineLevel="0" collapsed="false">
      <c r="A11408" s="0" t="s">
        <v>12</v>
      </c>
      <c r="B11408" s="0" t="n">
        <v>3195353</v>
      </c>
      <c r="C11408" s="0" t="n">
        <v>3195373</v>
      </c>
      <c r="D11408" s="0" t="s">
        <v>38029</v>
      </c>
      <c r="E11408" s="0" t="s">
        <v>38030</v>
      </c>
      <c r="F11408" s="0" t="s">
        <v>15</v>
      </c>
      <c r="G11408" s="0" t="s">
        <v>16</v>
      </c>
      <c r="H11408" s="0" t="n">
        <v>148</v>
      </c>
      <c r="I11408" s="0" t="s">
        <v>38040</v>
      </c>
      <c r="J11408" s="0" t="s">
        <v>38041</v>
      </c>
      <c r="K11408" s="0" t="s">
        <v>38042</v>
      </c>
      <c r="L11408" s="0" t="str">
        <f aca="false">HYPERLINK("https://www.ncbi.nlm.nih.gov/nuccore/CP000304.1?report=graph&amp;tracks=[key:gene_model_track,Options:GeneOnly]&amp;mk=3195230:3195249|offset_24|444444,3195306:3195325|offset_100|444444,3195328:3195347|offset_122|444444,3195354:3195373|offset_148|00cc00&amp;v=3195029:3195573&amp;c=444444", "offset 148")</f>
        <v>offset 148</v>
      </c>
    </row>
    <row r="11409" customFormat="false" ht="12.8" hidden="false" customHeight="false" outlineLevel="0" collapsed="false">
      <c r="A11409" s="0" t="s">
        <v>12</v>
      </c>
      <c r="B11409" s="0" t="n">
        <v>3195724</v>
      </c>
      <c r="C11409" s="0" t="n">
        <v>3195744</v>
      </c>
      <c r="D11409" s="0" t="s">
        <v>38043</v>
      </c>
      <c r="E11409" s="0" t="s">
        <v>89</v>
      </c>
      <c r="F11409" s="0" t="s">
        <v>15</v>
      </c>
      <c r="G11409" s="0" t="s">
        <v>36</v>
      </c>
      <c r="H11409" s="0" t="n">
        <v>13</v>
      </c>
      <c r="I11409" s="0" t="s">
        <v>38044</v>
      </c>
      <c r="J11409" s="0" t="s">
        <v>38045</v>
      </c>
      <c r="K11409" s="0" t="s">
        <v>38046</v>
      </c>
      <c r="L11409" s="0" t="str">
        <f aca="false">HYPERLINK("https://www.ncbi.nlm.nih.gov/nuccore/CP000304.1?report=graph&amp;tracks=[key:gene_model_track,Options:GeneOnly]&amp;mk=3195725:3195744|offset_13|00cc00,3195751:3195770|offset_39|444444,3195771:3195790|offset_59|444444,3195809:3195828|offset_97|444444&amp;v=3195524:3196028&amp;c=444444", "offset 13")</f>
        <v>offset 13</v>
      </c>
    </row>
    <row r="11410" customFormat="false" ht="12.8" hidden="false" customHeight="false" outlineLevel="0" collapsed="false">
      <c r="A11410" s="0" t="s">
        <v>12</v>
      </c>
      <c r="B11410" s="0" t="n">
        <v>3195750</v>
      </c>
      <c r="C11410" s="0" t="n">
        <v>3195770</v>
      </c>
      <c r="D11410" s="0" t="s">
        <v>38043</v>
      </c>
      <c r="E11410" s="0" t="s">
        <v>89</v>
      </c>
      <c r="F11410" s="0" t="s">
        <v>15</v>
      </c>
      <c r="G11410" s="0" t="s">
        <v>16</v>
      </c>
      <c r="H11410" s="0" t="n">
        <v>39</v>
      </c>
      <c r="I11410" s="0" t="s">
        <v>38047</v>
      </c>
      <c r="J11410" s="0" t="s">
        <v>38048</v>
      </c>
      <c r="K11410" s="0" t="s">
        <v>38049</v>
      </c>
      <c r="L11410" s="0" t="str">
        <f aca="false">HYPERLINK("https://www.ncbi.nlm.nih.gov/nuccore/CP000304.1?report=graph&amp;tracks=[key:gene_model_track,Options:GeneOnly]&amp;mk=3195725:3195744|offset_13|444444,3195751:3195770|offset_39|00cc00,3195771:3195790|offset_59|444444,3195809:3195828|offset_97|444444&amp;v=3195524:3196028&amp;c=444444", "offset 39")</f>
        <v>offset 39</v>
      </c>
    </row>
    <row r="11411" customFormat="false" ht="12.8" hidden="false" customHeight="false" outlineLevel="0" collapsed="false">
      <c r="A11411" s="0" t="s">
        <v>12</v>
      </c>
      <c r="B11411" s="0" t="n">
        <v>3195770</v>
      </c>
      <c r="C11411" s="0" t="n">
        <v>3195790</v>
      </c>
      <c r="D11411" s="0" t="s">
        <v>38043</v>
      </c>
      <c r="E11411" s="0" t="s">
        <v>89</v>
      </c>
      <c r="F11411" s="0" t="s">
        <v>15</v>
      </c>
      <c r="G11411" s="0" t="s">
        <v>16</v>
      </c>
      <c r="H11411" s="0" t="n">
        <v>59</v>
      </c>
      <c r="I11411" s="0" t="s">
        <v>38050</v>
      </c>
      <c r="J11411" s="0" t="s">
        <v>38051</v>
      </c>
      <c r="K11411" s="0" t="s">
        <v>38052</v>
      </c>
      <c r="L11411" s="0" t="str">
        <f aca="false">HYPERLINK("https://www.ncbi.nlm.nih.gov/nuccore/CP000304.1?report=graph&amp;tracks=[key:gene_model_track,Options:GeneOnly]&amp;mk=3195725:3195744|offset_13|444444,3195751:3195770|offset_39|444444,3195771:3195790|offset_59|00cc00,3195809:3195828|offset_97|444444&amp;v=3195524:3196028&amp;c=444444", "offset 59")</f>
        <v>offset 59</v>
      </c>
    </row>
    <row r="11412" customFormat="false" ht="12.8" hidden="false" customHeight="false" outlineLevel="0" collapsed="false">
      <c r="A11412" s="0" t="s">
        <v>12</v>
      </c>
      <c r="B11412" s="0" t="n">
        <v>3195808</v>
      </c>
      <c r="C11412" s="0" t="n">
        <v>3195828</v>
      </c>
      <c r="D11412" s="0" t="s">
        <v>38043</v>
      </c>
      <c r="E11412" s="0" t="s">
        <v>89</v>
      </c>
      <c r="F11412" s="0" t="s">
        <v>15</v>
      </c>
      <c r="G11412" s="0" t="s">
        <v>26</v>
      </c>
      <c r="H11412" s="0" t="n">
        <v>97</v>
      </c>
      <c r="I11412" s="0" t="s">
        <v>38053</v>
      </c>
      <c r="J11412" s="0" t="s">
        <v>38054</v>
      </c>
      <c r="K11412" s="0" t="s">
        <v>38055</v>
      </c>
      <c r="L11412" s="0" t="str">
        <f aca="false">HYPERLINK("https://www.ncbi.nlm.nih.gov/nuccore/CP000304.1?report=graph&amp;tracks=[key:gene_model_track,Options:GeneOnly]&amp;mk=3195725:3195744|offset_13|444444,3195751:3195770|offset_39|444444,3195771:3195790|offset_59|444444,3195809:3195828|offset_97|00cc00&amp;v=3195524:3196028&amp;c=444444", "offset 97")</f>
        <v>offset 97</v>
      </c>
    </row>
    <row r="11413" customFormat="false" ht="12.8" hidden="false" customHeight="false" outlineLevel="0" collapsed="false">
      <c r="A11413" s="0" t="s">
        <v>12</v>
      </c>
      <c r="B11413" s="0" t="n">
        <v>3199145</v>
      </c>
      <c r="C11413" s="0" t="n">
        <v>3199165</v>
      </c>
      <c r="D11413" s="0" t="s">
        <v>38056</v>
      </c>
      <c r="E11413" s="0" t="s">
        <v>89</v>
      </c>
      <c r="F11413" s="0" t="s">
        <v>90</v>
      </c>
      <c r="G11413" s="0" t="s">
        <v>26</v>
      </c>
      <c r="H11413" s="0" t="n">
        <v>47</v>
      </c>
      <c r="I11413" s="0" t="s">
        <v>38057</v>
      </c>
      <c r="J11413" s="0" t="s">
        <v>38058</v>
      </c>
      <c r="K11413" s="0" t="s">
        <v>38059</v>
      </c>
      <c r="L11413" s="0" t="str">
        <f aca="false">HYPERLINK("https://www.ncbi.nlm.nih.gov/nuccore/CP000304.1?report=graph&amp;tracks=[key:gene_model_track,Options:GeneOnly]&amp;mk=3199146:3199165|offset_47|00cc00&amp;v=3198945:3199365&amp;c=444444", "offset 47")</f>
        <v>offset 47</v>
      </c>
    </row>
    <row r="11414" customFormat="false" ht="12.8" hidden="false" customHeight="false" outlineLevel="0" collapsed="false">
      <c r="A11414" s="0" t="s">
        <v>12</v>
      </c>
      <c r="B11414" s="0" t="n">
        <v>3199395</v>
      </c>
      <c r="C11414" s="0" t="n">
        <v>3199415</v>
      </c>
      <c r="D11414" s="0" t="s">
        <v>38060</v>
      </c>
      <c r="E11414" s="0" t="s">
        <v>89</v>
      </c>
      <c r="F11414" s="0" t="s">
        <v>90</v>
      </c>
      <c r="G11414" s="0" t="s">
        <v>32</v>
      </c>
      <c r="H11414" s="0" t="n">
        <v>0</v>
      </c>
      <c r="I11414" s="0" t="s">
        <v>38061</v>
      </c>
      <c r="J11414" s="0" t="s">
        <v>38062</v>
      </c>
      <c r="K11414" s="0" t="s">
        <v>38063</v>
      </c>
      <c r="L11414" s="0" t="str">
        <f aca="false">HYPERLINK("https://www.ncbi.nlm.nih.gov/nuccore/CP000304.1?report=graph&amp;tracks=[key:gene_model_track,Options:GeneOnly]&amp;mk=3199396:3199415|offset_0|00cc00,3199353:3199372|offset_43|444444,3199333:3199352|offset_63|444444,3199297:3199316|offset_99|444444&amp;v=3199195:3199516&amp;c=444444", "offset 0")</f>
        <v>offset 0</v>
      </c>
    </row>
    <row r="11415" customFormat="false" ht="12.8" hidden="false" customHeight="false" outlineLevel="0" collapsed="false">
      <c r="A11415" s="0" t="s">
        <v>12</v>
      </c>
      <c r="B11415" s="0" t="n">
        <v>3199352</v>
      </c>
      <c r="C11415" s="0" t="n">
        <v>3199372</v>
      </c>
      <c r="D11415" s="0" t="s">
        <v>38060</v>
      </c>
      <c r="E11415" s="0" t="s">
        <v>89</v>
      </c>
      <c r="F11415" s="0" t="s">
        <v>90</v>
      </c>
      <c r="G11415" s="0" t="s">
        <v>36</v>
      </c>
      <c r="H11415" s="0" t="n">
        <v>43</v>
      </c>
      <c r="I11415" s="0" t="s">
        <v>38064</v>
      </c>
      <c r="J11415" s="0" t="s">
        <v>38065</v>
      </c>
      <c r="K11415" s="0" t="s">
        <v>38066</v>
      </c>
      <c r="L11415" s="0" t="str">
        <f aca="false">HYPERLINK("https://www.ncbi.nlm.nih.gov/nuccore/CP000304.1?report=graph&amp;tracks=[key:gene_model_track,Options:GeneOnly]&amp;mk=3199396:3199415|offset_0|444444,3199353:3199372|offset_43|00cc00,3199333:3199352|offset_63|444444,3199297:3199316|offset_99|444444&amp;v=3199195:3199516&amp;c=444444", "offset 43")</f>
        <v>offset 43</v>
      </c>
    </row>
    <row r="11416" customFormat="false" ht="12.8" hidden="false" customHeight="false" outlineLevel="0" collapsed="false">
      <c r="A11416" s="0" t="s">
        <v>12</v>
      </c>
      <c r="B11416" s="0" t="n">
        <v>3199332</v>
      </c>
      <c r="C11416" s="0" t="n">
        <v>3199352</v>
      </c>
      <c r="D11416" s="0" t="s">
        <v>38060</v>
      </c>
      <c r="E11416" s="0" t="s">
        <v>89</v>
      </c>
      <c r="F11416" s="0" t="s">
        <v>90</v>
      </c>
      <c r="G11416" s="0" t="s">
        <v>36</v>
      </c>
      <c r="H11416" s="0" t="n">
        <v>63</v>
      </c>
      <c r="I11416" s="0" t="s">
        <v>38067</v>
      </c>
      <c r="J11416" s="0" t="s">
        <v>38068</v>
      </c>
      <c r="K11416" s="0" t="s">
        <v>38069</v>
      </c>
      <c r="L11416" s="0" t="str">
        <f aca="false">HYPERLINK("https://www.ncbi.nlm.nih.gov/nuccore/CP000304.1?report=graph&amp;tracks=[key:gene_model_track,Options:GeneOnly]&amp;mk=3199396:3199415|offset_0|444444,3199353:3199372|offset_43|444444,3199333:3199352|offset_63|00cc00,3199297:3199316|offset_99|444444&amp;v=3199195:3199516&amp;c=444444", "offset 63")</f>
        <v>offset 63</v>
      </c>
    </row>
    <row r="11417" customFormat="false" ht="12.8" hidden="false" customHeight="false" outlineLevel="0" collapsed="false">
      <c r="A11417" s="0" t="s">
        <v>12</v>
      </c>
      <c r="B11417" s="0" t="n">
        <v>3199296</v>
      </c>
      <c r="C11417" s="0" t="n">
        <v>3199316</v>
      </c>
      <c r="D11417" s="0" t="s">
        <v>38060</v>
      </c>
      <c r="E11417" s="0" t="s">
        <v>89</v>
      </c>
      <c r="F11417" s="0" t="s">
        <v>90</v>
      </c>
      <c r="G11417" s="0" t="s">
        <v>26</v>
      </c>
      <c r="H11417" s="0" t="n">
        <v>99</v>
      </c>
      <c r="I11417" s="0" t="s">
        <v>38070</v>
      </c>
      <c r="J11417" s="0" t="s">
        <v>38071</v>
      </c>
      <c r="K11417" s="0" t="s">
        <v>38072</v>
      </c>
      <c r="L11417" s="0" t="str">
        <f aca="false">HYPERLINK("https://www.ncbi.nlm.nih.gov/nuccore/CP000304.1?report=graph&amp;tracks=[key:gene_model_track,Options:GeneOnly]&amp;mk=3199396:3199415|offset_0|444444,3199353:3199372|offset_43|444444,3199333:3199352|offset_63|444444,3199297:3199316|offset_99|00cc00&amp;v=3199195:3199516&amp;c=444444", "offset 99")</f>
        <v>offset 99</v>
      </c>
    </row>
    <row r="11418" customFormat="false" ht="12.8" hidden="false" customHeight="false" outlineLevel="0" collapsed="false">
      <c r="A11418" s="0" t="s">
        <v>12</v>
      </c>
      <c r="B11418" s="0" t="n">
        <v>3199591</v>
      </c>
      <c r="C11418" s="0" t="n">
        <v>3199611</v>
      </c>
      <c r="D11418" s="0" t="s">
        <v>38073</v>
      </c>
      <c r="E11418" s="0" t="s">
        <v>89</v>
      </c>
      <c r="F11418" s="0" t="s">
        <v>90</v>
      </c>
      <c r="G11418" s="0" t="s">
        <v>26</v>
      </c>
      <c r="H11418" s="0" t="n">
        <v>20</v>
      </c>
      <c r="I11418" s="0" t="s">
        <v>38074</v>
      </c>
      <c r="J11418" s="0" t="s">
        <v>38075</v>
      </c>
      <c r="K11418" s="0" t="s">
        <v>38076</v>
      </c>
      <c r="L11418" s="0" t="str">
        <f aca="false">HYPERLINK("https://www.ncbi.nlm.nih.gov/nuccore/CP000304.1?report=graph&amp;tracks=[key:gene_model_track,Options:GeneOnly]&amp;mk=3199592:3199611|offset_20|00cc00,3199566:3199585|offset_46|444444,3199515:3199534|offset_97|444444,3199486:3199505|offset_126|444444&amp;v=3199391:3199705&amp;c=444444", "offset 20")</f>
        <v>offset 20</v>
      </c>
    </row>
    <row r="11419" customFormat="false" ht="12.8" hidden="false" customHeight="false" outlineLevel="0" collapsed="false">
      <c r="A11419" s="0" t="s">
        <v>12</v>
      </c>
      <c r="B11419" s="0" t="n">
        <v>3199565</v>
      </c>
      <c r="C11419" s="0" t="n">
        <v>3199585</v>
      </c>
      <c r="D11419" s="0" t="s">
        <v>38073</v>
      </c>
      <c r="E11419" s="0" t="s">
        <v>89</v>
      </c>
      <c r="F11419" s="0" t="s">
        <v>90</v>
      </c>
      <c r="G11419" s="0" t="s">
        <v>36</v>
      </c>
      <c r="H11419" s="0" t="n">
        <v>46</v>
      </c>
      <c r="I11419" s="0" t="s">
        <v>38077</v>
      </c>
      <c r="J11419" s="0" t="s">
        <v>38078</v>
      </c>
      <c r="K11419" s="0" t="s">
        <v>38079</v>
      </c>
      <c r="L11419" s="0" t="str">
        <f aca="false">HYPERLINK("https://www.ncbi.nlm.nih.gov/nuccore/CP000304.1?report=graph&amp;tracks=[key:gene_model_track,Options:GeneOnly]&amp;mk=3199592:3199611|offset_20|444444,3199566:3199585|offset_46|00cc00,3199515:3199534|offset_97|444444,3199486:3199505|offset_126|444444&amp;v=3199391:3199705&amp;c=444444", "offset 46")</f>
        <v>offset 46</v>
      </c>
    </row>
    <row r="11420" customFormat="false" ht="12.8" hidden="false" customHeight="false" outlineLevel="0" collapsed="false">
      <c r="A11420" s="0" t="s">
        <v>12</v>
      </c>
      <c r="B11420" s="0" t="n">
        <v>3199514</v>
      </c>
      <c r="C11420" s="0" t="n">
        <v>3199534</v>
      </c>
      <c r="D11420" s="0" t="s">
        <v>38073</v>
      </c>
      <c r="E11420" s="0" t="s">
        <v>89</v>
      </c>
      <c r="F11420" s="0" t="s">
        <v>90</v>
      </c>
      <c r="G11420" s="0" t="s">
        <v>26</v>
      </c>
      <c r="H11420" s="0" t="n">
        <v>97</v>
      </c>
      <c r="I11420" s="0" t="s">
        <v>38080</v>
      </c>
      <c r="J11420" s="0" t="s">
        <v>38081</v>
      </c>
      <c r="K11420" s="0" t="s">
        <v>38082</v>
      </c>
      <c r="L11420" s="0" t="str">
        <f aca="false">HYPERLINK("https://www.ncbi.nlm.nih.gov/nuccore/CP000304.1?report=graph&amp;tracks=[key:gene_model_track,Options:GeneOnly]&amp;mk=3199592:3199611|offset_20|444444,3199566:3199585|offset_46|444444,3199515:3199534|offset_97|00cc00,3199486:3199505|offset_126|444444&amp;v=3199391:3199705&amp;c=444444", "offset 97")</f>
        <v>offset 97</v>
      </c>
    </row>
    <row r="11421" customFormat="false" ht="12.8" hidden="false" customHeight="false" outlineLevel="0" collapsed="false">
      <c r="A11421" s="0" t="s">
        <v>12</v>
      </c>
      <c r="B11421" s="0" t="n">
        <v>3199485</v>
      </c>
      <c r="C11421" s="0" t="n">
        <v>3199505</v>
      </c>
      <c r="D11421" s="0" t="s">
        <v>38073</v>
      </c>
      <c r="E11421" s="0" t="s">
        <v>89</v>
      </c>
      <c r="F11421" s="0" t="s">
        <v>90</v>
      </c>
      <c r="G11421" s="0" t="s">
        <v>16</v>
      </c>
      <c r="H11421" s="0" t="n">
        <v>126</v>
      </c>
      <c r="I11421" s="0" t="s">
        <v>38083</v>
      </c>
      <c r="J11421" s="0" t="s">
        <v>38084</v>
      </c>
      <c r="K11421" s="0" t="s">
        <v>38085</v>
      </c>
      <c r="L11421" s="0" t="str">
        <f aca="false">HYPERLINK("https://www.ncbi.nlm.nih.gov/nuccore/CP000304.1?report=graph&amp;tracks=[key:gene_model_track,Options:GeneOnly]&amp;mk=3199592:3199611|offset_20|444444,3199566:3199585|offset_46|444444,3199515:3199534|offset_97|444444,3199486:3199505|offset_126|00cc00&amp;v=3199391:3199705&amp;c=444444", "offset 126")</f>
        <v>offset 126</v>
      </c>
    </row>
    <row r="11422" customFormat="false" ht="12.8" hidden="false" customHeight="false" outlineLevel="0" collapsed="false">
      <c r="A11422" s="0" t="s">
        <v>12</v>
      </c>
      <c r="B11422" s="0" t="n">
        <v>3200218</v>
      </c>
      <c r="C11422" s="0" t="n">
        <v>3200238</v>
      </c>
      <c r="D11422" s="0" t="s">
        <v>38086</v>
      </c>
      <c r="E11422" s="0" t="s">
        <v>89</v>
      </c>
      <c r="F11422" s="0" t="s">
        <v>90</v>
      </c>
      <c r="G11422" s="0" t="s">
        <v>26</v>
      </c>
      <c r="H11422" s="0" t="n">
        <v>21</v>
      </c>
      <c r="I11422" s="0" t="s">
        <v>38087</v>
      </c>
      <c r="J11422" s="0" t="s">
        <v>38088</v>
      </c>
      <c r="K11422" s="0" t="s">
        <v>38089</v>
      </c>
      <c r="L11422" s="0" t="str">
        <f aca="false">HYPERLINK("https://www.ncbi.nlm.nih.gov/nuccore/CP000304.1?report=graph&amp;tracks=[key:gene_model_track,Options:GeneOnly]&amp;mk=3200219:3200238|offset_21|00cc00,3200195:3200214|offset_45|444444,3200134:3200153|offset_106|444444,3200096:3200115|offset_144|444444&amp;v=3200018:3200315&amp;c=444444", "offset 21")</f>
        <v>offset 21</v>
      </c>
    </row>
    <row r="11423" customFormat="false" ht="12.8" hidden="false" customHeight="false" outlineLevel="0" collapsed="false">
      <c r="A11423" s="0" t="s">
        <v>12</v>
      </c>
      <c r="B11423" s="0" t="n">
        <v>3200194</v>
      </c>
      <c r="C11423" s="0" t="n">
        <v>3200214</v>
      </c>
      <c r="D11423" s="0" t="s">
        <v>38086</v>
      </c>
      <c r="E11423" s="0" t="s">
        <v>89</v>
      </c>
      <c r="F11423" s="0" t="s">
        <v>90</v>
      </c>
      <c r="G11423" s="0" t="s">
        <v>32</v>
      </c>
      <c r="H11423" s="0" t="n">
        <v>45</v>
      </c>
      <c r="I11423" s="0" t="s">
        <v>38090</v>
      </c>
      <c r="J11423" s="0" t="s">
        <v>38091</v>
      </c>
      <c r="K11423" s="0" t="s">
        <v>38092</v>
      </c>
      <c r="L11423" s="0" t="str">
        <f aca="false">HYPERLINK("https://www.ncbi.nlm.nih.gov/nuccore/CP000304.1?report=graph&amp;tracks=[key:gene_model_track,Options:GeneOnly]&amp;mk=3200219:3200238|offset_21|444444,3200195:3200214|offset_45|00cc00,3200134:3200153|offset_106|444444,3200096:3200115|offset_144|444444&amp;v=3200018:3200315&amp;c=444444", "offset 45")</f>
        <v>offset 45</v>
      </c>
    </row>
    <row r="11424" customFormat="false" ht="12.8" hidden="false" customHeight="false" outlineLevel="0" collapsed="false">
      <c r="A11424" s="0" t="s">
        <v>12</v>
      </c>
      <c r="B11424" s="0" t="n">
        <v>3200133</v>
      </c>
      <c r="C11424" s="0" t="n">
        <v>3200153</v>
      </c>
      <c r="D11424" s="0" t="s">
        <v>38086</v>
      </c>
      <c r="E11424" s="0" t="s">
        <v>89</v>
      </c>
      <c r="F11424" s="0" t="s">
        <v>90</v>
      </c>
      <c r="G11424" s="0" t="s">
        <v>16</v>
      </c>
      <c r="H11424" s="0" t="n">
        <v>106</v>
      </c>
      <c r="I11424" s="0" t="s">
        <v>38093</v>
      </c>
      <c r="J11424" s="0" t="s">
        <v>38094</v>
      </c>
      <c r="K11424" s="0" t="s">
        <v>38095</v>
      </c>
      <c r="L11424" s="0" t="str">
        <f aca="false">HYPERLINK("https://www.ncbi.nlm.nih.gov/nuccore/CP000304.1?report=graph&amp;tracks=[key:gene_model_track,Options:GeneOnly]&amp;mk=3200219:3200238|offset_21|444444,3200195:3200214|offset_45|444444,3200134:3200153|offset_106|00cc00,3200096:3200115|offset_144|444444&amp;v=3200018:3200315&amp;c=444444", "offset 106")</f>
        <v>offset 106</v>
      </c>
    </row>
    <row r="11425" customFormat="false" ht="12.8" hidden="false" customHeight="false" outlineLevel="0" collapsed="false">
      <c r="A11425" s="0" t="s">
        <v>12</v>
      </c>
      <c r="B11425" s="0" t="n">
        <v>3200095</v>
      </c>
      <c r="C11425" s="0" t="n">
        <v>3200115</v>
      </c>
      <c r="D11425" s="0" t="s">
        <v>38086</v>
      </c>
      <c r="E11425" s="0" t="s">
        <v>89</v>
      </c>
      <c r="F11425" s="0" t="s">
        <v>90</v>
      </c>
      <c r="G11425" s="0" t="s">
        <v>36</v>
      </c>
      <c r="H11425" s="0" t="n">
        <v>144</v>
      </c>
      <c r="I11425" s="0" t="s">
        <v>38096</v>
      </c>
      <c r="J11425" s="0" t="s">
        <v>38097</v>
      </c>
      <c r="K11425" s="0" t="s">
        <v>38098</v>
      </c>
      <c r="L11425" s="0" t="str">
        <f aca="false">HYPERLINK("https://www.ncbi.nlm.nih.gov/nuccore/CP000304.1?report=graph&amp;tracks=[key:gene_model_track,Options:GeneOnly]&amp;mk=3200219:3200238|offset_21|444444,3200195:3200214|offset_45|444444,3200134:3200153|offset_106|444444,3200096:3200115|offset_144|00cc00&amp;v=3200018:3200315&amp;c=444444", "offset 144")</f>
        <v>offset 144</v>
      </c>
    </row>
    <row r="11426" customFormat="false" ht="12.8" hidden="false" customHeight="false" outlineLevel="0" collapsed="false">
      <c r="A11426" s="0" t="s">
        <v>12</v>
      </c>
      <c r="B11426" s="0" t="n">
        <v>3200513</v>
      </c>
      <c r="C11426" s="0" t="n">
        <v>3200533</v>
      </c>
      <c r="D11426" s="0" t="s">
        <v>38099</v>
      </c>
      <c r="E11426" s="0" t="s">
        <v>89</v>
      </c>
      <c r="F11426" s="0" t="s">
        <v>90</v>
      </c>
      <c r="G11426" s="0" t="s">
        <v>32</v>
      </c>
      <c r="H11426" s="0" t="n">
        <v>9</v>
      </c>
      <c r="I11426" s="0" t="s">
        <v>38100</v>
      </c>
      <c r="J11426" s="0" t="s">
        <v>38101</v>
      </c>
      <c r="K11426" s="0" t="s">
        <v>38102</v>
      </c>
      <c r="L11426" s="0" t="str">
        <f aca="false">HYPERLINK("https://www.ncbi.nlm.nih.gov/nuccore/CP000304.1?report=graph&amp;tracks=[key:gene_model_track,Options:GeneOnly]&amp;mk=3200514:3200533|offset_9|00cc00,3200483:3200502|offset_40|444444,3200460:3200479|offset_63|444444,3200433:3200452|offset_90|444444&amp;v=3200313:3200652&amp;c=444444", "offset 9")</f>
        <v>offset 9</v>
      </c>
    </row>
    <row r="11427" customFormat="false" ht="12.8" hidden="false" customHeight="false" outlineLevel="0" collapsed="false">
      <c r="A11427" s="0" t="s">
        <v>12</v>
      </c>
      <c r="B11427" s="0" t="n">
        <v>3200482</v>
      </c>
      <c r="C11427" s="0" t="n">
        <v>3200502</v>
      </c>
      <c r="D11427" s="0" t="s">
        <v>38099</v>
      </c>
      <c r="E11427" s="0" t="s">
        <v>89</v>
      </c>
      <c r="F11427" s="0" t="s">
        <v>90</v>
      </c>
      <c r="G11427" s="0" t="s">
        <v>16</v>
      </c>
      <c r="H11427" s="0" t="n">
        <v>40</v>
      </c>
      <c r="I11427" s="0" t="s">
        <v>38103</v>
      </c>
      <c r="J11427" s="0" t="s">
        <v>38104</v>
      </c>
      <c r="K11427" s="0" t="s">
        <v>38105</v>
      </c>
      <c r="L11427" s="0" t="str">
        <f aca="false">HYPERLINK("https://www.ncbi.nlm.nih.gov/nuccore/CP000304.1?report=graph&amp;tracks=[key:gene_model_track,Options:GeneOnly]&amp;mk=3200514:3200533|offset_9|444444,3200483:3200502|offset_40|00cc00,3200460:3200479|offset_63|444444,3200433:3200452|offset_90|444444&amp;v=3200313:3200652&amp;c=444444", "offset 40")</f>
        <v>offset 40</v>
      </c>
    </row>
    <row r="11428" customFormat="false" ht="12.8" hidden="false" customHeight="false" outlineLevel="0" collapsed="false">
      <c r="A11428" s="0" t="s">
        <v>12</v>
      </c>
      <c r="B11428" s="0" t="n">
        <v>3200459</v>
      </c>
      <c r="C11428" s="0" t="n">
        <v>3200479</v>
      </c>
      <c r="D11428" s="0" t="s">
        <v>38099</v>
      </c>
      <c r="E11428" s="0" t="s">
        <v>89</v>
      </c>
      <c r="F11428" s="0" t="s">
        <v>90</v>
      </c>
      <c r="G11428" s="0" t="s">
        <v>32</v>
      </c>
      <c r="H11428" s="0" t="n">
        <v>63</v>
      </c>
      <c r="I11428" s="0" t="s">
        <v>38106</v>
      </c>
      <c r="J11428" s="0" t="s">
        <v>38107</v>
      </c>
      <c r="K11428" s="0" t="s">
        <v>38108</v>
      </c>
      <c r="L11428" s="0" t="str">
        <f aca="false">HYPERLINK("https://www.ncbi.nlm.nih.gov/nuccore/CP000304.1?report=graph&amp;tracks=[key:gene_model_track,Options:GeneOnly]&amp;mk=3200514:3200533|offset_9|444444,3200483:3200502|offset_40|444444,3200460:3200479|offset_63|00cc00,3200433:3200452|offset_90|444444&amp;v=3200313:3200652&amp;c=444444", "offset 63")</f>
        <v>offset 63</v>
      </c>
    </row>
    <row r="11429" customFormat="false" ht="12.8" hidden="false" customHeight="false" outlineLevel="0" collapsed="false">
      <c r="A11429" s="0" t="s">
        <v>12</v>
      </c>
      <c r="B11429" s="0" t="n">
        <v>3200432</v>
      </c>
      <c r="C11429" s="0" t="n">
        <v>3200452</v>
      </c>
      <c r="D11429" s="0" t="s">
        <v>38099</v>
      </c>
      <c r="E11429" s="0" t="s">
        <v>89</v>
      </c>
      <c r="F11429" s="0" t="s">
        <v>90</v>
      </c>
      <c r="G11429" s="0" t="s">
        <v>36</v>
      </c>
      <c r="H11429" s="0" t="n">
        <v>90</v>
      </c>
      <c r="I11429" s="0" t="s">
        <v>38109</v>
      </c>
      <c r="J11429" s="0" t="s">
        <v>38110</v>
      </c>
      <c r="K11429" s="0" t="s">
        <v>38111</v>
      </c>
      <c r="L11429" s="0" t="str">
        <f aca="false">HYPERLINK("https://www.ncbi.nlm.nih.gov/nuccore/CP000304.1?report=graph&amp;tracks=[key:gene_model_track,Options:GeneOnly]&amp;mk=3200514:3200533|offset_9|444444,3200483:3200502|offset_40|444444,3200460:3200479|offset_63|444444,3200433:3200452|offset_90|00cc00&amp;v=3200313:3200652&amp;c=444444", "offset 90")</f>
        <v>offset 90</v>
      </c>
    </row>
    <row r="11430" customFormat="false" ht="12.8" hidden="false" customHeight="false" outlineLevel="0" collapsed="false">
      <c r="A11430" s="0" t="s">
        <v>12</v>
      </c>
      <c r="B11430" s="0" t="n">
        <v>3200712</v>
      </c>
      <c r="C11430" s="0" t="n">
        <v>3200732</v>
      </c>
      <c r="D11430" s="0" t="s">
        <v>38112</v>
      </c>
      <c r="E11430" s="0" t="s">
        <v>38113</v>
      </c>
      <c r="F11430" s="0" t="s">
        <v>15</v>
      </c>
      <c r="G11430" s="0" t="s">
        <v>16</v>
      </c>
      <c r="H11430" s="0" t="n">
        <v>21</v>
      </c>
      <c r="I11430" s="0" t="s">
        <v>38114</v>
      </c>
      <c r="J11430" s="0" t="s">
        <v>38115</v>
      </c>
      <c r="K11430" s="0" t="s">
        <v>38116</v>
      </c>
      <c r="L11430" s="0" t="str">
        <f aca="false">HYPERLINK("https://www.ncbi.nlm.nih.gov/nuccore/CP000304.1?report=graph&amp;tracks=[key:gene_model_track,Options:GeneOnly]&amp;mk=3200713:3200732|offset_21|00cc00,3200754:3200773|offset_62|444444,3200792:3200811|offset_100|444444,3200819:3200838|offset_127|444444&amp;v=3200512:3201038&amp;c=444444", "offset 21")</f>
        <v>offset 21</v>
      </c>
    </row>
    <row r="11431" customFormat="false" ht="12.8" hidden="false" customHeight="false" outlineLevel="0" collapsed="false">
      <c r="A11431" s="0" t="s">
        <v>12</v>
      </c>
      <c r="B11431" s="0" t="n">
        <v>3200753</v>
      </c>
      <c r="C11431" s="0" t="n">
        <v>3200773</v>
      </c>
      <c r="D11431" s="0" t="s">
        <v>38112</v>
      </c>
      <c r="E11431" s="0" t="s">
        <v>38113</v>
      </c>
      <c r="F11431" s="0" t="s">
        <v>15</v>
      </c>
      <c r="G11431" s="0" t="s">
        <v>26</v>
      </c>
      <c r="H11431" s="0" t="n">
        <v>62</v>
      </c>
      <c r="I11431" s="0" t="s">
        <v>38117</v>
      </c>
      <c r="J11431" s="0" t="s">
        <v>38118</v>
      </c>
      <c r="K11431" s="0" t="s">
        <v>38119</v>
      </c>
      <c r="L11431" s="0" t="str">
        <f aca="false">HYPERLINK("https://www.ncbi.nlm.nih.gov/nuccore/CP000304.1?report=graph&amp;tracks=[key:gene_model_track,Options:GeneOnly]&amp;mk=3200713:3200732|offset_21|444444,3200754:3200773|offset_62|00cc00,3200792:3200811|offset_100|444444,3200819:3200838|offset_127|444444&amp;v=3200512:3201038&amp;c=444444", "offset 62")</f>
        <v>offset 62</v>
      </c>
    </row>
    <row r="11432" customFormat="false" ht="12.8" hidden="false" customHeight="false" outlineLevel="0" collapsed="false">
      <c r="A11432" s="0" t="s">
        <v>12</v>
      </c>
      <c r="B11432" s="0" t="n">
        <v>3200791</v>
      </c>
      <c r="C11432" s="0" t="n">
        <v>3200811</v>
      </c>
      <c r="D11432" s="0" t="s">
        <v>38112</v>
      </c>
      <c r="E11432" s="0" t="s">
        <v>38113</v>
      </c>
      <c r="F11432" s="0" t="s">
        <v>15</v>
      </c>
      <c r="G11432" s="0" t="s">
        <v>16</v>
      </c>
      <c r="H11432" s="0" t="n">
        <v>100</v>
      </c>
      <c r="I11432" s="0" t="s">
        <v>38120</v>
      </c>
      <c r="J11432" s="0" t="s">
        <v>38121</v>
      </c>
      <c r="K11432" s="0" t="s">
        <v>38122</v>
      </c>
      <c r="L11432" s="0" t="str">
        <f aca="false">HYPERLINK("https://www.ncbi.nlm.nih.gov/nuccore/CP000304.1?report=graph&amp;tracks=[key:gene_model_track,Options:GeneOnly]&amp;mk=3200713:3200732|offset_21|444444,3200754:3200773|offset_62|444444,3200792:3200811|offset_100|00cc00,3200819:3200838|offset_127|444444&amp;v=3200512:3201038&amp;c=444444", "offset 100")</f>
        <v>offset 100</v>
      </c>
    </row>
    <row r="11433" customFormat="false" ht="12.8" hidden="false" customHeight="false" outlineLevel="0" collapsed="false">
      <c r="A11433" s="0" t="s">
        <v>12</v>
      </c>
      <c r="B11433" s="0" t="n">
        <v>3200818</v>
      </c>
      <c r="C11433" s="0" t="n">
        <v>3200838</v>
      </c>
      <c r="D11433" s="0" t="s">
        <v>38112</v>
      </c>
      <c r="E11433" s="0" t="s">
        <v>38113</v>
      </c>
      <c r="F11433" s="0" t="s">
        <v>15</v>
      </c>
      <c r="G11433" s="0" t="s">
        <v>36</v>
      </c>
      <c r="H11433" s="0" t="n">
        <v>127</v>
      </c>
      <c r="I11433" s="0" t="s">
        <v>38123</v>
      </c>
      <c r="J11433" s="0" t="s">
        <v>38124</v>
      </c>
      <c r="K11433" s="0" t="s">
        <v>38125</v>
      </c>
      <c r="L11433" s="0" t="str">
        <f aca="false">HYPERLINK("https://www.ncbi.nlm.nih.gov/nuccore/CP000304.1?report=graph&amp;tracks=[key:gene_model_track,Options:GeneOnly]&amp;mk=3200713:3200732|offset_21|444444,3200754:3200773|offset_62|444444,3200792:3200811|offset_100|444444,3200819:3200838|offset_127|00cc00&amp;v=3200512:3201038&amp;c=444444", "offset 127")</f>
        <v>offset 127</v>
      </c>
    </row>
    <row r="11434" customFormat="false" ht="12.8" hidden="false" customHeight="false" outlineLevel="0" collapsed="false">
      <c r="A11434" s="0" t="s">
        <v>12</v>
      </c>
      <c r="B11434" s="0" t="n">
        <v>3204482</v>
      </c>
      <c r="C11434" s="0" t="n">
        <v>3204502</v>
      </c>
      <c r="D11434" s="0" t="s">
        <v>38126</v>
      </c>
      <c r="E11434" s="0" t="s">
        <v>89</v>
      </c>
      <c r="F11434" s="0" t="s">
        <v>90</v>
      </c>
      <c r="G11434" s="0" t="s">
        <v>26</v>
      </c>
      <c r="H11434" s="0" t="n">
        <v>22</v>
      </c>
      <c r="I11434" s="0" t="s">
        <v>38127</v>
      </c>
      <c r="J11434" s="0" t="s">
        <v>38128</v>
      </c>
      <c r="K11434" s="0" t="s">
        <v>38129</v>
      </c>
      <c r="L11434" s="0" t="str">
        <f aca="false">HYPERLINK("https://www.ncbi.nlm.nih.gov/nuccore/CP000304.1?report=graph&amp;tracks=[key:gene_model_track,Options:GeneOnly]&amp;mk=3204483:3204502|offset_22|00cc00,3204435:3204454|offset_70|444444,3204407:3204426|offset_98|444444,3204330:3204349|offset_175|444444&amp;v=3204282:3204549&amp;c=444444", "offset 22")</f>
        <v>offset 22</v>
      </c>
    </row>
    <row r="11435" customFormat="false" ht="12.8" hidden="false" customHeight="false" outlineLevel="0" collapsed="false">
      <c r="A11435" s="0" t="s">
        <v>12</v>
      </c>
      <c r="B11435" s="0" t="n">
        <v>3204434</v>
      </c>
      <c r="C11435" s="0" t="n">
        <v>3204454</v>
      </c>
      <c r="D11435" s="0" t="s">
        <v>38126</v>
      </c>
      <c r="E11435" s="0" t="s">
        <v>89</v>
      </c>
      <c r="F11435" s="0" t="s">
        <v>90</v>
      </c>
      <c r="G11435" s="0" t="s">
        <v>16</v>
      </c>
      <c r="H11435" s="0" t="n">
        <v>70</v>
      </c>
      <c r="I11435" s="0" t="s">
        <v>38130</v>
      </c>
      <c r="J11435" s="0" t="s">
        <v>38131</v>
      </c>
      <c r="K11435" s="0" t="s">
        <v>38132</v>
      </c>
      <c r="L11435" s="0" t="str">
        <f aca="false">HYPERLINK("https://www.ncbi.nlm.nih.gov/nuccore/CP000304.1?report=graph&amp;tracks=[key:gene_model_track,Options:GeneOnly]&amp;mk=3204483:3204502|offset_22|444444,3204435:3204454|offset_70|00cc00,3204407:3204426|offset_98|444444,3204330:3204349|offset_175|444444&amp;v=3204282:3204549&amp;c=444444", "offset 70")</f>
        <v>offset 70</v>
      </c>
    </row>
    <row r="11436" customFormat="false" ht="12.8" hidden="false" customHeight="false" outlineLevel="0" collapsed="false">
      <c r="A11436" s="0" t="s">
        <v>12</v>
      </c>
      <c r="B11436" s="0" t="n">
        <v>3204406</v>
      </c>
      <c r="C11436" s="0" t="n">
        <v>3204426</v>
      </c>
      <c r="D11436" s="0" t="s">
        <v>38126</v>
      </c>
      <c r="E11436" s="0" t="s">
        <v>89</v>
      </c>
      <c r="F11436" s="0" t="s">
        <v>90</v>
      </c>
      <c r="G11436" s="0" t="s">
        <v>32</v>
      </c>
      <c r="H11436" s="0" t="n">
        <v>98</v>
      </c>
      <c r="I11436" s="0" t="s">
        <v>38133</v>
      </c>
      <c r="J11436" s="0" t="s">
        <v>38134</v>
      </c>
      <c r="K11436" s="0" t="s">
        <v>38135</v>
      </c>
      <c r="L11436" s="0" t="str">
        <f aca="false">HYPERLINK("https://www.ncbi.nlm.nih.gov/nuccore/CP000304.1?report=graph&amp;tracks=[key:gene_model_track,Options:GeneOnly]&amp;mk=3204483:3204502|offset_22|444444,3204435:3204454|offset_70|444444,3204407:3204426|offset_98|00cc00,3204330:3204349|offset_175|444444&amp;v=3204282:3204549&amp;c=444444", "offset 98")</f>
        <v>offset 98</v>
      </c>
    </row>
    <row r="11437" customFormat="false" ht="12.8" hidden="false" customHeight="false" outlineLevel="0" collapsed="false">
      <c r="A11437" s="0" t="s">
        <v>12</v>
      </c>
      <c r="B11437" s="0" t="n">
        <v>3204329</v>
      </c>
      <c r="C11437" s="0" t="n">
        <v>3204349</v>
      </c>
      <c r="D11437" s="0" t="s">
        <v>38126</v>
      </c>
      <c r="E11437" s="0" t="s">
        <v>89</v>
      </c>
      <c r="F11437" s="0" t="s">
        <v>90</v>
      </c>
      <c r="G11437" s="0" t="s">
        <v>26</v>
      </c>
      <c r="H11437" s="0" t="n">
        <v>175</v>
      </c>
      <c r="I11437" s="0" t="s">
        <v>38136</v>
      </c>
      <c r="J11437" s="0" t="s">
        <v>38137</v>
      </c>
      <c r="K11437" s="0" t="s">
        <v>38138</v>
      </c>
      <c r="L11437" s="0" t="str">
        <f aca="false">HYPERLINK("https://www.ncbi.nlm.nih.gov/nuccore/CP000304.1?report=graph&amp;tracks=[key:gene_model_track,Options:GeneOnly]&amp;mk=3204483:3204502|offset_22|444444,3204435:3204454|offset_70|444444,3204407:3204426|offset_98|444444,3204330:3204349|offset_175|00cc00&amp;v=3204282:3204549&amp;c=444444", "offset 175")</f>
        <v>offset 175</v>
      </c>
    </row>
    <row r="11438" customFormat="false" ht="12.8" hidden="false" customHeight="false" outlineLevel="0" collapsed="false">
      <c r="A11438" s="0" t="s">
        <v>12</v>
      </c>
      <c r="B11438" s="0" t="n">
        <v>3205919</v>
      </c>
      <c r="C11438" s="0" t="n">
        <v>3205939</v>
      </c>
      <c r="D11438" s="0" t="s">
        <v>38139</v>
      </c>
      <c r="E11438" s="0" t="s">
        <v>38140</v>
      </c>
      <c r="F11438" s="0" t="s">
        <v>90</v>
      </c>
      <c r="G11438" s="0" t="s">
        <v>26</v>
      </c>
      <c r="H11438" s="0" t="n">
        <v>9</v>
      </c>
      <c r="I11438" s="0" t="s">
        <v>38141</v>
      </c>
      <c r="J11438" s="0" t="s">
        <v>38142</v>
      </c>
      <c r="K11438" s="0" t="s">
        <v>38143</v>
      </c>
      <c r="L11438" s="0" t="str">
        <f aca="false">HYPERLINK("https://www.ncbi.nlm.nih.gov/nuccore/CP000304.1?report=graph&amp;tracks=[key:gene_model_track,Options:GeneOnly]&amp;mk=3205920:3205939|offset_9|00cc00,3205887:3205906|offset_42|444444,3205857:3205876|offset_72|444444,3205826:3205845|offset_103|444444&amp;v=3205719:3206045&amp;c=444444", "offset 9")</f>
        <v>offset 9</v>
      </c>
    </row>
    <row r="11439" customFormat="false" ht="12.8" hidden="false" customHeight="false" outlineLevel="0" collapsed="false">
      <c r="A11439" s="0" t="s">
        <v>12</v>
      </c>
      <c r="B11439" s="0" t="n">
        <v>3205886</v>
      </c>
      <c r="C11439" s="0" t="n">
        <v>3205906</v>
      </c>
      <c r="D11439" s="0" t="s">
        <v>38139</v>
      </c>
      <c r="E11439" s="0" t="s">
        <v>38140</v>
      </c>
      <c r="F11439" s="0" t="s">
        <v>90</v>
      </c>
      <c r="G11439" s="0" t="s">
        <v>36</v>
      </c>
      <c r="H11439" s="0" t="n">
        <v>42</v>
      </c>
      <c r="I11439" s="0" t="s">
        <v>38144</v>
      </c>
      <c r="J11439" s="0" t="s">
        <v>38145</v>
      </c>
      <c r="K11439" s="0" t="s">
        <v>38146</v>
      </c>
      <c r="L11439" s="0" t="str">
        <f aca="false">HYPERLINK("https://www.ncbi.nlm.nih.gov/nuccore/CP000304.1?report=graph&amp;tracks=[key:gene_model_track,Options:GeneOnly]&amp;mk=3205920:3205939|offset_9|444444,3205887:3205906|offset_42|00cc00,3205857:3205876|offset_72|444444,3205826:3205845|offset_103|444444&amp;v=3205719:3206045&amp;c=444444", "offset 42")</f>
        <v>offset 42</v>
      </c>
    </row>
    <row r="11440" customFormat="false" ht="12.8" hidden="false" customHeight="false" outlineLevel="0" collapsed="false">
      <c r="A11440" s="0" t="s">
        <v>12</v>
      </c>
      <c r="B11440" s="0" t="n">
        <v>3205856</v>
      </c>
      <c r="C11440" s="0" t="n">
        <v>3205876</v>
      </c>
      <c r="D11440" s="0" t="s">
        <v>38139</v>
      </c>
      <c r="E11440" s="0" t="s">
        <v>38140</v>
      </c>
      <c r="F11440" s="0" t="s">
        <v>90</v>
      </c>
      <c r="G11440" s="0" t="s">
        <v>26</v>
      </c>
      <c r="H11440" s="0" t="n">
        <v>72</v>
      </c>
      <c r="I11440" s="0" t="s">
        <v>38147</v>
      </c>
      <c r="J11440" s="0" t="s">
        <v>38148</v>
      </c>
      <c r="K11440" s="0" t="s">
        <v>38149</v>
      </c>
      <c r="L11440" s="0" t="str">
        <f aca="false">HYPERLINK("https://www.ncbi.nlm.nih.gov/nuccore/CP000304.1?report=graph&amp;tracks=[key:gene_model_track,Options:GeneOnly]&amp;mk=3205920:3205939|offset_9|444444,3205887:3205906|offset_42|444444,3205857:3205876|offset_72|00cc00,3205826:3205845|offset_103|444444&amp;v=3205719:3206045&amp;c=444444", "offset 72")</f>
        <v>offset 72</v>
      </c>
    </row>
    <row r="11441" customFormat="false" ht="12.8" hidden="false" customHeight="false" outlineLevel="0" collapsed="false">
      <c r="A11441" s="0" t="s">
        <v>12</v>
      </c>
      <c r="B11441" s="0" t="n">
        <v>3205825</v>
      </c>
      <c r="C11441" s="0" t="n">
        <v>3205845</v>
      </c>
      <c r="D11441" s="0" t="s">
        <v>38139</v>
      </c>
      <c r="E11441" s="0" t="s">
        <v>38140</v>
      </c>
      <c r="F11441" s="0" t="s">
        <v>90</v>
      </c>
      <c r="G11441" s="0" t="s">
        <v>26</v>
      </c>
      <c r="H11441" s="0" t="n">
        <v>103</v>
      </c>
      <c r="I11441" s="0" t="s">
        <v>38150</v>
      </c>
      <c r="J11441" s="0" t="s">
        <v>38151</v>
      </c>
      <c r="K11441" s="0" t="s">
        <v>38152</v>
      </c>
      <c r="L11441" s="0" t="str">
        <f aca="false">HYPERLINK("https://www.ncbi.nlm.nih.gov/nuccore/CP000304.1?report=graph&amp;tracks=[key:gene_model_track,Options:GeneOnly]&amp;mk=3205920:3205939|offset_9|444444,3205887:3205906|offset_42|444444,3205857:3205876|offset_72|444444,3205826:3205845|offset_103|00cc00&amp;v=3205719:3206045&amp;c=444444", "offset 103")</f>
        <v>offset 103</v>
      </c>
    </row>
    <row r="11442" customFormat="false" ht="12.8" hidden="false" customHeight="false" outlineLevel="0" collapsed="false">
      <c r="A11442" s="0" t="s">
        <v>12</v>
      </c>
      <c r="B11442" s="0" t="n">
        <v>3207427</v>
      </c>
      <c r="C11442" s="0" t="n">
        <v>3207447</v>
      </c>
      <c r="D11442" s="0" t="s">
        <v>38153</v>
      </c>
      <c r="E11442" s="0" t="s">
        <v>89</v>
      </c>
      <c r="F11442" s="0" t="s">
        <v>90</v>
      </c>
      <c r="G11442" s="0" t="s">
        <v>36</v>
      </c>
      <c r="H11442" s="0" t="n">
        <v>13</v>
      </c>
      <c r="I11442" s="0" t="s">
        <v>38154</v>
      </c>
      <c r="J11442" s="0" t="s">
        <v>38155</v>
      </c>
      <c r="K11442" s="0" t="s">
        <v>38156</v>
      </c>
      <c r="L11442" s="0" t="str">
        <f aca="false">HYPERLINK("https://www.ncbi.nlm.nih.gov/nuccore/CP000304.1?report=graph&amp;tracks=[key:gene_model_track,Options:GeneOnly]&amp;mk=3207428:3207447|offset_13|00cc00,3207389:3207408|offset_52|444444,3207368:3207387|offset_73|444444,3207296:3207315|offset_145|444444&amp;v=3207227:3207515&amp;c=444444", "offset 13")</f>
        <v>offset 13</v>
      </c>
    </row>
    <row r="11443" customFormat="false" ht="12.8" hidden="false" customHeight="false" outlineLevel="0" collapsed="false">
      <c r="A11443" s="0" t="s">
        <v>12</v>
      </c>
      <c r="B11443" s="0" t="n">
        <v>3207388</v>
      </c>
      <c r="C11443" s="0" t="n">
        <v>3207408</v>
      </c>
      <c r="D11443" s="0" t="s">
        <v>38153</v>
      </c>
      <c r="E11443" s="0" t="s">
        <v>89</v>
      </c>
      <c r="F11443" s="0" t="s">
        <v>90</v>
      </c>
      <c r="G11443" s="0" t="s">
        <v>16</v>
      </c>
      <c r="H11443" s="0" t="n">
        <v>52</v>
      </c>
      <c r="I11443" s="0" t="s">
        <v>38157</v>
      </c>
      <c r="J11443" s="0" t="s">
        <v>38158</v>
      </c>
      <c r="K11443" s="0" t="s">
        <v>38159</v>
      </c>
      <c r="L11443" s="0" t="str">
        <f aca="false">HYPERLINK("https://www.ncbi.nlm.nih.gov/nuccore/CP000304.1?report=graph&amp;tracks=[key:gene_model_track,Options:GeneOnly]&amp;mk=3207428:3207447|offset_13|444444,3207389:3207408|offset_52|00cc00,3207368:3207387|offset_73|444444,3207296:3207315|offset_145|444444&amp;v=3207227:3207515&amp;c=444444", "offset 52")</f>
        <v>offset 52</v>
      </c>
    </row>
    <row r="11444" customFormat="false" ht="12.8" hidden="false" customHeight="false" outlineLevel="0" collapsed="false">
      <c r="A11444" s="0" t="s">
        <v>12</v>
      </c>
      <c r="B11444" s="0" t="n">
        <v>3207367</v>
      </c>
      <c r="C11444" s="0" t="n">
        <v>3207387</v>
      </c>
      <c r="D11444" s="0" t="s">
        <v>38153</v>
      </c>
      <c r="E11444" s="0" t="s">
        <v>89</v>
      </c>
      <c r="F11444" s="0" t="s">
        <v>90</v>
      </c>
      <c r="G11444" s="0" t="s">
        <v>36</v>
      </c>
      <c r="H11444" s="0" t="n">
        <v>73</v>
      </c>
      <c r="I11444" s="0" t="s">
        <v>38160</v>
      </c>
      <c r="J11444" s="0" t="s">
        <v>38161</v>
      </c>
      <c r="K11444" s="0" t="s">
        <v>38162</v>
      </c>
      <c r="L11444" s="0" t="str">
        <f aca="false">HYPERLINK("https://www.ncbi.nlm.nih.gov/nuccore/CP000304.1?report=graph&amp;tracks=[key:gene_model_track,Options:GeneOnly]&amp;mk=3207428:3207447|offset_13|444444,3207389:3207408|offset_52|444444,3207368:3207387|offset_73|00cc00,3207296:3207315|offset_145|444444&amp;v=3207227:3207515&amp;c=444444", "offset 73")</f>
        <v>offset 73</v>
      </c>
    </row>
    <row r="11445" customFormat="false" ht="12.8" hidden="false" customHeight="false" outlineLevel="0" collapsed="false">
      <c r="A11445" s="0" t="s">
        <v>12</v>
      </c>
      <c r="B11445" s="0" t="n">
        <v>3207295</v>
      </c>
      <c r="C11445" s="0" t="n">
        <v>3207315</v>
      </c>
      <c r="D11445" s="0" t="s">
        <v>38153</v>
      </c>
      <c r="E11445" s="0" t="s">
        <v>89</v>
      </c>
      <c r="F11445" s="0" t="s">
        <v>90</v>
      </c>
      <c r="G11445" s="0" t="s">
        <v>32</v>
      </c>
      <c r="H11445" s="0" t="n">
        <v>145</v>
      </c>
      <c r="I11445" s="0" t="s">
        <v>38163</v>
      </c>
      <c r="J11445" s="0" t="s">
        <v>38164</v>
      </c>
      <c r="K11445" s="0" t="s">
        <v>38165</v>
      </c>
      <c r="L11445" s="0" t="str">
        <f aca="false">HYPERLINK("https://www.ncbi.nlm.nih.gov/nuccore/CP000304.1?report=graph&amp;tracks=[key:gene_model_track,Options:GeneOnly]&amp;mk=3207428:3207447|offset_13|444444,3207389:3207408|offset_52|444444,3207368:3207387|offset_73|444444,3207296:3207315|offset_145|00cc00&amp;v=3207227:3207515&amp;c=444444", "offset 145")</f>
        <v>offset 145</v>
      </c>
    </row>
    <row r="11446" customFormat="false" ht="12.8" hidden="false" customHeight="false" outlineLevel="0" collapsed="false">
      <c r="A11446" s="0" t="s">
        <v>12</v>
      </c>
      <c r="B11446" s="0" t="n">
        <v>3208270</v>
      </c>
      <c r="C11446" s="0" t="n">
        <v>3208290</v>
      </c>
      <c r="D11446" s="0" t="s">
        <v>38166</v>
      </c>
      <c r="E11446" s="0" t="s">
        <v>89</v>
      </c>
      <c r="F11446" s="0" t="s">
        <v>90</v>
      </c>
      <c r="G11446" s="0" t="s">
        <v>32</v>
      </c>
      <c r="H11446" s="0" t="n">
        <v>16</v>
      </c>
      <c r="I11446" s="0" t="s">
        <v>38167</v>
      </c>
      <c r="J11446" s="0" t="s">
        <v>38168</v>
      </c>
      <c r="K11446" s="0" t="s">
        <v>38169</v>
      </c>
      <c r="L11446" s="0" t="str">
        <f aca="false">HYPERLINK("https://www.ncbi.nlm.nih.gov/nuccore/CP000304.1?report=graph&amp;tracks=[key:gene_model_track,Options:GeneOnly]&amp;mk=3208271:3208290|offset_16|00cc00,3208242:3208261|offset_45|444444,3208220:3208239|offset_67|444444,3208186:3208205|offset_101|444444&amp;v=3208070:3208405&amp;c=444444", "offset 16")</f>
        <v>offset 16</v>
      </c>
    </row>
    <row r="11447" customFormat="false" ht="12.8" hidden="false" customHeight="false" outlineLevel="0" collapsed="false">
      <c r="A11447" s="0" t="s">
        <v>12</v>
      </c>
      <c r="B11447" s="0" t="n">
        <v>3208241</v>
      </c>
      <c r="C11447" s="0" t="n">
        <v>3208261</v>
      </c>
      <c r="D11447" s="0" t="s">
        <v>38166</v>
      </c>
      <c r="E11447" s="0" t="s">
        <v>89</v>
      </c>
      <c r="F11447" s="0" t="s">
        <v>90</v>
      </c>
      <c r="G11447" s="0" t="s">
        <v>16</v>
      </c>
      <c r="H11447" s="0" t="n">
        <v>45</v>
      </c>
      <c r="I11447" s="0" t="s">
        <v>38170</v>
      </c>
      <c r="J11447" s="0" t="s">
        <v>38171</v>
      </c>
      <c r="K11447" s="0" t="s">
        <v>38172</v>
      </c>
      <c r="L11447" s="0" t="str">
        <f aca="false">HYPERLINK("https://www.ncbi.nlm.nih.gov/nuccore/CP000304.1?report=graph&amp;tracks=[key:gene_model_track,Options:GeneOnly]&amp;mk=3208271:3208290|offset_16|444444,3208242:3208261|offset_45|00cc00,3208220:3208239|offset_67|444444,3208186:3208205|offset_101|444444&amp;v=3208070:3208405&amp;c=444444", "offset 45")</f>
        <v>offset 45</v>
      </c>
    </row>
    <row r="11448" customFormat="false" ht="12.8" hidden="false" customHeight="false" outlineLevel="0" collapsed="false">
      <c r="A11448" s="0" t="s">
        <v>12</v>
      </c>
      <c r="B11448" s="0" t="n">
        <v>3208219</v>
      </c>
      <c r="C11448" s="0" t="n">
        <v>3208239</v>
      </c>
      <c r="D11448" s="0" t="s">
        <v>38166</v>
      </c>
      <c r="E11448" s="0" t="s">
        <v>89</v>
      </c>
      <c r="F11448" s="0" t="s">
        <v>90</v>
      </c>
      <c r="G11448" s="0" t="s">
        <v>16</v>
      </c>
      <c r="H11448" s="0" t="n">
        <v>67</v>
      </c>
      <c r="I11448" s="0" t="s">
        <v>38173</v>
      </c>
      <c r="J11448" s="0" t="s">
        <v>38174</v>
      </c>
      <c r="K11448" s="0" t="s">
        <v>38175</v>
      </c>
      <c r="L11448" s="0" t="str">
        <f aca="false">HYPERLINK("https://www.ncbi.nlm.nih.gov/nuccore/CP000304.1?report=graph&amp;tracks=[key:gene_model_track,Options:GeneOnly]&amp;mk=3208271:3208290|offset_16|444444,3208242:3208261|offset_45|444444,3208220:3208239|offset_67|00cc00,3208186:3208205|offset_101|444444&amp;v=3208070:3208405&amp;c=444444", "offset 67")</f>
        <v>offset 67</v>
      </c>
    </row>
    <row r="11449" customFormat="false" ht="12.8" hidden="false" customHeight="false" outlineLevel="0" collapsed="false">
      <c r="A11449" s="0" t="s">
        <v>12</v>
      </c>
      <c r="B11449" s="0" t="n">
        <v>3208185</v>
      </c>
      <c r="C11449" s="0" t="n">
        <v>3208205</v>
      </c>
      <c r="D11449" s="0" t="s">
        <v>38166</v>
      </c>
      <c r="E11449" s="0" t="s">
        <v>89</v>
      </c>
      <c r="F11449" s="0" t="s">
        <v>90</v>
      </c>
      <c r="G11449" s="0" t="s">
        <v>32</v>
      </c>
      <c r="H11449" s="0" t="n">
        <v>101</v>
      </c>
      <c r="I11449" s="0" t="s">
        <v>38176</v>
      </c>
      <c r="J11449" s="0" t="s">
        <v>38177</v>
      </c>
      <c r="K11449" s="0" t="s">
        <v>38178</v>
      </c>
      <c r="L11449" s="0" t="str">
        <f aca="false">HYPERLINK("https://www.ncbi.nlm.nih.gov/nuccore/CP000304.1?report=graph&amp;tracks=[key:gene_model_track,Options:GeneOnly]&amp;mk=3208271:3208290|offset_16|444444,3208242:3208261|offset_45|444444,3208220:3208239|offset_67|444444,3208186:3208205|offset_101|00cc00&amp;v=3208070:3208405&amp;c=444444", "offset 101")</f>
        <v>offset 101</v>
      </c>
    </row>
    <row r="11450" customFormat="false" ht="12.8" hidden="false" customHeight="false" outlineLevel="0" collapsed="false">
      <c r="A11450" s="0" t="s">
        <v>12</v>
      </c>
      <c r="B11450" s="0" t="n">
        <v>3209163</v>
      </c>
      <c r="C11450" s="0" t="n">
        <v>3209183</v>
      </c>
      <c r="D11450" s="0" t="s">
        <v>38179</v>
      </c>
      <c r="E11450" s="0" t="s">
        <v>89</v>
      </c>
      <c r="F11450" s="0" t="s">
        <v>90</v>
      </c>
      <c r="G11450" s="0" t="s">
        <v>16</v>
      </c>
      <c r="H11450" s="0" t="n">
        <v>7</v>
      </c>
      <c r="I11450" s="0" t="s">
        <v>38180</v>
      </c>
      <c r="J11450" s="0" t="s">
        <v>38181</v>
      </c>
      <c r="K11450" s="0" t="s">
        <v>38182</v>
      </c>
      <c r="L11450" s="0" t="str">
        <f aca="false">HYPERLINK("https://www.ncbi.nlm.nih.gov/nuccore/CP000304.1?report=graph&amp;tracks=[key:gene_model_track,Options:GeneOnly]&amp;mk=3209164:3209183|offset_7|00cc00,3209130:3209149|offset_41|444444,3209103:3209122|offset_68|444444,3209049:3209068|offset_122|444444&amp;v=3208963:3209268&amp;c=444444", "offset 7")</f>
        <v>offset 7</v>
      </c>
    </row>
    <row r="11451" customFormat="false" ht="12.8" hidden="false" customHeight="false" outlineLevel="0" collapsed="false">
      <c r="A11451" s="0" t="s">
        <v>12</v>
      </c>
      <c r="B11451" s="0" t="n">
        <v>3209129</v>
      </c>
      <c r="C11451" s="0" t="n">
        <v>3209149</v>
      </c>
      <c r="D11451" s="0" t="s">
        <v>38179</v>
      </c>
      <c r="E11451" s="0" t="s">
        <v>89</v>
      </c>
      <c r="F11451" s="0" t="s">
        <v>90</v>
      </c>
      <c r="G11451" s="0" t="s">
        <v>26</v>
      </c>
      <c r="H11451" s="0" t="n">
        <v>41</v>
      </c>
      <c r="I11451" s="0" t="s">
        <v>38183</v>
      </c>
      <c r="J11451" s="0" t="s">
        <v>38184</v>
      </c>
      <c r="K11451" s="0" t="s">
        <v>38185</v>
      </c>
      <c r="L11451" s="0" t="str">
        <f aca="false">HYPERLINK("https://www.ncbi.nlm.nih.gov/nuccore/CP000304.1?report=graph&amp;tracks=[key:gene_model_track,Options:GeneOnly]&amp;mk=3209164:3209183|offset_7|444444,3209130:3209149|offset_41|00cc00,3209103:3209122|offset_68|444444,3209049:3209068|offset_122|444444&amp;v=3208963:3209268&amp;c=444444", "offset 41")</f>
        <v>offset 41</v>
      </c>
    </row>
    <row r="11452" customFormat="false" ht="12.8" hidden="false" customHeight="false" outlineLevel="0" collapsed="false">
      <c r="A11452" s="0" t="s">
        <v>12</v>
      </c>
      <c r="B11452" s="0" t="n">
        <v>3209102</v>
      </c>
      <c r="C11452" s="0" t="n">
        <v>3209122</v>
      </c>
      <c r="D11452" s="0" t="s">
        <v>38179</v>
      </c>
      <c r="E11452" s="0" t="s">
        <v>89</v>
      </c>
      <c r="F11452" s="0" t="s">
        <v>90</v>
      </c>
      <c r="G11452" s="0" t="s">
        <v>26</v>
      </c>
      <c r="H11452" s="0" t="n">
        <v>68</v>
      </c>
      <c r="I11452" s="0" t="s">
        <v>38186</v>
      </c>
      <c r="J11452" s="0" t="s">
        <v>38187</v>
      </c>
      <c r="K11452" s="0" t="s">
        <v>38188</v>
      </c>
      <c r="L11452" s="0" t="str">
        <f aca="false">HYPERLINK("https://www.ncbi.nlm.nih.gov/nuccore/CP000304.1?report=graph&amp;tracks=[key:gene_model_track,Options:GeneOnly]&amp;mk=3209164:3209183|offset_7|444444,3209130:3209149|offset_41|444444,3209103:3209122|offset_68|00cc00,3209049:3209068|offset_122|444444&amp;v=3208963:3209268&amp;c=444444", "offset 68")</f>
        <v>offset 68</v>
      </c>
    </row>
    <row r="11453" customFormat="false" ht="12.8" hidden="false" customHeight="false" outlineLevel="0" collapsed="false">
      <c r="A11453" s="0" t="s">
        <v>12</v>
      </c>
      <c r="B11453" s="0" t="n">
        <v>3209048</v>
      </c>
      <c r="C11453" s="0" t="n">
        <v>3209068</v>
      </c>
      <c r="D11453" s="0" t="s">
        <v>38179</v>
      </c>
      <c r="E11453" s="0" t="s">
        <v>89</v>
      </c>
      <c r="F11453" s="0" t="s">
        <v>90</v>
      </c>
      <c r="G11453" s="0" t="s">
        <v>32</v>
      </c>
      <c r="H11453" s="0" t="n">
        <v>122</v>
      </c>
      <c r="I11453" s="0" t="s">
        <v>38189</v>
      </c>
      <c r="J11453" s="0" t="s">
        <v>38190</v>
      </c>
      <c r="K11453" s="0" t="s">
        <v>38191</v>
      </c>
      <c r="L11453" s="0" t="str">
        <f aca="false">HYPERLINK("https://www.ncbi.nlm.nih.gov/nuccore/CP000304.1?report=graph&amp;tracks=[key:gene_model_track,Options:GeneOnly]&amp;mk=3209164:3209183|offset_7|444444,3209130:3209149|offset_41|444444,3209103:3209122|offset_68|444444,3209049:3209068|offset_122|00cc00&amp;v=3208963:3209268&amp;c=444444", "offset 122")</f>
        <v>offset 122</v>
      </c>
    </row>
    <row r="11454" customFormat="false" ht="12.8" hidden="false" customHeight="false" outlineLevel="0" collapsed="false">
      <c r="A11454" s="0" t="s">
        <v>12</v>
      </c>
      <c r="B11454" s="0" t="n">
        <v>3209476</v>
      </c>
      <c r="C11454" s="0" t="n">
        <v>3209496</v>
      </c>
      <c r="D11454" s="0" t="s">
        <v>38192</v>
      </c>
      <c r="E11454" s="0" t="s">
        <v>89</v>
      </c>
      <c r="F11454" s="0" t="s">
        <v>15</v>
      </c>
      <c r="G11454" s="0" t="s">
        <v>26</v>
      </c>
      <c r="H11454" s="0" t="n">
        <v>26</v>
      </c>
      <c r="I11454" s="0" t="s">
        <v>38193</v>
      </c>
      <c r="J11454" s="0" t="s">
        <v>38194</v>
      </c>
      <c r="K11454" s="0" t="s">
        <v>38195</v>
      </c>
      <c r="L11454" s="0" t="str">
        <f aca="false">HYPERLINK("https://www.ncbi.nlm.nih.gov/nuccore/CP000304.1?report=graph&amp;tracks=[key:gene_model_track,Options:GeneOnly]&amp;mk=3209477:3209496|offset_26|00cc00,3209500:3209519|offset_49|444444,3209524:3209543|offset_73|444444,3209544:3209563|offset_93|444444&amp;v=3209276:3209763&amp;c=444444", "offset 26")</f>
        <v>offset 26</v>
      </c>
    </row>
    <row r="11455" customFormat="false" ht="12.8" hidden="false" customHeight="false" outlineLevel="0" collapsed="false">
      <c r="A11455" s="0" t="s">
        <v>12</v>
      </c>
      <c r="B11455" s="0" t="n">
        <v>3209499</v>
      </c>
      <c r="C11455" s="0" t="n">
        <v>3209519</v>
      </c>
      <c r="D11455" s="0" t="s">
        <v>38192</v>
      </c>
      <c r="E11455" s="0" t="s">
        <v>89</v>
      </c>
      <c r="F11455" s="0" t="s">
        <v>15</v>
      </c>
      <c r="G11455" s="0" t="s">
        <v>16</v>
      </c>
      <c r="H11455" s="0" t="n">
        <v>49</v>
      </c>
      <c r="I11455" s="0" t="s">
        <v>38196</v>
      </c>
      <c r="J11455" s="0" t="s">
        <v>38197</v>
      </c>
      <c r="K11455" s="0" t="s">
        <v>38198</v>
      </c>
      <c r="L11455" s="0" t="str">
        <f aca="false">HYPERLINK("https://www.ncbi.nlm.nih.gov/nuccore/CP000304.1?report=graph&amp;tracks=[key:gene_model_track,Options:GeneOnly]&amp;mk=3209477:3209496|offset_26|444444,3209500:3209519|offset_49|00cc00,3209524:3209543|offset_73|444444,3209544:3209563|offset_93|444444&amp;v=3209276:3209763&amp;c=444444", "offset 49")</f>
        <v>offset 49</v>
      </c>
    </row>
    <row r="11456" customFormat="false" ht="12.8" hidden="false" customHeight="false" outlineLevel="0" collapsed="false">
      <c r="A11456" s="0" t="s">
        <v>12</v>
      </c>
      <c r="B11456" s="0" t="n">
        <v>3209523</v>
      </c>
      <c r="C11456" s="0" t="n">
        <v>3209543</v>
      </c>
      <c r="D11456" s="0" t="s">
        <v>38192</v>
      </c>
      <c r="E11456" s="0" t="s">
        <v>89</v>
      </c>
      <c r="F11456" s="0" t="s">
        <v>15</v>
      </c>
      <c r="G11456" s="0" t="s">
        <v>16</v>
      </c>
      <c r="H11456" s="0" t="n">
        <v>73</v>
      </c>
      <c r="I11456" s="0" t="s">
        <v>38199</v>
      </c>
      <c r="J11456" s="0" t="s">
        <v>38200</v>
      </c>
      <c r="K11456" s="0" t="s">
        <v>38201</v>
      </c>
      <c r="L11456" s="0" t="str">
        <f aca="false">HYPERLINK("https://www.ncbi.nlm.nih.gov/nuccore/CP000304.1?report=graph&amp;tracks=[key:gene_model_track,Options:GeneOnly]&amp;mk=3209477:3209496|offset_26|444444,3209500:3209519|offset_49|444444,3209524:3209543|offset_73|00cc00,3209544:3209563|offset_93|444444&amp;v=3209276:3209763&amp;c=444444", "offset 73")</f>
        <v>offset 73</v>
      </c>
    </row>
    <row r="11457" customFormat="false" ht="12.8" hidden="false" customHeight="false" outlineLevel="0" collapsed="false">
      <c r="A11457" s="0" t="s">
        <v>12</v>
      </c>
      <c r="B11457" s="0" t="n">
        <v>3209543</v>
      </c>
      <c r="C11457" s="0" t="n">
        <v>3209563</v>
      </c>
      <c r="D11457" s="0" t="s">
        <v>38192</v>
      </c>
      <c r="E11457" s="0" t="s">
        <v>89</v>
      </c>
      <c r="F11457" s="0" t="s">
        <v>15</v>
      </c>
      <c r="G11457" s="0" t="s">
        <v>16</v>
      </c>
      <c r="H11457" s="0" t="n">
        <v>93</v>
      </c>
      <c r="I11457" s="0" t="s">
        <v>38202</v>
      </c>
      <c r="J11457" s="0" t="s">
        <v>38203</v>
      </c>
      <c r="K11457" s="0" t="s">
        <v>38204</v>
      </c>
      <c r="L11457" s="0" t="str">
        <f aca="false">HYPERLINK("https://www.ncbi.nlm.nih.gov/nuccore/CP000304.1?report=graph&amp;tracks=[key:gene_model_track,Options:GeneOnly]&amp;mk=3209477:3209496|offset_26|444444,3209500:3209519|offset_49|444444,3209524:3209543|offset_73|444444,3209544:3209563|offset_93|00cc00&amp;v=3209276:3209763&amp;c=444444", "offset 93")</f>
        <v>offset 93</v>
      </c>
    </row>
    <row r="11458" customFormat="false" ht="12.8" hidden="false" customHeight="false" outlineLevel="0" collapsed="false">
      <c r="A11458" s="0" t="s">
        <v>12</v>
      </c>
      <c r="B11458" s="0" t="n">
        <v>3210298</v>
      </c>
      <c r="C11458" s="0" t="n">
        <v>3210318</v>
      </c>
      <c r="D11458" s="0" t="s">
        <v>38205</v>
      </c>
      <c r="E11458" s="0" t="s">
        <v>89</v>
      </c>
      <c r="F11458" s="0" t="s">
        <v>15</v>
      </c>
      <c r="G11458" s="0" t="s">
        <v>16</v>
      </c>
      <c r="H11458" s="0" t="n">
        <v>6</v>
      </c>
      <c r="I11458" s="0" t="s">
        <v>38206</v>
      </c>
      <c r="J11458" s="0" t="s">
        <v>38207</v>
      </c>
      <c r="K11458" s="0" t="s">
        <v>38208</v>
      </c>
      <c r="L11458" s="0" t="str">
        <f aca="false">HYPERLINK("https://www.ncbi.nlm.nih.gov/nuccore/CP000304.1?report=graph&amp;tracks=[key:gene_model_track,Options:GeneOnly]&amp;mk=3210299:3210318|offset_6|00cc00,3210330:3210349|offset_37|444444,3210363:3210382|offset_70|444444,3210388:3210407|offset_95|444444&amp;v=3210098:3210607&amp;c=444444", "offset 6")</f>
        <v>offset 6</v>
      </c>
    </row>
    <row r="11459" customFormat="false" ht="12.8" hidden="false" customHeight="false" outlineLevel="0" collapsed="false">
      <c r="A11459" s="0" t="s">
        <v>12</v>
      </c>
      <c r="B11459" s="0" t="n">
        <v>3210329</v>
      </c>
      <c r="C11459" s="0" t="n">
        <v>3210349</v>
      </c>
      <c r="D11459" s="0" t="s">
        <v>38205</v>
      </c>
      <c r="E11459" s="0" t="s">
        <v>89</v>
      </c>
      <c r="F11459" s="0" t="s">
        <v>15</v>
      </c>
      <c r="G11459" s="0" t="s">
        <v>36</v>
      </c>
      <c r="H11459" s="0" t="n">
        <v>37</v>
      </c>
      <c r="I11459" s="0" t="s">
        <v>38209</v>
      </c>
      <c r="J11459" s="0" t="s">
        <v>38210</v>
      </c>
      <c r="K11459" s="0" t="s">
        <v>38211</v>
      </c>
      <c r="L11459" s="0" t="str">
        <f aca="false">HYPERLINK("https://www.ncbi.nlm.nih.gov/nuccore/CP000304.1?report=graph&amp;tracks=[key:gene_model_track,Options:GeneOnly]&amp;mk=3210299:3210318|offset_6|444444,3210330:3210349|offset_37|00cc00,3210363:3210382|offset_70|444444,3210388:3210407|offset_95|444444&amp;v=3210098:3210607&amp;c=444444", "offset 37")</f>
        <v>offset 37</v>
      </c>
    </row>
    <row r="11460" customFormat="false" ht="12.8" hidden="false" customHeight="false" outlineLevel="0" collapsed="false">
      <c r="A11460" s="0" t="s">
        <v>12</v>
      </c>
      <c r="B11460" s="0" t="n">
        <v>3210362</v>
      </c>
      <c r="C11460" s="0" t="n">
        <v>3210382</v>
      </c>
      <c r="D11460" s="0" t="s">
        <v>38205</v>
      </c>
      <c r="E11460" s="0" t="s">
        <v>89</v>
      </c>
      <c r="F11460" s="0" t="s">
        <v>15</v>
      </c>
      <c r="G11460" s="0" t="s">
        <v>16</v>
      </c>
      <c r="H11460" s="0" t="n">
        <v>70</v>
      </c>
      <c r="I11460" s="0" t="s">
        <v>38212</v>
      </c>
      <c r="J11460" s="0" t="s">
        <v>38213</v>
      </c>
      <c r="K11460" s="0" t="s">
        <v>38214</v>
      </c>
      <c r="L11460" s="0" t="str">
        <f aca="false">HYPERLINK("https://www.ncbi.nlm.nih.gov/nuccore/CP000304.1?report=graph&amp;tracks=[key:gene_model_track,Options:GeneOnly]&amp;mk=3210299:3210318|offset_6|444444,3210330:3210349|offset_37|444444,3210363:3210382|offset_70|00cc00,3210388:3210407|offset_95|444444&amp;v=3210098:3210607&amp;c=444444", "offset 70")</f>
        <v>offset 70</v>
      </c>
    </row>
    <row r="11461" customFormat="false" ht="12.8" hidden="false" customHeight="false" outlineLevel="0" collapsed="false">
      <c r="A11461" s="0" t="s">
        <v>12</v>
      </c>
      <c r="B11461" s="0" t="n">
        <v>3210387</v>
      </c>
      <c r="C11461" s="0" t="n">
        <v>3210407</v>
      </c>
      <c r="D11461" s="0" t="s">
        <v>38205</v>
      </c>
      <c r="E11461" s="0" t="s">
        <v>89</v>
      </c>
      <c r="F11461" s="0" t="s">
        <v>15</v>
      </c>
      <c r="G11461" s="0" t="s">
        <v>26</v>
      </c>
      <c r="H11461" s="0" t="n">
        <v>95</v>
      </c>
      <c r="I11461" s="0" t="s">
        <v>38215</v>
      </c>
      <c r="J11461" s="0" t="s">
        <v>38216</v>
      </c>
      <c r="K11461" s="0" t="s">
        <v>38217</v>
      </c>
      <c r="L11461" s="0" t="str">
        <f aca="false">HYPERLINK("https://www.ncbi.nlm.nih.gov/nuccore/CP000304.1?report=graph&amp;tracks=[key:gene_model_track,Options:GeneOnly]&amp;mk=3210299:3210318|offset_6|444444,3210330:3210349|offset_37|444444,3210363:3210382|offset_70|444444,3210388:3210407|offset_95|00cc00&amp;v=3210098:3210607&amp;c=444444", "offset 95")</f>
        <v>offset 95</v>
      </c>
    </row>
    <row r="11462" customFormat="false" ht="12.8" hidden="false" customHeight="false" outlineLevel="0" collapsed="false">
      <c r="A11462" s="0" t="s">
        <v>12</v>
      </c>
      <c r="B11462" s="0" t="n">
        <v>3210776</v>
      </c>
      <c r="C11462" s="0" t="n">
        <v>3210796</v>
      </c>
      <c r="D11462" s="0" t="s">
        <v>38218</v>
      </c>
      <c r="E11462" s="0" t="s">
        <v>89</v>
      </c>
      <c r="F11462" s="0" t="s">
        <v>15</v>
      </c>
      <c r="G11462" s="0" t="s">
        <v>36</v>
      </c>
      <c r="H11462" s="0" t="n">
        <v>16</v>
      </c>
      <c r="I11462" s="0" t="s">
        <v>38219</v>
      </c>
      <c r="J11462" s="0" t="s">
        <v>38220</v>
      </c>
      <c r="K11462" s="0" t="s">
        <v>38221</v>
      </c>
      <c r="L11462" s="0" t="str">
        <f aca="false">HYPERLINK("https://www.ncbi.nlm.nih.gov/nuccore/CP000304.1?report=graph&amp;tracks=[key:gene_model_track,Options:GeneOnly]&amp;mk=3210777:3210796|offset_16|00cc00,3210801:3210820|offset_40|444444,3210825:3210844|offset_64|444444,3210855:3210874|offset_94|444444&amp;v=3210576:3211074&amp;c=444444", "offset 16")</f>
        <v>offset 16</v>
      </c>
    </row>
    <row r="11463" customFormat="false" ht="12.8" hidden="false" customHeight="false" outlineLevel="0" collapsed="false">
      <c r="A11463" s="0" t="s">
        <v>12</v>
      </c>
      <c r="B11463" s="0" t="n">
        <v>3210800</v>
      </c>
      <c r="C11463" s="0" t="n">
        <v>3210820</v>
      </c>
      <c r="D11463" s="0" t="s">
        <v>38218</v>
      </c>
      <c r="E11463" s="0" t="s">
        <v>89</v>
      </c>
      <c r="F11463" s="0" t="s">
        <v>15</v>
      </c>
      <c r="G11463" s="0" t="s">
        <v>36</v>
      </c>
      <c r="H11463" s="0" t="n">
        <v>40</v>
      </c>
      <c r="I11463" s="0" t="s">
        <v>38222</v>
      </c>
      <c r="J11463" s="0" t="s">
        <v>38223</v>
      </c>
      <c r="K11463" s="0" t="s">
        <v>38224</v>
      </c>
      <c r="L11463" s="0" t="str">
        <f aca="false">HYPERLINK("https://www.ncbi.nlm.nih.gov/nuccore/CP000304.1?report=graph&amp;tracks=[key:gene_model_track,Options:GeneOnly]&amp;mk=3210777:3210796|offset_16|444444,3210801:3210820|offset_40|00cc00,3210825:3210844|offset_64|444444,3210855:3210874|offset_94|444444&amp;v=3210576:3211074&amp;c=444444", "offset 40")</f>
        <v>offset 40</v>
      </c>
    </row>
    <row r="11464" customFormat="false" ht="12.8" hidden="false" customHeight="false" outlineLevel="0" collapsed="false">
      <c r="A11464" s="0" t="s">
        <v>12</v>
      </c>
      <c r="B11464" s="0" t="n">
        <v>3210824</v>
      </c>
      <c r="C11464" s="0" t="n">
        <v>3210844</v>
      </c>
      <c r="D11464" s="0" t="s">
        <v>38218</v>
      </c>
      <c r="E11464" s="0" t="s">
        <v>89</v>
      </c>
      <c r="F11464" s="0" t="s">
        <v>15</v>
      </c>
      <c r="G11464" s="0" t="s">
        <v>36</v>
      </c>
      <c r="H11464" s="0" t="n">
        <v>64</v>
      </c>
      <c r="I11464" s="0" t="s">
        <v>38225</v>
      </c>
      <c r="J11464" s="0" t="s">
        <v>38226</v>
      </c>
      <c r="K11464" s="0" t="s">
        <v>38227</v>
      </c>
      <c r="L11464" s="0" t="str">
        <f aca="false">HYPERLINK("https://www.ncbi.nlm.nih.gov/nuccore/CP000304.1?report=graph&amp;tracks=[key:gene_model_track,Options:GeneOnly]&amp;mk=3210777:3210796|offset_16|444444,3210801:3210820|offset_40|444444,3210825:3210844|offset_64|00cc00,3210855:3210874|offset_94|444444&amp;v=3210576:3211074&amp;c=444444", "offset 64")</f>
        <v>offset 64</v>
      </c>
    </row>
    <row r="11465" customFormat="false" ht="12.8" hidden="false" customHeight="false" outlineLevel="0" collapsed="false">
      <c r="A11465" s="0" t="s">
        <v>12</v>
      </c>
      <c r="B11465" s="0" t="n">
        <v>3210854</v>
      </c>
      <c r="C11465" s="0" t="n">
        <v>3210874</v>
      </c>
      <c r="D11465" s="0" t="s">
        <v>38218</v>
      </c>
      <c r="E11465" s="0" t="s">
        <v>89</v>
      </c>
      <c r="F11465" s="0" t="s">
        <v>15</v>
      </c>
      <c r="G11465" s="0" t="s">
        <v>32</v>
      </c>
      <c r="H11465" s="0" t="n">
        <v>94</v>
      </c>
      <c r="I11465" s="0" t="s">
        <v>38228</v>
      </c>
      <c r="J11465" s="0" t="s">
        <v>38229</v>
      </c>
      <c r="K11465" s="0" t="s">
        <v>38230</v>
      </c>
      <c r="L11465" s="0" t="str">
        <f aca="false">HYPERLINK("https://www.ncbi.nlm.nih.gov/nuccore/CP000304.1?report=graph&amp;tracks=[key:gene_model_track,Options:GeneOnly]&amp;mk=3210777:3210796|offset_16|444444,3210801:3210820|offset_40|444444,3210825:3210844|offset_64|444444,3210855:3210874|offset_94|00cc00&amp;v=3210576:3211074&amp;c=444444", "offset 94")</f>
        <v>offset 94</v>
      </c>
    </row>
    <row r="11466" customFormat="false" ht="12.8" hidden="false" customHeight="false" outlineLevel="0" collapsed="false">
      <c r="A11466" s="0" t="s">
        <v>12</v>
      </c>
      <c r="B11466" s="0" t="n">
        <v>3211753</v>
      </c>
      <c r="C11466" s="0" t="n">
        <v>3211773</v>
      </c>
      <c r="D11466" s="0" t="s">
        <v>38231</v>
      </c>
      <c r="E11466" s="0" t="s">
        <v>89</v>
      </c>
      <c r="F11466" s="0" t="s">
        <v>15</v>
      </c>
      <c r="G11466" s="0" t="s">
        <v>26</v>
      </c>
      <c r="H11466" s="0" t="n">
        <v>23</v>
      </c>
      <c r="I11466" s="0" t="s">
        <v>38232</v>
      </c>
      <c r="J11466" s="0" t="s">
        <v>38233</v>
      </c>
      <c r="K11466" s="0" t="s">
        <v>38234</v>
      </c>
      <c r="L11466" s="0" t="str">
        <f aca="false">HYPERLINK("https://www.ncbi.nlm.nih.gov/nuccore/CP000304.1?report=graph&amp;tracks=[key:gene_model_track,Options:GeneOnly]&amp;mk=3211754:3211773|offset_23|00cc00,3211783:3211802|offset_52|444444,3211813:3211832|offset_82|444444,3211848:3211867|offset_117|444444&amp;v=3211553:3212067&amp;c=444444", "offset 23")</f>
        <v>offset 23</v>
      </c>
    </row>
    <row r="11467" customFormat="false" ht="12.8" hidden="false" customHeight="false" outlineLevel="0" collapsed="false">
      <c r="A11467" s="0" t="s">
        <v>12</v>
      </c>
      <c r="B11467" s="0" t="n">
        <v>3211782</v>
      </c>
      <c r="C11467" s="0" t="n">
        <v>3211802</v>
      </c>
      <c r="D11467" s="0" t="s">
        <v>38231</v>
      </c>
      <c r="E11467" s="0" t="s">
        <v>89</v>
      </c>
      <c r="F11467" s="0" t="s">
        <v>15</v>
      </c>
      <c r="G11467" s="0" t="s">
        <v>32</v>
      </c>
      <c r="H11467" s="0" t="n">
        <v>52</v>
      </c>
      <c r="I11467" s="0" t="s">
        <v>38235</v>
      </c>
      <c r="J11467" s="0" t="s">
        <v>38236</v>
      </c>
      <c r="K11467" s="0" t="s">
        <v>38237</v>
      </c>
      <c r="L11467" s="0" t="str">
        <f aca="false">HYPERLINK("https://www.ncbi.nlm.nih.gov/nuccore/CP000304.1?report=graph&amp;tracks=[key:gene_model_track,Options:GeneOnly]&amp;mk=3211754:3211773|offset_23|444444,3211783:3211802|offset_52|00cc00,3211813:3211832|offset_82|444444,3211848:3211867|offset_117|444444&amp;v=3211553:3212067&amp;c=444444", "offset 52")</f>
        <v>offset 52</v>
      </c>
    </row>
    <row r="11468" customFormat="false" ht="12.8" hidden="false" customHeight="false" outlineLevel="0" collapsed="false">
      <c r="A11468" s="0" t="s">
        <v>12</v>
      </c>
      <c r="B11468" s="0" t="n">
        <v>3211812</v>
      </c>
      <c r="C11468" s="0" t="n">
        <v>3211832</v>
      </c>
      <c r="D11468" s="0" t="s">
        <v>38231</v>
      </c>
      <c r="E11468" s="0" t="s">
        <v>89</v>
      </c>
      <c r="F11468" s="0" t="s">
        <v>15</v>
      </c>
      <c r="G11468" s="0" t="s">
        <v>32</v>
      </c>
      <c r="H11468" s="0" t="n">
        <v>82</v>
      </c>
      <c r="I11468" s="0" t="s">
        <v>38238</v>
      </c>
      <c r="J11468" s="0" t="s">
        <v>38239</v>
      </c>
      <c r="K11468" s="0" t="s">
        <v>38240</v>
      </c>
      <c r="L11468" s="0" t="str">
        <f aca="false">HYPERLINK("https://www.ncbi.nlm.nih.gov/nuccore/CP000304.1?report=graph&amp;tracks=[key:gene_model_track,Options:GeneOnly]&amp;mk=3211754:3211773|offset_23|444444,3211783:3211802|offset_52|444444,3211813:3211832|offset_82|00cc00,3211848:3211867|offset_117|444444&amp;v=3211553:3212067&amp;c=444444", "offset 82")</f>
        <v>offset 82</v>
      </c>
    </row>
    <row r="11469" customFormat="false" ht="12.8" hidden="false" customHeight="false" outlineLevel="0" collapsed="false">
      <c r="A11469" s="0" t="s">
        <v>12</v>
      </c>
      <c r="B11469" s="0" t="n">
        <v>3211847</v>
      </c>
      <c r="C11469" s="0" t="n">
        <v>3211867</v>
      </c>
      <c r="D11469" s="0" t="s">
        <v>38231</v>
      </c>
      <c r="E11469" s="0" t="s">
        <v>89</v>
      </c>
      <c r="F11469" s="0" t="s">
        <v>15</v>
      </c>
      <c r="G11469" s="0" t="s">
        <v>26</v>
      </c>
      <c r="H11469" s="0" t="n">
        <v>117</v>
      </c>
      <c r="I11469" s="0" t="s">
        <v>38241</v>
      </c>
      <c r="J11469" s="0" t="s">
        <v>38242</v>
      </c>
      <c r="K11469" s="0" t="s">
        <v>38243</v>
      </c>
      <c r="L11469" s="0" t="str">
        <f aca="false">HYPERLINK("https://www.ncbi.nlm.nih.gov/nuccore/CP000304.1?report=graph&amp;tracks=[key:gene_model_track,Options:GeneOnly]&amp;mk=3211754:3211773|offset_23|444444,3211783:3211802|offset_52|444444,3211813:3211832|offset_82|444444,3211848:3211867|offset_117|00cc00&amp;v=3211553:3212067&amp;c=444444", "offset 117")</f>
        <v>offset 117</v>
      </c>
    </row>
    <row r="11470" customFormat="false" ht="12.8" hidden="false" customHeight="false" outlineLevel="0" collapsed="false">
      <c r="A11470" s="0" t="s">
        <v>12</v>
      </c>
      <c r="B11470" s="0" t="n">
        <v>3212490</v>
      </c>
      <c r="C11470" s="0" t="n">
        <v>3212510</v>
      </c>
      <c r="D11470" s="0" t="s">
        <v>38244</v>
      </c>
      <c r="E11470" s="0" t="s">
        <v>89</v>
      </c>
      <c r="F11470" s="0" t="s">
        <v>15</v>
      </c>
      <c r="G11470" s="0" t="s">
        <v>36</v>
      </c>
      <c r="H11470" s="0" t="n">
        <v>11</v>
      </c>
      <c r="I11470" s="0" t="s">
        <v>38245</v>
      </c>
      <c r="J11470" s="0" t="s">
        <v>38246</v>
      </c>
      <c r="K11470" s="0" t="s">
        <v>38247</v>
      </c>
      <c r="L11470" s="0" t="str">
        <f aca="false">HYPERLINK("https://www.ncbi.nlm.nih.gov/nuccore/CP000304.1?report=graph&amp;tracks=[key:gene_model_track,Options:GeneOnly]&amp;mk=3212491:3212510|offset_11|00cc00,3212512:3212531|offset_32|444444,3212567:3212586|offset_87|444444,3212628:3212647|offset_148|444444&amp;v=3212290:3212847&amp;c=444444", "offset 11")</f>
        <v>offset 11</v>
      </c>
    </row>
    <row r="11471" customFormat="false" ht="12.8" hidden="false" customHeight="false" outlineLevel="0" collapsed="false">
      <c r="A11471" s="0" t="s">
        <v>12</v>
      </c>
      <c r="B11471" s="0" t="n">
        <v>3212511</v>
      </c>
      <c r="C11471" s="0" t="n">
        <v>3212531</v>
      </c>
      <c r="D11471" s="0" t="s">
        <v>38244</v>
      </c>
      <c r="E11471" s="0" t="s">
        <v>89</v>
      </c>
      <c r="F11471" s="0" t="s">
        <v>15</v>
      </c>
      <c r="G11471" s="0" t="s">
        <v>36</v>
      </c>
      <c r="H11471" s="0" t="n">
        <v>32</v>
      </c>
      <c r="I11471" s="0" t="s">
        <v>38248</v>
      </c>
      <c r="J11471" s="0" t="s">
        <v>38249</v>
      </c>
      <c r="K11471" s="0" t="s">
        <v>38250</v>
      </c>
      <c r="L11471" s="0" t="str">
        <f aca="false">HYPERLINK("https://www.ncbi.nlm.nih.gov/nuccore/CP000304.1?report=graph&amp;tracks=[key:gene_model_track,Options:GeneOnly]&amp;mk=3212491:3212510|offset_11|444444,3212512:3212531|offset_32|00cc00,3212567:3212586|offset_87|444444,3212628:3212647|offset_148|444444&amp;v=3212290:3212847&amp;c=444444", "offset 32")</f>
        <v>offset 32</v>
      </c>
    </row>
    <row r="11472" customFormat="false" ht="12.8" hidden="false" customHeight="false" outlineLevel="0" collapsed="false">
      <c r="A11472" s="0" t="s">
        <v>12</v>
      </c>
      <c r="B11472" s="0" t="n">
        <v>3212566</v>
      </c>
      <c r="C11472" s="0" t="n">
        <v>3212586</v>
      </c>
      <c r="D11472" s="0" t="s">
        <v>38244</v>
      </c>
      <c r="E11472" s="0" t="s">
        <v>89</v>
      </c>
      <c r="F11472" s="0" t="s">
        <v>15</v>
      </c>
      <c r="G11472" s="0" t="s">
        <v>16</v>
      </c>
      <c r="H11472" s="0" t="n">
        <v>87</v>
      </c>
      <c r="I11472" s="0" t="s">
        <v>38251</v>
      </c>
      <c r="J11472" s="0" t="s">
        <v>38252</v>
      </c>
      <c r="K11472" s="0" t="s">
        <v>38253</v>
      </c>
      <c r="L11472" s="0" t="str">
        <f aca="false">HYPERLINK("https://www.ncbi.nlm.nih.gov/nuccore/CP000304.1?report=graph&amp;tracks=[key:gene_model_track,Options:GeneOnly]&amp;mk=3212491:3212510|offset_11|444444,3212512:3212531|offset_32|444444,3212567:3212586|offset_87|00cc00,3212628:3212647|offset_148|444444&amp;v=3212290:3212847&amp;c=444444", "offset 87")</f>
        <v>offset 87</v>
      </c>
    </row>
    <row r="11473" customFormat="false" ht="12.8" hidden="false" customHeight="false" outlineLevel="0" collapsed="false">
      <c r="A11473" s="0" t="s">
        <v>12</v>
      </c>
      <c r="B11473" s="0" t="n">
        <v>3212627</v>
      </c>
      <c r="C11473" s="0" t="n">
        <v>3212647</v>
      </c>
      <c r="D11473" s="0" t="s">
        <v>38244</v>
      </c>
      <c r="E11473" s="0" t="s">
        <v>89</v>
      </c>
      <c r="F11473" s="0" t="s">
        <v>15</v>
      </c>
      <c r="G11473" s="0" t="s">
        <v>32</v>
      </c>
      <c r="H11473" s="0" t="n">
        <v>148</v>
      </c>
      <c r="I11473" s="0" t="s">
        <v>38254</v>
      </c>
      <c r="J11473" s="0" t="s">
        <v>38255</v>
      </c>
      <c r="K11473" s="0" t="s">
        <v>38256</v>
      </c>
      <c r="L11473" s="0" t="str">
        <f aca="false">HYPERLINK("https://www.ncbi.nlm.nih.gov/nuccore/CP000304.1?report=graph&amp;tracks=[key:gene_model_track,Options:GeneOnly]&amp;mk=3212491:3212510|offset_11|444444,3212512:3212531|offset_32|444444,3212567:3212586|offset_87|444444,3212628:3212647|offset_148|00cc00&amp;v=3212290:3212847&amp;c=444444", "offset 148")</f>
        <v>offset 148</v>
      </c>
    </row>
    <row r="11474" customFormat="false" ht="12.8" hidden="false" customHeight="false" outlineLevel="0" collapsed="false">
      <c r="A11474" s="0" t="s">
        <v>12</v>
      </c>
      <c r="B11474" s="0" t="n">
        <v>3213329</v>
      </c>
      <c r="C11474" s="0" t="n">
        <v>3213349</v>
      </c>
      <c r="D11474" s="0" t="s">
        <v>38257</v>
      </c>
      <c r="E11474" s="0" t="s">
        <v>89</v>
      </c>
      <c r="F11474" s="0" t="s">
        <v>15</v>
      </c>
      <c r="G11474" s="0" t="s">
        <v>26</v>
      </c>
      <c r="H11474" s="0" t="n">
        <v>20</v>
      </c>
      <c r="I11474" s="0" t="s">
        <v>38258</v>
      </c>
      <c r="J11474" s="0" t="s">
        <v>38259</v>
      </c>
      <c r="K11474" s="0" t="s">
        <v>38260</v>
      </c>
      <c r="L11474" s="0" t="str">
        <f aca="false">HYPERLINK("https://www.ncbi.nlm.nih.gov/nuccore/CP000304.1?report=graph&amp;tracks=[key:gene_model_track,Options:GeneOnly]&amp;mk=3213330:3213349|offset_20|00cc00,3213359:3213378|offset_49|444444,3213381:3213400|offset_71|444444,3213411:3213430|offset_101|444444&amp;v=3213129:3213630&amp;c=444444", "offset 20")</f>
        <v>offset 20</v>
      </c>
    </row>
    <row r="11475" customFormat="false" ht="12.8" hidden="false" customHeight="false" outlineLevel="0" collapsed="false">
      <c r="A11475" s="0" t="s">
        <v>12</v>
      </c>
      <c r="B11475" s="0" t="n">
        <v>3213358</v>
      </c>
      <c r="C11475" s="0" t="n">
        <v>3213378</v>
      </c>
      <c r="D11475" s="0" t="s">
        <v>38257</v>
      </c>
      <c r="E11475" s="0" t="s">
        <v>89</v>
      </c>
      <c r="F11475" s="0" t="s">
        <v>15</v>
      </c>
      <c r="G11475" s="0" t="s">
        <v>16</v>
      </c>
      <c r="H11475" s="0" t="n">
        <v>49</v>
      </c>
      <c r="I11475" s="0" t="s">
        <v>38261</v>
      </c>
      <c r="J11475" s="0" t="s">
        <v>38262</v>
      </c>
      <c r="K11475" s="0" t="s">
        <v>38263</v>
      </c>
      <c r="L11475" s="0" t="str">
        <f aca="false">HYPERLINK("https://www.ncbi.nlm.nih.gov/nuccore/CP000304.1?report=graph&amp;tracks=[key:gene_model_track,Options:GeneOnly]&amp;mk=3213330:3213349|offset_20|444444,3213359:3213378|offset_49|00cc00,3213381:3213400|offset_71|444444,3213411:3213430|offset_101|444444&amp;v=3213129:3213630&amp;c=444444", "offset 49")</f>
        <v>offset 49</v>
      </c>
    </row>
    <row r="11476" customFormat="false" ht="12.8" hidden="false" customHeight="false" outlineLevel="0" collapsed="false">
      <c r="A11476" s="0" t="s">
        <v>12</v>
      </c>
      <c r="B11476" s="0" t="n">
        <v>3213380</v>
      </c>
      <c r="C11476" s="0" t="n">
        <v>3213400</v>
      </c>
      <c r="D11476" s="0" t="s">
        <v>38257</v>
      </c>
      <c r="E11476" s="0" t="s">
        <v>89</v>
      </c>
      <c r="F11476" s="0" t="s">
        <v>15</v>
      </c>
      <c r="G11476" s="0" t="s">
        <v>26</v>
      </c>
      <c r="H11476" s="0" t="n">
        <v>71</v>
      </c>
      <c r="I11476" s="0" t="s">
        <v>38264</v>
      </c>
      <c r="J11476" s="0" t="s">
        <v>38265</v>
      </c>
      <c r="K11476" s="0" t="s">
        <v>38266</v>
      </c>
      <c r="L11476" s="0" t="str">
        <f aca="false">HYPERLINK("https://www.ncbi.nlm.nih.gov/nuccore/CP000304.1?report=graph&amp;tracks=[key:gene_model_track,Options:GeneOnly]&amp;mk=3213330:3213349|offset_20|444444,3213359:3213378|offset_49|444444,3213381:3213400|offset_71|00cc00,3213411:3213430|offset_101|444444&amp;v=3213129:3213630&amp;c=444444", "offset 71")</f>
        <v>offset 71</v>
      </c>
    </row>
    <row r="11477" customFormat="false" ht="12.8" hidden="false" customHeight="false" outlineLevel="0" collapsed="false">
      <c r="A11477" s="0" t="s">
        <v>12</v>
      </c>
      <c r="B11477" s="0" t="n">
        <v>3213410</v>
      </c>
      <c r="C11477" s="0" t="n">
        <v>3213430</v>
      </c>
      <c r="D11477" s="0" t="s">
        <v>38257</v>
      </c>
      <c r="E11477" s="0" t="s">
        <v>89</v>
      </c>
      <c r="F11477" s="0" t="s">
        <v>15</v>
      </c>
      <c r="G11477" s="0" t="s">
        <v>16</v>
      </c>
      <c r="H11477" s="0" t="n">
        <v>101</v>
      </c>
      <c r="I11477" s="0" t="s">
        <v>38267</v>
      </c>
      <c r="J11477" s="0" t="s">
        <v>38268</v>
      </c>
      <c r="K11477" s="0" t="s">
        <v>38269</v>
      </c>
      <c r="L11477" s="0" t="str">
        <f aca="false">HYPERLINK("https://www.ncbi.nlm.nih.gov/nuccore/CP000304.1?report=graph&amp;tracks=[key:gene_model_track,Options:GeneOnly]&amp;mk=3213330:3213349|offset_20|444444,3213359:3213378|offset_49|444444,3213381:3213400|offset_71|444444,3213411:3213430|offset_101|00cc00&amp;v=3213129:3213630&amp;c=444444", "offset 101")</f>
        <v>offset 101</v>
      </c>
    </row>
    <row r="11478" customFormat="false" ht="12.8" hidden="false" customHeight="false" outlineLevel="0" collapsed="false">
      <c r="A11478" s="0" t="s">
        <v>12</v>
      </c>
      <c r="B11478" s="0" t="n">
        <v>3214426</v>
      </c>
      <c r="C11478" s="0" t="n">
        <v>3214446</v>
      </c>
      <c r="D11478" s="0" t="s">
        <v>38270</v>
      </c>
      <c r="E11478" s="0" t="s">
        <v>89</v>
      </c>
      <c r="F11478" s="0" t="s">
        <v>90</v>
      </c>
      <c r="G11478" s="0" t="s">
        <v>26</v>
      </c>
      <c r="H11478" s="0" t="n">
        <v>9</v>
      </c>
      <c r="I11478" s="0" t="s">
        <v>38271</v>
      </c>
      <c r="J11478" s="0" t="s">
        <v>38272</v>
      </c>
      <c r="K11478" s="0" t="s">
        <v>38273</v>
      </c>
      <c r="L11478" s="0" t="str">
        <f aca="false">HYPERLINK("https://www.ncbi.nlm.nih.gov/nuccore/CP000304.1?report=graph&amp;tracks=[key:gene_model_track,Options:GeneOnly]&amp;mk=3214427:3214446|offset_9|00cc00,3214406:3214425|offset_30|444444,3214375:3214394|offset_61|444444,3214345:3214364|offset_91|444444&amp;v=3214226:3214564&amp;c=444444", "offset 9")</f>
        <v>offset 9</v>
      </c>
    </row>
    <row r="11479" customFormat="false" ht="12.8" hidden="false" customHeight="false" outlineLevel="0" collapsed="false">
      <c r="A11479" s="0" t="s">
        <v>12</v>
      </c>
      <c r="B11479" s="0" t="n">
        <v>3214405</v>
      </c>
      <c r="C11479" s="0" t="n">
        <v>3214425</v>
      </c>
      <c r="D11479" s="0" t="s">
        <v>38270</v>
      </c>
      <c r="E11479" s="0" t="s">
        <v>89</v>
      </c>
      <c r="F11479" s="0" t="s">
        <v>90</v>
      </c>
      <c r="G11479" s="0" t="s">
        <v>36</v>
      </c>
      <c r="H11479" s="0" t="n">
        <v>30</v>
      </c>
      <c r="I11479" s="0" t="s">
        <v>38274</v>
      </c>
      <c r="J11479" s="0" t="s">
        <v>38275</v>
      </c>
      <c r="K11479" s="0" t="s">
        <v>38276</v>
      </c>
      <c r="L11479" s="0" t="str">
        <f aca="false">HYPERLINK("https://www.ncbi.nlm.nih.gov/nuccore/CP000304.1?report=graph&amp;tracks=[key:gene_model_track,Options:GeneOnly]&amp;mk=3214427:3214446|offset_9|444444,3214406:3214425|offset_30|00cc00,3214375:3214394|offset_61|444444,3214345:3214364|offset_91|444444&amp;v=3214226:3214564&amp;c=444444", "offset 30")</f>
        <v>offset 30</v>
      </c>
    </row>
    <row r="11480" customFormat="false" ht="12.8" hidden="false" customHeight="false" outlineLevel="0" collapsed="false">
      <c r="A11480" s="0" t="s">
        <v>12</v>
      </c>
      <c r="B11480" s="0" t="n">
        <v>3214374</v>
      </c>
      <c r="C11480" s="0" t="n">
        <v>3214394</v>
      </c>
      <c r="D11480" s="0" t="s">
        <v>38270</v>
      </c>
      <c r="E11480" s="0" t="s">
        <v>89</v>
      </c>
      <c r="F11480" s="0" t="s">
        <v>90</v>
      </c>
      <c r="G11480" s="0" t="s">
        <v>32</v>
      </c>
      <c r="H11480" s="0" t="n">
        <v>61</v>
      </c>
      <c r="I11480" s="0" t="s">
        <v>38277</v>
      </c>
      <c r="J11480" s="0" t="s">
        <v>38278</v>
      </c>
      <c r="K11480" s="0" t="s">
        <v>38279</v>
      </c>
      <c r="L11480" s="0" t="str">
        <f aca="false">HYPERLINK("https://www.ncbi.nlm.nih.gov/nuccore/CP000304.1?report=graph&amp;tracks=[key:gene_model_track,Options:GeneOnly]&amp;mk=3214427:3214446|offset_9|444444,3214406:3214425|offset_30|444444,3214375:3214394|offset_61|00cc00,3214345:3214364|offset_91|444444&amp;v=3214226:3214564&amp;c=444444", "offset 61")</f>
        <v>offset 61</v>
      </c>
    </row>
    <row r="11481" customFormat="false" ht="12.8" hidden="false" customHeight="false" outlineLevel="0" collapsed="false">
      <c r="A11481" s="0" t="s">
        <v>12</v>
      </c>
      <c r="B11481" s="0" t="n">
        <v>3214344</v>
      </c>
      <c r="C11481" s="0" t="n">
        <v>3214364</v>
      </c>
      <c r="D11481" s="0" t="s">
        <v>38270</v>
      </c>
      <c r="E11481" s="0" t="s">
        <v>89</v>
      </c>
      <c r="F11481" s="0" t="s">
        <v>90</v>
      </c>
      <c r="G11481" s="0" t="s">
        <v>26</v>
      </c>
      <c r="H11481" s="0" t="n">
        <v>91</v>
      </c>
      <c r="I11481" s="0" t="s">
        <v>38280</v>
      </c>
      <c r="J11481" s="0" t="s">
        <v>38281</v>
      </c>
      <c r="K11481" s="0" t="s">
        <v>38282</v>
      </c>
      <c r="L11481" s="0" t="str">
        <f aca="false">HYPERLINK("https://www.ncbi.nlm.nih.gov/nuccore/CP000304.1?report=graph&amp;tracks=[key:gene_model_track,Options:GeneOnly]&amp;mk=3214427:3214446|offset_9|444444,3214406:3214425|offset_30|444444,3214375:3214394|offset_61|444444,3214345:3214364|offset_91|00cc00&amp;v=3214226:3214564&amp;c=444444", "offset 91")</f>
        <v>offset 91</v>
      </c>
    </row>
    <row r="11482" customFormat="false" ht="12.8" hidden="false" customHeight="false" outlineLevel="0" collapsed="false">
      <c r="A11482" s="0" t="s">
        <v>12</v>
      </c>
      <c r="B11482" s="0" t="n">
        <v>3214634</v>
      </c>
      <c r="C11482" s="0" t="n">
        <v>3214654</v>
      </c>
      <c r="D11482" s="0" t="s">
        <v>38283</v>
      </c>
      <c r="E11482" s="0" t="s">
        <v>38284</v>
      </c>
      <c r="F11482" s="0" t="s">
        <v>15</v>
      </c>
      <c r="G11482" s="0" t="s">
        <v>32</v>
      </c>
      <c r="H11482" s="0" t="n">
        <v>10</v>
      </c>
      <c r="I11482" s="0" t="s">
        <v>38285</v>
      </c>
      <c r="J11482" s="0" t="s">
        <v>38286</v>
      </c>
      <c r="K11482" s="0" t="s">
        <v>38287</v>
      </c>
      <c r="L11482" s="0" t="str">
        <f aca="false">HYPERLINK("https://www.ncbi.nlm.nih.gov/nuccore/CP000304.1?report=graph&amp;tracks=[key:gene_model_track,Options:GeneOnly]&amp;mk=3214635:3214654|offset_10|00cc00,3214660:3214679|offset_35|444444,3214686:3214705|offset_61|444444,3214714:3214733|offset_89|444444&amp;v=3214434:3214933&amp;c=444444", "offset 10")</f>
        <v>offset 10</v>
      </c>
    </row>
    <row r="11483" customFormat="false" ht="12.8" hidden="false" customHeight="false" outlineLevel="0" collapsed="false">
      <c r="A11483" s="0" t="s">
        <v>12</v>
      </c>
      <c r="B11483" s="0" t="n">
        <v>3214659</v>
      </c>
      <c r="C11483" s="0" t="n">
        <v>3214679</v>
      </c>
      <c r="D11483" s="0" t="s">
        <v>38283</v>
      </c>
      <c r="E11483" s="0" t="s">
        <v>38284</v>
      </c>
      <c r="F11483" s="0" t="s">
        <v>15</v>
      </c>
      <c r="G11483" s="0" t="s">
        <v>26</v>
      </c>
      <c r="H11483" s="0" t="n">
        <v>35</v>
      </c>
      <c r="I11483" s="0" t="s">
        <v>38288</v>
      </c>
      <c r="J11483" s="0" t="s">
        <v>38289</v>
      </c>
      <c r="K11483" s="0" t="s">
        <v>38290</v>
      </c>
      <c r="L11483" s="0" t="str">
        <f aca="false">HYPERLINK("https://www.ncbi.nlm.nih.gov/nuccore/CP000304.1?report=graph&amp;tracks=[key:gene_model_track,Options:GeneOnly]&amp;mk=3214635:3214654|offset_10|444444,3214660:3214679|offset_35|00cc00,3214686:3214705|offset_61|444444,3214714:3214733|offset_89|444444&amp;v=3214434:3214933&amp;c=444444", "offset 35")</f>
        <v>offset 35</v>
      </c>
    </row>
    <row r="11484" customFormat="false" ht="12.8" hidden="false" customHeight="false" outlineLevel="0" collapsed="false">
      <c r="A11484" s="0" t="s">
        <v>12</v>
      </c>
      <c r="B11484" s="0" t="n">
        <v>3214685</v>
      </c>
      <c r="C11484" s="0" t="n">
        <v>3214705</v>
      </c>
      <c r="D11484" s="0" t="s">
        <v>38283</v>
      </c>
      <c r="E11484" s="0" t="s">
        <v>38284</v>
      </c>
      <c r="F11484" s="0" t="s">
        <v>15</v>
      </c>
      <c r="G11484" s="0" t="s">
        <v>32</v>
      </c>
      <c r="H11484" s="0" t="n">
        <v>61</v>
      </c>
      <c r="I11484" s="0" t="s">
        <v>38291</v>
      </c>
      <c r="J11484" s="0" t="s">
        <v>38292</v>
      </c>
      <c r="K11484" s="0" t="s">
        <v>38293</v>
      </c>
      <c r="L11484" s="0" t="str">
        <f aca="false">HYPERLINK("https://www.ncbi.nlm.nih.gov/nuccore/CP000304.1?report=graph&amp;tracks=[key:gene_model_track,Options:GeneOnly]&amp;mk=3214635:3214654|offset_10|444444,3214660:3214679|offset_35|444444,3214686:3214705|offset_61|00cc00,3214714:3214733|offset_89|444444&amp;v=3214434:3214933&amp;c=444444", "offset 61")</f>
        <v>offset 61</v>
      </c>
    </row>
    <row r="11485" customFormat="false" ht="12.8" hidden="false" customHeight="false" outlineLevel="0" collapsed="false">
      <c r="A11485" s="0" t="s">
        <v>12</v>
      </c>
      <c r="B11485" s="0" t="n">
        <v>3214713</v>
      </c>
      <c r="C11485" s="0" t="n">
        <v>3214733</v>
      </c>
      <c r="D11485" s="0" t="s">
        <v>38283</v>
      </c>
      <c r="E11485" s="0" t="s">
        <v>38284</v>
      </c>
      <c r="F11485" s="0" t="s">
        <v>15</v>
      </c>
      <c r="G11485" s="0" t="s">
        <v>16</v>
      </c>
      <c r="H11485" s="0" t="n">
        <v>89</v>
      </c>
      <c r="I11485" s="0" t="s">
        <v>38294</v>
      </c>
      <c r="J11485" s="0" t="s">
        <v>38295</v>
      </c>
      <c r="K11485" s="0" t="s">
        <v>38296</v>
      </c>
      <c r="L11485" s="0" t="str">
        <f aca="false">HYPERLINK("https://www.ncbi.nlm.nih.gov/nuccore/CP000304.1?report=graph&amp;tracks=[key:gene_model_track,Options:GeneOnly]&amp;mk=3214635:3214654|offset_10|444444,3214660:3214679|offset_35|444444,3214686:3214705|offset_61|444444,3214714:3214733|offset_89|00cc00&amp;v=3214434:3214933&amp;c=444444", "offset 89")</f>
        <v>offset 89</v>
      </c>
    </row>
    <row r="11486" customFormat="false" ht="12.8" hidden="false" customHeight="false" outlineLevel="0" collapsed="false">
      <c r="A11486" s="0" t="s">
        <v>12</v>
      </c>
      <c r="B11486" s="0" t="n">
        <v>3216004</v>
      </c>
      <c r="C11486" s="0" t="n">
        <v>3216024</v>
      </c>
      <c r="D11486" s="0" t="s">
        <v>38297</v>
      </c>
      <c r="E11486" s="0" t="s">
        <v>38298</v>
      </c>
      <c r="F11486" s="0" t="s">
        <v>15</v>
      </c>
      <c r="G11486" s="0" t="s">
        <v>26</v>
      </c>
      <c r="H11486" s="0" t="n">
        <v>6</v>
      </c>
      <c r="I11486" s="0" t="s">
        <v>38299</v>
      </c>
      <c r="J11486" s="0" t="s">
        <v>38300</v>
      </c>
      <c r="K11486" s="0" t="s">
        <v>38301</v>
      </c>
      <c r="L11486" s="0" t="str">
        <f aca="false">HYPERLINK("https://www.ncbi.nlm.nih.gov/nuccore/CP000304.1?report=graph&amp;tracks=[key:gene_model_track,Options:GeneOnly]&amp;mk=3216005:3216024|offset_6|00cc00,3216048:3216067|offset_49|444444,3216075:3216094|offset_76|444444,3216123:3216142|offset_124|444444&amp;v=3215804:3216342&amp;c=444444", "offset 6")</f>
        <v>offset 6</v>
      </c>
    </row>
    <row r="11487" customFormat="false" ht="12.8" hidden="false" customHeight="false" outlineLevel="0" collapsed="false">
      <c r="A11487" s="0" t="s">
        <v>12</v>
      </c>
      <c r="B11487" s="0" t="n">
        <v>3216047</v>
      </c>
      <c r="C11487" s="0" t="n">
        <v>3216067</v>
      </c>
      <c r="D11487" s="0" t="s">
        <v>38297</v>
      </c>
      <c r="E11487" s="0" t="s">
        <v>38298</v>
      </c>
      <c r="F11487" s="0" t="s">
        <v>15</v>
      </c>
      <c r="G11487" s="0" t="s">
        <v>16</v>
      </c>
      <c r="H11487" s="0" t="n">
        <v>49</v>
      </c>
      <c r="I11487" s="0" t="s">
        <v>38302</v>
      </c>
      <c r="J11487" s="0" t="s">
        <v>38303</v>
      </c>
      <c r="K11487" s="0" t="s">
        <v>38304</v>
      </c>
      <c r="L11487" s="0" t="str">
        <f aca="false">HYPERLINK("https://www.ncbi.nlm.nih.gov/nuccore/CP000304.1?report=graph&amp;tracks=[key:gene_model_track,Options:GeneOnly]&amp;mk=3216005:3216024|offset_6|444444,3216048:3216067|offset_49|00cc00,3216075:3216094|offset_76|444444,3216123:3216142|offset_124|444444&amp;v=3215804:3216342&amp;c=444444", "offset 49")</f>
        <v>offset 49</v>
      </c>
    </row>
    <row r="11488" customFormat="false" ht="12.8" hidden="false" customHeight="false" outlineLevel="0" collapsed="false">
      <c r="A11488" s="0" t="s">
        <v>12</v>
      </c>
      <c r="B11488" s="0" t="n">
        <v>3216074</v>
      </c>
      <c r="C11488" s="0" t="n">
        <v>3216094</v>
      </c>
      <c r="D11488" s="0" t="s">
        <v>38297</v>
      </c>
      <c r="E11488" s="0" t="s">
        <v>38298</v>
      </c>
      <c r="F11488" s="0" t="s">
        <v>15</v>
      </c>
      <c r="G11488" s="0" t="s">
        <v>32</v>
      </c>
      <c r="H11488" s="0" t="n">
        <v>76</v>
      </c>
      <c r="I11488" s="0" t="s">
        <v>38305</v>
      </c>
      <c r="J11488" s="0" t="s">
        <v>38306</v>
      </c>
      <c r="K11488" s="0" t="s">
        <v>38307</v>
      </c>
      <c r="L11488" s="0" t="str">
        <f aca="false">HYPERLINK("https://www.ncbi.nlm.nih.gov/nuccore/CP000304.1?report=graph&amp;tracks=[key:gene_model_track,Options:GeneOnly]&amp;mk=3216005:3216024|offset_6|444444,3216048:3216067|offset_49|444444,3216075:3216094|offset_76|00cc00,3216123:3216142|offset_124|444444&amp;v=3215804:3216342&amp;c=444444", "offset 76")</f>
        <v>offset 76</v>
      </c>
    </row>
    <row r="11489" customFormat="false" ht="12.8" hidden="false" customHeight="false" outlineLevel="0" collapsed="false">
      <c r="A11489" s="0" t="s">
        <v>12</v>
      </c>
      <c r="B11489" s="0" t="n">
        <v>3216122</v>
      </c>
      <c r="C11489" s="0" t="n">
        <v>3216142</v>
      </c>
      <c r="D11489" s="0" t="s">
        <v>38297</v>
      </c>
      <c r="E11489" s="0" t="s">
        <v>38298</v>
      </c>
      <c r="F11489" s="0" t="s">
        <v>15</v>
      </c>
      <c r="G11489" s="0" t="s">
        <v>36</v>
      </c>
      <c r="H11489" s="0" t="n">
        <v>124</v>
      </c>
      <c r="I11489" s="0" t="s">
        <v>38308</v>
      </c>
      <c r="J11489" s="0" t="s">
        <v>38309</v>
      </c>
      <c r="K11489" s="0" t="s">
        <v>38310</v>
      </c>
      <c r="L11489" s="0" t="str">
        <f aca="false">HYPERLINK("https://www.ncbi.nlm.nih.gov/nuccore/CP000304.1?report=graph&amp;tracks=[key:gene_model_track,Options:GeneOnly]&amp;mk=3216005:3216024|offset_6|444444,3216048:3216067|offset_49|444444,3216075:3216094|offset_76|444444,3216123:3216142|offset_124|00cc00&amp;v=3215804:3216342&amp;c=444444", "offset 124")</f>
        <v>offset 124</v>
      </c>
    </row>
    <row r="11490" customFormat="false" ht="12.8" hidden="false" customHeight="false" outlineLevel="0" collapsed="false">
      <c r="A11490" s="0" t="s">
        <v>12</v>
      </c>
      <c r="B11490" s="0" t="n">
        <v>3216925</v>
      </c>
      <c r="C11490" s="0" t="n">
        <v>3216945</v>
      </c>
      <c r="D11490" s="0" t="s">
        <v>38311</v>
      </c>
      <c r="E11490" s="0" t="s">
        <v>38312</v>
      </c>
      <c r="F11490" s="0" t="s">
        <v>15</v>
      </c>
      <c r="G11490" s="0" t="s">
        <v>16</v>
      </c>
      <c r="H11490" s="0" t="n">
        <v>7</v>
      </c>
      <c r="I11490" s="0" t="s">
        <v>38313</v>
      </c>
      <c r="J11490" s="0" t="s">
        <v>38314</v>
      </c>
      <c r="K11490" s="0" t="s">
        <v>38315</v>
      </c>
      <c r="L11490" s="0" t="str">
        <f aca="false">HYPERLINK("https://www.ncbi.nlm.nih.gov/nuccore/CP000304.1?report=graph&amp;tracks=[key:gene_model_track,Options:GeneOnly]&amp;mk=3216926:3216945|offset_7|00cc00,3216971:3216990|offset_52|444444,3216993:3217012|offset_74|444444,3217017:3217036|offset_98|444444&amp;v=3216725:3217236&amp;c=444444", "offset 7")</f>
        <v>offset 7</v>
      </c>
    </row>
    <row r="11491" customFormat="false" ht="12.8" hidden="false" customHeight="false" outlineLevel="0" collapsed="false">
      <c r="A11491" s="0" t="s">
        <v>12</v>
      </c>
      <c r="B11491" s="0" t="n">
        <v>3216970</v>
      </c>
      <c r="C11491" s="0" t="n">
        <v>3216990</v>
      </c>
      <c r="D11491" s="0" t="s">
        <v>38311</v>
      </c>
      <c r="E11491" s="0" t="s">
        <v>38312</v>
      </c>
      <c r="F11491" s="0" t="s">
        <v>15</v>
      </c>
      <c r="G11491" s="0" t="s">
        <v>16</v>
      </c>
      <c r="H11491" s="0" t="n">
        <v>52</v>
      </c>
      <c r="I11491" s="0" t="s">
        <v>38316</v>
      </c>
      <c r="J11491" s="0" t="s">
        <v>38317</v>
      </c>
      <c r="K11491" s="0" t="s">
        <v>38318</v>
      </c>
      <c r="L11491" s="0" t="str">
        <f aca="false">HYPERLINK("https://www.ncbi.nlm.nih.gov/nuccore/CP000304.1?report=graph&amp;tracks=[key:gene_model_track,Options:GeneOnly]&amp;mk=3216926:3216945|offset_7|444444,3216971:3216990|offset_52|00cc00,3216993:3217012|offset_74|444444,3217017:3217036|offset_98|444444&amp;v=3216725:3217236&amp;c=444444", "offset 52")</f>
        <v>offset 52</v>
      </c>
    </row>
    <row r="11492" customFormat="false" ht="12.8" hidden="false" customHeight="false" outlineLevel="0" collapsed="false">
      <c r="A11492" s="0" t="s">
        <v>12</v>
      </c>
      <c r="B11492" s="0" t="n">
        <v>3216992</v>
      </c>
      <c r="C11492" s="0" t="n">
        <v>3217012</v>
      </c>
      <c r="D11492" s="0" t="s">
        <v>38311</v>
      </c>
      <c r="E11492" s="0" t="s">
        <v>38312</v>
      </c>
      <c r="F11492" s="0" t="s">
        <v>15</v>
      </c>
      <c r="G11492" s="0" t="s">
        <v>26</v>
      </c>
      <c r="H11492" s="0" t="n">
        <v>74</v>
      </c>
      <c r="I11492" s="0" t="s">
        <v>38319</v>
      </c>
      <c r="J11492" s="0" t="s">
        <v>38320</v>
      </c>
      <c r="K11492" s="0" t="s">
        <v>38321</v>
      </c>
      <c r="L11492" s="0" t="str">
        <f aca="false">HYPERLINK("https://www.ncbi.nlm.nih.gov/nuccore/CP000304.1?report=graph&amp;tracks=[key:gene_model_track,Options:GeneOnly]&amp;mk=3216926:3216945|offset_7|444444,3216971:3216990|offset_52|444444,3216993:3217012|offset_74|00cc00,3217017:3217036|offset_98|444444&amp;v=3216725:3217236&amp;c=444444", "offset 74")</f>
        <v>offset 74</v>
      </c>
    </row>
    <row r="11493" customFormat="false" ht="12.8" hidden="false" customHeight="false" outlineLevel="0" collapsed="false">
      <c r="A11493" s="0" t="s">
        <v>12</v>
      </c>
      <c r="B11493" s="0" t="n">
        <v>3217016</v>
      </c>
      <c r="C11493" s="0" t="n">
        <v>3217036</v>
      </c>
      <c r="D11493" s="0" t="s">
        <v>38311</v>
      </c>
      <c r="E11493" s="0" t="s">
        <v>38312</v>
      </c>
      <c r="F11493" s="0" t="s">
        <v>15</v>
      </c>
      <c r="G11493" s="0" t="s">
        <v>16</v>
      </c>
      <c r="H11493" s="0" t="n">
        <v>98</v>
      </c>
      <c r="I11493" s="0" t="s">
        <v>38322</v>
      </c>
      <c r="J11493" s="0" t="s">
        <v>38323</v>
      </c>
      <c r="K11493" s="0" t="s">
        <v>38324</v>
      </c>
      <c r="L11493" s="0" t="str">
        <f aca="false">HYPERLINK("https://www.ncbi.nlm.nih.gov/nuccore/CP000304.1?report=graph&amp;tracks=[key:gene_model_track,Options:GeneOnly]&amp;mk=3216926:3216945|offset_7|444444,3216971:3216990|offset_52|444444,3216993:3217012|offset_74|444444,3217017:3217036|offset_98|00cc00&amp;v=3216725:3217236&amp;c=444444", "offset 98")</f>
        <v>offset 98</v>
      </c>
    </row>
    <row r="11494" customFormat="false" ht="12.8" hidden="false" customHeight="false" outlineLevel="0" collapsed="false">
      <c r="A11494" s="0" t="s">
        <v>12</v>
      </c>
      <c r="B11494" s="0" t="n">
        <v>3218179</v>
      </c>
      <c r="C11494" s="0" t="n">
        <v>3218199</v>
      </c>
      <c r="D11494" s="0" t="s">
        <v>38325</v>
      </c>
      <c r="E11494" s="0" t="s">
        <v>38326</v>
      </c>
      <c r="F11494" s="0" t="s">
        <v>15</v>
      </c>
      <c r="G11494" s="0" t="s">
        <v>16</v>
      </c>
      <c r="H11494" s="0" t="n">
        <v>8</v>
      </c>
      <c r="I11494" s="0" t="s">
        <v>38327</v>
      </c>
      <c r="J11494" s="0" t="s">
        <v>38328</v>
      </c>
      <c r="K11494" s="0" t="s">
        <v>38329</v>
      </c>
      <c r="L11494" s="0" t="str">
        <f aca="false">HYPERLINK("https://www.ncbi.nlm.nih.gov/nuccore/CP000304.1?report=graph&amp;tracks=[key:gene_model_track,Options:GeneOnly]&amp;mk=3218180:3218199|offset_8|00cc00,3218209:3218228|offset_37|444444,3218233:3218252|offset_61|444444,3218254:3218273|offset_82|444444&amp;v=3217979:3218473&amp;c=444444", "offset 8")</f>
        <v>offset 8</v>
      </c>
    </row>
    <row r="11495" customFormat="false" ht="12.8" hidden="false" customHeight="false" outlineLevel="0" collapsed="false">
      <c r="A11495" s="0" t="s">
        <v>12</v>
      </c>
      <c r="B11495" s="0" t="n">
        <v>3218208</v>
      </c>
      <c r="C11495" s="0" t="n">
        <v>3218228</v>
      </c>
      <c r="D11495" s="0" t="s">
        <v>38325</v>
      </c>
      <c r="E11495" s="0" t="s">
        <v>38326</v>
      </c>
      <c r="F11495" s="0" t="s">
        <v>15</v>
      </c>
      <c r="G11495" s="0" t="s">
        <v>32</v>
      </c>
      <c r="H11495" s="0" t="n">
        <v>37</v>
      </c>
      <c r="I11495" s="0" t="s">
        <v>38330</v>
      </c>
      <c r="J11495" s="0" t="s">
        <v>38331</v>
      </c>
      <c r="K11495" s="0" t="s">
        <v>38332</v>
      </c>
      <c r="L11495" s="0" t="str">
        <f aca="false">HYPERLINK("https://www.ncbi.nlm.nih.gov/nuccore/CP000304.1?report=graph&amp;tracks=[key:gene_model_track,Options:GeneOnly]&amp;mk=3218180:3218199|offset_8|444444,3218209:3218228|offset_37|00cc00,3218233:3218252|offset_61|444444,3218254:3218273|offset_82|444444&amp;v=3217979:3218473&amp;c=444444", "offset 37")</f>
        <v>offset 37</v>
      </c>
    </row>
    <row r="11496" customFormat="false" ht="12.8" hidden="false" customHeight="false" outlineLevel="0" collapsed="false">
      <c r="A11496" s="0" t="s">
        <v>12</v>
      </c>
      <c r="B11496" s="0" t="n">
        <v>3218232</v>
      </c>
      <c r="C11496" s="0" t="n">
        <v>3218252</v>
      </c>
      <c r="D11496" s="0" t="s">
        <v>38325</v>
      </c>
      <c r="E11496" s="0" t="s">
        <v>38326</v>
      </c>
      <c r="F11496" s="0" t="s">
        <v>15</v>
      </c>
      <c r="G11496" s="0" t="s">
        <v>16</v>
      </c>
      <c r="H11496" s="0" t="n">
        <v>61</v>
      </c>
      <c r="I11496" s="0" t="s">
        <v>38333</v>
      </c>
      <c r="J11496" s="0" t="s">
        <v>38334</v>
      </c>
      <c r="K11496" s="0" t="s">
        <v>38335</v>
      </c>
      <c r="L11496" s="0" t="str">
        <f aca="false">HYPERLINK("https://www.ncbi.nlm.nih.gov/nuccore/CP000304.1?report=graph&amp;tracks=[key:gene_model_track,Options:GeneOnly]&amp;mk=3218180:3218199|offset_8|444444,3218209:3218228|offset_37|444444,3218233:3218252|offset_61|00cc00,3218254:3218273|offset_82|444444&amp;v=3217979:3218473&amp;c=444444", "offset 61")</f>
        <v>offset 61</v>
      </c>
    </row>
    <row r="11497" customFormat="false" ht="12.8" hidden="false" customHeight="false" outlineLevel="0" collapsed="false">
      <c r="A11497" s="0" t="s">
        <v>12</v>
      </c>
      <c r="B11497" s="0" t="n">
        <v>3218253</v>
      </c>
      <c r="C11497" s="0" t="n">
        <v>3218273</v>
      </c>
      <c r="D11497" s="0" t="s">
        <v>38325</v>
      </c>
      <c r="E11497" s="0" t="s">
        <v>38326</v>
      </c>
      <c r="F11497" s="0" t="s">
        <v>15</v>
      </c>
      <c r="G11497" s="0" t="s">
        <v>16</v>
      </c>
      <c r="H11497" s="0" t="n">
        <v>82</v>
      </c>
      <c r="I11497" s="0" t="s">
        <v>38336</v>
      </c>
      <c r="J11497" s="0" t="s">
        <v>38337</v>
      </c>
      <c r="K11497" s="0" t="s">
        <v>38338</v>
      </c>
      <c r="L11497" s="0" t="str">
        <f aca="false">HYPERLINK("https://www.ncbi.nlm.nih.gov/nuccore/CP000304.1?report=graph&amp;tracks=[key:gene_model_track,Options:GeneOnly]&amp;mk=3218180:3218199|offset_8|444444,3218209:3218228|offset_37|444444,3218233:3218252|offset_61|444444,3218254:3218273|offset_82|00cc00&amp;v=3217979:3218473&amp;c=444444", "offset 82")</f>
        <v>offset 82</v>
      </c>
    </row>
    <row r="11498" customFormat="false" ht="12.8" hidden="false" customHeight="false" outlineLevel="0" collapsed="false">
      <c r="A11498" s="0" t="s">
        <v>12</v>
      </c>
      <c r="B11498" s="0" t="n">
        <v>3218969</v>
      </c>
      <c r="C11498" s="0" t="n">
        <v>3218989</v>
      </c>
      <c r="D11498" s="0" t="s">
        <v>38339</v>
      </c>
      <c r="E11498" s="0" t="s">
        <v>89</v>
      </c>
      <c r="F11498" s="0" t="s">
        <v>15</v>
      </c>
      <c r="G11498" s="0" t="s">
        <v>26</v>
      </c>
      <c r="H11498" s="0" t="n">
        <v>28</v>
      </c>
      <c r="I11498" s="0" t="s">
        <v>38340</v>
      </c>
      <c r="J11498" s="0" t="s">
        <v>38341</v>
      </c>
      <c r="K11498" s="0" t="s">
        <v>38342</v>
      </c>
      <c r="L11498" s="0" t="str">
        <f aca="false">HYPERLINK("https://www.ncbi.nlm.nih.gov/nuccore/CP000304.1?report=graph&amp;tracks=[key:gene_model_track,Options:GeneOnly]&amp;mk=3218970:3218989|offset_28|00cc00,3218991:3219010|offset_49|444444,3219057:3219076|offset_115|444444,3219081:3219100|offset_139|444444&amp;v=3218769:3219300&amp;c=444444", "offset 28")</f>
        <v>offset 28</v>
      </c>
    </row>
    <row r="11499" customFormat="false" ht="12.8" hidden="false" customHeight="false" outlineLevel="0" collapsed="false">
      <c r="A11499" s="0" t="s">
        <v>12</v>
      </c>
      <c r="B11499" s="0" t="n">
        <v>3218990</v>
      </c>
      <c r="C11499" s="0" t="n">
        <v>3219010</v>
      </c>
      <c r="D11499" s="0" t="s">
        <v>38339</v>
      </c>
      <c r="E11499" s="0" t="s">
        <v>89</v>
      </c>
      <c r="F11499" s="0" t="s">
        <v>15</v>
      </c>
      <c r="G11499" s="0" t="s">
        <v>36</v>
      </c>
      <c r="H11499" s="0" t="n">
        <v>49</v>
      </c>
      <c r="I11499" s="0" t="s">
        <v>38343</v>
      </c>
      <c r="J11499" s="0" t="s">
        <v>38344</v>
      </c>
      <c r="K11499" s="0" t="s">
        <v>38345</v>
      </c>
      <c r="L11499" s="0" t="str">
        <f aca="false">HYPERLINK("https://www.ncbi.nlm.nih.gov/nuccore/CP000304.1?report=graph&amp;tracks=[key:gene_model_track,Options:GeneOnly]&amp;mk=3218970:3218989|offset_28|444444,3218991:3219010|offset_49|00cc00,3219057:3219076|offset_115|444444,3219081:3219100|offset_139|444444&amp;v=3218769:3219300&amp;c=444444", "offset 49")</f>
        <v>offset 49</v>
      </c>
    </row>
    <row r="11500" customFormat="false" ht="12.8" hidden="false" customHeight="false" outlineLevel="0" collapsed="false">
      <c r="A11500" s="0" t="s">
        <v>12</v>
      </c>
      <c r="B11500" s="0" t="n">
        <v>3219056</v>
      </c>
      <c r="C11500" s="0" t="n">
        <v>3219076</v>
      </c>
      <c r="D11500" s="0" t="s">
        <v>38339</v>
      </c>
      <c r="E11500" s="0" t="s">
        <v>89</v>
      </c>
      <c r="F11500" s="0" t="s">
        <v>15</v>
      </c>
      <c r="G11500" s="0" t="s">
        <v>16</v>
      </c>
      <c r="H11500" s="0" t="n">
        <v>115</v>
      </c>
      <c r="I11500" s="0" t="s">
        <v>38346</v>
      </c>
      <c r="J11500" s="0" t="s">
        <v>38347</v>
      </c>
      <c r="K11500" s="0" t="s">
        <v>38348</v>
      </c>
      <c r="L11500" s="0" t="str">
        <f aca="false">HYPERLINK("https://www.ncbi.nlm.nih.gov/nuccore/CP000304.1?report=graph&amp;tracks=[key:gene_model_track,Options:GeneOnly]&amp;mk=3218970:3218989|offset_28|444444,3218991:3219010|offset_49|444444,3219057:3219076|offset_115|00cc00,3219081:3219100|offset_139|444444&amp;v=3218769:3219300&amp;c=444444", "offset 115")</f>
        <v>offset 115</v>
      </c>
    </row>
    <row r="11501" customFormat="false" ht="12.8" hidden="false" customHeight="false" outlineLevel="0" collapsed="false">
      <c r="A11501" s="0" t="s">
        <v>12</v>
      </c>
      <c r="B11501" s="0" t="n">
        <v>3219080</v>
      </c>
      <c r="C11501" s="0" t="n">
        <v>3219100</v>
      </c>
      <c r="D11501" s="0" t="s">
        <v>38339</v>
      </c>
      <c r="E11501" s="0" t="s">
        <v>89</v>
      </c>
      <c r="F11501" s="0" t="s">
        <v>15</v>
      </c>
      <c r="G11501" s="0" t="s">
        <v>36</v>
      </c>
      <c r="H11501" s="0" t="n">
        <v>139</v>
      </c>
      <c r="I11501" s="0" t="s">
        <v>38349</v>
      </c>
      <c r="J11501" s="0" t="s">
        <v>38350</v>
      </c>
      <c r="K11501" s="0" t="s">
        <v>38351</v>
      </c>
      <c r="L11501" s="0" t="str">
        <f aca="false">HYPERLINK("https://www.ncbi.nlm.nih.gov/nuccore/CP000304.1?report=graph&amp;tracks=[key:gene_model_track,Options:GeneOnly]&amp;mk=3218970:3218989|offset_28|444444,3218991:3219010|offset_49|444444,3219057:3219076|offset_115|444444,3219081:3219100|offset_139|00cc00&amp;v=3218769:3219300&amp;c=444444", "offset 139")</f>
        <v>offset 139</v>
      </c>
    </row>
    <row r="11502" customFormat="false" ht="12.8" hidden="false" customHeight="false" outlineLevel="0" collapsed="false">
      <c r="A11502" s="0" t="s">
        <v>12</v>
      </c>
      <c r="B11502" s="0" t="n">
        <v>3219815</v>
      </c>
      <c r="C11502" s="0" t="n">
        <v>3219835</v>
      </c>
      <c r="D11502" s="0" t="s">
        <v>38352</v>
      </c>
      <c r="E11502" s="0" t="s">
        <v>89</v>
      </c>
      <c r="F11502" s="0" t="s">
        <v>15</v>
      </c>
      <c r="G11502" s="0" t="s">
        <v>32</v>
      </c>
      <c r="H11502" s="0" t="n">
        <v>8</v>
      </c>
      <c r="I11502" s="0" t="s">
        <v>38353</v>
      </c>
      <c r="J11502" s="0" t="s">
        <v>38354</v>
      </c>
      <c r="K11502" s="0" t="s">
        <v>38355</v>
      </c>
      <c r="L11502" s="0" t="str">
        <f aca="false">HYPERLINK("https://www.ncbi.nlm.nih.gov/nuccore/CP000304.1?report=graph&amp;tracks=[key:gene_model_track,Options:GeneOnly]&amp;mk=3219816:3219835|offset_8|00cc00,3219845:3219864|offset_37|444444,3219885:3219904|offset_77|444444,3219908:3219927|offset_100|444444&amp;v=3219615:3220127&amp;c=444444", "offset 8")</f>
        <v>offset 8</v>
      </c>
    </row>
    <row r="11503" customFormat="false" ht="12.8" hidden="false" customHeight="false" outlineLevel="0" collapsed="false">
      <c r="A11503" s="0" t="s">
        <v>12</v>
      </c>
      <c r="B11503" s="0" t="n">
        <v>3219844</v>
      </c>
      <c r="C11503" s="0" t="n">
        <v>3219864</v>
      </c>
      <c r="D11503" s="0" t="s">
        <v>38352</v>
      </c>
      <c r="E11503" s="0" t="s">
        <v>89</v>
      </c>
      <c r="F11503" s="0" t="s">
        <v>15</v>
      </c>
      <c r="G11503" s="0" t="s">
        <v>32</v>
      </c>
      <c r="H11503" s="0" t="n">
        <v>37</v>
      </c>
      <c r="I11503" s="0" t="s">
        <v>38356</v>
      </c>
      <c r="J11503" s="0" t="s">
        <v>38357</v>
      </c>
      <c r="K11503" s="0" t="s">
        <v>38358</v>
      </c>
      <c r="L11503" s="0" t="str">
        <f aca="false">HYPERLINK("https://www.ncbi.nlm.nih.gov/nuccore/CP000304.1?report=graph&amp;tracks=[key:gene_model_track,Options:GeneOnly]&amp;mk=3219816:3219835|offset_8|444444,3219845:3219864|offset_37|00cc00,3219885:3219904|offset_77|444444,3219908:3219927|offset_100|444444&amp;v=3219615:3220127&amp;c=444444", "offset 37")</f>
        <v>offset 37</v>
      </c>
    </row>
    <row r="11504" customFormat="false" ht="12.8" hidden="false" customHeight="false" outlineLevel="0" collapsed="false">
      <c r="A11504" s="0" t="s">
        <v>12</v>
      </c>
      <c r="B11504" s="0" t="n">
        <v>3219884</v>
      </c>
      <c r="C11504" s="0" t="n">
        <v>3219904</v>
      </c>
      <c r="D11504" s="0" t="s">
        <v>38352</v>
      </c>
      <c r="E11504" s="0" t="s">
        <v>89</v>
      </c>
      <c r="F11504" s="0" t="s">
        <v>15</v>
      </c>
      <c r="G11504" s="0" t="s">
        <v>36</v>
      </c>
      <c r="H11504" s="0" t="n">
        <v>77</v>
      </c>
      <c r="I11504" s="0" t="s">
        <v>38359</v>
      </c>
      <c r="J11504" s="0" t="s">
        <v>38360</v>
      </c>
      <c r="K11504" s="0" t="s">
        <v>38361</v>
      </c>
      <c r="L11504" s="0" t="str">
        <f aca="false">HYPERLINK("https://www.ncbi.nlm.nih.gov/nuccore/CP000304.1?report=graph&amp;tracks=[key:gene_model_track,Options:GeneOnly]&amp;mk=3219816:3219835|offset_8|444444,3219845:3219864|offset_37|444444,3219885:3219904|offset_77|00cc00,3219908:3219927|offset_100|444444&amp;v=3219615:3220127&amp;c=444444", "offset 77")</f>
        <v>offset 77</v>
      </c>
    </row>
    <row r="11505" customFormat="false" ht="12.8" hidden="false" customHeight="false" outlineLevel="0" collapsed="false">
      <c r="A11505" s="0" t="s">
        <v>12</v>
      </c>
      <c r="B11505" s="0" t="n">
        <v>3219907</v>
      </c>
      <c r="C11505" s="0" t="n">
        <v>3219927</v>
      </c>
      <c r="D11505" s="0" t="s">
        <v>38352</v>
      </c>
      <c r="E11505" s="0" t="s">
        <v>89</v>
      </c>
      <c r="F11505" s="0" t="s">
        <v>15</v>
      </c>
      <c r="G11505" s="0" t="s">
        <v>32</v>
      </c>
      <c r="H11505" s="0" t="n">
        <v>100</v>
      </c>
      <c r="I11505" s="0" t="s">
        <v>38362</v>
      </c>
      <c r="J11505" s="0" t="s">
        <v>38363</v>
      </c>
      <c r="K11505" s="0" t="s">
        <v>38364</v>
      </c>
      <c r="L11505" s="0" t="str">
        <f aca="false">HYPERLINK("https://www.ncbi.nlm.nih.gov/nuccore/CP000304.1?report=graph&amp;tracks=[key:gene_model_track,Options:GeneOnly]&amp;mk=3219816:3219835|offset_8|444444,3219845:3219864|offset_37|444444,3219885:3219904|offset_77|444444,3219908:3219927|offset_100|00cc00&amp;v=3219615:3220127&amp;c=444444", "offset 100")</f>
        <v>offset 100</v>
      </c>
    </row>
    <row r="11506" customFormat="false" ht="12.8" hidden="false" customHeight="false" outlineLevel="0" collapsed="false">
      <c r="A11506" s="0" t="s">
        <v>12</v>
      </c>
      <c r="B11506" s="0" t="n">
        <v>3220901</v>
      </c>
      <c r="C11506" s="0" t="n">
        <v>3220921</v>
      </c>
      <c r="D11506" s="0" t="s">
        <v>38365</v>
      </c>
      <c r="E11506" s="0" t="s">
        <v>89</v>
      </c>
      <c r="F11506" s="0" t="s">
        <v>15</v>
      </c>
      <c r="G11506" s="0" t="s">
        <v>32</v>
      </c>
      <c r="H11506" s="0" t="n">
        <v>8</v>
      </c>
      <c r="I11506" s="0" t="s">
        <v>38366</v>
      </c>
      <c r="J11506" s="0" t="s">
        <v>38367</v>
      </c>
      <c r="K11506" s="0" t="s">
        <v>38368</v>
      </c>
      <c r="L11506" s="0" t="str">
        <f aca="false">HYPERLINK("https://www.ncbi.nlm.nih.gov/nuccore/CP000304.1?report=graph&amp;tracks=[key:gene_model_track,Options:GeneOnly]&amp;mk=3220902:3220921|offset_8|00cc00,3220934:3220953|offset_40|444444,3220971:3220990|offset_77|444444,3221027:3221046|offset_133|444444&amp;v=3220701:3221246&amp;c=444444", "offset 8")</f>
        <v>offset 8</v>
      </c>
    </row>
    <row r="11507" customFormat="false" ht="12.8" hidden="false" customHeight="false" outlineLevel="0" collapsed="false">
      <c r="A11507" s="0" t="s">
        <v>12</v>
      </c>
      <c r="B11507" s="0" t="n">
        <v>3220933</v>
      </c>
      <c r="C11507" s="0" t="n">
        <v>3220953</v>
      </c>
      <c r="D11507" s="0" t="s">
        <v>38365</v>
      </c>
      <c r="E11507" s="0" t="s">
        <v>89</v>
      </c>
      <c r="F11507" s="0" t="s">
        <v>15</v>
      </c>
      <c r="G11507" s="0" t="s">
        <v>16</v>
      </c>
      <c r="H11507" s="0" t="n">
        <v>40</v>
      </c>
      <c r="I11507" s="0" t="s">
        <v>38369</v>
      </c>
      <c r="J11507" s="0" t="s">
        <v>38370</v>
      </c>
      <c r="K11507" s="0" t="s">
        <v>38371</v>
      </c>
      <c r="L11507" s="0" t="str">
        <f aca="false">HYPERLINK("https://www.ncbi.nlm.nih.gov/nuccore/CP000304.1?report=graph&amp;tracks=[key:gene_model_track,Options:GeneOnly]&amp;mk=3220902:3220921|offset_8|444444,3220934:3220953|offset_40|00cc00,3220971:3220990|offset_77|444444,3221027:3221046|offset_133|444444&amp;v=3220701:3221246&amp;c=444444", "offset 40")</f>
        <v>offset 40</v>
      </c>
    </row>
    <row r="11508" customFormat="false" ht="12.8" hidden="false" customHeight="false" outlineLevel="0" collapsed="false">
      <c r="A11508" s="0" t="s">
        <v>12</v>
      </c>
      <c r="B11508" s="0" t="n">
        <v>3220970</v>
      </c>
      <c r="C11508" s="0" t="n">
        <v>3220990</v>
      </c>
      <c r="D11508" s="0" t="s">
        <v>38365</v>
      </c>
      <c r="E11508" s="0" t="s">
        <v>89</v>
      </c>
      <c r="F11508" s="0" t="s">
        <v>15</v>
      </c>
      <c r="G11508" s="0" t="s">
        <v>26</v>
      </c>
      <c r="H11508" s="0" t="n">
        <v>77</v>
      </c>
      <c r="I11508" s="0" t="s">
        <v>38372</v>
      </c>
      <c r="J11508" s="0" t="s">
        <v>38373</v>
      </c>
      <c r="K11508" s="0" t="s">
        <v>38374</v>
      </c>
      <c r="L11508" s="0" t="str">
        <f aca="false">HYPERLINK("https://www.ncbi.nlm.nih.gov/nuccore/CP000304.1?report=graph&amp;tracks=[key:gene_model_track,Options:GeneOnly]&amp;mk=3220902:3220921|offset_8|444444,3220934:3220953|offset_40|444444,3220971:3220990|offset_77|00cc00,3221027:3221046|offset_133|444444&amp;v=3220701:3221246&amp;c=444444", "offset 77")</f>
        <v>offset 77</v>
      </c>
    </row>
    <row r="11509" customFormat="false" ht="12.8" hidden="false" customHeight="false" outlineLevel="0" collapsed="false">
      <c r="A11509" s="0" t="s">
        <v>12</v>
      </c>
      <c r="B11509" s="0" t="n">
        <v>3221026</v>
      </c>
      <c r="C11509" s="0" t="n">
        <v>3221046</v>
      </c>
      <c r="D11509" s="0" t="s">
        <v>38365</v>
      </c>
      <c r="E11509" s="0" t="s">
        <v>89</v>
      </c>
      <c r="F11509" s="0" t="s">
        <v>15</v>
      </c>
      <c r="G11509" s="0" t="s">
        <v>16</v>
      </c>
      <c r="H11509" s="0" t="n">
        <v>133</v>
      </c>
      <c r="I11509" s="0" t="s">
        <v>38375</v>
      </c>
      <c r="J11509" s="0" t="s">
        <v>38376</v>
      </c>
      <c r="K11509" s="0" t="s">
        <v>38377</v>
      </c>
      <c r="L11509" s="0" t="str">
        <f aca="false">HYPERLINK("https://www.ncbi.nlm.nih.gov/nuccore/CP000304.1?report=graph&amp;tracks=[key:gene_model_track,Options:GeneOnly]&amp;mk=3220902:3220921|offset_8|444444,3220934:3220953|offset_40|444444,3220971:3220990|offset_77|444444,3221027:3221046|offset_133|00cc00&amp;v=3220701:3221246&amp;c=444444", "offset 133")</f>
        <v>offset 133</v>
      </c>
    </row>
    <row r="11510" customFormat="false" ht="12.8" hidden="false" customHeight="false" outlineLevel="0" collapsed="false">
      <c r="A11510" s="0" t="s">
        <v>12</v>
      </c>
      <c r="B11510" s="0" t="n">
        <v>3221168</v>
      </c>
      <c r="C11510" s="0" t="n">
        <v>3221188</v>
      </c>
      <c r="D11510" s="0" t="s">
        <v>38378</v>
      </c>
      <c r="E11510" s="0" t="s">
        <v>89</v>
      </c>
      <c r="F11510" s="0" t="s">
        <v>15</v>
      </c>
      <c r="G11510" s="0" t="s">
        <v>36</v>
      </c>
      <c r="H11510" s="0" t="n">
        <v>21</v>
      </c>
      <c r="I11510" s="0" t="s">
        <v>38379</v>
      </c>
      <c r="J11510" s="0" t="s">
        <v>38380</v>
      </c>
      <c r="K11510" s="0" t="s">
        <v>38381</v>
      </c>
      <c r="L11510" s="0" t="str">
        <f aca="false">HYPERLINK("https://www.ncbi.nlm.nih.gov/nuccore/CP000304.1?report=graph&amp;tracks=[key:gene_model_track,Options:GeneOnly]&amp;mk=3221169:3221188|offset_21|00cc00,3221189:3221208|offset_41|444444,3221211:3221230|offset_63|444444,3221236:3221255|offset_88|444444&amp;v=3220968:3221455&amp;c=444444", "offset 21")</f>
        <v>offset 21</v>
      </c>
    </row>
    <row r="11511" customFormat="false" ht="12.8" hidden="false" customHeight="false" outlineLevel="0" collapsed="false">
      <c r="A11511" s="0" t="s">
        <v>12</v>
      </c>
      <c r="B11511" s="0" t="n">
        <v>3221188</v>
      </c>
      <c r="C11511" s="0" t="n">
        <v>3221208</v>
      </c>
      <c r="D11511" s="0" t="s">
        <v>38378</v>
      </c>
      <c r="E11511" s="0" t="s">
        <v>89</v>
      </c>
      <c r="F11511" s="0" t="s">
        <v>15</v>
      </c>
      <c r="G11511" s="0" t="s">
        <v>26</v>
      </c>
      <c r="H11511" s="0" t="n">
        <v>41</v>
      </c>
      <c r="I11511" s="0" t="s">
        <v>38382</v>
      </c>
      <c r="J11511" s="0" t="s">
        <v>38383</v>
      </c>
      <c r="K11511" s="0" t="s">
        <v>38384</v>
      </c>
      <c r="L11511" s="0" t="str">
        <f aca="false">HYPERLINK("https://www.ncbi.nlm.nih.gov/nuccore/CP000304.1?report=graph&amp;tracks=[key:gene_model_track,Options:GeneOnly]&amp;mk=3221169:3221188|offset_21|444444,3221189:3221208|offset_41|00cc00,3221211:3221230|offset_63|444444,3221236:3221255|offset_88|444444&amp;v=3220968:3221455&amp;c=444444", "offset 41")</f>
        <v>offset 41</v>
      </c>
    </row>
    <row r="11512" customFormat="false" ht="12.8" hidden="false" customHeight="false" outlineLevel="0" collapsed="false">
      <c r="A11512" s="0" t="s">
        <v>12</v>
      </c>
      <c r="B11512" s="0" t="n">
        <v>3221210</v>
      </c>
      <c r="C11512" s="0" t="n">
        <v>3221230</v>
      </c>
      <c r="D11512" s="0" t="s">
        <v>38378</v>
      </c>
      <c r="E11512" s="0" t="s">
        <v>89</v>
      </c>
      <c r="F11512" s="0" t="s">
        <v>15</v>
      </c>
      <c r="G11512" s="0" t="s">
        <v>16</v>
      </c>
      <c r="H11512" s="0" t="n">
        <v>63</v>
      </c>
      <c r="I11512" s="0" t="s">
        <v>38385</v>
      </c>
      <c r="J11512" s="0" t="s">
        <v>38386</v>
      </c>
      <c r="K11512" s="0" t="s">
        <v>38387</v>
      </c>
      <c r="L11512" s="0" t="str">
        <f aca="false">HYPERLINK("https://www.ncbi.nlm.nih.gov/nuccore/CP000304.1?report=graph&amp;tracks=[key:gene_model_track,Options:GeneOnly]&amp;mk=3221169:3221188|offset_21|444444,3221189:3221208|offset_41|444444,3221211:3221230|offset_63|00cc00,3221236:3221255|offset_88|444444&amp;v=3220968:3221455&amp;c=444444", "offset 63")</f>
        <v>offset 63</v>
      </c>
    </row>
    <row r="11513" customFormat="false" ht="12.8" hidden="false" customHeight="false" outlineLevel="0" collapsed="false">
      <c r="A11513" s="0" t="s">
        <v>12</v>
      </c>
      <c r="B11513" s="0" t="n">
        <v>3221235</v>
      </c>
      <c r="C11513" s="0" t="n">
        <v>3221255</v>
      </c>
      <c r="D11513" s="0" t="s">
        <v>38378</v>
      </c>
      <c r="E11513" s="0" t="s">
        <v>89</v>
      </c>
      <c r="F11513" s="0" t="s">
        <v>15</v>
      </c>
      <c r="G11513" s="0" t="s">
        <v>26</v>
      </c>
      <c r="H11513" s="0" t="n">
        <v>88</v>
      </c>
      <c r="I11513" s="0" t="s">
        <v>38388</v>
      </c>
      <c r="J11513" s="0" t="s">
        <v>38389</v>
      </c>
      <c r="K11513" s="0" t="s">
        <v>38390</v>
      </c>
      <c r="L11513" s="0" t="str">
        <f aca="false">HYPERLINK("https://www.ncbi.nlm.nih.gov/nuccore/CP000304.1?report=graph&amp;tracks=[key:gene_model_track,Options:GeneOnly]&amp;mk=3221169:3221188|offset_21|444444,3221189:3221208|offset_41|444444,3221211:3221230|offset_63|444444,3221236:3221255|offset_88|00cc00&amp;v=3220968:3221455&amp;c=444444", "offset 88")</f>
        <v>offset 88</v>
      </c>
    </row>
    <row r="11514" customFormat="false" ht="12.8" hidden="false" customHeight="false" outlineLevel="0" collapsed="false">
      <c r="A11514" s="0" t="s">
        <v>12</v>
      </c>
      <c r="B11514" s="0" t="n">
        <v>3222938</v>
      </c>
      <c r="C11514" s="0" t="n">
        <v>3222958</v>
      </c>
      <c r="D11514" s="0" t="s">
        <v>38391</v>
      </c>
      <c r="E11514" s="0" t="s">
        <v>38392</v>
      </c>
      <c r="F11514" s="0" t="s">
        <v>90</v>
      </c>
      <c r="G11514" s="0" t="s">
        <v>26</v>
      </c>
      <c r="H11514" s="0" t="n">
        <v>1</v>
      </c>
      <c r="I11514" s="0" t="s">
        <v>38393</v>
      </c>
      <c r="J11514" s="0" t="s">
        <v>38394</v>
      </c>
      <c r="K11514" s="0" t="s">
        <v>38395</v>
      </c>
      <c r="L11514" s="0" t="str">
        <f aca="false">HYPERLINK("https://www.ncbi.nlm.nih.gov/nuccore/CP000304.1?report=graph&amp;tracks=[key:gene_model_track,Options:GeneOnly]&amp;mk=3222939:3222958|offset_1|00cc00,3222914:3222933|offset_26|444444,3222890:3222909|offset_50|444444,3222864:3222883|offset_76|444444&amp;v=3222738:3223083&amp;c=444444", "offset 1")</f>
        <v>offset 1</v>
      </c>
    </row>
    <row r="11515" customFormat="false" ht="12.8" hidden="false" customHeight="false" outlineLevel="0" collapsed="false">
      <c r="A11515" s="0" t="s">
        <v>12</v>
      </c>
      <c r="B11515" s="0" t="n">
        <v>3222913</v>
      </c>
      <c r="C11515" s="0" t="n">
        <v>3222933</v>
      </c>
      <c r="D11515" s="0" t="s">
        <v>38391</v>
      </c>
      <c r="E11515" s="0" t="s">
        <v>38392</v>
      </c>
      <c r="F11515" s="0" t="s">
        <v>90</v>
      </c>
      <c r="G11515" s="0" t="s">
        <v>32</v>
      </c>
      <c r="H11515" s="0" t="n">
        <v>26</v>
      </c>
      <c r="I11515" s="0" t="s">
        <v>38396</v>
      </c>
      <c r="J11515" s="0" t="s">
        <v>38397</v>
      </c>
      <c r="K11515" s="0" t="s">
        <v>38398</v>
      </c>
      <c r="L11515" s="0" t="str">
        <f aca="false">HYPERLINK("https://www.ncbi.nlm.nih.gov/nuccore/CP000304.1?report=graph&amp;tracks=[key:gene_model_track,Options:GeneOnly]&amp;mk=3222939:3222958|offset_1|444444,3222914:3222933|offset_26|00cc00,3222890:3222909|offset_50|444444,3222864:3222883|offset_76|444444&amp;v=3222738:3223083&amp;c=444444", "offset 26")</f>
        <v>offset 26</v>
      </c>
    </row>
    <row r="11516" customFormat="false" ht="12.8" hidden="false" customHeight="false" outlineLevel="0" collapsed="false">
      <c r="A11516" s="0" t="s">
        <v>12</v>
      </c>
      <c r="B11516" s="0" t="n">
        <v>3222889</v>
      </c>
      <c r="C11516" s="0" t="n">
        <v>3222909</v>
      </c>
      <c r="D11516" s="0" t="s">
        <v>38391</v>
      </c>
      <c r="E11516" s="0" t="s">
        <v>38392</v>
      </c>
      <c r="F11516" s="0" t="s">
        <v>90</v>
      </c>
      <c r="G11516" s="0" t="s">
        <v>32</v>
      </c>
      <c r="H11516" s="0" t="n">
        <v>50</v>
      </c>
      <c r="I11516" s="0" t="s">
        <v>38399</v>
      </c>
      <c r="J11516" s="0" t="s">
        <v>38400</v>
      </c>
      <c r="K11516" s="0" t="s">
        <v>38401</v>
      </c>
      <c r="L11516" s="0" t="str">
        <f aca="false">HYPERLINK("https://www.ncbi.nlm.nih.gov/nuccore/CP000304.1?report=graph&amp;tracks=[key:gene_model_track,Options:GeneOnly]&amp;mk=3222939:3222958|offset_1|444444,3222914:3222933|offset_26|444444,3222890:3222909|offset_50|00cc00,3222864:3222883|offset_76|444444&amp;v=3222738:3223083&amp;c=444444", "offset 50")</f>
        <v>offset 50</v>
      </c>
    </row>
    <row r="11517" customFormat="false" ht="12.8" hidden="false" customHeight="false" outlineLevel="0" collapsed="false">
      <c r="A11517" s="0" t="s">
        <v>12</v>
      </c>
      <c r="B11517" s="0" t="n">
        <v>3222863</v>
      </c>
      <c r="C11517" s="0" t="n">
        <v>3222883</v>
      </c>
      <c r="D11517" s="0" t="s">
        <v>38391</v>
      </c>
      <c r="E11517" s="0" t="s">
        <v>38392</v>
      </c>
      <c r="F11517" s="0" t="s">
        <v>90</v>
      </c>
      <c r="G11517" s="0" t="s">
        <v>16</v>
      </c>
      <c r="H11517" s="0" t="n">
        <v>76</v>
      </c>
      <c r="I11517" s="0" t="s">
        <v>38402</v>
      </c>
      <c r="J11517" s="0" t="s">
        <v>38403</v>
      </c>
      <c r="K11517" s="0" t="s">
        <v>38404</v>
      </c>
      <c r="L11517" s="0" t="str">
        <f aca="false">HYPERLINK("https://www.ncbi.nlm.nih.gov/nuccore/CP000304.1?report=graph&amp;tracks=[key:gene_model_track,Options:GeneOnly]&amp;mk=3222939:3222958|offset_1|444444,3222914:3222933|offset_26|444444,3222890:3222909|offset_50|444444,3222864:3222883|offset_76|00cc00&amp;v=3222738:3223083&amp;c=444444", "offset 76")</f>
        <v>offset 76</v>
      </c>
    </row>
    <row r="11518" customFormat="false" ht="12.8" hidden="false" customHeight="false" outlineLevel="0" collapsed="false">
      <c r="A11518" s="0" t="s">
        <v>12</v>
      </c>
      <c r="B11518" s="0" t="n">
        <v>3223651</v>
      </c>
      <c r="C11518" s="0" t="n">
        <v>3223671</v>
      </c>
      <c r="D11518" s="0" t="s">
        <v>38405</v>
      </c>
      <c r="E11518" s="0" t="s">
        <v>89</v>
      </c>
      <c r="F11518" s="0" t="s">
        <v>90</v>
      </c>
      <c r="G11518" s="0" t="s">
        <v>32</v>
      </c>
      <c r="H11518" s="0" t="n">
        <v>37</v>
      </c>
      <c r="I11518" s="0" t="s">
        <v>38406</v>
      </c>
      <c r="J11518" s="0" t="s">
        <v>38407</v>
      </c>
      <c r="K11518" s="0" t="s">
        <v>38408</v>
      </c>
      <c r="L11518" s="0" t="str">
        <f aca="false">HYPERLINK("https://www.ncbi.nlm.nih.gov/nuccore/CP000304.1?report=graph&amp;tracks=[key:gene_model_track,Options:GeneOnly]&amp;mk=3223652:3223671|offset_37|00cc00,3223613:3223632|offset_76|444444,3223588:3223607|offset_101|444444,3223567:3223586|offset_122|444444&amp;v=3223451:3223786&amp;c=444444", "offset 37")</f>
        <v>offset 37</v>
      </c>
    </row>
    <row r="11519" customFormat="false" ht="12.8" hidden="false" customHeight="false" outlineLevel="0" collapsed="false">
      <c r="A11519" s="0" t="s">
        <v>12</v>
      </c>
      <c r="B11519" s="0" t="n">
        <v>3223612</v>
      </c>
      <c r="C11519" s="0" t="n">
        <v>3223632</v>
      </c>
      <c r="D11519" s="0" t="s">
        <v>38405</v>
      </c>
      <c r="E11519" s="0" t="s">
        <v>89</v>
      </c>
      <c r="F11519" s="0" t="s">
        <v>90</v>
      </c>
      <c r="G11519" s="0" t="s">
        <v>26</v>
      </c>
      <c r="H11519" s="0" t="n">
        <v>76</v>
      </c>
      <c r="I11519" s="0" t="s">
        <v>38409</v>
      </c>
      <c r="J11519" s="0" t="s">
        <v>38410</v>
      </c>
      <c r="K11519" s="0" t="s">
        <v>38411</v>
      </c>
      <c r="L11519" s="0" t="str">
        <f aca="false">HYPERLINK("https://www.ncbi.nlm.nih.gov/nuccore/CP000304.1?report=graph&amp;tracks=[key:gene_model_track,Options:GeneOnly]&amp;mk=3223652:3223671|offset_37|444444,3223613:3223632|offset_76|00cc00,3223588:3223607|offset_101|444444,3223567:3223586|offset_122|444444&amp;v=3223451:3223786&amp;c=444444", "offset 76")</f>
        <v>offset 76</v>
      </c>
    </row>
    <row r="11520" customFormat="false" ht="12.8" hidden="false" customHeight="false" outlineLevel="0" collapsed="false">
      <c r="A11520" s="0" t="s">
        <v>12</v>
      </c>
      <c r="B11520" s="0" t="n">
        <v>3223587</v>
      </c>
      <c r="C11520" s="0" t="n">
        <v>3223607</v>
      </c>
      <c r="D11520" s="0" t="s">
        <v>38405</v>
      </c>
      <c r="E11520" s="0" t="s">
        <v>89</v>
      </c>
      <c r="F11520" s="0" t="s">
        <v>90</v>
      </c>
      <c r="G11520" s="0" t="s">
        <v>26</v>
      </c>
      <c r="H11520" s="0" t="n">
        <v>101</v>
      </c>
      <c r="I11520" s="0" t="s">
        <v>38412</v>
      </c>
      <c r="J11520" s="0" t="s">
        <v>38413</v>
      </c>
      <c r="K11520" s="0" t="s">
        <v>38414</v>
      </c>
      <c r="L11520" s="0" t="str">
        <f aca="false">HYPERLINK("https://www.ncbi.nlm.nih.gov/nuccore/CP000304.1?report=graph&amp;tracks=[key:gene_model_track,Options:GeneOnly]&amp;mk=3223652:3223671|offset_37|444444,3223613:3223632|offset_76|444444,3223588:3223607|offset_101|00cc00,3223567:3223586|offset_122|444444&amp;v=3223451:3223786&amp;c=444444", "offset 101")</f>
        <v>offset 101</v>
      </c>
    </row>
    <row r="11521" customFormat="false" ht="12.8" hidden="false" customHeight="false" outlineLevel="0" collapsed="false">
      <c r="A11521" s="0" t="s">
        <v>12</v>
      </c>
      <c r="B11521" s="0" t="n">
        <v>3223566</v>
      </c>
      <c r="C11521" s="0" t="n">
        <v>3223586</v>
      </c>
      <c r="D11521" s="0" t="s">
        <v>38405</v>
      </c>
      <c r="E11521" s="0" t="s">
        <v>89</v>
      </c>
      <c r="F11521" s="0" t="s">
        <v>90</v>
      </c>
      <c r="G11521" s="0" t="s">
        <v>16</v>
      </c>
      <c r="H11521" s="0" t="n">
        <v>122</v>
      </c>
      <c r="I11521" s="0" t="s">
        <v>38415</v>
      </c>
      <c r="J11521" s="0" t="s">
        <v>38416</v>
      </c>
      <c r="K11521" s="0" t="s">
        <v>38417</v>
      </c>
      <c r="L11521" s="0" t="str">
        <f aca="false">HYPERLINK("https://www.ncbi.nlm.nih.gov/nuccore/CP000304.1?report=graph&amp;tracks=[key:gene_model_track,Options:GeneOnly]&amp;mk=3223652:3223671|offset_37|444444,3223613:3223632|offset_76|444444,3223588:3223607|offset_101|444444,3223567:3223586|offset_122|00cc00&amp;v=3223451:3223786&amp;c=444444", "offset 122")</f>
        <v>offset 122</v>
      </c>
    </row>
    <row r="11522" customFormat="false" ht="12.8" hidden="false" customHeight="false" outlineLevel="0" collapsed="false">
      <c r="A11522" s="0" t="s">
        <v>12</v>
      </c>
      <c r="B11522" s="0" t="n">
        <v>3226024</v>
      </c>
      <c r="C11522" s="0" t="n">
        <v>3226044</v>
      </c>
      <c r="D11522" s="0" t="s">
        <v>38418</v>
      </c>
      <c r="E11522" s="0" t="s">
        <v>38419</v>
      </c>
      <c r="F11522" s="0" t="s">
        <v>90</v>
      </c>
      <c r="G11522" s="0" t="s">
        <v>32</v>
      </c>
      <c r="H11522" s="0" t="n">
        <v>1</v>
      </c>
      <c r="I11522" s="0" t="s">
        <v>38420</v>
      </c>
      <c r="J11522" s="0" t="s">
        <v>38421</v>
      </c>
      <c r="K11522" s="0" t="s">
        <v>38422</v>
      </c>
      <c r="L11522" s="0" t="str">
        <f aca="false">HYPERLINK("https://www.ncbi.nlm.nih.gov/nuccore/CP000304.1?report=graph&amp;tracks=[key:gene_model_track,Options:GeneOnly]&amp;mk=3226025:3226044|offset_1|00cc00,3225996:3226015|offset_30|444444,3225965:3225984|offset_61|444444,3225943:3225962|offset_83|444444&amp;v=3225824:3226162&amp;c=444444", "offset 1")</f>
        <v>offset 1</v>
      </c>
    </row>
    <row r="11523" customFormat="false" ht="12.8" hidden="false" customHeight="false" outlineLevel="0" collapsed="false">
      <c r="A11523" s="0" t="s">
        <v>12</v>
      </c>
      <c r="B11523" s="0" t="n">
        <v>3225995</v>
      </c>
      <c r="C11523" s="0" t="n">
        <v>3226015</v>
      </c>
      <c r="D11523" s="0" t="s">
        <v>38418</v>
      </c>
      <c r="E11523" s="0" t="s">
        <v>38419</v>
      </c>
      <c r="F11523" s="0" t="s">
        <v>90</v>
      </c>
      <c r="G11523" s="0" t="s">
        <v>32</v>
      </c>
      <c r="H11523" s="0" t="n">
        <v>30</v>
      </c>
      <c r="I11523" s="0" t="s">
        <v>38423</v>
      </c>
      <c r="J11523" s="0" t="s">
        <v>38424</v>
      </c>
      <c r="K11523" s="0" t="s">
        <v>38425</v>
      </c>
      <c r="L11523" s="0" t="str">
        <f aca="false">HYPERLINK("https://www.ncbi.nlm.nih.gov/nuccore/CP000304.1?report=graph&amp;tracks=[key:gene_model_track,Options:GeneOnly]&amp;mk=3226025:3226044|offset_1|444444,3225996:3226015|offset_30|00cc00,3225965:3225984|offset_61|444444,3225943:3225962|offset_83|444444&amp;v=3225824:3226162&amp;c=444444", "offset 30")</f>
        <v>offset 30</v>
      </c>
    </row>
    <row r="11524" customFormat="false" ht="12.8" hidden="false" customHeight="false" outlineLevel="0" collapsed="false">
      <c r="A11524" s="0" t="s">
        <v>12</v>
      </c>
      <c r="B11524" s="0" t="n">
        <v>3225964</v>
      </c>
      <c r="C11524" s="0" t="n">
        <v>3225984</v>
      </c>
      <c r="D11524" s="0" t="s">
        <v>38418</v>
      </c>
      <c r="E11524" s="0" t="s">
        <v>38419</v>
      </c>
      <c r="F11524" s="0" t="s">
        <v>90</v>
      </c>
      <c r="G11524" s="0" t="s">
        <v>16</v>
      </c>
      <c r="H11524" s="0" t="n">
        <v>61</v>
      </c>
      <c r="I11524" s="0" t="s">
        <v>38426</v>
      </c>
      <c r="J11524" s="0" t="s">
        <v>38427</v>
      </c>
      <c r="K11524" s="0" t="s">
        <v>38428</v>
      </c>
      <c r="L11524" s="0" t="str">
        <f aca="false">HYPERLINK("https://www.ncbi.nlm.nih.gov/nuccore/CP000304.1?report=graph&amp;tracks=[key:gene_model_track,Options:GeneOnly]&amp;mk=3226025:3226044|offset_1|444444,3225996:3226015|offset_30|444444,3225965:3225984|offset_61|00cc00,3225943:3225962|offset_83|444444&amp;v=3225824:3226162&amp;c=444444", "offset 61")</f>
        <v>offset 61</v>
      </c>
    </row>
    <row r="11525" customFormat="false" ht="12.8" hidden="false" customHeight="false" outlineLevel="0" collapsed="false">
      <c r="A11525" s="0" t="s">
        <v>12</v>
      </c>
      <c r="B11525" s="0" t="n">
        <v>3225942</v>
      </c>
      <c r="C11525" s="0" t="n">
        <v>3225962</v>
      </c>
      <c r="D11525" s="0" t="s">
        <v>38418</v>
      </c>
      <c r="E11525" s="0" t="s">
        <v>38419</v>
      </c>
      <c r="F11525" s="0" t="s">
        <v>90</v>
      </c>
      <c r="G11525" s="0" t="s">
        <v>26</v>
      </c>
      <c r="H11525" s="0" t="n">
        <v>83</v>
      </c>
      <c r="I11525" s="0" t="s">
        <v>38429</v>
      </c>
      <c r="J11525" s="0" t="s">
        <v>38430</v>
      </c>
      <c r="K11525" s="0" t="s">
        <v>38431</v>
      </c>
      <c r="L11525" s="0" t="str">
        <f aca="false">HYPERLINK("https://www.ncbi.nlm.nih.gov/nuccore/CP000304.1?report=graph&amp;tracks=[key:gene_model_track,Options:GeneOnly]&amp;mk=3226025:3226044|offset_1|444444,3225996:3226015|offset_30|444444,3225965:3225984|offset_61|444444,3225943:3225962|offset_83|00cc00&amp;v=3225824:3226162&amp;c=444444", "offset 83")</f>
        <v>offset 83</v>
      </c>
    </row>
    <row r="11526" customFormat="false" ht="12.8" hidden="false" customHeight="false" outlineLevel="0" collapsed="false">
      <c r="A11526" s="0" t="s">
        <v>12</v>
      </c>
      <c r="B11526" s="0" t="n">
        <v>3228192</v>
      </c>
      <c r="C11526" s="0" t="n">
        <v>3228212</v>
      </c>
      <c r="D11526" s="0" t="s">
        <v>38432</v>
      </c>
      <c r="E11526" s="0" t="s">
        <v>38433</v>
      </c>
      <c r="F11526" s="0" t="s">
        <v>90</v>
      </c>
      <c r="G11526" s="0" t="s">
        <v>32</v>
      </c>
      <c r="H11526" s="0" t="n">
        <v>7</v>
      </c>
      <c r="I11526" s="0" t="s">
        <v>38434</v>
      </c>
      <c r="J11526" s="0" t="s">
        <v>38435</v>
      </c>
      <c r="K11526" s="0" t="s">
        <v>38436</v>
      </c>
      <c r="L11526" s="0" t="str">
        <f aca="false">HYPERLINK("https://www.ncbi.nlm.nih.gov/nuccore/CP000304.1?report=graph&amp;tracks=[key:gene_model_track,Options:GeneOnly]&amp;mk=3228193:3228212|offset_7|00cc00,3228153:3228172|offset_47|444444,3228099:3228118|offset_101|444444,3228064:3228083|offset_136|444444&amp;v=3227992:3228283&amp;c=444444", "offset 7")</f>
        <v>offset 7</v>
      </c>
    </row>
    <row r="11527" customFormat="false" ht="12.8" hidden="false" customHeight="false" outlineLevel="0" collapsed="false">
      <c r="A11527" s="0" t="s">
        <v>12</v>
      </c>
      <c r="B11527" s="0" t="n">
        <v>3228152</v>
      </c>
      <c r="C11527" s="0" t="n">
        <v>3228172</v>
      </c>
      <c r="D11527" s="0" t="s">
        <v>38432</v>
      </c>
      <c r="E11527" s="0" t="s">
        <v>38433</v>
      </c>
      <c r="F11527" s="0" t="s">
        <v>90</v>
      </c>
      <c r="G11527" s="0" t="s">
        <v>32</v>
      </c>
      <c r="H11527" s="0" t="n">
        <v>47</v>
      </c>
      <c r="I11527" s="0" t="s">
        <v>38437</v>
      </c>
      <c r="J11527" s="0" t="s">
        <v>38438</v>
      </c>
      <c r="K11527" s="0" t="s">
        <v>38439</v>
      </c>
      <c r="L11527" s="0" t="str">
        <f aca="false">HYPERLINK("https://www.ncbi.nlm.nih.gov/nuccore/CP000304.1?report=graph&amp;tracks=[key:gene_model_track,Options:GeneOnly]&amp;mk=3228193:3228212|offset_7|444444,3228153:3228172|offset_47|00cc00,3228099:3228118|offset_101|444444,3228064:3228083|offset_136|444444&amp;v=3227992:3228283&amp;c=444444", "offset 47")</f>
        <v>offset 47</v>
      </c>
    </row>
    <row r="11528" customFormat="false" ht="12.8" hidden="false" customHeight="false" outlineLevel="0" collapsed="false">
      <c r="A11528" s="0" t="s">
        <v>12</v>
      </c>
      <c r="B11528" s="0" t="n">
        <v>3228098</v>
      </c>
      <c r="C11528" s="0" t="n">
        <v>3228118</v>
      </c>
      <c r="D11528" s="0" t="s">
        <v>38432</v>
      </c>
      <c r="E11528" s="0" t="s">
        <v>38433</v>
      </c>
      <c r="F11528" s="0" t="s">
        <v>90</v>
      </c>
      <c r="G11528" s="0" t="s">
        <v>32</v>
      </c>
      <c r="H11528" s="0" t="n">
        <v>101</v>
      </c>
      <c r="I11528" s="0" t="s">
        <v>38440</v>
      </c>
      <c r="J11528" s="0" t="s">
        <v>38441</v>
      </c>
      <c r="K11528" s="0" t="s">
        <v>38442</v>
      </c>
      <c r="L11528" s="0" t="str">
        <f aca="false">HYPERLINK("https://www.ncbi.nlm.nih.gov/nuccore/CP000304.1?report=graph&amp;tracks=[key:gene_model_track,Options:GeneOnly]&amp;mk=3228193:3228212|offset_7|444444,3228153:3228172|offset_47|444444,3228099:3228118|offset_101|00cc00,3228064:3228083|offset_136|444444&amp;v=3227992:3228283&amp;c=444444", "offset 101")</f>
        <v>offset 101</v>
      </c>
    </row>
    <row r="11529" customFormat="false" ht="12.8" hidden="false" customHeight="false" outlineLevel="0" collapsed="false">
      <c r="A11529" s="0" t="s">
        <v>12</v>
      </c>
      <c r="B11529" s="0" t="n">
        <v>3228063</v>
      </c>
      <c r="C11529" s="0" t="n">
        <v>3228083</v>
      </c>
      <c r="D11529" s="0" t="s">
        <v>38432</v>
      </c>
      <c r="E11529" s="0" t="s">
        <v>38433</v>
      </c>
      <c r="F11529" s="0" t="s">
        <v>90</v>
      </c>
      <c r="G11529" s="0" t="s">
        <v>26</v>
      </c>
      <c r="H11529" s="0" t="n">
        <v>136</v>
      </c>
      <c r="I11529" s="0" t="s">
        <v>38443</v>
      </c>
      <c r="J11529" s="0" t="s">
        <v>38444</v>
      </c>
      <c r="K11529" s="0" t="s">
        <v>38445</v>
      </c>
      <c r="L11529" s="0" t="str">
        <f aca="false">HYPERLINK("https://www.ncbi.nlm.nih.gov/nuccore/CP000304.1?report=graph&amp;tracks=[key:gene_model_track,Options:GeneOnly]&amp;mk=3228193:3228212|offset_7|444444,3228153:3228172|offset_47|444444,3228099:3228118|offset_101|444444,3228064:3228083|offset_136|00cc00&amp;v=3227992:3228283&amp;c=444444", "offset 136")</f>
        <v>offset 136</v>
      </c>
    </row>
    <row r="11530" customFormat="false" ht="12.8" hidden="false" customHeight="false" outlineLevel="0" collapsed="false">
      <c r="A11530" s="0" t="s">
        <v>12</v>
      </c>
      <c r="B11530" s="0" t="n">
        <v>3228427</v>
      </c>
      <c r="C11530" s="0" t="n">
        <v>3228447</v>
      </c>
      <c r="D11530" s="0" t="s">
        <v>38446</v>
      </c>
      <c r="E11530" s="0" t="s">
        <v>38447</v>
      </c>
      <c r="F11530" s="0" t="s">
        <v>15</v>
      </c>
      <c r="G11530" s="0" t="s">
        <v>16</v>
      </c>
      <c r="H11530" s="0" t="n">
        <v>7</v>
      </c>
      <c r="I11530" s="0" t="s">
        <v>38448</v>
      </c>
      <c r="J11530" s="0" t="s">
        <v>38449</v>
      </c>
      <c r="K11530" s="0" t="s">
        <v>38450</v>
      </c>
      <c r="L11530" s="0" t="str">
        <f aca="false">HYPERLINK("https://www.ncbi.nlm.nih.gov/nuccore/CP000304.1?report=graph&amp;tracks=[key:gene_model_track,Options:GeneOnly]&amp;mk=3228428:3228447|offset_7|00cc00,3228458:3228477|offset_37|444444,3228496:3228515|offset_75|444444,3228518:3228537|offset_97|444444&amp;v=3228227:3228737&amp;c=444444", "offset 7")</f>
        <v>offset 7</v>
      </c>
    </row>
    <row r="11531" customFormat="false" ht="12.8" hidden="false" customHeight="false" outlineLevel="0" collapsed="false">
      <c r="A11531" s="0" t="s">
        <v>12</v>
      </c>
      <c r="B11531" s="0" t="n">
        <v>3228457</v>
      </c>
      <c r="C11531" s="0" t="n">
        <v>3228477</v>
      </c>
      <c r="D11531" s="0" t="s">
        <v>38446</v>
      </c>
      <c r="E11531" s="0" t="s">
        <v>38447</v>
      </c>
      <c r="F11531" s="0" t="s">
        <v>15</v>
      </c>
      <c r="G11531" s="0" t="s">
        <v>36</v>
      </c>
      <c r="H11531" s="0" t="n">
        <v>37</v>
      </c>
      <c r="I11531" s="0" t="s">
        <v>38451</v>
      </c>
      <c r="J11531" s="0" t="s">
        <v>38452</v>
      </c>
      <c r="K11531" s="0" t="s">
        <v>38453</v>
      </c>
      <c r="L11531" s="0" t="str">
        <f aca="false">HYPERLINK("https://www.ncbi.nlm.nih.gov/nuccore/CP000304.1?report=graph&amp;tracks=[key:gene_model_track,Options:GeneOnly]&amp;mk=3228428:3228447|offset_7|444444,3228458:3228477|offset_37|00cc00,3228496:3228515|offset_75|444444,3228518:3228537|offset_97|444444&amp;v=3228227:3228737&amp;c=444444", "offset 37")</f>
        <v>offset 37</v>
      </c>
    </row>
    <row r="11532" customFormat="false" ht="12.8" hidden="false" customHeight="false" outlineLevel="0" collapsed="false">
      <c r="A11532" s="0" t="s">
        <v>12</v>
      </c>
      <c r="B11532" s="0" t="n">
        <v>3228495</v>
      </c>
      <c r="C11532" s="0" t="n">
        <v>3228515</v>
      </c>
      <c r="D11532" s="0" t="s">
        <v>38446</v>
      </c>
      <c r="E11532" s="0" t="s">
        <v>38447</v>
      </c>
      <c r="F11532" s="0" t="s">
        <v>15</v>
      </c>
      <c r="G11532" s="0" t="s">
        <v>26</v>
      </c>
      <c r="H11532" s="0" t="n">
        <v>75</v>
      </c>
      <c r="I11532" s="0" t="s">
        <v>38454</v>
      </c>
      <c r="J11532" s="0" t="s">
        <v>38455</v>
      </c>
      <c r="K11532" s="0" t="s">
        <v>38456</v>
      </c>
      <c r="L11532" s="0" t="str">
        <f aca="false">HYPERLINK("https://www.ncbi.nlm.nih.gov/nuccore/CP000304.1?report=graph&amp;tracks=[key:gene_model_track,Options:GeneOnly]&amp;mk=3228428:3228447|offset_7|444444,3228458:3228477|offset_37|444444,3228496:3228515|offset_75|00cc00,3228518:3228537|offset_97|444444&amp;v=3228227:3228737&amp;c=444444", "offset 75")</f>
        <v>offset 75</v>
      </c>
    </row>
    <row r="11533" customFormat="false" ht="12.8" hidden="false" customHeight="false" outlineLevel="0" collapsed="false">
      <c r="A11533" s="0" t="s">
        <v>12</v>
      </c>
      <c r="B11533" s="0" t="n">
        <v>3228517</v>
      </c>
      <c r="C11533" s="0" t="n">
        <v>3228537</v>
      </c>
      <c r="D11533" s="0" t="s">
        <v>38446</v>
      </c>
      <c r="E11533" s="0" t="s">
        <v>38447</v>
      </c>
      <c r="F11533" s="0" t="s">
        <v>15</v>
      </c>
      <c r="G11533" s="0" t="s">
        <v>32</v>
      </c>
      <c r="H11533" s="0" t="n">
        <v>97</v>
      </c>
      <c r="I11533" s="0" t="s">
        <v>38457</v>
      </c>
      <c r="J11533" s="0" t="s">
        <v>38458</v>
      </c>
      <c r="K11533" s="0" t="s">
        <v>38459</v>
      </c>
      <c r="L11533" s="0" t="str">
        <f aca="false">HYPERLINK("https://www.ncbi.nlm.nih.gov/nuccore/CP000304.1?report=graph&amp;tracks=[key:gene_model_track,Options:GeneOnly]&amp;mk=3228428:3228447|offset_7|444444,3228458:3228477|offset_37|444444,3228496:3228515|offset_75|444444,3228518:3228537|offset_97|00cc00&amp;v=3228227:3228737&amp;c=444444", "offset 97")</f>
        <v>offset 97</v>
      </c>
    </row>
    <row r="11534" customFormat="false" ht="12.8" hidden="false" customHeight="false" outlineLevel="0" collapsed="false">
      <c r="A11534" s="0" t="s">
        <v>12</v>
      </c>
      <c r="B11534" s="0" t="n">
        <v>3230721</v>
      </c>
      <c r="C11534" s="0" t="n">
        <v>3230741</v>
      </c>
      <c r="D11534" s="0" t="s">
        <v>38460</v>
      </c>
      <c r="E11534" s="0" t="s">
        <v>89</v>
      </c>
      <c r="F11534" s="0" t="s">
        <v>90</v>
      </c>
      <c r="G11534" s="0" t="s">
        <v>26</v>
      </c>
      <c r="H11534" s="0" t="n">
        <v>0</v>
      </c>
      <c r="I11534" s="0" t="s">
        <v>38461</v>
      </c>
      <c r="J11534" s="0" t="s">
        <v>38462</v>
      </c>
      <c r="K11534" s="0" t="s">
        <v>38463</v>
      </c>
      <c r="L11534" s="0" t="str">
        <f aca="false">HYPERLINK("https://www.ncbi.nlm.nih.gov/nuccore/CP000304.1?report=graph&amp;tracks=[key:gene_model_track,Options:GeneOnly]&amp;mk=3230722:3230741|offset_0|00cc00,3230678:3230697|offset_44|444444,3230645:3230664|offset_77|444444,3230617:3230636|offset_105|444444&amp;v=3230521:3230836&amp;c=444444", "offset 0")</f>
        <v>offset 0</v>
      </c>
    </row>
    <row r="11535" customFormat="false" ht="12.8" hidden="false" customHeight="false" outlineLevel="0" collapsed="false">
      <c r="A11535" s="0" t="s">
        <v>12</v>
      </c>
      <c r="B11535" s="0" t="n">
        <v>3230677</v>
      </c>
      <c r="C11535" s="0" t="n">
        <v>3230697</v>
      </c>
      <c r="D11535" s="0" t="s">
        <v>38460</v>
      </c>
      <c r="E11535" s="0" t="s">
        <v>89</v>
      </c>
      <c r="F11535" s="0" t="s">
        <v>90</v>
      </c>
      <c r="G11535" s="0" t="s">
        <v>36</v>
      </c>
      <c r="H11535" s="0" t="n">
        <v>44</v>
      </c>
      <c r="I11535" s="0" t="s">
        <v>38464</v>
      </c>
      <c r="J11535" s="0" t="s">
        <v>38465</v>
      </c>
      <c r="K11535" s="0" t="s">
        <v>38466</v>
      </c>
      <c r="L11535" s="0" t="str">
        <f aca="false">HYPERLINK("https://www.ncbi.nlm.nih.gov/nuccore/CP000304.1?report=graph&amp;tracks=[key:gene_model_track,Options:GeneOnly]&amp;mk=3230722:3230741|offset_0|444444,3230678:3230697|offset_44|00cc00,3230645:3230664|offset_77|444444,3230617:3230636|offset_105|444444&amp;v=3230521:3230836&amp;c=444444", "offset 44")</f>
        <v>offset 44</v>
      </c>
    </row>
    <row r="11536" customFormat="false" ht="12.8" hidden="false" customHeight="false" outlineLevel="0" collapsed="false">
      <c r="A11536" s="0" t="s">
        <v>12</v>
      </c>
      <c r="B11536" s="0" t="n">
        <v>3230644</v>
      </c>
      <c r="C11536" s="0" t="n">
        <v>3230664</v>
      </c>
      <c r="D11536" s="0" t="s">
        <v>38460</v>
      </c>
      <c r="E11536" s="0" t="s">
        <v>89</v>
      </c>
      <c r="F11536" s="0" t="s">
        <v>90</v>
      </c>
      <c r="G11536" s="0" t="s">
        <v>16</v>
      </c>
      <c r="H11536" s="0" t="n">
        <v>77</v>
      </c>
      <c r="I11536" s="0" t="s">
        <v>38467</v>
      </c>
      <c r="J11536" s="0" t="s">
        <v>38468</v>
      </c>
      <c r="K11536" s="0" t="s">
        <v>38469</v>
      </c>
      <c r="L11536" s="0" t="str">
        <f aca="false">HYPERLINK("https://www.ncbi.nlm.nih.gov/nuccore/CP000304.1?report=graph&amp;tracks=[key:gene_model_track,Options:GeneOnly]&amp;mk=3230722:3230741|offset_0|444444,3230678:3230697|offset_44|444444,3230645:3230664|offset_77|00cc00,3230617:3230636|offset_105|444444&amp;v=3230521:3230836&amp;c=444444", "offset 77")</f>
        <v>offset 77</v>
      </c>
    </row>
    <row r="11537" customFormat="false" ht="12.8" hidden="false" customHeight="false" outlineLevel="0" collapsed="false">
      <c r="A11537" s="0" t="s">
        <v>12</v>
      </c>
      <c r="B11537" s="0" t="n">
        <v>3230616</v>
      </c>
      <c r="C11537" s="0" t="n">
        <v>3230636</v>
      </c>
      <c r="D11537" s="0" t="s">
        <v>38460</v>
      </c>
      <c r="E11537" s="0" t="s">
        <v>89</v>
      </c>
      <c r="F11537" s="0" t="s">
        <v>90</v>
      </c>
      <c r="G11537" s="0" t="s">
        <v>26</v>
      </c>
      <c r="H11537" s="0" t="n">
        <v>105</v>
      </c>
      <c r="I11537" s="0" t="s">
        <v>38470</v>
      </c>
      <c r="J11537" s="0" t="s">
        <v>38471</v>
      </c>
      <c r="K11537" s="0" t="s">
        <v>38472</v>
      </c>
      <c r="L11537" s="0" t="str">
        <f aca="false">HYPERLINK("https://www.ncbi.nlm.nih.gov/nuccore/CP000304.1?report=graph&amp;tracks=[key:gene_model_track,Options:GeneOnly]&amp;mk=3230722:3230741|offset_0|444444,3230678:3230697|offset_44|444444,3230645:3230664|offset_77|444444,3230617:3230636|offset_105|00cc00&amp;v=3230521:3230836&amp;c=444444", "offset 105")</f>
        <v>offset 105</v>
      </c>
    </row>
    <row r="11538" customFormat="false" ht="12.8" hidden="false" customHeight="false" outlineLevel="0" collapsed="false">
      <c r="A11538" s="0" t="s">
        <v>12</v>
      </c>
      <c r="B11538" s="0" t="n">
        <v>3232472</v>
      </c>
      <c r="C11538" s="0" t="n">
        <v>3232492</v>
      </c>
      <c r="D11538" s="0" t="s">
        <v>38473</v>
      </c>
      <c r="E11538" s="0" t="s">
        <v>89</v>
      </c>
      <c r="F11538" s="0" t="s">
        <v>90</v>
      </c>
      <c r="G11538" s="0" t="s">
        <v>32</v>
      </c>
      <c r="H11538" s="0" t="n">
        <v>1</v>
      </c>
      <c r="I11538" s="0" t="s">
        <v>38474</v>
      </c>
      <c r="J11538" s="0" t="s">
        <v>38475</v>
      </c>
      <c r="K11538" s="0" t="s">
        <v>38476</v>
      </c>
      <c r="L11538" s="0" t="str">
        <f aca="false">HYPERLINK("https://www.ncbi.nlm.nih.gov/nuccore/CP000304.1?report=graph&amp;tracks=[key:gene_model_track,Options:GeneOnly]&amp;mk=3232473:3232492|offset_1|00cc00,3232437:3232456|offset_37|444444,3232402:3232421|offset_72|444444,3232377:3232396|offset_97|444444&amp;v=3232272:3232596&amp;c=444444", "offset 1")</f>
        <v>offset 1</v>
      </c>
    </row>
    <row r="11539" customFormat="false" ht="12.8" hidden="false" customHeight="false" outlineLevel="0" collapsed="false">
      <c r="A11539" s="0" t="s">
        <v>12</v>
      </c>
      <c r="B11539" s="0" t="n">
        <v>3232436</v>
      </c>
      <c r="C11539" s="0" t="n">
        <v>3232456</v>
      </c>
      <c r="D11539" s="0" t="s">
        <v>38473</v>
      </c>
      <c r="E11539" s="0" t="s">
        <v>89</v>
      </c>
      <c r="F11539" s="0" t="s">
        <v>90</v>
      </c>
      <c r="G11539" s="0" t="s">
        <v>32</v>
      </c>
      <c r="H11539" s="0" t="n">
        <v>37</v>
      </c>
      <c r="I11539" s="0" t="s">
        <v>38477</v>
      </c>
      <c r="J11539" s="0" t="s">
        <v>38478</v>
      </c>
      <c r="K11539" s="0" t="s">
        <v>38479</v>
      </c>
      <c r="L11539" s="0" t="str">
        <f aca="false">HYPERLINK("https://www.ncbi.nlm.nih.gov/nuccore/CP000304.1?report=graph&amp;tracks=[key:gene_model_track,Options:GeneOnly]&amp;mk=3232473:3232492|offset_1|444444,3232437:3232456|offset_37|00cc00,3232402:3232421|offset_72|444444,3232377:3232396|offset_97|444444&amp;v=3232272:3232596&amp;c=444444", "offset 37")</f>
        <v>offset 37</v>
      </c>
    </row>
    <row r="11540" customFormat="false" ht="12.8" hidden="false" customHeight="false" outlineLevel="0" collapsed="false">
      <c r="A11540" s="0" t="s">
        <v>12</v>
      </c>
      <c r="B11540" s="0" t="n">
        <v>3232401</v>
      </c>
      <c r="C11540" s="0" t="n">
        <v>3232421</v>
      </c>
      <c r="D11540" s="0" t="s">
        <v>38473</v>
      </c>
      <c r="E11540" s="0" t="s">
        <v>89</v>
      </c>
      <c r="F11540" s="0" t="s">
        <v>90</v>
      </c>
      <c r="G11540" s="0" t="s">
        <v>36</v>
      </c>
      <c r="H11540" s="0" t="n">
        <v>72</v>
      </c>
      <c r="I11540" s="0" t="s">
        <v>38480</v>
      </c>
      <c r="J11540" s="0" t="s">
        <v>38481</v>
      </c>
      <c r="K11540" s="0" t="s">
        <v>38482</v>
      </c>
      <c r="L11540" s="0" t="str">
        <f aca="false">HYPERLINK("https://www.ncbi.nlm.nih.gov/nuccore/CP000304.1?report=graph&amp;tracks=[key:gene_model_track,Options:GeneOnly]&amp;mk=3232473:3232492|offset_1|444444,3232437:3232456|offset_37|444444,3232402:3232421|offset_72|00cc00,3232377:3232396|offset_97|444444&amp;v=3232272:3232596&amp;c=444444", "offset 72")</f>
        <v>offset 72</v>
      </c>
    </row>
    <row r="11541" customFormat="false" ht="12.8" hidden="false" customHeight="false" outlineLevel="0" collapsed="false">
      <c r="A11541" s="0" t="s">
        <v>12</v>
      </c>
      <c r="B11541" s="0" t="n">
        <v>3232376</v>
      </c>
      <c r="C11541" s="0" t="n">
        <v>3232396</v>
      </c>
      <c r="D11541" s="0" t="s">
        <v>38473</v>
      </c>
      <c r="E11541" s="0" t="s">
        <v>89</v>
      </c>
      <c r="F11541" s="0" t="s">
        <v>90</v>
      </c>
      <c r="G11541" s="0" t="s">
        <v>16</v>
      </c>
      <c r="H11541" s="0" t="n">
        <v>97</v>
      </c>
      <c r="I11541" s="0" t="s">
        <v>38483</v>
      </c>
      <c r="J11541" s="0" t="s">
        <v>38484</v>
      </c>
      <c r="K11541" s="0" t="s">
        <v>38485</v>
      </c>
      <c r="L11541" s="0" t="str">
        <f aca="false">HYPERLINK("https://www.ncbi.nlm.nih.gov/nuccore/CP000304.1?report=graph&amp;tracks=[key:gene_model_track,Options:GeneOnly]&amp;mk=3232473:3232492|offset_1|444444,3232437:3232456|offset_37|444444,3232402:3232421|offset_72|444444,3232377:3232396|offset_97|00cc00&amp;v=3232272:3232596&amp;c=444444", "offset 97")</f>
        <v>offset 97</v>
      </c>
    </row>
    <row r="11542" customFormat="false" ht="12.8" hidden="false" customHeight="false" outlineLevel="0" collapsed="false">
      <c r="A11542" s="0" t="s">
        <v>12</v>
      </c>
      <c r="B11542" s="0" t="n">
        <v>3232874</v>
      </c>
      <c r="C11542" s="0" t="n">
        <v>3232894</v>
      </c>
      <c r="D11542" s="0" t="s">
        <v>38486</v>
      </c>
      <c r="E11542" s="0" t="s">
        <v>38487</v>
      </c>
      <c r="F11542" s="0" t="s">
        <v>15</v>
      </c>
      <c r="G11542" s="0" t="s">
        <v>26</v>
      </c>
      <c r="H11542" s="0" t="n">
        <v>29</v>
      </c>
      <c r="I11542" s="0" t="s">
        <v>38488</v>
      </c>
      <c r="J11542" s="0" t="s">
        <v>38489</v>
      </c>
      <c r="K11542" s="0" t="s">
        <v>38490</v>
      </c>
      <c r="L11542" s="0" t="str">
        <f aca="false">HYPERLINK("https://www.ncbi.nlm.nih.gov/nuccore/CP000304.1?report=graph&amp;tracks=[key:gene_model_track,Options:GeneOnly]&amp;mk=3232875:3232894|offset_29|00cc00,3232925:3232944|offset_79|444444,3232946:3232965|offset_100|444444,3232977:3232996|offset_131|444444&amp;v=3232674:3233196&amp;c=444444", "offset 29")</f>
        <v>offset 29</v>
      </c>
    </row>
    <row r="11543" customFormat="false" ht="12.8" hidden="false" customHeight="false" outlineLevel="0" collapsed="false">
      <c r="A11543" s="0" t="s">
        <v>12</v>
      </c>
      <c r="B11543" s="0" t="n">
        <v>3232924</v>
      </c>
      <c r="C11543" s="0" t="n">
        <v>3232944</v>
      </c>
      <c r="D11543" s="0" t="s">
        <v>38486</v>
      </c>
      <c r="E11543" s="0" t="s">
        <v>38487</v>
      </c>
      <c r="F11543" s="0" t="s">
        <v>15</v>
      </c>
      <c r="G11543" s="0" t="s">
        <v>26</v>
      </c>
      <c r="H11543" s="0" t="n">
        <v>79</v>
      </c>
      <c r="I11543" s="0" t="s">
        <v>38491</v>
      </c>
      <c r="J11543" s="0" t="s">
        <v>38492</v>
      </c>
      <c r="K11543" s="0" t="s">
        <v>38493</v>
      </c>
      <c r="L11543" s="0" t="str">
        <f aca="false">HYPERLINK("https://www.ncbi.nlm.nih.gov/nuccore/CP000304.1?report=graph&amp;tracks=[key:gene_model_track,Options:GeneOnly]&amp;mk=3232875:3232894|offset_29|444444,3232925:3232944|offset_79|00cc00,3232946:3232965|offset_100|444444,3232977:3232996|offset_131|444444&amp;v=3232674:3233196&amp;c=444444", "offset 79")</f>
        <v>offset 79</v>
      </c>
    </row>
    <row r="11544" customFormat="false" ht="12.8" hidden="false" customHeight="false" outlineLevel="0" collapsed="false">
      <c r="A11544" s="0" t="s">
        <v>12</v>
      </c>
      <c r="B11544" s="0" t="n">
        <v>3232945</v>
      </c>
      <c r="C11544" s="0" t="n">
        <v>3232965</v>
      </c>
      <c r="D11544" s="0" t="s">
        <v>38486</v>
      </c>
      <c r="E11544" s="0" t="s">
        <v>38487</v>
      </c>
      <c r="F11544" s="0" t="s">
        <v>15</v>
      </c>
      <c r="G11544" s="0" t="s">
        <v>26</v>
      </c>
      <c r="H11544" s="0" t="n">
        <v>100</v>
      </c>
      <c r="I11544" s="0" t="s">
        <v>38494</v>
      </c>
      <c r="J11544" s="0" t="s">
        <v>38495</v>
      </c>
      <c r="K11544" s="0" t="s">
        <v>38496</v>
      </c>
      <c r="L11544" s="0" t="str">
        <f aca="false">HYPERLINK("https://www.ncbi.nlm.nih.gov/nuccore/CP000304.1?report=graph&amp;tracks=[key:gene_model_track,Options:GeneOnly]&amp;mk=3232875:3232894|offset_29|444444,3232925:3232944|offset_79|444444,3232946:3232965|offset_100|00cc00,3232977:3232996|offset_131|444444&amp;v=3232674:3233196&amp;c=444444", "offset 100")</f>
        <v>offset 100</v>
      </c>
    </row>
    <row r="11545" customFormat="false" ht="12.8" hidden="false" customHeight="false" outlineLevel="0" collapsed="false">
      <c r="A11545" s="0" t="s">
        <v>12</v>
      </c>
      <c r="B11545" s="0" t="n">
        <v>3232976</v>
      </c>
      <c r="C11545" s="0" t="n">
        <v>3232996</v>
      </c>
      <c r="D11545" s="0" t="s">
        <v>38486</v>
      </c>
      <c r="E11545" s="0" t="s">
        <v>38487</v>
      </c>
      <c r="F11545" s="0" t="s">
        <v>15</v>
      </c>
      <c r="G11545" s="0" t="s">
        <v>32</v>
      </c>
      <c r="H11545" s="0" t="n">
        <v>131</v>
      </c>
      <c r="I11545" s="0" t="s">
        <v>38497</v>
      </c>
      <c r="J11545" s="0" t="s">
        <v>38498</v>
      </c>
      <c r="K11545" s="0" t="s">
        <v>38499</v>
      </c>
      <c r="L11545" s="0" t="str">
        <f aca="false">HYPERLINK("https://www.ncbi.nlm.nih.gov/nuccore/CP000304.1?report=graph&amp;tracks=[key:gene_model_track,Options:GeneOnly]&amp;mk=3232875:3232894|offset_29|444444,3232925:3232944|offset_79|444444,3232946:3232965|offset_100|444444,3232977:3232996|offset_131|00cc00&amp;v=3232674:3233196&amp;c=444444", "offset 131")</f>
        <v>offset 131</v>
      </c>
    </row>
    <row r="11546" customFormat="false" ht="12.8" hidden="false" customHeight="false" outlineLevel="0" collapsed="false">
      <c r="A11546" s="0" t="s">
        <v>12</v>
      </c>
      <c r="B11546" s="0" t="n">
        <v>3233693</v>
      </c>
      <c r="C11546" s="0" t="n">
        <v>3233713</v>
      </c>
      <c r="D11546" s="0" t="s">
        <v>38500</v>
      </c>
      <c r="E11546" s="0" t="s">
        <v>89</v>
      </c>
      <c r="F11546" s="0" t="s">
        <v>15</v>
      </c>
      <c r="G11546" s="0" t="s">
        <v>26</v>
      </c>
      <c r="H11546" s="0" t="n">
        <v>87</v>
      </c>
      <c r="I11546" s="0" t="s">
        <v>38501</v>
      </c>
      <c r="J11546" s="0" t="s">
        <v>38502</v>
      </c>
      <c r="K11546" s="0" t="s">
        <v>38503</v>
      </c>
      <c r="L11546" s="0" t="str">
        <f aca="false">HYPERLINK("https://www.ncbi.nlm.nih.gov/nuccore/CP000304.1?report=graph&amp;tracks=[key:gene_model_track,Options:GeneOnly]&amp;mk=3233694:3233713|offset_87|00cc00,3233723:3233742|offset_116|444444,3233768:3233787|offset_161|444444,3233798:3233817|offset_191|444444&amp;v=3233493:3234017&amp;c=444444", "offset 87")</f>
        <v>offset 87</v>
      </c>
    </row>
    <row r="11547" customFormat="false" ht="12.8" hidden="false" customHeight="false" outlineLevel="0" collapsed="false">
      <c r="A11547" s="0" t="s">
        <v>12</v>
      </c>
      <c r="B11547" s="0" t="n">
        <v>3233722</v>
      </c>
      <c r="C11547" s="0" t="n">
        <v>3233742</v>
      </c>
      <c r="D11547" s="0" t="s">
        <v>38500</v>
      </c>
      <c r="E11547" s="0" t="s">
        <v>89</v>
      </c>
      <c r="F11547" s="0" t="s">
        <v>15</v>
      </c>
      <c r="G11547" s="0" t="s">
        <v>26</v>
      </c>
      <c r="H11547" s="0" t="n">
        <v>116</v>
      </c>
      <c r="I11547" s="0" t="s">
        <v>38504</v>
      </c>
      <c r="J11547" s="0" t="s">
        <v>38505</v>
      </c>
      <c r="K11547" s="0" t="s">
        <v>38506</v>
      </c>
      <c r="L11547" s="0" t="str">
        <f aca="false">HYPERLINK("https://www.ncbi.nlm.nih.gov/nuccore/CP000304.1?report=graph&amp;tracks=[key:gene_model_track,Options:GeneOnly]&amp;mk=3233694:3233713|offset_87|444444,3233723:3233742|offset_116|00cc00,3233768:3233787|offset_161|444444,3233798:3233817|offset_191|444444&amp;v=3233493:3234017&amp;c=444444", "offset 116")</f>
        <v>offset 116</v>
      </c>
    </row>
    <row r="11548" customFormat="false" ht="12.8" hidden="false" customHeight="false" outlineLevel="0" collapsed="false">
      <c r="A11548" s="0" t="s">
        <v>12</v>
      </c>
      <c r="B11548" s="0" t="n">
        <v>3233767</v>
      </c>
      <c r="C11548" s="0" t="n">
        <v>3233787</v>
      </c>
      <c r="D11548" s="0" t="s">
        <v>38500</v>
      </c>
      <c r="E11548" s="0" t="s">
        <v>89</v>
      </c>
      <c r="F11548" s="0" t="s">
        <v>15</v>
      </c>
      <c r="G11548" s="0" t="s">
        <v>26</v>
      </c>
      <c r="H11548" s="0" t="n">
        <v>161</v>
      </c>
      <c r="I11548" s="0" t="s">
        <v>38507</v>
      </c>
      <c r="J11548" s="0" t="s">
        <v>38508</v>
      </c>
      <c r="K11548" s="0" t="s">
        <v>38509</v>
      </c>
      <c r="L11548" s="0" t="str">
        <f aca="false">HYPERLINK("https://www.ncbi.nlm.nih.gov/nuccore/CP000304.1?report=graph&amp;tracks=[key:gene_model_track,Options:GeneOnly]&amp;mk=3233694:3233713|offset_87|444444,3233723:3233742|offset_116|444444,3233768:3233787|offset_161|00cc00,3233798:3233817|offset_191|444444&amp;v=3233493:3234017&amp;c=444444", "offset 161")</f>
        <v>offset 161</v>
      </c>
    </row>
    <row r="11549" customFormat="false" ht="12.8" hidden="false" customHeight="false" outlineLevel="0" collapsed="false">
      <c r="A11549" s="0" t="s">
        <v>12</v>
      </c>
      <c r="B11549" s="0" t="n">
        <v>3233797</v>
      </c>
      <c r="C11549" s="0" t="n">
        <v>3233817</v>
      </c>
      <c r="D11549" s="0" t="s">
        <v>38500</v>
      </c>
      <c r="E11549" s="0" t="s">
        <v>89</v>
      </c>
      <c r="F11549" s="0" t="s">
        <v>15</v>
      </c>
      <c r="G11549" s="0" t="s">
        <v>26</v>
      </c>
      <c r="H11549" s="0" t="n">
        <v>191</v>
      </c>
      <c r="I11549" s="0" t="s">
        <v>38510</v>
      </c>
      <c r="J11549" s="0" t="s">
        <v>38511</v>
      </c>
      <c r="K11549" s="0" t="s">
        <v>38512</v>
      </c>
      <c r="L11549" s="0" t="str">
        <f aca="false">HYPERLINK("https://www.ncbi.nlm.nih.gov/nuccore/CP000304.1?report=graph&amp;tracks=[key:gene_model_track,Options:GeneOnly]&amp;mk=3233694:3233713|offset_87|444444,3233723:3233742|offset_116|444444,3233768:3233787|offset_161|444444,3233798:3233817|offset_191|00cc00&amp;v=3233493:3234017&amp;c=444444", "offset 191")</f>
        <v>offset 191</v>
      </c>
    </row>
    <row r="11550" customFormat="false" ht="12.8" hidden="false" customHeight="false" outlineLevel="0" collapsed="false">
      <c r="A11550" s="0" t="s">
        <v>12</v>
      </c>
      <c r="B11550" s="0" t="n">
        <v>3235159</v>
      </c>
      <c r="C11550" s="0" t="n">
        <v>3235179</v>
      </c>
      <c r="D11550" s="0" t="s">
        <v>38513</v>
      </c>
      <c r="E11550" s="0" t="s">
        <v>38514</v>
      </c>
      <c r="F11550" s="0" t="s">
        <v>90</v>
      </c>
      <c r="G11550" s="0" t="s">
        <v>16</v>
      </c>
      <c r="H11550" s="0" t="n">
        <v>37</v>
      </c>
      <c r="I11550" s="0" t="s">
        <v>38515</v>
      </c>
      <c r="J11550" s="0" t="s">
        <v>38516</v>
      </c>
      <c r="K11550" s="0" t="s">
        <v>38517</v>
      </c>
      <c r="L11550" s="0" t="str">
        <f aca="false">HYPERLINK("https://www.ncbi.nlm.nih.gov/nuccore/CP000304.1?report=graph&amp;tracks=[key:gene_model_track,Options:GeneOnly]&amp;mk=3235160:3235179|offset_37|00cc00,3235087:3235106|offset_110|444444,3235067:3235086|offset_130|444444,3235043:3235062|offset_154|444444&amp;v=3234959:3235262&amp;c=444444", "offset 37")</f>
        <v>offset 37</v>
      </c>
    </row>
    <row r="11551" customFormat="false" ht="12.8" hidden="false" customHeight="false" outlineLevel="0" collapsed="false">
      <c r="A11551" s="0" t="s">
        <v>12</v>
      </c>
      <c r="B11551" s="0" t="n">
        <v>3235086</v>
      </c>
      <c r="C11551" s="0" t="n">
        <v>3235106</v>
      </c>
      <c r="D11551" s="0" t="s">
        <v>38513</v>
      </c>
      <c r="E11551" s="0" t="s">
        <v>38514</v>
      </c>
      <c r="F11551" s="0" t="s">
        <v>90</v>
      </c>
      <c r="G11551" s="0" t="s">
        <v>36</v>
      </c>
      <c r="H11551" s="0" t="n">
        <v>110</v>
      </c>
      <c r="I11551" s="0" t="s">
        <v>38518</v>
      </c>
      <c r="J11551" s="0" t="s">
        <v>38519</v>
      </c>
      <c r="K11551" s="0" t="s">
        <v>38520</v>
      </c>
      <c r="L11551" s="0" t="str">
        <f aca="false">HYPERLINK("https://www.ncbi.nlm.nih.gov/nuccore/CP000304.1?report=graph&amp;tracks=[key:gene_model_track,Options:GeneOnly]&amp;mk=3235160:3235179|offset_37|444444,3235087:3235106|offset_110|00cc00,3235067:3235086|offset_130|444444,3235043:3235062|offset_154|444444&amp;v=3234959:3235262&amp;c=444444", "offset 110")</f>
        <v>offset 110</v>
      </c>
    </row>
    <row r="11552" customFormat="false" ht="12.8" hidden="false" customHeight="false" outlineLevel="0" collapsed="false">
      <c r="A11552" s="0" t="s">
        <v>12</v>
      </c>
      <c r="B11552" s="0" t="n">
        <v>3235066</v>
      </c>
      <c r="C11552" s="0" t="n">
        <v>3235086</v>
      </c>
      <c r="D11552" s="0" t="s">
        <v>38513</v>
      </c>
      <c r="E11552" s="0" t="s">
        <v>38514</v>
      </c>
      <c r="F11552" s="0" t="s">
        <v>90</v>
      </c>
      <c r="G11552" s="0" t="s">
        <v>32</v>
      </c>
      <c r="H11552" s="0" t="n">
        <v>130</v>
      </c>
      <c r="I11552" s="0" t="s">
        <v>38521</v>
      </c>
      <c r="J11552" s="0" t="s">
        <v>38522</v>
      </c>
      <c r="K11552" s="0" t="s">
        <v>38523</v>
      </c>
      <c r="L11552" s="0" t="str">
        <f aca="false">HYPERLINK("https://www.ncbi.nlm.nih.gov/nuccore/CP000304.1?report=graph&amp;tracks=[key:gene_model_track,Options:GeneOnly]&amp;mk=3235160:3235179|offset_37|444444,3235087:3235106|offset_110|444444,3235067:3235086|offset_130|00cc00,3235043:3235062|offset_154|444444&amp;v=3234959:3235262&amp;c=444444", "offset 130")</f>
        <v>offset 130</v>
      </c>
    </row>
    <row r="11553" customFormat="false" ht="12.8" hidden="false" customHeight="false" outlineLevel="0" collapsed="false">
      <c r="A11553" s="0" t="s">
        <v>12</v>
      </c>
      <c r="B11553" s="0" t="n">
        <v>3235042</v>
      </c>
      <c r="C11553" s="0" t="n">
        <v>3235062</v>
      </c>
      <c r="D11553" s="0" t="s">
        <v>38513</v>
      </c>
      <c r="E11553" s="0" t="s">
        <v>38514</v>
      </c>
      <c r="F11553" s="0" t="s">
        <v>90</v>
      </c>
      <c r="G11553" s="0" t="s">
        <v>32</v>
      </c>
      <c r="H11553" s="0" t="n">
        <v>154</v>
      </c>
      <c r="I11553" s="0" t="s">
        <v>38524</v>
      </c>
      <c r="J11553" s="0" t="s">
        <v>38525</v>
      </c>
      <c r="K11553" s="0" t="s">
        <v>38526</v>
      </c>
      <c r="L11553" s="0" t="str">
        <f aca="false">HYPERLINK("https://www.ncbi.nlm.nih.gov/nuccore/CP000304.1?report=graph&amp;tracks=[key:gene_model_track,Options:GeneOnly]&amp;mk=3235160:3235179|offset_37|444444,3235087:3235106|offset_110|444444,3235067:3235086|offset_130|444444,3235043:3235062|offset_154|00cc00&amp;v=3234959:3235262&amp;c=444444", "offset 154")</f>
        <v>offset 154</v>
      </c>
    </row>
    <row r="11554" customFormat="false" ht="12.8" hidden="false" customHeight="false" outlineLevel="0" collapsed="false">
      <c r="A11554" s="0" t="s">
        <v>12</v>
      </c>
      <c r="B11554" s="0" t="n">
        <v>3236624</v>
      </c>
      <c r="C11554" s="0" t="n">
        <v>3236644</v>
      </c>
      <c r="D11554" s="0" t="s">
        <v>38527</v>
      </c>
      <c r="E11554" s="0" t="s">
        <v>38528</v>
      </c>
      <c r="F11554" s="0" t="s">
        <v>90</v>
      </c>
      <c r="G11554" s="0" t="s">
        <v>26</v>
      </c>
      <c r="H11554" s="0" t="n">
        <v>7</v>
      </c>
      <c r="I11554" s="0" t="s">
        <v>38529</v>
      </c>
      <c r="J11554" s="0" t="s">
        <v>38530</v>
      </c>
      <c r="K11554" s="0" t="s">
        <v>38531</v>
      </c>
      <c r="L11554" s="0" t="str">
        <f aca="false">HYPERLINK("https://www.ncbi.nlm.nih.gov/nuccore/CP000304.1?report=graph&amp;tracks=[key:gene_model_track,Options:GeneOnly]&amp;mk=3236625:3236644|offset_7|00cc00,3236592:3236611|offset_40|444444,3236568:3236587|offset_64|444444,3236537:3236556|offset_95|444444&amp;v=3236424:3236756&amp;c=444444", "offset 7")</f>
        <v>offset 7</v>
      </c>
    </row>
    <row r="11555" customFormat="false" ht="12.8" hidden="false" customHeight="false" outlineLevel="0" collapsed="false">
      <c r="A11555" s="0" t="s">
        <v>12</v>
      </c>
      <c r="B11555" s="0" t="n">
        <v>3236591</v>
      </c>
      <c r="C11555" s="0" t="n">
        <v>3236611</v>
      </c>
      <c r="D11555" s="0" t="s">
        <v>38527</v>
      </c>
      <c r="E11555" s="0" t="s">
        <v>38528</v>
      </c>
      <c r="F11555" s="0" t="s">
        <v>90</v>
      </c>
      <c r="G11555" s="0" t="s">
        <v>16</v>
      </c>
      <c r="H11555" s="0" t="n">
        <v>40</v>
      </c>
      <c r="I11555" s="0" t="s">
        <v>38532</v>
      </c>
      <c r="J11555" s="0" t="s">
        <v>38533</v>
      </c>
      <c r="K11555" s="0" t="s">
        <v>38534</v>
      </c>
      <c r="L11555" s="0" t="str">
        <f aca="false">HYPERLINK("https://www.ncbi.nlm.nih.gov/nuccore/CP000304.1?report=graph&amp;tracks=[key:gene_model_track,Options:GeneOnly]&amp;mk=3236625:3236644|offset_7|444444,3236592:3236611|offset_40|00cc00,3236568:3236587|offset_64|444444,3236537:3236556|offset_95|444444&amp;v=3236424:3236756&amp;c=444444", "offset 40")</f>
        <v>offset 40</v>
      </c>
    </row>
    <row r="11556" customFormat="false" ht="12.8" hidden="false" customHeight="false" outlineLevel="0" collapsed="false">
      <c r="A11556" s="0" t="s">
        <v>12</v>
      </c>
      <c r="B11556" s="0" t="n">
        <v>3236567</v>
      </c>
      <c r="C11556" s="0" t="n">
        <v>3236587</v>
      </c>
      <c r="D11556" s="0" t="s">
        <v>38527</v>
      </c>
      <c r="E11556" s="0" t="s">
        <v>38528</v>
      </c>
      <c r="F11556" s="0" t="s">
        <v>90</v>
      </c>
      <c r="G11556" s="0" t="s">
        <v>16</v>
      </c>
      <c r="H11556" s="0" t="n">
        <v>64</v>
      </c>
      <c r="I11556" s="0" t="s">
        <v>38535</v>
      </c>
      <c r="J11556" s="0" t="s">
        <v>38536</v>
      </c>
      <c r="K11556" s="0" t="s">
        <v>38537</v>
      </c>
      <c r="L11556" s="0" t="str">
        <f aca="false">HYPERLINK("https://www.ncbi.nlm.nih.gov/nuccore/CP000304.1?report=graph&amp;tracks=[key:gene_model_track,Options:GeneOnly]&amp;mk=3236625:3236644|offset_7|444444,3236592:3236611|offset_40|444444,3236568:3236587|offset_64|00cc00,3236537:3236556|offset_95|444444&amp;v=3236424:3236756&amp;c=444444", "offset 64")</f>
        <v>offset 64</v>
      </c>
    </row>
    <row r="11557" customFormat="false" ht="12.8" hidden="false" customHeight="false" outlineLevel="0" collapsed="false">
      <c r="A11557" s="0" t="s">
        <v>12</v>
      </c>
      <c r="B11557" s="0" t="n">
        <v>3236536</v>
      </c>
      <c r="C11557" s="0" t="n">
        <v>3236556</v>
      </c>
      <c r="D11557" s="0" t="s">
        <v>38527</v>
      </c>
      <c r="E11557" s="0" t="s">
        <v>38528</v>
      </c>
      <c r="F11557" s="0" t="s">
        <v>90</v>
      </c>
      <c r="G11557" s="0" t="s">
        <v>36</v>
      </c>
      <c r="H11557" s="0" t="n">
        <v>95</v>
      </c>
      <c r="I11557" s="0" t="s">
        <v>38538</v>
      </c>
      <c r="J11557" s="0" t="s">
        <v>38539</v>
      </c>
      <c r="K11557" s="0" t="s">
        <v>38540</v>
      </c>
      <c r="L11557" s="0" t="str">
        <f aca="false">HYPERLINK("https://www.ncbi.nlm.nih.gov/nuccore/CP000304.1?report=graph&amp;tracks=[key:gene_model_track,Options:GeneOnly]&amp;mk=3236625:3236644|offset_7|444444,3236592:3236611|offset_40|444444,3236568:3236587|offset_64|444444,3236537:3236556|offset_95|00cc00&amp;v=3236424:3236756&amp;c=444444", "offset 95")</f>
        <v>offset 95</v>
      </c>
    </row>
    <row r="11558" customFormat="false" ht="12.8" hidden="false" customHeight="false" outlineLevel="0" collapsed="false">
      <c r="A11558" s="0" t="s">
        <v>12</v>
      </c>
      <c r="B11558" s="0" t="n">
        <v>3238321</v>
      </c>
      <c r="C11558" s="0" t="n">
        <v>3238341</v>
      </c>
      <c r="D11558" s="0" t="s">
        <v>38541</v>
      </c>
      <c r="E11558" s="0" t="s">
        <v>38542</v>
      </c>
      <c r="F11558" s="0" t="s">
        <v>90</v>
      </c>
      <c r="G11558" s="0" t="s">
        <v>32</v>
      </c>
      <c r="H11558" s="0" t="n">
        <v>1</v>
      </c>
      <c r="I11558" s="0" t="s">
        <v>38543</v>
      </c>
      <c r="J11558" s="0" t="s">
        <v>38544</v>
      </c>
      <c r="K11558" s="0" t="s">
        <v>38545</v>
      </c>
      <c r="L11558" s="0" t="str">
        <f aca="false">HYPERLINK("https://www.ncbi.nlm.nih.gov/nuccore/CP000304.1?report=graph&amp;tracks=[key:gene_model_track,Options:GeneOnly]&amp;mk=3238322:3238341|offset_1|00cc00,3238294:3238313|offset_29|444444,3238268:3238287|offset_55|444444,3238247:3238266|offset_76|444444&amp;v=3238121:3238466&amp;c=444444", "offset 1")</f>
        <v>offset 1</v>
      </c>
    </row>
    <row r="11559" customFormat="false" ht="12.8" hidden="false" customHeight="false" outlineLevel="0" collapsed="false">
      <c r="A11559" s="0" t="s">
        <v>12</v>
      </c>
      <c r="B11559" s="0" t="n">
        <v>3238293</v>
      </c>
      <c r="C11559" s="0" t="n">
        <v>3238313</v>
      </c>
      <c r="D11559" s="0" t="s">
        <v>38541</v>
      </c>
      <c r="E11559" s="0" t="s">
        <v>38542</v>
      </c>
      <c r="F11559" s="0" t="s">
        <v>90</v>
      </c>
      <c r="G11559" s="0" t="s">
        <v>16</v>
      </c>
      <c r="H11559" s="0" t="n">
        <v>29</v>
      </c>
      <c r="I11559" s="0" t="s">
        <v>38546</v>
      </c>
      <c r="J11559" s="0" t="s">
        <v>38547</v>
      </c>
      <c r="K11559" s="0" t="s">
        <v>38548</v>
      </c>
      <c r="L11559" s="0" t="str">
        <f aca="false">HYPERLINK("https://www.ncbi.nlm.nih.gov/nuccore/CP000304.1?report=graph&amp;tracks=[key:gene_model_track,Options:GeneOnly]&amp;mk=3238322:3238341|offset_1|444444,3238294:3238313|offset_29|00cc00,3238268:3238287|offset_55|444444,3238247:3238266|offset_76|444444&amp;v=3238121:3238466&amp;c=444444", "offset 29")</f>
        <v>offset 29</v>
      </c>
    </row>
    <row r="11560" customFormat="false" ht="12.8" hidden="false" customHeight="false" outlineLevel="0" collapsed="false">
      <c r="A11560" s="0" t="s">
        <v>12</v>
      </c>
      <c r="B11560" s="0" t="n">
        <v>3238267</v>
      </c>
      <c r="C11560" s="0" t="n">
        <v>3238287</v>
      </c>
      <c r="D11560" s="0" t="s">
        <v>38541</v>
      </c>
      <c r="E11560" s="0" t="s">
        <v>38542</v>
      </c>
      <c r="F11560" s="0" t="s">
        <v>90</v>
      </c>
      <c r="G11560" s="0" t="s">
        <v>36</v>
      </c>
      <c r="H11560" s="0" t="n">
        <v>55</v>
      </c>
      <c r="I11560" s="0" t="s">
        <v>38549</v>
      </c>
      <c r="J11560" s="0" t="s">
        <v>38550</v>
      </c>
      <c r="K11560" s="0" t="s">
        <v>38551</v>
      </c>
      <c r="L11560" s="0" t="str">
        <f aca="false">HYPERLINK("https://www.ncbi.nlm.nih.gov/nuccore/CP000304.1?report=graph&amp;tracks=[key:gene_model_track,Options:GeneOnly]&amp;mk=3238322:3238341|offset_1|444444,3238294:3238313|offset_29|444444,3238268:3238287|offset_55|00cc00,3238247:3238266|offset_76|444444&amp;v=3238121:3238466&amp;c=444444", "offset 55")</f>
        <v>offset 55</v>
      </c>
    </row>
    <row r="11561" customFormat="false" ht="12.8" hidden="false" customHeight="false" outlineLevel="0" collapsed="false">
      <c r="A11561" s="0" t="s">
        <v>12</v>
      </c>
      <c r="B11561" s="0" t="n">
        <v>3238246</v>
      </c>
      <c r="C11561" s="0" t="n">
        <v>3238266</v>
      </c>
      <c r="D11561" s="0" t="s">
        <v>38541</v>
      </c>
      <c r="E11561" s="0" t="s">
        <v>38542</v>
      </c>
      <c r="F11561" s="0" t="s">
        <v>90</v>
      </c>
      <c r="G11561" s="0" t="s">
        <v>36</v>
      </c>
      <c r="H11561" s="0" t="n">
        <v>76</v>
      </c>
      <c r="I11561" s="0" t="s">
        <v>38552</v>
      </c>
      <c r="J11561" s="0" t="s">
        <v>38553</v>
      </c>
      <c r="K11561" s="0" t="s">
        <v>38554</v>
      </c>
      <c r="L11561" s="0" t="str">
        <f aca="false">HYPERLINK("https://www.ncbi.nlm.nih.gov/nuccore/CP000304.1?report=graph&amp;tracks=[key:gene_model_track,Options:GeneOnly]&amp;mk=3238322:3238341|offset_1|444444,3238294:3238313|offset_29|444444,3238268:3238287|offset_55|444444,3238247:3238266|offset_76|00cc00&amp;v=3238121:3238466&amp;c=444444", "offset 76")</f>
        <v>offset 76</v>
      </c>
    </row>
    <row r="11562" customFormat="false" ht="12.8" hidden="false" customHeight="false" outlineLevel="0" collapsed="false">
      <c r="A11562" s="0" t="s">
        <v>12</v>
      </c>
      <c r="B11562" s="0" t="n">
        <v>3239907</v>
      </c>
      <c r="C11562" s="0" t="n">
        <v>3239927</v>
      </c>
      <c r="D11562" s="0" t="s">
        <v>38555</v>
      </c>
      <c r="E11562" s="0" t="s">
        <v>38556</v>
      </c>
      <c r="F11562" s="0" t="s">
        <v>90</v>
      </c>
      <c r="G11562" s="0" t="s">
        <v>32</v>
      </c>
      <c r="H11562" s="0" t="n">
        <v>1</v>
      </c>
      <c r="I11562" s="0" t="s">
        <v>38557</v>
      </c>
      <c r="J11562" s="0" t="s">
        <v>38558</v>
      </c>
      <c r="K11562" s="0" t="s">
        <v>38559</v>
      </c>
      <c r="L11562" s="0" t="str">
        <f aca="false">HYPERLINK("https://www.ncbi.nlm.nih.gov/nuccore/CP000304.1?report=graph&amp;tracks=[key:gene_model_track,Options:GeneOnly]&amp;mk=3239908:3239927|offset_1|00cc00,3239884:3239903|offset_25|444444,3239862:3239881|offset_47|444444,3239834:3239853|offset_75|444444&amp;v=3239707:3240053&amp;c=444444", "offset 1")</f>
        <v>offset 1</v>
      </c>
    </row>
    <row r="11563" customFormat="false" ht="12.8" hidden="false" customHeight="false" outlineLevel="0" collapsed="false">
      <c r="A11563" s="0" t="s">
        <v>12</v>
      </c>
      <c r="B11563" s="0" t="n">
        <v>3239883</v>
      </c>
      <c r="C11563" s="0" t="n">
        <v>3239903</v>
      </c>
      <c r="D11563" s="0" t="s">
        <v>38555</v>
      </c>
      <c r="E11563" s="0" t="s">
        <v>38556</v>
      </c>
      <c r="F11563" s="0" t="s">
        <v>90</v>
      </c>
      <c r="G11563" s="0" t="s">
        <v>36</v>
      </c>
      <c r="H11563" s="0" t="n">
        <v>25</v>
      </c>
      <c r="I11563" s="0" t="s">
        <v>38560</v>
      </c>
      <c r="J11563" s="0" t="s">
        <v>38561</v>
      </c>
      <c r="K11563" s="0" t="s">
        <v>38562</v>
      </c>
      <c r="L11563" s="0" t="str">
        <f aca="false">HYPERLINK("https://www.ncbi.nlm.nih.gov/nuccore/CP000304.1?report=graph&amp;tracks=[key:gene_model_track,Options:GeneOnly]&amp;mk=3239908:3239927|offset_1|444444,3239884:3239903|offset_25|00cc00,3239862:3239881|offset_47|444444,3239834:3239853|offset_75|444444&amp;v=3239707:3240053&amp;c=444444", "offset 25")</f>
        <v>offset 25</v>
      </c>
    </row>
    <row r="11564" customFormat="false" ht="12.8" hidden="false" customHeight="false" outlineLevel="0" collapsed="false">
      <c r="A11564" s="0" t="s">
        <v>12</v>
      </c>
      <c r="B11564" s="0" t="n">
        <v>3239861</v>
      </c>
      <c r="C11564" s="0" t="n">
        <v>3239881</v>
      </c>
      <c r="D11564" s="0" t="s">
        <v>38555</v>
      </c>
      <c r="E11564" s="0" t="s">
        <v>38556</v>
      </c>
      <c r="F11564" s="0" t="s">
        <v>90</v>
      </c>
      <c r="G11564" s="0" t="s">
        <v>26</v>
      </c>
      <c r="H11564" s="0" t="n">
        <v>47</v>
      </c>
      <c r="I11564" s="0" t="s">
        <v>38563</v>
      </c>
      <c r="J11564" s="0" t="s">
        <v>38564</v>
      </c>
      <c r="K11564" s="0" t="s">
        <v>38565</v>
      </c>
      <c r="L11564" s="0" t="str">
        <f aca="false">HYPERLINK("https://www.ncbi.nlm.nih.gov/nuccore/CP000304.1?report=graph&amp;tracks=[key:gene_model_track,Options:GeneOnly]&amp;mk=3239908:3239927|offset_1|444444,3239884:3239903|offset_25|444444,3239862:3239881|offset_47|00cc00,3239834:3239853|offset_75|444444&amp;v=3239707:3240053&amp;c=444444", "offset 47")</f>
        <v>offset 47</v>
      </c>
    </row>
    <row r="11565" customFormat="false" ht="12.8" hidden="false" customHeight="false" outlineLevel="0" collapsed="false">
      <c r="A11565" s="0" t="s">
        <v>12</v>
      </c>
      <c r="B11565" s="0" t="n">
        <v>3239833</v>
      </c>
      <c r="C11565" s="0" t="n">
        <v>3239853</v>
      </c>
      <c r="D11565" s="0" t="s">
        <v>38555</v>
      </c>
      <c r="E11565" s="0" t="s">
        <v>38556</v>
      </c>
      <c r="F11565" s="0" t="s">
        <v>90</v>
      </c>
      <c r="G11565" s="0" t="s">
        <v>16</v>
      </c>
      <c r="H11565" s="0" t="n">
        <v>75</v>
      </c>
      <c r="I11565" s="0" t="s">
        <v>38566</v>
      </c>
      <c r="J11565" s="0" t="s">
        <v>38567</v>
      </c>
      <c r="K11565" s="0" t="s">
        <v>38568</v>
      </c>
      <c r="L11565" s="0" t="str">
        <f aca="false">HYPERLINK("https://www.ncbi.nlm.nih.gov/nuccore/CP000304.1?report=graph&amp;tracks=[key:gene_model_track,Options:GeneOnly]&amp;mk=3239908:3239927|offset_1|444444,3239884:3239903|offset_25|444444,3239862:3239881|offset_47|444444,3239834:3239853|offset_75|00cc00&amp;v=3239707:3240053&amp;c=444444", "offset 75")</f>
        <v>offset 75</v>
      </c>
    </row>
    <row r="11566" customFormat="false" ht="12.8" hidden="false" customHeight="false" outlineLevel="0" collapsed="false">
      <c r="A11566" s="0" t="s">
        <v>12</v>
      </c>
      <c r="B11566" s="0" t="n">
        <v>3240698</v>
      </c>
      <c r="C11566" s="0" t="n">
        <v>3240718</v>
      </c>
      <c r="D11566" s="0" t="s">
        <v>38569</v>
      </c>
      <c r="E11566" s="0" t="s">
        <v>89</v>
      </c>
      <c r="F11566" s="0" t="s">
        <v>90</v>
      </c>
      <c r="G11566" s="0" t="s">
        <v>16</v>
      </c>
      <c r="H11566" s="0" t="n">
        <v>11</v>
      </c>
      <c r="I11566" s="0" t="s">
        <v>38570</v>
      </c>
      <c r="J11566" s="0" t="s">
        <v>38571</v>
      </c>
      <c r="K11566" s="0" t="s">
        <v>38572</v>
      </c>
      <c r="L11566" s="0" t="str">
        <f aca="false">HYPERLINK("https://www.ncbi.nlm.nih.gov/nuccore/CP000304.1?report=graph&amp;tracks=[key:gene_model_track,Options:GeneOnly]&amp;mk=3240699:3240718|offset_11|00cc00,3240678:3240697|offset_32|444444,3240657:3240676|offset_53|444444,3240613:3240632|offset_97|444444&amp;v=3240498:3240832&amp;c=444444", "offset 11")</f>
        <v>offset 11</v>
      </c>
    </row>
    <row r="11567" customFormat="false" ht="12.8" hidden="false" customHeight="false" outlineLevel="0" collapsed="false">
      <c r="A11567" s="0" t="s">
        <v>12</v>
      </c>
      <c r="B11567" s="0" t="n">
        <v>3240677</v>
      </c>
      <c r="C11567" s="0" t="n">
        <v>3240697</v>
      </c>
      <c r="D11567" s="0" t="s">
        <v>38569</v>
      </c>
      <c r="E11567" s="0" t="s">
        <v>89</v>
      </c>
      <c r="F11567" s="0" t="s">
        <v>90</v>
      </c>
      <c r="G11567" s="0" t="s">
        <v>16</v>
      </c>
      <c r="H11567" s="0" t="n">
        <v>32</v>
      </c>
      <c r="I11567" s="0" t="s">
        <v>38573</v>
      </c>
      <c r="J11567" s="0" t="s">
        <v>38574</v>
      </c>
      <c r="K11567" s="0" t="s">
        <v>38575</v>
      </c>
      <c r="L11567" s="0" t="str">
        <f aca="false">HYPERLINK("https://www.ncbi.nlm.nih.gov/nuccore/CP000304.1?report=graph&amp;tracks=[key:gene_model_track,Options:GeneOnly]&amp;mk=3240699:3240718|offset_11|444444,3240678:3240697|offset_32|00cc00,3240657:3240676|offset_53|444444,3240613:3240632|offset_97|444444&amp;v=3240498:3240832&amp;c=444444", "offset 32")</f>
        <v>offset 32</v>
      </c>
    </row>
    <row r="11568" customFormat="false" ht="12.8" hidden="false" customHeight="false" outlineLevel="0" collapsed="false">
      <c r="A11568" s="0" t="s">
        <v>12</v>
      </c>
      <c r="B11568" s="0" t="n">
        <v>3240656</v>
      </c>
      <c r="C11568" s="0" t="n">
        <v>3240676</v>
      </c>
      <c r="D11568" s="0" t="s">
        <v>38569</v>
      </c>
      <c r="E11568" s="0" t="s">
        <v>89</v>
      </c>
      <c r="F11568" s="0" t="s">
        <v>90</v>
      </c>
      <c r="G11568" s="0" t="s">
        <v>32</v>
      </c>
      <c r="H11568" s="0" t="n">
        <v>53</v>
      </c>
      <c r="I11568" s="0" t="s">
        <v>38576</v>
      </c>
      <c r="J11568" s="0" t="s">
        <v>38577</v>
      </c>
      <c r="K11568" s="0" t="s">
        <v>38578</v>
      </c>
      <c r="L11568" s="0" t="str">
        <f aca="false">HYPERLINK("https://www.ncbi.nlm.nih.gov/nuccore/CP000304.1?report=graph&amp;tracks=[key:gene_model_track,Options:GeneOnly]&amp;mk=3240699:3240718|offset_11|444444,3240678:3240697|offset_32|444444,3240657:3240676|offset_53|00cc00,3240613:3240632|offset_97|444444&amp;v=3240498:3240832&amp;c=444444", "offset 53")</f>
        <v>offset 53</v>
      </c>
    </row>
    <row r="11569" customFormat="false" ht="12.8" hidden="false" customHeight="false" outlineLevel="0" collapsed="false">
      <c r="A11569" s="0" t="s">
        <v>12</v>
      </c>
      <c r="B11569" s="0" t="n">
        <v>3240612</v>
      </c>
      <c r="C11569" s="0" t="n">
        <v>3240632</v>
      </c>
      <c r="D11569" s="0" t="s">
        <v>38569</v>
      </c>
      <c r="E11569" s="0" t="s">
        <v>89</v>
      </c>
      <c r="F11569" s="0" t="s">
        <v>90</v>
      </c>
      <c r="G11569" s="0" t="s">
        <v>26</v>
      </c>
      <c r="H11569" s="0" t="n">
        <v>97</v>
      </c>
      <c r="I11569" s="0" t="s">
        <v>38579</v>
      </c>
      <c r="J11569" s="0" t="s">
        <v>38580</v>
      </c>
      <c r="K11569" s="0" t="s">
        <v>38581</v>
      </c>
      <c r="L11569" s="0" t="str">
        <f aca="false">HYPERLINK("https://www.ncbi.nlm.nih.gov/nuccore/CP000304.1?report=graph&amp;tracks=[key:gene_model_track,Options:GeneOnly]&amp;mk=3240699:3240718|offset_11|444444,3240678:3240697|offset_32|444444,3240657:3240676|offset_53|444444,3240613:3240632|offset_97|00cc00&amp;v=3240498:3240832&amp;c=444444", "offset 97")</f>
        <v>offset 97</v>
      </c>
    </row>
    <row r="11570" customFormat="false" ht="12.8" hidden="false" customHeight="false" outlineLevel="0" collapsed="false">
      <c r="A11570" s="0" t="s">
        <v>12</v>
      </c>
      <c r="B11570" s="0" t="n">
        <v>3240737</v>
      </c>
      <c r="C11570" s="0" t="n">
        <v>3240757</v>
      </c>
      <c r="D11570" s="0" t="s">
        <v>38582</v>
      </c>
      <c r="E11570" s="0" t="s">
        <v>38583</v>
      </c>
      <c r="F11570" s="0" t="s">
        <v>15</v>
      </c>
      <c r="G11570" s="0" t="s">
        <v>32</v>
      </c>
      <c r="H11570" s="0" t="n">
        <v>1</v>
      </c>
      <c r="I11570" s="0" t="s">
        <v>38584</v>
      </c>
      <c r="J11570" s="0" t="s">
        <v>38585</v>
      </c>
      <c r="K11570" s="0" t="s">
        <v>38586</v>
      </c>
      <c r="L11570" s="0" t="str">
        <f aca="false">HYPERLINK("https://www.ncbi.nlm.nih.gov/nuccore/CP000304.1?report=graph&amp;tracks=[key:gene_model_track,Options:GeneOnly]&amp;mk=3240738:3240757|offset_1|00cc00,3240763:3240782|offset_26|444444,3240789:3240808|offset_52|444444,3240813:3240832|offset_76|444444&amp;v=3240537:3241032&amp;c=444444", "offset 1")</f>
        <v>offset 1</v>
      </c>
    </row>
    <row r="11571" customFormat="false" ht="12.8" hidden="false" customHeight="false" outlineLevel="0" collapsed="false">
      <c r="A11571" s="0" t="s">
        <v>12</v>
      </c>
      <c r="B11571" s="0" t="n">
        <v>3240762</v>
      </c>
      <c r="C11571" s="0" t="n">
        <v>3240782</v>
      </c>
      <c r="D11571" s="0" t="s">
        <v>38582</v>
      </c>
      <c r="E11571" s="0" t="s">
        <v>38583</v>
      </c>
      <c r="F11571" s="0" t="s">
        <v>15</v>
      </c>
      <c r="G11571" s="0" t="s">
        <v>26</v>
      </c>
      <c r="H11571" s="0" t="n">
        <v>26</v>
      </c>
      <c r="I11571" s="0" t="s">
        <v>38587</v>
      </c>
      <c r="J11571" s="0" t="s">
        <v>38588</v>
      </c>
      <c r="K11571" s="0" t="s">
        <v>38589</v>
      </c>
      <c r="L11571" s="0" t="str">
        <f aca="false">HYPERLINK("https://www.ncbi.nlm.nih.gov/nuccore/CP000304.1?report=graph&amp;tracks=[key:gene_model_track,Options:GeneOnly]&amp;mk=3240738:3240757|offset_1|444444,3240763:3240782|offset_26|00cc00,3240789:3240808|offset_52|444444,3240813:3240832|offset_76|444444&amp;v=3240537:3241032&amp;c=444444", "offset 26")</f>
        <v>offset 26</v>
      </c>
    </row>
    <row r="11572" customFormat="false" ht="12.8" hidden="false" customHeight="false" outlineLevel="0" collapsed="false">
      <c r="A11572" s="0" t="s">
        <v>12</v>
      </c>
      <c r="B11572" s="0" t="n">
        <v>3240788</v>
      </c>
      <c r="C11572" s="0" t="n">
        <v>3240808</v>
      </c>
      <c r="D11572" s="0" t="s">
        <v>38582</v>
      </c>
      <c r="E11572" s="0" t="s">
        <v>38583</v>
      </c>
      <c r="F11572" s="0" t="s">
        <v>15</v>
      </c>
      <c r="G11572" s="0" t="s">
        <v>16</v>
      </c>
      <c r="H11572" s="0" t="n">
        <v>52</v>
      </c>
      <c r="I11572" s="0" t="s">
        <v>38590</v>
      </c>
      <c r="J11572" s="0" t="s">
        <v>38591</v>
      </c>
      <c r="K11572" s="0" t="s">
        <v>38592</v>
      </c>
      <c r="L11572" s="0" t="str">
        <f aca="false">HYPERLINK("https://www.ncbi.nlm.nih.gov/nuccore/CP000304.1?report=graph&amp;tracks=[key:gene_model_track,Options:GeneOnly]&amp;mk=3240738:3240757|offset_1|444444,3240763:3240782|offset_26|444444,3240789:3240808|offset_52|00cc00,3240813:3240832|offset_76|444444&amp;v=3240537:3241032&amp;c=444444", "offset 52")</f>
        <v>offset 52</v>
      </c>
    </row>
    <row r="11573" customFormat="false" ht="12.8" hidden="false" customHeight="false" outlineLevel="0" collapsed="false">
      <c r="A11573" s="0" t="s">
        <v>12</v>
      </c>
      <c r="B11573" s="0" t="n">
        <v>3240812</v>
      </c>
      <c r="C11573" s="0" t="n">
        <v>3240832</v>
      </c>
      <c r="D11573" s="0" t="s">
        <v>38582</v>
      </c>
      <c r="E11573" s="0" t="s">
        <v>38583</v>
      </c>
      <c r="F11573" s="0" t="s">
        <v>15</v>
      </c>
      <c r="G11573" s="0" t="s">
        <v>36</v>
      </c>
      <c r="H11573" s="0" t="n">
        <v>76</v>
      </c>
      <c r="I11573" s="0" t="s">
        <v>38593</v>
      </c>
      <c r="J11573" s="0" t="s">
        <v>38594</v>
      </c>
      <c r="K11573" s="0" t="s">
        <v>38595</v>
      </c>
      <c r="L11573" s="0" t="str">
        <f aca="false">HYPERLINK("https://www.ncbi.nlm.nih.gov/nuccore/CP000304.1?report=graph&amp;tracks=[key:gene_model_track,Options:GeneOnly]&amp;mk=3240738:3240757|offset_1|444444,3240763:3240782|offset_26|444444,3240789:3240808|offset_52|444444,3240813:3240832|offset_76|00cc00&amp;v=3240537:3241032&amp;c=444444", "offset 76")</f>
        <v>offset 76</v>
      </c>
    </row>
    <row r="11574" customFormat="false" ht="12.8" hidden="false" customHeight="false" outlineLevel="0" collapsed="false">
      <c r="A11574" s="0" t="s">
        <v>12</v>
      </c>
      <c r="B11574" s="0" t="n">
        <v>3242207</v>
      </c>
      <c r="C11574" s="0" t="n">
        <v>3242227</v>
      </c>
      <c r="D11574" s="0" t="s">
        <v>38596</v>
      </c>
      <c r="E11574" s="0" t="s">
        <v>89</v>
      </c>
      <c r="F11574" s="0" t="s">
        <v>15</v>
      </c>
      <c r="G11574" s="0" t="s">
        <v>32</v>
      </c>
      <c r="H11574" s="0" t="n">
        <v>1</v>
      </c>
      <c r="I11574" s="0" t="s">
        <v>38597</v>
      </c>
      <c r="J11574" s="0" t="s">
        <v>38598</v>
      </c>
      <c r="K11574" s="0" t="s">
        <v>38599</v>
      </c>
      <c r="L11574" s="0" t="str">
        <f aca="false">HYPERLINK("https://www.ncbi.nlm.nih.gov/nuccore/CP000304.1?report=graph&amp;tracks=[key:gene_model_track,Options:GeneOnly]&amp;mk=3242208:3242227|offset_1|00cc00,3242238:3242257|offset_31|444444,3242259:3242278|offset_52|444444,3242280:3242299|offset_73|444444&amp;v=3242007:3242499&amp;c=444444", "offset 1")</f>
        <v>offset 1</v>
      </c>
    </row>
    <row r="11575" customFormat="false" ht="12.8" hidden="false" customHeight="false" outlineLevel="0" collapsed="false">
      <c r="A11575" s="0" t="s">
        <v>12</v>
      </c>
      <c r="B11575" s="0" t="n">
        <v>3242237</v>
      </c>
      <c r="C11575" s="0" t="n">
        <v>3242257</v>
      </c>
      <c r="D11575" s="0" t="s">
        <v>38596</v>
      </c>
      <c r="E11575" s="0" t="s">
        <v>89</v>
      </c>
      <c r="F11575" s="0" t="s">
        <v>15</v>
      </c>
      <c r="G11575" s="0" t="s">
        <v>36</v>
      </c>
      <c r="H11575" s="0" t="n">
        <v>31</v>
      </c>
      <c r="I11575" s="0" t="s">
        <v>38600</v>
      </c>
      <c r="J11575" s="0" t="s">
        <v>38601</v>
      </c>
      <c r="K11575" s="0" t="s">
        <v>38602</v>
      </c>
      <c r="L11575" s="0" t="str">
        <f aca="false">HYPERLINK("https://www.ncbi.nlm.nih.gov/nuccore/CP000304.1?report=graph&amp;tracks=[key:gene_model_track,Options:GeneOnly]&amp;mk=3242208:3242227|offset_1|444444,3242238:3242257|offset_31|00cc00,3242259:3242278|offset_52|444444,3242280:3242299|offset_73|444444&amp;v=3242007:3242499&amp;c=444444", "offset 31")</f>
        <v>offset 31</v>
      </c>
    </row>
    <row r="11576" customFormat="false" ht="12.8" hidden="false" customHeight="false" outlineLevel="0" collapsed="false">
      <c r="A11576" s="0" t="s">
        <v>12</v>
      </c>
      <c r="B11576" s="0" t="n">
        <v>3242258</v>
      </c>
      <c r="C11576" s="0" t="n">
        <v>3242278</v>
      </c>
      <c r="D11576" s="0" t="s">
        <v>38596</v>
      </c>
      <c r="E11576" s="0" t="s">
        <v>89</v>
      </c>
      <c r="F11576" s="0" t="s">
        <v>15</v>
      </c>
      <c r="G11576" s="0" t="s">
        <v>36</v>
      </c>
      <c r="H11576" s="0" t="n">
        <v>52</v>
      </c>
      <c r="I11576" s="0" t="s">
        <v>38603</v>
      </c>
      <c r="J11576" s="0" t="s">
        <v>38604</v>
      </c>
      <c r="K11576" s="0" t="s">
        <v>38605</v>
      </c>
      <c r="L11576" s="0" t="str">
        <f aca="false">HYPERLINK("https://www.ncbi.nlm.nih.gov/nuccore/CP000304.1?report=graph&amp;tracks=[key:gene_model_track,Options:GeneOnly]&amp;mk=3242208:3242227|offset_1|444444,3242238:3242257|offset_31|444444,3242259:3242278|offset_52|00cc00,3242280:3242299|offset_73|444444&amp;v=3242007:3242499&amp;c=444444", "offset 52")</f>
        <v>offset 52</v>
      </c>
    </row>
    <row r="11577" customFormat="false" ht="12.8" hidden="false" customHeight="false" outlineLevel="0" collapsed="false">
      <c r="A11577" s="0" t="s">
        <v>12</v>
      </c>
      <c r="B11577" s="0" t="n">
        <v>3242279</v>
      </c>
      <c r="C11577" s="0" t="n">
        <v>3242299</v>
      </c>
      <c r="D11577" s="0" t="s">
        <v>38596</v>
      </c>
      <c r="E11577" s="0" t="s">
        <v>89</v>
      </c>
      <c r="F11577" s="0" t="s">
        <v>15</v>
      </c>
      <c r="G11577" s="0" t="s">
        <v>36</v>
      </c>
      <c r="H11577" s="0" t="n">
        <v>73</v>
      </c>
      <c r="I11577" s="0" t="s">
        <v>38606</v>
      </c>
      <c r="J11577" s="0" t="s">
        <v>38607</v>
      </c>
      <c r="K11577" s="0" t="s">
        <v>38608</v>
      </c>
      <c r="L11577" s="0" t="str">
        <f aca="false">HYPERLINK("https://www.ncbi.nlm.nih.gov/nuccore/CP000304.1?report=graph&amp;tracks=[key:gene_model_track,Options:GeneOnly]&amp;mk=3242208:3242227|offset_1|444444,3242238:3242257|offset_31|444444,3242259:3242278|offset_52|444444,3242280:3242299|offset_73|00cc00&amp;v=3242007:3242499&amp;c=444444", "offset 73")</f>
        <v>offset 73</v>
      </c>
    </row>
    <row r="11578" customFormat="false" ht="12.8" hidden="false" customHeight="false" outlineLevel="0" collapsed="false">
      <c r="A11578" s="0" t="s">
        <v>12</v>
      </c>
      <c r="B11578" s="0" t="n">
        <v>3243141</v>
      </c>
      <c r="C11578" s="0" t="n">
        <v>3243161</v>
      </c>
      <c r="D11578" s="0" t="s">
        <v>38609</v>
      </c>
      <c r="E11578" s="0" t="s">
        <v>89</v>
      </c>
      <c r="F11578" s="0" t="s">
        <v>15</v>
      </c>
      <c r="G11578" s="0" t="s">
        <v>16</v>
      </c>
      <c r="H11578" s="0" t="n">
        <v>7</v>
      </c>
      <c r="I11578" s="0" t="s">
        <v>38610</v>
      </c>
      <c r="J11578" s="0" t="s">
        <v>38611</v>
      </c>
      <c r="K11578" s="0" t="s">
        <v>38612</v>
      </c>
      <c r="L11578" s="0" t="str">
        <f aca="false">HYPERLINK("https://www.ncbi.nlm.nih.gov/nuccore/CP000304.1?report=graph&amp;tracks=[key:gene_model_track,Options:GeneOnly]&amp;mk=3243142:3243161|offset_7|00cc00,3243172:3243191|offset_37|444444,3243202:3243221|offset_67|444444,3243227:3243246|offset_92|444444&amp;v=3242941:3243446&amp;c=444444", "offset 7")</f>
        <v>offset 7</v>
      </c>
    </row>
    <row r="11579" customFormat="false" ht="12.8" hidden="false" customHeight="false" outlineLevel="0" collapsed="false">
      <c r="A11579" s="0" t="s">
        <v>12</v>
      </c>
      <c r="B11579" s="0" t="n">
        <v>3243171</v>
      </c>
      <c r="C11579" s="0" t="n">
        <v>3243191</v>
      </c>
      <c r="D11579" s="0" t="s">
        <v>38609</v>
      </c>
      <c r="E11579" s="0" t="s">
        <v>89</v>
      </c>
      <c r="F11579" s="0" t="s">
        <v>15</v>
      </c>
      <c r="G11579" s="0" t="s">
        <v>32</v>
      </c>
      <c r="H11579" s="0" t="n">
        <v>37</v>
      </c>
      <c r="I11579" s="0" t="s">
        <v>38613</v>
      </c>
      <c r="J11579" s="0" t="s">
        <v>38614</v>
      </c>
      <c r="K11579" s="0" t="s">
        <v>38615</v>
      </c>
      <c r="L11579" s="0" t="str">
        <f aca="false">HYPERLINK("https://www.ncbi.nlm.nih.gov/nuccore/CP000304.1?report=graph&amp;tracks=[key:gene_model_track,Options:GeneOnly]&amp;mk=3243142:3243161|offset_7|444444,3243172:3243191|offset_37|00cc00,3243202:3243221|offset_67|444444,3243227:3243246|offset_92|444444&amp;v=3242941:3243446&amp;c=444444", "offset 37")</f>
        <v>offset 37</v>
      </c>
    </row>
    <row r="11580" customFormat="false" ht="12.8" hidden="false" customHeight="false" outlineLevel="0" collapsed="false">
      <c r="A11580" s="0" t="s">
        <v>12</v>
      </c>
      <c r="B11580" s="0" t="n">
        <v>3243201</v>
      </c>
      <c r="C11580" s="0" t="n">
        <v>3243221</v>
      </c>
      <c r="D11580" s="0" t="s">
        <v>38609</v>
      </c>
      <c r="E11580" s="0" t="s">
        <v>89</v>
      </c>
      <c r="F11580" s="0" t="s">
        <v>15</v>
      </c>
      <c r="G11580" s="0" t="s">
        <v>16</v>
      </c>
      <c r="H11580" s="0" t="n">
        <v>67</v>
      </c>
      <c r="I11580" s="0" t="s">
        <v>38616</v>
      </c>
      <c r="J11580" s="0" t="s">
        <v>38617</v>
      </c>
      <c r="K11580" s="0" t="s">
        <v>38618</v>
      </c>
      <c r="L11580" s="0" t="str">
        <f aca="false">HYPERLINK("https://www.ncbi.nlm.nih.gov/nuccore/CP000304.1?report=graph&amp;tracks=[key:gene_model_track,Options:GeneOnly]&amp;mk=3243142:3243161|offset_7|444444,3243172:3243191|offset_37|444444,3243202:3243221|offset_67|00cc00,3243227:3243246|offset_92|444444&amp;v=3242941:3243446&amp;c=444444", "offset 67")</f>
        <v>offset 67</v>
      </c>
    </row>
    <row r="11581" customFormat="false" ht="12.8" hidden="false" customHeight="false" outlineLevel="0" collapsed="false">
      <c r="A11581" s="0" t="s">
        <v>12</v>
      </c>
      <c r="B11581" s="0" t="n">
        <v>3243226</v>
      </c>
      <c r="C11581" s="0" t="n">
        <v>3243246</v>
      </c>
      <c r="D11581" s="0" t="s">
        <v>38609</v>
      </c>
      <c r="E11581" s="0" t="s">
        <v>89</v>
      </c>
      <c r="F11581" s="0" t="s">
        <v>15</v>
      </c>
      <c r="G11581" s="0" t="s">
        <v>36</v>
      </c>
      <c r="H11581" s="0" t="n">
        <v>92</v>
      </c>
      <c r="I11581" s="0" t="s">
        <v>38619</v>
      </c>
      <c r="J11581" s="0" t="s">
        <v>38620</v>
      </c>
      <c r="K11581" s="0" t="s">
        <v>38621</v>
      </c>
      <c r="L11581" s="0" t="str">
        <f aca="false">HYPERLINK("https://www.ncbi.nlm.nih.gov/nuccore/CP000304.1?report=graph&amp;tracks=[key:gene_model_track,Options:GeneOnly]&amp;mk=3243142:3243161|offset_7|444444,3243172:3243191|offset_37|444444,3243202:3243221|offset_67|444444,3243227:3243246|offset_92|00cc00&amp;v=3242941:3243446&amp;c=444444", "offset 92")</f>
        <v>offset 92</v>
      </c>
    </row>
    <row r="11582" customFormat="false" ht="12.8" hidden="false" customHeight="false" outlineLevel="0" collapsed="false">
      <c r="A11582" s="0" t="s">
        <v>12</v>
      </c>
      <c r="B11582" s="0" t="n">
        <v>3243672</v>
      </c>
      <c r="C11582" s="0" t="n">
        <v>3243692</v>
      </c>
      <c r="D11582" s="0" t="s">
        <v>38622</v>
      </c>
      <c r="E11582" s="0" t="s">
        <v>89</v>
      </c>
      <c r="F11582" s="0" t="s">
        <v>15</v>
      </c>
      <c r="G11582" s="0" t="s">
        <v>36</v>
      </c>
      <c r="H11582" s="0" t="n">
        <v>0</v>
      </c>
      <c r="I11582" s="0" t="s">
        <v>38623</v>
      </c>
      <c r="J11582" s="0" t="s">
        <v>38624</v>
      </c>
      <c r="K11582" s="0" t="s">
        <v>38625</v>
      </c>
      <c r="L11582" s="0" t="str">
        <f aca="false">HYPERLINK("https://www.ncbi.nlm.nih.gov/nuccore/CP000304.1?report=graph&amp;tracks=[key:gene_model_track,Options:GeneOnly]&amp;mk=3243673:3243692|offset_0|00cc00,3243716:3243735|offset_43|444444,3243764:3243783|offset_91|444444,3243798:3243817|offset_125|444444&amp;v=3243472:3244017&amp;c=444444", "offset 0")</f>
        <v>offset 0</v>
      </c>
    </row>
    <row r="11583" customFormat="false" ht="12.8" hidden="false" customHeight="false" outlineLevel="0" collapsed="false">
      <c r="A11583" s="0" t="s">
        <v>12</v>
      </c>
      <c r="B11583" s="0" t="n">
        <v>3243715</v>
      </c>
      <c r="C11583" s="0" t="n">
        <v>3243735</v>
      </c>
      <c r="D11583" s="0" t="s">
        <v>38622</v>
      </c>
      <c r="E11583" s="0" t="s">
        <v>89</v>
      </c>
      <c r="F11583" s="0" t="s">
        <v>15</v>
      </c>
      <c r="G11583" s="0" t="s">
        <v>36</v>
      </c>
      <c r="H11583" s="0" t="n">
        <v>43</v>
      </c>
      <c r="I11583" s="0" t="s">
        <v>38626</v>
      </c>
      <c r="J11583" s="0" t="s">
        <v>38627</v>
      </c>
      <c r="K11583" s="0" t="s">
        <v>38628</v>
      </c>
      <c r="L11583" s="0" t="str">
        <f aca="false">HYPERLINK("https://www.ncbi.nlm.nih.gov/nuccore/CP000304.1?report=graph&amp;tracks=[key:gene_model_track,Options:GeneOnly]&amp;mk=3243673:3243692|offset_0|444444,3243716:3243735|offset_43|00cc00,3243764:3243783|offset_91|444444,3243798:3243817|offset_125|444444&amp;v=3243472:3244017&amp;c=444444", "offset 43")</f>
        <v>offset 43</v>
      </c>
    </row>
    <row r="11584" customFormat="false" ht="12.8" hidden="false" customHeight="false" outlineLevel="0" collapsed="false">
      <c r="A11584" s="0" t="s">
        <v>12</v>
      </c>
      <c r="B11584" s="0" t="n">
        <v>3243763</v>
      </c>
      <c r="C11584" s="0" t="n">
        <v>3243783</v>
      </c>
      <c r="D11584" s="0" t="s">
        <v>38622</v>
      </c>
      <c r="E11584" s="0" t="s">
        <v>89</v>
      </c>
      <c r="F11584" s="0" t="s">
        <v>15</v>
      </c>
      <c r="G11584" s="0" t="s">
        <v>16</v>
      </c>
      <c r="H11584" s="0" t="n">
        <v>91</v>
      </c>
      <c r="I11584" s="0" t="s">
        <v>38629</v>
      </c>
      <c r="J11584" s="0" t="s">
        <v>38630</v>
      </c>
      <c r="K11584" s="0" t="s">
        <v>38631</v>
      </c>
      <c r="L11584" s="0" t="str">
        <f aca="false">HYPERLINK("https://www.ncbi.nlm.nih.gov/nuccore/CP000304.1?report=graph&amp;tracks=[key:gene_model_track,Options:GeneOnly]&amp;mk=3243673:3243692|offset_0|444444,3243716:3243735|offset_43|444444,3243764:3243783|offset_91|00cc00,3243798:3243817|offset_125|444444&amp;v=3243472:3244017&amp;c=444444", "offset 91")</f>
        <v>offset 91</v>
      </c>
    </row>
    <row r="11585" customFormat="false" ht="12.8" hidden="false" customHeight="false" outlineLevel="0" collapsed="false">
      <c r="A11585" s="0" t="s">
        <v>12</v>
      </c>
      <c r="B11585" s="0" t="n">
        <v>3243797</v>
      </c>
      <c r="C11585" s="0" t="n">
        <v>3243817</v>
      </c>
      <c r="D11585" s="0" t="s">
        <v>38622</v>
      </c>
      <c r="E11585" s="0" t="s">
        <v>89</v>
      </c>
      <c r="F11585" s="0" t="s">
        <v>15</v>
      </c>
      <c r="G11585" s="0" t="s">
        <v>26</v>
      </c>
      <c r="H11585" s="0" t="n">
        <v>125</v>
      </c>
      <c r="I11585" s="0" t="s">
        <v>38632</v>
      </c>
      <c r="J11585" s="0" t="s">
        <v>38633</v>
      </c>
      <c r="K11585" s="0" t="s">
        <v>38634</v>
      </c>
      <c r="L11585" s="0" t="str">
        <f aca="false">HYPERLINK("https://www.ncbi.nlm.nih.gov/nuccore/CP000304.1?report=graph&amp;tracks=[key:gene_model_track,Options:GeneOnly]&amp;mk=3243673:3243692|offset_0|444444,3243716:3243735|offset_43|444444,3243764:3243783|offset_91|444444,3243798:3243817|offset_125|00cc00&amp;v=3243472:3244017&amp;c=444444", "offset 125")</f>
        <v>offset 125</v>
      </c>
    </row>
    <row r="11586" customFormat="false" ht="12.8" hidden="false" customHeight="false" outlineLevel="0" collapsed="false">
      <c r="A11586" s="0" t="s">
        <v>12</v>
      </c>
      <c r="B11586" s="0" t="n">
        <v>3247355</v>
      </c>
      <c r="C11586" s="0" t="n">
        <v>3247375</v>
      </c>
      <c r="D11586" s="0" t="s">
        <v>38635</v>
      </c>
      <c r="E11586" s="0" t="s">
        <v>38636</v>
      </c>
      <c r="F11586" s="0" t="s">
        <v>90</v>
      </c>
      <c r="G11586" s="0" t="s">
        <v>16</v>
      </c>
      <c r="H11586" s="0" t="n">
        <v>16</v>
      </c>
      <c r="I11586" s="0" t="s">
        <v>38637</v>
      </c>
      <c r="J11586" s="0" t="s">
        <v>38638</v>
      </c>
      <c r="K11586" s="0" t="s">
        <v>38639</v>
      </c>
      <c r="L11586" s="0" t="str">
        <f aca="false">HYPERLINK("https://www.ncbi.nlm.nih.gov/nuccore/CP000304.1?report=graph&amp;tracks=[key:gene_model_track,Options:GeneOnly]&amp;mk=3247356:3247375|offset_16|00cc00,3247335:3247354|offset_37|444444,3247311:3247330|offset_61|444444,3247277:3247296|offset_95|444444&amp;v=3247155:3247496&amp;c=444444", "offset 16")</f>
        <v>offset 16</v>
      </c>
    </row>
    <row r="11587" customFormat="false" ht="12.8" hidden="false" customHeight="false" outlineLevel="0" collapsed="false">
      <c r="A11587" s="0" t="s">
        <v>12</v>
      </c>
      <c r="B11587" s="0" t="n">
        <v>3247334</v>
      </c>
      <c r="C11587" s="0" t="n">
        <v>3247354</v>
      </c>
      <c r="D11587" s="0" t="s">
        <v>38635</v>
      </c>
      <c r="E11587" s="0" t="s">
        <v>38636</v>
      </c>
      <c r="F11587" s="0" t="s">
        <v>90</v>
      </c>
      <c r="G11587" s="0" t="s">
        <v>26</v>
      </c>
      <c r="H11587" s="0" t="n">
        <v>37</v>
      </c>
      <c r="I11587" s="0" t="s">
        <v>38640</v>
      </c>
      <c r="J11587" s="0" t="s">
        <v>38641</v>
      </c>
      <c r="K11587" s="0" t="s">
        <v>38642</v>
      </c>
      <c r="L11587" s="0" t="str">
        <f aca="false">HYPERLINK("https://www.ncbi.nlm.nih.gov/nuccore/CP000304.1?report=graph&amp;tracks=[key:gene_model_track,Options:GeneOnly]&amp;mk=3247356:3247375|offset_16|444444,3247335:3247354|offset_37|00cc00,3247311:3247330|offset_61|444444,3247277:3247296|offset_95|444444&amp;v=3247155:3247496&amp;c=444444", "offset 37")</f>
        <v>offset 37</v>
      </c>
    </row>
    <row r="11588" customFormat="false" ht="12.8" hidden="false" customHeight="false" outlineLevel="0" collapsed="false">
      <c r="A11588" s="0" t="s">
        <v>12</v>
      </c>
      <c r="B11588" s="0" t="n">
        <v>3247310</v>
      </c>
      <c r="C11588" s="0" t="n">
        <v>3247330</v>
      </c>
      <c r="D11588" s="0" t="s">
        <v>38635</v>
      </c>
      <c r="E11588" s="0" t="s">
        <v>38636</v>
      </c>
      <c r="F11588" s="0" t="s">
        <v>90</v>
      </c>
      <c r="G11588" s="0" t="s">
        <v>32</v>
      </c>
      <c r="H11588" s="0" t="n">
        <v>61</v>
      </c>
      <c r="I11588" s="0" t="s">
        <v>38643</v>
      </c>
      <c r="J11588" s="0" t="s">
        <v>38644</v>
      </c>
      <c r="K11588" s="0" t="s">
        <v>38645</v>
      </c>
      <c r="L11588" s="0" t="str">
        <f aca="false">HYPERLINK("https://www.ncbi.nlm.nih.gov/nuccore/CP000304.1?report=graph&amp;tracks=[key:gene_model_track,Options:GeneOnly]&amp;mk=3247356:3247375|offset_16|444444,3247335:3247354|offset_37|444444,3247311:3247330|offset_61|00cc00,3247277:3247296|offset_95|444444&amp;v=3247155:3247496&amp;c=444444", "offset 61")</f>
        <v>offset 61</v>
      </c>
    </row>
    <row r="11589" customFormat="false" ht="12.8" hidden="false" customHeight="false" outlineLevel="0" collapsed="false">
      <c r="A11589" s="0" t="s">
        <v>12</v>
      </c>
      <c r="B11589" s="0" t="n">
        <v>3247276</v>
      </c>
      <c r="C11589" s="0" t="n">
        <v>3247296</v>
      </c>
      <c r="D11589" s="0" t="s">
        <v>38635</v>
      </c>
      <c r="E11589" s="0" t="s">
        <v>38636</v>
      </c>
      <c r="F11589" s="0" t="s">
        <v>90</v>
      </c>
      <c r="G11589" s="0" t="s">
        <v>26</v>
      </c>
      <c r="H11589" s="0" t="n">
        <v>95</v>
      </c>
      <c r="I11589" s="0" t="s">
        <v>38646</v>
      </c>
      <c r="J11589" s="0" t="s">
        <v>38647</v>
      </c>
      <c r="K11589" s="0" t="s">
        <v>38648</v>
      </c>
      <c r="L11589" s="0" t="str">
        <f aca="false">HYPERLINK("https://www.ncbi.nlm.nih.gov/nuccore/CP000304.1?report=graph&amp;tracks=[key:gene_model_track,Options:GeneOnly]&amp;mk=3247356:3247375|offset_16|444444,3247335:3247354|offset_37|444444,3247311:3247330|offset_61|444444,3247277:3247296|offset_95|00cc00&amp;v=3247155:3247496&amp;c=444444", "offset 95")</f>
        <v>offset 95</v>
      </c>
    </row>
    <row r="11590" customFormat="false" ht="12.8" hidden="false" customHeight="false" outlineLevel="0" collapsed="false">
      <c r="A11590" s="0" t="s">
        <v>12</v>
      </c>
      <c r="B11590" s="0" t="n">
        <v>3247728</v>
      </c>
      <c r="C11590" s="0" t="n">
        <v>3247748</v>
      </c>
      <c r="D11590" s="0" t="s">
        <v>38649</v>
      </c>
      <c r="E11590" s="0" t="s">
        <v>89</v>
      </c>
      <c r="F11590" s="0" t="s">
        <v>90</v>
      </c>
      <c r="G11590" s="0" t="s">
        <v>26</v>
      </c>
      <c r="H11590" s="0" t="n">
        <v>50</v>
      </c>
      <c r="I11590" s="0" t="s">
        <v>38650</v>
      </c>
      <c r="J11590" s="0" t="s">
        <v>38651</v>
      </c>
      <c r="K11590" s="0" t="s">
        <v>38652</v>
      </c>
      <c r="L11590" s="0" t="str">
        <f aca="false">HYPERLINK("https://www.ncbi.nlm.nih.gov/nuccore/CP000304.1?report=graph&amp;tracks=[key:gene_model_track,Options:GeneOnly]&amp;mk=3247729:3247748|offset_50|00cc00,3247703:3247722|offset_76|444444,3247676:3247695|offset_103|444444,3247654:3247673|offset_125|444444&amp;v=3247528:3247873&amp;c=444444", "offset 50")</f>
        <v>offset 50</v>
      </c>
    </row>
    <row r="11591" customFormat="false" ht="12.8" hidden="false" customHeight="false" outlineLevel="0" collapsed="false">
      <c r="A11591" s="0" t="s">
        <v>12</v>
      </c>
      <c r="B11591" s="0" t="n">
        <v>3247702</v>
      </c>
      <c r="C11591" s="0" t="n">
        <v>3247722</v>
      </c>
      <c r="D11591" s="0" t="s">
        <v>38649</v>
      </c>
      <c r="E11591" s="0" t="s">
        <v>89</v>
      </c>
      <c r="F11591" s="0" t="s">
        <v>90</v>
      </c>
      <c r="G11591" s="0" t="s">
        <v>16</v>
      </c>
      <c r="H11591" s="0" t="n">
        <v>76</v>
      </c>
      <c r="I11591" s="0" t="s">
        <v>38653</v>
      </c>
      <c r="J11591" s="0" t="s">
        <v>38654</v>
      </c>
      <c r="K11591" s="0" t="s">
        <v>38655</v>
      </c>
      <c r="L11591" s="0" t="str">
        <f aca="false">HYPERLINK("https://www.ncbi.nlm.nih.gov/nuccore/CP000304.1?report=graph&amp;tracks=[key:gene_model_track,Options:GeneOnly]&amp;mk=3247729:3247748|offset_50|444444,3247703:3247722|offset_76|00cc00,3247676:3247695|offset_103|444444,3247654:3247673|offset_125|444444&amp;v=3247528:3247873&amp;c=444444", "offset 76")</f>
        <v>offset 76</v>
      </c>
    </row>
    <row r="11592" customFormat="false" ht="12.8" hidden="false" customHeight="false" outlineLevel="0" collapsed="false">
      <c r="A11592" s="0" t="s">
        <v>12</v>
      </c>
      <c r="B11592" s="0" t="n">
        <v>3247675</v>
      </c>
      <c r="C11592" s="0" t="n">
        <v>3247695</v>
      </c>
      <c r="D11592" s="0" t="s">
        <v>38649</v>
      </c>
      <c r="E11592" s="0" t="s">
        <v>89</v>
      </c>
      <c r="F11592" s="0" t="s">
        <v>90</v>
      </c>
      <c r="G11592" s="0" t="s">
        <v>16</v>
      </c>
      <c r="H11592" s="0" t="n">
        <v>103</v>
      </c>
      <c r="I11592" s="0" t="s">
        <v>38656</v>
      </c>
      <c r="J11592" s="0" t="s">
        <v>38657</v>
      </c>
      <c r="K11592" s="0" t="s">
        <v>38658</v>
      </c>
      <c r="L11592" s="0" t="str">
        <f aca="false">HYPERLINK("https://www.ncbi.nlm.nih.gov/nuccore/CP000304.1?report=graph&amp;tracks=[key:gene_model_track,Options:GeneOnly]&amp;mk=3247729:3247748|offset_50|444444,3247703:3247722|offset_76|444444,3247676:3247695|offset_103|00cc00,3247654:3247673|offset_125|444444&amp;v=3247528:3247873&amp;c=444444", "offset 103")</f>
        <v>offset 103</v>
      </c>
    </row>
    <row r="11593" customFormat="false" ht="12.8" hidden="false" customHeight="false" outlineLevel="0" collapsed="false">
      <c r="A11593" s="0" t="s">
        <v>12</v>
      </c>
      <c r="B11593" s="0" t="n">
        <v>3247653</v>
      </c>
      <c r="C11593" s="0" t="n">
        <v>3247673</v>
      </c>
      <c r="D11593" s="0" t="s">
        <v>38649</v>
      </c>
      <c r="E11593" s="0" t="s">
        <v>89</v>
      </c>
      <c r="F11593" s="0" t="s">
        <v>90</v>
      </c>
      <c r="G11593" s="0" t="s">
        <v>32</v>
      </c>
      <c r="H11593" s="0" t="n">
        <v>125</v>
      </c>
      <c r="I11593" s="0" t="s">
        <v>38659</v>
      </c>
      <c r="J11593" s="0" t="s">
        <v>38660</v>
      </c>
      <c r="K11593" s="0" t="s">
        <v>38661</v>
      </c>
      <c r="L11593" s="0" t="str">
        <f aca="false">HYPERLINK("https://www.ncbi.nlm.nih.gov/nuccore/CP000304.1?report=graph&amp;tracks=[key:gene_model_track,Options:GeneOnly]&amp;mk=3247729:3247748|offset_50|444444,3247703:3247722|offset_76|444444,3247676:3247695|offset_103|444444,3247654:3247673|offset_125|00cc00&amp;v=3247528:3247873&amp;c=444444", "offset 125")</f>
        <v>offset 125</v>
      </c>
    </row>
    <row r="11594" customFormat="false" ht="12.8" hidden="false" customHeight="false" outlineLevel="0" collapsed="false">
      <c r="A11594" s="0" t="s">
        <v>12</v>
      </c>
      <c r="B11594" s="0" t="n">
        <v>3248084</v>
      </c>
      <c r="C11594" s="0" t="n">
        <v>3248104</v>
      </c>
      <c r="D11594" s="0" t="s">
        <v>38662</v>
      </c>
      <c r="E11594" s="0" t="s">
        <v>38663</v>
      </c>
      <c r="F11594" s="0" t="s">
        <v>15</v>
      </c>
      <c r="G11594" s="0" t="s">
        <v>32</v>
      </c>
      <c r="H11594" s="0" t="n">
        <v>1</v>
      </c>
      <c r="I11594" s="0" t="s">
        <v>38664</v>
      </c>
      <c r="J11594" s="0" t="s">
        <v>38665</v>
      </c>
      <c r="K11594" s="0" t="s">
        <v>38666</v>
      </c>
      <c r="L11594" s="0" t="str">
        <f aca="false">HYPERLINK("https://www.ncbi.nlm.nih.gov/nuccore/CP000304.1?report=graph&amp;tracks=[key:gene_model_track,Options:GeneOnly]&amp;mk=3248085:3248104|offset_1|00cc00,3248105:3248124|offset_21|444444,3248128:3248147|offset_44|444444,3248154:3248173|offset_70|444444&amp;v=3247884:3248373&amp;c=444444", "offset 1")</f>
        <v>offset 1</v>
      </c>
    </row>
    <row r="11595" customFormat="false" ht="12.8" hidden="false" customHeight="false" outlineLevel="0" collapsed="false">
      <c r="A11595" s="0" t="s">
        <v>12</v>
      </c>
      <c r="B11595" s="0" t="n">
        <v>3248104</v>
      </c>
      <c r="C11595" s="0" t="n">
        <v>3248124</v>
      </c>
      <c r="D11595" s="0" t="s">
        <v>38662</v>
      </c>
      <c r="E11595" s="0" t="s">
        <v>38663</v>
      </c>
      <c r="F11595" s="0" t="s">
        <v>15</v>
      </c>
      <c r="G11595" s="0" t="s">
        <v>32</v>
      </c>
      <c r="H11595" s="0" t="n">
        <v>21</v>
      </c>
      <c r="I11595" s="0" t="s">
        <v>38667</v>
      </c>
      <c r="J11595" s="0" t="s">
        <v>38668</v>
      </c>
      <c r="K11595" s="0" t="s">
        <v>38669</v>
      </c>
      <c r="L11595" s="0" t="str">
        <f aca="false">HYPERLINK("https://www.ncbi.nlm.nih.gov/nuccore/CP000304.1?report=graph&amp;tracks=[key:gene_model_track,Options:GeneOnly]&amp;mk=3248085:3248104|offset_1|444444,3248105:3248124|offset_21|00cc00,3248128:3248147|offset_44|444444,3248154:3248173|offset_70|444444&amp;v=3247884:3248373&amp;c=444444", "offset 21")</f>
        <v>offset 21</v>
      </c>
    </row>
    <row r="11596" customFormat="false" ht="12.8" hidden="false" customHeight="false" outlineLevel="0" collapsed="false">
      <c r="A11596" s="0" t="s">
        <v>12</v>
      </c>
      <c r="B11596" s="0" t="n">
        <v>3248127</v>
      </c>
      <c r="C11596" s="0" t="n">
        <v>3248147</v>
      </c>
      <c r="D11596" s="0" t="s">
        <v>38662</v>
      </c>
      <c r="E11596" s="0" t="s">
        <v>38663</v>
      </c>
      <c r="F11596" s="0" t="s">
        <v>15</v>
      </c>
      <c r="G11596" s="0" t="s">
        <v>36</v>
      </c>
      <c r="H11596" s="0" t="n">
        <v>44</v>
      </c>
      <c r="I11596" s="0" t="s">
        <v>38670</v>
      </c>
      <c r="J11596" s="0" t="s">
        <v>38671</v>
      </c>
      <c r="K11596" s="0" t="s">
        <v>38672</v>
      </c>
      <c r="L11596" s="0" t="str">
        <f aca="false">HYPERLINK("https://www.ncbi.nlm.nih.gov/nuccore/CP000304.1?report=graph&amp;tracks=[key:gene_model_track,Options:GeneOnly]&amp;mk=3248085:3248104|offset_1|444444,3248105:3248124|offset_21|444444,3248128:3248147|offset_44|00cc00,3248154:3248173|offset_70|444444&amp;v=3247884:3248373&amp;c=444444", "offset 44")</f>
        <v>offset 44</v>
      </c>
    </row>
    <row r="11597" customFormat="false" ht="12.8" hidden="false" customHeight="false" outlineLevel="0" collapsed="false">
      <c r="A11597" s="0" t="s">
        <v>12</v>
      </c>
      <c r="B11597" s="0" t="n">
        <v>3248153</v>
      </c>
      <c r="C11597" s="0" t="n">
        <v>3248173</v>
      </c>
      <c r="D11597" s="0" t="s">
        <v>38662</v>
      </c>
      <c r="E11597" s="0" t="s">
        <v>38663</v>
      </c>
      <c r="F11597" s="0" t="s">
        <v>15</v>
      </c>
      <c r="G11597" s="0" t="s">
        <v>26</v>
      </c>
      <c r="H11597" s="0" t="n">
        <v>70</v>
      </c>
      <c r="I11597" s="0" t="s">
        <v>38673</v>
      </c>
      <c r="J11597" s="0" t="s">
        <v>38674</v>
      </c>
      <c r="K11597" s="0" t="s">
        <v>38675</v>
      </c>
      <c r="L11597" s="0" t="str">
        <f aca="false">HYPERLINK("https://www.ncbi.nlm.nih.gov/nuccore/CP000304.1?report=graph&amp;tracks=[key:gene_model_track,Options:GeneOnly]&amp;mk=3248085:3248104|offset_1|444444,3248105:3248124|offset_21|444444,3248128:3248147|offset_44|444444,3248154:3248173|offset_70|00cc00&amp;v=3247884:3248373&amp;c=444444", "offset 70")</f>
        <v>offset 70</v>
      </c>
    </row>
    <row r="11598" customFormat="false" ht="12.8" hidden="false" customHeight="false" outlineLevel="0" collapsed="false">
      <c r="A11598" s="0" t="s">
        <v>12</v>
      </c>
      <c r="B11598" s="0" t="n">
        <v>3250010</v>
      </c>
      <c r="C11598" s="0" t="n">
        <v>3250030</v>
      </c>
      <c r="D11598" s="0" t="s">
        <v>38676</v>
      </c>
      <c r="E11598" s="0" t="s">
        <v>89</v>
      </c>
      <c r="F11598" s="0" t="s">
        <v>15</v>
      </c>
      <c r="G11598" s="0" t="s">
        <v>32</v>
      </c>
      <c r="H11598" s="0" t="n">
        <v>8</v>
      </c>
      <c r="I11598" s="0" t="s">
        <v>38677</v>
      </c>
      <c r="J11598" s="0" t="s">
        <v>38678</v>
      </c>
      <c r="K11598" s="0" t="s">
        <v>38679</v>
      </c>
      <c r="L11598" s="0" t="str">
        <f aca="false">HYPERLINK("https://www.ncbi.nlm.nih.gov/nuccore/CP000304.1?report=graph&amp;tracks=[key:gene_model_track,Options:GeneOnly]&amp;mk=3250011:3250030|offset_8|00cc00,3250031:3250050|offset_28|444444,3250057:3250076|offset_54|444444,3250086:3250105|offset_83|444444&amp;v=3249810:3250305&amp;c=444444", "offset 8")</f>
        <v>offset 8</v>
      </c>
    </row>
    <row r="11599" customFormat="false" ht="12.8" hidden="false" customHeight="false" outlineLevel="0" collapsed="false">
      <c r="A11599" s="0" t="s">
        <v>12</v>
      </c>
      <c r="B11599" s="0" t="n">
        <v>3250030</v>
      </c>
      <c r="C11599" s="0" t="n">
        <v>3250050</v>
      </c>
      <c r="D11599" s="0" t="s">
        <v>38676</v>
      </c>
      <c r="E11599" s="0" t="s">
        <v>89</v>
      </c>
      <c r="F11599" s="0" t="s">
        <v>15</v>
      </c>
      <c r="G11599" s="0" t="s">
        <v>36</v>
      </c>
      <c r="H11599" s="0" t="n">
        <v>28</v>
      </c>
      <c r="I11599" s="0" t="s">
        <v>38680</v>
      </c>
      <c r="J11599" s="0" t="s">
        <v>38681</v>
      </c>
      <c r="K11599" s="0" t="s">
        <v>38682</v>
      </c>
      <c r="L11599" s="0" t="str">
        <f aca="false">HYPERLINK("https://www.ncbi.nlm.nih.gov/nuccore/CP000304.1?report=graph&amp;tracks=[key:gene_model_track,Options:GeneOnly]&amp;mk=3250011:3250030|offset_8|444444,3250031:3250050|offset_28|00cc00,3250057:3250076|offset_54|444444,3250086:3250105|offset_83|444444&amp;v=3249810:3250305&amp;c=444444", "offset 28")</f>
        <v>offset 28</v>
      </c>
    </row>
    <row r="11600" customFormat="false" ht="12.8" hidden="false" customHeight="false" outlineLevel="0" collapsed="false">
      <c r="A11600" s="0" t="s">
        <v>12</v>
      </c>
      <c r="B11600" s="0" t="n">
        <v>3250056</v>
      </c>
      <c r="C11600" s="0" t="n">
        <v>3250076</v>
      </c>
      <c r="D11600" s="0" t="s">
        <v>38676</v>
      </c>
      <c r="E11600" s="0" t="s">
        <v>89</v>
      </c>
      <c r="F11600" s="0" t="s">
        <v>15</v>
      </c>
      <c r="G11600" s="0" t="s">
        <v>36</v>
      </c>
      <c r="H11600" s="0" t="n">
        <v>54</v>
      </c>
      <c r="I11600" s="0" t="s">
        <v>38683</v>
      </c>
      <c r="J11600" s="0" t="s">
        <v>38684</v>
      </c>
      <c r="K11600" s="0" t="s">
        <v>38685</v>
      </c>
      <c r="L11600" s="0" t="str">
        <f aca="false">HYPERLINK("https://www.ncbi.nlm.nih.gov/nuccore/CP000304.1?report=graph&amp;tracks=[key:gene_model_track,Options:GeneOnly]&amp;mk=3250011:3250030|offset_8|444444,3250031:3250050|offset_28|444444,3250057:3250076|offset_54|00cc00,3250086:3250105|offset_83|444444&amp;v=3249810:3250305&amp;c=444444", "offset 54")</f>
        <v>offset 54</v>
      </c>
    </row>
    <row r="11601" customFormat="false" ht="12.8" hidden="false" customHeight="false" outlineLevel="0" collapsed="false">
      <c r="A11601" s="0" t="s">
        <v>12</v>
      </c>
      <c r="B11601" s="0" t="n">
        <v>3250085</v>
      </c>
      <c r="C11601" s="0" t="n">
        <v>3250105</v>
      </c>
      <c r="D11601" s="0" t="s">
        <v>38676</v>
      </c>
      <c r="E11601" s="0" t="s">
        <v>89</v>
      </c>
      <c r="F11601" s="0" t="s">
        <v>15</v>
      </c>
      <c r="G11601" s="0" t="s">
        <v>36</v>
      </c>
      <c r="H11601" s="0" t="n">
        <v>83</v>
      </c>
      <c r="I11601" s="0" t="s">
        <v>38686</v>
      </c>
      <c r="J11601" s="0" t="s">
        <v>38687</v>
      </c>
      <c r="K11601" s="0" t="s">
        <v>38688</v>
      </c>
      <c r="L11601" s="0" t="str">
        <f aca="false">HYPERLINK("https://www.ncbi.nlm.nih.gov/nuccore/CP000304.1?report=graph&amp;tracks=[key:gene_model_track,Options:GeneOnly]&amp;mk=3250011:3250030|offset_8|444444,3250031:3250050|offset_28|444444,3250057:3250076|offset_54|444444,3250086:3250105|offset_83|00cc00&amp;v=3249810:3250305&amp;c=444444", "offset 83")</f>
        <v>offset 83</v>
      </c>
    </row>
    <row r="11602" customFormat="false" ht="12.8" hidden="false" customHeight="false" outlineLevel="0" collapsed="false">
      <c r="A11602" s="0" t="s">
        <v>12</v>
      </c>
      <c r="B11602" s="0" t="n">
        <v>3251172</v>
      </c>
      <c r="C11602" s="0" t="n">
        <v>3251192</v>
      </c>
      <c r="D11602" s="0" t="s">
        <v>38689</v>
      </c>
      <c r="E11602" s="0" t="s">
        <v>89</v>
      </c>
      <c r="F11602" s="0" t="s">
        <v>15</v>
      </c>
      <c r="G11602" s="0" t="s">
        <v>36</v>
      </c>
      <c r="H11602" s="0" t="n">
        <v>25</v>
      </c>
      <c r="I11602" s="0" t="s">
        <v>38690</v>
      </c>
      <c r="J11602" s="0" t="s">
        <v>38691</v>
      </c>
      <c r="K11602" s="0" t="s">
        <v>38692</v>
      </c>
      <c r="L11602" s="0" t="str">
        <f aca="false">HYPERLINK("https://www.ncbi.nlm.nih.gov/nuccore/CP000304.1?report=graph&amp;tracks=[key:gene_model_track,Options:GeneOnly]&amp;mk=3251173:3251192|offset_25|00cc00,3251198:3251217|offset_50|444444,3251218:3251237|offset_70|444444,3251242:3251261|offset_94|444444&amp;v=3250972:3251461&amp;c=444444", "offset 25")</f>
        <v>offset 25</v>
      </c>
    </row>
    <row r="11603" customFormat="false" ht="12.8" hidden="false" customHeight="false" outlineLevel="0" collapsed="false">
      <c r="A11603" s="0" t="s">
        <v>12</v>
      </c>
      <c r="B11603" s="0" t="n">
        <v>3251197</v>
      </c>
      <c r="C11603" s="0" t="n">
        <v>3251217</v>
      </c>
      <c r="D11603" s="0" t="s">
        <v>38689</v>
      </c>
      <c r="E11603" s="0" t="s">
        <v>89</v>
      </c>
      <c r="F11603" s="0" t="s">
        <v>15</v>
      </c>
      <c r="G11603" s="0" t="s">
        <v>26</v>
      </c>
      <c r="H11603" s="0" t="n">
        <v>50</v>
      </c>
      <c r="I11603" s="0" t="s">
        <v>38693</v>
      </c>
      <c r="J11603" s="0" t="s">
        <v>38694</v>
      </c>
      <c r="K11603" s="0" t="s">
        <v>38695</v>
      </c>
      <c r="L11603" s="0" t="str">
        <f aca="false">HYPERLINK("https://www.ncbi.nlm.nih.gov/nuccore/CP000304.1?report=graph&amp;tracks=[key:gene_model_track,Options:GeneOnly]&amp;mk=3251173:3251192|offset_25|444444,3251198:3251217|offset_50|00cc00,3251218:3251237|offset_70|444444,3251242:3251261|offset_94|444444&amp;v=3250972:3251461&amp;c=444444", "offset 50")</f>
        <v>offset 50</v>
      </c>
    </row>
    <row r="11604" customFormat="false" ht="12.8" hidden="false" customHeight="false" outlineLevel="0" collapsed="false">
      <c r="A11604" s="0" t="s">
        <v>12</v>
      </c>
      <c r="B11604" s="0" t="n">
        <v>3251217</v>
      </c>
      <c r="C11604" s="0" t="n">
        <v>3251237</v>
      </c>
      <c r="D11604" s="0" t="s">
        <v>38689</v>
      </c>
      <c r="E11604" s="0" t="s">
        <v>89</v>
      </c>
      <c r="F11604" s="0" t="s">
        <v>15</v>
      </c>
      <c r="G11604" s="0" t="s">
        <v>16</v>
      </c>
      <c r="H11604" s="0" t="n">
        <v>70</v>
      </c>
      <c r="I11604" s="0" t="s">
        <v>38696</v>
      </c>
      <c r="J11604" s="0" t="s">
        <v>38697</v>
      </c>
      <c r="K11604" s="0" t="s">
        <v>38698</v>
      </c>
      <c r="L11604" s="0" t="str">
        <f aca="false">HYPERLINK("https://www.ncbi.nlm.nih.gov/nuccore/CP000304.1?report=graph&amp;tracks=[key:gene_model_track,Options:GeneOnly]&amp;mk=3251173:3251192|offset_25|444444,3251198:3251217|offset_50|444444,3251218:3251237|offset_70|00cc00,3251242:3251261|offset_94|444444&amp;v=3250972:3251461&amp;c=444444", "offset 70")</f>
        <v>offset 70</v>
      </c>
    </row>
    <row r="11605" customFormat="false" ht="12.8" hidden="false" customHeight="false" outlineLevel="0" collapsed="false">
      <c r="A11605" s="0" t="s">
        <v>12</v>
      </c>
      <c r="B11605" s="0" t="n">
        <v>3251241</v>
      </c>
      <c r="C11605" s="0" t="n">
        <v>3251261</v>
      </c>
      <c r="D11605" s="0" t="s">
        <v>38689</v>
      </c>
      <c r="E11605" s="0" t="s">
        <v>89</v>
      </c>
      <c r="F11605" s="0" t="s">
        <v>15</v>
      </c>
      <c r="G11605" s="0" t="s">
        <v>16</v>
      </c>
      <c r="H11605" s="0" t="n">
        <v>94</v>
      </c>
      <c r="I11605" s="0" t="s">
        <v>38699</v>
      </c>
      <c r="J11605" s="0" t="s">
        <v>38700</v>
      </c>
      <c r="K11605" s="0" t="s">
        <v>38701</v>
      </c>
      <c r="L11605" s="0" t="str">
        <f aca="false">HYPERLINK("https://www.ncbi.nlm.nih.gov/nuccore/CP000304.1?report=graph&amp;tracks=[key:gene_model_track,Options:GeneOnly]&amp;mk=3251173:3251192|offset_25|444444,3251198:3251217|offset_50|444444,3251218:3251237|offset_70|444444,3251242:3251261|offset_94|00cc00&amp;v=3250972:3251461&amp;c=444444", "offset 94")</f>
        <v>offset 94</v>
      </c>
    </row>
    <row r="11606" customFormat="false" ht="12.8" hidden="false" customHeight="false" outlineLevel="0" collapsed="false">
      <c r="A11606" s="0" t="s">
        <v>12</v>
      </c>
      <c r="B11606" s="0" t="n">
        <v>3252105</v>
      </c>
      <c r="C11606" s="0" t="n">
        <v>3252125</v>
      </c>
      <c r="D11606" s="0" t="s">
        <v>38702</v>
      </c>
      <c r="E11606" s="0" t="s">
        <v>38703</v>
      </c>
      <c r="F11606" s="0" t="s">
        <v>15</v>
      </c>
      <c r="G11606" s="0" t="s">
        <v>32</v>
      </c>
      <c r="H11606" s="0" t="n">
        <v>1</v>
      </c>
      <c r="I11606" s="0" t="s">
        <v>38704</v>
      </c>
      <c r="J11606" s="0" t="s">
        <v>38705</v>
      </c>
      <c r="K11606" s="0" t="s">
        <v>38706</v>
      </c>
      <c r="L11606" s="0" t="str">
        <f aca="false">HYPERLINK("https://www.ncbi.nlm.nih.gov/nuccore/CP000304.1?report=graph&amp;tracks=[key:gene_model_track,Options:GeneOnly]&amp;mk=3252106:3252125|offset_1|00cc00,3252136:3252155|offset_31|444444,3252163:3252182|offset_58|444444,3252190:3252209|offset_85|444444&amp;v=3251905:3252409&amp;c=444444", "offset 1")</f>
        <v>offset 1</v>
      </c>
    </row>
    <row r="11607" customFormat="false" ht="12.8" hidden="false" customHeight="false" outlineLevel="0" collapsed="false">
      <c r="A11607" s="0" t="s">
        <v>12</v>
      </c>
      <c r="B11607" s="0" t="n">
        <v>3252135</v>
      </c>
      <c r="C11607" s="0" t="n">
        <v>3252155</v>
      </c>
      <c r="D11607" s="0" t="s">
        <v>38702</v>
      </c>
      <c r="E11607" s="0" t="s">
        <v>38703</v>
      </c>
      <c r="F11607" s="0" t="s">
        <v>15</v>
      </c>
      <c r="G11607" s="0" t="s">
        <v>36</v>
      </c>
      <c r="H11607" s="0" t="n">
        <v>31</v>
      </c>
      <c r="I11607" s="0" t="s">
        <v>38707</v>
      </c>
      <c r="J11607" s="0" t="s">
        <v>38708</v>
      </c>
      <c r="K11607" s="0" t="s">
        <v>38709</v>
      </c>
      <c r="L11607" s="0" t="str">
        <f aca="false">HYPERLINK("https://www.ncbi.nlm.nih.gov/nuccore/CP000304.1?report=graph&amp;tracks=[key:gene_model_track,Options:GeneOnly]&amp;mk=3252106:3252125|offset_1|444444,3252136:3252155|offset_31|00cc00,3252163:3252182|offset_58|444444,3252190:3252209|offset_85|444444&amp;v=3251905:3252409&amp;c=444444", "offset 31")</f>
        <v>offset 31</v>
      </c>
    </row>
    <row r="11608" customFormat="false" ht="12.8" hidden="false" customHeight="false" outlineLevel="0" collapsed="false">
      <c r="A11608" s="0" t="s">
        <v>12</v>
      </c>
      <c r="B11608" s="0" t="n">
        <v>3252162</v>
      </c>
      <c r="C11608" s="0" t="n">
        <v>3252182</v>
      </c>
      <c r="D11608" s="0" t="s">
        <v>38702</v>
      </c>
      <c r="E11608" s="0" t="s">
        <v>38703</v>
      </c>
      <c r="F11608" s="0" t="s">
        <v>15</v>
      </c>
      <c r="G11608" s="0" t="s">
        <v>16</v>
      </c>
      <c r="H11608" s="0" t="n">
        <v>58</v>
      </c>
      <c r="I11608" s="0" t="s">
        <v>38710</v>
      </c>
      <c r="J11608" s="0" t="s">
        <v>38711</v>
      </c>
      <c r="K11608" s="0" t="s">
        <v>38712</v>
      </c>
      <c r="L11608" s="0" t="str">
        <f aca="false">HYPERLINK("https://www.ncbi.nlm.nih.gov/nuccore/CP000304.1?report=graph&amp;tracks=[key:gene_model_track,Options:GeneOnly]&amp;mk=3252106:3252125|offset_1|444444,3252136:3252155|offset_31|444444,3252163:3252182|offset_58|00cc00,3252190:3252209|offset_85|444444&amp;v=3251905:3252409&amp;c=444444", "offset 58")</f>
        <v>offset 58</v>
      </c>
    </row>
    <row r="11609" customFormat="false" ht="12.8" hidden="false" customHeight="false" outlineLevel="0" collapsed="false">
      <c r="A11609" s="0" t="s">
        <v>12</v>
      </c>
      <c r="B11609" s="0" t="n">
        <v>3252189</v>
      </c>
      <c r="C11609" s="0" t="n">
        <v>3252209</v>
      </c>
      <c r="D11609" s="0" t="s">
        <v>38702</v>
      </c>
      <c r="E11609" s="0" t="s">
        <v>38703</v>
      </c>
      <c r="F11609" s="0" t="s">
        <v>15</v>
      </c>
      <c r="G11609" s="0" t="s">
        <v>32</v>
      </c>
      <c r="H11609" s="0" t="n">
        <v>85</v>
      </c>
      <c r="I11609" s="0" t="s">
        <v>38713</v>
      </c>
      <c r="J11609" s="0" t="s">
        <v>38714</v>
      </c>
      <c r="K11609" s="0" t="s">
        <v>38715</v>
      </c>
      <c r="L11609" s="0" t="str">
        <f aca="false">HYPERLINK("https://www.ncbi.nlm.nih.gov/nuccore/CP000304.1?report=graph&amp;tracks=[key:gene_model_track,Options:GeneOnly]&amp;mk=3252106:3252125|offset_1|444444,3252136:3252155|offset_31|444444,3252163:3252182|offset_58|444444,3252190:3252209|offset_85|00cc00&amp;v=3251905:3252409&amp;c=444444", "offset 85")</f>
        <v>offset 85</v>
      </c>
    </row>
    <row r="11610" customFormat="false" ht="12.8" hidden="false" customHeight="false" outlineLevel="0" collapsed="false">
      <c r="A11610" s="0" t="s">
        <v>12</v>
      </c>
      <c r="B11610" s="0" t="n">
        <v>3252879</v>
      </c>
      <c r="C11610" s="0" t="n">
        <v>3252899</v>
      </c>
      <c r="D11610" s="0" t="s">
        <v>38716</v>
      </c>
      <c r="E11610" s="0" t="s">
        <v>89</v>
      </c>
      <c r="F11610" s="0" t="s">
        <v>15</v>
      </c>
      <c r="G11610" s="0" t="s">
        <v>16</v>
      </c>
      <c r="H11610" s="0" t="n">
        <v>9</v>
      </c>
      <c r="I11610" s="0" t="s">
        <v>38717</v>
      </c>
      <c r="J11610" s="0" t="s">
        <v>38718</v>
      </c>
      <c r="K11610" s="0" t="s">
        <v>38719</v>
      </c>
      <c r="L11610" s="0" t="str">
        <f aca="false">HYPERLINK("https://www.ncbi.nlm.nih.gov/nuccore/CP000304.1?report=graph&amp;tracks=[key:gene_model_track,Options:GeneOnly]&amp;mk=3252880:3252899|offset_9|00cc00,3252930:3252949|offset_59|444444,3252968:3252987|offset_97|444444,3252998:3253017|offset_127|444444&amp;v=3252679:3253217&amp;c=444444", "offset 9")</f>
        <v>offset 9</v>
      </c>
    </row>
    <row r="11611" customFormat="false" ht="12.8" hidden="false" customHeight="false" outlineLevel="0" collapsed="false">
      <c r="A11611" s="0" t="s">
        <v>12</v>
      </c>
      <c r="B11611" s="0" t="n">
        <v>3252929</v>
      </c>
      <c r="C11611" s="0" t="n">
        <v>3252949</v>
      </c>
      <c r="D11611" s="0" t="s">
        <v>38716</v>
      </c>
      <c r="E11611" s="0" t="s">
        <v>89</v>
      </c>
      <c r="F11611" s="0" t="s">
        <v>15</v>
      </c>
      <c r="G11611" s="0" t="s">
        <v>26</v>
      </c>
      <c r="H11611" s="0" t="n">
        <v>59</v>
      </c>
      <c r="I11611" s="0" t="s">
        <v>38720</v>
      </c>
      <c r="J11611" s="0" t="s">
        <v>38721</v>
      </c>
      <c r="K11611" s="0" t="s">
        <v>38722</v>
      </c>
      <c r="L11611" s="0" t="str">
        <f aca="false">HYPERLINK("https://www.ncbi.nlm.nih.gov/nuccore/CP000304.1?report=graph&amp;tracks=[key:gene_model_track,Options:GeneOnly]&amp;mk=3252880:3252899|offset_9|444444,3252930:3252949|offset_59|00cc00,3252968:3252987|offset_97|444444,3252998:3253017|offset_127|444444&amp;v=3252679:3253217&amp;c=444444", "offset 59")</f>
        <v>offset 59</v>
      </c>
    </row>
    <row r="11612" customFormat="false" ht="12.8" hidden="false" customHeight="false" outlineLevel="0" collapsed="false">
      <c r="A11612" s="0" t="s">
        <v>12</v>
      </c>
      <c r="B11612" s="0" t="n">
        <v>3252967</v>
      </c>
      <c r="C11612" s="0" t="n">
        <v>3252987</v>
      </c>
      <c r="D11612" s="0" t="s">
        <v>38716</v>
      </c>
      <c r="E11612" s="0" t="s">
        <v>89</v>
      </c>
      <c r="F11612" s="0" t="s">
        <v>15</v>
      </c>
      <c r="G11612" s="0" t="s">
        <v>26</v>
      </c>
      <c r="H11612" s="0" t="n">
        <v>97</v>
      </c>
      <c r="I11612" s="0" t="s">
        <v>38723</v>
      </c>
      <c r="J11612" s="0" t="s">
        <v>38724</v>
      </c>
      <c r="K11612" s="0" t="s">
        <v>38725</v>
      </c>
      <c r="L11612" s="0" t="str">
        <f aca="false">HYPERLINK("https://www.ncbi.nlm.nih.gov/nuccore/CP000304.1?report=graph&amp;tracks=[key:gene_model_track,Options:GeneOnly]&amp;mk=3252880:3252899|offset_9|444444,3252930:3252949|offset_59|444444,3252968:3252987|offset_97|00cc00,3252998:3253017|offset_127|444444&amp;v=3252679:3253217&amp;c=444444", "offset 97")</f>
        <v>offset 97</v>
      </c>
    </row>
    <row r="11613" customFormat="false" ht="12.8" hidden="false" customHeight="false" outlineLevel="0" collapsed="false">
      <c r="A11613" s="0" t="s">
        <v>12</v>
      </c>
      <c r="B11613" s="0" t="n">
        <v>3252997</v>
      </c>
      <c r="C11613" s="0" t="n">
        <v>3253017</v>
      </c>
      <c r="D11613" s="0" t="s">
        <v>38716</v>
      </c>
      <c r="E11613" s="0" t="s">
        <v>89</v>
      </c>
      <c r="F11613" s="0" t="s">
        <v>15</v>
      </c>
      <c r="G11613" s="0" t="s">
        <v>26</v>
      </c>
      <c r="H11613" s="0" t="n">
        <v>127</v>
      </c>
      <c r="I11613" s="0" t="s">
        <v>38726</v>
      </c>
      <c r="J11613" s="0" t="s">
        <v>38727</v>
      </c>
      <c r="K11613" s="0" t="s">
        <v>38728</v>
      </c>
      <c r="L11613" s="0" t="str">
        <f aca="false">HYPERLINK("https://www.ncbi.nlm.nih.gov/nuccore/CP000304.1?report=graph&amp;tracks=[key:gene_model_track,Options:GeneOnly]&amp;mk=3252880:3252899|offset_9|444444,3252930:3252949|offset_59|444444,3252968:3252987|offset_97|444444,3252998:3253017|offset_127|00cc00&amp;v=3252679:3253217&amp;c=444444", "offset 127")</f>
        <v>offset 127</v>
      </c>
    </row>
    <row r="11614" customFormat="false" ht="12.8" hidden="false" customHeight="false" outlineLevel="0" collapsed="false">
      <c r="A11614" s="0" t="s">
        <v>12</v>
      </c>
      <c r="B11614" s="0" t="n">
        <v>3253538</v>
      </c>
      <c r="C11614" s="0" t="n">
        <v>3253558</v>
      </c>
      <c r="D11614" s="0" t="s">
        <v>38729</v>
      </c>
      <c r="E11614" s="0" t="s">
        <v>89</v>
      </c>
      <c r="F11614" s="0" t="s">
        <v>15</v>
      </c>
      <c r="G11614" s="0" t="s">
        <v>32</v>
      </c>
      <c r="H11614" s="0" t="n">
        <v>1</v>
      </c>
      <c r="I11614" s="0" t="s">
        <v>38730</v>
      </c>
      <c r="J11614" s="0" t="s">
        <v>38731</v>
      </c>
      <c r="K11614" s="0" t="s">
        <v>38732</v>
      </c>
      <c r="L11614" s="0" t="str">
        <f aca="false">HYPERLINK("https://www.ncbi.nlm.nih.gov/nuccore/CP000304.1?report=graph&amp;tracks=[key:gene_model_track,Options:GeneOnly]&amp;mk=3253539:3253558|offset_1|00cc00,3253560:3253579|offset_22|444444,3253582:3253601|offset_44|444444,3253626:3253645|offset_88|444444&amp;v=3253338:3253845&amp;c=444444", "offset 1")</f>
        <v>offset 1</v>
      </c>
    </row>
    <row r="11615" customFormat="false" ht="12.8" hidden="false" customHeight="false" outlineLevel="0" collapsed="false">
      <c r="A11615" s="0" t="s">
        <v>12</v>
      </c>
      <c r="B11615" s="0" t="n">
        <v>3253559</v>
      </c>
      <c r="C11615" s="0" t="n">
        <v>3253579</v>
      </c>
      <c r="D11615" s="0" t="s">
        <v>38729</v>
      </c>
      <c r="E11615" s="0" t="s">
        <v>89</v>
      </c>
      <c r="F11615" s="0" t="s">
        <v>15</v>
      </c>
      <c r="G11615" s="0" t="s">
        <v>16</v>
      </c>
      <c r="H11615" s="0" t="n">
        <v>22</v>
      </c>
      <c r="I11615" s="0" t="s">
        <v>38733</v>
      </c>
      <c r="J11615" s="0" t="s">
        <v>38734</v>
      </c>
      <c r="K11615" s="0" t="s">
        <v>38735</v>
      </c>
      <c r="L11615" s="0" t="str">
        <f aca="false">HYPERLINK("https://www.ncbi.nlm.nih.gov/nuccore/CP000304.1?report=graph&amp;tracks=[key:gene_model_track,Options:GeneOnly]&amp;mk=3253539:3253558|offset_1|444444,3253560:3253579|offset_22|00cc00,3253582:3253601|offset_44|444444,3253626:3253645|offset_88|444444&amp;v=3253338:3253845&amp;c=444444", "offset 22")</f>
        <v>offset 22</v>
      </c>
    </row>
    <row r="11616" customFormat="false" ht="12.8" hidden="false" customHeight="false" outlineLevel="0" collapsed="false">
      <c r="A11616" s="0" t="s">
        <v>12</v>
      </c>
      <c r="B11616" s="0" t="n">
        <v>3253581</v>
      </c>
      <c r="C11616" s="0" t="n">
        <v>3253601</v>
      </c>
      <c r="D11616" s="0" t="s">
        <v>38729</v>
      </c>
      <c r="E11616" s="0" t="s">
        <v>89</v>
      </c>
      <c r="F11616" s="0" t="s">
        <v>15</v>
      </c>
      <c r="G11616" s="0" t="s">
        <v>26</v>
      </c>
      <c r="H11616" s="0" t="n">
        <v>44</v>
      </c>
      <c r="I11616" s="0" t="s">
        <v>38736</v>
      </c>
      <c r="J11616" s="0" t="s">
        <v>38737</v>
      </c>
      <c r="K11616" s="0" t="s">
        <v>38738</v>
      </c>
      <c r="L11616" s="0" t="str">
        <f aca="false">HYPERLINK("https://www.ncbi.nlm.nih.gov/nuccore/CP000304.1?report=graph&amp;tracks=[key:gene_model_track,Options:GeneOnly]&amp;mk=3253539:3253558|offset_1|444444,3253560:3253579|offset_22|444444,3253582:3253601|offset_44|00cc00,3253626:3253645|offset_88|444444&amp;v=3253338:3253845&amp;c=444444", "offset 44")</f>
        <v>offset 44</v>
      </c>
    </row>
    <row r="11617" customFormat="false" ht="12.8" hidden="false" customHeight="false" outlineLevel="0" collapsed="false">
      <c r="A11617" s="0" t="s">
        <v>12</v>
      </c>
      <c r="B11617" s="0" t="n">
        <v>3253625</v>
      </c>
      <c r="C11617" s="0" t="n">
        <v>3253645</v>
      </c>
      <c r="D11617" s="0" t="s">
        <v>38729</v>
      </c>
      <c r="E11617" s="0" t="s">
        <v>89</v>
      </c>
      <c r="F11617" s="0" t="s">
        <v>15</v>
      </c>
      <c r="G11617" s="0" t="s">
        <v>26</v>
      </c>
      <c r="H11617" s="0" t="n">
        <v>88</v>
      </c>
      <c r="I11617" s="0" t="s">
        <v>38739</v>
      </c>
      <c r="J11617" s="0" t="s">
        <v>38740</v>
      </c>
      <c r="K11617" s="0" t="s">
        <v>38741</v>
      </c>
      <c r="L11617" s="0" t="str">
        <f aca="false">HYPERLINK("https://www.ncbi.nlm.nih.gov/nuccore/CP000304.1?report=graph&amp;tracks=[key:gene_model_track,Options:GeneOnly]&amp;mk=3253539:3253558|offset_1|444444,3253560:3253579|offset_22|444444,3253582:3253601|offset_44|444444,3253626:3253645|offset_88|00cc00&amp;v=3253338:3253845&amp;c=444444", "offset 88")</f>
        <v>offset 88</v>
      </c>
    </row>
    <row r="11618" customFormat="false" ht="12.8" hidden="false" customHeight="false" outlineLevel="0" collapsed="false">
      <c r="A11618" s="0" t="s">
        <v>12</v>
      </c>
      <c r="B11618" s="0" t="n">
        <v>3253906</v>
      </c>
      <c r="C11618" s="0" t="n">
        <v>3253926</v>
      </c>
      <c r="D11618" s="0" t="s">
        <v>38742</v>
      </c>
      <c r="E11618" s="0" t="s">
        <v>89</v>
      </c>
      <c r="F11618" s="0" t="s">
        <v>15</v>
      </c>
      <c r="G11618" s="0" t="s">
        <v>36</v>
      </c>
      <c r="H11618" s="0" t="n">
        <v>38</v>
      </c>
      <c r="I11618" s="0" t="s">
        <v>38743</v>
      </c>
      <c r="J11618" s="0" t="s">
        <v>38744</v>
      </c>
      <c r="K11618" s="0" t="s">
        <v>38745</v>
      </c>
      <c r="L11618" s="0" t="str">
        <f aca="false">HYPERLINK("https://www.ncbi.nlm.nih.gov/nuccore/CP000304.1?report=graph&amp;tracks=[key:gene_model_track,Options:GeneOnly]&amp;mk=3253907:3253926|offset_38|00cc00,3253938:3253957|offset_69|444444,3253958:3253977|offset_89|444444,3253978:3253997|offset_109|444444&amp;v=3253706:3254197&amp;c=444444", "offset 38")</f>
        <v>offset 38</v>
      </c>
    </row>
    <row r="11619" customFormat="false" ht="12.8" hidden="false" customHeight="false" outlineLevel="0" collapsed="false">
      <c r="A11619" s="0" t="s">
        <v>12</v>
      </c>
      <c r="B11619" s="0" t="n">
        <v>3253937</v>
      </c>
      <c r="C11619" s="0" t="n">
        <v>3253957</v>
      </c>
      <c r="D11619" s="0" t="s">
        <v>38742</v>
      </c>
      <c r="E11619" s="0" t="s">
        <v>89</v>
      </c>
      <c r="F11619" s="0" t="s">
        <v>15</v>
      </c>
      <c r="G11619" s="0" t="s">
        <v>26</v>
      </c>
      <c r="H11619" s="0" t="n">
        <v>69</v>
      </c>
      <c r="I11619" s="0" t="s">
        <v>38746</v>
      </c>
      <c r="J11619" s="0" t="s">
        <v>38747</v>
      </c>
      <c r="K11619" s="0" t="s">
        <v>38748</v>
      </c>
      <c r="L11619" s="0" t="str">
        <f aca="false">HYPERLINK("https://www.ncbi.nlm.nih.gov/nuccore/CP000304.1?report=graph&amp;tracks=[key:gene_model_track,Options:GeneOnly]&amp;mk=3253907:3253926|offset_38|444444,3253938:3253957|offset_69|00cc00,3253958:3253977|offset_89|444444,3253978:3253997|offset_109|444444&amp;v=3253706:3254197&amp;c=444444", "offset 69")</f>
        <v>offset 69</v>
      </c>
    </row>
    <row r="11620" customFormat="false" ht="12.8" hidden="false" customHeight="false" outlineLevel="0" collapsed="false">
      <c r="A11620" s="0" t="s">
        <v>12</v>
      </c>
      <c r="B11620" s="0" t="n">
        <v>3253957</v>
      </c>
      <c r="C11620" s="0" t="n">
        <v>3253977</v>
      </c>
      <c r="D11620" s="0" t="s">
        <v>38742</v>
      </c>
      <c r="E11620" s="0" t="s">
        <v>89</v>
      </c>
      <c r="F11620" s="0" t="s">
        <v>15</v>
      </c>
      <c r="G11620" s="0" t="s">
        <v>16</v>
      </c>
      <c r="H11620" s="0" t="n">
        <v>89</v>
      </c>
      <c r="I11620" s="0" t="s">
        <v>38749</v>
      </c>
      <c r="J11620" s="0" t="s">
        <v>38750</v>
      </c>
      <c r="K11620" s="0" t="s">
        <v>38751</v>
      </c>
      <c r="L11620" s="0" t="str">
        <f aca="false">HYPERLINK("https://www.ncbi.nlm.nih.gov/nuccore/CP000304.1?report=graph&amp;tracks=[key:gene_model_track,Options:GeneOnly]&amp;mk=3253907:3253926|offset_38|444444,3253938:3253957|offset_69|444444,3253958:3253977|offset_89|00cc00,3253978:3253997|offset_109|444444&amp;v=3253706:3254197&amp;c=444444", "offset 89")</f>
        <v>offset 89</v>
      </c>
    </row>
    <row r="11621" customFormat="false" ht="12.8" hidden="false" customHeight="false" outlineLevel="0" collapsed="false">
      <c r="A11621" s="0" t="s">
        <v>12</v>
      </c>
      <c r="B11621" s="0" t="n">
        <v>3253977</v>
      </c>
      <c r="C11621" s="0" t="n">
        <v>3253997</v>
      </c>
      <c r="D11621" s="0" t="s">
        <v>38742</v>
      </c>
      <c r="E11621" s="0" t="s">
        <v>89</v>
      </c>
      <c r="F11621" s="0" t="s">
        <v>15</v>
      </c>
      <c r="G11621" s="0" t="s">
        <v>36</v>
      </c>
      <c r="H11621" s="0" t="n">
        <v>109</v>
      </c>
      <c r="I11621" s="0" t="s">
        <v>38752</v>
      </c>
      <c r="J11621" s="0" t="s">
        <v>38753</v>
      </c>
      <c r="K11621" s="0" t="s">
        <v>38754</v>
      </c>
      <c r="L11621" s="0" t="str">
        <f aca="false">HYPERLINK("https://www.ncbi.nlm.nih.gov/nuccore/CP000304.1?report=graph&amp;tracks=[key:gene_model_track,Options:GeneOnly]&amp;mk=3253907:3253926|offset_38|444444,3253938:3253957|offset_69|444444,3253958:3253977|offset_89|444444,3253978:3253997|offset_109|00cc00&amp;v=3253706:3254197&amp;c=444444", "offset 109")</f>
        <v>offset 109</v>
      </c>
    </row>
    <row r="11622" customFormat="false" ht="12.8" hidden="false" customHeight="false" outlineLevel="0" collapsed="false">
      <c r="A11622" s="0" t="s">
        <v>12</v>
      </c>
      <c r="B11622" s="0" t="n">
        <v>3254928</v>
      </c>
      <c r="C11622" s="0" t="n">
        <v>3254948</v>
      </c>
      <c r="D11622" s="0" t="s">
        <v>38755</v>
      </c>
      <c r="E11622" s="0" t="s">
        <v>89</v>
      </c>
      <c r="F11622" s="0" t="s">
        <v>15</v>
      </c>
      <c r="G11622" s="0" t="s">
        <v>32</v>
      </c>
      <c r="H11622" s="0" t="n">
        <v>11</v>
      </c>
      <c r="I11622" s="0" t="s">
        <v>38756</v>
      </c>
      <c r="J11622" s="0" t="s">
        <v>38757</v>
      </c>
      <c r="K11622" s="0" t="s">
        <v>38758</v>
      </c>
      <c r="L11622" s="0" t="str">
        <f aca="false">HYPERLINK("https://www.ncbi.nlm.nih.gov/nuccore/CP000304.1?report=graph&amp;tracks=[key:gene_model_track,Options:GeneOnly]&amp;mk=3254929:3254948|offset_11|00cc00,3254956:3254975|offset_38|444444,3254979:3254998|offset_61|444444,3255022:3255041|offset_104|444444&amp;v=3254728:3255241&amp;c=444444", "offset 11")</f>
        <v>offset 11</v>
      </c>
    </row>
    <row r="11623" customFormat="false" ht="12.8" hidden="false" customHeight="false" outlineLevel="0" collapsed="false">
      <c r="A11623" s="0" t="s">
        <v>12</v>
      </c>
      <c r="B11623" s="0" t="n">
        <v>3254955</v>
      </c>
      <c r="C11623" s="0" t="n">
        <v>3254975</v>
      </c>
      <c r="D11623" s="0" t="s">
        <v>38755</v>
      </c>
      <c r="E11623" s="0" t="s">
        <v>89</v>
      </c>
      <c r="F11623" s="0" t="s">
        <v>15</v>
      </c>
      <c r="G11623" s="0" t="s">
        <v>26</v>
      </c>
      <c r="H11623" s="0" t="n">
        <v>38</v>
      </c>
      <c r="I11623" s="0" t="s">
        <v>38759</v>
      </c>
      <c r="J11623" s="0" t="s">
        <v>38760</v>
      </c>
      <c r="K11623" s="0" t="s">
        <v>38761</v>
      </c>
      <c r="L11623" s="0" t="str">
        <f aca="false">HYPERLINK("https://www.ncbi.nlm.nih.gov/nuccore/CP000304.1?report=graph&amp;tracks=[key:gene_model_track,Options:GeneOnly]&amp;mk=3254929:3254948|offset_11|444444,3254956:3254975|offset_38|00cc00,3254979:3254998|offset_61|444444,3255022:3255041|offset_104|444444&amp;v=3254728:3255241&amp;c=444444", "offset 38")</f>
        <v>offset 38</v>
      </c>
    </row>
    <row r="11624" customFormat="false" ht="12.8" hidden="false" customHeight="false" outlineLevel="0" collapsed="false">
      <c r="A11624" s="0" t="s">
        <v>12</v>
      </c>
      <c r="B11624" s="0" t="n">
        <v>3254978</v>
      </c>
      <c r="C11624" s="0" t="n">
        <v>3254998</v>
      </c>
      <c r="D11624" s="0" t="s">
        <v>38755</v>
      </c>
      <c r="E11624" s="0" t="s">
        <v>89</v>
      </c>
      <c r="F11624" s="0" t="s">
        <v>15</v>
      </c>
      <c r="G11624" s="0" t="s">
        <v>16</v>
      </c>
      <c r="H11624" s="0" t="n">
        <v>61</v>
      </c>
      <c r="I11624" s="0" t="s">
        <v>38762</v>
      </c>
      <c r="J11624" s="0" t="s">
        <v>38763</v>
      </c>
      <c r="K11624" s="0" t="s">
        <v>38764</v>
      </c>
      <c r="L11624" s="0" t="str">
        <f aca="false">HYPERLINK("https://www.ncbi.nlm.nih.gov/nuccore/CP000304.1?report=graph&amp;tracks=[key:gene_model_track,Options:GeneOnly]&amp;mk=3254929:3254948|offset_11|444444,3254956:3254975|offset_38|444444,3254979:3254998|offset_61|00cc00,3255022:3255041|offset_104|444444&amp;v=3254728:3255241&amp;c=444444", "offset 61")</f>
        <v>offset 61</v>
      </c>
    </row>
    <row r="11625" customFormat="false" ht="12.8" hidden="false" customHeight="false" outlineLevel="0" collapsed="false">
      <c r="A11625" s="0" t="s">
        <v>12</v>
      </c>
      <c r="B11625" s="0" t="n">
        <v>3255021</v>
      </c>
      <c r="C11625" s="0" t="n">
        <v>3255041</v>
      </c>
      <c r="D11625" s="0" t="s">
        <v>38755</v>
      </c>
      <c r="E11625" s="0" t="s">
        <v>89</v>
      </c>
      <c r="F11625" s="0" t="s">
        <v>15</v>
      </c>
      <c r="G11625" s="0" t="s">
        <v>36</v>
      </c>
      <c r="H11625" s="0" t="n">
        <v>104</v>
      </c>
      <c r="I11625" s="0" t="s">
        <v>38765</v>
      </c>
      <c r="J11625" s="0" t="s">
        <v>38766</v>
      </c>
      <c r="K11625" s="0" t="s">
        <v>38767</v>
      </c>
      <c r="L11625" s="0" t="str">
        <f aca="false">HYPERLINK("https://www.ncbi.nlm.nih.gov/nuccore/CP000304.1?report=graph&amp;tracks=[key:gene_model_track,Options:GeneOnly]&amp;mk=3254929:3254948|offset_11|444444,3254956:3254975|offset_38|444444,3254979:3254998|offset_61|444444,3255022:3255041|offset_104|00cc00&amp;v=3254728:3255241&amp;c=444444", "offset 104")</f>
        <v>offset 104</v>
      </c>
    </row>
    <row r="11626" customFormat="false" ht="12.8" hidden="false" customHeight="false" outlineLevel="0" collapsed="false">
      <c r="A11626" s="0" t="s">
        <v>12</v>
      </c>
      <c r="B11626" s="0" t="n">
        <v>3257018</v>
      </c>
      <c r="C11626" s="0" t="n">
        <v>3257038</v>
      </c>
      <c r="D11626" s="0" t="s">
        <v>38768</v>
      </c>
      <c r="E11626" s="0" t="s">
        <v>89</v>
      </c>
      <c r="F11626" s="0" t="s">
        <v>90</v>
      </c>
      <c r="G11626" s="0" t="s">
        <v>26</v>
      </c>
      <c r="H11626" s="0" t="n">
        <v>20</v>
      </c>
      <c r="I11626" s="0" t="s">
        <v>38769</v>
      </c>
      <c r="J11626" s="0" t="s">
        <v>38770</v>
      </c>
      <c r="K11626" s="0" t="s">
        <v>38771</v>
      </c>
      <c r="L11626" s="0" t="str">
        <f aca="false">HYPERLINK("https://www.ncbi.nlm.nih.gov/nuccore/CP000304.1?report=graph&amp;tracks=[key:gene_model_track,Options:GeneOnly]&amp;mk=3257019:3257038|offset_20|00cc00,3256999:3257018|offset_40|444444,3256966:3256985|offset_73|444444,3256929:3256948|offset_110|444444&amp;v=3256818:3257148&amp;c=444444", "offset 20")</f>
        <v>offset 20</v>
      </c>
    </row>
    <row r="11627" customFormat="false" ht="12.8" hidden="false" customHeight="false" outlineLevel="0" collapsed="false">
      <c r="A11627" s="0" t="s">
        <v>12</v>
      </c>
      <c r="B11627" s="0" t="n">
        <v>3256998</v>
      </c>
      <c r="C11627" s="0" t="n">
        <v>3257018</v>
      </c>
      <c r="D11627" s="0" t="s">
        <v>38768</v>
      </c>
      <c r="E11627" s="0" t="s">
        <v>89</v>
      </c>
      <c r="F11627" s="0" t="s">
        <v>90</v>
      </c>
      <c r="G11627" s="0" t="s">
        <v>36</v>
      </c>
      <c r="H11627" s="0" t="n">
        <v>40</v>
      </c>
      <c r="I11627" s="0" t="s">
        <v>38772</v>
      </c>
      <c r="J11627" s="0" t="s">
        <v>38773</v>
      </c>
      <c r="K11627" s="0" t="s">
        <v>38774</v>
      </c>
      <c r="L11627" s="0" t="str">
        <f aca="false">HYPERLINK("https://www.ncbi.nlm.nih.gov/nuccore/CP000304.1?report=graph&amp;tracks=[key:gene_model_track,Options:GeneOnly]&amp;mk=3257019:3257038|offset_20|444444,3256999:3257018|offset_40|00cc00,3256966:3256985|offset_73|444444,3256929:3256948|offset_110|444444&amp;v=3256818:3257148&amp;c=444444", "offset 40")</f>
        <v>offset 40</v>
      </c>
    </row>
    <row r="11628" customFormat="false" ht="12.8" hidden="false" customHeight="false" outlineLevel="0" collapsed="false">
      <c r="A11628" s="0" t="s">
        <v>12</v>
      </c>
      <c r="B11628" s="0" t="n">
        <v>3256965</v>
      </c>
      <c r="C11628" s="0" t="n">
        <v>3256985</v>
      </c>
      <c r="D11628" s="0" t="s">
        <v>38768</v>
      </c>
      <c r="E11628" s="0" t="s">
        <v>89</v>
      </c>
      <c r="F11628" s="0" t="s">
        <v>90</v>
      </c>
      <c r="G11628" s="0" t="s">
        <v>16</v>
      </c>
      <c r="H11628" s="0" t="n">
        <v>73</v>
      </c>
      <c r="I11628" s="0" t="s">
        <v>38775</v>
      </c>
      <c r="J11628" s="0" t="s">
        <v>38776</v>
      </c>
      <c r="K11628" s="0" t="s">
        <v>38777</v>
      </c>
      <c r="L11628" s="0" t="str">
        <f aca="false">HYPERLINK("https://www.ncbi.nlm.nih.gov/nuccore/CP000304.1?report=graph&amp;tracks=[key:gene_model_track,Options:GeneOnly]&amp;mk=3257019:3257038|offset_20|444444,3256999:3257018|offset_40|444444,3256966:3256985|offset_73|00cc00,3256929:3256948|offset_110|444444&amp;v=3256818:3257148&amp;c=444444", "offset 73")</f>
        <v>offset 73</v>
      </c>
    </row>
    <row r="11629" customFormat="false" ht="12.8" hidden="false" customHeight="false" outlineLevel="0" collapsed="false">
      <c r="A11629" s="0" t="s">
        <v>12</v>
      </c>
      <c r="B11629" s="0" t="n">
        <v>3256928</v>
      </c>
      <c r="C11629" s="0" t="n">
        <v>3256948</v>
      </c>
      <c r="D11629" s="0" t="s">
        <v>38768</v>
      </c>
      <c r="E11629" s="0" t="s">
        <v>89</v>
      </c>
      <c r="F11629" s="0" t="s">
        <v>90</v>
      </c>
      <c r="G11629" s="0" t="s">
        <v>32</v>
      </c>
      <c r="H11629" s="0" t="n">
        <v>110</v>
      </c>
      <c r="I11629" s="0" t="s">
        <v>38778</v>
      </c>
      <c r="J11629" s="0" t="s">
        <v>38779</v>
      </c>
      <c r="K11629" s="0" t="s">
        <v>38780</v>
      </c>
      <c r="L11629" s="0" t="str">
        <f aca="false">HYPERLINK("https://www.ncbi.nlm.nih.gov/nuccore/CP000304.1?report=graph&amp;tracks=[key:gene_model_track,Options:GeneOnly]&amp;mk=3257019:3257038|offset_20|444444,3256999:3257018|offset_40|444444,3256966:3256985|offset_73|444444,3256929:3256948|offset_110|00cc00&amp;v=3256818:3257148&amp;c=444444", "offset 110")</f>
        <v>offset 110</v>
      </c>
    </row>
    <row r="11630" customFormat="false" ht="12.8" hidden="false" customHeight="false" outlineLevel="0" collapsed="false">
      <c r="A11630" s="0" t="s">
        <v>12</v>
      </c>
      <c r="B11630" s="0" t="n">
        <v>3258164</v>
      </c>
      <c r="C11630" s="0" t="n">
        <v>3258184</v>
      </c>
      <c r="D11630" s="0" t="s">
        <v>38781</v>
      </c>
      <c r="E11630" s="0" t="s">
        <v>89</v>
      </c>
      <c r="F11630" s="0" t="s">
        <v>90</v>
      </c>
      <c r="G11630" s="0" t="s">
        <v>32</v>
      </c>
      <c r="H11630" s="0" t="n">
        <v>10</v>
      </c>
      <c r="I11630" s="0" t="s">
        <v>38782</v>
      </c>
      <c r="J11630" s="0" t="s">
        <v>38783</v>
      </c>
      <c r="K11630" s="0" t="s">
        <v>38784</v>
      </c>
      <c r="L11630" s="0" t="str">
        <f aca="false">HYPERLINK("https://www.ncbi.nlm.nih.gov/nuccore/CP000304.1?report=graph&amp;tracks=[key:gene_model_track,Options:GeneOnly]&amp;mk=3258165:3258184|offset_10|00cc00,3258129:3258148|offset_46|444444,3258108:3258127|offset_67|444444,3258084:3258103|offset_91|444444&amp;v=3257964:3258303&amp;c=444444", "offset 10")</f>
        <v>offset 10</v>
      </c>
    </row>
    <row r="11631" customFormat="false" ht="12.8" hidden="false" customHeight="false" outlineLevel="0" collapsed="false">
      <c r="A11631" s="0" t="s">
        <v>12</v>
      </c>
      <c r="B11631" s="0" t="n">
        <v>3258128</v>
      </c>
      <c r="C11631" s="0" t="n">
        <v>3258148</v>
      </c>
      <c r="D11631" s="0" t="s">
        <v>38781</v>
      </c>
      <c r="E11631" s="0" t="s">
        <v>89</v>
      </c>
      <c r="F11631" s="0" t="s">
        <v>90</v>
      </c>
      <c r="G11631" s="0" t="s">
        <v>32</v>
      </c>
      <c r="H11631" s="0" t="n">
        <v>46</v>
      </c>
      <c r="I11631" s="0" t="s">
        <v>38785</v>
      </c>
      <c r="J11631" s="0" t="s">
        <v>38786</v>
      </c>
      <c r="K11631" s="0" t="s">
        <v>38787</v>
      </c>
      <c r="L11631" s="0" t="str">
        <f aca="false">HYPERLINK("https://www.ncbi.nlm.nih.gov/nuccore/CP000304.1?report=graph&amp;tracks=[key:gene_model_track,Options:GeneOnly]&amp;mk=3258165:3258184|offset_10|444444,3258129:3258148|offset_46|00cc00,3258108:3258127|offset_67|444444,3258084:3258103|offset_91|444444&amp;v=3257964:3258303&amp;c=444444", "offset 46")</f>
        <v>offset 46</v>
      </c>
    </row>
    <row r="11632" customFormat="false" ht="12.8" hidden="false" customHeight="false" outlineLevel="0" collapsed="false">
      <c r="A11632" s="0" t="s">
        <v>12</v>
      </c>
      <c r="B11632" s="0" t="n">
        <v>3258107</v>
      </c>
      <c r="C11632" s="0" t="n">
        <v>3258127</v>
      </c>
      <c r="D11632" s="0" t="s">
        <v>38781</v>
      </c>
      <c r="E11632" s="0" t="s">
        <v>89</v>
      </c>
      <c r="F11632" s="0" t="s">
        <v>90</v>
      </c>
      <c r="G11632" s="0" t="s">
        <v>16</v>
      </c>
      <c r="H11632" s="0" t="n">
        <v>67</v>
      </c>
      <c r="I11632" s="0" t="s">
        <v>38788</v>
      </c>
      <c r="J11632" s="0" t="s">
        <v>38789</v>
      </c>
      <c r="K11632" s="0" t="s">
        <v>38790</v>
      </c>
      <c r="L11632" s="0" t="str">
        <f aca="false">HYPERLINK("https://www.ncbi.nlm.nih.gov/nuccore/CP000304.1?report=graph&amp;tracks=[key:gene_model_track,Options:GeneOnly]&amp;mk=3258165:3258184|offset_10|444444,3258129:3258148|offset_46|444444,3258108:3258127|offset_67|00cc00,3258084:3258103|offset_91|444444&amp;v=3257964:3258303&amp;c=444444", "offset 67")</f>
        <v>offset 67</v>
      </c>
    </row>
    <row r="11633" customFormat="false" ht="12.8" hidden="false" customHeight="false" outlineLevel="0" collapsed="false">
      <c r="A11633" s="0" t="s">
        <v>12</v>
      </c>
      <c r="B11633" s="0" t="n">
        <v>3258083</v>
      </c>
      <c r="C11633" s="0" t="n">
        <v>3258103</v>
      </c>
      <c r="D11633" s="0" t="s">
        <v>38781</v>
      </c>
      <c r="E11633" s="0" t="s">
        <v>89</v>
      </c>
      <c r="F11633" s="0" t="s">
        <v>90</v>
      </c>
      <c r="G11633" s="0" t="s">
        <v>36</v>
      </c>
      <c r="H11633" s="0" t="n">
        <v>91</v>
      </c>
      <c r="I11633" s="0" t="s">
        <v>38791</v>
      </c>
      <c r="J11633" s="0" t="s">
        <v>38792</v>
      </c>
      <c r="K11633" s="0" t="s">
        <v>38793</v>
      </c>
      <c r="L11633" s="0" t="str">
        <f aca="false">HYPERLINK("https://www.ncbi.nlm.nih.gov/nuccore/CP000304.1?report=graph&amp;tracks=[key:gene_model_track,Options:GeneOnly]&amp;mk=3258165:3258184|offset_10|444444,3258129:3258148|offset_46|444444,3258108:3258127|offset_67|444444,3258084:3258103|offset_91|00cc00&amp;v=3257964:3258303&amp;c=444444", "offset 91")</f>
        <v>offset 91</v>
      </c>
    </row>
    <row r="11634" customFormat="false" ht="12.8" hidden="false" customHeight="false" outlineLevel="0" collapsed="false">
      <c r="A11634" s="0" t="s">
        <v>12</v>
      </c>
      <c r="B11634" s="0" t="n">
        <v>3258254</v>
      </c>
      <c r="C11634" s="0" t="n">
        <v>3258274</v>
      </c>
      <c r="D11634" s="0" t="s">
        <v>38794</v>
      </c>
      <c r="E11634" s="0" t="s">
        <v>89</v>
      </c>
      <c r="F11634" s="0" t="s">
        <v>15</v>
      </c>
      <c r="G11634" s="0" t="s">
        <v>16</v>
      </c>
      <c r="H11634" s="0" t="n">
        <v>0</v>
      </c>
      <c r="I11634" s="0" t="s">
        <v>38795</v>
      </c>
      <c r="J11634" s="0" t="s">
        <v>38796</v>
      </c>
      <c r="K11634" s="0" t="s">
        <v>38797</v>
      </c>
      <c r="L11634" s="0" t="str">
        <f aca="false">HYPERLINK("https://www.ncbi.nlm.nih.gov/nuccore/CP000304.1?report=graph&amp;tracks=[key:gene_model_track,Options:GeneOnly]&amp;mk=3258255:3258274|offset_0|00cc00,3258284:3258303|offset_29|444444,3258326:3258345|offset_71|444444,3258355:3258374|offset_100|444444&amp;v=3258054:3258574&amp;c=444444", "offset 0")</f>
        <v>offset 0</v>
      </c>
    </row>
    <row r="11635" customFormat="false" ht="12.8" hidden="false" customHeight="false" outlineLevel="0" collapsed="false">
      <c r="A11635" s="0" t="s">
        <v>12</v>
      </c>
      <c r="B11635" s="0" t="n">
        <v>3258283</v>
      </c>
      <c r="C11635" s="0" t="n">
        <v>3258303</v>
      </c>
      <c r="D11635" s="0" t="s">
        <v>38794</v>
      </c>
      <c r="E11635" s="0" t="s">
        <v>89</v>
      </c>
      <c r="F11635" s="0" t="s">
        <v>15</v>
      </c>
      <c r="G11635" s="0" t="s">
        <v>16</v>
      </c>
      <c r="H11635" s="0" t="n">
        <v>29</v>
      </c>
      <c r="I11635" s="0" t="s">
        <v>38798</v>
      </c>
      <c r="J11635" s="0" t="s">
        <v>38799</v>
      </c>
      <c r="K11635" s="0" t="s">
        <v>38800</v>
      </c>
      <c r="L11635" s="0" t="str">
        <f aca="false">HYPERLINK("https://www.ncbi.nlm.nih.gov/nuccore/CP000304.1?report=graph&amp;tracks=[key:gene_model_track,Options:GeneOnly]&amp;mk=3258255:3258274|offset_0|444444,3258284:3258303|offset_29|00cc00,3258326:3258345|offset_71|444444,3258355:3258374|offset_100|444444&amp;v=3258054:3258574&amp;c=444444", "offset 29")</f>
        <v>offset 29</v>
      </c>
    </row>
    <row r="11636" customFormat="false" ht="12.8" hidden="false" customHeight="false" outlineLevel="0" collapsed="false">
      <c r="A11636" s="0" t="s">
        <v>12</v>
      </c>
      <c r="B11636" s="0" t="n">
        <v>3258325</v>
      </c>
      <c r="C11636" s="0" t="n">
        <v>3258345</v>
      </c>
      <c r="D11636" s="0" t="s">
        <v>38794</v>
      </c>
      <c r="E11636" s="0" t="s">
        <v>89</v>
      </c>
      <c r="F11636" s="0" t="s">
        <v>15</v>
      </c>
      <c r="G11636" s="0" t="s">
        <v>32</v>
      </c>
      <c r="H11636" s="0" t="n">
        <v>71</v>
      </c>
      <c r="I11636" s="0" t="s">
        <v>38801</v>
      </c>
      <c r="J11636" s="0" t="s">
        <v>38802</v>
      </c>
      <c r="K11636" s="0" t="s">
        <v>38803</v>
      </c>
      <c r="L11636" s="0" t="str">
        <f aca="false">HYPERLINK("https://www.ncbi.nlm.nih.gov/nuccore/CP000304.1?report=graph&amp;tracks=[key:gene_model_track,Options:GeneOnly]&amp;mk=3258255:3258274|offset_0|444444,3258284:3258303|offset_29|444444,3258326:3258345|offset_71|00cc00,3258355:3258374|offset_100|444444&amp;v=3258054:3258574&amp;c=444444", "offset 71")</f>
        <v>offset 71</v>
      </c>
    </row>
    <row r="11637" customFormat="false" ht="12.8" hidden="false" customHeight="false" outlineLevel="0" collapsed="false">
      <c r="A11637" s="0" t="s">
        <v>12</v>
      </c>
      <c r="B11637" s="0" t="n">
        <v>3258354</v>
      </c>
      <c r="C11637" s="0" t="n">
        <v>3258374</v>
      </c>
      <c r="D11637" s="0" t="s">
        <v>38794</v>
      </c>
      <c r="E11637" s="0" t="s">
        <v>89</v>
      </c>
      <c r="F11637" s="0" t="s">
        <v>15</v>
      </c>
      <c r="G11637" s="0" t="s">
        <v>32</v>
      </c>
      <c r="H11637" s="0" t="n">
        <v>100</v>
      </c>
      <c r="I11637" s="0" t="s">
        <v>38804</v>
      </c>
      <c r="J11637" s="0" t="s">
        <v>38805</v>
      </c>
      <c r="K11637" s="0" t="s">
        <v>38806</v>
      </c>
      <c r="L11637" s="0" t="str">
        <f aca="false">HYPERLINK("https://www.ncbi.nlm.nih.gov/nuccore/CP000304.1?report=graph&amp;tracks=[key:gene_model_track,Options:GeneOnly]&amp;mk=3258255:3258274|offset_0|444444,3258284:3258303|offset_29|444444,3258326:3258345|offset_71|444444,3258355:3258374|offset_100|00cc00&amp;v=3258054:3258574&amp;c=444444", "offset 100")</f>
        <v>offset 100</v>
      </c>
    </row>
    <row r="11638" customFormat="false" ht="12.8" hidden="false" customHeight="false" outlineLevel="0" collapsed="false">
      <c r="A11638" s="0" t="s">
        <v>12</v>
      </c>
      <c r="B11638" s="0" t="n">
        <v>3260702</v>
      </c>
      <c r="C11638" s="0" t="n">
        <v>3260722</v>
      </c>
      <c r="D11638" s="0" t="s">
        <v>38807</v>
      </c>
      <c r="E11638" s="0" t="s">
        <v>38808</v>
      </c>
      <c r="F11638" s="0" t="s">
        <v>90</v>
      </c>
      <c r="G11638" s="0" t="s">
        <v>36</v>
      </c>
      <c r="H11638" s="0" t="n">
        <v>9</v>
      </c>
      <c r="I11638" s="0" t="s">
        <v>38809</v>
      </c>
      <c r="J11638" s="0" t="s">
        <v>38810</v>
      </c>
      <c r="K11638" s="0" t="s">
        <v>38811</v>
      </c>
      <c r="L11638" s="0" t="str">
        <f aca="false">HYPERLINK("https://www.ncbi.nlm.nih.gov/nuccore/CP000304.1?report=graph&amp;tracks=[key:gene_model_track,Options:GeneOnly]&amp;mk=3260703:3260722|offset_9|00cc00,3260680:3260699|offset_32|444444,3260660:3260679|offset_52|444444,3260627:3260646|offset_85|444444&amp;v=3260502:3260846&amp;c=444444", "offset 9")</f>
        <v>offset 9</v>
      </c>
    </row>
    <row r="11639" customFormat="false" ht="12.8" hidden="false" customHeight="false" outlineLevel="0" collapsed="false">
      <c r="A11639" s="0" t="s">
        <v>12</v>
      </c>
      <c r="B11639" s="0" t="n">
        <v>3260679</v>
      </c>
      <c r="C11639" s="0" t="n">
        <v>3260699</v>
      </c>
      <c r="D11639" s="0" t="s">
        <v>38807</v>
      </c>
      <c r="E11639" s="0" t="s">
        <v>38808</v>
      </c>
      <c r="F11639" s="0" t="s">
        <v>90</v>
      </c>
      <c r="G11639" s="0" t="s">
        <v>36</v>
      </c>
      <c r="H11639" s="0" t="n">
        <v>32</v>
      </c>
      <c r="I11639" s="0" t="s">
        <v>38812</v>
      </c>
      <c r="J11639" s="0" t="s">
        <v>38813</v>
      </c>
      <c r="K11639" s="0" t="s">
        <v>38814</v>
      </c>
      <c r="L11639" s="0" t="str">
        <f aca="false">HYPERLINK("https://www.ncbi.nlm.nih.gov/nuccore/CP000304.1?report=graph&amp;tracks=[key:gene_model_track,Options:GeneOnly]&amp;mk=3260703:3260722|offset_9|444444,3260680:3260699|offset_32|00cc00,3260660:3260679|offset_52|444444,3260627:3260646|offset_85|444444&amp;v=3260502:3260846&amp;c=444444", "offset 32")</f>
        <v>offset 32</v>
      </c>
    </row>
    <row r="11640" customFormat="false" ht="12.8" hidden="false" customHeight="false" outlineLevel="0" collapsed="false">
      <c r="A11640" s="0" t="s">
        <v>12</v>
      </c>
      <c r="B11640" s="0" t="n">
        <v>3260659</v>
      </c>
      <c r="C11640" s="0" t="n">
        <v>3260679</v>
      </c>
      <c r="D11640" s="0" t="s">
        <v>38807</v>
      </c>
      <c r="E11640" s="0" t="s">
        <v>38808</v>
      </c>
      <c r="F11640" s="0" t="s">
        <v>90</v>
      </c>
      <c r="G11640" s="0" t="s">
        <v>36</v>
      </c>
      <c r="H11640" s="0" t="n">
        <v>52</v>
      </c>
      <c r="I11640" s="0" t="s">
        <v>38815</v>
      </c>
      <c r="J11640" s="0" t="s">
        <v>38816</v>
      </c>
      <c r="K11640" s="0" t="s">
        <v>38817</v>
      </c>
      <c r="L11640" s="0" t="str">
        <f aca="false">HYPERLINK("https://www.ncbi.nlm.nih.gov/nuccore/CP000304.1?report=graph&amp;tracks=[key:gene_model_track,Options:GeneOnly]&amp;mk=3260703:3260722|offset_9|444444,3260680:3260699|offset_32|444444,3260660:3260679|offset_52|00cc00,3260627:3260646|offset_85|444444&amp;v=3260502:3260846&amp;c=444444", "offset 52")</f>
        <v>offset 52</v>
      </c>
    </row>
    <row r="11641" customFormat="false" ht="12.8" hidden="false" customHeight="false" outlineLevel="0" collapsed="false">
      <c r="A11641" s="0" t="s">
        <v>12</v>
      </c>
      <c r="B11641" s="0" t="n">
        <v>3260626</v>
      </c>
      <c r="C11641" s="0" t="n">
        <v>3260646</v>
      </c>
      <c r="D11641" s="0" t="s">
        <v>38807</v>
      </c>
      <c r="E11641" s="0" t="s">
        <v>38808</v>
      </c>
      <c r="F11641" s="0" t="s">
        <v>90</v>
      </c>
      <c r="G11641" s="0" t="s">
        <v>32</v>
      </c>
      <c r="H11641" s="0" t="n">
        <v>85</v>
      </c>
      <c r="I11641" s="0" t="s">
        <v>38818</v>
      </c>
      <c r="J11641" s="0" t="s">
        <v>38819</v>
      </c>
      <c r="K11641" s="0" t="s">
        <v>38820</v>
      </c>
      <c r="L11641" s="0" t="str">
        <f aca="false">HYPERLINK("https://www.ncbi.nlm.nih.gov/nuccore/CP000304.1?report=graph&amp;tracks=[key:gene_model_track,Options:GeneOnly]&amp;mk=3260703:3260722|offset_9|444444,3260680:3260699|offset_32|444444,3260660:3260679|offset_52|444444,3260627:3260646|offset_85|00cc00&amp;v=3260502:3260846&amp;c=444444", "offset 85")</f>
        <v>offset 85</v>
      </c>
    </row>
    <row r="11642" customFormat="false" ht="12.8" hidden="false" customHeight="false" outlineLevel="0" collapsed="false">
      <c r="A11642" s="0" t="s">
        <v>12</v>
      </c>
      <c r="B11642" s="0" t="n">
        <v>3261962</v>
      </c>
      <c r="C11642" s="0" t="n">
        <v>3261982</v>
      </c>
      <c r="D11642" s="0" t="s">
        <v>38821</v>
      </c>
      <c r="E11642" s="0" t="s">
        <v>89</v>
      </c>
      <c r="F11642" s="0" t="s">
        <v>90</v>
      </c>
      <c r="G11642" s="0" t="s">
        <v>16</v>
      </c>
      <c r="H11642" s="0" t="n">
        <v>0</v>
      </c>
      <c r="I11642" s="0" t="s">
        <v>38822</v>
      </c>
      <c r="J11642" s="0" t="s">
        <v>38823</v>
      </c>
      <c r="K11642" s="0" t="s">
        <v>38824</v>
      </c>
      <c r="L11642" s="0" t="str">
        <f aca="false">HYPERLINK("https://www.ncbi.nlm.nih.gov/nuccore/CP000304.1?report=graph&amp;tracks=[key:gene_model_track,Options:GeneOnly]&amp;mk=3261963:3261982|offset_0|00cc00,3261932:3261951|offset_31|444444,3261893:3261912|offset_70|444444,3261866:3261885|offset_97|444444&amp;v=3261762:3262085&amp;c=444444", "offset 0")</f>
        <v>offset 0</v>
      </c>
    </row>
    <row r="11643" customFormat="false" ht="12.8" hidden="false" customHeight="false" outlineLevel="0" collapsed="false">
      <c r="A11643" s="0" t="s">
        <v>12</v>
      </c>
      <c r="B11643" s="0" t="n">
        <v>3261931</v>
      </c>
      <c r="C11643" s="0" t="n">
        <v>3261951</v>
      </c>
      <c r="D11643" s="0" t="s">
        <v>38821</v>
      </c>
      <c r="E11643" s="0" t="s">
        <v>89</v>
      </c>
      <c r="F11643" s="0" t="s">
        <v>90</v>
      </c>
      <c r="G11643" s="0" t="s">
        <v>36</v>
      </c>
      <c r="H11643" s="0" t="n">
        <v>31</v>
      </c>
      <c r="I11643" s="0" t="s">
        <v>38825</v>
      </c>
      <c r="J11643" s="0" t="s">
        <v>38826</v>
      </c>
      <c r="K11643" s="0" t="s">
        <v>38827</v>
      </c>
      <c r="L11643" s="0" t="str">
        <f aca="false">HYPERLINK("https://www.ncbi.nlm.nih.gov/nuccore/CP000304.1?report=graph&amp;tracks=[key:gene_model_track,Options:GeneOnly]&amp;mk=3261963:3261982|offset_0|444444,3261932:3261951|offset_31|00cc00,3261893:3261912|offset_70|444444,3261866:3261885|offset_97|444444&amp;v=3261762:3262085&amp;c=444444", "offset 31")</f>
        <v>offset 31</v>
      </c>
    </row>
    <row r="11644" customFormat="false" ht="12.8" hidden="false" customHeight="false" outlineLevel="0" collapsed="false">
      <c r="A11644" s="0" t="s">
        <v>12</v>
      </c>
      <c r="B11644" s="0" t="n">
        <v>3261892</v>
      </c>
      <c r="C11644" s="0" t="n">
        <v>3261912</v>
      </c>
      <c r="D11644" s="0" t="s">
        <v>38821</v>
      </c>
      <c r="E11644" s="0" t="s">
        <v>89</v>
      </c>
      <c r="F11644" s="0" t="s">
        <v>90</v>
      </c>
      <c r="G11644" s="0" t="s">
        <v>32</v>
      </c>
      <c r="H11644" s="0" t="n">
        <v>70</v>
      </c>
      <c r="I11644" s="0" t="s">
        <v>38828</v>
      </c>
      <c r="J11644" s="0" t="s">
        <v>38829</v>
      </c>
      <c r="K11644" s="0" t="s">
        <v>38830</v>
      </c>
      <c r="L11644" s="0" t="str">
        <f aca="false">HYPERLINK("https://www.ncbi.nlm.nih.gov/nuccore/CP000304.1?report=graph&amp;tracks=[key:gene_model_track,Options:GeneOnly]&amp;mk=3261963:3261982|offset_0|444444,3261932:3261951|offset_31|444444,3261893:3261912|offset_70|00cc00,3261866:3261885|offset_97|444444&amp;v=3261762:3262085&amp;c=444444", "offset 70")</f>
        <v>offset 70</v>
      </c>
    </row>
    <row r="11645" customFormat="false" ht="12.8" hidden="false" customHeight="false" outlineLevel="0" collapsed="false">
      <c r="A11645" s="0" t="s">
        <v>12</v>
      </c>
      <c r="B11645" s="0" t="n">
        <v>3261865</v>
      </c>
      <c r="C11645" s="0" t="n">
        <v>3261885</v>
      </c>
      <c r="D11645" s="0" t="s">
        <v>38821</v>
      </c>
      <c r="E11645" s="0" t="s">
        <v>89</v>
      </c>
      <c r="F11645" s="0" t="s">
        <v>90</v>
      </c>
      <c r="G11645" s="0" t="s">
        <v>32</v>
      </c>
      <c r="H11645" s="0" t="n">
        <v>97</v>
      </c>
      <c r="I11645" s="0" t="s">
        <v>38831</v>
      </c>
      <c r="J11645" s="0" t="s">
        <v>38832</v>
      </c>
      <c r="K11645" s="0" t="s">
        <v>38833</v>
      </c>
      <c r="L11645" s="0" t="str">
        <f aca="false">HYPERLINK("https://www.ncbi.nlm.nih.gov/nuccore/CP000304.1?report=graph&amp;tracks=[key:gene_model_track,Options:GeneOnly]&amp;mk=3261963:3261982|offset_0|444444,3261932:3261951|offset_31|444444,3261893:3261912|offset_70|444444,3261866:3261885|offset_97|00cc00&amp;v=3261762:3262085&amp;c=444444", "offset 97")</f>
        <v>offset 97</v>
      </c>
    </row>
    <row r="11646" customFormat="false" ht="12.8" hidden="false" customHeight="false" outlineLevel="0" collapsed="false">
      <c r="A11646" s="0" t="s">
        <v>12</v>
      </c>
      <c r="B11646" s="0" t="n">
        <v>3262600</v>
      </c>
      <c r="C11646" s="0" t="n">
        <v>3262620</v>
      </c>
      <c r="D11646" s="0" t="s">
        <v>38834</v>
      </c>
      <c r="E11646" s="0" t="s">
        <v>89</v>
      </c>
      <c r="F11646" s="0" t="s">
        <v>90</v>
      </c>
      <c r="G11646" s="0" t="s">
        <v>26</v>
      </c>
      <c r="H11646" s="0" t="n">
        <v>7</v>
      </c>
      <c r="I11646" s="0" t="s">
        <v>38835</v>
      </c>
      <c r="J11646" s="0" t="s">
        <v>38836</v>
      </c>
      <c r="K11646" s="0" t="s">
        <v>38837</v>
      </c>
      <c r="L11646" s="0" t="str">
        <f aca="false">HYPERLINK("https://www.ncbi.nlm.nih.gov/nuccore/CP000304.1?report=graph&amp;tracks=[key:gene_model_track,Options:GeneOnly]&amp;mk=3262601:3262620|offset_7|00cc00,3262539:3262558|offset_69|444444,3262514:3262533|offset_94|444444,3262451:3262470|offset_157|444444&amp;v=3262400:3262670&amp;c=444444", "offset 7")</f>
        <v>offset 7</v>
      </c>
    </row>
    <row r="11647" customFormat="false" ht="12.8" hidden="false" customHeight="false" outlineLevel="0" collapsed="false">
      <c r="A11647" s="0" t="s">
        <v>12</v>
      </c>
      <c r="B11647" s="0" t="n">
        <v>3262538</v>
      </c>
      <c r="C11647" s="0" t="n">
        <v>3262558</v>
      </c>
      <c r="D11647" s="0" t="s">
        <v>38834</v>
      </c>
      <c r="E11647" s="0" t="s">
        <v>89</v>
      </c>
      <c r="F11647" s="0" t="s">
        <v>90</v>
      </c>
      <c r="G11647" s="0" t="s">
        <v>16</v>
      </c>
      <c r="H11647" s="0" t="n">
        <v>69</v>
      </c>
      <c r="I11647" s="0" t="s">
        <v>38838</v>
      </c>
      <c r="J11647" s="0" t="s">
        <v>38839</v>
      </c>
      <c r="K11647" s="0" t="s">
        <v>38840</v>
      </c>
      <c r="L11647" s="0" t="str">
        <f aca="false">HYPERLINK("https://www.ncbi.nlm.nih.gov/nuccore/CP000304.1?report=graph&amp;tracks=[key:gene_model_track,Options:GeneOnly]&amp;mk=3262601:3262620|offset_7|444444,3262539:3262558|offset_69|00cc00,3262514:3262533|offset_94|444444,3262451:3262470|offset_157|444444&amp;v=3262400:3262670&amp;c=444444", "offset 69")</f>
        <v>offset 69</v>
      </c>
    </row>
    <row r="11648" customFormat="false" ht="12.8" hidden="false" customHeight="false" outlineLevel="0" collapsed="false">
      <c r="A11648" s="0" t="s">
        <v>12</v>
      </c>
      <c r="B11648" s="0" t="n">
        <v>3262513</v>
      </c>
      <c r="C11648" s="0" t="n">
        <v>3262533</v>
      </c>
      <c r="D11648" s="0" t="s">
        <v>38834</v>
      </c>
      <c r="E11648" s="0" t="s">
        <v>89</v>
      </c>
      <c r="F11648" s="0" t="s">
        <v>90</v>
      </c>
      <c r="G11648" s="0" t="s">
        <v>36</v>
      </c>
      <c r="H11648" s="0" t="n">
        <v>94</v>
      </c>
      <c r="I11648" s="0" t="s">
        <v>38841</v>
      </c>
      <c r="J11648" s="0" t="s">
        <v>38842</v>
      </c>
      <c r="K11648" s="0" t="s">
        <v>38843</v>
      </c>
      <c r="L11648" s="0" t="str">
        <f aca="false">HYPERLINK("https://www.ncbi.nlm.nih.gov/nuccore/CP000304.1?report=graph&amp;tracks=[key:gene_model_track,Options:GeneOnly]&amp;mk=3262601:3262620|offset_7|444444,3262539:3262558|offset_69|444444,3262514:3262533|offset_94|00cc00,3262451:3262470|offset_157|444444&amp;v=3262400:3262670&amp;c=444444", "offset 94")</f>
        <v>offset 94</v>
      </c>
    </row>
    <row r="11649" customFormat="false" ht="12.8" hidden="false" customHeight="false" outlineLevel="0" collapsed="false">
      <c r="A11649" s="0" t="s">
        <v>12</v>
      </c>
      <c r="B11649" s="0" t="n">
        <v>3262450</v>
      </c>
      <c r="C11649" s="0" t="n">
        <v>3262470</v>
      </c>
      <c r="D11649" s="0" t="s">
        <v>38834</v>
      </c>
      <c r="E11649" s="0" t="s">
        <v>89</v>
      </c>
      <c r="F11649" s="0" t="s">
        <v>90</v>
      </c>
      <c r="G11649" s="0" t="s">
        <v>26</v>
      </c>
      <c r="H11649" s="0" t="n">
        <v>157</v>
      </c>
      <c r="I11649" s="0" t="s">
        <v>38844</v>
      </c>
      <c r="J11649" s="0" t="s">
        <v>38845</v>
      </c>
      <c r="K11649" s="0" t="s">
        <v>38846</v>
      </c>
      <c r="L11649" s="0" t="str">
        <f aca="false">HYPERLINK("https://www.ncbi.nlm.nih.gov/nuccore/CP000304.1?report=graph&amp;tracks=[key:gene_model_track,Options:GeneOnly]&amp;mk=3262601:3262620|offset_7|444444,3262539:3262558|offset_69|444444,3262514:3262533|offset_94|444444,3262451:3262470|offset_157|00cc00&amp;v=3262400:3262670&amp;c=444444", "offset 157")</f>
        <v>offset 157</v>
      </c>
    </row>
    <row r="11650" customFormat="false" ht="12.8" hidden="false" customHeight="false" outlineLevel="0" collapsed="false">
      <c r="A11650" s="0" t="s">
        <v>12</v>
      </c>
      <c r="B11650" s="0" t="n">
        <v>3263924</v>
      </c>
      <c r="C11650" s="0" t="n">
        <v>3263944</v>
      </c>
      <c r="D11650" s="0" t="s">
        <v>38847</v>
      </c>
      <c r="E11650" s="0" t="s">
        <v>38848</v>
      </c>
      <c r="F11650" s="0" t="s">
        <v>90</v>
      </c>
      <c r="G11650" s="0" t="s">
        <v>32</v>
      </c>
      <c r="H11650" s="0" t="n">
        <v>0</v>
      </c>
      <c r="I11650" s="0" t="s">
        <v>38849</v>
      </c>
      <c r="J11650" s="0" t="s">
        <v>38850</v>
      </c>
      <c r="K11650" s="0" t="s">
        <v>38851</v>
      </c>
      <c r="L11650" s="0" t="str">
        <f aca="false">HYPERLINK("https://www.ncbi.nlm.nih.gov/nuccore/CP000304.1?report=graph&amp;tracks=[key:gene_model_track,Options:GeneOnly]&amp;mk=3263925:3263944|offset_0|00cc00,3263903:3263922|offset_22|444444,3263881:3263900|offset_44|444444,3263861:3263880|offset_64|444444&amp;v=3263724:3264080&amp;c=444444", "offset 0")</f>
        <v>offset 0</v>
      </c>
    </row>
    <row r="11651" customFormat="false" ht="12.8" hidden="false" customHeight="false" outlineLevel="0" collapsed="false">
      <c r="A11651" s="0" t="s">
        <v>12</v>
      </c>
      <c r="B11651" s="0" t="n">
        <v>3263902</v>
      </c>
      <c r="C11651" s="0" t="n">
        <v>3263922</v>
      </c>
      <c r="D11651" s="0" t="s">
        <v>38847</v>
      </c>
      <c r="E11651" s="0" t="s">
        <v>38848</v>
      </c>
      <c r="F11651" s="0" t="s">
        <v>90</v>
      </c>
      <c r="G11651" s="0" t="s">
        <v>32</v>
      </c>
      <c r="H11651" s="0" t="n">
        <v>22</v>
      </c>
      <c r="I11651" s="0" t="s">
        <v>38852</v>
      </c>
      <c r="J11651" s="0" t="s">
        <v>38853</v>
      </c>
      <c r="K11651" s="0" t="s">
        <v>38854</v>
      </c>
      <c r="L11651" s="0" t="str">
        <f aca="false">HYPERLINK("https://www.ncbi.nlm.nih.gov/nuccore/CP000304.1?report=graph&amp;tracks=[key:gene_model_track,Options:GeneOnly]&amp;mk=3263925:3263944|offset_0|444444,3263903:3263922|offset_22|00cc00,3263881:3263900|offset_44|444444,3263861:3263880|offset_64|444444&amp;v=3263724:3264080&amp;c=444444", "offset 22")</f>
        <v>offset 22</v>
      </c>
    </row>
    <row r="11652" customFormat="false" ht="12.8" hidden="false" customHeight="false" outlineLevel="0" collapsed="false">
      <c r="A11652" s="0" t="s">
        <v>12</v>
      </c>
      <c r="B11652" s="0" t="n">
        <v>3263880</v>
      </c>
      <c r="C11652" s="0" t="n">
        <v>3263900</v>
      </c>
      <c r="D11652" s="0" t="s">
        <v>38847</v>
      </c>
      <c r="E11652" s="0" t="s">
        <v>38848</v>
      </c>
      <c r="F11652" s="0" t="s">
        <v>90</v>
      </c>
      <c r="G11652" s="0" t="s">
        <v>26</v>
      </c>
      <c r="H11652" s="0" t="n">
        <v>44</v>
      </c>
      <c r="I11652" s="0" t="s">
        <v>38855</v>
      </c>
      <c r="J11652" s="0" t="s">
        <v>38856</v>
      </c>
      <c r="K11652" s="0" t="s">
        <v>38857</v>
      </c>
      <c r="L11652" s="0" t="str">
        <f aca="false">HYPERLINK("https://www.ncbi.nlm.nih.gov/nuccore/CP000304.1?report=graph&amp;tracks=[key:gene_model_track,Options:GeneOnly]&amp;mk=3263925:3263944|offset_0|444444,3263903:3263922|offset_22|444444,3263881:3263900|offset_44|00cc00,3263861:3263880|offset_64|444444&amp;v=3263724:3264080&amp;c=444444", "offset 44")</f>
        <v>offset 44</v>
      </c>
    </row>
    <row r="11653" customFormat="false" ht="12.8" hidden="false" customHeight="false" outlineLevel="0" collapsed="false">
      <c r="A11653" s="0" t="s">
        <v>12</v>
      </c>
      <c r="B11653" s="0" t="n">
        <v>3263860</v>
      </c>
      <c r="C11653" s="0" t="n">
        <v>3263880</v>
      </c>
      <c r="D11653" s="0" t="s">
        <v>38847</v>
      </c>
      <c r="E11653" s="0" t="s">
        <v>38848</v>
      </c>
      <c r="F11653" s="0" t="s">
        <v>90</v>
      </c>
      <c r="G11653" s="0" t="s">
        <v>26</v>
      </c>
      <c r="H11653" s="0" t="n">
        <v>64</v>
      </c>
      <c r="I11653" s="0" t="s">
        <v>38858</v>
      </c>
      <c r="J11653" s="0" t="s">
        <v>38859</v>
      </c>
      <c r="K11653" s="0" t="s">
        <v>38860</v>
      </c>
      <c r="L11653" s="0" t="str">
        <f aca="false">HYPERLINK("https://www.ncbi.nlm.nih.gov/nuccore/CP000304.1?report=graph&amp;tracks=[key:gene_model_track,Options:GeneOnly]&amp;mk=3263925:3263944|offset_0|444444,3263903:3263922|offset_22|444444,3263881:3263900|offset_44|444444,3263861:3263880|offset_64|00cc00&amp;v=3263724:3264080&amp;c=444444", "offset 64")</f>
        <v>offset 64</v>
      </c>
    </row>
    <row r="11654" customFormat="false" ht="12.8" hidden="false" customHeight="false" outlineLevel="0" collapsed="false">
      <c r="A11654" s="0" t="s">
        <v>12</v>
      </c>
      <c r="B11654" s="0" t="n">
        <v>3264950</v>
      </c>
      <c r="C11654" s="0" t="n">
        <v>3264970</v>
      </c>
      <c r="D11654" s="0" t="s">
        <v>38861</v>
      </c>
      <c r="E11654" s="0" t="s">
        <v>38862</v>
      </c>
      <c r="F11654" s="0" t="s">
        <v>90</v>
      </c>
      <c r="G11654" s="0" t="s">
        <v>32</v>
      </c>
      <c r="H11654" s="0" t="n">
        <v>7</v>
      </c>
      <c r="I11654" s="0" t="s">
        <v>38863</v>
      </c>
      <c r="J11654" s="0" t="s">
        <v>38864</v>
      </c>
      <c r="K11654" s="0" t="s">
        <v>38865</v>
      </c>
      <c r="L11654" s="0" t="str">
        <f aca="false">HYPERLINK("https://www.ncbi.nlm.nih.gov/nuccore/CP000304.1?report=graph&amp;tracks=[key:gene_model_track,Options:GeneOnly]&amp;mk=3264951:3264970|offset_7|00cc00,3264902:3264921|offset_56|444444,3264862:3264881|offset_96|444444,3264840:3264859|offset_118|444444&amp;v=3264750:3265059&amp;c=444444", "offset 7")</f>
        <v>offset 7</v>
      </c>
    </row>
    <row r="11655" customFormat="false" ht="12.8" hidden="false" customHeight="false" outlineLevel="0" collapsed="false">
      <c r="A11655" s="0" t="s">
        <v>12</v>
      </c>
      <c r="B11655" s="0" t="n">
        <v>3264901</v>
      </c>
      <c r="C11655" s="0" t="n">
        <v>3264921</v>
      </c>
      <c r="D11655" s="0" t="s">
        <v>38861</v>
      </c>
      <c r="E11655" s="0" t="s">
        <v>38862</v>
      </c>
      <c r="F11655" s="0" t="s">
        <v>90</v>
      </c>
      <c r="G11655" s="0" t="s">
        <v>26</v>
      </c>
      <c r="H11655" s="0" t="n">
        <v>56</v>
      </c>
      <c r="I11655" s="0" t="s">
        <v>38866</v>
      </c>
      <c r="J11655" s="0" t="s">
        <v>38867</v>
      </c>
      <c r="K11655" s="0" t="s">
        <v>38868</v>
      </c>
      <c r="L11655" s="0" t="str">
        <f aca="false">HYPERLINK("https://www.ncbi.nlm.nih.gov/nuccore/CP000304.1?report=graph&amp;tracks=[key:gene_model_track,Options:GeneOnly]&amp;mk=3264951:3264970|offset_7|444444,3264902:3264921|offset_56|00cc00,3264862:3264881|offset_96|444444,3264840:3264859|offset_118|444444&amp;v=3264750:3265059&amp;c=444444", "offset 56")</f>
        <v>offset 56</v>
      </c>
    </row>
    <row r="11656" customFormat="false" ht="12.8" hidden="false" customHeight="false" outlineLevel="0" collapsed="false">
      <c r="A11656" s="0" t="s">
        <v>12</v>
      </c>
      <c r="B11656" s="0" t="n">
        <v>3264861</v>
      </c>
      <c r="C11656" s="0" t="n">
        <v>3264881</v>
      </c>
      <c r="D11656" s="0" t="s">
        <v>38861</v>
      </c>
      <c r="E11656" s="0" t="s">
        <v>38862</v>
      </c>
      <c r="F11656" s="0" t="s">
        <v>90</v>
      </c>
      <c r="G11656" s="0" t="s">
        <v>16</v>
      </c>
      <c r="H11656" s="0" t="n">
        <v>96</v>
      </c>
      <c r="I11656" s="0" t="s">
        <v>38869</v>
      </c>
      <c r="J11656" s="0" t="s">
        <v>38870</v>
      </c>
      <c r="K11656" s="0" t="s">
        <v>38871</v>
      </c>
      <c r="L11656" s="0" t="str">
        <f aca="false">HYPERLINK("https://www.ncbi.nlm.nih.gov/nuccore/CP000304.1?report=graph&amp;tracks=[key:gene_model_track,Options:GeneOnly]&amp;mk=3264951:3264970|offset_7|444444,3264902:3264921|offset_56|444444,3264862:3264881|offset_96|00cc00,3264840:3264859|offset_118|444444&amp;v=3264750:3265059&amp;c=444444", "offset 96")</f>
        <v>offset 96</v>
      </c>
    </row>
    <row r="11657" customFormat="false" ht="12.8" hidden="false" customHeight="false" outlineLevel="0" collapsed="false">
      <c r="A11657" s="0" t="s">
        <v>12</v>
      </c>
      <c r="B11657" s="0" t="n">
        <v>3264839</v>
      </c>
      <c r="C11657" s="0" t="n">
        <v>3264859</v>
      </c>
      <c r="D11657" s="0" t="s">
        <v>38861</v>
      </c>
      <c r="E11657" s="0" t="s">
        <v>38862</v>
      </c>
      <c r="F11657" s="0" t="s">
        <v>90</v>
      </c>
      <c r="G11657" s="0" t="s">
        <v>26</v>
      </c>
      <c r="H11657" s="0" t="n">
        <v>118</v>
      </c>
      <c r="I11657" s="0" t="s">
        <v>38872</v>
      </c>
      <c r="J11657" s="0" t="s">
        <v>38873</v>
      </c>
      <c r="K11657" s="0" t="s">
        <v>38874</v>
      </c>
      <c r="L11657" s="0" t="str">
        <f aca="false">HYPERLINK("https://www.ncbi.nlm.nih.gov/nuccore/CP000304.1?report=graph&amp;tracks=[key:gene_model_track,Options:GeneOnly]&amp;mk=3264951:3264970|offset_7|444444,3264902:3264921|offset_56|444444,3264862:3264881|offset_96|444444,3264840:3264859|offset_118|00cc00&amp;v=3264750:3265059&amp;c=444444", "offset 118")</f>
        <v>offset 118</v>
      </c>
    </row>
    <row r="11658" customFormat="false" ht="12.8" hidden="false" customHeight="false" outlineLevel="0" collapsed="false">
      <c r="A11658" s="0" t="s">
        <v>12</v>
      </c>
      <c r="B11658" s="0" t="n">
        <v>3266058</v>
      </c>
      <c r="C11658" s="0" t="n">
        <v>3266078</v>
      </c>
      <c r="D11658" s="0" t="s">
        <v>38875</v>
      </c>
      <c r="E11658" s="0" t="s">
        <v>89</v>
      </c>
      <c r="F11658" s="0" t="s">
        <v>90</v>
      </c>
      <c r="G11658" s="0" t="s">
        <v>16</v>
      </c>
      <c r="H11658" s="0" t="n">
        <v>7</v>
      </c>
      <c r="I11658" s="0" t="s">
        <v>38876</v>
      </c>
      <c r="J11658" s="0" t="s">
        <v>38877</v>
      </c>
      <c r="K11658" s="0" t="s">
        <v>38878</v>
      </c>
      <c r="L11658" s="0" t="str">
        <f aca="false">HYPERLINK("https://www.ncbi.nlm.nih.gov/nuccore/CP000304.1?report=graph&amp;tracks=[key:gene_model_track,Options:GeneOnly]&amp;mk=3266059:3266078|offset_7|00cc00,3266033:3266052|offset_33|444444,3265980:3265999|offset_86|444444,3265942:3265961|offset_124|444444&amp;v=3265858:3266161&amp;c=444444", "offset 7")</f>
        <v>offset 7</v>
      </c>
    </row>
    <row r="11659" customFormat="false" ht="12.8" hidden="false" customHeight="false" outlineLevel="0" collapsed="false">
      <c r="A11659" s="0" t="s">
        <v>12</v>
      </c>
      <c r="B11659" s="0" t="n">
        <v>3266032</v>
      </c>
      <c r="C11659" s="0" t="n">
        <v>3266052</v>
      </c>
      <c r="D11659" s="0" t="s">
        <v>38875</v>
      </c>
      <c r="E11659" s="0" t="s">
        <v>89</v>
      </c>
      <c r="F11659" s="0" t="s">
        <v>90</v>
      </c>
      <c r="G11659" s="0" t="s">
        <v>16</v>
      </c>
      <c r="H11659" s="0" t="n">
        <v>33</v>
      </c>
      <c r="I11659" s="0" t="s">
        <v>38879</v>
      </c>
      <c r="J11659" s="0" t="s">
        <v>38880</v>
      </c>
      <c r="K11659" s="0" t="s">
        <v>38881</v>
      </c>
      <c r="L11659" s="0" t="str">
        <f aca="false">HYPERLINK("https://www.ncbi.nlm.nih.gov/nuccore/CP000304.1?report=graph&amp;tracks=[key:gene_model_track,Options:GeneOnly]&amp;mk=3266059:3266078|offset_7|444444,3266033:3266052|offset_33|00cc00,3265980:3265999|offset_86|444444,3265942:3265961|offset_124|444444&amp;v=3265858:3266161&amp;c=444444", "offset 33")</f>
        <v>offset 33</v>
      </c>
    </row>
    <row r="11660" customFormat="false" ht="12.8" hidden="false" customHeight="false" outlineLevel="0" collapsed="false">
      <c r="A11660" s="0" t="s">
        <v>12</v>
      </c>
      <c r="B11660" s="0" t="n">
        <v>3265979</v>
      </c>
      <c r="C11660" s="0" t="n">
        <v>3265999</v>
      </c>
      <c r="D11660" s="0" t="s">
        <v>38875</v>
      </c>
      <c r="E11660" s="0" t="s">
        <v>89</v>
      </c>
      <c r="F11660" s="0" t="s">
        <v>90</v>
      </c>
      <c r="G11660" s="0" t="s">
        <v>26</v>
      </c>
      <c r="H11660" s="0" t="n">
        <v>86</v>
      </c>
      <c r="I11660" s="0" t="s">
        <v>38882</v>
      </c>
      <c r="J11660" s="0" t="s">
        <v>38883</v>
      </c>
      <c r="K11660" s="0" t="s">
        <v>38884</v>
      </c>
      <c r="L11660" s="0" t="str">
        <f aca="false">HYPERLINK("https://www.ncbi.nlm.nih.gov/nuccore/CP000304.1?report=graph&amp;tracks=[key:gene_model_track,Options:GeneOnly]&amp;mk=3266059:3266078|offset_7|444444,3266033:3266052|offset_33|444444,3265980:3265999|offset_86|00cc00,3265942:3265961|offset_124|444444&amp;v=3265858:3266161&amp;c=444444", "offset 86")</f>
        <v>offset 86</v>
      </c>
    </row>
    <row r="11661" customFormat="false" ht="12.8" hidden="false" customHeight="false" outlineLevel="0" collapsed="false">
      <c r="A11661" s="0" t="s">
        <v>12</v>
      </c>
      <c r="B11661" s="0" t="n">
        <v>3265941</v>
      </c>
      <c r="C11661" s="0" t="n">
        <v>3265961</v>
      </c>
      <c r="D11661" s="0" t="s">
        <v>38875</v>
      </c>
      <c r="E11661" s="0" t="s">
        <v>89</v>
      </c>
      <c r="F11661" s="0" t="s">
        <v>90</v>
      </c>
      <c r="G11661" s="0" t="s">
        <v>16</v>
      </c>
      <c r="H11661" s="0" t="n">
        <v>124</v>
      </c>
      <c r="I11661" s="0" t="s">
        <v>38885</v>
      </c>
      <c r="J11661" s="0" t="s">
        <v>38886</v>
      </c>
      <c r="K11661" s="0" t="s">
        <v>38887</v>
      </c>
      <c r="L11661" s="0" t="str">
        <f aca="false">HYPERLINK("https://www.ncbi.nlm.nih.gov/nuccore/CP000304.1?report=graph&amp;tracks=[key:gene_model_track,Options:GeneOnly]&amp;mk=3266059:3266078|offset_7|444444,3266033:3266052|offset_33|444444,3265980:3265999|offset_86|444444,3265942:3265961|offset_124|00cc00&amp;v=3265858:3266161&amp;c=444444", "offset 124")</f>
        <v>offset 124</v>
      </c>
    </row>
    <row r="11662" customFormat="false" ht="12.8" hidden="false" customHeight="false" outlineLevel="0" collapsed="false">
      <c r="A11662" s="0" t="s">
        <v>12</v>
      </c>
      <c r="B11662" s="0" t="n">
        <v>3266783</v>
      </c>
      <c r="C11662" s="0" t="n">
        <v>3266803</v>
      </c>
      <c r="D11662" s="0" t="s">
        <v>38888</v>
      </c>
      <c r="E11662" s="0" t="s">
        <v>38889</v>
      </c>
      <c r="F11662" s="0" t="s">
        <v>90</v>
      </c>
      <c r="G11662" s="0" t="s">
        <v>16</v>
      </c>
      <c r="H11662" s="0" t="n">
        <v>37</v>
      </c>
      <c r="I11662" s="0" t="s">
        <v>38890</v>
      </c>
      <c r="J11662" s="0" t="s">
        <v>38891</v>
      </c>
      <c r="K11662" s="0" t="s">
        <v>38892</v>
      </c>
      <c r="L11662" s="0" t="str">
        <f aca="false">HYPERLINK("https://www.ncbi.nlm.nih.gov/nuccore/CP000304.1?report=graph&amp;tracks=[key:gene_model_track,Options:GeneOnly]&amp;mk=3266784:3266803|offset_37|00cc00,3266751:3266770|offset_70|444444,3266703:3266722|offset_118|444444,3266661:3266680|offset_160|444444&amp;v=3266583:3266880&amp;c=444444", "offset 37")</f>
        <v>offset 37</v>
      </c>
    </row>
    <row r="11663" customFormat="false" ht="12.8" hidden="false" customHeight="false" outlineLevel="0" collapsed="false">
      <c r="A11663" s="0" t="s">
        <v>12</v>
      </c>
      <c r="B11663" s="0" t="n">
        <v>3266750</v>
      </c>
      <c r="C11663" s="0" t="n">
        <v>3266770</v>
      </c>
      <c r="D11663" s="0" t="s">
        <v>38888</v>
      </c>
      <c r="E11663" s="0" t="s">
        <v>38889</v>
      </c>
      <c r="F11663" s="0" t="s">
        <v>90</v>
      </c>
      <c r="G11663" s="0" t="s">
        <v>16</v>
      </c>
      <c r="H11663" s="0" t="n">
        <v>70</v>
      </c>
      <c r="I11663" s="0" t="s">
        <v>38893</v>
      </c>
      <c r="J11663" s="0" t="s">
        <v>38894</v>
      </c>
      <c r="K11663" s="0" t="s">
        <v>38895</v>
      </c>
      <c r="L11663" s="0" t="str">
        <f aca="false">HYPERLINK("https://www.ncbi.nlm.nih.gov/nuccore/CP000304.1?report=graph&amp;tracks=[key:gene_model_track,Options:GeneOnly]&amp;mk=3266784:3266803|offset_37|444444,3266751:3266770|offset_70|00cc00,3266703:3266722|offset_118|444444,3266661:3266680|offset_160|444444&amp;v=3266583:3266880&amp;c=444444", "offset 70")</f>
        <v>offset 70</v>
      </c>
    </row>
    <row r="11664" customFormat="false" ht="12.8" hidden="false" customHeight="false" outlineLevel="0" collapsed="false">
      <c r="A11664" s="0" t="s">
        <v>12</v>
      </c>
      <c r="B11664" s="0" t="n">
        <v>3266702</v>
      </c>
      <c r="C11664" s="0" t="n">
        <v>3266722</v>
      </c>
      <c r="D11664" s="0" t="s">
        <v>38888</v>
      </c>
      <c r="E11664" s="0" t="s">
        <v>38889</v>
      </c>
      <c r="F11664" s="0" t="s">
        <v>90</v>
      </c>
      <c r="G11664" s="0" t="s">
        <v>26</v>
      </c>
      <c r="H11664" s="0" t="n">
        <v>118</v>
      </c>
      <c r="I11664" s="0" t="s">
        <v>38896</v>
      </c>
      <c r="J11664" s="0" t="s">
        <v>38897</v>
      </c>
      <c r="K11664" s="0" t="s">
        <v>38898</v>
      </c>
      <c r="L11664" s="0" t="str">
        <f aca="false">HYPERLINK("https://www.ncbi.nlm.nih.gov/nuccore/CP000304.1?report=graph&amp;tracks=[key:gene_model_track,Options:GeneOnly]&amp;mk=3266784:3266803|offset_37|444444,3266751:3266770|offset_70|444444,3266703:3266722|offset_118|00cc00,3266661:3266680|offset_160|444444&amp;v=3266583:3266880&amp;c=444444", "offset 118")</f>
        <v>offset 118</v>
      </c>
    </row>
    <row r="11665" customFormat="false" ht="12.8" hidden="false" customHeight="false" outlineLevel="0" collapsed="false">
      <c r="A11665" s="0" t="s">
        <v>12</v>
      </c>
      <c r="B11665" s="0" t="n">
        <v>3266660</v>
      </c>
      <c r="C11665" s="0" t="n">
        <v>3266680</v>
      </c>
      <c r="D11665" s="0" t="s">
        <v>38888</v>
      </c>
      <c r="E11665" s="0" t="s">
        <v>38889</v>
      </c>
      <c r="F11665" s="0" t="s">
        <v>90</v>
      </c>
      <c r="G11665" s="0" t="s">
        <v>16</v>
      </c>
      <c r="H11665" s="0" t="n">
        <v>160</v>
      </c>
      <c r="I11665" s="0" t="s">
        <v>38899</v>
      </c>
      <c r="J11665" s="0" t="s">
        <v>38900</v>
      </c>
      <c r="K11665" s="0" t="s">
        <v>38901</v>
      </c>
      <c r="L11665" s="0" t="str">
        <f aca="false">HYPERLINK("https://www.ncbi.nlm.nih.gov/nuccore/CP000304.1?report=graph&amp;tracks=[key:gene_model_track,Options:GeneOnly]&amp;mk=3266784:3266803|offset_37|444444,3266751:3266770|offset_70|444444,3266703:3266722|offset_118|444444,3266661:3266680|offset_160|00cc00&amp;v=3266583:3266880&amp;c=444444", "offset 160")</f>
        <v>offset 160</v>
      </c>
    </row>
    <row r="11666" customFormat="false" ht="12.8" hidden="false" customHeight="false" outlineLevel="0" collapsed="false">
      <c r="A11666" s="0" t="s">
        <v>12</v>
      </c>
      <c r="B11666" s="0" t="n">
        <v>3267858</v>
      </c>
      <c r="C11666" s="0" t="n">
        <v>3267878</v>
      </c>
      <c r="D11666" s="0" t="s">
        <v>38902</v>
      </c>
      <c r="E11666" s="0" t="s">
        <v>89</v>
      </c>
      <c r="F11666" s="0" t="s">
        <v>90</v>
      </c>
      <c r="G11666" s="0" t="s">
        <v>32</v>
      </c>
      <c r="H11666" s="0" t="n">
        <v>17</v>
      </c>
      <c r="I11666" s="0" t="s">
        <v>38903</v>
      </c>
      <c r="J11666" s="0" t="s">
        <v>38904</v>
      </c>
      <c r="K11666" s="0" t="s">
        <v>38905</v>
      </c>
      <c r="L11666" s="0" t="str">
        <f aca="false">HYPERLINK("https://www.ncbi.nlm.nih.gov/nuccore/CP000304.1?report=graph&amp;tracks=[key:gene_model_track,Options:GeneOnly]&amp;mk=3267859:3267878|offset_17|00cc00,3267833:3267852|offset_43|444444,3267791:3267810|offset_85|444444,3267771:3267790|offset_105|444444&amp;v=3267658:3267990&amp;c=444444", "offset 17")</f>
        <v>offset 17</v>
      </c>
    </row>
    <row r="11667" customFormat="false" ht="12.8" hidden="false" customHeight="false" outlineLevel="0" collapsed="false">
      <c r="A11667" s="0" t="s">
        <v>12</v>
      </c>
      <c r="B11667" s="0" t="n">
        <v>3267832</v>
      </c>
      <c r="C11667" s="0" t="n">
        <v>3267852</v>
      </c>
      <c r="D11667" s="0" t="s">
        <v>38902</v>
      </c>
      <c r="E11667" s="0" t="s">
        <v>89</v>
      </c>
      <c r="F11667" s="0" t="s">
        <v>90</v>
      </c>
      <c r="G11667" s="0" t="s">
        <v>32</v>
      </c>
      <c r="H11667" s="0" t="n">
        <v>43</v>
      </c>
      <c r="I11667" s="0" t="s">
        <v>38906</v>
      </c>
      <c r="J11667" s="0" t="s">
        <v>38907</v>
      </c>
      <c r="K11667" s="0" t="s">
        <v>38908</v>
      </c>
      <c r="L11667" s="0" t="str">
        <f aca="false">HYPERLINK("https://www.ncbi.nlm.nih.gov/nuccore/CP000304.1?report=graph&amp;tracks=[key:gene_model_track,Options:GeneOnly]&amp;mk=3267859:3267878|offset_17|444444,3267833:3267852|offset_43|00cc00,3267791:3267810|offset_85|444444,3267771:3267790|offset_105|444444&amp;v=3267658:3267990&amp;c=444444", "offset 43")</f>
        <v>offset 43</v>
      </c>
    </row>
    <row r="11668" customFormat="false" ht="12.8" hidden="false" customHeight="false" outlineLevel="0" collapsed="false">
      <c r="A11668" s="0" t="s">
        <v>12</v>
      </c>
      <c r="B11668" s="0" t="n">
        <v>3267790</v>
      </c>
      <c r="C11668" s="0" t="n">
        <v>3267810</v>
      </c>
      <c r="D11668" s="0" t="s">
        <v>38902</v>
      </c>
      <c r="E11668" s="0" t="s">
        <v>89</v>
      </c>
      <c r="F11668" s="0" t="s">
        <v>90</v>
      </c>
      <c r="G11668" s="0" t="s">
        <v>26</v>
      </c>
      <c r="H11668" s="0" t="n">
        <v>85</v>
      </c>
      <c r="I11668" s="0" t="s">
        <v>38909</v>
      </c>
      <c r="J11668" s="0" t="s">
        <v>38910</v>
      </c>
      <c r="K11668" s="0" t="s">
        <v>38911</v>
      </c>
      <c r="L11668" s="0" t="str">
        <f aca="false">HYPERLINK("https://www.ncbi.nlm.nih.gov/nuccore/CP000304.1?report=graph&amp;tracks=[key:gene_model_track,Options:GeneOnly]&amp;mk=3267859:3267878|offset_17|444444,3267833:3267852|offset_43|444444,3267791:3267810|offset_85|00cc00,3267771:3267790|offset_105|444444&amp;v=3267658:3267990&amp;c=444444", "offset 85")</f>
        <v>offset 85</v>
      </c>
    </row>
    <row r="11669" customFormat="false" ht="12.8" hidden="false" customHeight="false" outlineLevel="0" collapsed="false">
      <c r="A11669" s="0" t="s">
        <v>12</v>
      </c>
      <c r="B11669" s="0" t="n">
        <v>3267770</v>
      </c>
      <c r="C11669" s="0" t="n">
        <v>3267790</v>
      </c>
      <c r="D11669" s="0" t="s">
        <v>38902</v>
      </c>
      <c r="E11669" s="0" t="s">
        <v>89</v>
      </c>
      <c r="F11669" s="0" t="s">
        <v>90</v>
      </c>
      <c r="G11669" s="0" t="s">
        <v>16</v>
      </c>
      <c r="H11669" s="0" t="n">
        <v>105</v>
      </c>
      <c r="I11669" s="0" t="s">
        <v>38912</v>
      </c>
      <c r="J11669" s="0" t="s">
        <v>38913</v>
      </c>
      <c r="K11669" s="0" t="s">
        <v>38914</v>
      </c>
      <c r="L11669" s="0" t="str">
        <f aca="false">HYPERLINK("https://www.ncbi.nlm.nih.gov/nuccore/CP000304.1?report=graph&amp;tracks=[key:gene_model_track,Options:GeneOnly]&amp;mk=3267859:3267878|offset_17|444444,3267833:3267852|offset_43|444444,3267791:3267810|offset_85|444444,3267771:3267790|offset_105|00cc00&amp;v=3267658:3267990&amp;c=444444", "offset 105")</f>
        <v>offset 105</v>
      </c>
    </row>
    <row r="11670" customFormat="false" ht="12.8" hidden="false" customHeight="false" outlineLevel="0" collapsed="false">
      <c r="A11670" s="0" t="s">
        <v>12</v>
      </c>
      <c r="B11670" s="0" t="n">
        <v>3268424</v>
      </c>
      <c r="C11670" s="0" t="n">
        <v>3268444</v>
      </c>
      <c r="D11670" s="0" t="s">
        <v>38915</v>
      </c>
      <c r="E11670" s="0" t="s">
        <v>38916</v>
      </c>
      <c r="F11670" s="0" t="s">
        <v>90</v>
      </c>
      <c r="G11670" s="0" t="s">
        <v>36</v>
      </c>
      <c r="H11670" s="0" t="n">
        <v>7</v>
      </c>
      <c r="I11670" s="0" t="s">
        <v>38917</v>
      </c>
      <c r="J11670" s="0" t="s">
        <v>38918</v>
      </c>
      <c r="K11670" s="0" t="s">
        <v>38919</v>
      </c>
      <c r="L11670" s="0" t="str">
        <f aca="false">HYPERLINK("https://www.ncbi.nlm.nih.gov/nuccore/CP000304.1?report=graph&amp;tracks=[key:gene_model_track,Options:GeneOnly]&amp;mk=3268425:3268444|offset_7|00cc00,3268396:3268415|offset_36|444444,3268359:3268378|offset_73|444444,3268337:3268356|offset_95|444444&amp;v=3268224:3268556&amp;c=444444", "offset 7")</f>
        <v>offset 7</v>
      </c>
    </row>
    <row r="11671" customFormat="false" ht="12.8" hidden="false" customHeight="false" outlineLevel="0" collapsed="false">
      <c r="A11671" s="0" t="s">
        <v>12</v>
      </c>
      <c r="B11671" s="0" t="n">
        <v>3268395</v>
      </c>
      <c r="C11671" s="0" t="n">
        <v>3268415</v>
      </c>
      <c r="D11671" s="0" t="s">
        <v>38915</v>
      </c>
      <c r="E11671" s="0" t="s">
        <v>38916</v>
      </c>
      <c r="F11671" s="0" t="s">
        <v>90</v>
      </c>
      <c r="G11671" s="0" t="s">
        <v>26</v>
      </c>
      <c r="H11671" s="0" t="n">
        <v>36</v>
      </c>
      <c r="I11671" s="0" t="s">
        <v>38920</v>
      </c>
      <c r="J11671" s="0" t="s">
        <v>38921</v>
      </c>
      <c r="K11671" s="0" t="s">
        <v>38922</v>
      </c>
      <c r="L11671" s="0" t="str">
        <f aca="false">HYPERLINK("https://www.ncbi.nlm.nih.gov/nuccore/CP000304.1?report=graph&amp;tracks=[key:gene_model_track,Options:GeneOnly]&amp;mk=3268425:3268444|offset_7|444444,3268396:3268415|offset_36|00cc00,3268359:3268378|offset_73|444444,3268337:3268356|offset_95|444444&amp;v=3268224:3268556&amp;c=444444", "offset 36")</f>
        <v>offset 36</v>
      </c>
    </row>
    <row r="11672" customFormat="false" ht="12.8" hidden="false" customHeight="false" outlineLevel="0" collapsed="false">
      <c r="A11672" s="0" t="s">
        <v>12</v>
      </c>
      <c r="B11672" s="0" t="n">
        <v>3268358</v>
      </c>
      <c r="C11672" s="0" t="n">
        <v>3268378</v>
      </c>
      <c r="D11672" s="0" t="s">
        <v>38915</v>
      </c>
      <c r="E11672" s="0" t="s">
        <v>38916</v>
      </c>
      <c r="F11672" s="0" t="s">
        <v>90</v>
      </c>
      <c r="G11672" s="0" t="s">
        <v>32</v>
      </c>
      <c r="H11672" s="0" t="n">
        <v>73</v>
      </c>
      <c r="I11672" s="0" t="s">
        <v>38923</v>
      </c>
      <c r="J11672" s="0" t="s">
        <v>38924</v>
      </c>
      <c r="K11672" s="0" t="s">
        <v>38925</v>
      </c>
      <c r="L11672" s="0" t="str">
        <f aca="false">HYPERLINK("https://www.ncbi.nlm.nih.gov/nuccore/CP000304.1?report=graph&amp;tracks=[key:gene_model_track,Options:GeneOnly]&amp;mk=3268425:3268444|offset_7|444444,3268396:3268415|offset_36|444444,3268359:3268378|offset_73|00cc00,3268337:3268356|offset_95|444444&amp;v=3268224:3268556&amp;c=444444", "offset 73")</f>
        <v>offset 73</v>
      </c>
    </row>
    <row r="11673" customFormat="false" ht="12.8" hidden="false" customHeight="false" outlineLevel="0" collapsed="false">
      <c r="A11673" s="0" t="s">
        <v>12</v>
      </c>
      <c r="B11673" s="0" t="n">
        <v>3268336</v>
      </c>
      <c r="C11673" s="0" t="n">
        <v>3268356</v>
      </c>
      <c r="D11673" s="0" t="s">
        <v>38915</v>
      </c>
      <c r="E11673" s="0" t="s">
        <v>38916</v>
      </c>
      <c r="F11673" s="0" t="s">
        <v>90</v>
      </c>
      <c r="G11673" s="0" t="s">
        <v>26</v>
      </c>
      <c r="H11673" s="0" t="n">
        <v>95</v>
      </c>
      <c r="I11673" s="0" t="s">
        <v>38926</v>
      </c>
      <c r="J11673" s="0" t="s">
        <v>38927</v>
      </c>
      <c r="K11673" s="0" t="s">
        <v>38928</v>
      </c>
      <c r="L11673" s="0" t="str">
        <f aca="false">HYPERLINK("https://www.ncbi.nlm.nih.gov/nuccore/CP000304.1?report=graph&amp;tracks=[key:gene_model_track,Options:GeneOnly]&amp;mk=3268425:3268444|offset_7|444444,3268396:3268415|offset_36|444444,3268359:3268378|offset_73|444444,3268337:3268356|offset_95|00cc00&amp;v=3268224:3268556&amp;c=444444", "offset 95")</f>
        <v>offset 95</v>
      </c>
    </row>
    <row r="11674" customFormat="false" ht="12.8" hidden="false" customHeight="false" outlineLevel="0" collapsed="false">
      <c r="A11674" s="0" t="s">
        <v>12</v>
      </c>
      <c r="B11674" s="0" t="n">
        <v>3268740</v>
      </c>
      <c r="C11674" s="0" t="n">
        <v>3268760</v>
      </c>
      <c r="D11674" s="0" t="s">
        <v>38929</v>
      </c>
      <c r="E11674" s="0" t="s">
        <v>89</v>
      </c>
      <c r="F11674" s="0" t="s">
        <v>90</v>
      </c>
      <c r="G11674" s="0" t="s">
        <v>16</v>
      </c>
      <c r="H11674" s="0" t="n">
        <v>49</v>
      </c>
      <c r="I11674" s="0" t="s">
        <v>38930</v>
      </c>
      <c r="J11674" s="0" t="s">
        <v>38931</v>
      </c>
      <c r="K11674" s="0" t="s">
        <v>38932</v>
      </c>
      <c r="L11674" s="0" t="str">
        <f aca="false">HYPERLINK("https://www.ncbi.nlm.nih.gov/nuccore/CP000304.1?report=graph&amp;tracks=[key:gene_model_track,Options:GeneOnly]&amp;mk=3268741:3268760|offset_49|00cc00,3268718:3268737|offset_72|444444,3268670:3268689|offset_120|444444,3268621:3268640|offset_169|444444&amp;v=3268540:3268840&amp;c=444444", "offset 49")</f>
        <v>offset 49</v>
      </c>
    </row>
    <row r="11675" customFormat="false" ht="12.8" hidden="false" customHeight="false" outlineLevel="0" collapsed="false">
      <c r="A11675" s="0" t="s">
        <v>12</v>
      </c>
      <c r="B11675" s="0" t="n">
        <v>3268717</v>
      </c>
      <c r="C11675" s="0" t="n">
        <v>3268737</v>
      </c>
      <c r="D11675" s="0" t="s">
        <v>38929</v>
      </c>
      <c r="E11675" s="0" t="s">
        <v>89</v>
      </c>
      <c r="F11675" s="0" t="s">
        <v>90</v>
      </c>
      <c r="G11675" s="0" t="s">
        <v>16</v>
      </c>
      <c r="H11675" s="0" t="n">
        <v>72</v>
      </c>
      <c r="I11675" s="0" t="s">
        <v>38933</v>
      </c>
      <c r="J11675" s="0" t="s">
        <v>38934</v>
      </c>
      <c r="K11675" s="0" t="s">
        <v>38935</v>
      </c>
      <c r="L11675" s="0" t="str">
        <f aca="false">HYPERLINK("https://www.ncbi.nlm.nih.gov/nuccore/CP000304.1?report=graph&amp;tracks=[key:gene_model_track,Options:GeneOnly]&amp;mk=3268741:3268760|offset_49|444444,3268718:3268737|offset_72|00cc00,3268670:3268689|offset_120|444444,3268621:3268640|offset_169|444444&amp;v=3268540:3268840&amp;c=444444", "offset 72")</f>
        <v>offset 72</v>
      </c>
    </row>
    <row r="11676" customFormat="false" ht="12.8" hidden="false" customHeight="false" outlineLevel="0" collapsed="false">
      <c r="A11676" s="0" t="s">
        <v>12</v>
      </c>
      <c r="B11676" s="0" t="n">
        <v>3268669</v>
      </c>
      <c r="C11676" s="0" t="n">
        <v>3268689</v>
      </c>
      <c r="D11676" s="0" t="s">
        <v>38929</v>
      </c>
      <c r="E11676" s="0" t="s">
        <v>89</v>
      </c>
      <c r="F11676" s="0" t="s">
        <v>90</v>
      </c>
      <c r="G11676" s="0" t="s">
        <v>26</v>
      </c>
      <c r="H11676" s="0" t="n">
        <v>120</v>
      </c>
      <c r="I11676" s="0" t="s">
        <v>38936</v>
      </c>
      <c r="J11676" s="0" t="s">
        <v>38937</v>
      </c>
      <c r="K11676" s="0" t="s">
        <v>38938</v>
      </c>
      <c r="L11676" s="0" t="str">
        <f aca="false">HYPERLINK("https://www.ncbi.nlm.nih.gov/nuccore/CP000304.1?report=graph&amp;tracks=[key:gene_model_track,Options:GeneOnly]&amp;mk=3268741:3268760|offset_49|444444,3268718:3268737|offset_72|444444,3268670:3268689|offset_120|00cc00,3268621:3268640|offset_169|444444&amp;v=3268540:3268840&amp;c=444444", "offset 120")</f>
        <v>offset 120</v>
      </c>
    </row>
    <row r="11677" customFormat="false" ht="12.8" hidden="false" customHeight="false" outlineLevel="0" collapsed="false">
      <c r="A11677" s="0" t="s">
        <v>12</v>
      </c>
      <c r="B11677" s="0" t="n">
        <v>3268620</v>
      </c>
      <c r="C11677" s="0" t="n">
        <v>3268640</v>
      </c>
      <c r="D11677" s="0" t="s">
        <v>38929</v>
      </c>
      <c r="E11677" s="0" t="s">
        <v>89</v>
      </c>
      <c r="F11677" s="0" t="s">
        <v>90</v>
      </c>
      <c r="G11677" s="0" t="s">
        <v>32</v>
      </c>
      <c r="H11677" s="0" t="n">
        <v>169</v>
      </c>
      <c r="I11677" s="0" t="s">
        <v>38939</v>
      </c>
      <c r="J11677" s="0" t="s">
        <v>38940</v>
      </c>
      <c r="K11677" s="0" t="s">
        <v>38941</v>
      </c>
      <c r="L11677" s="0" t="str">
        <f aca="false">HYPERLINK("https://www.ncbi.nlm.nih.gov/nuccore/CP000304.1?report=graph&amp;tracks=[key:gene_model_track,Options:GeneOnly]&amp;mk=3268741:3268760|offset_49|444444,3268718:3268737|offset_72|444444,3268670:3268689|offset_120|444444,3268621:3268640|offset_169|00cc00&amp;v=3268540:3268840&amp;c=444444", "offset 169")</f>
        <v>offset 169</v>
      </c>
    </row>
    <row r="11678" customFormat="false" ht="12.8" hidden="false" customHeight="false" outlineLevel="0" collapsed="false">
      <c r="A11678" s="0" t="s">
        <v>12</v>
      </c>
      <c r="B11678" s="0" t="n">
        <v>3269132</v>
      </c>
      <c r="C11678" s="0" t="n">
        <v>3269152</v>
      </c>
      <c r="D11678" s="0" t="s">
        <v>38942</v>
      </c>
      <c r="E11678" s="0" t="s">
        <v>38943</v>
      </c>
      <c r="F11678" s="0" t="s">
        <v>90</v>
      </c>
      <c r="G11678" s="0" t="s">
        <v>16</v>
      </c>
      <c r="H11678" s="0" t="n">
        <v>6</v>
      </c>
      <c r="I11678" s="0" t="s">
        <v>38944</v>
      </c>
      <c r="J11678" s="0" t="s">
        <v>38945</v>
      </c>
      <c r="K11678" s="0" t="s">
        <v>38946</v>
      </c>
      <c r="L11678" s="0" t="str">
        <f aca="false">HYPERLINK("https://www.ncbi.nlm.nih.gov/nuccore/CP000304.1?report=graph&amp;tracks=[key:gene_model_track,Options:GeneOnly]&amp;mk=3269133:3269152|offset_6|00cc00,3269108:3269127|offset_31|444444,3269087:3269106|offset_52|444444,3269048:3269067|offset_91|444444&amp;v=3268932:3269267&amp;c=444444", "offset 6")</f>
        <v>offset 6</v>
      </c>
    </row>
    <row r="11679" customFormat="false" ht="12.8" hidden="false" customHeight="false" outlineLevel="0" collapsed="false">
      <c r="A11679" s="0" t="s">
        <v>12</v>
      </c>
      <c r="B11679" s="0" t="n">
        <v>3269107</v>
      </c>
      <c r="C11679" s="0" t="n">
        <v>3269127</v>
      </c>
      <c r="D11679" s="0" t="s">
        <v>38942</v>
      </c>
      <c r="E11679" s="0" t="s">
        <v>38943</v>
      </c>
      <c r="F11679" s="0" t="s">
        <v>90</v>
      </c>
      <c r="G11679" s="0" t="s">
        <v>16</v>
      </c>
      <c r="H11679" s="0" t="n">
        <v>31</v>
      </c>
      <c r="I11679" s="0" t="s">
        <v>38947</v>
      </c>
      <c r="J11679" s="0" t="s">
        <v>38948</v>
      </c>
      <c r="K11679" s="0" t="s">
        <v>38949</v>
      </c>
      <c r="L11679" s="0" t="str">
        <f aca="false">HYPERLINK("https://www.ncbi.nlm.nih.gov/nuccore/CP000304.1?report=graph&amp;tracks=[key:gene_model_track,Options:GeneOnly]&amp;mk=3269133:3269152|offset_6|444444,3269108:3269127|offset_31|00cc00,3269087:3269106|offset_52|444444,3269048:3269067|offset_91|444444&amp;v=3268932:3269267&amp;c=444444", "offset 31")</f>
        <v>offset 31</v>
      </c>
    </row>
    <row r="11680" customFormat="false" ht="12.8" hidden="false" customHeight="false" outlineLevel="0" collapsed="false">
      <c r="A11680" s="0" t="s">
        <v>12</v>
      </c>
      <c r="B11680" s="0" t="n">
        <v>3269086</v>
      </c>
      <c r="C11680" s="0" t="n">
        <v>3269106</v>
      </c>
      <c r="D11680" s="0" t="s">
        <v>38942</v>
      </c>
      <c r="E11680" s="0" t="s">
        <v>38943</v>
      </c>
      <c r="F11680" s="0" t="s">
        <v>90</v>
      </c>
      <c r="G11680" s="0" t="s">
        <v>16</v>
      </c>
      <c r="H11680" s="0" t="n">
        <v>52</v>
      </c>
      <c r="I11680" s="0" t="s">
        <v>38950</v>
      </c>
      <c r="J11680" s="0" t="s">
        <v>38951</v>
      </c>
      <c r="K11680" s="0" t="s">
        <v>38952</v>
      </c>
      <c r="L11680" s="0" t="str">
        <f aca="false">HYPERLINK("https://www.ncbi.nlm.nih.gov/nuccore/CP000304.1?report=graph&amp;tracks=[key:gene_model_track,Options:GeneOnly]&amp;mk=3269133:3269152|offset_6|444444,3269108:3269127|offset_31|444444,3269087:3269106|offset_52|00cc00,3269048:3269067|offset_91|444444&amp;v=3268932:3269267&amp;c=444444", "offset 52")</f>
        <v>offset 52</v>
      </c>
    </row>
    <row r="11681" customFormat="false" ht="12.8" hidden="false" customHeight="false" outlineLevel="0" collapsed="false">
      <c r="A11681" s="0" t="s">
        <v>12</v>
      </c>
      <c r="B11681" s="0" t="n">
        <v>3269047</v>
      </c>
      <c r="C11681" s="0" t="n">
        <v>3269067</v>
      </c>
      <c r="D11681" s="0" t="s">
        <v>38942</v>
      </c>
      <c r="E11681" s="0" t="s">
        <v>38943</v>
      </c>
      <c r="F11681" s="0" t="s">
        <v>90</v>
      </c>
      <c r="G11681" s="0" t="s">
        <v>16</v>
      </c>
      <c r="H11681" s="0" t="n">
        <v>91</v>
      </c>
      <c r="I11681" s="0" t="s">
        <v>38953</v>
      </c>
      <c r="J11681" s="0" t="s">
        <v>38954</v>
      </c>
      <c r="K11681" s="0" t="s">
        <v>38955</v>
      </c>
      <c r="L11681" s="0" t="str">
        <f aca="false">HYPERLINK("https://www.ncbi.nlm.nih.gov/nuccore/CP000304.1?report=graph&amp;tracks=[key:gene_model_track,Options:GeneOnly]&amp;mk=3269133:3269152|offset_6|444444,3269108:3269127|offset_31|444444,3269087:3269106|offset_52|444444,3269048:3269067|offset_91|00cc00&amp;v=3268932:3269267&amp;c=444444", "offset 91")</f>
        <v>offset 91</v>
      </c>
    </row>
    <row r="11682" customFormat="false" ht="12.8" hidden="false" customHeight="false" outlineLevel="0" collapsed="false">
      <c r="A11682" s="0" t="s">
        <v>12</v>
      </c>
      <c r="B11682" s="0" t="n">
        <v>3270999</v>
      </c>
      <c r="C11682" s="0" t="n">
        <v>3271019</v>
      </c>
      <c r="D11682" s="0" t="s">
        <v>38956</v>
      </c>
      <c r="E11682" s="0" t="s">
        <v>38957</v>
      </c>
      <c r="F11682" s="0" t="s">
        <v>90</v>
      </c>
      <c r="G11682" s="0" t="s">
        <v>26</v>
      </c>
      <c r="H11682" s="0" t="n">
        <v>7</v>
      </c>
      <c r="I11682" s="0" t="s">
        <v>38958</v>
      </c>
      <c r="J11682" s="0" t="s">
        <v>38959</v>
      </c>
      <c r="K11682" s="0" t="s">
        <v>38960</v>
      </c>
      <c r="L11682" s="0" t="str">
        <f aca="false">HYPERLINK("https://www.ncbi.nlm.nih.gov/nuccore/CP000304.1?report=graph&amp;tracks=[key:gene_model_track,Options:GeneOnly]&amp;mk=3271000:3271019|offset_7|00cc00,3270980:3270999|offset_27|444444,3270960:3270979|offset_47|444444,3270930:3270949|offset_77|444444&amp;v=3270799:3271149&amp;c=444444", "offset 7")</f>
        <v>offset 7</v>
      </c>
    </row>
    <row r="11683" customFormat="false" ht="12.8" hidden="false" customHeight="false" outlineLevel="0" collapsed="false">
      <c r="A11683" s="0" t="s">
        <v>12</v>
      </c>
      <c r="B11683" s="0" t="n">
        <v>3270979</v>
      </c>
      <c r="C11683" s="0" t="n">
        <v>3270999</v>
      </c>
      <c r="D11683" s="0" t="s">
        <v>38956</v>
      </c>
      <c r="E11683" s="0" t="s">
        <v>38957</v>
      </c>
      <c r="F11683" s="0" t="s">
        <v>90</v>
      </c>
      <c r="G11683" s="0" t="s">
        <v>36</v>
      </c>
      <c r="H11683" s="0" t="n">
        <v>27</v>
      </c>
      <c r="I11683" s="0" t="s">
        <v>38961</v>
      </c>
      <c r="J11683" s="0" t="s">
        <v>38962</v>
      </c>
      <c r="K11683" s="0" t="s">
        <v>38963</v>
      </c>
      <c r="L11683" s="0" t="str">
        <f aca="false">HYPERLINK("https://www.ncbi.nlm.nih.gov/nuccore/CP000304.1?report=graph&amp;tracks=[key:gene_model_track,Options:GeneOnly]&amp;mk=3271000:3271019|offset_7|444444,3270980:3270999|offset_27|00cc00,3270960:3270979|offset_47|444444,3270930:3270949|offset_77|444444&amp;v=3270799:3271149&amp;c=444444", "offset 27")</f>
        <v>offset 27</v>
      </c>
    </row>
    <row r="11684" customFormat="false" ht="12.8" hidden="false" customHeight="false" outlineLevel="0" collapsed="false">
      <c r="A11684" s="0" t="s">
        <v>12</v>
      </c>
      <c r="B11684" s="0" t="n">
        <v>3270959</v>
      </c>
      <c r="C11684" s="0" t="n">
        <v>3270979</v>
      </c>
      <c r="D11684" s="0" t="s">
        <v>38956</v>
      </c>
      <c r="E11684" s="0" t="s">
        <v>38957</v>
      </c>
      <c r="F11684" s="0" t="s">
        <v>90</v>
      </c>
      <c r="G11684" s="0" t="s">
        <v>32</v>
      </c>
      <c r="H11684" s="0" t="n">
        <v>47</v>
      </c>
      <c r="I11684" s="0" t="s">
        <v>38964</v>
      </c>
      <c r="J11684" s="0" t="s">
        <v>38965</v>
      </c>
      <c r="K11684" s="0" t="s">
        <v>38966</v>
      </c>
      <c r="L11684" s="0" t="str">
        <f aca="false">HYPERLINK("https://www.ncbi.nlm.nih.gov/nuccore/CP000304.1?report=graph&amp;tracks=[key:gene_model_track,Options:GeneOnly]&amp;mk=3271000:3271019|offset_7|444444,3270980:3270999|offset_27|444444,3270960:3270979|offset_47|00cc00,3270930:3270949|offset_77|444444&amp;v=3270799:3271149&amp;c=444444", "offset 47")</f>
        <v>offset 47</v>
      </c>
    </row>
    <row r="11685" customFormat="false" ht="12.8" hidden="false" customHeight="false" outlineLevel="0" collapsed="false">
      <c r="A11685" s="0" t="s">
        <v>12</v>
      </c>
      <c r="B11685" s="0" t="n">
        <v>3270929</v>
      </c>
      <c r="C11685" s="0" t="n">
        <v>3270949</v>
      </c>
      <c r="D11685" s="0" t="s">
        <v>38956</v>
      </c>
      <c r="E11685" s="0" t="s">
        <v>38957</v>
      </c>
      <c r="F11685" s="0" t="s">
        <v>90</v>
      </c>
      <c r="G11685" s="0" t="s">
        <v>26</v>
      </c>
      <c r="H11685" s="0" t="n">
        <v>77</v>
      </c>
      <c r="I11685" s="0" t="s">
        <v>38967</v>
      </c>
      <c r="J11685" s="0" t="s">
        <v>38968</v>
      </c>
      <c r="K11685" s="0" t="s">
        <v>38969</v>
      </c>
      <c r="L11685" s="0" t="str">
        <f aca="false">HYPERLINK("https://www.ncbi.nlm.nih.gov/nuccore/CP000304.1?report=graph&amp;tracks=[key:gene_model_track,Options:GeneOnly]&amp;mk=3271000:3271019|offset_7|444444,3270980:3270999|offset_27|444444,3270960:3270979|offset_47|444444,3270930:3270949|offset_77|00cc00&amp;v=3270799:3271149&amp;c=444444", "offset 77")</f>
        <v>offset 77</v>
      </c>
    </row>
    <row r="11686" customFormat="false" ht="12.8" hidden="false" customHeight="false" outlineLevel="0" collapsed="false">
      <c r="A11686" s="0" t="s">
        <v>12</v>
      </c>
      <c r="B11686" s="0" t="n">
        <v>3271566</v>
      </c>
      <c r="C11686" s="0" t="n">
        <v>3271586</v>
      </c>
      <c r="D11686" s="0" t="s">
        <v>38970</v>
      </c>
      <c r="E11686" s="0" t="s">
        <v>38971</v>
      </c>
      <c r="F11686" s="0" t="s">
        <v>90</v>
      </c>
      <c r="G11686" s="0" t="s">
        <v>16</v>
      </c>
      <c r="H11686" s="0" t="n">
        <v>1</v>
      </c>
      <c r="I11686" s="0" t="s">
        <v>38972</v>
      </c>
      <c r="J11686" s="0" t="s">
        <v>38973</v>
      </c>
      <c r="K11686" s="0" t="s">
        <v>38974</v>
      </c>
      <c r="L11686" s="0" t="str">
        <f aca="false">HYPERLINK("https://www.ncbi.nlm.nih.gov/nuccore/CP000304.1?report=graph&amp;tracks=[key:gene_model_track,Options:GeneOnly]&amp;mk=3271567:3271586|offset_1|00cc00,3271526:3271545|offset_42|444444,3271495:3271514|offset_73|444444,3271470:3271489|offset_98|444444&amp;v=3271366:3271689&amp;c=444444", "offset 1")</f>
        <v>offset 1</v>
      </c>
    </row>
    <row r="11687" customFormat="false" ht="12.8" hidden="false" customHeight="false" outlineLevel="0" collapsed="false">
      <c r="A11687" s="0" t="s">
        <v>12</v>
      </c>
      <c r="B11687" s="0" t="n">
        <v>3271525</v>
      </c>
      <c r="C11687" s="0" t="n">
        <v>3271545</v>
      </c>
      <c r="D11687" s="0" t="s">
        <v>38970</v>
      </c>
      <c r="E11687" s="0" t="s">
        <v>38971</v>
      </c>
      <c r="F11687" s="0" t="s">
        <v>90</v>
      </c>
      <c r="G11687" s="0" t="s">
        <v>26</v>
      </c>
      <c r="H11687" s="0" t="n">
        <v>42</v>
      </c>
      <c r="I11687" s="0" t="s">
        <v>38975</v>
      </c>
      <c r="J11687" s="0" t="s">
        <v>38976</v>
      </c>
      <c r="K11687" s="0" t="s">
        <v>38977</v>
      </c>
      <c r="L11687" s="0" t="str">
        <f aca="false">HYPERLINK("https://www.ncbi.nlm.nih.gov/nuccore/CP000304.1?report=graph&amp;tracks=[key:gene_model_track,Options:GeneOnly]&amp;mk=3271567:3271586|offset_1|444444,3271526:3271545|offset_42|00cc00,3271495:3271514|offset_73|444444,3271470:3271489|offset_98|444444&amp;v=3271366:3271689&amp;c=444444", "offset 42")</f>
        <v>offset 42</v>
      </c>
    </row>
    <row r="11688" customFormat="false" ht="12.8" hidden="false" customHeight="false" outlineLevel="0" collapsed="false">
      <c r="A11688" s="0" t="s">
        <v>12</v>
      </c>
      <c r="B11688" s="0" t="n">
        <v>3271494</v>
      </c>
      <c r="C11688" s="0" t="n">
        <v>3271514</v>
      </c>
      <c r="D11688" s="0" t="s">
        <v>38970</v>
      </c>
      <c r="E11688" s="0" t="s">
        <v>38971</v>
      </c>
      <c r="F11688" s="0" t="s">
        <v>90</v>
      </c>
      <c r="G11688" s="0" t="s">
        <v>16</v>
      </c>
      <c r="H11688" s="0" t="n">
        <v>73</v>
      </c>
      <c r="I11688" s="0" t="s">
        <v>38978</v>
      </c>
      <c r="J11688" s="0" t="s">
        <v>38979</v>
      </c>
      <c r="K11688" s="0" t="s">
        <v>38980</v>
      </c>
      <c r="L11688" s="0" t="str">
        <f aca="false">HYPERLINK("https://www.ncbi.nlm.nih.gov/nuccore/CP000304.1?report=graph&amp;tracks=[key:gene_model_track,Options:GeneOnly]&amp;mk=3271567:3271586|offset_1|444444,3271526:3271545|offset_42|444444,3271495:3271514|offset_73|00cc00,3271470:3271489|offset_98|444444&amp;v=3271366:3271689&amp;c=444444", "offset 73")</f>
        <v>offset 73</v>
      </c>
    </row>
    <row r="11689" customFormat="false" ht="12.8" hidden="false" customHeight="false" outlineLevel="0" collapsed="false">
      <c r="A11689" s="0" t="s">
        <v>12</v>
      </c>
      <c r="B11689" s="0" t="n">
        <v>3271469</v>
      </c>
      <c r="C11689" s="0" t="n">
        <v>3271489</v>
      </c>
      <c r="D11689" s="0" t="s">
        <v>38970</v>
      </c>
      <c r="E11689" s="0" t="s">
        <v>38971</v>
      </c>
      <c r="F11689" s="0" t="s">
        <v>90</v>
      </c>
      <c r="G11689" s="0" t="s">
        <v>32</v>
      </c>
      <c r="H11689" s="0" t="n">
        <v>98</v>
      </c>
      <c r="I11689" s="0" t="s">
        <v>38981</v>
      </c>
      <c r="J11689" s="0" t="s">
        <v>38982</v>
      </c>
      <c r="K11689" s="0" t="s">
        <v>38983</v>
      </c>
      <c r="L11689" s="0" t="str">
        <f aca="false">HYPERLINK("https://www.ncbi.nlm.nih.gov/nuccore/CP000304.1?report=graph&amp;tracks=[key:gene_model_track,Options:GeneOnly]&amp;mk=3271567:3271586|offset_1|444444,3271526:3271545|offset_42|444444,3271495:3271514|offset_73|444444,3271470:3271489|offset_98|00cc00&amp;v=3271366:3271689&amp;c=444444", "offset 98")</f>
        <v>offset 98</v>
      </c>
    </row>
    <row r="11690" customFormat="false" ht="12.8" hidden="false" customHeight="false" outlineLevel="0" collapsed="false">
      <c r="A11690" s="0" t="s">
        <v>12</v>
      </c>
      <c r="B11690" s="0" t="n">
        <v>3271700</v>
      </c>
      <c r="C11690" s="0" t="n">
        <v>3271720</v>
      </c>
      <c r="D11690" s="0" t="s">
        <v>38984</v>
      </c>
      <c r="E11690" s="0" t="s">
        <v>89</v>
      </c>
      <c r="F11690" s="0" t="s">
        <v>90</v>
      </c>
      <c r="G11690" s="0" t="s">
        <v>16</v>
      </c>
      <c r="H11690" s="0" t="n">
        <v>39</v>
      </c>
      <c r="I11690" s="0" t="s">
        <v>38985</v>
      </c>
      <c r="J11690" s="0" t="s">
        <v>38986</v>
      </c>
      <c r="K11690" s="0" t="s">
        <v>38987</v>
      </c>
      <c r="L11690" s="0" t="str">
        <f aca="false">HYPERLINK("https://www.ncbi.nlm.nih.gov/nuccore/CP000304.1?report=graph&amp;tracks=[key:gene_model_track,Options:GeneOnly]&amp;mk=3271701:3271720|offset_39|00cc00,3271673:3271692|offset_67|444444,3271621:3271640|offset_119|444444&amp;v=3271500:3271840&amp;c=444444", "offset 39")</f>
        <v>offset 39</v>
      </c>
    </row>
    <row r="11691" customFormat="false" ht="12.8" hidden="false" customHeight="false" outlineLevel="0" collapsed="false">
      <c r="A11691" s="0" t="s">
        <v>12</v>
      </c>
      <c r="B11691" s="0" t="n">
        <v>3271672</v>
      </c>
      <c r="C11691" s="0" t="n">
        <v>3271692</v>
      </c>
      <c r="D11691" s="0" t="s">
        <v>38984</v>
      </c>
      <c r="E11691" s="0" t="s">
        <v>89</v>
      </c>
      <c r="F11691" s="0" t="s">
        <v>90</v>
      </c>
      <c r="G11691" s="0" t="s">
        <v>16</v>
      </c>
      <c r="H11691" s="0" t="n">
        <v>67</v>
      </c>
      <c r="I11691" s="0" t="s">
        <v>38988</v>
      </c>
      <c r="J11691" s="0" t="s">
        <v>38989</v>
      </c>
      <c r="K11691" s="0" t="s">
        <v>38990</v>
      </c>
      <c r="L11691" s="0" t="str">
        <f aca="false">HYPERLINK("https://www.ncbi.nlm.nih.gov/nuccore/CP000304.1?report=graph&amp;tracks=[key:gene_model_track,Options:GeneOnly]&amp;mk=3271701:3271720|offset_39|444444,3271673:3271692|offset_67|00cc00,3271621:3271640|offset_119|444444&amp;v=3271500:3271840&amp;c=444444", "offset 67")</f>
        <v>offset 67</v>
      </c>
    </row>
    <row r="11692" customFormat="false" ht="12.8" hidden="false" customHeight="false" outlineLevel="0" collapsed="false">
      <c r="A11692" s="0" t="s">
        <v>12</v>
      </c>
      <c r="B11692" s="0" t="n">
        <v>3271620</v>
      </c>
      <c r="C11692" s="0" t="n">
        <v>3271640</v>
      </c>
      <c r="D11692" s="0" t="s">
        <v>38984</v>
      </c>
      <c r="E11692" s="0" t="s">
        <v>89</v>
      </c>
      <c r="F11692" s="0" t="s">
        <v>90</v>
      </c>
      <c r="G11692" s="0" t="s">
        <v>36</v>
      </c>
      <c r="H11692" s="0" t="n">
        <v>119</v>
      </c>
      <c r="I11692" s="0" t="s">
        <v>38991</v>
      </c>
      <c r="J11692" s="0" t="s">
        <v>38992</v>
      </c>
      <c r="K11692" s="0" t="s">
        <v>38993</v>
      </c>
      <c r="L11692" s="0" t="str">
        <f aca="false">HYPERLINK("https://www.ncbi.nlm.nih.gov/nuccore/CP000304.1?report=graph&amp;tracks=[key:gene_model_track,Options:GeneOnly]&amp;mk=3271701:3271720|offset_39|444444,3271673:3271692|offset_67|444444,3271621:3271640|offset_119|00cc00&amp;v=3271500:3271840&amp;c=444444", "offset 119")</f>
        <v>offset 119</v>
      </c>
    </row>
    <row r="11693" customFormat="false" ht="12.8" hidden="false" customHeight="false" outlineLevel="0" collapsed="false">
      <c r="A11693" s="0" t="s">
        <v>12</v>
      </c>
      <c r="B11693" s="0" t="n">
        <v>3272296</v>
      </c>
      <c r="C11693" s="0" t="n">
        <v>3272316</v>
      </c>
      <c r="D11693" s="0" t="s">
        <v>38994</v>
      </c>
      <c r="E11693" s="0" t="s">
        <v>38995</v>
      </c>
      <c r="F11693" s="0" t="s">
        <v>90</v>
      </c>
      <c r="G11693" s="0" t="s">
        <v>32</v>
      </c>
      <c r="H11693" s="0" t="n">
        <v>1</v>
      </c>
      <c r="I11693" s="0" t="s">
        <v>38996</v>
      </c>
      <c r="J11693" s="0" t="s">
        <v>38997</v>
      </c>
      <c r="K11693" s="0" t="s">
        <v>38998</v>
      </c>
      <c r="L11693" s="0" t="str">
        <f aca="false">HYPERLINK("https://www.ncbi.nlm.nih.gov/nuccore/CP000304.1?report=graph&amp;tracks=[key:gene_model_track,Options:GeneOnly]&amp;mk=3272297:3272316|offset_1|00cc00,3272269:3272288|offset_29|444444,3272231:3272250|offset_67|444444,3272193:3272212|offset_105|444444&amp;v=3272096:3272412&amp;c=444444", "offset 1")</f>
        <v>offset 1</v>
      </c>
    </row>
    <row r="11694" customFormat="false" ht="12.8" hidden="false" customHeight="false" outlineLevel="0" collapsed="false">
      <c r="A11694" s="0" t="s">
        <v>12</v>
      </c>
      <c r="B11694" s="0" t="n">
        <v>3272268</v>
      </c>
      <c r="C11694" s="0" t="n">
        <v>3272288</v>
      </c>
      <c r="D11694" s="0" t="s">
        <v>38994</v>
      </c>
      <c r="E11694" s="0" t="s">
        <v>38995</v>
      </c>
      <c r="F11694" s="0" t="s">
        <v>90</v>
      </c>
      <c r="G11694" s="0" t="s">
        <v>32</v>
      </c>
      <c r="H11694" s="0" t="n">
        <v>29</v>
      </c>
      <c r="I11694" s="0" t="s">
        <v>38999</v>
      </c>
      <c r="J11694" s="0" t="s">
        <v>39000</v>
      </c>
      <c r="K11694" s="0" t="s">
        <v>39001</v>
      </c>
      <c r="L11694" s="0" t="str">
        <f aca="false">HYPERLINK("https://www.ncbi.nlm.nih.gov/nuccore/CP000304.1?report=graph&amp;tracks=[key:gene_model_track,Options:GeneOnly]&amp;mk=3272297:3272316|offset_1|444444,3272269:3272288|offset_29|00cc00,3272231:3272250|offset_67|444444,3272193:3272212|offset_105|444444&amp;v=3272096:3272412&amp;c=444444", "offset 29")</f>
        <v>offset 29</v>
      </c>
    </row>
    <row r="11695" customFormat="false" ht="12.8" hidden="false" customHeight="false" outlineLevel="0" collapsed="false">
      <c r="A11695" s="0" t="s">
        <v>12</v>
      </c>
      <c r="B11695" s="0" t="n">
        <v>3272230</v>
      </c>
      <c r="C11695" s="0" t="n">
        <v>3272250</v>
      </c>
      <c r="D11695" s="0" t="s">
        <v>38994</v>
      </c>
      <c r="E11695" s="0" t="s">
        <v>38995</v>
      </c>
      <c r="F11695" s="0" t="s">
        <v>90</v>
      </c>
      <c r="G11695" s="0" t="s">
        <v>16</v>
      </c>
      <c r="H11695" s="0" t="n">
        <v>67</v>
      </c>
      <c r="I11695" s="0" t="s">
        <v>39002</v>
      </c>
      <c r="J11695" s="0" t="s">
        <v>39003</v>
      </c>
      <c r="K11695" s="0" t="s">
        <v>39004</v>
      </c>
      <c r="L11695" s="0" t="str">
        <f aca="false">HYPERLINK("https://www.ncbi.nlm.nih.gov/nuccore/CP000304.1?report=graph&amp;tracks=[key:gene_model_track,Options:GeneOnly]&amp;mk=3272297:3272316|offset_1|444444,3272269:3272288|offset_29|444444,3272231:3272250|offset_67|00cc00,3272193:3272212|offset_105|444444&amp;v=3272096:3272412&amp;c=444444", "offset 67")</f>
        <v>offset 67</v>
      </c>
    </row>
    <row r="11696" customFormat="false" ht="12.8" hidden="false" customHeight="false" outlineLevel="0" collapsed="false">
      <c r="A11696" s="0" t="s">
        <v>12</v>
      </c>
      <c r="B11696" s="0" t="n">
        <v>3272192</v>
      </c>
      <c r="C11696" s="0" t="n">
        <v>3272212</v>
      </c>
      <c r="D11696" s="0" t="s">
        <v>38994</v>
      </c>
      <c r="E11696" s="0" t="s">
        <v>38995</v>
      </c>
      <c r="F11696" s="0" t="s">
        <v>90</v>
      </c>
      <c r="G11696" s="0" t="s">
        <v>16</v>
      </c>
      <c r="H11696" s="0" t="n">
        <v>105</v>
      </c>
      <c r="I11696" s="0" t="s">
        <v>39005</v>
      </c>
      <c r="J11696" s="0" t="s">
        <v>39006</v>
      </c>
      <c r="K11696" s="0" t="s">
        <v>39007</v>
      </c>
      <c r="L11696" s="0" t="str">
        <f aca="false">HYPERLINK("https://www.ncbi.nlm.nih.gov/nuccore/CP000304.1?report=graph&amp;tracks=[key:gene_model_track,Options:GeneOnly]&amp;mk=3272297:3272316|offset_1|444444,3272269:3272288|offset_29|444444,3272231:3272250|offset_67|444444,3272193:3272212|offset_105|00cc00&amp;v=3272096:3272412&amp;c=444444", "offset 105")</f>
        <v>offset 105</v>
      </c>
    </row>
    <row r="11697" customFormat="false" ht="12.8" hidden="false" customHeight="false" outlineLevel="0" collapsed="false">
      <c r="A11697" s="0" t="s">
        <v>12</v>
      </c>
      <c r="B11697" s="0" t="n">
        <v>3273543</v>
      </c>
      <c r="C11697" s="0" t="n">
        <v>3273563</v>
      </c>
      <c r="D11697" s="0" t="s">
        <v>39008</v>
      </c>
      <c r="E11697" s="0" t="s">
        <v>39009</v>
      </c>
      <c r="F11697" s="0" t="s">
        <v>90</v>
      </c>
      <c r="G11697" s="0" t="s">
        <v>16</v>
      </c>
      <c r="H11697" s="0" t="n">
        <v>12</v>
      </c>
      <c r="I11697" s="0" t="s">
        <v>39010</v>
      </c>
      <c r="J11697" s="0" t="s">
        <v>39011</v>
      </c>
      <c r="K11697" s="0" t="s">
        <v>39012</v>
      </c>
      <c r="L11697" s="0" t="str">
        <f aca="false">HYPERLINK("https://www.ncbi.nlm.nih.gov/nuccore/CP000304.1?report=graph&amp;tracks=[key:gene_model_track,Options:GeneOnly]&amp;mk=3273544:3273563|offset_12|00cc00,3273519:3273538|offset_37|444444,3273495:3273514|offset_61|444444,3273471:3273490|offset_85|444444&amp;v=3273343:3273690&amp;c=444444", "offset 12")</f>
        <v>offset 12</v>
      </c>
    </row>
    <row r="11698" customFormat="false" ht="12.8" hidden="false" customHeight="false" outlineLevel="0" collapsed="false">
      <c r="A11698" s="0" t="s">
        <v>12</v>
      </c>
      <c r="B11698" s="0" t="n">
        <v>3273518</v>
      </c>
      <c r="C11698" s="0" t="n">
        <v>3273538</v>
      </c>
      <c r="D11698" s="0" t="s">
        <v>39008</v>
      </c>
      <c r="E11698" s="0" t="s">
        <v>39009</v>
      </c>
      <c r="F11698" s="0" t="s">
        <v>90</v>
      </c>
      <c r="G11698" s="0" t="s">
        <v>32</v>
      </c>
      <c r="H11698" s="0" t="n">
        <v>37</v>
      </c>
      <c r="I11698" s="0" t="s">
        <v>39013</v>
      </c>
      <c r="J11698" s="0" t="s">
        <v>39014</v>
      </c>
      <c r="K11698" s="0" t="s">
        <v>39015</v>
      </c>
      <c r="L11698" s="0" t="str">
        <f aca="false">HYPERLINK("https://www.ncbi.nlm.nih.gov/nuccore/CP000304.1?report=graph&amp;tracks=[key:gene_model_track,Options:GeneOnly]&amp;mk=3273544:3273563|offset_12|444444,3273519:3273538|offset_37|00cc00,3273495:3273514|offset_61|444444,3273471:3273490|offset_85|444444&amp;v=3273343:3273690&amp;c=444444", "offset 37")</f>
        <v>offset 37</v>
      </c>
    </row>
    <row r="11699" customFormat="false" ht="12.8" hidden="false" customHeight="false" outlineLevel="0" collapsed="false">
      <c r="A11699" s="0" t="s">
        <v>12</v>
      </c>
      <c r="B11699" s="0" t="n">
        <v>3273494</v>
      </c>
      <c r="C11699" s="0" t="n">
        <v>3273514</v>
      </c>
      <c r="D11699" s="0" t="s">
        <v>39008</v>
      </c>
      <c r="E11699" s="0" t="s">
        <v>39009</v>
      </c>
      <c r="F11699" s="0" t="s">
        <v>90</v>
      </c>
      <c r="G11699" s="0" t="s">
        <v>16</v>
      </c>
      <c r="H11699" s="0" t="n">
        <v>61</v>
      </c>
      <c r="I11699" s="0" t="s">
        <v>39016</v>
      </c>
      <c r="J11699" s="0" t="s">
        <v>39017</v>
      </c>
      <c r="K11699" s="0" t="s">
        <v>39018</v>
      </c>
      <c r="L11699" s="0" t="str">
        <f aca="false">HYPERLINK("https://www.ncbi.nlm.nih.gov/nuccore/CP000304.1?report=graph&amp;tracks=[key:gene_model_track,Options:GeneOnly]&amp;mk=3273544:3273563|offset_12|444444,3273519:3273538|offset_37|444444,3273495:3273514|offset_61|00cc00,3273471:3273490|offset_85|444444&amp;v=3273343:3273690&amp;c=444444", "offset 61")</f>
        <v>offset 61</v>
      </c>
    </row>
    <row r="11700" customFormat="false" ht="12.8" hidden="false" customHeight="false" outlineLevel="0" collapsed="false">
      <c r="A11700" s="0" t="s">
        <v>12</v>
      </c>
      <c r="B11700" s="0" t="n">
        <v>3273470</v>
      </c>
      <c r="C11700" s="0" t="n">
        <v>3273490</v>
      </c>
      <c r="D11700" s="0" t="s">
        <v>39008</v>
      </c>
      <c r="E11700" s="0" t="s">
        <v>39009</v>
      </c>
      <c r="F11700" s="0" t="s">
        <v>90</v>
      </c>
      <c r="G11700" s="0" t="s">
        <v>32</v>
      </c>
      <c r="H11700" s="0" t="n">
        <v>85</v>
      </c>
      <c r="I11700" s="0" t="s">
        <v>39019</v>
      </c>
      <c r="J11700" s="0" t="s">
        <v>39020</v>
      </c>
      <c r="K11700" s="0" t="s">
        <v>39021</v>
      </c>
      <c r="L11700" s="0" t="str">
        <f aca="false">HYPERLINK("https://www.ncbi.nlm.nih.gov/nuccore/CP000304.1?report=graph&amp;tracks=[key:gene_model_track,Options:GeneOnly]&amp;mk=3273544:3273563|offset_12|444444,3273519:3273538|offset_37|444444,3273495:3273514|offset_61|444444,3273471:3273490|offset_85|00cc00&amp;v=3273343:3273690&amp;c=444444", "offset 85")</f>
        <v>offset 85</v>
      </c>
    </row>
    <row r="11701" customFormat="false" ht="12.8" hidden="false" customHeight="false" outlineLevel="0" collapsed="false">
      <c r="A11701" s="0" t="s">
        <v>12</v>
      </c>
      <c r="B11701" s="0" t="n">
        <v>3274102</v>
      </c>
      <c r="C11701" s="0" t="n">
        <v>3274122</v>
      </c>
      <c r="D11701" s="0" t="s">
        <v>39022</v>
      </c>
      <c r="E11701" s="0" t="s">
        <v>89</v>
      </c>
      <c r="F11701" s="0" t="s">
        <v>90</v>
      </c>
      <c r="G11701" s="0" t="s">
        <v>32</v>
      </c>
      <c r="H11701" s="0" t="n">
        <v>36</v>
      </c>
      <c r="I11701" s="0" t="s">
        <v>39023</v>
      </c>
      <c r="J11701" s="0" t="s">
        <v>39024</v>
      </c>
      <c r="K11701" s="0" t="s">
        <v>39025</v>
      </c>
      <c r="L11701" s="0" t="str">
        <f aca="false">HYPERLINK("https://www.ncbi.nlm.nih.gov/nuccore/CP000304.1?report=graph&amp;tracks=[key:gene_model_track,Options:GeneOnly]&amp;mk=3274103:3274122|offset_36|00cc00,3274079:3274098|offset_60|444444,3274056:3274075|offset_83|444444,3274004:3274023|offset_135|444444&amp;v=3273902:3274223&amp;c=444444", "offset 36")</f>
        <v>offset 36</v>
      </c>
    </row>
    <row r="11702" customFormat="false" ht="12.8" hidden="false" customHeight="false" outlineLevel="0" collapsed="false">
      <c r="A11702" s="0" t="s">
        <v>12</v>
      </c>
      <c r="B11702" s="0" t="n">
        <v>3274078</v>
      </c>
      <c r="C11702" s="0" t="n">
        <v>3274098</v>
      </c>
      <c r="D11702" s="0" t="s">
        <v>39022</v>
      </c>
      <c r="E11702" s="0" t="s">
        <v>89</v>
      </c>
      <c r="F11702" s="0" t="s">
        <v>90</v>
      </c>
      <c r="G11702" s="0" t="s">
        <v>16</v>
      </c>
      <c r="H11702" s="0" t="n">
        <v>60</v>
      </c>
      <c r="I11702" s="0" t="s">
        <v>39026</v>
      </c>
      <c r="J11702" s="0" t="s">
        <v>39027</v>
      </c>
      <c r="K11702" s="0" t="s">
        <v>39028</v>
      </c>
      <c r="L11702" s="0" t="str">
        <f aca="false">HYPERLINK("https://www.ncbi.nlm.nih.gov/nuccore/CP000304.1?report=graph&amp;tracks=[key:gene_model_track,Options:GeneOnly]&amp;mk=3274103:3274122|offset_36|444444,3274079:3274098|offset_60|00cc00,3274056:3274075|offset_83|444444,3274004:3274023|offset_135|444444&amp;v=3273902:3274223&amp;c=444444", "offset 60")</f>
        <v>offset 60</v>
      </c>
    </row>
    <row r="11703" customFormat="false" ht="12.8" hidden="false" customHeight="false" outlineLevel="0" collapsed="false">
      <c r="A11703" s="0" t="s">
        <v>12</v>
      </c>
      <c r="B11703" s="0" t="n">
        <v>3274055</v>
      </c>
      <c r="C11703" s="0" t="n">
        <v>3274075</v>
      </c>
      <c r="D11703" s="0" t="s">
        <v>39022</v>
      </c>
      <c r="E11703" s="0" t="s">
        <v>89</v>
      </c>
      <c r="F11703" s="0" t="s">
        <v>90</v>
      </c>
      <c r="G11703" s="0" t="s">
        <v>16</v>
      </c>
      <c r="H11703" s="0" t="n">
        <v>83</v>
      </c>
      <c r="I11703" s="0" t="s">
        <v>39029</v>
      </c>
      <c r="J11703" s="0" t="s">
        <v>39030</v>
      </c>
      <c r="K11703" s="0" t="s">
        <v>39031</v>
      </c>
      <c r="L11703" s="0" t="str">
        <f aca="false">HYPERLINK("https://www.ncbi.nlm.nih.gov/nuccore/CP000304.1?report=graph&amp;tracks=[key:gene_model_track,Options:GeneOnly]&amp;mk=3274103:3274122|offset_36|444444,3274079:3274098|offset_60|444444,3274056:3274075|offset_83|00cc00,3274004:3274023|offset_135|444444&amp;v=3273902:3274223&amp;c=444444", "offset 83")</f>
        <v>offset 83</v>
      </c>
    </row>
    <row r="11704" customFormat="false" ht="12.8" hidden="false" customHeight="false" outlineLevel="0" collapsed="false">
      <c r="A11704" s="0" t="s">
        <v>12</v>
      </c>
      <c r="B11704" s="0" t="n">
        <v>3274003</v>
      </c>
      <c r="C11704" s="0" t="n">
        <v>3274023</v>
      </c>
      <c r="D11704" s="0" t="s">
        <v>39022</v>
      </c>
      <c r="E11704" s="0" t="s">
        <v>89</v>
      </c>
      <c r="F11704" s="0" t="s">
        <v>90</v>
      </c>
      <c r="G11704" s="0" t="s">
        <v>16</v>
      </c>
      <c r="H11704" s="0" t="n">
        <v>135</v>
      </c>
      <c r="I11704" s="0" t="s">
        <v>39032</v>
      </c>
      <c r="J11704" s="0" t="s">
        <v>39033</v>
      </c>
      <c r="K11704" s="0" t="s">
        <v>39034</v>
      </c>
      <c r="L11704" s="0" t="str">
        <f aca="false">HYPERLINK("https://www.ncbi.nlm.nih.gov/nuccore/CP000304.1?report=graph&amp;tracks=[key:gene_model_track,Options:GeneOnly]&amp;mk=3274103:3274122|offset_36|444444,3274079:3274098|offset_60|444444,3274056:3274075|offset_83|444444,3274004:3274023|offset_135|00cc00&amp;v=3273902:3274223&amp;c=444444", "offset 135")</f>
        <v>offset 135</v>
      </c>
    </row>
    <row r="11705" customFormat="false" ht="12.8" hidden="false" customHeight="false" outlineLevel="0" collapsed="false">
      <c r="A11705" s="0" t="s">
        <v>12</v>
      </c>
      <c r="B11705" s="0" t="n">
        <v>3274990</v>
      </c>
      <c r="C11705" s="0" t="n">
        <v>3275010</v>
      </c>
      <c r="D11705" s="0" t="s">
        <v>39035</v>
      </c>
      <c r="E11705" s="0" t="s">
        <v>39036</v>
      </c>
      <c r="F11705" s="0" t="s">
        <v>90</v>
      </c>
      <c r="G11705" s="0" t="s">
        <v>32</v>
      </c>
      <c r="H11705" s="0" t="n">
        <v>29</v>
      </c>
      <c r="I11705" s="0" t="s">
        <v>39037</v>
      </c>
      <c r="J11705" s="0" t="s">
        <v>39038</v>
      </c>
      <c r="K11705" s="0" t="s">
        <v>39039</v>
      </c>
      <c r="L11705" s="0" t="str">
        <f aca="false">HYPERLINK("https://www.ncbi.nlm.nih.gov/nuccore/CP000304.1?report=graph&amp;tracks=[key:gene_model_track,Options:GeneOnly]&amp;mk=3274991:3275010|offset_29|00cc00,3274969:3274988|offset_51|444444,3274930:3274949|offset_90|444444,3274907:3274926|offset_113|444444&amp;v=3274790:3275126&amp;c=444444", "offset 29")</f>
        <v>offset 29</v>
      </c>
    </row>
    <row r="11706" customFormat="false" ht="12.8" hidden="false" customHeight="false" outlineLevel="0" collapsed="false">
      <c r="A11706" s="0" t="s">
        <v>12</v>
      </c>
      <c r="B11706" s="0" t="n">
        <v>3274968</v>
      </c>
      <c r="C11706" s="0" t="n">
        <v>3274988</v>
      </c>
      <c r="D11706" s="0" t="s">
        <v>39035</v>
      </c>
      <c r="E11706" s="0" t="s">
        <v>39036</v>
      </c>
      <c r="F11706" s="0" t="s">
        <v>90</v>
      </c>
      <c r="G11706" s="0" t="s">
        <v>16</v>
      </c>
      <c r="H11706" s="0" t="n">
        <v>51</v>
      </c>
      <c r="I11706" s="0" t="s">
        <v>39040</v>
      </c>
      <c r="J11706" s="0" t="s">
        <v>39041</v>
      </c>
      <c r="K11706" s="0" t="s">
        <v>39042</v>
      </c>
      <c r="L11706" s="0" t="str">
        <f aca="false">HYPERLINK("https://www.ncbi.nlm.nih.gov/nuccore/CP000304.1?report=graph&amp;tracks=[key:gene_model_track,Options:GeneOnly]&amp;mk=3274991:3275010|offset_29|444444,3274969:3274988|offset_51|00cc00,3274930:3274949|offset_90|444444,3274907:3274926|offset_113|444444&amp;v=3274790:3275126&amp;c=444444", "offset 51")</f>
        <v>offset 51</v>
      </c>
    </row>
    <row r="11707" customFormat="false" ht="12.8" hidden="false" customHeight="false" outlineLevel="0" collapsed="false">
      <c r="A11707" s="0" t="s">
        <v>12</v>
      </c>
      <c r="B11707" s="0" t="n">
        <v>3274929</v>
      </c>
      <c r="C11707" s="0" t="n">
        <v>3274949</v>
      </c>
      <c r="D11707" s="0" t="s">
        <v>39035</v>
      </c>
      <c r="E11707" s="0" t="s">
        <v>39036</v>
      </c>
      <c r="F11707" s="0" t="s">
        <v>90</v>
      </c>
      <c r="G11707" s="0" t="s">
        <v>16</v>
      </c>
      <c r="H11707" s="0" t="n">
        <v>90</v>
      </c>
      <c r="I11707" s="0" t="s">
        <v>39043</v>
      </c>
      <c r="J11707" s="0" t="s">
        <v>39044</v>
      </c>
      <c r="K11707" s="0" t="s">
        <v>39045</v>
      </c>
      <c r="L11707" s="0" t="str">
        <f aca="false">HYPERLINK("https://www.ncbi.nlm.nih.gov/nuccore/CP000304.1?report=graph&amp;tracks=[key:gene_model_track,Options:GeneOnly]&amp;mk=3274991:3275010|offset_29|444444,3274969:3274988|offset_51|444444,3274930:3274949|offset_90|00cc00,3274907:3274926|offset_113|444444&amp;v=3274790:3275126&amp;c=444444", "offset 90")</f>
        <v>offset 90</v>
      </c>
    </row>
    <row r="11708" customFormat="false" ht="12.8" hidden="false" customHeight="false" outlineLevel="0" collapsed="false">
      <c r="A11708" s="0" t="s">
        <v>12</v>
      </c>
      <c r="B11708" s="0" t="n">
        <v>3274906</v>
      </c>
      <c r="C11708" s="0" t="n">
        <v>3274926</v>
      </c>
      <c r="D11708" s="0" t="s">
        <v>39035</v>
      </c>
      <c r="E11708" s="0" t="s">
        <v>39036</v>
      </c>
      <c r="F11708" s="0" t="s">
        <v>90</v>
      </c>
      <c r="G11708" s="0" t="s">
        <v>32</v>
      </c>
      <c r="H11708" s="0" t="n">
        <v>113</v>
      </c>
      <c r="I11708" s="0" t="s">
        <v>39046</v>
      </c>
      <c r="J11708" s="0" t="s">
        <v>39047</v>
      </c>
      <c r="K11708" s="0" t="s">
        <v>39048</v>
      </c>
      <c r="L11708" s="0" t="str">
        <f aca="false">HYPERLINK("https://www.ncbi.nlm.nih.gov/nuccore/CP000304.1?report=graph&amp;tracks=[key:gene_model_track,Options:GeneOnly]&amp;mk=3274991:3275010|offset_29|444444,3274969:3274988|offset_51|444444,3274930:3274949|offset_90|444444,3274907:3274926|offset_113|00cc00&amp;v=3274790:3275126&amp;c=444444", "offset 113")</f>
        <v>offset 113</v>
      </c>
    </row>
    <row r="11709" customFormat="false" ht="12.8" hidden="false" customHeight="false" outlineLevel="0" collapsed="false">
      <c r="A11709" s="0" t="s">
        <v>12</v>
      </c>
      <c r="B11709" s="0" t="n">
        <v>3275831</v>
      </c>
      <c r="C11709" s="0" t="n">
        <v>3275851</v>
      </c>
      <c r="D11709" s="0" t="s">
        <v>39049</v>
      </c>
      <c r="E11709" s="0" t="s">
        <v>89</v>
      </c>
      <c r="F11709" s="0" t="s">
        <v>90</v>
      </c>
      <c r="G11709" s="0" t="s">
        <v>26</v>
      </c>
      <c r="H11709" s="0" t="n">
        <v>24</v>
      </c>
      <c r="I11709" s="0" t="s">
        <v>39050</v>
      </c>
      <c r="J11709" s="0" t="s">
        <v>39051</v>
      </c>
      <c r="K11709" s="0" t="s">
        <v>39052</v>
      </c>
      <c r="L11709" s="0" t="str">
        <f aca="false">HYPERLINK("https://www.ncbi.nlm.nih.gov/nuccore/CP000304.1?report=graph&amp;tracks=[key:gene_model_track,Options:GeneOnly]&amp;mk=3275832:3275851|offset_24|00cc00,3275756:3275775|offset_100|444444,3275720:3275739|offset_136|444444,3275679:3275698|offset_177|444444&amp;v=3275631:3275898&amp;c=444444", "offset 24")</f>
        <v>offset 24</v>
      </c>
    </row>
    <row r="11710" customFormat="false" ht="12.8" hidden="false" customHeight="false" outlineLevel="0" collapsed="false">
      <c r="A11710" s="0" t="s">
        <v>12</v>
      </c>
      <c r="B11710" s="0" t="n">
        <v>3275755</v>
      </c>
      <c r="C11710" s="0" t="n">
        <v>3275775</v>
      </c>
      <c r="D11710" s="0" t="s">
        <v>39049</v>
      </c>
      <c r="E11710" s="0" t="s">
        <v>89</v>
      </c>
      <c r="F11710" s="0" t="s">
        <v>90</v>
      </c>
      <c r="G11710" s="0" t="s">
        <v>32</v>
      </c>
      <c r="H11710" s="0" t="n">
        <v>100</v>
      </c>
      <c r="I11710" s="0" t="s">
        <v>39053</v>
      </c>
      <c r="J11710" s="0" t="s">
        <v>39054</v>
      </c>
      <c r="K11710" s="0" t="s">
        <v>39055</v>
      </c>
      <c r="L11710" s="0" t="str">
        <f aca="false">HYPERLINK("https://www.ncbi.nlm.nih.gov/nuccore/CP000304.1?report=graph&amp;tracks=[key:gene_model_track,Options:GeneOnly]&amp;mk=3275832:3275851|offset_24|444444,3275756:3275775|offset_100|00cc00,3275720:3275739|offset_136|444444,3275679:3275698|offset_177|444444&amp;v=3275631:3275898&amp;c=444444", "offset 100")</f>
        <v>offset 100</v>
      </c>
    </row>
    <row r="11711" customFormat="false" ht="12.8" hidden="false" customHeight="false" outlineLevel="0" collapsed="false">
      <c r="A11711" s="0" t="s">
        <v>12</v>
      </c>
      <c r="B11711" s="0" t="n">
        <v>3275719</v>
      </c>
      <c r="C11711" s="0" t="n">
        <v>3275739</v>
      </c>
      <c r="D11711" s="0" t="s">
        <v>39049</v>
      </c>
      <c r="E11711" s="0" t="s">
        <v>89</v>
      </c>
      <c r="F11711" s="0" t="s">
        <v>90</v>
      </c>
      <c r="G11711" s="0" t="s">
        <v>32</v>
      </c>
      <c r="H11711" s="0" t="n">
        <v>136</v>
      </c>
      <c r="I11711" s="0" t="s">
        <v>39056</v>
      </c>
      <c r="J11711" s="0" t="s">
        <v>39057</v>
      </c>
      <c r="K11711" s="0" t="s">
        <v>39058</v>
      </c>
      <c r="L11711" s="0" t="str">
        <f aca="false">HYPERLINK("https://www.ncbi.nlm.nih.gov/nuccore/CP000304.1?report=graph&amp;tracks=[key:gene_model_track,Options:GeneOnly]&amp;mk=3275832:3275851|offset_24|444444,3275756:3275775|offset_100|444444,3275720:3275739|offset_136|00cc00,3275679:3275698|offset_177|444444&amp;v=3275631:3275898&amp;c=444444", "offset 136")</f>
        <v>offset 136</v>
      </c>
    </row>
    <row r="11712" customFormat="false" ht="12.8" hidden="false" customHeight="false" outlineLevel="0" collapsed="false">
      <c r="A11712" s="0" t="s">
        <v>12</v>
      </c>
      <c r="B11712" s="0" t="n">
        <v>3275678</v>
      </c>
      <c r="C11712" s="0" t="n">
        <v>3275698</v>
      </c>
      <c r="D11712" s="0" t="s">
        <v>39049</v>
      </c>
      <c r="E11712" s="0" t="s">
        <v>89</v>
      </c>
      <c r="F11712" s="0" t="s">
        <v>90</v>
      </c>
      <c r="G11712" s="0" t="s">
        <v>16</v>
      </c>
      <c r="H11712" s="0" t="n">
        <v>177</v>
      </c>
      <c r="I11712" s="0" t="s">
        <v>39059</v>
      </c>
      <c r="J11712" s="0" t="s">
        <v>39060</v>
      </c>
      <c r="K11712" s="0" t="s">
        <v>39061</v>
      </c>
      <c r="L11712" s="0" t="str">
        <f aca="false">HYPERLINK("https://www.ncbi.nlm.nih.gov/nuccore/CP000304.1?report=graph&amp;tracks=[key:gene_model_track,Options:GeneOnly]&amp;mk=3275832:3275851|offset_24|444444,3275756:3275775|offset_100|444444,3275720:3275739|offset_136|444444,3275679:3275698|offset_177|00cc00&amp;v=3275631:3275898&amp;c=444444", "offset 177")</f>
        <v>offset 177</v>
      </c>
    </row>
    <row r="11713" customFormat="false" ht="12.8" hidden="false" customHeight="false" outlineLevel="0" collapsed="false">
      <c r="A11713" s="0" t="s">
        <v>12</v>
      </c>
      <c r="B11713" s="0" t="n">
        <v>3275970</v>
      </c>
      <c r="C11713" s="0" t="n">
        <v>3275990</v>
      </c>
      <c r="D11713" s="0" t="s">
        <v>39062</v>
      </c>
      <c r="E11713" s="0" t="s">
        <v>89</v>
      </c>
      <c r="F11713" s="0" t="s">
        <v>15</v>
      </c>
      <c r="G11713" s="0" t="s">
        <v>32</v>
      </c>
      <c r="H11713" s="0" t="n">
        <v>1</v>
      </c>
      <c r="I11713" s="0" t="s">
        <v>39063</v>
      </c>
      <c r="J11713" s="0" t="s">
        <v>39064</v>
      </c>
      <c r="K11713" s="0" t="s">
        <v>39065</v>
      </c>
      <c r="L11713" s="0" t="str">
        <f aca="false">HYPERLINK("https://www.ncbi.nlm.nih.gov/nuccore/CP000304.1?report=graph&amp;tracks=[key:gene_model_track,Options:GeneOnly]&amp;mk=3275971:3275990|offset_1|00cc00,3276004:3276023|offset_34|444444,3276032:3276051|offset_62|444444,3276094:3276113|offset_124|444444&amp;v=3275770:3276313&amp;c=444444", "offset 1")</f>
        <v>offset 1</v>
      </c>
    </row>
    <row r="11714" customFormat="false" ht="12.8" hidden="false" customHeight="false" outlineLevel="0" collapsed="false">
      <c r="A11714" s="0" t="s">
        <v>12</v>
      </c>
      <c r="B11714" s="0" t="n">
        <v>3276003</v>
      </c>
      <c r="C11714" s="0" t="n">
        <v>3276023</v>
      </c>
      <c r="D11714" s="0" t="s">
        <v>39062</v>
      </c>
      <c r="E11714" s="0" t="s">
        <v>89</v>
      </c>
      <c r="F11714" s="0" t="s">
        <v>15</v>
      </c>
      <c r="G11714" s="0" t="s">
        <v>16</v>
      </c>
      <c r="H11714" s="0" t="n">
        <v>34</v>
      </c>
      <c r="I11714" s="0" t="s">
        <v>39066</v>
      </c>
      <c r="J11714" s="0" t="s">
        <v>39067</v>
      </c>
      <c r="K11714" s="0" t="s">
        <v>39068</v>
      </c>
      <c r="L11714" s="0" t="str">
        <f aca="false">HYPERLINK("https://www.ncbi.nlm.nih.gov/nuccore/CP000304.1?report=graph&amp;tracks=[key:gene_model_track,Options:GeneOnly]&amp;mk=3275971:3275990|offset_1|444444,3276004:3276023|offset_34|00cc00,3276032:3276051|offset_62|444444,3276094:3276113|offset_124|444444&amp;v=3275770:3276313&amp;c=444444", "offset 34")</f>
        <v>offset 34</v>
      </c>
    </row>
    <row r="11715" customFormat="false" ht="12.8" hidden="false" customHeight="false" outlineLevel="0" collapsed="false">
      <c r="A11715" s="0" t="s">
        <v>12</v>
      </c>
      <c r="B11715" s="0" t="n">
        <v>3276031</v>
      </c>
      <c r="C11715" s="0" t="n">
        <v>3276051</v>
      </c>
      <c r="D11715" s="0" t="s">
        <v>39062</v>
      </c>
      <c r="E11715" s="0" t="s">
        <v>89</v>
      </c>
      <c r="F11715" s="0" t="s">
        <v>15</v>
      </c>
      <c r="G11715" s="0" t="s">
        <v>16</v>
      </c>
      <c r="H11715" s="0" t="n">
        <v>62</v>
      </c>
      <c r="I11715" s="0" t="s">
        <v>39069</v>
      </c>
      <c r="J11715" s="0" t="s">
        <v>39070</v>
      </c>
      <c r="K11715" s="0" t="s">
        <v>39071</v>
      </c>
      <c r="L11715" s="0" t="str">
        <f aca="false">HYPERLINK("https://www.ncbi.nlm.nih.gov/nuccore/CP000304.1?report=graph&amp;tracks=[key:gene_model_track,Options:GeneOnly]&amp;mk=3275971:3275990|offset_1|444444,3276004:3276023|offset_34|444444,3276032:3276051|offset_62|00cc00,3276094:3276113|offset_124|444444&amp;v=3275770:3276313&amp;c=444444", "offset 62")</f>
        <v>offset 62</v>
      </c>
    </row>
    <row r="11716" customFormat="false" ht="12.8" hidden="false" customHeight="false" outlineLevel="0" collapsed="false">
      <c r="A11716" s="0" t="s">
        <v>12</v>
      </c>
      <c r="B11716" s="0" t="n">
        <v>3276093</v>
      </c>
      <c r="C11716" s="0" t="n">
        <v>3276113</v>
      </c>
      <c r="D11716" s="0" t="s">
        <v>39062</v>
      </c>
      <c r="E11716" s="0" t="s">
        <v>89</v>
      </c>
      <c r="F11716" s="0" t="s">
        <v>15</v>
      </c>
      <c r="G11716" s="0" t="s">
        <v>16</v>
      </c>
      <c r="H11716" s="0" t="n">
        <v>124</v>
      </c>
      <c r="I11716" s="0" t="s">
        <v>39072</v>
      </c>
      <c r="J11716" s="0" t="s">
        <v>39073</v>
      </c>
      <c r="K11716" s="0" t="s">
        <v>39074</v>
      </c>
      <c r="L11716" s="0" t="str">
        <f aca="false">HYPERLINK("https://www.ncbi.nlm.nih.gov/nuccore/CP000304.1?report=graph&amp;tracks=[key:gene_model_track,Options:GeneOnly]&amp;mk=3275971:3275990|offset_1|444444,3276004:3276023|offset_34|444444,3276032:3276051|offset_62|444444,3276094:3276113|offset_124|00cc00&amp;v=3275770:3276313&amp;c=444444", "offset 124")</f>
        <v>offset 124</v>
      </c>
    </row>
    <row r="11717" customFormat="false" ht="12.8" hidden="false" customHeight="false" outlineLevel="0" collapsed="false">
      <c r="A11717" s="0" t="s">
        <v>12</v>
      </c>
      <c r="B11717" s="0" t="n">
        <v>3277411</v>
      </c>
      <c r="C11717" s="0" t="n">
        <v>3277431</v>
      </c>
      <c r="D11717" s="0" t="s">
        <v>39075</v>
      </c>
      <c r="E11717" s="0" t="s">
        <v>89</v>
      </c>
      <c r="F11717" s="0" t="s">
        <v>90</v>
      </c>
      <c r="G11717" s="0" t="s">
        <v>26</v>
      </c>
      <c r="H11717" s="0" t="n">
        <v>1</v>
      </c>
      <c r="I11717" s="0" t="s">
        <v>39076</v>
      </c>
      <c r="J11717" s="0" t="s">
        <v>39077</v>
      </c>
      <c r="K11717" s="0" t="s">
        <v>39078</v>
      </c>
      <c r="L11717" s="0" t="str">
        <f aca="false">HYPERLINK("https://www.ncbi.nlm.nih.gov/nuccore/CP000304.1?report=graph&amp;tracks=[key:gene_model_track,Options:GeneOnly]&amp;mk=3277412:3277431|offset_1|00cc00,3277378:3277397|offset_35|444444,3277346:3277365|offset_67|444444,3277310:3277329|offset_103|444444&amp;v=3277211:3277529&amp;c=444444", "offset 1")</f>
        <v>offset 1</v>
      </c>
    </row>
    <row r="11718" customFormat="false" ht="12.8" hidden="false" customHeight="false" outlineLevel="0" collapsed="false">
      <c r="A11718" s="0" t="s">
        <v>12</v>
      </c>
      <c r="B11718" s="0" t="n">
        <v>3277377</v>
      </c>
      <c r="C11718" s="0" t="n">
        <v>3277397</v>
      </c>
      <c r="D11718" s="0" t="s">
        <v>39075</v>
      </c>
      <c r="E11718" s="0" t="s">
        <v>89</v>
      </c>
      <c r="F11718" s="0" t="s">
        <v>90</v>
      </c>
      <c r="G11718" s="0" t="s">
        <v>36</v>
      </c>
      <c r="H11718" s="0" t="n">
        <v>35</v>
      </c>
      <c r="I11718" s="0" t="s">
        <v>39079</v>
      </c>
      <c r="J11718" s="0" t="s">
        <v>39080</v>
      </c>
      <c r="K11718" s="0" t="s">
        <v>39081</v>
      </c>
      <c r="L11718" s="0" t="str">
        <f aca="false">HYPERLINK("https://www.ncbi.nlm.nih.gov/nuccore/CP000304.1?report=graph&amp;tracks=[key:gene_model_track,Options:GeneOnly]&amp;mk=3277412:3277431|offset_1|444444,3277378:3277397|offset_35|00cc00,3277346:3277365|offset_67|444444,3277310:3277329|offset_103|444444&amp;v=3277211:3277529&amp;c=444444", "offset 35")</f>
        <v>offset 35</v>
      </c>
    </row>
    <row r="11719" customFormat="false" ht="12.8" hidden="false" customHeight="false" outlineLevel="0" collapsed="false">
      <c r="A11719" s="0" t="s">
        <v>12</v>
      </c>
      <c r="B11719" s="0" t="n">
        <v>3277345</v>
      </c>
      <c r="C11719" s="0" t="n">
        <v>3277365</v>
      </c>
      <c r="D11719" s="0" t="s">
        <v>39075</v>
      </c>
      <c r="E11719" s="0" t="s">
        <v>89</v>
      </c>
      <c r="F11719" s="0" t="s">
        <v>90</v>
      </c>
      <c r="G11719" s="0" t="s">
        <v>32</v>
      </c>
      <c r="H11719" s="0" t="n">
        <v>67</v>
      </c>
      <c r="I11719" s="0" t="s">
        <v>39082</v>
      </c>
      <c r="J11719" s="0" t="s">
        <v>39083</v>
      </c>
      <c r="K11719" s="0" t="s">
        <v>39084</v>
      </c>
      <c r="L11719" s="0" t="str">
        <f aca="false">HYPERLINK("https://www.ncbi.nlm.nih.gov/nuccore/CP000304.1?report=graph&amp;tracks=[key:gene_model_track,Options:GeneOnly]&amp;mk=3277412:3277431|offset_1|444444,3277378:3277397|offset_35|444444,3277346:3277365|offset_67|00cc00,3277310:3277329|offset_103|444444&amp;v=3277211:3277529&amp;c=444444", "offset 67")</f>
        <v>offset 67</v>
      </c>
    </row>
    <row r="11720" customFormat="false" ht="12.8" hidden="false" customHeight="false" outlineLevel="0" collapsed="false">
      <c r="A11720" s="0" t="s">
        <v>12</v>
      </c>
      <c r="B11720" s="0" t="n">
        <v>3277309</v>
      </c>
      <c r="C11720" s="0" t="n">
        <v>3277329</v>
      </c>
      <c r="D11720" s="0" t="s">
        <v>39075</v>
      </c>
      <c r="E11720" s="0" t="s">
        <v>89</v>
      </c>
      <c r="F11720" s="0" t="s">
        <v>90</v>
      </c>
      <c r="G11720" s="0" t="s">
        <v>32</v>
      </c>
      <c r="H11720" s="0" t="n">
        <v>103</v>
      </c>
      <c r="I11720" s="0" t="s">
        <v>39085</v>
      </c>
      <c r="J11720" s="0" t="s">
        <v>39086</v>
      </c>
      <c r="K11720" s="0" t="s">
        <v>39087</v>
      </c>
      <c r="L11720" s="0" t="str">
        <f aca="false">HYPERLINK("https://www.ncbi.nlm.nih.gov/nuccore/CP000304.1?report=graph&amp;tracks=[key:gene_model_track,Options:GeneOnly]&amp;mk=3277412:3277431|offset_1|444444,3277378:3277397|offset_35|444444,3277346:3277365|offset_67|444444,3277310:3277329|offset_103|00cc00&amp;v=3277211:3277529&amp;c=444444", "offset 103")</f>
        <v>offset 103</v>
      </c>
    </row>
    <row r="11721" customFormat="false" ht="12.8" hidden="false" customHeight="false" outlineLevel="0" collapsed="false">
      <c r="A11721" s="0" t="s">
        <v>12</v>
      </c>
      <c r="B11721" s="0" t="n">
        <v>3278315</v>
      </c>
      <c r="C11721" s="0" t="n">
        <v>3278335</v>
      </c>
      <c r="D11721" s="0" t="s">
        <v>39088</v>
      </c>
      <c r="E11721" s="0" t="s">
        <v>39089</v>
      </c>
      <c r="F11721" s="0" t="s">
        <v>90</v>
      </c>
      <c r="G11721" s="0" t="s">
        <v>16</v>
      </c>
      <c r="H11721" s="0" t="n">
        <v>32</v>
      </c>
      <c r="I11721" s="0" t="s">
        <v>39090</v>
      </c>
      <c r="J11721" s="0" t="s">
        <v>39091</v>
      </c>
      <c r="K11721" s="0" t="s">
        <v>39092</v>
      </c>
      <c r="L11721" s="0" t="str">
        <f aca="false">HYPERLINK("https://www.ncbi.nlm.nih.gov/nuccore/CP000304.1?report=graph&amp;tracks=[key:gene_model_track,Options:GeneOnly]&amp;mk=3278316:3278335|offset_32|00cc00,3278293:3278312|offset_55|444444,3278262:3278281|offset_86|444444,3278224:3278243|offset_124|444444&amp;v=3278115:3278443&amp;c=444444", "offset 32")</f>
        <v>offset 32</v>
      </c>
    </row>
    <row r="11722" customFormat="false" ht="12.8" hidden="false" customHeight="false" outlineLevel="0" collapsed="false">
      <c r="A11722" s="0" t="s">
        <v>12</v>
      </c>
      <c r="B11722" s="0" t="n">
        <v>3278292</v>
      </c>
      <c r="C11722" s="0" t="n">
        <v>3278312</v>
      </c>
      <c r="D11722" s="0" t="s">
        <v>39088</v>
      </c>
      <c r="E11722" s="0" t="s">
        <v>39089</v>
      </c>
      <c r="F11722" s="0" t="s">
        <v>90</v>
      </c>
      <c r="G11722" s="0" t="s">
        <v>16</v>
      </c>
      <c r="H11722" s="0" t="n">
        <v>55</v>
      </c>
      <c r="I11722" s="0" t="s">
        <v>39093</v>
      </c>
      <c r="J11722" s="0" t="s">
        <v>39094</v>
      </c>
      <c r="K11722" s="0" t="s">
        <v>39095</v>
      </c>
      <c r="L11722" s="0" t="str">
        <f aca="false">HYPERLINK("https://www.ncbi.nlm.nih.gov/nuccore/CP000304.1?report=graph&amp;tracks=[key:gene_model_track,Options:GeneOnly]&amp;mk=3278316:3278335|offset_32|444444,3278293:3278312|offset_55|00cc00,3278262:3278281|offset_86|444444,3278224:3278243|offset_124|444444&amp;v=3278115:3278443&amp;c=444444", "offset 55")</f>
        <v>offset 55</v>
      </c>
    </row>
    <row r="11723" customFormat="false" ht="12.8" hidden="false" customHeight="false" outlineLevel="0" collapsed="false">
      <c r="A11723" s="0" t="s">
        <v>12</v>
      </c>
      <c r="B11723" s="0" t="n">
        <v>3278261</v>
      </c>
      <c r="C11723" s="0" t="n">
        <v>3278281</v>
      </c>
      <c r="D11723" s="0" t="s">
        <v>39088</v>
      </c>
      <c r="E11723" s="0" t="s">
        <v>39089</v>
      </c>
      <c r="F11723" s="0" t="s">
        <v>90</v>
      </c>
      <c r="G11723" s="0" t="s">
        <v>26</v>
      </c>
      <c r="H11723" s="0" t="n">
        <v>86</v>
      </c>
      <c r="I11723" s="0" t="s">
        <v>39096</v>
      </c>
      <c r="J11723" s="0" t="s">
        <v>39097</v>
      </c>
      <c r="K11723" s="0" t="s">
        <v>39098</v>
      </c>
      <c r="L11723" s="0" t="str">
        <f aca="false">HYPERLINK("https://www.ncbi.nlm.nih.gov/nuccore/CP000304.1?report=graph&amp;tracks=[key:gene_model_track,Options:GeneOnly]&amp;mk=3278316:3278335|offset_32|444444,3278293:3278312|offset_55|444444,3278262:3278281|offset_86|00cc00,3278224:3278243|offset_124|444444&amp;v=3278115:3278443&amp;c=444444", "offset 86")</f>
        <v>offset 86</v>
      </c>
    </row>
    <row r="11724" customFormat="false" ht="12.8" hidden="false" customHeight="false" outlineLevel="0" collapsed="false">
      <c r="A11724" s="0" t="s">
        <v>12</v>
      </c>
      <c r="B11724" s="0" t="n">
        <v>3278223</v>
      </c>
      <c r="C11724" s="0" t="n">
        <v>3278243</v>
      </c>
      <c r="D11724" s="0" t="s">
        <v>39088</v>
      </c>
      <c r="E11724" s="0" t="s">
        <v>39089</v>
      </c>
      <c r="F11724" s="0" t="s">
        <v>90</v>
      </c>
      <c r="G11724" s="0" t="s">
        <v>16</v>
      </c>
      <c r="H11724" s="0" t="n">
        <v>124</v>
      </c>
      <c r="I11724" s="0" t="s">
        <v>39099</v>
      </c>
      <c r="J11724" s="0" t="s">
        <v>39100</v>
      </c>
      <c r="K11724" s="0" t="s">
        <v>39101</v>
      </c>
      <c r="L11724" s="0" t="str">
        <f aca="false">HYPERLINK("https://www.ncbi.nlm.nih.gov/nuccore/CP000304.1?report=graph&amp;tracks=[key:gene_model_track,Options:GeneOnly]&amp;mk=3278316:3278335|offset_32|444444,3278293:3278312|offset_55|444444,3278262:3278281|offset_86|444444,3278224:3278243|offset_124|00cc00&amp;v=3278115:3278443&amp;c=444444", "offset 124")</f>
        <v>offset 124</v>
      </c>
    </row>
    <row r="11725" customFormat="false" ht="12.8" hidden="false" customHeight="false" outlineLevel="0" collapsed="false">
      <c r="A11725" s="0" t="s">
        <v>12</v>
      </c>
      <c r="B11725" s="0" t="n">
        <v>3280080</v>
      </c>
      <c r="C11725" s="0" t="n">
        <v>3280100</v>
      </c>
      <c r="D11725" s="0" t="s">
        <v>39102</v>
      </c>
      <c r="E11725" s="0" t="s">
        <v>39103</v>
      </c>
      <c r="F11725" s="0" t="s">
        <v>90</v>
      </c>
      <c r="G11725" s="0" t="s">
        <v>16</v>
      </c>
      <c r="H11725" s="0" t="n">
        <v>7</v>
      </c>
      <c r="I11725" s="0" t="s">
        <v>39104</v>
      </c>
      <c r="J11725" s="0" t="s">
        <v>39105</v>
      </c>
      <c r="K11725" s="0" t="s">
        <v>39106</v>
      </c>
      <c r="L11725" s="0" t="str">
        <f aca="false">HYPERLINK("https://www.ncbi.nlm.nih.gov/nuccore/CP000304.1?report=graph&amp;tracks=[key:gene_model_track,Options:GeneOnly]&amp;mk=3280081:3280100|offset_7|00cc00,3280027:3280046|offset_61|444444,3280005:3280024|offset_83|444444,3279962:3279981|offset_126|444444&amp;v=3279880:3280181&amp;c=444444", "offset 7")</f>
        <v>offset 7</v>
      </c>
    </row>
    <row r="11726" customFormat="false" ht="12.8" hidden="false" customHeight="false" outlineLevel="0" collapsed="false">
      <c r="A11726" s="0" t="s">
        <v>12</v>
      </c>
      <c r="B11726" s="0" t="n">
        <v>3280026</v>
      </c>
      <c r="C11726" s="0" t="n">
        <v>3280046</v>
      </c>
      <c r="D11726" s="0" t="s">
        <v>39102</v>
      </c>
      <c r="E11726" s="0" t="s">
        <v>39103</v>
      </c>
      <c r="F11726" s="0" t="s">
        <v>90</v>
      </c>
      <c r="G11726" s="0" t="s">
        <v>16</v>
      </c>
      <c r="H11726" s="0" t="n">
        <v>61</v>
      </c>
      <c r="I11726" s="0" t="s">
        <v>39107</v>
      </c>
      <c r="J11726" s="0" t="s">
        <v>39108</v>
      </c>
      <c r="K11726" s="0" t="s">
        <v>39109</v>
      </c>
      <c r="L11726" s="0" t="str">
        <f aca="false">HYPERLINK("https://www.ncbi.nlm.nih.gov/nuccore/CP000304.1?report=graph&amp;tracks=[key:gene_model_track,Options:GeneOnly]&amp;mk=3280081:3280100|offset_7|444444,3280027:3280046|offset_61|00cc00,3280005:3280024|offset_83|444444,3279962:3279981|offset_126|444444&amp;v=3279880:3280181&amp;c=444444", "offset 61")</f>
        <v>offset 61</v>
      </c>
    </row>
    <row r="11727" customFormat="false" ht="12.8" hidden="false" customHeight="false" outlineLevel="0" collapsed="false">
      <c r="A11727" s="0" t="s">
        <v>12</v>
      </c>
      <c r="B11727" s="0" t="n">
        <v>3280004</v>
      </c>
      <c r="C11727" s="0" t="n">
        <v>3280024</v>
      </c>
      <c r="D11727" s="0" t="s">
        <v>39102</v>
      </c>
      <c r="E11727" s="0" t="s">
        <v>39103</v>
      </c>
      <c r="F11727" s="0" t="s">
        <v>90</v>
      </c>
      <c r="G11727" s="0" t="s">
        <v>16</v>
      </c>
      <c r="H11727" s="0" t="n">
        <v>83</v>
      </c>
      <c r="I11727" s="0" t="s">
        <v>39110</v>
      </c>
      <c r="J11727" s="0" t="s">
        <v>39111</v>
      </c>
      <c r="K11727" s="0" t="s">
        <v>39112</v>
      </c>
      <c r="L11727" s="0" t="str">
        <f aca="false">HYPERLINK("https://www.ncbi.nlm.nih.gov/nuccore/CP000304.1?report=graph&amp;tracks=[key:gene_model_track,Options:GeneOnly]&amp;mk=3280081:3280100|offset_7|444444,3280027:3280046|offset_61|444444,3280005:3280024|offset_83|00cc00,3279962:3279981|offset_126|444444&amp;v=3279880:3280181&amp;c=444444", "offset 83")</f>
        <v>offset 83</v>
      </c>
    </row>
    <row r="11728" customFormat="false" ht="12.8" hidden="false" customHeight="false" outlineLevel="0" collapsed="false">
      <c r="A11728" s="0" t="s">
        <v>12</v>
      </c>
      <c r="B11728" s="0" t="n">
        <v>3279961</v>
      </c>
      <c r="C11728" s="0" t="n">
        <v>3279981</v>
      </c>
      <c r="D11728" s="0" t="s">
        <v>39102</v>
      </c>
      <c r="E11728" s="0" t="s">
        <v>39103</v>
      </c>
      <c r="F11728" s="0" t="s">
        <v>90</v>
      </c>
      <c r="G11728" s="0" t="s">
        <v>16</v>
      </c>
      <c r="H11728" s="0" t="n">
        <v>126</v>
      </c>
      <c r="I11728" s="0" t="s">
        <v>39113</v>
      </c>
      <c r="J11728" s="0" t="s">
        <v>39114</v>
      </c>
      <c r="K11728" s="0" t="s">
        <v>39115</v>
      </c>
      <c r="L11728" s="0" t="str">
        <f aca="false">HYPERLINK("https://www.ncbi.nlm.nih.gov/nuccore/CP000304.1?report=graph&amp;tracks=[key:gene_model_track,Options:GeneOnly]&amp;mk=3280081:3280100|offset_7|444444,3280027:3280046|offset_61|444444,3280005:3280024|offset_83|444444,3279962:3279981|offset_126|00cc00&amp;v=3279880:3280181&amp;c=444444", "offset 126")</f>
        <v>offset 126</v>
      </c>
    </row>
    <row r="11729" customFormat="false" ht="12.8" hidden="false" customHeight="false" outlineLevel="0" collapsed="false">
      <c r="A11729" s="0" t="s">
        <v>12</v>
      </c>
      <c r="B11729" s="0" t="n">
        <v>3280604</v>
      </c>
      <c r="C11729" s="0" t="n">
        <v>3280624</v>
      </c>
      <c r="D11729" s="0" t="s">
        <v>39116</v>
      </c>
      <c r="E11729" s="0" t="s">
        <v>39117</v>
      </c>
      <c r="F11729" s="0" t="s">
        <v>90</v>
      </c>
      <c r="G11729" s="0" t="s">
        <v>36</v>
      </c>
      <c r="H11729" s="0" t="n">
        <v>18</v>
      </c>
      <c r="I11729" s="0" t="s">
        <v>39118</v>
      </c>
      <c r="J11729" s="0" t="s">
        <v>39119</v>
      </c>
      <c r="K11729" s="0" t="s">
        <v>39120</v>
      </c>
      <c r="L11729" s="0" t="str">
        <f aca="false">HYPERLINK("https://www.ncbi.nlm.nih.gov/nuccore/CP000304.1?report=graph&amp;tracks=[key:gene_model_track,Options:GeneOnly]&amp;mk=3280605:3280624|offset_18|00cc00,3280580:3280599|offset_43|444444,3280543:3280562|offset_80|444444,3280500:3280519|offset_123|444444&amp;v=3280404:3280719&amp;c=444444", "offset 18")</f>
        <v>offset 18</v>
      </c>
    </row>
    <row r="11730" customFormat="false" ht="12.8" hidden="false" customHeight="false" outlineLevel="0" collapsed="false">
      <c r="A11730" s="0" t="s">
        <v>12</v>
      </c>
      <c r="B11730" s="0" t="n">
        <v>3280579</v>
      </c>
      <c r="C11730" s="0" t="n">
        <v>3280599</v>
      </c>
      <c r="D11730" s="0" t="s">
        <v>39116</v>
      </c>
      <c r="E11730" s="0" t="s">
        <v>39117</v>
      </c>
      <c r="F11730" s="0" t="s">
        <v>90</v>
      </c>
      <c r="G11730" s="0" t="s">
        <v>16</v>
      </c>
      <c r="H11730" s="0" t="n">
        <v>43</v>
      </c>
      <c r="I11730" s="0" t="s">
        <v>39121</v>
      </c>
      <c r="J11730" s="0" t="s">
        <v>39122</v>
      </c>
      <c r="K11730" s="0" t="s">
        <v>39123</v>
      </c>
      <c r="L11730" s="0" t="str">
        <f aca="false">HYPERLINK("https://www.ncbi.nlm.nih.gov/nuccore/CP000304.1?report=graph&amp;tracks=[key:gene_model_track,Options:GeneOnly]&amp;mk=3280605:3280624|offset_18|444444,3280580:3280599|offset_43|00cc00,3280543:3280562|offset_80|444444,3280500:3280519|offset_123|444444&amp;v=3280404:3280719&amp;c=444444", "offset 43")</f>
        <v>offset 43</v>
      </c>
    </row>
    <row r="11731" customFormat="false" ht="12.8" hidden="false" customHeight="false" outlineLevel="0" collapsed="false">
      <c r="A11731" s="0" t="s">
        <v>12</v>
      </c>
      <c r="B11731" s="0" t="n">
        <v>3280542</v>
      </c>
      <c r="C11731" s="0" t="n">
        <v>3280562</v>
      </c>
      <c r="D11731" s="0" t="s">
        <v>39116</v>
      </c>
      <c r="E11731" s="0" t="s">
        <v>39117</v>
      </c>
      <c r="F11731" s="0" t="s">
        <v>90</v>
      </c>
      <c r="G11731" s="0" t="s">
        <v>26</v>
      </c>
      <c r="H11731" s="0" t="n">
        <v>80</v>
      </c>
      <c r="I11731" s="0" t="s">
        <v>39124</v>
      </c>
      <c r="J11731" s="0" t="s">
        <v>39125</v>
      </c>
      <c r="K11731" s="0" t="s">
        <v>39126</v>
      </c>
      <c r="L11731" s="0" t="str">
        <f aca="false">HYPERLINK("https://www.ncbi.nlm.nih.gov/nuccore/CP000304.1?report=graph&amp;tracks=[key:gene_model_track,Options:GeneOnly]&amp;mk=3280605:3280624|offset_18|444444,3280580:3280599|offset_43|444444,3280543:3280562|offset_80|00cc00,3280500:3280519|offset_123|444444&amp;v=3280404:3280719&amp;c=444444", "offset 80")</f>
        <v>offset 80</v>
      </c>
    </row>
    <row r="11732" customFormat="false" ht="12.8" hidden="false" customHeight="false" outlineLevel="0" collapsed="false">
      <c r="A11732" s="0" t="s">
        <v>12</v>
      </c>
      <c r="B11732" s="0" t="n">
        <v>3280499</v>
      </c>
      <c r="C11732" s="0" t="n">
        <v>3280519</v>
      </c>
      <c r="D11732" s="0" t="s">
        <v>39116</v>
      </c>
      <c r="E11732" s="0" t="s">
        <v>39117</v>
      </c>
      <c r="F11732" s="0" t="s">
        <v>90</v>
      </c>
      <c r="G11732" s="0" t="s">
        <v>36</v>
      </c>
      <c r="H11732" s="0" t="n">
        <v>123</v>
      </c>
      <c r="I11732" s="0" t="s">
        <v>39127</v>
      </c>
      <c r="J11732" s="0" t="s">
        <v>39128</v>
      </c>
      <c r="K11732" s="0" t="s">
        <v>39129</v>
      </c>
      <c r="L11732" s="0" t="str">
        <f aca="false">HYPERLINK("https://www.ncbi.nlm.nih.gov/nuccore/CP000304.1?report=graph&amp;tracks=[key:gene_model_track,Options:GeneOnly]&amp;mk=3280605:3280624|offset_18|444444,3280580:3280599|offset_43|444444,3280543:3280562|offset_80|444444,3280500:3280519|offset_123|00cc00&amp;v=3280404:3280719&amp;c=444444", "offset 123")</f>
        <v>offset 123</v>
      </c>
    </row>
    <row r="11733" customFormat="false" ht="12.8" hidden="false" customHeight="false" outlineLevel="0" collapsed="false">
      <c r="A11733" s="0" t="s">
        <v>12</v>
      </c>
      <c r="B11733" s="0" t="n">
        <v>3281790</v>
      </c>
      <c r="C11733" s="0" t="n">
        <v>3281810</v>
      </c>
      <c r="D11733" s="0" t="s">
        <v>39130</v>
      </c>
      <c r="E11733" s="0" t="s">
        <v>39131</v>
      </c>
      <c r="F11733" s="0" t="s">
        <v>90</v>
      </c>
      <c r="G11733" s="0" t="s">
        <v>16</v>
      </c>
      <c r="H11733" s="0" t="n">
        <v>8</v>
      </c>
      <c r="I11733" s="0" t="s">
        <v>39132</v>
      </c>
      <c r="J11733" s="0" t="s">
        <v>39133</v>
      </c>
      <c r="K11733" s="0" t="s">
        <v>39134</v>
      </c>
      <c r="L11733" s="0" t="str">
        <f aca="false">HYPERLINK("https://www.ncbi.nlm.nih.gov/nuccore/CP000304.1?report=graph&amp;tracks=[key:gene_model_track,Options:GeneOnly]&amp;mk=3281791:3281810|offset_8|00cc00,3281759:3281778|offset_40|444444,3281726:3281745|offset_73|444444,3281700:3281719|offset_99|444444&amp;v=3281590:3281919&amp;c=444444", "offset 8")</f>
        <v>offset 8</v>
      </c>
    </row>
    <row r="11734" customFormat="false" ht="12.8" hidden="false" customHeight="false" outlineLevel="0" collapsed="false">
      <c r="A11734" s="0" t="s">
        <v>12</v>
      </c>
      <c r="B11734" s="0" t="n">
        <v>3281758</v>
      </c>
      <c r="C11734" s="0" t="n">
        <v>3281778</v>
      </c>
      <c r="D11734" s="0" t="s">
        <v>39130</v>
      </c>
      <c r="E11734" s="0" t="s">
        <v>39131</v>
      </c>
      <c r="F11734" s="0" t="s">
        <v>90</v>
      </c>
      <c r="G11734" s="0" t="s">
        <v>32</v>
      </c>
      <c r="H11734" s="0" t="n">
        <v>40</v>
      </c>
      <c r="I11734" s="0" t="s">
        <v>39135</v>
      </c>
      <c r="J11734" s="0" t="s">
        <v>39136</v>
      </c>
      <c r="K11734" s="0" t="s">
        <v>39137</v>
      </c>
      <c r="L11734" s="0" t="str">
        <f aca="false">HYPERLINK("https://www.ncbi.nlm.nih.gov/nuccore/CP000304.1?report=graph&amp;tracks=[key:gene_model_track,Options:GeneOnly]&amp;mk=3281791:3281810|offset_8|444444,3281759:3281778|offset_40|00cc00,3281726:3281745|offset_73|444444,3281700:3281719|offset_99|444444&amp;v=3281590:3281919&amp;c=444444", "offset 40")</f>
        <v>offset 40</v>
      </c>
    </row>
    <row r="11735" customFormat="false" ht="12.8" hidden="false" customHeight="false" outlineLevel="0" collapsed="false">
      <c r="A11735" s="0" t="s">
        <v>12</v>
      </c>
      <c r="B11735" s="0" t="n">
        <v>3281725</v>
      </c>
      <c r="C11735" s="0" t="n">
        <v>3281745</v>
      </c>
      <c r="D11735" s="0" t="s">
        <v>39130</v>
      </c>
      <c r="E11735" s="0" t="s">
        <v>39131</v>
      </c>
      <c r="F11735" s="0" t="s">
        <v>90</v>
      </c>
      <c r="G11735" s="0" t="s">
        <v>26</v>
      </c>
      <c r="H11735" s="0" t="n">
        <v>73</v>
      </c>
      <c r="I11735" s="0" t="s">
        <v>39138</v>
      </c>
      <c r="J11735" s="0" t="s">
        <v>39139</v>
      </c>
      <c r="K11735" s="0" t="s">
        <v>39140</v>
      </c>
      <c r="L11735" s="0" t="str">
        <f aca="false">HYPERLINK("https://www.ncbi.nlm.nih.gov/nuccore/CP000304.1?report=graph&amp;tracks=[key:gene_model_track,Options:GeneOnly]&amp;mk=3281791:3281810|offset_8|444444,3281759:3281778|offset_40|444444,3281726:3281745|offset_73|00cc00,3281700:3281719|offset_99|444444&amp;v=3281590:3281919&amp;c=444444", "offset 73")</f>
        <v>offset 73</v>
      </c>
    </row>
    <row r="11736" customFormat="false" ht="12.8" hidden="false" customHeight="false" outlineLevel="0" collapsed="false">
      <c r="A11736" s="0" t="s">
        <v>12</v>
      </c>
      <c r="B11736" s="0" t="n">
        <v>3281699</v>
      </c>
      <c r="C11736" s="0" t="n">
        <v>3281719</v>
      </c>
      <c r="D11736" s="0" t="s">
        <v>39130</v>
      </c>
      <c r="E11736" s="0" t="s">
        <v>39131</v>
      </c>
      <c r="F11736" s="0" t="s">
        <v>90</v>
      </c>
      <c r="G11736" s="0" t="s">
        <v>16</v>
      </c>
      <c r="H11736" s="0" t="n">
        <v>99</v>
      </c>
      <c r="I11736" s="0" t="s">
        <v>39141</v>
      </c>
      <c r="J11736" s="0" t="s">
        <v>39142</v>
      </c>
      <c r="K11736" s="0" t="s">
        <v>39143</v>
      </c>
      <c r="L11736" s="0" t="str">
        <f aca="false">HYPERLINK("https://www.ncbi.nlm.nih.gov/nuccore/CP000304.1?report=graph&amp;tracks=[key:gene_model_track,Options:GeneOnly]&amp;mk=3281791:3281810|offset_8|444444,3281759:3281778|offset_40|444444,3281726:3281745|offset_73|444444,3281700:3281719|offset_99|00cc00&amp;v=3281590:3281919&amp;c=444444", "offset 99")</f>
        <v>offset 99</v>
      </c>
    </row>
    <row r="11737" customFormat="false" ht="12.8" hidden="false" customHeight="false" outlineLevel="0" collapsed="false">
      <c r="A11737" s="0" t="s">
        <v>12</v>
      </c>
      <c r="B11737" s="0" t="n">
        <v>3282738</v>
      </c>
      <c r="C11737" s="0" t="n">
        <v>3282758</v>
      </c>
      <c r="D11737" s="0" t="s">
        <v>39144</v>
      </c>
      <c r="E11737" s="0" t="s">
        <v>39145</v>
      </c>
      <c r="F11737" s="0" t="s">
        <v>90</v>
      </c>
      <c r="G11737" s="0" t="s">
        <v>16</v>
      </c>
      <c r="H11737" s="0" t="n">
        <v>22</v>
      </c>
      <c r="I11737" s="0" t="s">
        <v>39146</v>
      </c>
      <c r="J11737" s="0" t="s">
        <v>39147</v>
      </c>
      <c r="K11737" s="0" t="s">
        <v>39148</v>
      </c>
      <c r="L11737" s="0" t="str">
        <f aca="false">HYPERLINK("https://www.ncbi.nlm.nih.gov/nuccore/CP000304.1?report=graph&amp;tracks=[key:gene_model_track,Options:GeneOnly]&amp;mk=3282739:3282758|offset_22|00cc00,3282712:3282731|offset_49|444444,3282689:3282708|offset_72|444444,3282650:3282669|offset_111|444444&amp;v=3282538:3282869&amp;c=444444", "offset 22")</f>
        <v>offset 22</v>
      </c>
    </row>
    <row r="11738" customFormat="false" ht="12.8" hidden="false" customHeight="false" outlineLevel="0" collapsed="false">
      <c r="A11738" s="0" t="s">
        <v>12</v>
      </c>
      <c r="B11738" s="0" t="n">
        <v>3282711</v>
      </c>
      <c r="C11738" s="0" t="n">
        <v>3282731</v>
      </c>
      <c r="D11738" s="0" t="s">
        <v>39144</v>
      </c>
      <c r="E11738" s="0" t="s">
        <v>39145</v>
      </c>
      <c r="F11738" s="0" t="s">
        <v>90</v>
      </c>
      <c r="G11738" s="0" t="s">
        <v>16</v>
      </c>
      <c r="H11738" s="0" t="n">
        <v>49</v>
      </c>
      <c r="I11738" s="0" t="s">
        <v>39149</v>
      </c>
      <c r="J11738" s="0" t="s">
        <v>39150</v>
      </c>
      <c r="K11738" s="0" t="s">
        <v>39151</v>
      </c>
      <c r="L11738" s="0" t="str">
        <f aca="false">HYPERLINK("https://www.ncbi.nlm.nih.gov/nuccore/CP000304.1?report=graph&amp;tracks=[key:gene_model_track,Options:GeneOnly]&amp;mk=3282739:3282758|offset_22|444444,3282712:3282731|offset_49|00cc00,3282689:3282708|offset_72|444444,3282650:3282669|offset_111|444444&amp;v=3282538:3282869&amp;c=444444", "offset 49")</f>
        <v>offset 49</v>
      </c>
    </row>
    <row r="11739" customFormat="false" ht="12.8" hidden="false" customHeight="false" outlineLevel="0" collapsed="false">
      <c r="A11739" s="0" t="s">
        <v>12</v>
      </c>
      <c r="B11739" s="0" t="n">
        <v>3282688</v>
      </c>
      <c r="C11739" s="0" t="n">
        <v>3282708</v>
      </c>
      <c r="D11739" s="0" t="s">
        <v>39144</v>
      </c>
      <c r="E11739" s="0" t="s">
        <v>39145</v>
      </c>
      <c r="F11739" s="0" t="s">
        <v>90</v>
      </c>
      <c r="G11739" s="0" t="s">
        <v>36</v>
      </c>
      <c r="H11739" s="0" t="n">
        <v>72</v>
      </c>
      <c r="I11739" s="0" t="s">
        <v>39152</v>
      </c>
      <c r="J11739" s="0" t="s">
        <v>39153</v>
      </c>
      <c r="K11739" s="0" t="s">
        <v>39154</v>
      </c>
      <c r="L11739" s="0" t="str">
        <f aca="false">HYPERLINK("https://www.ncbi.nlm.nih.gov/nuccore/CP000304.1?report=graph&amp;tracks=[key:gene_model_track,Options:GeneOnly]&amp;mk=3282739:3282758|offset_22|444444,3282712:3282731|offset_49|444444,3282689:3282708|offset_72|00cc00,3282650:3282669|offset_111|444444&amp;v=3282538:3282869&amp;c=444444", "offset 72")</f>
        <v>offset 72</v>
      </c>
    </row>
    <row r="11740" customFormat="false" ht="12.8" hidden="false" customHeight="false" outlineLevel="0" collapsed="false">
      <c r="A11740" s="0" t="s">
        <v>12</v>
      </c>
      <c r="B11740" s="0" t="n">
        <v>3282649</v>
      </c>
      <c r="C11740" s="0" t="n">
        <v>3282669</v>
      </c>
      <c r="D11740" s="0" t="s">
        <v>39144</v>
      </c>
      <c r="E11740" s="0" t="s">
        <v>39145</v>
      </c>
      <c r="F11740" s="0" t="s">
        <v>90</v>
      </c>
      <c r="G11740" s="0" t="s">
        <v>16</v>
      </c>
      <c r="H11740" s="0" t="n">
        <v>111</v>
      </c>
      <c r="I11740" s="0" t="s">
        <v>39155</v>
      </c>
      <c r="J11740" s="0" t="s">
        <v>39156</v>
      </c>
      <c r="K11740" s="0" t="s">
        <v>39157</v>
      </c>
      <c r="L11740" s="0" t="str">
        <f aca="false">HYPERLINK("https://www.ncbi.nlm.nih.gov/nuccore/CP000304.1?report=graph&amp;tracks=[key:gene_model_track,Options:GeneOnly]&amp;mk=3282739:3282758|offset_22|444444,3282712:3282731|offset_49|444444,3282689:3282708|offset_72|444444,3282650:3282669|offset_111|00cc00&amp;v=3282538:3282869&amp;c=444444", "offset 111")</f>
        <v>offset 111</v>
      </c>
    </row>
    <row r="11741" customFormat="false" ht="12.8" hidden="false" customHeight="false" outlineLevel="0" collapsed="false">
      <c r="A11741" s="0" t="s">
        <v>12</v>
      </c>
      <c r="B11741" s="0" t="n">
        <v>3283485</v>
      </c>
      <c r="C11741" s="0" t="n">
        <v>3283505</v>
      </c>
      <c r="D11741" s="0" t="s">
        <v>39158</v>
      </c>
      <c r="E11741" s="0" t="s">
        <v>89</v>
      </c>
      <c r="F11741" s="0" t="s">
        <v>15</v>
      </c>
      <c r="G11741" s="0" t="s">
        <v>16</v>
      </c>
      <c r="H11741" s="0" t="n">
        <v>25</v>
      </c>
      <c r="I11741" s="0" t="s">
        <v>39159</v>
      </c>
      <c r="J11741" s="0" t="s">
        <v>39160</v>
      </c>
      <c r="K11741" s="0" t="s">
        <v>39161</v>
      </c>
      <c r="L11741" s="0" t="str">
        <f aca="false">HYPERLINK("https://www.ncbi.nlm.nih.gov/nuccore/CP000304.1?report=graph&amp;tracks=[key:gene_model_track,Options:GeneOnly]&amp;mk=3283486:3283505|offset_25|00cc00,3283530:3283549|offset_69|444444,3283562:3283581|offset_101|444444,3283604:3283623|offset_143|444444&amp;v=3283285:3283823&amp;c=444444", "offset 25")</f>
        <v>offset 25</v>
      </c>
    </row>
    <row r="11742" customFormat="false" ht="12.8" hidden="false" customHeight="false" outlineLevel="0" collapsed="false">
      <c r="A11742" s="0" t="s">
        <v>12</v>
      </c>
      <c r="B11742" s="0" t="n">
        <v>3283529</v>
      </c>
      <c r="C11742" s="0" t="n">
        <v>3283549</v>
      </c>
      <c r="D11742" s="0" t="s">
        <v>39158</v>
      </c>
      <c r="E11742" s="0" t="s">
        <v>89</v>
      </c>
      <c r="F11742" s="0" t="s">
        <v>15</v>
      </c>
      <c r="G11742" s="0" t="s">
        <v>36</v>
      </c>
      <c r="H11742" s="0" t="n">
        <v>69</v>
      </c>
      <c r="I11742" s="0" t="s">
        <v>39162</v>
      </c>
      <c r="J11742" s="0" t="s">
        <v>39163</v>
      </c>
      <c r="K11742" s="0" t="s">
        <v>39164</v>
      </c>
      <c r="L11742" s="0" t="str">
        <f aca="false">HYPERLINK("https://www.ncbi.nlm.nih.gov/nuccore/CP000304.1?report=graph&amp;tracks=[key:gene_model_track,Options:GeneOnly]&amp;mk=3283486:3283505|offset_25|444444,3283530:3283549|offset_69|00cc00,3283562:3283581|offset_101|444444,3283604:3283623|offset_143|444444&amp;v=3283285:3283823&amp;c=444444", "offset 69")</f>
        <v>offset 69</v>
      </c>
    </row>
    <row r="11743" customFormat="false" ht="12.8" hidden="false" customHeight="false" outlineLevel="0" collapsed="false">
      <c r="A11743" s="0" t="s">
        <v>12</v>
      </c>
      <c r="B11743" s="0" t="n">
        <v>3283561</v>
      </c>
      <c r="C11743" s="0" t="n">
        <v>3283581</v>
      </c>
      <c r="D11743" s="0" t="s">
        <v>39158</v>
      </c>
      <c r="E11743" s="0" t="s">
        <v>89</v>
      </c>
      <c r="F11743" s="0" t="s">
        <v>15</v>
      </c>
      <c r="G11743" s="0" t="s">
        <v>16</v>
      </c>
      <c r="H11743" s="0" t="n">
        <v>101</v>
      </c>
      <c r="I11743" s="0" t="s">
        <v>39165</v>
      </c>
      <c r="J11743" s="0" t="s">
        <v>39166</v>
      </c>
      <c r="K11743" s="0" t="s">
        <v>39167</v>
      </c>
      <c r="L11743" s="0" t="str">
        <f aca="false">HYPERLINK("https://www.ncbi.nlm.nih.gov/nuccore/CP000304.1?report=graph&amp;tracks=[key:gene_model_track,Options:GeneOnly]&amp;mk=3283486:3283505|offset_25|444444,3283530:3283549|offset_69|444444,3283562:3283581|offset_101|00cc00,3283604:3283623|offset_143|444444&amp;v=3283285:3283823&amp;c=444444", "offset 101")</f>
        <v>offset 101</v>
      </c>
    </row>
    <row r="11744" customFormat="false" ht="12.8" hidden="false" customHeight="false" outlineLevel="0" collapsed="false">
      <c r="A11744" s="0" t="s">
        <v>12</v>
      </c>
      <c r="B11744" s="0" t="n">
        <v>3283603</v>
      </c>
      <c r="C11744" s="0" t="n">
        <v>3283623</v>
      </c>
      <c r="D11744" s="0" t="s">
        <v>39158</v>
      </c>
      <c r="E11744" s="0" t="s">
        <v>89</v>
      </c>
      <c r="F11744" s="0" t="s">
        <v>15</v>
      </c>
      <c r="G11744" s="0" t="s">
        <v>32</v>
      </c>
      <c r="H11744" s="0" t="n">
        <v>143</v>
      </c>
      <c r="I11744" s="0" t="s">
        <v>39168</v>
      </c>
      <c r="J11744" s="0" t="s">
        <v>39169</v>
      </c>
      <c r="K11744" s="0" t="s">
        <v>39170</v>
      </c>
      <c r="L11744" s="0" t="str">
        <f aca="false">HYPERLINK("https://www.ncbi.nlm.nih.gov/nuccore/CP000304.1?report=graph&amp;tracks=[key:gene_model_track,Options:GeneOnly]&amp;mk=3283486:3283505|offset_25|444444,3283530:3283549|offset_69|444444,3283562:3283581|offset_101|444444,3283604:3283623|offset_143|00cc00&amp;v=3283285:3283823&amp;c=444444", "offset 143")</f>
        <v>offset 143</v>
      </c>
    </row>
    <row r="11745" customFormat="false" ht="12.8" hidden="false" customHeight="false" outlineLevel="0" collapsed="false">
      <c r="A11745" s="0" t="s">
        <v>12</v>
      </c>
      <c r="B11745" s="0" t="n">
        <v>3283778</v>
      </c>
      <c r="C11745" s="0" t="n">
        <v>3283798</v>
      </c>
      <c r="D11745" s="0" t="s">
        <v>39171</v>
      </c>
      <c r="E11745" s="0" t="s">
        <v>89</v>
      </c>
      <c r="F11745" s="0" t="s">
        <v>15</v>
      </c>
      <c r="G11745" s="0" t="s">
        <v>16</v>
      </c>
      <c r="H11745" s="0" t="n">
        <v>8</v>
      </c>
      <c r="I11745" s="0" t="s">
        <v>39172</v>
      </c>
      <c r="J11745" s="0" t="s">
        <v>39173</v>
      </c>
      <c r="K11745" s="0" t="s">
        <v>39174</v>
      </c>
      <c r="L11745" s="0" t="str">
        <f aca="false">HYPERLINK("https://www.ncbi.nlm.nih.gov/nuccore/CP000304.1?report=graph&amp;tracks=[key:gene_model_track,Options:GeneOnly]&amp;mk=3283779:3283798|offset_8|00cc00,3283803:3283822|offset_32|444444,3283857:3283876|offset_86|444444,3283889:3283908|offset_118|444444&amp;v=3283578:3284108&amp;c=444444", "offset 8")</f>
        <v>offset 8</v>
      </c>
    </row>
    <row r="11746" customFormat="false" ht="12.8" hidden="false" customHeight="false" outlineLevel="0" collapsed="false">
      <c r="A11746" s="0" t="s">
        <v>12</v>
      </c>
      <c r="B11746" s="0" t="n">
        <v>3283802</v>
      </c>
      <c r="C11746" s="0" t="n">
        <v>3283822</v>
      </c>
      <c r="D11746" s="0" t="s">
        <v>39171</v>
      </c>
      <c r="E11746" s="0" t="s">
        <v>89</v>
      </c>
      <c r="F11746" s="0" t="s">
        <v>15</v>
      </c>
      <c r="G11746" s="0" t="s">
        <v>32</v>
      </c>
      <c r="H11746" s="0" t="n">
        <v>32</v>
      </c>
      <c r="I11746" s="0" t="s">
        <v>39175</v>
      </c>
      <c r="J11746" s="0" t="s">
        <v>39176</v>
      </c>
      <c r="K11746" s="0" t="s">
        <v>39177</v>
      </c>
      <c r="L11746" s="0" t="str">
        <f aca="false">HYPERLINK("https://www.ncbi.nlm.nih.gov/nuccore/CP000304.1?report=graph&amp;tracks=[key:gene_model_track,Options:GeneOnly]&amp;mk=3283779:3283798|offset_8|444444,3283803:3283822|offset_32|00cc00,3283857:3283876|offset_86|444444,3283889:3283908|offset_118|444444&amp;v=3283578:3284108&amp;c=444444", "offset 32")</f>
        <v>offset 32</v>
      </c>
    </row>
    <row r="11747" customFormat="false" ht="12.8" hidden="false" customHeight="false" outlineLevel="0" collapsed="false">
      <c r="A11747" s="0" t="s">
        <v>12</v>
      </c>
      <c r="B11747" s="0" t="n">
        <v>3283856</v>
      </c>
      <c r="C11747" s="0" t="n">
        <v>3283876</v>
      </c>
      <c r="D11747" s="0" t="s">
        <v>39171</v>
      </c>
      <c r="E11747" s="0" t="s">
        <v>89</v>
      </c>
      <c r="F11747" s="0" t="s">
        <v>15</v>
      </c>
      <c r="G11747" s="0" t="s">
        <v>26</v>
      </c>
      <c r="H11747" s="0" t="n">
        <v>86</v>
      </c>
      <c r="I11747" s="0" t="s">
        <v>39178</v>
      </c>
      <c r="J11747" s="0" t="s">
        <v>39179</v>
      </c>
      <c r="K11747" s="0" t="s">
        <v>39180</v>
      </c>
      <c r="L11747" s="0" t="str">
        <f aca="false">HYPERLINK("https://www.ncbi.nlm.nih.gov/nuccore/CP000304.1?report=graph&amp;tracks=[key:gene_model_track,Options:GeneOnly]&amp;mk=3283779:3283798|offset_8|444444,3283803:3283822|offset_32|444444,3283857:3283876|offset_86|00cc00,3283889:3283908|offset_118|444444&amp;v=3283578:3284108&amp;c=444444", "offset 86")</f>
        <v>offset 86</v>
      </c>
    </row>
    <row r="11748" customFormat="false" ht="12.8" hidden="false" customHeight="false" outlineLevel="0" collapsed="false">
      <c r="A11748" s="0" t="s">
        <v>12</v>
      </c>
      <c r="B11748" s="0" t="n">
        <v>3283888</v>
      </c>
      <c r="C11748" s="0" t="n">
        <v>3283908</v>
      </c>
      <c r="D11748" s="0" t="s">
        <v>39171</v>
      </c>
      <c r="E11748" s="0" t="s">
        <v>89</v>
      </c>
      <c r="F11748" s="0" t="s">
        <v>15</v>
      </c>
      <c r="G11748" s="0" t="s">
        <v>36</v>
      </c>
      <c r="H11748" s="0" t="n">
        <v>118</v>
      </c>
      <c r="I11748" s="0" t="s">
        <v>39181</v>
      </c>
      <c r="J11748" s="0" t="s">
        <v>39182</v>
      </c>
      <c r="K11748" s="0" t="s">
        <v>39183</v>
      </c>
      <c r="L11748" s="0" t="str">
        <f aca="false">HYPERLINK("https://www.ncbi.nlm.nih.gov/nuccore/CP000304.1?report=graph&amp;tracks=[key:gene_model_track,Options:GeneOnly]&amp;mk=3283779:3283798|offset_8|444444,3283803:3283822|offset_32|444444,3283857:3283876|offset_86|444444,3283889:3283908|offset_118|00cc00&amp;v=3283578:3284108&amp;c=444444", "offset 118")</f>
        <v>offset 118</v>
      </c>
    </row>
    <row r="11749" customFormat="false" ht="12.8" hidden="false" customHeight="false" outlineLevel="0" collapsed="false">
      <c r="A11749" s="0" t="s">
        <v>12</v>
      </c>
      <c r="B11749" s="0" t="n">
        <v>3285356</v>
      </c>
      <c r="C11749" s="0" t="n">
        <v>3285376</v>
      </c>
      <c r="D11749" s="0" t="s">
        <v>39184</v>
      </c>
      <c r="E11749" s="0" t="s">
        <v>89</v>
      </c>
      <c r="F11749" s="0" t="s">
        <v>90</v>
      </c>
      <c r="G11749" s="0" t="s">
        <v>32</v>
      </c>
      <c r="H11749" s="0" t="n">
        <v>32</v>
      </c>
      <c r="I11749" s="0" t="s">
        <v>39185</v>
      </c>
      <c r="J11749" s="0" t="s">
        <v>39186</v>
      </c>
      <c r="K11749" s="0" t="s">
        <v>39187</v>
      </c>
      <c r="L11749" s="0" t="str">
        <f aca="false">HYPERLINK("https://www.ncbi.nlm.nih.gov/nuccore/CP000304.1?report=graph&amp;tracks=[key:gene_model_track,Options:GeneOnly]&amp;mk=3285357:3285376|offset_32|00cc00,3285270:3285289|offset_119|444444,3285231:3285250|offset_158|444444,3285171:3285190|offset_218|444444&amp;v=3285156:3285390&amp;c=444444", "offset 32")</f>
        <v>offset 32</v>
      </c>
    </row>
    <row r="11750" customFormat="false" ht="12.8" hidden="false" customHeight="false" outlineLevel="0" collapsed="false">
      <c r="A11750" s="0" t="s">
        <v>12</v>
      </c>
      <c r="B11750" s="0" t="n">
        <v>3285269</v>
      </c>
      <c r="C11750" s="0" t="n">
        <v>3285289</v>
      </c>
      <c r="D11750" s="0" t="s">
        <v>39184</v>
      </c>
      <c r="E11750" s="0" t="s">
        <v>89</v>
      </c>
      <c r="F11750" s="0" t="s">
        <v>90</v>
      </c>
      <c r="G11750" s="0" t="s">
        <v>32</v>
      </c>
      <c r="H11750" s="0" t="n">
        <v>119</v>
      </c>
      <c r="I11750" s="0" t="s">
        <v>39188</v>
      </c>
      <c r="J11750" s="0" t="s">
        <v>39189</v>
      </c>
      <c r="K11750" s="0" t="s">
        <v>39190</v>
      </c>
      <c r="L11750" s="0" t="str">
        <f aca="false">HYPERLINK("https://www.ncbi.nlm.nih.gov/nuccore/CP000304.1?report=graph&amp;tracks=[key:gene_model_track,Options:GeneOnly]&amp;mk=3285357:3285376|offset_32|444444,3285270:3285289|offset_119|00cc00,3285231:3285250|offset_158|444444,3285171:3285190|offset_218|444444&amp;v=3285156:3285390&amp;c=444444", "offset 119")</f>
        <v>offset 119</v>
      </c>
    </row>
    <row r="11751" customFormat="false" ht="12.8" hidden="false" customHeight="false" outlineLevel="0" collapsed="false">
      <c r="A11751" s="0" t="s">
        <v>12</v>
      </c>
      <c r="B11751" s="0" t="n">
        <v>3285230</v>
      </c>
      <c r="C11751" s="0" t="n">
        <v>3285250</v>
      </c>
      <c r="D11751" s="0" t="s">
        <v>39184</v>
      </c>
      <c r="E11751" s="0" t="s">
        <v>89</v>
      </c>
      <c r="F11751" s="0" t="s">
        <v>90</v>
      </c>
      <c r="G11751" s="0" t="s">
        <v>26</v>
      </c>
      <c r="H11751" s="0" t="n">
        <v>158</v>
      </c>
      <c r="I11751" s="0" t="s">
        <v>39191</v>
      </c>
      <c r="J11751" s="0" t="s">
        <v>39192</v>
      </c>
      <c r="K11751" s="0" t="s">
        <v>39193</v>
      </c>
      <c r="L11751" s="0" t="str">
        <f aca="false">HYPERLINK("https://www.ncbi.nlm.nih.gov/nuccore/CP000304.1?report=graph&amp;tracks=[key:gene_model_track,Options:GeneOnly]&amp;mk=3285357:3285376|offset_32|444444,3285270:3285289|offset_119|444444,3285231:3285250|offset_158|00cc00,3285171:3285190|offset_218|444444&amp;v=3285156:3285390&amp;c=444444", "offset 158")</f>
        <v>offset 158</v>
      </c>
    </row>
    <row r="11752" customFormat="false" ht="12.8" hidden="false" customHeight="false" outlineLevel="0" collapsed="false">
      <c r="A11752" s="0" t="s">
        <v>12</v>
      </c>
      <c r="B11752" s="0" t="n">
        <v>3285170</v>
      </c>
      <c r="C11752" s="0" t="n">
        <v>3285190</v>
      </c>
      <c r="D11752" s="0" t="s">
        <v>39184</v>
      </c>
      <c r="E11752" s="0" t="s">
        <v>89</v>
      </c>
      <c r="F11752" s="0" t="s">
        <v>90</v>
      </c>
      <c r="G11752" s="0" t="s">
        <v>26</v>
      </c>
      <c r="H11752" s="0" t="n">
        <v>218</v>
      </c>
      <c r="I11752" s="0" t="s">
        <v>39194</v>
      </c>
      <c r="J11752" s="0" t="s">
        <v>39195</v>
      </c>
      <c r="K11752" s="0" t="s">
        <v>39196</v>
      </c>
      <c r="L11752" s="0" t="str">
        <f aca="false">HYPERLINK("https://www.ncbi.nlm.nih.gov/nuccore/CP000304.1?report=graph&amp;tracks=[key:gene_model_track,Options:GeneOnly]&amp;mk=3285357:3285376|offset_32|444444,3285270:3285289|offset_119|444444,3285231:3285250|offset_158|444444,3285171:3285190|offset_218|00cc00&amp;v=3285156:3285390&amp;c=444444", "offset 218")</f>
        <v>offset 218</v>
      </c>
    </row>
    <row r="11753" customFormat="false" ht="12.8" hidden="false" customHeight="false" outlineLevel="0" collapsed="false">
      <c r="A11753" s="0" t="s">
        <v>12</v>
      </c>
      <c r="B11753" s="0" t="n">
        <v>3286482</v>
      </c>
      <c r="C11753" s="0" t="n">
        <v>3286502</v>
      </c>
      <c r="D11753" s="0" t="s">
        <v>39197</v>
      </c>
      <c r="E11753" s="0" t="s">
        <v>89</v>
      </c>
      <c r="F11753" s="0" t="s">
        <v>90</v>
      </c>
      <c r="G11753" s="0" t="s">
        <v>26</v>
      </c>
      <c r="H11753" s="0" t="n">
        <v>20</v>
      </c>
      <c r="I11753" s="0" t="s">
        <v>39198</v>
      </c>
      <c r="J11753" s="0" t="s">
        <v>39199</v>
      </c>
      <c r="K11753" s="0" t="s">
        <v>39200</v>
      </c>
      <c r="L11753" s="0" t="str">
        <f aca="false">HYPERLINK("https://www.ncbi.nlm.nih.gov/nuccore/CP000304.1?report=graph&amp;tracks=[key:gene_model_track,Options:GeneOnly]&amp;mk=3286483:3286502|offset_20|00cc00,3286460:3286479|offset_43|444444,3286414:3286433|offset_89|444444,3286368:3286387|offset_135|444444&amp;v=3286282:3286587&amp;c=444444", "offset 20")</f>
        <v>offset 20</v>
      </c>
    </row>
    <row r="11754" customFormat="false" ht="12.8" hidden="false" customHeight="false" outlineLevel="0" collapsed="false">
      <c r="A11754" s="0" t="s">
        <v>12</v>
      </c>
      <c r="B11754" s="0" t="n">
        <v>3286459</v>
      </c>
      <c r="C11754" s="0" t="n">
        <v>3286479</v>
      </c>
      <c r="D11754" s="0" t="s">
        <v>39197</v>
      </c>
      <c r="E11754" s="0" t="s">
        <v>89</v>
      </c>
      <c r="F11754" s="0" t="s">
        <v>90</v>
      </c>
      <c r="G11754" s="0" t="s">
        <v>32</v>
      </c>
      <c r="H11754" s="0" t="n">
        <v>43</v>
      </c>
      <c r="I11754" s="0" t="s">
        <v>39201</v>
      </c>
      <c r="J11754" s="0" t="s">
        <v>39202</v>
      </c>
      <c r="K11754" s="0" t="s">
        <v>39203</v>
      </c>
      <c r="L11754" s="0" t="str">
        <f aca="false">HYPERLINK("https://www.ncbi.nlm.nih.gov/nuccore/CP000304.1?report=graph&amp;tracks=[key:gene_model_track,Options:GeneOnly]&amp;mk=3286483:3286502|offset_20|444444,3286460:3286479|offset_43|00cc00,3286414:3286433|offset_89|444444,3286368:3286387|offset_135|444444&amp;v=3286282:3286587&amp;c=444444", "offset 43")</f>
        <v>offset 43</v>
      </c>
    </row>
    <row r="11755" customFormat="false" ht="12.8" hidden="false" customHeight="false" outlineLevel="0" collapsed="false">
      <c r="A11755" s="0" t="s">
        <v>12</v>
      </c>
      <c r="B11755" s="0" t="n">
        <v>3286413</v>
      </c>
      <c r="C11755" s="0" t="n">
        <v>3286433</v>
      </c>
      <c r="D11755" s="0" t="s">
        <v>39197</v>
      </c>
      <c r="E11755" s="0" t="s">
        <v>89</v>
      </c>
      <c r="F11755" s="0" t="s">
        <v>90</v>
      </c>
      <c r="G11755" s="0" t="s">
        <v>16</v>
      </c>
      <c r="H11755" s="0" t="n">
        <v>89</v>
      </c>
      <c r="I11755" s="0" t="s">
        <v>39204</v>
      </c>
      <c r="J11755" s="0" t="s">
        <v>39205</v>
      </c>
      <c r="K11755" s="0" t="s">
        <v>39206</v>
      </c>
      <c r="L11755" s="0" t="str">
        <f aca="false">HYPERLINK("https://www.ncbi.nlm.nih.gov/nuccore/CP000304.1?report=graph&amp;tracks=[key:gene_model_track,Options:GeneOnly]&amp;mk=3286483:3286502|offset_20|444444,3286460:3286479|offset_43|444444,3286414:3286433|offset_89|00cc00,3286368:3286387|offset_135|444444&amp;v=3286282:3286587&amp;c=444444", "offset 89")</f>
        <v>offset 89</v>
      </c>
    </row>
    <row r="11756" customFormat="false" ht="12.8" hidden="false" customHeight="false" outlineLevel="0" collapsed="false">
      <c r="A11756" s="0" t="s">
        <v>12</v>
      </c>
      <c r="B11756" s="0" t="n">
        <v>3286367</v>
      </c>
      <c r="C11756" s="0" t="n">
        <v>3286387</v>
      </c>
      <c r="D11756" s="0" t="s">
        <v>39197</v>
      </c>
      <c r="E11756" s="0" t="s">
        <v>89</v>
      </c>
      <c r="F11756" s="0" t="s">
        <v>90</v>
      </c>
      <c r="G11756" s="0" t="s">
        <v>36</v>
      </c>
      <c r="H11756" s="0" t="n">
        <v>135</v>
      </c>
      <c r="I11756" s="0" t="s">
        <v>39207</v>
      </c>
      <c r="J11756" s="0" t="s">
        <v>39208</v>
      </c>
      <c r="K11756" s="0" t="s">
        <v>39209</v>
      </c>
      <c r="L11756" s="0" t="str">
        <f aca="false">HYPERLINK("https://www.ncbi.nlm.nih.gov/nuccore/CP000304.1?report=graph&amp;tracks=[key:gene_model_track,Options:GeneOnly]&amp;mk=3286483:3286502|offset_20|444444,3286460:3286479|offset_43|444444,3286414:3286433|offset_89|444444,3286368:3286387|offset_135|00cc00&amp;v=3286282:3286587&amp;c=444444", "offset 135")</f>
        <v>offset 135</v>
      </c>
    </row>
    <row r="11757" customFormat="false" ht="12.8" hidden="false" customHeight="false" outlineLevel="0" collapsed="false">
      <c r="A11757" s="0" t="s">
        <v>12</v>
      </c>
      <c r="B11757" s="0" t="n">
        <v>3286801</v>
      </c>
      <c r="C11757" s="0" t="n">
        <v>3286821</v>
      </c>
      <c r="D11757" s="0" t="s">
        <v>39210</v>
      </c>
      <c r="E11757" s="0" t="s">
        <v>39211</v>
      </c>
      <c r="F11757" s="0" t="s">
        <v>15</v>
      </c>
      <c r="G11757" s="0" t="s">
        <v>32</v>
      </c>
      <c r="H11757" s="0" t="n">
        <v>25</v>
      </c>
      <c r="I11757" s="0" t="s">
        <v>39212</v>
      </c>
      <c r="J11757" s="0" t="s">
        <v>39213</v>
      </c>
      <c r="K11757" s="0" t="s">
        <v>39214</v>
      </c>
      <c r="L11757" s="0" t="str">
        <f aca="false">HYPERLINK("https://www.ncbi.nlm.nih.gov/nuccore/CP000304.1?report=graph&amp;tracks=[key:gene_model_track,Options:GeneOnly]&amp;mk=3286802:3286821|offset_25|00cc00,3286823:3286842|offset_46|444444,3286857:3286876|offset_80|444444,3286892:3286911|offset_115|444444&amp;v=3286601:3287111&amp;c=444444", "offset 25")</f>
        <v>offset 25</v>
      </c>
    </row>
    <row r="11758" customFormat="false" ht="12.8" hidden="false" customHeight="false" outlineLevel="0" collapsed="false">
      <c r="A11758" s="0" t="s">
        <v>12</v>
      </c>
      <c r="B11758" s="0" t="n">
        <v>3286822</v>
      </c>
      <c r="C11758" s="0" t="n">
        <v>3286842</v>
      </c>
      <c r="D11758" s="0" t="s">
        <v>39210</v>
      </c>
      <c r="E11758" s="0" t="s">
        <v>39211</v>
      </c>
      <c r="F11758" s="0" t="s">
        <v>15</v>
      </c>
      <c r="G11758" s="0" t="s">
        <v>16</v>
      </c>
      <c r="H11758" s="0" t="n">
        <v>46</v>
      </c>
      <c r="I11758" s="0" t="s">
        <v>39215</v>
      </c>
      <c r="J11758" s="0" t="s">
        <v>39216</v>
      </c>
      <c r="K11758" s="0" t="s">
        <v>39217</v>
      </c>
      <c r="L11758" s="0" t="str">
        <f aca="false">HYPERLINK("https://www.ncbi.nlm.nih.gov/nuccore/CP000304.1?report=graph&amp;tracks=[key:gene_model_track,Options:GeneOnly]&amp;mk=3286802:3286821|offset_25|444444,3286823:3286842|offset_46|00cc00,3286857:3286876|offset_80|444444,3286892:3286911|offset_115|444444&amp;v=3286601:3287111&amp;c=444444", "offset 46")</f>
        <v>offset 46</v>
      </c>
    </row>
    <row r="11759" customFormat="false" ht="12.8" hidden="false" customHeight="false" outlineLevel="0" collapsed="false">
      <c r="A11759" s="0" t="s">
        <v>12</v>
      </c>
      <c r="B11759" s="0" t="n">
        <v>3286856</v>
      </c>
      <c r="C11759" s="0" t="n">
        <v>3286876</v>
      </c>
      <c r="D11759" s="0" t="s">
        <v>39210</v>
      </c>
      <c r="E11759" s="0" t="s">
        <v>39211</v>
      </c>
      <c r="F11759" s="0" t="s">
        <v>15</v>
      </c>
      <c r="G11759" s="0" t="s">
        <v>32</v>
      </c>
      <c r="H11759" s="0" t="n">
        <v>80</v>
      </c>
      <c r="I11759" s="0" t="s">
        <v>39218</v>
      </c>
      <c r="J11759" s="0" t="s">
        <v>39219</v>
      </c>
      <c r="K11759" s="0" t="s">
        <v>39220</v>
      </c>
      <c r="L11759" s="0" t="str">
        <f aca="false">HYPERLINK("https://www.ncbi.nlm.nih.gov/nuccore/CP000304.1?report=graph&amp;tracks=[key:gene_model_track,Options:GeneOnly]&amp;mk=3286802:3286821|offset_25|444444,3286823:3286842|offset_46|444444,3286857:3286876|offset_80|00cc00,3286892:3286911|offset_115|444444&amp;v=3286601:3287111&amp;c=444444", "offset 80")</f>
        <v>offset 80</v>
      </c>
    </row>
    <row r="11760" customFormat="false" ht="12.8" hidden="false" customHeight="false" outlineLevel="0" collapsed="false">
      <c r="A11760" s="0" t="s">
        <v>12</v>
      </c>
      <c r="B11760" s="0" t="n">
        <v>3286891</v>
      </c>
      <c r="C11760" s="0" t="n">
        <v>3286911</v>
      </c>
      <c r="D11760" s="0" t="s">
        <v>39210</v>
      </c>
      <c r="E11760" s="0" t="s">
        <v>39211</v>
      </c>
      <c r="F11760" s="0" t="s">
        <v>15</v>
      </c>
      <c r="G11760" s="0" t="s">
        <v>32</v>
      </c>
      <c r="H11760" s="0" t="n">
        <v>115</v>
      </c>
      <c r="I11760" s="0" t="s">
        <v>39221</v>
      </c>
      <c r="J11760" s="0" t="s">
        <v>39222</v>
      </c>
      <c r="K11760" s="0" t="s">
        <v>39223</v>
      </c>
      <c r="L11760" s="0" t="str">
        <f aca="false">HYPERLINK("https://www.ncbi.nlm.nih.gov/nuccore/CP000304.1?report=graph&amp;tracks=[key:gene_model_track,Options:GeneOnly]&amp;mk=3286802:3286821|offset_25|444444,3286823:3286842|offset_46|444444,3286857:3286876|offset_80|444444,3286892:3286911|offset_115|00cc00&amp;v=3286601:3287111&amp;c=444444", "offset 115")</f>
        <v>offset 115</v>
      </c>
    </row>
    <row r="11761" customFormat="false" ht="12.8" hidden="false" customHeight="false" outlineLevel="0" collapsed="false">
      <c r="A11761" s="0" t="s">
        <v>12</v>
      </c>
      <c r="B11761" s="0" t="n">
        <v>3288335</v>
      </c>
      <c r="C11761" s="0" t="n">
        <v>3288355</v>
      </c>
      <c r="D11761" s="0" t="s">
        <v>39224</v>
      </c>
      <c r="E11761" s="0" t="s">
        <v>39225</v>
      </c>
      <c r="F11761" s="0" t="s">
        <v>15</v>
      </c>
      <c r="G11761" s="0" t="s">
        <v>32</v>
      </c>
      <c r="H11761" s="0" t="n">
        <v>1</v>
      </c>
      <c r="I11761" s="0" t="s">
        <v>39226</v>
      </c>
      <c r="J11761" s="0" t="s">
        <v>39227</v>
      </c>
      <c r="K11761" s="0" t="s">
        <v>39228</v>
      </c>
      <c r="L11761" s="0" t="str">
        <f aca="false">HYPERLINK("https://www.ncbi.nlm.nih.gov/nuccore/CP000304.1?report=graph&amp;tracks=[key:gene_model_track,Options:GeneOnly]&amp;mk=3288336:3288355|offset_1|00cc00,3288376:3288395|offset_41|444444,3288399:3288418|offset_64|444444,3288433:3288452|offset_98|444444&amp;v=3288135:3288652&amp;c=444444", "offset 1")</f>
        <v>offset 1</v>
      </c>
    </row>
    <row r="11762" customFormat="false" ht="12.8" hidden="false" customHeight="false" outlineLevel="0" collapsed="false">
      <c r="A11762" s="0" t="s">
        <v>12</v>
      </c>
      <c r="B11762" s="0" t="n">
        <v>3288375</v>
      </c>
      <c r="C11762" s="0" t="n">
        <v>3288395</v>
      </c>
      <c r="D11762" s="0" t="s">
        <v>39224</v>
      </c>
      <c r="E11762" s="0" t="s">
        <v>39225</v>
      </c>
      <c r="F11762" s="0" t="s">
        <v>15</v>
      </c>
      <c r="G11762" s="0" t="s">
        <v>36</v>
      </c>
      <c r="H11762" s="0" t="n">
        <v>41</v>
      </c>
      <c r="I11762" s="0" t="s">
        <v>39229</v>
      </c>
      <c r="J11762" s="0" t="s">
        <v>39230</v>
      </c>
      <c r="K11762" s="0" t="s">
        <v>39231</v>
      </c>
      <c r="L11762" s="0" t="str">
        <f aca="false">HYPERLINK("https://www.ncbi.nlm.nih.gov/nuccore/CP000304.1?report=graph&amp;tracks=[key:gene_model_track,Options:GeneOnly]&amp;mk=3288336:3288355|offset_1|444444,3288376:3288395|offset_41|00cc00,3288399:3288418|offset_64|444444,3288433:3288452|offset_98|444444&amp;v=3288135:3288652&amp;c=444444", "offset 41")</f>
        <v>offset 41</v>
      </c>
    </row>
    <row r="11763" customFormat="false" ht="12.8" hidden="false" customHeight="false" outlineLevel="0" collapsed="false">
      <c r="A11763" s="0" t="s">
        <v>12</v>
      </c>
      <c r="B11763" s="0" t="n">
        <v>3288398</v>
      </c>
      <c r="C11763" s="0" t="n">
        <v>3288418</v>
      </c>
      <c r="D11763" s="0" t="s">
        <v>39224</v>
      </c>
      <c r="E11763" s="0" t="s">
        <v>39225</v>
      </c>
      <c r="F11763" s="0" t="s">
        <v>15</v>
      </c>
      <c r="G11763" s="0" t="s">
        <v>26</v>
      </c>
      <c r="H11763" s="0" t="n">
        <v>64</v>
      </c>
      <c r="I11763" s="0" t="s">
        <v>39232</v>
      </c>
      <c r="J11763" s="0" t="s">
        <v>39233</v>
      </c>
      <c r="K11763" s="0" t="s">
        <v>39234</v>
      </c>
      <c r="L11763" s="0" t="str">
        <f aca="false">HYPERLINK("https://www.ncbi.nlm.nih.gov/nuccore/CP000304.1?report=graph&amp;tracks=[key:gene_model_track,Options:GeneOnly]&amp;mk=3288336:3288355|offset_1|444444,3288376:3288395|offset_41|444444,3288399:3288418|offset_64|00cc00,3288433:3288452|offset_98|444444&amp;v=3288135:3288652&amp;c=444444", "offset 64")</f>
        <v>offset 64</v>
      </c>
    </row>
    <row r="11764" customFormat="false" ht="12.8" hidden="false" customHeight="false" outlineLevel="0" collapsed="false">
      <c r="A11764" s="0" t="s">
        <v>12</v>
      </c>
      <c r="B11764" s="0" t="n">
        <v>3288432</v>
      </c>
      <c r="C11764" s="0" t="n">
        <v>3288452</v>
      </c>
      <c r="D11764" s="0" t="s">
        <v>39224</v>
      </c>
      <c r="E11764" s="0" t="s">
        <v>39225</v>
      </c>
      <c r="F11764" s="0" t="s">
        <v>15</v>
      </c>
      <c r="G11764" s="0" t="s">
        <v>26</v>
      </c>
      <c r="H11764" s="0" t="n">
        <v>98</v>
      </c>
      <c r="I11764" s="0" t="s">
        <v>39235</v>
      </c>
      <c r="J11764" s="0" t="s">
        <v>39236</v>
      </c>
      <c r="K11764" s="0" t="s">
        <v>39237</v>
      </c>
      <c r="L11764" s="0" t="str">
        <f aca="false">HYPERLINK("https://www.ncbi.nlm.nih.gov/nuccore/CP000304.1?report=graph&amp;tracks=[key:gene_model_track,Options:GeneOnly]&amp;mk=3288336:3288355|offset_1|444444,3288376:3288395|offset_41|444444,3288399:3288418|offset_64|444444,3288433:3288452|offset_98|00cc00&amp;v=3288135:3288652&amp;c=444444", "offset 98")</f>
        <v>offset 98</v>
      </c>
    </row>
    <row r="11765" customFormat="false" ht="12.8" hidden="false" customHeight="false" outlineLevel="0" collapsed="false">
      <c r="A11765" s="0" t="s">
        <v>12</v>
      </c>
      <c r="B11765" s="0" t="n">
        <v>3288811</v>
      </c>
      <c r="C11765" s="0" t="n">
        <v>3288831</v>
      </c>
      <c r="D11765" s="0" t="s">
        <v>39238</v>
      </c>
      <c r="E11765" s="0" t="s">
        <v>89</v>
      </c>
      <c r="F11765" s="0" t="s">
        <v>15</v>
      </c>
      <c r="G11765" s="0" t="s">
        <v>32</v>
      </c>
      <c r="H11765" s="0" t="n">
        <v>8</v>
      </c>
      <c r="I11765" s="0" t="s">
        <v>39239</v>
      </c>
      <c r="J11765" s="0" t="s">
        <v>39240</v>
      </c>
      <c r="K11765" s="0" t="s">
        <v>39241</v>
      </c>
      <c r="L11765" s="0" t="str">
        <f aca="false">HYPERLINK("https://www.ncbi.nlm.nih.gov/nuccore/CP000304.1?report=graph&amp;tracks=[key:gene_model_track,Options:GeneOnly]&amp;mk=3288812:3288831|offset_8|00cc00,3288837:3288856|offset_33|444444,3288859:3288878|offset_55|444444,3288883:3288902|offset_79|444444&amp;v=3288611:3289102&amp;c=444444", "offset 8")</f>
        <v>offset 8</v>
      </c>
    </row>
    <row r="11766" customFormat="false" ht="12.8" hidden="false" customHeight="false" outlineLevel="0" collapsed="false">
      <c r="A11766" s="0" t="s">
        <v>12</v>
      </c>
      <c r="B11766" s="0" t="n">
        <v>3288836</v>
      </c>
      <c r="C11766" s="0" t="n">
        <v>3288856</v>
      </c>
      <c r="D11766" s="0" t="s">
        <v>39238</v>
      </c>
      <c r="E11766" s="0" t="s">
        <v>89</v>
      </c>
      <c r="F11766" s="0" t="s">
        <v>15</v>
      </c>
      <c r="G11766" s="0" t="s">
        <v>16</v>
      </c>
      <c r="H11766" s="0" t="n">
        <v>33</v>
      </c>
      <c r="I11766" s="0" t="s">
        <v>39242</v>
      </c>
      <c r="J11766" s="0" t="s">
        <v>39243</v>
      </c>
      <c r="K11766" s="0" t="s">
        <v>39244</v>
      </c>
      <c r="L11766" s="0" t="str">
        <f aca="false">HYPERLINK("https://www.ncbi.nlm.nih.gov/nuccore/CP000304.1?report=graph&amp;tracks=[key:gene_model_track,Options:GeneOnly]&amp;mk=3288812:3288831|offset_8|444444,3288837:3288856|offset_33|00cc00,3288859:3288878|offset_55|444444,3288883:3288902|offset_79|444444&amp;v=3288611:3289102&amp;c=444444", "offset 33")</f>
        <v>offset 33</v>
      </c>
    </row>
    <row r="11767" customFormat="false" ht="12.8" hidden="false" customHeight="false" outlineLevel="0" collapsed="false">
      <c r="A11767" s="0" t="s">
        <v>12</v>
      </c>
      <c r="B11767" s="0" t="n">
        <v>3288858</v>
      </c>
      <c r="C11767" s="0" t="n">
        <v>3288878</v>
      </c>
      <c r="D11767" s="0" t="s">
        <v>39238</v>
      </c>
      <c r="E11767" s="0" t="s">
        <v>89</v>
      </c>
      <c r="F11767" s="0" t="s">
        <v>15</v>
      </c>
      <c r="G11767" s="0" t="s">
        <v>16</v>
      </c>
      <c r="H11767" s="0" t="n">
        <v>55</v>
      </c>
      <c r="I11767" s="0" t="s">
        <v>39245</v>
      </c>
      <c r="J11767" s="0" t="s">
        <v>39246</v>
      </c>
      <c r="K11767" s="0" t="s">
        <v>39247</v>
      </c>
      <c r="L11767" s="0" t="str">
        <f aca="false">HYPERLINK("https://www.ncbi.nlm.nih.gov/nuccore/CP000304.1?report=graph&amp;tracks=[key:gene_model_track,Options:GeneOnly]&amp;mk=3288812:3288831|offset_8|444444,3288837:3288856|offset_33|444444,3288859:3288878|offset_55|00cc00,3288883:3288902|offset_79|444444&amp;v=3288611:3289102&amp;c=444444", "offset 55")</f>
        <v>offset 55</v>
      </c>
    </row>
    <row r="11768" customFormat="false" ht="12.8" hidden="false" customHeight="false" outlineLevel="0" collapsed="false">
      <c r="A11768" s="0" t="s">
        <v>12</v>
      </c>
      <c r="B11768" s="0" t="n">
        <v>3288882</v>
      </c>
      <c r="C11768" s="0" t="n">
        <v>3288902</v>
      </c>
      <c r="D11768" s="0" t="s">
        <v>39238</v>
      </c>
      <c r="E11768" s="0" t="s">
        <v>89</v>
      </c>
      <c r="F11768" s="0" t="s">
        <v>15</v>
      </c>
      <c r="G11768" s="0" t="s">
        <v>32</v>
      </c>
      <c r="H11768" s="0" t="n">
        <v>79</v>
      </c>
      <c r="I11768" s="0" t="s">
        <v>39248</v>
      </c>
      <c r="J11768" s="0" t="s">
        <v>39249</v>
      </c>
      <c r="K11768" s="0" t="s">
        <v>39250</v>
      </c>
      <c r="L11768" s="0" t="str">
        <f aca="false">HYPERLINK("https://www.ncbi.nlm.nih.gov/nuccore/CP000304.1?report=graph&amp;tracks=[key:gene_model_track,Options:GeneOnly]&amp;mk=3288812:3288831|offset_8|444444,3288837:3288856|offset_33|444444,3288859:3288878|offset_55|444444,3288883:3288902|offset_79|00cc00&amp;v=3288611:3289102&amp;c=444444", "offset 79")</f>
        <v>offset 79</v>
      </c>
    </row>
    <row r="11769" customFormat="false" ht="12.8" hidden="false" customHeight="false" outlineLevel="0" collapsed="false">
      <c r="A11769" s="0" t="s">
        <v>12</v>
      </c>
      <c r="B11769" s="0" t="n">
        <v>3289464</v>
      </c>
      <c r="C11769" s="0" t="n">
        <v>3289484</v>
      </c>
      <c r="D11769" s="0" t="s">
        <v>39251</v>
      </c>
      <c r="E11769" s="0" t="s">
        <v>39252</v>
      </c>
      <c r="F11769" s="0" t="s">
        <v>15</v>
      </c>
      <c r="G11769" s="0" t="s">
        <v>32</v>
      </c>
      <c r="H11769" s="0" t="n">
        <v>8</v>
      </c>
      <c r="I11769" s="0" t="s">
        <v>39253</v>
      </c>
      <c r="J11769" s="0" t="s">
        <v>39254</v>
      </c>
      <c r="K11769" s="0" t="s">
        <v>39255</v>
      </c>
      <c r="L11769" s="0" t="str">
        <f aca="false">HYPERLINK("https://www.ncbi.nlm.nih.gov/nuccore/CP000304.1?report=graph&amp;tracks=[key:gene_model_track,Options:GeneOnly]&amp;mk=3289465:3289484|offset_8|00cc00,3289501:3289520|offset_44|444444,3289522:3289541|offset_65|444444,3289548:3289567|offset_91|444444&amp;v=3289264:3289767&amp;c=444444", "offset 8")</f>
        <v>offset 8</v>
      </c>
    </row>
    <row r="11770" customFormat="false" ht="12.8" hidden="false" customHeight="false" outlineLevel="0" collapsed="false">
      <c r="A11770" s="0" t="s">
        <v>12</v>
      </c>
      <c r="B11770" s="0" t="n">
        <v>3289500</v>
      </c>
      <c r="C11770" s="0" t="n">
        <v>3289520</v>
      </c>
      <c r="D11770" s="0" t="s">
        <v>39251</v>
      </c>
      <c r="E11770" s="0" t="s">
        <v>39252</v>
      </c>
      <c r="F11770" s="0" t="s">
        <v>15</v>
      </c>
      <c r="G11770" s="0" t="s">
        <v>16</v>
      </c>
      <c r="H11770" s="0" t="n">
        <v>44</v>
      </c>
      <c r="I11770" s="0" t="s">
        <v>39256</v>
      </c>
      <c r="J11770" s="0" t="s">
        <v>39257</v>
      </c>
      <c r="K11770" s="0" t="s">
        <v>39258</v>
      </c>
      <c r="L11770" s="0" t="str">
        <f aca="false">HYPERLINK("https://www.ncbi.nlm.nih.gov/nuccore/CP000304.1?report=graph&amp;tracks=[key:gene_model_track,Options:GeneOnly]&amp;mk=3289465:3289484|offset_8|444444,3289501:3289520|offset_44|00cc00,3289522:3289541|offset_65|444444,3289548:3289567|offset_91|444444&amp;v=3289264:3289767&amp;c=444444", "offset 44")</f>
        <v>offset 44</v>
      </c>
    </row>
    <row r="11771" customFormat="false" ht="12.8" hidden="false" customHeight="false" outlineLevel="0" collapsed="false">
      <c r="A11771" s="0" t="s">
        <v>12</v>
      </c>
      <c r="B11771" s="0" t="n">
        <v>3289521</v>
      </c>
      <c r="C11771" s="0" t="n">
        <v>3289541</v>
      </c>
      <c r="D11771" s="0" t="s">
        <v>39251</v>
      </c>
      <c r="E11771" s="0" t="s">
        <v>39252</v>
      </c>
      <c r="F11771" s="0" t="s">
        <v>15</v>
      </c>
      <c r="G11771" s="0" t="s">
        <v>16</v>
      </c>
      <c r="H11771" s="0" t="n">
        <v>65</v>
      </c>
      <c r="I11771" s="0" t="s">
        <v>39259</v>
      </c>
      <c r="J11771" s="0" t="s">
        <v>39260</v>
      </c>
      <c r="K11771" s="0" t="s">
        <v>39261</v>
      </c>
      <c r="L11771" s="0" t="str">
        <f aca="false">HYPERLINK("https://www.ncbi.nlm.nih.gov/nuccore/CP000304.1?report=graph&amp;tracks=[key:gene_model_track,Options:GeneOnly]&amp;mk=3289465:3289484|offset_8|444444,3289501:3289520|offset_44|444444,3289522:3289541|offset_65|00cc00,3289548:3289567|offset_91|444444&amp;v=3289264:3289767&amp;c=444444", "offset 65")</f>
        <v>offset 65</v>
      </c>
    </row>
    <row r="11772" customFormat="false" ht="12.8" hidden="false" customHeight="false" outlineLevel="0" collapsed="false">
      <c r="A11772" s="0" t="s">
        <v>12</v>
      </c>
      <c r="B11772" s="0" t="n">
        <v>3289547</v>
      </c>
      <c r="C11772" s="0" t="n">
        <v>3289567</v>
      </c>
      <c r="D11772" s="0" t="s">
        <v>39251</v>
      </c>
      <c r="E11772" s="0" t="s">
        <v>39252</v>
      </c>
      <c r="F11772" s="0" t="s">
        <v>15</v>
      </c>
      <c r="G11772" s="0" t="s">
        <v>16</v>
      </c>
      <c r="H11772" s="0" t="n">
        <v>91</v>
      </c>
      <c r="I11772" s="0" t="s">
        <v>39262</v>
      </c>
      <c r="J11772" s="0" t="s">
        <v>39263</v>
      </c>
      <c r="K11772" s="0" t="s">
        <v>39264</v>
      </c>
      <c r="L11772" s="0" t="str">
        <f aca="false">HYPERLINK("https://www.ncbi.nlm.nih.gov/nuccore/CP000304.1?report=graph&amp;tracks=[key:gene_model_track,Options:GeneOnly]&amp;mk=3289465:3289484|offset_8|444444,3289501:3289520|offset_44|444444,3289522:3289541|offset_65|444444,3289548:3289567|offset_91|00cc00&amp;v=3289264:3289767&amp;c=444444", "offset 91")</f>
        <v>offset 91</v>
      </c>
    </row>
    <row r="11773" customFormat="false" ht="12.8" hidden="false" customHeight="false" outlineLevel="0" collapsed="false">
      <c r="A11773" s="0" t="s">
        <v>12</v>
      </c>
      <c r="B11773" s="0" t="n">
        <v>3292504</v>
      </c>
      <c r="C11773" s="0" t="n">
        <v>3292524</v>
      </c>
      <c r="D11773" s="0" t="s">
        <v>39265</v>
      </c>
      <c r="E11773" s="0" t="s">
        <v>89</v>
      </c>
      <c r="F11773" s="0" t="s">
        <v>15</v>
      </c>
      <c r="G11773" s="0" t="s">
        <v>16</v>
      </c>
      <c r="H11773" s="0" t="n">
        <v>0</v>
      </c>
      <c r="I11773" s="0" t="s">
        <v>39266</v>
      </c>
      <c r="J11773" s="0" t="s">
        <v>39267</v>
      </c>
      <c r="K11773" s="0" t="s">
        <v>39268</v>
      </c>
      <c r="L11773" s="0" t="str">
        <f aca="false">HYPERLINK("https://www.ncbi.nlm.nih.gov/nuccore/CP000304.1?report=graph&amp;tracks=[key:gene_model_track,Options:GeneOnly]&amp;mk=3292505:3292524|offset_0|00cc00,3292557:3292576|offset_52|444444,3292587:3292606|offset_82|444444,3292617:3292636|offset_112|444444&amp;v=3292304:3292836&amp;c=444444", "offset 0")</f>
        <v>offset 0</v>
      </c>
    </row>
    <row r="11774" customFormat="false" ht="12.8" hidden="false" customHeight="false" outlineLevel="0" collapsed="false">
      <c r="A11774" s="0" t="s">
        <v>12</v>
      </c>
      <c r="B11774" s="0" t="n">
        <v>3292556</v>
      </c>
      <c r="C11774" s="0" t="n">
        <v>3292576</v>
      </c>
      <c r="D11774" s="0" t="s">
        <v>39265</v>
      </c>
      <c r="E11774" s="0" t="s">
        <v>89</v>
      </c>
      <c r="F11774" s="0" t="s">
        <v>15</v>
      </c>
      <c r="G11774" s="0" t="s">
        <v>26</v>
      </c>
      <c r="H11774" s="0" t="n">
        <v>52</v>
      </c>
      <c r="I11774" s="0" t="s">
        <v>39269</v>
      </c>
      <c r="J11774" s="0" t="s">
        <v>39270</v>
      </c>
      <c r="K11774" s="0" t="s">
        <v>39271</v>
      </c>
      <c r="L11774" s="0" t="str">
        <f aca="false">HYPERLINK("https://www.ncbi.nlm.nih.gov/nuccore/CP000304.1?report=graph&amp;tracks=[key:gene_model_track,Options:GeneOnly]&amp;mk=3292505:3292524|offset_0|444444,3292557:3292576|offset_52|00cc00,3292587:3292606|offset_82|444444,3292617:3292636|offset_112|444444&amp;v=3292304:3292836&amp;c=444444", "offset 52")</f>
        <v>offset 52</v>
      </c>
    </row>
    <row r="11775" customFormat="false" ht="12.8" hidden="false" customHeight="false" outlineLevel="0" collapsed="false">
      <c r="A11775" s="0" t="s">
        <v>12</v>
      </c>
      <c r="B11775" s="0" t="n">
        <v>3292586</v>
      </c>
      <c r="C11775" s="0" t="n">
        <v>3292606</v>
      </c>
      <c r="D11775" s="0" t="s">
        <v>39265</v>
      </c>
      <c r="E11775" s="0" t="s">
        <v>89</v>
      </c>
      <c r="F11775" s="0" t="s">
        <v>15</v>
      </c>
      <c r="G11775" s="0" t="s">
        <v>16</v>
      </c>
      <c r="H11775" s="0" t="n">
        <v>82</v>
      </c>
      <c r="I11775" s="0" t="s">
        <v>39272</v>
      </c>
      <c r="J11775" s="0" t="s">
        <v>39273</v>
      </c>
      <c r="K11775" s="0" t="s">
        <v>39274</v>
      </c>
      <c r="L11775" s="0" t="str">
        <f aca="false">HYPERLINK("https://www.ncbi.nlm.nih.gov/nuccore/CP000304.1?report=graph&amp;tracks=[key:gene_model_track,Options:GeneOnly]&amp;mk=3292505:3292524|offset_0|444444,3292557:3292576|offset_52|444444,3292587:3292606|offset_82|00cc00,3292617:3292636|offset_112|444444&amp;v=3292304:3292836&amp;c=444444", "offset 82")</f>
        <v>offset 82</v>
      </c>
    </row>
    <row r="11776" customFormat="false" ht="12.8" hidden="false" customHeight="false" outlineLevel="0" collapsed="false">
      <c r="A11776" s="0" t="s">
        <v>12</v>
      </c>
      <c r="B11776" s="0" t="n">
        <v>3292616</v>
      </c>
      <c r="C11776" s="0" t="n">
        <v>3292636</v>
      </c>
      <c r="D11776" s="0" t="s">
        <v>39265</v>
      </c>
      <c r="E11776" s="0" t="s">
        <v>89</v>
      </c>
      <c r="F11776" s="0" t="s">
        <v>15</v>
      </c>
      <c r="G11776" s="0" t="s">
        <v>26</v>
      </c>
      <c r="H11776" s="0" t="n">
        <v>112</v>
      </c>
      <c r="I11776" s="0" t="s">
        <v>39275</v>
      </c>
      <c r="J11776" s="0" t="s">
        <v>39276</v>
      </c>
      <c r="K11776" s="0" t="s">
        <v>39277</v>
      </c>
      <c r="L11776" s="0" t="str">
        <f aca="false">HYPERLINK("https://www.ncbi.nlm.nih.gov/nuccore/CP000304.1?report=graph&amp;tracks=[key:gene_model_track,Options:GeneOnly]&amp;mk=3292505:3292524|offset_0|444444,3292557:3292576|offset_52|444444,3292587:3292606|offset_82|444444,3292617:3292636|offset_112|00cc00&amp;v=3292304:3292836&amp;c=444444", "offset 112")</f>
        <v>offset 112</v>
      </c>
    </row>
    <row r="11777" customFormat="false" ht="12.8" hidden="false" customHeight="false" outlineLevel="0" collapsed="false">
      <c r="A11777" s="0" t="s">
        <v>12</v>
      </c>
      <c r="B11777" s="0" t="n">
        <v>3293945</v>
      </c>
      <c r="C11777" s="0" t="n">
        <v>3293965</v>
      </c>
      <c r="D11777" s="0" t="s">
        <v>39278</v>
      </c>
      <c r="E11777" s="0" t="s">
        <v>89</v>
      </c>
      <c r="F11777" s="0" t="s">
        <v>15</v>
      </c>
      <c r="G11777" s="0" t="s">
        <v>32</v>
      </c>
      <c r="H11777" s="0" t="n">
        <v>1</v>
      </c>
      <c r="I11777" s="0" t="s">
        <v>39279</v>
      </c>
      <c r="J11777" s="0" t="s">
        <v>39280</v>
      </c>
      <c r="K11777" s="0" t="s">
        <v>39281</v>
      </c>
      <c r="L11777" s="0" t="str">
        <f aca="false">HYPERLINK("https://www.ncbi.nlm.nih.gov/nuccore/CP000304.1?report=graph&amp;tracks=[key:gene_model_track,Options:GeneOnly]&amp;mk=3293946:3293965|offset_1|00cc00,3293970:3293989|offset_25|444444,3294018:3294037|offset_73|444444,3294048:3294067|offset_103|444444&amp;v=3293745:3294267&amp;c=444444", "offset 1")</f>
        <v>offset 1</v>
      </c>
    </row>
    <row r="11778" customFormat="false" ht="12.8" hidden="false" customHeight="false" outlineLevel="0" collapsed="false">
      <c r="A11778" s="0" t="s">
        <v>12</v>
      </c>
      <c r="B11778" s="0" t="n">
        <v>3293969</v>
      </c>
      <c r="C11778" s="0" t="n">
        <v>3293989</v>
      </c>
      <c r="D11778" s="0" t="s">
        <v>39278</v>
      </c>
      <c r="E11778" s="0" t="s">
        <v>89</v>
      </c>
      <c r="F11778" s="0" t="s">
        <v>15</v>
      </c>
      <c r="G11778" s="0" t="s">
        <v>32</v>
      </c>
      <c r="H11778" s="0" t="n">
        <v>25</v>
      </c>
      <c r="I11778" s="0" t="s">
        <v>39282</v>
      </c>
      <c r="J11778" s="0" t="s">
        <v>39283</v>
      </c>
      <c r="K11778" s="0" t="s">
        <v>39284</v>
      </c>
      <c r="L11778" s="0" t="str">
        <f aca="false">HYPERLINK("https://www.ncbi.nlm.nih.gov/nuccore/CP000304.1?report=graph&amp;tracks=[key:gene_model_track,Options:GeneOnly]&amp;mk=3293946:3293965|offset_1|444444,3293970:3293989|offset_25|00cc00,3294018:3294037|offset_73|444444,3294048:3294067|offset_103|444444&amp;v=3293745:3294267&amp;c=444444", "offset 25")</f>
        <v>offset 25</v>
      </c>
    </row>
    <row r="11779" customFormat="false" ht="12.8" hidden="false" customHeight="false" outlineLevel="0" collapsed="false">
      <c r="A11779" s="0" t="s">
        <v>12</v>
      </c>
      <c r="B11779" s="0" t="n">
        <v>3294017</v>
      </c>
      <c r="C11779" s="0" t="n">
        <v>3294037</v>
      </c>
      <c r="D11779" s="0" t="s">
        <v>39278</v>
      </c>
      <c r="E11779" s="0" t="s">
        <v>89</v>
      </c>
      <c r="F11779" s="0" t="s">
        <v>15</v>
      </c>
      <c r="G11779" s="0" t="s">
        <v>16</v>
      </c>
      <c r="H11779" s="0" t="n">
        <v>73</v>
      </c>
      <c r="I11779" s="0" t="s">
        <v>39285</v>
      </c>
      <c r="J11779" s="0" t="s">
        <v>39286</v>
      </c>
      <c r="K11779" s="0" t="s">
        <v>39287</v>
      </c>
      <c r="L11779" s="0" t="str">
        <f aca="false">HYPERLINK("https://www.ncbi.nlm.nih.gov/nuccore/CP000304.1?report=graph&amp;tracks=[key:gene_model_track,Options:GeneOnly]&amp;mk=3293946:3293965|offset_1|444444,3293970:3293989|offset_25|444444,3294018:3294037|offset_73|00cc00,3294048:3294067|offset_103|444444&amp;v=3293745:3294267&amp;c=444444", "offset 73")</f>
        <v>offset 73</v>
      </c>
    </row>
    <row r="11780" customFormat="false" ht="12.8" hidden="false" customHeight="false" outlineLevel="0" collapsed="false">
      <c r="A11780" s="0" t="s">
        <v>12</v>
      </c>
      <c r="B11780" s="0" t="n">
        <v>3294047</v>
      </c>
      <c r="C11780" s="0" t="n">
        <v>3294067</v>
      </c>
      <c r="D11780" s="0" t="s">
        <v>39278</v>
      </c>
      <c r="E11780" s="0" t="s">
        <v>89</v>
      </c>
      <c r="F11780" s="0" t="s">
        <v>15</v>
      </c>
      <c r="G11780" s="0" t="s">
        <v>32</v>
      </c>
      <c r="H11780" s="0" t="n">
        <v>103</v>
      </c>
      <c r="I11780" s="0" t="s">
        <v>39288</v>
      </c>
      <c r="J11780" s="0" t="s">
        <v>39289</v>
      </c>
      <c r="K11780" s="0" t="s">
        <v>39290</v>
      </c>
      <c r="L11780" s="0" t="str">
        <f aca="false">HYPERLINK("https://www.ncbi.nlm.nih.gov/nuccore/CP000304.1?report=graph&amp;tracks=[key:gene_model_track,Options:GeneOnly]&amp;mk=3293946:3293965|offset_1|444444,3293970:3293989|offset_25|444444,3294018:3294037|offset_73|444444,3294048:3294067|offset_103|00cc00&amp;v=3293745:3294267&amp;c=444444", "offset 103")</f>
        <v>offset 103</v>
      </c>
    </row>
    <row r="11781" customFormat="false" ht="12.8" hidden="false" customHeight="false" outlineLevel="0" collapsed="false">
      <c r="A11781" s="0" t="s">
        <v>12</v>
      </c>
      <c r="B11781" s="0" t="n">
        <v>3294430</v>
      </c>
      <c r="C11781" s="0" t="n">
        <v>3294450</v>
      </c>
      <c r="D11781" s="0" t="s">
        <v>39291</v>
      </c>
      <c r="E11781" s="0" t="s">
        <v>89</v>
      </c>
      <c r="F11781" s="0" t="s">
        <v>15</v>
      </c>
      <c r="G11781" s="0" t="s">
        <v>16</v>
      </c>
      <c r="H11781" s="0" t="n">
        <v>13</v>
      </c>
      <c r="I11781" s="0" t="s">
        <v>39292</v>
      </c>
      <c r="J11781" s="0" t="s">
        <v>39293</v>
      </c>
      <c r="K11781" s="0" t="s">
        <v>39294</v>
      </c>
      <c r="L11781" s="0" t="str">
        <f aca="false">HYPERLINK("https://www.ncbi.nlm.nih.gov/nuccore/CP000304.1?report=graph&amp;tracks=[key:gene_model_track,Options:GeneOnly]&amp;mk=3294431:3294450|offset_13|00cc00,3294456:3294475|offset_38|444444,3294476:3294495|offset_58|444444,3294506:3294525|offset_88|444444&amp;v=3294230:3294725&amp;c=444444", "offset 13")</f>
        <v>offset 13</v>
      </c>
    </row>
    <row r="11782" customFormat="false" ht="12.8" hidden="false" customHeight="false" outlineLevel="0" collapsed="false">
      <c r="A11782" s="0" t="s">
        <v>12</v>
      </c>
      <c r="B11782" s="0" t="n">
        <v>3294455</v>
      </c>
      <c r="C11782" s="0" t="n">
        <v>3294475</v>
      </c>
      <c r="D11782" s="0" t="s">
        <v>39291</v>
      </c>
      <c r="E11782" s="0" t="s">
        <v>89</v>
      </c>
      <c r="F11782" s="0" t="s">
        <v>15</v>
      </c>
      <c r="G11782" s="0" t="s">
        <v>26</v>
      </c>
      <c r="H11782" s="0" t="n">
        <v>38</v>
      </c>
      <c r="I11782" s="0" t="s">
        <v>39295</v>
      </c>
      <c r="J11782" s="0" t="s">
        <v>39296</v>
      </c>
      <c r="K11782" s="0" t="s">
        <v>39297</v>
      </c>
      <c r="L11782" s="0" t="str">
        <f aca="false">HYPERLINK("https://www.ncbi.nlm.nih.gov/nuccore/CP000304.1?report=graph&amp;tracks=[key:gene_model_track,Options:GeneOnly]&amp;mk=3294431:3294450|offset_13|444444,3294456:3294475|offset_38|00cc00,3294476:3294495|offset_58|444444,3294506:3294525|offset_88|444444&amp;v=3294230:3294725&amp;c=444444", "offset 38")</f>
        <v>offset 38</v>
      </c>
    </row>
    <row r="11783" customFormat="false" ht="12.8" hidden="false" customHeight="false" outlineLevel="0" collapsed="false">
      <c r="A11783" s="0" t="s">
        <v>12</v>
      </c>
      <c r="B11783" s="0" t="n">
        <v>3294475</v>
      </c>
      <c r="C11783" s="0" t="n">
        <v>3294495</v>
      </c>
      <c r="D11783" s="0" t="s">
        <v>39291</v>
      </c>
      <c r="E11783" s="0" t="s">
        <v>89</v>
      </c>
      <c r="F11783" s="0" t="s">
        <v>15</v>
      </c>
      <c r="G11783" s="0" t="s">
        <v>26</v>
      </c>
      <c r="H11783" s="0" t="n">
        <v>58</v>
      </c>
      <c r="I11783" s="0" t="s">
        <v>39298</v>
      </c>
      <c r="J11783" s="0" t="s">
        <v>39299</v>
      </c>
      <c r="K11783" s="0" t="s">
        <v>39300</v>
      </c>
      <c r="L11783" s="0" t="str">
        <f aca="false">HYPERLINK("https://www.ncbi.nlm.nih.gov/nuccore/CP000304.1?report=graph&amp;tracks=[key:gene_model_track,Options:GeneOnly]&amp;mk=3294431:3294450|offset_13|444444,3294456:3294475|offset_38|444444,3294476:3294495|offset_58|00cc00,3294506:3294525|offset_88|444444&amp;v=3294230:3294725&amp;c=444444", "offset 58")</f>
        <v>offset 58</v>
      </c>
    </row>
    <row r="11784" customFormat="false" ht="12.8" hidden="false" customHeight="false" outlineLevel="0" collapsed="false">
      <c r="A11784" s="0" t="s">
        <v>12</v>
      </c>
      <c r="B11784" s="0" t="n">
        <v>3294505</v>
      </c>
      <c r="C11784" s="0" t="n">
        <v>3294525</v>
      </c>
      <c r="D11784" s="0" t="s">
        <v>39291</v>
      </c>
      <c r="E11784" s="0" t="s">
        <v>89</v>
      </c>
      <c r="F11784" s="0" t="s">
        <v>15</v>
      </c>
      <c r="G11784" s="0" t="s">
        <v>16</v>
      </c>
      <c r="H11784" s="0" t="n">
        <v>88</v>
      </c>
      <c r="I11784" s="0" t="s">
        <v>39301</v>
      </c>
      <c r="J11784" s="0" t="s">
        <v>39302</v>
      </c>
      <c r="K11784" s="0" t="s">
        <v>39303</v>
      </c>
      <c r="L11784" s="0" t="str">
        <f aca="false">HYPERLINK("https://www.ncbi.nlm.nih.gov/nuccore/CP000304.1?report=graph&amp;tracks=[key:gene_model_track,Options:GeneOnly]&amp;mk=3294431:3294450|offset_13|444444,3294456:3294475|offset_38|444444,3294476:3294495|offset_58|444444,3294506:3294525|offset_88|00cc00&amp;v=3294230:3294725&amp;c=444444", "offset 88")</f>
        <v>offset 88</v>
      </c>
    </row>
    <row r="11785" customFormat="false" ht="12.8" hidden="false" customHeight="false" outlineLevel="0" collapsed="false">
      <c r="A11785" s="0" t="s">
        <v>12</v>
      </c>
      <c r="B11785" s="0" t="n">
        <v>3296134</v>
      </c>
      <c r="C11785" s="0" t="n">
        <v>3296154</v>
      </c>
      <c r="D11785" s="0" t="s">
        <v>39304</v>
      </c>
      <c r="E11785" s="0" t="s">
        <v>89</v>
      </c>
      <c r="F11785" s="0" t="s">
        <v>15</v>
      </c>
      <c r="G11785" s="0" t="s">
        <v>16</v>
      </c>
      <c r="H11785" s="0" t="n">
        <v>30</v>
      </c>
      <c r="I11785" s="0" t="s">
        <v>39305</v>
      </c>
      <c r="J11785" s="0" t="s">
        <v>39306</v>
      </c>
      <c r="K11785" s="0" t="s">
        <v>39307</v>
      </c>
      <c r="L11785" s="0" t="str">
        <f aca="false">HYPERLINK("https://www.ncbi.nlm.nih.gov/nuccore/CP000304.1?report=graph&amp;tracks=[key:gene_model_track,Options:GeneOnly]&amp;mk=3296135:3296154|offset_30|00cc00,3296172:3296191|offset_67|444444,3296198:3296217|offset_93|444444,3296236:3296255|offset_131|444444&amp;v=3295934:3296455&amp;c=444444", "offset 30")</f>
        <v>offset 30</v>
      </c>
    </row>
    <row r="11786" customFormat="false" ht="12.8" hidden="false" customHeight="false" outlineLevel="0" collapsed="false">
      <c r="A11786" s="0" t="s">
        <v>12</v>
      </c>
      <c r="B11786" s="0" t="n">
        <v>3296171</v>
      </c>
      <c r="C11786" s="0" t="n">
        <v>3296191</v>
      </c>
      <c r="D11786" s="0" t="s">
        <v>39304</v>
      </c>
      <c r="E11786" s="0" t="s">
        <v>89</v>
      </c>
      <c r="F11786" s="0" t="s">
        <v>15</v>
      </c>
      <c r="G11786" s="0" t="s">
        <v>32</v>
      </c>
      <c r="H11786" s="0" t="n">
        <v>67</v>
      </c>
      <c r="I11786" s="0" t="s">
        <v>39308</v>
      </c>
      <c r="J11786" s="0" t="s">
        <v>39309</v>
      </c>
      <c r="K11786" s="0" t="s">
        <v>39310</v>
      </c>
      <c r="L11786" s="0" t="str">
        <f aca="false">HYPERLINK("https://www.ncbi.nlm.nih.gov/nuccore/CP000304.1?report=graph&amp;tracks=[key:gene_model_track,Options:GeneOnly]&amp;mk=3296135:3296154|offset_30|444444,3296172:3296191|offset_67|00cc00,3296198:3296217|offset_93|444444,3296236:3296255|offset_131|444444&amp;v=3295934:3296455&amp;c=444444", "offset 67")</f>
        <v>offset 67</v>
      </c>
    </row>
    <row r="11787" customFormat="false" ht="12.8" hidden="false" customHeight="false" outlineLevel="0" collapsed="false">
      <c r="A11787" s="0" t="s">
        <v>12</v>
      </c>
      <c r="B11787" s="0" t="n">
        <v>3296197</v>
      </c>
      <c r="C11787" s="0" t="n">
        <v>3296217</v>
      </c>
      <c r="D11787" s="0" t="s">
        <v>39304</v>
      </c>
      <c r="E11787" s="0" t="s">
        <v>89</v>
      </c>
      <c r="F11787" s="0" t="s">
        <v>15</v>
      </c>
      <c r="G11787" s="0" t="s">
        <v>16</v>
      </c>
      <c r="H11787" s="0" t="n">
        <v>93</v>
      </c>
      <c r="I11787" s="0" t="s">
        <v>39311</v>
      </c>
      <c r="J11787" s="0" t="s">
        <v>39312</v>
      </c>
      <c r="K11787" s="0" t="s">
        <v>39313</v>
      </c>
      <c r="L11787" s="0" t="str">
        <f aca="false">HYPERLINK("https://www.ncbi.nlm.nih.gov/nuccore/CP000304.1?report=graph&amp;tracks=[key:gene_model_track,Options:GeneOnly]&amp;mk=3296135:3296154|offset_30|444444,3296172:3296191|offset_67|444444,3296198:3296217|offset_93|00cc00,3296236:3296255|offset_131|444444&amp;v=3295934:3296455&amp;c=444444", "offset 93")</f>
        <v>offset 93</v>
      </c>
    </row>
    <row r="11788" customFormat="false" ht="12.8" hidden="false" customHeight="false" outlineLevel="0" collapsed="false">
      <c r="A11788" s="0" t="s">
        <v>12</v>
      </c>
      <c r="B11788" s="0" t="n">
        <v>3296235</v>
      </c>
      <c r="C11788" s="0" t="n">
        <v>3296255</v>
      </c>
      <c r="D11788" s="0" t="s">
        <v>39304</v>
      </c>
      <c r="E11788" s="0" t="s">
        <v>89</v>
      </c>
      <c r="F11788" s="0" t="s">
        <v>15</v>
      </c>
      <c r="G11788" s="0" t="s">
        <v>32</v>
      </c>
      <c r="H11788" s="0" t="n">
        <v>131</v>
      </c>
      <c r="I11788" s="0" t="s">
        <v>39314</v>
      </c>
      <c r="J11788" s="0" t="s">
        <v>39315</v>
      </c>
      <c r="K11788" s="0" t="s">
        <v>39316</v>
      </c>
      <c r="L11788" s="0" t="str">
        <f aca="false">HYPERLINK("https://www.ncbi.nlm.nih.gov/nuccore/CP000304.1?report=graph&amp;tracks=[key:gene_model_track,Options:GeneOnly]&amp;mk=3296135:3296154|offset_30|444444,3296172:3296191|offset_67|444444,3296198:3296217|offset_93|444444,3296236:3296255|offset_131|00cc00&amp;v=3295934:3296455&amp;c=444444", "offset 131")</f>
        <v>offset 131</v>
      </c>
    </row>
    <row r="11789" customFormat="false" ht="12.8" hidden="false" customHeight="false" outlineLevel="0" collapsed="false">
      <c r="A11789" s="0" t="s">
        <v>12</v>
      </c>
      <c r="B11789" s="0" t="n">
        <v>3297397</v>
      </c>
      <c r="C11789" s="0" t="n">
        <v>3297417</v>
      </c>
      <c r="D11789" s="0" t="s">
        <v>39317</v>
      </c>
      <c r="E11789" s="0" t="s">
        <v>89</v>
      </c>
      <c r="F11789" s="0" t="s">
        <v>15</v>
      </c>
      <c r="G11789" s="0" t="s">
        <v>16</v>
      </c>
      <c r="H11789" s="0" t="n">
        <v>0</v>
      </c>
      <c r="I11789" s="0" t="s">
        <v>39318</v>
      </c>
      <c r="J11789" s="0" t="s">
        <v>39319</v>
      </c>
      <c r="K11789" s="0" t="s">
        <v>39320</v>
      </c>
      <c r="L11789" s="0" t="str">
        <f aca="false">HYPERLINK("https://www.ncbi.nlm.nih.gov/nuccore/CP000304.1?report=graph&amp;tracks=[key:gene_model_track,Options:GeneOnly]&amp;mk=3297398:3297417|offset_0|00cc00,3297420:3297439|offset_22|444444,3297440:3297459|offset_42|444444,3297466:3297485|offset_68|444444&amp;v=3297197:3297685&amp;c=444444", "offset 0")</f>
        <v>offset 0</v>
      </c>
    </row>
    <row r="11790" customFormat="false" ht="12.8" hidden="false" customHeight="false" outlineLevel="0" collapsed="false">
      <c r="A11790" s="0" t="s">
        <v>12</v>
      </c>
      <c r="B11790" s="0" t="n">
        <v>3297419</v>
      </c>
      <c r="C11790" s="0" t="n">
        <v>3297439</v>
      </c>
      <c r="D11790" s="0" t="s">
        <v>39317</v>
      </c>
      <c r="E11790" s="0" t="s">
        <v>89</v>
      </c>
      <c r="F11790" s="0" t="s">
        <v>15</v>
      </c>
      <c r="G11790" s="0" t="s">
        <v>36</v>
      </c>
      <c r="H11790" s="0" t="n">
        <v>22</v>
      </c>
      <c r="I11790" s="0" t="s">
        <v>39321</v>
      </c>
      <c r="J11790" s="0" t="s">
        <v>39322</v>
      </c>
      <c r="K11790" s="0" t="s">
        <v>39323</v>
      </c>
      <c r="L11790" s="0" t="str">
        <f aca="false">HYPERLINK("https://www.ncbi.nlm.nih.gov/nuccore/CP000304.1?report=graph&amp;tracks=[key:gene_model_track,Options:GeneOnly]&amp;mk=3297398:3297417|offset_0|444444,3297420:3297439|offset_22|00cc00,3297440:3297459|offset_42|444444,3297466:3297485|offset_68|444444&amp;v=3297197:3297685&amp;c=444444", "offset 22")</f>
        <v>offset 22</v>
      </c>
    </row>
    <row r="11791" customFormat="false" ht="12.8" hidden="false" customHeight="false" outlineLevel="0" collapsed="false">
      <c r="A11791" s="0" t="s">
        <v>12</v>
      </c>
      <c r="B11791" s="0" t="n">
        <v>3297439</v>
      </c>
      <c r="C11791" s="0" t="n">
        <v>3297459</v>
      </c>
      <c r="D11791" s="0" t="s">
        <v>39317</v>
      </c>
      <c r="E11791" s="0" t="s">
        <v>89</v>
      </c>
      <c r="F11791" s="0" t="s">
        <v>15</v>
      </c>
      <c r="G11791" s="0" t="s">
        <v>16</v>
      </c>
      <c r="H11791" s="0" t="n">
        <v>42</v>
      </c>
      <c r="I11791" s="0" t="s">
        <v>39324</v>
      </c>
      <c r="J11791" s="0" t="s">
        <v>39325</v>
      </c>
      <c r="K11791" s="0" t="s">
        <v>39326</v>
      </c>
      <c r="L11791" s="0" t="str">
        <f aca="false">HYPERLINK("https://www.ncbi.nlm.nih.gov/nuccore/CP000304.1?report=graph&amp;tracks=[key:gene_model_track,Options:GeneOnly]&amp;mk=3297398:3297417|offset_0|444444,3297420:3297439|offset_22|444444,3297440:3297459|offset_42|00cc00,3297466:3297485|offset_68|444444&amp;v=3297197:3297685&amp;c=444444", "offset 42")</f>
        <v>offset 42</v>
      </c>
    </row>
    <row r="11792" customFormat="false" ht="12.8" hidden="false" customHeight="false" outlineLevel="0" collapsed="false">
      <c r="A11792" s="0" t="s">
        <v>12</v>
      </c>
      <c r="B11792" s="0" t="n">
        <v>3297465</v>
      </c>
      <c r="C11792" s="0" t="n">
        <v>3297485</v>
      </c>
      <c r="D11792" s="0" t="s">
        <v>39317</v>
      </c>
      <c r="E11792" s="0" t="s">
        <v>89</v>
      </c>
      <c r="F11792" s="0" t="s">
        <v>15</v>
      </c>
      <c r="G11792" s="0" t="s">
        <v>16</v>
      </c>
      <c r="H11792" s="0" t="n">
        <v>68</v>
      </c>
      <c r="I11792" s="0" t="s">
        <v>39327</v>
      </c>
      <c r="J11792" s="0" t="s">
        <v>39328</v>
      </c>
      <c r="K11792" s="0" t="s">
        <v>39329</v>
      </c>
      <c r="L11792" s="0" t="str">
        <f aca="false">HYPERLINK("https://www.ncbi.nlm.nih.gov/nuccore/CP000304.1?report=graph&amp;tracks=[key:gene_model_track,Options:GeneOnly]&amp;mk=3297398:3297417|offset_0|444444,3297420:3297439|offset_22|444444,3297440:3297459|offset_42|444444,3297466:3297485|offset_68|00cc00&amp;v=3297197:3297685&amp;c=444444", "offset 68")</f>
        <v>offset 68</v>
      </c>
    </row>
    <row r="11793" customFormat="false" ht="12.8" hidden="false" customHeight="false" outlineLevel="0" collapsed="false">
      <c r="A11793" s="0" t="s">
        <v>12</v>
      </c>
      <c r="B11793" s="0" t="n">
        <v>3298582</v>
      </c>
      <c r="C11793" s="0" t="n">
        <v>3298602</v>
      </c>
      <c r="D11793" s="0" t="s">
        <v>39330</v>
      </c>
      <c r="E11793" s="0" t="s">
        <v>89</v>
      </c>
      <c r="F11793" s="0" t="s">
        <v>90</v>
      </c>
      <c r="G11793" s="0" t="s">
        <v>16</v>
      </c>
      <c r="H11793" s="0" t="n">
        <v>0</v>
      </c>
      <c r="I11793" s="0" t="s">
        <v>39331</v>
      </c>
      <c r="J11793" s="0" t="s">
        <v>39332</v>
      </c>
      <c r="K11793" s="0" t="s">
        <v>39333</v>
      </c>
      <c r="L11793" s="0" t="str">
        <f aca="false">HYPERLINK("https://www.ncbi.nlm.nih.gov/nuccore/CP000304.1?report=graph&amp;tracks=[key:gene_model_track,Options:GeneOnly]&amp;mk=3298583:3298602|offset_0|00cc00,3298558:3298577|offset_25|444444,3298535:3298554|offset_48|444444,3298503:3298522|offset_80|444444&amp;v=3298382:3298722&amp;c=444444", "offset 0")</f>
        <v>offset 0</v>
      </c>
    </row>
    <row r="11794" customFormat="false" ht="12.8" hidden="false" customHeight="false" outlineLevel="0" collapsed="false">
      <c r="A11794" s="0" t="s">
        <v>12</v>
      </c>
      <c r="B11794" s="0" t="n">
        <v>3298557</v>
      </c>
      <c r="C11794" s="0" t="n">
        <v>3298577</v>
      </c>
      <c r="D11794" s="0" t="s">
        <v>39330</v>
      </c>
      <c r="E11794" s="0" t="s">
        <v>89</v>
      </c>
      <c r="F11794" s="0" t="s">
        <v>90</v>
      </c>
      <c r="G11794" s="0" t="s">
        <v>36</v>
      </c>
      <c r="H11794" s="0" t="n">
        <v>25</v>
      </c>
      <c r="I11794" s="0" t="s">
        <v>39334</v>
      </c>
      <c r="J11794" s="0" t="s">
        <v>39335</v>
      </c>
      <c r="K11794" s="0" t="s">
        <v>39336</v>
      </c>
      <c r="L11794" s="0" t="str">
        <f aca="false">HYPERLINK("https://www.ncbi.nlm.nih.gov/nuccore/CP000304.1?report=graph&amp;tracks=[key:gene_model_track,Options:GeneOnly]&amp;mk=3298583:3298602|offset_0|444444,3298558:3298577|offset_25|00cc00,3298535:3298554|offset_48|444444,3298503:3298522|offset_80|444444&amp;v=3298382:3298722&amp;c=444444", "offset 25")</f>
        <v>offset 25</v>
      </c>
    </row>
    <row r="11795" customFormat="false" ht="12.8" hidden="false" customHeight="false" outlineLevel="0" collapsed="false">
      <c r="A11795" s="0" t="s">
        <v>12</v>
      </c>
      <c r="B11795" s="0" t="n">
        <v>3298534</v>
      </c>
      <c r="C11795" s="0" t="n">
        <v>3298554</v>
      </c>
      <c r="D11795" s="0" t="s">
        <v>39330</v>
      </c>
      <c r="E11795" s="0" t="s">
        <v>89</v>
      </c>
      <c r="F11795" s="0" t="s">
        <v>90</v>
      </c>
      <c r="G11795" s="0" t="s">
        <v>16</v>
      </c>
      <c r="H11795" s="0" t="n">
        <v>48</v>
      </c>
      <c r="I11795" s="0" t="s">
        <v>39337</v>
      </c>
      <c r="J11795" s="0" t="s">
        <v>39338</v>
      </c>
      <c r="K11795" s="0" t="s">
        <v>39339</v>
      </c>
      <c r="L11795" s="0" t="str">
        <f aca="false">HYPERLINK("https://www.ncbi.nlm.nih.gov/nuccore/CP000304.1?report=graph&amp;tracks=[key:gene_model_track,Options:GeneOnly]&amp;mk=3298583:3298602|offset_0|444444,3298558:3298577|offset_25|444444,3298535:3298554|offset_48|00cc00,3298503:3298522|offset_80|444444&amp;v=3298382:3298722&amp;c=444444", "offset 48")</f>
        <v>offset 48</v>
      </c>
    </row>
    <row r="11796" customFormat="false" ht="12.8" hidden="false" customHeight="false" outlineLevel="0" collapsed="false">
      <c r="A11796" s="0" t="s">
        <v>12</v>
      </c>
      <c r="B11796" s="0" t="n">
        <v>3298502</v>
      </c>
      <c r="C11796" s="0" t="n">
        <v>3298522</v>
      </c>
      <c r="D11796" s="0" t="s">
        <v>39330</v>
      </c>
      <c r="E11796" s="0" t="s">
        <v>89</v>
      </c>
      <c r="F11796" s="0" t="s">
        <v>90</v>
      </c>
      <c r="G11796" s="0" t="s">
        <v>16</v>
      </c>
      <c r="H11796" s="0" t="n">
        <v>80</v>
      </c>
      <c r="I11796" s="0" t="s">
        <v>39340</v>
      </c>
      <c r="J11796" s="0" t="s">
        <v>39341</v>
      </c>
      <c r="K11796" s="0" t="s">
        <v>39342</v>
      </c>
      <c r="L11796" s="0" t="str">
        <f aca="false">HYPERLINK("https://www.ncbi.nlm.nih.gov/nuccore/CP000304.1?report=graph&amp;tracks=[key:gene_model_track,Options:GeneOnly]&amp;mk=3298583:3298602|offset_0|444444,3298558:3298577|offset_25|444444,3298535:3298554|offset_48|444444,3298503:3298522|offset_80|00cc00&amp;v=3298382:3298722&amp;c=444444", "offset 80")</f>
        <v>offset 80</v>
      </c>
    </row>
    <row r="11797" customFormat="false" ht="12.8" hidden="false" customHeight="false" outlineLevel="0" collapsed="false">
      <c r="A11797" s="0" t="s">
        <v>12</v>
      </c>
      <c r="B11797" s="0" t="n">
        <v>3300203</v>
      </c>
      <c r="C11797" s="0" t="n">
        <v>3300223</v>
      </c>
      <c r="D11797" s="0" t="s">
        <v>39343</v>
      </c>
      <c r="E11797" s="0" t="s">
        <v>89</v>
      </c>
      <c r="F11797" s="0" t="s">
        <v>90</v>
      </c>
      <c r="G11797" s="0" t="s">
        <v>26</v>
      </c>
      <c r="H11797" s="0" t="n">
        <v>28</v>
      </c>
      <c r="I11797" s="0" t="s">
        <v>39344</v>
      </c>
      <c r="J11797" s="0" t="s">
        <v>39345</v>
      </c>
      <c r="K11797" s="0" t="s">
        <v>39346</v>
      </c>
      <c r="L11797" s="0" t="str">
        <f aca="false">HYPERLINK("https://www.ncbi.nlm.nih.gov/nuccore/CP000304.1?report=graph&amp;tracks=[key:gene_model_track,Options:GeneOnly]&amp;mk=3300204:3300223|offset_28|00cc00,3300171:3300190|offset_61|444444,3300140:3300159|offset_92|444444,3300087:3300106|offset_145|444444&amp;v=3300003:3300306&amp;c=444444", "offset 28")</f>
        <v>offset 28</v>
      </c>
    </row>
    <row r="11798" customFormat="false" ht="12.8" hidden="false" customHeight="false" outlineLevel="0" collapsed="false">
      <c r="A11798" s="0" t="s">
        <v>12</v>
      </c>
      <c r="B11798" s="0" t="n">
        <v>3300170</v>
      </c>
      <c r="C11798" s="0" t="n">
        <v>3300190</v>
      </c>
      <c r="D11798" s="0" t="s">
        <v>39343</v>
      </c>
      <c r="E11798" s="0" t="s">
        <v>89</v>
      </c>
      <c r="F11798" s="0" t="s">
        <v>90</v>
      </c>
      <c r="G11798" s="0" t="s">
        <v>32</v>
      </c>
      <c r="H11798" s="0" t="n">
        <v>61</v>
      </c>
      <c r="I11798" s="0" t="s">
        <v>39347</v>
      </c>
      <c r="J11798" s="0" t="s">
        <v>39348</v>
      </c>
      <c r="K11798" s="0" t="s">
        <v>39349</v>
      </c>
      <c r="L11798" s="0" t="str">
        <f aca="false">HYPERLINK("https://www.ncbi.nlm.nih.gov/nuccore/CP000304.1?report=graph&amp;tracks=[key:gene_model_track,Options:GeneOnly]&amp;mk=3300204:3300223|offset_28|444444,3300171:3300190|offset_61|00cc00,3300140:3300159|offset_92|444444,3300087:3300106|offset_145|444444&amp;v=3300003:3300306&amp;c=444444", "offset 61")</f>
        <v>offset 61</v>
      </c>
    </row>
    <row r="11799" customFormat="false" ht="12.8" hidden="false" customHeight="false" outlineLevel="0" collapsed="false">
      <c r="A11799" s="0" t="s">
        <v>12</v>
      </c>
      <c r="B11799" s="0" t="n">
        <v>3300139</v>
      </c>
      <c r="C11799" s="0" t="n">
        <v>3300159</v>
      </c>
      <c r="D11799" s="0" t="s">
        <v>39343</v>
      </c>
      <c r="E11799" s="0" t="s">
        <v>89</v>
      </c>
      <c r="F11799" s="0" t="s">
        <v>90</v>
      </c>
      <c r="G11799" s="0" t="s">
        <v>26</v>
      </c>
      <c r="H11799" s="0" t="n">
        <v>92</v>
      </c>
      <c r="I11799" s="0" t="s">
        <v>39350</v>
      </c>
      <c r="J11799" s="0" t="s">
        <v>39351</v>
      </c>
      <c r="K11799" s="0" t="s">
        <v>39352</v>
      </c>
      <c r="L11799" s="0" t="str">
        <f aca="false">HYPERLINK("https://www.ncbi.nlm.nih.gov/nuccore/CP000304.1?report=graph&amp;tracks=[key:gene_model_track,Options:GeneOnly]&amp;mk=3300204:3300223|offset_28|444444,3300171:3300190|offset_61|444444,3300140:3300159|offset_92|00cc00,3300087:3300106|offset_145|444444&amp;v=3300003:3300306&amp;c=444444", "offset 92")</f>
        <v>offset 92</v>
      </c>
    </row>
    <row r="11800" customFormat="false" ht="12.8" hidden="false" customHeight="false" outlineLevel="0" collapsed="false">
      <c r="A11800" s="0" t="s">
        <v>12</v>
      </c>
      <c r="B11800" s="0" t="n">
        <v>3300086</v>
      </c>
      <c r="C11800" s="0" t="n">
        <v>3300106</v>
      </c>
      <c r="D11800" s="0" t="s">
        <v>39343</v>
      </c>
      <c r="E11800" s="0" t="s">
        <v>89</v>
      </c>
      <c r="F11800" s="0" t="s">
        <v>90</v>
      </c>
      <c r="G11800" s="0" t="s">
        <v>26</v>
      </c>
      <c r="H11800" s="0" t="n">
        <v>145</v>
      </c>
      <c r="I11800" s="0" t="s">
        <v>39353</v>
      </c>
      <c r="J11800" s="0" t="s">
        <v>39354</v>
      </c>
      <c r="K11800" s="0" t="s">
        <v>39355</v>
      </c>
      <c r="L11800" s="0" t="str">
        <f aca="false">HYPERLINK("https://www.ncbi.nlm.nih.gov/nuccore/CP000304.1?report=graph&amp;tracks=[key:gene_model_track,Options:GeneOnly]&amp;mk=3300204:3300223|offset_28|444444,3300171:3300190|offset_61|444444,3300140:3300159|offset_92|444444,3300087:3300106|offset_145|00cc00&amp;v=3300003:3300306&amp;c=444444", "offset 145")</f>
        <v>offset 145</v>
      </c>
    </row>
    <row r="11801" customFormat="false" ht="12.8" hidden="false" customHeight="false" outlineLevel="0" collapsed="false">
      <c r="A11801" s="0" t="s">
        <v>12</v>
      </c>
      <c r="B11801" s="0" t="n">
        <v>3301072</v>
      </c>
      <c r="C11801" s="0" t="n">
        <v>3301092</v>
      </c>
      <c r="D11801" s="0" t="s">
        <v>39356</v>
      </c>
      <c r="E11801" s="0" t="s">
        <v>89</v>
      </c>
      <c r="F11801" s="0" t="s">
        <v>90</v>
      </c>
      <c r="G11801" s="0" t="s">
        <v>36</v>
      </c>
      <c r="H11801" s="0" t="n">
        <v>16</v>
      </c>
      <c r="I11801" s="0" t="s">
        <v>39357</v>
      </c>
      <c r="J11801" s="0" t="s">
        <v>39358</v>
      </c>
      <c r="K11801" s="0" t="s">
        <v>39359</v>
      </c>
      <c r="L11801" s="0" t="str">
        <f aca="false">HYPERLINK("https://www.ncbi.nlm.nih.gov/nuccore/CP000304.1?report=graph&amp;tracks=[key:gene_model_track,Options:GeneOnly]&amp;mk=3301073:3301092|offset_16|00cc00,3301024:3301043|offset_65|444444,3301001:3301020|offset_88|444444,3300958:3300977|offset_131|444444&amp;v=3300872:3301177&amp;c=444444", "offset 16")</f>
        <v>offset 16</v>
      </c>
    </row>
    <row r="11802" customFormat="false" ht="12.8" hidden="false" customHeight="false" outlineLevel="0" collapsed="false">
      <c r="A11802" s="0" t="s">
        <v>12</v>
      </c>
      <c r="B11802" s="0" t="n">
        <v>3301023</v>
      </c>
      <c r="C11802" s="0" t="n">
        <v>3301043</v>
      </c>
      <c r="D11802" s="0" t="s">
        <v>39356</v>
      </c>
      <c r="E11802" s="0" t="s">
        <v>89</v>
      </c>
      <c r="F11802" s="0" t="s">
        <v>90</v>
      </c>
      <c r="G11802" s="0" t="s">
        <v>16</v>
      </c>
      <c r="H11802" s="0" t="n">
        <v>65</v>
      </c>
      <c r="I11802" s="0" t="s">
        <v>39360</v>
      </c>
      <c r="J11802" s="0" t="s">
        <v>39361</v>
      </c>
      <c r="K11802" s="0" t="s">
        <v>39362</v>
      </c>
      <c r="L11802" s="0" t="str">
        <f aca="false">HYPERLINK("https://www.ncbi.nlm.nih.gov/nuccore/CP000304.1?report=graph&amp;tracks=[key:gene_model_track,Options:GeneOnly]&amp;mk=3301073:3301092|offset_16|444444,3301024:3301043|offset_65|00cc00,3301001:3301020|offset_88|444444,3300958:3300977|offset_131|444444&amp;v=3300872:3301177&amp;c=444444", "offset 65")</f>
        <v>offset 65</v>
      </c>
    </row>
    <row r="11803" customFormat="false" ht="12.8" hidden="false" customHeight="false" outlineLevel="0" collapsed="false">
      <c r="A11803" s="0" t="s">
        <v>12</v>
      </c>
      <c r="B11803" s="0" t="n">
        <v>3301000</v>
      </c>
      <c r="C11803" s="0" t="n">
        <v>3301020</v>
      </c>
      <c r="D11803" s="0" t="s">
        <v>39356</v>
      </c>
      <c r="E11803" s="0" t="s">
        <v>89</v>
      </c>
      <c r="F11803" s="0" t="s">
        <v>90</v>
      </c>
      <c r="G11803" s="0" t="s">
        <v>36</v>
      </c>
      <c r="H11803" s="0" t="n">
        <v>88</v>
      </c>
      <c r="I11803" s="0" t="s">
        <v>39363</v>
      </c>
      <c r="J11803" s="0" t="s">
        <v>39364</v>
      </c>
      <c r="K11803" s="0" t="s">
        <v>39365</v>
      </c>
      <c r="L11803" s="0" t="str">
        <f aca="false">HYPERLINK("https://www.ncbi.nlm.nih.gov/nuccore/CP000304.1?report=graph&amp;tracks=[key:gene_model_track,Options:GeneOnly]&amp;mk=3301073:3301092|offset_16|444444,3301024:3301043|offset_65|444444,3301001:3301020|offset_88|00cc00,3300958:3300977|offset_131|444444&amp;v=3300872:3301177&amp;c=444444", "offset 88")</f>
        <v>offset 88</v>
      </c>
    </row>
    <row r="11804" customFormat="false" ht="12.8" hidden="false" customHeight="false" outlineLevel="0" collapsed="false">
      <c r="A11804" s="0" t="s">
        <v>12</v>
      </c>
      <c r="B11804" s="0" t="n">
        <v>3300957</v>
      </c>
      <c r="C11804" s="0" t="n">
        <v>3300977</v>
      </c>
      <c r="D11804" s="0" t="s">
        <v>39356</v>
      </c>
      <c r="E11804" s="0" t="s">
        <v>89</v>
      </c>
      <c r="F11804" s="0" t="s">
        <v>90</v>
      </c>
      <c r="G11804" s="0" t="s">
        <v>26</v>
      </c>
      <c r="H11804" s="0" t="n">
        <v>131</v>
      </c>
      <c r="I11804" s="0" t="s">
        <v>39366</v>
      </c>
      <c r="J11804" s="0" t="s">
        <v>39367</v>
      </c>
      <c r="K11804" s="0" t="s">
        <v>39368</v>
      </c>
      <c r="L11804" s="0" t="str">
        <f aca="false">HYPERLINK("https://www.ncbi.nlm.nih.gov/nuccore/CP000304.1?report=graph&amp;tracks=[key:gene_model_track,Options:GeneOnly]&amp;mk=3301073:3301092|offset_16|444444,3301024:3301043|offset_65|444444,3301001:3301020|offset_88|444444,3300958:3300977|offset_131|00cc00&amp;v=3300872:3301177&amp;c=444444", "offset 131")</f>
        <v>offset 131</v>
      </c>
    </row>
    <row r="11805" customFormat="false" ht="12.8" hidden="false" customHeight="false" outlineLevel="0" collapsed="false">
      <c r="A11805" s="0" t="s">
        <v>12</v>
      </c>
      <c r="B11805" s="0" t="n">
        <v>3301302</v>
      </c>
      <c r="C11805" s="0" t="n">
        <v>3301322</v>
      </c>
      <c r="D11805" s="0" t="s">
        <v>39369</v>
      </c>
      <c r="E11805" s="0" t="s">
        <v>89</v>
      </c>
      <c r="F11805" s="0" t="s">
        <v>15</v>
      </c>
      <c r="G11805" s="0" t="s">
        <v>36</v>
      </c>
      <c r="H11805" s="0" t="n">
        <v>10</v>
      </c>
      <c r="I11805" s="0" t="s">
        <v>39370</v>
      </c>
      <c r="J11805" s="0" t="s">
        <v>39371</v>
      </c>
      <c r="K11805" s="0" t="s">
        <v>39372</v>
      </c>
      <c r="L11805" s="0" t="str">
        <f aca="false">HYPERLINK("https://www.ncbi.nlm.nih.gov/nuccore/CP000304.1?report=graph&amp;tracks=[key:gene_model_track,Options:GeneOnly]&amp;mk=3301303:3301322|offset_10|00cc00,3301328:3301347|offset_35|444444,3301356:3301375|offset_63|444444,3301377:3301396|offset_84|444444&amp;v=3301102:3301596&amp;c=444444", "offset 10")</f>
        <v>offset 10</v>
      </c>
    </row>
    <row r="11806" customFormat="false" ht="12.8" hidden="false" customHeight="false" outlineLevel="0" collapsed="false">
      <c r="A11806" s="0" t="s">
        <v>12</v>
      </c>
      <c r="B11806" s="0" t="n">
        <v>3301327</v>
      </c>
      <c r="C11806" s="0" t="n">
        <v>3301347</v>
      </c>
      <c r="D11806" s="0" t="s">
        <v>39369</v>
      </c>
      <c r="E11806" s="0" t="s">
        <v>89</v>
      </c>
      <c r="F11806" s="0" t="s">
        <v>15</v>
      </c>
      <c r="G11806" s="0" t="s">
        <v>36</v>
      </c>
      <c r="H11806" s="0" t="n">
        <v>35</v>
      </c>
      <c r="I11806" s="0" t="s">
        <v>39373</v>
      </c>
      <c r="J11806" s="0" t="s">
        <v>39374</v>
      </c>
      <c r="K11806" s="0" t="s">
        <v>39375</v>
      </c>
      <c r="L11806" s="0" t="str">
        <f aca="false">HYPERLINK("https://www.ncbi.nlm.nih.gov/nuccore/CP000304.1?report=graph&amp;tracks=[key:gene_model_track,Options:GeneOnly]&amp;mk=3301303:3301322|offset_10|444444,3301328:3301347|offset_35|00cc00,3301356:3301375|offset_63|444444,3301377:3301396|offset_84|444444&amp;v=3301102:3301596&amp;c=444444", "offset 35")</f>
        <v>offset 35</v>
      </c>
    </row>
    <row r="11807" customFormat="false" ht="12.8" hidden="false" customHeight="false" outlineLevel="0" collapsed="false">
      <c r="A11807" s="0" t="s">
        <v>12</v>
      </c>
      <c r="B11807" s="0" t="n">
        <v>3301355</v>
      </c>
      <c r="C11807" s="0" t="n">
        <v>3301375</v>
      </c>
      <c r="D11807" s="0" t="s">
        <v>39369</v>
      </c>
      <c r="E11807" s="0" t="s">
        <v>89</v>
      </c>
      <c r="F11807" s="0" t="s">
        <v>15</v>
      </c>
      <c r="G11807" s="0" t="s">
        <v>36</v>
      </c>
      <c r="H11807" s="0" t="n">
        <v>63</v>
      </c>
      <c r="I11807" s="0" t="s">
        <v>39376</v>
      </c>
      <c r="J11807" s="0" t="s">
        <v>39377</v>
      </c>
      <c r="K11807" s="0" t="s">
        <v>39378</v>
      </c>
      <c r="L11807" s="0" t="str">
        <f aca="false">HYPERLINK("https://www.ncbi.nlm.nih.gov/nuccore/CP000304.1?report=graph&amp;tracks=[key:gene_model_track,Options:GeneOnly]&amp;mk=3301303:3301322|offset_10|444444,3301328:3301347|offset_35|444444,3301356:3301375|offset_63|00cc00,3301377:3301396|offset_84|444444&amp;v=3301102:3301596&amp;c=444444", "offset 63")</f>
        <v>offset 63</v>
      </c>
    </row>
    <row r="11808" customFormat="false" ht="12.8" hidden="false" customHeight="false" outlineLevel="0" collapsed="false">
      <c r="A11808" s="0" t="s">
        <v>12</v>
      </c>
      <c r="B11808" s="0" t="n">
        <v>3301376</v>
      </c>
      <c r="C11808" s="0" t="n">
        <v>3301396</v>
      </c>
      <c r="D11808" s="0" t="s">
        <v>39369</v>
      </c>
      <c r="E11808" s="0" t="s">
        <v>89</v>
      </c>
      <c r="F11808" s="0" t="s">
        <v>15</v>
      </c>
      <c r="G11808" s="0" t="s">
        <v>16</v>
      </c>
      <c r="H11808" s="0" t="n">
        <v>84</v>
      </c>
      <c r="I11808" s="0" t="s">
        <v>39379</v>
      </c>
      <c r="J11808" s="0" t="s">
        <v>39380</v>
      </c>
      <c r="K11808" s="0" t="s">
        <v>39381</v>
      </c>
      <c r="L11808" s="0" t="str">
        <f aca="false">HYPERLINK("https://www.ncbi.nlm.nih.gov/nuccore/CP000304.1?report=graph&amp;tracks=[key:gene_model_track,Options:GeneOnly]&amp;mk=3301303:3301322|offset_10|444444,3301328:3301347|offset_35|444444,3301356:3301375|offset_63|444444,3301377:3301396|offset_84|00cc00&amp;v=3301102:3301596&amp;c=444444", "offset 84")</f>
        <v>offset 84</v>
      </c>
    </row>
    <row r="11809" customFormat="false" ht="12.8" hidden="false" customHeight="false" outlineLevel="0" collapsed="false">
      <c r="A11809" s="0" t="s">
        <v>12</v>
      </c>
      <c r="B11809" s="0" t="n">
        <v>3302584</v>
      </c>
      <c r="C11809" s="0" t="n">
        <v>3302604</v>
      </c>
      <c r="D11809" s="0" t="s">
        <v>39382</v>
      </c>
      <c r="E11809" s="0" t="s">
        <v>89</v>
      </c>
      <c r="F11809" s="0" t="s">
        <v>15</v>
      </c>
      <c r="G11809" s="0" t="s">
        <v>32</v>
      </c>
      <c r="H11809" s="0" t="n">
        <v>13</v>
      </c>
      <c r="I11809" s="0" t="s">
        <v>39383</v>
      </c>
      <c r="J11809" s="0" t="s">
        <v>39384</v>
      </c>
      <c r="K11809" s="0" t="s">
        <v>39385</v>
      </c>
      <c r="L11809" s="0" t="str">
        <f aca="false">HYPERLINK("https://www.ncbi.nlm.nih.gov/nuccore/CP000304.1?report=graph&amp;tracks=[key:gene_model_track,Options:GeneOnly]&amp;mk=3302585:3302604|offset_13|00cc00,3302613:3302632|offset_41|444444,3302666:3302685|offset_94|444444,3302693:3302712|offset_121|444444&amp;v=3302384:3302912&amp;c=444444", "offset 13")</f>
        <v>offset 13</v>
      </c>
    </row>
    <row r="11810" customFormat="false" ht="12.8" hidden="false" customHeight="false" outlineLevel="0" collapsed="false">
      <c r="A11810" s="0" t="s">
        <v>12</v>
      </c>
      <c r="B11810" s="0" t="n">
        <v>3302612</v>
      </c>
      <c r="C11810" s="0" t="n">
        <v>3302632</v>
      </c>
      <c r="D11810" s="0" t="s">
        <v>39382</v>
      </c>
      <c r="E11810" s="0" t="s">
        <v>89</v>
      </c>
      <c r="F11810" s="0" t="s">
        <v>15</v>
      </c>
      <c r="G11810" s="0" t="s">
        <v>26</v>
      </c>
      <c r="H11810" s="0" t="n">
        <v>41</v>
      </c>
      <c r="I11810" s="0" t="s">
        <v>39386</v>
      </c>
      <c r="J11810" s="0" t="s">
        <v>39387</v>
      </c>
      <c r="K11810" s="0" t="s">
        <v>39388</v>
      </c>
      <c r="L11810" s="0" t="str">
        <f aca="false">HYPERLINK("https://www.ncbi.nlm.nih.gov/nuccore/CP000304.1?report=graph&amp;tracks=[key:gene_model_track,Options:GeneOnly]&amp;mk=3302585:3302604|offset_13|444444,3302613:3302632|offset_41|00cc00,3302666:3302685|offset_94|444444,3302693:3302712|offset_121|444444&amp;v=3302384:3302912&amp;c=444444", "offset 41")</f>
        <v>offset 41</v>
      </c>
    </row>
    <row r="11811" customFormat="false" ht="12.8" hidden="false" customHeight="false" outlineLevel="0" collapsed="false">
      <c r="A11811" s="0" t="s">
        <v>12</v>
      </c>
      <c r="B11811" s="0" t="n">
        <v>3302665</v>
      </c>
      <c r="C11811" s="0" t="n">
        <v>3302685</v>
      </c>
      <c r="D11811" s="0" t="s">
        <v>39382</v>
      </c>
      <c r="E11811" s="0" t="s">
        <v>89</v>
      </c>
      <c r="F11811" s="0" t="s">
        <v>15</v>
      </c>
      <c r="G11811" s="0" t="s">
        <v>16</v>
      </c>
      <c r="H11811" s="0" t="n">
        <v>94</v>
      </c>
      <c r="I11811" s="0" t="s">
        <v>39389</v>
      </c>
      <c r="J11811" s="0" t="s">
        <v>39390</v>
      </c>
      <c r="K11811" s="0" t="s">
        <v>39391</v>
      </c>
      <c r="L11811" s="0" t="str">
        <f aca="false">HYPERLINK("https://www.ncbi.nlm.nih.gov/nuccore/CP000304.1?report=graph&amp;tracks=[key:gene_model_track,Options:GeneOnly]&amp;mk=3302585:3302604|offset_13|444444,3302613:3302632|offset_41|444444,3302666:3302685|offset_94|00cc00,3302693:3302712|offset_121|444444&amp;v=3302384:3302912&amp;c=444444", "offset 94")</f>
        <v>offset 94</v>
      </c>
    </row>
    <row r="11812" customFormat="false" ht="12.8" hidden="false" customHeight="false" outlineLevel="0" collapsed="false">
      <c r="A11812" s="0" t="s">
        <v>12</v>
      </c>
      <c r="B11812" s="0" t="n">
        <v>3302692</v>
      </c>
      <c r="C11812" s="0" t="n">
        <v>3302712</v>
      </c>
      <c r="D11812" s="0" t="s">
        <v>39382</v>
      </c>
      <c r="E11812" s="0" t="s">
        <v>89</v>
      </c>
      <c r="F11812" s="0" t="s">
        <v>15</v>
      </c>
      <c r="G11812" s="0" t="s">
        <v>32</v>
      </c>
      <c r="H11812" s="0" t="n">
        <v>121</v>
      </c>
      <c r="I11812" s="0" t="s">
        <v>39392</v>
      </c>
      <c r="J11812" s="0" t="s">
        <v>39393</v>
      </c>
      <c r="K11812" s="0" t="s">
        <v>39394</v>
      </c>
      <c r="L11812" s="0" t="str">
        <f aca="false">HYPERLINK("https://www.ncbi.nlm.nih.gov/nuccore/CP000304.1?report=graph&amp;tracks=[key:gene_model_track,Options:GeneOnly]&amp;mk=3302585:3302604|offset_13|444444,3302613:3302632|offset_41|444444,3302666:3302685|offset_94|444444,3302693:3302712|offset_121|00cc00&amp;v=3302384:3302912&amp;c=444444", "offset 121")</f>
        <v>offset 121</v>
      </c>
    </row>
    <row r="11813" customFormat="false" ht="12.8" hidden="false" customHeight="false" outlineLevel="0" collapsed="false">
      <c r="A11813" s="0" t="s">
        <v>12</v>
      </c>
      <c r="B11813" s="0" t="n">
        <v>3303252</v>
      </c>
      <c r="C11813" s="0" t="n">
        <v>3303272</v>
      </c>
      <c r="D11813" s="0" t="s">
        <v>39395</v>
      </c>
      <c r="E11813" s="0" t="s">
        <v>89</v>
      </c>
      <c r="F11813" s="0" t="s">
        <v>15</v>
      </c>
      <c r="G11813" s="0" t="s">
        <v>26</v>
      </c>
      <c r="H11813" s="0" t="n">
        <v>16</v>
      </c>
      <c r="I11813" s="0" t="s">
        <v>39396</v>
      </c>
      <c r="J11813" s="0" t="s">
        <v>39397</v>
      </c>
      <c r="K11813" s="0" t="s">
        <v>39398</v>
      </c>
      <c r="L11813" s="0" t="str">
        <f aca="false">HYPERLINK("https://www.ncbi.nlm.nih.gov/nuccore/CP000304.1?report=graph&amp;tracks=[key:gene_model_track,Options:GeneOnly]&amp;mk=3303253:3303272|offset_16|00cc00,3303273:3303292|offset_36|444444,3303309:3303328|offset_72|444444,3303340:3303359|offset_103|444444&amp;v=3303052:3303559&amp;c=444444", "offset 16")</f>
        <v>offset 16</v>
      </c>
    </row>
    <row r="11814" customFormat="false" ht="12.8" hidden="false" customHeight="false" outlineLevel="0" collapsed="false">
      <c r="A11814" s="0" t="s">
        <v>12</v>
      </c>
      <c r="B11814" s="0" t="n">
        <v>3303272</v>
      </c>
      <c r="C11814" s="0" t="n">
        <v>3303292</v>
      </c>
      <c r="D11814" s="0" t="s">
        <v>39395</v>
      </c>
      <c r="E11814" s="0" t="s">
        <v>89</v>
      </c>
      <c r="F11814" s="0" t="s">
        <v>15</v>
      </c>
      <c r="G11814" s="0" t="s">
        <v>16</v>
      </c>
      <c r="H11814" s="0" t="n">
        <v>36</v>
      </c>
      <c r="I11814" s="0" t="s">
        <v>39399</v>
      </c>
      <c r="J11814" s="0" t="s">
        <v>39400</v>
      </c>
      <c r="K11814" s="0" t="s">
        <v>39401</v>
      </c>
      <c r="L11814" s="0" t="str">
        <f aca="false">HYPERLINK("https://www.ncbi.nlm.nih.gov/nuccore/CP000304.1?report=graph&amp;tracks=[key:gene_model_track,Options:GeneOnly]&amp;mk=3303253:3303272|offset_16|444444,3303273:3303292|offset_36|00cc00,3303309:3303328|offset_72|444444,3303340:3303359|offset_103|444444&amp;v=3303052:3303559&amp;c=444444", "offset 36")</f>
        <v>offset 36</v>
      </c>
    </row>
    <row r="11815" customFormat="false" ht="12.8" hidden="false" customHeight="false" outlineLevel="0" collapsed="false">
      <c r="A11815" s="0" t="s">
        <v>12</v>
      </c>
      <c r="B11815" s="0" t="n">
        <v>3303308</v>
      </c>
      <c r="C11815" s="0" t="n">
        <v>3303328</v>
      </c>
      <c r="D11815" s="0" t="s">
        <v>39395</v>
      </c>
      <c r="E11815" s="0" t="s">
        <v>89</v>
      </c>
      <c r="F11815" s="0" t="s">
        <v>15</v>
      </c>
      <c r="G11815" s="0" t="s">
        <v>36</v>
      </c>
      <c r="H11815" s="0" t="n">
        <v>72</v>
      </c>
      <c r="I11815" s="0" t="s">
        <v>39402</v>
      </c>
      <c r="J11815" s="0" t="s">
        <v>39403</v>
      </c>
      <c r="K11815" s="0" t="s">
        <v>39404</v>
      </c>
      <c r="L11815" s="0" t="str">
        <f aca="false">HYPERLINK("https://www.ncbi.nlm.nih.gov/nuccore/CP000304.1?report=graph&amp;tracks=[key:gene_model_track,Options:GeneOnly]&amp;mk=3303253:3303272|offset_16|444444,3303273:3303292|offset_36|444444,3303309:3303328|offset_72|00cc00,3303340:3303359|offset_103|444444&amp;v=3303052:3303559&amp;c=444444", "offset 72")</f>
        <v>offset 72</v>
      </c>
    </row>
    <row r="11816" customFormat="false" ht="12.8" hidden="false" customHeight="false" outlineLevel="0" collapsed="false">
      <c r="A11816" s="0" t="s">
        <v>12</v>
      </c>
      <c r="B11816" s="0" t="n">
        <v>3303339</v>
      </c>
      <c r="C11816" s="0" t="n">
        <v>3303359</v>
      </c>
      <c r="D11816" s="0" t="s">
        <v>39395</v>
      </c>
      <c r="E11816" s="0" t="s">
        <v>89</v>
      </c>
      <c r="F11816" s="0" t="s">
        <v>15</v>
      </c>
      <c r="G11816" s="0" t="s">
        <v>16</v>
      </c>
      <c r="H11816" s="0" t="n">
        <v>103</v>
      </c>
      <c r="I11816" s="0" t="s">
        <v>39405</v>
      </c>
      <c r="J11816" s="0" t="s">
        <v>39406</v>
      </c>
      <c r="K11816" s="0" t="s">
        <v>39407</v>
      </c>
      <c r="L11816" s="0" t="str">
        <f aca="false">HYPERLINK("https://www.ncbi.nlm.nih.gov/nuccore/CP000304.1?report=graph&amp;tracks=[key:gene_model_track,Options:GeneOnly]&amp;mk=3303253:3303272|offset_16|444444,3303273:3303292|offset_36|444444,3303309:3303328|offset_72|444444,3303340:3303359|offset_103|00cc00&amp;v=3303052:3303559&amp;c=444444", "offset 103")</f>
        <v>offset 103</v>
      </c>
    </row>
    <row r="11817" customFormat="false" ht="12.8" hidden="false" customHeight="false" outlineLevel="0" collapsed="false">
      <c r="A11817" s="0" t="s">
        <v>12</v>
      </c>
      <c r="B11817" s="0" t="n">
        <v>3304868</v>
      </c>
      <c r="C11817" s="0" t="n">
        <v>3304888</v>
      </c>
      <c r="D11817" s="0" t="s">
        <v>39408</v>
      </c>
      <c r="E11817" s="0" t="s">
        <v>89</v>
      </c>
      <c r="F11817" s="0" t="s">
        <v>90</v>
      </c>
      <c r="G11817" s="0" t="s">
        <v>26</v>
      </c>
      <c r="H11817" s="0" t="n">
        <v>25</v>
      </c>
      <c r="I11817" s="0" t="s">
        <v>39409</v>
      </c>
      <c r="J11817" s="0" t="s">
        <v>39410</v>
      </c>
      <c r="K11817" s="0" t="s">
        <v>39411</v>
      </c>
      <c r="L11817" s="0" t="str">
        <f aca="false">HYPERLINK("https://www.ncbi.nlm.nih.gov/nuccore/CP000304.1?report=graph&amp;tracks=[key:gene_model_track,Options:GeneOnly]&amp;mk=3304869:3304888|offset_25|00cc00,3304846:3304865|offset_48|444444,3304821:3304840|offset_73|444444,3304792:3304811|offset_102|444444&amp;v=3304668:3305011&amp;c=444444", "offset 25")</f>
        <v>offset 25</v>
      </c>
    </row>
    <row r="11818" customFormat="false" ht="12.8" hidden="false" customHeight="false" outlineLevel="0" collapsed="false">
      <c r="A11818" s="0" t="s">
        <v>12</v>
      </c>
      <c r="B11818" s="0" t="n">
        <v>3304845</v>
      </c>
      <c r="C11818" s="0" t="n">
        <v>3304865</v>
      </c>
      <c r="D11818" s="0" t="s">
        <v>39408</v>
      </c>
      <c r="E11818" s="0" t="s">
        <v>89</v>
      </c>
      <c r="F11818" s="0" t="s">
        <v>90</v>
      </c>
      <c r="G11818" s="0" t="s">
        <v>16</v>
      </c>
      <c r="H11818" s="0" t="n">
        <v>48</v>
      </c>
      <c r="I11818" s="0" t="s">
        <v>39412</v>
      </c>
      <c r="J11818" s="0" t="s">
        <v>39413</v>
      </c>
      <c r="K11818" s="0" t="s">
        <v>39414</v>
      </c>
      <c r="L11818" s="0" t="str">
        <f aca="false">HYPERLINK("https://www.ncbi.nlm.nih.gov/nuccore/CP000304.1?report=graph&amp;tracks=[key:gene_model_track,Options:GeneOnly]&amp;mk=3304869:3304888|offset_25|444444,3304846:3304865|offset_48|00cc00,3304821:3304840|offset_73|444444,3304792:3304811|offset_102|444444&amp;v=3304668:3305011&amp;c=444444", "offset 48")</f>
        <v>offset 48</v>
      </c>
    </row>
    <row r="11819" customFormat="false" ht="12.8" hidden="false" customHeight="false" outlineLevel="0" collapsed="false">
      <c r="A11819" s="0" t="s">
        <v>12</v>
      </c>
      <c r="B11819" s="0" t="n">
        <v>3304820</v>
      </c>
      <c r="C11819" s="0" t="n">
        <v>3304840</v>
      </c>
      <c r="D11819" s="0" t="s">
        <v>39408</v>
      </c>
      <c r="E11819" s="0" t="s">
        <v>89</v>
      </c>
      <c r="F11819" s="0" t="s">
        <v>90</v>
      </c>
      <c r="G11819" s="0" t="s">
        <v>16</v>
      </c>
      <c r="H11819" s="0" t="n">
        <v>73</v>
      </c>
      <c r="I11819" s="0" t="s">
        <v>39415</v>
      </c>
      <c r="J11819" s="0" t="s">
        <v>39416</v>
      </c>
      <c r="K11819" s="0" t="s">
        <v>39417</v>
      </c>
      <c r="L11819" s="0" t="str">
        <f aca="false">HYPERLINK("https://www.ncbi.nlm.nih.gov/nuccore/CP000304.1?report=graph&amp;tracks=[key:gene_model_track,Options:GeneOnly]&amp;mk=3304869:3304888|offset_25|444444,3304846:3304865|offset_48|444444,3304821:3304840|offset_73|00cc00,3304792:3304811|offset_102|444444&amp;v=3304668:3305011&amp;c=444444", "offset 73")</f>
        <v>offset 73</v>
      </c>
    </row>
    <row r="11820" customFormat="false" ht="12.8" hidden="false" customHeight="false" outlineLevel="0" collapsed="false">
      <c r="A11820" s="0" t="s">
        <v>12</v>
      </c>
      <c r="B11820" s="0" t="n">
        <v>3304791</v>
      </c>
      <c r="C11820" s="0" t="n">
        <v>3304811</v>
      </c>
      <c r="D11820" s="0" t="s">
        <v>39408</v>
      </c>
      <c r="E11820" s="0" t="s">
        <v>89</v>
      </c>
      <c r="F11820" s="0" t="s">
        <v>90</v>
      </c>
      <c r="G11820" s="0" t="s">
        <v>16</v>
      </c>
      <c r="H11820" s="0" t="n">
        <v>102</v>
      </c>
      <c r="I11820" s="0" t="s">
        <v>39418</v>
      </c>
      <c r="J11820" s="0" t="s">
        <v>39419</v>
      </c>
      <c r="K11820" s="0" t="s">
        <v>39420</v>
      </c>
      <c r="L11820" s="0" t="str">
        <f aca="false">HYPERLINK("https://www.ncbi.nlm.nih.gov/nuccore/CP000304.1?report=graph&amp;tracks=[key:gene_model_track,Options:GeneOnly]&amp;mk=3304869:3304888|offset_25|444444,3304846:3304865|offset_48|444444,3304821:3304840|offset_73|444444,3304792:3304811|offset_102|00cc00&amp;v=3304668:3305011&amp;c=444444", "offset 102")</f>
        <v>offset 102</v>
      </c>
    </row>
    <row r="11821" customFormat="false" ht="12.8" hidden="false" customHeight="false" outlineLevel="0" collapsed="false">
      <c r="A11821" s="0" t="s">
        <v>12</v>
      </c>
      <c r="B11821" s="0" t="n">
        <v>3305382</v>
      </c>
      <c r="C11821" s="0" t="n">
        <v>3305402</v>
      </c>
      <c r="D11821" s="0" t="s">
        <v>39421</v>
      </c>
      <c r="E11821" s="0" t="s">
        <v>89</v>
      </c>
      <c r="F11821" s="0" t="s">
        <v>90</v>
      </c>
      <c r="G11821" s="0" t="s">
        <v>16</v>
      </c>
      <c r="H11821" s="0" t="n">
        <v>6</v>
      </c>
      <c r="I11821" s="0" t="s">
        <v>39422</v>
      </c>
      <c r="J11821" s="0" t="s">
        <v>39423</v>
      </c>
      <c r="K11821" s="0" t="s">
        <v>39424</v>
      </c>
      <c r="L11821" s="0" t="str">
        <f aca="false">HYPERLINK("https://www.ncbi.nlm.nih.gov/nuccore/CP000304.1?report=graph&amp;tracks=[key:gene_model_track,Options:GeneOnly]&amp;mk=3305383:3305402|offset_6|00cc00,3305362:3305381|offset_27|444444,3305340:3305359|offset_49|444444,3305309:3305328|offset_80|444444&amp;v=3305182:3305528&amp;c=444444", "offset 6")</f>
        <v>offset 6</v>
      </c>
    </row>
    <row r="11822" customFormat="false" ht="12.8" hidden="false" customHeight="false" outlineLevel="0" collapsed="false">
      <c r="A11822" s="0" t="s">
        <v>12</v>
      </c>
      <c r="B11822" s="0" t="n">
        <v>3305361</v>
      </c>
      <c r="C11822" s="0" t="n">
        <v>3305381</v>
      </c>
      <c r="D11822" s="0" t="s">
        <v>39421</v>
      </c>
      <c r="E11822" s="0" t="s">
        <v>89</v>
      </c>
      <c r="F11822" s="0" t="s">
        <v>90</v>
      </c>
      <c r="G11822" s="0" t="s">
        <v>16</v>
      </c>
      <c r="H11822" s="0" t="n">
        <v>27</v>
      </c>
      <c r="I11822" s="0" t="s">
        <v>39425</v>
      </c>
      <c r="J11822" s="0" t="s">
        <v>39426</v>
      </c>
      <c r="K11822" s="0" t="s">
        <v>39427</v>
      </c>
      <c r="L11822" s="0" t="str">
        <f aca="false">HYPERLINK("https://www.ncbi.nlm.nih.gov/nuccore/CP000304.1?report=graph&amp;tracks=[key:gene_model_track,Options:GeneOnly]&amp;mk=3305383:3305402|offset_6|444444,3305362:3305381|offset_27|00cc00,3305340:3305359|offset_49|444444,3305309:3305328|offset_80|444444&amp;v=3305182:3305528&amp;c=444444", "offset 27")</f>
        <v>offset 27</v>
      </c>
    </row>
    <row r="11823" customFormat="false" ht="12.8" hidden="false" customHeight="false" outlineLevel="0" collapsed="false">
      <c r="A11823" s="0" t="s">
        <v>12</v>
      </c>
      <c r="B11823" s="0" t="n">
        <v>3305339</v>
      </c>
      <c r="C11823" s="0" t="n">
        <v>3305359</v>
      </c>
      <c r="D11823" s="0" t="s">
        <v>39421</v>
      </c>
      <c r="E11823" s="0" t="s">
        <v>89</v>
      </c>
      <c r="F11823" s="0" t="s">
        <v>90</v>
      </c>
      <c r="G11823" s="0" t="s">
        <v>16</v>
      </c>
      <c r="H11823" s="0" t="n">
        <v>49</v>
      </c>
      <c r="I11823" s="0" t="s">
        <v>39428</v>
      </c>
      <c r="J11823" s="0" t="s">
        <v>39429</v>
      </c>
      <c r="K11823" s="0" t="s">
        <v>39430</v>
      </c>
      <c r="L11823" s="0" t="str">
        <f aca="false">HYPERLINK("https://www.ncbi.nlm.nih.gov/nuccore/CP000304.1?report=graph&amp;tracks=[key:gene_model_track,Options:GeneOnly]&amp;mk=3305383:3305402|offset_6|444444,3305362:3305381|offset_27|444444,3305340:3305359|offset_49|00cc00,3305309:3305328|offset_80|444444&amp;v=3305182:3305528&amp;c=444444", "offset 49")</f>
        <v>offset 49</v>
      </c>
    </row>
    <row r="11824" customFormat="false" ht="12.8" hidden="false" customHeight="false" outlineLevel="0" collapsed="false">
      <c r="A11824" s="0" t="s">
        <v>12</v>
      </c>
      <c r="B11824" s="0" t="n">
        <v>3305308</v>
      </c>
      <c r="C11824" s="0" t="n">
        <v>3305328</v>
      </c>
      <c r="D11824" s="0" t="s">
        <v>39421</v>
      </c>
      <c r="E11824" s="0" t="s">
        <v>89</v>
      </c>
      <c r="F11824" s="0" t="s">
        <v>90</v>
      </c>
      <c r="G11824" s="0" t="s">
        <v>26</v>
      </c>
      <c r="H11824" s="0" t="n">
        <v>80</v>
      </c>
      <c r="I11824" s="0" t="s">
        <v>39431</v>
      </c>
      <c r="J11824" s="0" t="s">
        <v>39432</v>
      </c>
      <c r="K11824" s="0" t="s">
        <v>39433</v>
      </c>
      <c r="L11824" s="0" t="str">
        <f aca="false">HYPERLINK("https://www.ncbi.nlm.nih.gov/nuccore/CP000304.1?report=graph&amp;tracks=[key:gene_model_track,Options:GeneOnly]&amp;mk=3305383:3305402|offset_6|444444,3305362:3305381|offset_27|444444,3305340:3305359|offset_49|444444,3305309:3305328|offset_80|00cc00&amp;v=3305182:3305528&amp;c=444444", "offset 80")</f>
        <v>offset 80</v>
      </c>
    </row>
    <row r="11825" customFormat="false" ht="12.8" hidden="false" customHeight="false" outlineLevel="0" collapsed="false">
      <c r="A11825" s="0" t="s">
        <v>12</v>
      </c>
      <c r="B11825" s="0" t="n">
        <v>3305654</v>
      </c>
      <c r="C11825" s="0" t="n">
        <v>3305674</v>
      </c>
      <c r="D11825" s="0" t="s">
        <v>39434</v>
      </c>
      <c r="E11825" s="0" t="s">
        <v>89</v>
      </c>
      <c r="F11825" s="0" t="s">
        <v>15</v>
      </c>
      <c r="G11825" s="0" t="s">
        <v>36</v>
      </c>
      <c r="H11825" s="0" t="n">
        <v>10</v>
      </c>
      <c r="I11825" s="0" t="s">
        <v>39435</v>
      </c>
      <c r="J11825" s="0" t="s">
        <v>39436</v>
      </c>
      <c r="K11825" s="0" t="s">
        <v>39437</v>
      </c>
      <c r="L11825" s="0" t="str">
        <f aca="false">HYPERLINK("https://www.ncbi.nlm.nih.gov/nuccore/CP000304.1?report=graph&amp;tracks=[key:gene_model_track,Options:GeneOnly]&amp;mk=3305655:3305674|offset_10|00cc00,3305680:3305699|offset_35|444444,3305700:3305719|offset_55|444444,3305733:3305752|offset_88|444444&amp;v=3305454:3305952&amp;c=444444", "offset 10")</f>
        <v>offset 10</v>
      </c>
    </row>
    <row r="11826" customFormat="false" ht="12.8" hidden="false" customHeight="false" outlineLevel="0" collapsed="false">
      <c r="A11826" s="0" t="s">
        <v>12</v>
      </c>
      <c r="B11826" s="0" t="n">
        <v>3305679</v>
      </c>
      <c r="C11826" s="0" t="n">
        <v>3305699</v>
      </c>
      <c r="D11826" s="0" t="s">
        <v>39434</v>
      </c>
      <c r="E11826" s="0" t="s">
        <v>89</v>
      </c>
      <c r="F11826" s="0" t="s">
        <v>15</v>
      </c>
      <c r="G11826" s="0" t="s">
        <v>32</v>
      </c>
      <c r="H11826" s="0" t="n">
        <v>35</v>
      </c>
      <c r="I11826" s="0" t="s">
        <v>39438</v>
      </c>
      <c r="J11826" s="0" t="s">
        <v>39439</v>
      </c>
      <c r="K11826" s="0" t="s">
        <v>39440</v>
      </c>
      <c r="L11826" s="0" t="str">
        <f aca="false">HYPERLINK("https://www.ncbi.nlm.nih.gov/nuccore/CP000304.1?report=graph&amp;tracks=[key:gene_model_track,Options:GeneOnly]&amp;mk=3305655:3305674|offset_10|444444,3305680:3305699|offset_35|00cc00,3305700:3305719|offset_55|444444,3305733:3305752|offset_88|444444&amp;v=3305454:3305952&amp;c=444444", "offset 35")</f>
        <v>offset 35</v>
      </c>
    </row>
    <row r="11827" customFormat="false" ht="12.8" hidden="false" customHeight="false" outlineLevel="0" collapsed="false">
      <c r="A11827" s="0" t="s">
        <v>12</v>
      </c>
      <c r="B11827" s="0" t="n">
        <v>3305699</v>
      </c>
      <c r="C11827" s="0" t="n">
        <v>3305719</v>
      </c>
      <c r="D11827" s="0" t="s">
        <v>39434</v>
      </c>
      <c r="E11827" s="0" t="s">
        <v>89</v>
      </c>
      <c r="F11827" s="0" t="s">
        <v>15</v>
      </c>
      <c r="G11827" s="0" t="s">
        <v>16</v>
      </c>
      <c r="H11827" s="0" t="n">
        <v>55</v>
      </c>
      <c r="I11827" s="0" t="s">
        <v>39441</v>
      </c>
      <c r="J11827" s="0" t="s">
        <v>39442</v>
      </c>
      <c r="K11827" s="0" t="s">
        <v>39443</v>
      </c>
      <c r="L11827" s="0" t="str">
        <f aca="false">HYPERLINK("https://www.ncbi.nlm.nih.gov/nuccore/CP000304.1?report=graph&amp;tracks=[key:gene_model_track,Options:GeneOnly]&amp;mk=3305655:3305674|offset_10|444444,3305680:3305699|offset_35|444444,3305700:3305719|offset_55|00cc00,3305733:3305752|offset_88|444444&amp;v=3305454:3305952&amp;c=444444", "offset 55")</f>
        <v>offset 55</v>
      </c>
    </row>
    <row r="11828" customFormat="false" ht="12.8" hidden="false" customHeight="false" outlineLevel="0" collapsed="false">
      <c r="A11828" s="0" t="s">
        <v>12</v>
      </c>
      <c r="B11828" s="0" t="n">
        <v>3305732</v>
      </c>
      <c r="C11828" s="0" t="n">
        <v>3305752</v>
      </c>
      <c r="D11828" s="0" t="s">
        <v>39434</v>
      </c>
      <c r="E11828" s="0" t="s">
        <v>89</v>
      </c>
      <c r="F11828" s="0" t="s">
        <v>15</v>
      </c>
      <c r="G11828" s="0" t="s">
        <v>32</v>
      </c>
      <c r="H11828" s="0" t="n">
        <v>88</v>
      </c>
      <c r="I11828" s="0" t="s">
        <v>39444</v>
      </c>
      <c r="J11828" s="0" t="s">
        <v>39445</v>
      </c>
      <c r="K11828" s="0" t="s">
        <v>39446</v>
      </c>
      <c r="L11828" s="0" t="str">
        <f aca="false">HYPERLINK("https://www.ncbi.nlm.nih.gov/nuccore/CP000304.1?report=graph&amp;tracks=[key:gene_model_track,Options:GeneOnly]&amp;mk=3305655:3305674|offset_10|444444,3305680:3305699|offset_35|444444,3305700:3305719|offset_55|444444,3305733:3305752|offset_88|00cc00&amp;v=3305454:3305952&amp;c=444444", "offset 88")</f>
        <v>offset 88</v>
      </c>
    </row>
    <row r="11829" customFormat="false" ht="12.8" hidden="false" customHeight="false" outlineLevel="0" collapsed="false">
      <c r="A11829" s="0" t="s">
        <v>12</v>
      </c>
      <c r="B11829" s="0" t="n">
        <v>3309692</v>
      </c>
      <c r="C11829" s="0" t="n">
        <v>3309712</v>
      </c>
      <c r="D11829" s="0" t="s">
        <v>39447</v>
      </c>
      <c r="E11829" s="0" t="s">
        <v>89</v>
      </c>
      <c r="F11829" s="0" t="s">
        <v>90</v>
      </c>
      <c r="G11829" s="0" t="s">
        <v>32</v>
      </c>
      <c r="H11829" s="0" t="n">
        <v>0</v>
      </c>
      <c r="I11829" s="0" t="s">
        <v>39448</v>
      </c>
      <c r="J11829" s="0" t="s">
        <v>39449</v>
      </c>
      <c r="K11829" s="0" t="s">
        <v>39450</v>
      </c>
      <c r="L11829" s="0" t="str">
        <f aca="false">HYPERLINK("https://www.ncbi.nlm.nih.gov/nuccore/CP000304.1?report=graph&amp;tracks=[key:gene_model_track,Options:GeneOnly]&amp;mk=3309693:3309712|offset_0|00cc00,3309673:3309692|offset_20|444444,3309653:3309672|offset_40|444444,3309611:3309630|offset_82|444444&amp;v=3309492:3309830&amp;c=444444", "offset 0")</f>
        <v>offset 0</v>
      </c>
    </row>
    <row r="11830" customFormat="false" ht="12.8" hidden="false" customHeight="false" outlineLevel="0" collapsed="false">
      <c r="A11830" s="0" t="s">
        <v>12</v>
      </c>
      <c r="B11830" s="0" t="n">
        <v>3309672</v>
      </c>
      <c r="C11830" s="0" t="n">
        <v>3309692</v>
      </c>
      <c r="D11830" s="0" t="s">
        <v>39447</v>
      </c>
      <c r="E11830" s="0" t="s">
        <v>89</v>
      </c>
      <c r="F11830" s="0" t="s">
        <v>90</v>
      </c>
      <c r="G11830" s="0" t="s">
        <v>32</v>
      </c>
      <c r="H11830" s="0" t="n">
        <v>20</v>
      </c>
      <c r="I11830" s="0" t="s">
        <v>39451</v>
      </c>
      <c r="J11830" s="0" t="s">
        <v>39452</v>
      </c>
      <c r="K11830" s="0" t="s">
        <v>39453</v>
      </c>
      <c r="L11830" s="0" t="str">
        <f aca="false">HYPERLINK("https://www.ncbi.nlm.nih.gov/nuccore/CP000304.1?report=graph&amp;tracks=[key:gene_model_track,Options:GeneOnly]&amp;mk=3309693:3309712|offset_0|444444,3309673:3309692|offset_20|00cc00,3309653:3309672|offset_40|444444,3309611:3309630|offset_82|444444&amp;v=3309492:3309830&amp;c=444444", "offset 20")</f>
        <v>offset 20</v>
      </c>
    </row>
    <row r="11831" customFormat="false" ht="12.8" hidden="false" customHeight="false" outlineLevel="0" collapsed="false">
      <c r="A11831" s="0" t="s">
        <v>12</v>
      </c>
      <c r="B11831" s="0" t="n">
        <v>3309652</v>
      </c>
      <c r="C11831" s="0" t="n">
        <v>3309672</v>
      </c>
      <c r="D11831" s="0" t="s">
        <v>39447</v>
      </c>
      <c r="E11831" s="0" t="s">
        <v>89</v>
      </c>
      <c r="F11831" s="0" t="s">
        <v>90</v>
      </c>
      <c r="G11831" s="0" t="s">
        <v>36</v>
      </c>
      <c r="H11831" s="0" t="n">
        <v>40</v>
      </c>
      <c r="I11831" s="0" t="s">
        <v>39454</v>
      </c>
      <c r="J11831" s="0" t="s">
        <v>39455</v>
      </c>
      <c r="K11831" s="0" t="s">
        <v>39456</v>
      </c>
      <c r="L11831" s="0" t="str">
        <f aca="false">HYPERLINK("https://www.ncbi.nlm.nih.gov/nuccore/CP000304.1?report=graph&amp;tracks=[key:gene_model_track,Options:GeneOnly]&amp;mk=3309693:3309712|offset_0|444444,3309673:3309692|offset_20|444444,3309653:3309672|offset_40|00cc00,3309611:3309630|offset_82|444444&amp;v=3309492:3309830&amp;c=444444", "offset 40")</f>
        <v>offset 40</v>
      </c>
    </row>
    <row r="11832" customFormat="false" ht="12.8" hidden="false" customHeight="false" outlineLevel="0" collapsed="false">
      <c r="A11832" s="0" t="s">
        <v>12</v>
      </c>
      <c r="B11832" s="0" t="n">
        <v>3309610</v>
      </c>
      <c r="C11832" s="0" t="n">
        <v>3309630</v>
      </c>
      <c r="D11832" s="0" t="s">
        <v>39447</v>
      </c>
      <c r="E11832" s="0" t="s">
        <v>89</v>
      </c>
      <c r="F11832" s="0" t="s">
        <v>90</v>
      </c>
      <c r="G11832" s="0" t="s">
        <v>16</v>
      </c>
      <c r="H11832" s="0" t="n">
        <v>82</v>
      </c>
      <c r="I11832" s="0" t="s">
        <v>39457</v>
      </c>
      <c r="J11832" s="0" t="s">
        <v>39458</v>
      </c>
      <c r="K11832" s="0" t="s">
        <v>39459</v>
      </c>
      <c r="L11832" s="0" t="str">
        <f aca="false">HYPERLINK("https://www.ncbi.nlm.nih.gov/nuccore/CP000304.1?report=graph&amp;tracks=[key:gene_model_track,Options:GeneOnly]&amp;mk=3309693:3309712|offset_0|444444,3309673:3309692|offset_20|444444,3309653:3309672|offset_40|444444,3309611:3309630|offset_82|00cc00&amp;v=3309492:3309830&amp;c=444444", "offset 82")</f>
        <v>offset 82</v>
      </c>
    </row>
    <row r="11833" customFormat="false" ht="12.8" hidden="false" customHeight="false" outlineLevel="0" collapsed="false">
      <c r="A11833" s="0" t="s">
        <v>12</v>
      </c>
      <c r="B11833" s="0" t="n">
        <v>3309839</v>
      </c>
      <c r="C11833" s="0" t="n">
        <v>3309859</v>
      </c>
      <c r="D11833" s="0" t="s">
        <v>39460</v>
      </c>
      <c r="E11833" s="0" t="s">
        <v>89</v>
      </c>
      <c r="F11833" s="0" t="s">
        <v>15</v>
      </c>
      <c r="G11833" s="0" t="s">
        <v>16</v>
      </c>
      <c r="H11833" s="0" t="n">
        <v>14</v>
      </c>
      <c r="I11833" s="0" t="s">
        <v>39461</v>
      </c>
      <c r="J11833" s="0" t="s">
        <v>39462</v>
      </c>
      <c r="K11833" s="0" t="s">
        <v>39463</v>
      </c>
      <c r="L11833" s="0" t="str">
        <f aca="false">HYPERLINK("https://www.ncbi.nlm.nih.gov/nuccore/CP000304.1?report=graph&amp;tracks=[key:gene_model_track,Options:GeneOnly]&amp;mk=3309840:3309859|offset_14|00cc00,3309872:3309891|offset_46|444444,3309900:3309919|offset_74|444444,3309947:3309966|offset_121|444444&amp;v=3309639:3310166&amp;c=444444", "offset 14")</f>
        <v>offset 14</v>
      </c>
    </row>
    <row r="11834" customFormat="false" ht="12.8" hidden="false" customHeight="false" outlineLevel="0" collapsed="false">
      <c r="A11834" s="0" t="s">
        <v>12</v>
      </c>
      <c r="B11834" s="0" t="n">
        <v>3309871</v>
      </c>
      <c r="C11834" s="0" t="n">
        <v>3309891</v>
      </c>
      <c r="D11834" s="0" t="s">
        <v>39460</v>
      </c>
      <c r="E11834" s="0" t="s">
        <v>89</v>
      </c>
      <c r="F11834" s="0" t="s">
        <v>15</v>
      </c>
      <c r="G11834" s="0" t="s">
        <v>26</v>
      </c>
      <c r="H11834" s="0" t="n">
        <v>46</v>
      </c>
      <c r="I11834" s="0" t="s">
        <v>39464</v>
      </c>
      <c r="J11834" s="0" t="s">
        <v>39465</v>
      </c>
      <c r="K11834" s="0" t="s">
        <v>39466</v>
      </c>
      <c r="L11834" s="0" t="str">
        <f aca="false">HYPERLINK("https://www.ncbi.nlm.nih.gov/nuccore/CP000304.1?report=graph&amp;tracks=[key:gene_model_track,Options:GeneOnly]&amp;mk=3309840:3309859|offset_14|444444,3309872:3309891|offset_46|00cc00,3309900:3309919|offset_74|444444,3309947:3309966|offset_121|444444&amp;v=3309639:3310166&amp;c=444444", "offset 46")</f>
        <v>offset 46</v>
      </c>
    </row>
    <row r="11835" customFormat="false" ht="12.8" hidden="false" customHeight="false" outlineLevel="0" collapsed="false">
      <c r="A11835" s="0" t="s">
        <v>12</v>
      </c>
      <c r="B11835" s="0" t="n">
        <v>3309899</v>
      </c>
      <c r="C11835" s="0" t="n">
        <v>3309919</v>
      </c>
      <c r="D11835" s="0" t="s">
        <v>39460</v>
      </c>
      <c r="E11835" s="0" t="s">
        <v>89</v>
      </c>
      <c r="F11835" s="0" t="s">
        <v>15</v>
      </c>
      <c r="G11835" s="0" t="s">
        <v>26</v>
      </c>
      <c r="H11835" s="0" t="n">
        <v>74</v>
      </c>
      <c r="I11835" s="0" t="s">
        <v>39467</v>
      </c>
      <c r="J11835" s="0" t="s">
        <v>39468</v>
      </c>
      <c r="K11835" s="0" t="s">
        <v>39469</v>
      </c>
      <c r="L11835" s="0" t="str">
        <f aca="false">HYPERLINK("https://www.ncbi.nlm.nih.gov/nuccore/CP000304.1?report=graph&amp;tracks=[key:gene_model_track,Options:GeneOnly]&amp;mk=3309840:3309859|offset_14|444444,3309872:3309891|offset_46|444444,3309900:3309919|offset_74|00cc00,3309947:3309966|offset_121|444444&amp;v=3309639:3310166&amp;c=444444", "offset 74")</f>
        <v>offset 74</v>
      </c>
    </row>
    <row r="11836" customFormat="false" ht="12.8" hidden="false" customHeight="false" outlineLevel="0" collapsed="false">
      <c r="A11836" s="0" t="s">
        <v>12</v>
      </c>
      <c r="B11836" s="0" t="n">
        <v>3309946</v>
      </c>
      <c r="C11836" s="0" t="n">
        <v>3309966</v>
      </c>
      <c r="D11836" s="0" t="s">
        <v>39460</v>
      </c>
      <c r="E11836" s="0" t="s">
        <v>89</v>
      </c>
      <c r="F11836" s="0" t="s">
        <v>15</v>
      </c>
      <c r="G11836" s="0" t="s">
        <v>36</v>
      </c>
      <c r="H11836" s="0" t="n">
        <v>121</v>
      </c>
      <c r="I11836" s="0" t="s">
        <v>39470</v>
      </c>
      <c r="J11836" s="0" t="s">
        <v>39471</v>
      </c>
      <c r="K11836" s="0" t="s">
        <v>39472</v>
      </c>
      <c r="L11836" s="0" t="str">
        <f aca="false">HYPERLINK("https://www.ncbi.nlm.nih.gov/nuccore/CP000304.1?report=graph&amp;tracks=[key:gene_model_track,Options:GeneOnly]&amp;mk=3309840:3309859|offset_14|444444,3309872:3309891|offset_46|444444,3309900:3309919|offset_74|444444,3309947:3309966|offset_121|00cc00&amp;v=3309639:3310166&amp;c=444444", "offset 121")</f>
        <v>offset 121</v>
      </c>
    </row>
    <row r="11837" customFormat="false" ht="12.8" hidden="false" customHeight="false" outlineLevel="0" collapsed="false">
      <c r="A11837" s="0" t="s">
        <v>12</v>
      </c>
      <c r="B11837" s="0" t="n">
        <v>3310803</v>
      </c>
      <c r="C11837" s="0" t="n">
        <v>3310823</v>
      </c>
      <c r="D11837" s="0" t="s">
        <v>39473</v>
      </c>
      <c r="E11837" s="0" t="s">
        <v>39474</v>
      </c>
      <c r="F11837" s="0" t="s">
        <v>15</v>
      </c>
      <c r="G11837" s="0" t="s">
        <v>32</v>
      </c>
      <c r="H11837" s="0" t="n">
        <v>1</v>
      </c>
      <c r="I11837" s="0" t="s">
        <v>39475</v>
      </c>
      <c r="J11837" s="0" t="s">
        <v>39476</v>
      </c>
      <c r="K11837" s="0" t="s">
        <v>39477</v>
      </c>
      <c r="L11837" s="0" t="str">
        <f aca="false">HYPERLINK("https://www.ncbi.nlm.nih.gov/nuccore/CP000304.1?report=graph&amp;tracks=[key:gene_model_track,Options:GeneOnly]&amp;mk=3310804:3310823|offset_1|00cc00,3310836:3310855|offset_33|444444,3310862:3310881|offset_59|444444,3310918:3310937|offset_115|444444&amp;v=3310603:3311137&amp;c=444444", "offset 1")</f>
        <v>offset 1</v>
      </c>
    </row>
    <row r="11838" customFormat="false" ht="12.8" hidden="false" customHeight="false" outlineLevel="0" collapsed="false">
      <c r="A11838" s="0" t="s">
        <v>12</v>
      </c>
      <c r="B11838" s="0" t="n">
        <v>3310835</v>
      </c>
      <c r="C11838" s="0" t="n">
        <v>3310855</v>
      </c>
      <c r="D11838" s="0" t="s">
        <v>39473</v>
      </c>
      <c r="E11838" s="0" t="s">
        <v>39474</v>
      </c>
      <c r="F11838" s="0" t="s">
        <v>15</v>
      </c>
      <c r="G11838" s="0" t="s">
        <v>16</v>
      </c>
      <c r="H11838" s="0" t="n">
        <v>33</v>
      </c>
      <c r="I11838" s="0" t="s">
        <v>39478</v>
      </c>
      <c r="J11838" s="0" t="s">
        <v>39479</v>
      </c>
      <c r="K11838" s="0" t="s">
        <v>39480</v>
      </c>
      <c r="L11838" s="0" t="str">
        <f aca="false">HYPERLINK("https://www.ncbi.nlm.nih.gov/nuccore/CP000304.1?report=graph&amp;tracks=[key:gene_model_track,Options:GeneOnly]&amp;mk=3310804:3310823|offset_1|444444,3310836:3310855|offset_33|00cc00,3310862:3310881|offset_59|444444,3310918:3310937|offset_115|444444&amp;v=3310603:3311137&amp;c=444444", "offset 33")</f>
        <v>offset 33</v>
      </c>
    </row>
    <row r="11839" customFormat="false" ht="12.8" hidden="false" customHeight="false" outlineLevel="0" collapsed="false">
      <c r="A11839" s="0" t="s">
        <v>12</v>
      </c>
      <c r="B11839" s="0" t="n">
        <v>3310861</v>
      </c>
      <c r="C11839" s="0" t="n">
        <v>3310881</v>
      </c>
      <c r="D11839" s="0" t="s">
        <v>39473</v>
      </c>
      <c r="E11839" s="0" t="s">
        <v>39474</v>
      </c>
      <c r="F11839" s="0" t="s">
        <v>15</v>
      </c>
      <c r="G11839" s="0" t="s">
        <v>32</v>
      </c>
      <c r="H11839" s="0" t="n">
        <v>59</v>
      </c>
      <c r="I11839" s="0" t="s">
        <v>39481</v>
      </c>
      <c r="J11839" s="0" t="s">
        <v>39482</v>
      </c>
      <c r="K11839" s="0" t="s">
        <v>39483</v>
      </c>
      <c r="L11839" s="0" t="str">
        <f aca="false">HYPERLINK("https://www.ncbi.nlm.nih.gov/nuccore/CP000304.1?report=graph&amp;tracks=[key:gene_model_track,Options:GeneOnly]&amp;mk=3310804:3310823|offset_1|444444,3310836:3310855|offset_33|444444,3310862:3310881|offset_59|00cc00,3310918:3310937|offset_115|444444&amp;v=3310603:3311137&amp;c=444444", "offset 59")</f>
        <v>offset 59</v>
      </c>
    </row>
    <row r="11840" customFormat="false" ht="12.8" hidden="false" customHeight="false" outlineLevel="0" collapsed="false">
      <c r="A11840" s="0" t="s">
        <v>12</v>
      </c>
      <c r="B11840" s="0" t="n">
        <v>3310917</v>
      </c>
      <c r="C11840" s="0" t="n">
        <v>3310937</v>
      </c>
      <c r="D11840" s="0" t="s">
        <v>39473</v>
      </c>
      <c r="E11840" s="0" t="s">
        <v>39474</v>
      </c>
      <c r="F11840" s="0" t="s">
        <v>15</v>
      </c>
      <c r="G11840" s="0" t="s">
        <v>16</v>
      </c>
      <c r="H11840" s="0" t="n">
        <v>115</v>
      </c>
      <c r="I11840" s="0" t="s">
        <v>39484</v>
      </c>
      <c r="J11840" s="0" t="s">
        <v>39485</v>
      </c>
      <c r="K11840" s="0" t="s">
        <v>39486</v>
      </c>
      <c r="L11840" s="0" t="str">
        <f aca="false">HYPERLINK("https://www.ncbi.nlm.nih.gov/nuccore/CP000304.1?report=graph&amp;tracks=[key:gene_model_track,Options:GeneOnly]&amp;mk=3310804:3310823|offset_1|444444,3310836:3310855|offset_33|444444,3310862:3310881|offset_59|444444,3310918:3310937|offset_115|00cc00&amp;v=3310603:3311137&amp;c=444444", "offset 115")</f>
        <v>offset 115</v>
      </c>
    </row>
    <row r="11841" customFormat="false" ht="12.8" hidden="false" customHeight="false" outlineLevel="0" collapsed="false">
      <c r="A11841" s="0" t="s">
        <v>12</v>
      </c>
      <c r="B11841" s="0" t="n">
        <v>3312165</v>
      </c>
      <c r="C11841" s="0" t="n">
        <v>3312185</v>
      </c>
      <c r="D11841" s="0" t="s">
        <v>39487</v>
      </c>
      <c r="E11841" s="0" t="s">
        <v>89</v>
      </c>
      <c r="F11841" s="0" t="s">
        <v>15</v>
      </c>
      <c r="G11841" s="0" t="s">
        <v>32</v>
      </c>
      <c r="H11841" s="0" t="n">
        <v>101</v>
      </c>
      <c r="I11841" s="0" t="s">
        <v>39488</v>
      </c>
      <c r="J11841" s="0" t="s">
        <v>39489</v>
      </c>
      <c r="K11841" s="0" t="s">
        <v>39490</v>
      </c>
      <c r="L11841" s="0" t="str">
        <f aca="false">HYPERLINK("https://www.ncbi.nlm.nih.gov/nuccore/CP000304.1?report=graph&amp;tracks=[key:gene_model_track,Options:GeneOnly]&amp;mk=3312166:3312185|offset_101|00cc00,3312197:3312216|offset_132|444444,3312236:3312255|offset_171|444444,3312258:3312277|offset_193|444444&amp;v=3311965:3312477&amp;c=444444", "offset 101")</f>
        <v>offset 101</v>
      </c>
    </row>
    <row r="11842" customFormat="false" ht="12.8" hidden="false" customHeight="false" outlineLevel="0" collapsed="false">
      <c r="A11842" s="0" t="s">
        <v>12</v>
      </c>
      <c r="B11842" s="0" t="n">
        <v>3312196</v>
      </c>
      <c r="C11842" s="0" t="n">
        <v>3312216</v>
      </c>
      <c r="D11842" s="0" t="s">
        <v>39487</v>
      </c>
      <c r="E11842" s="0" t="s">
        <v>89</v>
      </c>
      <c r="F11842" s="0" t="s">
        <v>15</v>
      </c>
      <c r="G11842" s="0" t="s">
        <v>32</v>
      </c>
      <c r="H11842" s="0" t="n">
        <v>132</v>
      </c>
      <c r="I11842" s="0" t="s">
        <v>39491</v>
      </c>
      <c r="J11842" s="0" t="s">
        <v>39492</v>
      </c>
      <c r="K11842" s="0" t="s">
        <v>39493</v>
      </c>
      <c r="L11842" s="0" t="str">
        <f aca="false">HYPERLINK("https://www.ncbi.nlm.nih.gov/nuccore/CP000304.1?report=graph&amp;tracks=[key:gene_model_track,Options:GeneOnly]&amp;mk=3312166:3312185|offset_101|444444,3312197:3312216|offset_132|00cc00,3312236:3312255|offset_171|444444,3312258:3312277|offset_193|444444&amp;v=3311965:3312477&amp;c=444444", "offset 132")</f>
        <v>offset 132</v>
      </c>
    </row>
    <row r="11843" customFormat="false" ht="12.8" hidden="false" customHeight="false" outlineLevel="0" collapsed="false">
      <c r="A11843" s="0" t="s">
        <v>12</v>
      </c>
      <c r="B11843" s="0" t="n">
        <v>3312235</v>
      </c>
      <c r="C11843" s="0" t="n">
        <v>3312255</v>
      </c>
      <c r="D11843" s="0" t="s">
        <v>39487</v>
      </c>
      <c r="E11843" s="0" t="s">
        <v>89</v>
      </c>
      <c r="F11843" s="0" t="s">
        <v>15</v>
      </c>
      <c r="G11843" s="0" t="s">
        <v>26</v>
      </c>
      <c r="H11843" s="0" t="n">
        <v>171</v>
      </c>
      <c r="I11843" s="0" t="s">
        <v>39494</v>
      </c>
      <c r="J11843" s="0" t="s">
        <v>39495</v>
      </c>
      <c r="K11843" s="0" t="s">
        <v>39496</v>
      </c>
      <c r="L11843" s="0" t="str">
        <f aca="false">HYPERLINK("https://www.ncbi.nlm.nih.gov/nuccore/CP000304.1?report=graph&amp;tracks=[key:gene_model_track,Options:GeneOnly]&amp;mk=3312166:3312185|offset_101|444444,3312197:3312216|offset_132|444444,3312236:3312255|offset_171|00cc00,3312258:3312277|offset_193|444444&amp;v=3311965:3312477&amp;c=444444", "offset 171")</f>
        <v>offset 171</v>
      </c>
    </row>
    <row r="11844" customFormat="false" ht="12.8" hidden="false" customHeight="false" outlineLevel="0" collapsed="false">
      <c r="A11844" s="0" t="s">
        <v>12</v>
      </c>
      <c r="B11844" s="0" t="n">
        <v>3312257</v>
      </c>
      <c r="C11844" s="0" t="n">
        <v>3312277</v>
      </c>
      <c r="D11844" s="0" t="s">
        <v>39487</v>
      </c>
      <c r="E11844" s="0" t="s">
        <v>89</v>
      </c>
      <c r="F11844" s="0" t="s">
        <v>15</v>
      </c>
      <c r="G11844" s="0" t="s">
        <v>16</v>
      </c>
      <c r="H11844" s="0" t="n">
        <v>193</v>
      </c>
      <c r="I11844" s="0" t="s">
        <v>39497</v>
      </c>
      <c r="J11844" s="0" t="s">
        <v>39498</v>
      </c>
      <c r="K11844" s="0" t="s">
        <v>39499</v>
      </c>
      <c r="L11844" s="0" t="str">
        <f aca="false">HYPERLINK("https://www.ncbi.nlm.nih.gov/nuccore/CP000304.1?report=graph&amp;tracks=[key:gene_model_track,Options:GeneOnly]&amp;mk=3312166:3312185|offset_101|444444,3312197:3312216|offset_132|444444,3312236:3312255|offset_171|444444,3312258:3312277|offset_193|00cc00&amp;v=3311965:3312477&amp;c=444444", "offset 193")</f>
        <v>offset 193</v>
      </c>
    </row>
    <row r="11845" customFormat="false" ht="12.8" hidden="false" customHeight="false" outlineLevel="0" collapsed="false">
      <c r="A11845" s="0" t="s">
        <v>12</v>
      </c>
      <c r="B11845" s="0" t="n">
        <v>3313593</v>
      </c>
      <c r="C11845" s="0" t="n">
        <v>3313613</v>
      </c>
      <c r="D11845" s="0" t="s">
        <v>39500</v>
      </c>
      <c r="E11845" s="0" t="s">
        <v>89</v>
      </c>
      <c r="F11845" s="0" t="s">
        <v>15</v>
      </c>
      <c r="G11845" s="0" t="s">
        <v>32</v>
      </c>
      <c r="H11845" s="0" t="n">
        <v>1</v>
      </c>
      <c r="I11845" s="0" t="s">
        <v>39501</v>
      </c>
      <c r="J11845" s="0" t="s">
        <v>39502</v>
      </c>
      <c r="K11845" s="0" t="s">
        <v>39503</v>
      </c>
      <c r="L11845" s="0" t="str">
        <f aca="false">HYPERLINK("https://www.ncbi.nlm.nih.gov/nuccore/CP000304.1?report=graph&amp;tracks=[key:gene_model_track,Options:GeneOnly]&amp;mk=3313594:3313613|offset_1|00cc00,3313624:3313643|offset_31|444444,3313648:3313667|offset_55|444444,3313672:3313691|offset_79|444444&amp;v=3313393:3313891&amp;c=444444", "offset 1")</f>
        <v>offset 1</v>
      </c>
    </row>
    <row r="11846" customFormat="false" ht="12.8" hidden="false" customHeight="false" outlineLevel="0" collapsed="false">
      <c r="A11846" s="0" t="s">
        <v>12</v>
      </c>
      <c r="B11846" s="0" t="n">
        <v>3313623</v>
      </c>
      <c r="C11846" s="0" t="n">
        <v>3313643</v>
      </c>
      <c r="D11846" s="0" t="s">
        <v>39500</v>
      </c>
      <c r="E11846" s="0" t="s">
        <v>89</v>
      </c>
      <c r="F11846" s="0" t="s">
        <v>15</v>
      </c>
      <c r="G11846" s="0" t="s">
        <v>36</v>
      </c>
      <c r="H11846" s="0" t="n">
        <v>31</v>
      </c>
      <c r="I11846" s="0" t="s">
        <v>39504</v>
      </c>
      <c r="J11846" s="0" t="s">
        <v>39505</v>
      </c>
      <c r="K11846" s="0" t="s">
        <v>39506</v>
      </c>
      <c r="L11846" s="0" t="str">
        <f aca="false">HYPERLINK("https://www.ncbi.nlm.nih.gov/nuccore/CP000304.1?report=graph&amp;tracks=[key:gene_model_track,Options:GeneOnly]&amp;mk=3313594:3313613|offset_1|444444,3313624:3313643|offset_31|00cc00,3313648:3313667|offset_55|444444,3313672:3313691|offset_79|444444&amp;v=3313393:3313891&amp;c=444444", "offset 31")</f>
        <v>offset 31</v>
      </c>
    </row>
    <row r="11847" customFormat="false" ht="12.8" hidden="false" customHeight="false" outlineLevel="0" collapsed="false">
      <c r="A11847" s="0" t="s">
        <v>12</v>
      </c>
      <c r="B11847" s="0" t="n">
        <v>3313647</v>
      </c>
      <c r="C11847" s="0" t="n">
        <v>3313667</v>
      </c>
      <c r="D11847" s="0" t="s">
        <v>39500</v>
      </c>
      <c r="E11847" s="0" t="s">
        <v>89</v>
      </c>
      <c r="F11847" s="0" t="s">
        <v>15</v>
      </c>
      <c r="G11847" s="0" t="s">
        <v>16</v>
      </c>
      <c r="H11847" s="0" t="n">
        <v>55</v>
      </c>
      <c r="I11847" s="0" t="s">
        <v>39507</v>
      </c>
      <c r="J11847" s="0" t="s">
        <v>39508</v>
      </c>
      <c r="K11847" s="0" t="s">
        <v>39509</v>
      </c>
      <c r="L11847" s="0" t="str">
        <f aca="false">HYPERLINK("https://www.ncbi.nlm.nih.gov/nuccore/CP000304.1?report=graph&amp;tracks=[key:gene_model_track,Options:GeneOnly]&amp;mk=3313594:3313613|offset_1|444444,3313624:3313643|offset_31|444444,3313648:3313667|offset_55|00cc00,3313672:3313691|offset_79|444444&amp;v=3313393:3313891&amp;c=444444", "offset 55")</f>
        <v>offset 55</v>
      </c>
    </row>
    <row r="11848" customFormat="false" ht="12.8" hidden="false" customHeight="false" outlineLevel="0" collapsed="false">
      <c r="A11848" s="0" t="s">
        <v>12</v>
      </c>
      <c r="B11848" s="0" t="n">
        <v>3313671</v>
      </c>
      <c r="C11848" s="0" t="n">
        <v>3313691</v>
      </c>
      <c r="D11848" s="0" t="s">
        <v>39500</v>
      </c>
      <c r="E11848" s="0" t="s">
        <v>89</v>
      </c>
      <c r="F11848" s="0" t="s">
        <v>15</v>
      </c>
      <c r="G11848" s="0" t="s">
        <v>32</v>
      </c>
      <c r="H11848" s="0" t="n">
        <v>79</v>
      </c>
      <c r="I11848" s="0" t="s">
        <v>39510</v>
      </c>
      <c r="J11848" s="0" t="s">
        <v>39511</v>
      </c>
      <c r="K11848" s="0" t="s">
        <v>39512</v>
      </c>
      <c r="L11848" s="0" t="str">
        <f aca="false">HYPERLINK("https://www.ncbi.nlm.nih.gov/nuccore/CP000304.1?report=graph&amp;tracks=[key:gene_model_track,Options:GeneOnly]&amp;mk=3313594:3313613|offset_1|444444,3313624:3313643|offset_31|444444,3313648:3313667|offset_55|444444,3313672:3313691|offset_79|00cc00&amp;v=3313393:3313891&amp;c=444444", "offset 79")</f>
        <v>offset 79</v>
      </c>
    </row>
    <row r="11849" customFormat="false" ht="12.8" hidden="false" customHeight="false" outlineLevel="0" collapsed="false">
      <c r="A11849" s="0" t="s">
        <v>12</v>
      </c>
      <c r="B11849" s="0" t="n">
        <v>3314904</v>
      </c>
      <c r="C11849" s="0" t="n">
        <v>3314924</v>
      </c>
      <c r="D11849" s="0" t="s">
        <v>39513</v>
      </c>
      <c r="E11849" s="0" t="s">
        <v>39514</v>
      </c>
      <c r="F11849" s="0" t="s">
        <v>15</v>
      </c>
      <c r="G11849" s="0" t="s">
        <v>26</v>
      </c>
      <c r="H11849" s="0" t="n">
        <v>29</v>
      </c>
      <c r="I11849" s="0" t="s">
        <v>39515</v>
      </c>
      <c r="J11849" s="0" t="s">
        <v>39516</v>
      </c>
      <c r="K11849" s="0" t="s">
        <v>39517</v>
      </c>
      <c r="L11849" s="0" t="str">
        <f aca="false">HYPERLINK("https://www.ncbi.nlm.nih.gov/nuccore/CP000304.1?report=graph&amp;tracks=[key:gene_model_track,Options:GeneOnly]&amp;mk=3314905:3314924|offset_29|00cc00,3314932:3314951|offset_56|444444,3314983:3315002|offset_107|444444,3315034:3315053|offset_158|444444&amp;v=3314704:3315253&amp;c=444444", "offset 29")</f>
        <v>offset 29</v>
      </c>
    </row>
    <row r="11850" customFormat="false" ht="12.8" hidden="false" customHeight="false" outlineLevel="0" collapsed="false">
      <c r="A11850" s="0" t="s">
        <v>12</v>
      </c>
      <c r="B11850" s="0" t="n">
        <v>3314931</v>
      </c>
      <c r="C11850" s="0" t="n">
        <v>3314951</v>
      </c>
      <c r="D11850" s="0" t="s">
        <v>39513</v>
      </c>
      <c r="E11850" s="0" t="s">
        <v>39514</v>
      </c>
      <c r="F11850" s="0" t="s">
        <v>15</v>
      </c>
      <c r="G11850" s="0" t="s">
        <v>26</v>
      </c>
      <c r="H11850" s="0" t="n">
        <v>56</v>
      </c>
      <c r="I11850" s="0" t="s">
        <v>39518</v>
      </c>
      <c r="J11850" s="0" t="s">
        <v>39519</v>
      </c>
      <c r="K11850" s="0" t="s">
        <v>39520</v>
      </c>
      <c r="L11850" s="0" t="str">
        <f aca="false">HYPERLINK("https://www.ncbi.nlm.nih.gov/nuccore/CP000304.1?report=graph&amp;tracks=[key:gene_model_track,Options:GeneOnly]&amp;mk=3314905:3314924|offset_29|444444,3314932:3314951|offset_56|00cc00,3314983:3315002|offset_107|444444,3315034:3315053|offset_158|444444&amp;v=3314704:3315253&amp;c=444444", "offset 56")</f>
        <v>offset 56</v>
      </c>
    </row>
    <row r="11851" customFormat="false" ht="12.8" hidden="false" customHeight="false" outlineLevel="0" collapsed="false">
      <c r="A11851" s="0" t="s">
        <v>12</v>
      </c>
      <c r="B11851" s="0" t="n">
        <v>3314982</v>
      </c>
      <c r="C11851" s="0" t="n">
        <v>3315002</v>
      </c>
      <c r="D11851" s="0" t="s">
        <v>39513</v>
      </c>
      <c r="E11851" s="0" t="s">
        <v>39514</v>
      </c>
      <c r="F11851" s="0" t="s">
        <v>15</v>
      </c>
      <c r="G11851" s="0" t="s">
        <v>26</v>
      </c>
      <c r="H11851" s="0" t="n">
        <v>107</v>
      </c>
      <c r="I11851" s="0" t="s">
        <v>39521</v>
      </c>
      <c r="J11851" s="0" t="s">
        <v>39522</v>
      </c>
      <c r="K11851" s="0" t="s">
        <v>39523</v>
      </c>
      <c r="L11851" s="0" t="str">
        <f aca="false">HYPERLINK("https://www.ncbi.nlm.nih.gov/nuccore/CP000304.1?report=graph&amp;tracks=[key:gene_model_track,Options:GeneOnly]&amp;mk=3314905:3314924|offset_29|444444,3314932:3314951|offset_56|444444,3314983:3315002|offset_107|00cc00,3315034:3315053|offset_158|444444&amp;v=3314704:3315253&amp;c=444444", "offset 107")</f>
        <v>offset 107</v>
      </c>
    </row>
    <row r="11852" customFormat="false" ht="12.8" hidden="false" customHeight="false" outlineLevel="0" collapsed="false">
      <c r="A11852" s="0" t="s">
        <v>12</v>
      </c>
      <c r="B11852" s="0" t="n">
        <v>3315033</v>
      </c>
      <c r="C11852" s="0" t="n">
        <v>3315053</v>
      </c>
      <c r="D11852" s="0" t="s">
        <v>39513</v>
      </c>
      <c r="E11852" s="0" t="s">
        <v>39514</v>
      </c>
      <c r="F11852" s="0" t="s">
        <v>15</v>
      </c>
      <c r="G11852" s="0" t="s">
        <v>32</v>
      </c>
      <c r="H11852" s="0" t="n">
        <v>158</v>
      </c>
      <c r="I11852" s="0" t="s">
        <v>39524</v>
      </c>
      <c r="J11852" s="0" t="s">
        <v>39525</v>
      </c>
      <c r="K11852" s="0" t="s">
        <v>39526</v>
      </c>
      <c r="L11852" s="0" t="str">
        <f aca="false">HYPERLINK("https://www.ncbi.nlm.nih.gov/nuccore/CP000304.1?report=graph&amp;tracks=[key:gene_model_track,Options:GeneOnly]&amp;mk=3314905:3314924|offset_29|444444,3314932:3314951|offset_56|444444,3314983:3315002|offset_107|444444,3315034:3315053|offset_158|00cc00&amp;v=3314704:3315253&amp;c=444444", "offset 158")</f>
        <v>offset 158</v>
      </c>
    </row>
    <row r="11853" customFormat="false" ht="12.8" hidden="false" customHeight="false" outlineLevel="0" collapsed="false">
      <c r="A11853" s="0" t="s">
        <v>12</v>
      </c>
      <c r="B11853" s="0" t="n">
        <v>3316180</v>
      </c>
      <c r="C11853" s="0" t="n">
        <v>3316200</v>
      </c>
      <c r="D11853" s="0" t="s">
        <v>39527</v>
      </c>
      <c r="E11853" s="0" t="s">
        <v>39528</v>
      </c>
      <c r="F11853" s="0" t="s">
        <v>15</v>
      </c>
      <c r="G11853" s="0" t="s">
        <v>32</v>
      </c>
      <c r="H11853" s="0" t="n">
        <v>11</v>
      </c>
      <c r="I11853" s="0" t="s">
        <v>39529</v>
      </c>
      <c r="J11853" s="0" t="s">
        <v>39530</v>
      </c>
      <c r="K11853" s="0" t="s">
        <v>39531</v>
      </c>
      <c r="L11853" s="0" t="str">
        <f aca="false">HYPERLINK("https://www.ncbi.nlm.nih.gov/nuccore/CP000304.1?report=graph&amp;tracks=[key:gene_model_track,Options:GeneOnly]&amp;mk=3316181:3316200|offset_11|00cc00,3316232:3316251|offset_62|444444,3316275:3316294|offset_105|444444,3316313:3316332|offset_143|444444&amp;v=3315980:3316532&amp;c=444444", "offset 11")</f>
        <v>offset 11</v>
      </c>
    </row>
    <row r="11854" customFormat="false" ht="12.8" hidden="false" customHeight="false" outlineLevel="0" collapsed="false">
      <c r="A11854" s="0" t="s">
        <v>12</v>
      </c>
      <c r="B11854" s="0" t="n">
        <v>3316231</v>
      </c>
      <c r="C11854" s="0" t="n">
        <v>3316251</v>
      </c>
      <c r="D11854" s="0" t="s">
        <v>39527</v>
      </c>
      <c r="E11854" s="0" t="s">
        <v>39528</v>
      </c>
      <c r="F11854" s="0" t="s">
        <v>15</v>
      </c>
      <c r="G11854" s="0" t="s">
        <v>26</v>
      </c>
      <c r="H11854" s="0" t="n">
        <v>62</v>
      </c>
      <c r="I11854" s="0" t="s">
        <v>39532</v>
      </c>
      <c r="J11854" s="0" t="s">
        <v>39533</v>
      </c>
      <c r="K11854" s="0" t="s">
        <v>39534</v>
      </c>
      <c r="L11854" s="0" t="str">
        <f aca="false">HYPERLINK("https://www.ncbi.nlm.nih.gov/nuccore/CP000304.1?report=graph&amp;tracks=[key:gene_model_track,Options:GeneOnly]&amp;mk=3316181:3316200|offset_11|444444,3316232:3316251|offset_62|00cc00,3316275:3316294|offset_105|444444,3316313:3316332|offset_143|444444&amp;v=3315980:3316532&amp;c=444444", "offset 62")</f>
        <v>offset 62</v>
      </c>
    </row>
    <row r="11855" customFormat="false" ht="12.8" hidden="false" customHeight="false" outlineLevel="0" collapsed="false">
      <c r="A11855" s="0" t="s">
        <v>12</v>
      </c>
      <c r="B11855" s="0" t="n">
        <v>3316274</v>
      </c>
      <c r="C11855" s="0" t="n">
        <v>3316294</v>
      </c>
      <c r="D11855" s="0" t="s">
        <v>39527</v>
      </c>
      <c r="E11855" s="0" t="s">
        <v>39528</v>
      </c>
      <c r="F11855" s="0" t="s">
        <v>15</v>
      </c>
      <c r="G11855" s="0" t="s">
        <v>36</v>
      </c>
      <c r="H11855" s="0" t="n">
        <v>105</v>
      </c>
      <c r="I11855" s="0" t="s">
        <v>39535</v>
      </c>
      <c r="J11855" s="0" t="s">
        <v>39536</v>
      </c>
      <c r="K11855" s="0" t="s">
        <v>39537</v>
      </c>
      <c r="L11855" s="0" t="str">
        <f aca="false">HYPERLINK("https://www.ncbi.nlm.nih.gov/nuccore/CP000304.1?report=graph&amp;tracks=[key:gene_model_track,Options:GeneOnly]&amp;mk=3316181:3316200|offset_11|444444,3316232:3316251|offset_62|444444,3316275:3316294|offset_105|00cc00,3316313:3316332|offset_143|444444&amp;v=3315980:3316532&amp;c=444444", "offset 105")</f>
        <v>offset 105</v>
      </c>
    </row>
    <row r="11856" customFormat="false" ht="12.8" hidden="false" customHeight="false" outlineLevel="0" collapsed="false">
      <c r="A11856" s="0" t="s">
        <v>12</v>
      </c>
      <c r="B11856" s="0" t="n">
        <v>3316312</v>
      </c>
      <c r="C11856" s="0" t="n">
        <v>3316332</v>
      </c>
      <c r="D11856" s="0" t="s">
        <v>39527</v>
      </c>
      <c r="E11856" s="0" t="s">
        <v>39528</v>
      </c>
      <c r="F11856" s="0" t="s">
        <v>15</v>
      </c>
      <c r="G11856" s="0" t="s">
        <v>16</v>
      </c>
      <c r="H11856" s="0" t="n">
        <v>143</v>
      </c>
      <c r="I11856" s="0" t="s">
        <v>39538</v>
      </c>
      <c r="J11856" s="0" t="s">
        <v>39539</v>
      </c>
      <c r="K11856" s="0" t="s">
        <v>39540</v>
      </c>
      <c r="L11856" s="0" t="str">
        <f aca="false">HYPERLINK("https://www.ncbi.nlm.nih.gov/nuccore/CP000304.1?report=graph&amp;tracks=[key:gene_model_track,Options:GeneOnly]&amp;mk=3316181:3316200|offset_11|444444,3316232:3316251|offset_62|444444,3316275:3316294|offset_105|444444,3316313:3316332|offset_143|00cc00&amp;v=3315980:3316532&amp;c=444444", "offset 143")</f>
        <v>offset 143</v>
      </c>
    </row>
    <row r="11857" customFormat="false" ht="12.8" hidden="false" customHeight="false" outlineLevel="0" collapsed="false">
      <c r="A11857" s="0" t="s">
        <v>12</v>
      </c>
      <c r="B11857" s="0" t="n">
        <v>3318798</v>
      </c>
      <c r="C11857" s="0" t="n">
        <v>3318818</v>
      </c>
      <c r="D11857" s="0" t="s">
        <v>39541</v>
      </c>
      <c r="E11857" s="0" t="s">
        <v>89</v>
      </c>
      <c r="F11857" s="0" t="s">
        <v>15</v>
      </c>
      <c r="G11857" s="0" t="s">
        <v>16</v>
      </c>
      <c r="H11857" s="0" t="n">
        <v>14</v>
      </c>
      <c r="I11857" s="0" t="s">
        <v>39542</v>
      </c>
      <c r="J11857" s="0" t="s">
        <v>39543</v>
      </c>
      <c r="K11857" s="0" t="s">
        <v>39544</v>
      </c>
      <c r="L11857" s="0" t="str">
        <f aca="false">HYPERLINK("https://www.ncbi.nlm.nih.gov/nuccore/CP000304.1?report=graph&amp;tracks=[key:gene_model_track,Options:GeneOnly]&amp;mk=3318799:3318818|offset_14|00cc00,3318819:3318838|offset_34|444444,3318849:3318868|offset_64|444444,3318886:3318905|offset_101|444444&amp;v=3318598:3319105&amp;c=444444", "offset 14")</f>
        <v>offset 14</v>
      </c>
    </row>
    <row r="11858" customFormat="false" ht="12.8" hidden="false" customHeight="false" outlineLevel="0" collapsed="false">
      <c r="A11858" s="0" t="s">
        <v>12</v>
      </c>
      <c r="B11858" s="0" t="n">
        <v>3318818</v>
      </c>
      <c r="C11858" s="0" t="n">
        <v>3318838</v>
      </c>
      <c r="D11858" s="0" t="s">
        <v>39541</v>
      </c>
      <c r="E11858" s="0" t="s">
        <v>89</v>
      </c>
      <c r="F11858" s="0" t="s">
        <v>15</v>
      </c>
      <c r="G11858" s="0" t="s">
        <v>32</v>
      </c>
      <c r="H11858" s="0" t="n">
        <v>34</v>
      </c>
      <c r="I11858" s="0" t="s">
        <v>39545</v>
      </c>
      <c r="J11858" s="0" t="s">
        <v>39546</v>
      </c>
      <c r="K11858" s="0" t="s">
        <v>39547</v>
      </c>
      <c r="L11858" s="0" t="str">
        <f aca="false">HYPERLINK("https://www.ncbi.nlm.nih.gov/nuccore/CP000304.1?report=graph&amp;tracks=[key:gene_model_track,Options:GeneOnly]&amp;mk=3318799:3318818|offset_14|444444,3318819:3318838|offset_34|00cc00,3318849:3318868|offset_64|444444,3318886:3318905|offset_101|444444&amp;v=3318598:3319105&amp;c=444444", "offset 34")</f>
        <v>offset 34</v>
      </c>
    </row>
    <row r="11859" customFormat="false" ht="12.8" hidden="false" customHeight="false" outlineLevel="0" collapsed="false">
      <c r="A11859" s="0" t="s">
        <v>12</v>
      </c>
      <c r="B11859" s="0" t="n">
        <v>3318848</v>
      </c>
      <c r="C11859" s="0" t="n">
        <v>3318868</v>
      </c>
      <c r="D11859" s="0" t="s">
        <v>39541</v>
      </c>
      <c r="E11859" s="0" t="s">
        <v>89</v>
      </c>
      <c r="F11859" s="0" t="s">
        <v>15</v>
      </c>
      <c r="G11859" s="0" t="s">
        <v>36</v>
      </c>
      <c r="H11859" s="0" t="n">
        <v>64</v>
      </c>
      <c r="I11859" s="0" t="s">
        <v>39548</v>
      </c>
      <c r="J11859" s="0" t="s">
        <v>39549</v>
      </c>
      <c r="K11859" s="0" t="s">
        <v>39550</v>
      </c>
      <c r="L11859" s="0" t="str">
        <f aca="false">HYPERLINK("https://www.ncbi.nlm.nih.gov/nuccore/CP000304.1?report=graph&amp;tracks=[key:gene_model_track,Options:GeneOnly]&amp;mk=3318799:3318818|offset_14|444444,3318819:3318838|offset_34|444444,3318849:3318868|offset_64|00cc00,3318886:3318905|offset_101|444444&amp;v=3318598:3319105&amp;c=444444", "offset 64")</f>
        <v>offset 64</v>
      </c>
    </row>
    <row r="11860" customFormat="false" ht="12.8" hidden="false" customHeight="false" outlineLevel="0" collapsed="false">
      <c r="A11860" s="0" t="s">
        <v>12</v>
      </c>
      <c r="B11860" s="0" t="n">
        <v>3318885</v>
      </c>
      <c r="C11860" s="0" t="n">
        <v>3318905</v>
      </c>
      <c r="D11860" s="0" t="s">
        <v>39541</v>
      </c>
      <c r="E11860" s="0" t="s">
        <v>89</v>
      </c>
      <c r="F11860" s="0" t="s">
        <v>15</v>
      </c>
      <c r="G11860" s="0" t="s">
        <v>16</v>
      </c>
      <c r="H11860" s="0" t="n">
        <v>101</v>
      </c>
      <c r="I11860" s="0" t="s">
        <v>39551</v>
      </c>
      <c r="J11860" s="0" t="s">
        <v>39552</v>
      </c>
      <c r="K11860" s="0" t="s">
        <v>39553</v>
      </c>
      <c r="L11860" s="0" t="str">
        <f aca="false">HYPERLINK("https://www.ncbi.nlm.nih.gov/nuccore/CP000304.1?report=graph&amp;tracks=[key:gene_model_track,Options:GeneOnly]&amp;mk=3318799:3318818|offset_14|444444,3318819:3318838|offset_34|444444,3318849:3318868|offset_64|444444,3318886:3318905|offset_101|00cc00&amp;v=3318598:3319105&amp;c=444444", "offset 101")</f>
        <v>offset 101</v>
      </c>
    </row>
    <row r="11861" customFormat="false" ht="12.8" hidden="false" customHeight="false" outlineLevel="0" collapsed="false">
      <c r="A11861" s="0" t="s">
        <v>12</v>
      </c>
      <c r="B11861" s="0" t="n">
        <v>3319618</v>
      </c>
      <c r="C11861" s="0" t="n">
        <v>3319638</v>
      </c>
      <c r="D11861" s="0" t="s">
        <v>39554</v>
      </c>
      <c r="E11861" s="0" t="s">
        <v>39555</v>
      </c>
      <c r="F11861" s="0" t="s">
        <v>15</v>
      </c>
      <c r="G11861" s="0" t="s">
        <v>32</v>
      </c>
      <c r="H11861" s="0" t="n">
        <v>1</v>
      </c>
      <c r="I11861" s="0" t="s">
        <v>39556</v>
      </c>
      <c r="J11861" s="0" t="s">
        <v>39557</v>
      </c>
      <c r="K11861" s="0" t="s">
        <v>39558</v>
      </c>
      <c r="L11861" s="0" t="str">
        <f aca="false">HYPERLINK("https://www.ncbi.nlm.nih.gov/nuccore/CP000304.1?report=graph&amp;tracks=[key:gene_model_track,Options:GeneOnly]&amp;mk=3319619:3319638|offset_1|00cc00,3319641:3319660|offset_23|444444,3319662:3319681|offset_44|444444,3319697:3319716|offset_79|444444&amp;v=3319418:3319916&amp;c=444444", "offset 1")</f>
        <v>offset 1</v>
      </c>
    </row>
    <row r="11862" customFormat="false" ht="12.8" hidden="false" customHeight="false" outlineLevel="0" collapsed="false">
      <c r="A11862" s="0" t="s">
        <v>12</v>
      </c>
      <c r="B11862" s="0" t="n">
        <v>3319640</v>
      </c>
      <c r="C11862" s="0" t="n">
        <v>3319660</v>
      </c>
      <c r="D11862" s="0" t="s">
        <v>39554</v>
      </c>
      <c r="E11862" s="0" t="s">
        <v>39555</v>
      </c>
      <c r="F11862" s="0" t="s">
        <v>15</v>
      </c>
      <c r="G11862" s="0" t="s">
        <v>16</v>
      </c>
      <c r="H11862" s="0" t="n">
        <v>23</v>
      </c>
      <c r="I11862" s="0" t="s">
        <v>39559</v>
      </c>
      <c r="J11862" s="0" t="s">
        <v>39560</v>
      </c>
      <c r="K11862" s="0" t="s">
        <v>39561</v>
      </c>
      <c r="L11862" s="0" t="str">
        <f aca="false">HYPERLINK("https://www.ncbi.nlm.nih.gov/nuccore/CP000304.1?report=graph&amp;tracks=[key:gene_model_track,Options:GeneOnly]&amp;mk=3319619:3319638|offset_1|444444,3319641:3319660|offset_23|00cc00,3319662:3319681|offset_44|444444,3319697:3319716|offset_79|444444&amp;v=3319418:3319916&amp;c=444444", "offset 23")</f>
        <v>offset 23</v>
      </c>
    </row>
    <row r="11863" customFormat="false" ht="12.8" hidden="false" customHeight="false" outlineLevel="0" collapsed="false">
      <c r="A11863" s="0" t="s">
        <v>12</v>
      </c>
      <c r="B11863" s="0" t="n">
        <v>3319661</v>
      </c>
      <c r="C11863" s="0" t="n">
        <v>3319681</v>
      </c>
      <c r="D11863" s="0" t="s">
        <v>39554</v>
      </c>
      <c r="E11863" s="0" t="s">
        <v>39555</v>
      </c>
      <c r="F11863" s="0" t="s">
        <v>15</v>
      </c>
      <c r="G11863" s="0" t="s">
        <v>26</v>
      </c>
      <c r="H11863" s="0" t="n">
        <v>44</v>
      </c>
      <c r="I11863" s="0" t="s">
        <v>39562</v>
      </c>
      <c r="J11863" s="0" t="s">
        <v>39563</v>
      </c>
      <c r="K11863" s="0" t="s">
        <v>39564</v>
      </c>
      <c r="L11863" s="0" t="str">
        <f aca="false">HYPERLINK("https://www.ncbi.nlm.nih.gov/nuccore/CP000304.1?report=graph&amp;tracks=[key:gene_model_track,Options:GeneOnly]&amp;mk=3319619:3319638|offset_1|444444,3319641:3319660|offset_23|444444,3319662:3319681|offset_44|00cc00,3319697:3319716|offset_79|444444&amp;v=3319418:3319916&amp;c=444444", "offset 44")</f>
        <v>offset 44</v>
      </c>
    </row>
    <row r="11864" customFormat="false" ht="12.8" hidden="false" customHeight="false" outlineLevel="0" collapsed="false">
      <c r="A11864" s="0" t="s">
        <v>12</v>
      </c>
      <c r="B11864" s="0" t="n">
        <v>3319696</v>
      </c>
      <c r="C11864" s="0" t="n">
        <v>3319716</v>
      </c>
      <c r="D11864" s="0" t="s">
        <v>39554</v>
      </c>
      <c r="E11864" s="0" t="s">
        <v>39555</v>
      </c>
      <c r="F11864" s="0" t="s">
        <v>15</v>
      </c>
      <c r="G11864" s="0" t="s">
        <v>36</v>
      </c>
      <c r="H11864" s="0" t="n">
        <v>79</v>
      </c>
      <c r="I11864" s="0" t="s">
        <v>39565</v>
      </c>
      <c r="J11864" s="0" t="s">
        <v>39566</v>
      </c>
      <c r="K11864" s="0" t="s">
        <v>39567</v>
      </c>
      <c r="L11864" s="0" t="str">
        <f aca="false">HYPERLINK("https://www.ncbi.nlm.nih.gov/nuccore/CP000304.1?report=graph&amp;tracks=[key:gene_model_track,Options:GeneOnly]&amp;mk=3319619:3319638|offset_1|444444,3319641:3319660|offset_23|444444,3319662:3319681|offset_44|444444,3319697:3319716|offset_79|00cc00&amp;v=3319418:3319916&amp;c=444444", "offset 79")</f>
        <v>offset 79</v>
      </c>
    </row>
    <row r="11865" customFormat="false" ht="12.8" hidden="false" customHeight="false" outlineLevel="0" collapsed="false">
      <c r="A11865" s="0" t="s">
        <v>12</v>
      </c>
      <c r="B11865" s="0" t="n">
        <v>3322553</v>
      </c>
      <c r="C11865" s="0" t="n">
        <v>3322573</v>
      </c>
      <c r="D11865" s="0" t="s">
        <v>39568</v>
      </c>
      <c r="E11865" s="0" t="s">
        <v>89</v>
      </c>
      <c r="F11865" s="0" t="s">
        <v>90</v>
      </c>
      <c r="G11865" s="0" t="s">
        <v>16</v>
      </c>
      <c r="H11865" s="0" t="n">
        <v>51</v>
      </c>
      <c r="I11865" s="0" t="s">
        <v>39569</v>
      </c>
      <c r="J11865" s="0" t="s">
        <v>39570</v>
      </c>
      <c r="K11865" s="0" t="s">
        <v>39571</v>
      </c>
      <c r="L11865" s="0" t="str">
        <f aca="false">HYPERLINK("https://www.ncbi.nlm.nih.gov/nuccore/CP000304.1?report=graph&amp;tracks=[key:gene_model_track,Options:GeneOnly]&amp;mk=3322554:3322573|offset_51|00cc00,3322534:3322553|offset_71|444444,3322505:3322524|offset_100|444444,3322485:3322504|offset_120|444444&amp;v=3322353:3322704&amp;c=444444", "offset 51")</f>
        <v>offset 51</v>
      </c>
    </row>
    <row r="11866" customFormat="false" ht="12.8" hidden="false" customHeight="false" outlineLevel="0" collapsed="false">
      <c r="A11866" s="0" t="s">
        <v>12</v>
      </c>
      <c r="B11866" s="0" t="n">
        <v>3322533</v>
      </c>
      <c r="C11866" s="0" t="n">
        <v>3322553</v>
      </c>
      <c r="D11866" s="0" t="s">
        <v>39568</v>
      </c>
      <c r="E11866" s="0" t="s">
        <v>89</v>
      </c>
      <c r="F11866" s="0" t="s">
        <v>90</v>
      </c>
      <c r="G11866" s="0" t="s">
        <v>26</v>
      </c>
      <c r="H11866" s="0" t="n">
        <v>71</v>
      </c>
      <c r="I11866" s="0" t="s">
        <v>39572</v>
      </c>
      <c r="J11866" s="0" t="s">
        <v>39573</v>
      </c>
      <c r="K11866" s="0" t="s">
        <v>39574</v>
      </c>
      <c r="L11866" s="0" t="str">
        <f aca="false">HYPERLINK("https://www.ncbi.nlm.nih.gov/nuccore/CP000304.1?report=graph&amp;tracks=[key:gene_model_track,Options:GeneOnly]&amp;mk=3322554:3322573|offset_51|444444,3322534:3322553|offset_71|00cc00,3322505:3322524|offset_100|444444,3322485:3322504|offset_120|444444&amp;v=3322353:3322704&amp;c=444444", "offset 71")</f>
        <v>offset 71</v>
      </c>
    </row>
    <row r="11867" customFormat="false" ht="12.8" hidden="false" customHeight="false" outlineLevel="0" collapsed="false">
      <c r="A11867" s="0" t="s">
        <v>12</v>
      </c>
      <c r="B11867" s="0" t="n">
        <v>3322504</v>
      </c>
      <c r="C11867" s="0" t="n">
        <v>3322524</v>
      </c>
      <c r="D11867" s="0" t="s">
        <v>39568</v>
      </c>
      <c r="E11867" s="0" t="s">
        <v>89</v>
      </c>
      <c r="F11867" s="0" t="s">
        <v>90</v>
      </c>
      <c r="G11867" s="0" t="s">
        <v>32</v>
      </c>
      <c r="H11867" s="0" t="n">
        <v>100</v>
      </c>
      <c r="I11867" s="0" t="s">
        <v>39575</v>
      </c>
      <c r="J11867" s="0" t="s">
        <v>39576</v>
      </c>
      <c r="K11867" s="0" t="s">
        <v>39577</v>
      </c>
      <c r="L11867" s="0" t="str">
        <f aca="false">HYPERLINK("https://www.ncbi.nlm.nih.gov/nuccore/CP000304.1?report=graph&amp;tracks=[key:gene_model_track,Options:GeneOnly]&amp;mk=3322554:3322573|offset_51|444444,3322534:3322553|offset_71|444444,3322505:3322524|offset_100|00cc00,3322485:3322504|offset_120|444444&amp;v=3322353:3322704&amp;c=444444", "offset 100")</f>
        <v>offset 100</v>
      </c>
    </row>
    <row r="11868" customFormat="false" ht="12.8" hidden="false" customHeight="false" outlineLevel="0" collapsed="false">
      <c r="A11868" s="0" t="s">
        <v>12</v>
      </c>
      <c r="B11868" s="0" t="n">
        <v>3322484</v>
      </c>
      <c r="C11868" s="0" t="n">
        <v>3322504</v>
      </c>
      <c r="D11868" s="0" t="s">
        <v>39568</v>
      </c>
      <c r="E11868" s="0" t="s">
        <v>89</v>
      </c>
      <c r="F11868" s="0" t="s">
        <v>90</v>
      </c>
      <c r="G11868" s="0" t="s">
        <v>16</v>
      </c>
      <c r="H11868" s="0" t="n">
        <v>120</v>
      </c>
      <c r="I11868" s="0" t="s">
        <v>39578</v>
      </c>
      <c r="J11868" s="0" t="s">
        <v>39579</v>
      </c>
      <c r="K11868" s="0" t="s">
        <v>39580</v>
      </c>
      <c r="L11868" s="0" t="str">
        <f aca="false">HYPERLINK("https://www.ncbi.nlm.nih.gov/nuccore/CP000304.1?report=graph&amp;tracks=[key:gene_model_track,Options:GeneOnly]&amp;mk=3322554:3322573|offset_51|444444,3322534:3322553|offset_71|444444,3322505:3322524|offset_100|444444,3322485:3322504|offset_120|00cc00&amp;v=3322353:3322704&amp;c=444444", "offset 120")</f>
        <v>offset 120</v>
      </c>
    </row>
    <row r="11869" customFormat="false" ht="12.8" hidden="false" customHeight="false" outlineLevel="0" collapsed="false">
      <c r="A11869" s="0" t="s">
        <v>12</v>
      </c>
      <c r="B11869" s="0" t="n">
        <v>3324298</v>
      </c>
      <c r="C11869" s="0" t="n">
        <v>3324318</v>
      </c>
      <c r="D11869" s="0" t="s">
        <v>39581</v>
      </c>
      <c r="E11869" s="0" t="s">
        <v>89</v>
      </c>
      <c r="F11869" s="0" t="s">
        <v>90</v>
      </c>
      <c r="G11869" s="0" t="s">
        <v>36</v>
      </c>
      <c r="H11869" s="0" t="n">
        <v>21</v>
      </c>
      <c r="I11869" s="0" t="s">
        <v>39582</v>
      </c>
      <c r="J11869" s="0" t="s">
        <v>39583</v>
      </c>
      <c r="K11869" s="0" t="s">
        <v>39584</v>
      </c>
      <c r="L11869" s="0" t="str">
        <f aca="false">HYPERLINK("https://www.ncbi.nlm.nih.gov/nuccore/CP000304.1?report=graph&amp;tracks=[key:gene_model_track,Options:GeneOnly]&amp;mk=3324299:3324318|offset_21|00cc00,3324277:3324296|offset_43|444444,3324220:3324239|offset_100|444444,3324198:3324217|offset_122|444444&amp;v=3324098:3324417&amp;c=444444", "offset 21")</f>
        <v>offset 21</v>
      </c>
    </row>
    <row r="11870" customFormat="false" ht="12.8" hidden="false" customHeight="false" outlineLevel="0" collapsed="false">
      <c r="A11870" s="0" t="s">
        <v>12</v>
      </c>
      <c r="B11870" s="0" t="n">
        <v>3324276</v>
      </c>
      <c r="C11870" s="0" t="n">
        <v>3324296</v>
      </c>
      <c r="D11870" s="0" t="s">
        <v>39581</v>
      </c>
      <c r="E11870" s="0" t="s">
        <v>89</v>
      </c>
      <c r="F11870" s="0" t="s">
        <v>90</v>
      </c>
      <c r="G11870" s="0" t="s">
        <v>16</v>
      </c>
      <c r="H11870" s="0" t="n">
        <v>43</v>
      </c>
      <c r="I11870" s="0" t="s">
        <v>39585</v>
      </c>
      <c r="J11870" s="0" t="s">
        <v>39586</v>
      </c>
      <c r="K11870" s="0" t="s">
        <v>39587</v>
      </c>
      <c r="L11870" s="0" t="str">
        <f aca="false">HYPERLINK("https://www.ncbi.nlm.nih.gov/nuccore/CP000304.1?report=graph&amp;tracks=[key:gene_model_track,Options:GeneOnly]&amp;mk=3324299:3324318|offset_21|444444,3324277:3324296|offset_43|00cc00,3324220:3324239|offset_100|444444,3324198:3324217|offset_122|444444&amp;v=3324098:3324417&amp;c=444444", "offset 43")</f>
        <v>offset 43</v>
      </c>
    </row>
    <row r="11871" customFormat="false" ht="12.8" hidden="false" customHeight="false" outlineLevel="0" collapsed="false">
      <c r="A11871" s="0" t="s">
        <v>12</v>
      </c>
      <c r="B11871" s="0" t="n">
        <v>3324219</v>
      </c>
      <c r="C11871" s="0" t="n">
        <v>3324239</v>
      </c>
      <c r="D11871" s="0" t="s">
        <v>39581</v>
      </c>
      <c r="E11871" s="0" t="s">
        <v>89</v>
      </c>
      <c r="F11871" s="0" t="s">
        <v>90</v>
      </c>
      <c r="G11871" s="0" t="s">
        <v>32</v>
      </c>
      <c r="H11871" s="0" t="n">
        <v>100</v>
      </c>
      <c r="I11871" s="0" t="s">
        <v>39588</v>
      </c>
      <c r="J11871" s="0" t="s">
        <v>39589</v>
      </c>
      <c r="K11871" s="0" t="s">
        <v>39590</v>
      </c>
      <c r="L11871" s="0" t="str">
        <f aca="false">HYPERLINK("https://www.ncbi.nlm.nih.gov/nuccore/CP000304.1?report=graph&amp;tracks=[key:gene_model_track,Options:GeneOnly]&amp;mk=3324299:3324318|offset_21|444444,3324277:3324296|offset_43|444444,3324220:3324239|offset_100|00cc00,3324198:3324217|offset_122|444444&amp;v=3324098:3324417&amp;c=444444", "offset 100")</f>
        <v>offset 100</v>
      </c>
    </row>
    <row r="11872" customFormat="false" ht="12.8" hidden="false" customHeight="false" outlineLevel="0" collapsed="false">
      <c r="A11872" s="0" t="s">
        <v>12</v>
      </c>
      <c r="B11872" s="0" t="n">
        <v>3324197</v>
      </c>
      <c r="C11872" s="0" t="n">
        <v>3324217</v>
      </c>
      <c r="D11872" s="0" t="s">
        <v>39581</v>
      </c>
      <c r="E11872" s="0" t="s">
        <v>89</v>
      </c>
      <c r="F11872" s="0" t="s">
        <v>90</v>
      </c>
      <c r="G11872" s="0" t="s">
        <v>36</v>
      </c>
      <c r="H11872" s="0" t="n">
        <v>122</v>
      </c>
      <c r="I11872" s="0" t="s">
        <v>39591</v>
      </c>
      <c r="J11872" s="0" t="s">
        <v>39592</v>
      </c>
      <c r="K11872" s="0" t="s">
        <v>39593</v>
      </c>
      <c r="L11872" s="0" t="str">
        <f aca="false">HYPERLINK("https://www.ncbi.nlm.nih.gov/nuccore/CP000304.1?report=graph&amp;tracks=[key:gene_model_track,Options:GeneOnly]&amp;mk=3324299:3324318|offset_21|444444,3324277:3324296|offset_43|444444,3324220:3324239|offset_100|444444,3324198:3324217|offset_122|00cc00&amp;v=3324098:3324417&amp;c=444444", "offset 122")</f>
        <v>offset 122</v>
      </c>
    </row>
    <row r="11873" customFormat="false" ht="12.8" hidden="false" customHeight="false" outlineLevel="0" collapsed="false">
      <c r="A11873" s="0" t="s">
        <v>12</v>
      </c>
      <c r="B11873" s="0" t="n">
        <v>3324511</v>
      </c>
      <c r="C11873" s="0" t="n">
        <v>3324531</v>
      </c>
      <c r="D11873" s="0" t="s">
        <v>39594</v>
      </c>
      <c r="E11873" s="0" t="s">
        <v>89</v>
      </c>
      <c r="F11873" s="0" t="s">
        <v>90</v>
      </c>
      <c r="G11873" s="0" t="s">
        <v>36</v>
      </c>
      <c r="H11873" s="0" t="n">
        <v>20</v>
      </c>
      <c r="I11873" s="0" t="s">
        <v>39595</v>
      </c>
      <c r="J11873" s="0" t="s">
        <v>39596</v>
      </c>
      <c r="K11873" s="0" t="s">
        <v>39597</v>
      </c>
      <c r="L11873" s="0" t="str">
        <f aca="false">HYPERLINK("https://www.ncbi.nlm.nih.gov/nuccore/CP000304.1?report=graph&amp;tracks=[key:gene_model_track,Options:GeneOnly]&amp;mk=3324512:3324531|offset_20|00cc00,3324388:3324407|offset_144|444444,3324347:3324366|offset_185|444444&amp;v=3324311:3324566&amp;c=444444", "offset 20")</f>
        <v>offset 20</v>
      </c>
    </row>
    <row r="11874" customFormat="false" ht="12.8" hidden="false" customHeight="false" outlineLevel="0" collapsed="false">
      <c r="A11874" s="0" t="s">
        <v>12</v>
      </c>
      <c r="B11874" s="0" t="n">
        <v>3324387</v>
      </c>
      <c r="C11874" s="0" t="n">
        <v>3324407</v>
      </c>
      <c r="D11874" s="0" t="s">
        <v>39594</v>
      </c>
      <c r="E11874" s="0" t="s">
        <v>89</v>
      </c>
      <c r="F11874" s="0" t="s">
        <v>90</v>
      </c>
      <c r="G11874" s="0" t="s">
        <v>16</v>
      </c>
      <c r="H11874" s="0" t="n">
        <v>144</v>
      </c>
      <c r="I11874" s="0" t="s">
        <v>39598</v>
      </c>
      <c r="J11874" s="0" t="s">
        <v>39599</v>
      </c>
      <c r="K11874" s="0" t="s">
        <v>39600</v>
      </c>
      <c r="L11874" s="0" t="str">
        <f aca="false">HYPERLINK("https://www.ncbi.nlm.nih.gov/nuccore/CP000304.1?report=graph&amp;tracks=[key:gene_model_track,Options:GeneOnly]&amp;mk=3324512:3324531|offset_20|444444,3324388:3324407|offset_144|00cc00,3324347:3324366|offset_185|444444&amp;v=3324311:3324566&amp;c=444444", "offset 144")</f>
        <v>offset 144</v>
      </c>
    </row>
    <row r="11875" customFormat="false" ht="12.8" hidden="false" customHeight="false" outlineLevel="0" collapsed="false">
      <c r="A11875" s="0" t="s">
        <v>12</v>
      </c>
      <c r="B11875" s="0" t="n">
        <v>3324346</v>
      </c>
      <c r="C11875" s="0" t="n">
        <v>3324366</v>
      </c>
      <c r="D11875" s="0" t="s">
        <v>39594</v>
      </c>
      <c r="E11875" s="0" t="s">
        <v>89</v>
      </c>
      <c r="F11875" s="0" t="s">
        <v>90</v>
      </c>
      <c r="G11875" s="0" t="s">
        <v>26</v>
      </c>
      <c r="H11875" s="0" t="n">
        <v>185</v>
      </c>
      <c r="I11875" s="0" t="s">
        <v>39601</v>
      </c>
      <c r="J11875" s="0" t="s">
        <v>39602</v>
      </c>
      <c r="K11875" s="0" t="s">
        <v>39603</v>
      </c>
      <c r="L11875" s="0" t="str">
        <f aca="false">HYPERLINK("https://www.ncbi.nlm.nih.gov/nuccore/CP000304.1?report=graph&amp;tracks=[key:gene_model_track,Options:GeneOnly]&amp;mk=3324512:3324531|offset_20|444444,3324388:3324407|offset_144|444444,3324347:3324366|offset_185|00cc00&amp;v=3324311:3324566&amp;c=444444", "offset 185")</f>
        <v>offset 185</v>
      </c>
    </row>
    <row r="11876" customFormat="false" ht="12.8" hidden="false" customHeight="false" outlineLevel="0" collapsed="false">
      <c r="A11876" s="0" t="s">
        <v>12</v>
      </c>
      <c r="B11876" s="0" t="n">
        <v>3324656</v>
      </c>
      <c r="C11876" s="0" t="n">
        <v>3324676</v>
      </c>
      <c r="D11876" s="0" t="s">
        <v>39604</v>
      </c>
      <c r="E11876" s="0" t="s">
        <v>89</v>
      </c>
      <c r="F11876" s="0" t="s">
        <v>15</v>
      </c>
      <c r="G11876" s="0" t="s">
        <v>16</v>
      </c>
      <c r="H11876" s="0" t="n">
        <v>8</v>
      </c>
      <c r="I11876" s="0" t="s">
        <v>39605</v>
      </c>
      <c r="J11876" s="0" t="s">
        <v>39606</v>
      </c>
      <c r="K11876" s="0" t="s">
        <v>39607</v>
      </c>
      <c r="L11876" s="0" t="str">
        <f aca="false">HYPERLINK("https://www.ncbi.nlm.nih.gov/nuccore/CP000304.1?report=graph&amp;tracks=[key:gene_model_track,Options:GeneOnly]&amp;mk=3324657:3324676|offset_8|00cc00,3324690:3324709|offset_41|444444,3324715:3324734|offset_66|444444,3324740:3324759|offset_91|444444&amp;v=3324456:3324959&amp;c=444444", "offset 8")</f>
        <v>offset 8</v>
      </c>
    </row>
    <row r="11877" customFormat="false" ht="12.8" hidden="false" customHeight="false" outlineLevel="0" collapsed="false">
      <c r="A11877" s="0" t="s">
        <v>12</v>
      </c>
      <c r="B11877" s="0" t="n">
        <v>3324689</v>
      </c>
      <c r="C11877" s="0" t="n">
        <v>3324709</v>
      </c>
      <c r="D11877" s="0" t="s">
        <v>39604</v>
      </c>
      <c r="E11877" s="0" t="s">
        <v>89</v>
      </c>
      <c r="F11877" s="0" t="s">
        <v>15</v>
      </c>
      <c r="G11877" s="0" t="s">
        <v>36</v>
      </c>
      <c r="H11877" s="0" t="n">
        <v>41</v>
      </c>
      <c r="I11877" s="0" t="s">
        <v>39608</v>
      </c>
      <c r="J11877" s="0" t="s">
        <v>39609</v>
      </c>
      <c r="K11877" s="0" t="s">
        <v>39610</v>
      </c>
      <c r="L11877" s="0" t="str">
        <f aca="false">HYPERLINK("https://www.ncbi.nlm.nih.gov/nuccore/CP000304.1?report=graph&amp;tracks=[key:gene_model_track,Options:GeneOnly]&amp;mk=3324657:3324676|offset_8|444444,3324690:3324709|offset_41|00cc00,3324715:3324734|offset_66|444444,3324740:3324759|offset_91|444444&amp;v=3324456:3324959&amp;c=444444", "offset 41")</f>
        <v>offset 41</v>
      </c>
    </row>
    <row r="11878" customFormat="false" ht="12.8" hidden="false" customHeight="false" outlineLevel="0" collapsed="false">
      <c r="A11878" s="0" t="s">
        <v>12</v>
      </c>
      <c r="B11878" s="0" t="n">
        <v>3324714</v>
      </c>
      <c r="C11878" s="0" t="n">
        <v>3324734</v>
      </c>
      <c r="D11878" s="0" t="s">
        <v>39604</v>
      </c>
      <c r="E11878" s="0" t="s">
        <v>89</v>
      </c>
      <c r="F11878" s="0" t="s">
        <v>15</v>
      </c>
      <c r="G11878" s="0" t="s">
        <v>36</v>
      </c>
      <c r="H11878" s="0" t="n">
        <v>66</v>
      </c>
      <c r="I11878" s="0" t="s">
        <v>39611</v>
      </c>
      <c r="J11878" s="0" t="s">
        <v>39612</v>
      </c>
      <c r="K11878" s="0" t="s">
        <v>39613</v>
      </c>
      <c r="L11878" s="0" t="str">
        <f aca="false">HYPERLINK("https://www.ncbi.nlm.nih.gov/nuccore/CP000304.1?report=graph&amp;tracks=[key:gene_model_track,Options:GeneOnly]&amp;mk=3324657:3324676|offset_8|444444,3324690:3324709|offset_41|444444,3324715:3324734|offset_66|00cc00,3324740:3324759|offset_91|444444&amp;v=3324456:3324959&amp;c=444444", "offset 66")</f>
        <v>offset 66</v>
      </c>
    </row>
    <row r="11879" customFormat="false" ht="12.8" hidden="false" customHeight="false" outlineLevel="0" collapsed="false">
      <c r="A11879" s="0" t="s">
        <v>12</v>
      </c>
      <c r="B11879" s="0" t="n">
        <v>3324739</v>
      </c>
      <c r="C11879" s="0" t="n">
        <v>3324759</v>
      </c>
      <c r="D11879" s="0" t="s">
        <v>39604</v>
      </c>
      <c r="E11879" s="0" t="s">
        <v>89</v>
      </c>
      <c r="F11879" s="0" t="s">
        <v>15</v>
      </c>
      <c r="G11879" s="0" t="s">
        <v>16</v>
      </c>
      <c r="H11879" s="0" t="n">
        <v>91</v>
      </c>
      <c r="I11879" s="0" t="s">
        <v>39614</v>
      </c>
      <c r="J11879" s="0" t="s">
        <v>39615</v>
      </c>
      <c r="K11879" s="0" t="s">
        <v>39616</v>
      </c>
      <c r="L11879" s="0" t="str">
        <f aca="false">HYPERLINK("https://www.ncbi.nlm.nih.gov/nuccore/CP000304.1?report=graph&amp;tracks=[key:gene_model_track,Options:GeneOnly]&amp;mk=3324657:3324676|offset_8|444444,3324690:3324709|offset_41|444444,3324715:3324734|offset_66|444444,3324740:3324759|offset_91|00cc00&amp;v=3324456:3324959&amp;c=444444", "offset 91")</f>
        <v>offset 91</v>
      </c>
    </row>
    <row r="11880" customFormat="false" ht="12.8" hidden="false" customHeight="false" outlineLevel="0" collapsed="false">
      <c r="A11880" s="0" t="s">
        <v>12</v>
      </c>
      <c r="B11880" s="0" t="n">
        <v>3326117</v>
      </c>
      <c r="C11880" s="0" t="n">
        <v>3326137</v>
      </c>
      <c r="D11880" s="0" t="s">
        <v>39617</v>
      </c>
      <c r="E11880" s="0" t="s">
        <v>89</v>
      </c>
      <c r="F11880" s="0" t="s">
        <v>15</v>
      </c>
      <c r="G11880" s="0" t="s">
        <v>26</v>
      </c>
      <c r="H11880" s="0" t="n">
        <v>16</v>
      </c>
      <c r="I11880" s="0" t="s">
        <v>39618</v>
      </c>
      <c r="J11880" s="0" t="s">
        <v>39619</v>
      </c>
      <c r="K11880" s="0" t="s">
        <v>39620</v>
      </c>
      <c r="L11880" s="0" t="str">
        <f aca="false">HYPERLINK("https://www.ncbi.nlm.nih.gov/nuccore/CP000304.1?report=graph&amp;tracks=[key:gene_model_track,Options:GeneOnly]&amp;mk=3326118:3326137|offset_16|00cc00,3326155:3326174|offset_53|444444,3326197:3326216|offset_95|444444,3326220:3326239|offset_118|444444&amp;v=3325917:3326439&amp;c=444444", "offset 16")</f>
        <v>offset 16</v>
      </c>
    </row>
    <row r="11881" customFormat="false" ht="12.8" hidden="false" customHeight="false" outlineLevel="0" collapsed="false">
      <c r="A11881" s="0" t="s">
        <v>12</v>
      </c>
      <c r="B11881" s="0" t="n">
        <v>3326154</v>
      </c>
      <c r="C11881" s="0" t="n">
        <v>3326174</v>
      </c>
      <c r="D11881" s="0" t="s">
        <v>39617</v>
      </c>
      <c r="E11881" s="0" t="s">
        <v>89</v>
      </c>
      <c r="F11881" s="0" t="s">
        <v>15</v>
      </c>
      <c r="G11881" s="0" t="s">
        <v>26</v>
      </c>
      <c r="H11881" s="0" t="n">
        <v>53</v>
      </c>
      <c r="I11881" s="0" t="s">
        <v>39621</v>
      </c>
      <c r="J11881" s="0" t="s">
        <v>39622</v>
      </c>
      <c r="K11881" s="0" t="s">
        <v>39623</v>
      </c>
      <c r="L11881" s="0" t="str">
        <f aca="false">HYPERLINK("https://www.ncbi.nlm.nih.gov/nuccore/CP000304.1?report=graph&amp;tracks=[key:gene_model_track,Options:GeneOnly]&amp;mk=3326118:3326137|offset_16|444444,3326155:3326174|offset_53|00cc00,3326197:3326216|offset_95|444444,3326220:3326239|offset_118|444444&amp;v=3325917:3326439&amp;c=444444", "offset 53")</f>
        <v>offset 53</v>
      </c>
    </row>
    <row r="11882" customFormat="false" ht="12.8" hidden="false" customHeight="false" outlineLevel="0" collapsed="false">
      <c r="A11882" s="0" t="s">
        <v>12</v>
      </c>
      <c r="B11882" s="0" t="n">
        <v>3326196</v>
      </c>
      <c r="C11882" s="0" t="n">
        <v>3326216</v>
      </c>
      <c r="D11882" s="0" t="s">
        <v>39617</v>
      </c>
      <c r="E11882" s="0" t="s">
        <v>89</v>
      </c>
      <c r="F11882" s="0" t="s">
        <v>15</v>
      </c>
      <c r="G11882" s="0" t="s">
        <v>26</v>
      </c>
      <c r="H11882" s="0" t="n">
        <v>95</v>
      </c>
      <c r="I11882" s="0" t="s">
        <v>39624</v>
      </c>
      <c r="J11882" s="0" t="s">
        <v>39625</v>
      </c>
      <c r="K11882" s="0" t="s">
        <v>39626</v>
      </c>
      <c r="L11882" s="0" t="str">
        <f aca="false">HYPERLINK("https://www.ncbi.nlm.nih.gov/nuccore/CP000304.1?report=graph&amp;tracks=[key:gene_model_track,Options:GeneOnly]&amp;mk=3326118:3326137|offset_16|444444,3326155:3326174|offset_53|444444,3326197:3326216|offset_95|00cc00,3326220:3326239|offset_118|444444&amp;v=3325917:3326439&amp;c=444444", "offset 95")</f>
        <v>offset 95</v>
      </c>
    </row>
    <row r="11883" customFormat="false" ht="12.8" hidden="false" customHeight="false" outlineLevel="0" collapsed="false">
      <c r="A11883" s="0" t="s">
        <v>12</v>
      </c>
      <c r="B11883" s="0" t="n">
        <v>3326219</v>
      </c>
      <c r="C11883" s="0" t="n">
        <v>3326239</v>
      </c>
      <c r="D11883" s="0" t="s">
        <v>39617</v>
      </c>
      <c r="E11883" s="0" t="s">
        <v>89</v>
      </c>
      <c r="F11883" s="0" t="s">
        <v>15</v>
      </c>
      <c r="G11883" s="0" t="s">
        <v>26</v>
      </c>
      <c r="H11883" s="0" t="n">
        <v>118</v>
      </c>
      <c r="I11883" s="0" t="s">
        <v>39627</v>
      </c>
      <c r="J11883" s="0" t="s">
        <v>39628</v>
      </c>
      <c r="K11883" s="0" t="s">
        <v>39629</v>
      </c>
      <c r="L11883" s="0" t="str">
        <f aca="false">HYPERLINK("https://www.ncbi.nlm.nih.gov/nuccore/CP000304.1?report=graph&amp;tracks=[key:gene_model_track,Options:GeneOnly]&amp;mk=3326118:3326137|offset_16|444444,3326155:3326174|offset_53|444444,3326197:3326216|offset_95|444444,3326220:3326239|offset_118|00cc00&amp;v=3325917:3326439&amp;c=444444", "offset 118")</f>
        <v>offset 118</v>
      </c>
    </row>
    <row r="11884" customFormat="false" ht="12.8" hidden="false" customHeight="false" outlineLevel="0" collapsed="false">
      <c r="A11884" s="0" t="s">
        <v>12</v>
      </c>
      <c r="B11884" s="0" t="n">
        <v>3327306</v>
      </c>
      <c r="C11884" s="0" t="n">
        <v>3327326</v>
      </c>
      <c r="D11884" s="0" t="s">
        <v>39630</v>
      </c>
      <c r="E11884" s="0" t="s">
        <v>89</v>
      </c>
      <c r="F11884" s="0" t="s">
        <v>90</v>
      </c>
      <c r="G11884" s="0" t="s">
        <v>36</v>
      </c>
      <c r="H11884" s="0" t="n">
        <v>0</v>
      </c>
      <c r="I11884" s="0" t="s">
        <v>39631</v>
      </c>
      <c r="J11884" s="0" t="s">
        <v>39632</v>
      </c>
      <c r="K11884" s="0" t="s">
        <v>39633</v>
      </c>
      <c r="L11884" s="0" t="str">
        <f aca="false">HYPERLINK("https://www.ncbi.nlm.nih.gov/nuccore/CP000304.1?report=graph&amp;tracks=[key:gene_model_track,Options:GeneOnly]&amp;mk=3327307:3327326|offset_0|00cc00,3327273:3327292|offset_34|444444,3327212:3327231|offset_95|444444,3327186:3327205|offset_121|444444&amp;v=3327106:3327405&amp;c=444444", "offset 0")</f>
        <v>offset 0</v>
      </c>
    </row>
    <row r="11885" customFormat="false" ht="12.8" hidden="false" customHeight="false" outlineLevel="0" collapsed="false">
      <c r="A11885" s="0" t="s">
        <v>12</v>
      </c>
      <c r="B11885" s="0" t="n">
        <v>3327272</v>
      </c>
      <c r="C11885" s="0" t="n">
        <v>3327292</v>
      </c>
      <c r="D11885" s="0" t="s">
        <v>39630</v>
      </c>
      <c r="E11885" s="0" t="s">
        <v>89</v>
      </c>
      <c r="F11885" s="0" t="s">
        <v>90</v>
      </c>
      <c r="G11885" s="0" t="s">
        <v>16</v>
      </c>
      <c r="H11885" s="0" t="n">
        <v>34</v>
      </c>
      <c r="I11885" s="0" t="s">
        <v>39634</v>
      </c>
      <c r="J11885" s="0" t="s">
        <v>39635</v>
      </c>
      <c r="K11885" s="0" t="s">
        <v>39636</v>
      </c>
      <c r="L11885" s="0" t="str">
        <f aca="false">HYPERLINK("https://www.ncbi.nlm.nih.gov/nuccore/CP000304.1?report=graph&amp;tracks=[key:gene_model_track,Options:GeneOnly]&amp;mk=3327307:3327326|offset_0|444444,3327273:3327292|offset_34|00cc00,3327212:3327231|offset_95|444444,3327186:3327205|offset_121|444444&amp;v=3327106:3327405&amp;c=444444", "offset 34")</f>
        <v>offset 34</v>
      </c>
    </row>
    <row r="11886" customFormat="false" ht="12.8" hidden="false" customHeight="false" outlineLevel="0" collapsed="false">
      <c r="A11886" s="0" t="s">
        <v>12</v>
      </c>
      <c r="B11886" s="0" t="n">
        <v>3327211</v>
      </c>
      <c r="C11886" s="0" t="n">
        <v>3327231</v>
      </c>
      <c r="D11886" s="0" t="s">
        <v>39630</v>
      </c>
      <c r="E11886" s="0" t="s">
        <v>89</v>
      </c>
      <c r="F11886" s="0" t="s">
        <v>90</v>
      </c>
      <c r="G11886" s="0" t="s">
        <v>26</v>
      </c>
      <c r="H11886" s="0" t="n">
        <v>95</v>
      </c>
      <c r="I11886" s="0" t="s">
        <v>39637</v>
      </c>
      <c r="J11886" s="0" t="s">
        <v>39638</v>
      </c>
      <c r="K11886" s="0" t="s">
        <v>39639</v>
      </c>
      <c r="L11886" s="0" t="str">
        <f aca="false">HYPERLINK("https://www.ncbi.nlm.nih.gov/nuccore/CP000304.1?report=graph&amp;tracks=[key:gene_model_track,Options:GeneOnly]&amp;mk=3327307:3327326|offset_0|444444,3327273:3327292|offset_34|444444,3327212:3327231|offset_95|00cc00,3327186:3327205|offset_121|444444&amp;v=3327106:3327405&amp;c=444444", "offset 95")</f>
        <v>offset 95</v>
      </c>
    </row>
    <row r="11887" customFormat="false" ht="12.8" hidden="false" customHeight="false" outlineLevel="0" collapsed="false">
      <c r="A11887" s="0" t="s">
        <v>12</v>
      </c>
      <c r="B11887" s="0" t="n">
        <v>3327185</v>
      </c>
      <c r="C11887" s="0" t="n">
        <v>3327205</v>
      </c>
      <c r="D11887" s="0" t="s">
        <v>39630</v>
      </c>
      <c r="E11887" s="0" t="s">
        <v>89</v>
      </c>
      <c r="F11887" s="0" t="s">
        <v>90</v>
      </c>
      <c r="G11887" s="0" t="s">
        <v>32</v>
      </c>
      <c r="H11887" s="0" t="n">
        <v>121</v>
      </c>
      <c r="I11887" s="0" t="s">
        <v>39640</v>
      </c>
      <c r="J11887" s="0" t="s">
        <v>39641</v>
      </c>
      <c r="K11887" s="0" t="s">
        <v>39642</v>
      </c>
      <c r="L11887" s="0" t="str">
        <f aca="false">HYPERLINK("https://www.ncbi.nlm.nih.gov/nuccore/CP000304.1?report=graph&amp;tracks=[key:gene_model_track,Options:GeneOnly]&amp;mk=3327307:3327326|offset_0|444444,3327273:3327292|offset_34|444444,3327212:3327231|offset_95|444444,3327186:3327205|offset_121|00cc00&amp;v=3327106:3327405&amp;c=444444", "offset 121")</f>
        <v>offset 121</v>
      </c>
    </row>
    <row r="11888" customFormat="false" ht="12.8" hidden="false" customHeight="false" outlineLevel="0" collapsed="false">
      <c r="A11888" s="0" t="s">
        <v>12</v>
      </c>
      <c r="B11888" s="0" t="n">
        <v>3327563</v>
      </c>
      <c r="C11888" s="0" t="n">
        <v>3327583</v>
      </c>
      <c r="D11888" s="0" t="s">
        <v>39643</v>
      </c>
      <c r="E11888" s="0" t="s">
        <v>89</v>
      </c>
      <c r="F11888" s="0" t="s">
        <v>15</v>
      </c>
      <c r="G11888" s="0" t="s">
        <v>32</v>
      </c>
      <c r="H11888" s="0" t="n">
        <v>18</v>
      </c>
      <c r="I11888" s="0" t="s">
        <v>39644</v>
      </c>
      <c r="J11888" s="0" t="s">
        <v>39645</v>
      </c>
      <c r="K11888" s="0" t="s">
        <v>39646</v>
      </c>
      <c r="L11888" s="0" t="str">
        <f aca="false">HYPERLINK("https://www.ncbi.nlm.nih.gov/nuccore/CP000304.1?report=graph&amp;tracks=[key:gene_model_track,Options:GeneOnly]&amp;mk=3327564:3327583|offset_18|00cc00,3327586:3327605|offset_40|444444,3327606:3327625|offset_60|444444,3327646:3327665|offset_100|444444&amp;v=3327363:3327865&amp;c=444444", "offset 18")</f>
        <v>offset 18</v>
      </c>
    </row>
    <row r="11889" customFormat="false" ht="12.8" hidden="false" customHeight="false" outlineLevel="0" collapsed="false">
      <c r="A11889" s="0" t="s">
        <v>12</v>
      </c>
      <c r="B11889" s="0" t="n">
        <v>3327585</v>
      </c>
      <c r="C11889" s="0" t="n">
        <v>3327605</v>
      </c>
      <c r="D11889" s="0" t="s">
        <v>39643</v>
      </c>
      <c r="E11889" s="0" t="s">
        <v>89</v>
      </c>
      <c r="F11889" s="0" t="s">
        <v>15</v>
      </c>
      <c r="G11889" s="0" t="s">
        <v>36</v>
      </c>
      <c r="H11889" s="0" t="n">
        <v>40</v>
      </c>
      <c r="I11889" s="0" t="s">
        <v>39647</v>
      </c>
      <c r="J11889" s="0" t="s">
        <v>39648</v>
      </c>
      <c r="K11889" s="0" t="s">
        <v>39649</v>
      </c>
      <c r="L11889" s="0" t="str">
        <f aca="false">HYPERLINK("https://www.ncbi.nlm.nih.gov/nuccore/CP000304.1?report=graph&amp;tracks=[key:gene_model_track,Options:GeneOnly]&amp;mk=3327564:3327583|offset_18|444444,3327586:3327605|offset_40|00cc00,3327606:3327625|offset_60|444444,3327646:3327665|offset_100|444444&amp;v=3327363:3327865&amp;c=444444", "offset 40")</f>
        <v>offset 40</v>
      </c>
    </row>
    <row r="11890" customFormat="false" ht="12.8" hidden="false" customHeight="false" outlineLevel="0" collapsed="false">
      <c r="A11890" s="0" t="s">
        <v>12</v>
      </c>
      <c r="B11890" s="0" t="n">
        <v>3327605</v>
      </c>
      <c r="C11890" s="0" t="n">
        <v>3327625</v>
      </c>
      <c r="D11890" s="0" t="s">
        <v>39643</v>
      </c>
      <c r="E11890" s="0" t="s">
        <v>89</v>
      </c>
      <c r="F11890" s="0" t="s">
        <v>15</v>
      </c>
      <c r="G11890" s="0" t="s">
        <v>32</v>
      </c>
      <c r="H11890" s="0" t="n">
        <v>60</v>
      </c>
      <c r="I11890" s="0" t="s">
        <v>39650</v>
      </c>
      <c r="J11890" s="0" t="s">
        <v>39651</v>
      </c>
      <c r="K11890" s="0" t="s">
        <v>39652</v>
      </c>
      <c r="L11890" s="0" t="str">
        <f aca="false">HYPERLINK("https://www.ncbi.nlm.nih.gov/nuccore/CP000304.1?report=graph&amp;tracks=[key:gene_model_track,Options:GeneOnly]&amp;mk=3327564:3327583|offset_18|444444,3327586:3327605|offset_40|444444,3327606:3327625|offset_60|00cc00,3327646:3327665|offset_100|444444&amp;v=3327363:3327865&amp;c=444444", "offset 60")</f>
        <v>offset 60</v>
      </c>
    </row>
    <row r="11891" customFormat="false" ht="12.8" hidden="false" customHeight="false" outlineLevel="0" collapsed="false">
      <c r="A11891" s="0" t="s">
        <v>12</v>
      </c>
      <c r="B11891" s="0" t="n">
        <v>3327645</v>
      </c>
      <c r="C11891" s="0" t="n">
        <v>3327665</v>
      </c>
      <c r="D11891" s="0" t="s">
        <v>39643</v>
      </c>
      <c r="E11891" s="0" t="s">
        <v>89</v>
      </c>
      <c r="F11891" s="0" t="s">
        <v>15</v>
      </c>
      <c r="G11891" s="0" t="s">
        <v>32</v>
      </c>
      <c r="H11891" s="0" t="n">
        <v>100</v>
      </c>
      <c r="I11891" s="0" t="s">
        <v>39653</v>
      </c>
      <c r="J11891" s="0" t="s">
        <v>39654</v>
      </c>
      <c r="K11891" s="0" t="s">
        <v>39655</v>
      </c>
      <c r="L11891" s="0" t="str">
        <f aca="false">HYPERLINK("https://www.ncbi.nlm.nih.gov/nuccore/CP000304.1?report=graph&amp;tracks=[key:gene_model_track,Options:GeneOnly]&amp;mk=3327564:3327583|offset_18|444444,3327586:3327605|offset_40|444444,3327606:3327625|offset_60|444444,3327646:3327665|offset_100|00cc00&amp;v=3327363:3327865&amp;c=444444", "offset 100")</f>
        <v>offset 100</v>
      </c>
    </row>
    <row r="11892" customFormat="false" ht="12.8" hidden="false" customHeight="false" outlineLevel="0" collapsed="false">
      <c r="A11892" s="0" t="s">
        <v>12</v>
      </c>
      <c r="B11892" s="0" t="n">
        <v>3328541</v>
      </c>
      <c r="C11892" s="0" t="n">
        <v>3328561</v>
      </c>
      <c r="D11892" s="0" t="s">
        <v>39656</v>
      </c>
      <c r="E11892" s="0" t="s">
        <v>89</v>
      </c>
      <c r="F11892" s="0" t="s">
        <v>15</v>
      </c>
      <c r="G11892" s="0" t="s">
        <v>36</v>
      </c>
      <c r="H11892" s="0" t="n">
        <v>7</v>
      </c>
      <c r="I11892" s="0" t="s">
        <v>39657</v>
      </c>
      <c r="J11892" s="0" t="s">
        <v>39658</v>
      </c>
      <c r="K11892" s="0" t="s">
        <v>39659</v>
      </c>
      <c r="L11892" s="0" t="str">
        <f aca="false">HYPERLINK("https://www.ncbi.nlm.nih.gov/nuccore/CP000304.1?report=graph&amp;tracks=[key:gene_model_track,Options:GeneOnly]&amp;mk=3328542:3328561|offset_7|00cc00,3328562:3328581|offset_27|444444,3328584:3328603|offset_49|444444,3328622:3328641|offset_87|444444&amp;v=3328341:3328841&amp;c=444444", "offset 7")</f>
        <v>offset 7</v>
      </c>
    </row>
    <row r="11893" customFormat="false" ht="12.8" hidden="false" customHeight="false" outlineLevel="0" collapsed="false">
      <c r="A11893" s="0" t="s">
        <v>12</v>
      </c>
      <c r="B11893" s="0" t="n">
        <v>3328561</v>
      </c>
      <c r="C11893" s="0" t="n">
        <v>3328581</v>
      </c>
      <c r="D11893" s="0" t="s">
        <v>39656</v>
      </c>
      <c r="E11893" s="0" t="s">
        <v>89</v>
      </c>
      <c r="F11893" s="0" t="s">
        <v>15</v>
      </c>
      <c r="G11893" s="0" t="s">
        <v>36</v>
      </c>
      <c r="H11893" s="0" t="n">
        <v>27</v>
      </c>
      <c r="I11893" s="0" t="s">
        <v>39660</v>
      </c>
      <c r="J11893" s="0" t="s">
        <v>39661</v>
      </c>
      <c r="K11893" s="0" t="s">
        <v>39662</v>
      </c>
      <c r="L11893" s="0" t="str">
        <f aca="false">HYPERLINK("https://www.ncbi.nlm.nih.gov/nuccore/CP000304.1?report=graph&amp;tracks=[key:gene_model_track,Options:GeneOnly]&amp;mk=3328542:3328561|offset_7|444444,3328562:3328581|offset_27|00cc00,3328584:3328603|offset_49|444444,3328622:3328641|offset_87|444444&amp;v=3328341:3328841&amp;c=444444", "offset 27")</f>
        <v>offset 27</v>
      </c>
    </row>
    <row r="11894" customFormat="false" ht="12.8" hidden="false" customHeight="false" outlineLevel="0" collapsed="false">
      <c r="A11894" s="0" t="s">
        <v>12</v>
      </c>
      <c r="B11894" s="0" t="n">
        <v>3328583</v>
      </c>
      <c r="C11894" s="0" t="n">
        <v>3328603</v>
      </c>
      <c r="D11894" s="0" t="s">
        <v>39656</v>
      </c>
      <c r="E11894" s="0" t="s">
        <v>89</v>
      </c>
      <c r="F11894" s="0" t="s">
        <v>15</v>
      </c>
      <c r="G11894" s="0" t="s">
        <v>26</v>
      </c>
      <c r="H11894" s="0" t="n">
        <v>49</v>
      </c>
      <c r="I11894" s="0" t="s">
        <v>39663</v>
      </c>
      <c r="J11894" s="0" t="s">
        <v>39664</v>
      </c>
      <c r="K11894" s="0" t="s">
        <v>39665</v>
      </c>
      <c r="L11894" s="0" t="str">
        <f aca="false">HYPERLINK("https://www.ncbi.nlm.nih.gov/nuccore/CP000304.1?report=graph&amp;tracks=[key:gene_model_track,Options:GeneOnly]&amp;mk=3328542:3328561|offset_7|444444,3328562:3328581|offset_27|444444,3328584:3328603|offset_49|00cc00,3328622:3328641|offset_87|444444&amp;v=3328341:3328841&amp;c=444444", "offset 49")</f>
        <v>offset 49</v>
      </c>
    </row>
    <row r="11895" customFormat="false" ht="12.8" hidden="false" customHeight="false" outlineLevel="0" collapsed="false">
      <c r="A11895" s="0" t="s">
        <v>12</v>
      </c>
      <c r="B11895" s="0" t="n">
        <v>3328621</v>
      </c>
      <c r="C11895" s="0" t="n">
        <v>3328641</v>
      </c>
      <c r="D11895" s="0" t="s">
        <v>39656</v>
      </c>
      <c r="E11895" s="0" t="s">
        <v>89</v>
      </c>
      <c r="F11895" s="0" t="s">
        <v>15</v>
      </c>
      <c r="G11895" s="0" t="s">
        <v>36</v>
      </c>
      <c r="H11895" s="0" t="n">
        <v>87</v>
      </c>
      <c r="I11895" s="0" t="s">
        <v>39666</v>
      </c>
      <c r="J11895" s="0" t="s">
        <v>39667</v>
      </c>
      <c r="K11895" s="0" t="s">
        <v>39668</v>
      </c>
      <c r="L11895" s="0" t="str">
        <f aca="false">HYPERLINK("https://www.ncbi.nlm.nih.gov/nuccore/CP000304.1?report=graph&amp;tracks=[key:gene_model_track,Options:GeneOnly]&amp;mk=3328542:3328561|offset_7|444444,3328562:3328581|offset_27|444444,3328584:3328603|offset_49|444444,3328622:3328641|offset_87|00cc00&amp;v=3328341:3328841&amp;c=444444", "offset 87")</f>
        <v>offset 87</v>
      </c>
    </row>
    <row r="11896" customFormat="false" ht="12.8" hidden="false" customHeight="false" outlineLevel="0" collapsed="false">
      <c r="A11896" s="0" t="s">
        <v>12</v>
      </c>
      <c r="B11896" s="0" t="n">
        <v>3329141</v>
      </c>
      <c r="C11896" s="0" t="n">
        <v>3329161</v>
      </c>
      <c r="D11896" s="0" t="s">
        <v>39669</v>
      </c>
      <c r="E11896" s="0" t="s">
        <v>39670</v>
      </c>
      <c r="F11896" s="0" t="s">
        <v>15</v>
      </c>
      <c r="G11896" s="0" t="s">
        <v>16</v>
      </c>
      <c r="H11896" s="0" t="n">
        <v>16</v>
      </c>
      <c r="I11896" s="0" t="s">
        <v>39671</v>
      </c>
      <c r="J11896" s="0" t="s">
        <v>39672</v>
      </c>
      <c r="K11896" s="0" t="s">
        <v>39673</v>
      </c>
      <c r="L11896" s="0" t="str">
        <f aca="false">HYPERLINK("https://www.ncbi.nlm.nih.gov/nuccore/CP000304.1?report=graph&amp;tracks=[key:gene_model_track,Options:GeneOnly]&amp;mk=3329142:3329161|offset_16|00cc00,3329167:3329186|offset_41|444444,3329190:3329209|offset_64|444444,3329223:3329242|offset_97|444444&amp;v=3328941:3329442&amp;c=444444", "offset 16")</f>
        <v>offset 16</v>
      </c>
    </row>
    <row r="11897" customFormat="false" ht="12.8" hidden="false" customHeight="false" outlineLevel="0" collapsed="false">
      <c r="A11897" s="0" t="s">
        <v>12</v>
      </c>
      <c r="B11897" s="0" t="n">
        <v>3329166</v>
      </c>
      <c r="C11897" s="0" t="n">
        <v>3329186</v>
      </c>
      <c r="D11897" s="0" t="s">
        <v>39669</v>
      </c>
      <c r="E11897" s="0" t="s">
        <v>39670</v>
      </c>
      <c r="F11897" s="0" t="s">
        <v>15</v>
      </c>
      <c r="G11897" s="0" t="s">
        <v>26</v>
      </c>
      <c r="H11897" s="0" t="n">
        <v>41</v>
      </c>
      <c r="I11897" s="0" t="s">
        <v>39674</v>
      </c>
      <c r="J11897" s="0" t="s">
        <v>39675</v>
      </c>
      <c r="K11897" s="0" t="s">
        <v>39676</v>
      </c>
      <c r="L11897" s="0" t="str">
        <f aca="false">HYPERLINK("https://www.ncbi.nlm.nih.gov/nuccore/CP000304.1?report=graph&amp;tracks=[key:gene_model_track,Options:GeneOnly]&amp;mk=3329142:3329161|offset_16|444444,3329167:3329186|offset_41|00cc00,3329190:3329209|offset_64|444444,3329223:3329242|offset_97|444444&amp;v=3328941:3329442&amp;c=444444", "offset 41")</f>
        <v>offset 41</v>
      </c>
    </row>
    <row r="11898" customFormat="false" ht="12.8" hidden="false" customHeight="false" outlineLevel="0" collapsed="false">
      <c r="A11898" s="0" t="s">
        <v>12</v>
      </c>
      <c r="B11898" s="0" t="n">
        <v>3329189</v>
      </c>
      <c r="C11898" s="0" t="n">
        <v>3329209</v>
      </c>
      <c r="D11898" s="0" t="s">
        <v>39669</v>
      </c>
      <c r="E11898" s="0" t="s">
        <v>39670</v>
      </c>
      <c r="F11898" s="0" t="s">
        <v>15</v>
      </c>
      <c r="G11898" s="0" t="s">
        <v>36</v>
      </c>
      <c r="H11898" s="0" t="n">
        <v>64</v>
      </c>
      <c r="I11898" s="0" t="s">
        <v>39677</v>
      </c>
      <c r="J11898" s="0" t="s">
        <v>39678</v>
      </c>
      <c r="K11898" s="0" t="s">
        <v>39679</v>
      </c>
      <c r="L11898" s="0" t="str">
        <f aca="false">HYPERLINK("https://www.ncbi.nlm.nih.gov/nuccore/CP000304.1?report=graph&amp;tracks=[key:gene_model_track,Options:GeneOnly]&amp;mk=3329142:3329161|offset_16|444444,3329167:3329186|offset_41|444444,3329190:3329209|offset_64|00cc00,3329223:3329242|offset_97|444444&amp;v=3328941:3329442&amp;c=444444", "offset 64")</f>
        <v>offset 64</v>
      </c>
    </row>
    <row r="11899" customFormat="false" ht="12.8" hidden="false" customHeight="false" outlineLevel="0" collapsed="false">
      <c r="A11899" s="0" t="s">
        <v>12</v>
      </c>
      <c r="B11899" s="0" t="n">
        <v>3329222</v>
      </c>
      <c r="C11899" s="0" t="n">
        <v>3329242</v>
      </c>
      <c r="D11899" s="0" t="s">
        <v>39669</v>
      </c>
      <c r="E11899" s="0" t="s">
        <v>39670</v>
      </c>
      <c r="F11899" s="0" t="s">
        <v>15</v>
      </c>
      <c r="G11899" s="0" t="s">
        <v>16</v>
      </c>
      <c r="H11899" s="0" t="n">
        <v>97</v>
      </c>
      <c r="I11899" s="0" t="s">
        <v>39680</v>
      </c>
      <c r="J11899" s="0" t="s">
        <v>39681</v>
      </c>
      <c r="K11899" s="0" t="s">
        <v>39682</v>
      </c>
      <c r="L11899" s="0" t="str">
        <f aca="false">HYPERLINK("https://www.ncbi.nlm.nih.gov/nuccore/CP000304.1?report=graph&amp;tracks=[key:gene_model_track,Options:GeneOnly]&amp;mk=3329142:3329161|offset_16|444444,3329167:3329186|offset_41|444444,3329190:3329209|offset_64|444444,3329223:3329242|offset_97|00cc00&amp;v=3328941:3329442&amp;c=444444", "offset 97")</f>
        <v>offset 97</v>
      </c>
    </row>
    <row r="11900" customFormat="false" ht="12.8" hidden="false" customHeight="false" outlineLevel="0" collapsed="false">
      <c r="A11900" s="0" t="s">
        <v>12</v>
      </c>
      <c r="B11900" s="0" t="n">
        <v>3330221</v>
      </c>
      <c r="C11900" s="0" t="n">
        <v>3330241</v>
      </c>
      <c r="D11900" s="0" t="s">
        <v>39683</v>
      </c>
      <c r="E11900" s="0" t="s">
        <v>39684</v>
      </c>
      <c r="F11900" s="0" t="s">
        <v>15</v>
      </c>
      <c r="G11900" s="0" t="s">
        <v>32</v>
      </c>
      <c r="H11900" s="0" t="n">
        <v>1</v>
      </c>
      <c r="I11900" s="0" t="s">
        <v>39685</v>
      </c>
      <c r="J11900" s="0" t="s">
        <v>39686</v>
      </c>
      <c r="K11900" s="0" t="s">
        <v>39687</v>
      </c>
      <c r="L11900" s="0" t="str">
        <f aca="false">HYPERLINK("https://www.ncbi.nlm.nih.gov/nuccore/CP000304.1?report=graph&amp;tracks=[key:gene_model_track,Options:GeneOnly]&amp;mk=3330222:3330241|offset_1|00cc00,3330245:3330264|offset_24|444444,3330267:3330286|offset_46|444444,3330291:3330310|offset_70|444444&amp;v=3330021:3330510&amp;c=444444", "offset 1")</f>
        <v>offset 1</v>
      </c>
    </row>
    <row r="11901" customFormat="false" ht="12.8" hidden="false" customHeight="false" outlineLevel="0" collapsed="false">
      <c r="A11901" s="0" t="s">
        <v>12</v>
      </c>
      <c r="B11901" s="0" t="n">
        <v>3330244</v>
      </c>
      <c r="C11901" s="0" t="n">
        <v>3330264</v>
      </c>
      <c r="D11901" s="0" t="s">
        <v>39683</v>
      </c>
      <c r="E11901" s="0" t="s">
        <v>39684</v>
      </c>
      <c r="F11901" s="0" t="s">
        <v>15</v>
      </c>
      <c r="G11901" s="0" t="s">
        <v>32</v>
      </c>
      <c r="H11901" s="0" t="n">
        <v>24</v>
      </c>
      <c r="I11901" s="0" t="s">
        <v>39688</v>
      </c>
      <c r="J11901" s="0" t="s">
        <v>39689</v>
      </c>
      <c r="K11901" s="0" t="s">
        <v>39690</v>
      </c>
      <c r="L11901" s="0" t="str">
        <f aca="false">HYPERLINK("https://www.ncbi.nlm.nih.gov/nuccore/CP000304.1?report=graph&amp;tracks=[key:gene_model_track,Options:GeneOnly]&amp;mk=3330222:3330241|offset_1|444444,3330245:3330264|offset_24|00cc00,3330267:3330286|offset_46|444444,3330291:3330310|offset_70|444444&amp;v=3330021:3330510&amp;c=444444", "offset 24")</f>
        <v>offset 24</v>
      </c>
    </row>
    <row r="11902" customFormat="false" ht="12.8" hidden="false" customHeight="false" outlineLevel="0" collapsed="false">
      <c r="A11902" s="0" t="s">
        <v>12</v>
      </c>
      <c r="B11902" s="0" t="n">
        <v>3330266</v>
      </c>
      <c r="C11902" s="0" t="n">
        <v>3330286</v>
      </c>
      <c r="D11902" s="0" t="s">
        <v>39683</v>
      </c>
      <c r="E11902" s="0" t="s">
        <v>39684</v>
      </c>
      <c r="F11902" s="0" t="s">
        <v>15</v>
      </c>
      <c r="G11902" s="0" t="s">
        <v>36</v>
      </c>
      <c r="H11902" s="0" t="n">
        <v>46</v>
      </c>
      <c r="I11902" s="0" t="s">
        <v>39691</v>
      </c>
      <c r="J11902" s="0" t="s">
        <v>39692</v>
      </c>
      <c r="K11902" s="0" t="s">
        <v>39693</v>
      </c>
      <c r="L11902" s="0" t="str">
        <f aca="false">HYPERLINK("https://www.ncbi.nlm.nih.gov/nuccore/CP000304.1?report=graph&amp;tracks=[key:gene_model_track,Options:GeneOnly]&amp;mk=3330222:3330241|offset_1|444444,3330245:3330264|offset_24|444444,3330267:3330286|offset_46|00cc00,3330291:3330310|offset_70|444444&amp;v=3330021:3330510&amp;c=444444", "offset 46")</f>
        <v>offset 46</v>
      </c>
    </row>
    <row r="11903" customFormat="false" ht="12.8" hidden="false" customHeight="false" outlineLevel="0" collapsed="false">
      <c r="A11903" s="0" t="s">
        <v>12</v>
      </c>
      <c r="B11903" s="0" t="n">
        <v>3330290</v>
      </c>
      <c r="C11903" s="0" t="n">
        <v>3330310</v>
      </c>
      <c r="D11903" s="0" t="s">
        <v>39683</v>
      </c>
      <c r="E11903" s="0" t="s">
        <v>39684</v>
      </c>
      <c r="F11903" s="0" t="s">
        <v>15</v>
      </c>
      <c r="G11903" s="0" t="s">
        <v>16</v>
      </c>
      <c r="H11903" s="0" t="n">
        <v>70</v>
      </c>
      <c r="I11903" s="0" t="s">
        <v>39694</v>
      </c>
      <c r="J11903" s="0" t="s">
        <v>39695</v>
      </c>
      <c r="K11903" s="0" t="s">
        <v>39696</v>
      </c>
      <c r="L11903" s="0" t="str">
        <f aca="false">HYPERLINK("https://www.ncbi.nlm.nih.gov/nuccore/CP000304.1?report=graph&amp;tracks=[key:gene_model_track,Options:GeneOnly]&amp;mk=3330222:3330241|offset_1|444444,3330245:3330264|offset_24|444444,3330267:3330286|offset_46|444444,3330291:3330310|offset_70|00cc00&amp;v=3330021:3330510&amp;c=444444", "offset 70")</f>
        <v>offset 70</v>
      </c>
    </row>
    <row r="11904" customFormat="false" ht="12.8" hidden="false" customHeight="false" outlineLevel="0" collapsed="false">
      <c r="A11904" s="0" t="s">
        <v>12</v>
      </c>
      <c r="B11904" s="0" t="n">
        <v>3330835</v>
      </c>
      <c r="C11904" s="0" t="n">
        <v>3330855</v>
      </c>
      <c r="D11904" s="0" t="s">
        <v>39697</v>
      </c>
      <c r="E11904" s="0" t="s">
        <v>89</v>
      </c>
      <c r="F11904" s="0" t="s">
        <v>15</v>
      </c>
      <c r="G11904" s="0" t="s">
        <v>16</v>
      </c>
      <c r="H11904" s="0" t="n">
        <v>19</v>
      </c>
      <c r="I11904" s="0" t="s">
        <v>39698</v>
      </c>
      <c r="J11904" s="0" t="s">
        <v>39699</v>
      </c>
      <c r="K11904" s="0" t="s">
        <v>39700</v>
      </c>
      <c r="L11904" s="0" t="str">
        <f aca="false">HYPERLINK("https://www.ncbi.nlm.nih.gov/nuccore/CP000304.1?report=graph&amp;tracks=[key:gene_model_track,Options:GeneOnly]&amp;mk=3330836:3330855|offset_19|00cc00,3330887:3330906|offset_70|444444,3330930:3330949|offset_113|444444,3330969:3330988|offset_152|444444&amp;v=3330635:3331188&amp;c=444444", "offset 19")</f>
        <v>offset 19</v>
      </c>
    </row>
    <row r="11905" customFormat="false" ht="12.8" hidden="false" customHeight="false" outlineLevel="0" collapsed="false">
      <c r="A11905" s="0" t="s">
        <v>12</v>
      </c>
      <c r="B11905" s="0" t="n">
        <v>3330886</v>
      </c>
      <c r="C11905" s="0" t="n">
        <v>3330906</v>
      </c>
      <c r="D11905" s="0" t="s">
        <v>39697</v>
      </c>
      <c r="E11905" s="0" t="s">
        <v>89</v>
      </c>
      <c r="F11905" s="0" t="s">
        <v>15</v>
      </c>
      <c r="G11905" s="0" t="s">
        <v>26</v>
      </c>
      <c r="H11905" s="0" t="n">
        <v>70</v>
      </c>
      <c r="I11905" s="0" t="s">
        <v>39701</v>
      </c>
      <c r="J11905" s="0" t="s">
        <v>39702</v>
      </c>
      <c r="K11905" s="0" t="s">
        <v>39703</v>
      </c>
      <c r="L11905" s="0" t="str">
        <f aca="false">HYPERLINK("https://www.ncbi.nlm.nih.gov/nuccore/CP000304.1?report=graph&amp;tracks=[key:gene_model_track,Options:GeneOnly]&amp;mk=3330836:3330855|offset_19|444444,3330887:3330906|offset_70|00cc00,3330930:3330949|offset_113|444444,3330969:3330988|offset_152|444444&amp;v=3330635:3331188&amp;c=444444", "offset 70")</f>
        <v>offset 70</v>
      </c>
    </row>
    <row r="11906" customFormat="false" ht="12.8" hidden="false" customHeight="false" outlineLevel="0" collapsed="false">
      <c r="A11906" s="0" t="s">
        <v>12</v>
      </c>
      <c r="B11906" s="0" t="n">
        <v>3330929</v>
      </c>
      <c r="C11906" s="0" t="n">
        <v>3330949</v>
      </c>
      <c r="D11906" s="0" t="s">
        <v>39697</v>
      </c>
      <c r="E11906" s="0" t="s">
        <v>89</v>
      </c>
      <c r="F11906" s="0" t="s">
        <v>15</v>
      </c>
      <c r="G11906" s="0" t="s">
        <v>26</v>
      </c>
      <c r="H11906" s="0" t="n">
        <v>113</v>
      </c>
      <c r="I11906" s="0" t="s">
        <v>39704</v>
      </c>
      <c r="J11906" s="0" t="s">
        <v>39705</v>
      </c>
      <c r="K11906" s="0" t="s">
        <v>39706</v>
      </c>
      <c r="L11906" s="0" t="str">
        <f aca="false">HYPERLINK("https://www.ncbi.nlm.nih.gov/nuccore/CP000304.1?report=graph&amp;tracks=[key:gene_model_track,Options:GeneOnly]&amp;mk=3330836:3330855|offset_19|444444,3330887:3330906|offset_70|444444,3330930:3330949|offset_113|00cc00,3330969:3330988|offset_152|444444&amp;v=3330635:3331188&amp;c=444444", "offset 113")</f>
        <v>offset 113</v>
      </c>
    </row>
    <row r="11907" customFormat="false" ht="12.8" hidden="false" customHeight="false" outlineLevel="0" collapsed="false">
      <c r="A11907" s="0" t="s">
        <v>12</v>
      </c>
      <c r="B11907" s="0" t="n">
        <v>3330968</v>
      </c>
      <c r="C11907" s="0" t="n">
        <v>3330988</v>
      </c>
      <c r="D11907" s="0" t="s">
        <v>39697</v>
      </c>
      <c r="E11907" s="0" t="s">
        <v>89</v>
      </c>
      <c r="F11907" s="0" t="s">
        <v>15</v>
      </c>
      <c r="G11907" s="0" t="s">
        <v>26</v>
      </c>
      <c r="H11907" s="0" t="n">
        <v>152</v>
      </c>
      <c r="I11907" s="0" t="s">
        <v>39707</v>
      </c>
      <c r="J11907" s="0" t="s">
        <v>39708</v>
      </c>
      <c r="K11907" s="0" t="s">
        <v>39709</v>
      </c>
      <c r="L11907" s="0" t="str">
        <f aca="false">HYPERLINK("https://www.ncbi.nlm.nih.gov/nuccore/CP000304.1?report=graph&amp;tracks=[key:gene_model_track,Options:GeneOnly]&amp;mk=3330836:3330855|offset_19|444444,3330887:3330906|offset_70|444444,3330930:3330949|offset_113|444444,3330969:3330988|offset_152|00cc00&amp;v=3330635:3331188&amp;c=444444", "offset 152")</f>
        <v>offset 152</v>
      </c>
    </row>
    <row r="11908" customFormat="false" ht="12.8" hidden="false" customHeight="false" outlineLevel="0" collapsed="false">
      <c r="A11908" s="0" t="s">
        <v>12</v>
      </c>
      <c r="B11908" s="0" t="n">
        <v>3332535</v>
      </c>
      <c r="C11908" s="0" t="n">
        <v>3332555</v>
      </c>
      <c r="D11908" s="0" t="s">
        <v>39710</v>
      </c>
      <c r="E11908" s="0" t="s">
        <v>89</v>
      </c>
      <c r="F11908" s="0" t="s">
        <v>15</v>
      </c>
      <c r="G11908" s="0" t="s">
        <v>32</v>
      </c>
      <c r="H11908" s="0" t="n">
        <v>19</v>
      </c>
      <c r="I11908" s="0" t="s">
        <v>39711</v>
      </c>
      <c r="J11908" s="0" t="s">
        <v>39712</v>
      </c>
      <c r="K11908" s="0" t="s">
        <v>39713</v>
      </c>
      <c r="L11908" s="0" t="str">
        <f aca="false">HYPERLINK("https://www.ncbi.nlm.nih.gov/nuccore/CP000304.1?report=graph&amp;tracks=[key:gene_model_track,Options:GeneOnly]&amp;mk=3332536:3332555|offset_19|00cc00,3332562:3332581|offset_45|444444,3332584:3332603|offset_67|444444,3332615:3332634|offset_98|444444&amp;v=3332335:3332834&amp;c=444444", "offset 19")</f>
        <v>offset 19</v>
      </c>
    </row>
    <row r="11909" customFormat="false" ht="12.8" hidden="false" customHeight="false" outlineLevel="0" collapsed="false">
      <c r="A11909" s="0" t="s">
        <v>12</v>
      </c>
      <c r="B11909" s="0" t="n">
        <v>3332561</v>
      </c>
      <c r="C11909" s="0" t="n">
        <v>3332581</v>
      </c>
      <c r="D11909" s="0" t="s">
        <v>39710</v>
      </c>
      <c r="E11909" s="0" t="s">
        <v>89</v>
      </c>
      <c r="F11909" s="0" t="s">
        <v>15</v>
      </c>
      <c r="G11909" s="0" t="s">
        <v>16</v>
      </c>
      <c r="H11909" s="0" t="n">
        <v>45</v>
      </c>
      <c r="I11909" s="0" t="s">
        <v>39714</v>
      </c>
      <c r="J11909" s="0" t="s">
        <v>39715</v>
      </c>
      <c r="K11909" s="0" t="s">
        <v>39716</v>
      </c>
      <c r="L11909" s="0" t="str">
        <f aca="false">HYPERLINK("https://www.ncbi.nlm.nih.gov/nuccore/CP000304.1?report=graph&amp;tracks=[key:gene_model_track,Options:GeneOnly]&amp;mk=3332536:3332555|offset_19|444444,3332562:3332581|offset_45|00cc00,3332584:3332603|offset_67|444444,3332615:3332634|offset_98|444444&amp;v=3332335:3332834&amp;c=444444", "offset 45")</f>
        <v>offset 45</v>
      </c>
    </row>
    <row r="11910" customFormat="false" ht="12.8" hidden="false" customHeight="false" outlineLevel="0" collapsed="false">
      <c r="A11910" s="0" t="s">
        <v>12</v>
      </c>
      <c r="B11910" s="0" t="n">
        <v>3332583</v>
      </c>
      <c r="C11910" s="0" t="n">
        <v>3332603</v>
      </c>
      <c r="D11910" s="0" t="s">
        <v>39710</v>
      </c>
      <c r="E11910" s="0" t="s">
        <v>89</v>
      </c>
      <c r="F11910" s="0" t="s">
        <v>15</v>
      </c>
      <c r="G11910" s="0" t="s">
        <v>16</v>
      </c>
      <c r="H11910" s="0" t="n">
        <v>67</v>
      </c>
      <c r="I11910" s="0" t="s">
        <v>39717</v>
      </c>
      <c r="J11910" s="0" t="s">
        <v>39718</v>
      </c>
      <c r="K11910" s="0" t="s">
        <v>39719</v>
      </c>
      <c r="L11910" s="0" t="str">
        <f aca="false">HYPERLINK("https://www.ncbi.nlm.nih.gov/nuccore/CP000304.1?report=graph&amp;tracks=[key:gene_model_track,Options:GeneOnly]&amp;mk=3332536:3332555|offset_19|444444,3332562:3332581|offset_45|444444,3332584:3332603|offset_67|00cc00,3332615:3332634|offset_98|444444&amp;v=3332335:3332834&amp;c=444444", "offset 67")</f>
        <v>offset 67</v>
      </c>
    </row>
    <row r="11911" customFormat="false" ht="12.8" hidden="false" customHeight="false" outlineLevel="0" collapsed="false">
      <c r="A11911" s="0" t="s">
        <v>12</v>
      </c>
      <c r="B11911" s="0" t="n">
        <v>3332614</v>
      </c>
      <c r="C11911" s="0" t="n">
        <v>3332634</v>
      </c>
      <c r="D11911" s="0" t="s">
        <v>39710</v>
      </c>
      <c r="E11911" s="0" t="s">
        <v>89</v>
      </c>
      <c r="F11911" s="0" t="s">
        <v>15</v>
      </c>
      <c r="G11911" s="0" t="s">
        <v>36</v>
      </c>
      <c r="H11911" s="0" t="n">
        <v>98</v>
      </c>
      <c r="I11911" s="0" t="s">
        <v>39720</v>
      </c>
      <c r="J11911" s="0" t="s">
        <v>39721</v>
      </c>
      <c r="K11911" s="0" t="s">
        <v>39722</v>
      </c>
      <c r="L11911" s="0" t="str">
        <f aca="false">HYPERLINK("https://www.ncbi.nlm.nih.gov/nuccore/CP000304.1?report=graph&amp;tracks=[key:gene_model_track,Options:GeneOnly]&amp;mk=3332536:3332555|offset_19|444444,3332562:3332581|offset_45|444444,3332584:3332603|offset_67|444444,3332615:3332634|offset_98|00cc00&amp;v=3332335:3332834&amp;c=444444", "offset 98")</f>
        <v>offset 98</v>
      </c>
    </row>
    <row r="11912" customFormat="false" ht="12.8" hidden="false" customHeight="false" outlineLevel="0" collapsed="false">
      <c r="A11912" s="0" t="s">
        <v>12</v>
      </c>
      <c r="B11912" s="0" t="n">
        <v>3335753</v>
      </c>
      <c r="C11912" s="0" t="n">
        <v>3335773</v>
      </c>
      <c r="D11912" s="0" t="s">
        <v>39723</v>
      </c>
      <c r="E11912" s="0" t="s">
        <v>89</v>
      </c>
      <c r="F11912" s="0" t="s">
        <v>15</v>
      </c>
      <c r="G11912" s="0" t="s">
        <v>32</v>
      </c>
      <c r="H11912" s="0" t="n">
        <v>1</v>
      </c>
      <c r="I11912" s="0" t="s">
        <v>39724</v>
      </c>
      <c r="J11912" s="0" t="s">
        <v>39725</v>
      </c>
      <c r="K11912" s="0" t="s">
        <v>39726</v>
      </c>
      <c r="L11912" s="0" t="str">
        <f aca="false">HYPERLINK("https://www.ncbi.nlm.nih.gov/nuccore/CP000304.1?report=graph&amp;tracks=[key:gene_model_track,Options:GeneOnly]&amp;mk=3335754:3335773|offset_1|00cc00,3335774:3335793|offset_21|444444,3335800:3335819|offset_47|444444,3335823:3335842|offset_70|444444&amp;v=3335553:3336042&amp;c=444444", "offset 1")</f>
        <v>offset 1</v>
      </c>
    </row>
    <row r="11913" customFormat="false" ht="12.8" hidden="false" customHeight="false" outlineLevel="0" collapsed="false">
      <c r="A11913" s="0" t="s">
        <v>12</v>
      </c>
      <c r="B11913" s="0" t="n">
        <v>3335773</v>
      </c>
      <c r="C11913" s="0" t="n">
        <v>3335793</v>
      </c>
      <c r="D11913" s="0" t="s">
        <v>39723</v>
      </c>
      <c r="E11913" s="0" t="s">
        <v>89</v>
      </c>
      <c r="F11913" s="0" t="s">
        <v>15</v>
      </c>
      <c r="G11913" s="0" t="s">
        <v>16</v>
      </c>
      <c r="H11913" s="0" t="n">
        <v>21</v>
      </c>
      <c r="I11913" s="0" t="s">
        <v>39727</v>
      </c>
      <c r="J11913" s="0" t="s">
        <v>39728</v>
      </c>
      <c r="K11913" s="0" t="s">
        <v>39729</v>
      </c>
      <c r="L11913" s="0" t="str">
        <f aca="false">HYPERLINK("https://www.ncbi.nlm.nih.gov/nuccore/CP000304.1?report=graph&amp;tracks=[key:gene_model_track,Options:GeneOnly]&amp;mk=3335754:3335773|offset_1|444444,3335774:3335793|offset_21|00cc00,3335800:3335819|offset_47|444444,3335823:3335842|offset_70|444444&amp;v=3335553:3336042&amp;c=444444", "offset 21")</f>
        <v>offset 21</v>
      </c>
    </row>
    <row r="11914" customFormat="false" ht="12.8" hidden="false" customHeight="false" outlineLevel="0" collapsed="false">
      <c r="A11914" s="0" t="s">
        <v>12</v>
      </c>
      <c r="B11914" s="0" t="n">
        <v>3335799</v>
      </c>
      <c r="C11914" s="0" t="n">
        <v>3335819</v>
      </c>
      <c r="D11914" s="0" t="s">
        <v>39723</v>
      </c>
      <c r="E11914" s="0" t="s">
        <v>89</v>
      </c>
      <c r="F11914" s="0" t="s">
        <v>15</v>
      </c>
      <c r="G11914" s="0" t="s">
        <v>26</v>
      </c>
      <c r="H11914" s="0" t="n">
        <v>47</v>
      </c>
      <c r="I11914" s="0" t="s">
        <v>39730</v>
      </c>
      <c r="J11914" s="0" t="s">
        <v>39731</v>
      </c>
      <c r="K11914" s="0" t="s">
        <v>39732</v>
      </c>
      <c r="L11914" s="0" t="str">
        <f aca="false">HYPERLINK("https://www.ncbi.nlm.nih.gov/nuccore/CP000304.1?report=graph&amp;tracks=[key:gene_model_track,Options:GeneOnly]&amp;mk=3335754:3335773|offset_1|444444,3335774:3335793|offset_21|444444,3335800:3335819|offset_47|00cc00,3335823:3335842|offset_70|444444&amp;v=3335553:3336042&amp;c=444444", "offset 47")</f>
        <v>offset 47</v>
      </c>
    </row>
    <row r="11915" customFormat="false" ht="12.8" hidden="false" customHeight="false" outlineLevel="0" collapsed="false">
      <c r="A11915" s="0" t="s">
        <v>12</v>
      </c>
      <c r="B11915" s="0" t="n">
        <v>3335822</v>
      </c>
      <c r="C11915" s="0" t="n">
        <v>3335842</v>
      </c>
      <c r="D11915" s="0" t="s">
        <v>39723</v>
      </c>
      <c r="E11915" s="0" t="s">
        <v>89</v>
      </c>
      <c r="F11915" s="0" t="s">
        <v>15</v>
      </c>
      <c r="G11915" s="0" t="s">
        <v>16</v>
      </c>
      <c r="H11915" s="0" t="n">
        <v>70</v>
      </c>
      <c r="I11915" s="0" t="s">
        <v>39733</v>
      </c>
      <c r="J11915" s="0" t="s">
        <v>39734</v>
      </c>
      <c r="K11915" s="0" t="s">
        <v>39735</v>
      </c>
      <c r="L11915" s="0" t="str">
        <f aca="false">HYPERLINK("https://www.ncbi.nlm.nih.gov/nuccore/CP000304.1?report=graph&amp;tracks=[key:gene_model_track,Options:GeneOnly]&amp;mk=3335754:3335773|offset_1|444444,3335774:3335793|offset_21|444444,3335800:3335819|offset_47|444444,3335823:3335842|offset_70|00cc00&amp;v=3335553:3336042&amp;c=444444", "offset 70")</f>
        <v>offset 70</v>
      </c>
    </row>
    <row r="11916" customFormat="false" ht="12.8" hidden="false" customHeight="false" outlineLevel="0" collapsed="false">
      <c r="A11916" s="0" t="s">
        <v>12</v>
      </c>
      <c r="B11916" s="0" t="n">
        <v>3338563</v>
      </c>
      <c r="C11916" s="0" t="n">
        <v>3338583</v>
      </c>
      <c r="D11916" s="0" t="s">
        <v>39736</v>
      </c>
      <c r="E11916" s="0" t="s">
        <v>89</v>
      </c>
      <c r="F11916" s="0" t="s">
        <v>90</v>
      </c>
      <c r="G11916" s="0" t="s">
        <v>32</v>
      </c>
      <c r="H11916" s="0" t="n">
        <v>1</v>
      </c>
      <c r="I11916" s="0" t="s">
        <v>39737</v>
      </c>
      <c r="J11916" s="0" t="s">
        <v>39738</v>
      </c>
      <c r="K11916" s="0" t="s">
        <v>39739</v>
      </c>
      <c r="L11916" s="0" t="str">
        <f aca="false">HYPERLINK("https://www.ncbi.nlm.nih.gov/nuccore/CP000304.1?report=graph&amp;tracks=[key:gene_model_track,Options:GeneOnly]&amp;mk=3338564:3338583|offset_1|00cc00,3338524:3338543|offset_41|444444,3338494:3338513|offset_71|444444,3338468:3338487|offset_97|444444&amp;v=3338363:3338687&amp;c=444444", "offset 1")</f>
        <v>offset 1</v>
      </c>
    </row>
    <row r="11917" customFormat="false" ht="12.8" hidden="false" customHeight="false" outlineLevel="0" collapsed="false">
      <c r="A11917" s="0" t="s">
        <v>12</v>
      </c>
      <c r="B11917" s="0" t="n">
        <v>3338523</v>
      </c>
      <c r="C11917" s="0" t="n">
        <v>3338543</v>
      </c>
      <c r="D11917" s="0" t="s">
        <v>39736</v>
      </c>
      <c r="E11917" s="0" t="s">
        <v>89</v>
      </c>
      <c r="F11917" s="0" t="s">
        <v>90</v>
      </c>
      <c r="G11917" s="0" t="s">
        <v>26</v>
      </c>
      <c r="H11917" s="0" t="n">
        <v>41</v>
      </c>
      <c r="I11917" s="0" t="s">
        <v>39740</v>
      </c>
      <c r="J11917" s="0" t="s">
        <v>39741</v>
      </c>
      <c r="K11917" s="0" t="s">
        <v>39742</v>
      </c>
      <c r="L11917" s="0" t="str">
        <f aca="false">HYPERLINK("https://www.ncbi.nlm.nih.gov/nuccore/CP000304.1?report=graph&amp;tracks=[key:gene_model_track,Options:GeneOnly]&amp;mk=3338564:3338583|offset_1|444444,3338524:3338543|offset_41|00cc00,3338494:3338513|offset_71|444444,3338468:3338487|offset_97|444444&amp;v=3338363:3338687&amp;c=444444", "offset 41")</f>
        <v>offset 41</v>
      </c>
    </row>
    <row r="11918" customFormat="false" ht="12.8" hidden="false" customHeight="false" outlineLevel="0" collapsed="false">
      <c r="A11918" s="0" t="s">
        <v>12</v>
      </c>
      <c r="B11918" s="0" t="n">
        <v>3338493</v>
      </c>
      <c r="C11918" s="0" t="n">
        <v>3338513</v>
      </c>
      <c r="D11918" s="0" t="s">
        <v>39736</v>
      </c>
      <c r="E11918" s="0" t="s">
        <v>89</v>
      </c>
      <c r="F11918" s="0" t="s">
        <v>90</v>
      </c>
      <c r="G11918" s="0" t="s">
        <v>26</v>
      </c>
      <c r="H11918" s="0" t="n">
        <v>71</v>
      </c>
      <c r="I11918" s="0" t="s">
        <v>39743</v>
      </c>
      <c r="J11918" s="0" t="s">
        <v>39744</v>
      </c>
      <c r="K11918" s="0" t="s">
        <v>39745</v>
      </c>
      <c r="L11918" s="0" t="str">
        <f aca="false">HYPERLINK("https://www.ncbi.nlm.nih.gov/nuccore/CP000304.1?report=graph&amp;tracks=[key:gene_model_track,Options:GeneOnly]&amp;mk=3338564:3338583|offset_1|444444,3338524:3338543|offset_41|444444,3338494:3338513|offset_71|00cc00,3338468:3338487|offset_97|444444&amp;v=3338363:3338687&amp;c=444444", "offset 71")</f>
        <v>offset 71</v>
      </c>
    </row>
    <row r="11919" customFormat="false" ht="12.8" hidden="false" customHeight="false" outlineLevel="0" collapsed="false">
      <c r="A11919" s="0" t="s">
        <v>12</v>
      </c>
      <c r="B11919" s="0" t="n">
        <v>3338467</v>
      </c>
      <c r="C11919" s="0" t="n">
        <v>3338487</v>
      </c>
      <c r="D11919" s="0" t="s">
        <v>39736</v>
      </c>
      <c r="E11919" s="0" t="s">
        <v>89</v>
      </c>
      <c r="F11919" s="0" t="s">
        <v>90</v>
      </c>
      <c r="G11919" s="0" t="s">
        <v>26</v>
      </c>
      <c r="H11919" s="0" t="n">
        <v>97</v>
      </c>
      <c r="I11919" s="0" t="s">
        <v>39746</v>
      </c>
      <c r="J11919" s="0" t="s">
        <v>39747</v>
      </c>
      <c r="K11919" s="0" t="s">
        <v>39748</v>
      </c>
      <c r="L11919" s="0" t="str">
        <f aca="false">HYPERLINK("https://www.ncbi.nlm.nih.gov/nuccore/CP000304.1?report=graph&amp;tracks=[key:gene_model_track,Options:GeneOnly]&amp;mk=3338564:3338583|offset_1|444444,3338524:3338543|offset_41|444444,3338494:3338513|offset_71|444444,3338468:3338487|offset_97|00cc00&amp;v=3338363:3338687&amp;c=444444", "offset 97")</f>
        <v>offset 97</v>
      </c>
    </row>
    <row r="11920" customFormat="false" ht="12.8" hidden="false" customHeight="false" outlineLevel="0" collapsed="false">
      <c r="A11920" s="0" t="s">
        <v>12</v>
      </c>
      <c r="B11920" s="0" t="n">
        <v>3338814</v>
      </c>
      <c r="C11920" s="0" t="n">
        <v>3338834</v>
      </c>
      <c r="D11920" s="0" t="s">
        <v>39749</v>
      </c>
      <c r="E11920" s="0" t="s">
        <v>89</v>
      </c>
      <c r="F11920" s="0" t="s">
        <v>15</v>
      </c>
      <c r="G11920" s="0" t="s">
        <v>32</v>
      </c>
      <c r="H11920" s="0" t="n">
        <v>7</v>
      </c>
      <c r="I11920" s="0" t="s">
        <v>39750</v>
      </c>
      <c r="J11920" s="0" t="s">
        <v>39751</v>
      </c>
      <c r="K11920" s="0" t="s">
        <v>39752</v>
      </c>
      <c r="L11920" s="0" t="str">
        <f aca="false">HYPERLINK("https://www.ncbi.nlm.nih.gov/nuccore/CP000304.1?report=graph&amp;tracks=[key:gene_model_track,Options:GeneOnly]&amp;mk=3338815:3338834|offset_7|00cc00,3338846:3338865|offset_38|444444,3338887:3338906|offset_79|444444,3338914:3338933|offset_106|444444&amp;v=3338614:3339133&amp;c=444444", "offset 7")</f>
        <v>offset 7</v>
      </c>
    </row>
    <row r="11921" customFormat="false" ht="12.8" hidden="false" customHeight="false" outlineLevel="0" collapsed="false">
      <c r="A11921" s="0" t="s">
        <v>12</v>
      </c>
      <c r="B11921" s="0" t="n">
        <v>3338845</v>
      </c>
      <c r="C11921" s="0" t="n">
        <v>3338865</v>
      </c>
      <c r="D11921" s="0" t="s">
        <v>39749</v>
      </c>
      <c r="E11921" s="0" t="s">
        <v>89</v>
      </c>
      <c r="F11921" s="0" t="s">
        <v>15</v>
      </c>
      <c r="G11921" s="0" t="s">
        <v>26</v>
      </c>
      <c r="H11921" s="0" t="n">
        <v>38</v>
      </c>
      <c r="I11921" s="0" t="s">
        <v>39753</v>
      </c>
      <c r="J11921" s="0" t="s">
        <v>39754</v>
      </c>
      <c r="K11921" s="0" t="s">
        <v>39755</v>
      </c>
      <c r="L11921" s="0" t="str">
        <f aca="false">HYPERLINK("https://www.ncbi.nlm.nih.gov/nuccore/CP000304.1?report=graph&amp;tracks=[key:gene_model_track,Options:GeneOnly]&amp;mk=3338815:3338834|offset_7|444444,3338846:3338865|offset_38|00cc00,3338887:3338906|offset_79|444444,3338914:3338933|offset_106|444444&amp;v=3338614:3339133&amp;c=444444", "offset 38")</f>
        <v>offset 38</v>
      </c>
    </row>
    <row r="11922" customFormat="false" ht="12.8" hidden="false" customHeight="false" outlineLevel="0" collapsed="false">
      <c r="A11922" s="0" t="s">
        <v>12</v>
      </c>
      <c r="B11922" s="0" t="n">
        <v>3338886</v>
      </c>
      <c r="C11922" s="0" t="n">
        <v>3338906</v>
      </c>
      <c r="D11922" s="0" t="s">
        <v>39749</v>
      </c>
      <c r="E11922" s="0" t="s">
        <v>89</v>
      </c>
      <c r="F11922" s="0" t="s">
        <v>15</v>
      </c>
      <c r="G11922" s="0" t="s">
        <v>16</v>
      </c>
      <c r="H11922" s="0" t="n">
        <v>79</v>
      </c>
      <c r="I11922" s="0" t="s">
        <v>39756</v>
      </c>
      <c r="J11922" s="0" t="s">
        <v>39757</v>
      </c>
      <c r="K11922" s="0" t="s">
        <v>39758</v>
      </c>
      <c r="L11922" s="0" t="str">
        <f aca="false">HYPERLINK("https://www.ncbi.nlm.nih.gov/nuccore/CP000304.1?report=graph&amp;tracks=[key:gene_model_track,Options:GeneOnly]&amp;mk=3338815:3338834|offset_7|444444,3338846:3338865|offset_38|444444,3338887:3338906|offset_79|00cc00,3338914:3338933|offset_106|444444&amp;v=3338614:3339133&amp;c=444444", "offset 79")</f>
        <v>offset 79</v>
      </c>
    </row>
    <row r="11923" customFormat="false" ht="12.8" hidden="false" customHeight="false" outlineLevel="0" collapsed="false">
      <c r="A11923" s="0" t="s">
        <v>12</v>
      </c>
      <c r="B11923" s="0" t="n">
        <v>3338913</v>
      </c>
      <c r="C11923" s="0" t="n">
        <v>3338933</v>
      </c>
      <c r="D11923" s="0" t="s">
        <v>39749</v>
      </c>
      <c r="E11923" s="0" t="s">
        <v>89</v>
      </c>
      <c r="F11923" s="0" t="s">
        <v>15</v>
      </c>
      <c r="G11923" s="0" t="s">
        <v>36</v>
      </c>
      <c r="H11923" s="0" t="n">
        <v>106</v>
      </c>
      <c r="I11923" s="0" t="s">
        <v>39759</v>
      </c>
      <c r="J11923" s="0" t="s">
        <v>39760</v>
      </c>
      <c r="K11923" s="0" t="s">
        <v>39761</v>
      </c>
      <c r="L11923" s="0" t="str">
        <f aca="false">HYPERLINK("https://www.ncbi.nlm.nih.gov/nuccore/CP000304.1?report=graph&amp;tracks=[key:gene_model_track,Options:GeneOnly]&amp;mk=3338815:3338834|offset_7|444444,3338846:3338865|offset_38|444444,3338887:3338906|offset_79|444444,3338914:3338933|offset_106|00cc00&amp;v=3338614:3339133&amp;c=444444", "offset 106")</f>
        <v>offset 106</v>
      </c>
    </row>
    <row r="11924" customFormat="false" ht="12.8" hidden="false" customHeight="false" outlineLevel="0" collapsed="false">
      <c r="A11924" s="0" t="s">
        <v>12</v>
      </c>
      <c r="B11924" s="0" t="n">
        <v>3339557</v>
      </c>
      <c r="C11924" s="0" t="n">
        <v>3339577</v>
      </c>
      <c r="D11924" s="0" t="s">
        <v>39762</v>
      </c>
      <c r="E11924" s="0" t="s">
        <v>89</v>
      </c>
      <c r="F11924" s="0" t="s">
        <v>15</v>
      </c>
      <c r="G11924" s="0" t="s">
        <v>36</v>
      </c>
      <c r="H11924" s="0" t="n">
        <v>6</v>
      </c>
      <c r="I11924" s="0" t="s">
        <v>39763</v>
      </c>
      <c r="J11924" s="0" t="s">
        <v>39764</v>
      </c>
      <c r="K11924" s="0" t="s">
        <v>39765</v>
      </c>
      <c r="L11924" s="0" t="str">
        <f aca="false">HYPERLINK("https://www.ncbi.nlm.nih.gov/nuccore/CP000304.1?report=graph&amp;tracks=[key:gene_model_track,Options:GeneOnly]&amp;mk=3339558:3339577|offset_6|00cc00,3339579:3339598|offset_27|444444,3339602:3339621|offset_50|444444,3339629:3339648|offset_77|444444&amp;v=3339357:3339848&amp;c=444444", "offset 6")</f>
        <v>offset 6</v>
      </c>
    </row>
    <row r="11925" customFormat="false" ht="12.8" hidden="false" customHeight="false" outlineLevel="0" collapsed="false">
      <c r="A11925" s="0" t="s">
        <v>12</v>
      </c>
      <c r="B11925" s="0" t="n">
        <v>3339578</v>
      </c>
      <c r="C11925" s="0" t="n">
        <v>3339598</v>
      </c>
      <c r="D11925" s="0" t="s">
        <v>39762</v>
      </c>
      <c r="E11925" s="0" t="s">
        <v>89</v>
      </c>
      <c r="F11925" s="0" t="s">
        <v>15</v>
      </c>
      <c r="G11925" s="0" t="s">
        <v>32</v>
      </c>
      <c r="H11925" s="0" t="n">
        <v>27</v>
      </c>
      <c r="I11925" s="0" t="s">
        <v>39766</v>
      </c>
      <c r="J11925" s="0" t="s">
        <v>39767</v>
      </c>
      <c r="K11925" s="0" t="s">
        <v>39768</v>
      </c>
      <c r="L11925" s="0" t="str">
        <f aca="false">HYPERLINK("https://www.ncbi.nlm.nih.gov/nuccore/CP000304.1?report=graph&amp;tracks=[key:gene_model_track,Options:GeneOnly]&amp;mk=3339558:3339577|offset_6|444444,3339579:3339598|offset_27|00cc00,3339602:3339621|offset_50|444444,3339629:3339648|offset_77|444444&amp;v=3339357:3339848&amp;c=444444", "offset 27")</f>
        <v>offset 27</v>
      </c>
    </row>
    <row r="11926" customFormat="false" ht="12.8" hidden="false" customHeight="false" outlineLevel="0" collapsed="false">
      <c r="A11926" s="0" t="s">
        <v>12</v>
      </c>
      <c r="B11926" s="0" t="n">
        <v>3339601</v>
      </c>
      <c r="C11926" s="0" t="n">
        <v>3339621</v>
      </c>
      <c r="D11926" s="0" t="s">
        <v>39762</v>
      </c>
      <c r="E11926" s="0" t="s">
        <v>89</v>
      </c>
      <c r="F11926" s="0" t="s">
        <v>15</v>
      </c>
      <c r="G11926" s="0" t="s">
        <v>36</v>
      </c>
      <c r="H11926" s="0" t="n">
        <v>50</v>
      </c>
      <c r="I11926" s="0" t="s">
        <v>39769</v>
      </c>
      <c r="J11926" s="0" t="s">
        <v>39770</v>
      </c>
      <c r="K11926" s="0" t="s">
        <v>39771</v>
      </c>
      <c r="L11926" s="0" t="str">
        <f aca="false">HYPERLINK("https://www.ncbi.nlm.nih.gov/nuccore/CP000304.1?report=graph&amp;tracks=[key:gene_model_track,Options:GeneOnly]&amp;mk=3339558:3339577|offset_6|444444,3339579:3339598|offset_27|444444,3339602:3339621|offset_50|00cc00,3339629:3339648|offset_77|444444&amp;v=3339357:3339848&amp;c=444444", "offset 50")</f>
        <v>offset 50</v>
      </c>
    </row>
    <row r="11927" customFormat="false" ht="12.8" hidden="false" customHeight="false" outlineLevel="0" collapsed="false">
      <c r="A11927" s="0" t="s">
        <v>12</v>
      </c>
      <c r="B11927" s="0" t="n">
        <v>3339628</v>
      </c>
      <c r="C11927" s="0" t="n">
        <v>3339648</v>
      </c>
      <c r="D11927" s="0" t="s">
        <v>39762</v>
      </c>
      <c r="E11927" s="0" t="s">
        <v>89</v>
      </c>
      <c r="F11927" s="0" t="s">
        <v>15</v>
      </c>
      <c r="G11927" s="0" t="s">
        <v>26</v>
      </c>
      <c r="H11927" s="0" t="n">
        <v>77</v>
      </c>
      <c r="I11927" s="0" t="s">
        <v>39772</v>
      </c>
      <c r="J11927" s="0" t="s">
        <v>39773</v>
      </c>
      <c r="K11927" s="0" t="s">
        <v>39774</v>
      </c>
      <c r="L11927" s="0" t="str">
        <f aca="false">HYPERLINK("https://www.ncbi.nlm.nih.gov/nuccore/CP000304.1?report=graph&amp;tracks=[key:gene_model_track,Options:GeneOnly]&amp;mk=3339558:3339577|offset_6|444444,3339579:3339598|offset_27|444444,3339602:3339621|offset_50|444444,3339629:3339648|offset_77|00cc00&amp;v=3339357:3339848&amp;c=444444", "offset 77")</f>
        <v>offset 77</v>
      </c>
    </row>
    <row r="11928" customFormat="false" ht="12.8" hidden="false" customHeight="false" outlineLevel="0" collapsed="false">
      <c r="A11928" s="0" t="s">
        <v>12</v>
      </c>
      <c r="B11928" s="0" t="n">
        <v>3341197</v>
      </c>
      <c r="C11928" s="0" t="n">
        <v>3341217</v>
      </c>
      <c r="D11928" s="0" t="s">
        <v>39775</v>
      </c>
      <c r="E11928" s="0" t="s">
        <v>89</v>
      </c>
      <c r="F11928" s="0" t="s">
        <v>15</v>
      </c>
      <c r="G11928" s="0" t="s">
        <v>36</v>
      </c>
      <c r="H11928" s="0" t="n">
        <v>21</v>
      </c>
      <c r="I11928" s="0" t="s">
        <v>39776</v>
      </c>
      <c r="J11928" s="0" t="s">
        <v>39777</v>
      </c>
      <c r="K11928" s="0" t="s">
        <v>39778</v>
      </c>
      <c r="L11928" s="0" t="str">
        <f aca="false">HYPERLINK("https://www.ncbi.nlm.nih.gov/nuccore/CP000304.1?report=graph&amp;tracks=[key:gene_model_track,Options:GeneOnly]&amp;mk=3341198:3341217|offset_21|00cc00,3341220:3341239|offset_43|444444,3341240:3341259|offset_63|444444,3341263:3341282|offset_86|444444&amp;v=3340997:3341482&amp;c=444444", "offset 21")</f>
        <v>offset 21</v>
      </c>
    </row>
    <row r="11929" customFormat="false" ht="12.8" hidden="false" customHeight="false" outlineLevel="0" collapsed="false">
      <c r="A11929" s="0" t="s">
        <v>12</v>
      </c>
      <c r="B11929" s="0" t="n">
        <v>3341219</v>
      </c>
      <c r="C11929" s="0" t="n">
        <v>3341239</v>
      </c>
      <c r="D11929" s="0" t="s">
        <v>39775</v>
      </c>
      <c r="E11929" s="0" t="s">
        <v>89</v>
      </c>
      <c r="F11929" s="0" t="s">
        <v>15</v>
      </c>
      <c r="G11929" s="0" t="s">
        <v>32</v>
      </c>
      <c r="H11929" s="0" t="n">
        <v>43</v>
      </c>
      <c r="I11929" s="0" t="s">
        <v>39779</v>
      </c>
      <c r="J11929" s="0" t="s">
        <v>39780</v>
      </c>
      <c r="K11929" s="0" t="s">
        <v>39781</v>
      </c>
      <c r="L11929" s="0" t="str">
        <f aca="false">HYPERLINK("https://www.ncbi.nlm.nih.gov/nuccore/CP000304.1?report=graph&amp;tracks=[key:gene_model_track,Options:GeneOnly]&amp;mk=3341198:3341217|offset_21|444444,3341220:3341239|offset_43|00cc00,3341240:3341259|offset_63|444444,3341263:3341282|offset_86|444444&amp;v=3340997:3341482&amp;c=444444", "offset 43")</f>
        <v>offset 43</v>
      </c>
    </row>
    <row r="11930" customFormat="false" ht="12.8" hidden="false" customHeight="false" outlineLevel="0" collapsed="false">
      <c r="A11930" s="0" t="s">
        <v>12</v>
      </c>
      <c r="B11930" s="0" t="n">
        <v>3341239</v>
      </c>
      <c r="C11930" s="0" t="n">
        <v>3341259</v>
      </c>
      <c r="D11930" s="0" t="s">
        <v>39775</v>
      </c>
      <c r="E11930" s="0" t="s">
        <v>89</v>
      </c>
      <c r="F11930" s="0" t="s">
        <v>15</v>
      </c>
      <c r="G11930" s="0" t="s">
        <v>16</v>
      </c>
      <c r="H11930" s="0" t="n">
        <v>63</v>
      </c>
      <c r="I11930" s="0" t="s">
        <v>39782</v>
      </c>
      <c r="J11930" s="0" t="s">
        <v>39783</v>
      </c>
      <c r="K11930" s="0" t="s">
        <v>39784</v>
      </c>
      <c r="L11930" s="0" t="str">
        <f aca="false">HYPERLINK("https://www.ncbi.nlm.nih.gov/nuccore/CP000304.1?report=graph&amp;tracks=[key:gene_model_track,Options:GeneOnly]&amp;mk=3341198:3341217|offset_21|444444,3341220:3341239|offset_43|444444,3341240:3341259|offset_63|00cc00,3341263:3341282|offset_86|444444&amp;v=3340997:3341482&amp;c=444444", "offset 63")</f>
        <v>offset 63</v>
      </c>
    </row>
    <row r="11931" customFormat="false" ht="12.8" hidden="false" customHeight="false" outlineLevel="0" collapsed="false">
      <c r="A11931" s="0" t="s">
        <v>12</v>
      </c>
      <c r="B11931" s="0" t="n">
        <v>3341262</v>
      </c>
      <c r="C11931" s="0" t="n">
        <v>3341282</v>
      </c>
      <c r="D11931" s="0" t="s">
        <v>39775</v>
      </c>
      <c r="E11931" s="0" t="s">
        <v>89</v>
      </c>
      <c r="F11931" s="0" t="s">
        <v>15</v>
      </c>
      <c r="G11931" s="0" t="s">
        <v>32</v>
      </c>
      <c r="H11931" s="0" t="n">
        <v>86</v>
      </c>
      <c r="I11931" s="0" t="s">
        <v>39785</v>
      </c>
      <c r="J11931" s="0" t="s">
        <v>39786</v>
      </c>
      <c r="K11931" s="0" t="s">
        <v>39787</v>
      </c>
      <c r="L11931" s="0" t="str">
        <f aca="false">HYPERLINK("https://www.ncbi.nlm.nih.gov/nuccore/CP000304.1?report=graph&amp;tracks=[key:gene_model_track,Options:GeneOnly]&amp;mk=3341198:3341217|offset_21|444444,3341220:3341239|offset_43|444444,3341240:3341259|offset_63|444444,3341263:3341282|offset_86|00cc00&amp;v=3340997:3341482&amp;c=444444", "offset 86")</f>
        <v>offset 86</v>
      </c>
    </row>
    <row r="11932" customFormat="false" ht="12.8" hidden="false" customHeight="false" outlineLevel="0" collapsed="false">
      <c r="A11932" s="0" t="s">
        <v>12</v>
      </c>
      <c r="B11932" s="0" t="n">
        <v>3343680</v>
      </c>
      <c r="C11932" s="0" t="n">
        <v>3343700</v>
      </c>
      <c r="D11932" s="0" t="s">
        <v>39788</v>
      </c>
      <c r="E11932" s="0" t="s">
        <v>39789</v>
      </c>
      <c r="F11932" s="0" t="s">
        <v>15</v>
      </c>
      <c r="G11932" s="0" t="s">
        <v>32</v>
      </c>
      <c r="H11932" s="0" t="n">
        <v>19</v>
      </c>
      <c r="I11932" s="0" t="s">
        <v>39790</v>
      </c>
      <c r="J11932" s="0" t="s">
        <v>39791</v>
      </c>
      <c r="K11932" s="0" t="s">
        <v>39792</v>
      </c>
      <c r="L11932" s="0" t="str">
        <f aca="false">HYPERLINK("https://www.ncbi.nlm.nih.gov/nuccore/CP000304.1?report=graph&amp;tracks=[key:gene_model_track,Options:GeneOnly]&amp;mk=3343681:3343700|offset_19|00cc00,3343727:3343746|offset_65|444444,3343748:3343767|offset_86|444444,3343773:3343792|offset_111|444444&amp;v=3343480:3343992&amp;c=444444", "offset 19")</f>
        <v>offset 19</v>
      </c>
    </row>
    <row r="11933" customFormat="false" ht="12.8" hidden="false" customHeight="false" outlineLevel="0" collapsed="false">
      <c r="A11933" s="0" t="s">
        <v>12</v>
      </c>
      <c r="B11933" s="0" t="n">
        <v>3343726</v>
      </c>
      <c r="C11933" s="0" t="n">
        <v>3343746</v>
      </c>
      <c r="D11933" s="0" t="s">
        <v>39788</v>
      </c>
      <c r="E11933" s="0" t="s">
        <v>39789</v>
      </c>
      <c r="F11933" s="0" t="s">
        <v>15</v>
      </c>
      <c r="G11933" s="0" t="s">
        <v>32</v>
      </c>
      <c r="H11933" s="0" t="n">
        <v>65</v>
      </c>
      <c r="I11933" s="0" t="s">
        <v>39793</v>
      </c>
      <c r="J11933" s="0" t="s">
        <v>39794</v>
      </c>
      <c r="K11933" s="0" t="s">
        <v>39795</v>
      </c>
      <c r="L11933" s="0" t="str">
        <f aca="false">HYPERLINK("https://www.ncbi.nlm.nih.gov/nuccore/CP000304.1?report=graph&amp;tracks=[key:gene_model_track,Options:GeneOnly]&amp;mk=3343681:3343700|offset_19|444444,3343727:3343746|offset_65|00cc00,3343748:3343767|offset_86|444444,3343773:3343792|offset_111|444444&amp;v=3343480:3343992&amp;c=444444", "offset 65")</f>
        <v>offset 65</v>
      </c>
    </row>
    <row r="11934" customFormat="false" ht="12.8" hidden="false" customHeight="false" outlineLevel="0" collapsed="false">
      <c r="A11934" s="0" t="s">
        <v>12</v>
      </c>
      <c r="B11934" s="0" t="n">
        <v>3343747</v>
      </c>
      <c r="C11934" s="0" t="n">
        <v>3343767</v>
      </c>
      <c r="D11934" s="0" t="s">
        <v>39788</v>
      </c>
      <c r="E11934" s="0" t="s">
        <v>39789</v>
      </c>
      <c r="F11934" s="0" t="s">
        <v>15</v>
      </c>
      <c r="G11934" s="0" t="s">
        <v>26</v>
      </c>
      <c r="H11934" s="0" t="n">
        <v>86</v>
      </c>
      <c r="I11934" s="0" t="s">
        <v>39796</v>
      </c>
      <c r="J11934" s="0" t="s">
        <v>39797</v>
      </c>
      <c r="K11934" s="0" t="s">
        <v>39798</v>
      </c>
      <c r="L11934" s="0" t="str">
        <f aca="false">HYPERLINK("https://www.ncbi.nlm.nih.gov/nuccore/CP000304.1?report=graph&amp;tracks=[key:gene_model_track,Options:GeneOnly]&amp;mk=3343681:3343700|offset_19|444444,3343727:3343746|offset_65|444444,3343748:3343767|offset_86|00cc00,3343773:3343792|offset_111|444444&amp;v=3343480:3343992&amp;c=444444", "offset 86")</f>
        <v>offset 86</v>
      </c>
    </row>
    <row r="11935" customFormat="false" ht="12.8" hidden="false" customHeight="false" outlineLevel="0" collapsed="false">
      <c r="A11935" s="0" t="s">
        <v>12</v>
      </c>
      <c r="B11935" s="0" t="n">
        <v>3343772</v>
      </c>
      <c r="C11935" s="0" t="n">
        <v>3343792</v>
      </c>
      <c r="D11935" s="0" t="s">
        <v>39788</v>
      </c>
      <c r="E11935" s="0" t="s">
        <v>39789</v>
      </c>
      <c r="F11935" s="0" t="s">
        <v>15</v>
      </c>
      <c r="G11935" s="0" t="s">
        <v>36</v>
      </c>
      <c r="H11935" s="0" t="n">
        <v>111</v>
      </c>
      <c r="I11935" s="0" t="s">
        <v>39799</v>
      </c>
      <c r="J11935" s="0" t="s">
        <v>39800</v>
      </c>
      <c r="K11935" s="0" t="s">
        <v>39801</v>
      </c>
      <c r="L11935" s="0" t="str">
        <f aca="false">HYPERLINK("https://www.ncbi.nlm.nih.gov/nuccore/CP000304.1?report=graph&amp;tracks=[key:gene_model_track,Options:GeneOnly]&amp;mk=3343681:3343700|offset_19|444444,3343727:3343746|offset_65|444444,3343748:3343767|offset_86|444444,3343773:3343792|offset_111|00cc00&amp;v=3343480:3343992&amp;c=444444", "offset 111")</f>
        <v>offset 111</v>
      </c>
    </row>
    <row r="11936" customFormat="false" ht="12.8" hidden="false" customHeight="false" outlineLevel="0" collapsed="false">
      <c r="A11936" s="0" t="s">
        <v>12</v>
      </c>
      <c r="B11936" s="0" t="n">
        <v>3345263</v>
      </c>
      <c r="C11936" s="0" t="n">
        <v>3345283</v>
      </c>
      <c r="D11936" s="0" t="s">
        <v>39802</v>
      </c>
      <c r="E11936" s="0" t="s">
        <v>89</v>
      </c>
      <c r="F11936" s="0" t="s">
        <v>90</v>
      </c>
      <c r="G11936" s="0" t="s">
        <v>16</v>
      </c>
      <c r="H11936" s="0" t="n">
        <v>25</v>
      </c>
      <c r="I11936" s="0" t="s">
        <v>39803</v>
      </c>
      <c r="J11936" s="0" t="s">
        <v>39804</v>
      </c>
      <c r="K11936" s="0" t="s">
        <v>39805</v>
      </c>
      <c r="L11936" s="0" t="str">
        <f aca="false">HYPERLINK("https://www.ncbi.nlm.nih.gov/nuccore/CP000304.1?report=graph&amp;tracks=[key:gene_model_track,Options:GeneOnly]&amp;mk=3345264:3345283|offset_25|00cc00,3345240:3345259|offset_49|444444,3345204:3345223|offset_85|444444,3345171:3345190|offset_118|444444&amp;v=3345063:3345390&amp;c=444444", "offset 25")</f>
        <v>offset 25</v>
      </c>
    </row>
    <row r="11937" customFormat="false" ht="12.8" hidden="false" customHeight="false" outlineLevel="0" collapsed="false">
      <c r="A11937" s="0" t="s">
        <v>12</v>
      </c>
      <c r="B11937" s="0" t="n">
        <v>3345239</v>
      </c>
      <c r="C11937" s="0" t="n">
        <v>3345259</v>
      </c>
      <c r="D11937" s="0" t="s">
        <v>39802</v>
      </c>
      <c r="E11937" s="0" t="s">
        <v>89</v>
      </c>
      <c r="F11937" s="0" t="s">
        <v>90</v>
      </c>
      <c r="G11937" s="0" t="s">
        <v>26</v>
      </c>
      <c r="H11937" s="0" t="n">
        <v>49</v>
      </c>
      <c r="I11937" s="0" t="s">
        <v>39806</v>
      </c>
      <c r="J11937" s="0" t="s">
        <v>39807</v>
      </c>
      <c r="K11937" s="0" t="s">
        <v>39808</v>
      </c>
      <c r="L11937" s="0" t="str">
        <f aca="false">HYPERLINK("https://www.ncbi.nlm.nih.gov/nuccore/CP000304.1?report=graph&amp;tracks=[key:gene_model_track,Options:GeneOnly]&amp;mk=3345264:3345283|offset_25|444444,3345240:3345259|offset_49|00cc00,3345204:3345223|offset_85|444444,3345171:3345190|offset_118|444444&amp;v=3345063:3345390&amp;c=444444", "offset 49")</f>
        <v>offset 49</v>
      </c>
    </row>
    <row r="11938" customFormat="false" ht="12.8" hidden="false" customHeight="false" outlineLevel="0" collapsed="false">
      <c r="A11938" s="0" t="s">
        <v>12</v>
      </c>
      <c r="B11938" s="0" t="n">
        <v>3345203</v>
      </c>
      <c r="C11938" s="0" t="n">
        <v>3345223</v>
      </c>
      <c r="D11938" s="0" t="s">
        <v>39802</v>
      </c>
      <c r="E11938" s="0" t="s">
        <v>89</v>
      </c>
      <c r="F11938" s="0" t="s">
        <v>90</v>
      </c>
      <c r="G11938" s="0" t="s">
        <v>16</v>
      </c>
      <c r="H11938" s="0" t="n">
        <v>85</v>
      </c>
      <c r="I11938" s="0" t="s">
        <v>39809</v>
      </c>
      <c r="J11938" s="0" t="s">
        <v>39810</v>
      </c>
      <c r="K11938" s="0" t="s">
        <v>39811</v>
      </c>
      <c r="L11938" s="0" t="str">
        <f aca="false">HYPERLINK("https://www.ncbi.nlm.nih.gov/nuccore/CP000304.1?report=graph&amp;tracks=[key:gene_model_track,Options:GeneOnly]&amp;mk=3345264:3345283|offset_25|444444,3345240:3345259|offset_49|444444,3345204:3345223|offset_85|00cc00,3345171:3345190|offset_118|444444&amp;v=3345063:3345390&amp;c=444444", "offset 85")</f>
        <v>offset 85</v>
      </c>
    </row>
    <row r="11939" customFormat="false" ht="12.8" hidden="false" customHeight="false" outlineLevel="0" collapsed="false">
      <c r="A11939" s="0" t="s">
        <v>12</v>
      </c>
      <c r="B11939" s="0" t="n">
        <v>3345170</v>
      </c>
      <c r="C11939" s="0" t="n">
        <v>3345190</v>
      </c>
      <c r="D11939" s="0" t="s">
        <v>39802</v>
      </c>
      <c r="E11939" s="0" t="s">
        <v>89</v>
      </c>
      <c r="F11939" s="0" t="s">
        <v>90</v>
      </c>
      <c r="G11939" s="0" t="s">
        <v>32</v>
      </c>
      <c r="H11939" s="0" t="n">
        <v>118</v>
      </c>
      <c r="I11939" s="0" t="s">
        <v>39812</v>
      </c>
      <c r="J11939" s="0" t="s">
        <v>39813</v>
      </c>
      <c r="K11939" s="0" t="s">
        <v>39814</v>
      </c>
      <c r="L11939" s="0" t="str">
        <f aca="false">HYPERLINK("https://www.ncbi.nlm.nih.gov/nuccore/CP000304.1?report=graph&amp;tracks=[key:gene_model_track,Options:GeneOnly]&amp;mk=3345264:3345283|offset_25|444444,3345240:3345259|offset_49|444444,3345204:3345223|offset_85|444444,3345171:3345190|offset_118|00cc00&amp;v=3345063:3345390&amp;c=444444", "offset 118")</f>
        <v>offset 118</v>
      </c>
    </row>
    <row r="11940" customFormat="false" ht="12.8" hidden="false" customHeight="false" outlineLevel="0" collapsed="false">
      <c r="A11940" s="0" t="s">
        <v>12</v>
      </c>
      <c r="B11940" s="0" t="n">
        <v>3346657</v>
      </c>
      <c r="C11940" s="0" t="n">
        <v>3346677</v>
      </c>
      <c r="D11940" s="0" t="s">
        <v>39815</v>
      </c>
      <c r="E11940" s="0" t="s">
        <v>89</v>
      </c>
      <c r="F11940" s="0" t="s">
        <v>90</v>
      </c>
      <c r="G11940" s="0" t="s">
        <v>16</v>
      </c>
      <c r="H11940" s="0" t="n">
        <v>21</v>
      </c>
      <c r="I11940" s="0" t="s">
        <v>39816</v>
      </c>
      <c r="J11940" s="0" t="s">
        <v>39817</v>
      </c>
      <c r="K11940" s="0" t="s">
        <v>39818</v>
      </c>
      <c r="L11940" s="0" t="str">
        <f aca="false">HYPERLINK("https://www.ncbi.nlm.nih.gov/nuccore/CP000304.1?report=graph&amp;tracks=[key:gene_model_track,Options:GeneOnly]&amp;mk=3346658:3346677|offset_21|00cc00,3346638:3346657|offset_41|444444,3346600:3346619|offset_79|444444,3346579:3346598|offset_100|444444&amp;v=3346457:3346798&amp;c=444444", "offset 21")</f>
        <v>offset 21</v>
      </c>
    </row>
    <row r="11941" customFormat="false" ht="12.8" hidden="false" customHeight="false" outlineLevel="0" collapsed="false">
      <c r="A11941" s="0" t="s">
        <v>12</v>
      </c>
      <c r="B11941" s="0" t="n">
        <v>3346637</v>
      </c>
      <c r="C11941" s="0" t="n">
        <v>3346657</v>
      </c>
      <c r="D11941" s="0" t="s">
        <v>39815</v>
      </c>
      <c r="E11941" s="0" t="s">
        <v>89</v>
      </c>
      <c r="F11941" s="0" t="s">
        <v>90</v>
      </c>
      <c r="G11941" s="0" t="s">
        <v>26</v>
      </c>
      <c r="H11941" s="0" t="n">
        <v>41</v>
      </c>
      <c r="I11941" s="0" t="s">
        <v>39819</v>
      </c>
      <c r="J11941" s="0" t="s">
        <v>39820</v>
      </c>
      <c r="K11941" s="0" t="s">
        <v>39821</v>
      </c>
      <c r="L11941" s="0" t="str">
        <f aca="false">HYPERLINK("https://www.ncbi.nlm.nih.gov/nuccore/CP000304.1?report=graph&amp;tracks=[key:gene_model_track,Options:GeneOnly]&amp;mk=3346658:3346677|offset_21|444444,3346638:3346657|offset_41|00cc00,3346600:3346619|offset_79|444444,3346579:3346598|offset_100|444444&amp;v=3346457:3346798&amp;c=444444", "offset 41")</f>
        <v>offset 41</v>
      </c>
    </row>
    <row r="11942" customFormat="false" ht="12.8" hidden="false" customHeight="false" outlineLevel="0" collapsed="false">
      <c r="A11942" s="0" t="s">
        <v>12</v>
      </c>
      <c r="B11942" s="0" t="n">
        <v>3346599</v>
      </c>
      <c r="C11942" s="0" t="n">
        <v>3346619</v>
      </c>
      <c r="D11942" s="0" t="s">
        <v>39815</v>
      </c>
      <c r="E11942" s="0" t="s">
        <v>89</v>
      </c>
      <c r="F11942" s="0" t="s">
        <v>90</v>
      </c>
      <c r="G11942" s="0" t="s">
        <v>16</v>
      </c>
      <c r="H11942" s="0" t="n">
        <v>79</v>
      </c>
      <c r="I11942" s="0" t="s">
        <v>39822</v>
      </c>
      <c r="J11942" s="0" t="s">
        <v>39823</v>
      </c>
      <c r="K11942" s="0" t="s">
        <v>39824</v>
      </c>
      <c r="L11942" s="0" t="str">
        <f aca="false">HYPERLINK("https://www.ncbi.nlm.nih.gov/nuccore/CP000304.1?report=graph&amp;tracks=[key:gene_model_track,Options:GeneOnly]&amp;mk=3346658:3346677|offset_21|444444,3346638:3346657|offset_41|444444,3346600:3346619|offset_79|00cc00,3346579:3346598|offset_100|444444&amp;v=3346457:3346798&amp;c=444444", "offset 79")</f>
        <v>offset 79</v>
      </c>
    </row>
    <row r="11943" customFormat="false" ht="12.8" hidden="false" customHeight="false" outlineLevel="0" collapsed="false">
      <c r="A11943" s="0" t="s">
        <v>12</v>
      </c>
      <c r="B11943" s="0" t="n">
        <v>3346578</v>
      </c>
      <c r="C11943" s="0" t="n">
        <v>3346598</v>
      </c>
      <c r="D11943" s="0" t="s">
        <v>39815</v>
      </c>
      <c r="E11943" s="0" t="s">
        <v>89</v>
      </c>
      <c r="F11943" s="0" t="s">
        <v>90</v>
      </c>
      <c r="G11943" s="0" t="s">
        <v>32</v>
      </c>
      <c r="H11943" s="0" t="n">
        <v>100</v>
      </c>
      <c r="I11943" s="0" t="s">
        <v>39825</v>
      </c>
      <c r="J11943" s="0" t="s">
        <v>39826</v>
      </c>
      <c r="K11943" s="0" t="s">
        <v>39827</v>
      </c>
      <c r="L11943" s="0" t="str">
        <f aca="false">HYPERLINK("https://www.ncbi.nlm.nih.gov/nuccore/CP000304.1?report=graph&amp;tracks=[key:gene_model_track,Options:GeneOnly]&amp;mk=3346658:3346677|offset_21|444444,3346638:3346657|offset_41|444444,3346600:3346619|offset_79|444444,3346579:3346598|offset_100|00cc00&amp;v=3346457:3346798&amp;c=444444", "offset 100")</f>
        <v>offset 100</v>
      </c>
    </row>
    <row r="11944" customFormat="false" ht="12.8" hidden="false" customHeight="false" outlineLevel="0" collapsed="false">
      <c r="A11944" s="0" t="s">
        <v>12</v>
      </c>
      <c r="B11944" s="0" t="n">
        <v>3347476</v>
      </c>
      <c r="C11944" s="0" t="n">
        <v>3347496</v>
      </c>
      <c r="D11944" s="0" t="s">
        <v>39828</v>
      </c>
      <c r="E11944" s="0" t="s">
        <v>89</v>
      </c>
      <c r="F11944" s="0" t="s">
        <v>90</v>
      </c>
      <c r="G11944" s="0" t="s">
        <v>16</v>
      </c>
      <c r="H11944" s="0" t="n">
        <v>37</v>
      </c>
      <c r="I11944" s="0" t="s">
        <v>39829</v>
      </c>
      <c r="J11944" s="0" t="s">
        <v>39830</v>
      </c>
      <c r="K11944" s="0" t="s">
        <v>39831</v>
      </c>
      <c r="L11944" s="0" t="str">
        <f aca="false">HYPERLINK("https://www.ncbi.nlm.nih.gov/nuccore/CP000304.1?report=graph&amp;tracks=[key:gene_model_track,Options:GeneOnly]&amp;mk=3347477:3347496|offset_37|00cc00,3347447:3347466|offset_67|444444,3347414:3347433|offset_100|444444,3347390:3347409|offset_124|444444&amp;v=3347276:3347609&amp;c=444444", "offset 37")</f>
        <v>offset 37</v>
      </c>
    </row>
    <row r="11945" customFormat="false" ht="12.8" hidden="false" customHeight="false" outlineLevel="0" collapsed="false">
      <c r="A11945" s="0" t="s">
        <v>12</v>
      </c>
      <c r="B11945" s="0" t="n">
        <v>3347446</v>
      </c>
      <c r="C11945" s="0" t="n">
        <v>3347466</v>
      </c>
      <c r="D11945" s="0" t="s">
        <v>39828</v>
      </c>
      <c r="E11945" s="0" t="s">
        <v>89</v>
      </c>
      <c r="F11945" s="0" t="s">
        <v>90</v>
      </c>
      <c r="G11945" s="0" t="s">
        <v>16</v>
      </c>
      <c r="H11945" s="0" t="n">
        <v>67</v>
      </c>
      <c r="I11945" s="0" t="s">
        <v>39832</v>
      </c>
      <c r="J11945" s="0" t="s">
        <v>39833</v>
      </c>
      <c r="K11945" s="0" t="s">
        <v>39834</v>
      </c>
      <c r="L11945" s="0" t="str">
        <f aca="false">HYPERLINK("https://www.ncbi.nlm.nih.gov/nuccore/CP000304.1?report=graph&amp;tracks=[key:gene_model_track,Options:GeneOnly]&amp;mk=3347477:3347496|offset_37|444444,3347447:3347466|offset_67|00cc00,3347414:3347433|offset_100|444444,3347390:3347409|offset_124|444444&amp;v=3347276:3347609&amp;c=444444", "offset 67")</f>
        <v>offset 67</v>
      </c>
    </row>
    <row r="11946" customFormat="false" ht="12.8" hidden="false" customHeight="false" outlineLevel="0" collapsed="false">
      <c r="A11946" s="0" t="s">
        <v>12</v>
      </c>
      <c r="B11946" s="0" t="n">
        <v>3347413</v>
      </c>
      <c r="C11946" s="0" t="n">
        <v>3347433</v>
      </c>
      <c r="D11946" s="0" t="s">
        <v>39828</v>
      </c>
      <c r="E11946" s="0" t="s">
        <v>89</v>
      </c>
      <c r="F11946" s="0" t="s">
        <v>90</v>
      </c>
      <c r="G11946" s="0" t="s">
        <v>26</v>
      </c>
      <c r="H11946" s="0" t="n">
        <v>100</v>
      </c>
      <c r="I11946" s="0" t="s">
        <v>39835</v>
      </c>
      <c r="J11946" s="0" t="s">
        <v>39836</v>
      </c>
      <c r="K11946" s="0" t="s">
        <v>39837</v>
      </c>
      <c r="L11946" s="0" t="str">
        <f aca="false">HYPERLINK("https://www.ncbi.nlm.nih.gov/nuccore/CP000304.1?report=graph&amp;tracks=[key:gene_model_track,Options:GeneOnly]&amp;mk=3347477:3347496|offset_37|444444,3347447:3347466|offset_67|444444,3347414:3347433|offset_100|00cc00,3347390:3347409|offset_124|444444&amp;v=3347276:3347609&amp;c=444444", "offset 100")</f>
        <v>offset 100</v>
      </c>
    </row>
    <row r="11947" customFormat="false" ht="12.8" hidden="false" customHeight="false" outlineLevel="0" collapsed="false">
      <c r="A11947" s="0" t="s">
        <v>12</v>
      </c>
      <c r="B11947" s="0" t="n">
        <v>3347389</v>
      </c>
      <c r="C11947" s="0" t="n">
        <v>3347409</v>
      </c>
      <c r="D11947" s="0" t="s">
        <v>39828</v>
      </c>
      <c r="E11947" s="0" t="s">
        <v>89</v>
      </c>
      <c r="F11947" s="0" t="s">
        <v>90</v>
      </c>
      <c r="G11947" s="0" t="s">
        <v>36</v>
      </c>
      <c r="H11947" s="0" t="n">
        <v>124</v>
      </c>
      <c r="I11947" s="0" t="s">
        <v>39838</v>
      </c>
      <c r="J11947" s="0" t="s">
        <v>39839</v>
      </c>
      <c r="K11947" s="0" t="s">
        <v>39840</v>
      </c>
      <c r="L11947" s="0" t="str">
        <f aca="false">HYPERLINK("https://www.ncbi.nlm.nih.gov/nuccore/CP000304.1?report=graph&amp;tracks=[key:gene_model_track,Options:GeneOnly]&amp;mk=3347477:3347496|offset_37|444444,3347447:3347466|offset_67|444444,3347414:3347433|offset_100|444444,3347390:3347409|offset_124|00cc00&amp;v=3347276:3347609&amp;c=444444", "offset 124")</f>
        <v>offset 124</v>
      </c>
    </row>
    <row r="11948" customFormat="false" ht="12.8" hidden="false" customHeight="false" outlineLevel="0" collapsed="false">
      <c r="A11948" s="0" t="s">
        <v>12</v>
      </c>
      <c r="B11948" s="0" t="n">
        <v>3349025</v>
      </c>
      <c r="C11948" s="0" t="n">
        <v>3349045</v>
      </c>
      <c r="D11948" s="0" t="s">
        <v>39841</v>
      </c>
      <c r="E11948" s="0" t="s">
        <v>89</v>
      </c>
      <c r="F11948" s="0" t="s">
        <v>90</v>
      </c>
      <c r="G11948" s="0" t="s">
        <v>32</v>
      </c>
      <c r="H11948" s="0" t="n">
        <v>15</v>
      </c>
      <c r="I11948" s="0" t="s">
        <v>39842</v>
      </c>
      <c r="J11948" s="0" t="s">
        <v>39843</v>
      </c>
      <c r="K11948" s="0" t="s">
        <v>39844</v>
      </c>
      <c r="L11948" s="0" t="str">
        <f aca="false">HYPERLINK("https://www.ncbi.nlm.nih.gov/nuccore/CP000304.1?report=graph&amp;tracks=[key:gene_model_track,Options:GeneOnly]&amp;mk=3349026:3349045|offset_15|00cc00,3349006:3349025|offset_35|444444,3348962:3348981|offset_79|444444,3348854:3348873|offset_187|444444&amp;v=3348825:3349073&amp;c=444444", "offset 15")</f>
        <v>offset 15</v>
      </c>
    </row>
    <row r="11949" customFormat="false" ht="12.8" hidden="false" customHeight="false" outlineLevel="0" collapsed="false">
      <c r="A11949" s="0" t="s">
        <v>12</v>
      </c>
      <c r="B11949" s="0" t="n">
        <v>3349005</v>
      </c>
      <c r="C11949" s="0" t="n">
        <v>3349025</v>
      </c>
      <c r="D11949" s="0" t="s">
        <v>39841</v>
      </c>
      <c r="E11949" s="0" t="s">
        <v>89</v>
      </c>
      <c r="F11949" s="0" t="s">
        <v>90</v>
      </c>
      <c r="G11949" s="0" t="s">
        <v>26</v>
      </c>
      <c r="H11949" s="0" t="n">
        <v>35</v>
      </c>
      <c r="I11949" s="0" t="s">
        <v>39845</v>
      </c>
      <c r="J11949" s="0" t="s">
        <v>39846</v>
      </c>
      <c r="K11949" s="0" t="s">
        <v>39847</v>
      </c>
      <c r="L11949" s="0" t="str">
        <f aca="false">HYPERLINK("https://www.ncbi.nlm.nih.gov/nuccore/CP000304.1?report=graph&amp;tracks=[key:gene_model_track,Options:GeneOnly]&amp;mk=3349026:3349045|offset_15|444444,3349006:3349025|offset_35|00cc00,3348962:3348981|offset_79|444444,3348854:3348873|offset_187|444444&amp;v=3348825:3349073&amp;c=444444", "offset 35")</f>
        <v>offset 35</v>
      </c>
    </row>
    <row r="11950" customFormat="false" ht="12.8" hidden="false" customHeight="false" outlineLevel="0" collapsed="false">
      <c r="A11950" s="0" t="s">
        <v>12</v>
      </c>
      <c r="B11950" s="0" t="n">
        <v>3348961</v>
      </c>
      <c r="C11950" s="0" t="n">
        <v>3348981</v>
      </c>
      <c r="D11950" s="0" t="s">
        <v>39841</v>
      </c>
      <c r="E11950" s="0" t="s">
        <v>89</v>
      </c>
      <c r="F11950" s="0" t="s">
        <v>90</v>
      </c>
      <c r="G11950" s="0" t="s">
        <v>32</v>
      </c>
      <c r="H11950" s="0" t="n">
        <v>79</v>
      </c>
      <c r="I11950" s="0" t="s">
        <v>39848</v>
      </c>
      <c r="J11950" s="0" t="s">
        <v>39849</v>
      </c>
      <c r="K11950" s="0" t="s">
        <v>39850</v>
      </c>
      <c r="L11950" s="0" t="str">
        <f aca="false">HYPERLINK("https://www.ncbi.nlm.nih.gov/nuccore/CP000304.1?report=graph&amp;tracks=[key:gene_model_track,Options:GeneOnly]&amp;mk=3349026:3349045|offset_15|444444,3349006:3349025|offset_35|444444,3348962:3348981|offset_79|00cc00,3348854:3348873|offset_187|444444&amp;v=3348825:3349073&amp;c=444444", "offset 79")</f>
        <v>offset 79</v>
      </c>
    </row>
    <row r="11951" customFormat="false" ht="12.8" hidden="false" customHeight="false" outlineLevel="0" collapsed="false">
      <c r="A11951" s="0" t="s">
        <v>12</v>
      </c>
      <c r="B11951" s="0" t="n">
        <v>3348853</v>
      </c>
      <c r="C11951" s="0" t="n">
        <v>3348873</v>
      </c>
      <c r="D11951" s="0" t="s">
        <v>39841</v>
      </c>
      <c r="E11951" s="0" t="s">
        <v>89</v>
      </c>
      <c r="F11951" s="0" t="s">
        <v>90</v>
      </c>
      <c r="G11951" s="0" t="s">
        <v>32</v>
      </c>
      <c r="H11951" s="0" t="n">
        <v>187</v>
      </c>
      <c r="I11951" s="0" t="s">
        <v>39851</v>
      </c>
      <c r="J11951" s="0" t="s">
        <v>39852</v>
      </c>
      <c r="K11951" s="0" t="s">
        <v>39853</v>
      </c>
      <c r="L11951" s="0" t="str">
        <f aca="false">HYPERLINK("https://www.ncbi.nlm.nih.gov/nuccore/CP000304.1?report=graph&amp;tracks=[key:gene_model_track,Options:GeneOnly]&amp;mk=3349026:3349045|offset_15|444444,3349006:3349025|offset_35|444444,3348962:3348981|offset_79|444444,3348854:3348873|offset_187|00cc00&amp;v=3348825:3349073&amp;c=444444", "offset 187")</f>
        <v>offset 187</v>
      </c>
    </row>
    <row r="11952" customFormat="false" ht="12.8" hidden="false" customHeight="false" outlineLevel="0" collapsed="false">
      <c r="A11952" s="0" t="s">
        <v>12</v>
      </c>
      <c r="B11952" s="0" t="n">
        <v>3349545</v>
      </c>
      <c r="C11952" s="0" t="n">
        <v>3349565</v>
      </c>
      <c r="D11952" s="0" t="s">
        <v>39854</v>
      </c>
      <c r="E11952" s="0" t="s">
        <v>39855</v>
      </c>
      <c r="F11952" s="0" t="s">
        <v>90</v>
      </c>
      <c r="G11952" s="0" t="s">
        <v>16</v>
      </c>
      <c r="H11952" s="0" t="n">
        <v>10</v>
      </c>
      <c r="I11952" s="0" t="s">
        <v>39856</v>
      </c>
      <c r="J11952" s="0" t="s">
        <v>39857</v>
      </c>
      <c r="K11952" s="0" t="s">
        <v>39858</v>
      </c>
      <c r="L11952" s="0" t="str">
        <f aca="false">HYPERLINK("https://www.ncbi.nlm.nih.gov/nuccore/CP000304.1?report=graph&amp;tracks=[key:gene_model_track,Options:GeneOnly]&amp;mk=3349546:3349565|offset_10|00cc00,3349509:3349528|offset_47|444444,3349479:3349498|offset_77|444444,3349452:3349471|offset_104|444444&amp;v=3349345:3349671&amp;c=444444", "offset 10")</f>
        <v>offset 10</v>
      </c>
    </row>
    <row r="11953" customFormat="false" ht="12.8" hidden="false" customHeight="false" outlineLevel="0" collapsed="false">
      <c r="A11953" s="0" t="s">
        <v>12</v>
      </c>
      <c r="B11953" s="0" t="n">
        <v>3349508</v>
      </c>
      <c r="C11953" s="0" t="n">
        <v>3349528</v>
      </c>
      <c r="D11953" s="0" t="s">
        <v>39854</v>
      </c>
      <c r="E11953" s="0" t="s">
        <v>39855</v>
      </c>
      <c r="F11953" s="0" t="s">
        <v>90</v>
      </c>
      <c r="G11953" s="0" t="s">
        <v>32</v>
      </c>
      <c r="H11953" s="0" t="n">
        <v>47</v>
      </c>
      <c r="I11953" s="0" t="s">
        <v>39859</v>
      </c>
      <c r="J11953" s="0" t="s">
        <v>39860</v>
      </c>
      <c r="K11953" s="0" t="s">
        <v>39861</v>
      </c>
      <c r="L11953" s="0" t="str">
        <f aca="false">HYPERLINK("https://www.ncbi.nlm.nih.gov/nuccore/CP000304.1?report=graph&amp;tracks=[key:gene_model_track,Options:GeneOnly]&amp;mk=3349546:3349565|offset_10|444444,3349509:3349528|offset_47|00cc00,3349479:3349498|offset_77|444444,3349452:3349471|offset_104|444444&amp;v=3349345:3349671&amp;c=444444", "offset 47")</f>
        <v>offset 47</v>
      </c>
    </row>
    <row r="11954" customFormat="false" ht="12.8" hidden="false" customHeight="false" outlineLevel="0" collapsed="false">
      <c r="A11954" s="0" t="s">
        <v>12</v>
      </c>
      <c r="B11954" s="0" t="n">
        <v>3349478</v>
      </c>
      <c r="C11954" s="0" t="n">
        <v>3349498</v>
      </c>
      <c r="D11954" s="0" t="s">
        <v>39854</v>
      </c>
      <c r="E11954" s="0" t="s">
        <v>39855</v>
      </c>
      <c r="F11954" s="0" t="s">
        <v>90</v>
      </c>
      <c r="G11954" s="0" t="s">
        <v>26</v>
      </c>
      <c r="H11954" s="0" t="n">
        <v>77</v>
      </c>
      <c r="I11954" s="0" t="s">
        <v>39862</v>
      </c>
      <c r="J11954" s="0" t="s">
        <v>39863</v>
      </c>
      <c r="K11954" s="0" t="s">
        <v>39864</v>
      </c>
      <c r="L11954" s="0" t="str">
        <f aca="false">HYPERLINK("https://www.ncbi.nlm.nih.gov/nuccore/CP000304.1?report=graph&amp;tracks=[key:gene_model_track,Options:GeneOnly]&amp;mk=3349546:3349565|offset_10|444444,3349509:3349528|offset_47|444444,3349479:3349498|offset_77|00cc00,3349452:3349471|offset_104|444444&amp;v=3349345:3349671&amp;c=444444", "offset 77")</f>
        <v>offset 77</v>
      </c>
    </row>
    <row r="11955" customFormat="false" ht="12.8" hidden="false" customHeight="false" outlineLevel="0" collapsed="false">
      <c r="A11955" s="0" t="s">
        <v>12</v>
      </c>
      <c r="B11955" s="0" t="n">
        <v>3349451</v>
      </c>
      <c r="C11955" s="0" t="n">
        <v>3349471</v>
      </c>
      <c r="D11955" s="0" t="s">
        <v>39854</v>
      </c>
      <c r="E11955" s="0" t="s">
        <v>39855</v>
      </c>
      <c r="F11955" s="0" t="s">
        <v>90</v>
      </c>
      <c r="G11955" s="0" t="s">
        <v>16</v>
      </c>
      <c r="H11955" s="0" t="n">
        <v>104</v>
      </c>
      <c r="I11955" s="0" t="s">
        <v>39865</v>
      </c>
      <c r="J11955" s="0" t="s">
        <v>39866</v>
      </c>
      <c r="K11955" s="0" t="s">
        <v>39867</v>
      </c>
      <c r="L11955" s="0" t="str">
        <f aca="false">HYPERLINK("https://www.ncbi.nlm.nih.gov/nuccore/CP000304.1?report=graph&amp;tracks=[key:gene_model_track,Options:GeneOnly]&amp;mk=3349546:3349565|offset_10|444444,3349509:3349528|offset_47|444444,3349479:3349498|offset_77|444444,3349452:3349471|offset_104|00cc00&amp;v=3349345:3349671&amp;c=444444", "offset 104")</f>
        <v>offset 104</v>
      </c>
    </row>
    <row r="11956" customFormat="false" ht="12.8" hidden="false" customHeight="false" outlineLevel="0" collapsed="false">
      <c r="A11956" s="0" t="s">
        <v>12</v>
      </c>
      <c r="B11956" s="0" t="n">
        <v>3349884</v>
      </c>
      <c r="C11956" s="0" t="n">
        <v>3349904</v>
      </c>
      <c r="D11956" s="0" t="s">
        <v>39868</v>
      </c>
      <c r="E11956" s="0" t="s">
        <v>89</v>
      </c>
      <c r="F11956" s="0" t="s">
        <v>15</v>
      </c>
      <c r="G11956" s="0" t="s">
        <v>16</v>
      </c>
      <c r="H11956" s="0" t="n">
        <v>13</v>
      </c>
      <c r="I11956" s="0" t="s">
        <v>39869</v>
      </c>
      <c r="J11956" s="0" t="s">
        <v>39870</v>
      </c>
      <c r="K11956" s="0" t="s">
        <v>39871</v>
      </c>
      <c r="L11956" s="0" t="str">
        <f aca="false">HYPERLINK("https://www.ncbi.nlm.nih.gov/nuccore/CP000304.1?report=graph&amp;tracks=[key:gene_model_track,Options:GeneOnly]&amp;mk=3349885:3349904|offset_13|00cc00,3349906:3349925|offset_34|444444,3349927:3349946|offset_55|444444,3349950:3349969|offset_78|444444&amp;v=3349684:3350169&amp;c=444444", "offset 13")</f>
        <v>offset 13</v>
      </c>
    </row>
    <row r="11957" customFormat="false" ht="12.8" hidden="false" customHeight="false" outlineLevel="0" collapsed="false">
      <c r="A11957" s="0" t="s">
        <v>12</v>
      </c>
      <c r="B11957" s="0" t="n">
        <v>3349905</v>
      </c>
      <c r="C11957" s="0" t="n">
        <v>3349925</v>
      </c>
      <c r="D11957" s="0" t="s">
        <v>39868</v>
      </c>
      <c r="E11957" s="0" t="s">
        <v>89</v>
      </c>
      <c r="F11957" s="0" t="s">
        <v>15</v>
      </c>
      <c r="G11957" s="0" t="s">
        <v>36</v>
      </c>
      <c r="H11957" s="0" t="n">
        <v>34</v>
      </c>
      <c r="I11957" s="0" t="s">
        <v>39872</v>
      </c>
      <c r="J11957" s="0" t="s">
        <v>39873</v>
      </c>
      <c r="K11957" s="0" t="s">
        <v>39874</v>
      </c>
      <c r="L11957" s="0" t="str">
        <f aca="false">HYPERLINK("https://www.ncbi.nlm.nih.gov/nuccore/CP000304.1?report=graph&amp;tracks=[key:gene_model_track,Options:GeneOnly]&amp;mk=3349885:3349904|offset_13|444444,3349906:3349925|offset_34|00cc00,3349927:3349946|offset_55|444444,3349950:3349969|offset_78|444444&amp;v=3349684:3350169&amp;c=444444", "offset 34")</f>
        <v>offset 34</v>
      </c>
    </row>
    <row r="11958" customFormat="false" ht="12.8" hidden="false" customHeight="false" outlineLevel="0" collapsed="false">
      <c r="A11958" s="0" t="s">
        <v>12</v>
      </c>
      <c r="B11958" s="0" t="n">
        <v>3349926</v>
      </c>
      <c r="C11958" s="0" t="n">
        <v>3349946</v>
      </c>
      <c r="D11958" s="0" t="s">
        <v>39868</v>
      </c>
      <c r="E11958" s="0" t="s">
        <v>89</v>
      </c>
      <c r="F11958" s="0" t="s">
        <v>15</v>
      </c>
      <c r="G11958" s="0" t="s">
        <v>36</v>
      </c>
      <c r="H11958" s="0" t="n">
        <v>55</v>
      </c>
      <c r="I11958" s="0" t="s">
        <v>39875</v>
      </c>
      <c r="J11958" s="0" t="s">
        <v>39876</v>
      </c>
      <c r="K11958" s="0" t="s">
        <v>39877</v>
      </c>
      <c r="L11958" s="0" t="str">
        <f aca="false">HYPERLINK("https://www.ncbi.nlm.nih.gov/nuccore/CP000304.1?report=graph&amp;tracks=[key:gene_model_track,Options:GeneOnly]&amp;mk=3349885:3349904|offset_13|444444,3349906:3349925|offset_34|444444,3349927:3349946|offset_55|00cc00,3349950:3349969|offset_78|444444&amp;v=3349684:3350169&amp;c=444444", "offset 55")</f>
        <v>offset 55</v>
      </c>
    </row>
    <row r="11959" customFormat="false" ht="12.8" hidden="false" customHeight="false" outlineLevel="0" collapsed="false">
      <c r="A11959" s="0" t="s">
        <v>12</v>
      </c>
      <c r="B11959" s="0" t="n">
        <v>3349949</v>
      </c>
      <c r="C11959" s="0" t="n">
        <v>3349969</v>
      </c>
      <c r="D11959" s="0" t="s">
        <v>39868</v>
      </c>
      <c r="E11959" s="0" t="s">
        <v>89</v>
      </c>
      <c r="F11959" s="0" t="s">
        <v>15</v>
      </c>
      <c r="G11959" s="0" t="s">
        <v>16</v>
      </c>
      <c r="H11959" s="0" t="n">
        <v>78</v>
      </c>
      <c r="I11959" s="0" t="s">
        <v>39878</v>
      </c>
      <c r="J11959" s="0" t="s">
        <v>39879</v>
      </c>
      <c r="K11959" s="0" t="s">
        <v>39880</v>
      </c>
      <c r="L11959" s="0" t="str">
        <f aca="false">HYPERLINK("https://www.ncbi.nlm.nih.gov/nuccore/CP000304.1?report=graph&amp;tracks=[key:gene_model_track,Options:GeneOnly]&amp;mk=3349885:3349904|offset_13|444444,3349906:3349925|offset_34|444444,3349927:3349946|offset_55|444444,3349950:3349969|offset_78|00cc00&amp;v=3349684:3350169&amp;c=444444", "offset 78")</f>
        <v>offset 78</v>
      </c>
    </row>
    <row r="11960" customFormat="false" ht="12.8" hidden="false" customHeight="false" outlineLevel="0" collapsed="false">
      <c r="A11960" s="0" t="s">
        <v>12</v>
      </c>
      <c r="B11960" s="0" t="n">
        <v>3350392</v>
      </c>
      <c r="C11960" s="0" t="n">
        <v>3350412</v>
      </c>
      <c r="D11960" s="0" t="s">
        <v>39881</v>
      </c>
      <c r="E11960" s="0" t="s">
        <v>89</v>
      </c>
      <c r="F11960" s="0" t="s">
        <v>15</v>
      </c>
      <c r="G11960" s="0" t="s">
        <v>32</v>
      </c>
      <c r="H11960" s="0" t="n">
        <v>1</v>
      </c>
      <c r="I11960" s="0" t="s">
        <v>39882</v>
      </c>
      <c r="J11960" s="0" t="s">
        <v>39883</v>
      </c>
      <c r="K11960" s="0" t="s">
        <v>39884</v>
      </c>
      <c r="L11960" s="0" t="str">
        <f aca="false">HYPERLINK("https://www.ncbi.nlm.nih.gov/nuccore/CP000304.1?report=graph&amp;tracks=[key:gene_model_track,Options:GeneOnly]&amp;mk=3350393:3350412|offset_1|00cc00,3350417:3350436|offset_25|444444,3350439:3350458|offset_47|444444,3350469:3350488|offset_77|444444&amp;v=3350192:3350688&amp;c=444444", "offset 1")</f>
        <v>offset 1</v>
      </c>
    </row>
    <row r="11961" customFormat="false" ht="12.8" hidden="false" customHeight="false" outlineLevel="0" collapsed="false">
      <c r="A11961" s="0" t="s">
        <v>12</v>
      </c>
      <c r="B11961" s="0" t="n">
        <v>3350416</v>
      </c>
      <c r="C11961" s="0" t="n">
        <v>3350436</v>
      </c>
      <c r="D11961" s="0" t="s">
        <v>39881</v>
      </c>
      <c r="E11961" s="0" t="s">
        <v>89</v>
      </c>
      <c r="F11961" s="0" t="s">
        <v>15</v>
      </c>
      <c r="G11961" s="0" t="s">
        <v>16</v>
      </c>
      <c r="H11961" s="0" t="n">
        <v>25</v>
      </c>
      <c r="I11961" s="0" t="s">
        <v>39885</v>
      </c>
      <c r="J11961" s="0" t="s">
        <v>39886</v>
      </c>
      <c r="K11961" s="0" t="s">
        <v>39887</v>
      </c>
      <c r="L11961" s="0" t="str">
        <f aca="false">HYPERLINK("https://www.ncbi.nlm.nih.gov/nuccore/CP000304.1?report=graph&amp;tracks=[key:gene_model_track,Options:GeneOnly]&amp;mk=3350393:3350412|offset_1|444444,3350417:3350436|offset_25|00cc00,3350439:3350458|offset_47|444444,3350469:3350488|offset_77|444444&amp;v=3350192:3350688&amp;c=444444", "offset 25")</f>
        <v>offset 25</v>
      </c>
    </row>
    <row r="11962" customFormat="false" ht="12.8" hidden="false" customHeight="false" outlineLevel="0" collapsed="false">
      <c r="A11962" s="0" t="s">
        <v>12</v>
      </c>
      <c r="B11962" s="0" t="n">
        <v>3350438</v>
      </c>
      <c r="C11962" s="0" t="n">
        <v>3350458</v>
      </c>
      <c r="D11962" s="0" t="s">
        <v>39881</v>
      </c>
      <c r="E11962" s="0" t="s">
        <v>89</v>
      </c>
      <c r="F11962" s="0" t="s">
        <v>15</v>
      </c>
      <c r="G11962" s="0" t="s">
        <v>26</v>
      </c>
      <c r="H11962" s="0" t="n">
        <v>47</v>
      </c>
      <c r="I11962" s="0" t="s">
        <v>39888</v>
      </c>
      <c r="J11962" s="0" t="s">
        <v>39889</v>
      </c>
      <c r="K11962" s="0" t="s">
        <v>39890</v>
      </c>
      <c r="L11962" s="0" t="str">
        <f aca="false">HYPERLINK("https://www.ncbi.nlm.nih.gov/nuccore/CP000304.1?report=graph&amp;tracks=[key:gene_model_track,Options:GeneOnly]&amp;mk=3350393:3350412|offset_1|444444,3350417:3350436|offset_25|444444,3350439:3350458|offset_47|00cc00,3350469:3350488|offset_77|444444&amp;v=3350192:3350688&amp;c=444444", "offset 47")</f>
        <v>offset 47</v>
      </c>
    </row>
    <row r="11963" customFormat="false" ht="12.8" hidden="false" customHeight="false" outlineLevel="0" collapsed="false">
      <c r="A11963" s="0" t="s">
        <v>12</v>
      </c>
      <c r="B11963" s="0" t="n">
        <v>3350468</v>
      </c>
      <c r="C11963" s="0" t="n">
        <v>3350488</v>
      </c>
      <c r="D11963" s="0" t="s">
        <v>39881</v>
      </c>
      <c r="E11963" s="0" t="s">
        <v>89</v>
      </c>
      <c r="F11963" s="0" t="s">
        <v>15</v>
      </c>
      <c r="G11963" s="0" t="s">
        <v>36</v>
      </c>
      <c r="H11963" s="0" t="n">
        <v>77</v>
      </c>
      <c r="I11963" s="0" t="s">
        <v>39891</v>
      </c>
      <c r="J11963" s="0" t="s">
        <v>39892</v>
      </c>
      <c r="K11963" s="0" t="s">
        <v>39893</v>
      </c>
      <c r="L11963" s="0" t="str">
        <f aca="false">HYPERLINK("https://www.ncbi.nlm.nih.gov/nuccore/CP000304.1?report=graph&amp;tracks=[key:gene_model_track,Options:GeneOnly]&amp;mk=3350393:3350412|offset_1|444444,3350417:3350436|offset_25|444444,3350439:3350458|offset_47|444444,3350469:3350488|offset_77|00cc00&amp;v=3350192:3350688&amp;c=444444", "offset 77")</f>
        <v>offset 77</v>
      </c>
    </row>
    <row r="11964" customFormat="false" ht="12.8" hidden="false" customHeight="false" outlineLevel="0" collapsed="false">
      <c r="A11964" s="0" t="s">
        <v>12</v>
      </c>
      <c r="B11964" s="0" t="n">
        <v>3351677</v>
      </c>
      <c r="C11964" s="0" t="n">
        <v>3351697</v>
      </c>
      <c r="D11964" s="0" t="s">
        <v>39894</v>
      </c>
      <c r="E11964" s="0" t="s">
        <v>89</v>
      </c>
      <c r="F11964" s="0" t="s">
        <v>90</v>
      </c>
      <c r="G11964" s="0" t="s">
        <v>36</v>
      </c>
      <c r="H11964" s="0" t="n">
        <v>19</v>
      </c>
      <c r="I11964" s="0" t="s">
        <v>39895</v>
      </c>
      <c r="J11964" s="0" t="s">
        <v>39896</v>
      </c>
      <c r="K11964" s="0" t="s">
        <v>39897</v>
      </c>
      <c r="L11964" s="0" t="str">
        <f aca="false">HYPERLINK("https://www.ncbi.nlm.nih.gov/nuccore/CP000304.1?report=graph&amp;tracks=[key:gene_model_track,Options:GeneOnly]&amp;mk=3351678:3351697|offset_19|00cc00,3351654:3351673|offset_43|444444,3351630:3351649|offset_67|444444,3351609:3351628|offset_88|444444&amp;v=3351477:3351828&amp;c=444444", "offset 19")</f>
        <v>offset 19</v>
      </c>
    </row>
    <row r="11965" customFormat="false" ht="12.8" hidden="false" customHeight="false" outlineLevel="0" collapsed="false">
      <c r="A11965" s="0" t="s">
        <v>12</v>
      </c>
      <c r="B11965" s="0" t="n">
        <v>3351653</v>
      </c>
      <c r="C11965" s="0" t="n">
        <v>3351673</v>
      </c>
      <c r="D11965" s="0" t="s">
        <v>39894</v>
      </c>
      <c r="E11965" s="0" t="s">
        <v>89</v>
      </c>
      <c r="F11965" s="0" t="s">
        <v>90</v>
      </c>
      <c r="G11965" s="0" t="s">
        <v>16</v>
      </c>
      <c r="H11965" s="0" t="n">
        <v>43</v>
      </c>
      <c r="I11965" s="0" t="s">
        <v>39898</v>
      </c>
      <c r="J11965" s="0" t="s">
        <v>39899</v>
      </c>
      <c r="K11965" s="0" t="s">
        <v>39900</v>
      </c>
      <c r="L11965" s="0" t="str">
        <f aca="false">HYPERLINK("https://www.ncbi.nlm.nih.gov/nuccore/CP000304.1?report=graph&amp;tracks=[key:gene_model_track,Options:GeneOnly]&amp;mk=3351678:3351697|offset_19|444444,3351654:3351673|offset_43|00cc00,3351630:3351649|offset_67|444444,3351609:3351628|offset_88|444444&amp;v=3351477:3351828&amp;c=444444", "offset 43")</f>
        <v>offset 43</v>
      </c>
    </row>
    <row r="11966" customFormat="false" ht="12.8" hidden="false" customHeight="false" outlineLevel="0" collapsed="false">
      <c r="A11966" s="0" t="s">
        <v>12</v>
      </c>
      <c r="B11966" s="0" t="n">
        <v>3351629</v>
      </c>
      <c r="C11966" s="0" t="n">
        <v>3351649</v>
      </c>
      <c r="D11966" s="0" t="s">
        <v>39894</v>
      </c>
      <c r="E11966" s="0" t="s">
        <v>89</v>
      </c>
      <c r="F11966" s="0" t="s">
        <v>90</v>
      </c>
      <c r="G11966" s="0" t="s">
        <v>16</v>
      </c>
      <c r="H11966" s="0" t="n">
        <v>67</v>
      </c>
      <c r="I11966" s="0" t="s">
        <v>39901</v>
      </c>
      <c r="J11966" s="0" t="s">
        <v>39902</v>
      </c>
      <c r="K11966" s="0" t="s">
        <v>39903</v>
      </c>
      <c r="L11966" s="0" t="str">
        <f aca="false">HYPERLINK("https://www.ncbi.nlm.nih.gov/nuccore/CP000304.1?report=graph&amp;tracks=[key:gene_model_track,Options:GeneOnly]&amp;mk=3351678:3351697|offset_19|444444,3351654:3351673|offset_43|444444,3351630:3351649|offset_67|00cc00,3351609:3351628|offset_88|444444&amp;v=3351477:3351828&amp;c=444444", "offset 67")</f>
        <v>offset 67</v>
      </c>
    </row>
    <row r="11967" customFormat="false" ht="12.8" hidden="false" customHeight="false" outlineLevel="0" collapsed="false">
      <c r="A11967" s="0" t="s">
        <v>12</v>
      </c>
      <c r="B11967" s="0" t="n">
        <v>3351608</v>
      </c>
      <c r="C11967" s="0" t="n">
        <v>3351628</v>
      </c>
      <c r="D11967" s="0" t="s">
        <v>39894</v>
      </c>
      <c r="E11967" s="0" t="s">
        <v>89</v>
      </c>
      <c r="F11967" s="0" t="s">
        <v>90</v>
      </c>
      <c r="G11967" s="0" t="s">
        <v>36</v>
      </c>
      <c r="H11967" s="0" t="n">
        <v>88</v>
      </c>
      <c r="I11967" s="0" t="s">
        <v>39904</v>
      </c>
      <c r="J11967" s="0" t="s">
        <v>39905</v>
      </c>
      <c r="K11967" s="0" t="s">
        <v>39906</v>
      </c>
      <c r="L11967" s="0" t="str">
        <f aca="false">HYPERLINK("https://www.ncbi.nlm.nih.gov/nuccore/CP000304.1?report=graph&amp;tracks=[key:gene_model_track,Options:GeneOnly]&amp;mk=3351678:3351697|offset_19|444444,3351654:3351673|offset_43|444444,3351630:3351649|offset_67|444444,3351609:3351628|offset_88|00cc00&amp;v=3351477:3351828&amp;c=444444", "offset 88")</f>
        <v>offset 88</v>
      </c>
    </row>
    <row r="11968" customFormat="false" ht="12.8" hidden="false" customHeight="false" outlineLevel="0" collapsed="false">
      <c r="A11968" s="0" t="s">
        <v>12</v>
      </c>
      <c r="B11968" s="0" t="n">
        <v>3351975</v>
      </c>
      <c r="C11968" s="0" t="n">
        <v>3351995</v>
      </c>
      <c r="D11968" s="0" t="s">
        <v>39907</v>
      </c>
      <c r="E11968" s="0" t="s">
        <v>39908</v>
      </c>
      <c r="F11968" s="0" t="s">
        <v>15</v>
      </c>
      <c r="G11968" s="0" t="s">
        <v>36</v>
      </c>
      <c r="H11968" s="0" t="n">
        <v>7</v>
      </c>
      <c r="I11968" s="0" t="s">
        <v>39909</v>
      </c>
      <c r="J11968" s="0" t="s">
        <v>39910</v>
      </c>
      <c r="K11968" s="0" t="s">
        <v>39911</v>
      </c>
      <c r="L11968" s="0" t="str">
        <f aca="false">HYPERLINK("https://www.ncbi.nlm.nih.gov/nuccore/CP000304.1?report=graph&amp;tracks=[key:gene_model_track,Options:GeneOnly]&amp;mk=3351976:3351995|offset_7|00cc00,3351997:3352016|offset_28|444444,3352033:3352052|offset_64|444444,3352054:3352073|offset_85|444444&amp;v=3351775:3352273&amp;c=444444", "offset 7")</f>
        <v>offset 7</v>
      </c>
    </row>
    <row r="11969" customFormat="false" ht="12.8" hidden="false" customHeight="false" outlineLevel="0" collapsed="false">
      <c r="A11969" s="0" t="s">
        <v>12</v>
      </c>
      <c r="B11969" s="0" t="n">
        <v>3351996</v>
      </c>
      <c r="C11969" s="0" t="n">
        <v>3352016</v>
      </c>
      <c r="D11969" s="0" t="s">
        <v>39907</v>
      </c>
      <c r="E11969" s="0" t="s">
        <v>39908</v>
      </c>
      <c r="F11969" s="0" t="s">
        <v>15</v>
      </c>
      <c r="G11969" s="0" t="s">
        <v>16</v>
      </c>
      <c r="H11969" s="0" t="n">
        <v>28</v>
      </c>
      <c r="I11969" s="0" t="s">
        <v>39912</v>
      </c>
      <c r="J11969" s="0" t="s">
        <v>39913</v>
      </c>
      <c r="K11969" s="0" t="s">
        <v>39914</v>
      </c>
      <c r="L11969" s="0" t="str">
        <f aca="false">HYPERLINK("https://www.ncbi.nlm.nih.gov/nuccore/CP000304.1?report=graph&amp;tracks=[key:gene_model_track,Options:GeneOnly]&amp;mk=3351976:3351995|offset_7|444444,3351997:3352016|offset_28|00cc00,3352033:3352052|offset_64|444444,3352054:3352073|offset_85|444444&amp;v=3351775:3352273&amp;c=444444", "offset 28")</f>
        <v>offset 28</v>
      </c>
    </row>
    <row r="11970" customFormat="false" ht="12.8" hidden="false" customHeight="false" outlineLevel="0" collapsed="false">
      <c r="A11970" s="0" t="s">
        <v>12</v>
      </c>
      <c r="B11970" s="0" t="n">
        <v>3352032</v>
      </c>
      <c r="C11970" s="0" t="n">
        <v>3352052</v>
      </c>
      <c r="D11970" s="0" t="s">
        <v>39907</v>
      </c>
      <c r="E11970" s="0" t="s">
        <v>39908</v>
      </c>
      <c r="F11970" s="0" t="s">
        <v>15</v>
      </c>
      <c r="G11970" s="0" t="s">
        <v>16</v>
      </c>
      <c r="H11970" s="0" t="n">
        <v>64</v>
      </c>
      <c r="I11970" s="0" t="s">
        <v>39915</v>
      </c>
      <c r="J11970" s="0" t="s">
        <v>39916</v>
      </c>
      <c r="K11970" s="0" t="s">
        <v>39917</v>
      </c>
      <c r="L11970" s="0" t="str">
        <f aca="false">HYPERLINK("https://www.ncbi.nlm.nih.gov/nuccore/CP000304.1?report=graph&amp;tracks=[key:gene_model_track,Options:GeneOnly]&amp;mk=3351976:3351995|offset_7|444444,3351997:3352016|offset_28|444444,3352033:3352052|offset_64|00cc00,3352054:3352073|offset_85|444444&amp;v=3351775:3352273&amp;c=444444", "offset 64")</f>
        <v>offset 64</v>
      </c>
    </row>
    <row r="11971" customFormat="false" ht="12.8" hidden="false" customHeight="false" outlineLevel="0" collapsed="false">
      <c r="A11971" s="0" t="s">
        <v>12</v>
      </c>
      <c r="B11971" s="0" t="n">
        <v>3352053</v>
      </c>
      <c r="C11971" s="0" t="n">
        <v>3352073</v>
      </c>
      <c r="D11971" s="0" t="s">
        <v>39907</v>
      </c>
      <c r="E11971" s="0" t="s">
        <v>39908</v>
      </c>
      <c r="F11971" s="0" t="s">
        <v>15</v>
      </c>
      <c r="G11971" s="0" t="s">
        <v>16</v>
      </c>
      <c r="H11971" s="0" t="n">
        <v>85</v>
      </c>
      <c r="I11971" s="0" t="s">
        <v>39918</v>
      </c>
      <c r="J11971" s="0" t="s">
        <v>39919</v>
      </c>
      <c r="K11971" s="0" t="s">
        <v>39920</v>
      </c>
      <c r="L11971" s="0" t="str">
        <f aca="false">HYPERLINK("https://www.ncbi.nlm.nih.gov/nuccore/CP000304.1?report=graph&amp;tracks=[key:gene_model_track,Options:GeneOnly]&amp;mk=3351976:3351995|offset_7|444444,3351997:3352016|offset_28|444444,3352033:3352052|offset_64|444444,3352054:3352073|offset_85|00cc00&amp;v=3351775:3352273&amp;c=444444", "offset 85")</f>
        <v>offset 85</v>
      </c>
    </row>
    <row r="11972" customFormat="false" ht="12.8" hidden="false" customHeight="false" outlineLevel="0" collapsed="false">
      <c r="A11972" s="0" t="s">
        <v>12</v>
      </c>
      <c r="B11972" s="0" t="n">
        <v>3353924</v>
      </c>
      <c r="C11972" s="0" t="n">
        <v>3353944</v>
      </c>
      <c r="D11972" s="0" t="s">
        <v>39921</v>
      </c>
      <c r="E11972" s="0" t="s">
        <v>89</v>
      </c>
      <c r="F11972" s="0" t="s">
        <v>15</v>
      </c>
      <c r="G11972" s="0" t="s">
        <v>32</v>
      </c>
      <c r="H11972" s="0" t="n">
        <v>1</v>
      </c>
      <c r="I11972" s="0" t="s">
        <v>39922</v>
      </c>
      <c r="J11972" s="0" t="s">
        <v>39923</v>
      </c>
      <c r="K11972" s="0" t="s">
        <v>39924</v>
      </c>
      <c r="L11972" s="0" t="str">
        <f aca="false">HYPERLINK("https://www.ncbi.nlm.nih.gov/nuccore/CP000304.1?report=graph&amp;tracks=[key:gene_model_track,Options:GeneOnly]&amp;mk=3353925:3353944|offset_1|00cc00,3353947:3353966|offset_23|444444,3353983:3354002|offset_59|444444,3354006:3354025|offset_82|444444&amp;v=3353724:3354225&amp;c=444444", "offset 1")</f>
        <v>offset 1</v>
      </c>
    </row>
    <row r="11973" customFormat="false" ht="12.8" hidden="false" customHeight="false" outlineLevel="0" collapsed="false">
      <c r="A11973" s="0" t="s">
        <v>12</v>
      </c>
      <c r="B11973" s="0" t="n">
        <v>3353946</v>
      </c>
      <c r="C11973" s="0" t="n">
        <v>3353966</v>
      </c>
      <c r="D11973" s="0" t="s">
        <v>39921</v>
      </c>
      <c r="E11973" s="0" t="s">
        <v>89</v>
      </c>
      <c r="F11973" s="0" t="s">
        <v>15</v>
      </c>
      <c r="G11973" s="0" t="s">
        <v>26</v>
      </c>
      <c r="H11973" s="0" t="n">
        <v>23</v>
      </c>
      <c r="I11973" s="0" t="s">
        <v>39925</v>
      </c>
      <c r="J11973" s="0" t="s">
        <v>39926</v>
      </c>
      <c r="K11973" s="0" t="s">
        <v>39927</v>
      </c>
      <c r="L11973" s="0" t="str">
        <f aca="false">HYPERLINK("https://www.ncbi.nlm.nih.gov/nuccore/CP000304.1?report=graph&amp;tracks=[key:gene_model_track,Options:GeneOnly]&amp;mk=3353925:3353944|offset_1|444444,3353947:3353966|offset_23|00cc00,3353983:3354002|offset_59|444444,3354006:3354025|offset_82|444444&amp;v=3353724:3354225&amp;c=444444", "offset 23")</f>
        <v>offset 23</v>
      </c>
    </row>
    <row r="11974" customFormat="false" ht="12.8" hidden="false" customHeight="false" outlineLevel="0" collapsed="false">
      <c r="A11974" s="0" t="s">
        <v>12</v>
      </c>
      <c r="B11974" s="0" t="n">
        <v>3353982</v>
      </c>
      <c r="C11974" s="0" t="n">
        <v>3354002</v>
      </c>
      <c r="D11974" s="0" t="s">
        <v>39921</v>
      </c>
      <c r="E11974" s="0" t="s">
        <v>89</v>
      </c>
      <c r="F11974" s="0" t="s">
        <v>15</v>
      </c>
      <c r="G11974" s="0" t="s">
        <v>16</v>
      </c>
      <c r="H11974" s="0" t="n">
        <v>59</v>
      </c>
      <c r="I11974" s="0" t="s">
        <v>39928</v>
      </c>
      <c r="J11974" s="0" t="s">
        <v>39929</v>
      </c>
      <c r="K11974" s="0" t="s">
        <v>39930</v>
      </c>
      <c r="L11974" s="0" t="str">
        <f aca="false">HYPERLINK("https://www.ncbi.nlm.nih.gov/nuccore/CP000304.1?report=graph&amp;tracks=[key:gene_model_track,Options:GeneOnly]&amp;mk=3353925:3353944|offset_1|444444,3353947:3353966|offset_23|444444,3353983:3354002|offset_59|00cc00,3354006:3354025|offset_82|444444&amp;v=3353724:3354225&amp;c=444444", "offset 59")</f>
        <v>offset 59</v>
      </c>
    </row>
    <row r="11975" customFormat="false" ht="12.8" hidden="false" customHeight="false" outlineLevel="0" collapsed="false">
      <c r="A11975" s="0" t="s">
        <v>12</v>
      </c>
      <c r="B11975" s="0" t="n">
        <v>3354005</v>
      </c>
      <c r="C11975" s="0" t="n">
        <v>3354025</v>
      </c>
      <c r="D11975" s="0" t="s">
        <v>39921</v>
      </c>
      <c r="E11975" s="0" t="s">
        <v>89</v>
      </c>
      <c r="F11975" s="0" t="s">
        <v>15</v>
      </c>
      <c r="G11975" s="0" t="s">
        <v>16</v>
      </c>
      <c r="H11975" s="0" t="n">
        <v>82</v>
      </c>
      <c r="I11975" s="0" t="s">
        <v>39931</v>
      </c>
      <c r="J11975" s="0" t="s">
        <v>39932</v>
      </c>
      <c r="K11975" s="0" t="s">
        <v>39933</v>
      </c>
      <c r="L11975" s="0" t="str">
        <f aca="false">HYPERLINK("https://www.ncbi.nlm.nih.gov/nuccore/CP000304.1?report=graph&amp;tracks=[key:gene_model_track,Options:GeneOnly]&amp;mk=3353925:3353944|offset_1|444444,3353947:3353966|offset_23|444444,3353983:3354002|offset_59|444444,3354006:3354025|offset_82|00cc00&amp;v=3353724:3354225&amp;c=444444", "offset 82")</f>
        <v>offset 82</v>
      </c>
    </row>
    <row r="11976" customFormat="false" ht="12.8" hidden="false" customHeight="false" outlineLevel="0" collapsed="false">
      <c r="A11976" s="0" t="s">
        <v>12</v>
      </c>
      <c r="B11976" s="0" t="n">
        <v>3354806</v>
      </c>
      <c r="C11976" s="0" t="n">
        <v>3354826</v>
      </c>
      <c r="D11976" s="0" t="s">
        <v>39934</v>
      </c>
      <c r="E11976" s="0" t="s">
        <v>39935</v>
      </c>
      <c r="F11976" s="0" t="s">
        <v>15</v>
      </c>
      <c r="G11976" s="0" t="s">
        <v>16</v>
      </c>
      <c r="H11976" s="0" t="n">
        <v>28</v>
      </c>
      <c r="I11976" s="0" t="s">
        <v>39936</v>
      </c>
      <c r="J11976" s="0" t="s">
        <v>39937</v>
      </c>
      <c r="K11976" s="0" t="s">
        <v>39938</v>
      </c>
      <c r="L11976" s="0" t="str">
        <f aca="false">HYPERLINK("https://www.ncbi.nlm.nih.gov/nuccore/CP000304.1?report=graph&amp;tracks=[key:gene_model_track,Options:GeneOnly]&amp;mk=3354807:3354826|offset_28|00cc00,3354838:3354857|offset_59|444444,3354865:3354884|offset_86|444444,3354890:3354909|offset_111|444444&amp;v=3354606:3355109&amp;c=444444", "offset 28")</f>
        <v>offset 28</v>
      </c>
    </row>
    <row r="11977" customFormat="false" ht="12.8" hidden="false" customHeight="false" outlineLevel="0" collapsed="false">
      <c r="A11977" s="0" t="s">
        <v>12</v>
      </c>
      <c r="B11977" s="0" t="n">
        <v>3354837</v>
      </c>
      <c r="C11977" s="0" t="n">
        <v>3354857</v>
      </c>
      <c r="D11977" s="0" t="s">
        <v>39934</v>
      </c>
      <c r="E11977" s="0" t="s">
        <v>39935</v>
      </c>
      <c r="F11977" s="0" t="s">
        <v>15</v>
      </c>
      <c r="G11977" s="0" t="s">
        <v>26</v>
      </c>
      <c r="H11977" s="0" t="n">
        <v>59</v>
      </c>
      <c r="I11977" s="0" t="s">
        <v>39939</v>
      </c>
      <c r="J11977" s="0" t="s">
        <v>39940</v>
      </c>
      <c r="K11977" s="0" t="s">
        <v>39941</v>
      </c>
      <c r="L11977" s="0" t="str">
        <f aca="false">HYPERLINK("https://www.ncbi.nlm.nih.gov/nuccore/CP000304.1?report=graph&amp;tracks=[key:gene_model_track,Options:GeneOnly]&amp;mk=3354807:3354826|offset_28|444444,3354838:3354857|offset_59|00cc00,3354865:3354884|offset_86|444444,3354890:3354909|offset_111|444444&amp;v=3354606:3355109&amp;c=444444", "offset 59")</f>
        <v>offset 59</v>
      </c>
    </row>
    <row r="11978" customFormat="false" ht="12.8" hidden="false" customHeight="false" outlineLevel="0" collapsed="false">
      <c r="A11978" s="0" t="s">
        <v>12</v>
      </c>
      <c r="B11978" s="0" t="n">
        <v>3354864</v>
      </c>
      <c r="C11978" s="0" t="n">
        <v>3354884</v>
      </c>
      <c r="D11978" s="0" t="s">
        <v>39934</v>
      </c>
      <c r="E11978" s="0" t="s">
        <v>39935</v>
      </c>
      <c r="F11978" s="0" t="s">
        <v>15</v>
      </c>
      <c r="G11978" s="0" t="s">
        <v>26</v>
      </c>
      <c r="H11978" s="0" t="n">
        <v>86</v>
      </c>
      <c r="I11978" s="0" t="s">
        <v>39942</v>
      </c>
      <c r="J11978" s="0" t="s">
        <v>39943</v>
      </c>
      <c r="K11978" s="0" t="s">
        <v>39944</v>
      </c>
      <c r="L11978" s="0" t="str">
        <f aca="false">HYPERLINK("https://www.ncbi.nlm.nih.gov/nuccore/CP000304.1?report=graph&amp;tracks=[key:gene_model_track,Options:GeneOnly]&amp;mk=3354807:3354826|offset_28|444444,3354838:3354857|offset_59|444444,3354865:3354884|offset_86|00cc00,3354890:3354909|offset_111|444444&amp;v=3354606:3355109&amp;c=444444", "offset 86")</f>
        <v>offset 86</v>
      </c>
    </row>
    <row r="11979" customFormat="false" ht="12.8" hidden="false" customHeight="false" outlineLevel="0" collapsed="false">
      <c r="A11979" s="0" t="s">
        <v>12</v>
      </c>
      <c r="B11979" s="0" t="n">
        <v>3354889</v>
      </c>
      <c r="C11979" s="0" t="n">
        <v>3354909</v>
      </c>
      <c r="D11979" s="0" t="s">
        <v>39934</v>
      </c>
      <c r="E11979" s="0" t="s">
        <v>39935</v>
      </c>
      <c r="F11979" s="0" t="s">
        <v>15</v>
      </c>
      <c r="G11979" s="0" t="s">
        <v>16</v>
      </c>
      <c r="H11979" s="0" t="n">
        <v>111</v>
      </c>
      <c r="I11979" s="0" t="s">
        <v>39945</v>
      </c>
      <c r="J11979" s="0" t="s">
        <v>39946</v>
      </c>
      <c r="K11979" s="0" t="s">
        <v>39947</v>
      </c>
      <c r="L11979" s="0" t="str">
        <f aca="false">HYPERLINK("https://www.ncbi.nlm.nih.gov/nuccore/CP000304.1?report=graph&amp;tracks=[key:gene_model_track,Options:GeneOnly]&amp;mk=3354807:3354826|offset_28|444444,3354838:3354857|offset_59|444444,3354865:3354884|offset_86|444444,3354890:3354909|offset_111|00cc00&amp;v=3354606:3355109&amp;c=444444", "offset 111")</f>
        <v>offset 111</v>
      </c>
    </row>
    <row r="11980" customFormat="false" ht="12.8" hidden="false" customHeight="false" outlineLevel="0" collapsed="false">
      <c r="A11980" s="0" t="s">
        <v>12</v>
      </c>
      <c r="B11980" s="0" t="n">
        <v>3355696</v>
      </c>
      <c r="C11980" s="0" t="n">
        <v>3355716</v>
      </c>
      <c r="D11980" s="0" t="s">
        <v>39948</v>
      </c>
      <c r="E11980" s="0" t="s">
        <v>89</v>
      </c>
      <c r="F11980" s="0" t="s">
        <v>15</v>
      </c>
      <c r="G11980" s="0" t="s">
        <v>32</v>
      </c>
      <c r="H11980" s="0" t="n">
        <v>8</v>
      </c>
      <c r="I11980" s="0" t="s">
        <v>39949</v>
      </c>
      <c r="J11980" s="0" t="s">
        <v>39950</v>
      </c>
      <c r="K11980" s="0" t="s">
        <v>39951</v>
      </c>
      <c r="L11980" s="0" t="str">
        <f aca="false">HYPERLINK("https://www.ncbi.nlm.nih.gov/nuccore/CP000304.1?report=graph&amp;tracks=[key:gene_model_track,Options:GeneOnly]&amp;mk=3355697:3355716|offset_8|00cc00,3355727:3355746|offset_38|444444,3355750:3355769|offset_61|444444,3355773:3355792|offset_84|444444&amp;v=3355496:3355992&amp;c=444444", "offset 8")</f>
        <v>offset 8</v>
      </c>
    </row>
    <row r="11981" customFormat="false" ht="12.8" hidden="false" customHeight="false" outlineLevel="0" collapsed="false">
      <c r="A11981" s="0" t="s">
        <v>12</v>
      </c>
      <c r="B11981" s="0" t="n">
        <v>3355726</v>
      </c>
      <c r="C11981" s="0" t="n">
        <v>3355746</v>
      </c>
      <c r="D11981" s="0" t="s">
        <v>39948</v>
      </c>
      <c r="E11981" s="0" t="s">
        <v>89</v>
      </c>
      <c r="F11981" s="0" t="s">
        <v>15</v>
      </c>
      <c r="G11981" s="0" t="s">
        <v>16</v>
      </c>
      <c r="H11981" s="0" t="n">
        <v>38</v>
      </c>
      <c r="I11981" s="0" t="s">
        <v>39952</v>
      </c>
      <c r="J11981" s="0" t="s">
        <v>39953</v>
      </c>
      <c r="K11981" s="0" t="s">
        <v>39954</v>
      </c>
      <c r="L11981" s="0" t="str">
        <f aca="false">HYPERLINK("https://www.ncbi.nlm.nih.gov/nuccore/CP000304.1?report=graph&amp;tracks=[key:gene_model_track,Options:GeneOnly]&amp;mk=3355697:3355716|offset_8|444444,3355727:3355746|offset_38|00cc00,3355750:3355769|offset_61|444444,3355773:3355792|offset_84|444444&amp;v=3355496:3355992&amp;c=444444", "offset 38")</f>
        <v>offset 38</v>
      </c>
    </row>
    <row r="11982" customFormat="false" ht="12.8" hidden="false" customHeight="false" outlineLevel="0" collapsed="false">
      <c r="A11982" s="0" t="s">
        <v>12</v>
      </c>
      <c r="B11982" s="0" t="n">
        <v>3355749</v>
      </c>
      <c r="C11982" s="0" t="n">
        <v>3355769</v>
      </c>
      <c r="D11982" s="0" t="s">
        <v>39948</v>
      </c>
      <c r="E11982" s="0" t="s">
        <v>89</v>
      </c>
      <c r="F11982" s="0" t="s">
        <v>15</v>
      </c>
      <c r="G11982" s="0" t="s">
        <v>36</v>
      </c>
      <c r="H11982" s="0" t="n">
        <v>61</v>
      </c>
      <c r="I11982" s="0" t="s">
        <v>39955</v>
      </c>
      <c r="J11982" s="0" t="s">
        <v>39956</v>
      </c>
      <c r="K11982" s="0" t="s">
        <v>39957</v>
      </c>
      <c r="L11982" s="0" t="str">
        <f aca="false">HYPERLINK("https://www.ncbi.nlm.nih.gov/nuccore/CP000304.1?report=graph&amp;tracks=[key:gene_model_track,Options:GeneOnly]&amp;mk=3355697:3355716|offset_8|444444,3355727:3355746|offset_38|444444,3355750:3355769|offset_61|00cc00,3355773:3355792|offset_84|444444&amp;v=3355496:3355992&amp;c=444444", "offset 61")</f>
        <v>offset 61</v>
      </c>
    </row>
    <row r="11983" customFormat="false" ht="12.8" hidden="false" customHeight="false" outlineLevel="0" collapsed="false">
      <c r="A11983" s="0" t="s">
        <v>12</v>
      </c>
      <c r="B11983" s="0" t="n">
        <v>3355772</v>
      </c>
      <c r="C11983" s="0" t="n">
        <v>3355792</v>
      </c>
      <c r="D11983" s="0" t="s">
        <v>39948</v>
      </c>
      <c r="E11983" s="0" t="s">
        <v>89</v>
      </c>
      <c r="F11983" s="0" t="s">
        <v>15</v>
      </c>
      <c r="G11983" s="0" t="s">
        <v>16</v>
      </c>
      <c r="H11983" s="0" t="n">
        <v>84</v>
      </c>
      <c r="I11983" s="0" t="s">
        <v>39958</v>
      </c>
      <c r="J11983" s="0" t="s">
        <v>39959</v>
      </c>
      <c r="K11983" s="0" t="s">
        <v>39960</v>
      </c>
      <c r="L11983" s="0" t="str">
        <f aca="false">HYPERLINK("https://www.ncbi.nlm.nih.gov/nuccore/CP000304.1?report=graph&amp;tracks=[key:gene_model_track,Options:GeneOnly]&amp;mk=3355697:3355716|offset_8|444444,3355727:3355746|offset_38|444444,3355750:3355769|offset_61|444444,3355773:3355792|offset_84|00cc00&amp;v=3355496:3355992&amp;c=444444", "offset 84")</f>
        <v>offset 84</v>
      </c>
    </row>
    <row r="11984" customFormat="false" ht="12.8" hidden="false" customHeight="false" outlineLevel="0" collapsed="false">
      <c r="A11984" s="0" t="s">
        <v>12</v>
      </c>
      <c r="B11984" s="0" t="n">
        <v>3357326</v>
      </c>
      <c r="C11984" s="0" t="n">
        <v>3357346</v>
      </c>
      <c r="D11984" s="0" t="s">
        <v>39961</v>
      </c>
      <c r="E11984" s="0" t="s">
        <v>39962</v>
      </c>
      <c r="F11984" s="0" t="s">
        <v>15</v>
      </c>
      <c r="G11984" s="0" t="s">
        <v>32</v>
      </c>
      <c r="H11984" s="0" t="n">
        <v>1</v>
      </c>
      <c r="I11984" s="0" t="s">
        <v>39963</v>
      </c>
      <c r="J11984" s="0" t="s">
        <v>39964</v>
      </c>
      <c r="K11984" s="0" t="s">
        <v>39965</v>
      </c>
      <c r="L11984" s="0" t="str">
        <f aca="false">HYPERLINK("https://www.ncbi.nlm.nih.gov/nuccore/CP000304.1?report=graph&amp;tracks=[key:gene_model_track,Options:GeneOnly]&amp;mk=3357327:3357346|offset_1|00cc00,3357363:3357382|offset_37|444444,3357414:3357433|offset_88|444444,3357445:3357464|offset_119|444444&amp;v=3357126:3357664&amp;c=444444", "offset 1")</f>
        <v>offset 1</v>
      </c>
    </row>
    <row r="11985" customFormat="false" ht="12.8" hidden="false" customHeight="false" outlineLevel="0" collapsed="false">
      <c r="A11985" s="0" t="s">
        <v>12</v>
      </c>
      <c r="B11985" s="0" t="n">
        <v>3357362</v>
      </c>
      <c r="C11985" s="0" t="n">
        <v>3357382</v>
      </c>
      <c r="D11985" s="0" t="s">
        <v>39961</v>
      </c>
      <c r="E11985" s="0" t="s">
        <v>39962</v>
      </c>
      <c r="F11985" s="0" t="s">
        <v>15</v>
      </c>
      <c r="G11985" s="0" t="s">
        <v>36</v>
      </c>
      <c r="H11985" s="0" t="n">
        <v>37</v>
      </c>
      <c r="I11985" s="0" t="s">
        <v>39966</v>
      </c>
      <c r="J11985" s="0" t="s">
        <v>39967</v>
      </c>
      <c r="K11985" s="0" t="s">
        <v>39968</v>
      </c>
      <c r="L11985" s="0" t="str">
        <f aca="false">HYPERLINK("https://www.ncbi.nlm.nih.gov/nuccore/CP000304.1?report=graph&amp;tracks=[key:gene_model_track,Options:GeneOnly]&amp;mk=3357327:3357346|offset_1|444444,3357363:3357382|offset_37|00cc00,3357414:3357433|offset_88|444444,3357445:3357464|offset_119|444444&amp;v=3357126:3357664&amp;c=444444", "offset 37")</f>
        <v>offset 37</v>
      </c>
    </row>
    <row r="11986" customFormat="false" ht="12.8" hidden="false" customHeight="false" outlineLevel="0" collapsed="false">
      <c r="A11986" s="0" t="s">
        <v>12</v>
      </c>
      <c r="B11986" s="0" t="n">
        <v>3357413</v>
      </c>
      <c r="C11986" s="0" t="n">
        <v>3357433</v>
      </c>
      <c r="D11986" s="0" t="s">
        <v>39961</v>
      </c>
      <c r="E11986" s="0" t="s">
        <v>39962</v>
      </c>
      <c r="F11986" s="0" t="s">
        <v>15</v>
      </c>
      <c r="G11986" s="0" t="s">
        <v>16</v>
      </c>
      <c r="H11986" s="0" t="n">
        <v>88</v>
      </c>
      <c r="I11986" s="0" t="s">
        <v>39969</v>
      </c>
      <c r="J11986" s="0" t="s">
        <v>39970</v>
      </c>
      <c r="K11986" s="0" t="s">
        <v>39971</v>
      </c>
      <c r="L11986" s="0" t="str">
        <f aca="false">HYPERLINK("https://www.ncbi.nlm.nih.gov/nuccore/CP000304.1?report=graph&amp;tracks=[key:gene_model_track,Options:GeneOnly]&amp;mk=3357327:3357346|offset_1|444444,3357363:3357382|offset_37|444444,3357414:3357433|offset_88|00cc00,3357445:3357464|offset_119|444444&amp;v=3357126:3357664&amp;c=444444", "offset 88")</f>
        <v>offset 88</v>
      </c>
    </row>
    <row r="11987" customFormat="false" ht="12.8" hidden="false" customHeight="false" outlineLevel="0" collapsed="false">
      <c r="A11987" s="0" t="s">
        <v>12</v>
      </c>
      <c r="B11987" s="0" t="n">
        <v>3357444</v>
      </c>
      <c r="C11987" s="0" t="n">
        <v>3357464</v>
      </c>
      <c r="D11987" s="0" t="s">
        <v>39961</v>
      </c>
      <c r="E11987" s="0" t="s">
        <v>39962</v>
      </c>
      <c r="F11987" s="0" t="s">
        <v>15</v>
      </c>
      <c r="G11987" s="0" t="s">
        <v>32</v>
      </c>
      <c r="H11987" s="0" t="n">
        <v>119</v>
      </c>
      <c r="I11987" s="0" t="s">
        <v>39972</v>
      </c>
      <c r="J11987" s="0" t="s">
        <v>39973</v>
      </c>
      <c r="K11987" s="0" t="s">
        <v>39974</v>
      </c>
      <c r="L11987" s="0" t="str">
        <f aca="false">HYPERLINK("https://www.ncbi.nlm.nih.gov/nuccore/CP000304.1?report=graph&amp;tracks=[key:gene_model_track,Options:GeneOnly]&amp;mk=3357327:3357346|offset_1|444444,3357363:3357382|offset_37|444444,3357414:3357433|offset_88|444444,3357445:3357464|offset_119|00cc00&amp;v=3357126:3357664&amp;c=444444", "offset 119")</f>
        <v>offset 119</v>
      </c>
    </row>
    <row r="11988" customFormat="false" ht="12.8" hidden="false" customHeight="false" outlineLevel="0" collapsed="false">
      <c r="A11988" s="0" t="s">
        <v>12</v>
      </c>
      <c r="B11988" s="0" t="n">
        <v>3358949</v>
      </c>
      <c r="C11988" s="0" t="n">
        <v>3358969</v>
      </c>
      <c r="D11988" s="0" t="s">
        <v>39975</v>
      </c>
      <c r="E11988" s="0" t="s">
        <v>89</v>
      </c>
      <c r="F11988" s="0" t="s">
        <v>15</v>
      </c>
      <c r="G11988" s="0" t="s">
        <v>32</v>
      </c>
      <c r="H11988" s="0" t="n">
        <v>16</v>
      </c>
      <c r="I11988" s="0" t="s">
        <v>39976</v>
      </c>
      <c r="J11988" s="0" t="s">
        <v>39977</v>
      </c>
      <c r="K11988" s="0" t="s">
        <v>39978</v>
      </c>
      <c r="L11988" s="0" t="str">
        <f aca="false">HYPERLINK("https://www.ncbi.nlm.nih.gov/nuccore/CP000304.1?report=graph&amp;tracks=[key:gene_model_track,Options:GeneOnly]&amp;mk=3358950:3358969|offset_16|00cc00,3358980:3358999|offset_46|444444,3359005:3359024|offset_71|444444,3359030:3359049|offset_96|444444&amp;v=3358749:3359249&amp;c=444444", "offset 16")</f>
        <v>offset 16</v>
      </c>
    </row>
    <row r="11989" customFormat="false" ht="12.8" hidden="false" customHeight="false" outlineLevel="0" collapsed="false">
      <c r="A11989" s="0" t="s">
        <v>12</v>
      </c>
      <c r="B11989" s="0" t="n">
        <v>3358979</v>
      </c>
      <c r="C11989" s="0" t="n">
        <v>3358999</v>
      </c>
      <c r="D11989" s="0" t="s">
        <v>39975</v>
      </c>
      <c r="E11989" s="0" t="s">
        <v>89</v>
      </c>
      <c r="F11989" s="0" t="s">
        <v>15</v>
      </c>
      <c r="G11989" s="0" t="s">
        <v>26</v>
      </c>
      <c r="H11989" s="0" t="n">
        <v>46</v>
      </c>
      <c r="I11989" s="0" t="s">
        <v>39979</v>
      </c>
      <c r="J11989" s="0" t="s">
        <v>39980</v>
      </c>
      <c r="K11989" s="0" t="s">
        <v>39981</v>
      </c>
      <c r="L11989" s="0" t="str">
        <f aca="false">HYPERLINK("https://www.ncbi.nlm.nih.gov/nuccore/CP000304.1?report=graph&amp;tracks=[key:gene_model_track,Options:GeneOnly]&amp;mk=3358950:3358969|offset_16|444444,3358980:3358999|offset_46|00cc00,3359005:3359024|offset_71|444444,3359030:3359049|offset_96|444444&amp;v=3358749:3359249&amp;c=444444", "offset 46")</f>
        <v>offset 46</v>
      </c>
    </row>
    <row r="11990" customFormat="false" ht="12.8" hidden="false" customHeight="false" outlineLevel="0" collapsed="false">
      <c r="A11990" s="0" t="s">
        <v>12</v>
      </c>
      <c r="B11990" s="0" t="n">
        <v>3359004</v>
      </c>
      <c r="C11990" s="0" t="n">
        <v>3359024</v>
      </c>
      <c r="D11990" s="0" t="s">
        <v>39975</v>
      </c>
      <c r="E11990" s="0" t="s">
        <v>89</v>
      </c>
      <c r="F11990" s="0" t="s">
        <v>15</v>
      </c>
      <c r="G11990" s="0" t="s">
        <v>26</v>
      </c>
      <c r="H11990" s="0" t="n">
        <v>71</v>
      </c>
      <c r="I11990" s="0" t="s">
        <v>39982</v>
      </c>
      <c r="J11990" s="0" t="s">
        <v>39983</v>
      </c>
      <c r="K11990" s="0" t="s">
        <v>39984</v>
      </c>
      <c r="L11990" s="0" t="str">
        <f aca="false">HYPERLINK("https://www.ncbi.nlm.nih.gov/nuccore/CP000304.1?report=graph&amp;tracks=[key:gene_model_track,Options:GeneOnly]&amp;mk=3358950:3358969|offset_16|444444,3358980:3358999|offset_46|444444,3359005:3359024|offset_71|00cc00,3359030:3359049|offset_96|444444&amp;v=3358749:3359249&amp;c=444444", "offset 71")</f>
        <v>offset 71</v>
      </c>
    </row>
    <row r="11991" customFormat="false" ht="12.8" hidden="false" customHeight="false" outlineLevel="0" collapsed="false">
      <c r="A11991" s="0" t="s">
        <v>12</v>
      </c>
      <c r="B11991" s="0" t="n">
        <v>3359029</v>
      </c>
      <c r="C11991" s="0" t="n">
        <v>3359049</v>
      </c>
      <c r="D11991" s="0" t="s">
        <v>39975</v>
      </c>
      <c r="E11991" s="0" t="s">
        <v>89</v>
      </c>
      <c r="F11991" s="0" t="s">
        <v>15</v>
      </c>
      <c r="G11991" s="0" t="s">
        <v>32</v>
      </c>
      <c r="H11991" s="0" t="n">
        <v>96</v>
      </c>
      <c r="I11991" s="0" t="s">
        <v>39985</v>
      </c>
      <c r="J11991" s="0" t="s">
        <v>39986</v>
      </c>
      <c r="K11991" s="0" t="s">
        <v>39987</v>
      </c>
      <c r="L11991" s="0" t="str">
        <f aca="false">HYPERLINK("https://www.ncbi.nlm.nih.gov/nuccore/CP000304.1?report=graph&amp;tracks=[key:gene_model_track,Options:GeneOnly]&amp;mk=3358950:3358969|offset_16|444444,3358980:3358999|offset_46|444444,3359005:3359024|offset_71|444444,3359030:3359049|offset_96|00cc00&amp;v=3358749:3359249&amp;c=444444", "offset 96")</f>
        <v>offset 96</v>
      </c>
    </row>
    <row r="11992" customFormat="false" ht="12.8" hidden="false" customHeight="false" outlineLevel="0" collapsed="false">
      <c r="A11992" s="0" t="s">
        <v>12</v>
      </c>
      <c r="B11992" s="0" t="n">
        <v>3359772</v>
      </c>
      <c r="C11992" s="0" t="n">
        <v>3359792</v>
      </c>
      <c r="D11992" s="0" t="s">
        <v>39988</v>
      </c>
      <c r="E11992" s="0" t="s">
        <v>89</v>
      </c>
      <c r="F11992" s="0" t="s">
        <v>15</v>
      </c>
      <c r="G11992" s="0" t="s">
        <v>16</v>
      </c>
      <c r="H11992" s="0" t="n">
        <v>22</v>
      </c>
      <c r="I11992" s="0" t="s">
        <v>39989</v>
      </c>
      <c r="J11992" s="0" t="s">
        <v>39990</v>
      </c>
      <c r="K11992" s="0" t="s">
        <v>39991</v>
      </c>
      <c r="L11992" s="0" t="str">
        <f aca="false">HYPERLINK("https://www.ncbi.nlm.nih.gov/nuccore/CP000304.1?report=graph&amp;tracks=[key:gene_model_track,Options:GeneOnly]&amp;mk=3359773:3359792|offset_22|00cc00,3359795:3359814|offset_44|444444,3359822:3359841|offset_71|444444,3359843:3359862|offset_92|444444&amp;v=3359572:3360062&amp;c=444444", "offset 22")</f>
        <v>offset 22</v>
      </c>
    </row>
    <row r="11993" customFormat="false" ht="12.8" hidden="false" customHeight="false" outlineLevel="0" collapsed="false">
      <c r="A11993" s="0" t="s">
        <v>12</v>
      </c>
      <c r="B11993" s="0" t="n">
        <v>3359794</v>
      </c>
      <c r="C11993" s="0" t="n">
        <v>3359814</v>
      </c>
      <c r="D11993" s="0" t="s">
        <v>39988</v>
      </c>
      <c r="E11993" s="0" t="s">
        <v>89</v>
      </c>
      <c r="F11993" s="0" t="s">
        <v>15</v>
      </c>
      <c r="G11993" s="0" t="s">
        <v>32</v>
      </c>
      <c r="H11993" s="0" t="n">
        <v>44</v>
      </c>
      <c r="I11993" s="0" t="s">
        <v>39992</v>
      </c>
      <c r="J11993" s="0" t="s">
        <v>39993</v>
      </c>
      <c r="K11993" s="0" t="s">
        <v>39994</v>
      </c>
      <c r="L11993" s="0" t="str">
        <f aca="false">HYPERLINK("https://www.ncbi.nlm.nih.gov/nuccore/CP000304.1?report=graph&amp;tracks=[key:gene_model_track,Options:GeneOnly]&amp;mk=3359773:3359792|offset_22|444444,3359795:3359814|offset_44|00cc00,3359822:3359841|offset_71|444444,3359843:3359862|offset_92|444444&amp;v=3359572:3360062&amp;c=444444", "offset 44")</f>
        <v>offset 44</v>
      </c>
    </row>
    <row r="11994" customFormat="false" ht="12.8" hidden="false" customHeight="false" outlineLevel="0" collapsed="false">
      <c r="A11994" s="0" t="s">
        <v>12</v>
      </c>
      <c r="B11994" s="0" t="n">
        <v>3359821</v>
      </c>
      <c r="C11994" s="0" t="n">
        <v>3359841</v>
      </c>
      <c r="D11994" s="0" t="s">
        <v>39988</v>
      </c>
      <c r="E11994" s="0" t="s">
        <v>89</v>
      </c>
      <c r="F11994" s="0" t="s">
        <v>15</v>
      </c>
      <c r="G11994" s="0" t="s">
        <v>36</v>
      </c>
      <c r="H11994" s="0" t="n">
        <v>71</v>
      </c>
      <c r="I11994" s="0" t="s">
        <v>39995</v>
      </c>
      <c r="J11994" s="0" t="s">
        <v>39996</v>
      </c>
      <c r="K11994" s="0" t="s">
        <v>39997</v>
      </c>
      <c r="L11994" s="0" t="str">
        <f aca="false">HYPERLINK("https://www.ncbi.nlm.nih.gov/nuccore/CP000304.1?report=graph&amp;tracks=[key:gene_model_track,Options:GeneOnly]&amp;mk=3359773:3359792|offset_22|444444,3359795:3359814|offset_44|444444,3359822:3359841|offset_71|00cc00,3359843:3359862|offset_92|444444&amp;v=3359572:3360062&amp;c=444444", "offset 71")</f>
        <v>offset 71</v>
      </c>
    </row>
    <row r="11995" customFormat="false" ht="12.8" hidden="false" customHeight="false" outlineLevel="0" collapsed="false">
      <c r="A11995" s="0" t="s">
        <v>12</v>
      </c>
      <c r="B11995" s="0" t="n">
        <v>3359842</v>
      </c>
      <c r="C11995" s="0" t="n">
        <v>3359862</v>
      </c>
      <c r="D11995" s="0" t="s">
        <v>39988</v>
      </c>
      <c r="E11995" s="0" t="s">
        <v>89</v>
      </c>
      <c r="F11995" s="0" t="s">
        <v>15</v>
      </c>
      <c r="G11995" s="0" t="s">
        <v>26</v>
      </c>
      <c r="H11995" s="0" t="n">
        <v>92</v>
      </c>
      <c r="I11995" s="0" t="s">
        <v>39998</v>
      </c>
      <c r="J11995" s="0" t="s">
        <v>39999</v>
      </c>
      <c r="K11995" s="0" t="s">
        <v>40000</v>
      </c>
      <c r="L11995" s="0" t="str">
        <f aca="false">HYPERLINK("https://www.ncbi.nlm.nih.gov/nuccore/CP000304.1?report=graph&amp;tracks=[key:gene_model_track,Options:GeneOnly]&amp;mk=3359773:3359792|offset_22|444444,3359795:3359814|offset_44|444444,3359822:3359841|offset_71|444444,3359843:3359862|offset_92|00cc00&amp;v=3359572:3360062&amp;c=444444", "offset 92")</f>
        <v>offset 92</v>
      </c>
    </row>
    <row r="11996" customFormat="false" ht="12.8" hidden="false" customHeight="false" outlineLevel="0" collapsed="false">
      <c r="A11996" s="0" t="s">
        <v>12</v>
      </c>
      <c r="B11996" s="0" t="n">
        <v>3360071</v>
      </c>
      <c r="C11996" s="0" t="n">
        <v>3360091</v>
      </c>
      <c r="D11996" s="0" t="s">
        <v>40001</v>
      </c>
      <c r="E11996" s="0" t="s">
        <v>40002</v>
      </c>
      <c r="F11996" s="0" t="s">
        <v>15</v>
      </c>
      <c r="G11996" s="0" t="s">
        <v>32</v>
      </c>
      <c r="H11996" s="0" t="n">
        <v>13</v>
      </c>
      <c r="I11996" s="0" t="s">
        <v>40003</v>
      </c>
      <c r="J11996" s="0" t="s">
        <v>40004</v>
      </c>
      <c r="K11996" s="0" t="s">
        <v>40005</v>
      </c>
      <c r="L11996" s="0" t="str">
        <f aca="false">HYPERLINK("https://www.ncbi.nlm.nih.gov/nuccore/CP000304.1?report=graph&amp;tracks=[key:gene_model_track,Options:GeneOnly]&amp;mk=3360072:3360091|offset_13|00cc00,3360133:3360152|offset_74|444444,3360160:3360179|offset_101|444444,3360213:3360232|offset_154|444444&amp;v=3359871:3360432&amp;c=444444", "offset 13")</f>
        <v>offset 13</v>
      </c>
    </row>
    <row r="11997" customFormat="false" ht="12.8" hidden="false" customHeight="false" outlineLevel="0" collapsed="false">
      <c r="A11997" s="0" t="s">
        <v>12</v>
      </c>
      <c r="B11997" s="0" t="n">
        <v>3360132</v>
      </c>
      <c r="C11997" s="0" t="n">
        <v>3360152</v>
      </c>
      <c r="D11997" s="0" t="s">
        <v>40001</v>
      </c>
      <c r="E11997" s="0" t="s">
        <v>40002</v>
      </c>
      <c r="F11997" s="0" t="s">
        <v>15</v>
      </c>
      <c r="G11997" s="0" t="s">
        <v>36</v>
      </c>
      <c r="H11997" s="0" t="n">
        <v>74</v>
      </c>
      <c r="I11997" s="0" t="s">
        <v>40006</v>
      </c>
      <c r="J11997" s="0" t="s">
        <v>40007</v>
      </c>
      <c r="K11997" s="0" t="s">
        <v>40008</v>
      </c>
      <c r="L11997" s="0" t="str">
        <f aca="false">HYPERLINK("https://www.ncbi.nlm.nih.gov/nuccore/CP000304.1?report=graph&amp;tracks=[key:gene_model_track,Options:GeneOnly]&amp;mk=3360072:3360091|offset_13|444444,3360133:3360152|offset_74|00cc00,3360160:3360179|offset_101|444444,3360213:3360232|offset_154|444444&amp;v=3359871:3360432&amp;c=444444", "offset 74")</f>
        <v>offset 74</v>
      </c>
    </row>
    <row r="11998" customFormat="false" ht="12.8" hidden="false" customHeight="false" outlineLevel="0" collapsed="false">
      <c r="A11998" s="0" t="s">
        <v>12</v>
      </c>
      <c r="B11998" s="0" t="n">
        <v>3360159</v>
      </c>
      <c r="C11998" s="0" t="n">
        <v>3360179</v>
      </c>
      <c r="D11998" s="0" t="s">
        <v>40001</v>
      </c>
      <c r="E11998" s="0" t="s">
        <v>40002</v>
      </c>
      <c r="F11998" s="0" t="s">
        <v>15</v>
      </c>
      <c r="G11998" s="0" t="s">
        <v>16</v>
      </c>
      <c r="H11998" s="0" t="n">
        <v>101</v>
      </c>
      <c r="I11998" s="0" t="s">
        <v>40009</v>
      </c>
      <c r="J11998" s="0" t="s">
        <v>40010</v>
      </c>
      <c r="K11998" s="0" t="s">
        <v>40011</v>
      </c>
      <c r="L11998" s="0" t="str">
        <f aca="false">HYPERLINK("https://www.ncbi.nlm.nih.gov/nuccore/CP000304.1?report=graph&amp;tracks=[key:gene_model_track,Options:GeneOnly]&amp;mk=3360072:3360091|offset_13|444444,3360133:3360152|offset_74|444444,3360160:3360179|offset_101|00cc00,3360213:3360232|offset_154|444444&amp;v=3359871:3360432&amp;c=444444", "offset 101")</f>
        <v>offset 101</v>
      </c>
    </row>
    <row r="11999" customFormat="false" ht="12.8" hidden="false" customHeight="false" outlineLevel="0" collapsed="false">
      <c r="A11999" s="0" t="s">
        <v>12</v>
      </c>
      <c r="B11999" s="0" t="n">
        <v>3360212</v>
      </c>
      <c r="C11999" s="0" t="n">
        <v>3360232</v>
      </c>
      <c r="D11999" s="0" t="s">
        <v>40001</v>
      </c>
      <c r="E11999" s="0" t="s">
        <v>40002</v>
      </c>
      <c r="F11999" s="0" t="s">
        <v>15</v>
      </c>
      <c r="G11999" s="0" t="s">
        <v>36</v>
      </c>
      <c r="H11999" s="0" t="n">
        <v>154</v>
      </c>
      <c r="I11999" s="0" t="s">
        <v>40012</v>
      </c>
      <c r="J11999" s="0" t="s">
        <v>40013</v>
      </c>
      <c r="K11999" s="0" t="s">
        <v>40014</v>
      </c>
      <c r="L11999" s="0" t="str">
        <f aca="false">HYPERLINK("https://www.ncbi.nlm.nih.gov/nuccore/CP000304.1?report=graph&amp;tracks=[key:gene_model_track,Options:GeneOnly]&amp;mk=3360072:3360091|offset_13|444444,3360133:3360152|offset_74|444444,3360160:3360179|offset_101|444444,3360213:3360232|offset_154|00cc00&amp;v=3359871:3360432&amp;c=444444", "offset 154")</f>
        <v>offset 154</v>
      </c>
    </row>
    <row r="12000" customFormat="false" ht="12.8" hidden="false" customHeight="false" outlineLevel="0" collapsed="false">
      <c r="A12000" s="0" t="s">
        <v>12</v>
      </c>
      <c r="B12000" s="0" t="n">
        <v>3361421</v>
      </c>
      <c r="C12000" s="0" t="n">
        <v>3361441</v>
      </c>
      <c r="D12000" s="0" t="s">
        <v>40015</v>
      </c>
      <c r="E12000" s="0" t="s">
        <v>89</v>
      </c>
      <c r="F12000" s="0" t="s">
        <v>15</v>
      </c>
      <c r="G12000" s="0" t="s">
        <v>16</v>
      </c>
      <c r="H12000" s="0" t="n">
        <v>6</v>
      </c>
      <c r="I12000" s="0" t="s">
        <v>40016</v>
      </c>
      <c r="J12000" s="0" t="s">
        <v>40017</v>
      </c>
      <c r="K12000" s="0" t="s">
        <v>40018</v>
      </c>
      <c r="L12000" s="0" t="str">
        <f aca="false">HYPERLINK("https://www.ncbi.nlm.nih.gov/nuccore/CP000304.1?report=graph&amp;tracks=[key:gene_model_track,Options:GeneOnly]&amp;mk=3361422:3361441|offset_6|00cc00,3361442:3361461|offset_26|444444,3361462:3361481|offset_46|444444,3361516:3361535|offset_100|444444&amp;v=3361221:3361735&amp;c=444444", "offset 6")</f>
        <v>offset 6</v>
      </c>
    </row>
    <row r="12001" customFormat="false" ht="12.8" hidden="false" customHeight="false" outlineLevel="0" collapsed="false">
      <c r="A12001" s="0" t="s">
        <v>12</v>
      </c>
      <c r="B12001" s="0" t="n">
        <v>3361441</v>
      </c>
      <c r="C12001" s="0" t="n">
        <v>3361461</v>
      </c>
      <c r="D12001" s="0" t="s">
        <v>40015</v>
      </c>
      <c r="E12001" s="0" t="s">
        <v>89</v>
      </c>
      <c r="F12001" s="0" t="s">
        <v>15</v>
      </c>
      <c r="G12001" s="0" t="s">
        <v>16</v>
      </c>
      <c r="H12001" s="0" t="n">
        <v>26</v>
      </c>
      <c r="I12001" s="0" t="s">
        <v>40019</v>
      </c>
      <c r="J12001" s="0" t="s">
        <v>40020</v>
      </c>
      <c r="K12001" s="0" t="s">
        <v>40021</v>
      </c>
      <c r="L12001" s="0" t="str">
        <f aca="false">HYPERLINK("https://www.ncbi.nlm.nih.gov/nuccore/CP000304.1?report=graph&amp;tracks=[key:gene_model_track,Options:GeneOnly]&amp;mk=3361422:3361441|offset_6|444444,3361442:3361461|offset_26|00cc00,3361462:3361481|offset_46|444444,3361516:3361535|offset_100|444444&amp;v=3361221:3361735&amp;c=444444", "offset 26")</f>
        <v>offset 26</v>
      </c>
    </row>
    <row r="12002" customFormat="false" ht="12.8" hidden="false" customHeight="false" outlineLevel="0" collapsed="false">
      <c r="A12002" s="0" t="s">
        <v>12</v>
      </c>
      <c r="B12002" s="0" t="n">
        <v>3361461</v>
      </c>
      <c r="C12002" s="0" t="n">
        <v>3361481</v>
      </c>
      <c r="D12002" s="0" t="s">
        <v>40015</v>
      </c>
      <c r="E12002" s="0" t="s">
        <v>89</v>
      </c>
      <c r="F12002" s="0" t="s">
        <v>15</v>
      </c>
      <c r="G12002" s="0" t="s">
        <v>32</v>
      </c>
      <c r="H12002" s="0" t="n">
        <v>46</v>
      </c>
      <c r="I12002" s="0" t="s">
        <v>40022</v>
      </c>
      <c r="J12002" s="0" t="s">
        <v>40023</v>
      </c>
      <c r="K12002" s="0" t="s">
        <v>40024</v>
      </c>
      <c r="L12002" s="0" t="str">
        <f aca="false">HYPERLINK("https://www.ncbi.nlm.nih.gov/nuccore/CP000304.1?report=graph&amp;tracks=[key:gene_model_track,Options:GeneOnly]&amp;mk=3361422:3361441|offset_6|444444,3361442:3361461|offset_26|444444,3361462:3361481|offset_46|00cc00,3361516:3361535|offset_100|444444&amp;v=3361221:3361735&amp;c=444444", "offset 46")</f>
        <v>offset 46</v>
      </c>
    </row>
    <row r="12003" customFormat="false" ht="12.8" hidden="false" customHeight="false" outlineLevel="0" collapsed="false">
      <c r="A12003" s="0" t="s">
        <v>12</v>
      </c>
      <c r="B12003" s="0" t="n">
        <v>3361515</v>
      </c>
      <c r="C12003" s="0" t="n">
        <v>3361535</v>
      </c>
      <c r="D12003" s="0" t="s">
        <v>40015</v>
      </c>
      <c r="E12003" s="0" t="s">
        <v>89</v>
      </c>
      <c r="F12003" s="0" t="s">
        <v>15</v>
      </c>
      <c r="G12003" s="0" t="s">
        <v>26</v>
      </c>
      <c r="H12003" s="0" t="n">
        <v>100</v>
      </c>
      <c r="I12003" s="0" t="s">
        <v>40025</v>
      </c>
      <c r="J12003" s="0" t="s">
        <v>40026</v>
      </c>
      <c r="K12003" s="0" t="s">
        <v>40027</v>
      </c>
      <c r="L12003" s="0" t="str">
        <f aca="false">HYPERLINK("https://www.ncbi.nlm.nih.gov/nuccore/CP000304.1?report=graph&amp;tracks=[key:gene_model_track,Options:GeneOnly]&amp;mk=3361422:3361441|offset_6|444444,3361442:3361461|offset_26|444444,3361462:3361481|offset_46|444444,3361516:3361535|offset_100|00cc00&amp;v=3361221:3361735&amp;c=444444", "offset 100")</f>
        <v>offset 100</v>
      </c>
    </row>
    <row r="12004" customFormat="false" ht="12.8" hidden="false" customHeight="false" outlineLevel="0" collapsed="false">
      <c r="A12004" s="0" t="s">
        <v>12</v>
      </c>
      <c r="B12004" s="0" t="n">
        <v>3361904</v>
      </c>
      <c r="C12004" s="0" t="n">
        <v>3361924</v>
      </c>
      <c r="D12004" s="0" t="s">
        <v>40028</v>
      </c>
      <c r="E12004" s="0" t="s">
        <v>89</v>
      </c>
      <c r="F12004" s="0" t="s">
        <v>15</v>
      </c>
      <c r="G12004" s="0" t="s">
        <v>26</v>
      </c>
      <c r="H12004" s="0" t="n">
        <v>18</v>
      </c>
      <c r="I12004" s="0" t="s">
        <v>40029</v>
      </c>
      <c r="J12004" s="0" t="s">
        <v>40030</v>
      </c>
      <c r="K12004" s="0" t="s">
        <v>40031</v>
      </c>
      <c r="L12004" s="0" t="str">
        <f aca="false">HYPERLINK("https://www.ncbi.nlm.nih.gov/nuccore/CP000304.1?report=graph&amp;tracks=[key:gene_model_track,Options:GeneOnly]&amp;mk=3361905:3361924|offset_18|00cc00,3361939:3361958|offset_52|444444,3361984:3362003|offset_97|444444,3362005:3362024|offset_118|444444&amp;v=3361704:3362224&amp;c=444444", "offset 18")</f>
        <v>offset 18</v>
      </c>
    </row>
    <row r="12005" customFormat="false" ht="12.8" hidden="false" customHeight="false" outlineLevel="0" collapsed="false">
      <c r="A12005" s="0" t="s">
        <v>12</v>
      </c>
      <c r="B12005" s="0" t="n">
        <v>3361938</v>
      </c>
      <c r="C12005" s="0" t="n">
        <v>3361958</v>
      </c>
      <c r="D12005" s="0" t="s">
        <v>40028</v>
      </c>
      <c r="E12005" s="0" t="s">
        <v>89</v>
      </c>
      <c r="F12005" s="0" t="s">
        <v>15</v>
      </c>
      <c r="G12005" s="0" t="s">
        <v>16</v>
      </c>
      <c r="H12005" s="0" t="n">
        <v>52</v>
      </c>
      <c r="I12005" s="0" t="s">
        <v>40032</v>
      </c>
      <c r="J12005" s="0" t="s">
        <v>40033</v>
      </c>
      <c r="K12005" s="0" t="s">
        <v>40034</v>
      </c>
      <c r="L12005" s="0" t="str">
        <f aca="false">HYPERLINK("https://www.ncbi.nlm.nih.gov/nuccore/CP000304.1?report=graph&amp;tracks=[key:gene_model_track,Options:GeneOnly]&amp;mk=3361905:3361924|offset_18|444444,3361939:3361958|offset_52|00cc00,3361984:3362003|offset_97|444444,3362005:3362024|offset_118|444444&amp;v=3361704:3362224&amp;c=444444", "offset 52")</f>
        <v>offset 52</v>
      </c>
    </row>
    <row r="12006" customFormat="false" ht="12.8" hidden="false" customHeight="false" outlineLevel="0" collapsed="false">
      <c r="A12006" s="0" t="s">
        <v>12</v>
      </c>
      <c r="B12006" s="0" t="n">
        <v>3361983</v>
      </c>
      <c r="C12006" s="0" t="n">
        <v>3362003</v>
      </c>
      <c r="D12006" s="0" t="s">
        <v>40028</v>
      </c>
      <c r="E12006" s="0" t="s">
        <v>89</v>
      </c>
      <c r="F12006" s="0" t="s">
        <v>15</v>
      </c>
      <c r="G12006" s="0" t="s">
        <v>32</v>
      </c>
      <c r="H12006" s="0" t="n">
        <v>97</v>
      </c>
      <c r="I12006" s="0" t="s">
        <v>40035</v>
      </c>
      <c r="J12006" s="0" t="s">
        <v>40036</v>
      </c>
      <c r="K12006" s="0" t="s">
        <v>40037</v>
      </c>
      <c r="L12006" s="0" t="str">
        <f aca="false">HYPERLINK("https://www.ncbi.nlm.nih.gov/nuccore/CP000304.1?report=graph&amp;tracks=[key:gene_model_track,Options:GeneOnly]&amp;mk=3361905:3361924|offset_18|444444,3361939:3361958|offset_52|444444,3361984:3362003|offset_97|00cc00,3362005:3362024|offset_118|444444&amp;v=3361704:3362224&amp;c=444444", "offset 97")</f>
        <v>offset 97</v>
      </c>
    </row>
    <row r="12007" customFormat="false" ht="12.8" hidden="false" customHeight="false" outlineLevel="0" collapsed="false">
      <c r="A12007" s="0" t="s">
        <v>12</v>
      </c>
      <c r="B12007" s="0" t="n">
        <v>3362004</v>
      </c>
      <c r="C12007" s="0" t="n">
        <v>3362024</v>
      </c>
      <c r="D12007" s="0" t="s">
        <v>40028</v>
      </c>
      <c r="E12007" s="0" t="s">
        <v>89</v>
      </c>
      <c r="F12007" s="0" t="s">
        <v>15</v>
      </c>
      <c r="G12007" s="0" t="s">
        <v>16</v>
      </c>
      <c r="H12007" s="0" t="n">
        <v>118</v>
      </c>
      <c r="I12007" s="0" t="s">
        <v>40038</v>
      </c>
      <c r="J12007" s="0" t="s">
        <v>40039</v>
      </c>
      <c r="K12007" s="0" t="s">
        <v>40040</v>
      </c>
      <c r="L12007" s="0" t="str">
        <f aca="false">HYPERLINK("https://www.ncbi.nlm.nih.gov/nuccore/CP000304.1?report=graph&amp;tracks=[key:gene_model_track,Options:GeneOnly]&amp;mk=3361905:3361924|offset_18|444444,3361939:3361958|offset_52|444444,3361984:3362003|offset_97|444444,3362005:3362024|offset_118|00cc00&amp;v=3361704:3362224&amp;c=444444", "offset 118")</f>
        <v>offset 118</v>
      </c>
    </row>
    <row r="12008" customFormat="false" ht="12.8" hidden="false" customHeight="false" outlineLevel="0" collapsed="false">
      <c r="A12008" s="0" t="s">
        <v>12</v>
      </c>
      <c r="B12008" s="0" t="n">
        <v>3362247</v>
      </c>
      <c r="C12008" s="0" t="n">
        <v>3362267</v>
      </c>
      <c r="D12008" s="0" t="s">
        <v>40041</v>
      </c>
      <c r="E12008" s="0" t="s">
        <v>89</v>
      </c>
      <c r="F12008" s="0" t="s">
        <v>15</v>
      </c>
      <c r="G12008" s="0" t="s">
        <v>32</v>
      </c>
      <c r="H12008" s="0" t="n">
        <v>61</v>
      </c>
      <c r="I12008" s="0" t="s">
        <v>40042</v>
      </c>
      <c r="J12008" s="0" t="s">
        <v>40043</v>
      </c>
      <c r="K12008" s="0" t="s">
        <v>40044</v>
      </c>
      <c r="L12008" s="0" t="str">
        <f aca="false">HYPERLINK("https://www.ncbi.nlm.nih.gov/nuccore/CP000304.1?report=graph&amp;tracks=[key:gene_model_track,Options:GeneOnly]&amp;mk=3362248:3362267|offset_61|00cc00,3362270:3362289|offset_83|444444,3362300:3362319|offset_113|444444&amp;v=3362047:3362519&amp;c=444444", "offset 61")</f>
        <v>offset 61</v>
      </c>
    </row>
    <row r="12009" customFormat="false" ht="12.8" hidden="false" customHeight="false" outlineLevel="0" collapsed="false">
      <c r="A12009" s="0" t="s">
        <v>12</v>
      </c>
      <c r="B12009" s="0" t="n">
        <v>3362269</v>
      </c>
      <c r="C12009" s="0" t="n">
        <v>3362289</v>
      </c>
      <c r="D12009" s="0" t="s">
        <v>40041</v>
      </c>
      <c r="E12009" s="0" t="s">
        <v>89</v>
      </c>
      <c r="F12009" s="0" t="s">
        <v>15</v>
      </c>
      <c r="G12009" s="0" t="s">
        <v>16</v>
      </c>
      <c r="H12009" s="0" t="n">
        <v>83</v>
      </c>
      <c r="I12009" s="0" t="s">
        <v>40045</v>
      </c>
      <c r="J12009" s="0" t="s">
        <v>40046</v>
      </c>
      <c r="K12009" s="0" t="s">
        <v>40047</v>
      </c>
      <c r="L12009" s="0" t="str">
        <f aca="false">HYPERLINK("https://www.ncbi.nlm.nih.gov/nuccore/CP000304.1?report=graph&amp;tracks=[key:gene_model_track,Options:GeneOnly]&amp;mk=3362248:3362267|offset_61|444444,3362270:3362289|offset_83|00cc00,3362300:3362319|offset_113|444444&amp;v=3362047:3362519&amp;c=444444", "offset 83")</f>
        <v>offset 83</v>
      </c>
    </row>
    <row r="12010" customFormat="false" ht="12.8" hidden="false" customHeight="false" outlineLevel="0" collapsed="false">
      <c r="A12010" s="0" t="s">
        <v>12</v>
      </c>
      <c r="B12010" s="0" t="n">
        <v>3362299</v>
      </c>
      <c r="C12010" s="0" t="n">
        <v>3362319</v>
      </c>
      <c r="D12010" s="0" t="s">
        <v>40041</v>
      </c>
      <c r="E12010" s="0" t="s">
        <v>89</v>
      </c>
      <c r="F12010" s="0" t="s">
        <v>15</v>
      </c>
      <c r="G12010" s="0" t="s">
        <v>16</v>
      </c>
      <c r="H12010" s="0" t="n">
        <v>113</v>
      </c>
      <c r="I12010" s="0" t="s">
        <v>40048</v>
      </c>
      <c r="J12010" s="0" t="s">
        <v>40049</v>
      </c>
      <c r="K12010" s="0" t="s">
        <v>40050</v>
      </c>
      <c r="L12010" s="0" t="str">
        <f aca="false">HYPERLINK("https://www.ncbi.nlm.nih.gov/nuccore/CP000304.1?report=graph&amp;tracks=[key:gene_model_track,Options:GeneOnly]&amp;mk=3362248:3362267|offset_61|444444,3362270:3362289|offset_83|444444,3362300:3362319|offset_113|00cc00&amp;v=3362047:3362519&amp;c=444444", "offset 113")</f>
        <v>offset 113</v>
      </c>
    </row>
    <row r="12011" customFormat="false" ht="12.8" hidden="false" customHeight="false" outlineLevel="0" collapsed="false">
      <c r="A12011" s="0" t="s">
        <v>12</v>
      </c>
      <c r="B12011" s="0" t="n">
        <v>3362461</v>
      </c>
      <c r="C12011" s="0" t="n">
        <v>3362481</v>
      </c>
      <c r="D12011" s="0" t="s">
        <v>40051</v>
      </c>
      <c r="E12011" s="0" t="s">
        <v>40052</v>
      </c>
      <c r="F12011" s="0" t="s">
        <v>15</v>
      </c>
      <c r="G12011" s="0" t="s">
        <v>16</v>
      </c>
      <c r="H12011" s="0" t="n">
        <v>0</v>
      </c>
      <c r="I12011" s="0" t="s">
        <v>40053</v>
      </c>
      <c r="J12011" s="0" t="s">
        <v>40054</v>
      </c>
      <c r="K12011" s="0" t="s">
        <v>40055</v>
      </c>
      <c r="L12011" s="0" t="str">
        <f aca="false">HYPERLINK("https://www.ncbi.nlm.nih.gov/nuccore/CP000304.1?report=graph&amp;tracks=[key:gene_model_track,Options:GeneOnly]&amp;mk=3362462:3362481|offset_0|00cc00,3362500:3362519|offset_38|444444,3362529:3362548|offset_67|444444,3362557:3362576|offset_95|444444&amp;v=3362261:3362776&amp;c=444444", "offset 0")</f>
        <v>offset 0</v>
      </c>
    </row>
    <row r="12012" customFormat="false" ht="12.8" hidden="false" customHeight="false" outlineLevel="0" collapsed="false">
      <c r="A12012" s="0" t="s">
        <v>12</v>
      </c>
      <c r="B12012" s="0" t="n">
        <v>3362499</v>
      </c>
      <c r="C12012" s="0" t="n">
        <v>3362519</v>
      </c>
      <c r="D12012" s="0" t="s">
        <v>40051</v>
      </c>
      <c r="E12012" s="0" t="s">
        <v>40052</v>
      </c>
      <c r="F12012" s="0" t="s">
        <v>15</v>
      </c>
      <c r="G12012" s="0" t="s">
        <v>26</v>
      </c>
      <c r="H12012" s="0" t="n">
        <v>38</v>
      </c>
      <c r="I12012" s="0" t="s">
        <v>40056</v>
      </c>
      <c r="J12012" s="0" t="s">
        <v>40057</v>
      </c>
      <c r="K12012" s="0" t="s">
        <v>40058</v>
      </c>
      <c r="L12012" s="0" t="str">
        <f aca="false">HYPERLINK("https://www.ncbi.nlm.nih.gov/nuccore/CP000304.1?report=graph&amp;tracks=[key:gene_model_track,Options:GeneOnly]&amp;mk=3362462:3362481|offset_0|444444,3362500:3362519|offset_38|00cc00,3362529:3362548|offset_67|444444,3362557:3362576|offset_95|444444&amp;v=3362261:3362776&amp;c=444444", "offset 38")</f>
        <v>offset 38</v>
      </c>
    </row>
    <row r="12013" customFormat="false" ht="12.8" hidden="false" customHeight="false" outlineLevel="0" collapsed="false">
      <c r="A12013" s="0" t="s">
        <v>12</v>
      </c>
      <c r="B12013" s="0" t="n">
        <v>3362528</v>
      </c>
      <c r="C12013" s="0" t="n">
        <v>3362548</v>
      </c>
      <c r="D12013" s="0" t="s">
        <v>40051</v>
      </c>
      <c r="E12013" s="0" t="s">
        <v>40052</v>
      </c>
      <c r="F12013" s="0" t="s">
        <v>15</v>
      </c>
      <c r="G12013" s="0" t="s">
        <v>32</v>
      </c>
      <c r="H12013" s="0" t="n">
        <v>67</v>
      </c>
      <c r="I12013" s="0" t="s">
        <v>40059</v>
      </c>
      <c r="J12013" s="0" t="s">
        <v>40060</v>
      </c>
      <c r="K12013" s="0" t="s">
        <v>40061</v>
      </c>
      <c r="L12013" s="0" t="str">
        <f aca="false">HYPERLINK("https://www.ncbi.nlm.nih.gov/nuccore/CP000304.1?report=graph&amp;tracks=[key:gene_model_track,Options:GeneOnly]&amp;mk=3362462:3362481|offset_0|444444,3362500:3362519|offset_38|444444,3362529:3362548|offset_67|00cc00,3362557:3362576|offset_95|444444&amp;v=3362261:3362776&amp;c=444444", "offset 67")</f>
        <v>offset 67</v>
      </c>
    </row>
    <row r="12014" customFormat="false" ht="12.8" hidden="false" customHeight="false" outlineLevel="0" collapsed="false">
      <c r="A12014" s="0" t="s">
        <v>12</v>
      </c>
      <c r="B12014" s="0" t="n">
        <v>3362556</v>
      </c>
      <c r="C12014" s="0" t="n">
        <v>3362576</v>
      </c>
      <c r="D12014" s="0" t="s">
        <v>40051</v>
      </c>
      <c r="E12014" s="0" t="s">
        <v>40052</v>
      </c>
      <c r="F12014" s="0" t="s">
        <v>15</v>
      </c>
      <c r="G12014" s="0" t="s">
        <v>36</v>
      </c>
      <c r="H12014" s="0" t="n">
        <v>95</v>
      </c>
      <c r="I12014" s="0" t="s">
        <v>40062</v>
      </c>
      <c r="J12014" s="0" t="s">
        <v>40063</v>
      </c>
      <c r="K12014" s="0" t="s">
        <v>40064</v>
      </c>
      <c r="L12014" s="0" t="str">
        <f aca="false">HYPERLINK("https://www.ncbi.nlm.nih.gov/nuccore/CP000304.1?report=graph&amp;tracks=[key:gene_model_track,Options:GeneOnly]&amp;mk=3362462:3362481|offset_0|444444,3362500:3362519|offset_38|444444,3362529:3362548|offset_67|444444,3362557:3362576|offset_95|00cc00&amp;v=3362261:3362776&amp;c=444444", "offset 95")</f>
        <v>offset 95</v>
      </c>
    </row>
    <row r="12015" customFormat="false" ht="12.8" hidden="false" customHeight="false" outlineLevel="0" collapsed="false">
      <c r="A12015" s="0" t="s">
        <v>12</v>
      </c>
      <c r="B12015" s="0" t="n">
        <v>3364860</v>
      </c>
      <c r="C12015" s="0" t="n">
        <v>3364880</v>
      </c>
      <c r="D12015" s="0" t="s">
        <v>40065</v>
      </c>
      <c r="E12015" s="0" t="s">
        <v>89</v>
      </c>
      <c r="F12015" s="0" t="s">
        <v>90</v>
      </c>
      <c r="G12015" s="0" t="s">
        <v>32</v>
      </c>
      <c r="H12015" s="0" t="n">
        <v>6</v>
      </c>
      <c r="I12015" s="0" t="s">
        <v>40066</v>
      </c>
      <c r="J12015" s="0" t="s">
        <v>40067</v>
      </c>
      <c r="K12015" s="0" t="s">
        <v>40068</v>
      </c>
      <c r="L12015" s="0" t="str">
        <f aca="false">HYPERLINK("https://www.ncbi.nlm.nih.gov/nuccore/CP000304.1?report=graph&amp;tracks=[key:gene_model_track,Options:GeneOnly]&amp;mk=3364861:3364880|offset_6|00cc00,3364835:3364854|offset_32|444444,3364815:3364834|offset_52|444444,3364787:3364806|offset_80|444444&amp;v=3364660:3365006&amp;c=444444", "offset 6")</f>
        <v>offset 6</v>
      </c>
    </row>
    <row r="12016" customFormat="false" ht="12.8" hidden="false" customHeight="false" outlineLevel="0" collapsed="false">
      <c r="A12016" s="0" t="s">
        <v>12</v>
      </c>
      <c r="B12016" s="0" t="n">
        <v>3364834</v>
      </c>
      <c r="C12016" s="0" t="n">
        <v>3364854</v>
      </c>
      <c r="D12016" s="0" t="s">
        <v>40065</v>
      </c>
      <c r="E12016" s="0" t="s">
        <v>89</v>
      </c>
      <c r="F12016" s="0" t="s">
        <v>90</v>
      </c>
      <c r="G12016" s="0" t="s">
        <v>16</v>
      </c>
      <c r="H12016" s="0" t="n">
        <v>32</v>
      </c>
      <c r="I12016" s="0" t="s">
        <v>40069</v>
      </c>
      <c r="J12016" s="0" t="s">
        <v>40070</v>
      </c>
      <c r="K12016" s="0" t="s">
        <v>40071</v>
      </c>
      <c r="L12016" s="0" t="str">
        <f aca="false">HYPERLINK("https://www.ncbi.nlm.nih.gov/nuccore/CP000304.1?report=graph&amp;tracks=[key:gene_model_track,Options:GeneOnly]&amp;mk=3364861:3364880|offset_6|444444,3364835:3364854|offset_32|00cc00,3364815:3364834|offset_52|444444,3364787:3364806|offset_80|444444&amp;v=3364660:3365006&amp;c=444444", "offset 32")</f>
        <v>offset 32</v>
      </c>
    </row>
    <row r="12017" customFormat="false" ht="12.8" hidden="false" customHeight="false" outlineLevel="0" collapsed="false">
      <c r="A12017" s="0" t="s">
        <v>12</v>
      </c>
      <c r="B12017" s="0" t="n">
        <v>3364814</v>
      </c>
      <c r="C12017" s="0" t="n">
        <v>3364834</v>
      </c>
      <c r="D12017" s="0" t="s">
        <v>40065</v>
      </c>
      <c r="E12017" s="0" t="s">
        <v>89</v>
      </c>
      <c r="F12017" s="0" t="s">
        <v>90</v>
      </c>
      <c r="G12017" s="0" t="s">
        <v>32</v>
      </c>
      <c r="H12017" s="0" t="n">
        <v>52</v>
      </c>
      <c r="I12017" s="0" t="s">
        <v>40072</v>
      </c>
      <c r="J12017" s="0" t="s">
        <v>40073</v>
      </c>
      <c r="K12017" s="0" t="s">
        <v>40074</v>
      </c>
      <c r="L12017" s="0" t="str">
        <f aca="false">HYPERLINK("https://www.ncbi.nlm.nih.gov/nuccore/CP000304.1?report=graph&amp;tracks=[key:gene_model_track,Options:GeneOnly]&amp;mk=3364861:3364880|offset_6|444444,3364835:3364854|offset_32|444444,3364815:3364834|offset_52|00cc00,3364787:3364806|offset_80|444444&amp;v=3364660:3365006&amp;c=444444", "offset 52")</f>
        <v>offset 52</v>
      </c>
    </row>
    <row r="12018" customFormat="false" ht="12.8" hidden="false" customHeight="false" outlineLevel="0" collapsed="false">
      <c r="A12018" s="0" t="s">
        <v>12</v>
      </c>
      <c r="B12018" s="0" t="n">
        <v>3364786</v>
      </c>
      <c r="C12018" s="0" t="n">
        <v>3364806</v>
      </c>
      <c r="D12018" s="0" t="s">
        <v>40065</v>
      </c>
      <c r="E12018" s="0" t="s">
        <v>89</v>
      </c>
      <c r="F12018" s="0" t="s">
        <v>90</v>
      </c>
      <c r="G12018" s="0" t="s">
        <v>32</v>
      </c>
      <c r="H12018" s="0" t="n">
        <v>80</v>
      </c>
      <c r="I12018" s="0" t="s">
        <v>40075</v>
      </c>
      <c r="J12018" s="0" t="s">
        <v>40076</v>
      </c>
      <c r="K12018" s="0" t="s">
        <v>40077</v>
      </c>
      <c r="L12018" s="0" t="str">
        <f aca="false">HYPERLINK("https://www.ncbi.nlm.nih.gov/nuccore/CP000304.1?report=graph&amp;tracks=[key:gene_model_track,Options:GeneOnly]&amp;mk=3364861:3364880|offset_6|444444,3364835:3364854|offset_32|444444,3364815:3364834|offset_52|444444,3364787:3364806|offset_80|00cc00&amp;v=3364660:3365006&amp;c=444444", "offset 80")</f>
        <v>offset 80</v>
      </c>
    </row>
    <row r="12019" customFormat="false" ht="12.8" hidden="false" customHeight="false" outlineLevel="0" collapsed="false">
      <c r="A12019" s="0" t="s">
        <v>12</v>
      </c>
      <c r="B12019" s="0" t="n">
        <v>3365242</v>
      </c>
      <c r="C12019" s="0" t="n">
        <v>3365262</v>
      </c>
      <c r="D12019" s="0" t="s">
        <v>40078</v>
      </c>
      <c r="E12019" s="0" t="s">
        <v>89</v>
      </c>
      <c r="F12019" s="0" t="s">
        <v>15</v>
      </c>
      <c r="G12019" s="0" t="s">
        <v>36</v>
      </c>
      <c r="H12019" s="0" t="n">
        <v>0</v>
      </c>
      <c r="I12019" s="0" t="s">
        <v>40079</v>
      </c>
      <c r="J12019" s="0" t="s">
        <v>40080</v>
      </c>
      <c r="K12019" s="0" t="s">
        <v>40081</v>
      </c>
      <c r="L12019" s="0" t="str">
        <f aca="false">HYPERLINK("https://www.ncbi.nlm.nih.gov/nuccore/CP000304.1?report=graph&amp;tracks=[key:gene_model_track,Options:GeneOnly]&amp;mk=3365243:3365262|offset_0|00cc00,3365264:3365283|offset_21|444444,3365289:3365308|offset_46|444444,3365313:3365332|offset_70|444444&amp;v=3365042:3365532&amp;c=444444", "offset 0")</f>
        <v>offset 0</v>
      </c>
    </row>
    <row r="12020" customFormat="false" ht="12.8" hidden="false" customHeight="false" outlineLevel="0" collapsed="false">
      <c r="A12020" s="0" t="s">
        <v>12</v>
      </c>
      <c r="B12020" s="0" t="n">
        <v>3365263</v>
      </c>
      <c r="C12020" s="0" t="n">
        <v>3365283</v>
      </c>
      <c r="D12020" s="0" t="s">
        <v>40078</v>
      </c>
      <c r="E12020" s="0" t="s">
        <v>89</v>
      </c>
      <c r="F12020" s="0" t="s">
        <v>15</v>
      </c>
      <c r="G12020" s="0" t="s">
        <v>16</v>
      </c>
      <c r="H12020" s="0" t="n">
        <v>21</v>
      </c>
      <c r="I12020" s="0" t="s">
        <v>40082</v>
      </c>
      <c r="J12020" s="0" t="s">
        <v>40083</v>
      </c>
      <c r="K12020" s="0" t="s">
        <v>40084</v>
      </c>
      <c r="L12020" s="0" t="str">
        <f aca="false">HYPERLINK("https://www.ncbi.nlm.nih.gov/nuccore/CP000304.1?report=graph&amp;tracks=[key:gene_model_track,Options:GeneOnly]&amp;mk=3365243:3365262|offset_0|444444,3365264:3365283|offset_21|00cc00,3365289:3365308|offset_46|444444,3365313:3365332|offset_70|444444&amp;v=3365042:3365532&amp;c=444444", "offset 21")</f>
        <v>offset 21</v>
      </c>
    </row>
    <row r="12021" customFormat="false" ht="12.8" hidden="false" customHeight="false" outlineLevel="0" collapsed="false">
      <c r="A12021" s="0" t="s">
        <v>12</v>
      </c>
      <c r="B12021" s="0" t="n">
        <v>3365288</v>
      </c>
      <c r="C12021" s="0" t="n">
        <v>3365308</v>
      </c>
      <c r="D12021" s="0" t="s">
        <v>40078</v>
      </c>
      <c r="E12021" s="0" t="s">
        <v>89</v>
      </c>
      <c r="F12021" s="0" t="s">
        <v>15</v>
      </c>
      <c r="G12021" s="0" t="s">
        <v>26</v>
      </c>
      <c r="H12021" s="0" t="n">
        <v>46</v>
      </c>
      <c r="I12021" s="0" t="s">
        <v>40085</v>
      </c>
      <c r="J12021" s="0" t="s">
        <v>40086</v>
      </c>
      <c r="K12021" s="0" t="s">
        <v>40087</v>
      </c>
      <c r="L12021" s="0" t="str">
        <f aca="false">HYPERLINK("https://www.ncbi.nlm.nih.gov/nuccore/CP000304.1?report=graph&amp;tracks=[key:gene_model_track,Options:GeneOnly]&amp;mk=3365243:3365262|offset_0|444444,3365264:3365283|offset_21|444444,3365289:3365308|offset_46|00cc00,3365313:3365332|offset_70|444444&amp;v=3365042:3365532&amp;c=444444", "offset 46")</f>
        <v>offset 46</v>
      </c>
    </row>
    <row r="12022" customFormat="false" ht="12.8" hidden="false" customHeight="false" outlineLevel="0" collapsed="false">
      <c r="A12022" s="0" t="s">
        <v>12</v>
      </c>
      <c r="B12022" s="0" t="n">
        <v>3365312</v>
      </c>
      <c r="C12022" s="0" t="n">
        <v>3365332</v>
      </c>
      <c r="D12022" s="0" t="s">
        <v>40078</v>
      </c>
      <c r="E12022" s="0" t="s">
        <v>89</v>
      </c>
      <c r="F12022" s="0" t="s">
        <v>15</v>
      </c>
      <c r="G12022" s="0" t="s">
        <v>16</v>
      </c>
      <c r="H12022" s="0" t="n">
        <v>70</v>
      </c>
      <c r="I12022" s="0" t="s">
        <v>40088</v>
      </c>
      <c r="J12022" s="0" t="s">
        <v>40089</v>
      </c>
      <c r="K12022" s="0" t="s">
        <v>40090</v>
      </c>
      <c r="L12022" s="0" t="str">
        <f aca="false">HYPERLINK("https://www.ncbi.nlm.nih.gov/nuccore/CP000304.1?report=graph&amp;tracks=[key:gene_model_track,Options:GeneOnly]&amp;mk=3365243:3365262|offset_0|444444,3365264:3365283|offset_21|444444,3365289:3365308|offset_46|444444,3365313:3365332|offset_70|00cc00&amp;v=3365042:3365532&amp;c=444444", "offset 70")</f>
        <v>offset 70</v>
      </c>
    </row>
    <row r="12023" customFormat="false" ht="12.8" hidden="false" customHeight="false" outlineLevel="0" collapsed="false">
      <c r="A12023" s="0" t="s">
        <v>12</v>
      </c>
      <c r="B12023" s="0" t="n">
        <v>3368090</v>
      </c>
      <c r="C12023" s="0" t="n">
        <v>3368110</v>
      </c>
      <c r="D12023" s="0" t="s">
        <v>40091</v>
      </c>
      <c r="E12023" s="0" t="s">
        <v>89</v>
      </c>
      <c r="F12023" s="0" t="s">
        <v>90</v>
      </c>
      <c r="G12023" s="0" t="s">
        <v>36</v>
      </c>
      <c r="H12023" s="0" t="n">
        <v>0</v>
      </c>
      <c r="I12023" s="0" t="s">
        <v>40092</v>
      </c>
      <c r="J12023" s="0" t="s">
        <v>40093</v>
      </c>
      <c r="K12023" s="0" t="s">
        <v>40094</v>
      </c>
      <c r="L12023" s="0" t="str">
        <f aca="false">HYPERLINK("https://www.ncbi.nlm.nih.gov/nuccore/CP000304.1?report=graph&amp;tracks=[key:gene_model_track,Options:GeneOnly]&amp;mk=3368091:3368110|offset_0|00cc00,3368053:3368072|offset_38|444444,3368029:3368048|offset_62|444444,3368007:3368026|offset_84|444444&amp;v=3367890:3368226&amp;c=444444", "offset 0")</f>
        <v>offset 0</v>
      </c>
    </row>
    <row r="12024" customFormat="false" ht="12.8" hidden="false" customHeight="false" outlineLevel="0" collapsed="false">
      <c r="A12024" s="0" t="s">
        <v>12</v>
      </c>
      <c r="B12024" s="0" t="n">
        <v>3368052</v>
      </c>
      <c r="C12024" s="0" t="n">
        <v>3368072</v>
      </c>
      <c r="D12024" s="0" t="s">
        <v>40091</v>
      </c>
      <c r="E12024" s="0" t="s">
        <v>89</v>
      </c>
      <c r="F12024" s="0" t="s">
        <v>90</v>
      </c>
      <c r="G12024" s="0" t="s">
        <v>36</v>
      </c>
      <c r="H12024" s="0" t="n">
        <v>38</v>
      </c>
      <c r="I12024" s="0" t="s">
        <v>40095</v>
      </c>
      <c r="J12024" s="0" t="s">
        <v>40096</v>
      </c>
      <c r="K12024" s="0" t="s">
        <v>40097</v>
      </c>
      <c r="L12024" s="0" t="str">
        <f aca="false">HYPERLINK("https://www.ncbi.nlm.nih.gov/nuccore/CP000304.1?report=graph&amp;tracks=[key:gene_model_track,Options:GeneOnly]&amp;mk=3368091:3368110|offset_0|444444,3368053:3368072|offset_38|00cc00,3368029:3368048|offset_62|444444,3368007:3368026|offset_84|444444&amp;v=3367890:3368226&amp;c=444444", "offset 38")</f>
        <v>offset 38</v>
      </c>
    </row>
    <row r="12025" customFormat="false" ht="12.8" hidden="false" customHeight="false" outlineLevel="0" collapsed="false">
      <c r="A12025" s="0" t="s">
        <v>12</v>
      </c>
      <c r="B12025" s="0" t="n">
        <v>3368028</v>
      </c>
      <c r="C12025" s="0" t="n">
        <v>3368048</v>
      </c>
      <c r="D12025" s="0" t="s">
        <v>40091</v>
      </c>
      <c r="E12025" s="0" t="s">
        <v>89</v>
      </c>
      <c r="F12025" s="0" t="s">
        <v>90</v>
      </c>
      <c r="G12025" s="0" t="s">
        <v>16</v>
      </c>
      <c r="H12025" s="0" t="n">
        <v>62</v>
      </c>
      <c r="I12025" s="0" t="s">
        <v>40098</v>
      </c>
      <c r="J12025" s="0" t="s">
        <v>40099</v>
      </c>
      <c r="K12025" s="0" t="s">
        <v>40100</v>
      </c>
      <c r="L12025" s="0" t="str">
        <f aca="false">HYPERLINK("https://www.ncbi.nlm.nih.gov/nuccore/CP000304.1?report=graph&amp;tracks=[key:gene_model_track,Options:GeneOnly]&amp;mk=3368091:3368110|offset_0|444444,3368053:3368072|offset_38|444444,3368029:3368048|offset_62|00cc00,3368007:3368026|offset_84|444444&amp;v=3367890:3368226&amp;c=444444", "offset 62")</f>
        <v>offset 62</v>
      </c>
    </row>
    <row r="12026" customFormat="false" ht="12.8" hidden="false" customHeight="false" outlineLevel="0" collapsed="false">
      <c r="A12026" s="0" t="s">
        <v>12</v>
      </c>
      <c r="B12026" s="0" t="n">
        <v>3368006</v>
      </c>
      <c r="C12026" s="0" t="n">
        <v>3368026</v>
      </c>
      <c r="D12026" s="0" t="s">
        <v>40091</v>
      </c>
      <c r="E12026" s="0" t="s">
        <v>89</v>
      </c>
      <c r="F12026" s="0" t="s">
        <v>90</v>
      </c>
      <c r="G12026" s="0" t="s">
        <v>16</v>
      </c>
      <c r="H12026" s="0" t="n">
        <v>84</v>
      </c>
      <c r="I12026" s="0" t="s">
        <v>40101</v>
      </c>
      <c r="J12026" s="0" t="s">
        <v>40102</v>
      </c>
      <c r="K12026" s="0" t="s">
        <v>40103</v>
      </c>
      <c r="L12026" s="0" t="str">
        <f aca="false">HYPERLINK("https://www.ncbi.nlm.nih.gov/nuccore/CP000304.1?report=graph&amp;tracks=[key:gene_model_track,Options:GeneOnly]&amp;mk=3368091:3368110|offset_0|444444,3368053:3368072|offset_38|444444,3368029:3368048|offset_62|444444,3368007:3368026|offset_84|00cc00&amp;v=3367890:3368226&amp;c=444444", "offset 84")</f>
        <v>offset 84</v>
      </c>
    </row>
    <row r="12027" customFormat="false" ht="12.8" hidden="false" customHeight="false" outlineLevel="0" collapsed="false">
      <c r="A12027" s="0" t="s">
        <v>12</v>
      </c>
      <c r="B12027" s="0" t="n">
        <v>3368511</v>
      </c>
      <c r="C12027" s="0" t="n">
        <v>3368531</v>
      </c>
      <c r="D12027" s="0" t="s">
        <v>40104</v>
      </c>
      <c r="E12027" s="0" t="s">
        <v>89</v>
      </c>
      <c r="F12027" s="0" t="s">
        <v>15</v>
      </c>
      <c r="G12027" s="0" t="s">
        <v>26</v>
      </c>
      <c r="H12027" s="0" t="n">
        <v>41</v>
      </c>
      <c r="I12027" s="0" t="s">
        <v>40105</v>
      </c>
      <c r="J12027" s="0" t="s">
        <v>40106</v>
      </c>
      <c r="K12027" s="0" t="s">
        <v>40107</v>
      </c>
      <c r="L12027" s="0" t="str">
        <f aca="false">HYPERLINK("https://www.ncbi.nlm.nih.gov/nuccore/CP000304.1?report=graph&amp;tracks=[key:gene_model_track,Options:GeneOnly]&amp;mk=3368512:3368531|offset_41|00cc00,3368551:3368570|offset_80|444444,3368571:3368590|offset_100|444444,3368643:3368662|offset_172|444444&amp;v=3368311:3368862&amp;c=444444", "offset 41")</f>
        <v>offset 41</v>
      </c>
    </row>
    <row r="12028" customFormat="false" ht="12.8" hidden="false" customHeight="false" outlineLevel="0" collapsed="false">
      <c r="A12028" s="0" t="s">
        <v>12</v>
      </c>
      <c r="B12028" s="0" t="n">
        <v>3368550</v>
      </c>
      <c r="C12028" s="0" t="n">
        <v>3368570</v>
      </c>
      <c r="D12028" s="0" t="s">
        <v>40104</v>
      </c>
      <c r="E12028" s="0" t="s">
        <v>89</v>
      </c>
      <c r="F12028" s="0" t="s">
        <v>15</v>
      </c>
      <c r="G12028" s="0" t="s">
        <v>32</v>
      </c>
      <c r="H12028" s="0" t="n">
        <v>80</v>
      </c>
      <c r="I12028" s="0" t="s">
        <v>40108</v>
      </c>
      <c r="J12028" s="0" t="s">
        <v>40109</v>
      </c>
      <c r="K12028" s="0" t="s">
        <v>40110</v>
      </c>
      <c r="L12028" s="0" t="str">
        <f aca="false">HYPERLINK("https://www.ncbi.nlm.nih.gov/nuccore/CP000304.1?report=graph&amp;tracks=[key:gene_model_track,Options:GeneOnly]&amp;mk=3368512:3368531|offset_41|444444,3368551:3368570|offset_80|00cc00,3368571:3368590|offset_100|444444,3368643:3368662|offset_172|444444&amp;v=3368311:3368862&amp;c=444444", "offset 80")</f>
        <v>offset 80</v>
      </c>
    </row>
    <row r="12029" customFormat="false" ht="12.8" hidden="false" customHeight="false" outlineLevel="0" collapsed="false">
      <c r="A12029" s="0" t="s">
        <v>12</v>
      </c>
      <c r="B12029" s="0" t="n">
        <v>3368570</v>
      </c>
      <c r="C12029" s="0" t="n">
        <v>3368590</v>
      </c>
      <c r="D12029" s="0" t="s">
        <v>40104</v>
      </c>
      <c r="E12029" s="0" t="s">
        <v>89</v>
      </c>
      <c r="F12029" s="0" t="s">
        <v>15</v>
      </c>
      <c r="G12029" s="0" t="s">
        <v>16</v>
      </c>
      <c r="H12029" s="0" t="n">
        <v>100</v>
      </c>
      <c r="I12029" s="0" t="s">
        <v>40111</v>
      </c>
      <c r="J12029" s="0" t="s">
        <v>40112</v>
      </c>
      <c r="K12029" s="0" t="s">
        <v>40113</v>
      </c>
      <c r="L12029" s="0" t="str">
        <f aca="false">HYPERLINK("https://www.ncbi.nlm.nih.gov/nuccore/CP000304.1?report=graph&amp;tracks=[key:gene_model_track,Options:GeneOnly]&amp;mk=3368512:3368531|offset_41|444444,3368551:3368570|offset_80|444444,3368571:3368590|offset_100|00cc00,3368643:3368662|offset_172|444444&amp;v=3368311:3368862&amp;c=444444", "offset 100")</f>
        <v>offset 100</v>
      </c>
    </row>
    <row r="12030" customFormat="false" ht="12.8" hidden="false" customHeight="false" outlineLevel="0" collapsed="false">
      <c r="A12030" s="0" t="s">
        <v>12</v>
      </c>
      <c r="B12030" s="0" t="n">
        <v>3368642</v>
      </c>
      <c r="C12030" s="0" t="n">
        <v>3368662</v>
      </c>
      <c r="D12030" s="0" t="s">
        <v>40104</v>
      </c>
      <c r="E12030" s="0" t="s">
        <v>89</v>
      </c>
      <c r="F12030" s="0" t="s">
        <v>15</v>
      </c>
      <c r="G12030" s="0" t="s">
        <v>16</v>
      </c>
      <c r="H12030" s="0" t="n">
        <v>172</v>
      </c>
      <c r="I12030" s="0" t="s">
        <v>40114</v>
      </c>
      <c r="J12030" s="0" t="s">
        <v>40115</v>
      </c>
      <c r="K12030" s="0" t="s">
        <v>40116</v>
      </c>
      <c r="L12030" s="0" t="str">
        <f aca="false">HYPERLINK("https://www.ncbi.nlm.nih.gov/nuccore/CP000304.1?report=graph&amp;tracks=[key:gene_model_track,Options:GeneOnly]&amp;mk=3368512:3368531|offset_41|444444,3368551:3368570|offset_80|444444,3368571:3368590|offset_100|444444,3368643:3368662|offset_172|00cc00&amp;v=3368311:3368862&amp;c=444444", "offset 172")</f>
        <v>offset 172</v>
      </c>
    </row>
    <row r="12031" customFormat="false" ht="12.8" hidden="false" customHeight="false" outlineLevel="0" collapsed="false">
      <c r="A12031" s="0" t="s">
        <v>12</v>
      </c>
      <c r="B12031" s="0" t="n">
        <v>3369483</v>
      </c>
      <c r="C12031" s="0" t="n">
        <v>3369503</v>
      </c>
      <c r="D12031" s="0" t="s">
        <v>40117</v>
      </c>
      <c r="E12031" s="0" t="s">
        <v>40118</v>
      </c>
      <c r="F12031" s="0" t="s">
        <v>90</v>
      </c>
      <c r="G12031" s="0" t="s">
        <v>16</v>
      </c>
      <c r="H12031" s="0" t="n">
        <v>141</v>
      </c>
      <c r="I12031" s="0" t="s">
        <v>40119</v>
      </c>
      <c r="J12031" s="0" t="s">
        <v>40120</v>
      </c>
      <c r="K12031" s="0" t="s">
        <v>40121</v>
      </c>
      <c r="L12031" s="0" t="str">
        <f aca="false">HYPERLINK("https://www.ncbi.nlm.nih.gov/nuccore/CP000304.1?report=graph&amp;tracks=[key:gene_model_track,Options:GeneOnly]&amp;mk=3369484:3369503|offset_141|00cc00,3369463:3369482|offset_162|444444,3369434:3369453|offset_191|444444,3369377:3369396|offset_248|444444&amp;v=3369283:3369596&amp;c=444444", "offset 141")</f>
        <v>offset 141</v>
      </c>
    </row>
    <row r="12032" customFormat="false" ht="12.8" hidden="false" customHeight="false" outlineLevel="0" collapsed="false">
      <c r="A12032" s="0" t="s">
        <v>12</v>
      </c>
      <c r="B12032" s="0" t="n">
        <v>3369462</v>
      </c>
      <c r="C12032" s="0" t="n">
        <v>3369482</v>
      </c>
      <c r="D12032" s="0" t="s">
        <v>40117</v>
      </c>
      <c r="E12032" s="0" t="s">
        <v>40118</v>
      </c>
      <c r="F12032" s="0" t="s">
        <v>90</v>
      </c>
      <c r="G12032" s="0" t="s">
        <v>16</v>
      </c>
      <c r="H12032" s="0" t="n">
        <v>162</v>
      </c>
      <c r="I12032" s="0" t="s">
        <v>40122</v>
      </c>
      <c r="J12032" s="0" t="s">
        <v>40123</v>
      </c>
      <c r="K12032" s="0" t="s">
        <v>40124</v>
      </c>
      <c r="L12032" s="0" t="str">
        <f aca="false">HYPERLINK("https://www.ncbi.nlm.nih.gov/nuccore/CP000304.1?report=graph&amp;tracks=[key:gene_model_track,Options:GeneOnly]&amp;mk=3369484:3369503|offset_141|444444,3369463:3369482|offset_162|00cc00,3369434:3369453|offset_191|444444,3369377:3369396|offset_248|444444&amp;v=3369283:3369596&amp;c=444444", "offset 162")</f>
        <v>offset 162</v>
      </c>
    </row>
    <row r="12033" customFormat="false" ht="12.8" hidden="false" customHeight="false" outlineLevel="0" collapsed="false">
      <c r="A12033" s="0" t="s">
        <v>12</v>
      </c>
      <c r="B12033" s="0" t="n">
        <v>3369433</v>
      </c>
      <c r="C12033" s="0" t="n">
        <v>3369453</v>
      </c>
      <c r="D12033" s="0" t="s">
        <v>40117</v>
      </c>
      <c r="E12033" s="0" t="s">
        <v>40118</v>
      </c>
      <c r="F12033" s="0" t="s">
        <v>90</v>
      </c>
      <c r="G12033" s="0" t="s">
        <v>26</v>
      </c>
      <c r="H12033" s="0" t="n">
        <v>191</v>
      </c>
      <c r="I12033" s="0" t="s">
        <v>40125</v>
      </c>
      <c r="J12033" s="0" t="s">
        <v>40126</v>
      </c>
      <c r="K12033" s="0" t="s">
        <v>40127</v>
      </c>
      <c r="L12033" s="0" t="str">
        <f aca="false">HYPERLINK("https://www.ncbi.nlm.nih.gov/nuccore/CP000304.1?report=graph&amp;tracks=[key:gene_model_track,Options:GeneOnly]&amp;mk=3369484:3369503|offset_141|444444,3369463:3369482|offset_162|444444,3369434:3369453|offset_191|00cc00,3369377:3369396|offset_248|444444&amp;v=3369283:3369596&amp;c=444444", "offset 191")</f>
        <v>offset 191</v>
      </c>
    </row>
    <row r="12034" customFormat="false" ht="12.8" hidden="false" customHeight="false" outlineLevel="0" collapsed="false">
      <c r="A12034" s="0" t="s">
        <v>12</v>
      </c>
      <c r="B12034" s="0" t="n">
        <v>3369376</v>
      </c>
      <c r="C12034" s="0" t="n">
        <v>3369396</v>
      </c>
      <c r="D12034" s="0" t="s">
        <v>40117</v>
      </c>
      <c r="E12034" s="0" t="s">
        <v>40118</v>
      </c>
      <c r="F12034" s="0" t="s">
        <v>90</v>
      </c>
      <c r="G12034" s="0" t="s">
        <v>36</v>
      </c>
      <c r="H12034" s="0" t="n">
        <v>248</v>
      </c>
      <c r="I12034" s="0" t="s">
        <v>40128</v>
      </c>
      <c r="J12034" s="0" t="s">
        <v>40129</v>
      </c>
      <c r="K12034" s="0" t="s">
        <v>40130</v>
      </c>
      <c r="L12034" s="0" t="str">
        <f aca="false">HYPERLINK("https://www.ncbi.nlm.nih.gov/nuccore/CP000304.1?report=graph&amp;tracks=[key:gene_model_track,Options:GeneOnly]&amp;mk=3369484:3369503|offset_141|444444,3369463:3369482|offset_162|444444,3369434:3369453|offset_191|444444,3369377:3369396|offset_248|00cc00&amp;v=3369283:3369596&amp;c=444444", "offset 248")</f>
        <v>offset 248</v>
      </c>
    </row>
    <row r="12035" customFormat="false" ht="12.8" hidden="false" customHeight="false" outlineLevel="0" collapsed="false">
      <c r="A12035" s="0" t="s">
        <v>12</v>
      </c>
      <c r="B12035" s="0" t="n">
        <v>3369809</v>
      </c>
      <c r="C12035" s="0" t="n">
        <v>3369829</v>
      </c>
      <c r="D12035" s="0" t="s">
        <v>40131</v>
      </c>
      <c r="E12035" s="0" t="s">
        <v>89</v>
      </c>
      <c r="F12035" s="0" t="s">
        <v>15</v>
      </c>
      <c r="G12035" s="0" t="s">
        <v>36</v>
      </c>
      <c r="H12035" s="0" t="n">
        <v>73</v>
      </c>
      <c r="I12035" s="0" t="s">
        <v>40132</v>
      </c>
      <c r="J12035" s="0" t="s">
        <v>40133</v>
      </c>
      <c r="K12035" s="0" t="s">
        <v>40134</v>
      </c>
      <c r="L12035" s="0" t="str">
        <f aca="false">HYPERLINK("https://www.ncbi.nlm.nih.gov/nuccore/CP000304.1?report=graph&amp;tracks=[key:gene_model_track,Options:GeneOnly]&amp;mk=3369810:3369829|offset_73|00cc00,3369831:3369850|offset_94|444444,3369853:3369872|offset_116|444444,3369892:3369911|offset_155|444444&amp;v=3369609:3370111&amp;c=444444", "offset 73")</f>
        <v>offset 73</v>
      </c>
    </row>
    <row r="12036" customFormat="false" ht="12.8" hidden="false" customHeight="false" outlineLevel="0" collapsed="false">
      <c r="A12036" s="0" t="s">
        <v>12</v>
      </c>
      <c r="B12036" s="0" t="n">
        <v>3369830</v>
      </c>
      <c r="C12036" s="0" t="n">
        <v>3369850</v>
      </c>
      <c r="D12036" s="0" t="s">
        <v>40131</v>
      </c>
      <c r="E12036" s="0" t="s">
        <v>89</v>
      </c>
      <c r="F12036" s="0" t="s">
        <v>15</v>
      </c>
      <c r="G12036" s="0" t="s">
        <v>36</v>
      </c>
      <c r="H12036" s="0" t="n">
        <v>94</v>
      </c>
      <c r="I12036" s="0" t="s">
        <v>40135</v>
      </c>
      <c r="J12036" s="0" t="s">
        <v>40136</v>
      </c>
      <c r="K12036" s="0" t="s">
        <v>40137</v>
      </c>
      <c r="L12036" s="0" t="str">
        <f aca="false">HYPERLINK("https://www.ncbi.nlm.nih.gov/nuccore/CP000304.1?report=graph&amp;tracks=[key:gene_model_track,Options:GeneOnly]&amp;mk=3369810:3369829|offset_73|444444,3369831:3369850|offset_94|00cc00,3369853:3369872|offset_116|444444,3369892:3369911|offset_155|444444&amp;v=3369609:3370111&amp;c=444444", "offset 94")</f>
        <v>offset 94</v>
      </c>
    </row>
    <row r="12037" customFormat="false" ht="12.8" hidden="false" customHeight="false" outlineLevel="0" collapsed="false">
      <c r="A12037" s="0" t="s">
        <v>12</v>
      </c>
      <c r="B12037" s="0" t="n">
        <v>3369852</v>
      </c>
      <c r="C12037" s="0" t="n">
        <v>3369872</v>
      </c>
      <c r="D12037" s="0" t="s">
        <v>40131</v>
      </c>
      <c r="E12037" s="0" t="s">
        <v>89</v>
      </c>
      <c r="F12037" s="0" t="s">
        <v>15</v>
      </c>
      <c r="G12037" s="0" t="s">
        <v>32</v>
      </c>
      <c r="H12037" s="0" t="n">
        <v>116</v>
      </c>
      <c r="I12037" s="0" t="s">
        <v>40138</v>
      </c>
      <c r="J12037" s="0" t="s">
        <v>40139</v>
      </c>
      <c r="K12037" s="0" t="s">
        <v>40140</v>
      </c>
      <c r="L12037" s="0" t="str">
        <f aca="false">HYPERLINK("https://www.ncbi.nlm.nih.gov/nuccore/CP000304.1?report=graph&amp;tracks=[key:gene_model_track,Options:GeneOnly]&amp;mk=3369810:3369829|offset_73|444444,3369831:3369850|offset_94|444444,3369853:3369872|offset_116|00cc00,3369892:3369911|offset_155|444444&amp;v=3369609:3370111&amp;c=444444", "offset 116")</f>
        <v>offset 116</v>
      </c>
    </row>
    <row r="12038" customFormat="false" ht="12.8" hidden="false" customHeight="false" outlineLevel="0" collapsed="false">
      <c r="A12038" s="0" t="s">
        <v>12</v>
      </c>
      <c r="B12038" s="0" t="n">
        <v>3369891</v>
      </c>
      <c r="C12038" s="0" t="n">
        <v>3369911</v>
      </c>
      <c r="D12038" s="0" t="s">
        <v>40131</v>
      </c>
      <c r="E12038" s="0" t="s">
        <v>89</v>
      </c>
      <c r="F12038" s="0" t="s">
        <v>15</v>
      </c>
      <c r="G12038" s="0" t="s">
        <v>26</v>
      </c>
      <c r="H12038" s="0" t="n">
        <v>155</v>
      </c>
      <c r="I12038" s="0" t="s">
        <v>40141</v>
      </c>
      <c r="J12038" s="0" t="s">
        <v>40142</v>
      </c>
      <c r="K12038" s="0" t="s">
        <v>40143</v>
      </c>
      <c r="L12038" s="0" t="str">
        <f aca="false">HYPERLINK("https://www.ncbi.nlm.nih.gov/nuccore/CP000304.1?report=graph&amp;tracks=[key:gene_model_track,Options:GeneOnly]&amp;mk=3369810:3369829|offset_73|444444,3369831:3369850|offset_94|444444,3369853:3369872|offset_116|444444,3369892:3369911|offset_155|00cc00&amp;v=3369609:3370111&amp;c=444444", "offset 155")</f>
        <v>offset 155</v>
      </c>
    </row>
    <row r="12039" customFormat="false" ht="12.8" hidden="false" customHeight="false" outlineLevel="0" collapsed="false">
      <c r="A12039" s="0" t="s">
        <v>12</v>
      </c>
      <c r="B12039" s="0" t="n">
        <v>3370765</v>
      </c>
      <c r="C12039" s="0" t="n">
        <v>3370785</v>
      </c>
      <c r="D12039" s="0" t="s">
        <v>40144</v>
      </c>
      <c r="E12039" s="0" t="s">
        <v>40145</v>
      </c>
      <c r="F12039" s="0" t="s">
        <v>15</v>
      </c>
      <c r="G12039" s="0" t="s">
        <v>16</v>
      </c>
      <c r="H12039" s="0" t="n">
        <v>18</v>
      </c>
      <c r="I12039" s="0" t="s">
        <v>40146</v>
      </c>
      <c r="J12039" s="0" t="s">
        <v>40147</v>
      </c>
      <c r="K12039" s="0" t="s">
        <v>40148</v>
      </c>
      <c r="L12039" s="0" t="str">
        <f aca="false">HYPERLINK("https://www.ncbi.nlm.nih.gov/nuccore/CP000304.1?report=graph&amp;tracks=[key:gene_model_track,Options:GeneOnly]&amp;mk=3370766:3370785|offset_18|00cc00,3370791:3370810|offset_43|444444,3370812:3370831|offset_64|444444,3370843:3370862|offset_95|444444&amp;v=3370565:3371062&amp;c=444444", "offset 18")</f>
        <v>offset 18</v>
      </c>
    </row>
    <row r="12040" customFormat="false" ht="12.8" hidden="false" customHeight="false" outlineLevel="0" collapsed="false">
      <c r="A12040" s="0" t="s">
        <v>12</v>
      </c>
      <c r="B12040" s="0" t="n">
        <v>3370790</v>
      </c>
      <c r="C12040" s="0" t="n">
        <v>3370810</v>
      </c>
      <c r="D12040" s="0" t="s">
        <v>40144</v>
      </c>
      <c r="E12040" s="0" t="s">
        <v>40145</v>
      </c>
      <c r="F12040" s="0" t="s">
        <v>15</v>
      </c>
      <c r="G12040" s="0" t="s">
        <v>36</v>
      </c>
      <c r="H12040" s="0" t="n">
        <v>43</v>
      </c>
      <c r="I12040" s="0" t="s">
        <v>40149</v>
      </c>
      <c r="J12040" s="0" t="s">
        <v>40150</v>
      </c>
      <c r="K12040" s="0" t="s">
        <v>40151</v>
      </c>
      <c r="L12040" s="0" t="str">
        <f aca="false">HYPERLINK("https://www.ncbi.nlm.nih.gov/nuccore/CP000304.1?report=graph&amp;tracks=[key:gene_model_track,Options:GeneOnly]&amp;mk=3370766:3370785|offset_18|444444,3370791:3370810|offset_43|00cc00,3370812:3370831|offset_64|444444,3370843:3370862|offset_95|444444&amp;v=3370565:3371062&amp;c=444444", "offset 43")</f>
        <v>offset 43</v>
      </c>
    </row>
    <row r="12041" customFormat="false" ht="12.8" hidden="false" customHeight="false" outlineLevel="0" collapsed="false">
      <c r="A12041" s="0" t="s">
        <v>12</v>
      </c>
      <c r="B12041" s="0" t="n">
        <v>3370811</v>
      </c>
      <c r="C12041" s="0" t="n">
        <v>3370831</v>
      </c>
      <c r="D12041" s="0" t="s">
        <v>40144</v>
      </c>
      <c r="E12041" s="0" t="s">
        <v>40145</v>
      </c>
      <c r="F12041" s="0" t="s">
        <v>15</v>
      </c>
      <c r="G12041" s="0" t="s">
        <v>16</v>
      </c>
      <c r="H12041" s="0" t="n">
        <v>64</v>
      </c>
      <c r="I12041" s="0" t="s">
        <v>40152</v>
      </c>
      <c r="J12041" s="0" t="s">
        <v>40153</v>
      </c>
      <c r="K12041" s="0" t="s">
        <v>40154</v>
      </c>
      <c r="L12041" s="0" t="str">
        <f aca="false">HYPERLINK("https://www.ncbi.nlm.nih.gov/nuccore/CP000304.1?report=graph&amp;tracks=[key:gene_model_track,Options:GeneOnly]&amp;mk=3370766:3370785|offset_18|444444,3370791:3370810|offset_43|444444,3370812:3370831|offset_64|00cc00,3370843:3370862|offset_95|444444&amp;v=3370565:3371062&amp;c=444444", "offset 64")</f>
        <v>offset 64</v>
      </c>
    </row>
    <row r="12042" customFormat="false" ht="12.8" hidden="false" customHeight="false" outlineLevel="0" collapsed="false">
      <c r="A12042" s="0" t="s">
        <v>12</v>
      </c>
      <c r="B12042" s="0" t="n">
        <v>3370842</v>
      </c>
      <c r="C12042" s="0" t="n">
        <v>3370862</v>
      </c>
      <c r="D12042" s="0" t="s">
        <v>40144</v>
      </c>
      <c r="E12042" s="0" t="s">
        <v>40145</v>
      </c>
      <c r="F12042" s="0" t="s">
        <v>15</v>
      </c>
      <c r="G12042" s="0" t="s">
        <v>32</v>
      </c>
      <c r="H12042" s="0" t="n">
        <v>95</v>
      </c>
      <c r="I12042" s="0" t="s">
        <v>40155</v>
      </c>
      <c r="J12042" s="0" t="s">
        <v>40156</v>
      </c>
      <c r="K12042" s="0" t="s">
        <v>40157</v>
      </c>
      <c r="L12042" s="0" t="str">
        <f aca="false">HYPERLINK("https://www.ncbi.nlm.nih.gov/nuccore/CP000304.1?report=graph&amp;tracks=[key:gene_model_track,Options:GeneOnly]&amp;mk=3370766:3370785|offset_18|444444,3370791:3370810|offset_43|444444,3370812:3370831|offset_64|444444,3370843:3370862|offset_95|00cc00&amp;v=3370565:3371062&amp;c=444444", "offset 95")</f>
        <v>offset 95</v>
      </c>
    </row>
    <row r="12043" customFormat="false" ht="12.8" hidden="false" customHeight="false" outlineLevel="0" collapsed="false">
      <c r="A12043" s="0" t="s">
        <v>12</v>
      </c>
      <c r="B12043" s="0" t="n">
        <v>3371731</v>
      </c>
      <c r="C12043" s="0" t="n">
        <v>3371751</v>
      </c>
      <c r="D12043" s="0" t="s">
        <v>40158</v>
      </c>
      <c r="E12043" s="0" t="s">
        <v>89</v>
      </c>
      <c r="F12043" s="0" t="s">
        <v>15</v>
      </c>
      <c r="G12043" s="0" t="s">
        <v>26</v>
      </c>
      <c r="H12043" s="0" t="n">
        <v>34</v>
      </c>
      <c r="I12043" s="0" t="s">
        <v>40159</v>
      </c>
      <c r="J12043" s="0" t="s">
        <v>40160</v>
      </c>
      <c r="K12043" s="0" t="s">
        <v>40161</v>
      </c>
      <c r="L12043" s="0" t="str">
        <f aca="false">HYPERLINK("https://www.ncbi.nlm.nih.gov/nuccore/CP000304.1?report=graph&amp;tracks=[key:gene_model_track,Options:GeneOnly]&amp;mk=3371732:3371751|offset_34|00cc00,3371759:3371778|offset_61|444444,3371794:3371813|offset_96|444444,3371817:3371836|offset_119|444444&amp;v=3371531:3372036&amp;c=444444", "offset 34")</f>
        <v>offset 34</v>
      </c>
    </row>
    <row r="12044" customFormat="false" ht="12.8" hidden="false" customHeight="false" outlineLevel="0" collapsed="false">
      <c r="A12044" s="0" t="s">
        <v>12</v>
      </c>
      <c r="B12044" s="0" t="n">
        <v>3371758</v>
      </c>
      <c r="C12044" s="0" t="n">
        <v>3371778</v>
      </c>
      <c r="D12044" s="0" t="s">
        <v>40158</v>
      </c>
      <c r="E12044" s="0" t="s">
        <v>89</v>
      </c>
      <c r="F12044" s="0" t="s">
        <v>15</v>
      </c>
      <c r="G12044" s="0" t="s">
        <v>16</v>
      </c>
      <c r="H12044" s="0" t="n">
        <v>61</v>
      </c>
      <c r="I12044" s="0" t="s">
        <v>40162</v>
      </c>
      <c r="J12044" s="0" t="s">
        <v>40163</v>
      </c>
      <c r="K12044" s="0" t="s">
        <v>40164</v>
      </c>
      <c r="L12044" s="0" t="str">
        <f aca="false">HYPERLINK("https://www.ncbi.nlm.nih.gov/nuccore/CP000304.1?report=graph&amp;tracks=[key:gene_model_track,Options:GeneOnly]&amp;mk=3371732:3371751|offset_34|444444,3371759:3371778|offset_61|00cc00,3371794:3371813|offset_96|444444,3371817:3371836|offset_119|444444&amp;v=3371531:3372036&amp;c=444444", "offset 61")</f>
        <v>offset 61</v>
      </c>
    </row>
    <row r="12045" customFormat="false" ht="12.8" hidden="false" customHeight="false" outlineLevel="0" collapsed="false">
      <c r="A12045" s="0" t="s">
        <v>12</v>
      </c>
      <c r="B12045" s="0" t="n">
        <v>3371793</v>
      </c>
      <c r="C12045" s="0" t="n">
        <v>3371813</v>
      </c>
      <c r="D12045" s="0" t="s">
        <v>40158</v>
      </c>
      <c r="E12045" s="0" t="s">
        <v>89</v>
      </c>
      <c r="F12045" s="0" t="s">
        <v>15</v>
      </c>
      <c r="G12045" s="0" t="s">
        <v>26</v>
      </c>
      <c r="H12045" s="0" t="n">
        <v>96</v>
      </c>
      <c r="I12045" s="0" t="s">
        <v>40165</v>
      </c>
      <c r="J12045" s="0" t="s">
        <v>40166</v>
      </c>
      <c r="K12045" s="0" t="s">
        <v>40167</v>
      </c>
      <c r="L12045" s="0" t="str">
        <f aca="false">HYPERLINK("https://www.ncbi.nlm.nih.gov/nuccore/CP000304.1?report=graph&amp;tracks=[key:gene_model_track,Options:GeneOnly]&amp;mk=3371732:3371751|offset_34|444444,3371759:3371778|offset_61|444444,3371794:3371813|offset_96|00cc00,3371817:3371836|offset_119|444444&amp;v=3371531:3372036&amp;c=444444", "offset 96")</f>
        <v>offset 96</v>
      </c>
    </row>
    <row r="12046" customFormat="false" ht="12.8" hidden="false" customHeight="false" outlineLevel="0" collapsed="false">
      <c r="A12046" s="0" t="s">
        <v>12</v>
      </c>
      <c r="B12046" s="0" t="n">
        <v>3371816</v>
      </c>
      <c r="C12046" s="0" t="n">
        <v>3371836</v>
      </c>
      <c r="D12046" s="0" t="s">
        <v>40158</v>
      </c>
      <c r="E12046" s="0" t="s">
        <v>89</v>
      </c>
      <c r="F12046" s="0" t="s">
        <v>15</v>
      </c>
      <c r="G12046" s="0" t="s">
        <v>26</v>
      </c>
      <c r="H12046" s="0" t="n">
        <v>119</v>
      </c>
      <c r="I12046" s="0" t="s">
        <v>40168</v>
      </c>
      <c r="J12046" s="0" t="s">
        <v>40169</v>
      </c>
      <c r="K12046" s="0" t="s">
        <v>40170</v>
      </c>
      <c r="L12046" s="0" t="str">
        <f aca="false">HYPERLINK("https://www.ncbi.nlm.nih.gov/nuccore/CP000304.1?report=graph&amp;tracks=[key:gene_model_track,Options:GeneOnly]&amp;mk=3371732:3371751|offset_34|444444,3371759:3371778|offset_61|444444,3371794:3371813|offset_96|444444,3371817:3371836|offset_119|00cc00&amp;v=3371531:3372036&amp;c=444444", "offset 119")</f>
        <v>offset 119</v>
      </c>
    </row>
    <row r="12047" customFormat="false" ht="12.8" hidden="false" customHeight="false" outlineLevel="0" collapsed="false">
      <c r="A12047" s="0" t="s">
        <v>12</v>
      </c>
      <c r="B12047" s="0" t="n">
        <v>3373785</v>
      </c>
      <c r="C12047" s="0" t="n">
        <v>3373805</v>
      </c>
      <c r="D12047" s="0" t="s">
        <v>40171</v>
      </c>
      <c r="E12047" s="0" t="s">
        <v>89</v>
      </c>
      <c r="F12047" s="0" t="s">
        <v>15</v>
      </c>
      <c r="G12047" s="0" t="s">
        <v>36</v>
      </c>
      <c r="H12047" s="0" t="n">
        <v>0</v>
      </c>
      <c r="I12047" s="0" t="s">
        <v>40172</v>
      </c>
      <c r="J12047" s="0" t="s">
        <v>40173</v>
      </c>
      <c r="K12047" s="0" t="s">
        <v>40174</v>
      </c>
      <c r="L12047" s="0" t="str">
        <f aca="false">HYPERLINK("https://www.ncbi.nlm.nih.gov/nuccore/CP000304.1?report=graph&amp;tracks=[key:gene_model_track,Options:GeneOnly]&amp;mk=3373786:3373805|offset_0|00cc00,3373814:3373833|offset_28|444444,3373838:3373857|offset_52|444444,3373881:3373900|offset_95|444444&amp;v=3373585:3374100&amp;c=444444", "offset 0")</f>
        <v>offset 0</v>
      </c>
    </row>
    <row r="12048" customFormat="false" ht="12.8" hidden="false" customHeight="false" outlineLevel="0" collapsed="false">
      <c r="A12048" s="0" t="s">
        <v>12</v>
      </c>
      <c r="B12048" s="0" t="n">
        <v>3373813</v>
      </c>
      <c r="C12048" s="0" t="n">
        <v>3373833</v>
      </c>
      <c r="D12048" s="0" t="s">
        <v>40171</v>
      </c>
      <c r="E12048" s="0" t="s">
        <v>89</v>
      </c>
      <c r="F12048" s="0" t="s">
        <v>15</v>
      </c>
      <c r="G12048" s="0" t="s">
        <v>16</v>
      </c>
      <c r="H12048" s="0" t="n">
        <v>28</v>
      </c>
      <c r="I12048" s="0" t="s">
        <v>40175</v>
      </c>
      <c r="J12048" s="0" t="s">
        <v>40176</v>
      </c>
      <c r="K12048" s="0" t="s">
        <v>40177</v>
      </c>
      <c r="L12048" s="0" t="str">
        <f aca="false">HYPERLINK("https://www.ncbi.nlm.nih.gov/nuccore/CP000304.1?report=graph&amp;tracks=[key:gene_model_track,Options:GeneOnly]&amp;mk=3373786:3373805|offset_0|444444,3373814:3373833|offset_28|00cc00,3373838:3373857|offset_52|444444,3373881:3373900|offset_95|444444&amp;v=3373585:3374100&amp;c=444444", "offset 28")</f>
        <v>offset 28</v>
      </c>
    </row>
    <row r="12049" customFormat="false" ht="12.8" hidden="false" customHeight="false" outlineLevel="0" collapsed="false">
      <c r="A12049" s="0" t="s">
        <v>12</v>
      </c>
      <c r="B12049" s="0" t="n">
        <v>3373837</v>
      </c>
      <c r="C12049" s="0" t="n">
        <v>3373857</v>
      </c>
      <c r="D12049" s="0" t="s">
        <v>40171</v>
      </c>
      <c r="E12049" s="0" t="s">
        <v>89</v>
      </c>
      <c r="F12049" s="0" t="s">
        <v>15</v>
      </c>
      <c r="G12049" s="0" t="s">
        <v>26</v>
      </c>
      <c r="H12049" s="0" t="n">
        <v>52</v>
      </c>
      <c r="I12049" s="0" t="s">
        <v>40178</v>
      </c>
      <c r="J12049" s="0" t="s">
        <v>40179</v>
      </c>
      <c r="K12049" s="0" t="s">
        <v>40180</v>
      </c>
      <c r="L12049" s="0" t="str">
        <f aca="false">HYPERLINK("https://www.ncbi.nlm.nih.gov/nuccore/CP000304.1?report=graph&amp;tracks=[key:gene_model_track,Options:GeneOnly]&amp;mk=3373786:3373805|offset_0|444444,3373814:3373833|offset_28|444444,3373838:3373857|offset_52|00cc00,3373881:3373900|offset_95|444444&amp;v=3373585:3374100&amp;c=444444", "offset 52")</f>
        <v>offset 52</v>
      </c>
    </row>
    <row r="12050" customFormat="false" ht="12.8" hidden="false" customHeight="false" outlineLevel="0" collapsed="false">
      <c r="A12050" s="0" t="s">
        <v>12</v>
      </c>
      <c r="B12050" s="0" t="n">
        <v>3373880</v>
      </c>
      <c r="C12050" s="0" t="n">
        <v>3373900</v>
      </c>
      <c r="D12050" s="0" t="s">
        <v>40171</v>
      </c>
      <c r="E12050" s="0" t="s">
        <v>89</v>
      </c>
      <c r="F12050" s="0" t="s">
        <v>15</v>
      </c>
      <c r="G12050" s="0" t="s">
        <v>32</v>
      </c>
      <c r="H12050" s="0" t="n">
        <v>95</v>
      </c>
      <c r="I12050" s="0" t="s">
        <v>40181</v>
      </c>
      <c r="J12050" s="0" t="s">
        <v>40182</v>
      </c>
      <c r="K12050" s="0" t="s">
        <v>40183</v>
      </c>
      <c r="L12050" s="0" t="str">
        <f aca="false">HYPERLINK("https://www.ncbi.nlm.nih.gov/nuccore/CP000304.1?report=graph&amp;tracks=[key:gene_model_track,Options:GeneOnly]&amp;mk=3373786:3373805|offset_0|444444,3373814:3373833|offset_28|444444,3373838:3373857|offset_52|444444,3373881:3373900|offset_95|00cc00&amp;v=3373585:3374100&amp;c=444444", "offset 95")</f>
        <v>offset 95</v>
      </c>
    </row>
    <row r="12051" customFormat="false" ht="12.8" hidden="false" customHeight="false" outlineLevel="0" collapsed="false">
      <c r="A12051" s="0" t="s">
        <v>12</v>
      </c>
      <c r="B12051" s="0" t="n">
        <v>3375339</v>
      </c>
      <c r="C12051" s="0" t="n">
        <v>3375359</v>
      </c>
      <c r="D12051" s="0" t="s">
        <v>40184</v>
      </c>
      <c r="E12051" s="0" t="s">
        <v>89</v>
      </c>
      <c r="F12051" s="0" t="s">
        <v>90</v>
      </c>
      <c r="G12051" s="0" t="s">
        <v>36</v>
      </c>
      <c r="H12051" s="0" t="n">
        <v>9</v>
      </c>
      <c r="I12051" s="0" t="s">
        <v>40185</v>
      </c>
      <c r="J12051" s="0" t="s">
        <v>40186</v>
      </c>
      <c r="K12051" s="0" t="s">
        <v>40187</v>
      </c>
      <c r="L12051" s="0" t="str">
        <f aca="false">HYPERLINK("https://www.ncbi.nlm.nih.gov/nuccore/CP000304.1?report=graph&amp;tracks=[key:gene_model_track,Options:GeneOnly]&amp;mk=3375340:3375359|offset_9|00cc00,3375317:3375336|offset_32|444444,3375254:3375273|offset_95|444444,3375212:3375231|offset_137|444444&amp;v=3375139:3375431&amp;c=444444", "offset 9")</f>
        <v>offset 9</v>
      </c>
    </row>
    <row r="12052" customFormat="false" ht="12.8" hidden="false" customHeight="false" outlineLevel="0" collapsed="false">
      <c r="A12052" s="0" t="s">
        <v>12</v>
      </c>
      <c r="B12052" s="0" t="n">
        <v>3375316</v>
      </c>
      <c r="C12052" s="0" t="n">
        <v>3375336</v>
      </c>
      <c r="D12052" s="0" t="s">
        <v>40184</v>
      </c>
      <c r="E12052" s="0" t="s">
        <v>89</v>
      </c>
      <c r="F12052" s="0" t="s">
        <v>90</v>
      </c>
      <c r="G12052" s="0" t="s">
        <v>26</v>
      </c>
      <c r="H12052" s="0" t="n">
        <v>32</v>
      </c>
      <c r="I12052" s="0" t="s">
        <v>40188</v>
      </c>
      <c r="J12052" s="0" t="s">
        <v>40189</v>
      </c>
      <c r="K12052" s="0" t="s">
        <v>40190</v>
      </c>
      <c r="L12052" s="0" t="str">
        <f aca="false">HYPERLINK("https://www.ncbi.nlm.nih.gov/nuccore/CP000304.1?report=graph&amp;tracks=[key:gene_model_track,Options:GeneOnly]&amp;mk=3375340:3375359|offset_9|444444,3375317:3375336|offset_32|00cc00,3375254:3375273|offset_95|444444,3375212:3375231|offset_137|444444&amp;v=3375139:3375431&amp;c=444444", "offset 32")</f>
        <v>offset 32</v>
      </c>
    </row>
    <row r="12053" customFormat="false" ht="12.8" hidden="false" customHeight="false" outlineLevel="0" collapsed="false">
      <c r="A12053" s="0" t="s">
        <v>12</v>
      </c>
      <c r="B12053" s="0" t="n">
        <v>3375253</v>
      </c>
      <c r="C12053" s="0" t="n">
        <v>3375273</v>
      </c>
      <c r="D12053" s="0" t="s">
        <v>40184</v>
      </c>
      <c r="E12053" s="0" t="s">
        <v>89</v>
      </c>
      <c r="F12053" s="0" t="s">
        <v>90</v>
      </c>
      <c r="G12053" s="0" t="s">
        <v>32</v>
      </c>
      <c r="H12053" s="0" t="n">
        <v>95</v>
      </c>
      <c r="I12053" s="0" t="s">
        <v>40191</v>
      </c>
      <c r="J12053" s="0" t="s">
        <v>40192</v>
      </c>
      <c r="K12053" s="0" t="s">
        <v>40193</v>
      </c>
      <c r="L12053" s="0" t="str">
        <f aca="false">HYPERLINK("https://www.ncbi.nlm.nih.gov/nuccore/CP000304.1?report=graph&amp;tracks=[key:gene_model_track,Options:GeneOnly]&amp;mk=3375340:3375359|offset_9|444444,3375317:3375336|offset_32|444444,3375254:3375273|offset_95|00cc00,3375212:3375231|offset_137|444444&amp;v=3375139:3375431&amp;c=444444", "offset 95")</f>
        <v>offset 95</v>
      </c>
    </row>
    <row r="12054" customFormat="false" ht="12.8" hidden="false" customHeight="false" outlineLevel="0" collapsed="false">
      <c r="A12054" s="0" t="s">
        <v>12</v>
      </c>
      <c r="B12054" s="0" t="n">
        <v>3375211</v>
      </c>
      <c r="C12054" s="0" t="n">
        <v>3375231</v>
      </c>
      <c r="D12054" s="0" t="s">
        <v>40184</v>
      </c>
      <c r="E12054" s="0" t="s">
        <v>89</v>
      </c>
      <c r="F12054" s="0" t="s">
        <v>90</v>
      </c>
      <c r="G12054" s="0" t="s">
        <v>32</v>
      </c>
      <c r="H12054" s="0" t="n">
        <v>137</v>
      </c>
      <c r="I12054" s="0" t="s">
        <v>40194</v>
      </c>
      <c r="J12054" s="0" t="s">
        <v>40195</v>
      </c>
      <c r="K12054" s="0" t="s">
        <v>40196</v>
      </c>
      <c r="L12054" s="0" t="str">
        <f aca="false">HYPERLINK("https://www.ncbi.nlm.nih.gov/nuccore/CP000304.1?report=graph&amp;tracks=[key:gene_model_track,Options:GeneOnly]&amp;mk=3375340:3375359|offset_9|444444,3375317:3375336|offset_32|444444,3375254:3375273|offset_95|444444,3375212:3375231|offset_137|00cc00&amp;v=3375139:3375431&amp;c=444444", "offset 137")</f>
        <v>offset 137</v>
      </c>
    </row>
    <row r="12055" customFormat="false" ht="12.8" hidden="false" customHeight="false" outlineLevel="0" collapsed="false">
      <c r="A12055" s="0" t="s">
        <v>12</v>
      </c>
      <c r="B12055" s="0" t="n">
        <v>3375881</v>
      </c>
      <c r="C12055" s="0" t="n">
        <v>3375901</v>
      </c>
      <c r="D12055" s="0" t="s">
        <v>40197</v>
      </c>
      <c r="E12055" s="0" t="s">
        <v>89</v>
      </c>
      <c r="F12055" s="0" t="s">
        <v>90</v>
      </c>
      <c r="G12055" s="0" t="s">
        <v>26</v>
      </c>
      <c r="H12055" s="0" t="n">
        <v>41</v>
      </c>
      <c r="I12055" s="0" t="s">
        <v>40198</v>
      </c>
      <c r="J12055" s="0" t="s">
        <v>40199</v>
      </c>
      <c r="K12055" s="0" t="s">
        <v>40200</v>
      </c>
      <c r="L12055" s="0" t="str">
        <f aca="false">HYPERLINK("https://www.ncbi.nlm.nih.gov/nuccore/CP000304.1?report=graph&amp;tracks=[key:gene_model_track,Options:GeneOnly]&amp;mk=3375882:3375901|offset_41|00cc00,3375858:3375877|offset_65|444444,3375814:3375833|offset_109|444444,3375786:3375805|offset_137|444444&amp;v=3375681:3376005&amp;c=444444", "offset 41")</f>
        <v>offset 41</v>
      </c>
    </row>
    <row r="12056" customFormat="false" ht="12.8" hidden="false" customHeight="false" outlineLevel="0" collapsed="false">
      <c r="A12056" s="0" t="s">
        <v>12</v>
      </c>
      <c r="B12056" s="0" t="n">
        <v>3375857</v>
      </c>
      <c r="C12056" s="0" t="n">
        <v>3375877</v>
      </c>
      <c r="D12056" s="0" t="s">
        <v>40197</v>
      </c>
      <c r="E12056" s="0" t="s">
        <v>89</v>
      </c>
      <c r="F12056" s="0" t="s">
        <v>90</v>
      </c>
      <c r="G12056" s="0" t="s">
        <v>26</v>
      </c>
      <c r="H12056" s="0" t="n">
        <v>65</v>
      </c>
      <c r="I12056" s="0" t="s">
        <v>40201</v>
      </c>
      <c r="J12056" s="0" t="s">
        <v>40202</v>
      </c>
      <c r="K12056" s="0" t="s">
        <v>40203</v>
      </c>
      <c r="L12056" s="0" t="str">
        <f aca="false">HYPERLINK("https://www.ncbi.nlm.nih.gov/nuccore/CP000304.1?report=graph&amp;tracks=[key:gene_model_track,Options:GeneOnly]&amp;mk=3375882:3375901|offset_41|444444,3375858:3375877|offset_65|00cc00,3375814:3375833|offset_109|444444,3375786:3375805|offset_137|444444&amp;v=3375681:3376005&amp;c=444444", "offset 65")</f>
        <v>offset 65</v>
      </c>
    </row>
    <row r="12057" customFormat="false" ht="12.8" hidden="false" customHeight="false" outlineLevel="0" collapsed="false">
      <c r="A12057" s="0" t="s">
        <v>12</v>
      </c>
      <c r="B12057" s="0" t="n">
        <v>3375813</v>
      </c>
      <c r="C12057" s="0" t="n">
        <v>3375833</v>
      </c>
      <c r="D12057" s="0" t="s">
        <v>40197</v>
      </c>
      <c r="E12057" s="0" t="s">
        <v>89</v>
      </c>
      <c r="F12057" s="0" t="s">
        <v>90</v>
      </c>
      <c r="G12057" s="0" t="s">
        <v>26</v>
      </c>
      <c r="H12057" s="0" t="n">
        <v>109</v>
      </c>
      <c r="I12057" s="0" t="s">
        <v>40204</v>
      </c>
      <c r="J12057" s="0" t="s">
        <v>40205</v>
      </c>
      <c r="K12057" s="0" t="s">
        <v>40206</v>
      </c>
      <c r="L12057" s="0" t="str">
        <f aca="false">HYPERLINK("https://www.ncbi.nlm.nih.gov/nuccore/CP000304.1?report=graph&amp;tracks=[key:gene_model_track,Options:GeneOnly]&amp;mk=3375882:3375901|offset_41|444444,3375858:3375877|offset_65|444444,3375814:3375833|offset_109|00cc00,3375786:3375805|offset_137|444444&amp;v=3375681:3376005&amp;c=444444", "offset 109")</f>
        <v>offset 109</v>
      </c>
    </row>
    <row r="12058" customFormat="false" ht="12.8" hidden="false" customHeight="false" outlineLevel="0" collapsed="false">
      <c r="A12058" s="0" t="s">
        <v>12</v>
      </c>
      <c r="B12058" s="0" t="n">
        <v>3375785</v>
      </c>
      <c r="C12058" s="0" t="n">
        <v>3375805</v>
      </c>
      <c r="D12058" s="0" t="s">
        <v>40197</v>
      </c>
      <c r="E12058" s="0" t="s">
        <v>89</v>
      </c>
      <c r="F12058" s="0" t="s">
        <v>90</v>
      </c>
      <c r="G12058" s="0" t="s">
        <v>32</v>
      </c>
      <c r="H12058" s="0" t="n">
        <v>137</v>
      </c>
      <c r="I12058" s="0" t="s">
        <v>40207</v>
      </c>
      <c r="J12058" s="0" t="s">
        <v>40208</v>
      </c>
      <c r="K12058" s="0" t="s">
        <v>40209</v>
      </c>
      <c r="L12058" s="0" t="str">
        <f aca="false">HYPERLINK("https://www.ncbi.nlm.nih.gov/nuccore/CP000304.1?report=graph&amp;tracks=[key:gene_model_track,Options:GeneOnly]&amp;mk=3375882:3375901|offset_41|444444,3375858:3375877|offset_65|444444,3375814:3375833|offset_109|444444,3375786:3375805|offset_137|00cc00&amp;v=3375681:3376005&amp;c=444444", "offset 137")</f>
        <v>offset 137</v>
      </c>
    </row>
    <row r="12059" customFormat="false" ht="12.8" hidden="false" customHeight="false" outlineLevel="0" collapsed="false">
      <c r="A12059" s="0" t="s">
        <v>12</v>
      </c>
      <c r="B12059" s="0" t="n">
        <v>3376122</v>
      </c>
      <c r="C12059" s="0" t="n">
        <v>3376142</v>
      </c>
      <c r="D12059" s="0" t="s">
        <v>40210</v>
      </c>
      <c r="E12059" s="0" t="s">
        <v>89</v>
      </c>
      <c r="F12059" s="0" t="s">
        <v>15</v>
      </c>
      <c r="G12059" s="0" t="s">
        <v>36</v>
      </c>
      <c r="H12059" s="0" t="n">
        <v>13</v>
      </c>
      <c r="I12059" s="0" t="s">
        <v>40211</v>
      </c>
      <c r="J12059" s="0" t="s">
        <v>40212</v>
      </c>
      <c r="K12059" s="0" t="s">
        <v>40213</v>
      </c>
      <c r="L12059" s="0" t="str">
        <f aca="false">HYPERLINK("https://www.ncbi.nlm.nih.gov/nuccore/CP000304.1?report=graph&amp;tracks=[key:gene_model_track,Options:GeneOnly]&amp;mk=3376123:3376142|offset_13|00cc00,3376145:3376164|offset_35|444444,3376165:3376184|offset_55|444444,3376194:3376213|offset_84|444444&amp;v=3375922:3376413&amp;c=444444", "offset 13")</f>
        <v>offset 13</v>
      </c>
    </row>
    <row r="12060" customFormat="false" ht="12.8" hidden="false" customHeight="false" outlineLevel="0" collapsed="false">
      <c r="A12060" s="0" t="s">
        <v>12</v>
      </c>
      <c r="B12060" s="0" t="n">
        <v>3376144</v>
      </c>
      <c r="C12060" s="0" t="n">
        <v>3376164</v>
      </c>
      <c r="D12060" s="0" t="s">
        <v>40210</v>
      </c>
      <c r="E12060" s="0" t="s">
        <v>89</v>
      </c>
      <c r="F12060" s="0" t="s">
        <v>15</v>
      </c>
      <c r="G12060" s="0" t="s">
        <v>26</v>
      </c>
      <c r="H12060" s="0" t="n">
        <v>35</v>
      </c>
      <c r="I12060" s="0" t="s">
        <v>40214</v>
      </c>
      <c r="J12060" s="0" t="s">
        <v>40215</v>
      </c>
      <c r="K12060" s="0" t="s">
        <v>40216</v>
      </c>
      <c r="L12060" s="0" t="str">
        <f aca="false">HYPERLINK("https://www.ncbi.nlm.nih.gov/nuccore/CP000304.1?report=graph&amp;tracks=[key:gene_model_track,Options:GeneOnly]&amp;mk=3376123:3376142|offset_13|444444,3376145:3376164|offset_35|00cc00,3376165:3376184|offset_55|444444,3376194:3376213|offset_84|444444&amp;v=3375922:3376413&amp;c=444444", "offset 35")</f>
        <v>offset 35</v>
      </c>
    </row>
    <row r="12061" customFormat="false" ht="12.8" hidden="false" customHeight="false" outlineLevel="0" collapsed="false">
      <c r="A12061" s="0" t="s">
        <v>12</v>
      </c>
      <c r="B12061" s="0" t="n">
        <v>3376164</v>
      </c>
      <c r="C12061" s="0" t="n">
        <v>3376184</v>
      </c>
      <c r="D12061" s="0" t="s">
        <v>40210</v>
      </c>
      <c r="E12061" s="0" t="s">
        <v>89</v>
      </c>
      <c r="F12061" s="0" t="s">
        <v>15</v>
      </c>
      <c r="G12061" s="0" t="s">
        <v>36</v>
      </c>
      <c r="H12061" s="0" t="n">
        <v>55</v>
      </c>
      <c r="I12061" s="0" t="s">
        <v>40217</v>
      </c>
      <c r="J12061" s="0" t="s">
        <v>40218</v>
      </c>
      <c r="K12061" s="0" t="s">
        <v>40219</v>
      </c>
      <c r="L12061" s="0" t="str">
        <f aca="false">HYPERLINK("https://www.ncbi.nlm.nih.gov/nuccore/CP000304.1?report=graph&amp;tracks=[key:gene_model_track,Options:GeneOnly]&amp;mk=3376123:3376142|offset_13|444444,3376145:3376164|offset_35|444444,3376165:3376184|offset_55|00cc00,3376194:3376213|offset_84|444444&amp;v=3375922:3376413&amp;c=444444", "offset 55")</f>
        <v>offset 55</v>
      </c>
    </row>
    <row r="12062" customFormat="false" ht="12.8" hidden="false" customHeight="false" outlineLevel="0" collapsed="false">
      <c r="A12062" s="0" t="s">
        <v>12</v>
      </c>
      <c r="B12062" s="0" t="n">
        <v>3376193</v>
      </c>
      <c r="C12062" s="0" t="n">
        <v>3376213</v>
      </c>
      <c r="D12062" s="0" t="s">
        <v>40210</v>
      </c>
      <c r="E12062" s="0" t="s">
        <v>89</v>
      </c>
      <c r="F12062" s="0" t="s">
        <v>15</v>
      </c>
      <c r="G12062" s="0" t="s">
        <v>36</v>
      </c>
      <c r="H12062" s="0" t="n">
        <v>84</v>
      </c>
      <c r="I12062" s="0" t="s">
        <v>40220</v>
      </c>
      <c r="J12062" s="0" t="s">
        <v>40221</v>
      </c>
      <c r="K12062" s="0" t="s">
        <v>40222</v>
      </c>
      <c r="L12062" s="0" t="str">
        <f aca="false">HYPERLINK("https://www.ncbi.nlm.nih.gov/nuccore/CP000304.1?report=graph&amp;tracks=[key:gene_model_track,Options:GeneOnly]&amp;mk=3376123:3376142|offset_13|444444,3376145:3376164|offset_35|444444,3376165:3376184|offset_55|444444,3376194:3376213|offset_84|00cc00&amp;v=3375922:3376413&amp;c=444444", "offset 84")</f>
        <v>offset 84</v>
      </c>
    </row>
    <row r="12063" customFormat="false" ht="12.8" hidden="false" customHeight="false" outlineLevel="0" collapsed="false">
      <c r="A12063" s="0" t="s">
        <v>12</v>
      </c>
      <c r="B12063" s="0" t="n">
        <v>3377611</v>
      </c>
      <c r="C12063" s="0" t="n">
        <v>3377631</v>
      </c>
      <c r="D12063" s="0" t="s">
        <v>40223</v>
      </c>
      <c r="E12063" s="0" t="s">
        <v>89</v>
      </c>
      <c r="F12063" s="0" t="s">
        <v>15</v>
      </c>
      <c r="G12063" s="0" t="s">
        <v>16</v>
      </c>
      <c r="H12063" s="0" t="n">
        <v>0</v>
      </c>
      <c r="I12063" s="0" t="s">
        <v>40224</v>
      </c>
      <c r="J12063" s="0" t="s">
        <v>40225</v>
      </c>
      <c r="K12063" s="0" t="s">
        <v>40226</v>
      </c>
      <c r="L12063" s="0" t="str">
        <f aca="false">HYPERLINK("https://www.ncbi.nlm.nih.gov/nuccore/CP000304.1?report=graph&amp;tracks=[key:gene_model_track,Options:GeneOnly]&amp;mk=3377612:3377631|offset_0|00cc00,3377632:3377651|offset_20|444444,3377652:3377671|offset_40|444444,3377686:3377705|offset_74|444444&amp;v=3377411:3377905&amp;c=444444", "offset 0")</f>
        <v>offset 0</v>
      </c>
    </row>
    <row r="12064" customFormat="false" ht="12.8" hidden="false" customHeight="false" outlineLevel="0" collapsed="false">
      <c r="A12064" s="0" t="s">
        <v>12</v>
      </c>
      <c r="B12064" s="0" t="n">
        <v>3377631</v>
      </c>
      <c r="C12064" s="0" t="n">
        <v>3377651</v>
      </c>
      <c r="D12064" s="0" t="s">
        <v>40223</v>
      </c>
      <c r="E12064" s="0" t="s">
        <v>89</v>
      </c>
      <c r="F12064" s="0" t="s">
        <v>15</v>
      </c>
      <c r="G12064" s="0" t="s">
        <v>16</v>
      </c>
      <c r="H12064" s="0" t="n">
        <v>20</v>
      </c>
      <c r="I12064" s="0" t="s">
        <v>40227</v>
      </c>
      <c r="J12064" s="0" t="s">
        <v>40228</v>
      </c>
      <c r="K12064" s="0" t="s">
        <v>40229</v>
      </c>
      <c r="L12064" s="0" t="str">
        <f aca="false">HYPERLINK("https://www.ncbi.nlm.nih.gov/nuccore/CP000304.1?report=graph&amp;tracks=[key:gene_model_track,Options:GeneOnly]&amp;mk=3377612:3377631|offset_0|444444,3377632:3377651|offset_20|00cc00,3377652:3377671|offset_40|444444,3377686:3377705|offset_74|444444&amp;v=3377411:3377905&amp;c=444444", "offset 20")</f>
        <v>offset 20</v>
      </c>
    </row>
    <row r="12065" customFormat="false" ht="12.8" hidden="false" customHeight="false" outlineLevel="0" collapsed="false">
      <c r="A12065" s="0" t="s">
        <v>12</v>
      </c>
      <c r="B12065" s="0" t="n">
        <v>3377651</v>
      </c>
      <c r="C12065" s="0" t="n">
        <v>3377671</v>
      </c>
      <c r="D12065" s="0" t="s">
        <v>40223</v>
      </c>
      <c r="E12065" s="0" t="s">
        <v>89</v>
      </c>
      <c r="F12065" s="0" t="s">
        <v>15</v>
      </c>
      <c r="G12065" s="0" t="s">
        <v>16</v>
      </c>
      <c r="H12065" s="0" t="n">
        <v>40</v>
      </c>
      <c r="I12065" s="0" t="s">
        <v>40230</v>
      </c>
      <c r="J12065" s="0" t="s">
        <v>40231</v>
      </c>
      <c r="K12065" s="0" t="s">
        <v>40232</v>
      </c>
      <c r="L12065" s="0" t="str">
        <f aca="false">HYPERLINK("https://www.ncbi.nlm.nih.gov/nuccore/CP000304.1?report=graph&amp;tracks=[key:gene_model_track,Options:GeneOnly]&amp;mk=3377612:3377631|offset_0|444444,3377632:3377651|offset_20|444444,3377652:3377671|offset_40|00cc00,3377686:3377705|offset_74|444444&amp;v=3377411:3377905&amp;c=444444", "offset 40")</f>
        <v>offset 40</v>
      </c>
    </row>
    <row r="12066" customFormat="false" ht="12.8" hidden="false" customHeight="false" outlineLevel="0" collapsed="false">
      <c r="A12066" s="0" t="s">
        <v>12</v>
      </c>
      <c r="B12066" s="0" t="n">
        <v>3377685</v>
      </c>
      <c r="C12066" s="0" t="n">
        <v>3377705</v>
      </c>
      <c r="D12066" s="0" t="s">
        <v>40223</v>
      </c>
      <c r="E12066" s="0" t="s">
        <v>89</v>
      </c>
      <c r="F12066" s="0" t="s">
        <v>15</v>
      </c>
      <c r="G12066" s="0" t="s">
        <v>36</v>
      </c>
      <c r="H12066" s="0" t="n">
        <v>74</v>
      </c>
      <c r="I12066" s="0" t="s">
        <v>40233</v>
      </c>
      <c r="J12066" s="0" t="s">
        <v>40234</v>
      </c>
      <c r="K12066" s="0" t="s">
        <v>40235</v>
      </c>
      <c r="L12066" s="0" t="str">
        <f aca="false">HYPERLINK("https://www.ncbi.nlm.nih.gov/nuccore/CP000304.1?report=graph&amp;tracks=[key:gene_model_track,Options:GeneOnly]&amp;mk=3377612:3377631|offset_0|444444,3377632:3377651|offset_20|444444,3377652:3377671|offset_40|444444,3377686:3377705|offset_74|00cc00&amp;v=3377411:3377905&amp;c=444444", "offset 74")</f>
        <v>offset 74</v>
      </c>
    </row>
    <row r="12067" customFormat="false" ht="12.8" hidden="false" customHeight="false" outlineLevel="0" collapsed="false">
      <c r="A12067" s="0" t="s">
        <v>12</v>
      </c>
      <c r="B12067" s="0" t="n">
        <v>3379099</v>
      </c>
      <c r="C12067" s="0" t="n">
        <v>3379119</v>
      </c>
      <c r="D12067" s="0" t="s">
        <v>40236</v>
      </c>
      <c r="E12067" s="0" t="s">
        <v>89</v>
      </c>
      <c r="F12067" s="0" t="s">
        <v>15</v>
      </c>
      <c r="G12067" s="0" t="s">
        <v>32</v>
      </c>
      <c r="H12067" s="0" t="n">
        <v>1</v>
      </c>
      <c r="I12067" s="0" t="s">
        <v>40237</v>
      </c>
      <c r="J12067" s="0" t="s">
        <v>40238</v>
      </c>
      <c r="K12067" s="0" t="s">
        <v>40239</v>
      </c>
      <c r="L12067" s="0" t="str">
        <f aca="false">HYPERLINK("https://www.ncbi.nlm.nih.gov/nuccore/CP000304.1?report=graph&amp;tracks=[key:gene_model_track,Options:GeneOnly]&amp;mk=3379100:3379119|offset_1|00cc00,3379148:3379167|offset_49|444444,3379174:3379193|offset_75|444444,3379196:3379215|offset_97|444444&amp;v=3378899:3379415&amp;c=444444", "offset 1")</f>
        <v>offset 1</v>
      </c>
    </row>
    <row r="12068" customFormat="false" ht="12.8" hidden="false" customHeight="false" outlineLevel="0" collapsed="false">
      <c r="A12068" s="0" t="s">
        <v>12</v>
      </c>
      <c r="B12068" s="0" t="n">
        <v>3379147</v>
      </c>
      <c r="C12068" s="0" t="n">
        <v>3379167</v>
      </c>
      <c r="D12068" s="0" t="s">
        <v>40236</v>
      </c>
      <c r="E12068" s="0" t="s">
        <v>89</v>
      </c>
      <c r="F12068" s="0" t="s">
        <v>15</v>
      </c>
      <c r="G12068" s="0" t="s">
        <v>16</v>
      </c>
      <c r="H12068" s="0" t="n">
        <v>49</v>
      </c>
      <c r="I12068" s="0" t="s">
        <v>40240</v>
      </c>
      <c r="J12068" s="0" t="s">
        <v>40241</v>
      </c>
      <c r="K12068" s="0" t="s">
        <v>40242</v>
      </c>
      <c r="L12068" s="0" t="str">
        <f aca="false">HYPERLINK("https://www.ncbi.nlm.nih.gov/nuccore/CP000304.1?report=graph&amp;tracks=[key:gene_model_track,Options:GeneOnly]&amp;mk=3379100:3379119|offset_1|444444,3379148:3379167|offset_49|00cc00,3379174:3379193|offset_75|444444,3379196:3379215|offset_97|444444&amp;v=3378899:3379415&amp;c=444444", "offset 49")</f>
        <v>offset 49</v>
      </c>
    </row>
    <row r="12069" customFormat="false" ht="12.8" hidden="false" customHeight="false" outlineLevel="0" collapsed="false">
      <c r="A12069" s="0" t="s">
        <v>12</v>
      </c>
      <c r="B12069" s="0" t="n">
        <v>3379173</v>
      </c>
      <c r="C12069" s="0" t="n">
        <v>3379193</v>
      </c>
      <c r="D12069" s="0" t="s">
        <v>40236</v>
      </c>
      <c r="E12069" s="0" t="s">
        <v>89</v>
      </c>
      <c r="F12069" s="0" t="s">
        <v>15</v>
      </c>
      <c r="G12069" s="0" t="s">
        <v>26</v>
      </c>
      <c r="H12069" s="0" t="n">
        <v>75</v>
      </c>
      <c r="I12069" s="0" t="s">
        <v>40243</v>
      </c>
      <c r="J12069" s="0" t="s">
        <v>40244</v>
      </c>
      <c r="K12069" s="0" t="s">
        <v>40245</v>
      </c>
      <c r="L12069" s="0" t="str">
        <f aca="false">HYPERLINK("https://www.ncbi.nlm.nih.gov/nuccore/CP000304.1?report=graph&amp;tracks=[key:gene_model_track,Options:GeneOnly]&amp;mk=3379100:3379119|offset_1|444444,3379148:3379167|offset_49|444444,3379174:3379193|offset_75|00cc00,3379196:3379215|offset_97|444444&amp;v=3378899:3379415&amp;c=444444", "offset 75")</f>
        <v>offset 75</v>
      </c>
    </row>
    <row r="12070" customFormat="false" ht="12.8" hidden="false" customHeight="false" outlineLevel="0" collapsed="false">
      <c r="A12070" s="0" t="s">
        <v>12</v>
      </c>
      <c r="B12070" s="0" t="n">
        <v>3379195</v>
      </c>
      <c r="C12070" s="0" t="n">
        <v>3379215</v>
      </c>
      <c r="D12070" s="0" t="s">
        <v>40236</v>
      </c>
      <c r="E12070" s="0" t="s">
        <v>89</v>
      </c>
      <c r="F12070" s="0" t="s">
        <v>15</v>
      </c>
      <c r="G12070" s="0" t="s">
        <v>32</v>
      </c>
      <c r="H12070" s="0" t="n">
        <v>97</v>
      </c>
      <c r="I12070" s="0" t="s">
        <v>40246</v>
      </c>
      <c r="J12070" s="0" t="s">
        <v>40247</v>
      </c>
      <c r="K12070" s="0" t="s">
        <v>40248</v>
      </c>
      <c r="L12070" s="0" t="str">
        <f aca="false">HYPERLINK("https://www.ncbi.nlm.nih.gov/nuccore/CP000304.1?report=graph&amp;tracks=[key:gene_model_track,Options:GeneOnly]&amp;mk=3379100:3379119|offset_1|444444,3379148:3379167|offset_49|444444,3379174:3379193|offset_75|444444,3379196:3379215|offset_97|00cc00&amp;v=3378899:3379415&amp;c=444444", "offset 97")</f>
        <v>offset 97</v>
      </c>
    </row>
    <row r="12071" customFormat="false" ht="12.8" hidden="false" customHeight="false" outlineLevel="0" collapsed="false">
      <c r="A12071" s="0" t="s">
        <v>12</v>
      </c>
      <c r="B12071" s="0" t="n">
        <v>3380192</v>
      </c>
      <c r="C12071" s="0" t="n">
        <v>3380212</v>
      </c>
      <c r="D12071" s="0" t="s">
        <v>40249</v>
      </c>
      <c r="E12071" s="0" t="s">
        <v>89</v>
      </c>
      <c r="F12071" s="0" t="s">
        <v>15</v>
      </c>
      <c r="G12071" s="0" t="s">
        <v>36</v>
      </c>
      <c r="H12071" s="0" t="n">
        <v>16</v>
      </c>
      <c r="I12071" s="0" t="s">
        <v>40250</v>
      </c>
      <c r="J12071" s="0" t="s">
        <v>40251</v>
      </c>
      <c r="K12071" s="0" t="s">
        <v>40252</v>
      </c>
      <c r="L12071" s="0" t="str">
        <f aca="false">HYPERLINK("https://www.ncbi.nlm.nih.gov/nuccore/CP000304.1?report=graph&amp;tracks=[key:gene_model_track,Options:GeneOnly]&amp;mk=3380193:3380212|offset_16|00cc00,3380214:3380233|offset_37|444444,3380248:3380267|offset_71|444444,3380270:3380289|offset_93|444444&amp;v=3379992:3380489&amp;c=444444", "offset 16")</f>
        <v>offset 16</v>
      </c>
    </row>
    <row r="12072" customFormat="false" ht="12.8" hidden="false" customHeight="false" outlineLevel="0" collapsed="false">
      <c r="A12072" s="0" t="s">
        <v>12</v>
      </c>
      <c r="B12072" s="0" t="n">
        <v>3380213</v>
      </c>
      <c r="C12072" s="0" t="n">
        <v>3380233</v>
      </c>
      <c r="D12072" s="0" t="s">
        <v>40249</v>
      </c>
      <c r="E12072" s="0" t="s">
        <v>89</v>
      </c>
      <c r="F12072" s="0" t="s">
        <v>15</v>
      </c>
      <c r="G12072" s="0" t="s">
        <v>16</v>
      </c>
      <c r="H12072" s="0" t="n">
        <v>37</v>
      </c>
      <c r="I12072" s="0" t="s">
        <v>40253</v>
      </c>
      <c r="J12072" s="0" t="s">
        <v>40254</v>
      </c>
      <c r="K12072" s="0" t="s">
        <v>40255</v>
      </c>
      <c r="L12072" s="0" t="str">
        <f aca="false">HYPERLINK("https://www.ncbi.nlm.nih.gov/nuccore/CP000304.1?report=graph&amp;tracks=[key:gene_model_track,Options:GeneOnly]&amp;mk=3380193:3380212|offset_16|444444,3380214:3380233|offset_37|00cc00,3380248:3380267|offset_71|444444,3380270:3380289|offset_93|444444&amp;v=3379992:3380489&amp;c=444444", "offset 37")</f>
        <v>offset 37</v>
      </c>
    </row>
    <row r="12073" customFormat="false" ht="12.8" hidden="false" customHeight="false" outlineLevel="0" collapsed="false">
      <c r="A12073" s="0" t="s">
        <v>12</v>
      </c>
      <c r="B12073" s="0" t="n">
        <v>3380247</v>
      </c>
      <c r="C12073" s="0" t="n">
        <v>3380267</v>
      </c>
      <c r="D12073" s="0" t="s">
        <v>40249</v>
      </c>
      <c r="E12073" s="0" t="s">
        <v>89</v>
      </c>
      <c r="F12073" s="0" t="s">
        <v>15</v>
      </c>
      <c r="G12073" s="0" t="s">
        <v>26</v>
      </c>
      <c r="H12073" s="0" t="n">
        <v>71</v>
      </c>
      <c r="I12073" s="0" t="s">
        <v>40256</v>
      </c>
      <c r="J12073" s="0" t="s">
        <v>40257</v>
      </c>
      <c r="K12073" s="0" t="s">
        <v>40258</v>
      </c>
      <c r="L12073" s="0" t="str">
        <f aca="false">HYPERLINK("https://www.ncbi.nlm.nih.gov/nuccore/CP000304.1?report=graph&amp;tracks=[key:gene_model_track,Options:GeneOnly]&amp;mk=3380193:3380212|offset_16|444444,3380214:3380233|offset_37|444444,3380248:3380267|offset_71|00cc00,3380270:3380289|offset_93|444444&amp;v=3379992:3380489&amp;c=444444", "offset 71")</f>
        <v>offset 71</v>
      </c>
    </row>
    <row r="12074" customFormat="false" ht="12.8" hidden="false" customHeight="false" outlineLevel="0" collapsed="false">
      <c r="A12074" s="0" t="s">
        <v>12</v>
      </c>
      <c r="B12074" s="0" t="n">
        <v>3380269</v>
      </c>
      <c r="C12074" s="0" t="n">
        <v>3380289</v>
      </c>
      <c r="D12074" s="0" t="s">
        <v>40249</v>
      </c>
      <c r="E12074" s="0" t="s">
        <v>89</v>
      </c>
      <c r="F12074" s="0" t="s">
        <v>15</v>
      </c>
      <c r="G12074" s="0" t="s">
        <v>16</v>
      </c>
      <c r="H12074" s="0" t="n">
        <v>93</v>
      </c>
      <c r="I12074" s="0" t="s">
        <v>40259</v>
      </c>
      <c r="J12074" s="0" t="s">
        <v>40260</v>
      </c>
      <c r="K12074" s="0" t="s">
        <v>40261</v>
      </c>
      <c r="L12074" s="0" t="str">
        <f aca="false">HYPERLINK("https://www.ncbi.nlm.nih.gov/nuccore/CP000304.1?report=graph&amp;tracks=[key:gene_model_track,Options:GeneOnly]&amp;mk=3380193:3380212|offset_16|444444,3380214:3380233|offset_37|444444,3380248:3380267|offset_71|444444,3380270:3380289|offset_93|00cc00&amp;v=3379992:3380489&amp;c=444444", "offset 93")</f>
        <v>offset 93</v>
      </c>
    </row>
    <row r="12075" customFormat="false" ht="12.8" hidden="false" customHeight="false" outlineLevel="0" collapsed="false">
      <c r="A12075" s="0" t="s">
        <v>12</v>
      </c>
      <c r="B12075" s="0" t="n">
        <v>3381355</v>
      </c>
      <c r="C12075" s="0" t="n">
        <v>3381375</v>
      </c>
      <c r="D12075" s="0" t="s">
        <v>40262</v>
      </c>
      <c r="E12075" s="0" t="s">
        <v>89</v>
      </c>
      <c r="F12075" s="0" t="s">
        <v>15</v>
      </c>
      <c r="G12075" s="0" t="s">
        <v>36</v>
      </c>
      <c r="H12075" s="0" t="n">
        <v>0</v>
      </c>
      <c r="I12075" s="0" t="s">
        <v>40263</v>
      </c>
      <c r="J12075" s="0" t="s">
        <v>40264</v>
      </c>
      <c r="K12075" s="0" t="s">
        <v>40265</v>
      </c>
      <c r="L12075" s="0" t="str">
        <f aca="false">HYPERLINK("https://www.ncbi.nlm.nih.gov/nuccore/CP000304.1?report=graph&amp;tracks=[key:gene_model_track,Options:GeneOnly]&amp;mk=3381356:3381375|offset_0|00cc00,3381424:3381443|offset_68|444444,3381445:3381464|offset_89|444444,3381469:3381488|offset_113|444444&amp;v=3381155:3381688&amp;c=444444", "offset 0")</f>
        <v>offset 0</v>
      </c>
    </row>
    <row r="12076" customFormat="false" ht="12.8" hidden="false" customHeight="false" outlineLevel="0" collapsed="false">
      <c r="A12076" s="0" t="s">
        <v>12</v>
      </c>
      <c r="B12076" s="0" t="n">
        <v>3381423</v>
      </c>
      <c r="C12076" s="0" t="n">
        <v>3381443</v>
      </c>
      <c r="D12076" s="0" t="s">
        <v>40262</v>
      </c>
      <c r="E12076" s="0" t="s">
        <v>89</v>
      </c>
      <c r="F12076" s="0" t="s">
        <v>15</v>
      </c>
      <c r="G12076" s="0" t="s">
        <v>26</v>
      </c>
      <c r="H12076" s="0" t="n">
        <v>68</v>
      </c>
      <c r="I12076" s="0" t="s">
        <v>40266</v>
      </c>
      <c r="J12076" s="0" t="s">
        <v>40267</v>
      </c>
      <c r="K12076" s="0" t="s">
        <v>40268</v>
      </c>
      <c r="L12076" s="0" t="str">
        <f aca="false">HYPERLINK("https://www.ncbi.nlm.nih.gov/nuccore/CP000304.1?report=graph&amp;tracks=[key:gene_model_track,Options:GeneOnly]&amp;mk=3381356:3381375|offset_0|444444,3381424:3381443|offset_68|00cc00,3381445:3381464|offset_89|444444,3381469:3381488|offset_113|444444&amp;v=3381155:3381688&amp;c=444444", "offset 68")</f>
        <v>offset 68</v>
      </c>
    </row>
    <row r="12077" customFormat="false" ht="12.8" hidden="false" customHeight="false" outlineLevel="0" collapsed="false">
      <c r="A12077" s="0" t="s">
        <v>12</v>
      </c>
      <c r="B12077" s="0" t="n">
        <v>3381444</v>
      </c>
      <c r="C12077" s="0" t="n">
        <v>3381464</v>
      </c>
      <c r="D12077" s="0" t="s">
        <v>40262</v>
      </c>
      <c r="E12077" s="0" t="s">
        <v>89</v>
      </c>
      <c r="F12077" s="0" t="s">
        <v>15</v>
      </c>
      <c r="G12077" s="0" t="s">
        <v>16</v>
      </c>
      <c r="H12077" s="0" t="n">
        <v>89</v>
      </c>
      <c r="I12077" s="0" t="s">
        <v>40269</v>
      </c>
      <c r="J12077" s="0" t="s">
        <v>40270</v>
      </c>
      <c r="K12077" s="0" t="s">
        <v>40271</v>
      </c>
      <c r="L12077" s="0" t="str">
        <f aca="false">HYPERLINK("https://www.ncbi.nlm.nih.gov/nuccore/CP000304.1?report=graph&amp;tracks=[key:gene_model_track,Options:GeneOnly]&amp;mk=3381356:3381375|offset_0|444444,3381424:3381443|offset_68|444444,3381445:3381464|offset_89|00cc00,3381469:3381488|offset_113|444444&amp;v=3381155:3381688&amp;c=444444", "offset 89")</f>
        <v>offset 89</v>
      </c>
    </row>
    <row r="12078" customFormat="false" ht="12.8" hidden="false" customHeight="false" outlineLevel="0" collapsed="false">
      <c r="A12078" s="0" t="s">
        <v>12</v>
      </c>
      <c r="B12078" s="0" t="n">
        <v>3381468</v>
      </c>
      <c r="C12078" s="0" t="n">
        <v>3381488</v>
      </c>
      <c r="D12078" s="0" t="s">
        <v>40262</v>
      </c>
      <c r="E12078" s="0" t="s">
        <v>89</v>
      </c>
      <c r="F12078" s="0" t="s">
        <v>15</v>
      </c>
      <c r="G12078" s="0" t="s">
        <v>32</v>
      </c>
      <c r="H12078" s="0" t="n">
        <v>113</v>
      </c>
      <c r="I12078" s="0" t="s">
        <v>40272</v>
      </c>
      <c r="J12078" s="0" t="s">
        <v>40273</v>
      </c>
      <c r="K12078" s="0" t="s">
        <v>40274</v>
      </c>
      <c r="L12078" s="0" t="str">
        <f aca="false">HYPERLINK("https://www.ncbi.nlm.nih.gov/nuccore/CP000304.1?report=graph&amp;tracks=[key:gene_model_track,Options:GeneOnly]&amp;mk=3381356:3381375|offset_0|444444,3381424:3381443|offset_68|444444,3381445:3381464|offset_89|444444,3381469:3381488|offset_113|00cc00&amp;v=3381155:3381688&amp;c=444444", "offset 113")</f>
        <v>offset 113</v>
      </c>
    </row>
    <row r="12079" customFormat="false" ht="12.8" hidden="false" customHeight="false" outlineLevel="0" collapsed="false">
      <c r="A12079" s="0" t="s">
        <v>12</v>
      </c>
      <c r="B12079" s="0" t="n">
        <v>3383211</v>
      </c>
      <c r="C12079" s="0" t="n">
        <v>3383231</v>
      </c>
      <c r="D12079" s="0" t="s">
        <v>40275</v>
      </c>
      <c r="E12079" s="0" t="s">
        <v>89</v>
      </c>
      <c r="F12079" s="0" t="s">
        <v>15</v>
      </c>
      <c r="G12079" s="0" t="s">
        <v>16</v>
      </c>
      <c r="H12079" s="0" t="n">
        <v>11</v>
      </c>
      <c r="I12079" s="0" t="s">
        <v>40276</v>
      </c>
      <c r="J12079" s="0" t="s">
        <v>40277</v>
      </c>
      <c r="K12079" s="0" t="s">
        <v>40278</v>
      </c>
      <c r="L12079" s="0" t="str">
        <f aca="false">HYPERLINK("https://www.ncbi.nlm.nih.gov/nuccore/CP000304.1?report=graph&amp;tracks=[key:gene_model_track,Options:GeneOnly]&amp;mk=3383212:3383231|offset_11|00cc00,3383257:3383276|offset_56|444444,3383312:3383331|offset_111|444444,3383346:3383365|offset_145|444444&amp;v=3383011:3383565&amp;c=444444", "offset 11")</f>
        <v>offset 11</v>
      </c>
    </row>
    <row r="12080" customFormat="false" ht="12.8" hidden="false" customHeight="false" outlineLevel="0" collapsed="false">
      <c r="A12080" s="0" t="s">
        <v>12</v>
      </c>
      <c r="B12080" s="0" t="n">
        <v>3383256</v>
      </c>
      <c r="C12080" s="0" t="n">
        <v>3383276</v>
      </c>
      <c r="D12080" s="0" t="s">
        <v>40275</v>
      </c>
      <c r="E12080" s="0" t="s">
        <v>89</v>
      </c>
      <c r="F12080" s="0" t="s">
        <v>15</v>
      </c>
      <c r="G12080" s="0" t="s">
        <v>26</v>
      </c>
      <c r="H12080" s="0" t="n">
        <v>56</v>
      </c>
      <c r="I12080" s="0" t="s">
        <v>40279</v>
      </c>
      <c r="J12080" s="0" t="s">
        <v>40280</v>
      </c>
      <c r="K12080" s="0" t="s">
        <v>40281</v>
      </c>
      <c r="L12080" s="0" t="str">
        <f aca="false">HYPERLINK("https://www.ncbi.nlm.nih.gov/nuccore/CP000304.1?report=graph&amp;tracks=[key:gene_model_track,Options:GeneOnly]&amp;mk=3383212:3383231|offset_11|444444,3383257:3383276|offset_56|00cc00,3383312:3383331|offset_111|444444,3383346:3383365|offset_145|444444&amp;v=3383011:3383565&amp;c=444444", "offset 56")</f>
        <v>offset 56</v>
      </c>
    </row>
    <row r="12081" customFormat="false" ht="12.8" hidden="false" customHeight="false" outlineLevel="0" collapsed="false">
      <c r="A12081" s="0" t="s">
        <v>12</v>
      </c>
      <c r="B12081" s="0" t="n">
        <v>3383311</v>
      </c>
      <c r="C12081" s="0" t="n">
        <v>3383331</v>
      </c>
      <c r="D12081" s="0" t="s">
        <v>40275</v>
      </c>
      <c r="E12081" s="0" t="s">
        <v>89</v>
      </c>
      <c r="F12081" s="0" t="s">
        <v>15</v>
      </c>
      <c r="G12081" s="0" t="s">
        <v>36</v>
      </c>
      <c r="H12081" s="0" t="n">
        <v>111</v>
      </c>
      <c r="I12081" s="0" t="s">
        <v>40282</v>
      </c>
      <c r="J12081" s="0" t="s">
        <v>40283</v>
      </c>
      <c r="K12081" s="0" t="s">
        <v>40284</v>
      </c>
      <c r="L12081" s="0" t="str">
        <f aca="false">HYPERLINK("https://www.ncbi.nlm.nih.gov/nuccore/CP000304.1?report=graph&amp;tracks=[key:gene_model_track,Options:GeneOnly]&amp;mk=3383212:3383231|offset_11|444444,3383257:3383276|offset_56|444444,3383312:3383331|offset_111|00cc00,3383346:3383365|offset_145|444444&amp;v=3383011:3383565&amp;c=444444", "offset 111")</f>
        <v>offset 111</v>
      </c>
    </row>
    <row r="12082" customFormat="false" ht="12.8" hidden="false" customHeight="false" outlineLevel="0" collapsed="false">
      <c r="A12082" s="0" t="s">
        <v>12</v>
      </c>
      <c r="B12082" s="0" t="n">
        <v>3383345</v>
      </c>
      <c r="C12082" s="0" t="n">
        <v>3383365</v>
      </c>
      <c r="D12082" s="0" t="s">
        <v>40275</v>
      </c>
      <c r="E12082" s="0" t="s">
        <v>89</v>
      </c>
      <c r="F12082" s="0" t="s">
        <v>15</v>
      </c>
      <c r="G12082" s="0" t="s">
        <v>36</v>
      </c>
      <c r="H12082" s="0" t="n">
        <v>145</v>
      </c>
      <c r="I12082" s="0" t="s">
        <v>40285</v>
      </c>
      <c r="J12082" s="0" t="s">
        <v>40286</v>
      </c>
      <c r="K12082" s="0" t="s">
        <v>40287</v>
      </c>
      <c r="L12082" s="0" t="str">
        <f aca="false">HYPERLINK("https://www.ncbi.nlm.nih.gov/nuccore/CP000304.1?report=graph&amp;tracks=[key:gene_model_track,Options:GeneOnly]&amp;mk=3383212:3383231|offset_11|444444,3383257:3383276|offset_56|444444,3383312:3383331|offset_111|444444,3383346:3383365|offset_145|00cc00&amp;v=3383011:3383565&amp;c=444444", "offset 145")</f>
        <v>offset 145</v>
      </c>
    </row>
    <row r="12083" customFormat="false" ht="12.8" hidden="false" customHeight="false" outlineLevel="0" collapsed="false">
      <c r="A12083" s="0" t="s">
        <v>12</v>
      </c>
      <c r="B12083" s="0" t="n">
        <v>3384632</v>
      </c>
      <c r="C12083" s="0" t="n">
        <v>3384652</v>
      </c>
      <c r="D12083" s="0" t="s">
        <v>40288</v>
      </c>
      <c r="E12083" s="0" t="s">
        <v>89</v>
      </c>
      <c r="F12083" s="0" t="s">
        <v>15</v>
      </c>
      <c r="G12083" s="0" t="s">
        <v>26</v>
      </c>
      <c r="H12083" s="0" t="n">
        <v>7</v>
      </c>
      <c r="I12083" s="0" t="s">
        <v>40289</v>
      </c>
      <c r="J12083" s="0" t="s">
        <v>40290</v>
      </c>
      <c r="K12083" s="0" t="s">
        <v>40291</v>
      </c>
      <c r="L12083" s="0" t="str">
        <f aca="false">HYPERLINK("https://www.ncbi.nlm.nih.gov/nuccore/CP000304.1?report=graph&amp;tracks=[key:gene_model_track,Options:GeneOnly]&amp;mk=3384633:3384652|offset_7|00cc00,3384654:3384673|offset_28|444444,3384687:3384706|offset_61|444444,3384708:3384727|offset_82|444444&amp;v=3384432:3384927&amp;c=444444", "offset 7")</f>
        <v>offset 7</v>
      </c>
    </row>
    <row r="12084" customFormat="false" ht="12.8" hidden="false" customHeight="false" outlineLevel="0" collapsed="false">
      <c r="A12084" s="0" t="s">
        <v>12</v>
      </c>
      <c r="B12084" s="0" t="n">
        <v>3384653</v>
      </c>
      <c r="C12084" s="0" t="n">
        <v>3384673</v>
      </c>
      <c r="D12084" s="0" t="s">
        <v>40288</v>
      </c>
      <c r="E12084" s="0" t="s">
        <v>89</v>
      </c>
      <c r="F12084" s="0" t="s">
        <v>15</v>
      </c>
      <c r="G12084" s="0" t="s">
        <v>26</v>
      </c>
      <c r="H12084" s="0" t="n">
        <v>28</v>
      </c>
      <c r="I12084" s="0" t="s">
        <v>40292</v>
      </c>
      <c r="J12084" s="0" t="s">
        <v>40293</v>
      </c>
      <c r="K12084" s="0" t="s">
        <v>40294</v>
      </c>
      <c r="L12084" s="0" t="str">
        <f aca="false">HYPERLINK("https://www.ncbi.nlm.nih.gov/nuccore/CP000304.1?report=graph&amp;tracks=[key:gene_model_track,Options:GeneOnly]&amp;mk=3384633:3384652|offset_7|444444,3384654:3384673|offset_28|00cc00,3384687:3384706|offset_61|444444,3384708:3384727|offset_82|444444&amp;v=3384432:3384927&amp;c=444444", "offset 28")</f>
        <v>offset 28</v>
      </c>
    </row>
    <row r="12085" customFormat="false" ht="12.8" hidden="false" customHeight="false" outlineLevel="0" collapsed="false">
      <c r="A12085" s="0" t="s">
        <v>12</v>
      </c>
      <c r="B12085" s="0" t="n">
        <v>3384686</v>
      </c>
      <c r="C12085" s="0" t="n">
        <v>3384706</v>
      </c>
      <c r="D12085" s="0" t="s">
        <v>40288</v>
      </c>
      <c r="E12085" s="0" t="s">
        <v>89</v>
      </c>
      <c r="F12085" s="0" t="s">
        <v>15</v>
      </c>
      <c r="G12085" s="0" t="s">
        <v>16</v>
      </c>
      <c r="H12085" s="0" t="n">
        <v>61</v>
      </c>
      <c r="I12085" s="0" t="s">
        <v>40295</v>
      </c>
      <c r="J12085" s="0" t="s">
        <v>40296</v>
      </c>
      <c r="K12085" s="0" t="s">
        <v>40297</v>
      </c>
      <c r="L12085" s="0" t="str">
        <f aca="false">HYPERLINK("https://www.ncbi.nlm.nih.gov/nuccore/CP000304.1?report=graph&amp;tracks=[key:gene_model_track,Options:GeneOnly]&amp;mk=3384633:3384652|offset_7|444444,3384654:3384673|offset_28|444444,3384687:3384706|offset_61|00cc00,3384708:3384727|offset_82|444444&amp;v=3384432:3384927&amp;c=444444", "offset 61")</f>
        <v>offset 61</v>
      </c>
    </row>
    <row r="12086" customFormat="false" ht="12.8" hidden="false" customHeight="false" outlineLevel="0" collapsed="false">
      <c r="A12086" s="0" t="s">
        <v>12</v>
      </c>
      <c r="B12086" s="0" t="n">
        <v>3384707</v>
      </c>
      <c r="C12086" s="0" t="n">
        <v>3384727</v>
      </c>
      <c r="D12086" s="0" t="s">
        <v>40288</v>
      </c>
      <c r="E12086" s="0" t="s">
        <v>89</v>
      </c>
      <c r="F12086" s="0" t="s">
        <v>15</v>
      </c>
      <c r="G12086" s="0" t="s">
        <v>16</v>
      </c>
      <c r="H12086" s="0" t="n">
        <v>82</v>
      </c>
      <c r="I12086" s="0" t="s">
        <v>40298</v>
      </c>
      <c r="J12086" s="0" t="s">
        <v>40299</v>
      </c>
      <c r="K12086" s="0" t="s">
        <v>40300</v>
      </c>
      <c r="L12086" s="0" t="str">
        <f aca="false">HYPERLINK("https://www.ncbi.nlm.nih.gov/nuccore/CP000304.1?report=graph&amp;tracks=[key:gene_model_track,Options:GeneOnly]&amp;mk=3384633:3384652|offset_7|444444,3384654:3384673|offset_28|444444,3384687:3384706|offset_61|444444,3384708:3384727|offset_82|00cc00&amp;v=3384432:3384927&amp;c=444444", "offset 82")</f>
        <v>offset 82</v>
      </c>
    </row>
    <row r="12087" customFormat="false" ht="12.8" hidden="false" customHeight="false" outlineLevel="0" collapsed="false">
      <c r="A12087" s="0" t="s">
        <v>12</v>
      </c>
      <c r="B12087" s="0" t="n">
        <v>3387657</v>
      </c>
      <c r="C12087" s="0" t="n">
        <v>3387677</v>
      </c>
      <c r="D12087" s="0" t="s">
        <v>40301</v>
      </c>
      <c r="E12087" s="0" t="s">
        <v>89</v>
      </c>
      <c r="F12087" s="0" t="s">
        <v>90</v>
      </c>
      <c r="G12087" s="0" t="s">
        <v>32</v>
      </c>
      <c r="H12087" s="0" t="n">
        <v>1</v>
      </c>
      <c r="I12087" s="0" t="s">
        <v>40302</v>
      </c>
      <c r="J12087" s="0" t="s">
        <v>40303</v>
      </c>
      <c r="K12087" s="0" t="s">
        <v>40304</v>
      </c>
      <c r="L12087" s="0" t="str">
        <f aca="false">HYPERLINK("https://www.ncbi.nlm.nih.gov/nuccore/CP000304.1?report=graph&amp;tracks=[key:gene_model_track,Options:GeneOnly]&amp;mk=3387658:3387677|offset_1|00cc00,3387627:3387646|offset_32|444444,3387604:3387623|offset_55|444444,3387575:3387594|offset_84|444444&amp;v=3387457:3387794&amp;c=444444", "offset 1")</f>
        <v>offset 1</v>
      </c>
    </row>
    <row r="12088" customFormat="false" ht="12.8" hidden="false" customHeight="false" outlineLevel="0" collapsed="false">
      <c r="A12088" s="0" t="s">
        <v>12</v>
      </c>
      <c r="B12088" s="0" t="n">
        <v>3387626</v>
      </c>
      <c r="C12088" s="0" t="n">
        <v>3387646</v>
      </c>
      <c r="D12088" s="0" t="s">
        <v>40301</v>
      </c>
      <c r="E12088" s="0" t="s">
        <v>89</v>
      </c>
      <c r="F12088" s="0" t="s">
        <v>90</v>
      </c>
      <c r="G12088" s="0" t="s">
        <v>26</v>
      </c>
      <c r="H12088" s="0" t="n">
        <v>32</v>
      </c>
      <c r="I12088" s="0" t="s">
        <v>40305</v>
      </c>
      <c r="J12088" s="0" t="s">
        <v>40306</v>
      </c>
      <c r="K12088" s="0" t="s">
        <v>40307</v>
      </c>
      <c r="L12088" s="0" t="str">
        <f aca="false">HYPERLINK("https://www.ncbi.nlm.nih.gov/nuccore/CP000304.1?report=graph&amp;tracks=[key:gene_model_track,Options:GeneOnly]&amp;mk=3387658:3387677|offset_1|444444,3387627:3387646|offset_32|00cc00,3387604:3387623|offset_55|444444,3387575:3387594|offset_84|444444&amp;v=3387457:3387794&amp;c=444444", "offset 32")</f>
        <v>offset 32</v>
      </c>
    </row>
    <row r="12089" customFormat="false" ht="12.8" hidden="false" customHeight="false" outlineLevel="0" collapsed="false">
      <c r="A12089" s="0" t="s">
        <v>12</v>
      </c>
      <c r="B12089" s="0" t="n">
        <v>3387603</v>
      </c>
      <c r="C12089" s="0" t="n">
        <v>3387623</v>
      </c>
      <c r="D12089" s="0" t="s">
        <v>40301</v>
      </c>
      <c r="E12089" s="0" t="s">
        <v>89</v>
      </c>
      <c r="F12089" s="0" t="s">
        <v>90</v>
      </c>
      <c r="G12089" s="0" t="s">
        <v>32</v>
      </c>
      <c r="H12089" s="0" t="n">
        <v>55</v>
      </c>
      <c r="I12089" s="0" t="s">
        <v>40308</v>
      </c>
      <c r="J12089" s="0" t="s">
        <v>40309</v>
      </c>
      <c r="K12089" s="0" t="s">
        <v>40310</v>
      </c>
      <c r="L12089" s="0" t="str">
        <f aca="false">HYPERLINK("https://www.ncbi.nlm.nih.gov/nuccore/CP000304.1?report=graph&amp;tracks=[key:gene_model_track,Options:GeneOnly]&amp;mk=3387658:3387677|offset_1|444444,3387627:3387646|offset_32|444444,3387604:3387623|offset_55|00cc00,3387575:3387594|offset_84|444444&amp;v=3387457:3387794&amp;c=444444", "offset 55")</f>
        <v>offset 55</v>
      </c>
    </row>
    <row r="12090" customFormat="false" ht="12.8" hidden="false" customHeight="false" outlineLevel="0" collapsed="false">
      <c r="A12090" s="0" t="s">
        <v>12</v>
      </c>
      <c r="B12090" s="0" t="n">
        <v>3387574</v>
      </c>
      <c r="C12090" s="0" t="n">
        <v>3387594</v>
      </c>
      <c r="D12090" s="0" t="s">
        <v>40301</v>
      </c>
      <c r="E12090" s="0" t="s">
        <v>89</v>
      </c>
      <c r="F12090" s="0" t="s">
        <v>90</v>
      </c>
      <c r="G12090" s="0" t="s">
        <v>36</v>
      </c>
      <c r="H12090" s="0" t="n">
        <v>84</v>
      </c>
      <c r="I12090" s="0" t="s">
        <v>40311</v>
      </c>
      <c r="J12090" s="0" t="s">
        <v>40312</v>
      </c>
      <c r="K12090" s="0" t="s">
        <v>40313</v>
      </c>
      <c r="L12090" s="0" t="str">
        <f aca="false">HYPERLINK("https://www.ncbi.nlm.nih.gov/nuccore/CP000304.1?report=graph&amp;tracks=[key:gene_model_track,Options:GeneOnly]&amp;mk=3387658:3387677|offset_1|444444,3387627:3387646|offset_32|444444,3387604:3387623|offset_55|444444,3387575:3387594|offset_84|00cc00&amp;v=3387457:3387794&amp;c=444444", "offset 84")</f>
        <v>offset 84</v>
      </c>
    </row>
    <row r="12091" customFormat="false" ht="12.8" hidden="false" customHeight="false" outlineLevel="0" collapsed="false">
      <c r="A12091" s="0" t="s">
        <v>12</v>
      </c>
      <c r="B12091" s="0" t="n">
        <v>3389423</v>
      </c>
      <c r="C12091" s="0" t="n">
        <v>3389443</v>
      </c>
      <c r="D12091" s="0" t="s">
        <v>40314</v>
      </c>
      <c r="E12091" s="0" t="s">
        <v>40315</v>
      </c>
      <c r="F12091" s="0" t="s">
        <v>90</v>
      </c>
      <c r="G12091" s="0" t="s">
        <v>16</v>
      </c>
      <c r="H12091" s="0" t="n">
        <v>34</v>
      </c>
      <c r="I12091" s="0" t="s">
        <v>40316</v>
      </c>
      <c r="J12091" s="0" t="s">
        <v>40317</v>
      </c>
      <c r="K12091" s="0" t="s">
        <v>40318</v>
      </c>
      <c r="L12091" s="0" t="str">
        <f aca="false">HYPERLINK("https://www.ncbi.nlm.nih.gov/nuccore/CP000304.1?report=graph&amp;tracks=[key:gene_model_track,Options:GeneOnly]&amp;mk=3389424:3389443|offset_34|00cc00,3389390:3389409|offset_68|444444,3389367:3389386|offset_91|444444,3389317:3389336|offset_141|444444&amp;v=3389223:3389536&amp;c=444444", "offset 34")</f>
        <v>offset 34</v>
      </c>
    </row>
    <row r="12092" customFormat="false" ht="12.8" hidden="false" customHeight="false" outlineLevel="0" collapsed="false">
      <c r="A12092" s="0" t="s">
        <v>12</v>
      </c>
      <c r="B12092" s="0" t="n">
        <v>3389389</v>
      </c>
      <c r="C12092" s="0" t="n">
        <v>3389409</v>
      </c>
      <c r="D12092" s="0" t="s">
        <v>40314</v>
      </c>
      <c r="E12092" s="0" t="s">
        <v>40315</v>
      </c>
      <c r="F12092" s="0" t="s">
        <v>90</v>
      </c>
      <c r="G12092" s="0" t="s">
        <v>26</v>
      </c>
      <c r="H12092" s="0" t="n">
        <v>68</v>
      </c>
      <c r="I12092" s="0" t="s">
        <v>40319</v>
      </c>
      <c r="J12092" s="0" t="s">
        <v>40320</v>
      </c>
      <c r="K12092" s="0" t="s">
        <v>40321</v>
      </c>
      <c r="L12092" s="0" t="str">
        <f aca="false">HYPERLINK("https://www.ncbi.nlm.nih.gov/nuccore/CP000304.1?report=graph&amp;tracks=[key:gene_model_track,Options:GeneOnly]&amp;mk=3389424:3389443|offset_34|444444,3389390:3389409|offset_68|00cc00,3389367:3389386|offset_91|444444,3389317:3389336|offset_141|444444&amp;v=3389223:3389536&amp;c=444444", "offset 68")</f>
        <v>offset 68</v>
      </c>
    </row>
    <row r="12093" customFormat="false" ht="12.8" hidden="false" customHeight="false" outlineLevel="0" collapsed="false">
      <c r="A12093" s="0" t="s">
        <v>12</v>
      </c>
      <c r="B12093" s="0" t="n">
        <v>3389366</v>
      </c>
      <c r="C12093" s="0" t="n">
        <v>3389386</v>
      </c>
      <c r="D12093" s="0" t="s">
        <v>40314</v>
      </c>
      <c r="E12093" s="0" t="s">
        <v>40315</v>
      </c>
      <c r="F12093" s="0" t="s">
        <v>90</v>
      </c>
      <c r="G12093" s="0" t="s">
        <v>36</v>
      </c>
      <c r="H12093" s="0" t="n">
        <v>91</v>
      </c>
      <c r="I12093" s="0" t="s">
        <v>40322</v>
      </c>
      <c r="J12093" s="0" t="s">
        <v>40323</v>
      </c>
      <c r="K12093" s="0" t="s">
        <v>40324</v>
      </c>
      <c r="L12093" s="0" t="str">
        <f aca="false">HYPERLINK("https://www.ncbi.nlm.nih.gov/nuccore/CP000304.1?report=graph&amp;tracks=[key:gene_model_track,Options:GeneOnly]&amp;mk=3389424:3389443|offset_34|444444,3389390:3389409|offset_68|444444,3389367:3389386|offset_91|00cc00,3389317:3389336|offset_141|444444&amp;v=3389223:3389536&amp;c=444444", "offset 91")</f>
        <v>offset 91</v>
      </c>
    </row>
    <row r="12094" customFormat="false" ht="12.8" hidden="false" customHeight="false" outlineLevel="0" collapsed="false">
      <c r="A12094" s="0" t="s">
        <v>12</v>
      </c>
      <c r="B12094" s="0" t="n">
        <v>3389316</v>
      </c>
      <c r="C12094" s="0" t="n">
        <v>3389336</v>
      </c>
      <c r="D12094" s="0" t="s">
        <v>40314</v>
      </c>
      <c r="E12094" s="0" t="s">
        <v>40315</v>
      </c>
      <c r="F12094" s="0" t="s">
        <v>90</v>
      </c>
      <c r="G12094" s="0" t="s">
        <v>16</v>
      </c>
      <c r="H12094" s="0" t="n">
        <v>141</v>
      </c>
      <c r="I12094" s="0" t="s">
        <v>40325</v>
      </c>
      <c r="J12094" s="0" t="s">
        <v>40326</v>
      </c>
      <c r="K12094" s="0" t="s">
        <v>40327</v>
      </c>
      <c r="L12094" s="0" t="str">
        <f aca="false">HYPERLINK("https://www.ncbi.nlm.nih.gov/nuccore/CP000304.1?report=graph&amp;tracks=[key:gene_model_track,Options:GeneOnly]&amp;mk=3389424:3389443|offset_34|444444,3389390:3389409|offset_68|444444,3389367:3389386|offset_91|444444,3389317:3389336|offset_141|00cc00&amp;v=3389223:3389536&amp;c=444444", "offset 141")</f>
        <v>offset 141</v>
      </c>
    </row>
    <row r="12095" customFormat="false" ht="12.8" hidden="false" customHeight="false" outlineLevel="0" collapsed="false">
      <c r="A12095" s="0" t="s">
        <v>12</v>
      </c>
      <c r="B12095" s="0" t="n">
        <v>3389783</v>
      </c>
      <c r="C12095" s="0" t="n">
        <v>3389803</v>
      </c>
      <c r="D12095" s="0" t="s">
        <v>40328</v>
      </c>
      <c r="E12095" s="0" t="s">
        <v>40329</v>
      </c>
      <c r="F12095" s="0" t="s">
        <v>90</v>
      </c>
      <c r="G12095" s="0" t="s">
        <v>26</v>
      </c>
      <c r="H12095" s="0" t="n">
        <v>15</v>
      </c>
      <c r="I12095" s="0" t="s">
        <v>40330</v>
      </c>
      <c r="J12095" s="0" t="s">
        <v>40331</v>
      </c>
      <c r="K12095" s="0" t="s">
        <v>40332</v>
      </c>
      <c r="L12095" s="0" t="str">
        <f aca="false">HYPERLINK("https://www.ncbi.nlm.nih.gov/nuccore/CP000304.1?report=graph&amp;tracks=[key:gene_model_track,Options:GeneOnly]&amp;mk=3389784:3389803|offset_15|00cc00,3389741:3389760|offset_58|444444,3389719:3389738|offset_80|444444,3389694:3389713|offset_105|444444&amp;v=3389583:3389913&amp;c=444444", "offset 15")</f>
        <v>offset 15</v>
      </c>
    </row>
    <row r="12096" customFormat="false" ht="12.8" hidden="false" customHeight="false" outlineLevel="0" collapsed="false">
      <c r="A12096" s="0" t="s">
        <v>12</v>
      </c>
      <c r="B12096" s="0" t="n">
        <v>3389740</v>
      </c>
      <c r="C12096" s="0" t="n">
        <v>3389760</v>
      </c>
      <c r="D12096" s="0" t="s">
        <v>40328</v>
      </c>
      <c r="E12096" s="0" t="s">
        <v>40329</v>
      </c>
      <c r="F12096" s="0" t="s">
        <v>90</v>
      </c>
      <c r="G12096" s="0" t="s">
        <v>32</v>
      </c>
      <c r="H12096" s="0" t="n">
        <v>58</v>
      </c>
      <c r="I12096" s="0" t="s">
        <v>40333</v>
      </c>
      <c r="J12096" s="0" t="s">
        <v>40334</v>
      </c>
      <c r="K12096" s="0" t="s">
        <v>40335</v>
      </c>
      <c r="L12096" s="0" t="str">
        <f aca="false">HYPERLINK("https://www.ncbi.nlm.nih.gov/nuccore/CP000304.1?report=graph&amp;tracks=[key:gene_model_track,Options:GeneOnly]&amp;mk=3389784:3389803|offset_15|444444,3389741:3389760|offset_58|00cc00,3389719:3389738|offset_80|444444,3389694:3389713|offset_105|444444&amp;v=3389583:3389913&amp;c=444444", "offset 58")</f>
        <v>offset 58</v>
      </c>
    </row>
    <row r="12097" customFormat="false" ht="12.8" hidden="false" customHeight="false" outlineLevel="0" collapsed="false">
      <c r="A12097" s="0" t="s">
        <v>12</v>
      </c>
      <c r="B12097" s="0" t="n">
        <v>3389718</v>
      </c>
      <c r="C12097" s="0" t="n">
        <v>3389738</v>
      </c>
      <c r="D12097" s="0" t="s">
        <v>40328</v>
      </c>
      <c r="E12097" s="0" t="s">
        <v>40329</v>
      </c>
      <c r="F12097" s="0" t="s">
        <v>90</v>
      </c>
      <c r="G12097" s="0" t="s">
        <v>26</v>
      </c>
      <c r="H12097" s="0" t="n">
        <v>80</v>
      </c>
      <c r="I12097" s="0" t="s">
        <v>40336</v>
      </c>
      <c r="J12097" s="0" t="s">
        <v>40337</v>
      </c>
      <c r="K12097" s="0" t="s">
        <v>40338</v>
      </c>
      <c r="L12097" s="0" t="str">
        <f aca="false">HYPERLINK("https://www.ncbi.nlm.nih.gov/nuccore/CP000304.1?report=graph&amp;tracks=[key:gene_model_track,Options:GeneOnly]&amp;mk=3389784:3389803|offset_15|444444,3389741:3389760|offset_58|444444,3389719:3389738|offset_80|00cc00,3389694:3389713|offset_105|444444&amp;v=3389583:3389913&amp;c=444444", "offset 80")</f>
        <v>offset 80</v>
      </c>
    </row>
    <row r="12098" customFormat="false" ht="12.8" hidden="false" customHeight="false" outlineLevel="0" collapsed="false">
      <c r="A12098" s="0" t="s">
        <v>12</v>
      </c>
      <c r="B12098" s="0" t="n">
        <v>3389693</v>
      </c>
      <c r="C12098" s="0" t="n">
        <v>3389713</v>
      </c>
      <c r="D12098" s="0" t="s">
        <v>40328</v>
      </c>
      <c r="E12098" s="0" t="s">
        <v>40329</v>
      </c>
      <c r="F12098" s="0" t="s">
        <v>90</v>
      </c>
      <c r="G12098" s="0" t="s">
        <v>16</v>
      </c>
      <c r="H12098" s="0" t="n">
        <v>105</v>
      </c>
      <c r="I12098" s="0" t="s">
        <v>40339</v>
      </c>
      <c r="J12098" s="0" t="s">
        <v>40340</v>
      </c>
      <c r="K12098" s="0" t="s">
        <v>40341</v>
      </c>
      <c r="L12098" s="0" t="str">
        <f aca="false">HYPERLINK("https://www.ncbi.nlm.nih.gov/nuccore/CP000304.1?report=graph&amp;tracks=[key:gene_model_track,Options:GeneOnly]&amp;mk=3389784:3389803|offset_15|444444,3389741:3389760|offset_58|444444,3389719:3389738|offset_80|444444,3389694:3389713|offset_105|00cc00&amp;v=3389583:3389913&amp;c=444444", "offset 105")</f>
        <v>offset 105</v>
      </c>
    </row>
    <row r="12099" customFormat="false" ht="12.8" hidden="false" customHeight="false" outlineLevel="0" collapsed="false">
      <c r="A12099" s="0" t="s">
        <v>12</v>
      </c>
      <c r="B12099" s="0" t="n">
        <v>3390550</v>
      </c>
      <c r="C12099" s="0" t="n">
        <v>3390570</v>
      </c>
      <c r="D12099" s="0" t="s">
        <v>40342</v>
      </c>
      <c r="E12099" s="0" t="s">
        <v>89</v>
      </c>
      <c r="F12099" s="0" t="s">
        <v>90</v>
      </c>
      <c r="G12099" s="0" t="s">
        <v>16</v>
      </c>
      <c r="H12099" s="0" t="n">
        <v>6</v>
      </c>
      <c r="I12099" s="0" t="s">
        <v>40343</v>
      </c>
      <c r="J12099" s="0" t="s">
        <v>40344</v>
      </c>
      <c r="K12099" s="0" t="s">
        <v>40345</v>
      </c>
      <c r="L12099" s="0" t="str">
        <f aca="false">HYPERLINK("https://www.ncbi.nlm.nih.gov/nuccore/CP000304.1?report=graph&amp;tracks=[key:gene_model_track,Options:GeneOnly]&amp;mk=3390551:3390570|offset_6|00cc00,3390519:3390538|offset_38|444444,3390470:3390489|offset_87|444444,3390415:3390434|offset_142|444444&amp;v=3390350:3390634&amp;c=444444", "offset 6")</f>
        <v>offset 6</v>
      </c>
    </row>
    <row r="12100" customFormat="false" ht="12.8" hidden="false" customHeight="false" outlineLevel="0" collapsed="false">
      <c r="A12100" s="0" t="s">
        <v>12</v>
      </c>
      <c r="B12100" s="0" t="n">
        <v>3390518</v>
      </c>
      <c r="C12100" s="0" t="n">
        <v>3390538</v>
      </c>
      <c r="D12100" s="0" t="s">
        <v>40342</v>
      </c>
      <c r="E12100" s="0" t="s">
        <v>89</v>
      </c>
      <c r="F12100" s="0" t="s">
        <v>90</v>
      </c>
      <c r="G12100" s="0" t="s">
        <v>16</v>
      </c>
      <c r="H12100" s="0" t="n">
        <v>38</v>
      </c>
      <c r="I12100" s="0" t="s">
        <v>40346</v>
      </c>
      <c r="J12100" s="0" t="s">
        <v>40347</v>
      </c>
      <c r="K12100" s="0" t="s">
        <v>40348</v>
      </c>
      <c r="L12100" s="0" t="str">
        <f aca="false">HYPERLINK("https://www.ncbi.nlm.nih.gov/nuccore/CP000304.1?report=graph&amp;tracks=[key:gene_model_track,Options:GeneOnly]&amp;mk=3390551:3390570|offset_6|444444,3390519:3390538|offset_38|00cc00,3390470:3390489|offset_87|444444,3390415:3390434|offset_142|444444&amp;v=3390350:3390634&amp;c=444444", "offset 38")</f>
        <v>offset 38</v>
      </c>
    </row>
    <row r="12101" customFormat="false" ht="12.8" hidden="false" customHeight="false" outlineLevel="0" collapsed="false">
      <c r="A12101" s="0" t="s">
        <v>12</v>
      </c>
      <c r="B12101" s="0" t="n">
        <v>3390469</v>
      </c>
      <c r="C12101" s="0" t="n">
        <v>3390489</v>
      </c>
      <c r="D12101" s="0" t="s">
        <v>40342</v>
      </c>
      <c r="E12101" s="0" t="s">
        <v>89</v>
      </c>
      <c r="F12101" s="0" t="s">
        <v>90</v>
      </c>
      <c r="G12101" s="0" t="s">
        <v>16</v>
      </c>
      <c r="H12101" s="0" t="n">
        <v>87</v>
      </c>
      <c r="I12101" s="0" t="s">
        <v>40349</v>
      </c>
      <c r="J12101" s="0" t="s">
        <v>40350</v>
      </c>
      <c r="K12101" s="0" t="s">
        <v>40351</v>
      </c>
      <c r="L12101" s="0" t="str">
        <f aca="false">HYPERLINK("https://www.ncbi.nlm.nih.gov/nuccore/CP000304.1?report=graph&amp;tracks=[key:gene_model_track,Options:GeneOnly]&amp;mk=3390551:3390570|offset_6|444444,3390519:3390538|offset_38|444444,3390470:3390489|offset_87|00cc00,3390415:3390434|offset_142|444444&amp;v=3390350:3390634&amp;c=444444", "offset 87")</f>
        <v>offset 87</v>
      </c>
    </row>
    <row r="12102" customFormat="false" ht="12.8" hidden="false" customHeight="false" outlineLevel="0" collapsed="false">
      <c r="A12102" s="0" t="s">
        <v>12</v>
      </c>
      <c r="B12102" s="0" t="n">
        <v>3390414</v>
      </c>
      <c r="C12102" s="0" t="n">
        <v>3390434</v>
      </c>
      <c r="D12102" s="0" t="s">
        <v>40342</v>
      </c>
      <c r="E12102" s="0" t="s">
        <v>89</v>
      </c>
      <c r="F12102" s="0" t="s">
        <v>90</v>
      </c>
      <c r="G12102" s="0" t="s">
        <v>32</v>
      </c>
      <c r="H12102" s="0" t="n">
        <v>142</v>
      </c>
      <c r="I12102" s="0" t="s">
        <v>40352</v>
      </c>
      <c r="J12102" s="0" t="s">
        <v>40353</v>
      </c>
      <c r="K12102" s="0" t="s">
        <v>40354</v>
      </c>
      <c r="L12102" s="0" t="str">
        <f aca="false">HYPERLINK("https://www.ncbi.nlm.nih.gov/nuccore/CP000304.1?report=graph&amp;tracks=[key:gene_model_track,Options:GeneOnly]&amp;mk=3390551:3390570|offset_6|444444,3390519:3390538|offset_38|444444,3390470:3390489|offset_87|444444,3390415:3390434|offset_142|00cc00&amp;v=3390350:3390634&amp;c=444444", "offset 142")</f>
        <v>offset 142</v>
      </c>
    </row>
    <row r="12103" customFormat="false" ht="12.8" hidden="false" customHeight="false" outlineLevel="0" collapsed="false">
      <c r="A12103" s="0" t="s">
        <v>12</v>
      </c>
      <c r="B12103" s="0" t="n">
        <v>3391334</v>
      </c>
      <c r="C12103" s="0" t="n">
        <v>3391354</v>
      </c>
      <c r="D12103" s="0" t="s">
        <v>40355</v>
      </c>
      <c r="E12103" s="0" t="s">
        <v>89</v>
      </c>
      <c r="F12103" s="0" t="s">
        <v>90</v>
      </c>
      <c r="G12103" s="0" t="s">
        <v>16</v>
      </c>
      <c r="H12103" s="0" t="n">
        <v>10</v>
      </c>
      <c r="I12103" s="0" t="s">
        <v>40356</v>
      </c>
      <c r="J12103" s="0" t="s">
        <v>40357</v>
      </c>
      <c r="K12103" s="0" t="s">
        <v>40358</v>
      </c>
      <c r="L12103" s="0" t="str">
        <f aca="false">HYPERLINK("https://www.ncbi.nlm.nih.gov/nuccore/CP000304.1?report=graph&amp;tracks=[key:gene_model_track,Options:GeneOnly]&amp;mk=3391335:3391354|offset_10|00cc00,3391292:3391311|offset_53|444444,3391269:3391288|offset_76|444444,3391249:3391268|offset_96|444444&amp;v=3391134:3391468&amp;c=444444", "offset 10")</f>
        <v>offset 10</v>
      </c>
    </row>
    <row r="12104" customFormat="false" ht="12.8" hidden="false" customHeight="false" outlineLevel="0" collapsed="false">
      <c r="A12104" s="0" t="s">
        <v>12</v>
      </c>
      <c r="B12104" s="0" t="n">
        <v>3391291</v>
      </c>
      <c r="C12104" s="0" t="n">
        <v>3391311</v>
      </c>
      <c r="D12104" s="0" t="s">
        <v>40355</v>
      </c>
      <c r="E12104" s="0" t="s">
        <v>89</v>
      </c>
      <c r="F12104" s="0" t="s">
        <v>90</v>
      </c>
      <c r="G12104" s="0" t="s">
        <v>16</v>
      </c>
      <c r="H12104" s="0" t="n">
        <v>53</v>
      </c>
      <c r="I12104" s="0" t="s">
        <v>40359</v>
      </c>
      <c r="J12104" s="0" t="s">
        <v>40360</v>
      </c>
      <c r="K12104" s="0" t="s">
        <v>40361</v>
      </c>
      <c r="L12104" s="0" t="str">
        <f aca="false">HYPERLINK("https://www.ncbi.nlm.nih.gov/nuccore/CP000304.1?report=graph&amp;tracks=[key:gene_model_track,Options:GeneOnly]&amp;mk=3391335:3391354|offset_10|444444,3391292:3391311|offset_53|00cc00,3391269:3391288|offset_76|444444,3391249:3391268|offset_96|444444&amp;v=3391134:3391468&amp;c=444444", "offset 53")</f>
        <v>offset 53</v>
      </c>
    </row>
    <row r="12105" customFormat="false" ht="12.8" hidden="false" customHeight="false" outlineLevel="0" collapsed="false">
      <c r="A12105" s="0" t="s">
        <v>12</v>
      </c>
      <c r="B12105" s="0" t="n">
        <v>3391268</v>
      </c>
      <c r="C12105" s="0" t="n">
        <v>3391288</v>
      </c>
      <c r="D12105" s="0" t="s">
        <v>40355</v>
      </c>
      <c r="E12105" s="0" t="s">
        <v>89</v>
      </c>
      <c r="F12105" s="0" t="s">
        <v>90</v>
      </c>
      <c r="G12105" s="0" t="s">
        <v>36</v>
      </c>
      <c r="H12105" s="0" t="n">
        <v>76</v>
      </c>
      <c r="I12105" s="0" t="s">
        <v>40362</v>
      </c>
      <c r="J12105" s="0" t="s">
        <v>40363</v>
      </c>
      <c r="K12105" s="0" t="s">
        <v>40364</v>
      </c>
      <c r="L12105" s="0" t="str">
        <f aca="false">HYPERLINK("https://www.ncbi.nlm.nih.gov/nuccore/CP000304.1?report=graph&amp;tracks=[key:gene_model_track,Options:GeneOnly]&amp;mk=3391335:3391354|offset_10|444444,3391292:3391311|offset_53|444444,3391269:3391288|offset_76|00cc00,3391249:3391268|offset_96|444444&amp;v=3391134:3391468&amp;c=444444", "offset 76")</f>
        <v>offset 76</v>
      </c>
    </row>
    <row r="12106" customFormat="false" ht="12.8" hidden="false" customHeight="false" outlineLevel="0" collapsed="false">
      <c r="A12106" s="0" t="s">
        <v>12</v>
      </c>
      <c r="B12106" s="0" t="n">
        <v>3391248</v>
      </c>
      <c r="C12106" s="0" t="n">
        <v>3391268</v>
      </c>
      <c r="D12106" s="0" t="s">
        <v>40355</v>
      </c>
      <c r="E12106" s="0" t="s">
        <v>89</v>
      </c>
      <c r="F12106" s="0" t="s">
        <v>90</v>
      </c>
      <c r="G12106" s="0" t="s">
        <v>16</v>
      </c>
      <c r="H12106" s="0" t="n">
        <v>96</v>
      </c>
      <c r="I12106" s="0" t="s">
        <v>40365</v>
      </c>
      <c r="J12106" s="0" t="s">
        <v>40366</v>
      </c>
      <c r="K12106" s="0" t="s">
        <v>40367</v>
      </c>
      <c r="L12106" s="0" t="str">
        <f aca="false">HYPERLINK("https://www.ncbi.nlm.nih.gov/nuccore/CP000304.1?report=graph&amp;tracks=[key:gene_model_track,Options:GeneOnly]&amp;mk=3391335:3391354|offset_10|444444,3391292:3391311|offset_53|444444,3391269:3391288|offset_76|444444,3391249:3391268|offset_96|00cc00&amp;v=3391134:3391468&amp;c=444444", "offset 96")</f>
        <v>offset 96</v>
      </c>
    </row>
    <row r="12107" customFormat="false" ht="12.8" hidden="false" customHeight="false" outlineLevel="0" collapsed="false">
      <c r="A12107" s="0" t="s">
        <v>12</v>
      </c>
      <c r="B12107" s="0" t="n">
        <v>3391498</v>
      </c>
      <c r="C12107" s="0" t="n">
        <v>3391518</v>
      </c>
      <c r="D12107" s="0" t="s">
        <v>40368</v>
      </c>
      <c r="E12107" s="0" t="s">
        <v>89</v>
      </c>
      <c r="F12107" s="0" t="s">
        <v>15</v>
      </c>
      <c r="G12107" s="0" t="s">
        <v>16</v>
      </c>
      <c r="H12107" s="0" t="n">
        <v>34</v>
      </c>
      <c r="I12107" s="0" t="s">
        <v>40369</v>
      </c>
      <c r="J12107" s="0" t="s">
        <v>40370</v>
      </c>
      <c r="K12107" s="0" t="s">
        <v>40371</v>
      </c>
      <c r="L12107" s="0" t="str">
        <f aca="false">HYPERLINK("https://www.ncbi.nlm.nih.gov/nuccore/CP000304.1?report=graph&amp;tracks=[key:gene_model_track,Options:GeneOnly]&amp;mk=3391499:3391518|offset_34|00cc00,3391521:3391540|offset_56|444444,3391560:3391579|offset_95|444444,3391581:3391600|offset_116|444444&amp;v=3391298:3391800&amp;c=444444", "offset 34")</f>
        <v>offset 34</v>
      </c>
    </row>
    <row r="12108" customFormat="false" ht="12.8" hidden="false" customHeight="false" outlineLevel="0" collapsed="false">
      <c r="A12108" s="0" t="s">
        <v>12</v>
      </c>
      <c r="B12108" s="0" t="n">
        <v>3391520</v>
      </c>
      <c r="C12108" s="0" t="n">
        <v>3391540</v>
      </c>
      <c r="D12108" s="0" t="s">
        <v>40368</v>
      </c>
      <c r="E12108" s="0" t="s">
        <v>89</v>
      </c>
      <c r="F12108" s="0" t="s">
        <v>15</v>
      </c>
      <c r="G12108" s="0" t="s">
        <v>16</v>
      </c>
      <c r="H12108" s="0" t="n">
        <v>56</v>
      </c>
      <c r="I12108" s="0" t="s">
        <v>40372</v>
      </c>
      <c r="J12108" s="0" t="s">
        <v>40373</v>
      </c>
      <c r="K12108" s="0" t="s">
        <v>40374</v>
      </c>
      <c r="L12108" s="0" t="str">
        <f aca="false">HYPERLINK("https://www.ncbi.nlm.nih.gov/nuccore/CP000304.1?report=graph&amp;tracks=[key:gene_model_track,Options:GeneOnly]&amp;mk=3391499:3391518|offset_34|444444,3391521:3391540|offset_56|00cc00,3391560:3391579|offset_95|444444,3391581:3391600|offset_116|444444&amp;v=3391298:3391800&amp;c=444444", "offset 56")</f>
        <v>offset 56</v>
      </c>
    </row>
    <row r="12109" customFormat="false" ht="12.8" hidden="false" customHeight="false" outlineLevel="0" collapsed="false">
      <c r="A12109" s="0" t="s">
        <v>12</v>
      </c>
      <c r="B12109" s="0" t="n">
        <v>3391559</v>
      </c>
      <c r="C12109" s="0" t="n">
        <v>3391579</v>
      </c>
      <c r="D12109" s="0" t="s">
        <v>40368</v>
      </c>
      <c r="E12109" s="0" t="s">
        <v>89</v>
      </c>
      <c r="F12109" s="0" t="s">
        <v>15</v>
      </c>
      <c r="G12109" s="0" t="s">
        <v>26</v>
      </c>
      <c r="H12109" s="0" t="n">
        <v>95</v>
      </c>
      <c r="I12109" s="0" t="s">
        <v>40375</v>
      </c>
      <c r="J12109" s="0" t="s">
        <v>40376</v>
      </c>
      <c r="K12109" s="0" t="s">
        <v>40377</v>
      </c>
      <c r="L12109" s="0" t="str">
        <f aca="false">HYPERLINK("https://www.ncbi.nlm.nih.gov/nuccore/CP000304.1?report=graph&amp;tracks=[key:gene_model_track,Options:GeneOnly]&amp;mk=3391499:3391518|offset_34|444444,3391521:3391540|offset_56|444444,3391560:3391579|offset_95|00cc00,3391581:3391600|offset_116|444444&amp;v=3391298:3391800&amp;c=444444", "offset 95")</f>
        <v>offset 95</v>
      </c>
    </row>
    <row r="12110" customFormat="false" ht="12.8" hidden="false" customHeight="false" outlineLevel="0" collapsed="false">
      <c r="A12110" s="0" t="s">
        <v>12</v>
      </c>
      <c r="B12110" s="0" t="n">
        <v>3391580</v>
      </c>
      <c r="C12110" s="0" t="n">
        <v>3391600</v>
      </c>
      <c r="D12110" s="0" t="s">
        <v>40368</v>
      </c>
      <c r="E12110" s="0" t="s">
        <v>89</v>
      </c>
      <c r="F12110" s="0" t="s">
        <v>15</v>
      </c>
      <c r="G12110" s="0" t="s">
        <v>32</v>
      </c>
      <c r="H12110" s="0" t="n">
        <v>116</v>
      </c>
      <c r="I12110" s="0" t="s">
        <v>40378</v>
      </c>
      <c r="J12110" s="0" t="s">
        <v>40379</v>
      </c>
      <c r="K12110" s="0" t="s">
        <v>40380</v>
      </c>
      <c r="L12110" s="0" t="str">
        <f aca="false">HYPERLINK("https://www.ncbi.nlm.nih.gov/nuccore/CP000304.1?report=graph&amp;tracks=[key:gene_model_track,Options:GeneOnly]&amp;mk=3391499:3391518|offset_34|444444,3391521:3391540|offset_56|444444,3391560:3391579|offset_95|444444,3391581:3391600|offset_116|00cc00&amp;v=3391298:3391800&amp;c=444444", "offset 116")</f>
        <v>offset 116</v>
      </c>
    </row>
    <row r="12111" customFormat="false" ht="12.8" hidden="false" customHeight="false" outlineLevel="0" collapsed="false">
      <c r="A12111" s="0" t="s">
        <v>12</v>
      </c>
      <c r="B12111" s="0" t="n">
        <v>3393268</v>
      </c>
      <c r="C12111" s="0" t="n">
        <v>3393288</v>
      </c>
      <c r="D12111" s="0" t="s">
        <v>40381</v>
      </c>
      <c r="E12111" s="0" t="s">
        <v>89</v>
      </c>
      <c r="F12111" s="0" t="s">
        <v>90</v>
      </c>
      <c r="G12111" s="0" t="s">
        <v>32</v>
      </c>
      <c r="H12111" s="0" t="n">
        <v>10</v>
      </c>
      <c r="I12111" s="0" t="s">
        <v>40382</v>
      </c>
      <c r="J12111" s="0" t="s">
        <v>40383</v>
      </c>
      <c r="K12111" s="0" t="s">
        <v>40384</v>
      </c>
      <c r="L12111" s="0" t="str">
        <f aca="false">HYPERLINK("https://www.ncbi.nlm.nih.gov/nuccore/CP000304.1?report=graph&amp;tracks=[key:gene_model_track,Options:GeneOnly]&amp;mk=3393269:3393288|offset_10|00cc00,3393248:3393267|offset_31|444444,3393228:3393247|offset_51|444444,3393187:3393206|offset_92|444444&amp;v=3393068:3393406&amp;c=444444", "offset 10")</f>
        <v>offset 10</v>
      </c>
    </row>
    <row r="12112" customFormat="false" ht="12.8" hidden="false" customHeight="false" outlineLevel="0" collapsed="false">
      <c r="A12112" s="0" t="s">
        <v>12</v>
      </c>
      <c r="B12112" s="0" t="n">
        <v>3393247</v>
      </c>
      <c r="C12112" s="0" t="n">
        <v>3393267</v>
      </c>
      <c r="D12112" s="0" t="s">
        <v>40381</v>
      </c>
      <c r="E12112" s="0" t="s">
        <v>89</v>
      </c>
      <c r="F12112" s="0" t="s">
        <v>90</v>
      </c>
      <c r="G12112" s="0" t="s">
        <v>36</v>
      </c>
      <c r="H12112" s="0" t="n">
        <v>31</v>
      </c>
      <c r="I12112" s="0" t="s">
        <v>40385</v>
      </c>
      <c r="J12112" s="0" t="s">
        <v>40386</v>
      </c>
      <c r="K12112" s="0" t="s">
        <v>40387</v>
      </c>
      <c r="L12112" s="0" t="str">
        <f aca="false">HYPERLINK("https://www.ncbi.nlm.nih.gov/nuccore/CP000304.1?report=graph&amp;tracks=[key:gene_model_track,Options:GeneOnly]&amp;mk=3393269:3393288|offset_10|444444,3393248:3393267|offset_31|00cc00,3393228:3393247|offset_51|444444,3393187:3393206|offset_92|444444&amp;v=3393068:3393406&amp;c=444444", "offset 31")</f>
        <v>offset 31</v>
      </c>
    </row>
    <row r="12113" customFormat="false" ht="12.8" hidden="false" customHeight="false" outlineLevel="0" collapsed="false">
      <c r="A12113" s="0" t="s">
        <v>12</v>
      </c>
      <c r="B12113" s="0" t="n">
        <v>3393227</v>
      </c>
      <c r="C12113" s="0" t="n">
        <v>3393247</v>
      </c>
      <c r="D12113" s="0" t="s">
        <v>40381</v>
      </c>
      <c r="E12113" s="0" t="s">
        <v>89</v>
      </c>
      <c r="F12113" s="0" t="s">
        <v>90</v>
      </c>
      <c r="G12113" s="0" t="s">
        <v>26</v>
      </c>
      <c r="H12113" s="0" t="n">
        <v>51</v>
      </c>
      <c r="I12113" s="0" t="s">
        <v>40388</v>
      </c>
      <c r="J12113" s="0" t="s">
        <v>40389</v>
      </c>
      <c r="K12113" s="0" t="s">
        <v>40390</v>
      </c>
      <c r="L12113" s="0" t="str">
        <f aca="false">HYPERLINK("https://www.ncbi.nlm.nih.gov/nuccore/CP000304.1?report=graph&amp;tracks=[key:gene_model_track,Options:GeneOnly]&amp;mk=3393269:3393288|offset_10|444444,3393248:3393267|offset_31|444444,3393228:3393247|offset_51|00cc00,3393187:3393206|offset_92|444444&amp;v=3393068:3393406&amp;c=444444", "offset 51")</f>
        <v>offset 51</v>
      </c>
    </row>
    <row r="12114" customFormat="false" ht="12.8" hidden="false" customHeight="false" outlineLevel="0" collapsed="false">
      <c r="A12114" s="0" t="s">
        <v>12</v>
      </c>
      <c r="B12114" s="0" t="n">
        <v>3393186</v>
      </c>
      <c r="C12114" s="0" t="n">
        <v>3393206</v>
      </c>
      <c r="D12114" s="0" t="s">
        <v>40381</v>
      </c>
      <c r="E12114" s="0" t="s">
        <v>89</v>
      </c>
      <c r="F12114" s="0" t="s">
        <v>90</v>
      </c>
      <c r="G12114" s="0" t="s">
        <v>26</v>
      </c>
      <c r="H12114" s="0" t="n">
        <v>92</v>
      </c>
      <c r="I12114" s="0" t="s">
        <v>40391</v>
      </c>
      <c r="J12114" s="0" t="s">
        <v>40392</v>
      </c>
      <c r="K12114" s="0" t="s">
        <v>40393</v>
      </c>
      <c r="L12114" s="0" t="str">
        <f aca="false">HYPERLINK("https://www.ncbi.nlm.nih.gov/nuccore/CP000304.1?report=graph&amp;tracks=[key:gene_model_track,Options:GeneOnly]&amp;mk=3393269:3393288|offset_10|444444,3393248:3393267|offset_31|444444,3393228:3393247|offset_51|444444,3393187:3393206|offset_92|00cc00&amp;v=3393068:3393406&amp;c=444444", "offset 92")</f>
        <v>offset 92</v>
      </c>
    </row>
    <row r="12115" customFormat="false" ht="12.8" hidden="false" customHeight="false" outlineLevel="0" collapsed="false">
      <c r="A12115" s="0" t="s">
        <v>12</v>
      </c>
      <c r="B12115" s="0" t="n">
        <v>3393839</v>
      </c>
      <c r="C12115" s="0" t="n">
        <v>3393859</v>
      </c>
      <c r="D12115" s="0" t="s">
        <v>40394</v>
      </c>
      <c r="E12115" s="0" t="s">
        <v>40395</v>
      </c>
      <c r="F12115" s="0" t="s">
        <v>15</v>
      </c>
      <c r="G12115" s="0" t="s">
        <v>36</v>
      </c>
      <c r="H12115" s="0" t="n">
        <v>7</v>
      </c>
      <c r="I12115" s="0" t="s">
        <v>40396</v>
      </c>
      <c r="J12115" s="0" t="s">
        <v>40397</v>
      </c>
      <c r="K12115" s="0" t="s">
        <v>40398</v>
      </c>
      <c r="L12115" s="0" t="str">
        <f aca="false">HYPERLINK("https://www.ncbi.nlm.nih.gov/nuccore/CP000304.1?report=graph&amp;tracks=[key:gene_model_track,Options:GeneOnly]&amp;mk=3393840:3393859|offset_7|00cc00,3393867:3393886|offset_34|444444,3393894:3393913|offset_61|444444,3393918:3393937|offset_85|444444&amp;v=3393639:3394137&amp;c=444444", "offset 7")</f>
        <v>offset 7</v>
      </c>
    </row>
    <row r="12116" customFormat="false" ht="12.8" hidden="false" customHeight="false" outlineLevel="0" collapsed="false">
      <c r="A12116" s="0" t="s">
        <v>12</v>
      </c>
      <c r="B12116" s="0" t="n">
        <v>3393866</v>
      </c>
      <c r="C12116" s="0" t="n">
        <v>3393886</v>
      </c>
      <c r="D12116" s="0" t="s">
        <v>40394</v>
      </c>
      <c r="E12116" s="0" t="s">
        <v>40395</v>
      </c>
      <c r="F12116" s="0" t="s">
        <v>15</v>
      </c>
      <c r="G12116" s="0" t="s">
        <v>16</v>
      </c>
      <c r="H12116" s="0" t="n">
        <v>34</v>
      </c>
      <c r="I12116" s="0" t="s">
        <v>40399</v>
      </c>
      <c r="J12116" s="0" t="s">
        <v>40400</v>
      </c>
      <c r="K12116" s="0" t="s">
        <v>40401</v>
      </c>
      <c r="L12116" s="0" t="str">
        <f aca="false">HYPERLINK("https://www.ncbi.nlm.nih.gov/nuccore/CP000304.1?report=graph&amp;tracks=[key:gene_model_track,Options:GeneOnly]&amp;mk=3393840:3393859|offset_7|444444,3393867:3393886|offset_34|00cc00,3393894:3393913|offset_61|444444,3393918:3393937|offset_85|444444&amp;v=3393639:3394137&amp;c=444444", "offset 34")</f>
        <v>offset 34</v>
      </c>
    </row>
    <row r="12117" customFormat="false" ht="12.8" hidden="false" customHeight="false" outlineLevel="0" collapsed="false">
      <c r="A12117" s="0" t="s">
        <v>12</v>
      </c>
      <c r="B12117" s="0" t="n">
        <v>3393893</v>
      </c>
      <c r="C12117" s="0" t="n">
        <v>3393913</v>
      </c>
      <c r="D12117" s="0" t="s">
        <v>40394</v>
      </c>
      <c r="E12117" s="0" t="s">
        <v>40395</v>
      </c>
      <c r="F12117" s="0" t="s">
        <v>15</v>
      </c>
      <c r="G12117" s="0" t="s">
        <v>36</v>
      </c>
      <c r="H12117" s="0" t="n">
        <v>61</v>
      </c>
      <c r="I12117" s="0" t="s">
        <v>40402</v>
      </c>
      <c r="J12117" s="0" t="s">
        <v>40403</v>
      </c>
      <c r="K12117" s="0" t="s">
        <v>40404</v>
      </c>
      <c r="L12117" s="0" t="str">
        <f aca="false">HYPERLINK("https://www.ncbi.nlm.nih.gov/nuccore/CP000304.1?report=graph&amp;tracks=[key:gene_model_track,Options:GeneOnly]&amp;mk=3393840:3393859|offset_7|444444,3393867:3393886|offset_34|444444,3393894:3393913|offset_61|00cc00,3393918:3393937|offset_85|444444&amp;v=3393639:3394137&amp;c=444444", "offset 61")</f>
        <v>offset 61</v>
      </c>
    </row>
    <row r="12118" customFormat="false" ht="12.8" hidden="false" customHeight="false" outlineLevel="0" collapsed="false">
      <c r="A12118" s="0" t="s">
        <v>12</v>
      </c>
      <c r="B12118" s="0" t="n">
        <v>3393917</v>
      </c>
      <c r="C12118" s="0" t="n">
        <v>3393937</v>
      </c>
      <c r="D12118" s="0" t="s">
        <v>40394</v>
      </c>
      <c r="E12118" s="0" t="s">
        <v>40395</v>
      </c>
      <c r="F12118" s="0" t="s">
        <v>15</v>
      </c>
      <c r="G12118" s="0" t="s">
        <v>16</v>
      </c>
      <c r="H12118" s="0" t="n">
        <v>85</v>
      </c>
      <c r="I12118" s="0" t="s">
        <v>40405</v>
      </c>
      <c r="J12118" s="0" t="s">
        <v>40406</v>
      </c>
      <c r="K12118" s="0" t="s">
        <v>40407</v>
      </c>
      <c r="L12118" s="0" t="str">
        <f aca="false">HYPERLINK("https://www.ncbi.nlm.nih.gov/nuccore/CP000304.1?report=graph&amp;tracks=[key:gene_model_track,Options:GeneOnly]&amp;mk=3393840:3393859|offset_7|444444,3393867:3393886|offset_34|444444,3393894:3393913|offset_61|444444,3393918:3393937|offset_85|00cc00&amp;v=3393639:3394137&amp;c=444444", "offset 85")</f>
        <v>offset 85</v>
      </c>
    </row>
    <row r="12119" customFormat="false" ht="12.8" hidden="false" customHeight="false" outlineLevel="0" collapsed="false">
      <c r="A12119" s="0" t="s">
        <v>12</v>
      </c>
      <c r="B12119" s="0" t="n">
        <v>3396386</v>
      </c>
      <c r="C12119" s="0" t="n">
        <v>3396406</v>
      </c>
      <c r="D12119" s="0" t="s">
        <v>40408</v>
      </c>
      <c r="E12119" s="0" t="s">
        <v>89</v>
      </c>
      <c r="F12119" s="0" t="s">
        <v>90</v>
      </c>
      <c r="G12119" s="0" t="s">
        <v>32</v>
      </c>
      <c r="H12119" s="0" t="n">
        <v>1</v>
      </c>
      <c r="I12119" s="0" t="s">
        <v>40409</v>
      </c>
      <c r="J12119" s="0" t="s">
        <v>40410</v>
      </c>
      <c r="K12119" s="0" t="s">
        <v>40411</v>
      </c>
      <c r="L12119" s="0" t="str">
        <f aca="false">HYPERLINK("https://www.ncbi.nlm.nih.gov/nuccore/CP000304.1?report=graph&amp;tracks=[key:gene_model_track,Options:GeneOnly]&amp;mk=3396387:3396406|offset_1|00cc00,3396351:3396370|offset_37|444444,3396314:3396333|offset_74|444444,3396291:3396310|offset_97|444444&amp;v=3396186:3396510&amp;c=444444", "offset 1")</f>
        <v>offset 1</v>
      </c>
    </row>
    <row r="12120" customFormat="false" ht="12.8" hidden="false" customHeight="false" outlineLevel="0" collapsed="false">
      <c r="A12120" s="0" t="s">
        <v>12</v>
      </c>
      <c r="B12120" s="0" t="n">
        <v>3396350</v>
      </c>
      <c r="C12120" s="0" t="n">
        <v>3396370</v>
      </c>
      <c r="D12120" s="0" t="s">
        <v>40408</v>
      </c>
      <c r="E12120" s="0" t="s">
        <v>89</v>
      </c>
      <c r="F12120" s="0" t="s">
        <v>90</v>
      </c>
      <c r="G12120" s="0" t="s">
        <v>16</v>
      </c>
      <c r="H12120" s="0" t="n">
        <v>37</v>
      </c>
      <c r="I12120" s="0" t="s">
        <v>40412</v>
      </c>
      <c r="J12120" s="0" t="s">
        <v>40413</v>
      </c>
      <c r="K12120" s="0" t="s">
        <v>40414</v>
      </c>
      <c r="L12120" s="0" t="str">
        <f aca="false">HYPERLINK("https://www.ncbi.nlm.nih.gov/nuccore/CP000304.1?report=graph&amp;tracks=[key:gene_model_track,Options:GeneOnly]&amp;mk=3396387:3396406|offset_1|444444,3396351:3396370|offset_37|00cc00,3396314:3396333|offset_74|444444,3396291:3396310|offset_97|444444&amp;v=3396186:3396510&amp;c=444444", "offset 37")</f>
        <v>offset 37</v>
      </c>
    </row>
    <row r="12121" customFormat="false" ht="12.8" hidden="false" customHeight="false" outlineLevel="0" collapsed="false">
      <c r="A12121" s="0" t="s">
        <v>12</v>
      </c>
      <c r="B12121" s="0" t="n">
        <v>3396313</v>
      </c>
      <c r="C12121" s="0" t="n">
        <v>3396333</v>
      </c>
      <c r="D12121" s="0" t="s">
        <v>40408</v>
      </c>
      <c r="E12121" s="0" t="s">
        <v>89</v>
      </c>
      <c r="F12121" s="0" t="s">
        <v>90</v>
      </c>
      <c r="G12121" s="0" t="s">
        <v>32</v>
      </c>
      <c r="H12121" s="0" t="n">
        <v>74</v>
      </c>
      <c r="I12121" s="0" t="s">
        <v>40415</v>
      </c>
      <c r="J12121" s="0" t="s">
        <v>40416</v>
      </c>
      <c r="K12121" s="0" t="s">
        <v>40417</v>
      </c>
      <c r="L12121" s="0" t="str">
        <f aca="false">HYPERLINK("https://www.ncbi.nlm.nih.gov/nuccore/CP000304.1?report=graph&amp;tracks=[key:gene_model_track,Options:GeneOnly]&amp;mk=3396387:3396406|offset_1|444444,3396351:3396370|offset_37|444444,3396314:3396333|offset_74|00cc00,3396291:3396310|offset_97|444444&amp;v=3396186:3396510&amp;c=444444", "offset 74")</f>
        <v>offset 74</v>
      </c>
    </row>
    <row r="12122" customFormat="false" ht="12.8" hidden="false" customHeight="false" outlineLevel="0" collapsed="false">
      <c r="A12122" s="0" t="s">
        <v>12</v>
      </c>
      <c r="B12122" s="0" t="n">
        <v>3396290</v>
      </c>
      <c r="C12122" s="0" t="n">
        <v>3396310</v>
      </c>
      <c r="D12122" s="0" t="s">
        <v>40408</v>
      </c>
      <c r="E12122" s="0" t="s">
        <v>89</v>
      </c>
      <c r="F12122" s="0" t="s">
        <v>90</v>
      </c>
      <c r="G12122" s="0" t="s">
        <v>26</v>
      </c>
      <c r="H12122" s="0" t="n">
        <v>97</v>
      </c>
      <c r="I12122" s="0" t="s">
        <v>40418</v>
      </c>
      <c r="J12122" s="0" t="s">
        <v>40419</v>
      </c>
      <c r="K12122" s="0" t="s">
        <v>40420</v>
      </c>
      <c r="L12122" s="0" t="str">
        <f aca="false">HYPERLINK("https://www.ncbi.nlm.nih.gov/nuccore/CP000304.1?report=graph&amp;tracks=[key:gene_model_track,Options:GeneOnly]&amp;mk=3396387:3396406|offset_1|444444,3396351:3396370|offset_37|444444,3396314:3396333|offset_74|444444,3396291:3396310|offset_97|00cc00&amp;v=3396186:3396510&amp;c=444444", "offset 97")</f>
        <v>offset 97</v>
      </c>
    </row>
    <row r="12123" customFormat="false" ht="12.8" hidden="false" customHeight="false" outlineLevel="0" collapsed="false">
      <c r="A12123" s="0" t="s">
        <v>12</v>
      </c>
      <c r="B12123" s="0" t="n">
        <v>3396956</v>
      </c>
      <c r="C12123" s="0" t="n">
        <v>3396976</v>
      </c>
      <c r="D12123" s="0" t="s">
        <v>40421</v>
      </c>
      <c r="E12123" s="0" t="s">
        <v>89</v>
      </c>
      <c r="F12123" s="0" t="s">
        <v>90</v>
      </c>
      <c r="G12123" s="0" t="s">
        <v>36</v>
      </c>
      <c r="H12123" s="0" t="n">
        <v>0</v>
      </c>
      <c r="I12123" s="0" t="s">
        <v>40422</v>
      </c>
      <c r="J12123" s="0" t="s">
        <v>40423</v>
      </c>
      <c r="K12123" s="0" t="s">
        <v>40424</v>
      </c>
      <c r="L12123" s="0" t="str">
        <f aca="false">HYPERLINK("https://www.ncbi.nlm.nih.gov/nuccore/CP000304.1?report=graph&amp;tracks=[key:gene_model_track,Options:GeneOnly]&amp;mk=3396957:3396976|offset_0|00cc00,3396908:3396927|offset_49|444444,3396862:3396881|offset_95|444444,3396829:3396848|offset_128|444444&amp;v=3396756:3397048&amp;c=444444", "offset 0")</f>
        <v>offset 0</v>
      </c>
    </row>
    <row r="12124" customFormat="false" ht="12.8" hidden="false" customHeight="false" outlineLevel="0" collapsed="false">
      <c r="A12124" s="0" t="s">
        <v>12</v>
      </c>
      <c r="B12124" s="0" t="n">
        <v>3396907</v>
      </c>
      <c r="C12124" s="0" t="n">
        <v>3396927</v>
      </c>
      <c r="D12124" s="0" t="s">
        <v>40421</v>
      </c>
      <c r="E12124" s="0" t="s">
        <v>89</v>
      </c>
      <c r="F12124" s="0" t="s">
        <v>90</v>
      </c>
      <c r="G12124" s="0" t="s">
        <v>32</v>
      </c>
      <c r="H12124" s="0" t="n">
        <v>49</v>
      </c>
      <c r="I12124" s="0" t="s">
        <v>40425</v>
      </c>
      <c r="J12124" s="0" t="s">
        <v>40426</v>
      </c>
      <c r="K12124" s="0" t="s">
        <v>40427</v>
      </c>
      <c r="L12124" s="0" t="str">
        <f aca="false">HYPERLINK("https://www.ncbi.nlm.nih.gov/nuccore/CP000304.1?report=graph&amp;tracks=[key:gene_model_track,Options:GeneOnly]&amp;mk=3396957:3396976|offset_0|444444,3396908:3396927|offset_49|00cc00,3396862:3396881|offset_95|444444,3396829:3396848|offset_128|444444&amp;v=3396756:3397048&amp;c=444444", "offset 49")</f>
        <v>offset 49</v>
      </c>
    </row>
    <row r="12125" customFormat="false" ht="12.8" hidden="false" customHeight="false" outlineLevel="0" collapsed="false">
      <c r="A12125" s="0" t="s">
        <v>12</v>
      </c>
      <c r="B12125" s="0" t="n">
        <v>3396861</v>
      </c>
      <c r="C12125" s="0" t="n">
        <v>3396881</v>
      </c>
      <c r="D12125" s="0" t="s">
        <v>40421</v>
      </c>
      <c r="E12125" s="0" t="s">
        <v>89</v>
      </c>
      <c r="F12125" s="0" t="s">
        <v>90</v>
      </c>
      <c r="G12125" s="0" t="s">
        <v>26</v>
      </c>
      <c r="H12125" s="0" t="n">
        <v>95</v>
      </c>
      <c r="I12125" s="0" t="s">
        <v>40428</v>
      </c>
      <c r="J12125" s="0" t="s">
        <v>40429</v>
      </c>
      <c r="K12125" s="0" t="s">
        <v>40430</v>
      </c>
      <c r="L12125" s="0" t="str">
        <f aca="false">HYPERLINK("https://www.ncbi.nlm.nih.gov/nuccore/CP000304.1?report=graph&amp;tracks=[key:gene_model_track,Options:GeneOnly]&amp;mk=3396957:3396976|offset_0|444444,3396908:3396927|offset_49|444444,3396862:3396881|offset_95|00cc00,3396829:3396848|offset_128|444444&amp;v=3396756:3397048&amp;c=444444", "offset 95")</f>
        <v>offset 95</v>
      </c>
    </row>
    <row r="12126" customFormat="false" ht="12.8" hidden="false" customHeight="false" outlineLevel="0" collapsed="false">
      <c r="A12126" s="0" t="s">
        <v>12</v>
      </c>
      <c r="B12126" s="0" t="n">
        <v>3396828</v>
      </c>
      <c r="C12126" s="0" t="n">
        <v>3396848</v>
      </c>
      <c r="D12126" s="0" t="s">
        <v>40421</v>
      </c>
      <c r="E12126" s="0" t="s">
        <v>89</v>
      </c>
      <c r="F12126" s="0" t="s">
        <v>90</v>
      </c>
      <c r="G12126" s="0" t="s">
        <v>26</v>
      </c>
      <c r="H12126" s="0" t="n">
        <v>128</v>
      </c>
      <c r="I12126" s="0" t="s">
        <v>40431</v>
      </c>
      <c r="J12126" s="0" t="s">
        <v>40432</v>
      </c>
      <c r="K12126" s="0" t="s">
        <v>40433</v>
      </c>
      <c r="L12126" s="0" t="str">
        <f aca="false">HYPERLINK("https://www.ncbi.nlm.nih.gov/nuccore/CP000304.1?report=graph&amp;tracks=[key:gene_model_track,Options:GeneOnly]&amp;mk=3396957:3396976|offset_0|444444,3396908:3396927|offset_49|444444,3396862:3396881|offset_95|444444,3396829:3396848|offset_128|00cc00&amp;v=3396756:3397048&amp;c=444444", "offset 128")</f>
        <v>offset 128</v>
      </c>
    </row>
    <row r="12127" customFormat="false" ht="12.8" hidden="false" customHeight="false" outlineLevel="0" collapsed="false">
      <c r="A12127" s="0" t="s">
        <v>12</v>
      </c>
      <c r="B12127" s="0" t="n">
        <v>3397127</v>
      </c>
      <c r="C12127" s="0" t="n">
        <v>3397147</v>
      </c>
      <c r="D12127" s="0" t="s">
        <v>40434</v>
      </c>
      <c r="E12127" s="0" t="s">
        <v>89</v>
      </c>
      <c r="F12127" s="0" t="s">
        <v>15</v>
      </c>
      <c r="G12127" s="0" t="s">
        <v>32</v>
      </c>
      <c r="H12127" s="0" t="n">
        <v>1</v>
      </c>
      <c r="I12127" s="0" t="s">
        <v>40435</v>
      </c>
      <c r="J12127" s="0" t="s">
        <v>40436</v>
      </c>
      <c r="K12127" s="0" t="s">
        <v>40437</v>
      </c>
      <c r="L12127" s="0" t="str">
        <f aca="false">HYPERLINK("https://www.ncbi.nlm.nih.gov/nuccore/CP000304.1?report=graph&amp;tracks=[key:gene_model_track,Options:GeneOnly]&amp;mk=3397128:3397147|offset_1|00cc00,3397153:3397172|offset_26|444444,3397179:3397198|offset_52|444444,3397212:3397231|offset_85|444444&amp;v=3396927:3397431&amp;c=444444", "offset 1")</f>
        <v>offset 1</v>
      </c>
    </row>
    <row r="12128" customFormat="false" ht="12.8" hidden="false" customHeight="false" outlineLevel="0" collapsed="false">
      <c r="A12128" s="0" t="s">
        <v>12</v>
      </c>
      <c r="B12128" s="0" t="n">
        <v>3397152</v>
      </c>
      <c r="C12128" s="0" t="n">
        <v>3397172</v>
      </c>
      <c r="D12128" s="0" t="s">
        <v>40434</v>
      </c>
      <c r="E12128" s="0" t="s">
        <v>89</v>
      </c>
      <c r="F12128" s="0" t="s">
        <v>15</v>
      </c>
      <c r="G12128" s="0" t="s">
        <v>26</v>
      </c>
      <c r="H12128" s="0" t="n">
        <v>26</v>
      </c>
      <c r="I12128" s="0" t="s">
        <v>40438</v>
      </c>
      <c r="J12128" s="0" t="s">
        <v>40439</v>
      </c>
      <c r="K12128" s="0" t="s">
        <v>40440</v>
      </c>
      <c r="L12128" s="0" t="str">
        <f aca="false">HYPERLINK("https://www.ncbi.nlm.nih.gov/nuccore/CP000304.1?report=graph&amp;tracks=[key:gene_model_track,Options:GeneOnly]&amp;mk=3397128:3397147|offset_1|444444,3397153:3397172|offset_26|00cc00,3397179:3397198|offset_52|444444,3397212:3397231|offset_85|444444&amp;v=3396927:3397431&amp;c=444444", "offset 26")</f>
        <v>offset 26</v>
      </c>
    </row>
    <row r="12129" customFormat="false" ht="12.8" hidden="false" customHeight="false" outlineLevel="0" collapsed="false">
      <c r="A12129" s="0" t="s">
        <v>12</v>
      </c>
      <c r="B12129" s="0" t="n">
        <v>3397178</v>
      </c>
      <c r="C12129" s="0" t="n">
        <v>3397198</v>
      </c>
      <c r="D12129" s="0" t="s">
        <v>40434</v>
      </c>
      <c r="E12129" s="0" t="s">
        <v>89</v>
      </c>
      <c r="F12129" s="0" t="s">
        <v>15</v>
      </c>
      <c r="G12129" s="0" t="s">
        <v>32</v>
      </c>
      <c r="H12129" s="0" t="n">
        <v>52</v>
      </c>
      <c r="I12129" s="0" t="s">
        <v>40441</v>
      </c>
      <c r="J12129" s="0" t="s">
        <v>40442</v>
      </c>
      <c r="K12129" s="0" t="s">
        <v>40443</v>
      </c>
      <c r="L12129" s="0" t="str">
        <f aca="false">HYPERLINK("https://www.ncbi.nlm.nih.gov/nuccore/CP000304.1?report=graph&amp;tracks=[key:gene_model_track,Options:GeneOnly]&amp;mk=3397128:3397147|offset_1|444444,3397153:3397172|offset_26|444444,3397179:3397198|offset_52|00cc00,3397212:3397231|offset_85|444444&amp;v=3396927:3397431&amp;c=444444", "offset 52")</f>
        <v>offset 52</v>
      </c>
    </row>
    <row r="12130" customFormat="false" ht="12.8" hidden="false" customHeight="false" outlineLevel="0" collapsed="false">
      <c r="A12130" s="0" t="s">
        <v>12</v>
      </c>
      <c r="B12130" s="0" t="n">
        <v>3397211</v>
      </c>
      <c r="C12130" s="0" t="n">
        <v>3397231</v>
      </c>
      <c r="D12130" s="0" t="s">
        <v>40434</v>
      </c>
      <c r="E12130" s="0" t="s">
        <v>89</v>
      </c>
      <c r="F12130" s="0" t="s">
        <v>15</v>
      </c>
      <c r="G12130" s="0" t="s">
        <v>16</v>
      </c>
      <c r="H12130" s="0" t="n">
        <v>85</v>
      </c>
      <c r="I12130" s="0" t="s">
        <v>40444</v>
      </c>
      <c r="J12130" s="0" t="s">
        <v>40445</v>
      </c>
      <c r="K12130" s="0" t="s">
        <v>40446</v>
      </c>
      <c r="L12130" s="0" t="str">
        <f aca="false">HYPERLINK("https://www.ncbi.nlm.nih.gov/nuccore/CP000304.1?report=graph&amp;tracks=[key:gene_model_track,Options:GeneOnly]&amp;mk=3397128:3397147|offset_1|444444,3397153:3397172|offset_26|444444,3397179:3397198|offset_52|444444,3397212:3397231|offset_85|00cc00&amp;v=3396927:3397431&amp;c=444444", "offset 85")</f>
        <v>offset 85</v>
      </c>
    </row>
    <row r="12131" customFormat="false" ht="12.8" hidden="false" customHeight="false" outlineLevel="0" collapsed="false">
      <c r="A12131" s="0" t="s">
        <v>12</v>
      </c>
      <c r="B12131" s="0" t="n">
        <v>3398103</v>
      </c>
      <c r="C12131" s="0" t="n">
        <v>3398123</v>
      </c>
      <c r="D12131" s="0" t="s">
        <v>40447</v>
      </c>
      <c r="E12131" s="0" t="s">
        <v>40448</v>
      </c>
      <c r="F12131" s="0" t="s">
        <v>15</v>
      </c>
      <c r="G12131" s="0" t="s">
        <v>26</v>
      </c>
      <c r="H12131" s="0" t="n">
        <v>7</v>
      </c>
      <c r="I12131" s="0" t="s">
        <v>40449</v>
      </c>
      <c r="J12131" s="0" t="s">
        <v>40450</v>
      </c>
      <c r="K12131" s="0" t="s">
        <v>40451</v>
      </c>
      <c r="L12131" s="0" t="str">
        <f aca="false">HYPERLINK("https://www.ncbi.nlm.nih.gov/nuccore/CP000304.1?report=graph&amp;tracks=[key:gene_model_track,Options:GeneOnly]&amp;mk=3398104:3398123|offset_7|00cc00,3398138:3398157|offset_41|444444,3398158:3398177|offset_61|444444,3398186:3398205|offset_89|444444&amp;v=3397903:3398405&amp;c=444444", "offset 7")</f>
        <v>offset 7</v>
      </c>
    </row>
    <row r="12132" customFormat="false" ht="12.8" hidden="false" customHeight="false" outlineLevel="0" collapsed="false">
      <c r="A12132" s="0" t="s">
        <v>12</v>
      </c>
      <c r="B12132" s="0" t="n">
        <v>3398137</v>
      </c>
      <c r="C12132" s="0" t="n">
        <v>3398157</v>
      </c>
      <c r="D12132" s="0" t="s">
        <v>40447</v>
      </c>
      <c r="E12132" s="0" t="s">
        <v>40448</v>
      </c>
      <c r="F12132" s="0" t="s">
        <v>15</v>
      </c>
      <c r="G12132" s="0" t="s">
        <v>26</v>
      </c>
      <c r="H12132" s="0" t="n">
        <v>41</v>
      </c>
      <c r="I12132" s="0" t="s">
        <v>40452</v>
      </c>
      <c r="J12132" s="0" t="s">
        <v>40453</v>
      </c>
      <c r="K12132" s="0" t="s">
        <v>40454</v>
      </c>
      <c r="L12132" s="0" t="str">
        <f aca="false">HYPERLINK("https://www.ncbi.nlm.nih.gov/nuccore/CP000304.1?report=graph&amp;tracks=[key:gene_model_track,Options:GeneOnly]&amp;mk=3398104:3398123|offset_7|444444,3398138:3398157|offset_41|00cc00,3398158:3398177|offset_61|444444,3398186:3398205|offset_89|444444&amp;v=3397903:3398405&amp;c=444444", "offset 41")</f>
        <v>offset 41</v>
      </c>
    </row>
    <row r="12133" customFormat="false" ht="12.8" hidden="false" customHeight="false" outlineLevel="0" collapsed="false">
      <c r="A12133" s="0" t="s">
        <v>12</v>
      </c>
      <c r="B12133" s="0" t="n">
        <v>3398157</v>
      </c>
      <c r="C12133" s="0" t="n">
        <v>3398177</v>
      </c>
      <c r="D12133" s="0" t="s">
        <v>40447</v>
      </c>
      <c r="E12133" s="0" t="s">
        <v>40448</v>
      </c>
      <c r="F12133" s="0" t="s">
        <v>15</v>
      </c>
      <c r="G12133" s="0" t="s">
        <v>32</v>
      </c>
      <c r="H12133" s="0" t="n">
        <v>61</v>
      </c>
      <c r="I12133" s="0" t="s">
        <v>40455</v>
      </c>
      <c r="J12133" s="0" t="s">
        <v>40456</v>
      </c>
      <c r="K12133" s="0" t="s">
        <v>40457</v>
      </c>
      <c r="L12133" s="0" t="str">
        <f aca="false">HYPERLINK("https://www.ncbi.nlm.nih.gov/nuccore/CP000304.1?report=graph&amp;tracks=[key:gene_model_track,Options:GeneOnly]&amp;mk=3398104:3398123|offset_7|444444,3398138:3398157|offset_41|444444,3398158:3398177|offset_61|00cc00,3398186:3398205|offset_89|444444&amp;v=3397903:3398405&amp;c=444444", "offset 61")</f>
        <v>offset 61</v>
      </c>
    </row>
    <row r="12134" customFormat="false" ht="12.8" hidden="false" customHeight="false" outlineLevel="0" collapsed="false">
      <c r="A12134" s="0" t="s">
        <v>12</v>
      </c>
      <c r="B12134" s="0" t="n">
        <v>3398185</v>
      </c>
      <c r="C12134" s="0" t="n">
        <v>3398205</v>
      </c>
      <c r="D12134" s="0" t="s">
        <v>40447</v>
      </c>
      <c r="E12134" s="0" t="s">
        <v>40448</v>
      </c>
      <c r="F12134" s="0" t="s">
        <v>15</v>
      </c>
      <c r="G12134" s="0" t="s">
        <v>26</v>
      </c>
      <c r="H12134" s="0" t="n">
        <v>89</v>
      </c>
      <c r="I12134" s="0" t="s">
        <v>40458</v>
      </c>
      <c r="J12134" s="0" t="s">
        <v>40459</v>
      </c>
      <c r="K12134" s="0" t="s">
        <v>40460</v>
      </c>
      <c r="L12134" s="0" t="str">
        <f aca="false">HYPERLINK("https://www.ncbi.nlm.nih.gov/nuccore/CP000304.1?report=graph&amp;tracks=[key:gene_model_track,Options:GeneOnly]&amp;mk=3398104:3398123|offset_7|444444,3398138:3398157|offset_41|444444,3398158:3398177|offset_61|444444,3398186:3398205|offset_89|00cc00&amp;v=3397903:3398405&amp;c=444444", "offset 89")</f>
        <v>offset 89</v>
      </c>
    </row>
    <row r="12135" customFormat="false" ht="12.8" hidden="false" customHeight="false" outlineLevel="0" collapsed="false">
      <c r="A12135" s="0" t="s">
        <v>12</v>
      </c>
      <c r="B12135" s="0" t="n">
        <v>3399055</v>
      </c>
      <c r="C12135" s="0" t="n">
        <v>3399075</v>
      </c>
      <c r="D12135" s="0" t="s">
        <v>40461</v>
      </c>
      <c r="E12135" s="0" t="s">
        <v>89</v>
      </c>
      <c r="F12135" s="0" t="s">
        <v>15</v>
      </c>
      <c r="G12135" s="0" t="s">
        <v>32</v>
      </c>
      <c r="H12135" s="0" t="n">
        <v>1</v>
      </c>
      <c r="I12135" s="0" t="s">
        <v>40462</v>
      </c>
      <c r="J12135" s="0" t="s">
        <v>40463</v>
      </c>
      <c r="K12135" s="0" t="s">
        <v>40464</v>
      </c>
      <c r="L12135" s="0" t="str">
        <f aca="false">HYPERLINK("https://www.ncbi.nlm.nih.gov/nuccore/CP000304.1?report=graph&amp;tracks=[key:gene_model_track,Options:GeneOnly]&amp;mk=3399056:3399075|offset_1|00cc00,3399088:3399107|offset_33|444444,3399123:3399142|offset_68|444444,3399149:3399168|offset_94|444444&amp;v=3398855:3399368&amp;c=444444", "offset 1")</f>
        <v>offset 1</v>
      </c>
    </row>
    <row r="12136" customFormat="false" ht="12.8" hidden="false" customHeight="false" outlineLevel="0" collapsed="false">
      <c r="A12136" s="0" t="s">
        <v>12</v>
      </c>
      <c r="B12136" s="0" t="n">
        <v>3399087</v>
      </c>
      <c r="C12136" s="0" t="n">
        <v>3399107</v>
      </c>
      <c r="D12136" s="0" t="s">
        <v>40461</v>
      </c>
      <c r="E12136" s="0" t="s">
        <v>89</v>
      </c>
      <c r="F12136" s="0" t="s">
        <v>15</v>
      </c>
      <c r="G12136" s="0" t="s">
        <v>16</v>
      </c>
      <c r="H12136" s="0" t="n">
        <v>33</v>
      </c>
      <c r="I12136" s="0" t="s">
        <v>40465</v>
      </c>
      <c r="J12136" s="0" t="s">
        <v>40466</v>
      </c>
      <c r="K12136" s="0" t="s">
        <v>40467</v>
      </c>
      <c r="L12136" s="0" t="str">
        <f aca="false">HYPERLINK("https://www.ncbi.nlm.nih.gov/nuccore/CP000304.1?report=graph&amp;tracks=[key:gene_model_track,Options:GeneOnly]&amp;mk=3399056:3399075|offset_1|444444,3399088:3399107|offset_33|00cc00,3399123:3399142|offset_68|444444,3399149:3399168|offset_94|444444&amp;v=3398855:3399368&amp;c=444444", "offset 33")</f>
        <v>offset 33</v>
      </c>
    </row>
    <row r="12137" customFormat="false" ht="12.8" hidden="false" customHeight="false" outlineLevel="0" collapsed="false">
      <c r="A12137" s="0" t="s">
        <v>12</v>
      </c>
      <c r="B12137" s="0" t="n">
        <v>3399122</v>
      </c>
      <c r="C12137" s="0" t="n">
        <v>3399142</v>
      </c>
      <c r="D12137" s="0" t="s">
        <v>40461</v>
      </c>
      <c r="E12137" s="0" t="s">
        <v>89</v>
      </c>
      <c r="F12137" s="0" t="s">
        <v>15</v>
      </c>
      <c r="G12137" s="0" t="s">
        <v>26</v>
      </c>
      <c r="H12137" s="0" t="n">
        <v>68</v>
      </c>
      <c r="I12137" s="0" t="s">
        <v>40468</v>
      </c>
      <c r="J12137" s="0" t="s">
        <v>40469</v>
      </c>
      <c r="K12137" s="0" t="s">
        <v>40470</v>
      </c>
      <c r="L12137" s="0" t="str">
        <f aca="false">HYPERLINK("https://www.ncbi.nlm.nih.gov/nuccore/CP000304.1?report=graph&amp;tracks=[key:gene_model_track,Options:GeneOnly]&amp;mk=3399056:3399075|offset_1|444444,3399088:3399107|offset_33|444444,3399123:3399142|offset_68|00cc00,3399149:3399168|offset_94|444444&amp;v=3398855:3399368&amp;c=444444", "offset 68")</f>
        <v>offset 68</v>
      </c>
    </row>
    <row r="12138" customFormat="false" ht="12.8" hidden="false" customHeight="false" outlineLevel="0" collapsed="false">
      <c r="A12138" s="0" t="s">
        <v>12</v>
      </c>
      <c r="B12138" s="0" t="n">
        <v>3399148</v>
      </c>
      <c r="C12138" s="0" t="n">
        <v>3399168</v>
      </c>
      <c r="D12138" s="0" t="s">
        <v>40461</v>
      </c>
      <c r="E12138" s="0" t="s">
        <v>89</v>
      </c>
      <c r="F12138" s="0" t="s">
        <v>15</v>
      </c>
      <c r="G12138" s="0" t="s">
        <v>32</v>
      </c>
      <c r="H12138" s="0" t="n">
        <v>94</v>
      </c>
      <c r="I12138" s="0" t="s">
        <v>40471</v>
      </c>
      <c r="J12138" s="0" t="s">
        <v>40472</v>
      </c>
      <c r="K12138" s="0" t="s">
        <v>40473</v>
      </c>
      <c r="L12138" s="0" t="str">
        <f aca="false">HYPERLINK("https://www.ncbi.nlm.nih.gov/nuccore/CP000304.1?report=graph&amp;tracks=[key:gene_model_track,Options:GeneOnly]&amp;mk=3399056:3399075|offset_1|444444,3399088:3399107|offset_33|444444,3399123:3399142|offset_68|444444,3399149:3399168|offset_94|00cc00&amp;v=3398855:3399368&amp;c=444444", "offset 94")</f>
        <v>offset 94</v>
      </c>
    </row>
    <row r="12139" customFormat="false" ht="12.8" hidden="false" customHeight="false" outlineLevel="0" collapsed="false">
      <c r="A12139" s="0" t="s">
        <v>12</v>
      </c>
      <c r="B12139" s="0" t="n">
        <v>3401084</v>
      </c>
      <c r="C12139" s="0" t="n">
        <v>3401104</v>
      </c>
      <c r="D12139" s="0" t="s">
        <v>40474</v>
      </c>
      <c r="E12139" s="0" t="s">
        <v>89</v>
      </c>
      <c r="F12139" s="0" t="s">
        <v>15</v>
      </c>
      <c r="G12139" s="0" t="s">
        <v>32</v>
      </c>
      <c r="H12139" s="0" t="n">
        <v>1</v>
      </c>
      <c r="I12139" s="0" t="s">
        <v>40475</v>
      </c>
      <c r="J12139" s="0" t="s">
        <v>40476</v>
      </c>
      <c r="K12139" s="0" t="s">
        <v>40477</v>
      </c>
      <c r="L12139" s="0" t="str">
        <f aca="false">HYPERLINK("https://www.ncbi.nlm.nih.gov/nuccore/CP000304.1?report=graph&amp;tracks=[key:gene_model_track,Options:GeneOnly]&amp;mk=3401085:3401104|offset_1|00cc00,3401116:3401135|offset_32|444444,3401139:3401158|offset_55|444444,3401166:3401185|offset_82|444444&amp;v=3400884:3401385&amp;c=444444", "offset 1")</f>
        <v>offset 1</v>
      </c>
    </row>
    <row r="12140" customFormat="false" ht="12.8" hidden="false" customHeight="false" outlineLevel="0" collapsed="false">
      <c r="A12140" s="0" t="s">
        <v>12</v>
      </c>
      <c r="B12140" s="0" t="n">
        <v>3401115</v>
      </c>
      <c r="C12140" s="0" t="n">
        <v>3401135</v>
      </c>
      <c r="D12140" s="0" t="s">
        <v>40474</v>
      </c>
      <c r="E12140" s="0" t="s">
        <v>89</v>
      </c>
      <c r="F12140" s="0" t="s">
        <v>15</v>
      </c>
      <c r="G12140" s="0" t="s">
        <v>16</v>
      </c>
      <c r="H12140" s="0" t="n">
        <v>32</v>
      </c>
      <c r="I12140" s="0" t="s">
        <v>40478</v>
      </c>
      <c r="J12140" s="0" t="s">
        <v>40479</v>
      </c>
      <c r="K12140" s="0" t="s">
        <v>40480</v>
      </c>
      <c r="L12140" s="0" t="str">
        <f aca="false">HYPERLINK("https://www.ncbi.nlm.nih.gov/nuccore/CP000304.1?report=graph&amp;tracks=[key:gene_model_track,Options:GeneOnly]&amp;mk=3401085:3401104|offset_1|444444,3401116:3401135|offset_32|00cc00,3401139:3401158|offset_55|444444,3401166:3401185|offset_82|444444&amp;v=3400884:3401385&amp;c=444444", "offset 32")</f>
        <v>offset 32</v>
      </c>
    </row>
    <row r="12141" customFormat="false" ht="12.8" hidden="false" customHeight="false" outlineLevel="0" collapsed="false">
      <c r="A12141" s="0" t="s">
        <v>12</v>
      </c>
      <c r="B12141" s="0" t="n">
        <v>3401138</v>
      </c>
      <c r="C12141" s="0" t="n">
        <v>3401158</v>
      </c>
      <c r="D12141" s="0" t="s">
        <v>40474</v>
      </c>
      <c r="E12141" s="0" t="s">
        <v>89</v>
      </c>
      <c r="F12141" s="0" t="s">
        <v>15</v>
      </c>
      <c r="G12141" s="0" t="s">
        <v>16</v>
      </c>
      <c r="H12141" s="0" t="n">
        <v>55</v>
      </c>
      <c r="I12141" s="0" t="s">
        <v>40481</v>
      </c>
      <c r="J12141" s="0" t="s">
        <v>40482</v>
      </c>
      <c r="K12141" s="0" t="s">
        <v>40483</v>
      </c>
      <c r="L12141" s="0" t="str">
        <f aca="false">HYPERLINK("https://www.ncbi.nlm.nih.gov/nuccore/CP000304.1?report=graph&amp;tracks=[key:gene_model_track,Options:GeneOnly]&amp;mk=3401085:3401104|offset_1|444444,3401116:3401135|offset_32|444444,3401139:3401158|offset_55|00cc00,3401166:3401185|offset_82|444444&amp;v=3400884:3401385&amp;c=444444", "offset 55")</f>
        <v>offset 55</v>
      </c>
    </row>
    <row r="12142" customFormat="false" ht="12.8" hidden="false" customHeight="false" outlineLevel="0" collapsed="false">
      <c r="A12142" s="0" t="s">
        <v>12</v>
      </c>
      <c r="B12142" s="0" t="n">
        <v>3401165</v>
      </c>
      <c r="C12142" s="0" t="n">
        <v>3401185</v>
      </c>
      <c r="D12142" s="0" t="s">
        <v>40474</v>
      </c>
      <c r="E12142" s="0" t="s">
        <v>89</v>
      </c>
      <c r="F12142" s="0" t="s">
        <v>15</v>
      </c>
      <c r="G12142" s="0" t="s">
        <v>32</v>
      </c>
      <c r="H12142" s="0" t="n">
        <v>82</v>
      </c>
      <c r="I12142" s="0" t="s">
        <v>40484</v>
      </c>
      <c r="J12142" s="0" t="s">
        <v>40485</v>
      </c>
      <c r="K12142" s="0" t="s">
        <v>40486</v>
      </c>
      <c r="L12142" s="0" t="str">
        <f aca="false">HYPERLINK("https://www.ncbi.nlm.nih.gov/nuccore/CP000304.1?report=graph&amp;tracks=[key:gene_model_track,Options:GeneOnly]&amp;mk=3401085:3401104|offset_1|444444,3401116:3401135|offset_32|444444,3401139:3401158|offset_55|444444,3401166:3401185|offset_82|00cc00&amp;v=3400884:3401385&amp;c=444444", "offset 82")</f>
        <v>offset 82</v>
      </c>
    </row>
    <row r="12143" customFormat="false" ht="12.8" hidden="false" customHeight="false" outlineLevel="0" collapsed="false">
      <c r="A12143" s="0" t="s">
        <v>12</v>
      </c>
      <c r="B12143" s="0" t="n">
        <v>3401680</v>
      </c>
      <c r="C12143" s="0" t="n">
        <v>3401700</v>
      </c>
      <c r="D12143" s="0" t="s">
        <v>40487</v>
      </c>
      <c r="E12143" s="0" t="s">
        <v>89</v>
      </c>
      <c r="F12143" s="0" t="s">
        <v>15</v>
      </c>
      <c r="G12143" s="0" t="s">
        <v>16</v>
      </c>
      <c r="H12143" s="0" t="n">
        <v>14</v>
      </c>
      <c r="I12143" s="0" t="s">
        <v>40488</v>
      </c>
      <c r="J12143" s="0" t="s">
        <v>40489</v>
      </c>
      <c r="K12143" s="0" t="s">
        <v>40490</v>
      </c>
      <c r="L12143" s="0" t="str">
        <f aca="false">HYPERLINK("https://www.ncbi.nlm.nih.gov/nuccore/CP000304.1?report=graph&amp;tracks=[key:gene_model_track,Options:GeneOnly]&amp;mk=3401681:3401700|offset_14|00cc00,3401722:3401741|offset_55|444444,3401744:3401763|offset_77|444444,3401786:3401805|offset_119|444444&amp;v=3401480:3402005&amp;c=444444", "offset 14")</f>
        <v>offset 14</v>
      </c>
    </row>
    <row r="12144" customFormat="false" ht="12.8" hidden="false" customHeight="false" outlineLevel="0" collapsed="false">
      <c r="A12144" s="0" t="s">
        <v>12</v>
      </c>
      <c r="B12144" s="0" t="n">
        <v>3401721</v>
      </c>
      <c r="C12144" s="0" t="n">
        <v>3401741</v>
      </c>
      <c r="D12144" s="0" t="s">
        <v>40487</v>
      </c>
      <c r="E12144" s="0" t="s">
        <v>89</v>
      </c>
      <c r="F12144" s="0" t="s">
        <v>15</v>
      </c>
      <c r="G12144" s="0" t="s">
        <v>16</v>
      </c>
      <c r="H12144" s="0" t="n">
        <v>55</v>
      </c>
      <c r="I12144" s="0" t="s">
        <v>40491</v>
      </c>
      <c r="J12144" s="0" t="s">
        <v>40492</v>
      </c>
      <c r="K12144" s="0" t="s">
        <v>40493</v>
      </c>
      <c r="L12144" s="0" t="str">
        <f aca="false">HYPERLINK("https://www.ncbi.nlm.nih.gov/nuccore/CP000304.1?report=graph&amp;tracks=[key:gene_model_track,Options:GeneOnly]&amp;mk=3401681:3401700|offset_14|444444,3401722:3401741|offset_55|00cc00,3401744:3401763|offset_77|444444,3401786:3401805|offset_119|444444&amp;v=3401480:3402005&amp;c=444444", "offset 55")</f>
        <v>offset 55</v>
      </c>
    </row>
    <row r="12145" customFormat="false" ht="12.8" hidden="false" customHeight="false" outlineLevel="0" collapsed="false">
      <c r="A12145" s="0" t="s">
        <v>12</v>
      </c>
      <c r="B12145" s="0" t="n">
        <v>3401743</v>
      </c>
      <c r="C12145" s="0" t="n">
        <v>3401763</v>
      </c>
      <c r="D12145" s="0" t="s">
        <v>40487</v>
      </c>
      <c r="E12145" s="0" t="s">
        <v>89</v>
      </c>
      <c r="F12145" s="0" t="s">
        <v>15</v>
      </c>
      <c r="G12145" s="0" t="s">
        <v>26</v>
      </c>
      <c r="H12145" s="0" t="n">
        <v>77</v>
      </c>
      <c r="I12145" s="0" t="s">
        <v>40494</v>
      </c>
      <c r="J12145" s="0" t="s">
        <v>40495</v>
      </c>
      <c r="K12145" s="0" t="s">
        <v>40496</v>
      </c>
      <c r="L12145" s="0" t="str">
        <f aca="false">HYPERLINK("https://www.ncbi.nlm.nih.gov/nuccore/CP000304.1?report=graph&amp;tracks=[key:gene_model_track,Options:GeneOnly]&amp;mk=3401681:3401700|offset_14|444444,3401722:3401741|offset_55|444444,3401744:3401763|offset_77|00cc00,3401786:3401805|offset_119|444444&amp;v=3401480:3402005&amp;c=444444", "offset 77")</f>
        <v>offset 77</v>
      </c>
    </row>
    <row r="12146" customFormat="false" ht="12.8" hidden="false" customHeight="false" outlineLevel="0" collapsed="false">
      <c r="A12146" s="0" t="s">
        <v>12</v>
      </c>
      <c r="B12146" s="0" t="n">
        <v>3401785</v>
      </c>
      <c r="C12146" s="0" t="n">
        <v>3401805</v>
      </c>
      <c r="D12146" s="0" t="s">
        <v>40487</v>
      </c>
      <c r="E12146" s="0" t="s">
        <v>89</v>
      </c>
      <c r="F12146" s="0" t="s">
        <v>15</v>
      </c>
      <c r="G12146" s="0" t="s">
        <v>26</v>
      </c>
      <c r="H12146" s="0" t="n">
        <v>119</v>
      </c>
      <c r="I12146" s="0" t="s">
        <v>40497</v>
      </c>
      <c r="J12146" s="0" t="s">
        <v>40498</v>
      </c>
      <c r="K12146" s="0" t="s">
        <v>40499</v>
      </c>
      <c r="L12146" s="0" t="str">
        <f aca="false">HYPERLINK("https://www.ncbi.nlm.nih.gov/nuccore/CP000304.1?report=graph&amp;tracks=[key:gene_model_track,Options:GeneOnly]&amp;mk=3401681:3401700|offset_14|444444,3401722:3401741|offset_55|444444,3401744:3401763|offset_77|444444,3401786:3401805|offset_119|00cc00&amp;v=3401480:3402005&amp;c=444444", "offset 119")</f>
        <v>offset 119</v>
      </c>
    </row>
    <row r="12147" customFormat="false" ht="12.8" hidden="false" customHeight="false" outlineLevel="0" collapsed="false">
      <c r="A12147" s="0" t="s">
        <v>12</v>
      </c>
      <c r="B12147" s="0" t="n">
        <v>3403547</v>
      </c>
      <c r="C12147" s="0" t="n">
        <v>3403567</v>
      </c>
      <c r="D12147" s="0" t="s">
        <v>40500</v>
      </c>
      <c r="E12147" s="0" t="s">
        <v>89</v>
      </c>
      <c r="F12147" s="0" t="s">
        <v>90</v>
      </c>
      <c r="G12147" s="0" t="s">
        <v>16</v>
      </c>
      <c r="H12147" s="0" t="n">
        <v>72</v>
      </c>
      <c r="I12147" s="0" t="s">
        <v>40501</v>
      </c>
      <c r="J12147" s="0" t="s">
        <v>40502</v>
      </c>
      <c r="K12147" s="0" t="s">
        <v>40503</v>
      </c>
      <c r="L12147" s="0" t="str">
        <f aca="false">HYPERLINK("https://www.ncbi.nlm.nih.gov/nuccore/CP000304.1?report=graph&amp;tracks=[key:gene_model_track,Options:GeneOnly]&amp;mk=3403548:3403567|offset_72|00cc00,3403480:3403499|offset_140|444444,3403355:3403374|offset_265|444444,3403332:3403351|offset_288|444444&amp;v=3403347:3403551&amp;c=444444", "offset 72")</f>
        <v>offset 72</v>
      </c>
    </row>
    <row r="12148" customFormat="false" ht="12.8" hidden="false" customHeight="false" outlineLevel="0" collapsed="false">
      <c r="A12148" s="0" t="s">
        <v>12</v>
      </c>
      <c r="B12148" s="0" t="n">
        <v>3403479</v>
      </c>
      <c r="C12148" s="0" t="n">
        <v>3403499</v>
      </c>
      <c r="D12148" s="0" t="s">
        <v>40500</v>
      </c>
      <c r="E12148" s="0" t="s">
        <v>89</v>
      </c>
      <c r="F12148" s="0" t="s">
        <v>90</v>
      </c>
      <c r="G12148" s="0" t="s">
        <v>16</v>
      </c>
      <c r="H12148" s="0" t="n">
        <v>140</v>
      </c>
      <c r="I12148" s="0" t="s">
        <v>40504</v>
      </c>
      <c r="J12148" s="0" t="s">
        <v>40505</v>
      </c>
      <c r="K12148" s="0" t="s">
        <v>40506</v>
      </c>
      <c r="L12148" s="0" t="str">
        <f aca="false">HYPERLINK("https://www.ncbi.nlm.nih.gov/nuccore/CP000304.1?report=graph&amp;tracks=[key:gene_model_track,Options:GeneOnly]&amp;mk=3403548:3403567|offset_72|444444,3403480:3403499|offset_140|00cc00,3403355:3403374|offset_265|444444,3403332:3403351|offset_288|444444&amp;v=3403347:3403551&amp;c=444444", "offset 140")</f>
        <v>offset 140</v>
      </c>
    </row>
    <row r="12149" customFormat="false" ht="12.8" hidden="false" customHeight="false" outlineLevel="0" collapsed="false">
      <c r="A12149" s="0" t="s">
        <v>12</v>
      </c>
      <c r="B12149" s="0" t="n">
        <v>3403354</v>
      </c>
      <c r="C12149" s="0" t="n">
        <v>3403374</v>
      </c>
      <c r="D12149" s="0" t="s">
        <v>40500</v>
      </c>
      <c r="E12149" s="0" t="s">
        <v>89</v>
      </c>
      <c r="F12149" s="0" t="s">
        <v>90</v>
      </c>
      <c r="G12149" s="0" t="s">
        <v>26</v>
      </c>
      <c r="H12149" s="0" t="n">
        <v>265</v>
      </c>
      <c r="I12149" s="0" t="s">
        <v>40507</v>
      </c>
      <c r="J12149" s="0" t="s">
        <v>40508</v>
      </c>
      <c r="K12149" s="0" t="s">
        <v>40509</v>
      </c>
      <c r="L12149" s="0" t="str">
        <f aca="false">HYPERLINK("https://www.ncbi.nlm.nih.gov/nuccore/CP000304.1?report=graph&amp;tracks=[key:gene_model_track,Options:GeneOnly]&amp;mk=3403548:3403567|offset_72|444444,3403480:3403499|offset_140|444444,3403355:3403374|offset_265|00cc00,3403332:3403351|offset_288|444444&amp;v=3403347:3403551&amp;c=444444", "offset 265")</f>
        <v>offset 265</v>
      </c>
    </row>
    <row r="12150" customFormat="false" ht="12.8" hidden="false" customHeight="false" outlineLevel="0" collapsed="false">
      <c r="A12150" s="0" t="s">
        <v>12</v>
      </c>
      <c r="B12150" s="0" t="n">
        <v>3403331</v>
      </c>
      <c r="C12150" s="0" t="n">
        <v>3403351</v>
      </c>
      <c r="D12150" s="0" t="s">
        <v>40500</v>
      </c>
      <c r="E12150" s="0" t="s">
        <v>89</v>
      </c>
      <c r="F12150" s="0" t="s">
        <v>90</v>
      </c>
      <c r="G12150" s="0" t="s">
        <v>16</v>
      </c>
      <c r="H12150" s="0" t="n">
        <v>288</v>
      </c>
      <c r="I12150" s="0" t="s">
        <v>40510</v>
      </c>
      <c r="J12150" s="0" t="s">
        <v>40511</v>
      </c>
      <c r="K12150" s="0" t="s">
        <v>40512</v>
      </c>
      <c r="L12150" s="0" t="str">
        <f aca="false">HYPERLINK("https://www.ncbi.nlm.nih.gov/nuccore/CP000304.1?report=graph&amp;tracks=[key:gene_model_track,Options:GeneOnly]&amp;mk=3403548:3403567|offset_72|444444,3403480:3403499|offset_140|444444,3403355:3403374|offset_265|444444,3403332:3403351|offset_288|00cc00&amp;v=3403347:3403551&amp;c=444444", "offset 288")</f>
        <v>offset 288</v>
      </c>
    </row>
    <row r="12151" customFormat="false" ht="12.8" hidden="false" customHeight="false" outlineLevel="0" collapsed="false">
      <c r="A12151" s="0" t="s">
        <v>12</v>
      </c>
      <c r="B12151" s="0" t="n">
        <v>3404920</v>
      </c>
      <c r="C12151" s="0" t="n">
        <v>3404940</v>
      </c>
      <c r="D12151" s="0" t="s">
        <v>40513</v>
      </c>
      <c r="E12151" s="0" t="s">
        <v>89</v>
      </c>
      <c r="F12151" s="0" t="s">
        <v>90</v>
      </c>
      <c r="G12151" s="0" t="s">
        <v>36</v>
      </c>
      <c r="H12151" s="0" t="n">
        <v>8</v>
      </c>
      <c r="I12151" s="0" t="s">
        <v>40514</v>
      </c>
      <c r="J12151" s="0" t="s">
        <v>40515</v>
      </c>
      <c r="K12151" s="0" t="s">
        <v>40516</v>
      </c>
      <c r="L12151" s="0" t="str">
        <f aca="false">HYPERLINK("https://www.ncbi.nlm.nih.gov/nuccore/CP000304.1?report=graph&amp;tracks=[key:gene_model_track,Options:GeneOnly]&amp;mk=3404921:3404940|offset_8|00cc00,3404894:3404913|offset_35|444444,3404869:3404888|offset_60|444444,3404830:3404849|offset_99|444444&amp;v=3404720:3405049&amp;c=444444", "offset 8")</f>
        <v>offset 8</v>
      </c>
    </row>
    <row r="12152" customFormat="false" ht="12.8" hidden="false" customHeight="false" outlineLevel="0" collapsed="false">
      <c r="A12152" s="0" t="s">
        <v>12</v>
      </c>
      <c r="B12152" s="0" t="n">
        <v>3404893</v>
      </c>
      <c r="C12152" s="0" t="n">
        <v>3404913</v>
      </c>
      <c r="D12152" s="0" t="s">
        <v>40513</v>
      </c>
      <c r="E12152" s="0" t="s">
        <v>89</v>
      </c>
      <c r="F12152" s="0" t="s">
        <v>90</v>
      </c>
      <c r="G12152" s="0" t="s">
        <v>16</v>
      </c>
      <c r="H12152" s="0" t="n">
        <v>35</v>
      </c>
      <c r="I12152" s="0" t="s">
        <v>40517</v>
      </c>
      <c r="J12152" s="0" t="s">
        <v>40518</v>
      </c>
      <c r="K12152" s="0" t="s">
        <v>40519</v>
      </c>
      <c r="L12152" s="0" t="str">
        <f aca="false">HYPERLINK("https://www.ncbi.nlm.nih.gov/nuccore/CP000304.1?report=graph&amp;tracks=[key:gene_model_track,Options:GeneOnly]&amp;mk=3404921:3404940|offset_8|444444,3404894:3404913|offset_35|00cc00,3404869:3404888|offset_60|444444,3404830:3404849|offset_99|444444&amp;v=3404720:3405049&amp;c=444444", "offset 35")</f>
        <v>offset 35</v>
      </c>
    </row>
    <row r="12153" customFormat="false" ht="12.8" hidden="false" customHeight="false" outlineLevel="0" collapsed="false">
      <c r="A12153" s="0" t="s">
        <v>12</v>
      </c>
      <c r="B12153" s="0" t="n">
        <v>3404868</v>
      </c>
      <c r="C12153" s="0" t="n">
        <v>3404888</v>
      </c>
      <c r="D12153" s="0" t="s">
        <v>40513</v>
      </c>
      <c r="E12153" s="0" t="s">
        <v>89</v>
      </c>
      <c r="F12153" s="0" t="s">
        <v>90</v>
      </c>
      <c r="G12153" s="0" t="s">
        <v>16</v>
      </c>
      <c r="H12153" s="0" t="n">
        <v>60</v>
      </c>
      <c r="I12153" s="0" t="s">
        <v>40520</v>
      </c>
      <c r="J12153" s="0" t="s">
        <v>40521</v>
      </c>
      <c r="K12153" s="0" t="s">
        <v>40522</v>
      </c>
      <c r="L12153" s="0" t="str">
        <f aca="false">HYPERLINK("https://www.ncbi.nlm.nih.gov/nuccore/CP000304.1?report=graph&amp;tracks=[key:gene_model_track,Options:GeneOnly]&amp;mk=3404921:3404940|offset_8|444444,3404894:3404913|offset_35|444444,3404869:3404888|offset_60|00cc00,3404830:3404849|offset_99|444444&amp;v=3404720:3405049&amp;c=444444", "offset 60")</f>
        <v>offset 60</v>
      </c>
    </row>
    <row r="12154" customFormat="false" ht="12.8" hidden="false" customHeight="false" outlineLevel="0" collapsed="false">
      <c r="A12154" s="0" t="s">
        <v>12</v>
      </c>
      <c r="B12154" s="0" t="n">
        <v>3404829</v>
      </c>
      <c r="C12154" s="0" t="n">
        <v>3404849</v>
      </c>
      <c r="D12154" s="0" t="s">
        <v>40513</v>
      </c>
      <c r="E12154" s="0" t="s">
        <v>89</v>
      </c>
      <c r="F12154" s="0" t="s">
        <v>90</v>
      </c>
      <c r="G12154" s="0" t="s">
        <v>16</v>
      </c>
      <c r="H12154" s="0" t="n">
        <v>99</v>
      </c>
      <c r="I12154" s="0" t="s">
        <v>40523</v>
      </c>
      <c r="J12154" s="0" t="s">
        <v>40524</v>
      </c>
      <c r="K12154" s="0" t="s">
        <v>40525</v>
      </c>
      <c r="L12154" s="0" t="str">
        <f aca="false">HYPERLINK("https://www.ncbi.nlm.nih.gov/nuccore/CP000304.1?report=graph&amp;tracks=[key:gene_model_track,Options:GeneOnly]&amp;mk=3404921:3404940|offset_8|444444,3404894:3404913|offset_35|444444,3404869:3404888|offset_60|444444,3404830:3404849|offset_99|00cc00&amp;v=3404720:3405049&amp;c=444444", "offset 99")</f>
        <v>offset 99</v>
      </c>
    </row>
    <row r="12155" customFormat="false" ht="12.8" hidden="false" customHeight="false" outlineLevel="0" collapsed="false">
      <c r="A12155" s="0" t="s">
        <v>12</v>
      </c>
      <c r="B12155" s="0" t="n">
        <v>3406427</v>
      </c>
      <c r="C12155" s="0" t="n">
        <v>3406447</v>
      </c>
      <c r="D12155" s="0" t="s">
        <v>40526</v>
      </c>
      <c r="E12155" s="0" t="s">
        <v>40527</v>
      </c>
      <c r="F12155" s="0" t="s">
        <v>90</v>
      </c>
      <c r="G12155" s="0" t="s">
        <v>36</v>
      </c>
      <c r="H12155" s="0" t="n">
        <v>100</v>
      </c>
      <c r="I12155" s="0" t="s">
        <v>40528</v>
      </c>
      <c r="J12155" s="0" t="s">
        <v>40529</v>
      </c>
      <c r="K12155" s="0" t="s">
        <v>40530</v>
      </c>
      <c r="L12155" s="0" t="str">
        <f aca="false">HYPERLINK("https://www.ncbi.nlm.nih.gov/nuccore/CP000304.1?report=graph&amp;tracks=[key:gene_model_track,Options:GeneOnly]&amp;mk=3406428:3406447|offset_100|00cc00,3406218:3406237|offset_310|444444,3406090:3406109|offset_438|444444,3406052:3406071|offset_476|444444&amp;v=3406227:3406271&amp;c=444444", "offset 100")</f>
        <v>offset 100</v>
      </c>
    </row>
    <row r="12156" customFormat="false" ht="12.8" hidden="false" customHeight="false" outlineLevel="0" collapsed="false">
      <c r="A12156" s="0" t="s">
        <v>12</v>
      </c>
      <c r="B12156" s="0" t="n">
        <v>3406217</v>
      </c>
      <c r="C12156" s="0" t="n">
        <v>3406237</v>
      </c>
      <c r="D12156" s="0" t="s">
        <v>40526</v>
      </c>
      <c r="E12156" s="0" t="s">
        <v>40527</v>
      </c>
      <c r="F12156" s="0" t="s">
        <v>90</v>
      </c>
      <c r="G12156" s="0" t="s">
        <v>16</v>
      </c>
      <c r="H12156" s="0" t="n">
        <v>310</v>
      </c>
      <c r="I12156" s="0" t="s">
        <v>40531</v>
      </c>
      <c r="J12156" s="0" t="s">
        <v>40532</v>
      </c>
      <c r="K12156" s="0" t="s">
        <v>40533</v>
      </c>
      <c r="L12156" s="0" t="str">
        <f aca="false">HYPERLINK("https://www.ncbi.nlm.nih.gov/nuccore/CP000304.1?report=graph&amp;tracks=[key:gene_model_track,Options:GeneOnly]&amp;mk=3406428:3406447|offset_100|444444,3406218:3406237|offset_310|00cc00,3406090:3406109|offset_438|444444,3406052:3406071|offset_476|444444&amp;v=3406227:3406271&amp;c=444444", "offset 310")</f>
        <v>offset 310</v>
      </c>
    </row>
    <row r="12157" customFormat="false" ht="12.8" hidden="false" customHeight="false" outlineLevel="0" collapsed="false">
      <c r="A12157" s="0" t="s">
        <v>12</v>
      </c>
      <c r="B12157" s="0" t="n">
        <v>3406089</v>
      </c>
      <c r="C12157" s="0" t="n">
        <v>3406109</v>
      </c>
      <c r="D12157" s="0" t="s">
        <v>40526</v>
      </c>
      <c r="E12157" s="0" t="s">
        <v>40527</v>
      </c>
      <c r="F12157" s="0" t="s">
        <v>90</v>
      </c>
      <c r="G12157" s="0" t="s">
        <v>16</v>
      </c>
      <c r="H12157" s="0" t="n">
        <v>438</v>
      </c>
      <c r="I12157" s="0" t="s">
        <v>40534</v>
      </c>
      <c r="J12157" s="0" t="s">
        <v>40535</v>
      </c>
      <c r="K12157" s="0" t="s">
        <v>40536</v>
      </c>
      <c r="L12157" s="0" t="str">
        <f aca="false">HYPERLINK("https://www.ncbi.nlm.nih.gov/nuccore/CP000304.1?report=graph&amp;tracks=[key:gene_model_track,Options:GeneOnly]&amp;mk=3406428:3406447|offset_100|444444,3406218:3406237|offset_310|444444,3406090:3406109|offset_438|00cc00,3406052:3406071|offset_476|444444&amp;v=3406227:3406271&amp;c=444444", "offset 438")</f>
        <v>offset 438</v>
      </c>
    </row>
    <row r="12158" customFormat="false" ht="12.8" hidden="false" customHeight="false" outlineLevel="0" collapsed="false">
      <c r="A12158" s="0" t="s">
        <v>12</v>
      </c>
      <c r="B12158" s="0" t="n">
        <v>3406051</v>
      </c>
      <c r="C12158" s="0" t="n">
        <v>3406071</v>
      </c>
      <c r="D12158" s="0" t="s">
        <v>40526</v>
      </c>
      <c r="E12158" s="0" t="s">
        <v>40527</v>
      </c>
      <c r="F12158" s="0" t="s">
        <v>90</v>
      </c>
      <c r="G12158" s="0" t="s">
        <v>32</v>
      </c>
      <c r="H12158" s="0" t="n">
        <v>476</v>
      </c>
      <c r="I12158" s="0" t="s">
        <v>40537</v>
      </c>
      <c r="J12158" s="0" t="s">
        <v>40538</v>
      </c>
      <c r="K12158" s="0" t="s">
        <v>40539</v>
      </c>
      <c r="L12158" s="0" t="str">
        <f aca="false">HYPERLINK("https://www.ncbi.nlm.nih.gov/nuccore/CP000304.1?report=graph&amp;tracks=[key:gene_model_track,Options:GeneOnly]&amp;mk=3406428:3406447|offset_100|444444,3406218:3406237|offset_310|444444,3406090:3406109|offset_438|444444,3406052:3406071|offset_476|00cc00&amp;v=3406227:3406271&amp;c=444444", "offset 476")</f>
        <v>offset 476</v>
      </c>
    </row>
    <row r="12159" customFormat="false" ht="12.8" hidden="false" customHeight="false" outlineLevel="0" collapsed="false">
      <c r="A12159" s="0" t="s">
        <v>12</v>
      </c>
      <c r="B12159" s="0" t="n">
        <v>3407181</v>
      </c>
      <c r="C12159" s="0" t="n">
        <v>3407201</v>
      </c>
      <c r="D12159" s="0" t="s">
        <v>40540</v>
      </c>
      <c r="E12159" s="0" t="s">
        <v>40541</v>
      </c>
      <c r="F12159" s="0" t="s">
        <v>90</v>
      </c>
      <c r="G12159" s="0" t="s">
        <v>36</v>
      </c>
      <c r="H12159" s="0" t="n">
        <v>30</v>
      </c>
      <c r="I12159" s="0" t="s">
        <v>40542</v>
      </c>
      <c r="J12159" s="0" t="s">
        <v>40543</v>
      </c>
      <c r="K12159" s="0" t="s">
        <v>40544</v>
      </c>
      <c r="L12159" s="0" t="str">
        <f aca="false">HYPERLINK("https://www.ncbi.nlm.nih.gov/nuccore/CP000304.1?report=graph&amp;tracks=[key:gene_model_track,Options:GeneOnly]&amp;mk=3407182:3407201|offset_30|00cc00,3407162:3407181|offset_50|444444,3407136:3407155|offset_76|444444,3407109:3407128|offset_103|444444&amp;v=3406981:3407328&amp;c=444444", "offset 30")</f>
        <v>offset 30</v>
      </c>
    </row>
    <row r="12160" customFormat="false" ht="12.8" hidden="false" customHeight="false" outlineLevel="0" collapsed="false">
      <c r="A12160" s="0" t="s">
        <v>12</v>
      </c>
      <c r="B12160" s="0" t="n">
        <v>3407161</v>
      </c>
      <c r="C12160" s="0" t="n">
        <v>3407181</v>
      </c>
      <c r="D12160" s="0" t="s">
        <v>40540</v>
      </c>
      <c r="E12160" s="0" t="s">
        <v>40541</v>
      </c>
      <c r="F12160" s="0" t="s">
        <v>90</v>
      </c>
      <c r="G12160" s="0" t="s">
        <v>32</v>
      </c>
      <c r="H12160" s="0" t="n">
        <v>50</v>
      </c>
      <c r="I12160" s="0" t="s">
        <v>40545</v>
      </c>
      <c r="J12160" s="0" t="s">
        <v>40546</v>
      </c>
      <c r="K12160" s="0" t="s">
        <v>40547</v>
      </c>
      <c r="L12160" s="0" t="str">
        <f aca="false">HYPERLINK("https://www.ncbi.nlm.nih.gov/nuccore/CP000304.1?report=graph&amp;tracks=[key:gene_model_track,Options:GeneOnly]&amp;mk=3407182:3407201|offset_30|444444,3407162:3407181|offset_50|00cc00,3407136:3407155|offset_76|444444,3407109:3407128|offset_103|444444&amp;v=3406981:3407328&amp;c=444444", "offset 50")</f>
        <v>offset 50</v>
      </c>
    </row>
    <row r="12161" customFormat="false" ht="12.8" hidden="false" customHeight="false" outlineLevel="0" collapsed="false">
      <c r="A12161" s="0" t="s">
        <v>12</v>
      </c>
      <c r="B12161" s="0" t="n">
        <v>3407135</v>
      </c>
      <c r="C12161" s="0" t="n">
        <v>3407155</v>
      </c>
      <c r="D12161" s="0" t="s">
        <v>40540</v>
      </c>
      <c r="E12161" s="0" t="s">
        <v>40541</v>
      </c>
      <c r="F12161" s="0" t="s">
        <v>90</v>
      </c>
      <c r="G12161" s="0" t="s">
        <v>16</v>
      </c>
      <c r="H12161" s="0" t="n">
        <v>76</v>
      </c>
      <c r="I12161" s="0" t="s">
        <v>40548</v>
      </c>
      <c r="J12161" s="0" t="s">
        <v>40549</v>
      </c>
      <c r="K12161" s="0" t="s">
        <v>40550</v>
      </c>
      <c r="L12161" s="0" t="str">
        <f aca="false">HYPERLINK("https://www.ncbi.nlm.nih.gov/nuccore/CP000304.1?report=graph&amp;tracks=[key:gene_model_track,Options:GeneOnly]&amp;mk=3407182:3407201|offset_30|444444,3407162:3407181|offset_50|444444,3407136:3407155|offset_76|00cc00,3407109:3407128|offset_103|444444&amp;v=3406981:3407328&amp;c=444444", "offset 76")</f>
        <v>offset 76</v>
      </c>
    </row>
    <row r="12162" customFormat="false" ht="12.8" hidden="false" customHeight="false" outlineLevel="0" collapsed="false">
      <c r="A12162" s="0" t="s">
        <v>12</v>
      </c>
      <c r="B12162" s="0" t="n">
        <v>3407108</v>
      </c>
      <c r="C12162" s="0" t="n">
        <v>3407128</v>
      </c>
      <c r="D12162" s="0" t="s">
        <v>40540</v>
      </c>
      <c r="E12162" s="0" t="s">
        <v>40541</v>
      </c>
      <c r="F12162" s="0" t="s">
        <v>90</v>
      </c>
      <c r="G12162" s="0" t="s">
        <v>16</v>
      </c>
      <c r="H12162" s="0" t="n">
        <v>103</v>
      </c>
      <c r="I12162" s="0" t="s">
        <v>40551</v>
      </c>
      <c r="J12162" s="0" t="s">
        <v>40552</v>
      </c>
      <c r="K12162" s="0" t="s">
        <v>40553</v>
      </c>
      <c r="L12162" s="0" t="str">
        <f aca="false">HYPERLINK("https://www.ncbi.nlm.nih.gov/nuccore/CP000304.1?report=graph&amp;tracks=[key:gene_model_track,Options:GeneOnly]&amp;mk=3407182:3407201|offset_30|444444,3407162:3407181|offset_50|444444,3407136:3407155|offset_76|444444,3407109:3407128|offset_103|00cc00&amp;v=3406981:3407328&amp;c=444444", "offset 103")</f>
        <v>offset 103</v>
      </c>
    </row>
    <row r="12163" customFormat="false" ht="12.8" hidden="false" customHeight="false" outlineLevel="0" collapsed="false">
      <c r="A12163" s="0" t="s">
        <v>12</v>
      </c>
      <c r="B12163" s="0" t="n">
        <v>3408307</v>
      </c>
      <c r="C12163" s="0" t="n">
        <v>3408327</v>
      </c>
      <c r="D12163" s="0" t="s">
        <v>40554</v>
      </c>
      <c r="E12163" s="0" t="s">
        <v>89</v>
      </c>
      <c r="F12163" s="0" t="s">
        <v>90</v>
      </c>
      <c r="G12163" s="0" t="s">
        <v>32</v>
      </c>
      <c r="H12163" s="0" t="n">
        <v>14</v>
      </c>
      <c r="I12163" s="0" t="s">
        <v>40555</v>
      </c>
      <c r="J12163" s="0" t="s">
        <v>40556</v>
      </c>
      <c r="K12163" s="0" t="s">
        <v>40557</v>
      </c>
      <c r="L12163" s="0" t="str">
        <f aca="false">HYPERLINK("https://www.ncbi.nlm.nih.gov/nuccore/CP000304.1?report=graph&amp;tracks=[key:gene_model_track,Options:GeneOnly]&amp;mk=3408308:3408327|offset_14|00cc00,3408279:3408298|offset_43|444444,3408250:3408269|offset_72|444444,3408215:3408234|offset_107|444444&amp;v=3408107:3408434&amp;c=444444", "offset 14")</f>
        <v>offset 14</v>
      </c>
    </row>
    <row r="12164" customFormat="false" ht="12.8" hidden="false" customHeight="false" outlineLevel="0" collapsed="false">
      <c r="A12164" s="0" t="s">
        <v>12</v>
      </c>
      <c r="B12164" s="0" t="n">
        <v>3408278</v>
      </c>
      <c r="C12164" s="0" t="n">
        <v>3408298</v>
      </c>
      <c r="D12164" s="0" t="s">
        <v>40554</v>
      </c>
      <c r="E12164" s="0" t="s">
        <v>89</v>
      </c>
      <c r="F12164" s="0" t="s">
        <v>90</v>
      </c>
      <c r="G12164" s="0" t="s">
        <v>16</v>
      </c>
      <c r="H12164" s="0" t="n">
        <v>43</v>
      </c>
      <c r="I12164" s="0" t="s">
        <v>40558</v>
      </c>
      <c r="J12164" s="0" t="s">
        <v>40559</v>
      </c>
      <c r="K12164" s="0" t="s">
        <v>40560</v>
      </c>
      <c r="L12164" s="0" t="str">
        <f aca="false">HYPERLINK("https://www.ncbi.nlm.nih.gov/nuccore/CP000304.1?report=graph&amp;tracks=[key:gene_model_track,Options:GeneOnly]&amp;mk=3408308:3408327|offset_14|444444,3408279:3408298|offset_43|00cc00,3408250:3408269|offset_72|444444,3408215:3408234|offset_107|444444&amp;v=3408107:3408434&amp;c=444444", "offset 43")</f>
        <v>offset 43</v>
      </c>
    </row>
    <row r="12165" customFormat="false" ht="12.8" hidden="false" customHeight="false" outlineLevel="0" collapsed="false">
      <c r="A12165" s="0" t="s">
        <v>12</v>
      </c>
      <c r="B12165" s="0" t="n">
        <v>3408249</v>
      </c>
      <c r="C12165" s="0" t="n">
        <v>3408269</v>
      </c>
      <c r="D12165" s="0" t="s">
        <v>40554</v>
      </c>
      <c r="E12165" s="0" t="s">
        <v>89</v>
      </c>
      <c r="F12165" s="0" t="s">
        <v>90</v>
      </c>
      <c r="G12165" s="0" t="s">
        <v>16</v>
      </c>
      <c r="H12165" s="0" t="n">
        <v>72</v>
      </c>
      <c r="I12165" s="0" t="s">
        <v>40561</v>
      </c>
      <c r="J12165" s="0" t="s">
        <v>40562</v>
      </c>
      <c r="K12165" s="0" t="s">
        <v>40563</v>
      </c>
      <c r="L12165" s="0" t="str">
        <f aca="false">HYPERLINK("https://www.ncbi.nlm.nih.gov/nuccore/CP000304.1?report=graph&amp;tracks=[key:gene_model_track,Options:GeneOnly]&amp;mk=3408308:3408327|offset_14|444444,3408279:3408298|offset_43|444444,3408250:3408269|offset_72|00cc00,3408215:3408234|offset_107|444444&amp;v=3408107:3408434&amp;c=444444", "offset 72")</f>
        <v>offset 72</v>
      </c>
    </row>
    <row r="12166" customFormat="false" ht="12.8" hidden="false" customHeight="false" outlineLevel="0" collapsed="false">
      <c r="A12166" s="0" t="s">
        <v>12</v>
      </c>
      <c r="B12166" s="0" t="n">
        <v>3408214</v>
      </c>
      <c r="C12166" s="0" t="n">
        <v>3408234</v>
      </c>
      <c r="D12166" s="0" t="s">
        <v>40554</v>
      </c>
      <c r="E12166" s="0" t="s">
        <v>89</v>
      </c>
      <c r="F12166" s="0" t="s">
        <v>90</v>
      </c>
      <c r="G12166" s="0" t="s">
        <v>36</v>
      </c>
      <c r="H12166" s="0" t="n">
        <v>107</v>
      </c>
      <c r="I12166" s="0" t="s">
        <v>40564</v>
      </c>
      <c r="J12166" s="0" t="s">
        <v>40565</v>
      </c>
      <c r="K12166" s="0" t="s">
        <v>40566</v>
      </c>
      <c r="L12166" s="0" t="str">
        <f aca="false">HYPERLINK("https://www.ncbi.nlm.nih.gov/nuccore/CP000304.1?report=graph&amp;tracks=[key:gene_model_track,Options:GeneOnly]&amp;mk=3408308:3408327|offset_14|444444,3408279:3408298|offset_43|444444,3408250:3408269|offset_72|444444,3408215:3408234|offset_107|00cc00&amp;v=3408107:3408434&amp;c=444444", "offset 107")</f>
        <v>offset 107</v>
      </c>
    </row>
    <row r="12167" customFormat="false" ht="12.8" hidden="false" customHeight="false" outlineLevel="0" collapsed="false">
      <c r="A12167" s="0" t="s">
        <v>12</v>
      </c>
      <c r="B12167" s="0" t="n">
        <v>3408907</v>
      </c>
      <c r="C12167" s="0" t="n">
        <v>3408927</v>
      </c>
      <c r="D12167" s="0" t="s">
        <v>40567</v>
      </c>
      <c r="E12167" s="0" t="s">
        <v>89</v>
      </c>
      <c r="F12167" s="0" t="s">
        <v>90</v>
      </c>
      <c r="G12167" s="0" t="s">
        <v>26</v>
      </c>
      <c r="H12167" s="0" t="n">
        <v>43</v>
      </c>
      <c r="I12167" s="0" t="s">
        <v>40568</v>
      </c>
      <c r="J12167" s="0" t="s">
        <v>40569</v>
      </c>
      <c r="K12167" s="0" t="s">
        <v>40570</v>
      </c>
      <c r="L12167" s="0" t="str">
        <f aca="false">HYPERLINK("https://www.ncbi.nlm.nih.gov/nuccore/CP000304.1?report=graph&amp;tracks=[key:gene_model_track,Options:GeneOnly]&amp;mk=3408908:3408927|offset_43|00cc00,3408872:3408891|offset_79|444444,3408849:3408868|offset_102|444444,3408823:3408842|offset_128|444444&amp;v=3408707:3409042&amp;c=444444", "offset 43")</f>
        <v>offset 43</v>
      </c>
    </row>
    <row r="12168" customFormat="false" ht="12.8" hidden="false" customHeight="false" outlineLevel="0" collapsed="false">
      <c r="A12168" s="0" t="s">
        <v>12</v>
      </c>
      <c r="B12168" s="0" t="n">
        <v>3408871</v>
      </c>
      <c r="C12168" s="0" t="n">
        <v>3408891</v>
      </c>
      <c r="D12168" s="0" t="s">
        <v>40567</v>
      </c>
      <c r="E12168" s="0" t="s">
        <v>89</v>
      </c>
      <c r="F12168" s="0" t="s">
        <v>90</v>
      </c>
      <c r="G12168" s="0" t="s">
        <v>16</v>
      </c>
      <c r="H12168" s="0" t="n">
        <v>79</v>
      </c>
      <c r="I12168" s="0" t="s">
        <v>40571</v>
      </c>
      <c r="J12168" s="0" t="s">
        <v>40572</v>
      </c>
      <c r="K12168" s="0" t="s">
        <v>40573</v>
      </c>
      <c r="L12168" s="0" t="str">
        <f aca="false">HYPERLINK("https://www.ncbi.nlm.nih.gov/nuccore/CP000304.1?report=graph&amp;tracks=[key:gene_model_track,Options:GeneOnly]&amp;mk=3408908:3408927|offset_43|444444,3408872:3408891|offset_79|00cc00,3408849:3408868|offset_102|444444,3408823:3408842|offset_128|444444&amp;v=3408707:3409042&amp;c=444444", "offset 79")</f>
        <v>offset 79</v>
      </c>
    </row>
    <row r="12169" customFormat="false" ht="12.8" hidden="false" customHeight="false" outlineLevel="0" collapsed="false">
      <c r="A12169" s="0" t="s">
        <v>12</v>
      </c>
      <c r="B12169" s="0" t="n">
        <v>3408848</v>
      </c>
      <c r="C12169" s="0" t="n">
        <v>3408868</v>
      </c>
      <c r="D12169" s="0" t="s">
        <v>40567</v>
      </c>
      <c r="E12169" s="0" t="s">
        <v>89</v>
      </c>
      <c r="F12169" s="0" t="s">
        <v>90</v>
      </c>
      <c r="G12169" s="0" t="s">
        <v>16</v>
      </c>
      <c r="H12169" s="0" t="n">
        <v>102</v>
      </c>
      <c r="I12169" s="0" t="s">
        <v>40574</v>
      </c>
      <c r="J12169" s="0" t="s">
        <v>40575</v>
      </c>
      <c r="K12169" s="0" t="s">
        <v>40576</v>
      </c>
      <c r="L12169" s="0" t="str">
        <f aca="false">HYPERLINK("https://www.ncbi.nlm.nih.gov/nuccore/CP000304.1?report=graph&amp;tracks=[key:gene_model_track,Options:GeneOnly]&amp;mk=3408908:3408927|offset_43|444444,3408872:3408891|offset_79|444444,3408849:3408868|offset_102|00cc00,3408823:3408842|offset_128|444444&amp;v=3408707:3409042&amp;c=444444", "offset 102")</f>
        <v>offset 102</v>
      </c>
    </row>
    <row r="12170" customFormat="false" ht="12.8" hidden="false" customHeight="false" outlineLevel="0" collapsed="false">
      <c r="A12170" s="0" t="s">
        <v>12</v>
      </c>
      <c r="B12170" s="0" t="n">
        <v>3408822</v>
      </c>
      <c r="C12170" s="0" t="n">
        <v>3408842</v>
      </c>
      <c r="D12170" s="0" t="s">
        <v>40567</v>
      </c>
      <c r="E12170" s="0" t="s">
        <v>89</v>
      </c>
      <c r="F12170" s="0" t="s">
        <v>90</v>
      </c>
      <c r="G12170" s="0" t="s">
        <v>16</v>
      </c>
      <c r="H12170" s="0" t="n">
        <v>128</v>
      </c>
      <c r="I12170" s="0" t="s">
        <v>40577</v>
      </c>
      <c r="J12170" s="0" t="s">
        <v>40578</v>
      </c>
      <c r="K12170" s="0" t="s">
        <v>40579</v>
      </c>
      <c r="L12170" s="0" t="str">
        <f aca="false">HYPERLINK("https://www.ncbi.nlm.nih.gov/nuccore/CP000304.1?report=graph&amp;tracks=[key:gene_model_track,Options:GeneOnly]&amp;mk=3408908:3408927|offset_43|444444,3408872:3408891|offset_79|444444,3408849:3408868|offset_102|444444,3408823:3408842|offset_128|00cc00&amp;v=3408707:3409042&amp;c=444444", "offset 128")</f>
        <v>offset 128</v>
      </c>
    </row>
    <row r="12171" customFormat="false" ht="12.8" hidden="false" customHeight="false" outlineLevel="0" collapsed="false">
      <c r="A12171" s="0" t="s">
        <v>12</v>
      </c>
      <c r="B12171" s="0" t="n">
        <v>3410290</v>
      </c>
      <c r="C12171" s="0" t="n">
        <v>3410310</v>
      </c>
      <c r="D12171" s="0" t="s">
        <v>40580</v>
      </c>
      <c r="E12171" s="0" t="s">
        <v>40581</v>
      </c>
      <c r="F12171" s="0" t="s">
        <v>90</v>
      </c>
      <c r="G12171" s="0" t="s">
        <v>32</v>
      </c>
      <c r="H12171" s="0" t="n">
        <v>1</v>
      </c>
      <c r="I12171" s="0" t="s">
        <v>40582</v>
      </c>
      <c r="J12171" s="0" t="s">
        <v>40583</v>
      </c>
      <c r="K12171" s="0" t="s">
        <v>40584</v>
      </c>
      <c r="L12171" s="0" t="str">
        <f aca="false">HYPERLINK("https://www.ncbi.nlm.nih.gov/nuccore/CP000304.1?report=graph&amp;tracks=[key:gene_model_track,Options:GeneOnly]&amp;mk=3410291:3410310|offset_1|00cc00,3410271:3410290|offset_21|444444,3410247:3410266|offset_45|444444,3410219:3410238|offset_73|444444&amp;v=3410090:3410438&amp;c=444444", "offset 1")</f>
        <v>offset 1</v>
      </c>
    </row>
    <row r="12172" customFormat="false" ht="12.8" hidden="false" customHeight="false" outlineLevel="0" collapsed="false">
      <c r="A12172" s="0" t="s">
        <v>12</v>
      </c>
      <c r="B12172" s="0" t="n">
        <v>3410270</v>
      </c>
      <c r="C12172" s="0" t="n">
        <v>3410290</v>
      </c>
      <c r="D12172" s="0" t="s">
        <v>40580</v>
      </c>
      <c r="E12172" s="0" t="s">
        <v>40581</v>
      </c>
      <c r="F12172" s="0" t="s">
        <v>90</v>
      </c>
      <c r="G12172" s="0" t="s">
        <v>26</v>
      </c>
      <c r="H12172" s="0" t="n">
        <v>21</v>
      </c>
      <c r="I12172" s="0" t="s">
        <v>40585</v>
      </c>
      <c r="J12172" s="0" t="s">
        <v>40586</v>
      </c>
      <c r="K12172" s="0" t="s">
        <v>40587</v>
      </c>
      <c r="L12172" s="0" t="str">
        <f aca="false">HYPERLINK("https://www.ncbi.nlm.nih.gov/nuccore/CP000304.1?report=graph&amp;tracks=[key:gene_model_track,Options:GeneOnly]&amp;mk=3410291:3410310|offset_1|444444,3410271:3410290|offset_21|00cc00,3410247:3410266|offset_45|444444,3410219:3410238|offset_73|444444&amp;v=3410090:3410438&amp;c=444444", "offset 21")</f>
        <v>offset 21</v>
      </c>
    </row>
    <row r="12173" customFormat="false" ht="12.8" hidden="false" customHeight="false" outlineLevel="0" collapsed="false">
      <c r="A12173" s="0" t="s">
        <v>12</v>
      </c>
      <c r="B12173" s="0" t="n">
        <v>3410246</v>
      </c>
      <c r="C12173" s="0" t="n">
        <v>3410266</v>
      </c>
      <c r="D12173" s="0" t="s">
        <v>40580</v>
      </c>
      <c r="E12173" s="0" t="s">
        <v>40581</v>
      </c>
      <c r="F12173" s="0" t="s">
        <v>90</v>
      </c>
      <c r="G12173" s="0" t="s">
        <v>36</v>
      </c>
      <c r="H12173" s="0" t="n">
        <v>45</v>
      </c>
      <c r="I12173" s="0" t="s">
        <v>40588</v>
      </c>
      <c r="J12173" s="0" t="s">
        <v>40589</v>
      </c>
      <c r="K12173" s="0" t="s">
        <v>40590</v>
      </c>
      <c r="L12173" s="0" t="str">
        <f aca="false">HYPERLINK("https://www.ncbi.nlm.nih.gov/nuccore/CP000304.1?report=graph&amp;tracks=[key:gene_model_track,Options:GeneOnly]&amp;mk=3410291:3410310|offset_1|444444,3410271:3410290|offset_21|444444,3410247:3410266|offset_45|00cc00,3410219:3410238|offset_73|444444&amp;v=3410090:3410438&amp;c=444444", "offset 45")</f>
        <v>offset 45</v>
      </c>
    </row>
    <row r="12174" customFormat="false" ht="12.8" hidden="false" customHeight="false" outlineLevel="0" collapsed="false">
      <c r="A12174" s="0" t="s">
        <v>12</v>
      </c>
      <c r="B12174" s="0" t="n">
        <v>3410218</v>
      </c>
      <c r="C12174" s="0" t="n">
        <v>3410238</v>
      </c>
      <c r="D12174" s="0" t="s">
        <v>40580</v>
      </c>
      <c r="E12174" s="0" t="s">
        <v>40581</v>
      </c>
      <c r="F12174" s="0" t="s">
        <v>90</v>
      </c>
      <c r="G12174" s="0" t="s">
        <v>16</v>
      </c>
      <c r="H12174" s="0" t="n">
        <v>73</v>
      </c>
      <c r="I12174" s="0" t="s">
        <v>40591</v>
      </c>
      <c r="J12174" s="0" t="s">
        <v>40592</v>
      </c>
      <c r="K12174" s="0" t="s">
        <v>40593</v>
      </c>
      <c r="L12174" s="0" t="str">
        <f aca="false">HYPERLINK("https://www.ncbi.nlm.nih.gov/nuccore/CP000304.1?report=graph&amp;tracks=[key:gene_model_track,Options:GeneOnly]&amp;mk=3410291:3410310|offset_1|444444,3410271:3410290|offset_21|444444,3410247:3410266|offset_45|444444,3410219:3410238|offset_73|00cc00&amp;v=3410090:3410438&amp;c=444444", "offset 73")</f>
        <v>offset 73</v>
      </c>
    </row>
    <row r="12175" customFormat="false" ht="12.8" hidden="false" customHeight="false" outlineLevel="0" collapsed="false">
      <c r="A12175" s="0" t="s">
        <v>12</v>
      </c>
      <c r="B12175" s="0" t="n">
        <v>3413135</v>
      </c>
      <c r="C12175" s="0" t="n">
        <v>3413155</v>
      </c>
      <c r="D12175" s="0" t="s">
        <v>40594</v>
      </c>
      <c r="E12175" s="0" t="s">
        <v>40595</v>
      </c>
      <c r="F12175" s="0" t="s">
        <v>90</v>
      </c>
      <c r="G12175" s="0" t="s">
        <v>26</v>
      </c>
      <c r="H12175" s="0" t="n">
        <v>30</v>
      </c>
      <c r="I12175" s="0" t="s">
        <v>40596</v>
      </c>
      <c r="J12175" s="0" t="s">
        <v>40597</v>
      </c>
      <c r="K12175" s="0" t="s">
        <v>40598</v>
      </c>
      <c r="L12175" s="0" t="str">
        <f aca="false">HYPERLINK("https://www.ncbi.nlm.nih.gov/nuccore/CP000304.1?report=graph&amp;tracks=[key:gene_model_track,Options:GeneOnly]&amp;mk=3413136:3413155|offset_30|00cc00,3413066:3413085|offset_100|444444,3413030:3413049|offset_136|444444,3413006:3413025|offset_160|444444&amp;v=3412935:3413225&amp;c=444444", "offset 30")</f>
        <v>offset 30</v>
      </c>
    </row>
    <row r="12176" customFormat="false" ht="12.8" hidden="false" customHeight="false" outlineLevel="0" collapsed="false">
      <c r="A12176" s="0" t="s">
        <v>12</v>
      </c>
      <c r="B12176" s="0" t="n">
        <v>3413065</v>
      </c>
      <c r="C12176" s="0" t="n">
        <v>3413085</v>
      </c>
      <c r="D12176" s="0" t="s">
        <v>40594</v>
      </c>
      <c r="E12176" s="0" t="s">
        <v>40595</v>
      </c>
      <c r="F12176" s="0" t="s">
        <v>90</v>
      </c>
      <c r="G12176" s="0" t="s">
        <v>16</v>
      </c>
      <c r="H12176" s="0" t="n">
        <v>100</v>
      </c>
      <c r="I12176" s="0" t="s">
        <v>40599</v>
      </c>
      <c r="J12176" s="0" t="s">
        <v>40600</v>
      </c>
      <c r="K12176" s="0" t="s">
        <v>40601</v>
      </c>
      <c r="L12176" s="0" t="str">
        <f aca="false">HYPERLINK("https://www.ncbi.nlm.nih.gov/nuccore/CP000304.1?report=graph&amp;tracks=[key:gene_model_track,Options:GeneOnly]&amp;mk=3413136:3413155|offset_30|444444,3413066:3413085|offset_100|00cc00,3413030:3413049|offset_136|444444,3413006:3413025|offset_160|444444&amp;v=3412935:3413225&amp;c=444444", "offset 100")</f>
        <v>offset 100</v>
      </c>
    </row>
    <row r="12177" customFormat="false" ht="12.8" hidden="false" customHeight="false" outlineLevel="0" collapsed="false">
      <c r="A12177" s="0" t="s">
        <v>12</v>
      </c>
      <c r="B12177" s="0" t="n">
        <v>3413029</v>
      </c>
      <c r="C12177" s="0" t="n">
        <v>3413049</v>
      </c>
      <c r="D12177" s="0" t="s">
        <v>40594</v>
      </c>
      <c r="E12177" s="0" t="s">
        <v>40595</v>
      </c>
      <c r="F12177" s="0" t="s">
        <v>90</v>
      </c>
      <c r="G12177" s="0" t="s">
        <v>16</v>
      </c>
      <c r="H12177" s="0" t="n">
        <v>136</v>
      </c>
      <c r="I12177" s="0" t="s">
        <v>40602</v>
      </c>
      <c r="J12177" s="0" t="s">
        <v>40603</v>
      </c>
      <c r="K12177" s="0" t="s">
        <v>40604</v>
      </c>
      <c r="L12177" s="0" t="str">
        <f aca="false">HYPERLINK("https://www.ncbi.nlm.nih.gov/nuccore/CP000304.1?report=graph&amp;tracks=[key:gene_model_track,Options:GeneOnly]&amp;mk=3413136:3413155|offset_30|444444,3413066:3413085|offset_100|444444,3413030:3413049|offset_136|00cc00,3413006:3413025|offset_160|444444&amp;v=3412935:3413225&amp;c=444444", "offset 136")</f>
        <v>offset 136</v>
      </c>
    </row>
    <row r="12178" customFormat="false" ht="12.8" hidden="false" customHeight="false" outlineLevel="0" collapsed="false">
      <c r="A12178" s="0" t="s">
        <v>12</v>
      </c>
      <c r="B12178" s="0" t="n">
        <v>3413005</v>
      </c>
      <c r="C12178" s="0" t="n">
        <v>3413025</v>
      </c>
      <c r="D12178" s="0" t="s">
        <v>40594</v>
      </c>
      <c r="E12178" s="0" t="s">
        <v>40595</v>
      </c>
      <c r="F12178" s="0" t="s">
        <v>90</v>
      </c>
      <c r="G12178" s="0" t="s">
        <v>16</v>
      </c>
      <c r="H12178" s="0" t="n">
        <v>160</v>
      </c>
      <c r="I12178" s="0" t="s">
        <v>40605</v>
      </c>
      <c r="J12178" s="0" t="s">
        <v>40606</v>
      </c>
      <c r="K12178" s="0" t="s">
        <v>40607</v>
      </c>
      <c r="L12178" s="0" t="str">
        <f aca="false">HYPERLINK("https://www.ncbi.nlm.nih.gov/nuccore/CP000304.1?report=graph&amp;tracks=[key:gene_model_track,Options:GeneOnly]&amp;mk=3413136:3413155|offset_30|444444,3413066:3413085|offset_100|444444,3413030:3413049|offset_136|444444,3413006:3413025|offset_160|00cc00&amp;v=3412935:3413225&amp;c=444444", "offset 160")</f>
        <v>offset 160</v>
      </c>
    </row>
    <row r="12179" customFormat="false" ht="12.8" hidden="false" customHeight="false" outlineLevel="0" collapsed="false">
      <c r="A12179" s="0" t="s">
        <v>12</v>
      </c>
      <c r="B12179" s="0" t="n">
        <v>3413467</v>
      </c>
      <c r="C12179" s="0" t="n">
        <v>3413487</v>
      </c>
      <c r="D12179" s="0" t="s">
        <v>40608</v>
      </c>
      <c r="E12179" s="0" t="s">
        <v>89</v>
      </c>
      <c r="F12179" s="0" t="s">
        <v>15</v>
      </c>
      <c r="G12179" s="0" t="s">
        <v>26</v>
      </c>
      <c r="H12179" s="0" t="n">
        <v>7</v>
      </c>
      <c r="I12179" s="0" t="s">
        <v>40609</v>
      </c>
      <c r="J12179" s="0" t="s">
        <v>40610</v>
      </c>
      <c r="K12179" s="0" t="s">
        <v>40611</v>
      </c>
      <c r="L12179" s="0" t="str">
        <f aca="false">HYPERLINK("https://www.ncbi.nlm.nih.gov/nuccore/CP000304.1?report=graph&amp;tracks=[key:gene_model_track,Options:GeneOnly]&amp;mk=3413468:3413487|offset_7|00cc00,3413494:3413513|offset_33|444444,3413521:3413540|offset_60|444444,3413583:3413602|offset_122|444444&amp;v=3413267:3413802&amp;c=444444", "offset 7")</f>
        <v>offset 7</v>
      </c>
    </row>
    <row r="12180" customFormat="false" ht="12.8" hidden="false" customHeight="false" outlineLevel="0" collapsed="false">
      <c r="A12180" s="0" t="s">
        <v>12</v>
      </c>
      <c r="B12180" s="0" t="n">
        <v>3413493</v>
      </c>
      <c r="C12180" s="0" t="n">
        <v>3413513</v>
      </c>
      <c r="D12180" s="0" t="s">
        <v>40608</v>
      </c>
      <c r="E12180" s="0" t="s">
        <v>89</v>
      </c>
      <c r="F12180" s="0" t="s">
        <v>15</v>
      </c>
      <c r="G12180" s="0" t="s">
        <v>36</v>
      </c>
      <c r="H12180" s="0" t="n">
        <v>33</v>
      </c>
      <c r="I12180" s="0" t="s">
        <v>40612</v>
      </c>
      <c r="J12180" s="0" t="s">
        <v>40613</v>
      </c>
      <c r="K12180" s="0" t="s">
        <v>40614</v>
      </c>
      <c r="L12180" s="0" t="str">
        <f aca="false">HYPERLINK("https://www.ncbi.nlm.nih.gov/nuccore/CP000304.1?report=graph&amp;tracks=[key:gene_model_track,Options:GeneOnly]&amp;mk=3413468:3413487|offset_7|444444,3413494:3413513|offset_33|00cc00,3413521:3413540|offset_60|444444,3413583:3413602|offset_122|444444&amp;v=3413267:3413802&amp;c=444444", "offset 33")</f>
        <v>offset 33</v>
      </c>
    </row>
    <row r="12181" customFormat="false" ht="12.8" hidden="false" customHeight="false" outlineLevel="0" collapsed="false">
      <c r="A12181" s="0" t="s">
        <v>12</v>
      </c>
      <c r="B12181" s="0" t="n">
        <v>3413520</v>
      </c>
      <c r="C12181" s="0" t="n">
        <v>3413540</v>
      </c>
      <c r="D12181" s="0" t="s">
        <v>40608</v>
      </c>
      <c r="E12181" s="0" t="s">
        <v>89</v>
      </c>
      <c r="F12181" s="0" t="s">
        <v>15</v>
      </c>
      <c r="G12181" s="0" t="s">
        <v>16</v>
      </c>
      <c r="H12181" s="0" t="n">
        <v>60</v>
      </c>
      <c r="I12181" s="0" t="s">
        <v>40615</v>
      </c>
      <c r="J12181" s="0" t="s">
        <v>40616</v>
      </c>
      <c r="K12181" s="0" t="s">
        <v>40617</v>
      </c>
      <c r="L12181" s="0" t="str">
        <f aca="false">HYPERLINK("https://www.ncbi.nlm.nih.gov/nuccore/CP000304.1?report=graph&amp;tracks=[key:gene_model_track,Options:GeneOnly]&amp;mk=3413468:3413487|offset_7|444444,3413494:3413513|offset_33|444444,3413521:3413540|offset_60|00cc00,3413583:3413602|offset_122|444444&amp;v=3413267:3413802&amp;c=444444", "offset 60")</f>
        <v>offset 60</v>
      </c>
    </row>
    <row r="12182" customFormat="false" ht="12.8" hidden="false" customHeight="false" outlineLevel="0" collapsed="false">
      <c r="A12182" s="0" t="s">
        <v>12</v>
      </c>
      <c r="B12182" s="0" t="n">
        <v>3413582</v>
      </c>
      <c r="C12182" s="0" t="n">
        <v>3413602</v>
      </c>
      <c r="D12182" s="0" t="s">
        <v>40608</v>
      </c>
      <c r="E12182" s="0" t="s">
        <v>89</v>
      </c>
      <c r="F12182" s="0" t="s">
        <v>15</v>
      </c>
      <c r="G12182" s="0" t="s">
        <v>32</v>
      </c>
      <c r="H12182" s="0" t="n">
        <v>122</v>
      </c>
      <c r="I12182" s="0" t="s">
        <v>40618</v>
      </c>
      <c r="J12182" s="0" t="s">
        <v>40619</v>
      </c>
      <c r="K12182" s="0" t="s">
        <v>40620</v>
      </c>
      <c r="L12182" s="0" t="str">
        <f aca="false">HYPERLINK("https://www.ncbi.nlm.nih.gov/nuccore/CP000304.1?report=graph&amp;tracks=[key:gene_model_track,Options:GeneOnly]&amp;mk=3413468:3413487|offset_7|444444,3413494:3413513|offset_33|444444,3413521:3413540|offset_60|444444,3413583:3413602|offset_122|00cc00&amp;v=3413267:3413802&amp;c=444444", "offset 122")</f>
        <v>offset 122</v>
      </c>
    </row>
    <row r="12183" customFormat="false" ht="12.8" hidden="false" customHeight="false" outlineLevel="0" collapsed="false">
      <c r="A12183" s="0" t="s">
        <v>12</v>
      </c>
      <c r="B12183" s="0" t="n">
        <v>3413981</v>
      </c>
      <c r="C12183" s="0" t="n">
        <v>3414001</v>
      </c>
      <c r="D12183" s="0" t="s">
        <v>40621</v>
      </c>
      <c r="E12183" s="0" t="s">
        <v>89</v>
      </c>
      <c r="F12183" s="0" t="s">
        <v>15</v>
      </c>
      <c r="G12183" s="0" t="s">
        <v>32</v>
      </c>
      <c r="H12183" s="0" t="n">
        <v>8</v>
      </c>
      <c r="I12183" s="0" t="s">
        <v>40622</v>
      </c>
      <c r="J12183" s="0" t="s">
        <v>40623</v>
      </c>
      <c r="K12183" s="0" t="s">
        <v>40624</v>
      </c>
      <c r="L12183" s="0" t="str">
        <f aca="false">HYPERLINK("https://www.ncbi.nlm.nih.gov/nuccore/CP000304.1?report=graph&amp;tracks=[key:gene_model_track,Options:GeneOnly]&amp;mk=3413982:3414001|offset_8|00cc00,3414016:3414035|offset_42|444444,3414038:3414057|offset_64|444444,3414063:3414082|offset_89|444444&amp;v=3413781:3414282&amp;c=444444", "offset 8")</f>
        <v>offset 8</v>
      </c>
    </row>
    <row r="12184" customFormat="false" ht="12.8" hidden="false" customHeight="false" outlineLevel="0" collapsed="false">
      <c r="A12184" s="0" t="s">
        <v>12</v>
      </c>
      <c r="B12184" s="0" t="n">
        <v>3414015</v>
      </c>
      <c r="C12184" s="0" t="n">
        <v>3414035</v>
      </c>
      <c r="D12184" s="0" t="s">
        <v>40621</v>
      </c>
      <c r="E12184" s="0" t="s">
        <v>89</v>
      </c>
      <c r="F12184" s="0" t="s">
        <v>15</v>
      </c>
      <c r="G12184" s="0" t="s">
        <v>32</v>
      </c>
      <c r="H12184" s="0" t="n">
        <v>42</v>
      </c>
      <c r="I12184" s="0" t="s">
        <v>40625</v>
      </c>
      <c r="J12184" s="0" t="s">
        <v>40626</v>
      </c>
      <c r="K12184" s="0" t="s">
        <v>40627</v>
      </c>
      <c r="L12184" s="0" t="str">
        <f aca="false">HYPERLINK("https://www.ncbi.nlm.nih.gov/nuccore/CP000304.1?report=graph&amp;tracks=[key:gene_model_track,Options:GeneOnly]&amp;mk=3413982:3414001|offset_8|444444,3414016:3414035|offset_42|00cc00,3414038:3414057|offset_64|444444,3414063:3414082|offset_89|444444&amp;v=3413781:3414282&amp;c=444444", "offset 42")</f>
        <v>offset 42</v>
      </c>
    </row>
    <row r="12185" customFormat="false" ht="12.8" hidden="false" customHeight="false" outlineLevel="0" collapsed="false">
      <c r="A12185" s="0" t="s">
        <v>12</v>
      </c>
      <c r="B12185" s="0" t="n">
        <v>3414037</v>
      </c>
      <c r="C12185" s="0" t="n">
        <v>3414057</v>
      </c>
      <c r="D12185" s="0" t="s">
        <v>40621</v>
      </c>
      <c r="E12185" s="0" t="s">
        <v>89</v>
      </c>
      <c r="F12185" s="0" t="s">
        <v>15</v>
      </c>
      <c r="G12185" s="0" t="s">
        <v>32</v>
      </c>
      <c r="H12185" s="0" t="n">
        <v>64</v>
      </c>
      <c r="I12185" s="0" t="s">
        <v>40628</v>
      </c>
      <c r="J12185" s="0" t="s">
        <v>40629</v>
      </c>
      <c r="K12185" s="0" t="s">
        <v>40630</v>
      </c>
      <c r="L12185" s="0" t="str">
        <f aca="false">HYPERLINK("https://www.ncbi.nlm.nih.gov/nuccore/CP000304.1?report=graph&amp;tracks=[key:gene_model_track,Options:GeneOnly]&amp;mk=3413982:3414001|offset_8|444444,3414016:3414035|offset_42|444444,3414038:3414057|offset_64|00cc00,3414063:3414082|offset_89|444444&amp;v=3413781:3414282&amp;c=444444", "offset 64")</f>
        <v>offset 64</v>
      </c>
    </row>
    <row r="12186" customFormat="false" ht="12.8" hidden="false" customHeight="false" outlineLevel="0" collapsed="false">
      <c r="A12186" s="0" t="s">
        <v>12</v>
      </c>
      <c r="B12186" s="0" t="n">
        <v>3414062</v>
      </c>
      <c r="C12186" s="0" t="n">
        <v>3414082</v>
      </c>
      <c r="D12186" s="0" t="s">
        <v>40621</v>
      </c>
      <c r="E12186" s="0" t="s">
        <v>89</v>
      </c>
      <c r="F12186" s="0" t="s">
        <v>15</v>
      </c>
      <c r="G12186" s="0" t="s">
        <v>26</v>
      </c>
      <c r="H12186" s="0" t="n">
        <v>89</v>
      </c>
      <c r="I12186" s="0" t="s">
        <v>40631</v>
      </c>
      <c r="J12186" s="0" t="s">
        <v>40632</v>
      </c>
      <c r="K12186" s="0" t="s">
        <v>40633</v>
      </c>
      <c r="L12186" s="0" t="str">
        <f aca="false">HYPERLINK("https://www.ncbi.nlm.nih.gov/nuccore/CP000304.1?report=graph&amp;tracks=[key:gene_model_track,Options:GeneOnly]&amp;mk=3413982:3414001|offset_8|444444,3414016:3414035|offset_42|444444,3414038:3414057|offset_64|444444,3414063:3414082|offset_89|00cc00&amp;v=3413781:3414282&amp;c=444444", "offset 89")</f>
        <v>offset 89</v>
      </c>
    </row>
    <row r="12187" customFormat="false" ht="12.8" hidden="false" customHeight="false" outlineLevel="0" collapsed="false">
      <c r="A12187" s="0" t="s">
        <v>12</v>
      </c>
      <c r="B12187" s="0" t="n">
        <v>3414604</v>
      </c>
      <c r="C12187" s="0" t="n">
        <v>3414624</v>
      </c>
      <c r="D12187" s="0" t="s">
        <v>40634</v>
      </c>
      <c r="E12187" s="0" t="s">
        <v>89</v>
      </c>
      <c r="F12187" s="0" t="s">
        <v>15</v>
      </c>
      <c r="G12187" s="0" t="s">
        <v>16</v>
      </c>
      <c r="H12187" s="0" t="n">
        <v>7</v>
      </c>
      <c r="I12187" s="0" t="s">
        <v>40635</v>
      </c>
      <c r="J12187" s="0" t="s">
        <v>40636</v>
      </c>
      <c r="K12187" s="0" t="s">
        <v>40637</v>
      </c>
      <c r="L12187" s="0" t="str">
        <f aca="false">HYPERLINK("https://www.ncbi.nlm.nih.gov/nuccore/CP000304.1?report=graph&amp;tracks=[key:gene_model_track,Options:GeneOnly]&amp;mk=3414605:3414624|offset_7|00cc00,3414636:3414655|offset_38|444444,3414662:3414681|offset_64|444444,3414698:3414717|offset_100|444444&amp;v=3414404:3414917&amp;c=444444", "offset 7")</f>
        <v>offset 7</v>
      </c>
    </row>
    <row r="12188" customFormat="false" ht="12.8" hidden="false" customHeight="false" outlineLevel="0" collapsed="false">
      <c r="A12188" s="0" t="s">
        <v>12</v>
      </c>
      <c r="B12188" s="0" t="n">
        <v>3414635</v>
      </c>
      <c r="C12188" s="0" t="n">
        <v>3414655</v>
      </c>
      <c r="D12188" s="0" t="s">
        <v>40634</v>
      </c>
      <c r="E12188" s="0" t="s">
        <v>89</v>
      </c>
      <c r="F12188" s="0" t="s">
        <v>15</v>
      </c>
      <c r="G12188" s="0" t="s">
        <v>26</v>
      </c>
      <c r="H12188" s="0" t="n">
        <v>38</v>
      </c>
      <c r="I12188" s="0" t="s">
        <v>40638</v>
      </c>
      <c r="J12188" s="0" t="s">
        <v>40639</v>
      </c>
      <c r="K12188" s="0" t="s">
        <v>40640</v>
      </c>
      <c r="L12188" s="0" t="str">
        <f aca="false">HYPERLINK("https://www.ncbi.nlm.nih.gov/nuccore/CP000304.1?report=graph&amp;tracks=[key:gene_model_track,Options:GeneOnly]&amp;mk=3414605:3414624|offset_7|444444,3414636:3414655|offset_38|00cc00,3414662:3414681|offset_64|444444,3414698:3414717|offset_100|444444&amp;v=3414404:3414917&amp;c=444444", "offset 38")</f>
        <v>offset 38</v>
      </c>
    </row>
    <row r="12189" customFormat="false" ht="12.8" hidden="false" customHeight="false" outlineLevel="0" collapsed="false">
      <c r="A12189" s="0" t="s">
        <v>12</v>
      </c>
      <c r="B12189" s="0" t="n">
        <v>3414661</v>
      </c>
      <c r="C12189" s="0" t="n">
        <v>3414681</v>
      </c>
      <c r="D12189" s="0" t="s">
        <v>40634</v>
      </c>
      <c r="E12189" s="0" t="s">
        <v>89</v>
      </c>
      <c r="F12189" s="0" t="s">
        <v>15</v>
      </c>
      <c r="G12189" s="0" t="s">
        <v>16</v>
      </c>
      <c r="H12189" s="0" t="n">
        <v>64</v>
      </c>
      <c r="I12189" s="0" t="s">
        <v>40641</v>
      </c>
      <c r="J12189" s="0" t="s">
        <v>40642</v>
      </c>
      <c r="K12189" s="0" t="s">
        <v>40643</v>
      </c>
      <c r="L12189" s="0" t="str">
        <f aca="false">HYPERLINK("https://www.ncbi.nlm.nih.gov/nuccore/CP000304.1?report=graph&amp;tracks=[key:gene_model_track,Options:GeneOnly]&amp;mk=3414605:3414624|offset_7|444444,3414636:3414655|offset_38|444444,3414662:3414681|offset_64|00cc00,3414698:3414717|offset_100|444444&amp;v=3414404:3414917&amp;c=444444", "offset 64")</f>
        <v>offset 64</v>
      </c>
    </row>
    <row r="12190" customFormat="false" ht="12.8" hidden="false" customHeight="false" outlineLevel="0" collapsed="false">
      <c r="A12190" s="0" t="s">
        <v>12</v>
      </c>
      <c r="B12190" s="0" t="n">
        <v>3414697</v>
      </c>
      <c r="C12190" s="0" t="n">
        <v>3414717</v>
      </c>
      <c r="D12190" s="0" t="s">
        <v>40634</v>
      </c>
      <c r="E12190" s="0" t="s">
        <v>89</v>
      </c>
      <c r="F12190" s="0" t="s">
        <v>15</v>
      </c>
      <c r="G12190" s="0" t="s">
        <v>16</v>
      </c>
      <c r="H12190" s="0" t="n">
        <v>100</v>
      </c>
      <c r="I12190" s="0" t="s">
        <v>40644</v>
      </c>
      <c r="J12190" s="0" t="s">
        <v>40645</v>
      </c>
      <c r="K12190" s="0" t="s">
        <v>40646</v>
      </c>
      <c r="L12190" s="0" t="str">
        <f aca="false">HYPERLINK("https://www.ncbi.nlm.nih.gov/nuccore/CP000304.1?report=graph&amp;tracks=[key:gene_model_track,Options:GeneOnly]&amp;mk=3414605:3414624|offset_7|444444,3414636:3414655|offset_38|444444,3414662:3414681|offset_64|444444,3414698:3414717|offset_100|00cc00&amp;v=3414404:3414917&amp;c=444444", "offset 100")</f>
        <v>offset 100</v>
      </c>
    </row>
    <row r="12191" customFormat="false" ht="12.8" hidden="false" customHeight="false" outlineLevel="0" collapsed="false">
      <c r="A12191" s="0" t="s">
        <v>12</v>
      </c>
      <c r="B12191" s="0" t="n">
        <v>3414984</v>
      </c>
      <c r="C12191" s="0" t="n">
        <v>3415004</v>
      </c>
      <c r="D12191" s="0" t="s">
        <v>40647</v>
      </c>
      <c r="E12191" s="0" t="s">
        <v>89</v>
      </c>
      <c r="F12191" s="0" t="s">
        <v>15</v>
      </c>
      <c r="G12191" s="0" t="s">
        <v>32</v>
      </c>
      <c r="H12191" s="0" t="n">
        <v>12</v>
      </c>
      <c r="I12191" s="0" t="s">
        <v>40648</v>
      </c>
      <c r="J12191" s="0" t="s">
        <v>40649</v>
      </c>
      <c r="K12191" s="0" t="s">
        <v>40650</v>
      </c>
      <c r="L12191" s="0" t="str">
        <f aca="false">HYPERLINK("https://www.ncbi.nlm.nih.gov/nuccore/CP000304.1?report=graph&amp;tracks=[key:gene_model_track,Options:GeneOnly]&amp;mk=3414985:3415004|offset_12|00cc00,3415015:3415034|offset_42|444444,3415110:3415129|offset_137|444444,3415131:3415150|offset_158|444444&amp;v=3414784:3415350&amp;c=444444", "offset 12")</f>
        <v>offset 12</v>
      </c>
    </row>
    <row r="12192" customFormat="false" ht="12.8" hidden="false" customHeight="false" outlineLevel="0" collapsed="false">
      <c r="A12192" s="0" t="s">
        <v>12</v>
      </c>
      <c r="B12192" s="0" t="n">
        <v>3415014</v>
      </c>
      <c r="C12192" s="0" t="n">
        <v>3415034</v>
      </c>
      <c r="D12192" s="0" t="s">
        <v>40647</v>
      </c>
      <c r="E12192" s="0" t="s">
        <v>89</v>
      </c>
      <c r="F12192" s="0" t="s">
        <v>15</v>
      </c>
      <c r="G12192" s="0" t="s">
        <v>32</v>
      </c>
      <c r="H12192" s="0" t="n">
        <v>42</v>
      </c>
      <c r="I12192" s="0" t="s">
        <v>40651</v>
      </c>
      <c r="J12192" s="0" t="s">
        <v>40652</v>
      </c>
      <c r="K12192" s="0" t="s">
        <v>40653</v>
      </c>
      <c r="L12192" s="0" t="str">
        <f aca="false">HYPERLINK("https://www.ncbi.nlm.nih.gov/nuccore/CP000304.1?report=graph&amp;tracks=[key:gene_model_track,Options:GeneOnly]&amp;mk=3414985:3415004|offset_12|444444,3415015:3415034|offset_42|00cc00,3415110:3415129|offset_137|444444,3415131:3415150|offset_158|444444&amp;v=3414784:3415350&amp;c=444444", "offset 42")</f>
        <v>offset 42</v>
      </c>
    </row>
    <row r="12193" customFormat="false" ht="12.8" hidden="false" customHeight="false" outlineLevel="0" collapsed="false">
      <c r="A12193" s="0" t="s">
        <v>12</v>
      </c>
      <c r="B12193" s="0" t="n">
        <v>3415109</v>
      </c>
      <c r="C12193" s="0" t="n">
        <v>3415129</v>
      </c>
      <c r="D12193" s="0" t="s">
        <v>40647</v>
      </c>
      <c r="E12193" s="0" t="s">
        <v>89</v>
      </c>
      <c r="F12193" s="0" t="s">
        <v>15</v>
      </c>
      <c r="G12193" s="0" t="s">
        <v>16</v>
      </c>
      <c r="H12193" s="0" t="n">
        <v>137</v>
      </c>
      <c r="I12193" s="0" t="s">
        <v>40654</v>
      </c>
      <c r="J12193" s="0" t="s">
        <v>40655</v>
      </c>
      <c r="K12193" s="0" t="s">
        <v>40656</v>
      </c>
      <c r="L12193" s="0" t="str">
        <f aca="false">HYPERLINK("https://www.ncbi.nlm.nih.gov/nuccore/CP000304.1?report=graph&amp;tracks=[key:gene_model_track,Options:GeneOnly]&amp;mk=3414985:3415004|offset_12|444444,3415015:3415034|offset_42|444444,3415110:3415129|offset_137|00cc00,3415131:3415150|offset_158|444444&amp;v=3414784:3415350&amp;c=444444", "offset 137")</f>
        <v>offset 137</v>
      </c>
    </row>
    <row r="12194" customFormat="false" ht="12.8" hidden="false" customHeight="false" outlineLevel="0" collapsed="false">
      <c r="A12194" s="0" t="s">
        <v>12</v>
      </c>
      <c r="B12194" s="0" t="n">
        <v>3415130</v>
      </c>
      <c r="C12194" s="0" t="n">
        <v>3415150</v>
      </c>
      <c r="D12194" s="0" t="s">
        <v>40647</v>
      </c>
      <c r="E12194" s="0" t="s">
        <v>89</v>
      </c>
      <c r="F12194" s="0" t="s">
        <v>15</v>
      </c>
      <c r="G12194" s="0" t="s">
        <v>32</v>
      </c>
      <c r="H12194" s="0" t="n">
        <v>158</v>
      </c>
      <c r="I12194" s="0" t="s">
        <v>40657</v>
      </c>
      <c r="J12194" s="0" t="s">
        <v>40658</v>
      </c>
      <c r="K12194" s="0" t="s">
        <v>40659</v>
      </c>
      <c r="L12194" s="0" t="str">
        <f aca="false">HYPERLINK("https://www.ncbi.nlm.nih.gov/nuccore/CP000304.1?report=graph&amp;tracks=[key:gene_model_track,Options:GeneOnly]&amp;mk=3414985:3415004|offset_12|444444,3415015:3415034|offset_42|444444,3415110:3415129|offset_137|444444,3415131:3415150|offset_158|00cc00&amp;v=3414784:3415350&amp;c=444444", "offset 158")</f>
        <v>offset 158</v>
      </c>
    </row>
    <row r="12195" customFormat="false" ht="12.8" hidden="false" customHeight="false" outlineLevel="0" collapsed="false">
      <c r="A12195" s="0" t="s">
        <v>12</v>
      </c>
      <c r="B12195" s="0" t="n">
        <v>3418007</v>
      </c>
      <c r="C12195" s="0" t="n">
        <v>3418027</v>
      </c>
      <c r="D12195" s="0" t="s">
        <v>40660</v>
      </c>
      <c r="E12195" s="0" t="s">
        <v>89</v>
      </c>
      <c r="F12195" s="0" t="s">
        <v>90</v>
      </c>
      <c r="G12195" s="0" t="s">
        <v>32</v>
      </c>
      <c r="H12195" s="0" t="n">
        <v>1</v>
      </c>
      <c r="I12195" s="0" t="s">
        <v>40661</v>
      </c>
      <c r="J12195" s="0" t="s">
        <v>40662</v>
      </c>
      <c r="K12195" s="0" t="s">
        <v>40663</v>
      </c>
      <c r="L12195" s="0" t="str">
        <f aca="false">HYPERLINK("https://www.ncbi.nlm.nih.gov/nuccore/CP000304.1?report=graph&amp;tracks=[key:gene_model_track,Options:GeneOnly]&amp;mk=3418008:3418027|offset_1|00cc00,3417988:3418007|offset_21|444444,3417960:3417979|offset_49|444444,3417937:3417956|offset_72|444444&amp;v=3417807:3418156&amp;c=444444", "offset 1")</f>
        <v>offset 1</v>
      </c>
    </row>
    <row r="12196" customFormat="false" ht="12.8" hidden="false" customHeight="false" outlineLevel="0" collapsed="false">
      <c r="A12196" s="0" t="s">
        <v>12</v>
      </c>
      <c r="B12196" s="0" t="n">
        <v>3417987</v>
      </c>
      <c r="C12196" s="0" t="n">
        <v>3418007</v>
      </c>
      <c r="D12196" s="0" t="s">
        <v>40660</v>
      </c>
      <c r="E12196" s="0" t="s">
        <v>89</v>
      </c>
      <c r="F12196" s="0" t="s">
        <v>90</v>
      </c>
      <c r="G12196" s="0" t="s">
        <v>26</v>
      </c>
      <c r="H12196" s="0" t="n">
        <v>21</v>
      </c>
      <c r="I12196" s="0" t="s">
        <v>40664</v>
      </c>
      <c r="J12196" s="0" t="s">
        <v>40665</v>
      </c>
      <c r="K12196" s="0" t="s">
        <v>40666</v>
      </c>
      <c r="L12196" s="0" t="str">
        <f aca="false">HYPERLINK("https://www.ncbi.nlm.nih.gov/nuccore/CP000304.1?report=graph&amp;tracks=[key:gene_model_track,Options:GeneOnly]&amp;mk=3418008:3418027|offset_1|444444,3417988:3418007|offset_21|00cc00,3417960:3417979|offset_49|444444,3417937:3417956|offset_72|444444&amp;v=3417807:3418156&amp;c=444444", "offset 21")</f>
        <v>offset 21</v>
      </c>
    </row>
    <row r="12197" customFormat="false" ht="12.8" hidden="false" customHeight="false" outlineLevel="0" collapsed="false">
      <c r="A12197" s="0" t="s">
        <v>12</v>
      </c>
      <c r="B12197" s="0" t="n">
        <v>3417959</v>
      </c>
      <c r="C12197" s="0" t="n">
        <v>3417979</v>
      </c>
      <c r="D12197" s="0" t="s">
        <v>40660</v>
      </c>
      <c r="E12197" s="0" t="s">
        <v>89</v>
      </c>
      <c r="F12197" s="0" t="s">
        <v>90</v>
      </c>
      <c r="G12197" s="0" t="s">
        <v>16</v>
      </c>
      <c r="H12197" s="0" t="n">
        <v>49</v>
      </c>
      <c r="I12197" s="0" t="s">
        <v>40667</v>
      </c>
      <c r="J12197" s="0" t="s">
        <v>40668</v>
      </c>
      <c r="K12197" s="0" t="s">
        <v>40669</v>
      </c>
      <c r="L12197" s="0" t="str">
        <f aca="false">HYPERLINK("https://www.ncbi.nlm.nih.gov/nuccore/CP000304.1?report=graph&amp;tracks=[key:gene_model_track,Options:GeneOnly]&amp;mk=3418008:3418027|offset_1|444444,3417988:3418007|offset_21|444444,3417960:3417979|offset_49|00cc00,3417937:3417956|offset_72|444444&amp;v=3417807:3418156&amp;c=444444", "offset 49")</f>
        <v>offset 49</v>
      </c>
    </row>
    <row r="12198" customFormat="false" ht="12.8" hidden="false" customHeight="false" outlineLevel="0" collapsed="false">
      <c r="A12198" s="0" t="s">
        <v>12</v>
      </c>
      <c r="B12198" s="0" t="n">
        <v>3417936</v>
      </c>
      <c r="C12198" s="0" t="n">
        <v>3417956</v>
      </c>
      <c r="D12198" s="0" t="s">
        <v>40660</v>
      </c>
      <c r="E12198" s="0" t="s">
        <v>89</v>
      </c>
      <c r="F12198" s="0" t="s">
        <v>90</v>
      </c>
      <c r="G12198" s="0" t="s">
        <v>26</v>
      </c>
      <c r="H12198" s="0" t="n">
        <v>72</v>
      </c>
      <c r="I12198" s="0" t="s">
        <v>40670</v>
      </c>
      <c r="J12198" s="0" t="s">
        <v>40671</v>
      </c>
      <c r="K12198" s="0" t="s">
        <v>40672</v>
      </c>
      <c r="L12198" s="0" t="str">
        <f aca="false">HYPERLINK("https://www.ncbi.nlm.nih.gov/nuccore/CP000304.1?report=graph&amp;tracks=[key:gene_model_track,Options:GeneOnly]&amp;mk=3418008:3418027|offset_1|444444,3417988:3418007|offset_21|444444,3417960:3417979|offset_49|444444,3417937:3417956|offset_72|00cc00&amp;v=3417807:3418156&amp;c=444444", "offset 72")</f>
        <v>offset 72</v>
      </c>
    </row>
    <row r="12199" customFormat="false" ht="12.8" hidden="false" customHeight="false" outlineLevel="0" collapsed="false">
      <c r="A12199" s="0" t="s">
        <v>12</v>
      </c>
      <c r="B12199" s="0" t="n">
        <v>3419552</v>
      </c>
      <c r="C12199" s="0" t="n">
        <v>3419572</v>
      </c>
      <c r="D12199" s="0" t="s">
        <v>40673</v>
      </c>
      <c r="E12199" s="0" t="s">
        <v>89</v>
      </c>
      <c r="F12199" s="0" t="s">
        <v>90</v>
      </c>
      <c r="G12199" s="0" t="s">
        <v>16</v>
      </c>
      <c r="H12199" s="0" t="n">
        <v>7</v>
      </c>
      <c r="I12199" s="0" t="s">
        <v>40674</v>
      </c>
      <c r="J12199" s="0" t="s">
        <v>40675</v>
      </c>
      <c r="K12199" s="0" t="s">
        <v>40676</v>
      </c>
      <c r="L12199" s="0" t="str">
        <f aca="false">HYPERLINK("https://www.ncbi.nlm.nih.gov/nuccore/CP000304.1?report=graph&amp;tracks=[key:gene_model_track,Options:GeneOnly]&amp;mk=3419553:3419572|offset_7|00cc00,3419532:3419551|offset_28|444444,3419506:3419525|offset_54|444444,3419469:3419488|offset_91|444444&amp;v=3419352:3419688&amp;c=444444", "offset 7")</f>
        <v>offset 7</v>
      </c>
    </row>
    <row r="12200" customFormat="false" ht="12.8" hidden="false" customHeight="false" outlineLevel="0" collapsed="false">
      <c r="A12200" s="0" t="s">
        <v>12</v>
      </c>
      <c r="B12200" s="0" t="n">
        <v>3419531</v>
      </c>
      <c r="C12200" s="0" t="n">
        <v>3419551</v>
      </c>
      <c r="D12200" s="0" t="s">
        <v>40673</v>
      </c>
      <c r="E12200" s="0" t="s">
        <v>89</v>
      </c>
      <c r="F12200" s="0" t="s">
        <v>90</v>
      </c>
      <c r="G12200" s="0" t="s">
        <v>16</v>
      </c>
      <c r="H12200" s="0" t="n">
        <v>28</v>
      </c>
      <c r="I12200" s="0" t="s">
        <v>40677</v>
      </c>
      <c r="J12200" s="0" t="s">
        <v>40678</v>
      </c>
      <c r="K12200" s="0" t="s">
        <v>40679</v>
      </c>
      <c r="L12200" s="0" t="str">
        <f aca="false">HYPERLINK("https://www.ncbi.nlm.nih.gov/nuccore/CP000304.1?report=graph&amp;tracks=[key:gene_model_track,Options:GeneOnly]&amp;mk=3419553:3419572|offset_7|444444,3419532:3419551|offset_28|00cc00,3419506:3419525|offset_54|444444,3419469:3419488|offset_91|444444&amp;v=3419352:3419688&amp;c=444444", "offset 28")</f>
        <v>offset 28</v>
      </c>
    </row>
    <row r="12201" customFormat="false" ht="12.8" hidden="false" customHeight="false" outlineLevel="0" collapsed="false">
      <c r="A12201" s="0" t="s">
        <v>12</v>
      </c>
      <c r="B12201" s="0" t="n">
        <v>3419505</v>
      </c>
      <c r="C12201" s="0" t="n">
        <v>3419525</v>
      </c>
      <c r="D12201" s="0" t="s">
        <v>40673</v>
      </c>
      <c r="E12201" s="0" t="s">
        <v>89</v>
      </c>
      <c r="F12201" s="0" t="s">
        <v>90</v>
      </c>
      <c r="G12201" s="0" t="s">
        <v>16</v>
      </c>
      <c r="H12201" s="0" t="n">
        <v>54</v>
      </c>
      <c r="I12201" s="0" t="s">
        <v>40680</v>
      </c>
      <c r="J12201" s="0" t="s">
        <v>40681</v>
      </c>
      <c r="K12201" s="0" t="s">
        <v>40682</v>
      </c>
      <c r="L12201" s="0" t="str">
        <f aca="false">HYPERLINK("https://www.ncbi.nlm.nih.gov/nuccore/CP000304.1?report=graph&amp;tracks=[key:gene_model_track,Options:GeneOnly]&amp;mk=3419553:3419572|offset_7|444444,3419532:3419551|offset_28|444444,3419506:3419525|offset_54|00cc00,3419469:3419488|offset_91|444444&amp;v=3419352:3419688&amp;c=444444", "offset 54")</f>
        <v>offset 54</v>
      </c>
    </row>
    <row r="12202" customFormat="false" ht="12.8" hidden="false" customHeight="false" outlineLevel="0" collapsed="false">
      <c r="A12202" s="0" t="s">
        <v>12</v>
      </c>
      <c r="B12202" s="0" t="n">
        <v>3419468</v>
      </c>
      <c r="C12202" s="0" t="n">
        <v>3419488</v>
      </c>
      <c r="D12202" s="0" t="s">
        <v>40673</v>
      </c>
      <c r="E12202" s="0" t="s">
        <v>89</v>
      </c>
      <c r="F12202" s="0" t="s">
        <v>90</v>
      </c>
      <c r="G12202" s="0" t="s">
        <v>32</v>
      </c>
      <c r="H12202" s="0" t="n">
        <v>91</v>
      </c>
      <c r="I12202" s="0" t="s">
        <v>40683</v>
      </c>
      <c r="J12202" s="0" t="s">
        <v>40684</v>
      </c>
      <c r="K12202" s="0" t="s">
        <v>40685</v>
      </c>
      <c r="L12202" s="0" t="str">
        <f aca="false">HYPERLINK("https://www.ncbi.nlm.nih.gov/nuccore/CP000304.1?report=graph&amp;tracks=[key:gene_model_track,Options:GeneOnly]&amp;mk=3419553:3419572|offset_7|444444,3419532:3419551|offset_28|444444,3419506:3419525|offset_54|444444,3419469:3419488|offset_91|00cc00&amp;v=3419352:3419688&amp;c=444444", "offset 91")</f>
        <v>offset 91</v>
      </c>
    </row>
    <row r="12203" customFormat="false" ht="12.8" hidden="false" customHeight="false" outlineLevel="0" collapsed="false">
      <c r="A12203" s="0" t="s">
        <v>12</v>
      </c>
      <c r="B12203" s="0" t="n">
        <v>3421490</v>
      </c>
      <c r="C12203" s="0" t="n">
        <v>3421510</v>
      </c>
      <c r="D12203" s="0" t="s">
        <v>40686</v>
      </c>
      <c r="E12203" s="0" t="s">
        <v>89</v>
      </c>
      <c r="F12203" s="0" t="s">
        <v>90</v>
      </c>
      <c r="G12203" s="0" t="s">
        <v>32</v>
      </c>
      <c r="H12203" s="0" t="n">
        <v>32</v>
      </c>
      <c r="I12203" s="0" t="s">
        <v>40687</v>
      </c>
      <c r="J12203" s="0" t="s">
        <v>40688</v>
      </c>
      <c r="K12203" s="0" t="s">
        <v>40689</v>
      </c>
      <c r="L12203" s="0" t="str">
        <f aca="false">HYPERLINK("https://www.ncbi.nlm.nih.gov/nuccore/CP000304.1?report=graph&amp;tracks=[key:gene_model_track,Options:GeneOnly]&amp;mk=3421491:3421510|offset_32|00cc00,3421468:3421487|offset_55|444444,3421447:3421466|offset_76|444444,3421384:3421403|offset_139|444444&amp;v=3421290:3421603&amp;c=444444", "offset 32")</f>
        <v>offset 32</v>
      </c>
    </row>
    <row r="12204" customFormat="false" ht="12.8" hidden="false" customHeight="false" outlineLevel="0" collapsed="false">
      <c r="A12204" s="0" t="s">
        <v>12</v>
      </c>
      <c r="B12204" s="0" t="n">
        <v>3421467</v>
      </c>
      <c r="C12204" s="0" t="n">
        <v>3421487</v>
      </c>
      <c r="D12204" s="0" t="s">
        <v>40686</v>
      </c>
      <c r="E12204" s="0" t="s">
        <v>89</v>
      </c>
      <c r="F12204" s="0" t="s">
        <v>90</v>
      </c>
      <c r="G12204" s="0" t="s">
        <v>16</v>
      </c>
      <c r="H12204" s="0" t="n">
        <v>55</v>
      </c>
      <c r="I12204" s="0" t="s">
        <v>40690</v>
      </c>
      <c r="J12204" s="0" t="s">
        <v>40691</v>
      </c>
      <c r="K12204" s="0" t="s">
        <v>40692</v>
      </c>
      <c r="L12204" s="0" t="str">
        <f aca="false">HYPERLINK("https://www.ncbi.nlm.nih.gov/nuccore/CP000304.1?report=graph&amp;tracks=[key:gene_model_track,Options:GeneOnly]&amp;mk=3421491:3421510|offset_32|444444,3421468:3421487|offset_55|00cc00,3421447:3421466|offset_76|444444,3421384:3421403|offset_139|444444&amp;v=3421290:3421603&amp;c=444444", "offset 55")</f>
        <v>offset 55</v>
      </c>
    </row>
    <row r="12205" customFormat="false" ht="12.8" hidden="false" customHeight="false" outlineLevel="0" collapsed="false">
      <c r="A12205" s="0" t="s">
        <v>12</v>
      </c>
      <c r="B12205" s="0" t="n">
        <v>3421446</v>
      </c>
      <c r="C12205" s="0" t="n">
        <v>3421466</v>
      </c>
      <c r="D12205" s="0" t="s">
        <v>40686</v>
      </c>
      <c r="E12205" s="0" t="s">
        <v>89</v>
      </c>
      <c r="F12205" s="0" t="s">
        <v>90</v>
      </c>
      <c r="G12205" s="0" t="s">
        <v>36</v>
      </c>
      <c r="H12205" s="0" t="n">
        <v>76</v>
      </c>
      <c r="I12205" s="0" t="s">
        <v>40693</v>
      </c>
      <c r="J12205" s="0" t="s">
        <v>40694</v>
      </c>
      <c r="K12205" s="0" t="s">
        <v>40695</v>
      </c>
      <c r="L12205" s="0" t="str">
        <f aca="false">HYPERLINK("https://www.ncbi.nlm.nih.gov/nuccore/CP000304.1?report=graph&amp;tracks=[key:gene_model_track,Options:GeneOnly]&amp;mk=3421491:3421510|offset_32|444444,3421468:3421487|offset_55|444444,3421447:3421466|offset_76|00cc00,3421384:3421403|offset_139|444444&amp;v=3421290:3421603&amp;c=444444", "offset 76")</f>
        <v>offset 76</v>
      </c>
    </row>
    <row r="12206" customFormat="false" ht="12.8" hidden="false" customHeight="false" outlineLevel="0" collapsed="false">
      <c r="A12206" s="0" t="s">
        <v>12</v>
      </c>
      <c r="B12206" s="0" t="n">
        <v>3421383</v>
      </c>
      <c r="C12206" s="0" t="n">
        <v>3421403</v>
      </c>
      <c r="D12206" s="0" t="s">
        <v>40686</v>
      </c>
      <c r="E12206" s="0" t="s">
        <v>89</v>
      </c>
      <c r="F12206" s="0" t="s">
        <v>90</v>
      </c>
      <c r="G12206" s="0" t="s">
        <v>32</v>
      </c>
      <c r="H12206" s="0" t="n">
        <v>139</v>
      </c>
      <c r="I12206" s="0" t="s">
        <v>40696</v>
      </c>
      <c r="J12206" s="0" t="s">
        <v>40697</v>
      </c>
      <c r="K12206" s="0" t="s">
        <v>40698</v>
      </c>
      <c r="L12206" s="0" t="str">
        <f aca="false">HYPERLINK("https://www.ncbi.nlm.nih.gov/nuccore/CP000304.1?report=graph&amp;tracks=[key:gene_model_track,Options:GeneOnly]&amp;mk=3421491:3421510|offset_32|444444,3421468:3421487|offset_55|444444,3421447:3421466|offset_76|444444,3421384:3421403|offset_139|00cc00&amp;v=3421290:3421603&amp;c=444444", "offset 139")</f>
        <v>offset 139</v>
      </c>
    </row>
    <row r="12207" customFormat="false" ht="12.8" hidden="false" customHeight="false" outlineLevel="0" collapsed="false">
      <c r="A12207" s="0" t="s">
        <v>12</v>
      </c>
      <c r="B12207" s="0" t="n">
        <v>3422641</v>
      </c>
      <c r="C12207" s="0" t="n">
        <v>3422661</v>
      </c>
      <c r="D12207" s="0" t="s">
        <v>40699</v>
      </c>
      <c r="E12207" s="0" t="s">
        <v>40700</v>
      </c>
      <c r="F12207" s="0" t="s">
        <v>90</v>
      </c>
      <c r="G12207" s="0" t="s">
        <v>16</v>
      </c>
      <c r="H12207" s="0" t="n">
        <v>7</v>
      </c>
      <c r="I12207" s="0" t="s">
        <v>40701</v>
      </c>
      <c r="J12207" s="0" t="s">
        <v>40702</v>
      </c>
      <c r="K12207" s="0" t="s">
        <v>40703</v>
      </c>
      <c r="L12207" s="0" t="str">
        <f aca="false">HYPERLINK("https://www.ncbi.nlm.nih.gov/nuccore/CP000304.1?report=graph&amp;tracks=[key:gene_model_track,Options:GeneOnly]&amp;mk=3422642:3422661|offset_7|00cc00,3422620:3422639|offset_29|444444,3422596:3422615|offset_53|444444,3422561:3422580|offset_88|444444&amp;v=3422441:3422780&amp;c=444444", "offset 7")</f>
        <v>offset 7</v>
      </c>
    </row>
    <row r="12208" customFormat="false" ht="12.8" hidden="false" customHeight="false" outlineLevel="0" collapsed="false">
      <c r="A12208" s="0" t="s">
        <v>12</v>
      </c>
      <c r="B12208" s="0" t="n">
        <v>3422619</v>
      </c>
      <c r="C12208" s="0" t="n">
        <v>3422639</v>
      </c>
      <c r="D12208" s="0" t="s">
        <v>40699</v>
      </c>
      <c r="E12208" s="0" t="s">
        <v>40700</v>
      </c>
      <c r="F12208" s="0" t="s">
        <v>90</v>
      </c>
      <c r="G12208" s="0" t="s">
        <v>32</v>
      </c>
      <c r="H12208" s="0" t="n">
        <v>29</v>
      </c>
      <c r="I12208" s="0" t="s">
        <v>40704</v>
      </c>
      <c r="J12208" s="0" t="s">
        <v>40705</v>
      </c>
      <c r="K12208" s="0" t="s">
        <v>40706</v>
      </c>
      <c r="L12208" s="0" t="str">
        <f aca="false">HYPERLINK("https://www.ncbi.nlm.nih.gov/nuccore/CP000304.1?report=graph&amp;tracks=[key:gene_model_track,Options:GeneOnly]&amp;mk=3422642:3422661|offset_7|444444,3422620:3422639|offset_29|00cc00,3422596:3422615|offset_53|444444,3422561:3422580|offset_88|444444&amp;v=3422441:3422780&amp;c=444444", "offset 29")</f>
        <v>offset 29</v>
      </c>
    </row>
    <row r="12209" customFormat="false" ht="12.8" hidden="false" customHeight="false" outlineLevel="0" collapsed="false">
      <c r="A12209" s="0" t="s">
        <v>12</v>
      </c>
      <c r="B12209" s="0" t="n">
        <v>3422595</v>
      </c>
      <c r="C12209" s="0" t="n">
        <v>3422615</v>
      </c>
      <c r="D12209" s="0" t="s">
        <v>40699</v>
      </c>
      <c r="E12209" s="0" t="s">
        <v>40700</v>
      </c>
      <c r="F12209" s="0" t="s">
        <v>90</v>
      </c>
      <c r="G12209" s="0" t="s">
        <v>26</v>
      </c>
      <c r="H12209" s="0" t="n">
        <v>53</v>
      </c>
      <c r="I12209" s="0" t="s">
        <v>40707</v>
      </c>
      <c r="J12209" s="0" t="s">
        <v>40708</v>
      </c>
      <c r="K12209" s="0" t="s">
        <v>40709</v>
      </c>
      <c r="L12209" s="0" t="str">
        <f aca="false">HYPERLINK("https://www.ncbi.nlm.nih.gov/nuccore/CP000304.1?report=graph&amp;tracks=[key:gene_model_track,Options:GeneOnly]&amp;mk=3422642:3422661|offset_7|444444,3422620:3422639|offset_29|444444,3422596:3422615|offset_53|00cc00,3422561:3422580|offset_88|444444&amp;v=3422441:3422780&amp;c=444444", "offset 53")</f>
        <v>offset 53</v>
      </c>
    </row>
    <row r="12210" customFormat="false" ht="12.8" hidden="false" customHeight="false" outlineLevel="0" collapsed="false">
      <c r="A12210" s="0" t="s">
        <v>12</v>
      </c>
      <c r="B12210" s="0" t="n">
        <v>3422560</v>
      </c>
      <c r="C12210" s="0" t="n">
        <v>3422580</v>
      </c>
      <c r="D12210" s="0" t="s">
        <v>40699</v>
      </c>
      <c r="E12210" s="0" t="s">
        <v>40700</v>
      </c>
      <c r="F12210" s="0" t="s">
        <v>90</v>
      </c>
      <c r="G12210" s="0" t="s">
        <v>32</v>
      </c>
      <c r="H12210" s="0" t="n">
        <v>88</v>
      </c>
      <c r="I12210" s="0" t="s">
        <v>40710</v>
      </c>
      <c r="J12210" s="0" t="s">
        <v>40711</v>
      </c>
      <c r="K12210" s="0" t="s">
        <v>40712</v>
      </c>
      <c r="L12210" s="0" t="str">
        <f aca="false">HYPERLINK("https://www.ncbi.nlm.nih.gov/nuccore/CP000304.1?report=graph&amp;tracks=[key:gene_model_track,Options:GeneOnly]&amp;mk=3422642:3422661|offset_7|444444,3422620:3422639|offset_29|444444,3422596:3422615|offset_53|444444,3422561:3422580|offset_88|00cc00&amp;v=3422441:3422780&amp;c=444444", "offset 88")</f>
        <v>offset 88</v>
      </c>
    </row>
    <row r="12211" customFormat="false" ht="12.8" hidden="false" customHeight="false" outlineLevel="0" collapsed="false">
      <c r="A12211" s="0" t="s">
        <v>12</v>
      </c>
      <c r="B12211" s="0" t="n">
        <v>3422932</v>
      </c>
      <c r="C12211" s="0" t="n">
        <v>3422952</v>
      </c>
      <c r="D12211" s="0" t="s">
        <v>40713</v>
      </c>
      <c r="E12211" s="0" t="s">
        <v>40714</v>
      </c>
      <c r="F12211" s="0" t="s">
        <v>15</v>
      </c>
      <c r="G12211" s="0" t="s">
        <v>36</v>
      </c>
      <c r="H12211" s="0" t="n">
        <v>6</v>
      </c>
      <c r="I12211" s="0" t="s">
        <v>40715</v>
      </c>
      <c r="J12211" s="0" t="s">
        <v>40716</v>
      </c>
      <c r="K12211" s="0" t="s">
        <v>40717</v>
      </c>
      <c r="L12211" s="0" t="str">
        <f aca="false">HYPERLINK("https://www.ncbi.nlm.nih.gov/nuccore/CP000304.1?report=graph&amp;tracks=[key:gene_model_track,Options:GeneOnly]&amp;mk=3422933:3422952|offset_6|00cc00,3422954:3422973|offset_27|444444,3422986:3423005|offset_59|444444,3423013:3423032|offset_86|444444&amp;v=3422732:3423232&amp;c=444444", "offset 6")</f>
        <v>offset 6</v>
      </c>
    </row>
    <row r="12212" customFormat="false" ht="12.8" hidden="false" customHeight="false" outlineLevel="0" collapsed="false">
      <c r="A12212" s="0" t="s">
        <v>12</v>
      </c>
      <c r="B12212" s="0" t="n">
        <v>3422953</v>
      </c>
      <c r="C12212" s="0" t="n">
        <v>3422973</v>
      </c>
      <c r="D12212" s="0" t="s">
        <v>40713</v>
      </c>
      <c r="E12212" s="0" t="s">
        <v>40714</v>
      </c>
      <c r="F12212" s="0" t="s">
        <v>15</v>
      </c>
      <c r="G12212" s="0" t="s">
        <v>16</v>
      </c>
      <c r="H12212" s="0" t="n">
        <v>27</v>
      </c>
      <c r="I12212" s="0" t="s">
        <v>40718</v>
      </c>
      <c r="J12212" s="0" t="s">
        <v>40719</v>
      </c>
      <c r="K12212" s="0" t="s">
        <v>40720</v>
      </c>
      <c r="L12212" s="0" t="str">
        <f aca="false">HYPERLINK("https://www.ncbi.nlm.nih.gov/nuccore/CP000304.1?report=graph&amp;tracks=[key:gene_model_track,Options:GeneOnly]&amp;mk=3422933:3422952|offset_6|444444,3422954:3422973|offset_27|00cc00,3422986:3423005|offset_59|444444,3423013:3423032|offset_86|444444&amp;v=3422732:3423232&amp;c=444444", "offset 27")</f>
        <v>offset 27</v>
      </c>
    </row>
    <row r="12213" customFormat="false" ht="12.8" hidden="false" customHeight="false" outlineLevel="0" collapsed="false">
      <c r="A12213" s="0" t="s">
        <v>12</v>
      </c>
      <c r="B12213" s="0" t="n">
        <v>3422985</v>
      </c>
      <c r="C12213" s="0" t="n">
        <v>3423005</v>
      </c>
      <c r="D12213" s="0" t="s">
        <v>40713</v>
      </c>
      <c r="E12213" s="0" t="s">
        <v>40714</v>
      </c>
      <c r="F12213" s="0" t="s">
        <v>15</v>
      </c>
      <c r="G12213" s="0" t="s">
        <v>16</v>
      </c>
      <c r="H12213" s="0" t="n">
        <v>59</v>
      </c>
      <c r="I12213" s="0" t="s">
        <v>40721</v>
      </c>
      <c r="J12213" s="0" t="s">
        <v>40722</v>
      </c>
      <c r="K12213" s="0" t="s">
        <v>40723</v>
      </c>
      <c r="L12213" s="0" t="str">
        <f aca="false">HYPERLINK("https://www.ncbi.nlm.nih.gov/nuccore/CP000304.1?report=graph&amp;tracks=[key:gene_model_track,Options:GeneOnly]&amp;mk=3422933:3422952|offset_6|444444,3422954:3422973|offset_27|444444,3422986:3423005|offset_59|00cc00,3423013:3423032|offset_86|444444&amp;v=3422732:3423232&amp;c=444444", "offset 59")</f>
        <v>offset 59</v>
      </c>
    </row>
    <row r="12214" customFormat="false" ht="12.8" hidden="false" customHeight="false" outlineLevel="0" collapsed="false">
      <c r="A12214" s="0" t="s">
        <v>12</v>
      </c>
      <c r="B12214" s="0" t="n">
        <v>3423012</v>
      </c>
      <c r="C12214" s="0" t="n">
        <v>3423032</v>
      </c>
      <c r="D12214" s="0" t="s">
        <v>40713</v>
      </c>
      <c r="E12214" s="0" t="s">
        <v>40714</v>
      </c>
      <c r="F12214" s="0" t="s">
        <v>15</v>
      </c>
      <c r="G12214" s="0" t="s">
        <v>16</v>
      </c>
      <c r="H12214" s="0" t="n">
        <v>86</v>
      </c>
      <c r="I12214" s="0" t="s">
        <v>40724</v>
      </c>
      <c r="J12214" s="0" t="s">
        <v>40725</v>
      </c>
      <c r="K12214" s="0" t="s">
        <v>40726</v>
      </c>
      <c r="L12214" s="0" t="str">
        <f aca="false">HYPERLINK("https://www.ncbi.nlm.nih.gov/nuccore/CP000304.1?report=graph&amp;tracks=[key:gene_model_track,Options:GeneOnly]&amp;mk=3422933:3422952|offset_6|444444,3422954:3422973|offset_27|444444,3422986:3423005|offset_59|444444,3423013:3423032|offset_86|00cc00&amp;v=3422732:3423232&amp;c=444444", "offset 86")</f>
        <v>offset 86</v>
      </c>
    </row>
    <row r="12215" customFormat="false" ht="12.8" hidden="false" customHeight="false" outlineLevel="0" collapsed="false">
      <c r="A12215" s="0" t="s">
        <v>12</v>
      </c>
      <c r="B12215" s="0" t="n">
        <v>3423588</v>
      </c>
      <c r="C12215" s="0" t="n">
        <v>3423608</v>
      </c>
      <c r="D12215" s="0" t="s">
        <v>40727</v>
      </c>
      <c r="E12215" s="0" t="s">
        <v>40728</v>
      </c>
      <c r="F12215" s="0" t="s">
        <v>15</v>
      </c>
      <c r="G12215" s="0" t="s">
        <v>16</v>
      </c>
      <c r="H12215" s="0" t="n">
        <v>21</v>
      </c>
      <c r="I12215" s="0" t="s">
        <v>40729</v>
      </c>
      <c r="J12215" s="0" t="s">
        <v>40730</v>
      </c>
      <c r="K12215" s="0" t="s">
        <v>40731</v>
      </c>
      <c r="L12215" s="0" t="str">
        <f aca="false">HYPERLINK("https://www.ncbi.nlm.nih.gov/nuccore/CP000304.1?report=graph&amp;tracks=[key:gene_model_track,Options:GeneOnly]&amp;mk=3423589:3423608|offset_21|00cc00,3423611:3423630|offset_43|444444,3423635:3423654|offset_67|444444,3423658:3423677|offset_90|444444&amp;v=3423388:3423877&amp;c=444444", "offset 21")</f>
        <v>offset 21</v>
      </c>
    </row>
    <row r="12216" customFormat="false" ht="12.8" hidden="false" customHeight="false" outlineLevel="0" collapsed="false">
      <c r="A12216" s="0" t="s">
        <v>12</v>
      </c>
      <c r="B12216" s="0" t="n">
        <v>3423610</v>
      </c>
      <c r="C12216" s="0" t="n">
        <v>3423630</v>
      </c>
      <c r="D12216" s="0" t="s">
        <v>40727</v>
      </c>
      <c r="E12216" s="0" t="s">
        <v>40728</v>
      </c>
      <c r="F12216" s="0" t="s">
        <v>15</v>
      </c>
      <c r="G12216" s="0" t="s">
        <v>16</v>
      </c>
      <c r="H12216" s="0" t="n">
        <v>43</v>
      </c>
      <c r="I12216" s="0" t="s">
        <v>40732</v>
      </c>
      <c r="J12216" s="0" t="s">
        <v>40733</v>
      </c>
      <c r="K12216" s="0" t="s">
        <v>40734</v>
      </c>
      <c r="L12216" s="0" t="str">
        <f aca="false">HYPERLINK("https://www.ncbi.nlm.nih.gov/nuccore/CP000304.1?report=graph&amp;tracks=[key:gene_model_track,Options:GeneOnly]&amp;mk=3423589:3423608|offset_21|444444,3423611:3423630|offset_43|00cc00,3423635:3423654|offset_67|444444,3423658:3423677|offset_90|444444&amp;v=3423388:3423877&amp;c=444444", "offset 43")</f>
        <v>offset 43</v>
      </c>
    </row>
    <row r="12217" customFormat="false" ht="12.8" hidden="false" customHeight="false" outlineLevel="0" collapsed="false">
      <c r="A12217" s="0" t="s">
        <v>12</v>
      </c>
      <c r="B12217" s="0" t="n">
        <v>3423634</v>
      </c>
      <c r="C12217" s="0" t="n">
        <v>3423654</v>
      </c>
      <c r="D12217" s="0" t="s">
        <v>40727</v>
      </c>
      <c r="E12217" s="0" t="s">
        <v>40728</v>
      </c>
      <c r="F12217" s="0" t="s">
        <v>15</v>
      </c>
      <c r="G12217" s="0" t="s">
        <v>26</v>
      </c>
      <c r="H12217" s="0" t="n">
        <v>67</v>
      </c>
      <c r="I12217" s="0" t="s">
        <v>40735</v>
      </c>
      <c r="J12217" s="0" t="s">
        <v>40736</v>
      </c>
      <c r="K12217" s="0" t="s">
        <v>40737</v>
      </c>
      <c r="L12217" s="0" t="str">
        <f aca="false">HYPERLINK("https://www.ncbi.nlm.nih.gov/nuccore/CP000304.1?report=graph&amp;tracks=[key:gene_model_track,Options:GeneOnly]&amp;mk=3423589:3423608|offset_21|444444,3423611:3423630|offset_43|444444,3423635:3423654|offset_67|00cc00,3423658:3423677|offset_90|444444&amp;v=3423388:3423877&amp;c=444444", "offset 67")</f>
        <v>offset 67</v>
      </c>
    </row>
    <row r="12218" customFormat="false" ht="12.8" hidden="false" customHeight="false" outlineLevel="0" collapsed="false">
      <c r="A12218" s="0" t="s">
        <v>12</v>
      </c>
      <c r="B12218" s="0" t="n">
        <v>3423657</v>
      </c>
      <c r="C12218" s="0" t="n">
        <v>3423677</v>
      </c>
      <c r="D12218" s="0" t="s">
        <v>40727</v>
      </c>
      <c r="E12218" s="0" t="s">
        <v>40728</v>
      </c>
      <c r="F12218" s="0" t="s">
        <v>15</v>
      </c>
      <c r="G12218" s="0" t="s">
        <v>16</v>
      </c>
      <c r="H12218" s="0" t="n">
        <v>90</v>
      </c>
      <c r="I12218" s="0" t="s">
        <v>40738</v>
      </c>
      <c r="J12218" s="0" t="s">
        <v>40739</v>
      </c>
      <c r="K12218" s="0" t="s">
        <v>40740</v>
      </c>
      <c r="L12218" s="0" t="str">
        <f aca="false">HYPERLINK("https://www.ncbi.nlm.nih.gov/nuccore/CP000304.1?report=graph&amp;tracks=[key:gene_model_track,Options:GeneOnly]&amp;mk=3423589:3423608|offset_21|444444,3423611:3423630|offset_43|444444,3423635:3423654|offset_67|444444,3423658:3423677|offset_90|00cc00&amp;v=3423388:3423877&amp;c=444444", "offset 90")</f>
        <v>offset 90</v>
      </c>
    </row>
    <row r="12219" customFormat="false" ht="12.8" hidden="false" customHeight="false" outlineLevel="0" collapsed="false">
      <c r="A12219" s="0" t="s">
        <v>12</v>
      </c>
      <c r="B12219" s="0" t="n">
        <v>3424931</v>
      </c>
      <c r="C12219" s="0" t="n">
        <v>3424951</v>
      </c>
      <c r="D12219" s="0" t="s">
        <v>40741</v>
      </c>
      <c r="E12219" s="0" t="s">
        <v>89</v>
      </c>
      <c r="F12219" s="0" t="s">
        <v>15</v>
      </c>
      <c r="G12219" s="0" t="s">
        <v>32</v>
      </c>
      <c r="H12219" s="0" t="n">
        <v>16</v>
      </c>
      <c r="I12219" s="0" t="s">
        <v>40742</v>
      </c>
      <c r="J12219" s="0" t="s">
        <v>40743</v>
      </c>
      <c r="K12219" s="0" t="s">
        <v>40744</v>
      </c>
      <c r="L12219" s="0" t="str">
        <f aca="false">HYPERLINK("https://www.ncbi.nlm.nih.gov/nuccore/CP000304.1?report=graph&amp;tracks=[key:gene_model_track,Options:GeneOnly]&amp;mk=3424932:3424951|offset_16|00cc00,3424962:3424981|offset_46|444444,3424986:3425005|offset_70|444444,3425008:3425027|offset_92|444444&amp;v=3424731:3425227&amp;c=444444", "offset 16")</f>
        <v>offset 16</v>
      </c>
    </row>
    <row r="12220" customFormat="false" ht="12.8" hidden="false" customHeight="false" outlineLevel="0" collapsed="false">
      <c r="A12220" s="0" t="s">
        <v>12</v>
      </c>
      <c r="B12220" s="0" t="n">
        <v>3424961</v>
      </c>
      <c r="C12220" s="0" t="n">
        <v>3424981</v>
      </c>
      <c r="D12220" s="0" t="s">
        <v>40741</v>
      </c>
      <c r="E12220" s="0" t="s">
        <v>89</v>
      </c>
      <c r="F12220" s="0" t="s">
        <v>15</v>
      </c>
      <c r="G12220" s="0" t="s">
        <v>16</v>
      </c>
      <c r="H12220" s="0" t="n">
        <v>46</v>
      </c>
      <c r="I12220" s="0" t="s">
        <v>40745</v>
      </c>
      <c r="J12220" s="0" t="s">
        <v>40746</v>
      </c>
      <c r="K12220" s="0" t="s">
        <v>40747</v>
      </c>
      <c r="L12220" s="0" t="str">
        <f aca="false">HYPERLINK("https://www.ncbi.nlm.nih.gov/nuccore/CP000304.1?report=graph&amp;tracks=[key:gene_model_track,Options:GeneOnly]&amp;mk=3424932:3424951|offset_16|444444,3424962:3424981|offset_46|00cc00,3424986:3425005|offset_70|444444,3425008:3425027|offset_92|444444&amp;v=3424731:3425227&amp;c=444444", "offset 46")</f>
        <v>offset 46</v>
      </c>
    </row>
    <row r="12221" customFormat="false" ht="12.8" hidden="false" customHeight="false" outlineLevel="0" collapsed="false">
      <c r="A12221" s="0" t="s">
        <v>12</v>
      </c>
      <c r="B12221" s="0" t="n">
        <v>3424985</v>
      </c>
      <c r="C12221" s="0" t="n">
        <v>3425005</v>
      </c>
      <c r="D12221" s="0" t="s">
        <v>40741</v>
      </c>
      <c r="E12221" s="0" t="s">
        <v>89</v>
      </c>
      <c r="F12221" s="0" t="s">
        <v>15</v>
      </c>
      <c r="G12221" s="0" t="s">
        <v>26</v>
      </c>
      <c r="H12221" s="0" t="n">
        <v>70</v>
      </c>
      <c r="I12221" s="0" t="s">
        <v>40748</v>
      </c>
      <c r="J12221" s="0" t="s">
        <v>40749</v>
      </c>
      <c r="K12221" s="0" t="s">
        <v>40750</v>
      </c>
      <c r="L12221" s="0" t="str">
        <f aca="false">HYPERLINK("https://www.ncbi.nlm.nih.gov/nuccore/CP000304.1?report=graph&amp;tracks=[key:gene_model_track,Options:GeneOnly]&amp;mk=3424932:3424951|offset_16|444444,3424962:3424981|offset_46|444444,3424986:3425005|offset_70|00cc00,3425008:3425027|offset_92|444444&amp;v=3424731:3425227&amp;c=444444", "offset 70")</f>
        <v>offset 70</v>
      </c>
    </row>
    <row r="12222" customFormat="false" ht="12.8" hidden="false" customHeight="false" outlineLevel="0" collapsed="false">
      <c r="A12222" s="0" t="s">
        <v>12</v>
      </c>
      <c r="B12222" s="0" t="n">
        <v>3425007</v>
      </c>
      <c r="C12222" s="0" t="n">
        <v>3425027</v>
      </c>
      <c r="D12222" s="0" t="s">
        <v>40741</v>
      </c>
      <c r="E12222" s="0" t="s">
        <v>89</v>
      </c>
      <c r="F12222" s="0" t="s">
        <v>15</v>
      </c>
      <c r="G12222" s="0" t="s">
        <v>26</v>
      </c>
      <c r="H12222" s="0" t="n">
        <v>92</v>
      </c>
      <c r="I12222" s="0" t="s">
        <v>40751</v>
      </c>
      <c r="J12222" s="0" t="s">
        <v>40752</v>
      </c>
      <c r="K12222" s="0" t="s">
        <v>40753</v>
      </c>
      <c r="L12222" s="0" t="str">
        <f aca="false">HYPERLINK("https://www.ncbi.nlm.nih.gov/nuccore/CP000304.1?report=graph&amp;tracks=[key:gene_model_track,Options:GeneOnly]&amp;mk=3424932:3424951|offset_16|444444,3424962:3424981|offset_46|444444,3424986:3425005|offset_70|444444,3425008:3425027|offset_92|00cc00&amp;v=3424731:3425227&amp;c=444444", "offset 92")</f>
        <v>offset 92</v>
      </c>
    </row>
    <row r="12223" customFormat="false" ht="12.8" hidden="false" customHeight="false" outlineLevel="0" collapsed="false">
      <c r="A12223" s="0" t="s">
        <v>12</v>
      </c>
      <c r="B12223" s="0" t="n">
        <v>3425857</v>
      </c>
      <c r="C12223" s="0" t="n">
        <v>3425877</v>
      </c>
      <c r="D12223" s="0" t="s">
        <v>40754</v>
      </c>
      <c r="E12223" s="0" t="s">
        <v>89</v>
      </c>
      <c r="F12223" s="0" t="s">
        <v>90</v>
      </c>
      <c r="G12223" s="0" t="s">
        <v>32</v>
      </c>
      <c r="H12223" s="0" t="n">
        <v>37</v>
      </c>
      <c r="I12223" s="0" t="s">
        <v>40755</v>
      </c>
      <c r="J12223" s="0" t="s">
        <v>40756</v>
      </c>
      <c r="K12223" s="0" t="s">
        <v>40757</v>
      </c>
      <c r="L12223" s="0" t="str">
        <f aca="false">HYPERLINK("https://www.ncbi.nlm.nih.gov/nuccore/CP000304.1?report=graph&amp;tracks=[key:gene_model_track,Options:GeneOnly]&amp;mk=3425858:3425877|offset_37|00cc00,3425823:3425842|offset_72|444444,3425784:3425803|offset_111|444444,3425764:3425783|offset_131|444444&amp;v=3425657:3425983&amp;c=444444", "offset 37")</f>
        <v>offset 37</v>
      </c>
    </row>
    <row r="12224" customFormat="false" ht="12.8" hidden="false" customHeight="false" outlineLevel="0" collapsed="false">
      <c r="A12224" s="0" t="s">
        <v>12</v>
      </c>
      <c r="B12224" s="0" t="n">
        <v>3425822</v>
      </c>
      <c r="C12224" s="0" t="n">
        <v>3425842</v>
      </c>
      <c r="D12224" s="0" t="s">
        <v>40754</v>
      </c>
      <c r="E12224" s="0" t="s">
        <v>89</v>
      </c>
      <c r="F12224" s="0" t="s">
        <v>90</v>
      </c>
      <c r="G12224" s="0" t="s">
        <v>32</v>
      </c>
      <c r="H12224" s="0" t="n">
        <v>72</v>
      </c>
      <c r="I12224" s="0" t="s">
        <v>40758</v>
      </c>
      <c r="J12224" s="0" t="s">
        <v>40759</v>
      </c>
      <c r="K12224" s="0" t="s">
        <v>40760</v>
      </c>
      <c r="L12224" s="0" t="str">
        <f aca="false">HYPERLINK("https://www.ncbi.nlm.nih.gov/nuccore/CP000304.1?report=graph&amp;tracks=[key:gene_model_track,Options:GeneOnly]&amp;mk=3425858:3425877|offset_37|444444,3425823:3425842|offset_72|00cc00,3425784:3425803|offset_111|444444,3425764:3425783|offset_131|444444&amp;v=3425657:3425983&amp;c=444444", "offset 72")</f>
        <v>offset 72</v>
      </c>
    </row>
    <row r="12225" customFormat="false" ht="12.8" hidden="false" customHeight="false" outlineLevel="0" collapsed="false">
      <c r="A12225" s="0" t="s">
        <v>12</v>
      </c>
      <c r="B12225" s="0" t="n">
        <v>3425783</v>
      </c>
      <c r="C12225" s="0" t="n">
        <v>3425803</v>
      </c>
      <c r="D12225" s="0" t="s">
        <v>40754</v>
      </c>
      <c r="E12225" s="0" t="s">
        <v>89</v>
      </c>
      <c r="F12225" s="0" t="s">
        <v>90</v>
      </c>
      <c r="G12225" s="0" t="s">
        <v>36</v>
      </c>
      <c r="H12225" s="0" t="n">
        <v>111</v>
      </c>
      <c r="I12225" s="0" t="s">
        <v>40761</v>
      </c>
      <c r="J12225" s="0" t="s">
        <v>40762</v>
      </c>
      <c r="K12225" s="0" t="s">
        <v>40763</v>
      </c>
      <c r="L12225" s="0" t="str">
        <f aca="false">HYPERLINK("https://www.ncbi.nlm.nih.gov/nuccore/CP000304.1?report=graph&amp;tracks=[key:gene_model_track,Options:GeneOnly]&amp;mk=3425858:3425877|offset_37|444444,3425823:3425842|offset_72|444444,3425784:3425803|offset_111|00cc00,3425764:3425783|offset_131|444444&amp;v=3425657:3425983&amp;c=444444", "offset 111")</f>
        <v>offset 111</v>
      </c>
    </row>
    <row r="12226" customFormat="false" ht="12.8" hidden="false" customHeight="false" outlineLevel="0" collapsed="false">
      <c r="A12226" s="0" t="s">
        <v>12</v>
      </c>
      <c r="B12226" s="0" t="n">
        <v>3425763</v>
      </c>
      <c r="C12226" s="0" t="n">
        <v>3425783</v>
      </c>
      <c r="D12226" s="0" t="s">
        <v>40754</v>
      </c>
      <c r="E12226" s="0" t="s">
        <v>89</v>
      </c>
      <c r="F12226" s="0" t="s">
        <v>90</v>
      </c>
      <c r="G12226" s="0" t="s">
        <v>26</v>
      </c>
      <c r="H12226" s="0" t="n">
        <v>131</v>
      </c>
      <c r="I12226" s="0" t="s">
        <v>40764</v>
      </c>
      <c r="J12226" s="0" t="s">
        <v>40765</v>
      </c>
      <c r="K12226" s="0" t="s">
        <v>40766</v>
      </c>
      <c r="L12226" s="0" t="str">
        <f aca="false">HYPERLINK("https://www.ncbi.nlm.nih.gov/nuccore/CP000304.1?report=graph&amp;tracks=[key:gene_model_track,Options:GeneOnly]&amp;mk=3425858:3425877|offset_37|444444,3425823:3425842|offset_72|444444,3425784:3425803|offset_111|444444,3425764:3425783|offset_131|00cc00&amp;v=3425657:3425983&amp;c=444444", "offset 131")</f>
        <v>offset 131</v>
      </c>
    </row>
    <row r="12227" customFormat="false" ht="12.8" hidden="false" customHeight="false" outlineLevel="0" collapsed="false">
      <c r="A12227" s="0" t="s">
        <v>12</v>
      </c>
      <c r="B12227" s="0" t="n">
        <v>3426620</v>
      </c>
      <c r="C12227" s="0" t="n">
        <v>3426640</v>
      </c>
      <c r="D12227" s="0" t="s">
        <v>40767</v>
      </c>
      <c r="E12227" s="0" t="s">
        <v>40768</v>
      </c>
      <c r="F12227" s="0" t="s">
        <v>90</v>
      </c>
      <c r="G12227" s="0" t="s">
        <v>16</v>
      </c>
      <c r="H12227" s="0" t="n">
        <v>40</v>
      </c>
      <c r="I12227" s="0" t="s">
        <v>40769</v>
      </c>
      <c r="J12227" s="0" t="s">
        <v>40770</v>
      </c>
      <c r="K12227" s="0" t="s">
        <v>40771</v>
      </c>
      <c r="L12227" s="0" t="str">
        <f aca="false">HYPERLINK("https://www.ncbi.nlm.nih.gov/nuccore/CP000304.1?report=graph&amp;tracks=[key:gene_model_track,Options:GeneOnly]&amp;mk=3426621:3426640|offset_40|00cc00,3426587:3426606|offset_74|444444,3426549:3426568|offset_112|444444,3426515:3426534|offset_146|444444&amp;v=3426420:3426734&amp;c=444444", "offset 40")</f>
        <v>offset 40</v>
      </c>
    </row>
    <row r="12228" customFormat="false" ht="12.8" hidden="false" customHeight="false" outlineLevel="0" collapsed="false">
      <c r="A12228" s="0" t="s">
        <v>12</v>
      </c>
      <c r="B12228" s="0" t="n">
        <v>3426586</v>
      </c>
      <c r="C12228" s="0" t="n">
        <v>3426606</v>
      </c>
      <c r="D12228" s="0" t="s">
        <v>40767</v>
      </c>
      <c r="E12228" s="0" t="s">
        <v>40768</v>
      </c>
      <c r="F12228" s="0" t="s">
        <v>90</v>
      </c>
      <c r="G12228" s="0" t="s">
        <v>16</v>
      </c>
      <c r="H12228" s="0" t="n">
        <v>74</v>
      </c>
      <c r="I12228" s="0" t="s">
        <v>40772</v>
      </c>
      <c r="J12228" s="0" t="s">
        <v>40773</v>
      </c>
      <c r="K12228" s="0" t="s">
        <v>40774</v>
      </c>
      <c r="L12228" s="0" t="str">
        <f aca="false">HYPERLINK("https://www.ncbi.nlm.nih.gov/nuccore/CP000304.1?report=graph&amp;tracks=[key:gene_model_track,Options:GeneOnly]&amp;mk=3426621:3426640|offset_40|444444,3426587:3426606|offset_74|00cc00,3426549:3426568|offset_112|444444,3426515:3426534|offset_146|444444&amp;v=3426420:3426734&amp;c=444444", "offset 74")</f>
        <v>offset 74</v>
      </c>
    </row>
    <row r="12229" customFormat="false" ht="12.8" hidden="false" customHeight="false" outlineLevel="0" collapsed="false">
      <c r="A12229" s="0" t="s">
        <v>12</v>
      </c>
      <c r="B12229" s="0" t="n">
        <v>3426548</v>
      </c>
      <c r="C12229" s="0" t="n">
        <v>3426568</v>
      </c>
      <c r="D12229" s="0" t="s">
        <v>40767</v>
      </c>
      <c r="E12229" s="0" t="s">
        <v>40768</v>
      </c>
      <c r="F12229" s="0" t="s">
        <v>90</v>
      </c>
      <c r="G12229" s="0" t="s">
        <v>16</v>
      </c>
      <c r="H12229" s="0" t="n">
        <v>112</v>
      </c>
      <c r="I12229" s="0" t="s">
        <v>40775</v>
      </c>
      <c r="J12229" s="0" t="s">
        <v>40776</v>
      </c>
      <c r="K12229" s="0" t="s">
        <v>40777</v>
      </c>
      <c r="L12229" s="0" t="str">
        <f aca="false">HYPERLINK("https://www.ncbi.nlm.nih.gov/nuccore/CP000304.1?report=graph&amp;tracks=[key:gene_model_track,Options:GeneOnly]&amp;mk=3426621:3426640|offset_40|444444,3426587:3426606|offset_74|444444,3426549:3426568|offset_112|00cc00,3426515:3426534|offset_146|444444&amp;v=3426420:3426734&amp;c=444444", "offset 112")</f>
        <v>offset 112</v>
      </c>
    </row>
    <row r="12230" customFormat="false" ht="12.8" hidden="false" customHeight="false" outlineLevel="0" collapsed="false">
      <c r="A12230" s="0" t="s">
        <v>12</v>
      </c>
      <c r="B12230" s="0" t="n">
        <v>3426514</v>
      </c>
      <c r="C12230" s="0" t="n">
        <v>3426534</v>
      </c>
      <c r="D12230" s="0" t="s">
        <v>40767</v>
      </c>
      <c r="E12230" s="0" t="s">
        <v>40768</v>
      </c>
      <c r="F12230" s="0" t="s">
        <v>90</v>
      </c>
      <c r="G12230" s="0" t="s">
        <v>36</v>
      </c>
      <c r="H12230" s="0" t="n">
        <v>146</v>
      </c>
      <c r="I12230" s="0" t="s">
        <v>40778</v>
      </c>
      <c r="J12230" s="0" t="s">
        <v>40779</v>
      </c>
      <c r="K12230" s="0" t="s">
        <v>40780</v>
      </c>
      <c r="L12230" s="0" t="str">
        <f aca="false">HYPERLINK("https://www.ncbi.nlm.nih.gov/nuccore/CP000304.1?report=graph&amp;tracks=[key:gene_model_track,Options:GeneOnly]&amp;mk=3426621:3426640|offset_40|444444,3426587:3426606|offset_74|444444,3426549:3426568|offset_112|444444,3426515:3426534|offset_146|00cc00&amp;v=3426420:3426734&amp;c=444444", "offset 146")</f>
        <v>offset 146</v>
      </c>
    </row>
    <row r="12231" customFormat="false" ht="12.8" hidden="false" customHeight="false" outlineLevel="0" collapsed="false">
      <c r="A12231" s="0" t="s">
        <v>12</v>
      </c>
      <c r="B12231" s="0" t="n">
        <v>3427373</v>
      </c>
      <c r="C12231" s="0" t="n">
        <v>3427393</v>
      </c>
      <c r="D12231" s="0" t="s">
        <v>40781</v>
      </c>
      <c r="E12231" s="0" t="s">
        <v>40782</v>
      </c>
      <c r="F12231" s="0" t="s">
        <v>90</v>
      </c>
      <c r="G12231" s="0" t="s">
        <v>16</v>
      </c>
      <c r="H12231" s="0" t="n">
        <v>35</v>
      </c>
      <c r="I12231" s="0" t="s">
        <v>40783</v>
      </c>
      <c r="J12231" s="0" t="s">
        <v>40784</v>
      </c>
      <c r="K12231" s="0" t="s">
        <v>40785</v>
      </c>
      <c r="L12231" s="0" t="str">
        <f aca="false">HYPERLINK("https://www.ncbi.nlm.nih.gov/nuccore/CP000304.1?report=graph&amp;tracks=[key:gene_model_track,Options:GeneOnly]&amp;mk=3427374:3427393|offset_35|00cc00,3427338:3427357|offset_71|444444,3427280:3427299|offset_129|444444,3427258:3427277|offset_151|444444&amp;v=3427173:3427477&amp;c=444444", "offset 35")</f>
        <v>offset 35</v>
      </c>
    </row>
    <row r="12232" customFormat="false" ht="12.8" hidden="false" customHeight="false" outlineLevel="0" collapsed="false">
      <c r="A12232" s="0" t="s">
        <v>12</v>
      </c>
      <c r="B12232" s="0" t="n">
        <v>3427337</v>
      </c>
      <c r="C12232" s="0" t="n">
        <v>3427357</v>
      </c>
      <c r="D12232" s="0" t="s">
        <v>40781</v>
      </c>
      <c r="E12232" s="0" t="s">
        <v>40782</v>
      </c>
      <c r="F12232" s="0" t="s">
        <v>90</v>
      </c>
      <c r="G12232" s="0" t="s">
        <v>32</v>
      </c>
      <c r="H12232" s="0" t="n">
        <v>71</v>
      </c>
      <c r="I12232" s="0" t="s">
        <v>40786</v>
      </c>
      <c r="J12232" s="0" t="s">
        <v>40787</v>
      </c>
      <c r="K12232" s="0" t="s">
        <v>40788</v>
      </c>
      <c r="L12232" s="0" t="str">
        <f aca="false">HYPERLINK("https://www.ncbi.nlm.nih.gov/nuccore/CP000304.1?report=graph&amp;tracks=[key:gene_model_track,Options:GeneOnly]&amp;mk=3427374:3427393|offset_35|444444,3427338:3427357|offset_71|00cc00,3427280:3427299|offset_129|444444,3427258:3427277|offset_151|444444&amp;v=3427173:3427477&amp;c=444444", "offset 71")</f>
        <v>offset 71</v>
      </c>
    </row>
    <row r="12233" customFormat="false" ht="12.8" hidden="false" customHeight="false" outlineLevel="0" collapsed="false">
      <c r="A12233" s="0" t="s">
        <v>12</v>
      </c>
      <c r="B12233" s="0" t="n">
        <v>3427279</v>
      </c>
      <c r="C12233" s="0" t="n">
        <v>3427299</v>
      </c>
      <c r="D12233" s="0" t="s">
        <v>40781</v>
      </c>
      <c r="E12233" s="0" t="s">
        <v>40782</v>
      </c>
      <c r="F12233" s="0" t="s">
        <v>90</v>
      </c>
      <c r="G12233" s="0" t="s">
        <v>16</v>
      </c>
      <c r="H12233" s="0" t="n">
        <v>129</v>
      </c>
      <c r="I12233" s="0" t="s">
        <v>40789</v>
      </c>
      <c r="J12233" s="0" t="s">
        <v>40790</v>
      </c>
      <c r="K12233" s="0" t="s">
        <v>40791</v>
      </c>
      <c r="L12233" s="0" t="str">
        <f aca="false">HYPERLINK("https://www.ncbi.nlm.nih.gov/nuccore/CP000304.1?report=graph&amp;tracks=[key:gene_model_track,Options:GeneOnly]&amp;mk=3427374:3427393|offset_35|444444,3427338:3427357|offset_71|444444,3427280:3427299|offset_129|00cc00,3427258:3427277|offset_151|444444&amp;v=3427173:3427477&amp;c=444444", "offset 129")</f>
        <v>offset 129</v>
      </c>
    </row>
    <row r="12234" customFormat="false" ht="12.8" hidden="false" customHeight="false" outlineLevel="0" collapsed="false">
      <c r="A12234" s="0" t="s">
        <v>12</v>
      </c>
      <c r="B12234" s="0" t="n">
        <v>3427257</v>
      </c>
      <c r="C12234" s="0" t="n">
        <v>3427277</v>
      </c>
      <c r="D12234" s="0" t="s">
        <v>40781</v>
      </c>
      <c r="E12234" s="0" t="s">
        <v>40782</v>
      </c>
      <c r="F12234" s="0" t="s">
        <v>90</v>
      </c>
      <c r="G12234" s="0" t="s">
        <v>16</v>
      </c>
      <c r="H12234" s="0" t="n">
        <v>151</v>
      </c>
      <c r="I12234" s="0" t="s">
        <v>40792</v>
      </c>
      <c r="J12234" s="0" t="s">
        <v>40793</v>
      </c>
      <c r="K12234" s="0" t="s">
        <v>40794</v>
      </c>
      <c r="L12234" s="0" t="str">
        <f aca="false">HYPERLINK("https://www.ncbi.nlm.nih.gov/nuccore/CP000304.1?report=graph&amp;tracks=[key:gene_model_track,Options:GeneOnly]&amp;mk=3427374:3427393|offset_35|444444,3427338:3427357|offset_71|444444,3427280:3427299|offset_129|444444,3427258:3427277|offset_151|00cc00&amp;v=3427173:3427477&amp;c=444444", "offset 151")</f>
        <v>offset 151</v>
      </c>
    </row>
    <row r="12235" customFormat="false" ht="12.8" hidden="false" customHeight="false" outlineLevel="0" collapsed="false">
      <c r="A12235" s="0" t="s">
        <v>12</v>
      </c>
      <c r="B12235" s="0" t="n">
        <v>3428252</v>
      </c>
      <c r="C12235" s="0" t="n">
        <v>3428272</v>
      </c>
      <c r="D12235" s="0" t="s">
        <v>40795</v>
      </c>
      <c r="E12235" s="0" t="s">
        <v>40796</v>
      </c>
      <c r="F12235" s="0" t="s">
        <v>90</v>
      </c>
      <c r="G12235" s="0" t="s">
        <v>32</v>
      </c>
      <c r="H12235" s="0" t="n">
        <v>6</v>
      </c>
      <c r="I12235" s="0" t="s">
        <v>40797</v>
      </c>
      <c r="J12235" s="0" t="s">
        <v>40798</v>
      </c>
      <c r="K12235" s="0" t="s">
        <v>40799</v>
      </c>
      <c r="L12235" s="0" t="str">
        <f aca="false">HYPERLINK("https://www.ncbi.nlm.nih.gov/nuccore/CP000304.1?report=graph&amp;tracks=[key:gene_model_track,Options:GeneOnly]&amp;mk=3428253:3428272|offset_6|00cc00,3428225:3428244|offset_34|444444,3428189:3428208|offset_70|444444,3428168:3428187|offset_91|444444&amp;v=3428052:3428387&amp;c=444444", "offset 6")</f>
        <v>offset 6</v>
      </c>
    </row>
    <row r="12236" customFormat="false" ht="12.8" hidden="false" customHeight="false" outlineLevel="0" collapsed="false">
      <c r="A12236" s="0" t="s">
        <v>12</v>
      </c>
      <c r="B12236" s="0" t="n">
        <v>3428224</v>
      </c>
      <c r="C12236" s="0" t="n">
        <v>3428244</v>
      </c>
      <c r="D12236" s="0" t="s">
        <v>40795</v>
      </c>
      <c r="E12236" s="0" t="s">
        <v>40796</v>
      </c>
      <c r="F12236" s="0" t="s">
        <v>90</v>
      </c>
      <c r="G12236" s="0" t="s">
        <v>16</v>
      </c>
      <c r="H12236" s="0" t="n">
        <v>34</v>
      </c>
      <c r="I12236" s="0" t="s">
        <v>40800</v>
      </c>
      <c r="J12236" s="0" t="s">
        <v>40801</v>
      </c>
      <c r="K12236" s="0" t="s">
        <v>40802</v>
      </c>
      <c r="L12236" s="0" t="str">
        <f aca="false">HYPERLINK("https://www.ncbi.nlm.nih.gov/nuccore/CP000304.1?report=graph&amp;tracks=[key:gene_model_track,Options:GeneOnly]&amp;mk=3428253:3428272|offset_6|444444,3428225:3428244|offset_34|00cc00,3428189:3428208|offset_70|444444,3428168:3428187|offset_91|444444&amp;v=3428052:3428387&amp;c=444444", "offset 34")</f>
        <v>offset 34</v>
      </c>
    </row>
    <row r="12237" customFormat="false" ht="12.8" hidden="false" customHeight="false" outlineLevel="0" collapsed="false">
      <c r="A12237" s="0" t="s">
        <v>12</v>
      </c>
      <c r="B12237" s="0" t="n">
        <v>3428188</v>
      </c>
      <c r="C12237" s="0" t="n">
        <v>3428208</v>
      </c>
      <c r="D12237" s="0" t="s">
        <v>40795</v>
      </c>
      <c r="E12237" s="0" t="s">
        <v>40796</v>
      </c>
      <c r="F12237" s="0" t="s">
        <v>90</v>
      </c>
      <c r="G12237" s="0" t="s">
        <v>16</v>
      </c>
      <c r="H12237" s="0" t="n">
        <v>70</v>
      </c>
      <c r="I12237" s="0" t="s">
        <v>40803</v>
      </c>
      <c r="J12237" s="0" t="s">
        <v>40804</v>
      </c>
      <c r="K12237" s="0" t="s">
        <v>40805</v>
      </c>
      <c r="L12237" s="0" t="str">
        <f aca="false">HYPERLINK("https://www.ncbi.nlm.nih.gov/nuccore/CP000304.1?report=graph&amp;tracks=[key:gene_model_track,Options:GeneOnly]&amp;mk=3428253:3428272|offset_6|444444,3428225:3428244|offset_34|444444,3428189:3428208|offset_70|00cc00,3428168:3428187|offset_91|444444&amp;v=3428052:3428387&amp;c=444444", "offset 70")</f>
        <v>offset 70</v>
      </c>
    </row>
    <row r="12238" customFormat="false" ht="12.8" hidden="false" customHeight="false" outlineLevel="0" collapsed="false">
      <c r="A12238" s="0" t="s">
        <v>12</v>
      </c>
      <c r="B12238" s="0" t="n">
        <v>3428167</v>
      </c>
      <c r="C12238" s="0" t="n">
        <v>3428187</v>
      </c>
      <c r="D12238" s="0" t="s">
        <v>40795</v>
      </c>
      <c r="E12238" s="0" t="s">
        <v>40796</v>
      </c>
      <c r="F12238" s="0" t="s">
        <v>90</v>
      </c>
      <c r="G12238" s="0" t="s">
        <v>36</v>
      </c>
      <c r="H12238" s="0" t="n">
        <v>91</v>
      </c>
      <c r="I12238" s="0" t="s">
        <v>40806</v>
      </c>
      <c r="J12238" s="0" t="s">
        <v>40807</v>
      </c>
      <c r="K12238" s="0" t="s">
        <v>40808</v>
      </c>
      <c r="L12238" s="0" t="str">
        <f aca="false">HYPERLINK("https://www.ncbi.nlm.nih.gov/nuccore/CP000304.1?report=graph&amp;tracks=[key:gene_model_track,Options:GeneOnly]&amp;mk=3428253:3428272|offset_6|444444,3428225:3428244|offset_34|444444,3428189:3428208|offset_70|444444,3428168:3428187|offset_91|00cc00&amp;v=3428052:3428387&amp;c=444444", "offset 91")</f>
        <v>offset 91</v>
      </c>
    </row>
    <row r="12239" customFormat="false" ht="12.8" hidden="false" customHeight="false" outlineLevel="0" collapsed="false">
      <c r="A12239" s="0" t="s">
        <v>12</v>
      </c>
      <c r="B12239" s="0" t="n">
        <v>3429340</v>
      </c>
      <c r="C12239" s="0" t="n">
        <v>3429360</v>
      </c>
      <c r="D12239" s="0" t="s">
        <v>40809</v>
      </c>
      <c r="E12239" s="0" t="s">
        <v>89</v>
      </c>
      <c r="F12239" s="0" t="s">
        <v>90</v>
      </c>
      <c r="G12239" s="0" t="s">
        <v>26</v>
      </c>
      <c r="H12239" s="0" t="n">
        <v>35</v>
      </c>
      <c r="I12239" s="0" t="s">
        <v>40810</v>
      </c>
      <c r="J12239" s="0" t="s">
        <v>40811</v>
      </c>
      <c r="K12239" s="0" t="s">
        <v>40812</v>
      </c>
      <c r="L12239" s="0" t="str">
        <f aca="false">HYPERLINK("https://www.ncbi.nlm.nih.gov/nuccore/CP000304.1?report=graph&amp;tracks=[key:gene_model_track,Options:GeneOnly]&amp;mk=3429341:3429360|offset_35|00cc00,3429315:3429334|offset_61|444444,3429275:3429294|offset_101|444444,3429246:3429265|offset_130|444444&amp;v=3429140:3429465&amp;c=444444", "offset 35")</f>
        <v>offset 35</v>
      </c>
    </row>
    <row r="12240" customFormat="false" ht="12.8" hidden="false" customHeight="false" outlineLevel="0" collapsed="false">
      <c r="A12240" s="0" t="s">
        <v>12</v>
      </c>
      <c r="B12240" s="0" t="n">
        <v>3429314</v>
      </c>
      <c r="C12240" s="0" t="n">
        <v>3429334</v>
      </c>
      <c r="D12240" s="0" t="s">
        <v>40809</v>
      </c>
      <c r="E12240" s="0" t="s">
        <v>89</v>
      </c>
      <c r="F12240" s="0" t="s">
        <v>90</v>
      </c>
      <c r="G12240" s="0" t="s">
        <v>16</v>
      </c>
      <c r="H12240" s="0" t="n">
        <v>61</v>
      </c>
      <c r="I12240" s="0" t="s">
        <v>40813</v>
      </c>
      <c r="J12240" s="0" t="s">
        <v>40814</v>
      </c>
      <c r="K12240" s="0" t="s">
        <v>40815</v>
      </c>
      <c r="L12240" s="0" t="str">
        <f aca="false">HYPERLINK("https://www.ncbi.nlm.nih.gov/nuccore/CP000304.1?report=graph&amp;tracks=[key:gene_model_track,Options:GeneOnly]&amp;mk=3429341:3429360|offset_35|444444,3429315:3429334|offset_61|00cc00,3429275:3429294|offset_101|444444,3429246:3429265|offset_130|444444&amp;v=3429140:3429465&amp;c=444444", "offset 61")</f>
        <v>offset 61</v>
      </c>
    </row>
    <row r="12241" customFormat="false" ht="12.8" hidden="false" customHeight="false" outlineLevel="0" collapsed="false">
      <c r="A12241" s="0" t="s">
        <v>12</v>
      </c>
      <c r="B12241" s="0" t="n">
        <v>3429274</v>
      </c>
      <c r="C12241" s="0" t="n">
        <v>3429294</v>
      </c>
      <c r="D12241" s="0" t="s">
        <v>40809</v>
      </c>
      <c r="E12241" s="0" t="s">
        <v>89</v>
      </c>
      <c r="F12241" s="0" t="s">
        <v>90</v>
      </c>
      <c r="G12241" s="0" t="s">
        <v>16</v>
      </c>
      <c r="H12241" s="0" t="n">
        <v>101</v>
      </c>
      <c r="I12241" s="0" t="s">
        <v>40816</v>
      </c>
      <c r="J12241" s="0" t="s">
        <v>40817</v>
      </c>
      <c r="K12241" s="0" t="s">
        <v>40818</v>
      </c>
      <c r="L12241" s="0" t="str">
        <f aca="false">HYPERLINK("https://www.ncbi.nlm.nih.gov/nuccore/CP000304.1?report=graph&amp;tracks=[key:gene_model_track,Options:GeneOnly]&amp;mk=3429341:3429360|offset_35|444444,3429315:3429334|offset_61|444444,3429275:3429294|offset_101|00cc00,3429246:3429265|offset_130|444444&amp;v=3429140:3429465&amp;c=444444", "offset 101")</f>
        <v>offset 101</v>
      </c>
    </row>
    <row r="12242" customFormat="false" ht="12.8" hidden="false" customHeight="false" outlineLevel="0" collapsed="false">
      <c r="A12242" s="0" t="s">
        <v>12</v>
      </c>
      <c r="B12242" s="0" t="n">
        <v>3429245</v>
      </c>
      <c r="C12242" s="0" t="n">
        <v>3429265</v>
      </c>
      <c r="D12242" s="0" t="s">
        <v>40809</v>
      </c>
      <c r="E12242" s="0" t="s">
        <v>89</v>
      </c>
      <c r="F12242" s="0" t="s">
        <v>90</v>
      </c>
      <c r="G12242" s="0" t="s">
        <v>16</v>
      </c>
      <c r="H12242" s="0" t="n">
        <v>130</v>
      </c>
      <c r="I12242" s="0" t="s">
        <v>40819</v>
      </c>
      <c r="J12242" s="0" t="s">
        <v>40820</v>
      </c>
      <c r="K12242" s="0" t="s">
        <v>40821</v>
      </c>
      <c r="L12242" s="0" t="str">
        <f aca="false">HYPERLINK("https://www.ncbi.nlm.nih.gov/nuccore/CP000304.1?report=graph&amp;tracks=[key:gene_model_track,Options:GeneOnly]&amp;mk=3429341:3429360|offset_35|444444,3429315:3429334|offset_61|444444,3429275:3429294|offset_101|444444,3429246:3429265|offset_130|00cc00&amp;v=3429140:3429465&amp;c=444444", "offset 130")</f>
        <v>offset 130</v>
      </c>
    </row>
    <row r="12243" customFormat="false" ht="12.8" hidden="false" customHeight="false" outlineLevel="0" collapsed="false">
      <c r="A12243" s="0" t="s">
        <v>12</v>
      </c>
      <c r="B12243" s="0" t="n">
        <v>3430629</v>
      </c>
      <c r="C12243" s="0" t="n">
        <v>3430649</v>
      </c>
      <c r="D12243" s="0" t="s">
        <v>40822</v>
      </c>
      <c r="E12243" s="0" t="s">
        <v>40823</v>
      </c>
      <c r="F12243" s="0" t="s">
        <v>90</v>
      </c>
      <c r="G12243" s="0" t="s">
        <v>26</v>
      </c>
      <c r="H12243" s="0" t="n">
        <v>11</v>
      </c>
      <c r="I12243" s="0" t="s">
        <v>40824</v>
      </c>
      <c r="J12243" s="0" t="s">
        <v>40825</v>
      </c>
      <c r="K12243" s="0" t="s">
        <v>40826</v>
      </c>
      <c r="L12243" s="0" t="str">
        <f aca="false">HYPERLINK("https://www.ncbi.nlm.nih.gov/nuccore/CP000304.1?report=graph&amp;tracks=[key:gene_model_track,Options:GeneOnly]&amp;mk=3430630:3430649|offset_11|00cc00,3430604:3430623|offset_37|444444,3430574:3430593|offset_67|444444,3430547:3430566|offset_94|444444&amp;v=3430429:3430766&amp;c=444444", "offset 11")</f>
        <v>offset 11</v>
      </c>
    </row>
    <row r="12244" customFormat="false" ht="12.8" hidden="false" customHeight="false" outlineLevel="0" collapsed="false">
      <c r="A12244" s="0" t="s">
        <v>12</v>
      </c>
      <c r="B12244" s="0" t="n">
        <v>3430603</v>
      </c>
      <c r="C12244" s="0" t="n">
        <v>3430623</v>
      </c>
      <c r="D12244" s="0" t="s">
        <v>40822</v>
      </c>
      <c r="E12244" s="0" t="s">
        <v>40823</v>
      </c>
      <c r="F12244" s="0" t="s">
        <v>90</v>
      </c>
      <c r="G12244" s="0" t="s">
        <v>16</v>
      </c>
      <c r="H12244" s="0" t="n">
        <v>37</v>
      </c>
      <c r="I12244" s="0" t="s">
        <v>40827</v>
      </c>
      <c r="J12244" s="0" t="s">
        <v>40828</v>
      </c>
      <c r="K12244" s="0" t="s">
        <v>40829</v>
      </c>
      <c r="L12244" s="0" t="str">
        <f aca="false">HYPERLINK("https://www.ncbi.nlm.nih.gov/nuccore/CP000304.1?report=graph&amp;tracks=[key:gene_model_track,Options:GeneOnly]&amp;mk=3430630:3430649|offset_11|444444,3430604:3430623|offset_37|00cc00,3430574:3430593|offset_67|444444,3430547:3430566|offset_94|444444&amp;v=3430429:3430766&amp;c=444444", "offset 37")</f>
        <v>offset 37</v>
      </c>
    </row>
    <row r="12245" customFormat="false" ht="12.8" hidden="false" customHeight="false" outlineLevel="0" collapsed="false">
      <c r="A12245" s="0" t="s">
        <v>12</v>
      </c>
      <c r="B12245" s="0" t="n">
        <v>3430573</v>
      </c>
      <c r="C12245" s="0" t="n">
        <v>3430593</v>
      </c>
      <c r="D12245" s="0" t="s">
        <v>40822</v>
      </c>
      <c r="E12245" s="0" t="s">
        <v>40823</v>
      </c>
      <c r="F12245" s="0" t="s">
        <v>90</v>
      </c>
      <c r="G12245" s="0" t="s">
        <v>26</v>
      </c>
      <c r="H12245" s="0" t="n">
        <v>67</v>
      </c>
      <c r="I12245" s="0" t="s">
        <v>40830</v>
      </c>
      <c r="J12245" s="0" t="s">
        <v>40831</v>
      </c>
      <c r="K12245" s="0" t="s">
        <v>40832</v>
      </c>
      <c r="L12245" s="0" t="str">
        <f aca="false">HYPERLINK("https://www.ncbi.nlm.nih.gov/nuccore/CP000304.1?report=graph&amp;tracks=[key:gene_model_track,Options:GeneOnly]&amp;mk=3430630:3430649|offset_11|444444,3430604:3430623|offset_37|444444,3430574:3430593|offset_67|00cc00,3430547:3430566|offset_94|444444&amp;v=3430429:3430766&amp;c=444444", "offset 67")</f>
        <v>offset 67</v>
      </c>
    </row>
    <row r="12246" customFormat="false" ht="12.8" hidden="false" customHeight="false" outlineLevel="0" collapsed="false">
      <c r="A12246" s="0" t="s">
        <v>12</v>
      </c>
      <c r="B12246" s="0" t="n">
        <v>3430546</v>
      </c>
      <c r="C12246" s="0" t="n">
        <v>3430566</v>
      </c>
      <c r="D12246" s="0" t="s">
        <v>40822</v>
      </c>
      <c r="E12246" s="0" t="s">
        <v>40823</v>
      </c>
      <c r="F12246" s="0" t="s">
        <v>90</v>
      </c>
      <c r="G12246" s="0" t="s">
        <v>26</v>
      </c>
      <c r="H12246" s="0" t="n">
        <v>94</v>
      </c>
      <c r="I12246" s="0" t="s">
        <v>40833</v>
      </c>
      <c r="J12246" s="0" t="s">
        <v>40834</v>
      </c>
      <c r="K12246" s="0" t="s">
        <v>40835</v>
      </c>
      <c r="L12246" s="0" t="str">
        <f aca="false">HYPERLINK("https://www.ncbi.nlm.nih.gov/nuccore/CP000304.1?report=graph&amp;tracks=[key:gene_model_track,Options:GeneOnly]&amp;mk=3430630:3430649|offset_11|444444,3430604:3430623|offset_37|444444,3430574:3430593|offset_67|444444,3430547:3430566|offset_94|00cc00&amp;v=3430429:3430766&amp;c=444444", "offset 94")</f>
        <v>offset 94</v>
      </c>
    </row>
    <row r="12247" customFormat="false" ht="12.8" hidden="false" customHeight="false" outlineLevel="0" collapsed="false">
      <c r="A12247" s="0" t="s">
        <v>12</v>
      </c>
      <c r="B12247" s="0" t="n">
        <v>3430805</v>
      </c>
      <c r="C12247" s="0" t="n">
        <v>3430825</v>
      </c>
      <c r="D12247" s="0" t="s">
        <v>40836</v>
      </c>
      <c r="E12247" s="0" t="s">
        <v>89</v>
      </c>
      <c r="F12247" s="0" t="s">
        <v>15</v>
      </c>
      <c r="G12247" s="0" t="s">
        <v>36</v>
      </c>
      <c r="H12247" s="0" t="n">
        <v>6</v>
      </c>
      <c r="I12247" s="0" t="s">
        <v>40837</v>
      </c>
      <c r="J12247" s="0" t="s">
        <v>40838</v>
      </c>
      <c r="K12247" s="0" t="s">
        <v>40839</v>
      </c>
      <c r="L12247" s="0" t="str">
        <f aca="false">HYPERLINK("https://www.ncbi.nlm.nih.gov/nuccore/CP000304.1?report=graph&amp;tracks=[key:gene_model_track,Options:GeneOnly]&amp;mk=3430806:3430825|offset_6|00cc00,3430828:3430847|offset_28|444444,3430855:3430874|offset_55|444444,3430882:3430901|offset_82|444444&amp;v=3430605:3431101&amp;c=444444", "offset 6")</f>
        <v>offset 6</v>
      </c>
    </row>
    <row r="12248" customFormat="false" ht="12.8" hidden="false" customHeight="false" outlineLevel="0" collapsed="false">
      <c r="A12248" s="0" t="s">
        <v>12</v>
      </c>
      <c r="B12248" s="0" t="n">
        <v>3430827</v>
      </c>
      <c r="C12248" s="0" t="n">
        <v>3430847</v>
      </c>
      <c r="D12248" s="0" t="s">
        <v>40836</v>
      </c>
      <c r="E12248" s="0" t="s">
        <v>89</v>
      </c>
      <c r="F12248" s="0" t="s">
        <v>15</v>
      </c>
      <c r="G12248" s="0" t="s">
        <v>16</v>
      </c>
      <c r="H12248" s="0" t="n">
        <v>28</v>
      </c>
      <c r="I12248" s="0" t="s">
        <v>40840</v>
      </c>
      <c r="J12248" s="0" t="s">
        <v>40841</v>
      </c>
      <c r="K12248" s="0" t="s">
        <v>40842</v>
      </c>
      <c r="L12248" s="0" t="str">
        <f aca="false">HYPERLINK("https://www.ncbi.nlm.nih.gov/nuccore/CP000304.1?report=graph&amp;tracks=[key:gene_model_track,Options:GeneOnly]&amp;mk=3430806:3430825|offset_6|444444,3430828:3430847|offset_28|00cc00,3430855:3430874|offset_55|444444,3430882:3430901|offset_82|444444&amp;v=3430605:3431101&amp;c=444444", "offset 28")</f>
        <v>offset 28</v>
      </c>
    </row>
    <row r="12249" customFormat="false" ht="12.8" hidden="false" customHeight="false" outlineLevel="0" collapsed="false">
      <c r="A12249" s="0" t="s">
        <v>12</v>
      </c>
      <c r="B12249" s="0" t="n">
        <v>3430854</v>
      </c>
      <c r="C12249" s="0" t="n">
        <v>3430874</v>
      </c>
      <c r="D12249" s="0" t="s">
        <v>40836</v>
      </c>
      <c r="E12249" s="0" t="s">
        <v>89</v>
      </c>
      <c r="F12249" s="0" t="s">
        <v>15</v>
      </c>
      <c r="G12249" s="0" t="s">
        <v>36</v>
      </c>
      <c r="H12249" s="0" t="n">
        <v>55</v>
      </c>
      <c r="I12249" s="0" t="s">
        <v>40843</v>
      </c>
      <c r="J12249" s="0" t="s">
        <v>40844</v>
      </c>
      <c r="K12249" s="0" t="s">
        <v>40845</v>
      </c>
      <c r="L12249" s="0" t="str">
        <f aca="false">HYPERLINK("https://www.ncbi.nlm.nih.gov/nuccore/CP000304.1?report=graph&amp;tracks=[key:gene_model_track,Options:GeneOnly]&amp;mk=3430806:3430825|offset_6|444444,3430828:3430847|offset_28|444444,3430855:3430874|offset_55|00cc00,3430882:3430901|offset_82|444444&amp;v=3430605:3431101&amp;c=444444", "offset 55")</f>
        <v>offset 55</v>
      </c>
    </row>
    <row r="12250" customFormat="false" ht="12.8" hidden="false" customHeight="false" outlineLevel="0" collapsed="false">
      <c r="A12250" s="0" t="s">
        <v>12</v>
      </c>
      <c r="B12250" s="0" t="n">
        <v>3430881</v>
      </c>
      <c r="C12250" s="0" t="n">
        <v>3430901</v>
      </c>
      <c r="D12250" s="0" t="s">
        <v>40836</v>
      </c>
      <c r="E12250" s="0" t="s">
        <v>89</v>
      </c>
      <c r="F12250" s="0" t="s">
        <v>15</v>
      </c>
      <c r="G12250" s="0" t="s">
        <v>16</v>
      </c>
      <c r="H12250" s="0" t="n">
        <v>82</v>
      </c>
      <c r="I12250" s="0" t="s">
        <v>40846</v>
      </c>
      <c r="J12250" s="0" t="s">
        <v>40847</v>
      </c>
      <c r="K12250" s="0" t="s">
        <v>40848</v>
      </c>
      <c r="L12250" s="0" t="str">
        <f aca="false">HYPERLINK("https://www.ncbi.nlm.nih.gov/nuccore/CP000304.1?report=graph&amp;tracks=[key:gene_model_track,Options:GeneOnly]&amp;mk=3430806:3430825|offset_6|444444,3430828:3430847|offset_28|444444,3430855:3430874|offset_55|444444,3430882:3430901|offset_82|00cc00&amp;v=3430605:3431101&amp;c=444444", "offset 82")</f>
        <v>offset 82</v>
      </c>
    </row>
    <row r="12251" customFormat="false" ht="12.8" hidden="false" customHeight="false" outlineLevel="0" collapsed="false">
      <c r="A12251" s="0" t="s">
        <v>12</v>
      </c>
      <c r="B12251" s="0" t="n">
        <v>3432587</v>
      </c>
      <c r="C12251" s="0" t="n">
        <v>3432607</v>
      </c>
      <c r="D12251" s="0" t="s">
        <v>40849</v>
      </c>
      <c r="E12251" s="0" t="s">
        <v>40850</v>
      </c>
      <c r="F12251" s="0" t="s">
        <v>15</v>
      </c>
      <c r="G12251" s="0" t="s">
        <v>36</v>
      </c>
      <c r="H12251" s="0" t="n">
        <v>0</v>
      </c>
      <c r="I12251" s="0" t="s">
        <v>40851</v>
      </c>
      <c r="J12251" s="0" t="s">
        <v>40852</v>
      </c>
      <c r="K12251" s="0" t="s">
        <v>40853</v>
      </c>
      <c r="L12251" s="0" t="str">
        <f aca="false">HYPERLINK("https://www.ncbi.nlm.nih.gov/nuccore/CP000304.1?report=graph&amp;tracks=[key:gene_model_track,Options:GeneOnly]&amp;mk=3432588:3432607|offset_0|00cc00,3432608:3432627|offset_20|444444,3432628:3432647|offset_40|444444,3432649:3432668|offset_61|444444&amp;v=3432387:3432868&amp;c=444444", "offset 0")</f>
        <v>offset 0</v>
      </c>
    </row>
    <row r="12252" customFormat="false" ht="12.8" hidden="false" customHeight="false" outlineLevel="0" collapsed="false">
      <c r="A12252" s="0" t="s">
        <v>12</v>
      </c>
      <c r="B12252" s="0" t="n">
        <v>3432607</v>
      </c>
      <c r="C12252" s="0" t="n">
        <v>3432627</v>
      </c>
      <c r="D12252" s="0" t="s">
        <v>40849</v>
      </c>
      <c r="E12252" s="0" t="s">
        <v>40850</v>
      </c>
      <c r="F12252" s="0" t="s">
        <v>15</v>
      </c>
      <c r="G12252" s="0" t="s">
        <v>26</v>
      </c>
      <c r="H12252" s="0" t="n">
        <v>20</v>
      </c>
      <c r="I12252" s="0" t="s">
        <v>40854</v>
      </c>
      <c r="J12252" s="0" t="s">
        <v>40855</v>
      </c>
      <c r="K12252" s="0" t="s">
        <v>40856</v>
      </c>
      <c r="L12252" s="0" t="str">
        <f aca="false">HYPERLINK("https://www.ncbi.nlm.nih.gov/nuccore/CP000304.1?report=graph&amp;tracks=[key:gene_model_track,Options:GeneOnly]&amp;mk=3432588:3432607|offset_0|444444,3432608:3432627|offset_20|00cc00,3432628:3432647|offset_40|444444,3432649:3432668|offset_61|444444&amp;v=3432387:3432868&amp;c=444444", "offset 20")</f>
        <v>offset 20</v>
      </c>
    </row>
    <row r="12253" customFormat="false" ht="12.8" hidden="false" customHeight="false" outlineLevel="0" collapsed="false">
      <c r="A12253" s="0" t="s">
        <v>12</v>
      </c>
      <c r="B12253" s="0" t="n">
        <v>3432627</v>
      </c>
      <c r="C12253" s="0" t="n">
        <v>3432647</v>
      </c>
      <c r="D12253" s="0" t="s">
        <v>40849</v>
      </c>
      <c r="E12253" s="0" t="s">
        <v>40850</v>
      </c>
      <c r="F12253" s="0" t="s">
        <v>15</v>
      </c>
      <c r="G12253" s="0" t="s">
        <v>36</v>
      </c>
      <c r="H12253" s="0" t="n">
        <v>40</v>
      </c>
      <c r="I12253" s="0" t="s">
        <v>40857</v>
      </c>
      <c r="J12253" s="0" t="s">
        <v>40858</v>
      </c>
      <c r="K12253" s="0" t="s">
        <v>40859</v>
      </c>
      <c r="L12253" s="0" t="str">
        <f aca="false">HYPERLINK("https://www.ncbi.nlm.nih.gov/nuccore/CP000304.1?report=graph&amp;tracks=[key:gene_model_track,Options:GeneOnly]&amp;mk=3432588:3432607|offset_0|444444,3432608:3432627|offset_20|444444,3432628:3432647|offset_40|00cc00,3432649:3432668|offset_61|444444&amp;v=3432387:3432868&amp;c=444444", "offset 40")</f>
        <v>offset 40</v>
      </c>
    </row>
    <row r="12254" customFormat="false" ht="12.8" hidden="false" customHeight="false" outlineLevel="0" collapsed="false">
      <c r="A12254" s="0" t="s">
        <v>12</v>
      </c>
      <c r="B12254" s="0" t="n">
        <v>3432648</v>
      </c>
      <c r="C12254" s="0" t="n">
        <v>3432668</v>
      </c>
      <c r="D12254" s="0" t="s">
        <v>40849</v>
      </c>
      <c r="E12254" s="0" t="s">
        <v>40850</v>
      </c>
      <c r="F12254" s="0" t="s">
        <v>15</v>
      </c>
      <c r="G12254" s="0" t="s">
        <v>16</v>
      </c>
      <c r="H12254" s="0" t="n">
        <v>61</v>
      </c>
      <c r="I12254" s="0" t="s">
        <v>40860</v>
      </c>
      <c r="J12254" s="0" t="s">
        <v>40861</v>
      </c>
      <c r="K12254" s="0" t="s">
        <v>40862</v>
      </c>
      <c r="L12254" s="0" t="str">
        <f aca="false">HYPERLINK("https://www.ncbi.nlm.nih.gov/nuccore/CP000304.1?report=graph&amp;tracks=[key:gene_model_track,Options:GeneOnly]&amp;mk=3432588:3432607|offset_0|444444,3432608:3432627|offset_20|444444,3432628:3432647|offset_40|444444,3432649:3432668|offset_61|00cc00&amp;v=3432387:3432868&amp;c=444444", "offset 61")</f>
        <v>offset 61</v>
      </c>
    </row>
    <row r="12255" customFormat="false" ht="12.8" hidden="false" customHeight="false" outlineLevel="0" collapsed="false">
      <c r="A12255" s="0" t="s">
        <v>12</v>
      </c>
      <c r="B12255" s="0" t="n">
        <v>3433223</v>
      </c>
      <c r="C12255" s="0" t="n">
        <v>3433243</v>
      </c>
      <c r="D12255" s="0" t="s">
        <v>40863</v>
      </c>
      <c r="E12255" s="0" t="s">
        <v>40864</v>
      </c>
      <c r="F12255" s="0" t="s">
        <v>15</v>
      </c>
      <c r="G12255" s="0" t="s">
        <v>32</v>
      </c>
      <c r="H12255" s="0" t="n">
        <v>15</v>
      </c>
      <c r="I12255" s="0" t="s">
        <v>40865</v>
      </c>
      <c r="J12255" s="0" t="s">
        <v>40866</v>
      </c>
      <c r="K12255" s="0" t="s">
        <v>40867</v>
      </c>
      <c r="L12255" s="0" t="str">
        <f aca="false">HYPERLINK("https://www.ncbi.nlm.nih.gov/nuccore/CP000304.1?report=graph&amp;tracks=[key:gene_model_track,Options:GeneOnly]&amp;mk=3433224:3433243|offset_15|00cc00,3433268:3433287|offset_59|444444,3433304:3433323|offset_95|444444,3433340:3433359|offset_131|444444&amp;v=3433023:3433559&amp;c=444444", "offset 15")</f>
        <v>offset 15</v>
      </c>
    </row>
    <row r="12256" customFormat="false" ht="12.8" hidden="false" customHeight="false" outlineLevel="0" collapsed="false">
      <c r="A12256" s="0" t="s">
        <v>12</v>
      </c>
      <c r="B12256" s="0" t="n">
        <v>3433267</v>
      </c>
      <c r="C12256" s="0" t="n">
        <v>3433287</v>
      </c>
      <c r="D12256" s="0" t="s">
        <v>40863</v>
      </c>
      <c r="E12256" s="0" t="s">
        <v>40864</v>
      </c>
      <c r="F12256" s="0" t="s">
        <v>15</v>
      </c>
      <c r="G12256" s="0" t="s">
        <v>16</v>
      </c>
      <c r="H12256" s="0" t="n">
        <v>59</v>
      </c>
      <c r="I12256" s="0" t="s">
        <v>40868</v>
      </c>
      <c r="J12256" s="0" t="s">
        <v>40869</v>
      </c>
      <c r="K12256" s="0" t="s">
        <v>40870</v>
      </c>
      <c r="L12256" s="0" t="str">
        <f aca="false">HYPERLINK("https://www.ncbi.nlm.nih.gov/nuccore/CP000304.1?report=graph&amp;tracks=[key:gene_model_track,Options:GeneOnly]&amp;mk=3433224:3433243|offset_15|444444,3433268:3433287|offset_59|00cc00,3433304:3433323|offset_95|444444,3433340:3433359|offset_131|444444&amp;v=3433023:3433559&amp;c=444444", "offset 59")</f>
        <v>offset 59</v>
      </c>
    </row>
    <row r="12257" customFormat="false" ht="12.8" hidden="false" customHeight="false" outlineLevel="0" collapsed="false">
      <c r="A12257" s="0" t="s">
        <v>12</v>
      </c>
      <c r="B12257" s="0" t="n">
        <v>3433303</v>
      </c>
      <c r="C12257" s="0" t="n">
        <v>3433323</v>
      </c>
      <c r="D12257" s="0" t="s">
        <v>40863</v>
      </c>
      <c r="E12257" s="0" t="s">
        <v>40864</v>
      </c>
      <c r="F12257" s="0" t="s">
        <v>15</v>
      </c>
      <c r="G12257" s="0" t="s">
        <v>32</v>
      </c>
      <c r="H12257" s="0" t="n">
        <v>95</v>
      </c>
      <c r="I12257" s="0" t="s">
        <v>40871</v>
      </c>
      <c r="J12257" s="0" t="s">
        <v>40872</v>
      </c>
      <c r="K12257" s="0" t="s">
        <v>40873</v>
      </c>
      <c r="L12257" s="0" t="str">
        <f aca="false">HYPERLINK("https://www.ncbi.nlm.nih.gov/nuccore/CP000304.1?report=graph&amp;tracks=[key:gene_model_track,Options:GeneOnly]&amp;mk=3433224:3433243|offset_15|444444,3433268:3433287|offset_59|444444,3433304:3433323|offset_95|00cc00,3433340:3433359|offset_131|444444&amp;v=3433023:3433559&amp;c=444444", "offset 95")</f>
        <v>offset 95</v>
      </c>
    </row>
    <row r="12258" customFormat="false" ht="12.8" hidden="false" customHeight="false" outlineLevel="0" collapsed="false">
      <c r="A12258" s="0" t="s">
        <v>12</v>
      </c>
      <c r="B12258" s="0" t="n">
        <v>3433339</v>
      </c>
      <c r="C12258" s="0" t="n">
        <v>3433359</v>
      </c>
      <c r="D12258" s="0" t="s">
        <v>40863</v>
      </c>
      <c r="E12258" s="0" t="s">
        <v>40864</v>
      </c>
      <c r="F12258" s="0" t="s">
        <v>15</v>
      </c>
      <c r="G12258" s="0" t="s">
        <v>36</v>
      </c>
      <c r="H12258" s="0" t="n">
        <v>131</v>
      </c>
      <c r="I12258" s="0" t="s">
        <v>40874</v>
      </c>
      <c r="J12258" s="0" t="s">
        <v>40875</v>
      </c>
      <c r="K12258" s="0" t="s">
        <v>40876</v>
      </c>
      <c r="L12258" s="0" t="str">
        <f aca="false">HYPERLINK("https://www.ncbi.nlm.nih.gov/nuccore/CP000304.1?report=graph&amp;tracks=[key:gene_model_track,Options:GeneOnly]&amp;mk=3433224:3433243|offset_15|444444,3433268:3433287|offset_59|444444,3433304:3433323|offset_95|444444,3433340:3433359|offset_131|00cc00&amp;v=3433023:3433559&amp;c=444444", "offset 131")</f>
        <v>offset 131</v>
      </c>
    </row>
    <row r="12259" customFormat="false" ht="12.8" hidden="false" customHeight="false" outlineLevel="0" collapsed="false">
      <c r="A12259" s="0" t="s">
        <v>12</v>
      </c>
      <c r="B12259" s="0" t="n">
        <v>3434402</v>
      </c>
      <c r="C12259" s="0" t="n">
        <v>3434422</v>
      </c>
      <c r="D12259" s="0" t="s">
        <v>40877</v>
      </c>
      <c r="E12259" s="0" t="s">
        <v>40878</v>
      </c>
      <c r="F12259" s="0" t="s">
        <v>15</v>
      </c>
      <c r="G12259" s="0" t="s">
        <v>32</v>
      </c>
      <c r="H12259" s="0" t="n">
        <v>22</v>
      </c>
      <c r="I12259" s="0" t="s">
        <v>40879</v>
      </c>
      <c r="J12259" s="0" t="s">
        <v>40880</v>
      </c>
      <c r="K12259" s="0" t="s">
        <v>40881</v>
      </c>
      <c r="L12259" s="0" t="str">
        <f aca="false">HYPERLINK("https://www.ncbi.nlm.nih.gov/nuccore/CP000304.1?report=graph&amp;tracks=[key:gene_model_track,Options:GeneOnly]&amp;mk=3434403:3434422|offset_22|00cc00,3434446:3434465|offset_65|444444,3434478:3434497|offset_97|444444,3434543:3434562|offset_162|444444&amp;v=3434202:3434762&amp;c=444444", "offset 22")</f>
        <v>offset 22</v>
      </c>
    </row>
    <row r="12260" customFormat="false" ht="12.8" hidden="false" customHeight="false" outlineLevel="0" collapsed="false">
      <c r="A12260" s="0" t="s">
        <v>12</v>
      </c>
      <c r="B12260" s="0" t="n">
        <v>3434445</v>
      </c>
      <c r="C12260" s="0" t="n">
        <v>3434465</v>
      </c>
      <c r="D12260" s="0" t="s">
        <v>40877</v>
      </c>
      <c r="E12260" s="0" t="s">
        <v>40878</v>
      </c>
      <c r="F12260" s="0" t="s">
        <v>15</v>
      </c>
      <c r="G12260" s="0" t="s">
        <v>36</v>
      </c>
      <c r="H12260" s="0" t="n">
        <v>65</v>
      </c>
      <c r="I12260" s="0" t="s">
        <v>40882</v>
      </c>
      <c r="J12260" s="0" t="s">
        <v>40883</v>
      </c>
      <c r="K12260" s="0" t="s">
        <v>40884</v>
      </c>
      <c r="L12260" s="0" t="str">
        <f aca="false">HYPERLINK("https://www.ncbi.nlm.nih.gov/nuccore/CP000304.1?report=graph&amp;tracks=[key:gene_model_track,Options:GeneOnly]&amp;mk=3434403:3434422|offset_22|444444,3434446:3434465|offset_65|00cc00,3434478:3434497|offset_97|444444,3434543:3434562|offset_162|444444&amp;v=3434202:3434762&amp;c=444444", "offset 65")</f>
        <v>offset 65</v>
      </c>
    </row>
    <row r="12261" customFormat="false" ht="12.8" hidden="false" customHeight="false" outlineLevel="0" collapsed="false">
      <c r="A12261" s="0" t="s">
        <v>12</v>
      </c>
      <c r="B12261" s="0" t="n">
        <v>3434477</v>
      </c>
      <c r="C12261" s="0" t="n">
        <v>3434497</v>
      </c>
      <c r="D12261" s="0" t="s">
        <v>40877</v>
      </c>
      <c r="E12261" s="0" t="s">
        <v>40878</v>
      </c>
      <c r="F12261" s="0" t="s">
        <v>15</v>
      </c>
      <c r="G12261" s="0" t="s">
        <v>16</v>
      </c>
      <c r="H12261" s="0" t="n">
        <v>97</v>
      </c>
      <c r="I12261" s="0" t="s">
        <v>40885</v>
      </c>
      <c r="J12261" s="0" t="s">
        <v>40886</v>
      </c>
      <c r="K12261" s="0" t="s">
        <v>40887</v>
      </c>
      <c r="L12261" s="0" t="str">
        <f aca="false">HYPERLINK("https://www.ncbi.nlm.nih.gov/nuccore/CP000304.1?report=graph&amp;tracks=[key:gene_model_track,Options:GeneOnly]&amp;mk=3434403:3434422|offset_22|444444,3434446:3434465|offset_65|444444,3434478:3434497|offset_97|00cc00,3434543:3434562|offset_162|444444&amp;v=3434202:3434762&amp;c=444444", "offset 97")</f>
        <v>offset 97</v>
      </c>
    </row>
    <row r="12262" customFormat="false" ht="12.8" hidden="false" customHeight="false" outlineLevel="0" collapsed="false">
      <c r="A12262" s="0" t="s">
        <v>12</v>
      </c>
      <c r="B12262" s="0" t="n">
        <v>3434542</v>
      </c>
      <c r="C12262" s="0" t="n">
        <v>3434562</v>
      </c>
      <c r="D12262" s="0" t="s">
        <v>40877</v>
      </c>
      <c r="E12262" s="0" t="s">
        <v>40878</v>
      </c>
      <c r="F12262" s="0" t="s">
        <v>15</v>
      </c>
      <c r="G12262" s="0" t="s">
        <v>16</v>
      </c>
      <c r="H12262" s="0" t="n">
        <v>162</v>
      </c>
      <c r="I12262" s="0" t="s">
        <v>40888</v>
      </c>
      <c r="J12262" s="0" t="s">
        <v>40889</v>
      </c>
      <c r="K12262" s="0" t="s">
        <v>40890</v>
      </c>
      <c r="L12262" s="0" t="str">
        <f aca="false">HYPERLINK("https://www.ncbi.nlm.nih.gov/nuccore/CP000304.1?report=graph&amp;tracks=[key:gene_model_track,Options:GeneOnly]&amp;mk=3434403:3434422|offset_22|444444,3434446:3434465|offset_65|444444,3434478:3434497|offset_97|444444,3434543:3434562|offset_162|00cc00&amp;v=3434202:3434762&amp;c=444444", "offset 162")</f>
        <v>offset 162</v>
      </c>
    </row>
    <row r="12263" customFormat="false" ht="12.8" hidden="false" customHeight="false" outlineLevel="0" collapsed="false">
      <c r="A12263" s="0" t="s">
        <v>12</v>
      </c>
      <c r="B12263" s="0" t="n">
        <v>3435430</v>
      </c>
      <c r="C12263" s="0" t="n">
        <v>3435450</v>
      </c>
      <c r="D12263" s="0" t="s">
        <v>40891</v>
      </c>
      <c r="E12263" s="0" t="s">
        <v>89</v>
      </c>
      <c r="F12263" s="0" t="s">
        <v>15</v>
      </c>
      <c r="G12263" s="0" t="s">
        <v>32</v>
      </c>
      <c r="H12263" s="0" t="n">
        <v>1</v>
      </c>
      <c r="I12263" s="0" t="s">
        <v>40892</v>
      </c>
      <c r="J12263" s="0" t="s">
        <v>40893</v>
      </c>
      <c r="K12263" s="0" t="s">
        <v>40894</v>
      </c>
      <c r="L12263" s="0" t="str">
        <f aca="false">HYPERLINK("https://www.ncbi.nlm.nih.gov/nuccore/CP000304.1?report=graph&amp;tracks=[key:gene_model_track,Options:GeneOnly]&amp;mk=3435431:3435450|offset_1|00cc00,3435455:3435474|offset_25|444444,3435489:3435508|offset_59|444444,3435509:3435528|offset_79|444444&amp;v=3435230:3435728&amp;c=444444", "offset 1")</f>
        <v>offset 1</v>
      </c>
    </row>
    <row r="12264" customFormat="false" ht="12.8" hidden="false" customHeight="false" outlineLevel="0" collapsed="false">
      <c r="A12264" s="0" t="s">
        <v>12</v>
      </c>
      <c r="B12264" s="0" t="n">
        <v>3435454</v>
      </c>
      <c r="C12264" s="0" t="n">
        <v>3435474</v>
      </c>
      <c r="D12264" s="0" t="s">
        <v>40891</v>
      </c>
      <c r="E12264" s="0" t="s">
        <v>89</v>
      </c>
      <c r="F12264" s="0" t="s">
        <v>15</v>
      </c>
      <c r="G12264" s="0" t="s">
        <v>36</v>
      </c>
      <c r="H12264" s="0" t="n">
        <v>25</v>
      </c>
      <c r="I12264" s="0" t="s">
        <v>40895</v>
      </c>
      <c r="J12264" s="0" t="s">
        <v>40896</v>
      </c>
      <c r="K12264" s="0" t="s">
        <v>40897</v>
      </c>
      <c r="L12264" s="0" t="str">
        <f aca="false">HYPERLINK("https://www.ncbi.nlm.nih.gov/nuccore/CP000304.1?report=graph&amp;tracks=[key:gene_model_track,Options:GeneOnly]&amp;mk=3435431:3435450|offset_1|444444,3435455:3435474|offset_25|00cc00,3435489:3435508|offset_59|444444,3435509:3435528|offset_79|444444&amp;v=3435230:3435728&amp;c=444444", "offset 25")</f>
        <v>offset 25</v>
      </c>
    </row>
    <row r="12265" customFormat="false" ht="12.8" hidden="false" customHeight="false" outlineLevel="0" collapsed="false">
      <c r="A12265" s="0" t="s">
        <v>12</v>
      </c>
      <c r="B12265" s="0" t="n">
        <v>3435488</v>
      </c>
      <c r="C12265" s="0" t="n">
        <v>3435508</v>
      </c>
      <c r="D12265" s="0" t="s">
        <v>40891</v>
      </c>
      <c r="E12265" s="0" t="s">
        <v>89</v>
      </c>
      <c r="F12265" s="0" t="s">
        <v>15</v>
      </c>
      <c r="G12265" s="0" t="s">
        <v>16</v>
      </c>
      <c r="H12265" s="0" t="n">
        <v>59</v>
      </c>
      <c r="I12265" s="0" t="s">
        <v>40898</v>
      </c>
      <c r="J12265" s="0" t="s">
        <v>40899</v>
      </c>
      <c r="K12265" s="0" t="s">
        <v>40900</v>
      </c>
      <c r="L12265" s="0" t="str">
        <f aca="false">HYPERLINK("https://www.ncbi.nlm.nih.gov/nuccore/CP000304.1?report=graph&amp;tracks=[key:gene_model_track,Options:GeneOnly]&amp;mk=3435431:3435450|offset_1|444444,3435455:3435474|offset_25|444444,3435489:3435508|offset_59|00cc00,3435509:3435528|offset_79|444444&amp;v=3435230:3435728&amp;c=444444", "offset 59")</f>
        <v>offset 59</v>
      </c>
    </row>
    <row r="12266" customFormat="false" ht="12.8" hidden="false" customHeight="false" outlineLevel="0" collapsed="false">
      <c r="A12266" s="0" t="s">
        <v>12</v>
      </c>
      <c r="B12266" s="0" t="n">
        <v>3435508</v>
      </c>
      <c r="C12266" s="0" t="n">
        <v>3435528</v>
      </c>
      <c r="D12266" s="0" t="s">
        <v>40891</v>
      </c>
      <c r="E12266" s="0" t="s">
        <v>89</v>
      </c>
      <c r="F12266" s="0" t="s">
        <v>15</v>
      </c>
      <c r="G12266" s="0" t="s">
        <v>16</v>
      </c>
      <c r="H12266" s="0" t="n">
        <v>79</v>
      </c>
      <c r="I12266" s="0" t="s">
        <v>40901</v>
      </c>
      <c r="J12266" s="0" t="s">
        <v>40902</v>
      </c>
      <c r="K12266" s="0" t="s">
        <v>40903</v>
      </c>
      <c r="L12266" s="0" t="str">
        <f aca="false">HYPERLINK("https://www.ncbi.nlm.nih.gov/nuccore/CP000304.1?report=graph&amp;tracks=[key:gene_model_track,Options:GeneOnly]&amp;mk=3435431:3435450|offset_1|444444,3435455:3435474|offset_25|444444,3435489:3435508|offset_59|444444,3435509:3435528|offset_79|00cc00&amp;v=3435230:3435728&amp;c=444444", "offset 79")</f>
        <v>offset 79</v>
      </c>
    </row>
    <row r="12267" customFormat="false" ht="12.8" hidden="false" customHeight="false" outlineLevel="0" collapsed="false">
      <c r="A12267" s="0" t="s">
        <v>12</v>
      </c>
      <c r="B12267" s="0" t="n">
        <v>3436292</v>
      </c>
      <c r="C12267" s="0" t="n">
        <v>3436312</v>
      </c>
      <c r="D12267" s="0" t="s">
        <v>40904</v>
      </c>
      <c r="E12267" s="0" t="s">
        <v>40905</v>
      </c>
      <c r="F12267" s="0" t="s">
        <v>15</v>
      </c>
      <c r="G12267" s="0" t="s">
        <v>16</v>
      </c>
      <c r="H12267" s="0" t="n">
        <v>8</v>
      </c>
      <c r="I12267" s="0" t="s">
        <v>40906</v>
      </c>
      <c r="J12267" s="0" t="s">
        <v>40907</v>
      </c>
      <c r="K12267" s="0" t="s">
        <v>40908</v>
      </c>
      <c r="L12267" s="0" t="str">
        <f aca="false">HYPERLINK("https://www.ncbi.nlm.nih.gov/nuccore/CP000304.1?report=graph&amp;tracks=[key:gene_model_track,Options:GeneOnly]&amp;mk=3436293:3436312|offset_8|00cc00,3436332:3436351|offset_47|444444,3436353:3436372|offset_68|444444,3436381:3436400|offset_96|444444&amp;v=3436092:3436600&amp;c=444444", "offset 8")</f>
        <v>offset 8</v>
      </c>
    </row>
    <row r="12268" customFormat="false" ht="12.8" hidden="false" customHeight="false" outlineLevel="0" collapsed="false">
      <c r="A12268" s="0" t="s">
        <v>12</v>
      </c>
      <c r="B12268" s="0" t="n">
        <v>3436331</v>
      </c>
      <c r="C12268" s="0" t="n">
        <v>3436351</v>
      </c>
      <c r="D12268" s="0" t="s">
        <v>40904</v>
      </c>
      <c r="E12268" s="0" t="s">
        <v>40905</v>
      </c>
      <c r="F12268" s="0" t="s">
        <v>15</v>
      </c>
      <c r="G12268" s="0" t="s">
        <v>16</v>
      </c>
      <c r="H12268" s="0" t="n">
        <v>47</v>
      </c>
      <c r="I12268" s="0" t="s">
        <v>40909</v>
      </c>
      <c r="J12268" s="0" t="s">
        <v>40910</v>
      </c>
      <c r="K12268" s="0" t="s">
        <v>40911</v>
      </c>
      <c r="L12268" s="0" t="str">
        <f aca="false">HYPERLINK("https://www.ncbi.nlm.nih.gov/nuccore/CP000304.1?report=graph&amp;tracks=[key:gene_model_track,Options:GeneOnly]&amp;mk=3436293:3436312|offset_8|444444,3436332:3436351|offset_47|00cc00,3436353:3436372|offset_68|444444,3436381:3436400|offset_96|444444&amp;v=3436092:3436600&amp;c=444444", "offset 47")</f>
        <v>offset 47</v>
      </c>
    </row>
    <row r="12269" customFormat="false" ht="12.8" hidden="false" customHeight="false" outlineLevel="0" collapsed="false">
      <c r="A12269" s="0" t="s">
        <v>12</v>
      </c>
      <c r="B12269" s="0" t="n">
        <v>3436352</v>
      </c>
      <c r="C12269" s="0" t="n">
        <v>3436372</v>
      </c>
      <c r="D12269" s="0" t="s">
        <v>40904</v>
      </c>
      <c r="E12269" s="0" t="s">
        <v>40905</v>
      </c>
      <c r="F12269" s="0" t="s">
        <v>15</v>
      </c>
      <c r="G12269" s="0" t="s">
        <v>26</v>
      </c>
      <c r="H12269" s="0" t="n">
        <v>68</v>
      </c>
      <c r="I12269" s="0" t="s">
        <v>40912</v>
      </c>
      <c r="J12269" s="0" t="s">
        <v>40913</v>
      </c>
      <c r="K12269" s="0" t="s">
        <v>40914</v>
      </c>
      <c r="L12269" s="0" t="str">
        <f aca="false">HYPERLINK("https://www.ncbi.nlm.nih.gov/nuccore/CP000304.1?report=graph&amp;tracks=[key:gene_model_track,Options:GeneOnly]&amp;mk=3436293:3436312|offset_8|444444,3436332:3436351|offset_47|444444,3436353:3436372|offset_68|00cc00,3436381:3436400|offset_96|444444&amp;v=3436092:3436600&amp;c=444444", "offset 68")</f>
        <v>offset 68</v>
      </c>
    </row>
    <row r="12270" customFormat="false" ht="12.8" hidden="false" customHeight="false" outlineLevel="0" collapsed="false">
      <c r="A12270" s="0" t="s">
        <v>12</v>
      </c>
      <c r="B12270" s="0" t="n">
        <v>3436380</v>
      </c>
      <c r="C12270" s="0" t="n">
        <v>3436400</v>
      </c>
      <c r="D12270" s="0" t="s">
        <v>40904</v>
      </c>
      <c r="E12270" s="0" t="s">
        <v>40905</v>
      </c>
      <c r="F12270" s="0" t="s">
        <v>15</v>
      </c>
      <c r="G12270" s="0" t="s">
        <v>36</v>
      </c>
      <c r="H12270" s="0" t="n">
        <v>96</v>
      </c>
      <c r="I12270" s="0" t="s">
        <v>40915</v>
      </c>
      <c r="J12270" s="0" t="s">
        <v>40916</v>
      </c>
      <c r="K12270" s="0" t="s">
        <v>40917</v>
      </c>
      <c r="L12270" s="0" t="str">
        <f aca="false">HYPERLINK("https://www.ncbi.nlm.nih.gov/nuccore/CP000304.1?report=graph&amp;tracks=[key:gene_model_track,Options:GeneOnly]&amp;mk=3436293:3436312|offset_8|444444,3436332:3436351|offset_47|444444,3436353:3436372|offset_68|444444,3436381:3436400|offset_96|00cc00&amp;v=3436092:3436600&amp;c=444444", "offset 96")</f>
        <v>offset 96</v>
      </c>
    </row>
    <row r="12271" customFormat="false" ht="12.8" hidden="false" customHeight="false" outlineLevel="0" collapsed="false">
      <c r="A12271" s="0" t="s">
        <v>12</v>
      </c>
      <c r="B12271" s="0" t="n">
        <v>3436690</v>
      </c>
      <c r="C12271" s="0" t="n">
        <v>3436710</v>
      </c>
      <c r="D12271" s="0" t="s">
        <v>40918</v>
      </c>
      <c r="E12271" s="0" t="s">
        <v>40919</v>
      </c>
      <c r="F12271" s="0" t="s">
        <v>15</v>
      </c>
      <c r="G12271" s="0" t="s">
        <v>32</v>
      </c>
      <c r="H12271" s="0" t="n">
        <v>1</v>
      </c>
      <c r="I12271" s="0" t="s">
        <v>40920</v>
      </c>
      <c r="J12271" s="0" t="s">
        <v>40921</v>
      </c>
      <c r="K12271" s="0" t="s">
        <v>40922</v>
      </c>
      <c r="L12271" s="0" t="str">
        <f aca="false">HYPERLINK("https://www.ncbi.nlm.nih.gov/nuccore/CP000304.1?report=graph&amp;tracks=[key:gene_model_track,Options:GeneOnly]&amp;mk=3436691:3436710|offset_1|00cc00,3436739:3436758|offset_49|444444,3436760:3436779|offset_70|444444,3436788:3436807|offset_98|444444&amp;v=3436490:3437007&amp;c=444444", "offset 1")</f>
        <v>offset 1</v>
      </c>
    </row>
    <row r="12272" customFormat="false" ht="12.8" hidden="false" customHeight="false" outlineLevel="0" collapsed="false">
      <c r="A12272" s="0" t="s">
        <v>12</v>
      </c>
      <c r="B12272" s="0" t="n">
        <v>3436738</v>
      </c>
      <c r="C12272" s="0" t="n">
        <v>3436758</v>
      </c>
      <c r="D12272" s="0" t="s">
        <v>40918</v>
      </c>
      <c r="E12272" s="0" t="s">
        <v>40919</v>
      </c>
      <c r="F12272" s="0" t="s">
        <v>15</v>
      </c>
      <c r="G12272" s="0" t="s">
        <v>32</v>
      </c>
      <c r="H12272" s="0" t="n">
        <v>49</v>
      </c>
      <c r="I12272" s="0" t="s">
        <v>40923</v>
      </c>
      <c r="J12272" s="0" t="s">
        <v>40924</v>
      </c>
      <c r="K12272" s="0" t="s">
        <v>40925</v>
      </c>
      <c r="L12272" s="0" t="str">
        <f aca="false">HYPERLINK("https://www.ncbi.nlm.nih.gov/nuccore/CP000304.1?report=graph&amp;tracks=[key:gene_model_track,Options:GeneOnly]&amp;mk=3436691:3436710|offset_1|444444,3436739:3436758|offset_49|00cc00,3436760:3436779|offset_70|444444,3436788:3436807|offset_98|444444&amp;v=3436490:3437007&amp;c=444444", "offset 49")</f>
        <v>offset 49</v>
      </c>
    </row>
    <row r="12273" customFormat="false" ht="12.8" hidden="false" customHeight="false" outlineLevel="0" collapsed="false">
      <c r="A12273" s="0" t="s">
        <v>12</v>
      </c>
      <c r="B12273" s="0" t="n">
        <v>3436759</v>
      </c>
      <c r="C12273" s="0" t="n">
        <v>3436779</v>
      </c>
      <c r="D12273" s="0" t="s">
        <v>40918</v>
      </c>
      <c r="E12273" s="0" t="s">
        <v>40919</v>
      </c>
      <c r="F12273" s="0" t="s">
        <v>15</v>
      </c>
      <c r="G12273" s="0" t="s">
        <v>32</v>
      </c>
      <c r="H12273" s="0" t="n">
        <v>70</v>
      </c>
      <c r="I12273" s="0" t="s">
        <v>40926</v>
      </c>
      <c r="J12273" s="0" t="s">
        <v>40927</v>
      </c>
      <c r="K12273" s="0" t="s">
        <v>40928</v>
      </c>
      <c r="L12273" s="0" t="str">
        <f aca="false">HYPERLINK("https://www.ncbi.nlm.nih.gov/nuccore/CP000304.1?report=graph&amp;tracks=[key:gene_model_track,Options:GeneOnly]&amp;mk=3436691:3436710|offset_1|444444,3436739:3436758|offset_49|444444,3436760:3436779|offset_70|00cc00,3436788:3436807|offset_98|444444&amp;v=3436490:3437007&amp;c=444444", "offset 70")</f>
        <v>offset 70</v>
      </c>
    </row>
    <row r="12274" customFormat="false" ht="12.8" hidden="false" customHeight="false" outlineLevel="0" collapsed="false">
      <c r="A12274" s="0" t="s">
        <v>12</v>
      </c>
      <c r="B12274" s="0" t="n">
        <v>3436787</v>
      </c>
      <c r="C12274" s="0" t="n">
        <v>3436807</v>
      </c>
      <c r="D12274" s="0" t="s">
        <v>40918</v>
      </c>
      <c r="E12274" s="0" t="s">
        <v>40919</v>
      </c>
      <c r="F12274" s="0" t="s">
        <v>15</v>
      </c>
      <c r="G12274" s="0" t="s">
        <v>36</v>
      </c>
      <c r="H12274" s="0" t="n">
        <v>98</v>
      </c>
      <c r="I12274" s="0" t="s">
        <v>40929</v>
      </c>
      <c r="J12274" s="0" t="s">
        <v>40930</v>
      </c>
      <c r="K12274" s="0" t="s">
        <v>40931</v>
      </c>
      <c r="L12274" s="0" t="str">
        <f aca="false">HYPERLINK("https://www.ncbi.nlm.nih.gov/nuccore/CP000304.1?report=graph&amp;tracks=[key:gene_model_track,Options:GeneOnly]&amp;mk=3436691:3436710|offset_1|444444,3436739:3436758|offset_49|444444,3436760:3436779|offset_70|444444,3436788:3436807|offset_98|00cc00&amp;v=3436490:3437007&amp;c=444444", "offset 98")</f>
        <v>offset 98</v>
      </c>
    </row>
    <row r="12275" customFormat="false" ht="12.8" hidden="false" customHeight="false" outlineLevel="0" collapsed="false">
      <c r="A12275" s="0" t="s">
        <v>12</v>
      </c>
      <c r="B12275" s="0" t="n">
        <v>3437845</v>
      </c>
      <c r="C12275" s="0" t="n">
        <v>3437865</v>
      </c>
      <c r="D12275" s="0" t="s">
        <v>40932</v>
      </c>
      <c r="E12275" s="0" t="s">
        <v>89</v>
      </c>
      <c r="F12275" s="0" t="s">
        <v>15</v>
      </c>
      <c r="G12275" s="0" t="s">
        <v>26</v>
      </c>
      <c r="H12275" s="0" t="n">
        <v>17</v>
      </c>
      <c r="I12275" s="0" t="s">
        <v>40933</v>
      </c>
      <c r="J12275" s="0" t="s">
        <v>40934</v>
      </c>
      <c r="K12275" s="0" t="s">
        <v>40935</v>
      </c>
      <c r="L12275" s="0" t="str">
        <f aca="false">HYPERLINK("https://www.ncbi.nlm.nih.gov/nuccore/CP000304.1?report=graph&amp;tracks=[key:gene_model_track,Options:GeneOnly]&amp;mk=3437846:3437865|offset_17|00cc00,3437867:3437886|offset_38|444444,3437893:3437912|offset_64|444444,3437952:3437971|offset_123|444444&amp;v=3437645:3438171&amp;c=444444", "offset 17")</f>
        <v>offset 17</v>
      </c>
    </row>
    <row r="12276" customFormat="false" ht="12.8" hidden="false" customHeight="false" outlineLevel="0" collapsed="false">
      <c r="A12276" s="0" t="s">
        <v>12</v>
      </c>
      <c r="B12276" s="0" t="n">
        <v>3437866</v>
      </c>
      <c r="C12276" s="0" t="n">
        <v>3437886</v>
      </c>
      <c r="D12276" s="0" t="s">
        <v>40932</v>
      </c>
      <c r="E12276" s="0" t="s">
        <v>89</v>
      </c>
      <c r="F12276" s="0" t="s">
        <v>15</v>
      </c>
      <c r="G12276" s="0" t="s">
        <v>26</v>
      </c>
      <c r="H12276" s="0" t="n">
        <v>38</v>
      </c>
      <c r="I12276" s="0" t="s">
        <v>40936</v>
      </c>
      <c r="J12276" s="0" t="s">
        <v>40937</v>
      </c>
      <c r="K12276" s="0" t="s">
        <v>40938</v>
      </c>
      <c r="L12276" s="0" t="str">
        <f aca="false">HYPERLINK("https://www.ncbi.nlm.nih.gov/nuccore/CP000304.1?report=graph&amp;tracks=[key:gene_model_track,Options:GeneOnly]&amp;mk=3437846:3437865|offset_17|444444,3437867:3437886|offset_38|00cc00,3437893:3437912|offset_64|444444,3437952:3437971|offset_123|444444&amp;v=3437645:3438171&amp;c=444444", "offset 38")</f>
        <v>offset 38</v>
      </c>
    </row>
    <row r="12277" customFormat="false" ht="12.8" hidden="false" customHeight="false" outlineLevel="0" collapsed="false">
      <c r="A12277" s="0" t="s">
        <v>12</v>
      </c>
      <c r="B12277" s="0" t="n">
        <v>3437892</v>
      </c>
      <c r="C12277" s="0" t="n">
        <v>3437912</v>
      </c>
      <c r="D12277" s="0" t="s">
        <v>40932</v>
      </c>
      <c r="E12277" s="0" t="s">
        <v>89</v>
      </c>
      <c r="F12277" s="0" t="s">
        <v>15</v>
      </c>
      <c r="G12277" s="0" t="s">
        <v>26</v>
      </c>
      <c r="H12277" s="0" t="n">
        <v>64</v>
      </c>
      <c r="I12277" s="0" t="s">
        <v>40939</v>
      </c>
      <c r="J12277" s="0" t="s">
        <v>40940</v>
      </c>
      <c r="K12277" s="0" t="s">
        <v>40941</v>
      </c>
      <c r="L12277" s="0" t="str">
        <f aca="false">HYPERLINK("https://www.ncbi.nlm.nih.gov/nuccore/CP000304.1?report=graph&amp;tracks=[key:gene_model_track,Options:GeneOnly]&amp;mk=3437846:3437865|offset_17|444444,3437867:3437886|offset_38|444444,3437893:3437912|offset_64|00cc00,3437952:3437971|offset_123|444444&amp;v=3437645:3438171&amp;c=444444", "offset 64")</f>
        <v>offset 64</v>
      </c>
    </row>
    <row r="12278" customFormat="false" ht="12.8" hidden="false" customHeight="false" outlineLevel="0" collapsed="false">
      <c r="A12278" s="0" t="s">
        <v>12</v>
      </c>
      <c r="B12278" s="0" t="n">
        <v>3437951</v>
      </c>
      <c r="C12278" s="0" t="n">
        <v>3437971</v>
      </c>
      <c r="D12278" s="0" t="s">
        <v>40932</v>
      </c>
      <c r="E12278" s="0" t="s">
        <v>89</v>
      </c>
      <c r="F12278" s="0" t="s">
        <v>15</v>
      </c>
      <c r="G12278" s="0" t="s">
        <v>16</v>
      </c>
      <c r="H12278" s="0" t="n">
        <v>123</v>
      </c>
      <c r="I12278" s="0" t="s">
        <v>40942</v>
      </c>
      <c r="J12278" s="0" t="s">
        <v>40943</v>
      </c>
      <c r="K12278" s="0" t="s">
        <v>40944</v>
      </c>
      <c r="L12278" s="0" t="str">
        <f aca="false">HYPERLINK("https://www.ncbi.nlm.nih.gov/nuccore/CP000304.1?report=graph&amp;tracks=[key:gene_model_track,Options:GeneOnly]&amp;mk=3437846:3437865|offset_17|444444,3437867:3437886|offset_38|444444,3437893:3437912|offset_64|444444,3437952:3437971|offset_123|00cc00&amp;v=3437645:3438171&amp;c=444444", "offset 123")</f>
        <v>offset 123</v>
      </c>
    </row>
    <row r="12279" customFormat="false" ht="12.8" hidden="false" customHeight="false" outlineLevel="0" collapsed="false">
      <c r="A12279" s="0" t="s">
        <v>12</v>
      </c>
      <c r="B12279" s="0" t="n">
        <v>3439457</v>
      </c>
      <c r="C12279" s="0" t="n">
        <v>3439477</v>
      </c>
      <c r="D12279" s="0" t="s">
        <v>40945</v>
      </c>
      <c r="E12279" s="0" t="s">
        <v>89</v>
      </c>
      <c r="F12279" s="0" t="s">
        <v>15</v>
      </c>
      <c r="G12279" s="0" t="s">
        <v>32</v>
      </c>
      <c r="H12279" s="0" t="n">
        <v>1</v>
      </c>
      <c r="I12279" s="0" t="s">
        <v>40946</v>
      </c>
      <c r="J12279" s="0" t="s">
        <v>40947</v>
      </c>
      <c r="K12279" s="0" t="s">
        <v>40948</v>
      </c>
      <c r="L12279" s="0" t="str">
        <f aca="false">HYPERLINK("https://www.ncbi.nlm.nih.gov/nuccore/CP000304.1?report=graph&amp;tracks=[key:gene_model_track,Options:GeneOnly]&amp;mk=3439458:3439477|offset_1|00cc00,3439483:3439502|offset_26|444444,3439509:3439528|offset_52|444444,3439566:3439585|offset_109|444444&amp;v=3439257:3439785&amp;c=444444", "offset 1")</f>
        <v>offset 1</v>
      </c>
    </row>
    <row r="12280" customFormat="false" ht="12.8" hidden="false" customHeight="false" outlineLevel="0" collapsed="false">
      <c r="A12280" s="0" t="s">
        <v>12</v>
      </c>
      <c r="B12280" s="0" t="n">
        <v>3439482</v>
      </c>
      <c r="C12280" s="0" t="n">
        <v>3439502</v>
      </c>
      <c r="D12280" s="0" t="s">
        <v>40945</v>
      </c>
      <c r="E12280" s="0" t="s">
        <v>89</v>
      </c>
      <c r="F12280" s="0" t="s">
        <v>15</v>
      </c>
      <c r="G12280" s="0" t="s">
        <v>26</v>
      </c>
      <c r="H12280" s="0" t="n">
        <v>26</v>
      </c>
      <c r="I12280" s="0" t="s">
        <v>40949</v>
      </c>
      <c r="J12280" s="0" t="s">
        <v>40950</v>
      </c>
      <c r="K12280" s="0" t="s">
        <v>40951</v>
      </c>
      <c r="L12280" s="0" t="str">
        <f aca="false">HYPERLINK("https://www.ncbi.nlm.nih.gov/nuccore/CP000304.1?report=graph&amp;tracks=[key:gene_model_track,Options:GeneOnly]&amp;mk=3439458:3439477|offset_1|444444,3439483:3439502|offset_26|00cc00,3439509:3439528|offset_52|444444,3439566:3439585|offset_109|444444&amp;v=3439257:3439785&amp;c=444444", "offset 26")</f>
        <v>offset 26</v>
      </c>
    </row>
    <row r="12281" customFormat="false" ht="12.8" hidden="false" customHeight="false" outlineLevel="0" collapsed="false">
      <c r="A12281" s="0" t="s">
        <v>12</v>
      </c>
      <c r="B12281" s="0" t="n">
        <v>3439508</v>
      </c>
      <c r="C12281" s="0" t="n">
        <v>3439528</v>
      </c>
      <c r="D12281" s="0" t="s">
        <v>40945</v>
      </c>
      <c r="E12281" s="0" t="s">
        <v>89</v>
      </c>
      <c r="F12281" s="0" t="s">
        <v>15</v>
      </c>
      <c r="G12281" s="0" t="s">
        <v>36</v>
      </c>
      <c r="H12281" s="0" t="n">
        <v>52</v>
      </c>
      <c r="I12281" s="0" t="s">
        <v>40952</v>
      </c>
      <c r="J12281" s="0" t="s">
        <v>40953</v>
      </c>
      <c r="K12281" s="0" t="s">
        <v>40954</v>
      </c>
      <c r="L12281" s="0" t="str">
        <f aca="false">HYPERLINK("https://www.ncbi.nlm.nih.gov/nuccore/CP000304.1?report=graph&amp;tracks=[key:gene_model_track,Options:GeneOnly]&amp;mk=3439458:3439477|offset_1|444444,3439483:3439502|offset_26|444444,3439509:3439528|offset_52|00cc00,3439566:3439585|offset_109|444444&amp;v=3439257:3439785&amp;c=444444", "offset 52")</f>
        <v>offset 52</v>
      </c>
    </row>
    <row r="12282" customFormat="false" ht="12.8" hidden="false" customHeight="false" outlineLevel="0" collapsed="false">
      <c r="A12282" s="0" t="s">
        <v>12</v>
      </c>
      <c r="B12282" s="0" t="n">
        <v>3439565</v>
      </c>
      <c r="C12282" s="0" t="n">
        <v>3439585</v>
      </c>
      <c r="D12282" s="0" t="s">
        <v>40945</v>
      </c>
      <c r="E12282" s="0" t="s">
        <v>89</v>
      </c>
      <c r="F12282" s="0" t="s">
        <v>15</v>
      </c>
      <c r="G12282" s="0" t="s">
        <v>16</v>
      </c>
      <c r="H12282" s="0" t="n">
        <v>109</v>
      </c>
      <c r="I12282" s="0" t="s">
        <v>40955</v>
      </c>
      <c r="J12282" s="0" t="s">
        <v>40956</v>
      </c>
      <c r="K12282" s="0" t="s">
        <v>40957</v>
      </c>
      <c r="L12282" s="0" t="str">
        <f aca="false">HYPERLINK("https://www.ncbi.nlm.nih.gov/nuccore/CP000304.1?report=graph&amp;tracks=[key:gene_model_track,Options:GeneOnly]&amp;mk=3439458:3439477|offset_1|444444,3439483:3439502|offset_26|444444,3439509:3439528|offset_52|444444,3439566:3439585|offset_109|00cc00&amp;v=3439257:3439785&amp;c=444444", "offset 109")</f>
        <v>offset 109</v>
      </c>
    </row>
    <row r="12283" customFormat="false" ht="12.8" hidden="false" customHeight="false" outlineLevel="0" collapsed="false">
      <c r="A12283" s="0" t="s">
        <v>12</v>
      </c>
      <c r="B12283" s="0" t="n">
        <v>3440552</v>
      </c>
      <c r="C12283" s="0" t="n">
        <v>3440572</v>
      </c>
      <c r="D12283" s="0" t="s">
        <v>40958</v>
      </c>
      <c r="E12283" s="0" t="s">
        <v>89</v>
      </c>
      <c r="F12283" s="0" t="s">
        <v>15</v>
      </c>
      <c r="G12283" s="0" t="s">
        <v>16</v>
      </c>
      <c r="H12283" s="0" t="n">
        <v>38</v>
      </c>
      <c r="I12283" s="0" t="s">
        <v>40959</v>
      </c>
      <c r="J12283" s="0" t="s">
        <v>40960</v>
      </c>
      <c r="K12283" s="0" t="s">
        <v>40961</v>
      </c>
      <c r="L12283" s="0" t="str">
        <f aca="false">HYPERLINK("https://www.ncbi.nlm.nih.gov/nuccore/CP000304.1?report=graph&amp;tracks=[key:gene_model_track,Options:GeneOnly]&amp;mk=3440553:3440572|offset_38|00cc00,3440582:3440601|offset_67|444444,3440606:3440625|offset_91|444444,3440636:3440655|offset_121|444444&amp;v=3440352:3440855&amp;c=444444", "offset 38")</f>
        <v>offset 38</v>
      </c>
    </row>
    <row r="12284" customFormat="false" ht="12.8" hidden="false" customHeight="false" outlineLevel="0" collapsed="false">
      <c r="A12284" s="0" t="s">
        <v>12</v>
      </c>
      <c r="B12284" s="0" t="n">
        <v>3440581</v>
      </c>
      <c r="C12284" s="0" t="n">
        <v>3440601</v>
      </c>
      <c r="D12284" s="0" t="s">
        <v>40958</v>
      </c>
      <c r="E12284" s="0" t="s">
        <v>89</v>
      </c>
      <c r="F12284" s="0" t="s">
        <v>15</v>
      </c>
      <c r="G12284" s="0" t="s">
        <v>16</v>
      </c>
      <c r="H12284" s="0" t="n">
        <v>67</v>
      </c>
      <c r="I12284" s="0" t="s">
        <v>40962</v>
      </c>
      <c r="J12284" s="0" t="s">
        <v>40963</v>
      </c>
      <c r="K12284" s="0" t="s">
        <v>40964</v>
      </c>
      <c r="L12284" s="0" t="str">
        <f aca="false">HYPERLINK("https://www.ncbi.nlm.nih.gov/nuccore/CP000304.1?report=graph&amp;tracks=[key:gene_model_track,Options:GeneOnly]&amp;mk=3440553:3440572|offset_38|444444,3440582:3440601|offset_67|00cc00,3440606:3440625|offset_91|444444,3440636:3440655|offset_121|444444&amp;v=3440352:3440855&amp;c=444444", "offset 67")</f>
        <v>offset 67</v>
      </c>
    </row>
    <row r="12285" customFormat="false" ht="12.8" hidden="false" customHeight="false" outlineLevel="0" collapsed="false">
      <c r="A12285" s="0" t="s">
        <v>12</v>
      </c>
      <c r="B12285" s="0" t="n">
        <v>3440605</v>
      </c>
      <c r="C12285" s="0" t="n">
        <v>3440625</v>
      </c>
      <c r="D12285" s="0" t="s">
        <v>40958</v>
      </c>
      <c r="E12285" s="0" t="s">
        <v>89</v>
      </c>
      <c r="F12285" s="0" t="s">
        <v>15</v>
      </c>
      <c r="G12285" s="0" t="s">
        <v>32</v>
      </c>
      <c r="H12285" s="0" t="n">
        <v>91</v>
      </c>
      <c r="I12285" s="0" t="s">
        <v>40965</v>
      </c>
      <c r="J12285" s="0" t="s">
        <v>40966</v>
      </c>
      <c r="K12285" s="0" t="s">
        <v>40967</v>
      </c>
      <c r="L12285" s="0" t="str">
        <f aca="false">HYPERLINK("https://www.ncbi.nlm.nih.gov/nuccore/CP000304.1?report=graph&amp;tracks=[key:gene_model_track,Options:GeneOnly]&amp;mk=3440553:3440572|offset_38|444444,3440582:3440601|offset_67|444444,3440606:3440625|offset_91|00cc00,3440636:3440655|offset_121|444444&amp;v=3440352:3440855&amp;c=444444", "offset 91")</f>
        <v>offset 91</v>
      </c>
    </row>
    <row r="12286" customFormat="false" ht="12.8" hidden="false" customHeight="false" outlineLevel="0" collapsed="false">
      <c r="A12286" s="0" t="s">
        <v>12</v>
      </c>
      <c r="B12286" s="0" t="n">
        <v>3440635</v>
      </c>
      <c r="C12286" s="0" t="n">
        <v>3440655</v>
      </c>
      <c r="D12286" s="0" t="s">
        <v>40958</v>
      </c>
      <c r="E12286" s="0" t="s">
        <v>89</v>
      </c>
      <c r="F12286" s="0" t="s">
        <v>15</v>
      </c>
      <c r="G12286" s="0" t="s">
        <v>26</v>
      </c>
      <c r="H12286" s="0" t="n">
        <v>121</v>
      </c>
      <c r="I12286" s="0" t="s">
        <v>40968</v>
      </c>
      <c r="J12286" s="0" t="s">
        <v>40969</v>
      </c>
      <c r="K12286" s="0" t="s">
        <v>40970</v>
      </c>
      <c r="L12286" s="0" t="str">
        <f aca="false">HYPERLINK("https://www.ncbi.nlm.nih.gov/nuccore/CP000304.1?report=graph&amp;tracks=[key:gene_model_track,Options:GeneOnly]&amp;mk=3440553:3440572|offset_38|444444,3440582:3440601|offset_67|444444,3440606:3440625|offset_91|444444,3440636:3440655|offset_121|00cc00&amp;v=3440352:3440855&amp;c=444444", "offset 121")</f>
        <v>offset 121</v>
      </c>
    </row>
    <row r="12287" customFormat="false" ht="12.8" hidden="false" customHeight="false" outlineLevel="0" collapsed="false">
      <c r="A12287" s="0" t="s">
        <v>12</v>
      </c>
      <c r="B12287" s="0" t="n">
        <v>3443828</v>
      </c>
      <c r="C12287" s="0" t="n">
        <v>3443848</v>
      </c>
      <c r="D12287" s="0" t="s">
        <v>40971</v>
      </c>
      <c r="E12287" s="0" t="s">
        <v>89</v>
      </c>
      <c r="F12287" s="0" t="s">
        <v>15</v>
      </c>
      <c r="G12287" s="0" t="s">
        <v>36</v>
      </c>
      <c r="H12287" s="0" t="n">
        <v>16</v>
      </c>
      <c r="I12287" s="0" t="s">
        <v>40972</v>
      </c>
      <c r="J12287" s="0" t="s">
        <v>40973</v>
      </c>
      <c r="K12287" s="0" t="s">
        <v>40974</v>
      </c>
      <c r="L12287" s="0" t="str">
        <f aca="false">HYPERLINK("https://www.ncbi.nlm.nih.gov/nuccore/CP000304.1?report=graph&amp;tracks=[key:gene_model_track,Options:GeneOnly]&amp;mk=3443829:3443848|offset_16|00cc00,3443860:3443879|offset_47|444444,3443880:3443899|offset_67|444444,3443928:3443947|offset_115|444444&amp;v=3443628:3444147&amp;c=444444", "offset 16")</f>
        <v>offset 16</v>
      </c>
    </row>
    <row r="12288" customFormat="false" ht="12.8" hidden="false" customHeight="false" outlineLevel="0" collapsed="false">
      <c r="A12288" s="0" t="s">
        <v>12</v>
      </c>
      <c r="B12288" s="0" t="n">
        <v>3443859</v>
      </c>
      <c r="C12288" s="0" t="n">
        <v>3443879</v>
      </c>
      <c r="D12288" s="0" t="s">
        <v>40971</v>
      </c>
      <c r="E12288" s="0" t="s">
        <v>89</v>
      </c>
      <c r="F12288" s="0" t="s">
        <v>15</v>
      </c>
      <c r="G12288" s="0" t="s">
        <v>26</v>
      </c>
      <c r="H12288" s="0" t="n">
        <v>47</v>
      </c>
      <c r="I12288" s="0" t="s">
        <v>40975</v>
      </c>
      <c r="J12288" s="0" t="s">
        <v>40976</v>
      </c>
      <c r="K12288" s="0" t="s">
        <v>40977</v>
      </c>
      <c r="L12288" s="0" t="str">
        <f aca="false">HYPERLINK("https://www.ncbi.nlm.nih.gov/nuccore/CP000304.1?report=graph&amp;tracks=[key:gene_model_track,Options:GeneOnly]&amp;mk=3443829:3443848|offset_16|444444,3443860:3443879|offset_47|00cc00,3443880:3443899|offset_67|444444,3443928:3443947|offset_115|444444&amp;v=3443628:3444147&amp;c=444444", "offset 47")</f>
        <v>offset 47</v>
      </c>
    </row>
    <row r="12289" customFormat="false" ht="12.8" hidden="false" customHeight="false" outlineLevel="0" collapsed="false">
      <c r="A12289" s="0" t="s">
        <v>12</v>
      </c>
      <c r="B12289" s="0" t="n">
        <v>3443879</v>
      </c>
      <c r="C12289" s="0" t="n">
        <v>3443899</v>
      </c>
      <c r="D12289" s="0" t="s">
        <v>40971</v>
      </c>
      <c r="E12289" s="0" t="s">
        <v>89</v>
      </c>
      <c r="F12289" s="0" t="s">
        <v>15</v>
      </c>
      <c r="G12289" s="0" t="s">
        <v>36</v>
      </c>
      <c r="H12289" s="0" t="n">
        <v>67</v>
      </c>
      <c r="I12289" s="0" t="s">
        <v>40978</v>
      </c>
      <c r="J12289" s="0" t="s">
        <v>40979</v>
      </c>
      <c r="K12289" s="0" t="s">
        <v>40980</v>
      </c>
      <c r="L12289" s="0" t="str">
        <f aca="false">HYPERLINK("https://www.ncbi.nlm.nih.gov/nuccore/CP000304.1?report=graph&amp;tracks=[key:gene_model_track,Options:GeneOnly]&amp;mk=3443829:3443848|offset_16|444444,3443860:3443879|offset_47|444444,3443880:3443899|offset_67|00cc00,3443928:3443947|offset_115|444444&amp;v=3443628:3444147&amp;c=444444", "offset 67")</f>
        <v>offset 67</v>
      </c>
    </row>
    <row r="12290" customFormat="false" ht="12.8" hidden="false" customHeight="false" outlineLevel="0" collapsed="false">
      <c r="A12290" s="0" t="s">
        <v>12</v>
      </c>
      <c r="B12290" s="0" t="n">
        <v>3443927</v>
      </c>
      <c r="C12290" s="0" t="n">
        <v>3443947</v>
      </c>
      <c r="D12290" s="0" t="s">
        <v>40971</v>
      </c>
      <c r="E12290" s="0" t="s">
        <v>89</v>
      </c>
      <c r="F12290" s="0" t="s">
        <v>15</v>
      </c>
      <c r="G12290" s="0" t="s">
        <v>16</v>
      </c>
      <c r="H12290" s="0" t="n">
        <v>115</v>
      </c>
      <c r="I12290" s="0" t="s">
        <v>40981</v>
      </c>
      <c r="J12290" s="0" t="s">
        <v>40982</v>
      </c>
      <c r="K12290" s="0" t="s">
        <v>40983</v>
      </c>
      <c r="L12290" s="0" t="str">
        <f aca="false">HYPERLINK("https://www.ncbi.nlm.nih.gov/nuccore/CP000304.1?report=graph&amp;tracks=[key:gene_model_track,Options:GeneOnly]&amp;mk=3443829:3443848|offset_16|444444,3443860:3443879|offset_47|444444,3443880:3443899|offset_67|444444,3443928:3443947|offset_115|00cc00&amp;v=3443628:3444147&amp;c=444444", "offset 115")</f>
        <v>offset 115</v>
      </c>
    </row>
    <row r="12291" customFormat="false" ht="12.8" hidden="false" customHeight="false" outlineLevel="0" collapsed="false">
      <c r="A12291" s="0" t="s">
        <v>12</v>
      </c>
      <c r="B12291" s="0" t="n">
        <v>3449329</v>
      </c>
      <c r="C12291" s="0" t="n">
        <v>3449349</v>
      </c>
      <c r="D12291" s="0" t="s">
        <v>40984</v>
      </c>
      <c r="E12291" s="0" t="s">
        <v>89</v>
      </c>
      <c r="F12291" s="0" t="s">
        <v>15</v>
      </c>
      <c r="G12291" s="0" t="s">
        <v>16</v>
      </c>
      <c r="H12291" s="0" t="n">
        <v>0</v>
      </c>
      <c r="I12291" s="0" t="s">
        <v>40985</v>
      </c>
      <c r="J12291" s="0" t="s">
        <v>40986</v>
      </c>
      <c r="K12291" s="0" t="s">
        <v>40987</v>
      </c>
      <c r="L12291" s="0" t="str">
        <f aca="false">HYPERLINK("https://www.ncbi.nlm.nih.gov/nuccore/CP000304.1?report=graph&amp;tracks=[key:gene_model_track,Options:GeneOnly]&amp;mk=3449330:3449349|offset_0|00cc00,3449354:3449373|offset_24|444444,3449384:3449403|offset_54|444444,3449404:3449423|offset_74|444444&amp;v=3449129:3449623&amp;c=444444", "offset 0")</f>
        <v>offset 0</v>
      </c>
    </row>
    <row r="12292" customFormat="false" ht="12.8" hidden="false" customHeight="false" outlineLevel="0" collapsed="false">
      <c r="A12292" s="0" t="s">
        <v>12</v>
      </c>
      <c r="B12292" s="0" t="n">
        <v>3449353</v>
      </c>
      <c r="C12292" s="0" t="n">
        <v>3449373</v>
      </c>
      <c r="D12292" s="0" t="s">
        <v>40984</v>
      </c>
      <c r="E12292" s="0" t="s">
        <v>89</v>
      </c>
      <c r="F12292" s="0" t="s">
        <v>15</v>
      </c>
      <c r="G12292" s="0" t="s">
        <v>32</v>
      </c>
      <c r="H12292" s="0" t="n">
        <v>24</v>
      </c>
      <c r="I12292" s="0" t="s">
        <v>40988</v>
      </c>
      <c r="J12292" s="0" t="s">
        <v>40989</v>
      </c>
      <c r="K12292" s="0" t="s">
        <v>40990</v>
      </c>
      <c r="L12292" s="0" t="str">
        <f aca="false">HYPERLINK("https://www.ncbi.nlm.nih.gov/nuccore/CP000304.1?report=graph&amp;tracks=[key:gene_model_track,Options:GeneOnly]&amp;mk=3449330:3449349|offset_0|444444,3449354:3449373|offset_24|00cc00,3449384:3449403|offset_54|444444,3449404:3449423|offset_74|444444&amp;v=3449129:3449623&amp;c=444444", "offset 24")</f>
        <v>offset 24</v>
      </c>
    </row>
    <row r="12293" customFormat="false" ht="12.8" hidden="false" customHeight="false" outlineLevel="0" collapsed="false">
      <c r="A12293" s="0" t="s">
        <v>12</v>
      </c>
      <c r="B12293" s="0" t="n">
        <v>3449383</v>
      </c>
      <c r="C12293" s="0" t="n">
        <v>3449403</v>
      </c>
      <c r="D12293" s="0" t="s">
        <v>40984</v>
      </c>
      <c r="E12293" s="0" t="s">
        <v>89</v>
      </c>
      <c r="F12293" s="0" t="s">
        <v>15</v>
      </c>
      <c r="G12293" s="0" t="s">
        <v>26</v>
      </c>
      <c r="H12293" s="0" t="n">
        <v>54</v>
      </c>
      <c r="I12293" s="0" t="s">
        <v>40991</v>
      </c>
      <c r="J12293" s="0" t="s">
        <v>40992</v>
      </c>
      <c r="K12293" s="0" t="s">
        <v>40993</v>
      </c>
      <c r="L12293" s="0" t="str">
        <f aca="false">HYPERLINK("https://www.ncbi.nlm.nih.gov/nuccore/CP000304.1?report=graph&amp;tracks=[key:gene_model_track,Options:GeneOnly]&amp;mk=3449330:3449349|offset_0|444444,3449354:3449373|offset_24|444444,3449384:3449403|offset_54|00cc00,3449404:3449423|offset_74|444444&amp;v=3449129:3449623&amp;c=444444", "offset 54")</f>
        <v>offset 54</v>
      </c>
    </row>
    <row r="12294" customFormat="false" ht="12.8" hidden="false" customHeight="false" outlineLevel="0" collapsed="false">
      <c r="A12294" s="0" t="s">
        <v>12</v>
      </c>
      <c r="B12294" s="0" t="n">
        <v>3449403</v>
      </c>
      <c r="C12294" s="0" t="n">
        <v>3449423</v>
      </c>
      <c r="D12294" s="0" t="s">
        <v>40984</v>
      </c>
      <c r="E12294" s="0" t="s">
        <v>89</v>
      </c>
      <c r="F12294" s="0" t="s">
        <v>15</v>
      </c>
      <c r="G12294" s="0" t="s">
        <v>26</v>
      </c>
      <c r="H12294" s="0" t="n">
        <v>74</v>
      </c>
      <c r="I12294" s="0" t="s">
        <v>40994</v>
      </c>
      <c r="J12294" s="0" t="s">
        <v>40995</v>
      </c>
      <c r="K12294" s="0" t="s">
        <v>40996</v>
      </c>
      <c r="L12294" s="0" t="str">
        <f aca="false">HYPERLINK("https://www.ncbi.nlm.nih.gov/nuccore/CP000304.1?report=graph&amp;tracks=[key:gene_model_track,Options:GeneOnly]&amp;mk=3449330:3449349|offset_0|444444,3449354:3449373|offset_24|444444,3449384:3449403|offset_54|444444,3449404:3449423|offset_74|00cc00&amp;v=3449129:3449623&amp;c=444444", "offset 74")</f>
        <v>offset 74</v>
      </c>
    </row>
    <row r="12295" customFormat="false" ht="12.8" hidden="false" customHeight="false" outlineLevel="0" collapsed="false">
      <c r="A12295" s="0" t="s">
        <v>12</v>
      </c>
      <c r="B12295" s="0" t="n">
        <v>3451210</v>
      </c>
      <c r="C12295" s="0" t="n">
        <v>3451230</v>
      </c>
      <c r="D12295" s="0" t="s">
        <v>40997</v>
      </c>
      <c r="E12295" s="0" t="s">
        <v>89</v>
      </c>
      <c r="F12295" s="0" t="s">
        <v>15</v>
      </c>
      <c r="G12295" s="0" t="s">
        <v>26</v>
      </c>
      <c r="H12295" s="0" t="n">
        <v>13</v>
      </c>
      <c r="I12295" s="0" t="s">
        <v>40998</v>
      </c>
      <c r="J12295" s="0" t="s">
        <v>40999</v>
      </c>
      <c r="K12295" s="0" t="s">
        <v>41000</v>
      </c>
      <c r="L12295" s="0" t="str">
        <f aca="false">HYPERLINK("https://www.ncbi.nlm.nih.gov/nuccore/CP000304.1?report=graph&amp;tracks=[key:gene_model_track,Options:GeneOnly]&amp;mk=3451211:3451230|offset_13|00cc00,3451231:3451250|offset_33|444444,3451255:3451274|offset_57|444444,3451300:3451319|offset_102|444444&amp;v=3451010:3451519&amp;c=444444", "offset 13")</f>
        <v>offset 13</v>
      </c>
    </row>
    <row r="12296" customFormat="false" ht="12.8" hidden="false" customHeight="false" outlineLevel="0" collapsed="false">
      <c r="A12296" s="0" t="s">
        <v>12</v>
      </c>
      <c r="B12296" s="0" t="n">
        <v>3451230</v>
      </c>
      <c r="C12296" s="0" t="n">
        <v>3451250</v>
      </c>
      <c r="D12296" s="0" t="s">
        <v>40997</v>
      </c>
      <c r="E12296" s="0" t="s">
        <v>89</v>
      </c>
      <c r="F12296" s="0" t="s">
        <v>15</v>
      </c>
      <c r="G12296" s="0" t="s">
        <v>16</v>
      </c>
      <c r="H12296" s="0" t="n">
        <v>33</v>
      </c>
      <c r="I12296" s="0" t="s">
        <v>41001</v>
      </c>
      <c r="J12296" s="0" t="s">
        <v>41002</v>
      </c>
      <c r="K12296" s="0" t="s">
        <v>41003</v>
      </c>
      <c r="L12296" s="0" t="str">
        <f aca="false">HYPERLINK("https://www.ncbi.nlm.nih.gov/nuccore/CP000304.1?report=graph&amp;tracks=[key:gene_model_track,Options:GeneOnly]&amp;mk=3451211:3451230|offset_13|444444,3451231:3451250|offset_33|00cc00,3451255:3451274|offset_57|444444,3451300:3451319|offset_102|444444&amp;v=3451010:3451519&amp;c=444444", "offset 33")</f>
        <v>offset 33</v>
      </c>
    </row>
    <row r="12297" customFormat="false" ht="12.8" hidden="false" customHeight="false" outlineLevel="0" collapsed="false">
      <c r="A12297" s="0" t="s">
        <v>12</v>
      </c>
      <c r="B12297" s="0" t="n">
        <v>3451254</v>
      </c>
      <c r="C12297" s="0" t="n">
        <v>3451274</v>
      </c>
      <c r="D12297" s="0" t="s">
        <v>40997</v>
      </c>
      <c r="E12297" s="0" t="s">
        <v>89</v>
      </c>
      <c r="F12297" s="0" t="s">
        <v>15</v>
      </c>
      <c r="G12297" s="0" t="s">
        <v>26</v>
      </c>
      <c r="H12297" s="0" t="n">
        <v>57</v>
      </c>
      <c r="I12297" s="0" t="s">
        <v>41004</v>
      </c>
      <c r="J12297" s="0" t="s">
        <v>41005</v>
      </c>
      <c r="K12297" s="0" t="s">
        <v>41006</v>
      </c>
      <c r="L12297" s="0" t="str">
        <f aca="false">HYPERLINK("https://www.ncbi.nlm.nih.gov/nuccore/CP000304.1?report=graph&amp;tracks=[key:gene_model_track,Options:GeneOnly]&amp;mk=3451211:3451230|offset_13|444444,3451231:3451250|offset_33|444444,3451255:3451274|offset_57|00cc00,3451300:3451319|offset_102|444444&amp;v=3451010:3451519&amp;c=444444", "offset 57")</f>
        <v>offset 57</v>
      </c>
    </row>
    <row r="12298" customFormat="false" ht="12.8" hidden="false" customHeight="false" outlineLevel="0" collapsed="false">
      <c r="A12298" s="0" t="s">
        <v>12</v>
      </c>
      <c r="B12298" s="0" t="n">
        <v>3451299</v>
      </c>
      <c r="C12298" s="0" t="n">
        <v>3451319</v>
      </c>
      <c r="D12298" s="0" t="s">
        <v>40997</v>
      </c>
      <c r="E12298" s="0" t="s">
        <v>89</v>
      </c>
      <c r="F12298" s="0" t="s">
        <v>15</v>
      </c>
      <c r="G12298" s="0" t="s">
        <v>26</v>
      </c>
      <c r="H12298" s="0" t="n">
        <v>102</v>
      </c>
      <c r="I12298" s="0" t="s">
        <v>41007</v>
      </c>
      <c r="J12298" s="0" t="s">
        <v>41008</v>
      </c>
      <c r="K12298" s="0" t="s">
        <v>41009</v>
      </c>
      <c r="L12298" s="0" t="str">
        <f aca="false">HYPERLINK("https://www.ncbi.nlm.nih.gov/nuccore/CP000304.1?report=graph&amp;tracks=[key:gene_model_track,Options:GeneOnly]&amp;mk=3451211:3451230|offset_13|444444,3451231:3451250|offset_33|444444,3451255:3451274|offset_57|444444,3451300:3451319|offset_102|00cc00&amp;v=3451010:3451519&amp;c=444444", "offset 102")</f>
        <v>offset 102</v>
      </c>
    </row>
    <row r="12299" customFormat="false" ht="12.8" hidden="false" customHeight="false" outlineLevel="0" collapsed="false">
      <c r="A12299" s="0" t="s">
        <v>12</v>
      </c>
      <c r="B12299" s="0" t="n">
        <v>3453487</v>
      </c>
      <c r="C12299" s="0" t="n">
        <v>3453507</v>
      </c>
      <c r="D12299" s="0" t="s">
        <v>41010</v>
      </c>
      <c r="E12299" s="0" t="s">
        <v>89</v>
      </c>
      <c r="F12299" s="0" t="s">
        <v>90</v>
      </c>
      <c r="G12299" s="0" t="s">
        <v>26</v>
      </c>
      <c r="H12299" s="0" t="n">
        <v>16</v>
      </c>
      <c r="I12299" s="0" t="s">
        <v>41011</v>
      </c>
      <c r="J12299" s="0" t="s">
        <v>41012</v>
      </c>
      <c r="K12299" s="0" t="s">
        <v>41013</v>
      </c>
      <c r="L12299" s="0" t="str">
        <f aca="false">HYPERLINK("https://www.ncbi.nlm.nih.gov/nuccore/CP000304.1?report=graph&amp;tracks=[key:gene_model_track,Options:GeneOnly]&amp;mk=3453488:3453507|offset_16|00cc00,3453466:3453485|offset_38|444444,3453445:3453464|offset_59|444444,3453383:3453402|offset_121|444444&amp;v=3453287:3453602&amp;c=444444", "offset 16")</f>
        <v>offset 16</v>
      </c>
    </row>
    <row r="12300" customFormat="false" ht="12.8" hidden="false" customHeight="false" outlineLevel="0" collapsed="false">
      <c r="A12300" s="0" t="s">
        <v>12</v>
      </c>
      <c r="B12300" s="0" t="n">
        <v>3453465</v>
      </c>
      <c r="C12300" s="0" t="n">
        <v>3453485</v>
      </c>
      <c r="D12300" s="0" t="s">
        <v>41010</v>
      </c>
      <c r="E12300" s="0" t="s">
        <v>89</v>
      </c>
      <c r="F12300" s="0" t="s">
        <v>90</v>
      </c>
      <c r="G12300" s="0" t="s">
        <v>32</v>
      </c>
      <c r="H12300" s="0" t="n">
        <v>38</v>
      </c>
      <c r="I12300" s="0" t="s">
        <v>41014</v>
      </c>
      <c r="J12300" s="0" t="s">
        <v>41015</v>
      </c>
      <c r="K12300" s="0" t="s">
        <v>41016</v>
      </c>
      <c r="L12300" s="0" t="str">
        <f aca="false">HYPERLINK("https://www.ncbi.nlm.nih.gov/nuccore/CP000304.1?report=graph&amp;tracks=[key:gene_model_track,Options:GeneOnly]&amp;mk=3453488:3453507|offset_16|444444,3453466:3453485|offset_38|00cc00,3453445:3453464|offset_59|444444,3453383:3453402|offset_121|444444&amp;v=3453287:3453602&amp;c=444444", "offset 38")</f>
        <v>offset 38</v>
      </c>
    </row>
    <row r="12301" customFormat="false" ht="12.8" hidden="false" customHeight="false" outlineLevel="0" collapsed="false">
      <c r="A12301" s="0" t="s">
        <v>12</v>
      </c>
      <c r="B12301" s="0" t="n">
        <v>3453444</v>
      </c>
      <c r="C12301" s="0" t="n">
        <v>3453464</v>
      </c>
      <c r="D12301" s="0" t="s">
        <v>41010</v>
      </c>
      <c r="E12301" s="0" t="s">
        <v>89</v>
      </c>
      <c r="F12301" s="0" t="s">
        <v>90</v>
      </c>
      <c r="G12301" s="0" t="s">
        <v>32</v>
      </c>
      <c r="H12301" s="0" t="n">
        <v>59</v>
      </c>
      <c r="I12301" s="0" t="s">
        <v>41017</v>
      </c>
      <c r="J12301" s="0" t="s">
        <v>41018</v>
      </c>
      <c r="K12301" s="0" t="s">
        <v>41019</v>
      </c>
      <c r="L12301" s="0" t="str">
        <f aca="false">HYPERLINK("https://www.ncbi.nlm.nih.gov/nuccore/CP000304.1?report=graph&amp;tracks=[key:gene_model_track,Options:GeneOnly]&amp;mk=3453488:3453507|offset_16|444444,3453466:3453485|offset_38|444444,3453445:3453464|offset_59|00cc00,3453383:3453402|offset_121|444444&amp;v=3453287:3453602&amp;c=444444", "offset 59")</f>
        <v>offset 59</v>
      </c>
    </row>
    <row r="12302" customFormat="false" ht="12.8" hidden="false" customHeight="false" outlineLevel="0" collapsed="false">
      <c r="A12302" s="0" t="s">
        <v>12</v>
      </c>
      <c r="B12302" s="0" t="n">
        <v>3453382</v>
      </c>
      <c r="C12302" s="0" t="n">
        <v>3453402</v>
      </c>
      <c r="D12302" s="0" t="s">
        <v>41010</v>
      </c>
      <c r="E12302" s="0" t="s">
        <v>89</v>
      </c>
      <c r="F12302" s="0" t="s">
        <v>90</v>
      </c>
      <c r="G12302" s="0" t="s">
        <v>16</v>
      </c>
      <c r="H12302" s="0" t="n">
        <v>121</v>
      </c>
      <c r="I12302" s="0" t="s">
        <v>41020</v>
      </c>
      <c r="J12302" s="0" t="s">
        <v>41021</v>
      </c>
      <c r="K12302" s="0" t="s">
        <v>41022</v>
      </c>
      <c r="L12302" s="0" t="str">
        <f aca="false">HYPERLINK("https://www.ncbi.nlm.nih.gov/nuccore/CP000304.1?report=graph&amp;tracks=[key:gene_model_track,Options:GeneOnly]&amp;mk=3453488:3453507|offset_16|444444,3453466:3453485|offset_38|444444,3453445:3453464|offset_59|444444,3453383:3453402|offset_121|00cc00&amp;v=3453287:3453602&amp;c=444444", "offset 121")</f>
        <v>offset 121</v>
      </c>
    </row>
    <row r="12303" customFormat="false" ht="12.8" hidden="false" customHeight="false" outlineLevel="0" collapsed="false">
      <c r="A12303" s="0" t="s">
        <v>12</v>
      </c>
      <c r="B12303" s="0" t="n">
        <v>3457050</v>
      </c>
      <c r="C12303" s="0" t="n">
        <v>3457070</v>
      </c>
      <c r="D12303" s="0" t="s">
        <v>41023</v>
      </c>
      <c r="E12303" s="0" t="s">
        <v>89</v>
      </c>
      <c r="F12303" s="0" t="s">
        <v>90</v>
      </c>
      <c r="G12303" s="0" t="s">
        <v>16</v>
      </c>
      <c r="H12303" s="0" t="n">
        <v>26</v>
      </c>
      <c r="I12303" s="0" t="s">
        <v>41024</v>
      </c>
      <c r="J12303" s="0" t="s">
        <v>41025</v>
      </c>
      <c r="K12303" s="0" t="s">
        <v>41026</v>
      </c>
      <c r="L12303" s="0" t="str">
        <f aca="false">HYPERLINK("https://www.ncbi.nlm.nih.gov/nuccore/CP000304.1?report=graph&amp;tracks=[key:gene_model_track,Options:GeneOnly]&amp;mk=3457051:3457070|offset_26|00cc00,3457025:3457044|offset_52|444444,3456994:3457013|offset_83|444444,3456962:3456981|offset_115|444444&amp;v=3456850:3457181&amp;c=444444", "offset 26")</f>
        <v>offset 26</v>
      </c>
    </row>
    <row r="12304" customFormat="false" ht="12.8" hidden="false" customHeight="false" outlineLevel="0" collapsed="false">
      <c r="A12304" s="0" t="s">
        <v>12</v>
      </c>
      <c r="B12304" s="0" t="n">
        <v>3457024</v>
      </c>
      <c r="C12304" s="0" t="n">
        <v>3457044</v>
      </c>
      <c r="D12304" s="0" t="s">
        <v>41023</v>
      </c>
      <c r="E12304" s="0" t="s">
        <v>89</v>
      </c>
      <c r="F12304" s="0" t="s">
        <v>90</v>
      </c>
      <c r="G12304" s="0" t="s">
        <v>26</v>
      </c>
      <c r="H12304" s="0" t="n">
        <v>52</v>
      </c>
      <c r="I12304" s="0" t="s">
        <v>41027</v>
      </c>
      <c r="J12304" s="0" t="s">
        <v>41028</v>
      </c>
      <c r="K12304" s="0" t="s">
        <v>41029</v>
      </c>
      <c r="L12304" s="0" t="str">
        <f aca="false">HYPERLINK("https://www.ncbi.nlm.nih.gov/nuccore/CP000304.1?report=graph&amp;tracks=[key:gene_model_track,Options:GeneOnly]&amp;mk=3457051:3457070|offset_26|444444,3457025:3457044|offset_52|00cc00,3456994:3457013|offset_83|444444,3456962:3456981|offset_115|444444&amp;v=3456850:3457181&amp;c=444444", "offset 52")</f>
        <v>offset 52</v>
      </c>
    </row>
    <row r="12305" customFormat="false" ht="12.8" hidden="false" customHeight="false" outlineLevel="0" collapsed="false">
      <c r="A12305" s="0" t="s">
        <v>12</v>
      </c>
      <c r="B12305" s="0" t="n">
        <v>3456993</v>
      </c>
      <c r="C12305" s="0" t="n">
        <v>3457013</v>
      </c>
      <c r="D12305" s="0" t="s">
        <v>41023</v>
      </c>
      <c r="E12305" s="0" t="s">
        <v>89</v>
      </c>
      <c r="F12305" s="0" t="s">
        <v>90</v>
      </c>
      <c r="G12305" s="0" t="s">
        <v>36</v>
      </c>
      <c r="H12305" s="0" t="n">
        <v>83</v>
      </c>
      <c r="I12305" s="0" t="s">
        <v>41030</v>
      </c>
      <c r="J12305" s="0" t="s">
        <v>41031</v>
      </c>
      <c r="K12305" s="0" t="s">
        <v>41032</v>
      </c>
      <c r="L12305" s="0" t="str">
        <f aca="false">HYPERLINK("https://www.ncbi.nlm.nih.gov/nuccore/CP000304.1?report=graph&amp;tracks=[key:gene_model_track,Options:GeneOnly]&amp;mk=3457051:3457070|offset_26|444444,3457025:3457044|offset_52|444444,3456994:3457013|offset_83|00cc00,3456962:3456981|offset_115|444444&amp;v=3456850:3457181&amp;c=444444", "offset 83")</f>
        <v>offset 83</v>
      </c>
    </row>
    <row r="12306" customFormat="false" ht="12.8" hidden="false" customHeight="false" outlineLevel="0" collapsed="false">
      <c r="A12306" s="0" t="s">
        <v>12</v>
      </c>
      <c r="B12306" s="0" t="n">
        <v>3456961</v>
      </c>
      <c r="C12306" s="0" t="n">
        <v>3456981</v>
      </c>
      <c r="D12306" s="0" t="s">
        <v>41023</v>
      </c>
      <c r="E12306" s="0" t="s">
        <v>89</v>
      </c>
      <c r="F12306" s="0" t="s">
        <v>90</v>
      </c>
      <c r="G12306" s="0" t="s">
        <v>36</v>
      </c>
      <c r="H12306" s="0" t="n">
        <v>115</v>
      </c>
      <c r="I12306" s="0" t="s">
        <v>41033</v>
      </c>
      <c r="J12306" s="0" t="s">
        <v>41034</v>
      </c>
      <c r="K12306" s="0" t="s">
        <v>41035</v>
      </c>
      <c r="L12306" s="0" t="str">
        <f aca="false">HYPERLINK("https://www.ncbi.nlm.nih.gov/nuccore/CP000304.1?report=graph&amp;tracks=[key:gene_model_track,Options:GeneOnly]&amp;mk=3457051:3457070|offset_26|444444,3457025:3457044|offset_52|444444,3456994:3457013|offset_83|444444,3456962:3456981|offset_115|00cc00&amp;v=3456850:3457181&amp;c=444444", "offset 115")</f>
        <v>offset 115</v>
      </c>
    </row>
    <row r="12307" customFormat="false" ht="12.8" hidden="false" customHeight="false" outlineLevel="0" collapsed="false">
      <c r="A12307" s="0" t="s">
        <v>12</v>
      </c>
      <c r="B12307" s="0" t="n">
        <v>3458749</v>
      </c>
      <c r="C12307" s="0" t="n">
        <v>3458769</v>
      </c>
      <c r="D12307" s="0" t="s">
        <v>41036</v>
      </c>
      <c r="E12307" s="0" t="s">
        <v>89</v>
      </c>
      <c r="F12307" s="0" t="s">
        <v>90</v>
      </c>
      <c r="G12307" s="0" t="s">
        <v>16</v>
      </c>
      <c r="H12307" s="0" t="n">
        <v>12</v>
      </c>
      <c r="I12307" s="0" t="s">
        <v>41037</v>
      </c>
      <c r="J12307" s="0" t="s">
        <v>41038</v>
      </c>
      <c r="K12307" s="0" t="s">
        <v>41039</v>
      </c>
      <c r="L12307" s="0" t="str">
        <f aca="false">HYPERLINK("https://www.ncbi.nlm.nih.gov/nuccore/CP000304.1?report=graph&amp;tracks=[key:gene_model_track,Options:GeneOnly]&amp;mk=3458750:3458769|offset_12|00cc00,3458630:3458649|offset_132|444444,3458562:3458581|offset_200|444444,3458526:3458545|offset_236|444444&amp;v=3458549:3458745&amp;c=444444", "offset 12")</f>
        <v>offset 12</v>
      </c>
    </row>
    <row r="12308" customFormat="false" ht="12.8" hidden="false" customHeight="false" outlineLevel="0" collapsed="false">
      <c r="A12308" s="0" t="s">
        <v>12</v>
      </c>
      <c r="B12308" s="0" t="n">
        <v>3458629</v>
      </c>
      <c r="C12308" s="0" t="n">
        <v>3458649</v>
      </c>
      <c r="D12308" s="0" t="s">
        <v>41036</v>
      </c>
      <c r="E12308" s="0" t="s">
        <v>89</v>
      </c>
      <c r="F12308" s="0" t="s">
        <v>90</v>
      </c>
      <c r="G12308" s="0" t="s">
        <v>16</v>
      </c>
      <c r="H12308" s="0" t="n">
        <v>132</v>
      </c>
      <c r="I12308" s="0" t="s">
        <v>41040</v>
      </c>
      <c r="J12308" s="0" t="s">
        <v>41041</v>
      </c>
      <c r="K12308" s="0" t="s">
        <v>41042</v>
      </c>
      <c r="L12308" s="0" t="str">
        <f aca="false">HYPERLINK("https://www.ncbi.nlm.nih.gov/nuccore/CP000304.1?report=graph&amp;tracks=[key:gene_model_track,Options:GeneOnly]&amp;mk=3458750:3458769|offset_12|444444,3458630:3458649|offset_132|00cc00,3458562:3458581|offset_200|444444,3458526:3458545|offset_236|444444&amp;v=3458549:3458745&amp;c=444444", "offset 132")</f>
        <v>offset 132</v>
      </c>
    </row>
    <row r="12309" customFormat="false" ht="12.8" hidden="false" customHeight="false" outlineLevel="0" collapsed="false">
      <c r="A12309" s="0" t="s">
        <v>12</v>
      </c>
      <c r="B12309" s="0" t="n">
        <v>3458561</v>
      </c>
      <c r="C12309" s="0" t="n">
        <v>3458581</v>
      </c>
      <c r="D12309" s="0" t="s">
        <v>41036</v>
      </c>
      <c r="E12309" s="0" t="s">
        <v>89</v>
      </c>
      <c r="F12309" s="0" t="s">
        <v>90</v>
      </c>
      <c r="G12309" s="0" t="s">
        <v>26</v>
      </c>
      <c r="H12309" s="0" t="n">
        <v>200</v>
      </c>
      <c r="I12309" s="0" t="s">
        <v>41043</v>
      </c>
      <c r="J12309" s="0" t="s">
        <v>41044</v>
      </c>
      <c r="K12309" s="0" t="s">
        <v>41045</v>
      </c>
      <c r="L12309" s="0" t="str">
        <f aca="false">HYPERLINK("https://www.ncbi.nlm.nih.gov/nuccore/CP000304.1?report=graph&amp;tracks=[key:gene_model_track,Options:GeneOnly]&amp;mk=3458750:3458769|offset_12|444444,3458630:3458649|offset_132|444444,3458562:3458581|offset_200|00cc00,3458526:3458545|offset_236|444444&amp;v=3458549:3458745&amp;c=444444", "offset 200")</f>
        <v>offset 200</v>
      </c>
    </row>
    <row r="12310" customFormat="false" ht="12.8" hidden="false" customHeight="false" outlineLevel="0" collapsed="false">
      <c r="A12310" s="0" t="s">
        <v>12</v>
      </c>
      <c r="B12310" s="0" t="n">
        <v>3458525</v>
      </c>
      <c r="C12310" s="0" t="n">
        <v>3458545</v>
      </c>
      <c r="D12310" s="0" t="s">
        <v>41036</v>
      </c>
      <c r="E12310" s="0" t="s">
        <v>89</v>
      </c>
      <c r="F12310" s="0" t="s">
        <v>90</v>
      </c>
      <c r="G12310" s="0" t="s">
        <v>32</v>
      </c>
      <c r="H12310" s="0" t="n">
        <v>236</v>
      </c>
      <c r="I12310" s="0" t="s">
        <v>41046</v>
      </c>
      <c r="J12310" s="0" t="s">
        <v>41047</v>
      </c>
      <c r="K12310" s="0" t="s">
        <v>41048</v>
      </c>
      <c r="L12310" s="0" t="str">
        <f aca="false">HYPERLINK("https://www.ncbi.nlm.nih.gov/nuccore/CP000304.1?report=graph&amp;tracks=[key:gene_model_track,Options:GeneOnly]&amp;mk=3458750:3458769|offset_12|444444,3458630:3458649|offset_132|444444,3458562:3458581|offset_200|444444,3458526:3458545|offset_236|00cc00&amp;v=3458549:3458745&amp;c=444444", "offset 236")</f>
        <v>offset 236</v>
      </c>
    </row>
    <row r="12311" customFormat="false" ht="12.8" hidden="false" customHeight="false" outlineLevel="0" collapsed="false">
      <c r="A12311" s="0" t="s">
        <v>12</v>
      </c>
      <c r="B12311" s="0" t="n">
        <v>3459650</v>
      </c>
      <c r="C12311" s="0" t="n">
        <v>3459670</v>
      </c>
      <c r="D12311" s="0" t="s">
        <v>41049</v>
      </c>
      <c r="E12311" s="0" t="s">
        <v>89</v>
      </c>
      <c r="F12311" s="0" t="s">
        <v>90</v>
      </c>
      <c r="G12311" s="0" t="s">
        <v>32</v>
      </c>
      <c r="H12311" s="0" t="n">
        <v>1</v>
      </c>
      <c r="I12311" s="0" t="s">
        <v>41050</v>
      </c>
      <c r="J12311" s="0" t="s">
        <v>41051</v>
      </c>
      <c r="K12311" s="0" t="s">
        <v>41052</v>
      </c>
      <c r="L12311" s="0" t="str">
        <f aca="false">HYPERLINK("https://www.ncbi.nlm.nih.gov/nuccore/CP000304.1?report=graph&amp;tracks=[key:gene_model_track,Options:GeneOnly]&amp;mk=3459651:3459670|offset_1|00cc00,3459628:3459647|offset_24|444444,3459536:3459555|offset_116|444444,3459513:3459532|offset_139|444444&amp;v=3459450:3459732&amp;c=444444", "offset 1")</f>
        <v>offset 1</v>
      </c>
    </row>
    <row r="12312" customFormat="false" ht="12.8" hidden="false" customHeight="false" outlineLevel="0" collapsed="false">
      <c r="A12312" s="0" t="s">
        <v>12</v>
      </c>
      <c r="B12312" s="0" t="n">
        <v>3459627</v>
      </c>
      <c r="C12312" s="0" t="n">
        <v>3459647</v>
      </c>
      <c r="D12312" s="0" t="s">
        <v>41049</v>
      </c>
      <c r="E12312" s="0" t="s">
        <v>89</v>
      </c>
      <c r="F12312" s="0" t="s">
        <v>90</v>
      </c>
      <c r="G12312" s="0" t="s">
        <v>36</v>
      </c>
      <c r="H12312" s="0" t="n">
        <v>24</v>
      </c>
      <c r="I12312" s="0" t="s">
        <v>41053</v>
      </c>
      <c r="J12312" s="0" t="s">
        <v>41054</v>
      </c>
      <c r="K12312" s="0" t="s">
        <v>41055</v>
      </c>
      <c r="L12312" s="0" t="str">
        <f aca="false">HYPERLINK("https://www.ncbi.nlm.nih.gov/nuccore/CP000304.1?report=graph&amp;tracks=[key:gene_model_track,Options:GeneOnly]&amp;mk=3459651:3459670|offset_1|444444,3459628:3459647|offset_24|00cc00,3459536:3459555|offset_116|444444,3459513:3459532|offset_139|444444&amp;v=3459450:3459732&amp;c=444444", "offset 24")</f>
        <v>offset 24</v>
      </c>
    </row>
    <row r="12313" customFormat="false" ht="12.8" hidden="false" customHeight="false" outlineLevel="0" collapsed="false">
      <c r="A12313" s="0" t="s">
        <v>12</v>
      </c>
      <c r="B12313" s="0" t="n">
        <v>3459535</v>
      </c>
      <c r="C12313" s="0" t="n">
        <v>3459555</v>
      </c>
      <c r="D12313" s="0" t="s">
        <v>41049</v>
      </c>
      <c r="E12313" s="0" t="s">
        <v>89</v>
      </c>
      <c r="F12313" s="0" t="s">
        <v>90</v>
      </c>
      <c r="G12313" s="0" t="s">
        <v>26</v>
      </c>
      <c r="H12313" s="0" t="n">
        <v>116</v>
      </c>
      <c r="I12313" s="0" t="s">
        <v>41056</v>
      </c>
      <c r="J12313" s="0" t="s">
        <v>41057</v>
      </c>
      <c r="K12313" s="0" t="s">
        <v>41058</v>
      </c>
      <c r="L12313" s="0" t="str">
        <f aca="false">HYPERLINK("https://www.ncbi.nlm.nih.gov/nuccore/CP000304.1?report=graph&amp;tracks=[key:gene_model_track,Options:GeneOnly]&amp;mk=3459651:3459670|offset_1|444444,3459628:3459647|offset_24|444444,3459536:3459555|offset_116|00cc00,3459513:3459532|offset_139|444444&amp;v=3459450:3459732&amp;c=444444", "offset 116")</f>
        <v>offset 116</v>
      </c>
    </row>
    <row r="12314" customFormat="false" ht="12.8" hidden="false" customHeight="false" outlineLevel="0" collapsed="false">
      <c r="A12314" s="0" t="s">
        <v>12</v>
      </c>
      <c r="B12314" s="0" t="n">
        <v>3459512</v>
      </c>
      <c r="C12314" s="0" t="n">
        <v>3459532</v>
      </c>
      <c r="D12314" s="0" t="s">
        <v>41049</v>
      </c>
      <c r="E12314" s="0" t="s">
        <v>89</v>
      </c>
      <c r="F12314" s="0" t="s">
        <v>90</v>
      </c>
      <c r="G12314" s="0" t="s">
        <v>36</v>
      </c>
      <c r="H12314" s="0" t="n">
        <v>139</v>
      </c>
      <c r="I12314" s="0" t="s">
        <v>41059</v>
      </c>
      <c r="J12314" s="0" t="s">
        <v>41060</v>
      </c>
      <c r="K12314" s="0" t="s">
        <v>41061</v>
      </c>
      <c r="L12314" s="0" t="str">
        <f aca="false">HYPERLINK("https://www.ncbi.nlm.nih.gov/nuccore/CP000304.1?report=graph&amp;tracks=[key:gene_model_track,Options:GeneOnly]&amp;mk=3459651:3459670|offset_1|444444,3459628:3459647|offset_24|444444,3459536:3459555|offset_116|444444,3459513:3459532|offset_139|00cc00&amp;v=3459450:3459732&amp;c=444444", "offset 139")</f>
        <v>offset 139</v>
      </c>
    </row>
    <row r="12315" customFormat="false" ht="12.8" hidden="false" customHeight="false" outlineLevel="0" collapsed="false">
      <c r="A12315" s="0" t="s">
        <v>12</v>
      </c>
      <c r="B12315" s="0" t="n">
        <v>3460712</v>
      </c>
      <c r="C12315" s="0" t="n">
        <v>3460732</v>
      </c>
      <c r="D12315" s="0" t="s">
        <v>41062</v>
      </c>
      <c r="E12315" s="0" t="s">
        <v>89</v>
      </c>
      <c r="F12315" s="0" t="s">
        <v>90</v>
      </c>
      <c r="G12315" s="0" t="s">
        <v>16</v>
      </c>
      <c r="H12315" s="0" t="n">
        <v>61</v>
      </c>
      <c r="I12315" s="0" t="s">
        <v>41063</v>
      </c>
      <c r="J12315" s="0" t="s">
        <v>41064</v>
      </c>
      <c r="K12315" s="0" t="s">
        <v>41065</v>
      </c>
      <c r="L12315" s="0" t="str">
        <f aca="false">HYPERLINK("https://www.ncbi.nlm.nih.gov/nuccore/CP000304.1?report=graph&amp;tracks=[key:gene_model_track,Options:GeneOnly]&amp;mk=3460713:3460732|offset_61|00cc00,3460683:3460702|offset_91|444444,3460635:3460654|offset_139|444444,3460554:3460573|offset_220|444444&amp;v=3460512:3460773&amp;c=444444", "offset 61")</f>
        <v>offset 61</v>
      </c>
    </row>
    <row r="12316" customFormat="false" ht="12.8" hidden="false" customHeight="false" outlineLevel="0" collapsed="false">
      <c r="A12316" s="0" t="s">
        <v>12</v>
      </c>
      <c r="B12316" s="0" t="n">
        <v>3460682</v>
      </c>
      <c r="C12316" s="0" t="n">
        <v>3460702</v>
      </c>
      <c r="D12316" s="0" t="s">
        <v>41062</v>
      </c>
      <c r="E12316" s="0" t="s">
        <v>89</v>
      </c>
      <c r="F12316" s="0" t="s">
        <v>90</v>
      </c>
      <c r="G12316" s="0" t="s">
        <v>32</v>
      </c>
      <c r="H12316" s="0" t="n">
        <v>91</v>
      </c>
      <c r="I12316" s="0" t="s">
        <v>41066</v>
      </c>
      <c r="J12316" s="0" t="s">
        <v>41067</v>
      </c>
      <c r="K12316" s="0" t="s">
        <v>41068</v>
      </c>
      <c r="L12316" s="0" t="str">
        <f aca="false">HYPERLINK("https://www.ncbi.nlm.nih.gov/nuccore/CP000304.1?report=graph&amp;tracks=[key:gene_model_track,Options:GeneOnly]&amp;mk=3460713:3460732|offset_61|444444,3460683:3460702|offset_91|00cc00,3460635:3460654|offset_139|444444,3460554:3460573|offset_220|444444&amp;v=3460512:3460773&amp;c=444444", "offset 91")</f>
        <v>offset 91</v>
      </c>
    </row>
    <row r="12317" customFormat="false" ht="12.8" hidden="false" customHeight="false" outlineLevel="0" collapsed="false">
      <c r="A12317" s="0" t="s">
        <v>12</v>
      </c>
      <c r="B12317" s="0" t="n">
        <v>3460634</v>
      </c>
      <c r="C12317" s="0" t="n">
        <v>3460654</v>
      </c>
      <c r="D12317" s="0" t="s">
        <v>41062</v>
      </c>
      <c r="E12317" s="0" t="s">
        <v>89</v>
      </c>
      <c r="F12317" s="0" t="s">
        <v>90</v>
      </c>
      <c r="G12317" s="0" t="s">
        <v>16</v>
      </c>
      <c r="H12317" s="0" t="n">
        <v>139</v>
      </c>
      <c r="I12317" s="0" t="s">
        <v>41069</v>
      </c>
      <c r="J12317" s="0" t="s">
        <v>41070</v>
      </c>
      <c r="K12317" s="0" t="s">
        <v>41071</v>
      </c>
      <c r="L12317" s="0" t="str">
        <f aca="false">HYPERLINK("https://www.ncbi.nlm.nih.gov/nuccore/CP000304.1?report=graph&amp;tracks=[key:gene_model_track,Options:GeneOnly]&amp;mk=3460713:3460732|offset_61|444444,3460683:3460702|offset_91|444444,3460635:3460654|offset_139|00cc00,3460554:3460573|offset_220|444444&amp;v=3460512:3460773&amp;c=444444", "offset 139")</f>
        <v>offset 139</v>
      </c>
    </row>
    <row r="12318" customFormat="false" ht="12.8" hidden="false" customHeight="false" outlineLevel="0" collapsed="false">
      <c r="A12318" s="0" t="s">
        <v>12</v>
      </c>
      <c r="B12318" s="0" t="n">
        <v>3460553</v>
      </c>
      <c r="C12318" s="0" t="n">
        <v>3460573</v>
      </c>
      <c r="D12318" s="0" t="s">
        <v>41062</v>
      </c>
      <c r="E12318" s="0" t="s">
        <v>89</v>
      </c>
      <c r="F12318" s="0" t="s">
        <v>90</v>
      </c>
      <c r="G12318" s="0" t="s">
        <v>16</v>
      </c>
      <c r="H12318" s="0" t="n">
        <v>220</v>
      </c>
      <c r="I12318" s="0" t="s">
        <v>41072</v>
      </c>
      <c r="J12318" s="0" t="s">
        <v>41073</v>
      </c>
      <c r="K12318" s="0" t="s">
        <v>41074</v>
      </c>
      <c r="L12318" s="0" t="str">
        <f aca="false">HYPERLINK("https://www.ncbi.nlm.nih.gov/nuccore/CP000304.1?report=graph&amp;tracks=[key:gene_model_track,Options:GeneOnly]&amp;mk=3460713:3460732|offset_61|444444,3460683:3460702|offset_91|444444,3460635:3460654|offset_139|444444,3460554:3460573|offset_220|00cc00&amp;v=3460512:3460773&amp;c=444444", "offset 220")</f>
        <v>offset 220</v>
      </c>
    </row>
    <row r="12319" customFormat="false" ht="12.8" hidden="false" customHeight="false" outlineLevel="0" collapsed="false">
      <c r="A12319" s="0" t="s">
        <v>12</v>
      </c>
      <c r="B12319" s="0" t="n">
        <v>3461718</v>
      </c>
      <c r="C12319" s="0" t="n">
        <v>3461738</v>
      </c>
      <c r="D12319" s="0" t="s">
        <v>41075</v>
      </c>
      <c r="E12319" s="0" t="s">
        <v>89</v>
      </c>
      <c r="F12319" s="0" t="s">
        <v>90</v>
      </c>
      <c r="G12319" s="0" t="s">
        <v>36</v>
      </c>
      <c r="H12319" s="0" t="n">
        <v>8</v>
      </c>
      <c r="I12319" s="0" t="s">
        <v>41076</v>
      </c>
      <c r="J12319" s="0" t="s">
        <v>41077</v>
      </c>
      <c r="K12319" s="0" t="s">
        <v>41078</v>
      </c>
      <c r="L12319" s="0" t="str">
        <f aca="false">HYPERLINK("https://www.ncbi.nlm.nih.gov/nuccore/CP000304.1?report=graph&amp;tracks=[key:gene_model_track,Options:GeneOnly]&amp;mk=3461719:3461738|offset_8|00cc00,3461683:3461702|offset_44|444444,3461653:3461672|offset_74|444444,3461579:3461598|offset_148|444444&amp;v=3461518:3461798&amp;c=444444", "offset 8")</f>
        <v>offset 8</v>
      </c>
    </row>
    <row r="12320" customFormat="false" ht="12.8" hidden="false" customHeight="false" outlineLevel="0" collapsed="false">
      <c r="A12320" s="0" t="s">
        <v>12</v>
      </c>
      <c r="B12320" s="0" t="n">
        <v>3461682</v>
      </c>
      <c r="C12320" s="0" t="n">
        <v>3461702</v>
      </c>
      <c r="D12320" s="0" t="s">
        <v>41075</v>
      </c>
      <c r="E12320" s="0" t="s">
        <v>89</v>
      </c>
      <c r="F12320" s="0" t="s">
        <v>90</v>
      </c>
      <c r="G12320" s="0" t="s">
        <v>26</v>
      </c>
      <c r="H12320" s="0" t="n">
        <v>44</v>
      </c>
      <c r="I12320" s="0" t="s">
        <v>41079</v>
      </c>
      <c r="J12320" s="0" t="s">
        <v>41080</v>
      </c>
      <c r="K12320" s="0" t="s">
        <v>41081</v>
      </c>
      <c r="L12320" s="0" t="str">
        <f aca="false">HYPERLINK("https://www.ncbi.nlm.nih.gov/nuccore/CP000304.1?report=graph&amp;tracks=[key:gene_model_track,Options:GeneOnly]&amp;mk=3461719:3461738|offset_8|444444,3461683:3461702|offset_44|00cc00,3461653:3461672|offset_74|444444,3461579:3461598|offset_148|444444&amp;v=3461518:3461798&amp;c=444444", "offset 44")</f>
        <v>offset 44</v>
      </c>
    </row>
    <row r="12321" customFormat="false" ht="12.8" hidden="false" customHeight="false" outlineLevel="0" collapsed="false">
      <c r="A12321" s="0" t="s">
        <v>12</v>
      </c>
      <c r="B12321" s="0" t="n">
        <v>3461652</v>
      </c>
      <c r="C12321" s="0" t="n">
        <v>3461672</v>
      </c>
      <c r="D12321" s="0" t="s">
        <v>41075</v>
      </c>
      <c r="E12321" s="0" t="s">
        <v>89</v>
      </c>
      <c r="F12321" s="0" t="s">
        <v>90</v>
      </c>
      <c r="G12321" s="0" t="s">
        <v>26</v>
      </c>
      <c r="H12321" s="0" t="n">
        <v>74</v>
      </c>
      <c r="I12321" s="0" t="s">
        <v>41082</v>
      </c>
      <c r="J12321" s="0" t="s">
        <v>41083</v>
      </c>
      <c r="K12321" s="0" t="s">
        <v>41084</v>
      </c>
      <c r="L12321" s="0" t="str">
        <f aca="false">HYPERLINK("https://www.ncbi.nlm.nih.gov/nuccore/CP000304.1?report=graph&amp;tracks=[key:gene_model_track,Options:GeneOnly]&amp;mk=3461719:3461738|offset_8|444444,3461683:3461702|offset_44|444444,3461653:3461672|offset_74|00cc00,3461579:3461598|offset_148|444444&amp;v=3461518:3461798&amp;c=444444", "offset 74")</f>
        <v>offset 74</v>
      </c>
    </row>
    <row r="12322" customFormat="false" ht="12.8" hidden="false" customHeight="false" outlineLevel="0" collapsed="false">
      <c r="A12322" s="0" t="s">
        <v>12</v>
      </c>
      <c r="B12322" s="0" t="n">
        <v>3461578</v>
      </c>
      <c r="C12322" s="0" t="n">
        <v>3461598</v>
      </c>
      <c r="D12322" s="0" t="s">
        <v>41075</v>
      </c>
      <c r="E12322" s="0" t="s">
        <v>89</v>
      </c>
      <c r="F12322" s="0" t="s">
        <v>90</v>
      </c>
      <c r="G12322" s="0" t="s">
        <v>32</v>
      </c>
      <c r="H12322" s="0" t="n">
        <v>148</v>
      </c>
      <c r="I12322" s="0" t="s">
        <v>41085</v>
      </c>
      <c r="J12322" s="0" t="s">
        <v>41086</v>
      </c>
      <c r="K12322" s="0" t="s">
        <v>41087</v>
      </c>
      <c r="L12322" s="0" t="str">
        <f aca="false">HYPERLINK("https://www.ncbi.nlm.nih.gov/nuccore/CP000304.1?report=graph&amp;tracks=[key:gene_model_track,Options:GeneOnly]&amp;mk=3461719:3461738|offset_8|444444,3461683:3461702|offset_44|444444,3461653:3461672|offset_74|444444,3461579:3461598|offset_148|00cc00&amp;v=3461518:3461798&amp;c=444444", "offset 148")</f>
        <v>offset 148</v>
      </c>
    </row>
    <row r="12323" customFormat="false" ht="12.8" hidden="false" customHeight="false" outlineLevel="0" collapsed="false">
      <c r="A12323" s="0" t="s">
        <v>12</v>
      </c>
      <c r="B12323" s="0" t="n">
        <v>3462499</v>
      </c>
      <c r="C12323" s="0" t="n">
        <v>3462519</v>
      </c>
      <c r="D12323" s="0" t="s">
        <v>41088</v>
      </c>
      <c r="E12323" s="0" t="s">
        <v>41089</v>
      </c>
      <c r="F12323" s="0" t="s">
        <v>90</v>
      </c>
      <c r="G12323" s="0" t="s">
        <v>32</v>
      </c>
      <c r="H12323" s="0" t="n">
        <v>0</v>
      </c>
      <c r="I12323" s="0" t="s">
        <v>41090</v>
      </c>
      <c r="J12323" s="0" t="s">
        <v>41091</v>
      </c>
      <c r="K12323" s="0" t="s">
        <v>41092</v>
      </c>
      <c r="L12323" s="0" t="str">
        <f aca="false">HYPERLINK("https://www.ncbi.nlm.nih.gov/nuccore/CP000304.1?report=graph&amp;tracks=[key:gene_model_track,Options:GeneOnly]&amp;mk=3462500:3462519|offset_0|00cc00,3462465:3462484|offset_35|444444,3462439:3462458|offset_61|444444,3462411:3462430|offset_89|444444&amp;v=3462299:3462630&amp;c=444444", "offset 0")</f>
        <v>offset 0</v>
      </c>
    </row>
    <row r="12324" customFormat="false" ht="12.8" hidden="false" customHeight="false" outlineLevel="0" collapsed="false">
      <c r="A12324" s="0" t="s">
        <v>12</v>
      </c>
      <c r="B12324" s="0" t="n">
        <v>3462464</v>
      </c>
      <c r="C12324" s="0" t="n">
        <v>3462484</v>
      </c>
      <c r="D12324" s="0" t="s">
        <v>41088</v>
      </c>
      <c r="E12324" s="0" t="s">
        <v>41089</v>
      </c>
      <c r="F12324" s="0" t="s">
        <v>90</v>
      </c>
      <c r="G12324" s="0" t="s">
        <v>26</v>
      </c>
      <c r="H12324" s="0" t="n">
        <v>35</v>
      </c>
      <c r="I12324" s="0" t="s">
        <v>41093</v>
      </c>
      <c r="J12324" s="0" t="s">
        <v>41094</v>
      </c>
      <c r="K12324" s="0" t="s">
        <v>41095</v>
      </c>
      <c r="L12324" s="0" t="str">
        <f aca="false">HYPERLINK("https://www.ncbi.nlm.nih.gov/nuccore/CP000304.1?report=graph&amp;tracks=[key:gene_model_track,Options:GeneOnly]&amp;mk=3462500:3462519|offset_0|444444,3462465:3462484|offset_35|00cc00,3462439:3462458|offset_61|444444,3462411:3462430|offset_89|444444&amp;v=3462299:3462630&amp;c=444444", "offset 35")</f>
        <v>offset 35</v>
      </c>
    </row>
    <row r="12325" customFormat="false" ht="12.8" hidden="false" customHeight="false" outlineLevel="0" collapsed="false">
      <c r="A12325" s="0" t="s">
        <v>12</v>
      </c>
      <c r="B12325" s="0" t="n">
        <v>3462438</v>
      </c>
      <c r="C12325" s="0" t="n">
        <v>3462458</v>
      </c>
      <c r="D12325" s="0" t="s">
        <v>41088</v>
      </c>
      <c r="E12325" s="0" t="s">
        <v>41089</v>
      </c>
      <c r="F12325" s="0" t="s">
        <v>90</v>
      </c>
      <c r="G12325" s="0" t="s">
        <v>16</v>
      </c>
      <c r="H12325" s="0" t="n">
        <v>61</v>
      </c>
      <c r="I12325" s="0" t="s">
        <v>41096</v>
      </c>
      <c r="J12325" s="0" t="s">
        <v>41097</v>
      </c>
      <c r="K12325" s="0" t="s">
        <v>41098</v>
      </c>
      <c r="L12325" s="0" t="str">
        <f aca="false">HYPERLINK("https://www.ncbi.nlm.nih.gov/nuccore/CP000304.1?report=graph&amp;tracks=[key:gene_model_track,Options:GeneOnly]&amp;mk=3462500:3462519|offset_0|444444,3462465:3462484|offset_35|444444,3462439:3462458|offset_61|00cc00,3462411:3462430|offset_89|444444&amp;v=3462299:3462630&amp;c=444444", "offset 61")</f>
        <v>offset 61</v>
      </c>
    </row>
    <row r="12326" customFormat="false" ht="12.8" hidden="false" customHeight="false" outlineLevel="0" collapsed="false">
      <c r="A12326" s="0" t="s">
        <v>12</v>
      </c>
      <c r="B12326" s="0" t="n">
        <v>3462410</v>
      </c>
      <c r="C12326" s="0" t="n">
        <v>3462430</v>
      </c>
      <c r="D12326" s="0" t="s">
        <v>41088</v>
      </c>
      <c r="E12326" s="0" t="s">
        <v>41089</v>
      </c>
      <c r="F12326" s="0" t="s">
        <v>90</v>
      </c>
      <c r="G12326" s="0" t="s">
        <v>16</v>
      </c>
      <c r="H12326" s="0" t="n">
        <v>89</v>
      </c>
      <c r="I12326" s="0" t="s">
        <v>41099</v>
      </c>
      <c r="J12326" s="0" t="s">
        <v>41100</v>
      </c>
      <c r="K12326" s="0" t="s">
        <v>41101</v>
      </c>
      <c r="L12326" s="0" t="str">
        <f aca="false">HYPERLINK("https://www.ncbi.nlm.nih.gov/nuccore/CP000304.1?report=graph&amp;tracks=[key:gene_model_track,Options:GeneOnly]&amp;mk=3462500:3462519|offset_0|444444,3462465:3462484|offset_35|444444,3462439:3462458|offset_61|444444,3462411:3462430|offset_89|00cc00&amp;v=3462299:3462630&amp;c=444444", "offset 89")</f>
        <v>offset 89</v>
      </c>
    </row>
    <row r="12327" customFormat="false" ht="12.8" hidden="false" customHeight="false" outlineLevel="0" collapsed="false">
      <c r="A12327" s="0" t="s">
        <v>12</v>
      </c>
      <c r="B12327" s="0" t="n">
        <v>3464080</v>
      </c>
      <c r="C12327" s="0" t="n">
        <v>3464100</v>
      </c>
      <c r="D12327" s="0" t="s">
        <v>41102</v>
      </c>
      <c r="E12327" s="0" t="s">
        <v>89</v>
      </c>
      <c r="F12327" s="0" t="s">
        <v>90</v>
      </c>
      <c r="G12327" s="0" t="s">
        <v>32</v>
      </c>
      <c r="H12327" s="0" t="n">
        <v>15</v>
      </c>
      <c r="I12327" s="0" t="s">
        <v>41103</v>
      </c>
      <c r="J12327" s="0" t="s">
        <v>41104</v>
      </c>
      <c r="K12327" s="0" t="s">
        <v>41105</v>
      </c>
      <c r="L12327" s="0" t="str">
        <f aca="false">HYPERLINK("https://www.ncbi.nlm.nih.gov/nuccore/CP000304.1?report=graph&amp;tracks=[key:gene_model_track,Options:GeneOnly]&amp;mk=3464081:3464100|offset_15|00cc00,3464059:3464078|offset_37|444444,3464038:3464057|offset_58|444444,3464017:3464036|offset_79|444444&amp;v=3463880:3464236&amp;c=444444", "offset 15")</f>
        <v>offset 15</v>
      </c>
    </row>
    <row r="12328" customFormat="false" ht="12.8" hidden="false" customHeight="false" outlineLevel="0" collapsed="false">
      <c r="A12328" s="0" t="s">
        <v>12</v>
      </c>
      <c r="B12328" s="0" t="n">
        <v>3464058</v>
      </c>
      <c r="C12328" s="0" t="n">
        <v>3464078</v>
      </c>
      <c r="D12328" s="0" t="s">
        <v>41102</v>
      </c>
      <c r="E12328" s="0" t="s">
        <v>89</v>
      </c>
      <c r="F12328" s="0" t="s">
        <v>90</v>
      </c>
      <c r="G12328" s="0" t="s">
        <v>16</v>
      </c>
      <c r="H12328" s="0" t="n">
        <v>37</v>
      </c>
      <c r="I12328" s="0" t="s">
        <v>41106</v>
      </c>
      <c r="J12328" s="0" t="s">
        <v>41107</v>
      </c>
      <c r="K12328" s="0" t="s">
        <v>41108</v>
      </c>
      <c r="L12328" s="0" t="str">
        <f aca="false">HYPERLINK("https://www.ncbi.nlm.nih.gov/nuccore/CP000304.1?report=graph&amp;tracks=[key:gene_model_track,Options:GeneOnly]&amp;mk=3464081:3464100|offset_15|444444,3464059:3464078|offset_37|00cc00,3464038:3464057|offset_58|444444,3464017:3464036|offset_79|444444&amp;v=3463880:3464236&amp;c=444444", "offset 37")</f>
        <v>offset 37</v>
      </c>
    </row>
    <row r="12329" customFormat="false" ht="12.8" hidden="false" customHeight="false" outlineLevel="0" collapsed="false">
      <c r="A12329" s="0" t="s">
        <v>12</v>
      </c>
      <c r="B12329" s="0" t="n">
        <v>3464037</v>
      </c>
      <c r="C12329" s="0" t="n">
        <v>3464057</v>
      </c>
      <c r="D12329" s="0" t="s">
        <v>41102</v>
      </c>
      <c r="E12329" s="0" t="s">
        <v>89</v>
      </c>
      <c r="F12329" s="0" t="s">
        <v>90</v>
      </c>
      <c r="G12329" s="0" t="s">
        <v>36</v>
      </c>
      <c r="H12329" s="0" t="n">
        <v>58</v>
      </c>
      <c r="I12329" s="0" t="s">
        <v>41109</v>
      </c>
      <c r="J12329" s="0" t="s">
        <v>41110</v>
      </c>
      <c r="K12329" s="0" t="s">
        <v>41111</v>
      </c>
      <c r="L12329" s="0" t="str">
        <f aca="false">HYPERLINK("https://www.ncbi.nlm.nih.gov/nuccore/CP000304.1?report=graph&amp;tracks=[key:gene_model_track,Options:GeneOnly]&amp;mk=3464081:3464100|offset_15|444444,3464059:3464078|offset_37|444444,3464038:3464057|offset_58|00cc00,3464017:3464036|offset_79|444444&amp;v=3463880:3464236&amp;c=444444", "offset 58")</f>
        <v>offset 58</v>
      </c>
    </row>
    <row r="12330" customFormat="false" ht="12.8" hidden="false" customHeight="false" outlineLevel="0" collapsed="false">
      <c r="A12330" s="0" t="s">
        <v>12</v>
      </c>
      <c r="B12330" s="0" t="n">
        <v>3464016</v>
      </c>
      <c r="C12330" s="0" t="n">
        <v>3464036</v>
      </c>
      <c r="D12330" s="0" t="s">
        <v>41102</v>
      </c>
      <c r="E12330" s="0" t="s">
        <v>89</v>
      </c>
      <c r="F12330" s="0" t="s">
        <v>90</v>
      </c>
      <c r="G12330" s="0" t="s">
        <v>26</v>
      </c>
      <c r="H12330" s="0" t="n">
        <v>79</v>
      </c>
      <c r="I12330" s="0" t="s">
        <v>41112</v>
      </c>
      <c r="J12330" s="0" t="s">
        <v>41113</v>
      </c>
      <c r="K12330" s="0" t="s">
        <v>41114</v>
      </c>
      <c r="L12330" s="0" t="str">
        <f aca="false">HYPERLINK("https://www.ncbi.nlm.nih.gov/nuccore/CP000304.1?report=graph&amp;tracks=[key:gene_model_track,Options:GeneOnly]&amp;mk=3464081:3464100|offset_15|444444,3464059:3464078|offset_37|444444,3464038:3464057|offset_58|444444,3464017:3464036|offset_79|00cc00&amp;v=3463880:3464236&amp;c=444444", "offset 79")</f>
        <v>offset 79</v>
      </c>
    </row>
    <row r="12331" customFormat="false" ht="12.8" hidden="false" customHeight="false" outlineLevel="0" collapsed="false">
      <c r="A12331" s="0" t="s">
        <v>12</v>
      </c>
      <c r="B12331" s="0" t="n">
        <v>3464802</v>
      </c>
      <c r="C12331" s="0" t="n">
        <v>3464822</v>
      </c>
      <c r="D12331" s="0" t="s">
        <v>41115</v>
      </c>
      <c r="E12331" s="0" t="s">
        <v>89</v>
      </c>
      <c r="F12331" s="0" t="s">
        <v>90</v>
      </c>
      <c r="G12331" s="0" t="s">
        <v>32</v>
      </c>
      <c r="H12331" s="0" t="n">
        <v>1</v>
      </c>
      <c r="I12331" s="0" t="s">
        <v>41116</v>
      </c>
      <c r="J12331" s="0" t="s">
        <v>41117</v>
      </c>
      <c r="K12331" s="0" t="s">
        <v>41118</v>
      </c>
      <c r="L12331" s="0" t="str">
        <f aca="false">HYPERLINK("https://www.ncbi.nlm.nih.gov/nuccore/CP000304.1?report=graph&amp;tracks=[key:gene_model_track,Options:GeneOnly]&amp;mk=3464803:3464822|offset_1|00cc00,3464772:3464791|offset_32|444444,3464751:3464770|offset_53|444444,3464730:3464749|offset_74|444444&amp;v=3464602:3464949&amp;c=444444", "offset 1")</f>
        <v>offset 1</v>
      </c>
    </row>
    <row r="12332" customFormat="false" ht="12.8" hidden="false" customHeight="false" outlineLevel="0" collapsed="false">
      <c r="A12332" s="0" t="s">
        <v>12</v>
      </c>
      <c r="B12332" s="0" t="n">
        <v>3464771</v>
      </c>
      <c r="C12332" s="0" t="n">
        <v>3464791</v>
      </c>
      <c r="D12332" s="0" t="s">
        <v>41115</v>
      </c>
      <c r="E12332" s="0" t="s">
        <v>89</v>
      </c>
      <c r="F12332" s="0" t="s">
        <v>90</v>
      </c>
      <c r="G12332" s="0" t="s">
        <v>16</v>
      </c>
      <c r="H12332" s="0" t="n">
        <v>32</v>
      </c>
      <c r="I12332" s="0" t="s">
        <v>41119</v>
      </c>
      <c r="J12332" s="0" t="s">
        <v>41120</v>
      </c>
      <c r="K12332" s="0" t="s">
        <v>41121</v>
      </c>
      <c r="L12332" s="0" t="str">
        <f aca="false">HYPERLINK("https://www.ncbi.nlm.nih.gov/nuccore/CP000304.1?report=graph&amp;tracks=[key:gene_model_track,Options:GeneOnly]&amp;mk=3464803:3464822|offset_1|444444,3464772:3464791|offset_32|00cc00,3464751:3464770|offset_53|444444,3464730:3464749|offset_74|444444&amp;v=3464602:3464949&amp;c=444444", "offset 32")</f>
        <v>offset 32</v>
      </c>
    </row>
    <row r="12333" customFormat="false" ht="12.8" hidden="false" customHeight="false" outlineLevel="0" collapsed="false">
      <c r="A12333" s="0" t="s">
        <v>12</v>
      </c>
      <c r="B12333" s="0" t="n">
        <v>3464750</v>
      </c>
      <c r="C12333" s="0" t="n">
        <v>3464770</v>
      </c>
      <c r="D12333" s="0" t="s">
        <v>41115</v>
      </c>
      <c r="E12333" s="0" t="s">
        <v>89</v>
      </c>
      <c r="F12333" s="0" t="s">
        <v>90</v>
      </c>
      <c r="G12333" s="0" t="s">
        <v>26</v>
      </c>
      <c r="H12333" s="0" t="n">
        <v>53</v>
      </c>
      <c r="I12333" s="0" t="s">
        <v>41122</v>
      </c>
      <c r="J12333" s="0" t="s">
        <v>41123</v>
      </c>
      <c r="K12333" s="0" t="s">
        <v>41124</v>
      </c>
      <c r="L12333" s="0" t="str">
        <f aca="false">HYPERLINK("https://www.ncbi.nlm.nih.gov/nuccore/CP000304.1?report=graph&amp;tracks=[key:gene_model_track,Options:GeneOnly]&amp;mk=3464803:3464822|offset_1|444444,3464772:3464791|offset_32|444444,3464751:3464770|offset_53|00cc00,3464730:3464749|offset_74|444444&amp;v=3464602:3464949&amp;c=444444", "offset 53")</f>
        <v>offset 53</v>
      </c>
    </row>
    <row r="12334" customFormat="false" ht="12.8" hidden="false" customHeight="false" outlineLevel="0" collapsed="false">
      <c r="A12334" s="0" t="s">
        <v>12</v>
      </c>
      <c r="B12334" s="0" t="n">
        <v>3464729</v>
      </c>
      <c r="C12334" s="0" t="n">
        <v>3464749</v>
      </c>
      <c r="D12334" s="0" t="s">
        <v>41115</v>
      </c>
      <c r="E12334" s="0" t="s">
        <v>89</v>
      </c>
      <c r="F12334" s="0" t="s">
        <v>90</v>
      </c>
      <c r="G12334" s="0" t="s">
        <v>26</v>
      </c>
      <c r="H12334" s="0" t="n">
        <v>74</v>
      </c>
      <c r="I12334" s="0" t="s">
        <v>41125</v>
      </c>
      <c r="J12334" s="0" t="s">
        <v>41126</v>
      </c>
      <c r="K12334" s="0" t="s">
        <v>41127</v>
      </c>
      <c r="L12334" s="0" t="str">
        <f aca="false">HYPERLINK("https://www.ncbi.nlm.nih.gov/nuccore/CP000304.1?report=graph&amp;tracks=[key:gene_model_track,Options:GeneOnly]&amp;mk=3464803:3464822|offset_1|444444,3464772:3464791|offset_32|444444,3464751:3464770|offset_53|444444,3464730:3464749|offset_74|00cc00&amp;v=3464602:3464949&amp;c=444444", "offset 74")</f>
        <v>offset 74</v>
      </c>
    </row>
    <row r="12335" customFormat="false" ht="12.8" hidden="false" customHeight="false" outlineLevel="0" collapsed="false">
      <c r="A12335" s="0" t="s">
        <v>12</v>
      </c>
      <c r="B12335" s="0" t="n">
        <v>3466531</v>
      </c>
      <c r="C12335" s="0" t="n">
        <v>3466551</v>
      </c>
      <c r="D12335" s="0" t="s">
        <v>41128</v>
      </c>
      <c r="E12335" s="0" t="s">
        <v>89</v>
      </c>
      <c r="F12335" s="0" t="s">
        <v>90</v>
      </c>
      <c r="G12335" s="0" t="s">
        <v>16</v>
      </c>
      <c r="H12335" s="0" t="n">
        <v>12</v>
      </c>
      <c r="I12335" s="0" t="s">
        <v>41129</v>
      </c>
      <c r="J12335" s="0" t="s">
        <v>41130</v>
      </c>
      <c r="K12335" s="0" t="s">
        <v>41131</v>
      </c>
      <c r="L12335" s="0" t="str">
        <f aca="false">HYPERLINK("https://www.ncbi.nlm.nih.gov/nuccore/CP000304.1?report=graph&amp;tracks=[key:gene_model_track,Options:GeneOnly]&amp;mk=3466532:3466551|offset_12|00cc00,3466502:3466521|offset_42|444444,3466467:3466486|offset_77|444444,3466447:3466466|offset_97|444444&amp;v=3466331:3466666&amp;c=444444", "offset 12")</f>
        <v>offset 12</v>
      </c>
    </row>
    <row r="12336" customFormat="false" ht="12.8" hidden="false" customHeight="false" outlineLevel="0" collapsed="false">
      <c r="A12336" s="0" t="s">
        <v>12</v>
      </c>
      <c r="B12336" s="0" t="n">
        <v>3466501</v>
      </c>
      <c r="C12336" s="0" t="n">
        <v>3466521</v>
      </c>
      <c r="D12336" s="0" t="s">
        <v>41128</v>
      </c>
      <c r="E12336" s="0" t="s">
        <v>89</v>
      </c>
      <c r="F12336" s="0" t="s">
        <v>90</v>
      </c>
      <c r="G12336" s="0" t="s">
        <v>36</v>
      </c>
      <c r="H12336" s="0" t="n">
        <v>42</v>
      </c>
      <c r="I12336" s="0" t="s">
        <v>41132</v>
      </c>
      <c r="J12336" s="0" t="s">
        <v>41133</v>
      </c>
      <c r="K12336" s="0" t="s">
        <v>41134</v>
      </c>
      <c r="L12336" s="0" t="str">
        <f aca="false">HYPERLINK("https://www.ncbi.nlm.nih.gov/nuccore/CP000304.1?report=graph&amp;tracks=[key:gene_model_track,Options:GeneOnly]&amp;mk=3466532:3466551|offset_12|444444,3466502:3466521|offset_42|00cc00,3466467:3466486|offset_77|444444,3466447:3466466|offset_97|444444&amp;v=3466331:3466666&amp;c=444444", "offset 42")</f>
        <v>offset 42</v>
      </c>
    </row>
    <row r="12337" customFormat="false" ht="12.8" hidden="false" customHeight="false" outlineLevel="0" collapsed="false">
      <c r="A12337" s="0" t="s">
        <v>12</v>
      </c>
      <c r="B12337" s="0" t="n">
        <v>3466466</v>
      </c>
      <c r="C12337" s="0" t="n">
        <v>3466486</v>
      </c>
      <c r="D12337" s="0" t="s">
        <v>41128</v>
      </c>
      <c r="E12337" s="0" t="s">
        <v>89</v>
      </c>
      <c r="F12337" s="0" t="s">
        <v>90</v>
      </c>
      <c r="G12337" s="0" t="s">
        <v>16</v>
      </c>
      <c r="H12337" s="0" t="n">
        <v>77</v>
      </c>
      <c r="I12337" s="0" t="s">
        <v>41135</v>
      </c>
      <c r="J12337" s="0" t="s">
        <v>41136</v>
      </c>
      <c r="K12337" s="0" t="s">
        <v>41137</v>
      </c>
      <c r="L12337" s="0" t="str">
        <f aca="false">HYPERLINK("https://www.ncbi.nlm.nih.gov/nuccore/CP000304.1?report=graph&amp;tracks=[key:gene_model_track,Options:GeneOnly]&amp;mk=3466532:3466551|offset_12|444444,3466502:3466521|offset_42|444444,3466467:3466486|offset_77|00cc00,3466447:3466466|offset_97|444444&amp;v=3466331:3466666&amp;c=444444", "offset 77")</f>
        <v>offset 77</v>
      </c>
    </row>
    <row r="12338" customFormat="false" ht="12.8" hidden="false" customHeight="false" outlineLevel="0" collapsed="false">
      <c r="A12338" s="0" t="s">
        <v>12</v>
      </c>
      <c r="B12338" s="0" t="n">
        <v>3466446</v>
      </c>
      <c r="C12338" s="0" t="n">
        <v>3466466</v>
      </c>
      <c r="D12338" s="0" t="s">
        <v>41128</v>
      </c>
      <c r="E12338" s="0" t="s">
        <v>89</v>
      </c>
      <c r="F12338" s="0" t="s">
        <v>90</v>
      </c>
      <c r="G12338" s="0" t="s">
        <v>36</v>
      </c>
      <c r="H12338" s="0" t="n">
        <v>97</v>
      </c>
      <c r="I12338" s="0" t="s">
        <v>41138</v>
      </c>
      <c r="J12338" s="0" t="s">
        <v>41139</v>
      </c>
      <c r="K12338" s="0" t="s">
        <v>41140</v>
      </c>
      <c r="L12338" s="0" t="str">
        <f aca="false">HYPERLINK("https://www.ncbi.nlm.nih.gov/nuccore/CP000304.1?report=graph&amp;tracks=[key:gene_model_track,Options:GeneOnly]&amp;mk=3466532:3466551|offset_12|444444,3466502:3466521|offset_42|444444,3466467:3466486|offset_77|444444,3466447:3466466|offset_97|00cc00&amp;v=3466331:3466666&amp;c=444444", "offset 97")</f>
        <v>offset 97</v>
      </c>
    </row>
    <row r="12339" customFormat="false" ht="12.8" hidden="false" customHeight="false" outlineLevel="0" collapsed="false">
      <c r="A12339" s="0" t="s">
        <v>12</v>
      </c>
      <c r="B12339" s="0" t="n">
        <v>3467894</v>
      </c>
      <c r="C12339" s="0" t="n">
        <v>3467914</v>
      </c>
      <c r="D12339" s="0" t="s">
        <v>41141</v>
      </c>
      <c r="E12339" s="0" t="s">
        <v>89</v>
      </c>
      <c r="F12339" s="0" t="s">
        <v>90</v>
      </c>
      <c r="G12339" s="0" t="s">
        <v>16</v>
      </c>
      <c r="H12339" s="0" t="n">
        <v>83</v>
      </c>
      <c r="I12339" s="0" t="s">
        <v>41142</v>
      </c>
      <c r="J12339" s="0" t="s">
        <v>41143</v>
      </c>
      <c r="K12339" s="0" t="s">
        <v>41144</v>
      </c>
      <c r="L12339" s="0" t="str">
        <f aca="false">HYPERLINK("https://www.ncbi.nlm.nih.gov/nuccore/CP000304.1?report=graph&amp;tracks=[key:gene_model_track,Options:GeneOnly]&amp;mk=3467895:3467914|offset_83|00cc00,3467872:3467891|offset_106|444444,3467851:3467870|offset_127|444444,3467823:3467842|offset_155|444444&amp;v=3467694:3468042&amp;c=444444", "offset 83")</f>
        <v>offset 83</v>
      </c>
    </row>
    <row r="12340" customFormat="false" ht="12.8" hidden="false" customHeight="false" outlineLevel="0" collapsed="false">
      <c r="A12340" s="0" t="s">
        <v>12</v>
      </c>
      <c r="B12340" s="0" t="n">
        <v>3467871</v>
      </c>
      <c r="C12340" s="0" t="n">
        <v>3467891</v>
      </c>
      <c r="D12340" s="0" t="s">
        <v>41141</v>
      </c>
      <c r="E12340" s="0" t="s">
        <v>89</v>
      </c>
      <c r="F12340" s="0" t="s">
        <v>90</v>
      </c>
      <c r="G12340" s="0" t="s">
        <v>32</v>
      </c>
      <c r="H12340" s="0" t="n">
        <v>106</v>
      </c>
      <c r="I12340" s="0" t="s">
        <v>41145</v>
      </c>
      <c r="J12340" s="0" t="s">
        <v>41146</v>
      </c>
      <c r="K12340" s="0" t="s">
        <v>41147</v>
      </c>
      <c r="L12340" s="0" t="str">
        <f aca="false">HYPERLINK("https://www.ncbi.nlm.nih.gov/nuccore/CP000304.1?report=graph&amp;tracks=[key:gene_model_track,Options:GeneOnly]&amp;mk=3467895:3467914|offset_83|444444,3467872:3467891|offset_106|00cc00,3467851:3467870|offset_127|444444,3467823:3467842|offset_155|444444&amp;v=3467694:3468042&amp;c=444444", "offset 106")</f>
        <v>offset 106</v>
      </c>
    </row>
    <row r="12341" customFormat="false" ht="12.8" hidden="false" customHeight="false" outlineLevel="0" collapsed="false">
      <c r="A12341" s="0" t="s">
        <v>12</v>
      </c>
      <c r="B12341" s="0" t="n">
        <v>3467850</v>
      </c>
      <c r="C12341" s="0" t="n">
        <v>3467870</v>
      </c>
      <c r="D12341" s="0" t="s">
        <v>41141</v>
      </c>
      <c r="E12341" s="0" t="s">
        <v>89</v>
      </c>
      <c r="F12341" s="0" t="s">
        <v>90</v>
      </c>
      <c r="G12341" s="0" t="s">
        <v>26</v>
      </c>
      <c r="H12341" s="0" t="n">
        <v>127</v>
      </c>
      <c r="I12341" s="0" t="s">
        <v>41148</v>
      </c>
      <c r="J12341" s="0" t="s">
        <v>41149</v>
      </c>
      <c r="K12341" s="0" t="s">
        <v>41150</v>
      </c>
      <c r="L12341" s="0" t="str">
        <f aca="false">HYPERLINK("https://www.ncbi.nlm.nih.gov/nuccore/CP000304.1?report=graph&amp;tracks=[key:gene_model_track,Options:GeneOnly]&amp;mk=3467895:3467914|offset_83|444444,3467872:3467891|offset_106|444444,3467851:3467870|offset_127|00cc00,3467823:3467842|offset_155|444444&amp;v=3467694:3468042&amp;c=444444", "offset 127")</f>
        <v>offset 127</v>
      </c>
    </row>
    <row r="12342" customFormat="false" ht="12.8" hidden="false" customHeight="false" outlineLevel="0" collapsed="false">
      <c r="A12342" s="0" t="s">
        <v>12</v>
      </c>
      <c r="B12342" s="0" t="n">
        <v>3467822</v>
      </c>
      <c r="C12342" s="0" t="n">
        <v>3467842</v>
      </c>
      <c r="D12342" s="0" t="s">
        <v>41141</v>
      </c>
      <c r="E12342" s="0" t="s">
        <v>89</v>
      </c>
      <c r="F12342" s="0" t="s">
        <v>90</v>
      </c>
      <c r="G12342" s="0" t="s">
        <v>26</v>
      </c>
      <c r="H12342" s="0" t="n">
        <v>155</v>
      </c>
      <c r="I12342" s="0" t="s">
        <v>41151</v>
      </c>
      <c r="J12342" s="0" t="s">
        <v>41152</v>
      </c>
      <c r="K12342" s="0" t="s">
        <v>41153</v>
      </c>
      <c r="L12342" s="0" t="str">
        <f aca="false">HYPERLINK("https://www.ncbi.nlm.nih.gov/nuccore/CP000304.1?report=graph&amp;tracks=[key:gene_model_track,Options:GeneOnly]&amp;mk=3467895:3467914|offset_83|444444,3467872:3467891|offset_106|444444,3467851:3467870|offset_127|444444,3467823:3467842|offset_155|00cc00&amp;v=3467694:3468042&amp;c=444444", "offset 155")</f>
        <v>offset 155</v>
      </c>
    </row>
    <row r="12343" customFormat="false" ht="12.8" hidden="false" customHeight="false" outlineLevel="0" collapsed="false">
      <c r="A12343" s="0" t="s">
        <v>12</v>
      </c>
      <c r="B12343" s="0" t="n">
        <v>3468207</v>
      </c>
      <c r="C12343" s="0" t="n">
        <v>3468227</v>
      </c>
      <c r="D12343" s="0" t="s">
        <v>41154</v>
      </c>
      <c r="E12343" s="0" t="s">
        <v>89</v>
      </c>
      <c r="F12343" s="0" t="s">
        <v>15</v>
      </c>
      <c r="G12343" s="0" t="s">
        <v>36</v>
      </c>
      <c r="H12343" s="0" t="n">
        <v>0</v>
      </c>
      <c r="I12343" s="0" t="s">
        <v>41155</v>
      </c>
      <c r="J12343" s="0" t="s">
        <v>41156</v>
      </c>
      <c r="K12343" s="0" t="s">
        <v>41157</v>
      </c>
      <c r="L12343" s="0" t="str">
        <f aca="false">HYPERLINK("https://www.ncbi.nlm.nih.gov/nuccore/CP000304.1?report=graph&amp;tracks=[key:gene_model_track,Options:GeneOnly]&amp;mk=3468208:3468227|offset_0|00cc00,3468236:3468255|offset_28|444444,3468301:3468320|offset_93|444444,3468321:3468340|offset_113|444444&amp;v=3468007:3468540&amp;c=444444", "offset 0")</f>
        <v>offset 0</v>
      </c>
    </row>
    <row r="12344" customFormat="false" ht="12.8" hidden="false" customHeight="false" outlineLevel="0" collapsed="false">
      <c r="A12344" s="0" t="s">
        <v>12</v>
      </c>
      <c r="B12344" s="0" t="n">
        <v>3468235</v>
      </c>
      <c r="C12344" s="0" t="n">
        <v>3468255</v>
      </c>
      <c r="D12344" s="0" t="s">
        <v>41154</v>
      </c>
      <c r="E12344" s="0" t="s">
        <v>89</v>
      </c>
      <c r="F12344" s="0" t="s">
        <v>15</v>
      </c>
      <c r="G12344" s="0" t="s">
        <v>36</v>
      </c>
      <c r="H12344" s="0" t="n">
        <v>28</v>
      </c>
      <c r="I12344" s="0" t="s">
        <v>41158</v>
      </c>
      <c r="J12344" s="0" t="s">
        <v>41159</v>
      </c>
      <c r="K12344" s="0" t="s">
        <v>41160</v>
      </c>
      <c r="L12344" s="0" t="str">
        <f aca="false">HYPERLINK("https://www.ncbi.nlm.nih.gov/nuccore/CP000304.1?report=graph&amp;tracks=[key:gene_model_track,Options:GeneOnly]&amp;mk=3468208:3468227|offset_0|444444,3468236:3468255|offset_28|00cc00,3468301:3468320|offset_93|444444,3468321:3468340|offset_113|444444&amp;v=3468007:3468540&amp;c=444444", "offset 28")</f>
        <v>offset 28</v>
      </c>
    </row>
    <row r="12345" customFormat="false" ht="12.8" hidden="false" customHeight="false" outlineLevel="0" collapsed="false">
      <c r="A12345" s="0" t="s">
        <v>12</v>
      </c>
      <c r="B12345" s="0" t="n">
        <v>3468300</v>
      </c>
      <c r="C12345" s="0" t="n">
        <v>3468320</v>
      </c>
      <c r="D12345" s="0" t="s">
        <v>41154</v>
      </c>
      <c r="E12345" s="0" t="s">
        <v>89</v>
      </c>
      <c r="F12345" s="0" t="s">
        <v>15</v>
      </c>
      <c r="G12345" s="0" t="s">
        <v>16</v>
      </c>
      <c r="H12345" s="0" t="n">
        <v>93</v>
      </c>
      <c r="I12345" s="0" t="s">
        <v>41161</v>
      </c>
      <c r="J12345" s="0" t="s">
        <v>41162</v>
      </c>
      <c r="K12345" s="0" t="s">
        <v>41163</v>
      </c>
      <c r="L12345" s="0" t="str">
        <f aca="false">HYPERLINK("https://www.ncbi.nlm.nih.gov/nuccore/CP000304.1?report=graph&amp;tracks=[key:gene_model_track,Options:GeneOnly]&amp;mk=3468208:3468227|offset_0|444444,3468236:3468255|offset_28|444444,3468301:3468320|offset_93|00cc00,3468321:3468340|offset_113|444444&amp;v=3468007:3468540&amp;c=444444", "offset 93")</f>
        <v>offset 93</v>
      </c>
    </row>
    <row r="12346" customFormat="false" ht="12.8" hidden="false" customHeight="false" outlineLevel="0" collapsed="false">
      <c r="A12346" s="0" t="s">
        <v>12</v>
      </c>
      <c r="B12346" s="0" t="n">
        <v>3468320</v>
      </c>
      <c r="C12346" s="0" t="n">
        <v>3468340</v>
      </c>
      <c r="D12346" s="0" t="s">
        <v>41154</v>
      </c>
      <c r="E12346" s="0" t="s">
        <v>89</v>
      </c>
      <c r="F12346" s="0" t="s">
        <v>15</v>
      </c>
      <c r="G12346" s="0" t="s">
        <v>32</v>
      </c>
      <c r="H12346" s="0" t="n">
        <v>113</v>
      </c>
      <c r="I12346" s="0" t="s">
        <v>41164</v>
      </c>
      <c r="J12346" s="0" t="s">
        <v>41165</v>
      </c>
      <c r="K12346" s="0" t="s">
        <v>41166</v>
      </c>
      <c r="L12346" s="0" t="str">
        <f aca="false">HYPERLINK("https://www.ncbi.nlm.nih.gov/nuccore/CP000304.1?report=graph&amp;tracks=[key:gene_model_track,Options:GeneOnly]&amp;mk=3468208:3468227|offset_0|444444,3468236:3468255|offset_28|444444,3468301:3468320|offset_93|444444,3468321:3468340|offset_113|00cc00&amp;v=3468007:3468540&amp;c=444444", "offset 113")</f>
        <v>offset 113</v>
      </c>
    </row>
    <row r="12347" customFormat="false" ht="12.8" hidden="false" customHeight="false" outlineLevel="0" collapsed="false">
      <c r="A12347" s="0" t="s">
        <v>12</v>
      </c>
      <c r="B12347" s="0" t="n">
        <v>3469481</v>
      </c>
      <c r="C12347" s="0" t="n">
        <v>3469501</v>
      </c>
      <c r="D12347" s="0" t="s">
        <v>41167</v>
      </c>
      <c r="E12347" s="0" t="s">
        <v>89</v>
      </c>
      <c r="F12347" s="0" t="s">
        <v>15</v>
      </c>
      <c r="G12347" s="0" t="s">
        <v>32</v>
      </c>
      <c r="H12347" s="0" t="n">
        <v>1</v>
      </c>
      <c r="I12347" s="0" t="s">
        <v>41168</v>
      </c>
      <c r="J12347" s="0" t="s">
        <v>41169</v>
      </c>
      <c r="K12347" s="0" t="s">
        <v>41170</v>
      </c>
      <c r="L12347" s="0" t="str">
        <f aca="false">HYPERLINK("https://www.ncbi.nlm.nih.gov/nuccore/CP000304.1?report=graph&amp;tracks=[key:gene_model_track,Options:GeneOnly]&amp;mk=3469482:3469501|offset_1|00cc00,3469512:3469531|offset_31|444444,3469533:3469552|offset_52|444444,3469567:3469586|offset_86|444444&amp;v=3469281:3469786&amp;c=444444", "offset 1")</f>
        <v>offset 1</v>
      </c>
    </row>
    <row r="12348" customFormat="false" ht="12.8" hidden="false" customHeight="false" outlineLevel="0" collapsed="false">
      <c r="A12348" s="0" t="s">
        <v>12</v>
      </c>
      <c r="B12348" s="0" t="n">
        <v>3469511</v>
      </c>
      <c r="C12348" s="0" t="n">
        <v>3469531</v>
      </c>
      <c r="D12348" s="0" t="s">
        <v>41167</v>
      </c>
      <c r="E12348" s="0" t="s">
        <v>89</v>
      </c>
      <c r="F12348" s="0" t="s">
        <v>15</v>
      </c>
      <c r="G12348" s="0" t="s">
        <v>36</v>
      </c>
      <c r="H12348" s="0" t="n">
        <v>31</v>
      </c>
      <c r="I12348" s="0" t="s">
        <v>41171</v>
      </c>
      <c r="J12348" s="0" t="s">
        <v>41172</v>
      </c>
      <c r="K12348" s="0" t="s">
        <v>41173</v>
      </c>
      <c r="L12348" s="0" t="str">
        <f aca="false">HYPERLINK("https://www.ncbi.nlm.nih.gov/nuccore/CP000304.1?report=graph&amp;tracks=[key:gene_model_track,Options:GeneOnly]&amp;mk=3469482:3469501|offset_1|444444,3469512:3469531|offset_31|00cc00,3469533:3469552|offset_52|444444,3469567:3469586|offset_86|444444&amp;v=3469281:3469786&amp;c=444444", "offset 31")</f>
        <v>offset 31</v>
      </c>
    </row>
    <row r="12349" customFormat="false" ht="12.8" hidden="false" customHeight="false" outlineLevel="0" collapsed="false">
      <c r="A12349" s="0" t="s">
        <v>12</v>
      </c>
      <c r="B12349" s="0" t="n">
        <v>3469532</v>
      </c>
      <c r="C12349" s="0" t="n">
        <v>3469552</v>
      </c>
      <c r="D12349" s="0" t="s">
        <v>41167</v>
      </c>
      <c r="E12349" s="0" t="s">
        <v>89</v>
      </c>
      <c r="F12349" s="0" t="s">
        <v>15</v>
      </c>
      <c r="G12349" s="0" t="s">
        <v>32</v>
      </c>
      <c r="H12349" s="0" t="n">
        <v>52</v>
      </c>
      <c r="I12349" s="0" t="s">
        <v>41174</v>
      </c>
      <c r="J12349" s="0" t="s">
        <v>41175</v>
      </c>
      <c r="K12349" s="0" t="s">
        <v>41176</v>
      </c>
      <c r="L12349" s="0" t="str">
        <f aca="false">HYPERLINK("https://www.ncbi.nlm.nih.gov/nuccore/CP000304.1?report=graph&amp;tracks=[key:gene_model_track,Options:GeneOnly]&amp;mk=3469482:3469501|offset_1|444444,3469512:3469531|offset_31|444444,3469533:3469552|offset_52|00cc00,3469567:3469586|offset_86|444444&amp;v=3469281:3469786&amp;c=444444", "offset 52")</f>
        <v>offset 52</v>
      </c>
    </row>
    <row r="12350" customFormat="false" ht="12.8" hidden="false" customHeight="false" outlineLevel="0" collapsed="false">
      <c r="A12350" s="0" t="s">
        <v>12</v>
      </c>
      <c r="B12350" s="0" t="n">
        <v>3469566</v>
      </c>
      <c r="C12350" s="0" t="n">
        <v>3469586</v>
      </c>
      <c r="D12350" s="0" t="s">
        <v>41167</v>
      </c>
      <c r="E12350" s="0" t="s">
        <v>89</v>
      </c>
      <c r="F12350" s="0" t="s">
        <v>15</v>
      </c>
      <c r="G12350" s="0" t="s">
        <v>26</v>
      </c>
      <c r="H12350" s="0" t="n">
        <v>86</v>
      </c>
      <c r="I12350" s="0" t="s">
        <v>41177</v>
      </c>
      <c r="J12350" s="0" t="s">
        <v>41178</v>
      </c>
      <c r="K12350" s="0" t="s">
        <v>41179</v>
      </c>
      <c r="L12350" s="0" t="str">
        <f aca="false">HYPERLINK("https://www.ncbi.nlm.nih.gov/nuccore/CP000304.1?report=graph&amp;tracks=[key:gene_model_track,Options:GeneOnly]&amp;mk=3469482:3469501|offset_1|444444,3469512:3469531|offset_31|444444,3469533:3469552|offset_52|444444,3469567:3469586|offset_86|00cc00&amp;v=3469281:3469786&amp;c=444444", "offset 86")</f>
        <v>offset 86</v>
      </c>
    </row>
    <row r="12351" customFormat="false" ht="12.8" hidden="false" customHeight="false" outlineLevel="0" collapsed="false">
      <c r="A12351" s="0" t="s">
        <v>12</v>
      </c>
      <c r="B12351" s="0" t="n">
        <v>3471152</v>
      </c>
      <c r="C12351" s="0" t="n">
        <v>3471172</v>
      </c>
      <c r="D12351" s="0" t="s">
        <v>41180</v>
      </c>
      <c r="E12351" s="0" t="s">
        <v>89</v>
      </c>
      <c r="F12351" s="0" t="s">
        <v>15</v>
      </c>
      <c r="G12351" s="0" t="s">
        <v>16</v>
      </c>
      <c r="H12351" s="0" t="n">
        <v>7</v>
      </c>
      <c r="I12351" s="0" t="s">
        <v>41181</v>
      </c>
      <c r="J12351" s="0" t="s">
        <v>41182</v>
      </c>
      <c r="K12351" s="0" t="s">
        <v>41183</v>
      </c>
      <c r="L12351" s="0" t="str">
        <f aca="false">HYPERLINK("https://www.ncbi.nlm.nih.gov/nuccore/CP000304.1?report=graph&amp;tracks=[key:gene_model_track,Options:GeneOnly]&amp;mk=3471153:3471172|offset_7|00cc00,3471198:3471217|offset_52|444444,3471234:3471253|offset_88|444444,3471276:3471295|offset_130|444444&amp;v=3470952:3471495&amp;c=444444", "offset 7")</f>
        <v>offset 7</v>
      </c>
    </row>
    <row r="12352" customFormat="false" ht="12.8" hidden="false" customHeight="false" outlineLevel="0" collapsed="false">
      <c r="A12352" s="0" t="s">
        <v>12</v>
      </c>
      <c r="B12352" s="0" t="n">
        <v>3471197</v>
      </c>
      <c r="C12352" s="0" t="n">
        <v>3471217</v>
      </c>
      <c r="D12352" s="0" t="s">
        <v>41180</v>
      </c>
      <c r="E12352" s="0" t="s">
        <v>89</v>
      </c>
      <c r="F12352" s="0" t="s">
        <v>15</v>
      </c>
      <c r="G12352" s="0" t="s">
        <v>32</v>
      </c>
      <c r="H12352" s="0" t="n">
        <v>52</v>
      </c>
      <c r="I12352" s="0" t="s">
        <v>41184</v>
      </c>
      <c r="J12352" s="0" t="s">
        <v>41185</v>
      </c>
      <c r="K12352" s="0" t="s">
        <v>41186</v>
      </c>
      <c r="L12352" s="0" t="str">
        <f aca="false">HYPERLINK("https://www.ncbi.nlm.nih.gov/nuccore/CP000304.1?report=graph&amp;tracks=[key:gene_model_track,Options:GeneOnly]&amp;mk=3471153:3471172|offset_7|444444,3471198:3471217|offset_52|00cc00,3471234:3471253|offset_88|444444,3471276:3471295|offset_130|444444&amp;v=3470952:3471495&amp;c=444444", "offset 52")</f>
        <v>offset 52</v>
      </c>
    </row>
    <row r="12353" customFormat="false" ht="12.8" hidden="false" customHeight="false" outlineLevel="0" collapsed="false">
      <c r="A12353" s="0" t="s">
        <v>12</v>
      </c>
      <c r="B12353" s="0" t="n">
        <v>3471233</v>
      </c>
      <c r="C12353" s="0" t="n">
        <v>3471253</v>
      </c>
      <c r="D12353" s="0" t="s">
        <v>41180</v>
      </c>
      <c r="E12353" s="0" t="s">
        <v>89</v>
      </c>
      <c r="F12353" s="0" t="s">
        <v>15</v>
      </c>
      <c r="G12353" s="0" t="s">
        <v>26</v>
      </c>
      <c r="H12353" s="0" t="n">
        <v>88</v>
      </c>
      <c r="I12353" s="0" t="s">
        <v>41187</v>
      </c>
      <c r="J12353" s="0" t="s">
        <v>41188</v>
      </c>
      <c r="K12353" s="0" t="s">
        <v>41189</v>
      </c>
      <c r="L12353" s="0" t="str">
        <f aca="false">HYPERLINK("https://www.ncbi.nlm.nih.gov/nuccore/CP000304.1?report=graph&amp;tracks=[key:gene_model_track,Options:GeneOnly]&amp;mk=3471153:3471172|offset_7|444444,3471198:3471217|offset_52|444444,3471234:3471253|offset_88|00cc00,3471276:3471295|offset_130|444444&amp;v=3470952:3471495&amp;c=444444", "offset 88")</f>
        <v>offset 88</v>
      </c>
    </row>
    <row r="12354" customFormat="false" ht="12.8" hidden="false" customHeight="false" outlineLevel="0" collapsed="false">
      <c r="A12354" s="0" t="s">
        <v>12</v>
      </c>
      <c r="B12354" s="0" t="n">
        <v>3471275</v>
      </c>
      <c r="C12354" s="0" t="n">
        <v>3471295</v>
      </c>
      <c r="D12354" s="0" t="s">
        <v>41180</v>
      </c>
      <c r="E12354" s="0" t="s">
        <v>89</v>
      </c>
      <c r="F12354" s="0" t="s">
        <v>15</v>
      </c>
      <c r="G12354" s="0" t="s">
        <v>36</v>
      </c>
      <c r="H12354" s="0" t="n">
        <v>130</v>
      </c>
      <c r="I12354" s="0" t="s">
        <v>41190</v>
      </c>
      <c r="J12354" s="0" t="s">
        <v>41191</v>
      </c>
      <c r="K12354" s="0" t="s">
        <v>41192</v>
      </c>
      <c r="L12354" s="0" t="str">
        <f aca="false">HYPERLINK("https://www.ncbi.nlm.nih.gov/nuccore/CP000304.1?report=graph&amp;tracks=[key:gene_model_track,Options:GeneOnly]&amp;mk=3471153:3471172|offset_7|444444,3471198:3471217|offset_52|444444,3471234:3471253|offset_88|444444,3471276:3471295|offset_130|00cc00&amp;v=3470952:3471495&amp;c=444444", "offset 130")</f>
        <v>offset 130</v>
      </c>
    </row>
    <row r="12355" customFormat="false" ht="12.8" hidden="false" customHeight="false" outlineLevel="0" collapsed="false">
      <c r="A12355" s="0" t="s">
        <v>12</v>
      </c>
      <c r="B12355" s="0" t="n">
        <v>3471953</v>
      </c>
      <c r="C12355" s="0" t="n">
        <v>3471973</v>
      </c>
      <c r="D12355" s="0" t="s">
        <v>41193</v>
      </c>
      <c r="E12355" s="0" t="s">
        <v>89</v>
      </c>
      <c r="F12355" s="0" t="s">
        <v>15</v>
      </c>
      <c r="G12355" s="0" t="s">
        <v>32</v>
      </c>
      <c r="H12355" s="0" t="n">
        <v>11</v>
      </c>
      <c r="I12355" s="0" t="s">
        <v>41194</v>
      </c>
      <c r="J12355" s="0" t="s">
        <v>41195</v>
      </c>
      <c r="K12355" s="0" t="s">
        <v>41196</v>
      </c>
      <c r="L12355" s="0" t="str">
        <f aca="false">HYPERLINK("https://www.ncbi.nlm.nih.gov/nuccore/CP000304.1?report=graph&amp;tracks=[key:gene_model_track,Options:GeneOnly]&amp;mk=3471954:3471973|offset_11|00cc00,3471995:3472014|offset_52|444444,3472022:3472041|offset_79|444444,3472055:3472074|offset_112|444444&amp;v=3471753:3472274&amp;c=444444", "offset 11")</f>
        <v>offset 11</v>
      </c>
    </row>
    <row r="12356" customFormat="false" ht="12.8" hidden="false" customHeight="false" outlineLevel="0" collapsed="false">
      <c r="A12356" s="0" t="s">
        <v>12</v>
      </c>
      <c r="B12356" s="0" t="n">
        <v>3471994</v>
      </c>
      <c r="C12356" s="0" t="n">
        <v>3472014</v>
      </c>
      <c r="D12356" s="0" t="s">
        <v>41193</v>
      </c>
      <c r="E12356" s="0" t="s">
        <v>89</v>
      </c>
      <c r="F12356" s="0" t="s">
        <v>15</v>
      </c>
      <c r="G12356" s="0" t="s">
        <v>26</v>
      </c>
      <c r="H12356" s="0" t="n">
        <v>52</v>
      </c>
      <c r="I12356" s="0" t="s">
        <v>41197</v>
      </c>
      <c r="J12356" s="0" t="s">
        <v>41198</v>
      </c>
      <c r="K12356" s="0" t="s">
        <v>41199</v>
      </c>
      <c r="L12356" s="0" t="str">
        <f aca="false">HYPERLINK("https://www.ncbi.nlm.nih.gov/nuccore/CP000304.1?report=graph&amp;tracks=[key:gene_model_track,Options:GeneOnly]&amp;mk=3471954:3471973|offset_11|444444,3471995:3472014|offset_52|00cc00,3472022:3472041|offset_79|444444,3472055:3472074|offset_112|444444&amp;v=3471753:3472274&amp;c=444444", "offset 52")</f>
        <v>offset 52</v>
      </c>
    </row>
    <row r="12357" customFormat="false" ht="12.8" hidden="false" customHeight="false" outlineLevel="0" collapsed="false">
      <c r="A12357" s="0" t="s">
        <v>12</v>
      </c>
      <c r="B12357" s="0" t="n">
        <v>3472021</v>
      </c>
      <c r="C12357" s="0" t="n">
        <v>3472041</v>
      </c>
      <c r="D12357" s="0" t="s">
        <v>41193</v>
      </c>
      <c r="E12357" s="0" t="s">
        <v>89</v>
      </c>
      <c r="F12357" s="0" t="s">
        <v>15</v>
      </c>
      <c r="G12357" s="0" t="s">
        <v>32</v>
      </c>
      <c r="H12357" s="0" t="n">
        <v>79</v>
      </c>
      <c r="I12357" s="0" t="s">
        <v>41200</v>
      </c>
      <c r="J12357" s="0" t="s">
        <v>41201</v>
      </c>
      <c r="K12357" s="0" t="s">
        <v>41202</v>
      </c>
      <c r="L12357" s="0" t="str">
        <f aca="false">HYPERLINK("https://www.ncbi.nlm.nih.gov/nuccore/CP000304.1?report=graph&amp;tracks=[key:gene_model_track,Options:GeneOnly]&amp;mk=3471954:3471973|offset_11|444444,3471995:3472014|offset_52|444444,3472022:3472041|offset_79|00cc00,3472055:3472074|offset_112|444444&amp;v=3471753:3472274&amp;c=444444", "offset 79")</f>
        <v>offset 79</v>
      </c>
    </row>
    <row r="12358" customFormat="false" ht="12.8" hidden="false" customHeight="false" outlineLevel="0" collapsed="false">
      <c r="A12358" s="0" t="s">
        <v>12</v>
      </c>
      <c r="B12358" s="0" t="n">
        <v>3472054</v>
      </c>
      <c r="C12358" s="0" t="n">
        <v>3472074</v>
      </c>
      <c r="D12358" s="0" t="s">
        <v>41193</v>
      </c>
      <c r="E12358" s="0" t="s">
        <v>89</v>
      </c>
      <c r="F12358" s="0" t="s">
        <v>15</v>
      </c>
      <c r="G12358" s="0" t="s">
        <v>32</v>
      </c>
      <c r="H12358" s="0" t="n">
        <v>112</v>
      </c>
      <c r="I12358" s="0" t="s">
        <v>41203</v>
      </c>
      <c r="J12358" s="0" t="s">
        <v>41204</v>
      </c>
      <c r="K12358" s="0" t="s">
        <v>41205</v>
      </c>
      <c r="L12358" s="0" t="str">
        <f aca="false">HYPERLINK("https://www.ncbi.nlm.nih.gov/nuccore/CP000304.1?report=graph&amp;tracks=[key:gene_model_track,Options:GeneOnly]&amp;mk=3471954:3471973|offset_11|444444,3471995:3472014|offset_52|444444,3472022:3472041|offset_79|444444,3472055:3472074|offset_112|00cc00&amp;v=3471753:3472274&amp;c=444444", "offset 112")</f>
        <v>offset 112</v>
      </c>
    </row>
    <row r="12359" customFormat="false" ht="12.8" hidden="false" customHeight="false" outlineLevel="0" collapsed="false">
      <c r="A12359" s="0" t="s">
        <v>12</v>
      </c>
      <c r="B12359" s="0" t="n">
        <v>3474023</v>
      </c>
      <c r="C12359" s="0" t="n">
        <v>3474043</v>
      </c>
      <c r="D12359" s="0" t="s">
        <v>41206</v>
      </c>
      <c r="E12359" s="0" t="s">
        <v>89</v>
      </c>
      <c r="F12359" s="0" t="s">
        <v>15</v>
      </c>
      <c r="G12359" s="0" t="s">
        <v>26</v>
      </c>
      <c r="H12359" s="0" t="n">
        <v>8</v>
      </c>
      <c r="I12359" s="0" t="s">
        <v>41207</v>
      </c>
      <c r="J12359" s="0" t="s">
        <v>41208</v>
      </c>
      <c r="K12359" s="0" t="s">
        <v>41209</v>
      </c>
      <c r="L12359" s="0" t="str">
        <f aca="false">HYPERLINK("https://www.ncbi.nlm.nih.gov/nuccore/CP000304.1?report=graph&amp;tracks=[key:gene_model_track,Options:GeneOnly]&amp;mk=3474024:3474043|offset_8|00cc00,3474057:3474076|offset_41|444444,3474088:3474107|offset_72|444444,3474126:3474145|offset_110|444444&amp;v=3473823:3474345&amp;c=444444", "offset 8")</f>
        <v>offset 8</v>
      </c>
    </row>
    <row r="12360" customFormat="false" ht="12.8" hidden="false" customHeight="false" outlineLevel="0" collapsed="false">
      <c r="A12360" s="0" t="s">
        <v>12</v>
      </c>
      <c r="B12360" s="0" t="n">
        <v>3474056</v>
      </c>
      <c r="C12360" s="0" t="n">
        <v>3474076</v>
      </c>
      <c r="D12360" s="0" t="s">
        <v>41206</v>
      </c>
      <c r="E12360" s="0" t="s">
        <v>89</v>
      </c>
      <c r="F12360" s="0" t="s">
        <v>15</v>
      </c>
      <c r="G12360" s="0" t="s">
        <v>36</v>
      </c>
      <c r="H12360" s="0" t="n">
        <v>41</v>
      </c>
      <c r="I12360" s="0" t="s">
        <v>41210</v>
      </c>
      <c r="J12360" s="0" t="s">
        <v>41211</v>
      </c>
      <c r="K12360" s="0" t="s">
        <v>41212</v>
      </c>
      <c r="L12360" s="0" t="str">
        <f aca="false">HYPERLINK("https://www.ncbi.nlm.nih.gov/nuccore/CP000304.1?report=graph&amp;tracks=[key:gene_model_track,Options:GeneOnly]&amp;mk=3474024:3474043|offset_8|444444,3474057:3474076|offset_41|00cc00,3474088:3474107|offset_72|444444,3474126:3474145|offset_110|444444&amp;v=3473823:3474345&amp;c=444444", "offset 41")</f>
        <v>offset 41</v>
      </c>
    </row>
    <row r="12361" customFormat="false" ht="12.8" hidden="false" customHeight="false" outlineLevel="0" collapsed="false">
      <c r="A12361" s="0" t="s">
        <v>12</v>
      </c>
      <c r="B12361" s="0" t="n">
        <v>3474087</v>
      </c>
      <c r="C12361" s="0" t="n">
        <v>3474107</v>
      </c>
      <c r="D12361" s="0" t="s">
        <v>41206</v>
      </c>
      <c r="E12361" s="0" t="s">
        <v>89</v>
      </c>
      <c r="F12361" s="0" t="s">
        <v>15</v>
      </c>
      <c r="G12361" s="0" t="s">
        <v>16</v>
      </c>
      <c r="H12361" s="0" t="n">
        <v>72</v>
      </c>
      <c r="I12361" s="0" t="s">
        <v>41213</v>
      </c>
      <c r="J12361" s="0" t="s">
        <v>41214</v>
      </c>
      <c r="K12361" s="0" t="s">
        <v>41215</v>
      </c>
      <c r="L12361" s="0" t="str">
        <f aca="false">HYPERLINK("https://www.ncbi.nlm.nih.gov/nuccore/CP000304.1?report=graph&amp;tracks=[key:gene_model_track,Options:GeneOnly]&amp;mk=3474024:3474043|offset_8|444444,3474057:3474076|offset_41|444444,3474088:3474107|offset_72|00cc00,3474126:3474145|offset_110|444444&amp;v=3473823:3474345&amp;c=444444", "offset 72")</f>
        <v>offset 72</v>
      </c>
    </row>
    <row r="12362" customFormat="false" ht="12.8" hidden="false" customHeight="false" outlineLevel="0" collapsed="false">
      <c r="A12362" s="0" t="s">
        <v>12</v>
      </c>
      <c r="B12362" s="0" t="n">
        <v>3474125</v>
      </c>
      <c r="C12362" s="0" t="n">
        <v>3474145</v>
      </c>
      <c r="D12362" s="0" t="s">
        <v>41206</v>
      </c>
      <c r="E12362" s="0" t="s">
        <v>89</v>
      </c>
      <c r="F12362" s="0" t="s">
        <v>15</v>
      </c>
      <c r="G12362" s="0" t="s">
        <v>26</v>
      </c>
      <c r="H12362" s="0" t="n">
        <v>110</v>
      </c>
      <c r="I12362" s="0" t="s">
        <v>41216</v>
      </c>
      <c r="J12362" s="0" t="s">
        <v>41217</v>
      </c>
      <c r="K12362" s="0" t="s">
        <v>41218</v>
      </c>
      <c r="L12362" s="0" t="str">
        <f aca="false">HYPERLINK("https://www.ncbi.nlm.nih.gov/nuccore/CP000304.1?report=graph&amp;tracks=[key:gene_model_track,Options:GeneOnly]&amp;mk=3474024:3474043|offset_8|444444,3474057:3474076|offset_41|444444,3474088:3474107|offset_72|444444,3474126:3474145|offset_110|00cc00&amp;v=3473823:3474345&amp;c=444444", "offset 110")</f>
        <v>offset 110</v>
      </c>
    </row>
    <row r="12363" customFormat="false" ht="12.8" hidden="false" customHeight="false" outlineLevel="0" collapsed="false">
      <c r="A12363" s="0" t="s">
        <v>12</v>
      </c>
      <c r="B12363" s="0" t="n">
        <v>3475018</v>
      </c>
      <c r="C12363" s="0" t="n">
        <v>3475038</v>
      </c>
      <c r="D12363" s="0" t="s">
        <v>41219</v>
      </c>
      <c r="E12363" s="0" t="s">
        <v>89</v>
      </c>
      <c r="F12363" s="0" t="s">
        <v>15</v>
      </c>
      <c r="G12363" s="0" t="s">
        <v>36</v>
      </c>
      <c r="H12363" s="0" t="n">
        <v>18</v>
      </c>
      <c r="I12363" s="0" t="s">
        <v>41220</v>
      </c>
      <c r="J12363" s="0" t="s">
        <v>41221</v>
      </c>
      <c r="K12363" s="0" t="s">
        <v>41222</v>
      </c>
      <c r="L12363" s="0" t="str">
        <f aca="false">HYPERLINK("https://www.ncbi.nlm.nih.gov/nuccore/CP000304.1?report=graph&amp;tracks=[key:gene_model_track,Options:GeneOnly]&amp;mk=3475019:3475038|offset_18|00cc00,3475065:3475084|offset_64|444444,3475087:3475106|offset_86|444444,3475144:3475163|offset_143|444444&amp;v=3474818:3475363&amp;c=444444", "offset 18")</f>
        <v>offset 18</v>
      </c>
    </row>
    <row r="12364" customFormat="false" ht="12.8" hidden="false" customHeight="false" outlineLevel="0" collapsed="false">
      <c r="A12364" s="0" t="s">
        <v>12</v>
      </c>
      <c r="B12364" s="0" t="n">
        <v>3475064</v>
      </c>
      <c r="C12364" s="0" t="n">
        <v>3475084</v>
      </c>
      <c r="D12364" s="0" t="s">
        <v>41219</v>
      </c>
      <c r="E12364" s="0" t="s">
        <v>89</v>
      </c>
      <c r="F12364" s="0" t="s">
        <v>15</v>
      </c>
      <c r="G12364" s="0" t="s">
        <v>32</v>
      </c>
      <c r="H12364" s="0" t="n">
        <v>64</v>
      </c>
      <c r="I12364" s="0" t="s">
        <v>41223</v>
      </c>
      <c r="J12364" s="0" t="s">
        <v>41224</v>
      </c>
      <c r="K12364" s="0" t="s">
        <v>41225</v>
      </c>
      <c r="L12364" s="0" t="str">
        <f aca="false">HYPERLINK("https://www.ncbi.nlm.nih.gov/nuccore/CP000304.1?report=graph&amp;tracks=[key:gene_model_track,Options:GeneOnly]&amp;mk=3475019:3475038|offset_18|444444,3475065:3475084|offset_64|00cc00,3475087:3475106|offset_86|444444,3475144:3475163|offset_143|444444&amp;v=3474818:3475363&amp;c=444444", "offset 64")</f>
        <v>offset 64</v>
      </c>
    </row>
    <row r="12365" customFormat="false" ht="12.8" hidden="false" customHeight="false" outlineLevel="0" collapsed="false">
      <c r="A12365" s="0" t="s">
        <v>12</v>
      </c>
      <c r="B12365" s="0" t="n">
        <v>3475086</v>
      </c>
      <c r="C12365" s="0" t="n">
        <v>3475106</v>
      </c>
      <c r="D12365" s="0" t="s">
        <v>41219</v>
      </c>
      <c r="E12365" s="0" t="s">
        <v>89</v>
      </c>
      <c r="F12365" s="0" t="s">
        <v>15</v>
      </c>
      <c r="G12365" s="0" t="s">
        <v>26</v>
      </c>
      <c r="H12365" s="0" t="n">
        <v>86</v>
      </c>
      <c r="I12365" s="0" t="s">
        <v>41226</v>
      </c>
      <c r="J12365" s="0" t="s">
        <v>41227</v>
      </c>
      <c r="K12365" s="0" t="s">
        <v>41228</v>
      </c>
      <c r="L12365" s="0" t="str">
        <f aca="false">HYPERLINK("https://www.ncbi.nlm.nih.gov/nuccore/CP000304.1?report=graph&amp;tracks=[key:gene_model_track,Options:GeneOnly]&amp;mk=3475019:3475038|offset_18|444444,3475065:3475084|offset_64|444444,3475087:3475106|offset_86|00cc00,3475144:3475163|offset_143|444444&amp;v=3474818:3475363&amp;c=444444", "offset 86")</f>
        <v>offset 86</v>
      </c>
    </row>
    <row r="12366" customFormat="false" ht="12.8" hidden="false" customHeight="false" outlineLevel="0" collapsed="false">
      <c r="A12366" s="0" t="s">
        <v>12</v>
      </c>
      <c r="B12366" s="0" t="n">
        <v>3475143</v>
      </c>
      <c r="C12366" s="0" t="n">
        <v>3475163</v>
      </c>
      <c r="D12366" s="0" t="s">
        <v>41219</v>
      </c>
      <c r="E12366" s="0" t="s">
        <v>89</v>
      </c>
      <c r="F12366" s="0" t="s">
        <v>15</v>
      </c>
      <c r="G12366" s="0" t="s">
        <v>26</v>
      </c>
      <c r="H12366" s="0" t="n">
        <v>143</v>
      </c>
      <c r="I12366" s="0" t="s">
        <v>41229</v>
      </c>
      <c r="J12366" s="0" t="s">
        <v>41230</v>
      </c>
      <c r="K12366" s="0" t="s">
        <v>41231</v>
      </c>
      <c r="L12366" s="0" t="str">
        <f aca="false">HYPERLINK("https://www.ncbi.nlm.nih.gov/nuccore/CP000304.1?report=graph&amp;tracks=[key:gene_model_track,Options:GeneOnly]&amp;mk=3475019:3475038|offset_18|444444,3475065:3475084|offset_64|444444,3475087:3475106|offset_86|444444,3475144:3475163|offset_143|00cc00&amp;v=3474818:3475363&amp;c=444444", "offset 143")</f>
        <v>offset 143</v>
      </c>
    </row>
    <row r="12367" customFormat="false" ht="12.8" hidden="false" customHeight="false" outlineLevel="0" collapsed="false">
      <c r="A12367" s="0" t="s">
        <v>12</v>
      </c>
      <c r="B12367" s="0" t="n">
        <v>3475701</v>
      </c>
      <c r="C12367" s="0" t="n">
        <v>3475721</v>
      </c>
      <c r="D12367" s="0" t="s">
        <v>41232</v>
      </c>
      <c r="E12367" s="0" t="s">
        <v>89</v>
      </c>
      <c r="F12367" s="0" t="s">
        <v>15</v>
      </c>
      <c r="G12367" s="0" t="s">
        <v>32</v>
      </c>
      <c r="H12367" s="0" t="n">
        <v>1</v>
      </c>
      <c r="I12367" s="0" t="s">
        <v>41233</v>
      </c>
      <c r="J12367" s="0" t="s">
        <v>41234</v>
      </c>
      <c r="K12367" s="0" t="s">
        <v>41235</v>
      </c>
      <c r="L12367" s="0" t="str">
        <f aca="false">HYPERLINK("https://www.ncbi.nlm.nih.gov/nuccore/CP000304.1?report=graph&amp;tracks=[key:gene_model_track,Options:GeneOnly]&amp;mk=3475702:3475721|offset_1|00cc00,3475738:3475757|offset_37|444444,3475772:3475791|offset_71|444444,3475792:3475811|offset_91|444444&amp;v=3475501:3476011&amp;c=444444", "offset 1")</f>
        <v>offset 1</v>
      </c>
    </row>
    <row r="12368" customFormat="false" ht="12.8" hidden="false" customHeight="false" outlineLevel="0" collapsed="false">
      <c r="A12368" s="0" t="s">
        <v>12</v>
      </c>
      <c r="B12368" s="0" t="n">
        <v>3475737</v>
      </c>
      <c r="C12368" s="0" t="n">
        <v>3475757</v>
      </c>
      <c r="D12368" s="0" t="s">
        <v>41232</v>
      </c>
      <c r="E12368" s="0" t="s">
        <v>89</v>
      </c>
      <c r="F12368" s="0" t="s">
        <v>15</v>
      </c>
      <c r="G12368" s="0" t="s">
        <v>16</v>
      </c>
      <c r="H12368" s="0" t="n">
        <v>37</v>
      </c>
      <c r="I12368" s="0" t="s">
        <v>41236</v>
      </c>
      <c r="J12368" s="0" t="s">
        <v>41237</v>
      </c>
      <c r="K12368" s="0" t="s">
        <v>41238</v>
      </c>
      <c r="L12368" s="0" t="str">
        <f aca="false">HYPERLINK("https://www.ncbi.nlm.nih.gov/nuccore/CP000304.1?report=graph&amp;tracks=[key:gene_model_track,Options:GeneOnly]&amp;mk=3475702:3475721|offset_1|444444,3475738:3475757|offset_37|00cc00,3475772:3475791|offset_71|444444,3475792:3475811|offset_91|444444&amp;v=3475501:3476011&amp;c=444444", "offset 37")</f>
        <v>offset 37</v>
      </c>
    </row>
    <row r="12369" customFormat="false" ht="12.8" hidden="false" customHeight="false" outlineLevel="0" collapsed="false">
      <c r="A12369" s="0" t="s">
        <v>12</v>
      </c>
      <c r="B12369" s="0" t="n">
        <v>3475771</v>
      </c>
      <c r="C12369" s="0" t="n">
        <v>3475791</v>
      </c>
      <c r="D12369" s="0" t="s">
        <v>41232</v>
      </c>
      <c r="E12369" s="0" t="s">
        <v>89</v>
      </c>
      <c r="F12369" s="0" t="s">
        <v>15</v>
      </c>
      <c r="G12369" s="0" t="s">
        <v>26</v>
      </c>
      <c r="H12369" s="0" t="n">
        <v>71</v>
      </c>
      <c r="I12369" s="0" t="s">
        <v>41239</v>
      </c>
      <c r="J12369" s="0" t="s">
        <v>41240</v>
      </c>
      <c r="K12369" s="0" t="s">
        <v>41241</v>
      </c>
      <c r="L12369" s="0" t="str">
        <f aca="false">HYPERLINK("https://www.ncbi.nlm.nih.gov/nuccore/CP000304.1?report=graph&amp;tracks=[key:gene_model_track,Options:GeneOnly]&amp;mk=3475702:3475721|offset_1|444444,3475738:3475757|offset_37|444444,3475772:3475791|offset_71|00cc00,3475792:3475811|offset_91|444444&amp;v=3475501:3476011&amp;c=444444", "offset 71")</f>
        <v>offset 71</v>
      </c>
    </row>
    <row r="12370" customFormat="false" ht="12.8" hidden="false" customHeight="false" outlineLevel="0" collapsed="false">
      <c r="A12370" s="0" t="s">
        <v>12</v>
      </c>
      <c r="B12370" s="0" t="n">
        <v>3475791</v>
      </c>
      <c r="C12370" s="0" t="n">
        <v>3475811</v>
      </c>
      <c r="D12370" s="0" t="s">
        <v>41232</v>
      </c>
      <c r="E12370" s="0" t="s">
        <v>89</v>
      </c>
      <c r="F12370" s="0" t="s">
        <v>15</v>
      </c>
      <c r="G12370" s="0" t="s">
        <v>36</v>
      </c>
      <c r="H12370" s="0" t="n">
        <v>91</v>
      </c>
      <c r="I12370" s="0" t="s">
        <v>41242</v>
      </c>
      <c r="J12370" s="0" t="s">
        <v>41243</v>
      </c>
      <c r="K12370" s="0" t="s">
        <v>41244</v>
      </c>
      <c r="L12370" s="0" t="str">
        <f aca="false">HYPERLINK("https://www.ncbi.nlm.nih.gov/nuccore/CP000304.1?report=graph&amp;tracks=[key:gene_model_track,Options:GeneOnly]&amp;mk=3475702:3475721|offset_1|444444,3475738:3475757|offset_37|444444,3475772:3475791|offset_71|444444,3475792:3475811|offset_91|00cc00&amp;v=3475501:3476011&amp;c=444444", "offset 91")</f>
        <v>offset 91</v>
      </c>
    </row>
    <row r="12371" customFormat="false" ht="12.8" hidden="false" customHeight="false" outlineLevel="0" collapsed="false">
      <c r="A12371" s="0" t="s">
        <v>12</v>
      </c>
      <c r="B12371" s="0" t="n">
        <v>3476640</v>
      </c>
      <c r="C12371" s="0" t="n">
        <v>3476660</v>
      </c>
      <c r="D12371" s="0" t="s">
        <v>41245</v>
      </c>
      <c r="E12371" s="0" t="s">
        <v>89</v>
      </c>
      <c r="F12371" s="0" t="s">
        <v>15</v>
      </c>
      <c r="G12371" s="0" t="s">
        <v>32</v>
      </c>
      <c r="H12371" s="0" t="n">
        <v>53</v>
      </c>
      <c r="I12371" s="0" t="s">
        <v>41246</v>
      </c>
      <c r="J12371" s="0" t="s">
        <v>41247</v>
      </c>
      <c r="K12371" s="0" t="s">
        <v>41248</v>
      </c>
      <c r="L12371" s="0" t="str">
        <f aca="false">HYPERLINK("https://www.ncbi.nlm.nih.gov/nuccore/CP000304.1?report=graph&amp;tracks=[key:gene_model_track,Options:GeneOnly]&amp;mk=3476641:3476660|offset_53|00cc00,3476663:3476682|offset_75|444444,3476685:3476704|offset_97|444444,3476712:3476731|offset_124|444444&amp;v=3476440:3476931&amp;c=444444", "offset 53")</f>
        <v>offset 53</v>
      </c>
    </row>
    <row r="12372" customFormat="false" ht="12.8" hidden="false" customHeight="false" outlineLevel="0" collapsed="false">
      <c r="A12372" s="0" t="s">
        <v>12</v>
      </c>
      <c r="B12372" s="0" t="n">
        <v>3476662</v>
      </c>
      <c r="C12372" s="0" t="n">
        <v>3476682</v>
      </c>
      <c r="D12372" s="0" t="s">
        <v>41245</v>
      </c>
      <c r="E12372" s="0" t="s">
        <v>89</v>
      </c>
      <c r="F12372" s="0" t="s">
        <v>15</v>
      </c>
      <c r="G12372" s="0" t="s">
        <v>16</v>
      </c>
      <c r="H12372" s="0" t="n">
        <v>75</v>
      </c>
      <c r="I12372" s="0" t="s">
        <v>41249</v>
      </c>
      <c r="J12372" s="0" t="s">
        <v>41250</v>
      </c>
      <c r="K12372" s="0" t="s">
        <v>41251</v>
      </c>
      <c r="L12372" s="0" t="str">
        <f aca="false">HYPERLINK("https://www.ncbi.nlm.nih.gov/nuccore/CP000304.1?report=graph&amp;tracks=[key:gene_model_track,Options:GeneOnly]&amp;mk=3476641:3476660|offset_53|444444,3476663:3476682|offset_75|00cc00,3476685:3476704|offset_97|444444,3476712:3476731|offset_124|444444&amp;v=3476440:3476931&amp;c=444444", "offset 75")</f>
        <v>offset 75</v>
      </c>
    </row>
    <row r="12373" customFormat="false" ht="12.8" hidden="false" customHeight="false" outlineLevel="0" collapsed="false">
      <c r="A12373" s="0" t="s">
        <v>12</v>
      </c>
      <c r="B12373" s="0" t="n">
        <v>3476684</v>
      </c>
      <c r="C12373" s="0" t="n">
        <v>3476704</v>
      </c>
      <c r="D12373" s="0" t="s">
        <v>41245</v>
      </c>
      <c r="E12373" s="0" t="s">
        <v>89</v>
      </c>
      <c r="F12373" s="0" t="s">
        <v>15</v>
      </c>
      <c r="G12373" s="0" t="s">
        <v>16</v>
      </c>
      <c r="H12373" s="0" t="n">
        <v>97</v>
      </c>
      <c r="I12373" s="0" t="s">
        <v>41252</v>
      </c>
      <c r="J12373" s="0" t="s">
        <v>41253</v>
      </c>
      <c r="K12373" s="0" t="s">
        <v>41254</v>
      </c>
      <c r="L12373" s="0" t="str">
        <f aca="false">HYPERLINK("https://www.ncbi.nlm.nih.gov/nuccore/CP000304.1?report=graph&amp;tracks=[key:gene_model_track,Options:GeneOnly]&amp;mk=3476641:3476660|offset_53|444444,3476663:3476682|offset_75|444444,3476685:3476704|offset_97|00cc00,3476712:3476731|offset_124|444444&amp;v=3476440:3476931&amp;c=444444", "offset 97")</f>
        <v>offset 97</v>
      </c>
    </row>
    <row r="12374" customFormat="false" ht="12.8" hidden="false" customHeight="false" outlineLevel="0" collapsed="false">
      <c r="A12374" s="0" t="s">
        <v>12</v>
      </c>
      <c r="B12374" s="0" t="n">
        <v>3476711</v>
      </c>
      <c r="C12374" s="0" t="n">
        <v>3476731</v>
      </c>
      <c r="D12374" s="0" t="s">
        <v>41245</v>
      </c>
      <c r="E12374" s="0" t="s">
        <v>89</v>
      </c>
      <c r="F12374" s="0" t="s">
        <v>15</v>
      </c>
      <c r="G12374" s="0" t="s">
        <v>16</v>
      </c>
      <c r="H12374" s="0" t="n">
        <v>124</v>
      </c>
      <c r="I12374" s="0" t="s">
        <v>41255</v>
      </c>
      <c r="J12374" s="0" t="s">
        <v>41256</v>
      </c>
      <c r="K12374" s="0" t="s">
        <v>41257</v>
      </c>
      <c r="L12374" s="0" t="str">
        <f aca="false">HYPERLINK("https://www.ncbi.nlm.nih.gov/nuccore/CP000304.1?report=graph&amp;tracks=[key:gene_model_track,Options:GeneOnly]&amp;mk=3476641:3476660|offset_53|444444,3476663:3476682|offset_75|444444,3476685:3476704|offset_97|444444,3476712:3476731|offset_124|00cc00&amp;v=3476440:3476931&amp;c=444444", "offset 124")</f>
        <v>offset 124</v>
      </c>
    </row>
    <row r="12375" customFormat="false" ht="12.8" hidden="false" customHeight="false" outlineLevel="0" collapsed="false">
      <c r="A12375" s="0" t="s">
        <v>12</v>
      </c>
      <c r="B12375" s="0" t="n">
        <v>3477858</v>
      </c>
      <c r="C12375" s="0" t="n">
        <v>3477878</v>
      </c>
      <c r="D12375" s="0" t="s">
        <v>41258</v>
      </c>
      <c r="E12375" s="0" t="s">
        <v>89</v>
      </c>
      <c r="F12375" s="0" t="s">
        <v>15</v>
      </c>
      <c r="G12375" s="0" t="s">
        <v>26</v>
      </c>
      <c r="H12375" s="0" t="n">
        <v>16</v>
      </c>
      <c r="I12375" s="0" t="s">
        <v>41259</v>
      </c>
      <c r="J12375" s="0" t="s">
        <v>41260</v>
      </c>
      <c r="K12375" s="0" t="s">
        <v>41261</v>
      </c>
      <c r="L12375" s="0" t="str">
        <f aca="false">HYPERLINK("https://www.ncbi.nlm.nih.gov/nuccore/CP000304.1?report=graph&amp;tracks=[key:gene_model_track,Options:GeneOnly]&amp;mk=3477859:3477878|offset_16|00cc00,3477880:3477899|offset_37|444444,3477901:3477920|offset_58|444444,3477942:3477961|offset_99|444444&amp;v=3477658:3478161&amp;c=444444", "offset 16")</f>
        <v>offset 16</v>
      </c>
    </row>
    <row r="12376" customFormat="false" ht="12.8" hidden="false" customHeight="false" outlineLevel="0" collapsed="false">
      <c r="A12376" s="0" t="s">
        <v>12</v>
      </c>
      <c r="B12376" s="0" t="n">
        <v>3477879</v>
      </c>
      <c r="C12376" s="0" t="n">
        <v>3477899</v>
      </c>
      <c r="D12376" s="0" t="s">
        <v>41258</v>
      </c>
      <c r="E12376" s="0" t="s">
        <v>89</v>
      </c>
      <c r="F12376" s="0" t="s">
        <v>15</v>
      </c>
      <c r="G12376" s="0" t="s">
        <v>32</v>
      </c>
      <c r="H12376" s="0" t="n">
        <v>37</v>
      </c>
      <c r="I12376" s="0" t="s">
        <v>41262</v>
      </c>
      <c r="J12376" s="0" t="s">
        <v>41263</v>
      </c>
      <c r="K12376" s="0" t="s">
        <v>41264</v>
      </c>
      <c r="L12376" s="0" t="str">
        <f aca="false">HYPERLINK("https://www.ncbi.nlm.nih.gov/nuccore/CP000304.1?report=graph&amp;tracks=[key:gene_model_track,Options:GeneOnly]&amp;mk=3477859:3477878|offset_16|444444,3477880:3477899|offset_37|00cc00,3477901:3477920|offset_58|444444,3477942:3477961|offset_99|444444&amp;v=3477658:3478161&amp;c=444444", "offset 37")</f>
        <v>offset 37</v>
      </c>
    </row>
    <row r="12377" customFormat="false" ht="12.8" hidden="false" customHeight="false" outlineLevel="0" collapsed="false">
      <c r="A12377" s="0" t="s">
        <v>12</v>
      </c>
      <c r="B12377" s="0" t="n">
        <v>3477900</v>
      </c>
      <c r="C12377" s="0" t="n">
        <v>3477920</v>
      </c>
      <c r="D12377" s="0" t="s">
        <v>41258</v>
      </c>
      <c r="E12377" s="0" t="s">
        <v>89</v>
      </c>
      <c r="F12377" s="0" t="s">
        <v>15</v>
      </c>
      <c r="G12377" s="0" t="s">
        <v>36</v>
      </c>
      <c r="H12377" s="0" t="n">
        <v>58</v>
      </c>
      <c r="I12377" s="0" t="s">
        <v>41265</v>
      </c>
      <c r="J12377" s="0" t="s">
        <v>41266</v>
      </c>
      <c r="K12377" s="0" t="s">
        <v>41267</v>
      </c>
      <c r="L12377" s="0" t="str">
        <f aca="false">HYPERLINK("https://www.ncbi.nlm.nih.gov/nuccore/CP000304.1?report=graph&amp;tracks=[key:gene_model_track,Options:GeneOnly]&amp;mk=3477859:3477878|offset_16|444444,3477880:3477899|offset_37|444444,3477901:3477920|offset_58|00cc00,3477942:3477961|offset_99|444444&amp;v=3477658:3478161&amp;c=444444", "offset 58")</f>
        <v>offset 58</v>
      </c>
    </row>
    <row r="12378" customFormat="false" ht="12.8" hidden="false" customHeight="false" outlineLevel="0" collapsed="false">
      <c r="A12378" s="0" t="s">
        <v>12</v>
      </c>
      <c r="B12378" s="0" t="n">
        <v>3477941</v>
      </c>
      <c r="C12378" s="0" t="n">
        <v>3477961</v>
      </c>
      <c r="D12378" s="0" t="s">
        <v>41258</v>
      </c>
      <c r="E12378" s="0" t="s">
        <v>89</v>
      </c>
      <c r="F12378" s="0" t="s">
        <v>15</v>
      </c>
      <c r="G12378" s="0" t="s">
        <v>32</v>
      </c>
      <c r="H12378" s="0" t="n">
        <v>99</v>
      </c>
      <c r="I12378" s="0" t="s">
        <v>41268</v>
      </c>
      <c r="J12378" s="0" t="s">
        <v>41269</v>
      </c>
      <c r="K12378" s="0" t="s">
        <v>41270</v>
      </c>
      <c r="L12378" s="0" t="str">
        <f aca="false">HYPERLINK("https://www.ncbi.nlm.nih.gov/nuccore/CP000304.1?report=graph&amp;tracks=[key:gene_model_track,Options:GeneOnly]&amp;mk=3477859:3477878|offset_16|444444,3477880:3477899|offset_37|444444,3477901:3477920|offset_58|444444,3477942:3477961|offset_99|00cc00&amp;v=3477658:3478161&amp;c=444444", "offset 99")</f>
        <v>offset 99</v>
      </c>
    </row>
    <row r="12379" customFormat="false" ht="12.8" hidden="false" customHeight="false" outlineLevel="0" collapsed="false">
      <c r="A12379" s="0" t="s">
        <v>12</v>
      </c>
      <c r="B12379" s="0" t="n">
        <v>3478656</v>
      </c>
      <c r="C12379" s="0" t="n">
        <v>3478676</v>
      </c>
      <c r="D12379" s="0" t="s">
        <v>41271</v>
      </c>
      <c r="E12379" s="0" t="s">
        <v>89</v>
      </c>
      <c r="F12379" s="0" t="s">
        <v>15</v>
      </c>
      <c r="G12379" s="0" t="s">
        <v>32</v>
      </c>
      <c r="H12379" s="0" t="n">
        <v>10</v>
      </c>
      <c r="I12379" s="0" t="s">
        <v>41272</v>
      </c>
      <c r="J12379" s="0" t="s">
        <v>41273</v>
      </c>
      <c r="K12379" s="0" t="s">
        <v>41274</v>
      </c>
      <c r="L12379" s="0" t="str">
        <f aca="false">HYPERLINK("https://www.ncbi.nlm.nih.gov/nuccore/CP000304.1?report=graph&amp;tracks=[key:gene_model_track,Options:GeneOnly]&amp;mk=3478657:3478676|offset_10|00cc00,3478681:3478700|offset_34|444444,3478703:3478722|offset_56|444444,3478735:3478754|offset_88|444444&amp;v=3478456:3478954&amp;c=444444", "offset 10")</f>
        <v>offset 10</v>
      </c>
    </row>
    <row r="12380" customFormat="false" ht="12.8" hidden="false" customHeight="false" outlineLevel="0" collapsed="false">
      <c r="A12380" s="0" t="s">
        <v>12</v>
      </c>
      <c r="B12380" s="0" t="n">
        <v>3478680</v>
      </c>
      <c r="C12380" s="0" t="n">
        <v>3478700</v>
      </c>
      <c r="D12380" s="0" t="s">
        <v>41271</v>
      </c>
      <c r="E12380" s="0" t="s">
        <v>89</v>
      </c>
      <c r="F12380" s="0" t="s">
        <v>15</v>
      </c>
      <c r="G12380" s="0" t="s">
        <v>26</v>
      </c>
      <c r="H12380" s="0" t="n">
        <v>34</v>
      </c>
      <c r="I12380" s="0" t="s">
        <v>41275</v>
      </c>
      <c r="J12380" s="0" t="s">
        <v>41276</v>
      </c>
      <c r="K12380" s="0" t="s">
        <v>41277</v>
      </c>
      <c r="L12380" s="0" t="str">
        <f aca="false">HYPERLINK("https://www.ncbi.nlm.nih.gov/nuccore/CP000304.1?report=graph&amp;tracks=[key:gene_model_track,Options:GeneOnly]&amp;mk=3478657:3478676|offset_10|444444,3478681:3478700|offset_34|00cc00,3478703:3478722|offset_56|444444,3478735:3478754|offset_88|444444&amp;v=3478456:3478954&amp;c=444444", "offset 34")</f>
        <v>offset 34</v>
      </c>
    </row>
    <row r="12381" customFormat="false" ht="12.8" hidden="false" customHeight="false" outlineLevel="0" collapsed="false">
      <c r="A12381" s="0" t="s">
        <v>12</v>
      </c>
      <c r="B12381" s="0" t="n">
        <v>3478702</v>
      </c>
      <c r="C12381" s="0" t="n">
        <v>3478722</v>
      </c>
      <c r="D12381" s="0" t="s">
        <v>41271</v>
      </c>
      <c r="E12381" s="0" t="s">
        <v>89</v>
      </c>
      <c r="F12381" s="0" t="s">
        <v>15</v>
      </c>
      <c r="G12381" s="0" t="s">
        <v>26</v>
      </c>
      <c r="H12381" s="0" t="n">
        <v>56</v>
      </c>
      <c r="I12381" s="0" t="s">
        <v>41278</v>
      </c>
      <c r="J12381" s="0" t="s">
        <v>41279</v>
      </c>
      <c r="K12381" s="0" t="s">
        <v>41280</v>
      </c>
      <c r="L12381" s="0" t="str">
        <f aca="false">HYPERLINK("https://www.ncbi.nlm.nih.gov/nuccore/CP000304.1?report=graph&amp;tracks=[key:gene_model_track,Options:GeneOnly]&amp;mk=3478657:3478676|offset_10|444444,3478681:3478700|offset_34|444444,3478703:3478722|offset_56|00cc00,3478735:3478754|offset_88|444444&amp;v=3478456:3478954&amp;c=444444", "offset 56")</f>
        <v>offset 56</v>
      </c>
    </row>
    <row r="12382" customFormat="false" ht="12.8" hidden="false" customHeight="false" outlineLevel="0" collapsed="false">
      <c r="A12382" s="0" t="s">
        <v>12</v>
      </c>
      <c r="B12382" s="0" t="n">
        <v>3478734</v>
      </c>
      <c r="C12382" s="0" t="n">
        <v>3478754</v>
      </c>
      <c r="D12382" s="0" t="s">
        <v>41271</v>
      </c>
      <c r="E12382" s="0" t="s">
        <v>89</v>
      </c>
      <c r="F12382" s="0" t="s">
        <v>15</v>
      </c>
      <c r="G12382" s="0" t="s">
        <v>32</v>
      </c>
      <c r="H12382" s="0" t="n">
        <v>88</v>
      </c>
      <c r="I12382" s="0" t="s">
        <v>41281</v>
      </c>
      <c r="J12382" s="0" t="s">
        <v>41282</v>
      </c>
      <c r="K12382" s="0" t="s">
        <v>41283</v>
      </c>
      <c r="L12382" s="0" t="str">
        <f aca="false">HYPERLINK("https://www.ncbi.nlm.nih.gov/nuccore/CP000304.1?report=graph&amp;tracks=[key:gene_model_track,Options:GeneOnly]&amp;mk=3478657:3478676|offset_10|444444,3478681:3478700|offset_34|444444,3478703:3478722|offset_56|444444,3478735:3478754|offset_88|00cc00&amp;v=3478456:3478954&amp;c=444444", "offset 88")</f>
        <v>offset 88</v>
      </c>
    </row>
    <row r="12383" customFormat="false" ht="12.8" hidden="false" customHeight="false" outlineLevel="0" collapsed="false">
      <c r="A12383" s="0" t="s">
        <v>12</v>
      </c>
      <c r="B12383" s="0" t="n">
        <v>3479808</v>
      </c>
      <c r="C12383" s="0" t="n">
        <v>3479828</v>
      </c>
      <c r="D12383" s="0" t="s">
        <v>41284</v>
      </c>
      <c r="E12383" s="0" t="s">
        <v>89</v>
      </c>
      <c r="F12383" s="0" t="s">
        <v>15</v>
      </c>
      <c r="G12383" s="0" t="s">
        <v>16</v>
      </c>
      <c r="H12383" s="0" t="n">
        <v>1</v>
      </c>
      <c r="I12383" s="0" t="s">
        <v>41285</v>
      </c>
      <c r="J12383" s="0" t="s">
        <v>41286</v>
      </c>
      <c r="K12383" s="0" t="s">
        <v>41287</v>
      </c>
      <c r="L12383" s="0" t="str">
        <f aca="false">HYPERLINK("https://www.ncbi.nlm.nih.gov/nuccore/CP000304.1?report=graph&amp;tracks=[key:gene_model_track,Options:GeneOnly]&amp;mk=3479809:3479828|offset_1|00cc00,3479832:3479851|offset_24|444444,3479859:3479878|offset_51|444444,3479880:3479899|offset_72|444444&amp;v=3479608:3480099&amp;c=444444", "offset 1")</f>
        <v>offset 1</v>
      </c>
    </row>
    <row r="12384" customFormat="false" ht="12.8" hidden="false" customHeight="false" outlineLevel="0" collapsed="false">
      <c r="A12384" s="0" t="s">
        <v>12</v>
      </c>
      <c r="B12384" s="0" t="n">
        <v>3479831</v>
      </c>
      <c r="C12384" s="0" t="n">
        <v>3479851</v>
      </c>
      <c r="D12384" s="0" t="s">
        <v>41284</v>
      </c>
      <c r="E12384" s="0" t="s">
        <v>89</v>
      </c>
      <c r="F12384" s="0" t="s">
        <v>15</v>
      </c>
      <c r="G12384" s="0" t="s">
        <v>36</v>
      </c>
      <c r="H12384" s="0" t="n">
        <v>24</v>
      </c>
      <c r="I12384" s="0" t="s">
        <v>41288</v>
      </c>
      <c r="J12384" s="0" t="s">
        <v>41289</v>
      </c>
      <c r="K12384" s="0" t="s">
        <v>41290</v>
      </c>
      <c r="L12384" s="0" t="str">
        <f aca="false">HYPERLINK("https://www.ncbi.nlm.nih.gov/nuccore/CP000304.1?report=graph&amp;tracks=[key:gene_model_track,Options:GeneOnly]&amp;mk=3479809:3479828|offset_1|444444,3479832:3479851|offset_24|00cc00,3479859:3479878|offset_51|444444,3479880:3479899|offset_72|444444&amp;v=3479608:3480099&amp;c=444444", "offset 24")</f>
        <v>offset 24</v>
      </c>
    </row>
    <row r="12385" customFormat="false" ht="12.8" hidden="false" customHeight="false" outlineLevel="0" collapsed="false">
      <c r="A12385" s="0" t="s">
        <v>12</v>
      </c>
      <c r="B12385" s="0" t="n">
        <v>3479858</v>
      </c>
      <c r="C12385" s="0" t="n">
        <v>3479878</v>
      </c>
      <c r="D12385" s="0" t="s">
        <v>41284</v>
      </c>
      <c r="E12385" s="0" t="s">
        <v>89</v>
      </c>
      <c r="F12385" s="0" t="s">
        <v>15</v>
      </c>
      <c r="G12385" s="0" t="s">
        <v>16</v>
      </c>
      <c r="H12385" s="0" t="n">
        <v>51</v>
      </c>
      <c r="I12385" s="0" t="s">
        <v>41291</v>
      </c>
      <c r="J12385" s="0" t="s">
        <v>41292</v>
      </c>
      <c r="K12385" s="0" t="s">
        <v>41293</v>
      </c>
      <c r="L12385" s="0" t="str">
        <f aca="false">HYPERLINK("https://www.ncbi.nlm.nih.gov/nuccore/CP000304.1?report=graph&amp;tracks=[key:gene_model_track,Options:GeneOnly]&amp;mk=3479809:3479828|offset_1|444444,3479832:3479851|offset_24|444444,3479859:3479878|offset_51|00cc00,3479880:3479899|offset_72|444444&amp;v=3479608:3480099&amp;c=444444", "offset 51")</f>
        <v>offset 51</v>
      </c>
    </row>
    <row r="12386" customFormat="false" ht="12.8" hidden="false" customHeight="false" outlineLevel="0" collapsed="false">
      <c r="A12386" s="0" t="s">
        <v>12</v>
      </c>
      <c r="B12386" s="0" t="n">
        <v>3479879</v>
      </c>
      <c r="C12386" s="0" t="n">
        <v>3479899</v>
      </c>
      <c r="D12386" s="0" t="s">
        <v>41284</v>
      </c>
      <c r="E12386" s="0" t="s">
        <v>89</v>
      </c>
      <c r="F12386" s="0" t="s">
        <v>15</v>
      </c>
      <c r="G12386" s="0" t="s">
        <v>16</v>
      </c>
      <c r="H12386" s="0" t="n">
        <v>72</v>
      </c>
      <c r="I12386" s="0" t="s">
        <v>41294</v>
      </c>
      <c r="J12386" s="0" t="s">
        <v>41295</v>
      </c>
      <c r="K12386" s="0" t="s">
        <v>41296</v>
      </c>
      <c r="L12386" s="0" t="str">
        <f aca="false">HYPERLINK("https://www.ncbi.nlm.nih.gov/nuccore/CP000304.1?report=graph&amp;tracks=[key:gene_model_track,Options:GeneOnly]&amp;mk=3479809:3479828|offset_1|444444,3479832:3479851|offset_24|444444,3479859:3479878|offset_51|444444,3479880:3479899|offset_72|00cc00&amp;v=3479608:3480099&amp;c=444444", "offset 72")</f>
        <v>offset 72</v>
      </c>
    </row>
    <row r="12387" customFormat="false" ht="12.8" hidden="false" customHeight="false" outlineLevel="0" collapsed="false">
      <c r="A12387" s="0" t="s">
        <v>12</v>
      </c>
      <c r="B12387" s="0" t="n">
        <v>3480446</v>
      </c>
      <c r="C12387" s="0" t="n">
        <v>3480466</v>
      </c>
      <c r="D12387" s="0" t="s">
        <v>41297</v>
      </c>
      <c r="E12387" s="0" t="s">
        <v>89</v>
      </c>
      <c r="F12387" s="0" t="s">
        <v>15</v>
      </c>
      <c r="G12387" s="0" t="s">
        <v>26</v>
      </c>
      <c r="H12387" s="0" t="n">
        <v>20</v>
      </c>
      <c r="I12387" s="0" t="s">
        <v>41298</v>
      </c>
      <c r="J12387" s="0" t="s">
        <v>41299</v>
      </c>
      <c r="K12387" s="0" t="s">
        <v>41300</v>
      </c>
      <c r="L12387" s="0" t="str">
        <f aca="false">HYPERLINK("https://www.ncbi.nlm.nih.gov/nuccore/CP000304.1?report=graph&amp;tracks=[key:gene_model_track,Options:GeneOnly]&amp;mk=3480447:3480466|offset_20|00cc00,3480467:3480486|offset_40|444444,3480498:3480517|offset_71|444444,3480539:3480558|offset_112|444444&amp;v=3480246:3480758&amp;c=444444", "offset 20")</f>
        <v>offset 20</v>
      </c>
    </row>
    <row r="12388" customFormat="false" ht="12.8" hidden="false" customHeight="false" outlineLevel="0" collapsed="false">
      <c r="A12388" s="0" t="s">
        <v>12</v>
      </c>
      <c r="B12388" s="0" t="n">
        <v>3480466</v>
      </c>
      <c r="C12388" s="0" t="n">
        <v>3480486</v>
      </c>
      <c r="D12388" s="0" t="s">
        <v>41297</v>
      </c>
      <c r="E12388" s="0" t="s">
        <v>89</v>
      </c>
      <c r="F12388" s="0" t="s">
        <v>15</v>
      </c>
      <c r="G12388" s="0" t="s">
        <v>32</v>
      </c>
      <c r="H12388" s="0" t="n">
        <v>40</v>
      </c>
      <c r="I12388" s="0" t="s">
        <v>41301</v>
      </c>
      <c r="J12388" s="0" t="s">
        <v>41302</v>
      </c>
      <c r="K12388" s="0" t="s">
        <v>41303</v>
      </c>
      <c r="L12388" s="0" t="str">
        <f aca="false">HYPERLINK("https://www.ncbi.nlm.nih.gov/nuccore/CP000304.1?report=graph&amp;tracks=[key:gene_model_track,Options:GeneOnly]&amp;mk=3480447:3480466|offset_20|444444,3480467:3480486|offset_40|00cc00,3480498:3480517|offset_71|444444,3480539:3480558|offset_112|444444&amp;v=3480246:3480758&amp;c=444444", "offset 40")</f>
        <v>offset 40</v>
      </c>
    </row>
    <row r="12389" customFormat="false" ht="12.8" hidden="false" customHeight="false" outlineLevel="0" collapsed="false">
      <c r="A12389" s="0" t="s">
        <v>12</v>
      </c>
      <c r="B12389" s="0" t="n">
        <v>3480497</v>
      </c>
      <c r="C12389" s="0" t="n">
        <v>3480517</v>
      </c>
      <c r="D12389" s="0" t="s">
        <v>41297</v>
      </c>
      <c r="E12389" s="0" t="s">
        <v>89</v>
      </c>
      <c r="F12389" s="0" t="s">
        <v>15</v>
      </c>
      <c r="G12389" s="0" t="s">
        <v>36</v>
      </c>
      <c r="H12389" s="0" t="n">
        <v>71</v>
      </c>
      <c r="I12389" s="0" t="s">
        <v>41304</v>
      </c>
      <c r="J12389" s="0" t="s">
        <v>41305</v>
      </c>
      <c r="K12389" s="0" t="s">
        <v>41306</v>
      </c>
      <c r="L12389" s="0" t="str">
        <f aca="false">HYPERLINK("https://www.ncbi.nlm.nih.gov/nuccore/CP000304.1?report=graph&amp;tracks=[key:gene_model_track,Options:GeneOnly]&amp;mk=3480447:3480466|offset_20|444444,3480467:3480486|offset_40|444444,3480498:3480517|offset_71|00cc00,3480539:3480558|offset_112|444444&amp;v=3480246:3480758&amp;c=444444", "offset 71")</f>
        <v>offset 71</v>
      </c>
    </row>
    <row r="12390" customFormat="false" ht="12.8" hidden="false" customHeight="false" outlineLevel="0" collapsed="false">
      <c r="A12390" s="0" t="s">
        <v>12</v>
      </c>
      <c r="B12390" s="0" t="n">
        <v>3480538</v>
      </c>
      <c r="C12390" s="0" t="n">
        <v>3480558</v>
      </c>
      <c r="D12390" s="0" t="s">
        <v>41297</v>
      </c>
      <c r="E12390" s="0" t="s">
        <v>89</v>
      </c>
      <c r="F12390" s="0" t="s">
        <v>15</v>
      </c>
      <c r="G12390" s="0" t="s">
        <v>16</v>
      </c>
      <c r="H12390" s="0" t="n">
        <v>112</v>
      </c>
      <c r="I12390" s="0" t="s">
        <v>41307</v>
      </c>
      <c r="J12390" s="0" t="s">
        <v>41308</v>
      </c>
      <c r="K12390" s="0" t="s">
        <v>41309</v>
      </c>
      <c r="L12390" s="0" t="str">
        <f aca="false">HYPERLINK("https://www.ncbi.nlm.nih.gov/nuccore/CP000304.1?report=graph&amp;tracks=[key:gene_model_track,Options:GeneOnly]&amp;mk=3480447:3480466|offset_20|444444,3480467:3480486|offset_40|444444,3480498:3480517|offset_71|444444,3480539:3480558|offset_112|00cc00&amp;v=3480246:3480758&amp;c=444444", "offset 112")</f>
        <v>offset 112</v>
      </c>
    </row>
    <row r="12391" customFormat="false" ht="12.8" hidden="false" customHeight="false" outlineLevel="0" collapsed="false">
      <c r="A12391" s="0" t="s">
        <v>12</v>
      </c>
      <c r="B12391" s="0" t="n">
        <v>3481874</v>
      </c>
      <c r="C12391" s="0" t="n">
        <v>3481894</v>
      </c>
      <c r="D12391" s="0" t="s">
        <v>41310</v>
      </c>
      <c r="E12391" s="0" t="s">
        <v>89</v>
      </c>
      <c r="F12391" s="0" t="s">
        <v>15</v>
      </c>
      <c r="G12391" s="0" t="s">
        <v>32</v>
      </c>
      <c r="H12391" s="0" t="n">
        <v>1</v>
      </c>
      <c r="I12391" s="0" t="s">
        <v>41311</v>
      </c>
      <c r="J12391" s="0" t="s">
        <v>41312</v>
      </c>
      <c r="K12391" s="0" t="s">
        <v>41313</v>
      </c>
      <c r="L12391" s="0" t="str">
        <f aca="false">HYPERLINK("https://www.ncbi.nlm.nih.gov/nuccore/CP000304.1?report=graph&amp;tracks=[key:gene_model_track,Options:GeneOnly]&amp;mk=3481875:3481894|offset_1|00cc00,3481912:3481931|offset_38|444444,3481942:3481961|offset_68|444444,3481975:3481994|offset_101|444444&amp;v=3481674:3482194&amp;c=444444", "offset 1")</f>
        <v>offset 1</v>
      </c>
    </row>
    <row r="12392" customFormat="false" ht="12.8" hidden="false" customHeight="false" outlineLevel="0" collapsed="false">
      <c r="A12392" s="0" t="s">
        <v>12</v>
      </c>
      <c r="B12392" s="0" t="n">
        <v>3481911</v>
      </c>
      <c r="C12392" s="0" t="n">
        <v>3481931</v>
      </c>
      <c r="D12392" s="0" t="s">
        <v>41310</v>
      </c>
      <c r="E12392" s="0" t="s">
        <v>89</v>
      </c>
      <c r="F12392" s="0" t="s">
        <v>15</v>
      </c>
      <c r="G12392" s="0" t="s">
        <v>26</v>
      </c>
      <c r="H12392" s="0" t="n">
        <v>38</v>
      </c>
      <c r="I12392" s="0" t="s">
        <v>41314</v>
      </c>
      <c r="J12392" s="0" t="s">
        <v>41315</v>
      </c>
      <c r="K12392" s="0" t="s">
        <v>41316</v>
      </c>
      <c r="L12392" s="0" t="str">
        <f aca="false">HYPERLINK("https://www.ncbi.nlm.nih.gov/nuccore/CP000304.1?report=graph&amp;tracks=[key:gene_model_track,Options:GeneOnly]&amp;mk=3481875:3481894|offset_1|444444,3481912:3481931|offset_38|00cc00,3481942:3481961|offset_68|444444,3481975:3481994|offset_101|444444&amp;v=3481674:3482194&amp;c=444444", "offset 38")</f>
        <v>offset 38</v>
      </c>
    </row>
    <row r="12393" customFormat="false" ht="12.8" hidden="false" customHeight="false" outlineLevel="0" collapsed="false">
      <c r="A12393" s="0" t="s">
        <v>12</v>
      </c>
      <c r="B12393" s="0" t="n">
        <v>3481941</v>
      </c>
      <c r="C12393" s="0" t="n">
        <v>3481961</v>
      </c>
      <c r="D12393" s="0" t="s">
        <v>41310</v>
      </c>
      <c r="E12393" s="0" t="s">
        <v>89</v>
      </c>
      <c r="F12393" s="0" t="s">
        <v>15</v>
      </c>
      <c r="G12393" s="0" t="s">
        <v>16</v>
      </c>
      <c r="H12393" s="0" t="n">
        <v>68</v>
      </c>
      <c r="I12393" s="0" t="s">
        <v>41317</v>
      </c>
      <c r="J12393" s="0" t="s">
        <v>41318</v>
      </c>
      <c r="K12393" s="0" t="s">
        <v>41319</v>
      </c>
      <c r="L12393" s="0" t="str">
        <f aca="false">HYPERLINK("https://www.ncbi.nlm.nih.gov/nuccore/CP000304.1?report=graph&amp;tracks=[key:gene_model_track,Options:GeneOnly]&amp;mk=3481875:3481894|offset_1|444444,3481912:3481931|offset_38|444444,3481942:3481961|offset_68|00cc00,3481975:3481994|offset_101|444444&amp;v=3481674:3482194&amp;c=444444", "offset 68")</f>
        <v>offset 68</v>
      </c>
    </row>
    <row r="12394" customFormat="false" ht="12.8" hidden="false" customHeight="false" outlineLevel="0" collapsed="false">
      <c r="A12394" s="0" t="s">
        <v>12</v>
      </c>
      <c r="B12394" s="0" t="n">
        <v>3481974</v>
      </c>
      <c r="C12394" s="0" t="n">
        <v>3481994</v>
      </c>
      <c r="D12394" s="0" t="s">
        <v>41310</v>
      </c>
      <c r="E12394" s="0" t="s">
        <v>89</v>
      </c>
      <c r="F12394" s="0" t="s">
        <v>15</v>
      </c>
      <c r="G12394" s="0" t="s">
        <v>26</v>
      </c>
      <c r="H12394" s="0" t="n">
        <v>101</v>
      </c>
      <c r="I12394" s="0" t="s">
        <v>41320</v>
      </c>
      <c r="J12394" s="0" t="s">
        <v>41321</v>
      </c>
      <c r="K12394" s="0" t="s">
        <v>41322</v>
      </c>
      <c r="L12394" s="0" t="str">
        <f aca="false">HYPERLINK("https://www.ncbi.nlm.nih.gov/nuccore/CP000304.1?report=graph&amp;tracks=[key:gene_model_track,Options:GeneOnly]&amp;mk=3481875:3481894|offset_1|444444,3481912:3481931|offset_38|444444,3481942:3481961|offset_68|444444,3481975:3481994|offset_101|00cc00&amp;v=3481674:3482194&amp;c=444444", "offset 101")</f>
        <v>offset 101</v>
      </c>
    </row>
    <row r="12395" customFormat="false" ht="12.8" hidden="false" customHeight="false" outlineLevel="0" collapsed="false">
      <c r="A12395" s="0" t="s">
        <v>12</v>
      </c>
      <c r="B12395" s="0" t="n">
        <v>3483555</v>
      </c>
      <c r="C12395" s="0" t="n">
        <v>3483575</v>
      </c>
      <c r="D12395" s="0" t="s">
        <v>41323</v>
      </c>
      <c r="E12395" s="0" t="s">
        <v>89</v>
      </c>
      <c r="F12395" s="0" t="s">
        <v>15</v>
      </c>
      <c r="G12395" s="0" t="s">
        <v>32</v>
      </c>
      <c r="H12395" s="0" t="n">
        <v>71</v>
      </c>
      <c r="I12395" s="0" t="s">
        <v>41324</v>
      </c>
      <c r="J12395" s="0" t="s">
        <v>41325</v>
      </c>
      <c r="K12395" s="0" t="s">
        <v>41326</v>
      </c>
      <c r="L12395" s="0" t="str">
        <f aca="false">HYPERLINK("https://www.ncbi.nlm.nih.gov/nuccore/CP000304.1?report=graph&amp;tracks=[key:gene_model_track,Options:GeneOnly]&amp;mk=3483556:3483575|offset_71|00cc00,3483600:3483619|offset_115|444444,3483627:3483646|offset_142|444444,3483659:3483678|offset_174|444444&amp;v=3483355:3483878&amp;c=444444", "offset 71")</f>
        <v>offset 71</v>
      </c>
    </row>
    <row r="12396" customFormat="false" ht="12.8" hidden="false" customHeight="false" outlineLevel="0" collapsed="false">
      <c r="A12396" s="0" t="s">
        <v>12</v>
      </c>
      <c r="B12396" s="0" t="n">
        <v>3483599</v>
      </c>
      <c r="C12396" s="0" t="n">
        <v>3483619</v>
      </c>
      <c r="D12396" s="0" t="s">
        <v>41323</v>
      </c>
      <c r="E12396" s="0" t="s">
        <v>89</v>
      </c>
      <c r="F12396" s="0" t="s">
        <v>15</v>
      </c>
      <c r="G12396" s="0" t="s">
        <v>16</v>
      </c>
      <c r="H12396" s="0" t="n">
        <v>115</v>
      </c>
      <c r="I12396" s="0" t="s">
        <v>41327</v>
      </c>
      <c r="J12396" s="0" t="s">
        <v>41328</v>
      </c>
      <c r="K12396" s="0" t="s">
        <v>41329</v>
      </c>
      <c r="L12396" s="0" t="str">
        <f aca="false">HYPERLINK("https://www.ncbi.nlm.nih.gov/nuccore/CP000304.1?report=graph&amp;tracks=[key:gene_model_track,Options:GeneOnly]&amp;mk=3483556:3483575|offset_71|444444,3483600:3483619|offset_115|00cc00,3483627:3483646|offset_142|444444,3483659:3483678|offset_174|444444&amp;v=3483355:3483878&amp;c=444444", "offset 115")</f>
        <v>offset 115</v>
      </c>
    </row>
    <row r="12397" customFormat="false" ht="12.8" hidden="false" customHeight="false" outlineLevel="0" collapsed="false">
      <c r="A12397" s="0" t="s">
        <v>12</v>
      </c>
      <c r="B12397" s="0" t="n">
        <v>3483626</v>
      </c>
      <c r="C12397" s="0" t="n">
        <v>3483646</v>
      </c>
      <c r="D12397" s="0" t="s">
        <v>41323</v>
      </c>
      <c r="E12397" s="0" t="s">
        <v>89</v>
      </c>
      <c r="F12397" s="0" t="s">
        <v>15</v>
      </c>
      <c r="G12397" s="0" t="s">
        <v>26</v>
      </c>
      <c r="H12397" s="0" t="n">
        <v>142</v>
      </c>
      <c r="I12397" s="0" t="s">
        <v>41330</v>
      </c>
      <c r="J12397" s="0" t="s">
        <v>41331</v>
      </c>
      <c r="K12397" s="0" t="s">
        <v>41332</v>
      </c>
      <c r="L12397" s="0" t="str">
        <f aca="false">HYPERLINK("https://www.ncbi.nlm.nih.gov/nuccore/CP000304.1?report=graph&amp;tracks=[key:gene_model_track,Options:GeneOnly]&amp;mk=3483556:3483575|offset_71|444444,3483600:3483619|offset_115|444444,3483627:3483646|offset_142|00cc00,3483659:3483678|offset_174|444444&amp;v=3483355:3483878&amp;c=444444", "offset 142")</f>
        <v>offset 142</v>
      </c>
    </row>
    <row r="12398" customFormat="false" ht="12.8" hidden="false" customHeight="false" outlineLevel="0" collapsed="false">
      <c r="A12398" s="0" t="s">
        <v>12</v>
      </c>
      <c r="B12398" s="0" t="n">
        <v>3483658</v>
      </c>
      <c r="C12398" s="0" t="n">
        <v>3483678</v>
      </c>
      <c r="D12398" s="0" t="s">
        <v>41323</v>
      </c>
      <c r="E12398" s="0" t="s">
        <v>89</v>
      </c>
      <c r="F12398" s="0" t="s">
        <v>15</v>
      </c>
      <c r="G12398" s="0" t="s">
        <v>16</v>
      </c>
      <c r="H12398" s="0" t="n">
        <v>174</v>
      </c>
      <c r="I12398" s="0" t="s">
        <v>41333</v>
      </c>
      <c r="J12398" s="0" t="s">
        <v>41334</v>
      </c>
      <c r="K12398" s="0" t="s">
        <v>41335</v>
      </c>
      <c r="L12398" s="0" t="str">
        <f aca="false">HYPERLINK("https://www.ncbi.nlm.nih.gov/nuccore/CP000304.1?report=graph&amp;tracks=[key:gene_model_track,Options:GeneOnly]&amp;mk=3483556:3483575|offset_71|444444,3483600:3483619|offset_115|444444,3483627:3483646|offset_142|444444,3483659:3483678|offset_174|00cc00&amp;v=3483355:3483878&amp;c=444444", "offset 174")</f>
        <v>offset 174</v>
      </c>
    </row>
    <row r="12399" customFormat="false" ht="12.8" hidden="false" customHeight="false" outlineLevel="0" collapsed="false">
      <c r="A12399" s="0" t="s">
        <v>12</v>
      </c>
      <c r="B12399" s="0" t="n">
        <v>3484146</v>
      </c>
      <c r="C12399" s="0" t="n">
        <v>3484166</v>
      </c>
      <c r="D12399" s="0" t="s">
        <v>41336</v>
      </c>
      <c r="E12399" s="0" t="s">
        <v>89</v>
      </c>
      <c r="F12399" s="0" t="s">
        <v>15</v>
      </c>
      <c r="G12399" s="0" t="s">
        <v>32</v>
      </c>
      <c r="H12399" s="0" t="n">
        <v>12</v>
      </c>
      <c r="I12399" s="0" t="s">
        <v>41337</v>
      </c>
      <c r="J12399" s="0" t="s">
        <v>41338</v>
      </c>
      <c r="K12399" s="0" t="s">
        <v>41339</v>
      </c>
      <c r="L12399" s="0" t="str">
        <f aca="false">HYPERLINK("https://www.ncbi.nlm.nih.gov/nuccore/CP000304.1?report=graph&amp;tracks=[key:gene_model_track,Options:GeneOnly]&amp;mk=3484147:3484166|offset_12|00cc00,3484175:3484194|offset_40|444444,3484197:3484216|offset_62|444444,3484220:3484239|offset_85|444444&amp;v=3483946:3484439&amp;c=444444", "offset 12")</f>
        <v>offset 12</v>
      </c>
    </row>
    <row r="12400" customFormat="false" ht="12.8" hidden="false" customHeight="false" outlineLevel="0" collapsed="false">
      <c r="A12400" s="0" t="s">
        <v>12</v>
      </c>
      <c r="B12400" s="0" t="n">
        <v>3484174</v>
      </c>
      <c r="C12400" s="0" t="n">
        <v>3484194</v>
      </c>
      <c r="D12400" s="0" t="s">
        <v>41336</v>
      </c>
      <c r="E12400" s="0" t="s">
        <v>89</v>
      </c>
      <c r="F12400" s="0" t="s">
        <v>15</v>
      </c>
      <c r="G12400" s="0" t="s">
        <v>36</v>
      </c>
      <c r="H12400" s="0" t="n">
        <v>40</v>
      </c>
      <c r="I12400" s="0" t="s">
        <v>41340</v>
      </c>
      <c r="J12400" s="0" t="s">
        <v>41341</v>
      </c>
      <c r="K12400" s="0" t="s">
        <v>41342</v>
      </c>
      <c r="L12400" s="0" t="str">
        <f aca="false">HYPERLINK("https://www.ncbi.nlm.nih.gov/nuccore/CP000304.1?report=graph&amp;tracks=[key:gene_model_track,Options:GeneOnly]&amp;mk=3484147:3484166|offset_12|444444,3484175:3484194|offset_40|00cc00,3484197:3484216|offset_62|444444,3484220:3484239|offset_85|444444&amp;v=3483946:3484439&amp;c=444444", "offset 40")</f>
        <v>offset 40</v>
      </c>
    </row>
    <row r="12401" customFormat="false" ht="12.8" hidden="false" customHeight="false" outlineLevel="0" collapsed="false">
      <c r="A12401" s="0" t="s">
        <v>12</v>
      </c>
      <c r="B12401" s="0" t="n">
        <v>3484196</v>
      </c>
      <c r="C12401" s="0" t="n">
        <v>3484216</v>
      </c>
      <c r="D12401" s="0" t="s">
        <v>41336</v>
      </c>
      <c r="E12401" s="0" t="s">
        <v>89</v>
      </c>
      <c r="F12401" s="0" t="s">
        <v>15</v>
      </c>
      <c r="G12401" s="0" t="s">
        <v>26</v>
      </c>
      <c r="H12401" s="0" t="n">
        <v>62</v>
      </c>
      <c r="I12401" s="0" t="s">
        <v>41343</v>
      </c>
      <c r="J12401" s="0" t="s">
        <v>41344</v>
      </c>
      <c r="K12401" s="0" t="s">
        <v>41345</v>
      </c>
      <c r="L12401" s="0" t="str">
        <f aca="false">HYPERLINK("https://www.ncbi.nlm.nih.gov/nuccore/CP000304.1?report=graph&amp;tracks=[key:gene_model_track,Options:GeneOnly]&amp;mk=3484147:3484166|offset_12|444444,3484175:3484194|offset_40|444444,3484197:3484216|offset_62|00cc00,3484220:3484239|offset_85|444444&amp;v=3483946:3484439&amp;c=444444", "offset 62")</f>
        <v>offset 62</v>
      </c>
    </row>
    <row r="12402" customFormat="false" ht="12.8" hidden="false" customHeight="false" outlineLevel="0" collapsed="false">
      <c r="A12402" s="0" t="s">
        <v>12</v>
      </c>
      <c r="B12402" s="0" t="n">
        <v>3484219</v>
      </c>
      <c r="C12402" s="0" t="n">
        <v>3484239</v>
      </c>
      <c r="D12402" s="0" t="s">
        <v>41336</v>
      </c>
      <c r="E12402" s="0" t="s">
        <v>89</v>
      </c>
      <c r="F12402" s="0" t="s">
        <v>15</v>
      </c>
      <c r="G12402" s="0" t="s">
        <v>16</v>
      </c>
      <c r="H12402" s="0" t="n">
        <v>85</v>
      </c>
      <c r="I12402" s="0" t="s">
        <v>41346</v>
      </c>
      <c r="J12402" s="0" t="s">
        <v>41347</v>
      </c>
      <c r="K12402" s="0" t="s">
        <v>41348</v>
      </c>
      <c r="L12402" s="0" t="str">
        <f aca="false">HYPERLINK("https://www.ncbi.nlm.nih.gov/nuccore/CP000304.1?report=graph&amp;tracks=[key:gene_model_track,Options:GeneOnly]&amp;mk=3484147:3484166|offset_12|444444,3484175:3484194|offset_40|444444,3484197:3484216|offset_62|444444,3484220:3484239|offset_85|00cc00&amp;v=3483946:3484439&amp;c=444444", "offset 85")</f>
        <v>offset 85</v>
      </c>
    </row>
    <row r="12403" customFormat="false" ht="12.8" hidden="false" customHeight="false" outlineLevel="0" collapsed="false">
      <c r="A12403" s="0" t="s">
        <v>12</v>
      </c>
      <c r="B12403" s="0" t="n">
        <v>3489493</v>
      </c>
      <c r="C12403" s="0" t="n">
        <v>3489513</v>
      </c>
      <c r="D12403" s="0" t="s">
        <v>41349</v>
      </c>
      <c r="E12403" s="0" t="s">
        <v>89</v>
      </c>
      <c r="F12403" s="0" t="s">
        <v>90</v>
      </c>
      <c r="G12403" s="0" t="s">
        <v>32</v>
      </c>
      <c r="H12403" s="0" t="n">
        <v>31</v>
      </c>
      <c r="I12403" s="0" t="s">
        <v>41350</v>
      </c>
      <c r="J12403" s="0" t="s">
        <v>41351</v>
      </c>
      <c r="K12403" s="0" t="s">
        <v>41352</v>
      </c>
      <c r="L12403" s="0" t="str">
        <f aca="false">HYPERLINK("https://www.ncbi.nlm.nih.gov/nuccore/CP000304.1?report=graph&amp;tracks=[key:gene_model_track,Options:GeneOnly]&amp;mk=3489494:3489513|offset_31|00cc00,3489472:3489491|offset_53|444444,3489445:3489464|offset_80|444444,3489422:3489441|offset_103|444444&amp;v=3489293:3489641&amp;c=444444", "offset 31")</f>
        <v>offset 31</v>
      </c>
    </row>
    <row r="12404" customFormat="false" ht="12.8" hidden="false" customHeight="false" outlineLevel="0" collapsed="false">
      <c r="A12404" s="0" t="s">
        <v>12</v>
      </c>
      <c r="B12404" s="0" t="n">
        <v>3489471</v>
      </c>
      <c r="C12404" s="0" t="n">
        <v>3489491</v>
      </c>
      <c r="D12404" s="0" t="s">
        <v>41349</v>
      </c>
      <c r="E12404" s="0" t="s">
        <v>89</v>
      </c>
      <c r="F12404" s="0" t="s">
        <v>90</v>
      </c>
      <c r="G12404" s="0" t="s">
        <v>26</v>
      </c>
      <c r="H12404" s="0" t="n">
        <v>53</v>
      </c>
      <c r="I12404" s="0" t="s">
        <v>41353</v>
      </c>
      <c r="J12404" s="0" t="s">
        <v>41354</v>
      </c>
      <c r="K12404" s="0" t="s">
        <v>41355</v>
      </c>
      <c r="L12404" s="0" t="str">
        <f aca="false">HYPERLINK("https://www.ncbi.nlm.nih.gov/nuccore/CP000304.1?report=graph&amp;tracks=[key:gene_model_track,Options:GeneOnly]&amp;mk=3489494:3489513|offset_31|444444,3489472:3489491|offset_53|00cc00,3489445:3489464|offset_80|444444,3489422:3489441|offset_103|444444&amp;v=3489293:3489641&amp;c=444444", "offset 53")</f>
        <v>offset 53</v>
      </c>
    </row>
    <row r="12405" customFormat="false" ht="12.8" hidden="false" customHeight="false" outlineLevel="0" collapsed="false">
      <c r="A12405" s="0" t="s">
        <v>12</v>
      </c>
      <c r="B12405" s="0" t="n">
        <v>3489444</v>
      </c>
      <c r="C12405" s="0" t="n">
        <v>3489464</v>
      </c>
      <c r="D12405" s="0" t="s">
        <v>41349</v>
      </c>
      <c r="E12405" s="0" t="s">
        <v>89</v>
      </c>
      <c r="F12405" s="0" t="s">
        <v>90</v>
      </c>
      <c r="G12405" s="0" t="s">
        <v>32</v>
      </c>
      <c r="H12405" s="0" t="n">
        <v>80</v>
      </c>
      <c r="I12405" s="0" t="s">
        <v>41356</v>
      </c>
      <c r="J12405" s="0" t="s">
        <v>41357</v>
      </c>
      <c r="K12405" s="0" t="s">
        <v>41358</v>
      </c>
      <c r="L12405" s="0" t="str">
        <f aca="false">HYPERLINK("https://www.ncbi.nlm.nih.gov/nuccore/CP000304.1?report=graph&amp;tracks=[key:gene_model_track,Options:GeneOnly]&amp;mk=3489494:3489513|offset_31|444444,3489472:3489491|offset_53|444444,3489445:3489464|offset_80|00cc00,3489422:3489441|offset_103|444444&amp;v=3489293:3489641&amp;c=444444", "offset 80")</f>
        <v>offset 80</v>
      </c>
    </row>
    <row r="12406" customFormat="false" ht="12.8" hidden="false" customHeight="false" outlineLevel="0" collapsed="false">
      <c r="A12406" s="0" t="s">
        <v>12</v>
      </c>
      <c r="B12406" s="0" t="n">
        <v>3489421</v>
      </c>
      <c r="C12406" s="0" t="n">
        <v>3489441</v>
      </c>
      <c r="D12406" s="0" t="s">
        <v>41349</v>
      </c>
      <c r="E12406" s="0" t="s">
        <v>89</v>
      </c>
      <c r="F12406" s="0" t="s">
        <v>90</v>
      </c>
      <c r="G12406" s="0" t="s">
        <v>16</v>
      </c>
      <c r="H12406" s="0" t="n">
        <v>103</v>
      </c>
      <c r="I12406" s="0" t="s">
        <v>41359</v>
      </c>
      <c r="J12406" s="0" t="s">
        <v>41360</v>
      </c>
      <c r="K12406" s="0" t="s">
        <v>41361</v>
      </c>
      <c r="L12406" s="0" t="str">
        <f aca="false">HYPERLINK("https://www.ncbi.nlm.nih.gov/nuccore/CP000304.1?report=graph&amp;tracks=[key:gene_model_track,Options:GeneOnly]&amp;mk=3489494:3489513|offset_31|444444,3489472:3489491|offset_53|444444,3489445:3489464|offset_80|444444,3489422:3489441|offset_103|00cc00&amp;v=3489293:3489641&amp;c=444444", "offset 103")</f>
        <v>offset 103</v>
      </c>
    </row>
    <row r="12407" customFormat="false" ht="12.8" hidden="false" customHeight="false" outlineLevel="0" collapsed="false">
      <c r="A12407" s="0" t="s">
        <v>12</v>
      </c>
      <c r="B12407" s="0" t="n">
        <v>3489965</v>
      </c>
      <c r="C12407" s="0" t="n">
        <v>3489985</v>
      </c>
      <c r="D12407" s="0" t="s">
        <v>41362</v>
      </c>
      <c r="E12407" s="0" t="s">
        <v>89</v>
      </c>
      <c r="F12407" s="0" t="s">
        <v>90</v>
      </c>
      <c r="G12407" s="0" t="s">
        <v>36</v>
      </c>
      <c r="H12407" s="0" t="n">
        <v>12</v>
      </c>
      <c r="I12407" s="0" t="s">
        <v>41363</v>
      </c>
      <c r="J12407" s="0" t="s">
        <v>41364</v>
      </c>
      <c r="K12407" s="0" t="s">
        <v>41365</v>
      </c>
      <c r="L12407" s="0" t="str">
        <f aca="false">HYPERLINK("https://www.ncbi.nlm.nih.gov/nuccore/CP000304.1?report=graph&amp;tracks=[key:gene_model_track,Options:GeneOnly]&amp;mk=3489966:3489985|offset_12|00cc00,3489940:3489959|offset_38|444444,3489893:3489912|offset_85|444444,3489863:3489882|offset_115|444444&amp;v=3489765:3490082&amp;c=444444", "offset 12")</f>
        <v>offset 12</v>
      </c>
    </row>
    <row r="12408" customFormat="false" ht="12.8" hidden="false" customHeight="false" outlineLevel="0" collapsed="false">
      <c r="A12408" s="0" t="s">
        <v>12</v>
      </c>
      <c r="B12408" s="0" t="n">
        <v>3489939</v>
      </c>
      <c r="C12408" s="0" t="n">
        <v>3489959</v>
      </c>
      <c r="D12408" s="0" t="s">
        <v>41362</v>
      </c>
      <c r="E12408" s="0" t="s">
        <v>89</v>
      </c>
      <c r="F12408" s="0" t="s">
        <v>90</v>
      </c>
      <c r="G12408" s="0" t="s">
        <v>26</v>
      </c>
      <c r="H12408" s="0" t="n">
        <v>38</v>
      </c>
      <c r="I12408" s="0" t="s">
        <v>41366</v>
      </c>
      <c r="J12408" s="0" t="s">
        <v>41367</v>
      </c>
      <c r="K12408" s="0" t="s">
        <v>41368</v>
      </c>
      <c r="L12408" s="0" t="str">
        <f aca="false">HYPERLINK("https://www.ncbi.nlm.nih.gov/nuccore/CP000304.1?report=graph&amp;tracks=[key:gene_model_track,Options:GeneOnly]&amp;mk=3489966:3489985|offset_12|444444,3489940:3489959|offset_38|00cc00,3489893:3489912|offset_85|444444,3489863:3489882|offset_115|444444&amp;v=3489765:3490082&amp;c=444444", "offset 38")</f>
        <v>offset 38</v>
      </c>
    </row>
    <row r="12409" customFormat="false" ht="12.8" hidden="false" customHeight="false" outlineLevel="0" collapsed="false">
      <c r="A12409" s="0" t="s">
        <v>12</v>
      </c>
      <c r="B12409" s="0" t="n">
        <v>3489892</v>
      </c>
      <c r="C12409" s="0" t="n">
        <v>3489912</v>
      </c>
      <c r="D12409" s="0" t="s">
        <v>41362</v>
      </c>
      <c r="E12409" s="0" t="s">
        <v>89</v>
      </c>
      <c r="F12409" s="0" t="s">
        <v>90</v>
      </c>
      <c r="G12409" s="0" t="s">
        <v>16</v>
      </c>
      <c r="H12409" s="0" t="n">
        <v>85</v>
      </c>
      <c r="I12409" s="0" t="s">
        <v>41369</v>
      </c>
      <c r="J12409" s="0" t="s">
        <v>41370</v>
      </c>
      <c r="K12409" s="0" t="s">
        <v>41371</v>
      </c>
      <c r="L12409" s="0" t="str">
        <f aca="false">HYPERLINK("https://www.ncbi.nlm.nih.gov/nuccore/CP000304.1?report=graph&amp;tracks=[key:gene_model_track,Options:GeneOnly]&amp;mk=3489966:3489985|offset_12|444444,3489940:3489959|offset_38|444444,3489893:3489912|offset_85|00cc00,3489863:3489882|offset_115|444444&amp;v=3489765:3490082&amp;c=444444", "offset 85")</f>
        <v>offset 85</v>
      </c>
    </row>
    <row r="12410" customFormat="false" ht="12.8" hidden="false" customHeight="false" outlineLevel="0" collapsed="false">
      <c r="A12410" s="0" t="s">
        <v>12</v>
      </c>
      <c r="B12410" s="0" t="n">
        <v>3489862</v>
      </c>
      <c r="C12410" s="0" t="n">
        <v>3489882</v>
      </c>
      <c r="D12410" s="0" t="s">
        <v>41362</v>
      </c>
      <c r="E12410" s="0" t="s">
        <v>89</v>
      </c>
      <c r="F12410" s="0" t="s">
        <v>90</v>
      </c>
      <c r="G12410" s="0" t="s">
        <v>16</v>
      </c>
      <c r="H12410" s="0" t="n">
        <v>115</v>
      </c>
      <c r="I12410" s="0" t="s">
        <v>41372</v>
      </c>
      <c r="J12410" s="0" t="s">
        <v>41373</v>
      </c>
      <c r="K12410" s="0" t="s">
        <v>41374</v>
      </c>
      <c r="L12410" s="0" t="str">
        <f aca="false">HYPERLINK("https://www.ncbi.nlm.nih.gov/nuccore/CP000304.1?report=graph&amp;tracks=[key:gene_model_track,Options:GeneOnly]&amp;mk=3489966:3489985|offset_12|444444,3489940:3489959|offset_38|444444,3489893:3489912|offset_85|444444,3489863:3489882|offset_115|00cc00&amp;v=3489765:3490082&amp;c=444444", "offset 115")</f>
        <v>offset 115</v>
      </c>
    </row>
    <row r="12411" customFormat="false" ht="12.8" hidden="false" customHeight="false" outlineLevel="0" collapsed="false">
      <c r="A12411" s="0" t="s">
        <v>12</v>
      </c>
      <c r="B12411" s="0" t="n">
        <v>3490996</v>
      </c>
      <c r="C12411" s="0" t="n">
        <v>3491016</v>
      </c>
      <c r="D12411" s="0" t="s">
        <v>41375</v>
      </c>
      <c r="E12411" s="0" t="s">
        <v>89</v>
      </c>
      <c r="F12411" s="0" t="s">
        <v>90</v>
      </c>
      <c r="G12411" s="0" t="s">
        <v>26</v>
      </c>
      <c r="H12411" s="0" t="n">
        <v>36</v>
      </c>
      <c r="I12411" s="0" t="s">
        <v>41376</v>
      </c>
      <c r="J12411" s="0" t="s">
        <v>41377</v>
      </c>
      <c r="K12411" s="0" t="s">
        <v>41378</v>
      </c>
      <c r="L12411" s="0" t="str">
        <f aca="false">HYPERLINK("https://www.ncbi.nlm.nih.gov/nuccore/CP000304.1?report=graph&amp;tracks=[key:gene_model_track,Options:GeneOnly]&amp;mk=3490997:3491016|offset_36|00cc00,3490925:3490944|offset_108|444444,3490858:3490877|offset_175|444444,3490646:3490665|offset_387|444444&amp;v=3490796:3490865&amp;c=444444", "offset 36")</f>
        <v>offset 36</v>
      </c>
    </row>
    <row r="12412" customFormat="false" ht="12.8" hidden="false" customHeight="false" outlineLevel="0" collapsed="false">
      <c r="A12412" s="0" t="s">
        <v>12</v>
      </c>
      <c r="B12412" s="0" t="n">
        <v>3490924</v>
      </c>
      <c r="C12412" s="0" t="n">
        <v>3490944</v>
      </c>
      <c r="D12412" s="0" t="s">
        <v>41375</v>
      </c>
      <c r="E12412" s="0" t="s">
        <v>89</v>
      </c>
      <c r="F12412" s="0" t="s">
        <v>90</v>
      </c>
      <c r="G12412" s="0" t="s">
        <v>26</v>
      </c>
      <c r="H12412" s="0" t="n">
        <v>108</v>
      </c>
      <c r="I12412" s="0" t="s">
        <v>41379</v>
      </c>
      <c r="J12412" s="0" t="s">
        <v>41380</v>
      </c>
      <c r="K12412" s="0" t="s">
        <v>41381</v>
      </c>
      <c r="L12412" s="0" t="str">
        <f aca="false">HYPERLINK("https://www.ncbi.nlm.nih.gov/nuccore/CP000304.1?report=graph&amp;tracks=[key:gene_model_track,Options:GeneOnly]&amp;mk=3490997:3491016|offset_36|444444,3490925:3490944|offset_108|00cc00,3490858:3490877|offset_175|444444,3490646:3490665|offset_387|444444&amp;v=3490796:3490865&amp;c=444444", "offset 108")</f>
        <v>offset 108</v>
      </c>
    </row>
    <row r="12413" customFormat="false" ht="12.8" hidden="false" customHeight="false" outlineLevel="0" collapsed="false">
      <c r="A12413" s="0" t="s">
        <v>12</v>
      </c>
      <c r="B12413" s="0" t="n">
        <v>3490857</v>
      </c>
      <c r="C12413" s="0" t="n">
        <v>3490877</v>
      </c>
      <c r="D12413" s="0" t="s">
        <v>41375</v>
      </c>
      <c r="E12413" s="0" t="s">
        <v>89</v>
      </c>
      <c r="F12413" s="0" t="s">
        <v>90</v>
      </c>
      <c r="G12413" s="0" t="s">
        <v>16</v>
      </c>
      <c r="H12413" s="0" t="n">
        <v>175</v>
      </c>
      <c r="I12413" s="0" t="s">
        <v>41382</v>
      </c>
      <c r="J12413" s="0" t="s">
        <v>41383</v>
      </c>
      <c r="K12413" s="0" t="s">
        <v>41384</v>
      </c>
      <c r="L12413" s="0" t="str">
        <f aca="false">HYPERLINK("https://www.ncbi.nlm.nih.gov/nuccore/CP000304.1?report=graph&amp;tracks=[key:gene_model_track,Options:GeneOnly]&amp;mk=3490997:3491016|offset_36|444444,3490925:3490944|offset_108|444444,3490858:3490877|offset_175|00cc00,3490646:3490665|offset_387|444444&amp;v=3490796:3490865&amp;c=444444", "offset 175")</f>
        <v>offset 175</v>
      </c>
    </row>
    <row r="12414" customFormat="false" ht="12.8" hidden="false" customHeight="false" outlineLevel="0" collapsed="false">
      <c r="A12414" s="0" t="s">
        <v>12</v>
      </c>
      <c r="B12414" s="0" t="n">
        <v>3490645</v>
      </c>
      <c r="C12414" s="0" t="n">
        <v>3490665</v>
      </c>
      <c r="D12414" s="0" t="s">
        <v>41375</v>
      </c>
      <c r="E12414" s="0" t="s">
        <v>89</v>
      </c>
      <c r="F12414" s="0" t="s">
        <v>90</v>
      </c>
      <c r="G12414" s="0" t="s">
        <v>26</v>
      </c>
      <c r="H12414" s="0" t="n">
        <v>387</v>
      </c>
      <c r="I12414" s="0" t="s">
        <v>41385</v>
      </c>
      <c r="J12414" s="0" t="s">
        <v>41386</v>
      </c>
      <c r="K12414" s="0" t="s">
        <v>41387</v>
      </c>
      <c r="L12414" s="0" t="str">
        <f aca="false">HYPERLINK("https://www.ncbi.nlm.nih.gov/nuccore/CP000304.1?report=graph&amp;tracks=[key:gene_model_track,Options:GeneOnly]&amp;mk=3490997:3491016|offset_36|444444,3490925:3490944|offset_108|444444,3490858:3490877|offset_175|444444,3490646:3490665|offset_387|00cc00&amp;v=3490796:3490865&amp;c=444444", "offset 387")</f>
        <v>offset 387</v>
      </c>
    </row>
    <row r="12415" customFormat="false" ht="12.8" hidden="false" customHeight="false" outlineLevel="0" collapsed="false">
      <c r="A12415" s="0" t="s">
        <v>12</v>
      </c>
      <c r="B12415" s="0" t="n">
        <v>3492945</v>
      </c>
      <c r="C12415" s="0" t="n">
        <v>3492965</v>
      </c>
      <c r="D12415" s="0" t="s">
        <v>41388</v>
      </c>
      <c r="E12415" s="0" t="s">
        <v>89</v>
      </c>
      <c r="F12415" s="0" t="s">
        <v>90</v>
      </c>
      <c r="G12415" s="0" t="s">
        <v>32</v>
      </c>
      <c r="H12415" s="0" t="n">
        <v>6</v>
      </c>
      <c r="I12415" s="0" t="s">
        <v>41389</v>
      </c>
      <c r="J12415" s="0" t="s">
        <v>41390</v>
      </c>
      <c r="K12415" s="0" t="s">
        <v>41391</v>
      </c>
      <c r="L12415" s="0" t="str">
        <f aca="false">HYPERLINK("https://www.ncbi.nlm.nih.gov/nuccore/CP000304.1?report=graph&amp;tracks=[key:gene_model_track,Options:GeneOnly]&amp;mk=3492946:3492965|offset_6|00cc00,3492834:3492853|offset_118|444444,3492746:3492765|offset_206|444444,3492718:3492737|offset_234|444444&amp;v=3492745:3492937&amp;c=444444", "offset 6")</f>
        <v>offset 6</v>
      </c>
    </row>
    <row r="12416" customFormat="false" ht="12.8" hidden="false" customHeight="false" outlineLevel="0" collapsed="false">
      <c r="A12416" s="0" t="s">
        <v>12</v>
      </c>
      <c r="B12416" s="0" t="n">
        <v>3492833</v>
      </c>
      <c r="C12416" s="0" t="n">
        <v>3492853</v>
      </c>
      <c r="D12416" s="0" t="s">
        <v>41388</v>
      </c>
      <c r="E12416" s="0" t="s">
        <v>89</v>
      </c>
      <c r="F12416" s="0" t="s">
        <v>90</v>
      </c>
      <c r="G12416" s="0" t="s">
        <v>16</v>
      </c>
      <c r="H12416" s="0" t="n">
        <v>118</v>
      </c>
      <c r="I12416" s="0" t="s">
        <v>41392</v>
      </c>
      <c r="J12416" s="0" t="s">
        <v>41393</v>
      </c>
      <c r="K12416" s="0" t="s">
        <v>41394</v>
      </c>
      <c r="L12416" s="0" t="str">
        <f aca="false">HYPERLINK("https://www.ncbi.nlm.nih.gov/nuccore/CP000304.1?report=graph&amp;tracks=[key:gene_model_track,Options:GeneOnly]&amp;mk=3492946:3492965|offset_6|444444,3492834:3492853|offset_118|00cc00,3492746:3492765|offset_206|444444,3492718:3492737|offset_234|444444&amp;v=3492745:3492937&amp;c=444444", "offset 118")</f>
        <v>offset 118</v>
      </c>
    </row>
    <row r="12417" customFormat="false" ht="12.8" hidden="false" customHeight="false" outlineLevel="0" collapsed="false">
      <c r="A12417" s="0" t="s">
        <v>12</v>
      </c>
      <c r="B12417" s="0" t="n">
        <v>3492745</v>
      </c>
      <c r="C12417" s="0" t="n">
        <v>3492765</v>
      </c>
      <c r="D12417" s="0" t="s">
        <v>41388</v>
      </c>
      <c r="E12417" s="0" t="s">
        <v>89</v>
      </c>
      <c r="F12417" s="0" t="s">
        <v>90</v>
      </c>
      <c r="G12417" s="0" t="s">
        <v>26</v>
      </c>
      <c r="H12417" s="0" t="n">
        <v>206</v>
      </c>
      <c r="I12417" s="0" t="s">
        <v>41395</v>
      </c>
      <c r="J12417" s="0" t="s">
        <v>41396</v>
      </c>
      <c r="K12417" s="0" t="s">
        <v>41397</v>
      </c>
      <c r="L12417" s="0" t="str">
        <f aca="false">HYPERLINK("https://www.ncbi.nlm.nih.gov/nuccore/CP000304.1?report=graph&amp;tracks=[key:gene_model_track,Options:GeneOnly]&amp;mk=3492946:3492965|offset_6|444444,3492834:3492853|offset_118|444444,3492746:3492765|offset_206|00cc00,3492718:3492737|offset_234|444444&amp;v=3492745:3492937&amp;c=444444", "offset 206")</f>
        <v>offset 206</v>
      </c>
    </row>
    <row r="12418" customFormat="false" ht="12.8" hidden="false" customHeight="false" outlineLevel="0" collapsed="false">
      <c r="A12418" s="0" t="s">
        <v>12</v>
      </c>
      <c r="B12418" s="0" t="n">
        <v>3492717</v>
      </c>
      <c r="C12418" s="0" t="n">
        <v>3492737</v>
      </c>
      <c r="D12418" s="0" t="s">
        <v>41388</v>
      </c>
      <c r="E12418" s="0" t="s">
        <v>89</v>
      </c>
      <c r="F12418" s="0" t="s">
        <v>90</v>
      </c>
      <c r="G12418" s="0" t="s">
        <v>32</v>
      </c>
      <c r="H12418" s="0" t="n">
        <v>234</v>
      </c>
      <c r="I12418" s="0" t="s">
        <v>41398</v>
      </c>
      <c r="J12418" s="0" t="s">
        <v>41399</v>
      </c>
      <c r="K12418" s="0" t="s">
        <v>41400</v>
      </c>
      <c r="L12418" s="0" t="str">
        <f aca="false">HYPERLINK("https://www.ncbi.nlm.nih.gov/nuccore/CP000304.1?report=graph&amp;tracks=[key:gene_model_track,Options:GeneOnly]&amp;mk=3492946:3492965|offset_6|444444,3492834:3492853|offset_118|444444,3492746:3492765|offset_206|444444,3492718:3492737|offset_234|00cc00&amp;v=3492745:3492937&amp;c=444444", "offset 234")</f>
        <v>offset 234</v>
      </c>
    </row>
    <row r="12419" customFormat="false" ht="12.8" hidden="false" customHeight="false" outlineLevel="0" collapsed="false">
      <c r="A12419" s="0" t="s">
        <v>12</v>
      </c>
      <c r="B12419" s="0" t="n">
        <v>3494915</v>
      </c>
      <c r="C12419" s="0" t="n">
        <v>3494935</v>
      </c>
      <c r="D12419" s="0" t="s">
        <v>41401</v>
      </c>
      <c r="E12419" s="0" t="s">
        <v>89</v>
      </c>
      <c r="F12419" s="0" t="s">
        <v>90</v>
      </c>
      <c r="G12419" s="0" t="s">
        <v>16</v>
      </c>
      <c r="H12419" s="0" t="n">
        <v>11</v>
      </c>
      <c r="I12419" s="0" t="s">
        <v>41402</v>
      </c>
      <c r="J12419" s="0" t="s">
        <v>41403</v>
      </c>
      <c r="K12419" s="0" t="s">
        <v>41404</v>
      </c>
      <c r="L12419" s="0" t="str">
        <f aca="false">HYPERLINK("https://www.ncbi.nlm.nih.gov/nuccore/CP000304.1?report=graph&amp;tracks=[key:gene_model_track,Options:GeneOnly]&amp;mk=3494916:3494935|offset_11|00cc00,3494896:3494915|offset_31|444444,3494842:3494861|offset_85|444444,3494822:3494841|offset_105|444444&amp;v=3494715:3495041&amp;c=444444", "offset 11")</f>
        <v>offset 11</v>
      </c>
    </row>
    <row r="12420" customFormat="false" ht="12.8" hidden="false" customHeight="false" outlineLevel="0" collapsed="false">
      <c r="A12420" s="0" t="s">
        <v>12</v>
      </c>
      <c r="B12420" s="0" t="n">
        <v>3494895</v>
      </c>
      <c r="C12420" s="0" t="n">
        <v>3494915</v>
      </c>
      <c r="D12420" s="0" t="s">
        <v>41401</v>
      </c>
      <c r="E12420" s="0" t="s">
        <v>89</v>
      </c>
      <c r="F12420" s="0" t="s">
        <v>90</v>
      </c>
      <c r="G12420" s="0" t="s">
        <v>16</v>
      </c>
      <c r="H12420" s="0" t="n">
        <v>31</v>
      </c>
      <c r="I12420" s="0" t="s">
        <v>41405</v>
      </c>
      <c r="J12420" s="0" t="s">
        <v>41406</v>
      </c>
      <c r="K12420" s="0" t="s">
        <v>41407</v>
      </c>
      <c r="L12420" s="0" t="str">
        <f aca="false">HYPERLINK("https://www.ncbi.nlm.nih.gov/nuccore/CP000304.1?report=graph&amp;tracks=[key:gene_model_track,Options:GeneOnly]&amp;mk=3494916:3494935|offset_11|444444,3494896:3494915|offset_31|00cc00,3494842:3494861|offset_85|444444,3494822:3494841|offset_105|444444&amp;v=3494715:3495041&amp;c=444444", "offset 31")</f>
        <v>offset 31</v>
      </c>
    </row>
    <row r="12421" customFormat="false" ht="12.8" hidden="false" customHeight="false" outlineLevel="0" collapsed="false">
      <c r="A12421" s="0" t="s">
        <v>12</v>
      </c>
      <c r="B12421" s="0" t="n">
        <v>3494841</v>
      </c>
      <c r="C12421" s="0" t="n">
        <v>3494861</v>
      </c>
      <c r="D12421" s="0" t="s">
        <v>41401</v>
      </c>
      <c r="E12421" s="0" t="s">
        <v>89</v>
      </c>
      <c r="F12421" s="0" t="s">
        <v>90</v>
      </c>
      <c r="G12421" s="0" t="s">
        <v>26</v>
      </c>
      <c r="H12421" s="0" t="n">
        <v>85</v>
      </c>
      <c r="I12421" s="0" t="s">
        <v>41408</v>
      </c>
      <c r="J12421" s="0" t="s">
        <v>41409</v>
      </c>
      <c r="K12421" s="0" t="s">
        <v>41410</v>
      </c>
      <c r="L12421" s="0" t="str">
        <f aca="false">HYPERLINK("https://www.ncbi.nlm.nih.gov/nuccore/CP000304.1?report=graph&amp;tracks=[key:gene_model_track,Options:GeneOnly]&amp;mk=3494916:3494935|offset_11|444444,3494896:3494915|offset_31|444444,3494842:3494861|offset_85|00cc00,3494822:3494841|offset_105|444444&amp;v=3494715:3495041&amp;c=444444", "offset 85")</f>
        <v>offset 85</v>
      </c>
    </row>
    <row r="12422" customFormat="false" ht="12.8" hidden="false" customHeight="false" outlineLevel="0" collapsed="false">
      <c r="A12422" s="0" t="s">
        <v>12</v>
      </c>
      <c r="B12422" s="0" t="n">
        <v>3494821</v>
      </c>
      <c r="C12422" s="0" t="n">
        <v>3494841</v>
      </c>
      <c r="D12422" s="0" t="s">
        <v>41401</v>
      </c>
      <c r="E12422" s="0" t="s">
        <v>89</v>
      </c>
      <c r="F12422" s="0" t="s">
        <v>90</v>
      </c>
      <c r="G12422" s="0" t="s">
        <v>16</v>
      </c>
      <c r="H12422" s="0" t="n">
        <v>105</v>
      </c>
      <c r="I12422" s="0" t="s">
        <v>41411</v>
      </c>
      <c r="J12422" s="0" t="s">
        <v>41412</v>
      </c>
      <c r="K12422" s="0" t="s">
        <v>41413</v>
      </c>
      <c r="L12422" s="0" t="str">
        <f aca="false">HYPERLINK("https://www.ncbi.nlm.nih.gov/nuccore/CP000304.1?report=graph&amp;tracks=[key:gene_model_track,Options:GeneOnly]&amp;mk=3494916:3494935|offset_11|444444,3494896:3494915|offset_31|444444,3494842:3494861|offset_85|444444,3494822:3494841|offset_105|00cc00&amp;v=3494715:3495041&amp;c=444444", "offset 105")</f>
        <v>offset 105</v>
      </c>
    </row>
    <row r="12423" customFormat="false" ht="12.8" hidden="false" customHeight="false" outlineLevel="0" collapsed="false">
      <c r="A12423" s="0" t="s">
        <v>12</v>
      </c>
      <c r="B12423" s="0" t="n">
        <v>3495552</v>
      </c>
      <c r="C12423" s="0" t="n">
        <v>3495572</v>
      </c>
      <c r="D12423" s="0" t="s">
        <v>41414</v>
      </c>
      <c r="E12423" s="0" t="s">
        <v>89</v>
      </c>
      <c r="F12423" s="0" t="s">
        <v>90</v>
      </c>
      <c r="G12423" s="0" t="s">
        <v>16</v>
      </c>
      <c r="H12423" s="0" t="n">
        <v>18</v>
      </c>
      <c r="I12423" s="0" t="s">
        <v>41415</v>
      </c>
      <c r="J12423" s="0" t="s">
        <v>41416</v>
      </c>
      <c r="K12423" s="0" t="s">
        <v>41417</v>
      </c>
      <c r="L12423" s="0" t="str">
        <f aca="false">HYPERLINK("https://www.ncbi.nlm.nih.gov/nuccore/CP000304.1?report=graph&amp;tracks=[key:gene_model_track,Options:GeneOnly]&amp;mk=3495553:3495572|offset_18|00cc00,3495533:3495552|offset_38|444444,3495503:3495522|offset_68|444444,3495466:3495485|offset_105|444444&amp;v=3495352:3495685&amp;c=444444", "offset 18")</f>
        <v>offset 18</v>
      </c>
    </row>
    <row r="12424" customFormat="false" ht="12.8" hidden="false" customHeight="false" outlineLevel="0" collapsed="false">
      <c r="A12424" s="0" t="s">
        <v>12</v>
      </c>
      <c r="B12424" s="0" t="n">
        <v>3495532</v>
      </c>
      <c r="C12424" s="0" t="n">
        <v>3495552</v>
      </c>
      <c r="D12424" s="0" t="s">
        <v>41414</v>
      </c>
      <c r="E12424" s="0" t="s">
        <v>89</v>
      </c>
      <c r="F12424" s="0" t="s">
        <v>90</v>
      </c>
      <c r="G12424" s="0" t="s">
        <v>16</v>
      </c>
      <c r="H12424" s="0" t="n">
        <v>38</v>
      </c>
      <c r="I12424" s="0" t="s">
        <v>41418</v>
      </c>
      <c r="J12424" s="0" t="s">
        <v>41419</v>
      </c>
      <c r="K12424" s="0" t="s">
        <v>41420</v>
      </c>
      <c r="L12424" s="0" t="str">
        <f aca="false">HYPERLINK("https://www.ncbi.nlm.nih.gov/nuccore/CP000304.1?report=graph&amp;tracks=[key:gene_model_track,Options:GeneOnly]&amp;mk=3495553:3495572|offset_18|444444,3495533:3495552|offset_38|00cc00,3495503:3495522|offset_68|444444,3495466:3495485|offset_105|444444&amp;v=3495352:3495685&amp;c=444444", "offset 38")</f>
        <v>offset 38</v>
      </c>
    </row>
    <row r="12425" customFormat="false" ht="12.8" hidden="false" customHeight="false" outlineLevel="0" collapsed="false">
      <c r="A12425" s="0" t="s">
        <v>12</v>
      </c>
      <c r="B12425" s="0" t="n">
        <v>3495502</v>
      </c>
      <c r="C12425" s="0" t="n">
        <v>3495522</v>
      </c>
      <c r="D12425" s="0" t="s">
        <v>41414</v>
      </c>
      <c r="E12425" s="0" t="s">
        <v>89</v>
      </c>
      <c r="F12425" s="0" t="s">
        <v>90</v>
      </c>
      <c r="G12425" s="0" t="s">
        <v>36</v>
      </c>
      <c r="H12425" s="0" t="n">
        <v>68</v>
      </c>
      <c r="I12425" s="0" t="s">
        <v>41421</v>
      </c>
      <c r="J12425" s="0" t="s">
        <v>41422</v>
      </c>
      <c r="K12425" s="0" t="s">
        <v>41423</v>
      </c>
      <c r="L12425" s="0" t="str">
        <f aca="false">HYPERLINK("https://www.ncbi.nlm.nih.gov/nuccore/CP000304.1?report=graph&amp;tracks=[key:gene_model_track,Options:GeneOnly]&amp;mk=3495553:3495572|offset_18|444444,3495533:3495552|offset_38|444444,3495503:3495522|offset_68|00cc00,3495466:3495485|offset_105|444444&amp;v=3495352:3495685&amp;c=444444", "offset 68")</f>
        <v>offset 68</v>
      </c>
    </row>
    <row r="12426" customFormat="false" ht="12.8" hidden="false" customHeight="false" outlineLevel="0" collapsed="false">
      <c r="A12426" s="0" t="s">
        <v>12</v>
      </c>
      <c r="B12426" s="0" t="n">
        <v>3495465</v>
      </c>
      <c r="C12426" s="0" t="n">
        <v>3495485</v>
      </c>
      <c r="D12426" s="0" t="s">
        <v>41414</v>
      </c>
      <c r="E12426" s="0" t="s">
        <v>89</v>
      </c>
      <c r="F12426" s="0" t="s">
        <v>90</v>
      </c>
      <c r="G12426" s="0" t="s">
        <v>16</v>
      </c>
      <c r="H12426" s="0" t="n">
        <v>105</v>
      </c>
      <c r="I12426" s="0" t="s">
        <v>41424</v>
      </c>
      <c r="J12426" s="0" t="s">
        <v>41425</v>
      </c>
      <c r="K12426" s="0" t="s">
        <v>41426</v>
      </c>
      <c r="L12426" s="0" t="str">
        <f aca="false">HYPERLINK("https://www.ncbi.nlm.nih.gov/nuccore/CP000304.1?report=graph&amp;tracks=[key:gene_model_track,Options:GeneOnly]&amp;mk=3495553:3495572|offset_18|444444,3495533:3495552|offset_38|444444,3495503:3495522|offset_68|444444,3495466:3495485|offset_105|00cc00&amp;v=3495352:3495685&amp;c=444444", "offset 105")</f>
        <v>offset 105</v>
      </c>
    </row>
    <row r="12427" customFormat="false" ht="12.8" hidden="false" customHeight="false" outlineLevel="0" collapsed="false">
      <c r="A12427" s="0" t="s">
        <v>12</v>
      </c>
      <c r="B12427" s="0" t="n">
        <v>3497065</v>
      </c>
      <c r="C12427" s="0" t="n">
        <v>3497085</v>
      </c>
      <c r="D12427" s="0" t="s">
        <v>41427</v>
      </c>
      <c r="E12427" s="0" t="s">
        <v>89</v>
      </c>
      <c r="F12427" s="0" t="s">
        <v>90</v>
      </c>
      <c r="G12427" s="0" t="s">
        <v>32</v>
      </c>
      <c r="H12427" s="0" t="n">
        <v>1</v>
      </c>
      <c r="I12427" s="0" t="s">
        <v>41428</v>
      </c>
      <c r="J12427" s="0" t="s">
        <v>41429</v>
      </c>
      <c r="K12427" s="0" t="s">
        <v>41430</v>
      </c>
      <c r="L12427" s="0" t="str">
        <f aca="false">HYPERLINK("https://www.ncbi.nlm.nih.gov/nuccore/CP000304.1?report=graph&amp;tracks=[key:gene_model_track,Options:GeneOnly]&amp;mk=3497066:3497085|offset_1|00cc00,3497042:3497061|offset_25|444444,3497019:3497038|offset_48|444444,3496991:3497010|offset_76|444444&amp;v=3496865:3497210&amp;c=444444", "offset 1")</f>
        <v>offset 1</v>
      </c>
    </row>
    <row r="12428" customFormat="false" ht="12.8" hidden="false" customHeight="false" outlineLevel="0" collapsed="false">
      <c r="A12428" s="0" t="s">
        <v>12</v>
      </c>
      <c r="B12428" s="0" t="n">
        <v>3497041</v>
      </c>
      <c r="C12428" s="0" t="n">
        <v>3497061</v>
      </c>
      <c r="D12428" s="0" t="s">
        <v>41427</v>
      </c>
      <c r="E12428" s="0" t="s">
        <v>89</v>
      </c>
      <c r="F12428" s="0" t="s">
        <v>90</v>
      </c>
      <c r="G12428" s="0" t="s">
        <v>32</v>
      </c>
      <c r="H12428" s="0" t="n">
        <v>25</v>
      </c>
      <c r="I12428" s="0" t="s">
        <v>41431</v>
      </c>
      <c r="J12428" s="0" t="s">
        <v>41432</v>
      </c>
      <c r="K12428" s="0" t="s">
        <v>41433</v>
      </c>
      <c r="L12428" s="0" t="str">
        <f aca="false">HYPERLINK("https://www.ncbi.nlm.nih.gov/nuccore/CP000304.1?report=graph&amp;tracks=[key:gene_model_track,Options:GeneOnly]&amp;mk=3497066:3497085|offset_1|444444,3497042:3497061|offset_25|00cc00,3497019:3497038|offset_48|444444,3496991:3497010|offset_76|444444&amp;v=3496865:3497210&amp;c=444444", "offset 25")</f>
        <v>offset 25</v>
      </c>
    </row>
    <row r="12429" customFormat="false" ht="12.8" hidden="false" customHeight="false" outlineLevel="0" collapsed="false">
      <c r="A12429" s="0" t="s">
        <v>12</v>
      </c>
      <c r="B12429" s="0" t="n">
        <v>3497018</v>
      </c>
      <c r="C12429" s="0" t="n">
        <v>3497038</v>
      </c>
      <c r="D12429" s="0" t="s">
        <v>41427</v>
      </c>
      <c r="E12429" s="0" t="s">
        <v>89</v>
      </c>
      <c r="F12429" s="0" t="s">
        <v>90</v>
      </c>
      <c r="G12429" s="0" t="s">
        <v>16</v>
      </c>
      <c r="H12429" s="0" t="n">
        <v>48</v>
      </c>
      <c r="I12429" s="0" t="s">
        <v>41434</v>
      </c>
      <c r="J12429" s="0" t="s">
        <v>41435</v>
      </c>
      <c r="K12429" s="0" t="s">
        <v>41436</v>
      </c>
      <c r="L12429" s="0" t="str">
        <f aca="false">HYPERLINK("https://www.ncbi.nlm.nih.gov/nuccore/CP000304.1?report=graph&amp;tracks=[key:gene_model_track,Options:GeneOnly]&amp;mk=3497066:3497085|offset_1|444444,3497042:3497061|offset_25|444444,3497019:3497038|offset_48|00cc00,3496991:3497010|offset_76|444444&amp;v=3496865:3497210&amp;c=444444", "offset 48")</f>
        <v>offset 48</v>
      </c>
    </row>
    <row r="12430" customFormat="false" ht="12.8" hidden="false" customHeight="false" outlineLevel="0" collapsed="false">
      <c r="A12430" s="0" t="s">
        <v>12</v>
      </c>
      <c r="B12430" s="0" t="n">
        <v>3496990</v>
      </c>
      <c r="C12430" s="0" t="n">
        <v>3497010</v>
      </c>
      <c r="D12430" s="0" t="s">
        <v>41427</v>
      </c>
      <c r="E12430" s="0" t="s">
        <v>89</v>
      </c>
      <c r="F12430" s="0" t="s">
        <v>90</v>
      </c>
      <c r="G12430" s="0" t="s">
        <v>16</v>
      </c>
      <c r="H12430" s="0" t="n">
        <v>76</v>
      </c>
      <c r="I12430" s="0" t="s">
        <v>41437</v>
      </c>
      <c r="J12430" s="0" t="s">
        <v>41438</v>
      </c>
      <c r="K12430" s="0" t="s">
        <v>41439</v>
      </c>
      <c r="L12430" s="0" t="str">
        <f aca="false">HYPERLINK("https://www.ncbi.nlm.nih.gov/nuccore/CP000304.1?report=graph&amp;tracks=[key:gene_model_track,Options:GeneOnly]&amp;mk=3497066:3497085|offset_1|444444,3497042:3497061|offset_25|444444,3497019:3497038|offset_48|444444,3496991:3497010|offset_76|00cc00&amp;v=3496865:3497210&amp;c=444444", "offset 76")</f>
        <v>offset 76</v>
      </c>
    </row>
    <row r="12431" customFormat="false" ht="12.8" hidden="false" customHeight="false" outlineLevel="0" collapsed="false">
      <c r="A12431" s="0" t="s">
        <v>12</v>
      </c>
      <c r="B12431" s="0" t="n">
        <v>3497839</v>
      </c>
      <c r="C12431" s="0" t="n">
        <v>3497859</v>
      </c>
      <c r="D12431" s="0" t="s">
        <v>41440</v>
      </c>
      <c r="E12431" s="0" t="s">
        <v>89</v>
      </c>
      <c r="F12431" s="0" t="s">
        <v>90</v>
      </c>
      <c r="G12431" s="0" t="s">
        <v>32</v>
      </c>
      <c r="H12431" s="0" t="n">
        <v>20</v>
      </c>
      <c r="I12431" s="0" t="s">
        <v>41441</v>
      </c>
      <c r="J12431" s="0" t="s">
        <v>41442</v>
      </c>
      <c r="K12431" s="0" t="s">
        <v>41443</v>
      </c>
      <c r="L12431" s="0" t="str">
        <f aca="false">HYPERLINK("https://www.ncbi.nlm.nih.gov/nuccore/CP000304.1?report=graph&amp;tracks=[key:gene_model_track,Options:GeneOnly]&amp;mk=3497840:3497859|offset_20|00cc00,3497811:3497830|offset_49|444444,3497770:3497789|offset_90|444444,3497746:3497765|offset_114|444444&amp;v=3497639:3497965&amp;c=444444", "offset 20")</f>
        <v>offset 20</v>
      </c>
    </row>
    <row r="12432" customFormat="false" ht="12.8" hidden="false" customHeight="false" outlineLevel="0" collapsed="false">
      <c r="A12432" s="0" t="s">
        <v>12</v>
      </c>
      <c r="B12432" s="0" t="n">
        <v>3497810</v>
      </c>
      <c r="C12432" s="0" t="n">
        <v>3497830</v>
      </c>
      <c r="D12432" s="0" t="s">
        <v>41440</v>
      </c>
      <c r="E12432" s="0" t="s">
        <v>89</v>
      </c>
      <c r="F12432" s="0" t="s">
        <v>90</v>
      </c>
      <c r="G12432" s="0" t="s">
        <v>26</v>
      </c>
      <c r="H12432" s="0" t="n">
        <v>49</v>
      </c>
      <c r="I12432" s="0" t="s">
        <v>41444</v>
      </c>
      <c r="J12432" s="0" t="s">
        <v>41445</v>
      </c>
      <c r="K12432" s="0" t="s">
        <v>41446</v>
      </c>
      <c r="L12432" s="0" t="str">
        <f aca="false">HYPERLINK("https://www.ncbi.nlm.nih.gov/nuccore/CP000304.1?report=graph&amp;tracks=[key:gene_model_track,Options:GeneOnly]&amp;mk=3497840:3497859|offset_20|444444,3497811:3497830|offset_49|00cc00,3497770:3497789|offset_90|444444,3497746:3497765|offset_114|444444&amp;v=3497639:3497965&amp;c=444444", "offset 49")</f>
        <v>offset 49</v>
      </c>
    </row>
    <row r="12433" customFormat="false" ht="12.8" hidden="false" customHeight="false" outlineLevel="0" collapsed="false">
      <c r="A12433" s="0" t="s">
        <v>12</v>
      </c>
      <c r="B12433" s="0" t="n">
        <v>3497769</v>
      </c>
      <c r="C12433" s="0" t="n">
        <v>3497789</v>
      </c>
      <c r="D12433" s="0" t="s">
        <v>41440</v>
      </c>
      <c r="E12433" s="0" t="s">
        <v>89</v>
      </c>
      <c r="F12433" s="0" t="s">
        <v>90</v>
      </c>
      <c r="G12433" s="0" t="s">
        <v>36</v>
      </c>
      <c r="H12433" s="0" t="n">
        <v>90</v>
      </c>
      <c r="I12433" s="0" t="s">
        <v>41447</v>
      </c>
      <c r="J12433" s="0" t="s">
        <v>41448</v>
      </c>
      <c r="K12433" s="0" t="s">
        <v>41449</v>
      </c>
      <c r="L12433" s="0" t="str">
        <f aca="false">HYPERLINK("https://www.ncbi.nlm.nih.gov/nuccore/CP000304.1?report=graph&amp;tracks=[key:gene_model_track,Options:GeneOnly]&amp;mk=3497840:3497859|offset_20|444444,3497811:3497830|offset_49|444444,3497770:3497789|offset_90|00cc00,3497746:3497765|offset_114|444444&amp;v=3497639:3497965&amp;c=444444", "offset 90")</f>
        <v>offset 90</v>
      </c>
    </row>
    <row r="12434" customFormat="false" ht="12.8" hidden="false" customHeight="false" outlineLevel="0" collapsed="false">
      <c r="A12434" s="0" t="s">
        <v>12</v>
      </c>
      <c r="B12434" s="0" t="n">
        <v>3497745</v>
      </c>
      <c r="C12434" s="0" t="n">
        <v>3497765</v>
      </c>
      <c r="D12434" s="0" t="s">
        <v>41440</v>
      </c>
      <c r="E12434" s="0" t="s">
        <v>89</v>
      </c>
      <c r="F12434" s="0" t="s">
        <v>90</v>
      </c>
      <c r="G12434" s="0" t="s">
        <v>32</v>
      </c>
      <c r="H12434" s="0" t="n">
        <v>114</v>
      </c>
      <c r="I12434" s="0" t="s">
        <v>41450</v>
      </c>
      <c r="J12434" s="0" t="s">
        <v>41451</v>
      </c>
      <c r="K12434" s="0" t="s">
        <v>41452</v>
      </c>
      <c r="L12434" s="0" t="str">
        <f aca="false">HYPERLINK("https://www.ncbi.nlm.nih.gov/nuccore/CP000304.1?report=graph&amp;tracks=[key:gene_model_track,Options:GeneOnly]&amp;mk=3497840:3497859|offset_20|444444,3497811:3497830|offset_49|444444,3497770:3497789|offset_90|444444,3497746:3497765|offset_114|00cc00&amp;v=3497639:3497965&amp;c=444444", "offset 114")</f>
        <v>offset 114</v>
      </c>
    </row>
    <row r="12435" customFormat="false" ht="12.8" hidden="false" customHeight="false" outlineLevel="0" collapsed="false">
      <c r="A12435" s="0" t="s">
        <v>12</v>
      </c>
      <c r="B12435" s="0" t="n">
        <v>3498077</v>
      </c>
      <c r="C12435" s="0" t="n">
        <v>3498097</v>
      </c>
      <c r="D12435" s="0" t="s">
        <v>41453</v>
      </c>
      <c r="E12435" s="0" t="s">
        <v>89</v>
      </c>
      <c r="F12435" s="0" t="s">
        <v>15</v>
      </c>
      <c r="G12435" s="0" t="s">
        <v>36</v>
      </c>
      <c r="H12435" s="0" t="n">
        <v>18</v>
      </c>
      <c r="I12435" s="0" t="s">
        <v>41454</v>
      </c>
      <c r="J12435" s="0" t="s">
        <v>41455</v>
      </c>
      <c r="K12435" s="0" t="s">
        <v>41456</v>
      </c>
      <c r="L12435" s="0" t="str">
        <f aca="false">HYPERLINK("https://www.ncbi.nlm.nih.gov/nuccore/CP000304.1?report=graph&amp;tracks=[key:gene_model_track,Options:GeneOnly]&amp;mk=3498078:3498097|offset_18|00cc00,3498106:3498125|offset_46|444444,3498152:3498171|offset_92|444444,3498189:3498208|offset_129|444444&amp;v=3497877:3498408&amp;c=444444", "offset 18")</f>
        <v>offset 18</v>
      </c>
    </row>
    <row r="12436" customFormat="false" ht="12.8" hidden="false" customHeight="false" outlineLevel="0" collapsed="false">
      <c r="A12436" s="0" t="s">
        <v>12</v>
      </c>
      <c r="B12436" s="0" t="n">
        <v>3498105</v>
      </c>
      <c r="C12436" s="0" t="n">
        <v>3498125</v>
      </c>
      <c r="D12436" s="0" t="s">
        <v>41453</v>
      </c>
      <c r="E12436" s="0" t="s">
        <v>89</v>
      </c>
      <c r="F12436" s="0" t="s">
        <v>15</v>
      </c>
      <c r="G12436" s="0" t="s">
        <v>16</v>
      </c>
      <c r="H12436" s="0" t="n">
        <v>46</v>
      </c>
      <c r="I12436" s="0" t="s">
        <v>41457</v>
      </c>
      <c r="J12436" s="0" t="s">
        <v>41458</v>
      </c>
      <c r="K12436" s="0" t="s">
        <v>41459</v>
      </c>
      <c r="L12436" s="0" t="str">
        <f aca="false">HYPERLINK("https://www.ncbi.nlm.nih.gov/nuccore/CP000304.1?report=graph&amp;tracks=[key:gene_model_track,Options:GeneOnly]&amp;mk=3498078:3498097|offset_18|444444,3498106:3498125|offset_46|00cc00,3498152:3498171|offset_92|444444,3498189:3498208|offset_129|444444&amp;v=3497877:3498408&amp;c=444444", "offset 46")</f>
        <v>offset 46</v>
      </c>
    </row>
    <row r="12437" customFormat="false" ht="12.8" hidden="false" customHeight="false" outlineLevel="0" collapsed="false">
      <c r="A12437" s="0" t="s">
        <v>12</v>
      </c>
      <c r="B12437" s="0" t="n">
        <v>3498151</v>
      </c>
      <c r="C12437" s="0" t="n">
        <v>3498171</v>
      </c>
      <c r="D12437" s="0" t="s">
        <v>41453</v>
      </c>
      <c r="E12437" s="0" t="s">
        <v>89</v>
      </c>
      <c r="F12437" s="0" t="s">
        <v>15</v>
      </c>
      <c r="G12437" s="0" t="s">
        <v>16</v>
      </c>
      <c r="H12437" s="0" t="n">
        <v>92</v>
      </c>
      <c r="I12437" s="0" t="s">
        <v>41460</v>
      </c>
      <c r="J12437" s="0" t="s">
        <v>41461</v>
      </c>
      <c r="K12437" s="0" t="s">
        <v>41462</v>
      </c>
      <c r="L12437" s="0" t="str">
        <f aca="false">HYPERLINK("https://www.ncbi.nlm.nih.gov/nuccore/CP000304.1?report=graph&amp;tracks=[key:gene_model_track,Options:GeneOnly]&amp;mk=3498078:3498097|offset_18|444444,3498106:3498125|offset_46|444444,3498152:3498171|offset_92|00cc00,3498189:3498208|offset_129|444444&amp;v=3497877:3498408&amp;c=444444", "offset 92")</f>
        <v>offset 92</v>
      </c>
    </row>
    <row r="12438" customFormat="false" ht="12.8" hidden="false" customHeight="false" outlineLevel="0" collapsed="false">
      <c r="A12438" s="0" t="s">
        <v>12</v>
      </c>
      <c r="B12438" s="0" t="n">
        <v>3498188</v>
      </c>
      <c r="C12438" s="0" t="n">
        <v>3498208</v>
      </c>
      <c r="D12438" s="0" t="s">
        <v>41453</v>
      </c>
      <c r="E12438" s="0" t="s">
        <v>89</v>
      </c>
      <c r="F12438" s="0" t="s">
        <v>15</v>
      </c>
      <c r="G12438" s="0" t="s">
        <v>36</v>
      </c>
      <c r="H12438" s="0" t="n">
        <v>129</v>
      </c>
      <c r="I12438" s="0" t="s">
        <v>41463</v>
      </c>
      <c r="J12438" s="0" t="s">
        <v>41464</v>
      </c>
      <c r="K12438" s="0" t="s">
        <v>41465</v>
      </c>
      <c r="L12438" s="0" t="str">
        <f aca="false">HYPERLINK("https://www.ncbi.nlm.nih.gov/nuccore/CP000304.1?report=graph&amp;tracks=[key:gene_model_track,Options:GeneOnly]&amp;mk=3498078:3498097|offset_18|444444,3498106:3498125|offset_46|444444,3498152:3498171|offset_92|444444,3498189:3498208|offset_129|00cc00&amp;v=3497877:3498408&amp;c=444444", "offset 129")</f>
        <v>offset 129</v>
      </c>
    </row>
    <row r="12439" customFormat="false" ht="12.8" hidden="false" customHeight="false" outlineLevel="0" collapsed="false">
      <c r="A12439" s="0" t="s">
        <v>12</v>
      </c>
      <c r="B12439" s="0" t="n">
        <v>3499424</v>
      </c>
      <c r="C12439" s="0" t="n">
        <v>3499444</v>
      </c>
      <c r="D12439" s="0" t="s">
        <v>41466</v>
      </c>
      <c r="E12439" s="0" t="s">
        <v>41467</v>
      </c>
      <c r="F12439" s="0" t="s">
        <v>90</v>
      </c>
      <c r="G12439" s="0" t="s">
        <v>16</v>
      </c>
      <c r="H12439" s="0" t="n">
        <v>23</v>
      </c>
      <c r="I12439" s="0" t="s">
        <v>41468</v>
      </c>
      <c r="J12439" s="0" t="s">
        <v>41469</v>
      </c>
      <c r="K12439" s="0" t="s">
        <v>41470</v>
      </c>
      <c r="L12439" s="0" t="str">
        <f aca="false">HYPERLINK("https://www.ncbi.nlm.nih.gov/nuccore/CP000304.1?report=graph&amp;tracks=[key:gene_model_track,Options:GeneOnly]&amp;mk=3499425:3499444|offset_23|00cc00,3499396:3499415|offset_52|444444,3499372:3499391|offset_76|444444,3499324:3499343|offset_124|444444&amp;v=3499224:3499543&amp;c=444444", "offset 23")</f>
        <v>offset 23</v>
      </c>
    </row>
    <row r="12440" customFormat="false" ht="12.8" hidden="false" customHeight="false" outlineLevel="0" collapsed="false">
      <c r="A12440" s="0" t="s">
        <v>12</v>
      </c>
      <c r="B12440" s="0" t="n">
        <v>3499395</v>
      </c>
      <c r="C12440" s="0" t="n">
        <v>3499415</v>
      </c>
      <c r="D12440" s="0" t="s">
        <v>41466</v>
      </c>
      <c r="E12440" s="0" t="s">
        <v>41467</v>
      </c>
      <c r="F12440" s="0" t="s">
        <v>90</v>
      </c>
      <c r="G12440" s="0" t="s">
        <v>16</v>
      </c>
      <c r="H12440" s="0" t="n">
        <v>52</v>
      </c>
      <c r="I12440" s="0" t="s">
        <v>41471</v>
      </c>
      <c r="J12440" s="0" t="s">
        <v>41472</v>
      </c>
      <c r="K12440" s="0" t="s">
        <v>41473</v>
      </c>
      <c r="L12440" s="0" t="str">
        <f aca="false">HYPERLINK("https://www.ncbi.nlm.nih.gov/nuccore/CP000304.1?report=graph&amp;tracks=[key:gene_model_track,Options:GeneOnly]&amp;mk=3499425:3499444|offset_23|444444,3499396:3499415|offset_52|00cc00,3499372:3499391|offset_76|444444,3499324:3499343|offset_124|444444&amp;v=3499224:3499543&amp;c=444444", "offset 52")</f>
        <v>offset 52</v>
      </c>
    </row>
    <row r="12441" customFormat="false" ht="12.8" hidden="false" customHeight="false" outlineLevel="0" collapsed="false">
      <c r="A12441" s="0" t="s">
        <v>12</v>
      </c>
      <c r="B12441" s="0" t="n">
        <v>3499371</v>
      </c>
      <c r="C12441" s="0" t="n">
        <v>3499391</v>
      </c>
      <c r="D12441" s="0" t="s">
        <v>41466</v>
      </c>
      <c r="E12441" s="0" t="s">
        <v>41467</v>
      </c>
      <c r="F12441" s="0" t="s">
        <v>90</v>
      </c>
      <c r="G12441" s="0" t="s">
        <v>26</v>
      </c>
      <c r="H12441" s="0" t="n">
        <v>76</v>
      </c>
      <c r="I12441" s="0" t="s">
        <v>41474</v>
      </c>
      <c r="J12441" s="0" t="s">
        <v>41475</v>
      </c>
      <c r="K12441" s="0" t="s">
        <v>41476</v>
      </c>
      <c r="L12441" s="0" t="str">
        <f aca="false">HYPERLINK("https://www.ncbi.nlm.nih.gov/nuccore/CP000304.1?report=graph&amp;tracks=[key:gene_model_track,Options:GeneOnly]&amp;mk=3499425:3499444|offset_23|444444,3499396:3499415|offset_52|444444,3499372:3499391|offset_76|00cc00,3499324:3499343|offset_124|444444&amp;v=3499224:3499543&amp;c=444444", "offset 76")</f>
        <v>offset 76</v>
      </c>
    </row>
    <row r="12442" customFormat="false" ht="12.8" hidden="false" customHeight="false" outlineLevel="0" collapsed="false">
      <c r="A12442" s="0" t="s">
        <v>12</v>
      </c>
      <c r="B12442" s="0" t="n">
        <v>3499323</v>
      </c>
      <c r="C12442" s="0" t="n">
        <v>3499343</v>
      </c>
      <c r="D12442" s="0" t="s">
        <v>41466</v>
      </c>
      <c r="E12442" s="0" t="s">
        <v>41467</v>
      </c>
      <c r="F12442" s="0" t="s">
        <v>90</v>
      </c>
      <c r="G12442" s="0" t="s">
        <v>26</v>
      </c>
      <c r="H12442" s="0" t="n">
        <v>124</v>
      </c>
      <c r="I12442" s="0" t="s">
        <v>41477</v>
      </c>
      <c r="J12442" s="0" t="s">
        <v>41478</v>
      </c>
      <c r="K12442" s="0" t="s">
        <v>41479</v>
      </c>
      <c r="L12442" s="0" t="str">
        <f aca="false">HYPERLINK("https://www.ncbi.nlm.nih.gov/nuccore/CP000304.1?report=graph&amp;tracks=[key:gene_model_track,Options:GeneOnly]&amp;mk=3499425:3499444|offset_23|444444,3499396:3499415|offset_52|444444,3499372:3499391|offset_76|444444,3499324:3499343|offset_124|00cc00&amp;v=3499224:3499543&amp;c=444444", "offset 124")</f>
        <v>offset 124</v>
      </c>
    </row>
    <row r="12443" customFormat="false" ht="12.8" hidden="false" customHeight="false" outlineLevel="0" collapsed="false">
      <c r="A12443" s="0" t="s">
        <v>12</v>
      </c>
      <c r="B12443" s="0" t="n">
        <v>3500226</v>
      </c>
      <c r="C12443" s="0" t="n">
        <v>3500246</v>
      </c>
      <c r="D12443" s="0" t="s">
        <v>41480</v>
      </c>
      <c r="E12443" s="0" t="s">
        <v>89</v>
      </c>
      <c r="F12443" s="0" t="s">
        <v>90</v>
      </c>
      <c r="G12443" s="0" t="s">
        <v>32</v>
      </c>
      <c r="H12443" s="0" t="n">
        <v>1</v>
      </c>
      <c r="I12443" s="0" t="s">
        <v>41481</v>
      </c>
      <c r="J12443" s="0" t="s">
        <v>41482</v>
      </c>
      <c r="K12443" s="0" t="s">
        <v>41483</v>
      </c>
      <c r="L12443" s="0" t="str">
        <f aca="false">HYPERLINK("https://www.ncbi.nlm.nih.gov/nuccore/CP000304.1?report=graph&amp;tracks=[key:gene_model_track,Options:GeneOnly]&amp;mk=3500227:3500246|offset_1|00cc00,3500204:3500223|offset_24|444444,3500168:3500187|offset_60|444444,3500143:3500162|offset_85|444444&amp;v=3500026:3500362&amp;c=444444", "offset 1")</f>
        <v>offset 1</v>
      </c>
    </row>
    <row r="12444" customFormat="false" ht="12.8" hidden="false" customHeight="false" outlineLevel="0" collapsed="false">
      <c r="A12444" s="0" t="s">
        <v>12</v>
      </c>
      <c r="B12444" s="0" t="n">
        <v>3500203</v>
      </c>
      <c r="C12444" s="0" t="n">
        <v>3500223</v>
      </c>
      <c r="D12444" s="0" t="s">
        <v>41480</v>
      </c>
      <c r="E12444" s="0" t="s">
        <v>89</v>
      </c>
      <c r="F12444" s="0" t="s">
        <v>90</v>
      </c>
      <c r="G12444" s="0" t="s">
        <v>16</v>
      </c>
      <c r="H12444" s="0" t="n">
        <v>24</v>
      </c>
      <c r="I12444" s="0" t="s">
        <v>41484</v>
      </c>
      <c r="J12444" s="0" t="s">
        <v>41485</v>
      </c>
      <c r="K12444" s="0" t="s">
        <v>41486</v>
      </c>
      <c r="L12444" s="0" t="str">
        <f aca="false">HYPERLINK("https://www.ncbi.nlm.nih.gov/nuccore/CP000304.1?report=graph&amp;tracks=[key:gene_model_track,Options:GeneOnly]&amp;mk=3500227:3500246|offset_1|444444,3500204:3500223|offset_24|00cc00,3500168:3500187|offset_60|444444,3500143:3500162|offset_85|444444&amp;v=3500026:3500362&amp;c=444444", "offset 24")</f>
        <v>offset 24</v>
      </c>
    </row>
    <row r="12445" customFormat="false" ht="12.8" hidden="false" customHeight="false" outlineLevel="0" collapsed="false">
      <c r="A12445" s="0" t="s">
        <v>12</v>
      </c>
      <c r="B12445" s="0" t="n">
        <v>3500167</v>
      </c>
      <c r="C12445" s="0" t="n">
        <v>3500187</v>
      </c>
      <c r="D12445" s="0" t="s">
        <v>41480</v>
      </c>
      <c r="E12445" s="0" t="s">
        <v>89</v>
      </c>
      <c r="F12445" s="0" t="s">
        <v>90</v>
      </c>
      <c r="G12445" s="0" t="s">
        <v>16</v>
      </c>
      <c r="H12445" s="0" t="n">
        <v>60</v>
      </c>
      <c r="I12445" s="0" t="s">
        <v>41487</v>
      </c>
      <c r="J12445" s="0" t="s">
        <v>41488</v>
      </c>
      <c r="K12445" s="0" t="s">
        <v>41489</v>
      </c>
      <c r="L12445" s="0" t="str">
        <f aca="false">HYPERLINK("https://www.ncbi.nlm.nih.gov/nuccore/CP000304.1?report=graph&amp;tracks=[key:gene_model_track,Options:GeneOnly]&amp;mk=3500227:3500246|offset_1|444444,3500204:3500223|offset_24|444444,3500168:3500187|offset_60|00cc00,3500143:3500162|offset_85|444444&amp;v=3500026:3500362&amp;c=444444", "offset 60")</f>
        <v>offset 60</v>
      </c>
    </row>
    <row r="12446" customFormat="false" ht="12.8" hidden="false" customHeight="false" outlineLevel="0" collapsed="false">
      <c r="A12446" s="0" t="s">
        <v>12</v>
      </c>
      <c r="B12446" s="0" t="n">
        <v>3500142</v>
      </c>
      <c r="C12446" s="0" t="n">
        <v>3500162</v>
      </c>
      <c r="D12446" s="0" t="s">
        <v>41480</v>
      </c>
      <c r="E12446" s="0" t="s">
        <v>89</v>
      </c>
      <c r="F12446" s="0" t="s">
        <v>90</v>
      </c>
      <c r="G12446" s="0" t="s">
        <v>16</v>
      </c>
      <c r="H12446" s="0" t="n">
        <v>85</v>
      </c>
      <c r="I12446" s="0" t="s">
        <v>41490</v>
      </c>
      <c r="J12446" s="0" t="s">
        <v>41491</v>
      </c>
      <c r="K12446" s="0" t="s">
        <v>41492</v>
      </c>
      <c r="L12446" s="0" t="str">
        <f aca="false">HYPERLINK("https://www.ncbi.nlm.nih.gov/nuccore/CP000304.1?report=graph&amp;tracks=[key:gene_model_track,Options:GeneOnly]&amp;mk=3500227:3500246|offset_1|444444,3500204:3500223|offset_24|444444,3500168:3500187|offset_60|444444,3500143:3500162|offset_85|00cc00&amp;v=3500026:3500362&amp;c=444444", "offset 85")</f>
        <v>offset 85</v>
      </c>
    </row>
    <row r="12447" customFormat="false" ht="12.8" hidden="false" customHeight="false" outlineLevel="0" collapsed="false">
      <c r="A12447" s="0" t="s">
        <v>12</v>
      </c>
      <c r="B12447" s="0" t="n">
        <v>3501807</v>
      </c>
      <c r="C12447" s="0" t="n">
        <v>3501827</v>
      </c>
      <c r="D12447" s="0" t="s">
        <v>41493</v>
      </c>
      <c r="E12447" s="0" t="s">
        <v>89</v>
      </c>
      <c r="F12447" s="0" t="s">
        <v>90</v>
      </c>
      <c r="G12447" s="0" t="s">
        <v>26</v>
      </c>
      <c r="H12447" s="0" t="n">
        <v>0</v>
      </c>
      <c r="I12447" s="0" t="s">
        <v>41494</v>
      </c>
      <c r="J12447" s="0" t="s">
        <v>41495</v>
      </c>
      <c r="K12447" s="0" t="s">
        <v>41496</v>
      </c>
      <c r="L12447" s="0" t="str">
        <f aca="false">HYPERLINK("https://www.ncbi.nlm.nih.gov/nuccore/CP000304.1?report=graph&amp;tracks=[key:gene_model_track,Options:GeneOnly]&amp;mk=3501808:3501827|offset_0|00cc00,3501767:3501786|offset_41|444444,3501746:3501765|offset_62|444444,3501657:3501676|offset_151|444444&amp;v=3501607:3501876&amp;c=444444", "offset 0")</f>
        <v>offset 0</v>
      </c>
    </row>
    <row r="12448" customFormat="false" ht="12.8" hidden="false" customHeight="false" outlineLevel="0" collapsed="false">
      <c r="A12448" s="0" t="s">
        <v>12</v>
      </c>
      <c r="B12448" s="0" t="n">
        <v>3501766</v>
      </c>
      <c r="C12448" s="0" t="n">
        <v>3501786</v>
      </c>
      <c r="D12448" s="0" t="s">
        <v>41493</v>
      </c>
      <c r="E12448" s="0" t="s">
        <v>89</v>
      </c>
      <c r="F12448" s="0" t="s">
        <v>90</v>
      </c>
      <c r="G12448" s="0" t="s">
        <v>26</v>
      </c>
      <c r="H12448" s="0" t="n">
        <v>41</v>
      </c>
      <c r="I12448" s="0" t="s">
        <v>41497</v>
      </c>
      <c r="J12448" s="0" t="s">
        <v>41498</v>
      </c>
      <c r="K12448" s="0" t="s">
        <v>41499</v>
      </c>
      <c r="L12448" s="0" t="str">
        <f aca="false">HYPERLINK("https://www.ncbi.nlm.nih.gov/nuccore/CP000304.1?report=graph&amp;tracks=[key:gene_model_track,Options:GeneOnly]&amp;mk=3501808:3501827|offset_0|444444,3501767:3501786|offset_41|00cc00,3501746:3501765|offset_62|444444,3501657:3501676|offset_151|444444&amp;v=3501607:3501876&amp;c=444444", "offset 41")</f>
        <v>offset 41</v>
      </c>
    </row>
    <row r="12449" customFormat="false" ht="12.8" hidden="false" customHeight="false" outlineLevel="0" collapsed="false">
      <c r="A12449" s="0" t="s">
        <v>12</v>
      </c>
      <c r="B12449" s="0" t="n">
        <v>3501745</v>
      </c>
      <c r="C12449" s="0" t="n">
        <v>3501765</v>
      </c>
      <c r="D12449" s="0" t="s">
        <v>41493</v>
      </c>
      <c r="E12449" s="0" t="s">
        <v>89</v>
      </c>
      <c r="F12449" s="0" t="s">
        <v>90</v>
      </c>
      <c r="G12449" s="0" t="s">
        <v>36</v>
      </c>
      <c r="H12449" s="0" t="n">
        <v>62</v>
      </c>
      <c r="I12449" s="0" t="s">
        <v>41500</v>
      </c>
      <c r="J12449" s="0" t="s">
        <v>41501</v>
      </c>
      <c r="K12449" s="0" t="s">
        <v>41502</v>
      </c>
      <c r="L12449" s="0" t="str">
        <f aca="false">HYPERLINK("https://www.ncbi.nlm.nih.gov/nuccore/CP000304.1?report=graph&amp;tracks=[key:gene_model_track,Options:GeneOnly]&amp;mk=3501808:3501827|offset_0|444444,3501767:3501786|offset_41|444444,3501746:3501765|offset_62|00cc00,3501657:3501676|offset_151|444444&amp;v=3501607:3501876&amp;c=444444", "offset 62")</f>
        <v>offset 62</v>
      </c>
    </row>
    <row r="12450" customFormat="false" ht="12.8" hidden="false" customHeight="false" outlineLevel="0" collapsed="false">
      <c r="A12450" s="0" t="s">
        <v>12</v>
      </c>
      <c r="B12450" s="0" t="n">
        <v>3501656</v>
      </c>
      <c r="C12450" s="0" t="n">
        <v>3501676</v>
      </c>
      <c r="D12450" s="0" t="s">
        <v>41493</v>
      </c>
      <c r="E12450" s="0" t="s">
        <v>89</v>
      </c>
      <c r="F12450" s="0" t="s">
        <v>90</v>
      </c>
      <c r="G12450" s="0" t="s">
        <v>32</v>
      </c>
      <c r="H12450" s="0" t="n">
        <v>151</v>
      </c>
      <c r="I12450" s="0" t="s">
        <v>41503</v>
      </c>
      <c r="J12450" s="0" t="s">
        <v>41504</v>
      </c>
      <c r="K12450" s="0" t="s">
        <v>41505</v>
      </c>
      <c r="L12450" s="0" t="str">
        <f aca="false">HYPERLINK("https://www.ncbi.nlm.nih.gov/nuccore/CP000304.1?report=graph&amp;tracks=[key:gene_model_track,Options:GeneOnly]&amp;mk=3501808:3501827|offset_0|444444,3501767:3501786|offset_41|444444,3501746:3501765|offset_62|444444,3501657:3501676|offset_151|00cc00&amp;v=3501607:3501876&amp;c=444444", "offset 151")</f>
        <v>offset 151</v>
      </c>
    </row>
    <row r="12451" customFormat="false" ht="12.8" hidden="false" customHeight="false" outlineLevel="0" collapsed="false">
      <c r="A12451" s="0" t="s">
        <v>12</v>
      </c>
      <c r="B12451" s="0" t="n">
        <v>3503371</v>
      </c>
      <c r="C12451" s="0" t="n">
        <v>3503391</v>
      </c>
      <c r="D12451" s="0" t="s">
        <v>41506</v>
      </c>
      <c r="E12451" s="0" t="s">
        <v>89</v>
      </c>
      <c r="F12451" s="0" t="s">
        <v>90</v>
      </c>
      <c r="G12451" s="0" t="s">
        <v>36</v>
      </c>
      <c r="H12451" s="0" t="n">
        <v>10</v>
      </c>
      <c r="I12451" s="0" t="s">
        <v>41507</v>
      </c>
      <c r="J12451" s="0" t="s">
        <v>41508</v>
      </c>
      <c r="K12451" s="0" t="s">
        <v>41509</v>
      </c>
      <c r="L12451" s="0" t="str">
        <f aca="false">HYPERLINK("https://www.ncbi.nlm.nih.gov/nuccore/CP000304.1?report=graph&amp;tracks=[key:gene_model_track,Options:GeneOnly]&amp;mk=3503372:3503391|offset_10|00cc00,3503309:3503328|offset_73|444444,3503281:3503300|offset_101|444444,3503256:3503275|offset_126|444444&amp;v=3503171:3503475&amp;c=444444", "offset 10")</f>
        <v>offset 10</v>
      </c>
    </row>
    <row r="12452" customFormat="false" ht="12.8" hidden="false" customHeight="false" outlineLevel="0" collapsed="false">
      <c r="A12452" s="0" t="s">
        <v>12</v>
      </c>
      <c r="B12452" s="0" t="n">
        <v>3503308</v>
      </c>
      <c r="C12452" s="0" t="n">
        <v>3503328</v>
      </c>
      <c r="D12452" s="0" t="s">
        <v>41506</v>
      </c>
      <c r="E12452" s="0" t="s">
        <v>89</v>
      </c>
      <c r="F12452" s="0" t="s">
        <v>90</v>
      </c>
      <c r="G12452" s="0" t="s">
        <v>32</v>
      </c>
      <c r="H12452" s="0" t="n">
        <v>73</v>
      </c>
      <c r="I12452" s="0" t="s">
        <v>41510</v>
      </c>
      <c r="J12452" s="0" t="s">
        <v>41511</v>
      </c>
      <c r="K12452" s="0" t="s">
        <v>41512</v>
      </c>
      <c r="L12452" s="0" t="str">
        <f aca="false">HYPERLINK("https://www.ncbi.nlm.nih.gov/nuccore/CP000304.1?report=graph&amp;tracks=[key:gene_model_track,Options:GeneOnly]&amp;mk=3503372:3503391|offset_10|444444,3503309:3503328|offset_73|00cc00,3503281:3503300|offset_101|444444,3503256:3503275|offset_126|444444&amp;v=3503171:3503475&amp;c=444444", "offset 73")</f>
        <v>offset 73</v>
      </c>
    </row>
    <row r="12453" customFormat="false" ht="12.8" hidden="false" customHeight="false" outlineLevel="0" collapsed="false">
      <c r="A12453" s="0" t="s">
        <v>12</v>
      </c>
      <c r="B12453" s="0" t="n">
        <v>3503280</v>
      </c>
      <c r="C12453" s="0" t="n">
        <v>3503300</v>
      </c>
      <c r="D12453" s="0" t="s">
        <v>41506</v>
      </c>
      <c r="E12453" s="0" t="s">
        <v>89</v>
      </c>
      <c r="F12453" s="0" t="s">
        <v>90</v>
      </c>
      <c r="G12453" s="0" t="s">
        <v>32</v>
      </c>
      <c r="H12453" s="0" t="n">
        <v>101</v>
      </c>
      <c r="I12453" s="0" t="s">
        <v>41513</v>
      </c>
      <c r="J12453" s="0" t="s">
        <v>41514</v>
      </c>
      <c r="K12453" s="0" t="s">
        <v>41515</v>
      </c>
      <c r="L12453" s="0" t="str">
        <f aca="false">HYPERLINK("https://www.ncbi.nlm.nih.gov/nuccore/CP000304.1?report=graph&amp;tracks=[key:gene_model_track,Options:GeneOnly]&amp;mk=3503372:3503391|offset_10|444444,3503309:3503328|offset_73|444444,3503281:3503300|offset_101|00cc00,3503256:3503275|offset_126|444444&amp;v=3503171:3503475&amp;c=444444", "offset 101")</f>
        <v>offset 101</v>
      </c>
    </row>
    <row r="12454" customFormat="false" ht="12.8" hidden="false" customHeight="false" outlineLevel="0" collapsed="false">
      <c r="A12454" s="0" t="s">
        <v>12</v>
      </c>
      <c r="B12454" s="0" t="n">
        <v>3503255</v>
      </c>
      <c r="C12454" s="0" t="n">
        <v>3503275</v>
      </c>
      <c r="D12454" s="0" t="s">
        <v>41506</v>
      </c>
      <c r="E12454" s="0" t="s">
        <v>89</v>
      </c>
      <c r="F12454" s="0" t="s">
        <v>90</v>
      </c>
      <c r="G12454" s="0" t="s">
        <v>36</v>
      </c>
      <c r="H12454" s="0" t="n">
        <v>126</v>
      </c>
      <c r="I12454" s="0" t="s">
        <v>41516</v>
      </c>
      <c r="J12454" s="0" t="s">
        <v>41517</v>
      </c>
      <c r="K12454" s="0" t="s">
        <v>41518</v>
      </c>
      <c r="L12454" s="0" t="str">
        <f aca="false">HYPERLINK("https://www.ncbi.nlm.nih.gov/nuccore/CP000304.1?report=graph&amp;tracks=[key:gene_model_track,Options:GeneOnly]&amp;mk=3503372:3503391|offset_10|444444,3503309:3503328|offset_73|444444,3503281:3503300|offset_101|444444,3503256:3503275|offset_126|00cc00&amp;v=3503171:3503475&amp;c=444444", "offset 126")</f>
        <v>offset 126</v>
      </c>
    </row>
    <row r="12455" customFormat="false" ht="12.8" hidden="false" customHeight="false" outlineLevel="0" collapsed="false">
      <c r="A12455" s="0" t="s">
        <v>12</v>
      </c>
      <c r="B12455" s="0" t="n">
        <v>3504535</v>
      </c>
      <c r="C12455" s="0" t="n">
        <v>3504555</v>
      </c>
      <c r="D12455" s="0" t="s">
        <v>41519</v>
      </c>
      <c r="E12455" s="0" t="s">
        <v>41520</v>
      </c>
      <c r="F12455" s="0" t="s">
        <v>90</v>
      </c>
      <c r="G12455" s="0" t="s">
        <v>16</v>
      </c>
      <c r="H12455" s="0" t="n">
        <v>15</v>
      </c>
      <c r="I12455" s="0" t="s">
        <v>41521</v>
      </c>
      <c r="J12455" s="0" t="s">
        <v>41522</v>
      </c>
      <c r="K12455" s="0" t="s">
        <v>41523</v>
      </c>
      <c r="L12455" s="0" t="str">
        <f aca="false">HYPERLINK("https://www.ncbi.nlm.nih.gov/nuccore/CP000304.1?report=graph&amp;tracks=[key:gene_model_track,Options:GeneOnly]&amp;mk=3504536:3504555|offset_15|00cc00,3504484:3504503|offset_67|444444,3504430:3504449|offset_121|444444,3504385:3504404|offset_166|444444&amp;v=3504335:3504604&amp;c=444444", "offset 15")</f>
        <v>offset 15</v>
      </c>
    </row>
    <row r="12456" customFormat="false" ht="12.8" hidden="false" customHeight="false" outlineLevel="0" collapsed="false">
      <c r="A12456" s="0" t="s">
        <v>12</v>
      </c>
      <c r="B12456" s="0" t="n">
        <v>3504483</v>
      </c>
      <c r="C12456" s="0" t="n">
        <v>3504503</v>
      </c>
      <c r="D12456" s="0" t="s">
        <v>41519</v>
      </c>
      <c r="E12456" s="0" t="s">
        <v>41520</v>
      </c>
      <c r="F12456" s="0" t="s">
        <v>90</v>
      </c>
      <c r="G12456" s="0" t="s">
        <v>26</v>
      </c>
      <c r="H12456" s="0" t="n">
        <v>67</v>
      </c>
      <c r="I12456" s="0" t="s">
        <v>41524</v>
      </c>
      <c r="J12456" s="0" t="s">
        <v>41525</v>
      </c>
      <c r="K12456" s="0" t="s">
        <v>41526</v>
      </c>
      <c r="L12456" s="0" t="str">
        <f aca="false">HYPERLINK("https://www.ncbi.nlm.nih.gov/nuccore/CP000304.1?report=graph&amp;tracks=[key:gene_model_track,Options:GeneOnly]&amp;mk=3504536:3504555|offset_15|444444,3504484:3504503|offset_67|00cc00,3504430:3504449|offset_121|444444,3504385:3504404|offset_166|444444&amp;v=3504335:3504604&amp;c=444444", "offset 67")</f>
        <v>offset 67</v>
      </c>
    </row>
    <row r="12457" customFormat="false" ht="12.8" hidden="false" customHeight="false" outlineLevel="0" collapsed="false">
      <c r="A12457" s="0" t="s">
        <v>12</v>
      </c>
      <c r="B12457" s="0" t="n">
        <v>3504429</v>
      </c>
      <c r="C12457" s="0" t="n">
        <v>3504449</v>
      </c>
      <c r="D12457" s="0" t="s">
        <v>41519</v>
      </c>
      <c r="E12457" s="0" t="s">
        <v>41520</v>
      </c>
      <c r="F12457" s="0" t="s">
        <v>90</v>
      </c>
      <c r="G12457" s="0" t="s">
        <v>32</v>
      </c>
      <c r="H12457" s="0" t="n">
        <v>121</v>
      </c>
      <c r="I12457" s="0" t="s">
        <v>41527</v>
      </c>
      <c r="J12457" s="0" t="s">
        <v>41528</v>
      </c>
      <c r="K12457" s="0" t="s">
        <v>41529</v>
      </c>
      <c r="L12457" s="0" t="str">
        <f aca="false">HYPERLINK("https://www.ncbi.nlm.nih.gov/nuccore/CP000304.1?report=graph&amp;tracks=[key:gene_model_track,Options:GeneOnly]&amp;mk=3504536:3504555|offset_15|444444,3504484:3504503|offset_67|444444,3504430:3504449|offset_121|00cc00,3504385:3504404|offset_166|444444&amp;v=3504335:3504604&amp;c=444444", "offset 121")</f>
        <v>offset 121</v>
      </c>
    </row>
    <row r="12458" customFormat="false" ht="12.8" hidden="false" customHeight="false" outlineLevel="0" collapsed="false">
      <c r="A12458" s="0" t="s">
        <v>12</v>
      </c>
      <c r="B12458" s="0" t="n">
        <v>3504384</v>
      </c>
      <c r="C12458" s="0" t="n">
        <v>3504404</v>
      </c>
      <c r="D12458" s="0" t="s">
        <v>41519</v>
      </c>
      <c r="E12458" s="0" t="s">
        <v>41520</v>
      </c>
      <c r="F12458" s="0" t="s">
        <v>90</v>
      </c>
      <c r="G12458" s="0" t="s">
        <v>32</v>
      </c>
      <c r="H12458" s="0" t="n">
        <v>166</v>
      </c>
      <c r="I12458" s="0" t="s">
        <v>41530</v>
      </c>
      <c r="J12458" s="0" t="s">
        <v>41531</v>
      </c>
      <c r="K12458" s="0" t="s">
        <v>41532</v>
      </c>
      <c r="L12458" s="0" t="str">
        <f aca="false">HYPERLINK("https://www.ncbi.nlm.nih.gov/nuccore/CP000304.1?report=graph&amp;tracks=[key:gene_model_track,Options:GeneOnly]&amp;mk=3504536:3504555|offset_15|444444,3504484:3504503|offset_67|444444,3504430:3504449|offset_121|444444,3504385:3504404|offset_166|00cc00&amp;v=3504335:3504604&amp;c=444444", "offset 166")</f>
        <v>offset 166</v>
      </c>
    </row>
    <row r="12459" customFormat="false" ht="12.8" hidden="false" customHeight="false" outlineLevel="0" collapsed="false">
      <c r="A12459" s="0" t="s">
        <v>12</v>
      </c>
      <c r="B12459" s="0" t="n">
        <v>3504809</v>
      </c>
      <c r="C12459" s="0" t="n">
        <v>3504829</v>
      </c>
      <c r="D12459" s="0" t="s">
        <v>41533</v>
      </c>
      <c r="E12459" s="0" t="s">
        <v>89</v>
      </c>
      <c r="F12459" s="0" t="s">
        <v>15</v>
      </c>
      <c r="G12459" s="0" t="s">
        <v>32</v>
      </c>
      <c r="H12459" s="0" t="n">
        <v>0</v>
      </c>
      <c r="I12459" s="0" t="s">
        <v>41534</v>
      </c>
      <c r="J12459" s="0" t="s">
        <v>41535</v>
      </c>
      <c r="K12459" s="0" t="s">
        <v>41536</v>
      </c>
      <c r="L12459" s="0" t="str">
        <f aca="false">HYPERLINK("https://www.ncbi.nlm.nih.gov/nuccore/CP000304.1?report=graph&amp;tracks=[key:gene_model_track,Options:GeneOnly]&amp;mk=3504810:3504829|offset_0|00cc00,3504853:3504872|offset_43|444444,3504886:3504905|offset_76|444444,3504915:3504934|offset_105|444444&amp;v=3504609:3505134&amp;c=444444", "offset 0")</f>
        <v>offset 0</v>
      </c>
    </row>
    <row r="12460" customFormat="false" ht="12.8" hidden="false" customHeight="false" outlineLevel="0" collapsed="false">
      <c r="A12460" s="0" t="s">
        <v>12</v>
      </c>
      <c r="B12460" s="0" t="n">
        <v>3504852</v>
      </c>
      <c r="C12460" s="0" t="n">
        <v>3504872</v>
      </c>
      <c r="D12460" s="0" t="s">
        <v>41533</v>
      </c>
      <c r="E12460" s="0" t="s">
        <v>89</v>
      </c>
      <c r="F12460" s="0" t="s">
        <v>15</v>
      </c>
      <c r="G12460" s="0" t="s">
        <v>32</v>
      </c>
      <c r="H12460" s="0" t="n">
        <v>43</v>
      </c>
      <c r="I12460" s="0" t="s">
        <v>41537</v>
      </c>
      <c r="J12460" s="0" t="s">
        <v>41538</v>
      </c>
      <c r="K12460" s="0" t="s">
        <v>41539</v>
      </c>
      <c r="L12460" s="0" t="str">
        <f aca="false">HYPERLINK("https://www.ncbi.nlm.nih.gov/nuccore/CP000304.1?report=graph&amp;tracks=[key:gene_model_track,Options:GeneOnly]&amp;mk=3504810:3504829|offset_0|444444,3504853:3504872|offset_43|00cc00,3504886:3504905|offset_76|444444,3504915:3504934|offset_105|444444&amp;v=3504609:3505134&amp;c=444444", "offset 43")</f>
        <v>offset 43</v>
      </c>
    </row>
    <row r="12461" customFormat="false" ht="12.8" hidden="false" customHeight="false" outlineLevel="0" collapsed="false">
      <c r="A12461" s="0" t="s">
        <v>12</v>
      </c>
      <c r="B12461" s="0" t="n">
        <v>3504885</v>
      </c>
      <c r="C12461" s="0" t="n">
        <v>3504905</v>
      </c>
      <c r="D12461" s="0" t="s">
        <v>41533</v>
      </c>
      <c r="E12461" s="0" t="s">
        <v>89</v>
      </c>
      <c r="F12461" s="0" t="s">
        <v>15</v>
      </c>
      <c r="G12461" s="0" t="s">
        <v>36</v>
      </c>
      <c r="H12461" s="0" t="n">
        <v>76</v>
      </c>
      <c r="I12461" s="0" t="s">
        <v>41540</v>
      </c>
      <c r="J12461" s="0" t="s">
        <v>41541</v>
      </c>
      <c r="K12461" s="0" t="s">
        <v>41542</v>
      </c>
      <c r="L12461" s="0" t="str">
        <f aca="false">HYPERLINK("https://www.ncbi.nlm.nih.gov/nuccore/CP000304.1?report=graph&amp;tracks=[key:gene_model_track,Options:GeneOnly]&amp;mk=3504810:3504829|offset_0|444444,3504853:3504872|offset_43|444444,3504886:3504905|offset_76|00cc00,3504915:3504934|offset_105|444444&amp;v=3504609:3505134&amp;c=444444", "offset 76")</f>
        <v>offset 76</v>
      </c>
    </row>
    <row r="12462" customFormat="false" ht="12.8" hidden="false" customHeight="false" outlineLevel="0" collapsed="false">
      <c r="A12462" s="0" t="s">
        <v>12</v>
      </c>
      <c r="B12462" s="0" t="n">
        <v>3504914</v>
      </c>
      <c r="C12462" s="0" t="n">
        <v>3504934</v>
      </c>
      <c r="D12462" s="0" t="s">
        <v>41533</v>
      </c>
      <c r="E12462" s="0" t="s">
        <v>89</v>
      </c>
      <c r="F12462" s="0" t="s">
        <v>15</v>
      </c>
      <c r="G12462" s="0" t="s">
        <v>16</v>
      </c>
      <c r="H12462" s="0" t="n">
        <v>105</v>
      </c>
      <c r="I12462" s="0" t="s">
        <v>41543</v>
      </c>
      <c r="J12462" s="0" t="s">
        <v>41544</v>
      </c>
      <c r="K12462" s="0" t="s">
        <v>41545</v>
      </c>
      <c r="L12462" s="0" t="str">
        <f aca="false">HYPERLINK("https://www.ncbi.nlm.nih.gov/nuccore/CP000304.1?report=graph&amp;tracks=[key:gene_model_track,Options:GeneOnly]&amp;mk=3504810:3504829|offset_0|444444,3504853:3504872|offset_43|444444,3504886:3504905|offset_76|444444,3504915:3504934|offset_105|00cc00&amp;v=3504609:3505134&amp;c=444444", "offset 105")</f>
        <v>offset 105</v>
      </c>
    </row>
    <row r="12463" customFormat="false" ht="12.8" hidden="false" customHeight="false" outlineLevel="0" collapsed="false">
      <c r="A12463" s="0" t="s">
        <v>12</v>
      </c>
      <c r="B12463" s="0" t="n">
        <v>3506190</v>
      </c>
      <c r="C12463" s="0" t="n">
        <v>3506210</v>
      </c>
      <c r="D12463" s="0" t="s">
        <v>41546</v>
      </c>
      <c r="E12463" s="0" t="s">
        <v>89</v>
      </c>
      <c r="F12463" s="0" t="s">
        <v>15</v>
      </c>
      <c r="G12463" s="0" t="s">
        <v>36</v>
      </c>
      <c r="H12463" s="0" t="n">
        <v>28</v>
      </c>
      <c r="I12463" s="0" t="s">
        <v>41547</v>
      </c>
      <c r="J12463" s="0" t="s">
        <v>41548</v>
      </c>
      <c r="K12463" s="0" t="s">
        <v>41549</v>
      </c>
      <c r="L12463" s="0" t="str">
        <f aca="false">HYPERLINK("https://www.ncbi.nlm.nih.gov/nuccore/CP000304.1?report=graph&amp;tracks=[key:gene_model_track,Options:GeneOnly]&amp;mk=3506191:3506210|offset_28|00cc00,3506234:3506253|offset_71|444444,3506256:3506275|offset_93|444444,3506285:3506304|offset_122|444444&amp;v=3505990:3506504&amp;c=444444", "offset 28")</f>
        <v>offset 28</v>
      </c>
    </row>
    <row r="12464" customFormat="false" ht="12.8" hidden="false" customHeight="false" outlineLevel="0" collapsed="false">
      <c r="A12464" s="0" t="s">
        <v>12</v>
      </c>
      <c r="B12464" s="0" t="n">
        <v>3506233</v>
      </c>
      <c r="C12464" s="0" t="n">
        <v>3506253</v>
      </c>
      <c r="D12464" s="0" t="s">
        <v>41546</v>
      </c>
      <c r="E12464" s="0" t="s">
        <v>89</v>
      </c>
      <c r="F12464" s="0" t="s">
        <v>15</v>
      </c>
      <c r="G12464" s="0" t="s">
        <v>26</v>
      </c>
      <c r="H12464" s="0" t="n">
        <v>71</v>
      </c>
      <c r="I12464" s="0" t="s">
        <v>41550</v>
      </c>
      <c r="J12464" s="0" t="s">
        <v>41551</v>
      </c>
      <c r="K12464" s="0" t="s">
        <v>41552</v>
      </c>
      <c r="L12464" s="0" t="str">
        <f aca="false">HYPERLINK("https://www.ncbi.nlm.nih.gov/nuccore/CP000304.1?report=graph&amp;tracks=[key:gene_model_track,Options:GeneOnly]&amp;mk=3506191:3506210|offset_28|444444,3506234:3506253|offset_71|00cc00,3506256:3506275|offset_93|444444,3506285:3506304|offset_122|444444&amp;v=3505990:3506504&amp;c=444444", "offset 71")</f>
        <v>offset 71</v>
      </c>
    </row>
    <row r="12465" customFormat="false" ht="12.8" hidden="false" customHeight="false" outlineLevel="0" collapsed="false">
      <c r="A12465" s="0" t="s">
        <v>12</v>
      </c>
      <c r="B12465" s="0" t="n">
        <v>3506255</v>
      </c>
      <c r="C12465" s="0" t="n">
        <v>3506275</v>
      </c>
      <c r="D12465" s="0" t="s">
        <v>41546</v>
      </c>
      <c r="E12465" s="0" t="s">
        <v>89</v>
      </c>
      <c r="F12465" s="0" t="s">
        <v>15</v>
      </c>
      <c r="G12465" s="0" t="s">
        <v>36</v>
      </c>
      <c r="H12465" s="0" t="n">
        <v>93</v>
      </c>
      <c r="I12465" s="0" t="s">
        <v>41553</v>
      </c>
      <c r="J12465" s="0" t="s">
        <v>41554</v>
      </c>
      <c r="K12465" s="0" t="s">
        <v>41555</v>
      </c>
      <c r="L12465" s="0" t="str">
        <f aca="false">HYPERLINK("https://www.ncbi.nlm.nih.gov/nuccore/CP000304.1?report=graph&amp;tracks=[key:gene_model_track,Options:GeneOnly]&amp;mk=3506191:3506210|offset_28|444444,3506234:3506253|offset_71|444444,3506256:3506275|offset_93|00cc00,3506285:3506304|offset_122|444444&amp;v=3505990:3506504&amp;c=444444", "offset 93")</f>
        <v>offset 93</v>
      </c>
    </row>
    <row r="12466" customFormat="false" ht="12.8" hidden="false" customHeight="false" outlineLevel="0" collapsed="false">
      <c r="A12466" s="0" t="s">
        <v>12</v>
      </c>
      <c r="B12466" s="0" t="n">
        <v>3506284</v>
      </c>
      <c r="C12466" s="0" t="n">
        <v>3506304</v>
      </c>
      <c r="D12466" s="0" t="s">
        <v>41546</v>
      </c>
      <c r="E12466" s="0" t="s">
        <v>89</v>
      </c>
      <c r="F12466" s="0" t="s">
        <v>15</v>
      </c>
      <c r="G12466" s="0" t="s">
        <v>32</v>
      </c>
      <c r="H12466" s="0" t="n">
        <v>122</v>
      </c>
      <c r="I12466" s="0" t="s">
        <v>41556</v>
      </c>
      <c r="J12466" s="0" t="s">
        <v>41557</v>
      </c>
      <c r="K12466" s="0" t="s">
        <v>41558</v>
      </c>
      <c r="L12466" s="0" t="str">
        <f aca="false">HYPERLINK("https://www.ncbi.nlm.nih.gov/nuccore/CP000304.1?report=graph&amp;tracks=[key:gene_model_track,Options:GeneOnly]&amp;mk=3506191:3506210|offset_28|444444,3506234:3506253|offset_71|444444,3506256:3506275|offset_93|444444,3506285:3506304|offset_122|00cc00&amp;v=3505990:3506504&amp;c=444444", "offset 122")</f>
        <v>offset 122</v>
      </c>
    </row>
    <row r="12467" customFormat="false" ht="12.8" hidden="false" customHeight="false" outlineLevel="0" collapsed="false">
      <c r="A12467" s="0" t="s">
        <v>12</v>
      </c>
      <c r="B12467" s="0" t="n">
        <v>3506868</v>
      </c>
      <c r="C12467" s="0" t="n">
        <v>3506888</v>
      </c>
      <c r="D12467" s="0" t="s">
        <v>41559</v>
      </c>
      <c r="E12467" s="0" t="s">
        <v>89</v>
      </c>
      <c r="F12467" s="0" t="s">
        <v>15</v>
      </c>
      <c r="G12467" s="0" t="s">
        <v>32</v>
      </c>
      <c r="H12467" s="0" t="n">
        <v>8</v>
      </c>
      <c r="I12467" s="0" t="s">
        <v>41560</v>
      </c>
      <c r="J12467" s="0" t="s">
        <v>41561</v>
      </c>
      <c r="K12467" s="0" t="s">
        <v>41562</v>
      </c>
      <c r="L12467" s="0" t="str">
        <f aca="false">HYPERLINK("https://www.ncbi.nlm.nih.gov/nuccore/CP000304.1?report=graph&amp;tracks=[key:gene_model_track,Options:GeneOnly]&amp;mk=3506869:3506888|offset_8|00cc00,3506890:3506909|offset_29|444444,3506910:3506929|offset_49|444444,3506935:3506954|offset_74|444444&amp;v=3506668:3507154&amp;c=444444", "offset 8")</f>
        <v>offset 8</v>
      </c>
    </row>
    <row r="12468" customFormat="false" ht="12.8" hidden="false" customHeight="false" outlineLevel="0" collapsed="false">
      <c r="A12468" s="0" t="s">
        <v>12</v>
      </c>
      <c r="B12468" s="0" t="n">
        <v>3506889</v>
      </c>
      <c r="C12468" s="0" t="n">
        <v>3506909</v>
      </c>
      <c r="D12468" s="0" t="s">
        <v>41559</v>
      </c>
      <c r="E12468" s="0" t="s">
        <v>89</v>
      </c>
      <c r="F12468" s="0" t="s">
        <v>15</v>
      </c>
      <c r="G12468" s="0" t="s">
        <v>16</v>
      </c>
      <c r="H12468" s="0" t="n">
        <v>29</v>
      </c>
      <c r="I12468" s="0" t="s">
        <v>41563</v>
      </c>
      <c r="J12468" s="0" t="s">
        <v>41564</v>
      </c>
      <c r="K12468" s="0" t="s">
        <v>41565</v>
      </c>
      <c r="L12468" s="0" t="str">
        <f aca="false">HYPERLINK("https://www.ncbi.nlm.nih.gov/nuccore/CP000304.1?report=graph&amp;tracks=[key:gene_model_track,Options:GeneOnly]&amp;mk=3506869:3506888|offset_8|444444,3506890:3506909|offset_29|00cc00,3506910:3506929|offset_49|444444,3506935:3506954|offset_74|444444&amp;v=3506668:3507154&amp;c=444444", "offset 29")</f>
        <v>offset 29</v>
      </c>
    </row>
    <row r="12469" customFormat="false" ht="12.8" hidden="false" customHeight="false" outlineLevel="0" collapsed="false">
      <c r="A12469" s="0" t="s">
        <v>12</v>
      </c>
      <c r="B12469" s="0" t="n">
        <v>3506909</v>
      </c>
      <c r="C12469" s="0" t="n">
        <v>3506929</v>
      </c>
      <c r="D12469" s="0" t="s">
        <v>41559</v>
      </c>
      <c r="E12469" s="0" t="s">
        <v>89</v>
      </c>
      <c r="F12469" s="0" t="s">
        <v>15</v>
      </c>
      <c r="G12469" s="0" t="s">
        <v>16</v>
      </c>
      <c r="H12469" s="0" t="n">
        <v>49</v>
      </c>
      <c r="I12469" s="0" t="s">
        <v>41566</v>
      </c>
      <c r="J12469" s="0" t="s">
        <v>41567</v>
      </c>
      <c r="K12469" s="0" t="s">
        <v>41568</v>
      </c>
      <c r="L12469" s="0" t="str">
        <f aca="false">HYPERLINK("https://www.ncbi.nlm.nih.gov/nuccore/CP000304.1?report=graph&amp;tracks=[key:gene_model_track,Options:GeneOnly]&amp;mk=3506869:3506888|offset_8|444444,3506890:3506909|offset_29|444444,3506910:3506929|offset_49|00cc00,3506935:3506954|offset_74|444444&amp;v=3506668:3507154&amp;c=444444", "offset 49")</f>
        <v>offset 49</v>
      </c>
    </row>
    <row r="12470" customFormat="false" ht="12.8" hidden="false" customHeight="false" outlineLevel="0" collapsed="false">
      <c r="A12470" s="0" t="s">
        <v>12</v>
      </c>
      <c r="B12470" s="0" t="n">
        <v>3506934</v>
      </c>
      <c r="C12470" s="0" t="n">
        <v>3506954</v>
      </c>
      <c r="D12470" s="0" t="s">
        <v>41559</v>
      </c>
      <c r="E12470" s="0" t="s">
        <v>89</v>
      </c>
      <c r="F12470" s="0" t="s">
        <v>15</v>
      </c>
      <c r="G12470" s="0" t="s">
        <v>36</v>
      </c>
      <c r="H12470" s="0" t="n">
        <v>74</v>
      </c>
      <c r="I12470" s="0" t="s">
        <v>41569</v>
      </c>
      <c r="J12470" s="0" t="s">
        <v>41570</v>
      </c>
      <c r="K12470" s="0" t="s">
        <v>41571</v>
      </c>
      <c r="L12470" s="0" t="str">
        <f aca="false">HYPERLINK("https://www.ncbi.nlm.nih.gov/nuccore/CP000304.1?report=graph&amp;tracks=[key:gene_model_track,Options:GeneOnly]&amp;mk=3506869:3506888|offset_8|444444,3506890:3506909|offset_29|444444,3506910:3506929|offset_49|444444,3506935:3506954|offset_74|00cc00&amp;v=3506668:3507154&amp;c=444444", "offset 74")</f>
        <v>offset 74</v>
      </c>
    </row>
    <row r="12471" customFormat="false" ht="12.8" hidden="false" customHeight="false" outlineLevel="0" collapsed="false">
      <c r="A12471" s="0" t="s">
        <v>12</v>
      </c>
      <c r="B12471" s="0" t="n">
        <v>3512077</v>
      </c>
      <c r="C12471" s="0" t="n">
        <v>3512097</v>
      </c>
      <c r="D12471" s="0" t="s">
        <v>41572</v>
      </c>
      <c r="E12471" s="0" t="s">
        <v>89</v>
      </c>
      <c r="F12471" s="0" t="s">
        <v>90</v>
      </c>
      <c r="G12471" s="0" t="s">
        <v>26</v>
      </c>
      <c r="H12471" s="0" t="n">
        <v>11</v>
      </c>
      <c r="I12471" s="0" t="s">
        <v>41573</v>
      </c>
      <c r="J12471" s="0" t="s">
        <v>41574</v>
      </c>
      <c r="K12471" s="0" t="s">
        <v>41575</v>
      </c>
      <c r="L12471" s="0" t="str">
        <f aca="false">HYPERLINK("https://www.ncbi.nlm.nih.gov/nuccore/CP000304.1?report=graph&amp;tracks=[key:gene_model_track,Options:GeneOnly]&amp;mk=3512078:3512097|offset_11|00cc00,3512056:3512075|offset_33|444444,3512023:3512042|offset_66|444444,3511989:3512008|offset_100|444444&amp;v=3511877:3512208&amp;c=444444", "offset 11")</f>
        <v>offset 11</v>
      </c>
    </row>
    <row r="12472" customFormat="false" ht="12.8" hidden="false" customHeight="false" outlineLevel="0" collapsed="false">
      <c r="A12472" s="0" t="s">
        <v>12</v>
      </c>
      <c r="B12472" s="0" t="n">
        <v>3512055</v>
      </c>
      <c r="C12472" s="0" t="n">
        <v>3512075</v>
      </c>
      <c r="D12472" s="0" t="s">
        <v>41572</v>
      </c>
      <c r="E12472" s="0" t="s">
        <v>89</v>
      </c>
      <c r="F12472" s="0" t="s">
        <v>90</v>
      </c>
      <c r="G12472" s="0" t="s">
        <v>26</v>
      </c>
      <c r="H12472" s="0" t="n">
        <v>33</v>
      </c>
      <c r="I12472" s="0" t="s">
        <v>41576</v>
      </c>
      <c r="J12472" s="0" t="s">
        <v>41577</v>
      </c>
      <c r="K12472" s="0" t="s">
        <v>41578</v>
      </c>
      <c r="L12472" s="0" t="str">
        <f aca="false">HYPERLINK("https://www.ncbi.nlm.nih.gov/nuccore/CP000304.1?report=graph&amp;tracks=[key:gene_model_track,Options:GeneOnly]&amp;mk=3512078:3512097|offset_11|444444,3512056:3512075|offset_33|00cc00,3512023:3512042|offset_66|444444,3511989:3512008|offset_100|444444&amp;v=3511877:3512208&amp;c=444444", "offset 33")</f>
        <v>offset 33</v>
      </c>
    </row>
    <row r="12473" customFormat="false" ht="12.8" hidden="false" customHeight="false" outlineLevel="0" collapsed="false">
      <c r="A12473" s="0" t="s">
        <v>12</v>
      </c>
      <c r="B12473" s="0" t="n">
        <v>3512022</v>
      </c>
      <c r="C12473" s="0" t="n">
        <v>3512042</v>
      </c>
      <c r="D12473" s="0" t="s">
        <v>41572</v>
      </c>
      <c r="E12473" s="0" t="s">
        <v>89</v>
      </c>
      <c r="F12473" s="0" t="s">
        <v>90</v>
      </c>
      <c r="G12473" s="0" t="s">
        <v>16</v>
      </c>
      <c r="H12473" s="0" t="n">
        <v>66</v>
      </c>
      <c r="I12473" s="0" t="s">
        <v>41579</v>
      </c>
      <c r="J12473" s="0" t="s">
        <v>41580</v>
      </c>
      <c r="K12473" s="0" t="s">
        <v>41581</v>
      </c>
      <c r="L12473" s="0" t="str">
        <f aca="false">HYPERLINK("https://www.ncbi.nlm.nih.gov/nuccore/CP000304.1?report=graph&amp;tracks=[key:gene_model_track,Options:GeneOnly]&amp;mk=3512078:3512097|offset_11|444444,3512056:3512075|offset_33|444444,3512023:3512042|offset_66|00cc00,3511989:3512008|offset_100|444444&amp;v=3511877:3512208&amp;c=444444", "offset 66")</f>
        <v>offset 66</v>
      </c>
    </row>
    <row r="12474" customFormat="false" ht="12.8" hidden="false" customHeight="false" outlineLevel="0" collapsed="false">
      <c r="A12474" s="0" t="s">
        <v>12</v>
      </c>
      <c r="B12474" s="0" t="n">
        <v>3511988</v>
      </c>
      <c r="C12474" s="0" t="n">
        <v>3512008</v>
      </c>
      <c r="D12474" s="0" t="s">
        <v>41572</v>
      </c>
      <c r="E12474" s="0" t="s">
        <v>89</v>
      </c>
      <c r="F12474" s="0" t="s">
        <v>90</v>
      </c>
      <c r="G12474" s="0" t="s">
        <v>26</v>
      </c>
      <c r="H12474" s="0" t="n">
        <v>100</v>
      </c>
      <c r="I12474" s="0" t="s">
        <v>41582</v>
      </c>
      <c r="J12474" s="0" t="s">
        <v>41583</v>
      </c>
      <c r="K12474" s="0" t="s">
        <v>41584</v>
      </c>
      <c r="L12474" s="0" t="str">
        <f aca="false">HYPERLINK("https://www.ncbi.nlm.nih.gov/nuccore/CP000304.1?report=graph&amp;tracks=[key:gene_model_track,Options:GeneOnly]&amp;mk=3512078:3512097|offset_11|444444,3512056:3512075|offset_33|444444,3512023:3512042|offset_66|444444,3511989:3512008|offset_100|00cc00&amp;v=3511877:3512208&amp;c=444444", "offset 100")</f>
        <v>offset 100</v>
      </c>
    </row>
    <row r="12475" customFormat="false" ht="12.8" hidden="false" customHeight="false" outlineLevel="0" collapsed="false">
      <c r="A12475" s="0" t="s">
        <v>12</v>
      </c>
      <c r="B12475" s="0" t="n">
        <v>3512685</v>
      </c>
      <c r="C12475" s="0" t="n">
        <v>3512705</v>
      </c>
      <c r="D12475" s="0" t="s">
        <v>41585</v>
      </c>
      <c r="E12475" s="0" t="s">
        <v>89</v>
      </c>
      <c r="F12475" s="0" t="s">
        <v>90</v>
      </c>
      <c r="G12475" s="0" t="s">
        <v>16</v>
      </c>
      <c r="H12475" s="0" t="n">
        <v>19</v>
      </c>
      <c r="I12475" s="0" t="s">
        <v>41586</v>
      </c>
      <c r="J12475" s="0" t="s">
        <v>41587</v>
      </c>
      <c r="K12475" s="0" t="s">
        <v>41588</v>
      </c>
      <c r="L12475" s="0" t="str">
        <f aca="false">HYPERLINK("https://www.ncbi.nlm.nih.gov/nuccore/CP000304.1?report=graph&amp;tracks=[key:gene_model_track,Options:GeneOnly]&amp;mk=3512686:3512705|offset_19|00cc00,3512638:3512657|offset_67|444444,3512613:3512632|offset_92|444444,3512582:3512601|offset_123|444444&amp;v=3512485:3512801&amp;c=444444", "offset 19")</f>
        <v>offset 19</v>
      </c>
    </row>
    <row r="12476" customFormat="false" ht="12.8" hidden="false" customHeight="false" outlineLevel="0" collapsed="false">
      <c r="A12476" s="0" t="s">
        <v>12</v>
      </c>
      <c r="B12476" s="0" t="n">
        <v>3512637</v>
      </c>
      <c r="C12476" s="0" t="n">
        <v>3512657</v>
      </c>
      <c r="D12476" s="0" t="s">
        <v>41585</v>
      </c>
      <c r="E12476" s="0" t="s">
        <v>89</v>
      </c>
      <c r="F12476" s="0" t="s">
        <v>90</v>
      </c>
      <c r="G12476" s="0" t="s">
        <v>16</v>
      </c>
      <c r="H12476" s="0" t="n">
        <v>67</v>
      </c>
      <c r="I12476" s="0" t="s">
        <v>41589</v>
      </c>
      <c r="J12476" s="0" t="s">
        <v>41590</v>
      </c>
      <c r="K12476" s="0" t="s">
        <v>41591</v>
      </c>
      <c r="L12476" s="0" t="str">
        <f aca="false">HYPERLINK("https://www.ncbi.nlm.nih.gov/nuccore/CP000304.1?report=graph&amp;tracks=[key:gene_model_track,Options:GeneOnly]&amp;mk=3512686:3512705|offset_19|444444,3512638:3512657|offset_67|00cc00,3512613:3512632|offset_92|444444,3512582:3512601|offset_123|444444&amp;v=3512485:3512801&amp;c=444444", "offset 67")</f>
        <v>offset 67</v>
      </c>
    </row>
    <row r="12477" customFormat="false" ht="12.8" hidden="false" customHeight="false" outlineLevel="0" collapsed="false">
      <c r="A12477" s="0" t="s">
        <v>12</v>
      </c>
      <c r="B12477" s="0" t="n">
        <v>3512612</v>
      </c>
      <c r="C12477" s="0" t="n">
        <v>3512632</v>
      </c>
      <c r="D12477" s="0" t="s">
        <v>41585</v>
      </c>
      <c r="E12477" s="0" t="s">
        <v>89</v>
      </c>
      <c r="F12477" s="0" t="s">
        <v>90</v>
      </c>
      <c r="G12477" s="0" t="s">
        <v>16</v>
      </c>
      <c r="H12477" s="0" t="n">
        <v>92</v>
      </c>
      <c r="I12477" s="0" t="s">
        <v>41592</v>
      </c>
      <c r="J12477" s="0" t="s">
        <v>41593</v>
      </c>
      <c r="K12477" s="0" t="s">
        <v>41594</v>
      </c>
      <c r="L12477" s="0" t="str">
        <f aca="false">HYPERLINK("https://www.ncbi.nlm.nih.gov/nuccore/CP000304.1?report=graph&amp;tracks=[key:gene_model_track,Options:GeneOnly]&amp;mk=3512686:3512705|offset_19|444444,3512638:3512657|offset_67|444444,3512613:3512632|offset_92|00cc00,3512582:3512601|offset_123|444444&amp;v=3512485:3512801&amp;c=444444", "offset 92")</f>
        <v>offset 92</v>
      </c>
    </row>
    <row r="12478" customFormat="false" ht="12.8" hidden="false" customHeight="false" outlineLevel="0" collapsed="false">
      <c r="A12478" s="0" t="s">
        <v>12</v>
      </c>
      <c r="B12478" s="0" t="n">
        <v>3512581</v>
      </c>
      <c r="C12478" s="0" t="n">
        <v>3512601</v>
      </c>
      <c r="D12478" s="0" t="s">
        <v>41585</v>
      </c>
      <c r="E12478" s="0" t="s">
        <v>89</v>
      </c>
      <c r="F12478" s="0" t="s">
        <v>90</v>
      </c>
      <c r="G12478" s="0" t="s">
        <v>36</v>
      </c>
      <c r="H12478" s="0" t="n">
        <v>123</v>
      </c>
      <c r="I12478" s="0" t="s">
        <v>41595</v>
      </c>
      <c r="J12478" s="0" t="s">
        <v>41596</v>
      </c>
      <c r="K12478" s="0" t="s">
        <v>41597</v>
      </c>
      <c r="L12478" s="0" t="str">
        <f aca="false">HYPERLINK("https://www.ncbi.nlm.nih.gov/nuccore/CP000304.1?report=graph&amp;tracks=[key:gene_model_track,Options:GeneOnly]&amp;mk=3512686:3512705|offset_19|444444,3512638:3512657|offset_67|444444,3512613:3512632|offset_92|444444,3512582:3512601|offset_123|00cc00&amp;v=3512485:3512801&amp;c=444444", "offset 123")</f>
        <v>offset 123</v>
      </c>
    </row>
    <row r="12479" customFormat="false" ht="12.8" hidden="false" customHeight="false" outlineLevel="0" collapsed="false">
      <c r="A12479" s="0" t="s">
        <v>12</v>
      </c>
      <c r="B12479" s="0" t="n">
        <v>3513347</v>
      </c>
      <c r="C12479" s="0" t="n">
        <v>3513367</v>
      </c>
      <c r="D12479" s="0" t="s">
        <v>41598</v>
      </c>
      <c r="E12479" s="0" t="s">
        <v>89</v>
      </c>
      <c r="F12479" s="0" t="s">
        <v>90</v>
      </c>
      <c r="G12479" s="0" t="s">
        <v>36</v>
      </c>
      <c r="H12479" s="0" t="n">
        <v>0</v>
      </c>
      <c r="I12479" s="0" t="s">
        <v>41599</v>
      </c>
      <c r="J12479" s="0" t="s">
        <v>41600</v>
      </c>
      <c r="K12479" s="0" t="s">
        <v>41601</v>
      </c>
      <c r="L12479" s="0" t="str">
        <f aca="false">HYPERLINK("https://www.ncbi.nlm.nih.gov/nuccore/CP000304.1?report=graph&amp;tracks=[key:gene_model_track,Options:GeneOnly]&amp;mk=3513348:3513367|offset_0|00cc00,3513324:3513343|offset_24|444444,3513290:3513309|offset_58|444444,3513255:3513274|offset_93|444444&amp;v=3513147:3513474&amp;c=444444", "offset 0")</f>
        <v>offset 0</v>
      </c>
    </row>
    <row r="12480" customFormat="false" ht="12.8" hidden="false" customHeight="false" outlineLevel="0" collapsed="false">
      <c r="A12480" s="0" t="s">
        <v>12</v>
      </c>
      <c r="B12480" s="0" t="n">
        <v>3513323</v>
      </c>
      <c r="C12480" s="0" t="n">
        <v>3513343</v>
      </c>
      <c r="D12480" s="0" t="s">
        <v>41598</v>
      </c>
      <c r="E12480" s="0" t="s">
        <v>89</v>
      </c>
      <c r="F12480" s="0" t="s">
        <v>90</v>
      </c>
      <c r="G12480" s="0" t="s">
        <v>32</v>
      </c>
      <c r="H12480" s="0" t="n">
        <v>24</v>
      </c>
      <c r="I12480" s="0" t="s">
        <v>41602</v>
      </c>
      <c r="J12480" s="0" t="s">
        <v>41603</v>
      </c>
      <c r="K12480" s="0" t="s">
        <v>41604</v>
      </c>
      <c r="L12480" s="0" t="str">
        <f aca="false">HYPERLINK("https://www.ncbi.nlm.nih.gov/nuccore/CP000304.1?report=graph&amp;tracks=[key:gene_model_track,Options:GeneOnly]&amp;mk=3513348:3513367|offset_0|444444,3513324:3513343|offset_24|00cc00,3513290:3513309|offset_58|444444,3513255:3513274|offset_93|444444&amp;v=3513147:3513474&amp;c=444444", "offset 24")</f>
        <v>offset 24</v>
      </c>
    </row>
    <row r="12481" customFormat="false" ht="12.8" hidden="false" customHeight="false" outlineLevel="0" collapsed="false">
      <c r="A12481" s="0" t="s">
        <v>12</v>
      </c>
      <c r="B12481" s="0" t="n">
        <v>3513289</v>
      </c>
      <c r="C12481" s="0" t="n">
        <v>3513309</v>
      </c>
      <c r="D12481" s="0" t="s">
        <v>41598</v>
      </c>
      <c r="E12481" s="0" t="s">
        <v>89</v>
      </c>
      <c r="F12481" s="0" t="s">
        <v>90</v>
      </c>
      <c r="G12481" s="0" t="s">
        <v>16</v>
      </c>
      <c r="H12481" s="0" t="n">
        <v>58</v>
      </c>
      <c r="I12481" s="0" t="s">
        <v>41605</v>
      </c>
      <c r="J12481" s="0" t="s">
        <v>41606</v>
      </c>
      <c r="K12481" s="0" t="s">
        <v>41607</v>
      </c>
      <c r="L12481" s="0" t="str">
        <f aca="false">HYPERLINK("https://www.ncbi.nlm.nih.gov/nuccore/CP000304.1?report=graph&amp;tracks=[key:gene_model_track,Options:GeneOnly]&amp;mk=3513348:3513367|offset_0|444444,3513324:3513343|offset_24|444444,3513290:3513309|offset_58|00cc00,3513255:3513274|offset_93|444444&amp;v=3513147:3513474&amp;c=444444", "offset 58")</f>
        <v>offset 58</v>
      </c>
    </row>
    <row r="12482" customFormat="false" ht="12.8" hidden="false" customHeight="false" outlineLevel="0" collapsed="false">
      <c r="A12482" s="0" t="s">
        <v>12</v>
      </c>
      <c r="B12482" s="0" t="n">
        <v>3513254</v>
      </c>
      <c r="C12482" s="0" t="n">
        <v>3513274</v>
      </c>
      <c r="D12482" s="0" t="s">
        <v>41598</v>
      </c>
      <c r="E12482" s="0" t="s">
        <v>89</v>
      </c>
      <c r="F12482" s="0" t="s">
        <v>90</v>
      </c>
      <c r="G12482" s="0" t="s">
        <v>16</v>
      </c>
      <c r="H12482" s="0" t="n">
        <v>93</v>
      </c>
      <c r="I12482" s="0" t="s">
        <v>41608</v>
      </c>
      <c r="J12482" s="0" t="s">
        <v>41609</v>
      </c>
      <c r="K12482" s="0" t="s">
        <v>41610</v>
      </c>
      <c r="L12482" s="0" t="str">
        <f aca="false">HYPERLINK("https://www.ncbi.nlm.nih.gov/nuccore/CP000304.1?report=graph&amp;tracks=[key:gene_model_track,Options:GeneOnly]&amp;mk=3513348:3513367|offset_0|444444,3513324:3513343|offset_24|444444,3513290:3513309|offset_58|444444,3513255:3513274|offset_93|00cc00&amp;v=3513147:3513474&amp;c=444444", "offset 93")</f>
        <v>offset 93</v>
      </c>
    </row>
    <row r="12483" customFormat="false" ht="12.8" hidden="false" customHeight="false" outlineLevel="0" collapsed="false">
      <c r="A12483" s="0" t="s">
        <v>12</v>
      </c>
      <c r="B12483" s="0" t="n">
        <v>3520164</v>
      </c>
      <c r="C12483" s="0" t="n">
        <v>3520184</v>
      </c>
      <c r="D12483" s="0" t="s">
        <v>41611</v>
      </c>
      <c r="E12483" s="0" t="s">
        <v>89</v>
      </c>
      <c r="F12483" s="0" t="s">
        <v>90</v>
      </c>
      <c r="G12483" s="0" t="s">
        <v>16</v>
      </c>
      <c r="H12483" s="0" t="n">
        <v>11</v>
      </c>
      <c r="I12483" s="0" t="s">
        <v>41612</v>
      </c>
      <c r="J12483" s="0" t="s">
        <v>41613</v>
      </c>
      <c r="K12483" s="0" t="s">
        <v>41614</v>
      </c>
      <c r="L12483" s="0" t="str">
        <f aca="false">HYPERLINK("https://www.ncbi.nlm.nih.gov/nuccore/CP000304.1?report=graph&amp;tracks=[key:gene_model_track,Options:GeneOnly]&amp;mk=3520165:3520184|offset_11|00cc00,3520122:3520141|offset_54|444444,3520080:3520099|offset_96|444444,3520030:3520049|offset_146|444444&amp;v=3519964:3520249&amp;c=444444", "offset 11")</f>
        <v>offset 11</v>
      </c>
    </row>
    <row r="12484" customFormat="false" ht="12.8" hidden="false" customHeight="false" outlineLevel="0" collapsed="false">
      <c r="A12484" s="0" t="s">
        <v>12</v>
      </c>
      <c r="B12484" s="0" t="n">
        <v>3520121</v>
      </c>
      <c r="C12484" s="0" t="n">
        <v>3520141</v>
      </c>
      <c r="D12484" s="0" t="s">
        <v>41611</v>
      </c>
      <c r="E12484" s="0" t="s">
        <v>89</v>
      </c>
      <c r="F12484" s="0" t="s">
        <v>90</v>
      </c>
      <c r="G12484" s="0" t="s">
        <v>16</v>
      </c>
      <c r="H12484" s="0" t="n">
        <v>54</v>
      </c>
      <c r="I12484" s="0" t="s">
        <v>41615</v>
      </c>
      <c r="J12484" s="0" t="s">
        <v>41616</v>
      </c>
      <c r="K12484" s="0" t="s">
        <v>41617</v>
      </c>
      <c r="L12484" s="0" t="str">
        <f aca="false">HYPERLINK("https://www.ncbi.nlm.nih.gov/nuccore/CP000304.1?report=graph&amp;tracks=[key:gene_model_track,Options:GeneOnly]&amp;mk=3520165:3520184|offset_11|444444,3520122:3520141|offset_54|00cc00,3520080:3520099|offset_96|444444,3520030:3520049|offset_146|444444&amp;v=3519964:3520249&amp;c=444444", "offset 54")</f>
        <v>offset 54</v>
      </c>
    </row>
    <row r="12485" customFormat="false" ht="12.8" hidden="false" customHeight="false" outlineLevel="0" collapsed="false">
      <c r="A12485" s="0" t="s">
        <v>12</v>
      </c>
      <c r="B12485" s="0" t="n">
        <v>3520079</v>
      </c>
      <c r="C12485" s="0" t="n">
        <v>3520099</v>
      </c>
      <c r="D12485" s="0" t="s">
        <v>41611</v>
      </c>
      <c r="E12485" s="0" t="s">
        <v>89</v>
      </c>
      <c r="F12485" s="0" t="s">
        <v>90</v>
      </c>
      <c r="G12485" s="0" t="s">
        <v>26</v>
      </c>
      <c r="H12485" s="0" t="n">
        <v>96</v>
      </c>
      <c r="I12485" s="0" t="s">
        <v>41618</v>
      </c>
      <c r="J12485" s="0" t="s">
        <v>41619</v>
      </c>
      <c r="K12485" s="0" t="s">
        <v>41620</v>
      </c>
      <c r="L12485" s="0" t="str">
        <f aca="false">HYPERLINK("https://www.ncbi.nlm.nih.gov/nuccore/CP000304.1?report=graph&amp;tracks=[key:gene_model_track,Options:GeneOnly]&amp;mk=3520165:3520184|offset_11|444444,3520122:3520141|offset_54|444444,3520080:3520099|offset_96|00cc00,3520030:3520049|offset_146|444444&amp;v=3519964:3520249&amp;c=444444", "offset 96")</f>
        <v>offset 96</v>
      </c>
    </row>
    <row r="12486" customFormat="false" ht="12.8" hidden="false" customHeight="false" outlineLevel="0" collapsed="false">
      <c r="A12486" s="0" t="s">
        <v>12</v>
      </c>
      <c r="B12486" s="0" t="n">
        <v>3520029</v>
      </c>
      <c r="C12486" s="0" t="n">
        <v>3520049</v>
      </c>
      <c r="D12486" s="0" t="s">
        <v>41611</v>
      </c>
      <c r="E12486" s="0" t="s">
        <v>89</v>
      </c>
      <c r="F12486" s="0" t="s">
        <v>90</v>
      </c>
      <c r="G12486" s="0" t="s">
        <v>26</v>
      </c>
      <c r="H12486" s="0" t="n">
        <v>146</v>
      </c>
      <c r="I12486" s="0" t="s">
        <v>41621</v>
      </c>
      <c r="J12486" s="0" t="s">
        <v>41622</v>
      </c>
      <c r="K12486" s="0" t="s">
        <v>41623</v>
      </c>
      <c r="L12486" s="0" t="str">
        <f aca="false">HYPERLINK("https://www.ncbi.nlm.nih.gov/nuccore/CP000304.1?report=graph&amp;tracks=[key:gene_model_track,Options:GeneOnly]&amp;mk=3520165:3520184|offset_11|444444,3520122:3520141|offset_54|444444,3520080:3520099|offset_96|444444,3520030:3520049|offset_146|00cc00&amp;v=3519964:3520249&amp;c=444444", "offset 146")</f>
        <v>offset 146</v>
      </c>
    </row>
    <row r="12487" customFormat="false" ht="12.8" hidden="false" customHeight="false" outlineLevel="0" collapsed="false">
      <c r="A12487" s="0" t="s">
        <v>12</v>
      </c>
      <c r="B12487" s="0" t="n">
        <v>3521182</v>
      </c>
      <c r="C12487" s="0" t="n">
        <v>3521202</v>
      </c>
      <c r="D12487" s="0" t="s">
        <v>41624</v>
      </c>
      <c r="E12487" s="0" t="s">
        <v>89</v>
      </c>
      <c r="F12487" s="0" t="s">
        <v>90</v>
      </c>
      <c r="G12487" s="0" t="s">
        <v>36</v>
      </c>
      <c r="H12487" s="0" t="n">
        <v>0</v>
      </c>
      <c r="I12487" s="0" t="s">
        <v>41625</v>
      </c>
      <c r="J12487" s="0" t="s">
        <v>41626</v>
      </c>
      <c r="K12487" s="0" t="s">
        <v>41627</v>
      </c>
      <c r="L12487" s="0" t="str">
        <f aca="false">HYPERLINK("https://www.ncbi.nlm.nih.gov/nuccore/CP000304.1?report=graph&amp;tracks=[key:gene_model_track,Options:GeneOnly]&amp;mk=3521183:3521202|offset_0|00cc00,3521161:3521180|offset_22|444444,3521129:3521148|offset_54|444444,3521106:3521125|offset_77|444444&amp;v=3520982:3521325&amp;c=444444", "offset 0")</f>
        <v>offset 0</v>
      </c>
    </row>
    <row r="12488" customFormat="false" ht="12.8" hidden="false" customHeight="false" outlineLevel="0" collapsed="false">
      <c r="A12488" s="0" t="s">
        <v>12</v>
      </c>
      <c r="B12488" s="0" t="n">
        <v>3521160</v>
      </c>
      <c r="C12488" s="0" t="n">
        <v>3521180</v>
      </c>
      <c r="D12488" s="0" t="s">
        <v>41624</v>
      </c>
      <c r="E12488" s="0" t="s">
        <v>89</v>
      </c>
      <c r="F12488" s="0" t="s">
        <v>90</v>
      </c>
      <c r="G12488" s="0" t="s">
        <v>26</v>
      </c>
      <c r="H12488" s="0" t="n">
        <v>22</v>
      </c>
      <c r="I12488" s="0" t="s">
        <v>41628</v>
      </c>
      <c r="J12488" s="0" t="s">
        <v>41629</v>
      </c>
      <c r="K12488" s="0" t="s">
        <v>41630</v>
      </c>
      <c r="L12488" s="0" t="str">
        <f aca="false">HYPERLINK("https://www.ncbi.nlm.nih.gov/nuccore/CP000304.1?report=graph&amp;tracks=[key:gene_model_track,Options:GeneOnly]&amp;mk=3521183:3521202|offset_0|444444,3521161:3521180|offset_22|00cc00,3521129:3521148|offset_54|444444,3521106:3521125|offset_77|444444&amp;v=3520982:3521325&amp;c=444444", "offset 22")</f>
        <v>offset 22</v>
      </c>
    </row>
    <row r="12489" customFormat="false" ht="12.8" hidden="false" customHeight="false" outlineLevel="0" collapsed="false">
      <c r="A12489" s="0" t="s">
        <v>12</v>
      </c>
      <c r="B12489" s="0" t="n">
        <v>3521128</v>
      </c>
      <c r="C12489" s="0" t="n">
        <v>3521148</v>
      </c>
      <c r="D12489" s="0" t="s">
        <v>41624</v>
      </c>
      <c r="E12489" s="0" t="s">
        <v>89</v>
      </c>
      <c r="F12489" s="0" t="s">
        <v>90</v>
      </c>
      <c r="G12489" s="0" t="s">
        <v>36</v>
      </c>
      <c r="H12489" s="0" t="n">
        <v>54</v>
      </c>
      <c r="I12489" s="0" t="s">
        <v>41631</v>
      </c>
      <c r="J12489" s="0" t="s">
        <v>41632</v>
      </c>
      <c r="K12489" s="0" t="s">
        <v>41633</v>
      </c>
      <c r="L12489" s="0" t="str">
        <f aca="false">HYPERLINK("https://www.ncbi.nlm.nih.gov/nuccore/CP000304.1?report=graph&amp;tracks=[key:gene_model_track,Options:GeneOnly]&amp;mk=3521183:3521202|offset_0|444444,3521161:3521180|offset_22|444444,3521129:3521148|offset_54|00cc00,3521106:3521125|offset_77|444444&amp;v=3520982:3521325&amp;c=444444", "offset 54")</f>
        <v>offset 54</v>
      </c>
    </row>
    <row r="12490" customFormat="false" ht="12.8" hidden="false" customHeight="false" outlineLevel="0" collapsed="false">
      <c r="A12490" s="0" t="s">
        <v>12</v>
      </c>
      <c r="B12490" s="0" t="n">
        <v>3521105</v>
      </c>
      <c r="C12490" s="0" t="n">
        <v>3521125</v>
      </c>
      <c r="D12490" s="0" t="s">
        <v>41624</v>
      </c>
      <c r="E12490" s="0" t="s">
        <v>89</v>
      </c>
      <c r="F12490" s="0" t="s">
        <v>90</v>
      </c>
      <c r="G12490" s="0" t="s">
        <v>16</v>
      </c>
      <c r="H12490" s="0" t="n">
        <v>77</v>
      </c>
      <c r="I12490" s="0" t="s">
        <v>41634</v>
      </c>
      <c r="J12490" s="0" t="s">
        <v>41635</v>
      </c>
      <c r="K12490" s="0" t="s">
        <v>41636</v>
      </c>
      <c r="L12490" s="0" t="str">
        <f aca="false">HYPERLINK("https://www.ncbi.nlm.nih.gov/nuccore/CP000304.1?report=graph&amp;tracks=[key:gene_model_track,Options:GeneOnly]&amp;mk=3521183:3521202|offset_0|444444,3521161:3521180|offset_22|444444,3521129:3521148|offset_54|444444,3521106:3521125|offset_77|00cc00&amp;v=3520982:3521325&amp;c=444444", "offset 77")</f>
        <v>offset 77</v>
      </c>
    </row>
    <row r="12491" customFormat="false" ht="12.8" hidden="false" customHeight="false" outlineLevel="0" collapsed="false">
      <c r="A12491" s="0" t="s">
        <v>12</v>
      </c>
      <c r="B12491" s="0" t="n">
        <v>3522061</v>
      </c>
      <c r="C12491" s="0" t="n">
        <v>3522081</v>
      </c>
      <c r="D12491" s="0" t="s">
        <v>41637</v>
      </c>
      <c r="E12491" s="0" t="s">
        <v>41638</v>
      </c>
      <c r="F12491" s="0" t="s">
        <v>90</v>
      </c>
      <c r="G12491" s="0" t="s">
        <v>36</v>
      </c>
      <c r="H12491" s="0" t="n">
        <v>15</v>
      </c>
      <c r="I12491" s="0" t="s">
        <v>41639</v>
      </c>
      <c r="J12491" s="0" t="s">
        <v>41640</v>
      </c>
      <c r="K12491" s="0" t="s">
        <v>41641</v>
      </c>
      <c r="L12491" s="0" t="str">
        <f aca="false">HYPERLINK("https://www.ncbi.nlm.nih.gov/nuccore/CP000304.1?report=graph&amp;tracks=[key:gene_model_track,Options:GeneOnly]&amp;mk=3522062:3522081|offset_15|00cc00,3522035:3522054|offset_42|444444,3521994:3522013|offset_83|444444,3521967:3521986|offset_110|444444&amp;v=3521861:3522186&amp;c=444444", "offset 15")</f>
        <v>offset 15</v>
      </c>
    </row>
    <row r="12492" customFormat="false" ht="12.8" hidden="false" customHeight="false" outlineLevel="0" collapsed="false">
      <c r="A12492" s="0" t="s">
        <v>12</v>
      </c>
      <c r="B12492" s="0" t="n">
        <v>3522034</v>
      </c>
      <c r="C12492" s="0" t="n">
        <v>3522054</v>
      </c>
      <c r="D12492" s="0" t="s">
        <v>41637</v>
      </c>
      <c r="E12492" s="0" t="s">
        <v>41638</v>
      </c>
      <c r="F12492" s="0" t="s">
        <v>90</v>
      </c>
      <c r="G12492" s="0" t="s">
        <v>32</v>
      </c>
      <c r="H12492" s="0" t="n">
        <v>42</v>
      </c>
      <c r="I12492" s="0" t="s">
        <v>41642</v>
      </c>
      <c r="J12492" s="0" t="s">
        <v>41643</v>
      </c>
      <c r="K12492" s="0" t="s">
        <v>41644</v>
      </c>
      <c r="L12492" s="0" t="str">
        <f aca="false">HYPERLINK("https://www.ncbi.nlm.nih.gov/nuccore/CP000304.1?report=graph&amp;tracks=[key:gene_model_track,Options:GeneOnly]&amp;mk=3522062:3522081|offset_15|444444,3522035:3522054|offset_42|00cc00,3521994:3522013|offset_83|444444,3521967:3521986|offset_110|444444&amp;v=3521861:3522186&amp;c=444444", "offset 42")</f>
        <v>offset 42</v>
      </c>
    </row>
    <row r="12493" customFormat="false" ht="12.8" hidden="false" customHeight="false" outlineLevel="0" collapsed="false">
      <c r="A12493" s="0" t="s">
        <v>12</v>
      </c>
      <c r="B12493" s="0" t="n">
        <v>3521993</v>
      </c>
      <c r="C12493" s="0" t="n">
        <v>3522013</v>
      </c>
      <c r="D12493" s="0" t="s">
        <v>41637</v>
      </c>
      <c r="E12493" s="0" t="s">
        <v>41638</v>
      </c>
      <c r="F12493" s="0" t="s">
        <v>90</v>
      </c>
      <c r="G12493" s="0" t="s">
        <v>32</v>
      </c>
      <c r="H12493" s="0" t="n">
        <v>83</v>
      </c>
      <c r="I12493" s="0" t="s">
        <v>41645</v>
      </c>
      <c r="J12493" s="0" t="s">
        <v>41646</v>
      </c>
      <c r="K12493" s="0" t="s">
        <v>41647</v>
      </c>
      <c r="L12493" s="0" t="str">
        <f aca="false">HYPERLINK("https://www.ncbi.nlm.nih.gov/nuccore/CP000304.1?report=graph&amp;tracks=[key:gene_model_track,Options:GeneOnly]&amp;mk=3522062:3522081|offset_15|444444,3522035:3522054|offset_42|444444,3521994:3522013|offset_83|00cc00,3521967:3521986|offset_110|444444&amp;v=3521861:3522186&amp;c=444444", "offset 83")</f>
        <v>offset 83</v>
      </c>
    </row>
    <row r="12494" customFormat="false" ht="12.8" hidden="false" customHeight="false" outlineLevel="0" collapsed="false">
      <c r="A12494" s="0" t="s">
        <v>12</v>
      </c>
      <c r="B12494" s="0" t="n">
        <v>3521966</v>
      </c>
      <c r="C12494" s="0" t="n">
        <v>3521986</v>
      </c>
      <c r="D12494" s="0" t="s">
        <v>41637</v>
      </c>
      <c r="E12494" s="0" t="s">
        <v>41638</v>
      </c>
      <c r="F12494" s="0" t="s">
        <v>90</v>
      </c>
      <c r="G12494" s="0" t="s">
        <v>32</v>
      </c>
      <c r="H12494" s="0" t="n">
        <v>110</v>
      </c>
      <c r="I12494" s="0" t="s">
        <v>41648</v>
      </c>
      <c r="J12494" s="0" t="s">
        <v>41649</v>
      </c>
      <c r="K12494" s="0" t="s">
        <v>41650</v>
      </c>
      <c r="L12494" s="0" t="str">
        <f aca="false">HYPERLINK("https://www.ncbi.nlm.nih.gov/nuccore/CP000304.1?report=graph&amp;tracks=[key:gene_model_track,Options:GeneOnly]&amp;mk=3522062:3522081|offset_15|444444,3522035:3522054|offset_42|444444,3521994:3522013|offset_83|444444,3521967:3521986|offset_110|00cc00&amp;v=3521861:3522186&amp;c=444444", "offset 110")</f>
        <v>offset 110</v>
      </c>
    </row>
    <row r="12495" customFormat="false" ht="12.8" hidden="false" customHeight="false" outlineLevel="0" collapsed="false">
      <c r="A12495" s="0" t="s">
        <v>12</v>
      </c>
      <c r="B12495" s="0" t="n">
        <v>3523214</v>
      </c>
      <c r="C12495" s="0" t="n">
        <v>3523234</v>
      </c>
      <c r="D12495" s="0" t="s">
        <v>41651</v>
      </c>
      <c r="E12495" s="0" t="s">
        <v>41652</v>
      </c>
      <c r="F12495" s="0" t="s">
        <v>90</v>
      </c>
      <c r="G12495" s="0" t="s">
        <v>26</v>
      </c>
      <c r="H12495" s="0" t="n">
        <v>32</v>
      </c>
      <c r="I12495" s="0" t="s">
        <v>41653</v>
      </c>
      <c r="J12495" s="0" t="s">
        <v>41654</v>
      </c>
      <c r="K12495" s="0" t="s">
        <v>41655</v>
      </c>
      <c r="L12495" s="0" t="str">
        <f aca="false">HYPERLINK("https://www.ncbi.nlm.nih.gov/nuccore/CP000304.1?report=graph&amp;tracks=[key:gene_model_track,Options:GeneOnly]&amp;mk=3523215:3523234|offset_32|00cc00,3523186:3523205|offset_61|444444,3523143:3523162|offset_104|444444,3523117:3523136|offset_130|444444&amp;v=3523014:3523336&amp;c=444444", "offset 32")</f>
        <v>offset 32</v>
      </c>
    </row>
    <row r="12496" customFormat="false" ht="12.8" hidden="false" customHeight="false" outlineLevel="0" collapsed="false">
      <c r="A12496" s="0" t="s">
        <v>12</v>
      </c>
      <c r="B12496" s="0" t="n">
        <v>3523185</v>
      </c>
      <c r="C12496" s="0" t="n">
        <v>3523205</v>
      </c>
      <c r="D12496" s="0" t="s">
        <v>41651</v>
      </c>
      <c r="E12496" s="0" t="s">
        <v>41652</v>
      </c>
      <c r="F12496" s="0" t="s">
        <v>90</v>
      </c>
      <c r="G12496" s="0" t="s">
        <v>32</v>
      </c>
      <c r="H12496" s="0" t="n">
        <v>61</v>
      </c>
      <c r="I12496" s="0" t="s">
        <v>41656</v>
      </c>
      <c r="J12496" s="0" t="s">
        <v>41657</v>
      </c>
      <c r="K12496" s="0" t="s">
        <v>41658</v>
      </c>
      <c r="L12496" s="0" t="str">
        <f aca="false">HYPERLINK("https://www.ncbi.nlm.nih.gov/nuccore/CP000304.1?report=graph&amp;tracks=[key:gene_model_track,Options:GeneOnly]&amp;mk=3523215:3523234|offset_32|444444,3523186:3523205|offset_61|00cc00,3523143:3523162|offset_104|444444,3523117:3523136|offset_130|444444&amp;v=3523014:3523336&amp;c=444444", "offset 61")</f>
        <v>offset 61</v>
      </c>
    </row>
    <row r="12497" customFormat="false" ht="12.8" hidden="false" customHeight="false" outlineLevel="0" collapsed="false">
      <c r="A12497" s="0" t="s">
        <v>12</v>
      </c>
      <c r="B12497" s="0" t="n">
        <v>3523142</v>
      </c>
      <c r="C12497" s="0" t="n">
        <v>3523162</v>
      </c>
      <c r="D12497" s="0" t="s">
        <v>41651</v>
      </c>
      <c r="E12497" s="0" t="s">
        <v>41652</v>
      </c>
      <c r="F12497" s="0" t="s">
        <v>90</v>
      </c>
      <c r="G12497" s="0" t="s">
        <v>26</v>
      </c>
      <c r="H12497" s="0" t="n">
        <v>104</v>
      </c>
      <c r="I12497" s="0" t="s">
        <v>41659</v>
      </c>
      <c r="J12497" s="0" t="s">
        <v>41660</v>
      </c>
      <c r="K12497" s="0" t="s">
        <v>41661</v>
      </c>
      <c r="L12497" s="0" t="str">
        <f aca="false">HYPERLINK("https://www.ncbi.nlm.nih.gov/nuccore/CP000304.1?report=graph&amp;tracks=[key:gene_model_track,Options:GeneOnly]&amp;mk=3523215:3523234|offset_32|444444,3523186:3523205|offset_61|444444,3523143:3523162|offset_104|00cc00,3523117:3523136|offset_130|444444&amp;v=3523014:3523336&amp;c=444444", "offset 104")</f>
        <v>offset 104</v>
      </c>
    </row>
    <row r="12498" customFormat="false" ht="12.8" hidden="false" customHeight="false" outlineLevel="0" collapsed="false">
      <c r="A12498" s="0" t="s">
        <v>12</v>
      </c>
      <c r="B12498" s="0" t="n">
        <v>3523116</v>
      </c>
      <c r="C12498" s="0" t="n">
        <v>3523136</v>
      </c>
      <c r="D12498" s="0" t="s">
        <v>41651</v>
      </c>
      <c r="E12498" s="0" t="s">
        <v>41652</v>
      </c>
      <c r="F12498" s="0" t="s">
        <v>90</v>
      </c>
      <c r="G12498" s="0" t="s">
        <v>16</v>
      </c>
      <c r="H12498" s="0" t="n">
        <v>130</v>
      </c>
      <c r="I12498" s="0" t="s">
        <v>41662</v>
      </c>
      <c r="J12498" s="0" t="s">
        <v>41663</v>
      </c>
      <c r="K12498" s="0" t="s">
        <v>41664</v>
      </c>
      <c r="L12498" s="0" t="str">
        <f aca="false">HYPERLINK("https://www.ncbi.nlm.nih.gov/nuccore/CP000304.1?report=graph&amp;tracks=[key:gene_model_track,Options:GeneOnly]&amp;mk=3523215:3523234|offset_32|444444,3523186:3523205|offset_61|444444,3523143:3523162|offset_104|444444,3523117:3523136|offset_130|00cc00&amp;v=3523014:3523336&amp;c=444444", "offset 130")</f>
        <v>offset 130</v>
      </c>
    </row>
    <row r="12499" customFormat="false" ht="12.8" hidden="false" customHeight="false" outlineLevel="0" collapsed="false">
      <c r="A12499" s="0" t="s">
        <v>12</v>
      </c>
      <c r="B12499" s="0" t="n">
        <v>3523795</v>
      </c>
      <c r="C12499" s="0" t="n">
        <v>3523815</v>
      </c>
      <c r="D12499" s="0" t="s">
        <v>41665</v>
      </c>
      <c r="E12499" s="0" t="s">
        <v>41666</v>
      </c>
      <c r="F12499" s="0" t="s">
        <v>90</v>
      </c>
      <c r="G12499" s="0" t="s">
        <v>36</v>
      </c>
      <c r="H12499" s="0" t="n">
        <v>19</v>
      </c>
      <c r="I12499" s="0" t="s">
        <v>41667</v>
      </c>
      <c r="J12499" s="0" t="s">
        <v>41668</v>
      </c>
      <c r="K12499" s="0" t="s">
        <v>41669</v>
      </c>
      <c r="L12499" s="0" t="str">
        <f aca="false">HYPERLINK("https://www.ncbi.nlm.nih.gov/nuccore/CP000304.1?report=graph&amp;tracks=[key:gene_model_track,Options:GeneOnly]&amp;mk=3523796:3523815|offset_19|00cc00,3523776:3523795|offset_39|444444,3523750:3523769|offset_65|444444,3523717:3523736|offset_98|444444&amp;v=3523595:3523936&amp;c=444444", "offset 19")</f>
        <v>offset 19</v>
      </c>
    </row>
    <row r="12500" customFormat="false" ht="12.8" hidden="false" customHeight="false" outlineLevel="0" collapsed="false">
      <c r="A12500" s="0" t="s">
        <v>12</v>
      </c>
      <c r="B12500" s="0" t="n">
        <v>3523775</v>
      </c>
      <c r="C12500" s="0" t="n">
        <v>3523795</v>
      </c>
      <c r="D12500" s="0" t="s">
        <v>41665</v>
      </c>
      <c r="E12500" s="0" t="s">
        <v>41666</v>
      </c>
      <c r="F12500" s="0" t="s">
        <v>90</v>
      </c>
      <c r="G12500" s="0" t="s">
        <v>16</v>
      </c>
      <c r="H12500" s="0" t="n">
        <v>39</v>
      </c>
      <c r="I12500" s="0" t="s">
        <v>41670</v>
      </c>
      <c r="J12500" s="0" t="s">
        <v>41671</v>
      </c>
      <c r="K12500" s="0" t="s">
        <v>41672</v>
      </c>
      <c r="L12500" s="0" t="str">
        <f aca="false">HYPERLINK("https://www.ncbi.nlm.nih.gov/nuccore/CP000304.1?report=graph&amp;tracks=[key:gene_model_track,Options:GeneOnly]&amp;mk=3523796:3523815|offset_19|444444,3523776:3523795|offset_39|00cc00,3523750:3523769|offset_65|444444,3523717:3523736|offset_98|444444&amp;v=3523595:3523936&amp;c=444444", "offset 39")</f>
        <v>offset 39</v>
      </c>
    </row>
    <row r="12501" customFormat="false" ht="12.8" hidden="false" customHeight="false" outlineLevel="0" collapsed="false">
      <c r="A12501" s="0" t="s">
        <v>12</v>
      </c>
      <c r="B12501" s="0" t="n">
        <v>3523749</v>
      </c>
      <c r="C12501" s="0" t="n">
        <v>3523769</v>
      </c>
      <c r="D12501" s="0" t="s">
        <v>41665</v>
      </c>
      <c r="E12501" s="0" t="s">
        <v>41666</v>
      </c>
      <c r="F12501" s="0" t="s">
        <v>90</v>
      </c>
      <c r="G12501" s="0" t="s">
        <v>26</v>
      </c>
      <c r="H12501" s="0" t="n">
        <v>65</v>
      </c>
      <c r="I12501" s="0" t="s">
        <v>41673</v>
      </c>
      <c r="J12501" s="0" t="s">
        <v>41674</v>
      </c>
      <c r="K12501" s="0" t="s">
        <v>41675</v>
      </c>
      <c r="L12501" s="0" t="str">
        <f aca="false">HYPERLINK("https://www.ncbi.nlm.nih.gov/nuccore/CP000304.1?report=graph&amp;tracks=[key:gene_model_track,Options:GeneOnly]&amp;mk=3523796:3523815|offset_19|444444,3523776:3523795|offset_39|444444,3523750:3523769|offset_65|00cc00,3523717:3523736|offset_98|444444&amp;v=3523595:3523936&amp;c=444444", "offset 65")</f>
        <v>offset 65</v>
      </c>
    </row>
    <row r="12502" customFormat="false" ht="12.8" hidden="false" customHeight="false" outlineLevel="0" collapsed="false">
      <c r="A12502" s="0" t="s">
        <v>12</v>
      </c>
      <c r="B12502" s="0" t="n">
        <v>3523716</v>
      </c>
      <c r="C12502" s="0" t="n">
        <v>3523736</v>
      </c>
      <c r="D12502" s="0" t="s">
        <v>41665</v>
      </c>
      <c r="E12502" s="0" t="s">
        <v>41666</v>
      </c>
      <c r="F12502" s="0" t="s">
        <v>90</v>
      </c>
      <c r="G12502" s="0" t="s">
        <v>26</v>
      </c>
      <c r="H12502" s="0" t="n">
        <v>98</v>
      </c>
      <c r="I12502" s="0" t="s">
        <v>41676</v>
      </c>
      <c r="J12502" s="0" t="s">
        <v>41677</v>
      </c>
      <c r="K12502" s="0" t="s">
        <v>41678</v>
      </c>
      <c r="L12502" s="0" t="str">
        <f aca="false">HYPERLINK("https://www.ncbi.nlm.nih.gov/nuccore/CP000304.1?report=graph&amp;tracks=[key:gene_model_track,Options:GeneOnly]&amp;mk=3523796:3523815|offset_19|444444,3523776:3523795|offset_39|444444,3523750:3523769|offset_65|444444,3523717:3523736|offset_98|00cc00&amp;v=3523595:3523936&amp;c=444444", "offset 98")</f>
        <v>offset 98</v>
      </c>
    </row>
    <row r="12503" customFormat="false" ht="12.8" hidden="false" customHeight="false" outlineLevel="0" collapsed="false">
      <c r="A12503" s="0" t="s">
        <v>12</v>
      </c>
      <c r="B12503" s="0" t="n">
        <v>3525506</v>
      </c>
      <c r="C12503" s="0" t="n">
        <v>3525526</v>
      </c>
      <c r="D12503" s="0" t="s">
        <v>41679</v>
      </c>
      <c r="E12503" s="0" t="s">
        <v>41680</v>
      </c>
      <c r="F12503" s="0" t="s">
        <v>90</v>
      </c>
      <c r="G12503" s="0" t="s">
        <v>16</v>
      </c>
      <c r="H12503" s="0" t="n">
        <v>11</v>
      </c>
      <c r="I12503" s="0" t="s">
        <v>41681</v>
      </c>
      <c r="J12503" s="0" t="s">
        <v>41682</v>
      </c>
      <c r="K12503" s="0" t="s">
        <v>41683</v>
      </c>
      <c r="L12503" s="0" t="str">
        <f aca="false">HYPERLINK("https://www.ncbi.nlm.nih.gov/nuccore/CP000304.1?report=graph&amp;tracks=[key:gene_model_track,Options:GeneOnly]&amp;mk=3525507:3525526|offset_11|00cc00,3525465:3525484|offset_53|444444,3525415:3525434|offset_103|444444,3525376:3525395|offset_142|444444&amp;v=3525306:3525595&amp;c=444444", "offset 11")</f>
        <v>offset 11</v>
      </c>
    </row>
    <row r="12504" customFormat="false" ht="12.8" hidden="false" customHeight="false" outlineLevel="0" collapsed="false">
      <c r="A12504" s="0" t="s">
        <v>12</v>
      </c>
      <c r="B12504" s="0" t="n">
        <v>3525464</v>
      </c>
      <c r="C12504" s="0" t="n">
        <v>3525484</v>
      </c>
      <c r="D12504" s="0" t="s">
        <v>41679</v>
      </c>
      <c r="E12504" s="0" t="s">
        <v>41680</v>
      </c>
      <c r="F12504" s="0" t="s">
        <v>90</v>
      </c>
      <c r="G12504" s="0" t="s">
        <v>36</v>
      </c>
      <c r="H12504" s="0" t="n">
        <v>53</v>
      </c>
      <c r="I12504" s="0" t="s">
        <v>41684</v>
      </c>
      <c r="J12504" s="0" t="s">
        <v>41685</v>
      </c>
      <c r="K12504" s="0" t="s">
        <v>41686</v>
      </c>
      <c r="L12504" s="0" t="str">
        <f aca="false">HYPERLINK("https://www.ncbi.nlm.nih.gov/nuccore/CP000304.1?report=graph&amp;tracks=[key:gene_model_track,Options:GeneOnly]&amp;mk=3525507:3525526|offset_11|444444,3525465:3525484|offset_53|00cc00,3525415:3525434|offset_103|444444,3525376:3525395|offset_142|444444&amp;v=3525306:3525595&amp;c=444444", "offset 53")</f>
        <v>offset 53</v>
      </c>
    </row>
    <row r="12505" customFormat="false" ht="12.8" hidden="false" customHeight="false" outlineLevel="0" collapsed="false">
      <c r="A12505" s="0" t="s">
        <v>12</v>
      </c>
      <c r="B12505" s="0" t="n">
        <v>3525414</v>
      </c>
      <c r="C12505" s="0" t="n">
        <v>3525434</v>
      </c>
      <c r="D12505" s="0" t="s">
        <v>41679</v>
      </c>
      <c r="E12505" s="0" t="s">
        <v>41680</v>
      </c>
      <c r="F12505" s="0" t="s">
        <v>90</v>
      </c>
      <c r="G12505" s="0" t="s">
        <v>32</v>
      </c>
      <c r="H12505" s="0" t="n">
        <v>103</v>
      </c>
      <c r="I12505" s="0" t="s">
        <v>41687</v>
      </c>
      <c r="J12505" s="0" t="s">
        <v>41688</v>
      </c>
      <c r="K12505" s="0" t="s">
        <v>41689</v>
      </c>
      <c r="L12505" s="0" t="str">
        <f aca="false">HYPERLINK("https://www.ncbi.nlm.nih.gov/nuccore/CP000304.1?report=graph&amp;tracks=[key:gene_model_track,Options:GeneOnly]&amp;mk=3525507:3525526|offset_11|444444,3525465:3525484|offset_53|444444,3525415:3525434|offset_103|00cc00,3525376:3525395|offset_142|444444&amp;v=3525306:3525595&amp;c=444444", "offset 103")</f>
        <v>offset 103</v>
      </c>
    </row>
    <row r="12506" customFormat="false" ht="12.8" hidden="false" customHeight="false" outlineLevel="0" collapsed="false">
      <c r="A12506" s="0" t="s">
        <v>12</v>
      </c>
      <c r="B12506" s="0" t="n">
        <v>3525375</v>
      </c>
      <c r="C12506" s="0" t="n">
        <v>3525395</v>
      </c>
      <c r="D12506" s="0" t="s">
        <v>41679</v>
      </c>
      <c r="E12506" s="0" t="s">
        <v>41680</v>
      </c>
      <c r="F12506" s="0" t="s">
        <v>90</v>
      </c>
      <c r="G12506" s="0" t="s">
        <v>36</v>
      </c>
      <c r="H12506" s="0" t="n">
        <v>142</v>
      </c>
      <c r="I12506" s="0" t="s">
        <v>41690</v>
      </c>
      <c r="J12506" s="0" t="s">
        <v>41691</v>
      </c>
      <c r="K12506" s="0" t="s">
        <v>41692</v>
      </c>
      <c r="L12506" s="0" t="str">
        <f aca="false">HYPERLINK("https://www.ncbi.nlm.nih.gov/nuccore/CP000304.1?report=graph&amp;tracks=[key:gene_model_track,Options:GeneOnly]&amp;mk=3525507:3525526|offset_11|444444,3525465:3525484|offset_53|444444,3525415:3525434|offset_103|444444,3525376:3525395|offset_142|00cc00&amp;v=3525306:3525595&amp;c=444444", "offset 142")</f>
        <v>offset 142</v>
      </c>
    </row>
    <row r="12507" customFormat="false" ht="12.8" hidden="false" customHeight="false" outlineLevel="0" collapsed="false">
      <c r="A12507" s="0" t="s">
        <v>12</v>
      </c>
      <c r="B12507" s="0" t="n">
        <v>3525940</v>
      </c>
      <c r="C12507" s="0" t="n">
        <v>3525960</v>
      </c>
      <c r="D12507" s="0" t="s">
        <v>41693</v>
      </c>
      <c r="E12507" s="0" t="s">
        <v>89</v>
      </c>
      <c r="F12507" s="0" t="s">
        <v>15</v>
      </c>
      <c r="G12507" s="0" t="s">
        <v>16</v>
      </c>
      <c r="H12507" s="0" t="n">
        <v>10</v>
      </c>
      <c r="I12507" s="0" t="s">
        <v>41694</v>
      </c>
      <c r="J12507" s="0" t="s">
        <v>41695</v>
      </c>
      <c r="K12507" s="0" t="s">
        <v>41696</v>
      </c>
      <c r="L12507" s="0" t="str">
        <f aca="false">HYPERLINK("https://www.ncbi.nlm.nih.gov/nuccore/CP000304.1?report=graph&amp;tracks=[key:gene_model_track,Options:GeneOnly]&amp;mk=3525941:3525960|offset_10|00cc00,3525996:3526015|offset_65|444444,3526022:3526041|offset_91|444444,3526055:3526074|offset_124|444444&amp;v=3525740:3526274&amp;c=444444", "offset 10")</f>
        <v>offset 10</v>
      </c>
    </row>
    <row r="12508" customFormat="false" ht="12.8" hidden="false" customHeight="false" outlineLevel="0" collapsed="false">
      <c r="A12508" s="0" t="s">
        <v>12</v>
      </c>
      <c r="B12508" s="0" t="n">
        <v>3525995</v>
      </c>
      <c r="C12508" s="0" t="n">
        <v>3526015</v>
      </c>
      <c r="D12508" s="0" t="s">
        <v>41693</v>
      </c>
      <c r="E12508" s="0" t="s">
        <v>89</v>
      </c>
      <c r="F12508" s="0" t="s">
        <v>15</v>
      </c>
      <c r="G12508" s="0" t="s">
        <v>26</v>
      </c>
      <c r="H12508" s="0" t="n">
        <v>65</v>
      </c>
      <c r="I12508" s="0" t="s">
        <v>41697</v>
      </c>
      <c r="J12508" s="0" t="s">
        <v>41698</v>
      </c>
      <c r="K12508" s="0" t="s">
        <v>41699</v>
      </c>
      <c r="L12508" s="0" t="str">
        <f aca="false">HYPERLINK("https://www.ncbi.nlm.nih.gov/nuccore/CP000304.1?report=graph&amp;tracks=[key:gene_model_track,Options:GeneOnly]&amp;mk=3525941:3525960|offset_10|444444,3525996:3526015|offset_65|00cc00,3526022:3526041|offset_91|444444,3526055:3526074|offset_124|444444&amp;v=3525740:3526274&amp;c=444444", "offset 65")</f>
        <v>offset 65</v>
      </c>
    </row>
    <row r="12509" customFormat="false" ht="12.8" hidden="false" customHeight="false" outlineLevel="0" collapsed="false">
      <c r="A12509" s="0" t="s">
        <v>12</v>
      </c>
      <c r="B12509" s="0" t="n">
        <v>3526021</v>
      </c>
      <c r="C12509" s="0" t="n">
        <v>3526041</v>
      </c>
      <c r="D12509" s="0" t="s">
        <v>41693</v>
      </c>
      <c r="E12509" s="0" t="s">
        <v>89</v>
      </c>
      <c r="F12509" s="0" t="s">
        <v>15</v>
      </c>
      <c r="G12509" s="0" t="s">
        <v>32</v>
      </c>
      <c r="H12509" s="0" t="n">
        <v>91</v>
      </c>
      <c r="I12509" s="0" t="s">
        <v>41700</v>
      </c>
      <c r="J12509" s="0" t="s">
        <v>41701</v>
      </c>
      <c r="K12509" s="0" t="s">
        <v>41702</v>
      </c>
      <c r="L12509" s="0" t="str">
        <f aca="false">HYPERLINK("https://www.ncbi.nlm.nih.gov/nuccore/CP000304.1?report=graph&amp;tracks=[key:gene_model_track,Options:GeneOnly]&amp;mk=3525941:3525960|offset_10|444444,3525996:3526015|offset_65|444444,3526022:3526041|offset_91|00cc00,3526055:3526074|offset_124|444444&amp;v=3525740:3526274&amp;c=444444", "offset 91")</f>
        <v>offset 91</v>
      </c>
    </row>
    <row r="12510" customFormat="false" ht="12.8" hidden="false" customHeight="false" outlineLevel="0" collapsed="false">
      <c r="A12510" s="0" t="s">
        <v>12</v>
      </c>
      <c r="B12510" s="0" t="n">
        <v>3526054</v>
      </c>
      <c r="C12510" s="0" t="n">
        <v>3526074</v>
      </c>
      <c r="D12510" s="0" t="s">
        <v>41693</v>
      </c>
      <c r="E12510" s="0" t="s">
        <v>89</v>
      </c>
      <c r="F12510" s="0" t="s">
        <v>15</v>
      </c>
      <c r="G12510" s="0" t="s">
        <v>36</v>
      </c>
      <c r="H12510" s="0" t="n">
        <v>124</v>
      </c>
      <c r="I12510" s="0" t="s">
        <v>41703</v>
      </c>
      <c r="J12510" s="0" t="s">
        <v>41704</v>
      </c>
      <c r="K12510" s="0" t="s">
        <v>41705</v>
      </c>
      <c r="L12510" s="0" t="str">
        <f aca="false">HYPERLINK("https://www.ncbi.nlm.nih.gov/nuccore/CP000304.1?report=graph&amp;tracks=[key:gene_model_track,Options:GeneOnly]&amp;mk=3525941:3525960|offset_10|444444,3525996:3526015|offset_65|444444,3526022:3526041|offset_91|444444,3526055:3526074|offset_124|00cc00&amp;v=3525740:3526274&amp;c=444444", "offset 124")</f>
        <v>offset 124</v>
      </c>
    </row>
    <row r="12511" customFormat="false" ht="12.8" hidden="false" customHeight="false" outlineLevel="0" collapsed="false">
      <c r="A12511" s="0" t="s">
        <v>12</v>
      </c>
      <c r="B12511" s="0" t="n">
        <v>3526733</v>
      </c>
      <c r="C12511" s="0" t="n">
        <v>3526753</v>
      </c>
      <c r="D12511" s="0" t="s">
        <v>41706</v>
      </c>
      <c r="E12511" s="0" t="s">
        <v>89</v>
      </c>
      <c r="F12511" s="0" t="s">
        <v>90</v>
      </c>
      <c r="G12511" s="0" t="s">
        <v>16</v>
      </c>
      <c r="H12511" s="0" t="n">
        <v>11</v>
      </c>
      <c r="I12511" s="0" t="s">
        <v>41707</v>
      </c>
      <c r="J12511" s="0" t="s">
        <v>41708</v>
      </c>
      <c r="K12511" s="0" t="s">
        <v>41709</v>
      </c>
      <c r="L12511" s="0" t="str">
        <f aca="false">HYPERLINK("https://www.ncbi.nlm.nih.gov/nuccore/CP000304.1?report=graph&amp;tracks=[key:gene_model_track,Options:GeneOnly]&amp;mk=3526734:3526753|offset_11|00cc00,3526655:3526674|offset_90|444444,3526625:3526644|offset_120|444444,3526575:3526594|offset_170|444444&amp;v=3526533:3526794&amp;c=444444", "offset 11")</f>
        <v>offset 11</v>
      </c>
    </row>
    <row r="12512" customFormat="false" ht="12.8" hidden="false" customHeight="false" outlineLevel="0" collapsed="false">
      <c r="A12512" s="0" t="s">
        <v>12</v>
      </c>
      <c r="B12512" s="0" t="n">
        <v>3526654</v>
      </c>
      <c r="C12512" s="0" t="n">
        <v>3526674</v>
      </c>
      <c r="D12512" s="0" t="s">
        <v>41706</v>
      </c>
      <c r="E12512" s="0" t="s">
        <v>89</v>
      </c>
      <c r="F12512" s="0" t="s">
        <v>90</v>
      </c>
      <c r="G12512" s="0" t="s">
        <v>16</v>
      </c>
      <c r="H12512" s="0" t="n">
        <v>90</v>
      </c>
      <c r="I12512" s="0" t="s">
        <v>41710</v>
      </c>
      <c r="J12512" s="0" t="s">
        <v>41711</v>
      </c>
      <c r="K12512" s="0" t="s">
        <v>41712</v>
      </c>
      <c r="L12512" s="0" t="str">
        <f aca="false">HYPERLINK("https://www.ncbi.nlm.nih.gov/nuccore/CP000304.1?report=graph&amp;tracks=[key:gene_model_track,Options:GeneOnly]&amp;mk=3526734:3526753|offset_11|444444,3526655:3526674|offset_90|00cc00,3526625:3526644|offset_120|444444,3526575:3526594|offset_170|444444&amp;v=3526533:3526794&amp;c=444444", "offset 90")</f>
        <v>offset 90</v>
      </c>
    </row>
    <row r="12513" customFormat="false" ht="12.8" hidden="false" customHeight="false" outlineLevel="0" collapsed="false">
      <c r="A12513" s="0" t="s">
        <v>12</v>
      </c>
      <c r="B12513" s="0" t="n">
        <v>3526624</v>
      </c>
      <c r="C12513" s="0" t="n">
        <v>3526644</v>
      </c>
      <c r="D12513" s="0" t="s">
        <v>41706</v>
      </c>
      <c r="E12513" s="0" t="s">
        <v>89</v>
      </c>
      <c r="F12513" s="0" t="s">
        <v>90</v>
      </c>
      <c r="G12513" s="0" t="s">
        <v>16</v>
      </c>
      <c r="H12513" s="0" t="n">
        <v>120</v>
      </c>
      <c r="I12513" s="0" t="s">
        <v>41713</v>
      </c>
      <c r="J12513" s="0" t="s">
        <v>41714</v>
      </c>
      <c r="K12513" s="0" t="s">
        <v>41715</v>
      </c>
      <c r="L12513" s="0" t="str">
        <f aca="false">HYPERLINK("https://www.ncbi.nlm.nih.gov/nuccore/CP000304.1?report=graph&amp;tracks=[key:gene_model_track,Options:GeneOnly]&amp;mk=3526734:3526753|offset_11|444444,3526655:3526674|offset_90|444444,3526625:3526644|offset_120|00cc00,3526575:3526594|offset_170|444444&amp;v=3526533:3526794&amp;c=444444", "offset 120")</f>
        <v>offset 120</v>
      </c>
    </row>
    <row r="12514" customFormat="false" ht="12.8" hidden="false" customHeight="false" outlineLevel="0" collapsed="false">
      <c r="A12514" s="0" t="s">
        <v>12</v>
      </c>
      <c r="B12514" s="0" t="n">
        <v>3526574</v>
      </c>
      <c r="C12514" s="0" t="n">
        <v>3526594</v>
      </c>
      <c r="D12514" s="0" t="s">
        <v>41706</v>
      </c>
      <c r="E12514" s="0" t="s">
        <v>89</v>
      </c>
      <c r="F12514" s="0" t="s">
        <v>90</v>
      </c>
      <c r="G12514" s="0" t="s">
        <v>26</v>
      </c>
      <c r="H12514" s="0" t="n">
        <v>170</v>
      </c>
      <c r="I12514" s="0" t="s">
        <v>41716</v>
      </c>
      <c r="J12514" s="0" t="s">
        <v>41717</v>
      </c>
      <c r="K12514" s="0" t="s">
        <v>41718</v>
      </c>
      <c r="L12514" s="0" t="str">
        <f aca="false">HYPERLINK("https://www.ncbi.nlm.nih.gov/nuccore/CP000304.1?report=graph&amp;tracks=[key:gene_model_track,Options:GeneOnly]&amp;mk=3526734:3526753|offset_11|444444,3526655:3526674|offset_90|444444,3526625:3526644|offset_120|444444,3526575:3526594|offset_170|00cc00&amp;v=3526533:3526794&amp;c=444444", "offset 170")</f>
        <v>offset 170</v>
      </c>
    </row>
    <row r="12515" customFormat="false" ht="12.8" hidden="false" customHeight="false" outlineLevel="0" collapsed="false">
      <c r="A12515" s="0" t="s">
        <v>12</v>
      </c>
      <c r="B12515" s="0" t="n">
        <v>3527404</v>
      </c>
      <c r="C12515" s="0" t="n">
        <v>3527424</v>
      </c>
      <c r="D12515" s="0" t="s">
        <v>41719</v>
      </c>
      <c r="E12515" s="0" t="s">
        <v>89</v>
      </c>
      <c r="F12515" s="0" t="s">
        <v>90</v>
      </c>
      <c r="G12515" s="0" t="s">
        <v>16</v>
      </c>
      <c r="H12515" s="0" t="n">
        <v>8</v>
      </c>
      <c r="I12515" s="0" t="s">
        <v>41720</v>
      </c>
      <c r="J12515" s="0" t="s">
        <v>41721</v>
      </c>
      <c r="K12515" s="0" t="s">
        <v>41722</v>
      </c>
      <c r="L12515" s="0" t="str">
        <f aca="false">HYPERLINK("https://www.ncbi.nlm.nih.gov/nuccore/CP000304.1?report=graph&amp;tracks=[key:gene_model_track,Options:GeneOnly]&amp;mk=3527405:3527424|offset_8|00cc00,3527379:3527398|offset_34|444444,3527352:3527371|offset_61|444444,3527329:3527348|offset_84|444444&amp;v=3527204:3527548&amp;c=444444", "offset 8")</f>
        <v>offset 8</v>
      </c>
    </row>
    <row r="12516" customFormat="false" ht="12.8" hidden="false" customHeight="false" outlineLevel="0" collapsed="false">
      <c r="A12516" s="0" t="s">
        <v>12</v>
      </c>
      <c r="B12516" s="0" t="n">
        <v>3527378</v>
      </c>
      <c r="C12516" s="0" t="n">
        <v>3527398</v>
      </c>
      <c r="D12516" s="0" t="s">
        <v>41719</v>
      </c>
      <c r="E12516" s="0" t="s">
        <v>89</v>
      </c>
      <c r="F12516" s="0" t="s">
        <v>90</v>
      </c>
      <c r="G12516" s="0" t="s">
        <v>16</v>
      </c>
      <c r="H12516" s="0" t="n">
        <v>34</v>
      </c>
      <c r="I12516" s="0" t="s">
        <v>41723</v>
      </c>
      <c r="J12516" s="0" t="s">
        <v>41724</v>
      </c>
      <c r="K12516" s="0" t="s">
        <v>41725</v>
      </c>
      <c r="L12516" s="0" t="str">
        <f aca="false">HYPERLINK("https://www.ncbi.nlm.nih.gov/nuccore/CP000304.1?report=graph&amp;tracks=[key:gene_model_track,Options:GeneOnly]&amp;mk=3527405:3527424|offset_8|444444,3527379:3527398|offset_34|00cc00,3527352:3527371|offset_61|444444,3527329:3527348|offset_84|444444&amp;v=3527204:3527548&amp;c=444444", "offset 34")</f>
        <v>offset 34</v>
      </c>
    </row>
    <row r="12517" customFormat="false" ht="12.8" hidden="false" customHeight="false" outlineLevel="0" collapsed="false">
      <c r="A12517" s="0" t="s">
        <v>12</v>
      </c>
      <c r="B12517" s="0" t="n">
        <v>3527351</v>
      </c>
      <c r="C12517" s="0" t="n">
        <v>3527371</v>
      </c>
      <c r="D12517" s="0" t="s">
        <v>41719</v>
      </c>
      <c r="E12517" s="0" t="s">
        <v>89</v>
      </c>
      <c r="F12517" s="0" t="s">
        <v>90</v>
      </c>
      <c r="G12517" s="0" t="s">
        <v>32</v>
      </c>
      <c r="H12517" s="0" t="n">
        <v>61</v>
      </c>
      <c r="I12517" s="0" t="s">
        <v>41726</v>
      </c>
      <c r="J12517" s="0" t="s">
        <v>41727</v>
      </c>
      <c r="K12517" s="0" t="s">
        <v>41728</v>
      </c>
      <c r="L12517" s="0" t="str">
        <f aca="false">HYPERLINK("https://www.ncbi.nlm.nih.gov/nuccore/CP000304.1?report=graph&amp;tracks=[key:gene_model_track,Options:GeneOnly]&amp;mk=3527405:3527424|offset_8|444444,3527379:3527398|offset_34|444444,3527352:3527371|offset_61|00cc00,3527329:3527348|offset_84|444444&amp;v=3527204:3527548&amp;c=444444", "offset 61")</f>
        <v>offset 61</v>
      </c>
    </row>
    <row r="12518" customFormat="false" ht="12.8" hidden="false" customHeight="false" outlineLevel="0" collapsed="false">
      <c r="A12518" s="0" t="s">
        <v>12</v>
      </c>
      <c r="B12518" s="0" t="n">
        <v>3527328</v>
      </c>
      <c r="C12518" s="0" t="n">
        <v>3527348</v>
      </c>
      <c r="D12518" s="0" t="s">
        <v>41719</v>
      </c>
      <c r="E12518" s="0" t="s">
        <v>89</v>
      </c>
      <c r="F12518" s="0" t="s">
        <v>90</v>
      </c>
      <c r="G12518" s="0" t="s">
        <v>36</v>
      </c>
      <c r="H12518" s="0" t="n">
        <v>84</v>
      </c>
      <c r="I12518" s="0" t="s">
        <v>41729</v>
      </c>
      <c r="J12518" s="0" t="s">
        <v>41730</v>
      </c>
      <c r="K12518" s="0" t="s">
        <v>41731</v>
      </c>
      <c r="L12518" s="0" t="str">
        <f aca="false">HYPERLINK("https://www.ncbi.nlm.nih.gov/nuccore/CP000304.1?report=graph&amp;tracks=[key:gene_model_track,Options:GeneOnly]&amp;mk=3527405:3527424|offset_8|444444,3527379:3527398|offset_34|444444,3527352:3527371|offset_61|444444,3527329:3527348|offset_84|00cc00&amp;v=3527204:3527548&amp;c=444444", "offset 84")</f>
        <v>offset 84</v>
      </c>
    </row>
    <row r="12519" customFormat="false" ht="12.8" hidden="false" customHeight="false" outlineLevel="0" collapsed="false">
      <c r="A12519" s="0" t="s">
        <v>12</v>
      </c>
      <c r="B12519" s="0" t="n">
        <v>3529832</v>
      </c>
      <c r="C12519" s="0" t="n">
        <v>3529852</v>
      </c>
      <c r="D12519" s="0" t="s">
        <v>41732</v>
      </c>
      <c r="E12519" s="0" t="s">
        <v>41733</v>
      </c>
      <c r="F12519" s="0" t="s">
        <v>90</v>
      </c>
      <c r="G12519" s="0" t="s">
        <v>32</v>
      </c>
      <c r="H12519" s="0" t="n">
        <v>1</v>
      </c>
      <c r="I12519" s="0" t="s">
        <v>41734</v>
      </c>
      <c r="J12519" s="0" t="s">
        <v>41735</v>
      </c>
      <c r="K12519" s="0" t="s">
        <v>41736</v>
      </c>
      <c r="L12519" s="0" t="str">
        <f aca="false">HYPERLINK("https://www.ncbi.nlm.nih.gov/nuccore/CP000304.1?report=graph&amp;tracks=[key:gene_model_track,Options:GeneOnly]&amp;mk=3529833:3529852|offset_1|00cc00,3529813:3529832|offset_21|444444,3529793:3529812|offset_41|444444,3529773:3529792|offset_61|444444&amp;v=3529632:3529992&amp;c=444444", "offset 1")</f>
        <v>offset 1</v>
      </c>
    </row>
    <row r="12520" customFormat="false" ht="12.8" hidden="false" customHeight="false" outlineLevel="0" collapsed="false">
      <c r="A12520" s="0" t="s">
        <v>12</v>
      </c>
      <c r="B12520" s="0" t="n">
        <v>3529812</v>
      </c>
      <c r="C12520" s="0" t="n">
        <v>3529832</v>
      </c>
      <c r="D12520" s="0" t="s">
        <v>41732</v>
      </c>
      <c r="E12520" s="0" t="s">
        <v>41733</v>
      </c>
      <c r="F12520" s="0" t="s">
        <v>90</v>
      </c>
      <c r="G12520" s="0" t="s">
        <v>36</v>
      </c>
      <c r="H12520" s="0" t="n">
        <v>21</v>
      </c>
      <c r="I12520" s="0" t="s">
        <v>41737</v>
      </c>
      <c r="J12520" s="0" t="s">
        <v>41738</v>
      </c>
      <c r="K12520" s="0" t="s">
        <v>41739</v>
      </c>
      <c r="L12520" s="0" t="str">
        <f aca="false">HYPERLINK("https://www.ncbi.nlm.nih.gov/nuccore/CP000304.1?report=graph&amp;tracks=[key:gene_model_track,Options:GeneOnly]&amp;mk=3529833:3529852|offset_1|444444,3529813:3529832|offset_21|00cc00,3529793:3529812|offset_41|444444,3529773:3529792|offset_61|444444&amp;v=3529632:3529992&amp;c=444444", "offset 21")</f>
        <v>offset 21</v>
      </c>
    </row>
    <row r="12521" customFormat="false" ht="12.8" hidden="false" customHeight="false" outlineLevel="0" collapsed="false">
      <c r="A12521" s="0" t="s">
        <v>12</v>
      </c>
      <c r="B12521" s="0" t="n">
        <v>3529792</v>
      </c>
      <c r="C12521" s="0" t="n">
        <v>3529812</v>
      </c>
      <c r="D12521" s="0" t="s">
        <v>41732</v>
      </c>
      <c r="E12521" s="0" t="s">
        <v>41733</v>
      </c>
      <c r="F12521" s="0" t="s">
        <v>90</v>
      </c>
      <c r="G12521" s="0" t="s">
        <v>16</v>
      </c>
      <c r="H12521" s="0" t="n">
        <v>41</v>
      </c>
      <c r="I12521" s="0" t="s">
        <v>41740</v>
      </c>
      <c r="J12521" s="0" t="s">
        <v>41741</v>
      </c>
      <c r="K12521" s="0" t="s">
        <v>41742</v>
      </c>
      <c r="L12521" s="0" t="str">
        <f aca="false">HYPERLINK("https://www.ncbi.nlm.nih.gov/nuccore/CP000304.1?report=graph&amp;tracks=[key:gene_model_track,Options:GeneOnly]&amp;mk=3529833:3529852|offset_1|444444,3529813:3529832|offset_21|444444,3529793:3529812|offset_41|00cc00,3529773:3529792|offset_61|444444&amp;v=3529632:3529992&amp;c=444444", "offset 41")</f>
        <v>offset 41</v>
      </c>
    </row>
    <row r="12522" customFormat="false" ht="12.8" hidden="false" customHeight="false" outlineLevel="0" collapsed="false">
      <c r="A12522" s="0" t="s">
        <v>12</v>
      </c>
      <c r="B12522" s="0" t="n">
        <v>3529772</v>
      </c>
      <c r="C12522" s="0" t="n">
        <v>3529792</v>
      </c>
      <c r="D12522" s="0" t="s">
        <v>41732</v>
      </c>
      <c r="E12522" s="0" t="s">
        <v>41733</v>
      </c>
      <c r="F12522" s="0" t="s">
        <v>90</v>
      </c>
      <c r="G12522" s="0" t="s">
        <v>26</v>
      </c>
      <c r="H12522" s="0" t="n">
        <v>61</v>
      </c>
      <c r="I12522" s="0" t="s">
        <v>41743</v>
      </c>
      <c r="J12522" s="0" t="s">
        <v>41744</v>
      </c>
      <c r="K12522" s="0" t="s">
        <v>41745</v>
      </c>
      <c r="L12522" s="0" t="str">
        <f aca="false">HYPERLINK("https://www.ncbi.nlm.nih.gov/nuccore/CP000304.1?report=graph&amp;tracks=[key:gene_model_track,Options:GeneOnly]&amp;mk=3529833:3529852|offset_1|444444,3529813:3529832|offset_21|444444,3529793:3529812|offset_41|444444,3529773:3529792|offset_61|00cc00&amp;v=3529632:3529992&amp;c=444444", "offset 61")</f>
        <v>offset 61</v>
      </c>
    </row>
    <row r="12523" customFormat="false" ht="12.8" hidden="false" customHeight="false" outlineLevel="0" collapsed="false">
      <c r="A12523" s="0" t="s">
        <v>12</v>
      </c>
      <c r="B12523" s="0" t="n">
        <v>3529937</v>
      </c>
      <c r="C12523" s="0" t="n">
        <v>3529957</v>
      </c>
      <c r="D12523" s="0" t="s">
        <v>41746</v>
      </c>
      <c r="E12523" s="0" t="s">
        <v>89</v>
      </c>
      <c r="F12523" s="0" t="s">
        <v>15</v>
      </c>
      <c r="G12523" s="0" t="s">
        <v>16</v>
      </c>
      <c r="H12523" s="0" t="n">
        <v>6</v>
      </c>
      <c r="I12523" s="0" t="s">
        <v>41747</v>
      </c>
      <c r="J12523" s="0" t="s">
        <v>41748</v>
      </c>
      <c r="K12523" s="0" t="s">
        <v>41749</v>
      </c>
      <c r="L12523" s="0" t="str">
        <f aca="false">HYPERLINK("https://www.ncbi.nlm.nih.gov/nuccore/CP000304.1?report=graph&amp;tracks=[key:gene_model_track,Options:GeneOnly]&amp;mk=3529938:3529957|offset_6|00cc00,3529985:3530004|offset_53|444444,3530014:3530033|offset_82|444444,3530035:3530054|offset_103|444444&amp;v=3529737:3530254&amp;c=444444", "offset 6")</f>
        <v>offset 6</v>
      </c>
    </row>
    <row r="12524" customFormat="false" ht="12.8" hidden="false" customHeight="false" outlineLevel="0" collapsed="false">
      <c r="A12524" s="0" t="s">
        <v>12</v>
      </c>
      <c r="B12524" s="0" t="n">
        <v>3529984</v>
      </c>
      <c r="C12524" s="0" t="n">
        <v>3530004</v>
      </c>
      <c r="D12524" s="0" t="s">
        <v>41746</v>
      </c>
      <c r="E12524" s="0" t="s">
        <v>89</v>
      </c>
      <c r="F12524" s="0" t="s">
        <v>15</v>
      </c>
      <c r="G12524" s="0" t="s">
        <v>36</v>
      </c>
      <c r="H12524" s="0" t="n">
        <v>53</v>
      </c>
      <c r="I12524" s="0" t="s">
        <v>41750</v>
      </c>
      <c r="J12524" s="0" t="s">
        <v>41751</v>
      </c>
      <c r="K12524" s="0" t="s">
        <v>41752</v>
      </c>
      <c r="L12524" s="0" t="str">
        <f aca="false">HYPERLINK("https://www.ncbi.nlm.nih.gov/nuccore/CP000304.1?report=graph&amp;tracks=[key:gene_model_track,Options:GeneOnly]&amp;mk=3529938:3529957|offset_6|444444,3529985:3530004|offset_53|00cc00,3530014:3530033|offset_82|444444,3530035:3530054|offset_103|444444&amp;v=3529737:3530254&amp;c=444444", "offset 53")</f>
        <v>offset 53</v>
      </c>
    </row>
    <row r="12525" customFormat="false" ht="12.8" hidden="false" customHeight="false" outlineLevel="0" collapsed="false">
      <c r="A12525" s="0" t="s">
        <v>12</v>
      </c>
      <c r="B12525" s="0" t="n">
        <v>3530013</v>
      </c>
      <c r="C12525" s="0" t="n">
        <v>3530033</v>
      </c>
      <c r="D12525" s="0" t="s">
        <v>41746</v>
      </c>
      <c r="E12525" s="0" t="s">
        <v>89</v>
      </c>
      <c r="F12525" s="0" t="s">
        <v>15</v>
      </c>
      <c r="G12525" s="0" t="s">
        <v>16</v>
      </c>
      <c r="H12525" s="0" t="n">
        <v>82</v>
      </c>
      <c r="I12525" s="0" t="s">
        <v>41753</v>
      </c>
      <c r="J12525" s="0" t="s">
        <v>41754</v>
      </c>
      <c r="K12525" s="0" t="s">
        <v>41755</v>
      </c>
      <c r="L12525" s="0" t="str">
        <f aca="false">HYPERLINK("https://www.ncbi.nlm.nih.gov/nuccore/CP000304.1?report=graph&amp;tracks=[key:gene_model_track,Options:GeneOnly]&amp;mk=3529938:3529957|offset_6|444444,3529985:3530004|offset_53|444444,3530014:3530033|offset_82|00cc00,3530035:3530054|offset_103|444444&amp;v=3529737:3530254&amp;c=444444", "offset 82")</f>
        <v>offset 82</v>
      </c>
    </row>
    <row r="12526" customFormat="false" ht="12.8" hidden="false" customHeight="false" outlineLevel="0" collapsed="false">
      <c r="A12526" s="0" t="s">
        <v>12</v>
      </c>
      <c r="B12526" s="0" t="n">
        <v>3530034</v>
      </c>
      <c r="C12526" s="0" t="n">
        <v>3530054</v>
      </c>
      <c r="D12526" s="0" t="s">
        <v>41746</v>
      </c>
      <c r="E12526" s="0" t="s">
        <v>89</v>
      </c>
      <c r="F12526" s="0" t="s">
        <v>15</v>
      </c>
      <c r="G12526" s="0" t="s">
        <v>16</v>
      </c>
      <c r="H12526" s="0" t="n">
        <v>103</v>
      </c>
      <c r="I12526" s="0" t="s">
        <v>41756</v>
      </c>
      <c r="J12526" s="0" t="s">
        <v>41757</v>
      </c>
      <c r="K12526" s="0" t="s">
        <v>41758</v>
      </c>
      <c r="L12526" s="0" t="str">
        <f aca="false">HYPERLINK("https://www.ncbi.nlm.nih.gov/nuccore/CP000304.1?report=graph&amp;tracks=[key:gene_model_track,Options:GeneOnly]&amp;mk=3529938:3529957|offset_6|444444,3529985:3530004|offset_53|444444,3530014:3530033|offset_82|444444,3530035:3530054|offset_103|00cc00&amp;v=3529737:3530254&amp;c=444444", "offset 103")</f>
        <v>offset 103</v>
      </c>
    </row>
    <row r="12527" customFormat="false" ht="12.8" hidden="false" customHeight="false" outlineLevel="0" collapsed="false">
      <c r="A12527" s="0" t="s">
        <v>12</v>
      </c>
      <c r="B12527" s="0" t="n">
        <v>3531647</v>
      </c>
      <c r="C12527" s="0" t="n">
        <v>3531667</v>
      </c>
      <c r="D12527" s="0" t="s">
        <v>41759</v>
      </c>
      <c r="E12527" s="0" t="s">
        <v>89</v>
      </c>
      <c r="F12527" s="0" t="s">
        <v>15</v>
      </c>
      <c r="G12527" s="0" t="s">
        <v>26</v>
      </c>
      <c r="H12527" s="0" t="n">
        <v>6</v>
      </c>
      <c r="I12527" s="0" t="s">
        <v>41760</v>
      </c>
      <c r="J12527" s="0" t="s">
        <v>41761</v>
      </c>
      <c r="K12527" s="0" t="s">
        <v>41762</v>
      </c>
      <c r="L12527" s="0" t="str">
        <f aca="false">HYPERLINK("https://www.ncbi.nlm.nih.gov/nuccore/CP000304.1?report=graph&amp;tracks=[key:gene_model_track,Options:GeneOnly]&amp;mk=3531648:3531667|offset_6|00cc00,3531668:3531687|offset_26|444444,3531706:3531725|offset_64|444444,3531727:3531746|offset_85|444444&amp;v=3531447:3531946&amp;c=444444", "offset 6")</f>
        <v>offset 6</v>
      </c>
    </row>
    <row r="12528" customFormat="false" ht="12.8" hidden="false" customHeight="false" outlineLevel="0" collapsed="false">
      <c r="A12528" s="0" t="s">
        <v>12</v>
      </c>
      <c r="B12528" s="0" t="n">
        <v>3531667</v>
      </c>
      <c r="C12528" s="0" t="n">
        <v>3531687</v>
      </c>
      <c r="D12528" s="0" t="s">
        <v>41759</v>
      </c>
      <c r="E12528" s="0" t="s">
        <v>89</v>
      </c>
      <c r="F12528" s="0" t="s">
        <v>15</v>
      </c>
      <c r="G12528" s="0" t="s">
        <v>16</v>
      </c>
      <c r="H12528" s="0" t="n">
        <v>26</v>
      </c>
      <c r="I12528" s="0" t="s">
        <v>41763</v>
      </c>
      <c r="J12528" s="0" t="s">
        <v>41764</v>
      </c>
      <c r="K12528" s="0" t="s">
        <v>41765</v>
      </c>
      <c r="L12528" s="0" t="str">
        <f aca="false">HYPERLINK("https://www.ncbi.nlm.nih.gov/nuccore/CP000304.1?report=graph&amp;tracks=[key:gene_model_track,Options:GeneOnly]&amp;mk=3531648:3531667|offset_6|444444,3531668:3531687|offset_26|00cc00,3531706:3531725|offset_64|444444,3531727:3531746|offset_85|444444&amp;v=3531447:3531946&amp;c=444444", "offset 26")</f>
        <v>offset 26</v>
      </c>
    </row>
    <row r="12529" customFormat="false" ht="12.8" hidden="false" customHeight="false" outlineLevel="0" collapsed="false">
      <c r="A12529" s="0" t="s">
        <v>12</v>
      </c>
      <c r="B12529" s="0" t="n">
        <v>3531705</v>
      </c>
      <c r="C12529" s="0" t="n">
        <v>3531725</v>
      </c>
      <c r="D12529" s="0" t="s">
        <v>41759</v>
      </c>
      <c r="E12529" s="0" t="s">
        <v>89</v>
      </c>
      <c r="F12529" s="0" t="s">
        <v>15</v>
      </c>
      <c r="G12529" s="0" t="s">
        <v>32</v>
      </c>
      <c r="H12529" s="0" t="n">
        <v>64</v>
      </c>
      <c r="I12529" s="0" t="s">
        <v>41766</v>
      </c>
      <c r="J12529" s="0" t="s">
        <v>41767</v>
      </c>
      <c r="K12529" s="0" t="s">
        <v>41768</v>
      </c>
      <c r="L12529" s="0" t="str">
        <f aca="false">HYPERLINK("https://www.ncbi.nlm.nih.gov/nuccore/CP000304.1?report=graph&amp;tracks=[key:gene_model_track,Options:GeneOnly]&amp;mk=3531648:3531667|offset_6|444444,3531668:3531687|offset_26|444444,3531706:3531725|offset_64|00cc00,3531727:3531746|offset_85|444444&amp;v=3531447:3531946&amp;c=444444", "offset 64")</f>
        <v>offset 64</v>
      </c>
    </row>
    <row r="12530" customFormat="false" ht="12.8" hidden="false" customHeight="false" outlineLevel="0" collapsed="false">
      <c r="A12530" s="0" t="s">
        <v>12</v>
      </c>
      <c r="B12530" s="0" t="n">
        <v>3531726</v>
      </c>
      <c r="C12530" s="0" t="n">
        <v>3531746</v>
      </c>
      <c r="D12530" s="0" t="s">
        <v>41759</v>
      </c>
      <c r="E12530" s="0" t="s">
        <v>89</v>
      </c>
      <c r="F12530" s="0" t="s">
        <v>15</v>
      </c>
      <c r="G12530" s="0" t="s">
        <v>36</v>
      </c>
      <c r="H12530" s="0" t="n">
        <v>85</v>
      </c>
      <c r="I12530" s="0" t="s">
        <v>41769</v>
      </c>
      <c r="J12530" s="0" t="s">
        <v>41770</v>
      </c>
      <c r="K12530" s="0" t="s">
        <v>41771</v>
      </c>
      <c r="L12530" s="0" t="str">
        <f aca="false">HYPERLINK("https://www.ncbi.nlm.nih.gov/nuccore/CP000304.1?report=graph&amp;tracks=[key:gene_model_track,Options:GeneOnly]&amp;mk=3531648:3531667|offset_6|444444,3531668:3531687|offset_26|444444,3531706:3531725|offset_64|444444,3531727:3531746|offset_85|00cc00&amp;v=3531447:3531946&amp;c=444444", "offset 85")</f>
        <v>offset 85</v>
      </c>
    </row>
    <row r="12531" customFormat="false" ht="12.8" hidden="false" customHeight="false" outlineLevel="0" collapsed="false">
      <c r="A12531" s="0" t="s">
        <v>12</v>
      </c>
      <c r="B12531" s="0" t="n">
        <v>3532449</v>
      </c>
      <c r="C12531" s="0" t="n">
        <v>3532469</v>
      </c>
      <c r="D12531" s="0" t="s">
        <v>41772</v>
      </c>
      <c r="E12531" s="0" t="s">
        <v>89</v>
      </c>
      <c r="F12531" s="0" t="s">
        <v>15</v>
      </c>
      <c r="G12531" s="0" t="s">
        <v>32</v>
      </c>
      <c r="H12531" s="0" t="n">
        <v>1</v>
      </c>
      <c r="I12531" s="0" t="s">
        <v>41773</v>
      </c>
      <c r="J12531" s="0" t="s">
        <v>41774</v>
      </c>
      <c r="K12531" s="0" t="s">
        <v>41775</v>
      </c>
      <c r="L12531" s="0" t="str">
        <f aca="false">HYPERLINK("https://www.ncbi.nlm.nih.gov/nuccore/CP000304.1?report=graph&amp;tracks=[key:gene_model_track,Options:GeneOnly]&amp;mk=3532450:3532469|offset_1|00cc00,3532475:3532494|offset_26|444444,3532523:3532542|offset_74|444444,3532544:3532563|offset_95|444444&amp;v=3532249:3532763&amp;c=444444", "offset 1")</f>
        <v>offset 1</v>
      </c>
    </row>
    <row r="12532" customFormat="false" ht="12.8" hidden="false" customHeight="false" outlineLevel="0" collapsed="false">
      <c r="A12532" s="0" t="s">
        <v>12</v>
      </c>
      <c r="B12532" s="0" t="n">
        <v>3532474</v>
      </c>
      <c r="C12532" s="0" t="n">
        <v>3532494</v>
      </c>
      <c r="D12532" s="0" t="s">
        <v>41772</v>
      </c>
      <c r="E12532" s="0" t="s">
        <v>89</v>
      </c>
      <c r="F12532" s="0" t="s">
        <v>15</v>
      </c>
      <c r="G12532" s="0" t="s">
        <v>16</v>
      </c>
      <c r="H12532" s="0" t="n">
        <v>26</v>
      </c>
      <c r="I12532" s="0" t="s">
        <v>41776</v>
      </c>
      <c r="J12532" s="0" t="s">
        <v>41777</v>
      </c>
      <c r="K12532" s="0" t="s">
        <v>41778</v>
      </c>
      <c r="L12532" s="0" t="str">
        <f aca="false">HYPERLINK("https://www.ncbi.nlm.nih.gov/nuccore/CP000304.1?report=graph&amp;tracks=[key:gene_model_track,Options:GeneOnly]&amp;mk=3532450:3532469|offset_1|444444,3532475:3532494|offset_26|00cc00,3532523:3532542|offset_74|444444,3532544:3532563|offset_95|444444&amp;v=3532249:3532763&amp;c=444444", "offset 26")</f>
        <v>offset 26</v>
      </c>
    </row>
    <row r="12533" customFormat="false" ht="12.8" hidden="false" customHeight="false" outlineLevel="0" collapsed="false">
      <c r="A12533" s="0" t="s">
        <v>12</v>
      </c>
      <c r="B12533" s="0" t="n">
        <v>3532522</v>
      </c>
      <c r="C12533" s="0" t="n">
        <v>3532542</v>
      </c>
      <c r="D12533" s="0" t="s">
        <v>41772</v>
      </c>
      <c r="E12533" s="0" t="s">
        <v>89</v>
      </c>
      <c r="F12533" s="0" t="s">
        <v>15</v>
      </c>
      <c r="G12533" s="0" t="s">
        <v>32</v>
      </c>
      <c r="H12533" s="0" t="n">
        <v>74</v>
      </c>
      <c r="I12533" s="0" t="s">
        <v>41779</v>
      </c>
      <c r="J12533" s="0" t="s">
        <v>41780</v>
      </c>
      <c r="K12533" s="0" t="s">
        <v>41781</v>
      </c>
      <c r="L12533" s="0" t="str">
        <f aca="false">HYPERLINK("https://www.ncbi.nlm.nih.gov/nuccore/CP000304.1?report=graph&amp;tracks=[key:gene_model_track,Options:GeneOnly]&amp;mk=3532450:3532469|offset_1|444444,3532475:3532494|offset_26|444444,3532523:3532542|offset_74|00cc00,3532544:3532563|offset_95|444444&amp;v=3532249:3532763&amp;c=444444", "offset 74")</f>
        <v>offset 74</v>
      </c>
    </row>
    <row r="12534" customFormat="false" ht="12.8" hidden="false" customHeight="false" outlineLevel="0" collapsed="false">
      <c r="A12534" s="0" t="s">
        <v>12</v>
      </c>
      <c r="B12534" s="0" t="n">
        <v>3532543</v>
      </c>
      <c r="C12534" s="0" t="n">
        <v>3532563</v>
      </c>
      <c r="D12534" s="0" t="s">
        <v>41772</v>
      </c>
      <c r="E12534" s="0" t="s">
        <v>89</v>
      </c>
      <c r="F12534" s="0" t="s">
        <v>15</v>
      </c>
      <c r="G12534" s="0" t="s">
        <v>16</v>
      </c>
      <c r="H12534" s="0" t="n">
        <v>95</v>
      </c>
      <c r="I12534" s="0" t="s">
        <v>41782</v>
      </c>
      <c r="J12534" s="0" t="s">
        <v>41783</v>
      </c>
      <c r="K12534" s="0" t="s">
        <v>41784</v>
      </c>
      <c r="L12534" s="0" t="str">
        <f aca="false">HYPERLINK("https://www.ncbi.nlm.nih.gov/nuccore/CP000304.1?report=graph&amp;tracks=[key:gene_model_track,Options:GeneOnly]&amp;mk=3532450:3532469|offset_1|444444,3532475:3532494|offset_26|444444,3532523:3532542|offset_74|444444,3532544:3532563|offset_95|00cc00&amp;v=3532249:3532763&amp;c=444444", "offset 95")</f>
        <v>offset 95</v>
      </c>
    </row>
    <row r="12535" customFormat="false" ht="12.8" hidden="false" customHeight="false" outlineLevel="0" collapsed="false">
      <c r="A12535" s="0" t="s">
        <v>12</v>
      </c>
      <c r="B12535" s="0" t="n">
        <v>3532756</v>
      </c>
      <c r="C12535" s="0" t="n">
        <v>3532776</v>
      </c>
      <c r="D12535" s="0" t="s">
        <v>41785</v>
      </c>
      <c r="E12535" s="0" t="s">
        <v>89</v>
      </c>
      <c r="F12535" s="0" t="s">
        <v>15</v>
      </c>
      <c r="G12535" s="0" t="s">
        <v>36</v>
      </c>
      <c r="H12535" s="0" t="n">
        <v>19</v>
      </c>
      <c r="I12535" s="0" t="s">
        <v>41786</v>
      </c>
      <c r="J12535" s="0" t="s">
        <v>41787</v>
      </c>
      <c r="K12535" s="0" t="s">
        <v>41788</v>
      </c>
      <c r="L12535" s="0" t="str">
        <f aca="false">HYPERLINK("https://www.ncbi.nlm.nih.gov/nuccore/CP000304.1?report=graph&amp;tracks=[key:gene_model_track,Options:GeneOnly]&amp;mk=3532757:3532776|offset_19|00cc00,3532778:3532797|offset_40|444444,3532803:3532822|offset_65|444444,3532823:3532842|offset_85|444444&amp;v=3532556:3533042&amp;c=444444", "offset 19")</f>
        <v>offset 19</v>
      </c>
    </row>
    <row r="12536" customFormat="false" ht="12.8" hidden="false" customHeight="false" outlineLevel="0" collapsed="false">
      <c r="A12536" s="0" t="s">
        <v>12</v>
      </c>
      <c r="B12536" s="0" t="n">
        <v>3532777</v>
      </c>
      <c r="C12536" s="0" t="n">
        <v>3532797</v>
      </c>
      <c r="D12536" s="0" t="s">
        <v>41785</v>
      </c>
      <c r="E12536" s="0" t="s">
        <v>89</v>
      </c>
      <c r="F12536" s="0" t="s">
        <v>15</v>
      </c>
      <c r="G12536" s="0" t="s">
        <v>16</v>
      </c>
      <c r="H12536" s="0" t="n">
        <v>40</v>
      </c>
      <c r="I12536" s="0" t="s">
        <v>41789</v>
      </c>
      <c r="J12536" s="0" t="s">
        <v>41790</v>
      </c>
      <c r="K12536" s="0" t="s">
        <v>41791</v>
      </c>
      <c r="L12536" s="0" t="str">
        <f aca="false">HYPERLINK("https://www.ncbi.nlm.nih.gov/nuccore/CP000304.1?report=graph&amp;tracks=[key:gene_model_track,Options:GeneOnly]&amp;mk=3532757:3532776|offset_19|444444,3532778:3532797|offset_40|00cc00,3532803:3532822|offset_65|444444,3532823:3532842|offset_85|444444&amp;v=3532556:3533042&amp;c=444444", "offset 40")</f>
        <v>offset 40</v>
      </c>
    </row>
    <row r="12537" customFormat="false" ht="12.8" hidden="false" customHeight="false" outlineLevel="0" collapsed="false">
      <c r="A12537" s="0" t="s">
        <v>12</v>
      </c>
      <c r="B12537" s="0" t="n">
        <v>3532802</v>
      </c>
      <c r="C12537" s="0" t="n">
        <v>3532822</v>
      </c>
      <c r="D12537" s="0" t="s">
        <v>41785</v>
      </c>
      <c r="E12537" s="0" t="s">
        <v>89</v>
      </c>
      <c r="F12537" s="0" t="s">
        <v>15</v>
      </c>
      <c r="G12537" s="0" t="s">
        <v>36</v>
      </c>
      <c r="H12537" s="0" t="n">
        <v>65</v>
      </c>
      <c r="I12537" s="0" t="s">
        <v>41792</v>
      </c>
      <c r="J12537" s="0" t="s">
        <v>41793</v>
      </c>
      <c r="K12537" s="0" t="s">
        <v>41794</v>
      </c>
      <c r="L12537" s="0" t="str">
        <f aca="false">HYPERLINK("https://www.ncbi.nlm.nih.gov/nuccore/CP000304.1?report=graph&amp;tracks=[key:gene_model_track,Options:GeneOnly]&amp;mk=3532757:3532776|offset_19|444444,3532778:3532797|offset_40|444444,3532803:3532822|offset_65|00cc00,3532823:3532842|offset_85|444444&amp;v=3532556:3533042&amp;c=444444", "offset 65")</f>
        <v>offset 65</v>
      </c>
    </row>
    <row r="12538" customFormat="false" ht="12.8" hidden="false" customHeight="false" outlineLevel="0" collapsed="false">
      <c r="A12538" s="0" t="s">
        <v>12</v>
      </c>
      <c r="B12538" s="0" t="n">
        <v>3532822</v>
      </c>
      <c r="C12538" s="0" t="n">
        <v>3532842</v>
      </c>
      <c r="D12538" s="0" t="s">
        <v>41785</v>
      </c>
      <c r="E12538" s="0" t="s">
        <v>89</v>
      </c>
      <c r="F12538" s="0" t="s">
        <v>15</v>
      </c>
      <c r="G12538" s="0" t="s">
        <v>16</v>
      </c>
      <c r="H12538" s="0" t="n">
        <v>85</v>
      </c>
      <c r="I12538" s="0" t="s">
        <v>41795</v>
      </c>
      <c r="J12538" s="0" t="s">
        <v>41796</v>
      </c>
      <c r="K12538" s="0" t="s">
        <v>41797</v>
      </c>
      <c r="L12538" s="0" t="str">
        <f aca="false">HYPERLINK("https://www.ncbi.nlm.nih.gov/nuccore/CP000304.1?report=graph&amp;tracks=[key:gene_model_track,Options:GeneOnly]&amp;mk=3532757:3532776|offset_19|444444,3532778:3532797|offset_40|444444,3532803:3532822|offset_65|444444,3532823:3532842|offset_85|00cc00&amp;v=3532556:3533042&amp;c=444444", "offset 85")</f>
        <v>offset 85</v>
      </c>
    </row>
    <row r="12539" customFormat="false" ht="12.8" hidden="false" customHeight="false" outlineLevel="0" collapsed="false">
      <c r="A12539" s="0" t="s">
        <v>12</v>
      </c>
      <c r="B12539" s="0" t="n">
        <v>3534651</v>
      </c>
      <c r="C12539" s="0" t="n">
        <v>3534671</v>
      </c>
      <c r="D12539" s="0" t="s">
        <v>41798</v>
      </c>
      <c r="E12539" s="0" t="s">
        <v>89</v>
      </c>
      <c r="F12539" s="0" t="s">
        <v>90</v>
      </c>
      <c r="G12539" s="0" t="s">
        <v>32</v>
      </c>
      <c r="H12539" s="0" t="n">
        <v>57</v>
      </c>
      <c r="I12539" s="0" t="s">
        <v>41799</v>
      </c>
      <c r="J12539" s="0" t="s">
        <v>41800</v>
      </c>
      <c r="K12539" s="0" t="s">
        <v>41801</v>
      </c>
      <c r="L12539" s="0" t="str">
        <f aca="false">HYPERLINK("https://www.ncbi.nlm.nih.gov/nuccore/CP000304.1?report=graph&amp;tracks=[key:gene_model_track,Options:GeneOnly]&amp;mk=3534652:3534671|offset_57|00cc00,3534628:3534647|offset_81|444444,3534599:3534618|offset_110|444444,3534564:3534583|offset_145|444444&amp;v=3534451:3534783&amp;c=444444", "offset 57")</f>
        <v>offset 57</v>
      </c>
    </row>
    <row r="12540" customFormat="false" ht="12.8" hidden="false" customHeight="false" outlineLevel="0" collapsed="false">
      <c r="A12540" s="0" t="s">
        <v>12</v>
      </c>
      <c r="B12540" s="0" t="n">
        <v>3534627</v>
      </c>
      <c r="C12540" s="0" t="n">
        <v>3534647</v>
      </c>
      <c r="D12540" s="0" t="s">
        <v>41798</v>
      </c>
      <c r="E12540" s="0" t="s">
        <v>89</v>
      </c>
      <c r="F12540" s="0" t="s">
        <v>90</v>
      </c>
      <c r="G12540" s="0" t="s">
        <v>16</v>
      </c>
      <c r="H12540" s="0" t="n">
        <v>81</v>
      </c>
      <c r="I12540" s="0" t="s">
        <v>41802</v>
      </c>
      <c r="J12540" s="0" t="s">
        <v>41803</v>
      </c>
      <c r="K12540" s="0" t="s">
        <v>41804</v>
      </c>
      <c r="L12540" s="0" t="str">
        <f aca="false">HYPERLINK("https://www.ncbi.nlm.nih.gov/nuccore/CP000304.1?report=graph&amp;tracks=[key:gene_model_track,Options:GeneOnly]&amp;mk=3534652:3534671|offset_57|444444,3534628:3534647|offset_81|00cc00,3534599:3534618|offset_110|444444,3534564:3534583|offset_145|444444&amp;v=3534451:3534783&amp;c=444444", "offset 81")</f>
        <v>offset 81</v>
      </c>
    </row>
    <row r="12541" customFormat="false" ht="12.8" hidden="false" customHeight="false" outlineLevel="0" collapsed="false">
      <c r="A12541" s="0" t="s">
        <v>12</v>
      </c>
      <c r="B12541" s="0" t="n">
        <v>3534598</v>
      </c>
      <c r="C12541" s="0" t="n">
        <v>3534618</v>
      </c>
      <c r="D12541" s="0" t="s">
        <v>41798</v>
      </c>
      <c r="E12541" s="0" t="s">
        <v>89</v>
      </c>
      <c r="F12541" s="0" t="s">
        <v>90</v>
      </c>
      <c r="G12541" s="0" t="s">
        <v>26</v>
      </c>
      <c r="H12541" s="0" t="n">
        <v>110</v>
      </c>
      <c r="I12541" s="0" t="s">
        <v>41805</v>
      </c>
      <c r="J12541" s="0" t="s">
        <v>41806</v>
      </c>
      <c r="K12541" s="0" t="s">
        <v>41807</v>
      </c>
      <c r="L12541" s="0" t="str">
        <f aca="false">HYPERLINK("https://www.ncbi.nlm.nih.gov/nuccore/CP000304.1?report=graph&amp;tracks=[key:gene_model_track,Options:GeneOnly]&amp;mk=3534652:3534671|offset_57|444444,3534628:3534647|offset_81|444444,3534599:3534618|offset_110|00cc00,3534564:3534583|offset_145|444444&amp;v=3534451:3534783&amp;c=444444", "offset 110")</f>
        <v>offset 110</v>
      </c>
    </row>
    <row r="12542" customFormat="false" ht="12.8" hidden="false" customHeight="false" outlineLevel="0" collapsed="false">
      <c r="A12542" s="0" t="s">
        <v>12</v>
      </c>
      <c r="B12542" s="0" t="n">
        <v>3534563</v>
      </c>
      <c r="C12542" s="0" t="n">
        <v>3534583</v>
      </c>
      <c r="D12542" s="0" t="s">
        <v>41798</v>
      </c>
      <c r="E12542" s="0" t="s">
        <v>89</v>
      </c>
      <c r="F12542" s="0" t="s">
        <v>90</v>
      </c>
      <c r="G12542" s="0" t="s">
        <v>36</v>
      </c>
      <c r="H12542" s="0" t="n">
        <v>145</v>
      </c>
      <c r="I12542" s="0" t="s">
        <v>41808</v>
      </c>
      <c r="J12542" s="0" t="s">
        <v>41809</v>
      </c>
      <c r="K12542" s="0" t="s">
        <v>41810</v>
      </c>
      <c r="L12542" s="0" t="str">
        <f aca="false">HYPERLINK("https://www.ncbi.nlm.nih.gov/nuccore/CP000304.1?report=graph&amp;tracks=[key:gene_model_track,Options:GeneOnly]&amp;mk=3534652:3534671|offset_57|444444,3534628:3534647|offset_81|444444,3534599:3534618|offset_110|444444,3534564:3534583|offset_145|00cc00&amp;v=3534451:3534783&amp;c=444444", "offset 145")</f>
        <v>offset 145</v>
      </c>
    </row>
    <row r="12543" customFormat="false" ht="12.8" hidden="false" customHeight="false" outlineLevel="0" collapsed="false">
      <c r="A12543" s="0" t="s">
        <v>12</v>
      </c>
      <c r="B12543" s="0" t="n">
        <v>3535447</v>
      </c>
      <c r="C12543" s="0" t="n">
        <v>3535467</v>
      </c>
      <c r="D12543" s="0" t="s">
        <v>41811</v>
      </c>
      <c r="E12543" s="0" t="s">
        <v>89</v>
      </c>
      <c r="F12543" s="0" t="s">
        <v>90</v>
      </c>
      <c r="G12543" s="0" t="s">
        <v>32</v>
      </c>
      <c r="H12543" s="0" t="n">
        <v>40</v>
      </c>
      <c r="I12543" s="0" t="s">
        <v>41812</v>
      </c>
      <c r="J12543" s="0" t="s">
        <v>41813</v>
      </c>
      <c r="K12543" s="0" t="s">
        <v>41814</v>
      </c>
      <c r="L12543" s="0" t="str">
        <f aca="false">HYPERLINK("https://www.ncbi.nlm.nih.gov/nuccore/CP000304.1?report=graph&amp;tracks=[key:gene_model_track,Options:GeneOnly]&amp;mk=3535448:3535467|offset_40|00cc00,3535384:3535403|offset_104|444444,3535361:3535380|offset_127|444444,3535328:3535347|offset_160|444444&amp;v=3535247:3535547&amp;c=444444", "offset 40")</f>
        <v>offset 40</v>
      </c>
    </row>
    <row r="12544" customFormat="false" ht="12.8" hidden="false" customHeight="false" outlineLevel="0" collapsed="false">
      <c r="A12544" s="0" t="s">
        <v>12</v>
      </c>
      <c r="B12544" s="0" t="n">
        <v>3535383</v>
      </c>
      <c r="C12544" s="0" t="n">
        <v>3535403</v>
      </c>
      <c r="D12544" s="0" t="s">
        <v>41811</v>
      </c>
      <c r="E12544" s="0" t="s">
        <v>89</v>
      </c>
      <c r="F12544" s="0" t="s">
        <v>90</v>
      </c>
      <c r="G12544" s="0" t="s">
        <v>36</v>
      </c>
      <c r="H12544" s="0" t="n">
        <v>104</v>
      </c>
      <c r="I12544" s="0" t="s">
        <v>41815</v>
      </c>
      <c r="J12544" s="0" t="s">
        <v>41816</v>
      </c>
      <c r="K12544" s="0" t="s">
        <v>41817</v>
      </c>
      <c r="L12544" s="0" t="str">
        <f aca="false">HYPERLINK("https://www.ncbi.nlm.nih.gov/nuccore/CP000304.1?report=graph&amp;tracks=[key:gene_model_track,Options:GeneOnly]&amp;mk=3535448:3535467|offset_40|444444,3535384:3535403|offset_104|00cc00,3535361:3535380|offset_127|444444,3535328:3535347|offset_160|444444&amp;v=3535247:3535547&amp;c=444444", "offset 104")</f>
        <v>offset 104</v>
      </c>
    </row>
    <row r="12545" customFormat="false" ht="12.8" hidden="false" customHeight="false" outlineLevel="0" collapsed="false">
      <c r="A12545" s="0" t="s">
        <v>12</v>
      </c>
      <c r="B12545" s="0" t="n">
        <v>3535360</v>
      </c>
      <c r="C12545" s="0" t="n">
        <v>3535380</v>
      </c>
      <c r="D12545" s="0" t="s">
        <v>41811</v>
      </c>
      <c r="E12545" s="0" t="s">
        <v>89</v>
      </c>
      <c r="F12545" s="0" t="s">
        <v>90</v>
      </c>
      <c r="G12545" s="0" t="s">
        <v>26</v>
      </c>
      <c r="H12545" s="0" t="n">
        <v>127</v>
      </c>
      <c r="I12545" s="0" t="s">
        <v>41818</v>
      </c>
      <c r="J12545" s="0" t="s">
        <v>41819</v>
      </c>
      <c r="K12545" s="0" t="s">
        <v>41820</v>
      </c>
      <c r="L12545" s="0" t="str">
        <f aca="false">HYPERLINK("https://www.ncbi.nlm.nih.gov/nuccore/CP000304.1?report=graph&amp;tracks=[key:gene_model_track,Options:GeneOnly]&amp;mk=3535448:3535467|offset_40|444444,3535384:3535403|offset_104|444444,3535361:3535380|offset_127|00cc00,3535328:3535347|offset_160|444444&amp;v=3535247:3535547&amp;c=444444", "offset 127")</f>
        <v>offset 127</v>
      </c>
    </row>
    <row r="12546" customFormat="false" ht="12.8" hidden="false" customHeight="false" outlineLevel="0" collapsed="false">
      <c r="A12546" s="0" t="s">
        <v>12</v>
      </c>
      <c r="B12546" s="0" t="n">
        <v>3535327</v>
      </c>
      <c r="C12546" s="0" t="n">
        <v>3535347</v>
      </c>
      <c r="D12546" s="0" t="s">
        <v>41811</v>
      </c>
      <c r="E12546" s="0" t="s">
        <v>89</v>
      </c>
      <c r="F12546" s="0" t="s">
        <v>90</v>
      </c>
      <c r="G12546" s="0" t="s">
        <v>16</v>
      </c>
      <c r="H12546" s="0" t="n">
        <v>160</v>
      </c>
      <c r="I12546" s="0" t="s">
        <v>41821</v>
      </c>
      <c r="J12546" s="0" t="s">
        <v>41822</v>
      </c>
      <c r="K12546" s="0" t="s">
        <v>41823</v>
      </c>
      <c r="L12546" s="0" t="str">
        <f aca="false">HYPERLINK("https://www.ncbi.nlm.nih.gov/nuccore/CP000304.1?report=graph&amp;tracks=[key:gene_model_track,Options:GeneOnly]&amp;mk=3535448:3535467|offset_40|444444,3535384:3535403|offset_104|444444,3535361:3535380|offset_127|444444,3535328:3535347|offset_160|00cc00&amp;v=3535247:3535547&amp;c=444444", "offset 160")</f>
        <v>offset 160</v>
      </c>
    </row>
    <row r="12547" customFormat="false" ht="12.8" hidden="false" customHeight="false" outlineLevel="0" collapsed="false">
      <c r="A12547" s="0" t="s">
        <v>12</v>
      </c>
      <c r="B12547" s="0" t="n">
        <v>3536646</v>
      </c>
      <c r="C12547" s="0" t="n">
        <v>3536666</v>
      </c>
      <c r="D12547" s="0" t="s">
        <v>41824</v>
      </c>
      <c r="E12547" s="0" t="s">
        <v>89</v>
      </c>
      <c r="F12547" s="0" t="s">
        <v>90</v>
      </c>
      <c r="G12547" s="0" t="s">
        <v>16</v>
      </c>
      <c r="H12547" s="0" t="n">
        <v>10</v>
      </c>
      <c r="I12547" s="0" t="s">
        <v>41825</v>
      </c>
      <c r="J12547" s="0" t="s">
        <v>41826</v>
      </c>
      <c r="K12547" s="0" t="s">
        <v>41827</v>
      </c>
      <c r="L12547" s="0" t="str">
        <f aca="false">HYPERLINK("https://www.ncbi.nlm.nih.gov/nuccore/CP000304.1?report=graph&amp;tracks=[key:gene_model_track,Options:GeneOnly]&amp;mk=3536647:3536666|offset_10|00cc00,3536627:3536646|offset_30|444444,3536603:3536622|offset_54|444444,3536577:3536596|offset_80|444444&amp;v=3536446:3536796&amp;c=444444", "offset 10")</f>
        <v>offset 10</v>
      </c>
    </row>
    <row r="12548" customFormat="false" ht="12.8" hidden="false" customHeight="false" outlineLevel="0" collapsed="false">
      <c r="A12548" s="0" t="s">
        <v>12</v>
      </c>
      <c r="B12548" s="0" t="n">
        <v>3536626</v>
      </c>
      <c r="C12548" s="0" t="n">
        <v>3536646</v>
      </c>
      <c r="D12548" s="0" t="s">
        <v>41824</v>
      </c>
      <c r="E12548" s="0" t="s">
        <v>89</v>
      </c>
      <c r="F12548" s="0" t="s">
        <v>90</v>
      </c>
      <c r="G12548" s="0" t="s">
        <v>36</v>
      </c>
      <c r="H12548" s="0" t="n">
        <v>30</v>
      </c>
      <c r="I12548" s="0" t="s">
        <v>41828</v>
      </c>
      <c r="J12548" s="0" t="s">
        <v>41829</v>
      </c>
      <c r="K12548" s="0" t="s">
        <v>41830</v>
      </c>
      <c r="L12548" s="0" t="str">
        <f aca="false">HYPERLINK("https://www.ncbi.nlm.nih.gov/nuccore/CP000304.1?report=graph&amp;tracks=[key:gene_model_track,Options:GeneOnly]&amp;mk=3536647:3536666|offset_10|444444,3536627:3536646|offset_30|00cc00,3536603:3536622|offset_54|444444,3536577:3536596|offset_80|444444&amp;v=3536446:3536796&amp;c=444444", "offset 30")</f>
        <v>offset 30</v>
      </c>
    </row>
    <row r="12549" customFormat="false" ht="12.8" hidden="false" customHeight="false" outlineLevel="0" collapsed="false">
      <c r="A12549" s="0" t="s">
        <v>12</v>
      </c>
      <c r="B12549" s="0" t="n">
        <v>3536602</v>
      </c>
      <c r="C12549" s="0" t="n">
        <v>3536622</v>
      </c>
      <c r="D12549" s="0" t="s">
        <v>41824</v>
      </c>
      <c r="E12549" s="0" t="s">
        <v>89</v>
      </c>
      <c r="F12549" s="0" t="s">
        <v>90</v>
      </c>
      <c r="G12549" s="0" t="s">
        <v>26</v>
      </c>
      <c r="H12549" s="0" t="n">
        <v>54</v>
      </c>
      <c r="I12549" s="0" t="s">
        <v>41831</v>
      </c>
      <c r="J12549" s="0" t="s">
        <v>41832</v>
      </c>
      <c r="K12549" s="0" t="s">
        <v>41833</v>
      </c>
      <c r="L12549" s="0" t="str">
        <f aca="false">HYPERLINK("https://www.ncbi.nlm.nih.gov/nuccore/CP000304.1?report=graph&amp;tracks=[key:gene_model_track,Options:GeneOnly]&amp;mk=3536647:3536666|offset_10|444444,3536627:3536646|offset_30|444444,3536603:3536622|offset_54|00cc00,3536577:3536596|offset_80|444444&amp;v=3536446:3536796&amp;c=444444", "offset 54")</f>
        <v>offset 54</v>
      </c>
    </row>
    <row r="12550" customFormat="false" ht="12.8" hidden="false" customHeight="false" outlineLevel="0" collapsed="false">
      <c r="A12550" s="0" t="s">
        <v>12</v>
      </c>
      <c r="B12550" s="0" t="n">
        <v>3536576</v>
      </c>
      <c r="C12550" s="0" t="n">
        <v>3536596</v>
      </c>
      <c r="D12550" s="0" t="s">
        <v>41824</v>
      </c>
      <c r="E12550" s="0" t="s">
        <v>89</v>
      </c>
      <c r="F12550" s="0" t="s">
        <v>90</v>
      </c>
      <c r="G12550" s="0" t="s">
        <v>36</v>
      </c>
      <c r="H12550" s="0" t="n">
        <v>80</v>
      </c>
      <c r="I12550" s="0" t="s">
        <v>41834</v>
      </c>
      <c r="J12550" s="0" t="s">
        <v>41835</v>
      </c>
      <c r="K12550" s="0" t="s">
        <v>41836</v>
      </c>
      <c r="L12550" s="0" t="str">
        <f aca="false">HYPERLINK("https://www.ncbi.nlm.nih.gov/nuccore/CP000304.1?report=graph&amp;tracks=[key:gene_model_track,Options:GeneOnly]&amp;mk=3536647:3536666|offset_10|444444,3536627:3536646|offset_30|444444,3536603:3536622|offset_54|444444,3536577:3536596|offset_80|00cc00&amp;v=3536446:3536796&amp;c=444444", "offset 80")</f>
        <v>offset 80</v>
      </c>
    </row>
    <row r="12551" customFormat="false" ht="12.8" hidden="false" customHeight="false" outlineLevel="0" collapsed="false">
      <c r="A12551" s="0" t="s">
        <v>12</v>
      </c>
      <c r="B12551" s="0" t="n">
        <v>3536702</v>
      </c>
      <c r="C12551" s="0" t="n">
        <v>3536722</v>
      </c>
      <c r="D12551" s="0" t="s">
        <v>41837</v>
      </c>
      <c r="E12551" s="0" t="s">
        <v>89</v>
      </c>
      <c r="F12551" s="0" t="s">
        <v>15</v>
      </c>
      <c r="G12551" s="0" t="s">
        <v>16</v>
      </c>
      <c r="H12551" s="0" t="n">
        <v>25</v>
      </c>
      <c r="I12551" s="0" t="s">
        <v>41838</v>
      </c>
      <c r="J12551" s="0" t="s">
        <v>41839</v>
      </c>
      <c r="K12551" s="0" t="s">
        <v>41840</v>
      </c>
      <c r="L12551" s="0" t="str">
        <f aca="false">HYPERLINK("https://www.ncbi.nlm.nih.gov/nuccore/CP000304.1?report=graph&amp;tracks=[key:gene_model_track,Options:GeneOnly]&amp;mk=3536703:3536722|offset_25|00cc00,3536736:3536755|offset_58|444444,3536760:3536779|offset_82|444444,3536780:3536799|offset_102|444444&amp;v=3536502:3536999&amp;c=444444", "offset 25")</f>
        <v>offset 25</v>
      </c>
    </row>
    <row r="12552" customFormat="false" ht="12.8" hidden="false" customHeight="false" outlineLevel="0" collapsed="false">
      <c r="A12552" s="0" t="s">
        <v>12</v>
      </c>
      <c r="B12552" s="0" t="n">
        <v>3536735</v>
      </c>
      <c r="C12552" s="0" t="n">
        <v>3536755</v>
      </c>
      <c r="D12552" s="0" t="s">
        <v>41837</v>
      </c>
      <c r="E12552" s="0" t="s">
        <v>89</v>
      </c>
      <c r="F12552" s="0" t="s">
        <v>15</v>
      </c>
      <c r="G12552" s="0" t="s">
        <v>16</v>
      </c>
      <c r="H12552" s="0" t="n">
        <v>58</v>
      </c>
      <c r="I12552" s="0" t="s">
        <v>41841</v>
      </c>
      <c r="J12552" s="0" t="s">
        <v>41842</v>
      </c>
      <c r="K12552" s="0" t="s">
        <v>41843</v>
      </c>
      <c r="L12552" s="0" t="str">
        <f aca="false">HYPERLINK("https://www.ncbi.nlm.nih.gov/nuccore/CP000304.1?report=graph&amp;tracks=[key:gene_model_track,Options:GeneOnly]&amp;mk=3536703:3536722|offset_25|444444,3536736:3536755|offset_58|00cc00,3536760:3536779|offset_82|444444,3536780:3536799|offset_102|444444&amp;v=3536502:3536999&amp;c=444444", "offset 58")</f>
        <v>offset 58</v>
      </c>
    </row>
    <row r="12553" customFormat="false" ht="12.8" hidden="false" customHeight="false" outlineLevel="0" collapsed="false">
      <c r="A12553" s="0" t="s">
        <v>12</v>
      </c>
      <c r="B12553" s="0" t="n">
        <v>3536759</v>
      </c>
      <c r="C12553" s="0" t="n">
        <v>3536779</v>
      </c>
      <c r="D12553" s="0" t="s">
        <v>41837</v>
      </c>
      <c r="E12553" s="0" t="s">
        <v>89</v>
      </c>
      <c r="F12553" s="0" t="s">
        <v>15</v>
      </c>
      <c r="G12553" s="0" t="s">
        <v>16</v>
      </c>
      <c r="H12553" s="0" t="n">
        <v>82</v>
      </c>
      <c r="I12553" s="0" t="s">
        <v>41844</v>
      </c>
      <c r="J12553" s="0" t="s">
        <v>41845</v>
      </c>
      <c r="K12553" s="0" t="s">
        <v>41846</v>
      </c>
      <c r="L12553" s="0" t="str">
        <f aca="false">HYPERLINK("https://www.ncbi.nlm.nih.gov/nuccore/CP000304.1?report=graph&amp;tracks=[key:gene_model_track,Options:GeneOnly]&amp;mk=3536703:3536722|offset_25|444444,3536736:3536755|offset_58|444444,3536760:3536779|offset_82|00cc00,3536780:3536799|offset_102|444444&amp;v=3536502:3536999&amp;c=444444", "offset 82")</f>
        <v>offset 82</v>
      </c>
    </row>
    <row r="12554" customFormat="false" ht="12.8" hidden="false" customHeight="false" outlineLevel="0" collapsed="false">
      <c r="A12554" s="0" t="s">
        <v>12</v>
      </c>
      <c r="B12554" s="0" t="n">
        <v>3536779</v>
      </c>
      <c r="C12554" s="0" t="n">
        <v>3536799</v>
      </c>
      <c r="D12554" s="0" t="s">
        <v>41837</v>
      </c>
      <c r="E12554" s="0" t="s">
        <v>89</v>
      </c>
      <c r="F12554" s="0" t="s">
        <v>15</v>
      </c>
      <c r="G12554" s="0" t="s">
        <v>32</v>
      </c>
      <c r="H12554" s="0" t="n">
        <v>102</v>
      </c>
      <c r="I12554" s="0" t="s">
        <v>41847</v>
      </c>
      <c r="J12554" s="0" t="s">
        <v>41848</v>
      </c>
      <c r="K12554" s="0" t="s">
        <v>41849</v>
      </c>
      <c r="L12554" s="0" t="str">
        <f aca="false">HYPERLINK("https://www.ncbi.nlm.nih.gov/nuccore/CP000304.1?report=graph&amp;tracks=[key:gene_model_track,Options:GeneOnly]&amp;mk=3536703:3536722|offset_25|444444,3536736:3536755|offset_58|444444,3536760:3536779|offset_82|444444,3536780:3536799|offset_102|00cc00&amp;v=3536502:3536999&amp;c=444444", "offset 102")</f>
        <v>offset 102</v>
      </c>
    </row>
    <row r="12555" customFormat="false" ht="12.8" hidden="false" customHeight="false" outlineLevel="0" collapsed="false">
      <c r="A12555" s="0" t="s">
        <v>12</v>
      </c>
      <c r="B12555" s="0" t="n">
        <v>3537050</v>
      </c>
      <c r="C12555" s="0" t="n">
        <v>3537070</v>
      </c>
      <c r="D12555" s="0" t="s">
        <v>41850</v>
      </c>
      <c r="E12555" s="0" t="s">
        <v>89</v>
      </c>
      <c r="F12555" s="0" t="s">
        <v>15</v>
      </c>
      <c r="G12555" s="0" t="s">
        <v>16</v>
      </c>
      <c r="H12555" s="0" t="n">
        <v>6</v>
      </c>
      <c r="I12555" s="0" t="s">
        <v>41851</v>
      </c>
      <c r="J12555" s="0" t="s">
        <v>41852</v>
      </c>
      <c r="K12555" s="0" t="s">
        <v>41853</v>
      </c>
      <c r="L12555" s="0" t="str">
        <f aca="false">HYPERLINK("https://www.ncbi.nlm.nih.gov/nuccore/CP000304.1?report=graph&amp;tracks=[key:gene_model_track,Options:GeneOnly]&amp;mk=3537051:3537070|offset_6|00cc00,3537076:3537095|offset_31|444444,3537104:3537123|offset_59|444444,3537124:3537143|offset_79|444444&amp;v=3536850:3537343&amp;c=444444", "offset 6")</f>
        <v>offset 6</v>
      </c>
    </row>
    <row r="12556" customFormat="false" ht="12.8" hidden="false" customHeight="false" outlineLevel="0" collapsed="false">
      <c r="A12556" s="0" t="s">
        <v>12</v>
      </c>
      <c r="B12556" s="0" t="n">
        <v>3537075</v>
      </c>
      <c r="C12556" s="0" t="n">
        <v>3537095</v>
      </c>
      <c r="D12556" s="0" t="s">
        <v>41850</v>
      </c>
      <c r="E12556" s="0" t="s">
        <v>89</v>
      </c>
      <c r="F12556" s="0" t="s">
        <v>15</v>
      </c>
      <c r="G12556" s="0" t="s">
        <v>32</v>
      </c>
      <c r="H12556" s="0" t="n">
        <v>31</v>
      </c>
      <c r="I12556" s="0" t="s">
        <v>41854</v>
      </c>
      <c r="J12556" s="0" t="s">
        <v>41855</v>
      </c>
      <c r="K12556" s="0" t="s">
        <v>41856</v>
      </c>
      <c r="L12556" s="0" t="str">
        <f aca="false">HYPERLINK("https://www.ncbi.nlm.nih.gov/nuccore/CP000304.1?report=graph&amp;tracks=[key:gene_model_track,Options:GeneOnly]&amp;mk=3537051:3537070|offset_6|444444,3537076:3537095|offset_31|00cc00,3537104:3537123|offset_59|444444,3537124:3537143|offset_79|444444&amp;v=3536850:3537343&amp;c=444444", "offset 31")</f>
        <v>offset 31</v>
      </c>
    </row>
    <row r="12557" customFormat="false" ht="12.8" hidden="false" customHeight="false" outlineLevel="0" collapsed="false">
      <c r="A12557" s="0" t="s">
        <v>12</v>
      </c>
      <c r="B12557" s="0" t="n">
        <v>3537103</v>
      </c>
      <c r="C12557" s="0" t="n">
        <v>3537123</v>
      </c>
      <c r="D12557" s="0" t="s">
        <v>41850</v>
      </c>
      <c r="E12557" s="0" t="s">
        <v>89</v>
      </c>
      <c r="F12557" s="0" t="s">
        <v>15</v>
      </c>
      <c r="G12557" s="0" t="s">
        <v>26</v>
      </c>
      <c r="H12557" s="0" t="n">
        <v>59</v>
      </c>
      <c r="I12557" s="0" t="s">
        <v>41857</v>
      </c>
      <c r="J12557" s="0" t="s">
        <v>41858</v>
      </c>
      <c r="K12557" s="0" t="s">
        <v>41859</v>
      </c>
      <c r="L12557" s="0" t="str">
        <f aca="false">HYPERLINK("https://www.ncbi.nlm.nih.gov/nuccore/CP000304.1?report=graph&amp;tracks=[key:gene_model_track,Options:GeneOnly]&amp;mk=3537051:3537070|offset_6|444444,3537076:3537095|offset_31|444444,3537104:3537123|offset_59|00cc00,3537124:3537143|offset_79|444444&amp;v=3536850:3537343&amp;c=444444", "offset 59")</f>
        <v>offset 59</v>
      </c>
    </row>
    <row r="12558" customFormat="false" ht="12.8" hidden="false" customHeight="false" outlineLevel="0" collapsed="false">
      <c r="A12558" s="0" t="s">
        <v>12</v>
      </c>
      <c r="B12558" s="0" t="n">
        <v>3537123</v>
      </c>
      <c r="C12558" s="0" t="n">
        <v>3537143</v>
      </c>
      <c r="D12558" s="0" t="s">
        <v>41850</v>
      </c>
      <c r="E12558" s="0" t="s">
        <v>89</v>
      </c>
      <c r="F12558" s="0" t="s">
        <v>15</v>
      </c>
      <c r="G12558" s="0" t="s">
        <v>32</v>
      </c>
      <c r="H12558" s="0" t="n">
        <v>79</v>
      </c>
      <c r="I12558" s="0" t="s">
        <v>41860</v>
      </c>
      <c r="J12558" s="0" t="s">
        <v>41861</v>
      </c>
      <c r="K12558" s="0" t="s">
        <v>41862</v>
      </c>
      <c r="L12558" s="0" t="str">
        <f aca="false">HYPERLINK("https://www.ncbi.nlm.nih.gov/nuccore/CP000304.1?report=graph&amp;tracks=[key:gene_model_track,Options:GeneOnly]&amp;mk=3537051:3537070|offset_6|444444,3537076:3537095|offset_31|444444,3537104:3537123|offset_59|444444,3537124:3537143|offset_79|00cc00&amp;v=3536850:3537343&amp;c=444444", "offset 79")</f>
        <v>offset 79</v>
      </c>
    </row>
    <row r="12559" customFormat="false" ht="12.8" hidden="false" customHeight="false" outlineLevel="0" collapsed="false">
      <c r="A12559" s="0" t="s">
        <v>12</v>
      </c>
      <c r="B12559" s="0" t="n">
        <v>3539052</v>
      </c>
      <c r="C12559" s="0" t="n">
        <v>3539072</v>
      </c>
      <c r="D12559" s="0" t="s">
        <v>41863</v>
      </c>
      <c r="E12559" s="0" t="s">
        <v>41864</v>
      </c>
      <c r="F12559" s="0" t="s">
        <v>15</v>
      </c>
      <c r="G12559" s="0" t="s">
        <v>36</v>
      </c>
      <c r="H12559" s="0" t="n">
        <v>0</v>
      </c>
      <c r="I12559" s="0" t="s">
        <v>41865</v>
      </c>
      <c r="J12559" s="0" t="s">
        <v>41866</v>
      </c>
      <c r="K12559" s="0" t="s">
        <v>41867</v>
      </c>
      <c r="L12559" s="0" t="str">
        <f aca="false">HYPERLINK("https://www.ncbi.nlm.nih.gov/nuccore/CP000304.1?report=graph&amp;tracks=[key:gene_model_track,Options:GeneOnly]&amp;mk=3539053:3539072|offset_0|00cc00,3539073:3539092|offset_20|444444,3539105:3539124|offset_52|444444,3539171:3539190|offset_118|444444&amp;v=3538852:3539390&amp;c=444444", "offset 0")</f>
        <v>offset 0</v>
      </c>
    </row>
    <row r="12560" customFormat="false" ht="12.8" hidden="false" customHeight="false" outlineLevel="0" collapsed="false">
      <c r="A12560" s="0" t="s">
        <v>12</v>
      </c>
      <c r="B12560" s="0" t="n">
        <v>3539072</v>
      </c>
      <c r="C12560" s="0" t="n">
        <v>3539092</v>
      </c>
      <c r="D12560" s="0" t="s">
        <v>41863</v>
      </c>
      <c r="E12560" s="0" t="s">
        <v>41864</v>
      </c>
      <c r="F12560" s="0" t="s">
        <v>15</v>
      </c>
      <c r="G12560" s="0" t="s">
        <v>26</v>
      </c>
      <c r="H12560" s="0" t="n">
        <v>20</v>
      </c>
      <c r="I12560" s="0" t="s">
        <v>41868</v>
      </c>
      <c r="J12560" s="0" t="s">
        <v>41869</v>
      </c>
      <c r="K12560" s="0" t="s">
        <v>41870</v>
      </c>
      <c r="L12560" s="0" t="str">
        <f aca="false">HYPERLINK("https://www.ncbi.nlm.nih.gov/nuccore/CP000304.1?report=graph&amp;tracks=[key:gene_model_track,Options:GeneOnly]&amp;mk=3539053:3539072|offset_0|444444,3539073:3539092|offset_20|00cc00,3539105:3539124|offset_52|444444,3539171:3539190|offset_118|444444&amp;v=3538852:3539390&amp;c=444444", "offset 20")</f>
        <v>offset 20</v>
      </c>
    </row>
    <row r="12561" customFormat="false" ht="12.8" hidden="false" customHeight="false" outlineLevel="0" collapsed="false">
      <c r="A12561" s="0" t="s">
        <v>12</v>
      </c>
      <c r="B12561" s="0" t="n">
        <v>3539104</v>
      </c>
      <c r="C12561" s="0" t="n">
        <v>3539124</v>
      </c>
      <c r="D12561" s="0" t="s">
        <v>41863</v>
      </c>
      <c r="E12561" s="0" t="s">
        <v>41864</v>
      </c>
      <c r="F12561" s="0" t="s">
        <v>15</v>
      </c>
      <c r="G12561" s="0" t="s">
        <v>36</v>
      </c>
      <c r="H12561" s="0" t="n">
        <v>52</v>
      </c>
      <c r="I12561" s="0" t="s">
        <v>41871</v>
      </c>
      <c r="J12561" s="0" t="s">
        <v>41872</v>
      </c>
      <c r="K12561" s="0" t="s">
        <v>41873</v>
      </c>
      <c r="L12561" s="0" t="str">
        <f aca="false">HYPERLINK("https://www.ncbi.nlm.nih.gov/nuccore/CP000304.1?report=graph&amp;tracks=[key:gene_model_track,Options:GeneOnly]&amp;mk=3539053:3539072|offset_0|444444,3539073:3539092|offset_20|444444,3539105:3539124|offset_52|00cc00,3539171:3539190|offset_118|444444&amp;v=3538852:3539390&amp;c=444444", "offset 52")</f>
        <v>offset 52</v>
      </c>
    </row>
    <row r="12562" customFormat="false" ht="12.8" hidden="false" customHeight="false" outlineLevel="0" collapsed="false">
      <c r="A12562" s="0" t="s">
        <v>12</v>
      </c>
      <c r="B12562" s="0" t="n">
        <v>3539170</v>
      </c>
      <c r="C12562" s="0" t="n">
        <v>3539190</v>
      </c>
      <c r="D12562" s="0" t="s">
        <v>41863</v>
      </c>
      <c r="E12562" s="0" t="s">
        <v>41864</v>
      </c>
      <c r="F12562" s="0" t="s">
        <v>15</v>
      </c>
      <c r="G12562" s="0" t="s">
        <v>36</v>
      </c>
      <c r="H12562" s="0" t="n">
        <v>118</v>
      </c>
      <c r="I12562" s="0" t="s">
        <v>41874</v>
      </c>
      <c r="J12562" s="0" t="s">
        <v>41875</v>
      </c>
      <c r="K12562" s="0" t="s">
        <v>41876</v>
      </c>
      <c r="L12562" s="0" t="str">
        <f aca="false">HYPERLINK("https://www.ncbi.nlm.nih.gov/nuccore/CP000304.1?report=graph&amp;tracks=[key:gene_model_track,Options:GeneOnly]&amp;mk=3539053:3539072|offset_0|444444,3539073:3539092|offset_20|444444,3539105:3539124|offset_52|444444,3539171:3539190|offset_118|00cc00&amp;v=3538852:3539390&amp;c=444444", "offset 118")</f>
        <v>offset 118</v>
      </c>
    </row>
    <row r="12563" customFormat="false" ht="12.8" hidden="false" customHeight="false" outlineLevel="0" collapsed="false">
      <c r="A12563" s="0" t="s">
        <v>12</v>
      </c>
      <c r="B12563" s="0" t="n">
        <v>3539621</v>
      </c>
      <c r="C12563" s="0" t="n">
        <v>3539641</v>
      </c>
      <c r="D12563" s="0" t="s">
        <v>41877</v>
      </c>
      <c r="E12563" s="0" t="s">
        <v>41878</v>
      </c>
      <c r="F12563" s="0" t="s">
        <v>15</v>
      </c>
      <c r="G12563" s="0" t="s">
        <v>16</v>
      </c>
      <c r="H12563" s="0" t="n">
        <v>49</v>
      </c>
      <c r="I12563" s="0" t="s">
        <v>41879</v>
      </c>
      <c r="J12563" s="0" t="s">
        <v>41880</v>
      </c>
      <c r="K12563" s="0" t="s">
        <v>41881</v>
      </c>
      <c r="L12563" s="0" t="str">
        <f aca="false">HYPERLINK("https://www.ncbi.nlm.nih.gov/nuccore/CP000304.1?report=graph&amp;tracks=[key:gene_model_track,Options:GeneOnly]&amp;mk=3539622:3539641|offset_49|00cc00,3539644:3539663|offset_71|444444,3539674:3539693|offset_101|444444,3539705:3539724|offset_132|444444&amp;v=3539421:3539924&amp;c=444444", "offset 49")</f>
        <v>offset 49</v>
      </c>
    </row>
    <row r="12564" customFormat="false" ht="12.8" hidden="false" customHeight="false" outlineLevel="0" collapsed="false">
      <c r="A12564" s="0" t="s">
        <v>12</v>
      </c>
      <c r="B12564" s="0" t="n">
        <v>3539643</v>
      </c>
      <c r="C12564" s="0" t="n">
        <v>3539663</v>
      </c>
      <c r="D12564" s="0" t="s">
        <v>41877</v>
      </c>
      <c r="E12564" s="0" t="s">
        <v>41878</v>
      </c>
      <c r="F12564" s="0" t="s">
        <v>15</v>
      </c>
      <c r="G12564" s="0" t="s">
        <v>32</v>
      </c>
      <c r="H12564" s="0" t="n">
        <v>71</v>
      </c>
      <c r="I12564" s="0" t="s">
        <v>41882</v>
      </c>
      <c r="J12564" s="0" t="s">
        <v>41883</v>
      </c>
      <c r="K12564" s="0" t="s">
        <v>41884</v>
      </c>
      <c r="L12564" s="0" t="str">
        <f aca="false">HYPERLINK("https://www.ncbi.nlm.nih.gov/nuccore/CP000304.1?report=graph&amp;tracks=[key:gene_model_track,Options:GeneOnly]&amp;mk=3539622:3539641|offset_49|444444,3539644:3539663|offset_71|00cc00,3539674:3539693|offset_101|444444,3539705:3539724|offset_132|444444&amp;v=3539421:3539924&amp;c=444444", "offset 71")</f>
        <v>offset 71</v>
      </c>
    </row>
    <row r="12565" customFormat="false" ht="12.8" hidden="false" customHeight="false" outlineLevel="0" collapsed="false">
      <c r="A12565" s="0" t="s">
        <v>12</v>
      </c>
      <c r="B12565" s="0" t="n">
        <v>3539673</v>
      </c>
      <c r="C12565" s="0" t="n">
        <v>3539693</v>
      </c>
      <c r="D12565" s="0" t="s">
        <v>41877</v>
      </c>
      <c r="E12565" s="0" t="s">
        <v>41878</v>
      </c>
      <c r="F12565" s="0" t="s">
        <v>15</v>
      </c>
      <c r="G12565" s="0" t="s">
        <v>16</v>
      </c>
      <c r="H12565" s="0" t="n">
        <v>101</v>
      </c>
      <c r="I12565" s="0" t="s">
        <v>41885</v>
      </c>
      <c r="J12565" s="0" t="s">
        <v>41886</v>
      </c>
      <c r="K12565" s="0" t="s">
        <v>41887</v>
      </c>
      <c r="L12565" s="0" t="str">
        <f aca="false">HYPERLINK("https://www.ncbi.nlm.nih.gov/nuccore/CP000304.1?report=graph&amp;tracks=[key:gene_model_track,Options:GeneOnly]&amp;mk=3539622:3539641|offset_49|444444,3539644:3539663|offset_71|444444,3539674:3539693|offset_101|00cc00,3539705:3539724|offset_132|444444&amp;v=3539421:3539924&amp;c=444444", "offset 101")</f>
        <v>offset 101</v>
      </c>
    </row>
    <row r="12566" customFormat="false" ht="12.8" hidden="false" customHeight="false" outlineLevel="0" collapsed="false">
      <c r="A12566" s="0" t="s">
        <v>12</v>
      </c>
      <c r="B12566" s="0" t="n">
        <v>3539704</v>
      </c>
      <c r="C12566" s="0" t="n">
        <v>3539724</v>
      </c>
      <c r="D12566" s="0" t="s">
        <v>41877</v>
      </c>
      <c r="E12566" s="0" t="s">
        <v>41878</v>
      </c>
      <c r="F12566" s="0" t="s">
        <v>15</v>
      </c>
      <c r="G12566" s="0" t="s">
        <v>16</v>
      </c>
      <c r="H12566" s="0" t="n">
        <v>132</v>
      </c>
      <c r="I12566" s="0" t="s">
        <v>41888</v>
      </c>
      <c r="J12566" s="0" t="s">
        <v>41889</v>
      </c>
      <c r="K12566" s="0" t="s">
        <v>41890</v>
      </c>
      <c r="L12566" s="0" t="str">
        <f aca="false">HYPERLINK("https://www.ncbi.nlm.nih.gov/nuccore/CP000304.1?report=graph&amp;tracks=[key:gene_model_track,Options:GeneOnly]&amp;mk=3539622:3539641|offset_49|444444,3539644:3539663|offset_71|444444,3539674:3539693|offset_101|444444,3539705:3539724|offset_132|00cc00&amp;v=3539421:3539924&amp;c=444444", "offset 132")</f>
        <v>offset 132</v>
      </c>
    </row>
    <row r="12567" customFormat="false" ht="12.8" hidden="false" customHeight="false" outlineLevel="0" collapsed="false">
      <c r="A12567" s="0" t="s">
        <v>12</v>
      </c>
      <c r="B12567" s="0" t="n">
        <v>3540077</v>
      </c>
      <c r="C12567" s="0" t="n">
        <v>3540097</v>
      </c>
      <c r="D12567" s="0" t="s">
        <v>41891</v>
      </c>
      <c r="E12567" s="0" t="s">
        <v>41892</v>
      </c>
      <c r="F12567" s="0" t="s">
        <v>15</v>
      </c>
      <c r="G12567" s="0" t="s">
        <v>16</v>
      </c>
      <c r="H12567" s="0" t="n">
        <v>29</v>
      </c>
      <c r="I12567" s="0" t="s">
        <v>41893</v>
      </c>
      <c r="J12567" s="0" t="s">
        <v>41894</v>
      </c>
      <c r="K12567" s="0" t="s">
        <v>41895</v>
      </c>
      <c r="L12567" s="0" t="str">
        <f aca="false">HYPERLINK("https://www.ncbi.nlm.nih.gov/nuccore/CP000304.1?report=graph&amp;tracks=[key:gene_model_track,Options:GeneOnly]&amp;mk=3540078:3540097|offset_29|00cc00,3540102:3540121|offset_53|444444,3540134:3540153|offset_85|444444,3540155:3540174|offset_106|444444&amp;v=3539877:3540374&amp;c=444444", "offset 29")</f>
        <v>offset 29</v>
      </c>
    </row>
    <row r="12568" customFormat="false" ht="12.8" hidden="false" customHeight="false" outlineLevel="0" collapsed="false">
      <c r="A12568" s="0" t="s">
        <v>12</v>
      </c>
      <c r="B12568" s="0" t="n">
        <v>3540101</v>
      </c>
      <c r="C12568" s="0" t="n">
        <v>3540121</v>
      </c>
      <c r="D12568" s="0" t="s">
        <v>41891</v>
      </c>
      <c r="E12568" s="0" t="s">
        <v>41892</v>
      </c>
      <c r="F12568" s="0" t="s">
        <v>15</v>
      </c>
      <c r="G12568" s="0" t="s">
        <v>26</v>
      </c>
      <c r="H12568" s="0" t="n">
        <v>53</v>
      </c>
      <c r="I12568" s="0" t="s">
        <v>41896</v>
      </c>
      <c r="J12568" s="0" t="s">
        <v>41897</v>
      </c>
      <c r="K12568" s="0" t="s">
        <v>41898</v>
      </c>
      <c r="L12568" s="0" t="str">
        <f aca="false">HYPERLINK("https://www.ncbi.nlm.nih.gov/nuccore/CP000304.1?report=graph&amp;tracks=[key:gene_model_track,Options:GeneOnly]&amp;mk=3540078:3540097|offset_29|444444,3540102:3540121|offset_53|00cc00,3540134:3540153|offset_85|444444,3540155:3540174|offset_106|444444&amp;v=3539877:3540374&amp;c=444444", "offset 53")</f>
        <v>offset 53</v>
      </c>
    </row>
    <row r="12569" customFormat="false" ht="12.8" hidden="false" customHeight="false" outlineLevel="0" collapsed="false">
      <c r="A12569" s="0" t="s">
        <v>12</v>
      </c>
      <c r="B12569" s="0" t="n">
        <v>3540133</v>
      </c>
      <c r="C12569" s="0" t="n">
        <v>3540153</v>
      </c>
      <c r="D12569" s="0" t="s">
        <v>41891</v>
      </c>
      <c r="E12569" s="0" t="s">
        <v>41892</v>
      </c>
      <c r="F12569" s="0" t="s">
        <v>15</v>
      </c>
      <c r="G12569" s="0" t="s">
        <v>16</v>
      </c>
      <c r="H12569" s="0" t="n">
        <v>85</v>
      </c>
      <c r="I12569" s="0" t="s">
        <v>41899</v>
      </c>
      <c r="J12569" s="0" t="s">
        <v>41900</v>
      </c>
      <c r="K12569" s="0" t="s">
        <v>41901</v>
      </c>
      <c r="L12569" s="0" t="str">
        <f aca="false">HYPERLINK("https://www.ncbi.nlm.nih.gov/nuccore/CP000304.1?report=graph&amp;tracks=[key:gene_model_track,Options:GeneOnly]&amp;mk=3540078:3540097|offset_29|444444,3540102:3540121|offset_53|444444,3540134:3540153|offset_85|00cc00,3540155:3540174|offset_106|444444&amp;v=3539877:3540374&amp;c=444444", "offset 85")</f>
        <v>offset 85</v>
      </c>
    </row>
    <row r="12570" customFormat="false" ht="12.8" hidden="false" customHeight="false" outlineLevel="0" collapsed="false">
      <c r="A12570" s="0" t="s">
        <v>12</v>
      </c>
      <c r="B12570" s="0" t="n">
        <v>3540154</v>
      </c>
      <c r="C12570" s="0" t="n">
        <v>3540174</v>
      </c>
      <c r="D12570" s="0" t="s">
        <v>41891</v>
      </c>
      <c r="E12570" s="0" t="s">
        <v>41892</v>
      </c>
      <c r="F12570" s="0" t="s">
        <v>15</v>
      </c>
      <c r="G12570" s="0" t="s">
        <v>16</v>
      </c>
      <c r="H12570" s="0" t="n">
        <v>106</v>
      </c>
      <c r="I12570" s="0" t="s">
        <v>41902</v>
      </c>
      <c r="J12570" s="0" t="s">
        <v>41903</v>
      </c>
      <c r="K12570" s="0" t="s">
        <v>41904</v>
      </c>
      <c r="L12570" s="0" t="str">
        <f aca="false">HYPERLINK("https://www.ncbi.nlm.nih.gov/nuccore/CP000304.1?report=graph&amp;tracks=[key:gene_model_track,Options:GeneOnly]&amp;mk=3540078:3540097|offset_29|444444,3540102:3540121|offset_53|444444,3540134:3540153|offset_85|444444,3540155:3540174|offset_106|00cc00&amp;v=3539877:3540374&amp;c=444444", "offset 106")</f>
        <v>offset 106</v>
      </c>
    </row>
    <row r="12571" customFormat="false" ht="12.8" hidden="false" customHeight="false" outlineLevel="0" collapsed="false">
      <c r="A12571" s="0" t="s">
        <v>12</v>
      </c>
      <c r="B12571" s="0" t="n">
        <v>3541479</v>
      </c>
      <c r="C12571" s="0" t="n">
        <v>3541499</v>
      </c>
      <c r="D12571" s="0" t="s">
        <v>41905</v>
      </c>
      <c r="E12571" s="0" t="s">
        <v>41906</v>
      </c>
      <c r="F12571" s="0" t="s">
        <v>15</v>
      </c>
      <c r="G12571" s="0" t="s">
        <v>16</v>
      </c>
      <c r="H12571" s="0" t="n">
        <v>13</v>
      </c>
      <c r="I12571" s="0" t="s">
        <v>41907</v>
      </c>
      <c r="J12571" s="0" t="s">
        <v>41908</v>
      </c>
      <c r="K12571" s="0" t="s">
        <v>41909</v>
      </c>
      <c r="L12571" s="0" t="str">
        <f aca="false">HYPERLINK("https://www.ncbi.nlm.nih.gov/nuccore/CP000304.1?report=graph&amp;tracks=[key:gene_model_track,Options:GeneOnly]&amp;mk=3541480:3541499|offset_13|00cc00,3541506:3541525|offset_39|444444,3541526:3541545|offset_59|444444,3541546:3541565|offset_79|444444&amp;v=3541279:3541765&amp;c=444444", "offset 13")</f>
        <v>offset 13</v>
      </c>
    </row>
    <row r="12572" customFormat="false" ht="12.8" hidden="false" customHeight="false" outlineLevel="0" collapsed="false">
      <c r="A12572" s="0" t="s">
        <v>12</v>
      </c>
      <c r="B12572" s="0" t="n">
        <v>3541505</v>
      </c>
      <c r="C12572" s="0" t="n">
        <v>3541525</v>
      </c>
      <c r="D12572" s="0" t="s">
        <v>41905</v>
      </c>
      <c r="E12572" s="0" t="s">
        <v>41906</v>
      </c>
      <c r="F12572" s="0" t="s">
        <v>15</v>
      </c>
      <c r="G12572" s="0" t="s">
        <v>32</v>
      </c>
      <c r="H12572" s="0" t="n">
        <v>39</v>
      </c>
      <c r="I12572" s="0" t="s">
        <v>41910</v>
      </c>
      <c r="J12572" s="0" t="s">
        <v>41911</v>
      </c>
      <c r="K12572" s="0" t="s">
        <v>41912</v>
      </c>
      <c r="L12572" s="0" t="str">
        <f aca="false">HYPERLINK("https://www.ncbi.nlm.nih.gov/nuccore/CP000304.1?report=graph&amp;tracks=[key:gene_model_track,Options:GeneOnly]&amp;mk=3541480:3541499|offset_13|444444,3541506:3541525|offset_39|00cc00,3541526:3541545|offset_59|444444,3541546:3541565|offset_79|444444&amp;v=3541279:3541765&amp;c=444444", "offset 39")</f>
        <v>offset 39</v>
      </c>
    </row>
    <row r="12573" customFormat="false" ht="12.8" hidden="false" customHeight="false" outlineLevel="0" collapsed="false">
      <c r="A12573" s="0" t="s">
        <v>12</v>
      </c>
      <c r="B12573" s="0" t="n">
        <v>3541525</v>
      </c>
      <c r="C12573" s="0" t="n">
        <v>3541545</v>
      </c>
      <c r="D12573" s="0" t="s">
        <v>41905</v>
      </c>
      <c r="E12573" s="0" t="s">
        <v>41906</v>
      </c>
      <c r="F12573" s="0" t="s">
        <v>15</v>
      </c>
      <c r="G12573" s="0" t="s">
        <v>16</v>
      </c>
      <c r="H12573" s="0" t="n">
        <v>59</v>
      </c>
      <c r="I12573" s="0" t="s">
        <v>41913</v>
      </c>
      <c r="J12573" s="0" t="s">
        <v>41914</v>
      </c>
      <c r="K12573" s="0" t="s">
        <v>41915</v>
      </c>
      <c r="L12573" s="0" t="str">
        <f aca="false">HYPERLINK("https://www.ncbi.nlm.nih.gov/nuccore/CP000304.1?report=graph&amp;tracks=[key:gene_model_track,Options:GeneOnly]&amp;mk=3541480:3541499|offset_13|444444,3541506:3541525|offset_39|444444,3541526:3541545|offset_59|00cc00,3541546:3541565|offset_79|444444&amp;v=3541279:3541765&amp;c=444444", "offset 59")</f>
        <v>offset 59</v>
      </c>
    </row>
    <row r="12574" customFormat="false" ht="12.8" hidden="false" customHeight="false" outlineLevel="0" collapsed="false">
      <c r="A12574" s="0" t="s">
        <v>12</v>
      </c>
      <c r="B12574" s="0" t="n">
        <v>3541545</v>
      </c>
      <c r="C12574" s="0" t="n">
        <v>3541565</v>
      </c>
      <c r="D12574" s="0" t="s">
        <v>41905</v>
      </c>
      <c r="E12574" s="0" t="s">
        <v>41906</v>
      </c>
      <c r="F12574" s="0" t="s">
        <v>15</v>
      </c>
      <c r="G12574" s="0" t="s">
        <v>26</v>
      </c>
      <c r="H12574" s="0" t="n">
        <v>79</v>
      </c>
      <c r="I12574" s="0" t="s">
        <v>41916</v>
      </c>
      <c r="J12574" s="0" t="s">
        <v>41917</v>
      </c>
      <c r="K12574" s="0" t="s">
        <v>41918</v>
      </c>
      <c r="L12574" s="0" t="str">
        <f aca="false">HYPERLINK("https://www.ncbi.nlm.nih.gov/nuccore/CP000304.1?report=graph&amp;tracks=[key:gene_model_track,Options:GeneOnly]&amp;mk=3541480:3541499|offset_13|444444,3541506:3541525|offset_39|444444,3541526:3541545|offset_59|444444,3541546:3541565|offset_79|00cc00&amp;v=3541279:3541765&amp;c=444444", "offset 79")</f>
        <v>offset 79</v>
      </c>
    </row>
    <row r="12575" customFormat="false" ht="12.8" hidden="false" customHeight="false" outlineLevel="0" collapsed="false">
      <c r="A12575" s="0" t="s">
        <v>12</v>
      </c>
      <c r="B12575" s="0" t="n">
        <v>3542548</v>
      </c>
      <c r="C12575" s="0" t="n">
        <v>3542568</v>
      </c>
      <c r="D12575" s="0" t="s">
        <v>41919</v>
      </c>
      <c r="E12575" s="0" t="s">
        <v>89</v>
      </c>
      <c r="F12575" s="0" t="s">
        <v>15</v>
      </c>
      <c r="G12575" s="0" t="s">
        <v>32</v>
      </c>
      <c r="H12575" s="0" t="n">
        <v>7</v>
      </c>
      <c r="I12575" s="0" t="s">
        <v>41920</v>
      </c>
      <c r="J12575" s="0" t="s">
        <v>41921</v>
      </c>
      <c r="K12575" s="0" t="s">
        <v>41922</v>
      </c>
      <c r="L12575" s="0" t="str">
        <f aca="false">HYPERLINK("https://www.ncbi.nlm.nih.gov/nuccore/CP000304.1?report=graph&amp;tracks=[key:gene_model_track,Options:GeneOnly]&amp;mk=3542549:3542568|offset_7|00cc00,3542569:3542588|offset_27|444444,3542598:3542617|offset_56|444444,3542618:3542637|offset_76|444444&amp;v=3542348:3542837&amp;c=444444", "offset 7")</f>
        <v>offset 7</v>
      </c>
    </row>
    <row r="12576" customFormat="false" ht="12.8" hidden="false" customHeight="false" outlineLevel="0" collapsed="false">
      <c r="A12576" s="0" t="s">
        <v>12</v>
      </c>
      <c r="B12576" s="0" t="n">
        <v>3542568</v>
      </c>
      <c r="C12576" s="0" t="n">
        <v>3542588</v>
      </c>
      <c r="D12576" s="0" t="s">
        <v>41919</v>
      </c>
      <c r="E12576" s="0" t="s">
        <v>89</v>
      </c>
      <c r="F12576" s="0" t="s">
        <v>15</v>
      </c>
      <c r="G12576" s="0" t="s">
        <v>36</v>
      </c>
      <c r="H12576" s="0" t="n">
        <v>27</v>
      </c>
      <c r="I12576" s="0" t="s">
        <v>41923</v>
      </c>
      <c r="J12576" s="0" t="s">
        <v>41924</v>
      </c>
      <c r="K12576" s="0" t="s">
        <v>41925</v>
      </c>
      <c r="L12576" s="0" t="str">
        <f aca="false">HYPERLINK("https://www.ncbi.nlm.nih.gov/nuccore/CP000304.1?report=graph&amp;tracks=[key:gene_model_track,Options:GeneOnly]&amp;mk=3542549:3542568|offset_7|444444,3542569:3542588|offset_27|00cc00,3542598:3542617|offset_56|444444,3542618:3542637|offset_76|444444&amp;v=3542348:3542837&amp;c=444444", "offset 27")</f>
        <v>offset 27</v>
      </c>
    </row>
    <row r="12577" customFormat="false" ht="12.8" hidden="false" customHeight="false" outlineLevel="0" collapsed="false">
      <c r="A12577" s="0" t="s">
        <v>12</v>
      </c>
      <c r="B12577" s="0" t="n">
        <v>3542597</v>
      </c>
      <c r="C12577" s="0" t="n">
        <v>3542617</v>
      </c>
      <c r="D12577" s="0" t="s">
        <v>41919</v>
      </c>
      <c r="E12577" s="0" t="s">
        <v>89</v>
      </c>
      <c r="F12577" s="0" t="s">
        <v>15</v>
      </c>
      <c r="G12577" s="0" t="s">
        <v>16</v>
      </c>
      <c r="H12577" s="0" t="n">
        <v>56</v>
      </c>
      <c r="I12577" s="0" t="s">
        <v>41926</v>
      </c>
      <c r="J12577" s="0" t="s">
        <v>41927</v>
      </c>
      <c r="K12577" s="0" t="s">
        <v>41928</v>
      </c>
      <c r="L12577" s="0" t="str">
        <f aca="false">HYPERLINK("https://www.ncbi.nlm.nih.gov/nuccore/CP000304.1?report=graph&amp;tracks=[key:gene_model_track,Options:GeneOnly]&amp;mk=3542549:3542568|offset_7|444444,3542569:3542588|offset_27|444444,3542598:3542617|offset_56|00cc00,3542618:3542637|offset_76|444444&amp;v=3542348:3542837&amp;c=444444", "offset 56")</f>
        <v>offset 56</v>
      </c>
    </row>
    <row r="12578" customFormat="false" ht="12.8" hidden="false" customHeight="false" outlineLevel="0" collapsed="false">
      <c r="A12578" s="0" t="s">
        <v>12</v>
      </c>
      <c r="B12578" s="0" t="n">
        <v>3542617</v>
      </c>
      <c r="C12578" s="0" t="n">
        <v>3542637</v>
      </c>
      <c r="D12578" s="0" t="s">
        <v>41919</v>
      </c>
      <c r="E12578" s="0" t="s">
        <v>89</v>
      </c>
      <c r="F12578" s="0" t="s">
        <v>15</v>
      </c>
      <c r="G12578" s="0" t="s">
        <v>36</v>
      </c>
      <c r="H12578" s="0" t="n">
        <v>76</v>
      </c>
      <c r="I12578" s="0" t="s">
        <v>41929</v>
      </c>
      <c r="J12578" s="0" t="s">
        <v>41930</v>
      </c>
      <c r="K12578" s="0" t="s">
        <v>41931</v>
      </c>
      <c r="L12578" s="0" t="str">
        <f aca="false">HYPERLINK("https://www.ncbi.nlm.nih.gov/nuccore/CP000304.1?report=graph&amp;tracks=[key:gene_model_track,Options:GeneOnly]&amp;mk=3542549:3542568|offset_7|444444,3542569:3542588|offset_27|444444,3542598:3542617|offset_56|444444,3542618:3542637|offset_76|00cc00&amp;v=3542348:3542837&amp;c=444444", "offset 76")</f>
        <v>offset 76</v>
      </c>
    </row>
    <row r="12579" customFormat="false" ht="12.8" hidden="false" customHeight="false" outlineLevel="0" collapsed="false">
      <c r="A12579" s="0" t="s">
        <v>12</v>
      </c>
      <c r="B12579" s="0" t="n">
        <v>3543997</v>
      </c>
      <c r="C12579" s="0" t="n">
        <v>3544017</v>
      </c>
      <c r="D12579" s="0" t="s">
        <v>41932</v>
      </c>
      <c r="E12579" s="0" t="s">
        <v>89</v>
      </c>
      <c r="F12579" s="0" t="s">
        <v>15</v>
      </c>
      <c r="G12579" s="0" t="s">
        <v>36</v>
      </c>
      <c r="H12579" s="0" t="n">
        <v>23</v>
      </c>
      <c r="I12579" s="0" t="s">
        <v>41933</v>
      </c>
      <c r="J12579" s="0" t="s">
        <v>41934</v>
      </c>
      <c r="K12579" s="0" t="s">
        <v>41935</v>
      </c>
      <c r="L12579" s="0" t="str">
        <f aca="false">HYPERLINK("https://www.ncbi.nlm.nih.gov/nuccore/CP000304.1?report=graph&amp;tracks=[key:gene_model_track,Options:GeneOnly]&amp;mk=3543998:3544017|offset_23|00cc00,3544032:3544051|offset_57|444444,3544056:3544075|offset_81|444444,3544076:3544095|offset_101|444444&amp;v=3543797:3544295&amp;c=444444", "offset 23")</f>
        <v>offset 23</v>
      </c>
    </row>
    <row r="12580" customFormat="false" ht="12.8" hidden="false" customHeight="false" outlineLevel="0" collapsed="false">
      <c r="A12580" s="0" t="s">
        <v>12</v>
      </c>
      <c r="B12580" s="0" t="n">
        <v>3544031</v>
      </c>
      <c r="C12580" s="0" t="n">
        <v>3544051</v>
      </c>
      <c r="D12580" s="0" t="s">
        <v>41932</v>
      </c>
      <c r="E12580" s="0" t="s">
        <v>89</v>
      </c>
      <c r="F12580" s="0" t="s">
        <v>15</v>
      </c>
      <c r="G12580" s="0" t="s">
        <v>36</v>
      </c>
      <c r="H12580" s="0" t="n">
        <v>57</v>
      </c>
      <c r="I12580" s="0" t="s">
        <v>41936</v>
      </c>
      <c r="J12580" s="0" t="s">
        <v>41937</v>
      </c>
      <c r="K12580" s="0" t="s">
        <v>41938</v>
      </c>
      <c r="L12580" s="0" t="str">
        <f aca="false">HYPERLINK("https://www.ncbi.nlm.nih.gov/nuccore/CP000304.1?report=graph&amp;tracks=[key:gene_model_track,Options:GeneOnly]&amp;mk=3543998:3544017|offset_23|444444,3544032:3544051|offset_57|00cc00,3544056:3544075|offset_81|444444,3544076:3544095|offset_101|444444&amp;v=3543797:3544295&amp;c=444444", "offset 57")</f>
        <v>offset 57</v>
      </c>
    </row>
    <row r="12581" customFormat="false" ht="12.8" hidden="false" customHeight="false" outlineLevel="0" collapsed="false">
      <c r="A12581" s="0" t="s">
        <v>12</v>
      </c>
      <c r="B12581" s="0" t="n">
        <v>3544055</v>
      </c>
      <c r="C12581" s="0" t="n">
        <v>3544075</v>
      </c>
      <c r="D12581" s="0" t="s">
        <v>41932</v>
      </c>
      <c r="E12581" s="0" t="s">
        <v>89</v>
      </c>
      <c r="F12581" s="0" t="s">
        <v>15</v>
      </c>
      <c r="G12581" s="0" t="s">
        <v>16</v>
      </c>
      <c r="H12581" s="0" t="n">
        <v>81</v>
      </c>
      <c r="I12581" s="0" t="s">
        <v>41939</v>
      </c>
      <c r="J12581" s="0" t="s">
        <v>41940</v>
      </c>
      <c r="K12581" s="0" t="s">
        <v>41941</v>
      </c>
      <c r="L12581" s="0" t="str">
        <f aca="false">HYPERLINK("https://www.ncbi.nlm.nih.gov/nuccore/CP000304.1?report=graph&amp;tracks=[key:gene_model_track,Options:GeneOnly]&amp;mk=3543998:3544017|offset_23|444444,3544032:3544051|offset_57|444444,3544056:3544075|offset_81|00cc00,3544076:3544095|offset_101|444444&amp;v=3543797:3544295&amp;c=444444", "offset 81")</f>
        <v>offset 81</v>
      </c>
    </row>
    <row r="12582" customFormat="false" ht="12.8" hidden="false" customHeight="false" outlineLevel="0" collapsed="false">
      <c r="A12582" s="0" t="s">
        <v>12</v>
      </c>
      <c r="B12582" s="0" t="n">
        <v>3544075</v>
      </c>
      <c r="C12582" s="0" t="n">
        <v>3544095</v>
      </c>
      <c r="D12582" s="0" t="s">
        <v>41932</v>
      </c>
      <c r="E12582" s="0" t="s">
        <v>89</v>
      </c>
      <c r="F12582" s="0" t="s">
        <v>15</v>
      </c>
      <c r="G12582" s="0" t="s">
        <v>16</v>
      </c>
      <c r="H12582" s="0" t="n">
        <v>101</v>
      </c>
      <c r="I12582" s="0" t="s">
        <v>41942</v>
      </c>
      <c r="J12582" s="0" t="s">
        <v>41943</v>
      </c>
      <c r="K12582" s="0" t="s">
        <v>41944</v>
      </c>
      <c r="L12582" s="0" t="str">
        <f aca="false">HYPERLINK("https://www.ncbi.nlm.nih.gov/nuccore/CP000304.1?report=graph&amp;tracks=[key:gene_model_track,Options:GeneOnly]&amp;mk=3543998:3544017|offset_23|444444,3544032:3544051|offset_57|444444,3544056:3544075|offset_81|444444,3544076:3544095|offset_101|00cc00&amp;v=3543797:3544295&amp;c=444444", "offset 101")</f>
        <v>offset 101</v>
      </c>
    </row>
    <row r="12583" customFormat="false" ht="12.8" hidden="false" customHeight="false" outlineLevel="0" collapsed="false">
      <c r="A12583" s="0" t="s">
        <v>12</v>
      </c>
      <c r="B12583" s="0" t="n">
        <v>3545027</v>
      </c>
      <c r="C12583" s="0" t="n">
        <v>3545047</v>
      </c>
      <c r="D12583" s="0" t="s">
        <v>41945</v>
      </c>
      <c r="E12583" s="0" t="s">
        <v>41946</v>
      </c>
      <c r="F12583" s="0" t="s">
        <v>15</v>
      </c>
      <c r="G12583" s="0" t="s">
        <v>16</v>
      </c>
      <c r="H12583" s="0" t="n">
        <v>43</v>
      </c>
      <c r="I12583" s="0" t="s">
        <v>41947</v>
      </c>
      <c r="J12583" s="0" t="s">
        <v>41948</v>
      </c>
      <c r="K12583" s="0" t="s">
        <v>41949</v>
      </c>
      <c r="L12583" s="0" t="str">
        <f aca="false">HYPERLINK("https://www.ncbi.nlm.nih.gov/nuccore/CP000304.1?report=graph&amp;tracks=[key:gene_model_track,Options:GeneOnly]&amp;mk=3545028:3545047|offset_43|00cc00,3545059:3545078|offset_74|444444,3545130:3545149|offset_145|444444,3545167:3545186|offset_182|444444&amp;v=3544827:3545386&amp;c=444444", "offset 43")</f>
        <v>offset 43</v>
      </c>
    </row>
    <row r="12584" customFormat="false" ht="12.8" hidden="false" customHeight="false" outlineLevel="0" collapsed="false">
      <c r="A12584" s="0" t="s">
        <v>12</v>
      </c>
      <c r="B12584" s="0" t="n">
        <v>3545058</v>
      </c>
      <c r="C12584" s="0" t="n">
        <v>3545078</v>
      </c>
      <c r="D12584" s="0" t="s">
        <v>41945</v>
      </c>
      <c r="E12584" s="0" t="s">
        <v>41946</v>
      </c>
      <c r="F12584" s="0" t="s">
        <v>15</v>
      </c>
      <c r="G12584" s="0" t="s">
        <v>26</v>
      </c>
      <c r="H12584" s="0" t="n">
        <v>74</v>
      </c>
      <c r="I12584" s="0" t="s">
        <v>41950</v>
      </c>
      <c r="J12584" s="0" t="s">
        <v>41951</v>
      </c>
      <c r="K12584" s="0" t="s">
        <v>41952</v>
      </c>
      <c r="L12584" s="0" t="str">
        <f aca="false">HYPERLINK("https://www.ncbi.nlm.nih.gov/nuccore/CP000304.1?report=graph&amp;tracks=[key:gene_model_track,Options:GeneOnly]&amp;mk=3545028:3545047|offset_43|444444,3545059:3545078|offset_74|00cc00,3545130:3545149|offset_145|444444,3545167:3545186|offset_182|444444&amp;v=3544827:3545386&amp;c=444444", "offset 74")</f>
        <v>offset 74</v>
      </c>
    </row>
    <row r="12585" customFormat="false" ht="12.8" hidden="false" customHeight="false" outlineLevel="0" collapsed="false">
      <c r="A12585" s="0" t="s">
        <v>12</v>
      </c>
      <c r="B12585" s="0" t="n">
        <v>3545129</v>
      </c>
      <c r="C12585" s="0" t="n">
        <v>3545149</v>
      </c>
      <c r="D12585" s="0" t="s">
        <v>41945</v>
      </c>
      <c r="E12585" s="0" t="s">
        <v>41946</v>
      </c>
      <c r="F12585" s="0" t="s">
        <v>15</v>
      </c>
      <c r="G12585" s="0" t="s">
        <v>36</v>
      </c>
      <c r="H12585" s="0" t="n">
        <v>145</v>
      </c>
      <c r="I12585" s="0" t="s">
        <v>41953</v>
      </c>
      <c r="J12585" s="0" t="s">
        <v>41954</v>
      </c>
      <c r="K12585" s="0" t="s">
        <v>41955</v>
      </c>
      <c r="L12585" s="0" t="str">
        <f aca="false">HYPERLINK("https://www.ncbi.nlm.nih.gov/nuccore/CP000304.1?report=graph&amp;tracks=[key:gene_model_track,Options:GeneOnly]&amp;mk=3545028:3545047|offset_43|444444,3545059:3545078|offset_74|444444,3545130:3545149|offset_145|00cc00,3545167:3545186|offset_182|444444&amp;v=3544827:3545386&amp;c=444444", "offset 145")</f>
        <v>offset 145</v>
      </c>
    </row>
    <row r="12586" customFormat="false" ht="12.8" hidden="false" customHeight="false" outlineLevel="0" collapsed="false">
      <c r="A12586" s="0" t="s">
        <v>12</v>
      </c>
      <c r="B12586" s="0" t="n">
        <v>3545166</v>
      </c>
      <c r="C12586" s="0" t="n">
        <v>3545186</v>
      </c>
      <c r="D12586" s="0" t="s">
        <v>41945</v>
      </c>
      <c r="E12586" s="0" t="s">
        <v>41946</v>
      </c>
      <c r="F12586" s="0" t="s">
        <v>15</v>
      </c>
      <c r="G12586" s="0" t="s">
        <v>26</v>
      </c>
      <c r="H12586" s="0" t="n">
        <v>182</v>
      </c>
      <c r="I12586" s="0" t="s">
        <v>41956</v>
      </c>
      <c r="J12586" s="0" t="s">
        <v>41957</v>
      </c>
      <c r="K12586" s="0" t="s">
        <v>41958</v>
      </c>
      <c r="L12586" s="0" t="str">
        <f aca="false">HYPERLINK("https://www.ncbi.nlm.nih.gov/nuccore/CP000304.1?report=graph&amp;tracks=[key:gene_model_track,Options:GeneOnly]&amp;mk=3545028:3545047|offset_43|444444,3545059:3545078|offset_74|444444,3545130:3545149|offset_145|444444,3545167:3545186|offset_182|00cc00&amp;v=3544827:3545386&amp;c=444444", "offset 182")</f>
        <v>offset 182</v>
      </c>
    </row>
    <row r="12587" customFormat="false" ht="12.8" hidden="false" customHeight="false" outlineLevel="0" collapsed="false">
      <c r="A12587" s="0" t="s">
        <v>12</v>
      </c>
      <c r="B12587" s="0" t="n">
        <v>3545388</v>
      </c>
      <c r="C12587" s="0" t="n">
        <v>3545408</v>
      </c>
      <c r="D12587" s="0" t="s">
        <v>41959</v>
      </c>
      <c r="E12587" s="0" t="s">
        <v>41960</v>
      </c>
      <c r="F12587" s="0" t="s">
        <v>15</v>
      </c>
      <c r="G12587" s="0" t="s">
        <v>16</v>
      </c>
      <c r="H12587" s="0" t="n">
        <v>7</v>
      </c>
      <c r="I12587" s="0" t="s">
        <v>41961</v>
      </c>
      <c r="J12587" s="0" t="s">
        <v>41962</v>
      </c>
      <c r="K12587" s="0" t="s">
        <v>41963</v>
      </c>
      <c r="L12587" s="0" t="str">
        <f aca="false">HYPERLINK("https://www.ncbi.nlm.nih.gov/nuccore/CP000304.1?report=graph&amp;tracks=[key:gene_model_track,Options:GeneOnly]&amp;mk=3545389:3545408|offset_7|00cc00,3545409:3545428|offset_27|444444,3545437:3545456|offset_55|444444,3545464:3545483|offset_82|444444&amp;v=3545188:3545683&amp;c=444444", "offset 7")</f>
        <v>offset 7</v>
      </c>
    </row>
    <row r="12588" customFormat="false" ht="12.8" hidden="false" customHeight="false" outlineLevel="0" collapsed="false">
      <c r="A12588" s="0" t="s">
        <v>12</v>
      </c>
      <c r="B12588" s="0" t="n">
        <v>3545408</v>
      </c>
      <c r="C12588" s="0" t="n">
        <v>3545428</v>
      </c>
      <c r="D12588" s="0" t="s">
        <v>41959</v>
      </c>
      <c r="E12588" s="0" t="s">
        <v>41960</v>
      </c>
      <c r="F12588" s="0" t="s">
        <v>15</v>
      </c>
      <c r="G12588" s="0" t="s">
        <v>36</v>
      </c>
      <c r="H12588" s="0" t="n">
        <v>27</v>
      </c>
      <c r="I12588" s="0" t="s">
        <v>41964</v>
      </c>
      <c r="J12588" s="0" t="s">
        <v>41965</v>
      </c>
      <c r="K12588" s="0" t="s">
        <v>41966</v>
      </c>
      <c r="L12588" s="0" t="str">
        <f aca="false">HYPERLINK("https://www.ncbi.nlm.nih.gov/nuccore/CP000304.1?report=graph&amp;tracks=[key:gene_model_track,Options:GeneOnly]&amp;mk=3545389:3545408|offset_7|444444,3545409:3545428|offset_27|00cc00,3545437:3545456|offset_55|444444,3545464:3545483|offset_82|444444&amp;v=3545188:3545683&amp;c=444444", "offset 27")</f>
        <v>offset 27</v>
      </c>
    </row>
    <row r="12589" customFormat="false" ht="12.8" hidden="false" customHeight="false" outlineLevel="0" collapsed="false">
      <c r="A12589" s="0" t="s">
        <v>12</v>
      </c>
      <c r="B12589" s="0" t="n">
        <v>3545436</v>
      </c>
      <c r="C12589" s="0" t="n">
        <v>3545456</v>
      </c>
      <c r="D12589" s="0" t="s">
        <v>41959</v>
      </c>
      <c r="E12589" s="0" t="s">
        <v>41960</v>
      </c>
      <c r="F12589" s="0" t="s">
        <v>15</v>
      </c>
      <c r="G12589" s="0" t="s">
        <v>16</v>
      </c>
      <c r="H12589" s="0" t="n">
        <v>55</v>
      </c>
      <c r="I12589" s="0" t="s">
        <v>41967</v>
      </c>
      <c r="J12589" s="0" t="s">
        <v>41968</v>
      </c>
      <c r="K12589" s="0" t="s">
        <v>41969</v>
      </c>
      <c r="L12589" s="0" t="str">
        <f aca="false">HYPERLINK("https://www.ncbi.nlm.nih.gov/nuccore/CP000304.1?report=graph&amp;tracks=[key:gene_model_track,Options:GeneOnly]&amp;mk=3545389:3545408|offset_7|444444,3545409:3545428|offset_27|444444,3545437:3545456|offset_55|00cc00,3545464:3545483|offset_82|444444&amp;v=3545188:3545683&amp;c=444444", "offset 55")</f>
        <v>offset 55</v>
      </c>
    </row>
    <row r="12590" customFormat="false" ht="12.8" hidden="false" customHeight="false" outlineLevel="0" collapsed="false">
      <c r="A12590" s="0" t="s">
        <v>12</v>
      </c>
      <c r="B12590" s="0" t="n">
        <v>3545463</v>
      </c>
      <c r="C12590" s="0" t="n">
        <v>3545483</v>
      </c>
      <c r="D12590" s="0" t="s">
        <v>41959</v>
      </c>
      <c r="E12590" s="0" t="s">
        <v>41960</v>
      </c>
      <c r="F12590" s="0" t="s">
        <v>15</v>
      </c>
      <c r="G12590" s="0" t="s">
        <v>36</v>
      </c>
      <c r="H12590" s="0" t="n">
        <v>82</v>
      </c>
      <c r="I12590" s="0" t="s">
        <v>41970</v>
      </c>
      <c r="J12590" s="0" t="s">
        <v>41971</v>
      </c>
      <c r="K12590" s="0" t="s">
        <v>41972</v>
      </c>
      <c r="L12590" s="0" t="str">
        <f aca="false">HYPERLINK("https://www.ncbi.nlm.nih.gov/nuccore/CP000304.1?report=graph&amp;tracks=[key:gene_model_track,Options:GeneOnly]&amp;mk=3545389:3545408|offset_7|444444,3545409:3545428|offset_27|444444,3545437:3545456|offset_55|444444,3545464:3545483|offset_82|00cc00&amp;v=3545188:3545683&amp;c=444444", "offset 82")</f>
        <v>offset 82</v>
      </c>
    </row>
    <row r="12591" customFormat="false" ht="12.8" hidden="false" customHeight="false" outlineLevel="0" collapsed="false">
      <c r="A12591" s="0" t="s">
        <v>12</v>
      </c>
      <c r="B12591" s="0" t="n">
        <v>3547217</v>
      </c>
      <c r="C12591" s="0" t="n">
        <v>3547237</v>
      </c>
      <c r="D12591" s="0" t="s">
        <v>41973</v>
      </c>
      <c r="E12591" s="0" t="s">
        <v>41974</v>
      </c>
      <c r="F12591" s="0" t="s">
        <v>15</v>
      </c>
      <c r="G12591" s="0" t="s">
        <v>16</v>
      </c>
      <c r="H12591" s="0" t="n">
        <v>32</v>
      </c>
      <c r="I12591" s="0" t="s">
        <v>41975</v>
      </c>
      <c r="J12591" s="0" t="s">
        <v>41976</v>
      </c>
      <c r="K12591" s="0" t="s">
        <v>41977</v>
      </c>
      <c r="L12591" s="0" t="str">
        <f aca="false">HYPERLINK("https://www.ncbi.nlm.nih.gov/nuccore/CP000304.1?report=graph&amp;tracks=[key:gene_model_track,Options:GeneOnly]&amp;mk=3547218:3547237|offset_32|00cc00,3547254:3547273|offset_68|444444,3547280:3547299|offset_94|444444,3547301:3547320|offset_115|444444&amp;v=3547017:3547520&amp;c=444444", "offset 32")</f>
        <v>offset 32</v>
      </c>
    </row>
    <row r="12592" customFormat="false" ht="12.8" hidden="false" customHeight="false" outlineLevel="0" collapsed="false">
      <c r="A12592" s="0" t="s">
        <v>12</v>
      </c>
      <c r="B12592" s="0" t="n">
        <v>3547253</v>
      </c>
      <c r="C12592" s="0" t="n">
        <v>3547273</v>
      </c>
      <c r="D12592" s="0" t="s">
        <v>41973</v>
      </c>
      <c r="E12592" s="0" t="s">
        <v>41974</v>
      </c>
      <c r="F12592" s="0" t="s">
        <v>15</v>
      </c>
      <c r="G12592" s="0" t="s">
        <v>36</v>
      </c>
      <c r="H12592" s="0" t="n">
        <v>68</v>
      </c>
      <c r="I12592" s="0" t="s">
        <v>41978</v>
      </c>
      <c r="J12592" s="0" t="s">
        <v>41979</v>
      </c>
      <c r="K12592" s="0" t="s">
        <v>41980</v>
      </c>
      <c r="L12592" s="0" t="str">
        <f aca="false">HYPERLINK("https://www.ncbi.nlm.nih.gov/nuccore/CP000304.1?report=graph&amp;tracks=[key:gene_model_track,Options:GeneOnly]&amp;mk=3547218:3547237|offset_32|444444,3547254:3547273|offset_68|00cc00,3547280:3547299|offset_94|444444,3547301:3547320|offset_115|444444&amp;v=3547017:3547520&amp;c=444444", "offset 68")</f>
        <v>offset 68</v>
      </c>
    </row>
    <row r="12593" customFormat="false" ht="12.8" hidden="false" customHeight="false" outlineLevel="0" collapsed="false">
      <c r="A12593" s="0" t="s">
        <v>12</v>
      </c>
      <c r="B12593" s="0" t="n">
        <v>3547279</v>
      </c>
      <c r="C12593" s="0" t="n">
        <v>3547299</v>
      </c>
      <c r="D12593" s="0" t="s">
        <v>41973</v>
      </c>
      <c r="E12593" s="0" t="s">
        <v>41974</v>
      </c>
      <c r="F12593" s="0" t="s">
        <v>15</v>
      </c>
      <c r="G12593" s="0" t="s">
        <v>36</v>
      </c>
      <c r="H12593" s="0" t="n">
        <v>94</v>
      </c>
      <c r="I12593" s="0" t="s">
        <v>41981</v>
      </c>
      <c r="J12593" s="0" t="s">
        <v>41982</v>
      </c>
      <c r="K12593" s="0" t="s">
        <v>41983</v>
      </c>
      <c r="L12593" s="0" t="str">
        <f aca="false">HYPERLINK("https://www.ncbi.nlm.nih.gov/nuccore/CP000304.1?report=graph&amp;tracks=[key:gene_model_track,Options:GeneOnly]&amp;mk=3547218:3547237|offset_32|444444,3547254:3547273|offset_68|444444,3547280:3547299|offset_94|00cc00,3547301:3547320|offset_115|444444&amp;v=3547017:3547520&amp;c=444444", "offset 94")</f>
        <v>offset 94</v>
      </c>
    </row>
    <row r="12594" customFormat="false" ht="12.8" hidden="false" customHeight="false" outlineLevel="0" collapsed="false">
      <c r="A12594" s="0" t="s">
        <v>12</v>
      </c>
      <c r="B12594" s="0" t="n">
        <v>3547300</v>
      </c>
      <c r="C12594" s="0" t="n">
        <v>3547320</v>
      </c>
      <c r="D12594" s="0" t="s">
        <v>41973</v>
      </c>
      <c r="E12594" s="0" t="s">
        <v>41974</v>
      </c>
      <c r="F12594" s="0" t="s">
        <v>15</v>
      </c>
      <c r="G12594" s="0" t="s">
        <v>32</v>
      </c>
      <c r="H12594" s="0" t="n">
        <v>115</v>
      </c>
      <c r="I12594" s="0" t="s">
        <v>41984</v>
      </c>
      <c r="J12594" s="0" t="s">
        <v>41985</v>
      </c>
      <c r="K12594" s="0" t="s">
        <v>41986</v>
      </c>
      <c r="L12594" s="0" t="str">
        <f aca="false">HYPERLINK("https://www.ncbi.nlm.nih.gov/nuccore/CP000304.1?report=graph&amp;tracks=[key:gene_model_track,Options:GeneOnly]&amp;mk=3547218:3547237|offset_32|444444,3547254:3547273|offset_68|444444,3547280:3547299|offset_94|444444,3547301:3547320|offset_115|00cc00&amp;v=3547017:3547520&amp;c=444444", "offset 115")</f>
        <v>offset 115</v>
      </c>
    </row>
    <row r="12595" customFormat="false" ht="12.8" hidden="false" customHeight="false" outlineLevel="0" collapsed="false">
      <c r="A12595" s="0" t="s">
        <v>12</v>
      </c>
      <c r="B12595" s="0" t="n">
        <v>3548566</v>
      </c>
      <c r="C12595" s="0" t="n">
        <v>3548586</v>
      </c>
      <c r="D12595" s="0" t="s">
        <v>41987</v>
      </c>
      <c r="E12595" s="0" t="s">
        <v>89</v>
      </c>
      <c r="F12595" s="0" t="s">
        <v>15</v>
      </c>
      <c r="G12595" s="0" t="s">
        <v>16</v>
      </c>
      <c r="H12595" s="0" t="n">
        <v>14</v>
      </c>
      <c r="I12595" s="0" t="s">
        <v>41988</v>
      </c>
      <c r="J12595" s="0" t="s">
        <v>41989</v>
      </c>
      <c r="K12595" s="0" t="s">
        <v>41990</v>
      </c>
      <c r="L12595" s="0" t="str">
        <f aca="false">HYPERLINK("https://www.ncbi.nlm.nih.gov/nuccore/CP000304.1?report=graph&amp;tracks=[key:gene_model_track,Options:GeneOnly]&amp;mk=3548567:3548586|offset_14|00cc00,3548609:3548628|offset_56|444444,3548651:3548670|offset_98|444444,3548677:3548696|offset_124|444444&amp;v=3548366:3548896&amp;c=444444", "offset 14")</f>
        <v>offset 14</v>
      </c>
    </row>
    <row r="12596" customFormat="false" ht="12.8" hidden="false" customHeight="false" outlineLevel="0" collapsed="false">
      <c r="A12596" s="0" t="s">
        <v>12</v>
      </c>
      <c r="B12596" s="0" t="n">
        <v>3548608</v>
      </c>
      <c r="C12596" s="0" t="n">
        <v>3548628</v>
      </c>
      <c r="D12596" s="0" t="s">
        <v>41987</v>
      </c>
      <c r="E12596" s="0" t="s">
        <v>89</v>
      </c>
      <c r="F12596" s="0" t="s">
        <v>15</v>
      </c>
      <c r="G12596" s="0" t="s">
        <v>16</v>
      </c>
      <c r="H12596" s="0" t="n">
        <v>56</v>
      </c>
      <c r="I12596" s="0" t="s">
        <v>41991</v>
      </c>
      <c r="J12596" s="0" t="s">
        <v>41992</v>
      </c>
      <c r="K12596" s="0" t="s">
        <v>41993</v>
      </c>
      <c r="L12596" s="0" t="str">
        <f aca="false">HYPERLINK("https://www.ncbi.nlm.nih.gov/nuccore/CP000304.1?report=graph&amp;tracks=[key:gene_model_track,Options:GeneOnly]&amp;mk=3548567:3548586|offset_14|444444,3548609:3548628|offset_56|00cc00,3548651:3548670|offset_98|444444,3548677:3548696|offset_124|444444&amp;v=3548366:3548896&amp;c=444444", "offset 56")</f>
        <v>offset 56</v>
      </c>
    </row>
    <row r="12597" customFormat="false" ht="12.8" hidden="false" customHeight="false" outlineLevel="0" collapsed="false">
      <c r="A12597" s="0" t="s">
        <v>12</v>
      </c>
      <c r="B12597" s="0" t="n">
        <v>3548650</v>
      </c>
      <c r="C12597" s="0" t="n">
        <v>3548670</v>
      </c>
      <c r="D12597" s="0" t="s">
        <v>41987</v>
      </c>
      <c r="E12597" s="0" t="s">
        <v>89</v>
      </c>
      <c r="F12597" s="0" t="s">
        <v>15</v>
      </c>
      <c r="G12597" s="0" t="s">
        <v>26</v>
      </c>
      <c r="H12597" s="0" t="n">
        <v>98</v>
      </c>
      <c r="I12597" s="0" t="s">
        <v>41994</v>
      </c>
      <c r="J12597" s="0" t="s">
        <v>41995</v>
      </c>
      <c r="K12597" s="0" t="s">
        <v>41996</v>
      </c>
      <c r="L12597" s="0" t="str">
        <f aca="false">HYPERLINK("https://www.ncbi.nlm.nih.gov/nuccore/CP000304.1?report=graph&amp;tracks=[key:gene_model_track,Options:GeneOnly]&amp;mk=3548567:3548586|offset_14|444444,3548609:3548628|offset_56|444444,3548651:3548670|offset_98|00cc00,3548677:3548696|offset_124|444444&amp;v=3548366:3548896&amp;c=444444", "offset 98")</f>
        <v>offset 98</v>
      </c>
    </row>
    <row r="12598" customFormat="false" ht="12.8" hidden="false" customHeight="false" outlineLevel="0" collapsed="false">
      <c r="A12598" s="0" t="s">
        <v>12</v>
      </c>
      <c r="B12598" s="0" t="n">
        <v>3548676</v>
      </c>
      <c r="C12598" s="0" t="n">
        <v>3548696</v>
      </c>
      <c r="D12598" s="0" t="s">
        <v>41987</v>
      </c>
      <c r="E12598" s="0" t="s">
        <v>89</v>
      </c>
      <c r="F12598" s="0" t="s">
        <v>15</v>
      </c>
      <c r="G12598" s="0" t="s">
        <v>32</v>
      </c>
      <c r="H12598" s="0" t="n">
        <v>124</v>
      </c>
      <c r="I12598" s="0" t="s">
        <v>41997</v>
      </c>
      <c r="J12598" s="0" t="s">
        <v>41998</v>
      </c>
      <c r="K12598" s="0" t="s">
        <v>41999</v>
      </c>
      <c r="L12598" s="0" t="str">
        <f aca="false">HYPERLINK("https://www.ncbi.nlm.nih.gov/nuccore/CP000304.1?report=graph&amp;tracks=[key:gene_model_track,Options:GeneOnly]&amp;mk=3548567:3548586|offset_14|444444,3548609:3548628|offset_56|444444,3548651:3548670|offset_98|444444,3548677:3548696|offset_124|00cc00&amp;v=3548366:3548896&amp;c=444444", "offset 124")</f>
        <v>offset 124</v>
      </c>
    </row>
    <row r="12599" customFormat="false" ht="12.8" hidden="false" customHeight="false" outlineLevel="0" collapsed="false">
      <c r="A12599" s="0" t="s">
        <v>12</v>
      </c>
      <c r="B12599" s="0" t="n">
        <v>3552633</v>
      </c>
      <c r="C12599" s="0" t="n">
        <v>3552653</v>
      </c>
      <c r="D12599" s="0" t="s">
        <v>42000</v>
      </c>
      <c r="E12599" s="0" t="s">
        <v>89</v>
      </c>
      <c r="F12599" s="0" t="s">
        <v>90</v>
      </c>
      <c r="G12599" s="0" t="s">
        <v>26</v>
      </c>
      <c r="H12599" s="0" t="n">
        <v>15</v>
      </c>
      <c r="I12599" s="0" t="s">
        <v>42001</v>
      </c>
      <c r="J12599" s="0" t="s">
        <v>42002</v>
      </c>
      <c r="K12599" s="0" t="s">
        <v>42003</v>
      </c>
      <c r="L12599" s="0" t="str">
        <f aca="false">HYPERLINK("https://www.ncbi.nlm.nih.gov/nuccore/CP000304.1?report=graph&amp;tracks=[key:gene_model_track,Options:GeneOnly]&amp;mk=3552634:3552653|offset_15|00cc00,3552583:3552602|offset_66|444444,3552563:3552582|offset_86|444444,3552513:3552532|offset_136|444444&amp;v=3552433:3552732&amp;c=444444", "offset 15")</f>
        <v>offset 15</v>
      </c>
    </row>
    <row r="12600" customFormat="false" ht="12.8" hidden="false" customHeight="false" outlineLevel="0" collapsed="false">
      <c r="A12600" s="0" t="s">
        <v>12</v>
      </c>
      <c r="B12600" s="0" t="n">
        <v>3552582</v>
      </c>
      <c r="C12600" s="0" t="n">
        <v>3552602</v>
      </c>
      <c r="D12600" s="0" t="s">
        <v>42000</v>
      </c>
      <c r="E12600" s="0" t="s">
        <v>89</v>
      </c>
      <c r="F12600" s="0" t="s">
        <v>90</v>
      </c>
      <c r="G12600" s="0" t="s">
        <v>36</v>
      </c>
      <c r="H12600" s="0" t="n">
        <v>66</v>
      </c>
      <c r="I12600" s="0" t="s">
        <v>42004</v>
      </c>
      <c r="J12600" s="0" t="s">
        <v>42005</v>
      </c>
      <c r="K12600" s="0" t="s">
        <v>42006</v>
      </c>
      <c r="L12600" s="0" t="str">
        <f aca="false">HYPERLINK("https://www.ncbi.nlm.nih.gov/nuccore/CP000304.1?report=graph&amp;tracks=[key:gene_model_track,Options:GeneOnly]&amp;mk=3552634:3552653|offset_15|444444,3552583:3552602|offset_66|00cc00,3552563:3552582|offset_86|444444,3552513:3552532|offset_136|444444&amp;v=3552433:3552732&amp;c=444444", "offset 66")</f>
        <v>offset 66</v>
      </c>
    </row>
    <row r="12601" customFormat="false" ht="12.8" hidden="false" customHeight="false" outlineLevel="0" collapsed="false">
      <c r="A12601" s="0" t="s">
        <v>12</v>
      </c>
      <c r="B12601" s="0" t="n">
        <v>3552562</v>
      </c>
      <c r="C12601" s="0" t="n">
        <v>3552582</v>
      </c>
      <c r="D12601" s="0" t="s">
        <v>42000</v>
      </c>
      <c r="E12601" s="0" t="s">
        <v>89</v>
      </c>
      <c r="F12601" s="0" t="s">
        <v>90</v>
      </c>
      <c r="G12601" s="0" t="s">
        <v>32</v>
      </c>
      <c r="H12601" s="0" t="n">
        <v>86</v>
      </c>
      <c r="I12601" s="0" t="s">
        <v>42007</v>
      </c>
      <c r="J12601" s="0" t="s">
        <v>42008</v>
      </c>
      <c r="K12601" s="0" t="s">
        <v>42009</v>
      </c>
      <c r="L12601" s="0" t="str">
        <f aca="false">HYPERLINK("https://www.ncbi.nlm.nih.gov/nuccore/CP000304.1?report=graph&amp;tracks=[key:gene_model_track,Options:GeneOnly]&amp;mk=3552634:3552653|offset_15|444444,3552583:3552602|offset_66|444444,3552563:3552582|offset_86|00cc00,3552513:3552532|offset_136|444444&amp;v=3552433:3552732&amp;c=444444", "offset 86")</f>
        <v>offset 86</v>
      </c>
    </row>
    <row r="12602" customFormat="false" ht="12.8" hidden="false" customHeight="false" outlineLevel="0" collapsed="false">
      <c r="A12602" s="0" t="s">
        <v>12</v>
      </c>
      <c r="B12602" s="0" t="n">
        <v>3552512</v>
      </c>
      <c r="C12602" s="0" t="n">
        <v>3552532</v>
      </c>
      <c r="D12602" s="0" t="s">
        <v>42000</v>
      </c>
      <c r="E12602" s="0" t="s">
        <v>89</v>
      </c>
      <c r="F12602" s="0" t="s">
        <v>90</v>
      </c>
      <c r="G12602" s="0" t="s">
        <v>32</v>
      </c>
      <c r="H12602" s="0" t="n">
        <v>136</v>
      </c>
      <c r="I12602" s="0" t="s">
        <v>42010</v>
      </c>
      <c r="J12602" s="0" t="s">
        <v>42011</v>
      </c>
      <c r="K12602" s="0" t="s">
        <v>42012</v>
      </c>
      <c r="L12602" s="0" t="str">
        <f aca="false">HYPERLINK("https://www.ncbi.nlm.nih.gov/nuccore/CP000304.1?report=graph&amp;tracks=[key:gene_model_track,Options:GeneOnly]&amp;mk=3552634:3552653|offset_15|444444,3552583:3552602|offset_66|444444,3552563:3552582|offset_86|444444,3552513:3552532|offset_136|00cc00&amp;v=3552433:3552732&amp;c=444444", "offset 136")</f>
        <v>offset 136</v>
      </c>
    </row>
    <row r="12603" customFormat="false" ht="12.8" hidden="false" customHeight="false" outlineLevel="0" collapsed="false">
      <c r="A12603" s="0" t="s">
        <v>12</v>
      </c>
      <c r="B12603" s="0" t="n">
        <v>3552871</v>
      </c>
      <c r="C12603" s="0" t="n">
        <v>3552891</v>
      </c>
      <c r="D12603" s="0" t="s">
        <v>42013</v>
      </c>
      <c r="E12603" s="0" t="s">
        <v>89</v>
      </c>
      <c r="F12603" s="0" t="s">
        <v>15</v>
      </c>
      <c r="G12603" s="0" t="s">
        <v>16</v>
      </c>
      <c r="H12603" s="0" t="n">
        <v>0</v>
      </c>
      <c r="I12603" s="0" t="s">
        <v>42014</v>
      </c>
      <c r="J12603" s="0" t="s">
        <v>42015</v>
      </c>
      <c r="K12603" s="0" t="s">
        <v>42016</v>
      </c>
      <c r="L12603" s="0" t="str">
        <f aca="false">HYPERLINK("https://www.ncbi.nlm.nih.gov/nuccore/CP000304.1?report=graph&amp;tracks=[key:gene_model_track,Options:GeneOnly]&amp;mk=3552872:3552891|offset_0|00cc00,3552897:3552916|offset_25|444444,3552933:3552952|offset_61|444444,3552975:3552994|offset_103|444444&amp;v=3552671:3553194&amp;c=444444", "offset 0")</f>
        <v>offset 0</v>
      </c>
    </row>
    <row r="12604" customFormat="false" ht="12.8" hidden="false" customHeight="false" outlineLevel="0" collapsed="false">
      <c r="A12604" s="0" t="s">
        <v>12</v>
      </c>
      <c r="B12604" s="0" t="n">
        <v>3552896</v>
      </c>
      <c r="C12604" s="0" t="n">
        <v>3552916</v>
      </c>
      <c r="D12604" s="0" t="s">
        <v>42013</v>
      </c>
      <c r="E12604" s="0" t="s">
        <v>89</v>
      </c>
      <c r="F12604" s="0" t="s">
        <v>15</v>
      </c>
      <c r="G12604" s="0" t="s">
        <v>26</v>
      </c>
      <c r="H12604" s="0" t="n">
        <v>25</v>
      </c>
      <c r="I12604" s="0" t="s">
        <v>42017</v>
      </c>
      <c r="J12604" s="0" t="s">
        <v>42018</v>
      </c>
      <c r="K12604" s="0" t="s">
        <v>42019</v>
      </c>
      <c r="L12604" s="0" t="str">
        <f aca="false">HYPERLINK("https://www.ncbi.nlm.nih.gov/nuccore/CP000304.1?report=graph&amp;tracks=[key:gene_model_track,Options:GeneOnly]&amp;mk=3552872:3552891|offset_0|444444,3552897:3552916|offset_25|00cc00,3552933:3552952|offset_61|444444,3552975:3552994|offset_103|444444&amp;v=3552671:3553194&amp;c=444444", "offset 25")</f>
        <v>offset 25</v>
      </c>
    </row>
    <row r="12605" customFormat="false" ht="12.8" hidden="false" customHeight="false" outlineLevel="0" collapsed="false">
      <c r="A12605" s="0" t="s">
        <v>12</v>
      </c>
      <c r="B12605" s="0" t="n">
        <v>3552932</v>
      </c>
      <c r="C12605" s="0" t="n">
        <v>3552952</v>
      </c>
      <c r="D12605" s="0" t="s">
        <v>42013</v>
      </c>
      <c r="E12605" s="0" t="s">
        <v>89</v>
      </c>
      <c r="F12605" s="0" t="s">
        <v>15</v>
      </c>
      <c r="G12605" s="0" t="s">
        <v>16</v>
      </c>
      <c r="H12605" s="0" t="n">
        <v>61</v>
      </c>
      <c r="I12605" s="0" t="s">
        <v>42020</v>
      </c>
      <c r="J12605" s="0" t="s">
        <v>42021</v>
      </c>
      <c r="K12605" s="0" t="s">
        <v>42022</v>
      </c>
      <c r="L12605" s="0" t="str">
        <f aca="false">HYPERLINK("https://www.ncbi.nlm.nih.gov/nuccore/CP000304.1?report=graph&amp;tracks=[key:gene_model_track,Options:GeneOnly]&amp;mk=3552872:3552891|offset_0|444444,3552897:3552916|offset_25|444444,3552933:3552952|offset_61|00cc00,3552975:3552994|offset_103|444444&amp;v=3552671:3553194&amp;c=444444", "offset 61")</f>
        <v>offset 61</v>
      </c>
    </row>
    <row r="12606" customFormat="false" ht="12.8" hidden="false" customHeight="false" outlineLevel="0" collapsed="false">
      <c r="A12606" s="0" t="s">
        <v>12</v>
      </c>
      <c r="B12606" s="0" t="n">
        <v>3552974</v>
      </c>
      <c r="C12606" s="0" t="n">
        <v>3552994</v>
      </c>
      <c r="D12606" s="0" t="s">
        <v>42013</v>
      </c>
      <c r="E12606" s="0" t="s">
        <v>89</v>
      </c>
      <c r="F12606" s="0" t="s">
        <v>15</v>
      </c>
      <c r="G12606" s="0" t="s">
        <v>16</v>
      </c>
      <c r="H12606" s="0" t="n">
        <v>103</v>
      </c>
      <c r="I12606" s="0" t="s">
        <v>42023</v>
      </c>
      <c r="J12606" s="0" t="s">
        <v>42024</v>
      </c>
      <c r="K12606" s="0" t="s">
        <v>42025</v>
      </c>
      <c r="L12606" s="0" t="str">
        <f aca="false">HYPERLINK("https://www.ncbi.nlm.nih.gov/nuccore/CP000304.1?report=graph&amp;tracks=[key:gene_model_track,Options:GeneOnly]&amp;mk=3552872:3552891|offset_0|444444,3552897:3552916|offset_25|444444,3552933:3552952|offset_61|444444,3552975:3552994|offset_103|00cc00&amp;v=3552671:3553194&amp;c=444444", "offset 103")</f>
        <v>offset 103</v>
      </c>
    </row>
    <row r="12607" customFormat="false" ht="12.8" hidden="false" customHeight="false" outlineLevel="0" collapsed="false">
      <c r="A12607" s="0" t="s">
        <v>12</v>
      </c>
      <c r="B12607" s="0" t="n">
        <v>3553935</v>
      </c>
      <c r="C12607" s="0" t="n">
        <v>3553955</v>
      </c>
      <c r="D12607" s="0" t="s">
        <v>42026</v>
      </c>
      <c r="E12607" s="0" t="s">
        <v>89</v>
      </c>
      <c r="F12607" s="0" t="s">
        <v>15</v>
      </c>
      <c r="G12607" s="0" t="s">
        <v>16</v>
      </c>
      <c r="H12607" s="0" t="n">
        <v>7</v>
      </c>
      <c r="I12607" s="0" t="s">
        <v>42027</v>
      </c>
      <c r="J12607" s="0" t="s">
        <v>42028</v>
      </c>
      <c r="K12607" s="0" t="s">
        <v>42029</v>
      </c>
      <c r="L12607" s="0" t="str">
        <f aca="false">HYPERLINK("https://www.ncbi.nlm.nih.gov/nuccore/CP000304.1?report=graph&amp;tracks=[key:gene_model_track,Options:GeneOnly]&amp;mk=3553936:3553955|offset_7|00cc00,3553957:3553976|offset_28|444444,3553985:3554004|offset_56|444444,3554006:3554025|offset_77|444444&amp;v=3553735:3554225&amp;c=444444", "offset 7")</f>
        <v>offset 7</v>
      </c>
    </row>
    <row r="12608" customFormat="false" ht="12.8" hidden="false" customHeight="false" outlineLevel="0" collapsed="false">
      <c r="A12608" s="0" t="s">
        <v>12</v>
      </c>
      <c r="B12608" s="0" t="n">
        <v>3553956</v>
      </c>
      <c r="C12608" s="0" t="n">
        <v>3553976</v>
      </c>
      <c r="D12608" s="0" t="s">
        <v>42026</v>
      </c>
      <c r="E12608" s="0" t="s">
        <v>89</v>
      </c>
      <c r="F12608" s="0" t="s">
        <v>15</v>
      </c>
      <c r="G12608" s="0" t="s">
        <v>16</v>
      </c>
      <c r="H12608" s="0" t="n">
        <v>28</v>
      </c>
      <c r="I12608" s="0" t="s">
        <v>42030</v>
      </c>
      <c r="J12608" s="0" t="s">
        <v>42031</v>
      </c>
      <c r="K12608" s="0" t="s">
        <v>42032</v>
      </c>
      <c r="L12608" s="0" t="str">
        <f aca="false">HYPERLINK("https://www.ncbi.nlm.nih.gov/nuccore/CP000304.1?report=graph&amp;tracks=[key:gene_model_track,Options:GeneOnly]&amp;mk=3553936:3553955|offset_7|444444,3553957:3553976|offset_28|00cc00,3553985:3554004|offset_56|444444,3554006:3554025|offset_77|444444&amp;v=3553735:3554225&amp;c=444444", "offset 28")</f>
        <v>offset 28</v>
      </c>
    </row>
    <row r="12609" customFormat="false" ht="12.8" hidden="false" customHeight="false" outlineLevel="0" collapsed="false">
      <c r="A12609" s="0" t="s">
        <v>12</v>
      </c>
      <c r="B12609" s="0" t="n">
        <v>3553984</v>
      </c>
      <c r="C12609" s="0" t="n">
        <v>3554004</v>
      </c>
      <c r="D12609" s="0" t="s">
        <v>42026</v>
      </c>
      <c r="E12609" s="0" t="s">
        <v>89</v>
      </c>
      <c r="F12609" s="0" t="s">
        <v>15</v>
      </c>
      <c r="G12609" s="0" t="s">
        <v>26</v>
      </c>
      <c r="H12609" s="0" t="n">
        <v>56</v>
      </c>
      <c r="I12609" s="0" t="s">
        <v>42033</v>
      </c>
      <c r="J12609" s="0" t="s">
        <v>42034</v>
      </c>
      <c r="K12609" s="0" t="s">
        <v>42035</v>
      </c>
      <c r="L12609" s="0" t="str">
        <f aca="false">HYPERLINK("https://www.ncbi.nlm.nih.gov/nuccore/CP000304.1?report=graph&amp;tracks=[key:gene_model_track,Options:GeneOnly]&amp;mk=3553936:3553955|offset_7|444444,3553957:3553976|offset_28|444444,3553985:3554004|offset_56|00cc00,3554006:3554025|offset_77|444444&amp;v=3553735:3554225&amp;c=444444", "offset 56")</f>
        <v>offset 56</v>
      </c>
    </row>
    <row r="12610" customFormat="false" ht="12.8" hidden="false" customHeight="false" outlineLevel="0" collapsed="false">
      <c r="A12610" s="0" t="s">
        <v>12</v>
      </c>
      <c r="B12610" s="0" t="n">
        <v>3554005</v>
      </c>
      <c r="C12610" s="0" t="n">
        <v>3554025</v>
      </c>
      <c r="D12610" s="0" t="s">
        <v>42026</v>
      </c>
      <c r="E12610" s="0" t="s">
        <v>89</v>
      </c>
      <c r="F12610" s="0" t="s">
        <v>15</v>
      </c>
      <c r="G12610" s="0" t="s">
        <v>36</v>
      </c>
      <c r="H12610" s="0" t="n">
        <v>77</v>
      </c>
      <c r="I12610" s="0" t="s">
        <v>42036</v>
      </c>
      <c r="J12610" s="0" t="s">
        <v>42037</v>
      </c>
      <c r="K12610" s="0" t="s">
        <v>42038</v>
      </c>
      <c r="L12610" s="0" t="str">
        <f aca="false">HYPERLINK("https://www.ncbi.nlm.nih.gov/nuccore/CP000304.1?report=graph&amp;tracks=[key:gene_model_track,Options:GeneOnly]&amp;mk=3553936:3553955|offset_7|444444,3553957:3553976|offset_28|444444,3553985:3554004|offset_56|444444,3554006:3554025|offset_77|00cc00&amp;v=3553735:3554225&amp;c=444444", "offset 77")</f>
        <v>offset 77</v>
      </c>
    </row>
    <row r="12611" customFormat="false" ht="12.8" hidden="false" customHeight="false" outlineLevel="0" collapsed="false">
      <c r="A12611" s="0" t="s">
        <v>12</v>
      </c>
      <c r="B12611" s="0" t="n">
        <v>3555755</v>
      </c>
      <c r="C12611" s="0" t="n">
        <v>3555775</v>
      </c>
      <c r="D12611" s="0" t="s">
        <v>42039</v>
      </c>
      <c r="E12611" s="0" t="s">
        <v>89</v>
      </c>
      <c r="F12611" s="0" t="s">
        <v>90</v>
      </c>
      <c r="G12611" s="0" t="s">
        <v>26</v>
      </c>
      <c r="H12611" s="0" t="n">
        <v>23</v>
      </c>
      <c r="I12611" s="0" t="s">
        <v>42040</v>
      </c>
      <c r="J12611" s="0" t="s">
        <v>42041</v>
      </c>
      <c r="K12611" s="0" t="s">
        <v>42042</v>
      </c>
      <c r="L12611" s="0" t="str">
        <f aca="false">HYPERLINK("https://www.ncbi.nlm.nih.gov/nuccore/CP000304.1?report=graph&amp;tracks=[key:gene_model_track,Options:GeneOnly]&amp;mk=3555756:3555775|offset_23|00cc00,3555697:3555716|offset_82|444444,3555673:3555692|offset_106|444444,3555647:3555666|offset_132|444444&amp;v=3555555:3555866&amp;c=444444", "offset 23")</f>
        <v>offset 23</v>
      </c>
    </row>
    <row r="12612" customFormat="false" ht="12.8" hidden="false" customHeight="false" outlineLevel="0" collapsed="false">
      <c r="A12612" s="0" t="s">
        <v>12</v>
      </c>
      <c r="B12612" s="0" t="n">
        <v>3555696</v>
      </c>
      <c r="C12612" s="0" t="n">
        <v>3555716</v>
      </c>
      <c r="D12612" s="0" t="s">
        <v>42039</v>
      </c>
      <c r="E12612" s="0" t="s">
        <v>89</v>
      </c>
      <c r="F12612" s="0" t="s">
        <v>90</v>
      </c>
      <c r="G12612" s="0" t="s">
        <v>32</v>
      </c>
      <c r="H12612" s="0" t="n">
        <v>82</v>
      </c>
      <c r="I12612" s="0" t="s">
        <v>42043</v>
      </c>
      <c r="J12612" s="0" t="s">
        <v>42044</v>
      </c>
      <c r="K12612" s="0" t="s">
        <v>42045</v>
      </c>
      <c r="L12612" s="0" t="str">
        <f aca="false">HYPERLINK("https://www.ncbi.nlm.nih.gov/nuccore/CP000304.1?report=graph&amp;tracks=[key:gene_model_track,Options:GeneOnly]&amp;mk=3555756:3555775|offset_23|444444,3555697:3555716|offset_82|00cc00,3555673:3555692|offset_106|444444,3555647:3555666|offset_132|444444&amp;v=3555555:3555866&amp;c=444444", "offset 82")</f>
        <v>offset 82</v>
      </c>
    </row>
    <row r="12613" customFormat="false" ht="12.8" hidden="false" customHeight="false" outlineLevel="0" collapsed="false">
      <c r="A12613" s="0" t="s">
        <v>12</v>
      </c>
      <c r="B12613" s="0" t="n">
        <v>3555672</v>
      </c>
      <c r="C12613" s="0" t="n">
        <v>3555692</v>
      </c>
      <c r="D12613" s="0" t="s">
        <v>42039</v>
      </c>
      <c r="E12613" s="0" t="s">
        <v>89</v>
      </c>
      <c r="F12613" s="0" t="s">
        <v>90</v>
      </c>
      <c r="G12613" s="0" t="s">
        <v>32</v>
      </c>
      <c r="H12613" s="0" t="n">
        <v>106</v>
      </c>
      <c r="I12613" s="0" t="s">
        <v>42046</v>
      </c>
      <c r="J12613" s="0" t="s">
        <v>42047</v>
      </c>
      <c r="K12613" s="0" t="s">
        <v>42048</v>
      </c>
      <c r="L12613" s="0" t="str">
        <f aca="false">HYPERLINK("https://www.ncbi.nlm.nih.gov/nuccore/CP000304.1?report=graph&amp;tracks=[key:gene_model_track,Options:GeneOnly]&amp;mk=3555756:3555775|offset_23|444444,3555697:3555716|offset_82|444444,3555673:3555692|offset_106|00cc00,3555647:3555666|offset_132|444444&amp;v=3555555:3555866&amp;c=444444", "offset 106")</f>
        <v>offset 106</v>
      </c>
    </row>
    <row r="12614" customFormat="false" ht="12.8" hidden="false" customHeight="false" outlineLevel="0" collapsed="false">
      <c r="A12614" s="0" t="s">
        <v>12</v>
      </c>
      <c r="B12614" s="0" t="n">
        <v>3555646</v>
      </c>
      <c r="C12614" s="0" t="n">
        <v>3555666</v>
      </c>
      <c r="D12614" s="0" t="s">
        <v>42039</v>
      </c>
      <c r="E12614" s="0" t="s">
        <v>89</v>
      </c>
      <c r="F12614" s="0" t="s">
        <v>90</v>
      </c>
      <c r="G12614" s="0" t="s">
        <v>32</v>
      </c>
      <c r="H12614" s="0" t="n">
        <v>132</v>
      </c>
      <c r="I12614" s="0" t="s">
        <v>42049</v>
      </c>
      <c r="J12614" s="0" t="s">
        <v>42050</v>
      </c>
      <c r="K12614" s="0" t="s">
        <v>42051</v>
      </c>
      <c r="L12614" s="0" t="str">
        <f aca="false">HYPERLINK("https://www.ncbi.nlm.nih.gov/nuccore/CP000304.1?report=graph&amp;tracks=[key:gene_model_track,Options:GeneOnly]&amp;mk=3555756:3555775|offset_23|444444,3555697:3555716|offset_82|444444,3555673:3555692|offset_106|444444,3555647:3555666|offset_132|00cc00&amp;v=3555555:3555866&amp;c=444444", "offset 132")</f>
        <v>offset 132</v>
      </c>
    </row>
    <row r="12615" customFormat="false" ht="12.8" hidden="false" customHeight="false" outlineLevel="0" collapsed="false">
      <c r="A12615" s="0" t="s">
        <v>12</v>
      </c>
      <c r="B12615" s="0" t="n">
        <v>3556792</v>
      </c>
      <c r="C12615" s="0" t="n">
        <v>3556812</v>
      </c>
      <c r="D12615" s="0" t="s">
        <v>42052</v>
      </c>
      <c r="E12615" s="0" t="s">
        <v>89</v>
      </c>
      <c r="F12615" s="0" t="s">
        <v>90</v>
      </c>
      <c r="G12615" s="0" t="s">
        <v>26</v>
      </c>
      <c r="H12615" s="0" t="n">
        <v>11</v>
      </c>
      <c r="I12615" s="0" t="s">
        <v>42053</v>
      </c>
      <c r="J12615" s="0" t="s">
        <v>42054</v>
      </c>
      <c r="K12615" s="0" t="s">
        <v>42055</v>
      </c>
      <c r="L12615" s="0" t="str">
        <f aca="false">HYPERLINK("https://www.ncbi.nlm.nih.gov/nuccore/CP000304.1?report=graph&amp;tracks=[key:gene_model_track,Options:GeneOnly]&amp;mk=3556793:3556812|offset_11|00cc00,3556772:3556791|offset_32|444444,3556715:3556734|offset_89|444444,3556689:3556708|offset_115|444444&amp;v=3556592:3556908&amp;c=444444", "offset 11")</f>
        <v>offset 11</v>
      </c>
    </row>
    <row r="12616" customFormat="false" ht="12.8" hidden="false" customHeight="false" outlineLevel="0" collapsed="false">
      <c r="A12616" s="0" t="s">
        <v>12</v>
      </c>
      <c r="B12616" s="0" t="n">
        <v>3556771</v>
      </c>
      <c r="C12616" s="0" t="n">
        <v>3556791</v>
      </c>
      <c r="D12616" s="0" t="s">
        <v>42052</v>
      </c>
      <c r="E12616" s="0" t="s">
        <v>89</v>
      </c>
      <c r="F12616" s="0" t="s">
        <v>90</v>
      </c>
      <c r="G12616" s="0" t="s">
        <v>32</v>
      </c>
      <c r="H12616" s="0" t="n">
        <v>32</v>
      </c>
      <c r="I12616" s="0" t="s">
        <v>42056</v>
      </c>
      <c r="J12616" s="0" t="s">
        <v>42057</v>
      </c>
      <c r="K12616" s="0" t="s">
        <v>42058</v>
      </c>
      <c r="L12616" s="0" t="str">
        <f aca="false">HYPERLINK("https://www.ncbi.nlm.nih.gov/nuccore/CP000304.1?report=graph&amp;tracks=[key:gene_model_track,Options:GeneOnly]&amp;mk=3556793:3556812|offset_11|444444,3556772:3556791|offset_32|00cc00,3556715:3556734|offset_89|444444,3556689:3556708|offset_115|444444&amp;v=3556592:3556908&amp;c=444444", "offset 32")</f>
        <v>offset 32</v>
      </c>
    </row>
    <row r="12617" customFormat="false" ht="12.8" hidden="false" customHeight="false" outlineLevel="0" collapsed="false">
      <c r="A12617" s="0" t="s">
        <v>12</v>
      </c>
      <c r="B12617" s="0" t="n">
        <v>3556714</v>
      </c>
      <c r="C12617" s="0" t="n">
        <v>3556734</v>
      </c>
      <c r="D12617" s="0" t="s">
        <v>42052</v>
      </c>
      <c r="E12617" s="0" t="s">
        <v>89</v>
      </c>
      <c r="F12617" s="0" t="s">
        <v>90</v>
      </c>
      <c r="G12617" s="0" t="s">
        <v>36</v>
      </c>
      <c r="H12617" s="0" t="n">
        <v>89</v>
      </c>
      <c r="I12617" s="0" t="s">
        <v>42059</v>
      </c>
      <c r="J12617" s="0" t="s">
        <v>42060</v>
      </c>
      <c r="K12617" s="0" t="s">
        <v>42061</v>
      </c>
      <c r="L12617" s="0" t="str">
        <f aca="false">HYPERLINK("https://www.ncbi.nlm.nih.gov/nuccore/CP000304.1?report=graph&amp;tracks=[key:gene_model_track,Options:GeneOnly]&amp;mk=3556793:3556812|offset_11|444444,3556772:3556791|offset_32|444444,3556715:3556734|offset_89|00cc00,3556689:3556708|offset_115|444444&amp;v=3556592:3556908&amp;c=444444", "offset 89")</f>
        <v>offset 89</v>
      </c>
    </row>
    <row r="12618" customFormat="false" ht="12.8" hidden="false" customHeight="false" outlineLevel="0" collapsed="false">
      <c r="A12618" s="0" t="s">
        <v>12</v>
      </c>
      <c r="B12618" s="0" t="n">
        <v>3556688</v>
      </c>
      <c r="C12618" s="0" t="n">
        <v>3556708</v>
      </c>
      <c r="D12618" s="0" t="s">
        <v>42052</v>
      </c>
      <c r="E12618" s="0" t="s">
        <v>89</v>
      </c>
      <c r="F12618" s="0" t="s">
        <v>90</v>
      </c>
      <c r="G12618" s="0" t="s">
        <v>32</v>
      </c>
      <c r="H12618" s="0" t="n">
        <v>115</v>
      </c>
      <c r="I12618" s="0" t="s">
        <v>42062</v>
      </c>
      <c r="J12618" s="0" t="s">
        <v>42063</v>
      </c>
      <c r="K12618" s="0" t="s">
        <v>42064</v>
      </c>
      <c r="L12618" s="0" t="str">
        <f aca="false">HYPERLINK("https://www.ncbi.nlm.nih.gov/nuccore/CP000304.1?report=graph&amp;tracks=[key:gene_model_track,Options:GeneOnly]&amp;mk=3556793:3556812|offset_11|444444,3556772:3556791|offset_32|444444,3556715:3556734|offset_89|444444,3556689:3556708|offset_115|00cc00&amp;v=3556592:3556908&amp;c=444444", "offset 115")</f>
        <v>offset 115</v>
      </c>
    </row>
    <row r="12619" customFormat="false" ht="12.8" hidden="false" customHeight="false" outlineLevel="0" collapsed="false">
      <c r="A12619" s="0" t="s">
        <v>12</v>
      </c>
      <c r="B12619" s="0" t="n">
        <v>3557669</v>
      </c>
      <c r="C12619" s="0" t="n">
        <v>3557689</v>
      </c>
      <c r="D12619" s="0" t="s">
        <v>42065</v>
      </c>
      <c r="E12619" s="0" t="s">
        <v>42066</v>
      </c>
      <c r="F12619" s="0" t="s">
        <v>90</v>
      </c>
      <c r="G12619" s="0" t="s">
        <v>32</v>
      </c>
      <c r="H12619" s="0" t="n">
        <v>11</v>
      </c>
      <c r="I12619" s="0" t="s">
        <v>42067</v>
      </c>
      <c r="J12619" s="0" t="s">
        <v>42068</v>
      </c>
      <c r="K12619" s="0" t="s">
        <v>42069</v>
      </c>
      <c r="L12619" s="0" t="str">
        <f aca="false">HYPERLINK("https://www.ncbi.nlm.nih.gov/nuccore/CP000304.1?report=graph&amp;tracks=[key:gene_model_track,Options:GeneOnly]&amp;mk=3557670:3557689|offset_11|00cc00,3557610:3557629|offset_71|444444,3557579:3557598|offset_102|444444,3557552:3557571|offset_129|444444&amp;v=3557469:3557771&amp;c=444444", "offset 11")</f>
        <v>offset 11</v>
      </c>
    </row>
    <row r="12620" customFormat="false" ht="12.8" hidden="false" customHeight="false" outlineLevel="0" collapsed="false">
      <c r="A12620" s="0" t="s">
        <v>12</v>
      </c>
      <c r="B12620" s="0" t="n">
        <v>3557609</v>
      </c>
      <c r="C12620" s="0" t="n">
        <v>3557629</v>
      </c>
      <c r="D12620" s="0" t="s">
        <v>42065</v>
      </c>
      <c r="E12620" s="0" t="s">
        <v>42066</v>
      </c>
      <c r="F12620" s="0" t="s">
        <v>90</v>
      </c>
      <c r="G12620" s="0" t="s">
        <v>32</v>
      </c>
      <c r="H12620" s="0" t="n">
        <v>71</v>
      </c>
      <c r="I12620" s="0" t="s">
        <v>42070</v>
      </c>
      <c r="J12620" s="0" t="s">
        <v>42071</v>
      </c>
      <c r="K12620" s="0" t="s">
        <v>42072</v>
      </c>
      <c r="L12620" s="0" t="str">
        <f aca="false">HYPERLINK("https://www.ncbi.nlm.nih.gov/nuccore/CP000304.1?report=graph&amp;tracks=[key:gene_model_track,Options:GeneOnly]&amp;mk=3557670:3557689|offset_11|444444,3557610:3557629|offset_71|00cc00,3557579:3557598|offset_102|444444,3557552:3557571|offset_129|444444&amp;v=3557469:3557771&amp;c=444444", "offset 71")</f>
        <v>offset 71</v>
      </c>
    </row>
    <row r="12621" customFormat="false" ht="12.8" hidden="false" customHeight="false" outlineLevel="0" collapsed="false">
      <c r="A12621" s="0" t="s">
        <v>12</v>
      </c>
      <c r="B12621" s="0" t="n">
        <v>3557578</v>
      </c>
      <c r="C12621" s="0" t="n">
        <v>3557598</v>
      </c>
      <c r="D12621" s="0" t="s">
        <v>42065</v>
      </c>
      <c r="E12621" s="0" t="s">
        <v>42066</v>
      </c>
      <c r="F12621" s="0" t="s">
        <v>90</v>
      </c>
      <c r="G12621" s="0" t="s">
        <v>36</v>
      </c>
      <c r="H12621" s="0" t="n">
        <v>102</v>
      </c>
      <c r="I12621" s="0" t="s">
        <v>42073</v>
      </c>
      <c r="J12621" s="0" t="s">
        <v>42074</v>
      </c>
      <c r="K12621" s="0" t="s">
        <v>42075</v>
      </c>
      <c r="L12621" s="0" t="str">
        <f aca="false">HYPERLINK("https://www.ncbi.nlm.nih.gov/nuccore/CP000304.1?report=graph&amp;tracks=[key:gene_model_track,Options:GeneOnly]&amp;mk=3557670:3557689|offset_11|444444,3557610:3557629|offset_71|444444,3557579:3557598|offset_102|00cc00,3557552:3557571|offset_129|444444&amp;v=3557469:3557771&amp;c=444444", "offset 102")</f>
        <v>offset 102</v>
      </c>
    </row>
    <row r="12622" customFormat="false" ht="12.8" hidden="false" customHeight="false" outlineLevel="0" collapsed="false">
      <c r="A12622" s="0" t="s">
        <v>12</v>
      </c>
      <c r="B12622" s="0" t="n">
        <v>3557551</v>
      </c>
      <c r="C12622" s="0" t="n">
        <v>3557571</v>
      </c>
      <c r="D12622" s="0" t="s">
        <v>42065</v>
      </c>
      <c r="E12622" s="0" t="s">
        <v>42066</v>
      </c>
      <c r="F12622" s="0" t="s">
        <v>90</v>
      </c>
      <c r="G12622" s="0" t="s">
        <v>16</v>
      </c>
      <c r="H12622" s="0" t="n">
        <v>129</v>
      </c>
      <c r="I12622" s="0" t="s">
        <v>42076</v>
      </c>
      <c r="J12622" s="0" t="s">
        <v>42077</v>
      </c>
      <c r="K12622" s="0" t="s">
        <v>42078</v>
      </c>
      <c r="L12622" s="0" t="str">
        <f aca="false">HYPERLINK("https://www.ncbi.nlm.nih.gov/nuccore/CP000304.1?report=graph&amp;tracks=[key:gene_model_track,Options:GeneOnly]&amp;mk=3557670:3557689|offset_11|444444,3557610:3557629|offset_71|444444,3557579:3557598|offset_102|444444,3557552:3557571|offset_129|00cc00&amp;v=3557469:3557771&amp;c=444444", "offset 129")</f>
        <v>offset 129</v>
      </c>
    </row>
    <row r="12623" customFormat="false" ht="12.8" hidden="false" customHeight="false" outlineLevel="0" collapsed="false">
      <c r="A12623" s="0" t="s">
        <v>12</v>
      </c>
      <c r="B12623" s="0" t="n">
        <v>3558981</v>
      </c>
      <c r="C12623" s="0" t="n">
        <v>3559001</v>
      </c>
      <c r="D12623" s="0" t="s">
        <v>42079</v>
      </c>
      <c r="E12623" s="0" t="s">
        <v>89</v>
      </c>
      <c r="F12623" s="0" t="s">
        <v>90</v>
      </c>
      <c r="G12623" s="0" t="s">
        <v>26</v>
      </c>
      <c r="H12623" s="0" t="n">
        <v>24</v>
      </c>
      <c r="I12623" s="0" t="s">
        <v>42080</v>
      </c>
      <c r="J12623" s="0" t="s">
        <v>42081</v>
      </c>
      <c r="K12623" s="0" t="s">
        <v>42082</v>
      </c>
      <c r="L12623" s="0" t="str">
        <f aca="false">HYPERLINK("https://www.ncbi.nlm.nih.gov/nuccore/CP000304.1?report=graph&amp;tracks=[key:gene_model_track,Options:GeneOnly]&amp;mk=3558982:3559001|offset_24|00cc00,3558936:3558955|offset_70|444444,3558901:3558920|offset_105|444444,3558870:3558889|offset_136|444444&amp;v=3558781:3559089&amp;c=444444", "offset 24")</f>
        <v>offset 24</v>
      </c>
    </row>
    <row r="12624" customFormat="false" ht="12.8" hidden="false" customHeight="false" outlineLevel="0" collapsed="false">
      <c r="A12624" s="0" t="s">
        <v>12</v>
      </c>
      <c r="B12624" s="0" t="n">
        <v>3558935</v>
      </c>
      <c r="C12624" s="0" t="n">
        <v>3558955</v>
      </c>
      <c r="D12624" s="0" t="s">
        <v>42079</v>
      </c>
      <c r="E12624" s="0" t="s">
        <v>89</v>
      </c>
      <c r="F12624" s="0" t="s">
        <v>90</v>
      </c>
      <c r="G12624" s="0" t="s">
        <v>26</v>
      </c>
      <c r="H12624" s="0" t="n">
        <v>70</v>
      </c>
      <c r="I12624" s="0" t="s">
        <v>42083</v>
      </c>
      <c r="J12624" s="0" t="s">
        <v>42084</v>
      </c>
      <c r="K12624" s="0" t="s">
        <v>42085</v>
      </c>
      <c r="L12624" s="0" t="str">
        <f aca="false">HYPERLINK("https://www.ncbi.nlm.nih.gov/nuccore/CP000304.1?report=graph&amp;tracks=[key:gene_model_track,Options:GeneOnly]&amp;mk=3558982:3559001|offset_24|444444,3558936:3558955|offset_70|00cc00,3558901:3558920|offset_105|444444,3558870:3558889|offset_136|444444&amp;v=3558781:3559089&amp;c=444444", "offset 70")</f>
        <v>offset 70</v>
      </c>
    </row>
    <row r="12625" customFormat="false" ht="12.8" hidden="false" customHeight="false" outlineLevel="0" collapsed="false">
      <c r="A12625" s="0" t="s">
        <v>12</v>
      </c>
      <c r="B12625" s="0" t="n">
        <v>3558900</v>
      </c>
      <c r="C12625" s="0" t="n">
        <v>3558920</v>
      </c>
      <c r="D12625" s="0" t="s">
        <v>42079</v>
      </c>
      <c r="E12625" s="0" t="s">
        <v>89</v>
      </c>
      <c r="F12625" s="0" t="s">
        <v>90</v>
      </c>
      <c r="G12625" s="0" t="s">
        <v>26</v>
      </c>
      <c r="H12625" s="0" t="n">
        <v>105</v>
      </c>
      <c r="I12625" s="0" t="s">
        <v>42086</v>
      </c>
      <c r="J12625" s="0" t="s">
        <v>42087</v>
      </c>
      <c r="K12625" s="0" t="s">
        <v>42088</v>
      </c>
      <c r="L12625" s="0" t="str">
        <f aca="false">HYPERLINK("https://www.ncbi.nlm.nih.gov/nuccore/CP000304.1?report=graph&amp;tracks=[key:gene_model_track,Options:GeneOnly]&amp;mk=3558982:3559001|offset_24|444444,3558936:3558955|offset_70|444444,3558901:3558920|offset_105|00cc00,3558870:3558889|offset_136|444444&amp;v=3558781:3559089&amp;c=444444", "offset 105")</f>
        <v>offset 105</v>
      </c>
    </row>
    <row r="12626" customFormat="false" ht="12.8" hidden="false" customHeight="false" outlineLevel="0" collapsed="false">
      <c r="A12626" s="0" t="s">
        <v>12</v>
      </c>
      <c r="B12626" s="0" t="n">
        <v>3558869</v>
      </c>
      <c r="C12626" s="0" t="n">
        <v>3558889</v>
      </c>
      <c r="D12626" s="0" t="s">
        <v>42079</v>
      </c>
      <c r="E12626" s="0" t="s">
        <v>89</v>
      </c>
      <c r="F12626" s="0" t="s">
        <v>90</v>
      </c>
      <c r="G12626" s="0" t="s">
        <v>32</v>
      </c>
      <c r="H12626" s="0" t="n">
        <v>136</v>
      </c>
      <c r="I12626" s="0" t="s">
        <v>42089</v>
      </c>
      <c r="J12626" s="0" t="s">
        <v>42090</v>
      </c>
      <c r="K12626" s="0" t="s">
        <v>42091</v>
      </c>
      <c r="L12626" s="0" t="str">
        <f aca="false">HYPERLINK("https://www.ncbi.nlm.nih.gov/nuccore/CP000304.1?report=graph&amp;tracks=[key:gene_model_track,Options:GeneOnly]&amp;mk=3558982:3559001|offset_24|444444,3558936:3558955|offset_70|444444,3558901:3558920|offset_105|444444,3558870:3558889|offset_136|00cc00&amp;v=3558781:3559089&amp;c=444444", "offset 136")</f>
        <v>offset 136</v>
      </c>
    </row>
    <row r="12627" customFormat="false" ht="12.8" hidden="false" customHeight="false" outlineLevel="0" collapsed="false">
      <c r="A12627" s="0" t="s">
        <v>12</v>
      </c>
      <c r="B12627" s="0" t="n">
        <v>3559154</v>
      </c>
      <c r="C12627" s="0" t="n">
        <v>3559174</v>
      </c>
      <c r="D12627" s="0" t="s">
        <v>42092</v>
      </c>
      <c r="E12627" s="0" t="s">
        <v>42093</v>
      </c>
      <c r="F12627" s="0" t="s">
        <v>15</v>
      </c>
      <c r="G12627" s="0" t="s">
        <v>32</v>
      </c>
      <c r="H12627" s="0" t="n">
        <v>1</v>
      </c>
      <c r="I12627" s="0" t="s">
        <v>42094</v>
      </c>
      <c r="J12627" s="0" t="s">
        <v>42095</v>
      </c>
      <c r="K12627" s="0" t="s">
        <v>42096</v>
      </c>
      <c r="L12627" s="0" t="str">
        <f aca="false">HYPERLINK("https://www.ncbi.nlm.nih.gov/nuccore/CP000304.1?report=graph&amp;tracks=[key:gene_model_track,Options:GeneOnly]&amp;mk=3559155:3559174|offset_1|00cc00,3559178:3559197|offset_24|444444,3559203:3559222|offset_49|444444,3559225:3559244|offset_71|444444&amp;v=3558954:3559444&amp;c=444444", "offset 1")</f>
        <v>offset 1</v>
      </c>
    </row>
    <row r="12628" customFormat="false" ht="12.8" hidden="false" customHeight="false" outlineLevel="0" collapsed="false">
      <c r="A12628" s="0" t="s">
        <v>12</v>
      </c>
      <c r="B12628" s="0" t="n">
        <v>3559177</v>
      </c>
      <c r="C12628" s="0" t="n">
        <v>3559197</v>
      </c>
      <c r="D12628" s="0" t="s">
        <v>42092</v>
      </c>
      <c r="E12628" s="0" t="s">
        <v>42093</v>
      </c>
      <c r="F12628" s="0" t="s">
        <v>15</v>
      </c>
      <c r="G12628" s="0" t="s">
        <v>16</v>
      </c>
      <c r="H12628" s="0" t="n">
        <v>24</v>
      </c>
      <c r="I12628" s="0" t="s">
        <v>42097</v>
      </c>
      <c r="J12628" s="0" t="s">
        <v>42098</v>
      </c>
      <c r="K12628" s="0" t="s">
        <v>42099</v>
      </c>
      <c r="L12628" s="0" t="str">
        <f aca="false">HYPERLINK("https://www.ncbi.nlm.nih.gov/nuccore/CP000304.1?report=graph&amp;tracks=[key:gene_model_track,Options:GeneOnly]&amp;mk=3559155:3559174|offset_1|444444,3559178:3559197|offset_24|00cc00,3559203:3559222|offset_49|444444,3559225:3559244|offset_71|444444&amp;v=3558954:3559444&amp;c=444444", "offset 24")</f>
        <v>offset 24</v>
      </c>
    </row>
    <row r="12629" customFormat="false" ht="12.8" hidden="false" customHeight="false" outlineLevel="0" collapsed="false">
      <c r="A12629" s="0" t="s">
        <v>12</v>
      </c>
      <c r="B12629" s="0" t="n">
        <v>3559202</v>
      </c>
      <c r="C12629" s="0" t="n">
        <v>3559222</v>
      </c>
      <c r="D12629" s="0" t="s">
        <v>42092</v>
      </c>
      <c r="E12629" s="0" t="s">
        <v>42093</v>
      </c>
      <c r="F12629" s="0" t="s">
        <v>15</v>
      </c>
      <c r="G12629" s="0" t="s">
        <v>26</v>
      </c>
      <c r="H12629" s="0" t="n">
        <v>49</v>
      </c>
      <c r="I12629" s="0" t="s">
        <v>42100</v>
      </c>
      <c r="J12629" s="0" t="s">
        <v>42101</v>
      </c>
      <c r="K12629" s="0" t="s">
        <v>42102</v>
      </c>
      <c r="L12629" s="0" t="str">
        <f aca="false">HYPERLINK("https://www.ncbi.nlm.nih.gov/nuccore/CP000304.1?report=graph&amp;tracks=[key:gene_model_track,Options:GeneOnly]&amp;mk=3559155:3559174|offset_1|444444,3559178:3559197|offset_24|444444,3559203:3559222|offset_49|00cc00,3559225:3559244|offset_71|444444&amp;v=3558954:3559444&amp;c=444444", "offset 49")</f>
        <v>offset 49</v>
      </c>
    </row>
    <row r="12630" customFormat="false" ht="12.8" hidden="false" customHeight="false" outlineLevel="0" collapsed="false">
      <c r="A12630" s="0" t="s">
        <v>12</v>
      </c>
      <c r="B12630" s="0" t="n">
        <v>3559224</v>
      </c>
      <c r="C12630" s="0" t="n">
        <v>3559244</v>
      </c>
      <c r="D12630" s="0" t="s">
        <v>42092</v>
      </c>
      <c r="E12630" s="0" t="s">
        <v>42093</v>
      </c>
      <c r="F12630" s="0" t="s">
        <v>15</v>
      </c>
      <c r="G12630" s="0" t="s">
        <v>32</v>
      </c>
      <c r="H12630" s="0" t="n">
        <v>71</v>
      </c>
      <c r="I12630" s="0" t="s">
        <v>42103</v>
      </c>
      <c r="J12630" s="0" t="s">
        <v>42104</v>
      </c>
      <c r="K12630" s="0" t="s">
        <v>42105</v>
      </c>
      <c r="L12630" s="0" t="str">
        <f aca="false">HYPERLINK("https://www.ncbi.nlm.nih.gov/nuccore/CP000304.1?report=graph&amp;tracks=[key:gene_model_track,Options:GeneOnly]&amp;mk=3559155:3559174|offset_1|444444,3559178:3559197|offset_24|444444,3559203:3559222|offset_49|444444,3559225:3559244|offset_71|00cc00&amp;v=3558954:3559444&amp;c=444444", "offset 71")</f>
        <v>offset 71</v>
      </c>
    </row>
    <row r="12631" customFormat="false" ht="12.8" hidden="false" customHeight="false" outlineLevel="0" collapsed="false">
      <c r="A12631" s="0" t="s">
        <v>12</v>
      </c>
      <c r="B12631" s="0" t="n">
        <v>3559690</v>
      </c>
      <c r="C12631" s="0" t="n">
        <v>3559710</v>
      </c>
      <c r="D12631" s="0" t="s">
        <v>42106</v>
      </c>
      <c r="E12631" s="0" t="s">
        <v>89</v>
      </c>
      <c r="F12631" s="0" t="s">
        <v>15</v>
      </c>
      <c r="G12631" s="0" t="s">
        <v>32</v>
      </c>
      <c r="H12631" s="0" t="n">
        <v>1</v>
      </c>
      <c r="I12631" s="0" t="s">
        <v>42107</v>
      </c>
      <c r="J12631" s="0" t="s">
        <v>42108</v>
      </c>
      <c r="K12631" s="0" t="s">
        <v>42109</v>
      </c>
      <c r="L12631" s="0" t="str">
        <f aca="false">HYPERLINK("https://www.ncbi.nlm.nih.gov/nuccore/CP000304.1?report=graph&amp;tracks=[key:gene_model_track,Options:GeneOnly]&amp;mk=3559691:3559710|offset_1|00cc00,3559711:3559730|offset_21|444444,3559744:3559763|offset_54|444444,3559787:3559806|offset_97|444444&amp;v=3559490:3560006&amp;c=444444", "offset 1")</f>
        <v>offset 1</v>
      </c>
    </row>
    <row r="12632" customFormat="false" ht="12.8" hidden="false" customHeight="false" outlineLevel="0" collapsed="false">
      <c r="A12632" s="0" t="s">
        <v>12</v>
      </c>
      <c r="B12632" s="0" t="n">
        <v>3559710</v>
      </c>
      <c r="C12632" s="0" t="n">
        <v>3559730</v>
      </c>
      <c r="D12632" s="0" t="s">
        <v>42106</v>
      </c>
      <c r="E12632" s="0" t="s">
        <v>89</v>
      </c>
      <c r="F12632" s="0" t="s">
        <v>15</v>
      </c>
      <c r="G12632" s="0" t="s">
        <v>36</v>
      </c>
      <c r="H12632" s="0" t="n">
        <v>21</v>
      </c>
      <c r="I12632" s="0" t="s">
        <v>42110</v>
      </c>
      <c r="J12632" s="0" t="s">
        <v>42111</v>
      </c>
      <c r="K12632" s="0" t="s">
        <v>42112</v>
      </c>
      <c r="L12632" s="0" t="str">
        <f aca="false">HYPERLINK("https://www.ncbi.nlm.nih.gov/nuccore/CP000304.1?report=graph&amp;tracks=[key:gene_model_track,Options:GeneOnly]&amp;mk=3559691:3559710|offset_1|444444,3559711:3559730|offset_21|00cc00,3559744:3559763|offset_54|444444,3559787:3559806|offset_97|444444&amp;v=3559490:3560006&amp;c=444444", "offset 21")</f>
        <v>offset 21</v>
      </c>
    </row>
    <row r="12633" customFormat="false" ht="12.8" hidden="false" customHeight="false" outlineLevel="0" collapsed="false">
      <c r="A12633" s="0" t="s">
        <v>12</v>
      </c>
      <c r="B12633" s="0" t="n">
        <v>3559743</v>
      </c>
      <c r="C12633" s="0" t="n">
        <v>3559763</v>
      </c>
      <c r="D12633" s="0" t="s">
        <v>42106</v>
      </c>
      <c r="E12633" s="0" t="s">
        <v>89</v>
      </c>
      <c r="F12633" s="0" t="s">
        <v>15</v>
      </c>
      <c r="G12633" s="0" t="s">
        <v>16</v>
      </c>
      <c r="H12633" s="0" t="n">
        <v>54</v>
      </c>
      <c r="I12633" s="0" t="s">
        <v>42113</v>
      </c>
      <c r="J12633" s="0" t="s">
        <v>42114</v>
      </c>
      <c r="K12633" s="0" t="s">
        <v>42115</v>
      </c>
      <c r="L12633" s="0" t="str">
        <f aca="false">HYPERLINK("https://www.ncbi.nlm.nih.gov/nuccore/CP000304.1?report=graph&amp;tracks=[key:gene_model_track,Options:GeneOnly]&amp;mk=3559691:3559710|offset_1|444444,3559711:3559730|offset_21|444444,3559744:3559763|offset_54|00cc00,3559787:3559806|offset_97|444444&amp;v=3559490:3560006&amp;c=444444", "offset 54")</f>
        <v>offset 54</v>
      </c>
    </row>
    <row r="12634" customFormat="false" ht="12.8" hidden="false" customHeight="false" outlineLevel="0" collapsed="false">
      <c r="A12634" s="0" t="s">
        <v>12</v>
      </c>
      <c r="B12634" s="0" t="n">
        <v>3559786</v>
      </c>
      <c r="C12634" s="0" t="n">
        <v>3559806</v>
      </c>
      <c r="D12634" s="0" t="s">
        <v>42106</v>
      </c>
      <c r="E12634" s="0" t="s">
        <v>89</v>
      </c>
      <c r="F12634" s="0" t="s">
        <v>15</v>
      </c>
      <c r="G12634" s="0" t="s">
        <v>36</v>
      </c>
      <c r="H12634" s="0" t="n">
        <v>97</v>
      </c>
      <c r="I12634" s="0" t="s">
        <v>42116</v>
      </c>
      <c r="J12634" s="0" t="s">
        <v>42117</v>
      </c>
      <c r="K12634" s="0" t="s">
        <v>42118</v>
      </c>
      <c r="L12634" s="0" t="str">
        <f aca="false">HYPERLINK("https://www.ncbi.nlm.nih.gov/nuccore/CP000304.1?report=graph&amp;tracks=[key:gene_model_track,Options:GeneOnly]&amp;mk=3559691:3559710|offset_1|444444,3559711:3559730|offset_21|444444,3559744:3559763|offset_54|444444,3559787:3559806|offset_97|00cc00&amp;v=3559490:3560006&amp;c=444444", "offset 97")</f>
        <v>offset 97</v>
      </c>
    </row>
    <row r="12635" customFormat="false" ht="12.8" hidden="false" customHeight="false" outlineLevel="0" collapsed="false">
      <c r="A12635" s="0" t="s">
        <v>12</v>
      </c>
      <c r="B12635" s="0" t="n">
        <v>3560714</v>
      </c>
      <c r="C12635" s="0" t="n">
        <v>3560734</v>
      </c>
      <c r="D12635" s="0" t="s">
        <v>42119</v>
      </c>
      <c r="E12635" s="0" t="s">
        <v>89</v>
      </c>
      <c r="F12635" s="0" t="s">
        <v>15</v>
      </c>
      <c r="G12635" s="0" t="s">
        <v>16</v>
      </c>
      <c r="H12635" s="0" t="n">
        <v>14</v>
      </c>
      <c r="I12635" s="0" t="s">
        <v>42120</v>
      </c>
      <c r="J12635" s="0" t="s">
        <v>42121</v>
      </c>
      <c r="K12635" s="0" t="s">
        <v>42122</v>
      </c>
      <c r="L12635" s="0" t="str">
        <f aca="false">HYPERLINK("https://www.ncbi.nlm.nih.gov/nuccore/CP000304.1?report=graph&amp;tracks=[key:gene_model_track,Options:GeneOnly]&amp;mk=3560715:3560734|offset_14|00cc00,3560748:3560767|offset_47|444444,3560784:3560803|offset_83|444444,3560806:3560825|offset_105|444444&amp;v=3560514:3561025&amp;c=444444", "offset 14")</f>
        <v>offset 14</v>
      </c>
    </row>
    <row r="12636" customFormat="false" ht="12.8" hidden="false" customHeight="false" outlineLevel="0" collapsed="false">
      <c r="A12636" s="0" t="s">
        <v>12</v>
      </c>
      <c r="B12636" s="0" t="n">
        <v>3560747</v>
      </c>
      <c r="C12636" s="0" t="n">
        <v>3560767</v>
      </c>
      <c r="D12636" s="0" t="s">
        <v>42119</v>
      </c>
      <c r="E12636" s="0" t="s">
        <v>89</v>
      </c>
      <c r="F12636" s="0" t="s">
        <v>15</v>
      </c>
      <c r="G12636" s="0" t="s">
        <v>26</v>
      </c>
      <c r="H12636" s="0" t="n">
        <v>47</v>
      </c>
      <c r="I12636" s="0" t="s">
        <v>42123</v>
      </c>
      <c r="J12636" s="0" t="s">
        <v>42124</v>
      </c>
      <c r="K12636" s="0" t="s">
        <v>42125</v>
      </c>
      <c r="L12636" s="0" t="str">
        <f aca="false">HYPERLINK("https://www.ncbi.nlm.nih.gov/nuccore/CP000304.1?report=graph&amp;tracks=[key:gene_model_track,Options:GeneOnly]&amp;mk=3560715:3560734|offset_14|444444,3560748:3560767|offset_47|00cc00,3560784:3560803|offset_83|444444,3560806:3560825|offset_105|444444&amp;v=3560514:3561025&amp;c=444444", "offset 47")</f>
        <v>offset 47</v>
      </c>
    </row>
    <row r="12637" customFormat="false" ht="12.8" hidden="false" customHeight="false" outlineLevel="0" collapsed="false">
      <c r="A12637" s="0" t="s">
        <v>12</v>
      </c>
      <c r="B12637" s="0" t="n">
        <v>3560783</v>
      </c>
      <c r="C12637" s="0" t="n">
        <v>3560803</v>
      </c>
      <c r="D12637" s="0" t="s">
        <v>42119</v>
      </c>
      <c r="E12637" s="0" t="s">
        <v>89</v>
      </c>
      <c r="F12637" s="0" t="s">
        <v>15</v>
      </c>
      <c r="G12637" s="0" t="s">
        <v>36</v>
      </c>
      <c r="H12637" s="0" t="n">
        <v>83</v>
      </c>
      <c r="I12637" s="0" t="s">
        <v>42126</v>
      </c>
      <c r="J12637" s="0" t="s">
        <v>42127</v>
      </c>
      <c r="K12637" s="0" t="s">
        <v>42128</v>
      </c>
      <c r="L12637" s="0" t="str">
        <f aca="false">HYPERLINK("https://www.ncbi.nlm.nih.gov/nuccore/CP000304.1?report=graph&amp;tracks=[key:gene_model_track,Options:GeneOnly]&amp;mk=3560715:3560734|offset_14|444444,3560748:3560767|offset_47|444444,3560784:3560803|offset_83|00cc00,3560806:3560825|offset_105|444444&amp;v=3560514:3561025&amp;c=444444", "offset 83")</f>
        <v>offset 83</v>
      </c>
    </row>
    <row r="12638" customFormat="false" ht="12.8" hidden="false" customHeight="false" outlineLevel="0" collapsed="false">
      <c r="A12638" s="0" t="s">
        <v>12</v>
      </c>
      <c r="B12638" s="0" t="n">
        <v>3560805</v>
      </c>
      <c r="C12638" s="0" t="n">
        <v>3560825</v>
      </c>
      <c r="D12638" s="0" t="s">
        <v>42119</v>
      </c>
      <c r="E12638" s="0" t="s">
        <v>89</v>
      </c>
      <c r="F12638" s="0" t="s">
        <v>15</v>
      </c>
      <c r="G12638" s="0" t="s">
        <v>36</v>
      </c>
      <c r="H12638" s="0" t="n">
        <v>105</v>
      </c>
      <c r="I12638" s="0" t="s">
        <v>42129</v>
      </c>
      <c r="J12638" s="0" t="s">
        <v>42130</v>
      </c>
      <c r="K12638" s="0" t="s">
        <v>42131</v>
      </c>
      <c r="L12638" s="0" t="str">
        <f aca="false">HYPERLINK("https://www.ncbi.nlm.nih.gov/nuccore/CP000304.1?report=graph&amp;tracks=[key:gene_model_track,Options:GeneOnly]&amp;mk=3560715:3560734|offset_14|444444,3560748:3560767|offset_47|444444,3560784:3560803|offset_83|444444,3560806:3560825|offset_105|00cc00&amp;v=3560514:3561025&amp;c=444444", "offset 105")</f>
        <v>offset 105</v>
      </c>
    </row>
    <row r="12639" customFormat="false" ht="12.8" hidden="false" customHeight="false" outlineLevel="0" collapsed="false">
      <c r="A12639" s="0" t="s">
        <v>12</v>
      </c>
      <c r="B12639" s="0" t="n">
        <v>3560880</v>
      </c>
      <c r="C12639" s="0" t="n">
        <v>3560900</v>
      </c>
      <c r="D12639" s="0" t="s">
        <v>42132</v>
      </c>
      <c r="E12639" s="0" t="s">
        <v>89</v>
      </c>
      <c r="F12639" s="0" t="s">
        <v>15</v>
      </c>
      <c r="G12639" s="0" t="s">
        <v>26</v>
      </c>
      <c r="H12639" s="0" t="n">
        <v>20</v>
      </c>
      <c r="I12639" s="0" t="s">
        <v>42133</v>
      </c>
      <c r="J12639" s="0" t="s">
        <v>42134</v>
      </c>
      <c r="K12639" s="0" t="s">
        <v>42135</v>
      </c>
      <c r="L12639" s="0" t="str">
        <f aca="false">HYPERLINK("https://www.ncbi.nlm.nih.gov/nuccore/CP000304.1?report=graph&amp;tracks=[key:gene_model_track,Options:GeneOnly]&amp;mk=3560881:3560900|offset_20|00cc00,3560907:3560926|offset_46|444444,3560937:3560956|offset_76|444444,3560963:3560982|offset_102|444444&amp;v=3560680:3561182&amp;c=444444", "offset 20")</f>
        <v>offset 20</v>
      </c>
    </row>
    <row r="12640" customFormat="false" ht="12.8" hidden="false" customHeight="false" outlineLevel="0" collapsed="false">
      <c r="A12640" s="0" t="s">
        <v>12</v>
      </c>
      <c r="B12640" s="0" t="n">
        <v>3560906</v>
      </c>
      <c r="C12640" s="0" t="n">
        <v>3560926</v>
      </c>
      <c r="D12640" s="0" t="s">
        <v>42132</v>
      </c>
      <c r="E12640" s="0" t="s">
        <v>89</v>
      </c>
      <c r="F12640" s="0" t="s">
        <v>15</v>
      </c>
      <c r="G12640" s="0" t="s">
        <v>16</v>
      </c>
      <c r="H12640" s="0" t="n">
        <v>46</v>
      </c>
      <c r="I12640" s="0" t="s">
        <v>42136</v>
      </c>
      <c r="J12640" s="0" t="s">
        <v>42137</v>
      </c>
      <c r="K12640" s="0" t="s">
        <v>42138</v>
      </c>
      <c r="L12640" s="0" t="str">
        <f aca="false">HYPERLINK("https://www.ncbi.nlm.nih.gov/nuccore/CP000304.1?report=graph&amp;tracks=[key:gene_model_track,Options:GeneOnly]&amp;mk=3560881:3560900|offset_20|444444,3560907:3560926|offset_46|00cc00,3560937:3560956|offset_76|444444,3560963:3560982|offset_102|444444&amp;v=3560680:3561182&amp;c=444444", "offset 46")</f>
        <v>offset 46</v>
      </c>
    </row>
    <row r="12641" customFormat="false" ht="12.8" hidden="false" customHeight="false" outlineLevel="0" collapsed="false">
      <c r="A12641" s="0" t="s">
        <v>12</v>
      </c>
      <c r="B12641" s="0" t="n">
        <v>3560936</v>
      </c>
      <c r="C12641" s="0" t="n">
        <v>3560956</v>
      </c>
      <c r="D12641" s="0" t="s">
        <v>42132</v>
      </c>
      <c r="E12641" s="0" t="s">
        <v>89</v>
      </c>
      <c r="F12641" s="0" t="s">
        <v>15</v>
      </c>
      <c r="G12641" s="0" t="s">
        <v>26</v>
      </c>
      <c r="H12641" s="0" t="n">
        <v>76</v>
      </c>
      <c r="I12641" s="0" t="s">
        <v>42139</v>
      </c>
      <c r="J12641" s="0" t="s">
        <v>42140</v>
      </c>
      <c r="K12641" s="0" t="s">
        <v>42141</v>
      </c>
      <c r="L12641" s="0" t="str">
        <f aca="false">HYPERLINK("https://www.ncbi.nlm.nih.gov/nuccore/CP000304.1?report=graph&amp;tracks=[key:gene_model_track,Options:GeneOnly]&amp;mk=3560881:3560900|offset_20|444444,3560907:3560926|offset_46|444444,3560937:3560956|offset_76|00cc00,3560963:3560982|offset_102|444444&amp;v=3560680:3561182&amp;c=444444", "offset 76")</f>
        <v>offset 76</v>
      </c>
    </row>
    <row r="12642" customFormat="false" ht="12.8" hidden="false" customHeight="false" outlineLevel="0" collapsed="false">
      <c r="A12642" s="0" t="s">
        <v>12</v>
      </c>
      <c r="B12642" s="0" t="n">
        <v>3560962</v>
      </c>
      <c r="C12642" s="0" t="n">
        <v>3560982</v>
      </c>
      <c r="D12642" s="0" t="s">
        <v>42132</v>
      </c>
      <c r="E12642" s="0" t="s">
        <v>89</v>
      </c>
      <c r="F12642" s="0" t="s">
        <v>15</v>
      </c>
      <c r="G12642" s="0" t="s">
        <v>16</v>
      </c>
      <c r="H12642" s="0" t="n">
        <v>102</v>
      </c>
      <c r="I12642" s="0" t="s">
        <v>42142</v>
      </c>
      <c r="J12642" s="0" t="s">
        <v>42143</v>
      </c>
      <c r="K12642" s="0" t="s">
        <v>42144</v>
      </c>
      <c r="L12642" s="0" t="str">
        <f aca="false">HYPERLINK("https://www.ncbi.nlm.nih.gov/nuccore/CP000304.1?report=graph&amp;tracks=[key:gene_model_track,Options:GeneOnly]&amp;mk=3560881:3560900|offset_20|444444,3560907:3560926|offset_46|444444,3560937:3560956|offset_76|444444,3560963:3560982|offset_102|00cc00&amp;v=3560680:3561182&amp;c=444444", "offset 102")</f>
        <v>offset 102</v>
      </c>
    </row>
    <row r="12643" customFormat="false" ht="12.8" hidden="false" customHeight="false" outlineLevel="0" collapsed="false">
      <c r="A12643" s="0" t="s">
        <v>12</v>
      </c>
      <c r="B12643" s="0" t="n">
        <v>3563910</v>
      </c>
      <c r="C12643" s="0" t="n">
        <v>3563930</v>
      </c>
      <c r="D12643" s="0" t="s">
        <v>42145</v>
      </c>
      <c r="E12643" s="0" t="s">
        <v>89</v>
      </c>
      <c r="F12643" s="0" t="s">
        <v>15</v>
      </c>
      <c r="G12643" s="0" t="s">
        <v>32</v>
      </c>
      <c r="H12643" s="0" t="n">
        <v>34</v>
      </c>
      <c r="I12643" s="0" t="s">
        <v>42146</v>
      </c>
      <c r="J12643" s="0" t="s">
        <v>42147</v>
      </c>
      <c r="K12643" s="0" t="s">
        <v>42148</v>
      </c>
      <c r="L12643" s="0" t="str">
        <f aca="false">HYPERLINK("https://www.ncbi.nlm.nih.gov/nuccore/CP000304.1?report=graph&amp;tracks=[key:gene_model_track,Options:GeneOnly]&amp;mk=3563911:3563930|offset_34|00cc00,3563936:3563955|offset_59|444444,3564008:3564027|offset_131|444444,3564035:3564054|offset_158|444444&amp;v=3563710:3564254&amp;c=444444", "offset 34")</f>
        <v>offset 34</v>
      </c>
    </row>
    <row r="12644" customFormat="false" ht="12.8" hidden="false" customHeight="false" outlineLevel="0" collapsed="false">
      <c r="A12644" s="0" t="s">
        <v>12</v>
      </c>
      <c r="B12644" s="0" t="n">
        <v>3563935</v>
      </c>
      <c r="C12644" s="0" t="n">
        <v>3563955</v>
      </c>
      <c r="D12644" s="0" t="s">
        <v>42145</v>
      </c>
      <c r="E12644" s="0" t="s">
        <v>89</v>
      </c>
      <c r="F12644" s="0" t="s">
        <v>15</v>
      </c>
      <c r="G12644" s="0" t="s">
        <v>26</v>
      </c>
      <c r="H12644" s="0" t="n">
        <v>59</v>
      </c>
      <c r="I12644" s="0" t="s">
        <v>42149</v>
      </c>
      <c r="J12644" s="0" t="s">
        <v>42150</v>
      </c>
      <c r="K12644" s="0" t="s">
        <v>42151</v>
      </c>
      <c r="L12644" s="0" t="str">
        <f aca="false">HYPERLINK("https://www.ncbi.nlm.nih.gov/nuccore/CP000304.1?report=graph&amp;tracks=[key:gene_model_track,Options:GeneOnly]&amp;mk=3563911:3563930|offset_34|444444,3563936:3563955|offset_59|00cc00,3564008:3564027|offset_131|444444,3564035:3564054|offset_158|444444&amp;v=3563710:3564254&amp;c=444444", "offset 59")</f>
        <v>offset 59</v>
      </c>
    </row>
    <row r="12645" customFormat="false" ht="12.8" hidden="false" customHeight="false" outlineLevel="0" collapsed="false">
      <c r="A12645" s="0" t="s">
        <v>12</v>
      </c>
      <c r="B12645" s="0" t="n">
        <v>3564007</v>
      </c>
      <c r="C12645" s="0" t="n">
        <v>3564027</v>
      </c>
      <c r="D12645" s="0" t="s">
        <v>42145</v>
      </c>
      <c r="E12645" s="0" t="s">
        <v>89</v>
      </c>
      <c r="F12645" s="0" t="s">
        <v>15</v>
      </c>
      <c r="G12645" s="0" t="s">
        <v>36</v>
      </c>
      <c r="H12645" s="0" t="n">
        <v>131</v>
      </c>
      <c r="I12645" s="0" t="s">
        <v>42152</v>
      </c>
      <c r="J12645" s="0" t="s">
        <v>42153</v>
      </c>
      <c r="K12645" s="0" t="s">
        <v>42154</v>
      </c>
      <c r="L12645" s="0" t="str">
        <f aca="false">HYPERLINK("https://www.ncbi.nlm.nih.gov/nuccore/CP000304.1?report=graph&amp;tracks=[key:gene_model_track,Options:GeneOnly]&amp;mk=3563911:3563930|offset_34|444444,3563936:3563955|offset_59|444444,3564008:3564027|offset_131|00cc00,3564035:3564054|offset_158|444444&amp;v=3563710:3564254&amp;c=444444", "offset 131")</f>
        <v>offset 131</v>
      </c>
    </row>
    <row r="12646" customFormat="false" ht="12.8" hidden="false" customHeight="false" outlineLevel="0" collapsed="false">
      <c r="A12646" s="0" t="s">
        <v>12</v>
      </c>
      <c r="B12646" s="0" t="n">
        <v>3564034</v>
      </c>
      <c r="C12646" s="0" t="n">
        <v>3564054</v>
      </c>
      <c r="D12646" s="0" t="s">
        <v>42145</v>
      </c>
      <c r="E12646" s="0" t="s">
        <v>89</v>
      </c>
      <c r="F12646" s="0" t="s">
        <v>15</v>
      </c>
      <c r="G12646" s="0" t="s">
        <v>26</v>
      </c>
      <c r="H12646" s="0" t="n">
        <v>158</v>
      </c>
      <c r="I12646" s="0" t="s">
        <v>42155</v>
      </c>
      <c r="J12646" s="0" t="s">
        <v>42156</v>
      </c>
      <c r="K12646" s="0" t="s">
        <v>42157</v>
      </c>
      <c r="L12646" s="0" t="str">
        <f aca="false">HYPERLINK("https://www.ncbi.nlm.nih.gov/nuccore/CP000304.1?report=graph&amp;tracks=[key:gene_model_track,Options:GeneOnly]&amp;mk=3563911:3563930|offset_34|444444,3563936:3563955|offset_59|444444,3564008:3564027|offset_131|444444,3564035:3564054|offset_158|00cc00&amp;v=3563710:3564254&amp;c=444444", "offset 158")</f>
        <v>offset 158</v>
      </c>
    </row>
    <row r="12647" customFormat="false" ht="12.8" hidden="false" customHeight="false" outlineLevel="0" collapsed="false">
      <c r="A12647" s="0" t="s">
        <v>12</v>
      </c>
      <c r="B12647" s="0" t="n">
        <v>3566019</v>
      </c>
      <c r="C12647" s="0" t="n">
        <v>3566039</v>
      </c>
      <c r="D12647" s="0" t="s">
        <v>42158</v>
      </c>
      <c r="E12647" s="0" t="s">
        <v>42159</v>
      </c>
      <c r="F12647" s="0" t="s">
        <v>15</v>
      </c>
      <c r="G12647" s="0" t="s">
        <v>36</v>
      </c>
      <c r="H12647" s="0" t="n">
        <v>6</v>
      </c>
      <c r="I12647" s="0" t="s">
        <v>42160</v>
      </c>
      <c r="J12647" s="0" t="s">
        <v>42161</v>
      </c>
      <c r="K12647" s="0" t="s">
        <v>42162</v>
      </c>
      <c r="L12647" s="0" t="str">
        <f aca="false">HYPERLINK("https://www.ncbi.nlm.nih.gov/nuccore/CP000304.1?report=graph&amp;tracks=[key:gene_model_track,Options:GeneOnly]&amp;mk=3566020:3566039|offset_6|00cc00,3566043:3566062|offset_29|444444,3566067:3566086|offset_53|444444,3566092:3566111|offset_78|444444&amp;v=3565819:3566311&amp;c=444444", "offset 6")</f>
        <v>offset 6</v>
      </c>
    </row>
    <row r="12648" customFormat="false" ht="12.8" hidden="false" customHeight="false" outlineLevel="0" collapsed="false">
      <c r="A12648" s="0" t="s">
        <v>12</v>
      </c>
      <c r="B12648" s="0" t="n">
        <v>3566042</v>
      </c>
      <c r="C12648" s="0" t="n">
        <v>3566062</v>
      </c>
      <c r="D12648" s="0" t="s">
        <v>42158</v>
      </c>
      <c r="E12648" s="0" t="s">
        <v>42159</v>
      </c>
      <c r="F12648" s="0" t="s">
        <v>15</v>
      </c>
      <c r="G12648" s="0" t="s">
        <v>32</v>
      </c>
      <c r="H12648" s="0" t="n">
        <v>29</v>
      </c>
      <c r="I12648" s="0" t="s">
        <v>42163</v>
      </c>
      <c r="J12648" s="0" t="s">
        <v>42164</v>
      </c>
      <c r="K12648" s="0" t="s">
        <v>42165</v>
      </c>
      <c r="L12648" s="0" t="str">
        <f aca="false">HYPERLINK("https://www.ncbi.nlm.nih.gov/nuccore/CP000304.1?report=graph&amp;tracks=[key:gene_model_track,Options:GeneOnly]&amp;mk=3566020:3566039|offset_6|444444,3566043:3566062|offset_29|00cc00,3566067:3566086|offset_53|444444,3566092:3566111|offset_78|444444&amp;v=3565819:3566311&amp;c=444444", "offset 29")</f>
        <v>offset 29</v>
      </c>
    </row>
    <row r="12649" customFormat="false" ht="12.8" hidden="false" customHeight="false" outlineLevel="0" collapsed="false">
      <c r="A12649" s="0" t="s">
        <v>12</v>
      </c>
      <c r="B12649" s="0" t="n">
        <v>3566066</v>
      </c>
      <c r="C12649" s="0" t="n">
        <v>3566086</v>
      </c>
      <c r="D12649" s="0" t="s">
        <v>42158</v>
      </c>
      <c r="E12649" s="0" t="s">
        <v>42159</v>
      </c>
      <c r="F12649" s="0" t="s">
        <v>15</v>
      </c>
      <c r="G12649" s="0" t="s">
        <v>16</v>
      </c>
      <c r="H12649" s="0" t="n">
        <v>53</v>
      </c>
      <c r="I12649" s="0" t="s">
        <v>42166</v>
      </c>
      <c r="J12649" s="0" t="s">
        <v>42167</v>
      </c>
      <c r="K12649" s="0" t="s">
        <v>42168</v>
      </c>
      <c r="L12649" s="0" t="str">
        <f aca="false">HYPERLINK("https://www.ncbi.nlm.nih.gov/nuccore/CP000304.1?report=graph&amp;tracks=[key:gene_model_track,Options:GeneOnly]&amp;mk=3566020:3566039|offset_6|444444,3566043:3566062|offset_29|444444,3566067:3566086|offset_53|00cc00,3566092:3566111|offset_78|444444&amp;v=3565819:3566311&amp;c=444444", "offset 53")</f>
        <v>offset 53</v>
      </c>
    </row>
    <row r="12650" customFormat="false" ht="12.8" hidden="false" customHeight="false" outlineLevel="0" collapsed="false">
      <c r="A12650" s="0" t="s">
        <v>12</v>
      </c>
      <c r="B12650" s="0" t="n">
        <v>3566091</v>
      </c>
      <c r="C12650" s="0" t="n">
        <v>3566111</v>
      </c>
      <c r="D12650" s="0" t="s">
        <v>42158</v>
      </c>
      <c r="E12650" s="0" t="s">
        <v>42159</v>
      </c>
      <c r="F12650" s="0" t="s">
        <v>15</v>
      </c>
      <c r="G12650" s="0" t="s">
        <v>26</v>
      </c>
      <c r="H12650" s="0" t="n">
        <v>78</v>
      </c>
      <c r="I12650" s="0" t="s">
        <v>42169</v>
      </c>
      <c r="J12650" s="0" t="s">
        <v>42170</v>
      </c>
      <c r="K12650" s="0" t="s">
        <v>42171</v>
      </c>
      <c r="L12650" s="0" t="str">
        <f aca="false">HYPERLINK("https://www.ncbi.nlm.nih.gov/nuccore/CP000304.1?report=graph&amp;tracks=[key:gene_model_track,Options:GeneOnly]&amp;mk=3566020:3566039|offset_6|444444,3566043:3566062|offset_29|444444,3566067:3566086|offset_53|444444,3566092:3566111|offset_78|00cc00&amp;v=3565819:3566311&amp;c=444444", "offset 78")</f>
        <v>offset 78</v>
      </c>
    </row>
    <row r="12651" customFormat="false" ht="12.8" hidden="false" customHeight="false" outlineLevel="0" collapsed="false">
      <c r="A12651" s="0" t="s">
        <v>12</v>
      </c>
      <c r="B12651" s="0" t="n">
        <v>3567438</v>
      </c>
      <c r="C12651" s="0" t="n">
        <v>3567458</v>
      </c>
      <c r="D12651" s="0" t="s">
        <v>42172</v>
      </c>
      <c r="E12651" s="0" t="s">
        <v>42173</v>
      </c>
      <c r="F12651" s="0" t="s">
        <v>15</v>
      </c>
      <c r="G12651" s="0" t="s">
        <v>26</v>
      </c>
      <c r="H12651" s="0" t="n">
        <v>47</v>
      </c>
      <c r="I12651" s="0" t="s">
        <v>42174</v>
      </c>
      <c r="J12651" s="0" t="s">
        <v>42175</v>
      </c>
      <c r="K12651" s="0" t="s">
        <v>42176</v>
      </c>
      <c r="L12651" s="0" t="str">
        <f aca="false">HYPERLINK("https://www.ncbi.nlm.nih.gov/nuccore/CP000304.1?report=graph&amp;tracks=[key:gene_model_track,Options:GeneOnly]&amp;mk=3567439:3567458|offset_47|00cc00,3567461:3567480|offset_69|444444,3567483:3567502|offset_91|444444,3567506:3567525|offset_114|444444&amp;v=3567238:3567725&amp;c=444444", "offset 47")</f>
        <v>offset 47</v>
      </c>
    </row>
    <row r="12652" customFormat="false" ht="12.8" hidden="false" customHeight="false" outlineLevel="0" collapsed="false">
      <c r="A12652" s="0" t="s">
        <v>12</v>
      </c>
      <c r="B12652" s="0" t="n">
        <v>3567460</v>
      </c>
      <c r="C12652" s="0" t="n">
        <v>3567480</v>
      </c>
      <c r="D12652" s="0" t="s">
        <v>42172</v>
      </c>
      <c r="E12652" s="0" t="s">
        <v>42173</v>
      </c>
      <c r="F12652" s="0" t="s">
        <v>15</v>
      </c>
      <c r="G12652" s="0" t="s">
        <v>36</v>
      </c>
      <c r="H12652" s="0" t="n">
        <v>69</v>
      </c>
      <c r="I12652" s="0" t="s">
        <v>42177</v>
      </c>
      <c r="J12652" s="0" t="s">
        <v>42178</v>
      </c>
      <c r="K12652" s="0" t="s">
        <v>42179</v>
      </c>
      <c r="L12652" s="0" t="str">
        <f aca="false">HYPERLINK("https://www.ncbi.nlm.nih.gov/nuccore/CP000304.1?report=graph&amp;tracks=[key:gene_model_track,Options:GeneOnly]&amp;mk=3567439:3567458|offset_47|444444,3567461:3567480|offset_69|00cc00,3567483:3567502|offset_91|444444,3567506:3567525|offset_114|444444&amp;v=3567238:3567725&amp;c=444444", "offset 69")</f>
        <v>offset 69</v>
      </c>
    </row>
    <row r="12653" customFormat="false" ht="12.8" hidden="false" customHeight="false" outlineLevel="0" collapsed="false">
      <c r="A12653" s="0" t="s">
        <v>12</v>
      </c>
      <c r="B12653" s="0" t="n">
        <v>3567482</v>
      </c>
      <c r="C12653" s="0" t="n">
        <v>3567502</v>
      </c>
      <c r="D12653" s="0" t="s">
        <v>42172</v>
      </c>
      <c r="E12653" s="0" t="s">
        <v>42173</v>
      </c>
      <c r="F12653" s="0" t="s">
        <v>15</v>
      </c>
      <c r="G12653" s="0" t="s">
        <v>36</v>
      </c>
      <c r="H12653" s="0" t="n">
        <v>91</v>
      </c>
      <c r="I12653" s="0" t="s">
        <v>42180</v>
      </c>
      <c r="J12653" s="0" t="s">
        <v>42181</v>
      </c>
      <c r="K12653" s="0" t="s">
        <v>42182</v>
      </c>
      <c r="L12653" s="0" t="str">
        <f aca="false">HYPERLINK("https://www.ncbi.nlm.nih.gov/nuccore/CP000304.1?report=graph&amp;tracks=[key:gene_model_track,Options:GeneOnly]&amp;mk=3567439:3567458|offset_47|444444,3567461:3567480|offset_69|444444,3567483:3567502|offset_91|00cc00,3567506:3567525|offset_114|444444&amp;v=3567238:3567725&amp;c=444444", "offset 91")</f>
        <v>offset 91</v>
      </c>
    </row>
    <row r="12654" customFormat="false" ht="12.8" hidden="false" customHeight="false" outlineLevel="0" collapsed="false">
      <c r="A12654" s="0" t="s">
        <v>12</v>
      </c>
      <c r="B12654" s="0" t="n">
        <v>3567505</v>
      </c>
      <c r="C12654" s="0" t="n">
        <v>3567525</v>
      </c>
      <c r="D12654" s="0" t="s">
        <v>42172</v>
      </c>
      <c r="E12654" s="0" t="s">
        <v>42173</v>
      </c>
      <c r="F12654" s="0" t="s">
        <v>15</v>
      </c>
      <c r="G12654" s="0" t="s">
        <v>32</v>
      </c>
      <c r="H12654" s="0" t="n">
        <v>114</v>
      </c>
      <c r="I12654" s="0" t="s">
        <v>42183</v>
      </c>
      <c r="J12654" s="0" t="s">
        <v>42184</v>
      </c>
      <c r="K12654" s="0" t="s">
        <v>42185</v>
      </c>
      <c r="L12654" s="0" t="str">
        <f aca="false">HYPERLINK("https://www.ncbi.nlm.nih.gov/nuccore/CP000304.1?report=graph&amp;tracks=[key:gene_model_track,Options:GeneOnly]&amp;mk=3567439:3567458|offset_47|444444,3567461:3567480|offset_69|444444,3567483:3567502|offset_91|444444,3567506:3567525|offset_114|00cc00&amp;v=3567238:3567725&amp;c=444444", "offset 114")</f>
        <v>offset 114</v>
      </c>
    </row>
    <row r="12655" customFormat="false" ht="12.8" hidden="false" customHeight="false" outlineLevel="0" collapsed="false">
      <c r="A12655" s="0" t="s">
        <v>12</v>
      </c>
      <c r="B12655" s="0" t="n">
        <v>3568221</v>
      </c>
      <c r="C12655" s="0" t="n">
        <v>3568241</v>
      </c>
      <c r="D12655" s="0" t="s">
        <v>42186</v>
      </c>
      <c r="E12655" s="0" t="s">
        <v>42187</v>
      </c>
      <c r="F12655" s="0" t="s">
        <v>15</v>
      </c>
      <c r="G12655" s="0" t="s">
        <v>26</v>
      </c>
      <c r="H12655" s="0" t="n">
        <v>35</v>
      </c>
      <c r="I12655" s="0" t="s">
        <v>42188</v>
      </c>
      <c r="J12655" s="0" t="s">
        <v>42189</v>
      </c>
      <c r="K12655" s="0" t="s">
        <v>42190</v>
      </c>
      <c r="L12655" s="0" t="str">
        <f aca="false">HYPERLINK("https://www.ncbi.nlm.nih.gov/nuccore/CP000304.1?report=graph&amp;tracks=[key:gene_model_track,Options:GeneOnly]&amp;mk=3568222:3568241|offset_35|00cc00,3568247:3568266|offset_60|444444,3568269:3568288|offset_82|444444,3568300:3568319|offset_113|444444&amp;v=3568021:3568519&amp;c=444444", "offset 35")</f>
        <v>offset 35</v>
      </c>
    </row>
    <row r="12656" customFormat="false" ht="12.8" hidden="false" customHeight="false" outlineLevel="0" collapsed="false">
      <c r="A12656" s="0" t="s">
        <v>12</v>
      </c>
      <c r="B12656" s="0" t="n">
        <v>3568246</v>
      </c>
      <c r="C12656" s="0" t="n">
        <v>3568266</v>
      </c>
      <c r="D12656" s="0" t="s">
        <v>42186</v>
      </c>
      <c r="E12656" s="0" t="s">
        <v>42187</v>
      </c>
      <c r="F12656" s="0" t="s">
        <v>15</v>
      </c>
      <c r="G12656" s="0" t="s">
        <v>16</v>
      </c>
      <c r="H12656" s="0" t="n">
        <v>60</v>
      </c>
      <c r="I12656" s="0" t="s">
        <v>42191</v>
      </c>
      <c r="J12656" s="0" t="s">
        <v>42192</v>
      </c>
      <c r="K12656" s="0" t="s">
        <v>42193</v>
      </c>
      <c r="L12656" s="0" t="str">
        <f aca="false">HYPERLINK("https://www.ncbi.nlm.nih.gov/nuccore/CP000304.1?report=graph&amp;tracks=[key:gene_model_track,Options:GeneOnly]&amp;mk=3568222:3568241|offset_35|444444,3568247:3568266|offset_60|00cc00,3568269:3568288|offset_82|444444,3568300:3568319|offset_113|444444&amp;v=3568021:3568519&amp;c=444444", "offset 60")</f>
        <v>offset 60</v>
      </c>
    </row>
    <row r="12657" customFormat="false" ht="12.8" hidden="false" customHeight="false" outlineLevel="0" collapsed="false">
      <c r="A12657" s="0" t="s">
        <v>12</v>
      </c>
      <c r="B12657" s="0" t="n">
        <v>3568268</v>
      </c>
      <c r="C12657" s="0" t="n">
        <v>3568288</v>
      </c>
      <c r="D12657" s="0" t="s">
        <v>42186</v>
      </c>
      <c r="E12657" s="0" t="s">
        <v>42187</v>
      </c>
      <c r="F12657" s="0" t="s">
        <v>15</v>
      </c>
      <c r="G12657" s="0" t="s">
        <v>26</v>
      </c>
      <c r="H12657" s="0" t="n">
        <v>82</v>
      </c>
      <c r="I12657" s="0" t="s">
        <v>42194</v>
      </c>
      <c r="J12657" s="0" t="s">
        <v>42195</v>
      </c>
      <c r="K12657" s="0" t="s">
        <v>42196</v>
      </c>
      <c r="L12657" s="0" t="str">
        <f aca="false">HYPERLINK("https://www.ncbi.nlm.nih.gov/nuccore/CP000304.1?report=graph&amp;tracks=[key:gene_model_track,Options:GeneOnly]&amp;mk=3568222:3568241|offset_35|444444,3568247:3568266|offset_60|444444,3568269:3568288|offset_82|00cc00,3568300:3568319|offset_113|444444&amp;v=3568021:3568519&amp;c=444444", "offset 82")</f>
        <v>offset 82</v>
      </c>
    </row>
    <row r="12658" customFormat="false" ht="12.8" hidden="false" customHeight="false" outlineLevel="0" collapsed="false">
      <c r="A12658" s="0" t="s">
        <v>12</v>
      </c>
      <c r="B12658" s="0" t="n">
        <v>3568299</v>
      </c>
      <c r="C12658" s="0" t="n">
        <v>3568319</v>
      </c>
      <c r="D12658" s="0" t="s">
        <v>42186</v>
      </c>
      <c r="E12658" s="0" t="s">
        <v>42187</v>
      </c>
      <c r="F12658" s="0" t="s">
        <v>15</v>
      </c>
      <c r="G12658" s="0" t="s">
        <v>16</v>
      </c>
      <c r="H12658" s="0" t="n">
        <v>113</v>
      </c>
      <c r="I12658" s="0" t="s">
        <v>42197</v>
      </c>
      <c r="J12658" s="0" t="s">
        <v>42198</v>
      </c>
      <c r="K12658" s="0" t="s">
        <v>42199</v>
      </c>
      <c r="L12658" s="0" t="str">
        <f aca="false">HYPERLINK("https://www.ncbi.nlm.nih.gov/nuccore/CP000304.1?report=graph&amp;tracks=[key:gene_model_track,Options:GeneOnly]&amp;mk=3568222:3568241|offset_35|444444,3568247:3568266|offset_60|444444,3568269:3568288|offset_82|444444,3568300:3568319|offset_113|00cc00&amp;v=3568021:3568519&amp;c=444444", "offset 113")</f>
        <v>offset 113</v>
      </c>
    </row>
    <row r="12659" customFormat="false" ht="12.8" hidden="false" customHeight="false" outlineLevel="0" collapsed="false">
      <c r="A12659" s="0" t="s">
        <v>12</v>
      </c>
      <c r="B12659" s="0" t="n">
        <v>3568891</v>
      </c>
      <c r="C12659" s="0" t="n">
        <v>3568911</v>
      </c>
      <c r="D12659" s="0" t="s">
        <v>42200</v>
      </c>
      <c r="E12659" s="0" t="s">
        <v>42201</v>
      </c>
      <c r="F12659" s="0" t="s">
        <v>15</v>
      </c>
      <c r="G12659" s="0" t="s">
        <v>16</v>
      </c>
      <c r="H12659" s="0" t="n">
        <v>25</v>
      </c>
      <c r="I12659" s="0" t="s">
        <v>42202</v>
      </c>
      <c r="J12659" s="0" t="s">
        <v>42203</v>
      </c>
      <c r="K12659" s="0" t="s">
        <v>42204</v>
      </c>
      <c r="L12659" s="0" t="str">
        <f aca="false">HYPERLINK("https://www.ncbi.nlm.nih.gov/nuccore/CP000304.1?report=graph&amp;tracks=[key:gene_model_track,Options:GeneOnly]&amp;mk=3568892:3568911|offset_25|00cc00,3568913:3568932|offset_46|444444,3568951:3568970|offset_84|444444,3568973:3568992|offset_106|444444&amp;v=3568691:3569192&amp;c=444444", "offset 25")</f>
        <v>offset 25</v>
      </c>
    </row>
    <row r="12660" customFormat="false" ht="12.8" hidden="false" customHeight="false" outlineLevel="0" collapsed="false">
      <c r="A12660" s="0" t="s">
        <v>12</v>
      </c>
      <c r="B12660" s="0" t="n">
        <v>3568912</v>
      </c>
      <c r="C12660" s="0" t="n">
        <v>3568932</v>
      </c>
      <c r="D12660" s="0" t="s">
        <v>42200</v>
      </c>
      <c r="E12660" s="0" t="s">
        <v>42201</v>
      </c>
      <c r="F12660" s="0" t="s">
        <v>15</v>
      </c>
      <c r="G12660" s="0" t="s">
        <v>36</v>
      </c>
      <c r="H12660" s="0" t="n">
        <v>46</v>
      </c>
      <c r="I12660" s="0" t="s">
        <v>42205</v>
      </c>
      <c r="J12660" s="0" t="s">
        <v>42206</v>
      </c>
      <c r="K12660" s="0" t="s">
        <v>42207</v>
      </c>
      <c r="L12660" s="0" t="str">
        <f aca="false">HYPERLINK("https://www.ncbi.nlm.nih.gov/nuccore/CP000304.1?report=graph&amp;tracks=[key:gene_model_track,Options:GeneOnly]&amp;mk=3568892:3568911|offset_25|444444,3568913:3568932|offset_46|00cc00,3568951:3568970|offset_84|444444,3568973:3568992|offset_106|444444&amp;v=3568691:3569192&amp;c=444444", "offset 46")</f>
        <v>offset 46</v>
      </c>
    </row>
    <row r="12661" customFormat="false" ht="12.8" hidden="false" customHeight="false" outlineLevel="0" collapsed="false">
      <c r="A12661" s="0" t="s">
        <v>12</v>
      </c>
      <c r="B12661" s="0" t="n">
        <v>3568950</v>
      </c>
      <c r="C12661" s="0" t="n">
        <v>3568970</v>
      </c>
      <c r="D12661" s="0" t="s">
        <v>42200</v>
      </c>
      <c r="E12661" s="0" t="s">
        <v>42201</v>
      </c>
      <c r="F12661" s="0" t="s">
        <v>15</v>
      </c>
      <c r="G12661" s="0" t="s">
        <v>16</v>
      </c>
      <c r="H12661" s="0" t="n">
        <v>84</v>
      </c>
      <c r="I12661" s="0" t="s">
        <v>42208</v>
      </c>
      <c r="J12661" s="0" t="s">
        <v>42209</v>
      </c>
      <c r="K12661" s="0" t="s">
        <v>42210</v>
      </c>
      <c r="L12661" s="0" t="str">
        <f aca="false">HYPERLINK("https://www.ncbi.nlm.nih.gov/nuccore/CP000304.1?report=graph&amp;tracks=[key:gene_model_track,Options:GeneOnly]&amp;mk=3568892:3568911|offset_25|444444,3568913:3568932|offset_46|444444,3568951:3568970|offset_84|00cc00,3568973:3568992|offset_106|444444&amp;v=3568691:3569192&amp;c=444444", "offset 84")</f>
        <v>offset 84</v>
      </c>
    </row>
    <row r="12662" customFormat="false" ht="12.8" hidden="false" customHeight="false" outlineLevel="0" collapsed="false">
      <c r="A12662" s="0" t="s">
        <v>12</v>
      </c>
      <c r="B12662" s="0" t="n">
        <v>3568972</v>
      </c>
      <c r="C12662" s="0" t="n">
        <v>3568992</v>
      </c>
      <c r="D12662" s="0" t="s">
        <v>42200</v>
      </c>
      <c r="E12662" s="0" t="s">
        <v>42201</v>
      </c>
      <c r="F12662" s="0" t="s">
        <v>15</v>
      </c>
      <c r="G12662" s="0" t="s">
        <v>16</v>
      </c>
      <c r="H12662" s="0" t="n">
        <v>106</v>
      </c>
      <c r="I12662" s="0" t="s">
        <v>42211</v>
      </c>
      <c r="J12662" s="0" t="s">
        <v>42212</v>
      </c>
      <c r="K12662" s="0" t="s">
        <v>42213</v>
      </c>
      <c r="L12662" s="0" t="str">
        <f aca="false">HYPERLINK("https://www.ncbi.nlm.nih.gov/nuccore/CP000304.1?report=graph&amp;tracks=[key:gene_model_track,Options:GeneOnly]&amp;mk=3568892:3568911|offset_25|444444,3568913:3568932|offset_46|444444,3568951:3568970|offset_84|444444,3568973:3568992|offset_106|00cc00&amp;v=3568691:3569192&amp;c=444444", "offset 106")</f>
        <v>offset 106</v>
      </c>
    </row>
    <row r="12663" customFormat="false" ht="12.8" hidden="false" customHeight="false" outlineLevel="0" collapsed="false">
      <c r="A12663" s="0" t="s">
        <v>12</v>
      </c>
      <c r="B12663" s="0" t="n">
        <v>3569811</v>
      </c>
      <c r="C12663" s="0" t="n">
        <v>3569831</v>
      </c>
      <c r="D12663" s="0" t="s">
        <v>42214</v>
      </c>
      <c r="E12663" s="0" t="s">
        <v>89</v>
      </c>
      <c r="F12663" s="0" t="s">
        <v>15</v>
      </c>
      <c r="G12663" s="0" t="s">
        <v>32</v>
      </c>
      <c r="H12663" s="0" t="n">
        <v>1</v>
      </c>
      <c r="I12663" s="0" t="s">
        <v>42215</v>
      </c>
      <c r="J12663" s="0" t="s">
        <v>42216</v>
      </c>
      <c r="K12663" s="0" t="s">
        <v>42217</v>
      </c>
      <c r="L12663" s="0" t="str">
        <f aca="false">HYPERLINK("https://www.ncbi.nlm.nih.gov/nuccore/CP000304.1?report=graph&amp;tracks=[key:gene_model_track,Options:GeneOnly]&amp;mk=3569812:3569831|offset_1|00cc00,3569836:3569855|offset_25|444444,3569860:3569879|offset_49|444444,3569887:3569906|offset_76|444444&amp;v=3569611:3570106&amp;c=444444", "offset 1")</f>
        <v>offset 1</v>
      </c>
    </row>
    <row r="12664" customFormat="false" ht="12.8" hidden="false" customHeight="false" outlineLevel="0" collapsed="false">
      <c r="A12664" s="0" t="s">
        <v>12</v>
      </c>
      <c r="B12664" s="0" t="n">
        <v>3569835</v>
      </c>
      <c r="C12664" s="0" t="n">
        <v>3569855</v>
      </c>
      <c r="D12664" s="0" t="s">
        <v>42214</v>
      </c>
      <c r="E12664" s="0" t="s">
        <v>89</v>
      </c>
      <c r="F12664" s="0" t="s">
        <v>15</v>
      </c>
      <c r="G12664" s="0" t="s">
        <v>32</v>
      </c>
      <c r="H12664" s="0" t="n">
        <v>25</v>
      </c>
      <c r="I12664" s="0" t="s">
        <v>42218</v>
      </c>
      <c r="J12664" s="0" t="s">
        <v>42219</v>
      </c>
      <c r="K12664" s="0" t="s">
        <v>42220</v>
      </c>
      <c r="L12664" s="0" t="str">
        <f aca="false">HYPERLINK("https://www.ncbi.nlm.nih.gov/nuccore/CP000304.1?report=graph&amp;tracks=[key:gene_model_track,Options:GeneOnly]&amp;mk=3569812:3569831|offset_1|444444,3569836:3569855|offset_25|00cc00,3569860:3569879|offset_49|444444,3569887:3569906|offset_76|444444&amp;v=3569611:3570106&amp;c=444444", "offset 25")</f>
        <v>offset 25</v>
      </c>
    </row>
    <row r="12665" customFormat="false" ht="12.8" hidden="false" customHeight="false" outlineLevel="0" collapsed="false">
      <c r="A12665" s="0" t="s">
        <v>12</v>
      </c>
      <c r="B12665" s="0" t="n">
        <v>3569859</v>
      </c>
      <c r="C12665" s="0" t="n">
        <v>3569879</v>
      </c>
      <c r="D12665" s="0" t="s">
        <v>42214</v>
      </c>
      <c r="E12665" s="0" t="s">
        <v>89</v>
      </c>
      <c r="F12665" s="0" t="s">
        <v>15</v>
      </c>
      <c r="G12665" s="0" t="s">
        <v>36</v>
      </c>
      <c r="H12665" s="0" t="n">
        <v>49</v>
      </c>
      <c r="I12665" s="0" t="s">
        <v>42221</v>
      </c>
      <c r="J12665" s="0" t="s">
        <v>42222</v>
      </c>
      <c r="K12665" s="0" t="s">
        <v>42223</v>
      </c>
      <c r="L12665" s="0" t="str">
        <f aca="false">HYPERLINK("https://www.ncbi.nlm.nih.gov/nuccore/CP000304.1?report=graph&amp;tracks=[key:gene_model_track,Options:GeneOnly]&amp;mk=3569812:3569831|offset_1|444444,3569836:3569855|offset_25|444444,3569860:3569879|offset_49|00cc00,3569887:3569906|offset_76|444444&amp;v=3569611:3570106&amp;c=444444", "offset 49")</f>
        <v>offset 49</v>
      </c>
    </row>
    <row r="12666" customFormat="false" ht="12.8" hidden="false" customHeight="false" outlineLevel="0" collapsed="false">
      <c r="A12666" s="0" t="s">
        <v>12</v>
      </c>
      <c r="B12666" s="0" t="n">
        <v>3569886</v>
      </c>
      <c r="C12666" s="0" t="n">
        <v>3569906</v>
      </c>
      <c r="D12666" s="0" t="s">
        <v>42214</v>
      </c>
      <c r="E12666" s="0" t="s">
        <v>89</v>
      </c>
      <c r="F12666" s="0" t="s">
        <v>15</v>
      </c>
      <c r="G12666" s="0" t="s">
        <v>26</v>
      </c>
      <c r="H12666" s="0" t="n">
        <v>76</v>
      </c>
      <c r="I12666" s="0" t="s">
        <v>42224</v>
      </c>
      <c r="J12666" s="0" t="s">
        <v>42225</v>
      </c>
      <c r="K12666" s="0" t="s">
        <v>42226</v>
      </c>
      <c r="L12666" s="0" t="str">
        <f aca="false">HYPERLINK("https://www.ncbi.nlm.nih.gov/nuccore/CP000304.1?report=graph&amp;tracks=[key:gene_model_track,Options:GeneOnly]&amp;mk=3569812:3569831|offset_1|444444,3569836:3569855|offset_25|444444,3569860:3569879|offset_49|444444,3569887:3569906|offset_76|00cc00&amp;v=3569611:3570106&amp;c=444444", "offset 76")</f>
        <v>offset 76</v>
      </c>
    </row>
    <row r="12667" customFormat="false" ht="12.8" hidden="false" customHeight="false" outlineLevel="0" collapsed="false">
      <c r="A12667" s="0" t="s">
        <v>12</v>
      </c>
      <c r="B12667" s="0" t="n">
        <v>3570544</v>
      </c>
      <c r="C12667" s="0" t="n">
        <v>3570564</v>
      </c>
      <c r="D12667" s="0" t="s">
        <v>42227</v>
      </c>
      <c r="E12667" s="0" t="s">
        <v>42228</v>
      </c>
      <c r="F12667" s="0" t="s">
        <v>15</v>
      </c>
      <c r="G12667" s="0" t="s">
        <v>32</v>
      </c>
      <c r="H12667" s="0" t="n">
        <v>1</v>
      </c>
      <c r="I12667" s="0" t="s">
        <v>42229</v>
      </c>
      <c r="J12667" s="0" t="s">
        <v>42230</v>
      </c>
      <c r="K12667" s="0" t="s">
        <v>42231</v>
      </c>
      <c r="L12667" s="0" t="str">
        <f aca="false">HYPERLINK("https://www.ncbi.nlm.nih.gov/nuccore/CP000304.1?report=graph&amp;tracks=[key:gene_model_track,Options:GeneOnly]&amp;mk=3570545:3570564|offset_1|00cc00,3570565:3570584|offset_21|444444,3570586:3570605|offset_42|444444,3570612:3570631|offset_68|444444&amp;v=3570344:3570831&amp;c=444444", "offset 1")</f>
        <v>offset 1</v>
      </c>
    </row>
    <row r="12668" customFormat="false" ht="12.8" hidden="false" customHeight="false" outlineLevel="0" collapsed="false">
      <c r="A12668" s="0" t="s">
        <v>12</v>
      </c>
      <c r="B12668" s="0" t="n">
        <v>3570564</v>
      </c>
      <c r="C12668" s="0" t="n">
        <v>3570584</v>
      </c>
      <c r="D12668" s="0" t="s">
        <v>42227</v>
      </c>
      <c r="E12668" s="0" t="s">
        <v>42228</v>
      </c>
      <c r="F12668" s="0" t="s">
        <v>15</v>
      </c>
      <c r="G12668" s="0" t="s">
        <v>16</v>
      </c>
      <c r="H12668" s="0" t="n">
        <v>21</v>
      </c>
      <c r="I12668" s="0" t="s">
        <v>42232</v>
      </c>
      <c r="J12668" s="0" t="s">
        <v>42233</v>
      </c>
      <c r="K12668" s="0" t="s">
        <v>42234</v>
      </c>
      <c r="L12668" s="0" t="str">
        <f aca="false">HYPERLINK("https://www.ncbi.nlm.nih.gov/nuccore/CP000304.1?report=graph&amp;tracks=[key:gene_model_track,Options:GeneOnly]&amp;mk=3570545:3570564|offset_1|444444,3570565:3570584|offset_21|00cc00,3570586:3570605|offset_42|444444,3570612:3570631|offset_68|444444&amp;v=3570344:3570831&amp;c=444444", "offset 21")</f>
        <v>offset 21</v>
      </c>
    </row>
    <row r="12669" customFormat="false" ht="12.8" hidden="false" customHeight="false" outlineLevel="0" collapsed="false">
      <c r="A12669" s="0" t="s">
        <v>12</v>
      </c>
      <c r="B12669" s="0" t="n">
        <v>3570585</v>
      </c>
      <c r="C12669" s="0" t="n">
        <v>3570605</v>
      </c>
      <c r="D12669" s="0" t="s">
        <v>42227</v>
      </c>
      <c r="E12669" s="0" t="s">
        <v>42228</v>
      </c>
      <c r="F12669" s="0" t="s">
        <v>15</v>
      </c>
      <c r="G12669" s="0" t="s">
        <v>16</v>
      </c>
      <c r="H12669" s="0" t="n">
        <v>42</v>
      </c>
      <c r="I12669" s="0" t="s">
        <v>42235</v>
      </c>
      <c r="J12669" s="0" t="s">
        <v>42236</v>
      </c>
      <c r="K12669" s="0" t="s">
        <v>42237</v>
      </c>
      <c r="L12669" s="0" t="str">
        <f aca="false">HYPERLINK("https://www.ncbi.nlm.nih.gov/nuccore/CP000304.1?report=graph&amp;tracks=[key:gene_model_track,Options:GeneOnly]&amp;mk=3570545:3570564|offset_1|444444,3570565:3570584|offset_21|444444,3570586:3570605|offset_42|00cc00,3570612:3570631|offset_68|444444&amp;v=3570344:3570831&amp;c=444444", "offset 42")</f>
        <v>offset 42</v>
      </c>
    </row>
    <row r="12670" customFormat="false" ht="12.8" hidden="false" customHeight="false" outlineLevel="0" collapsed="false">
      <c r="A12670" s="0" t="s">
        <v>12</v>
      </c>
      <c r="B12670" s="0" t="n">
        <v>3570611</v>
      </c>
      <c r="C12670" s="0" t="n">
        <v>3570631</v>
      </c>
      <c r="D12670" s="0" t="s">
        <v>42227</v>
      </c>
      <c r="E12670" s="0" t="s">
        <v>42228</v>
      </c>
      <c r="F12670" s="0" t="s">
        <v>15</v>
      </c>
      <c r="G12670" s="0" t="s">
        <v>16</v>
      </c>
      <c r="H12670" s="0" t="n">
        <v>68</v>
      </c>
      <c r="I12670" s="0" t="s">
        <v>42238</v>
      </c>
      <c r="J12670" s="0" t="s">
        <v>42239</v>
      </c>
      <c r="K12670" s="0" t="s">
        <v>42240</v>
      </c>
      <c r="L12670" s="0" t="str">
        <f aca="false">HYPERLINK("https://www.ncbi.nlm.nih.gov/nuccore/CP000304.1?report=graph&amp;tracks=[key:gene_model_track,Options:GeneOnly]&amp;mk=3570545:3570564|offset_1|444444,3570565:3570584|offset_21|444444,3570586:3570605|offset_42|444444,3570612:3570631|offset_68|00cc00&amp;v=3570344:3570831&amp;c=444444", "offset 68")</f>
        <v>offset 68</v>
      </c>
    </row>
    <row r="12671" customFormat="false" ht="12.8" hidden="false" customHeight="false" outlineLevel="0" collapsed="false">
      <c r="A12671" s="0" t="s">
        <v>12</v>
      </c>
      <c r="B12671" s="0" t="n">
        <v>3572337</v>
      </c>
      <c r="C12671" s="0" t="n">
        <v>3572357</v>
      </c>
      <c r="D12671" s="0" t="s">
        <v>42241</v>
      </c>
      <c r="E12671" s="0" t="s">
        <v>89</v>
      </c>
      <c r="F12671" s="0" t="s">
        <v>15</v>
      </c>
      <c r="G12671" s="0" t="s">
        <v>32</v>
      </c>
      <c r="H12671" s="0" t="n">
        <v>1</v>
      </c>
      <c r="I12671" s="0" t="s">
        <v>42242</v>
      </c>
      <c r="J12671" s="0" t="s">
        <v>42243</v>
      </c>
      <c r="K12671" s="0" t="s">
        <v>42244</v>
      </c>
      <c r="L12671" s="0" t="str">
        <f aca="false">HYPERLINK("https://www.ncbi.nlm.nih.gov/nuccore/CP000304.1?report=graph&amp;tracks=[key:gene_model_track,Options:GeneOnly]&amp;mk=3572338:3572357|offset_1|00cc00,3572358:3572377|offset_21|444444,3572386:3572405|offset_49|444444,3572420:3572439|offset_83|444444&amp;v=3572137:3572639&amp;c=444444", "offset 1")</f>
        <v>offset 1</v>
      </c>
    </row>
    <row r="12672" customFormat="false" ht="12.8" hidden="false" customHeight="false" outlineLevel="0" collapsed="false">
      <c r="A12672" s="0" t="s">
        <v>12</v>
      </c>
      <c r="B12672" s="0" t="n">
        <v>3572357</v>
      </c>
      <c r="C12672" s="0" t="n">
        <v>3572377</v>
      </c>
      <c r="D12672" s="0" t="s">
        <v>42241</v>
      </c>
      <c r="E12672" s="0" t="s">
        <v>89</v>
      </c>
      <c r="F12672" s="0" t="s">
        <v>15</v>
      </c>
      <c r="G12672" s="0" t="s">
        <v>26</v>
      </c>
      <c r="H12672" s="0" t="n">
        <v>21</v>
      </c>
      <c r="I12672" s="0" t="s">
        <v>42245</v>
      </c>
      <c r="J12672" s="0" t="s">
        <v>42246</v>
      </c>
      <c r="K12672" s="0" t="s">
        <v>42247</v>
      </c>
      <c r="L12672" s="0" t="str">
        <f aca="false">HYPERLINK("https://www.ncbi.nlm.nih.gov/nuccore/CP000304.1?report=graph&amp;tracks=[key:gene_model_track,Options:GeneOnly]&amp;mk=3572338:3572357|offset_1|444444,3572358:3572377|offset_21|00cc00,3572386:3572405|offset_49|444444,3572420:3572439|offset_83|444444&amp;v=3572137:3572639&amp;c=444444", "offset 21")</f>
        <v>offset 21</v>
      </c>
    </row>
    <row r="12673" customFormat="false" ht="12.8" hidden="false" customHeight="false" outlineLevel="0" collapsed="false">
      <c r="A12673" s="0" t="s">
        <v>12</v>
      </c>
      <c r="B12673" s="0" t="n">
        <v>3572385</v>
      </c>
      <c r="C12673" s="0" t="n">
        <v>3572405</v>
      </c>
      <c r="D12673" s="0" t="s">
        <v>42241</v>
      </c>
      <c r="E12673" s="0" t="s">
        <v>89</v>
      </c>
      <c r="F12673" s="0" t="s">
        <v>15</v>
      </c>
      <c r="G12673" s="0" t="s">
        <v>16</v>
      </c>
      <c r="H12673" s="0" t="n">
        <v>49</v>
      </c>
      <c r="I12673" s="0" t="s">
        <v>42248</v>
      </c>
      <c r="J12673" s="0" t="s">
        <v>42249</v>
      </c>
      <c r="K12673" s="0" t="s">
        <v>42250</v>
      </c>
      <c r="L12673" s="0" t="str">
        <f aca="false">HYPERLINK("https://www.ncbi.nlm.nih.gov/nuccore/CP000304.1?report=graph&amp;tracks=[key:gene_model_track,Options:GeneOnly]&amp;mk=3572338:3572357|offset_1|444444,3572358:3572377|offset_21|444444,3572386:3572405|offset_49|00cc00,3572420:3572439|offset_83|444444&amp;v=3572137:3572639&amp;c=444444", "offset 49")</f>
        <v>offset 49</v>
      </c>
    </row>
    <row r="12674" customFormat="false" ht="12.8" hidden="false" customHeight="false" outlineLevel="0" collapsed="false">
      <c r="A12674" s="0" t="s">
        <v>12</v>
      </c>
      <c r="B12674" s="0" t="n">
        <v>3572419</v>
      </c>
      <c r="C12674" s="0" t="n">
        <v>3572439</v>
      </c>
      <c r="D12674" s="0" t="s">
        <v>42241</v>
      </c>
      <c r="E12674" s="0" t="s">
        <v>89</v>
      </c>
      <c r="F12674" s="0" t="s">
        <v>15</v>
      </c>
      <c r="G12674" s="0" t="s">
        <v>36</v>
      </c>
      <c r="H12674" s="0" t="n">
        <v>83</v>
      </c>
      <c r="I12674" s="0" t="s">
        <v>42251</v>
      </c>
      <c r="J12674" s="0" t="s">
        <v>42252</v>
      </c>
      <c r="K12674" s="0" t="s">
        <v>42253</v>
      </c>
      <c r="L12674" s="0" t="str">
        <f aca="false">HYPERLINK("https://www.ncbi.nlm.nih.gov/nuccore/CP000304.1?report=graph&amp;tracks=[key:gene_model_track,Options:GeneOnly]&amp;mk=3572338:3572357|offset_1|444444,3572358:3572377|offset_21|444444,3572386:3572405|offset_49|444444,3572420:3572439|offset_83|00cc00&amp;v=3572137:3572639&amp;c=444444", "offset 83")</f>
        <v>offset 83</v>
      </c>
    </row>
    <row r="12675" customFormat="false" ht="12.8" hidden="false" customHeight="false" outlineLevel="0" collapsed="false">
      <c r="A12675" s="0" t="s">
        <v>12</v>
      </c>
      <c r="B12675" s="0" t="n">
        <v>3573449</v>
      </c>
      <c r="C12675" s="0" t="n">
        <v>3573469</v>
      </c>
      <c r="D12675" s="0" t="s">
        <v>42254</v>
      </c>
      <c r="E12675" s="0" t="s">
        <v>89</v>
      </c>
      <c r="F12675" s="0" t="s">
        <v>15</v>
      </c>
      <c r="G12675" s="0" t="s">
        <v>32</v>
      </c>
      <c r="H12675" s="0" t="n">
        <v>20</v>
      </c>
      <c r="I12675" s="0" t="s">
        <v>42255</v>
      </c>
      <c r="J12675" s="0" t="s">
        <v>42256</v>
      </c>
      <c r="K12675" s="0" t="s">
        <v>42257</v>
      </c>
      <c r="L12675" s="0" t="str">
        <f aca="false">HYPERLINK("https://www.ncbi.nlm.nih.gov/nuccore/CP000304.1?report=graph&amp;tracks=[key:gene_model_track,Options:GeneOnly]&amp;mk=3573450:3573469|offset_20|00cc00,3573483:3573502|offset_53|444444,3573514:3573533|offset_84|444444,3573537:3573556|offset_107|444444&amp;v=3573249:3573756&amp;c=444444", "offset 20")</f>
        <v>offset 20</v>
      </c>
    </row>
    <row r="12676" customFormat="false" ht="12.8" hidden="false" customHeight="false" outlineLevel="0" collapsed="false">
      <c r="A12676" s="0" t="s">
        <v>12</v>
      </c>
      <c r="B12676" s="0" t="n">
        <v>3573482</v>
      </c>
      <c r="C12676" s="0" t="n">
        <v>3573502</v>
      </c>
      <c r="D12676" s="0" t="s">
        <v>42254</v>
      </c>
      <c r="E12676" s="0" t="s">
        <v>89</v>
      </c>
      <c r="F12676" s="0" t="s">
        <v>15</v>
      </c>
      <c r="G12676" s="0" t="s">
        <v>32</v>
      </c>
      <c r="H12676" s="0" t="n">
        <v>53</v>
      </c>
      <c r="I12676" s="0" t="s">
        <v>42258</v>
      </c>
      <c r="J12676" s="0" t="s">
        <v>42259</v>
      </c>
      <c r="K12676" s="0" t="s">
        <v>42260</v>
      </c>
      <c r="L12676" s="0" t="str">
        <f aca="false">HYPERLINK("https://www.ncbi.nlm.nih.gov/nuccore/CP000304.1?report=graph&amp;tracks=[key:gene_model_track,Options:GeneOnly]&amp;mk=3573450:3573469|offset_20|444444,3573483:3573502|offset_53|00cc00,3573514:3573533|offset_84|444444,3573537:3573556|offset_107|444444&amp;v=3573249:3573756&amp;c=444444", "offset 53")</f>
        <v>offset 53</v>
      </c>
    </row>
    <row r="12677" customFormat="false" ht="12.8" hidden="false" customHeight="false" outlineLevel="0" collapsed="false">
      <c r="A12677" s="0" t="s">
        <v>12</v>
      </c>
      <c r="B12677" s="0" t="n">
        <v>3573513</v>
      </c>
      <c r="C12677" s="0" t="n">
        <v>3573533</v>
      </c>
      <c r="D12677" s="0" t="s">
        <v>42254</v>
      </c>
      <c r="E12677" s="0" t="s">
        <v>89</v>
      </c>
      <c r="F12677" s="0" t="s">
        <v>15</v>
      </c>
      <c r="G12677" s="0" t="s">
        <v>16</v>
      </c>
      <c r="H12677" s="0" t="n">
        <v>84</v>
      </c>
      <c r="I12677" s="0" t="s">
        <v>42261</v>
      </c>
      <c r="J12677" s="0" t="s">
        <v>42262</v>
      </c>
      <c r="K12677" s="0" t="s">
        <v>42263</v>
      </c>
      <c r="L12677" s="0" t="str">
        <f aca="false">HYPERLINK("https://www.ncbi.nlm.nih.gov/nuccore/CP000304.1?report=graph&amp;tracks=[key:gene_model_track,Options:GeneOnly]&amp;mk=3573450:3573469|offset_20|444444,3573483:3573502|offset_53|444444,3573514:3573533|offset_84|00cc00,3573537:3573556|offset_107|444444&amp;v=3573249:3573756&amp;c=444444", "offset 84")</f>
        <v>offset 84</v>
      </c>
    </row>
    <row r="12678" customFormat="false" ht="12.8" hidden="false" customHeight="false" outlineLevel="0" collapsed="false">
      <c r="A12678" s="0" t="s">
        <v>12</v>
      </c>
      <c r="B12678" s="0" t="n">
        <v>3573536</v>
      </c>
      <c r="C12678" s="0" t="n">
        <v>3573556</v>
      </c>
      <c r="D12678" s="0" t="s">
        <v>42254</v>
      </c>
      <c r="E12678" s="0" t="s">
        <v>89</v>
      </c>
      <c r="F12678" s="0" t="s">
        <v>15</v>
      </c>
      <c r="G12678" s="0" t="s">
        <v>16</v>
      </c>
      <c r="H12678" s="0" t="n">
        <v>107</v>
      </c>
      <c r="I12678" s="0" t="s">
        <v>42264</v>
      </c>
      <c r="J12678" s="0" t="s">
        <v>42265</v>
      </c>
      <c r="K12678" s="0" t="s">
        <v>42266</v>
      </c>
      <c r="L12678" s="0" t="str">
        <f aca="false">HYPERLINK("https://www.ncbi.nlm.nih.gov/nuccore/CP000304.1?report=graph&amp;tracks=[key:gene_model_track,Options:GeneOnly]&amp;mk=3573450:3573469|offset_20|444444,3573483:3573502|offset_53|444444,3573514:3573533|offset_84|444444,3573537:3573556|offset_107|00cc00&amp;v=3573249:3573756&amp;c=444444", "offset 107")</f>
        <v>offset 107</v>
      </c>
    </row>
    <row r="12679" customFormat="false" ht="12.8" hidden="false" customHeight="false" outlineLevel="0" collapsed="false">
      <c r="A12679" s="0" t="s">
        <v>12</v>
      </c>
      <c r="B12679" s="0" t="n">
        <v>3574437</v>
      </c>
      <c r="C12679" s="0" t="n">
        <v>3574457</v>
      </c>
      <c r="D12679" s="0" t="s">
        <v>42267</v>
      </c>
      <c r="E12679" s="0" t="s">
        <v>89</v>
      </c>
      <c r="F12679" s="0" t="s">
        <v>15</v>
      </c>
      <c r="G12679" s="0" t="s">
        <v>26</v>
      </c>
      <c r="H12679" s="0" t="n">
        <v>20</v>
      </c>
      <c r="I12679" s="0" t="s">
        <v>42268</v>
      </c>
      <c r="J12679" s="0" t="s">
        <v>42269</v>
      </c>
      <c r="K12679" s="0" t="s">
        <v>42270</v>
      </c>
      <c r="L12679" s="0" t="str">
        <f aca="false">HYPERLINK("https://www.ncbi.nlm.nih.gov/nuccore/CP000304.1?report=graph&amp;tracks=[key:gene_model_track,Options:GeneOnly]&amp;mk=3574438:3574457|offset_20|00cc00,3574460:3574479|offset_42|444444,3574482:3574501|offset_64|444444,3574506:3574525|offset_88|444444&amp;v=3574237:3574725&amp;c=444444", "offset 20")</f>
        <v>offset 20</v>
      </c>
    </row>
    <row r="12680" customFormat="false" ht="12.8" hidden="false" customHeight="false" outlineLevel="0" collapsed="false">
      <c r="A12680" s="0" t="s">
        <v>12</v>
      </c>
      <c r="B12680" s="0" t="n">
        <v>3574459</v>
      </c>
      <c r="C12680" s="0" t="n">
        <v>3574479</v>
      </c>
      <c r="D12680" s="0" t="s">
        <v>42267</v>
      </c>
      <c r="E12680" s="0" t="s">
        <v>89</v>
      </c>
      <c r="F12680" s="0" t="s">
        <v>15</v>
      </c>
      <c r="G12680" s="0" t="s">
        <v>16</v>
      </c>
      <c r="H12680" s="0" t="n">
        <v>42</v>
      </c>
      <c r="I12680" s="0" t="s">
        <v>42271</v>
      </c>
      <c r="J12680" s="0" t="s">
        <v>42272</v>
      </c>
      <c r="K12680" s="0" t="s">
        <v>42273</v>
      </c>
      <c r="L12680" s="0" t="str">
        <f aca="false">HYPERLINK("https://www.ncbi.nlm.nih.gov/nuccore/CP000304.1?report=graph&amp;tracks=[key:gene_model_track,Options:GeneOnly]&amp;mk=3574438:3574457|offset_20|444444,3574460:3574479|offset_42|00cc00,3574482:3574501|offset_64|444444,3574506:3574525|offset_88|444444&amp;v=3574237:3574725&amp;c=444444", "offset 42")</f>
        <v>offset 42</v>
      </c>
    </row>
    <row r="12681" customFormat="false" ht="12.8" hidden="false" customHeight="false" outlineLevel="0" collapsed="false">
      <c r="A12681" s="0" t="s">
        <v>12</v>
      </c>
      <c r="B12681" s="0" t="n">
        <v>3574481</v>
      </c>
      <c r="C12681" s="0" t="n">
        <v>3574501</v>
      </c>
      <c r="D12681" s="0" t="s">
        <v>42267</v>
      </c>
      <c r="E12681" s="0" t="s">
        <v>89</v>
      </c>
      <c r="F12681" s="0" t="s">
        <v>15</v>
      </c>
      <c r="G12681" s="0" t="s">
        <v>32</v>
      </c>
      <c r="H12681" s="0" t="n">
        <v>64</v>
      </c>
      <c r="I12681" s="0" t="s">
        <v>42274</v>
      </c>
      <c r="J12681" s="0" t="s">
        <v>42275</v>
      </c>
      <c r="K12681" s="0" t="s">
        <v>42276</v>
      </c>
      <c r="L12681" s="0" t="str">
        <f aca="false">HYPERLINK("https://www.ncbi.nlm.nih.gov/nuccore/CP000304.1?report=graph&amp;tracks=[key:gene_model_track,Options:GeneOnly]&amp;mk=3574438:3574457|offset_20|444444,3574460:3574479|offset_42|444444,3574482:3574501|offset_64|00cc00,3574506:3574525|offset_88|444444&amp;v=3574237:3574725&amp;c=444444", "offset 64")</f>
        <v>offset 64</v>
      </c>
    </row>
    <row r="12682" customFormat="false" ht="12.8" hidden="false" customHeight="false" outlineLevel="0" collapsed="false">
      <c r="A12682" s="0" t="s">
        <v>12</v>
      </c>
      <c r="B12682" s="0" t="n">
        <v>3574505</v>
      </c>
      <c r="C12682" s="0" t="n">
        <v>3574525</v>
      </c>
      <c r="D12682" s="0" t="s">
        <v>42267</v>
      </c>
      <c r="E12682" s="0" t="s">
        <v>89</v>
      </c>
      <c r="F12682" s="0" t="s">
        <v>15</v>
      </c>
      <c r="G12682" s="0" t="s">
        <v>32</v>
      </c>
      <c r="H12682" s="0" t="n">
        <v>88</v>
      </c>
      <c r="I12682" s="0" t="s">
        <v>42277</v>
      </c>
      <c r="J12682" s="0" t="s">
        <v>42278</v>
      </c>
      <c r="K12682" s="0" t="s">
        <v>42279</v>
      </c>
      <c r="L12682" s="0" t="str">
        <f aca="false">HYPERLINK("https://www.ncbi.nlm.nih.gov/nuccore/CP000304.1?report=graph&amp;tracks=[key:gene_model_track,Options:GeneOnly]&amp;mk=3574438:3574457|offset_20|444444,3574460:3574479|offset_42|444444,3574482:3574501|offset_64|444444,3574506:3574525|offset_88|00cc00&amp;v=3574237:3574725&amp;c=444444", "offset 88")</f>
        <v>offset 88</v>
      </c>
    </row>
    <row r="12683" customFormat="false" ht="12.8" hidden="false" customHeight="false" outlineLevel="0" collapsed="false">
      <c r="A12683" s="0" t="s">
        <v>12</v>
      </c>
      <c r="B12683" s="0" t="n">
        <v>3577269</v>
      </c>
      <c r="C12683" s="0" t="n">
        <v>3577289</v>
      </c>
      <c r="D12683" s="0" t="s">
        <v>42280</v>
      </c>
      <c r="E12683" s="0" t="s">
        <v>89</v>
      </c>
      <c r="F12683" s="0" t="s">
        <v>15</v>
      </c>
      <c r="G12683" s="0" t="s">
        <v>26</v>
      </c>
      <c r="H12683" s="0" t="n">
        <v>8</v>
      </c>
      <c r="I12683" s="0" t="s">
        <v>42281</v>
      </c>
      <c r="J12683" s="0" t="s">
        <v>42282</v>
      </c>
      <c r="K12683" s="0" t="s">
        <v>42283</v>
      </c>
      <c r="L12683" s="0" t="str">
        <f aca="false">HYPERLINK("https://www.ncbi.nlm.nih.gov/nuccore/CP000304.1?report=graph&amp;tracks=[key:gene_model_track,Options:GeneOnly]&amp;mk=3577270:3577289|offset_8|00cc00,3577311:3577330|offset_49|444444,3577348:3577367|offset_86|444444,3577369:3577388|offset_107|444444&amp;v=3577069:3577588&amp;c=444444", "offset 8")</f>
        <v>offset 8</v>
      </c>
    </row>
    <row r="12684" customFormat="false" ht="12.8" hidden="false" customHeight="false" outlineLevel="0" collapsed="false">
      <c r="A12684" s="0" t="s">
        <v>12</v>
      </c>
      <c r="B12684" s="0" t="n">
        <v>3577310</v>
      </c>
      <c r="C12684" s="0" t="n">
        <v>3577330</v>
      </c>
      <c r="D12684" s="0" t="s">
        <v>42280</v>
      </c>
      <c r="E12684" s="0" t="s">
        <v>89</v>
      </c>
      <c r="F12684" s="0" t="s">
        <v>15</v>
      </c>
      <c r="G12684" s="0" t="s">
        <v>16</v>
      </c>
      <c r="H12684" s="0" t="n">
        <v>49</v>
      </c>
      <c r="I12684" s="0" t="s">
        <v>42284</v>
      </c>
      <c r="J12684" s="0" t="s">
        <v>42285</v>
      </c>
      <c r="K12684" s="0" t="s">
        <v>42286</v>
      </c>
      <c r="L12684" s="0" t="str">
        <f aca="false">HYPERLINK("https://www.ncbi.nlm.nih.gov/nuccore/CP000304.1?report=graph&amp;tracks=[key:gene_model_track,Options:GeneOnly]&amp;mk=3577270:3577289|offset_8|444444,3577311:3577330|offset_49|00cc00,3577348:3577367|offset_86|444444,3577369:3577388|offset_107|444444&amp;v=3577069:3577588&amp;c=444444", "offset 49")</f>
        <v>offset 49</v>
      </c>
    </row>
    <row r="12685" customFormat="false" ht="12.8" hidden="false" customHeight="false" outlineLevel="0" collapsed="false">
      <c r="A12685" s="0" t="s">
        <v>12</v>
      </c>
      <c r="B12685" s="0" t="n">
        <v>3577347</v>
      </c>
      <c r="C12685" s="0" t="n">
        <v>3577367</v>
      </c>
      <c r="D12685" s="0" t="s">
        <v>42280</v>
      </c>
      <c r="E12685" s="0" t="s">
        <v>89</v>
      </c>
      <c r="F12685" s="0" t="s">
        <v>15</v>
      </c>
      <c r="G12685" s="0" t="s">
        <v>32</v>
      </c>
      <c r="H12685" s="0" t="n">
        <v>86</v>
      </c>
      <c r="I12685" s="0" t="s">
        <v>42287</v>
      </c>
      <c r="J12685" s="0" t="s">
        <v>42288</v>
      </c>
      <c r="K12685" s="0" t="s">
        <v>42289</v>
      </c>
      <c r="L12685" s="0" t="str">
        <f aca="false">HYPERLINK("https://www.ncbi.nlm.nih.gov/nuccore/CP000304.1?report=graph&amp;tracks=[key:gene_model_track,Options:GeneOnly]&amp;mk=3577270:3577289|offset_8|444444,3577311:3577330|offset_49|444444,3577348:3577367|offset_86|00cc00,3577369:3577388|offset_107|444444&amp;v=3577069:3577588&amp;c=444444", "offset 86")</f>
        <v>offset 86</v>
      </c>
    </row>
    <row r="12686" customFormat="false" ht="12.8" hidden="false" customHeight="false" outlineLevel="0" collapsed="false">
      <c r="A12686" s="0" t="s">
        <v>12</v>
      </c>
      <c r="B12686" s="0" t="n">
        <v>3577368</v>
      </c>
      <c r="C12686" s="0" t="n">
        <v>3577388</v>
      </c>
      <c r="D12686" s="0" t="s">
        <v>42280</v>
      </c>
      <c r="E12686" s="0" t="s">
        <v>89</v>
      </c>
      <c r="F12686" s="0" t="s">
        <v>15</v>
      </c>
      <c r="G12686" s="0" t="s">
        <v>16</v>
      </c>
      <c r="H12686" s="0" t="n">
        <v>107</v>
      </c>
      <c r="I12686" s="0" t="s">
        <v>42290</v>
      </c>
      <c r="J12686" s="0" t="s">
        <v>42291</v>
      </c>
      <c r="K12686" s="0" t="s">
        <v>42292</v>
      </c>
      <c r="L12686" s="0" t="str">
        <f aca="false">HYPERLINK("https://www.ncbi.nlm.nih.gov/nuccore/CP000304.1?report=graph&amp;tracks=[key:gene_model_track,Options:GeneOnly]&amp;mk=3577270:3577289|offset_8|444444,3577311:3577330|offset_49|444444,3577348:3577367|offset_86|444444,3577369:3577388|offset_107|00cc00&amp;v=3577069:3577588&amp;c=444444", "offset 107")</f>
        <v>offset 107</v>
      </c>
    </row>
    <row r="12687" customFormat="false" ht="12.8" hidden="false" customHeight="false" outlineLevel="0" collapsed="false">
      <c r="A12687" s="0" t="s">
        <v>12</v>
      </c>
      <c r="B12687" s="0" t="n">
        <v>3577575</v>
      </c>
      <c r="C12687" s="0" t="n">
        <v>3577595</v>
      </c>
      <c r="D12687" s="0" t="s">
        <v>42293</v>
      </c>
      <c r="E12687" s="0" t="s">
        <v>89</v>
      </c>
      <c r="F12687" s="0" t="s">
        <v>15</v>
      </c>
      <c r="G12687" s="0" t="s">
        <v>16</v>
      </c>
      <c r="H12687" s="0" t="n">
        <v>0</v>
      </c>
      <c r="I12687" s="0" t="s">
        <v>42294</v>
      </c>
      <c r="J12687" s="0" t="s">
        <v>42295</v>
      </c>
      <c r="K12687" s="0" t="s">
        <v>42296</v>
      </c>
      <c r="L12687" s="0" t="str">
        <f aca="false">HYPERLINK("https://www.ncbi.nlm.nih.gov/nuccore/CP000304.1?report=graph&amp;tracks=[key:gene_model_track,Options:GeneOnly]&amp;mk=3577576:3577595|offset_0|00cc00,3577597:3577616|offset_21|444444,3577626:3577645|offset_50|444444,3577649:3577668|offset_73|444444&amp;v=3577375:3577868&amp;c=444444", "offset 0")</f>
        <v>offset 0</v>
      </c>
    </row>
    <row r="12688" customFormat="false" ht="12.8" hidden="false" customHeight="false" outlineLevel="0" collapsed="false">
      <c r="A12688" s="0" t="s">
        <v>12</v>
      </c>
      <c r="B12688" s="0" t="n">
        <v>3577596</v>
      </c>
      <c r="C12688" s="0" t="n">
        <v>3577616</v>
      </c>
      <c r="D12688" s="0" t="s">
        <v>42293</v>
      </c>
      <c r="E12688" s="0" t="s">
        <v>89</v>
      </c>
      <c r="F12688" s="0" t="s">
        <v>15</v>
      </c>
      <c r="G12688" s="0" t="s">
        <v>36</v>
      </c>
      <c r="H12688" s="0" t="n">
        <v>21</v>
      </c>
      <c r="I12688" s="0" t="s">
        <v>42297</v>
      </c>
      <c r="J12688" s="0" t="s">
        <v>42298</v>
      </c>
      <c r="K12688" s="0" t="s">
        <v>42299</v>
      </c>
      <c r="L12688" s="0" t="str">
        <f aca="false">HYPERLINK("https://www.ncbi.nlm.nih.gov/nuccore/CP000304.1?report=graph&amp;tracks=[key:gene_model_track,Options:GeneOnly]&amp;mk=3577576:3577595|offset_0|444444,3577597:3577616|offset_21|00cc00,3577626:3577645|offset_50|444444,3577649:3577668|offset_73|444444&amp;v=3577375:3577868&amp;c=444444", "offset 21")</f>
        <v>offset 21</v>
      </c>
    </row>
    <row r="12689" customFormat="false" ht="12.8" hidden="false" customHeight="false" outlineLevel="0" collapsed="false">
      <c r="A12689" s="0" t="s">
        <v>12</v>
      </c>
      <c r="B12689" s="0" t="n">
        <v>3577625</v>
      </c>
      <c r="C12689" s="0" t="n">
        <v>3577645</v>
      </c>
      <c r="D12689" s="0" t="s">
        <v>42293</v>
      </c>
      <c r="E12689" s="0" t="s">
        <v>89</v>
      </c>
      <c r="F12689" s="0" t="s">
        <v>15</v>
      </c>
      <c r="G12689" s="0" t="s">
        <v>26</v>
      </c>
      <c r="H12689" s="0" t="n">
        <v>50</v>
      </c>
      <c r="I12689" s="0" t="s">
        <v>42300</v>
      </c>
      <c r="J12689" s="0" t="s">
        <v>42301</v>
      </c>
      <c r="K12689" s="0" t="s">
        <v>42302</v>
      </c>
      <c r="L12689" s="0" t="str">
        <f aca="false">HYPERLINK("https://www.ncbi.nlm.nih.gov/nuccore/CP000304.1?report=graph&amp;tracks=[key:gene_model_track,Options:GeneOnly]&amp;mk=3577576:3577595|offset_0|444444,3577597:3577616|offset_21|444444,3577626:3577645|offset_50|00cc00,3577649:3577668|offset_73|444444&amp;v=3577375:3577868&amp;c=444444", "offset 50")</f>
        <v>offset 50</v>
      </c>
    </row>
    <row r="12690" customFormat="false" ht="12.8" hidden="false" customHeight="false" outlineLevel="0" collapsed="false">
      <c r="A12690" s="0" t="s">
        <v>12</v>
      </c>
      <c r="B12690" s="0" t="n">
        <v>3577648</v>
      </c>
      <c r="C12690" s="0" t="n">
        <v>3577668</v>
      </c>
      <c r="D12690" s="0" t="s">
        <v>42293</v>
      </c>
      <c r="E12690" s="0" t="s">
        <v>89</v>
      </c>
      <c r="F12690" s="0" t="s">
        <v>15</v>
      </c>
      <c r="G12690" s="0" t="s">
        <v>26</v>
      </c>
      <c r="H12690" s="0" t="n">
        <v>73</v>
      </c>
      <c r="I12690" s="0" t="s">
        <v>42303</v>
      </c>
      <c r="J12690" s="0" t="s">
        <v>42304</v>
      </c>
      <c r="K12690" s="0" t="s">
        <v>42305</v>
      </c>
      <c r="L12690" s="0" t="str">
        <f aca="false">HYPERLINK("https://www.ncbi.nlm.nih.gov/nuccore/CP000304.1?report=graph&amp;tracks=[key:gene_model_track,Options:GeneOnly]&amp;mk=3577576:3577595|offset_0|444444,3577597:3577616|offset_21|444444,3577626:3577645|offset_50|444444,3577649:3577668|offset_73|00cc00&amp;v=3577375:3577868&amp;c=444444", "offset 73")</f>
        <v>offset 73</v>
      </c>
    </row>
    <row r="12691" customFormat="false" ht="12.8" hidden="false" customHeight="false" outlineLevel="0" collapsed="false">
      <c r="A12691" s="0" t="s">
        <v>12</v>
      </c>
      <c r="B12691" s="0" t="n">
        <v>3578277</v>
      </c>
      <c r="C12691" s="0" t="n">
        <v>3578297</v>
      </c>
      <c r="D12691" s="0" t="s">
        <v>42306</v>
      </c>
      <c r="E12691" s="0" t="s">
        <v>89</v>
      </c>
      <c r="F12691" s="0" t="s">
        <v>90</v>
      </c>
      <c r="G12691" s="0" t="s">
        <v>36</v>
      </c>
      <c r="H12691" s="0" t="n">
        <v>19</v>
      </c>
      <c r="I12691" s="0" t="s">
        <v>42307</v>
      </c>
      <c r="J12691" s="0" t="s">
        <v>42308</v>
      </c>
      <c r="K12691" s="0" t="s">
        <v>42309</v>
      </c>
      <c r="L12691" s="0" t="str">
        <f aca="false">HYPERLINK("https://www.ncbi.nlm.nih.gov/nuccore/CP000304.1?report=graph&amp;tracks=[key:gene_model_track,Options:GeneOnly]&amp;mk=3578278:3578297|offset_19|00cc00,3578257:3578276|offset_40|444444,3578218:3578237|offset_79|444444,3578194:3578213|offset_103|444444&amp;v=3578077:3578413&amp;c=444444", "offset 19")</f>
        <v>offset 19</v>
      </c>
    </row>
    <row r="12692" customFormat="false" ht="12.8" hidden="false" customHeight="false" outlineLevel="0" collapsed="false">
      <c r="A12692" s="0" t="s">
        <v>12</v>
      </c>
      <c r="B12692" s="0" t="n">
        <v>3578256</v>
      </c>
      <c r="C12692" s="0" t="n">
        <v>3578276</v>
      </c>
      <c r="D12692" s="0" t="s">
        <v>42306</v>
      </c>
      <c r="E12692" s="0" t="s">
        <v>89</v>
      </c>
      <c r="F12692" s="0" t="s">
        <v>90</v>
      </c>
      <c r="G12692" s="0" t="s">
        <v>16</v>
      </c>
      <c r="H12692" s="0" t="n">
        <v>40</v>
      </c>
      <c r="I12692" s="0" t="s">
        <v>42310</v>
      </c>
      <c r="J12692" s="0" t="s">
        <v>42311</v>
      </c>
      <c r="K12692" s="0" t="s">
        <v>42312</v>
      </c>
      <c r="L12692" s="0" t="str">
        <f aca="false">HYPERLINK("https://www.ncbi.nlm.nih.gov/nuccore/CP000304.1?report=graph&amp;tracks=[key:gene_model_track,Options:GeneOnly]&amp;mk=3578278:3578297|offset_19|444444,3578257:3578276|offset_40|00cc00,3578218:3578237|offset_79|444444,3578194:3578213|offset_103|444444&amp;v=3578077:3578413&amp;c=444444", "offset 40")</f>
        <v>offset 40</v>
      </c>
    </row>
    <row r="12693" customFormat="false" ht="12.8" hidden="false" customHeight="false" outlineLevel="0" collapsed="false">
      <c r="A12693" s="0" t="s">
        <v>12</v>
      </c>
      <c r="B12693" s="0" t="n">
        <v>3578217</v>
      </c>
      <c r="C12693" s="0" t="n">
        <v>3578237</v>
      </c>
      <c r="D12693" s="0" t="s">
        <v>42306</v>
      </c>
      <c r="E12693" s="0" t="s">
        <v>89</v>
      </c>
      <c r="F12693" s="0" t="s">
        <v>90</v>
      </c>
      <c r="G12693" s="0" t="s">
        <v>16</v>
      </c>
      <c r="H12693" s="0" t="n">
        <v>79</v>
      </c>
      <c r="I12693" s="0" t="s">
        <v>42313</v>
      </c>
      <c r="J12693" s="0" t="s">
        <v>42314</v>
      </c>
      <c r="K12693" s="0" t="s">
        <v>42315</v>
      </c>
      <c r="L12693" s="0" t="str">
        <f aca="false">HYPERLINK("https://www.ncbi.nlm.nih.gov/nuccore/CP000304.1?report=graph&amp;tracks=[key:gene_model_track,Options:GeneOnly]&amp;mk=3578278:3578297|offset_19|444444,3578257:3578276|offset_40|444444,3578218:3578237|offset_79|00cc00,3578194:3578213|offset_103|444444&amp;v=3578077:3578413&amp;c=444444", "offset 79")</f>
        <v>offset 79</v>
      </c>
    </row>
    <row r="12694" customFormat="false" ht="12.8" hidden="false" customHeight="false" outlineLevel="0" collapsed="false">
      <c r="A12694" s="0" t="s">
        <v>12</v>
      </c>
      <c r="B12694" s="0" t="n">
        <v>3578193</v>
      </c>
      <c r="C12694" s="0" t="n">
        <v>3578213</v>
      </c>
      <c r="D12694" s="0" t="s">
        <v>42306</v>
      </c>
      <c r="E12694" s="0" t="s">
        <v>89</v>
      </c>
      <c r="F12694" s="0" t="s">
        <v>90</v>
      </c>
      <c r="G12694" s="0" t="s">
        <v>16</v>
      </c>
      <c r="H12694" s="0" t="n">
        <v>103</v>
      </c>
      <c r="I12694" s="0" t="s">
        <v>42316</v>
      </c>
      <c r="J12694" s="0" t="s">
        <v>42317</v>
      </c>
      <c r="K12694" s="0" t="s">
        <v>42318</v>
      </c>
      <c r="L12694" s="0" t="str">
        <f aca="false">HYPERLINK("https://www.ncbi.nlm.nih.gov/nuccore/CP000304.1?report=graph&amp;tracks=[key:gene_model_track,Options:GeneOnly]&amp;mk=3578278:3578297|offset_19|444444,3578257:3578276|offset_40|444444,3578218:3578237|offset_79|444444,3578194:3578213|offset_103|00cc00&amp;v=3578077:3578413&amp;c=444444", "offset 103")</f>
        <v>offset 103</v>
      </c>
    </row>
    <row r="12695" customFormat="false" ht="12.8" hidden="false" customHeight="false" outlineLevel="0" collapsed="false">
      <c r="A12695" s="0" t="s">
        <v>12</v>
      </c>
      <c r="B12695" s="0" t="n">
        <v>3580671</v>
      </c>
      <c r="C12695" s="0" t="n">
        <v>3580691</v>
      </c>
      <c r="D12695" s="0" t="s">
        <v>42319</v>
      </c>
      <c r="E12695" s="0" t="s">
        <v>42320</v>
      </c>
      <c r="F12695" s="0" t="s">
        <v>90</v>
      </c>
      <c r="G12695" s="0" t="s">
        <v>16</v>
      </c>
      <c r="H12695" s="0" t="n">
        <v>1</v>
      </c>
      <c r="I12695" s="0" t="s">
        <v>42321</v>
      </c>
      <c r="J12695" s="0" t="s">
        <v>42322</v>
      </c>
      <c r="K12695" s="0" t="s">
        <v>42323</v>
      </c>
      <c r="L12695" s="0" t="str">
        <f aca="false">HYPERLINK("https://www.ncbi.nlm.nih.gov/nuccore/CP000304.1?report=graph&amp;tracks=[key:gene_model_track,Options:GeneOnly]&amp;mk=3580672:3580691|offset_1|00cc00,3580630:3580649|offset_43|444444,3580603:3580622|offset_70|444444,3580573:3580592|offset_100|444444&amp;v=3580471:3580792&amp;c=444444", "offset 1")</f>
        <v>offset 1</v>
      </c>
    </row>
    <row r="12696" customFormat="false" ht="12.8" hidden="false" customHeight="false" outlineLevel="0" collapsed="false">
      <c r="A12696" s="0" t="s">
        <v>12</v>
      </c>
      <c r="B12696" s="0" t="n">
        <v>3580629</v>
      </c>
      <c r="C12696" s="0" t="n">
        <v>3580649</v>
      </c>
      <c r="D12696" s="0" t="s">
        <v>42319</v>
      </c>
      <c r="E12696" s="0" t="s">
        <v>42320</v>
      </c>
      <c r="F12696" s="0" t="s">
        <v>90</v>
      </c>
      <c r="G12696" s="0" t="s">
        <v>16</v>
      </c>
      <c r="H12696" s="0" t="n">
        <v>43</v>
      </c>
      <c r="I12696" s="0" t="s">
        <v>42324</v>
      </c>
      <c r="J12696" s="0" t="s">
        <v>42325</v>
      </c>
      <c r="K12696" s="0" t="s">
        <v>42326</v>
      </c>
      <c r="L12696" s="0" t="str">
        <f aca="false">HYPERLINK("https://www.ncbi.nlm.nih.gov/nuccore/CP000304.1?report=graph&amp;tracks=[key:gene_model_track,Options:GeneOnly]&amp;mk=3580672:3580691|offset_1|444444,3580630:3580649|offset_43|00cc00,3580603:3580622|offset_70|444444,3580573:3580592|offset_100|444444&amp;v=3580471:3580792&amp;c=444444", "offset 43")</f>
        <v>offset 43</v>
      </c>
    </row>
    <row r="12697" customFormat="false" ht="12.8" hidden="false" customHeight="false" outlineLevel="0" collapsed="false">
      <c r="A12697" s="0" t="s">
        <v>12</v>
      </c>
      <c r="B12697" s="0" t="n">
        <v>3580602</v>
      </c>
      <c r="C12697" s="0" t="n">
        <v>3580622</v>
      </c>
      <c r="D12697" s="0" t="s">
        <v>42319</v>
      </c>
      <c r="E12697" s="0" t="s">
        <v>42320</v>
      </c>
      <c r="F12697" s="0" t="s">
        <v>90</v>
      </c>
      <c r="G12697" s="0" t="s">
        <v>36</v>
      </c>
      <c r="H12697" s="0" t="n">
        <v>70</v>
      </c>
      <c r="I12697" s="0" t="s">
        <v>42327</v>
      </c>
      <c r="J12697" s="0" t="s">
        <v>42328</v>
      </c>
      <c r="K12697" s="0" t="s">
        <v>42329</v>
      </c>
      <c r="L12697" s="0" t="str">
        <f aca="false">HYPERLINK("https://www.ncbi.nlm.nih.gov/nuccore/CP000304.1?report=graph&amp;tracks=[key:gene_model_track,Options:GeneOnly]&amp;mk=3580672:3580691|offset_1|444444,3580630:3580649|offset_43|444444,3580603:3580622|offset_70|00cc00,3580573:3580592|offset_100|444444&amp;v=3580471:3580792&amp;c=444444", "offset 70")</f>
        <v>offset 70</v>
      </c>
    </row>
    <row r="12698" customFormat="false" ht="12.8" hidden="false" customHeight="false" outlineLevel="0" collapsed="false">
      <c r="A12698" s="0" t="s">
        <v>12</v>
      </c>
      <c r="B12698" s="0" t="n">
        <v>3580572</v>
      </c>
      <c r="C12698" s="0" t="n">
        <v>3580592</v>
      </c>
      <c r="D12698" s="0" t="s">
        <v>42319</v>
      </c>
      <c r="E12698" s="0" t="s">
        <v>42320</v>
      </c>
      <c r="F12698" s="0" t="s">
        <v>90</v>
      </c>
      <c r="G12698" s="0" t="s">
        <v>16</v>
      </c>
      <c r="H12698" s="0" t="n">
        <v>100</v>
      </c>
      <c r="I12698" s="0" t="s">
        <v>42330</v>
      </c>
      <c r="J12698" s="0" t="s">
        <v>42331</v>
      </c>
      <c r="K12698" s="0" t="s">
        <v>42332</v>
      </c>
      <c r="L12698" s="0" t="str">
        <f aca="false">HYPERLINK("https://www.ncbi.nlm.nih.gov/nuccore/CP000304.1?report=graph&amp;tracks=[key:gene_model_track,Options:GeneOnly]&amp;mk=3580672:3580691|offset_1|444444,3580630:3580649|offset_43|444444,3580603:3580622|offset_70|444444,3580573:3580592|offset_100|00cc00&amp;v=3580471:3580792&amp;c=444444", "offset 100")</f>
        <v>offset 100</v>
      </c>
    </row>
    <row r="12699" customFormat="false" ht="12.8" hidden="false" customHeight="false" outlineLevel="0" collapsed="false">
      <c r="A12699" s="0" t="s">
        <v>12</v>
      </c>
      <c r="B12699" s="0" t="n">
        <v>3581108</v>
      </c>
      <c r="C12699" s="0" t="n">
        <v>3581128</v>
      </c>
      <c r="D12699" s="0" t="s">
        <v>42333</v>
      </c>
      <c r="E12699" s="0" t="s">
        <v>42334</v>
      </c>
      <c r="F12699" s="0" t="s">
        <v>90</v>
      </c>
      <c r="G12699" s="0" t="s">
        <v>32</v>
      </c>
      <c r="H12699" s="0" t="n">
        <v>1</v>
      </c>
      <c r="I12699" s="0" t="s">
        <v>42335</v>
      </c>
      <c r="J12699" s="0" t="s">
        <v>42336</v>
      </c>
      <c r="K12699" s="0" t="s">
        <v>42337</v>
      </c>
      <c r="L12699" s="0" t="str">
        <f aca="false">HYPERLINK("https://www.ncbi.nlm.nih.gov/nuccore/CP000304.1?report=graph&amp;tracks=[key:gene_model_track,Options:GeneOnly]&amp;mk=3581109:3581128|offset_1|00cc00,3581082:3581101|offset_28|444444,3581043:3581062|offset_67|444444,3581019:3581038|offset_91|444444&amp;v=3580908:3581238&amp;c=444444", "offset 1")</f>
        <v>offset 1</v>
      </c>
    </row>
    <row r="12700" customFormat="false" ht="12.8" hidden="false" customHeight="false" outlineLevel="0" collapsed="false">
      <c r="A12700" s="0" t="s">
        <v>12</v>
      </c>
      <c r="B12700" s="0" t="n">
        <v>3581081</v>
      </c>
      <c r="C12700" s="0" t="n">
        <v>3581101</v>
      </c>
      <c r="D12700" s="0" t="s">
        <v>42333</v>
      </c>
      <c r="E12700" s="0" t="s">
        <v>42334</v>
      </c>
      <c r="F12700" s="0" t="s">
        <v>90</v>
      </c>
      <c r="G12700" s="0" t="s">
        <v>36</v>
      </c>
      <c r="H12700" s="0" t="n">
        <v>28</v>
      </c>
      <c r="I12700" s="0" t="s">
        <v>42338</v>
      </c>
      <c r="J12700" s="0" t="s">
        <v>42339</v>
      </c>
      <c r="K12700" s="0" t="s">
        <v>42340</v>
      </c>
      <c r="L12700" s="0" t="str">
        <f aca="false">HYPERLINK("https://www.ncbi.nlm.nih.gov/nuccore/CP000304.1?report=graph&amp;tracks=[key:gene_model_track,Options:GeneOnly]&amp;mk=3581109:3581128|offset_1|444444,3581082:3581101|offset_28|00cc00,3581043:3581062|offset_67|444444,3581019:3581038|offset_91|444444&amp;v=3580908:3581238&amp;c=444444", "offset 28")</f>
        <v>offset 28</v>
      </c>
    </row>
    <row r="12701" customFormat="false" ht="12.8" hidden="false" customHeight="false" outlineLevel="0" collapsed="false">
      <c r="A12701" s="0" t="s">
        <v>12</v>
      </c>
      <c r="B12701" s="0" t="n">
        <v>3581042</v>
      </c>
      <c r="C12701" s="0" t="n">
        <v>3581062</v>
      </c>
      <c r="D12701" s="0" t="s">
        <v>42333</v>
      </c>
      <c r="E12701" s="0" t="s">
        <v>42334</v>
      </c>
      <c r="F12701" s="0" t="s">
        <v>90</v>
      </c>
      <c r="G12701" s="0" t="s">
        <v>16</v>
      </c>
      <c r="H12701" s="0" t="n">
        <v>67</v>
      </c>
      <c r="I12701" s="0" t="s">
        <v>42341</v>
      </c>
      <c r="J12701" s="0" t="s">
        <v>42342</v>
      </c>
      <c r="K12701" s="0" t="s">
        <v>42343</v>
      </c>
      <c r="L12701" s="0" t="str">
        <f aca="false">HYPERLINK("https://www.ncbi.nlm.nih.gov/nuccore/CP000304.1?report=graph&amp;tracks=[key:gene_model_track,Options:GeneOnly]&amp;mk=3581109:3581128|offset_1|444444,3581082:3581101|offset_28|444444,3581043:3581062|offset_67|00cc00,3581019:3581038|offset_91|444444&amp;v=3580908:3581238&amp;c=444444", "offset 67")</f>
        <v>offset 67</v>
      </c>
    </row>
    <row r="12702" customFormat="false" ht="12.8" hidden="false" customHeight="false" outlineLevel="0" collapsed="false">
      <c r="A12702" s="0" t="s">
        <v>12</v>
      </c>
      <c r="B12702" s="0" t="n">
        <v>3581018</v>
      </c>
      <c r="C12702" s="0" t="n">
        <v>3581038</v>
      </c>
      <c r="D12702" s="0" t="s">
        <v>42333</v>
      </c>
      <c r="E12702" s="0" t="s">
        <v>42334</v>
      </c>
      <c r="F12702" s="0" t="s">
        <v>90</v>
      </c>
      <c r="G12702" s="0" t="s">
        <v>36</v>
      </c>
      <c r="H12702" s="0" t="n">
        <v>91</v>
      </c>
      <c r="I12702" s="0" t="s">
        <v>42344</v>
      </c>
      <c r="J12702" s="0" t="s">
        <v>42345</v>
      </c>
      <c r="K12702" s="0" t="s">
        <v>42346</v>
      </c>
      <c r="L12702" s="0" t="str">
        <f aca="false">HYPERLINK("https://www.ncbi.nlm.nih.gov/nuccore/CP000304.1?report=graph&amp;tracks=[key:gene_model_track,Options:GeneOnly]&amp;mk=3581109:3581128|offset_1|444444,3581082:3581101|offset_28|444444,3581043:3581062|offset_67|444444,3581019:3581038|offset_91|00cc00&amp;v=3580908:3581238&amp;c=444444", "offset 91")</f>
        <v>offset 91</v>
      </c>
    </row>
    <row r="12703" customFormat="false" ht="12.8" hidden="false" customHeight="false" outlineLevel="0" collapsed="false">
      <c r="A12703" s="0" t="s">
        <v>12</v>
      </c>
      <c r="B12703" s="0" t="n">
        <v>3582135</v>
      </c>
      <c r="C12703" s="0" t="n">
        <v>3582155</v>
      </c>
      <c r="D12703" s="0" t="s">
        <v>42347</v>
      </c>
      <c r="E12703" s="0" t="s">
        <v>42348</v>
      </c>
      <c r="F12703" s="0" t="s">
        <v>90</v>
      </c>
      <c r="G12703" s="0" t="s">
        <v>36</v>
      </c>
      <c r="H12703" s="0" t="n">
        <v>7</v>
      </c>
      <c r="I12703" s="0" t="s">
        <v>42349</v>
      </c>
      <c r="J12703" s="0" t="s">
        <v>42350</v>
      </c>
      <c r="K12703" s="0" t="s">
        <v>42351</v>
      </c>
      <c r="L12703" s="0" t="str">
        <f aca="false">HYPERLINK("https://www.ncbi.nlm.nih.gov/nuccore/CP000304.1?report=graph&amp;tracks=[key:gene_model_track,Options:GeneOnly]&amp;mk=3582136:3582155|offset_7|00cc00,3582096:3582115|offset_47|444444,3582070:3582089|offset_73|444444,3582015:3582034|offset_128|444444&amp;v=3581935:3582234&amp;c=444444", "offset 7")</f>
        <v>offset 7</v>
      </c>
    </row>
    <row r="12704" customFormat="false" ht="12.8" hidden="false" customHeight="false" outlineLevel="0" collapsed="false">
      <c r="A12704" s="0" t="s">
        <v>12</v>
      </c>
      <c r="B12704" s="0" t="n">
        <v>3582095</v>
      </c>
      <c r="C12704" s="0" t="n">
        <v>3582115</v>
      </c>
      <c r="D12704" s="0" t="s">
        <v>42347</v>
      </c>
      <c r="E12704" s="0" t="s">
        <v>42348</v>
      </c>
      <c r="F12704" s="0" t="s">
        <v>90</v>
      </c>
      <c r="G12704" s="0" t="s">
        <v>26</v>
      </c>
      <c r="H12704" s="0" t="n">
        <v>47</v>
      </c>
      <c r="I12704" s="0" t="s">
        <v>42352</v>
      </c>
      <c r="J12704" s="0" t="s">
        <v>42353</v>
      </c>
      <c r="K12704" s="0" t="s">
        <v>42354</v>
      </c>
      <c r="L12704" s="0" t="str">
        <f aca="false">HYPERLINK("https://www.ncbi.nlm.nih.gov/nuccore/CP000304.1?report=graph&amp;tracks=[key:gene_model_track,Options:GeneOnly]&amp;mk=3582136:3582155|offset_7|444444,3582096:3582115|offset_47|00cc00,3582070:3582089|offset_73|444444,3582015:3582034|offset_128|444444&amp;v=3581935:3582234&amp;c=444444", "offset 47")</f>
        <v>offset 47</v>
      </c>
    </row>
    <row r="12705" customFormat="false" ht="12.8" hidden="false" customHeight="false" outlineLevel="0" collapsed="false">
      <c r="A12705" s="0" t="s">
        <v>12</v>
      </c>
      <c r="B12705" s="0" t="n">
        <v>3582069</v>
      </c>
      <c r="C12705" s="0" t="n">
        <v>3582089</v>
      </c>
      <c r="D12705" s="0" t="s">
        <v>42347</v>
      </c>
      <c r="E12705" s="0" t="s">
        <v>42348</v>
      </c>
      <c r="F12705" s="0" t="s">
        <v>90</v>
      </c>
      <c r="G12705" s="0" t="s">
        <v>26</v>
      </c>
      <c r="H12705" s="0" t="n">
        <v>73</v>
      </c>
      <c r="I12705" s="0" t="s">
        <v>42355</v>
      </c>
      <c r="J12705" s="0" t="s">
        <v>42356</v>
      </c>
      <c r="K12705" s="0" t="s">
        <v>42357</v>
      </c>
      <c r="L12705" s="0" t="str">
        <f aca="false">HYPERLINK("https://www.ncbi.nlm.nih.gov/nuccore/CP000304.1?report=graph&amp;tracks=[key:gene_model_track,Options:GeneOnly]&amp;mk=3582136:3582155|offset_7|444444,3582096:3582115|offset_47|444444,3582070:3582089|offset_73|00cc00,3582015:3582034|offset_128|444444&amp;v=3581935:3582234&amp;c=444444", "offset 73")</f>
        <v>offset 73</v>
      </c>
    </row>
    <row r="12706" customFormat="false" ht="12.8" hidden="false" customHeight="false" outlineLevel="0" collapsed="false">
      <c r="A12706" s="0" t="s">
        <v>12</v>
      </c>
      <c r="B12706" s="0" t="n">
        <v>3582014</v>
      </c>
      <c r="C12706" s="0" t="n">
        <v>3582034</v>
      </c>
      <c r="D12706" s="0" t="s">
        <v>42347</v>
      </c>
      <c r="E12706" s="0" t="s">
        <v>42348</v>
      </c>
      <c r="F12706" s="0" t="s">
        <v>90</v>
      </c>
      <c r="G12706" s="0" t="s">
        <v>32</v>
      </c>
      <c r="H12706" s="0" t="n">
        <v>128</v>
      </c>
      <c r="I12706" s="0" t="s">
        <v>42358</v>
      </c>
      <c r="J12706" s="0" t="s">
        <v>42359</v>
      </c>
      <c r="K12706" s="0" t="s">
        <v>42360</v>
      </c>
      <c r="L12706" s="0" t="str">
        <f aca="false">HYPERLINK("https://www.ncbi.nlm.nih.gov/nuccore/CP000304.1?report=graph&amp;tracks=[key:gene_model_track,Options:GeneOnly]&amp;mk=3582136:3582155|offset_7|444444,3582096:3582115|offset_47|444444,3582070:3582089|offset_73|444444,3582015:3582034|offset_128|00cc00&amp;v=3581935:3582234&amp;c=444444", "offset 128")</f>
        <v>offset 128</v>
      </c>
    </row>
    <row r="12707" customFormat="false" ht="12.8" hidden="false" customHeight="false" outlineLevel="0" collapsed="false">
      <c r="A12707" s="0" t="s">
        <v>12</v>
      </c>
      <c r="B12707" s="0" t="n">
        <v>3582527</v>
      </c>
      <c r="C12707" s="0" t="n">
        <v>3582547</v>
      </c>
      <c r="D12707" s="0" t="s">
        <v>42361</v>
      </c>
      <c r="E12707" s="0" t="s">
        <v>42362</v>
      </c>
      <c r="F12707" s="0" t="s">
        <v>90</v>
      </c>
      <c r="G12707" s="0" t="s">
        <v>32</v>
      </c>
      <c r="H12707" s="0" t="n">
        <v>7</v>
      </c>
      <c r="I12707" s="0" t="s">
        <v>42363</v>
      </c>
      <c r="J12707" s="0" t="s">
        <v>42364</v>
      </c>
      <c r="K12707" s="0" t="s">
        <v>42365</v>
      </c>
      <c r="L12707" s="0" t="str">
        <f aca="false">HYPERLINK("https://www.ncbi.nlm.nih.gov/nuccore/CP000304.1?report=graph&amp;tracks=[key:gene_model_track,Options:GeneOnly]&amp;mk=3582528:3582547|offset_7|00cc00,3582464:3582483|offset_71|444444,3582434:3582453|offset_101|444444,3582393:3582412|offset_142|444444&amp;v=3582327:3582612&amp;c=444444", "offset 7")</f>
        <v>offset 7</v>
      </c>
    </row>
    <row r="12708" customFormat="false" ht="12.8" hidden="false" customHeight="false" outlineLevel="0" collapsed="false">
      <c r="A12708" s="0" t="s">
        <v>12</v>
      </c>
      <c r="B12708" s="0" t="n">
        <v>3582463</v>
      </c>
      <c r="C12708" s="0" t="n">
        <v>3582483</v>
      </c>
      <c r="D12708" s="0" t="s">
        <v>42361</v>
      </c>
      <c r="E12708" s="0" t="s">
        <v>42362</v>
      </c>
      <c r="F12708" s="0" t="s">
        <v>90</v>
      </c>
      <c r="G12708" s="0" t="s">
        <v>32</v>
      </c>
      <c r="H12708" s="0" t="n">
        <v>71</v>
      </c>
      <c r="I12708" s="0" t="s">
        <v>42366</v>
      </c>
      <c r="J12708" s="0" t="s">
        <v>42367</v>
      </c>
      <c r="K12708" s="0" t="s">
        <v>42368</v>
      </c>
      <c r="L12708" s="0" t="str">
        <f aca="false">HYPERLINK("https://www.ncbi.nlm.nih.gov/nuccore/CP000304.1?report=graph&amp;tracks=[key:gene_model_track,Options:GeneOnly]&amp;mk=3582528:3582547|offset_7|444444,3582464:3582483|offset_71|00cc00,3582434:3582453|offset_101|444444,3582393:3582412|offset_142|444444&amp;v=3582327:3582612&amp;c=444444", "offset 71")</f>
        <v>offset 71</v>
      </c>
    </row>
    <row r="12709" customFormat="false" ht="12.8" hidden="false" customHeight="false" outlineLevel="0" collapsed="false">
      <c r="A12709" s="0" t="s">
        <v>12</v>
      </c>
      <c r="B12709" s="0" t="n">
        <v>3582433</v>
      </c>
      <c r="C12709" s="0" t="n">
        <v>3582453</v>
      </c>
      <c r="D12709" s="0" t="s">
        <v>42361</v>
      </c>
      <c r="E12709" s="0" t="s">
        <v>42362</v>
      </c>
      <c r="F12709" s="0" t="s">
        <v>90</v>
      </c>
      <c r="G12709" s="0" t="s">
        <v>26</v>
      </c>
      <c r="H12709" s="0" t="n">
        <v>101</v>
      </c>
      <c r="I12709" s="0" t="s">
        <v>42369</v>
      </c>
      <c r="J12709" s="0" t="s">
        <v>42370</v>
      </c>
      <c r="K12709" s="0" t="s">
        <v>42371</v>
      </c>
      <c r="L12709" s="0" t="str">
        <f aca="false">HYPERLINK("https://www.ncbi.nlm.nih.gov/nuccore/CP000304.1?report=graph&amp;tracks=[key:gene_model_track,Options:GeneOnly]&amp;mk=3582528:3582547|offset_7|444444,3582464:3582483|offset_71|444444,3582434:3582453|offset_101|00cc00,3582393:3582412|offset_142|444444&amp;v=3582327:3582612&amp;c=444444", "offset 101")</f>
        <v>offset 101</v>
      </c>
    </row>
    <row r="12710" customFormat="false" ht="12.8" hidden="false" customHeight="false" outlineLevel="0" collapsed="false">
      <c r="A12710" s="0" t="s">
        <v>12</v>
      </c>
      <c r="B12710" s="0" t="n">
        <v>3582392</v>
      </c>
      <c r="C12710" s="0" t="n">
        <v>3582412</v>
      </c>
      <c r="D12710" s="0" t="s">
        <v>42361</v>
      </c>
      <c r="E12710" s="0" t="s">
        <v>42362</v>
      </c>
      <c r="F12710" s="0" t="s">
        <v>90</v>
      </c>
      <c r="G12710" s="0" t="s">
        <v>36</v>
      </c>
      <c r="H12710" s="0" t="n">
        <v>142</v>
      </c>
      <c r="I12710" s="0" t="s">
        <v>42372</v>
      </c>
      <c r="J12710" s="0" t="s">
        <v>42373</v>
      </c>
      <c r="K12710" s="0" t="s">
        <v>42374</v>
      </c>
      <c r="L12710" s="0" t="str">
        <f aca="false">HYPERLINK("https://www.ncbi.nlm.nih.gov/nuccore/CP000304.1?report=graph&amp;tracks=[key:gene_model_track,Options:GeneOnly]&amp;mk=3582528:3582547|offset_7|444444,3582464:3582483|offset_71|444444,3582434:3582453|offset_101|444444,3582393:3582412|offset_142|00cc00&amp;v=3582327:3582612&amp;c=444444", "offset 142")</f>
        <v>offset 142</v>
      </c>
    </row>
    <row r="12711" customFormat="false" ht="12.8" hidden="false" customHeight="false" outlineLevel="0" collapsed="false">
      <c r="A12711" s="0" t="s">
        <v>12</v>
      </c>
      <c r="B12711" s="0" t="n">
        <v>3585119</v>
      </c>
      <c r="C12711" s="0" t="n">
        <v>3585139</v>
      </c>
      <c r="D12711" s="0" t="s">
        <v>42375</v>
      </c>
      <c r="E12711" s="0" t="s">
        <v>42376</v>
      </c>
      <c r="F12711" s="0" t="s">
        <v>90</v>
      </c>
      <c r="G12711" s="0" t="s">
        <v>36</v>
      </c>
      <c r="H12711" s="0" t="n">
        <v>31</v>
      </c>
      <c r="I12711" s="0" t="s">
        <v>42377</v>
      </c>
      <c r="J12711" s="0" t="s">
        <v>42378</v>
      </c>
      <c r="K12711" s="0" t="s">
        <v>42379</v>
      </c>
      <c r="L12711" s="0" t="str">
        <f aca="false">HYPERLINK("https://www.ncbi.nlm.nih.gov/nuccore/CP000304.1?report=graph&amp;tracks=[key:gene_model_track,Options:GeneOnly]&amp;mk=3585120:3585139|offset_31|00cc00,3585054:3585073|offset_97|444444,3585033:3585052|offset_118|444444,3584990:3585009|offset_161|444444&amp;v=3584919:3585209&amp;c=444444", "offset 31")</f>
        <v>offset 31</v>
      </c>
    </row>
    <row r="12712" customFormat="false" ht="12.8" hidden="false" customHeight="false" outlineLevel="0" collapsed="false">
      <c r="A12712" s="0" t="s">
        <v>12</v>
      </c>
      <c r="B12712" s="0" t="n">
        <v>3585053</v>
      </c>
      <c r="C12712" s="0" t="n">
        <v>3585073</v>
      </c>
      <c r="D12712" s="0" t="s">
        <v>42375</v>
      </c>
      <c r="E12712" s="0" t="s">
        <v>42376</v>
      </c>
      <c r="F12712" s="0" t="s">
        <v>90</v>
      </c>
      <c r="G12712" s="0" t="s">
        <v>32</v>
      </c>
      <c r="H12712" s="0" t="n">
        <v>97</v>
      </c>
      <c r="I12712" s="0" t="s">
        <v>42380</v>
      </c>
      <c r="J12712" s="0" t="s">
        <v>42381</v>
      </c>
      <c r="K12712" s="0" t="s">
        <v>42382</v>
      </c>
      <c r="L12712" s="0" t="str">
        <f aca="false">HYPERLINK("https://www.ncbi.nlm.nih.gov/nuccore/CP000304.1?report=graph&amp;tracks=[key:gene_model_track,Options:GeneOnly]&amp;mk=3585120:3585139|offset_31|444444,3585054:3585073|offset_97|00cc00,3585033:3585052|offset_118|444444,3584990:3585009|offset_161|444444&amp;v=3584919:3585209&amp;c=444444", "offset 97")</f>
        <v>offset 97</v>
      </c>
    </row>
    <row r="12713" customFormat="false" ht="12.8" hidden="false" customHeight="false" outlineLevel="0" collapsed="false">
      <c r="A12713" s="0" t="s">
        <v>12</v>
      </c>
      <c r="B12713" s="0" t="n">
        <v>3585032</v>
      </c>
      <c r="C12713" s="0" t="n">
        <v>3585052</v>
      </c>
      <c r="D12713" s="0" t="s">
        <v>42375</v>
      </c>
      <c r="E12713" s="0" t="s">
        <v>42376</v>
      </c>
      <c r="F12713" s="0" t="s">
        <v>90</v>
      </c>
      <c r="G12713" s="0" t="s">
        <v>16</v>
      </c>
      <c r="H12713" s="0" t="n">
        <v>118</v>
      </c>
      <c r="I12713" s="0" t="s">
        <v>42383</v>
      </c>
      <c r="J12713" s="0" t="s">
        <v>42384</v>
      </c>
      <c r="K12713" s="0" t="s">
        <v>42385</v>
      </c>
      <c r="L12713" s="0" t="str">
        <f aca="false">HYPERLINK("https://www.ncbi.nlm.nih.gov/nuccore/CP000304.1?report=graph&amp;tracks=[key:gene_model_track,Options:GeneOnly]&amp;mk=3585120:3585139|offset_31|444444,3585054:3585073|offset_97|444444,3585033:3585052|offset_118|00cc00,3584990:3585009|offset_161|444444&amp;v=3584919:3585209&amp;c=444444", "offset 118")</f>
        <v>offset 118</v>
      </c>
    </row>
    <row r="12714" customFormat="false" ht="12.8" hidden="false" customHeight="false" outlineLevel="0" collapsed="false">
      <c r="A12714" s="0" t="s">
        <v>12</v>
      </c>
      <c r="B12714" s="0" t="n">
        <v>3584989</v>
      </c>
      <c r="C12714" s="0" t="n">
        <v>3585009</v>
      </c>
      <c r="D12714" s="0" t="s">
        <v>42375</v>
      </c>
      <c r="E12714" s="0" t="s">
        <v>42376</v>
      </c>
      <c r="F12714" s="0" t="s">
        <v>90</v>
      </c>
      <c r="G12714" s="0" t="s">
        <v>32</v>
      </c>
      <c r="H12714" s="0" t="n">
        <v>161</v>
      </c>
      <c r="I12714" s="0" t="s">
        <v>42386</v>
      </c>
      <c r="J12714" s="0" t="s">
        <v>42387</v>
      </c>
      <c r="K12714" s="0" t="s">
        <v>42388</v>
      </c>
      <c r="L12714" s="0" t="str">
        <f aca="false">HYPERLINK("https://www.ncbi.nlm.nih.gov/nuccore/CP000304.1?report=graph&amp;tracks=[key:gene_model_track,Options:GeneOnly]&amp;mk=3585120:3585139|offset_31|444444,3585054:3585073|offset_97|444444,3585033:3585052|offset_118|444444,3584990:3585009|offset_161|00cc00&amp;v=3584919:3585209&amp;c=444444", "offset 161")</f>
        <v>offset 161</v>
      </c>
    </row>
    <row r="12715" customFormat="false" ht="12.8" hidden="false" customHeight="false" outlineLevel="0" collapsed="false">
      <c r="A12715" s="0" t="s">
        <v>12</v>
      </c>
      <c r="B12715" s="0" t="n">
        <v>3586620</v>
      </c>
      <c r="C12715" s="0" t="n">
        <v>3586640</v>
      </c>
      <c r="D12715" s="0" t="s">
        <v>42389</v>
      </c>
      <c r="E12715" s="0" t="s">
        <v>42390</v>
      </c>
      <c r="F12715" s="0" t="s">
        <v>90</v>
      </c>
      <c r="G12715" s="0" t="s">
        <v>32</v>
      </c>
      <c r="H12715" s="0" t="n">
        <v>40</v>
      </c>
      <c r="I12715" s="0" t="s">
        <v>42391</v>
      </c>
      <c r="J12715" s="0" t="s">
        <v>42392</v>
      </c>
      <c r="K12715" s="0" t="s">
        <v>42393</v>
      </c>
      <c r="L12715" s="0" t="str">
        <f aca="false">HYPERLINK("https://www.ncbi.nlm.nih.gov/nuccore/CP000304.1?report=graph&amp;tracks=[key:gene_model_track,Options:GeneOnly]&amp;mk=3586621:3586640|offset_40|00cc00,3586564:3586583|offset_97|444444,3586506:3586525|offset_155|444444,3586486:3586505|offset_175|444444&amp;v=3586420:3586705&amp;c=444444", "offset 40")</f>
        <v>offset 40</v>
      </c>
    </row>
    <row r="12716" customFormat="false" ht="12.8" hidden="false" customHeight="false" outlineLevel="0" collapsed="false">
      <c r="A12716" s="0" t="s">
        <v>12</v>
      </c>
      <c r="B12716" s="0" t="n">
        <v>3586563</v>
      </c>
      <c r="C12716" s="0" t="n">
        <v>3586583</v>
      </c>
      <c r="D12716" s="0" t="s">
        <v>42389</v>
      </c>
      <c r="E12716" s="0" t="s">
        <v>42390</v>
      </c>
      <c r="F12716" s="0" t="s">
        <v>90</v>
      </c>
      <c r="G12716" s="0" t="s">
        <v>32</v>
      </c>
      <c r="H12716" s="0" t="n">
        <v>97</v>
      </c>
      <c r="I12716" s="0" t="s">
        <v>42394</v>
      </c>
      <c r="J12716" s="0" t="s">
        <v>42395</v>
      </c>
      <c r="K12716" s="0" t="s">
        <v>42396</v>
      </c>
      <c r="L12716" s="0" t="str">
        <f aca="false">HYPERLINK("https://www.ncbi.nlm.nih.gov/nuccore/CP000304.1?report=graph&amp;tracks=[key:gene_model_track,Options:GeneOnly]&amp;mk=3586621:3586640|offset_40|444444,3586564:3586583|offset_97|00cc00,3586506:3586525|offset_155|444444,3586486:3586505|offset_175|444444&amp;v=3586420:3586705&amp;c=444444", "offset 97")</f>
        <v>offset 97</v>
      </c>
    </row>
    <row r="12717" customFormat="false" ht="12.8" hidden="false" customHeight="false" outlineLevel="0" collapsed="false">
      <c r="A12717" s="0" t="s">
        <v>12</v>
      </c>
      <c r="B12717" s="0" t="n">
        <v>3586505</v>
      </c>
      <c r="C12717" s="0" t="n">
        <v>3586525</v>
      </c>
      <c r="D12717" s="0" t="s">
        <v>42389</v>
      </c>
      <c r="E12717" s="0" t="s">
        <v>42390</v>
      </c>
      <c r="F12717" s="0" t="s">
        <v>90</v>
      </c>
      <c r="G12717" s="0" t="s">
        <v>32</v>
      </c>
      <c r="H12717" s="0" t="n">
        <v>155</v>
      </c>
      <c r="I12717" s="0" t="s">
        <v>42397</v>
      </c>
      <c r="J12717" s="0" t="s">
        <v>42398</v>
      </c>
      <c r="K12717" s="0" t="s">
        <v>42399</v>
      </c>
      <c r="L12717" s="0" t="str">
        <f aca="false">HYPERLINK("https://www.ncbi.nlm.nih.gov/nuccore/CP000304.1?report=graph&amp;tracks=[key:gene_model_track,Options:GeneOnly]&amp;mk=3586621:3586640|offset_40|444444,3586564:3586583|offset_97|444444,3586506:3586525|offset_155|00cc00,3586486:3586505|offset_175|444444&amp;v=3586420:3586705&amp;c=444444", "offset 155")</f>
        <v>offset 155</v>
      </c>
    </row>
    <row r="12718" customFormat="false" ht="12.8" hidden="false" customHeight="false" outlineLevel="0" collapsed="false">
      <c r="A12718" s="0" t="s">
        <v>12</v>
      </c>
      <c r="B12718" s="0" t="n">
        <v>3586485</v>
      </c>
      <c r="C12718" s="0" t="n">
        <v>3586505</v>
      </c>
      <c r="D12718" s="0" t="s">
        <v>42389</v>
      </c>
      <c r="E12718" s="0" t="s">
        <v>42390</v>
      </c>
      <c r="F12718" s="0" t="s">
        <v>90</v>
      </c>
      <c r="G12718" s="0" t="s">
        <v>26</v>
      </c>
      <c r="H12718" s="0" t="n">
        <v>175</v>
      </c>
      <c r="I12718" s="0" t="s">
        <v>42400</v>
      </c>
      <c r="J12718" s="0" t="s">
        <v>42401</v>
      </c>
      <c r="K12718" s="0" t="s">
        <v>42402</v>
      </c>
      <c r="L12718" s="0" t="str">
        <f aca="false">HYPERLINK("https://www.ncbi.nlm.nih.gov/nuccore/CP000304.1?report=graph&amp;tracks=[key:gene_model_track,Options:GeneOnly]&amp;mk=3586621:3586640|offset_40|444444,3586564:3586583|offset_97|444444,3586506:3586525|offset_155|444444,3586486:3586505|offset_175|00cc00&amp;v=3586420:3586705&amp;c=444444", "offset 175")</f>
        <v>offset 175</v>
      </c>
    </row>
    <row r="12719" customFormat="false" ht="12.8" hidden="false" customHeight="false" outlineLevel="0" collapsed="false">
      <c r="A12719" s="0" t="s">
        <v>12</v>
      </c>
      <c r="B12719" s="0" t="n">
        <v>3587247</v>
      </c>
      <c r="C12719" s="0" t="n">
        <v>3587267</v>
      </c>
      <c r="D12719" s="0" t="s">
        <v>42403</v>
      </c>
      <c r="E12719" s="0" t="s">
        <v>89</v>
      </c>
      <c r="F12719" s="0" t="s">
        <v>90</v>
      </c>
      <c r="G12719" s="0" t="s">
        <v>32</v>
      </c>
      <c r="H12719" s="0" t="n">
        <v>9</v>
      </c>
      <c r="I12719" s="0" t="s">
        <v>42404</v>
      </c>
      <c r="J12719" s="0" t="s">
        <v>42405</v>
      </c>
      <c r="K12719" s="0" t="s">
        <v>42406</v>
      </c>
      <c r="L12719" s="0" t="str">
        <f aca="false">HYPERLINK("https://www.ncbi.nlm.nih.gov/nuccore/CP000304.1?report=graph&amp;tracks=[key:gene_model_track,Options:GeneOnly]&amp;mk=3587248:3587267|offset_9|00cc00,3587202:3587221|offset_55|444444,3587136:3587155|offset_121|444444,3587076:3587095|offset_181|444444&amp;v=3587047:3587295&amp;c=444444", "offset 9")</f>
        <v>offset 9</v>
      </c>
    </row>
    <row r="12720" customFormat="false" ht="12.8" hidden="false" customHeight="false" outlineLevel="0" collapsed="false">
      <c r="A12720" s="0" t="s">
        <v>12</v>
      </c>
      <c r="B12720" s="0" t="n">
        <v>3587201</v>
      </c>
      <c r="C12720" s="0" t="n">
        <v>3587221</v>
      </c>
      <c r="D12720" s="0" t="s">
        <v>42403</v>
      </c>
      <c r="E12720" s="0" t="s">
        <v>89</v>
      </c>
      <c r="F12720" s="0" t="s">
        <v>90</v>
      </c>
      <c r="G12720" s="0" t="s">
        <v>36</v>
      </c>
      <c r="H12720" s="0" t="n">
        <v>55</v>
      </c>
      <c r="I12720" s="0" t="s">
        <v>42407</v>
      </c>
      <c r="J12720" s="0" t="s">
        <v>42408</v>
      </c>
      <c r="K12720" s="0" t="s">
        <v>42409</v>
      </c>
      <c r="L12720" s="0" t="str">
        <f aca="false">HYPERLINK("https://www.ncbi.nlm.nih.gov/nuccore/CP000304.1?report=graph&amp;tracks=[key:gene_model_track,Options:GeneOnly]&amp;mk=3587248:3587267|offset_9|444444,3587202:3587221|offset_55|00cc00,3587136:3587155|offset_121|444444,3587076:3587095|offset_181|444444&amp;v=3587047:3587295&amp;c=444444", "offset 55")</f>
        <v>offset 55</v>
      </c>
    </row>
    <row r="12721" customFormat="false" ht="12.8" hidden="false" customHeight="false" outlineLevel="0" collapsed="false">
      <c r="A12721" s="0" t="s">
        <v>12</v>
      </c>
      <c r="B12721" s="0" t="n">
        <v>3587135</v>
      </c>
      <c r="C12721" s="0" t="n">
        <v>3587155</v>
      </c>
      <c r="D12721" s="0" t="s">
        <v>42403</v>
      </c>
      <c r="E12721" s="0" t="s">
        <v>89</v>
      </c>
      <c r="F12721" s="0" t="s">
        <v>90</v>
      </c>
      <c r="G12721" s="0" t="s">
        <v>26</v>
      </c>
      <c r="H12721" s="0" t="n">
        <v>121</v>
      </c>
      <c r="I12721" s="0" t="s">
        <v>42410</v>
      </c>
      <c r="J12721" s="0" t="s">
        <v>42411</v>
      </c>
      <c r="K12721" s="0" t="s">
        <v>42412</v>
      </c>
      <c r="L12721" s="0" t="str">
        <f aca="false">HYPERLINK("https://www.ncbi.nlm.nih.gov/nuccore/CP000304.1?report=graph&amp;tracks=[key:gene_model_track,Options:GeneOnly]&amp;mk=3587248:3587267|offset_9|444444,3587202:3587221|offset_55|444444,3587136:3587155|offset_121|00cc00,3587076:3587095|offset_181|444444&amp;v=3587047:3587295&amp;c=444444", "offset 121")</f>
        <v>offset 121</v>
      </c>
    </row>
    <row r="12722" customFormat="false" ht="12.8" hidden="false" customHeight="false" outlineLevel="0" collapsed="false">
      <c r="A12722" s="0" t="s">
        <v>12</v>
      </c>
      <c r="B12722" s="0" t="n">
        <v>3587075</v>
      </c>
      <c r="C12722" s="0" t="n">
        <v>3587095</v>
      </c>
      <c r="D12722" s="0" t="s">
        <v>42403</v>
      </c>
      <c r="E12722" s="0" t="s">
        <v>89</v>
      </c>
      <c r="F12722" s="0" t="s">
        <v>90</v>
      </c>
      <c r="G12722" s="0" t="s">
        <v>36</v>
      </c>
      <c r="H12722" s="0" t="n">
        <v>181</v>
      </c>
      <c r="I12722" s="0" t="s">
        <v>42413</v>
      </c>
      <c r="J12722" s="0" t="s">
        <v>42414</v>
      </c>
      <c r="K12722" s="0" t="s">
        <v>42415</v>
      </c>
      <c r="L12722" s="0" t="str">
        <f aca="false">HYPERLINK("https://www.ncbi.nlm.nih.gov/nuccore/CP000304.1?report=graph&amp;tracks=[key:gene_model_track,Options:GeneOnly]&amp;mk=3587248:3587267|offset_9|444444,3587202:3587221|offset_55|444444,3587136:3587155|offset_121|444444,3587076:3587095|offset_181|00cc00&amp;v=3587047:3587295&amp;c=444444", "offset 181")</f>
        <v>offset 181</v>
      </c>
    </row>
    <row r="12723" customFormat="false" ht="12.8" hidden="false" customHeight="false" outlineLevel="0" collapsed="false">
      <c r="A12723" s="0" t="s">
        <v>12</v>
      </c>
      <c r="B12723" s="0" t="n">
        <v>3587802</v>
      </c>
      <c r="C12723" s="0" t="n">
        <v>3587822</v>
      </c>
      <c r="D12723" s="0" t="s">
        <v>42416</v>
      </c>
      <c r="E12723" s="0" t="s">
        <v>42417</v>
      </c>
      <c r="F12723" s="0" t="s">
        <v>90</v>
      </c>
      <c r="G12723" s="0" t="s">
        <v>32</v>
      </c>
      <c r="H12723" s="0" t="n">
        <v>182</v>
      </c>
      <c r="I12723" s="0" t="s">
        <v>42418</v>
      </c>
      <c r="J12723" s="0" t="s">
        <v>42419</v>
      </c>
      <c r="K12723" s="0" t="s">
        <v>42420</v>
      </c>
      <c r="L12723" s="0" t="str">
        <f aca="false">HYPERLINK("https://www.ncbi.nlm.nih.gov/nuccore/CP000304.1?report=graph&amp;tracks=[key:gene_model_track,Options:GeneOnly]&amp;mk=3587803:3587822|offset_182|00cc00,3587759:3587778|offset_226|444444,3587737:3587756|offset_248|444444,3587717:3587736|offset_268|444444&amp;v=3587602:3587936&amp;c=444444", "offset 182")</f>
        <v>offset 182</v>
      </c>
    </row>
    <row r="12724" customFormat="false" ht="12.8" hidden="false" customHeight="false" outlineLevel="0" collapsed="false">
      <c r="A12724" s="0" t="s">
        <v>12</v>
      </c>
      <c r="B12724" s="0" t="n">
        <v>3587758</v>
      </c>
      <c r="C12724" s="0" t="n">
        <v>3587778</v>
      </c>
      <c r="D12724" s="0" t="s">
        <v>42416</v>
      </c>
      <c r="E12724" s="0" t="s">
        <v>42417</v>
      </c>
      <c r="F12724" s="0" t="s">
        <v>90</v>
      </c>
      <c r="G12724" s="0" t="s">
        <v>16</v>
      </c>
      <c r="H12724" s="0" t="n">
        <v>226</v>
      </c>
      <c r="I12724" s="0" t="s">
        <v>42421</v>
      </c>
      <c r="J12724" s="0" t="s">
        <v>42422</v>
      </c>
      <c r="K12724" s="0" t="s">
        <v>42423</v>
      </c>
      <c r="L12724" s="0" t="str">
        <f aca="false">HYPERLINK("https://www.ncbi.nlm.nih.gov/nuccore/CP000304.1?report=graph&amp;tracks=[key:gene_model_track,Options:GeneOnly]&amp;mk=3587803:3587822|offset_182|444444,3587759:3587778|offset_226|00cc00,3587737:3587756|offset_248|444444,3587717:3587736|offset_268|444444&amp;v=3587602:3587936&amp;c=444444", "offset 226")</f>
        <v>offset 226</v>
      </c>
    </row>
    <row r="12725" customFormat="false" ht="12.8" hidden="false" customHeight="false" outlineLevel="0" collapsed="false">
      <c r="A12725" s="0" t="s">
        <v>12</v>
      </c>
      <c r="B12725" s="0" t="n">
        <v>3587736</v>
      </c>
      <c r="C12725" s="0" t="n">
        <v>3587756</v>
      </c>
      <c r="D12725" s="0" t="s">
        <v>42416</v>
      </c>
      <c r="E12725" s="0" t="s">
        <v>42417</v>
      </c>
      <c r="F12725" s="0" t="s">
        <v>90</v>
      </c>
      <c r="G12725" s="0" t="s">
        <v>26</v>
      </c>
      <c r="H12725" s="0" t="n">
        <v>248</v>
      </c>
      <c r="I12725" s="0" t="s">
        <v>42424</v>
      </c>
      <c r="J12725" s="0" t="s">
        <v>42425</v>
      </c>
      <c r="K12725" s="0" t="s">
        <v>42426</v>
      </c>
      <c r="L12725" s="0" t="str">
        <f aca="false">HYPERLINK("https://www.ncbi.nlm.nih.gov/nuccore/CP000304.1?report=graph&amp;tracks=[key:gene_model_track,Options:GeneOnly]&amp;mk=3587803:3587822|offset_182|444444,3587759:3587778|offset_226|444444,3587737:3587756|offset_248|00cc00,3587717:3587736|offset_268|444444&amp;v=3587602:3587936&amp;c=444444", "offset 248")</f>
        <v>offset 248</v>
      </c>
    </row>
    <row r="12726" customFormat="false" ht="12.8" hidden="false" customHeight="false" outlineLevel="0" collapsed="false">
      <c r="A12726" s="0" t="s">
        <v>12</v>
      </c>
      <c r="B12726" s="0" t="n">
        <v>3587716</v>
      </c>
      <c r="C12726" s="0" t="n">
        <v>3587736</v>
      </c>
      <c r="D12726" s="0" t="s">
        <v>42416</v>
      </c>
      <c r="E12726" s="0" t="s">
        <v>42417</v>
      </c>
      <c r="F12726" s="0" t="s">
        <v>90</v>
      </c>
      <c r="G12726" s="0" t="s">
        <v>32</v>
      </c>
      <c r="H12726" s="0" t="n">
        <v>268</v>
      </c>
      <c r="I12726" s="0" t="s">
        <v>42427</v>
      </c>
      <c r="J12726" s="0" t="s">
        <v>42428</v>
      </c>
      <c r="K12726" s="0" t="s">
        <v>42429</v>
      </c>
      <c r="L12726" s="0" t="str">
        <f aca="false">HYPERLINK("https://www.ncbi.nlm.nih.gov/nuccore/CP000304.1?report=graph&amp;tracks=[key:gene_model_track,Options:GeneOnly]&amp;mk=3587803:3587822|offset_182|444444,3587759:3587778|offset_226|444444,3587737:3587756|offset_248|444444,3587717:3587736|offset_268|00cc00&amp;v=3587602:3587936&amp;c=444444", "offset 268")</f>
        <v>offset 268</v>
      </c>
    </row>
    <row r="12727" customFormat="false" ht="12.8" hidden="false" customHeight="false" outlineLevel="0" collapsed="false">
      <c r="A12727" s="0" t="s">
        <v>12</v>
      </c>
      <c r="B12727" s="0" t="n">
        <v>3588691</v>
      </c>
      <c r="C12727" s="0" t="n">
        <v>3588711</v>
      </c>
      <c r="D12727" s="0" t="s">
        <v>42430</v>
      </c>
      <c r="E12727" s="0" t="s">
        <v>42431</v>
      </c>
      <c r="F12727" s="0" t="s">
        <v>90</v>
      </c>
      <c r="G12727" s="0" t="s">
        <v>36</v>
      </c>
      <c r="H12727" s="0" t="n">
        <v>11</v>
      </c>
      <c r="I12727" s="0" t="s">
        <v>42432</v>
      </c>
      <c r="J12727" s="0" t="s">
        <v>42433</v>
      </c>
      <c r="K12727" s="0" t="s">
        <v>42434</v>
      </c>
      <c r="L12727" s="0" t="str">
        <f aca="false">HYPERLINK("https://www.ncbi.nlm.nih.gov/nuccore/CP000304.1?report=graph&amp;tracks=[key:gene_model_track,Options:GeneOnly]&amp;mk=3588692:3588711|offset_11|00cc00,3588657:3588676|offset_46|444444,3588607:3588626|offset_96|444444,3588580:3588599|offset_123|444444&amp;v=3588491:3588799&amp;c=444444", "offset 11")</f>
        <v>offset 11</v>
      </c>
    </row>
    <row r="12728" customFormat="false" ht="12.8" hidden="false" customHeight="false" outlineLevel="0" collapsed="false">
      <c r="A12728" s="0" t="s">
        <v>12</v>
      </c>
      <c r="B12728" s="0" t="n">
        <v>3588656</v>
      </c>
      <c r="C12728" s="0" t="n">
        <v>3588676</v>
      </c>
      <c r="D12728" s="0" t="s">
        <v>42430</v>
      </c>
      <c r="E12728" s="0" t="s">
        <v>42431</v>
      </c>
      <c r="F12728" s="0" t="s">
        <v>90</v>
      </c>
      <c r="G12728" s="0" t="s">
        <v>36</v>
      </c>
      <c r="H12728" s="0" t="n">
        <v>46</v>
      </c>
      <c r="I12728" s="0" t="s">
        <v>42435</v>
      </c>
      <c r="J12728" s="0" t="s">
        <v>42436</v>
      </c>
      <c r="K12728" s="0" t="s">
        <v>42437</v>
      </c>
      <c r="L12728" s="0" t="str">
        <f aca="false">HYPERLINK("https://www.ncbi.nlm.nih.gov/nuccore/CP000304.1?report=graph&amp;tracks=[key:gene_model_track,Options:GeneOnly]&amp;mk=3588692:3588711|offset_11|444444,3588657:3588676|offset_46|00cc00,3588607:3588626|offset_96|444444,3588580:3588599|offset_123|444444&amp;v=3588491:3588799&amp;c=444444", "offset 46")</f>
        <v>offset 46</v>
      </c>
    </row>
    <row r="12729" customFormat="false" ht="12.8" hidden="false" customHeight="false" outlineLevel="0" collapsed="false">
      <c r="A12729" s="0" t="s">
        <v>12</v>
      </c>
      <c r="B12729" s="0" t="n">
        <v>3588606</v>
      </c>
      <c r="C12729" s="0" t="n">
        <v>3588626</v>
      </c>
      <c r="D12729" s="0" t="s">
        <v>42430</v>
      </c>
      <c r="E12729" s="0" t="s">
        <v>42431</v>
      </c>
      <c r="F12729" s="0" t="s">
        <v>90</v>
      </c>
      <c r="G12729" s="0" t="s">
        <v>26</v>
      </c>
      <c r="H12729" s="0" t="n">
        <v>96</v>
      </c>
      <c r="I12729" s="0" t="s">
        <v>42438</v>
      </c>
      <c r="J12729" s="0" t="s">
        <v>42439</v>
      </c>
      <c r="K12729" s="0" t="s">
        <v>42440</v>
      </c>
      <c r="L12729" s="0" t="str">
        <f aca="false">HYPERLINK("https://www.ncbi.nlm.nih.gov/nuccore/CP000304.1?report=graph&amp;tracks=[key:gene_model_track,Options:GeneOnly]&amp;mk=3588692:3588711|offset_11|444444,3588657:3588676|offset_46|444444,3588607:3588626|offset_96|00cc00,3588580:3588599|offset_123|444444&amp;v=3588491:3588799&amp;c=444444", "offset 96")</f>
        <v>offset 96</v>
      </c>
    </row>
    <row r="12730" customFormat="false" ht="12.8" hidden="false" customHeight="false" outlineLevel="0" collapsed="false">
      <c r="A12730" s="0" t="s">
        <v>12</v>
      </c>
      <c r="B12730" s="0" t="n">
        <v>3588579</v>
      </c>
      <c r="C12730" s="0" t="n">
        <v>3588599</v>
      </c>
      <c r="D12730" s="0" t="s">
        <v>42430</v>
      </c>
      <c r="E12730" s="0" t="s">
        <v>42431</v>
      </c>
      <c r="F12730" s="0" t="s">
        <v>90</v>
      </c>
      <c r="G12730" s="0" t="s">
        <v>36</v>
      </c>
      <c r="H12730" s="0" t="n">
        <v>123</v>
      </c>
      <c r="I12730" s="0" t="s">
        <v>42441</v>
      </c>
      <c r="J12730" s="0" t="s">
        <v>42442</v>
      </c>
      <c r="K12730" s="0" t="s">
        <v>42443</v>
      </c>
      <c r="L12730" s="0" t="str">
        <f aca="false">HYPERLINK("https://www.ncbi.nlm.nih.gov/nuccore/CP000304.1?report=graph&amp;tracks=[key:gene_model_track,Options:GeneOnly]&amp;mk=3588692:3588711|offset_11|444444,3588657:3588676|offset_46|444444,3588607:3588626|offset_96|444444,3588580:3588599|offset_123|00cc00&amp;v=3588491:3588799&amp;c=444444", "offset 123")</f>
        <v>offset 123</v>
      </c>
    </row>
    <row r="12731" customFormat="false" ht="12.8" hidden="false" customHeight="false" outlineLevel="0" collapsed="false">
      <c r="A12731" s="0" t="s">
        <v>12</v>
      </c>
      <c r="B12731" s="0" t="n">
        <v>3589999</v>
      </c>
      <c r="C12731" s="0" t="n">
        <v>3590019</v>
      </c>
      <c r="D12731" s="0" t="s">
        <v>42444</v>
      </c>
      <c r="E12731" s="0" t="s">
        <v>42445</v>
      </c>
      <c r="F12731" s="0" t="s">
        <v>90</v>
      </c>
      <c r="G12731" s="0" t="s">
        <v>26</v>
      </c>
      <c r="H12731" s="0" t="n">
        <v>7</v>
      </c>
      <c r="I12731" s="0" t="s">
        <v>42446</v>
      </c>
      <c r="J12731" s="0" t="s">
        <v>42447</v>
      </c>
      <c r="K12731" s="0" t="s">
        <v>42448</v>
      </c>
      <c r="L12731" s="0" t="str">
        <f aca="false">HYPERLINK("https://www.ncbi.nlm.nih.gov/nuccore/CP000304.1?report=graph&amp;tracks=[key:gene_model_track,Options:GeneOnly]&amp;mk=3590000:3590019|offset_7|00cc00,3589972:3589991|offset_35|444444,3589895:3589914|offset_112|444444,3589875:3589894|offset_132|444444&amp;v=3589799:3590094&amp;c=444444", "offset 7")</f>
        <v>offset 7</v>
      </c>
    </row>
    <row r="12732" customFormat="false" ht="12.8" hidden="false" customHeight="false" outlineLevel="0" collapsed="false">
      <c r="A12732" s="0" t="s">
        <v>12</v>
      </c>
      <c r="B12732" s="0" t="n">
        <v>3589971</v>
      </c>
      <c r="C12732" s="0" t="n">
        <v>3589991</v>
      </c>
      <c r="D12732" s="0" t="s">
        <v>42444</v>
      </c>
      <c r="E12732" s="0" t="s">
        <v>42445</v>
      </c>
      <c r="F12732" s="0" t="s">
        <v>90</v>
      </c>
      <c r="G12732" s="0" t="s">
        <v>26</v>
      </c>
      <c r="H12732" s="0" t="n">
        <v>35</v>
      </c>
      <c r="I12732" s="0" t="s">
        <v>42449</v>
      </c>
      <c r="J12732" s="0" t="s">
        <v>42450</v>
      </c>
      <c r="K12732" s="0" t="s">
        <v>42451</v>
      </c>
      <c r="L12732" s="0" t="str">
        <f aca="false">HYPERLINK("https://www.ncbi.nlm.nih.gov/nuccore/CP000304.1?report=graph&amp;tracks=[key:gene_model_track,Options:GeneOnly]&amp;mk=3590000:3590019|offset_7|444444,3589972:3589991|offset_35|00cc00,3589895:3589914|offset_112|444444,3589875:3589894|offset_132|444444&amp;v=3589799:3590094&amp;c=444444", "offset 35")</f>
        <v>offset 35</v>
      </c>
    </row>
    <row r="12733" customFormat="false" ht="12.8" hidden="false" customHeight="false" outlineLevel="0" collapsed="false">
      <c r="A12733" s="0" t="s">
        <v>12</v>
      </c>
      <c r="B12733" s="0" t="n">
        <v>3589894</v>
      </c>
      <c r="C12733" s="0" t="n">
        <v>3589914</v>
      </c>
      <c r="D12733" s="0" t="s">
        <v>42444</v>
      </c>
      <c r="E12733" s="0" t="s">
        <v>42445</v>
      </c>
      <c r="F12733" s="0" t="s">
        <v>90</v>
      </c>
      <c r="G12733" s="0" t="s">
        <v>16</v>
      </c>
      <c r="H12733" s="0" t="n">
        <v>112</v>
      </c>
      <c r="I12733" s="0" t="s">
        <v>42452</v>
      </c>
      <c r="J12733" s="0" t="s">
        <v>42453</v>
      </c>
      <c r="K12733" s="0" t="s">
        <v>42454</v>
      </c>
      <c r="L12733" s="0" t="str">
        <f aca="false">HYPERLINK("https://www.ncbi.nlm.nih.gov/nuccore/CP000304.1?report=graph&amp;tracks=[key:gene_model_track,Options:GeneOnly]&amp;mk=3590000:3590019|offset_7|444444,3589972:3589991|offset_35|444444,3589895:3589914|offset_112|00cc00,3589875:3589894|offset_132|444444&amp;v=3589799:3590094&amp;c=444444", "offset 112")</f>
        <v>offset 112</v>
      </c>
    </row>
    <row r="12734" customFormat="false" ht="12.8" hidden="false" customHeight="false" outlineLevel="0" collapsed="false">
      <c r="A12734" s="0" t="s">
        <v>12</v>
      </c>
      <c r="B12734" s="0" t="n">
        <v>3589874</v>
      </c>
      <c r="C12734" s="0" t="n">
        <v>3589894</v>
      </c>
      <c r="D12734" s="0" t="s">
        <v>42444</v>
      </c>
      <c r="E12734" s="0" t="s">
        <v>42445</v>
      </c>
      <c r="F12734" s="0" t="s">
        <v>90</v>
      </c>
      <c r="G12734" s="0" t="s">
        <v>16</v>
      </c>
      <c r="H12734" s="0" t="n">
        <v>132</v>
      </c>
      <c r="I12734" s="0" t="s">
        <v>42455</v>
      </c>
      <c r="J12734" s="0" t="s">
        <v>42456</v>
      </c>
      <c r="K12734" s="0" t="s">
        <v>42457</v>
      </c>
      <c r="L12734" s="0" t="str">
        <f aca="false">HYPERLINK("https://www.ncbi.nlm.nih.gov/nuccore/CP000304.1?report=graph&amp;tracks=[key:gene_model_track,Options:GeneOnly]&amp;mk=3590000:3590019|offset_7|444444,3589972:3589991|offset_35|444444,3589895:3589914|offset_112|444444,3589875:3589894|offset_132|00cc00&amp;v=3589799:3590094&amp;c=444444", "offset 132")</f>
        <v>offset 132</v>
      </c>
    </row>
    <row r="12735" customFormat="false" ht="12.8" hidden="false" customHeight="false" outlineLevel="0" collapsed="false">
      <c r="A12735" s="0" t="s">
        <v>12</v>
      </c>
      <c r="B12735" s="0" t="n">
        <v>3590946</v>
      </c>
      <c r="C12735" s="0" t="n">
        <v>3590966</v>
      </c>
      <c r="D12735" s="0" t="s">
        <v>42458</v>
      </c>
      <c r="E12735" s="0" t="s">
        <v>42459</v>
      </c>
      <c r="F12735" s="0" t="s">
        <v>90</v>
      </c>
      <c r="G12735" s="0" t="s">
        <v>26</v>
      </c>
      <c r="H12735" s="0" t="n">
        <v>21</v>
      </c>
      <c r="I12735" s="0" t="s">
        <v>42460</v>
      </c>
      <c r="J12735" s="0" t="s">
        <v>42461</v>
      </c>
      <c r="K12735" s="0" t="s">
        <v>42462</v>
      </c>
      <c r="L12735" s="0" t="str">
        <f aca="false">HYPERLINK("https://www.ncbi.nlm.nih.gov/nuccore/CP000304.1?report=graph&amp;tracks=[key:gene_model_track,Options:GeneOnly]&amp;mk=3590947:3590966|offset_21|00cc00,3590919:3590938|offset_49|444444,3590874:3590893|offset_94|444444,3590841:3590860|offset_127|444444&amp;v=3590746:3591060&amp;c=444444", "offset 21")</f>
        <v>offset 21</v>
      </c>
    </row>
    <row r="12736" customFormat="false" ht="12.8" hidden="false" customHeight="false" outlineLevel="0" collapsed="false">
      <c r="A12736" s="0" t="s">
        <v>12</v>
      </c>
      <c r="B12736" s="0" t="n">
        <v>3590918</v>
      </c>
      <c r="C12736" s="0" t="n">
        <v>3590938</v>
      </c>
      <c r="D12736" s="0" t="s">
        <v>42458</v>
      </c>
      <c r="E12736" s="0" t="s">
        <v>42459</v>
      </c>
      <c r="F12736" s="0" t="s">
        <v>90</v>
      </c>
      <c r="G12736" s="0" t="s">
        <v>36</v>
      </c>
      <c r="H12736" s="0" t="n">
        <v>49</v>
      </c>
      <c r="I12736" s="0" t="s">
        <v>42463</v>
      </c>
      <c r="J12736" s="0" t="s">
        <v>42464</v>
      </c>
      <c r="K12736" s="0" t="s">
        <v>42465</v>
      </c>
      <c r="L12736" s="0" t="str">
        <f aca="false">HYPERLINK("https://www.ncbi.nlm.nih.gov/nuccore/CP000304.1?report=graph&amp;tracks=[key:gene_model_track,Options:GeneOnly]&amp;mk=3590947:3590966|offset_21|444444,3590919:3590938|offset_49|00cc00,3590874:3590893|offset_94|444444,3590841:3590860|offset_127|444444&amp;v=3590746:3591060&amp;c=444444", "offset 49")</f>
        <v>offset 49</v>
      </c>
    </row>
    <row r="12737" customFormat="false" ht="12.8" hidden="false" customHeight="false" outlineLevel="0" collapsed="false">
      <c r="A12737" s="0" t="s">
        <v>12</v>
      </c>
      <c r="B12737" s="0" t="n">
        <v>3590873</v>
      </c>
      <c r="C12737" s="0" t="n">
        <v>3590893</v>
      </c>
      <c r="D12737" s="0" t="s">
        <v>42458</v>
      </c>
      <c r="E12737" s="0" t="s">
        <v>42459</v>
      </c>
      <c r="F12737" s="0" t="s">
        <v>90</v>
      </c>
      <c r="G12737" s="0" t="s">
        <v>36</v>
      </c>
      <c r="H12737" s="0" t="n">
        <v>94</v>
      </c>
      <c r="I12737" s="0" t="s">
        <v>42466</v>
      </c>
      <c r="J12737" s="0" t="s">
        <v>42467</v>
      </c>
      <c r="K12737" s="0" t="s">
        <v>42468</v>
      </c>
      <c r="L12737" s="0" t="str">
        <f aca="false">HYPERLINK("https://www.ncbi.nlm.nih.gov/nuccore/CP000304.1?report=graph&amp;tracks=[key:gene_model_track,Options:GeneOnly]&amp;mk=3590947:3590966|offset_21|444444,3590919:3590938|offset_49|444444,3590874:3590893|offset_94|00cc00,3590841:3590860|offset_127|444444&amp;v=3590746:3591060&amp;c=444444", "offset 94")</f>
        <v>offset 94</v>
      </c>
    </row>
    <row r="12738" customFormat="false" ht="12.8" hidden="false" customHeight="false" outlineLevel="0" collapsed="false">
      <c r="A12738" s="0" t="s">
        <v>12</v>
      </c>
      <c r="B12738" s="0" t="n">
        <v>3590840</v>
      </c>
      <c r="C12738" s="0" t="n">
        <v>3590860</v>
      </c>
      <c r="D12738" s="0" t="s">
        <v>42458</v>
      </c>
      <c r="E12738" s="0" t="s">
        <v>42459</v>
      </c>
      <c r="F12738" s="0" t="s">
        <v>90</v>
      </c>
      <c r="G12738" s="0" t="s">
        <v>16</v>
      </c>
      <c r="H12738" s="0" t="n">
        <v>127</v>
      </c>
      <c r="I12738" s="0" t="s">
        <v>42469</v>
      </c>
      <c r="J12738" s="0" t="s">
        <v>42470</v>
      </c>
      <c r="K12738" s="0" t="s">
        <v>42471</v>
      </c>
      <c r="L12738" s="0" t="str">
        <f aca="false">HYPERLINK("https://www.ncbi.nlm.nih.gov/nuccore/CP000304.1?report=graph&amp;tracks=[key:gene_model_track,Options:GeneOnly]&amp;mk=3590947:3590966|offset_21|444444,3590919:3590938|offset_49|444444,3590874:3590893|offset_94|444444,3590841:3590860|offset_127|00cc00&amp;v=3590746:3591060&amp;c=444444", "offset 127")</f>
        <v>offset 127</v>
      </c>
    </row>
    <row r="12739" customFormat="false" ht="12.8" hidden="false" customHeight="false" outlineLevel="0" collapsed="false">
      <c r="A12739" s="0" t="s">
        <v>12</v>
      </c>
      <c r="B12739" s="0" t="n">
        <v>3592856</v>
      </c>
      <c r="C12739" s="0" t="n">
        <v>3592876</v>
      </c>
      <c r="D12739" s="0" t="s">
        <v>42472</v>
      </c>
      <c r="E12739" s="0" t="s">
        <v>42473</v>
      </c>
      <c r="F12739" s="0" t="s">
        <v>90</v>
      </c>
      <c r="G12739" s="0" t="s">
        <v>26</v>
      </c>
      <c r="H12739" s="0" t="n">
        <v>61</v>
      </c>
      <c r="I12739" s="0" t="s">
        <v>42474</v>
      </c>
      <c r="J12739" s="0" t="s">
        <v>42475</v>
      </c>
      <c r="K12739" s="0" t="s">
        <v>42476</v>
      </c>
      <c r="L12739" s="0" t="str">
        <f aca="false">HYPERLINK("https://www.ncbi.nlm.nih.gov/nuccore/CP000304.1?report=graph&amp;tracks=[key:gene_model_track,Options:GeneOnly]&amp;mk=3592857:3592876|offset_61|00cc00,3592832:3592851|offset_86|444444,3592771:3592790|offset_147|444444,3592734:3592753|offset_184|444444&amp;v=3592656:3592953&amp;c=444444", "offset 61")</f>
        <v>offset 61</v>
      </c>
    </row>
    <row r="12740" customFormat="false" ht="12.8" hidden="false" customHeight="false" outlineLevel="0" collapsed="false">
      <c r="A12740" s="0" t="s">
        <v>12</v>
      </c>
      <c r="B12740" s="0" t="n">
        <v>3592831</v>
      </c>
      <c r="C12740" s="0" t="n">
        <v>3592851</v>
      </c>
      <c r="D12740" s="0" t="s">
        <v>42472</v>
      </c>
      <c r="E12740" s="0" t="s">
        <v>42473</v>
      </c>
      <c r="F12740" s="0" t="s">
        <v>90</v>
      </c>
      <c r="G12740" s="0" t="s">
        <v>32</v>
      </c>
      <c r="H12740" s="0" t="n">
        <v>86</v>
      </c>
      <c r="I12740" s="0" t="s">
        <v>42477</v>
      </c>
      <c r="J12740" s="0" t="s">
        <v>42478</v>
      </c>
      <c r="K12740" s="0" t="s">
        <v>42479</v>
      </c>
      <c r="L12740" s="0" t="str">
        <f aca="false">HYPERLINK("https://www.ncbi.nlm.nih.gov/nuccore/CP000304.1?report=graph&amp;tracks=[key:gene_model_track,Options:GeneOnly]&amp;mk=3592857:3592876|offset_61|444444,3592832:3592851|offset_86|00cc00,3592771:3592790|offset_147|444444,3592734:3592753|offset_184|444444&amp;v=3592656:3592953&amp;c=444444", "offset 86")</f>
        <v>offset 86</v>
      </c>
    </row>
    <row r="12741" customFormat="false" ht="12.8" hidden="false" customHeight="false" outlineLevel="0" collapsed="false">
      <c r="A12741" s="0" t="s">
        <v>12</v>
      </c>
      <c r="B12741" s="0" t="n">
        <v>3592770</v>
      </c>
      <c r="C12741" s="0" t="n">
        <v>3592790</v>
      </c>
      <c r="D12741" s="0" t="s">
        <v>42472</v>
      </c>
      <c r="E12741" s="0" t="s">
        <v>42473</v>
      </c>
      <c r="F12741" s="0" t="s">
        <v>90</v>
      </c>
      <c r="G12741" s="0" t="s">
        <v>26</v>
      </c>
      <c r="H12741" s="0" t="n">
        <v>147</v>
      </c>
      <c r="I12741" s="0" t="s">
        <v>42480</v>
      </c>
      <c r="J12741" s="0" t="s">
        <v>42481</v>
      </c>
      <c r="K12741" s="0" t="s">
        <v>42482</v>
      </c>
      <c r="L12741" s="0" t="str">
        <f aca="false">HYPERLINK("https://www.ncbi.nlm.nih.gov/nuccore/CP000304.1?report=graph&amp;tracks=[key:gene_model_track,Options:GeneOnly]&amp;mk=3592857:3592876|offset_61|444444,3592832:3592851|offset_86|444444,3592771:3592790|offset_147|00cc00,3592734:3592753|offset_184|444444&amp;v=3592656:3592953&amp;c=444444", "offset 147")</f>
        <v>offset 147</v>
      </c>
    </row>
    <row r="12742" customFormat="false" ht="12.8" hidden="false" customHeight="false" outlineLevel="0" collapsed="false">
      <c r="A12742" s="0" t="s">
        <v>12</v>
      </c>
      <c r="B12742" s="0" t="n">
        <v>3592733</v>
      </c>
      <c r="C12742" s="0" t="n">
        <v>3592753</v>
      </c>
      <c r="D12742" s="0" t="s">
        <v>42472</v>
      </c>
      <c r="E12742" s="0" t="s">
        <v>42473</v>
      </c>
      <c r="F12742" s="0" t="s">
        <v>90</v>
      </c>
      <c r="G12742" s="0" t="s">
        <v>32</v>
      </c>
      <c r="H12742" s="0" t="n">
        <v>184</v>
      </c>
      <c r="I12742" s="0" t="s">
        <v>42483</v>
      </c>
      <c r="J12742" s="0" t="s">
        <v>42484</v>
      </c>
      <c r="K12742" s="0" t="s">
        <v>42485</v>
      </c>
      <c r="L12742" s="0" t="str">
        <f aca="false">HYPERLINK("https://www.ncbi.nlm.nih.gov/nuccore/CP000304.1?report=graph&amp;tracks=[key:gene_model_track,Options:GeneOnly]&amp;mk=3592857:3592876|offset_61|444444,3592832:3592851|offset_86|444444,3592771:3592790|offset_147|444444,3592734:3592753|offset_184|00cc00&amp;v=3592656:3592953&amp;c=444444", "offset 184")</f>
        <v>offset 184</v>
      </c>
    </row>
    <row r="12743" customFormat="false" ht="12.8" hidden="false" customHeight="false" outlineLevel="0" collapsed="false">
      <c r="A12743" s="0" t="s">
        <v>12</v>
      </c>
      <c r="B12743" s="0" t="n">
        <v>3593696</v>
      </c>
      <c r="C12743" s="0" t="n">
        <v>3593716</v>
      </c>
      <c r="D12743" s="0" t="s">
        <v>42486</v>
      </c>
      <c r="E12743" s="0" t="s">
        <v>89</v>
      </c>
      <c r="F12743" s="0" t="s">
        <v>15</v>
      </c>
      <c r="G12743" s="0" t="s">
        <v>32</v>
      </c>
      <c r="H12743" s="0" t="n">
        <v>13</v>
      </c>
      <c r="I12743" s="0" t="s">
        <v>42487</v>
      </c>
      <c r="J12743" s="0" t="s">
        <v>42488</v>
      </c>
      <c r="K12743" s="0" t="s">
        <v>42489</v>
      </c>
      <c r="L12743" s="0" t="str">
        <f aca="false">HYPERLINK("https://www.ncbi.nlm.nih.gov/nuccore/CP000304.1?report=graph&amp;tracks=[key:gene_model_track,Options:GeneOnly]&amp;mk=3593697:3593716|offset_13|00cc00,3593724:3593743|offset_40|444444,3593760:3593779|offset_76|444444,3593790:3593809|offset_106|444444&amp;v=3593496:3594009&amp;c=444444", "offset 13")</f>
        <v>offset 13</v>
      </c>
    </row>
    <row r="12744" customFormat="false" ht="12.8" hidden="false" customHeight="false" outlineLevel="0" collapsed="false">
      <c r="A12744" s="0" t="s">
        <v>12</v>
      </c>
      <c r="B12744" s="0" t="n">
        <v>3593723</v>
      </c>
      <c r="C12744" s="0" t="n">
        <v>3593743</v>
      </c>
      <c r="D12744" s="0" t="s">
        <v>42486</v>
      </c>
      <c r="E12744" s="0" t="s">
        <v>89</v>
      </c>
      <c r="F12744" s="0" t="s">
        <v>15</v>
      </c>
      <c r="G12744" s="0" t="s">
        <v>32</v>
      </c>
      <c r="H12744" s="0" t="n">
        <v>40</v>
      </c>
      <c r="I12744" s="0" t="s">
        <v>42490</v>
      </c>
      <c r="J12744" s="0" t="s">
        <v>42491</v>
      </c>
      <c r="K12744" s="0" t="s">
        <v>42492</v>
      </c>
      <c r="L12744" s="0" t="str">
        <f aca="false">HYPERLINK("https://www.ncbi.nlm.nih.gov/nuccore/CP000304.1?report=graph&amp;tracks=[key:gene_model_track,Options:GeneOnly]&amp;mk=3593697:3593716|offset_13|444444,3593724:3593743|offset_40|00cc00,3593760:3593779|offset_76|444444,3593790:3593809|offset_106|444444&amp;v=3593496:3594009&amp;c=444444", "offset 40")</f>
        <v>offset 40</v>
      </c>
    </row>
    <row r="12745" customFormat="false" ht="12.8" hidden="false" customHeight="false" outlineLevel="0" collapsed="false">
      <c r="A12745" s="0" t="s">
        <v>12</v>
      </c>
      <c r="B12745" s="0" t="n">
        <v>3593759</v>
      </c>
      <c r="C12745" s="0" t="n">
        <v>3593779</v>
      </c>
      <c r="D12745" s="0" t="s">
        <v>42486</v>
      </c>
      <c r="E12745" s="0" t="s">
        <v>89</v>
      </c>
      <c r="F12745" s="0" t="s">
        <v>15</v>
      </c>
      <c r="G12745" s="0" t="s">
        <v>16</v>
      </c>
      <c r="H12745" s="0" t="n">
        <v>76</v>
      </c>
      <c r="I12745" s="0" t="s">
        <v>42493</v>
      </c>
      <c r="J12745" s="0" t="s">
        <v>42494</v>
      </c>
      <c r="K12745" s="0" t="s">
        <v>42495</v>
      </c>
      <c r="L12745" s="0" t="str">
        <f aca="false">HYPERLINK("https://www.ncbi.nlm.nih.gov/nuccore/CP000304.1?report=graph&amp;tracks=[key:gene_model_track,Options:GeneOnly]&amp;mk=3593697:3593716|offset_13|444444,3593724:3593743|offset_40|444444,3593760:3593779|offset_76|00cc00,3593790:3593809|offset_106|444444&amp;v=3593496:3594009&amp;c=444444", "offset 76")</f>
        <v>offset 76</v>
      </c>
    </row>
    <row r="12746" customFormat="false" ht="12.8" hidden="false" customHeight="false" outlineLevel="0" collapsed="false">
      <c r="A12746" s="0" t="s">
        <v>12</v>
      </c>
      <c r="B12746" s="0" t="n">
        <v>3593789</v>
      </c>
      <c r="C12746" s="0" t="n">
        <v>3593809</v>
      </c>
      <c r="D12746" s="0" t="s">
        <v>42486</v>
      </c>
      <c r="E12746" s="0" t="s">
        <v>89</v>
      </c>
      <c r="F12746" s="0" t="s">
        <v>15</v>
      </c>
      <c r="G12746" s="0" t="s">
        <v>16</v>
      </c>
      <c r="H12746" s="0" t="n">
        <v>106</v>
      </c>
      <c r="I12746" s="0" t="s">
        <v>42496</v>
      </c>
      <c r="J12746" s="0" t="s">
        <v>42497</v>
      </c>
      <c r="K12746" s="0" t="s">
        <v>42498</v>
      </c>
      <c r="L12746" s="0" t="str">
        <f aca="false">HYPERLINK("https://www.ncbi.nlm.nih.gov/nuccore/CP000304.1?report=graph&amp;tracks=[key:gene_model_track,Options:GeneOnly]&amp;mk=3593697:3593716|offset_13|444444,3593724:3593743|offset_40|444444,3593760:3593779|offset_76|444444,3593790:3593809|offset_106|00cc00&amp;v=3593496:3594009&amp;c=444444", "offset 106")</f>
        <v>offset 106</v>
      </c>
    </row>
    <row r="12747" customFormat="false" ht="12.8" hidden="false" customHeight="false" outlineLevel="0" collapsed="false">
      <c r="A12747" s="0" t="s">
        <v>12</v>
      </c>
      <c r="B12747" s="0" t="n">
        <v>3594404</v>
      </c>
      <c r="C12747" s="0" t="n">
        <v>3594424</v>
      </c>
      <c r="D12747" s="0" t="s">
        <v>42499</v>
      </c>
      <c r="E12747" s="0" t="s">
        <v>89</v>
      </c>
      <c r="F12747" s="0" t="s">
        <v>90</v>
      </c>
      <c r="G12747" s="0" t="s">
        <v>36</v>
      </c>
      <c r="H12747" s="0" t="n">
        <v>33</v>
      </c>
      <c r="I12747" s="0" t="s">
        <v>42500</v>
      </c>
      <c r="J12747" s="0" t="s">
        <v>42501</v>
      </c>
      <c r="K12747" s="0" t="s">
        <v>42502</v>
      </c>
      <c r="L12747" s="0" t="str">
        <f aca="false">HYPERLINK("https://www.ncbi.nlm.nih.gov/nuccore/CP000304.1?report=graph&amp;tracks=[key:gene_model_track,Options:GeneOnly]&amp;mk=3594405:3594424|offset_33|00cc00,3594383:3594402|offset_55|444444,3594349:3594368|offset_89|444444,3594310:3594329|offset_128|444444&amp;v=3594204:3594529&amp;c=444444", "offset 33")</f>
        <v>offset 33</v>
      </c>
    </row>
    <row r="12748" customFormat="false" ht="12.8" hidden="false" customHeight="false" outlineLevel="0" collapsed="false">
      <c r="A12748" s="0" t="s">
        <v>12</v>
      </c>
      <c r="B12748" s="0" t="n">
        <v>3594382</v>
      </c>
      <c r="C12748" s="0" t="n">
        <v>3594402</v>
      </c>
      <c r="D12748" s="0" t="s">
        <v>42499</v>
      </c>
      <c r="E12748" s="0" t="s">
        <v>89</v>
      </c>
      <c r="F12748" s="0" t="s">
        <v>90</v>
      </c>
      <c r="G12748" s="0" t="s">
        <v>26</v>
      </c>
      <c r="H12748" s="0" t="n">
        <v>55</v>
      </c>
      <c r="I12748" s="0" t="s">
        <v>42503</v>
      </c>
      <c r="J12748" s="0" t="s">
        <v>42504</v>
      </c>
      <c r="K12748" s="0" t="s">
        <v>42505</v>
      </c>
      <c r="L12748" s="0" t="str">
        <f aca="false">HYPERLINK("https://www.ncbi.nlm.nih.gov/nuccore/CP000304.1?report=graph&amp;tracks=[key:gene_model_track,Options:GeneOnly]&amp;mk=3594405:3594424|offset_33|444444,3594383:3594402|offset_55|00cc00,3594349:3594368|offset_89|444444,3594310:3594329|offset_128|444444&amp;v=3594204:3594529&amp;c=444444", "offset 55")</f>
        <v>offset 55</v>
      </c>
    </row>
    <row r="12749" customFormat="false" ht="12.8" hidden="false" customHeight="false" outlineLevel="0" collapsed="false">
      <c r="A12749" s="0" t="s">
        <v>12</v>
      </c>
      <c r="B12749" s="0" t="n">
        <v>3594348</v>
      </c>
      <c r="C12749" s="0" t="n">
        <v>3594368</v>
      </c>
      <c r="D12749" s="0" t="s">
        <v>42499</v>
      </c>
      <c r="E12749" s="0" t="s">
        <v>89</v>
      </c>
      <c r="F12749" s="0" t="s">
        <v>90</v>
      </c>
      <c r="G12749" s="0" t="s">
        <v>26</v>
      </c>
      <c r="H12749" s="0" t="n">
        <v>89</v>
      </c>
      <c r="I12749" s="0" t="s">
        <v>42506</v>
      </c>
      <c r="J12749" s="0" t="s">
        <v>42507</v>
      </c>
      <c r="K12749" s="0" t="s">
        <v>42508</v>
      </c>
      <c r="L12749" s="0" t="str">
        <f aca="false">HYPERLINK("https://www.ncbi.nlm.nih.gov/nuccore/CP000304.1?report=graph&amp;tracks=[key:gene_model_track,Options:GeneOnly]&amp;mk=3594405:3594424|offset_33|444444,3594383:3594402|offset_55|444444,3594349:3594368|offset_89|00cc00,3594310:3594329|offset_128|444444&amp;v=3594204:3594529&amp;c=444444", "offset 89")</f>
        <v>offset 89</v>
      </c>
    </row>
    <row r="12750" customFormat="false" ht="12.8" hidden="false" customHeight="false" outlineLevel="0" collapsed="false">
      <c r="A12750" s="0" t="s">
        <v>12</v>
      </c>
      <c r="B12750" s="0" t="n">
        <v>3594309</v>
      </c>
      <c r="C12750" s="0" t="n">
        <v>3594329</v>
      </c>
      <c r="D12750" s="0" t="s">
        <v>42499</v>
      </c>
      <c r="E12750" s="0" t="s">
        <v>89</v>
      </c>
      <c r="F12750" s="0" t="s">
        <v>90</v>
      </c>
      <c r="G12750" s="0" t="s">
        <v>16</v>
      </c>
      <c r="H12750" s="0" t="n">
        <v>128</v>
      </c>
      <c r="I12750" s="0" t="s">
        <v>42509</v>
      </c>
      <c r="J12750" s="0" t="s">
        <v>42510</v>
      </c>
      <c r="K12750" s="0" t="s">
        <v>42511</v>
      </c>
      <c r="L12750" s="0" t="str">
        <f aca="false">HYPERLINK("https://www.ncbi.nlm.nih.gov/nuccore/CP000304.1?report=graph&amp;tracks=[key:gene_model_track,Options:GeneOnly]&amp;mk=3594405:3594424|offset_33|444444,3594383:3594402|offset_55|444444,3594349:3594368|offset_89|444444,3594310:3594329|offset_128|00cc00&amp;v=3594204:3594529&amp;c=444444", "offset 128")</f>
        <v>offset 128</v>
      </c>
    </row>
    <row r="12751" customFormat="false" ht="12.8" hidden="false" customHeight="false" outlineLevel="0" collapsed="false">
      <c r="A12751" s="0" t="s">
        <v>12</v>
      </c>
      <c r="B12751" s="0" t="n">
        <v>3594877</v>
      </c>
      <c r="C12751" s="0" t="n">
        <v>3594897</v>
      </c>
      <c r="D12751" s="0" t="s">
        <v>42512</v>
      </c>
      <c r="E12751" s="0" t="s">
        <v>42513</v>
      </c>
      <c r="F12751" s="0" t="s">
        <v>90</v>
      </c>
      <c r="G12751" s="0" t="s">
        <v>36</v>
      </c>
      <c r="H12751" s="0" t="n">
        <v>14</v>
      </c>
      <c r="I12751" s="0" t="s">
        <v>42514</v>
      </c>
      <c r="J12751" s="0" t="s">
        <v>42515</v>
      </c>
      <c r="K12751" s="0" t="s">
        <v>42516</v>
      </c>
      <c r="L12751" s="0" t="str">
        <f aca="false">HYPERLINK("https://www.ncbi.nlm.nih.gov/nuccore/CP000304.1?report=graph&amp;tracks=[key:gene_model_track,Options:GeneOnly]&amp;mk=3594878:3594897|offset_14|00cc00,3594852:3594871|offset_40|444444,3594822:3594841|offset_70|444444,3594800:3594819|offset_92|444444&amp;v=3594677:3595019&amp;c=444444", "offset 14")</f>
        <v>offset 14</v>
      </c>
    </row>
    <row r="12752" customFormat="false" ht="12.8" hidden="false" customHeight="false" outlineLevel="0" collapsed="false">
      <c r="A12752" s="0" t="s">
        <v>12</v>
      </c>
      <c r="B12752" s="0" t="n">
        <v>3594851</v>
      </c>
      <c r="C12752" s="0" t="n">
        <v>3594871</v>
      </c>
      <c r="D12752" s="0" t="s">
        <v>42512</v>
      </c>
      <c r="E12752" s="0" t="s">
        <v>42513</v>
      </c>
      <c r="F12752" s="0" t="s">
        <v>90</v>
      </c>
      <c r="G12752" s="0" t="s">
        <v>36</v>
      </c>
      <c r="H12752" s="0" t="n">
        <v>40</v>
      </c>
      <c r="I12752" s="0" t="s">
        <v>42517</v>
      </c>
      <c r="J12752" s="0" t="s">
        <v>42518</v>
      </c>
      <c r="K12752" s="0" t="s">
        <v>42519</v>
      </c>
      <c r="L12752" s="0" t="str">
        <f aca="false">HYPERLINK("https://www.ncbi.nlm.nih.gov/nuccore/CP000304.1?report=graph&amp;tracks=[key:gene_model_track,Options:GeneOnly]&amp;mk=3594878:3594897|offset_14|444444,3594852:3594871|offset_40|00cc00,3594822:3594841|offset_70|444444,3594800:3594819|offset_92|444444&amp;v=3594677:3595019&amp;c=444444", "offset 40")</f>
        <v>offset 40</v>
      </c>
    </row>
    <row r="12753" customFormat="false" ht="12.8" hidden="false" customHeight="false" outlineLevel="0" collapsed="false">
      <c r="A12753" s="0" t="s">
        <v>12</v>
      </c>
      <c r="B12753" s="0" t="n">
        <v>3594821</v>
      </c>
      <c r="C12753" s="0" t="n">
        <v>3594841</v>
      </c>
      <c r="D12753" s="0" t="s">
        <v>42512</v>
      </c>
      <c r="E12753" s="0" t="s">
        <v>42513</v>
      </c>
      <c r="F12753" s="0" t="s">
        <v>90</v>
      </c>
      <c r="G12753" s="0" t="s">
        <v>16</v>
      </c>
      <c r="H12753" s="0" t="n">
        <v>70</v>
      </c>
      <c r="I12753" s="0" t="s">
        <v>42520</v>
      </c>
      <c r="J12753" s="0" t="s">
        <v>42521</v>
      </c>
      <c r="K12753" s="0" t="s">
        <v>42522</v>
      </c>
      <c r="L12753" s="0" t="str">
        <f aca="false">HYPERLINK("https://www.ncbi.nlm.nih.gov/nuccore/CP000304.1?report=graph&amp;tracks=[key:gene_model_track,Options:GeneOnly]&amp;mk=3594878:3594897|offset_14|444444,3594852:3594871|offset_40|444444,3594822:3594841|offset_70|00cc00,3594800:3594819|offset_92|444444&amp;v=3594677:3595019&amp;c=444444", "offset 70")</f>
        <v>offset 70</v>
      </c>
    </row>
    <row r="12754" customFormat="false" ht="12.8" hidden="false" customHeight="false" outlineLevel="0" collapsed="false">
      <c r="A12754" s="0" t="s">
        <v>12</v>
      </c>
      <c r="B12754" s="0" t="n">
        <v>3594799</v>
      </c>
      <c r="C12754" s="0" t="n">
        <v>3594819</v>
      </c>
      <c r="D12754" s="0" t="s">
        <v>42512</v>
      </c>
      <c r="E12754" s="0" t="s">
        <v>42513</v>
      </c>
      <c r="F12754" s="0" t="s">
        <v>90</v>
      </c>
      <c r="G12754" s="0" t="s">
        <v>32</v>
      </c>
      <c r="H12754" s="0" t="n">
        <v>92</v>
      </c>
      <c r="I12754" s="0" t="s">
        <v>42523</v>
      </c>
      <c r="J12754" s="0" t="s">
        <v>42524</v>
      </c>
      <c r="K12754" s="0" t="s">
        <v>42525</v>
      </c>
      <c r="L12754" s="0" t="str">
        <f aca="false">HYPERLINK("https://www.ncbi.nlm.nih.gov/nuccore/CP000304.1?report=graph&amp;tracks=[key:gene_model_track,Options:GeneOnly]&amp;mk=3594878:3594897|offset_14|444444,3594852:3594871|offset_40|444444,3594822:3594841|offset_70|444444,3594800:3594819|offset_92|00cc00&amp;v=3594677:3595019&amp;c=444444", "offset 92")</f>
        <v>offset 92</v>
      </c>
    </row>
    <row r="12755" customFormat="false" ht="12.8" hidden="false" customHeight="false" outlineLevel="0" collapsed="false">
      <c r="A12755" s="0" t="s">
        <v>12</v>
      </c>
      <c r="B12755" s="0" t="n">
        <v>3598103</v>
      </c>
      <c r="C12755" s="0" t="n">
        <v>3598123</v>
      </c>
      <c r="D12755" s="0" t="s">
        <v>42526</v>
      </c>
      <c r="E12755" s="0" t="s">
        <v>42527</v>
      </c>
      <c r="F12755" s="0" t="s">
        <v>90</v>
      </c>
      <c r="G12755" s="0" t="s">
        <v>32</v>
      </c>
      <c r="H12755" s="0" t="n">
        <v>6</v>
      </c>
      <c r="I12755" s="0" t="s">
        <v>42528</v>
      </c>
      <c r="J12755" s="0" t="s">
        <v>42529</v>
      </c>
      <c r="K12755" s="0" t="s">
        <v>42530</v>
      </c>
      <c r="L12755" s="0" t="str">
        <f aca="false">HYPERLINK("https://www.ncbi.nlm.nih.gov/nuccore/CP000304.1?report=graph&amp;tracks=[key:gene_model_track,Options:GeneOnly]&amp;mk=3598104:3598123|offset_6|00cc00,3598078:3598097|offset_32|444444,3598058:3598077|offset_52|444444,3598022:3598041|offset_88|444444&amp;v=3597903:3598241&amp;c=444444", "offset 6")</f>
        <v>offset 6</v>
      </c>
    </row>
    <row r="12756" customFormat="false" ht="12.8" hidden="false" customHeight="false" outlineLevel="0" collapsed="false">
      <c r="A12756" s="0" t="s">
        <v>12</v>
      </c>
      <c r="B12756" s="0" t="n">
        <v>3598077</v>
      </c>
      <c r="C12756" s="0" t="n">
        <v>3598097</v>
      </c>
      <c r="D12756" s="0" t="s">
        <v>42526</v>
      </c>
      <c r="E12756" s="0" t="s">
        <v>42527</v>
      </c>
      <c r="F12756" s="0" t="s">
        <v>90</v>
      </c>
      <c r="G12756" s="0" t="s">
        <v>26</v>
      </c>
      <c r="H12756" s="0" t="n">
        <v>32</v>
      </c>
      <c r="I12756" s="0" t="s">
        <v>42531</v>
      </c>
      <c r="J12756" s="0" t="s">
        <v>42532</v>
      </c>
      <c r="K12756" s="0" t="s">
        <v>42533</v>
      </c>
      <c r="L12756" s="0" t="str">
        <f aca="false">HYPERLINK("https://www.ncbi.nlm.nih.gov/nuccore/CP000304.1?report=graph&amp;tracks=[key:gene_model_track,Options:GeneOnly]&amp;mk=3598104:3598123|offset_6|444444,3598078:3598097|offset_32|00cc00,3598058:3598077|offset_52|444444,3598022:3598041|offset_88|444444&amp;v=3597903:3598241&amp;c=444444", "offset 32")</f>
        <v>offset 32</v>
      </c>
    </row>
    <row r="12757" customFormat="false" ht="12.8" hidden="false" customHeight="false" outlineLevel="0" collapsed="false">
      <c r="A12757" s="0" t="s">
        <v>12</v>
      </c>
      <c r="B12757" s="0" t="n">
        <v>3598057</v>
      </c>
      <c r="C12757" s="0" t="n">
        <v>3598077</v>
      </c>
      <c r="D12757" s="0" t="s">
        <v>42526</v>
      </c>
      <c r="E12757" s="0" t="s">
        <v>42527</v>
      </c>
      <c r="F12757" s="0" t="s">
        <v>90</v>
      </c>
      <c r="G12757" s="0" t="s">
        <v>32</v>
      </c>
      <c r="H12757" s="0" t="n">
        <v>52</v>
      </c>
      <c r="I12757" s="0" t="s">
        <v>42534</v>
      </c>
      <c r="J12757" s="0" t="s">
        <v>42535</v>
      </c>
      <c r="K12757" s="0" t="s">
        <v>42536</v>
      </c>
      <c r="L12757" s="0" t="str">
        <f aca="false">HYPERLINK("https://www.ncbi.nlm.nih.gov/nuccore/CP000304.1?report=graph&amp;tracks=[key:gene_model_track,Options:GeneOnly]&amp;mk=3598104:3598123|offset_6|444444,3598078:3598097|offset_32|444444,3598058:3598077|offset_52|00cc00,3598022:3598041|offset_88|444444&amp;v=3597903:3598241&amp;c=444444", "offset 52")</f>
        <v>offset 52</v>
      </c>
    </row>
    <row r="12758" customFormat="false" ht="12.8" hidden="false" customHeight="false" outlineLevel="0" collapsed="false">
      <c r="A12758" s="0" t="s">
        <v>12</v>
      </c>
      <c r="B12758" s="0" t="n">
        <v>3598021</v>
      </c>
      <c r="C12758" s="0" t="n">
        <v>3598041</v>
      </c>
      <c r="D12758" s="0" t="s">
        <v>42526</v>
      </c>
      <c r="E12758" s="0" t="s">
        <v>42527</v>
      </c>
      <c r="F12758" s="0" t="s">
        <v>90</v>
      </c>
      <c r="G12758" s="0" t="s">
        <v>16</v>
      </c>
      <c r="H12758" s="0" t="n">
        <v>88</v>
      </c>
      <c r="I12758" s="0" t="s">
        <v>42537</v>
      </c>
      <c r="J12758" s="0" t="s">
        <v>42538</v>
      </c>
      <c r="K12758" s="0" t="s">
        <v>42539</v>
      </c>
      <c r="L12758" s="0" t="str">
        <f aca="false">HYPERLINK("https://www.ncbi.nlm.nih.gov/nuccore/CP000304.1?report=graph&amp;tracks=[key:gene_model_track,Options:GeneOnly]&amp;mk=3598104:3598123|offset_6|444444,3598078:3598097|offset_32|444444,3598058:3598077|offset_52|444444,3598022:3598041|offset_88|00cc00&amp;v=3597903:3598241&amp;c=444444", "offset 88")</f>
        <v>offset 88</v>
      </c>
    </row>
    <row r="12759" customFormat="false" ht="12.8" hidden="false" customHeight="false" outlineLevel="0" collapsed="false">
      <c r="A12759" s="0" t="s">
        <v>12</v>
      </c>
      <c r="B12759" s="0" t="n">
        <v>3599282</v>
      </c>
      <c r="C12759" s="0" t="n">
        <v>3599302</v>
      </c>
      <c r="D12759" s="0" t="s">
        <v>42540</v>
      </c>
      <c r="E12759" s="0" t="s">
        <v>42541</v>
      </c>
      <c r="F12759" s="0" t="s">
        <v>90</v>
      </c>
      <c r="G12759" s="0" t="s">
        <v>32</v>
      </c>
      <c r="H12759" s="0" t="n">
        <v>12</v>
      </c>
      <c r="I12759" s="0" t="s">
        <v>42542</v>
      </c>
      <c r="J12759" s="0" t="s">
        <v>42543</v>
      </c>
      <c r="K12759" s="0" t="s">
        <v>42544</v>
      </c>
      <c r="L12759" s="0" t="str">
        <f aca="false">HYPERLINK("https://www.ncbi.nlm.nih.gov/nuccore/CP000304.1?report=graph&amp;tracks=[key:gene_model_track,Options:GeneOnly]&amp;mk=3599283:3599302|offset_12|00cc00,3599252:3599271|offset_43|444444,3599216:3599235|offset_79|444444,3599180:3599199|offset_115|444444&amp;v=3599082:3599399&amp;c=444444", "offset 12")</f>
        <v>offset 12</v>
      </c>
    </row>
    <row r="12760" customFormat="false" ht="12.8" hidden="false" customHeight="false" outlineLevel="0" collapsed="false">
      <c r="A12760" s="0" t="s">
        <v>12</v>
      </c>
      <c r="B12760" s="0" t="n">
        <v>3599251</v>
      </c>
      <c r="C12760" s="0" t="n">
        <v>3599271</v>
      </c>
      <c r="D12760" s="0" t="s">
        <v>42540</v>
      </c>
      <c r="E12760" s="0" t="s">
        <v>42541</v>
      </c>
      <c r="F12760" s="0" t="s">
        <v>90</v>
      </c>
      <c r="G12760" s="0" t="s">
        <v>16</v>
      </c>
      <c r="H12760" s="0" t="n">
        <v>43</v>
      </c>
      <c r="I12760" s="0" t="s">
        <v>42545</v>
      </c>
      <c r="J12760" s="0" t="s">
        <v>42546</v>
      </c>
      <c r="K12760" s="0" t="s">
        <v>42547</v>
      </c>
      <c r="L12760" s="0" t="str">
        <f aca="false">HYPERLINK("https://www.ncbi.nlm.nih.gov/nuccore/CP000304.1?report=graph&amp;tracks=[key:gene_model_track,Options:GeneOnly]&amp;mk=3599283:3599302|offset_12|444444,3599252:3599271|offset_43|00cc00,3599216:3599235|offset_79|444444,3599180:3599199|offset_115|444444&amp;v=3599082:3599399&amp;c=444444", "offset 43")</f>
        <v>offset 43</v>
      </c>
    </row>
    <row r="12761" customFormat="false" ht="12.8" hidden="false" customHeight="false" outlineLevel="0" collapsed="false">
      <c r="A12761" s="0" t="s">
        <v>12</v>
      </c>
      <c r="B12761" s="0" t="n">
        <v>3599215</v>
      </c>
      <c r="C12761" s="0" t="n">
        <v>3599235</v>
      </c>
      <c r="D12761" s="0" t="s">
        <v>42540</v>
      </c>
      <c r="E12761" s="0" t="s">
        <v>42541</v>
      </c>
      <c r="F12761" s="0" t="s">
        <v>90</v>
      </c>
      <c r="G12761" s="0" t="s">
        <v>16</v>
      </c>
      <c r="H12761" s="0" t="n">
        <v>79</v>
      </c>
      <c r="I12761" s="0" t="s">
        <v>42548</v>
      </c>
      <c r="J12761" s="0" t="s">
        <v>42549</v>
      </c>
      <c r="K12761" s="0" t="s">
        <v>42550</v>
      </c>
      <c r="L12761" s="0" t="str">
        <f aca="false">HYPERLINK("https://www.ncbi.nlm.nih.gov/nuccore/CP000304.1?report=graph&amp;tracks=[key:gene_model_track,Options:GeneOnly]&amp;mk=3599283:3599302|offset_12|444444,3599252:3599271|offset_43|444444,3599216:3599235|offset_79|00cc00,3599180:3599199|offset_115|444444&amp;v=3599082:3599399&amp;c=444444", "offset 79")</f>
        <v>offset 79</v>
      </c>
    </row>
    <row r="12762" customFormat="false" ht="12.8" hidden="false" customHeight="false" outlineLevel="0" collapsed="false">
      <c r="A12762" s="0" t="s">
        <v>12</v>
      </c>
      <c r="B12762" s="0" t="n">
        <v>3599179</v>
      </c>
      <c r="C12762" s="0" t="n">
        <v>3599199</v>
      </c>
      <c r="D12762" s="0" t="s">
        <v>42540</v>
      </c>
      <c r="E12762" s="0" t="s">
        <v>42541</v>
      </c>
      <c r="F12762" s="0" t="s">
        <v>90</v>
      </c>
      <c r="G12762" s="0" t="s">
        <v>16</v>
      </c>
      <c r="H12762" s="0" t="n">
        <v>115</v>
      </c>
      <c r="I12762" s="0" t="s">
        <v>42551</v>
      </c>
      <c r="J12762" s="0" t="s">
        <v>42552</v>
      </c>
      <c r="K12762" s="0" t="s">
        <v>42553</v>
      </c>
      <c r="L12762" s="0" t="str">
        <f aca="false">HYPERLINK("https://www.ncbi.nlm.nih.gov/nuccore/CP000304.1?report=graph&amp;tracks=[key:gene_model_track,Options:GeneOnly]&amp;mk=3599283:3599302|offset_12|444444,3599252:3599271|offset_43|444444,3599216:3599235|offset_79|444444,3599180:3599199|offset_115|00cc00&amp;v=3599082:3599399&amp;c=444444", "offset 115")</f>
        <v>offset 115</v>
      </c>
    </row>
    <row r="12763" customFormat="false" ht="12.8" hidden="false" customHeight="false" outlineLevel="0" collapsed="false">
      <c r="A12763" s="0" t="s">
        <v>12</v>
      </c>
      <c r="B12763" s="0" t="n">
        <v>3600289</v>
      </c>
      <c r="C12763" s="0" t="n">
        <v>3600309</v>
      </c>
      <c r="D12763" s="0" t="s">
        <v>42554</v>
      </c>
      <c r="E12763" s="0" t="s">
        <v>42555</v>
      </c>
      <c r="F12763" s="0" t="s">
        <v>90</v>
      </c>
      <c r="G12763" s="0" t="s">
        <v>16</v>
      </c>
      <c r="H12763" s="0" t="n">
        <v>28</v>
      </c>
      <c r="I12763" s="0" t="s">
        <v>42556</v>
      </c>
      <c r="J12763" s="0" t="s">
        <v>42557</v>
      </c>
      <c r="K12763" s="0" t="s">
        <v>42558</v>
      </c>
      <c r="L12763" s="0" t="str">
        <f aca="false">HYPERLINK("https://www.ncbi.nlm.nih.gov/nuccore/CP000304.1?report=graph&amp;tracks=[key:gene_model_track,Options:GeneOnly]&amp;mk=3600290:3600309|offset_28|00cc00,3600233:3600252|offset_85|444444,3600207:3600226|offset_111|444444,3600185:3600204|offset_133|444444&amp;v=3600089:3600404&amp;c=444444", "offset 28")</f>
        <v>offset 28</v>
      </c>
    </row>
    <row r="12764" customFormat="false" ht="12.8" hidden="false" customHeight="false" outlineLevel="0" collapsed="false">
      <c r="A12764" s="0" t="s">
        <v>12</v>
      </c>
      <c r="B12764" s="0" t="n">
        <v>3600232</v>
      </c>
      <c r="C12764" s="0" t="n">
        <v>3600252</v>
      </c>
      <c r="D12764" s="0" t="s">
        <v>42554</v>
      </c>
      <c r="E12764" s="0" t="s">
        <v>42555</v>
      </c>
      <c r="F12764" s="0" t="s">
        <v>90</v>
      </c>
      <c r="G12764" s="0" t="s">
        <v>16</v>
      </c>
      <c r="H12764" s="0" t="n">
        <v>85</v>
      </c>
      <c r="I12764" s="0" t="s">
        <v>42559</v>
      </c>
      <c r="J12764" s="0" t="s">
        <v>42560</v>
      </c>
      <c r="K12764" s="0" t="s">
        <v>42561</v>
      </c>
      <c r="L12764" s="0" t="str">
        <f aca="false">HYPERLINK("https://www.ncbi.nlm.nih.gov/nuccore/CP000304.1?report=graph&amp;tracks=[key:gene_model_track,Options:GeneOnly]&amp;mk=3600290:3600309|offset_28|444444,3600233:3600252|offset_85|00cc00,3600207:3600226|offset_111|444444,3600185:3600204|offset_133|444444&amp;v=3600089:3600404&amp;c=444444", "offset 85")</f>
        <v>offset 85</v>
      </c>
    </row>
    <row r="12765" customFormat="false" ht="12.8" hidden="false" customHeight="false" outlineLevel="0" collapsed="false">
      <c r="A12765" s="0" t="s">
        <v>12</v>
      </c>
      <c r="B12765" s="0" t="n">
        <v>3600206</v>
      </c>
      <c r="C12765" s="0" t="n">
        <v>3600226</v>
      </c>
      <c r="D12765" s="0" t="s">
        <v>42554</v>
      </c>
      <c r="E12765" s="0" t="s">
        <v>42555</v>
      </c>
      <c r="F12765" s="0" t="s">
        <v>90</v>
      </c>
      <c r="G12765" s="0" t="s">
        <v>16</v>
      </c>
      <c r="H12765" s="0" t="n">
        <v>111</v>
      </c>
      <c r="I12765" s="0" t="s">
        <v>42562</v>
      </c>
      <c r="J12765" s="0" t="s">
        <v>42563</v>
      </c>
      <c r="K12765" s="0" t="s">
        <v>42564</v>
      </c>
      <c r="L12765" s="0" t="str">
        <f aca="false">HYPERLINK("https://www.ncbi.nlm.nih.gov/nuccore/CP000304.1?report=graph&amp;tracks=[key:gene_model_track,Options:GeneOnly]&amp;mk=3600290:3600309|offset_28|444444,3600233:3600252|offset_85|444444,3600207:3600226|offset_111|00cc00,3600185:3600204|offset_133|444444&amp;v=3600089:3600404&amp;c=444444", "offset 111")</f>
        <v>offset 111</v>
      </c>
    </row>
    <row r="12766" customFormat="false" ht="12.8" hidden="false" customHeight="false" outlineLevel="0" collapsed="false">
      <c r="A12766" s="0" t="s">
        <v>12</v>
      </c>
      <c r="B12766" s="0" t="n">
        <v>3600184</v>
      </c>
      <c r="C12766" s="0" t="n">
        <v>3600204</v>
      </c>
      <c r="D12766" s="0" t="s">
        <v>42554</v>
      </c>
      <c r="E12766" s="0" t="s">
        <v>42555</v>
      </c>
      <c r="F12766" s="0" t="s">
        <v>90</v>
      </c>
      <c r="G12766" s="0" t="s">
        <v>16</v>
      </c>
      <c r="H12766" s="0" t="n">
        <v>133</v>
      </c>
      <c r="I12766" s="0" t="s">
        <v>42565</v>
      </c>
      <c r="J12766" s="0" t="s">
        <v>42566</v>
      </c>
      <c r="K12766" s="0" t="s">
        <v>42567</v>
      </c>
      <c r="L12766" s="0" t="str">
        <f aca="false">HYPERLINK("https://www.ncbi.nlm.nih.gov/nuccore/CP000304.1?report=graph&amp;tracks=[key:gene_model_track,Options:GeneOnly]&amp;mk=3600290:3600309|offset_28|444444,3600233:3600252|offset_85|444444,3600207:3600226|offset_111|444444,3600185:3600204|offset_133|00cc00&amp;v=3600089:3600404&amp;c=444444", "offset 133")</f>
        <v>offset 133</v>
      </c>
    </row>
    <row r="12767" customFormat="false" ht="12.8" hidden="false" customHeight="false" outlineLevel="0" collapsed="false">
      <c r="A12767" s="0" t="s">
        <v>12</v>
      </c>
      <c r="B12767" s="0" t="n">
        <v>3601441</v>
      </c>
      <c r="C12767" s="0" t="n">
        <v>3601461</v>
      </c>
      <c r="D12767" s="0" t="s">
        <v>42568</v>
      </c>
      <c r="E12767" s="0" t="s">
        <v>42569</v>
      </c>
      <c r="F12767" s="0" t="s">
        <v>90</v>
      </c>
      <c r="G12767" s="0" t="s">
        <v>32</v>
      </c>
      <c r="H12767" s="0" t="n">
        <v>1</v>
      </c>
      <c r="I12767" s="0" t="s">
        <v>42570</v>
      </c>
      <c r="J12767" s="0" t="s">
        <v>42571</v>
      </c>
      <c r="K12767" s="0" t="s">
        <v>42572</v>
      </c>
      <c r="L12767" s="0" t="str">
        <f aca="false">HYPERLINK("https://www.ncbi.nlm.nih.gov/nuccore/CP000304.1?report=graph&amp;tracks=[key:gene_model_track,Options:GeneOnly]&amp;mk=3601442:3601461|offset_1|00cc00,3601416:3601435|offset_27|444444,3601391:3601410|offset_52|444444,3601370:3601389|offset_73|444444&amp;v=3601241:3601589&amp;c=444444", "offset 1")</f>
        <v>offset 1</v>
      </c>
    </row>
    <row r="12768" customFormat="false" ht="12.8" hidden="false" customHeight="false" outlineLevel="0" collapsed="false">
      <c r="A12768" s="0" t="s">
        <v>12</v>
      </c>
      <c r="B12768" s="0" t="n">
        <v>3601415</v>
      </c>
      <c r="C12768" s="0" t="n">
        <v>3601435</v>
      </c>
      <c r="D12768" s="0" t="s">
        <v>42568</v>
      </c>
      <c r="E12768" s="0" t="s">
        <v>42569</v>
      </c>
      <c r="F12768" s="0" t="s">
        <v>90</v>
      </c>
      <c r="G12768" s="0" t="s">
        <v>16</v>
      </c>
      <c r="H12768" s="0" t="n">
        <v>27</v>
      </c>
      <c r="I12768" s="0" t="s">
        <v>42573</v>
      </c>
      <c r="J12768" s="0" t="s">
        <v>42574</v>
      </c>
      <c r="K12768" s="0" t="s">
        <v>42575</v>
      </c>
      <c r="L12768" s="0" t="str">
        <f aca="false">HYPERLINK("https://www.ncbi.nlm.nih.gov/nuccore/CP000304.1?report=graph&amp;tracks=[key:gene_model_track,Options:GeneOnly]&amp;mk=3601442:3601461|offset_1|444444,3601416:3601435|offset_27|00cc00,3601391:3601410|offset_52|444444,3601370:3601389|offset_73|444444&amp;v=3601241:3601589&amp;c=444444", "offset 27")</f>
        <v>offset 27</v>
      </c>
    </row>
    <row r="12769" customFormat="false" ht="12.8" hidden="false" customHeight="false" outlineLevel="0" collapsed="false">
      <c r="A12769" s="0" t="s">
        <v>12</v>
      </c>
      <c r="B12769" s="0" t="n">
        <v>3601390</v>
      </c>
      <c r="C12769" s="0" t="n">
        <v>3601410</v>
      </c>
      <c r="D12769" s="0" t="s">
        <v>42568</v>
      </c>
      <c r="E12769" s="0" t="s">
        <v>42569</v>
      </c>
      <c r="F12769" s="0" t="s">
        <v>90</v>
      </c>
      <c r="G12769" s="0" t="s">
        <v>26</v>
      </c>
      <c r="H12769" s="0" t="n">
        <v>52</v>
      </c>
      <c r="I12769" s="0" t="s">
        <v>42576</v>
      </c>
      <c r="J12769" s="0" t="s">
        <v>42577</v>
      </c>
      <c r="K12769" s="0" t="s">
        <v>42578</v>
      </c>
      <c r="L12769" s="0" t="str">
        <f aca="false">HYPERLINK("https://www.ncbi.nlm.nih.gov/nuccore/CP000304.1?report=graph&amp;tracks=[key:gene_model_track,Options:GeneOnly]&amp;mk=3601442:3601461|offset_1|444444,3601416:3601435|offset_27|444444,3601391:3601410|offset_52|00cc00,3601370:3601389|offset_73|444444&amp;v=3601241:3601589&amp;c=444444", "offset 52")</f>
        <v>offset 52</v>
      </c>
    </row>
    <row r="12770" customFormat="false" ht="12.8" hidden="false" customHeight="false" outlineLevel="0" collapsed="false">
      <c r="A12770" s="0" t="s">
        <v>12</v>
      </c>
      <c r="B12770" s="0" t="n">
        <v>3601369</v>
      </c>
      <c r="C12770" s="0" t="n">
        <v>3601389</v>
      </c>
      <c r="D12770" s="0" t="s">
        <v>42568</v>
      </c>
      <c r="E12770" s="0" t="s">
        <v>42569</v>
      </c>
      <c r="F12770" s="0" t="s">
        <v>90</v>
      </c>
      <c r="G12770" s="0" t="s">
        <v>26</v>
      </c>
      <c r="H12770" s="0" t="n">
        <v>73</v>
      </c>
      <c r="I12770" s="0" t="s">
        <v>42579</v>
      </c>
      <c r="J12770" s="0" t="s">
        <v>42580</v>
      </c>
      <c r="K12770" s="0" t="s">
        <v>42581</v>
      </c>
      <c r="L12770" s="0" t="str">
        <f aca="false">HYPERLINK("https://www.ncbi.nlm.nih.gov/nuccore/CP000304.1?report=graph&amp;tracks=[key:gene_model_track,Options:GeneOnly]&amp;mk=3601442:3601461|offset_1|444444,3601416:3601435|offset_27|444444,3601391:3601410|offset_52|444444,3601370:3601389|offset_73|00cc00&amp;v=3601241:3601589&amp;c=444444", "offset 73")</f>
        <v>offset 73</v>
      </c>
    </row>
    <row r="12771" customFormat="false" ht="12.8" hidden="false" customHeight="false" outlineLevel="0" collapsed="false">
      <c r="A12771" s="0" t="s">
        <v>12</v>
      </c>
      <c r="B12771" s="0" t="n">
        <v>3603540</v>
      </c>
      <c r="C12771" s="0" t="n">
        <v>3603560</v>
      </c>
      <c r="D12771" s="0" t="s">
        <v>42582</v>
      </c>
      <c r="E12771" s="0" t="s">
        <v>42583</v>
      </c>
      <c r="F12771" s="0" t="s">
        <v>90</v>
      </c>
      <c r="G12771" s="0" t="s">
        <v>26</v>
      </c>
      <c r="H12771" s="0" t="n">
        <v>26</v>
      </c>
      <c r="I12771" s="0" t="s">
        <v>42584</v>
      </c>
      <c r="J12771" s="0" t="s">
        <v>42585</v>
      </c>
      <c r="K12771" s="0" t="s">
        <v>42586</v>
      </c>
      <c r="L12771" s="0" t="str">
        <f aca="false">HYPERLINK("https://www.ncbi.nlm.nih.gov/nuccore/CP000304.1?report=graph&amp;tracks=[key:gene_model_track,Options:GeneOnly]&amp;mk=3603541:3603560|offset_26|00cc00,3603515:3603534|offset_52|444444,3603476:3603495|offset_91|444444,3603456:3603475|offset_111|444444&amp;v=3603340:3603675&amp;c=444444", "offset 26")</f>
        <v>offset 26</v>
      </c>
    </row>
    <row r="12772" customFormat="false" ht="12.8" hidden="false" customHeight="false" outlineLevel="0" collapsed="false">
      <c r="A12772" s="0" t="s">
        <v>12</v>
      </c>
      <c r="B12772" s="0" t="n">
        <v>3603514</v>
      </c>
      <c r="C12772" s="0" t="n">
        <v>3603534</v>
      </c>
      <c r="D12772" s="0" t="s">
        <v>42582</v>
      </c>
      <c r="E12772" s="0" t="s">
        <v>42583</v>
      </c>
      <c r="F12772" s="0" t="s">
        <v>90</v>
      </c>
      <c r="G12772" s="0" t="s">
        <v>32</v>
      </c>
      <c r="H12772" s="0" t="n">
        <v>52</v>
      </c>
      <c r="I12772" s="0" t="s">
        <v>42587</v>
      </c>
      <c r="J12772" s="0" t="s">
        <v>42588</v>
      </c>
      <c r="K12772" s="0" t="s">
        <v>42589</v>
      </c>
      <c r="L12772" s="0" t="str">
        <f aca="false">HYPERLINK("https://www.ncbi.nlm.nih.gov/nuccore/CP000304.1?report=graph&amp;tracks=[key:gene_model_track,Options:GeneOnly]&amp;mk=3603541:3603560|offset_26|444444,3603515:3603534|offset_52|00cc00,3603476:3603495|offset_91|444444,3603456:3603475|offset_111|444444&amp;v=3603340:3603675&amp;c=444444", "offset 52")</f>
        <v>offset 52</v>
      </c>
    </row>
    <row r="12773" customFormat="false" ht="12.8" hidden="false" customHeight="false" outlineLevel="0" collapsed="false">
      <c r="A12773" s="0" t="s">
        <v>12</v>
      </c>
      <c r="B12773" s="0" t="n">
        <v>3603475</v>
      </c>
      <c r="C12773" s="0" t="n">
        <v>3603495</v>
      </c>
      <c r="D12773" s="0" t="s">
        <v>42582</v>
      </c>
      <c r="E12773" s="0" t="s">
        <v>42583</v>
      </c>
      <c r="F12773" s="0" t="s">
        <v>90</v>
      </c>
      <c r="G12773" s="0" t="s">
        <v>16</v>
      </c>
      <c r="H12773" s="0" t="n">
        <v>91</v>
      </c>
      <c r="I12773" s="0" t="s">
        <v>42590</v>
      </c>
      <c r="J12773" s="0" t="s">
        <v>42591</v>
      </c>
      <c r="K12773" s="0" t="s">
        <v>42592</v>
      </c>
      <c r="L12773" s="0" t="str">
        <f aca="false">HYPERLINK("https://www.ncbi.nlm.nih.gov/nuccore/CP000304.1?report=graph&amp;tracks=[key:gene_model_track,Options:GeneOnly]&amp;mk=3603541:3603560|offset_26|444444,3603515:3603534|offset_52|444444,3603476:3603495|offset_91|00cc00,3603456:3603475|offset_111|444444&amp;v=3603340:3603675&amp;c=444444", "offset 91")</f>
        <v>offset 91</v>
      </c>
    </row>
    <row r="12774" customFormat="false" ht="12.8" hidden="false" customHeight="false" outlineLevel="0" collapsed="false">
      <c r="A12774" s="0" t="s">
        <v>12</v>
      </c>
      <c r="B12774" s="0" t="n">
        <v>3603455</v>
      </c>
      <c r="C12774" s="0" t="n">
        <v>3603475</v>
      </c>
      <c r="D12774" s="0" t="s">
        <v>42582</v>
      </c>
      <c r="E12774" s="0" t="s">
        <v>42583</v>
      </c>
      <c r="F12774" s="0" t="s">
        <v>90</v>
      </c>
      <c r="G12774" s="0" t="s">
        <v>16</v>
      </c>
      <c r="H12774" s="0" t="n">
        <v>111</v>
      </c>
      <c r="I12774" s="0" t="s">
        <v>42593</v>
      </c>
      <c r="J12774" s="0" t="s">
        <v>42594</v>
      </c>
      <c r="K12774" s="0" t="s">
        <v>42595</v>
      </c>
      <c r="L12774" s="0" t="str">
        <f aca="false">HYPERLINK("https://www.ncbi.nlm.nih.gov/nuccore/CP000304.1?report=graph&amp;tracks=[key:gene_model_track,Options:GeneOnly]&amp;mk=3603541:3603560|offset_26|444444,3603515:3603534|offset_52|444444,3603476:3603495|offset_91|444444,3603456:3603475|offset_111|00cc00&amp;v=3603340:3603675&amp;c=444444", "offset 111")</f>
        <v>offset 111</v>
      </c>
    </row>
    <row r="12775" customFormat="false" ht="12.8" hidden="false" customHeight="false" outlineLevel="0" collapsed="false">
      <c r="A12775" s="0" t="s">
        <v>12</v>
      </c>
      <c r="B12775" s="0" t="n">
        <v>3604234</v>
      </c>
      <c r="C12775" s="0" t="n">
        <v>3604254</v>
      </c>
      <c r="D12775" s="0" t="s">
        <v>42596</v>
      </c>
      <c r="E12775" s="0" t="s">
        <v>42597</v>
      </c>
      <c r="F12775" s="0" t="s">
        <v>90</v>
      </c>
      <c r="G12775" s="0" t="s">
        <v>36</v>
      </c>
      <c r="H12775" s="0" t="n">
        <v>0</v>
      </c>
      <c r="I12775" s="0" t="s">
        <v>42598</v>
      </c>
      <c r="J12775" s="0" t="s">
        <v>42599</v>
      </c>
      <c r="K12775" s="0" t="s">
        <v>42600</v>
      </c>
      <c r="L12775" s="0" t="str">
        <f aca="false">HYPERLINK("https://www.ncbi.nlm.nih.gov/nuccore/CP000304.1?report=graph&amp;tracks=[key:gene_model_track,Options:GeneOnly]&amp;mk=3604235:3604254|offset_0|00cc00,3604215:3604234|offset_20|444444,3604190:3604209|offset_45|444444,3604165:3604184|offset_70|444444&amp;v=3604034:3604384&amp;c=444444", "offset 0")</f>
        <v>offset 0</v>
      </c>
    </row>
    <row r="12776" customFormat="false" ht="12.8" hidden="false" customHeight="false" outlineLevel="0" collapsed="false">
      <c r="A12776" s="0" t="s">
        <v>12</v>
      </c>
      <c r="B12776" s="0" t="n">
        <v>3604214</v>
      </c>
      <c r="C12776" s="0" t="n">
        <v>3604234</v>
      </c>
      <c r="D12776" s="0" t="s">
        <v>42596</v>
      </c>
      <c r="E12776" s="0" t="s">
        <v>42597</v>
      </c>
      <c r="F12776" s="0" t="s">
        <v>90</v>
      </c>
      <c r="G12776" s="0" t="s">
        <v>26</v>
      </c>
      <c r="H12776" s="0" t="n">
        <v>20</v>
      </c>
      <c r="I12776" s="0" t="s">
        <v>42601</v>
      </c>
      <c r="J12776" s="0" t="s">
        <v>42602</v>
      </c>
      <c r="K12776" s="0" t="s">
        <v>42603</v>
      </c>
      <c r="L12776" s="0" t="str">
        <f aca="false">HYPERLINK("https://www.ncbi.nlm.nih.gov/nuccore/CP000304.1?report=graph&amp;tracks=[key:gene_model_track,Options:GeneOnly]&amp;mk=3604235:3604254|offset_0|444444,3604215:3604234|offset_20|00cc00,3604190:3604209|offset_45|444444,3604165:3604184|offset_70|444444&amp;v=3604034:3604384&amp;c=444444", "offset 20")</f>
        <v>offset 20</v>
      </c>
    </row>
    <row r="12777" customFormat="false" ht="12.8" hidden="false" customHeight="false" outlineLevel="0" collapsed="false">
      <c r="A12777" s="0" t="s">
        <v>12</v>
      </c>
      <c r="B12777" s="0" t="n">
        <v>3604189</v>
      </c>
      <c r="C12777" s="0" t="n">
        <v>3604209</v>
      </c>
      <c r="D12777" s="0" t="s">
        <v>42596</v>
      </c>
      <c r="E12777" s="0" t="s">
        <v>42597</v>
      </c>
      <c r="F12777" s="0" t="s">
        <v>90</v>
      </c>
      <c r="G12777" s="0" t="s">
        <v>32</v>
      </c>
      <c r="H12777" s="0" t="n">
        <v>45</v>
      </c>
      <c r="I12777" s="0" t="s">
        <v>42604</v>
      </c>
      <c r="J12777" s="0" t="s">
        <v>42605</v>
      </c>
      <c r="K12777" s="0" t="s">
        <v>42606</v>
      </c>
      <c r="L12777" s="0" t="str">
        <f aca="false">HYPERLINK("https://www.ncbi.nlm.nih.gov/nuccore/CP000304.1?report=graph&amp;tracks=[key:gene_model_track,Options:GeneOnly]&amp;mk=3604235:3604254|offset_0|444444,3604215:3604234|offset_20|444444,3604190:3604209|offset_45|00cc00,3604165:3604184|offset_70|444444&amp;v=3604034:3604384&amp;c=444444", "offset 45")</f>
        <v>offset 45</v>
      </c>
    </row>
    <row r="12778" customFormat="false" ht="12.8" hidden="false" customHeight="false" outlineLevel="0" collapsed="false">
      <c r="A12778" s="0" t="s">
        <v>12</v>
      </c>
      <c r="B12778" s="0" t="n">
        <v>3604164</v>
      </c>
      <c r="C12778" s="0" t="n">
        <v>3604184</v>
      </c>
      <c r="D12778" s="0" t="s">
        <v>42596</v>
      </c>
      <c r="E12778" s="0" t="s">
        <v>42597</v>
      </c>
      <c r="F12778" s="0" t="s">
        <v>90</v>
      </c>
      <c r="G12778" s="0" t="s">
        <v>16</v>
      </c>
      <c r="H12778" s="0" t="n">
        <v>70</v>
      </c>
      <c r="I12778" s="0" t="s">
        <v>42607</v>
      </c>
      <c r="J12778" s="0" t="s">
        <v>42608</v>
      </c>
      <c r="K12778" s="0" t="s">
        <v>42609</v>
      </c>
      <c r="L12778" s="0" t="str">
        <f aca="false">HYPERLINK("https://www.ncbi.nlm.nih.gov/nuccore/CP000304.1?report=graph&amp;tracks=[key:gene_model_track,Options:GeneOnly]&amp;mk=3604235:3604254|offset_0|444444,3604215:3604234|offset_20|444444,3604190:3604209|offset_45|444444,3604165:3604184|offset_70|00cc00&amp;v=3604034:3604384&amp;c=444444", "offset 70")</f>
        <v>offset 70</v>
      </c>
    </row>
    <row r="12779" customFormat="false" ht="12.8" hidden="false" customHeight="false" outlineLevel="0" collapsed="false">
      <c r="A12779" s="0" t="s">
        <v>12</v>
      </c>
      <c r="B12779" s="0" t="n">
        <v>3604456</v>
      </c>
      <c r="C12779" s="0" t="n">
        <v>3604476</v>
      </c>
      <c r="D12779" s="0" t="s">
        <v>42610</v>
      </c>
      <c r="E12779" s="0" t="s">
        <v>42611</v>
      </c>
      <c r="F12779" s="0" t="s">
        <v>15</v>
      </c>
      <c r="G12779" s="0" t="s">
        <v>32</v>
      </c>
      <c r="H12779" s="0" t="n">
        <v>1</v>
      </c>
      <c r="I12779" s="0" t="s">
        <v>42612</v>
      </c>
      <c r="J12779" s="0" t="s">
        <v>42613</v>
      </c>
      <c r="K12779" s="0" t="s">
        <v>42614</v>
      </c>
      <c r="L12779" s="0" t="str">
        <f aca="false">HYPERLINK("https://www.ncbi.nlm.nih.gov/nuccore/CP000304.1?report=graph&amp;tracks=[key:gene_model_track,Options:GeneOnly]&amp;mk=3604457:3604476|offset_1|00cc00,3604503:3604522|offset_47|444444,3604550:3604569|offset_94|444444,3604592:3604611|offset_136|444444&amp;v=3604256:3604811&amp;c=444444", "offset 1")</f>
        <v>offset 1</v>
      </c>
    </row>
    <row r="12780" customFormat="false" ht="12.8" hidden="false" customHeight="false" outlineLevel="0" collapsed="false">
      <c r="A12780" s="0" t="s">
        <v>12</v>
      </c>
      <c r="B12780" s="0" t="n">
        <v>3604502</v>
      </c>
      <c r="C12780" s="0" t="n">
        <v>3604522</v>
      </c>
      <c r="D12780" s="0" t="s">
        <v>42610</v>
      </c>
      <c r="E12780" s="0" t="s">
        <v>42611</v>
      </c>
      <c r="F12780" s="0" t="s">
        <v>15</v>
      </c>
      <c r="G12780" s="0" t="s">
        <v>26</v>
      </c>
      <c r="H12780" s="0" t="n">
        <v>47</v>
      </c>
      <c r="I12780" s="0" t="s">
        <v>42615</v>
      </c>
      <c r="J12780" s="0" t="s">
        <v>42616</v>
      </c>
      <c r="K12780" s="0" t="s">
        <v>42617</v>
      </c>
      <c r="L12780" s="0" t="str">
        <f aca="false">HYPERLINK("https://www.ncbi.nlm.nih.gov/nuccore/CP000304.1?report=graph&amp;tracks=[key:gene_model_track,Options:GeneOnly]&amp;mk=3604457:3604476|offset_1|444444,3604503:3604522|offset_47|00cc00,3604550:3604569|offset_94|444444,3604592:3604611|offset_136|444444&amp;v=3604256:3604811&amp;c=444444", "offset 47")</f>
        <v>offset 47</v>
      </c>
    </row>
    <row r="12781" customFormat="false" ht="12.8" hidden="false" customHeight="false" outlineLevel="0" collapsed="false">
      <c r="A12781" s="0" t="s">
        <v>12</v>
      </c>
      <c r="B12781" s="0" t="n">
        <v>3604549</v>
      </c>
      <c r="C12781" s="0" t="n">
        <v>3604569</v>
      </c>
      <c r="D12781" s="0" t="s">
        <v>42610</v>
      </c>
      <c r="E12781" s="0" t="s">
        <v>42611</v>
      </c>
      <c r="F12781" s="0" t="s">
        <v>15</v>
      </c>
      <c r="G12781" s="0" t="s">
        <v>16</v>
      </c>
      <c r="H12781" s="0" t="n">
        <v>94</v>
      </c>
      <c r="I12781" s="0" t="s">
        <v>42618</v>
      </c>
      <c r="J12781" s="0" t="s">
        <v>42619</v>
      </c>
      <c r="K12781" s="0" t="s">
        <v>42620</v>
      </c>
      <c r="L12781" s="0" t="str">
        <f aca="false">HYPERLINK("https://www.ncbi.nlm.nih.gov/nuccore/CP000304.1?report=graph&amp;tracks=[key:gene_model_track,Options:GeneOnly]&amp;mk=3604457:3604476|offset_1|444444,3604503:3604522|offset_47|444444,3604550:3604569|offset_94|00cc00,3604592:3604611|offset_136|444444&amp;v=3604256:3604811&amp;c=444444", "offset 94")</f>
        <v>offset 94</v>
      </c>
    </row>
    <row r="12782" customFormat="false" ht="12.8" hidden="false" customHeight="false" outlineLevel="0" collapsed="false">
      <c r="A12782" s="0" t="s">
        <v>12</v>
      </c>
      <c r="B12782" s="0" t="n">
        <v>3604591</v>
      </c>
      <c r="C12782" s="0" t="n">
        <v>3604611</v>
      </c>
      <c r="D12782" s="0" t="s">
        <v>42610</v>
      </c>
      <c r="E12782" s="0" t="s">
        <v>42611</v>
      </c>
      <c r="F12782" s="0" t="s">
        <v>15</v>
      </c>
      <c r="G12782" s="0" t="s">
        <v>36</v>
      </c>
      <c r="H12782" s="0" t="n">
        <v>136</v>
      </c>
      <c r="I12782" s="0" t="s">
        <v>42621</v>
      </c>
      <c r="J12782" s="0" t="s">
        <v>42622</v>
      </c>
      <c r="K12782" s="0" t="s">
        <v>42623</v>
      </c>
      <c r="L12782" s="0" t="str">
        <f aca="false">HYPERLINK("https://www.ncbi.nlm.nih.gov/nuccore/CP000304.1?report=graph&amp;tracks=[key:gene_model_track,Options:GeneOnly]&amp;mk=3604457:3604476|offset_1|444444,3604503:3604522|offset_47|444444,3604550:3604569|offset_94|444444,3604592:3604611|offset_136|00cc00&amp;v=3604256:3604811&amp;c=444444", "offset 136")</f>
        <v>offset 136</v>
      </c>
    </row>
    <row r="12783" customFormat="false" ht="12.8" hidden="false" customHeight="false" outlineLevel="0" collapsed="false">
      <c r="A12783" s="0" t="s">
        <v>12</v>
      </c>
      <c r="B12783" s="0" t="n">
        <v>3606575</v>
      </c>
      <c r="C12783" s="0" t="n">
        <v>3606595</v>
      </c>
      <c r="D12783" s="0" t="s">
        <v>42624</v>
      </c>
      <c r="E12783" s="0" t="s">
        <v>42625</v>
      </c>
      <c r="F12783" s="0" t="s">
        <v>90</v>
      </c>
      <c r="G12783" s="0" t="s">
        <v>32</v>
      </c>
      <c r="H12783" s="0" t="n">
        <v>1</v>
      </c>
      <c r="I12783" s="0" t="s">
        <v>42626</v>
      </c>
      <c r="J12783" s="0" t="s">
        <v>42627</v>
      </c>
      <c r="K12783" s="0" t="s">
        <v>42628</v>
      </c>
      <c r="L12783" s="0" t="str">
        <f aca="false">HYPERLINK("https://www.ncbi.nlm.nih.gov/nuccore/CP000304.1?report=graph&amp;tracks=[key:gene_model_track,Options:GeneOnly]&amp;mk=3606576:3606595|offset_1|00cc00,3606526:3606545|offset_51|444444,3606488:3606507|offset_89|444444,3606399:3606418|offset_178|444444&amp;v=3606375:3606618&amp;c=444444", "offset 1")</f>
        <v>offset 1</v>
      </c>
    </row>
    <row r="12784" customFormat="false" ht="12.8" hidden="false" customHeight="false" outlineLevel="0" collapsed="false">
      <c r="A12784" s="0" t="s">
        <v>12</v>
      </c>
      <c r="B12784" s="0" t="n">
        <v>3606525</v>
      </c>
      <c r="C12784" s="0" t="n">
        <v>3606545</v>
      </c>
      <c r="D12784" s="0" t="s">
        <v>42624</v>
      </c>
      <c r="E12784" s="0" t="s">
        <v>42625</v>
      </c>
      <c r="F12784" s="0" t="s">
        <v>90</v>
      </c>
      <c r="G12784" s="0" t="s">
        <v>16</v>
      </c>
      <c r="H12784" s="0" t="n">
        <v>51</v>
      </c>
      <c r="I12784" s="0" t="s">
        <v>42629</v>
      </c>
      <c r="J12784" s="0" t="s">
        <v>42630</v>
      </c>
      <c r="K12784" s="0" t="s">
        <v>42631</v>
      </c>
      <c r="L12784" s="0" t="str">
        <f aca="false">HYPERLINK("https://www.ncbi.nlm.nih.gov/nuccore/CP000304.1?report=graph&amp;tracks=[key:gene_model_track,Options:GeneOnly]&amp;mk=3606576:3606595|offset_1|444444,3606526:3606545|offset_51|00cc00,3606488:3606507|offset_89|444444,3606399:3606418|offset_178|444444&amp;v=3606375:3606618&amp;c=444444", "offset 51")</f>
        <v>offset 51</v>
      </c>
    </row>
    <row r="12785" customFormat="false" ht="12.8" hidden="false" customHeight="false" outlineLevel="0" collapsed="false">
      <c r="A12785" s="0" t="s">
        <v>12</v>
      </c>
      <c r="B12785" s="0" t="n">
        <v>3606487</v>
      </c>
      <c r="C12785" s="0" t="n">
        <v>3606507</v>
      </c>
      <c r="D12785" s="0" t="s">
        <v>42624</v>
      </c>
      <c r="E12785" s="0" t="s">
        <v>42625</v>
      </c>
      <c r="F12785" s="0" t="s">
        <v>90</v>
      </c>
      <c r="G12785" s="0" t="s">
        <v>16</v>
      </c>
      <c r="H12785" s="0" t="n">
        <v>89</v>
      </c>
      <c r="I12785" s="0" t="s">
        <v>42632</v>
      </c>
      <c r="J12785" s="0" t="s">
        <v>42633</v>
      </c>
      <c r="K12785" s="0" t="s">
        <v>42634</v>
      </c>
      <c r="L12785" s="0" t="str">
        <f aca="false">HYPERLINK("https://www.ncbi.nlm.nih.gov/nuccore/CP000304.1?report=graph&amp;tracks=[key:gene_model_track,Options:GeneOnly]&amp;mk=3606576:3606595|offset_1|444444,3606526:3606545|offset_51|444444,3606488:3606507|offset_89|00cc00,3606399:3606418|offset_178|444444&amp;v=3606375:3606618&amp;c=444444", "offset 89")</f>
        <v>offset 89</v>
      </c>
    </row>
    <row r="12786" customFormat="false" ht="12.8" hidden="false" customHeight="false" outlineLevel="0" collapsed="false">
      <c r="A12786" s="0" t="s">
        <v>12</v>
      </c>
      <c r="B12786" s="0" t="n">
        <v>3606398</v>
      </c>
      <c r="C12786" s="0" t="n">
        <v>3606418</v>
      </c>
      <c r="D12786" s="0" t="s">
        <v>42624</v>
      </c>
      <c r="E12786" s="0" t="s">
        <v>42625</v>
      </c>
      <c r="F12786" s="0" t="s">
        <v>90</v>
      </c>
      <c r="G12786" s="0" t="s">
        <v>36</v>
      </c>
      <c r="H12786" s="0" t="n">
        <v>178</v>
      </c>
      <c r="I12786" s="0" t="s">
        <v>42635</v>
      </c>
      <c r="J12786" s="0" t="s">
        <v>42636</v>
      </c>
      <c r="K12786" s="0" t="s">
        <v>42637</v>
      </c>
      <c r="L12786" s="0" t="str">
        <f aca="false">HYPERLINK("https://www.ncbi.nlm.nih.gov/nuccore/CP000304.1?report=graph&amp;tracks=[key:gene_model_track,Options:GeneOnly]&amp;mk=3606576:3606595|offset_1|444444,3606526:3606545|offset_51|444444,3606488:3606507|offset_89|444444,3606399:3606418|offset_178|00cc00&amp;v=3606375:3606618&amp;c=444444", "offset 178")</f>
        <v>offset 178</v>
      </c>
    </row>
    <row r="12787" customFormat="false" ht="12.8" hidden="false" customHeight="false" outlineLevel="0" collapsed="false">
      <c r="A12787" s="0" t="s">
        <v>12</v>
      </c>
      <c r="B12787" s="0" t="n">
        <v>3606630</v>
      </c>
      <c r="C12787" s="0" t="n">
        <v>3606650</v>
      </c>
      <c r="D12787" s="0" t="s">
        <v>42638</v>
      </c>
      <c r="E12787" s="0" t="s">
        <v>42639</v>
      </c>
      <c r="F12787" s="0" t="s">
        <v>15</v>
      </c>
      <c r="G12787" s="0" t="s">
        <v>26</v>
      </c>
      <c r="H12787" s="0" t="n">
        <v>32</v>
      </c>
      <c r="I12787" s="0" t="s">
        <v>42640</v>
      </c>
      <c r="J12787" s="0" t="s">
        <v>42641</v>
      </c>
      <c r="K12787" s="0" t="s">
        <v>42642</v>
      </c>
      <c r="L12787" s="0" t="str">
        <f aca="false">HYPERLINK("https://www.ncbi.nlm.nih.gov/nuccore/CP000304.1?report=graph&amp;tracks=[key:gene_model_track,Options:GeneOnly]&amp;mk=3606631:3606650|offset_32|00cc00,3606653:3606672|offset_54|444444,3606688:3606707|offset_89|444444,3606720:3606739|offset_121|444444&amp;v=3606430:3606939&amp;c=444444", "offset 32")</f>
        <v>offset 32</v>
      </c>
    </row>
    <row r="12788" customFormat="false" ht="12.8" hidden="false" customHeight="false" outlineLevel="0" collapsed="false">
      <c r="A12788" s="0" t="s">
        <v>12</v>
      </c>
      <c r="B12788" s="0" t="n">
        <v>3606652</v>
      </c>
      <c r="C12788" s="0" t="n">
        <v>3606672</v>
      </c>
      <c r="D12788" s="0" t="s">
        <v>42638</v>
      </c>
      <c r="E12788" s="0" t="s">
        <v>42639</v>
      </c>
      <c r="F12788" s="0" t="s">
        <v>15</v>
      </c>
      <c r="G12788" s="0" t="s">
        <v>16</v>
      </c>
      <c r="H12788" s="0" t="n">
        <v>54</v>
      </c>
      <c r="I12788" s="0" t="s">
        <v>42643</v>
      </c>
      <c r="J12788" s="0" t="s">
        <v>42644</v>
      </c>
      <c r="K12788" s="0" t="s">
        <v>42645</v>
      </c>
      <c r="L12788" s="0" t="str">
        <f aca="false">HYPERLINK("https://www.ncbi.nlm.nih.gov/nuccore/CP000304.1?report=graph&amp;tracks=[key:gene_model_track,Options:GeneOnly]&amp;mk=3606631:3606650|offset_32|444444,3606653:3606672|offset_54|00cc00,3606688:3606707|offset_89|444444,3606720:3606739|offset_121|444444&amp;v=3606430:3606939&amp;c=444444", "offset 54")</f>
        <v>offset 54</v>
      </c>
    </row>
    <row r="12789" customFormat="false" ht="12.8" hidden="false" customHeight="false" outlineLevel="0" collapsed="false">
      <c r="A12789" s="0" t="s">
        <v>12</v>
      </c>
      <c r="B12789" s="0" t="n">
        <v>3606687</v>
      </c>
      <c r="C12789" s="0" t="n">
        <v>3606707</v>
      </c>
      <c r="D12789" s="0" t="s">
        <v>42638</v>
      </c>
      <c r="E12789" s="0" t="s">
        <v>42639</v>
      </c>
      <c r="F12789" s="0" t="s">
        <v>15</v>
      </c>
      <c r="G12789" s="0" t="s">
        <v>36</v>
      </c>
      <c r="H12789" s="0" t="n">
        <v>89</v>
      </c>
      <c r="I12789" s="0" t="s">
        <v>42646</v>
      </c>
      <c r="J12789" s="0" t="s">
        <v>42647</v>
      </c>
      <c r="K12789" s="0" t="s">
        <v>42648</v>
      </c>
      <c r="L12789" s="0" t="str">
        <f aca="false">HYPERLINK("https://www.ncbi.nlm.nih.gov/nuccore/CP000304.1?report=graph&amp;tracks=[key:gene_model_track,Options:GeneOnly]&amp;mk=3606631:3606650|offset_32|444444,3606653:3606672|offset_54|444444,3606688:3606707|offset_89|00cc00,3606720:3606739|offset_121|444444&amp;v=3606430:3606939&amp;c=444444", "offset 89")</f>
        <v>offset 89</v>
      </c>
    </row>
    <row r="12790" customFormat="false" ht="12.8" hidden="false" customHeight="false" outlineLevel="0" collapsed="false">
      <c r="A12790" s="0" t="s">
        <v>12</v>
      </c>
      <c r="B12790" s="0" t="n">
        <v>3606719</v>
      </c>
      <c r="C12790" s="0" t="n">
        <v>3606739</v>
      </c>
      <c r="D12790" s="0" t="s">
        <v>42638</v>
      </c>
      <c r="E12790" s="0" t="s">
        <v>42639</v>
      </c>
      <c r="F12790" s="0" t="s">
        <v>15</v>
      </c>
      <c r="G12790" s="0" t="s">
        <v>32</v>
      </c>
      <c r="H12790" s="0" t="n">
        <v>121</v>
      </c>
      <c r="I12790" s="0" t="s">
        <v>42649</v>
      </c>
      <c r="J12790" s="0" t="s">
        <v>42650</v>
      </c>
      <c r="K12790" s="0" t="s">
        <v>42651</v>
      </c>
      <c r="L12790" s="0" t="str">
        <f aca="false">HYPERLINK("https://www.ncbi.nlm.nih.gov/nuccore/CP000304.1?report=graph&amp;tracks=[key:gene_model_track,Options:GeneOnly]&amp;mk=3606631:3606650|offset_32|444444,3606653:3606672|offset_54|444444,3606688:3606707|offset_89|444444,3606720:3606739|offset_121|00cc00&amp;v=3606430:3606939&amp;c=444444", "offset 121")</f>
        <v>offset 121</v>
      </c>
    </row>
    <row r="12791" customFormat="false" ht="12.8" hidden="false" customHeight="false" outlineLevel="0" collapsed="false">
      <c r="A12791" s="0" t="s">
        <v>12</v>
      </c>
      <c r="B12791" s="0" t="n">
        <v>3607517</v>
      </c>
      <c r="C12791" s="0" t="n">
        <v>3607537</v>
      </c>
      <c r="D12791" s="0" t="s">
        <v>42652</v>
      </c>
      <c r="E12791" s="0" t="s">
        <v>89</v>
      </c>
      <c r="F12791" s="0" t="s">
        <v>90</v>
      </c>
      <c r="G12791" s="0" t="s">
        <v>16</v>
      </c>
      <c r="H12791" s="0" t="n">
        <v>22</v>
      </c>
      <c r="I12791" s="0" t="s">
        <v>42653</v>
      </c>
      <c r="J12791" s="0" t="s">
        <v>42654</v>
      </c>
      <c r="K12791" s="0" t="s">
        <v>42655</v>
      </c>
      <c r="L12791" s="0" t="str">
        <f aca="false">HYPERLINK("https://www.ncbi.nlm.nih.gov/nuccore/CP000304.1?report=graph&amp;tracks=[key:gene_model_track,Options:GeneOnly]&amp;mk=3607518:3607537|offset_22|00cc00,3607494:3607513|offset_46|444444,3607467:3607486|offset_73|444444,3607445:3607464|offset_95|444444&amp;v=3607317:3607664&amp;c=444444", "offset 22")</f>
        <v>offset 22</v>
      </c>
    </row>
    <row r="12792" customFormat="false" ht="12.8" hidden="false" customHeight="false" outlineLevel="0" collapsed="false">
      <c r="A12792" s="0" t="s">
        <v>12</v>
      </c>
      <c r="B12792" s="0" t="n">
        <v>3607493</v>
      </c>
      <c r="C12792" s="0" t="n">
        <v>3607513</v>
      </c>
      <c r="D12792" s="0" t="s">
        <v>42652</v>
      </c>
      <c r="E12792" s="0" t="s">
        <v>89</v>
      </c>
      <c r="F12792" s="0" t="s">
        <v>90</v>
      </c>
      <c r="G12792" s="0" t="s">
        <v>16</v>
      </c>
      <c r="H12792" s="0" t="n">
        <v>46</v>
      </c>
      <c r="I12792" s="0" t="s">
        <v>42656</v>
      </c>
      <c r="J12792" s="0" t="s">
        <v>42657</v>
      </c>
      <c r="K12792" s="0" t="s">
        <v>42658</v>
      </c>
      <c r="L12792" s="0" t="str">
        <f aca="false">HYPERLINK("https://www.ncbi.nlm.nih.gov/nuccore/CP000304.1?report=graph&amp;tracks=[key:gene_model_track,Options:GeneOnly]&amp;mk=3607518:3607537|offset_22|444444,3607494:3607513|offset_46|00cc00,3607467:3607486|offset_73|444444,3607445:3607464|offset_95|444444&amp;v=3607317:3607664&amp;c=444444", "offset 46")</f>
        <v>offset 46</v>
      </c>
    </row>
    <row r="12793" customFormat="false" ht="12.8" hidden="false" customHeight="false" outlineLevel="0" collapsed="false">
      <c r="A12793" s="0" t="s">
        <v>12</v>
      </c>
      <c r="B12793" s="0" t="n">
        <v>3607466</v>
      </c>
      <c r="C12793" s="0" t="n">
        <v>3607486</v>
      </c>
      <c r="D12793" s="0" t="s">
        <v>42652</v>
      </c>
      <c r="E12793" s="0" t="s">
        <v>89</v>
      </c>
      <c r="F12793" s="0" t="s">
        <v>90</v>
      </c>
      <c r="G12793" s="0" t="s">
        <v>16</v>
      </c>
      <c r="H12793" s="0" t="n">
        <v>73</v>
      </c>
      <c r="I12793" s="0" t="s">
        <v>42659</v>
      </c>
      <c r="J12793" s="0" t="s">
        <v>42660</v>
      </c>
      <c r="K12793" s="0" t="s">
        <v>42661</v>
      </c>
      <c r="L12793" s="0" t="str">
        <f aca="false">HYPERLINK("https://www.ncbi.nlm.nih.gov/nuccore/CP000304.1?report=graph&amp;tracks=[key:gene_model_track,Options:GeneOnly]&amp;mk=3607518:3607537|offset_22|444444,3607494:3607513|offset_46|444444,3607467:3607486|offset_73|00cc00,3607445:3607464|offset_95|444444&amp;v=3607317:3607664&amp;c=444444", "offset 73")</f>
        <v>offset 73</v>
      </c>
    </row>
    <row r="12794" customFormat="false" ht="12.8" hidden="false" customHeight="false" outlineLevel="0" collapsed="false">
      <c r="A12794" s="0" t="s">
        <v>12</v>
      </c>
      <c r="B12794" s="0" t="n">
        <v>3607444</v>
      </c>
      <c r="C12794" s="0" t="n">
        <v>3607464</v>
      </c>
      <c r="D12794" s="0" t="s">
        <v>42652</v>
      </c>
      <c r="E12794" s="0" t="s">
        <v>89</v>
      </c>
      <c r="F12794" s="0" t="s">
        <v>90</v>
      </c>
      <c r="G12794" s="0" t="s">
        <v>16</v>
      </c>
      <c r="H12794" s="0" t="n">
        <v>95</v>
      </c>
      <c r="I12794" s="0" t="s">
        <v>42662</v>
      </c>
      <c r="J12794" s="0" t="s">
        <v>42663</v>
      </c>
      <c r="K12794" s="0" t="s">
        <v>42664</v>
      </c>
      <c r="L12794" s="0" t="str">
        <f aca="false">HYPERLINK("https://www.ncbi.nlm.nih.gov/nuccore/CP000304.1?report=graph&amp;tracks=[key:gene_model_track,Options:GeneOnly]&amp;mk=3607518:3607537|offset_22|444444,3607494:3607513|offset_46|444444,3607467:3607486|offset_73|444444,3607445:3607464|offset_95|00cc00&amp;v=3607317:3607664&amp;c=444444", "offset 95")</f>
        <v>offset 95</v>
      </c>
    </row>
    <row r="12795" customFormat="false" ht="12.8" hidden="false" customHeight="false" outlineLevel="0" collapsed="false">
      <c r="A12795" s="0" t="s">
        <v>12</v>
      </c>
      <c r="B12795" s="0" t="n">
        <v>3607941</v>
      </c>
      <c r="C12795" s="0" t="n">
        <v>3607961</v>
      </c>
      <c r="D12795" s="0" t="s">
        <v>42665</v>
      </c>
      <c r="E12795" s="0" t="s">
        <v>89</v>
      </c>
      <c r="F12795" s="0" t="s">
        <v>90</v>
      </c>
      <c r="G12795" s="0" t="s">
        <v>16</v>
      </c>
      <c r="H12795" s="0" t="n">
        <v>25</v>
      </c>
      <c r="I12795" s="0" t="s">
        <v>42666</v>
      </c>
      <c r="J12795" s="0" t="s">
        <v>42667</v>
      </c>
      <c r="K12795" s="0" t="s">
        <v>42668</v>
      </c>
      <c r="L12795" s="0" t="str">
        <f aca="false">HYPERLINK("https://www.ncbi.nlm.nih.gov/nuccore/CP000304.1?report=graph&amp;tracks=[key:gene_model_track,Options:GeneOnly]&amp;mk=3607942:3607961|offset_25|00cc00,3607888:3607907|offset_79|444444,3607868:3607887|offset_99|444444,3607840:3607859|offset_127|444444&amp;v=3607741:3608059&amp;c=444444", "offset 25")</f>
        <v>offset 25</v>
      </c>
    </row>
    <row r="12796" customFormat="false" ht="12.8" hidden="false" customHeight="false" outlineLevel="0" collapsed="false">
      <c r="A12796" s="0" t="s">
        <v>12</v>
      </c>
      <c r="B12796" s="0" t="n">
        <v>3607887</v>
      </c>
      <c r="C12796" s="0" t="n">
        <v>3607907</v>
      </c>
      <c r="D12796" s="0" t="s">
        <v>42665</v>
      </c>
      <c r="E12796" s="0" t="s">
        <v>89</v>
      </c>
      <c r="F12796" s="0" t="s">
        <v>90</v>
      </c>
      <c r="G12796" s="0" t="s">
        <v>32</v>
      </c>
      <c r="H12796" s="0" t="n">
        <v>79</v>
      </c>
      <c r="I12796" s="0" t="s">
        <v>42669</v>
      </c>
      <c r="J12796" s="0" t="s">
        <v>42670</v>
      </c>
      <c r="K12796" s="0" t="s">
        <v>42671</v>
      </c>
      <c r="L12796" s="0" t="str">
        <f aca="false">HYPERLINK("https://www.ncbi.nlm.nih.gov/nuccore/CP000304.1?report=graph&amp;tracks=[key:gene_model_track,Options:GeneOnly]&amp;mk=3607942:3607961|offset_25|444444,3607888:3607907|offset_79|00cc00,3607868:3607887|offset_99|444444,3607840:3607859|offset_127|444444&amp;v=3607741:3608059&amp;c=444444", "offset 79")</f>
        <v>offset 79</v>
      </c>
    </row>
    <row r="12797" customFormat="false" ht="12.8" hidden="false" customHeight="false" outlineLevel="0" collapsed="false">
      <c r="A12797" s="0" t="s">
        <v>12</v>
      </c>
      <c r="B12797" s="0" t="n">
        <v>3607867</v>
      </c>
      <c r="C12797" s="0" t="n">
        <v>3607887</v>
      </c>
      <c r="D12797" s="0" t="s">
        <v>42665</v>
      </c>
      <c r="E12797" s="0" t="s">
        <v>89</v>
      </c>
      <c r="F12797" s="0" t="s">
        <v>90</v>
      </c>
      <c r="G12797" s="0" t="s">
        <v>36</v>
      </c>
      <c r="H12797" s="0" t="n">
        <v>99</v>
      </c>
      <c r="I12797" s="0" t="s">
        <v>42672</v>
      </c>
      <c r="J12797" s="0" t="s">
        <v>42673</v>
      </c>
      <c r="K12797" s="0" t="s">
        <v>42674</v>
      </c>
      <c r="L12797" s="0" t="str">
        <f aca="false">HYPERLINK("https://www.ncbi.nlm.nih.gov/nuccore/CP000304.1?report=graph&amp;tracks=[key:gene_model_track,Options:GeneOnly]&amp;mk=3607942:3607961|offset_25|444444,3607888:3607907|offset_79|444444,3607868:3607887|offset_99|00cc00,3607840:3607859|offset_127|444444&amp;v=3607741:3608059&amp;c=444444", "offset 99")</f>
        <v>offset 99</v>
      </c>
    </row>
    <row r="12798" customFormat="false" ht="12.8" hidden="false" customHeight="false" outlineLevel="0" collapsed="false">
      <c r="A12798" s="0" t="s">
        <v>12</v>
      </c>
      <c r="B12798" s="0" t="n">
        <v>3607839</v>
      </c>
      <c r="C12798" s="0" t="n">
        <v>3607859</v>
      </c>
      <c r="D12798" s="0" t="s">
        <v>42665</v>
      </c>
      <c r="E12798" s="0" t="s">
        <v>89</v>
      </c>
      <c r="F12798" s="0" t="s">
        <v>90</v>
      </c>
      <c r="G12798" s="0" t="s">
        <v>32</v>
      </c>
      <c r="H12798" s="0" t="n">
        <v>127</v>
      </c>
      <c r="I12798" s="0" t="s">
        <v>42675</v>
      </c>
      <c r="J12798" s="0" t="s">
        <v>42676</v>
      </c>
      <c r="K12798" s="0" t="s">
        <v>42677</v>
      </c>
      <c r="L12798" s="0" t="str">
        <f aca="false">HYPERLINK("https://www.ncbi.nlm.nih.gov/nuccore/CP000304.1?report=graph&amp;tracks=[key:gene_model_track,Options:GeneOnly]&amp;mk=3607942:3607961|offset_25|444444,3607888:3607907|offset_79|444444,3607868:3607887|offset_99|444444,3607840:3607859|offset_127|00cc00&amp;v=3607741:3608059&amp;c=444444", "offset 127")</f>
        <v>offset 127</v>
      </c>
    </row>
    <row r="12799" customFormat="false" ht="12.8" hidden="false" customHeight="false" outlineLevel="0" collapsed="false">
      <c r="A12799" s="0" t="s">
        <v>12</v>
      </c>
      <c r="B12799" s="0" t="n">
        <v>3608192</v>
      </c>
      <c r="C12799" s="0" t="n">
        <v>3608212</v>
      </c>
      <c r="D12799" s="0" t="s">
        <v>42678</v>
      </c>
      <c r="E12799" s="0" t="s">
        <v>42679</v>
      </c>
      <c r="F12799" s="0" t="s">
        <v>15</v>
      </c>
      <c r="G12799" s="0" t="s">
        <v>26</v>
      </c>
      <c r="H12799" s="0" t="n">
        <v>0</v>
      </c>
      <c r="I12799" s="0" t="s">
        <v>42680</v>
      </c>
      <c r="J12799" s="0" t="s">
        <v>42681</v>
      </c>
      <c r="K12799" s="0" t="s">
        <v>42682</v>
      </c>
      <c r="L12799" s="0" t="str">
        <f aca="false">HYPERLINK("https://www.ncbi.nlm.nih.gov/nuccore/CP000304.1?report=graph&amp;tracks=[key:gene_model_track,Options:GeneOnly]&amp;mk=3608193:3608212|offset_0|00cc00,3608218:3608237|offset_25|444444,3608284:3608303|offset_91|444444,3608326:3608345|offset_133|444444&amp;v=3607992:3608545&amp;c=444444", "offset 0")</f>
        <v>offset 0</v>
      </c>
    </row>
    <row r="12800" customFormat="false" ht="12.8" hidden="false" customHeight="false" outlineLevel="0" collapsed="false">
      <c r="A12800" s="0" t="s">
        <v>12</v>
      </c>
      <c r="B12800" s="0" t="n">
        <v>3608217</v>
      </c>
      <c r="C12800" s="0" t="n">
        <v>3608237</v>
      </c>
      <c r="D12800" s="0" t="s">
        <v>42678</v>
      </c>
      <c r="E12800" s="0" t="s">
        <v>42679</v>
      </c>
      <c r="F12800" s="0" t="s">
        <v>15</v>
      </c>
      <c r="G12800" s="0" t="s">
        <v>36</v>
      </c>
      <c r="H12800" s="0" t="n">
        <v>25</v>
      </c>
      <c r="I12800" s="0" t="s">
        <v>42683</v>
      </c>
      <c r="J12800" s="0" t="s">
        <v>42684</v>
      </c>
      <c r="K12800" s="0" t="s">
        <v>42685</v>
      </c>
      <c r="L12800" s="0" t="str">
        <f aca="false">HYPERLINK("https://www.ncbi.nlm.nih.gov/nuccore/CP000304.1?report=graph&amp;tracks=[key:gene_model_track,Options:GeneOnly]&amp;mk=3608193:3608212|offset_0|444444,3608218:3608237|offset_25|00cc00,3608284:3608303|offset_91|444444,3608326:3608345|offset_133|444444&amp;v=3607992:3608545&amp;c=444444", "offset 25")</f>
        <v>offset 25</v>
      </c>
    </row>
    <row r="12801" customFormat="false" ht="12.8" hidden="false" customHeight="false" outlineLevel="0" collapsed="false">
      <c r="A12801" s="0" t="s">
        <v>12</v>
      </c>
      <c r="B12801" s="0" t="n">
        <v>3608283</v>
      </c>
      <c r="C12801" s="0" t="n">
        <v>3608303</v>
      </c>
      <c r="D12801" s="0" t="s">
        <v>42678</v>
      </c>
      <c r="E12801" s="0" t="s">
        <v>42679</v>
      </c>
      <c r="F12801" s="0" t="s">
        <v>15</v>
      </c>
      <c r="G12801" s="0" t="s">
        <v>16</v>
      </c>
      <c r="H12801" s="0" t="n">
        <v>91</v>
      </c>
      <c r="I12801" s="0" t="s">
        <v>42686</v>
      </c>
      <c r="J12801" s="0" t="s">
        <v>42687</v>
      </c>
      <c r="K12801" s="0" t="s">
        <v>42688</v>
      </c>
      <c r="L12801" s="0" t="str">
        <f aca="false">HYPERLINK("https://www.ncbi.nlm.nih.gov/nuccore/CP000304.1?report=graph&amp;tracks=[key:gene_model_track,Options:GeneOnly]&amp;mk=3608193:3608212|offset_0|444444,3608218:3608237|offset_25|444444,3608284:3608303|offset_91|00cc00,3608326:3608345|offset_133|444444&amp;v=3607992:3608545&amp;c=444444", "offset 91")</f>
        <v>offset 91</v>
      </c>
    </row>
    <row r="12802" customFormat="false" ht="12.8" hidden="false" customHeight="false" outlineLevel="0" collapsed="false">
      <c r="A12802" s="0" t="s">
        <v>12</v>
      </c>
      <c r="B12802" s="0" t="n">
        <v>3608325</v>
      </c>
      <c r="C12802" s="0" t="n">
        <v>3608345</v>
      </c>
      <c r="D12802" s="0" t="s">
        <v>42678</v>
      </c>
      <c r="E12802" s="0" t="s">
        <v>42679</v>
      </c>
      <c r="F12802" s="0" t="s">
        <v>15</v>
      </c>
      <c r="G12802" s="0" t="s">
        <v>16</v>
      </c>
      <c r="H12802" s="0" t="n">
        <v>133</v>
      </c>
      <c r="I12802" s="0" t="s">
        <v>42689</v>
      </c>
      <c r="J12802" s="0" t="s">
        <v>42690</v>
      </c>
      <c r="K12802" s="0" t="s">
        <v>42691</v>
      </c>
      <c r="L12802" s="0" t="str">
        <f aca="false">HYPERLINK("https://www.ncbi.nlm.nih.gov/nuccore/CP000304.1?report=graph&amp;tracks=[key:gene_model_track,Options:GeneOnly]&amp;mk=3608193:3608212|offset_0|444444,3608218:3608237|offset_25|444444,3608284:3608303|offset_91|444444,3608326:3608345|offset_133|00cc00&amp;v=3607992:3608545&amp;c=444444", "offset 133")</f>
        <v>offset 133</v>
      </c>
    </row>
    <row r="12803" customFormat="false" ht="12.8" hidden="false" customHeight="false" outlineLevel="0" collapsed="false">
      <c r="A12803" s="0" t="s">
        <v>12</v>
      </c>
      <c r="B12803" s="0" t="n">
        <v>3609462</v>
      </c>
      <c r="C12803" s="0" t="n">
        <v>3609482</v>
      </c>
      <c r="D12803" s="0" t="s">
        <v>42692</v>
      </c>
      <c r="E12803" s="0" t="s">
        <v>89</v>
      </c>
      <c r="F12803" s="0" t="s">
        <v>90</v>
      </c>
      <c r="G12803" s="0" t="s">
        <v>16</v>
      </c>
      <c r="H12803" s="0" t="n">
        <v>37</v>
      </c>
      <c r="I12803" s="0" t="s">
        <v>42693</v>
      </c>
      <c r="J12803" s="0" t="s">
        <v>42694</v>
      </c>
      <c r="K12803" s="0" t="s">
        <v>42695</v>
      </c>
      <c r="L12803" s="0" t="str">
        <f aca="false">HYPERLINK("https://www.ncbi.nlm.nih.gov/nuccore/CP000304.1?report=graph&amp;tracks=[key:gene_model_track,Options:GeneOnly]&amp;mk=3609463:3609482|offset_37|00cc00,3609436:3609455|offset_64|444444,3609409:3609428|offset_91|444444,3609376:3609395|offset_124|444444&amp;v=3609262:3609595&amp;c=444444", "offset 37")</f>
        <v>offset 37</v>
      </c>
    </row>
    <row r="12804" customFormat="false" ht="12.8" hidden="false" customHeight="false" outlineLevel="0" collapsed="false">
      <c r="A12804" s="0" t="s">
        <v>12</v>
      </c>
      <c r="B12804" s="0" t="n">
        <v>3609435</v>
      </c>
      <c r="C12804" s="0" t="n">
        <v>3609455</v>
      </c>
      <c r="D12804" s="0" t="s">
        <v>42692</v>
      </c>
      <c r="E12804" s="0" t="s">
        <v>89</v>
      </c>
      <c r="F12804" s="0" t="s">
        <v>90</v>
      </c>
      <c r="G12804" s="0" t="s">
        <v>32</v>
      </c>
      <c r="H12804" s="0" t="n">
        <v>64</v>
      </c>
      <c r="I12804" s="0" t="s">
        <v>42696</v>
      </c>
      <c r="J12804" s="0" t="s">
        <v>42697</v>
      </c>
      <c r="K12804" s="0" t="s">
        <v>42698</v>
      </c>
      <c r="L12804" s="0" t="str">
        <f aca="false">HYPERLINK("https://www.ncbi.nlm.nih.gov/nuccore/CP000304.1?report=graph&amp;tracks=[key:gene_model_track,Options:GeneOnly]&amp;mk=3609463:3609482|offset_37|444444,3609436:3609455|offset_64|00cc00,3609409:3609428|offset_91|444444,3609376:3609395|offset_124|444444&amp;v=3609262:3609595&amp;c=444444", "offset 64")</f>
        <v>offset 64</v>
      </c>
    </row>
    <row r="12805" customFormat="false" ht="12.8" hidden="false" customHeight="false" outlineLevel="0" collapsed="false">
      <c r="A12805" s="0" t="s">
        <v>12</v>
      </c>
      <c r="B12805" s="0" t="n">
        <v>3609408</v>
      </c>
      <c r="C12805" s="0" t="n">
        <v>3609428</v>
      </c>
      <c r="D12805" s="0" t="s">
        <v>42692</v>
      </c>
      <c r="E12805" s="0" t="s">
        <v>89</v>
      </c>
      <c r="F12805" s="0" t="s">
        <v>90</v>
      </c>
      <c r="G12805" s="0" t="s">
        <v>16</v>
      </c>
      <c r="H12805" s="0" t="n">
        <v>91</v>
      </c>
      <c r="I12805" s="0" t="s">
        <v>42699</v>
      </c>
      <c r="J12805" s="0" t="s">
        <v>42700</v>
      </c>
      <c r="K12805" s="0" t="s">
        <v>42701</v>
      </c>
      <c r="L12805" s="0" t="str">
        <f aca="false">HYPERLINK("https://www.ncbi.nlm.nih.gov/nuccore/CP000304.1?report=graph&amp;tracks=[key:gene_model_track,Options:GeneOnly]&amp;mk=3609463:3609482|offset_37|444444,3609436:3609455|offset_64|444444,3609409:3609428|offset_91|00cc00,3609376:3609395|offset_124|444444&amp;v=3609262:3609595&amp;c=444444", "offset 91")</f>
        <v>offset 91</v>
      </c>
    </row>
    <row r="12806" customFormat="false" ht="12.8" hidden="false" customHeight="false" outlineLevel="0" collapsed="false">
      <c r="A12806" s="0" t="s">
        <v>12</v>
      </c>
      <c r="B12806" s="0" t="n">
        <v>3609375</v>
      </c>
      <c r="C12806" s="0" t="n">
        <v>3609395</v>
      </c>
      <c r="D12806" s="0" t="s">
        <v>42692</v>
      </c>
      <c r="E12806" s="0" t="s">
        <v>89</v>
      </c>
      <c r="F12806" s="0" t="s">
        <v>90</v>
      </c>
      <c r="G12806" s="0" t="s">
        <v>16</v>
      </c>
      <c r="H12806" s="0" t="n">
        <v>124</v>
      </c>
      <c r="I12806" s="0" t="s">
        <v>42702</v>
      </c>
      <c r="J12806" s="0" t="s">
        <v>42703</v>
      </c>
      <c r="K12806" s="0" t="s">
        <v>42704</v>
      </c>
      <c r="L12806" s="0" t="str">
        <f aca="false">HYPERLINK("https://www.ncbi.nlm.nih.gov/nuccore/CP000304.1?report=graph&amp;tracks=[key:gene_model_track,Options:GeneOnly]&amp;mk=3609463:3609482|offset_37|444444,3609436:3609455|offset_64|444444,3609409:3609428|offset_91|444444,3609376:3609395|offset_124|00cc00&amp;v=3609262:3609595&amp;c=444444", "offset 124")</f>
        <v>offset 124</v>
      </c>
    </row>
    <row r="12807" customFormat="false" ht="12.8" hidden="false" customHeight="false" outlineLevel="0" collapsed="false">
      <c r="A12807" s="0" t="s">
        <v>12</v>
      </c>
      <c r="B12807" s="0" t="n">
        <v>3609795</v>
      </c>
      <c r="C12807" s="0" t="n">
        <v>3609815</v>
      </c>
      <c r="D12807" s="0" t="s">
        <v>42705</v>
      </c>
      <c r="E12807" s="0" t="s">
        <v>89</v>
      </c>
      <c r="F12807" s="0" t="s">
        <v>15</v>
      </c>
      <c r="G12807" s="0" t="s">
        <v>32</v>
      </c>
      <c r="H12807" s="0" t="n">
        <v>7</v>
      </c>
      <c r="I12807" s="0" t="s">
        <v>42706</v>
      </c>
      <c r="J12807" s="0" t="s">
        <v>42707</v>
      </c>
      <c r="K12807" s="0" t="s">
        <v>42708</v>
      </c>
      <c r="L12807" s="0" t="str">
        <f aca="false">HYPERLINK("https://www.ncbi.nlm.nih.gov/nuccore/CP000304.1?report=graph&amp;tracks=[key:gene_model_track,Options:GeneOnly]&amp;mk=3609796:3609815|offset_7|00cc00,3609828:3609847|offset_39|444444,3609870:3609889|offset_81|444444,3609899:3609918|offset_110|444444&amp;v=3609595:3610118&amp;c=444444", "offset 7")</f>
        <v>offset 7</v>
      </c>
    </row>
    <row r="12808" customFormat="false" ht="12.8" hidden="false" customHeight="false" outlineLevel="0" collapsed="false">
      <c r="A12808" s="0" t="s">
        <v>12</v>
      </c>
      <c r="B12808" s="0" t="n">
        <v>3609827</v>
      </c>
      <c r="C12808" s="0" t="n">
        <v>3609847</v>
      </c>
      <c r="D12808" s="0" t="s">
        <v>42705</v>
      </c>
      <c r="E12808" s="0" t="s">
        <v>89</v>
      </c>
      <c r="F12808" s="0" t="s">
        <v>15</v>
      </c>
      <c r="G12808" s="0" t="s">
        <v>36</v>
      </c>
      <c r="H12808" s="0" t="n">
        <v>39</v>
      </c>
      <c r="I12808" s="0" t="s">
        <v>42709</v>
      </c>
      <c r="J12808" s="0" t="s">
        <v>42710</v>
      </c>
      <c r="K12808" s="0" t="s">
        <v>42711</v>
      </c>
      <c r="L12808" s="0" t="str">
        <f aca="false">HYPERLINK("https://www.ncbi.nlm.nih.gov/nuccore/CP000304.1?report=graph&amp;tracks=[key:gene_model_track,Options:GeneOnly]&amp;mk=3609796:3609815|offset_7|444444,3609828:3609847|offset_39|00cc00,3609870:3609889|offset_81|444444,3609899:3609918|offset_110|444444&amp;v=3609595:3610118&amp;c=444444", "offset 39")</f>
        <v>offset 39</v>
      </c>
    </row>
    <row r="12809" customFormat="false" ht="12.8" hidden="false" customHeight="false" outlineLevel="0" collapsed="false">
      <c r="A12809" s="0" t="s">
        <v>12</v>
      </c>
      <c r="B12809" s="0" t="n">
        <v>3609869</v>
      </c>
      <c r="C12809" s="0" t="n">
        <v>3609889</v>
      </c>
      <c r="D12809" s="0" t="s">
        <v>42705</v>
      </c>
      <c r="E12809" s="0" t="s">
        <v>89</v>
      </c>
      <c r="F12809" s="0" t="s">
        <v>15</v>
      </c>
      <c r="G12809" s="0" t="s">
        <v>36</v>
      </c>
      <c r="H12809" s="0" t="n">
        <v>81</v>
      </c>
      <c r="I12809" s="0" t="s">
        <v>42712</v>
      </c>
      <c r="J12809" s="0" t="s">
        <v>42713</v>
      </c>
      <c r="K12809" s="0" t="s">
        <v>42714</v>
      </c>
      <c r="L12809" s="0" t="str">
        <f aca="false">HYPERLINK("https://www.ncbi.nlm.nih.gov/nuccore/CP000304.1?report=graph&amp;tracks=[key:gene_model_track,Options:GeneOnly]&amp;mk=3609796:3609815|offset_7|444444,3609828:3609847|offset_39|444444,3609870:3609889|offset_81|00cc00,3609899:3609918|offset_110|444444&amp;v=3609595:3610118&amp;c=444444", "offset 81")</f>
        <v>offset 81</v>
      </c>
    </row>
    <row r="12810" customFormat="false" ht="12.8" hidden="false" customHeight="false" outlineLevel="0" collapsed="false">
      <c r="A12810" s="0" t="s">
        <v>12</v>
      </c>
      <c r="B12810" s="0" t="n">
        <v>3609898</v>
      </c>
      <c r="C12810" s="0" t="n">
        <v>3609918</v>
      </c>
      <c r="D12810" s="0" t="s">
        <v>42705</v>
      </c>
      <c r="E12810" s="0" t="s">
        <v>89</v>
      </c>
      <c r="F12810" s="0" t="s">
        <v>15</v>
      </c>
      <c r="G12810" s="0" t="s">
        <v>26</v>
      </c>
      <c r="H12810" s="0" t="n">
        <v>110</v>
      </c>
      <c r="I12810" s="0" t="s">
        <v>42715</v>
      </c>
      <c r="J12810" s="0" t="s">
        <v>42716</v>
      </c>
      <c r="K12810" s="0" t="s">
        <v>42717</v>
      </c>
      <c r="L12810" s="0" t="str">
        <f aca="false">HYPERLINK("https://www.ncbi.nlm.nih.gov/nuccore/CP000304.1?report=graph&amp;tracks=[key:gene_model_track,Options:GeneOnly]&amp;mk=3609796:3609815|offset_7|444444,3609828:3609847|offset_39|444444,3609870:3609889|offset_81|444444,3609899:3609918|offset_110|00cc00&amp;v=3609595:3610118&amp;c=444444", "offset 110")</f>
        <v>offset 110</v>
      </c>
    </row>
    <row r="12811" customFormat="false" ht="12.8" hidden="false" customHeight="false" outlineLevel="0" collapsed="false">
      <c r="A12811" s="0" t="s">
        <v>12</v>
      </c>
      <c r="B12811" s="0" t="n">
        <v>3611737</v>
      </c>
      <c r="C12811" s="0" t="n">
        <v>3611757</v>
      </c>
      <c r="D12811" s="0" t="s">
        <v>42718</v>
      </c>
      <c r="E12811" s="0" t="s">
        <v>89</v>
      </c>
      <c r="F12811" s="0" t="s">
        <v>15</v>
      </c>
      <c r="G12811" s="0" t="s">
        <v>16</v>
      </c>
      <c r="H12811" s="0" t="n">
        <v>0</v>
      </c>
      <c r="I12811" s="0" t="s">
        <v>42719</v>
      </c>
      <c r="J12811" s="0" t="s">
        <v>42720</v>
      </c>
      <c r="K12811" s="0" t="s">
        <v>42721</v>
      </c>
      <c r="L12811" s="0" t="str">
        <f aca="false">HYPERLINK("https://www.ncbi.nlm.nih.gov/nuccore/CP000304.1?report=graph&amp;tracks=[key:gene_model_track,Options:GeneOnly]&amp;mk=3611738:3611757|offset_0|00cc00,3611763:3611782|offset_25|444444,3611789:3611808|offset_51|444444,3611816:3611835|offset_78|444444&amp;v=3611537:3612035&amp;c=444444", "offset 0")</f>
        <v>offset 0</v>
      </c>
    </row>
    <row r="12812" customFormat="false" ht="12.8" hidden="false" customHeight="false" outlineLevel="0" collapsed="false">
      <c r="A12812" s="0" t="s">
        <v>12</v>
      </c>
      <c r="B12812" s="0" t="n">
        <v>3611762</v>
      </c>
      <c r="C12812" s="0" t="n">
        <v>3611782</v>
      </c>
      <c r="D12812" s="0" t="s">
        <v>42718</v>
      </c>
      <c r="E12812" s="0" t="s">
        <v>89</v>
      </c>
      <c r="F12812" s="0" t="s">
        <v>15</v>
      </c>
      <c r="G12812" s="0" t="s">
        <v>16</v>
      </c>
      <c r="H12812" s="0" t="n">
        <v>25</v>
      </c>
      <c r="I12812" s="0" t="s">
        <v>42722</v>
      </c>
      <c r="J12812" s="0" t="s">
        <v>42723</v>
      </c>
      <c r="K12812" s="0" t="s">
        <v>42724</v>
      </c>
      <c r="L12812" s="0" t="str">
        <f aca="false">HYPERLINK("https://www.ncbi.nlm.nih.gov/nuccore/CP000304.1?report=graph&amp;tracks=[key:gene_model_track,Options:GeneOnly]&amp;mk=3611738:3611757|offset_0|444444,3611763:3611782|offset_25|00cc00,3611789:3611808|offset_51|444444,3611816:3611835|offset_78|444444&amp;v=3611537:3612035&amp;c=444444", "offset 25")</f>
        <v>offset 25</v>
      </c>
    </row>
    <row r="12813" customFormat="false" ht="12.8" hidden="false" customHeight="false" outlineLevel="0" collapsed="false">
      <c r="A12813" s="0" t="s">
        <v>12</v>
      </c>
      <c r="B12813" s="0" t="n">
        <v>3611788</v>
      </c>
      <c r="C12813" s="0" t="n">
        <v>3611808</v>
      </c>
      <c r="D12813" s="0" t="s">
        <v>42718</v>
      </c>
      <c r="E12813" s="0" t="s">
        <v>89</v>
      </c>
      <c r="F12813" s="0" t="s">
        <v>15</v>
      </c>
      <c r="G12813" s="0" t="s">
        <v>16</v>
      </c>
      <c r="H12813" s="0" t="n">
        <v>51</v>
      </c>
      <c r="I12813" s="0" t="s">
        <v>42725</v>
      </c>
      <c r="J12813" s="0" t="s">
        <v>42726</v>
      </c>
      <c r="K12813" s="0" t="s">
        <v>42727</v>
      </c>
      <c r="L12813" s="0" t="str">
        <f aca="false">HYPERLINK("https://www.ncbi.nlm.nih.gov/nuccore/CP000304.1?report=graph&amp;tracks=[key:gene_model_track,Options:GeneOnly]&amp;mk=3611738:3611757|offset_0|444444,3611763:3611782|offset_25|444444,3611789:3611808|offset_51|00cc00,3611816:3611835|offset_78|444444&amp;v=3611537:3612035&amp;c=444444", "offset 51")</f>
        <v>offset 51</v>
      </c>
    </row>
    <row r="12814" customFormat="false" ht="12.8" hidden="false" customHeight="false" outlineLevel="0" collapsed="false">
      <c r="A12814" s="0" t="s">
        <v>12</v>
      </c>
      <c r="B12814" s="0" t="n">
        <v>3611815</v>
      </c>
      <c r="C12814" s="0" t="n">
        <v>3611835</v>
      </c>
      <c r="D12814" s="0" t="s">
        <v>42718</v>
      </c>
      <c r="E12814" s="0" t="s">
        <v>89</v>
      </c>
      <c r="F12814" s="0" t="s">
        <v>15</v>
      </c>
      <c r="G12814" s="0" t="s">
        <v>32</v>
      </c>
      <c r="H12814" s="0" t="n">
        <v>78</v>
      </c>
      <c r="I12814" s="0" t="s">
        <v>42728</v>
      </c>
      <c r="J12814" s="0" t="s">
        <v>42729</v>
      </c>
      <c r="K12814" s="0" t="s">
        <v>42730</v>
      </c>
      <c r="L12814" s="0" t="str">
        <f aca="false">HYPERLINK("https://www.ncbi.nlm.nih.gov/nuccore/CP000304.1?report=graph&amp;tracks=[key:gene_model_track,Options:GeneOnly]&amp;mk=3611738:3611757|offset_0|444444,3611763:3611782|offset_25|444444,3611789:3611808|offset_51|444444,3611816:3611835|offset_78|00cc00&amp;v=3611537:3612035&amp;c=444444", "offset 78")</f>
        <v>offset 78</v>
      </c>
    </row>
    <row r="12815" customFormat="false" ht="12.8" hidden="false" customHeight="false" outlineLevel="0" collapsed="false">
      <c r="A12815" s="0" t="s">
        <v>12</v>
      </c>
      <c r="B12815" s="0" t="n">
        <v>3612565</v>
      </c>
      <c r="C12815" s="0" t="n">
        <v>3612585</v>
      </c>
      <c r="D12815" s="0" t="s">
        <v>42731</v>
      </c>
      <c r="E12815" s="0" t="s">
        <v>89</v>
      </c>
      <c r="F12815" s="0" t="s">
        <v>15</v>
      </c>
      <c r="G12815" s="0" t="s">
        <v>16</v>
      </c>
      <c r="H12815" s="0" t="n">
        <v>10</v>
      </c>
      <c r="I12815" s="0" t="s">
        <v>42732</v>
      </c>
      <c r="J12815" s="0" t="s">
        <v>42733</v>
      </c>
      <c r="K12815" s="0" t="s">
        <v>42734</v>
      </c>
      <c r="L12815" s="0" t="str">
        <f aca="false">HYPERLINK("https://www.ncbi.nlm.nih.gov/nuccore/CP000304.1?report=graph&amp;tracks=[key:gene_model_track,Options:GeneOnly]&amp;mk=3612566:3612585|offset_10|00cc00,3612588:3612607|offset_32|444444,3612609:3612628|offset_53|444444,3612629:3612648|offset_73|444444&amp;v=3612365:3612848&amp;c=444444", "offset 10")</f>
        <v>offset 10</v>
      </c>
    </row>
    <row r="12816" customFormat="false" ht="12.8" hidden="false" customHeight="false" outlineLevel="0" collapsed="false">
      <c r="A12816" s="0" t="s">
        <v>12</v>
      </c>
      <c r="B12816" s="0" t="n">
        <v>3612587</v>
      </c>
      <c r="C12816" s="0" t="n">
        <v>3612607</v>
      </c>
      <c r="D12816" s="0" t="s">
        <v>42731</v>
      </c>
      <c r="E12816" s="0" t="s">
        <v>89</v>
      </c>
      <c r="F12816" s="0" t="s">
        <v>15</v>
      </c>
      <c r="G12816" s="0" t="s">
        <v>32</v>
      </c>
      <c r="H12816" s="0" t="n">
        <v>32</v>
      </c>
      <c r="I12816" s="0" t="s">
        <v>42735</v>
      </c>
      <c r="J12816" s="0" t="s">
        <v>42736</v>
      </c>
      <c r="K12816" s="0" t="s">
        <v>42737</v>
      </c>
      <c r="L12816" s="0" t="str">
        <f aca="false">HYPERLINK("https://www.ncbi.nlm.nih.gov/nuccore/CP000304.1?report=graph&amp;tracks=[key:gene_model_track,Options:GeneOnly]&amp;mk=3612566:3612585|offset_10|444444,3612588:3612607|offset_32|00cc00,3612609:3612628|offset_53|444444,3612629:3612648|offset_73|444444&amp;v=3612365:3612848&amp;c=444444", "offset 32")</f>
        <v>offset 32</v>
      </c>
    </row>
    <row r="12817" customFormat="false" ht="12.8" hidden="false" customHeight="false" outlineLevel="0" collapsed="false">
      <c r="A12817" s="0" t="s">
        <v>12</v>
      </c>
      <c r="B12817" s="0" t="n">
        <v>3612608</v>
      </c>
      <c r="C12817" s="0" t="n">
        <v>3612628</v>
      </c>
      <c r="D12817" s="0" t="s">
        <v>42731</v>
      </c>
      <c r="E12817" s="0" t="s">
        <v>89</v>
      </c>
      <c r="F12817" s="0" t="s">
        <v>15</v>
      </c>
      <c r="G12817" s="0" t="s">
        <v>36</v>
      </c>
      <c r="H12817" s="0" t="n">
        <v>53</v>
      </c>
      <c r="I12817" s="0" t="s">
        <v>42738</v>
      </c>
      <c r="J12817" s="0" t="s">
        <v>42739</v>
      </c>
      <c r="K12817" s="0" t="s">
        <v>42740</v>
      </c>
      <c r="L12817" s="0" t="str">
        <f aca="false">HYPERLINK("https://www.ncbi.nlm.nih.gov/nuccore/CP000304.1?report=graph&amp;tracks=[key:gene_model_track,Options:GeneOnly]&amp;mk=3612566:3612585|offset_10|444444,3612588:3612607|offset_32|444444,3612609:3612628|offset_53|00cc00,3612629:3612648|offset_73|444444&amp;v=3612365:3612848&amp;c=444444", "offset 53")</f>
        <v>offset 53</v>
      </c>
    </row>
    <row r="12818" customFormat="false" ht="12.8" hidden="false" customHeight="false" outlineLevel="0" collapsed="false">
      <c r="A12818" s="0" t="s">
        <v>12</v>
      </c>
      <c r="B12818" s="0" t="n">
        <v>3612628</v>
      </c>
      <c r="C12818" s="0" t="n">
        <v>3612648</v>
      </c>
      <c r="D12818" s="0" t="s">
        <v>42731</v>
      </c>
      <c r="E12818" s="0" t="s">
        <v>89</v>
      </c>
      <c r="F12818" s="0" t="s">
        <v>15</v>
      </c>
      <c r="G12818" s="0" t="s">
        <v>36</v>
      </c>
      <c r="H12818" s="0" t="n">
        <v>73</v>
      </c>
      <c r="I12818" s="0" t="s">
        <v>42741</v>
      </c>
      <c r="J12818" s="0" t="s">
        <v>42742</v>
      </c>
      <c r="K12818" s="0" t="s">
        <v>42743</v>
      </c>
      <c r="L12818" s="0" t="str">
        <f aca="false">HYPERLINK("https://www.ncbi.nlm.nih.gov/nuccore/CP000304.1?report=graph&amp;tracks=[key:gene_model_track,Options:GeneOnly]&amp;mk=3612566:3612585|offset_10|444444,3612588:3612607|offset_32|444444,3612609:3612628|offset_53|444444,3612629:3612648|offset_73|00cc00&amp;v=3612365:3612848&amp;c=444444", "offset 73")</f>
        <v>offset 73</v>
      </c>
    </row>
    <row r="12819" customFormat="false" ht="12.8" hidden="false" customHeight="false" outlineLevel="0" collapsed="false">
      <c r="A12819" s="0" t="s">
        <v>12</v>
      </c>
      <c r="B12819" s="0" t="n">
        <v>3614022</v>
      </c>
      <c r="C12819" s="0" t="n">
        <v>3614042</v>
      </c>
      <c r="D12819" s="0" t="s">
        <v>42744</v>
      </c>
      <c r="E12819" s="0" t="s">
        <v>89</v>
      </c>
      <c r="F12819" s="0" t="s">
        <v>15</v>
      </c>
      <c r="G12819" s="0" t="s">
        <v>32</v>
      </c>
      <c r="H12819" s="0" t="n">
        <v>10</v>
      </c>
      <c r="I12819" s="0" t="s">
        <v>42745</v>
      </c>
      <c r="J12819" s="0" t="s">
        <v>42746</v>
      </c>
      <c r="K12819" s="0" t="s">
        <v>42747</v>
      </c>
      <c r="L12819" s="0" t="str">
        <f aca="false">HYPERLINK("https://www.ncbi.nlm.nih.gov/nuccore/CP000304.1?report=graph&amp;tracks=[key:gene_model_track,Options:GeneOnly]&amp;mk=3614023:3614042|offset_10|00cc00,3614057:3614076|offset_44|444444,3614107:3614126|offset_94|444444,3614127:3614146|offset_114|444444&amp;v=3613822:3614346&amp;c=444444", "offset 10")</f>
        <v>offset 10</v>
      </c>
    </row>
    <row r="12820" customFormat="false" ht="12.8" hidden="false" customHeight="false" outlineLevel="0" collapsed="false">
      <c r="A12820" s="0" t="s">
        <v>12</v>
      </c>
      <c r="B12820" s="0" t="n">
        <v>3614056</v>
      </c>
      <c r="C12820" s="0" t="n">
        <v>3614076</v>
      </c>
      <c r="D12820" s="0" t="s">
        <v>42744</v>
      </c>
      <c r="E12820" s="0" t="s">
        <v>89</v>
      </c>
      <c r="F12820" s="0" t="s">
        <v>15</v>
      </c>
      <c r="G12820" s="0" t="s">
        <v>26</v>
      </c>
      <c r="H12820" s="0" t="n">
        <v>44</v>
      </c>
      <c r="I12820" s="0" t="s">
        <v>42748</v>
      </c>
      <c r="J12820" s="0" t="s">
        <v>42749</v>
      </c>
      <c r="K12820" s="0" t="s">
        <v>42750</v>
      </c>
      <c r="L12820" s="0" t="str">
        <f aca="false">HYPERLINK("https://www.ncbi.nlm.nih.gov/nuccore/CP000304.1?report=graph&amp;tracks=[key:gene_model_track,Options:GeneOnly]&amp;mk=3614023:3614042|offset_10|444444,3614057:3614076|offset_44|00cc00,3614107:3614126|offset_94|444444,3614127:3614146|offset_114|444444&amp;v=3613822:3614346&amp;c=444444", "offset 44")</f>
        <v>offset 44</v>
      </c>
    </row>
    <row r="12821" customFormat="false" ht="12.8" hidden="false" customHeight="false" outlineLevel="0" collapsed="false">
      <c r="A12821" s="0" t="s">
        <v>12</v>
      </c>
      <c r="B12821" s="0" t="n">
        <v>3614106</v>
      </c>
      <c r="C12821" s="0" t="n">
        <v>3614126</v>
      </c>
      <c r="D12821" s="0" t="s">
        <v>42744</v>
      </c>
      <c r="E12821" s="0" t="s">
        <v>89</v>
      </c>
      <c r="F12821" s="0" t="s">
        <v>15</v>
      </c>
      <c r="G12821" s="0" t="s">
        <v>36</v>
      </c>
      <c r="H12821" s="0" t="n">
        <v>94</v>
      </c>
      <c r="I12821" s="0" t="s">
        <v>42751</v>
      </c>
      <c r="J12821" s="0" t="s">
        <v>42752</v>
      </c>
      <c r="K12821" s="0" t="s">
        <v>42753</v>
      </c>
      <c r="L12821" s="0" t="str">
        <f aca="false">HYPERLINK("https://www.ncbi.nlm.nih.gov/nuccore/CP000304.1?report=graph&amp;tracks=[key:gene_model_track,Options:GeneOnly]&amp;mk=3614023:3614042|offset_10|444444,3614057:3614076|offset_44|444444,3614107:3614126|offset_94|00cc00,3614127:3614146|offset_114|444444&amp;v=3613822:3614346&amp;c=444444", "offset 94")</f>
        <v>offset 94</v>
      </c>
    </row>
    <row r="12822" customFormat="false" ht="12.8" hidden="false" customHeight="false" outlineLevel="0" collapsed="false">
      <c r="A12822" s="0" t="s">
        <v>12</v>
      </c>
      <c r="B12822" s="0" t="n">
        <v>3614126</v>
      </c>
      <c r="C12822" s="0" t="n">
        <v>3614146</v>
      </c>
      <c r="D12822" s="0" t="s">
        <v>42744</v>
      </c>
      <c r="E12822" s="0" t="s">
        <v>89</v>
      </c>
      <c r="F12822" s="0" t="s">
        <v>15</v>
      </c>
      <c r="G12822" s="0" t="s">
        <v>16</v>
      </c>
      <c r="H12822" s="0" t="n">
        <v>114</v>
      </c>
      <c r="I12822" s="0" t="s">
        <v>42754</v>
      </c>
      <c r="J12822" s="0" t="s">
        <v>42755</v>
      </c>
      <c r="K12822" s="0" t="s">
        <v>42756</v>
      </c>
      <c r="L12822" s="0" t="str">
        <f aca="false">HYPERLINK("https://www.ncbi.nlm.nih.gov/nuccore/CP000304.1?report=graph&amp;tracks=[key:gene_model_track,Options:GeneOnly]&amp;mk=3614023:3614042|offset_10|444444,3614057:3614076|offset_44|444444,3614107:3614126|offset_94|444444,3614127:3614146|offset_114|00cc00&amp;v=3613822:3614346&amp;c=444444", "offset 114")</f>
        <v>offset 114</v>
      </c>
    </row>
    <row r="12823" customFormat="false" ht="12.8" hidden="false" customHeight="false" outlineLevel="0" collapsed="false">
      <c r="A12823" s="0" t="s">
        <v>12</v>
      </c>
      <c r="B12823" s="0" t="n">
        <v>3614693</v>
      </c>
      <c r="C12823" s="0" t="n">
        <v>3614713</v>
      </c>
      <c r="D12823" s="0" t="s">
        <v>42757</v>
      </c>
      <c r="E12823" s="0" t="s">
        <v>89</v>
      </c>
      <c r="F12823" s="0" t="s">
        <v>15</v>
      </c>
      <c r="G12823" s="0" t="s">
        <v>16</v>
      </c>
      <c r="H12823" s="0" t="n">
        <v>13</v>
      </c>
      <c r="I12823" s="0" t="s">
        <v>42758</v>
      </c>
      <c r="J12823" s="0" t="s">
        <v>42759</v>
      </c>
      <c r="K12823" s="0" t="s">
        <v>42760</v>
      </c>
      <c r="L12823" s="0" t="str">
        <f aca="false">HYPERLINK("https://www.ncbi.nlm.nih.gov/nuccore/CP000304.1?report=graph&amp;tracks=[key:gene_model_track,Options:GeneOnly]&amp;mk=3614694:3614713|offset_13|00cc00,3614714:3614733|offset_33|444444,3614734:3614753|offset_53|444444,3614755:3614774|offset_74|444444&amp;v=3614493:3614974&amp;c=444444", "offset 13")</f>
        <v>offset 13</v>
      </c>
    </row>
    <row r="12824" customFormat="false" ht="12.8" hidden="false" customHeight="false" outlineLevel="0" collapsed="false">
      <c r="A12824" s="0" t="s">
        <v>12</v>
      </c>
      <c r="B12824" s="0" t="n">
        <v>3614713</v>
      </c>
      <c r="C12824" s="0" t="n">
        <v>3614733</v>
      </c>
      <c r="D12824" s="0" t="s">
        <v>42757</v>
      </c>
      <c r="E12824" s="0" t="s">
        <v>89</v>
      </c>
      <c r="F12824" s="0" t="s">
        <v>15</v>
      </c>
      <c r="G12824" s="0" t="s">
        <v>26</v>
      </c>
      <c r="H12824" s="0" t="n">
        <v>33</v>
      </c>
      <c r="I12824" s="0" t="s">
        <v>42761</v>
      </c>
      <c r="J12824" s="0" t="s">
        <v>42762</v>
      </c>
      <c r="K12824" s="0" t="s">
        <v>42763</v>
      </c>
      <c r="L12824" s="0" t="str">
        <f aca="false">HYPERLINK("https://www.ncbi.nlm.nih.gov/nuccore/CP000304.1?report=graph&amp;tracks=[key:gene_model_track,Options:GeneOnly]&amp;mk=3614694:3614713|offset_13|444444,3614714:3614733|offset_33|00cc00,3614734:3614753|offset_53|444444,3614755:3614774|offset_74|444444&amp;v=3614493:3614974&amp;c=444444", "offset 33")</f>
        <v>offset 33</v>
      </c>
    </row>
    <row r="12825" customFormat="false" ht="12.8" hidden="false" customHeight="false" outlineLevel="0" collapsed="false">
      <c r="A12825" s="0" t="s">
        <v>12</v>
      </c>
      <c r="B12825" s="0" t="n">
        <v>3614733</v>
      </c>
      <c r="C12825" s="0" t="n">
        <v>3614753</v>
      </c>
      <c r="D12825" s="0" t="s">
        <v>42757</v>
      </c>
      <c r="E12825" s="0" t="s">
        <v>89</v>
      </c>
      <c r="F12825" s="0" t="s">
        <v>15</v>
      </c>
      <c r="G12825" s="0" t="s">
        <v>16</v>
      </c>
      <c r="H12825" s="0" t="n">
        <v>53</v>
      </c>
      <c r="I12825" s="0" t="s">
        <v>42764</v>
      </c>
      <c r="J12825" s="0" t="s">
        <v>42765</v>
      </c>
      <c r="K12825" s="0" t="s">
        <v>42766</v>
      </c>
      <c r="L12825" s="0" t="str">
        <f aca="false">HYPERLINK("https://www.ncbi.nlm.nih.gov/nuccore/CP000304.1?report=graph&amp;tracks=[key:gene_model_track,Options:GeneOnly]&amp;mk=3614694:3614713|offset_13|444444,3614714:3614733|offset_33|444444,3614734:3614753|offset_53|00cc00,3614755:3614774|offset_74|444444&amp;v=3614493:3614974&amp;c=444444", "offset 53")</f>
        <v>offset 53</v>
      </c>
    </row>
    <row r="12826" customFormat="false" ht="12.8" hidden="false" customHeight="false" outlineLevel="0" collapsed="false">
      <c r="A12826" s="0" t="s">
        <v>12</v>
      </c>
      <c r="B12826" s="0" t="n">
        <v>3614754</v>
      </c>
      <c r="C12826" s="0" t="n">
        <v>3614774</v>
      </c>
      <c r="D12826" s="0" t="s">
        <v>42757</v>
      </c>
      <c r="E12826" s="0" t="s">
        <v>89</v>
      </c>
      <c r="F12826" s="0" t="s">
        <v>15</v>
      </c>
      <c r="G12826" s="0" t="s">
        <v>36</v>
      </c>
      <c r="H12826" s="0" t="n">
        <v>74</v>
      </c>
      <c r="I12826" s="0" t="s">
        <v>42767</v>
      </c>
      <c r="J12826" s="0" t="s">
        <v>42768</v>
      </c>
      <c r="K12826" s="0" t="s">
        <v>42769</v>
      </c>
      <c r="L12826" s="0" t="str">
        <f aca="false">HYPERLINK("https://www.ncbi.nlm.nih.gov/nuccore/CP000304.1?report=graph&amp;tracks=[key:gene_model_track,Options:GeneOnly]&amp;mk=3614694:3614713|offset_13|444444,3614714:3614733|offset_33|444444,3614734:3614753|offset_53|444444,3614755:3614774|offset_74|00cc00&amp;v=3614493:3614974&amp;c=444444", "offset 74")</f>
        <v>offset 74</v>
      </c>
    </row>
    <row r="12827" customFormat="false" ht="12.8" hidden="false" customHeight="false" outlineLevel="0" collapsed="false">
      <c r="A12827" s="0" t="s">
        <v>12</v>
      </c>
      <c r="B12827" s="0" t="n">
        <v>3617630</v>
      </c>
      <c r="C12827" s="0" t="n">
        <v>3617650</v>
      </c>
      <c r="D12827" s="0" t="s">
        <v>42770</v>
      </c>
      <c r="E12827" s="0" t="s">
        <v>89</v>
      </c>
      <c r="F12827" s="0" t="s">
        <v>15</v>
      </c>
      <c r="G12827" s="0" t="s">
        <v>36</v>
      </c>
      <c r="H12827" s="0" t="n">
        <v>54</v>
      </c>
      <c r="I12827" s="0" t="s">
        <v>42771</v>
      </c>
      <c r="J12827" s="0" t="s">
        <v>42772</v>
      </c>
      <c r="K12827" s="0" t="s">
        <v>42773</v>
      </c>
      <c r="L12827" s="0" t="str">
        <f aca="false">HYPERLINK("https://www.ncbi.nlm.nih.gov/nuccore/CP000304.1?report=graph&amp;tracks=[key:gene_model_track,Options:GeneOnly]&amp;mk=3617631:3617650|offset_54|00cc00,3617659:3617678|offset_82|444444,3617686:3617705|offset_109|444444,3617712:3617731|offset_135|444444&amp;v=3617430:3617931&amp;c=444444", "offset 54")</f>
        <v>offset 54</v>
      </c>
    </row>
    <row r="12828" customFormat="false" ht="12.8" hidden="false" customHeight="false" outlineLevel="0" collapsed="false">
      <c r="A12828" s="0" t="s">
        <v>12</v>
      </c>
      <c r="B12828" s="0" t="n">
        <v>3617658</v>
      </c>
      <c r="C12828" s="0" t="n">
        <v>3617678</v>
      </c>
      <c r="D12828" s="0" t="s">
        <v>42770</v>
      </c>
      <c r="E12828" s="0" t="s">
        <v>89</v>
      </c>
      <c r="F12828" s="0" t="s">
        <v>15</v>
      </c>
      <c r="G12828" s="0" t="s">
        <v>16</v>
      </c>
      <c r="H12828" s="0" t="n">
        <v>82</v>
      </c>
      <c r="I12828" s="0" t="s">
        <v>42774</v>
      </c>
      <c r="J12828" s="0" t="s">
        <v>42775</v>
      </c>
      <c r="K12828" s="0" t="s">
        <v>42776</v>
      </c>
      <c r="L12828" s="0" t="str">
        <f aca="false">HYPERLINK("https://www.ncbi.nlm.nih.gov/nuccore/CP000304.1?report=graph&amp;tracks=[key:gene_model_track,Options:GeneOnly]&amp;mk=3617631:3617650|offset_54|444444,3617659:3617678|offset_82|00cc00,3617686:3617705|offset_109|444444,3617712:3617731|offset_135|444444&amp;v=3617430:3617931&amp;c=444444", "offset 82")</f>
        <v>offset 82</v>
      </c>
    </row>
    <row r="12829" customFormat="false" ht="12.8" hidden="false" customHeight="false" outlineLevel="0" collapsed="false">
      <c r="A12829" s="0" t="s">
        <v>12</v>
      </c>
      <c r="B12829" s="0" t="n">
        <v>3617685</v>
      </c>
      <c r="C12829" s="0" t="n">
        <v>3617705</v>
      </c>
      <c r="D12829" s="0" t="s">
        <v>42770</v>
      </c>
      <c r="E12829" s="0" t="s">
        <v>89</v>
      </c>
      <c r="F12829" s="0" t="s">
        <v>15</v>
      </c>
      <c r="G12829" s="0" t="s">
        <v>36</v>
      </c>
      <c r="H12829" s="0" t="n">
        <v>109</v>
      </c>
      <c r="I12829" s="0" t="s">
        <v>42777</v>
      </c>
      <c r="J12829" s="0" t="s">
        <v>42778</v>
      </c>
      <c r="K12829" s="0" t="s">
        <v>42779</v>
      </c>
      <c r="L12829" s="0" t="str">
        <f aca="false">HYPERLINK("https://www.ncbi.nlm.nih.gov/nuccore/CP000304.1?report=graph&amp;tracks=[key:gene_model_track,Options:GeneOnly]&amp;mk=3617631:3617650|offset_54|444444,3617659:3617678|offset_82|444444,3617686:3617705|offset_109|00cc00,3617712:3617731|offset_135|444444&amp;v=3617430:3617931&amp;c=444444", "offset 109")</f>
        <v>offset 109</v>
      </c>
    </row>
    <row r="12830" customFormat="false" ht="12.8" hidden="false" customHeight="false" outlineLevel="0" collapsed="false">
      <c r="A12830" s="0" t="s">
        <v>12</v>
      </c>
      <c r="B12830" s="0" t="n">
        <v>3617711</v>
      </c>
      <c r="C12830" s="0" t="n">
        <v>3617731</v>
      </c>
      <c r="D12830" s="0" t="s">
        <v>42770</v>
      </c>
      <c r="E12830" s="0" t="s">
        <v>89</v>
      </c>
      <c r="F12830" s="0" t="s">
        <v>15</v>
      </c>
      <c r="G12830" s="0" t="s">
        <v>36</v>
      </c>
      <c r="H12830" s="0" t="n">
        <v>135</v>
      </c>
      <c r="I12830" s="0" t="s">
        <v>42780</v>
      </c>
      <c r="J12830" s="0" t="s">
        <v>42781</v>
      </c>
      <c r="K12830" s="0" t="s">
        <v>42782</v>
      </c>
      <c r="L12830" s="0" t="str">
        <f aca="false">HYPERLINK("https://www.ncbi.nlm.nih.gov/nuccore/CP000304.1?report=graph&amp;tracks=[key:gene_model_track,Options:GeneOnly]&amp;mk=3617631:3617650|offset_54|444444,3617659:3617678|offset_82|444444,3617686:3617705|offset_109|444444,3617712:3617731|offset_135|00cc00&amp;v=3617430:3617931&amp;c=444444", "offset 135")</f>
        <v>offset 135</v>
      </c>
    </row>
    <row r="12831" customFormat="false" ht="12.8" hidden="false" customHeight="false" outlineLevel="0" collapsed="false">
      <c r="A12831" s="0" t="s">
        <v>12</v>
      </c>
      <c r="B12831" s="0" t="n">
        <v>3619744</v>
      </c>
      <c r="C12831" s="0" t="n">
        <v>3619764</v>
      </c>
      <c r="D12831" s="0" t="s">
        <v>42783</v>
      </c>
      <c r="E12831" s="0" t="s">
        <v>89</v>
      </c>
      <c r="F12831" s="0" t="s">
        <v>15</v>
      </c>
      <c r="G12831" s="0" t="s">
        <v>16</v>
      </c>
      <c r="H12831" s="0" t="n">
        <v>14</v>
      </c>
      <c r="I12831" s="0" t="s">
        <v>42784</v>
      </c>
      <c r="J12831" s="0" t="s">
        <v>42785</v>
      </c>
      <c r="K12831" s="0" t="s">
        <v>42786</v>
      </c>
      <c r="L12831" s="0" t="str">
        <f aca="false">HYPERLINK("https://www.ncbi.nlm.nih.gov/nuccore/CP000304.1?report=graph&amp;tracks=[key:gene_model_track,Options:GeneOnly]&amp;mk=3619745:3619764|offset_14|00cc00,3619800:3619819|offset_69|444444,3619828:3619847|offset_97|444444,3619869:3619888|offset_138|444444&amp;v=3619544:3620088&amp;c=444444", "offset 14")</f>
        <v>offset 14</v>
      </c>
    </row>
    <row r="12832" customFormat="false" ht="12.8" hidden="false" customHeight="false" outlineLevel="0" collapsed="false">
      <c r="A12832" s="0" t="s">
        <v>12</v>
      </c>
      <c r="B12832" s="0" t="n">
        <v>3619799</v>
      </c>
      <c r="C12832" s="0" t="n">
        <v>3619819</v>
      </c>
      <c r="D12832" s="0" t="s">
        <v>42783</v>
      </c>
      <c r="E12832" s="0" t="s">
        <v>89</v>
      </c>
      <c r="F12832" s="0" t="s">
        <v>15</v>
      </c>
      <c r="G12832" s="0" t="s">
        <v>36</v>
      </c>
      <c r="H12832" s="0" t="n">
        <v>69</v>
      </c>
      <c r="I12832" s="0" t="s">
        <v>42787</v>
      </c>
      <c r="J12832" s="0" t="s">
        <v>42788</v>
      </c>
      <c r="K12832" s="0" t="s">
        <v>42789</v>
      </c>
      <c r="L12832" s="0" t="str">
        <f aca="false">HYPERLINK("https://www.ncbi.nlm.nih.gov/nuccore/CP000304.1?report=graph&amp;tracks=[key:gene_model_track,Options:GeneOnly]&amp;mk=3619745:3619764|offset_14|444444,3619800:3619819|offset_69|00cc00,3619828:3619847|offset_97|444444,3619869:3619888|offset_138|444444&amp;v=3619544:3620088&amp;c=444444", "offset 69")</f>
        <v>offset 69</v>
      </c>
    </row>
    <row r="12833" customFormat="false" ht="12.8" hidden="false" customHeight="false" outlineLevel="0" collapsed="false">
      <c r="A12833" s="0" t="s">
        <v>12</v>
      </c>
      <c r="B12833" s="0" t="n">
        <v>3619827</v>
      </c>
      <c r="C12833" s="0" t="n">
        <v>3619847</v>
      </c>
      <c r="D12833" s="0" t="s">
        <v>42783</v>
      </c>
      <c r="E12833" s="0" t="s">
        <v>89</v>
      </c>
      <c r="F12833" s="0" t="s">
        <v>15</v>
      </c>
      <c r="G12833" s="0" t="s">
        <v>36</v>
      </c>
      <c r="H12833" s="0" t="n">
        <v>97</v>
      </c>
      <c r="I12833" s="0" t="s">
        <v>42790</v>
      </c>
      <c r="J12833" s="0" t="s">
        <v>42791</v>
      </c>
      <c r="K12833" s="0" t="s">
        <v>42792</v>
      </c>
      <c r="L12833" s="0" t="str">
        <f aca="false">HYPERLINK("https://www.ncbi.nlm.nih.gov/nuccore/CP000304.1?report=graph&amp;tracks=[key:gene_model_track,Options:GeneOnly]&amp;mk=3619745:3619764|offset_14|444444,3619800:3619819|offset_69|444444,3619828:3619847|offset_97|00cc00,3619869:3619888|offset_138|444444&amp;v=3619544:3620088&amp;c=444444", "offset 97")</f>
        <v>offset 97</v>
      </c>
    </row>
    <row r="12834" customFormat="false" ht="12.8" hidden="false" customHeight="false" outlineLevel="0" collapsed="false">
      <c r="A12834" s="0" t="s">
        <v>12</v>
      </c>
      <c r="B12834" s="0" t="n">
        <v>3619868</v>
      </c>
      <c r="C12834" s="0" t="n">
        <v>3619888</v>
      </c>
      <c r="D12834" s="0" t="s">
        <v>42783</v>
      </c>
      <c r="E12834" s="0" t="s">
        <v>89</v>
      </c>
      <c r="F12834" s="0" t="s">
        <v>15</v>
      </c>
      <c r="G12834" s="0" t="s">
        <v>16</v>
      </c>
      <c r="H12834" s="0" t="n">
        <v>138</v>
      </c>
      <c r="I12834" s="0" t="s">
        <v>42793</v>
      </c>
      <c r="J12834" s="0" t="s">
        <v>42794</v>
      </c>
      <c r="K12834" s="0" t="s">
        <v>42795</v>
      </c>
      <c r="L12834" s="0" t="str">
        <f aca="false">HYPERLINK("https://www.ncbi.nlm.nih.gov/nuccore/CP000304.1?report=graph&amp;tracks=[key:gene_model_track,Options:GeneOnly]&amp;mk=3619745:3619764|offset_14|444444,3619800:3619819|offset_69|444444,3619828:3619847|offset_97|444444,3619869:3619888|offset_138|00cc00&amp;v=3619544:3620088&amp;c=444444", "offset 138")</f>
        <v>offset 138</v>
      </c>
    </row>
    <row r="12835" customFormat="false" ht="12.8" hidden="false" customHeight="false" outlineLevel="0" collapsed="false">
      <c r="A12835" s="0" t="s">
        <v>12</v>
      </c>
      <c r="B12835" s="0" t="n">
        <v>3621249</v>
      </c>
      <c r="C12835" s="0" t="n">
        <v>3621269</v>
      </c>
      <c r="D12835" s="0" t="s">
        <v>42796</v>
      </c>
      <c r="E12835" s="0" t="s">
        <v>89</v>
      </c>
      <c r="F12835" s="0" t="s">
        <v>15</v>
      </c>
      <c r="G12835" s="0" t="s">
        <v>36</v>
      </c>
      <c r="H12835" s="0" t="n">
        <v>16</v>
      </c>
      <c r="I12835" s="0" t="s">
        <v>42797</v>
      </c>
      <c r="J12835" s="0" t="s">
        <v>42798</v>
      </c>
      <c r="K12835" s="0" t="s">
        <v>42799</v>
      </c>
      <c r="L12835" s="0" t="str">
        <f aca="false">HYPERLINK("https://www.ncbi.nlm.nih.gov/nuccore/CP000304.1?report=graph&amp;tracks=[key:gene_model_track,Options:GeneOnly]&amp;mk=3621250:3621269|offset_16|00cc00,3621278:3621297|offset_44|444444,3621298:3621317|offset_64|444444,3621362:3621381|offset_128|444444&amp;v=3621049:3621581&amp;c=444444", "offset 16")</f>
        <v>offset 16</v>
      </c>
    </row>
    <row r="12836" customFormat="false" ht="12.8" hidden="false" customHeight="false" outlineLevel="0" collapsed="false">
      <c r="A12836" s="0" t="s">
        <v>12</v>
      </c>
      <c r="B12836" s="0" t="n">
        <v>3621277</v>
      </c>
      <c r="C12836" s="0" t="n">
        <v>3621297</v>
      </c>
      <c r="D12836" s="0" t="s">
        <v>42796</v>
      </c>
      <c r="E12836" s="0" t="s">
        <v>89</v>
      </c>
      <c r="F12836" s="0" t="s">
        <v>15</v>
      </c>
      <c r="G12836" s="0" t="s">
        <v>26</v>
      </c>
      <c r="H12836" s="0" t="n">
        <v>44</v>
      </c>
      <c r="I12836" s="0" t="s">
        <v>42800</v>
      </c>
      <c r="J12836" s="0" t="s">
        <v>42801</v>
      </c>
      <c r="K12836" s="0" t="s">
        <v>42802</v>
      </c>
      <c r="L12836" s="0" t="str">
        <f aca="false">HYPERLINK("https://www.ncbi.nlm.nih.gov/nuccore/CP000304.1?report=graph&amp;tracks=[key:gene_model_track,Options:GeneOnly]&amp;mk=3621250:3621269|offset_16|444444,3621278:3621297|offset_44|00cc00,3621298:3621317|offset_64|444444,3621362:3621381|offset_128|444444&amp;v=3621049:3621581&amp;c=444444", "offset 44")</f>
        <v>offset 44</v>
      </c>
    </row>
    <row r="12837" customFormat="false" ht="12.8" hidden="false" customHeight="false" outlineLevel="0" collapsed="false">
      <c r="A12837" s="0" t="s">
        <v>12</v>
      </c>
      <c r="B12837" s="0" t="n">
        <v>3621297</v>
      </c>
      <c r="C12837" s="0" t="n">
        <v>3621317</v>
      </c>
      <c r="D12837" s="0" t="s">
        <v>42796</v>
      </c>
      <c r="E12837" s="0" t="s">
        <v>89</v>
      </c>
      <c r="F12837" s="0" t="s">
        <v>15</v>
      </c>
      <c r="G12837" s="0" t="s">
        <v>16</v>
      </c>
      <c r="H12837" s="0" t="n">
        <v>64</v>
      </c>
      <c r="I12837" s="0" t="s">
        <v>42803</v>
      </c>
      <c r="J12837" s="0" t="s">
        <v>42804</v>
      </c>
      <c r="K12837" s="0" t="s">
        <v>42805</v>
      </c>
      <c r="L12837" s="0" t="str">
        <f aca="false">HYPERLINK("https://www.ncbi.nlm.nih.gov/nuccore/CP000304.1?report=graph&amp;tracks=[key:gene_model_track,Options:GeneOnly]&amp;mk=3621250:3621269|offset_16|444444,3621278:3621297|offset_44|444444,3621298:3621317|offset_64|00cc00,3621362:3621381|offset_128|444444&amp;v=3621049:3621581&amp;c=444444", "offset 64")</f>
        <v>offset 64</v>
      </c>
    </row>
    <row r="12838" customFormat="false" ht="12.8" hidden="false" customHeight="false" outlineLevel="0" collapsed="false">
      <c r="A12838" s="0" t="s">
        <v>12</v>
      </c>
      <c r="B12838" s="0" t="n">
        <v>3621361</v>
      </c>
      <c r="C12838" s="0" t="n">
        <v>3621381</v>
      </c>
      <c r="D12838" s="0" t="s">
        <v>42796</v>
      </c>
      <c r="E12838" s="0" t="s">
        <v>89</v>
      </c>
      <c r="F12838" s="0" t="s">
        <v>15</v>
      </c>
      <c r="G12838" s="0" t="s">
        <v>16</v>
      </c>
      <c r="H12838" s="0" t="n">
        <v>128</v>
      </c>
      <c r="I12838" s="0" t="s">
        <v>42806</v>
      </c>
      <c r="J12838" s="0" t="s">
        <v>42807</v>
      </c>
      <c r="K12838" s="0" t="s">
        <v>42808</v>
      </c>
      <c r="L12838" s="0" t="str">
        <f aca="false">HYPERLINK("https://www.ncbi.nlm.nih.gov/nuccore/CP000304.1?report=graph&amp;tracks=[key:gene_model_track,Options:GeneOnly]&amp;mk=3621250:3621269|offset_16|444444,3621278:3621297|offset_44|444444,3621298:3621317|offset_64|444444,3621362:3621381|offset_128|00cc00&amp;v=3621049:3621581&amp;c=444444", "offset 128")</f>
        <v>offset 128</v>
      </c>
    </row>
    <row r="12839" customFormat="false" ht="12.8" hidden="false" customHeight="false" outlineLevel="0" collapsed="false">
      <c r="A12839" s="0" t="s">
        <v>12</v>
      </c>
      <c r="B12839" s="0" t="n">
        <v>3622556</v>
      </c>
      <c r="C12839" s="0" t="n">
        <v>3622576</v>
      </c>
      <c r="D12839" s="0" t="s">
        <v>42809</v>
      </c>
      <c r="E12839" s="0" t="s">
        <v>89</v>
      </c>
      <c r="F12839" s="0" t="s">
        <v>15</v>
      </c>
      <c r="G12839" s="0" t="s">
        <v>16</v>
      </c>
      <c r="H12839" s="0" t="n">
        <v>15</v>
      </c>
      <c r="I12839" s="0" t="s">
        <v>42810</v>
      </c>
      <c r="J12839" s="0" t="s">
        <v>42811</v>
      </c>
      <c r="K12839" s="0" t="s">
        <v>42812</v>
      </c>
      <c r="L12839" s="0" t="str">
        <f aca="false">HYPERLINK("https://www.ncbi.nlm.nih.gov/nuccore/CP000304.1?report=graph&amp;tracks=[key:gene_model_track,Options:GeneOnly]&amp;mk=3622557:3622576|offset_15|00cc00,3622606:3622625|offset_64|444444,3622655:3622674|offset_113|444444,3622677:3622696|offset_135|444444&amp;v=3622356:3622896&amp;c=444444", "offset 15")</f>
        <v>offset 15</v>
      </c>
    </row>
    <row r="12840" customFormat="false" ht="12.8" hidden="false" customHeight="false" outlineLevel="0" collapsed="false">
      <c r="A12840" s="0" t="s">
        <v>12</v>
      </c>
      <c r="B12840" s="0" t="n">
        <v>3622605</v>
      </c>
      <c r="C12840" s="0" t="n">
        <v>3622625</v>
      </c>
      <c r="D12840" s="0" t="s">
        <v>42809</v>
      </c>
      <c r="E12840" s="0" t="s">
        <v>89</v>
      </c>
      <c r="F12840" s="0" t="s">
        <v>15</v>
      </c>
      <c r="G12840" s="0" t="s">
        <v>16</v>
      </c>
      <c r="H12840" s="0" t="n">
        <v>64</v>
      </c>
      <c r="I12840" s="0" t="s">
        <v>42813</v>
      </c>
      <c r="J12840" s="0" t="s">
        <v>42814</v>
      </c>
      <c r="K12840" s="0" t="s">
        <v>42815</v>
      </c>
      <c r="L12840" s="0" t="str">
        <f aca="false">HYPERLINK("https://www.ncbi.nlm.nih.gov/nuccore/CP000304.1?report=graph&amp;tracks=[key:gene_model_track,Options:GeneOnly]&amp;mk=3622557:3622576|offset_15|444444,3622606:3622625|offset_64|00cc00,3622655:3622674|offset_113|444444,3622677:3622696|offset_135|444444&amp;v=3622356:3622896&amp;c=444444", "offset 64")</f>
        <v>offset 64</v>
      </c>
    </row>
    <row r="12841" customFormat="false" ht="12.8" hidden="false" customHeight="false" outlineLevel="0" collapsed="false">
      <c r="A12841" s="0" t="s">
        <v>12</v>
      </c>
      <c r="B12841" s="0" t="n">
        <v>3622654</v>
      </c>
      <c r="C12841" s="0" t="n">
        <v>3622674</v>
      </c>
      <c r="D12841" s="0" t="s">
        <v>42809</v>
      </c>
      <c r="E12841" s="0" t="s">
        <v>89</v>
      </c>
      <c r="F12841" s="0" t="s">
        <v>15</v>
      </c>
      <c r="G12841" s="0" t="s">
        <v>36</v>
      </c>
      <c r="H12841" s="0" t="n">
        <v>113</v>
      </c>
      <c r="I12841" s="0" t="s">
        <v>42816</v>
      </c>
      <c r="J12841" s="0" t="s">
        <v>42817</v>
      </c>
      <c r="K12841" s="0" t="s">
        <v>42818</v>
      </c>
      <c r="L12841" s="0" t="str">
        <f aca="false">HYPERLINK("https://www.ncbi.nlm.nih.gov/nuccore/CP000304.1?report=graph&amp;tracks=[key:gene_model_track,Options:GeneOnly]&amp;mk=3622557:3622576|offset_15|444444,3622606:3622625|offset_64|444444,3622655:3622674|offset_113|00cc00,3622677:3622696|offset_135|444444&amp;v=3622356:3622896&amp;c=444444", "offset 113")</f>
        <v>offset 113</v>
      </c>
    </row>
    <row r="12842" customFormat="false" ht="12.8" hidden="false" customHeight="false" outlineLevel="0" collapsed="false">
      <c r="A12842" s="0" t="s">
        <v>12</v>
      </c>
      <c r="B12842" s="0" t="n">
        <v>3622676</v>
      </c>
      <c r="C12842" s="0" t="n">
        <v>3622696</v>
      </c>
      <c r="D12842" s="0" t="s">
        <v>42809</v>
      </c>
      <c r="E12842" s="0" t="s">
        <v>89</v>
      </c>
      <c r="F12842" s="0" t="s">
        <v>15</v>
      </c>
      <c r="G12842" s="0" t="s">
        <v>32</v>
      </c>
      <c r="H12842" s="0" t="n">
        <v>135</v>
      </c>
      <c r="I12842" s="0" t="s">
        <v>42819</v>
      </c>
      <c r="J12842" s="0" t="s">
        <v>42820</v>
      </c>
      <c r="K12842" s="0" t="s">
        <v>42821</v>
      </c>
      <c r="L12842" s="0" t="str">
        <f aca="false">HYPERLINK("https://www.ncbi.nlm.nih.gov/nuccore/CP000304.1?report=graph&amp;tracks=[key:gene_model_track,Options:GeneOnly]&amp;mk=3622557:3622576|offset_15|444444,3622606:3622625|offset_64|444444,3622655:3622674|offset_113|444444,3622677:3622696|offset_135|00cc00&amp;v=3622356:3622896&amp;c=444444", "offset 135")</f>
        <v>offset 135</v>
      </c>
    </row>
    <row r="12843" customFormat="false" ht="12.8" hidden="false" customHeight="false" outlineLevel="0" collapsed="false">
      <c r="A12843" s="0" t="s">
        <v>12</v>
      </c>
      <c r="B12843" s="0" t="n">
        <v>3624898</v>
      </c>
      <c r="C12843" s="0" t="n">
        <v>3624918</v>
      </c>
      <c r="D12843" s="0" t="s">
        <v>42822</v>
      </c>
      <c r="E12843" s="0" t="s">
        <v>89</v>
      </c>
      <c r="F12843" s="0" t="s">
        <v>15</v>
      </c>
      <c r="G12843" s="0" t="s">
        <v>16</v>
      </c>
      <c r="H12843" s="0" t="n">
        <v>28</v>
      </c>
      <c r="I12843" s="0" t="s">
        <v>42823</v>
      </c>
      <c r="J12843" s="0" t="s">
        <v>42824</v>
      </c>
      <c r="K12843" s="0" t="s">
        <v>42825</v>
      </c>
      <c r="L12843" s="0" t="str">
        <f aca="false">HYPERLINK("https://www.ncbi.nlm.nih.gov/nuccore/CP000304.1?report=graph&amp;tracks=[key:gene_model_track,Options:GeneOnly]&amp;mk=3624899:3624918|offset_28|00cc00,3624942:3624961|offset_71|444444,3624970:3624989|offset_99|444444,3624998:3625017|offset_127|444444&amp;v=3624698:3625217&amp;c=444444", "offset 28")</f>
        <v>offset 28</v>
      </c>
    </row>
    <row r="12844" customFormat="false" ht="12.8" hidden="false" customHeight="false" outlineLevel="0" collapsed="false">
      <c r="A12844" s="0" t="s">
        <v>12</v>
      </c>
      <c r="B12844" s="0" t="n">
        <v>3624941</v>
      </c>
      <c r="C12844" s="0" t="n">
        <v>3624961</v>
      </c>
      <c r="D12844" s="0" t="s">
        <v>42822</v>
      </c>
      <c r="E12844" s="0" t="s">
        <v>89</v>
      </c>
      <c r="F12844" s="0" t="s">
        <v>15</v>
      </c>
      <c r="G12844" s="0" t="s">
        <v>26</v>
      </c>
      <c r="H12844" s="0" t="n">
        <v>71</v>
      </c>
      <c r="I12844" s="0" t="s">
        <v>42826</v>
      </c>
      <c r="J12844" s="0" t="s">
        <v>42827</v>
      </c>
      <c r="K12844" s="0" t="s">
        <v>42828</v>
      </c>
      <c r="L12844" s="0" t="str">
        <f aca="false">HYPERLINK("https://www.ncbi.nlm.nih.gov/nuccore/CP000304.1?report=graph&amp;tracks=[key:gene_model_track,Options:GeneOnly]&amp;mk=3624899:3624918|offset_28|444444,3624942:3624961|offset_71|00cc00,3624970:3624989|offset_99|444444,3624998:3625017|offset_127|444444&amp;v=3624698:3625217&amp;c=444444", "offset 71")</f>
        <v>offset 71</v>
      </c>
    </row>
    <row r="12845" customFormat="false" ht="12.8" hidden="false" customHeight="false" outlineLevel="0" collapsed="false">
      <c r="A12845" s="0" t="s">
        <v>12</v>
      </c>
      <c r="B12845" s="0" t="n">
        <v>3624969</v>
      </c>
      <c r="C12845" s="0" t="n">
        <v>3624989</v>
      </c>
      <c r="D12845" s="0" t="s">
        <v>42822</v>
      </c>
      <c r="E12845" s="0" t="s">
        <v>89</v>
      </c>
      <c r="F12845" s="0" t="s">
        <v>15</v>
      </c>
      <c r="G12845" s="0" t="s">
        <v>16</v>
      </c>
      <c r="H12845" s="0" t="n">
        <v>99</v>
      </c>
      <c r="I12845" s="0" t="s">
        <v>42829</v>
      </c>
      <c r="J12845" s="0" t="s">
        <v>42830</v>
      </c>
      <c r="K12845" s="0" t="s">
        <v>42831</v>
      </c>
      <c r="L12845" s="0" t="str">
        <f aca="false">HYPERLINK("https://www.ncbi.nlm.nih.gov/nuccore/CP000304.1?report=graph&amp;tracks=[key:gene_model_track,Options:GeneOnly]&amp;mk=3624899:3624918|offset_28|444444,3624942:3624961|offset_71|444444,3624970:3624989|offset_99|00cc00,3624998:3625017|offset_127|444444&amp;v=3624698:3625217&amp;c=444444", "offset 99")</f>
        <v>offset 99</v>
      </c>
    </row>
    <row r="12846" customFormat="false" ht="12.8" hidden="false" customHeight="false" outlineLevel="0" collapsed="false">
      <c r="A12846" s="0" t="s">
        <v>12</v>
      </c>
      <c r="B12846" s="0" t="n">
        <v>3624997</v>
      </c>
      <c r="C12846" s="0" t="n">
        <v>3625017</v>
      </c>
      <c r="D12846" s="0" t="s">
        <v>42822</v>
      </c>
      <c r="E12846" s="0" t="s">
        <v>89</v>
      </c>
      <c r="F12846" s="0" t="s">
        <v>15</v>
      </c>
      <c r="G12846" s="0" t="s">
        <v>32</v>
      </c>
      <c r="H12846" s="0" t="n">
        <v>127</v>
      </c>
      <c r="I12846" s="0" t="s">
        <v>42832</v>
      </c>
      <c r="J12846" s="0" t="s">
        <v>42833</v>
      </c>
      <c r="K12846" s="0" t="s">
        <v>42834</v>
      </c>
      <c r="L12846" s="0" t="str">
        <f aca="false">HYPERLINK("https://www.ncbi.nlm.nih.gov/nuccore/CP000304.1?report=graph&amp;tracks=[key:gene_model_track,Options:GeneOnly]&amp;mk=3624899:3624918|offset_28|444444,3624942:3624961|offset_71|444444,3624970:3624989|offset_99|444444,3624998:3625017|offset_127|00cc00&amp;v=3624698:3625217&amp;c=444444", "offset 127")</f>
        <v>offset 127</v>
      </c>
    </row>
    <row r="12847" customFormat="false" ht="12.8" hidden="false" customHeight="false" outlineLevel="0" collapsed="false">
      <c r="A12847" s="0" t="s">
        <v>12</v>
      </c>
      <c r="B12847" s="0" t="n">
        <v>3626251</v>
      </c>
      <c r="C12847" s="0" t="n">
        <v>3626271</v>
      </c>
      <c r="D12847" s="0" t="s">
        <v>42835</v>
      </c>
      <c r="E12847" s="0" t="s">
        <v>89</v>
      </c>
      <c r="F12847" s="0" t="s">
        <v>90</v>
      </c>
      <c r="G12847" s="0" t="s">
        <v>26</v>
      </c>
      <c r="H12847" s="0" t="n">
        <v>20</v>
      </c>
      <c r="I12847" s="0" t="s">
        <v>42836</v>
      </c>
      <c r="J12847" s="0" t="s">
        <v>42837</v>
      </c>
      <c r="K12847" s="0" t="s">
        <v>42838</v>
      </c>
      <c r="L12847" s="0" t="str">
        <f aca="false">HYPERLINK("https://www.ncbi.nlm.nih.gov/nuccore/CP000304.1?report=graph&amp;tracks=[key:gene_model_track,Options:GeneOnly]&amp;mk=3626252:3626271|offset_20|00cc00,3626208:3626227|offset_64|444444,3626162:3626181|offset_110|444444,3626132:3626151|offset_140|444444&amp;v=3626051:3626351&amp;c=444444", "offset 20")</f>
        <v>offset 20</v>
      </c>
    </row>
    <row r="12848" customFormat="false" ht="12.8" hidden="false" customHeight="false" outlineLevel="0" collapsed="false">
      <c r="A12848" s="0" t="s">
        <v>12</v>
      </c>
      <c r="B12848" s="0" t="n">
        <v>3626207</v>
      </c>
      <c r="C12848" s="0" t="n">
        <v>3626227</v>
      </c>
      <c r="D12848" s="0" t="s">
        <v>42835</v>
      </c>
      <c r="E12848" s="0" t="s">
        <v>89</v>
      </c>
      <c r="F12848" s="0" t="s">
        <v>90</v>
      </c>
      <c r="G12848" s="0" t="s">
        <v>16</v>
      </c>
      <c r="H12848" s="0" t="n">
        <v>64</v>
      </c>
      <c r="I12848" s="0" t="s">
        <v>42839</v>
      </c>
      <c r="J12848" s="0" t="s">
        <v>42840</v>
      </c>
      <c r="K12848" s="0" t="s">
        <v>42841</v>
      </c>
      <c r="L12848" s="0" t="str">
        <f aca="false">HYPERLINK("https://www.ncbi.nlm.nih.gov/nuccore/CP000304.1?report=graph&amp;tracks=[key:gene_model_track,Options:GeneOnly]&amp;mk=3626252:3626271|offset_20|444444,3626208:3626227|offset_64|00cc00,3626162:3626181|offset_110|444444,3626132:3626151|offset_140|444444&amp;v=3626051:3626351&amp;c=444444", "offset 64")</f>
        <v>offset 64</v>
      </c>
    </row>
    <row r="12849" customFormat="false" ht="12.8" hidden="false" customHeight="false" outlineLevel="0" collapsed="false">
      <c r="A12849" s="0" t="s">
        <v>12</v>
      </c>
      <c r="B12849" s="0" t="n">
        <v>3626161</v>
      </c>
      <c r="C12849" s="0" t="n">
        <v>3626181</v>
      </c>
      <c r="D12849" s="0" t="s">
        <v>42835</v>
      </c>
      <c r="E12849" s="0" t="s">
        <v>89</v>
      </c>
      <c r="F12849" s="0" t="s">
        <v>90</v>
      </c>
      <c r="G12849" s="0" t="s">
        <v>16</v>
      </c>
      <c r="H12849" s="0" t="n">
        <v>110</v>
      </c>
      <c r="I12849" s="0" t="s">
        <v>42842</v>
      </c>
      <c r="J12849" s="0" t="s">
        <v>42843</v>
      </c>
      <c r="K12849" s="0" t="s">
        <v>42844</v>
      </c>
      <c r="L12849" s="0" t="str">
        <f aca="false">HYPERLINK("https://www.ncbi.nlm.nih.gov/nuccore/CP000304.1?report=graph&amp;tracks=[key:gene_model_track,Options:GeneOnly]&amp;mk=3626252:3626271|offset_20|444444,3626208:3626227|offset_64|444444,3626162:3626181|offset_110|00cc00,3626132:3626151|offset_140|444444&amp;v=3626051:3626351&amp;c=444444", "offset 110")</f>
        <v>offset 110</v>
      </c>
    </row>
    <row r="12850" customFormat="false" ht="12.8" hidden="false" customHeight="false" outlineLevel="0" collapsed="false">
      <c r="A12850" s="0" t="s">
        <v>12</v>
      </c>
      <c r="B12850" s="0" t="n">
        <v>3626131</v>
      </c>
      <c r="C12850" s="0" t="n">
        <v>3626151</v>
      </c>
      <c r="D12850" s="0" t="s">
        <v>42835</v>
      </c>
      <c r="E12850" s="0" t="s">
        <v>89</v>
      </c>
      <c r="F12850" s="0" t="s">
        <v>90</v>
      </c>
      <c r="G12850" s="0" t="s">
        <v>36</v>
      </c>
      <c r="H12850" s="0" t="n">
        <v>140</v>
      </c>
      <c r="I12850" s="0" t="s">
        <v>42845</v>
      </c>
      <c r="J12850" s="0" t="s">
        <v>42846</v>
      </c>
      <c r="K12850" s="0" t="s">
        <v>42847</v>
      </c>
      <c r="L12850" s="0" t="str">
        <f aca="false">HYPERLINK("https://www.ncbi.nlm.nih.gov/nuccore/CP000304.1?report=graph&amp;tracks=[key:gene_model_track,Options:GeneOnly]&amp;mk=3626252:3626271|offset_20|444444,3626208:3626227|offset_64|444444,3626162:3626181|offset_110|444444,3626132:3626151|offset_140|00cc00&amp;v=3626051:3626351&amp;c=444444", "offset 140")</f>
        <v>offset 140</v>
      </c>
    </row>
    <row r="12851" customFormat="false" ht="12.8" hidden="false" customHeight="false" outlineLevel="0" collapsed="false">
      <c r="A12851" s="0" t="s">
        <v>12</v>
      </c>
      <c r="B12851" s="0" t="n">
        <v>3626695</v>
      </c>
      <c r="C12851" s="0" t="n">
        <v>3626715</v>
      </c>
      <c r="D12851" s="0" t="s">
        <v>42848</v>
      </c>
      <c r="E12851" s="0" t="s">
        <v>89</v>
      </c>
      <c r="F12851" s="0" t="s">
        <v>15</v>
      </c>
      <c r="G12851" s="0" t="s">
        <v>16</v>
      </c>
      <c r="H12851" s="0" t="n">
        <v>6</v>
      </c>
      <c r="I12851" s="0" t="s">
        <v>42849</v>
      </c>
      <c r="J12851" s="0" t="s">
        <v>42850</v>
      </c>
      <c r="K12851" s="0" t="s">
        <v>42851</v>
      </c>
      <c r="L12851" s="0" t="str">
        <f aca="false">HYPERLINK("https://www.ncbi.nlm.nih.gov/nuccore/CP000304.1?report=graph&amp;tracks=[key:gene_model_track,Options:GeneOnly]&amp;mk=3626696:3626715|offset_6|00cc00,3626721:3626740|offset_31|444444,3626743:3626762|offset_53|444444,3626783:3626802|offset_93|444444&amp;v=3626495:3627002&amp;c=444444", "offset 6")</f>
        <v>offset 6</v>
      </c>
    </row>
    <row r="12852" customFormat="false" ht="12.8" hidden="false" customHeight="false" outlineLevel="0" collapsed="false">
      <c r="A12852" s="0" t="s">
        <v>12</v>
      </c>
      <c r="B12852" s="0" t="n">
        <v>3626720</v>
      </c>
      <c r="C12852" s="0" t="n">
        <v>3626740</v>
      </c>
      <c r="D12852" s="0" t="s">
        <v>42848</v>
      </c>
      <c r="E12852" s="0" t="s">
        <v>89</v>
      </c>
      <c r="F12852" s="0" t="s">
        <v>15</v>
      </c>
      <c r="G12852" s="0" t="s">
        <v>16</v>
      </c>
      <c r="H12852" s="0" t="n">
        <v>31</v>
      </c>
      <c r="I12852" s="0" t="s">
        <v>42852</v>
      </c>
      <c r="J12852" s="0" t="s">
        <v>42853</v>
      </c>
      <c r="K12852" s="0" t="s">
        <v>42854</v>
      </c>
      <c r="L12852" s="0" t="str">
        <f aca="false">HYPERLINK("https://www.ncbi.nlm.nih.gov/nuccore/CP000304.1?report=graph&amp;tracks=[key:gene_model_track,Options:GeneOnly]&amp;mk=3626696:3626715|offset_6|444444,3626721:3626740|offset_31|00cc00,3626743:3626762|offset_53|444444,3626783:3626802|offset_93|444444&amp;v=3626495:3627002&amp;c=444444", "offset 31")</f>
        <v>offset 31</v>
      </c>
    </row>
    <row r="12853" customFormat="false" ht="12.8" hidden="false" customHeight="false" outlineLevel="0" collapsed="false">
      <c r="A12853" s="0" t="s">
        <v>12</v>
      </c>
      <c r="B12853" s="0" t="n">
        <v>3626742</v>
      </c>
      <c r="C12853" s="0" t="n">
        <v>3626762</v>
      </c>
      <c r="D12853" s="0" t="s">
        <v>42848</v>
      </c>
      <c r="E12853" s="0" t="s">
        <v>89</v>
      </c>
      <c r="F12853" s="0" t="s">
        <v>15</v>
      </c>
      <c r="G12853" s="0" t="s">
        <v>16</v>
      </c>
      <c r="H12853" s="0" t="n">
        <v>53</v>
      </c>
      <c r="I12853" s="0" t="s">
        <v>42855</v>
      </c>
      <c r="J12853" s="0" t="s">
        <v>42856</v>
      </c>
      <c r="K12853" s="0" t="s">
        <v>42857</v>
      </c>
      <c r="L12853" s="0" t="str">
        <f aca="false">HYPERLINK("https://www.ncbi.nlm.nih.gov/nuccore/CP000304.1?report=graph&amp;tracks=[key:gene_model_track,Options:GeneOnly]&amp;mk=3626696:3626715|offset_6|444444,3626721:3626740|offset_31|444444,3626743:3626762|offset_53|00cc00,3626783:3626802|offset_93|444444&amp;v=3626495:3627002&amp;c=444444", "offset 53")</f>
        <v>offset 53</v>
      </c>
    </row>
    <row r="12854" customFormat="false" ht="12.8" hidden="false" customHeight="false" outlineLevel="0" collapsed="false">
      <c r="A12854" s="0" t="s">
        <v>12</v>
      </c>
      <c r="B12854" s="0" t="n">
        <v>3626782</v>
      </c>
      <c r="C12854" s="0" t="n">
        <v>3626802</v>
      </c>
      <c r="D12854" s="0" t="s">
        <v>42848</v>
      </c>
      <c r="E12854" s="0" t="s">
        <v>89</v>
      </c>
      <c r="F12854" s="0" t="s">
        <v>15</v>
      </c>
      <c r="G12854" s="0" t="s">
        <v>32</v>
      </c>
      <c r="H12854" s="0" t="n">
        <v>93</v>
      </c>
      <c r="I12854" s="0" t="s">
        <v>42858</v>
      </c>
      <c r="J12854" s="0" t="s">
        <v>42859</v>
      </c>
      <c r="K12854" s="0" t="s">
        <v>42860</v>
      </c>
      <c r="L12854" s="0" t="str">
        <f aca="false">HYPERLINK("https://www.ncbi.nlm.nih.gov/nuccore/CP000304.1?report=graph&amp;tracks=[key:gene_model_track,Options:GeneOnly]&amp;mk=3626696:3626715|offset_6|444444,3626721:3626740|offset_31|444444,3626743:3626762|offset_53|444444,3626783:3626802|offset_93|00cc00&amp;v=3626495:3627002&amp;c=444444", "offset 93")</f>
        <v>offset 93</v>
      </c>
    </row>
    <row r="12855" customFormat="false" ht="12.8" hidden="false" customHeight="false" outlineLevel="0" collapsed="false">
      <c r="A12855" s="0" t="s">
        <v>12</v>
      </c>
      <c r="B12855" s="0" t="n">
        <v>3627277</v>
      </c>
      <c r="C12855" s="0" t="n">
        <v>3627297</v>
      </c>
      <c r="D12855" s="0" t="s">
        <v>42861</v>
      </c>
      <c r="E12855" s="0" t="s">
        <v>89</v>
      </c>
      <c r="F12855" s="0" t="s">
        <v>15</v>
      </c>
      <c r="G12855" s="0" t="s">
        <v>16</v>
      </c>
      <c r="H12855" s="0" t="n">
        <v>10</v>
      </c>
      <c r="I12855" s="0" t="s">
        <v>42862</v>
      </c>
      <c r="J12855" s="0" t="s">
        <v>42863</v>
      </c>
      <c r="K12855" s="0" t="s">
        <v>42864</v>
      </c>
      <c r="L12855" s="0" t="str">
        <f aca="false">HYPERLINK("https://www.ncbi.nlm.nih.gov/nuccore/CP000304.1?report=graph&amp;tracks=[key:gene_model_track,Options:GeneOnly]&amp;mk=3627278:3627297|offset_10|00cc00,3627298:3627317|offset_30|444444,3627323:3627342|offset_55|444444,3627346:3627365|offset_78|444444&amp;v=3627077:3627565&amp;c=444444", "offset 10")</f>
        <v>offset 10</v>
      </c>
    </row>
    <row r="12856" customFormat="false" ht="12.8" hidden="false" customHeight="false" outlineLevel="0" collapsed="false">
      <c r="A12856" s="0" t="s">
        <v>12</v>
      </c>
      <c r="B12856" s="0" t="n">
        <v>3627297</v>
      </c>
      <c r="C12856" s="0" t="n">
        <v>3627317</v>
      </c>
      <c r="D12856" s="0" t="s">
        <v>42861</v>
      </c>
      <c r="E12856" s="0" t="s">
        <v>89</v>
      </c>
      <c r="F12856" s="0" t="s">
        <v>15</v>
      </c>
      <c r="G12856" s="0" t="s">
        <v>26</v>
      </c>
      <c r="H12856" s="0" t="n">
        <v>30</v>
      </c>
      <c r="I12856" s="0" t="s">
        <v>42865</v>
      </c>
      <c r="J12856" s="0" t="s">
        <v>42866</v>
      </c>
      <c r="K12856" s="0" t="s">
        <v>42867</v>
      </c>
      <c r="L12856" s="0" t="str">
        <f aca="false">HYPERLINK("https://www.ncbi.nlm.nih.gov/nuccore/CP000304.1?report=graph&amp;tracks=[key:gene_model_track,Options:GeneOnly]&amp;mk=3627278:3627297|offset_10|444444,3627298:3627317|offset_30|00cc00,3627323:3627342|offset_55|444444,3627346:3627365|offset_78|444444&amp;v=3627077:3627565&amp;c=444444", "offset 30")</f>
        <v>offset 30</v>
      </c>
    </row>
    <row r="12857" customFormat="false" ht="12.8" hidden="false" customHeight="false" outlineLevel="0" collapsed="false">
      <c r="A12857" s="0" t="s">
        <v>12</v>
      </c>
      <c r="B12857" s="0" t="n">
        <v>3627322</v>
      </c>
      <c r="C12857" s="0" t="n">
        <v>3627342</v>
      </c>
      <c r="D12857" s="0" t="s">
        <v>42861</v>
      </c>
      <c r="E12857" s="0" t="s">
        <v>89</v>
      </c>
      <c r="F12857" s="0" t="s">
        <v>15</v>
      </c>
      <c r="G12857" s="0" t="s">
        <v>16</v>
      </c>
      <c r="H12857" s="0" t="n">
        <v>55</v>
      </c>
      <c r="I12857" s="0" t="s">
        <v>42868</v>
      </c>
      <c r="J12857" s="0" t="s">
        <v>42869</v>
      </c>
      <c r="K12857" s="0" t="s">
        <v>42870</v>
      </c>
      <c r="L12857" s="0" t="str">
        <f aca="false">HYPERLINK("https://www.ncbi.nlm.nih.gov/nuccore/CP000304.1?report=graph&amp;tracks=[key:gene_model_track,Options:GeneOnly]&amp;mk=3627278:3627297|offset_10|444444,3627298:3627317|offset_30|444444,3627323:3627342|offset_55|00cc00,3627346:3627365|offset_78|444444&amp;v=3627077:3627565&amp;c=444444", "offset 55")</f>
        <v>offset 55</v>
      </c>
    </row>
    <row r="12858" customFormat="false" ht="12.8" hidden="false" customHeight="false" outlineLevel="0" collapsed="false">
      <c r="A12858" s="0" t="s">
        <v>12</v>
      </c>
      <c r="B12858" s="0" t="n">
        <v>3627345</v>
      </c>
      <c r="C12858" s="0" t="n">
        <v>3627365</v>
      </c>
      <c r="D12858" s="0" t="s">
        <v>42861</v>
      </c>
      <c r="E12858" s="0" t="s">
        <v>89</v>
      </c>
      <c r="F12858" s="0" t="s">
        <v>15</v>
      </c>
      <c r="G12858" s="0" t="s">
        <v>26</v>
      </c>
      <c r="H12858" s="0" t="n">
        <v>78</v>
      </c>
      <c r="I12858" s="0" t="s">
        <v>42871</v>
      </c>
      <c r="J12858" s="0" t="s">
        <v>42872</v>
      </c>
      <c r="K12858" s="0" t="s">
        <v>42873</v>
      </c>
      <c r="L12858" s="0" t="str">
        <f aca="false">HYPERLINK("https://www.ncbi.nlm.nih.gov/nuccore/CP000304.1?report=graph&amp;tracks=[key:gene_model_track,Options:GeneOnly]&amp;mk=3627278:3627297|offset_10|444444,3627298:3627317|offset_30|444444,3627323:3627342|offset_55|444444,3627346:3627365|offset_78|00cc00&amp;v=3627077:3627565&amp;c=444444", "offset 78")</f>
        <v>offset 78</v>
      </c>
    </row>
    <row r="12859" customFormat="false" ht="12.8" hidden="false" customHeight="false" outlineLevel="0" collapsed="false">
      <c r="A12859" s="0" t="s">
        <v>12</v>
      </c>
      <c r="B12859" s="0" t="n">
        <v>3630051</v>
      </c>
      <c r="C12859" s="0" t="n">
        <v>3630071</v>
      </c>
      <c r="D12859" s="0" t="s">
        <v>42874</v>
      </c>
      <c r="E12859" s="0" t="s">
        <v>89</v>
      </c>
      <c r="F12859" s="0" t="s">
        <v>90</v>
      </c>
      <c r="G12859" s="0" t="s">
        <v>36</v>
      </c>
      <c r="H12859" s="0" t="n">
        <v>10</v>
      </c>
      <c r="I12859" s="0" t="s">
        <v>42875</v>
      </c>
      <c r="J12859" s="0" t="s">
        <v>42876</v>
      </c>
      <c r="K12859" s="0" t="s">
        <v>42877</v>
      </c>
      <c r="L12859" s="0" t="str">
        <f aca="false">HYPERLINK("https://www.ncbi.nlm.nih.gov/nuccore/CP000304.1?report=graph&amp;tracks=[key:gene_model_track,Options:GeneOnly]&amp;mk=3630052:3630071|offset_10|00cc00,3630029:3630048|offset_33|444444,3629952:3629971|offset_110|444444,3629931:3629950|offset_131|444444&amp;v=3629851:3630150&amp;c=444444", "offset 10")</f>
        <v>offset 10</v>
      </c>
    </row>
    <row r="12860" customFormat="false" ht="12.8" hidden="false" customHeight="false" outlineLevel="0" collapsed="false">
      <c r="A12860" s="0" t="s">
        <v>12</v>
      </c>
      <c r="B12860" s="0" t="n">
        <v>3630028</v>
      </c>
      <c r="C12860" s="0" t="n">
        <v>3630048</v>
      </c>
      <c r="D12860" s="0" t="s">
        <v>42874</v>
      </c>
      <c r="E12860" s="0" t="s">
        <v>89</v>
      </c>
      <c r="F12860" s="0" t="s">
        <v>90</v>
      </c>
      <c r="G12860" s="0" t="s">
        <v>16</v>
      </c>
      <c r="H12860" s="0" t="n">
        <v>33</v>
      </c>
      <c r="I12860" s="0" t="s">
        <v>42878</v>
      </c>
      <c r="J12860" s="0" t="s">
        <v>42879</v>
      </c>
      <c r="K12860" s="0" t="s">
        <v>42880</v>
      </c>
      <c r="L12860" s="0" t="str">
        <f aca="false">HYPERLINK("https://www.ncbi.nlm.nih.gov/nuccore/CP000304.1?report=graph&amp;tracks=[key:gene_model_track,Options:GeneOnly]&amp;mk=3630052:3630071|offset_10|444444,3630029:3630048|offset_33|00cc00,3629952:3629971|offset_110|444444,3629931:3629950|offset_131|444444&amp;v=3629851:3630150&amp;c=444444", "offset 33")</f>
        <v>offset 33</v>
      </c>
    </row>
    <row r="12861" customFormat="false" ht="12.8" hidden="false" customHeight="false" outlineLevel="0" collapsed="false">
      <c r="A12861" s="0" t="s">
        <v>12</v>
      </c>
      <c r="B12861" s="0" t="n">
        <v>3629951</v>
      </c>
      <c r="C12861" s="0" t="n">
        <v>3629971</v>
      </c>
      <c r="D12861" s="0" t="s">
        <v>42874</v>
      </c>
      <c r="E12861" s="0" t="s">
        <v>89</v>
      </c>
      <c r="F12861" s="0" t="s">
        <v>90</v>
      </c>
      <c r="G12861" s="0" t="s">
        <v>16</v>
      </c>
      <c r="H12861" s="0" t="n">
        <v>110</v>
      </c>
      <c r="I12861" s="0" t="s">
        <v>42881</v>
      </c>
      <c r="J12861" s="0" t="s">
        <v>42882</v>
      </c>
      <c r="K12861" s="0" t="s">
        <v>42883</v>
      </c>
      <c r="L12861" s="0" t="str">
        <f aca="false">HYPERLINK("https://www.ncbi.nlm.nih.gov/nuccore/CP000304.1?report=graph&amp;tracks=[key:gene_model_track,Options:GeneOnly]&amp;mk=3630052:3630071|offset_10|444444,3630029:3630048|offset_33|444444,3629952:3629971|offset_110|00cc00,3629931:3629950|offset_131|444444&amp;v=3629851:3630150&amp;c=444444", "offset 110")</f>
        <v>offset 110</v>
      </c>
    </row>
    <row r="12862" customFormat="false" ht="12.8" hidden="false" customHeight="false" outlineLevel="0" collapsed="false">
      <c r="A12862" s="0" t="s">
        <v>12</v>
      </c>
      <c r="B12862" s="0" t="n">
        <v>3629930</v>
      </c>
      <c r="C12862" s="0" t="n">
        <v>3629950</v>
      </c>
      <c r="D12862" s="0" t="s">
        <v>42874</v>
      </c>
      <c r="E12862" s="0" t="s">
        <v>89</v>
      </c>
      <c r="F12862" s="0" t="s">
        <v>90</v>
      </c>
      <c r="G12862" s="0" t="s">
        <v>32</v>
      </c>
      <c r="H12862" s="0" t="n">
        <v>131</v>
      </c>
      <c r="I12862" s="0" t="s">
        <v>42884</v>
      </c>
      <c r="J12862" s="0" t="s">
        <v>42885</v>
      </c>
      <c r="K12862" s="0" t="s">
        <v>42886</v>
      </c>
      <c r="L12862" s="0" t="str">
        <f aca="false">HYPERLINK("https://www.ncbi.nlm.nih.gov/nuccore/CP000304.1?report=graph&amp;tracks=[key:gene_model_track,Options:GeneOnly]&amp;mk=3630052:3630071|offset_10|444444,3630029:3630048|offset_33|444444,3629952:3629971|offset_110|444444,3629931:3629950|offset_131|00cc00&amp;v=3629851:3630150&amp;c=444444", "offset 131")</f>
        <v>offset 131</v>
      </c>
    </row>
    <row r="12863" customFormat="false" ht="12.8" hidden="false" customHeight="false" outlineLevel="0" collapsed="false">
      <c r="A12863" s="0" t="s">
        <v>12</v>
      </c>
      <c r="B12863" s="0" t="n">
        <v>3631077</v>
      </c>
      <c r="C12863" s="0" t="n">
        <v>3631097</v>
      </c>
      <c r="D12863" s="0" t="s">
        <v>42887</v>
      </c>
      <c r="E12863" s="0" t="s">
        <v>89</v>
      </c>
      <c r="F12863" s="0" t="s">
        <v>90</v>
      </c>
      <c r="G12863" s="0" t="s">
        <v>36</v>
      </c>
      <c r="H12863" s="0" t="n">
        <v>0</v>
      </c>
      <c r="I12863" s="0" t="s">
        <v>42888</v>
      </c>
      <c r="J12863" s="0" t="s">
        <v>42889</v>
      </c>
      <c r="K12863" s="0" t="s">
        <v>42890</v>
      </c>
      <c r="L12863" s="0" t="str">
        <f aca="false">HYPERLINK("https://www.ncbi.nlm.nih.gov/nuccore/CP000304.1?report=graph&amp;tracks=[key:gene_model_track,Options:GeneOnly]&amp;mk=3631078:3631097|offset_0|00cc00,3631032:3631051|offset_46|444444,3630985:3631004|offset_93|444444,3630962:3630981|offset_116|444444&amp;v=3630877:3631181&amp;c=444444", "offset 0")</f>
        <v>offset 0</v>
      </c>
    </row>
    <row r="12864" customFormat="false" ht="12.8" hidden="false" customHeight="false" outlineLevel="0" collapsed="false">
      <c r="A12864" s="0" t="s">
        <v>12</v>
      </c>
      <c r="B12864" s="0" t="n">
        <v>3631031</v>
      </c>
      <c r="C12864" s="0" t="n">
        <v>3631051</v>
      </c>
      <c r="D12864" s="0" t="s">
        <v>42887</v>
      </c>
      <c r="E12864" s="0" t="s">
        <v>89</v>
      </c>
      <c r="F12864" s="0" t="s">
        <v>90</v>
      </c>
      <c r="G12864" s="0" t="s">
        <v>32</v>
      </c>
      <c r="H12864" s="0" t="n">
        <v>46</v>
      </c>
      <c r="I12864" s="0" t="s">
        <v>42891</v>
      </c>
      <c r="J12864" s="0" t="s">
        <v>42892</v>
      </c>
      <c r="K12864" s="0" t="s">
        <v>42893</v>
      </c>
      <c r="L12864" s="0" t="str">
        <f aca="false">HYPERLINK("https://www.ncbi.nlm.nih.gov/nuccore/CP000304.1?report=graph&amp;tracks=[key:gene_model_track,Options:GeneOnly]&amp;mk=3631078:3631097|offset_0|444444,3631032:3631051|offset_46|00cc00,3630985:3631004|offset_93|444444,3630962:3630981|offset_116|444444&amp;v=3630877:3631181&amp;c=444444", "offset 46")</f>
        <v>offset 46</v>
      </c>
    </row>
    <row r="12865" customFormat="false" ht="12.8" hidden="false" customHeight="false" outlineLevel="0" collapsed="false">
      <c r="A12865" s="0" t="s">
        <v>12</v>
      </c>
      <c r="B12865" s="0" t="n">
        <v>3630984</v>
      </c>
      <c r="C12865" s="0" t="n">
        <v>3631004</v>
      </c>
      <c r="D12865" s="0" t="s">
        <v>42887</v>
      </c>
      <c r="E12865" s="0" t="s">
        <v>89</v>
      </c>
      <c r="F12865" s="0" t="s">
        <v>90</v>
      </c>
      <c r="G12865" s="0" t="s">
        <v>16</v>
      </c>
      <c r="H12865" s="0" t="n">
        <v>93</v>
      </c>
      <c r="I12865" s="0" t="s">
        <v>42894</v>
      </c>
      <c r="J12865" s="0" t="s">
        <v>42895</v>
      </c>
      <c r="K12865" s="0" t="s">
        <v>42896</v>
      </c>
      <c r="L12865" s="0" t="str">
        <f aca="false">HYPERLINK("https://www.ncbi.nlm.nih.gov/nuccore/CP000304.1?report=graph&amp;tracks=[key:gene_model_track,Options:GeneOnly]&amp;mk=3631078:3631097|offset_0|444444,3631032:3631051|offset_46|444444,3630985:3631004|offset_93|00cc00,3630962:3630981|offset_116|444444&amp;v=3630877:3631181&amp;c=444444", "offset 93")</f>
        <v>offset 93</v>
      </c>
    </row>
    <row r="12866" customFormat="false" ht="12.8" hidden="false" customHeight="false" outlineLevel="0" collapsed="false">
      <c r="A12866" s="0" t="s">
        <v>12</v>
      </c>
      <c r="B12866" s="0" t="n">
        <v>3630961</v>
      </c>
      <c r="C12866" s="0" t="n">
        <v>3630981</v>
      </c>
      <c r="D12866" s="0" t="s">
        <v>42887</v>
      </c>
      <c r="E12866" s="0" t="s">
        <v>89</v>
      </c>
      <c r="F12866" s="0" t="s">
        <v>90</v>
      </c>
      <c r="G12866" s="0" t="s">
        <v>16</v>
      </c>
      <c r="H12866" s="0" t="n">
        <v>116</v>
      </c>
      <c r="I12866" s="0" t="s">
        <v>42897</v>
      </c>
      <c r="J12866" s="0" t="s">
        <v>42898</v>
      </c>
      <c r="K12866" s="0" t="s">
        <v>42899</v>
      </c>
      <c r="L12866" s="0" t="str">
        <f aca="false">HYPERLINK("https://www.ncbi.nlm.nih.gov/nuccore/CP000304.1?report=graph&amp;tracks=[key:gene_model_track,Options:GeneOnly]&amp;mk=3631078:3631097|offset_0|444444,3631032:3631051|offset_46|444444,3630985:3631004|offset_93|444444,3630962:3630981|offset_116|00cc00&amp;v=3630877:3631181&amp;c=444444", "offset 116")</f>
        <v>offset 116</v>
      </c>
    </row>
    <row r="12867" customFormat="false" ht="12.8" hidden="false" customHeight="false" outlineLevel="0" collapsed="false">
      <c r="A12867" s="0" t="s">
        <v>12</v>
      </c>
      <c r="B12867" s="0" t="n">
        <v>3631362</v>
      </c>
      <c r="C12867" s="0" t="n">
        <v>3631382</v>
      </c>
      <c r="D12867" s="0" t="s">
        <v>42900</v>
      </c>
      <c r="E12867" s="0" t="s">
        <v>89</v>
      </c>
      <c r="F12867" s="0" t="s">
        <v>90</v>
      </c>
      <c r="G12867" s="0" t="s">
        <v>32</v>
      </c>
      <c r="H12867" s="0" t="n">
        <v>22</v>
      </c>
      <c r="I12867" s="0" t="s">
        <v>42901</v>
      </c>
      <c r="J12867" s="0" t="s">
        <v>42902</v>
      </c>
      <c r="K12867" s="0" t="s">
        <v>42903</v>
      </c>
      <c r="L12867" s="0" t="str">
        <f aca="false">HYPERLINK("https://www.ncbi.nlm.nih.gov/nuccore/CP000304.1?report=graph&amp;tracks=[key:gene_model_track,Options:GeneOnly]&amp;mk=3631363:3631382|offset_22|00cc00,3631330:3631349|offset_55|444444,3631307:3631326|offset_78|444444,3631240:3631259|offset_145|444444&amp;v=3631162:3631459&amp;c=444444", "offset 22")</f>
        <v>offset 22</v>
      </c>
    </row>
    <row r="12868" customFormat="false" ht="12.8" hidden="false" customHeight="false" outlineLevel="0" collapsed="false">
      <c r="A12868" s="0" t="s">
        <v>12</v>
      </c>
      <c r="B12868" s="0" t="n">
        <v>3631329</v>
      </c>
      <c r="C12868" s="0" t="n">
        <v>3631349</v>
      </c>
      <c r="D12868" s="0" t="s">
        <v>42900</v>
      </c>
      <c r="E12868" s="0" t="s">
        <v>89</v>
      </c>
      <c r="F12868" s="0" t="s">
        <v>90</v>
      </c>
      <c r="G12868" s="0" t="s">
        <v>32</v>
      </c>
      <c r="H12868" s="0" t="n">
        <v>55</v>
      </c>
      <c r="I12868" s="0" t="s">
        <v>42904</v>
      </c>
      <c r="J12868" s="0" t="s">
        <v>42905</v>
      </c>
      <c r="K12868" s="0" t="s">
        <v>42906</v>
      </c>
      <c r="L12868" s="0" t="str">
        <f aca="false">HYPERLINK("https://www.ncbi.nlm.nih.gov/nuccore/CP000304.1?report=graph&amp;tracks=[key:gene_model_track,Options:GeneOnly]&amp;mk=3631363:3631382|offset_22|444444,3631330:3631349|offset_55|00cc00,3631307:3631326|offset_78|444444,3631240:3631259|offset_145|444444&amp;v=3631162:3631459&amp;c=444444", "offset 55")</f>
        <v>offset 55</v>
      </c>
    </row>
    <row r="12869" customFormat="false" ht="12.8" hidden="false" customHeight="false" outlineLevel="0" collapsed="false">
      <c r="A12869" s="0" t="s">
        <v>12</v>
      </c>
      <c r="B12869" s="0" t="n">
        <v>3631306</v>
      </c>
      <c r="C12869" s="0" t="n">
        <v>3631326</v>
      </c>
      <c r="D12869" s="0" t="s">
        <v>42900</v>
      </c>
      <c r="E12869" s="0" t="s">
        <v>89</v>
      </c>
      <c r="F12869" s="0" t="s">
        <v>90</v>
      </c>
      <c r="G12869" s="0" t="s">
        <v>32</v>
      </c>
      <c r="H12869" s="0" t="n">
        <v>78</v>
      </c>
      <c r="I12869" s="0" t="s">
        <v>42907</v>
      </c>
      <c r="J12869" s="0" t="s">
        <v>42908</v>
      </c>
      <c r="K12869" s="0" t="s">
        <v>42909</v>
      </c>
      <c r="L12869" s="0" t="str">
        <f aca="false">HYPERLINK("https://www.ncbi.nlm.nih.gov/nuccore/CP000304.1?report=graph&amp;tracks=[key:gene_model_track,Options:GeneOnly]&amp;mk=3631363:3631382|offset_22|444444,3631330:3631349|offset_55|444444,3631307:3631326|offset_78|00cc00,3631240:3631259|offset_145|444444&amp;v=3631162:3631459&amp;c=444444", "offset 78")</f>
        <v>offset 78</v>
      </c>
    </row>
    <row r="12870" customFormat="false" ht="12.8" hidden="false" customHeight="false" outlineLevel="0" collapsed="false">
      <c r="A12870" s="0" t="s">
        <v>12</v>
      </c>
      <c r="B12870" s="0" t="n">
        <v>3631239</v>
      </c>
      <c r="C12870" s="0" t="n">
        <v>3631259</v>
      </c>
      <c r="D12870" s="0" t="s">
        <v>42900</v>
      </c>
      <c r="E12870" s="0" t="s">
        <v>89</v>
      </c>
      <c r="F12870" s="0" t="s">
        <v>90</v>
      </c>
      <c r="G12870" s="0" t="s">
        <v>16</v>
      </c>
      <c r="H12870" s="0" t="n">
        <v>145</v>
      </c>
      <c r="I12870" s="0" t="s">
        <v>42910</v>
      </c>
      <c r="J12870" s="0" t="s">
        <v>42911</v>
      </c>
      <c r="K12870" s="0" t="s">
        <v>42912</v>
      </c>
      <c r="L12870" s="0" t="str">
        <f aca="false">HYPERLINK("https://www.ncbi.nlm.nih.gov/nuccore/CP000304.1?report=graph&amp;tracks=[key:gene_model_track,Options:GeneOnly]&amp;mk=3631363:3631382|offset_22|444444,3631330:3631349|offset_55|444444,3631307:3631326|offset_78|444444,3631240:3631259|offset_145|00cc00&amp;v=3631162:3631459&amp;c=444444", "offset 145")</f>
        <v>offset 145</v>
      </c>
    </row>
    <row r="12871" customFormat="false" ht="12.8" hidden="false" customHeight="false" outlineLevel="0" collapsed="false">
      <c r="A12871" s="0" t="s">
        <v>12</v>
      </c>
      <c r="B12871" s="0" t="n">
        <v>3631801</v>
      </c>
      <c r="C12871" s="0" t="n">
        <v>3631821</v>
      </c>
      <c r="D12871" s="0" t="s">
        <v>42913</v>
      </c>
      <c r="E12871" s="0" t="s">
        <v>42914</v>
      </c>
      <c r="F12871" s="0" t="s">
        <v>90</v>
      </c>
      <c r="G12871" s="0" t="s">
        <v>32</v>
      </c>
      <c r="H12871" s="0" t="n">
        <v>1</v>
      </c>
      <c r="I12871" s="0" t="s">
        <v>42915</v>
      </c>
      <c r="J12871" s="0" t="s">
        <v>42916</v>
      </c>
      <c r="K12871" s="0" t="s">
        <v>42917</v>
      </c>
      <c r="L12871" s="0" t="str">
        <f aca="false">HYPERLINK("https://www.ncbi.nlm.nih.gov/nuccore/CP000304.1?report=graph&amp;tracks=[key:gene_model_track,Options:GeneOnly]&amp;mk=3631802:3631821|offset_1|00cc00,3631779:3631798|offset_24|444444,3631752:3631771|offset_51|444444,3631731:3631750|offset_72|444444&amp;v=3631601:3631950&amp;c=444444", "offset 1")</f>
        <v>offset 1</v>
      </c>
    </row>
    <row r="12872" customFormat="false" ht="12.8" hidden="false" customHeight="false" outlineLevel="0" collapsed="false">
      <c r="A12872" s="0" t="s">
        <v>12</v>
      </c>
      <c r="B12872" s="0" t="n">
        <v>3631778</v>
      </c>
      <c r="C12872" s="0" t="n">
        <v>3631798</v>
      </c>
      <c r="D12872" s="0" t="s">
        <v>42913</v>
      </c>
      <c r="E12872" s="0" t="s">
        <v>42914</v>
      </c>
      <c r="F12872" s="0" t="s">
        <v>90</v>
      </c>
      <c r="G12872" s="0" t="s">
        <v>26</v>
      </c>
      <c r="H12872" s="0" t="n">
        <v>24</v>
      </c>
      <c r="I12872" s="0" t="s">
        <v>42918</v>
      </c>
      <c r="J12872" s="0" t="s">
        <v>42919</v>
      </c>
      <c r="K12872" s="0" t="s">
        <v>42920</v>
      </c>
      <c r="L12872" s="0" t="str">
        <f aca="false">HYPERLINK("https://www.ncbi.nlm.nih.gov/nuccore/CP000304.1?report=graph&amp;tracks=[key:gene_model_track,Options:GeneOnly]&amp;mk=3631802:3631821|offset_1|444444,3631779:3631798|offset_24|00cc00,3631752:3631771|offset_51|444444,3631731:3631750|offset_72|444444&amp;v=3631601:3631950&amp;c=444444", "offset 24")</f>
        <v>offset 24</v>
      </c>
    </row>
    <row r="12873" customFormat="false" ht="12.8" hidden="false" customHeight="false" outlineLevel="0" collapsed="false">
      <c r="A12873" s="0" t="s">
        <v>12</v>
      </c>
      <c r="B12873" s="0" t="n">
        <v>3631751</v>
      </c>
      <c r="C12873" s="0" t="n">
        <v>3631771</v>
      </c>
      <c r="D12873" s="0" t="s">
        <v>42913</v>
      </c>
      <c r="E12873" s="0" t="s">
        <v>42914</v>
      </c>
      <c r="F12873" s="0" t="s">
        <v>90</v>
      </c>
      <c r="G12873" s="0" t="s">
        <v>16</v>
      </c>
      <c r="H12873" s="0" t="n">
        <v>51</v>
      </c>
      <c r="I12873" s="0" t="s">
        <v>42921</v>
      </c>
      <c r="J12873" s="0" t="s">
        <v>42922</v>
      </c>
      <c r="K12873" s="0" t="s">
        <v>42923</v>
      </c>
      <c r="L12873" s="0" t="str">
        <f aca="false">HYPERLINK("https://www.ncbi.nlm.nih.gov/nuccore/CP000304.1?report=graph&amp;tracks=[key:gene_model_track,Options:GeneOnly]&amp;mk=3631802:3631821|offset_1|444444,3631779:3631798|offset_24|444444,3631752:3631771|offset_51|00cc00,3631731:3631750|offset_72|444444&amp;v=3631601:3631950&amp;c=444444", "offset 51")</f>
        <v>offset 51</v>
      </c>
    </row>
    <row r="12874" customFormat="false" ht="12.8" hidden="false" customHeight="false" outlineLevel="0" collapsed="false">
      <c r="A12874" s="0" t="s">
        <v>12</v>
      </c>
      <c r="B12874" s="0" t="n">
        <v>3631730</v>
      </c>
      <c r="C12874" s="0" t="n">
        <v>3631750</v>
      </c>
      <c r="D12874" s="0" t="s">
        <v>42913</v>
      </c>
      <c r="E12874" s="0" t="s">
        <v>42914</v>
      </c>
      <c r="F12874" s="0" t="s">
        <v>90</v>
      </c>
      <c r="G12874" s="0" t="s">
        <v>36</v>
      </c>
      <c r="H12874" s="0" t="n">
        <v>72</v>
      </c>
      <c r="I12874" s="0" t="s">
        <v>42924</v>
      </c>
      <c r="J12874" s="0" t="s">
        <v>42925</v>
      </c>
      <c r="K12874" s="0" t="s">
        <v>42926</v>
      </c>
      <c r="L12874" s="0" t="str">
        <f aca="false">HYPERLINK("https://www.ncbi.nlm.nih.gov/nuccore/CP000304.1?report=graph&amp;tracks=[key:gene_model_track,Options:GeneOnly]&amp;mk=3631802:3631821|offset_1|444444,3631779:3631798|offset_24|444444,3631752:3631771|offset_51|444444,3631731:3631750|offset_72|00cc00&amp;v=3631601:3631950&amp;c=444444", "offset 72")</f>
        <v>offset 72</v>
      </c>
    </row>
    <row r="12875" customFormat="false" ht="12.8" hidden="false" customHeight="false" outlineLevel="0" collapsed="false">
      <c r="A12875" s="0" t="s">
        <v>12</v>
      </c>
      <c r="B12875" s="0" t="n">
        <v>3631904</v>
      </c>
      <c r="C12875" s="0" t="n">
        <v>3631924</v>
      </c>
      <c r="D12875" s="0" t="s">
        <v>42927</v>
      </c>
      <c r="E12875" s="0" t="s">
        <v>89</v>
      </c>
      <c r="F12875" s="0" t="s">
        <v>15</v>
      </c>
      <c r="G12875" s="0" t="s">
        <v>36</v>
      </c>
      <c r="H12875" s="0" t="n">
        <v>0</v>
      </c>
      <c r="I12875" s="0" t="s">
        <v>42928</v>
      </c>
      <c r="J12875" s="0" t="s">
        <v>42929</v>
      </c>
      <c r="K12875" s="0" t="s">
        <v>42930</v>
      </c>
      <c r="L12875" s="0" t="str">
        <f aca="false">HYPERLINK("https://www.ncbi.nlm.nih.gov/nuccore/CP000304.1?report=graph&amp;tracks=[key:gene_model_track,Options:GeneOnly]&amp;mk=3631905:3631924|offset_0|00cc00,3631931:3631950|offset_26|444444,3631974:3631993|offset_69|444444,3632001:3632020|offset_96|444444&amp;v=3631704:3632220&amp;c=444444", "offset 0")</f>
        <v>offset 0</v>
      </c>
    </row>
    <row r="12876" customFormat="false" ht="12.8" hidden="false" customHeight="false" outlineLevel="0" collapsed="false">
      <c r="A12876" s="0" t="s">
        <v>12</v>
      </c>
      <c r="B12876" s="0" t="n">
        <v>3631930</v>
      </c>
      <c r="C12876" s="0" t="n">
        <v>3631950</v>
      </c>
      <c r="D12876" s="0" t="s">
        <v>42927</v>
      </c>
      <c r="E12876" s="0" t="s">
        <v>89</v>
      </c>
      <c r="F12876" s="0" t="s">
        <v>15</v>
      </c>
      <c r="G12876" s="0" t="s">
        <v>16</v>
      </c>
      <c r="H12876" s="0" t="n">
        <v>26</v>
      </c>
      <c r="I12876" s="0" t="s">
        <v>42931</v>
      </c>
      <c r="J12876" s="0" t="s">
        <v>42932</v>
      </c>
      <c r="K12876" s="0" t="s">
        <v>42933</v>
      </c>
      <c r="L12876" s="0" t="str">
        <f aca="false">HYPERLINK("https://www.ncbi.nlm.nih.gov/nuccore/CP000304.1?report=graph&amp;tracks=[key:gene_model_track,Options:GeneOnly]&amp;mk=3631905:3631924|offset_0|444444,3631931:3631950|offset_26|00cc00,3631974:3631993|offset_69|444444,3632001:3632020|offset_96|444444&amp;v=3631704:3632220&amp;c=444444", "offset 26")</f>
        <v>offset 26</v>
      </c>
    </row>
    <row r="12877" customFormat="false" ht="12.8" hidden="false" customHeight="false" outlineLevel="0" collapsed="false">
      <c r="A12877" s="0" t="s">
        <v>12</v>
      </c>
      <c r="B12877" s="0" t="n">
        <v>3631973</v>
      </c>
      <c r="C12877" s="0" t="n">
        <v>3631993</v>
      </c>
      <c r="D12877" s="0" t="s">
        <v>42927</v>
      </c>
      <c r="E12877" s="0" t="s">
        <v>89</v>
      </c>
      <c r="F12877" s="0" t="s">
        <v>15</v>
      </c>
      <c r="G12877" s="0" t="s">
        <v>36</v>
      </c>
      <c r="H12877" s="0" t="n">
        <v>69</v>
      </c>
      <c r="I12877" s="0" t="s">
        <v>42934</v>
      </c>
      <c r="J12877" s="0" t="s">
        <v>42935</v>
      </c>
      <c r="K12877" s="0" t="s">
        <v>42936</v>
      </c>
      <c r="L12877" s="0" t="str">
        <f aca="false">HYPERLINK("https://www.ncbi.nlm.nih.gov/nuccore/CP000304.1?report=graph&amp;tracks=[key:gene_model_track,Options:GeneOnly]&amp;mk=3631905:3631924|offset_0|444444,3631931:3631950|offset_26|444444,3631974:3631993|offset_69|00cc00,3632001:3632020|offset_96|444444&amp;v=3631704:3632220&amp;c=444444", "offset 69")</f>
        <v>offset 69</v>
      </c>
    </row>
    <row r="12878" customFormat="false" ht="12.8" hidden="false" customHeight="false" outlineLevel="0" collapsed="false">
      <c r="A12878" s="0" t="s">
        <v>12</v>
      </c>
      <c r="B12878" s="0" t="n">
        <v>3632000</v>
      </c>
      <c r="C12878" s="0" t="n">
        <v>3632020</v>
      </c>
      <c r="D12878" s="0" t="s">
        <v>42927</v>
      </c>
      <c r="E12878" s="0" t="s">
        <v>89</v>
      </c>
      <c r="F12878" s="0" t="s">
        <v>15</v>
      </c>
      <c r="G12878" s="0" t="s">
        <v>26</v>
      </c>
      <c r="H12878" s="0" t="n">
        <v>96</v>
      </c>
      <c r="I12878" s="0" t="s">
        <v>42937</v>
      </c>
      <c r="J12878" s="0" t="s">
        <v>42938</v>
      </c>
      <c r="K12878" s="0" t="s">
        <v>42939</v>
      </c>
      <c r="L12878" s="0" t="str">
        <f aca="false">HYPERLINK("https://www.ncbi.nlm.nih.gov/nuccore/CP000304.1?report=graph&amp;tracks=[key:gene_model_track,Options:GeneOnly]&amp;mk=3631905:3631924|offset_0|444444,3631931:3631950|offset_26|444444,3631974:3631993|offset_69|444444,3632001:3632020|offset_96|00cc00&amp;v=3631704:3632220&amp;c=444444", "offset 96")</f>
        <v>offset 96</v>
      </c>
    </row>
    <row r="12879" customFormat="false" ht="12.8" hidden="false" customHeight="false" outlineLevel="0" collapsed="false">
      <c r="A12879" s="0" t="s">
        <v>12</v>
      </c>
      <c r="B12879" s="0" t="n">
        <v>3633093</v>
      </c>
      <c r="C12879" s="0" t="n">
        <v>3633113</v>
      </c>
      <c r="D12879" s="0" t="s">
        <v>42940</v>
      </c>
      <c r="E12879" s="0" t="s">
        <v>89</v>
      </c>
      <c r="F12879" s="0" t="s">
        <v>15</v>
      </c>
      <c r="G12879" s="0" t="s">
        <v>16</v>
      </c>
      <c r="H12879" s="0" t="n">
        <v>12</v>
      </c>
      <c r="I12879" s="0" t="s">
        <v>42941</v>
      </c>
      <c r="J12879" s="0" t="s">
        <v>42942</v>
      </c>
      <c r="K12879" s="0" t="s">
        <v>42943</v>
      </c>
      <c r="L12879" s="0" t="str">
        <f aca="false">HYPERLINK("https://www.ncbi.nlm.nih.gov/nuccore/CP000304.1?report=graph&amp;tracks=[key:gene_model_track,Options:GeneOnly]&amp;mk=3633094:3633113|offset_12|00cc00,3633132:3633151|offset_50|444444,3633158:3633177|offset_76|444444,3633214:3633233|offset_132|444444&amp;v=3632893:3633433&amp;c=444444", "offset 12")</f>
        <v>offset 12</v>
      </c>
    </row>
    <row r="12880" customFormat="false" ht="12.8" hidden="false" customHeight="false" outlineLevel="0" collapsed="false">
      <c r="A12880" s="0" t="s">
        <v>12</v>
      </c>
      <c r="B12880" s="0" t="n">
        <v>3633131</v>
      </c>
      <c r="C12880" s="0" t="n">
        <v>3633151</v>
      </c>
      <c r="D12880" s="0" t="s">
        <v>42940</v>
      </c>
      <c r="E12880" s="0" t="s">
        <v>89</v>
      </c>
      <c r="F12880" s="0" t="s">
        <v>15</v>
      </c>
      <c r="G12880" s="0" t="s">
        <v>26</v>
      </c>
      <c r="H12880" s="0" t="n">
        <v>50</v>
      </c>
      <c r="I12880" s="0" t="s">
        <v>42944</v>
      </c>
      <c r="J12880" s="0" t="s">
        <v>42945</v>
      </c>
      <c r="K12880" s="0" t="s">
        <v>42946</v>
      </c>
      <c r="L12880" s="0" t="str">
        <f aca="false">HYPERLINK("https://www.ncbi.nlm.nih.gov/nuccore/CP000304.1?report=graph&amp;tracks=[key:gene_model_track,Options:GeneOnly]&amp;mk=3633094:3633113|offset_12|444444,3633132:3633151|offset_50|00cc00,3633158:3633177|offset_76|444444,3633214:3633233|offset_132|444444&amp;v=3632893:3633433&amp;c=444444", "offset 50")</f>
        <v>offset 50</v>
      </c>
    </row>
    <row r="12881" customFormat="false" ht="12.8" hidden="false" customHeight="false" outlineLevel="0" collapsed="false">
      <c r="A12881" s="0" t="s">
        <v>12</v>
      </c>
      <c r="B12881" s="0" t="n">
        <v>3633157</v>
      </c>
      <c r="C12881" s="0" t="n">
        <v>3633177</v>
      </c>
      <c r="D12881" s="0" t="s">
        <v>42940</v>
      </c>
      <c r="E12881" s="0" t="s">
        <v>89</v>
      </c>
      <c r="F12881" s="0" t="s">
        <v>15</v>
      </c>
      <c r="G12881" s="0" t="s">
        <v>32</v>
      </c>
      <c r="H12881" s="0" t="n">
        <v>76</v>
      </c>
      <c r="I12881" s="0" t="s">
        <v>42947</v>
      </c>
      <c r="J12881" s="0" t="s">
        <v>42948</v>
      </c>
      <c r="K12881" s="0" t="s">
        <v>42949</v>
      </c>
      <c r="L12881" s="0" t="str">
        <f aca="false">HYPERLINK("https://www.ncbi.nlm.nih.gov/nuccore/CP000304.1?report=graph&amp;tracks=[key:gene_model_track,Options:GeneOnly]&amp;mk=3633094:3633113|offset_12|444444,3633132:3633151|offset_50|444444,3633158:3633177|offset_76|00cc00,3633214:3633233|offset_132|444444&amp;v=3632893:3633433&amp;c=444444", "offset 76")</f>
        <v>offset 76</v>
      </c>
    </row>
    <row r="12882" customFormat="false" ht="12.8" hidden="false" customHeight="false" outlineLevel="0" collapsed="false">
      <c r="A12882" s="0" t="s">
        <v>12</v>
      </c>
      <c r="B12882" s="0" t="n">
        <v>3633213</v>
      </c>
      <c r="C12882" s="0" t="n">
        <v>3633233</v>
      </c>
      <c r="D12882" s="0" t="s">
        <v>42940</v>
      </c>
      <c r="E12882" s="0" t="s">
        <v>89</v>
      </c>
      <c r="F12882" s="0" t="s">
        <v>15</v>
      </c>
      <c r="G12882" s="0" t="s">
        <v>36</v>
      </c>
      <c r="H12882" s="0" t="n">
        <v>132</v>
      </c>
      <c r="I12882" s="0" t="s">
        <v>42950</v>
      </c>
      <c r="J12882" s="0" t="s">
        <v>42951</v>
      </c>
      <c r="K12882" s="0" t="s">
        <v>42952</v>
      </c>
      <c r="L12882" s="0" t="str">
        <f aca="false">HYPERLINK("https://www.ncbi.nlm.nih.gov/nuccore/CP000304.1?report=graph&amp;tracks=[key:gene_model_track,Options:GeneOnly]&amp;mk=3633094:3633113|offset_12|444444,3633132:3633151|offset_50|444444,3633158:3633177|offset_76|444444,3633214:3633233|offset_132|00cc00&amp;v=3632893:3633433&amp;c=444444", "offset 132")</f>
        <v>offset 132</v>
      </c>
    </row>
    <row r="12883" customFormat="false" ht="12.8" hidden="false" customHeight="false" outlineLevel="0" collapsed="false">
      <c r="A12883" s="0" t="s">
        <v>12</v>
      </c>
      <c r="B12883" s="0" t="n">
        <v>3634813</v>
      </c>
      <c r="C12883" s="0" t="n">
        <v>3634833</v>
      </c>
      <c r="D12883" s="0" t="s">
        <v>42953</v>
      </c>
      <c r="E12883" s="0" t="s">
        <v>89</v>
      </c>
      <c r="F12883" s="0" t="s">
        <v>90</v>
      </c>
      <c r="G12883" s="0" t="s">
        <v>26</v>
      </c>
      <c r="H12883" s="0" t="n">
        <v>13</v>
      </c>
      <c r="I12883" s="0" t="s">
        <v>42954</v>
      </c>
      <c r="J12883" s="0" t="s">
        <v>42955</v>
      </c>
      <c r="K12883" s="0" t="s">
        <v>42956</v>
      </c>
      <c r="L12883" s="0" t="str">
        <f aca="false">HYPERLINK("https://www.ncbi.nlm.nih.gov/nuccore/CP000304.1?report=graph&amp;tracks=[key:gene_model_track,Options:GeneOnly]&amp;mk=3634814:3634833|offset_13|00cc00,3634742:3634761|offset_85|444444,3634714:3634733|offset_113|444444,3634676:3634695|offset_151|444444&amp;v=3634613:3634895&amp;c=444444", "offset 13")</f>
        <v>offset 13</v>
      </c>
    </row>
    <row r="12884" customFormat="false" ht="12.8" hidden="false" customHeight="false" outlineLevel="0" collapsed="false">
      <c r="A12884" s="0" t="s">
        <v>12</v>
      </c>
      <c r="B12884" s="0" t="n">
        <v>3634741</v>
      </c>
      <c r="C12884" s="0" t="n">
        <v>3634761</v>
      </c>
      <c r="D12884" s="0" t="s">
        <v>42953</v>
      </c>
      <c r="E12884" s="0" t="s">
        <v>89</v>
      </c>
      <c r="F12884" s="0" t="s">
        <v>90</v>
      </c>
      <c r="G12884" s="0" t="s">
        <v>26</v>
      </c>
      <c r="H12884" s="0" t="n">
        <v>85</v>
      </c>
      <c r="I12884" s="0" t="s">
        <v>42957</v>
      </c>
      <c r="J12884" s="0" t="s">
        <v>42958</v>
      </c>
      <c r="K12884" s="0" t="s">
        <v>42959</v>
      </c>
      <c r="L12884" s="0" t="str">
        <f aca="false">HYPERLINK("https://www.ncbi.nlm.nih.gov/nuccore/CP000304.1?report=graph&amp;tracks=[key:gene_model_track,Options:GeneOnly]&amp;mk=3634814:3634833|offset_13|444444,3634742:3634761|offset_85|00cc00,3634714:3634733|offset_113|444444,3634676:3634695|offset_151|444444&amp;v=3634613:3634895&amp;c=444444", "offset 85")</f>
        <v>offset 85</v>
      </c>
    </row>
    <row r="12885" customFormat="false" ht="12.8" hidden="false" customHeight="false" outlineLevel="0" collapsed="false">
      <c r="A12885" s="0" t="s">
        <v>12</v>
      </c>
      <c r="B12885" s="0" t="n">
        <v>3634713</v>
      </c>
      <c r="C12885" s="0" t="n">
        <v>3634733</v>
      </c>
      <c r="D12885" s="0" t="s">
        <v>42953</v>
      </c>
      <c r="E12885" s="0" t="s">
        <v>89</v>
      </c>
      <c r="F12885" s="0" t="s">
        <v>90</v>
      </c>
      <c r="G12885" s="0" t="s">
        <v>36</v>
      </c>
      <c r="H12885" s="0" t="n">
        <v>113</v>
      </c>
      <c r="I12885" s="0" t="s">
        <v>42960</v>
      </c>
      <c r="J12885" s="0" t="s">
        <v>42961</v>
      </c>
      <c r="K12885" s="0" t="s">
        <v>42962</v>
      </c>
      <c r="L12885" s="0" t="str">
        <f aca="false">HYPERLINK("https://www.ncbi.nlm.nih.gov/nuccore/CP000304.1?report=graph&amp;tracks=[key:gene_model_track,Options:GeneOnly]&amp;mk=3634814:3634833|offset_13|444444,3634742:3634761|offset_85|444444,3634714:3634733|offset_113|00cc00,3634676:3634695|offset_151|444444&amp;v=3634613:3634895&amp;c=444444", "offset 113")</f>
        <v>offset 113</v>
      </c>
    </row>
    <row r="12886" customFormat="false" ht="12.8" hidden="false" customHeight="false" outlineLevel="0" collapsed="false">
      <c r="A12886" s="0" t="s">
        <v>12</v>
      </c>
      <c r="B12886" s="0" t="n">
        <v>3634675</v>
      </c>
      <c r="C12886" s="0" t="n">
        <v>3634695</v>
      </c>
      <c r="D12886" s="0" t="s">
        <v>42953</v>
      </c>
      <c r="E12886" s="0" t="s">
        <v>89</v>
      </c>
      <c r="F12886" s="0" t="s">
        <v>90</v>
      </c>
      <c r="G12886" s="0" t="s">
        <v>36</v>
      </c>
      <c r="H12886" s="0" t="n">
        <v>151</v>
      </c>
      <c r="I12886" s="0" t="s">
        <v>42963</v>
      </c>
      <c r="J12886" s="0" t="s">
        <v>42964</v>
      </c>
      <c r="K12886" s="0" t="s">
        <v>42965</v>
      </c>
      <c r="L12886" s="0" t="str">
        <f aca="false">HYPERLINK("https://www.ncbi.nlm.nih.gov/nuccore/CP000304.1?report=graph&amp;tracks=[key:gene_model_track,Options:GeneOnly]&amp;mk=3634814:3634833|offset_13|444444,3634742:3634761|offset_85|444444,3634714:3634733|offset_113|444444,3634676:3634695|offset_151|00cc00&amp;v=3634613:3634895&amp;c=444444", "offset 151")</f>
        <v>offset 151</v>
      </c>
    </row>
    <row r="12887" customFormat="false" ht="12.8" hidden="false" customHeight="false" outlineLevel="0" collapsed="false">
      <c r="A12887" s="0" t="s">
        <v>12</v>
      </c>
      <c r="B12887" s="0" t="n">
        <v>3635659</v>
      </c>
      <c r="C12887" s="0" t="n">
        <v>3635679</v>
      </c>
      <c r="D12887" s="0" t="s">
        <v>42966</v>
      </c>
      <c r="E12887" s="0" t="s">
        <v>89</v>
      </c>
      <c r="F12887" s="0" t="s">
        <v>15</v>
      </c>
      <c r="G12887" s="0" t="s">
        <v>16</v>
      </c>
      <c r="H12887" s="0" t="n">
        <v>15</v>
      </c>
      <c r="I12887" s="0" t="s">
        <v>42967</v>
      </c>
      <c r="J12887" s="0" t="s">
        <v>42968</v>
      </c>
      <c r="K12887" s="0" t="s">
        <v>42969</v>
      </c>
      <c r="L12887" s="0" t="str">
        <f aca="false">HYPERLINK("https://www.ncbi.nlm.nih.gov/nuccore/CP000304.1?report=graph&amp;tracks=[key:gene_model_track,Options:GeneOnly]&amp;mk=3635660:3635679|offset_15|00cc00,3635691:3635710|offset_46|444444,3635735:3635754|offset_90|444444,3635757:3635776|offset_112|444444&amp;v=3635459:3635976&amp;c=444444", "offset 15")</f>
        <v>offset 15</v>
      </c>
    </row>
    <row r="12888" customFormat="false" ht="12.8" hidden="false" customHeight="false" outlineLevel="0" collapsed="false">
      <c r="A12888" s="0" t="s">
        <v>12</v>
      </c>
      <c r="B12888" s="0" t="n">
        <v>3635690</v>
      </c>
      <c r="C12888" s="0" t="n">
        <v>3635710</v>
      </c>
      <c r="D12888" s="0" t="s">
        <v>42966</v>
      </c>
      <c r="E12888" s="0" t="s">
        <v>89</v>
      </c>
      <c r="F12888" s="0" t="s">
        <v>15</v>
      </c>
      <c r="G12888" s="0" t="s">
        <v>32</v>
      </c>
      <c r="H12888" s="0" t="n">
        <v>46</v>
      </c>
      <c r="I12888" s="0" t="s">
        <v>42970</v>
      </c>
      <c r="J12888" s="0" t="s">
        <v>42971</v>
      </c>
      <c r="K12888" s="0" t="s">
        <v>42972</v>
      </c>
      <c r="L12888" s="0" t="str">
        <f aca="false">HYPERLINK("https://www.ncbi.nlm.nih.gov/nuccore/CP000304.1?report=graph&amp;tracks=[key:gene_model_track,Options:GeneOnly]&amp;mk=3635660:3635679|offset_15|444444,3635691:3635710|offset_46|00cc00,3635735:3635754|offset_90|444444,3635757:3635776|offset_112|444444&amp;v=3635459:3635976&amp;c=444444", "offset 46")</f>
        <v>offset 46</v>
      </c>
    </row>
    <row r="12889" customFormat="false" ht="12.8" hidden="false" customHeight="false" outlineLevel="0" collapsed="false">
      <c r="A12889" s="0" t="s">
        <v>12</v>
      </c>
      <c r="B12889" s="0" t="n">
        <v>3635734</v>
      </c>
      <c r="C12889" s="0" t="n">
        <v>3635754</v>
      </c>
      <c r="D12889" s="0" t="s">
        <v>42966</v>
      </c>
      <c r="E12889" s="0" t="s">
        <v>89</v>
      </c>
      <c r="F12889" s="0" t="s">
        <v>15</v>
      </c>
      <c r="G12889" s="0" t="s">
        <v>16</v>
      </c>
      <c r="H12889" s="0" t="n">
        <v>90</v>
      </c>
      <c r="I12889" s="0" t="s">
        <v>42973</v>
      </c>
      <c r="J12889" s="0" t="s">
        <v>42974</v>
      </c>
      <c r="K12889" s="0" t="s">
        <v>42975</v>
      </c>
      <c r="L12889" s="0" t="str">
        <f aca="false">HYPERLINK("https://www.ncbi.nlm.nih.gov/nuccore/CP000304.1?report=graph&amp;tracks=[key:gene_model_track,Options:GeneOnly]&amp;mk=3635660:3635679|offset_15|444444,3635691:3635710|offset_46|444444,3635735:3635754|offset_90|00cc00,3635757:3635776|offset_112|444444&amp;v=3635459:3635976&amp;c=444444", "offset 90")</f>
        <v>offset 90</v>
      </c>
    </row>
    <row r="12890" customFormat="false" ht="12.8" hidden="false" customHeight="false" outlineLevel="0" collapsed="false">
      <c r="A12890" s="0" t="s">
        <v>12</v>
      </c>
      <c r="B12890" s="0" t="n">
        <v>3635756</v>
      </c>
      <c r="C12890" s="0" t="n">
        <v>3635776</v>
      </c>
      <c r="D12890" s="0" t="s">
        <v>42966</v>
      </c>
      <c r="E12890" s="0" t="s">
        <v>89</v>
      </c>
      <c r="F12890" s="0" t="s">
        <v>15</v>
      </c>
      <c r="G12890" s="0" t="s">
        <v>16</v>
      </c>
      <c r="H12890" s="0" t="n">
        <v>112</v>
      </c>
      <c r="I12890" s="0" t="s">
        <v>42976</v>
      </c>
      <c r="J12890" s="0" t="s">
        <v>42977</v>
      </c>
      <c r="K12890" s="0" t="s">
        <v>42978</v>
      </c>
      <c r="L12890" s="0" t="str">
        <f aca="false">HYPERLINK("https://www.ncbi.nlm.nih.gov/nuccore/CP000304.1?report=graph&amp;tracks=[key:gene_model_track,Options:GeneOnly]&amp;mk=3635660:3635679|offset_15|444444,3635691:3635710|offset_46|444444,3635735:3635754|offset_90|444444,3635757:3635776|offset_112|00cc00&amp;v=3635459:3635976&amp;c=444444", "offset 112")</f>
        <v>offset 112</v>
      </c>
    </row>
    <row r="12891" customFormat="false" ht="12.8" hidden="false" customHeight="false" outlineLevel="0" collapsed="false">
      <c r="A12891" s="0" t="s">
        <v>12</v>
      </c>
      <c r="B12891" s="0" t="n">
        <v>3636975</v>
      </c>
      <c r="C12891" s="0" t="n">
        <v>3636995</v>
      </c>
      <c r="D12891" s="0" t="s">
        <v>42979</v>
      </c>
      <c r="E12891" s="0" t="s">
        <v>89</v>
      </c>
      <c r="F12891" s="0" t="s">
        <v>90</v>
      </c>
      <c r="G12891" s="0" t="s">
        <v>16</v>
      </c>
      <c r="H12891" s="0" t="n">
        <v>43</v>
      </c>
      <c r="I12891" s="0" t="s">
        <v>42980</v>
      </c>
      <c r="J12891" s="0" t="s">
        <v>42981</v>
      </c>
      <c r="K12891" s="0" t="s">
        <v>42982</v>
      </c>
      <c r="L12891" s="0" t="str">
        <f aca="false">HYPERLINK("https://www.ncbi.nlm.nih.gov/nuccore/CP000304.1?report=graph&amp;tracks=[key:gene_model_track,Options:GeneOnly]&amp;mk=3636976:3636995|offset_43|00cc00,3636937:3636956|offset_82|444444,3636917:3636936|offset_102|444444,3636889:3636908|offset_130|444444&amp;v=3636775:3637108&amp;c=444444", "offset 43")</f>
        <v>offset 43</v>
      </c>
    </row>
    <row r="12892" customFormat="false" ht="12.8" hidden="false" customHeight="false" outlineLevel="0" collapsed="false">
      <c r="A12892" s="0" t="s">
        <v>12</v>
      </c>
      <c r="B12892" s="0" t="n">
        <v>3636936</v>
      </c>
      <c r="C12892" s="0" t="n">
        <v>3636956</v>
      </c>
      <c r="D12892" s="0" t="s">
        <v>42979</v>
      </c>
      <c r="E12892" s="0" t="s">
        <v>89</v>
      </c>
      <c r="F12892" s="0" t="s">
        <v>90</v>
      </c>
      <c r="G12892" s="0" t="s">
        <v>16</v>
      </c>
      <c r="H12892" s="0" t="n">
        <v>82</v>
      </c>
      <c r="I12892" s="0" t="s">
        <v>42983</v>
      </c>
      <c r="J12892" s="0" t="s">
        <v>42984</v>
      </c>
      <c r="K12892" s="0" t="s">
        <v>42985</v>
      </c>
      <c r="L12892" s="0" t="str">
        <f aca="false">HYPERLINK("https://www.ncbi.nlm.nih.gov/nuccore/CP000304.1?report=graph&amp;tracks=[key:gene_model_track,Options:GeneOnly]&amp;mk=3636976:3636995|offset_43|444444,3636937:3636956|offset_82|00cc00,3636917:3636936|offset_102|444444,3636889:3636908|offset_130|444444&amp;v=3636775:3637108&amp;c=444444", "offset 82")</f>
        <v>offset 82</v>
      </c>
    </row>
    <row r="12893" customFormat="false" ht="12.8" hidden="false" customHeight="false" outlineLevel="0" collapsed="false">
      <c r="A12893" s="0" t="s">
        <v>12</v>
      </c>
      <c r="B12893" s="0" t="n">
        <v>3636916</v>
      </c>
      <c r="C12893" s="0" t="n">
        <v>3636936</v>
      </c>
      <c r="D12893" s="0" t="s">
        <v>42979</v>
      </c>
      <c r="E12893" s="0" t="s">
        <v>89</v>
      </c>
      <c r="F12893" s="0" t="s">
        <v>90</v>
      </c>
      <c r="G12893" s="0" t="s">
        <v>32</v>
      </c>
      <c r="H12893" s="0" t="n">
        <v>102</v>
      </c>
      <c r="I12893" s="0" t="s">
        <v>42986</v>
      </c>
      <c r="J12893" s="0" t="s">
        <v>42987</v>
      </c>
      <c r="K12893" s="0" t="s">
        <v>42988</v>
      </c>
      <c r="L12893" s="0" t="str">
        <f aca="false">HYPERLINK("https://www.ncbi.nlm.nih.gov/nuccore/CP000304.1?report=graph&amp;tracks=[key:gene_model_track,Options:GeneOnly]&amp;mk=3636976:3636995|offset_43|444444,3636937:3636956|offset_82|444444,3636917:3636936|offset_102|00cc00,3636889:3636908|offset_130|444444&amp;v=3636775:3637108&amp;c=444444", "offset 102")</f>
        <v>offset 102</v>
      </c>
    </row>
    <row r="12894" customFormat="false" ht="12.8" hidden="false" customHeight="false" outlineLevel="0" collapsed="false">
      <c r="A12894" s="0" t="s">
        <v>12</v>
      </c>
      <c r="B12894" s="0" t="n">
        <v>3636888</v>
      </c>
      <c r="C12894" s="0" t="n">
        <v>3636908</v>
      </c>
      <c r="D12894" s="0" t="s">
        <v>42979</v>
      </c>
      <c r="E12894" s="0" t="s">
        <v>89</v>
      </c>
      <c r="F12894" s="0" t="s">
        <v>90</v>
      </c>
      <c r="G12894" s="0" t="s">
        <v>32</v>
      </c>
      <c r="H12894" s="0" t="n">
        <v>130</v>
      </c>
      <c r="I12894" s="0" t="s">
        <v>42989</v>
      </c>
      <c r="J12894" s="0" t="s">
        <v>42990</v>
      </c>
      <c r="K12894" s="0" t="s">
        <v>42991</v>
      </c>
      <c r="L12894" s="0" t="str">
        <f aca="false">HYPERLINK("https://www.ncbi.nlm.nih.gov/nuccore/CP000304.1?report=graph&amp;tracks=[key:gene_model_track,Options:GeneOnly]&amp;mk=3636976:3636995|offset_43|444444,3636937:3636956|offset_82|444444,3636917:3636936|offset_102|444444,3636889:3636908|offset_130|00cc00&amp;v=3636775:3637108&amp;c=444444", "offset 130")</f>
        <v>offset 130</v>
      </c>
    </row>
    <row r="12895" customFormat="false" ht="12.8" hidden="false" customHeight="false" outlineLevel="0" collapsed="false">
      <c r="A12895" s="0" t="s">
        <v>12</v>
      </c>
      <c r="B12895" s="0" t="n">
        <v>3640124</v>
      </c>
      <c r="C12895" s="0" t="n">
        <v>3640144</v>
      </c>
      <c r="D12895" s="0" t="s">
        <v>42992</v>
      </c>
      <c r="E12895" s="0" t="s">
        <v>42993</v>
      </c>
      <c r="F12895" s="0" t="s">
        <v>90</v>
      </c>
      <c r="G12895" s="0" t="s">
        <v>32</v>
      </c>
      <c r="H12895" s="0" t="n">
        <v>10</v>
      </c>
      <c r="I12895" s="0" t="s">
        <v>42994</v>
      </c>
      <c r="J12895" s="0" t="s">
        <v>42995</v>
      </c>
      <c r="K12895" s="0" t="s">
        <v>42996</v>
      </c>
      <c r="L12895" s="0" t="str">
        <f aca="false">HYPERLINK("https://www.ncbi.nlm.nih.gov/nuccore/CP000304.1?report=graph&amp;tracks=[key:gene_model_track,Options:GeneOnly]&amp;mk=3640125:3640144|offset_10|00cc00,3640091:3640110|offset_44|444444,3640056:3640075|offset_79|444444,3640032:3640051|offset_103|444444&amp;v=3639924:3640251&amp;c=444444", "offset 10")</f>
        <v>offset 10</v>
      </c>
    </row>
    <row r="12896" customFormat="false" ht="12.8" hidden="false" customHeight="false" outlineLevel="0" collapsed="false">
      <c r="A12896" s="0" t="s">
        <v>12</v>
      </c>
      <c r="B12896" s="0" t="n">
        <v>3640090</v>
      </c>
      <c r="C12896" s="0" t="n">
        <v>3640110</v>
      </c>
      <c r="D12896" s="0" t="s">
        <v>42992</v>
      </c>
      <c r="E12896" s="0" t="s">
        <v>42993</v>
      </c>
      <c r="F12896" s="0" t="s">
        <v>90</v>
      </c>
      <c r="G12896" s="0" t="s">
        <v>26</v>
      </c>
      <c r="H12896" s="0" t="n">
        <v>44</v>
      </c>
      <c r="I12896" s="0" t="s">
        <v>42997</v>
      </c>
      <c r="J12896" s="0" t="s">
        <v>42998</v>
      </c>
      <c r="K12896" s="0" t="s">
        <v>42999</v>
      </c>
      <c r="L12896" s="0" t="str">
        <f aca="false">HYPERLINK("https://www.ncbi.nlm.nih.gov/nuccore/CP000304.1?report=graph&amp;tracks=[key:gene_model_track,Options:GeneOnly]&amp;mk=3640125:3640144|offset_10|444444,3640091:3640110|offset_44|00cc00,3640056:3640075|offset_79|444444,3640032:3640051|offset_103|444444&amp;v=3639924:3640251&amp;c=444444", "offset 44")</f>
        <v>offset 44</v>
      </c>
    </row>
    <row r="12897" customFormat="false" ht="12.8" hidden="false" customHeight="false" outlineLevel="0" collapsed="false">
      <c r="A12897" s="0" t="s">
        <v>12</v>
      </c>
      <c r="B12897" s="0" t="n">
        <v>3640055</v>
      </c>
      <c r="C12897" s="0" t="n">
        <v>3640075</v>
      </c>
      <c r="D12897" s="0" t="s">
        <v>42992</v>
      </c>
      <c r="E12897" s="0" t="s">
        <v>42993</v>
      </c>
      <c r="F12897" s="0" t="s">
        <v>90</v>
      </c>
      <c r="G12897" s="0" t="s">
        <v>16</v>
      </c>
      <c r="H12897" s="0" t="n">
        <v>79</v>
      </c>
      <c r="I12897" s="0" t="s">
        <v>43000</v>
      </c>
      <c r="J12897" s="0" t="s">
        <v>43001</v>
      </c>
      <c r="K12897" s="0" t="s">
        <v>43002</v>
      </c>
      <c r="L12897" s="0" t="str">
        <f aca="false">HYPERLINK("https://www.ncbi.nlm.nih.gov/nuccore/CP000304.1?report=graph&amp;tracks=[key:gene_model_track,Options:GeneOnly]&amp;mk=3640125:3640144|offset_10|444444,3640091:3640110|offset_44|444444,3640056:3640075|offset_79|00cc00,3640032:3640051|offset_103|444444&amp;v=3639924:3640251&amp;c=444444", "offset 79")</f>
        <v>offset 79</v>
      </c>
    </row>
    <row r="12898" customFormat="false" ht="12.8" hidden="false" customHeight="false" outlineLevel="0" collapsed="false">
      <c r="A12898" s="0" t="s">
        <v>12</v>
      </c>
      <c r="B12898" s="0" t="n">
        <v>3640031</v>
      </c>
      <c r="C12898" s="0" t="n">
        <v>3640051</v>
      </c>
      <c r="D12898" s="0" t="s">
        <v>42992</v>
      </c>
      <c r="E12898" s="0" t="s">
        <v>42993</v>
      </c>
      <c r="F12898" s="0" t="s">
        <v>90</v>
      </c>
      <c r="G12898" s="0" t="s">
        <v>36</v>
      </c>
      <c r="H12898" s="0" t="n">
        <v>103</v>
      </c>
      <c r="I12898" s="0" t="s">
        <v>43003</v>
      </c>
      <c r="J12898" s="0" t="s">
        <v>43004</v>
      </c>
      <c r="K12898" s="0" t="s">
        <v>43005</v>
      </c>
      <c r="L12898" s="0" t="str">
        <f aca="false">HYPERLINK("https://www.ncbi.nlm.nih.gov/nuccore/CP000304.1?report=graph&amp;tracks=[key:gene_model_track,Options:GeneOnly]&amp;mk=3640125:3640144|offset_10|444444,3640091:3640110|offset_44|444444,3640056:3640075|offset_79|444444,3640032:3640051|offset_103|00cc00&amp;v=3639924:3640251&amp;c=444444", "offset 103")</f>
        <v>offset 103</v>
      </c>
    </row>
    <row r="12899" customFormat="false" ht="12.8" hidden="false" customHeight="false" outlineLevel="0" collapsed="false">
      <c r="A12899" s="0" t="s">
        <v>12</v>
      </c>
      <c r="B12899" s="0" t="n">
        <v>3641734</v>
      </c>
      <c r="C12899" s="0" t="n">
        <v>3641754</v>
      </c>
      <c r="D12899" s="0" t="s">
        <v>43006</v>
      </c>
      <c r="E12899" s="0" t="s">
        <v>89</v>
      </c>
      <c r="F12899" s="0" t="s">
        <v>90</v>
      </c>
      <c r="G12899" s="0" t="s">
        <v>36</v>
      </c>
      <c r="H12899" s="0" t="n">
        <v>40</v>
      </c>
      <c r="I12899" s="0" t="s">
        <v>43007</v>
      </c>
      <c r="J12899" s="0" t="s">
        <v>43008</v>
      </c>
      <c r="K12899" s="0" t="s">
        <v>43009</v>
      </c>
      <c r="L12899" s="0" t="str">
        <f aca="false">HYPERLINK("https://www.ncbi.nlm.nih.gov/nuccore/CP000304.1?report=graph&amp;tracks=[key:gene_model_track,Options:GeneOnly]&amp;mk=3641735:3641754|offset_40|00cc00,3641675:3641694|offset_100|444444,3641654:3641673|offset_121|444444,3641623:3641642|offset_152|444444&amp;v=3641534:3641842&amp;c=444444", "offset 40")</f>
        <v>offset 40</v>
      </c>
    </row>
    <row r="12900" customFormat="false" ht="12.8" hidden="false" customHeight="false" outlineLevel="0" collapsed="false">
      <c r="A12900" s="0" t="s">
        <v>12</v>
      </c>
      <c r="B12900" s="0" t="n">
        <v>3641674</v>
      </c>
      <c r="C12900" s="0" t="n">
        <v>3641694</v>
      </c>
      <c r="D12900" s="0" t="s">
        <v>43006</v>
      </c>
      <c r="E12900" s="0" t="s">
        <v>89</v>
      </c>
      <c r="F12900" s="0" t="s">
        <v>90</v>
      </c>
      <c r="G12900" s="0" t="s">
        <v>26</v>
      </c>
      <c r="H12900" s="0" t="n">
        <v>100</v>
      </c>
      <c r="I12900" s="0" t="s">
        <v>43010</v>
      </c>
      <c r="J12900" s="0" t="s">
        <v>43011</v>
      </c>
      <c r="K12900" s="0" t="s">
        <v>43012</v>
      </c>
      <c r="L12900" s="0" t="str">
        <f aca="false">HYPERLINK("https://www.ncbi.nlm.nih.gov/nuccore/CP000304.1?report=graph&amp;tracks=[key:gene_model_track,Options:GeneOnly]&amp;mk=3641735:3641754|offset_40|444444,3641675:3641694|offset_100|00cc00,3641654:3641673|offset_121|444444,3641623:3641642|offset_152|444444&amp;v=3641534:3641842&amp;c=444444", "offset 100")</f>
        <v>offset 100</v>
      </c>
    </row>
    <row r="12901" customFormat="false" ht="12.8" hidden="false" customHeight="false" outlineLevel="0" collapsed="false">
      <c r="A12901" s="0" t="s">
        <v>12</v>
      </c>
      <c r="B12901" s="0" t="n">
        <v>3641653</v>
      </c>
      <c r="C12901" s="0" t="n">
        <v>3641673</v>
      </c>
      <c r="D12901" s="0" t="s">
        <v>43006</v>
      </c>
      <c r="E12901" s="0" t="s">
        <v>89</v>
      </c>
      <c r="F12901" s="0" t="s">
        <v>90</v>
      </c>
      <c r="G12901" s="0" t="s">
        <v>16</v>
      </c>
      <c r="H12901" s="0" t="n">
        <v>121</v>
      </c>
      <c r="I12901" s="0" t="s">
        <v>43013</v>
      </c>
      <c r="J12901" s="0" t="s">
        <v>43014</v>
      </c>
      <c r="K12901" s="0" t="s">
        <v>43015</v>
      </c>
      <c r="L12901" s="0" t="str">
        <f aca="false">HYPERLINK("https://www.ncbi.nlm.nih.gov/nuccore/CP000304.1?report=graph&amp;tracks=[key:gene_model_track,Options:GeneOnly]&amp;mk=3641735:3641754|offset_40|444444,3641675:3641694|offset_100|444444,3641654:3641673|offset_121|00cc00,3641623:3641642|offset_152|444444&amp;v=3641534:3641842&amp;c=444444", "offset 121")</f>
        <v>offset 121</v>
      </c>
    </row>
    <row r="12902" customFormat="false" ht="12.8" hidden="false" customHeight="false" outlineLevel="0" collapsed="false">
      <c r="A12902" s="0" t="s">
        <v>12</v>
      </c>
      <c r="B12902" s="0" t="n">
        <v>3641622</v>
      </c>
      <c r="C12902" s="0" t="n">
        <v>3641642</v>
      </c>
      <c r="D12902" s="0" t="s">
        <v>43006</v>
      </c>
      <c r="E12902" s="0" t="s">
        <v>89</v>
      </c>
      <c r="F12902" s="0" t="s">
        <v>90</v>
      </c>
      <c r="G12902" s="0" t="s">
        <v>16</v>
      </c>
      <c r="H12902" s="0" t="n">
        <v>152</v>
      </c>
      <c r="I12902" s="0" t="s">
        <v>43016</v>
      </c>
      <c r="J12902" s="0" t="s">
        <v>43017</v>
      </c>
      <c r="K12902" s="0" t="s">
        <v>43018</v>
      </c>
      <c r="L12902" s="0" t="str">
        <f aca="false">HYPERLINK("https://www.ncbi.nlm.nih.gov/nuccore/CP000304.1?report=graph&amp;tracks=[key:gene_model_track,Options:GeneOnly]&amp;mk=3641735:3641754|offset_40|444444,3641675:3641694|offset_100|444444,3641654:3641673|offset_121|444444,3641623:3641642|offset_152|00cc00&amp;v=3641534:3641842&amp;c=444444", "offset 152")</f>
        <v>offset 152</v>
      </c>
    </row>
    <row r="12903" customFormat="false" ht="12.8" hidden="false" customHeight="false" outlineLevel="0" collapsed="false">
      <c r="A12903" s="0" t="s">
        <v>12</v>
      </c>
      <c r="B12903" s="0" t="n">
        <v>3643036</v>
      </c>
      <c r="C12903" s="0" t="n">
        <v>3643056</v>
      </c>
      <c r="D12903" s="0" t="s">
        <v>43019</v>
      </c>
      <c r="E12903" s="0" t="s">
        <v>89</v>
      </c>
      <c r="F12903" s="0" t="s">
        <v>90</v>
      </c>
      <c r="G12903" s="0" t="s">
        <v>16</v>
      </c>
      <c r="H12903" s="0" t="n">
        <v>21</v>
      </c>
      <c r="I12903" s="0" t="s">
        <v>43020</v>
      </c>
      <c r="J12903" s="0" t="s">
        <v>43021</v>
      </c>
      <c r="K12903" s="0" t="s">
        <v>43022</v>
      </c>
      <c r="L12903" s="0" t="str">
        <f aca="false">HYPERLINK("https://www.ncbi.nlm.nih.gov/nuccore/CP000304.1?report=graph&amp;tracks=[key:gene_model_track,Options:GeneOnly]&amp;mk=3643037:3643056|offset_21|00cc00,3643004:3643023|offset_54|444444,3642959:3642978|offset_99|444444,3642937:3642956|offset_121|444444&amp;v=3642836:3643156&amp;c=444444", "offset 21")</f>
        <v>offset 21</v>
      </c>
    </row>
    <row r="12904" customFormat="false" ht="12.8" hidden="false" customHeight="false" outlineLevel="0" collapsed="false">
      <c r="A12904" s="0" t="s">
        <v>12</v>
      </c>
      <c r="B12904" s="0" t="n">
        <v>3643003</v>
      </c>
      <c r="C12904" s="0" t="n">
        <v>3643023</v>
      </c>
      <c r="D12904" s="0" t="s">
        <v>43019</v>
      </c>
      <c r="E12904" s="0" t="s">
        <v>89</v>
      </c>
      <c r="F12904" s="0" t="s">
        <v>90</v>
      </c>
      <c r="G12904" s="0" t="s">
        <v>36</v>
      </c>
      <c r="H12904" s="0" t="n">
        <v>54</v>
      </c>
      <c r="I12904" s="0" t="s">
        <v>43023</v>
      </c>
      <c r="J12904" s="0" t="s">
        <v>43024</v>
      </c>
      <c r="K12904" s="0" t="s">
        <v>43025</v>
      </c>
      <c r="L12904" s="0" t="str">
        <f aca="false">HYPERLINK("https://www.ncbi.nlm.nih.gov/nuccore/CP000304.1?report=graph&amp;tracks=[key:gene_model_track,Options:GeneOnly]&amp;mk=3643037:3643056|offset_21|444444,3643004:3643023|offset_54|00cc00,3642959:3642978|offset_99|444444,3642937:3642956|offset_121|444444&amp;v=3642836:3643156&amp;c=444444", "offset 54")</f>
        <v>offset 54</v>
      </c>
    </row>
    <row r="12905" customFormat="false" ht="12.8" hidden="false" customHeight="false" outlineLevel="0" collapsed="false">
      <c r="A12905" s="0" t="s">
        <v>12</v>
      </c>
      <c r="B12905" s="0" t="n">
        <v>3642958</v>
      </c>
      <c r="C12905" s="0" t="n">
        <v>3642978</v>
      </c>
      <c r="D12905" s="0" t="s">
        <v>43019</v>
      </c>
      <c r="E12905" s="0" t="s">
        <v>89</v>
      </c>
      <c r="F12905" s="0" t="s">
        <v>90</v>
      </c>
      <c r="G12905" s="0" t="s">
        <v>32</v>
      </c>
      <c r="H12905" s="0" t="n">
        <v>99</v>
      </c>
      <c r="I12905" s="0" t="s">
        <v>43026</v>
      </c>
      <c r="J12905" s="0" t="s">
        <v>43027</v>
      </c>
      <c r="K12905" s="0" t="s">
        <v>43028</v>
      </c>
      <c r="L12905" s="0" t="str">
        <f aca="false">HYPERLINK("https://www.ncbi.nlm.nih.gov/nuccore/CP000304.1?report=graph&amp;tracks=[key:gene_model_track,Options:GeneOnly]&amp;mk=3643037:3643056|offset_21|444444,3643004:3643023|offset_54|444444,3642959:3642978|offset_99|00cc00,3642937:3642956|offset_121|444444&amp;v=3642836:3643156&amp;c=444444", "offset 99")</f>
        <v>offset 99</v>
      </c>
    </row>
    <row r="12906" customFormat="false" ht="12.8" hidden="false" customHeight="false" outlineLevel="0" collapsed="false">
      <c r="A12906" s="0" t="s">
        <v>12</v>
      </c>
      <c r="B12906" s="0" t="n">
        <v>3642936</v>
      </c>
      <c r="C12906" s="0" t="n">
        <v>3642956</v>
      </c>
      <c r="D12906" s="0" t="s">
        <v>43019</v>
      </c>
      <c r="E12906" s="0" t="s">
        <v>89</v>
      </c>
      <c r="F12906" s="0" t="s">
        <v>90</v>
      </c>
      <c r="G12906" s="0" t="s">
        <v>32</v>
      </c>
      <c r="H12906" s="0" t="n">
        <v>121</v>
      </c>
      <c r="I12906" s="0" t="s">
        <v>43029</v>
      </c>
      <c r="J12906" s="0" t="s">
        <v>43030</v>
      </c>
      <c r="K12906" s="0" t="s">
        <v>43031</v>
      </c>
      <c r="L12906" s="0" t="str">
        <f aca="false">HYPERLINK("https://www.ncbi.nlm.nih.gov/nuccore/CP000304.1?report=graph&amp;tracks=[key:gene_model_track,Options:GeneOnly]&amp;mk=3643037:3643056|offset_21|444444,3643004:3643023|offset_54|444444,3642959:3642978|offset_99|444444,3642937:3642956|offset_121|00cc00&amp;v=3642836:3643156&amp;c=444444", "offset 121")</f>
        <v>offset 121</v>
      </c>
    </row>
    <row r="12907" customFormat="false" ht="12.8" hidden="false" customHeight="false" outlineLevel="0" collapsed="false">
      <c r="A12907" s="0" t="s">
        <v>12</v>
      </c>
      <c r="B12907" s="0" t="n">
        <v>3643638</v>
      </c>
      <c r="C12907" s="0" t="n">
        <v>3643658</v>
      </c>
      <c r="D12907" s="0" t="s">
        <v>43032</v>
      </c>
      <c r="E12907" s="0" t="s">
        <v>89</v>
      </c>
      <c r="F12907" s="0" t="s">
        <v>15</v>
      </c>
      <c r="G12907" s="0" t="s">
        <v>16</v>
      </c>
      <c r="H12907" s="0" t="n">
        <v>9</v>
      </c>
      <c r="I12907" s="0" t="s">
        <v>43033</v>
      </c>
      <c r="J12907" s="0" t="s">
        <v>43034</v>
      </c>
      <c r="K12907" s="0" t="s">
        <v>43035</v>
      </c>
      <c r="L12907" s="0" t="str">
        <f aca="false">HYPERLINK("https://www.ncbi.nlm.nih.gov/nuccore/CP000304.1?report=graph&amp;tracks=[key:gene_model_track,Options:GeneOnly]&amp;mk=3643639:3643658|offset_9|00cc00,3643663:3643682|offset_33|444444,3643686:3643705|offset_56|444444,3643733:3643752|offset_103|444444&amp;v=3643438:3643952&amp;c=444444", "offset 9")</f>
        <v>offset 9</v>
      </c>
    </row>
    <row r="12908" customFormat="false" ht="12.8" hidden="false" customHeight="false" outlineLevel="0" collapsed="false">
      <c r="A12908" s="0" t="s">
        <v>12</v>
      </c>
      <c r="B12908" s="0" t="n">
        <v>3643662</v>
      </c>
      <c r="C12908" s="0" t="n">
        <v>3643682</v>
      </c>
      <c r="D12908" s="0" t="s">
        <v>43032</v>
      </c>
      <c r="E12908" s="0" t="s">
        <v>89</v>
      </c>
      <c r="F12908" s="0" t="s">
        <v>15</v>
      </c>
      <c r="G12908" s="0" t="s">
        <v>32</v>
      </c>
      <c r="H12908" s="0" t="n">
        <v>33</v>
      </c>
      <c r="I12908" s="0" t="s">
        <v>43036</v>
      </c>
      <c r="J12908" s="0" t="s">
        <v>43037</v>
      </c>
      <c r="K12908" s="0" t="s">
        <v>43038</v>
      </c>
      <c r="L12908" s="0" t="str">
        <f aca="false">HYPERLINK("https://www.ncbi.nlm.nih.gov/nuccore/CP000304.1?report=graph&amp;tracks=[key:gene_model_track,Options:GeneOnly]&amp;mk=3643639:3643658|offset_9|444444,3643663:3643682|offset_33|00cc00,3643686:3643705|offset_56|444444,3643733:3643752|offset_103|444444&amp;v=3643438:3643952&amp;c=444444", "offset 33")</f>
        <v>offset 33</v>
      </c>
    </row>
    <row r="12909" customFormat="false" ht="12.8" hidden="false" customHeight="false" outlineLevel="0" collapsed="false">
      <c r="A12909" s="0" t="s">
        <v>12</v>
      </c>
      <c r="B12909" s="0" t="n">
        <v>3643685</v>
      </c>
      <c r="C12909" s="0" t="n">
        <v>3643705</v>
      </c>
      <c r="D12909" s="0" t="s">
        <v>43032</v>
      </c>
      <c r="E12909" s="0" t="s">
        <v>89</v>
      </c>
      <c r="F12909" s="0" t="s">
        <v>15</v>
      </c>
      <c r="G12909" s="0" t="s">
        <v>26</v>
      </c>
      <c r="H12909" s="0" t="n">
        <v>56</v>
      </c>
      <c r="I12909" s="0" t="s">
        <v>43039</v>
      </c>
      <c r="J12909" s="0" t="s">
        <v>43040</v>
      </c>
      <c r="K12909" s="0" t="s">
        <v>43041</v>
      </c>
      <c r="L12909" s="0" t="str">
        <f aca="false">HYPERLINK("https://www.ncbi.nlm.nih.gov/nuccore/CP000304.1?report=graph&amp;tracks=[key:gene_model_track,Options:GeneOnly]&amp;mk=3643639:3643658|offset_9|444444,3643663:3643682|offset_33|444444,3643686:3643705|offset_56|00cc00,3643733:3643752|offset_103|444444&amp;v=3643438:3643952&amp;c=444444", "offset 56")</f>
        <v>offset 56</v>
      </c>
    </row>
    <row r="12910" customFormat="false" ht="12.8" hidden="false" customHeight="false" outlineLevel="0" collapsed="false">
      <c r="A12910" s="0" t="s">
        <v>12</v>
      </c>
      <c r="B12910" s="0" t="n">
        <v>3643732</v>
      </c>
      <c r="C12910" s="0" t="n">
        <v>3643752</v>
      </c>
      <c r="D12910" s="0" t="s">
        <v>43032</v>
      </c>
      <c r="E12910" s="0" t="s">
        <v>89</v>
      </c>
      <c r="F12910" s="0" t="s">
        <v>15</v>
      </c>
      <c r="G12910" s="0" t="s">
        <v>32</v>
      </c>
      <c r="H12910" s="0" t="n">
        <v>103</v>
      </c>
      <c r="I12910" s="0" t="s">
        <v>43042</v>
      </c>
      <c r="J12910" s="0" t="s">
        <v>43043</v>
      </c>
      <c r="K12910" s="0" t="s">
        <v>43044</v>
      </c>
      <c r="L12910" s="0" t="str">
        <f aca="false">HYPERLINK("https://www.ncbi.nlm.nih.gov/nuccore/CP000304.1?report=graph&amp;tracks=[key:gene_model_track,Options:GeneOnly]&amp;mk=3643639:3643658|offset_9|444444,3643663:3643682|offset_33|444444,3643686:3643705|offset_56|444444,3643733:3643752|offset_103|00cc00&amp;v=3643438:3643952&amp;c=444444", "offset 103")</f>
        <v>offset 103</v>
      </c>
    </row>
    <row r="12911" customFormat="false" ht="12.8" hidden="false" customHeight="false" outlineLevel="0" collapsed="false">
      <c r="A12911" s="0" t="s">
        <v>12</v>
      </c>
      <c r="B12911" s="0" t="n">
        <v>3644208</v>
      </c>
      <c r="C12911" s="0" t="n">
        <v>3644228</v>
      </c>
      <c r="D12911" s="0" t="s">
        <v>43045</v>
      </c>
      <c r="E12911" s="0" t="s">
        <v>89</v>
      </c>
      <c r="F12911" s="0" t="s">
        <v>15</v>
      </c>
      <c r="G12911" s="0" t="s">
        <v>16</v>
      </c>
      <c r="H12911" s="0" t="n">
        <v>40</v>
      </c>
      <c r="I12911" s="0" t="s">
        <v>43046</v>
      </c>
      <c r="J12911" s="0" t="s">
        <v>43047</v>
      </c>
      <c r="K12911" s="0" t="s">
        <v>43048</v>
      </c>
      <c r="L12911" s="0" t="str">
        <f aca="false">HYPERLINK("https://www.ncbi.nlm.nih.gov/nuccore/CP000304.1?report=graph&amp;tracks=[key:gene_model_track,Options:GeneOnly]&amp;mk=3644209:3644228|offset_40|00cc00,3644251:3644270|offset_82|444444,3644274:3644293|offset_105|444444,3644302:3644321|offset_133|444444&amp;v=3644008:3644521&amp;c=444444", "offset 40")</f>
        <v>offset 40</v>
      </c>
    </row>
    <row r="12912" customFormat="false" ht="12.8" hidden="false" customHeight="false" outlineLevel="0" collapsed="false">
      <c r="A12912" s="0" t="s">
        <v>12</v>
      </c>
      <c r="B12912" s="0" t="n">
        <v>3644250</v>
      </c>
      <c r="C12912" s="0" t="n">
        <v>3644270</v>
      </c>
      <c r="D12912" s="0" t="s">
        <v>43045</v>
      </c>
      <c r="E12912" s="0" t="s">
        <v>89</v>
      </c>
      <c r="F12912" s="0" t="s">
        <v>15</v>
      </c>
      <c r="G12912" s="0" t="s">
        <v>16</v>
      </c>
      <c r="H12912" s="0" t="n">
        <v>82</v>
      </c>
      <c r="I12912" s="0" t="s">
        <v>43049</v>
      </c>
      <c r="J12912" s="0" t="s">
        <v>43050</v>
      </c>
      <c r="K12912" s="0" t="s">
        <v>43051</v>
      </c>
      <c r="L12912" s="0" t="str">
        <f aca="false">HYPERLINK("https://www.ncbi.nlm.nih.gov/nuccore/CP000304.1?report=graph&amp;tracks=[key:gene_model_track,Options:GeneOnly]&amp;mk=3644209:3644228|offset_40|444444,3644251:3644270|offset_82|00cc00,3644274:3644293|offset_105|444444,3644302:3644321|offset_133|444444&amp;v=3644008:3644521&amp;c=444444", "offset 82")</f>
        <v>offset 82</v>
      </c>
    </row>
    <row r="12913" customFormat="false" ht="12.8" hidden="false" customHeight="false" outlineLevel="0" collapsed="false">
      <c r="A12913" s="0" t="s">
        <v>12</v>
      </c>
      <c r="B12913" s="0" t="n">
        <v>3644273</v>
      </c>
      <c r="C12913" s="0" t="n">
        <v>3644293</v>
      </c>
      <c r="D12913" s="0" t="s">
        <v>43045</v>
      </c>
      <c r="E12913" s="0" t="s">
        <v>89</v>
      </c>
      <c r="F12913" s="0" t="s">
        <v>15</v>
      </c>
      <c r="G12913" s="0" t="s">
        <v>32</v>
      </c>
      <c r="H12913" s="0" t="n">
        <v>105</v>
      </c>
      <c r="I12913" s="0" t="s">
        <v>43052</v>
      </c>
      <c r="J12913" s="0" t="s">
        <v>43053</v>
      </c>
      <c r="K12913" s="0" t="s">
        <v>43054</v>
      </c>
      <c r="L12913" s="0" t="str">
        <f aca="false">HYPERLINK("https://www.ncbi.nlm.nih.gov/nuccore/CP000304.1?report=graph&amp;tracks=[key:gene_model_track,Options:GeneOnly]&amp;mk=3644209:3644228|offset_40|444444,3644251:3644270|offset_82|444444,3644274:3644293|offset_105|00cc00,3644302:3644321|offset_133|444444&amp;v=3644008:3644521&amp;c=444444", "offset 105")</f>
        <v>offset 105</v>
      </c>
    </row>
    <row r="12914" customFormat="false" ht="12.8" hidden="false" customHeight="false" outlineLevel="0" collapsed="false">
      <c r="A12914" s="0" t="s">
        <v>12</v>
      </c>
      <c r="B12914" s="0" t="n">
        <v>3644301</v>
      </c>
      <c r="C12914" s="0" t="n">
        <v>3644321</v>
      </c>
      <c r="D12914" s="0" t="s">
        <v>43045</v>
      </c>
      <c r="E12914" s="0" t="s">
        <v>89</v>
      </c>
      <c r="F12914" s="0" t="s">
        <v>15</v>
      </c>
      <c r="G12914" s="0" t="s">
        <v>16</v>
      </c>
      <c r="H12914" s="0" t="n">
        <v>133</v>
      </c>
      <c r="I12914" s="0" t="s">
        <v>43055</v>
      </c>
      <c r="J12914" s="0" t="s">
        <v>43056</v>
      </c>
      <c r="K12914" s="0" t="s">
        <v>43057</v>
      </c>
      <c r="L12914" s="0" t="str">
        <f aca="false">HYPERLINK("https://www.ncbi.nlm.nih.gov/nuccore/CP000304.1?report=graph&amp;tracks=[key:gene_model_track,Options:GeneOnly]&amp;mk=3644209:3644228|offset_40|444444,3644251:3644270|offset_82|444444,3644274:3644293|offset_105|444444,3644302:3644321|offset_133|00cc00&amp;v=3644008:3644521&amp;c=444444", "offset 133")</f>
        <v>offset 133</v>
      </c>
    </row>
    <row r="12915" customFormat="false" ht="12.8" hidden="false" customHeight="false" outlineLevel="0" collapsed="false">
      <c r="A12915" s="0" t="s">
        <v>12</v>
      </c>
      <c r="B12915" s="0" t="n">
        <v>3646513</v>
      </c>
      <c r="C12915" s="0" t="n">
        <v>3646533</v>
      </c>
      <c r="D12915" s="0" t="s">
        <v>43058</v>
      </c>
      <c r="E12915" s="0" t="s">
        <v>89</v>
      </c>
      <c r="F12915" s="0" t="s">
        <v>15</v>
      </c>
      <c r="G12915" s="0" t="s">
        <v>36</v>
      </c>
      <c r="H12915" s="0" t="n">
        <v>11</v>
      </c>
      <c r="I12915" s="0" t="s">
        <v>43059</v>
      </c>
      <c r="J12915" s="0" t="s">
        <v>43060</v>
      </c>
      <c r="K12915" s="0" t="s">
        <v>43061</v>
      </c>
      <c r="L12915" s="0" t="str">
        <f aca="false">HYPERLINK("https://www.ncbi.nlm.nih.gov/nuccore/CP000304.1?report=graph&amp;tracks=[key:gene_model_track,Options:GeneOnly]&amp;mk=3646514:3646533|offset_11|00cc00,3646556:3646575|offset_53|444444,3646636:3646655|offset_133|444444,3646661:3646680|offset_158|444444&amp;v=3646313:3646880&amp;c=444444", "offset 11")</f>
        <v>offset 11</v>
      </c>
    </row>
    <row r="12916" customFormat="false" ht="12.8" hidden="false" customHeight="false" outlineLevel="0" collapsed="false">
      <c r="A12916" s="0" t="s">
        <v>12</v>
      </c>
      <c r="B12916" s="0" t="n">
        <v>3646555</v>
      </c>
      <c r="C12916" s="0" t="n">
        <v>3646575</v>
      </c>
      <c r="D12916" s="0" t="s">
        <v>43058</v>
      </c>
      <c r="E12916" s="0" t="s">
        <v>89</v>
      </c>
      <c r="F12916" s="0" t="s">
        <v>15</v>
      </c>
      <c r="G12916" s="0" t="s">
        <v>16</v>
      </c>
      <c r="H12916" s="0" t="n">
        <v>53</v>
      </c>
      <c r="I12916" s="0" t="s">
        <v>43062</v>
      </c>
      <c r="J12916" s="0" t="s">
        <v>43063</v>
      </c>
      <c r="K12916" s="0" t="s">
        <v>43064</v>
      </c>
      <c r="L12916" s="0" t="str">
        <f aca="false">HYPERLINK("https://www.ncbi.nlm.nih.gov/nuccore/CP000304.1?report=graph&amp;tracks=[key:gene_model_track,Options:GeneOnly]&amp;mk=3646514:3646533|offset_11|444444,3646556:3646575|offset_53|00cc00,3646636:3646655|offset_133|444444,3646661:3646680|offset_158|444444&amp;v=3646313:3646880&amp;c=444444", "offset 53")</f>
        <v>offset 53</v>
      </c>
    </row>
    <row r="12917" customFormat="false" ht="12.8" hidden="false" customHeight="false" outlineLevel="0" collapsed="false">
      <c r="A12917" s="0" t="s">
        <v>12</v>
      </c>
      <c r="B12917" s="0" t="n">
        <v>3646635</v>
      </c>
      <c r="C12917" s="0" t="n">
        <v>3646655</v>
      </c>
      <c r="D12917" s="0" t="s">
        <v>43058</v>
      </c>
      <c r="E12917" s="0" t="s">
        <v>89</v>
      </c>
      <c r="F12917" s="0" t="s">
        <v>15</v>
      </c>
      <c r="G12917" s="0" t="s">
        <v>32</v>
      </c>
      <c r="H12917" s="0" t="n">
        <v>133</v>
      </c>
      <c r="I12917" s="0" t="s">
        <v>43065</v>
      </c>
      <c r="J12917" s="0" t="s">
        <v>43066</v>
      </c>
      <c r="K12917" s="0" t="s">
        <v>43067</v>
      </c>
      <c r="L12917" s="0" t="str">
        <f aca="false">HYPERLINK("https://www.ncbi.nlm.nih.gov/nuccore/CP000304.1?report=graph&amp;tracks=[key:gene_model_track,Options:GeneOnly]&amp;mk=3646514:3646533|offset_11|444444,3646556:3646575|offset_53|444444,3646636:3646655|offset_133|00cc00,3646661:3646680|offset_158|444444&amp;v=3646313:3646880&amp;c=444444", "offset 133")</f>
        <v>offset 133</v>
      </c>
    </row>
    <row r="12918" customFormat="false" ht="12.8" hidden="false" customHeight="false" outlineLevel="0" collapsed="false">
      <c r="A12918" s="0" t="s">
        <v>12</v>
      </c>
      <c r="B12918" s="0" t="n">
        <v>3646660</v>
      </c>
      <c r="C12918" s="0" t="n">
        <v>3646680</v>
      </c>
      <c r="D12918" s="0" t="s">
        <v>43058</v>
      </c>
      <c r="E12918" s="0" t="s">
        <v>89</v>
      </c>
      <c r="F12918" s="0" t="s">
        <v>15</v>
      </c>
      <c r="G12918" s="0" t="s">
        <v>32</v>
      </c>
      <c r="H12918" s="0" t="n">
        <v>158</v>
      </c>
      <c r="I12918" s="0" t="s">
        <v>43068</v>
      </c>
      <c r="J12918" s="0" t="s">
        <v>43069</v>
      </c>
      <c r="K12918" s="0" t="s">
        <v>43070</v>
      </c>
      <c r="L12918" s="0" t="str">
        <f aca="false">HYPERLINK("https://www.ncbi.nlm.nih.gov/nuccore/CP000304.1?report=graph&amp;tracks=[key:gene_model_track,Options:GeneOnly]&amp;mk=3646514:3646533|offset_11|444444,3646556:3646575|offset_53|444444,3646636:3646655|offset_133|444444,3646661:3646680|offset_158|00cc00&amp;v=3646313:3646880&amp;c=444444", "offset 158")</f>
        <v>offset 158</v>
      </c>
    </row>
    <row r="12919" customFormat="false" ht="12.8" hidden="false" customHeight="false" outlineLevel="0" collapsed="false">
      <c r="A12919" s="0" t="s">
        <v>12</v>
      </c>
      <c r="B12919" s="0" t="n">
        <v>3647070</v>
      </c>
      <c r="C12919" s="0" t="n">
        <v>3647090</v>
      </c>
      <c r="D12919" s="0" t="s">
        <v>43071</v>
      </c>
      <c r="E12919" s="0" t="s">
        <v>89</v>
      </c>
      <c r="F12919" s="0" t="s">
        <v>15</v>
      </c>
      <c r="G12919" s="0" t="s">
        <v>26</v>
      </c>
      <c r="H12919" s="0" t="n">
        <v>23</v>
      </c>
      <c r="I12919" s="0" t="s">
        <v>43072</v>
      </c>
      <c r="J12919" s="0" t="s">
        <v>43073</v>
      </c>
      <c r="K12919" s="0" t="s">
        <v>43074</v>
      </c>
      <c r="L12919" s="0" t="str">
        <f aca="false">HYPERLINK("https://www.ncbi.nlm.nih.gov/nuccore/CP000304.1?report=graph&amp;tracks=[key:gene_model_track,Options:GeneOnly]&amp;mk=3647071:3647090|offset_23|00cc00,3647092:3647111|offset_44|444444,3647128:3647147|offset_80|444444,3647148:3647167|offset_100|444444&amp;v=3646870:3647367&amp;c=444444", "offset 23")</f>
        <v>offset 23</v>
      </c>
    </row>
    <row r="12920" customFormat="false" ht="12.8" hidden="false" customHeight="false" outlineLevel="0" collapsed="false">
      <c r="A12920" s="0" t="s">
        <v>12</v>
      </c>
      <c r="B12920" s="0" t="n">
        <v>3647091</v>
      </c>
      <c r="C12920" s="0" t="n">
        <v>3647111</v>
      </c>
      <c r="D12920" s="0" t="s">
        <v>43071</v>
      </c>
      <c r="E12920" s="0" t="s">
        <v>89</v>
      </c>
      <c r="F12920" s="0" t="s">
        <v>15</v>
      </c>
      <c r="G12920" s="0" t="s">
        <v>26</v>
      </c>
      <c r="H12920" s="0" t="n">
        <v>44</v>
      </c>
      <c r="I12920" s="0" t="s">
        <v>43075</v>
      </c>
      <c r="J12920" s="0" t="s">
        <v>43076</v>
      </c>
      <c r="K12920" s="0" t="s">
        <v>43077</v>
      </c>
      <c r="L12920" s="0" t="str">
        <f aca="false">HYPERLINK("https://www.ncbi.nlm.nih.gov/nuccore/CP000304.1?report=graph&amp;tracks=[key:gene_model_track,Options:GeneOnly]&amp;mk=3647071:3647090|offset_23|444444,3647092:3647111|offset_44|00cc00,3647128:3647147|offset_80|444444,3647148:3647167|offset_100|444444&amp;v=3646870:3647367&amp;c=444444", "offset 44")</f>
        <v>offset 44</v>
      </c>
    </row>
    <row r="12921" customFormat="false" ht="12.8" hidden="false" customHeight="false" outlineLevel="0" collapsed="false">
      <c r="A12921" s="0" t="s">
        <v>12</v>
      </c>
      <c r="B12921" s="0" t="n">
        <v>3647127</v>
      </c>
      <c r="C12921" s="0" t="n">
        <v>3647147</v>
      </c>
      <c r="D12921" s="0" t="s">
        <v>43071</v>
      </c>
      <c r="E12921" s="0" t="s">
        <v>89</v>
      </c>
      <c r="F12921" s="0" t="s">
        <v>15</v>
      </c>
      <c r="G12921" s="0" t="s">
        <v>26</v>
      </c>
      <c r="H12921" s="0" t="n">
        <v>80</v>
      </c>
      <c r="I12921" s="0" t="s">
        <v>43078</v>
      </c>
      <c r="J12921" s="0" t="s">
        <v>43079</v>
      </c>
      <c r="K12921" s="0" t="s">
        <v>43080</v>
      </c>
      <c r="L12921" s="0" t="str">
        <f aca="false">HYPERLINK("https://www.ncbi.nlm.nih.gov/nuccore/CP000304.1?report=graph&amp;tracks=[key:gene_model_track,Options:GeneOnly]&amp;mk=3647071:3647090|offset_23|444444,3647092:3647111|offset_44|444444,3647128:3647147|offset_80|00cc00,3647148:3647167|offset_100|444444&amp;v=3646870:3647367&amp;c=444444", "offset 80")</f>
        <v>offset 80</v>
      </c>
    </row>
    <row r="12922" customFormat="false" ht="12.8" hidden="false" customHeight="false" outlineLevel="0" collapsed="false">
      <c r="A12922" s="0" t="s">
        <v>12</v>
      </c>
      <c r="B12922" s="0" t="n">
        <v>3647147</v>
      </c>
      <c r="C12922" s="0" t="n">
        <v>3647167</v>
      </c>
      <c r="D12922" s="0" t="s">
        <v>43071</v>
      </c>
      <c r="E12922" s="0" t="s">
        <v>89</v>
      </c>
      <c r="F12922" s="0" t="s">
        <v>15</v>
      </c>
      <c r="G12922" s="0" t="s">
        <v>16</v>
      </c>
      <c r="H12922" s="0" t="n">
        <v>100</v>
      </c>
      <c r="I12922" s="0" t="s">
        <v>43081</v>
      </c>
      <c r="J12922" s="0" t="s">
        <v>43082</v>
      </c>
      <c r="K12922" s="0" t="s">
        <v>43083</v>
      </c>
      <c r="L12922" s="0" t="str">
        <f aca="false">HYPERLINK("https://www.ncbi.nlm.nih.gov/nuccore/CP000304.1?report=graph&amp;tracks=[key:gene_model_track,Options:GeneOnly]&amp;mk=3647071:3647090|offset_23|444444,3647092:3647111|offset_44|444444,3647128:3647147|offset_80|444444,3647148:3647167|offset_100|00cc00&amp;v=3646870:3647367&amp;c=444444", "offset 100")</f>
        <v>offset 100</v>
      </c>
    </row>
    <row r="12923" customFormat="false" ht="12.8" hidden="false" customHeight="false" outlineLevel="0" collapsed="false">
      <c r="A12923" s="0" t="s">
        <v>12</v>
      </c>
      <c r="B12923" s="0" t="n">
        <v>3647870</v>
      </c>
      <c r="C12923" s="0" t="n">
        <v>3647890</v>
      </c>
      <c r="D12923" s="0" t="s">
        <v>43084</v>
      </c>
      <c r="E12923" s="0" t="s">
        <v>89</v>
      </c>
      <c r="F12923" s="0" t="s">
        <v>15</v>
      </c>
      <c r="G12923" s="0" t="s">
        <v>26</v>
      </c>
      <c r="H12923" s="0" t="n">
        <v>8</v>
      </c>
      <c r="I12923" s="0" t="s">
        <v>43085</v>
      </c>
      <c r="J12923" s="0" t="s">
        <v>43086</v>
      </c>
      <c r="K12923" s="0" t="s">
        <v>43087</v>
      </c>
      <c r="L12923" s="0" t="str">
        <f aca="false">HYPERLINK("https://www.ncbi.nlm.nih.gov/nuccore/CP000304.1?report=graph&amp;tracks=[key:gene_model_track,Options:GeneOnly]&amp;mk=3647871:3647890|offset_8|00cc00,3647993:3648012|offset_130|444444,3648063:3648082|offset_200|444444,3648103:3648122|offset_240|444444&amp;v=3647670:3648322&amp;c=444444", "offset 8")</f>
        <v>offset 8</v>
      </c>
    </row>
    <row r="12924" customFormat="false" ht="12.8" hidden="false" customHeight="false" outlineLevel="0" collapsed="false">
      <c r="A12924" s="0" t="s">
        <v>12</v>
      </c>
      <c r="B12924" s="0" t="n">
        <v>3647992</v>
      </c>
      <c r="C12924" s="0" t="n">
        <v>3648012</v>
      </c>
      <c r="D12924" s="0" t="s">
        <v>43084</v>
      </c>
      <c r="E12924" s="0" t="s">
        <v>89</v>
      </c>
      <c r="F12924" s="0" t="s">
        <v>15</v>
      </c>
      <c r="G12924" s="0" t="s">
        <v>16</v>
      </c>
      <c r="H12924" s="0" t="n">
        <v>130</v>
      </c>
      <c r="I12924" s="0" t="s">
        <v>43088</v>
      </c>
      <c r="J12924" s="0" t="s">
        <v>43089</v>
      </c>
      <c r="K12924" s="0" t="s">
        <v>43090</v>
      </c>
      <c r="L12924" s="0" t="str">
        <f aca="false">HYPERLINK("https://www.ncbi.nlm.nih.gov/nuccore/CP000304.1?report=graph&amp;tracks=[key:gene_model_track,Options:GeneOnly]&amp;mk=3647871:3647890|offset_8|444444,3647993:3648012|offset_130|00cc00,3648063:3648082|offset_200|444444,3648103:3648122|offset_240|444444&amp;v=3647670:3648322&amp;c=444444", "offset 130")</f>
        <v>offset 130</v>
      </c>
    </row>
    <row r="12925" customFormat="false" ht="12.8" hidden="false" customHeight="false" outlineLevel="0" collapsed="false">
      <c r="A12925" s="0" t="s">
        <v>12</v>
      </c>
      <c r="B12925" s="0" t="n">
        <v>3648062</v>
      </c>
      <c r="C12925" s="0" t="n">
        <v>3648082</v>
      </c>
      <c r="D12925" s="0" t="s">
        <v>43084</v>
      </c>
      <c r="E12925" s="0" t="s">
        <v>89</v>
      </c>
      <c r="F12925" s="0" t="s">
        <v>15</v>
      </c>
      <c r="G12925" s="0" t="s">
        <v>26</v>
      </c>
      <c r="H12925" s="0" t="n">
        <v>200</v>
      </c>
      <c r="I12925" s="0" t="s">
        <v>43091</v>
      </c>
      <c r="J12925" s="0" t="s">
        <v>43092</v>
      </c>
      <c r="K12925" s="0" t="s">
        <v>43093</v>
      </c>
      <c r="L12925" s="0" t="str">
        <f aca="false">HYPERLINK("https://www.ncbi.nlm.nih.gov/nuccore/CP000304.1?report=graph&amp;tracks=[key:gene_model_track,Options:GeneOnly]&amp;mk=3647871:3647890|offset_8|444444,3647993:3648012|offset_130|444444,3648063:3648082|offset_200|00cc00,3648103:3648122|offset_240|444444&amp;v=3647670:3648322&amp;c=444444", "offset 200")</f>
        <v>offset 200</v>
      </c>
    </row>
    <row r="12926" customFormat="false" ht="12.8" hidden="false" customHeight="false" outlineLevel="0" collapsed="false">
      <c r="A12926" s="0" t="s">
        <v>12</v>
      </c>
      <c r="B12926" s="0" t="n">
        <v>3648102</v>
      </c>
      <c r="C12926" s="0" t="n">
        <v>3648122</v>
      </c>
      <c r="D12926" s="0" t="s">
        <v>43084</v>
      </c>
      <c r="E12926" s="0" t="s">
        <v>89</v>
      </c>
      <c r="F12926" s="0" t="s">
        <v>15</v>
      </c>
      <c r="G12926" s="0" t="s">
        <v>36</v>
      </c>
      <c r="H12926" s="0" t="n">
        <v>240</v>
      </c>
      <c r="I12926" s="0" t="s">
        <v>43094</v>
      </c>
      <c r="J12926" s="0" t="s">
        <v>43095</v>
      </c>
      <c r="K12926" s="0" t="s">
        <v>43096</v>
      </c>
      <c r="L12926" s="0" t="str">
        <f aca="false">HYPERLINK("https://www.ncbi.nlm.nih.gov/nuccore/CP000304.1?report=graph&amp;tracks=[key:gene_model_track,Options:GeneOnly]&amp;mk=3647871:3647890|offset_8|444444,3647993:3648012|offset_130|444444,3648063:3648082|offset_200|444444,3648103:3648122|offset_240|00cc00&amp;v=3647670:3648322&amp;c=444444", "offset 240")</f>
        <v>offset 240</v>
      </c>
    </row>
    <row r="12927" customFormat="false" ht="12.8" hidden="false" customHeight="false" outlineLevel="0" collapsed="false">
      <c r="A12927" s="0" t="s">
        <v>12</v>
      </c>
      <c r="B12927" s="0" t="n">
        <v>3648683</v>
      </c>
      <c r="C12927" s="0" t="n">
        <v>3648703</v>
      </c>
      <c r="D12927" s="0" t="s">
        <v>43097</v>
      </c>
      <c r="E12927" s="0" t="s">
        <v>89</v>
      </c>
      <c r="F12927" s="0" t="s">
        <v>90</v>
      </c>
      <c r="G12927" s="0" t="s">
        <v>26</v>
      </c>
      <c r="H12927" s="0" t="n">
        <v>58</v>
      </c>
      <c r="I12927" s="0" t="s">
        <v>43098</v>
      </c>
      <c r="J12927" s="0" t="s">
        <v>43099</v>
      </c>
      <c r="K12927" s="0" t="s">
        <v>43100</v>
      </c>
      <c r="L12927" s="0" t="str">
        <f aca="false">HYPERLINK("https://www.ncbi.nlm.nih.gov/nuccore/CP000304.1?report=graph&amp;tracks=[key:gene_model_track,Options:GeneOnly]&amp;mk=3648684:3648703|offset_58|00cc00,3648589:3648608|offset_153|444444,3648543:3648562|offset_199|444444,3648519:3648538|offset_223|444444&amp;v=3648483:3648738&amp;c=444444", "offset 58")</f>
        <v>offset 58</v>
      </c>
    </row>
    <row r="12928" customFormat="false" ht="12.8" hidden="false" customHeight="false" outlineLevel="0" collapsed="false">
      <c r="A12928" s="0" t="s">
        <v>12</v>
      </c>
      <c r="B12928" s="0" t="n">
        <v>3648588</v>
      </c>
      <c r="C12928" s="0" t="n">
        <v>3648608</v>
      </c>
      <c r="D12928" s="0" t="s">
        <v>43097</v>
      </c>
      <c r="E12928" s="0" t="s">
        <v>89</v>
      </c>
      <c r="F12928" s="0" t="s">
        <v>90</v>
      </c>
      <c r="G12928" s="0" t="s">
        <v>26</v>
      </c>
      <c r="H12928" s="0" t="n">
        <v>153</v>
      </c>
      <c r="I12928" s="0" t="s">
        <v>43101</v>
      </c>
      <c r="J12928" s="0" t="s">
        <v>43102</v>
      </c>
      <c r="K12928" s="0" t="s">
        <v>43103</v>
      </c>
      <c r="L12928" s="0" t="str">
        <f aca="false">HYPERLINK("https://www.ncbi.nlm.nih.gov/nuccore/CP000304.1?report=graph&amp;tracks=[key:gene_model_track,Options:GeneOnly]&amp;mk=3648684:3648703|offset_58|444444,3648589:3648608|offset_153|00cc00,3648543:3648562|offset_199|444444,3648519:3648538|offset_223|444444&amp;v=3648483:3648738&amp;c=444444", "offset 153")</f>
        <v>offset 153</v>
      </c>
    </row>
    <row r="12929" customFormat="false" ht="12.8" hidden="false" customHeight="false" outlineLevel="0" collapsed="false">
      <c r="A12929" s="0" t="s">
        <v>12</v>
      </c>
      <c r="B12929" s="0" t="n">
        <v>3648542</v>
      </c>
      <c r="C12929" s="0" t="n">
        <v>3648562</v>
      </c>
      <c r="D12929" s="0" t="s">
        <v>43097</v>
      </c>
      <c r="E12929" s="0" t="s">
        <v>89</v>
      </c>
      <c r="F12929" s="0" t="s">
        <v>90</v>
      </c>
      <c r="G12929" s="0" t="s">
        <v>32</v>
      </c>
      <c r="H12929" s="0" t="n">
        <v>199</v>
      </c>
      <c r="I12929" s="0" t="s">
        <v>43104</v>
      </c>
      <c r="J12929" s="0" t="s">
        <v>43105</v>
      </c>
      <c r="K12929" s="0" t="s">
        <v>43106</v>
      </c>
      <c r="L12929" s="0" t="str">
        <f aca="false">HYPERLINK("https://www.ncbi.nlm.nih.gov/nuccore/CP000304.1?report=graph&amp;tracks=[key:gene_model_track,Options:GeneOnly]&amp;mk=3648684:3648703|offset_58|444444,3648589:3648608|offset_153|444444,3648543:3648562|offset_199|00cc00,3648519:3648538|offset_223|444444&amp;v=3648483:3648738&amp;c=444444", "offset 199")</f>
        <v>offset 199</v>
      </c>
    </row>
    <row r="12930" customFormat="false" ht="12.8" hidden="false" customHeight="false" outlineLevel="0" collapsed="false">
      <c r="A12930" s="0" t="s">
        <v>12</v>
      </c>
      <c r="B12930" s="0" t="n">
        <v>3648518</v>
      </c>
      <c r="C12930" s="0" t="n">
        <v>3648538</v>
      </c>
      <c r="D12930" s="0" t="s">
        <v>43097</v>
      </c>
      <c r="E12930" s="0" t="s">
        <v>89</v>
      </c>
      <c r="F12930" s="0" t="s">
        <v>90</v>
      </c>
      <c r="G12930" s="0" t="s">
        <v>16</v>
      </c>
      <c r="H12930" s="0" t="n">
        <v>223</v>
      </c>
      <c r="I12930" s="0" t="s">
        <v>43107</v>
      </c>
      <c r="J12930" s="0" t="s">
        <v>43108</v>
      </c>
      <c r="K12930" s="0" t="s">
        <v>43109</v>
      </c>
      <c r="L12930" s="0" t="str">
        <f aca="false">HYPERLINK("https://www.ncbi.nlm.nih.gov/nuccore/CP000304.1?report=graph&amp;tracks=[key:gene_model_track,Options:GeneOnly]&amp;mk=3648684:3648703|offset_58|444444,3648589:3648608|offset_153|444444,3648543:3648562|offset_199|444444,3648519:3648538|offset_223|00cc00&amp;v=3648483:3648738&amp;c=444444", "offset 223")</f>
        <v>offset 223</v>
      </c>
    </row>
    <row r="12931" customFormat="false" ht="12.8" hidden="false" customHeight="false" outlineLevel="0" collapsed="false">
      <c r="A12931" s="0" t="s">
        <v>12</v>
      </c>
      <c r="B12931" s="0" t="n">
        <v>3649055</v>
      </c>
      <c r="C12931" s="0" t="n">
        <v>3649075</v>
      </c>
      <c r="D12931" s="0" t="s">
        <v>43110</v>
      </c>
      <c r="E12931" s="0" t="s">
        <v>89</v>
      </c>
      <c r="F12931" s="0" t="s">
        <v>15</v>
      </c>
      <c r="G12931" s="0" t="s">
        <v>36</v>
      </c>
      <c r="H12931" s="0" t="n">
        <v>13</v>
      </c>
      <c r="I12931" s="0" t="s">
        <v>43111</v>
      </c>
      <c r="J12931" s="0" t="s">
        <v>43112</v>
      </c>
      <c r="K12931" s="0" t="s">
        <v>43113</v>
      </c>
      <c r="L12931" s="0" t="str">
        <f aca="false">HYPERLINK("https://www.ncbi.nlm.nih.gov/nuccore/CP000304.1?report=graph&amp;tracks=[key:gene_model_track,Options:GeneOnly]&amp;mk=3649056:3649075|offset_13|00cc00,3649095:3649114|offset_52|444444,3649123:3649142|offset_80|444444,3649147:3649166|offset_104|444444&amp;v=3648855:3649366&amp;c=444444", "offset 13")</f>
        <v>offset 13</v>
      </c>
    </row>
    <row r="12932" customFormat="false" ht="12.8" hidden="false" customHeight="false" outlineLevel="0" collapsed="false">
      <c r="A12932" s="0" t="s">
        <v>12</v>
      </c>
      <c r="B12932" s="0" t="n">
        <v>3649094</v>
      </c>
      <c r="C12932" s="0" t="n">
        <v>3649114</v>
      </c>
      <c r="D12932" s="0" t="s">
        <v>43110</v>
      </c>
      <c r="E12932" s="0" t="s">
        <v>89</v>
      </c>
      <c r="F12932" s="0" t="s">
        <v>15</v>
      </c>
      <c r="G12932" s="0" t="s">
        <v>16</v>
      </c>
      <c r="H12932" s="0" t="n">
        <v>52</v>
      </c>
      <c r="I12932" s="0" t="s">
        <v>43114</v>
      </c>
      <c r="J12932" s="0" t="s">
        <v>43115</v>
      </c>
      <c r="K12932" s="0" t="s">
        <v>43116</v>
      </c>
      <c r="L12932" s="0" t="str">
        <f aca="false">HYPERLINK("https://www.ncbi.nlm.nih.gov/nuccore/CP000304.1?report=graph&amp;tracks=[key:gene_model_track,Options:GeneOnly]&amp;mk=3649056:3649075|offset_13|444444,3649095:3649114|offset_52|00cc00,3649123:3649142|offset_80|444444,3649147:3649166|offset_104|444444&amp;v=3648855:3649366&amp;c=444444", "offset 52")</f>
        <v>offset 52</v>
      </c>
    </row>
    <row r="12933" customFormat="false" ht="12.8" hidden="false" customHeight="false" outlineLevel="0" collapsed="false">
      <c r="A12933" s="0" t="s">
        <v>12</v>
      </c>
      <c r="B12933" s="0" t="n">
        <v>3649122</v>
      </c>
      <c r="C12933" s="0" t="n">
        <v>3649142</v>
      </c>
      <c r="D12933" s="0" t="s">
        <v>43110</v>
      </c>
      <c r="E12933" s="0" t="s">
        <v>89</v>
      </c>
      <c r="F12933" s="0" t="s">
        <v>15</v>
      </c>
      <c r="G12933" s="0" t="s">
        <v>32</v>
      </c>
      <c r="H12933" s="0" t="n">
        <v>80</v>
      </c>
      <c r="I12933" s="0" t="s">
        <v>43117</v>
      </c>
      <c r="J12933" s="0" t="s">
        <v>43118</v>
      </c>
      <c r="K12933" s="0" t="s">
        <v>43119</v>
      </c>
      <c r="L12933" s="0" t="str">
        <f aca="false">HYPERLINK("https://www.ncbi.nlm.nih.gov/nuccore/CP000304.1?report=graph&amp;tracks=[key:gene_model_track,Options:GeneOnly]&amp;mk=3649056:3649075|offset_13|444444,3649095:3649114|offset_52|444444,3649123:3649142|offset_80|00cc00,3649147:3649166|offset_104|444444&amp;v=3648855:3649366&amp;c=444444", "offset 80")</f>
        <v>offset 80</v>
      </c>
    </row>
    <row r="12934" customFormat="false" ht="12.8" hidden="false" customHeight="false" outlineLevel="0" collapsed="false">
      <c r="A12934" s="0" t="s">
        <v>12</v>
      </c>
      <c r="B12934" s="0" t="n">
        <v>3649146</v>
      </c>
      <c r="C12934" s="0" t="n">
        <v>3649166</v>
      </c>
      <c r="D12934" s="0" t="s">
        <v>43110</v>
      </c>
      <c r="E12934" s="0" t="s">
        <v>89</v>
      </c>
      <c r="F12934" s="0" t="s">
        <v>15</v>
      </c>
      <c r="G12934" s="0" t="s">
        <v>16</v>
      </c>
      <c r="H12934" s="0" t="n">
        <v>104</v>
      </c>
      <c r="I12934" s="0" t="s">
        <v>43120</v>
      </c>
      <c r="J12934" s="0" t="s">
        <v>43121</v>
      </c>
      <c r="K12934" s="0" t="s">
        <v>43122</v>
      </c>
      <c r="L12934" s="0" t="str">
        <f aca="false">HYPERLINK("https://www.ncbi.nlm.nih.gov/nuccore/CP000304.1?report=graph&amp;tracks=[key:gene_model_track,Options:GeneOnly]&amp;mk=3649056:3649075|offset_13|444444,3649095:3649114|offset_52|444444,3649123:3649142|offset_80|444444,3649147:3649166|offset_104|00cc00&amp;v=3648855:3649366&amp;c=444444", "offset 104")</f>
        <v>offset 104</v>
      </c>
    </row>
    <row r="12935" customFormat="false" ht="12.8" hidden="false" customHeight="false" outlineLevel="0" collapsed="false">
      <c r="A12935" s="0" t="s">
        <v>12</v>
      </c>
      <c r="B12935" s="0" t="n">
        <v>3650076</v>
      </c>
      <c r="C12935" s="0" t="n">
        <v>3650096</v>
      </c>
      <c r="D12935" s="0" t="s">
        <v>43123</v>
      </c>
      <c r="E12935" s="0" t="s">
        <v>89</v>
      </c>
      <c r="F12935" s="0" t="s">
        <v>90</v>
      </c>
      <c r="G12935" s="0" t="s">
        <v>32</v>
      </c>
      <c r="H12935" s="0" t="n">
        <v>11</v>
      </c>
      <c r="I12935" s="0" t="s">
        <v>43124</v>
      </c>
      <c r="J12935" s="0" t="s">
        <v>43125</v>
      </c>
      <c r="K12935" s="0" t="s">
        <v>43126</v>
      </c>
      <c r="L12935" s="0" t="str">
        <f aca="false">HYPERLINK("https://www.ncbi.nlm.nih.gov/nuccore/CP000304.1?report=graph&amp;tracks=[key:gene_model_track,Options:GeneOnly]&amp;mk=3650077:3650096|offset_11|00cc00,3650024:3650043|offset_64|444444,3649963:3649982|offset_125|444444,3649916:3649935|offset_172|444444&amp;v=3649876:3650135&amp;c=444444", "offset 11")</f>
        <v>offset 11</v>
      </c>
    </row>
    <row r="12936" customFormat="false" ht="12.8" hidden="false" customHeight="false" outlineLevel="0" collapsed="false">
      <c r="A12936" s="0" t="s">
        <v>12</v>
      </c>
      <c r="B12936" s="0" t="n">
        <v>3650023</v>
      </c>
      <c r="C12936" s="0" t="n">
        <v>3650043</v>
      </c>
      <c r="D12936" s="0" t="s">
        <v>43123</v>
      </c>
      <c r="E12936" s="0" t="s">
        <v>89</v>
      </c>
      <c r="F12936" s="0" t="s">
        <v>90</v>
      </c>
      <c r="G12936" s="0" t="s">
        <v>16</v>
      </c>
      <c r="H12936" s="0" t="n">
        <v>64</v>
      </c>
      <c r="I12936" s="0" t="s">
        <v>43127</v>
      </c>
      <c r="J12936" s="0" t="s">
        <v>43128</v>
      </c>
      <c r="K12936" s="0" t="s">
        <v>43129</v>
      </c>
      <c r="L12936" s="0" t="str">
        <f aca="false">HYPERLINK("https://www.ncbi.nlm.nih.gov/nuccore/CP000304.1?report=graph&amp;tracks=[key:gene_model_track,Options:GeneOnly]&amp;mk=3650077:3650096|offset_11|444444,3650024:3650043|offset_64|00cc00,3649963:3649982|offset_125|444444,3649916:3649935|offset_172|444444&amp;v=3649876:3650135&amp;c=444444", "offset 64")</f>
        <v>offset 64</v>
      </c>
    </row>
    <row r="12937" customFormat="false" ht="12.8" hidden="false" customHeight="false" outlineLevel="0" collapsed="false">
      <c r="A12937" s="0" t="s">
        <v>12</v>
      </c>
      <c r="B12937" s="0" t="n">
        <v>3649962</v>
      </c>
      <c r="C12937" s="0" t="n">
        <v>3649982</v>
      </c>
      <c r="D12937" s="0" t="s">
        <v>43123</v>
      </c>
      <c r="E12937" s="0" t="s">
        <v>89</v>
      </c>
      <c r="F12937" s="0" t="s">
        <v>90</v>
      </c>
      <c r="G12937" s="0" t="s">
        <v>32</v>
      </c>
      <c r="H12937" s="0" t="n">
        <v>125</v>
      </c>
      <c r="I12937" s="0" t="s">
        <v>43130</v>
      </c>
      <c r="J12937" s="0" t="s">
        <v>43131</v>
      </c>
      <c r="K12937" s="0" t="s">
        <v>43132</v>
      </c>
      <c r="L12937" s="0" t="str">
        <f aca="false">HYPERLINK("https://www.ncbi.nlm.nih.gov/nuccore/CP000304.1?report=graph&amp;tracks=[key:gene_model_track,Options:GeneOnly]&amp;mk=3650077:3650096|offset_11|444444,3650024:3650043|offset_64|444444,3649963:3649982|offset_125|00cc00,3649916:3649935|offset_172|444444&amp;v=3649876:3650135&amp;c=444444", "offset 125")</f>
        <v>offset 125</v>
      </c>
    </row>
    <row r="12938" customFormat="false" ht="12.8" hidden="false" customHeight="false" outlineLevel="0" collapsed="false">
      <c r="A12938" s="0" t="s">
        <v>12</v>
      </c>
      <c r="B12938" s="0" t="n">
        <v>3649915</v>
      </c>
      <c r="C12938" s="0" t="n">
        <v>3649935</v>
      </c>
      <c r="D12938" s="0" t="s">
        <v>43123</v>
      </c>
      <c r="E12938" s="0" t="s">
        <v>89</v>
      </c>
      <c r="F12938" s="0" t="s">
        <v>90</v>
      </c>
      <c r="G12938" s="0" t="s">
        <v>36</v>
      </c>
      <c r="H12938" s="0" t="n">
        <v>172</v>
      </c>
      <c r="I12938" s="0" t="s">
        <v>43133</v>
      </c>
      <c r="J12938" s="0" t="s">
        <v>43134</v>
      </c>
      <c r="K12938" s="0" t="s">
        <v>43135</v>
      </c>
      <c r="L12938" s="0" t="str">
        <f aca="false">HYPERLINK("https://www.ncbi.nlm.nih.gov/nuccore/CP000304.1?report=graph&amp;tracks=[key:gene_model_track,Options:GeneOnly]&amp;mk=3650077:3650096|offset_11|444444,3650024:3650043|offset_64|444444,3649963:3649982|offset_125|444444,3649916:3649935|offset_172|00cc00&amp;v=3649876:3650135&amp;c=444444", "offset 172")</f>
        <v>offset 172</v>
      </c>
    </row>
    <row r="12939" customFormat="false" ht="12.8" hidden="false" customHeight="false" outlineLevel="0" collapsed="false">
      <c r="A12939" s="0" t="s">
        <v>12</v>
      </c>
      <c r="B12939" s="0" t="n">
        <v>3650545</v>
      </c>
      <c r="C12939" s="0" t="n">
        <v>3650565</v>
      </c>
      <c r="D12939" s="0" t="s">
        <v>43136</v>
      </c>
      <c r="E12939" s="0" t="s">
        <v>89</v>
      </c>
      <c r="F12939" s="0" t="s">
        <v>90</v>
      </c>
      <c r="G12939" s="0" t="s">
        <v>36</v>
      </c>
      <c r="H12939" s="0" t="n">
        <v>31</v>
      </c>
      <c r="I12939" s="0" t="s">
        <v>43137</v>
      </c>
      <c r="J12939" s="0" t="s">
        <v>43138</v>
      </c>
      <c r="K12939" s="0" t="s">
        <v>43139</v>
      </c>
      <c r="L12939" s="0" t="str">
        <f aca="false">HYPERLINK("https://www.ncbi.nlm.nih.gov/nuccore/CP000304.1?report=graph&amp;tracks=[key:gene_model_track,Options:GeneOnly]&amp;mk=3650546:3650565|offset_31|00cc00,3650523:3650542|offset_54|444444,3650490:3650509|offset_87|444444,3650429:3650448|offset_148|444444&amp;v=3650345:3650648&amp;c=444444", "offset 31")</f>
        <v>offset 31</v>
      </c>
    </row>
    <row r="12940" customFormat="false" ht="12.8" hidden="false" customHeight="false" outlineLevel="0" collapsed="false">
      <c r="A12940" s="0" t="s">
        <v>12</v>
      </c>
      <c r="B12940" s="0" t="n">
        <v>3650522</v>
      </c>
      <c r="C12940" s="0" t="n">
        <v>3650542</v>
      </c>
      <c r="D12940" s="0" t="s">
        <v>43136</v>
      </c>
      <c r="E12940" s="0" t="s">
        <v>89</v>
      </c>
      <c r="F12940" s="0" t="s">
        <v>90</v>
      </c>
      <c r="G12940" s="0" t="s">
        <v>26</v>
      </c>
      <c r="H12940" s="0" t="n">
        <v>54</v>
      </c>
      <c r="I12940" s="0" t="s">
        <v>43140</v>
      </c>
      <c r="J12940" s="0" t="s">
        <v>43141</v>
      </c>
      <c r="K12940" s="0" t="s">
        <v>43142</v>
      </c>
      <c r="L12940" s="0" t="str">
        <f aca="false">HYPERLINK("https://www.ncbi.nlm.nih.gov/nuccore/CP000304.1?report=graph&amp;tracks=[key:gene_model_track,Options:GeneOnly]&amp;mk=3650546:3650565|offset_31|444444,3650523:3650542|offset_54|00cc00,3650490:3650509|offset_87|444444,3650429:3650448|offset_148|444444&amp;v=3650345:3650648&amp;c=444444", "offset 54")</f>
        <v>offset 54</v>
      </c>
    </row>
    <row r="12941" customFormat="false" ht="12.8" hidden="false" customHeight="false" outlineLevel="0" collapsed="false">
      <c r="A12941" s="0" t="s">
        <v>12</v>
      </c>
      <c r="B12941" s="0" t="n">
        <v>3650489</v>
      </c>
      <c r="C12941" s="0" t="n">
        <v>3650509</v>
      </c>
      <c r="D12941" s="0" t="s">
        <v>43136</v>
      </c>
      <c r="E12941" s="0" t="s">
        <v>89</v>
      </c>
      <c r="F12941" s="0" t="s">
        <v>90</v>
      </c>
      <c r="G12941" s="0" t="s">
        <v>36</v>
      </c>
      <c r="H12941" s="0" t="n">
        <v>87</v>
      </c>
      <c r="I12941" s="0" t="s">
        <v>43143</v>
      </c>
      <c r="J12941" s="0" t="s">
        <v>43144</v>
      </c>
      <c r="K12941" s="0" t="s">
        <v>43145</v>
      </c>
      <c r="L12941" s="0" t="str">
        <f aca="false">HYPERLINK("https://www.ncbi.nlm.nih.gov/nuccore/CP000304.1?report=graph&amp;tracks=[key:gene_model_track,Options:GeneOnly]&amp;mk=3650546:3650565|offset_31|444444,3650523:3650542|offset_54|444444,3650490:3650509|offset_87|00cc00,3650429:3650448|offset_148|444444&amp;v=3650345:3650648&amp;c=444444", "offset 87")</f>
        <v>offset 87</v>
      </c>
    </row>
    <row r="12942" customFormat="false" ht="12.8" hidden="false" customHeight="false" outlineLevel="0" collapsed="false">
      <c r="A12942" s="0" t="s">
        <v>12</v>
      </c>
      <c r="B12942" s="0" t="n">
        <v>3650428</v>
      </c>
      <c r="C12942" s="0" t="n">
        <v>3650448</v>
      </c>
      <c r="D12942" s="0" t="s">
        <v>43136</v>
      </c>
      <c r="E12942" s="0" t="s">
        <v>89</v>
      </c>
      <c r="F12942" s="0" t="s">
        <v>90</v>
      </c>
      <c r="G12942" s="0" t="s">
        <v>16</v>
      </c>
      <c r="H12942" s="0" t="n">
        <v>148</v>
      </c>
      <c r="I12942" s="0" t="s">
        <v>43146</v>
      </c>
      <c r="J12942" s="0" t="s">
        <v>43147</v>
      </c>
      <c r="K12942" s="0" t="s">
        <v>43148</v>
      </c>
      <c r="L12942" s="0" t="str">
        <f aca="false">HYPERLINK("https://www.ncbi.nlm.nih.gov/nuccore/CP000304.1?report=graph&amp;tracks=[key:gene_model_track,Options:GeneOnly]&amp;mk=3650546:3650565|offset_31|444444,3650523:3650542|offset_54|444444,3650490:3650509|offset_87|444444,3650429:3650448|offset_148|00cc00&amp;v=3650345:3650648&amp;c=444444", "offset 148")</f>
        <v>offset 148</v>
      </c>
    </row>
    <row r="12943" customFormat="false" ht="12.8" hidden="false" customHeight="false" outlineLevel="0" collapsed="false">
      <c r="A12943" s="0" t="s">
        <v>12</v>
      </c>
      <c r="B12943" s="0" t="n">
        <v>3650662</v>
      </c>
      <c r="C12943" s="0" t="n">
        <v>3650682</v>
      </c>
      <c r="D12943" s="0" t="s">
        <v>43149</v>
      </c>
      <c r="E12943" s="0" t="s">
        <v>89</v>
      </c>
      <c r="F12943" s="0" t="s">
        <v>15</v>
      </c>
      <c r="G12943" s="0" t="s">
        <v>36</v>
      </c>
      <c r="H12943" s="0" t="n">
        <v>34</v>
      </c>
      <c r="I12943" s="0" t="s">
        <v>43150</v>
      </c>
      <c r="J12943" s="0" t="s">
        <v>43151</v>
      </c>
      <c r="K12943" s="0" t="s">
        <v>43152</v>
      </c>
      <c r="L12943" s="0" t="str">
        <f aca="false">HYPERLINK("https://www.ncbi.nlm.nih.gov/nuccore/CP000304.1?report=graph&amp;tracks=[key:gene_model_track,Options:GeneOnly]&amp;mk=3650663:3650682|offset_34|00cc00,3650685:3650704|offset_56|444444,3650714:3650733|offset_85|444444,3650749:3650768|offset_120|444444&amp;v=3650462:3650968&amp;c=444444", "offset 34")</f>
        <v>offset 34</v>
      </c>
    </row>
    <row r="12944" customFormat="false" ht="12.8" hidden="false" customHeight="false" outlineLevel="0" collapsed="false">
      <c r="A12944" s="0" t="s">
        <v>12</v>
      </c>
      <c r="B12944" s="0" t="n">
        <v>3650684</v>
      </c>
      <c r="C12944" s="0" t="n">
        <v>3650704</v>
      </c>
      <c r="D12944" s="0" t="s">
        <v>43149</v>
      </c>
      <c r="E12944" s="0" t="s">
        <v>89</v>
      </c>
      <c r="F12944" s="0" t="s">
        <v>15</v>
      </c>
      <c r="G12944" s="0" t="s">
        <v>26</v>
      </c>
      <c r="H12944" s="0" t="n">
        <v>56</v>
      </c>
      <c r="I12944" s="0" t="s">
        <v>43153</v>
      </c>
      <c r="J12944" s="0" t="s">
        <v>43154</v>
      </c>
      <c r="K12944" s="0" t="s">
        <v>43155</v>
      </c>
      <c r="L12944" s="0" t="str">
        <f aca="false">HYPERLINK("https://www.ncbi.nlm.nih.gov/nuccore/CP000304.1?report=graph&amp;tracks=[key:gene_model_track,Options:GeneOnly]&amp;mk=3650663:3650682|offset_34|444444,3650685:3650704|offset_56|00cc00,3650714:3650733|offset_85|444444,3650749:3650768|offset_120|444444&amp;v=3650462:3650968&amp;c=444444", "offset 56")</f>
        <v>offset 56</v>
      </c>
    </row>
    <row r="12945" customFormat="false" ht="12.8" hidden="false" customHeight="false" outlineLevel="0" collapsed="false">
      <c r="A12945" s="0" t="s">
        <v>12</v>
      </c>
      <c r="B12945" s="0" t="n">
        <v>3650713</v>
      </c>
      <c r="C12945" s="0" t="n">
        <v>3650733</v>
      </c>
      <c r="D12945" s="0" t="s">
        <v>43149</v>
      </c>
      <c r="E12945" s="0" t="s">
        <v>89</v>
      </c>
      <c r="F12945" s="0" t="s">
        <v>15</v>
      </c>
      <c r="G12945" s="0" t="s">
        <v>26</v>
      </c>
      <c r="H12945" s="0" t="n">
        <v>85</v>
      </c>
      <c r="I12945" s="0" t="s">
        <v>43156</v>
      </c>
      <c r="J12945" s="0" t="s">
        <v>43157</v>
      </c>
      <c r="K12945" s="0" t="s">
        <v>43158</v>
      </c>
      <c r="L12945" s="0" t="str">
        <f aca="false">HYPERLINK("https://www.ncbi.nlm.nih.gov/nuccore/CP000304.1?report=graph&amp;tracks=[key:gene_model_track,Options:GeneOnly]&amp;mk=3650663:3650682|offset_34|444444,3650685:3650704|offset_56|444444,3650714:3650733|offset_85|00cc00,3650749:3650768|offset_120|444444&amp;v=3650462:3650968&amp;c=444444", "offset 85")</f>
        <v>offset 85</v>
      </c>
    </row>
    <row r="12946" customFormat="false" ht="12.8" hidden="false" customHeight="false" outlineLevel="0" collapsed="false">
      <c r="A12946" s="0" t="s">
        <v>12</v>
      </c>
      <c r="B12946" s="0" t="n">
        <v>3650748</v>
      </c>
      <c r="C12946" s="0" t="n">
        <v>3650768</v>
      </c>
      <c r="D12946" s="0" t="s">
        <v>43149</v>
      </c>
      <c r="E12946" s="0" t="s">
        <v>89</v>
      </c>
      <c r="F12946" s="0" t="s">
        <v>15</v>
      </c>
      <c r="G12946" s="0" t="s">
        <v>26</v>
      </c>
      <c r="H12946" s="0" t="n">
        <v>120</v>
      </c>
      <c r="I12946" s="0" t="s">
        <v>43159</v>
      </c>
      <c r="J12946" s="0" t="s">
        <v>43160</v>
      </c>
      <c r="K12946" s="0" t="s">
        <v>43161</v>
      </c>
      <c r="L12946" s="0" t="str">
        <f aca="false">HYPERLINK("https://www.ncbi.nlm.nih.gov/nuccore/CP000304.1?report=graph&amp;tracks=[key:gene_model_track,Options:GeneOnly]&amp;mk=3650663:3650682|offset_34|444444,3650685:3650704|offset_56|444444,3650714:3650733|offset_85|444444,3650749:3650768|offset_120|00cc00&amp;v=3650462:3650968&amp;c=444444", "offset 120")</f>
        <v>offset 120</v>
      </c>
    </row>
    <row r="12947" customFormat="false" ht="12.8" hidden="false" customHeight="false" outlineLevel="0" collapsed="false">
      <c r="A12947" s="0" t="s">
        <v>12</v>
      </c>
      <c r="B12947" s="0" t="n">
        <v>3651240</v>
      </c>
      <c r="C12947" s="0" t="n">
        <v>3651260</v>
      </c>
      <c r="D12947" s="0" t="s">
        <v>43162</v>
      </c>
      <c r="E12947" s="0" t="s">
        <v>89</v>
      </c>
      <c r="F12947" s="0" t="s">
        <v>15</v>
      </c>
      <c r="G12947" s="0" t="s">
        <v>32</v>
      </c>
      <c r="H12947" s="0" t="n">
        <v>10</v>
      </c>
      <c r="I12947" s="0" t="s">
        <v>43163</v>
      </c>
      <c r="J12947" s="0" t="s">
        <v>43164</v>
      </c>
      <c r="K12947" s="0" t="s">
        <v>43165</v>
      </c>
      <c r="L12947" s="0" t="str">
        <f aca="false">HYPERLINK("https://www.ncbi.nlm.nih.gov/nuccore/CP000304.1?report=graph&amp;tracks=[key:gene_model_track,Options:GeneOnly]&amp;mk=3651241:3651260|offset_10|00cc00,3651316:3651335|offset_85|444444,3651370:3651389|offset_139|444444,3651399:3651418|offset_168|444444&amp;v=3651040:3651618&amp;c=444444", "offset 10")</f>
        <v>offset 10</v>
      </c>
    </row>
    <row r="12948" customFormat="false" ht="12.8" hidden="false" customHeight="false" outlineLevel="0" collapsed="false">
      <c r="A12948" s="0" t="s">
        <v>12</v>
      </c>
      <c r="B12948" s="0" t="n">
        <v>3651315</v>
      </c>
      <c r="C12948" s="0" t="n">
        <v>3651335</v>
      </c>
      <c r="D12948" s="0" t="s">
        <v>43162</v>
      </c>
      <c r="E12948" s="0" t="s">
        <v>89</v>
      </c>
      <c r="F12948" s="0" t="s">
        <v>15</v>
      </c>
      <c r="G12948" s="0" t="s">
        <v>36</v>
      </c>
      <c r="H12948" s="0" t="n">
        <v>85</v>
      </c>
      <c r="I12948" s="0" t="s">
        <v>43166</v>
      </c>
      <c r="J12948" s="0" t="s">
        <v>43167</v>
      </c>
      <c r="K12948" s="0" t="s">
        <v>43168</v>
      </c>
      <c r="L12948" s="0" t="str">
        <f aca="false">HYPERLINK("https://www.ncbi.nlm.nih.gov/nuccore/CP000304.1?report=graph&amp;tracks=[key:gene_model_track,Options:GeneOnly]&amp;mk=3651241:3651260|offset_10|444444,3651316:3651335|offset_85|00cc00,3651370:3651389|offset_139|444444,3651399:3651418|offset_168|444444&amp;v=3651040:3651618&amp;c=444444", "offset 85")</f>
        <v>offset 85</v>
      </c>
    </row>
    <row r="12949" customFormat="false" ht="12.8" hidden="false" customHeight="false" outlineLevel="0" collapsed="false">
      <c r="A12949" s="0" t="s">
        <v>12</v>
      </c>
      <c r="B12949" s="0" t="n">
        <v>3651369</v>
      </c>
      <c r="C12949" s="0" t="n">
        <v>3651389</v>
      </c>
      <c r="D12949" s="0" t="s">
        <v>43162</v>
      </c>
      <c r="E12949" s="0" t="s">
        <v>89</v>
      </c>
      <c r="F12949" s="0" t="s">
        <v>15</v>
      </c>
      <c r="G12949" s="0" t="s">
        <v>26</v>
      </c>
      <c r="H12949" s="0" t="n">
        <v>139</v>
      </c>
      <c r="I12949" s="0" t="s">
        <v>43169</v>
      </c>
      <c r="J12949" s="0" t="s">
        <v>43170</v>
      </c>
      <c r="K12949" s="0" t="s">
        <v>43171</v>
      </c>
      <c r="L12949" s="0" t="str">
        <f aca="false">HYPERLINK("https://www.ncbi.nlm.nih.gov/nuccore/CP000304.1?report=graph&amp;tracks=[key:gene_model_track,Options:GeneOnly]&amp;mk=3651241:3651260|offset_10|444444,3651316:3651335|offset_85|444444,3651370:3651389|offset_139|00cc00,3651399:3651418|offset_168|444444&amp;v=3651040:3651618&amp;c=444444", "offset 139")</f>
        <v>offset 139</v>
      </c>
    </row>
    <row r="12950" customFormat="false" ht="12.8" hidden="false" customHeight="false" outlineLevel="0" collapsed="false">
      <c r="A12950" s="0" t="s">
        <v>12</v>
      </c>
      <c r="B12950" s="0" t="n">
        <v>3651398</v>
      </c>
      <c r="C12950" s="0" t="n">
        <v>3651418</v>
      </c>
      <c r="D12950" s="0" t="s">
        <v>43162</v>
      </c>
      <c r="E12950" s="0" t="s">
        <v>89</v>
      </c>
      <c r="F12950" s="0" t="s">
        <v>15</v>
      </c>
      <c r="G12950" s="0" t="s">
        <v>36</v>
      </c>
      <c r="H12950" s="0" t="n">
        <v>168</v>
      </c>
      <c r="I12950" s="0" t="s">
        <v>43172</v>
      </c>
      <c r="J12950" s="0" t="s">
        <v>43173</v>
      </c>
      <c r="K12950" s="0" t="s">
        <v>43174</v>
      </c>
      <c r="L12950" s="0" t="str">
        <f aca="false">HYPERLINK("https://www.ncbi.nlm.nih.gov/nuccore/CP000304.1?report=graph&amp;tracks=[key:gene_model_track,Options:GeneOnly]&amp;mk=3651241:3651260|offset_10|444444,3651316:3651335|offset_85|444444,3651370:3651389|offset_139|444444,3651399:3651418|offset_168|00cc00&amp;v=3651040:3651618&amp;c=444444", "offset 168")</f>
        <v>offset 168</v>
      </c>
    </row>
    <row r="12951" customFormat="false" ht="12.8" hidden="false" customHeight="false" outlineLevel="0" collapsed="false">
      <c r="A12951" s="0" t="s">
        <v>12</v>
      </c>
      <c r="B12951" s="0" t="n">
        <v>3651838</v>
      </c>
      <c r="C12951" s="0" t="n">
        <v>3651858</v>
      </c>
      <c r="D12951" s="0" t="s">
        <v>43175</v>
      </c>
      <c r="E12951" s="0" t="s">
        <v>89</v>
      </c>
      <c r="F12951" s="0" t="s">
        <v>15</v>
      </c>
      <c r="G12951" s="0" t="s">
        <v>32</v>
      </c>
      <c r="H12951" s="0" t="n">
        <v>7</v>
      </c>
      <c r="I12951" s="0" t="s">
        <v>43176</v>
      </c>
      <c r="J12951" s="0" t="s">
        <v>43177</v>
      </c>
      <c r="K12951" s="0" t="s">
        <v>43178</v>
      </c>
      <c r="L12951" s="0" t="str">
        <f aca="false">HYPERLINK("https://www.ncbi.nlm.nih.gov/nuccore/CP000304.1?report=graph&amp;tracks=[key:gene_model_track,Options:GeneOnly]&amp;mk=3651839:3651858|offset_7|00cc00,3651887:3651906|offset_55|444444,3651915:3651934|offset_83|444444,3651947:3651966|offset_115|444444&amp;v=3651638:3652166&amp;c=444444", "offset 7")</f>
        <v>offset 7</v>
      </c>
    </row>
    <row r="12952" customFormat="false" ht="12.8" hidden="false" customHeight="false" outlineLevel="0" collapsed="false">
      <c r="A12952" s="0" t="s">
        <v>12</v>
      </c>
      <c r="B12952" s="0" t="n">
        <v>3651886</v>
      </c>
      <c r="C12952" s="0" t="n">
        <v>3651906</v>
      </c>
      <c r="D12952" s="0" t="s">
        <v>43175</v>
      </c>
      <c r="E12952" s="0" t="s">
        <v>89</v>
      </c>
      <c r="F12952" s="0" t="s">
        <v>15</v>
      </c>
      <c r="G12952" s="0" t="s">
        <v>32</v>
      </c>
      <c r="H12952" s="0" t="n">
        <v>55</v>
      </c>
      <c r="I12952" s="0" t="s">
        <v>43179</v>
      </c>
      <c r="J12952" s="0" t="s">
        <v>43180</v>
      </c>
      <c r="K12952" s="0" t="s">
        <v>43181</v>
      </c>
      <c r="L12952" s="0" t="str">
        <f aca="false">HYPERLINK("https://www.ncbi.nlm.nih.gov/nuccore/CP000304.1?report=graph&amp;tracks=[key:gene_model_track,Options:GeneOnly]&amp;mk=3651839:3651858|offset_7|444444,3651887:3651906|offset_55|00cc00,3651915:3651934|offset_83|444444,3651947:3651966|offset_115|444444&amp;v=3651638:3652166&amp;c=444444", "offset 55")</f>
        <v>offset 55</v>
      </c>
    </row>
    <row r="12953" customFormat="false" ht="12.8" hidden="false" customHeight="false" outlineLevel="0" collapsed="false">
      <c r="A12953" s="0" t="s">
        <v>12</v>
      </c>
      <c r="B12953" s="0" t="n">
        <v>3651914</v>
      </c>
      <c r="C12953" s="0" t="n">
        <v>3651934</v>
      </c>
      <c r="D12953" s="0" t="s">
        <v>43175</v>
      </c>
      <c r="E12953" s="0" t="s">
        <v>89</v>
      </c>
      <c r="F12953" s="0" t="s">
        <v>15</v>
      </c>
      <c r="G12953" s="0" t="s">
        <v>16</v>
      </c>
      <c r="H12953" s="0" t="n">
        <v>83</v>
      </c>
      <c r="I12953" s="0" t="s">
        <v>43182</v>
      </c>
      <c r="J12953" s="0" t="s">
        <v>43183</v>
      </c>
      <c r="K12953" s="0" t="s">
        <v>43184</v>
      </c>
      <c r="L12953" s="0" t="str">
        <f aca="false">HYPERLINK("https://www.ncbi.nlm.nih.gov/nuccore/CP000304.1?report=graph&amp;tracks=[key:gene_model_track,Options:GeneOnly]&amp;mk=3651839:3651858|offset_7|444444,3651887:3651906|offset_55|444444,3651915:3651934|offset_83|00cc00,3651947:3651966|offset_115|444444&amp;v=3651638:3652166&amp;c=444444", "offset 83")</f>
        <v>offset 83</v>
      </c>
    </row>
    <row r="12954" customFormat="false" ht="12.8" hidden="false" customHeight="false" outlineLevel="0" collapsed="false">
      <c r="A12954" s="0" t="s">
        <v>12</v>
      </c>
      <c r="B12954" s="0" t="n">
        <v>3651946</v>
      </c>
      <c r="C12954" s="0" t="n">
        <v>3651966</v>
      </c>
      <c r="D12954" s="0" t="s">
        <v>43175</v>
      </c>
      <c r="E12954" s="0" t="s">
        <v>89</v>
      </c>
      <c r="F12954" s="0" t="s">
        <v>15</v>
      </c>
      <c r="G12954" s="0" t="s">
        <v>26</v>
      </c>
      <c r="H12954" s="0" t="n">
        <v>115</v>
      </c>
      <c r="I12954" s="0" t="s">
        <v>43185</v>
      </c>
      <c r="J12954" s="0" t="s">
        <v>43186</v>
      </c>
      <c r="K12954" s="0" t="s">
        <v>43187</v>
      </c>
      <c r="L12954" s="0" t="str">
        <f aca="false">HYPERLINK("https://www.ncbi.nlm.nih.gov/nuccore/CP000304.1?report=graph&amp;tracks=[key:gene_model_track,Options:GeneOnly]&amp;mk=3651839:3651858|offset_7|444444,3651887:3651906|offset_55|444444,3651915:3651934|offset_83|444444,3651947:3651966|offset_115|00cc00&amp;v=3651638:3652166&amp;c=444444", "offset 115")</f>
        <v>offset 115</v>
      </c>
    </row>
    <row r="12955" customFormat="false" ht="12.8" hidden="false" customHeight="false" outlineLevel="0" collapsed="false">
      <c r="A12955" s="0" t="s">
        <v>12</v>
      </c>
      <c r="B12955" s="0" t="n">
        <v>3655302</v>
      </c>
      <c r="C12955" s="0" t="n">
        <v>3655322</v>
      </c>
      <c r="D12955" s="0" t="s">
        <v>43188</v>
      </c>
      <c r="E12955" s="0" t="s">
        <v>89</v>
      </c>
      <c r="F12955" s="0" t="s">
        <v>90</v>
      </c>
      <c r="G12955" s="0" t="s">
        <v>36</v>
      </c>
      <c r="H12955" s="0" t="n">
        <v>22</v>
      </c>
      <c r="I12955" s="0" t="s">
        <v>43189</v>
      </c>
      <c r="J12955" s="0" t="s">
        <v>43190</v>
      </c>
      <c r="K12955" s="0" t="s">
        <v>43191</v>
      </c>
      <c r="L12955" s="0" t="str">
        <f aca="false">HYPERLINK("https://www.ncbi.nlm.nih.gov/nuccore/CP000304.1?report=graph&amp;tracks=[key:gene_model_track,Options:GeneOnly]&amp;mk=3655303:3655322|offset_22|00cc00,3655261:3655280|offset_64|444444,3655212:3655231|offset_113|444444,3655156:3655175|offset_169|444444&amp;v=3655102:3655375&amp;c=444444", "offset 22")</f>
        <v>offset 22</v>
      </c>
    </row>
    <row r="12956" customFormat="false" ht="12.8" hidden="false" customHeight="false" outlineLevel="0" collapsed="false">
      <c r="A12956" s="0" t="s">
        <v>12</v>
      </c>
      <c r="B12956" s="0" t="n">
        <v>3655260</v>
      </c>
      <c r="C12956" s="0" t="n">
        <v>3655280</v>
      </c>
      <c r="D12956" s="0" t="s">
        <v>43188</v>
      </c>
      <c r="E12956" s="0" t="s">
        <v>89</v>
      </c>
      <c r="F12956" s="0" t="s">
        <v>90</v>
      </c>
      <c r="G12956" s="0" t="s">
        <v>16</v>
      </c>
      <c r="H12956" s="0" t="n">
        <v>64</v>
      </c>
      <c r="I12956" s="0" t="s">
        <v>43192</v>
      </c>
      <c r="J12956" s="0" t="s">
        <v>43193</v>
      </c>
      <c r="K12956" s="0" t="s">
        <v>43194</v>
      </c>
      <c r="L12956" s="0" t="str">
        <f aca="false">HYPERLINK("https://www.ncbi.nlm.nih.gov/nuccore/CP000304.1?report=graph&amp;tracks=[key:gene_model_track,Options:GeneOnly]&amp;mk=3655303:3655322|offset_22|444444,3655261:3655280|offset_64|00cc00,3655212:3655231|offset_113|444444,3655156:3655175|offset_169|444444&amp;v=3655102:3655375&amp;c=444444", "offset 64")</f>
        <v>offset 64</v>
      </c>
    </row>
    <row r="12957" customFormat="false" ht="12.8" hidden="false" customHeight="false" outlineLevel="0" collapsed="false">
      <c r="A12957" s="0" t="s">
        <v>12</v>
      </c>
      <c r="B12957" s="0" t="n">
        <v>3655211</v>
      </c>
      <c r="C12957" s="0" t="n">
        <v>3655231</v>
      </c>
      <c r="D12957" s="0" t="s">
        <v>43188</v>
      </c>
      <c r="E12957" s="0" t="s">
        <v>89</v>
      </c>
      <c r="F12957" s="0" t="s">
        <v>90</v>
      </c>
      <c r="G12957" s="0" t="s">
        <v>36</v>
      </c>
      <c r="H12957" s="0" t="n">
        <v>113</v>
      </c>
      <c r="I12957" s="0" t="s">
        <v>43195</v>
      </c>
      <c r="J12957" s="0" t="s">
        <v>43196</v>
      </c>
      <c r="K12957" s="0" t="s">
        <v>43197</v>
      </c>
      <c r="L12957" s="0" t="str">
        <f aca="false">HYPERLINK("https://www.ncbi.nlm.nih.gov/nuccore/CP000304.1?report=graph&amp;tracks=[key:gene_model_track,Options:GeneOnly]&amp;mk=3655303:3655322|offset_22|444444,3655261:3655280|offset_64|444444,3655212:3655231|offset_113|00cc00,3655156:3655175|offset_169|444444&amp;v=3655102:3655375&amp;c=444444", "offset 113")</f>
        <v>offset 113</v>
      </c>
    </row>
    <row r="12958" customFormat="false" ht="12.8" hidden="false" customHeight="false" outlineLevel="0" collapsed="false">
      <c r="A12958" s="0" t="s">
        <v>12</v>
      </c>
      <c r="B12958" s="0" t="n">
        <v>3655155</v>
      </c>
      <c r="C12958" s="0" t="n">
        <v>3655175</v>
      </c>
      <c r="D12958" s="0" t="s">
        <v>43188</v>
      </c>
      <c r="E12958" s="0" t="s">
        <v>89</v>
      </c>
      <c r="F12958" s="0" t="s">
        <v>90</v>
      </c>
      <c r="G12958" s="0" t="s">
        <v>32</v>
      </c>
      <c r="H12958" s="0" t="n">
        <v>169</v>
      </c>
      <c r="I12958" s="0" t="s">
        <v>43198</v>
      </c>
      <c r="J12958" s="0" t="s">
        <v>43199</v>
      </c>
      <c r="K12958" s="0" t="s">
        <v>43200</v>
      </c>
      <c r="L12958" s="0" t="str">
        <f aca="false">HYPERLINK("https://www.ncbi.nlm.nih.gov/nuccore/CP000304.1?report=graph&amp;tracks=[key:gene_model_track,Options:GeneOnly]&amp;mk=3655303:3655322|offset_22|444444,3655261:3655280|offset_64|444444,3655212:3655231|offset_113|444444,3655156:3655175|offset_169|00cc00&amp;v=3655102:3655375&amp;c=444444", "offset 169")</f>
        <v>offset 169</v>
      </c>
    </row>
    <row r="12959" customFormat="false" ht="12.8" hidden="false" customHeight="false" outlineLevel="0" collapsed="false">
      <c r="A12959" s="0" t="s">
        <v>12</v>
      </c>
      <c r="B12959" s="0" t="n">
        <v>3656469</v>
      </c>
      <c r="C12959" s="0" t="n">
        <v>3656489</v>
      </c>
      <c r="D12959" s="0" t="s">
        <v>43201</v>
      </c>
      <c r="E12959" s="0" t="s">
        <v>43202</v>
      </c>
      <c r="F12959" s="0" t="s">
        <v>90</v>
      </c>
      <c r="G12959" s="0" t="s">
        <v>32</v>
      </c>
      <c r="H12959" s="0" t="n">
        <v>24</v>
      </c>
      <c r="I12959" s="0" t="s">
        <v>43203</v>
      </c>
      <c r="J12959" s="0" t="s">
        <v>43204</v>
      </c>
      <c r="K12959" s="0" t="s">
        <v>43205</v>
      </c>
      <c r="L12959" s="0" t="str">
        <f aca="false">HYPERLINK("https://www.ncbi.nlm.nih.gov/nuccore/CP000304.1?report=graph&amp;tracks=[key:gene_model_track,Options:GeneOnly]&amp;mk=3656470:3656489|offset_24|00cc00,3656418:3656437|offset_76|444444,3656381:3656400|offset_113|444444,3656360:3656379|offset_134|444444&amp;v=3656269:3656579&amp;c=444444", "offset 24")</f>
        <v>offset 24</v>
      </c>
    </row>
    <row r="12960" customFormat="false" ht="12.8" hidden="false" customHeight="false" outlineLevel="0" collapsed="false">
      <c r="A12960" s="0" t="s">
        <v>12</v>
      </c>
      <c r="B12960" s="0" t="n">
        <v>3656417</v>
      </c>
      <c r="C12960" s="0" t="n">
        <v>3656437</v>
      </c>
      <c r="D12960" s="0" t="s">
        <v>43201</v>
      </c>
      <c r="E12960" s="0" t="s">
        <v>43202</v>
      </c>
      <c r="F12960" s="0" t="s">
        <v>90</v>
      </c>
      <c r="G12960" s="0" t="s">
        <v>26</v>
      </c>
      <c r="H12960" s="0" t="n">
        <v>76</v>
      </c>
      <c r="I12960" s="0" t="s">
        <v>43206</v>
      </c>
      <c r="J12960" s="0" t="s">
        <v>43207</v>
      </c>
      <c r="K12960" s="0" t="s">
        <v>43208</v>
      </c>
      <c r="L12960" s="0" t="str">
        <f aca="false">HYPERLINK("https://www.ncbi.nlm.nih.gov/nuccore/CP000304.1?report=graph&amp;tracks=[key:gene_model_track,Options:GeneOnly]&amp;mk=3656470:3656489|offset_24|444444,3656418:3656437|offset_76|00cc00,3656381:3656400|offset_113|444444,3656360:3656379|offset_134|444444&amp;v=3656269:3656579&amp;c=444444", "offset 76")</f>
        <v>offset 76</v>
      </c>
    </row>
    <row r="12961" customFormat="false" ht="12.8" hidden="false" customHeight="false" outlineLevel="0" collapsed="false">
      <c r="A12961" s="0" t="s">
        <v>12</v>
      </c>
      <c r="B12961" s="0" t="n">
        <v>3656380</v>
      </c>
      <c r="C12961" s="0" t="n">
        <v>3656400</v>
      </c>
      <c r="D12961" s="0" t="s">
        <v>43201</v>
      </c>
      <c r="E12961" s="0" t="s">
        <v>43202</v>
      </c>
      <c r="F12961" s="0" t="s">
        <v>90</v>
      </c>
      <c r="G12961" s="0" t="s">
        <v>32</v>
      </c>
      <c r="H12961" s="0" t="n">
        <v>113</v>
      </c>
      <c r="I12961" s="0" t="s">
        <v>43209</v>
      </c>
      <c r="J12961" s="0" t="s">
        <v>43210</v>
      </c>
      <c r="K12961" s="0" t="s">
        <v>43211</v>
      </c>
      <c r="L12961" s="0" t="str">
        <f aca="false">HYPERLINK("https://www.ncbi.nlm.nih.gov/nuccore/CP000304.1?report=graph&amp;tracks=[key:gene_model_track,Options:GeneOnly]&amp;mk=3656470:3656489|offset_24|444444,3656418:3656437|offset_76|444444,3656381:3656400|offset_113|00cc00,3656360:3656379|offset_134|444444&amp;v=3656269:3656579&amp;c=444444", "offset 113")</f>
        <v>offset 113</v>
      </c>
    </row>
    <row r="12962" customFormat="false" ht="12.8" hidden="false" customHeight="false" outlineLevel="0" collapsed="false">
      <c r="A12962" s="0" t="s">
        <v>12</v>
      </c>
      <c r="B12962" s="0" t="n">
        <v>3656359</v>
      </c>
      <c r="C12962" s="0" t="n">
        <v>3656379</v>
      </c>
      <c r="D12962" s="0" t="s">
        <v>43201</v>
      </c>
      <c r="E12962" s="0" t="s">
        <v>43202</v>
      </c>
      <c r="F12962" s="0" t="s">
        <v>90</v>
      </c>
      <c r="G12962" s="0" t="s">
        <v>32</v>
      </c>
      <c r="H12962" s="0" t="n">
        <v>134</v>
      </c>
      <c r="I12962" s="0" t="s">
        <v>43212</v>
      </c>
      <c r="J12962" s="0" t="s">
        <v>43213</v>
      </c>
      <c r="K12962" s="0" t="s">
        <v>43214</v>
      </c>
      <c r="L12962" s="0" t="str">
        <f aca="false">HYPERLINK("https://www.ncbi.nlm.nih.gov/nuccore/CP000304.1?report=graph&amp;tracks=[key:gene_model_track,Options:GeneOnly]&amp;mk=3656470:3656489|offset_24|444444,3656418:3656437|offset_76|444444,3656381:3656400|offset_113|444444,3656360:3656379|offset_134|00cc00&amp;v=3656269:3656579&amp;c=444444", "offset 134")</f>
        <v>offset 134</v>
      </c>
    </row>
    <row r="12963" customFormat="false" ht="12.8" hidden="false" customHeight="false" outlineLevel="0" collapsed="false">
      <c r="A12963" s="0" t="s">
        <v>12</v>
      </c>
      <c r="B12963" s="0" t="n">
        <v>3656781</v>
      </c>
      <c r="C12963" s="0" t="n">
        <v>3656801</v>
      </c>
      <c r="D12963" s="0" t="s">
        <v>43215</v>
      </c>
      <c r="E12963" s="0" t="s">
        <v>89</v>
      </c>
      <c r="F12963" s="0" t="s">
        <v>90</v>
      </c>
      <c r="G12963" s="0" t="s">
        <v>36</v>
      </c>
      <c r="H12963" s="0" t="n">
        <v>13</v>
      </c>
      <c r="I12963" s="0" t="s">
        <v>43216</v>
      </c>
      <c r="J12963" s="0" t="s">
        <v>43217</v>
      </c>
      <c r="K12963" s="0" t="s">
        <v>43218</v>
      </c>
      <c r="L12963" s="0" t="str">
        <f aca="false">HYPERLINK("https://www.ncbi.nlm.nih.gov/nuccore/CP000304.1?report=graph&amp;tracks=[key:gene_model_track,Options:GeneOnly]&amp;mk=3656782:3656801|offset_13|00cc00,3656752:3656771|offset_43|444444,3656728:3656747|offset_67|444444,3656704:3656723|offset_91|444444&amp;v=3656581:3656923&amp;c=444444", "offset 13")</f>
        <v>offset 13</v>
      </c>
    </row>
    <row r="12964" customFormat="false" ht="12.8" hidden="false" customHeight="false" outlineLevel="0" collapsed="false">
      <c r="A12964" s="0" t="s">
        <v>12</v>
      </c>
      <c r="B12964" s="0" t="n">
        <v>3656751</v>
      </c>
      <c r="C12964" s="0" t="n">
        <v>3656771</v>
      </c>
      <c r="D12964" s="0" t="s">
        <v>43215</v>
      </c>
      <c r="E12964" s="0" t="s">
        <v>89</v>
      </c>
      <c r="F12964" s="0" t="s">
        <v>90</v>
      </c>
      <c r="G12964" s="0" t="s">
        <v>16</v>
      </c>
      <c r="H12964" s="0" t="n">
        <v>43</v>
      </c>
      <c r="I12964" s="0" t="s">
        <v>43219</v>
      </c>
      <c r="J12964" s="0" t="s">
        <v>43220</v>
      </c>
      <c r="K12964" s="0" t="s">
        <v>43221</v>
      </c>
      <c r="L12964" s="0" t="str">
        <f aca="false">HYPERLINK("https://www.ncbi.nlm.nih.gov/nuccore/CP000304.1?report=graph&amp;tracks=[key:gene_model_track,Options:GeneOnly]&amp;mk=3656782:3656801|offset_13|444444,3656752:3656771|offset_43|00cc00,3656728:3656747|offset_67|444444,3656704:3656723|offset_91|444444&amp;v=3656581:3656923&amp;c=444444", "offset 43")</f>
        <v>offset 43</v>
      </c>
    </row>
    <row r="12965" customFormat="false" ht="12.8" hidden="false" customHeight="false" outlineLevel="0" collapsed="false">
      <c r="A12965" s="0" t="s">
        <v>12</v>
      </c>
      <c r="B12965" s="0" t="n">
        <v>3656727</v>
      </c>
      <c r="C12965" s="0" t="n">
        <v>3656747</v>
      </c>
      <c r="D12965" s="0" t="s">
        <v>43215</v>
      </c>
      <c r="E12965" s="0" t="s">
        <v>89</v>
      </c>
      <c r="F12965" s="0" t="s">
        <v>90</v>
      </c>
      <c r="G12965" s="0" t="s">
        <v>36</v>
      </c>
      <c r="H12965" s="0" t="n">
        <v>67</v>
      </c>
      <c r="I12965" s="0" t="s">
        <v>43222</v>
      </c>
      <c r="J12965" s="0" t="s">
        <v>43223</v>
      </c>
      <c r="K12965" s="0" t="s">
        <v>43224</v>
      </c>
      <c r="L12965" s="0" t="str">
        <f aca="false">HYPERLINK("https://www.ncbi.nlm.nih.gov/nuccore/CP000304.1?report=graph&amp;tracks=[key:gene_model_track,Options:GeneOnly]&amp;mk=3656782:3656801|offset_13|444444,3656752:3656771|offset_43|444444,3656728:3656747|offset_67|00cc00,3656704:3656723|offset_91|444444&amp;v=3656581:3656923&amp;c=444444", "offset 67")</f>
        <v>offset 67</v>
      </c>
    </row>
    <row r="12966" customFormat="false" ht="12.8" hidden="false" customHeight="false" outlineLevel="0" collapsed="false">
      <c r="A12966" s="0" t="s">
        <v>12</v>
      </c>
      <c r="B12966" s="0" t="n">
        <v>3656703</v>
      </c>
      <c r="C12966" s="0" t="n">
        <v>3656723</v>
      </c>
      <c r="D12966" s="0" t="s">
        <v>43215</v>
      </c>
      <c r="E12966" s="0" t="s">
        <v>89</v>
      </c>
      <c r="F12966" s="0" t="s">
        <v>90</v>
      </c>
      <c r="G12966" s="0" t="s">
        <v>16</v>
      </c>
      <c r="H12966" s="0" t="n">
        <v>91</v>
      </c>
      <c r="I12966" s="0" t="s">
        <v>43225</v>
      </c>
      <c r="J12966" s="0" t="s">
        <v>43226</v>
      </c>
      <c r="K12966" s="0" t="s">
        <v>43227</v>
      </c>
      <c r="L12966" s="0" t="str">
        <f aca="false">HYPERLINK("https://www.ncbi.nlm.nih.gov/nuccore/CP000304.1?report=graph&amp;tracks=[key:gene_model_track,Options:GeneOnly]&amp;mk=3656782:3656801|offset_13|444444,3656752:3656771|offset_43|444444,3656728:3656747|offset_67|444444,3656704:3656723|offset_91|00cc00&amp;v=3656581:3656923&amp;c=444444", "offset 91")</f>
        <v>offset 91</v>
      </c>
    </row>
    <row r="12967" customFormat="false" ht="12.8" hidden="false" customHeight="false" outlineLevel="0" collapsed="false">
      <c r="A12967" s="0" t="s">
        <v>12</v>
      </c>
      <c r="B12967" s="0" t="n">
        <v>3658637</v>
      </c>
      <c r="C12967" s="0" t="n">
        <v>3658657</v>
      </c>
      <c r="D12967" s="0" t="s">
        <v>43228</v>
      </c>
      <c r="E12967" s="0" t="s">
        <v>43229</v>
      </c>
      <c r="F12967" s="0" t="s">
        <v>90</v>
      </c>
      <c r="G12967" s="0" t="s">
        <v>36</v>
      </c>
      <c r="H12967" s="0" t="n">
        <v>50</v>
      </c>
      <c r="I12967" s="0" t="s">
        <v>43230</v>
      </c>
      <c r="J12967" s="0" t="s">
        <v>43231</v>
      </c>
      <c r="K12967" s="0" t="s">
        <v>43232</v>
      </c>
      <c r="L12967" s="0" t="str">
        <f aca="false">HYPERLINK("https://www.ncbi.nlm.nih.gov/nuccore/CP000304.1?report=graph&amp;tracks=[key:gene_model_track,Options:GeneOnly]&amp;mk=3658638:3658657|offset_50|00cc00,3658616:3658635|offset_72|444444,3658573:3658592|offset_115|444444,3658543:3658562|offset_145|444444&amp;v=3658437:3658762&amp;c=444444", "offset 50")</f>
        <v>offset 50</v>
      </c>
    </row>
    <row r="12968" customFormat="false" ht="12.8" hidden="false" customHeight="false" outlineLevel="0" collapsed="false">
      <c r="A12968" s="0" t="s">
        <v>12</v>
      </c>
      <c r="B12968" s="0" t="n">
        <v>3658615</v>
      </c>
      <c r="C12968" s="0" t="n">
        <v>3658635</v>
      </c>
      <c r="D12968" s="0" t="s">
        <v>43228</v>
      </c>
      <c r="E12968" s="0" t="s">
        <v>43229</v>
      </c>
      <c r="F12968" s="0" t="s">
        <v>90</v>
      </c>
      <c r="G12968" s="0" t="s">
        <v>16</v>
      </c>
      <c r="H12968" s="0" t="n">
        <v>72</v>
      </c>
      <c r="I12968" s="0" t="s">
        <v>43233</v>
      </c>
      <c r="J12968" s="0" t="s">
        <v>43234</v>
      </c>
      <c r="K12968" s="0" t="s">
        <v>43235</v>
      </c>
      <c r="L12968" s="0" t="str">
        <f aca="false">HYPERLINK("https://www.ncbi.nlm.nih.gov/nuccore/CP000304.1?report=graph&amp;tracks=[key:gene_model_track,Options:GeneOnly]&amp;mk=3658638:3658657|offset_50|444444,3658616:3658635|offset_72|00cc00,3658573:3658592|offset_115|444444,3658543:3658562|offset_145|444444&amp;v=3658437:3658762&amp;c=444444", "offset 72")</f>
        <v>offset 72</v>
      </c>
    </row>
    <row r="12969" customFormat="false" ht="12.8" hidden="false" customHeight="false" outlineLevel="0" collapsed="false">
      <c r="A12969" s="0" t="s">
        <v>12</v>
      </c>
      <c r="B12969" s="0" t="n">
        <v>3658572</v>
      </c>
      <c r="C12969" s="0" t="n">
        <v>3658592</v>
      </c>
      <c r="D12969" s="0" t="s">
        <v>43228</v>
      </c>
      <c r="E12969" s="0" t="s">
        <v>43229</v>
      </c>
      <c r="F12969" s="0" t="s">
        <v>90</v>
      </c>
      <c r="G12969" s="0" t="s">
        <v>32</v>
      </c>
      <c r="H12969" s="0" t="n">
        <v>115</v>
      </c>
      <c r="I12969" s="0" t="s">
        <v>43236</v>
      </c>
      <c r="J12969" s="0" t="s">
        <v>43237</v>
      </c>
      <c r="K12969" s="0" t="s">
        <v>43238</v>
      </c>
      <c r="L12969" s="0" t="str">
        <f aca="false">HYPERLINK("https://www.ncbi.nlm.nih.gov/nuccore/CP000304.1?report=graph&amp;tracks=[key:gene_model_track,Options:GeneOnly]&amp;mk=3658638:3658657|offset_50|444444,3658616:3658635|offset_72|444444,3658573:3658592|offset_115|00cc00,3658543:3658562|offset_145|444444&amp;v=3658437:3658762&amp;c=444444", "offset 115")</f>
        <v>offset 115</v>
      </c>
    </row>
    <row r="12970" customFormat="false" ht="12.8" hidden="false" customHeight="false" outlineLevel="0" collapsed="false">
      <c r="A12970" s="0" t="s">
        <v>12</v>
      </c>
      <c r="B12970" s="0" t="n">
        <v>3658542</v>
      </c>
      <c r="C12970" s="0" t="n">
        <v>3658562</v>
      </c>
      <c r="D12970" s="0" t="s">
        <v>43228</v>
      </c>
      <c r="E12970" s="0" t="s">
        <v>43229</v>
      </c>
      <c r="F12970" s="0" t="s">
        <v>90</v>
      </c>
      <c r="G12970" s="0" t="s">
        <v>16</v>
      </c>
      <c r="H12970" s="0" t="n">
        <v>145</v>
      </c>
      <c r="I12970" s="0" t="s">
        <v>43239</v>
      </c>
      <c r="J12970" s="0" t="s">
        <v>43240</v>
      </c>
      <c r="K12970" s="0" t="s">
        <v>43241</v>
      </c>
      <c r="L12970" s="0" t="str">
        <f aca="false">HYPERLINK("https://www.ncbi.nlm.nih.gov/nuccore/CP000304.1?report=graph&amp;tracks=[key:gene_model_track,Options:GeneOnly]&amp;mk=3658638:3658657|offset_50|444444,3658616:3658635|offset_72|444444,3658573:3658592|offset_115|444444,3658543:3658562|offset_145|00cc00&amp;v=3658437:3658762&amp;c=444444", "offset 145")</f>
        <v>offset 145</v>
      </c>
    </row>
    <row r="12971" customFormat="false" ht="12.8" hidden="false" customHeight="false" outlineLevel="0" collapsed="false">
      <c r="A12971" s="0" t="s">
        <v>12</v>
      </c>
      <c r="B12971" s="0" t="n">
        <v>3660997</v>
      </c>
      <c r="C12971" s="0" t="n">
        <v>3661017</v>
      </c>
      <c r="D12971" s="0" t="s">
        <v>43242</v>
      </c>
      <c r="E12971" s="0" t="s">
        <v>89</v>
      </c>
      <c r="F12971" s="0" t="s">
        <v>90</v>
      </c>
      <c r="G12971" s="0" t="s">
        <v>36</v>
      </c>
      <c r="H12971" s="0" t="n">
        <v>0</v>
      </c>
      <c r="I12971" s="0" t="s">
        <v>43243</v>
      </c>
      <c r="J12971" s="0" t="s">
        <v>43244</v>
      </c>
      <c r="K12971" s="0" t="s">
        <v>43245</v>
      </c>
      <c r="L12971" s="0" t="str">
        <f aca="false">HYPERLINK("https://www.ncbi.nlm.nih.gov/nuccore/CP000304.1?report=graph&amp;tracks=[key:gene_model_track,Options:GeneOnly]&amp;mk=3660998:3661017|offset_0|00cc00,3660975:3660994|offset_23|444444,3660953:3660972|offset_45|444444,3660926:3660945|offset_72|444444&amp;v=3660797:3661145&amp;c=444444", "offset 0")</f>
        <v>offset 0</v>
      </c>
    </row>
    <row r="12972" customFormat="false" ht="12.8" hidden="false" customHeight="false" outlineLevel="0" collapsed="false">
      <c r="A12972" s="0" t="s">
        <v>12</v>
      </c>
      <c r="B12972" s="0" t="n">
        <v>3660974</v>
      </c>
      <c r="C12972" s="0" t="n">
        <v>3660994</v>
      </c>
      <c r="D12972" s="0" t="s">
        <v>43242</v>
      </c>
      <c r="E12972" s="0" t="s">
        <v>89</v>
      </c>
      <c r="F12972" s="0" t="s">
        <v>90</v>
      </c>
      <c r="G12972" s="0" t="s">
        <v>26</v>
      </c>
      <c r="H12972" s="0" t="n">
        <v>23</v>
      </c>
      <c r="I12972" s="0" t="s">
        <v>43246</v>
      </c>
      <c r="J12972" s="0" t="s">
        <v>43247</v>
      </c>
      <c r="K12972" s="0" t="s">
        <v>43248</v>
      </c>
      <c r="L12972" s="0" t="str">
        <f aca="false">HYPERLINK("https://www.ncbi.nlm.nih.gov/nuccore/CP000304.1?report=graph&amp;tracks=[key:gene_model_track,Options:GeneOnly]&amp;mk=3660998:3661017|offset_0|444444,3660975:3660994|offset_23|00cc00,3660953:3660972|offset_45|444444,3660926:3660945|offset_72|444444&amp;v=3660797:3661145&amp;c=444444", "offset 23")</f>
        <v>offset 23</v>
      </c>
    </row>
    <row r="12973" customFormat="false" ht="12.8" hidden="false" customHeight="false" outlineLevel="0" collapsed="false">
      <c r="A12973" s="0" t="s">
        <v>12</v>
      </c>
      <c r="B12973" s="0" t="n">
        <v>3660952</v>
      </c>
      <c r="C12973" s="0" t="n">
        <v>3660972</v>
      </c>
      <c r="D12973" s="0" t="s">
        <v>43242</v>
      </c>
      <c r="E12973" s="0" t="s">
        <v>89</v>
      </c>
      <c r="F12973" s="0" t="s">
        <v>90</v>
      </c>
      <c r="G12973" s="0" t="s">
        <v>16</v>
      </c>
      <c r="H12973" s="0" t="n">
        <v>45</v>
      </c>
      <c r="I12973" s="0" t="s">
        <v>43249</v>
      </c>
      <c r="J12973" s="0" t="s">
        <v>43250</v>
      </c>
      <c r="K12973" s="0" t="s">
        <v>43251</v>
      </c>
      <c r="L12973" s="0" t="str">
        <f aca="false">HYPERLINK("https://www.ncbi.nlm.nih.gov/nuccore/CP000304.1?report=graph&amp;tracks=[key:gene_model_track,Options:GeneOnly]&amp;mk=3660998:3661017|offset_0|444444,3660975:3660994|offset_23|444444,3660953:3660972|offset_45|00cc00,3660926:3660945|offset_72|444444&amp;v=3660797:3661145&amp;c=444444", "offset 45")</f>
        <v>offset 45</v>
      </c>
    </row>
    <row r="12974" customFormat="false" ht="12.8" hidden="false" customHeight="false" outlineLevel="0" collapsed="false">
      <c r="A12974" s="0" t="s">
        <v>12</v>
      </c>
      <c r="B12974" s="0" t="n">
        <v>3660925</v>
      </c>
      <c r="C12974" s="0" t="n">
        <v>3660945</v>
      </c>
      <c r="D12974" s="0" t="s">
        <v>43242</v>
      </c>
      <c r="E12974" s="0" t="s">
        <v>89</v>
      </c>
      <c r="F12974" s="0" t="s">
        <v>90</v>
      </c>
      <c r="G12974" s="0" t="s">
        <v>26</v>
      </c>
      <c r="H12974" s="0" t="n">
        <v>72</v>
      </c>
      <c r="I12974" s="0" t="s">
        <v>43252</v>
      </c>
      <c r="J12974" s="0" t="s">
        <v>43253</v>
      </c>
      <c r="K12974" s="0" t="s">
        <v>43254</v>
      </c>
      <c r="L12974" s="0" t="str">
        <f aca="false">HYPERLINK("https://www.ncbi.nlm.nih.gov/nuccore/CP000304.1?report=graph&amp;tracks=[key:gene_model_track,Options:GeneOnly]&amp;mk=3660998:3661017|offset_0|444444,3660975:3660994|offset_23|444444,3660953:3660972|offset_45|444444,3660926:3660945|offset_72|00cc00&amp;v=3660797:3661145&amp;c=444444", "offset 72")</f>
        <v>offset 72</v>
      </c>
    </row>
    <row r="12975" customFormat="false" ht="12.8" hidden="false" customHeight="false" outlineLevel="0" collapsed="false">
      <c r="A12975" s="0" t="s">
        <v>12</v>
      </c>
      <c r="B12975" s="0" t="n">
        <v>3661592</v>
      </c>
      <c r="C12975" s="0" t="n">
        <v>3661612</v>
      </c>
      <c r="D12975" s="0" t="s">
        <v>43255</v>
      </c>
      <c r="E12975" s="0" t="s">
        <v>89</v>
      </c>
      <c r="F12975" s="0" t="s">
        <v>90</v>
      </c>
      <c r="G12975" s="0" t="s">
        <v>36</v>
      </c>
      <c r="H12975" s="0" t="n">
        <v>88</v>
      </c>
      <c r="I12975" s="0" t="s">
        <v>43256</v>
      </c>
      <c r="J12975" s="0" t="s">
        <v>43257</v>
      </c>
      <c r="K12975" s="0" t="s">
        <v>43258</v>
      </c>
      <c r="L12975" s="0" t="str">
        <f aca="false">HYPERLINK("https://www.ncbi.nlm.nih.gov/nuccore/CP000304.1?report=graph&amp;tracks=[key:gene_model_track,Options:GeneOnly]&amp;mk=3661593:3661612|offset_88|00cc00,3661562:3661581|offset_119|444444,3661529:3661548|offset_152|444444,3661491:3661510|offset_190|444444&amp;v=3661392:3661710&amp;c=444444", "offset 88")</f>
        <v>offset 88</v>
      </c>
    </row>
    <row r="12976" customFormat="false" ht="12.8" hidden="false" customHeight="false" outlineLevel="0" collapsed="false">
      <c r="A12976" s="0" t="s">
        <v>12</v>
      </c>
      <c r="B12976" s="0" t="n">
        <v>3661561</v>
      </c>
      <c r="C12976" s="0" t="n">
        <v>3661581</v>
      </c>
      <c r="D12976" s="0" t="s">
        <v>43255</v>
      </c>
      <c r="E12976" s="0" t="s">
        <v>89</v>
      </c>
      <c r="F12976" s="0" t="s">
        <v>90</v>
      </c>
      <c r="G12976" s="0" t="s">
        <v>32</v>
      </c>
      <c r="H12976" s="0" t="n">
        <v>119</v>
      </c>
      <c r="I12976" s="0" t="s">
        <v>43259</v>
      </c>
      <c r="J12976" s="0" t="s">
        <v>43260</v>
      </c>
      <c r="K12976" s="0" t="s">
        <v>43261</v>
      </c>
      <c r="L12976" s="0" t="str">
        <f aca="false">HYPERLINK("https://www.ncbi.nlm.nih.gov/nuccore/CP000304.1?report=graph&amp;tracks=[key:gene_model_track,Options:GeneOnly]&amp;mk=3661593:3661612|offset_88|444444,3661562:3661581|offset_119|00cc00,3661529:3661548|offset_152|444444,3661491:3661510|offset_190|444444&amp;v=3661392:3661710&amp;c=444444", "offset 119")</f>
        <v>offset 119</v>
      </c>
    </row>
    <row r="12977" customFormat="false" ht="12.8" hidden="false" customHeight="false" outlineLevel="0" collapsed="false">
      <c r="A12977" s="0" t="s">
        <v>12</v>
      </c>
      <c r="B12977" s="0" t="n">
        <v>3661528</v>
      </c>
      <c r="C12977" s="0" t="n">
        <v>3661548</v>
      </c>
      <c r="D12977" s="0" t="s">
        <v>43255</v>
      </c>
      <c r="E12977" s="0" t="s">
        <v>89</v>
      </c>
      <c r="F12977" s="0" t="s">
        <v>90</v>
      </c>
      <c r="G12977" s="0" t="s">
        <v>16</v>
      </c>
      <c r="H12977" s="0" t="n">
        <v>152</v>
      </c>
      <c r="I12977" s="0" t="s">
        <v>43262</v>
      </c>
      <c r="J12977" s="0" t="s">
        <v>43263</v>
      </c>
      <c r="K12977" s="0" t="s">
        <v>43264</v>
      </c>
      <c r="L12977" s="0" t="str">
        <f aca="false">HYPERLINK("https://www.ncbi.nlm.nih.gov/nuccore/CP000304.1?report=graph&amp;tracks=[key:gene_model_track,Options:GeneOnly]&amp;mk=3661593:3661612|offset_88|444444,3661562:3661581|offset_119|444444,3661529:3661548|offset_152|00cc00,3661491:3661510|offset_190|444444&amp;v=3661392:3661710&amp;c=444444", "offset 152")</f>
        <v>offset 152</v>
      </c>
    </row>
    <row r="12978" customFormat="false" ht="12.8" hidden="false" customHeight="false" outlineLevel="0" collapsed="false">
      <c r="A12978" s="0" t="s">
        <v>12</v>
      </c>
      <c r="B12978" s="0" t="n">
        <v>3661490</v>
      </c>
      <c r="C12978" s="0" t="n">
        <v>3661510</v>
      </c>
      <c r="D12978" s="0" t="s">
        <v>43255</v>
      </c>
      <c r="E12978" s="0" t="s">
        <v>89</v>
      </c>
      <c r="F12978" s="0" t="s">
        <v>90</v>
      </c>
      <c r="G12978" s="0" t="s">
        <v>26</v>
      </c>
      <c r="H12978" s="0" t="n">
        <v>190</v>
      </c>
      <c r="I12978" s="0" t="s">
        <v>43265</v>
      </c>
      <c r="J12978" s="0" t="s">
        <v>43266</v>
      </c>
      <c r="K12978" s="0" t="s">
        <v>43267</v>
      </c>
      <c r="L12978" s="0" t="str">
        <f aca="false">HYPERLINK("https://www.ncbi.nlm.nih.gov/nuccore/CP000304.1?report=graph&amp;tracks=[key:gene_model_track,Options:GeneOnly]&amp;mk=3661593:3661612|offset_88|444444,3661562:3661581|offset_119|444444,3661529:3661548|offset_152|444444,3661491:3661510|offset_190|00cc00&amp;v=3661392:3661710&amp;c=444444", "offset 190")</f>
        <v>offset 190</v>
      </c>
    </row>
    <row r="12979" customFormat="false" ht="12.8" hidden="false" customHeight="false" outlineLevel="0" collapsed="false">
      <c r="A12979" s="0" t="s">
        <v>12</v>
      </c>
      <c r="B12979" s="0" t="n">
        <v>3661909</v>
      </c>
      <c r="C12979" s="0" t="n">
        <v>3661929</v>
      </c>
      <c r="D12979" s="0" t="s">
        <v>43268</v>
      </c>
      <c r="E12979" s="0" t="s">
        <v>89</v>
      </c>
      <c r="F12979" s="0" t="s">
        <v>90</v>
      </c>
      <c r="G12979" s="0" t="s">
        <v>32</v>
      </c>
      <c r="H12979" s="0" t="n">
        <v>10</v>
      </c>
      <c r="I12979" s="0" t="s">
        <v>43269</v>
      </c>
      <c r="J12979" s="0" t="s">
        <v>43270</v>
      </c>
      <c r="K12979" s="0" t="s">
        <v>43271</v>
      </c>
      <c r="L12979" s="0" t="str">
        <f aca="false">HYPERLINK("https://www.ncbi.nlm.nih.gov/nuccore/CP000304.1?report=graph&amp;tracks=[key:gene_model_track,Options:GeneOnly]&amp;mk=3661910:3661929|offset_10|00cc00,3661826:3661845|offset_94|444444,3661802:3661821|offset_118|444444,3661780:3661799|offset_140|444444&amp;v=3661709:3661999&amp;c=444444", "offset 10")</f>
        <v>offset 10</v>
      </c>
    </row>
    <row r="12980" customFormat="false" ht="12.8" hidden="false" customHeight="false" outlineLevel="0" collapsed="false">
      <c r="A12980" s="0" t="s">
        <v>12</v>
      </c>
      <c r="B12980" s="0" t="n">
        <v>3661825</v>
      </c>
      <c r="C12980" s="0" t="n">
        <v>3661845</v>
      </c>
      <c r="D12980" s="0" t="s">
        <v>43268</v>
      </c>
      <c r="E12980" s="0" t="s">
        <v>89</v>
      </c>
      <c r="F12980" s="0" t="s">
        <v>90</v>
      </c>
      <c r="G12980" s="0" t="s">
        <v>32</v>
      </c>
      <c r="H12980" s="0" t="n">
        <v>94</v>
      </c>
      <c r="I12980" s="0" t="s">
        <v>43272</v>
      </c>
      <c r="J12980" s="0" t="s">
        <v>43273</v>
      </c>
      <c r="K12980" s="0" t="s">
        <v>43274</v>
      </c>
      <c r="L12980" s="0" t="str">
        <f aca="false">HYPERLINK("https://www.ncbi.nlm.nih.gov/nuccore/CP000304.1?report=graph&amp;tracks=[key:gene_model_track,Options:GeneOnly]&amp;mk=3661910:3661929|offset_10|444444,3661826:3661845|offset_94|00cc00,3661802:3661821|offset_118|444444,3661780:3661799|offset_140|444444&amp;v=3661709:3661999&amp;c=444444", "offset 94")</f>
        <v>offset 94</v>
      </c>
    </row>
    <row r="12981" customFormat="false" ht="12.8" hidden="false" customHeight="false" outlineLevel="0" collapsed="false">
      <c r="A12981" s="0" t="s">
        <v>12</v>
      </c>
      <c r="B12981" s="0" t="n">
        <v>3661801</v>
      </c>
      <c r="C12981" s="0" t="n">
        <v>3661821</v>
      </c>
      <c r="D12981" s="0" t="s">
        <v>43268</v>
      </c>
      <c r="E12981" s="0" t="s">
        <v>89</v>
      </c>
      <c r="F12981" s="0" t="s">
        <v>90</v>
      </c>
      <c r="G12981" s="0" t="s">
        <v>16</v>
      </c>
      <c r="H12981" s="0" t="n">
        <v>118</v>
      </c>
      <c r="I12981" s="0" t="s">
        <v>43275</v>
      </c>
      <c r="J12981" s="0" t="s">
        <v>43276</v>
      </c>
      <c r="K12981" s="0" t="s">
        <v>43277</v>
      </c>
      <c r="L12981" s="0" t="str">
        <f aca="false">HYPERLINK("https://www.ncbi.nlm.nih.gov/nuccore/CP000304.1?report=graph&amp;tracks=[key:gene_model_track,Options:GeneOnly]&amp;mk=3661910:3661929|offset_10|444444,3661826:3661845|offset_94|444444,3661802:3661821|offset_118|00cc00,3661780:3661799|offset_140|444444&amp;v=3661709:3661999&amp;c=444444", "offset 118")</f>
        <v>offset 118</v>
      </c>
    </row>
    <row r="12982" customFormat="false" ht="12.8" hidden="false" customHeight="false" outlineLevel="0" collapsed="false">
      <c r="A12982" s="0" t="s">
        <v>12</v>
      </c>
      <c r="B12982" s="0" t="n">
        <v>3661779</v>
      </c>
      <c r="C12982" s="0" t="n">
        <v>3661799</v>
      </c>
      <c r="D12982" s="0" t="s">
        <v>43268</v>
      </c>
      <c r="E12982" s="0" t="s">
        <v>89</v>
      </c>
      <c r="F12982" s="0" t="s">
        <v>90</v>
      </c>
      <c r="G12982" s="0" t="s">
        <v>32</v>
      </c>
      <c r="H12982" s="0" t="n">
        <v>140</v>
      </c>
      <c r="I12982" s="0" t="s">
        <v>43278</v>
      </c>
      <c r="J12982" s="0" t="s">
        <v>43279</v>
      </c>
      <c r="K12982" s="0" t="s">
        <v>43280</v>
      </c>
      <c r="L12982" s="0" t="str">
        <f aca="false">HYPERLINK("https://www.ncbi.nlm.nih.gov/nuccore/CP000304.1?report=graph&amp;tracks=[key:gene_model_track,Options:GeneOnly]&amp;mk=3661910:3661929|offset_10|444444,3661826:3661845|offset_94|444444,3661802:3661821|offset_118|444444,3661780:3661799|offset_140|00cc00&amp;v=3661709:3661999&amp;c=444444", "offset 140")</f>
        <v>offset 140</v>
      </c>
    </row>
    <row r="12983" customFormat="false" ht="12.8" hidden="false" customHeight="false" outlineLevel="0" collapsed="false">
      <c r="A12983" s="0" t="s">
        <v>12</v>
      </c>
      <c r="B12983" s="0" t="n">
        <v>3664331</v>
      </c>
      <c r="C12983" s="0" t="n">
        <v>3664351</v>
      </c>
      <c r="D12983" s="0" t="s">
        <v>43281</v>
      </c>
      <c r="E12983" s="0" t="s">
        <v>89</v>
      </c>
      <c r="F12983" s="0" t="s">
        <v>90</v>
      </c>
      <c r="G12983" s="0" t="s">
        <v>32</v>
      </c>
      <c r="H12983" s="0" t="n">
        <v>16</v>
      </c>
      <c r="I12983" s="0" t="s">
        <v>43282</v>
      </c>
      <c r="J12983" s="0" t="s">
        <v>43283</v>
      </c>
      <c r="K12983" s="0" t="s">
        <v>43284</v>
      </c>
      <c r="L12983" s="0" t="str">
        <f aca="false">HYPERLINK("https://www.ncbi.nlm.nih.gov/nuccore/CP000304.1?report=graph&amp;tracks=[key:gene_model_track,Options:GeneOnly]&amp;mk=3664332:3664351|offset_16|00cc00,3664304:3664323|offset_44|444444,3664271:3664290|offset_77|444444,3664246:3664265|offset_102|444444&amp;v=3664131:3664465&amp;c=444444", "offset 16")</f>
        <v>offset 16</v>
      </c>
    </row>
    <row r="12984" customFormat="false" ht="12.8" hidden="false" customHeight="false" outlineLevel="0" collapsed="false">
      <c r="A12984" s="0" t="s">
        <v>12</v>
      </c>
      <c r="B12984" s="0" t="n">
        <v>3664303</v>
      </c>
      <c r="C12984" s="0" t="n">
        <v>3664323</v>
      </c>
      <c r="D12984" s="0" t="s">
        <v>43281</v>
      </c>
      <c r="E12984" s="0" t="s">
        <v>89</v>
      </c>
      <c r="F12984" s="0" t="s">
        <v>90</v>
      </c>
      <c r="G12984" s="0" t="s">
        <v>32</v>
      </c>
      <c r="H12984" s="0" t="n">
        <v>44</v>
      </c>
      <c r="I12984" s="0" t="s">
        <v>43285</v>
      </c>
      <c r="J12984" s="0" t="s">
        <v>43286</v>
      </c>
      <c r="K12984" s="0" t="s">
        <v>43287</v>
      </c>
      <c r="L12984" s="0" t="str">
        <f aca="false">HYPERLINK("https://www.ncbi.nlm.nih.gov/nuccore/CP000304.1?report=graph&amp;tracks=[key:gene_model_track,Options:GeneOnly]&amp;mk=3664332:3664351|offset_16|444444,3664304:3664323|offset_44|00cc00,3664271:3664290|offset_77|444444,3664246:3664265|offset_102|444444&amp;v=3664131:3664465&amp;c=444444", "offset 44")</f>
        <v>offset 44</v>
      </c>
    </row>
    <row r="12985" customFormat="false" ht="12.8" hidden="false" customHeight="false" outlineLevel="0" collapsed="false">
      <c r="A12985" s="0" t="s">
        <v>12</v>
      </c>
      <c r="B12985" s="0" t="n">
        <v>3664270</v>
      </c>
      <c r="C12985" s="0" t="n">
        <v>3664290</v>
      </c>
      <c r="D12985" s="0" t="s">
        <v>43281</v>
      </c>
      <c r="E12985" s="0" t="s">
        <v>89</v>
      </c>
      <c r="F12985" s="0" t="s">
        <v>90</v>
      </c>
      <c r="G12985" s="0" t="s">
        <v>36</v>
      </c>
      <c r="H12985" s="0" t="n">
        <v>77</v>
      </c>
      <c r="I12985" s="0" t="s">
        <v>43288</v>
      </c>
      <c r="J12985" s="0" t="s">
        <v>43289</v>
      </c>
      <c r="K12985" s="0" t="s">
        <v>43290</v>
      </c>
      <c r="L12985" s="0" t="str">
        <f aca="false">HYPERLINK("https://www.ncbi.nlm.nih.gov/nuccore/CP000304.1?report=graph&amp;tracks=[key:gene_model_track,Options:GeneOnly]&amp;mk=3664332:3664351|offset_16|444444,3664304:3664323|offset_44|444444,3664271:3664290|offset_77|00cc00,3664246:3664265|offset_102|444444&amp;v=3664131:3664465&amp;c=444444", "offset 77")</f>
        <v>offset 77</v>
      </c>
    </row>
    <row r="12986" customFormat="false" ht="12.8" hidden="false" customHeight="false" outlineLevel="0" collapsed="false">
      <c r="A12986" s="0" t="s">
        <v>12</v>
      </c>
      <c r="B12986" s="0" t="n">
        <v>3664245</v>
      </c>
      <c r="C12986" s="0" t="n">
        <v>3664265</v>
      </c>
      <c r="D12986" s="0" t="s">
        <v>43281</v>
      </c>
      <c r="E12986" s="0" t="s">
        <v>89</v>
      </c>
      <c r="F12986" s="0" t="s">
        <v>90</v>
      </c>
      <c r="G12986" s="0" t="s">
        <v>32</v>
      </c>
      <c r="H12986" s="0" t="n">
        <v>102</v>
      </c>
      <c r="I12986" s="0" t="s">
        <v>43291</v>
      </c>
      <c r="J12986" s="0" t="s">
        <v>43292</v>
      </c>
      <c r="K12986" s="0" t="s">
        <v>43293</v>
      </c>
      <c r="L12986" s="0" t="str">
        <f aca="false">HYPERLINK("https://www.ncbi.nlm.nih.gov/nuccore/CP000304.1?report=graph&amp;tracks=[key:gene_model_track,Options:GeneOnly]&amp;mk=3664332:3664351|offset_16|444444,3664304:3664323|offset_44|444444,3664271:3664290|offset_77|444444,3664246:3664265|offset_102|00cc00&amp;v=3664131:3664465&amp;c=444444", "offset 102")</f>
        <v>offset 102</v>
      </c>
    </row>
    <row r="12987" customFormat="false" ht="12.8" hidden="false" customHeight="false" outlineLevel="0" collapsed="false">
      <c r="A12987" s="0" t="s">
        <v>12</v>
      </c>
      <c r="B12987" s="0" t="n">
        <v>3664594</v>
      </c>
      <c r="C12987" s="0" t="n">
        <v>3664614</v>
      </c>
      <c r="D12987" s="0" t="s">
        <v>43294</v>
      </c>
      <c r="E12987" s="0" t="s">
        <v>89</v>
      </c>
      <c r="F12987" s="0" t="s">
        <v>90</v>
      </c>
      <c r="G12987" s="0" t="s">
        <v>16</v>
      </c>
      <c r="H12987" s="0" t="n">
        <v>1</v>
      </c>
      <c r="I12987" s="0" t="s">
        <v>43295</v>
      </c>
      <c r="J12987" s="0" t="s">
        <v>43296</v>
      </c>
      <c r="K12987" s="0" t="s">
        <v>43297</v>
      </c>
      <c r="L12987" s="0" t="str">
        <f aca="false">HYPERLINK("https://www.ncbi.nlm.nih.gov/nuccore/CP000304.1?report=graph&amp;tracks=[key:gene_model_track,Options:GeneOnly]&amp;mk=3664595:3664614|offset_1|00cc00,3664539:3664558|offset_57|444444,3664455:3664474|offset_141|444444,3664432:3664451|offset_164|444444&amp;v=3664394:3664651&amp;c=444444", "offset 1")</f>
        <v>offset 1</v>
      </c>
    </row>
    <row r="12988" customFormat="false" ht="12.8" hidden="false" customHeight="false" outlineLevel="0" collapsed="false">
      <c r="A12988" s="0" t="s">
        <v>12</v>
      </c>
      <c r="B12988" s="0" t="n">
        <v>3664538</v>
      </c>
      <c r="C12988" s="0" t="n">
        <v>3664558</v>
      </c>
      <c r="D12988" s="0" t="s">
        <v>43294</v>
      </c>
      <c r="E12988" s="0" t="s">
        <v>89</v>
      </c>
      <c r="F12988" s="0" t="s">
        <v>90</v>
      </c>
      <c r="G12988" s="0" t="s">
        <v>36</v>
      </c>
      <c r="H12988" s="0" t="n">
        <v>57</v>
      </c>
      <c r="I12988" s="0" t="s">
        <v>43298</v>
      </c>
      <c r="J12988" s="0" t="s">
        <v>43299</v>
      </c>
      <c r="K12988" s="0" t="s">
        <v>43300</v>
      </c>
      <c r="L12988" s="0" t="str">
        <f aca="false">HYPERLINK("https://www.ncbi.nlm.nih.gov/nuccore/CP000304.1?report=graph&amp;tracks=[key:gene_model_track,Options:GeneOnly]&amp;mk=3664595:3664614|offset_1|444444,3664539:3664558|offset_57|00cc00,3664455:3664474|offset_141|444444,3664432:3664451|offset_164|444444&amp;v=3664394:3664651&amp;c=444444", "offset 57")</f>
        <v>offset 57</v>
      </c>
    </row>
    <row r="12989" customFormat="false" ht="12.8" hidden="false" customHeight="false" outlineLevel="0" collapsed="false">
      <c r="A12989" s="0" t="s">
        <v>12</v>
      </c>
      <c r="B12989" s="0" t="n">
        <v>3664454</v>
      </c>
      <c r="C12989" s="0" t="n">
        <v>3664474</v>
      </c>
      <c r="D12989" s="0" t="s">
        <v>43294</v>
      </c>
      <c r="E12989" s="0" t="s">
        <v>89</v>
      </c>
      <c r="F12989" s="0" t="s">
        <v>90</v>
      </c>
      <c r="G12989" s="0" t="s">
        <v>32</v>
      </c>
      <c r="H12989" s="0" t="n">
        <v>141</v>
      </c>
      <c r="I12989" s="0" t="s">
        <v>43301</v>
      </c>
      <c r="J12989" s="0" t="s">
        <v>43302</v>
      </c>
      <c r="K12989" s="0" t="s">
        <v>43303</v>
      </c>
      <c r="L12989" s="0" t="str">
        <f aca="false">HYPERLINK("https://www.ncbi.nlm.nih.gov/nuccore/CP000304.1?report=graph&amp;tracks=[key:gene_model_track,Options:GeneOnly]&amp;mk=3664595:3664614|offset_1|444444,3664539:3664558|offset_57|444444,3664455:3664474|offset_141|00cc00,3664432:3664451|offset_164|444444&amp;v=3664394:3664651&amp;c=444444", "offset 141")</f>
        <v>offset 141</v>
      </c>
    </row>
    <row r="12990" customFormat="false" ht="12.8" hidden="false" customHeight="false" outlineLevel="0" collapsed="false">
      <c r="A12990" s="0" t="s">
        <v>12</v>
      </c>
      <c r="B12990" s="0" t="n">
        <v>3664431</v>
      </c>
      <c r="C12990" s="0" t="n">
        <v>3664451</v>
      </c>
      <c r="D12990" s="0" t="s">
        <v>43294</v>
      </c>
      <c r="E12990" s="0" t="s">
        <v>89</v>
      </c>
      <c r="F12990" s="0" t="s">
        <v>90</v>
      </c>
      <c r="G12990" s="0" t="s">
        <v>36</v>
      </c>
      <c r="H12990" s="0" t="n">
        <v>164</v>
      </c>
      <c r="I12990" s="0" t="s">
        <v>43304</v>
      </c>
      <c r="J12990" s="0" t="s">
        <v>43305</v>
      </c>
      <c r="K12990" s="0" t="s">
        <v>43306</v>
      </c>
      <c r="L12990" s="0" t="str">
        <f aca="false">HYPERLINK("https://www.ncbi.nlm.nih.gov/nuccore/CP000304.1?report=graph&amp;tracks=[key:gene_model_track,Options:GeneOnly]&amp;mk=3664595:3664614|offset_1|444444,3664539:3664558|offset_57|444444,3664455:3664474|offset_141|444444,3664432:3664451|offset_164|00cc00&amp;v=3664394:3664651&amp;c=444444", "offset 164")</f>
        <v>offset 164</v>
      </c>
    </row>
    <row r="12991" customFormat="false" ht="12.8" hidden="false" customHeight="false" outlineLevel="0" collapsed="false">
      <c r="A12991" s="0" t="s">
        <v>12</v>
      </c>
      <c r="B12991" s="0" t="n">
        <v>3664863</v>
      </c>
      <c r="C12991" s="0" t="n">
        <v>3664883</v>
      </c>
      <c r="D12991" s="0" t="s">
        <v>43307</v>
      </c>
      <c r="E12991" s="0" t="s">
        <v>89</v>
      </c>
      <c r="F12991" s="0" t="s">
        <v>15</v>
      </c>
      <c r="G12991" s="0" t="s">
        <v>36</v>
      </c>
      <c r="H12991" s="0" t="n">
        <v>37</v>
      </c>
      <c r="I12991" s="0" t="s">
        <v>43308</v>
      </c>
      <c r="J12991" s="0" t="s">
        <v>43309</v>
      </c>
      <c r="K12991" s="0" t="s">
        <v>43310</v>
      </c>
      <c r="L12991" s="0" t="str">
        <f aca="false">HYPERLINK("https://www.ncbi.nlm.nih.gov/nuccore/CP000304.1?report=graph&amp;tracks=[key:gene_model_track,Options:GeneOnly]&amp;mk=3664864:3664883|offset_37|00cc00,3664897:3664916|offset_70|444444,3664937:3664956|offset_110|444444&amp;v=3664663:3665156&amp;c=444444", "offset 37")</f>
        <v>offset 37</v>
      </c>
    </row>
    <row r="12992" customFormat="false" ht="12.8" hidden="false" customHeight="false" outlineLevel="0" collapsed="false">
      <c r="A12992" s="0" t="s">
        <v>12</v>
      </c>
      <c r="B12992" s="0" t="n">
        <v>3664896</v>
      </c>
      <c r="C12992" s="0" t="n">
        <v>3664916</v>
      </c>
      <c r="D12992" s="0" t="s">
        <v>43307</v>
      </c>
      <c r="E12992" s="0" t="s">
        <v>89</v>
      </c>
      <c r="F12992" s="0" t="s">
        <v>15</v>
      </c>
      <c r="G12992" s="0" t="s">
        <v>16</v>
      </c>
      <c r="H12992" s="0" t="n">
        <v>70</v>
      </c>
      <c r="I12992" s="0" t="s">
        <v>43311</v>
      </c>
      <c r="J12992" s="0" t="s">
        <v>43312</v>
      </c>
      <c r="K12992" s="0" t="s">
        <v>43313</v>
      </c>
      <c r="L12992" s="0" t="str">
        <f aca="false">HYPERLINK("https://www.ncbi.nlm.nih.gov/nuccore/CP000304.1?report=graph&amp;tracks=[key:gene_model_track,Options:GeneOnly]&amp;mk=3664864:3664883|offset_37|444444,3664897:3664916|offset_70|00cc00,3664937:3664956|offset_110|444444&amp;v=3664663:3665156&amp;c=444444", "offset 70")</f>
        <v>offset 70</v>
      </c>
    </row>
    <row r="12993" customFormat="false" ht="12.8" hidden="false" customHeight="false" outlineLevel="0" collapsed="false">
      <c r="A12993" s="0" t="s">
        <v>12</v>
      </c>
      <c r="B12993" s="0" t="n">
        <v>3664936</v>
      </c>
      <c r="C12993" s="0" t="n">
        <v>3664956</v>
      </c>
      <c r="D12993" s="0" t="s">
        <v>43307</v>
      </c>
      <c r="E12993" s="0" t="s">
        <v>89</v>
      </c>
      <c r="F12993" s="0" t="s">
        <v>15</v>
      </c>
      <c r="G12993" s="0" t="s">
        <v>26</v>
      </c>
      <c r="H12993" s="0" t="n">
        <v>110</v>
      </c>
      <c r="I12993" s="0" t="s">
        <v>43314</v>
      </c>
      <c r="J12993" s="0" t="s">
        <v>43315</v>
      </c>
      <c r="K12993" s="0" t="s">
        <v>43316</v>
      </c>
      <c r="L12993" s="0" t="str">
        <f aca="false">HYPERLINK("https://www.ncbi.nlm.nih.gov/nuccore/CP000304.1?report=graph&amp;tracks=[key:gene_model_track,Options:GeneOnly]&amp;mk=3664864:3664883|offset_37|444444,3664897:3664916|offset_70|444444,3664937:3664956|offset_110|00cc00&amp;v=3664663:3665156&amp;c=444444", "offset 110")</f>
        <v>offset 110</v>
      </c>
    </row>
    <row r="12994" customFormat="false" ht="12.8" hidden="false" customHeight="false" outlineLevel="0" collapsed="false">
      <c r="A12994" s="0" t="s">
        <v>12</v>
      </c>
      <c r="B12994" s="0" t="n">
        <v>3665081</v>
      </c>
      <c r="C12994" s="0" t="n">
        <v>3665101</v>
      </c>
      <c r="D12994" s="0" t="s">
        <v>43317</v>
      </c>
      <c r="E12994" s="0" t="s">
        <v>89</v>
      </c>
      <c r="F12994" s="0" t="s">
        <v>15</v>
      </c>
      <c r="G12994" s="0" t="s">
        <v>26</v>
      </c>
      <c r="H12994" s="0" t="n">
        <v>10</v>
      </c>
      <c r="I12994" s="0" t="s">
        <v>43318</v>
      </c>
      <c r="J12994" s="0" t="s">
        <v>43319</v>
      </c>
      <c r="K12994" s="0" t="s">
        <v>43320</v>
      </c>
      <c r="L12994" s="0" t="str">
        <f aca="false">HYPERLINK("https://www.ncbi.nlm.nih.gov/nuccore/CP000304.1?report=graph&amp;tracks=[key:gene_model_track,Options:GeneOnly]&amp;mk=3665082:3665101|offset_10|00cc00,3665127:3665146|offset_55|444444,3665159:3665178|offset_87|444444,3665193:3665212|offset_121|444444&amp;v=3664881:3665412&amp;c=444444", "offset 10")</f>
        <v>offset 10</v>
      </c>
    </row>
    <row r="12995" customFormat="false" ht="12.8" hidden="false" customHeight="false" outlineLevel="0" collapsed="false">
      <c r="A12995" s="0" t="s">
        <v>12</v>
      </c>
      <c r="B12995" s="0" t="n">
        <v>3665126</v>
      </c>
      <c r="C12995" s="0" t="n">
        <v>3665146</v>
      </c>
      <c r="D12995" s="0" t="s">
        <v>43317</v>
      </c>
      <c r="E12995" s="0" t="s">
        <v>89</v>
      </c>
      <c r="F12995" s="0" t="s">
        <v>15</v>
      </c>
      <c r="G12995" s="0" t="s">
        <v>26</v>
      </c>
      <c r="H12995" s="0" t="n">
        <v>55</v>
      </c>
      <c r="I12995" s="0" t="s">
        <v>43321</v>
      </c>
      <c r="J12995" s="0" t="s">
        <v>43322</v>
      </c>
      <c r="K12995" s="0" t="s">
        <v>43323</v>
      </c>
      <c r="L12995" s="0" t="str">
        <f aca="false">HYPERLINK("https://www.ncbi.nlm.nih.gov/nuccore/CP000304.1?report=graph&amp;tracks=[key:gene_model_track,Options:GeneOnly]&amp;mk=3665082:3665101|offset_10|444444,3665127:3665146|offset_55|00cc00,3665159:3665178|offset_87|444444,3665193:3665212|offset_121|444444&amp;v=3664881:3665412&amp;c=444444", "offset 55")</f>
        <v>offset 55</v>
      </c>
    </row>
    <row r="12996" customFormat="false" ht="12.8" hidden="false" customHeight="false" outlineLevel="0" collapsed="false">
      <c r="A12996" s="0" t="s">
        <v>12</v>
      </c>
      <c r="B12996" s="0" t="n">
        <v>3665158</v>
      </c>
      <c r="C12996" s="0" t="n">
        <v>3665178</v>
      </c>
      <c r="D12996" s="0" t="s">
        <v>43317</v>
      </c>
      <c r="E12996" s="0" t="s">
        <v>89</v>
      </c>
      <c r="F12996" s="0" t="s">
        <v>15</v>
      </c>
      <c r="G12996" s="0" t="s">
        <v>36</v>
      </c>
      <c r="H12996" s="0" t="n">
        <v>87</v>
      </c>
      <c r="I12996" s="0" t="s">
        <v>43324</v>
      </c>
      <c r="J12996" s="0" t="s">
        <v>43325</v>
      </c>
      <c r="K12996" s="0" t="s">
        <v>43326</v>
      </c>
      <c r="L12996" s="0" t="str">
        <f aca="false">HYPERLINK("https://www.ncbi.nlm.nih.gov/nuccore/CP000304.1?report=graph&amp;tracks=[key:gene_model_track,Options:GeneOnly]&amp;mk=3665082:3665101|offset_10|444444,3665127:3665146|offset_55|444444,3665159:3665178|offset_87|00cc00,3665193:3665212|offset_121|444444&amp;v=3664881:3665412&amp;c=444444", "offset 87")</f>
        <v>offset 87</v>
      </c>
    </row>
    <row r="12997" customFormat="false" ht="12.8" hidden="false" customHeight="false" outlineLevel="0" collapsed="false">
      <c r="A12997" s="0" t="s">
        <v>12</v>
      </c>
      <c r="B12997" s="0" t="n">
        <v>3665192</v>
      </c>
      <c r="C12997" s="0" t="n">
        <v>3665212</v>
      </c>
      <c r="D12997" s="0" t="s">
        <v>43317</v>
      </c>
      <c r="E12997" s="0" t="s">
        <v>89</v>
      </c>
      <c r="F12997" s="0" t="s">
        <v>15</v>
      </c>
      <c r="G12997" s="0" t="s">
        <v>16</v>
      </c>
      <c r="H12997" s="0" t="n">
        <v>121</v>
      </c>
      <c r="I12997" s="0" t="s">
        <v>43327</v>
      </c>
      <c r="J12997" s="0" t="s">
        <v>43328</v>
      </c>
      <c r="K12997" s="0" t="s">
        <v>43329</v>
      </c>
      <c r="L12997" s="0" t="str">
        <f aca="false">HYPERLINK("https://www.ncbi.nlm.nih.gov/nuccore/CP000304.1?report=graph&amp;tracks=[key:gene_model_track,Options:GeneOnly]&amp;mk=3665082:3665101|offset_10|444444,3665127:3665146|offset_55|444444,3665159:3665178|offset_87|444444,3665193:3665212|offset_121|00cc00&amp;v=3664881:3665412&amp;c=444444", "offset 121")</f>
        <v>offset 121</v>
      </c>
    </row>
    <row r="12998" customFormat="false" ht="12.8" hidden="false" customHeight="false" outlineLevel="0" collapsed="false">
      <c r="A12998" s="0" t="s">
        <v>12</v>
      </c>
      <c r="B12998" s="0" t="n">
        <v>3665878</v>
      </c>
      <c r="C12998" s="0" t="n">
        <v>3665898</v>
      </c>
      <c r="D12998" s="0" t="s">
        <v>43330</v>
      </c>
      <c r="E12998" s="0" t="s">
        <v>89</v>
      </c>
      <c r="F12998" s="0" t="s">
        <v>15</v>
      </c>
      <c r="G12998" s="0" t="s">
        <v>32</v>
      </c>
      <c r="H12998" s="0" t="n">
        <v>34</v>
      </c>
      <c r="I12998" s="0" t="s">
        <v>43331</v>
      </c>
      <c r="J12998" s="0" t="s">
        <v>43332</v>
      </c>
      <c r="K12998" s="0" t="s">
        <v>43333</v>
      </c>
      <c r="L12998" s="0" t="str">
        <f aca="false">HYPERLINK("https://www.ncbi.nlm.nih.gov/nuccore/CP000304.1?report=graph&amp;tracks=[key:gene_model_track,Options:GeneOnly]&amp;mk=3665879:3665898|offset_34|00cc00,3665910:3665929|offset_65|444444,3665942:3665961|offset_97|444444,3665966:3665985|offset_121|444444&amp;v=3665678:3666185&amp;c=444444", "offset 34")</f>
        <v>offset 34</v>
      </c>
    </row>
    <row r="12999" customFormat="false" ht="12.8" hidden="false" customHeight="false" outlineLevel="0" collapsed="false">
      <c r="A12999" s="0" t="s">
        <v>12</v>
      </c>
      <c r="B12999" s="0" t="n">
        <v>3665909</v>
      </c>
      <c r="C12999" s="0" t="n">
        <v>3665929</v>
      </c>
      <c r="D12999" s="0" t="s">
        <v>43330</v>
      </c>
      <c r="E12999" s="0" t="s">
        <v>89</v>
      </c>
      <c r="F12999" s="0" t="s">
        <v>15</v>
      </c>
      <c r="G12999" s="0" t="s">
        <v>32</v>
      </c>
      <c r="H12999" s="0" t="n">
        <v>65</v>
      </c>
      <c r="I12999" s="0" t="s">
        <v>43334</v>
      </c>
      <c r="J12999" s="0" t="s">
        <v>43335</v>
      </c>
      <c r="K12999" s="0" t="s">
        <v>43336</v>
      </c>
      <c r="L12999" s="0" t="str">
        <f aca="false">HYPERLINK("https://www.ncbi.nlm.nih.gov/nuccore/CP000304.1?report=graph&amp;tracks=[key:gene_model_track,Options:GeneOnly]&amp;mk=3665879:3665898|offset_34|444444,3665910:3665929|offset_65|00cc00,3665942:3665961|offset_97|444444,3665966:3665985|offset_121|444444&amp;v=3665678:3666185&amp;c=444444", "offset 65")</f>
        <v>offset 65</v>
      </c>
    </row>
    <row r="13000" customFormat="false" ht="12.8" hidden="false" customHeight="false" outlineLevel="0" collapsed="false">
      <c r="A13000" s="0" t="s">
        <v>12</v>
      </c>
      <c r="B13000" s="0" t="n">
        <v>3665941</v>
      </c>
      <c r="C13000" s="0" t="n">
        <v>3665961</v>
      </c>
      <c r="D13000" s="0" t="s">
        <v>43330</v>
      </c>
      <c r="E13000" s="0" t="s">
        <v>89</v>
      </c>
      <c r="F13000" s="0" t="s">
        <v>15</v>
      </c>
      <c r="G13000" s="0" t="s">
        <v>26</v>
      </c>
      <c r="H13000" s="0" t="n">
        <v>97</v>
      </c>
      <c r="I13000" s="0" t="s">
        <v>43337</v>
      </c>
      <c r="J13000" s="0" t="s">
        <v>43338</v>
      </c>
      <c r="K13000" s="0" t="s">
        <v>43339</v>
      </c>
      <c r="L13000" s="0" t="str">
        <f aca="false">HYPERLINK("https://www.ncbi.nlm.nih.gov/nuccore/CP000304.1?report=graph&amp;tracks=[key:gene_model_track,Options:GeneOnly]&amp;mk=3665879:3665898|offset_34|444444,3665910:3665929|offset_65|444444,3665942:3665961|offset_97|00cc00,3665966:3665985|offset_121|444444&amp;v=3665678:3666185&amp;c=444444", "offset 97")</f>
        <v>offset 97</v>
      </c>
    </row>
    <row r="13001" customFormat="false" ht="12.8" hidden="false" customHeight="false" outlineLevel="0" collapsed="false">
      <c r="A13001" s="0" t="s">
        <v>12</v>
      </c>
      <c r="B13001" s="0" t="n">
        <v>3665965</v>
      </c>
      <c r="C13001" s="0" t="n">
        <v>3665985</v>
      </c>
      <c r="D13001" s="0" t="s">
        <v>43330</v>
      </c>
      <c r="E13001" s="0" t="s">
        <v>89</v>
      </c>
      <c r="F13001" s="0" t="s">
        <v>15</v>
      </c>
      <c r="G13001" s="0" t="s">
        <v>32</v>
      </c>
      <c r="H13001" s="0" t="n">
        <v>121</v>
      </c>
      <c r="I13001" s="0" t="s">
        <v>43340</v>
      </c>
      <c r="J13001" s="0" t="s">
        <v>43341</v>
      </c>
      <c r="K13001" s="0" t="s">
        <v>43342</v>
      </c>
      <c r="L13001" s="0" t="str">
        <f aca="false">HYPERLINK("https://www.ncbi.nlm.nih.gov/nuccore/CP000304.1?report=graph&amp;tracks=[key:gene_model_track,Options:GeneOnly]&amp;mk=3665879:3665898|offset_34|444444,3665910:3665929|offset_65|444444,3665942:3665961|offset_97|444444,3665966:3665985|offset_121|00cc00&amp;v=3665678:3666185&amp;c=444444", "offset 121")</f>
        <v>offset 121</v>
      </c>
    </row>
    <row r="13002" customFormat="false" ht="12.8" hidden="false" customHeight="false" outlineLevel="0" collapsed="false">
      <c r="A13002" s="0" t="s">
        <v>12</v>
      </c>
      <c r="B13002" s="0" t="n">
        <v>3667606</v>
      </c>
      <c r="C13002" s="0" t="n">
        <v>3667626</v>
      </c>
      <c r="D13002" s="0" t="s">
        <v>43343</v>
      </c>
      <c r="E13002" s="0" t="s">
        <v>89</v>
      </c>
      <c r="F13002" s="0" t="s">
        <v>90</v>
      </c>
      <c r="G13002" s="0" t="s">
        <v>32</v>
      </c>
      <c r="H13002" s="0" t="n">
        <v>14</v>
      </c>
      <c r="I13002" s="0" t="s">
        <v>43344</v>
      </c>
      <c r="J13002" s="0" t="s">
        <v>43345</v>
      </c>
      <c r="K13002" s="0" t="s">
        <v>43346</v>
      </c>
      <c r="L13002" s="0" t="str">
        <f aca="false">HYPERLINK("https://www.ncbi.nlm.nih.gov/nuccore/CP000304.1?report=graph&amp;tracks=[key:gene_model_track,Options:GeneOnly]&amp;mk=3667607:3667626|offset_14|00cc00,3667581:3667600|offset_40|444444,3667535:3667554|offset_86|444444,3667502:3667521|offset_119|444444&amp;v=3667406:3667721&amp;c=444444", "offset 14")</f>
        <v>offset 14</v>
      </c>
    </row>
    <row r="13003" customFormat="false" ht="12.8" hidden="false" customHeight="false" outlineLevel="0" collapsed="false">
      <c r="A13003" s="0" t="s">
        <v>12</v>
      </c>
      <c r="B13003" s="0" t="n">
        <v>3667580</v>
      </c>
      <c r="C13003" s="0" t="n">
        <v>3667600</v>
      </c>
      <c r="D13003" s="0" t="s">
        <v>43343</v>
      </c>
      <c r="E13003" s="0" t="s">
        <v>89</v>
      </c>
      <c r="F13003" s="0" t="s">
        <v>90</v>
      </c>
      <c r="G13003" s="0" t="s">
        <v>16</v>
      </c>
      <c r="H13003" s="0" t="n">
        <v>40</v>
      </c>
      <c r="I13003" s="0" t="s">
        <v>43347</v>
      </c>
      <c r="J13003" s="0" t="s">
        <v>43348</v>
      </c>
      <c r="K13003" s="0" t="s">
        <v>43349</v>
      </c>
      <c r="L13003" s="0" t="str">
        <f aca="false">HYPERLINK("https://www.ncbi.nlm.nih.gov/nuccore/CP000304.1?report=graph&amp;tracks=[key:gene_model_track,Options:GeneOnly]&amp;mk=3667607:3667626|offset_14|444444,3667581:3667600|offset_40|00cc00,3667535:3667554|offset_86|444444,3667502:3667521|offset_119|444444&amp;v=3667406:3667721&amp;c=444444", "offset 40")</f>
        <v>offset 40</v>
      </c>
    </row>
    <row r="13004" customFormat="false" ht="12.8" hidden="false" customHeight="false" outlineLevel="0" collapsed="false">
      <c r="A13004" s="0" t="s">
        <v>12</v>
      </c>
      <c r="B13004" s="0" t="n">
        <v>3667534</v>
      </c>
      <c r="C13004" s="0" t="n">
        <v>3667554</v>
      </c>
      <c r="D13004" s="0" t="s">
        <v>43343</v>
      </c>
      <c r="E13004" s="0" t="s">
        <v>89</v>
      </c>
      <c r="F13004" s="0" t="s">
        <v>90</v>
      </c>
      <c r="G13004" s="0" t="s">
        <v>32</v>
      </c>
      <c r="H13004" s="0" t="n">
        <v>86</v>
      </c>
      <c r="I13004" s="0" t="s">
        <v>43350</v>
      </c>
      <c r="J13004" s="0" t="s">
        <v>43351</v>
      </c>
      <c r="K13004" s="0" t="s">
        <v>43352</v>
      </c>
      <c r="L13004" s="0" t="str">
        <f aca="false">HYPERLINK("https://www.ncbi.nlm.nih.gov/nuccore/CP000304.1?report=graph&amp;tracks=[key:gene_model_track,Options:GeneOnly]&amp;mk=3667607:3667626|offset_14|444444,3667581:3667600|offset_40|444444,3667535:3667554|offset_86|00cc00,3667502:3667521|offset_119|444444&amp;v=3667406:3667721&amp;c=444444", "offset 86")</f>
        <v>offset 86</v>
      </c>
    </row>
    <row r="13005" customFormat="false" ht="12.8" hidden="false" customHeight="false" outlineLevel="0" collapsed="false">
      <c r="A13005" s="0" t="s">
        <v>12</v>
      </c>
      <c r="B13005" s="0" t="n">
        <v>3667501</v>
      </c>
      <c r="C13005" s="0" t="n">
        <v>3667521</v>
      </c>
      <c r="D13005" s="0" t="s">
        <v>43343</v>
      </c>
      <c r="E13005" s="0" t="s">
        <v>89</v>
      </c>
      <c r="F13005" s="0" t="s">
        <v>90</v>
      </c>
      <c r="G13005" s="0" t="s">
        <v>32</v>
      </c>
      <c r="H13005" s="0" t="n">
        <v>119</v>
      </c>
      <c r="I13005" s="0" t="s">
        <v>43353</v>
      </c>
      <c r="J13005" s="0" t="s">
        <v>43354</v>
      </c>
      <c r="K13005" s="0" t="s">
        <v>43355</v>
      </c>
      <c r="L13005" s="0" t="str">
        <f aca="false">HYPERLINK("https://www.ncbi.nlm.nih.gov/nuccore/CP000304.1?report=graph&amp;tracks=[key:gene_model_track,Options:GeneOnly]&amp;mk=3667607:3667626|offset_14|444444,3667581:3667600|offset_40|444444,3667535:3667554|offset_86|444444,3667502:3667521|offset_119|00cc00&amp;v=3667406:3667721&amp;c=444444", "offset 119")</f>
        <v>offset 119</v>
      </c>
    </row>
    <row r="13006" customFormat="false" ht="12.8" hidden="false" customHeight="false" outlineLevel="0" collapsed="false">
      <c r="A13006" s="0" t="s">
        <v>12</v>
      </c>
      <c r="B13006" s="0" t="n">
        <v>3668173</v>
      </c>
      <c r="C13006" s="0" t="n">
        <v>3668193</v>
      </c>
      <c r="D13006" s="0" t="s">
        <v>43356</v>
      </c>
      <c r="E13006" s="0" t="s">
        <v>89</v>
      </c>
      <c r="F13006" s="0" t="s">
        <v>90</v>
      </c>
      <c r="G13006" s="0" t="s">
        <v>16</v>
      </c>
      <c r="H13006" s="0" t="n">
        <v>44</v>
      </c>
      <c r="I13006" s="0" t="s">
        <v>43357</v>
      </c>
      <c r="J13006" s="0" t="s">
        <v>43358</v>
      </c>
      <c r="K13006" s="0" t="s">
        <v>43359</v>
      </c>
      <c r="L13006" s="0" t="str">
        <f aca="false">HYPERLINK("https://www.ncbi.nlm.nih.gov/nuccore/CP000304.1?report=graph&amp;tracks=[key:gene_model_track,Options:GeneOnly]&amp;mk=3668174:3668193|offset_44|00cc00,3668148:3668167|offset_70|444444,3668029:3668048|offset_189|444444,3667999:3668018|offset_219|444444&amp;v=3667973:3668218&amp;c=444444", "offset 44")</f>
        <v>offset 44</v>
      </c>
    </row>
    <row r="13007" customFormat="false" ht="12.8" hidden="false" customHeight="false" outlineLevel="0" collapsed="false">
      <c r="A13007" s="0" t="s">
        <v>12</v>
      </c>
      <c r="B13007" s="0" t="n">
        <v>3668147</v>
      </c>
      <c r="C13007" s="0" t="n">
        <v>3668167</v>
      </c>
      <c r="D13007" s="0" t="s">
        <v>43356</v>
      </c>
      <c r="E13007" s="0" t="s">
        <v>89</v>
      </c>
      <c r="F13007" s="0" t="s">
        <v>90</v>
      </c>
      <c r="G13007" s="0" t="s">
        <v>26</v>
      </c>
      <c r="H13007" s="0" t="n">
        <v>70</v>
      </c>
      <c r="I13007" s="0" t="s">
        <v>43360</v>
      </c>
      <c r="J13007" s="0" t="s">
        <v>43361</v>
      </c>
      <c r="K13007" s="0" t="s">
        <v>43362</v>
      </c>
      <c r="L13007" s="0" t="str">
        <f aca="false">HYPERLINK("https://www.ncbi.nlm.nih.gov/nuccore/CP000304.1?report=graph&amp;tracks=[key:gene_model_track,Options:GeneOnly]&amp;mk=3668174:3668193|offset_44|444444,3668148:3668167|offset_70|00cc00,3668029:3668048|offset_189|444444,3667999:3668018|offset_219|444444&amp;v=3667973:3668218&amp;c=444444", "offset 70")</f>
        <v>offset 70</v>
      </c>
    </row>
    <row r="13008" customFormat="false" ht="12.8" hidden="false" customHeight="false" outlineLevel="0" collapsed="false">
      <c r="A13008" s="0" t="s">
        <v>12</v>
      </c>
      <c r="B13008" s="0" t="n">
        <v>3668028</v>
      </c>
      <c r="C13008" s="0" t="n">
        <v>3668048</v>
      </c>
      <c r="D13008" s="0" t="s">
        <v>43356</v>
      </c>
      <c r="E13008" s="0" t="s">
        <v>89</v>
      </c>
      <c r="F13008" s="0" t="s">
        <v>90</v>
      </c>
      <c r="G13008" s="0" t="s">
        <v>32</v>
      </c>
      <c r="H13008" s="0" t="n">
        <v>189</v>
      </c>
      <c r="I13008" s="0" t="s">
        <v>43363</v>
      </c>
      <c r="J13008" s="0" t="s">
        <v>43364</v>
      </c>
      <c r="K13008" s="0" t="s">
        <v>43365</v>
      </c>
      <c r="L13008" s="0" t="str">
        <f aca="false">HYPERLINK("https://www.ncbi.nlm.nih.gov/nuccore/CP000304.1?report=graph&amp;tracks=[key:gene_model_track,Options:GeneOnly]&amp;mk=3668174:3668193|offset_44|444444,3668148:3668167|offset_70|444444,3668029:3668048|offset_189|00cc00,3667999:3668018|offset_219|444444&amp;v=3667973:3668218&amp;c=444444", "offset 189")</f>
        <v>offset 189</v>
      </c>
    </row>
    <row r="13009" customFormat="false" ht="12.8" hidden="false" customHeight="false" outlineLevel="0" collapsed="false">
      <c r="A13009" s="0" t="s">
        <v>12</v>
      </c>
      <c r="B13009" s="0" t="n">
        <v>3667998</v>
      </c>
      <c r="C13009" s="0" t="n">
        <v>3668018</v>
      </c>
      <c r="D13009" s="0" t="s">
        <v>43356</v>
      </c>
      <c r="E13009" s="0" t="s">
        <v>89</v>
      </c>
      <c r="F13009" s="0" t="s">
        <v>90</v>
      </c>
      <c r="G13009" s="0" t="s">
        <v>32</v>
      </c>
      <c r="H13009" s="0" t="n">
        <v>219</v>
      </c>
      <c r="I13009" s="0" t="s">
        <v>43366</v>
      </c>
      <c r="J13009" s="0" t="s">
        <v>43367</v>
      </c>
      <c r="K13009" s="0" t="s">
        <v>43368</v>
      </c>
      <c r="L13009" s="0" t="str">
        <f aca="false">HYPERLINK("https://www.ncbi.nlm.nih.gov/nuccore/CP000304.1?report=graph&amp;tracks=[key:gene_model_track,Options:GeneOnly]&amp;mk=3668174:3668193|offset_44|444444,3668148:3668167|offset_70|444444,3668029:3668048|offset_189|444444,3667999:3668018|offset_219|00cc00&amp;v=3667973:3668218&amp;c=444444", "offset 219")</f>
        <v>offset 219</v>
      </c>
    </row>
    <row r="13010" customFormat="false" ht="12.8" hidden="false" customHeight="false" outlineLevel="0" collapsed="false">
      <c r="A13010" s="0" t="s">
        <v>12</v>
      </c>
      <c r="B13010" s="0" t="n">
        <v>3671046</v>
      </c>
      <c r="C13010" s="0" t="n">
        <v>3671066</v>
      </c>
      <c r="D13010" s="0" t="s">
        <v>43369</v>
      </c>
      <c r="E13010" s="0" t="s">
        <v>89</v>
      </c>
      <c r="F13010" s="0" t="s">
        <v>15</v>
      </c>
      <c r="G13010" s="0" t="s">
        <v>16</v>
      </c>
      <c r="H13010" s="0" t="n">
        <v>37</v>
      </c>
      <c r="I13010" s="0" t="s">
        <v>43370</v>
      </c>
      <c r="J13010" s="0" t="s">
        <v>43371</v>
      </c>
      <c r="K13010" s="0" t="s">
        <v>43372</v>
      </c>
      <c r="L13010" s="0" t="str">
        <f aca="false">HYPERLINK("https://www.ncbi.nlm.nih.gov/nuccore/CP000304.1?report=graph&amp;tracks=[key:gene_model_track,Options:GeneOnly]&amp;mk=3671047:3671066|offset_37|00cc00,3671085:3671104|offset_75|444444,3671128:3671147|offset_118|444444&amp;v=3670846:3671347&amp;c=444444", "offset 37")</f>
        <v>offset 37</v>
      </c>
    </row>
    <row r="13011" customFormat="false" ht="12.8" hidden="false" customHeight="false" outlineLevel="0" collapsed="false">
      <c r="A13011" s="0" t="s">
        <v>12</v>
      </c>
      <c r="B13011" s="0" t="n">
        <v>3671084</v>
      </c>
      <c r="C13011" s="0" t="n">
        <v>3671104</v>
      </c>
      <c r="D13011" s="0" t="s">
        <v>43369</v>
      </c>
      <c r="E13011" s="0" t="s">
        <v>89</v>
      </c>
      <c r="F13011" s="0" t="s">
        <v>15</v>
      </c>
      <c r="G13011" s="0" t="s">
        <v>36</v>
      </c>
      <c r="H13011" s="0" t="n">
        <v>75</v>
      </c>
      <c r="I13011" s="0" t="s">
        <v>43373</v>
      </c>
      <c r="J13011" s="0" t="s">
        <v>43374</v>
      </c>
      <c r="K13011" s="0" t="s">
        <v>43375</v>
      </c>
      <c r="L13011" s="0" t="str">
        <f aca="false">HYPERLINK("https://www.ncbi.nlm.nih.gov/nuccore/CP000304.1?report=graph&amp;tracks=[key:gene_model_track,Options:GeneOnly]&amp;mk=3671047:3671066|offset_37|444444,3671085:3671104|offset_75|00cc00,3671128:3671147|offset_118|444444&amp;v=3670846:3671347&amp;c=444444", "offset 75")</f>
        <v>offset 75</v>
      </c>
    </row>
    <row r="13012" customFormat="false" ht="12.8" hidden="false" customHeight="false" outlineLevel="0" collapsed="false">
      <c r="A13012" s="0" t="s">
        <v>12</v>
      </c>
      <c r="B13012" s="0" t="n">
        <v>3671127</v>
      </c>
      <c r="C13012" s="0" t="n">
        <v>3671147</v>
      </c>
      <c r="D13012" s="0" t="s">
        <v>43369</v>
      </c>
      <c r="E13012" s="0" t="s">
        <v>89</v>
      </c>
      <c r="F13012" s="0" t="s">
        <v>15</v>
      </c>
      <c r="G13012" s="0" t="s">
        <v>16</v>
      </c>
      <c r="H13012" s="0" t="n">
        <v>118</v>
      </c>
      <c r="I13012" s="0" t="s">
        <v>43376</v>
      </c>
      <c r="J13012" s="0" t="s">
        <v>43377</v>
      </c>
      <c r="K13012" s="0" t="s">
        <v>43378</v>
      </c>
      <c r="L13012" s="0" t="str">
        <f aca="false">HYPERLINK("https://www.ncbi.nlm.nih.gov/nuccore/CP000304.1?report=graph&amp;tracks=[key:gene_model_track,Options:GeneOnly]&amp;mk=3671047:3671066|offset_37|444444,3671085:3671104|offset_75|444444,3671128:3671147|offset_118|00cc00&amp;v=3670846:3671347&amp;c=444444", "offset 118")</f>
        <v>offset 118</v>
      </c>
    </row>
    <row r="13013" customFormat="false" ht="12.8" hidden="false" customHeight="false" outlineLevel="0" collapsed="false">
      <c r="A13013" s="0" t="s">
        <v>12</v>
      </c>
      <c r="B13013" s="0" t="n">
        <v>3671600</v>
      </c>
      <c r="C13013" s="0" t="n">
        <v>3671620</v>
      </c>
      <c r="D13013" s="0" t="s">
        <v>43379</v>
      </c>
      <c r="E13013" s="0" t="s">
        <v>89</v>
      </c>
      <c r="F13013" s="0" t="s">
        <v>90</v>
      </c>
      <c r="G13013" s="0" t="s">
        <v>16</v>
      </c>
      <c r="H13013" s="0" t="n">
        <v>91</v>
      </c>
      <c r="I13013" s="0" t="s">
        <v>43380</v>
      </c>
      <c r="J13013" s="0" t="s">
        <v>43381</v>
      </c>
      <c r="K13013" s="0" t="s">
        <v>43382</v>
      </c>
      <c r="L13013" s="0" t="str">
        <f aca="false">HYPERLINK("https://www.ncbi.nlm.nih.gov/nuccore/CP000304.1?report=graph&amp;tracks=[key:gene_model_track,Options:GeneOnly]&amp;mk=3671601:3671620|offset_91|00cc00,3671570:3671589|offset_122|444444,3671529:3671548|offset_163|444444,3671309:3671328|offset_383|444444&amp;v=3671400:3671528&amp;c=444444", "offset 91")</f>
        <v>offset 91</v>
      </c>
    </row>
    <row r="13014" customFormat="false" ht="12.8" hidden="false" customHeight="false" outlineLevel="0" collapsed="false">
      <c r="A13014" s="0" t="s">
        <v>12</v>
      </c>
      <c r="B13014" s="0" t="n">
        <v>3671569</v>
      </c>
      <c r="C13014" s="0" t="n">
        <v>3671589</v>
      </c>
      <c r="D13014" s="0" t="s">
        <v>43379</v>
      </c>
      <c r="E13014" s="0" t="s">
        <v>89</v>
      </c>
      <c r="F13014" s="0" t="s">
        <v>90</v>
      </c>
      <c r="G13014" s="0" t="s">
        <v>36</v>
      </c>
      <c r="H13014" s="0" t="n">
        <v>122</v>
      </c>
      <c r="I13014" s="0" t="s">
        <v>43383</v>
      </c>
      <c r="J13014" s="0" t="s">
        <v>43384</v>
      </c>
      <c r="K13014" s="0" t="s">
        <v>43385</v>
      </c>
      <c r="L13014" s="0" t="str">
        <f aca="false">HYPERLINK("https://www.ncbi.nlm.nih.gov/nuccore/CP000304.1?report=graph&amp;tracks=[key:gene_model_track,Options:GeneOnly]&amp;mk=3671601:3671620|offset_91|444444,3671570:3671589|offset_122|00cc00,3671529:3671548|offset_163|444444,3671309:3671328|offset_383|444444&amp;v=3671400:3671528&amp;c=444444", "offset 122")</f>
        <v>offset 122</v>
      </c>
    </row>
    <row r="13015" customFormat="false" ht="12.8" hidden="false" customHeight="false" outlineLevel="0" collapsed="false">
      <c r="A13015" s="0" t="s">
        <v>12</v>
      </c>
      <c r="B13015" s="0" t="n">
        <v>3671528</v>
      </c>
      <c r="C13015" s="0" t="n">
        <v>3671548</v>
      </c>
      <c r="D13015" s="0" t="s">
        <v>43379</v>
      </c>
      <c r="E13015" s="0" t="s">
        <v>89</v>
      </c>
      <c r="F13015" s="0" t="s">
        <v>90</v>
      </c>
      <c r="G13015" s="0" t="s">
        <v>36</v>
      </c>
      <c r="H13015" s="0" t="n">
        <v>163</v>
      </c>
      <c r="I13015" s="0" t="s">
        <v>43386</v>
      </c>
      <c r="J13015" s="0" t="s">
        <v>43387</v>
      </c>
      <c r="K13015" s="0" t="s">
        <v>43388</v>
      </c>
      <c r="L13015" s="0" t="str">
        <f aca="false">HYPERLINK("https://www.ncbi.nlm.nih.gov/nuccore/CP000304.1?report=graph&amp;tracks=[key:gene_model_track,Options:GeneOnly]&amp;mk=3671601:3671620|offset_91|444444,3671570:3671589|offset_122|444444,3671529:3671548|offset_163|00cc00,3671309:3671328|offset_383|444444&amp;v=3671400:3671528&amp;c=444444", "offset 163")</f>
        <v>offset 163</v>
      </c>
    </row>
    <row r="13016" customFormat="false" ht="12.8" hidden="false" customHeight="false" outlineLevel="0" collapsed="false">
      <c r="A13016" s="0" t="s">
        <v>12</v>
      </c>
      <c r="B13016" s="0" t="n">
        <v>3671308</v>
      </c>
      <c r="C13016" s="0" t="n">
        <v>3671328</v>
      </c>
      <c r="D13016" s="0" t="s">
        <v>43379</v>
      </c>
      <c r="E13016" s="0" t="s">
        <v>89</v>
      </c>
      <c r="F13016" s="0" t="s">
        <v>90</v>
      </c>
      <c r="G13016" s="0" t="s">
        <v>16</v>
      </c>
      <c r="H13016" s="0" t="n">
        <v>383</v>
      </c>
      <c r="I13016" s="0" t="s">
        <v>43389</v>
      </c>
      <c r="J13016" s="0" t="s">
        <v>43390</v>
      </c>
      <c r="K13016" s="0" t="s">
        <v>43391</v>
      </c>
      <c r="L13016" s="0" t="str">
        <f aca="false">HYPERLINK("https://www.ncbi.nlm.nih.gov/nuccore/CP000304.1?report=graph&amp;tracks=[key:gene_model_track,Options:GeneOnly]&amp;mk=3671601:3671620|offset_91|444444,3671570:3671589|offset_122|444444,3671529:3671548|offset_163|444444,3671309:3671328|offset_383|00cc00&amp;v=3671400:3671528&amp;c=444444", "offset 383")</f>
        <v>offset 383</v>
      </c>
    </row>
    <row r="13017" customFormat="false" ht="12.8" hidden="false" customHeight="false" outlineLevel="0" collapsed="false">
      <c r="A13017" s="0" t="s">
        <v>12</v>
      </c>
      <c r="B13017" s="0" t="n">
        <v>3674336</v>
      </c>
      <c r="C13017" s="0" t="n">
        <v>3674356</v>
      </c>
      <c r="D13017" s="0" t="s">
        <v>43392</v>
      </c>
      <c r="E13017" s="0" t="s">
        <v>89</v>
      </c>
      <c r="F13017" s="0" t="s">
        <v>90</v>
      </c>
      <c r="G13017" s="0" t="s">
        <v>16</v>
      </c>
      <c r="H13017" s="0" t="n">
        <v>96</v>
      </c>
      <c r="I13017" s="0" t="s">
        <v>43393</v>
      </c>
      <c r="J13017" s="0" t="s">
        <v>43394</v>
      </c>
      <c r="K13017" s="0" t="s">
        <v>43395</v>
      </c>
      <c r="L13017" s="0" t="str">
        <f aca="false">HYPERLINK("https://www.ncbi.nlm.nih.gov/nuccore/CP000304.1?report=graph&amp;tracks=[key:gene_model_track,Options:GeneOnly]&amp;mk=3674337:3674356|offset_96|00cc00,3674183:3674202|offset_250|444444,3674044:3674063|offset_389|444444,3673979:3673998|offset_454|444444&amp;v=3674136:3674198&amp;c=444444", "offset 96")</f>
        <v>offset 96</v>
      </c>
    </row>
    <row r="13018" customFormat="false" ht="12.8" hidden="false" customHeight="false" outlineLevel="0" collapsed="false">
      <c r="A13018" s="0" t="s">
        <v>12</v>
      </c>
      <c r="B13018" s="0" t="n">
        <v>3674182</v>
      </c>
      <c r="C13018" s="0" t="n">
        <v>3674202</v>
      </c>
      <c r="D13018" s="0" t="s">
        <v>43392</v>
      </c>
      <c r="E13018" s="0" t="s">
        <v>89</v>
      </c>
      <c r="F13018" s="0" t="s">
        <v>90</v>
      </c>
      <c r="G13018" s="0" t="s">
        <v>32</v>
      </c>
      <c r="H13018" s="0" t="n">
        <v>250</v>
      </c>
      <c r="I13018" s="0" t="s">
        <v>43396</v>
      </c>
      <c r="J13018" s="0" t="s">
        <v>43397</v>
      </c>
      <c r="K13018" s="0" t="s">
        <v>43398</v>
      </c>
      <c r="L13018" s="0" t="str">
        <f aca="false">HYPERLINK("https://www.ncbi.nlm.nih.gov/nuccore/CP000304.1?report=graph&amp;tracks=[key:gene_model_track,Options:GeneOnly]&amp;mk=3674337:3674356|offset_96|444444,3674183:3674202|offset_250|00cc00,3674044:3674063|offset_389|444444,3673979:3673998|offset_454|444444&amp;v=3674136:3674198&amp;c=444444", "offset 250")</f>
        <v>offset 250</v>
      </c>
    </row>
    <row r="13019" customFormat="false" ht="12.8" hidden="false" customHeight="false" outlineLevel="0" collapsed="false">
      <c r="A13019" s="0" t="s">
        <v>12</v>
      </c>
      <c r="B13019" s="0" t="n">
        <v>3674043</v>
      </c>
      <c r="C13019" s="0" t="n">
        <v>3674063</v>
      </c>
      <c r="D13019" s="0" t="s">
        <v>43392</v>
      </c>
      <c r="E13019" s="0" t="s">
        <v>89</v>
      </c>
      <c r="F13019" s="0" t="s">
        <v>90</v>
      </c>
      <c r="G13019" s="0" t="s">
        <v>16</v>
      </c>
      <c r="H13019" s="0" t="n">
        <v>389</v>
      </c>
      <c r="I13019" s="0" t="s">
        <v>43399</v>
      </c>
      <c r="J13019" s="0" t="s">
        <v>43400</v>
      </c>
      <c r="K13019" s="0" t="s">
        <v>43401</v>
      </c>
      <c r="L13019" s="0" t="str">
        <f aca="false">HYPERLINK("https://www.ncbi.nlm.nih.gov/nuccore/CP000304.1?report=graph&amp;tracks=[key:gene_model_track,Options:GeneOnly]&amp;mk=3674337:3674356|offset_96|444444,3674183:3674202|offset_250|444444,3674044:3674063|offset_389|00cc00,3673979:3673998|offset_454|444444&amp;v=3674136:3674198&amp;c=444444", "offset 389")</f>
        <v>offset 389</v>
      </c>
    </row>
    <row r="13020" customFormat="false" ht="12.8" hidden="false" customHeight="false" outlineLevel="0" collapsed="false">
      <c r="A13020" s="0" t="s">
        <v>12</v>
      </c>
      <c r="B13020" s="0" t="n">
        <v>3673978</v>
      </c>
      <c r="C13020" s="0" t="n">
        <v>3673998</v>
      </c>
      <c r="D13020" s="0" t="s">
        <v>43392</v>
      </c>
      <c r="E13020" s="0" t="s">
        <v>89</v>
      </c>
      <c r="F13020" s="0" t="s">
        <v>90</v>
      </c>
      <c r="G13020" s="0" t="s">
        <v>32</v>
      </c>
      <c r="H13020" s="0" t="n">
        <v>454</v>
      </c>
      <c r="I13020" s="0" t="s">
        <v>43402</v>
      </c>
      <c r="J13020" s="0" t="s">
        <v>43403</v>
      </c>
      <c r="K13020" s="0" t="s">
        <v>43404</v>
      </c>
      <c r="L13020" s="0" t="str">
        <f aca="false">HYPERLINK("https://www.ncbi.nlm.nih.gov/nuccore/CP000304.1?report=graph&amp;tracks=[key:gene_model_track,Options:GeneOnly]&amp;mk=3674337:3674356|offset_96|444444,3674183:3674202|offset_250|444444,3674044:3674063|offset_389|444444,3673979:3673998|offset_454|00cc00&amp;v=3674136:3674198&amp;c=444444", "offset 454")</f>
        <v>offset 454</v>
      </c>
    </row>
    <row r="13021" customFormat="false" ht="12.8" hidden="false" customHeight="false" outlineLevel="0" collapsed="false">
      <c r="A13021" s="0" t="s">
        <v>12</v>
      </c>
      <c r="B13021" s="0" t="n">
        <v>3674782</v>
      </c>
      <c r="C13021" s="0" t="n">
        <v>3674802</v>
      </c>
      <c r="D13021" s="0" t="s">
        <v>43405</v>
      </c>
      <c r="E13021" s="0" t="s">
        <v>89</v>
      </c>
      <c r="F13021" s="0" t="s">
        <v>90</v>
      </c>
      <c r="G13021" s="0" t="s">
        <v>26</v>
      </c>
      <c r="H13021" s="0" t="n">
        <v>53</v>
      </c>
      <c r="I13021" s="0" t="s">
        <v>43406</v>
      </c>
      <c r="J13021" s="0" t="s">
        <v>43407</v>
      </c>
      <c r="K13021" s="0" t="s">
        <v>43408</v>
      </c>
      <c r="L13021" s="0" t="str">
        <f aca="false">HYPERLINK("https://www.ncbi.nlm.nih.gov/nuccore/CP000304.1?report=graph&amp;tracks=[key:gene_model_track,Options:GeneOnly]&amp;mk=3674783:3674802|offset_53|00cc00,3674749:3674768|offset_87|444444,3674700:3674719|offset_136|444444,3674668:3674687|offset_168|444444&amp;v=3674582:3674887&amp;c=444444", "offset 53")</f>
        <v>offset 53</v>
      </c>
    </row>
    <row r="13022" customFormat="false" ht="12.8" hidden="false" customHeight="false" outlineLevel="0" collapsed="false">
      <c r="A13022" s="0" t="s">
        <v>12</v>
      </c>
      <c r="B13022" s="0" t="n">
        <v>3674748</v>
      </c>
      <c r="C13022" s="0" t="n">
        <v>3674768</v>
      </c>
      <c r="D13022" s="0" t="s">
        <v>43405</v>
      </c>
      <c r="E13022" s="0" t="s">
        <v>89</v>
      </c>
      <c r="F13022" s="0" t="s">
        <v>90</v>
      </c>
      <c r="G13022" s="0" t="s">
        <v>16</v>
      </c>
      <c r="H13022" s="0" t="n">
        <v>87</v>
      </c>
      <c r="I13022" s="0" t="s">
        <v>43409</v>
      </c>
      <c r="J13022" s="0" t="s">
        <v>43410</v>
      </c>
      <c r="K13022" s="0" t="s">
        <v>43411</v>
      </c>
      <c r="L13022" s="0" t="str">
        <f aca="false">HYPERLINK("https://www.ncbi.nlm.nih.gov/nuccore/CP000304.1?report=graph&amp;tracks=[key:gene_model_track,Options:GeneOnly]&amp;mk=3674783:3674802|offset_53|444444,3674749:3674768|offset_87|00cc00,3674700:3674719|offset_136|444444,3674668:3674687|offset_168|444444&amp;v=3674582:3674887&amp;c=444444", "offset 87")</f>
        <v>offset 87</v>
      </c>
    </row>
    <row r="13023" customFormat="false" ht="12.8" hidden="false" customHeight="false" outlineLevel="0" collapsed="false">
      <c r="A13023" s="0" t="s">
        <v>12</v>
      </c>
      <c r="B13023" s="0" t="n">
        <v>3674699</v>
      </c>
      <c r="C13023" s="0" t="n">
        <v>3674719</v>
      </c>
      <c r="D13023" s="0" t="s">
        <v>43405</v>
      </c>
      <c r="E13023" s="0" t="s">
        <v>89</v>
      </c>
      <c r="F13023" s="0" t="s">
        <v>90</v>
      </c>
      <c r="G13023" s="0" t="s">
        <v>16</v>
      </c>
      <c r="H13023" s="0" t="n">
        <v>136</v>
      </c>
      <c r="I13023" s="0" t="s">
        <v>43412</v>
      </c>
      <c r="J13023" s="0" t="s">
        <v>43413</v>
      </c>
      <c r="K13023" s="0" t="s">
        <v>43414</v>
      </c>
      <c r="L13023" s="0" t="str">
        <f aca="false">HYPERLINK("https://www.ncbi.nlm.nih.gov/nuccore/CP000304.1?report=graph&amp;tracks=[key:gene_model_track,Options:GeneOnly]&amp;mk=3674783:3674802|offset_53|444444,3674749:3674768|offset_87|444444,3674700:3674719|offset_136|00cc00,3674668:3674687|offset_168|444444&amp;v=3674582:3674887&amp;c=444444", "offset 136")</f>
        <v>offset 136</v>
      </c>
    </row>
    <row r="13024" customFormat="false" ht="12.8" hidden="false" customHeight="false" outlineLevel="0" collapsed="false">
      <c r="A13024" s="0" t="s">
        <v>12</v>
      </c>
      <c r="B13024" s="0" t="n">
        <v>3674667</v>
      </c>
      <c r="C13024" s="0" t="n">
        <v>3674687</v>
      </c>
      <c r="D13024" s="0" t="s">
        <v>43405</v>
      </c>
      <c r="E13024" s="0" t="s">
        <v>89</v>
      </c>
      <c r="F13024" s="0" t="s">
        <v>90</v>
      </c>
      <c r="G13024" s="0" t="s">
        <v>36</v>
      </c>
      <c r="H13024" s="0" t="n">
        <v>168</v>
      </c>
      <c r="I13024" s="0" t="s">
        <v>43415</v>
      </c>
      <c r="J13024" s="0" t="s">
        <v>43416</v>
      </c>
      <c r="K13024" s="0" t="s">
        <v>43417</v>
      </c>
      <c r="L13024" s="0" t="str">
        <f aca="false">HYPERLINK("https://www.ncbi.nlm.nih.gov/nuccore/CP000304.1?report=graph&amp;tracks=[key:gene_model_track,Options:GeneOnly]&amp;mk=3674783:3674802|offset_53|444444,3674749:3674768|offset_87|444444,3674700:3674719|offset_136|444444,3674668:3674687|offset_168|00cc00&amp;v=3674582:3674887&amp;c=444444", "offset 168")</f>
        <v>offset 168</v>
      </c>
    </row>
    <row r="13025" customFormat="false" ht="12.8" hidden="false" customHeight="false" outlineLevel="0" collapsed="false">
      <c r="A13025" s="0" t="s">
        <v>12</v>
      </c>
      <c r="B13025" s="0" t="n">
        <v>3675410</v>
      </c>
      <c r="C13025" s="0" t="n">
        <v>3675430</v>
      </c>
      <c r="D13025" s="0" t="s">
        <v>43418</v>
      </c>
      <c r="E13025" s="0" t="s">
        <v>89</v>
      </c>
      <c r="F13025" s="0" t="s">
        <v>90</v>
      </c>
      <c r="G13025" s="0" t="s">
        <v>32</v>
      </c>
      <c r="H13025" s="0" t="n">
        <v>53</v>
      </c>
      <c r="I13025" s="0" t="s">
        <v>43419</v>
      </c>
      <c r="J13025" s="0" t="s">
        <v>43420</v>
      </c>
      <c r="K13025" s="0" t="s">
        <v>43421</v>
      </c>
      <c r="L13025" s="0" t="str">
        <f aca="false">HYPERLINK("https://www.ncbi.nlm.nih.gov/nuccore/CP000304.1?report=graph&amp;tracks=[key:gene_model_track,Options:GeneOnly]&amp;mk=3675411:3675430|offset_53|00cc00,3675378:3675397|offset_86|444444,3675355:3675374|offset_109|444444,3675323:3675342|offset_141|444444&amp;v=3675210:3675542&amp;c=444444", "offset 53")</f>
        <v>offset 53</v>
      </c>
    </row>
    <row r="13026" customFormat="false" ht="12.8" hidden="false" customHeight="false" outlineLevel="0" collapsed="false">
      <c r="A13026" s="0" t="s">
        <v>12</v>
      </c>
      <c r="B13026" s="0" t="n">
        <v>3675377</v>
      </c>
      <c r="C13026" s="0" t="n">
        <v>3675397</v>
      </c>
      <c r="D13026" s="0" t="s">
        <v>43418</v>
      </c>
      <c r="E13026" s="0" t="s">
        <v>89</v>
      </c>
      <c r="F13026" s="0" t="s">
        <v>90</v>
      </c>
      <c r="G13026" s="0" t="s">
        <v>26</v>
      </c>
      <c r="H13026" s="0" t="n">
        <v>86</v>
      </c>
      <c r="I13026" s="0" t="s">
        <v>43422</v>
      </c>
      <c r="J13026" s="0" t="s">
        <v>43423</v>
      </c>
      <c r="K13026" s="0" t="s">
        <v>43424</v>
      </c>
      <c r="L13026" s="0" t="str">
        <f aca="false">HYPERLINK("https://www.ncbi.nlm.nih.gov/nuccore/CP000304.1?report=graph&amp;tracks=[key:gene_model_track,Options:GeneOnly]&amp;mk=3675411:3675430|offset_53|444444,3675378:3675397|offset_86|00cc00,3675355:3675374|offset_109|444444,3675323:3675342|offset_141|444444&amp;v=3675210:3675542&amp;c=444444", "offset 86")</f>
        <v>offset 86</v>
      </c>
    </row>
    <row r="13027" customFormat="false" ht="12.8" hidden="false" customHeight="false" outlineLevel="0" collapsed="false">
      <c r="A13027" s="0" t="s">
        <v>12</v>
      </c>
      <c r="B13027" s="0" t="n">
        <v>3675354</v>
      </c>
      <c r="C13027" s="0" t="n">
        <v>3675374</v>
      </c>
      <c r="D13027" s="0" t="s">
        <v>43418</v>
      </c>
      <c r="E13027" s="0" t="s">
        <v>89</v>
      </c>
      <c r="F13027" s="0" t="s">
        <v>90</v>
      </c>
      <c r="G13027" s="0" t="s">
        <v>32</v>
      </c>
      <c r="H13027" s="0" t="n">
        <v>109</v>
      </c>
      <c r="I13027" s="0" t="s">
        <v>43425</v>
      </c>
      <c r="J13027" s="0" t="s">
        <v>43426</v>
      </c>
      <c r="K13027" s="0" t="s">
        <v>43427</v>
      </c>
      <c r="L13027" s="0" t="str">
        <f aca="false">HYPERLINK("https://www.ncbi.nlm.nih.gov/nuccore/CP000304.1?report=graph&amp;tracks=[key:gene_model_track,Options:GeneOnly]&amp;mk=3675411:3675430|offset_53|444444,3675378:3675397|offset_86|444444,3675355:3675374|offset_109|00cc00,3675323:3675342|offset_141|444444&amp;v=3675210:3675542&amp;c=444444", "offset 109")</f>
        <v>offset 109</v>
      </c>
    </row>
    <row r="13028" customFormat="false" ht="12.8" hidden="false" customHeight="false" outlineLevel="0" collapsed="false">
      <c r="A13028" s="0" t="s">
        <v>12</v>
      </c>
      <c r="B13028" s="0" t="n">
        <v>3675322</v>
      </c>
      <c r="C13028" s="0" t="n">
        <v>3675342</v>
      </c>
      <c r="D13028" s="0" t="s">
        <v>43418</v>
      </c>
      <c r="E13028" s="0" t="s">
        <v>89</v>
      </c>
      <c r="F13028" s="0" t="s">
        <v>90</v>
      </c>
      <c r="G13028" s="0" t="s">
        <v>32</v>
      </c>
      <c r="H13028" s="0" t="n">
        <v>141</v>
      </c>
      <c r="I13028" s="0" t="s">
        <v>43428</v>
      </c>
      <c r="J13028" s="0" t="s">
        <v>43429</v>
      </c>
      <c r="K13028" s="0" t="s">
        <v>43430</v>
      </c>
      <c r="L13028" s="0" t="str">
        <f aca="false">HYPERLINK("https://www.ncbi.nlm.nih.gov/nuccore/CP000304.1?report=graph&amp;tracks=[key:gene_model_track,Options:GeneOnly]&amp;mk=3675411:3675430|offset_53|444444,3675378:3675397|offset_86|444444,3675355:3675374|offset_109|444444,3675323:3675342|offset_141|00cc00&amp;v=3675210:3675542&amp;c=444444", "offset 141")</f>
        <v>offset 141</v>
      </c>
    </row>
    <row r="13029" customFormat="false" ht="12.8" hidden="false" customHeight="false" outlineLevel="0" collapsed="false">
      <c r="A13029" s="0" t="s">
        <v>12</v>
      </c>
      <c r="B13029" s="0" t="n">
        <v>3675539</v>
      </c>
      <c r="C13029" s="0" t="n">
        <v>3675559</v>
      </c>
      <c r="D13029" s="0" t="s">
        <v>43431</v>
      </c>
      <c r="E13029" s="0" t="s">
        <v>89</v>
      </c>
      <c r="F13029" s="0" t="s">
        <v>15</v>
      </c>
      <c r="G13029" s="0" t="s">
        <v>16</v>
      </c>
      <c r="H13029" s="0" t="n">
        <v>58</v>
      </c>
      <c r="I13029" s="0" t="s">
        <v>43432</v>
      </c>
      <c r="J13029" s="0" t="s">
        <v>43433</v>
      </c>
      <c r="K13029" s="0" t="s">
        <v>43434</v>
      </c>
      <c r="L13029" s="0" t="str">
        <f aca="false">HYPERLINK("https://www.ncbi.nlm.nih.gov/nuccore/CP000304.1?report=graph&amp;tracks=[key:gene_model_track,Options:GeneOnly]&amp;mk=3675540:3675559|offset_58|00cc00&amp;v=3675339:3675759&amp;c=444444", "offset 58")</f>
        <v>offset 58</v>
      </c>
    </row>
    <row r="13030" customFormat="false" ht="12.8" hidden="false" customHeight="false" outlineLevel="0" collapsed="false">
      <c r="A13030" s="0" t="s">
        <v>12</v>
      </c>
      <c r="B13030" s="0" t="n">
        <v>3678150</v>
      </c>
      <c r="C13030" s="0" t="n">
        <v>3678170</v>
      </c>
      <c r="D13030" s="0" t="s">
        <v>43435</v>
      </c>
      <c r="E13030" s="0" t="s">
        <v>89</v>
      </c>
      <c r="F13030" s="0" t="s">
        <v>90</v>
      </c>
      <c r="G13030" s="0" t="s">
        <v>16</v>
      </c>
      <c r="H13030" s="0" t="n">
        <v>0</v>
      </c>
      <c r="I13030" s="0" t="s">
        <v>43436</v>
      </c>
      <c r="J13030" s="0" t="s">
        <v>43437</v>
      </c>
      <c r="K13030" s="0" t="s">
        <v>43438</v>
      </c>
      <c r="L13030" s="0" t="str">
        <f aca="false">HYPERLINK("https://www.ncbi.nlm.nih.gov/nuccore/CP000304.1?report=graph&amp;tracks=[key:gene_model_track,Options:GeneOnly]&amp;mk=3678151:3678170|offset_0|00cc00,3678126:3678145|offset_25|444444,3678069:3678088|offset_82|444444,3678032:3678051|offset_119|444444&amp;v=3677950:3678251&amp;c=444444", "offset 0")</f>
        <v>offset 0</v>
      </c>
    </row>
    <row r="13031" customFormat="false" ht="12.8" hidden="false" customHeight="false" outlineLevel="0" collapsed="false">
      <c r="A13031" s="0" t="s">
        <v>12</v>
      </c>
      <c r="B13031" s="0" t="n">
        <v>3678125</v>
      </c>
      <c r="C13031" s="0" t="n">
        <v>3678145</v>
      </c>
      <c r="D13031" s="0" t="s">
        <v>43435</v>
      </c>
      <c r="E13031" s="0" t="s">
        <v>89</v>
      </c>
      <c r="F13031" s="0" t="s">
        <v>90</v>
      </c>
      <c r="G13031" s="0" t="s">
        <v>16</v>
      </c>
      <c r="H13031" s="0" t="n">
        <v>25</v>
      </c>
      <c r="I13031" s="0" t="s">
        <v>43439</v>
      </c>
      <c r="J13031" s="0" t="s">
        <v>43440</v>
      </c>
      <c r="K13031" s="0" t="s">
        <v>43441</v>
      </c>
      <c r="L13031" s="0" t="str">
        <f aca="false">HYPERLINK("https://www.ncbi.nlm.nih.gov/nuccore/CP000304.1?report=graph&amp;tracks=[key:gene_model_track,Options:GeneOnly]&amp;mk=3678151:3678170|offset_0|444444,3678126:3678145|offset_25|00cc00,3678069:3678088|offset_82|444444,3678032:3678051|offset_119|444444&amp;v=3677950:3678251&amp;c=444444", "offset 25")</f>
        <v>offset 25</v>
      </c>
    </row>
    <row r="13032" customFormat="false" ht="12.8" hidden="false" customHeight="false" outlineLevel="0" collapsed="false">
      <c r="A13032" s="0" t="s">
        <v>12</v>
      </c>
      <c r="B13032" s="0" t="n">
        <v>3678068</v>
      </c>
      <c r="C13032" s="0" t="n">
        <v>3678088</v>
      </c>
      <c r="D13032" s="0" t="s">
        <v>43435</v>
      </c>
      <c r="E13032" s="0" t="s">
        <v>89</v>
      </c>
      <c r="F13032" s="0" t="s">
        <v>90</v>
      </c>
      <c r="G13032" s="0" t="s">
        <v>16</v>
      </c>
      <c r="H13032" s="0" t="n">
        <v>82</v>
      </c>
      <c r="I13032" s="0" t="s">
        <v>43442</v>
      </c>
      <c r="J13032" s="0" t="s">
        <v>43443</v>
      </c>
      <c r="K13032" s="0" t="s">
        <v>43444</v>
      </c>
      <c r="L13032" s="0" t="str">
        <f aca="false">HYPERLINK("https://www.ncbi.nlm.nih.gov/nuccore/CP000304.1?report=graph&amp;tracks=[key:gene_model_track,Options:GeneOnly]&amp;mk=3678151:3678170|offset_0|444444,3678126:3678145|offset_25|444444,3678069:3678088|offset_82|00cc00,3678032:3678051|offset_119|444444&amp;v=3677950:3678251&amp;c=444444", "offset 82")</f>
        <v>offset 82</v>
      </c>
    </row>
    <row r="13033" customFormat="false" ht="12.8" hidden="false" customHeight="false" outlineLevel="0" collapsed="false">
      <c r="A13033" s="0" t="s">
        <v>12</v>
      </c>
      <c r="B13033" s="0" t="n">
        <v>3678031</v>
      </c>
      <c r="C13033" s="0" t="n">
        <v>3678051</v>
      </c>
      <c r="D13033" s="0" t="s">
        <v>43435</v>
      </c>
      <c r="E13033" s="0" t="s">
        <v>89</v>
      </c>
      <c r="F13033" s="0" t="s">
        <v>90</v>
      </c>
      <c r="G13033" s="0" t="s">
        <v>26</v>
      </c>
      <c r="H13033" s="0" t="n">
        <v>119</v>
      </c>
      <c r="I13033" s="0" t="s">
        <v>43445</v>
      </c>
      <c r="J13033" s="0" t="s">
        <v>43446</v>
      </c>
      <c r="K13033" s="0" t="s">
        <v>43447</v>
      </c>
      <c r="L13033" s="0" t="str">
        <f aca="false">HYPERLINK("https://www.ncbi.nlm.nih.gov/nuccore/CP000304.1?report=graph&amp;tracks=[key:gene_model_track,Options:GeneOnly]&amp;mk=3678151:3678170|offset_0|444444,3678126:3678145|offset_25|444444,3678069:3678088|offset_82|444444,3678032:3678051|offset_119|00cc00&amp;v=3677950:3678251&amp;c=444444", "offset 119")</f>
        <v>offset 119</v>
      </c>
    </row>
    <row r="13034" customFormat="false" ht="12.8" hidden="false" customHeight="false" outlineLevel="0" collapsed="false">
      <c r="A13034" s="0" t="s">
        <v>12</v>
      </c>
      <c r="B13034" s="0" t="n">
        <v>3678473</v>
      </c>
      <c r="C13034" s="0" t="n">
        <v>3678493</v>
      </c>
      <c r="D13034" s="0" t="s">
        <v>43448</v>
      </c>
      <c r="E13034" s="0" t="s">
        <v>89</v>
      </c>
      <c r="F13034" s="0" t="s">
        <v>15</v>
      </c>
      <c r="G13034" s="0" t="s">
        <v>36</v>
      </c>
      <c r="H13034" s="0" t="n">
        <v>10</v>
      </c>
      <c r="I13034" s="0" t="s">
        <v>43449</v>
      </c>
      <c r="J13034" s="0" t="s">
        <v>43450</v>
      </c>
      <c r="K13034" s="0" t="s">
        <v>43451</v>
      </c>
      <c r="L13034" s="0" t="str">
        <f aca="false">HYPERLINK("https://www.ncbi.nlm.nih.gov/nuccore/CP000304.1?report=graph&amp;tracks=[key:gene_model_track,Options:GeneOnly]&amp;mk=3678474:3678493|offset_10|00cc00,3678522:3678541|offset_58|444444,3678548:3678567|offset_84|444444,3678587:3678606|offset_123|444444&amp;v=3678273:3678806&amp;c=444444", "offset 10")</f>
        <v>offset 10</v>
      </c>
    </row>
    <row r="13035" customFormat="false" ht="12.8" hidden="false" customHeight="false" outlineLevel="0" collapsed="false">
      <c r="A13035" s="0" t="s">
        <v>12</v>
      </c>
      <c r="B13035" s="0" t="n">
        <v>3678521</v>
      </c>
      <c r="C13035" s="0" t="n">
        <v>3678541</v>
      </c>
      <c r="D13035" s="0" t="s">
        <v>43448</v>
      </c>
      <c r="E13035" s="0" t="s">
        <v>89</v>
      </c>
      <c r="F13035" s="0" t="s">
        <v>15</v>
      </c>
      <c r="G13035" s="0" t="s">
        <v>32</v>
      </c>
      <c r="H13035" s="0" t="n">
        <v>58</v>
      </c>
      <c r="I13035" s="0" t="s">
        <v>43452</v>
      </c>
      <c r="J13035" s="0" t="s">
        <v>43453</v>
      </c>
      <c r="K13035" s="0" t="s">
        <v>43454</v>
      </c>
      <c r="L13035" s="0" t="str">
        <f aca="false">HYPERLINK("https://www.ncbi.nlm.nih.gov/nuccore/CP000304.1?report=graph&amp;tracks=[key:gene_model_track,Options:GeneOnly]&amp;mk=3678474:3678493|offset_10|444444,3678522:3678541|offset_58|00cc00,3678548:3678567|offset_84|444444,3678587:3678606|offset_123|444444&amp;v=3678273:3678806&amp;c=444444", "offset 58")</f>
        <v>offset 58</v>
      </c>
    </row>
    <row r="13036" customFormat="false" ht="12.8" hidden="false" customHeight="false" outlineLevel="0" collapsed="false">
      <c r="A13036" s="0" t="s">
        <v>12</v>
      </c>
      <c r="B13036" s="0" t="n">
        <v>3678547</v>
      </c>
      <c r="C13036" s="0" t="n">
        <v>3678567</v>
      </c>
      <c r="D13036" s="0" t="s">
        <v>43448</v>
      </c>
      <c r="E13036" s="0" t="s">
        <v>89</v>
      </c>
      <c r="F13036" s="0" t="s">
        <v>15</v>
      </c>
      <c r="G13036" s="0" t="s">
        <v>36</v>
      </c>
      <c r="H13036" s="0" t="n">
        <v>84</v>
      </c>
      <c r="I13036" s="0" t="s">
        <v>43455</v>
      </c>
      <c r="J13036" s="0" t="s">
        <v>43456</v>
      </c>
      <c r="K13036" s="0" t="s">
        <v>43457</v>
      </c>
      <c r="L13036" s="0" t="str">
        <f aca="false">HYPERLINK("https://www.ncbi.nlm.nih.gov/nuccore/CP000304.1?report=graph&amp;tracks=[key:gene_model_track,Options:GeneOnly]&amp;mk=3678474:3678493|offset_10|444444,3678522:3678541|offset_58|444444,3678548:3678567|offset_84|00cc00,3678587:3678606|offset_123|444444&amp;v=3678273:3678806&amp;c=444444", "offset 84")</f>
        <v>offset 84</v>
      </c>
    </row>
    <row r="13037" customFormat="false" ht="12.8" hidden="false" customHeight="false" outlineLevel="0" collapsed="false">
      <c r="A13037" s="0" t="s">
        <v>12</v>
      </c>
      <c r="B13037" s="0" t="n">
        <v>3678586</v>
      </c>
      <c r="C13037" s="0" t="n">
        <v>3678606</v>
      </c>
      <c r="D13037" s="0" t="s">
        <v>43448</v>
      </c>
      <c r="E13037" s="0" t="s">
        <v>89</v>
      </c>
      <c r="F13037" s="0" t="s">
        <v>15</v>
      </c>
      <c r="G13037" s="0" t="s">
        <v>32</v>
      </c>
      <c r="H13037" s="0" t="n">
        <v>123</v>
      </c>
      <c r="I13037" s="0" t="s">
        <v>43458</v>
      </c>
      <c r="J13037" s="0" t="s">
        <v>43459</v>
      </c>
      <c r="K13037" s="0" t="s">
        <v>43460</v>
      </c>
      <c r="L13037" s="0" t="str">
        <f aca="false">HYPERLINK("https://www.ncbi.nlm.nih.gov/nuccore/CP000304.1?report=graph&amp;tracks=[key:gene_model_track,Options:GeneOnly]&amp;mk=3678474:3678493|offset_10|444444,3678522:3678541|offset_58|444444,3678548:3678567|offset_84|444444,3678587:3678606|offset_123|00cc00&amp;v=3678273:3678806&amp;c=444444", "offset 123")</f>
        <v>offset 123</v>
      </c>
    </row>
    <row r="13038" customFormat="false" ht="12.8" hidden="false" customHeight="false" outlineLevel="0" collapsed="false">
      <c r="A13038" s="0" t="s">
        <v>12</v>
      </c>
      <c r="B13038" s="0" t="n">
        <v>3679202</v>
      </c>
      <c r="C13038" s="0" t="n">
        <v>3679222</v>
      </c>
      <c r="D13038" s="0" t="s">
        <v>43461</v>
      </c>
      <c r="E13038" s="0" t="s">
        <v>89</v>
      </c>
      <c r="F13038" s="0" t="s">
        <v>15</v>
      </c>
      <c r="G13038" s="0" t="s">
        <v>36</v>
      </c>
      <c r="H13038" s="0" t="n">
        <v>23</v>
      </c>
      <c r="I13038" s="0" t="s">
        <v>43462</v>
      </c>
      <c r="J13038" s="0" t="s">
        <v>43463</v>
      </c>
      <c r="K13038" s="0" t="s">
        <v>43464</v>
      </c>
      <c r="L13038" s="0" t="str">
        <f aca="false">HYPERLINK("https://www.ncbi.nlm.nih.gov/nuccore/CP000304.1?report=graph&amp;tracks=[key:gene_model_track,Options:GeneOnly]&amp;mk=3679203:3679222|offset_23|00cc00,3679231:3679250|offset_51|444444,3679280:3679299|offset_100|444444,3679305:3679324|offset_125|444444&amp;v=3679002:3679524&amp;c=444444", "offset 23")</f>
        <v>offset 23</v>
      </c>
    </row>
    <row r="13039" customFormat="false" ht="12.8" hidden="false" customHeight="false" outlineLevel="0" collapsed="false">
      <c r="A13039" s="0" t="s">
        <v>12</v>
      </c>
      <c r="B13039" s="0" t="n">
        <v>3679230</v>
      </c>
      <c r="C13039" s="0" t="n">
        <v>3679250</v>
      </c>
      <c r="D13039" s="0" t="s">
        <v>43461</v>
      </c>
      <c r="E13039" s="0" t="s">
        <v>89</v>
      </c>
      <c r="F13039" s="0" t="s">
        <v>15</v>
      </c>
      <c r="G13039" s="0" t="s">
        <v>32</v>
      </c>
      <c r="H13039" s="0" t="n">
        <v>51</v>
      </c>
      <c r="I13039" s="0" t="s">
        <v>43465</v>
      </c>
      <c r="J13039" s="0" t="s">
        <v>43466</v>
      </c>
      <c r="K13039" s="0" t="s">
        <v>43467</v>
      </c>
      <c r="L13039" s="0" t="str">
        <f aca="false">HYPERLINK("https://www.ncbi.nlm.nih.gov/nuccore/CP000304.1?report=graph&amp;tracks=[key:gene_model_track,Options:GeneOnly]&amp;mk=3679203:3679222|offset_23|444444,3679231:3679250|offset_51|00cc00,3679280:3679299|offset_100|444444,3679305:3679324|offset_125|444444&amp;v=3679002:3679524&amp;c=444444", "offset 51")</f>
        <v>offset 51</v>
      </c>
    </row>
    <row r="13040" customFormat="false" ht="12.8" hidden="false" customHeight="false" outlineLevel="0" collapsed="false">
      <c r="A13040" s="0" t="s">
        <v>12</v>
      </c>
      <c r="B13040" s="0" t="n">
        <v>3679279</v>
      </c>
      <c r="C13040" s="0" t="n">
        <v>3679299</v>
      </c>
      <c r="D13040" s="0" t="s">
        <v>43461</v>
      </c>
      <c r="E13040" s="0" t="s">
        <v>89</v>
      </c>
      <c r="F13040" s="0" t="s">
        <v>15</v>
      </c>
      <c r="G13040" s="0" t="s">
        <v>26</v>
      </c>
      <c r="H13040" s="0" t="n">
        <v>100</v>
      </c>
      <c r="I13040" s="0" t="s">
        <v>43468</v>
      </c>
      <c r="J13040" s="0" t="s">
        <v>43469</v>
      </c>
      <c r="K13040" s="0" t="s">
        <v>43470</v>
      </c>
      <c r="L13040" s="0" t="str">
        <f aca="false">HYPERLINK("https://www.ncbi.nlm.nih.gov/nuccore/CP000304.1?report=graph&amp;tracks=[key:gene_model_track,Options:GeneOnly]&amp;mk=3679203:3679222|offset_23|444444,3679231:3679250|offset_51|444444,3679280:3679299|offset_100|00cc00,3679305:3679324|offset_125|444444&amp;v=3679002:3679524&amp;c=444444", "offset 100")</f>
        <v>offset 100</v>
      </c>
    </row>
    <row r="13041" customFormat="false" ht="12.8" hidden="false" customHeight="false" outlineLevel="0" collapsed="false">
      <c r="A13041" s="0" t="s">
        <v>12</v>
      </c>
      <c r="B13041" s="0" t="n">
        <v>3679304</v>
      </c>
      <c r="C13041" s="0" t="n">
        <v>3679324</v>
      </c>
      <c r="D13041" s="0" t="s">
        <v>43461</v>
      </c>
      <c r="E13041" s="0" t="s">
        <v>89</v>
      </c>
      <c r="F13041" s="0" t="s">
        <v>15</v>
      </c>
      <c r="G13041" s="0" t="s">
        <v>32</v>
      </c>
      <c r="H13041" s="0" t="n">
        <v>125</v>
      </c>
      <c r="I13041" s="0" t="s">
        <v>43471</v>
      </c>
      <c r="J13041" s="0" t="s">
        <v>43472</v>
      </c>
      <c r="K13041" s="0" t="s">
        <v>43473</v>
      </c>
      <c r="L13041" s="0" t="str">
        <f aca="false">HYPERLINK("https://www.ncbi.nlm.nih.gov/nuccore/CP000304.1?report=graph&amp;tracks=[key:gene_model_track,Options:GeneOnly]&amp;mk=3679203:3679222|offset_23|444444,3679231:3679250|offset_51|444444,3679280:3679299|offset_100|444444,3679305:3679324|offset_125|00cc00&amp;v=3679002:3679524&amp;c=444444", "offset 125")</f>
        <v>offset 125</v>
      </c>
    </row>
    <row r="13042" customFormat="false" ht="12.8" hidden="false" customHeight="false" outlineLevel="0" collapsed="false">
      <c r="A13042" s="0" t="s">
        <v>12</v>
      </c>
      <c r="B13042" s="0" t="n">
        <v>3681629</v>
      </c>
      <c r="C13042" s="0" t="n">
        <v>3681649</v>
      </c>
      <c r="D13042" s="0" t="s">
        <v>43474</v>
      </c>
      <c r="E13042" s="0" t="s">
        <v>89</v>
      </c>
      <c r="F13042" s="0" t="s">
        <v>15</v>
      </c>
      <c r="G13042" s="0" t="s">
        <v>32</v>
      </c>
      <c r="H13042" s="0" t="n">
        <v>1</v>
      </c>
      <c r="I13042" s="0" t="s">
        <v>43475</v>
      </c>
      <c r="J13042" s="0" t="s">
        <v>43476</v>
      </c>
      <c r="K13042" s="0" t="s">
        <v>43477</v>
      </c>
      <c r="L13042" s="0" t="str">
        <f aca="false">HYPERLINK("https://www.ncbi.nlm.nih.gov/nuccore/CP000304.1?report=graph&amp;tracks=[key:gene_model_track,Options:GeneOnly]&amp;mk=3681630:3681649|offset_1|00cc00,3681654:3681673|offset_25|444444,3681696:3681715|offset_67|444444,3681723:3681742|offset_94|444444&amp;v=3681429:3681942&amp;c=444444", "offset 1")</f>
        <v>offset 1</v>
      </c>
    </row>
    <row r="13043" customFormat="false" ht="12.8" hidden="false" customHeight="false" outlineLevel="0" collapsed="false">
      <c r="A13043" s="0" t="s">
        <v>12</v>
      </c>
      <c r="B13043" s="0" t="n">
        <v>3681653</v>
      </c>
      <c r="C13043" s="0" t="n">
        <v>3681673</v>
      </c>
      <c r="D13043" s="0" t="s">
        <v>43474</v>
      </c>
      <c r="E13043" s="0" t="s">
        <v>89</v>
      </c>
      <c r="F13043" s="0" t="s">
        <v>15</v>
      </c>
      <c r="G13043" s="0" t="s">
        <v>36</v>
      </c>
      <c r="H13043" s="0" t="n">
        <v>25</v>
      </c>
      <c r="I13043" s="0" t="s">
        <v>43478</v>
      </c>
      <c r="J13043" s="0" t="s">
        <v>43479</v>
      </c>
      <c r="K13043" s="0" t="s">
        <v>43480</v>
      </c>
      <c r="L13043" s="0" t="str">
        <f aca="false">HYPERLINK("https://www.ncbi.nlm.nih.gov/nuccore/CP000304.1?report=graph&amp;tracks=[key:gene_model_track,Options:GeneOnly]&amp;mk=3681630:3681649|offset_1|444444,3681654:3681673|offset_25|00cc00,3681696:3681715|offset_67|444444,3681723:3681742|offset_94|444444&amp;v=3681429:3681942&amp;c=444444", "offset 25")</f>
        <v>offset 25</v>
      </c>
    </row>
    <row r="13044" customFormat="false" ht="12.8" hidden="false" customHeight="false" outlineLevel="0" collapsed="false">
      <c r="A13044" s="0" t="s">
        <v>12</v>
      </c>
      <c r="B13044" s="0" t="n">
        <v>3681695</v>
      </c>
      <c r="C13044" s="0" t="n">
        <v>3681715</v>
      </c>
      <c r="D13044" s="0" t="s">
        <v>43474</v>
      </c>
      <c r="E13044" s="0" t="s">
        <v>89</v>
      </c>
      <c r="F13044" s="0" t="s">
        <v>15</v>
      </c>
      <c r="G13044" s="0" t="s">
        <v>36</v>
      </c>
      <c r="H13044" s="0" t="n">
        <v>67</v>
      </c>
      <c r="I13044" s="0" t="s">
        <v>43481</v>
      </c>
      <c r="J13044" s="0" t="s">
        <v>43482</v>
      </c>
      <c r="K13044" s="0" t="s">
        <v>43483</v>
      </c>
      <c r="L13044" s="0" t="str">
        <f aca="false">HYPERLINK("https://www.ncbi.nlm.nih.gov/nuccore/CP000304.1?report=graph&amp;tracks=[key:gene_model_track,Options:GeneOnly]&amp;mk=3681630:3681649|offset_1|444444,3681654:3681673|offset_25|444444,3681696:3681715|offset_67|00cc00,3681723:3681742|offset_94|444444&amp;v=3681429:3681942&amp;c=444444", "offset 67")</f>
        <v>offset 67</v>
      </c>
    </row>
    <row r="13045" customFormat="false" ht="12.8" hidden="false" customHeight="false" outlineLevel="0" collapsed="false">
      <c r="A13045" s="0" t="s">
        <v>12</v>
      </c>
      <c r="B13045" s="0" t="n">
        <v>3681722</v>
      </c>
      <c r="C13045" s="0" t="n">
        <v>3681742</v>
      </c>
      <c r="D13045" s="0" t="s">
        <v>43474</v>
      </c>
      <c r="E13045" s="0" t="s">
        <v>89</v>
      </c>
      <c r="F13045" s="0" t="s">
        <v>15</v>
      </c>
      <c r="G13045" s="0" t="s">
        <v>32</v>
      </c>
      <c r="H13045" s="0" t="n">
        <v>94</v>
      </c>
      <c r="I13045" s="0" t="s">
        <v>43484</v>
      </c>
      <c r="J13045" s="0" t="s">
        <v>43485</v>
      </c>
      <c r="K13045" s="0" t="s">
        <v>43486</v>
      </c>
      <c r="L13045" s="0" t="str">
        <f aca="false">HYPERLINK("https://www.ncbi.nlm.nih.gov/nuccore/CP000304.1?report=graph&amp;tracks=[key:gene_model_track,Options:GeneOnly]&amp;mk=3681630:3681649|offset_1|444444,3681654:3681673|offset_25|444444,3681696:3681715|offset_67|444444,3681723:3681742|offset_94|00cc00&amp;v=3681429:3681942&amp;c=444444", "offset 94")</f>
        <v>offset 94</v>
      </c>
    </row>
    <row r="13046" customFormat="false" ht="12.8" hidden="false" customHeight="false" outlineLevel="0" collapsed="false">
      <c r="A13046" s="0" t="s">
        <v>12</v>
      </c>
      <c r="B13046" s="0" t="n">
        <v>3682541</v>
      </c>
      <c r="C13046" s="0" t="n">
        <v>3682561</v>
      </c>
      <c r="D13046" s="0" t="s">
        <v>43487</v>
      </c>
      <c r="E13046" s="0" t="s">
        <v>89</v>
      </c>
      <c r="F13046" s="0" t="s">
        <v>15</v>
      </c>
      <c r="G13046" s="0" t="s">
        <v>26</v>
      </c>
      <c r="H13046" s="0" t="n">
        <v>21</v>
      </c>
      <c r="I13046" s="0" t="s">
        <v>43488</v>
      </c>
      <c r="J13046" s="0" t="s">
        <v>43489</v>
      </c>
      <c r="K13046" s="0" t="s">
        <v>43490</v>
      </c>
      <c r="L13046" s="0" t="str">
        <f aca="false">HYPERLINK("https://www.ncbi.nlm.nih.gov/nuccore/CP000304.1?report=graph&amp;tracks=[key:gene_model_track,Options:GeneOnly]&amp;mk=3682542:3682561|offset_21|00cc00,3682565:3682584|offset_44|444444,3682606:3682625|offset_85|444444,3682635:3682654|offset_114|444444&amp;v=3682341:3682854&amp;c=444444", "offset 21")</f>
        <v>offset 21</v>
      </c>
    </row>
    <row r="13047" customFormat="false" ht="12.8" hidden="false" customHeight="false" outlineLevel="0" collapsed="false">
      <c r="A13047" s="0" t="s">
        <v>12</v>
      </c>
      <c r="B13047" s="0" t="n">
        <v>3682564</v>
      </c>
      <c r="C13047" s="0" t="n">
        <v>3682584</v>
      </c>
      <c r="D13047" s="0" t="s">
        <v>43487</v>
      </c>
      <c r="E13047" s="0" t="s">
        <v>89</v>
      </c>
      <c r="F13047" s="0" t="s">
        <v>15</v>
      </c>
      <c r="G13047" s="0" t="s">
        <v>26</v>
      </c>
      <c r="H13047" s="0" t="n">
        <v>44</v>
      </c>
      <c r="I13047" s="0" t="s">
        <v>43491</v>
      </c>
      <c r="J13047" s="0" t="s">
        <v>43492</v>
      </c>
      <c r="K13047" s="0" t="s">
        <v>43493</v>
      </c>
      <c r="L13047" s="0" t="str">
        <f aca="false">HYPERLINK("https://www.ncbi.nlm.nih.gov/nuccore/CP000304.1?report=graph&amp;tracks=[key:gene_model_track,Options:GeneOnly]&amp;mk=3682542:3682561|offset_21|444444,3682565:3682584|offset_44|00cc00,3682606:3682625|offset_85|444444,3682635:3682654|offset_114|444444&amp;v=3682341:3682854&amp;c=444444", "offset 44")</f>
        <v>offset 44</v>
      </c>
    </row>
    <row r="13048" customFormat="false" ht="12.8" hidden="false" customHeight="false" outlineLevel="0" collapsed="false">
      <c r="A13048" s="0" t="s">
        <v>12</v>
      </c>
      <c r="B13048" s="0" t="n">
        <v>3682605</v>
      </c>
      <c r="C13048" s="0" t="n">
        <v>3682625</v>
      </c>
      <c r="D13048" s="0" t="s">
        <v>43487</v>
      </c>
      <c r="E13048" s="0" t="s">
        <v>89</v>
      </c>
      <c r="F13048" s="0" t="s">
        <v>15</v>
      </c>
      <c r="G13048" s="0" t="s">
        <v>26</v>
      </c>
      <c r="H13048" s="0" t="n">
        <v>85</v>
      </c>
      <c r="I13048" s="0" t="s">
        <v>43494</v>
      </c>
      <c r="J13048" s="0" t="s">
        <v>43495</v>
      </c>
      <c r="K13048" s="0" t="s">
        <v>43496</v>
      </c>
      <c r="L13048" s="0" t="str">
        <f aca="false">HYPERLINK("https://www.ncbi.nlm.nih.gov/nuccore/CP000304.1?report=graph&amp;tracks=[key:gene_model_track,Options:GeneOnly]&amp;mk=3682542:3682561|offset_21|444444,3682565:3682584|offset_44|444444,3682606:3682625|offset_85|00cc00,3682635:3682654|offset_114|444444&amp;v=3682341:3682854&amp;c=444444", "offset 85")</f>
        <v>offset 85</v>
      </c>
    </row>
    <row r="13049" customFormat="false" ht="12.8" hidden="false" customHeight="false" outlineLevel="0" collapsed="false">
      <c r="A13049" s="0" t="s">
        <v>12</v>
      </c>
      <c r="B13049" s="0" t="n">
        <v>3682634</v>
      </c>
      <c r="C13049" s="0" t="n">
        <v>3682654</v>
      </c>
      <c r="D13049" s="0" t="s">
        <v>43487</v>
      </c>
      <c r="E13049" s="0" t="s">
        <v>89</v>
      </c>
      <c r="F13049" s="0" t="s">
        <v>15</v>
      </c>
      <c r="G13049" s="0" t="s">
        <v>32</v>
      </c>
      <c r="H13049" s="0" t="n">
        <v>114</v>
      </c>
      <c r="I13049" s="0" t="s">
        <v>43497</v>
      </c>
      <c r="J13049" s="0" t="s">
        <v>43498</v>
      </c>
      <c r="K13049" s="0" t="s">
        <v>43499</v>
      </c>
      <c r="L13049" s="0" t="str">
        <f aca="false">HYPERLINK("https://www.ncbi.nlm.nih.gov/nuccore/CP000304.1?report=graph&amp;tracks=[key:gene_model_track,Options:GeneOnly]&amp;mk=3682542:3682561|offset_21|444444,3682565:3682584|offset_44|444444,3682606:3682625|offset_85|444444,3682635:3682654|offset_114|00cc00&amp;v=3682341:3682854&amp;c=444444", "offset 114")</f>
        <v>offset 114</v>
      </c>
    </row>
    <row r="13050" customFormat="false" ht="12.8" hidden="false" customHeight="false" outlineLevel="0" collapsed="false">
      <c r="A13050" s="0" t="s">
        <v>12</v>
      </c>
      <c r="B13050" s="0" t="n">
        <v>3683323</v>
      </c>
      <c r="C13050" s="0" t="n">
        <v>3683343</v>
      </c>
      <c r="D13050" s="0" t="s">
        <v>43500</v>
      </c>
      <c r="E13050" s="0" t="s">
        <v>89</v>
      </c>
      <c r="F13050" s="0" t="s">
        <v>15</v>
      </c>
      <c r="G13050" s="0" t="s">
        <v>26</v>
      </c>
      <c r="H13050" s="0" t="n">
        <v>74</v>
      </c>
      <c r="I13050" s="0" t="s">
        <v>43501</v>
      </c>
      <c r="J13050" s="0" t="s">
        <v>43502</v>
      </c>
      <c r="K13050" s="0" t="s">
        <v>43503</v>
      </c>
      <c r="L13050" s="0" t="str">
        <f aca="false">HYPERLINK("https://www.ncbi.nlm.nih.gov/nuccore/CP000304.1?report=graph&amp;tracks=[key:gene_model_track,Options:GeneOnly]&amp;mk=3683324:3683343|offset_74|00cc00,3683357:3683376|offset_107|444444,3683404:3683423|offset_154|444444,3683433:3683452|offset_183|444444&amp;v=3683123:3683652&amp;c=444444", "offset 74")</f>
        <v>offset 74</v>
      </c>
    </row>
    <row r="13051" customFormat="false" ht="12.8" hidden="false" customHeight="false" outlineLevel="0" collapsed="false">
      <c r="A13051" s="0" t="s">
        <v>12</v>
      </c>
      <c r="B13051" s="0" t="n">
        <v>3683356</v>
      </c>
      <c r="C13051" s="0" t="n">
        <v>3683376</v>
      </c>
      <c r="D13051" s="0" t="s">
        <v>43500</v>
      </c>
      <c r="E13051" s="0" t="s">
        <v>89</v>
      </c>
      <c r="F13051" s="0" t="s">
        <v>15</v>
      </c>
      <c r="G13051" s="0" t="s">
        <v>26</v>
      </c>
      <c r="H13051" s="0" t="n">
        <v>107</v>
      </c>
      <c r="I13051" s="0" t="s">
        <v>43504</v>
      </c>
      <c r="J13051" s="0" t="s">
        <v>43505</v>
      </c>
      <c r="K13051" s="0" t="s">
        <v>43506</v>
      </c>
      <c r="L13051" s="0" t="str">
        <f aca="false">HYPERLINK("https://www.ncbi.nlm.nih.gov/nuccore/CP000304.1?report=graph&amp;tracks=[key:gene_model_track,Options:GeneOnly]&amp;mk=3683324:3683343|offset_74|444444,3683357:3683376|offset_107|00cc00,3683404:3683423|offset_154|444444,3683433:3683452|offset_183|444444&amp;v=3683123:3683652&amp;c=444444", "offset 107")</f>
        <v>offset 107</v>
      </c>
    </row>
    <row r="13052" customFormat="false" ht="12.8" hidden="false" customHeight="false" outlineLevel="0" collapsed="false">
      <c r="A13052" s="0" t="s">
        <v>12</v>
      </c>
      <c r="B13052" s="0" t="n">
        <v>3683403</v>
      </c>
      <c r="C13052" s="0" t="n">
        <v>3683423</v>
      </c>
      <c r="D13052" s="0" t="s">
        <v>43500</v>
      </c>
      <c r="E13052" s="0" t="s">
        <v>89</v>
      </c>
      <c r="F13052" s="0" t="s">
        <v>15</v>
      </c>
      <c r="G13052" s="0" t="s">
        <v>16</v>
      </c>
      <c r="H13052" s="0" t="n">
        <v>154</v>
      </c>
      <c r="I13052" s="0" t="s">
        <v>43507</v>
      </c>
      <c r="J13052" s="0" t="s">
        <v>43508</v>
      </c>
      <c r="K13052" s="0" t="s">
        <v>43509</v>
      </c>
      <c r="L13052" s="0" t="str">
        <f aca="false">HYPERLINK("https://www.ncbi.nlm.nih.gov/nuccore/CP000304.1?report=graph&amp;tracks=[key:gene_model_track,Options:GeneOnly]&amp;mk=3683324:3683343|offset_74|444444,3683357:3683376|offset_107|444444,3683404:3683423|offset_154|00cc00,3683433:3683452|offset_183|444444&amp;v=3683123:3683652&amp;c=444444", "offset 154")</f>
        <v>offset 154</v>
      </c>
    </row>
    <row r="13053" customFormat="false" ht="12.8" hidden="false" customHeight="false" outlineLevel="0" collapsed="false">
      <c r="A13053" s="0" t="s">
        <v>12</v>
      </c>
      <c r="B13053" s="0" t="n">
        <v>3683432</v>
      </c>
      <c r="C13053" s="0" t="n">
        <v>3683452</v>
      </c>
      <c r="D13053" s="0" t="s">
        <v>43500</v>
      </c>
      <c r="E13053" s="0" t="s">
        <v>89</v>
      </c>
      <c r="F13053" s="0" t="s">
        <v>15</v>
      </c>
      <c r="G13053" s="0" t="s">
        <v>32</v>
      </c>
      <c r="H13053" s="0" t="n">
        <v>183</v>
      </c>
      <c r="I13053" s="0" t="s">
        <v>43510</v>
      </c>
      <c r="J13053" s="0" t="s">
        <v>43511</v>
      </c>
      <c r="K13053" s="0" t="s">
        <v>43512</v>
      </c>
      <c r="L13053" s="0" t="str">
        <f aca="false">HYPERLINK("https://www.ncbi.nlm.nih.gov/nuccore/CP000304.1?report=graph&amp;tracks=[key:gene_model_track,Options:GeneOnly]&amp;mk=3683324:3683343|offset_74|444444,3683357:3683376|offset_107|444444,3683404:3683423|offset_154|444444,3683433:3683452|offset_183|00cc00&amp;v=3683123:3683652&amp;c=444444", "offset 183")</f>
        <v>offset 183</v>
      </c>
    </row>
    <row r="13054" customFormat="false" ht="12.8" hidden="false" customHeight="false" outlineLevel="0" collapsed="false">
      <c r="A13054" s="0" t="s">
        <v>12</v>
      </c>
      <c r="B13054" s="0" t="n">
        <v>3684795</v>
      </c>
      <c r="C13054" s="0" t="n">
        <v>3684815</v>
      </c>
      <c r="D13054" s="0" t="s">
        <v>43513</v>
      </c>
      <c r="E13054" s="0" t="s">
        <v>89</v>
      </c>
      <c r="F13054" s="0" t="s">
        <v>15</v>
      </c>
      <c r="G13054" s="0" t="s">
        <v>36</v>
      </c>
      <c r="H13054" s="0" t="n">
        <v>14</v>
      </c>
      <c r="I13054" s="0" t="s">
        <v>43514</v>
      </c>
      <c r="J13054" s="0" t="s">
        <v>43515</v>
      </c>
      <c r="K13054" s="0" t="s">
        <v>43516</v>
      </c>
      <c r="L13054" s="0" t="str">
        <f aca="false">HYPERLINK("https://www.ncbi.nlm.nih.gov/nuccore/CP000304.1?report=graph&amp;tracks=[key:gene_model_track,Options:GeneOnly]&amp;mk=3684796:3684815|offset_14|00cc00,3684846:3684865|offset_64|444444,3684868:3684887|offset_86|444444,3684958:3684977|offset_176|444444&amp;v=3684595:3685177&amp;c=444444", "offset 14")</f>
        <v>offset 14</v>
      </c>
    </row>
    <row r="13055" customFormat="false" ht="12.8" hidden="false" customHeight="false" outlineLevel="0" collapsed="false">
      <c r="A13055" s="0" t="s">
        <v>12</v>
      </c>
      <c r="B13055" s="0" t="n">
        <v>3684845</v>
      </c>
      <c r="C13055" s="0" t="n">
        <v>3684865</v>
      </c>
      <c r="D13055" s="0" t="s">
        <v>43513</v>
      </c>
      <c r="E13055" s="0" t="s">
        <v>89</v>
      </c>
      <c r="F13055" s="0" t="s">
        <v>15</v>
      </c>
      <c r="G13055" s="0" t="s">
        <v>36</v>
      </c>
      <c r="H13055" s="0" t="n">
        <v>64</v>
      </c>
      <c r="I13055" s="0" t="s">
        <v>43517</v>
      </c>
      <c r="J13055" s="0" t="s">
        <v>43518</v>
      </c>
      <c r="K13055" s="0" t="s">
        <v>43519</v>
      </c>
      <c r="L13055" s="0" t="str">
        <f aca="false">HYPERLINK("https://www.ncbi.nlm.nih.gov/nuccore/CP000304.1?report=graph&amp;tracks=[key:gene_model_track,Options:GeneOnly]&amp;mk=3684796:3684815|offset_14|444444,3684846:3684865|offset_64|00cc00,3684868:3684887|offset_86|444444,3684958:3684977|offset_176|444444&amp;v=3684595:3685177&amp;c=444444", "offset 64")</f>
        <v>offset 64</v>
      </c>
    </row>
    <row r="13056" customFormat="false" ht="12.8" hidden="false" customHeight="false" outlineLevel="0" collapsed="false">
      <c r="A13056" s="0" t="s">
        <v>12</v>
      </c>
      <c r="B13056" s="0" t="n">
        <v>3684867</v>
      </c>
      <c r="C13056" s="0" t="n">
        <v>3684887</v>
      </c>
      <c r="D13056" s="0" t="s">
        <v>43513</v>
      </c>
      <c r="E13056" s="0" t="s">
        <v>89</v>
      </c>
      <c r="F13056" s="0" t="s">
        <v>15</v>
      </c>
      <c r="G13056" s="0" t="s">
        <v>36</v>
      </c>
      <c r="H13056" s="0" t="n">
        <v>86</v>
      </c>
      <c r="I13056" s="0" t="s">
        <v>43520</v>
      </c>
      <c r="J13056" s="0" t="s">
        <v>43521</v>
      </c>
      <c r="K13056" s="0" t="s">
        <v>43522</v>
      </c>
      <c r="L13056" s="0" t="str">
        <f aca="false">HYPERLINK("https://www.ncbi.nlm.nih.gov/nuccore/CP000304.1?report=graph&amp;tracks=[key:gene_model_track,Options:GeneOnly]&amp;mk=3684796:3684815|offset_14|444444,3684846:3684865|offset_64|444444,3684868:3684887|offset_86|00cc00,3684958:3684977|offset_176|444444&amp;v=3684595:3685177&amp;c=444444", "offset 86")</f>
        <v>offset 86</v>
      </c>
    </row>
    <row r="13057" customFormat="false" ht="12.8" hidden="false" customHeight="false" outlineLevel="0" collapsed="false">
      <c r="A13057" s="0" t="s">
        <v>12</v>
      </c>
      <c r="B13057" s="0" t="n">
        <v>3684957</v>
      </c>
      <c r="C13057" s="0" t="n">
        <v>3684977</v>
      </c>
      <c r="D13057" s="0" t="s">
        <v>43513</v>
      </c>
      <c r="E13057" s="0" t="s">
        <v>89</v>
      </c>
      <c r="F13057" s="0" t="s">
        <v>15</v>
      </c>
      <c r="G13057" s="0" t="s">
        <v>16</v>
      </c>
      <c r="H13057" s="0" t="n">
        <v>176</v>
      </c>
      <c r="I13057" s="0" t="s">
        <v>43523</v>
      </c>
      <c r="J13057" s="0" t="s">
        <v>43524</v>
      </c>
      <c r="K13057" s="0" t="s">
        <v>43525</v>
      </c>
      <c r="L13057" s="0" t="str">
        <f aca="false">HYPERLINK("https://www.ncbi.nlm.nih.gov/nuccore/CP000304.1?report=graph&amp;tracks=[key:gene_model_track,Options:GeneOnly]&amp;mk=3684796:3684815|offset_14|444444,3684846:3684865|offset_64|444444,3684868:3684887|offset_86|444444,3684958:3684977|offset_176|00cc00&amp;v=3684595:3685177&amp;c=444444", "offset 176")</f>
        <v>offset 176</v>
      </c>
    </row>
    <row r="13058" customFormat="false" ht="12.8" hidden="false" customHeight="false" outlineLevel="0" collapsed="false">
      <c r="A13058" s="0" t="s">
        <v>12</v>
      </c>
      <c r="B13058" s="0" t="n">
        <v>3685640</v>
      </c>
      <c r="C13058" s="0" t="n">
        <v>3685660</v>
      </c>
      <c r="D13058" s="0" t="s">
        <v>43526</v>
      </c>
      <c r="E13058" s="0" t="s">
        <v>89</v>
      </c>
      <c r="F13058" s="0" t="s">
        <v>15</v>
      </c>
      <c r="G13058" s="0" t="s">
        <v>16</v>
      </c>
      <c r="H13058" s="0" t="n">
        <v>61</v>
      </c>
      <c r="I13058" s="0" t="s">
        <v>43527</v>
      </c>
      <c r="J13058" s="0" t="s">
        <v>43528</v>
      </c>
      <c r="K13058" s="0" t="s">
        <v>43529</v>
      </c>
      <c r="L13058" s="0" t="str">
        <f aca="false">HYPERLINK("https://www.ncbi.nlm.nih.gov/nuccore/CP000304.1?report=graph&amp;tracks=[key:gene_model_track,Options:GeneOnly]&amp;mk=3685641:3685660|offset_61|00cc00,3685689:3685708|offset_109|444444,3685734:3685753|offset_154|444444,3685755:3685774|offset_175|444444&amp;v=3685440:3685974&amp;c=444444", "offset 61")</f>
        <v>offset 61</v>
      </c>
    </row>
    <row r="13059" customFormat="false" ht="12.8" hidden="false" customHeight="false" outlineLevel="0" collapsed="false">
      <c r="A13059" s="0" t="s">
        <v>12</v>
      </c>
      <c r="B13059" s="0" t="n">
        <v>3685688</v>
      </c>
      <c r="C13059" s="0" t="n">
        <v>3685708</v>
      </c>
      <c r="D13059" s="0" t="s">
        <v>43526</v>
      </c>
      <c r="E13059" s="0" t="s">
        <v>89</v>
      </c>
      <c r="F13059" s="0" t="s">
        <v>15</v>
      </c>
      <c r="G13059" s="0" t="s">
        <v>26</v>
      </c>
      <c r="H13059" s="0" t="n">
        <v>109</v>
      </c>
      <c r="I13059" s="0" t="s">
        <v>43530</v>
      </c>
      <c r="J13059" s="0" t="s">
        <v>43531</v>
      </c>
      <c r="K13059" s="0" t="s">
        <v>43532</v>
      </c>
      <c r="L13059" s="0" t="str">
        <f aca="false">HYPERLINK("https://www.ncbi.nlm.nih.gov/nuccore/CP000304.1?report=graph&amp;tracks=[key:gene_model_track,Options:GeneOnly]&amp;mk=3685641:3685660|offset_61|444444,3685689:3685708|offset_109|00cc00,3685734:3685753|offset_154|444444,3685755:3685774|offset_175|444444&amp;v=3685440:3685974&amp;c=444444", "offset 109")</f>
        <v>offset 109</v>
      </c>
    </row>
    <row r="13060" customFormat="false" ht="12.8" hidden="false" customHeight="false" outlineLevel="0" collapsed="false">
      <c r="A13060" s="0" t="s">
        <v>12</v>
      </c>
      <c r="B13060" s="0" t="n">
        <v>3685733</v>
      </c>
      <c r="C13060" s="0" t="n">
        <v>3685753</v>
      </c>
      <c r="D13060" s="0" t="s">
        <v>43526</v>
      </c>
      <c r="E13060" s="0" t="s">
        <v>89</v>
      </c>
      <c r="F13060" s="0" t="s">
        <v>15</v>
      </c>
      <c r="G13060" s="0" t="s">
        <v>16</v>
      </c>
      <c r="H13060" s="0" t="n">
        <v>154</v>
      </c>
      <c r="I13060" s="0" t="s">
        <v>43533</v>
      </c>
      <c r="J13060" s="0" t="s">
        <v>43534</v>
      </c>
      <c r="K13060" s="0" t="s">
        <v>43535</v>
      </c>
      <c r="L13060" s="0" t="str">
        <f aca="false">HYPERLINK("https://www.ncbi.nlm.nih.gov/nuccore/CP000304.1?report=graph&amp;tracks=[key:gene_model_track,Options:GeneOnly]&amp;mk=3685641:3685660|offset_61|444444,3685689:3685708|offset_109|444444,3685734:3685753|offset_154|00cc00,3685755:3685774|offset_175|444444&amp;v=3685440:3685974&amp;c=444444", "offset 154")</f>
        <v>offset 154</v>
      </c>
    </row>
    <row r="13061" customFormat="false" ht="12.8" hidden="false" customHeight="false" outlineLevel="0" collapsed="false">
      <c r="A13061" s="0" t="s">
        <v>12</v>
      </c>
      <c r="B13061" s="0" t="n">
        <v>3685754</v>
      </c>
      <c r="C13061" s="0" t="n">
        <v>3685774</v>
      </c>
      <c r="D13061" s="0" t="s">
        <v>43526</v>
      </c>
      <c r="E13061" s="0" t="s">
        <v>89</v>
      </c>
      <c r="F13061" s="0" t="s">
        <v>15</v>
      </c>
      <c r="G13061" s="0" t="s">
        <v>26</v>
      </c>
      <c r="H13061" s="0" t="n">
        <v>175</v>
      </c>
      <c r="I13061" s="0" t="s">
        <v>43536</v>
      </c>
      <c r="J13061" s="0" t="s">
        <v>43537</v>
      </c>
      <c r="K13061" s="0" t="s">
        <v>43538</v>
      </c>
      <c r="L13061" s="0" t="str">
        <f aca="false">HYPERLINK("https://www.ncbi.nlm.nih.gov/nuccore/CP000304.1?report=graph&amp;tracks=[key:gene_model_track,Options:GeneOnly]&amp;mk=3685641:3685660|offset_61|444444,3685689:3685708|offset_109|444444,3685734:3685753|offset_154|444444,3685755:3685774|offset_175|00cc00&amp;v=3685440:3685974&amp;c=444444", "offset 175")</f>
        <v>offset 175</v>
      </c>
    </row>
    <row r="13062" customFormat="false" ht="12.8" hidden="false" customHeight="false" outlineLevel="0" collapsed="false">
      <c r="A13062" s="0" t="s">
        <v>12</v>
      </c>
      <c r="B13062" s="0" t="n">
        <v>3686338</v>
      </c>
      <c r="C13062" s="0" t="n">
        <v>3686358</v>
      </c>
      <c r="D13062" s="0" t="s">
        <v>43539</v>
      </c>
      <c r="E13062" s="0" t="s">
        <v>89</v>
      </c>
      <c r="F13062" s="0" t="s">
        <v>15</v>
      </c>
      <c r="G13062" s="0" t="s">
        <v>32</v>
      </c>
      <c r="H13062" s="0" t="n">
        <v>28</v>
      </c>
      <c r="I13062" s="0" t="s">
        <v>43540</v>
      </c>
      <c r="J13062" s="0" t="s">
        <v>43541</v>
      </c>
      <c r="K13062" s="0" t="s">
        <v>43542</v>
      </c>
      <c r="L13062" s="0" t="str">
        <f aca="false">HYPERLINK("https://www.ncbi.nlm.nih.gov/nuccore/CP000304.1?report=graph&amp;tracks=[key:gene_model_track,Options:GeneOnly]&amp;mk=3686339:3686358|offset_28|00cc00,3686382:3686401|offset_71|444444,3686430:3686449|offset_119|444444,3686464:3686483|offset_153|444444&amp;v=3686138:3686683&amp;c=444444", "offset 28")</f>
        <v>offset 28</v>
      </c>
    </row>
    <row r="13063" customFormat="false" ht="12.8" hidden="false" customHeight="false" outlineLevel="0" collapsed="false">
      <c r="A13063" s="0" t="s">
        <v>12</v>
      </c>
      <c r="B13063" s="0" t="n">
        <v>3686381</v>
      </c>
      <c r="C13063" s="0" t="n">
        <v>3686401</v>
      </c>
      <c r="D13063" s="0" t="s">
        <v>43539</v>
      </c>
      <c r="E13063" s="0" t="s">
        <v>89</v>
      </c>
      <c r="F13063" s="0" t="s">
        <v>15</v>
      </c>
      <c r="G13063" s="0" t="s">
        <v>32</v>
      </c>
      <c r="H13063" s="0" t="n">
        <v>71</v>
      </c>
      <c r="I13063" s="0" t="s">
        <v>43543</v>
      </c>
      <c r="J13063" s="0" t="s">
        <v>43544</v>
      </c>
      <c r="K13063" s="0" t="s">
        <v>43545</v>
      </c>
      <c r="L13063" s="0" t="str">
        <f aca="false">HYPERLINK("https://www.ncbi.nlm.nih.gov/nuccore/CP000304.1?report=graph&amp;tracks=[key:gene_model_track,Options:GeneOnly]&amp;mk=3686339:3686358|offset_28|444444,3686382:3686401|offset_71|00cc00,3686430:3686449|offset_119|444444,3686464:3686483|offset_153|444444&amp;v=3686138:3686683&amp;c=444444", "offset 71")</f>
        <v>offset 71</v>
      </c>
    </row>
    <row r="13064" customFormat="false" ht="12.8" hidden="false" customHeight="false" outlineLevel="0" collapsed="false">
      <c r="A13064" s="0" t="s">
        <v>12</v>
      </c>
      <c r="B13064" s="0" t="n">
        <v>3686429</v>
      </c>
      <c r="C13064" s="0" t="n">
        <v>3686449</v>
      </c>
      <c r="D13064" s="0" t="s">
        <v>43539</v>
      </c>
      <c r="E13064" s="0" t="s">
        <v>89</v>
      </c>
      <c r="F13064" s="0" t="s">
        <v>15</v>
      </c>
      <c r="G13064" s="0" t="s">
        <v>32</v>
      </c>
      <c r="H13064" s="0" t="n">
        <v>119</v>
      </c>
      <c r="I13064" s="0" t="s">
        <v>43546</v>
      </c>
      <c r="J13064" s="0" t="s">
        <v>43547</v>
      </c>
      <c r="K13064" s="0" t="s">
        <v>43548</v>
      </c>
      <c r="L13064" s="0" t="str">
        <f aca="false">HYPERLINK("https://www.ncbi.nlm.nih.gov/nuccore/CP000304.1?report=graph&amp;tracks=[key:gene_model_track,Options:GeneOnly]&amp;mk=3686339:3686358|offset_28|444444,3686382:3686401|offset_71|444444,3686430:3686449|offset_119|00cc00,3686464:3686483|offset_153|444444&amp;v=3686138:3686683&amp;c=444444", "offset 119")</f>
        <v>offset 119</v>
      </c>
    </row>
    <row r="13065" customFormat="false" ht="12.8" hidden="false" customHeight="false" outlineLevel="0" collapsed="false">
      <c r="A13065" s="0" t="s">
        <v>12</v>
      </c>
      <c r="B13065" s="0" t="n">
        <v>3686463</v>
      </c>
      <c r="C13065" s="0" t="n">
        <v>3686483</v>
      </c>
      <c r="D13065" s="0" t="s">
        <v>43539</v>
      </c>
      <c r="E13065" s="0" t="s">
        <v>89</v>
      </c>
      <c r="F13065" s="0" t="s">
        <v>15</v>
      </c>
      <c r="G13065" s="0" t="s">
        <v>32</v>
      </c>
      <c r="H13065" s="0" t="n">
        <v>153</v>
      </c>
      <c r="I13065" s="0" t="s">
        <v>43549</v>
      </c>
      <c r="J13065" s="0" t="s">
        <v>43550</v>
      </c>
      <c r="K13065" s="0" t="s">
        <v>43551</v>
      </c>
      <c r="L13065" s="0" t="str">
        <f aca="false">HYPERLINK("https://www.ncbi.nlm.nih.gov/nuccore/CP000304.1?report=graph&amp;tracks=[key:gene_model_track,Options:GeneOnly]&amp;mk=3686339:3686358|offset_28|444444,3686382:3686401|offset_71|444444,3686430:3686449|offset_119|444444,3686464:3686483|offset_153|00cc00&amp;v=3686138:3686683&amp;c=444444", "offset 153")</f>
        <v>offset 153</v>
      </c>
    </row>
    <row r="13066" customFormat="false" ht="12.8" hidden="false" customHeight="false" outlineLevel="0" collapsed="false">
      <c r="A13066" s="0" t="s">
        <v>12</v>
      </c>
      <c r="B13066" s="0" t="n">
        <v>3688514</v>
      </c>
      <c r="C13066" s="0" t="n">
        <v>3688534</v>
      </c>
      <c r="D13066" s="0" t="s">
        <v>43552</v>
      </c>
      <c r="E13066" s="0" t="s">
        <v>89</v>
      </c>
      <c r="F13066" s="0" t="s">
        <v>90</v>
      </c>
      <c r="G13066" s="0" t="s">
        <v>36</v>
      </c>
      <c r="H13066" s="0" t="n">
        <v>18</v>
      </c>
      <c r="I13066" s="0" t="s">
        <v>43553</v>
      </c>
      <c r="J13066" s="0" t="s">
        <v>43554</v>
      </c>
      <c r="K13066" s="0" t="s">
        <v>43555</v>
      </c>
      <c r="L13066" s="0" t="str">
        <f aca="false">HYPERLINK("https://www.ncbi.nlm.nih.gov/nuccore/CP000304.1?report=graph&amp;tracks=[key:gene_model_track,Options:GeneOnly]&amp;mk=3688515:3688534|offset_18|00cc00,3688449:3688468|offset_84|444444,3688420:3688439|offset_113|444444,3688400:3688419|offset_133|444444&amp;v=3688314:3688619&amp;c=444444", "offset 18")</f>
        <v>offset 18</v>
      </c>
    </row>
    <row r="13067" customFormat="false" ht="12.8" hidden="false" customHeight="false" outlineLevel="0" collapsed="false">
      <c r="A13067" s="0" t="s">
        <v>12</v>
      </c>
      <c r="B13067" s="0" t="n">
        <v>3688448</v>
      </c>
      <c r="C13067" s="0" t="n">
        <v>3688468</v>
      </c>
      <c r="D13067" s="0" t="s">
        <v>43552</v>
      </c>
      <c r="E13067" s="0" t="s">
        <v>89</v>
      </c>
      <c r="F13067" s="0" t="s">
        <v>90</v>
      </c>
      <c r="G13067" s="0" t="s">
        <v>26</v>
      </c>
      <c r="H13067" s="0" t="n">
        <v>84</v>
      </c>
      <c r="I13067" s="0" t="s">
        <v>43556</v>
      </c>
      <c r="J13067" s="0" t="s">
        <v>43557</v>
      </c>
      <c r="K13067" s="0" t="s">
        <v>43558</v>
      </c>
      <c r="L13067" s="0" t="str">
        <f aca="false">HYPERLINK("https://www.ncbi.nlm.nih.gov/nuccore/CP000304.1?report=graph&amp;tracks=[key:gene_model_track,Options:GeneOnly]&amp;mk=3688515:3688534|offset_18|444444,3688449:3688468|offset_84|00cc00,3688420:3688439|offset_113|444444,3688400:3688419|offset_133|444444&amp;v=3688314:3688619&amp;c=444444", "offset 84")</f>
        <v>offset 84</v>
      </c>
    </row>
    <row r="13068" customFormat="false" ht="12.8" hidden="false" customHeight="false" outlineLevel="0" collapsed="false">
      <c r="A13068" s="0" t="s">
        <v>12</v>
      </c>
      <c r="B13068" s="0" t="n">
        <v>3688419</v>
      </c>
      <c r="C13068" s="0" t="n">
        <v>3688439</v>
      </c>
      <c r="D13068" s="0" t="s">
        <v>43552</v>
      </c>
      <c r="E13068" s="0" t="s">
        <v>89</v>
      </c>
      <c r="F13068" s="0" t="s">
        <v>90</v>
      </c>
      <c r="G13068" s="0" t="s">
        <v>36</v>
      </c>
      <c r="H13068" s="0" t="n">
        <v>113</v>
      </c>
      <c r="I13068" s="0" t="s">
        <v>43559</v>
      </c>
      <c r="J13068" s="0" t="s">
        <v>43560</v>
      </c>
      <c r="K13068" s="0" t="s">
        <v>43561</v>
      </c>
      <c r="L13068" s="0" t="str">
        <f aca="false">HYPERLINK("https://www.ncbi.nlm.nih.gov/nuccore/CP000304.1?report=graph&amp;tracks=[key:gene_model_track,Options:GeneOnly]&amp;mk=3688515:3688534|offset_18|444444,3688449:3688468|offset_84|444444,3688420:3688439|offset_113|00cc00,3688400:3688419|offset_133|444444&amp;v=3688314:3688619&amp;c=444444", "offset 113")</f>
        <v>offset 113</v>
      </c>
    </row>
    <row r="13069" customFormat="false" ht="12.8" hidden="false" customHeight="false" outlineLevel="0" collapsed="false">
      <c r="A13069" s="0" t="s">
        <v>12</v>
      </c>
      <c r="B13069" s="0" t="n">
        <v>3688399</v>
      </c>
      <c r="C13069" s="0" t="n">
        <v>3688419</v>
      </c>
      <c r="D13069" s="0" t="s">
        <v>43552</v>
      </c>
      <c r="E13069" s="0" t="s">
        <v>89</v>
      </c>
      <c r="F13069" s="0" t="s">
        <v>90</v>
      </c>
      <c r="G13069" s="0" t="s">
        <v>32</v>
      </c>
      <c r="H13069" s="0" t="n">
        <v>133</v>
      </c>
      <c r="I13069" s="0" t="s">
        <v>43562</v>
      </c>
      <c r="J13069" s="0" t="s">
        <v>43563</v>
      </c>
      <c r="K13069" s="0" t="s">
        <v>43564</v>
      </c>
      <c r="L13069" s="0" t="str">
        <f aca="false">HYPERLINK("https://www.ncbi.nlm.nih.gov/nuccore/CP000304.1?report=graph&amp;tracks=[key:gene_model_track,Options:GeneOnly]&amp;mk=3688515:3688534|offset_18|444444,3688449:3688468|offset_84|444444,3688420:3688439|offset_113|444444,3688400:3688419|offset_133|00cc00&amp;v=3688314:3688619&amp;c=444444", "offset 133")</f>
        <v>offset 133</v>
      </c>
    </row>
    <row r="13070" customFormat="false" ht="12.8" hidden="false" customHeight="false" outlineLevel="0" collapsed="false">
      <c r="A13070" s="0" t="s">
        <v>12</v>
      </c>
      <c r="B13070" s="0" t="n">
        <v>3688724</v>
      </c>
      <c r="C13070" s="0" t="n">
        <v>3688744</v>
      </c>
      <c r="D13070" s="0" t="s">
        <v>43565</v>
      </c>
      <c r="E13070" s="0" t="s">
        <v>89</v>
      </c>
      <c r="F13070" s="0" t="s">
        <v>15</v>
      </c>
      <c r="G13070" s="0" t="s">
        <v>36</v>
      </c>
      <c r="H13070" s="0" t="n">
        <v>22</v>
      </c>
      <c r="I13070" s="0" t="s">
        <v>43566</v>
      </c>
      <c r="J13070" s="0" t="s">
        <v>43567</v>
      </c>
      <c r="K13070" s="0" t="s">
        <v>43568</v>
      </c>
      <c r="L13070" s="0" t="str">
        <f aca="false">HYPERLINK("https://www.ncbi.nlm.nih.gov/nuccore/CP000304.1?report=graph&amp;tracks=[key:gene_model_track,Options:GeneOnly]&amp;mk=3688725:3688744|offset_22|00cc00,3688796:3688815|offset_93|444444,3688816:3688835|offset_113|444444,3688840:3688859|offset_137|444444&amp;v=3688524:3689059&amp;c=444444", "offset 22")</f>
        <v>offset 22</v>
      </c>
    </row>
    <row r="13071" customFormat="false" ht="12.8" hidden="false" customHeight="false" outlineLevel="0" collapsed="false">
      <c r="A13071" s="0" t="s">
        <v>12</v>
      </c>
      <c r="B13071" s="0" t="n">
        <v>3688795</v>
      </c>
      <c r="C13071" s="0" t="n">
        <v>3688815</v>
      </c>
      <c r="D13071" s="0" t="s">
        <v>43565</v>
      </c>
      <c r="E13071" s="0" t="s">
        <v>89</v>
      </c>
      <c r="F13071" s="0" t="s">
        <v>15</v>
      </c>
      <c r="G13071" s="0" t="s">
        <v>32</v>
      </c>
      <c r="H13071" s="0" t="n">
        <v>93</v>
      </c>
      <c r="I13071" s="0" t="s">
        <v>43569</v>
      </c>
      <c r="J13071" s="0" t="s">
        <v>43570</v>
      </c>
      <c r="K13071" s="0" t="s">
        <v>43571</v>
      </c>
      <c r="L13071" s="0" t="str">
        <f aca="false">HYPERLINK("https://www.ncbi.nlm.nih.gov/nuccore/CP000304.1?report=graph&amp;tracks=[key:gene_model_track,Options:GeneOnly]&amp;mk=3688725:3688744|offset_22|444444,3688796:3688815|offset_93|00cc00,3688816:3688835|offset_113|444444,3688840:3688859|offset_137|444444&amp;v=3688524:3689059&amp;c=444444", "offset 93")</f>
        <v>offset 93</v>
      </c>
    </row>
    <row r="13072" customFormat="false" ht="12.8" hidden="false" customHeight="false" outlineLevel="0" collapsed="false">
      <c r="A13072" s="0" t="s">
        <v>12</v>
      </c>
      <c r="B13072" s="0" t="n">
        <v>3688815</v>
      </c>
      <c r="C13072" s="0" t="n">
        <v>3688835</v>
      </c>
      <c r="D13072" s="0" t="s">
        <v>43565</v>
      </c>
      <c r="E13072" s="0" t="s">
        <v>89</v>
      </c>
      <c r="F13072" s="0" t="s">
        <v>15</v>
      </c>
      <c r="G13072" s="0" t="s">
        <v>26</v>
      </c>
      <c r="H13072" s="0" t="n">
        <v>113</v>
      </c>
      <c r="I13072" s="0" t="s">
        <v>43572</v>
      </c>
      <c r="J13072" s="0" t="s">
        <v>43573</v>
      </c>
      <c r="K13072" s="0" t="s">
        <v>43574</v>
      </c>
      <c r="L13072" s="0" t="str">
        <f aca="false">HYPERLINK("https://www.ncbi.nlm.nih.gov/nuccore/CP000304.1?report=graph&amp;tracks=[key:gene_model_track,Options:GeneOnly]&amp;mk=3688725:3688744|offset_22|444444,3688796:3688815|offset_93|444444,3688816:3688835|offset_113|00cc00,3688840:3688859|offset_137|444444&amp;v=3688524:3689059&amp;c=444444", "offset 113")</f>
        <v>offset 113</v>
      </c>
    </row>
    <row r="13073" customFormat="false" ht="12.8" hidden="false" customHeight="false" outlineLevel="0" collapsed="false">
      <c r="A13073" s="0" t="s">
        <v>12</v>
      </c>
      <c r="B13073" s="0" t="n">
        <v>3688839</v>
      </c>
      <c r="C13073" s="0" t="n">
        <v>3688859</v>
      </c>
      <c r="D13073" s="0" t="s">
        <v>43565</v>
      </c>
      <c r="E13073" s="0" t="s">
        <v>89</v>
      </c>
      <c r="F13073" s="0" t="s">
        <v>15</v>
      </c>
      <c r="G13073" s="0" t="s">
        <v>36</v>
      </c>
      <c r="H13073" s="0" t="n">
        <v>137</v>
      </c>
      <c r="I13073" s="0" t="s">
        <v>43575</v>
      </c>
      <c r="J13073" s="0" t="s">
        <v>43576</v>
      </c>
      <c r="K13073" s="0" t="s">
        <v>43577</v>
      </c>
      <c r="L13073" s="0" t="str">
        <f aca="false">HYPERLINK("https://www.ncbi.nlm.nih.gov/nuccore/CP000304.1?report=graph&amp;tracks=[key:gene_model_track,Options:GeneOnly]&amp;mk=3688725:3688744|offset_22|444444,3688796:3688815|offset_93|444444,3688816:3688835|offset_113|444444,3688840:3688859|offset_137|00cc00&amp;v=3688524:3689059&amp;c=444444", "offset 137")</f>
        <v>offset 137</v>
      </c>
    </row>
    <row r="13074" customFormat="false" ht="12.8" hidden="false" customHeight="false" outlineLevel="0" collapsed="false">
      <c r="A13074" s="0" t="s">
        <v>12</v>
      </c>
      <c r="B13074" s="0" t="n">
        <v>3689458</v>
      </c>
      <c r="C13074" s="0" t="n">
        <v>3689478</v>
      </c>
      <c r="D13074" s="0" t="s">
        <v>43578</v>
      </c>
      <c r="E13074" s="0" t="s">
        <v>89</v>
      </c>
      <c r="F13074" s="0" t="s">
        <v>15</v>
      </c>
      <c r="G13074" s="0" t="s">
        <v>32</v>
      </c>
      <c r="H13074" s="0" t="n">
        <v>44</v>
      </c>
      <c r="I13074" s="0" t="s">
        <v>43579</v>
      </c>
      <c r="J13074" s="0" t="s">
        <v>43580</v>
      </c>
      <c r="K13074" s="0" t="s">
        <v>43581</v>
      </c>
      <c r="L13074" s="0" t="str">
        <f aca="false">HYPERLINK("https://www.ncbi.nlm.nih.gov/nuccore/CP000304.1?report=graph&amp;tracks=[key:gene_model_track,Options:GeneOnly]&amp;mk=3689459:3689478|offset_44|00cc00,3689481:3689500|offset_66|444444,3689504:3689523|offset_89|444444,3689526:3689545|offset_111|444444&amp;v=3689258:3689745&amp;c=444444", "offset 44")</f>
        <v>offset 44</v>
      </c>
    </row>
    <row r="13075" customFormat="false" ht="12.8" hidden="false" customHeight="false" outlineLevel="0" collapsed="false">
      <c r="A13075" s="0" t="s">
        <v>12</v>
      </c>
      <c r="B13075" s="0" t="n">
        <v>3689480</v>
      </c>
      <c r="C13075" s="0" t="n">
        <v>3689500</v>
      </c>
      <c r="D13075" s="0" t="s">
        <v>43578</v>
      </c>
      <c r="E13075" s="0" t="s">
        <v>89</v>
      </c>
      <c r="F13075" s="0" t="s">
        <v>15</v>
      </c>
      <c r="G13075" s="0" t="s">
        <v>26</v>
      </c>
      <c r="H13075" s="0" t="n">
        <v>66</v>
      </c>
      <c r="I13075" s="0" t="s">
        <v>43582</v>
      </c>
      <c r="J13075" s="0" t="s">
        <v>43583</v>
      </c>
      <c r="K13075" s="0" t="s">
        <v>43584</v>
      </c>
      <c r="L13075" s="0" t="str">
        <f aca="false">HYPERLINK("https://www.ncbi.nlm.nih.gov/nuccore/CP000304.1?report=graph&amp;tracks=[key:gene_model_track,Options:GeneOnly]&amp;mk=3689459:3689478|offset_44|444444,3689481:3689500|offset_66|00cc00,3689504:3689523|offset_89|444444,3689526:3689545|offset_111|444444&amp;v=3689258:3689745&amp;c=444444", "offset 66")</f>
        <v>offset 66</v>
      </c>
    </row>
    <row r="13076" customFormat="false" ht="12.8" hidden="false" customHeight="false" outlineLevel="0" collapsed="false">
      <c r="A13076" s="0" t="s">
        <v>12</v>
      </c>
      <c r="B13076" s="0" t="n">
        <v>3689503</v>
      </c>
      <c r="C13076" s="0" t="n">
        <v>3689523</v>
      </c>
      <c r="D13076" s="0" t="s">
        <v>43578</v>
      </c>
      <c r="E13076" s="0" t="s">
        <v>89</v>
      </c>
      <c r="F13076" s="0" t="s">
        <v>15</v>
      </c>
      <c r="G13076" s="0" t="s">
        <v>26</v>
      </c>
      <c r="H13076" s="0" t="n">
        <v>89</v>
      </c>
      <c r="I13076" s="0" t="s">
        <v>43585</v>
      </c>
      <c r="J13076" s="0" t="s">
        <v>43586</v>
      </c>
      <c r="K13076" s="0" t="s">
        <v>43587</v>
      </c>
      <c r="L13076" s="0" t="str">
        <f aca="false">HYPERLINK("https://www.ncbi.nlm.nih.gov/nuccore/CP000304.1?report=graph&amp;tracks=[key:gene_model_track,Options:GeneOnly]&amp;mk=3689459:3689478|offset_44|444444,3689481:3689500|offset_66|444444,3689504:3689523|offset_89|00cc00,3689526:3689545|offset_111|444444&amp;v=3689258:3689745&amp;c=444444", "offset 89")</f>
        <v>offset 89</v>
      </c>
    </row>
    <row r="13077" customFormat="false" ht="12.8" hidden="false" customHeight="false" outlineLevel="0" collapsed="false">
      <c r="A13077" s="0" t="s">
        <v>12</v>
      </c>
      <c r="B13077" s="0" t="n">
        <v>3689525</v>
      </c>
      <c r="C13077" s="0" t="n">
        <v>3689545</v>
      </c>
      <c r="D13077" s="0" t="s">
        <v>43578</v>
      </c>
      <c r="E13077" s="0" t="s">
        <v>89</v>
      </c>
      <c r="F13077" s="0" t="s">
        <v>15</v>
      </c>
      <c r="G13077" s="0" t="s">
        <v>32</v>
      </c>
      <c r="H13077" s="0" t="n">
        <v>111</v>
      </c>
      <c r="I13077" s="0" t="s">
        <v>43588</v>
      </c>
      <c r="J13077" s="0" t="s">
        <v>43589</v>
      </c>
      <c r="K13077" s="0" t="s">
        <v>43590</v>
      </c>
      <c r="L13077" s="0" t="str">
        <f aca="false">HYPERLINK("https://www.ncbi.nlm.nih.gov/nuccore/CP000304.1?report=graph&amp;tracks=[key:gene_model_track,Options:GeneOnly]&amp;mk=3689459:3689478|offset_44|444444,3689481:3689500|offset_66|444444,3689504:3689523|offset_89|444444,3689526:3689545|offset_111|00cc00&amp;v=3689258:3689745&amp;c=444444", "offset 111")</f>
        <v>offset 111</v>
      </c>
    </row>
    <row r="13078" customFormat="false" ht="12.8" hidden="false" customHeight="false" outlineLevel="0" collapsed="false">
      <c r="A13078" s="0" t="s">
        <v>12</v>
      </c>
      <c r="B13078" s="0" t="n">
        <v>3690991</v>
      </c>
      <c r="C13078" s="0" t="n">
        <v>3691011</v>
      </c>
      <c r="D13078" s="0" t="s">
        <v>43591</v>
      </c>
      <c r="E13078" s="0" t="s">
        <v>89</v>
      </c>
      <c r="F13078" s="0" t="s">
        <v>90</v>
      </c>
      <c r="G13078" s="0" t="s">
        <v>16</v>
      </c>
      <c r="H13078" s="0" t="n">
        <v>13</v>
      </c>
      <c r="I13078" s="0" t="s">
        <v>43592</v>
      </c>
      <c r="J13078" s="0" t="s">
        <v>43593</v>
      </c>
      <c r="K13078" s="0" t="s">
        <v>43594</v>
      </c>
      <c r="L13078" s="0" t="str">
        <f aca="false">HYPERLINK("https://www.ncbi.nlm.nih.gov/nuccore/CP000304.1?report=graph&amp;tracks=[key:gene_model_track,Options:GeneOnly]&amp;mk=3690992:3691011|offset_13|00cc00,3690959:3690978|offset_46|444444,3690932:3690951|offset_73|444444,3690899:3690918|offset_106|444444&amp;v=3690791:3691118&amp;c=444444", "offset 13")</f>
        <v>offset 13</v>
      </c>
    </row>
    <row r="13079" customFormat="false" ht="12.8" hidden="false" customHeight="false" outlineLevel="0" collapsed="false">
      <c r="A13079" s="0" t="s">
        <v>12</v>
      </c>
      <c r="B13079" s="0" t="n">
        <v>3690958</v>
      </c>
      <c r="C13079" s="0" t="n">
        <v>3690978</v>
      </c>
      <c r="D13079" s="0" t="s">
        <v>43591</v>
      </c>
      <c r="E13079" s="0" t="s">
        <v>89</v>
      </c>
      <c r="F13079" s="0" t="s">
        <v>90</v>
      </c>
      <c r="G13079" s="0" t="s">
        <v>16</v>
      </c>
      <c r="H13079" s="0" t="n">
        <v>46</v>
      </c>
      <c r="I13079" s="0" t="s">
        <v>43595</v>
      </c>
      <c r="J13079" s="0" t="s">
        <v>43596</v>
      </c>
      <c r="K13079" s="0" t="s">
        <v>43597</v>
      </c>
      <c r="L13079" s="0" t="str">
        <f aca="false">HYPERLINK("https://www.ncbi.nlm.nih.gov/nuccore/CP000304.1?report=graph&amp;tracks=[key:gene_model_track,Options:GeneOnly]&amp;mk=3690992:3691011|offset_13|444444,3690959:3690978|offset_46|00cc00,3690932:3690951|offset_73|444444,3690899:3690918|offset_106|444444&amp;v=3690791:3691118&amp;c=444444", "offset 46")</f>
        <v>offset 46</v>
      </c>
    </row>
    <row r="13080" customFormat="false" ht="12.8" hidden="false" customHeight="false" outlineLevel="0" collapsed="false">
      <c r="A13080" s="0" t="s">
        <v>12</v>
      </c>
      <c r="B13080" s="0" t="n">
        <v>3690931</v>
      </c>
      <c r="C13080" s="0" t="n">
        <v>3690951</v>
      </c>
      <c r="D13080" s="0" t="s">
        <v>43591</v>
      </c>
      <c r="E13080" s="0" t="s">
        <v>89</v>
      </c>
      <c r="F13080" s="0" t="s">
        <v>90</v>
      </c>
      <c r="G13080" s="0" t="s">
        <v>16</v>
      </c>
      <c r="H13080" s="0" t="n">
        <v>73</v>
      </c>
      <c r="I13080" s="0" t="s">
        <v>43598</v>
      </c>
      <c r="J13080" s="0" t="s">
        <v>43599</v>
      </c>
      <c r="K13080" s="0" t="s">
        <v>43600</v>
      </c>
      <c r="L13080" s="0" t="str">
        <f aca="false">HYPERLINK("https://www.ncbi.nlm.nih.gov/nuccore/CP000304.1?report=graph&amp;tracks=[key:gene_model_track,Options:GeneOnly]&amp;mk=3690992:3691011|offset_13|444444,3690959:3690978|offset_46|444444,3690932:3690951|offset_73|00cc00,3690899:3690918|offset_106|444444&amp;v=3690791:3691118&amp;c=444444", "offset 73")</f>
        <v>offset 73</v>
      </c>
    </row>
    <row r="13081" customFormat="false" ht="12.8" hidden="false" customHeight="false" outlineLevel="0" collapsed="false">
      <c r="A13081" s="0" t="s">
        <v>12</v>
      </c>
      <c r="B13081" s="0" t="n">
        <v>3690898</v>
      </c>
      <c r="C13081" s="0" t="n">
        <v>3690918</v>
      </c>
      <c r="D13081" s="0" t="s">
        <v>43591</v>
      </c>
      <c r="E13081" s="0" t="s">
        <v>89</v>
      </c>
      <c r="F13081" s="0" t="s">
        <v>90</v>
      </c>
      <c r="G13081" s="0" t="s">
        <v>16</v>
      </c>
      <c r="H13081" s="0" t="n">
        <v>106</v>
      </c>
      <c r="I13081" s="0" t="s">
        <v>43601</v>
      </c>
      <c r="J13081" s="0" t="s">
        <v>43602</v>
      </c>
      <c r="K13081" s="0" t="s">
        <v>43603</v>
      </c>
      <c r="L13081" s="0" t="str">
        <f aca="false">HYPERLINK("https://www.ncbi.nlm.nih.gov/nuccore/CP000304.1?report=graph&amp;tracks=[key:gene_model_track,Options:GeneOnly]&amp;mk=3690992:3691011|offset_13|444444,3690959:3690978|offset_46|444444,3690932:3690951|offset_73|444444,3690899:3690918|offset_106|00cc00&amp;v=3690791:3691118&amp;c=444444", "offset 106")</f>
        <v>offset 106</v>
      </c>
    </row>
    <row r="13082" customFormat="false" ht="12.8" hidden="false" customHeight="false" outlineLevel="0" collapsed="false">
      <c r="A13082" s="0" t="s">
        <v>12</v>
      </c>
      <c r="B13082" s="0" t="n">
        <v>3691169</v>
      </c>
      <c r="C13082" s="0" t="n">
        <v>3691189</v>
      </c>
      <c r="D13082" s="0" t="s">
        <v>43604</v>
      </c>
      <c r="E13082" s="0" t="s">
        <v>89</v>
      </c>
      <c r="F13082" s="0" t="s">
        <v>15</v>
      </c>
      <c r="G13082" s="0" t="s">
        <v>16</v>
      </c>
      <c r="H13082" s="0" t="n">
        <v>53</v>
      </c>
      <c r="I13082" s="0" t="s">
        <v>43605</v>
      </c>
      <c r="J13082" s="0" t="s">
        <v>43606</v>
      </c>
      <c r="K13082" s="0" t="s">
        <v>43607</v>
      </c>
      <c r="L13082" s="0" t="str">
        <f aca="false">HYPERLINK("https://www.ncbi.nlm.nih.gov/nuccore/CP000304.1?report=graph&amp;tracks=[key:gene_model_track,Options:GeneOnly]&amp;mk=3691170:3691189|offset_53|00cc00,3691198:3691217|offset_81|444444,3691238:3691257|offset_121|444444,3691262:3691281|offset_145|444444&amp;v=3690969:3691481&amp;c=444444", "offset 53")</f>
        <v>offset 53</v>
      </c>
    </row>
    <row r="13083" customFormat="false" ht="12.8" hidden="false" customHeight="false" outlineLevel="0" collapsed="false">
      <c r="A13083" s="0" t="s">
        <v>12</v>
      </c>
      <c r="B13083" s="0" t="n">
        <v>3691197</v>
      </c>
      <c r="C13083" s="0" t="n">
        <v>3691217</v>
      </c>
      <c r="D13083" s="0" t="s">
        <v>43604</v>
      </c>
      <c r="E13083" s="0" t="s">
        <v>89</v>
      </c>
      <c r="F13083" s="0" t="s">
        <v>15</v>
      </c>
      <c r="G13083" s="0" t="s">
        <v>32</v>
      </c>
      <c r="H13083" s="0" t="n">
        <v>81</v>
      </c>
      <c r="I13083" s="0" t="s">
        <v>43608</v>
      </c>
      <c r="J13083" s="0" t="s">
        <v>43609</v>
      </c>
      <c r="K13083" s="0" t="s">
        <v>43610</v>
      </c>
      <c r="L13083" s="0" t="str">
        <f aca="false">HYPERLINK("https://www.ncbi.nlm.nih.gov/nuccore/CP000304.1?report=graph&amp;tracks=[key:gene_model_track,Options:GeneOnly]&amp;mk=3691170:3691189|offset_53|444444,3691198:3691217|offset_81|00cc00,3691238:3691257|offset_121|444444,3691262:3691281|offset_145|444444&amp;v=3690969:3691481&amp;c=444444", "offset 81")</f>
        <v>offset 81</v>
      </c>
    </row>
    <row r="13084" customFormat="false" ht="12.8" hidden="false" customHeight="false" outlineLevel="0" collapsed="false">
      <c r="A13084" s="0" t="s">
        <v>12</v>
      </c>
      <c r="B13084" s="0" t="n">
        <v>3691237</v>
      </c>
      <c r="C13084" s="0" t="n">
        <v>3691257</v>
      </c>
      <c r="D13084" s="0" t="s">
        <v>43604</v>
      </c>
      <c r="E13084" s="0" t="s">
        <v>89</v>
      </c>
      <c r="F13084" s="0" t="s">
        <v>15</v>
      </c>
      <c r="G13084" s="0" t="s">
        <v>16</v>
      </c>
      <c r="H13084" s="0" t="n">
        <v>121</v>
      </c>
      <c r="I13084" s="0" t="s">
        <v>43611</v>
      </c>
      <c r="J13084" s="0" t="s">
        <v>43612</v>
      </c>
      <c r="K13084" s="0" t="s">
        <v>43613</v>
      </c>
      <c r="L13084" s="0" t="str">
        <f aca="false">HYPERLINK("https://www.ncbi.nlm.nih.gov/nuccore/CP000304.1?report=graph&amp;tracks=[key:gene_model_track,Options:GeneOnly]&amp;mk=3691170:3691189|offset_53|444444,3691198:3691217|offset_81|444444,3691238:3691257|offset_121|00cc00,3691262:3691281|offset_145|444444&amp;v=3690969:3691481&amp;c=444444", "offset 121")</f>
        <v>offset 121</v>
      </c>
    </row>
    <row r="13085" customFormat="false" ht="12.8" hidden="false" customHeight="false" outlineLevel="0" collapsed="false">
      <c r="A13085" s="0" t="s">
        <v>12</v>
      </c>
      <c r="B13085" s="0" t="n">
        <v>3691261</v>
      </c>
      <c r="C13085" s="0" t="n">
        <v>3691281</v>
      </c>
      <c r="D13085" s="0" t="s">
        <v>43604</v>
      </c>
      <c r="E13085" s="0" t="s">
        <v>89</v>
      </c>
      <c r="F13085" s="0" t="s">
        <v>15</v>
      </c>
      <c r="G13085" s="0" t="s">
        <v>26</v>
      </c>
      <c r="H13085" s="0" t="n">
        <v>145</v>
      </c>
      <c r="I13085" s="0" t="s">
        <v>43614</v>
      </c>
      <c r="J13085" s="0" t="s">
        <v>43615</v>
      </c>
      <c r="K13085" s="0" t="s">
        <v>43616</v>
      </c>
      <c r="L13085" s="0" t="str">
        <f aca="false">HYPERLINK("https://www.ncbi.nlm.nih.gov/nuccore/CP000304.1?report=graph&amp;tracks=[key:gene_model_track,Options:GeneOnly]&amp;mk=3691170:3691189|offset_53|444444,3691198:3691217|offset_81|444444,3691238:3691257|offset_121|444444,3691262:3691281|offset_145|00cc00&amp;v=3690969:3691481&amp;c=444444", "offset 145")</f>
        <v>offset 145</v>
      </c>
    </row>
    <row r="13086" customFormat="false" ht="12.8" hidden="false" customHeight="false" outlineLevel="0" collapsed="false">
      <c r="A13086" s="0" t="s">
        <v>12</v>
      </c>
      <c r="B13086" s="0" t="n">
        <v>3692393</v>
      </c>
      <c r="C13086" s="0" t="n">
        <v>3692413</v>
      </c>
      <c r="D13086" s="0" t="s">
        <v>43617</v>
      </c>
      <c r="E13086" s="0" t="s">
        <v>89</v>
      </c>
      <c r="F13086" s="0" t="s">
        <v>90</v>
      </c>
      <c r="G13086" s="0" t="s">
        <v>16</v>
      </c>
      <c r="H13086" s="0" t="n">
        <v>22</v>
      </c>
      <c r="I13086" s="0" t="s">
        <v>43618</v>
      </c>
      <c r="J13086" s="0" t="s">
        <v>43619</v>
      </c>
      <c r="K13086" s="0" t="s">
        <v>43620</v>
      </c>
      <c r="L13086" s="0" t="str">
        <f aca="false">HYPERLINK("https://www.ncbi.nlm.nih.gov/nuccore/CP000304.1?report=graph&amp;tracks=[key:gene_model_track,Options:GeneOnly]&amp;mk=3692394:3692413|offset_22|00cc00,3692370:3692389|offset_46|444444,3692271:3692290|offset_145|444444,3692237:3692256|offset_179|444444&amp;v=3692193:3692456&amp;c=444444", "offset 22")</f>
        <v>offset 22</v>
      </c>
    </row>
    <row r="13087" customFormat="false" ht="12.8" hidden="false" customHeight="false" outlineLevel="0" collapsed="false">
      <c r="A13087" s="0" t="s">
        <v>12</v>
      </c>
      <c r="B13087" s="0" t="n">
        <v>3692369</v>
      </c>
      <c r="C13087" s="0" t="n">
        <v>3692389</v>
      </c>
      <c r="D13087" s="0" t="s">
        <v>43617</v>
      </c>
      <c r="E13087" s="0" t="s">
        <v>89</v>
      </c>
      <c r="F13087" s="0" t="s">
        <v>90</v>
      </c>
      <c r="G13087" s="0" t="s">
        <v>32</v>
      </c>
      <c r="H13087" s="0" t="n">
        <v>46</v>
      </c>
      <c r="I13087" s="0" t="s">
        <v>43621</v>
      </c>
      <c r="J13087" s="0" t="s">
        <v>43622</v>
      </c>
      <c r="K13087" s="0" t="s">
        <v>43623</v>
      </c>
      <c r="L13087" s="0" t="str">
        <f aca="false">HYPERLINK("https://www.ncbi.nlm.nih.gov/nuccore/CP000304.1?report=graph&amp;tracks=[key:gene_model_track,Options:GeneOnly]&amp;mk=3692394:3692413|offset_22|444444,3692370:3692389|offset_46|00cc00,3692271:3692290|offset_145|444444,3692237:3692256|offset_179|444444&amp;v=3692193:3692456&amp;c=444444", "offset 46")</f>
        <v>offset 46</v>
      </c>
    </row>
    <row r="13088" customFormat="false" ht="12.8" hidden="false" customHeight="false" outlineLevel="0" collapsed="false">
      <c r="A13088" s="0" t="s">
        <v>12</v>
      </c>
      <c r="B13088" s="0" t="n">
        <v>3692270</v>
      </c>
      <c r="C13088" s="0" t="n">
        <v>3692290</v>
      </c>
      <c r="D13088" s="0" t="s">
        <v>43617</v>
      </c>
      <c r="E13088" s="0" t="s">
        <v>89</v>
      </c>
      <c r="F13088" s="0" t="s">
        <v>90</v>
      </c>
      <c r="G13088" s="0" t="s">
        <v>32</v>
      </c>
      <c r="H13088" s="0" t="n">
        <v>145</v>
      </c>
      <c r="I13088" s="0" t="s">
        <v>43624</v>
      </c>
      <c r="J13088" s="0" t="s">
        <v>43625</v>
      </c>
      <c r="K13088" s="0" t="s">
        <v>43626</v>
      </c>
      <c r="L13088" s="0" t="str">
        <f aca="false">HYPERLINK("https://www.ncbi.nlm.nih.gov/nuccore/CP000304.1?report=graph&amp;tracks=[key:gene_model_track,Options:GeneOnly]&amp;mk=3692394:3692413|offset_22|444444,3692370:3692389|offset_46|444444,3692271:3692290|offset_145|00cc00,3692237:3692256|offset_179|444444&amp;v=3692193:3692456&amp;c=444444", "offset 145")</f>
        <v>offset 145</v>
      </c>
    </row>
    <row r="13089" customFormat="false" ht="12.8" hidden="false" customHeight="false" outlineLevel="0" collapsed="false">
      <c r="A13089" s="0" t="s">
        <v>12</v>
      </c>
      <c r="B13089" s="0" t="n">
        <v>3692236</v>
      </c>
      <c r="C13089" s="0" t="n">
        <v>3692256</v>
      </c>
      <c r="D13089" s="0" t="s">
        <v>43617</v>
      </c>
      <c r="E13089" s="0" t="s">
        <v>89</v>
      </c>
      <c r="F13089" s="0" t="s">
        <v>90</v>
      </c>
      <c r="G13089" s="0" t="s">
        <v>36</v>
      </c>
      <c r="H13089" s="0" t="n">
        <v>179</v>
      </c>
      <c r="I13089" s="0" t="s">
        <v>43627</v>
      </c>
      <c r="J13089" s="0" t="s">
        <v>43628</v>
      </c>
      <c r="K13089" s="0" t="s">
        <v>43629</v>
      </c>
      <c r="L13089" s="0" t="str">
        <f aca="false">HYPERLINK("https://www.ncbi.nlm.nih.gov/nuccore/CP000304.1?report=graph&amp;tracks=[key:gene_model_track,Options:GeneOnly]&amp;mk=3692394:3692413|offset_22|444444,3692370:3692389|offset_46|444444,3692271:3692290|offset_145|444444,3692237:3692256|offset_179|00cc00&amp;v=3692193:3692456&amp;c=444444", "offset 179")</f>
        <v>offset 179</v>
      </c>
    </row>
    <row r="13090" customFormat="false" ht="12.8" hidden="false" customHeight="false" outlineLevel="0" collapsed="false">
      <c r="A13090" s="0" t="s">
        <v>12</v>
      </c>
      <c r="B13090" s="0" t="n">
        <v>3694418</v>
      </c>
      <c r="C13090" s="0" t="n">
        <v>3694438</v>
      </c>
      <c r="D13090" s="0" t="s">
        <v>43630</v>
      </c>
      <c r="E13090" s="0" t="s">
        <v>89</v>
      </c>
      <c r="F13090" s="0" t="s">
        <v>90</v>
      </c>
      <c r="G13090" s="0" t="s">
        <v>32</v>
      </c>
      <c r="H13090" s="0" t="n">
        <v>10</v>
      </c>
      <c r="I13090" s="0" t="s">
        <v>43631</v>
      </c>
      <c r="J13090" s="0" t="s">
        <v>43632</v>
      </c>
      <c r="K13090" s="0" t="s">
        <v>43633</v>
      </c>
      <c r="L13090" s="0" t="str">
        <f aca="false">HYPERLINK("https://www.ncbi.nlm.nih.gov/nuccore/CP000304.1?report=graph&amp;tracks=[key:gene_model_track,Options:GeneOnly]&amp;mk=3694419:3694438|offset_10|00cc00,3694391:3694410|offset_38|444444,3694364:3694383|offset_65|444444,3694325:3694344|offset_104|444444&amp;v=3694218:3694544&amp;c=444444", "offset 10")</f>
        <v>offset 10</v>
      </c>
    </row>
    <row r="13091" customFormat="false" ht="12.8" hidden="false" customHeight="false" outlineLevel="0" collapsed="false">
      <c r="A13091" s="0" t="s">
        <v>12</v>
      </c>
      <c r="B13091" s="0" t="n">
        <v>3694390</v>
      </c>
      <c r="C13091" s="0" t="n">
        <v>3694410</v>
      </c>
      <c r="D13091" s="0" t="s">
        <v>43630</v>
      </c>
      <c r="E13091" s="0" t="s">
        <v>89</v>
      </c>
      <c r="F13091" s="0" t="s">
        <v>90</v>
      </c>
      <c r="G13091" s="0" t="s">
        <v>26</v>
      </c>
      <c r="H13091" s="0" t="n">
        <v>38</v>
      </c>
      <c r="I13091" s="0" t="s">
        <v>43634</v>
      </c>
      <c r="J13091" s="0" t="s">
        <v>43635</v>
      </c>
      <c r="K13091" s="0" t="s">
        <v>43636</v>
      </c>
      <c r="L13091" s="0" t="str">
        <f aca="false">HYPERLINK("https://www.ncbi.nlm.nih.gov/nuccore/CP000304.1?report=graph&amp;tracks=[key:gene_model_track,Options:GeneOnly]&amp;mk=3694419:3694438|offset_10|444444,3694391:3694410|offset_38|00cc00,3694364:3694383|offset_65|444444,3694325:3694344|offset_104|444444&amp;v=3694218:3694544&amp;c=444444", "offset 38")</f>
        <v>offset 38</v>
      </c>
    </row>
    <row r="13092" customFormat="false" ht="12.8" hidden="false" customHeight="false" outlineLevel="0" collapsed="false">
      <c r="A13092" s="0" t="s">
        <v>12</v>
      </c>
      <c r="B13092" s="0" t="n">
        <v>3694363</v>
      </c>
      <c r="C13092" s="0" t="n">
        <v>3694383</v>
      </c>
      <c r="D13092" s="0" t="s">
        <v>43630</v>
      </c>
      <c r="E13092" s="0" t="s">
        <v>89</v>
      </c>
      <c r="F13092" s="0" t="s">
        <v>90</v>
      </c>
      <c r="G13092" s="0" t="s">
        <v>16</v>
      </c>
      <c r="H13092" s="0" t="n">
        <v>65</v>
      </c>
      <c r="I13092" s="0" t="s">
        <v>43637</v>
      </c>
      <c r="J13092" s="0" t="s">
        <v>43638</v>
      </c>
      <c r="K13092" s="0" t="s">
        <v>43639</v>
      </c>
      <c r="L13092" s="0" t="str">
        <f aca="false">HYPERLINK("https://www.ncbi.nlm.nih.gov/nuccore/CP000304.1?report=graph&amp;tracks=[key:gene_model_track,Options:GeneOnly]&amp;mk=3694419:3694438|offset_10|444444,3694391:3694410|offset_38|444444,3694364:3694383|offset_65|00cc00,3694325:3694344|offset_104|444444&amp;v=3694218:3694544&amp;c=444444", "offset 65")</f>
        <v>offset 65</v>
      </c>
    </row>
    <row r="13093" customFormat="false" ht="12.8" hidden="false" customHeight="false" outlineLevel="0" collapsed="false">
      <c r="A13093" s="0" t="s">
        <v>12</v>
      </c>
      <c r="B13093" s="0" t="n">
        <v>3694324</v>
      </c>
      <c r="C13093" s="0" t="n">
        <v>3694344</v>
      </c>
      <c r="D13093" s="0" t="s">
        <v>43630</v>
      </c>
      <c r="E13093" s="0" t="s">
        <v>89</v>
      </c>
      <c r="F13093" s="0" t="s">
        <v>90</v>
      </c>
      <c r="G13093" s="0" t="s">
        <v>32</v>
      </c>
      <c r="H13093" s="0" t="n">
        <v>104</v>
      </c>
      <c r="I13093" s="0" t="s">
        <v>43640</v>
      </c>
      <c r="J13093" s="0" t="s">
        <v>43641</v>
      </c>
      <c r="K13093" s="0" t="s">
        <v>43642</v>
      </c>
      <c r="L13093" s="0" t="str">
        <f aca="false">HYPERLINK("https://www.ncbi.nlm.nih.gov/nuccore/CP000304.1?report=graph&amp;tracks=[key:gene_model_track,Options:GeneOnly]&amp;mk=3694419:3694438|offset_10|444444,3694391:3694410|offset_38|444444,3694364:3694383|offset_65|444444,3694325:3694344|offset_104|00cc00&amp;v=3694218:3694544&amp;c=444444", "offset 104")</f>
        <v>offset 104</v>
      </c>
    </row>
    <row r="13094" customFormat="false" ht="12.8" hidden="false" customHeight="false" outlineLevel="0" collapsed="false">
      <c r="A13094" s="0" t="s">
        <v>12</v>
      </c>
      <c r="B13094" s="0" t="n">
        <v>3695267</v>
      </c>
      <c r="C13094" s="0" t="n">
        <v>3695287</v>
      </c>
      <c r="D13094" s="0" t="s">
        <v>43643</v>
      </c>
      <c r="E13094" s="0" t="s">
        <v>43644</v>
      </c>
      <c r="F13094" s="0" t="s">
        <v>90</v>
      </c>
      <c r="G13094" s="0" t="s">
        <v>16</v>
      </c>
      <c r="H13094" s="0" t="n">
        <v>21</v>
      </c>
      <c r="I13094" s="0" t="s">
        <v>43645</v>
      </c>
      <c r="J13094" s="0" t="s">
        <v>43646</v>
      </c>
      <c r="K13094" s="0" t="s">
        <v>43647</v>
      </c>
      <c r="L13094" s="0" t="str">
        <f aca="false">HYPERLINK("https://www.ncbi.nlm.nih.gov/nuccore/CP000304.1?report=graph&amp;tracks=[key:gene_model_track,Options:GeneOnly]&amp;mk=3695268:3695287|offset_21|00cc00,3695185:3695204|offset_104|444444,3695119:3695138|offset_170|444444,3695067:3695086|offset_222|444444&amp;v=3695067:3695286&amp;c=444444", "offset 21")</f>
        <v>offset 21</v>
      </c>
    </row>
    <row r="13095" customFormat="false" ht="12.8" hidden="false" customHeight="false" outlineLevel="0" collapsed="false">
      <c r="A13095" s="0" t="s">
        <v>12</v>
      </c>
      <c r="B13095" s="0" t="n">
        <v>3695184</v>
      </c>
      <c r="C13095" s="0" t="n">
        <v>3695204</v>
      </c>
      <c r="D13095" s="0" t="s">
        <v>43643</v>
      </c>
      <c r="E13095" s="0" t="s">
        <v>43644</v>
      </c>
      <c r="F13095" s="0" t="s">
        <v>90</v>
      </c>
      <c r="G13095" s="0" t="s">
        <v>26</v>
      </c>
      <c r="H13095" s="0" t="n">
        <v>104</v>
      </c>
      <c r="I13095" s="0" t="s">
        <v>43648</v>
      </c>
      <c r="J13095" s="0" t="s">
        <v>43649</v>
      </c>
      <c r="K13095" s="0" t="s">
        <v>43650</v>
      </c>
      <c r="L13095" s="0" t="str">
        <f aca="false">HYPERLINK("https://www.ncbi.nlm.nih.gov/nuccore/CP000304.1?report=graph&amp;tracks=[key:gene_model_track,Options:GeneOnly]&amp;mk=3695268:3695287|offset_21|444444,3695185:3695204|offset_104|00cc00,3695119:3695138|offset_170|444444,3695067:3695086|offset_222|444444&amp;v=3695067:3695286&amp;c=444444", "offset 104")</f>
        <v>offset 104</v>
      </c>
    </row>
    <row r="13096" customFormat="false" ht="12.8" hidden="false" customHeight="false" outlineLevel="0" collapsed="false">
      <c r="A13096" s="0" t="s">
        <v>12</v>
      </c>
      <c r="B13096" s="0" t="n">
        <v>3695118</v>
      </c>
      <c r="C13096" s="0" t="n">
        <v>3695138</v>
      </c>
      <c r="D13096" s="0" t="s">
        <v>43643</v>
      </c>
      <c r="E13096" s="0" t="s">
        <v>43644</v>
      </c>
      <c r="F13096" s="0" t="s">
        <v>90</v>
      </c>
      <c r="G13096" s="0" t="s">
        <v>32</v>
      </c>
      <c r="H13096" s="0" t="n">
        <v>170</v>
      </c>
      <c r="I13096" s="0" t="s">
        <v>43651</v>
      </c>
      <c r="J13096" s="0" t="s">
        <v>43652</v>
      </c>
      <c r="K13096" s="0" t="s">
        <v>43653</v>
      </c>
      <c r="L13096" s="0" t="str">
        <f aca="false">HYPERLINK("https://www.ncbi.nlm.nih.gov/nuccore/CP000304.1?report=graph&amp;tracks=[key:gene_model_track,Options:GeneOnly]&amp;mk=3695268:3695287|offset_21|444444,3695185:3695204|offset_104|444444,3695119:3695138|offset_170|00cc00,3695067:3695086|offset_222|444444&amp;v=3695067:3695286&amp;c=444444", "offset 170")</f>
        <v>offset 170</v>
      </c>
    </row>
    <row r="13097" customFormat="false" ht="12.8" hidden="false" customHeight="false" outlineLevel="0" collapsed="false">
      <c r="A13097" s="0" t="s">
        <v>12</v>
      </c>
      <c r="B13097" s="0" t="n">
        <v>3695066</v>
      </c>
      <c r="C13097" s="0" t="n">
        <v>3695086</v>
      </c>
      <c r="D13097" s="0" t="s">
        <v>43643</v>
      </c>
      <c r="E13097" s="0" t="s">
        <v>43644</v>
      </c>
      <c r="F13097" s="0" t="s">
        <v>90</v>
      </c>
      <c r="G13097" s="0" t="s">
        <v>32</v>
      </c>
      <c r="H13097" s="0" t="n">
        <v>222</v>
      </c>
      <c r="I13097" s="0" t="s">
        <v>43654</v>
      </c>
      <c r="J13097" s="0" t="s">
        <v>43655</v>
      </c>
      <c r="K13097" s="0" t="s">
        <v>43656</v>
      </c>
      <c r="L13097" s="0" t="str">
        <f aca="false">HYPERLINK("https://www.ncbi.nlm.nih.gov/nuccore/CP000304.1?report=graph&amp;tracks=[key:gene_model_track,Options:GeneOnly]&amp;mk=3695268:3695287|offset_21|444444,3695185:3695204|offset_104|444444,3695119:3695138|offset_170|444444,3695067:3695086|offset_222|00cc00&amp;v=3695067:3695286&amp;c=444444", "offset 222")</f>
        <v>offset 222</v>
      </c>
    </row>
    <row r="13098" customFormat="false" ht="12.8" hidden="false" customHeight="false" outlineLevel="0" collapsed="false">
      <c r="A13098" s="0" t="s">
        <v>12</v>
      </c>
      <c r="B13098" s="0" t="n">
        <v>3696851</v>
      </c>
      <c r="C13098" s="0" t="n">
        <v>3696871</v>
      </c>
      <c r="D13098" s="0" t="s">
        <v>43657</v>
      </c>
      <c r="E13098" s="0" t="s">
        <v>89</v>
      </c>
      <c r="F13098" s="0" t="s">
        <v>90</v>
      </c>
      <c r="G13098" s="0" t="s">
        <v>16</v>
      </c>
      <c r="H13098" s="0" t="n">
        <v>16</v>
      </c>
      <c r="I13098" s="0" t="s">
        <v>43658</v>
      </c>
      <c r="J13098" s="0" t="s">
        <v>43659</v>
      </c>
      <c r="K13098" s="0" t="s">
        <v>43660</v>
      </c>
      <c r="L13098" s="0" t="str">
        <f aca="false">HYPERLINK("https://www.ncbi.nlm.nih.gov/nuccore/CP000304.1?report=graph&amp;tracks=[key:gene_model_track,Options:GeneOnly]&amp;mk=3696852:3696871|offset_16|00cc00,3696810:3696829|offset_58|444444,3696725:3696744|offset_143|444444,3696699:3696718|offset_169|444444&amp;v=3696651:3696918&amp;c=444444", "offset 16")</f>
        <v>offset 16</v>
      </c>
    </row>
    <row r="13099" customFormat="false" ht="12.8" hidden="false" customHeight="false" outlineLevel="0" collapsed="false">
      <c r="A13099" s="0" t="s">
        <v>12</v>
      </c>
      <c r="B13099" s="0" t="n">
        <v>3696809</v>
      </c>
      <c r="C13099" s="0" t="n">
        <v>3696829</v>
      </c>
      <c r="D13099" s="0" t="s">
        <v>43657</v>
      </c>
      <c r="E13099" s="0" t="s">
        <v>89</v>
      </c>
      <c r="F13099" s="0" t="s">
        <v>90</v>
      </c>
      <c r="G13099" s="0" t="s">
        <v>36</v>
      </c>
      <c r="H13099" s="0" t="n">
        <v>58</v>
      </c>
      <c r="I13099" s="0" t="s">
        <v>43661</v>
      </c>
      <c r="J13099" s="0" t="s">
        <v>43662</v>
      </c>
      <c r="K13099" s="0" t="s">
        <v>43663</v>
      </c>
      <c r="L13099" s="0" t="str">
        <f aca="false">HYPERLINK("https://www.ncbi.nlm.nih.gov/nuccore/CP000304.1?report=graph&amp;tracks=[key:gene_model_track,Options:GeneOnly]&amp;mk=3696852:3696871|offset_16|444444,3696810:3696829|offset_58|00cc00,3696725:3696744|offset_143|444444,3696699:3696718|offset_169|444444&amp;v=3696651:3696918&amp;c=444444", "offset 58")</f>
        <v>offset 58</v>
      </c>
    </row>
    <row r="13100" customFormat="false" ht="12.8" hidden="false" customHeight="false" outlineLevel="0" collapsed="false">
      <c r="A13100" s="0" t="s">
        <v>12</v>
      </c>
      <c r="B13100" s="0" t="n">
        <v>3696724</v>
      </c>
      <c r="C13100" s="0" t="n">
        <v>3696744</v>
      </c>
      <c r="D13100" s="0" t="s">
        <v>43657</v>
      </c>
      <c r="E13100" s="0" t="s">
        <v>89</v>
      </c>
      <c r="F13100" s="0" t="s">
        <v>90</v>
      </c>
      <c r="G13100" s="0" t="s">
        <v>16</v>
      </c>
      <c r="H13100" s="0" t="n">
        <v>143</v>
      </c>
      <c r="I13100" s="0" t="s">
        <v>43664</v>
      </c>
      <c r="J13100" s="0" t="s">
        <v>43665</v>
      </c>
      <c r="K13100" s="0" t="s">
        <v>43666</v>
      </c>
      <c r="L13100" s="0" t="str">
        <f aca="false">HYPERLINK("https://www.ncbi.nlm.nih.gov/nuccore/CP000304.1?report=graph&amp;tracks=[key:gene_model_track,Options:GeneOnly]&amp;mk=3696852:3696871|offset_16|444444,3696810:3696829|offset_58|444444,3696725:3696744|offset_143|00cc00,3696699:3696718|offset_169|444444&amp;v=3696651:3696918&amp;c=444444", "offset 143")</f>
        <v>offset 143</v>
      </c>
    </row>
    <row r="13101" customFormat="false" ht="12.8" hidden="false" customHeight="false" outlineLevel="0" collapsed="false">
      <c r="A13101" s="0" t="s">
        <v>12</v>
      </c>
      <c r="B13101" s="0" t="n">
        <v>3696698</v>
      </c>
      <c r="C13101" s="0" t="n">
        <v>3696718</v>
      </c>
      <c r="D13101" s="0" t="s">
        <v>43657</v>
      </c>
      <c r="E13101" s="0" t="s">
        <v>89</v>
      </c>
      <c r="F13101" s="0" t="s">
        <v>90</v>
      </c>
      <c r="G13101" s="0" t="s">
        <v>32</v>
      </c>
      <c r="H13101" s="0" t="n">
        <v>169</v>
      </c>
      <c r="I13101" s="0" t="s">
        <v>43667</v>
      </c>
      <c r="J13101" s="0" t="s">
        <v>43668</v>
      </c>
      <c r="K13101" s="0" t="s">
        <v>43669</v>
      </c>
      <c r="L13101" s="0" t="str">
        <f aca="false">HYPERLINK("https://www.ncbi.nlm.nih.gov/nuccore/CP000304.1?report=graph&amp;tracks=[key:gene_model_track,Options:GeneOnly]&amp;mk=3696852:3696871|offset_16|444444,3696810:3696829|offset_58|444444,3696725:3696744|offset_143|444444,3696699:3696718|offset_169|00cc00&amp;v=3696651:3696918&amp;c=444444", "offset 169")</f>
        <v>offset 169</v>
      </c>
    </row>
    <row r="13102" customFormat="false" ht="12.8" hidden="false" customHeight="false" outlineLevel="0" collapsed="false">
      <c r="A13102" s="0" t="s">
        <v>12</v>
      </c>
      <c r="B13102" s="0" t="n">
        <v>3697300</v>
      </c>
      <c r="C13102" s="0" t="n">
        <v>3697320</v>
      </c>
      <c r="D13102" s="0" t="s">
        <v>43670</v>
      </c>
      <c r="E13102" s="0" t="s">
        <v>89</v>
      </c>
      <c r="F13102" s="0" t="s">
        <v>15</v>
      </c>
      <c r="G13102" s="0" t="s">
        <v>16</v>
      </c>
      <c r="H13102" s="0" t="n">
        <v>112</v>
      </c>
      <c r="I13102" s="0" t="s">
        <v>43671</v>
      </c>
      <c r="J13102" s="0" t="s">
        <v>43672</v>
      </c>
      <c r="K13102" s="0" t="s">
        <v>43673</v>
      </c>
      <c r="L13102" s="0" t="str">
        <f aca="false">HYPERLINK("https://www.ncbi.nlm.nih.gov/nuccore/CP000304.1?report=graph&amp;tracks=[key:gene_model_track,Options:GeneOnly]&amp;mk=3697301:3697320|offset_112|00cc00,3697326:3697345|offset_137|444444,3697377:3697396|offset_188|444444,3697401:3697420|offset_212|444444&amp;v=3697100:3697620&amp;c=444444", "offset 112")</f>
        <v>offset 112</v>
      </c>
    </row>
    <row r="13103" customFormat="false" ht="12.8" hidden="false" customHeight="false" outlineLevel="0" collapsed="false">
      <c r="A13103" s="0" t="s">
        <v>12</v>
      </c>
      <c r="B13103" s="0" t="n">
        <v>3697325</v>
      </c>
      <c r="C13103" s="0" t="n">
        <v>3697345</v>
      </c>
      <c r="D13103" s="0" t="s">
        <v>43670</v>
      </c>
      <c r="E13103" s="0" t="s">
        <v>89</v>
      </c>
      <c r="F13103" s="0" t="s">
        <v>15</v>
      </c>
      <c r="G13103" s="0" t="s">
        <v>36</v>
      </c>
      <c r="H13103" s="0" t="n">
        <v>137</v>
      </c>
      <c r="I13103" s="0" t="s">
        <v>43674</v>
      </c>
      <c r="J13103" s="0" t="s">
        <v>43675</v>
      </c>
      <c r="K13103" s="0" t="s">
        <v>43676</v>
      </c>
      <c r="L13103" s="0" t="str">
        <f aca="false">HYPERLINK("https://www.ncbi.nlm.nih.gov/nuccore/CP000304.1?report=graph&amp;tracks=[key:gene_model_track,Options:GeneOnly]&amp;mk=3697301:3697320|offset_112|444444,3697326:3697345|offset_137|00cc00,3697377:3697396|offset_188|444444,3697401:3697420|offset_212|444444&amp;v=3697100:3697620&amp;c=444444", "offset 137")</f>
        <v>offset 137</v>
      </c>
    </row>
    <row r="13104" customFormat="false" ht="12.8" hidden="false" customHeight="false" outlineLevel="0" collapsed="false">
      <c r="A13104" s="0" t="s">
        <v>12</v>
      </c>
      <c r="B13104" s="0" t="n">
        <v>3697376</v>
      </c>
      <c r="C13104" s="0" t="n">
        <v>3697396</v>
      </c>
      <c r="D13104" s="0" t="s">
        <v>43670</v>
      </c>
      <c r="E13104" s="0" t="s">
        <v>89</v>
      </c>
      <c r="F13104" s="0" t="s">
        <v>15</v>
      </c>
      <c r="G13104" s="0" t="s">
        <v>16</v>
      </c>
      <c r="H13104" s="0" t="n">
        <v>188</v>
      </c>
      <c r="I13104" s="0" t="s">
        <v>43677</v>
      </c>
      <c r="J13104" s="0" t="s">
        <v>43678</v>
      </c>
      <c r="K13104" s="0" t="s">
        <v>43679</v>
      </c>
      <c r="L13104" s="0" t="str">
        <f aca="false">HYPERLINK("https://www.ncbi.nlm.nih.gov/nuccore/CP000304.1?report=graph&amp;tracks=[key:gene_model_track,Options:GeneOnly]&amp;mk=3697301:3697320|offset_112|444444,3697326:3697345|offset_137|444444,3697377:3697396|offset_188|00cc00,3697401:3697420|offset_212|444444&amp;v=3697100:3697620&amp;c=444444", "offset 188")</f>
        <v>offset 188</v>
      </c>
    </row>
    <row r="13105" customFormat="false" ht="12.8" hidden="false" customHeight="false" outlineLevel="0" collapsed="false">
      <c r="A13105" s="0" t="s">
        <v>12</v>
      </c>
      <c r="B13105" s="0" t="n">
        <v>3697400</v>
      </c>
      <c r="C13105" s="0" t="n">
        <v>3697420</v>
      </c>
      <c r="D13105" s="0" t="s">
        <v>43670</v>
      </c>
      <c r="E13105" s="0" t="s">
        <v>89</v>
      </c>
      <c r="F13105" s="0" t="s">
        <v>15</v>
      </c>
      <c r="G13105" s="0" t="s">
        <v>36</v>
      </c>
      <c r="H13105" s="0" t="n">
        <v>212</v>
      </c>
      <c r="I13105" s="0" t="s">
        <v>43680</v>
      </c>
      <c r="J13105" s="0" t="s">
        <v>43681</v>
      </c>
      <c r="K13105" s="0" t="s">
        <v>43682</v>
      </c>
      <c r="L13105" s="0" t="str">
        <f aca="false">HYPERLINK("https://www.ncbi.nlm.nih.gov/nuccore/CP000304.1?report=graph&amp;tracks=[key:gene_model_track,Options:GeneOnly]&amp;mk=3697301:3697320|offset_112|444444,3697326:3697345|offset_137|444444,3697377:3697396|offset_188|444444,3697401:3697420|offset_212|00cc00&amp;v=3697100:3697620&amp;c=444444", "offset 212")</f>
        <v>offset 212</v>
      </c>
    </row>
    <row r="13106" customFormat="false" ht="12.8" hidden="false" customHeight="false" outlineLevel="0" collapsed="false">
      <c r="A13106" s="0" t="s">
        <v>12</v>
      </c>
      <c r="B13106" s="0" t="n">
        <v>3698523</v>
      </c>
      <c r="C13106" s="0" t="n">
        <v>3698543</v>
      </c>
      <c r="D13106" s="0" t="s">
        <v>43683</v>
      </c>
      <c r="E13106" s="0" t="s">
        <v>89</v>
      </c>
      <c r="F13106" s="0" t="s">
        <v>15</v>
      </c>
      <c r="G13106" s="0" t="s">
        <v>16</v>
      </c>
      <c r="H13106" s="0" t="n">
        <v>52</v>
      </c>
      <c r="I13106" s="0" t="s">
        <v>43684</v>
      </c>
      <c r="J13106" s="0" t="s">
        <v>43685</v>
      </c>
      <c r="K13106" s="0" t="s">
        <v>43686</v>
      </c>
      <c r="L13106" s="0" t="str">
        <f aca="false">HYPERLINK("https://www.ncbi.nlm.nih.gov/nuccore/CP000304.1?report=graph&amp;tracks=[key:gene_model_track,Options:GeneOnly]&amp;mk=3698524:3698543|offset_52|00cc00,3698566:3698585|offset_94|444444,3698590:3698609|offset_118|444444,3698648:3698667|offset_176|444444&amp;v=3698323:3698867&amp;c=444444", "offset 52")</f>
        <v>offset 52</v>
      </c>
    </row>
    <row r="13107" customFormat="false" ht="12.8" hidden="false" customHeight="false" outlineLevel="0" collapsed="false">
      <c r="A13107" s="0" t="s">
        <v>12</v>
      </c>
      <c r="B13107" s="0" t="n">
        <v>3698565</v>
      </c>
      <c r="C13107" s="0" t="n">
        <v>3698585</v>
      </c>
      <c r="D13107" s="0" t="s">
        <v>43683</v>
      </c>
      <c r="E13107" s="0" t="s">
        <v>89</v>
      </c>
      <c r="F13107" s="0" t="s">
        <v>15</v>
      </c>
      <c r="G13107" s="0" t="s">
        <v>32</v>
      </c>
      <c r="H13107" s="0" t="n">
        <v>94</v>
      </c>
      <c r="I13107" s="0" t="s">
        <v>43687</v>
      </c>
      <c r="J13107" s="0" t="s">
        <v>43688</v>
      </c>
      <c r="K13107" s="0" t="s">
        <v>43689</v>
      </c>
      <c r="L13107" s="0" t="str">
        <f aca="false">HYPERLINK("https://www.ncbi.nlm.nih.gov/nuccore/CP000304.1?report=graph&amp;tracks=[key:gene_model_track,Options:GeneOnly]&amp;mk=3698524:3698543|offset_52|444444,3698566:3698585|offset_94|00cc00,3698590:3698609|offset_118|444444,3698648:3698667|offset_176|444444&amp;v=3698323:3698867&amp;c=444444", "offset 94")</f>
        <v>offset 94</v>
      </c>
    </row>
    <row r="13108" customFormat="false" ht="12.8" hidden="false" customHeight="false" outlineLevel="0" collapsed="false">
      <c r="A13108" s="0" t="s">
        <v>12</v>
      </c>
      <c r="B13108" s="0" t="n">
        <v>3698589</v>
      </c>
      <c r="C13108" s="0" t="n">
        <v>3698609</v>
      </c>
      <c r="D13108" s="0" t="s">
        <v>43683</v>
      </c>
      <c r="E13108" s="0" t="s">
        <v>89</v>
      </c>
      <c r="F13108" s="0" t="s">
        <v>15</v>
      </c>
      <c r="G13108" s="0" t="s">
        <v>16</v>
      </c>
      <c r="H13108" s="0" t="n">
        <v>118</v>
      </c>
      <c r="I13108" s="0" t="s">
        <v>43690</v>
      </c>
      <c r="J13108" s="0" t="s">
        <v>43691</v>
      </c>
      <c r="K13108" s="0" t="s">
        <v>43692</v>
      </c>
      <c r="L13108" s="0" t="str">
        <f aca="false">HYPERLINK("https://www.ncbi.nlm.nih.gov/nuccore/CP000304.1?report=graph&amp;tracks=[key:gene_model_track,Options:GeneOnly]&amp;mk=3698524:3698543|offset_52|444444,3698566:3698585|offset_94|444444,3698590:3698609|offset_118|00cc00,3698648:3698667|offset_176|444444&amp;v=3698323:3698867&amp;c=444444", "offset 118")</f>
        <v>offset 118</v>
      </c>
    </row>
    <row r="13109" customFormat="false" ht="12.8" hidden="false" customHeight="false" outlineLevel="0" collapsed="false">
      <c r="A13109" s="0" t="s">
        <v>12</v>
      </c>
      <c r="B13109" s="0" t="n">
        <v>3698647</v>
      </c>
      <c r="C13109" s="0" t="n">
        <v>3698667</v>
      </c>
      <c r="D13109" s="0" t="s">
        <v>43683</v>
      </c>
      <c r="E13109" s="0" t="s">
        <v>89</v>
      </c>
      <c r="F13109" s="0" t="s">
        <v>15</v>
      </c>
      <c r="G13109" s="0" t="s">
        <v>32</v>
      </c>
      <c r="H13109" s="0" t="n">
        <v>176</v>
      </c>
      <c r="I13109" s="0" t="s">
        <v>43693</v>
      </c>
      <c r="J13109" s="0" t="s">
        <v>43694</v>
      </c>
      <c r="K13109" s="0" t="s">
        <v>43695</v>
      </c>
      <c r="L13109" s="0" t="str">
        <f aca="false">HYPERLINK("https://www.ncbi.nlm.nih.gov/nuccore/CP000304.1?report=graph&amp;tracks=[key:gene_model_track,Options:GeneOnly]&amp;mk=3698524:3698543|offset_52|444444,3698566:3698585|offset_94|444444,3698590:3698609|offset_118|444444,3698648:3698667|offset_176|00cc00&amp;v=3698323:3698867&amp;c=444444", "offset 176")</f>
        <v>offset 176</v>
      </c>
    </row>
    <row r="13110" customFormat="false" ht="12.8" hidden="false" customHeight="false" outlineLevel="0" collapsed="false">
      <c r="A13110" s="0" t="s">
        <v>12</v>
      </c>
      <c r="B13110" s="0" t="n">
        <v>3699903</v>
      </c>
      <c r="C13110" s="0" t="n">
        <v>3699923</v>
      </c>
      <c r="D13110" s="0" t="s">
        <v>43696</v>
      </c>
      <c r="E13110" s="0" t="s">
        <v>89</v>
      </c>
      <c r="F13110" s="0" t="s">
        <v>15</v>
      </c>
      <c r="G13110" s="0" t="s">
        <v>26</v>
      </c>
      <c r="H13110" s="0" t="n">
        <v>39</v>
      </c>
      <c r="I13110" s="0" t="s">
        <v>43697</v>
      </c>
      <c r="J13110" s="0" t="s">
        <v>43698</v>
      </c>
      <c r="K13110" s="0" t="s">
        <v>43699</v>
      </c>
      <c r="L13110" s="0" t="str">
        <f aca="false">HYPERLINK("https://www.ncbi.nlm.nih.gov/nuccore/CP000304.1?report=graph&amp;tracks=[key:gene_model_track,Options:GeneOnly]&amp;mk=3699904:3699923|offset_39|00cc00,3699929:3699948|offset_64|444444,3699953:3699972|offset_88|444444,3699973:3699992|offset_108|444444&amp;v=3699703:3700192&amp;c=444444", "offset 39")</f>
        <v>offset 39</v>
      </c>
    </row>
    <row r="13111" customFormat="false" ht="12.8" hidden="false" customHeight="false" outlineLevel="0" collapsed="false">
      <c r="A13111" s="0" t="s">
        <v>12</v>
      </c>
      <c r="B13111" s="0" t="n">
        <v>3699928</v>
      </c>
      <c r="C13111" s="0" t="n">
        <v>3699948</v>
      </c>
      <c r="D13111" s="0" t="s">
        <v>43696</v>
      </c>
      <c r="E13111" s="0" t="s">
        <v>89</v>
      </c>
      <c r="F13111" s="0" t="s">
        <v>15</v>
      </c>
      <c r="G13111" s="0" t="s">
        <v>32</v>
      </c>
      <c r="H13111" s="0" t="n">
        <v>64</v>
      </c>
      <c r="I13111" s="0" t="s">
        <v>43700</v>
      </c>
      <c r="J13111" s="0" t="s">
        <v>43701</v>
      </c>
      <c r="K13111" s="0" t="s">
        <v>43702</v>
      </c>
      <c r="L13111" s="0" t="str">
        <f aca="false">HYPERLINK("https://www.ncbi.nlm.nih.gov/nuccore/CP000304.1?report=graph&amp;tracks=[key:gene_model_track,Options:GeneOnly]&amp;mk=3699904:3699923|offset_39|444444,3699929:3699948|offset_64|00cc00,3699953:3699972|offset_88|444444,3699973:3699992|offset_108|444444&amp;v=3699703:3700192&amp;c=444444", "offset 64")</f>
        <v>offset 64</v>
      </c>
    </row>
    <row r="13112" customFormat="false" ht="12.8" hidden="false" customHeight="false" outlineLevel="0" collapsed="false">
      <c r="A13112" s="0" t="s">
        <v>12</v>
      </c>
      <c r="B13112" s="0" t="n">
        <v>3699952</v>
      </c>
      <c r="C13112" s="0" t="n">
        <v>3699972</v>
      </c>
      <c r="D13112" s="0" t="s">
        <v>43696</v>
      </c>
      <c r="E13112" s="0" t="s">
        <v>89</v>
      </c>
      <c r="F13112" s="0" t="s">
        <v>15</v>
      </c>
      <c r="G13112" s="0" t="s">
        <v>16</v>
      </c>
      <c r="H13112" s="0" t="n">
        <v>88</v>
      </c>
      <c r="I13112" s="0" t="s">
        <v>43703</v>
      </c>
      <c r="J13112" s="0" t="s">
        <v>43704</v>
      </c>
      <c r="K13112" s="0" t="s">
        <v>43705</v>
      </c>
      <c r="L13112" s="0" t="str">
        <f aca="false">HYPERLINK("https://www.ncbi.nlm.nih.gov/nuccore/CP000304.1?report=graph&amp;tracks=[key:gene_model_track,Options:GeneOnly]&amp;mk=3699904:3699923|offset_39|444444,3699929:3699948|offset_64|444444,3699953:3699972|offset_88|00cc00,3699973:3699992|offset_108|444444&amp;v=3699703:3700192&amp;c=444444", "offset 88")</f>
        <v>offset 88</v>
      </c>
    </row>
    <row r="13113" customFormat="false" ht="12.8" hidden="false" customHeight="false" outlineLevel="0" collapsed="false">
      <c r="A13113" s="0" t="s">
        <v>12</v>
      </c>
      <c r="B13113" s="0" t="n">
        <v>3699972</v>
      </c>
      <c r="C13113" s="0" t="n">
        <v>3699992</v>
      </c>
      <c r="D13113" s="0" t="s">
        <v>43696</v>
      </c>
      <c r="E13113" s="0" t="s">
        <v>89</v>
      </c>
      <c r="F13113" s="0" t="s">
        <v>15</v>
      </c>
      <c r="G13113" s="0" t="s">
        <v>16</v>
      </c>
      <c r="H13113" s="0" t="n">
        <v>108</v>
      </c>
      <c r="I13113" s="0" t="s">
        <v>43706</v>
      </c>
      <c r="J13113" s="0" t="s">
        <v>43707</v>
      </c>
      <c r="K13113" s="0" t="s">
        <v>43708</v>
      </c>
      <c r="L13113" s="0" t="str">
        <f aca="false">HYPERLINK("https://www.ncbi.nlm.nih.gov/nuccore/CP000304.1?report=graph&amp;tracks=[key:gene_model_track,Options:GeneOnly]&amp;mk=3699904:3699923|offset_39|444444,3699929:3699948|offset_64|444444,3699953:3699972|offset_88|444444,3699973:3699992|offset_108|00cc00&amp;v=3699703:3700192&amp;c=444444", "offset 108")</f>
        <v>offset 108</v>
      </c>
    </row>
    <row r="13114" customFormat="false" ht="12.8" hidden="false" customHeight="false" outlineLevel="0" collapsed="false">
      <c r="A13114" s="0" t="s">
        <v>12</v>
      </c>
      <c r="B13114" s="0" t="n">
        <v>3703063</v>
      </c>
      <c r="C13114" s="0" t="n">
        <v>3703083</v>
      </c>
      <c r="D13114" s="0" t="s">
        <v>43709</v>
      </c>
      <c r="E13114" s="0" t="s">
        <v>89</v>
      </c>
      <c r="F13114" s="0" t="s">
        <v>90</v>
      </c>
      <c r="G13114" s="0" t="s">
        <v>36</v>
      </c>
      <c r="H13114" s="0" t="n">
        <v>21</v>
      </c>
      <c r="I13114" s="0" t="s">
        <v>43710</v>
      </c>
      <c r="J13114" s="0" t="s">
        <v>43711</v>
      </c>
      <c r="K13114" s="0" t="s">
        <v>43712</v>
      </c>
      <c r="L13114" s="0" t="str">
        <f aca="false">HYPERLINK("https://www.ncbi.nlm.nih.gov/nuccore/CP000304.1?report=graph&amp;tracks=[key:gene_model_track,Options:GeneOnly]&amp;mk=3703064:3703083|offset_21|00cc00,3703036:3703055|offset_49|444444,3703016:3703035|offset_69|444444&amp;v=3702863:3703235&amp;c=444444", "offset 21")</f>
        <v>offset 21</v>
      </c>
    </row>
    <row r="13115" customFormat="false" ht="12.8" hidden="false" customHeight="false" outlineLevel="0" collapsed="false">
      <c r="A13115" s="0" t="s">
        <v>12</v>
      </c>
      <c r="B13115" s="0" t="n">
        <v>3703035</v>
      </c>
      <c r="C13115" s="0" t="n">
        <v>3703055</v>
      </c>
      <c r="D13115" s="0" t="s">
        <v>43709</v>
      </c>
      <c r="E13115" s="0" t="s">
        <v>89</v>
      </c>
      <c r="F13115" s="0" t="s">
        <v>90</v>
      </c>
      <c r="G13115" s="0" t="s">
        <v>32</v>
      </c>
      <c r="H13115" s="0" t="n">
        <v>49</v>
      </c>
      <c r="I13115" s="0" t="s">
        <v>43713</v>
      </c>
      <c r="J13115" s="0" t="s">
        <v>43714</v>
      </c>
      <c r="K13115" s="0" t="s">
        <v>43715</v>
      </c>
      <c r="L13115" s="0" t="str">
        <f aca="false">HYPERLINK("https://www.ncbi.nlm.nih.gov/nuccore/CP000304.1?report=graph&amp;tracks=[key:gene_model_track,Options:GeneOnly]&amp;mk=3703064:3703083|offset_21|444444,3703036:3703055|offset_49|00cc00,3703016:3703035|offset_69|444444&amp;v=3702863:3703235&amp;c=444444", "offset 49")</f>
        <v>offset 49</v>
      </c>
    </row>
    <row r="13116" customFormat="false" ht="12.8" hidden="false" customHeight="false" outlineLevel="0" collapsed="false">
      <c r="A13116" s="0" t="s">
        <v>12</v>
      </c>
      <c r="B13116" s="0" t="n">
        <v>3703015</v>
      </c>
      <c r="C13116" s="0" t="n">
        <v>3703035</v>
      </c>
      <c r="D13116" s="0" t="s">
        <v>43709</v>
      </c>
      <c r="E13116" s="0" t="s">
        <v>89</v>
      </c>
      <c r="F13116" s="0" t="s">
        <v>90</v>
      </c>
      <c r="G13116" s="0" t="s">
        <v>36</v>
      </c>
      <c r="H13116" s="0" t="n">
        <v>69</v>
      </c>
      <c r="I13116" s="0" t="s">
        <v>43716</v>
      </c>
      <c r="J13116" s="0" t="s">
        <v>43717</v>
      </c>
      <c r="K13116" s="0" t="s">
        <v>43718</v>
      </c>
      <c r="L13116" s="0" t="str">
        <f aca="false">HYPERLINK("https://www.ncbi.nlm.nih.gov/nuccore/CP000304.1?report=graph&amp;tracks=[key:gene_model_track,Options:GeneOnly]&amp;mk=3703064:3703083|offset_21|444444,3703036:3703055|offset_49|444444,3703016:3703035|offset_69|00cc00&amp;v=3702863:3703235&amp;c=444444", "offset 69")</f>
        <v>offset 69</v>
      </c>
    </row>
    <row r="13117" customFormat="false" ht="12.8" hidden="false" customHeight="false" outlineLevel="0" collapsed="false">
      <c r="A13117" s="0" t="s">
        <v>12</v>
      </c>
      <c r="B13117" s="0" t="n">
        <v>3703403</v>
      </c>
      <c r="C13117" s="0" t="n">
        <v>3703423</v>
      </c>
      <c r="D13117" s="0" t="s">
        <v>43719</v>
      </c>
      <c r="E13117" s="0" t="s">
        <v>89</v>
      </c>
      <c r="F13117" s="0" t="s">
        <v>90</v>
      </c>
      <c r="G13117" s="0" t="s">
        <v>36</v>
      </c>
      <c r="H13117" s="0" t="n">
        <v>22</v>
      </c>
      <c r="I13117" s="0" t="s">
        <v>43720</v>
      </c>
      <c r="J13117" s="0" t="s">
        <v>43721</v>
      </c>
      <c r="K13117" s="0" t="s">
        <v>43722</v>
      </c>
      <c r="L13117" s="0" t="str">
        <f aca="false">HYPERLINK("https://www.ncbi.nlm.nih.gov/nuccore/CP000304.1?report=graph&amp;tracks=[key:gene_model_track,Options:GeneOnly]&amp;mk=3703404:3703423|offset_22|00cc00,3703353:3703372|offset_73|444444,3703266:3703285|offset_160|444444,3703222:3703241|offset_204|444444&amp;v=3703203:3703441&amp;c=444444", "offset 22")</f>
        <v>offset 22</v>
      </c>
    </row>
    <row r="13118" customFormat="false" ht="12.8" hidden="false" customHeight="false" outlineLevel="0" collapsed="false">
      <c r="A13118" s="0" t="s">
        <v>12</v>
      </c>
      <c r="B13118" s="0" t="n">
        <v>3703352</v>
      </c>
      <c r="C13118" s="0" t="n">
        <v>3703372</v>
      </c>
      <c r="D13118" s="0" t="s">
        <v>43719</v>
      </c>
      <c r="E13118" s="0" t="s">
        <v>89</v>
      </c>
      <c r="F13118" s="0" t="s">
        <v>90</v>
      </c>
      <c r="G13118" s="0" t="s">
        <v>16</v>
      </c>
      <c r="H13118" s="0" t="n">
        <v>73</v>
      </c>
      <c r="I13118" s="0" t="s">
        <v>43723</v>
      </c>
      <c r="J13118" s="0" t="s">
        <v>43724</v>
      </c>
      <c r="K13118" s="0" t="s">
        <v>43725</v>
      </c>
      <c r="L13118" s="0" t="str">
        <f aca="false">HYPERLINK("https://www.ncbi.nlm.nih.gov/nuccore/CP000304.1?report=graph&amp;tracks=[key:gene_model_track,Options:GeneOnly]&amp;mk=3703404:3703423|offset_22|444444,3703353:3703372|offset_73|00cc00,3703266:3703285|offset_160|444444,3703222:3703241|offset_204|444444&amp;v=3703203:3703441&amp;c=444444", "offset 73")</f>
        <v>offset 73</v>
      </c>
    </row>
    <row r="13119" customFormat="false" ht="12.8" hidden="false" customHeight="false" outlineLevel="0" collapsed="false">
      <c r="A13119" s="0" t="s">
        <v>12</v>
      </c>
      <c r="B13119" s="0" t="n">
        <v>3703265</v>
      </c>
      <c r="C13119" s="0" t="n">
        <v>3703285</v>
      </c>
      <c r="D13119" s="0" t="s">
        <v>43719</v>
      </c>
      <c r="E13119" s="0" t="s">
        <v>89</v>
      </c>
      <c r="F13119" s="0" t="s">
        <v>90</v>
      </c>
      <c r="G13119" s="0" t="s">
        <v>16</v>
      </c>
      <c r="H13119" s="0" t="n">
        <v>160</v>
      </c>
      <c r="I13119" s="0" t="s">
        <v>43726</v>
      </c>
      <c r="J13119" s="0" t="s">
        <v>43727</v>
      </c>
      <c r="K13119" s="0" t="s">
        <v>43728</v>
      </c>
      <c r="L13119" s="0" t="str">
        <f aca="false">HYPERLINK("https://www.ncbi.nlm.nih.gov/nuccore/CP000304.1?report=graph&amp;tracks=[key:gene_model_track,Options:GeneOnly]&amp;mk=3703404:3703423|offset_22|444444,3703353:3703372|offset_73|444444,3703266:3703285|offset_160|00cc00,3703222:3703241|offset_204|444444&amp;v=3703203:3703441&amp;c=444444", "offset 160")</f>
        <v>offset 160</v>
      </c>
    </row>
    <row r="13120" customFormat="false" ht="12.8" hidden="false" customHeight="false" outlineLevel="0" collapsed="false">
      <c r="A13120" s="0" t="s">
        <v>12</v>
      </c>
      <c r="B13120" s="0" t="n">
        <v>3703221</v>
      </c>
      <c r="C13120" s="0" t="n">
        <v>3703241</v>
      </c>
      <c r="D13120" s="0" t="s">
        <v>43719</v>
      </c>
      <c r="E13120" s="0" t="s">
        <v>89</v>
      </c>
      <c r="F13120" s="0" t="s">
        <v>90</v>
      </c>
      <c r="G13120" s="0" t="s">
        <v>16</v>
      </c>
      <c r="H13120" s="0" t="n">
        <v>204</v>
      </c>
      <c r="I13120" s="0" t="s">
        <v>43729</v>
      </c>
      <c r="J13120" s="0" t="s">
        <v>43730</v>
      </c>
      <c r="K13120" s="0" t="s">
        <v>43731</v>
      </c>
      <c r="L13120" s="0" t="str">
        <f aca="false">HYPERLINK("https://www.ncbi.nlm.nih.gov/nuccore/CP000304.1?report=graph&amp;tracks=[key:gene_model_track,Options:GeneOnly]&amp;mk=3703404:3703423|offset_22|444444,3703353:3703372|offset_73|444444,3703266:3703285|offset_160|444444,3703222:3703241|offset_204|00cc00&amp;v=3703203:3703441&amp;c=444444", "offset 204")</f>
        <v>offset 204</v>
      </c>
    </row>
    <row r="13121" customFormat="false" ht="12.8" hidden="false" customHeight="false" outlineLevel="0" collapsed="false">
      <c r="A13121" s="0" t="s">
        <v>12</v>
      </c>
      <c r="B13121" s="0" t="n">
        <v>3703821</v>
      </c>
      <c r="C13121" s="0" t="n">
        <v>3703841</v>
      </c>
      <c r="D13121" s="0" t="s">
        <v>43732</v>
      </c>
      <c r="E13121" s="0" t="s">
        <v>89</v>
      </c>
      <c r="F13121" s="0" t="s">
        <v>15</v>
      </c>
      <c r="G13121" s="0" t="s">
        <v>32</v>
      </c>
      <c r="H13121" s="0" t="n">
        <v>0</v>
      </c>
      <c r="I13121" s="0" t="s">
        <v>43733</v>
      </c>
      <c r="J13121" s="0" t="s">
        <v>43734</v>
      </c>
      <c r="K13121" s="0" t="s">
        <v>43735</v>
      </c>
      <c r="L13121" s="0" t="str">
        <f aca="false">HYPERLINK("https://www.ncbi.nlm.nih.gov/nuccore/CP000304.1?report=graph&amp;tracks=[key:gene_model_track,Options:GeneOnly]&amp;mk=3703822:3703841|offset_0|00cc00,3703842:3703861|offset_20|444444,3703898:3703917|offset_76|444444,3703985:3704004|offset_163|444444&amp;v=3703621:3704204&amp;c=444444", "offset 0")</f>
        <v>offset 0</v>
      </c>
    </row>
    <row r="13122" customFormat="false" ht="12.8" hidden="false" customHeight="false" outlineLevel="0" collapsed="false">
      <c r="A13122" s="0" t="s">
        <v>12</v>
      </c>
      <c r="B13122" s="0" t="n">
        <v>3703841</v>
      </c>
      <c r="C13122" s="0" t="n">
        <v>3703861</v>
      </c>
      <c r="D13122" s="0" t="s">
        <v>43732</v>
      </c>
      <c r="E13122" s="0" t="s">
        <v>89</v>
      </c>
      <c r="F13122" s="0" t="s">
        <v>15</v>
      </c>
      <c r="G13122" s="0" t="s">
        <v>32</v>
      </c>
      <c r="H13122" s="0" t="n">
        <v>20</v>
      </c>
      <c r="I13122" s="0" t="s">
        <v>43736</v>
      </c>
      <c r="J13122" s="0" t="s">
        <v>43737</v>
      </c>
      <c r="K13122" s="0" t="s">
        <v>43738</v>
      </c>
      <c r="L13122" s="0" t="str">
        <f aca="false">HYPERLINK("https://www.ncbi.nlm.nih.gov/nuccore/CP000304.1?report=graph&amp;tracks=[key:gene_model_track,Options:GeneOnly]&amp;mk=3703822:3703841|offset_0|444444,3703842:3703861|offset_20|00cc00,3703898:3703917|offset_76|444444,3703985:3704004|offset_163|444444&amp;v=3703621:3704204&amp;c=444444", "offset 20")</f>
        <v>offset 20</v>
      </c>
    </row>
    <row r="13123" customFormat="false" ht="12.8" hidden="false" customHeight="false" outlineLevel="0" collapsed="false">
      <c r="A13123" s="0" t="s">
        <v>12</v>
      </c>
      <c r="B13123" s="0" t="n">
        <v>3703897</v>
      </c>
      <c r="C13123" s="0" t="n">
        <v>3703917</v>
      </c>
      <c r="D13123" s="0" t="s">
        <v>43732</v>
      </c>
      <c r="E13123" s="0" t="s">
        <v>89</v>
      </c>
      <c r="F13123" s="0" t="s">
        <v>15</v>
      </c>
      <c r="G13123" s="0" t="s">
        <v>16</v>
      </c>
      <c r="H13123" s="0" t="n">
        <v>76</v>
      </c>
      <c r="I13123" s="0" t="s">
        <v>43739</v>
      </c>
      <c r="J13123" s="0" t="s">
        <v>43740</v>
      </c>
      <c r="K13123" s="0" t="s">
        <v>43741</v>
      </c>
      <c r="L13123" s="0" t="str">
        <f aca="false">HYPERLINK("https://www.ncbi.nlm.nih.gov/nuccore/CP000304.1?report=graph&amp;tracks=[key:gene_model_track,Options:GeneOnly]&amp;mk=3703822:3703841|offset_0|444444,3703842:3703861|offset_20|444444,3703898:3703917|offset_76|00cc00,3703985:3704004|offset_163|444444&amp;v=3703621:3704204&amp;c=444444", "offset 76")</f>
        <v>offset 76</v>
      </c>
    </row>
    <row r="13124" customFormat="false" ht="12.8" hidden="false" customHeight="false" outlineLevel="0" collapsed="false">
      <c r="A13124" s="0" t="s">
        <v>12</v>
      </c>
      <c r="B13124" s="0" t="n">
        <v>3703984</v>
      </c>
      <c r="C13124" s="0" t="n">
        <v>3704004</v>
      </c>
      <c r="D13124" s="0" t="s">
        <v>43732</v>
      </c>
      <c r="E13124" s="0" t="s">
        <v>89</v>
      </c>
      <c r="F13124" s="0" t="s">
        <v>15</v>
      </c>
      <c r="G13124" s="0" t="s">
        <v>16</v>
      </c>
      <c r="H13124" s="0" t="n">
        <v>163</v>
      </c>
      <c r="I13124" s="0" t="s">
        <v>43742</v>
      </c>
      <c r="J13124" s="0" t="s">
        <v>43743</v>
      </c>
      <c r="K13124" s="0" t="s">
        <v>43744</v>
      </c>
      <c r="L13124" s="0" t="str">
        <f aca="false">HYPERLINK("https://www.ncbi.nlm.nih.gov/nuccore/CP000304.1?report=graph&amp;tracks=[key:gene_model_track,Options:GeneOnly]&amp;mk=3703822:3703841|offset_0|444444,3703842:3703861|offset_20|444444,3703898:3703917|offset_76|444444,3703985:3704004|offset_163|00cc00&amp;v=3703621:3704204&amp;c=444444", "offset 163")</f>
        <v>offset 163</v>
      </c>
    </row>
    <row r="13125" customFormat="false" ht="12.8" hidden="false" customHeight="false" outlineLevel="0" collapsed="false">
      <c r="A13125" s="0" t="s">
        <v>12</v>
      </c>
      <c r="B13125" s="0" t="n">
        <v>3706191</v>
      </c>
      <c r="C13125" s="0" t="n">
        <v>3706211</v>
      </c>
      <c r="D13125" s="0" t="s">
        <v>43745</v>
      </c>
      <c r="E13125" s="0" t="s">
        <v>89</v>
      </c>
      <c r="F13125" s="0" t="s">
        <v>90</v>
      </c>
      <c r="G13125" s="0" t="s">
        <v>36</v>
      </c>
      <c r="H13125" s="0" t="n">
        <v>23</v>
      </c>
      <c r="I13125" s="0" t="s">
        <v>43746</v>
      </c>
      <c r="J13125" s="0" t="s">
        <v>43747</v>
      </c>
      <c r="K13125" s="0" t="s">
        <v>43748</v>
      </c>
      <c r="L13125" s="0" t="str">
        <f aca="false">HYPERLINK("https://www.ncbi.nlm.nih.gov/nuccore/CP000304.1?report=graph&amp;tracks=[key:gene_model_track,Options:GeneOnly]&amp;mk=3706192:3706211|offset_23|00cc00,3706150:3706169|offset_65|444444,3706123:3706142|offset_92|444444,3706057:3706076|offset_158|444444&amp;v=3705991:3706276&amp;c=444444", "offset 23")</f>
        <v>offset 23</v>
      </c>
    </row>
    <row r="13126" customFormat="false" ht="12.8" hidden="false" customHeight="false" outlineLevel="0" collapsed="false">
      <c r="A13126" s="0" t="s">
        <v>12</v>
      </c>
      <c r="B13126" s="0" t="n">
        <v>3706149</v>
      </c>
      <c r="C13126" s="0" t="n">
        <v>3706169</v>
      </c>
      <c r="D13126" s="0" t="s">
        <v>43745</v>
      </c>
      <c r="E13126" s="0" t="s">
        <v>89</v>
      </c>
      <c r="F13126" s="0" t="s">
        <v>90</v>
      </c>
      <c r="G13126" s="0" t="s">
        <v>32</v>
      </c>
      <c r="H13126" s="0" t="n">
        <v>65</v>
      </c>
      <c r="I13126" s="0" t="s">
        <v>43749</v>
      </c>
      <c r="J13126" s="0" t="s">
        <v>43750</v>
      </c>
      <c r="K13126" s="0" t="s">
        <v>43751</v>
      </c>
      <c r="L13126" s="0" t="str">
        <f aca="false">HYPERLINK("https://www.ncbi.nlm.nih.gov/nuccore/CP000304.1?report=graph&amp;tracks=[key:gene_model_track,Options:GeneOnly]&amp;mk=3706192:3706211|offset_23|444444,3706150:3706169|offset_65|00cc00,3706123:3706142|offset_92|444444,3706057:3706076|offset_158|444444&amp;v=3705991:3706276&amp;c=444444", "offset 65")</f>
        <v>offset 65</v>
      </c>
    </row>
    <row r="13127" customFormat="false" ht="12.8" hidden="false" customHeight="false" outlineLevel="0" collapsed="false">
      <c r="A13127" s="0" t="s">
        <v>12</v>
      </c>
      <c r="B13127" s="0" t="n">
        <v>3706122</v>
      </c>
      <c r="C13127" s="0" t="n">
        <v>3706142</v>
      </c>
      <c r="D13127" s="0" t="s">
        <v>43745</v>
      </c>
      <c r="E13127" s="0" t="s">
        <v>89</v>
      </c>
      <c r="F13127" s="0" t="s">
        <v>90</v>
      </c>
      <c r="G13127" s="0" t="s">
        <v>16</v>
      </c>
      <c r="H13127" s="0" t="n">
        <v>92</v>
      </c>
      <c r="I13127" s="0" t="s">
        <v>43752</v>
      </c>
      <c r="J13127" s="0" t="s">
        <v>43753</v>
      </c>
      <c r="K13127" s="0" t="s">
        <v>43754</v>
      </c>
      <c r="L13127" s="0" t="str">
        <f aca="false">HYPERLINK("https://www.ncbi.nlm.nih.gov/nuccore/CP000304.1?report=graph&amp;tracks=[key:gene_model_track,Options:GeneOnly]&amp;mk=3706192:3706211|offset_23|444444,3706150:3706169|offset_65|444444,3706123:3706142|offset_92|00cc00,3706057:3706076|offset_158|444444&amp;v=3705991:3706276&amp;c=444444", "offset 92")</f>
        <v>offset 92</v>
      </c>
    </row>
    <row r="13128" customFormat="false" ht="12.8" hidden="false" customHeight="false" outlineLevel="0" collapsed="false">
      <c r="A13128" s="0" t="s">
        <v>12</v>
      </c>
      <c r="B13128" s="0" t="n">
        <v>3706056</v>
      </c>
      <c r="C13128" s="0" t="n">
        <v>3706076</v>
      </c>
      <c r="D13128" s="0" t="s">
        <v>43745</v>
      </c>
      <c r="E13128" s="0" t="s">
        <v>89</v>
      </c>
      <c r="F13128" s="0" t="s">
        <v>90</v>
      </c>
      <c r="G13128" s="0" t="s">
        <v>16</v>
      </c>
      <c r="H13128" s="0" t="n">
        <v>158</v>
      </c>
      <c r="I13128" s="0" t="s">
        <v>43755</v>
      </c>
      <c r="J13128" s="0" t="s">
        <v>43756</v>
      </c>
      <c r="K13128" s="0" t="s">
        <v>43757</v>
      </c>
      <c r="L13128" s="0" t="str">
        <f aca="false">HYPERLINK("https://www.ncbi.nlm.nih.gov/nuccore/CP000304.1?report=graph&amp;tracks=[key:gene_model_track,Options:GeneOnly]&amp;mk=3706192:3706211|offset_23|444444,3706150:3706169|offset_65|444444,3706123:3706142|offset_92|444444,3706057:3706076|offset_158|00cc00&amp;v=3705991:3706276&amp;c=444444", "offset 158")</f>
        <v>offset 158</v>
      </c>
    </row>
    <row r="13129" customFormat="false" ht="12.8" hidden="false" customHeight="false" outlineLevel="0" collapsed="false">
      <c r="A13129" s="0" t="s">
        <v>12</v>
      </c>
      <c r="B13129" s="0" t="n">
        <v>3706616</v>
      </c>
      <c r="C13129" s="0" t="n">
        <v>3706636</v>
      </c>
      <c r="D13129" s="0" t="s">
        <v>43758</v>
      </c>
      <c r="E13129" s="0" t="s">
        <v>89</v>
      </c>
      <c r="F13129" s="0" t="s">
        <v>90</v>
      </c>
      <c r="G13129" s="0" t="s">
        <v>32</v>
      </c>
      <c r="H13129" s="0" t="n">
        <v>7</v>
      </c>
      <c r="I13129" s="0" t="s">
        <v>43759</v>
      </c>
      <c r="J13129" s="0" t="s">
        <v>43760</v>
      </c>
      <c r="K13129" s="0" t="s">
        <v>43761</v>
      </c>
      <c r="L13129" s="0" t="str">
        <f aca="false">HYPERLINK("https://www.ncbi.nlm.nih.gov/nuccore/CP000304.1?report=graph&amp;tracks=[key:gene_model_track,Options:GeneOnly]&amp;mk=3706617:3706636|offset_7|00cc00,3706584:3706603|offset_40|444444,3706559:3706578|offset_65|444444,3706525:3706544|offset_99|444444&amp;v=3706416:3706744&amp;c=444444", "offset 7")</f>
        <v>offset 7</v>
      </c>
    </row>
    <row r="13130" customFormat="false" ht="12.8" hidden="false" customHeight="false" outlineLevel="0" collapsed="false">
      <c r="A13130" s="0" t="s">
        <v>12</v>
      </c>
      <c r="B13130" s="0" t="n">
        <v>3706583</v>
      </c>
      <c r="C13130" s="0" t="n">
        <v>3706603</v>
      </c>
      <c r="D13130" s="0" t="s">
        <v>43758</v>
      </c>
      <c r="E13130" s="0" t="s">
        <v>89</v>
      </c>
      <c r="F13130" s="0" t="s">
        <v>90</v>
      </c>
      <c r="G13130" s="0" t="s">
        <v>16</v>
      </c>
      <c r="H13130" s="0" t="n">
        <v>40</v>
      </c>
      <c r="I13130" s="0" t="s">
        <v>43762</v>
      </c>
      <c r="J13130" s="0" t="s">
        <v>43763</v>
      </c>
      <c r="K13130" s="0" t="s">
        <v>43764</v>
      </c>
      <c r="L13130" s="0" t="str">
        <f aca="false">HYPERLINK("https://www.ncbi.nlm.nih.gov/nuccore/CP000304.1?report=graph&amp;tracks=[key:gene_model_track,Options:GeneOnly]&amp;mk=3706617:3706636|offset_7|444444,3706584:3706603|offset_40|00cc00,3706559:3706578|offset_65|444444,3706525:3706544|offset_99|444444&amp;v=3706416:3706744&amp;c=444444", "offset 40")</f>
        <v>offset 40</v>
      </c>
    </row>
    <row r="13131" customFormat="false" ht="12.8" hidden="false" customHeight="false" outlineLevel="0" collapsed="false">
      <c r="A13131" s="0" t="s">
        <v>12</v>
      </c>
      <c r="B13131" s="0" t="n">
        <v>3706558</v>
      </c>
      <c r="C13131" s="0" t="n">
        <v>3706578</v>
      </c>
      <c r="D13131" s="0" t="s">
        <v>43758</v>
      </c>
      <c r="E13131" s="0" t="s">
        <v>89</v>
      </c>
      <c r="F13131" s="0" t="s">
        <v>90</v>
      </c>
      <c r="G13131" s="0" t="s">
        <v>16</v>
      </c>
      <c r="H13131" s="0" t="n">
        <v>65</v>
      </c>
      <c r="I13131" s="0" t="s">
        <v>43765</v>
      </c>
      <c r="J13131" s="0" t="s">
        <v>43766</v>
      </c>
      <c r="K13131" s="0" t="s">
        <v>43767</v>
      </c>
      <c r="L13131" s="0" t="str">
        <f aca="false">HYPERLINK("https://www.ncbi.nlm.nih.gov/nuccore/CP000304.1?report=graph&amp;tracks=[key:gene_model_track,Options:GeneOnly]&amp;mk=3706617:3706636|offset_7|444444,3706584:3706603|offset_40|444444,3706559:3706578|offset_65|00cc00,3706525:3706544|offset_99|444444&amp;v=3706416:3706744&amp;c=444444", "offset 65")</f>
        <v>offset 65</v>
      </c>
    </row>
    <row r="13132" customFormat="false" ht="12.8" hidden="false" customHeight="false" outlineLevel="0" collapsed="false">
      <c r="A13132" s="0" t="s">
        <v>12</v>
      </c>
      <c r="B13132" s="0" t="n">
        <v>3706524</v>
      </c>
      <c r="C13132" s="0" t="n">
        <v>3706544</v>
      </c>
      <c r="D13132" s="0" t="s">
        <v>43758</v>
      </c>
      <c r="E13132" s="0" t="s">
        <v>89</v>
      </c>
      <c r="F13132" s="0" t="s">
        <v>90</v>
      </c>
      <c r="G13132" s="0" t="s">
        <v>32</v>
      </c>
      <c r="H13132" s="0" t="n">
        <v>99</v>
      </c>
      <c r="I13132" s="0" t="s">
        <v>43768</v>
      </c>
      <c r="J13132" s="0" t="s">
        <v>43769</v>
      </c>
      <c r="K13132" s="0" t="s">
        <v>43770</v>
      </c>
      <c r="L13132" s="0" t="str">
        <f aca="false">HYPERLINK("https://www.ncbi.nlm.nih.gov/nuccore/CP000304.1?report=graph&amp;tracks=[key:gene_model_track,Options:GeneOnly]&amp;mk=3706617:3706636|offset_7|444444,3706584:3706603|offset_40|444444,3706559:3706578|offset_65|444444,3706525:3706544|offset_99|00cc00&amp;v=3706416:3706744&amp;c=444444", "offset 99")</f>
        <v>offset 99</v>
      </c>
    </row>
    <row r="13133" customFormat="false" ht="12.8" hidden="false" customHeight="false" outlineLevel="0" collapsed="false">
      <c r="A13133" s="0" t="s">
        <v>12</v>
      </c>
      <c r="B13133" s="0" t="n">
        <v>3706736</v>
      </c>
      <c r="C13133" s="0" t="n">
        <v>3706756</v>
      </c>
      <c r="D13133" s="0" t="s">
        <v>43771</v>
      </c>
      <c r="E13133" s="0" t="s">
        <v>89</v>
      </c>
      <c r="F13133" s="0" t="s">
        <v>15</v>
      </c>
      <c r="G13133" s="0" t="s">
        <v>16</v>
      </c>
      <c r="H13133" s="0" t="n">
        <v>19</v>
      </c>
      <c r="I13133" s="0" t="s">
        <v>43772</v>
      </c>
      <c r="J13133" s="0" t="s">
        <v>43773</v>
      </c>
      <c r="K13133" s="0" t="s">
        <v>43774</v>
      </c>
      <c r="L13133" s="0" t="str">
        <f aca="false">HYPERLINK("https://www.ncbi.nlm.nih.gov/nuccore/CP000304.1?report=graph&amp;tracks=[key:gene_model_track,Options:GeneOnly]&amp;mk=3706737:3706756|offset_19|00cc00,3706770:3706789|offset_52|444444,3706802:3706821|offset_84|444444,3706854:3706873|offset_136|444444&amp;v=3706536:3707073&amp;c=444444", "offset 19")</f>
        <v>offset 19</v>
      </c>
    </row>
    <row r="13134" customFormat="false" ht="12.8" hidden="false" customHeight="false" outlineLevel="0" collapsed="false">
      <c r="A13134" s="0" t="s">
        <v>12</v>
      </c>
      <c r="B13134" s="0" t="n">
        <v>3706769</v>
      </c>
      <c r="C13134" s="0" t="n">
        <v>3706789</v>
      </c>
      <c r="D13134" s="0" t="s">
        <v>43771</v>
      </c>
      <c r="E13134" s="0" t="s">
        <v>89</v>
      </c>
      <c r="F13134" s="0" t="s">
        <v>15</v>
      </c>
      <c r="G13134" s="0" t="s">
        <v>16</v>
      </c>
      <c r="H13134" s="0" t="n">
        <v>52</v>
      </c>
      <c r="I13134" s="0" t="s">
        <v>43775</v>
      </c>
      <c r="J13134" s="0" t="s">
        <v>43776</v>
      </c>
      <c r="K13134" s="0" t="s">
        <v>43777</v>
      </c>
      <c r="L13134" s="0" t="str">
        <f aca="false">HYPERLINK("https://www.ncbi.nlm.nih.gov/nuccore/CP000304.1?report=graph&amp;tracks=[key:gene_model_track,Options:GeneOnly]&amp;mk=3706737:3706756|offset_19|444444,3706770:3706789|offset_52|00cc00,3706802:3706821|offset_84|444444,3706854:3706873|offset_136|444444&amp;v=3706536:3707073&amp;c=444444", "offset 52")</f>
        <v>offset 52</v>
      </c>
    </row>
    <row r="13135" customFormat="false" ht="12.8" hidden="false" customHeight="false" outlineLevel="0" collapsed="false">
      <c r="A13135" s="0" t="s">
        <v>12</v>
      </c>
      <c r="B13135" s="0" t="n">
        <v>3706801</v>
      </c>
      <c r="C13135" s="0" t="n">
        <v>3706821</v>
      </c>
      <c r="D13135" s="0" t="s">
        <v>43771</v>
      </c>
      <c r="E13135" s="0" t="s">
        <v>89</v>
      </c>
      <c r="F13135" s="0" t="s">
        <v>15</v>
      </c>
      <c r="G13135" s="0" t="s">
        <v>32</v>
      </c>
      <c r="H13135" s="0" t="n">
        <v>84</v>
      </c>
      <c r="I13135" s="0" t="s">
        <v>43778</v>
      </c>
      <c r="J13135" s="0" t="s">
        <v>43779</v>
      </c>
      <c r="K13135" s="0" t="s">
        <v>43780</v>
      </c>
      <c r="L13135" s="0" t="str">
        <f aca="false">HYPERLINK("https://www.ncbi.nlm.nih.gov/nuccore/CP000304.1?report=graph&amp;tracks=[key:gene_model_track,Options:GeneOnly]&amp;mk=3706737:3706756|offset_19|444444,3706770:3706789|offset_52|444444,3706802:3706821|offset_84|00cc00,3706854:3706873|offset_136|444444&amp;v=3706536:3707073&amp;c=444444", "offset 84")</f>
        <v>offset 84</v>
      </c>
    </row>
    <row r="13136" customFormat="false" ht="12.8" hidden="false" customHeight="false" outlineLevel="0" collapsed="false">
      <c r="A13136" s="0" t="s">
        <v>12</v>
      </c>
      <c r="B13136" s="0" t="n">
        <v>3706853</v>
      </c>
      <c r="C13136" s="0" t="n">
        <v>3706873</v>
      </c>
      <c r="D13136" s="0" t="s">
        <v>43771</v>
      </c>
      <c r="E13136" s="0" t="s">
        <v>89</v>
      </c>
      <c r="F13136" s="0" t="s">
        <v>15</v>
      </c>
      <c r="G13136" s="0" t="s">
        <v>32</v>
      </c>
      <c r="H13136" s="0" t="n">
        <v>136</v>
      </c>
      <c r="I13136" s="0" t="s">
        <v>43781</v>
      </c>
      <c r="J13136" s="0" t="s">
        <v>43782</v>
      </c>
      <c r="K13136" s="0" t="s">
        <v>43783</v>
      </c>
      <c r="L13136" s="0" t="str">
        <f aca="false">HYPERLINK("https://www.ncbi.nlm.nih.gov/nuccore/CP000304.1?report=graph&amp;tracks=[key:gene_model_track,Options:GeneOnly]&amp;mk=3706737:3706756|offset_19|444444,3706770:3706789|offset_52|444444,3706802:3706821|offset_84|444444,3706854:3706873|offset_136|00cc00&amp;v=3706536:3707073&amp;c=444444", "offset 136")</f>
        <v>offset 136</v>
      </c>
    </row>
    <row r="13137" customFormat="false" ht="12.8" hidden="false" customHeight="false" outlineLevel="0" collapsed="false">
      <c r="A13137" s="0" t="s">
        <v>12</v>
      </c>
      <c r="B13137" s="0" t="n">
        <v>3707081</v>
      </c>
      <c r="C13137" s="0" t="n">
        <v>3707101</v>
      </c>
      <c r="D13137" s="0" t="s">
        <v>43784</v>
      </c>
      <c r="E13137" s="0" t="s">
        <v>89</v>
      </c>
      <c r="F13137" s="0" t="s">
        <v>15</v>
      </c>
      <c r="G13137" s="0" t="s">
        <v>32</v>
      </c>
      <c r="H13137" s="0" t="n">
        <v>1</v>
      </c>
      <c r="I13137" s="0" t="s">
        <v>43785</v>
      </c>
      <c r="J13137" s="0" t="s">
        <v>43786</v>
      </c>
      <c r="K13137" s="0" t="s">
        <v>43787</v>
      </c>
      <c r="L13137" s="0" t="str">
        <f aca="false">HYPERLINK("https://www.ncbi.nlm.nih.gov/nuccore/CP000304.1?report=graph&amp;tracks=[key:gene_model_track,Options:GeneOnly]&amp;mk=3707082:3707101|offset_1|00cc00,3707103:3707122|offset_22|444444,3707141:3707160|offset_60|444444,3707192:3707211|offset_111|444444&amp;v=3706881:3707411&amp;c=444444", "offset 1")</f>
        <v>offset 1</v>
      </c>
    </row>
    <row r="13138" customFormat="false" ht="12.8" hidden="false" customHeight="false" outlineLevel="0" collapsed="false">
      <c r="A13138" s="0" t="s">
        <v>12</v>
      </c>
      <c r="B13138" s="0" t="n">
        <v>3707102</v>
      </c>
      <c r="C13138" s="0" t="n">
        <v>3707122</v>
      </c>
      <c r="D13138" s="0" t="s">
        <v>43784</v>
      </c>
      <c r="E13138" s="0" t="s">
        <v>89</v>
      </c>
      <c r="F13138" s="0" t="s">
        <v>15</v>
      </c>
      <c r="G13138" s="0" t="s">
        <v>16</v>
      </c>
      <c r="H13138" s="0" t="n">
        <v>22</v>
      </c>
      <c r="I13138" s="0" t="s">
        <v>43788</v>
      </c>
      <c r="J13138" s="0" t="s">
        <v>43789</v>
      </c>
      <c r="K13138" s="0" t="s">
        <v>43790</v>
      </c>
      <c r="L13138" s="0" t="str">
        <f aca="false">HYPERLINK("https://www.ncbi.nlm.nih.gov/nuccore/CP000304.1?report=graph&amp;tracks=[key:gene_model_track,Options:GeneOnly]&amp;mk=3707082:3707101|offset_1|444444,3707103:3707122|offset_22|00cc00,3707141:3707160|offset_60|444444,3707192:3707211|offset_111|444444&amp;v=3706881:3707411&amp;c=444444", "offset 22")</f>
        <v>offset 22</v>
      </c>
    </row>
    <row r="13139" customFormat="false" ht="12.8" hidden="false" customHeight="false" outlineLevel="0" collapsed="false">
      <c r="A13139" s="0" t="s">
        <v>12</v>
      </c>
      <c r="B13139" s="0" t="n">
        <v>3707140</v>
      </c>
      <c r="C13139" s="0" t="n">
        <v>3707160</v>
      </c>
      <c r="D13139" s="0" t="s">
        <v>43784</v>
      </c>
      <c r="E13139" s="0" t="s">
        <v>89</v>
      </c>
      <c r="F13139" s="0" t="s">
        <v>15</v>
      </c>
      <c r="G13139" s="0" t="s">
        <v>36</v>
      </c>
      <c r="H13139" s="0" t="n">
        <v>60</v>
      </c>
      <c r="I13139" s="0" t="s">
        <v>43791</v>
      </c>
      <c r="J13139" s="0" t="s">
        <v>43792</v>
      </c>
      <c r="K13139" s="0" t="s">
        <v>43793</v>
      </c>
      <c r="L13139" s="0" t="str">
        <f aca="false">HYPERLINK("https://www.ncbi.nlm.nih.gov/nuccore/CP000304.1?report=graph&amp;tracks=[key:gene_model_track,Options:GeneOnly]&amp;mk=3707082:3707101|offset_1|444444,3707103:3707122|offset_22|444444,3707141:3707160|offset_60|00cc00,3707192:3707211|offset_111|444444&amp;v=3706881:3707411&amp;c=444444", "offset 60")</f>
        <v>offset 60</v>
      </c>
    </row>
    <row r="13140" customFormat="false" ht="12.8" hidden="false" customHeight="false" outlineLevel="0" collapsed="false">
      <c r="A13140" s="0" t="s">
        <v>12</v>
      </c>
      <c r="B13140" s="0" t="n">
        <v>3707191</v>
      </c>
      <c r="C13140" s="0" t="n">
        <v>3707211</v>
      </c>
      <c r="D13140" s="0" t="s">
        <v>43784</v>
      </c>
      <c r="E13140" s="0" t="s">
        <v>89</v>
      </c>
      <c r="F13140" s="0" t="s">
        <v>15</v>
      </c>
      <c r="G13140" s="0" t="s">
        <v>16</v>
      </c>
      <c r="H13140" s="0" t="n">
        <v>111</v>
      </c>
      <c r="I13140" s="0" t="s">
        <v>43794</v>
      </c>
      <c r="J13140" s="0" t="s">
        <v>43795</v>
      </c>
      <c r="K13140" s="0" t="s">
        <v>43796</v>
      </c>
      <c r="L13140" s="0" t="str">
        <f aca="false">HYPERLINK("https://www.ncbi.nlm.nih.gov/nuccore/CP000304.1?report=graph&amp;tracks=[key:gene_model_track,Options:GeneOnly]&amp;mk=3707082:3707101|offset_1|444444,3707103:3707122|offset_22|444444,3707141:3707160|offset_60|444444,3707192:3707211|offset_111|00cc00&amp;v=3706881:3707411&amp;c=444444", "offset 111")</f>
        <v>offset 111</v>
      </c>
    </row>
    <row r="13141" customFormat="false" ht="12.8" hidden="false" customHeight="false" outlineLevel="0" collapsed="false">
      <c r="A13141" s="0" t="s">
        <v>12</v>
      </c>
      <c r="B13141" s="0" t="n">
        <v>3707373</v>
      </c>
      <c r="C13141" s="0" t="n">
        <v>3707393</v>
      </c>
      <c r="D13141" s="0" t="s">
        <v>43797</v>
      </c>
      <c r="E13141" s="0" t="s">
        <v>89</v>
      </c>
      <c r="F13141" s="0" t="s">
        <v>15</v>
      </c>
      <c r="G13141" s="0" t="s">
        <v>32</v>
      </c>
      <c r="H13141" s="0" t="n">
        <v>10</v>
      </c>
      <c r="I13141" s="0" t="s">
        <v>43798</v>
      </c>
      <c r="J13141" s="0" t="s">
        <v>43799</v>
      </c>
      <c r="K13141" s="0" t="s">
        <v>43800</v>
      </c>
      <c r="L13141" s="0" t="str">
        <f aca="false">HYPERLINK("https://www.ncbi.nlm.nih.gov/nuccore/CP000304.1?report=graph&amp;tracks=[key:gene_model_track,Options:GeneOnly]&amp;mk=3707374:3707393|offset_10|00cc00,3707402:3707421|offset_38|444444,3707424:3707443|offset_60|444444,3707446:3707465|offset_82|444444&amp;v=3707173:3707665&amp;c=444444", "offset 10")</f>
        <v>offset 10</v>
      </c>
    </row>
    <row r="13142" customFormat="false" ht="12.8" hidden="false" customHeight="false" outlineLevel="0" collapsed="false">
      <c r="A13142" s="0" t="s">
        <v>12</v>
      </c>
      <c r="B13142" s="0" t="n">
        <v>3707401</v>
      </c>
      <c r="C13142" s="0" t="n">
        <v>3707421</v>
      </c>
      <c r="D13142" s="0" t="s">
        <v>43797</v>
      </c>
      <c r="E13142" s="0" t="s">
        <v>89</v>
      </c>
      <c r="F13142" s="0" t="s">
        <v>15</v>
      </c>
      <c r="G13142" s="0" t="s">
        <v>36</v>
      </c>
      <c r="H13142" s="0" t="n">
        <v>38</v>
      </c>
      <c r="I13142" s="0" t="s">
        <v>43801</v>
      </c>
      <c r="J13142" s="0" t="s">
        <v>43802</v>
      </c>
      <c r="K13142" s="0" t="s">
        <v>43803</v>
      </c>
      <c r="L13142" s="0" t="str">
        <f aca="false">HYPERLINK("https://www.ncbi.nlm.nih.gov/nuccore/CP000304.1?report=graph&amp;tracks=[key:gene_model_track,Options:GeneOnly]&amp;mk=3707374:3707393|offset_10|444444,3707402:3707421|offset_38|00cc00,3707424:3707443|offset_60|444444,3707446:3707465|offset_82|444444&amp;v=3707173:3707665&amp;c=444444", "offset 38")</f>
        <v>offset 38</v>
      </c>
    </row>
    <row r="13143" customFormat="false" ht="12.8" hidden="false" customHeight="false" outlineLevel="0" collapsed="false">
      <c r="A13143" s="0" t="s">
        <v>12</v>
      </c>
      <c r="B13143" s="0" t="n">
        <v>3707423</v>
      </c>
      <c r="C13143" s="0" t="n">
        <v>3707443</v>
      </c>
      <c r="D13143" s="0" t="s">
        <v>43797</v>
      </c>
      <c r="E13143" s="0" t="s">
        <v>89</v>
      </c>
      <c r="F13143" s="0" t="s">
        <v>15</v>
      </c>
      <c r="G13143" s="0" t="s">
        <v>16</v>
      </c>
      <c r="H13143" s="0" t="n">
        <v>60</v>
      </c>
      <c r="I13143" s="0" t="s">
        <v>43804</v>
      </c>
      <c r="J13143" s="0" t="s">
        <v>43805</v>
      </c>
      <c r="K13143" s="0" t="s">
        <v>43806</v>
      </c>
      <c r="L13143" s="0" t="str">
        <f aca="false">HYPERLINK("https://www.ncbi.nlm.nih.gov/nuccore/CP000304.1?report=graph&amp;tracks=[key:gene_model_track,Options:GeneOnly]&amp;mk=3707374:3707393|offset_10|444444,3707402:3707421|offset_38|444444,3707424:3707443|offset_60|00cc00,3707446:3707465|offset_82|444444&amp;v=3707173:3707665&amp;c=444444", "offset 60")</f>
        <v>offset 60</v>
      </c>
    </row>
    <row r="13144" customFormat="false" ht="12.8" hidden="false" customHeight="false" outlineLevel="0" collapsed="false">
      <c r="A13144" s="0" t="s">
        <v>12</v>
      </c>
      <c r="B13144" s="0" t="n">
        <v>3707445</v>
      </c>
      <c r="C13144" s="0" t="n">
        <v>3707465</v>
      </c>
      <c r="D13144" s="0" t="s">
        <v>43797</v>
      </c>
      <c r="E13144" s="0" t="s">
        <v>89</v>
      </c>
      <c r="F13144" s="0" t="s">
        <v>15</v>
      </c>
      <c r="G13144" s="0" t="s">
        <v>26</v>
      </c>
      <c r="H13144" s="0" t="n">
        <v>82</v>
      </c>
      <c r="I13144" s="0" t="s">
        <v>43807</v>
      </c>
      <c r="J13144" s="0" t="s">
        <v>43808</v>
      </c>
      <c r="K13144" s="0" t="s">
        <v>43809</v>
      </c>
      <c r="L13144" s="0" t="str">
        <f aca="false">HYPERLINK("https://www.ncbi.nlm.nih.gov/nuccore/CP000304.1?report=graph&amp;tracks=[key:gene_model_track,Options:GeneOnly]&amp;mk=3707374:3707393|offset_10|444444,3707402:3707421|offset_38|444444,3707424:3707443|offset_60|444444,3707446:3707465|offset_82|00cc00&amp;v=3707173:3707665&amp;c=444444", "offset 82")</f>
        <v>offset 82</v>
      </c>
    </row>
    <row r="13145" customFormat="false" ht="12.8" hidden="false" customHeight="false" outlineLevel="0" collapsed="false">
      <c r="A13145" s="0" t="s">
        <v>12</v>
      </c>
      <c r="B13145" s="0" t="n">
        <v>3710556</v>
      </c>
      <c r="C13145" s="0" t="n">
        <v>3710576</v>
      </c>
      <c r="D13145" s="0" t="s">
        <v>43810</v>
      </c>
      <c r="E13145" s="0" t="s">
        <v>89</v>
      </c>
      <c r="F13145" s="0" t="s">
        <v>90</v>
      </c>
      <c r="G13145" s="0" t="s">
        <v>16</v>
      </c>
      <c r="H13145" s="0" t="n">
        <v>6</v>
      </c>
      <c r="I13145" s="0" t="s">
        <v>43811</v>
      </c>
      <c r="J13145" s="0" t="s">
        <v>43812</v>
      </c>
      <c r="K13145" s="0" t="s">
        <v>43813</v>
      </c>
      <c r="L13145" s="0" t="str">
        <f aca="false">HYPERLINK("https://www.ncbi.nlm.nih.gov/nuccore/CP000304.1?report=graph&amp;tracks=[key:gene_model_track,Options:GeneOnly]&amp;mk=3710557:3710576|offset_6|00cc00,3710516:3710535|offset_47|444444,3710495:3710514|offset_68|444444,3710471:3710490|offset_92|444444&amp;v=3710356:3710690&amp;c=444444", "offset 6")</f>
        <v>offset 6</v>
      </c>
    </row>
    <row r="13146" customFormat="false" ht="12.8" hidden="false" customHeight="false" outlineLevel="0" collapsed="false">
      <c r="A13146" s="0" t="s">
        <v>12</v>
      </c>
      <c r="B13146" s="0" t="n">
        <v>3710515</v>
      </c>
      <c r="C13146" s="0" t="n">
        <v>3710535</v>
      </c>
      <c r="D13146" s="0" t="s">
        <v>43810</v>
      </c>
      <c r="E13146" s="0" t="s">
        <v>89</v>
      </c>
      <c r="F13146" s="0" t="s">
        <v>90</v>
      </c>
      <c r="G13146" s="0" t="s">
        <v>16</v>
      </c>
      <c r="H13146" s="0" t="n">
        <v>47</v>
      </c>
      <c r="I13146" s="0" t="s">
        <v>43814</v>
      </c>
      <c r="J13146" s="0" t="s">
        <v>43815</v>
      </c>
      <c r="K13146" s="0" t="s">
        <v>43816</v>
      </c>
      <c r="L13146" s="0" t="str">
        <f aca="false">HYPERLINK("https://www.ncbi.nlm.nih.gov/nuccore/CP000304.1?report=graph&amp;tracks=[key:gene_model_track,Options:GeneOnly]&amp;mk=3710557:3710576|offset_6|444444,3710516:3710535|offset_47|00cc00,3710495:3710514|offset_68|444444,3710471:3710490|offset_92|444444&amp;v=3710356:3710690&amp;c=444444", "offset 47")</f>
        <v>offset 47</v>
      </c>
    </row>
    <row r="13147" customFormat="false" ht="12.8" hidden="false" customHeight="false" outlineLevel="0" collapsed="false">
      <c r="A13147" s="0" t="s">
        <v>12</v>
      </c>
      <c r="B13147" s="0" t="n">
        <v>3710494</v>
      </c>
      <c r="C13147" s="0" t="n">
        <v>3710514</v>
      </c>
      <c r="D13147" s="0" t="s">
        <v>43810</v>
      </c>
      <c r="E13147" s="0" t="s">
        <v>89</v>
      </c>
      <c r="F13147" s="0" t="s">
        <v>90</v>
      </c>
      <c r="G13147" s="0" t="s">
        <v>16</v>
      </c>
      <c r="H13147" s="0" t="n">
        <v>68</v>
      </c>
      <c r="I13147" s="0" t="s">
        <v>43817</v>
      </c>
      <c r="J13147" s="0" t="s">
        <v>43818</v>
      </c>
      <c r="K13147" s="0" t="s">
        <v>43819</v>
      </c>
      <c r="L13147" s="0" t="str">
        <f aca="false">HYPERLINK("https://www.ncbi.nlm.nih.gov/nuccore/CP000304.1?report=graph&amp;tracks=[key:gene_model_track,Options:GeneOnly]&amp;mk=3710557:3710576|offset_6|444444,3710516:3710535|offset_47|444444,3710495:3710514|offset_68|00cc00,3710471:3710490|offset_92|444444&amp;v=3710356:3710690&amp;c=444444", "offset 68")</f>
        <v>offset 68</v>
      </c>
    </row>
    <row r="13148" customFormat="false" ht="12.8" hidden="false" customHeight="false" outlineLevel="0" collapsed="false">
      <c r="A13148" s="0" t="s">
        <v>12</v>
      </c>
      <c r="B13148" s="0" t="n">
        <v>3710470</v>
      </c>
      <c r="C13148" s="0" t="n">
        <v>3710490</v>
      </c>
      <c r="D13148" s="0" t="s">
        <v>43810</v>
      </c>
      <c r="E13148" s="0" t="s">
        <v>89</v>
      </c>
      <c r="F13148" s="0" t="s">
        <v>90</v>
      </c>
      <c r="G13148" s="0" t="s">
        <v>32</v>
      </c>
      <c r="H13148" s="0" t="n">
        <v>92</v>
      </c>
      <c r="I13148" s="0" t="s">
        <v>43820</v>
      </c>
      <c r="J13148" s="0" t="s">
        <v>43821</v>
      </c>
      <c r="K13148" s="0" t="s">
        <v>43822</v>
      </c>
      <c r="L13148" s="0" t="str">
        <f aca="false">HYPERLINK("https://www.ncbi.nlm.nih.gov/nuccore/CP000304.1?report=graph&amp;tracks=[key:gene_model_track,Options:GeneOnly]&amp;mk=3710557:3710576|offset_6|444444,3710516:3710535|offset_47|444444,3710495:3710514|offset_68|444444,3710471:3710490|offset_92|00cc00&amp;v=3710356:3710690&amp;c=444444", "offset 92")</f>
        <v>offset 92</v>
      </c>
    </row>
    <row r="13149" customFormat="false" ht="12.8" hidden="false" customHeight="false" outlineLevel="0" collapsed="false">
      <c r="A13149" s="0" t="s">
        <v>12</v>
      </c>
      <c r="B13149" s="0" t="n">
        <v>3710954</v>
      </c>
      <c r="C13149" s="0" t="n">
        <v>3710974</v>
      </c>
      <c r="D13149" s="0" t="s">
        <v>43823</v>
      </c>
      <c r="E13149" s="0" t="s">
        <v>89</v>
      </c>
      <c r="F13149" s="0" t="s">
        <v>90</v>
      </c>
      <c r="G13149" s="0" t="s">
        <v>32</v>
      </c>
      <c r="H13149" s="0" t="n">
        <v>22</v>
      </c>
      <c r="I13149" s="0" t="s">
        <v>43824</v>
      </c>
      <c r="J13149" s="0" t="s">
        <v>43825</v>
      </c>
      <c r="K13149" s="0" t="s">
        <v>43826</v>
      </c>
      <c r="L13149" s="0" t="str">
        <f aca="false">HYPERLINK("https://www.ncbi.nlm.nih.gov/nuccore/CP000304.1?report=graph&amp;tracks=[key:gene_model_track,Options:GeneOnly]&amp;mk=3710955:3710974|offset_22|00cc00,3710926:3710945|offset_51|444444,3710900:3710919|offset_77|444444,3710865:3710884|offset_112|444444&amp;v=3710754:3711084&amp;c=444444", "offset 22")</f>
        <v>offset 22</v>
      </c>
    </row>
    <row r="13150" customFormat="false" ht="12.8" hidden="false" customHeight="false" outlineLevel="0" collapsed="false">
      <c r="A13150" s="0" t="s">
        <v>12</v>
      </c>
      <c r="B13150" s="0" t="n">
        <v>3710925</v>
      </c>
      <c r="C13150" s="0" t="n">
        <v>3710945</v>
      </c>
      <c r="D13150" s="0" t="s">
        <v>43823</v>
      </c>
      <c r="E13150" s="0" t="s">
        <v>89</v>
      </c>
      <c r="F13150" s="0" t="s">
        <v>90</v>
      </c>
      <c r="G13150" s="0" t="s">
        <v>32</v>
      </c>
      <c r="H13150" s="0" t="n">
        <v>51</v>
      </c>
      <c r="I13150" s="0" t="s">
        <v>43827</v>
      </c>
      <c r="J13150" s="0" t="s">
        <v>43828</v>
      </c>
      <c r="K13150" s="0" t="s">
        <v>43829</v>
      </c>
      <c r="L13150" s="0" t="str">
        <f aca="false">HYPERLINK("https://www.ncbi.nlm.nih.gov/nuccore/CP000304.1?report=graph&amp;tracks=[key:gene_model_track,Options:GeneOnly]&amp;mk=3710955:3710974|offset_22|444444,3710926:3710945|offset_51|00cc00,3710900:3710919|offset_77|444444,3710865:3710884|offset_112|444444&amp;v=3710754:3711084&amp;c=444444", "offset 51")</f>
        <v>offset 51</v>
      </c>
    </row>
    <row r="13151" customFormat="false" ht="12.8" hidden="false" customHeight="false" outlineLevel="0" collapsed="false">
      <c r="A13151" s="0" t="s">
        <v>12</v>
      </c>
      <c r="B13151" s="0" t="n">
        <v>3710899</v>
      </c>
      <c r="C13151" s="0" t="n">
        <v>3710919</v>
      </c>
      <c r="D13151" s="0" t="s">
        <v>43823</v>
      </c>
      <c r="E13151" s="0" t="s">
        <v>89</v>
      </c>
      <c r="F13151" s="0" t="s">
        <v>90</v>
      </c>
      <c r="G13151" s="0" t="s">
        <v>16</v>
      </c>
      <c r="H13151" s="0" t="n">
        <v>77</v>
      </c>
      <c r="I13151" s="0" t="s">
        <v>43830</v>
      </c>
      <c r="J13151" s="0" t="s">
        <v>43831</v>
      </c>
      <c r="K13151" s="0" t="s">
        <v>43832</v>
      </c>
      <c r="L13151" s="0" t="str">
        <f aca="false">HYPERLINK("https://www.ncbi.nlm.nih.gov/nuccore/CP000304.1?report=graph&amp;tracks=[key:gene_model_track,Options:GeneOnly]&amp;mk=3710955:3710974|offset_22|444444,3710926:3710945|offset_51|444444,3710900:3710919|offset_77|00cc00,3710865:3710884|offset_112|444444&amp;v=3710754:3711084&amp;c=444444", "offset 77")</f>
        <v>offset 77</v>
      </c>
    </row>
    <row r="13152" customFormat="false" ht="12.8" hidden="false" customHeight="false" outlineLevel="0" collapsed="false">
      <c r="A13152" s="0" t="s">
        <v>12</v>
      </c>
      <c r="B13152" s="0" t="n">
        <v>3710864</v>
      </c>
      <c r="C13152" s="0" t="n">
        <v>3710884</v>
      </c>
      <c r="D13152" s="0" t="s">
        <v>43823</v>
      </c>
      <c r="E13152" s="0" t="s">
        <v>89</v>
      </c>
      <c r="F13152" s="0" t="s">
        <v>90</v>
      </c>
      <c r="G13152" s="0" t="s">
        <v>26</v>
      </c>
      <c r="H13152" s="0" t="n">
        <v>112</v>
      </c>
      <c r="I13152" s="0" t="s">
        <v>43833</v>
      </c>
      <c r="J13152" s="0" t="s">
        <v>43834</v>
      </c>
      <c r="K13152" s="0" t="s">
        <v>43835</v>
      </c>
      <c r="L13152" s="0" t="str">
        <f aca="false">HYPERLINK("https://www.ncbi.nlm.nih.gov/nuccore/CP000304.1?report=graph&amp;tracks=[key:gene_model_track,Options:GeneOnly]&amp;mk=3710955:3710974|offset_22|444444,3710926:3710945|offset_51|444444,3710900:3710919|offset_77|444444,3710865:3710884|offset_112|00cc00&amp;v=3710754:3711084&amp;c=444444", "offset 112")</f>
        <v>offset 112</v>
      </c>
    </row>
    <row r="13153" customFormat="false" ht="12.8" hidden="false" customHeight="false" outlineLevel="0" collapsed="false">
      <c r="A13153" s="0" t="s">
        <v>12</v>
      </c>
      <c r="B13153" s="0" t="n">
        <v>3711205</v>
      </c>
      <c r="C13153" s="0" t="n">
        <v>3711225</v>
      </c>
      <c r="D13153" s="0" t="s">
        <v>43836</v>
      </c>
      <c r="E13153" s="0" t="s">
        <v>89</v>
      </c>
      <c r="F13153" s="0" t="s">
        <v>90</v>
      </c>
      <c r="G13153" s="0" t="s">
        <v>32</v>
      </c>
      <c r="H13153" s="0" t="n">
        <v>10</v>
      </c>
      <c r="I13153" s="0" t="s">
        <v>43837</v>
      </c>
      <c r="J13153" s="0" t="s">
        <v>43838</v>
      </c>
      <c r="K13153" s="0" t="s">
        <v>43839</v>
      </c>
      <c r="L13153" s="0" t="str">
        <f aca="false">HYPERLINK("https://www.ncbi.nlm.nih.gov/nuccore/CP000304.1?report=graph&amp;tracks=[key:gene_model_track,Options:GeneOnly]&amp;mk=3711206:3711225|offset_10|00cc00,3711179:3711198|offset_37|444444,3711146:3711165|offset_70|444444,3711118:3711137|offset_98|444444&amp;v=3711005:3711337&amp;c=444444", "offset 10")</f>
        <v>offset 10</v>
      </c>
    </row>
    <row r="13154" customFormat="false" ht="12.8" hidden="false" customHeight="false" outlineLevel="0" collapsed="false">
      <c r="A13154" s="0" t="s">
        <v>12</v>
      </c>
      <c r="B13154" s="0" t="n">
        <v>3711178</v>
      </c>
      <c r="C13154" s="0" t="n">
        <v>3711198</v>
      </c>
      <c r="D13154" s="0" t="s">
        <v>43836</v>
      </c>
      <c r="E13154" s="0" t="s">
        <v>89</v>
      </c>
      <c r="F13154" s="0" t="s">
        <v>90</v>
      </c>
      <c r="G13154" s="0" t="s">
        <v>16</v>
      </c>
      <c r="H13154" s="0" t="n">
        <v>37</v>
      </c>
      <c r="I13154" s="0" t="s">
        <v>43840</v>
      </c>
      <c r="J13154" s="0" t="s">
        <v>43841</v>
      </c>
      <c r="K13154" s="0" t="s">
        <v>43842</v>
      </c>
      <c r="L13154" s="0" t="str">
        <f aca="false">HYPERLINK("https://www.ncbi.nlm.nih.gov/nuccore/CP000304.1?report=graph&amp;tracks=[key:gene_model_track,Options:GeneOnly]&amp;mk=3711206:3711225|offset_10|444444,3711179:3711198|offset_37|00cc00,3711146:3711165|offset_70|444444,3711118:3711137|offset_98|444444&amp;v=3711005:3711337&amp;c=444444", "offset 37")</f>
        <v>offset 37</v>
      </c>
    </row>
    <row r="13155" customFormat="false" ht="12.8" hidden="false" customHeight="false" outlineLevel="0" collapsed="false">
      <c r="A13155" s="0" t="s">
        <v>12</v>
      </c>
      <c r="B13155" s="0" t="n">
        <v>3711145</v>
      </c>
      <c r="C13155" s="0" t="n">
        <v>3711165</v>
      </c>
      <c r="D13155" s="0" t="s">
        <v>43836</v>
      </c>
      <c r="E13155" s="0" t="s">
        <v>89</v>
      </c>
      <c r="F13155" s="0" t="s">
        <v>90</v>
      </c>
      <c r="G13155" s="0" t="s">
        <v>32</v>
      </c>
      <c r="H13155" s="0" t="n">
        <v>70</v>
      </c>
      <c r="I13155" s="0" t="s">
        <v>43843</v>
      </c>
      <c r="J13155" s="0" t="s">
        <v>43844</v>
      </c>
      <c r="K13155" s="0" t="s">
        <v>43845</v>
      </c>
      <c r="L13155" s="0" t="str">
        <f aca="false">HYPERLINK("https://www.ncbi.nlm.nih.gov/nuccore/CP000304.1?report=graph&amp;tracks=[key:gene_model_track,Options:GeneOnly]&amp;mk=3711206:3711225|offset_10|444444,3711179:3711198|offset_37|444444,3711146:3711165|offset_70|00cc00,3711118:3711137|offset_98|444444&amp;v=3711005:3711337&amp;c=444444", "offset 70")</f>
        <v>offset 70</v>
      </c>
    </row>
    <row r="13156" customFormat="false" ht="12.8" hidden="false" customHeight="false" outlineLevel="0" collapsed="false">
      <c r="A13156" s="0" t="s">
        <v>12</v>
      </c>
      <c r="B13156" s="0" t="n">
        <v>3711117</v>
      </c>
      <c r="C13156" s="0" t="n">
        <v>3711137</v>
      </c>
      <c r="D13156" s="0" t="s">
        <v>43836</v>
      </c>
      <c r="E13156" s="0" t="s">
        <v>89</v>
      </c>
      <c r="F13156" s="0" t="s">
        <v>90</v>
      </c>
      <c r="G13156" s="0" t="s">
        <v>26</v>
      </c>
      <c r="H13156" s="0" t="n">
        <v>98</v>
      </c>
      <c r="I13156" s="0" t="s">
        <v>43846</v>
      </c>
      <c r="J13156" s="0" t="s">
        <v>43847</v>
      </c>
      <c r="K13156" s="0" t="s">
        <v>43848</v>
      </c>
      <c r="L13156" s="0" t="str">
        <f aca="false">HYPERLINK("https://www.ncbi.nlm.nih.gov/nuccore/CP000304.1?report=graph&amp;tracks=[key:gene_model_track,Options:GeneOnly]&amp;mk=3711206:3711225|offset_10|444444,3711179:3711198|offset_37|444444,3711146:3711165|offset_70|444444,3711118:3711137|offset_98|00cc00&amp;v=3711005:3711337&amp;c=444444", "offset 98")</f>
        <v>offset 98</v>
      </c>
    </row>
    <row r="13157" customFormat="false" ht="12.8" hidden="false" customHeight="false" outlineLevel="0" collapsed="false">
      <c r="A13157" s="0" t="s">
        <v>12</v>
      </c>
      <c r="B13157" s="0" t="n">
        <v>3712276</v>
      </c>
      <c r="C13157" s="0" t="n">
        <v>3712296</v>
      </c>
      <c r="D13157" s="0" t="s">
        <v>43849</v>
      </c>
      <c r="E13157" s="0" t="s">
        <v>89</v>
      </c>
      <c r="F13157" s="0" t="s">
        <v>90</v>
      </c>
      <c r="G13157" s="0" t="s">
        <v>26</v>
      </c>
      <c r="H13157" s="0" t="n">
        <v>25</v>
      </c>
      <c r="I13157" s="0" t="s">
        <v>43850</v>
      </c>
      <c r="J13157" s="0" t="s">
        <v>43851</v>
      </c>
      <c r="K13157" s="0" t="s">
        <v>43852</v>
      </c>
      <c r="L13157" s="0" t="str">
        <f aca="false">HYPERLINK("https://www.ncbi.nlm.nih.gov/nuccore/CP000304.1?report=graph&amp;tracks=[key:gene_model_track,Options:GeneOnly]&amp;mk=3712277:3712296|offset_25|00cc00,3712184:3712203|offset_118|444444,3712153:3712172|offset_149|444444,3712100:3712119|offset_202|444444&amp;v=3712076:3712319&amp;c=444444", "offset 25")</f>
        <v>offset 25</v>
      </c>
    </row>
    <row r="13158" customFormat="false" ht="12.8" hidden="false" customHeight="false" outlineLevel="0" collapsed="false">
      <c r="A13158" s="0" t="s">
        <v>12</v>
      </c>
      <c r="B13158" s="0" t="n">
        <v>3712183</v>
      </c>
      <c r="C13158" s="0" t="n">
        <v>3712203</v>
      </c>
      <c r="D13158" s="0" t="s">
        <v>43849</v>
      </c>
      <c r="E13158" s="0" t="s">
        <v>89</v>
      </c>
      <c r="F13158" s="0" t="s">
        <v>90</v>
      </c>
      <c r="G13158" s="0" t="s">
        <v>36</v>
      </c>
      <c r="H13158" s="0" t="n">
        <v>118</v>
      </c>
      <c r="I13158" s="0" t="s">
        <v>43853</v>
      </c>
      <c r="J13158" s="0" t="s">
        <v>43854</v>
      </c>
      <c r="K13158" s="0" t="s">
        <v>43855</v>
      </c>
      <c r="L13158" s="0" t="str">
        <f aca="false">HYPERLINK("https://www.ncbi.nlm.nih.gov/nuccore/CP000304.1?report=graph&amp;tracks=[key:gene_model_track,Options:GeneOnly]&amp;mk=3712277:3712296|offset_25|444444,3712184:3712203|offset_118|00cc00,3712153:3712172|offset_149|444444,3712100:3712119|offset_202|444444&amp;v=3712076:3712319&amp;c=444444", "offset 118")</f>
        <v>offset 118</v>
      </c>
    </row>
    <row r="13159" customFormat="false" ht="12.8" hidden="false" customHeight="false" outlineLevel="0" collapsed="false">
      <c r="A13159" s="0" t="s">
        <v>12</v>
      </c>
      <c r="B13159" s="0" t="n">
        <v>3712152</v>
      </c>
      <c r="C13159" s="0" t="n">
        <v>3712172</v>
      </c>
      <c r="D13159" s="0" t="s">
        <v>43849</v>
      </c>
      <c r="E13159" s="0" t="s">
        <v>89</v>
      </c>
      <c r="F13159" s="0" t="s">
        <v>90</v>
      </c>
      <c r="G13159" s="0" t="s">
        <v>26</v>
      </c>
      <c r="H13159" s="0" t="n">
        <v>149</v>
      </c>
      <c r="I13159" s="0" t="s">
        <v>43856</v>
      </c>
      <c r="J13159" s="0" t="s">
        <v>43857</v>
      </c>
      <c r="K13159" s="0" t="s">
        <v>43858</v>
      </c>
      <c r="L13159" s="0" t="str">
        <f aca="false">HYPERLINK("https://www.ncbi.nlm.nih.gov/nuccore/CP000304.1?report=graph&amp;tracks=[key:gene_model_track,Options:GeneOnly]&amp;mk=3712277:3712296|offset_25|444444,3712184:3712203|offset_118|444444,3712153:3712172|offset_149|00cc00,3712100:3712119|offset_202|444444&amp;v=3712076:3712319&amp;c=444444", "offset 149")</f>
        <v>offset 149</v>
      </c>
    </row>
    <row r="13160" customFormat="false" ht="12.8" hidden="false" customHeight="false" outlineLevel="0" collapsed="false">
      <c r="A13160" s="0" t="s">
        <v>12</v>
      </c>
      <c r="B13160" s="0" t="n">
        <v>3712099</v>
      </c>
      <c r="C13160" s="0" t="n">
        <v>3712119</v>
      </c>
      <c r="D13160" s="0" t="s">
        <v>43849</v>
      </c>
      <c r="E13160" s="0" t="s">
        <v>89</v>
      </c>
      <c r="F13160" s="0" t="s">
        <v>90</v>
      </c>
      <c r="G13160" s="0" t="s">
        <v>36</v>
      </c>
      <c r="H13160" s="0" t="n">
        <v>202</v>
      </c>
      <c r="I13160" s="0" t="s">
        <v>43859</v>
      </c>
      <c r="J13160" s="0" t="s">
        <v>43860</v>
      </c>
      <c r="K13160" s="0" t="s">
        <v>43861</v>
      </c>
      <c r="L13160" s="0" t="str">
        <f aca="false">HYPERLINK("https://www.ncbi.nlm.nih.gov/nuccore/CP000304.1?report=graph&amp;tracks=[key:gene_model_track,Options:GeneOnly]&amp;mk=3712277:3712296|offset_25|444444,3712184:3712203|offset_118|444444,3712153:3712172|offset_149|444444,3712100:3712119|offset_202|00cc00&amp;v=3712076:3712319&amp;c=444444", "offset 202")</f>
        <v>offset 202</v>
      </c>
    </row>
    <row r="13161" customFormat="false" ht="12.8" hidden="false" customHeight="false" outlineLevel="0" collapsed="false">
      <c r="A13161" s="0" t="s">
        <v>12</v>
      </c>
      <c r="B13161" s="0" t="n">
        <v>3712358</v>
      </c>
      <c r="C13161" s="0" t="n">
        <v>3712378</v>
      </c>
      <c r="D13161" s="0" t="s">
        <v>43862</v>
      </c>
      <c r="E13161" s="0" t="s">
        <v>89</v>
      </c>
      <c r="F13161" s="0" t="s">
        <v>15</v>
      </c>
      <c r="G13161" s="0" t="s">
        <v>32</v>
      </c>
      <c r="H13161" s="0" t="n">
        <v>6</v>
      </c>
      <c r="I13161" s="0" t="s">
        <v>43863</v>
      </c>
      <c r="J13161" s="0" t="s">
        <v>43864</v>
      </c>
      <c r="K13161" s="0" t="s">
        <v>43865</v>
      </c>
      <c r="L13161" s="0" t="str">
        <f aca="false">HYPERLINK("https://www.ncbi.nlm.nih.gov/nuccore/CP000304.1?report=graph&amp;tracks=[key:gene_model_track,Options:GeneOnly]&amp;mk=3712359:3712378|offset_6|00cc00,3712403:3712422|offset_50|444444,3712426:3712445|offset_73|444444,3712465:3712484|offset_112|444444&amp;v=3712158:3712684&amp;c=444444", "offset 6")</f>
        <v>offset 6</v>
      </c>
    </row>
    <row r="13162" customFormat="false" ht="12.8" hidden="false" customHeight="false" outlineLevel="0" collapsed="false">
      <c r="A13162" s="0" t="s">
        <v>12</v>
      </c>
      <c r="B13162" s="0" t="n">
        <v>3712402</v>
      </c>
      <c r="C13162" s="0" t="n">
        <v>3712422</v>
      </c>
      <c r="D13162" s="0" t="s">
        <v>43862</v>
      </c>
      <c r="E13162" s="0" t="s">
        <v>89</v>
      </c>
      <c r="F13162" s="0" t="s">
        <v>15</v>
      </c>
      <c r="G13162" s="0" t="s">
        <v>32</v>
      </c>
      <c r="H13162" s="0" t="n">
        <v>50</v>
      </c>
      <c r="I13162" s="0" t="s">
        <v>43866</v>
      </c>
      <c r="J13162" s="0" t="s">
        <v>43867</v>
      </c>
      <c r="K13162" s="0" t="s">
        <v>43868</v>
      </c>
      <c r="L13162" s="0" t="str">
        <f aca="false">HYPERLINK("https://www.ncbi.nlm.nih.gov/nuccore/CP000304.1?report=graph&amp;tracks=[key:gene_model_track,Options:GeneOnly]&amp;mk=3712359:3712378|offset_6|444444,3712403:3712422|offset_50|00cc00,3712426:3712445|offset_73|444444,3712465:3712484|offset_112|444444&amp;v=3712158:3712684&amp;c=444444", "offset 50")</f>
        <v>offset 50</v>
      </c>
    </row>
    <row r="13163" customFormat="false" ht="12.8" hidden="false" customHeight="false" outlineLevel="0" collapsed="false">
      <c r="A13163" s="0" t="s">
        <v>12</v>
      </c>
      <c r="B13163" s="0" t="n">
        <v>3712425</v>
      </c>
      <c r="C13163" s="0" t="n">
        <v>3712445</v>
      </c>
      <c r="D13163" s="0" t="s">
        <v>43862</v>
      </c>
      <c r="E13163" s="0" t="s">
        <v>89</v>
      </c>
      <c r="F13163" s="0" t="s">
        <v>15</v>
      </c>
      <c r="G13163" s="0" t="s">
        <v>36</v>
      </c>
      <c r="H13163" s="0" t="n">
        <v>73</v>
      </c>
      <c r="I13163" s="0" t="s">
        <v>43869</v>
      </c>
      <c r="J13163" s="0" t="s">
        <v>43870</v>
      </c>
      <c r="K13163" s="0" t="s">
        <v>43871</v>
      </c>
      <c r="L13163" s="0" t="str">
        <f aca="false">HYPERLINK("https://www.ncbi.nlm.nih.gov/nuccore/CP000304.1?report=graph&amp;tracks=[key:gene_model_track,Options:GeneOnly]&amp;mk=3712359:3712378|offset_6|444444,3712403:3712422|offset_50|444444,3712426:3712445|offset_73|00cc00,3712465:3712484|offset_112|444444&amp;v=3712158:3712684&amp;c=444444", "offset 73")</f>
        <v>offset 73</v>
      </c>
    </row>
    <row r="13164" customFormat="false" ht="12.8" hidden="false" customHeight="false" outlineLevel="0" collapsed="false">
      <c r="A13164" s="0" t="s">
        <v>12</v>
      </c>
      <c r="B13164" s="0" t="n">
        <v>3712464</v>
      </c>
      <c r="C13164" s="0" t="n">
        <v>3712484</v>
      </c>
      <c r="D13164" s="0" t="s">
        <v>43862</v>
      </c>
      <c r="E13164" s="0" t="s">
        <v>89</v>
      </c>
      <c r="F13164" s="0" t="s">
        <v>15</v>
      </c>
      <c r="G13164" s="0" t="s">
        <v>26</v>
      </c>
      <c r="H13164" s="0" t="n">
        <v>112</v>
      </c>
      <c r="I13164" s="0" t="s">
        <v>43872</v>
      </c>
      <c r="J13164" s="0" t="s">
        <v>43873</v>
      </c>
      <c r="K13164" s="0" t="s">
        <v>43874</v>
      </c>
      <c r="L13164" s="0" t="str">
        <f aca="false">HYPERLINK("https://www.ncbi.nlm.nih.gov/nuccore/CP000304.1?report=graph&amp;tracks=[key:gene_model_track,Options:GeneOnly]&amp;mk=3712359:3712378|offset_6|444444,3712403:3712422|offset_50|444444,3712426:3712445|offset_73|444444,3712465:3712484|offset_112|00cc00&amp;v=3712158:3712684&amp;c=444444", "offset 112")</f>
        <v>offset 112</v>
      </c>
    </row>
    <row r="13165" customFormat="false" ht="12.8" hidden="false" customHeight="false" outlineLevel="0" collapsed="false">
      <c r="A13165" s="0" t="s">
        <v>12</v>
      </c>
      <c r="B13165" s="0" t="n">
        <v>3714859</v>
      </c>
      <c r="C13165" s="0" t="n">
        <v>3714879</v>
      </c>
      <c r="D13165" s="0" t="s">
        <v>43875</v>
      </c>
      <c r="E13165" s="0" t="s">
        <v>89</v>
      </c>
      <c r="F13165" s="0" t="s">
        <v>90</v>
      </c>
      <c r="G13165" s="0" t="s">
        <v>26</v>
      </c>
      <c r="H13165" s="0" t="n">
        <v>41</v>
      </c>
      <c r="I13165" s="0" t="s">
        <v>43876</v>
      </c>
      <c r="J13165" s="0" t="s">
        <v>43877</v>
      </c>
      <c r="K13165" s="0" t="s">
        <v>43878</v>
      </c>
      <c r="L13165" s="0" t="str">
        <f aca="false">HYPERLINK("https://www.ncbi.nlm.nih.gov/nuccore/CP000304.1?report=graph&amp;tracks=[key:gene_model_track,Options:GeneOnly]&amp;mk=3714860:3714879|offset_41|00cc00,3714837:3714856|offset_64|444444,3714810:3714829|offset_91|444444,3714785:3714804|offset_116|444444&amp;v=3714659:3715004&amp;c=444444", "offset 41")</f>
        <v>offset 41</v>
      </c>
    </row>
    <row r="13166" customFormat="false" ht="12.8" hidden="false" customHeight="false" outlineLevel="0" collapsed="false">
      <c r="A13166" s="0" t="s">
        <v>12</v>
      </c>
      <c r="B13166" s="0" t="n">
        <v>3714836</v>
      </c>
      <c r="C13166" s="0" t="n">
        <v>3714856</v>
      </c>
      <c r="D13166" s="0" t="s">
        <v>43875</v>
      </c>
      <c r="E13166" s="0" t="s">
        <v>89</v>
      </c>
      <c r="F13166" s="0" t="s">
        <v>90</v>
      </c>
      <c r="G13166" s="0" t="s">
        <v>36</v>
      </c>
      <c r="H13166" s="0" t="n">
        <v>64</v>
      </c>
      <c r="I13166" s="0" t="s">
        <v>43879</v>
      </c>
      <c r="J13166" s="0" t="s">
        <v>43880</v>
      </c>
      <c r="K13166" s="0" t="s">
        <v>43881</v>
      </c>
      <c r="L13166" s="0" t="str">
        <f aca="false">HYPERLINK("https://www.ncbi.nlm.nih.gov/nuccore/CP000304.1?report=graph&amp;tracks=[key:gene_model_track,Options:GeneOnly]&amp;mk=3714860:3714879|offset_41|444444,3714837:3714856|offset_64|00cc00,3714810:3714829|offset_91|444444,3714785:3714804|offset_116|444444&amp;v=3714659:3715004&amp;c=444444", "offset 64")</f>
        <v>offset 64</v>
      </c>
    </row>
    <row r="13167" customFormat="false" ht="12.8" hidden="false" customHeight="false" outlineLevel="0" collapsed="false">
      <c r="A13167" s="0" t="s">
        <v>12</v>
      </c>
      <c r="B13167" s="0" t="n">
        <v>3714809</v>
      </c>
      <c r="C13167" s="0" t="n">
        <v>3714829</v>
      </c>
      <c r="D13167" s="0" t="s">
        <v>43875</v>
      </c>
      <c r="E13167" s="0" t="s">
        <v>89</v>
      </c>
      <c r="F13167" s="0" t="s">
        <v>90</v>
      </c>
      <c r="G13167" s="0" t="s">
        <v>26</v>
      </c>
      <c r="H13167" s="0" t="n">
        <v>91</v>
      </c>
      <c r="I13167" s="0" t="s">
        <v>43882</v>
      </c>
      <c r="J13167" s="0" t="s">
        <v>43883</v>
      </c>
      <c r="K13167" s="0" t="s">
        <v>43884</v>
      </c>
      <c r="L13167" s="0" t="str">
        <f aca="false">HYPERLINK("https://www.ncbi.nlm.nih.gov/nuccore/CP000304.1?report=graph&amp;tracks=[key:gene_model_track,Options:GeneOnly]&amp;mk=3714860:3714879|offset_41|444444,3714837:3714856|offset_64|444444,3714810:3714829|offset_91|00cc00,3714785:3714804|offset_116|444444&amp;v=3714659:3715004&amp;c=444444", "offset 91")</f>
        <v>offset 91</v>
      </c>
    </row>
    <row r="13168" customFormat="false" ht="12.8" hidden="false" customHeight="false" outlineLevel="0" collapsed="false">
      <c r="A13168" s="0" t="s">
        <v>12</v>
      </c>
      <c r="B13168" s="0" t="n">
        <v>3714784</v>
      </c>
      <c r="C13168" s="0" t="n">
        <v>3714804</v>
      </c>
      <c r="D13168" s="0" t="s">
        <v>43875</v>
      </c>
      <c r="E13168" s="0" t="s">
        <v>89</v>
      </c>
      <c r="F13168" s="0" t="s">
        <v>90</v>
      </c>
      <c r="G13168" s="0" t="s">
        <v>36</v>
      </c>
      <c r="H13168" s="0" t="n">
        <v>116</v>
      </c>
      <c r="I13168" s="0" t="s">
        <v>43885</v>
      </c>
      <c r="J13168" s="0" t="s">
        <v>43886</v>
      </c>
      <c r="K13168" s="0" t="s">
        <v>43887</v>
      </c>
      <c r="L13168" s="0" t="str">
        <f aca="false">HYPERLINK("https://www.ncbi.nlm.nih.gov/nuccore/CP000304.1?report=graph&amp;tracks=[key:gene_model_track,Options:GeneOnly]&amp;mk=3714860:3714879|offset_41|444444,3714837:3714856|offset_64|444444,3714810:3714829|offset_91|444444,3714785:3714804|offset_116|00cc00&amp;v=3714659:3715004&amp;c=444444", "offset 116")</f>
        <v>offset 116</v>
      </c>
    </row>
    <row r="13169" customFormat="false" ht="12.8" hidden="false" customHeight="false" outlineLevel="0" collapsed="false">
      <c r="A13169" s="0" t="s">
        <v>12</v>
      </c>
      <c r="B13169" s="0" t="n">
        <v>3721220</v>
      </c>
      <c r="C13169" s="0" t="n">
        <v>3721240</v>
      </c>
      <c r="D13169" s="0" t="s">
        <v>43888</v>
      </c>
      <c r="E13169" s="0" t="s">
        <v>89</v>
      </c>
      <c r="F13169" s="0" t="s">
        <v>90</v>
      </c>
      <c r="G13169" s="0" t="s">
        <v>32</v>
      </c>
      <c r="H13169" s="0" t="n">
        <v>9</v>
      </c>
      <c r="I13169" s="0" t="s">
        <v>43889</v>
      </c>
      <c r="J13169" s="0" t="s">
        <v>43890</v>
      </c>
      <c r="K13169" s="0" t="s">
        <v>43891</v>
      </c>
      <c r="L13169" s="0" t="str">
        <f aca="false">HYPERLINK("https://www.ncbi.nlm.nih.gov/nuccore/CP000304.1?report=graph&amp;tracks=[key:gene_model_track,Options:GeneOnly]&amp;mk=3721221:3721240|offset_9|00cc00,3721161:3721180|offset_69|444444,3721089:3721108|offset_141|444444,3721068:3721087|offset_162|444444&amp;v=3721020:3721287&amp;c=444444", "offset 9")</f>
        <v>offset 9</v>
      </c>
    </row>
    <row r="13170" customFormat="false" ht="12.8" hidden="false" customHeight="false" outlineLevel="0" collapsed="false">
      <c r="A13170" s="0" t="s">
        <v>12</v>
      </c>
      <c r="B13170" s="0" t="n">
        <v>3721160</v>
      </c>
      <c r="C13170" s="0" t="n">
        <v>3721180</v>
      </c>
      <c r="D13170" s="0" t="s">
        <v>43888</v>
      </c>
      <c r="E13170" s="0" t="s">
        <v>89</v>
      </c>
      <c r="F13170" s="0" t="s">
        <v>90</v>
      </c>
      <c r="G13170" s="0" t="s">
        <v>16</v>
      </c>
      <c r="H13170" s="0" t="n">
        <v>69</v>
      </c>
      <c r="I13170" s="0" t="s">
        <v>43892</v>
      </c>
      <c r="J13170" s="0" t="s">
        <v>43893</v>
      </c>
      <c r="K13170" s="0" t="s">
        <v>43894</v>
      </c>
      <c r="L13170" s="0" t="str">
        <f aca="false">HYPERLINK("https://www.ncbi.nlm.nih.gov/nuccore/CP000304.1?report=graph&amp;tracks=[key:gene_model_track,Options:GeneOnly]&amp;mk=3721221:3721240|offset_9|444444,3721161:3721180|offset_69|00cc00,3721089:3721108|offset_141|444444,3721068:3721087|offset_162|444444&amp;v=3721020:3721287&amp;c=444444", "offset 69")</f>
        <v>offset 69</v>
      </c>
    </row>
    <row r="13171" customFormat="false" ht="12.8" hidden="false" customHeight="false" outlineLevel="0" collapsed="false">
      <c r="A13171" s="0" t="s">
        <v>12</v>
      </c>
      <c r="B13171" s="0" t="n">
        <v>3721088</v>
      </c>
      <c r="C13171" s="0" t="n">
        <v>3721108</v>
      </c>
      <c r="D13171" s="0" t="s">
        <v>43888</v>
      </c>
      <c r="E13171" s="0" t="s">
        <v>89</v>
      </c>
      <c r="F13171" s="0" t="s">
        <v>90</v>
      </c>
      <c r="G13171" s="0" t="s">
        <v>16</v>
      </c>
      <c r="H13171" s="0" t="n">
        <v>141</v>
      </c>
      <c r="I13171" s="0" t="s">
        <v>43895</v>
      </c>
      <c r="J13171" s="0" t="s">
        <v>43896</v>
      </c>
      <c r="K13171" s="0" t="s">
        <v>43897</v>
      </c>
      <c r="L13171" s="0" t="str">
        <f aca="false">HYPERLINK("https://www.ncbi.nlm.nih.gov/nuccore/CP000304.1?report=graph&amp;tracks=[key:gene_model_track,Options:GeneOnly]&amp;mk=3721221:3721240|offset_9|444444,3721161:3721180|offset_69|444444,3721089:3721108|offset_141|00cc00,3721068:3721087|offset_162|444444&amp;v=3721020:3721287&amp;c=444444", "offset 141")</f>
        <v>offset 141</v>
      </c>
    </row>
    <row r="13172" customFormat="false" ht="12.8" hidden="false" customHeight="false" outlineLevel="0" collapsed="false">
      <c r="A13172" s="0" t="s">
        <v>12</v>
      </c>
      <c r="B13172" s="0" t="n">
        <v>3721067</v>
      </c>
      <c r="C13172" s="0" t="n">
        <v>3721087</v>
      </c>
      <c r="D13172" s="0" t="s">
        <v>43888</v>
      </c>
      <c r="E13172" s="0" t="s">
        <v>89</v>
      </c>
      <c r="F13172" s="0" t="s">
        <v>90</v>
      </c>
      <c r="G13172" s="0" t="s">
        <v>32</v>
      </c>
      <c r="H13172" s="0" t="n">
        <v>162</v>
      </c>
      <c r="I13172" s="0" t="s">
        <v>43898</v>
      </c>
      <c r="J13172" s="0" t="s">
        <v>43899</v>
      </c>
      <c r="K13172" s="0" t="s">
        <v>43900</v>
      </c>
      <c r="L13172" s="0" t="str">
        <f aca="false">HYPERLINK("https://www.ncbi.nlm.nih.gov/nuccore/CP000304.1?report=graph&amp;tracks=[key:gene_model_track,Options:GeneOnly]&amp;mk=3721221:3721240|offset_9|444444,3721161:3721180|offset_69|444444,3721089:3721108|offset_141|444444,3721068:3721087|offset_162|00cc00&amp;v=3721020:3721287&amp;c=444444", "offset 162")</f>
        <v>offset 162</v>
      </c>
    </row>
    <row r="13173" customFormat="false" ht="12.8" hidden="false" customHeight="false" outlineLevel="0" collapsed="false">
      <c r="A13173" s="0" t="s">
        <v>12</v>
      </c>
      <c r="B13173" s="0" t="n">
        <v>3722851</v>
      </c>
      <c r="C13173" s="0" t="n">
        <v>3722871</v>
      </c>
      <c r="D13173" s="0" t="s">
        <v>43901</v>
      </c>
      <c r="E13173" s="0" t="s">
        <v>89</v>
      </c>
      <c r="F13173" s="0" t="s">
        <v>90</v>
      </c>
      <c r="G13173" s="0" t="s">
        <v>36</v>
      </c>
      <c r="H13173" s="0" t="n">
        <v>54</v>
      </c>
      <c r="I13173" s="0" t="s">
        <v>43902</v>
      </c>
      <c r="J13173" s="0" t="s">
        <v>43903</v>
      </c>
      <c r="K13173" s="0" t="s">
        <v>43904</v>
      </c>
      <c r="L13173" s="0" t="str">
        <f aca="false">HYPERLINK("https://www.ncbi.nlm.nih.gov/nuccore/CP000304.1?report=graph&amp;tracks=[key:gene_model_track,Options:GeneOnly]&amp;mk=3722852:3722871|offset_54|00cc00,3722831:3722850|offset_75|444444,3722772:3722791|offset_134|444444,3722742:3722761|offset_164|444444&amp;v=3722651:3722961&amp;c=444444", "offset 54")</f>
        <v>offset 54</v>
      </c>
    </row>
    <row r="13174" customFormat="false" ht="12.8" hidden="false" customHeight="false" outlineLevel="0" collapsed="false">
      <c r="A13174" s="0" t="s">
        <v>12</v>
      </c>
      <c r="B13174" s="0" t="n">
        <v>3722830</v>
      </c>
      <c r="C13174" s="0" t="n">
        <v>3722850</v>
      </c>
      <c r="D13174" s="0" t="s">
        <v>43901</v>
      </c>
      <c r="E13174" s="0" t="s">
        <v>89</v>
      </c>
      <c r="F13174" s="0" t="s">
        <v>90</v>
      </c>
      <c r="G13174" s="0" t="s">
        <v>16</v>
      </c>
      <c r="H13174" s="0" t="n">
        <v>75</v>
      </c>
      <c r="I13174" s="0" t="s">
        <v>43905</v>
      </c>
      <c r="J13174" s="0" t="s">
        <v>43906</v>
      </c>
      <c r="K13174" s="0" t="s">
        <v>43907</v>
      </c>
      <c r="L13174" s="0" t="str">
        <f aca="false">HYPERLINK("https://www.ncbi.nlm.nih.gov/nuccore/CP000304.1?report=graph&amp;tracks=[key:gene_model_track,Options:GeneOnly]&amp;mk=3722852:3722871|offset_54|444444,3722831:3722850|offset_75|00cc00,3722772:3722791|offset_134|444444,3722742:3722761|offset_164|444444&amp;v=3722651:3722961&amp;c=444444", "offset 75")</f>
        <v>offset 75</v>
      </c>
    </row>
    <row r="13175" customFormat="false" ht="12.8" hidden="false" customHeight="false" outlineLevel="0" collapsed="false">
      <c r="A13175" s="0" t="s">
        <v>12</v>
      </c>
      <c r="B13175" s="0" t="n">
        <v>3722771</v>
      </c>
      <c r="C13175" s="0" t="n">
        <v>3722791</v>
      </c>
      <c r="D13175" s="0" t="s">
        <v>43901</v>
      </c>
      <c r="E13175" s="0" t="s">
        <v>89</v>
      </c>
      <c r="F13175" s="0" t="s">
        <v>90</v>
      </c>
      <c r="G13175" s="0" t="s">
        <v>26</v>
      </c>
      <c r="H13175" s="0" t="n">
        <v>134</v>
      </c>
      <c r="I13175" s="0" t="s">
        <v>43908</v>
      </c>
      <c r="J13175" s="0" t="s">
        <v>43909</v>
      </c>
      <c r="K13175" s="0" t="s">
        <v>43910</v>
      </c>
      <c r="L13175" s="0" t="str">
        <f aca="false">HYPERLINK("https://www.ncbi.nlm.nih.gov/nuccore/CP000304.1?report=graph&amp;tracks=[key:gene_model_track,Options:GeneOnly]&amp;mk=3722852:3722871|offset_54|444444,3722831:3722850|offset_75|444444,3722772:3722791|offset_134|00cc00,3722742:3722761|offset_164|444444&amp;v=3722651:3722961&amp;c=444444", "offset 134")</f>
        <v>offset 134</v>
      </c>
    </row>
    <row r="13176" customFormat="false" ht="12.8" hidden="false" customHeight="false" outlineLevel="0" collapsed="false">
      <c r="A13176" s="0" t="s">
        <v>12</v>
      </c>
      <c r="B13176" s="0" t="n">
        <v>3722741</v>
      </c>
      <c r="C13176" s="0" t="n">
        <v>3722761</v>
      </c>
      <c r="D13176" s="0" t="s">
        <v>43901</v>
      </c>
      <c r="E13176" s="0" t="s">
        <v>89</v>
      </c>
      <c r="F13176" s="0" t="s">
        <v>90</v>
      </c>
      <c r="G13176" s="0" t="s">
        <v>36</v>
      </c>
      <c r="H13176" s="0" t="n">
        <v>164</v>
      </c>
      <c r="I13176" s="0" t="s">
        <v>43911</v>
      </c>
      <c r="J13176" s="0" t="s">
        <v>43912</v>
      </c>
      <c r="K13176" s="0" t="s">
        <v>43913</v>
      </c>
      <c r="L13176" s="0" t="str">
        <f aca="false">HYPERLINK("https://www.ncbi.nlm.nih.gov/nuccore/CP000304.1?report=graph&amp;tracks=[key:gene_model_track,Options:GeneOnly]&amp;mk=3722852:3722871|offset_54|444444,3722831:3722850|offset_75|444444,3722772:3722791|offset_134|444444,3722742:3722761|offset_164|00cc00&amp;v=3722651:3722961&amp;c=444444", "offset 164")</f>
        <v>offset 164</v>
      </c>
    </row>
    <row r="13177" customFormat="false" ht="12.8" hidden="false" customHeight="false" outlineLevel="0" collapsed="false">
      <c r="A13177" s="0" t="s">
        <v>12</v>
      </c>
      <c r="B13177" s="0" t="n">
        <v>3723621</v>
      </c>
      <c r="C13177" s="0" t="n">
        <v>3723641</v>
      </c>
      <c r="D13177" s="0" t="s">
        <v>43914</v>
      </c>
      <c r="E13177" s="0" t="s">
        <v>89</v>
      </c>
      <c r="F13177" s="0" t="s">
        <v>90</v>
      </c>
      <c r="G13177" s="0" t="s">
        <v>36</v>
      </c>
      <c r="H13177" s="0" t="n">
        <v>23</v>
      </c>
      <c r="I13177" s="0" t="s">
        <v>43915</v>
      </c>
      <c r="J13177" s="0" t="s">
        <v>43916</v>
      </c>
      <c r="K13177" s="0" t="s">
        <v>43917</v>
      </c>
      <c r="L13177" s="0" t="str">
        <f aca="false">HYPERLINK("https://www.ncbi.nlm.nih.gov/nuccore/CP000304.1?report=graph&amp;tracks=[key:gene_model_track,Options:GeneOnly]&amp;mk=3723622:3723641|offset_23|00cc00,3723594:3723613|offset_51|444444,3723547:3723566|offset_98|444444,3723520:3723539|offset_125|444444&amp;v=3723421:3723739&amp;c=444444", "offset 23")</f>
        <v>offset 23</v>
      </c>
    </row>
    <row r="13178" customFormat="false" ht="12.8" hidden="false" customHeight="false" outlineLevel="0" collapsed="false">
      <c r="A13178" s="0" t="s">
        <v>12</v>
      </c>
      <c r="B13178" s="0" t="n">
        <v>3723593</v>
      </c>
      <c r="C13178" s="0" t="n">
        <v>3723613</v>
      </c>
      <c r="D13178" s="0" t="s">
        <v>43914</v>
      </c>
      <c r="E13178" s="0" t="s">
        <v>89</v>
      </c>
      <c r="F13178" s="0" t="s">
        <v>90</v>
      </c>
      <c r="G13178" s="0" t="s">
        <v>32</v>
      </c>
      <c r="H13178" s="0" t="n">
        <v>51</v>
      </c>
      <c r="I13178" s="0" t="s">
        <v>43918</v>
      </c>
      <c r="J13178" s="0" t="s">
        <v>43919</v>
      </c>
      <c r="K13178" s="0" t="s">
        <v>43920</v>
      </c>
      <c r="L13178" s="0" t="str">
        <f aca="false">HYPERLINK("https://www.ncbi.nlm.nih.gov/nuccore/CP000304.1?report=graph&amp;tracks=[key:gene_model_track,Options:GeneOnly]&amp;mk=3723622:3723641|offset_23|444444,3723594:3723613|offset_51|00cc00,3723547:3723566|offset_98|444444,3723520:3723539|offset_125|444444&amp;v=3723421:3723739&amp;c=444444", "offset 51")</f>
        <v>offset 51</v>
      </c>
    </row>
    <row r="13179" customFormat="false" ht="12.8" hidden="false" customHeight="false" outlineLevel="0" collapsed="false">
      <c r="A13179" s="0" t="s">
        <v>12</v>
      </c>
      <c r="B13179" s="0" t="n">
        <v>3723546</v>
      </c>
      <c r="C13179" s="0" t="n">
        <v>3723566</v>
      </c>
      <c r="D13179" s="0" t="s">
        <v>43914</v>
      </c>
      <c r="E13179" s="0" t="s">
        <v>89</v>
      </c>
      <c r="F13179" s="0" t="s">
        <v>90</v>
      </c>
      <c r="G13179" s="0" t="s">
        <v>26</v>
      </c>
      <c r="H13179" s="0" t="n">
        <v>98</v>
      </c>
      <c r="I13179" s="0" t="s">
        <v>43921</v>
      </c>
      <c r="J13179" s="0" t="s">
        <v>43922</v>
      </c>
      <c r="K13179" s="0" t="s">
        <v>43923</v>
      </c>
      <c r="L13179" s="0" t="str">
        <f aca="false">HYPERLINK("https://www.ncbi.nlm.nih.gov/nuccore/CP000304.1?report=graph&amp;tracks=[key:gene_model_track,Options:GeneOnly]&amp;mk=3723622:3723641|offset_23|444444,3723594:3723613|offset_51|444444,3723547:3723566|offset_98|00cc00,3723520:3723539|offset_125|444444&amp;v=3723421:3723739&amp;c=444444", "offset 98")</f>
        <v>offset 98</v>
      </c>
    </row>
    <row r="13180" customFormat="false" ht="12.8" hidden="false" customHeight="false" outlineLevel="0" collapsed="false">
      <c r="A13180" s="0" t="s">
        <v>12</v>
      </c>
      <c r="B13180" s="0" t="n">
        <v>3723519</v>
      </c>
      <c r="C13180" s="0" t="n">
        <v>3723539</v>
      </c>
      <c r="D13180" s="0" t="s">
        <v>43914</v>
      </c>
      <c r="E13180" s="0" t="s">
        <v>89</v>
      </c>
      <c r="F13180" s="0" t="s">
        <v>90</v>
      </c>
      <c r="G13180" s="0" t="s">
        <v>26</v>
      </c>
      <c r="H13180" s="0" t="n">
        <v>125</v>
      </c>
      <c r="I13180" s="0" t="s">
        <v>43924</v>
      </c>
      <c r="J13180" s="0" t="s">
        <v>43925</v>
      </c>
      <c r="K13180" s="0" t="s">
        <v>43926</v>
      </c>
      <c r="L13180" s="0" t="str">
        <f aca="false">HYPERLINK("https://www.ncbi.nlm.nih.gov/nuccore/CP000304.1?report=graph&amp;tracks=[key:gene_model_track,Options:GeneOnly]&amp;mk=3723622:3723641|offset_23|444444,3723594:3723613|offset_51|444444,3723547:3723566|offset_98|444444,3723520:3723539|offset_125|00cc00&amp;v=3723421:3723739&amp;c=444444", "offset 125")</f>
        <v>offset 125</v>
      </c>
    </row>
    <row r="13181" customFormat="false" ht="12.8" hidden="false" customHeight="false" outlineLevel="0" collapsed="false">
      <c r="A13181" s="0" t="s">
        <v>12</v>
      </c>
      <c r="B13181" s="0" t="n">
        <v>3724526</v>
      </c>
      <c r="C13181" s="0" t="n">
        <v>3724546</v>
      </c>
      <c r="D13181" s="0" t="s">
        <v>43927</v>
      </c>
      <c r="E13181" s="0" t="s">
        <v>89</v>
      </c>
      <c r="F13181" s="0" t="s">
        <v>90</v>
      </c>
      <c r="G13181" s="0" t="s">
        <v>32</v>
      </c>
      <c r="H13181" s="0" t="n">
        <v>40</v>
      </c>
      <c r="I13181" s="0" t="s">
        <v>43928</v>
      </c>
      <c r="J13181" s="0" t="s">
        <v>43929</v>
      </c>
      <c r="K13181" s="0" t="s">
        <v>43930</v>
      </c>
      <c r="L13181" s="0" t="str">
        <f aca="false">HYPERLINK("https://www.ncbi.nlm.nih.gov/nuccore/CP000304.1?report=graph&amp;tracks=[key:gene_model_track,Options:GeneOnly]&amp;mk=3724527:3724546|offset_40|00cc00,3724483:3724502|offset_84|444444,3724460:3724479|offset_107|444444,3724373:3724392|offset_194|444444&amp;v=3724326:3724592&amp;c=444444", "offset 40")</f>
        <v>offset 40</v>
      </c>
    </row>
    <row r="13182" customFormat="false" ht="12.8" hidden="false" customHeight="false" outlineLevel="0" collapsed="false">
      <c r="A13182" s="0" t="s">
        <v>12</v>
      </c>
      <c r="B13182" s="0" t="n">
        <v>3724482</v>
      </c>
      <c r="C13182" s="0" t="n">
        <v>3724502</v>
      </c>
      <c r="D13182" s="0" t="s">
        <v>43927</v>
      </c>
      <c r="E13182" s="0" t="s">
        <v>89</v>
      </c>
      <c r="F13182" s="0" t="s">
        <v>90</v>
      </c>
      <c r="G13182" s="0" t="s">
        <v>26</v>
      </c>
      <c r="H13182" s="0" t="n">
        <v>84</v>
      </c>
      <c r="I13182" s="0" t="s">
        <v>43931</v>
      </c>
      <c r="J13182" s="0" t="s">
        <v>43932</v>
      </c>
      <c r="K13182" s="0" t="s">
        <v>43933</v>
      </c>
      <c r="L13182" s="0" t="str">
        <f aca="false">HYPERLINK("https://www.ncbi.nlm.nih.gov/nuccore/CP000304.1?report=graph&amp;tracks=[key:gene_model_track,Options:GeneOnly]&amp;mk=3724527:3724546|offset_40|444444,3724483:3724502|offset_84|00cc00,3724460:3724479|offset_107|444444,3724373:3724392|offset_194|444444&amp;v=3724326:3724592&amp;c=444444", "offset 84")</f>
        <v>offset 84</v>
      </c>
    </row>
    <row r="13183" customFormat="false" ht="12.8" hidden="false" customHeight="false" outlineLevel="0" collapsed="false">
      <c r="A13183" s="0" t="s">
        <v>12</v>
      </c>
      <c r="B13183" s="0" t="n">
        <v>3724459</v>
      </c>
      <c r="C13183" s="0" t="n">
        <v>3724479</v>
      </c>
      <c r="D13183" s="0" t="s">
        <v>43927</v>
      </c>
      <c r="E13183" s="0" t="s">
        <v>89</v>
      </c>
      <c r="F13183" s="0" t="s">
        <v>90</v>
      </c>
      <c r="G13183" s="0" t="s">
        <v>16</v>
      </c>
      <c r="H13183" s="0" t="n">
        <v>107</v>
      </c>
      <c r="I13183" s="0" t="s">
        <v>43934</v>
      </c>
      <c r="J13183" s="0" t="s">
        <v>43935</v>
      </c>
      <c r="K13183" s="0" t="s">
        <v>43936</v>
      </c>
      <c r="L13183" s="0" t="str">
        <f aca="false">HYPERLINK("https://www.ncbi.nlm.nih.gov/nuccore/CP000304.1?report=graph&amp;tracks=[key:gene_model_track,Options:GeneOnly]&amp;mk=3724527:3724546|offset_40|444444,3724483:3724502|offset_84|444444,3724460:3724479|offset_107|00cc00,3724373:3724392|offset_194|444444&amp;v=3724326:3724592&amp;c=444444", "offset 107")</f>
        <v>offset 107</v>
      </c>
    </row>
    <row r="13184" customFormat="false" ht="12.8" hidden="false" customHeight="false" outlineLevel="0" collapsed="false">
      <c r="A13184" s="0" t="s">
        <v>12</v>
      </c>
      <c r="B13184" s="0" t="n">
        <v>3724372</v>
      </c>
      <c r="C13184" s="0" t="n">
        <v>3724392</v>
      </c>
      <c r="D13184" s="0" t="s">
        <v>43927</v>
      </c>
      <c r="E13184" s="0" t="s">
        <v>89</v>
      </c>
      <c r="F13184" s="0" t="s">
        <v>90</v>
      </c>
      <c r="G13184" s="0" t="s">
        <v>26</v>
      </c>
      <c r="H13184" s="0" t="n">
        <v>194</v>
      </c>
      <c r="I13184" s="0" t="s">
        <v>43937</v>
      </c>
      <c r="J13184" s="0" t="s">
        <v>43938</v>
      </c>
      <c r="K13184" s="0" t="s">
        <v>43939</v>
      </c>
      <c r="L13184" s="0" t="str">
        <f aca="false">HYPERLINK("https://www.ncbi.nlm.nih.gov/nuccore/CP000304.1?report=graph&amp;tracks=[key:gene_model_track,Options:GeneOnly]&amp;mk=3724527:3724546|offset_40|444444,3724483:3724502|offset_84|444444,3724460:3724479|offset_107|444444,3724373:3724392|offset_194|00cc00&amp;v=3724326:3724592&amp;c=444444", "offset 194")</f>
        <v>offset 194</v>
      </c>
    </row>
    <row r="13185" customFormat="false" ht="12.8" hidden="false" customHeight="false" outlineLevel="0" collapsed="false">
      <c r="A13185" s="0" t="s">
        <v>12</v>
      </c>
      <c r="B13185" s="0" t="n">
        <v>3726438</v>
      </c>
      <c r="C13185" s="0" t="n">
        <v>3726458</v>
      </c>
      <c r="D13185" s="0" t="s">
        <v>43940</v>
      </c>
      <c r="E13185" s="0" t="s">
        <v>89</v>
      </c>
      <c r="F13185" s="0" t="s">
        <v>90</v>
      </c>
      <c r="G13185" s="0" t="s">
        <v>32</v>
      </c>
      <c r="H13185" s="0" t="n">
        <v>35</v>
      </c>
      <c r="I13185" s="0" t="s">
        <v>43941</v>
      </c>
      <c r="J13185" s="0" t="s">
        <v>43942</v>
      </c>
      <c r="K13185" s="0" t="s">
        <v>43943</v>
      </c>
      <c r="L13185" s="0" t="str">
        <f aca="false">HYPERLINK("https://www.ncbi.nlm.nih.gov/nuccore/CP000304.1?report=graph&amp;tracks=[key:gene_model_track,Options:GeneOnly]&amp;mk=3726439:3726458|offset_35|00cc00,3726419:3726438|offset_55|444444,3726381:3726400|offset_93|444444,3726263:3726282|offset_211|444444&amp;v=3726238:3726482&amp;c=444444", "offset 35")</f>
        <v>offset 35</v>
      </c>
    </row>
    <row r="13186" customFormat="false" ht="12.8" hidden="false" customHeight="false" outlineLevel="0" collapsed="false">
      <c r="A13186" s="0" t="s">
        <v>12</v>
      </c>
      <c r="B13186" s="0" t="n">
        <v>3726418</v>
      </c>
      <c r="C13186" s="0" t="n">
        <v>3726438</v>
      </c>
      <c r="D13186" s="0" t="s">
        <v>43940</v>
      </c>
      <c r="E13186" s="0" t="s">
        <v>89</v>
      </c>
      <c r="F13186" s="0" t="s">
        <v>90</v>
      </c>
      <c r="G13186" s="0" t="s">
        <v>32</v>
      </c>
      <c r="H13186" s="0" t="n">
        <v>55</v>
      </c>
      <c r="I13186" s="0" t="s">
        <v>43944</v>
      </c>
      <c r="J13186" s="0" t="s">
        <v>43945</v>
      </c>
      <c r="K13186" s="0" t="s">
        <v>43946</v>
      </c>
      <c r="L13186" s="0" t="str">
        <f aca="false">HYPERLINK("https://www.ncbi.nlm.nih.gov/nuccore/CP000304.1?report=graph&amp;tracks=[key:gene_model_track,Options:GeneOnly]&amp;mk=3726439:3726458|offset_35|444444,3726419:3726438|offset_55|00cc00,3726381:3726400|offset_93|444444,3726263:3726282|offset_211|444444&amp;v=3726238:3726482&amp;c=444444", "offset 55")</f>
        <v>offset 55</v>
      </c>
    </row>
    <row r="13187" customFormat="false" ht="12.8" hidden="false" customHeight="false" outlineLevel="0" collapsed="false">
      <c r="A13187" s="0" t="s">
        <v>12</v>
      </c>
      <c r="B13187" s="0" t="n">
        <v>3726380</v>
      </c>
      <c r="C13187" s="0" t="n">
        <v>3726400</v>
      </c>
      <c r="D13187" s="0" t="s">
        <v>43940</v>
      </c>
      <c r="E13187" s="0" t="s">
        <v>89</v>
      </c>
      <c r="F13187" s="0" t="s">
        <v>90</v>
      </c>
      <c r="G13187" s="0" t="s">
        <v>16</v>
      </c>
      <c r="H13187" s="0" t="n">
        <v>93</v>
      </c>
      <c r="I13187" s="0" t="s">
        <v>43947</v>
      </c>
      <c r="J13187" s="0" t="s">
        <v>43948</v>
      </c>
      <c r="K13187" s="0" t="s">
        <v>43949</v>
      </c>
      <c r="L13187" s="0" t="str">
        <f aca="false">HYPERLINK("https://www.ncbi.nlm.nih.gov/nuccore/CP000304.1?report=graph&amp;tracks=[key:gene_model_track,Options:GeneOnly]&amp;mk=3726439:3726458|offset_35|444444,3726419:3726438|offset_55|444444,3726381:3726400|offset_93|00cc00,3726263:3726282|offset_211|444444&amp;v=3726238:3726482&amp;c=444444", "offset 93")</f>
        <v>offset 93</v>
      </c>
    </row>
    <row r="13188" customFormat="false" ht="12.8" hidden="false" customHeight="false" outlineLevel="0" collapsed="false">
      <c r="A13188" s="0" t="s">
        <v>12</v>
      </c>
      <c r="B13188" s="0" t="n">
        <v>3726262</v>
      </c>
      <c r="C13188" s="0" t="n">
        <v>3726282</v>
      </c>
      <c r="D13188" s="0" t="s">
        <v>43940</v>
      </c>
      <c r="E13188" s="0" t="s">
        <v>89</v>
      </c>
      <c r="F13188" s="0" t="s">
        <v>90</v>
      </c>
      <c r="G13188" s="0" t="s">
        <v>32</v>
      </c>
      <c r="H13188" s="0" t="n">
        <v>211</v>
      </c>
      <c r="I13188" s="0" t="s">
        <v>43950</v>
      </c>
      <c r="J13188" s="0" t="s">
        <v>43951</v>
      </c>
      <c r="K13188" s="0" t="s">
        <v>43952</v>
      </c>
      <c r="L13188" s="0" t="str">
        <f aca="false">HYPERLINK("https://www.ncbi.nlm.nih.gov/nuccore/CP000304.1?report=graph&amp;tracks=[key:gene_model_track,Options:GeneOnly]&amp;mk=3726439:3726458|offset_35|444444,3726419:3726438|offset_55|444444,3726381:3726400|offset_93|444444,3726263:3726282|offset_211|00cc00&amp;v=3726238:3726482&amp;c=444444", "offset 211")</f>
        <v>offset 211</v>
      </c>
    </row>
    <row r="13189" customFormat="false" ht="12.8" hidden="false" customHeight="false" outlineLevel="0" collapsed="false">
      <c r="A13189" s="0" t="s">
        <v>12</v>
      </c>
      <c r="B13189" s="0" t="n">
        <v>3728533</v>
      </c>
      <c r="C13189" s="0" t="n">
        <v>3728553</v>
      </c>
      <c r="D13189" s="0" t="s">
        <v>43953</v>
      </c>
      <c r="E13189" s="0" t="s">
        <v>89</v>
      </c>
      <c r="F13189" s="0" t="s">
        <v>90</v>
      </c>
      <c r="G13189" s="0" t="s">
        <v>36</v>
      </c>
      <c r="H13189" s="0" t="n">
        <v>23</v>
      </c>
      <c r="I13189" s="0" t="s">
        <v>43954</v>
      </c>
      <c r="J13189" s="0" t="s">
        <v>43955</v>
      </c>
      <c r="K13189" s="0" t="s">
        <v>43956</v>
      </c>
      <c r="L13189" s="0" t="str">
        <f aca="false">HYPERLINK("https://www.ncbi.nlm.nih.gov/nuccore/CP000304.1?report=graph&amp;tracks=[key:gene_model_track,Options:GeneOnly]&amp;mk=3728534:3728553|offset_23|00cc00,3728496:3728515|offset_61|444444,3728463:3728482|offset_94|444444,3728412:3728431|offset_145|444444&amp;v=3728333:3728631&amp;c=444444", "offset 23")</f>
        <v>offset 23</v>
      </c>
    </row>
    <row r="13190" customFormat="false" ht="12.8" hidden="false" customHeight="false" outlineLevel="0" collapsed="false">
      <c r="A13190" s="0" t="s">
        <v>12</v>
      </c>
      <c r="B13190" s="0" t="n">
        <v>3728495</v>
      </c>
      <c r="C13190" s="0" t="n">
        <v>3728515</v>
      </c>
      <c r="D13190" s="0" t="s">
        <v>43953</v>
      </c>
      <c r="E13190" s="0" t="s">
        <v>89</v>
      </c>
      <c r="F13190" s="0" t="s">
        <v>90</v>
      </c>
      <c r="G13190" s="0" t="s">
        <v>32</v>
      </c>
      <c r="H13190" s="0" t="n">
        <v>61</v>
      </c>
      <c r="I13190" s="0" t="s">
        <v>43957</v>
      </c>
      <c r="J13190" s="0" t="s">
        <v>43958</v>
      </c>
      <c r="K13190" s="0" t="s">
        <v>43959</v>
      </c>
      <c r="L13190" s="0" t="str">
        <f aca="false">HYPERLINK("https://www.ncbi.nlm.nih.gov/nuccore/CP000304.1?report=graph&amp;tracks=[key:gene_model_track,Options:GeneOnly]&amp;mk=3728534:3728553|offset_23|444444,3728496:3728515|offset_61|00cc00,3728463:3728482|offset_94|444444,3728412:3728431|offset_145|444444&amp;v=3728333:3728631&amp;c=444444", "offset 61")</f>
        <v>offset 61</v>
      </c>
    </row>
    <row r="13191" customFormat="false" ht="12.8" hidden="false" customHeight="false" outlineLevel="0" collapsed="false">
      <c r="A13191" s="0" t="s">
        <v>12</v>
      </c>
      <c r="B13191" s="0" t="n">
        <v>3728462</v>
      </c>
      <c r="C13191" s="0" t="n">
        <v>3728482</v>
      </c>
      <c r="D13191" s="0" t="s">
        <v>43953</v>
      </c>
      <c r="E13191" s="0" t="s">
        <v>89</v>
      </c>
      <c r="F13191" s="0" t="s">
        <v>90</v>
      </c>
      <c r="G13191" s="0" t="s">
        <v>32</v>
      </c>
      <c r="H13191" s="0" t="n">
        <v>94</v>
      </c>
      <c r="I13191" s="0" t="s">
        <v>43960</v>
      </c>
      <c r="J13191" s="0" t="s">
        <v>43961</v>
      </c>
      <c r="K13191" s="0" t="s">
        <v>43962</v>
      </c>
      <c r="L13191" s="0" t="str">
        <f aca="false">HYPERLINK("https://www.ncbi.nlm.nih.gov/nuccore/CP000304.1?report=graph&amp;tracks=[key:gene_model_track,Options:GeneOnly]&amp;mk=3728534:3728553|offset_23|444444,3728496:3728515|offset_61|444444,3728463:3728482|offset_94|00cc00,3728412:3728431|offset_145|444444&amp;v=3728333:3728631&amp;c=444444", "offset 94")</f>
        <v>offset 94</v>
      </c>
    </row>
    <row r="13192" customFormat="false" ht="12.8" hidden="false" customHeight="false" outlineLevel="0" collapsed="false">
      <c r="A13192" s="0" t="s">
        <v>12</v>
      </c>
      <c r="B13192" s="0" t="n">
        <v>3728411</v>
      </c>
      <c r="C13192" s="0" t="n">
        <v>3728431</v>
      </c>
      <c r="D13192" s="0" t="s">
        <v>43953</v>
      </c>
      <c r="E13192" s="0" t="s">
        <v>89</v>
      </c>
      <c r="F13192" s="0" t="s">
        <v>90</v>
      </c>
      <c r="G13192" s="0" t="s">
        <v>32</v>
      </c>
      <c r="H13192" s="0" t="n">
        <v>145</v>
      </c>
      <c r="I13192" s="0" t="s">
        <v>43963</v>
      </c>
      <c r="J13192" s="0" t="s">
        <v>43964</v>
      </c>
      <c r="K13192" s="0" t="s">
        <v>43965</v>
      </c>
      <c r="L13192" s="0" t="str">
        <f aca="false">HYPERLINK("https://www.ncbi.nlm.nih.gov/nuccore/CP000304.1?report=graph&amp;tracks=[key:gene_model_track,Options:GeneOnly]&amp;mk=3728534:3728553|offset_23|444444,3728496:3728515|offset_61|444444,3728463:3728482|offset_94|444444,3728412:3728431|offset_145|00cc00&amp;v=3728333:3728631&amp;c=444444", "offset 145")</f>
        <v>offset 145</v>
      </c>
    </row>
    <row r="13193" customFormat="false" ht="12.8" hidden="false" customHeight="false" outlineLevel="0" collapsed="false">
      <c r="A13193" s="0" t="s">
        <v>12</v>
      </c>
      <c r="B13193" s="0" t="n">
        <v>3733475</v>
      </c>
      <c r="C13193" s="0" t="n">
        <v>3733495</v>
      </c>
      <c r="D13193" s="0" t="s">
        <v>43966</v>
      </c>
      <c r="E13193" s="0" t="s">
        <v>89</v>
      </c>
      <c r="F13193" s="0" t="s">
        <v>90</v>
      </c>
      <c r="G13193" s="0" t="s">
        <v>36</v>
      </c>
      <c r="H13193" s="0" t="n">
        <v>0</v>
      </c>
      <c r="I13193" s="0" t="s">
        <v>43967</v>
      </c>
      <c r="J13193" s="0" t="s">
        <v>43968</v>
      </c>
      <c r="K13193" s="0" t="s">
        <v>43969</v>
      </c>
      <c r="L13193" s="0" t="str">
        <f aca="false">HYPERLINK("https://www.ncbi.nlm.nih.gov/nuccore/CP000304.1?report=graph&amp;tracks=[key:gene_model_track,Options:GeneOnly]&amp;mk=3733476:3733495|offset_0|00cc00,3733453:3733472|offset_23|444444,3733426:3733445|offset_50|444444,3733405:3733424|offset_71|444444&amp;v=3733275:3733624&amp;c=444444", "offset 0")</f>
        <v>offset 0</v>
      </c>
    </row>
    <row r="13194" customFormat="false" ht="12.8" hidden="false" customHeight="false" outlineLevel="0" collapsed="false">
      <c r="A13194" s="0" t="s">
        <v>12</v>
      </c>
      <c r="B13194" s="0" t="n">
        <v>3733452</v>
      </c>
      <c r="C13194" s="0" t="n">
        <v>3733472</v>
      </c>
      <c r="D13194" s="0" t="s">
        <v>43966</v>
      </c>
      <c r="E13194" s="0" t="s">
        <v>89</v>
      </c>
      <c r="F13194" s="0" t="s">
        <v>90</v>
      </c>
      <c r="G13194" s="0" t="s">
        <v>26</v>
      </c>
      <c r="H13194" s="0" t="n">
        <v>23</v>
      </c>
      <c r="I13194" s="0" t="s">
        <v>43970</v>
      </c>
      <c r="J13194" s="0" t="s">
        <v>43971</v>
      </c>
      <c r="K13194" s="0" t="s">
        <v>43972</v>
      </c>
      <c r="L13194" s="0" t="str">
        <f aca="false">HYPERLINK("https://www.ncbi.nlm.nih.gov/nuccore/CP000304.1?report=graph&amp;tracks=[key:gene_model_track,Options:GeneOnly]&amp;mk=3733476:3733495|offset_0|444444,3733453:3733472|offset_23|00cc00,3733426:3733445|offset_50|444444,3733405:3733424|offset_71|444444&amp;v=3733275:3733624&amp;c=444444", "offset 23")</f>
        <v>offset 23</v>
      </c>
    </row>
    <row r="13195" customFormat="false" ht="12.8" hidden="false" customHeight="false" outlineLevel="0" collapsed="false">
      <c r="A13195" s="0" t="s">
        <v>12</v>
      </c>
      <c r="B13195" s="0" t="n">
        <v>3733425</v>
      </c>
      <c r="C13195" s="0" t="n">
        <v>3733445</v>
      </c>
      <c r="D13195" s="0" t="s">
        <v>43966</v>
      </c>
      <c r="E13195" s="0" t="s">
        <v>89</v>
      </c>
      <c r="F13195" s="0" t="s">
        <v>90</v>
      </c>
      <c r="G13195" s="0" t="s">
        <v>32</v>
      </c>
      <c r="H13195" s="0" t="n">
        <v>50</v>
      </c>
      <c r="I13195" s="0" t="s">
        <v>43973</v>
      </c>
      <c r="J13195" s="0" t="s">
        <v>43974</v>
      </c>
      <c r="K13195" s="0" t="s">
        <v>43975</v>
      </c>
      <c r="L13195" s="0" t="str">
        <f aca="false">HYPERLINK("https://www.ncbi.nlm.nih.gov/nuccore/CP000304.1?report=graph&amp;tracks=[key:gene_model_track,Options:GeneOnly]&amp;mk=3733476:3733495|offset_0|444444,3733453:3733472|offset_23|444444,3733426:3733445|offset_50|00cc00,3733405:3733424|offset_71|444444&amp;v=3733275:3733624&amp;c=444444", "offset 50")</f>
        <v>offset 50</v>
      </c>
    </row>
    <row r="13196" customFormat="false" ht="12.8" hidden="false" customHeight="false" outlineLevel="0" collapsed="false">
      <c r="A13196" s="0" t="s">
        <v>12</v>
      </c>
      <c r="B13196" s="0" t="n">
        <v>3733404</v>
      </c>
      <c r="C13196" s="0" t="n">
        <v>3733424</v>
      </c>
      <c r="D13196" s="0" t="s">
        <v>43966</v>
      </c>
      <c r="E13196" s="0" t="s">
        <v>89</v>
      </c>
      <c r="F13196" s="0" t="s">
        <v>90</v>
      </c>
      <c r="G13196" s="0" t="s">
        <v>26</v>
      </c>
      <c r="H13196" s="0" t="n">
        <v>71</v>
      </c>
      <c r="I13196" s="0" t="s">
        <v>43976</v>
      </c>
      <c r="J13196" s="0" t="s">
        <v>43977</v>
      </c>
      <c r="K13196" s="0" t="s">
        <v>43978</v>
      </c>
      <c r="L13196" s="0" t="str">
        <f aca="false">HYPERLINK("https://www.ncbi.nlm.nih.gov/nuccore/CP000304.1?report=graph&amp;tracks=[key:gene_model_track,Options:GeneOnly]&amp;mk=3733476:3733495|offset_0|444444,3733453:3733472|offset_23|444444,3733426:3733445|offset_50|444444,3733405:3733424|offset_71|00cc00&amp;v=3733275:3733624&amp;c=444444", "offset 71")</f>
        <v>offset 71</v>
      </c>
    </row>
    <row r="13197" customFormat="false" ht="12.8" hidden="false" customHeight="false" outlineLevel="0" collapsed="false">
      <c r="A13197" s="0" t="s">
        <v>12</v>
      </c>
      <c r="B13197" s="0" t="n">
        <v>3736349</v>
      </c>
      <c r="C13197" s="0" t="n">
        <v>3736369</v>
      </c>
      <c r="D13197" s="0" t="s">
        <v>43979</v>
      </c>
      <c r="E13197" s="0" t="s">
        <v>89</v>
      </c>
      <c r="F13197" s="0" t="s">
        <v>90</v>
      </c>
      <c r="G13197" s="0" t="s">
        <v>36</v>
      </c>
      <c r="H13197" s="0" t="n">
        <v>13</v>
      </c>
      <c r="I13197" s="0" t="s">
        <v>43980</v>
      </c>
      <c r="J13197" s="0" t="s">
        <v>43981</v>
      </c>
      <c r="K13197" s="0" t="s">
        <v>43982</v>
      </c>
      <c r="L13197" s="0" t="str">
        <f aca="false">HYPERLINK("https://www.ncbi.nlm.nih.gov/nuccore/CP000304.1?report=graph&amp;tracks=[key:gene_model_track,Options:GeneOnly]&amp;mk=3736350:3736369|offset_13|00cc00,3736295:3736314|offset_68|444444,3736254:3736273|offset_109|444444,3736233:3736252|offset_130|444444&amp;v=3736149:3736452&amp;c=444444", "offset 13")</f>
        <v>offset 13</v>
      </c>
    </row>
    <row r="13198" customFormat="false" ht="12.8" hidden="false" customHeight="false" outlineLevel="0" collapsed="false">
      <c r="A13198" s="0" t="s">
        <v>12</v>
      </c>
      <c r="B13198" s="0" t="n">
        <v>3736294</v>
      </c>
      <c r="C13198" s="0" t="n">
        <v>3736314</v>
      </c>
      <c r="D13198" s="0" t="s">
        <v>43979</v>
      </c>
      <c r="E13198" s="0" t="s">
        <v>89</v>
      </c>
      <c r="F13198" s="0" t="s">
        <v>90</v>
      </c>
      <c r="G13198" s="0" t="s">
        <v>32</v>
      </c>
      <c r="H13198" s="0" t="n">
        <v>68</v>
      </c>
      <c r="I13198" s="0" t="s">
        <v>43983</v>
      </c>
      <c r="J13198" s="0" t="s">
        <v>43984</v>
      </c>
      <c r="K13198" s="0" t="s">
        <v>43985</v>
      </c>
      <c r="L13198" s="0" t="str">
        <f aca="false">HYPERLINK("https://www.ncbi.nlm.nih.gov/nuccore/CP000304.1?report=graph&amp;tracks=[key:gene_model_track,Options:GeneOnly]&amp;mk=3736350:3736369|offset_13|444444,3736295:3736314|offset_68|00cc00,3736254:3736273|offset_109|444444,3736233:3736252|offset_130|444444&amp;v=3736149:3736452&amp;c=444444", "offset 68")</f>
        <v>offset 68</v>
      </c>
    </row>
    <row r="13199" customFormat="false" ht="12.8" hidden="false" customHeight="false" outlineLevel="0" collapsed="false">
      <c r="A13199" s="0" t="s">
        <v>12</v>
      </c>
      <c r="B13199" s="0" t="n">
        <v>3736253</v>
      </c>
      <c r="C13199" s="0" t="n">
        <v>3736273</v>
      </c>
      <c r="D13199" s="0" t="s">
        <v>43979</v>
      </c>
      <c r="E13199" s="0" t="s">
        <v>89</v>
      </c>
      <c r="F13199" s="0" t="s">
        <v>90</v>
      </c>
      <c r="G13199" s="0" t="s">
        <v>26</v>
      </c>
      <c r="H13199" s="0" t="n">
        <v>109</v>
      </c>
      <c r="I13199" s="0" t="s">
        <v>43986</v>
      </c>
      <c r="J13199" s="0" t="s">
        <v>43987</v>
      </c>
      <c r="K13199" s="0" t="s">
        <v>43988</v>
      </c>
      <c r="L13199" s="0" t="str">
        <f aca="false">HYPERLINK("https://www.ncbi.nlm.nih.gov/nuccore/CP000304.1?report=graph&amp;tracks=[key:gene_model_track,Options:GeneOnly]&amp;mk=3736350:3736369|offset_13|444444,3736295:3736314|offset_68|444444,3736254:3736273|offset_109|00cc00,3736233:3736252|offset_130|444444&amp;v=3736149:3736452&amp;c=444444", "offset 109")</f>
        <v>offset 109</v>
      </c>
    </row>
    <row r="13200" customFormat="false" ht="12.8" hidden="false" customHeight="false" outlineLevel="0" collapsed="false">
      <c r="A13200" s="0" t="s">
        <v>12</v>
      </c>
      <c r="B13200" s="0" t="n">
        <v>3736232</v>
      </c>
      <c r="C13200" s="0" t="n">
        <v>3736252</v>
      </c>
      <c r="D13200" s="0" t="s">
        <v>43979</v>
      </c>
      <c r="E13200" s="0" t="s">
        <v>89</v>
      </c>
      <c r="F13200" s="0" t="s">
        <v>90</v>
      </c>
      <c r="G13200" s="0" t="s">
        <v>16</v>
      </c>
      <c r="H13200" s="0" t="n">
        <v>130</v>
      </c>
      <c r="I13200" s="0" t="s">
        <v>43989</v>
      </c>
      <c r="J13200" s="0" t="s">
        <v>43990</v>
      </c>
      <c r="K13200" s="0" t="s">
        <v>43991</v>
      </c>
      <c r="L13200" s="0" t="str">
        <f aca="false">HYPERLINK("https://www.ncbi.nlm.nih.gov/nuccore/CP000304.1?report=graph&amp;tracks=[key:gene_model_track,Options:GeneOnly]&amp;mk=3736350:3736369|offset_13|444444,3736295:3736314|offset_68|444444,3736254:3736273|offset_109|444444,3736233:3736252|offset_130|00cc00&amp;v=3736149:3736452&amp;c=444444", "offset 130")</f>
        <v>offset 130</v>
      </c>
    </row>
    <row r="13201" customFormat="false" ht="12.8" hidden="false" customHeight="false" outlineLevel="0" collapsed="false">
      <c r="A13201" s="0" t="s">
        <v>12</v>
      </c>
      <c r="B13201" s="0" t="n">
        <v>3737011</v>
      </c>
      <c r="C13201" s="0" t="n">
        <v>3737031</v>
      </c>
      <c r="D13201" s="0" t="s">
        <v>43992</v>
      </c>
      <c r="E13201" s="0" t="s">
        <v>89</v>
      </c>
      <c r="F13201" s="0" t="s">
        <v>90</v>
      </c>
      <c r="G13201" s="0" t="s">
        <v>26</v>
      </c>
      <c r="H13201" s="0" t="n">
        <v>19</v>
      </c>
      <c r="I13201" s="0" t="s">
        <v>43993</v>
      </c>
      <c r="J13201" s="0" t="s">
        <v>43994</v>
      </c>
      <c r="K13201" s="0" t="s">
        <v>43995</v>
      </c>
      <c r="L13201" s="0" t="str">
        <f aca="false">HYPERLINK("https://www.ncbi.nlm.nih.gov/nuccore/CP000304.1?report=graph&amp;tracks=[key:gene_model_track,Options:GeneOnly]&amp;mk=3737012:3737031|offset_19|00cc00,3736989:3737008|offset_42|444444,3736938:3736957|offset_93|444444,3736872:3736891|offset_159|444444&amp;v=3736811:3737091&amp;c=444444", "offset 19")</f>
        <v>offset 19</v>
      </c>
    </row>
    <row r="13202" customFormat="false" ht="12.8" hidden="false" customHeight="false" outlineLevel="0" collapsed="false">
      <c r="A13202" s="0" t="s">
        <v>12</v>
      </c>
      <c r="B13202" s="0" t="n">
        <v>3736988</v>
      </c>
      <c r="C13202" s="0" t="n">
        <v>3737008</v>
      </c>
      <c r="D13202" s="0" t="s">
        <v>43992</v>
      </c>
      <c r="E13202" s="0" t="s">
        <v>89</v>
      </c>
      <c r="F13202" s="0" t="s">
        <v>90</v>
      </c>
      <c r="G13202" s="0" t="s">
        <v>16</v>
      </c>
      <c r="H13202" s="0" t="n">
        <v>42</v>
      </c>
      <c r="I13202" s="0" t="s">
        <v>43996</v>
      </c>
      <c r="J13202" s="0" t="s">
        <v>43997</v>
      </c>
      <c r="K13202" s="0" t="s">
        <v>43998</v>
      </c>
      <c r="L13202" s="0" t="str">
        <f aca="false">HYPERLINK("https://www.ncbi.nlm.nih.gov/nuccore/CP000304.1?report=graph&amp;tracks=[key:gene_model_track,Options:GeneOnly]&amp;mk=3737012:3737031|offset_19|444444,3736989:3737008|offset_42|00cc00,3736938:3736957|offset_93|444444,3736872:3736891|offset_159|444444&amp;v=3736811:3737091&amp;c=444444", "offset 42")</f>
        <v>offset 42</v>
      </c>
    </row>
    <row r="13203" customFormat="false" ht="12.8" hidden="false" customHeight="false" outlineLevel="0" collapsed="false">
      <c r="A13203" s="0" t="s">
        <v>12</v>
      </c>
      <c r="B13203" s="0" t="n">
        <v>3736937</v>
      </c>
      <c r="C13203" s="0" t="n">
        <v>3736957</v>
      </c>
      <c r="D13203" s="0" t="s">
        <v>43992</v>
      </c>
      <c r="E13203" s="0" t="s">
        <v>89</v>
      </c>
      <c r="F13203" s="0" t="s">
        <v>90</v>
      </c>
      <c r="G13203" s="0" t="s">
        <v>36</v>
      </c>
      <c r="H13203" s="0" t="n">
        <v>93</v>
      </c>
      <c r="I13203" s="0" t="s">
        <v>43999</v>
      </c>
      <c r="J13203" s="0" t="s">
        <v>44000</v>
      </c>
      <c r="K13203" s="0" t="s">
        <v>44001</v>
      </c>
      <c r="L13203" s="0" t="str">
        <f aca="false">HYPERLINK("https://www.ncbi.nlm.nih.gov/nuccore/CP000304.1?report=graph&amp;tracks=[key:gene_model_track,Options:GeneOnly]&amp;mk=3737012:3737031|offset_19|444444,3736989:3737008|offset_42|444444,3736938:3736957|offset_93|00cc00,3736872:3736891|offset_159|444444&amp;v=3736811:3737091&amp;c=444444", "offset 93")</f>
        <v>offset 93</v>
      </c>
    </row>
    <row r="13204" customFormat="false" ht="12.8" hidden="false" customHeight="false" outlineLevel="0" collapsed="false">
      <c r="A13204" s="0" t="s">
        <v>12</v>
      </c>
      <c r="B13204" s="0" t="n">
        <v>3736871</v>
      </c>
      <c r="C13204" s="0" t="n">
        <v>3736891</v>
      </c>
      <c r="D13204" s="0" t="s">
        <v>43992</v>
      </c>
      <c r="E13204" s="0" t="s">
        <v>89</v>
      </c>
      <c r="F13204" s="0" t="s">
        <v>90</v>
      </c>
      <c r="G13204" s="0" t="s">
        <v>32</v>
      </c>
      <c r="H13204" s="0" t="n">
        <v>159</v>
      </c>
      <c r="I13204" s="0" t="s">
        <v>44002</v>
      </c>
      <c r="J13204" s="0" t="s">
        <v>44003</v>
      </c>
      <c r="K13204" s="0" t="s">
        <v>44004</v>
      </c>
      <c r="L13204" s="0" t="str">
        <f aca="false">HYPERLINK("https://www.ncbi.nlm.nih.gov/nuccore/CP000304.1?report=graph&amp;tracks=[key:gene_model_track,Options:GeneOnly]&amp;mk=3737012:3737031|offset_19|444444,3736989:3737008|offset_42|444444,3736938:3736957|offset_93|444444,3736872:3736891|offset_159|00cc00&amp;v=3736811:3737091&amp;c=444444", "offset 159")</f>
        <v>offset 159</v>
      </c>
    </row>
    <row r="13205" customFormat="false" ht="12.8" hidden="false" customHeight="false" outlineLevel="0" collapsed="false">
      <c r="A13205" s="0" t="s">
        <v>12</v>
      </c>
      <c r="B13205" s="0" t="n">
        <v>3737335</v>
      </c>
      <c r="C13205" s="0" t="n">
        <v>3737355</v>
      </c>
      <c r="D13205" s="0" t="s">
        <v>44005</v>
      </c>
      <c r="E13205" s="0" t="s">
        <v>89</v>
      </c>
      <c r="F13205" s="0" t="s">
        <v>90</v>
      </c>
      <c r="G13205" s="0" t="s">
        <v>26</v>
      </c>
      <c r="H13205" s="0" t="n">
        <v>44</v>
      </c>
      <c r="I13205" s="0" t="s">
        <v>44006</v>
      </c>
      <c r="J13205" s="0" t="s">
        <v>44007</v>
      </c>
      <c r="K13205" s="0" t="s">
        <v>44008</v>
      </c>
      <c r="L13205" s="0" t="str">
        <f aca="false">HYPERLINK("https://www.ncbi.nlm.nih.gov/nuccore/CP000304.1?report=graph&amp;tracks=[key:gene_model_track,Options:GeneOnly]&amp;mk=3737336:3737355|offset_44|00cc00,3737265:3737284|offset_115|444444,3737172:3737191|offset_208|444444&amp;v=3737135:3737391&amp;c=444444", "offset 44")</f>
        <v>offset 44</v>
      </c>
    </row>
    <row r="13206" customFormat="false" ht="12.8" hidden="false" customHeight="false" outlineLevel="0" collapsed="false">
      <c r="A13206" s="0" t="s">
        <v>12</v>
      </c>
      <c r="B13206" s="0" t="n">
        <v>3737264</v>
      </c>
      <c r="C13206" s="0" t="n">
        <v>3737284</v>
      </c>
      <c r="D13206" s="0" t="s">
        <v>44005</v>
      </c>
      <c r="E13206" s="0" t="s">
        <v>89</v>
      </c>
      <c r="F13206" s="0" t="s">
        <v>90</v>
      </c>
      <c r="G13206" s="0" t="s">
        <v>26</v>
      </c>
      <c r="H13206" s="0" t="n">
        <v>115</v>
      </c>
      <c r="I13206" s="0" t="s">
        <v>44009</v>
      </c>
      <c r="J13206" s="0" t="s">
        <v>44010</v>
      </c>
      <c r="K13206" s="0" t="s">
        <v>44011</v>
      </c>
      <c r="L13206" s="0" t="str">
        <f aca="false">HYPERLINK("https://www.ncbi.nlm.nih.gov/nuccore/CP000304.1?report=graph&amp;tracks=[key:gene_model_track,Options:GeneOnly]&amp;mk=3737336:3737355|offset_44|444444,3737265:3737284|offset_115|00cc00,3737172:3737191|offset_208|444444&amp;v=3737135:3737391&amp;c=444444", "offset 115")</f>
        <v>offset 115</v>
      </c>
    </row>
    <row r="13207" customFormat="false" ht="12.8" hidden="false" customHeight="false" outlineLevel="0" collapsed="false">
      <c r="A13207" s="0" t="s">
        <v>12</v>
      </c>
      <c r="B13207" s="0" t="n">
        <v>3737171</v>
      </c>
      <c r="C13207" s="0" t="n">
        <v>3737191</v>
      </c>
      <c r="D13207" s="0" t="s">
        <v>44005</v>
      </c>
      <c r="E13207" s="0" t="s">
        <v>89</v>
      </c>
      <c r="F13207" s="0" t="s">
        <v>90</v>
      </c>
      <c r="G13207" s="0" t="s">
        <v>16</v>
      </c>
      <c r="H13207" s="0" t="n">
        <v>208</v>
      </c>
      <c r="I13207" s="0" t="s">
        <v>44012</v>
      </c>
      <c r="J13207" s="0" t="s">
        <v>44013</v>
      </c>
      <c r="K13207" s="0" t="s">
        <v>44014</v>
      </c>
      <c r="L13207" s="0" t="str">
        <f aca="false">HYPERLINK("https://www.ncbi.nlm.nih.gov/nuccore/CP000304.1?report=graph&amp;tracks=[key:gene_model_track,Options:GeneOnly]&amp;mk=3737336:3737355|offset_44|444444,3737265:3737284|offset_115|444444,3737172:3737191|offset_208|00cc00&amp;v=3737135:3737391&amp;c=444444", "offset 208")</f>
        <v>offset 208</v>
      </c>
    </row>
    <row r="13208" customFormat="false" ht="12.8" hidden="false" customHeight="false" outlineLevel="0" collapsed="false">
      <c r="A13208" s="0" t="s">
        <v>12</v>
      </c>
      <c r="B13208" s="0" t="n">
        <v>3737660</v>
      </c>
      <c r="C13208" s="0" t="n">
        <v>3737680</v>
      </c>
      <c r="D13208" s="0" t="s">
        <v>44015</v>
      </c>
      <c r="E13208" s="0" t="s">
        <v>89</v>
      </c>
      <c r="F13208" s="0" t="s">
        <v>15</v>
      </c>
      <c r="G13208" s="0" t="s">
        <v>16</v>
      </c>
      <c r="H13208" s="0" t="n">
        <v>23</v>
      </c>
      <c r="I13208" s="0" t="s">
        <v>44016</v>
      </c>
      <c r="J13208" s="0" t="s">
        <v>44017</v>
      </c>
      <c r="K13208" s="0" t="s">
        <v>44018</v>
      </c>
      <c r="L13208" s="0" t="str">
        <f aca="false">HYPERLINK("https://www.ncbi.nlm.nih.gov/nuccore/CP000304.1?report=graph&amp;tracks=[key:gene_model_track,Options:GeneOnly]&amp;mk=3737661:3737680|offset_23|00cc00,3737690:3737709|offset_52|444444,3737710:3737729|offset_72|444444,3737752:3737771|offset_114|444444&amp;v=3737460:3737971&amp;c=444444", "offset 23")</f>
        <v>offset 23</v>
      </c>
    </row>
    <row r="13209" customFormat="false" ht="12.8" hidden="false" customHeight="false" outlineLevel="0" collapsed="false">
      <c r="A13209" s="0" t="s">
        <v>12</v>
      </c>
      <c r="B13209" s="0" t="n">
        <v>3737689</v>
      </c>
      <c r="C13209" s="0" t="n">
        <v>3737709</v>
      </c>
      <c r="D13209" s="0" t="s">
        <v>44015</v>
      </c>
      <c r="E13209" s="0" t="s">
        <v>89</v>
      </c>
      <c r="F13209" s="0" t="s">
        <v>15</v>
      </c>
      <c r="G13209" s="0" t="s">
        <v>26</v>
      </c>
      <c r="H13209" s="0" t="n">
        <v>52</v>
      </c>
      <c r="I13209" s="0" t="s">
        <v>44019</v>
      </c>
      <c r="J13209" s="0" t="s">
        <v>44020</v>
      </c>
      <c r="K13209" s="0" t="s">
        <v>44021</v>
      </c>
      <c r="L13209" s="0" t="str">
        <f aca="false">HYPERLINK("https://www.ncbi.nlm.nih.gov/nuccore/CP000304.1?report=graph&amp;tracks=[key:gene_model_track,Options:GeneOnly]&amp;mk=3737661:3737680|offset_23|444444,3737690:3737709|offset_52|00cc00,3737710:3737729|offset_72|444444,3737752:3737771|offset_114|444444&amp;v=3737460:3737971&amp;c=444444", "offset 52")</f>
        <v>offset 52</v>
      </c>
    </row>
    <row r="13210" customFormat="false" ht="12.8" hidden="false" customHeight="false" outlineLevel="0" collapsed="false">
      <c r="A13210" s="0" t="s">
        <v>12</v>
      </c>
      <c r="B13210" s="0" t="n">
        <v>3737709</v>
      </c>
      <c r="C13210" s="0" t="n">
        <v>3737729</v>
      </c>
      <c r="D13210" s="0" t="s">
        <v>44015</v>
      </c>
      <c r="E13210" s="0" t="s">
        <v>89</v>
      </c>
      <c r="F13210" s="0" t="s">
        <v>15</v>
      </c>
      <c r="G13210" s="0" t="s">
        <v>16</v>
      </c>
      <c r="H13210" s="0" t="n">
        <v>72</v>
      </c>
      <c r="I13210" s="0" t="s">
        <v>44022</v>
      </c>
      <c r="J13210" s="0" t="s">
        <v>44023</v>
      </c>
      <c r="K13210" s="0" t="s">
        <v>44024</v>
      </c>
      <c r="L13210" s="0" t="str">
        <f aca="false">HYPERLINK("https://www.ncbi.nlm.nih.gov/nuccore/CP000304.1?report=graph&amp;tracks=[key:gene_model_track,Options:GeneOnly]&amp;mk=3737661:3737680|offset_23|444444,3737690:3737709|offset_52|444444,3737710:3737729|offset_72|00cc00,3737752:3737771|offset_114|444444&amp;v=3737460:3737971&amp;c=444444", "offset 72")</f>
        <v>offset 72</v>
      </c>
    </row>
    <row r="13211" customFormat="false" ht="12.8" hidden="false" customHeight="false" outlineLevel="0" collapsed="false">
      <c r="A13211" s="0" t="s">
        <v>12</v>
      </c>
      <c r="B13211" s="0" t="n">
        <v>3737751</v>
      </c>
      <c r="C13211" s="0" t="n">
        <v>3737771</v>
      </c>
      <c r="D13211" s="0" t="s">
        <v>44015</v>
      </c>
      <c r="E13211" s="0" t="s">
        <v>89</v>
      </c>
      <c r="F13211" s="0" t="s">
        <v>15</v>
      </c>
      <c r="G13211" s="0" t="s">
        <v>16</v>
      </c>
      <c r="H13211" s="0" t="n">
        <v>114</v>
      </c>
      <c r="I13211" s="0" t="s">
        <v>44025</v>
      </c>
      <c r="J13211" s="0" t="s">
        <v>44026</v>
      </c>
      <c r="K13211" s="0" t="s">
        <v>44027</v>
      </c>
      <c r="L13211" s="0" t="str">
        <f aca="false">HYPERLINK("https://www.ncbi.nlm.nih.gov/nuccore/CP000304.1?report=graph&amp;tracks=[key:gene_model_track,Options:GeneOnly]&amp;mk=3737661:3737680|offset_23|444444,3737690:3737709|offset_52|444444,3737710:3737729|offset_72|444444,3737752:3737771|offset_114|00cc00&amp;v=3737460:3737971&amp;c=444444", "offset 114")</f>
        <v>offset 114</v>
      </c>
    </row>
    <row r="13212" customFormat="false" ht="12.8" hidden="false" customHeight="false" outlineLevel="0" collapsed="false">
      <c r="A13212" s="0" t="s">
        <v>12</v>
      </c>
      <c r="B13212" s="0" t="n">
        <v>3738476</v>
      </c>
      <c r="C13212" s="0" t="n">
        <v>3738496</v>
      </c>
      <c r="D13212" s="0" t="s">
        <v>44028</v>
      </c>
      <c r="E13212" s="0" t="s">
        <v>89</v>
      </c>
      <c r="F13212" s="0" t="s">
        <v>15</v>
      </c>
      <c r="G13212" s="0" t="s">
        <v>32</v>
      </c>
      <c r="H13212" s="0" t="n">
        <v>6</v>
      </c>
      <c r="I13212" s="0" t="s">
        <v>44029</v>
      </c>
      <c r="J13212" s="0" t="s">
        <v>44030</v>
      </c>
      <c r="K13212" s="0" t="s">
        <v>44031</v>
      </c>
      <c r="L13212" s="0" t="str">
        <f aca="false">HYPERLINK("https://www.ncbi.nlm.nih.gov/nuccore/CP000304.1?report=graph&amp;tracks=[key:gene_model_track,Options:GeneOnly]&amp;mk=3738477:3738496|offset_6|00cc00,3738627:3738646|offset_156|444444,3738659:3738678|offset_188|444444,3738679:3738698|offset_208|444444&amp;v=3738276:3738898&amp;c=444444", "offset 6")</f>
        <v>offset 6</v>
      </c>
    </row>
    <row r="13213" customFormat="false" ht="12.8" hidden="false" customHeight="false" outlineLevel="0" collapsed="false">
      <c r="A13213" s="0" t="s">
        <v>12</v>
      </c>
      <c r="B13213" s="0" t="n">
        <v>3738626</v>
      </c>
      <c r="C13213" s="0" t="n">
        <v>3738646</v>
      </c>
      <c r="D13213" s="0" t="s">
        <v>44028</v>
      </c>
      <c r="E13213" s="0" t="s">
        <v>89</v>
      </c>
      <c r="F13213" s="0" t="s">
        <v>15</v>
      </c>
      <c r="G13213" s="0" t="s">
        <v>32</v>
      </c>
      <c r="H13213" s="0" t="n">
        <v>156</v>
      </c>
      <c r="I13213" s="0" t="s">
        <v>44032</v>
      </c>
      <c r="J13213" s="0" t="s">
        <v>44033</v>
      </c>
      <c r="K13213" s="0" t="s">
        <v>44034</v>
      </c>
      <c r="L13213" s="0" t="str">
        <f aca="false">HYPERLINK("https://www.ncbi.nlm.nih.gov/nuccore/CP000304.1?report=graph&amp;tracks=[key:gene_model_track,Options:GeneOnly]&amp;mk=3738477:3738496|offset_6|444444,3738627:3738646|offset_156|00cc00,3738659:3738678|offset_188|444444,3738679:3738698|offset_208|444444&amp;v=3738276:3738898&amp;c=444444", "offset 156")</f>
        <v>offset 156</v>
      </c>
    </row>
    <row r="13214" customFormat="false" ht="12.8" hidden="false" customHeight="false" outlineLevel="0" collapsed="false">
      <c r="A13214" s="0" t="s">
        <v>12</v>
      </c>
      <c r="B13214" s="0" t="n">
        <v>3738658</v>
      </c>
      <c r="C13214" s="0" t="n">
        <v>3738678</v>
      </c>
      <c r="D13214" s="0" t="s">
        <v>44028</v>
      </c>
      <c r="E13214" s="0" t="s">
        <v>89</v>
      </c>
      <c r="F13214" s="0" t="s">
        <v>15</v>
      </c>
      <c r="G13214" s="0" t="s">
        <v>16</v>
      </c>
      <c r="H13214" s="0" t="n">
        <v>188</v>
      </c>
      <c r="I13214" s="0" t="s">
        <v>44035</v>
      </c>
      <c r="J13214" s="0" t="s">
        <v>44036</v>
      </c>
      <c r="K13214" s="0" t="s">
        <v>44037</v>
      </c>
      <c r="L13214" s="0" t="str">
        <f aca="false">HYPERLINK("https://www.ncbi.nlm.nih.gov/nuccore/CP000304.1?report=graph&amp;tracks=[key:gene_model_track,Options:GeneOnly]&amp;mk=3738477:3738496|offset_6|444444,3738627:3738646|offset_156|444444,3738659:3738678|offset_188|00cc00,3738679:3738698|offset_208|444444&amp;v=3738276:3738898&amp;c=444444", "offset 188")</f>
        <v>offset 188</v>
      </c>
    </row>
    <row r="13215" customFormat="false" ht="12.8" hidden="false" customHeight="false" outlineLevel="0" collapsed="false">
      <c r="A13215" s="0" t="s">
        <v>12</v>
      </c>
      <c r="B13215" s="0" t="n">
        <v>3738678</v>
      </c>
      <c r="C13215" s="0" t="n">
        <v>3738698</v>
      </c>
      <c r="D13215" s="0" t="s">
        <v>44028</v>
      </c>
      <c r="E13215" s="0" t="s">
        <v>89</v>
      </c>
      <c r="F13215" s="0" t="s">
        <v>15</v>
      </c>
      <c r="G13215" s="0" t="s">
        <v>32</v>
      </c>
      <c r="H13215" s="0" t="n">
        <v>208</v>
      </c>
      <c r="I13215" s="0" t="s">
        <v>44038</v>
      </c>
      <c r="J13215" s="0" t="s">
        <v>44039</v>
      </c>
      <c r="K13215" s="0" t="s">
        <v>44040</v>
      </c>
      <c r="L13215" s="0" t="str">
        <f aca="false">HYPERLINK("https://www.ncbi.nlm.nih.gov/nuccore/CP000304.1?report=graph&amp;tracks=[key:gene_model_track,Options:GeneOnly]&amp;mk=3738477:3738496|offset_6|444444,3738627:3738646|offset_156|444444,3738659:3738678|offset_188|444444,3738679:3738698|offset_208|00cc00&amp;v=3738276:3738898&amp;c=444444", "offset 208")</f>
        <v>offset 208</v>
      </c>
    </row>
    <row r="13216" customFormat="false" ht="12.8" hidden="false" customHeight="false" outlineLevel="0" collapsed="false">
      <c r="A13216" s="0" t="s">
        <v>12</v>
      </c>
      <c r="B13216" s="0" t="n">
        <v>3738976</v>
      </c>
      <c r="C13216" s="0" t="n">
        <v>3738996</v>
      </c>
      <c r="D13216" s="0" t="s">
        <v>44041</v>
      </c>
      <c r="E13216" s="0" t="s">
        <v>89</v>
      </c>
      <c r="F13216" s="0" t="s">
        <v>15</v>
      </c>
      <c r="G13216" s="0" t="s">
        <v>32</v>
      </c>
      <c r="H13216" s="0" t="n">
        <v>1</v>
      </c>
      <c r="I13216" s="0" t="s">
        <v>44042</v>
      </c>
      <c r="J13216" s="0" t="s">
        <v>44043</v>
      </c>
      <c r="K13216" s="0" t="s">
        <v>44044</v>
      </c>
      <c r="L13216" s="0" t="str">
        <f aca="false">HYPERLINK("https://www.ncbi.nlm.nih.gov/nuccore/CP000304.1?report=graph&amp;tracks=[key:gene_model_track,Options:GeneOnly]&amp;mk=3738977:3738996|offset_1|00cc00,3739002:3739021|offset_26|444444,3739025:3739044|offset_49|444444,3739047:3739066|offset_71|444444&amp;v=3738776:3739266&amp;c=444444", "offset 1")</f>
        <v>offset 1</v>
      </c>
    </row>
    <row r="13217" customFormat="false" ht="12.8" hidden="false" customHeight="false" outlineLevel="0" collapsed="false">
      <c r="A13217" s="0" t="s">
        <v>12</v>
      </c>
      <c r="B13217" s="0" t="n">
        <v>3739001</v>
      </c>
      <c r="C13217" s="0" t="n">
        <v>3739021</v>
      </c>
      <c r="D13217" s="0" t="s">
        <v>44041</v>
      </c>
      <c r="E13217" s="0" t="s">
        <v>89</v>
      </c>
      <c r="F13217" s="0" t="s">
        <v>15</v>
      </c>
      <c r="G13217" s="0" t="s">
        <v>26</v>
      </c>
      <c r="H13217" s="0" t="n">
        <v>26</v>
      </c>
      <c r="I13217" s="0" t="s">
        <v>44045</v>
      </c>
      <c r="J13217" s="0" t="s">
        <v>44046</v>
      </c>
      <c r="K13217" s="0" t="s">
        <v>44047</v>
      </c>
      <c r="L13217" s="0" t="str">
        <f aca="false">HYPERLINK("https://www.ncbi.nlm.nih.gov/nuccore/CP000304.1?report=graph&amp;tracks=[key:gene_model_track,Options:GeneOnly]&amp;mk=3738977:3738996|offset_1|444444,3739002:3739021|offset_26|00cc00,3739025:3739044|offset_49|444444,3739047:3739066|offset_71|444444&amp;v=3738776:3739266&amp;c=444444", "offset 26")</f>
        <v>offset 26</v>
      </c>
    </row>
    <row r="13218" customFormat="false" ht="12.8" hidden="false" customHeight="false" outlineLevel="0" collapsed="false">
      <c r="A13218" s="0" t="s">
        <v>12</v>
      </c>
      <c r="B13218" s="0" t="n">
        <v>3739024</v>
      </c>
      <c r="C13218" s="0" t="n">
        <v>3739044</v>
      </c>
      <c r="D13218" s="0" t="s">
        <v>44041</v>
      </c>
      <c r="E13218" s="0" t="s">
        <v>89</v>
      </c>
      <c r="F13218" s="0" t="s">
        <v>15</v>
      </c>
      <c r="G13218" s="0" t="s">
        <v>26</v>
      </c>
      <c r="H13218" s="0" t="n">
        <v>49</v>
      </c>
      <c r="I13218" s="0" t="s">
        <v>44048</v>
      </c>
      <c r="J13218" s="0" t="s">
        <v>44049</v>
      </c>
      <c r="K13218" s="0" t="s">
        <v>44050</v>
      </c>
      <c r="L13218" s="0" t="str">
        <f aca="false">HYPERLINK("https://www.ncbi.nlm.nih.gov/nuccore/CP000304.1?report=graph&amp;tracks=[key:gene_model_track,Options:GeneOnly]&amp;mk=3738977:3738996|offset_1|444444,3739002:3739021|offset_26|444444,3739025:3739044|offset_49|00cc00,3739047:3739066|offset_71|444444&amp;v=3738776:3739266&amp;c=444444", "offset 49")</f>
        <v>offset 49</v>
      </c>
    </row>
    <row r="13219" customFormat="false" ht="12.8" hidden="false" customHeight="false" outlineLevel="0" collapsed="false">
      <c r="A13219" s="0" t="s">
        <v>12</v>
      </c>
      <c r="B13219" s="0" t="n">
        <v>3739046</v>
      </c>
      <c r="C13219" s="0" t="n">
        <v>3739066</v>
      </c>
      <c r="D13219" s="0" t="s">
        <v>44041</v>
      </c>
      <c r="E13219" s="0" t="s">
        <v>89</v>
      </c>
      <c r="F13219" s="0" t="s">
        <v>15</v>
      </c>
      <c r="G13219" s="0" t="s">
        <v>16</v>
      </c>
      <c r="H13219" s="0" t="n">
        <v>71</v>
      </c>
      <c r="I13219" s="0" t="s">
        <v>44051</v>
      </c>
      <c r="J13219" s="0" t="s">
        <v>44052</v>
      </c>
      <c r="K13219" s="0" t="s">
        <v>44053</v>
      </c>
      <c r="L13219" s="0" t="str">
        <f aca="false">HYPERLINK("https://www.ncbi.nlm.nih.gov/nuccore/CP000304.1?report=graph&amp;tracks=[key:gene_model_track,Options:GeneOnly]&amp;mk=3738977:3738996|offset_1|444444,3739002:3739021|offset_26|444444,3739025:3739044|offset_49|444444,3739047:3739066|offset_71|00cc00&amp;v=3738776:3739266&amp;c=444444", "offset 71")</f>
        <v>offset 71</v>
      </c>
    </row>
    <row r="13220" customFormat="false" ht="12.8" hidden="false" customHeight="false" outlineLevel="0" collapsed="false">
      <c r="A13220" s="0" t="s">
        <v>12</v>
      </c>
      <c r="B13220" s="0" t="n">
        <v>3739396</v>
      </c>
      <c r="C13220" s="0" t="n">
        <v>3739416</v>
      </c>
      <c r="D13220" s="0" t="s">
        <v>44054</v>
      </c>
      <c r="E13220" s="0" t="s">
        <v>89</v>
      </c>
      <c r="F13220" s="0" t="s">
        <v>15</v>
      </c>
      <c r="G13220" s="0" t="s">
        <v>26</v>
      </c>
      <c r="H13220" s="0" t="n">
        <v>26</v>
      </c>
      <c r="I13220" s="0" t="s">
        <v>44055</v>
      </c>
      <c r="J13220" s="0" t="s">
        <v>44056</v>
      </c>
      <c r="K13220" s="0" t="s">
        <v>44057</v>
      </c>
      <c r="L13220" s="0" t="str">
        <f aca="false">HYPERLINK("https://www.ncbi.nlm.nih.gov/nuccore/CP000304.1?report=graph&amp;tracks=[key:gene_model_track,Options:GeneOnly]&amp;mk=3739397:3739416|offset_26|00cc00,3739450:3739469|offset_79|444444,3739470:3739489|offset_99|444444,3739490:3739509|offset_119|444444&amp;v=3739196:3739709&amp;c=444444", "offset 26")</f>
        <v>offset 26</v>
      </c>
    </row>
    <row r="13221" customFormat="false" ht="12.8" hidden="false" customHeight="false" outlineLevel="0" collapsed="false">
      <c r="A13221" s="0" t="s">
        <v>12</v>
      </c>
      <c r="B13221" s="0" t="n">
        <v>3739449</v>
      </c>
      <c r="C13221" s="0" t="n">
        <v>3739469</v>
      </c>
      <c r="D13221" s="0" t="s">
        <v>44054</v>
      </c>
      <c r="E13221" s="0" t="s">
        <v>89</v>
      </c>
      <c r="F13221" s="0" t="s">
        <v>15</v>
      </c>
      <c r="G13221" s="0" t="s">
        <v>32</v>
      </c>
      <c r="H13221" s="0" t="n">
        <v>79</v>
      </c>
      <c r="I13221" s="0" t="s">
        <v>44058</v>
      </c>
      <c r="J13221" s="0" t="s">
        <v>44059</v>
      </c>
      <c r="K13221" s="0" t="s">
        <v>44060</v>
      </c>
      <c r="L13221" s="0" t="str">
        <f aca="false">HYPERLINK("https://www.ncbi.nlm.nih.gov/nuccore/CP000304.1?report=graph&amp;tracks=[key:gene_model_track,Options:GeneOnly]&amp;mk=3739397:3739416|offset_26|444444,3739450:3739469|offset_79|00cc00,3739470:3739489|offset_99|444444,3739490:3739509|offset_119|444444&amp;v=3739196:3739709&amp;c=444444", "offset 79")</f>
        <v>offset 79</v>
      </c>
    </row>
    <row r="13222" customFormat="false" ht="12.8" hidden="false" customHeight="false" outlineLevel="0" collapsed="false">
      <c r="A13222" s="0" t="s">
        <v>12</v>
      </c>
      <c r="B13222" s="0" t="n">
        <v>3739469</v>
      </c>
      <c r="C13222" s="0" t="n">
        <v>3739489</v>
      </c>
      <c r="D13222" s="0" t="s">
        <v>44054</v>
      </c>
      <c r="E13222" s="0" t="s">
        <v>89</v>
      </c>
      <c r="F13222" s="0" t="s">
        <v>15</v>
      </c>
      <c r="G13222" s="0" t="s">
        <v>32</v>
      </c>
      <c r="H13222" s="0" t="n">
        <v>99</v>
      </c>
      <c r="I13222" s="0" t="s">
        <v>44061</v>
      </c>
      <c r="J13222" s="0" t="s">
        <v>44062</v>
      </c>
      <c r="K13222" s="0" t="s">
        <v>44063</v>
      </c>
      <c r="L13222" s="0" t="str">
        <f aca="false">HYPERLINK("https://www.ncbi.nlm.nih.gov/nuccore/CP000304.1?report=graph&amp;tracks=[key:gene_model_track,Options:GeneOnly]&amp;mk=3739397:3739416|offset_26|444444,3739450:3739469|offset_79|444444,3739470:3739489|offset_99|00cc00,3739490:3739509|offset_119|444444&amp;v=3739196:3739709&amp;c=444444", "offset 99")</f>
        <v>offset 99</v>
      </c>
    </row>
    <row r="13223" customFormat="false" ht="12.8" hidden="false" customHeight="false" outlineLevel="0" collapsed="false">
      <c r="A13223" s="0" t="s">
        <v>12</v>
      </c>
      <c r="B13223" s="0" t="n">
        <v>3739489</v>
      </c>
      <c r="C13223" s="0" t="n">
        <v>3739509</v>
      </c>
      <c r="D13223" s="0" t="s">
        <v>44054</v>
      </c>
      <c r="E13223" s="0" t="s">
        <v>89</v>
      </c>
      <c r="F13223" s="0" t="s">
        <v>15</v>
      </c>
      <c r="G13223" s="0" t="s">
        <v>26</v>
      </c>
      <c r="H13223" s="0" t="n">
        <v>119</v>
      </c>
      <c r="I13223" s="0" t="s">
        <v>44064</v>
      </c>
      <c r="J13223" s="0" t="s">
        <v>44065</v>
      </c>
      <c r="K13223" s="0" t="s">
        <v>44066</v>
      </c>
      <c r="L13223" s="0" t="str">
        <f aca="false">HYPERLINK("https://www.ncbi.nlm.nih.gov/nuccore/CP000304.1?report=graph&amp;tracks=[key:gene_model_track,Options:GeneOnly]&amp;mk=3739397:3739416|offset_26|444444,3739450:3739469|offset_79|444444,3739470:3739489|offset_99|444444,3739490:3739509|offset_119|00cc00&amp;v=3739196:3739709&amp;c=444444", "offset 119")</f>
        <v>offset 119</v>
      </c>
    </row>
    <row r="13224" customFormat="false" ht="12.8" hidden="false" customHeight="false" outlineLevel="0" collapsed="false">
      <c r="A13224" s="0" t="s">
        <v>12</v>
      </c>
      <c r="B13224" s="0" t="n">
        <v>3740113</v>
      </c>
      <c r="C13224" s="0" t="n">
        <v>3740133</v>
      </c>
      <c r="D13224" s="0" t="s">
        <v>44067</v>
      </c>
      <c r="E13224" s="0" t="s">
        <v>89</v>
      </c>
      <c r="F13224" s="0" t="s">
        <v>15</v>
      </c>
      <c r="G13224" s="0" t="s">
        <v>16</v>
      </c>
      <c r="H13224" s="0" t="n">
        <v>13</v>
      </c>
      <c r="I13224" s="0" t="s">
        <v>44068</v>
      </c>
      <c r="J13224" s="0" t="s">
        <v>44069</v>
      </c>
      <c r="K13224" s="0" t="s">
        <v>44070</v>
      </c>
      <c r="L13224" s="0" t="str">
        <f aca="false">HYPERLINK("https://www.ncbi.nlm.nih.gov/nuccore/CP000304.1?report=graph&amp;tracks=[key:gene_model_track,Options:GeneOnly]&amp;mk=3740114:3740133|offset_13|00cc00,3740139:3740158|offset_38|444444,3740312:3740331|offset_211|444444,3740360:3740379|offset_259|444444&amp;v=3739913:3740579&amp;c=444444", "offset 13")</f>
        <v>offset 13</v>
      </c>
    </row>
    <row r="13225" customFormat="false" ht="12.8" hidden="false" customHeight="false" outlineLevel="0" collapsed="false">
      <c r="A13225" s="0" t="s">
        <v>12</v>
      </c>
      <c r="B13225" s="0" t="n">
        <v>3740138</v>
      </c>
      <c r="C13225" s="0" t="n">
        <v>3740158</v>
      </c>
      <c r="D13225" s="0" t="s">
        <v>44067</v>
      </c>
      <c r="E13225" s="0" t="s">
        <v>89</v>
      </c>
      <c r="F13225" s="0" t="s">
        <v>15</v>
      </c>
      <c r="G13225" s="0" t="s">
        <v>32</v>
      </c>
      <c r="H13225" s="0" t="n">
        <v>38</v>
      </c>
      <c r="I13225" s="0" t="s">
        <v>44071</v>
      </c>
      <c r="J13225" s="0" t="s">
        <v>44072</v>
      </c>
      <c r="K13225" s="0" t="s">
        <v>44073</v>
      </c>
      <c r="L13225" s="0" t="str">
        <f aca="false">HYPERLINK("https://www.ncbi.nlm.nih.gov/nuccore/CP000304.1?report=graph&amp;tracks=[key:gene_model_track,Options:GeneOnly]&amp;mk=3740114:3740133|offset_13|444444,3740139:3740158|offset_38|00cc00,3740312:3740331|offset_211|444444,3740360:3740379|offset_259|444444&amp;v=3739913:3740579&amp;c=444444", "offset 38")</f>
        <v>offset 38</v>
      </c>
    </row>
    <row r="13226" customFormat="false" ht="12.8" hidden="false" customHeight="false" outlineLevel="0" collapsed="false">
      <c r="A13226" s="0" t="s">
        <v>12</v>
      </c>
      <c r="B13226" s="0" t="n">
        <v>3740311</v>
      </c>
      <c r="C13226" s="0" t="n">
        <v>3740331</v>
      </c>
      <c r="D13226" s="0" t="s">
        <v>44067</v>
      </c>
      <c r="E13226" s="0" t="s">
        <v>89</v>
      </c>
      <c r="F13226" s="0" t="s">
        <v>15</v>
      </c>
      <c r="G13226" s="0" t="s">
        <v>36</v>
      </c>
      <c r="H13226" s="0" t="n">
        <v>211</v>
      </c>
      <c r="I13226" s="0" t="s">
        <v>44074</v>
      </c>
      <c r="J13226" s="0" t="s">
        <v>44075</v>
      </c>
      <c r="K13226" s="0" t="s">
        <v>44076</v>
      </c>
      <c r="L13226" s="0" t="str">
        <f aca="false">HYPERLINK("https://www.ncbi.nlm.nih.gov/nuccore/CP000304.1?report=graph&amp;tracks=[key:gene_model_track,Options:GeneOnly]&amp;mk=3740114:3740133|offset_13|444444,3740139:3740158|offset_38|444444,3740312:3740331|offset_211|00cc00,3740360:3740379|offset_259|444444&amp;v=3739913:3740579&amp;c=444444", "offset 211")</f>
        <v>offset 211</v>
      </c>
    </row>
    <row r="13227" customFormat="false" ht="12.8" hidden="false" customHeight="false" outlineLevel="0" collapsed="false">
      <c r="A13227" s="0" t="s">
        <v>12</v>
      </c>
      <c r="B13227" s="0" t="n">
        <v>3740359</v>
      </c>
      <c r="C13227" s="0" t="n">
        <v>3740379</v>
      </c>
      <c r="D13227" s="0" t="s">
        <v>44067</v>
      </c>
      <c r="E13227" s="0" t="s">
        <v>89</v>
      </c>
      <c r="F13227" s="0" t="s">
        <v>15</v>
      </c>
      <c r="G13227" s="0" t="s">
        <v>32</v>
      </c>
      <c r="H13227" s="0" t="n">
        <v>259</v>
      </c>
      <c r="I13227" s="0" t="s">
        <v>44077</v>
      </c>
      <c r="J13227" s="0" t="s">
        <v>44078</v>
      </c>
      <c r="K13227" s="0" t="s">
        <v>44079</v>
      </c>
      <c r="L13227" s="0" t="str">
        <f aca="false">HYPERLINK("https://www.ncbi.nlm.nih.gov/nuccore/CP000304.1?report=graph&amp;tracks=[key:gene_model_track,Options:GeneOnly]&amp;mk=3740114:3740133|offset_13|444444,3740139:3740158|offset_38|444444,3740312:3740331|offset_211|444444,3740360:3740379|offset_259|00cc00&amp;v=3739913:3740579&amp;c=444444", "offset 259")</f>
        <v>offset 259</v>
      </c>
    </row>
    <row r="13228" customFormat="false" ht="12.8" hidden="false" customHeight="false" outlineLevel="0" collapsed="false">
      <c r="A13228" s="0" t="s">
        <v>12</v>
      </c>
      <c r="B13228" s="0" t="n">
        <v>3742380</v>
      </c>
      <c r="C13228" s="0" t="n">
        <v>3742400</v>
      </c>
      <c r="D13228" s="0" t="s">
        <v>44080</v>
      </c>
      <c r="E13228" s="0" t="s">
        <v>89</v>
      </c>
      <c r="F13228" s="0" t="s">
        <v>15</v>
      </c>
      <c r="G13228" s="0" t="s">
        <v>36</v>
      </c>
      <c r="H13228" s="0" t="n">
        <v>28</v>
      </c>
      <c r="I13228" s="0" t="s">
        <v>44081</v>
      </c>
      <c r="J13228" s="0" t="s">
        <v>44082</v>
      </c>
      <c r="K13228" s="0" t="s">
        <v>44083</v>
      </c>
      <c r="L13228" s="0" t="str">
        <f aca="false">HYPERLINK("https://www.ncbi.nlm.nih.gov/nuccore/CP000304.1?report=graph&amp;tracks=[key:gene_model_track,Options:GeneOnly]&amp;mk=3742381:3742400|offset_28|00cc00,3742470:3742489|offset_117|444444,3742538:3742557|offset_185|444444,3742567:3742586|offset_214|444444&amp;v=3742180:3742786&amp;c=444444", "offset 28")</f>
        <v>offset 28</v>
      </c>
    </row>
    <row r="13229" customFormat="false" ht="12.8" hidden="false" customHeight="false" outlineLevel="0" collapsed="false">
      <c r="A13229" s="0" t="s">
        <v>12</v>
      </c>
      <c r="B13229" s="0" t="n">
        <v>3742469</v>
      </c>
      <c r="C13229" s="0" t="n">
        <v>3742489</v>
      </c>
      <c r="D13229" s="0" t="s">
        <v>44080</v>
      </c>
      <c r="E13229" s="0" t="s">
        <v>89</v>
      </c>
      <c r="F13229" s="0" t="s">
        <v>15</v>
      </c>
      <c r="G13229" s="0" t="s">
        <v>26</v>
      </c>
      <c r="H13229" s="0" t="n">
        <v>117</v>
      </c>
      <c r="I13229" s="0" t="s">
        <v>44084</v>
      </c>
      <c r="J13229" s="0" t="s">
        <v>44085</v>
      </c>
      <c r="K13229" s="0" t="s">
        <v>44086</v>
      </c>
      <c r="L13229" s="0" t="str">
        <f aca="false">HYPERLINK("https://www.ncbi.nlm.nih.gov/nuccore/CP000304.1?report=graph&amp;tracks=[key:gene_model_track,Options:GeneOnly]&amp;mk=3742381:3742400|offset_28|444444,3742470:3742489|offset_117|00cc00,3742538:3742557|offset_185|444444,3742567:3742586|offset_214|444444&amp;v=3742180:3742786&amp;c=444444", "offset 117")</f>
        <v>offset 117</v>
      </c>
    </row>
    <row r="13230" customFormat="false" ht="12.8" hidden="false" customHeight="false" outlineLevel="0" collapsed="false">
      <c r="A13230" s="0" t="s">
        <v>12</v>
      </c>
      <c r="B13230" s="0" t="n">
        <v>3742537</v>
      </c>
      <c r="C13230" s="0" t="n">
        <v>3742557</v>
      </c>
      <c r="D13230" s="0" t="s">
        <v>44080</v>
      </c>
      <c r="E13230" s="0" t="s">
        <v>89</v>
      </c>
      <c r="F13230" s="0" t="s">
        <v>15</v>
      </c>
      <c r="G13230" s="0" t="s">
        <v>32</v>
      </c>
      <c r="H13230" s="0" t="n">
        <v>185</v>
      </c>
      <c r="I13230" s="0" t="s">
        <v>44087</v>
      </c>
      <c r="J13230" s="0" t="s">
        <v>44088</v>
      </c>
      <c r="K13230" s="0" t="s">
        <v>44089</v>
      </c>
      <c r="L13230" s="0" t="str">
        <f aca="false">HYPERLINK("https://www.ncbi.nlm.nih.gov/nuccore/CP000304.1?report=graph&amp;tracks=[key:gene_model_track,Options:GeneOnly]&amp;mk=3742381:3742400|offset_28|444444,3742470:3742489|offset_117|444444,3742538:3742557|offset_185|00cc00,3742567:3742586|offset_214|444444&amp;v=3742180:3742786&amp;c=444444", "offset 185")</f>
        <v>offset 185</v>
      </c>
    </row>
    <row r="13231" customFormat="false" ht="12.8" hidden="false" customHeight="false" outlineLevel="0" collapsed="false">
      <c r="A13231" s="0" t="s">
        <v>12</v>
      </c>
      <c r="B13231" s="0" t="n">
        <v>3742566</v>
      </c>
      <c r="C13231" s="0" t="n">
        <v>3742586</v>
      </c>
      <c r="D13231" s="0" t="s">
        <v>44080</v>
      </c>
      <c r="E13231" s="0" t="s">
        <v>89</v>
      </c>
      <c r="F13231" s="0" t="s">
        <v>15</v>
      </c>
      <c r="G13231" s="0" t="s">
        <v>26</v>
      </c>
      <c r="H13231" s="0" t="n">
        <v>214</v>
      </c>
      <c r="I13231" s="0" t="s">
        <v>44090</v>
      </c>
      <c r="J13231" s="0" t="s">
        <v>44091</v>
      </c>
      <c r="K13231" s="0" t="s">
        <v>44092</v>
      </c>
      <c r="L13231" s="0" t="str">
        <f aca="false">HYPERLINK("https://www.ncbi.nlm.nih.gov/nuccore/CP000304.1?report=graph&amp;tracks=[key:gene_model_track,Options:GeneOnly]&amp;mk=3742381:3742400|offset_28|444444,3742470:3742489|offset_117|444444,3742538:3742557|offset_185|444444,3742567:3742586|offset_214|00cc00&amp;v=3742180:3742786&amp;c=444444", "offset 214")</f>
        <v>offset 214</v>
      </c>
    </row>
    <row r="13232" customFormat="false" ht="12.8" hidden="false" customHeight="false" outlineLevel="0" collapsed="false">
      <c r="A13232" s="0" t="s">
        <v>12</v>
      </c>
      <c r="B13232" s="0" t="n">
        <v>3742779</v>
      </c>
      <c r="C13232" s="0" t="n">
        <v>3742799</v>
      </c>
      <c r="D13232" s="0" t="s">
        <v>44093</v>
      </c>
      <c r="E13232" s="0" t="s">
        <v>89</v>
      </c>
      <c r="F13232" s="0" t="s">
        <v>15</v>
      </c>
      <c r="G13232" s="0" t="s">
        <v>16</v>
      </c>
      <c r="H13232" s="0" t="n">
        <v>10</v>
      </c>
      <c r="I13232" s="0" t="s">
        <v>44094</v>
      </c>
      <c r="J13232" s="0" t="s">
        <v>44095</v>
      </c>
      <c r="K13232" s="0" t="s">
        <v>44096</v>
      </c>
      <c r="L13232" s="0" t="str">
        <f aca="false">HYPERLINK("https://www.ncbi.nlm.nih.gov/nuccore/CP000304.1?report=graph&amp;tracks=[key:gene_model_track,Options:GeneOnly]&amp;mk=3742780:3742799|offset_10|00cc00,3742813:3742832|offset_43|444444,3742842:3742861|offset_72|444444,3742883:3742902|offset_113|444444&amp;v=3742579:3743102&amp;c=444444", "offset 10")</f>
        <v>offset 10</v>
      </c>
    </row>
    <row r="13233" customFormat="false" ht="12.8" hidden="false" customHeight="false" outlineLevel="0" collapsed="false">
      <c r="A13233" s="0" t="s">
        <v>12</v>
      </c>
      <c r="B13233" s="0" t="n">
        <v>3742812</v>
      </c>
      <c r="C13233" s="0" t="n">
        <v>3742832</v>
      </c>
      <c r="D13233" s="0" t="s">
        <v>44093</v>
      </c>
      <c r="E13233" s="0" t="s">
        <v>89</v>
      </c>
      <c r="F13233" s="0" t="s">
        <v>15</v>
      </c>
      <c r="G13233" s="0" t="s">
        <v>36</v>
      </c>
      <c r="H13233" s="0" t="n">
        <v>43</v>
      </c>
      <c r="I13233" s="0" t="s">
        <v>44097</v>
      </c>
      <c r="J13233" s="0" t="s">
        <v>44098</v>
      </c>
      <c r="K13233" s="0" t="s">
        <v>44099</v>
      </c>
      <c r="L13233" s="0" t="str">
        <f aca="false">HYPERLINK("https://www.ncbi.nlm.nih.gov/nuccore/CP000304.1?report=graph&amp;tracks=[key:gene_model_track,Options:GeneOnly]&amp;mk=3742780:3742799|offset_10|444444,3742813:3742832|offset_43|00cc00,3742842:3742861|offset_72|444444,3742883:3742902|offset_113|444444&amp;v=3742579:3743102&amp;c=444444", "offset 43")</f>
        <v>offset 43</v>
      </c>
    </row>
    <row r="13234" customFormat="false" ht="12.8" hidden="false" customHeight="false" outlineLevel="0" collapsed="false">
      <c r="A13234" s="0" t="s">
        <v>12</v>
      </c>
      <c r="B13234" s="0" t="n">
        <v>3742841</v>
      </c>
      <c r="C13234" s="0" t="n">
        <v>3742861</v>
      </c>
      <c r="D13234" s="0" t="s">
        <v>44093</v>
      </c>
      <c r="E13234" s="0" t="s">
        <v>89</v>
      </c>
      <c r="F13234" s="0" t="s">
        <v>15</v>
      </c>
      <c r="G13234" s="0" t="s">
        <v>16</v>
      </c>
      <c r="H13234" s="0" t="n">
        <v>72</v>
      </c>
      <c r="I13234" s="0" t="s">
        <v>44100</v>
      </c>
      <c r="J13234" s="0" t="s">
        <v>44101</v>
      </c>
      <c r="K13234" s="0" t="s">
        <v>44102</v>
      </c>
      <c r="L13234" s="0" t="str">
        <f aca="false">HYPERLINK("https://www.ncbi.nlm.nih.gov/nuccore/CP000304.1?report=graph&amp;tracks=[key:gene_model_track,Options:GeneOnly]&amp;mk=3742780:3742799|offset_10|444444,3742813:3742832|offset_43|444444,3742842:3742861|offset_72|00cc00,3742883:3742902|offset_113|444444&amp;v=3742579:3743102&amp;c=444444", "offset 72")</f>
        <v>offset 72</v>
      </c>
    </row>
    <row r="13235" customFormat="false" ht="12.8" hidden="false" customHeight="false" outlineLevel="0" collapsed="false">
      <c r="A13235" s="0" t="s">
        <v>12</v>
      </c>
      <c r="B13235" s="0" t="n">
        <v>3742882</v>
      </c>
      <c r="C13235" s="0" t="n">
        <v>3742902</v>
      </c>
      <c r="D13235" s="0" t="s">
        <v>44093</v>
      </c>
      <c r="E13235" s="0" t="s">
        <v>89</v>
      </c>
      <c r="F13235" s="0" t="s">
        <v>15</v>
      </c>
      <c r="G13235" s="0" t="s">
        <v>26</v>
      </c>
      <c r="H13235" s="0" t="n">
        <v>113</v>
      </c>
      <c r="I13235" s="0" t="s">
        <v>44103</v>
      </c>
      <c r="J13235" s="0" t="s">
        <v>44104</v>
      </c>
      <c r="K13235" s="0" t="s">
        <v>44105</v>
      </c>
      <c r="L13235" s="0" t="str">
        <f aca="false">HYPERLINK("https://www.ncbi.nlm.nih.gov/nuccore/CP000304.1?report=graph&amp;tracks=[key:gene_model_track,Options:GeneOnly]&amp;mk=3742780:3742799|offset_10|444444,3742813:3742832|offset_43|444444,3742842:3742861|offset_72|444444,3742883:3742902|offset_113|00cc00&amp;v=3742579:3743102&amp;c=444444", "offset 113")</f>
        <v>offset 113</v>
      </c>
    </row>
    <row r="13236" customFormat="false" ht="12.8" hidden="false" customHeight="false" outlineLevel="0" collapsed="false">
      <c r="A13236" s="0" t="s">
        <v>12</v>
      </c>
      <c r="B13236" s="0" t="n">
        <v>3743919</v>
      </c>
      <c r="C13236" s="0" t="n">
        <v>3743939</v>
      </c>
      <c r="D13236" s="0" t="s">
        <v>44106</v>
      </c>
      <c r="E13236" s="0" t="s">
        <v>89</v>
      </c>
      <c r="F13236" s="0" t="s">
        <v>90</v>
      </c>
      <c r="G13236" s="0" t="s">
        <v>32</v>
      </c>
      <c r="H13236" s="0" t="n">
        <v>1</v>
      </c>
      <c r="I13236" s="0" t="s">
        <v>44107</v>
      </c>
      <c r="J13236" s="0" t="s">
        <v>44108</v>
      </c>
      <c r="K13236" s="0" t="s">
        <v>44109</v>
      </c>
      <c r="L13236" s="0" t="str">
        <f aca="false">HYPERLINK("https://www.ncbi.nlm.nih.gov/nuccore/CP000304.1?report=graph&amp;tracks=[key:gene_model_track,Options:GeneOnly]&amp;mk=3743920:3743939|offset_1|00cc00,3743883:3743902|offset_38|444444,3743836:3743855|offset_85|444444&amp;v=3743719:3744055&amp;c=444444", "offset 1")</f>
        <v>offset 1</v>
      </c>
    </row>
    <row r="13237" customFormat="false" ht="12.8" hidden="false" customHeight="false" outlineLevel="0" collapsed="false">
      <c r="A13237" s="0" t="s">
        <v>12</v>
      </c>
      <c r="B13237" s="0" t="n">
        <v>3743882</v>
      </c>
      <c r="C13237" s="0" t="n">
        <v>3743902</v>
      </c>
      <c r="D13237" s="0" t="s">
        <v>44106</v>
      </c>
      <c r="E13237" s="0" t="s">
        <v>89</v>
      </c>
      <c r="F13237" s="0" t="s">
        <v>90</v>
      </c>
      <c r="G13237" s="0" t="s">
        <v>26</v>
      </c>
      <c r="H13237" s="0" t="n">
        <v>38</v>
      </c>
      <c r="I13237" s="0" t="s">
        <v>44110</v>
      </c>
      <c r="J13237" s="0" t="s">
        <v>44111</v>
      </c>
      <c r="K13237" s="0" t="s">
        <v>44112</v>
      </c>
      <c r="L13237" s="0" t="str">
        <f aca="false">HYPERLINK("https://www.ncbi.nlm.nih.gov/nuccore/CP000304.1?report=graph&amp;tracks=[key:gene_model_track,Options:GeneOnly]&amp;mk=3743920:3743939|offset_1|444444,3743883:3743902|offset_38|00cc00,3743836:3743855|offset_85|444444&amp;v=3743719:3744055&amp;c=444444", "offset 38")</f>
        <v>offset 38</v>
      </c>
    </row>
    <row r="13238" customFormat="false" ht="12.8" hidden="false" customHeight="false" outlineLevel="0" collapsed="false">
      <c r="A13238" s="0" t="s">
        <v>12</v>
      </c>
      <c r="B13238" s="0" t="n">
        <v>3743835</v>
      </c>
      <c r="C13238" s="0" t="n">
        <v>3743855</v>
      </c>
      <c r="D13238" s="0" t="s">
        <v>44106</v>
      </c>
      <c r="E13238" s="0" t="s">
        <v>89</v>
      </c>
      <c r="F13238" s="0" t="s">
        <v>90</v>
      </c>
      <c r="G13238" s="0" t="s">
        <v>16</v>
      </c>
      <c r="H13238" s="0" t="n">
        <v>85</v>
      </c>
      <c r="I13238" s="0" t="s">
        <v>44113</v>
      </c>
      <c r="J13238" s="0" t="s">
        <v>44114</v>
      </c>
      <c r="K13238" s="0" t="s">
        <v>44115</v>
      </c>
      <c r="L13238" s="0" t="str">
        <f aca="false">HYPERLINK("https://www.ncbi.nlm.nih.gov/nuccore/CP000304.1?report=graph&amp;tracks=[key:gene_model_track,Options:GeneOnly]&amp;mk=3743920:3743939|offset_1|444444,3743883:3743902|offset_38|444444,3743836:3743855|offset_85|00cc00&amp;v=3743719:3744055&amp;c=444444", "offset 85")</f>
        <v>offset 85</v>
      </c>
    </row>
    <row r="13239" customFormat="false" ht="12.8" hidden="false" customHeight="false" outlineLevel="0" collapsed="false">
      <c r="A13239" s="0" t="s">
        <v>12</v>
      </c>
      <c r="B13239" s="0" t="n">
        <v>3744824</v>
      </c>
      <c r="C13239" s="0" t="n">
        <v>3744844</v>
      </c>
      <c r="D13239" s="0" t="s">
        <v>44116</v>
      </c>
      <c r="E13239" s="0" t="s">
        <v>89</v>
      </c>
      <c r="F13239" s="0" t="s">
        <v>90</v>
      </c>
      <c r="G13239" s="0" t="s">
        <v>36</v>
      </c>
      <c r="H13239" s="0" t="n">
        <v>18</v>
      </c>
      <c r="I13239" s="0" t="s">
        <v>44117</v>
      </c>
      <c r="J13239" s="0" t="s">
        <v>44118</v>
      </c>
      <c r="K13239" s="0" t="s">
        <v>44119</v>
      </c>
      <c r="L13239" s="0" t="str">
        <f aca="false">HYPERLINK("https://www.ncbi.nlm.nih.gov/nuccore/CP000304.1?report=graph&amp;tracks=[key:gene_model_track,Options:GeneOnly]&amp;mk=3744825:3744844|offset_18|00cc00,3744783:3744802|offset_60|444444,3744737:3744756|offset_106|444444,3744695:3744714|offset_148|444444&amp;v=3744624:3744914&amp;c=444444", "offset 18")</f>
        <v>offset 18</v>
      </c>
    </row>
    <row r="13240" customFormat="false" ht="12.8" hidden="false" customHeight="false" outlineLevel="0" collapsed="false">
      <c r="A13240" s="0" t="s">
        <v>12</v>
      </c>
      <c r="B13240" s="0" t="n">
        <v>3744782</v>
      </c>
      <c r="C13240" s="0" t="n">
        <v>3744802</v>
      </c>
      <c r="D13240" s="0" t="s">
        <v>44116</v>
      </c>
      <c r="E13240" s="0" t="s">
        <v>89</v>
      </c>
      <c r="F13240" s="0" t="s">
        <v>90</v>
      </c>
      <c r="G13240" s="0" t="s">
        <v>32</v>
      </c>
      <c r="H13240" s="0" t="n">
        <v>60</v>
      </c>
      <c r="I13240" s="0" t="s">
        <v>44120</v>
      </c>
      <c r="J13240" s="0" t="s">
        <v>44121</v>
      </c>
      <c r="K13240" s="0" t="s">
        <v>44122</v>
      </c>
      <c r="L13240" s="0" t="str">
        <f aca="false">HYPERLINK("https://www.ncbi.nlm.nih.gov/nuccore/CP000304.1?report=graph&amp;tracks=[key:gene_model_track,Options:GeneOnly]&amp;mk=3744825:3744844|offset_18|444444,3744783:3744802|offset_60|00cc00,3744737:3744756|offset_106|444444,3744695:3744714|offset_148|444444&amp;v=3744624:3744914&amp;c=444444", "offset 60")</f>
        <v>offset 60</v>
      </c>
    </row>
    <row r="13241" customFormat="false" ht="12.8" hidden="false" customHeight="false" outlineLevel="0" collapsed="false">
      <c r="A13241" s="0" t="s">
        <v>12</v>
      </c>
      <c r="B13241" s="0" t="n">
        <v>3744736</v>
      </c>
      <c r="C13241" s="0" t="n">
        <v>3744756</v>
      </c>
      <c r="D13241" s="0" t="s">
        <v>44116</v>
      </c>
      <c r="E13241" s="0" t="s">
        <v>89</v>
      </c>
      <c r="F13241" s="0" t="s">
        <v>90</v>
      </c>
      <c r="G13241" s="0" t="s">
        <v>36</v>
      </c>
      <c r="H13241" s="0" t="n">
        <v>106</v>
      </c>
      <c r="I13241" s="0" t="s">
        <v>44123</v>
      </c>
      <c r="J13241" s="0" t="s">
        <v>44124</v>
      </c>
      <c r="K13241" s="0" t="s">
        <v>44125</v>
      </c>
      <c r="L13241" s="0" t="str">
        <f aca="false">HYPERLINK("https://www.ncbi.nlm.nih.gov/nuccore/CP000304.1?report=graph&amp;tracks=[key:gene_model_track,Options:GeneOnly]&amp;mk=3744825:3744844|offset_18|444444,3744783:3744802|offset_60|444444,3744737:3744756|offset_106|00cc00,3744695:3744714|offset_148|444444&amp;v=3744624:3744914&amp;c=444444", "offset 106")</f>
        <v>offset 106</v>
      </c>
    </row>
    <row r="13242" customFormat="false" ht="12.8" hidden="false" customHeight="false" outlineLevel="0" collapsed="false">
      <c r="A13242" s="0" t="s">
        <v>12</v>
      </c>
      <c r="B13242" s="0" t="n">
        <v>3744694</v>
      </c>
      <c r="C13242" s="0" t="n">
        <v>3744714</v>
      </c>
      <c r="D13242" s="0" t="s">
        <v>44116</v>
      </c>
      <c r="E13242" s="0" t="s">
        <v>89</v>
      </c>
      <c r="F13242" s="0" t="s">
        <v>90</v>
      </c>
      <c r="G13242" s="0" t="s">
        <v>32</v>
      </c>
      <c r="H13242" s="0" t="n">
        <v>148</v>
      </c>
      <c r="I13242" s="0" t="s">
        <v>44126</v>
      </c>
      <c r="J13242" s="0" t="s">
        <v>44127</v>
      </c>
      <c r="K13242" s="0" t="s">
        <v>44128</v>
      </c>
      <c r="L13242" s="0" t="str">
        <f aca="false">HYPERLINK("https://www.ncbi.nlm.nih.gov/nuccore/CP000304.1?report=graph&amp;tracks=[key:gene_model_track,Options:GeneOnly]&amp;mk=3744825:3744844|offset_18|444444,3744783:3744802|offset_60|444444,3744737:3744756|offset_106|444444,3744695:3744714|offset_148|00cc00&amp;v=3744624:3744914&amp;c=444444", "offset 148")</f>
        <v>offset 148</v>
      </c>
    </row>
    <row r="13243" customFormat="false" ht="12.8" hidden="false" customHeight="false" outlineLevel="0" collapsed="false">
      <c r="A13243" s="0" t="s">
        <v>12</v>
      </c>
      <c r="B13243" s="0" t="n">
        <v>3745167</v>
      </c>
      <c r="C13243" s="0" t="n">
        <v>3745187</v>
      </c>
      <c r="D13243" s="0" t="s">
        <v>44129</v>
      </c>
      <c r="E13243" s="0" t="s">
        <v>89</v>
      </c>
      <c r="F13243" s="0" t="s">
        <v>90</v>
      </c>
      <c r="G13243" s="0" t="s">
        <v>32</v>
      </c>
      <c r="H13243" s="0" t="n">
        <v>1</v>
      </c>
      <c r="I13243" s="0" t="s">
        <v>44130</v>
      </c>
      <c r="J13243" s="0" t="s">
        <v>44131</v>
      </c>
      <c r="K13243" s="0" t="s">
        <v>44132</v>
      </c>
      <c r="L13243" s="0" t="str">
        <f aca="false">HYPERLINK("https://www.ncbi.nlm.nih.gov/nuccore/CP000304.1?report=graph&amp;tracks=[key:gene_model_track,Options:GeneOnly]&amp;mk=3745168:3745187|offset_1|00cc00,3745141:3745160|offset_28|444444,3745117:3745136|offset_52|444444,3745054:3745073|offset_115|444444&amp;v=3744967:3745273&amp;c=444444", "offset 1")</f>
        <v>offset 1</v>
      </c>
    </row>
    <row r="13244" customFormat="false" ht="12.8" hidden="false" customHeight="false" outlineLevel="0" collapsed="false">
      <c r="A13244" s="0" t="s">
        <v>12</v>
      </c>
      <c r="B13244" s="0" t="n">
        <v>3745140</v>
      </c>
      <c r="C13244" s="0" t="n">
        <v>3745160</v>
      </c>
      <c r="D13244" s="0" t="s">
        <v>44129</v>
      </c>
      <c r="E13244" s="0" t="s">
        <v>89</v>
      </c>
      <c r="F13244" s="0" t="s">
        <v>90</v>
      </c>
      <c r="G13244" s="0" t="s">
        <v>32</v>
      </c>
      <c r="H13244" s="0" t="n">
        <v>28</v>
      </c>
      <c r="I13244" s="0" t="s">
        <v>44133</v>
      </c>
      <c r="J13244" s="0" t="s">
        <v>44134</v>
      </c>
      <c r="K13244" s="0" t="s">
        <v>44135</v>
      </c>
      <c r="L13244" s="0" t="str">
        <f aca="false">HYPERLINK("https://www.ncbi.nlm.nih.gov/nuccore/CP000304.1?report=graph&amp;tracks=[key:gene_model_track,Options:GeneOnly]&amp;mk=3745168:3745187|offset_1|444444,3745141:3745160|offset_28|00cc00,3745117:3745136|offset_52|444444,3745054:3745073|offset_115|444444&amp;v=3744967:3745273&amp;c=444444", "offset 28")</f>
        <v>offset 28</v>
      </c>
    </row>
    <row r="13245" customFormat="false" ht="12.8" hidden="false" customHeight="false" outlineLevel="0" collapsed="false">
      <c r="A13245" s="0" t="s">
        <v>12</v>
      </c>
      <c r="B13245" s="0" t="n">
        <v>3745116</v>
      </c>
      <c r="C13245" s="0" t="n">
        <v>3745136</v>
      </c>
      <c r="D13245" s="0" t="s">
        <v>44129</v>
      </c>
      <c r="E13245" s="0" t="s">
        <v>89</v>
      </c>
      <c r="F13245" s="0" t="s">
        <v>90</v>
      </c>
      <c r="G13245" s="0" t="s">
        <v>32</v>
      </c>
      <c r="H13245" s="0" t="n">
        <v>52</v>
      </c>
      <c r="I13245" s="0" t="s">
        <v>44136</v>
      </c>
      <c r="J13245" s="0" t="s">
        <v>44137</v>
      </c>
      <c r="K13245" s="0" t="s">
        <v>44138</v>
      </c>
      <c r="L13245" s="0" t="str">
        <f aca="false">HYPERLINK("https://www.ncbi.nlm.nih.gov/nuccore/CP000304.1?report=graph&amp;tracks=[key:gene_model_track,Options:GeneOnly]&amp;mk=3745168:3745187|offset_1|444444,3745141:3745160|offset_28|444444,3745117:3745136|offset_52|00cc00,3745054:3745073|offset_115|444444&amp;v=3744967:3745273&amp;c=444444", "offset 52")</f>
        <v>offset 52</v>
      </c>
    </row>
    <row r="13246" customFormat="false" ht="12.8" hidden="false" customHeight="false" outlineLevel="0" collapsed="false">
      <c r="A13246" s="0" t="s">
        <v>12</v>
      </c>
      <c r="B13246" s="0" t="n">
        <v>3745053</v>
      </c>
      <c r="C13246" s="0" t="n">
        <v>3745073</v>
      </c>
      <c r="D13246" s="0" t="s">
        <v>44129</v>
      </c>
      <c r="E13246" s="0" t="s">
        <v>89</v>
      </c>
      <c r="F13246" s="0" t="s">
        <v>90</v>
      </c>
      <c r="G13246" s="0" t="s">
        <v>32</v>
      </c>
      <c r="H13246" s="0" t="n">
        <v>115</v>
      </c>
      <c r="I13246" s="0" t="s">
        <v>44139</v>
      </c>
      <c r="J13246" s="0" t="s">
        <v>44140</v>
      </c>
      <c r="K13246" s="0" t="s">
        <v>44141</v>
      </c>
      <c r="L13246" s="0" t="str">
        <f aca="false">HYPERLINK("https://www.ncbi.nlm.nih.gov/nuccore/CP000304.1?report=graph&amp;tracks=[key:gene_model_track,Options:GeneOnly]&amp;mk=3745168:3745187|offset_1|444444,3745141:3745160|offset_28|444444,3745117:3745136|offset_52|444444,3745054:3745073|offset_115|00cc00&amp;v=3744967:3745273&amp;c=444444", "offset 115")</f>
        <v>offset 115</v>
      </c>
    </row>
    <row r="13247" customFormat="false" ht="12.8" hidden="false" customHeight="false" outlineLevel="0" collapsed="false">
      <c r="A13247" s="0" t="s">
        <v>12</v>
      </c>
      <c r="B13247" s="0" t="n">
        <v>3747667</v>
      </c>
      <c r="C13247" s="0" t="n">
        <v>3747687</v>
      </c>
      <c r="D13247" s="0" t="s">
        <v>44142</v>
      </c>
      <c r="E13247" s="0" t="s">
        <v>89</v>
      </c>
      <c r="F13247" s="0" t="s">
        <v>90</v>
      </c>
      <c r="G13247" s="0" t="s">
        <v>26</v>
      </c>
      <c r="H13247" s="0" t="n">
        <v>47</v>
      </c>
      <c r="I13247" s="0" t="s">
        <v>44143</v>
      </c>
      <c r="J13247" s="0" t="s">
        <v>44144</v>
      </c>
      <c r="K13247" s="0" t="s">
        <v>44145</v>
      </c>
      <c r="L13247" s="0" t="str">
        <f aca="false">HYPERLINK("https://www.ncbi.nlm.nih.gov/nuccore/CP000304.1?report=graph&amp;tracks=[key:gene_model_track,Options:GeneOnly]&amp;mk=3747668:3747687|offset_47|00cc00,3747636:3747655|offset_79|444444,3747609:3747628|offset_106|444444,3747576:3747595|offset_139|444444&amp;v=3747467:3747795&amp;c=444444", "offset 47")</f>
        <v>offset 47</v>
      </c>
    </row>
    <row r="13248" customFormat="false" ht="12.8" hidden="false" customHeight="false" outlineLevel="0" collapsed="false">
      <c r="A13248" s="0" t="s">
        <v>12</v>
      </c>
      <c r="B13248" s="0" t="n">
        <v>3747635</v>
      </c>
      <c r="C13248" s="0" t="n">
        <v>3747655</v>
      </c>
      <c r="D13248" s="0" t="s">
        <v>44142</v>
      </c>
      <c r="E13248" s="0" t="s">
        <v>89</v>
      </c>
      <c r="F13248" s="0" t="s">
        <v>90</v>
      </c>
      <c r="G13248" s="0" t="s">
        <v>16</v>
      </c>
      <c r="H13248" s="0" t="n">
        <v>79</v>
      </c>
      <c r="I13248" s="0" t="s">
        <v>44146</v>
      </c>
      <c r="J13248" s="0" t="s">
        <v>44147</v>
      </c>
      <c r="K13248" s="0" t="s">
        <v>44148</v>
      </c>
      <c r="L13248" s="0" t="str">
        <f aca="false">HYPERLINK("https://www.ncbi.nlm.nih.gov/nuccore/CP000304.1?report=graph&amp;tracks=[key:gene_model_track,Options:GeneOnly]&amp;mk=3747668:3747687|offset_47|444444,3747636:3747655|offset_79|00cc00,3747609:3747628|offset_106|444444,3747576:3747595|offset_139|444444&amp;v=3747467:3747795&amp;c=444444", "offset 79")</f>
        <v>offset 79</v>
      </c>
    </row>
    <row r="13249" customFormat="false" ht="12.8" hidden="false" customHeight="false" outlineLevel="0" collapsed="false">
      <c r="A13249" s="0" t="s">
        <v>12</v>
      </c>
      <c r="B13249" s="0" t="n">
        <v>3747608</v>
      </c>
      <c r="C13249" s="0" t="n">
        <v>3747628</v>
      </c>
      <c r="D13249" s="0" t="s">
        <v>44142</v>
      </c>
      <c r="E13249" s="0" t="s">
        <v>89</v>
      </c>
      <c r="F13249" s="0" t="s">
        <v>90</v>
      </c>
      <c r="G13249" s="0" t="s">
        <v>36</v>
      </c>
      <c r="H13249" s="0" t="n">
        <v>106</v>
      </c>
      <c r="I13249" s="0" t="s">
        <v>44149</v>
      </c>
      <c r="J13249" s="0" t="s">
        <v>44150</v>
      </c>
      <c r="K13249" s="0" t="s">
        <v>44151</v>
      </c>
      <c r="L13249" s="0" t="str">
        <f aca="false">HYPERLINK("https://www.ncbi.nlm.nih.gov/nuccore/CP000304.1?report=graph&amp;tracks=[key:gene_model_track,Options:GeneOnly]&amp;mk=3747668:3747687|offset_47|444444,3747636:3747655|offset_79|444444,3747609:3747628|offset_106|00cc00,3747576:3747595|offset_139|444444&amp;v=3747467:3747795&amp;c=444444", "offset 106")</f>
        <v>offset 106</v>
      </c>
    </row>
    <row r="13250" customFormat="false" ht="12.8" hidden="false" customHeight="false" outlineLevel="0" collapsed="false">
      <c r="A13250" s="0" t="s">
        <v>12</v>
      </c>
      <c r="B13250" s="0" t="n">
        <v>3747575</v>
      </c>
      <c r="C13250" s="0" t="n">
        <v>3747595</v>
      </c>
      <c r="D13250" s="0" t="s">
        <v>44142</v>
      </c>
      <c r="E13250" s="0" t="s">
        <v>89</v>
      </c>
      <c r="F13250" s="0" t="s">
        <v>90</v>
      </c>
      <c r="G13250" s="0" t="s">
        <v>16</v>
      </c>
      <c r="H13250" s="0" t="n">
        <v>139</v>
      </c>
      <c r="I13250" s="0" t="s">
        <v>44152</v>
      </c>
      <c r="J13250" s="0" t="s">
        <v>44153</v>
      </c>
      <c r="K13250" s="0" t="s">
        <v>44154</v>
      </c>
      <c r="L13250" s="0" t="str">
        <f aca="false">HYPERLINK("https://www.ncbi.nlm.nih.gov/nuccore/CP000304.1?report=graph&amp;tracks=[key:gene_model_track,Options:GeneOnly]&amp;mk=3747668:3747687|offset_47|444444,3747636:3747655|offset_79|444444,3747609:3747628|offset_106|444444,3747576:3747595|offset_139|00cc00&amp;v=3747467:3747795&amp;c=444444", "offset 139")</f>
        <v>offset 139</v>
      </c>
    </row>
    <row r="13251" customFormat="false" ht="12.8" hidden="false" customHeight="false" outlineLevel="0" collapsed="false">
      <c r="A13251" s="0" t="s">
        <v>12</v>
      </c>
      <c r="B13251" s="0" t="n">
        <v>3748844</v>
      </c>
      <c r="C13251" s="0" t="n">
        <v>3748864</v>
      </c>
      <c r="D13251" s="0" t="s">
        <v>44155</v>
      </c>
      <c r="E13251" s="0" t="s">
        <v>89</v>
      </c>
      <c r="F13251" s="0" t="s">
        <v>90</v>
      </c>
      <c r="G13251" s="0" t="s">
        <v>26</v>
      </c>
      <c r="H13251" s="0" t="n">
        <v>11</v>
      </c>
      <c r="I13251" s="0" t="s">
        <v>44156</v>
      </c>
      <c r="J13251" s="0" t="s">
        <v>44157</v>
      </c>
      <c r="K13251" s="0" t="s">
        <v>44158</v>
      </c>
      <c r="L13251" s="0" t="str">
        <f aca="false">HYPERLINK("https://www.ncbi.nlm.nih.gov/nuccore/CP000304.1?report=graph&amp;tracks=[key:gene_model_track,Options:GeneOnly]&amp;mk=3748845:3748864|offset_11|00cc00,3748821:3748840|offset_35|444444,3748779:3748798|offset_77|444444,3748735:3748754|offset_121|444444&amp;v=3748644:3748954&amp;c=444444", "offset 11")</f>
        <v>offset 11</v>
      </c>
    </row>
    <row r="13252" customFormat="false" ht="12.8" hidden="false" customHeight="false" outlineLevel="0" collapsed="false">
      <c r="A13252" s="0" t="s">
        <v>12</v>
      </c>
      <c r="B13252" s="0" t="n">
        <v>3748820</v>
      </c>
      <c r="C13252" s="0" t="n">
        <v>3748840</v>
      </c>
      <c r="D13252" s="0" t="s">
        <v>44155</v>
      </c>
      <c r="E13252" s="0" t="s">
        <v>89</v>
      </c>
      <c r="F13252" s="0" t="s">
        <v>90</v>
      </c>
      <c r="G13252" s="0" t="s">
        <v>16</v>
      </c>
      <c r="H13252" s="0" t="n">
        <v>35</v>
      </c>
      <c r="I13252" s="0" t="s">
        <v>44159</v>
      </c>
      <c r="J13252" s="0" t="s">
        <v>44160</v>
      </c>
      <c r="K13252" s="0" t="s">
        <v>44161</v>
      </c>
      <c r="L13252" s="0" t="str">
        <f aca="false">HYPERLINK("https://www.ncbi.nlm.nih.gov/nuccore/CP000304.1?report=graph&amp;tracks=[key:gene_model_track,Options:GeneOnly]&amp;mk=3748845:3748864|offset_11|444444,3748821:3748840|offset_35|00cc00,3748779:3748798|offset_77|444444,3748735:3748754|offset_121|444444&amp;v=3748644:3748954&amp;c=444444", "offset 35")</f>
        <v>offset 35</v>
      </c>
    </row>
    <row r="13253" customFormat="false" ht="12.8" hidden="false" customHeight="false" outlineLevel="0" collapsed="false">
      <c r="A13253" s="0" t="s">
        <v>12</v>
      </c>
      <c r="B13253" s="0" t="n">
        <v>3748778</v>
      </c>
      <c r="C13253" s="0" t="n">
        <v>3748798</v>
      </c>
      <c r="D13253" s="0" t="s">
        <v>44155</v>
      </c>
      <c r="E13253" s="0" t="s">
        <v>89</v>
      </c>
      <c r="F13253" s="0" t="s">
        <v>90</v>
      </c>
      <c r="G13253" s="0" t="s">
        <v>26</v>
      </c>
      <c r="H13253" s="0" t="n">
        <v>77</v>
      </c>
      <c r="I13253" s="0" t="s">
        <v>44162</v>
      </c>
      <c r="J13253" s="0" t="s">
        <v>44163</v>
      </c>
      <c r="K13253" s="0" t="s">
        <v>44164</v>
      </c>
      <c r="L13253" s="0" t="str">
        <f aca="false">HYPERLINK("https://www.ncbi.nlm.nih.gov/nuccore/CP000304.1?report=graph&amp;tracks=[key:gene_model_track,Options:GeneOnly]&amp;mk=3748845:3748864|offset_11|444444,3748821:3748840|offset_35|444444,3748779:3748798|offset_77|00cc00,3748735:3748754|offset_121|444444&amp;v=3748644:3748954&amp;c=444444", "offset 77")</f>
        <v>offset 77</v>
      </c>
    </row>
    <row r="13254" customFormat="false" ht="12.8" hidden="false" customHeight="false" outlineLevel="0" collapsed="false">
      <c r="A13254" s="0" t="s">
        <v>12</v>
      </c>
      <c r="B13254" s="0" t="n">
        <v>3748734</v>
      </c>
      <c r="C13254" s="0" t="n">
        <v>3748754</v>
      </c>
      <c r="D13254" s="0" t="s">
        <v>44155</v>
      </c>
      <c r="E13254" s="0" t="s">
        <v>89</v>
      </c>
      <c r="F13254" s="0" t="s">
        <v>90</v>
      </c>
      <c r="G13254" s="0" t="s">
        <v>32</v>
      </c>
      <c r="H13254" s="0" t="n">
        <v>121</v>
      </c>
      <c r="I13254" s="0" t="s">
        <v>44165</v>
      </c>
      <c r="J13254" s="0" t="s">
        <v>44166</v>
      </c>
      <c r="K13254" s="0" t="s">
        <v>44167</v>
      </c>
      <c r="L13254" s="0" t="str">
        <f aca="false">HYPERLINK("https://www.ncbi.nlm.nih.gov/nuccore/CP000304.1?report=graph&amp;tracks=[key:gene_model_track,Options:GeneOnly]&amp;mk=3748845:3748864|offset_11|444444,3748821:3748840|offset_35|444444,3748779:3748798|offset_77|444444,3748735:3748754|offset_121|00cc00&amp;v=3748644:3748954&amp;c=444444", "offset 121")</f>
        <v>offset 121</v>
      </c>
    </row>
    <row r="13255" customFormat="false" ht="12.8" hidden="false" customHeight="false" outlineLevel="0" collapsed="false">
      <c r="A13255" s="0" t="s">
        <v>12</v>
      </c>
      <c r="B13255" s="0" t="n">
        <v>3751400</v>
      </c>
      <c r="C13255" s="0" t="n">
        <v>3751420</v>
      </c>
      <c r="D13255" s="0" t="s">
        <v>44168</v>
      </c>
      <c r="E13255" s="0" t="s">
        <v>89</v>
      </c>
      <c r="F13255" s="0" t="s">
        <v>90</v>
      </c>
      <c r="G13255" s="0" t="s">
        <v>36</v>
      </c>
      <c r="H13255" s="0" t="n">
        <v>64</v>
      </c>
      <c r="I13255" s="0" t="s">
        <v>44169</v>
      </c>
      <c r="J13255" s="0" t="s">
        <v>44170</v>
      </c>
      <c r="K13255" s="0" t="s">
        <v>44171</v>
      </c>
      <c r="L13255" s="0" t="str">
        <f aca="false">HYPERLINK("https://www.ncbi.nlm.nih.gov/nuccore/CP000304.1?report=graph&amp;tracks=[key:gene_model_track,Options:GeneOnly]&amp;mk=3751401:3751420|offset_64|00cc00,3751377:3751396|offset_88|444444,3751302:3751321|offset_163|444444,3751258:3751277|offset_207|444444&amp;v=3751200:3751477&amp;c=444444", "offset 64")</f>
        <v>offset 64</v>
      </c>
    </row>
    <row r="13256" customFormat="false" ht="12.8" hidden="false" customHeight="false" outlineLevel="0" collapsed="false">
      <c r="A13256" s="0" t="s">
        <v>12</v>
      </c>
      <c r="B13256" s="0" t="n">
        <v>3751376</v>
      </c>
      <c r="C13256" s="0" t="n">
        <v>3751396</v>
      </c>
      <c r="D13256" s="0" t="s">
        <v>44168</v>
      </c>
      <c r="E13256" s="0" t="s">
        <v>89</v>
      </c>
      <c r="F13256" s="0" t="s">
        <v>90</v>
      </c>
      <c r="G13256" s="0" t="s">
        <v>16</v>
      </c>
      <c r="H13256" s="0" t="n">
        <v>88</v>
      </c>
      <c r="I13256" s="0" t="s">
        <v>44172</v>
      </c>
      <c r="J13256" s="0" t="s">
        <v>44173</v>
      </c>
      <c r="K13256" s="0" t="s">
        <v>44174</v>
      </c>
      <c r="L13256" s="0" t="str">
        <f aca="false">HYPERLINK("https://www.ncbi.nlm.nih.gov/nuccore/CP000304.1?report=graph&amp;tracks=[key:gene_model_track,Options:GeneOnly]&amp;mk=3751401:3751420|offset_64|444444,3751377:3751396|offset_88|00cc00,3751302:3751321|offset_163|444444,3751258:3751277|offset_207|444444&amp;v=3751200:3751477&amp;c=444444", "offset 88")</f>
        <v>offset 88</v>
      </c>
    </row>
    <row r="13257" customFormat="false" ht="12.8" hidden="false" customHeight="false" outlineLevel="0" collapsed="false">
      <c r="A13257" s="0" t="s">
        <v>12</v>
      </c>
      <c r="B13257" s="0" t="n">
        <v>3751301</v>
      </c>
      <c r="C13257" s="0" t="n">
        <v>3751321</v>
      </c>
      <c r="D13257" s="0" t="s">
        <v>44168</v>
      </c>
      <c r="E13257" s="0" t="s">
        <v>89</v>
      </c>
      <c r="F13257" s="0" t="s">
        <v>90</v>
      </c>
      <c r="G13257" s="0" t="s">
        <v>26</v>
      </c>
      <c r="H13257" s="0" t="n">
        <v>163</v>
      </c>
      <c r="I13257" s="0" t="s">
        <v>44175</v>
      </c>
      <c r="J13257" s="0" t="s">
        <v>44176</v>
      </c>
      <c r="K13257" s="0" t="s">
        <v>44177</v>
      </c>
      <c r="L13257" s="0" t="str">
        <f aca="false">HYPERLINK("https://www.ncbi.nlm.nih.gov/nuccore/CP000304.1?report=graph&amp;tracks=[key:gene_model_track,Options:GeneOnly]&amp;mk=3751401:3751420|offset_64|444444,3751377:3751396|offset_88|444444,3751302:3751321|offset_163|00cc00,3751258:3751277|offset_207|444444&amp;v=3751200:3751477&amp;c=444444", "offset 163")</f>
        <v>offset 163</v>
      </c>
    </row>
    <row r="13258" customFormat="false" ht="12.8" hidden="false" customHeight="false" outlineLevel="0" collapsed="false">
      <c r="A13258" s="0" t="s">
        <v>12</v>
      </c>
      <c r="B13258" s="0" t="n">
        <v>3751257</v>
      </c>
      <c r="C13258" s="0" t="n">
        <v>3751277</v>
      </c>
      <c r="D13258" s="0" t="s">
        <v>44168</v>
      </c>
      <c r="E13258" s="0" t="s">
        <v>89</v>
      </c>
      <c r="F13258" s="0" t="s">
        <v>90</v>
      </c>
      <c r="G13258" s="0" t="s">
        <v>32</v>
      </c>
      <c r="H13258" s="0" t="n">
        <v>207</v>
      </c>
      <c r="I13258" s="0" t="s">
        <v>44178</v>
      </c>
      <c r="J13258" s="0" t="s">
        <v>44179</v>
      </c>
      <c r="K13258" s="0" t="s">
        <v>44180</v>
      </c>
      <c r="L13258" s="0" t="str">
        <f aca="false">HYPERLINK("https://www.ncbi.nlm.nih.gov/nuccore/CP000304.1?report=graph&amp;tracks=[key:gene_model_track,Options:GeneOnly]&amp;mk=3751401:3751420|offset_64|444444,3751377:3751396|offset_88|444444,3751302:3751321|offset_163|444444,3751258:3751277|offset_207|00cc00&amp;v=3751200:3751477&amp;c=444444", "offset 207")</f>
        <v>offset 207</v>
      </c>
    </row>
    <row r="13259" customFormat="false" ht="12.8" hidden="false" customHeight="false" outlineLevel="0" collapsed="false">
      <c r="A13259" s="0" t="s">
        <v>12</v>
      </c>
      <c r="B13259" s="0" t="n">
        <v>3752223</v>
      </c>
      <c r="C13259" s="0" t="n">
        <v>3752243</v>
      </c>
      <c r="D13259" s="0" t="s">
        <v>44181</v>
      </c>
      <c r="E13259" s="0" t="s">
        <v>89</v>
      </c>
      <c r="F13259" s="0" t="s">
        <v>90</v>
      </c>
      <c r="G13259" s="0" t="s">
        <v>36</v>
      </c>
      <c r="H13259" s="0" t="n">
        <v>104</v>
      </c>
      <c r="I13259" s="0" t="s">
        <v>44182</v>
      </c>
      <c r="J13259" s="0" t="s">
        <v>44183</v>
      </c>
      <c r="K13259" s="0" t="s">
        <v>44184</v>
      </c>
      <c r="L13259" s="0" t="str">
        <f aca="false">HYPERLINK("https://www.ncbi.nlm.nih.gov/nuccore/CP000304.1?report=graph&amp;tracks=[key:gene_model_track,Options:GeneOnly]&amp;mk=3752224:3752243|offset_104|00cc00,3752201:3752220|offset_127|444444,3752176:3752195|offset_152|444444,3752083:3752102|offset_245|444444&amp;v=3752023:3752302&amp;c=444444", "offset 104")</f>
        <v>offset 104</v>
      </c>
    </row>
    <row r="13260" customFormat="false" ht="12.8" hidden="false" customHeight="false" outlineLevel="0" collapsed="false">
      <c r="A13260" s="0" t="s">
        <v>12</v>
      </c>
      <c r="B13260" s="0" t="n">
        <v>3752200</v>
      </c>
      <c r="C13260" s="0" t="n">
        <v>3752220</v>
      </c>
      <c r="D13260" s="0" t="s">
        <v>44181</v>
      </c>
      <c r="E13260" s="0" t="s">
        <v>89</v>
      </c>
      <c r="F13260" s="0" t="s">
        <v>90</v>
      </c>
      <c r="G13260" s="0" t="s">
        <v>36</v>
      </c>
      <c r="H13260" s="0" t="n">
        <v>127</v>
      </c>
      <c r="I13260" s="0" t="s">
        <v>44185</v>
      </c>
      <c r="J13260" s="0" t="s">
        <v>44186</v>
      </c>
      <c r="K13260" s="0" t="s">
        <v>44187</v>
      </c>
      <c r="L13260" s="0" t="str">
        <f aca="false">HYPERLINK("https://www.ncbi.nlm.nih.gov/nuccore/CP000304.1?report=graph&amp;tracks=[key:gene_model_track,Options:GeneOnly]&amp;mk=3752224:3752243|offset_104|444444,3752201:3752220|offset_127|00cc00,3752176:3752195|offset_152|444444,3752083:3752102|offset_245|444444&amp;v=3752023:3752302&amp;c=444444", "offset 127")</f>
        <v>offset 127</v>
      </c>
    </row>
    <row r="13261" customFormat="false" ht="12.8" hidden="false" customHeight="false" outlineLevel="0" collapsed="false">
      <c r="A13261" s="0" t="s">
        <v>12</v>
      </c>
      <c r="B13261" s="0" t="n">
        <v>3752175</v>
      </c>
      <c r="C13261" s="0" t="n">
        <v>3752195</v>
      </c>
      <c r="D13261" s="0" t="s">
        <v>44181</v>
      </c>
      <c r="E13261" s="0" t="s">
        <v>89</v>
      </c>
      <c r="F13261" s="0" t="s">
        <v>90</v>
      </c>
      <c r="G13261" s="0" t="s">
        <v>32</v>
      </c>
      <c r="H13261" s="0" t="n">
        <v>152</v>
      </c>
      <c r="I13261" s="0" t="s">
        <v>44188</v>
      </c>
      <c r="J13261" s="0" t="s">
        <v>44189</v>
      </c>
      <c r="K13261" s="0" t="s">
        <v>44190</v>
      </c>
      <c r="L13261" s="0" t="str">
        <f aca="false">HYPERLINK("https://www.ncbi.nlm.nih.gov/nuccore/CP000304.1?report=graph&amp;tracks=[key:gene_model_track,Options:GeneOnly]&amp;mk=3752224:3752243|offset_104|444444,3752201:3752220|offset_127|444444,3752176:3752195|offset_152|00cc00,3752083:3752102|offset_245|444444&amp;v=3752023:3752302&amp;c=444444", "offset 152")</f>
        <v>offset 152</v>
      </c>
    </row>
    <row r="13262" customFormat="false" ht="12.8" hidden="false" customHeight="false" outlineLevel="0" collapsed="false">
      <c r="A13262" s="0" t="s">
        <v>12</v>
      </c>
      <c r="B13262" s="0" t="n">
        <v>3752082</v>
      </c>
      <c r="C13262" s="0" t="n">
        <v>3752102</v>
      </c>
      <c r="D13262" s="0" t="s">
        <v>44181</v>
      </c>
      <c r="E13262" s="0" t="s">
        <v>89</v>
      </c>
      <c r="F13262" s="0" t="s">
        <v>90</v>
      </c>
      <c r="G13262" s="0" t="s">
        <v>16</v>
      </c>
      <c r="H13262" s="0" t="n">
        <v>245</v>
      </c>
      <c r="I13262" s="0" t="s">
        <v>44191</v>
      </c>
      <c r="J13262" s="0" t="s">
        <v>44192</v>
      </c>
      <c r="K13262" s="0" t="s">
        <v>44193</v>
      </c>
      <c r="L13262" s="0" t="str">
        <f aca="false">HYPERLINK("https://www.ncbi.nlm.nih.gov/nuccore/CP000304.1?report=graph&amp;tracks=[key:gene_model_track,Options:GeneOnly]&amp;mk=3752224:3752243|offset_104|444444,3752201:3752220|offset_127|444444,3752176:3752195|offset_152|444444,3752083:3752102|offset_245|00cc00&amp;v=3752023:3752302&amp;c=444444", "offset 245")</f>
        <v>offset 245</v>
      </c>
    </row>
    <row r="13263" customFormat="false" ht="12.8" hidden="false" customHeight="false" outlineLevel="0" collapsed="false">
      <c r="A13263" s="0" t="s">
        <v>12</v>
      </c>
      <c r="B13263" s="0" t="n">
        <v>3753528</v>
      </c>
      <c r="C13263" s="0" t="n">
        <v>3753548</v>
      </c>
      <c r="D13263" s="0" t="s">
        <v>44194</v>
      </c>
      <c r="E13263" s="0" t="s">
        <v>89</v>
      </c>
      <c r="F13263" s="0" t="s">
        <v>90</v>
      </c>
      <c r="G13263" s="0" t="s">
        <v>36</v>
      </c>
      <c r="H13263" s="0" t="n">
        <v>40</v>
      </c>
      <c r="I13263" s="0" t="s">
        <v>44195</v>
      </c>
      <c r="J13263" s="0" t="s">
        <v>44196</v>
      </c>
      <c r="K13263" s="0" t="s">
        <v>44197</v>
      </c>
      <c r="L13263" s="0" t="str">
        <f aca="false">HYPERLINK("https://www.ncbi.nlm.nih.gov/nuccore/CP000304.1?report=graph&amp;tracks=[key:gene_model_track,Options:GeneOnly]&amp;mk=3753529:3753548|offset_40|00cc00,3753443:3753462|offset_126|444444,3753398:3753417|offset_171|444444,3753367:3753386|offset_202|444444&amp;v=3753328:3753586&amp;c=444444", "offset 40")</f>
        <v>offset 40</v>
      </c>
    </row>
    <row r="13264" customFormat="false" ht="12.8" hidden="false" customHeight="false" outlineLevel="0" collapsed="false">
      <c r="A13264" s="0" t="s">
        <v>12</v>
      </c>
      <c r="B13264" s="0" t="n">
        <v>3753442</v>
      </c>
      <c r="C13264" s="0" t="n">
        <v>3753462</v>
      </c>
      <c r="D13264" s="0" t="s">
        <v>44194</v>
      </c>
      <c r="E13264" s="0" t="s">
        <v>89</v>
      </c>
      <c r="F13264" s="0" t="s">
        <v>90</v>
      </c>
      <c r="G13264" s="0" t="s">
        <v>26</v>
      </c>
      <c r="H13264" s="0" t="n">
        <v>126</v>
      </c>
      <c r="I13264" s="0" t="s">
        <v>44198</v>
      </c>
      <c r="J13264" s="0" t="s">
        <v>44199</v>
      </c>
      <c r="K13264" s="0" t="s">
        <v>44200</v>
      </c>
      <c r="L13264" s="0" t="str">
        <f aca="false">HYPERLINK("https://www.ncbi.nlm.nih.gov/nuccore/CP000304.1?report=graph&amp;tracks=[key:gene_model_track,Options:GeneOnly]&amp;mk=3753529:3753548|offset_40|444444,3753443:3753462|offset_126|00cc00,3753398:3753417|offset_171|444444,3753367:3753386|offset_202|444444&amp;v=3753328:3753586&amp;c=444444", "offset 126")</f>
        <v>offset 126</v>
      </c>
    </row>
    <row r="13265" customFormat="false" ht="12.8" hidden="false" customHeight="false" outlineLevel="0" collapsed="false">
      <c r="A13265" s="0" t="s">
        <v>12</v>
      </c>
      <c r="B13265" s="0" t="n">
        <v>3753397</v>
      </c>
      <c r="C13265" s="0" t="n">
        <v>3753417</v>
      </c>
      <c r="D13265" s="0" t="s">
        <v>44194</v>
      </c>
      <c r="E13265" s="0" t="s">
        <v>89</v>
      </c>
      <c r="F13265" s="0" t="s">
        <v>90</v>
      </c>
      <c r="G13265" s="0" t="s">
        <v>26</v>
      </c>
      <c r="H13265" s="0" t="n">
        <v>171</v>
      </c>
      <c r="I13265" s="0" t="s">
        <v>44201</v>
      </c>
      <c r="J13265" s="0" t="s">
        <v>44202</v>
      </c>
      <c r="K13265" s="0" t="s">
        <v>44203</v>
      </c>
      <c r="L13265" s="0" t="str">
        <f aca="false">HYPERLINK("https://www.ncbi.nlm.nih.gov/nuccore/CP000304.1?report=graph&amp;tracks=[key:gene_model_track,Options:GeneOnly]&amp;mk=3753529:3753548|offset_40|444444,3753443:3753462|offset_126|444444,3753398:3753417|offset_171|00cc00,3753367:3753386|offset_202|444444&amp;v=3753328:3753586&amp;c=444444", "offset 171")</f>
        <v>offset 171</v>
      </c>
    </row>
    <row r="13266" customFormat="false" ht="12.8" hidden="false" customHeight="false" outlineLevel="0" collapsed="false">
      <c r="A13266" s="0" t="s">
        <v>12</v>
      </c>
      <c r="B13266" s="0" t="n">
        <v>3753366</v>
      </c>
      <c r="C13266" s="0" t="n">
        <v>3753386</v>
      </c>
      <c r="D13266" s="0" t="s">
        <v>44194</v>
      </c>
      <c r="E13266" s="0" t="s">
        <v>89</v>
      </c>
      <c r="F13266" s="0" t="s">
        <v>90</v>
      </c>
      <c r="G13266" s="0" t="s">
        <v>16</v>
      </c>
      <c r="H13266" s="0" t="n">
        <v>202</v>
      </c>
      <c r="I13266" s="0" t="s">
        <v>44204</v>
      </c>
      <c r="J13266" s="0" t="s">
        <v>44205</v>
      </c>
      <c r="K13266" s="0" t="s">
        <v>44206</v>
      </c>
      <c r="L13266" s="0" t="str">
        <f aca="false">HYPERLINK("https://www.ncbi.nlm.nih.gov/nuccore/CP000304.1?report=graph&amp;tracks=[key:gene_model_track,Options:GeneOnly]&amp;mk=3753529:3753548|offset_40|444444,3753443:3753462|offset_126|444444,3753398:3753417|offset_171|444444,3753367:3753386|offset_202|00cc00&amp;v=3753328:3753586&amp;c=444444", "offset 202")</f>
        <v>offset 202</v>
      </c>
    </row>
    <row r="13267" customFormat="false" ht="12.8" hidden="false" customHeight="false" outlineLevel="0" collapsed="false">
      <c r="A13267" s="0" t="s">
        <v>12</v>
      </c>
      <c r="B13267" s="0" t="n">
        <v>3753803</v>
      </c>
      <c r="C13267" s="0" t="n">
        <v>3753823</v>
      </c>
      <c r="D13267" s="0" t="s">
        <v>44207</v>
      </c>
      <c r="E13267" s="0" t="s">
        <v>89</v>
      </c>
      <c r="F13267" s="0" t="s">
        <v>90</v>
      </c>
      <c r="G13267" s="0" t="s">
        <v>32</v>
      </c>
      <c r="H13267" s="0" t="n">
        <v>66</v>
      </c>
      <c r="I13267" s="0" t="s">
        <v>44208</v>
      </c>
      <c r="J13267" s="0" t="s">
        <v>44209</v>
      </c>
      <c r="K13267" s="0" t="s">
        <v>44210</v>
      </c>
      <c r="L13267" s="0" t="str">
        <f aca="false">HYPERLINK("https://www.ncbi.nlm.nih.gov/nuccore/CP000304.1?report=graph&amp;tracks=[key:gene_model_track,Options:GeneOnly]&amp;mk=3753804:3753823|offset_66|00cc00,3753778:3753797|offset_92|444444&amp;v=3753603:3753997&amp;c=444444", "offset 66")</f>
        <v>offset 66</v>
      </c>
    </row>
    <row r="13268" customFormat="false" ht="12.8" hidden="false" customHeight="false" outlineLevel="0" collapsed="false">
      <c r="A13268" s="0" t="s">
        <v>12</v>
      </c>
      <c r="B13268" s="0" t="n">
        <v>3753777</v>
      </c>
      <c r="C13268" s="0" t="n">
        <v>3753797</v>
      </c>
      <c r="D13268" s="0" t="s">
        <v>44207</v>
      </c>
      <c r="E13268" s="0" t="s">
        <v>89</v>
      </c>
      <c r="F13268" s="0" t="s">
        <v>90</v>
      </c>
      <c r="G13268" s="0" t="s">
        <v>32</v>
      </c>
      <c r="H13268" s="0" t="n">
        <v>92</v>
      </c>
      <c r="I13268" s="0" t="s">
        <v>44211</v>
      </c>
      <c r="J13268" s="0" t="s">
        <v>44212</v>
      </c>
      <c r="K13268" s="0" t="s">
        <v>44213</v>
      </c>
      <c r="L13268" s="0" t="str">
        <f aca="false">HYPERLINK("https://www.ncbi.nlm.nih.gov/nuccore/CP000304.1?report=graph&amp;tracks=[key:gene_model_track,Options:GeneOnly]&amp;mk=3753804:3753823|offset_66|444444,3753778:3753797|offset_92|00cc00&amp;v=3753603:3753997&amp;c=444444", "offset 92")</f>
        <v>offset 92</v>
      </c>
    </row>
    <row r="13269" customFormat="false" ht="12.8" hidden="false" customHeight="false" outlineLevel="0" collapsed="false">
      <c r="A13269" s="0" t="s">
        <v>12</v>
      </c>
      <c r="B13269" s="0" t="n">
        <v>3753963</v>
      </c>
      <c r="C13269" s="0" t="n">
        <v>3753983</v>
      </c>
      <c r="D13269" s="0" t="s">
        <v>44214</v>
      </c>
      <c r="E13269" s="0" t="s">
        <v>89</v>
      </c>
      <c r="F13269" s="0" t="s">
        <v>15</v>
      </c>
      <c r="G13269" s="0" t="s">
        <v>32</v>
      </c>
      <c r="H13269" s="0" t="n">
        <v>6</v>
      </c>
      <c r="I13269" s="0" t="s">
        <v>44215</v>
      </c>
      <c r="J13269" s="0" t="s">
        <v>44216</v>
      </c>
      <c r="K13269" s="0" t="s">
        <v>44217</v>
      </c>
      <c r="L13269" s="0" t="str">
        <f aca="false">HYPERLINK("https://www.ncbi.nlm.nih.gov/nuccore/CP000304.1?report=graph&amp;tracks=[key:gene_model_track,Options:GeneOnly]&amp;mk=3753964:3753983|offset_6|00cc00,3753999:3754018|offset_41|444444,3754055:3754074|offset_97|444444,3754077:3754096|offset_119|444444&amp;v=3753763:3754296&amp;c=444444", "offset 6")</f>
        <v>offset 6</v>
      </c>
    </row>
    <row r="13270" customFormat="false" ht="12.8" hidden="false" customHeight="false" outlineLevel="0" collapsed="false">
      <c r="A13270" s="0" t="s">
        <v>12</v>
      </c>
      <c r="B13270" s="0" t="n">
        <v>3753998</v>
      </c>
      <c r="C13270" s="0" t="n">
        <v>3754018</v>
      </c>
      <c r="D13270" s="0" t="s">
        <v>44214</v>
      </c>
      <c r="E13270" s="0" t="s">
        <v>89</v>
      </c>
      <c r="F13270" s="0" t="s">
        <v>15</v>
      </c>
      <c r="G13270" s="0" t="s">
        <v>26</v>
      </c>
      <c r="H13270" s="0" t="n">
        <v>41</v>
      </c>
      <c r="I13270" s="0" t="s">
        <v>44218</v>
      </c>
      <c r="J13270" s="0" t="s">
        <v>44219</v>
      </c>
      <c r="K13270" s="0" t="s">
        <v>44220</v>
      </c>
      <c r="L13270" s="0" t="str">
        <f aca="false">HYPERLINK("https://www.ncbi.nlm.nih.gov/nuccore/CP000304.1?report=graph&amp;tracks=[key:gene_model_track,Options:GeneOnly]&amp;mk=3753964:3753983|offset_6|444444,3753999:3754018|offset_41|00cc00,3754055:3754074|offset_97|444444,3754077:3754096|offset_119|444444&amp;v=3753763:3754296&amp;c=444444", "offset 41")</f>
        <v>offset 41</v>
      </c>
    </row>
    <row r="13271" customFormat="false" ht="12.8" hidden="false" customHeight="false" outlineLevel="0" collapsed="false">
      <c r="A13271" s="0" t="s">
        <v>12</v>
      </c>
      <c r="B13271" s="0" t="n">
        <v>3754054</v>
      </c>
      <c r="C13271" s="0" t="n">
        <v>3754074</v>
      </c>
      <c r="D13271" s="0" t="s">
        <v>44214</v>
      </c>
      <c r="E13271" s="0" t="s">
        <v>89</v>
      </c>
      <c r="F13271" s="0" t="s">
        <v>15</v>
      </c>
      <c r="G13271" s="0" t="s">
        <v>32</v>
      </c>
      <c r="H13271" s="0" t="n">
        <v>97</v>
      </c>
      <c r="I13271" s="0" t="s">
        <v>44221</v>
      </c>
      <c r="J13271" s="0" t="s">
        <v>44222</v>
      </c>
      <c r="K13271" s="0" t="s">
        <v>44223</v>
      </c>
      <c r="L13271" s="0" t="str">
        <f aca="false">HYPERLINK("https://www.ncbi.nlm.nih.gov/nuccore/CP000304.1?report=graph&amp;tracks=[key:gene_model_track,Options:GeneOnly]&amp;mk=3753964:3753983|offset_6|444444,3753999:3754018|offset_41|444444,3754055:3754074|offset_97|00cc00,3754077:3754096|offset_119|444444&amp;v=3753763:3754296&amp;c=444444", "offset 97")</f>
        <v>offset 97</v>
      </c>
    </row>
    <row r="13272" customFormat="false" ht="12.8" hidden="false" customHeight="false" outlineLevel="0" collapsed="false">
      <c r="A13272" s="0" t="s">
        <v>12</v>
      </c>
      <c r="B13272" s="0" t="n">
        <v>3754076</v>
      </c>
      <c r="C13272" s="0" t="n">
        <v>3754096</v>
      </c>
      <c r="D13272" s="0" t="s">
        <v>44214</v>
      </c>
      <c r="E13272" s="0" t="s">
        <v>89</v>
      </c>
      <c r="F13272" s="0" t="s">
        <v>15</v>
      </c>
      <c r="G13272" s="0" t="s">
        <v>32</v>
      </c>
      <c r="H13272" s="0" t="n">
        <v>119</v>
      </c>
      <c r="I13272" s="0" t="s">
        <v>44224</v>
      </c>
      <c r="J13272" s="0" t="s">
        <v>44225</v>
      </c>
      <c r="K13272" s="0" t="s">
        <v>44226</v>
      </c>
      <c r="L13272" s="0" t="str">
        <f aca="false">HYPERLINK("https://www.ncbi.nlm.nih.gov/nuccore/CP000304.1?report=graph&amp;tracks=[key:gene_model_track,Options:GeneOnly]&amp;mk=3753964:3753983|offset_6|444444,3753999:3754018|offset_41|444444,3754055:3754074|offset_97|444444,3754077:3754096|offset_119|00cc00&amp;v=3753763:3754296&amp;c=444444", "offset 119")</f>
        <v>offset 119</v>
      </c>
    </row>
    <row r="13273" customFormat="false" ht="12.8" hidden="false" customHeight="false" outlineLevel="0" collapsed="false">
      <c r="A13273" s="0" t="s">
        <v>12</v>
      </c>
      <c r="B13273" s="0" t="n">
        <v>3754590</v>
      </c>
      <c r="C13273" s="0" t="n">
        <v>3754610</v>
      </c>
      <c r="D13273" s="0" t="s">
        <v>44227</v>
      </c>
      <c r="E13273" s="0" t="s">
        <v>89</v>
      </c>
      <c r="F13273" s="0" t="s">
        <v>15</v>
      </c>
      <c r="G13273" s="0" t="s">
        <v>32</v>
      </c>
      <c r="H13273" s="0" t="n">
        <v>13</v>
      </c>
      <c r="I13273" s="0" t="s">
        <v>44228</v>
      </c>
      <c r="J13273" s="0" t="s">
        <v>44229</v>
      </c>
      <c r="K13273" s="0" t="s">
        <v>44230</v>
      </c>
      <c r="L13273" s="0" t="str">
        <f aca="false">HYPERLINK("https://www.ncbi.nlm.nih.gov/nuccore/CP000304.1?report=graph&amp;tracks=[key:gene_model_track,Options:GeneOnly]&amp;mk=3754591:3754610|offset_13|00cc00,3754657:3754676|offset_79|444444,3754690:3754709|offset_112|444444,3754711:3754730|offset_133|444444&amp;v=3754390:3754930&amp;c=444444", "offset 13")</f>
        <v>offset 13</v>
      </c>
    </row>
    <row r="13274" customFormat="false" ht="12.8" hidden="false" customHeight="false" outlineLevel="0" collapsed="false">
      <c r="A13274" s="0" t="s">
        <v>12</v>
      </c>
      <c r="B13274" s="0" t="n">
        <v>3754656</v>
      </c>
      <c r="C13274" s="0" t="n">
        <v>3754676</v>
      </c>
      <c r="D13274" s="0" t="s">
        <v>44227</v>
      </c>
      <c r="E13274" s="0" t="s">
        <v>89</v>
      </c>
      <c r="F13274" s="0" t="s">
        <v>15</v>
      </c>
      <c r="G13274" s="0" t="s">
        <v>32</v>
      </c>
      <c r="H13274" s="0" t="n">
        <v>79</v>
      </c>
      <c r="I13274" s="0" t="s">
        <v>44231</v>
      </c>
      <c r="J13274" s="0" t="s">
        <v>44232</v>
      </c>
      <c r="K13274" s="0" t="s">
        <v>44233</v>
      </c>
      <c r="L13274" s="0" t="str">
        <f aca="false">HYPERLINK("https://www.ncbi.nlm.nih.gov/nuccore/CP000304.1?report=graph&amp;tracks=[key:gene_model_track,Options:GeneOnly]&amp;mk=3754591:3754610|offset_13|444444,3754657:3754676|offset_79|00cc00,3754690:3754709|offset_112|444444,3754711:3754730|offset_133|444444&amp;v=3754390:3754930&amp;c=444444", "offset 79")</f>
        <v>offset 79</v>
      </c>
    </row>
    <row r="13275" customFormat="false" ht="12.8" hidden="false" customHeight="false" outlineLevel="0" collapsed="false">
      <c r="A13275" s="0" t="s">
        <v>12</v>
      </c>
      <c r="B13275" s="0" t="n">
        <v>3754689</v>
      </c>
      <c r="C13275" s="0" t="n">
        <v>3754709</v>
      </c>
      <c r="D13275" s="0" t="s">
        <v>44227</v>
      </c>
      <c r="E13275" s="0" t="s">
        <v>89</v>
      </c>
      <c r="F13275" s="0" t="s">
        <v>15</v>
      </c>
      <c r="G13275" s="0" t="s">
        <v>26</v>
      </c>
      <c r="H13275" s="0" t="n">
        <v>112</v>
      </c>
      <c r="I13275" s="0" t="s">
        <v>44234</v>
      </c>
      <c r="J13275" s="0" t="s">
        <v>44235</v>
      </c>
      <c r="K13275" s="0" t="s">
        <v>44236</v>
      </c>
      <c r="L13275" s="0" t="str">
        <f aca="false">HYPERLINK("https://www.ncbi.nlm.nih.gov/nuccore/CP000304.1?report=graph&amp;tracks=[key:gene_model_track,Options:GeneOnly]&amp;mk=3754591:3754610|offset_13|444444,3754657:3754676|offset_79|444444,3754690:3754709|offset_112|00cc00,3754711:3754730|offset_133|444444&amp;v=3754390:3754930&amp;c=444444", "offset 112")</f>
        <v>offset 112</v>
      </c>
    </row>
    <row r="13276" customFormat="false" ht="12.8" hidden="false" customHeight="false" outlineLevel="0" collapsed="false">
      <c r="A13276" s="0" t="s">
        <v>12</v>
      </c>
      <c r="B13276" s="0" t="n">
        <v>3754710</v>
      </c>
      <c r="C13276" s="0" t="n">
        <v>3754730</v>
      </c>
      <c r="D13276" s="0" t="s">
        <v>44227</v>
      </c>
      <c r="E13276" s="0" t="s">
        <v>89</v>
      </c>
      <c r="F13276" s="0" t="s">
        <v>15</v>
      </c>
      <c r="G13276" s="0" t="s">
        <v>36</v>
      </c>
      <c r="H13276" s="0" t="n">
        <v>133</v>
      </c>
      <c r="I13276" s="0" t="s">
        <v>44237</v>
      </c>
      <c r="J13276" s="0" t="s">
        <v>44238</v>
      </c>
      <c r="K13276" s="0" t="s">
        <v>44239</v>
      </c>
      <c r="L13276" s="0" t="str">
        <f aca="false">HYPERLINK("https://www.ncbi.nlm.nih.gov/nuccore/CP000304.1?report=graph&amp;tracks=[key:gene_model_track,Options:GeneOnly]&amp;mk=3754591:3754610|offset_13|444444,3754657:3754676|offset_79|444444,3754690:3754709|offset_112|444444,3754711:3754730|offset_133|00cc00&amp;v=3754390:3754930&amp;c=444444", "offset 133")</f>
        <v>offset 133</v>
      </c>
    </row>
    <row r="13277" customFormat="false" ht="12.8" hidden="false" customHeight="false" outlineLevel="0" collapsed="false">
      <c r="A13277" s="0" t="s">
        <v>12</v>
      </c>
      <c r="B13277" s="0" t="n">
        <v>3754863</v>
      </c>
      <c r="C13277" s="0" t="n">
        <v>3754883</v>
      </c>
      <c r="D13277" s="0" t="s">
        <v>44240</v>
      </c>
      <c r="E13277" s="0" t="s">
        <v>89</v>
      </c>
      <c r="F13277" s="0" t="s">
        <v>15</v>
      </c>
      <c r="G13277" s="0" t="s">
        <v>32</v>
      </c>
      <c r="H13277" s="0" t="n">
        <v>7</v>
      </c>
      <c r="I13277" s="0" t="s">
        <v>44241</v>
      </c>
      <c r="J13277" s="0" t="s">
        <v>44242</v>
      </c>
      <c r="K13277" s="0" t="s">
        <v>44243</v>
      </c>
      <c r="L13277" s="0" t="str">
        <f aca="false">HYPERLINK("https://www.ncbi.nlm.nih.gov/nuccore/CP000304.1?report=graph&amp;tracks=[key:gene_model_track,Options:GeneOnly]&amp;mk=3754864:3754883|offset_7|00cc00,3754926:3754945|offset_69|444444,3754970:3754989|offset_113|444444,3754994:3755013|offset_137|444444&amp;v=3754663:3755213&amp;c=444444", "offset 7")</f>
        <v>offset 7</v>
      </c>
    </row>
    <row r="13278" customFormat="false" ht="12.8" hidden="false" customHeight="false" outlineLevel="0" collapsed="false">
      <c r="A13278" s="0" t="s">
        <v>12</v>
      </c>
      <c r="B13278" s="0" t="n">
        <v>3754925</v>
      </c>
      <c r="C13278" s="0" t="n">
        <v>3754945</v>
      </c>
      <c r="D13278" s="0" t="s">
        <v>44240</v>
      </c>
      <c r="E13278" s="0" t="s">
        <v>89</v>
      </c>
      <c r="F13278" s="0" t="s">
        <v>15</v>
      </c>
      <c r="G13278" s="0" t="s">
        <v>16</v>
      </c>
      <c r="H13278" s="0" t="n">
        <v>69</v>
      </c>
      <c r="I13278" s="0" t="s">
        <v>44244</v>
      </c>
      <c r="J13278" s="0" t="s">
        <v>44245</v>
      </c>
      <c r="K13278" s="0" t="s">
        <v>44246</v>
      </c>
      <c r="L13278" s="0" t="str">
        <f aca="false">HYPERLINK("https://www.ncbi.nlm.nih.gov/nuccore/CP000304.1?report=graph&amp;tracks=[key:gene_model_track,Options:GeneOnly]&amp;mk=3754864:3754883|offset_7|444444,3754926:3754945|offset_69|00cc00,3754970:3754989|offset_113|444444,3754994:3755013|offset_137|444444&amp;v=3754663:3755213&amp;c=444444", "offset 69")</f>
        <v>offset 69</v>
      </c>
    </row>
    <row r="13279" customFormat="false" ht="12.8" hidden="false" customHeight="false" outlineLevel="0" collapsed="false">
      <c r="A13279" s="0" t="s">
        <v>12</v>
      </c>
      <c r="B13279" s="0" t="n">
        <v>3754969</v>
      </c>
      <c r="C13279" s="0" t="n">
        <v>3754989</v>
      </c>
      <c r="D13279" s="0" t="s">
        <v>44240</v>
      </c>
      <c r="E13279" s="0" t="s">
        <v>89</v>
      </c>
      <c r="F13279" s="0" t="s">
        <v>15</v>
      </c>
      <c r="G13279" s="0" t="s">
        <v>36</v>
      </c>
      <c r="H13279" s="0" t="n">
        <v>113</v>
      </c>
      <c r="I13279" s="0" t="s">
        <v>44247</v>
      </c>
      <c r="J13279" s="0" t="s">
        <v>44248</v>
      </c>
      <c r="K13279" s="0" t="s">
        <v>44249</v>
      </c>
      <c r="L13279" s="0" t="str">
        <f aca="false">HYPERLINK("https://www.ncbi.nlm.nih.gov/nuccore/CP000304.1?report=graph&amp;tracks=[key:gene_model_track,Options:GeneOnly]&amp;mk=3754864:3754883|offset_7|444444,3754926:3754945|offset_69|444444,3754970:3754989|offset_113|00cc00,3754994:3755013|offset_137|444444&amp;v=3754663:3755213&amp;c=444444", "offset 113")</f>
        <v>offset 113</v>
      </c>
    </row>
    <row r="13280" customFormat="false" ht="12.8" hidden="false" customHeight="false" outlineLevel="0" collapsed="false">
      <c r="A13280" s="0" t="s">
        <v>12</v>
      </c>
      <c r="B13280" s="0" t="n">
        <v>3754993</v>
      </c>
      <c r="C13280" s="0" t="n">
        <v>3755013</v>
      </c>
      <c r="D13280" s="0" t="s">
        <v>44240</v>
      </c>
      <c r="E13280" s="0" t="s">
        <v>89</v>
      </c>
      <c r="F13280" s="0" t="s">
        <v>15</v>
      </c>
      <c r="G13280" s="0" t="s">
        <v>26</v>
      </c>
      <c r="H13280" s="0" t="n">
        <v>137</v>
      </c>
      <c r="I13280" s="0" t="s">
        <v>44250</v>
      </c>
      <c r="J13280" s="0" t="s">
        <v>44251</v>
      </c>
      <c r="K13280" s="0" t="s">
        <v>44252</v>
      </c>
      <c r="L13280" s="0" t="str">
        <f aca="false">HYPERLINK("https://www.ncbi.nlm.nih.gov/nuccore/CP000304.1?report=graph&amp;tracks=[key:gene_model_track,Options:GeneOnly]&amp;mk=3754864:3754883|offset_7|444444,3754926:3754945|offset_69|444444,3754970:3754989|offset_113|444444,3754994:3755013|offset_137|00cc00&amp;v=3754663:3755213&amp;c=444444", "offset 137")</f>
        <v>offset 137</v>
      </c>
    </row>
    <row r="13281" customFormat="false" ht="12.8" hidden="false" customHeight="false" outlineLevel="0" collapsed="false">
      <c r="A13281" s="0" t="s">
        <v>12</v>
      </c>
      <c r="B13281" s="0" t="n">
        <v>3758483</v>
      </c>
      <c r="C13281" s="0" t="n">
        <v>3758503</v>
      </c>
      <c r="D13281" s="0" t="s">
        <v>44253</v>
      </c>
      <c r="E13281" s="0" t="s">
        <v>89</v>
      </c>
      <c r="F13281" s="0" t="s">
        <v>90</v>
      </c>
      <c r="G13281" s="0" t="s">
        <v>26</v>
      </c>
      <c r="H13281" s="0" t="n">
        <v>13</v>
      </c>
      <c r="I13281" s="0" t="s">
        <v>44254</v>
      </c>
      <c r="J13281" s="0" t="s">
        <v>44255</v>
      </c>
      <c r="K13281" s="0" t="s">
        <v>44256</v>
      </c>
      <c r="L13281" s="0" t="str">
        <f aca="false">HYPERLINK("https://www.ncbi.nlm.nih.gov/nuccore/CP000304.1?report=graph&amp;tracks=[key:gene_model_track,Options:GeneOnly]&amp;mk=3758484:3758503|offset_13|00cc00,3758441:3758460|offset_56|444444,3758411:3758430|offset_86|444444,3758367:3758386|offset_130|444444&amp;v=3758283:3758586&amp;c=444444", "offset 13")</f>
        <v>offset 13</v>
      </c>
    </row>
    <row r="13282" customFormat="false" ht="12.8" hidden="false" customHeight="false" outlineLevel="0" collapsed="false">
      <c r="A13282" s="0" t="s">
        <v>12</v>
      </c>
      <c r="B13282" s="0" t="n">
        <v>3758440</v>
      </c>
      <c r="C13282" s="0" t="n">
        <v>3758460</v>
      </c>
      <c r="D13282" s="0" t="s">
        <v>44253</v>
      </c>
      <c r="E13282" s="0" t="s">
        <v>89</v>
      </c>
      <c r="F13282" s="0" t="s">
        <v>90</v>
      </c>
      <c r="G13282" s="0" t="s">
        <v>26</v>
      </c>
      <c r="H13282" s="0" t="n">
        <v>56</v>
      </c>
      <c r="I13282" s="0" t="s">
        <v>44257</v>
      </c>
      <c r="J13282" s="0" t="s">
        <v>44258</v>
      </c>
      <c r="K13282" s="0" t="s">
        <v>44259</v>
      </c>
      <c r="L13282" s="0" t="str">
        <f aca="false">HYPERLINK("https://www.ncbi.nlm.nih.gov/nuccore/CP000304.1?report=graph&amp;tracks=[key:gene_model_track,Options:GeneOnly]&amp;mk=3758484:3758503|offset_13|444444,3758441:3758460|offset_56|00cc00,3758411:3758430|offset_86|444444,3758367:3758386|offset_130|444444&amp;v=3758283:3758586&amp;c=444444", "offset 56")</f>
        <v>offset 56</v>
      </c>
    </row>
    <row r="13283" customFormat="false" ht="12.8" hidden="false" customHeight="false" outlineLevel="0" collapsed="false">
      <c r="A13283" s="0" t="s">
        <v>12</v>
      </c>
      <c r="B13283" s="0" t="n">
        <v>3758410</v>
      </c>
      <c r="C13283" s="0" t="n">
        <v>3758430</v>
      </c>
      <c r="D13283" s="0" t="s">
        <v>44253</v>
      </c>
      <c r="E13283" s="0" t="s">
        <v>89</v>
      </c>
      <c r="F13283" s="0" t="s">
        <v>90</v>
      </c>
      <c r="G13283" s="0" t="s">
        <v>26</v>
      </c>
      <c r="H13283" s="0" t="n">
        <v>86</v>
      </c>
      <c r="I13283" s="0" t="s">
        <v>44260</v>
      </c>
      <c r="J13283" s="0" t="s">
        <v>44261</v>
      </c>
      <c r="K13283" s="0" t="s">
        <v>44262</v>
      </c>
      <c r="L13283" s="0" t="str">
        <f aca="false">HYPERLINK("https://www.ncbi.nlm.nih.gov/nuccore/CP000304.1?report=graph&amp;tracks=[key:gene_model_track,Options:GeneOnly]&amp;mk=3758484:3758503|offset_13|444444,3758441:3758460|offset_56|444444,3758411:3758430|offset_86|00cc00,3758367:3758386|offset_130|444444&amp;v=3758283:3758586&amp;c=444444", "offset 86")</f>
        <v>offset 86</v>
      </c>
    </row>
    <row r="13284" customFormat="false" ht="12.8" hidden="false" customHeight="false" outlineLevel="0" collapsed="false">
      <c r="A13284" s="0" t="s">
        <v>12</v>
      </c>
      <c r="B13284" s="0" t="n">
        <v>3758366</v>
      </c>
      <c r="C13284" s="0" t="n">
        <v>3758386</v>
      </c>
      <c r="D13284" s="0" t="s">
        <v>44253</v>
      </c>
      <c r="E13284" s="0" t="s">
        <v>89</v>
      </c>
      <c r="F13284" s="0" t="s">
        <v>90</v>
      </c>
      <c r="G13284" s="0" t="s">
        <v>36</v>
      </c>
      <c r="H13284" s="0" t="n">
        <v>130</v>
      </c>
      <c r="I13284" s="0" t="s">
        <v>44263</v>
      </c>
      <c r="J13284" s="0" t="s">
        <v>44264</v>
      </c>
      <c r="K13284" s="0" t="s">
        <v>44265</v>
      </c>
      <c r="L13284" s="0" t="str">
        <f aca="false">HYPERLINK("https://www.ncbi.nlm.nih.gov/nuccore/CP000304.1?report=graph&amp;tracks=[key:gene_model_track,Options:GeneOnly]&amp;mk=3758484:3758503|offset_13|444444,3758441:3758460|offset_56|444444,3758411:3758430|offset_86|444444,3758367:3758386|offset_130|00cc00&amp;v=3758283:3758586&amp;c=444444", "offset 130")</f>
        <v>offset 130</v>
      </c>
    </row>
    <row r="13285" customFormat="false" ht="12.8" hidden="false" customHeight="false" outlineLevel="0" collapsed="false">
      <c r="A13285" s="0" t="s">
        <v>12</v>
      </c>
      <c r="B13285" s="0" t="n">
        <v>3759136</v>
      </c>
      <c r="C13285" s="0" t="n">
        <v>3759156</v>
      </c>
      <c r="D13285" s="0" t="s">
        <v>44266</v>
      </c>
      <c r="E13285" s="0" t="s">
        <v>89</v>
      </c>
      <c r="F13285" s="0" t="s">
        <v>90</v>
      </c>
      <c r="G13285" s="0" t="s">
        <v>16</v>
      </c>
      <c r="H13285" s="0" t="n">
        <v>43</v>
      </c>
      <c r="I13285" s="0" t="s">
        <v>44267</v>
      </c>
      <c r="J13285" s="0" t="s">
        <v>44268</v>
      </c>
      <c r="K13285" s="0" t="s">
        <v>44269</v>
      </c>
      <c r="L13285" s="0" t="str">
        <f aca="false">HYPERLINK("https://www.ncbi.nlm.nih.gov/nuccore/CP000304.1?report=graph&amp;tracks=[key:gene_model_track,Options:GeneOnly]&amp;mk=3759137:3759156|offset_43|00cc00,3759093:3759112|offset_87|444444,3759057:3759076|offset_123|444444,3759008:3759027|offset_172|444444&amp;v=3758936:3759227&amp;c=444444", "offset 43")</f>
        <v>offset 43</v>
      </c>
    </row>
    <row r="13286" customFormat="false" ht="12.8" hidden="false" customHeight="false" outlineLevel="0" collapsed="false">
      <c r="A13286" s="0" t="s">
        <v>12</v>
      </c>
      <c r="B13286" s="0" t="n">
        <v>3759092</v>
      </c>
      <c r="C13286" s="0" t="n">
        <v>3759112</v>
      </c>
      <c r="D13286" s="0" t="s">
        <v>44266</v>
      </c>
      <c r="E13286" s="0" t="s">
        <v>89</v>
      </c>
      <c r="F13286" s="0" t="s">
        <v>90</v>
      </c>
      <c r="G13286" s="0" t="s">
        <v>16</v>
      </c>
      <c r="H13286" s="0" t="n">
        <v>87</v>
      </c>
      <c r="I13286" s="0" t="s">
        <v>44270</v>
      </c>
      <c r="J13286" s="0" t="s">
        <v>44271</v>
      </c>
      <c r="K13286" s="0" t="s">
        <v>44272</v>
      </c>
      <c r="L13286" s="0" t="str">
        <f aca="false">HYPERLINK("https://www.ncbi.nlm.nih.gov/nuccore/CP000304.1?report=graph&amp;tracks=[key:gene_model_track,Options:GeneOnly]&amp;mk=3759137:3759156|offset_43|444444,3759093:3759112|offset_87|00cc00,3759057:3759076|offset_123|444444,3759008:3759027|offset_172|444444&amp;v=3758936:3759227&amp;c=444444", "offset 87")</f>
        <v>offset 87</v>
      </c>
    </row>
    <row r="13287" customFormat="false" ht="12.8" hidden="false" customHeight="false" outlineLevel="0" collapsed="false">
      <c r="A13287" s="0" t="s">
        <v>12</v>
      </c>
      <c r="B13287" s="0" t="n">
        <v>3759056</v>
      </c>
      <c r="C13287" s="0" t="n">
        <v>3759076</v>
      </c>
      <c r="D13287" s="0" t="s">
        <v>44266</v>
      </c>
      <c r="E13287" s="0" t="s">
        <v>89</v>
      </c>
      <c r="F13287" s="0" t="s">
        <v>90</v>
      </c>
      <c r="G13287" s="0" t="s">
        <v>16</v>
      </c>
      <c r="H13287" s="0" t="n">
        <v>123</v>
      </c>
      <c r="I13287" s="0" t="s">
        <v>44273</v>
      </c>
      <c r="J13287" s="0" t="s">
        <v>44274</v>
      </c>
      <c r="K13287" s="0" t="s">
        <v>44275</v>
      </c>
      <c r="L13287" s="0" t="str">
        <f aca="false">HYPERLINK("https://www.ncbi.nlm.nih.gov/nuccore/CP000304.1?report=graph&amp;tracks=[key:gene_model_track,Options:GeneOnly]&amp;mk=3759137:3759156|offset_43|444444,3759093:3759112|offset_87|444444,3759057:3759076|offset_123|00cc00,3759008:3759027|offset_172|444444&amp;v=3758936:3759227&amp;c=444444", "offset 123")</f>
        <v>offset 123</v>
      </c>
    </row>
    <row r="13288" customFormat="false" ht="12.8" hidden="false" customHeight="false" outlineLevel="0" collapsed="false">
      <c r="A13288" s="0" t="s">
        <v>12</v>
      </c>
      <c r="B13288" s="0" t="n">
        <v>3759007</v>
      </c>
      <c r="C13288" s="0" t="n">
        <v>3759027</v>
      </c>
      <c r="D13288" s="0" t="s">
        <v>44266</v>
      </c>
      <c r="E13288" s="0" t="s">
        <v>89</v>
      </c>
      <c r="F13288" s="0" t="s">
        <v>90</v>
      </c>
      <c r="G13288" s="0" t="s">
        <v>16</v>
      </c>
      <c r="H13288" s="0" t="n">
        <v>172</v>
      </c>
      <c r="I13288" s="0" t="s">
        <v>44276</v>
      </c>
      <c r="J13288" s="0" t="s">
        <v>44277</v>
      </c>
      <c r="K13288" s="0" t="s">
        <v>44278</v>
      </c>
      <c r="L13288" s="0" t="str">
        <f aca="false">HYPERLINK("https://www.ncbi.nlm.nih.gov/nuccore/CP000304.1?report=graph&amp;tracks=[key:gene_model_track,Options:GeneOnly]&amp;mk=3759137:3759156|offset_43|444444,3759093:3759112|offset_87|444444,3759057:3759076|offset_123|444444,3759008:3759027|offset_172|00cc00&amp;v=3758936:3759227&amp;c=444444", "offset 172")</f>
        <v>offset 172</v>
      </c>
    </row>
    <row r="13289" customFormat="false" ht="12.8" hidden="false" customHeight="false" outlineLevel="0" collapsed="false">
      <c r="A13289" s="0" t="s">
        <v>12</v>
      </c>
      <c r="B13289" s="0" t="n">
        <v>3759444</v>
      </c>
      <c r="C13289" s="0" t="n">
        <v>3759464</v>
      </c>
      <c r="D13289" s="0" t="s">
        <v>44279</v>
      </c>
      <c r="E13289" s="0" t="s">
        <v>89</v>
      </c>
      <c r="F13289" s="0" t="s">
        <v>15</v>
      </c>
      <c r="G13289" s="0" t="s">
        <v>36</v>
      </c>
      <c r="H13289" s="0" t="n">
        <v>0</v>
      </c>
      <c r="I13289" s="0" t="s">
        <v>44280</v>
      </c>
      <c r="J13289" s="0" t="s">
        <v>44281</v>
      </c>
      <c r="K13289" s="0" t="s">
        <v>44282</v>
      </c>
      <c r="L13289" s="0" t="str">
        <f aca="false">HYPERLINK("https://www.ncbi.nlm.nih.gov/nuccore/CP000304.1?report=graph&amp;tracks=[key:gene_model_track,Options:GeneOnly]&amp;mk=3759445:3759464|offset_0|00cc00,3759473:3759492|offset_28|444444,3759496:3759515|offset_51|444444,3759551:3759570|offset_106|444444&amp;v=3759244:3759770&amp;c=444444", "offset 0")</f>
        <v>offset 0</v>
      </c>
    </row>
    <row r="13290" customFormat="false" ht="12.8" hidden="false" customHeight="false" outlineLevel="0" collapsed="false">
      <c r="A13290" s="0" t="s">
        <v>12</v>
      </c>
      <c r="B13290" s="0" t="n">
        <v>3759472</v>
      </c>
      <c r="C13290" s="0" t="n">
        <v>3759492</v>
      </c>
      <c r="D13290" s="0" t="s">
        <v>44279</v>
      </c>
      <c r="E13290" s="0" t="s">
        <v>89</v>
      </c>
      <c r="F13290" s="0" t="s">
        <v>15</v>
      </c>
      <c r="G13290" s="0" t="s">
        <v>26</v>
      </c>
      <c r="H13290" s="0" t="n">
        <v>28</v>
      </c>
      <c r="I13290" s="0" t="s">
        <v>44283</v>
      </c>
      <c r="J13290" s="0" t="s">
        <v>44284</v>
      </c>
      <c r="K13290" s="0" t="s">
        <v>44285</v>
      </c>
      <c r="L13290" s="0" t="str">
        <f aca="false">HYPERLINK("https://www.ncbi.nlm.nih.gov/nuccore/CP000304.1?report=graph&amp;tracks=[key:gene_model_track,Options:GeneOnly]&amp;mk=3759445:3759464|offset_0|444444,3759473:3759492|offset_28|00cc00,3759496:3759515|offset_51|444444,3759551:3759570|offset_106|444444&amp;v=3759244:3759770&amp;c=444444", "offset 28")</f>
        <v>offset 28</v>
      </c>
    </row>
    <row r="13291" customFormat="false" ht="12.8" hidden="false" customHeight="false" outlineLevel="0" collapsed="false">
      <c r="A13291" s="0" t="s">
        <v>12</v>
      </c>
      <c r="B13291" s="0" t="n">
        <v>3759495</v>
      </c>
      <c r="C13291" s="0" t="n">
        <v>3759515</v>
      </c>
      <c r="D13291" s="0" t="s">
        <v>44279</v>
      </c>
      <c r="E13291" s="0" t="s">
        <v>89</v>
      </c>
      <c r="F13291" s="0" t="s">
        <v>15</v>
      </c>
      <c r="G13291" s="0" t="s">
        <v>26</v>
      </c>
      <c r="H13291" s="0" t="n">
        <v>51</v>
      </c>
      <c r="I13291" s="0" t="s">
        <v>44286</v>
      </c>
      <c r="J13291" s="0" t="s">
        <v>44287</v>
      </c>
      <c r="K13291" s="0" t="s">
        <v>44288</v>
      </c>
      <c r="L13291" s="0" t="str">
        <f aca="false">HYPERLINK("https://www.ncbi.nlm.nih.gov/nuccore/CP000304.1?report=graph&amp;tracks=[key:gene_model_track,Options:GeneOnly]&amp;mk=3759445:3759464|offset_0|444444,3759473:3759492|offset_28|444444,3759496:3759515|offset_51|00cc00,3759551:3759570|offset_106|444444&amp;v=3759244:3759770&amp;c=444444", "offset 51")</f>
        <v>offset 51</v>
      </c>
    </row>
    <row r="13292" customFormat="false" ht="12.8" hidden="false" customHeight="false" outlineLevel="0" collapsed="false">
      <c r="A13292" s="0" t="s">
        <v>12</v>
      </c>
      <c r="B13292" s="0" t="n">
        <v>3759550</v>
      </c>
      <c r="C13292" s="0" t="n">
        <v>3759570</v>
      </c>
      <c r="D13292" s="0" t="s">
        <v>44279</v>
      </c>
      <c r="E13292" s="0" t="s">
        <v>89</v>
      </c>
      <c r="F13292" s="0" t="s">
        <v>15</v>
      </c>
      <c r="G13292" s="0" t="s">
        <v>16</v>
      </c>
      <c r="H13292" s="0" t="n">
        <v>106</v>
      </c>
      <c r="I13292" s="0" t="s">
        <v>44289</v>
      </c>
      <c r="J13292" s="0" t="s">
        <v>44290</v>
      </c>
      <c r="K13292" s="0" t="s">
        <v>44291</v>
      </c>
      <c r="L13292" s="0" t="str">
        <f aca="false">HYPERLINK("https://www.ncbi.nlm.nih.gov/nuccore/CP000304.1?report=graph&amp;tracks=[key:gene_model_track,Options:GeneOnly]&amp;mk=3759445:3759464|offset_0|444444,3759473:3759492|offset_28|444444,3759496:3759515|offset_51|444444,3759551:3759570|offset_106|00cc00&amp;v=3759244:3759770&amp;c=444444", "offset 106")</f>
        <v>offset 106</v>
      </c>
    </row>
    <row r="13293" customFormat="false" ht="12.8" hidden="false" customHeight="false" outlineLevel="0" collapsed="false">
      <c r="A13293" s="0" t="s">
        <v>12</v>
      </c>
      <c r="B13293" s="0" t="n">
        <v>3760184</v>
      </c>
      <c r="C13293" s="0" t="n">
        <v>3760204</v>
      </c>
      <c r="D13293" s="0" t="s">
        <v>44292</v>
      </c>
      <c r="E13293" s="0" t="s">
        <v>89</v>
      </c>
      <c r="F13293" s="0" t="s">
        <v>15</v>
      </c>
      <c r="G13293" s="0" t="s">
        <v>36</v>
      </c>
      <c r="H13293" s="0" t="n">
        <v>16</v>
      </c>
      <c r="I13293" s="0" t="s">
        <v>44293</v>
      </c>
      <c r="J13293" s="0" t="s">
        <v>44294</v>
      </c>
      <c r="K13293" s="0" t="s">
        <v>44295</v>
      </c>
      <c r="L13293" s="0" t="str">
        <f aca="false">HYPERLINK("https://www.ncbi.nlm.nih.gov/nuccore/CP000304.1?report=graph&amp;tracks=[key:gene_model_track,Options:GeneOnly]&amp;mk=3760185:3760204|offset_16|00cc00,3760209:3760228|offset_40|444444,3760242:3760261|offset_73|444444,3760266:3760285|offset_97|444444&amp;v=3759984:3760485&amp;c=444444", "offset 16")</f>
        <v>offset 16</v>
      </c>
    </row>
    <row r="13294" customFormat="false" ht="12.8" hidden="false" customHeight="false" outlineLevel="0" collapsed="false">
      <c r="A13294" s="0" t="s">
        <v>12</v>
      </c>
      <c r="B13294" s="0" t="n">
        <v>3760208</v>
      </c>
      <c r="C13294" s="0" t="n">
        <v>3760228</v>
      </c>
      <c r="D13294" s="0" t="s">
        <v>44292</v>
      </c>
      <c r="E13294" s="0" t="s">
        <v>89</v>
      </c>
      <c r="F13294" s="0" t="s">
        <v>15</v>
      </c>
      <c r="G13294" s="0" t="s">
        <v>32</v>
      </c>
      <c r="H13294" s="0" t="n">
        <v>40</v>
      </c>
      <c r="I13294" s="0" t="s">
        <v>44296</v>
      </c>
      <c r="J13294" s="0" t="s">
        <v>44297</v>
      </c>
      <c r="K13294" s="0" t="s">
        <v>44298</v>
      </c>
      <c r="L13294" s="0" t="str">
        <f aca="false">HYPERLINK("https://www.ncbi.nlm.nih.gov/nuccore/CP000304.1?report=graph&amp;tracks=[key:gene_model_track,Options:GeneOnly]&amp;mk=3760185:3760204|offset_16|444444,3760209:3760228|offset_40|00cc00,3760242:3760261|offset_73|444444,3760266:3760285|offset_97|444444&amp;v=3759984:3760485&amp;c=444444", "offset 40")</f>
        <v>offset 40</v>
      </c>
    </row>
    <row r="13295" customFormat="false" ht="12.8" hidden="false" customHeight="false" outlineLevel="0" collapsed="false">
      <c r="A13295" s="0" t="s">
        <v>12</v>
      </c>
      <c r="B13295" s="0" t="n">
        <v>3760241</v>
      </c>
      <c r="C13295" s="0" t="n">
        <v>3760261</v>
      </c>
      <c r="D13295" s="0" t="s">
        <v>44292</v>
      </c>
      <c r="E13295" s="0" t="s">
        <v>89</v>
      </c>
      <c r="F13295" s="0" t="s">
        <v>15</v>
      </c>
      <c r="G13295" s="0" t="s">
        <v>36</v>
      </c>
      <c r="H13295" s="0" t="n">
        <v>73</v>
      </c>
      <c r="I13295" s="0" t="s">
        <v>44299</v>
      </c>
      <c r="J13295" s="0" t="s">
        <v>44300</v>
      </c>
      <c r="K13295" s="0" t="s">
        <v>44301</v>
      </c>
      <c r="L13295" s="0" t="str">
        <f aca="false">HYPERLINK("https://www.ncbi.nlm.nih.gov/nuccore/CP000304.1?report=graph&amp;tracks=[key:gene_model_track,Options:GeneOnly]&amp;mk=3760185:3760204|offset_16|444444,3760209:3760228|offset_40|444444,3760242:3760261|offset_73|00cc00,3760266:3760285|offset_97|444444&amp;v=3759984:3760485&amp;c=444444", "offset 73")</f>
        <v>offset 73</v>
      </c>
    </row>
    <row r="13296" customFormat="false" ht="12.8" hidden="false" customHeight="false" outlineLevel="0" collapsed="false">
      <c r="A13296" s="0" t="s">
        <v>12</v>
      </c>
      <c r="B13296" s="0" t="n">
        <v>3760265</v>
      </c>
      <c r="C13296" s="0" t="n">
        <v>3760285</v>
      </c>
      <c r="D13296" s="0" t="s">
        <v>44292</v>
      </c>
      <c r="E13296" s="0" t="s">
        <v>89</v>
      </c>
      <c r="F13296" s="0" t="s">
        <v>15</v>
      </c>
      <c r="G13296" s="0" t="s">
        <v>16</v>
      </c>
      <c r="H13296" s="0" t="n">
        <v>97</v>
      </c>
      <c r="I13296" s="0" t="s">
        <v>44302</v>
      </c>
      <c r="J13296" s="0" t="s">
        <v>44303</v>
      </c>
      <c r="K13296" s="0" t="s">
        <v>44304</v>
      </c>
      <c r="L13296" s="0" t="str">
        <f aca="false">HYPERLINK("https://www.ncbi.nlm.nih.gov/nuccore/CP000304.1?report=graph&amp;tracks=[key:gene_model_track,Options:GeneOnly]&amp;mk=3760185:3760204|offset_16|444444,3760209:3760228|offset_40|444444,3760242:3760261|offset_73|444444,3760266:3760285|offset_97|00cc00&amp;v=3759984:3760485&amp;c=444444", "offset 97")</f>
        <v>offset 97</v>
      </c>
    </row>
    <row r="13297" customFormat="false" ht="12.8" hidden="false" customHeight="false" outlineLevel="0" collapsed="false">
      <c r="A13297" s="0" t="s">
        <v>12</v>
      </c>
      <c r="B13297" s="0" t="n">
        <v>3763621</v>
      </c>
      <c r="C13297" s="0" t="n">
        <v>3763641</v>
      </c>
      <c r="D13297" s="0" t="s">
        <v>44305</v>
      </c>
      <c r="E13297" s="0" t="s">
        <v>44306</v>
      </c>
      <c r="F13297" s="0" t="s">
        <v>90</v>
      </c>
      <c r="G13297" s="0" t="s">
        <v>32</v>
      </c>
      <c r="H13297" s="0" t="n">
        <v>7</v>
      </c>
      <c r="I13297" s="0" t="s">
        <v>44307</v>
      </c>
      <c r="J13297" s="0" t="s">
        <v>44308</v>
      </c>
      <c r="K13297" s="0" t="s">
        <v>44309</v>
      </c>
      <c r="L13297" s="0" t="str">
        <f aca="false">HYPERLINK("https://www.ncbi.nlm.nih.gov/nuccore/CP000304.1?report=graph&amp;tracks=[key:gene_model_track,Options:GeneOnly]&amp;mk=3763622:3763641|offset_7|00cc00,3763578:3763597|offset_51|444444,3763558:3763577|offset_71|444444,3763478:3763497|offset_151|444444&amp;v=3763421:3763697&amp;c=444444", "offset 7")</f>
        <v>offset 7</v>
      </c>
    </row>
    <row r="13298" customFormat="false" ht="12.8" hidden="false" customHeight="false" outlineLevel="0" collapsed="false">
      <c r="A13298" s="0" t="s">
        <v>12</v>
      </c>
      <c r="B13298" s="0" t="n">
        <v>3763577</v>
      </c>
      <c r="C13298" s="0" t="n">
        <v>3763597</v>
      </c>
      <c r="D13298" s="0" t="s">
        <v>44305</v>
      </c>
      <c r="E13298" s="0" t="s">
        <v>44306</v>
      </c>
      <c r="F13298" s="0" t="s">
        <v>90</v>
      </c>
      <c r="G13298" s="0" t="s">
        <v>36</v>
      </c>
      <c r="H13298" s="0" t="n">
        <v>51</v>
      </c>
      <c r="I13298" s="0" t="s">
        <v>44310</v>
      </c>
      <c r="J13298" s="0" t="s">
        <v>44311</v>
      </c>
      <c r="K13298" s="0" t="s">
        <v>44312</v>
      </c>
      <c r="L13298" s="0" t="str">
        <f aca="false">HYPERLINK("https://www.ncbi.nlm.nih.gov/nuccore/CP000304.1?report=graph&amp;tracks=[key:gene_model_track,Options:GeneOnly]&amp;mk=3763622:3763641|offset_7|444444,3763578:3763597|offset_51|00cc00,3763558:3763577|offset_71|444444,3763478:3763497|offset_151|444444&amp;v=3763421:3763697&amp;c=444444", "offset 51")</f>
        <v>offset 51</v>
      </c>
    </row>
    <row r="13299" customFormat="false" ht="12.8" hidden="false" customHeight="false" outlineLevel="0" collapsed="false">
      <c r="A13299" s="0" t="s">
        <v>12</v>
      </c>
      <c r="B13299" s="0" t="n">
        <v>3763557</v>
      </c>
      <c r="C13299" s="0" t="n">
        <v>3763577</v>
      </c>
      <c r="D13299" s="0" t="s">
        <v>44305</v>
      </c>
      <c r="E13299" s="0" t="s">
        <v>44306</v>
      </c>
      <c r="F13299" s="0" t="s">
        <v>90</v>
      </c>
      <c r="G13299" s="0" t="s">
        <v>26</v>
      </c>
      <c r="H13299" s="0" t="n">
        <v>71</v>
      </c>
      <c r="I13299" s="0" t="s">
        <v>44313</v>
      </c>
      <c r="J13299" s="0" t="s">
        <v>44314</v>
      </c>
      <c r="K13299" s="0" t="s">
        <v>44315</v>
      </c>
      <c r="L13299" s="0" t="str">
        <f aca="false">HYPERLINK("https://www.ncbi.nlm.nih.gov/nuccore/CP000304.1?report=graph&amp;tracks=[key:gene_model_track,Options:GeneOnly]&amp;mk=3763622:3763641|offset_7|444444,3763578:3763597|offset_51|444444,3763558:3763577|offset_71|00cc00,3763478:3763497|offset_151|444444&amp;v=3763421:3763697&amp;c=444444", "offset 71")</f>
        <v>offset 71</v>
      </c>
    </row>
    <row r="13300" customFormat="false" ht="12.8" hidden="false" customHeight="false" outlineLevel="0" collapsed="false">
      <c r="A13300" s="0" t="s">
        <v>12</v>
      </c>
      <c r="B13300" s="0" t="n">
        <v>3763477</v>
      </c>
      <c r="C13300" s="0" t="n">
        <v>3763497</v>
      </c>
      <c r="D13300" s="0" t="s">
        <v>44305</v>
      </c>
      <c r="E13300" s="0" t="s">
        <v>44306</v>
      </c>
      <c r="F13300" s="0" t="s">
        <v>90</v>
      </c>
      <c r="G13300" s="0" t="s">
        <v>16</v>
      </c>
      <c r="H13300" s="0" t="n">
        <v>151</v>
      </c>
      <c r="I13300" s="0" t="s">
        <v>44316</v>
      </c>
      <c r="J13300" s="0" t="s">
        <v>44317</v>
      </c>
      <c r="K13300" s="0" t="s">
        <v>44318</v>
      </c>
      <c r="L13300" s="0" t="str">
        <f aca="false">HYPERLINK("https://www.ncbi.nlm.nih.gov/nuccore/CP000304.1?report=graph&amp;tracks=[key:gene_model_track,Options:GeneOnly]&amp;mk=3763622:3763641|offset_7|444444,3763578:3763597|offset_51|444444,3763558:3763577|offset_71|444444,3763478:3763497|offset_151|00cc00&amp;v=3763421:3763697&amp;c=444444", "offset 151")</f>
        <v>offset 151</v>
      </c>
    </row>
    <row r="13301" customFormat="false" ht="12.8" hidden="false" customHeight="false" outlineLevel="0" collapsed="false">
      <c r="A13301" s="0" t="s">
        <v>12</v>
      </c>
      <c r="B13301" s="0" t="n">
        <v>3765384</v>
      </c>
      <c r="C13301" s="0" t="n">
        <v>3765404</v>
      </c>
      <c r="D13301" s="0" t="s">
        <v>44319</v>
      </c>
      <c r="E13301" s="0" t="s">
        <v>89</v>
      </c>
      <c r="F13301" s="0" t="s">
        <v>90</v>
      </c>
      <c r="G13301" s="0" t="s">
        <v>16</v>
      </c>
      <c r="H13301" s="0" t="n">
        <v>12</v>
      </c>
      <c r="I13301" s="0" t="s">
        <v>44320</v>
      </c>
      <c r="J13301" s="0" t="s">
        <v>44321</v>
      </c>
      <c r="K13301" s="0" t="s">
        <v>44322</v>
      </c>
      <c r="L13301" s="0" t="str">
        <f aca="false">HYPERLINK("https://www.ncbi.nlm.nih.gov/nuccore/CP000304.1?report=graph&amp;tracks=[key:gene_model_track,Options:GeneOnly]&amp;mk=3765385:3765404|offset_12|00cc00,3765363:3765382|offset_34|444444,3765327:3765346|offset_70|444444,3765278:3765297|offset_119|444444&amp;v=3765184:3765497&amp;c=444444", "offset 12")</f>
        <v>offset 12</v>
      </c>
    </row>
    <row r="13302" customFormat="false" ht="12.8" hidden="false" customHeight="false" outlineLevel="0" collapsed="false">
      <c r="A13302" s="0" t="s">
        <v>12</v>
      </c>
      <c r="B13302" s="0" t="n">
        <v>3765362</v>
      </c>
      <c r="C13302" s="0" t="n">
        <v>3765382</v>
      </c>
      <c r="D13302" s="0" t="s">
        <v>44319</v>
      </c>
      <c r="E13302" s="0" t="s">
        <v>89</v>
      </c>
      <c r="F13302" s="0" t="s">
        <v>90</v>
      </c>
      <c r="G13302" s="0" t="s">
        <v>36</v>
      </c>
      <c r="H13302" s="0" t="n">
        <v>34</v>
      </c>
      <c r="I13302" s="0" t="s">
        <v>44323</v>
      </c>
      <c r="J13302" s="0" t="s">
        <v>44324</v>
      </c>
      <c r="K13302" s="0" t="s">
        <v>44325</v>
      </c>
      <c r="L13302" s="0" t="str">
        <f aca="false">HYPERLINK("https://www.ncbi.nlm.nih.gov/nuccore/CP000304.1?report=graph&amp;tracks=[key:gene_model_track,Options:GeneOnly]&amp;mk=3765385:3765404|offset_12|444444,3765363:3765382|offset_34|00cc00,3765327:3765346|offset_70|444444,3765278:3765297|offset_119|444444&amp;v=3765184:3765497&amp;c=444444", "offset 34")</f>
        <v>offset 34</v>
      </c>
    </row>
    <row r="13303" customFormat="false" ht="12.8" hidden="false" customHeight="false" outlineLevel="0" collapsed="false">
      <c r="A13303" s="0" t="s">
        <v>12</v>
      </c>
      <c r="B13303" s="0" t="n">
        <v>3765326</v>
      </c>
      <c r="C13303" s="0" t="n">
        <v>3765346</v>
      </c>
      <c r="D13303" s="0" t="s">
        <v>44319</v>
      </c>
      <c r="E13303" s="0" t="s">
        <v>89</v>
      </c>
      <c r="F13303" s="0" t="s">
        <v>90</v>
      </c>
      <c r="G13303" s="0" t="s">
        <v>16</v>
      </c>
      <c r="H13303" s="0" t="n">
        <v>70</v>
      </c>
      <c r="I13303" s="0" t="s">
        <v>44326</v>
      </c>
      <c r="J13303" s="0" t="s">
        <v>44327</v>
      </c>
      <c r="K13303" s="0" t="s">
        <v>44328</v>
      </c>
      <c r="L13303" s="0" t="str">
        <f aca="false">HYPERLINK("https://www.ncbi.nlm.nih.gov/nuccore/CP000304.1?report=graph&amp;tracks=[key:gene_model_track,Options:GeneOnly]&amp;mk=3765385:3765404|offset_12|444444,3765363:3765382|offset_34|444444,3765327:3765346|offset_70|00cc00,3765278:3765297|offset_119|444444&amp;v=3765184:3765497&amp;c=444444", "offset 70")</f>
        <v>offset 70</v>
      </c>
    </row>
    <row r="13304" customFormat="false" ht="12.8" hidden="false" customHeight="false" outlineLevel="0" collapsed="false">
      <c r="A13304" s="0" t="s">
        <v>12</v>
      </c>
      <c r="B13304" s="0" t="n">
        <v>3765277</v>
      </c>
      <c r="C13304" s="0" t="n">
        <v>3765297</v>
      </c>
      <c r="D13304" s="0" t="s">
        <v>44319</v>
      </c>
      <c r="E13304" s="0" t="s">
        <v>89</v>
      </c>
      <c r="F13304" s="0" t="s">
        <v>90</v>
      </c>
      <c r="G13304" s="0" t="s">
        <v>36</v>
      </c>
      <c r="H13304" s="0" t="n">
        <v>119</v>
      </c>
      <c r="I13304" s="0" t="s">
        <v>44329</v>
      </c>
      <c r="J13304" s="0" t="s">
        <v>44330</v>
      </c>
      <c r="K13304" s="0" t="s">
        <v>44331</v>
      </c>
      <c r="L13304" s="0" t="str">
        <f aca="false">HYPERLINK("https://www.ncbi.nlm.nih.gov/nuccore/CP000304.1?report=graph&amp;tracks=[key:gene_model_track,Options:GeneOnly]&amp;mk=3765385:3765404|offset_12|444444,3765363:3765382|offset_34|444444,3765327:3765346|offset_70|444444,3765278:3765297|offset_119|00cc00&amp;v=3765184:3765497&amp;c=444444", "offset 119")</f>
        <v>offset 119</v>
      </c>
    </row>
    <row r="13305" customFormat="false" ht="12.8" hidden="false" customHeight="false" outlineLevel="0" collapsed="false">
      <c r="A13305" s="0" t="s">
        <v>12</v>
      </c>
      <c r="B13305" s="0" t="n">
        <v>3766028</v>
      </c>
      <c r="C13305" s="0" t="n">
        <v>3766048</v>
      </c>
      <c r="D13305" s="0" t="s">
        <v>44332</v>
      </c>
      <c r="E13305" s="0" t="s">
        <v>89</v>
      </c>
      <c r="F13305" s="0" t="s">
        <v>90</v>
      </c>
      <c r="G13305" s="0" t="s">
        <v>32</v>
      </c>
      <c r="H13305" s="0" t="n">
        <v>1</v>
      </c>
      <c r="I13305" s="0" t="s">
        <v>44333</v>
      </c>
      <c r="J13305" s="0" t="s">
        <v>44334</v>
      </c>
      <c r="K13305" s="0" t="s">
        <v>44335</v>
      </c>
      <c r="L13305" s="0" t="str">
        <f aca="false">HYPERLINK("https://www.ncbi.nlm.nih.gov/nuccore/CP000304.1?report=graph&amp;tracks=[key:gene_model_track,Options:GeneOnly]&amp;mk=3766029:3766048|offset_1|00cc00,3765983:3766002|offset_47|444444,3765962:3765981|offset_68|444444,3765936:3765955|offset_94|444444&amp;v=3765828:3766155&amp;c=444444", "offset 1")</f>
        <v>offset 1</v>
      </c>
    </row>
    <row r="13306" customFormat="false" ht="12.8" hidden="false" customHeight="false" outlineLevel="0" collapsed="false">
      <c r="A13306" s="0" t="s">
        <v>12</v>
      </c>
      <c r="B13306" s="0" t="n">
        <v>3765982</v>
      </c>
      <c r="C13306" s="0" t="n">
        <v>3766002</v>
      </c>
      <c r="D13306" s="0" t="s">
        <v>44332</v>
      </c>
      <c r="E13306" s="0" t="s">
        <v>89</v>
      </c>
      <c r="F13306" s="0" t="s">
        <v>90</v>
      </c>
      <c r="G13306" s="0" t="s">
        <v>32</v>
      </c>
      <c r="H13306" s="0" t="n">
        <v>47</v>
      </c>
      <c r="I13306" s="0" t="s">
        <v>44336</v>
      </c>
      <c r="J13306" s="0" t="s">
        <v>44337</v>
      </c>
      <c r="K13306" s="0" t="s">
        <v>44338</v>
      </c>
      <c r="L13306" s="0" t="str">
        <f aca="false">HYPERLINK("https://www.ncbi.nlm.nih.gov/nuccore/CP000304.1?report=graph&amp;tracks=[key:gene_model_track,Options:GeneOnly]&amp;mk=3766029:3766048|offset_1|444444,3765983:3766002|offset_47|00cc00,3765962:3765981|offset_68|444444,3765936:3765955|offset_94|444444&amp;v=3765828:3766155&amp;c=444444", "offset 47")</f>
        <v>offset 47</v>
      </c>
    </row>
    <row r="13307" customFormat="false" ht="12.8" hidden="false" customHeight="false" outlineLevel="0" collapsed="false">
      <c r="A13307" s="0" t="s">
        <v>12</v>
      </c>
      <c r="B13307" s="0" t="n">
        <v>3765961</v>
      </c>
      <c r="C13307" s="0" t="n">
        <v>3765981</v>
      </c>
      <c r="D13307" s="0" t="s">
        <v>44332</v>
      </c>
      <c r="E13307" s="0" t="s">
        <v>89</v>
      </c>
      <c r="F13307" s="0" t="s">
        <v>90</v>
      </c>
      <c r="G13307" s="0" t="s">
        <v>26</v>
      </c>
      <c r="H13307" s="0" t="n">
        <v>68</v>
      </c>
      <c r="I13307" s="0" t="s">
        <v>44339</v>
      </c>
      <c r="J13307" s="0" t="s">
        <v>44340</v>
      </c>
      <c r="K13307" s="0" t="s">
        <v>44341</v>
      </c>
      <c r="L13307" s="0" t="str">
        <f aca="false">HYPERLINK("https://www.ncbi.nlm.nih.gov/nuccore/CP000304.1?report=graph&amp;tracks=[key:gene_model_track,Options:GeneOnly]&amp;mk=3766029:3766048|offset_1|444444,3765983:3766002|offset_47|444444,3765962:3765981|offset_68|00cc00,3765936:3765955|offset_94|444444&amp;v=3765828:3766155&amp;c=444444", "offset 68")</f>
        <v>offset 68</v>
      </c>
    </row>
    <row r="13308" customFormat="false" ht="12.8" hidden="false" customHeight="false" outlineLevel="0" collapsed="false">
      <c r="A13308" s="0" t="s">
        <v>12</v>
      </c>
      <c r="B13308" s="0" t="n">
        <v>3765935</v>
      </c>
      <c r="C13308" s="0" t="n">
        <v>3765955</v>
      </c>
      <c r="D13308" s="0" t="s">
        <v>44332</v>
      </c>
      <c r="E13308" s="0" t="s">
        <v>89</v>
      </c>
      <c r="F13308" s="0" t="s">
        <v>90</v>
      </c>
      <c r="G13308" s="0" t="s">
        <v>26</v>
      </c>
      <c r="H13308" s="0" t="n">
        <v>94</v>
      </c>
      <c r="I13308" s="0" t="s">
        <v>44342</v>
      </c>
      <c r="J13308" s="0" t="s">
        <v>44343</v>
      </c>
      <c r="K13308" s="0" t="s">
        <v>44344</v>
      </c>
      <c r="L13308" s="0" t="str">
        <f aca="false">HYPERLINK("https://www.ncbi.nlm.nih.gov/nuccore/CP000304.1?report=graph&amp;tracks=[key:gene_model_track,Options:GeneOnly]&amp;mk=3766029:3766048|offset_1|444444,3765983:3766002|offset_47|444444,3765962:3765981|offset_68|444444,3765936:3765955|offset_94|00cc00&amp;v=3765828:3766155&amp;c=444444", "offset 94")</f>
        <v>offset 94</v>
      </c>
    </row>
    <row r="13309" customFormat="false" ht="12.8" hidden="false" customHeight="false" outlineLevel="0" collapsed="false">
      <c r="A13309" s="0" t="s">
        <v>12</v>
      </c>
      <c r="B13309" s="0" t="n">
        <v>3766243</v>
      </c>
      <c r="C13309" s="0" t="n">
        <v>3766263</v>
      </c>
      <c r="D13309" s="0" t="s">
        <v>44345</v>
      </c>
      <c r="E13309" s="0" t="s">
        <v>89</v>
      </c>
      <c r="F13309" s="0" t="s">
        <v>15</v>
      </c>
      <c r="G13309" s="0" t="s">
        <v>32</v>
      </c>
      <c r="H13309" s="0" t="n">
        <v>9</v>
      </c>
      <c r="I13309" s="0" t="s">
        <v>44346</v>
      </c>
      <c r="J13309" s="0" t="s">
        <v>44347</v>
      </c>
      <c r="K13309" s="0" t="s">
        <v>44348</v>
      </c>
      <c r="L13309" s="0" t="str">
        <f aca="false">HYPERLINK("https://www.ncbi.nlm.nih.gov/nuccore/CP000304.1?report=graph&amp;tracks=[key:gene_model_track,Options:GeneOnly]&amp;mk=3766244:3766263|offset_9|00cc00,3766270:3766289|offset_35|444444,3766296:3766315|offset_61|444444,3766349:3766368|offset_114|444444&amp;v=3766043:3766568&amp;c=444444", "offset 9")</f>
        <v>offset 9</v>
      </c>
    </row>
    <row r="13310" customFormat="false" ht="12.8" hidden="false" customHeight="false" outlineLevel="0" collapsed="false">
      <c r="A13310" s="0" t="s">
        <v>12</v>
      </c>
      <c r="B13310" s="0" t="n">
        <v>3766269</v>
      </c>
      <c r="C13310" s="0" t="n">
        <v>3766289</v>
      </c>
      <c r="D13310" s="0" t="s">
        <v>44345</v>
      </c>
      <c r="E13310" s="0" t="s">
        <v>89</v>
      </c>
      <c r="F13310" s="0" t="s">
        <v>15</v>
      </c>
      <c r="G13310" s="0" t="s">
        <v>26</v>
      </c>
      <c r="H13310" s="0" t="n">
        <v>35</v>
      </c>
      <c r="I13310" s="0" t="s">
        <v>44349</v>
      </c>
      <c r="J13310" s="0" t="s">
        <v>44350</v>
      </c>
      <c r="K13310" s="0" t="s">
        <v>44351</v>
      </c>
      <c r="L13310" s="0" t="str">
        <f aca="false">HYPERLINK("https://www.ncbi.nlm.nih.gov/nuccore/CP000304.1?report=graph&amp;tracks=[key:gene_model_track,Options:GeneOnly]&amp;mk=3766244:3766263|offset_9|444444,3766270:3766289|offset_35|00cc00,3766296:3766315|offset_61|444444,3766349:3766368|offset_114|444444&amp;v=3766043:3766568&amp;c=444444", "offset 35")</f>
        <v>offset 35</v>
      </c>
    </row>
    <row r="13311" customFormat="false" ht="12.8" hidden="false" customHeight="false" outlineLevel="0" collapsed="false">
      <c r="A13311" s="0" t="s">
        <v>12</v>
      </c>
      <c r="B13311" s="0" t="n">
        <v>3766295</v>
      </c>
      <c r="C13311" s="0" t="n">
        <v>3766315</v>
      </c>
      <c r="D13311" s="0" t="s">
        <v>44345</v>
      </c>
      <c r="E13311" s="0" t="s">
        <v>89</v>
      </c>
      <c r="F13311" s="0" t="s">
        <v>15</v>
      </c>
      <c r="G13311" s="0" t="s">
        <v>32</v>
      </c>
      <c r="H13311" s="0" t="n">
        <v>61</v>
      </c>
      <c r="I13311" s="0" t="s">
        <v>44352</v>
      </c>
      <c r="J13311" s="0" t="s">
        <v>44353</v>
      </c>
      <c r="K13311" s="0" t="s">
        <v>44354</v>
      </c>
      <c r="L13311" s="0" t="str">
        <f aca="false">HYPERLINK("https://www.ncbi.nlm.nih.gov/nuccore/CP000304.1?report=graph&amp;tracks=[key:gene_model_track,Options:GeneOnly]&amp;mk=3766244:3766263|offset_9|444444,3766270:3766289|offset_35|444444,3766296:3766315|offset_61|00cc00,3766349:3766368|offset_114|444444&amp;v=3766043:3766568&amp;c=444444", "offset 61")</f>
        <v>offset 61</v>
      </c>
    </row>
    <row r="13312" customFormat="false" ht="12.8" hidden="false" customHeight="false" outlineLevel="0" collapsed="false">
      <c r="A13312" s="0" t="s">
        <v>12</v>
      </c>
      <c r="B13312" s="0" t="n">
        <v>3766348</v>
      </c>
      <c r="C13312" s="0" t="n">
        <v>3766368</v>
      </c>
      <c r="D13312" s="0" t="s">
        <v>44345</v>
      </c>
      <c r="E13312" s="0" t="s">
        <v>89</v>
      </c>
      <c r="F13312" s="0" t="s">
        <v>15</v>
      </c>
      <c r="G13312" s="0" t="s">
        <v>16</v>
      </c>
      <c r="H13312" s="0" t="n">
        <v>114</v>
      </c>
      <c r="I13312" s="0" t="s">
        <v>44355</v>
      </c>
      <c r="J13312" s="0" t="s">
        <v>44356</v>
      </c>
      <c r="K13312" s="0" t="s">
        <v>44357</v>
      </c>
      <c r="L13312" s="0" t="str">
        <f aca="false">HYPERLINK("https://www.ncbi.nlm.nih.gov/nuccore/CP000304.1?report=graph&amp;tracks=[key:gene_model_track,Options:GeneOnly]&amp;mk=3766244:3766263|offset_9|444444,3766270:3766289|offset_35|444444,3766296:3766315|offset_61|444444,3766349:3766368|offset_114|00cc00&amp;v=3766043:3766568&amp;c=444444", "offset 114")</f>
        <v>offset 114</v>
      </c>
    </row>
    <row r="13313" customFormat="false" ht="12.8" hidden="false" customHeight="false" outlineLevel="0" collapsed="false">
      <c r="A13313" s="0" t="s">
        <v>12</v>
      </c>
      <c r="B13313" s="0" t="n">
        <v>3767293</v>
      </c>
      <c r="C13313" s="0" t="n">
        <v>3767313</v>
      </c>
      <c r="D13313" s="0" t="s">
        <v>44358</v>
      </c>
      <c r="E13313" s="0" t="s">
        <v>89</v>
      </c>
      <c r="F13313" s="0" t="s">
        <v>90</v>
      </c>
      <c r="G13313" s="0" t="s">
        <v>36</v>
      </c>
      <c r="H13313" s="0" t="n">
        <v>0</v>
      </c>
      <c r="I13313" s="0" t="s">
        <v>44359</v>
      </c>
      <c r="J13313" s="0" t="s">
        <v>44360</v>
      </c>
      <c r="K13313" s="0" t="s">
        <v>44361</v>
      </c>
      <c r="L13313" s="0" t="str">
        <f aca="false">HYPERLINK("https://www.ncbi.nlm.nih.gov/nuccore/CP000304.1?report=graph&amp;tracks=[key:gene_model_track,Options:GeneOnly]&amp;mk=3767294:3767313|offset_0|00cc00,3767274:3767293|offset_20|444444,3767205:3767224|offset_89|444444,3767184:3767203|offset_110|444444&amp;v=3767093:3767403&amp;c=444444", "offset 0")</f>
        <v>offset 0</v>
      </c>
    </row>
    <row r="13314" customFormat="false" ht="12.8" hidden="false" customHeight="false" outlineLevel="0" collapsed="false">
      <c r="A13314" s="0" t="s">
        <v>12</v>
      </c>
      <c r="B13314" s="0" t="n">
        <v>3767273</v>
      </c>
      <c r="C13314" s="0" t="n">
        <v>3767293</v>
      </c>
      <c r="D13314" s="0" t="s">
        <v>44358</v>
      </c>
      <c r="E13314" s="0" t="s">
        <v>89</v>
      </c>
      <c r="F13314" s="0" t="s">
        <v>90</v>
      </c>
      <c r="G13314" s="0" t="s">
        <v>26</v>
      </c>
      <c r="H13314" s="0" t="n">
        <v>20</v>
      </c>
      <c r="I13314" s="0" t="s">
        <v>44362</v>
      </c>
      <c r="J13314" s="0" t="s">
        <v>44363</v>
      </c>
      <c r="K13314" s="0" t="s">
        <v>44364</v>
      </c>
      <c r="L13314" s="0" t="str">
        <f aca="false">HYPERLINK("https://www.ncbi.nlm.nih.gov/nuccore/CP000304.1?report=graph&amp;tracks=[key:gene_model_track,Options:GeneOnly]&amp;mk=3767294:3767313|offset_0|444444,3767274:3767293|offset_20|00cc00,3767205:3767224|offset_89|444444,3767184:3767203|offset_110|444444&amp;v=3767093:3767403&amp;c=444444", "offset 20")</f>
        <v>offset 20</v>
      </c>
    </row>
    <row r="13315" customFormat="false" ht="12.8" hidden="false" customHeight="false" outlineLevel="0" collapsed="false">
      <c r="A13315" s="0" t="s">
        <v>12</v>
      </c>
      <c r="B13315" s="0" t="n">
        <v>3767204</v>
      </c>
      <c r="C13315" s="0" t="n">
        <v>3767224</v>
      </c>
      <c r="D13315" s="0" t="s">
        <v>44358</v>
      </c>
      <c r="E13315" s="0" t="s">
        <v>89</v>
      </c>
      <c r="F13315" s="0" t="s">
        <v>90</v>
      </c>
      <c r="G13315" s="0" t="s">
        <v>32</v>
      </c>
      <c r="H13315" s="0" t="n">
        <v>89</v>
      </c>
      <c r="I13315" s="0" t="s">
        <v>44365</v>
      </c>
      <c r="J13315" s="0" t="s">
        <v>44366</v>
      </c>
      <c r="K13315" s="0" t="s">
        <v>44367</v>
      </c>
      <c r="L13315" s="0" t="str">
        <f aca="false">HYPERLINK("https://www.ncbi.nlm.nih.gov/nuccore/CP000304.1?report=graph&amp;tracks=[key:gene_model_track,Options:GeneOnly]&amp;mk=3767294:3767313|offset_0|444444,3767274:3767293|offset_20|444444,3767205:3767224|offset_89|00cc00,3767184:3767203|offset_110|444444&amp;v=3767093:3767403&amp;c=444444", "offset 89")</f>
        <v>offset 89</v>
      </c>
    </row>
    <row r="13316" customFormat="false" ht="12.8" hidden="false" customHeight="false" outlineLevel="0" collapsed="false">
      <c r="A13316" s="0" t="s">
        <v>12</v>
      </c>
      <c r="B13316" s="0" t="n">
        <v>3767183</v>
      </c>
      <c r="C13316" s="0" t="n">
        <v>3767203</v>
      </c>
      <c r="D13316" s="0" t="s">
        <v>44358</v>
      </c>
      <c r="E13316" s="0" t="s">
        <v>89</v>
      </c>
      <c r="F13316" s="0" t="s">
        <v>90</v>
      </c>
      <c r="G13316" s="0" t="s">
        <v>36</v>
      </c>
      <c r="H13316" s="0" t="n">
        <v>110</v>
      </c>
      <c r="I13316" s="0" t="s">
        <v>44368</v>
      </c>
      <c r="J13316" s="0" t="s">
        <v>44369</v>
      </c>
      <c r="K13316" s="0" t="s">
        <v>44370</v>
      </c>
      <c r="L13316" s="0" t="str">
        <f aca="false">HYPERLINK("https://www.ncbi.nlm.nih.gov/nuccore/CP000304.1?report=graph&amp;tracks=[key:gene_model_track,Options:GeneOnly]&amp;mk=3767294:3767313|offset_0|444444,3767274:3767293|offset_20|444444,3767205:3767224|offset_89|444444,3767184:3767203|offset_110|00cc00&amp;v=3767093:3767403&amp;c=444444", "offset 110")</f>
        <v>offset 110</v>
      </c>
    </row>
    <row r="13317" customFormat="false" ht="12.8" hidden="false" customHeight="false" outlineLevel="0" collapsed="false">
      <c r="A13317" s="0" t="s">
        <v>12</v>
      </c>
      <c r="B13317" s="0" t="n">
        <v>3770218</v>
      </c>
      <c r="C13317" s="0" t="n">
        <v>3770238</v>
      </c>
      <c r="D13317" s="0" t="s">
        <v>44371</v>
      </c>
      <c r="E13317" s="0" t="s">
        <v>89</v>
      </c>
      <c r="F13317" s="0" t="s">
        <v>90</v>
      </c>
      <c r="G13317" s="0" t="s">
        <v>16</v>
      </c>
      <c r="H13317" s="0" t="n">
        <v>10</v>
      </c>
      <c r="I13317" s="0" t="s">
        <v>44372</v>
      </c>
      <c r="J13317" s="0" t="s">
        <v>44373</v>
      </c>
      <c r="K13317" s="0" t="s">
        <v>44374</v>
      </c>
      <c r="L13317" s="0" t="str">
        <f aca="false">HYPERLINK("https://www.ncbi.nlm.nih.gov/nuccore/CP000304.1?report=graph&amp;tracks=[key:gene_model_track,Options:GeneOnly]&amp;mk=3770219:3770238|offset_10|00cc00,3770181:3770200|offset_48|444444,3770160:3770179|offset_69|444444,3770140:3770159|offset_89|444444&amp;v=3770018:3770359&amp;c=444444", "offset 10")</f>
        <v>offset 10</v>
      </c>
    </row>
    <row r="13318" customFormat="false" ht="12.8" hidden="false" customHeight="false" outlineLevel="0" collapsed="false">
      <c r="A13318" s="0" t="s">
        <v>12</v>
      </c>
      <c r="B13318" s="0" t="n">
        <v>3770180</v>
      </c>
      <c r="C13318" s="0" t="n">
        <v>3770200</v>
      </c>
      <c r="D13318" s="0" t="s">
        <v>44371</v>
      </c>
      <c r="E13318" s="0" t="s">
        <v>89</v>
      </c>
      <c r="F13318" s="0" t="s">
        <v>90</v>
      </c>
      <c r="G13318" s="0" t="s">
        <v>16</v>
      </c>
      <c r="H13318" s="0" t="n">
        <v>48</v>
      </c>
      <c r="I13318" s="0" t="s">
        <v>44375</v>
      </c>
      <c r="J13318" s="0" t="s">
        <v>44376</v>
      </c>
      <c r="K13318" s="0" t="s">
        <v>44377</v>
      </c>
      <c r="L13318" s="0" t="str">
        <f aca="false">HYPERLINK("https://www.ncbi.nlm.nih.gov/nuccore/CP000304.1?report=graph&amp;tracks=[key:gene_model_track,Options:GeneOnly]&amp;mk=3770219:3770238|offset_10|444444,3770181:3770200|offset_48|00cc00,3770160:3770179|offset_69|444444,3770140:3770159|offset_89|444444&amp;v=3770018:3770359&amp;c=444444", "offset 48")</f>
        <v>offset 48</v>
      </c>
    </row>
    <row r="13319" customFormat="false" ht="12.8" hidden="false" customHeight="false" outlineLevel="0" collapsed="false">
      <c r="A13319" s="0" t="s">
        <v>12</v>
      </c>
      <c r="B13319" s="0" t="n">
        <v>3770159</v>
      </c>
      <c r="C13319" s="0" t="n">
        <v>3770179</v>
      </c>
      <c r="D13319" s="0" t="s">
        <v>44371</v>
      </c>
      <c r="E13319" s="0" t="s">
        <v>89</v>
      </c>
      <c r="F13319" s="0" t="s">
        <v>90</v>
      </c>
      <c r="G13319" s="0" t="s">
        <v>32</v>
      </c>
      <c r="H13319" s="0" t="n">
        <v>69</v>
      </c>
      <c r="I13319" s="0" t="s">
        <v>44378</v>
      </c>
      <c r="J13319" s="0" t="s">
        <v>44379</v>
      </c>
      <c r="K13319" s="0" t="s">
        <v>44380</v>
      </c>
      <c r="L13319" s="0" t="str">
        <f aca="false">HYPERLINK("https://www.ncbi.nlm.nih.gov/nuccore/CP000304.1?report=graph&amp;tracks=[key:gene_model_track,Options:GeneOnly]&amp;mk=3770219:3770238|offset_10|444444,3770181:3770200|offset_48|444444,3770160:3770179|offset_69|00cc00,3770140:3770159|offset_89|444444&amp;v=3770018:3770359&amp;c=444444", "offset 69")</f>
        <v>offset 69</v>
      </c>
    </row>
    <row r="13320" customFormat="false" ht="12.8" hidden="false" customHeight="false" outlineLevel="0" collapsed="false">
      <c r="A13320" s="0" t="s">
        <v>12</v>
      </c>
      <c r="B13320" s="0" t="n">
        <v>3770139</v>
      </c>
      <c r="C13320" s="0" t="n">
        <v>3770159</v>
      </c>
      <c r="D13320" s="0" t="s">
        <v>44371</v>
      </c>
      <c r="E13320" s="0" t="s">
        <v>89</v>
      </c>
      <c r="F13320" s="0" t="s">
        <v>90</v>
      </c>
      <c r="G13320" s="0" t="s">
        <v>36</v>
      </c>
      <c r="H13320" s="0" t="n">
        <v>89</v>
      </c>
      <c r="I13320" s="0" t="s">
        <v>44381</v>
      </c>
      <c r="J13320" s="0" t="s">
        <v>44382</v>
      </c>
      <c r="K13320" s="0" t="s">
        <v>44383</v>
      </c>
      <c r="L13320" s="0" t="str">
        <f aca="false">HYPERLINK("https://www.ncbi.nlm.nih.gov/nuccore/CP000304.1?report=graph&amp;tracks=[key:gene_model_track,Options:GeneOnly]&amp;mk=3770219:3770238|offset_10|444444,3770181:3770200|offset_48|444444,3770160:3770179|offset_69|444444,3770140:3770159|offset_89|00cc00&amp;v=3770018:3770359&amp;c=444444", "offset 89")</f>
        <v>offset 89</v>
      </c>
    </row>
    <row r="13321" customFormat="false" ht="12.8" hidden="false" customHeight="false" outlineLevel="0" collapsed="false">
      <c r="A13321" s="0" t="s">
        <v>12</v>
      </c>
      <c r="B13321" s="0" t="n">
        <v>3771154</v>
      </c>
      <c r="C13321" s="0" t="n">
        <v>3771174</v>
      </c>
      <c r="D13321" s="0" t="s">
        <v>44384</v>
      </c>
      <c r="E13321" s="0" t="s">
        <v>89</v>
      </c>
      <c r="F13321" s="0" t="s">
        <v>90</v>
      </c>
      <c r="G13321" s="0" t="s">
        <v>32</v>
      </c>
      <c r="H13321" s="0" t="n">
        <v>7</v>
      </c>
      <c r="I13321" s="0" t="s">
        <v>44385</v>
      </c>
      <c r="J13321" s="0" t="s">
        <v>44386</v>
      </c>
      <c r="K13321" s="0" t="s">
        <v>44387</v>
      </c>
      <c r="L13321" s="0" t="str">
        <f aca="false">HYPERLINK("https://www.ncbi.nlm.nih.gov/nuccore/CP000304.1?report=graph&amp;tracks=[key:gene_model_track,Options:GeneOnly]&amp;mk=3771155:3771174|offset_7|00cc00,3771127:3771146|offset_35|444444,3771095:3771114|offset_67|444444,3771073:3771092|offset_89|444444&amp;v=3770954:3771292&amp;c=444444", "offset 7")</f>
        <v>offset 7</v>
      </c>
    </row>
    <row r="13322" customFormat="false" ht="12.8" hidden="false" customHeight="false" outlineLevel="0" collapsed="false">
      <c r="A13322" s="0" t="s">
        <v>12</v>
      </c>
      <c r="B13322" s="0" t="n">
        <v>3771126</v>
      </c>
      <c r="C13322" s="0" t="n">
        <v>3771146</v>
      </c>
      <c r="D13322" s="0" t="s">
        <v>44384</v>
      </c>
      <c r="E13322" s="0" t="s">
        <v>89</v>
      </c>
      <c r="F13322" s="0" t="s">
        <v>90</v>
      </c>
      <c r="G13322" s="0" t="s">
        <v>16</v>
      </c>
      <c r="H13322" s="0" t="n">
        <v>35</v>
      </c>
      <c r="I13322" s="0" t="s">
        <v>44388</v>
      </c>
      <c r="J13322" s="0" t="s">
        <v>44389</v>
      </c>
      <c r="K13322" s="0" t="s">
        <v>44390</v>
      </c>
      <c r="L13322" s="0" t="str">
        <f aca="false">HYPERLINK("https://www.ncbi.nlm.nih.gov/nuccore/CP000304.1?report=graph&amp;tracks=[key:gene_model_track,Options:GeneOnly]&amp;mk=3771155:3771174|offset_7|444444,3771127:3771146|offset_35|00cc00,3771095:3771114|offset_67|444444,3771073:3771092|offset_89|444444&amp;v=3770954:3771292&amp;c=444444", "offset 35")</f>
        <v>offset 35</v>
      </c>
    </row>
    <row r="13323" customFormat="false" ht="12.8" hidden="false" customHeight="false" outlineLevel="0" collapsed="false">
      <c r="A13323" s="0" t="s">
        <v>12</v>
      </c>
      <c r="B13323" s="0" t="n">
        <v>3771094</v>
      </c>
      <c r="C13323" s="0" t="n">
        <v>3771114</v>
      </c>
      <c r="D13323" s="0" t="s">
        <v>44384</v>
      </c>
      <c r="E13323" s="0" t="s">
        <v>89</v>
      </c>
      <c r="F13323" s="0" t="s">
        <v>90</v>
      </c>
      <c r="G13323" s="0" t="s">
        <v>26</v>
      </c>
      <c r="H13323" s="0" t="n">
        <v>67</v>
      </c>
      <c r="I13323" s="0" t="s">
        <v>44391</v>
      </c>
      <c r="J13323" s="0" t="s">
        <v>44392</v>
      </c>
      <c r="K13323" s="0" t="s">
        <v>44393</v>
      </c>
      <c r="L13323" s="0" t="str">
        <f aca="false">HYPERLINK("https://www.ncbi.nlm.nih.gov/nuccore/CP000304.1?report=graph&amp;tracks=[key:gene_model_track,Options:GeneOnly]&amp;mk=3771155:3771174|offset_7|444444,3771127:3771146|offset_35|444444,3771095:3771114|offset_67|00cc00,3771073:3771092|offset_89|444444&amp;v=3770954:3771292&amp;c=444444", "offset 67")</f>
        <v>offset 67</v>
      </c>
    </row>
    <row r="13324" customFormat="false" ht="12.8" hidden="false" customHeight="false" outlineLevel="0" collapsed="false">
      <c r="A13324" s="0" t="s">
        <v>12</v>
      </c>
      <c r="B13324" s="0" t="n">
        <v>3771072</v>
      </c>
      <c r="C13324" s="0" t="n">
        <v>3771092</v>
      </c>
      <c r="D13324" s="0" t="s">
        <v>44384</v>
      </c>
      <c r="E13324" s="0" t="s">
        <v>89</v>
      </c>
      <c r="F13324" s="0" t="s">
        <v>90</v>
      </c>
      <c r="G13324" s="0" t="s">
        <v>36</v>
      </c>
      <c r="H13324" s="0" t="n">
        <v>89</v>
      </c>
      <c r="I13324" s="0" t="s">
        <v>44394</v>
      </c>
      <c r="J13324" s="0" t="s">
        <v>44395</v>
      </c>
      <c r="K13324" s="0" t="s">
        <v>44396</v>
      </c>
      <c r="L13324" s="0" t="str">
        <f aca="false">HYPERLINK("https://www.ncbi.nlm.nih.gov/nuccore/CP000304.1?report=graph&amp;tracks=[key:gene_model_track,Options:GeneOnly]&amp;mk=3771155:3771174|offset_7|444444,3771127:3771146|offset_35|444444,3771095:3771114|offset_67|444444,3771073:3771092|offset_89|00cc00&amp;v=3770954:3771292&amp;c=444444", "offset 89")</f>
        <v>offset 89</v>
      </c>
    </row>
    <row r="13325" customFormat="false" ht="12.8" hidden="false" customHeight="false" outlineLevel="0" collapsed="false">
      <c r="A13325" s="0" t="s">
        <v>12</v>
      </c>
      <c r="B13325" s="0" t="n">
        <v>3772800</v>
      </c>
      <c r="C13325" s="0" t="n">
        <v>3772820</v>
      </c>
      <c r="D13325" s="0" t="s">
        <v>44397</v>
      </c>
      <c r="E13325" s="0" t="s">
        <v>89</v>
      </c>
      <c r="F13325" s="0" t="s">
        <v>90</v>
      </c>
      <c r="G13325" s="0" t="s">
        <v>36</v>
      </c>
      <c r="H13325" s="0" t="n">
        <v>30</v>
      </c>
      <c r="I13325" s="0" t="s">
        <v>44398</v>
      </c>
      <c r="J13325" s="0" t="s">
        <v>44399</v>
      </c>
      <c r="K13325" s="0" t="s">
        <v>44400</v>
      </c>
      <c r="L13325" s="0" t="str">
        <f aca="false">HYPERLINK("https://www.ncbi.nlm.nih.gov/nuccore/CP000304.1?report=graph&amp;tracks=[key:gene_model_track,Options:GeneOnly]&amp;mk=3772801:3772820|offset_30|00cc00,3772773:3772792|offset_58|444444,3772743:3772762|offset_88|444444,3772722:3772741|offset_109|444444&amp;v=3772600:3772941&amp;c=444444", "offset 30")</f>
        <v>offset 30</v>
      </c>
    </row>
    <row r="13326" customFormat="false" ht="12.8" hidden="false" customHeight="false" outlineLevel="0" collapsed="false">
      <c r="A13326" s="0" t="s">
        <v>12</v>
      </c>
      <c r="B13326" s="0" t="n">
        <v>3772772</v>
      </c>
      <c r="C13326" s="0" t="n">
        <v>3772792</v>
      </c>
      <c r="D13326" s="0" t="s">
        <v>44397</v>
      </c>
      <c r="E13326" s="0" t="s">
        <v>89</v>
      </c>
      <c r="F13326" s="0" t="s">
        <v>90</v>
      </c>
      <c r="G13326" s="0" t="s">
        <v>16</v>
      </c>
      <c r="H13326" s="0" t="n">
        <v>58</v>
      </c>
      <c r="I13326" s="0" t="s">
        <v>44401</v>
      </c>
      <c r="J13326" s="0" t="s">
        <v>44402</v>
      </c>
      <c r="K13326" s="0" t="s">
        <v>44403</v>
      </c>
      <c r="L13326" s="0" t="str">
        <f aca="false">HYPERLINK("https://www.ncbi.nlm.nih.gov/nuccore/CP000304.1?report=graph&amp;tracks=[key:gene_model_track,Options:GeneOnly]&amp;mk=3772801:3772820|offset_30|444444,3772773:3772792|offset_58|00cc00,3772743:3772762|offset_88|444444,3772722:3772741|offset_109|444444&amp;v=3772600:3772941&amp;c=444444", "offset 58")</f>
        <v>offset 58</v>
      </c>
    </row>
    <row r="13327" customFormat="false" ht="12.8" hidden="false" customHeight="false" outlineLevel="0" collapsed="false">
      <c r="A13327" s="0" t="s">
        <v>12</v>
      </c>
      <c r="B13327" s="0" t="n">
        <v>3772742</v>
      </c>
      <c r="C13327" s="0" t="n">
        <v>3772762</v>
      </c>
      <c r="D13327" s="0" t="s">
        <v>44397</v>
      </c>
      <c r="E13327" s="0" t="s">
        <v>89</v>
      </c>
      <c r="F13327" s="0" t="s">
        <v>90</v>
      </c>
      <c r="G13327" s="0" t="s">
        <v>16</v>
      </c>
      <c r="H13327" s="0" t="n">
        <v>88</v>
      </c>
      <c r="I13327" s="0" t="s">
        <v>44404</v>
      </c>
      <c r="J13327" s="0" t="s">
        <v>44405</v>
      </c>
      <c r="K13327" s="0" t="s">
        <v>44406</v>
      </c>
      <c r="L13327" s="0" t="str">
        <f aca="false">HYPERLINK("https://www.ncbi.nlm.nih.gov/nuccore/CP000304.1?report=graph&amp;tracks=[key:gene_model_track,Options:GeneOnly]&amp;mk=3772801:3772820|offset_30|444444,3772773:3772792|offset_58|444444,3772743:3772762|offset_88|00cc00,3772722:3772741|offset_109|444444&amp;v=3772600:3772941&amp;c=444444", "offset 88")</f>
        <v>offset 88</v>
      </c>
    </row>
    <row r="13328" customFormat="false" ht="12.8" hidden="false" customHeight="false" outlineLevel="0" collapsed="false">
      <c r="A13328" s="0" t="s">
        <v>12</v>
      </c>
      <c r="B13328" s="0" t="n">
        <v>3772721</v>
      </c>
      <c r="C13328" s="0" t="n">
        <v>3772741</v>
      </c>
      <c r="D13328" s="0" t="s">
        <v>44397</v>
      </c>
      <c r="E13328" s="0" t="s">
        <v>89</v>
      </c>
      <c r="F13328" s="0" t="s">
        <v>90</v>
      </c>
      <c r="G13328" s="0" t="s">
        <v>16</v>
      </c>
      <c r="H13328" s="0" t="n">
        <v>109</v>
      </c>
      <c r="I13328" s="0" t="s">
        <v>44407</v>
      </c>
      <c r="J13328" s="0" t="s">
        <v>44408</v>
      </c>
      <c r="K13328" s="0" t="s">
        <v>44409</v>
      </c>
      <c r="L13328" s="0" t="str">
        <f aca="false">HYPERLINK("https://www.ncbi.nlm.nih.gov/nuccore/CP000304.1?report=graph&amp;tracks=[key:gene_model_track,Options:GeneOnly]&amp;mk=3772801:3772820|offset_30|444444,3772773:3772792|offset_58|444444,3772743:3772762|offset_88|444444,3772722:3772741|offset_109|00cc00&amp;v=3772600:3772941&amp;c=444444", "offset 109")</f>
        <v>offset 109</v>
      </c>
    </row>
    <row r="13329" customFormat="false" ht="12.8" hidden="false" customHeight="false" outlineLevel="0" collapsed="false">
      <c r="A13329" s="0" t="s">
        <v>12</v>
      </c>
      <c r="B13329" s="0" t="n">
        <v>3774138</v>
      </c>
      <c r="C13329" s="0" t="n">
        <v>3774158</v>
      </c>
      <c r="D13329" s="0" t="s">
        <v>44410</v>
      </c>
      <c r="E13329" s="0" t="s">
        <v>89</v>
      </c>
      <c r="F13329" s="0" t="s">
        <v>90</v>
      </c>
      <c r="G13329" s="0" t="s">
        <v>32</v>
      </c>
      <c r="H13329" s="0" t="n">
        <v>28</v>
      </c>
      <c r="I13329" s="0" t="s">
        <v>44411</v>
      </c>
      <c r="J13329" s="0" t="s">
        <v>44412</v>
      </c>
      <c r="K13329" s="0" t="s">
        <v>44413</v>
      </c>
      <c r="L13329" s="0" t="str">
        <f aca="false">HYPERLINK("https://www.ncbi.nlm.nih.gov/nuccore/CP000304.1?report=graph&amp;tracks=[key:gene_model_track,Options:GeneOnly]&amp;mk=3774139:3774158|offset_28|00cc00,3774114:3774133|offset_53|444444,3774069:3774088|offset_98|444444,3774045:3774064|offset_122|444444&amp;v=3773938:3774264&amp;c=444444", "offset 28")</f>
        <v>offset 28</v>
      </c>
    </row>
    <row r="13330" customFormat="false" ht="12.8" hidden="false" customHeight="false" outlineLevel="0" collapsed="false">
      <c r="A13330" s="0" t="s">
        <v>12</v>
      </c>
      <c r="B13330" s="0" t="n">
        <v>3774113</v>
      </c>
      <c r="C13330" s="0" t="n">
        <v>3774133</v>
      </c>
      <c r="D13330" s="0" t="s">
        <v>44410</v>
      </c>
      <c r="E13330" s="0" t="s">
        <v>89</v>
      </c>
      <c r="F13330" s="0" t="s">
        <v>90</v>
      </c>
      <c r="G13330" s="0" t="s">
        <v>36</v>
      </c>
      <c r="H13330" s="0" t="n">
        <v>53</v>
      </c>
      <c r="I13330" s="0" t="s">
        <v>44414</v>
      </c>
      <c r="J13330" s="0" t="s">
        <v>44415</v>
      </c>
      <c r="K13330" s="0" t="s">
        <v>44416</v>
      </c>
      <c r="L13330" s="0" t="str">
        <f aca="false">HYPERLINK("https://www.ncbi.nlm.nih.gov/nuccore/CP000304.1?report=graph&amp;tracks=[key:gene_model_track,Options:GeneOnly]&amp;mk=3774139:3774158|offset_28|444444,3774114:3774133|offset_53|00cc00,3774069:3774088|offset_98|444444,3774045:3774064|offset_122|444444&amp;v=3773938:3774264&amp;c=444444", "offset 53")</f>
        <v>offset 53</v>
      </c>
    </row>
    <row r="13331" customFormat="false" ht="12.8" hidden="false" customHeight="false" outlineLevel="0" collapsed="false">
      <c r="A13331" s="0" t="s">
        <v>12</v>
      </c>
      <c r="B13331" s="0" t="n">
        <v>3774068</v>
      </c>
      <c r="C13331" s="0" t="n">
        <v>3774088</v>
      </c>
      <c r="D13331" s="0" t="s">
        <v>44410</v>
      </c>
      <c r="E13331" s="0" t="s">
        <v>89</v>
      </c>
      <c r="F13331" s="0" t="s">
        <v>90</v>
      </c>
      <c r="G13331" s="0" t="s">
        <v>16</v>
      </c>
      <c r="H13331" s="0" t="n">
        <v>98</v>
      </c>
      <c r="I13331" s="0" t="s">
        <v>44417</v>
      </c>
      <c r="J13331" s="0" t="s">
        <v>44418</v>
      </c>
      <c r="K13331" s="0" t="s">
        <v>44419</v>
      </c>
      <c r="L13331" s="0" t="str">
        <f aca="false">HYPERLINK("https://www.ncbi.nlm.nih.gov/nuccore/CP000304.1?report=graph&amp;tracks=[key:gene_model_track,Options:GeneOnly]&amp;mk=3774139:3774158|offset_28|444444,3774114:3774133|offset_53|444444,3774069:3774088|offset_98|00cc00,3774045:3774064|offset_122|444444&amp;v=3773938:3774264&amp;c=444444", "offset 98")</f>
        <v>offset 98</v>
      </c>
    </row>
    <row r="13332" customFormat="false" ht="12.8" hidden="false" customHeight="false" outlineLevel="0" collapsed="false">
      <c r="A13332" s="0" t="s">
        <v>12</v>
      </c>
      <c r="B13332" s="0" t="n">
        <v>3774044</v>
      </c>
      <c r="C13332" s="0" t="n">
        <v>3774064</v>
      </c>
      <c r="D13332" s="0" t="s">
        <v>44410</v>
      </c>
      <c r="E13332" s="0" t="s">
        <v>89</v>
      </c>
      <c r="F13332" s="0" t="s">
        <v>90</v>
      </c>
      <c r="G13332" s="0" t="s">
        <v>32</v>
      </c>
      <c r="H13332" s="0" t="n">
        <v>122</v>
      </c>
      <c r="I13332" s="0" t="s">
        <v>44420</v>
      </c>
      <c r="J13332" s="0" t="s">
        <v>44421</v>
      </c>
      <c r="K13332" s="0" t="s">
        <v>44422</v>
      </c>
      <c r="L13332" s="0" t="str">
        <f aca="false">HYPERLINK("https://www.ncbi.nlm.nih.gov/nuccore/CP000304.1?report=graph&amp;tracks=[key:gene_model_track,Options:GeneOnly]&amp;mk=3774139:3774158|offset_28|444444,3774114:3774133|offset_53|444444,3774069:3774088|offset_98|444444,3774045:3774064|offset_122|00cc00&amp;v=3773938:3774264&amp;c=444444", "offset 122")</f>
        <v>offset 122</v>
      </c>
    </row>
    <row r="13333" customFormat="false" ht="12.8" hidden="false" customHeight="false" outlineLevel="0" collapsed="false">
      <c r="A13333" s="0" t="s">
        <v>12</v>
      </c>
      <c r="B13333" s="0" t="n">
        <v>3774273</v>
      </c>
      <c r="C13333" s="0" t="n">
        <v>3774293</v>
      </c>
      <c r="D13333" s="0" t="s">
        <v>44423</v>
      </c>
      <c r="E13333" s="0" t="s">
        <v>89</v>
      </c>
      <c r="F13333" s="0" t="s">
        <v>15</v>
      </c>
      <c r="G13333" s="0" t="s">
        <v>36</v>
      </c>
      <c r="H13333" s="0" t="n">
        <v>10</v>
      </c>
      <c r="I13333" s="0" t="s">
        <v>44424</v>
      </c>
      <c r="J13333" s="0" t="s">
        <v>44425</v>
      </c>
      <c r="K13333" s="0" t="s">
        <v>44426</v>
      </c>
      <c r="L13333" s="0" t="str">
        <f aca="false">HYPERLINK("https://www.ncbi.nlm.nih.gov/nuccore/CP000304.1?report=graph&amp;tracks=[key:gene_model_track,Options:GeneOnly]&amp;mk=3774274:3774293|offset_10|00cc00,3774313:3774332|offset_49|444444,3774334:3774353|offset_70|444444,3774365:3774384|offset_101|444444&amp;v=3774073:3774584&amp;c=444444", "offset 10")</f>
        <v>offset 10</v>
      </c>
    </row>
    <row r="13334" customFormat="false" ht="12.8" hidden="false" customHeight="false" outlineLevel="0" collapsed="false">
      <c r="A13334" s="0" t="s">
        <v>12</v>
      </c>
      <c r="B13334" s="0" t="n">
        <v>3774312</v>
      </c>
      <c r="C13334" s="0" t="n">
        <v>3774332</v>
      </c>
      <c r="D13334" s="0" t="s">
        <v>44423</v>
      </c>
      <c r="E13334" s="0" t="s">
        <v>89</v>
      </c>
      <c r="F13334" s="0" t="s">
        <v>15</v>
      </c>
      <c r="G13334" s="0" t="s">
        <v>36</v>
      </c>
      <c r="H13334" s="0" t="n">
        <v>49</v>
      </c>
      <c r="I13334" s="0" t="s">
        <v>44427</v>
      </c>
      <c r="J13334" s="0" t="s">
        <v>44428</v>
      </c>
      <c r="K13334" s="0" t="s">
        <v>44429</v>
      </c>
      <c r="L13334" s="0" t="str">
        <f aca="false">HYPERLINK("https://www.ncbi.nlm.nih.gov/nuccore/CP000304.1?report=graph&amp;tracks=[key:gene_model_track,Options:GeneOnly]&amp;mk=3774274:3774293|offset_10|444444,3774313:3774332|offset_49|00cc00,3774334:3774353|offset_70|444444,3774365:3774384|offset_101|444444&amp;v=3774073:3774584&amp;c=444444", "offset 49")</f>
        <v>offset 49</v>
      </c>
    </row>
    <row r="13335" customFormat="false" ht="12.8" hidden="false" customHeight="false" outlineLevel="0" collapsed="false">
      <c r="A13335" s="0" t="s">
        <v>12</v>
      </c>
      <c r="B13335" s="0" t="n">
        <v>3774333</v>
      </c>
      <c r="C13335" s="0" t="n">
        <v>3774353</v>
      </c>
      <c r="D13335" s="0" t="s">
        <v>44423</v>
      </c>
      <c r="E13335" s="0" t="s">
        <v>89</v>
      </c>
      <c r="F13335" s="0" t="s">
        <v>15</v>
      </c>
      <c r="G13335" s="0" t="s">
        <v>16</v>
      </c>
      <c r="H13335" s="0" t="n">
        <v>70</v>
      </c>
      <c r="I13335" s="0" t="s">
        <v>44430</v>
      </c>
      <c r="J13335" s="0" t="s">
        <v>44431</v>
      </c>
      <c r="K13335" s="0" t="s">
        <v>44432</v>
      </c>
      <c r="L13335" s="0" t="str">
        <f aca="false">HYPERLINK("https://www.ncbi.nlm.nih.gov/nuccore/CP000304.1?report=graph&amp;tracks=[key:gene_model_track,Options:GeneOnly]&amp;mk=3774274:3774293|offset_10|444444,3774313:3774332|offset_49|444444,3774334:3774353|offset_70|00cc00,3774365:3774384|offset_101|444444&amp;v=3774073:3774584&amp;c=444444", "offset 70")</f>
        <v>offset 70</v>
      </c>
    </row>
    <row r="13336" customFormat="false" ht="12.8" hidden="false" customHeight="false" outlineLevel="0" collapsed="false">
      <c r="A13336" s="0" t="s">
        <v>12</v>
      </c>
      <c r="B13336" s="0" t="n">
        <v>3774364</v>
      </c>
      <c r="C13336" s="0" t="n">
        <v>3774384</v>
      </c>
      <c r="D13336" s="0" t="s">
        <v>44423</v>
      </c>
      <c r="E13336" s="0" t="s">
        <v>89</v>
      </c>
      <c r="F13336" s="0" t="s">
        <v>15</v>
      </c>
      <c r="G13336" s="0" t="s">
        <v>32</v>
      </c>
      <c r="H13336" s="0" t="n">
        <v>101</v>
      </c>
      <c r="I13336" s="0" t="s">
        <v>44433</v>
      </c>
      <c r="J13336" s="0" t="s">
        <v>44434</v>
      </c>
      <c r="K13336" s="0" t="s">
        <v>44435</v>
      </c>
      <c r="L13336" s="0" t="str">
        <f aca="false">HYPERLINK("https://www.ncbi.nlm.nih.gov/nuccore/CP000304.1?report=graph&amp;tracks=[key:gene_model_track,Options:GeneOnly]&amp;mk=3774274:3774293|offset_10|444444,3774313:3774332|offset_49|444444,3774334:3774353|offset_70|444444,3774365:3774384|offset_101|00cc00&amp;v=3774073:3774584&amp;c=444444", "offset 101")</f>
        <v>offset 101</v>
      </c>
    </row>
    <row r="13337" customFormat="false" ht="12.8" hidden="false" customHeight="false" outlineLevel="0" collapsed="false">
      <c r="A13337" s="0" t="s">
        <v>12</v>
      </c>
      <c r="B13337" s="0" t="n">
        <v>3776342</v>
      </c>
      <c r="C13337" s="0" t="n">
        <v>3776362</v>
      </c>
      <c r="D13337" s="0" t="s">
        <v>44436</v>
      </c>
      <c r="E13337" s="0" t="s">
        <v>89</v>
      </c>
      <c r="F13337" s="0" t="s">
        <v>15</v>
      </c>
      <c r="G13337" s="0" t="s">
        <v>16</v>
      </c>
      <c r="H13337" s="0" t="n">
        <v>10</v>
      </c>
      <c r="I13337" s="0" t="s">
        <v>44437</v>
      </c>
      <c r="J13337" s="0" t="s">
        <v>44438</v>
      </c>
      <c r="K13337" s="0" t="s">
        <v>44439</v>
      </c>
      <c r="L13337" s="0" t="str">
        <f aca="false">HYPERLINK("https://www.ncbi.nlm.nih.gov/nuccore/CP000304.1?report=graph&amp;tracks=[key:gene_model_track,Options:GeneOnly]&amp;mk=3776343:3776362|offset_10|00cc00,3776376:3776395|offset_43|444444,3776403:3776422|offset_70|444444,3776434:3776453|offset_101|444444&amp;v=3776142:3776653&amp;c=444444", "offset 10")</f>
        <v>offset 10</v>
      </c>
    </row>
    <row r="13338" customFormat="false" ht="12.8" hidden="false" customHeight="false" outlineLevel="0" collapsed="false">
      <c r="A13338" s="0" t="s">
        <v>12</v>
      </c>
      <c r="B13338" s="0" t="n">
        <v>3776375</v>
      </c>
      <c r="C13338" s="0" t="n">
        <v>3776395</v>
      </c>
      <c r="D13338" s="0" t="s">
        <v>44436</v>
      </c>
      <c r="E13338" s="0" t="s">
        <v>89</v>
      </c>
      <c r="F13338" s="0" t="s">
        <v>15</v>
      </c>
      <c r="G13338" s="0" t="s">
        <v>36</v>
      </c>
      <c r="H13338" s="0" t="n">
        <v>43</v>
      </c>
      <c r="I13338" s="0" t="s">
        <v>44440</v>
      </c>
      <c r="J13338" s="0" t="s">
        <v>44441</v>
      </c>
      <c r="K13338" s="0" t="s">
        <v>44442</v>
      </c>
      <c r="L13338" s="0" t="str">
        <f aca="false">HYPERLINK("https://www.ncbi.nlm.nih.gov/nuccore/CP000304.1?report=graph&amp;tracks=[key:gene_model_track,Options:GeneOnly]&amp;mk=3776343:3776362|offset_10|444444,3776376:3776395|offset_43|00cc00,3776403:3776422|offset_70|444444,3776434:3776453|offset_101|444444&amp;v=3776142:3776653&amp;c=444444", "offset 43")</f>
        <v>offset 43</v>
      </c>
    </row>
    <row r="13339" customFormat="false" ht="12.8" hidden="false" customHeight="false" outlineLevel="0" collapsed="false">
      <c r="A13339" s="0" t="s">
        <v>12</v>
      </c>
      <c r="B13339" s="0" t="n">
        <v>3776402</v>
      </c>
      <c r="C13339" s="0" t="n">
        <v>3776422</v>
      </c>
      <c r="D13339" s="0" t="s">
        <v>44436</v>
      </c>
      <c r="E13339" s="0" t="s">
        <v>89</v>
      </c>
      <c r="F13339" s="0" t="s">
        <v>15</v>
      </c>
      <c r="G13339" s="0" t="s">
        <v>16</v>
      </c>
      <c r="H13339" s="0" t="n">
        <v>70</v>
      </c>
      <c r="I13339" s="0" t="s">
        <v>44443</v>
      </c>
      <c r="J13339" s="0" t="s">
        <v>44444</v>
      </c>
      <c r="K13339" s="0" t="s">
        <v>44445</v>
      </c>
      <c r="L13339" s="0" t="str">
        <f aca="false">HYPERLINK("https://www.ncbi.nlm.nih.gov/nuccore/CP000304.1?report=graph&amp;tracks=[key:gene_model_track,Options:GeneOnly]&amp;mk=3776343:3776362|offset_10|444444,3776376:3776395|offset_43|444444,3776403:3776422|offset_70|00cc00,3776434:3776453|offset_101|444444&amp;v=3776142:3776653&amp;c=444444", "offset 70")</f>
        <v>offset 70</v>
      </c>
    </row>
    <row r="13340" customFormat="false" ht="12.8" hidden="false" customHeight="false" outlineLevel="0" collapsed="false">
      <c r="A13340" s="0" t="s">
        <v>12</v>
      </c>
      <c r="B13340" s="0" t="n">
        <v>3776433</v>
      </c>
      <c r="C13340" s="0" t="n">
        <v>3776453</v>
      </c>
      <c r="D13340" s="0" t="s">
        <v>44436</v>
      </c>
      <c r="E13340" s="0" t="s">
        <v>89</v>
      </c>
      <c r="F13340" s="0" t="s">
        <v>15</v>
      </c>
      <c r="G13340" s="0" t="s">
        <v>36</v>
      </c>
      <c r="H13340" s="0" t="n">
        <v>101</v>
      </c>
      <c r="I13340" s="0" t="s">
        <v>44446</v>
      </c>
      <c r="J13340" s="0" t="s">
        <v>44447</v>
      </c>
      <c r="K13340" s="0" t="s">
        <v>44448</v>
      </c>
      <c r="L13340" s="0" t="str">
        <f aca="false">HYPERLINK("https://www.ncbi.nlm.nih.gov/nuccore/CP000304.1?report=graph&amp;tracks=[key:gene_model_track,Options:GeneOnly]&amp;mk=3776343:3776362|offset_10|444444,3776376:3776395|offset_43|444444,3776403:3776422|offset_70|444444,3776434:3776453|offset_101|00cc00&amp;v=3776142:3776653&amp;c=444444", "offset 101")</f>
        <v>offset 101</v>
      </c>
    </row>
    <row r="13341" customFormat="false" ht="12.8" hidden="false" customHeight="false" outlineLevel="0" collapsed="false">
      <c r="A13341" s="0" t="s">
        <v>12</v>
      </c>
      <c r="B13341" s="0" t="n">
        <v>3779439</v>
      </c>
      <c r="C13341" s="0" t="n">
        <v>3779459</v>
      </c>
      <c r="D13341" s="0" t="s">
        <v>44449</v>
      </c>
      <c r="E13341" s="0" t="s">
        <v>89</v>
      </c>
      <c r="F13341" s="0" t="s">
        <v>90</v>
      </c>
      <c r="G13341" s="0" t="s">
        <v>32</v>
      </c>
      <c r="H13341" s="0" t="n">
        <v>10</v>
      </c>
      <c r="I13341" s="0" t="s">
        <v>44450</v>
      </c>
      <c r="J13341" s="0" t="s">
        <v>44451</v>
      </c>
      <c r="K13341" s="0" t="s">
        <v>44452</v>
      </c>
      <c r="L13341" s="0" t="str">
        <f aca="false">HYPERLINK("https://www.ncbi.nlm.nih.gov/nuccore/CP000304.1?report=graph&amp;tracks=[key:gene_model_track,Options:GeneOnly]&amp;mk=3779440:3779459|offset_10|00cc00,3779413:3779432|offset_37|444444,3779382:3779401|offset_68|444444,3779353:3779372|offset_97|444444&amp;v=3779239:3779572&amp;c=444444", "offset 10")</f>
        <v>offset 10</v>
      </c>
    </row>
    <row r="13342" customFormat="false" ht="12.8" hidden="false" customHeight="false" outlineLevel="0" collapsed="false">
      <c r="A13342" s="0" t="s">
        <v>12</v>
      </c>
      <c r="B13342" s="0" t="n">
        <v>3779412</v>
      </c>
      <c r="C13342" s="0" t="n">
        <v>3779432</v>
      </c>
      <c r="D13342" s="0" t="s">
        <v>44449</v>
      </c>
      <c r="E13342" s="0" t="s">
        <v>89</v>
      </c>
      <c r="F13342" s="0" t="s">
        <v>90</v>
      </c>
      <c r="G13342" s="0" t="s">
        <v>16</v>
      </c>
      <c r="H13342" s="0" t="n">
        <v>37</v>
      </c>
      <c r="I13342" s="0" t="s">
        <v>44453</v>
      </c>
      <c r="J13342" s="0" t="s">
        <v>44454</v>
      </c>
      <c r="K13342" s="0" t="s">
        <v>44455</v>
      </c>
      <c r="L13342" s="0" t="str">
        <f aca="false">HYPERLINK("https://www.ncbi.nlm.nih.gov/nuccore/CP000304.1?report=graph&amp;tracks=[key:gene_model_track,Options:GeneOnly]&amp;mk=3779440:3779459|offset_10|444444,3779413:3779432|offset_37|00cc00,3779382:3779401|offset_68|444444,3779353:3779372|offset_97|444444&amp;v=3779239:3779572&amp;c=444444", "offset 37")</f>
        <v>offset 37</v>
      </c>
    </row>
    <row r="13343" customFormat="false" ht="12.8" hidden="false" customHeight="false" outlineLevel="0" collapsed="false">
      <c r="A13343" s="0" t="s">
        <v>12</v>
      </c>
      <c r="B13343" s="0" t="n">
        <v>3779381</v>
      </c>
      <c r="C13343" s="0" t="n">
        <v>3779401</v>
      </c>
      <c r="D13343" s="0" t="s">
        <v>44449</v>
      </c>
      <c r="E13343" s="0" t="s">
        <v>89</v>
      </c>
      <c r="F13343" s="0" t="s">
        <v>90</v>
      </c>
      <c r="G13343" s="0" t="s">
        <v>16</v>
      </c>
      <c r="H13343" s="0" t="n">
        <v>68</v>
      </c>
      <c r="I13343" s="0" t="s">
        <v>44456</v>
      </c>
      <c r="J13343" s="0" t="s">
        <v>44457</v>
      </c>
      <c r="K13343" s="0" t="s">
        <v>44458</v>
      </c>
      <c r="L13343" s="0" t="str">
        <f aca="false">HYPERLINK("https://www.ncbi.nlm.nih.gov/nuccore/CP000304.1?report=graph&amp;tracks=[key:gene_model_track,Options:GeneOnly]&amp;mk=3779440:3779459|offset_10|444444,3779413:3779432|offset_37|444444,3779382:3779401|offset_68|00cc00,3779353:3779372|offset_97|444444&amp;v=3779239:3779572&amp;c=444444", "offset 68")</f>
        <v>offset 68</v>
      </c>
    </row>
    <row r="13344" customFormat="false" ht="12.8" hidden="false" customHeight="false" outlineLevel="0" collapsed="false">
      <c r="A13344" s="0" t="s">
        <v>12</v>
      </c>
      <c r="B13344" s="0" t="n">
        <v>3779352</v>
      </c>
      <c r="C13344" s="0" t="n">
        <v>3779372</v>
      </c>
      <c r="D13344" s="0" t="s">
        <v>44449</v>
      </c>
      <c r="E13344" s="0" t="s">
        <v>89</v>
      </c>
      <c r="F13344" s="0" t="s">
        <v>90</v>
      </c>
      <c r="G13344" s="0" t="s">
        <v>16</v>
      </c>
      <c r="H13344" s="0" t="n">
        <v>97</v>
      </c>
      <c r="I13344" s="0" t="s">
        <v>44459</v>
      </c>
      <c r="J13344" s="0" t="s">
        <v>44460</v>
      </c>
      <c r="K13344" s="0" t="s">
        <v>44461</v>
      </c>
      <c r="L13344" s="0" t="str">
        <f aca="false">HYPERLINK("https://www.ncbi.nlm.nih.gov/nuccore/CP000304.1?report=graph&amp;tracks=[key:gene_model_track,Options:GeneOnly]&amp;mk=3779440:3779459|offset_10|444444,3779413:3779432|offset_37|444444,3779382:3779401|offset_68|444444,3779353:3779372|offset_97|00cc00&amp;v=3779239:3779572&amp;c=444444", "offset 97")</f>
        <v>offset 97</v>
      </c>
    </row>
    <row r="13345" customFormat="false" ht="12.8" hidden="false" customHeight="false" outlineLevel="0" collapsed="false">
      <c r="A13345" s="0" t="s">
        <v>12</v>
      </c>
      <c r="B13345" s="0" t="n">
        <v>3779574</v>
      </c>
      <c r="C13345" s="0" t="n">
        <v>3779594</v>
      </c>
      <c r="D13345" s="0" t="s">
        <v>44462</v>
      </c>
      <c r="E13345" s="0" t="s">
        <v>89</v>
      </c>
      <c r="F13345" s="0" t="s">
        <v>15</v>
      </c>
      <c r="G13345" s="0" t="s">
        <v>16</v>
      </c>
      <c r="H13345" s="0" t="n">
        <v>9</v>
      </c>
      <c r="I13345" s="0" t="s">
        <v>44463</v>
      </c>
      <c r="J13345" s="0" t="s">
        <v>44464</v>
      </c>
      <c r="K13345" s="0" t="s">
        <v>44465</v>
      </c>
      <c r="L13345" s="0" t="str">
        <f aca="false">HYPERLINK("https://www.ncbi.nlm.nih.gov/nuccore/CP000304.1?report=graph&amp;tracks=[key:gene_model_track,Options:GeneOnly]&amp;mk=3779575:3779594|offset_9|00cc00,3779602:3779621|offset_36|444444,3779673:3779692|offset_107|444444,3779697:3779716|offset_131|444444&amp;v=3779374:3779916&amp;c=444444", "offset 9")</f>
        <v>offset 9</v>
      </c>
    </row>
    <row r="13346" customFormat="false" ht="12.8" hidden="false" customHeight="false" outlineLevel="0" collapsed="false">
      <c r="A13346" s="0" t="s">
        <v>12</v>
      </c>
      <c r="B13346" s="0" t="n">
        <v>3779601</v>
      </c>
      <c r="C13346" s="0" t="n">
        <v>3779621</v>
      </c>
      <c r="D13346" s="0" t="s">
        <v>44462</v>
      </c>
      <c r="E13346" s="0" t="s">
        <v>89</v>
      </c>
      <c r="F13346" s="0" t="s">
        <v>15</v>
      </c>
      <c r="G13346" s="0" t="s">
        <v>32</v>
      </c>
      <c r="H13346" s="0" t="n">
        <v>36</v>
      </c>
      <c r="I13346" s="0" t="s">
        <v>44466</v>
      </c>
      <c r="J13346" s="0" t="s">
        <v>44467</v>
      </c>
      <c r="K13346" s="0" t="s">
        <v>44468</v>
      </c>
      <c r="L13346" s="0" t="str">
        <f aca="false">HYPERLINK("https://www.ncbi.nlm.nih.gov/nuccore/CP000304.1?report=graph&amp;tracks=[key:gene_model_track,Options:GeneOnly]&amp;mk=3779575:3779594|offset_9|444444,3779602:3779621|offset_36|00cc00,3779673:3779692|offset_107|444444,3779697:3779716|offset_131|444444&amp;v=3779374:3779916&amp;c=444444", "offset 36")</f>
        <v>offset 36</v>
      </c>
    </row>
    <row r="13347" customFormat="false" ht="12.8" hidden="false" customHeight="false" outlineLevel="0" collapsed="false">
      <c r="A13347" s="0" t="s">
        <v>12</v>
      </c>
      <c r="B13347" s="0" t="n">
        <v>3779672</v>
      </c>
      <c r="C13347" s="0" t="n">
        <v>3779692</v>
      </c>
      <c r="D13347" s="0" t="s">
        <v>44462</v>
      </c>
      <c r="E13347" s="0" t="s">
        <v>89</v>
      </c>
      <c r="F13347" s="0" t="s">
        <v>15</v>
      </c>
      <c r="G13347" s="0" t="s">
        <v>26</v>
      </c>
      <c r="H13347" s="0" t="n">
        <v>107</v>
      </c>
      <c r="I13347" s="0" t="s">
        <v>44469</v>
      </c>
      <c r="J13347" s="0" t="s">
        <v>44470</v>
      </c>
      <c r="K13347" s="0" t="s">
        <v>44471</v>
      </c>
      <c r="L13347" s="0" t="str">
        <f aca="false">HYPERLINK("https://www.ncbi.nlm.nih.gov/nuccore/CP000304.1?report=graph&amp;tracks=[key:gene_model_track,Options:GeneOnly]&amp;mk=3779575:3779594|offset_9|444444,3779602:3779621|offset_36|444444,3779673:3779692|offset_107|00cc00,3779697:3779716|offset_131|444444&amp;v=3779374:3779916&amp;c=444444", "offset 107")</f>
        <v>offset 107</v>
      </c>
    </row>
    <row r="13348" customFormat="false" ht="12.8" hidden="false" customHeight="false" outlineLevel="0" collapsed="false">
      <c r="A13348" s="0" t="s">
        <v>12</v>
      </c>
      <c r="B13348" s="0" t="n">
        <v>3779696</v>
      </c>
      <c r="C13348" s="0" t="n">
        <v>3779716</v>
      </c>
      <c r="D13348" s="0" t="s">
        <v>44462</v>
      </c>
      <c r="E13348" s="0" t="s">
        <v>89</v>
      </c>
      <c r="F13348" s="0" t="s">
        <v>15</v>
      </c>
      <c r="G13348" s="0" t="s">
        <v>36</v>
      </c>
      <c r="H13348" s="0" t="n">
        <v>131</v>
      </c>
      <c r="I13348" s="0" t="s">
        <v>44472</v>
      </c>
      <c r="J13348" s="0" t="s">
        <v>44473</v>
      </c>
      <c r="K13348" s="0" t="s">
        <v>44474</v>
      </c>
      <c r="L13348" s="0" t="str">
        <f aca="false">HYPERLINK("https://www.ncbi.nlm.nih.gov/nuccore/CP000304.1?report=graph&amp;tracks=[key:gene_model_track,Options:GeneOnly]&amp;mk=3779575:3779594|offset_9|444444,3779602:3779621|offset_36|444444,3779673:3779692|offset_107|444444,3779697:3779716|offset_131|00cc00&amp;v=3779374:3779916&amp;c=444444", "offset 131")</f>
        <v>offset 131</v>
      </c>
    </row>
    <row r="13349" customFormat="false" ht="12.8" hidden="false" customHeight="false" outlineLevel="0" collapsed="false">
      <c r="A13349" s="0" t="s">
        <v>12</v>
      </c>
      <c r="B13349" s="0" t="n">
        <v>3780972</v>
      </c>
      <c r="C13349" s="0" t="n">
        <v>3780992</v>
      </c>
      <c r="D13349" s="0" t="s">
        <v>44475</v>
      </c>
      <c r="E13349" s="0" t="s">
        <v>89</v>
      </c>
      <c r="F13349" s="0" t="s">
        <v>15</v>
      </c>
      <c r="G13349" s="0" t="s">
        <v>36</v>
      </c>
      <c r="H13349" s="0" t="n">
        <v>53</v>
      </c>
      <c r="I13349" s="0" t="s">
        <v>44476</v>
      </c>
      <c r="J13349" s="0" t="s">
        <v>44477</v>
      </c>
      <c r="K13349" s="0" t="s">
        <v>44478</v>
      </c>
      <c r="L13349" s="0" t="str">
        <f aca="false">HYPERLINK("https://www.ncbi.nlm.nih.gov/nuccore/CP000304.1?report=graph&amp;tracks=[key:gene_model_track,Options:GeneOnly]&amp;mk=3780973:3780992|offset_53|00cc00,3781014:3781033|offset_94|444444,3781037:3781056|offset_117|444444,3781076:3781095|offset_156|444444&amp;v=3780772:3781295&amp;c=444444", "offset 53")</f>
        <v>offset 53</v>
      </c>
    </row>
    <row r="13350" customFormat="false" ht="12.8" hidden="false" customHeight="false" outlineLevel="0" collapsed="false">
      <c r="A13350" s="0" t="s">
        <v>12</v>
      </c>
      <c r="B13350" s="0" t="n">
        <v>3781013</v>
      </c>
      <c r="C13350" s="0" t="n">
        <v>3781033</v>
      </c>
      <c r="D13350" s="0" t="s">
        <v>44475</v>
      </c>
      <c r="E13350" s="0" t="s">
        <v>89</v>
      </c>
      <c r="F13350" s="0" t="s">
        <v>15</v>
      </c>
      <c r="G13350" s="0" t="s">
        <v>16</v>
      </c>
      <c r="H13350" s="0" t="n">
        <v>94</v>
      </c>
      <c r="I13350" s="0" t="s">
        <v>44479</v>
      </c>
      <c r="J13350" s="0" t="s">
        <v>44480</v>
      </c>
      <c r="K13350" s="0" t="s">
        <v>44481</v>
      </c>
      <c r="L13350" s="0" t="str">
        <f aca="false">HYPERLINK("https://www.ncbi.nlm.nih.gov/nuccore/CP000304.1?report=graph&amp;tracks=[key:gene_model_track,Options:GeneOnly]&amp;mk=3780973:3780992|offset_53|444444,3781014:3781033|offset_94|00cc00,3781037:3781056|offset_117|444444,3781076:3781095|offset_156|444444&amp;v=3780772:3781295&amp;c=444444", "offset 94")</f>
        <v>offset 94</v>
      </c>
    </row>
    <row r="13351" customFormat="false" ht="12.8" hidden="false" customHeight="false" outlineLevel="0" collapsed="false">
      <c r="A13351" s="0" t="s">
        <v>12</v>
      </c>
      <c r="B13351" s="0" t="n">
        <v>3781036</v>
      </c>
      <c r="C13351" s="0" t="n">
        <v>3781056</v>
      </c>
      <c r="D13351" s="0" t="s">
        <v>44475</v>
      </c>
      <c r="E13351" s="0" t="s">
        <v>89</v>
      </c>
      <c r="F13351" s="0" t="s">
        <v>15</v>
      </c>
      <c r="G13351" s="0" t="s">
        <v>26</v>
      </c>
      <c r="H13351" s="0" t="n">
        <v>117</v>
      </c>
      <c r="I13351" s="0" t="s">
        <v>44482</v>
      </c>
      <c r="J13351" s="0" t="s">
        <v>44483</v>
      </c>
      <c r="K13351" s="0" t="s">
        <v>44484</v>
      </c>
      <c r="L13351" s="0" t="str">
        <f aca="false">HYPERLINK("https://www.ncbi.nlm.nih.gov/nuccore/CP000304.1?report=graph&amp;tracks=[key:gene_model_track,Options:GeneOnly]&amp;mk=3780973:3780992|offset_53|444444,3781014:3781033|offset_94|444444,3781037:3781056|offset_117|00cc00,3781076:3781095|offset_156|444444&amp;v=3780772:3781295&amp;c=444444", "offset 117")</f>
        <v>offset 117</v>
      </c>
    </row>
    <row r="13352" customFormat="false" ht="12.8" hidden="false" customHeight="false" outlineLevel="0" collapsed="false">
      <c r="A13352" s="0" t="s">
        <v>12</v>
      </c>
      <c r="B13352" s="0" t="n">
        <v>3781075</v>
      </c>
      <c r="C13352" s="0" t="n">
        <v>3781095</v>
      </c>
      <c r="D13352" s="0" t="s">
        <v>44475</v>
      </c>
      <c r="E13352" s="0" t="s">
        <v>89</v>
      </c>
      <c r="F13352" s="0" t="s">
        <v>15</v>
      </c>
      <c r="G13352" s="0" t="s">
        <v>16</v>
      </c>
      <c r="H13352" s="0" t="n">
        <v>156</v>
      </c>
      <c r="I13352" s="0" t="s">
        <v>44485</v>
      </c>
      <c r="J13352" s="0" t="s">
        <v>44486</v>
      </c>
      <c r="K13352" s="0" t="s">
        <v>44487</v>
      </c>
      <c r="L13352" s="0" t="str">
        <f aca="false">HYPERLINK("https://www.ncbi.nlm.nih.gov/nuccore/CP000304.1?report=graph&amp;tracks=[key:gene_model_track,Options:GeneOnly]&amp;mk=3780973:3780992|offset_53|444444,3781014:3781033|offset_94|444444,3781037:3781056|offset_117|444444,3781076:3781095|offset_156|00cc00&amp;v=3780772:3781295&amp;c=444444", "offset 156")</f>
        <v>offset 156</v>
      </c>
    </row>
    <row r="13353" customFormat="false" ht="12.8" hidden="false" customHeight="false" outlineLevel="0" collapsed="false">
      <c r="A13353" s="0" t="s">
        <v>12</v>
      </c>
      <c r="B13353" s="0" t="n">
        <v>3782487</v>
      </c>
      <c r="C13353" s="0" t="n">
        <v>3782507</v>
      </c>
      <c r="D13353" s="0" t="s">
        <v>44488</v>
      </c>
      <c r="E13353" s="0" t="s">
        <v>44489</v>
      </c>
      <c r="F13353" s="0" t="s">
        <v>90</v>
      </c>
      <c r="G13353" s="0" t="s">
        <v>16</v>
      </c>
      <c r="H13353" s="0" t="n">
        <v>18</v>
      </c>
      <c r="I13353" s="0" t="s">
        <v>44490</v>
      </c>
      <c r="J13353" s="0" t="s">
        <v>44491</v>
      </c>
      <c r="K13353" s="0" t="s">
        <v>44492</v>
      </c>
      <c r="L13353" s="0" t="str">
        <f aca="false">HYPERLINK("https://www.ncbi.nlm.nih.gov/nuccore/CP000304.1?report=graph&amp;tracks=[key:gene_model_track,Options:GeneOnly]&amp;mk=3782488:3782507|offset_18|00cc00,3782444:3782463|offset_62|444444,3782388:3782407|offset_118|444444,3782364:3782383|offset_142|444444&amp;v=3782287:3782583&amp;c=444444", "offset 18")</f>
        <v>offset 18</v>
      </c>
    </row>
    <row r="13354" customFormat="false" ht="12.8" hidden="false" customHeight="false" outlineLevel="0" collapsed="false">
      <c r="A13354" s="0" t="s">
        <v>12</v>
      </c>
      <c r="B13354" s="0" t="n">
        <v>3782443</v>
      </c>
      <c r="C13354" s="0" t="n">
        <v>3782463</v>
      </c>
      <c r="D13354" s="0" t="s">
        <v>44488</v>
      </c>
      <c r="E13354" s="0" t="s">
        <v>44489</v>
      </c>
      <c r="F13354" s="0" t="s">
        <v>90</v>
      </c>
      <c r="G13354" s="0" t="s">
        <v>36</v>
      </c>
      <c r="H13354" s="0" t="n">
        <v>62</v>
      </c>
      <c r="I13354" s="0" t="s">
        <v>44493</v>
      </c>
      <c r="J13354" s="0" t="s">
        <v>44494</v>
      </c>
      <c r="K13354" s="0" t="s">
        <v>44495</v>
      </c>
      <c r="L13354" s="0" t="str">
        <f aca="false">HYPERLINK("https://www.ncbi.nlm.nih.gov/nuccore/CP000304.1?report=graph&amp;tracks=[key:gene_model_track,Options:GeneOnly]&amp;mk=3782488:3782507|offset_18|444444,3782444:3782463|offset_62|00cc00,3782388:3782407|offset_118|444444,3782364:3782383|offset_142|444444&amp;v=3782287:3782583&amp;c=444444", "offset 62")</f>
        <v>offset 62</v>
      </c>
    </row>
    <row r="13355" customFormat="false" ht="12.8" hidden="false" customHeight="false" outlineLevel="0" collapsed="false">
      <c r="A13355" s="0" t="s">
        <v>12</v>
      </c>
      <c r="B13355" s="0" t="n">
        <v>3782387</v>
      </c>
      <c r="C13355" s="0" t="n">
        <v>3782407</v>
      </c>
      <c r="D13355" s="0" t="s">
        <v>44488</v>
      </c>
      <c r="E13355" s="0" t="s">
        <v>44489</v>
      </c>
      <c r="F13355" s="0" t="s">
        <v>90</v>
      </c>
      <c r="G13355" s="0" t="s">
        <v>16</v>
      </c>
      <c r="H13355" s="0" t="n">
        <v>118</v>
      </c>
      <c r="I13355" s="0" t="s">
        <v>44496</v>
      </c>
      <c r="J13355" s="0" t="s">
        <v>44497</v>
      </c>
      <c r="K13355" s="0" t="s">
        <v>44498</v>
      </c>
      <c r="L13355" s="0" t="str">
        <f aca="false">HYPERLINK("https://www.ncbi.nlm.nih.gov/nuccore/CP000304.1?report=graph&amp;tracks=[key:gene_model_track,Options:GeneOnly]&amp;mk=3782488:3782507|offset_18|444444,3782444:3782463|offset_62|444444,3782388:3782407|offset_118|00cc00,3782364:3782383|offset_142|444444&amp;v=3782287:3782583&amp;c=444444", "offset 118")</f>
        <v>offset 118</v>
      </c>
    </row>
    <row r="13356" customFormat="false" ht="12.8" hidden="false" customHeight="false" outlineLevel="0" collapsed="false">
      <c r="A13356" s="0" t="s">
        <v>12</v>
      </c>
      <c r="B13356" s="0" t="n">
        <v>3782363</v>
      </c>
      <c r="C13356" s="0" t="n">
        <v>3782383</v>
      </c>
      <c r="D13356" s="0" t="s">
        <v>44488</v>
      </c>
      <c r="E13356" s="0" t="s">
        <v>44489</v>
      </c>
      <c r="F13356" s="0" t="s">
        <v>90</v>
      </c>
      <c r="G13356" s="0" t="s">
        <v>32</v>
      </c>
      <c r="H13356" s="0" t="n">
        <v>142</v>
      </c>
      <c r="I13356" s="0" t="s">
        <v>44499</v>
      </c>
      <c r="J13356" s="0" t="s">
        <v>44500</v>
      </c>
      <c r="K13356" s="0" t="s">
        <v>44501</v>
      </c>
      <c r="L13356" s="0" t="str">
        <f aca="false">HYPERLINK("https://www.ncbi.nlm.nih.gov/nuccore/CP000304.1?report=graph&amp;tracks=[key:gene_model_track,Options:GeneOnly]&amp;mk=3782488:3782507|offset_18|444444,3782444:3782463|offset_62|444444,3782388:3782407|offset_118|444444,3782364:3782383|offset_142|00cc00&amp;v=3782287:3782583&amp;c=444444", "offset 142")</f>
        <v>offset 142</v>
      </c>
    </row>
    <row r="13357" customFormat="false" ht="12.8" hidden="false" customHeight="false" outlineLevel="0" collapsed="false">
      <c r="A13357" s="0" t="s">
        <v>12</v>
      </c>
      <c r="B13357" s="0" t="n">
        <v>3783549</v>
      </c>
      <c r="C13357" s="0" t="n">
        <v>3783569</v>
      </c>
      <c r="D13357" s="0" t="s">
        <v>44502</v>
      </c>
      <c r="E13357" s="0" t="s">
        <v>89</v>
      </c>
      <c r="F13357" s="0" t="s">
        <v>90</v>
      </c>
      <c r="G13357" s="0" t="s">
        <v>16</v>
      </c>
      <c r="H13357" s="0" t="n">
        <v>7</v>
      </c>
      <c r="I13357" s="0" t="s">
        <v>44503</v>
      </c>
      <c r="J13357" s="0" t="s">
        <v>44504</v>
      </c>
      <c r="K13357" s="0" t="s">
        <v>44505</v>
      </c>
      <c r="L13357" s="0" t="str">
        <f aca="false">HYPERLINK("https://www.ncbi.nlm.nih.gov/nuccore/CP000304.1?report=graph&amp;tracks=[key:gene_model_track,Options:GeneOnly]&amp;mk=3783550:3783569|offset_7|00cc00,3783530:3783549|offset_27|444444,3783495:3783514|offset_62|444444,3783420:3783439|offset_137|444444&amp;v=3783349:3783639&amp;c=444444", "offset 7")</f>
        <v>offset 7</v>
      </c>
    </row>
    <row r="13358" customFormat="false" ht="12.8" hidden="false" customHeight="false" outlineLevel="0" collapsed="false">
      <c r="A13358" s="0" t="s">
        <v>12</v>
      </c>
      <c r="B13358" s="0" t="n">
        <v>3783529</v>
      </c>
      <c r="C13358" s="0" t="n">
        <v>3783549</v>
      </c>
      <c r="D13358" s="0" t="s">
        <v>44502</v>
      </c>
      <c r="E13358" s="0" t="s">
        <v>89</v>
      </c>
      <c r="F13358" s="0" t="s">
        <v>90</v>
      </c>
      <c r="G13358" s="0" t="s">
        <v>16</v>
      </c>
      <c r="H13358" s="0" t="n">
        <v>27</v>
      </c>
      <c r="I13358" s="0" t="s">
        <v>44506</v>
      </c>
      <c r="J13358" s="0" t="s">
        <v>44507</v>
      </c>
      <c r="K13358" s="0" t="s">
        <v>44508</v>
      </c>
      <c r="L13358" s="0" t="str">
        <f aca="false">HYPERLINK("https://www.ncbi.nlm.nih.gov/nuccore/CP000304.1?report=graph&amp;tracks=[key:gene_model_track,Options:GeneOnly]&amp;mk=3783550:3783569|offset_7|444444,3783530:3783549|offset_27|00cc00,3783495:3783514|offset_62|444444,3783420:3783439|offset_137|444444&amp;v=3783349:3783639&amp;c=444444", "offset 27")</f>
        <v>offset 27</v>
      </c>
    </row>
    <row r="13359" customFormat="false" ht="12.8" hidden="false" customHeight="false" outlineLevel="0" collapsed="false">
      <c r="A13359" s="0" t="s">
        <v>12</v>
      </c>
      <c r="B13359" s="0" t="n">
        <v>3783494</v>
      </c>
      <c r="C13359" s="0" t="n">
        <v>3783514</v>
      </c>
      <c r="D13359" s="0" t="s">
        <v>44502</v>
      </c>
      <c r="E13359" s="0" t="s">
        <v>89</v>
      </c>
      <c r="F13359" s="0" t="s">
        <v>90</v>
      </c>
      <c r="G13359" s="0" t="s">
        <v>36</v>
      </c>
      <c r="H13359" s="0" t="n">
        <v>62</v>
      </c>
      <c r="I13359" s="0" t="s">
        <v>44509</v>
      </c>
      <c r="J13359" s="0" t="s">
        <v>44510</v>
      </c>
      <c r="K13359" s="0" t="s">
        <v>44511</v>
      </c>
      <c r="L13359" s="0" t="str">
        <f aca="false">HYPERLINK("https://www.ncbi.nlm.nih.gov/nuccore/CP000304.1?report=graph&amp;tracks=[key:gene_model_track,Options:GeneOnly]&amp;mk=3783550:3783569|offset_7|444444,3783530:3783549|offset_27|444444,3783495:3783514|offset_62|00cc00,3783420:3783439|offset_137|444444&amp;v=3783349:3783639&amp;c=444444", "offset 62")</f>
        <v>offset 62</v>
      </c>
    </row>
    <row r="13360" customFormat="false" ht="12.8" hidden="false" customHeight="false" outlineLevel="0" collapsed="false">
      <c r="A13360" s="0" t="s">
        <v>12</v>
      </c>
      <c r="B13360" s="0" t="n">
        <v>3783419</v>
      </c>
      <c r="C13360" s="0" t="n">
        <v>3783439</v>
      </c>
      <c r="D13360" s="0" t="s">
        <v>44502</v>
      </c>
      <c r="E13360" s="0" t="s">
        <v>89</v>
      </c>
      <c r="F13360" s="0" t="s">
        <v>90</v>
      </c>
      <c r="G13360" s="0" t="s">
        <v>32</v>
      </c>
      <c r="H13360" s="0" t="n">
        <v>137</v>
      </c>
      <c r="I13360" s="0" t="s">
        <v>44512</v>
      </c>
      <c r="J13360" s="0" t="s">
        <v>44513</v>
      </c>
      <c r="K13360" s="0" t="s">
        <v>44514</v>
      </c>
      <c r="L13360" s="0" t="str">
        <f aca="false">HYPERLINK("https://www.ncbi.nlm.nih.gov/nuccore/CP000304.1?report=graph&amp;tracks=[key:gene_model_track,Options:GeneOnly]&amp;mk=3783550:3783569|offset_7|444444,3783530:3783549|offset_27|444444,3783495:3783514|offset_62|444444,3783420:3783439|offset_137|00cc00&amp;v=3783349:3783639&amp;c=444444", "offset 137")</f>
        <v>offset 137</v>
      </c>
    </row>
    <row r="13361" customFormat="false" ht="12.8" hidden="false" customHeight="false" outlineLevel="0" collapsed="false">
      <c r="A13361" s="0" t="s">
        <v>12</v>
      </c>
      <c r="B13361" s="0" t="n">
        <v>3785196</v>
      </c>
      <c r="C13361" s="0" t="n">
        <v>3785216</v>
      </c>
      <c r="D13361" s="0" t="s">
        <v>44515</v>
      </c>
      <c r="E13361" s="0" t="s">
        <v>89</v>
      </c>
      <c r="F13361" s="0" t="s">
        <v>90</v>
      </c>
      <c r="G13361" s="0" t="s">
        <v>32</v>
      </c>
      <c r="H13361" s="0" t="n">
        <v>1</v>
      </c>
      <c r="I13361" s="0" t="s">
        <v>44516</v>
      </c>
      <c r="J13361" s="0" t="s">
        <v>44517</v>
      </c>
      <c r="K13361" s="0" t="s">
        <v>44518</v>
      </c>
      <c r="L13361" s="0" t="str">
        <f aca="false">HYPERLINK("https://www.ncbi.nlm.nih.gov/nuccore/CP000304.1?report=graph&amp;tracks=[key:gene_model_track,Options:GeneOnly]&amp;mk=3785197:3785216|offset_1|00cc00,3785173:3785192|offset_25|444444,3785144:3785163|offset_54|444444,3785120:3785139|offset_78|444444&amp;v=3784996:3785339&amp;c=444444", "offset 1")</f>
        <v>offset 1</v>
      </c>
    </row>
    <row r="13362" customFormat="false" ht="12.8" hidden="false" customHeight="false" outlineLevel="0" collapsed="false">
      <c r="A13362" s="0" t="s">
        <v>12</v>
      </c>
      <c r="B13362" s="0" t="n">
        <v>3785172</v>
      </c>
      <c r="C13362" s="0" t="n">
        <v>3785192</v>
      </c>
      <c r="D13362" s="0" t="s">
        <v>44515</v>
      </c>
      <c r="E13362" s="0" t="s">
        <v>89</v>
      </c>
      <c r="F13362" s="0" t="s">
        <v>90</v>
      </c>
      <c r="G13362" s="0" t="s">
        <v>16</v>
      </c>
      <c r="H13362" s="0" t="n">
        <v>25</v>
      </c>
      <c r="I13362" s="0" t="s">
        <v>44519</v>
      </c>
      <c r="J13362" s="0" t="s">
        <v>44520</v>
      </c>
      <c r="K13362" s="0" t="s">
        <v>44521</v>
      </c>
      <c r="L13362" s="0" t="str">
        <f aca="false">HYPERLINK("https://www.ncbi.nlm.nih.gov/nuccore/CP000304.1?report=graph&amp;tracks=[key:gene_model_track,Options:GeneOnly]&amp;mk=3785197:3785216|offset_1|444444,3785173:3785192|offset_25|00cc00,3785144:3785163|offset_54|444444,3785120:3785139|offset_78|444444&amp;v=3784996:3785339&amp;c=444444", "offset 25")</f>
        <v>offset 25</v>
      </c>
    </row>
    <row r="13363" customFormat="false" ht="12.8" hidden="false" customHeight="false" outlineLevel="0" collapsed="false">
      <c r="A13363" s="0" t="s">
        <v>12</v>
      </c>
      <c r="B13363" s="0" t="n">
        <v>3785143</v>
      </c>
      <c r="C13363" s="0" t="n">
        <v>3785163</v>
      </c>
      <c r="D13363" s="0" t="s">
        <v>44515</v>
      </c>
      <c r="E13363" s="0" t="s">
        <v>89</v>
      </c>
      <c r="F13363" s="0" t="s">
        <v>90</v>
      </c>
      <c r="G13363" s="0" t="s">
        <v>36</v>
      </c>
      <c r="H13363" s="0" t="n">
        <v>54</v>
      </c>
      <c r="I13363" s="0" t="s">
        <v>44522</v>
      </c>
      <c r="J13363" s="0" t="s">
        <v>44523</v>
      </c>
      <c r="K13363" s="0" t="s">
        <v>44524</v>
      </c>
      <c r="L13363" s="0" t="str">
        <f aca="false">HYPERLINK("https://www.ncbi.nlm.nih.gov/nuccore/CP000304.1?report=graph&amp;tracks=[key:gene_model_track,Options:GeneOnly]&amp;mk=3785197:3785216|offset_1|444444,3785173:3785192|offset_25|444444,3785144:3785163|offset_54|00cc00,3785120:3785139|offset_78|444444&amp;v=3784996:3785339&amp;c=444444", "offset 54")</f>
        <v>offset 54</v>
      </c>
    </row>
    <row r="13364" customFormat="false" ht="12.8" hidden="false" customHeight="false" outlineLevel="0" collapsed="false">
      <c r="A13364" s="0" t="s">
        <v>12</v>
      </c>
      <c r="B13364" s="0" t="n">
        <v>3785119</v>
      </c>
      <c r="C13364" s="0" t="n">
        <v>3785139</v>
      </c>
      <c r="D13364" s="0" t="s">
        <v>44515</v>
      </c>
      <c r="E13364" s="0" t="s">
        <v>89</v>
      </c>
      <c r="F13364" s="0" t="s">
        <v>90</v>
      </c>
      <c r="G13364" s="0" t="s">
        <v>16</v>
      </c>
      <c r="H13364" s="0" t="n">
        <v>78</v>
      </c>
      <c r="I13364" s="0" t="s">
        <v>44525</v>
      </c>
      <c r="J13364" s="0" t="s">
        <v>44526</v>
      </c>
      <c r="K13364" s="0" t="s">
        <v>44527</v>
      </c>
      <c r="L13364" s="0" t="str">
        <f aca="false">HYPERLINK("https://www.ncbi.nlm.nih.gov/nuccore/CP000304.1?report=graph&amp;tracks=[key:gene_model_track,Options:GeneOnly]&amp;mk=3785197:3785216|offset_1|444444,3785173:3785192|offset_25|444444,3785144:3785163|offset_54|444444,3785120:3785139|offset_78|00cc00&amp;v=3784996:3785339&amp;c=444444", "offset 78")</f>
        <v>offset 78</v>
      </c>
    </row>
    <row r="13365" customFormat="false" ht="12.8" hidden="false" customHeight="false" outlineLevel="0" collapsed="false">
      <c r="A13365" s="0" t="s">
        <v>12</v>
      </c>
      <c r="B13365" s="0" t="n">
        <v>3785990</v>
      </c>
      <c r="C13365" s="0" t="n">
        <v>3786010</v>
      </c>
      <c r="D13365" s="0" t="s">
        <v>44528</v>
      </c>
      <c r="E13365" s="0" t="s">
        <v>44529</v>
      </c>
      <c r="F13365" s="0" t="s">
        <v>90</v>
      </c>
      <c r="G13365" s="0" t="s">
        <v>36</v>
      </c>
      <c r="H13365" s="0" t="n">
        <v>13</v>
      </c>
      <c r="I13365" s="0" t="s">
        <v>44530</v>
      </c>
      <c r="J13365" s="0" t="s">
        <v>44531</v>
      </c>
      <c r="K13365" s="0" t="s">
        <v>44532</v>
      </c>
      <c r="L13365" s="0" t="str">
        <f aca="false">HYPERLINK("https://www.ncbi.nlm.nih.gov/nuccore/CP000304.1?report=graph&amp;tracks=[key:gene_model_track,Options:GeneOnly]&amp;mk=3785991:3786010|offset_13|00cc00,3785967:3785986|offset_37|444444,3785921:3785940|offset_83|444444,3785885:3785904|offset_119|444444&amp;v=3785790:3786104&amp;c=444444", "offset 13")</f>
        <v>offset 13</v>
      </c>
    </row>
    <row r="13366" customFormat="false" ht="12.8" hidden="false" customHeight="false" outlineLevel="0" collapsed="false">
      <c r="A13366" s="0" t="s">
        <v>12</v>
      </c>
      <c r="B13366" s="0" t="n">
        <v>3785966</v>
      </c>
      <c r="C13366" s="0" t="n">
        <v>3785986</v>
      </c>
      <c r="D13366" s="0" t="s">
        <v>44528</v>
      </c>
      <c r="E13366" s="0" t="s">
        <v>44529</v>
      </c>
      <c r="F13366" s="0" t="s">
        <v>90</v>
      </c>
      <c r="G13366" s="0" t="s">
        <v>16</v>
      </c>
      <c r="H13366" s="0" t="n">
        <v>37</v>
      </c>
      <c r="I13366" s="0" t="s">
        <v>44533</v>
      </c>
      <c r="J13366" s="0" t="s">
        <v>44534</v>
      </c>
      <c r="K13366" s="0" t="s">
        <v>44535</v>
      </c>
      <c r="L13366" s="0" t="str">
        <f aca="false">HYPERLINK("https://www.ncbi.nlm.nih.gov/nuccore/CP000304.1?report=graph&amp;tracks=[key:gene_model_track,Options:GeneOnly]&amp;mk=3785991:3786010|offset_13|444444,3785967:3785986|offset_37|00cc00,3785921:3785940|offset_83|444444,3785885:3785904|offset_119|444444&amp;v=3785790:3786104&amp;c=444444", "offset 37")</f>
        <v>offset 37</v>
      </c>
    </row>
    <row r="13367" customFormat="false" ht="12.8" hidden="false" customHeight="false" outlineLevel="0" collapsed="false">
      <c r="A13367" s="0" t="s">
        <v>12</v>
      </c>
      <c r="B13367" s="0" t="n">
        <v>3785920</v>
      </c>
      <c r="C13367" s="0" t="n">
        <v>3785940</v>
      </c>
      <c r="D13367" s="0" t="s">
        <v>44528</v>
      </c>
      <c r="E13367" s="0" t="s">
        <v>44529</v>
      </c>
      <c r="F13367" s="0" t="s">
        <v>90</v>
      </c>
      <c r="G13367" s="0" t="s">
        <v>26</v>
      </c>
      <c r="H13367" s="0" t="n">
        <v>83</v>
      </c>
      <c r="I13367" s="0" t="s">
        <v>44536</v>
      </c>
      <c r="J13367" s="0" t="s">
        <v>44537</v>
      </c>
      <c r="K13367" s="0" t="s">
        <v>44538</v>
      </c>
      <c r="L13367" s="0" t="str">
        <f aca="false">HYPERLINK("https://www.ncbi.nlm.nih.gov/nuccore/CP000304.1?report=graph&amp;tracks=[key:gene_model_track,Options:GeneOnly]&amp;mk=3785991:3786010|offset_13|444444,3785967:3785986|offset_37|444444,3785921:3785940|offset_83|00cc00,3785885:3785904|offset_119|444444&amp;v=3785790:3786104&amp;c=444444", "offset 83")</f>
        <v>offset 83</v>
      </c>
    </row>
    <row r="13368" customFormat="false" ht="12.8" hidden="false" customHeight="false" outlineLevel="0" collapsed="false">
      <c r="A13368" s="0" t="s">
        <v>12</v>
      </c>
      <c r="B13368" s="0" t="n">
        <v>3785884</v>
      </c>
      <c r="C13368" s="0" t="n">
        <v>3785904</v>
      </c>
      <c r="D13368" s="0" t="s">
        <v>44528</v>
      </c>
      <c r="E13368" s="0" t="s">
        <v>44529</v>
      </c>
      <c r="F13368" s="0" t="s">
        <v>90</v>
      </c>
      <c r="G13368" s="0" t="s">
        <v>26</v>
      </c>
      <c r="H13368" s="0" t="n">
        <v>119</v>
      </c>
      <c r="I13368" s="0" t="s">
        <v>44539</v>
      </c>
      <c r="J13368" s="0" t="s">
        <v>44540</v>
      </c>
      <c r="K13368" s="0" t="s">
        <v>44541</v>
      </c>
      <c r="L13368" s="0" t="str">
        <f aca="false">HYPERLINK("https://www.ncbi.nlm.nih.gov/nuccore/CP000304.1?report=graph&amp;tracks=[key:gene_model_track,Options:GeneOnly]&amp;mk=3785991:3786010|offset_13|444444,3785967:3785986|offset_37|444444,3785921:3785940|offset_83|444444,3785885:3785904|offset_119|00cc00&amp;v=3785790:3786104&amp;c=444444", "offset 119")</f>
        <v>offset 119</v>
      </c>
    </row>
    <row r="13369" customFormat="false" ht="12.8" hidden="false" customHeight="false" outlineLevel="0" collapsed="false">
      <c r="A13369" s="0" t="s">
        <v>12</v>
      </c>
      <c r="B13369" s="0" t="n">
        <v>3786708</v>
      </c>
      <c r="C13369" s="0" t="n">
        <v>3786728</v>
      </c>
      <c r="D13369" s="0" t="s">
        <v>44542</v>
      </c>
      <c r="E13369" s="0" t="s">
        <v>89</v>
      </c>
      <c r="F13369" s="0" t="s">
        <v>90</v>
      </c>
      <c r="G13369" s="0" t="s">
        <v>26</v>
      </c>
      <c r="H13369" s="0" t="n">
        <v>27</v>
      </c>
      <c r="I13369" s="0" t="s">
        <v>44543</v>
      </c>
      <c r="J13369" s="0" t="s">
        <v>44544</v>
      </c>
      <c r="K13369" s="0" t="s">
        <v>44545</v>
      </c>
      <c r="L13369" s="0" t="str">
        <f aca="false">HYPERLINK("https://www.ncbi.nlm.nih.gov/nuccore/CP000304.1?report=graph&amp;tracks=[key:gene_model_track,Options:GeneOnly]&amp;mk=3786709:3786728|offset_27|00cc00,3786675:3786694|offset_61|444444,3786633:3786652|offset_103|444444,3786578:3786597|offset_158|444444&amp;v=3786508:3786797&amp;c=444444", "offset 27")</f>
        <v>offset 27</v>
      </c>
    </row>
    <row r="13370" customFormat="false" ht="12.8" hidden="false" customHeight="false" outlineLevel="0" collapsed="false">
      <c r="A13370" s="0" t="s">
        <v>12</v>
      </c>
      <c r="B13370" s="0" t="n">
        <v>3786674</v>
      </c>
      <c r="C13370" s="0" t="n">
        <v>3786694</v>
      </c>
      <c r="D13370" s="0" t="s">
        <v>44542</v>
      </c>
      <c r="E13370" s="0" t="s">
        <v>89</v>
      </c>
      <c r="F13370" s="0" t="s">
        <v>90</v>
      </c>
      <c r="G13370" s="0" t="s">
        <v>16</v>
      </c>
      <c r="H13370" s="0" t="n">
        <v>61</v>
      </c>
      <c r="I13370" s="0" t="s">
        <v>44546</v>
      </c>
      <c r="J13370" s="0" t="s">
        <v>44547</v>
      </c>
      <c r="K13370" s="0" t="s">
        <v>44548</v>
      </c>
      <c r="L13370" s="0" t="str">
        <f aca="false">HYPERLINK("https://www.ncbi.nlm.nih.gov/nuccore/CP000304.1?report=graph&amp;tracks=[key:gene_model_track,Options:GeneOnly]&amp;mk=3786709:3786728|offset_27|444444,3786675:3786694|offset_61|00cc00,3786633:3786652|offset_103|444444,3786578:3786597|offset_158|444444&amp;v=3786508:3786797&amp;c=444444", "offset 61")</f>
        <v>offset 61</v>
      </c>
    </row>
    <row r="13371" customFormat="false" ht="12.8" hidden="false" customHeight="false" outlineLevel="0" collapsed="false">
      <c r="A13371" s="0" t="s">
        <v>12</v>
      </c>
      <c r="B13371" s="0" t="n">
        <v>3786632</v>
      </c>
      <c r="C13371" s="0" t="n">
        <v>3786652</v>
      </c>
      <c r="D13371" s="0" t="s">
        <v>44542</v>
      </c>
      <c r="E13371" s="0" t="s">
        <v>89</v>
      </c>
      <c r="F13371" s="0" t="s">
        <v>90</v>
      </c>
      <c r="G13371" s="0" t="s">
        <v>36</v>
      </c>
      <c r="H13371" s="0" t="n">
        <v>103</v>
      </c>
      <c r="I13371" s="0" t="s">
        <v>44549</v>
      </c>
      <c r="J13371" s="0" t="s">
        <v>44550</v>
      </c>
      <c r="K13371" s="0" t="s">
        <v>44551</v>
      </c>
      <c r="L13371" s="0" t="str">
        <f aca="false">HYPERLINK("https://www.ncbi.nlm.nih.gov/nuccore/CP000304.1?report=graph&amp;tracks=[key:gene_model_track,Options:GeneOnly]&amp;mk=3786709:3786728|offset_27|444444,3786675:3786694|offset_61|444444,3786633:3786652|offset_103|00cc00,3786578:3786597|offset_158|444444&amp;v=3786508:3786797&amp;c=444444", "offset 103")</f>
        <v>offset 103</v>
      </c>
    </row>
    <row r="13372" customFormat="false" ht="12.8" hidden="false" customHeight="false" outlineLevel="0" collapsed="false">
      <c r="A13372" s="0" t="s">
        <v>12</v>
      </c>
      <c r="B13372" s="0" t="n">
        <v>3786577</v>
      </c>
      <c r="C13372" s="0" t="n">
        <v>3786597</v>
      </c>
      <c r="D13372" s="0" t="s">
        <v>44542</v>
      </c>
      <c r="E13372" s="0" t="s">
        <v>89</v>
      </c>
      <c r="F13372" s="0" t="s">
        <v>90</v>
      </c>
      <c r="G13372" s="0" t="s">
        <v>16</v>
      </c>
      <c r="H13372" s="0" t="n">
        <v>158</v>
      </c>
      <c r="I13372" s="0" t="s">
        <v>44552</v>
      </c>
      <c r="J13372" s="0" t="s">
        <v>44553</v>
      </c>
      <c r="K13372" s="0" t="s">
        <v>44554</v>
      </c>
      <c r="L13372" s="0" t="str">
        <f aca="false">HYPERLINK("https://www.ncbi.nlm.nih.gov/nuccore/CP000304.1?report=graph&amp;tracks=[key:gene_model_track,Options:GeneOnly]&amp;mk=3786709:3786728|offset_27|444444,3786675:3786694|offset_61|444444,3786633:3786652|offset_103|444444,3786578:3786597|offset_158|00cc00&amp;v=3786508:3786797&amp;c=444444", "offset 158")</f>
        <v>offset 158</v>
      </c>
    </row>
    <row r="13373" customFormat="false" ht="12.8" hidden="false" customHeight="false" outlineLevel="0" collapsed="false">
      <c r="A13373" s="0" t="s">
        <v>12</v>
      </c>
      <c r="B13373" s="0" t="n">
        <v>3788182</v>
      </c>
      <c r="C13373" s="0" t="n">
        <v>3788202</v>
      </c>
      <c r="D13373" s="0" t="s">
        <v>44555</v>
      </c>
      <c r="E13373" s="0" t="s">
        <v>89</v>
      </c>
      <c r="F13373" s="0" t="s">
        <v>90</v>
      </c>
      <c r="G13373" s="0" t="s">
        <v>32</v>
      </c>
      <c r="H13373" s="0" t="n">
        <v>9</v>
      </c>
      <c r="I13373" s="0" t="s">
        <v>44556</v>
      </c>
      <c r="J13373" s="0" t="s">
        <v>44557</v>
      </c>
      <c r="K13373" s="0" t="s">
        <v>44558</v>
      </c>
      <c r="L13373" s="0" t="str">
        <f aca="false">HYPERLINK("https://www.ncbi.nlm.nih.gov/nuccore/CP000304.1?report=graph&amp;tracks=[key:gene_model_track,Options:GeneOnly]&amp;mk=3788183:3788202|offset_9|00cc00,3788161:3788180|offset_31|444444,3788111:3788130|offset_81|444444,3788086:3788105|offset_106|444444&amp;v=3787982:3788305&amp;c=444444", "offset 9")</f>
        <v>offset 9</v>
      </c>
    </row>
    <row r="13374" customFormat="false" ht="12.8" hidden="false" customHeight="false" outlineLevel="0" collapsed="false">
      <c r="A13374" s="0" t="s">
        <v>12</v>
      </c>
      <c r="B13374" s="0" t="n">
        <v>3788160</v>
      </c>
      <c r="C13374" s="0" t="n">
        <v>3788180</v>
      </c>
      <c r="D13374" s="0" t="s">
        <v>44555</v>
      </c>
      <c r="E13374" s="0" t="s">
        <v>89</v>
      </c>
      <c r="F13374" s="0" t="s">
        <v>90</v>
      </c>
      <c r="G13374" s="0" t="s">
        <v>36</v>
      </c>
      <c r="H13374" s="0" t="n">
        <v>31</v>
      </c>
      <c r="I13374" s="0" t="s">
        <v>44559</v>
      </c>
      <c r="J13374" s="0" t="s">
        <v>44560</v>
      </c>
      <c r="K13374" s="0" t="s">
        <v>44561</v>
      </c>
      <c r="L13374" s="0" t="str">
        <f aca="false">HYPERLINK("https://www.ncbi.nlm.nih.gov/nuccore/CP000304.1?report=graph&amp;tracks=[key:gene_model_track,Options:GeneOnly]&amp;mk=3788183:3788202|offset_9|444444,3788161:3788180|offset_31|00cc00,3788111:3788130|offset_81|444444,3788086:3788105|offset_106|444444&amp;v=3787982:3788305&amp;c=444444", "offset 31")</f>
        <v>offset 31</v>
      </c>
    </row>
    <row r="13375" customFormat="false" ht="12.8" hidden="false" customHeight="false" outlineLevel="0" collapsed="false">
      <c r="A13375" s="0" t="s">
        <v>12</v>
      </c>
      <c r="B13375" s="0" t="n">
        <v>3788110</v>
      </c>
      <c r="C13375" s="0" t="n">
        <v>3788130</v>
      </c>
      <c r="D13375" s="0" t="s">
        <v>44555</v>
      </c>
      <c r="E13375" s="0" t="s">
        <v>89</v>
      </c>
      <c r="F13375" s="0" t="s">
        <v>90</v>
      </c>
      <c r="G13375" s="0" t="s">
        <v>36</v>
      </c>
      <c r="H13375" s="0" t="n">
        <v>81</v>
      </c>
      <c r="I13375" s="0" t="s">
        <v>44562</v>
      </c>
      <c r="J13375" s="0" t="s">
        <v>44563</v>
      </c>
      <c r="K13375" s="0" t="s">
        <v>44564</v>
      </c>
      <c r="L13375" s="0" t="str">
        <f aca="false">HYPERLINK("https://www.ncbi.nlm.nih.gov/nuccore/CP000304.1?report=graph&amp;tracks=[key:gene_model_track,Options:GeneOnly]&amp;mk=3788183:3788202|offset_9|444444,3788161:3788180|offset_31|444444,3788111:3788130|offset_81|00cc00,3788086:3788105|offset_106|444444&amp;v=3787982:3788305&amp;c=444444", "offset 81")</f>
        <v>offset 81</v>
      </c>
    </row>
    <row r="13376" customFormat="false" ht="12.8" hidden="false" customHeight="false" outlineLevel="0" collapsed="false">
      <c r="A13376" s="0" t="s">
        <v>12</v>
      </c>
      <c r="B13376" s="0" t="n">
        <v>3788085</v>
      </c>
      <c r="C13376" s="0" t="n">
        <v>3788105</v>
      </c>
      <c r="D13376" s="0" t="s">
        <v>44555</v>
      </c>
      <c r="E13376" s="0" t="s">
        <v>89</v>
      </c>
      <c r="F13376" s="0" t="s">
        <v>90</v>
      </c>
      <c r="G13376" s="0" t="s">
        <v>16</v>
      </c>
      <c r="H13376" s="0" t="n">
        <v>106</v>
      </c>
      <c r="I13376" s="0" t="s">
        <v>44565</v>
      </c>
      <c r="J13376" s="0" t="s">
        <v>44566</v>
      </c>
      <c r="K13376" s="0" t="s">
        <v>44567</v>
      </c>
      <c r="L13376" s="0" t="str">
        <f aca="false">HYPERLINK("https://www.ncbi.nlm.nih.gov/nuccore/CP000304.1?report=graph&amp;tracks=[key:gene_model_track,Options:GeneOnly]&amp;mk=3788183:3788202|offset_9|444444,3788161:3788180|offset_31|444444,3788111:3788130|offset_81|444444,3788086:3788105|offset_106|00cc00&amp;v=3787982:3788305&amp;c=444444", "offset 106")</f>
        <v>offset 106</v>
      </c>
    </row>
    <row r="13377" customFormat="false" ht="12.8" hidden="false" customHeight="false" outlineLevel="0" collapsed="false">
      <c r="A13377" s="0" t="s">
        <v>12</v>
      </c>
      <c r="B13377" s="0" t="n">
        <v>3788460</v>
      </c>
      <c r="C13377" s="0" t="n">
        <v>3788480</v>
      </c>
      <c r="D13377" s="0" t="s">
        <v>44568</v>
      </c>
      <c r="E13377" s="0" t="s">
        <v>44569</v>
      </c>
      <c r="F13377" s="0" t="s">
        <v>15</v>
      </c>
      <c r="G13377" s="0" t="s">
        <v>16</v>
      </c>
      <c r="H13377" s="0" t="n">
        <v>7</v>
      </c>
      <c r="I13377" s="0" t="s">
        <v>44570</v>
      </c>
      <c r="J13377" s="0" t="s">
        <v>44571</v>
      </c>
      <c r="K13377" s="0" t="s">
        <v>44572</v>
      </c>
      <c r="L13377" s="0" t="str">
        <f aca="false">HYPERLINK("https://www.ncbi.nlm.nih.gov/nuccore/CP000304.1?report=graph&amp;tracks=[key:gene_model_track,Options:GeneOnly]&amp;mk=3788461:3788480|offset_7|00cc00,3788481:3788500|offset_27|444444,3788509:3788528|offset_55|444444,3788541:3788560|offset_87|444444&amp;v=3788260:3788760&amp;c=444444", "offset 7")</f>
        <v>offset 7</v>
      </c>
    </row>
    <row r="13378" customFormat="false" ht="12.8" hidden="false" customHeight="false" outlineLevel="0" collapsed="false">
      <c r="A13378" s="0" t="s">
        <v>12</v>
      </c>
      <c r="B13378" s="0" t="n">
        <v>3788480</v>
      </c>
      <c r="C13378" s="0" t="n">
        <v>3788500</v>
      </c>
      <c r="D13378" s="0" t="s">
        <v>44568</v>
      </c>
      <c r="E13378" s="0" t="s">
        <v>44569</v>
      </c>
      <c r="F13378" s="0" t="s">
        <v>15</v>
      </c>
      <c r="G13378" s="0" t="s">
        <v>26</v>
      </c>
      <c r="H13378" s="0" t="n">
        <v>27</v>
      </c>
      <c r="I13378" s="0" t="s">
        <v>44573</v>
      </c>
      <c r="J13378" s="0" t="s">
        <v>44574</v>
      </c>
      <c r="K13378" s="0" t="s">
        <v>44575</v>
      </c>
      <c r="L13378" s="0" t="str">
        <f aca="false">HYPERLINK("https://www.ncbi.nlm.nih.gov/nuccore/CP000304.1?report=graph&amp;tracks=[key:gene_model_track,Options:GeneOnly]&amp;mk=3788461:3788480|offset_7|444444,3788481:3788500|offset_27|00cc00,3788509:3788528|offset_55|444444,3788541:3788560|offset_87|444444&amp;v=3788260:3788760&amp;c=444444", "offset 27")</f>
        <v>offset 27</v>
      </c>
    </row>
    <row r="13379" customFormat="false" ht="12.8" hidden="false" customHeight="false" outlineLevel="0" collapsed="false">
      <c r="A13379" s="0" t="s">
        <v>12</v>
      </c>
      <c r="B13379" s="0" t="n">
        <v>3788508</v>
      </c>
      <c r="C13379" s="0" t="n">
        <v>3788528</v>
      </c>
      <c r="D13379" s="0" t="s">
        <v>44568</v>
      </c>
      <c r="E13379" s="0" t="s">
        <v>44569</v>
      </c>
      <c r="F13379" s="0" t="s">
        <v>15</v>
      </c>
      <c r="G13379" s="0" t="s">
        <v>16</v>
      </c>
      <c r="H13379" s="0" t="n">
        <v>55</v>
      </c>
      <c r="I13379" s="0" t="s">
        <v>44576</v>
      </c>
      <c r="J13379" s="0" t="s">
        <v>44577</v>
      </c>
      <c r="K13379" s="0" t="s">
        <v>44578</v>
      </c>
      <c r="L13379" s="0" t="str">
        <f aca="false">HYPERLINK("https://www.ncbi.nlm.nih.gov/nuccore/CP000304.1?report=graph&amp;tracks=[key:gene_model_track,Options:GeneOnly]&amp;mk=3788461:3788480|offset_7|444444,3788481:3788500|offset_27|444444,3788509:3788528|offset_55|00cc00,3788541:3788560|offset_87|444444&amp;v=3788260:3788760&amp;c=444444", "offset 55")</f>
        <v>offset 55</v>
      </c>
    </row>
    <row r="13380" customFormat="false" ht="12.8" hidden="false" customHeight="false" outlineLevel="0" collapsed="false">
      <c r="A13380" s="0" t="s">
        <v>12</v>
      </c>
      <c r="B13380" s="0" t="n">
        <v>3788540</v>
      </c>
      <c r="C13380" s="0" t="n">
        <v>3788560</v>
      </c>
      <c r="D13380" s="0" t="s">
        <v>44568</v>
      </c>
      <c r="E13380" s="0" t="s">
        <v>44569</v>
      </c>
      <c r="F13380" s="0" t="s">
        <v>15</v>
      </c>
      <c r="G13380" s="0" t="s">
        <v>16</v>
      </c>
      <c r="H13380" s="0" t="n">
        <v>87</v>
      </c>
      <c r="I13380" s="0" t="s">
        <v>44579</v>
      </c>
      <c r="J13380" s="0" t="s">
        <v>44580</v>
      </c>
      <c r="K13380" s="0" t="s">
        <v>44581</v>
      </c>
      <c r="L13380" s="0" t="str">
        <f aca="false">HYPERLINK("https://www.ncbi.nlm.nih.gov/nuccore/CP000304.1?report=graph&amp;tracks=[key:gene_model_track,Options:GeneOnly]&amp;mk=3788461:3788480|offset_7|444444,3788481:3788500|offset_27|444444,3788509:3788528|offset_55|444444,3788541:3788560|offset_87|00cc00&amp;v=3788260:3788760&amp;c=444444", "offset 87")</f>
        <v>offset 87</v>
      </c>
    </row>
    <row r="13381" customFormat="false" ht="12.8" hidden="false" customHeight="false" outlineLevel="0" collapsed="false">
      <c r="A13381" s="0" t="s">
        <v>12</v>
      </c>
      <c r="B13381" s="0" t="n">
        <v>3790286</v>
      </c>
      <c r="C13381" s="0" t="n">
        <v>3790306</v>
      </c>
      <c r="D13381" s="0" t="s">
        <v>44582</v>
      </c>
      <c r="E13381" s="0" t="s">
        <v>44583</v>
      </c>
      <c r="F13381" s="0" t="s">
        <v>90</v>
      </c>
      <c r="G13381" s="0" t="s">
        <v>32</v>
      </c>
      <c r="H13381" s="0" t="n">
        <v>37</v>
      </c>
      <c r="I13381" s="0" t="s">
        <v>44584</v>
      </c>
      <c r="J13381" s="0" t="s">
        <v>44585</v>
      </c>
      <c r="K13381" s="0" t="s">
        <v>44586</v>
      </c>
      <c r="L13381" s="0" t="str">
        <f aca="false">HYPERLINK("https://www.ncbi.nlm.nih.gov/nuccore/CP000304.1?report=graph&amp;tracks=[key:gene_model_track,Options:GeneOnly]&amp;mk=3790287:3790306|offset_37|00cc00,3790257:3790276|offset_67|444444,3790210:3790229|offset_114|444444,3790187:3790206|offset_137|444444&amp;v=3790086:3790406&amp;c=444444", "offset 37")</f>
        <v>offset 37</v>
      </c>
    </row>
    <row r="13382" customFormat="false" ht="12.8" hidden="false" customHeight="false" outlineLevel="0" collapsed="false">
      <c r="A13382" s="0" t="s">
        <v>12</v>
      </c>
      <c r="B13382" s="0" t="n">
        <v>3790256</v>
      </c>
      <c r="C13382" s="0" t="n">
        <v>3790276</v>
      </c>
      <c r="D13382" s="0" t="s">
        <v>44582</v>
      </c>
      <c r="E13382" s="0" t="s">
        <v>44583</v>
      </c>
      <c r="F13382" s="0" t="s">
        <v>90</v>
      </c>
      <c r="G13382" s="0" t="s">
        <v>36</v>
      </c>
      <c r="H13382" s="0" t="n">
        <v>67</v>
      </c>
      <c r="I13382" s="0" t="s">
        <v>44587</v>
      </c>
      <c r="J13382" s="0" t="s">
        <v>44588</v>
      </c>
      <c r="K13382" s="0" t="s">
        <v>44589</v>
      </c>
      <c r="L13382" s="0" t="str">
        <f aca="false">HYPERLINK("https://www.ncbi.nlm.nih.gov/nuccore/CP000304.1?report=graph&amp;tracks=[key:gene_model_track,Options:GeneOnly]&amp;mk=3790287:3790306|offset_37|444444,3790257:3790276|offset_67|00cc00,3790210:3790229|offset_114|444444,3790187:3790206|offset_137|444444&amp;v=3790086:3790406&amp;c=444444", "offset 67")</f>
        <v>offset 67</v>
      </c>
    </row>
    <row r="13383" customFormat="false" ht="12.8" hidden="false" customHeight="false" outlineLevel="0" collapsed="false">
      <c r="A13383" s="0" t="s">
        <v>12</v>
      </c>
      <c r="B13383" s="0" t="n">
        <v>3790209</v>
      </c>
      <c r="C13383" s="0" t="n">
        <v>3790229</v>
      </c>
      <c r="D13383" s="0" t="s">
        <v>44582</v>
      </c>
      <c r="E13383" s="0" t="s">
        <v>44583</v>
      </c>
      <c r="F13383" s="0" t="s">
        <v>90</v>
      </c>
      <c r="G13383" s="0" t="s">
        <v>36</v>
      </c>
      <c r="H13383" s="0" t="n">
        <v>114</v>
      </c>
      <c r="I13383" s="0" t="s">
        <v>44590</v>
      </c>
      <c r="J13383" s="0" t="s">
        <v>44591</v>
      </c>
      <c r="K13383" s="0" t="s">
        <v>44592</v>
      </c>
      <c r="L13383" s="0" t="str">
        <f aca="false">HYPERLINK("https://www.ncbi.nlm.nih.gov/nuccore/CP000304.1?report=graph&amp;tracks=[key:gene_model_track,Options:GeneOnly]&amp;mk=3790287:3790306|offset_37|444444,3790257:3790276|offset_67|444444,3790210:3790229|offset_114|00cc00,3790187:3790206|offset_137|444444&amp;v=3790086:3790406&amp;c=444444", "offset 114")</f>
        <v>offset 114</v>
      </c>
    </row>
    <row r="13384" customFormat="false" ht="12.8" hidden="false" customHeight="false" outlineLevel="0" collapsed="false">
      <c r="A13384" s="0" t="s">
        <v>12</v>
      </c>
      <c r="B13384" s="0" t="n">
        <v>3790186</v>
      </c>
      <c r="C13384" s="0" t="n">
        <v>3790206</v>
      </c>
      <c r="D13384" s="0" t="s">
        <v>44582</v>
      </c>
      <c r="E13384" s="0" t="s">
        <v>44583</v>
      </c>
      <c r="F13384" s="0" t="s">
        <v>90</v>
      </c>
      <c r="G13384" s="0" t="s">
        <v>26</v>
      </c>
      <c r="H13384" s="0" t="n">
        <v>137</v>
      </c>
      <c r="I13384" s="0" t="s">
        <v>44593</v>
      </c>
      <c r="J13384" s="0" t="s">
        <v>44594</v>
      </c>
      <c r="K13384" s="0" t="s">
        <v>44595</v>
      </c>
      <c r="L13384" s="0" t="str">
        <f aca="false">HYPERLINK("https://www.ncbi.nlm.nih.gov/nuccore/CP000304.1?report=graph&amp;tracks=[key:gene_model_track,Options:GeneOnly]&amp;mk=3790287:3790306|offset_37|444444,3790257:3790276|offset_67|444444,3790210:3790229|offset_114|444444,3790187:3790206|offset_137|00cc00&amp;v=3790086:3790406&amp;c=444444", "offset 137")</f>
        <v>offset 137</v>
      </c>
    </row>
    <row r="13385" customFormat="false" ht="12.8" hidden="false" customHeight="false" outlineLevel="0" collapsed="false">
      <c r="A13385" s="0" t="s">
        <v>12</v>
      </c>
      <c r="B13385" s="0" t="n">
        <v>3792137</v>
      </c>
      <c r="C13385" s="0" t="n">
        <v>3792157</v>
      </c>
      <c r="D13385" s="0" t="s">
        <v>44596</v>
      </c>
      <c r="E13385" s="0" t="s">
        <v>89</v>
      </c>
      <c r="F13385" s="0" t="s">
        <v>90</v>
      </c>
      <c r="G13385" s="0" t="s">
        <v>36</v>
      </c>
      <c r="H13385" s="0" t="n">
        <v>9</v>
      </c>
      <c r="I13385" s="0" t="s">
        <v>44597</v>
      </c>
      <c r="J13385" s="0" t="s">
        <v>44598</v>
      </c>
      <c r="K13385" s="0" t="s">
        <v>44599</v>
      </c>
      <c r="L13385" s="0" t="str">
        <f aca="false">HYPERLINK("https://www.ncbi.nlm.nih.gov/nuccore/CP000304.1?report=graph&amp;tracks=[key:gene_model_track,Options:GeneOnly]&amp;mk=3792138:3792157|offset_9|00cc00,3792097:3792116|offset_50|444444,3792071:3792090|offset_76|444444,3792038:3792057|offset_109|444444&amp;v=3791937:3792257&amp;c=444444", "offset 9")</f>
        <v>offset 9</v>
      </c>
    </row>
    <row r="13386" customFormat="false" ht="12.8" hidden="false" customHeight="false" outlineLevel="0" collapsed="false">
      <c r="A13386" s="0" t="s">
        <v>12</v>
      </c>
      <c r="B13386" s="0" t="n">
        <v>3792096</v>
      </c>
      <c r="C13386" s="0" t="n">
        <v>3792116</v>
      </c>
      <c r="D13386" s="0" t="s">
        <v>44596</v>
      </c>
      <c r="E13386" s="0" t="s">
        <v>89</v>
      </c>
      <c r="F13386" s="0" t="s">
        <v>90</v>
      </c>
      <c r="G13386" s="0" t="s">
        <v>16</v>
      </c>
      <c r="H13386" s="0" t="n">
        <v>50</v>
      </c>
      <c r="I13386" s="0" t="s">
        <v>44600</v>
      </c>
      <c r="J13386" s="0" t="s">
        <v>44601</v>
      </c>
      <c r="K13386" s="0" t="s">
        <v>44602</v>
      </c>
      <c r="L13386" s="0" t="str">
        <f aca="false">HYPERLINK("https://www.ncbi.nlm.nih.gov/nuccore/CP000304.1?report=graph&amp;tracks=[key:gene_model_track,Options:GeneOnly]&amp;mk=3792138:3792157|offset_9|444444,3792097:3792116|offset_50|00cc00,3792071:3792090|offset_76|444444,3792038:3792057|offset_109|444444&amp;v=3791937:3792257&amp;c=444444", "offset 50")</f>
        <v>offset 50</v>
      </c>
    </row>
    <row r="13387" customFormat="false" ht="12.8" hidden="false" customHeight="false" outlineLevel="0" collapsed="false">
      <c r="A13387" s="0" t="s">
        <v>12</v>
      </c>
      <c r="B13387" s="0" t="n">
        <v>3792070</v>
      </c>
      <c r="C13387" s="0" t="n">
        <v>3792090</v>
      </c>
      <c r="D13387" s="0" t="s">
        <v>44596</v>
      </c>
      <c r="E13387" s="0" t="s">
        <v>89</v>
      </c>
      <c r="F13387" s="0" t="s">
        <v>90</v>
      </c>
      <c r="G13387" s="0" t="s">
        <v>32</v>
      </c>
      <c r="H13387" s="0" t="n">
        <v>76</v>
      </c>
      <c r="I13387" s="0" t="s">
        <v>44603</v>
      </c>
      <c r="J13387" s="0" t="s">
        <v>44604</v>
      </c>
      <c r="K13387" s="0" t="s">
        <v>44605</v>
      </c>
      <c r="L13387" s="0" t="str">
        <f aca="false">HYPERLINK("https://www.ncbi.nlm.nih.gov/nuccore/CP000304.1?report=graph&amp;tracks=[key:gene_model_track,Options:GeneOnly]&amp;mk=3792138:3792157|offset_9|444444,3792097:3792116|offset_50|444444,3792071:3792090|offset_76|00cc00,3792038:3792057|offset_109|444444&amp;v=3791937:3792257&amp;c=444444", "offset 76")</f>
        <v>offset 76</v>
      </c>
    </row>
    <row r="13388" customFormat="false" ht="12.8" hidden="false" customHeight="false" outlineLevel="0" collapsed="false">
      <c r="A13388" s="0" t="s">
        <v>12</v>
      </c>
      <c r="B13388" s="0" t="n">
        <v>3792037</v>
      </c>
      <c r="C13388" s="0" t="n">
        <v>3792057</v>
      </c>
      <c r="D13388" s="0" t="s">
        <v>44596</v>
      </c>
      <c r="E13388" s="0" t="s">
        <v>89</v>
      </c>
      <c r="F13388" s="0" t="s">
        <v>90</v>
      </c>
      <c r="G13388" s="0" t="s">
        <v>36</v>
      </c>
      <c r="H13388" s="0" t="n">
        <v>109</v>
      </c>
      <c r="I13388" s="0" t="s">
        <v>44606</v>
      </c>
      <c r="J13388" s="0" t="s">
        <v>44607</v>
      </c>
      <c r="K13388" s="0" t="s">
        <v>44608</v>
      </c>
      <c r="L13388" s="0" t="str">
        <f aca="false">HYPERLINK("https://www.ncbi.nlm.nih.gov/nuccore/CP000304.1?report=graph&amp;tracks=[key:gene_model_track,Options:GeneOnly]&amp;mk=3792138:3792157|offset_9|444444,3792097:3792116|offset_50|444444,3792071:3792090|offset_76|444444,3792038:3792057|offset_109|00cc00&amp;v=3791937:3792257&amp;c=444444", "offset 109")</f>
        <v>offset 109</v>
      </c>
    </row>
    <row r="13389" customFormat="false" ht="12.8" hidden="false" customHeight="false" outlineLevel="0" collapsed="false">
      <c r="A13389" s="0" t="s">
        <v>12</v>
      </c>
      <c r="B13389" s="0" t="n">
        <v>3792621</v>
      </c>
      <c r="C13389" s="0" t="n">
        <v>3792641</v>
      </c>
      <c r="D13389" s="0" t="s">
        <v>44609</v>
      </c>
      <c r="E13389" s="0" t="s">
        <v>89</v>
      </c>
      <c r="F13389" s="0" t="s">
        <v>90</v>
      </c>
      <c r="G13389" s="0" t="s">
        <v>32</v>
      </c>
      <c r="H13389" s="0" t="n">
        <v>24</v>
      </c>
      <c r="I13389" s="0" t="s">
        <v>44610</v>
      </c>
      <c r="J13389" s="0" t="s">
        <v>44611</v>
      </c>
      <c r="K13389" s="0" t="s">
        <v>44612</v>
      </c>
      <c r="L13389" s="0" t="str">
        <f aca="false">HYPERLINK("https://www.ncbi.nlm.nih.gov/nuccore/CP000304.1?report=graph&amp;tracks=[key:gene_model_track,Options:GeneOnly]&amp;mk=3792622:3792641|offset_24|00cc00,3792595:3792614|offset_51|444444,3792572:3792591|offset_74|444444,3792535:3792554|offset_111|444444&amp;v=3792421:3792754&amp;c=444444", "offset 24")</f>
        <v>offset 24</v>
      </c>
    </row>
    <row r="13390" customFormat="false" ht="12.8" hidden="false" customHeight="false" outlineLevel="0" collapsed="false">
      <c r="A13390" s="0" t="s">
        <v>12</v>
      </c>
      <c r="B13390" s="0" t="n">
        <v>3792594</v>
      </c>
      <c r="C13390" s="0" t="n">
        <v>3792614</v>
      </c>
      <c r="D13390" s="0" t="s">
        <v>44609</v>
      </c>
      <c r="E13390" s="0" t="s">
        <v>89</v>
      </c>
      <c r="F13390" s="0" t="s">
        <v>90</v>
      </c>
      <c r="G13390" s="0" t="s">
        <v>26</v>
      </c>
      <c r="H13390" s="0" t="n">
        <v>51</v>
      </c>
      <c r="I13390" s="0" t="s">
        <v>44613</v>
      </c>
      <c r="J13390" s="0" t="s">
        <v>44614</v>
      </c>
      <c r="K13390" s="0" t="s">
        <v>44615</v>
      </c>
      <c r="L13390" s="0" t="str">
        <f aca="false">HYPERLINK("https://www.ncbi.nlm.nih.gov/nuccore/CP000304.1?report=graph&amp;tracks=[key:gene_model_track,Options:GeneOnly]&amp;mk=3792622:3792641|offset_24|444444,3792595:3792614|offset_51|00cc00,3792572:3792591|offset_74|444444,3792535:3792554|offset_111|444444&amp;v=3792421:3792754&amp;c=444444", "offset 51")</f>
        <v>offset 51</v>
      </c>
    </row>
    <row r="13391" customFormat="false" ht="12.8" hidden="false" customHeight="false" outlineLevel="0" collapsed="false">
      <c r="A13391" s="0" t="s">
        <v>12</v>
      </c>
      <c r="B13391" s="0" t="n">
        <v>3792571</v>
      </c>
      <c r="C13391" s="0" t="n">
        <v>3792591</v>
      </c>
      <c r="D13391" s="0" t="s">
        <v>44609</v>
      </c>
      <c r="E13391" s="0" t="s">
        <v>89</v>
      </c>
      <c r="F13391" s="0" t="s">
        <v>90</v>
      </c>
      <c r="G13391" s="0" t="s">
        <v>26</v>
      </c>
      <c r="H13391" s="0" t="n">
        <v>74</v>
      </c>
      <c r="I13391" s="0" t="s">
        <v>44616</v>
      </c>
      <c r="J13391" s="0" t="s">
        <v>44617</v>
      </c>
      <c r="K13391" s="0" t="s">
        <v>44618</v>
      </c>
      <c r="L13391" s="0" t="str">
        <f aca="false">HYPERLINK("https://www.ncbi.nlm.nih.gov/nuccore/CP000304.1?report=graph&amp;tracks=[key:gene_model_track,Options:GeneOnly]&amp;mk=3792622:3792641|offset_24|444444,3792595:3792614|offset_51|444444,3792572:3792591|offset_74|00cc00,3792535:3792554|offset_111|444444&amp;v=3792421:3792754&amp;c=444444", "offset 74")</f>
        <v>offset 74</v>
      </c>
    </row>
    <row r="13392" customFormat="false" ht="12.8" hidden="false" customHeight="false" outlineLevel="0" collapsed="false">
      <c r="A13392" s="0" t="s">
        <v>12</v>
      </c>
      <c r="B13392" s="0" t="n">
        <v>3792534</v>
      </c>
      <c r="C13392" s="0" t="n">
        <v>3792554</v>
      </c>
      <c r="D13392" s="0" t="s">
        <v>44609</v>
      </c>
      <c r="E13392" s="0" t="s">
        <v>89</v>
      </c>
      <c r="F13392" s="0" t="s">
        <v>90</v>
      </c>
      <c r="G13392" s="0" t="s">
        <v>16</v>
      </c>
      <c r="H13392" s="0" t="n">
        <v>111</v>
      </c>
      <c r="I13392" s="0" t="s">
        <v>44619</v>
      </c>
      <c r="J13392" s="0" t="s">
        <v>44620</v>
      </c>
      <c r="K13392" s="0" t="s">
        <v>44621</v>
      </c>
      <c r="L13392" s="0" t="str">
        <f aca="false">HYPERLINK("https://www.ncbi.nlm.nih.gov/nuccore/CP000304.1?report=graph&amp;tracks=[key:gene_model_track,Options:GeneOnly]&amp;mk=3792622:3792641|offset_24|444444,3792595:3792614|offset_51|444444,3792572:3792591|offset_74|444444,3792535:3792554|offset_111|00cc00&amp;v=3792421:3792754&amp;c=444444", "offset 111")</f>
        <v>offset 111</v>
      </c>
    </row>
    <row r="13393" customFormat="false" ht="12.8" hidden="false" customHeight="false" outlineLevel="0" collapsed="false">
      <c r="A13393" s="0" t="s">
        <v>12</v>
      </c>
      <c r="B13393" s="0" t="n">
        <v>3794135</v>
      </c>
      <c r="C13393" s="0" t="n">
        <v>3794155</v>
      </c>
      <c r="D13393" s="0" t="s">
        <v>44622</v>
      </c>
      <c r="E13393" s="0" t="s">
        <v>89</v>
      </c>
      <c r="F13393" s="0" t="s">
        <v>90</v>
      </c>
      <c r="G13393" s="0" t="s">
        <v>16</v>
      </c>
      <c r="H13393" s="0" t="n">
        <v>9</v>
      </c>
      <c r="I13393" s="0" t="s">
        <v>44623</v>
      </c>
      <c r="J13393" s="0" t="s">
        <v>44624</v>
      </c>
      <c r="K13393" s="0" t="s">
        <v>44625</v>
      </c>
      <c r="L13393" s="0" t="str">
        <f aca="false">HYPERLINK("https://www.ncbi.nlm.nih.gov/nuccore/CP000304.1?report=graph&amp;tracks=[key:gene_model_track,Options:GeneOnly]&amp;mk=3794136:3794155|offset_9|00cc00,3794116:3794135|offset_29|444444,3794084:3794103|offset_61|444444,3794051:3794070|offset_94|444444&amp;v=3793935:3794270&amp;c=444444", "offset 9")</f>
        <v>offset 9</v>
      </c>
    </row>
    <row r="13394" customFormat="false" ht="12.8" hidden="false" customHeight="false" outlineLevel="0" collapsed="false">
      <c r="A13394" s="0" t="s">
        <v>12</v>
      </c>
      <c r="B13394" s="0" t="n">
        <v>3794115</v>
      </c>
      <c r="C13394" s="0" t="n">
        <v>3794135</v>
      </c>
      <c r="D13394" s="0" t="s">
        <v>44622</v>
      </c>
      <c r="E13394" s="0" t="s">
        <v>89</v>
      </c>
      <c r="F13394" s="0" t="s">
        <v>90</v>
      </c>
      <c r="G13394" s="0" t="s">
        <v>16</v>
      </c>
      <c r="H13394" s="0" t="n">
        <v>29</v>
      </c>
      <c r="I13394" s="0" t="s">
        <v>44626</v>
      </c>
      <c r="J13394" s="0" t="s">
        <v>44627</v>
      </c>
      <c r="K13394" s="0" t="s">
        <v>44628</v>
      </c>
      <c r="L13394" s="0" t="str">
        <f aca="false">HYPERLINK("https://www.ncbi.nlm.nih.gov/nuccore/CP000304.1?report=graph&amp;tracks=[key:gene_model_track,Options:GeneOnly]&amp;mk=3794136:3794155|offset_9|444444,3794116:3794135|offset_29|00cc00,3794084:3794103|offset_61|444444,3794051:3794070|offset_94|444444&amp;v=3793935:3794270&amp;c=444444", "offset 29")</f>
        <v>offset 29</v>
      </c>
    </row>
    <row r="13395" customFormat="false" ht="12.8" hidden="false" customHeight="false" outlineLevel="0" collapsed="false">
      <c r="A13395" s="0" t="s">
        <v>12</v>
      </c>
      <c r="B13395" s="0" t="n">
        <v>3794083</v>
      </c>
      <c r="C13395" s="0" t="n">
        <v>3794103</v>
      </c>
      <c r="D13395" s="0" t="s">
        <v>44622</v>
      </c>
      <c r="E13395" s="0" t="s">
        <v>89</v>
      </c>
      <c r="F13395" s="0" t="s">
        <v>90</v>
      </c>
      <c r="G13395" s="0" t="s">
        <v>32</v>
      </c>
      <c r="H13395" s="0" t="n">
        <v>61</v>
      </c>
      <c r="I13395" s="0" t="s">
        <v>44629</v>
      </c>
      <c r="J13395" s="0" t="s">
        <v>44630</v>
      </c>
      <c r="K13395" s="0" t="s">
        <v>44631</v>
      </c>
      <c r="L13395" s="0" t="str">
        <f aca="false">HYPERLINK("https://www.ncbi.nlm.nih.gov/nuccore/CP000304.1?report=graph&amp;tracks=[key:gene_model_track,Options:GeneOnly]&amp;mk=3794136:3794155|offset_9|444444,3794116:3794135|offset_29|444444,3794084:3794103|offset_61|00cc00,3794051:3794070|offset_94|444444&amp;v=3793935:3794270&amp;c=444444", "offset 61")</f>
        <v>offset 61</v>
      </c>
    </row>
    <row r="13396" customFormat="false" ht="12.8" hidden="false" customHeight="false" outlineLevel="0" collapsed="false">
      <c r="A13396" s="0" t="s">
        <v>12</v>
      </c>
      <c r="B13396" s="0" t="n">
        <v>3794050</v>
      </c>
      <c r="C13396" s="0" t="n">
        <v>3794070</v>
      </c>
      <c r="D13396" s="0" t="s">
        <v>44622</v>
      </c>
      <c r="E13396" s="0" t="s">
        <v>89</v>
      </c>
      <c r="F13396" s="0" t="s">
        <v>90</v>
      </c>
      <c r="G13396" s="0" t="s">
        <v>32</v>
      </c>
      <c r="H13396" s="0" t="n">
        <v>94</v>
      </c>
      <c r="I13396" s="0" t="s">
        <v>44632</v>
      </c>
      <c r="J13396" s="0" t="s">
        <v>44633</v>
      </c>
      <c r="K13396" s="0" t="s">
        <v>44634</v>
      </c>
      <c r="L13396" s="0" t="str">
        <f aca="false">HYPERLINK("https://www.ncbi.nlm.nih.gov/nuccore/CP000304.1?report=graph&amp;tracks=[key:gene_model_track,Options:GeneOnly]&amp;mk=3794136:3794155|offset_9|444444,3794116:3794135|offset_29|444444,3794084:3794103|offset_61|444444,3794051:3794070|offset_94|00cc00&amp;v=3793935:3794270&amp;c=444444", "offset 94")</f>
        <v>offset 94</v>
      </c>
    </row>
    <row r="13397" customFormat="false" ht="12.8" hidden="false" customHeight="false" outlineLevel="0" collapsed="false">
      <c r="A13397" s="0" t="s">
        <v>12</v>
      </c>
      <c r="B13397" s="0" t="n">
        <v>3794500</v>
      </c>
      <c r="C13397" s="0" t="n">
        <v>3794520</v>
      </c>
      <c r="D13397" s="0" t="s">
        <v>44635</v>
      </c>
      <c r="E13397" s="0" t="s">
        <v>89</v>
      </c>
      <c r="F13397" s="0" t="s">
        <v>15</v>
      </c>
      <c r="G13397" s="0" t="s">
        <v>32</v>
      </c>
      <c r="H13397" s="0" t="n">
        <v>0</v>
      </c>
      <c r="I13397" s="0" t="s">
        <v>44636</v>
      </c>
      <c r="J13397" s="0" t="s">
        <v>44637</v>
      </c>
      <c r="K13397" s="0" t="s">
        <v>44638</v>
      </c>
      <c r="L13397" s="0" t="str">
        <f aca="false">HYPERLINK("https://www.ncbi.nlm.nih.gov/nuccore/CP000304.1?report=graph&amp;tracks=[key:gene_model_track,Options:GeneOnly]&amp;mk=3794501:3794520|offset_0|00cc00,3794526:3794545|offset_25|444444,3794548:3794567|offset_47|444444,3794573:3794592|offset_72|444444&amp;v=3794300:3794792&amp;c=444444", "offset 0")</f>
        <v>offset 0</v>
      </c>
    </row>
    <row r="13398" customFormat="false" ht="12.8" hidden="false" customHeight="false" outlineLevel="0" collapsed="false">
      <c r="A13398" s="0" t="s">
        <v>12</v>
      </c>
      <c r="B13398" s="0" t="n">
        <v>3794525</v>
      </c>
      <c r="C13398" s="0" t="n">
        <v>3794545</v>
      </c>
      <c r="D13398" s="0" t="s">
        <v>44635</v>
      </c>
      <c r="E13398" s="0" t="s">
        <v>89</v>
      </c>
      <c r="F13398" s="0" t="s">
        <v>15</v>
      </c>
      <c r="G13398" s="0" t="s">
        <v>32</v>
      </c>
      <c r="H13398" s="0" t="n">
        <v>25</v>
      </c>
      <c r="I13398" s="0" t="s">
        <v>44639</v>
      </c>
      <c r="J13398" s="0" t="s">
        <v>44640</v>
      </c>
      <c r="K13398" s="0" t="s">
        <v>44641</v>
      </c>
      <c r="L13398" s="0" t="str">
        <f aca="false">HYPERLINK("https://www.ncbi.nlm.nih.gov/nuccore/CP000304.1?report=graph&amp;tracks=[key:gene_model_track,Options:GeneOnly]&amp;mk=3794501:3794520|offset_0|444444,3794526:3794545|offset_25|00cc00,3794548:3794567|offset_47|444444,3794573:3794592|offset_72|444444&amp;v=3794300:3794792&amp;c=444444", "offset 25")</f>
        <v>offset 25</v>
      </c>
    </row>
    <row r="13399" customFormat="false" ht="12.8" hidden="false" customHeight="false" outlineLevel="0" collapsed="false">
      <c r="A13399" s="0" t="s">
        <v>12</v>
      </c>
      <c r="B13399" s="0" t="n">
        <v>3794547</v>
      </c>
      <c r="C13399" s="0" t="n">
        <v>3794567</v>
      </c>
      <c r="D13399" s="0" t="s">
        <v>44635</v>
      </c>
      <c r="E13399" s="0" t="s">
        <v>89</v>
      </c>
      <c r="F13399" s="0" t="s">
        <v>15</v>
      </c>
      <c r="G13399" s="0" t="s">
        <v>36</v>
      </c>
      <c r="H13399" s="0" t="n">
        <v>47</v>
      </c>
      <c r="I13399" s="0" t="s">
        <v>44642</v>
      </c>
      <c r="J13399" s="0" t="s">
        <v>44643</v>
      </c>
      <c r="K13399" s="0" t="s">
        <v>44644</v>
      </c>
      <c r="L13399" s="0" t="str">
        <f aca="false">HYPERLINK("https://www.ncbi.nlm.nih.gov/nuccore/CP000304.1?report=graph&amp;tracks=[key:gene_model_track,Options:GeneOnly]&amp;mk=3794501:3794520|offset_0|444444,3794526:3794545|offset_25|444444,3794548:3794567|offset_47|00cc00,3794573:3794592|offset_72|444444&amp;v=3794300:3794792&amp;c=444444", "offset 47")</f>
        <v>offset 47</v>
      </c>
    </row>
    <row r="13400" customFormat="false" ht="12.8" hidden="false" customHeight="false" outlineLevel="0" collapsed="false">
      <c r="A13400" s="0" t="s">
        <v>12</v>
      </c>
      <c r="B13400" s="0" t="n">
        <v>3794572</v>
      </c>
      <c r="C13400" s="0" t="n">
        <v>3794592</v>
      </c>
      <c r="D13400" s="0" t="s">
        <v>44635</v>
      </c>
      <c r="E13400" s="0" t="s">
        <v>89</v>
      </c>
      <c r="F13400" s="0" t="s">
        <v>15</v>
      </c>
      <c r="G13400" s="0" t="s">
        <v>36</v>
      </c>
      <c r="H13400" s="0" t="n">
        <v>72</v>
      </c>
      <c r="I13400" s="0" t="s">
        <v>44645</v>
      </c>
      <c r="J13400" s="0" t="s">
        <v>44646</v>
      </c>
      <c r="K13400" s="0" t="s">
        <v>44647</v>
      </c>
      <c r="L13400" s="0" t="str">
        <f aca="false">HYPERLINK("https://www.ncbi.nlm.nih.gov/nuccore/CP000304.1?report=graph&amp;tracks=[key:gene_model_track,Options:GeneOnly]&amp;mk=3794501:3794520|offset_0|444444,3794526:3794545|offset_25|444444,3794548:3794567|offset_47|444444,3794573:3794592|offset_72|00cc00&amp;v=3794300:3794792&amp;c=444444", "offset 72")</f>
        <v>offset 72</v>
      </c>
    </row>
    <row r="13401" customFormat="false" ht="12.8" hidden="false" customHeight="false" outlineLevel="0" collapsed="false">
      <c r="A13401" s="0" t="s">
        <v>12</v>
      </c>
      <c r="B13401" s="0" t="n">
        <v>3795041</v>
      </c>
      <c r="C13401" s="0" t="n">
        <v>3795061</v>
      </c>
      <c r="D13401" s="0" t="s">
        <v>44648</v>
      </c>
      <c r="E13401" s="0" t="s">
        <v>89</v>
      </c>
      <c r="F13401" s="0" t="s">
        <v>15</v>
      </c>
      <c r="G13401" s="0" t="s">
        <v>16</v>
      </c>
      <c r="H13401" s="0" t="n">
        <v>8</v>
      </c>
      <c r="I13401" s="0" t="s">
        <v>44649</v>
      </c>
      <c r="J13401" s="0" t="s">
        <v>44650</v>
      </c>
      <c r="K13401" s="0" t="s">
        <v>44651</v>
      </c>
      <c r="L13401" s="0" t="str">
        <f aca="false">HYPERLINK("https://www.ncbi.nlm.nih.gov/nuccore/CP000304.1?report=graph&amp;tracks=[key:gene_model_track,Options:GeneOnly]&amp;mk=3795042:3795061|offset_8|00cc00,3795074:3795093|offset_40|444444,3795096:3795115|offset_62|444444,3795119:3795138|offset_85|444444&amp;v=3794841:3795338&amp;c=444444", "offset 8")</f>
        <v>offset 8</v>
      </c>
    </row>
    <row r="13402" customFormat="false" ht="12.8" hidden="false" customHeight="false" outlineLevel="0" collapsed="false">
      <c r="A13402" s="0" t="s">
        <v>12</v>
      </c>
      <c r="B13402" s="0" t="n">
        <v>3795073</v>
      </c>
      <c r="C13402" s="0" t="n">
        <v>3795093</v>
      </c>
      <c r="D13402" s="0" t="s">
        <v>44648</v>
      </c>
      <c r="E13402" s="0" t="s">
        <v>89</v>
      </c>
      <c r="F13402" s="0" t="s">
        <v>15</v>
      </c>
      <c r="G13402" s="0" t="s">
        <v>36</v>
      </c>
      <c r="H13402" s="0" t="n">
        <v>40</v>
      </c>
      <c r="I13402" s="0" t="s">
        <v>44652</v>
      </c>
      <c r="J13402" s="0" t="s">
        <v>44653</v>
      </c>
      <c r="K13402" s="0" t="s">
        <v>44654</v>
      </c>
      <c r="L13402" s="0" t="str">
        <f aca="false">HYPERLINK("https://www.ncbi.nlm.nih.gov/nuccore/CP000304.1?report=graph&amp;tracks=[key:gene_model_track,Options:GeneOnly]&amp;mk=3795042:3795061|offset_8|444444,3795074:3795093|offset_40|00cc00,3795096:3795115|offset_62|444444,3795119:3795138|offset_85|444444&amp;v=3794841:3795338&amp;c=444444", "offset 40")</f>
        <v>offset 40</v>
      </c>
    </row>
    <row r="13403" customFormat="false" ht="12.8" hidden="false" customHeight="false" outlineLevel="0" collapsed="false">
      <c r="A13403" s="0" t="s">
        <v>12</v>
      </c>
      <c r="B13403" s="0" t="n">
        <v>3795095</v>
      </c>
      <c r="C13403" s="0" t="n">
        <v>3795115</v>
      </c>
      <c r="D13403" s="0" t="s">
        <v>44648</v>
      </c>
      <c r="E13403" s="0" t="s">
        <v>89</v>
      </c>
      <c r="F13403" s="0" t="s">
        <v>15</v>
      </c>
      <c r="G13403" s="0" t="s">
        <v>36</v>
      </c>
      <c r="H13403" s="0" t="n">
        <v>62</v>
      </c>
      <c r="I13403" s="0" t="s">
        <v>44655</v>
      </c>
      <c r="J13403" s="0" t="s">
        <v>44656</v>
      </c>
      <c r="K13403" s="0" t="s">
        <v>44657</v>
      </c>
      <c r="L13403" s="0" t="str">
        <f aca="false">HYPERLINK("https://www.ncbi.nlm.nih.gov/nuccore/CP000304.1?report=graph&amp;tracks=[key:gene_model_track,Options:GeneOnly]&amp;mk=3795042:3795061|offset_8|444444,3795074:3795093|offset_40|444444,3795096:3795115|offset_62|00cc00,3795119:3795138|offset_85|444444&amp;v=3794841:3795338&amp;c=444444", "offset 62")</f>
        <v>offset 62</v>
      </c>
    </row>
    <row r="13404" customFormat="false" ht="12.8" hidden="false" customHeight="false" outlineLevel="0" collapsed="false">
      <c r="A13404" s="0" t="s">
        <v>12</v>
      </c>
      <c r="B13404" s="0" t="n">
        <v>3795118</v>
      </c>
      <c r="C13404" s="0" t="n">
        <v>3795138</v>
      </c>
      <c r="D13404" s="0" t="s">
        <v>44648</v>
      </c>
      <c r="E13404" s="0" t="s">
        <v>89</v>
      </c>
      <c r="F13404" s="0" t="s">
        <v>15</v>
      </c>
      <c r="G13404" s="0" t="s">
        <v>26</v>
      </c>
      <c r="H13404" s="0" t="n">
        <v>85</v>
      </c>
      <c r="I13404" s="0" t="s">
        <v>44658</v>
      </c>
      <c r="J13404" s="0" t="s">
        <v>44659</v>
      </c>
      <c r="K13404" s="0" t="s">
        <v>44660</v>
      </c>
      <c r="L13404" s="0" t="str">
        <f aca="false">HYPERLINK("https://www.ncbi.nlm.nih.gov/nuccore/CP000304.1?report=graph&amp;tracks=[key:gene_model_track,Options:GeneOnly]&amp;mk=3795042:3795061|offset_8|444444,3795074:3795093|offset_40|444444,3795096:3795115|offset_62|444444,3795119:3795138|offset_85|00cc00&amp;v=3794841:3795338&amp;c=444444", "offset 85")</f>
        <v>offset 85</v>
      </c>
    </row>
    <row r="13405" customFormat="false" ht="12.8" hidden="false" customHeight="false" outlineLevel="0" collapsed="false">
      <c r="A13405" s="0" t="s">
        <v>12</v>
      </c>
      <c r="B13405" s="0" t="n">
        <v>3795391</v>
      </c>
      <c r="C13405" s="0" t="n">
        <v>3795411</v>
      </c>
      <c r="D13405" s="0" t="s">
        <v>44661</v>
      </c>
      <c r="E13405" s="0" t="s">
        <v>89</v>
      </c>
      <c r="F13405" s="0" t="s">
        <v>15</v>
      </c>
      <c r="G13405" s="0" t="s">
        <v>36</v>
      </c>
      <c r="H13405" s="0" t="n">
        <v>0</v>
      </c>
      <c r="I13405" s="0" t="s">
        <v>44662</v>
      </c>
      <c r="J13405" s="0" t="s">
        <v>44663</v>
      </c>
      <c r="K13405" s="0" t="s">
        <v>44664</v>
      </c>
      <c r="L13405" s="0" t="str">
        <f aca="false">HYPERLINK("https://www.ncbi.nlm.nih.gov/nuccore/CP000304.1?report=graph&amp;tracks=[key:gene_model_track,Options:GeneOnly]&amp;mk=3795392:3795411|offset_0|00cc00,3795457:3795476|offset_65|444444,3795482:3795501|offset_90|444444,3795543:3795562|offset_151|444444&amp;v=3795191:3795762&amp;c=444444", "offset 0")</f>
        <v>offset 0</v>
      </c>
    </row>
    <row r="13406" customFormat="false" ht="12.8" hidden="false" customHeight="false" outlineLevel="0" collapsed="false">
      <c r="A13406" s="0" t="s">
        <v>12</v>
      </c>
      <c r="B13406" s="0" t="n">
        <v>3795456</v>
      </c>
      <c r="C13406" s="0" t="n">
        <v>3795476</v>
      </c>
      <c r="D13406" s="0" t="s">
        <v>44661</v>
      </c>
      <c r="E13406" s="0" t="s">
        <v>89</v>
      </c>
      <c r="F13406" s="0" t="s">
        <v>15</v>
      </c>
      <c r="G13406" s="0" t="s">
        <v>26</v>
      </c>
      <c r="H13406" s="0" t="n">
        <v>65</v>
      </c>
      <c r="I13406" s="0" t="s">
        <v>44665</v>
      </c>
      <c r="J13406" s="0" t="s">
        <v>44666</v>
      </c>
      <c r="K13406" s="0" t="s">
        <v>44667</v>
      </c>
      <c r="L13406" s="0" t="str">
        <f aca="false">HYPERLINK("https://www.ncbi.nlm.nih.gov/nuccore/CP000304.1?report=graph&amp;tracks=[key:gene_model_track,Options:GeneOnly]&amp;mk=3795392:3795411|offset_0|444444,3795457:3795476|offset_65|00cc00,3795482:3795501|offset_90|444444,3795543:3795562|offset_151|444444&amp;v=3795191:3795762&amp;c=444444", "offset 65")</f>
        <v>offset 65</v>
      </c>
    </row>
    <row r="13407" customFormat="false" ht="12.8" hidden="false" customHeight="false" outlineLevel="0" collapsed="false">
      <c r="A13407" s="0" t="s">
        <v>12</v>
      </c>
      <c r="B13407" s="0" t="n">
        <v>3795481</v>
      </c>
      <c r="C13407" s="0" t="n">
        <v>3795501</v>
      </c>
      <c r="D13407" s="0" t="s">
        <v>44661</v>
      </c>
      <c r="E13407" s="0" t="s">
        <v>89</v>
      </c>
      <c r="F13407" s="0" t="s">
        <v>15</v>
      </c>
      <c r="G13407" s="0" t="s">
        <v>16</v>
      </c>
      <c r="H13407" s="0" t="n">
        <v>90</v>
      </c>
      <c r="I13407" s="0" t="s">
        <v>44668</v>
      </c>
      <c r="J13407" s="0" t="s">
        <v>44669</v>
      </c>
      <c r="K13407" s="0" t="s">
        <v>44670</v>
      </c>
      <c r="L13407" s="0" t="str">
        <f aca="false">HYPERLINK("https://www.ncbi.nlm.nih.gov/nuccore/CP000304.1?report=graph&amp;tracks=[key:gene_model_track,Options:GeneOnly]&amp;mk=3795392:3795411|offset_0|444444,3795457:3795476|offset_65|444444,3795482:3795501|offset_90|00cc00,3795543:3795562|offset_151|444444&amp;v=3795191:3795762&amp;c=444444", "offset 90")</f>
        <v>offset 90</v>
      </c>
    </row>
    <row r="13408" customFormat="false" ht="12.8" hidden="false" customHeight="false" outlineLevel="0" collapsed="false">
      <c r="A13408" s="0" t="s">
        <v>12</v>
      </c>
      <c r="B13408" s="0" t="n">
        <v>3795542</v>
      </c>
      <c r="C13408" s="0" t="n">
        <v>3795562</v>
      </c>
      <c r="D13408" s="0" t="s">
        <v>44661</v>
      </c>
      <c r="E13408" s="0" t="s">
        <v>89</v>
      </c>
      <c r="F13408" s="0" t="s">
        <v>15</v>
      </c>
      <c r="G13408" s="0" t="s">
        <v>16</v>
      </c>
      <c r="H13408" s="0" t="n">
        <v>151</v>
      </c>
      <c r="I13408" s="0" t="s">
        <v>44671</v>
      </c>
      <c r="J13408" s="0" t="s">
        <v>44672</v>
      </c>
      <c r="K13408" s="0" t="s">
        <v>44673</v>
      </c>
      <c r="L13408" s="0" t="str">
        <f aca="false">HYPERLINK("https://www.ncbi.nlm.nih.gov/nuccore/CP000304.1?report=graph&amp;tracks=[key:gene_model_track,Options:GeneOnly]&amp;mk=3795392:3795411|offset_0|444444,3795457:3795476|offset_65|444444,3795482:3795501|offset_90|444444,3795543:3795562|offset_151|00cc00&amp;v=3795191:3795762&amp;c=444444", "offset 151")</f>
        <v>offset 151</v>
      </c>
    </row>
    <row r="13409" customFormat="false" ht="12.8" hidden="false" customHeight="false" outlineLevel="0" collapsed="false">
      <c r="A13409" s="0" t="s">
        <v>12</v>
      </c>
      <c r="B13409" s="0" t="n">
        <v>3796256</v>
      </c>
      <c r="C13409" s="0" t="n">
        <v>3796276</v>
      </c>
      <c r="D13409" s="0" t="s">
        <v>44674</v>
      </c>
      <c r="E13409" s="0" t="s">
        <v>89</v>
      </c>
      <c r="F13409" s="0" t="s">
        <v>15</v>
      </c>
      <c r="G13409" s="0" t="s">
        <v>32</v>
      </c>
      <c r="H13409" s="0" t="n">
        <v>11</v>
      </c>
      <c r="I13409" s="0" t="s">
        <v>44675</v>
      </c>
      <c r="J13409" s="0" t="s">
        <v>44676</v>
      </c>
      <c r="K13409" s="0" t="s">
        <v>44677</v>
      </c>
      <c r="L13409" s="0" t="str">
        <f aca="false">HYPERLINK("https://www.ncbi.nlm.nih.gov/nuccore/CP000304.1?report=graph&amp;tracks=[key:gene_model_track,Options:GeneOnly]&amp;mk=3796257:3796276|offset_11|00cc00,3796296:3796315|offset_50|444444,3796347:3796366|offset_101|444444,3796367:3796386|offset_121|444444&amp;v=3796056:3796586&amp;c=444444", "offset 11")</f>
        <v>offset 11</v>
      </c>
    </row>
    <row r="13410" customFormat="false" ht="12.8" hidden="false" customHeight="false" outlineLevel="0" collapsed="false">
      <c r="A13410" s="0" t="s">
        <v>12</v>
      </c>
      <c r="B13410" s="0" t="n">
        <v>3796295</v>
      </c>
      <c r="C13410" s="0" t="n">
        <v>3796315</v>
      </c>
      <c r="D13410" s="0" t="s">
        <v>44674</v>
      </c>
      <c r="E13410" s="0" t="s">
        <v>89</v>
      </c>
      <c r="F13410" s="0" t="s">
        <v>15</v>
      </c>
      <c r="G13410" s="0" t="s">
        <v>32</v>
      </c>
      <c r="H13410" s="0" t="n">
        <v>50</v>
      </c>
      <c r="I13410" s="0" t="s">
        <v>44678</v>
      </c>
      <c r="J13410" s="0" t="s">
        <v>44679</v>
      </c>
      <c r="K13410" s="0" t="s">
        <v>44680</v>
      </c>
      <c r="L13410" s="0" t="str">
        <f aca="false">HYPERLINK("https://www.ncbi.nlm.nih.gov/nuccore/CP000304.1?report=graph&amp;tracks=[key:gene_model_track,Options:GeneOnly]&amp;mk=3796257:3796276|offset_11|444444,3796296:3796315|offset_50|00cc00,3796347:3796366|offset_101|444444,3796367:3796386|offset_121|444444&amp;v=3796056:3796586&amp;c=444444", "offset 50")</f>
        <v>offset 50</v>
      </c>
    </row>
    <row r="13411" customFormat="false" ht="12.8" hidden="false" customHeight="false" outlineLevel="0" collapsed="false">
      <c r="A13411" s="0" t="s">
        <v>12</v>
      </c>
      <c r="B13411" s="0" t="n">
        <v>3796346</v>
      </c>
      <c r="C13411" s="0" t="n">
        <v>3796366</v>
      </c>
      <c r="D13411" s="0" t="s">
        <v>44674</v>
      </c>
      <c r="E13411" s="0" t="s">
        <v>89</v>
      </c>
      <c r="F13411" s="0" t="s">
        <v>15</v>
      </c>
      <c r="G13411" s="0" t="s">
        <v>26</v>
      </c>
      <c r="H13411" s="0" t="n">
        <v>101</v>
      </c>
      <c r="I13411" s="0" t="s">
        <v>44681</v>
      </c>
      <c r="J13411" s="0" t="s">
        <v>44682</v>
      </c>
      <c r="K13411" s="0" t="s">
        <v>44683</v>
      </c>
      <c r="L13411" s="0" t="str">
        <f aca="false">HYPERLINK("https://www.ncbi.nlm.nih.gov/nuccore/CP000304.1?report=graph&amp;tracks=[key:gene_model_track,Options:GeneOnly]&amp;mk=3796257:3796276|offset_11|444444,3796296:3796315|offset_50|444444,3796347:3796366|offset_101|00cc00,3796367:3796386|offset_121|444444&amp;v=3796056:3796586&amp;c=444444", "offset 101")</f>
        <v>offset 101</v>
      </c>
    </row>
    <row r="13412" customFormat="false" ht="12.8" hidden="false" customHeight="false" outlineLevel="0" collapsed="false">
      <c r="A13412" s="0" t="s">
        <v>12</v>
      </c>
      <c r="B13412" s="0" t="n">
        <v>3796366</v>
      </c>
      <c r="C13412" s="0" t="n">
        <v>3796386</v>
      </c>
      <c r="D13412" s="0" t="s">
        <v>44674</v>
      </c>
      <c r="E13412" s="0" t="s">
        <v>89</v>
      </c>
      <c r="F13412" s="0" t="s">
        <v>15</v>
      </c>
      <c r="G13412" s="0" t="s">
        <v>16</v>
      </c>
      <c r="H13412" s="0" t="n">
        <v>121</v>
      </c>
      <c r="I13412" s="0" t="s">
        <v>44684</v>
      </c>
      <c r="J13412" s="0" t="s">
        <v>44685</v>
      </c>
      <c r="K13412" s="0" t="s">
        <v>44686</v>
      </c>
      <c r="L13412" s="0" t="str">
        <f aca="false">HYPERLINK("https://www.ncbi.nlm.nih.gov/nuccore/CP000304.1?report=graph&amp;tracks=[key:gene_model_track,Options:GeneOnly]&amp;mk=3796257:3796276|offset_11|444444,3796296:3796315|offset_50|444444,3796347:3796366|offset_101|444444,3796367:3796386|offset_121|00cc00&amp;v=3796056:3796586&amp;c=444444", "offset 121")</f>
        <v>offset 121</v>
      </c>
    </row>
    <row r="13413" customFormat="false" ht="12.8" hidden="false" customHeight="false" outlineLevel="0" collapsed="false">
      <c r="A13413" s="0" t="s">
        <v>12</v>
      </c>
      <c r="B13413" s="0" t="n">
        <v>3798306</v>
      </c>
      <c r="C13413" s="0" t="n">
        <v>3798326</v>
      </c>
      <c r="D13413" s="0" t="s">
        <v>44687</v>
      </c>
      <c r="E13413" s="0" t="s">
        <v>89</v>
      </c>
      <c r="F13413" s="0" t="s">
        <v>90</v>
      </c>
      <c r="G13413" s="0" t="s">
        <v>32</v>
      </c>
      <c r="H13413" s="0" t="n">
        <v>14</v>
      </c>
      <c r="I13413" s="0" t="s">
        <v>44688</v>
      </c>
      <c r="J13413" s="0" t="s">
        <v>44689</v>
      </c>
      <c r="K13413" s="0" t="s">
        <v>44690</v>
      </c>
      <c r="L13413" s="0" t="str">
        <f aca="false">HYPERLINK("https://www.ncbi.nlm.nih.gov/nuccore/CP000304.1?report=graph&amp;tracks=[key:gene_model_track,Options:GeneOnly]&amp;mk=3798307:3798326|offset_14|00cc00,3798277:3798296|offset_44|444444,3798257:3798276|offset_64|444444,3798234:3798253|offset_87|444444&amp;v=3798106:3798453&amp;c=444444", "offset 14")</f>
        <v>offset 14</v>
      </c>
    </row>
    <row r="13414" customFormat="false" ht="12.8" hidden="false" customHeight="false" outlineLevel="0" collapsed="false">
      <c r="A13414" s="0" t="s">
        <v>12</v>
      </c>
      <c r="B13414" s="0" t="n">
        <v>3798276</v>
      </c>
      <c r="C13414" s="0" t="n">
        <v>3798296</v>
      </c>
      <c r="D13414" s="0" t="s">
        <v>44687</v>
      </c>
      <c r="E13414" s="0" t="s">
        <v>89</v>
      </c>
      <c r="F13414" s="0" t="s">
        <v>90</v>
      </c>
      <c r="G13414" s="0" t="s">
        <v>32</v>
      </c>
      <c r="H13414" s="0" t="n">
        <v>44</v>
      </c>
      <c r="I13414" s="0" t="s">
        <v>44691</v>
      </c>
      <c r="J13414" s="0" t="s">
        <v>44692</v>
      </c>
      <c r="K13414" s="0" t="s">
        <v>44693</v>
      </c>
      <c r="L13414" s="0" t="str">
        <f aca="false">HYPERLINK("https://www.ncbi.nlm.nih.gov/nuccore/CP000304.1?report=graph&amp;tracks=[key:gene_model_track,Options:GeneOnly]&amp;mk=3798307:3798326|offset_14|444444,3798277:3798296|offset_44|00cc00,3798257:3798276|offset_64|444444,3798234:3798253|offset_87|444444&amp;v=3798106:3798453&amp;c=444444", "offset 44")</f>
        <v>offset 44</v>
      </c>
    </row>
    <row r="13415" customFormat="false" ht="12.8" hidden="false" customHeight="false" outlineLevel="0" collapsed="false">
      <c r="A13415" s="0" t="s">
        <v>12</v>
      </c>
      <c r="B13415" s="0" t="n">
        <v>3798256</v>
      </c>
      <c r="C13415" s="0" t="n">
        <v>3798276</v>
      </c>
      <c r="D13415" s="0" t="s">
        <v>44687</v>
      </c>
      <c r="E13415" s="0" t="s">
        <v>89</v>
      </c>
      <c r="F13415" s="0" t="s">
        <v>90</v>
      </c>
      <c r="G13415" s="0" t="s">
        <v>16</v>
      </c>
      <c r="H13415" s="0" t="n">
        <v>64</v>
      </c>
      <c r="I13415" s="0" t="s">
        <v>44694</v>
      </c>
      <c r="J13415" s="0" t="s">
        <v>44695</v>
      </c>
      <c r="K13415" s="0" t="s">
        <v>44696</v>
      </c>
      <c r="L13415" s="0" t="str">
        <f aca="false">HYPERLINK("https://www.ncbi.nlm.nih.gov/nuccore/CP000304.1?report=graph&amp;tracks=[key:gene_model_track,Options:GeneOnly]&amp;mk=3798307:3798326|offset_14|444444,3798277:3798296|offset_44|444444,3798257:3798276|offset_64|00cc00,3798234:3798253|offset_87|444444&amp;v=3798106:3798453&amp;c=444444", "offset 64")</f>
        <v>offset 64</v>
      </c>
    </row>
    <row r="13416" customFormat="false" ht="12.8" hidden="false" customHeight="false" outlineLevel="0" collapsed="false">
      <c r="A13416" s="0" t="s">
        <v>12</v>
      </c>
      <c r="B13416" s="0" t="n">
        <v>3798233</v>
      </c>
      <c r="C13416" s="0" t="n">
        <v>3798253</v>
      </c>
      <c r="D13416" s="0" t="s">
        <v>44687</v>
      </c>
      <c r="E13416" s="0" t="s">
        <v>89</v>
      </c>
      <c r="F13416" s="0" t="s">
        <v>90</v>
      </c>
      <c r="G13416" s="0" t="s">
        <v>36</v>
      </c>
      <c r="H13416" s="0" t="n">
        <v>87</v>
      </c>
      <c r="I13416" s="0" t="s">
        <v>44697</v>
      </c>
      <c r="J13416" s="0" t="s">
        <v>44698</v>
      </c>
      <c r="K13416" s="0" t="s">
        <v>44699</v>
      </c>
      <c r="L13416" s="0" t="str">
        <f aca="false">HYPERLINK("https://www.ncbi.nlm.nih.gov/nuccore/CP000304.1?report=graph&amp;tracks=[key:gene_model_track,Options:GeneOnly]&amp;mk=3798307:3798326|offset_14|444444,3798277:3798296|offset_44|444444,3798257:3798276|offset_64|444444,3798234:3798253|offset_87|00cc00&amp;v=3798106:3798453&amp;c=444444", "offset 87")</f>
        <v>offset 87</v>
      </c>
    </row>
    <row r="13417" customFormat="false" ht="12.8" hidden="false" customHeight="false" outlineLevel="0" collapsed="false">
      <c r="A13417" s="0" t="s">
        <v>12</v>
      </c>
      <c r="B13417" s="0" t="n">
        <v>3798537</v>
      </c>
      <c r="C13417" s="0" t="n">
        <v>3798557</v>
      </c>
      <c r="D13417" s="0" t="s">
        <v>44700</v>
      </c>
      <c r="E13417" s="0" t="s">
        <v>89</v>
      </c>
      <c r="F13417" s="0" t="s">
        <v>90</v>
      </c>
      <c r="G13417" s="0" t="s">
        <v>36</v>
      </c>
      <c r="H13417" s="0" t="n">
        <v>7</v>
      </c>
      <c r="I13417" s="0" t="s">
        <v>44701</v>
      </c>
      <c r="J13417" s="0" t="s">
        <v>44702</v>
      </c>
      <c r="K13417" s="0" t="s">
        <v>44703</v>
      </c>
      <c r="L13417" s="0" t="str">
        <f aca="false">HYPERLINK("https://www.ncbi.nlm.nih.gov/nuccore/CP000304.1?report=graph&amp;tracks=[key:gene_model_track,Options:GeneOnly]&amp;mk=3798538:3798557|offset_7|00cc00,3798513:3798532|offset_32|444444,3798487:3798506|offset_58|444444,3798465:3798484|offset_80|444444&amp;v=3798337:3798684&amp;c=444444", "offset 7")</f>
        <v>offset 7</v>
      </c>
    </row>
    <row r="13418" customFormat="false" ht="12.8" hidden="false" customHeight="false" outlineLevel="0" collapsed="false">
      <c r="A13418" s="0" t="s">
        <v>12</v>
      </c>
      <c r="B13418" s="0" t="n">
        <v>3798512</v>
      </c>
      <c r="C13418" s="0" t="n">
        <v>3798532</v>
      </c>
      <c r="D13418" s="0" t="s">
        <v>44700</v>
      </c>
      <c r="E13418" s="0" t="s">
        <v>89</v>
      </c>
      <c r="F13418" s="0" t="s">
        <v>90</v>
      </c>
      <c r="G13418" s="0" t="s">
        <v>32</v>
      </c>
      <c r="H13418" s="0" t="n">
        <v>32</v>
      </c>
      <c r="I13418" s="0" t="s">
        <v>44704</v>
      </c>
      <c r="J13418" s="0" t="s">
        <v>44705</v>
      </c>
      <c r="K13418" s="0" t="s">
        <v>44706</v>
      </c>
      <c r="L13418" s="0" t="str">
        <f aca="false">HYPERLINK("https://www.ncbi.nlm.nih.gov/nuccore/CP000304.1?report=graph&amp;tracks=[key:gene_model_track,Options:GeneOnly]&amp;mk=3798538:3798557|offset_7|444444,3798513:3798532|offset_32|00cc00,3798487:3798506|offset_58|444444,3798465:3798484|offset_80|444444&amp;v=3798337:3798684&amp;c=444444", "offset 32")</f>
        <v>offset 32</v>
      </c>
    </row>
    <row r="13419" customFormat="false" ht="12.8" hidden="false" customHeight="false" outlineLevel="0" collapsed="false">
      <c r="A13419" s="0" t="s">
        <v>12</v>
      </c>
      <c r="B13419" s="0" t="n">
        <v>3798486</v>
      </c>
      <c r="C13419" s="0" t="n">
        <v>3798506</v>
      </c>
      <c r="D13419" s="0" t="s">
        <v>44700</v>
      </c>
      <c r="E13419" s="0" t="s">
        <v>89</v>
      </c>
      <c r="F13419" s="0" t="s">
        <v>90</v>
      </c>
      <c r="G13419" s="0" t="s">
        <v>36</v>
      </c>
      <c r="H13419" s="0" t="n">
        <v>58</v>
      </c>
      <c r="I13419" s="0" t="s">
        <v>44707</v>
      </c>
      <c r="J13419" s="0" t="s">
        <v>44708</v>
      </c>
      <c r="K13419" s="0" t="s">
        <v>44709</v>
      </c>
      <c r="L13419" s="0" t="str">
        <f aca="false">HYPERLINK("https://www.ncbi.nlm.nih.gov/nuccore/CP000304.1?report=graph&amp;tracks=[key:gene_model_track,Options:GeneOnly]&amp;mk=3798538:3798557|offset_7|444444,3798513:3798532|offset_32|444444,3798487:3798506|offset_58|00cc00,3798465:3798484|offset_80|444444&amp;v=3798337:3798684&amp;c=444444", "offset 58")</f>
        <v>offset 58</v>
      </c>
    </row>
    <row r="13420" customFormat="false" ht="12.8" hidden="false" customHeight="false" outlineLevel="0" collapsed="false">
      <c r="A13420" s="0" t="s">
        <v>12</v>
      </c>
      <c r="B13420" s="0" t="n">
        <v>3798464</v>
      </c>
      <c r="C13420" s="0" t="n">
        <v>3798484</v>
      </c>
      <c r="D13420" s="0" t="s">
        <v>44700</v>
      </c>
      <c r="E13420" s="0" t="s">
        <v>89</v>
      </c>
      <c r="F13420" s="0" t="s">
        <v>90</v>
      </c>
      <c r="G13420" s="0" t="s">
        <v>36</v>
      </c>
      <c r="H13420" s="0" t="n">
        <v>80</v>
      </c>
      <c r="I13420" s="0" t="s">
        <v>44710</v>
      </c>
      <c r="J13420" s="0" t="s">
        <v>44711</v>
      </c>
      <c r="K13420" s="0" t="s">
        <v>44712</v>
      </c>
      <c r="L13420" s="0" t="str">
        <f aca="false">HYPERLINK("https://www.ncbi.nlm.nih.gov/nuccore/CP000304.1?report=graph&amp;tracks=[key:gene_model_track,Options:GeneOnly]&amp;mk=3798538:3798557|offset_7|444444,3798513:3798532|offset_32|444444,3798487:3798506|offset_58|444444,3798465:3798484|offset_80|00cc00&amp;v=3798337:3798684&amp;c=444444", "offset 80")</f>
        <v>offset 80</v>
      </c>
    </row>
    <row r="13421" customFormat="false" ht="12.8" hidden="false" customHeight="false" outlineLevel="0" collapsed="false">
      <c r="A13421" s="0" t="s">
        <v>12</v>
      </c>
      <c r="B13421" s="0" t="n">
        <v>3800629</v>
      </c>
      <c r="C13421" s="0" t="n">
        <v>3800649</v>
      </c>
      <c r="D13421" s="0" t="s">
        <v>44713</v>
      </c>
      <c r="E13421" s="0" t="s">
        <v>89</v>
      </c>
      <c r="F13421" s="0" t="s">
        <v>90</v>
      </c>
      <c r="G13421" s="0" t="s">
        <v>36</v>
      </c>
      <c r="H13421" s="0" t="n">
        <v>6</v>
      </c>
      <c r="I13421" s="0" t="s">
        <v>44714</v>
      </c>
      <c r="J13421" s="0" t="s">
        <v>44715</v>
      </c>
      <c r="K13421" s="0" t="s">
        <v>44716</v>
      </c>
      <c r="L13421" s="0" t="str">
        <f aca="false">HYPERLINK("https://www.ncbi.nlm.nih.gov/nuccore/CP000304.1?report=graph&amp;tracks=[key:gene_model_track,Options:GeneOnly]&amp;mk=3800630:3800649|offset_6|00cc00,3800610:3800629|offset_26|444444,3800580:3800599|offset_56|444444,3800542:3800561|offset_94|444444&amp;v=3800429:3800761&amp;c=444444", "offset 6")</f>
        <v>offset 6</v>
      </c>
    </row>
    <row r="13422" customFormat="false" ht="12.8" hidden="false" customHeight="false" outlineLevel="0" collapsed="false">
      <c r="A13422" s="0" t="s">
        <v>12</v>
      </c>
      <c r="B13422" s="0" t="n">
        <v>3800609</v>
      </c>
      <c r="C13422" s="0" t="n">
        <v>3800629</v>
      </c>
      <c r="D13422" s="0" t="s">
        <v>44713</v>
      </c>
      <c r="E13422" s="0" t="s">
        <v>89</v>
      </c>
      <c r="F13422" s="0" t="s">
        <v>90</v>
      </c>
      <c r="G13422" s="0" t="s">
        <v>32</v>
      </c>
      <c r="H13422" s="0" t="n">
        <v>26</v>
      </c>
      <c r="I13422" s="0" t="s">
        <v>44717</v>
      </c>
      <c r="J13422" s="0" t="s">
        <v>44718</v>
      </c>
      <c r="K13422" s="0" t="s">
        <v>44719</v>
      </c>
      <c r="L13422" s="0" t="str">
        <f aca="false">HYPERLINK("https://www.ncbi.nlm.nih.gov/nuccore/CP000304.1?report=graph&amp;tracks=[key:gene_model_track,Options:GeneOnly]&amp;mk=3800630:3800649|offset_6|444444,3800610:3800629|offset_26|00cc00,3800580:3800599|offset_56|444444,3800542:3800561|offset_94|444444&amp;v=3800429:3800761&amp;c=444444", "offset 26")</f>
        <v>offset 26</v>
      </c>
    </row>
    <row r="13423" customFormat="false" ht="12.8" hidden="false" customHeight="false" outlineLevel="0" collapsed="false">
      <c r="A13423" s="0" t="s">
        <v>12</v>
      </c>
      <c r="B13423" s="0" t="n">
        <v>3800579</v>
      </c>
      <c r="C13423" s="0" t="n">
        <v>3800599</v>
      </c>
      <c r="D13423" s="0" t="s">
        <v>44713</v>
      </c>
      <c r="E13423" s="0" t="s">
        <v>89</v>
      </c>
      <c r="F13423" s="0" t="s">
        <v>90</v>
      </c>
      <c r="G13423" s="0" t="s">
        <v>16</v>
      </c>
      <c r="H13423" s="0" t="n">
        <v>56</v>
      </c>
      <c r="I13423" s="0" t="s">
        <v>44720</v>
      </c>
      <c r="J13423" s="0" t="s">
        <v>44721</v>
      </c>
      <c r="K13423" s="0" t="s">
        <v>44722</v>
      </c>
      <c r="L13423" s="0" t="str">
        <f aca="false">HYPERLINK("https://www.ncbi.nlm.nih.gov/nuccore/CP000304.1?report=graph&amp;tracks=[key:gene_model_track,Options:GeneOnly]&amp;mk=3800630:3800649|offset_6|444444,3800610:3800629|offset_26|444444,3800580:3800599|offset_56|00cc00,3800542:3800561|offset_94|444444&amp;v=3800429:3800761&amp;c=444444", "offset 56")</f>
        <v>offset 56</v>
      </c>
    </row>
    <row r="13424" customFormat="false" ht="12.8" hidden="false" customHeight="false" outlineLevel="0" collapsed="false">
      <c r="A13424" s="0" t="s">
        <v>12</v>
      </c>
      <c r="B13424" s="0" t="n">
        <v>3800541</v>
      </c>
      <c r="C13424" s="0" t="n">
        <v>3800561</v>
      </c>
      <c r="D13424" s="0" t="s">
        <v>44713</v>
      </c>
      <c r="E13424" s="0" t="s">
        <v>89</v>
      </c>
      <c r="F13424" s="0" t="s">
        <v>90</v>
      </c>
      <c r="G13424" s="0" t="s">
        <v>32</v>
      </c>
      <c r="H13424" s="0" t="n">
        <v>94</v>
      </c>
      <c r="I13424" s="0" t="s">
        <v>44723</v>
      </c>
      <c r="J13424" s="0" t="s">
        <v>44724</v>
      </c>
      <c r="K13424" s="0" t="s">
        <v>44725</v>
      </c>
      <c r="L13424" s="0" t="str">
        <f aca="false">HYPERLINK("https://www.ncbi.nlm.nih.gov/nuccore/CP000304.1?report=graph&amp;tracks=[key:gene_model_track,Options:GeneOnly]&amp;mk=3800630:3800649|offset_6|444444,3800610:3800629|offset_26|444444,3800580:3800599|offset_56|444444,3800542:3800561|offset_94|00cc00&amp;v=3800429:3800761&amp;c=444444", "offset 94")</f>
        <v>offset 94</v>
      </c>
    </row>
    <row r="13425" customFormat="false" ht="12.8" hidden="false" customHeight="false" outlineLevel="0" collapsed="false">
      <c r="A13425" s="0" t="s">
        <v>12</v>
      </c>
      <c r="B13425" s="0" t="n">
        <v>3800887</v>
      </c>
      <c r="C13425" s="0" t="n">
        <v>3800907</v>
      </c>
      <c r="D13425" s="0" t="s">
        <v>44726</v>
      </c>
      <c r="E13425" s="0" t="s">
        <v>44727</v>
      </c>
      <c r="F13425" s="0" t="s">
        <v>15</v>
      </c>
      <c r="G13425" s="0" t="s">
        <v>32</v>
      </c>
      <c r="H13425" s="0" t="n">
        <v>1</v>
      </c>
      <c r="I13425" s="0" t="s">
        <v>44728</v>
      </c>
      <c r="J13425" s="0" t="s">
        <v>44729</v>
      </c>
      <c r="K13425" s="0" t="s">
        <v>44730</v>
      </c>
      <c r="L13425" s="0" t="str">
        <f aca="false">HYPERLINK("https://www.ncbi.nlm.nih.gov/nuccore/CP000304.1?report=graph&amp;tracks=[key:gene_model_track,Options:GeneOnly]&amp;mk=3800888:3800907|offset_1|00cc00,3800925:3800944|offset_38|444444,3800950:3800969|offset_63|444444,3800988:3801007|offset_101|444444&amp;v=3800687:3801207&amp;c=444444", "offset 1")</f>
        <v>offset 1</v>
      </c>
    </row>
    <row r="13426" customFormat="false" ht="12.8" hidden="false" customHeight="false" outlineLevel="0" collapsed="false">
      <c r="A13426" s="0" t="s">
        <v>12</v>
      </c>
      <c r="B13426" s="0" t="n">
        <v>3800924</v>
      </c>
      <c r="C13426" s="0" t="n">
        <v>3800944</v>
      </c>
      <c r="D13426" s="0" t="s">
        <v>44726</v>
      </c>
      <c r="E13426" s="0" t="s">
        <v>44727</v>
      </c>
      <c r="F13426" s="0" t="s">
        <v>15</v>
      </c>
      <c r="G13426" s="0" t="s">
        <v>16</v>
      </c>
      <c r="H13426" s="0" t="n">
        <v>38</v>
      </c>
      <c r="I13426" s="0" t="s">
        <v>44731</v>
      </c>
      <c r="J13426" s="0" t="s">
        <v>44732</v>
      </c>
      <c r="K13426" s="0" t="s">
        <v>44733</v>
      </c>
      <c r="L13426" s="0" t="str">
        <f aca="false">HYPERLINK("https://www.ncbi.nlm.nih.gov/nuccore/CP000304.1?report=graph&amp;tracks=[key:gene_model_track,Options:GeneOnly]&amp;mk=3800888:3800907|offset_1|444444,3800925:3800944|offset_38|00cc00,3800950:3800969|offset_63|444444,3800988:3801007|offset_101|444444&amp;v=3800687:3801207&amp;c=444444", "offset 38")</f>
        <v>offset 38</v>
      </c>
    </row>
    <row r="13427" customFormat="false" ht="12.8" hidden="false" customHeight="false" outlineLevel="0" collapsed="false">
      <c r="A13427" s="0" t="s">
        <v>12</v>
      </c>
      <c r="B13427" s="0" t="n">
        <v>3800949</v>
      </c>
      <c r="C13427" s="0" t="n">
        <v>3800969</v>
      </c>
      <c r="D13427" s="0" t="s">
        <v>44726</v>
      </c>
      <c r="E13427" s="0" t="s">
        <v>44727</v>
      </c>
      <c r="F13427" s="0" t="s">
        <v>15</v>
      </c>
      <c r="G13427" s="0" t="s">
        <v>16</v>
      </c>
      <c r="H13427" s="0" t="n">
        <v>63</v>
      </c>
      <c r="I13427" s="0" t="s">
        <v>44734</v>
      </c>
      <c r="J13427" s="0" t="s">
        <v>44735</v>
      </c>
      <c r="K13427" s="0" t="s">
        <v>44736</v>
      </c>
      <c r="L13427" s="0" t="str">
        <f aca="false">HYPERLINK("https://www.ncbi.nlm.nih.gov/nuccore/CP000304.1?report=graph&amp;tracks=[key:gene_model_track,Options:GeneOnly]&amp;mk=3800888:3800907|offset_1|444444,3800925:3800944|offset_38|444444,3800950:3800969|offset_63|00cc00,3800988:3801007|offset_101|444444&amp;v=3800687:3801207&amp;c=444444", "offset 63")</f>
        <v>offset 63</v>
      </c>
    </row>
    <row r="13428" customFormat="false" ht="12.8" hidden="false" customHeight="false" outlineLevel="0" collapsed="false">
      <c r="A13428" s="0" t="s">
        <v>12</v>
      </c>
      <c r="B13428" s="0" t="n">
        <v>3800987</v>
      </c>
      <c r="C13428" s="0" t="n">
        <v>3801007</v>
      </c>
      <c r="D13428" s="0" t="s">
        <v>44726</v>
      </c>
      <c r="E13428" s="0" t="s">
        <v>44727</v>
      </c>
      <c r="F13428" s="0" t="s">
        <v>15</v>
      </c>
      <c r="G13428" s="0" t="s">
        <v>26</v>
      </c>
      <c r="H13428" s="0" t="n">
        <v>101</v>
      </c>
      <c r="I13428" s="0" t="s">
        <v>44737</v>
      </c>
      <c r="J13428" s="0" t="s">
        <v>44738</v>
      </c>
      <c r="K13428" s="0" t="s">
        <v>44739</v>
      </c>
      <c r="L13428" s="0" t="str">
        <f aca="false">HYPERLINK("https://www.ncbi.nlm.nih.gov/nuccore/CP000304.1?report=graph&amp;tracks=[key:gene_model_track,Options:GeneOnly]&amp;mk=3800888:3800907|offset_1|444444,3800925:3800944|offset_38|444444,3800950:3800969|offset_63|444444,3800988:3801007|offset_101|00cc00&amp;v=3800687:3801207&amp;c=444444", "offset 101")</f>
        <v>offset 101</v>
      </c>
    </row>
    <row r="13429" customFormat="false" ht="12.8" hidden="false" customHeight="false" outlineLevel="0" collapsed="false">
      <c r="A13429" s="0" t="s">
        <v>12</v>
      </c>
      <c r="B13429" s="0" t="n">
        <v>3801619</v>
      </c>
      <c r="C13429" s="0" t="n">
        <v>3801639</v>
      </c>
      <c r="D13429" s="0" t="s">
        <v>44740</v>
      </c>
      <c r="E13429" s="0" t="s">
        <v>89</v>
      </c>
      <c r="F13429" s="0" t="s">
        <v>15</v>
      </c>
      <c r="G13429" s="0" t="s">
        <v>16</v>
      </c>
      <c r="H13429" s="0" t="n">
        <v>7</v>
      </c>
      <c r="I13429" s="0" t="s">
        <v>44741</v>
      </c>
      <c r="J13429" s="0" t="s">
        <v>44742</v>
      </c>
      <c r="K13429" s="0" t="s">
        <v>44743</v>
      </c>
      <c r="L13429" s="0" t="str">
        <f aca="false">HYPERLINK("https://www.ncbi.nlm.nih.gov/nuccore/CP000304.1?report=graph&amp;tracks=[key:gene_model_track,Options:GeneOnly]&amp;mk=3801620:3801639|offset_7|00cc00,3801647:3801666|offset_34|444444,3801671:3801690|offset_58|444444,3801692:3801711|offset_79|444444&amp;v=3801419:3801911&amp;c=444444", "offset 7")</f>
        <v>offset 7</v>
      </c>
    </row>
    <row r="13430" customFormat="false" ht="12.8" hidden="false" customHeight="false" outlineLevel="0" collapsed="false">
      <c r="A13430" s="0" t="s">
        <v>12</v>
      </c>
      <c r="B13430" s="0" t="n">
        <v>3801646</v>
      </c>
      <c r="C13430" s="0" t="n">
        <v>3801666</v>
      </c>
      <c r="D13430" s="0" t="s">
        <v>44740</v>
      </c>
      <c r="E13430" s="0" t="s">
        <v>89</v>
      </c>
      <c r="F13430" s="0" t="s">
        <v>15</v>
      </c>
      <c r="G13430" s="0" t="s">
        <v>26</v>
      </c>
      <c r="H13430" s="0" t="n">
        <v>34</v>
      </c>
      <c r="I13430" s="0" t="s">
        <v>44744</v>
      </c>
      <c r="J13430" s="0" t="s">
        <v>44745</v>
      </c>
      <c r="K13430" s="0" t="s">
        <v>44746</v>
      </c>
      <c r="L13430" s="0" t="str">
        <f aca="false">HYPERLINK("https://www.ncbi.nlm.nih.gov/nuccore/CP000304.1?report=graph&amp;tracks=[key:gene_model_track,Options:GeneOnly]&amp;mk=3801620:3801639|offset_7|444444,3801647:3801666|offset_34|00cc00,3801671:3801690|offset_58|444444,3801692:3801711|offset_79|444444&amp;v=3801419:3801911&amp;c=444444", "offset 34")</f>
        <v>offset 34</v>
      </c>
    </row>
    <row r="13431" customFormat="false" ht="12.8" hidden="false" customHeight="false" outlineLevel="0" collapsed="false">
      <c r="A13431" s="0" t="s">
        <v>12</v>
      </c>
      <c r="B13431" s="0" t="n">
        <v>3801670</v>
      </c>
      <c r="C13431" s="0" t="n">
        <v>3801690</v>
      </c>
      <c r="D13431" s="0" t="s">
        <v>44740</v>
      </c>
      <c r="E13431" s="0" t="s">
        <v>89</v>
      </c>
      <c r="F13431" s="0" t="s">
        <v>15</v>
      </c>
      <c r="G13431" s="0" t="s">
        <v>36</v>
      </c>
      <c r="H13431" s="0" t="n">
        <v>58</v>
      </c>
      <c r="I13431" s="0" t="s">
        <v>44747</v>
      </c>
      <c r="J13431" s="0" t="s">
        <v>44748</v>
      </c>
      <c r="K13431" s="0" t="s">
        <v>44749</v>
      </c>
      <c r="L13431" s="0" t="str">
        <f aca="false">HYPERLINK("https://www.ncbi.nlm.nih.gov/nuccore/CP000304.1?report=graph&amp;tracks=[key:gene_model_track,Options:GeneOnly]&amp;mk=3801620:3801639|offset_7|444444,3801647:3801666|offset_34|444444,3801671:3801690|offset_58|00cc00,3801692:3801711|offset_79|444444&amp;v=3801419:3801911&amp;c=444444", "offset 58")</f>
        <v>offset 58</v>
      </c>
    </row>
    <row r="13432" customFormat="false" ht="12.8" hidden="false" customHeight="false" outlineLevel="0" collapsed="false">
      <c r="A13432" s="0" t="s">
        <v>12</v>
      </c>
      <c r="B13432" s="0" t="n">
        <v>3801691</v>
      </c>
      <c r="C13432" s="0" t="n">
        <v>3801711</v>
      </c>
      <c r="D13432" s="0" t="s">
        <v>44740</v>
      </c>
      <c r="E13432" s="0" t="s">
        <v>89</v>
      </c>
      <c r="F13432" s="0" t="s">
        <v>15</v>
      </c>
      <c r="G13432" s="0" t="s">
        <v>16</v>
      </c>
      <c r="H13432" s="0" t="n">
        <v>79</v>
      </c>
      <c r="I13432" s="0" t="s">
        <v>44750</v>
      </c>
      <c r="J13432" s="0" t="s">
        <v>44751</v>
      </c>
      <c r="K13432" s="0" t="s">
        <v>44752</v>
      </c>
      <c r="L13432" s="0" t="str">
        <f aca="false">HYPERLINK("https://www.ncbi.nlm.nih.gov/nuccore/CP000304.1?report=graph&amp;tracks=[key:gene_model_track,Options:GeneOnly]&amp;mk=3801620:3801639|offset_7|444444,3801647:3801666|offset_34|444444,3801671:3801690|offset_58|444444,3801692:3801711|offset_79|00cc00&amp;v=3801419:3801911&amp;c=444444", "offset 79")</f>
        <v>offset 79</v>
      </c>
    </row>
    <row r="13433" customFormat="false" ht="12.8" hidden="false" customHeight="false" outlineLevel="0" collapsed="false">
      <c r="A13433" s="0" t="s">
        <v>12</v>
      </c>
      <c r="B13433" s="0" t="n">
        <v>3803474</v>
      </c>
      <c r="C13433" s="0" t="n">
        <v>3803494</v>
      </c>
      <c r="D13433" s="0" t="s">
        <v>44753</v>
      </c>
      <c r="E13433" s="0" t="s">
        <v>89</v>
      </c>
      <c r="F13433" s="0" t="s">
        <v>90</v>
      </c>
      <c r="G13433" s="0" t="s">
        <v>36</v>
      </c>
      <c r="H13433" s="0" t="n">
        <v>20</v>
      </c>
      <c r="I13433" s="0" t="s">
        <v>44754</v>
      </c>
      <c r="J13433" s="0" t="s">
        <v>44755</v>
      </c>
      <c r="K13433" s="0" t="s">
        <v>44756</v>
      </c>
      <c r="L13433" s="0" t="str">
        <f aca="false">HYPERLINK("https://www.ncbi.nlm.nih.gov/nuccore/CP000304.1?report=graph&amp;tracks=[key:gene_model_track,Options:GeneOnly]&amp;mk=3803475:3803494|offset_20|00cc00,3803451:3803470|offset_44|444444,3803411:3803430|offset_84|444444,3803374:3803393|offset_121|444444&amp;v=3803274:3803593&amp;c=444444", "offset 20")</f>
        <v>offset 20</v>
      </c>
    </row>
    <row r="13434" customFormat="false" ht="12.8" hidden="false" customHeight="false" outlineLevel="0" collapsed="false">
      <c r="A13434" s="0" t="s">
        <v>12</v>
      </c>
      <c r="B13434" s="0" t="n">
        <v>3803450</v>
      </c>
      <c r="C13434" s="0" t="n">
        <v>3803470</v>
      </c>
      <c r="D13434" s="0" t="s">
        <v>44753</v>
      </c>
      <c r="E13434" s="0" t="s">
        <v>89</v>
      </c>
      <c r="F13434" s="0" t="s">
        <v>90</v>
      </c>
      <c r="G13434" s="0" t="s">
        <v>32</v>
      </c>
      <c r="H13434" s="0" t="n">
        <v>44</v>
      </c>
      <c r="I13434" s="0" t="s">
        <v>44757</v>
      </c>
      <c r="J13434" s="0" t="s">
        <v>44758</v>
      </c>
      <c r="K13434" s="0" t="s">
        <v>44759</v>
      </c>
      <c r="L13434" s="0" t="str">
        <f aca="false">HYPERLINK("https://www.ncbi.nlm.nih.gov/nuccore/CP000304.1?report=graph&amp;tracks=[key:gene_model_track,Options:GeneOnly]&amp;mk=3803475:3803494|offset_20|444444,3803451:3803470|offset_44|00cc00,3803411:3803430|offset_84|444444,3803374:3803393|offset_121|444444&amp;v=3803274:3803593&amp;c=444444", "offset 44")</f>
        <v>offset 44</v>
      </c>
    </row>
    <row r="13435" customFormat="false" ht="12.8" hidden="false" customHeight="false" outlineLevel="0" collapsed="false">
      <c r="A13435" s="0" t="s">
        <v>12</v>
      </c>
      <c r="B13435" s="0" t="n">
        <v>3803410</v>
      </c>
      <c r="C13435" s="0" t="n">
        <v>3803430</v>
      </c>
      <c r="D13435" s="0" t="s">
        <v>44753</v>
      </c>
      <c r="E13435" s="0" t="s">
        <v>89</v>
      </c>
      <c r="F13435" s="0" t="s">
        <v>90</v>
      </c>
      <c r="G13435" s="0" t="s">
        <v>26</v>
      </c>
      <c r="H13435" s="0" t="n">
        <v>84</v>
      </c>
      <c r="I13435" s="0" t="s">
        <v>44760</v>
      </c>
      <c r="J13435" s="0" t="s">
        <v>44761</v>
      </c>
      <c r="K13435" s="0" t="s">
        <v>44762</v>
      </c>
      <c r="L13435" s="0" t="str">
        <f aca="false">HYPERLINK("https://www.ncbi.nlm.nih.gov/nuccore/CP000304.1?report=graph&amp;tracks=[key:gene_model_track,Options:GeneOnly]&amp;mk=3803475:3803494|offset_20|444444,3803451:3803470|offset_44|444444,3803411:3803430|offset_84|00cc00,3803374:3803393|offset_121|444444&amp;v=3803274:3803593&amp;c=444444", "offset 84")</f>
        <v>offset 84</v>
      </c>
    </row>
    <row r="13436" customFormat="false" ht="12.8" hidden="false" customHeight="false" outlineLevel="0" collapsed="false">
      <c r="A13436" s="0" t="s">
        <v>12</v>
      </c>
      <c r="B13436" s="0" t="n">
        <v>3803373</v>
      </c>
      <c r="C13436" s="0" t="n">
        <v>3803393</v>
      </c>
      <c r="D13436" s="0" t="s">
        <v>44753</v>
      </c>
      <c r="E13436" s="0" t="s">
        <v>89</v>
      </c>
      <c r="F13436" s="0" t="s">
        <v>90</v>
      </c>
      <c r="G13436" s="0" t="s">
        <v>32</v>
      </c>
      <c r="H13436" s="0" t="n">
        <v>121</v>
      </c>
      <c r="I13436" s="0" t="s">
        <v>44763</v>
      </c>
      <c r="J13436" s="0" t="s">
        <v>44764</v>
      </c>
      <c r="K13436" s="0" t="s">
        <v>44765</v>
      </c>
      <c r="L13436" s="0" t="str">
        <f aca="false">HYPERLINK("https://www.ncbi.nlm.nih.gov/nuccore/CP000304.1?report=graph&amp;tracks=[key:gene_model_track,Options:GeneOnly]&amp;mk=3803475:3803494|offset_20|444444,3803451:3803470|offset_44|444444,3803411:3803430|offset_84|444444,3803374:3803393|offset_121|00cc00&amp;v=3803274:3803593&amp;c=444444", "offset 121")</f>
        <v>offset 121</v>
      </c>
    </row>
    <row r="13437" customFormat="false" ht="12.8" hidden="false" customHeight="false" outlineLevel="0" collapsed="false">
      <c r="A13437" s="0" t="s">
        <v>12</v>
      </c>
      <c r="B13437" s="0" t="n">
        <v>3804496</v>
      </c>
      <c r="C13437" s="0" t="n">
        <v>3804516</v>
      </c>
      <c r="D13437" s="0" t="s">
        <v>44766</v>
      </c>
      <c r="E13437" s="0" t="s">
        <v>89</v>
      </c>
      <c r="F13437" s="0" t="s">
        <v>90</v>
      </c>
      <c r="G13437" s="0" t="s">
        <v>26</v>
      </c>
      <c r="H13437" s="0" t="n">
        <v>8</v>
      </c>
      <c r="I13437" s="0" t="s">
        <v>44767</v>
      </c>
      <c r="J13437" s="0" t="s">
        <v>44768</v>
      </c>
      <c r="K13437" s="0" t="s">
        <v>44769</v>
      </c>
      <c r="L13437" s="0" t="str">
        <f aca="false">HYPERLINK("https://www.ncbi.nlm.nih.gov/nuccore/CP000304.1?report=graph&amp;tracks=[key:gene_model_track,Options:GeneOnly]&amp;mk=3804497:3804516|offset_8|00cc00,3804476:3804495|offset_29|444444,3804456:3804475|offset_49|444444,3804435:3804454|offset_70|444444&amp;v=3804296:3804654&amp;c=444444", "offset 8")</f>
        <v>offset 8</v>
      </c>
    </row>
    <row r="13438" customFormat="false" ht="12.8" hidden="false" customHeight="false" outlineLevel="0" collapsed="false">
      <c r="A13438" s="0" t="s">
        <v>12</v>
      </c>
      <c r="B13438" s="0" t="n">
        <v>3804475</v>
      </c>
      <c r="C13438" s="0" t="n">
        <v>3804495</v>
      </c>
      <c r="D13438" s="0" t="s">
        <v>44766</v>
      </c>
      <c r="E13438" s="0" t="s">
        <v>89</v>
      </c>
      <c r="F13438" s="0" t="s">
        <v>90</v>
      </c>
      <c r="G13438" s="0" t="s">
        <v>26</v>
      </c>
      <c r="H13438" s="0" t="n">
        <v>29</v>
      </c>
      <c r="I13438" s="0" t="s">
        <v>44770</v>
      </c>
      <c r="J13438" s="0" t="s">
        <v>44771</v>
      </c>
      <c r="K13438" s="0" t="s">
        <v>44772</v>
      </c>
      <c r="L13438" s="0" t="str">
        <f aca="false">HYPERLINK("https://www.ncbi.nlm.nih.gov/nuccore/CP000304.1?report=graph&amp;tracks=[key:gene_model_track,Options:GeneOnly]&amp;mk=3804497:3804516|offset_8|444444,3804476:3804495|offset_29|00cc00,3804456:3804475|offset_49|444444,3804435:3804454|offset_70|444444&amp;v=3804296:3804654&amp;c=444444", "offset 29")</f>
        <v>offset 29</v>
      </c>
    </row>
    <row r="13439" customFormat="false" ht="12.8" hidden="false" customHeight="false" outlineLevel="0" collapsed="false">
      <c r="A13439" s="0" t="s">
        <v>12</v>
      </c>
      <c r="B13439" s="0" t="n">
        <v>3804455</v>
      </c>
      <c r="C13439" s="0" t="n">
        <v>3804475</v>
      </c>
      <c r="D13439" s="0" t="s">
        <v>44766</v>
      </c>
      <c r="E13439" s="0" t="s">
        <v>89</v>
      </c>
      <c r="F13439" s="0" t="s">
        <v>90</v>
      </c>
      <c r="G13439" s="0" t="s">
        <v>16</v>
      </c>
      <c r="H13439" s="0" t="n">
        <v>49</v>
      </c>
      <c r="I13439" s="0" t="s">
        <v>44773</v>
      </c>
      <c r="J13439" s="0" t="s">
        <v>44774</v>
      </c>
      <c r="K13439" s="0" t="s">
        <v>44775</v>
      </c>
      <c r="L13439" s="0" t="str">
        <f aca="false">HYPERLINK("https://www.ncbi.nlm.nih.gov/nuccore/CP000304.1?report=graph&amp;tracks=[key:gene_model_track,Options:GeneOnly]&amp;mk=3804497:3804516|offset_8|444444,3804476:3804495|offset_29|444444,3804456:3804475|offset_49|00cc00,3804435:3804454|offset_70|444444&amp;v=3804296:3804654&amp;c=444444", "offset 49")</f>
        <v>offset 49</v>
      </c>
    </row>
    <row r="13440" customFormat="false" ht="12.8" hidden="false" customHeight="false" outlineLevel="0" collapsed="false">
      <c r="A13440" s="0" t="s">
        <v>12</v>
      </c>
      <c r="B13440" s="0" t="n">
        <v>3804434</v>
      </c>
      <c r="C13440" s="0" t="n">
        <v>3804454</v>
      </c>
      <c r="D13440" s="0" t="s">
        <v>44766</v>
      </c>
      <c r="E13440" s="0" t="s">
        <v>89</v>
      </c>
      <c r="F13440" s="0" t="s">
        <v>90</v>
      </c>
      <c r="G13440" s="0" t="s">
        <v>32</v>
      </c>
      <c r="H13440" s="0" t="n">
        <v>70</v>
      </c>
      <c r="I13440" s="0" t="s">
        <v>44776</v>
      </c>
      <c r="J13440" s="0" t="s">
        <v>44777</v>
      </c>
      <c r="K13440" s="0" t="s">
        <v>44778</v>
      </c>
      <c r="L13440" s="0" t="str">
        <f aca="false">HYPERLINK("https://www.ncbi.nlm.nih.gov/nuccore/CP000304.1?report=graph&amp;tracks=[key:gene_model_track,Options:GeneOnly]&amp;mk=3804497:3804516|offset_8|444444,3804476:3804495|offset_29|444444,3804456:3804475|offset_49|444444,3804435:3804454|offset_70|00cc00&amp;v=3804296:3804654&amp;c=444444", "offset 70")</f>
        <v>offset 70</v>
      </c>
    </row>
    <row r="13441" customFormat="false" ht="12.8" hidden="false" customHeight="false" outlineLevel="0" collapsed="false">
      <c r="A13441" s="0" t="s">
        <v>12</v>
      </c>
      <c r="B13441" s="0" t="n">
        <v>3804917</v>
      </c>
      <c r="C13441" s="0" t="n">
        <v>3804937</v>
      </c>
      <c r="D13441" s="0" t="s">
        <v>44779</v>
      </c>
      <c r="E13441" s="0" t="s">
        <v>89</v>
      </c>
      <c r="F13441" s="0" t="s">
        <v>90</v>
      </c>
      <c r="G13441" s="0" t="s">
        <v>32</v>
      </c>
      <c r="H13441" s="0" t="n">
        <v>0</v>
      </c>
      <c r="I13441" s="0" t="s">
        <v>44780</v>
      </c>
      <c r="J13441" s="0" t="s">
        <v>44781</v>
      </c>
      <c r="K13441" s="0" t="s">
        <v>44782</v>
      </c>
      <c r="L13441" s="0" t="str">
        <f aca="false">HYPERLINK("https://www.ncbi.nlm.nih.gov/nuccore/CP000304.1?report=graph&amp;tracks=[key:gene_model_track,Options:GeneOnly]&amp;mk=3804918:3804937|offset_0|00cc00,3804887:3804906|offset_31|444444,3804851:3804870|offset_67|444444,3804823:3804842|offset_95|444444&amp;v=3804717:3805042&amp;c=444444", "offset 0")</f>
        <v>offset 0</v>
      </c>
    </row>
    <row r="13442" customFormat="false" ht="12.8" hidden="false" customHeight="false" outlineLevel="0" collapsed="false">
      <c r="A13442" s="0" t="s">
        <v>12</v>
      </c>
      <c r="B13442" s="0" t="n">
        <v>3804886</v>
      </c>
      <c r="C13442" s="0" t="n">
        <v>3804906</v>
      </c>
      <c r="D13442" s="0" t="s">
        <v>44779</v>
      </c>
      <c r="E13442" s="0" t="s">
        <v>89</v>
      </c>
      <c r="F13442" s="0" t="s">
        <v>90</v>
      </c>
      <c r="G13442" s="0" t="s">
        <v>36</v>
      </c>
      <c r="H13442" s="0" t="n">
        <v>31</v>
      </c>
      <c r="I13442" s="0" t="s">
        <v>44783</v>
      </c>
      <c r="J13442" s="0" t="s">
        <v>44784</v>
      </c>
      <c r="K13442" s="0" t="s">
        <v>44785</v>
      </c>
      <c r="L13442" s="0" t="str">
        <f aca="false">HYPERLINK("https://www.ncbi.nlm.nih.gov/nuccore/CP000304.1?report=graph&amp;tracks=[key:gene_model_track,Options:GeneOnly]&amp;mk=3804918:3804937|offset_0|444444,3804887:3804906|offset_31|00cc00,3804851:3804870|offset_67|444444,3804823:3804842|offset_95|444444&amp;v=3804717:3805042&amp;c=444444", "offset 31")</f>
        <v>offset 31</v>
      </c>
    </row>
    <row r="13443" customFormat="false" ht="12.8" hidden="false" customHeight="false" outlineLevel="0" collapsed="false">
      <c r="A13443" s="0" t="s">
        <v>12</v>
      </c>
      <c r="B13443" s="0" t="n">
        <v>3804850</v>
      </c>
      <c r="C13443" s="0" t="n">
        <v>3804870</v>
      </c>
      <c r="D13443" s="0" t="s">
        <v>44779</v>
      </c>
      <c r="E13443" s="0" t="s">
        <v>89</v>
      </c>
      <c r="F13443" s="0" t="s">
        <v>90</v>
      </c>
      <c r="G13443" s="0" t="s">
        <v>16</v>
      </c>
      <c r="H13443" s="0" t="n">
        <v>67</v>
      </c>
      <c r="I13443" s="0" t="s">
        <v>44786</v>
      </c>
      <c r="J13443" s="0" t="s">
        <v>44787</v>
      </c>
      <c r="K13443" s="0" t="s">
        <v>44788</v>
      </c>
      <c r="L13443" s="0" t="str">
        <f aca="false">HYPERLINK("https://www.ncbi.nlm.nih.gov/nuccore/CP000304.1?report=graph&amp;tracks=[key:gene_model_track,Options:GeneOnly]&amp;mk=3804918:3804937|offset_0|444444,3804887:3804906|offset_31|444444,3804851:3804870|offset_67|00cc00,3804823:3804842|offset_95|444444&amp;v=3804717:3805042&amp;c=444444", "offset 67")</f>
        <v>offset 67</v>
      </c>
    </row>
    <row r="13444" customFormat="false" ht="12.8" hidden="false" customHeight="false" outlineLevel="0" collapsed="false">
      <c r="A13444" s="0" t="s">
        <v>12</v>
      </c>
      <c r="B13444" s="0" t="n">
        <v>3804822</v>
      </c>
      <c r="C13444" s="0" t="n">
        <v>3804842</v>
      </c>
      <c r="D13444" s="0" t="s">
        <v>44779</v>
      </c>
      <c r="E13444" s="0" t="s">
        <v>89</v>
      </c>
      <c r="F13444" s="0" t="s">
        <v>90</v>
      </c>
      <c r="G13444" s="0" t="s">
        <v>16</v>
      </c>
      <c r="H13444" s="0" t="n">
        <v>95</v>
      </c>
      <c r="I13444" s="0" t="s">
        <v>44789</v>
      </c>
      <c r="J13444" s="0" t="s">
        <v>44790</v>
      </c>
      <c r="K13444" s="0" t="s">
        <v>44791</v>
      </c>
      <c r="L13444" s="0" t="str">
        <f aca="false">HYPERLINK("https://www.ncbi.nlm.nih.gov/nuccore/CP000304.1?report=graph&amp;tracks=[key:gene_model_track,Options:GeneOnly]&amp;mk=3804918:3804937|offset_0|444444,3804887:3804906|offset_31|444444,3804851:3804870|offset_67|444444,3804823:3804842|offset_95|00cc00&amp;v=3804717:3805042&amp;c=444444", "offset 95")</f>
        <v>offset 95</v>
      </c>
    </row>
    <row r="13445" customFormat="false" ht="12.8" hidden="false" customHeight="false" outlineLevel="0" collapsed="false">
      <c r="A13445" s="0" t="s">
        <v>12</v>
      </c>
      <c r="B13445" s="0" t="n">
        <v>3806492</v>
      </c>
      <c r="C13445" s="0" t="n">
        <v>3806512</v>
      </c>
      <c r="D13445" s="0" t="s">
        <v>44792</v>
      </c>
      <c r="E13445" s="0" t="s">
        <v>44793</v>
      </c>
      <c r="F13445" s="0" t="s">
        <v>90</v>
      </c>
      <c r="G13445" s="0" t="s">
        <v>16</v>
      </c>
      <c r="H13445" s="0" t="n">
        <v>55</v>
      </c>
      <c r="I13445" s="0" t="s">
        <v>44794</v>
      </c>
      <c r="J13445" s="0" t="s">
        <v>44795</v>
      </c>
      <c r="K13445" s="0" t="s">
        <v>44796</v>
      </c>
      <c r="L13445" s="0" t="str">
        <f aca="false">HYPERLINK("https://www.ncbi.nlm.nih.gov/nuccore/CP000304.1?report=graph&amp;tracks=[key:gene_model_track,Options:GeneOnly]&amp;mk=3806493:3806512|offset_55|00cc00,3806473:3806492|offset_75|444444,3806450:3806469|offset_98|444444,3806381:3806400|offset_167|444444&amp;v=3806292:3806600&amp;c=444444", "offset 55")</f>
        <v>offset 55</v>
      </c>
    </row>
    <row r="13446" customFormat="false" ht="12.8" hidden="false" customHeight="false" outlineLevel="0" collapsed="false">
      <c r="A13446" s="0" t="s">
        <v>12</v>
      </c>
      <c r="B13446" s="0" t="n">
        <v>3806472</v>
      </c>
      <c r="C13446" s="0" t="n">
        <v>3806492</v>
      </c>
      <c r="D13446" s="0" t="s">
        <v>44792</v>
      </c>
      <c r="E13446" s="0" t="s">
        <v>44793</v>
      </c>
      <c r="F13446" s="0" t="s">
        <v>90</v>
      </c>
      <c r="G13446" s="0" t="s">
        <v>36</v>
      </c>
      <c r="H13446" s="0" t="n">
        <v>75</v>
      </c>
      <c r="I13446" s="0" t="s">
        <v>44797</v>
      </c>
      <c r="J13446" s="0" t="s">
        <v>44798</v>
      </c>
      <c r="K13446" s="0" t="s">
        <v>44799</v>
      </c>
      <c r="L13446" s="0" t="str">
        <f aca="false">HYPERLINK("https://www.ncbi.nlm.nih.gov/nuccore/CP000304.1?report=graph&amp;tracks=[key:gene_model_track,Options:GeneOnly]&amp;mk=3806493:3806512|offset_55|444444,3806473:3806492|offset_75|00cc00,3806450:3806469|offset_98|444444,3806381:3806400|offset_167|444444&amp;v=3806292:3806600&amp;c=444444", "offset 75")</f>
        <v>offset 75</v>
      </c>
    </row>
    <row r="13447" customFormat="false" ht="12.8" hidden="false" customHeight="false" outlineLevel="0" collapsed="false">
      <c r="A13447" s="0" t="s">
        <v>12</v>
      </c>
      <c r="B13447" s="0" t="n">
        <v>3806449</v>
      </c>
      <c r="C13447" s="0" t="n">
        <v>3806469</v>
      </c>
      <c r="D13447" s="0" t="s">
        <v>44792</v>
      </c>
      <c r="E13447" s="0" t="s">
        <v>44793</v>
      </c>
      <c r="F13447" s="0" t="s">
        <v>90</v>
      </c>
      <c r="G13447" s="0" t="s">
        <v>26</v>
      </c>
      <c r="H13447" s="0" t="n">
        <v>98</v>
      </c>
      <c r="I13447" s="0" t="s">
        <v>44800</v>
      </c>
      <c r="J13447" s="0" t="s">
        <v>44801</v>
      </c>
      <c r="K13447" s="0" t="s">
        <v>44802</v>
      </c>
      <c r="L13447" s="0" t="str">
        <f aca="false">HYPERLINK("https://www.ncbi.nlm.nih.gov/nuccore/CP000304.1?report=graph&amp;tracks=[key:gene_model_track,Options:GeneOnly]&amp;mk=3806493:3806512|offset_55|444444,3806473:3806492|offset_75|444444,3806450:3806469|offset_98|00cc00,3806381:3806400|offset_167|444444&amp;v=3806292:3806600&amp;c=444444", "offset 98")</f>
        <v>offset 98</v>
      </c>
    </row>
    <row r="13448" customFormat="false" ht="12.8" hidden="false" customHeight="false" outlineLevel="0" collapsed="false">
      <c r="A13448" s="0" t="s">
        <v>12</v>
      </c>
      <c r="B13448" s="0" t="n">
        <v>3806380</v>
      </c>
      <c r="C13448" s="0" t="n">
        <v>3806400</v>
      </c>
      <c r="D13448" s="0" t="s">
        <v>44792</v>
      </c>
      <c r="E13448" s="0" t="s">
        <v>44793</v>
      </c>
      <c r="F13448" s="0" t="s">
        <v>90</v>
      </c>
      <c r="G13448" s="0" t="s">
        <v>26</v>
      </c>
      <c r="H13448" s="0" t="n">
        <v>167</v>
      </c>
      <c r="I13448" s="0" t="s">
        <v>44803</v>
      </c>
      <c r="J13448" s="0" t="s">
        <v>44804</v>
      </c>
      <c r="K13448" s="0" t="s">
        <v>44805</v>
      </c>
      <c r="L13448" s="0" t="str">
        <f aca="false">HYPERLINK("https://www.ncbi.nlm.nih.gov/nuccore/CP000304.1?report=graph&amp;tracks=[key:gene_model_track,Options:GeneOnly]&amp;mk=3806493:3806512|offset_55|444444,3806473:3806492|offset_75|444444,3806450:3806469|offset_98|444444,3806381:3806400|offset_167|00cc00&amp;v=3806292:3806600&amp;c=444444", "offset 167")</f>
        <v>offset 167</v>
      </c>
    </row>
    <row r="13449" customFormat="false" ht="12.8" hidden="false" customHeight="false" outlineLevel="0" collapsed="false">
      <c r="A13449" s="0" t="s">
        <v>12</v>
      </c>
      <c r="B13449" s="0" t="n">
        <v>3806569</v>
      </c>
      <c r="C13449" s="0" t="n">
        <v>3806589</v>
      </c>
      <c r="D13449" s="0" t="s">
        <v>44806</v>
      </c>
      <c r="E13449" s="0" t="s">
        <v>44807</v>
      </c>
      <c r="F13449" s="0" t="s">
        <v>15</v>
      </c>
      <c r="G13449" s="0" t="s">
        <v>32</v>
      </c>
      <c r="H13449" s="0" t="n">
        <v>34</v>
      </c>
      <c r="I13449" s="0" t="s">
        <v>44808</v>
      </c>
      <c r="J13449" s="0" t="s">
        <v>44809</v>
      </c>
      <c r="K13449" s="0" t="s">
        <v>44810</v>
      </c>
      <c r="L13449" s="0" t="str">
        <f aca="false">HYPERLINK("https://www.ncbi.nlm.nih.gov/nuccore/CP000304.1?report=graph&amp;tracks=[key:gene_model_track,Options:GeneOnly]&amp;mk=3806570:3806589|offset_34|00cc00,3806628:3806647|offset_92|444444,3806697:3806716|offset_161|444444,3806721:3806740|offset_185|444444&amp;v=3806369:3806940&amp;c=444444", "offset 34")</f>
        <v>offset 34</v>
      </c>
    </row>
    <row r="13450" customFormat="false" ht="12.8" hidden="false" customHeight="false" outlineLevel="0" collapsed="false">
      <c r="A13450" s="0" t="s">
        <v>12</v>
      </c>
      <c r="B13450" s="0" t="n">
        <v>3806627</v>
      </c>
      <c r="C13450" s="0" t="n">
        <v>3806647</v>
      </c>
      <c r="D13450" s="0" t="s">
        <v>44806</v>
      </c>
      <c r="E13450" s="0" t="s">
        <v>44807</v>
      </c>
      <c r="F13450" s="0" t="s">
        <v>15</v>
      </c>
      <c r="G13450" s="0" t="s">
        <v>26</v>
      </c>
      <c r="H13450" s="0" t="n">
        <v>92</v>
      </c>
      <c r="I13450" s="0" t="s">
        <v>44811</v>
      </c>
      <c r="J13450" s="0" t="s">
        <v>44812</v>
      </c>
      <c r="K13450" s="0" t="s">
        <v>44813</v>
      </c>
      <c r="L13450" s="0" t="str">
        <f aca="false">HYPERLINK("https://www.ncbi.nlm.nih.gov/nuccore/CP000304.1?report=graph&amp;tracks=[key:gene_model_track,Options:GeneOnly]&amp;mk=3806570:3806589|offset_34|444444,3806628:3806647|offset_92|00cc00,3806697:3806716|offset_161|444444,3806721:3806740|offset_185|444444&amp;v=3806369:3806940&amp;c=444444", "offset 92")</f>
        <v>offset 92</v>
      </c>
    </row>
    <row r="13451" customFormat="false" ht="12.8" hidden="false" customHeight="false" outlineLevel="0" collapsed="false">
      <c r="A13451" s="0" t="s">
        <v>12</v>
      </c>
      <c r="B13451" s="0" t="n">
        <v>3806696</v>
      </c>
      <c r="C13451" s="0" t="n">
        <v>3806716</v>
      </c>
      <c r="D13451" s="0" t="s">
        <v>44806</v>
      </c>
      <c r="E13451" s="0" t="s">
        <v>44807</v>
      </c>
      <c r="F13451" s="0" t="s">
        <v>15</v>
      </c>
      <c r="G13451" s="0" t="s">
        <v>26</v>
      </c>
      <c r="H13451" s="0" t="n">
        <v>161</v>
      </c>
      <c r="I13451" s="0" t="s">
        <v>44814</v>
      </c>
      <c r="J13451" s="0" t="s">
        <v>44815</v>
      </c>
      <c r="K13451" s="0" t="s">
        <v>44816</v>
      </c>
      <c r="L13451" s="0" t="str">
        <f aca="false">HYPERLINK("https://www.ncbi.nlm.nih.gov/nuccore/CP000304.1?report=graph&amp;tracks=[key:gene_model_track,Options:GeneOnly]&amp;mk=3806570:3806589|offset_34|444444,3806628:3806647|offset_92|444444,3806697:3806716|offset_161|00cc00,3806721:3806740|offset_185|444444&amp;v=3806369:3806940&amp;c=444444", "offset 161")</f>
        <v>offset 161</v>
      </c>
    </row>
    <row r="13452" customFormat="false" ht="12.8" hidden="false" customHeight="false" outlineLevel="0" collapsed="false">
      <c r="A13452" s="0" t="s">
        <v>12</v>
      </c>
      <c r="B13452" s="0" t="n">
        <v>3806720</v>
      </c>
      <c r="C13452" s="0" t="n">
        <v>3806740</v>
      </c>
      <c r="D13452" s="0" t="s">
        <v>44806</v>
      </c>
      <c r="E13452" s="0" t="s">
        <v>44807</v>
      </c>
      <c r="F13452" s="0" t="s">
        <v>15</v>
      </c>
      <c r="G13452" s="0" t="s">
        <v>26</v>
      </c>
      <c r="H13452" s="0" t="n">
        <v>185</v>
      </c>
      <c r="I13452" s="0" t="s">
        <v>44817</v>
      </c>
      <c r="J13452" s="0" t="s">
        <v>44818</v>
      </c>
      <c r="K13452" s="0" t="s">
        <v>44819</v>
      </c>
      <c r="L13452" s="0" t="str">
        <f aca="false">HYPERLINK("https://www.ncbi.nlm.nih.gov/nuccore/CP000304.1?report=graph&amp;tracks=[key:gene_model_track,Options:GeneOnly]&amp;mk=3806570:3806589|offset_34|444444,3806628:3806647|offset_92|444444,3806697:3806716|offset_161|444444,3806721:3806740|offset_185|00cc00&amp;v=3806369:3806940&amp;c=444444", "offset 185")</f>
        <v>offset 185</v>
      </c>
    </row>
    <row r="13453" customFormat="false" ht="12.8" hidden="false" customHeight="false" outlineLevel="0" collapsed="false">
      <c r="A13453" s="0" t="s">
        <v>12</v>
      </c>
      <c r="B13453" s="0" t="n">
        <v>3807409</v>
      </c>
      <c r="C13453" s="0" t="n">
        <v>3807429</v>
      </c>
      <c r="D13453" s="0" t="s">
        <v>44820</v>
      </c>
      <c r="E13453" s="0" t="s">
        <v>44821</v>
      </c>
      <c r="F13453" s="0" t="s">
        <v>15</v>
      </c>
      <c r="G13453" s="0" t="s">
        <v>26</v>
      </c>
      <c r="H13453" s="0" t="n">
        <v>14</v>
      </c>
      <c r="I13453" s="0" t="s">
        <v>44822</v>
      </c>
      <c r="J13453" s="0" t="s">
        <v>44823</v>
      </c>
      <c r="K13453" s="0" t="s">
        <v>44824</v>
      </c>
      <c r="L13453" s="0" t="str">
        <f aca="false">HYPERLINK("https://www.ncbi.nlm.nih.gov/nuccore/CP000304.1?report=graph&amp;tracks=[key:gene_model_track,Options:GeneOnly]&amp;mk=3807410:3807429|offset_14|00cc00,3807436:3807455|offset_40|444444,3807460:3807479|offset_64|444444,3807487:3807506|offset_91|444444&amp;v=3807209:3807706&amp;c=444444", "offset 14")</f>
        <v>offset 14</v>
      </c>
    </row>
    <row r="13454" customFormat="false" ht="12.8" hidden="false" customHeight="false" outlineLevel="0" collapsed="false">
      <c r="A13454" s="0" t="s">
        <v>12</v>
      </c>
      <c r="B13454" s="0" t="n">
        <v>3807435</v>
      </c>
      <c r="C13454" s="0" t="n">
        <v>3807455</v>
      </c>
      <c r="D13454" s="0" t="s">
        <v>44820</v>
      </c>
      <c r="E13454" s="0" t="s">
        <v>44821</v>
      </c>
      <c r="F13454" s="0" t="s">
        <v>15</v>
      </c>
      <c r="G13454" s="0" t="s">
        <v>32</v>
      </c>
      <c r="H13454" s="0" t="n">
        <v>40</v>
      </c>
      <c r="I13454" s="0" t="s">
        <v>44825</v>
      </c>
      <c r="J13454" s="0" t="s">
        <v>44826</v>
      </c>
      <c r="K13454" s="0" t="s">
        <v>44827</v>
      </c>
      <c r="L13454" s="0" t="str">
        <f aca="false">HYPERLINK("https://www.ncbi.nlm.nih.gov/nuccore/CP000304.1?report=graph&amp;tracks=[key:gene_model_track,Options:GeneOnly]&amp;mk=3807410:3807429|offset_14|444444,3807436:3807455|offset_40|00cc00,3807460:3807479|offset_64|444444,3807487:3807506|offset_91|444444&amp;v=3807209:3807706&amp;c=444444", "offset 40")</f>
        <v>offset 40</v>
      </c>
    </row>
    <row r="13455" customFormat="false" ht="12.8" hidden="false" customHeight="false" outlineLevel="0" collapsed="false">
      <c r="A13455" s="0" t="s">
        <v>12</v>
      </c>
      <c r="B13455" s="0" t="n">
        <v>3807459</v>
      </c>
      <c r="C13455" s="0" t="n">
        <v>3807479</v>
      </c>
      <c r="D13455" s="0" t="s">
        <v>44820</v>
      </c>
      <c r="E13455" s="0" t="s">
        <v>44821</v>
      </c>
      <c r="F13455" s="0" t="s">
        <v>15</v>
      </c>
      <c r="G13455" s="0" t="s">
        <v>32</v>
      </c>
      <c r="H13455" s="0" t="n">
        <v>64</v>
      </c>
      <c r="I13455" s="0" t="s">
        <v>44828</v>
      </c>
      <c r="J13455" s="0" t="s">
        <v>44829</v>
      </c>
      <c r="K13455" s="0" t="s">
        <v>44830</v>
      </c>
      <c r="L13455" s="0" t="str">
        <f aca="false">HYPERLINK("https://www.ncbi.nlm.nih.gov/nuccore/CP000304.1?report=graph&amp;tracks=[key:gene_model_track,Options:GeneOnly]&amp;mk=3807410:3807429|offset_14|444444,3807436:3807455|offset_40|444444,3807460:3807479|offset_64|00cc00,3807487:3807506|offset_91|444444&amp;v=3807209:3807706&amp;c=444444", "offset 64")</f>
        <v>offset 64</v>
      </c>
    </row>
    <row r="13456" customFormat="false" ht="12.8" hidden="false" customHeight="false" outlineLevel="0" collapsed="false">
      <c r="A13456" s="0" t="s">
        <v>12</v>
      </c>
      <c r="B13456" s="0" t="n">
        <v>3807486</v>
      </c>
      <c r="C13456" s="0" t="n">
        <v>3807506</v>
      </c>
      <c r="D13456" s="0" t="s">
        <v>44820</v>
      </c>
      <c r="E13456" s="0" t="s">
        <v>44821</v>
      </c>
      <c r="F13456" s="0" t="s">
        <v>15</v>
      </c>
      <c r="G13456" s="0" t="s">
        <v>32</v>
      </c>
      <c r="H13456" s="0" t="n">
        <v>91</v>
      </c>
      <c r="I13456" s="0" t="s">
        <v>44831</v>
      </c>
      <c r="J13456" s="0" t="s">
        <v>44832</v>
      </c>
      <c r="K13456" s="0" t="s">
        <v>44833</v>
      </c>
      <c r="L13456" s="0" t="str">
        <f aca="false">HYPERLINK("https://www.ncbi.nlm.nih.gov/nuccore/CP000304.1?report=graph&amp;tracks=[key:gene_model_track,Options:GeneOnly]&amp;mk=3807410:3807429|offset_14|444444,3807436:3807455|offset_40|444444,3807460:3807479|offset_64|444444,3807487:3807506|offset_91|00cc00&amp;v=3807209:3807706&amp;c=444444", "offset 91")</f>
        <v>offset 91</v>
      </c>
    </row>
    <row r="13457" customFormat="false" ht="12.8" hidden="false" customHeight="false" outlineLevel="0" collapsed="false">
      <c r="A13457" s="0" t="s">
        <v>12</v>
      </c>
      <c r="B13457" s="0" t="n">
        <v>3808062</v>
      </c>
      <c r="C13457" s="0" t="n">
        <v>3808082</v>
      </c>
      <c r="D13457" s="0" t="s">
        <v>44834</v>
      </c>
      <c r="E13457" s="0" t="s">
        <v>44835</v>
      </c>
      <c r="F13457" s="0" t="s">
        <v>15</v>
      </c>
      <c r="G13457" s="0" t="s">
        <v>16</v>
      </c>
      <c r="H13457" s="0" t="n">
        <v>14</v>
      </c>
      <c r="I13457" s="0" t="s">
        <v>44836</v>
      </c>
      <c r="J13457" s="0" t="s">
        <v>44837</v>
      </c>
      <c r="K13457" s="0" t="s">
        <v>44838</v>
      </c>
      <c r="L13457" s="0" t="str">
        <f aca="false">HYPERLINK("https://www.ncbi.nlm.nih.gov/nuccore/CP000304.1?report=graph&amp;tracks=[key:gene_model_track,Options:GeneOnly]&amp;mk=3808063:3808082|offset_14|00cc00,3808084:3808103|offset_35|444444,3808106:3808125|offset_57|444444,3808143:3808162|offset_94|444444&amp;v=3807862:3808362&amp;c=444444", "offset 14")</f>
        <v>offset 14</v>
      </c>
    </row>
    <row r="13458" customFormat="false" ht="12.8" hidden="false" customHeight="false" outlineLevel="0" collapsed="false">
      <c r="A13458" s="0" t="s">
        <v>12</v>
      </c>
      <c r="B13458" s="0" t="n">
        <v>3808083</v>
      </c>
      <c r="C13458" s="0" t="n">
        <v>3808103</v>
      </c>
      <c r="D13458" s="0" t="s">
        <v>44834</v>
      </c>
      <c r="E13458" s="0" t="s">
        <v>44835</v>
      </c>
      <c r="F13458" s="0" t="s">
        <v>15</v>
      </c>
      <c r="G13458" s="0" t="s">
        <v>16</v>
      </c>
      <c r="H13458" s="0" t="n">
        <v>35</v>
      </c>
      <c r="I13458" s="0" t="s">
        <v>44839</v>
      </c>
      <c r="J13458" s="0" t="s">
        <v>44840</v>
      </c>
      <c r="K13458" s="0" t="s">
        <v>44841</v>
      </c>
      <c r="L13458" s="0" t="str">
        <f aca="false">HYPERLINK("https://www.ncbi.nlm.nih.gov/nuccore/CP000304.1?report=graph&amp;tracks=[key:gene_model_track,Options:GeneOnly]&amp;mk=3808063:3808082|offset_14|444444,3808084:3808103|offset_35|00cc00,3808106:3808125|offset_57|444444,3808143:3808162|offset_94|444444&amp;v=3807862:3808362&amp;c=444444", "offset 35")</f>
        <v>offset 35</v>
      </c>
    </row>
    <row r="13459" customFormat="false" ht="12.8" hidden="false" customHeight="false" outlineLevel="0" collapsed="false">
      <c r="A13459" s="0" t="s">
        <v>12</v>
      </c>
      <c r="B13459" s="0" t="n">
        <v>3808105</v>
      </c>
      <c r="C13459" s="0" t="n">
        <v>3808125</v>
      </c>
      <c r="D13459" s="0" t="s">
        <v>44834</v>
      </c>
      <c r="E13459" s="0" t="s">
        <v>44835</v>
      </c>
      <c r="F13459" s="0" t="s">
        <v>15</v>
      </c>
      <c r="G13459" s="0" t="s">
        <v>16</v>
      </c>
      <c r="H13459" s="0" t="n">
        <v>57</v>
      </c>
      <c r="I13459" s="0" t="s">
        <v>44842</v>
      </c>
      <c r="J13459" s="0" t="s">
        <v>44843</v>
      </c>
      <c r="K13459" s="0" t="s">
        <v>44844</v>
      </c>
      <c r="L13459" s="0" t="str">
        <f aca="false">HYPERLINK("https://www.ncbi.nlm.nih.gov/nuccore/CP000304.1?report=graph&amp;tracks=[key:gene_model_track,Options:GeneOnly]&amp;mk=3808063:3808082|offset_14|444444,3808084:3808103|offset_35|444444,3808106:3808125|offset_57|00cc00,3808143:3808162|offset_94|444444&amp;v=3807862:3808362&amp;c=444444", "offset 57")</f>
        <v>offset 57</v>
      </c>
    </row>
    <row r="13460" customFormat="false" ht="12.8" hidden="false" customHeight="false" outlineLevel="0" collapsed="false">
      <c r="A13460" s="0" t="s">
        <v>12</v>
      </c>
      <c r="B13460" s="0" t="n">
        <v>3808142</v>
      </c>
      <c r="C13460" s="0" t="n">
        <v>3808162</v>
      </c>
      <c r="D13460" s="0" t="s">
        <v>44834</v>
      </c>
      <c r="E13460" s="0" t="s">
        <v>44835</v>
      </c>
      <c r="F13460" s="0" t="s">
        <v>15</v>
      </c>
      <c r="G13460" s="0" t="s">
        <v>32</v>
      </c>
      <c r="H13460" s="0" t="n">
        <v>94</v>
      </c>
      <c r="I13460" s="0" t="s">
        <v>44845</v>
      </c>
      <c r="J13460" s="0" t="s">
        <v>44846</v>
      </c>
      <c r="K13460" s="0" t="s">
        <v>44847</v>
      </c>
      <c r="L13460" s="0" t="str">
        <f aca="false">HYPERLINK("https://www.ncbi.nlm.nih.gov/nuccore/CP000304.1?report=graph&amp;tracks=[key:gene_model_track,Options:GeneOnly]&amp;mk=3808063:3808082|offset_14|444444,3808084:3808103|offset_35|444444,3808106:3808125|offset_57|444444,3808143:3808162|offset_94|00cc00&amp;v=3807862:3808362&amp;c=444444", "offset 94")</f>
        <v>offset 94</v>
      </c>
    </row>
    <row r="13461" customFormat="false" ht="12.8" hidden="false" customHeight="false" outlineLevel="0" collapsed="false">
      <c r="A13461" s="0" t="s">
        <v>12</v>
      </c>
      <c r="B13461" s="0" t="n">
        <v>3808743</v>
      </c>
      <c r="C13461" s="0" t="n">
        <v>3808763</v>
      </c>
      <c r="D13461" s="0" t="s">
        <v>44848</v>
      </c>
      <c r="E13461" s="0" t="s">
        <v>44849</v>
      </c>
      <c r="F13461" s="0" t="s">
        <v>15</v>
      </c>
      <c r="G13461" s="0" t="s">
        <v>32</v>
      </c>
      <c r="H13461" s="0" t="n">
        <v>10</v>
      </c>
      <c r="I13461" s="0" t="s">
        <v>44850</v>
      </c>
      <c r="J13461" s="0" t="s">
        <v>44851</v>
      </c>
      <c r="K13461" s="0" t="s">
        <v>44852</v>
      </c>
      <c r="L13461" s="0" t="str">
        <f aca="false">HYPERLINK("https://www.ncbi.nlm.nih.gov/nuccore/CP000304.1?report=graph&amp;tracks=[key:gene_model_track,Options:GeneOnly]&amp;mk=3808744:3808763|offset_10|00cc00,3808799:3808818|offset_65|444444,3808823:3808842|offset_89|444444,3808849:3808868|offset_115|444444&amp;v=3808543:3809068&amp;c=444444", "offset 10")</f>
        <v>offset 10</v>
      </c>
    </row>
    <row r="13462" customFormat="false" ht="12.8" hidden="false" customHeight="false" outlineLevel="0" collapsed="false">
      <c r="A13462" s="0" t="s">
        <v>12</v>
      </c>
      <c r="B13462" s="0" t="n">
        <v>3808798</v>
      </c>
      <c r="C13462" s="0" t="n">
        <v>3808818</v>
      </c>
      <c r="D13462" s="0" t="s">
        <v>44848</v>
      </c>
      <c r="E13462" s="0" t="s">
        <v>44849</v>
      </c>
      <c r="F13462" s="0" t="s">
        <v>15</v>
      </c>
      <c r="G13462" s="0" t="s">
        <v>32</v>
      </c>
      <c r="H13462" s="0" t="n">
        <v>65</v>
      </c>
      <c r="I13462" s="0" t="s">
        <v>44853</v>
      </c>
      <c r="J13462" s="0" t="s">
        <v>44854</v>
      </c>
      <c r="K13462" s="0" t="s">
        <v>44855</v>
      </c>
      <c r="L13462" s="0" t="str">
        <f aca="false">HYPERLINK("https://www.ncbi.nlm.nih.gov/nuccore/CP000304.1?report=graph&amp;tracks=[key:gene_model_track,Options:GeneOnly]&amp;mk=3808744:3808763|offset_10|444444,3808799:3808818|offset_65|00cc00,3808823:3808842|offset_89|444444,3808849:3808868|offset_115|444444&amp;v=3808543:3809068&amp;c=444444", "offset 65")</f>
        <v>offset 65</v>
      </c>
    </row>
    <row r="13463" customFormat="false" ht="12.8" hidden="false" customHeight="false" outlineLevel="0" collapsed="false">
      <c r="A13463" s="0" t="s">
        <v>12</v>
      </c>
      <c r="B13463" s="0" t="n">
        <v>3808822</v>
      </c>
      <c r="C13463" s="0" t="n">
        <v>3808842</v>
      </c>
      <c r="D13463" s="0" t="s">
        <v>44848</v>
      </c>
      <c r="E13463" s="0" t="s">
        <v>44849</v>
      </c>
      <c r="F13463" s="0" t="s">
        <v>15</v>
      </c>
      <c r="G13463" s="0" t="s">
        <v>32</v>
      </c>
      <c r="H13463" s="0" t="n">
        <v>89</v>
      </c>
      <c r="I13463" s="0" t="s">
        <v>44856</v>
      </c>
      <c r="J13463" s="0" t="s">
        <v>44857</v>
      </c>
      <c r="K13463" s="0" t="s">
        <v>44858</v>
      </c>
      <c r="L13463" s="0" t="str">
        <f aca="false">HYPERLINK("https://www.ncbi.nlm.nih.gov/nuccore/CP000304.1?report=graph&amp;tracks=[key:gene_model_track,Options:GeneOnly]&amp;mk=3808744:3808763|offset_10|444444,3808799:3808818|offset_65|444444,3808823:3808842|offset_89|00cc00,3808849:3808868|offset_115|444444&amp;v=3808543:3809068&amp;c=444444", "offset 89")</f>
        <v>offset 89</v>
      </c>
    </row>
    <row r="13464" customFormat="false" ht="12.8" hidden="false" customHeight="false" outlineLevel="0" collapsed="false">
      <c r="A13464" s="0" t="s">
        <v>12</v>
      </c>
      <c r="B13464" s="0" t="n">
        <v>3808848</v>
      </c>
      <c r="C13464" s="0" t="n">
        <v>3808868</v>
      </c>
      <c r="D13464" s="0" t="s">
        <v>44848</v>
      </c>
      <c r="E13464" s="0" t="s">
        <v>44849</v>
      </c>
      <c r="F13464" s="0" t="s">
        <v>15</v>
      </c>
      <c r="G13464" s="0" t="s">
        <v>16</v>
      </c>
      <c r="H13464" s="0" t="n">
        <v>115</v>
      </c>
      <c r="I13464" s="0" t="s">
        <v>44859</v>
      </c>
      <c r="J13464" s="0" t="s">
        <v>44860</v>
      </c>
      <c r="K13464" s="0" t="s">
        <v>44861</v>
      </c>
      <c r="L13464" s="0" t="str">
        <f aca="false">HYPERLINK("https://www.ncbi.nlm.nih.gov/nuccore/CP000304.1?report=graph&amp;tracks=[key:gene_model_track,Options:GeneOnly]&amp;mk=3808744:3808763|offset_10|444444,3808799:3808818|offset_65|444444,3808823:3808842|offset_89|444444,3808849:3808868|offset_115|00cc00&amp;v=3808543:3809068&amp;c=444444", "offset 115")</f>
        <v>offset 115</v>
      </c>
    </row>
    <row r="13465" customFormat="false" ht="12.8" hidden="false" customHeight="false" outlineLevel="0" collapsed="false">
      <c r="A13465" s="0" t="s">
        <v>12</v>
      </c>
      <c r="B13465" s="0" t="n">
        <v>3811064</v>
      </c>
      <c r="C13465" s="0" t="n">
        <v>3811084</v>
      </c>
      <c r="D13465" s="0" t="s">
        <v>44862</v>
      </c>
      <c r="E13465" s="0" t="s">
        <v>44863</v>
      </c>
      <c r="F13465" s="0" t="s">
        <v>90</v>
      </c>
      <c r="G13465" s="0" t="s">
        <v>26</v>
      </c>
      <c r="H13465" s="0" t="n">
        <v>7</v>
      </c>
      <c r="I13465" s="0" t="s">
        <v>44864</v>
      </c>
      <c r="J13465" s="0" t="s">
        <v>44865</v>
      </c>
      <c r="K13465" s="0" t="s">
        <v>44866</v>
      </c>
      <c r="L13465" s="0" t="str">
        <f aca="false">HYPERLINK("https://www.ncbi.nlm.nih.gov/nuccore/CP000304.1?report=graph&amp;tracks=[key:gene_model_track,Options:GeneOnly]&amp;mk=3811065:3811084|offset_7|00cc00,3811022:3811041|offset_50|444444,3811002:3811021|offset_70|444444,3810952:3810971|offset_120|444444&amp;v=3810864:3811171&amp;c=444444", "offset 7")</f>
        <v>offset 7</v>
      </c>
    </row>
    <row r="13466" customFormat="false" ht="12.8" hidden="false" customHeight="false" outlineLevel="0" collapsed="false">
      <c r="A13466" s="0" t="s">
        <v>12</v>
      </c>
      <c r="B13466" s="0" t="n">
        <v>3811021</v>
      </c>
      <c r="C13466" s="0" t="n">
        <v>3811041</v>
      </c>
      <c r="D13466" s="0" t="s">
        <v>44862</v>
      </c>
      <c r="E13466" s="0" t="s">
        <v>44863</v>
      </c>
      <c r="F13466" s="0" t="s">
        <v>90</v>
      </c>
      <c r="G13466" s="0" t="s">
        <v>16</v>
      </c>
      <c r="H13466" s="0" t="n">
        <v>50</v>
      </c>
      <c r="I13466" s="0" t="s">
        <v>44867</v>
      </c>
      <c r="J13466" s="0" t="s">
        <v>44868</v>
      </c>
      <c r="K13466" s="0" t="s">
        <v>44869</v>
      </c>
      <c r="L13466" s="0" t="str">
        <f aca="false">HYPERLINK("https://www.ncbi.nlm.nih.gov/nuccore/CP000304.1?report=graph&amp;tracks=[key:gene_model_track,Options:GeneOnly]&amp;mk=3811065:3811084|offset_7|444444,3811022:3811041|offset_50|00cc00,3811002:3811021|offset_70|444444,3810952:3810971|offset_120|444444&amp;v=3810864:3811171&amp;c=444444", "offset 50")</f>
        <v>offset 50</v>
      </c>
    </row>
    <row r="13467" customFormat="false" ht="12.8" hidden="false" customHeight="false" outlineLevel="0" collapsed="false">
      <c r="A13467" s="0" t="s">
        <v>12</v>
      </c>
      <c r="B13467" s="0" t="n">
        <v>3811001</v>
      </c>
      <c r="C13467" s="0" t="n">
        <v>3811021</v>
      </c>
      <c r="D13467" s="0" t="s">
        <v>44862</v>
      </c>
      <c r="E13467" s="0" t="s">
        <v>44863</v>
      </c>
      <c r="F13467" s="0" t="s">
        <v>90</v>
      </c>
      <c r="G13467" s="0" t="s">
        <v>32</v>
      </c>
      <c r="H13467" s="0" t="n">
        <v>70</v>
      </c>
      <c r="I13467" s="0" t="s">
        <v>44870</v>
      </c>
      <c r="J13467" s="0" t="s">
        <v>44871</v>
      </c>
      <c r="K13467" s="0" t="s">
        <v>44872</v>
      </c>
      <c r="L13467" s="0" t="str">
        <f aca="false">HYPERLINK("https://www.ncbi.nlm.nih.gov/nuccore/CP000304.1?report=graph&amp;tracks=[key:gene_model_track,Options:GeneOnly]&amp;mk=3811065:3811084|offset_7|444444,3811022:3811041|offset_50|444444,3811002:3811021|offset_70|00cc00,3810952:3810971|offset_120|444444&amp;v=3810864:3811171&amp;c=444444", "offset 70")</f>
        <v>offset 70</v>
      </c>
    </row>
    <row r="13468" customFormat="false" ht="12.8" hidden="false" customHeight="false" outlineLevel="0" collapsed="false">
      <c r="A13468" s="0" t="s">
        <v>12</v>
      </c>
      <c r="B13468" s="0" t="n">
        <v>3810951</v>
      </c>
      <c r="C13468" s="0" t="n">
        <v>3810971</v>
      </c>
      <c r="D13468" s="0" t="s">
        <v>44862</v>
      </c>
      <c r="E13468" s="0" t="s">
        <v>44863</v>
      </c>
      <c r="F13468" s="0" t="s">
        <v>90</v>
      </c>
      <c r="G13468" s="0" t="s">
        <v>16</v>
      </c>
      <c r="H13468" s="0" t="n">
        <v>120</v>
      </c>
      <c r="I13468" s="0" t="s">
        <v>44873</v>
      </c>
      <c r="J13468" s="0" t="s">
        <v>44874</v>
      </c>
      <c r="K13468" s="0" t="s">
        <v>44875</v>
      </c>
      <c r="L13468" s="0" t="str">
        <f aca="false">HYPERLINK("https://www.ncbi.nlm.nih.gov/nuccore/CP000304.1?report=graph&amp;tracks=[key:gene_model_track,Options:GeneOnly]&amp;mk=3811065:3811084|offset_7|444444,3811022:3811041|offset_50|444444,3811002:3811021|offset_70|444444,3810952:3810971|offset_120|00cc00&amp;v=3810864:3811171&amp;c=444444", "offset 120")</f>
        <v>offset 120</v>
      </c>
    </row>
    <row r="13469" customFormat="false" ht="12.8" hidden="false" customHeight="false" outlineLevel="0" collapsed="false">
      <c r="A13469" s="0" t="s">
        <v>12</v>
      </c>
      <c r="B13469" s="0" t="n">
        <v>3812562</v>
      </c>
      <c r="C13469" s="0" t="n">
        <v>3812582</v>
      </c>
      <c r="D13469" s="0" t="s">
        <v>44876</v>
      </c>
      <c r="E13469" s="0" t="s">
        <v>44877</v>
      </c>
      <c r="F13469" s="0" t="s">
        <v>90</v>
      </c>
      <c r="G13469" s="0" t="s">
        <v>36</v>
      </c>
      <c r="H13469" s="0" t="n">
        <v>17</v>
      </c>
      <c r="I13469" s="0" t="s">
        <v>44878</v>
      </c>
      <c r="J13469" s="0" t="s">
        <v>44879</v>
      </c>
      <c r="K13469" s="0" t="s">
        <v>44880</v>
      </c>
      <c r="L13469" s="0" t="str">
        <f aca="false">HYPERLINK("https://www.ncbi.nlm.nih.gov/nuccore/CP000304.1?report=graph&amp;tracks=[key:gene_model_track,Options:GeneOnly]&amp;mk=3812563:3812582|offset_17|00cc00,3812531:3812550|offset_49|444444,3812503:3812522|offset_77|444444,3812440:3812459|offset_140|444444&amp;v=3812362:3812659&amp;c=444444", "offset 17")</f>
        <v>offset 17</v>
      </c>
    </row>
    <row r="13470" customFormat="false" ht="12.8" hidden="false" customHeight="false" outlineLevel="0" collapsed="false">
      <c r="A13470" s="0" t="s">
        <v>12</v>
      </c>
      <c r="B13470" s="0" t="n">
        <v>3812530</v>
      </c>
      <c r="C13470" s="0" t="n">
        <v>3812550</v>
      </c>
      <c r="D13470" s="0" t="s">
        <v>44876</v>
      </c>
      <c r="E13470" s="0" t="s">
        <v>44877</v>
      </c>
      <c r="F13470" s="0" t="s">
        <v>90</v>
      </c>
      <c r="G13470" s="0" t="s">
        <v>32</v>
      </c>
      <c r="H13470" s="0" t="n">
        <v>49</v>
      </c>
      <c r="I13470" s="0" t="s">
        <v>44881</v>
      </c>
      <c r="J13470" s="0" t="s">
        <v>44882</v>
      </c>
      <c r="K13470" s="0" t="s">
        <v>44883</v>
      </c>
      <c r="L13470" s="0" t="str">
        <f aca="false">HYPERLINK("https://www.ncbi.nlm.nih.gov/nuccore/CP000304.1?report=graph&amp;tracks=[key:gene_model_track,Options:GeneOnly]&amp;mk=3812563:3812582|offset_17|444444,3812531:3812550|offset_49|00cc00,3812503:3812522|offset_77|444444,3812440:3812459|offset_140|444444&amp;v=3812362:3812659&amp;c=444444", "offset 49")</f>
        <v>offset 49</v>
      </c>
    </row>
    <row r="13471" customFormat="false" ht="12.8" hidden="false" customHeight="false" outlineLevel="0" collapsed="false">
      <c r="A13471" s="0" t="s">
        <v>12</v>
      </c>
      <c r="B13471" s="0" t="n">
        <v>3812502</v>
      </c>
      <c r="C13471" s="0" t="n">
        <v>3812522</v>
      </c>
      <c r="D13471" s="0" t="s">
        <v>44876</v>
      </c>
      <c r="E13471" s="0" t="s">
        <v>44877</v>
      </c>
      <c r="F13471" s="0" t="s">
        <v>90</v>
      </c>
      <c r="G13471" s="0" t="s">
        <v>26</v>
      </c>
      <c r="H13471" s="0" t="n">
        <v>77</v>
      </c>
      <c r="I13471" s="0" t="s">
        <v>44884</v>
      </c>
      <c r="J13471" s="0" t="s">
        <v>44885</v>
      </c>
      <c r="K13471" s="0" t="s">
        <v>44886</v>
      </c>
      <c r="L13471" s="0" t="str">
        <f aca="false">HYPERLINK("https://www.ncbi.nlm.nih.gov/nuccore/CP000304.1?report=graph&amp;tracks=[key:gene_model_track,Options:GeneOnly]&amp;mk=3812563:3812582|offset_17|444444,3812531:3812550|offset_49|444444,3812503:3812522|offset_77|00cc00,3812440:3812459|offset_140|444444&amp;v=3812362:3812659&amp;c=444444", "offset 77")</f>
        <v>offset 77</v>
      </c>
    </row>
    <row r="13472" customFormat="false" ht="12.8" hidden="false" customHeight="false" outlineLevel="0" collapsed="false">
      <c r="A13472" s="0" t="s">
        <v>12</v>
      </c>
      <c r="B13472" s="0" t="n">
        <v>3812439</v>
      </c>
      <c r="C13472" s="0" t="n">
        <v>3812459</v>
      </c>
      <c r="D13472" s="0" t="s">
        <v>44876</v>
      </c>
      <c r="E13472" s="0" t="s">
        <v>44877</v>
      </c>
      <c r="F13472" s="0" t="s">
        <v>90</v>
      </c>
      <c r="G13472" s="0" t="s">
        <v>26</v>
      </c>
      <c r="H13472" s="0" t="n">
        <v>140</v>
      </c>
      <c r="I13472" s="0" t="s">
        <v>44887</v>
      </c>
      <c r="J13472" s="0" t="s">
        <v>44888</v>
      </c>
      <c r="K13472" s="0" t="s">
        <v>44889</v>
      </c>
      <c r="L13472" s="0" t="str">
        <f aca="false">HYPERLINK("https://www.ncbi.nlm.nih.gov/nuccore/CP000304.1?report=graph&amp;tracks=[key:gene_model_track,Options:GeneOnly]&amp;mk=3812563:3812582|offset_17|444444,3812531:3812550|offset_49|444444,3812503:3812522|offset_77|444444,3812440:3812459|offset_140|00cc00&amp;v=3812362:3812659&amp;c=444444", "offset 140")</f>
        <v>offset 140</v>
      </c>
    </row>
    <row r="13473" customFormat="false" ht="12.8" hidden="false" customHeight="false" outlineLevel="0" collapsed="false">
      <c r="A13473" s="0" t="s">
        <v>12</v>
      </c>
      <c r="B13473" s="0" t="n">
        <v>3813062</v>
      </c>
      <c r="C13473" s="0" t="n">
        <v>3813082</v>
      </c>
      <c r="D13473" s="0" t="s">
        <v>44890</v>
      </c>
      <c r="E13473" s="0" t="s">
        <v>44891</v>
      </c>
      <c r="F13473" s="0" t="s">
        <v>90</v>
      </c>
      <c r="G13473" s="0" t="s">
        <v>32</v>
      </c>
      <c r="H13473" s="0" t="n">
        <v>1</v>
      </c>
      <c r="I13473" s="0" t="s">
        <v>44892</v>
      </c>
      <c r="J13473" s="0" t="s">
        <v>44893</v>
      </c>
      <c r="K13473" s="0" t="s">
        <v>44894</v>
      </c>
      <c r="L13473" s="0" t="str">
        <f aca="false">HYPERLINK("https://www.ncbi.nlm.nih.gov/nuccore/CP000304.1?report=graph&amp;tracks=[key:gene_model_track,Options:GeneOnly]&amp;mk=3813063:3813082|offset_1|00cc00,3813033:3813052|offset_31|444444,3812996:3813015|offset_68|444444,3812972:3812991|offset_92|444444&amp;v=3812862:3813191&amp;c=444444", "offset 1")</f>
        <v>offset 1</v>
      </c>
    </row>
    <row r="13474" customFormat="false" ht="12.8" hidden="false" customHeight="false" outlineLevel="0" collapsed="false">
      <c r="A13474" s="0" t="s">
        <v>12</v>
      </c>
      <c r="B13474" s="0" t="n">
        <v>3813032</v>
      </c>
      <c r="C13474" s="0" t="n">
        <v>3813052</v>
      </c>
      <c r="D13474" s="0" t="s">
        <v>44890</v>
      </c>
      <c r="E13474" s="0" t="s">
        <v>44891</v>
      </c>
      <c r="F13474" s="0" t="s">
        <v>90</v>
      </c>
      <c r="G13474" s="0" t="s">
        <v>32</v>
      </c>
      <c r="H13474" s="0" t="n">
        <v>31</v>
      </c>
      <c r="I13474" s="0" t="s">
        <v>44895</v>
      </c>
      <c r="J13474" s="0" t="s">
        <v>44896</v>
      </c>
      <c r="K13474" s="0" t="s">
        <v>44897</v>
      </c>
      <c r="L13474" s="0" t="str">
        <f aca="false">HYPERLINK("https://www.ncbi.nlm.nih.gov/nuccore/CP000304.1?report=graph&amp;tracks=[key:gene_model_track,Options:GeneOnly]&amp;mk=3813063:3813082|offset_1|444444,3813033:3813052|offset_31|00cc00,3812996:3813015|offset_68|444444,3812972:3812991|offset_92|444444&amp;v=3812862:3813191&amp;c=444444", "offset 31")</f>
        <v>offset 31</v>
      </c>
    </row>
    <row r="13475" customFormat="false" ht="12.8" hidden="false" customHeight="false" outlineLevel="0" collapsed="false">
      <c r="A13475" s="0" t="s">
        <v>12</v>
      </c>
      <c r="B13475" s="0" t="n">
        <v>3812995</v>
      </c>
      <c r="C13475" s="0" t="n">
        <v>3813015</v>
      </c>
      <c r="D13475" s="0" t="s">
        <v>44890</v>
      </c>
      <c r="E13475" s="0" t="s">
        <v>44891</v>
      </c>
      <c r="F13475" s="0" t="s">
        <v>90</v>
      </c>
      <c r="G13475" s="0" t="s">
        <v>26</v>
      </c>
      <c r="H13475" s="0" t="n">
        <v>68</v>
      </c>
      <c r="I13475" s="0" t="s">
        <v>44898</v>
      </c>
      <c r="J13475" s="0" t="s">
        <v>44899</v>
      </c>
      <c r="K13475" s="0" t="s">
        <v>44900</v>
      </c>
      <c r="L13475" s="0" t="str">
        <f aca="false">HYPERLINK("https://www.ncbi.nlm.nih.gov/nuccore/CP000304.1?report=graph&amp;tracks=[key:gene_model_track,Options:GeneOnly]&amp;mk=3813063:3813082|offset_1|444444,3813033:3813052|offset_31|444444,3812996:3813015|offset_68|00cc00,3812972:3812991|offset_92|444444&amp;v=3812862:3813191&amp;c=444444", "offset 68")</f>
        <v>offset 68</v>
      </c>
    </row>
    <row r="13476" customFormat="false" ht="12.8" hidden="false" customHeight="false" outlineLevel="0" collapsed="false">
      <c r="A13476" s="0" t="s">
        <v>12</v>
      </c>
      <c r="B13476" s="0" t="n">
        <v>3812971</v>
      </c>
      <c r="C13476" s="0" t="n">
        <v>3812991</v>
      </c>
      <c r="D13476" s="0" t="s">
        <v>44890</v>
      </c>
      <c r="E13476" s="0" t="s">
        <v>44891</v>
      </c>
      <c r="F13476" s="0" t="s">
        <v>90</v>
      </c>
      <c r="G13476" s="0" t="s">
        <v>32</v>
      </c>
      <c r="H13476" s="0" t="n">
        <v>92</v>
      </c>
      <c r="I13476" s="0" t="s">
        <v>44901</v>
      </c>
      <c r="J13476" s="0" t="s">
        <v>44902</v>
      </c>
      <c r="K13476" s="0" t="s">
        <v>44903</v>
      </c>
      <c r="L13476" s="0" t="str">
        <f aca="false">HYPERLINK("https://www.ncbi.nlm.nih.gov/nuccore/CP000304.1?report=graph&amp;tracks=[key:gene_model_track,Options:GeneOnly]&amp;mk=3813063:3813082|offset_1|444444,3813033:3813052|offset_31|444444,3812996:3813015|offset_68|444444,3812972:3812991|offset_92|00cc00&amp;v=3812862:3813191&amp;c=444444", "offset 92")</f>
        <v>offset 92</v>
      </c>
    </row>
    <row r="13477" customFormat="false" ht="12.8" hidden="false" customHeight="false" outlineLevel="0" collapsed="false">
      <c r="A13477" s="0" t="s">
        <v>12</v>
      </c>
      <c r="B13477" s="0" t="n">
        <v>3813789</v>
      </c>
      <c r="C13477" s="0" t="n">
        <v>3813809</v>
      </c>
      <c r="D13477" s="0" t="s">
        <v>44904</v>
      </c>
      <c r="E13477" s="0" t="s">
        <v>44905</v>
      </c>
      <c r="F13477" s="0" t="s">
        <v>90</v>
      </c>
      <c r="G13477" s="0" t="s">
        <v>26</v>
      </c>
      <c r="H13477" s="0" t="n">
        <v>35</v>
      </c>
      <c r="I13477" s="0" t="s">
        <v>44906</v>
      </c>
      <c r="J13477" s="0" t="s">
        <v>44907</v>
      </c>
      <c r="K13477" s="0" t="s">
        <v>44908</v>
      </c>
      <c r="L13477" s="0" t="str">
        <f aca="false">HYPERLINK("https://www.ncbi.nlm.nih.gov/nuccore/CP000304.1?report=graph&amp;tracks=[key:gene_model_track,Options:GeneOnly]&amp;mk=3813790:3813809|offset_35|00cc00,3813764:3813783|offset_61|444444,3813740:3813759|offset_85|444444,3813719:3813738|offset_106|444444&amp;v=3813589:3813938&amp;c=444444", "offset 35")</f>
        <v>offset 35</v>
      </c>
    </row>
    <row r="13478" customFormat="false" ht="12.8" hidden="false" customHeight="false" outlineLevel="0" collapsed="false">
      <c r="A13478" s="0" t="s">
        <v>12</v>
      </c>
      <c r="B13478" s="0" t="n">
        <v>3813763</v>
      </c>
      <c r="C13478" s="0" t="n">
        <v>3813783</v>
      </c>
      <c r="D13478" s="0" t="s">
        <v>44904</v>
      </c>
      <c r="E13478" s="0" t="s">
        <v>44905</v>
      </c>
      <c r="F13478" s="0" t="s">
        <v>90</v>
      </c>
      <c r="G13478" s="0" t="s">
        <v>16</v>
      </c>
      <c r="H13478" s="0" t="n">
        <v>61</v>
      </c>
      <c r="I13478" s="0" t="s">
        <v>44909</v>
      </c>
      <c r="J13478" s="0" t="s">
        <v>44910</v>
      </c>
      <c r="K13478" s="0" t="s">
        <v>44911</v>
      </c>
      <c r="L13478" s="0" t="str">
        <f aca="false">HYPERLINK("https://www.ncbi.nlm.nih.gov/nuccore/CP000304.1?report=graph&amp;tracks=[key:gene_model_track,Options:GeneOnly]&amp;mk=3813790:3813809|offset_35|444444,3813764:3813783|offset_61|00cc00,3813740:3813759|offset_85|444444,3813719:3813738|offset_106|444444&amp;v=3813589:3813938&amp;c=444444", "offset 61")</f>
        <v>offset 61</v>
      </c>
    </row>
    <row r="13479" customFormat="false" ht="12.8" hidden="false" customHeight="false" outlineLevel="0" collapsed="false">
      <c r="A13479" s="0" t="s">
        <v>12</v>
      </c>
      <c r="B13479" s="0" t="n">
        <v>3813739</v>
      </c>
      <c r="C13479" s="0" t="n">
        <v>3813759</v>
      </c>
      <c r="D13479" s="0" t="s">
        <v>44904</v>
      </c>
      <c r="E13479" s="0" t="s">
        <v>44905</v>
      </c>
      <c r="F13479" s="0" t="s">
        <v>90</v>
      </c>
      <c r="G13479" s="0" t="s">
        <v>16</v>
      </c>
      <c r="H13479" s="0" t="n">
        <v>85</v>
      </c>
      <c r="I13479" s="0" t="s">
        <v>44912</v>
      </c>
      <c r="J13479" s="0" t="s">
        <v>44913</v>
      </c>
      <c r="K13479" s="0" t="s">
        <v>44914</v>
      </c>
      <c r="L13479" s="0" t="str">
        <f aca="false">HYPERLINK("https://www.ncbi.nlm.nih.gov/nuccore/CP000304.1?report=graph&amp;tracks=[key:gene_model_track,Options:GeneOnly]&amp;mk=3813790:3813809|offset_35|444444,3813764:3813783|offset_61|444444,3813740:3813759|offset_85|00cc00,3813719:3813738|offset_106|444444&amp;v=3813589:3813938&amp;c=444444", "offset 85")</f>
        <v>offset 85</v>
      </c>
    </row>
    <row r="13480" customFormat="false" ht="12.8" hidden="false" customHeight="false" outlineLevel="0" collapsed="false">
      <c r="A13480" s="0" t="s">
        <v>12</v>
      </c>
      <c r="B13480" s="0" t="n">
        <v>3813718</v>
      </c>
      <c r="C13480" s="0" t="n">
        <v>3813738</v>
      </c>
      <c r="D13480" s="0" t="s">
        <v>44904</v>
      </c>
      <c r="E13480" s="0" t="s">
        <v>44905</v>
      </c>
      <c r="F13480" s="0" t="s">
        <v>90</v>
      </c>
      <c r="G13480" s="0" t="s">
        <v>16</v>
      </c>
      <c r="H13480" s="0" t="n">
        <v>106</v>
      </c>
      <c r="I13480" s="0" t="s">
        <v>44915</v>
      </c>
      <c r="J13480" s="0" t="s">
        <v>44916</v>
      </c>
      <c r="K13480" s="0" t="s">
        <v>44917</v>
      </c>
      <c r="L13480" s="0" t="str">
        <f aca="false">HYPERLINK("https://www.ncbi.nlm.nih.gov/nuccore/CP000304.1?report=graph&amp;tracks=[key:gene_model_track,Options:GeneOnly]&amp;mk=3813790:3813809|offset_35|444444,3813764:3813783|offset_61|444444,3813740:3813759|offset_85|444444,3813719:3813738|offset_106|00cc00&amp;v=3813589:3813938&amp;c=444444", "offset 106")</f>
        <v>offset 106</v>
      </c>
    </row>
    <row r="13481" customFormat="false" ht="12.8" hidden="false" customHeight="false" outlineLevel="0" collapsed="false">
      <c r="A13481" s="0" t="s">
        <v>12</v>
      </c>
      <c r="B13481" s="0" t="n">
        <v>3814222</v>
      </c>
      <c r="C13481" s="0" t="n">
        <v>3814242</v>
      </c>
      <c r="D13481" s="0" t="s">
        <v>44918</v>
      </c>
      <c r="E13481" s="0" t="s">
        <v>44919</v>
      </c>
      <c r="F13481" s="0" t="s">
        <v>90</v>
      </c>
      <c r="G13481" s="0" t="s">
        <v>26</v>
      </c>
      <c r="H13481" s="0" t="n">
        <v>20</v>
      </c>
      <c r="I13481" s="0" t="s">
        <v>44920</v>
      </c>
      <c r="J13481" s="0" t="s">
        <v>44921</v>
      </c>
      <c r="K13481" s="0" t="s">
        <v>44922</v>
      </c>
      <c r="L13481" s="0" t="str">
        <f aca="false">HYPERLINK("https://www.ncbi.nlm.nih.gov/nuccore/CP000304.1?report=graph&amp;tracks=[key:gene_model_track,Options:GeneOnly]&amp;mk=3814223:3814242|offset_20|00cc00,3814192:3814211|offset_51|444444,3814161:3814180|offset_82|444444,3814089:3814108|offset_154|444444&amp;v=3814022:3814308&amp;c=444444", "offset 20")</f>
        <v>offset 20</v>
      </c>
    </row>
    <row r="13482" customFormat="false" ht="12.8" hidden="false" customHeight="false" outlineLevel="0" collapsed="false">
      <c r="A13482" s="0" t="s">
        <v>12</v>
      </c>
      <c r="B13482" s="0" t="n">
        <v>3814191</v>
      </c>
      <c r="C13482" s="0" t="n">
        <v>3814211</v>
      </c>
      <c r="D13482" s="0" t="s">
        <v>44918</v>
      </c>
      <c r="E13482" s="0" t="s">
        <v>44919</v>
      </c>
      <c r="F13482" s="0" t="s">
        <v>90</v>
      </c>
      <c r="G13482" s="0" t="s">
        <v>16</v>
      </c>
      <c r="H13482" s="0" t="n">
        <v>51</v>
      </c>
      <c r="I13482" s="0" t="s">
        <v>44923</v>
      </c>
      <c r="J13482" s="0" t="s">
        <v>44924</v>
      </c>
      <c r="K13482" s="0" t="s">
        <v>44925</v>
      </c>
      <c r="L13482" s="0" t="str">
        <f aca="false">HYPERLINK("https://www.ncbi.nlm.nih.gov/nuccore/CP000304.1?report=graph&amp;tracks=[key:gene_model_track,Options:GeneOnly]&amp;mk=3814223:3814242|offset_20|444444,3814192:3814211|offset_51|00cc00,3814161:3814180|offset_82|444444,3814089:3814108|offset_154|444444&amp;v=3814022:3814308&amp;c=444444", "offset 51")</f>
        <v>offset 51</v>
      </c>
    </row>
    <row r="13483" customFormat="false" ht="12.8" hidden="false" customHeight="false" outlineLevel="0" collapsed="false">
      <c r="A13483" s="0" t="s">
        <v>12</v>
      </c>
      <c r="B13483" s="0" t="n">
        <v>3814160</v>
      </c>
      <c r="C13483" s="0" t="n">
        <v>3814180</v>
      </c>
      <c r="D13483" s="0" t="s">
        <v>44918</v>
      </c>
      <c r="E13483" s="0" t="s">
        <v>44919</v>
      </c>
      <c r="F13483" s="0" t="s">
        <v>90</v>
      </c>
      <c r="G13483" s="0" t="s">
        <v>16</v>
      </c>
      <c r="H13483" s="0" t="n">
        <v>82</v>
      </c>
      <c r="I13483" s="0" t="s">
        <v>44926</v>
      </c>
      <c r="J13483" s="0" t="s">
        <v>44927</v>
      </c>
      <c r="K13483" s="0" t="s">
        <v>44928</v>
      </c>
      <c r="L13483" s="0" t="str">
        <f aca="false">HYPERLINK("https://www.ncbi.nlm.nih.gov/nuccore/CP000304.1?report=graph&amp;tracks=[key:gene_model_track,Options:GeneOnly]&amp;mk=3814223:3814242|offset_20|444444,3814192:3814211|offset_51|444444,3814161:3814180|offset_82|00cc00,3814089:3814108|offset_154|444444&amp;v=3814022:3814308&amp;c=444444", "offset 82")</f>
        <v>offset 82</v>
      </c>
    </row>
    <row r="13484" customFormat="false" ht="12.8" hidden="false" customHeight="false" outlineLevel="0" collapsed="false">
      <c r="A13484" s="0" t="s">
        <v>12</v>
      </c>
      <c r="B13484" s="0" t="n">
        <v>3814088</v>
      </c>
      <c r="C13484" s="0" t="n">
        <v>3814108</v>
      </c>
      <c r="D13484" s="0" t="s">
        <v>44918</v>
      </c>
      <c r="E13484" s="0" t="s">
        <v>44919</v>
      </c>
      <c r="F13484" s="0" t="s">
        <v>90</v>
      </c>
      <c r="G13484" s="0" t="s">
        <v>36</v>
      </c>
      <c r="H13484" s="0" t="n">
        <v>154</v>
      </c>
      <c r="I13484" s="0" t="s">
        <v>44929</v>
      </c>
      <c r="J13484" s="0" t="s">
        <v>44930</v>
      </c>
      <c r="K13484" s="0" t="s">
        <v>44931</v>
      </c>
      <c r="L13484" s="0" t="str">
        <f aca="false">HYPERLINK("https://www.ncbi.nlm.nih.gov/nuccore/CP000304.1?report=graph&amp;tracks=[key:gene_model_track,Options:GeneOnly]&amp;mk=3814223:3814242|offset_20|444444,3814192:3814211|offset_51|444444,3814161:3814180|offset_82|444444,3814089:3814108|offset_154|00cc00&amp;v=3814022:3814308&amp;c=444444", "offset 154")</f>
        <v>offset 154</v>
      </c>
    </row>
    <row r="13485" customFormat="false" ht="12.8" hidden="false" customHeight="false" outlineLevel="0" collapsed="false">
      <c r="A13485" s="0" t="s">
        <v>12</v>
      </c>
      <c r="B13485" s="0" t="n">
        <v>3814723</v>
      </c>
      <c r="C13485" s="0" t="n">
        <v>3814743</v>
      </c>
      <c r="D13485" s="0" t="s">
        <v>44932</v>
      </c>
      <c r="E13485" s="0" t="s">
        <v>44933</v>
      </c>
      <c r="F13485" s="0" t="s">
        <v>90</v>
      </c>
      <c r="G13485" s="0" t="s">
        <v>32</v>
      </c>
      <c r="H13485" s="0" t="n">
        <v>24</v>
      </c>
      <c r="I13485" s="0" t="s">
        <v>44934</v>
      </c>
      <c r="J13485" s="0" t="s">
        <v>44935</v>
      </c>
      <c r="K13485" s="0" t="s">
        <v>44936</v>
      </c>
      <c r="L13485" s="0" t="str">
        <f aca="false">HYPERLINK("https://www.ncbi.nlm.nih.gov/nuccore/CP000304.1?report=graph&amp;tracks=[key:gene_model_track,Options:GeneOnly]&amp;mk=3814724:3814743|offset_24|00cc00,3814701:3814720|offset_47|444444,3814672:3814691|offset_76|444444,3814651:3814670|offset_97|444444&amp;v=3814523:3814870&amp;c=444444", "offset 24")</f>
        <v>offset 24</v>
      </c>
    </row>
    <row r="13486" customFormat="false" ht="12.8" hidden="false" customHeight="false" outlineLevel="0" collapsed="false">
      <c r="A13486" s="0" t="s">
        <v>12</v>
      </c>
      <c r="B13486" s="0" t="n">
        <v>3814700</v>
      </c>
      <c r="C13486" s="0" t="n">
        <v>3814720</v>
      </c>
      <c r="D13486" s="0" t="s">
        <v>44932</v>
      </c>
      <c r="E13486" s="0" t="s">
        <v>44933</v>
      </c>
      <c r="F13486" s="0" t="s">
        <v>90</v>
      </c>
      <c r="G13486" s="0" t="s">
        <v>26</v>
      </c>
      <c r="H13486" s="0" t="n">
        <v>47</v>
      </c>
      <c r="I13486" s="0" t="s">
        <v>44937</v>
      </c>
      <c r="J13486" s="0" t="s">
        <v>44938</v>
      </c>
      <c r="K13486" s="0" t="s">
        <v>44939</v>
      </c>
      <c r="L13486" s="0" t="str">
        <f aca="false">HYPERLINK("https://www.ncbi.nlm.nih.gov/nuccore/CP000304.1?report=graph&amp;tracks=[key:gene_model_track,Options:GeneOnly]&amp;mk=3814724:3814743|offset_24|444444,3814701:3814720|offset_47|00cc00,3814672:3814691|offset_76|444444,3814651:3814670|offset_97|444444&amp;v=3814523:3814870&amp;c=444444", "offset 47")</f>
        <v>offset 47</v>
      </c>
    </row>
    <row r="13487" customFormat="false" ht="12.8" hidden="false" customHeight="false" outlineLevel="0" collapsed="false">
      <c r="A13487" s="0" t="s">
        <v>12</v>
      </c>
      <c r="B13487" s="0" t="n">
        <v>3814671</v>
      </c>
      <c r="C13487" s="0" t="n">
        <v>3814691</v>
      </c>
      <c r="D13487" s="0" t="s">
        <v>44932</v>
      </c>
      <c r="E13487" s="0" t="s">
        <v>44933</v>
      </c>
      <c r="F13487" s="0" t="s">
        <v>90</v>
      </c>
      <c r="G13487" s="0" t="s">
        <v>36</v>
      </c>
      <c r="H13487" s="0" t="n">
        <v>76</v>
      </c>
      <c r="I13487" s="0" t="s">
        <v>44940</v>
      </c>
      <c r="J13487" s="0" t="s">
        <v>44941</v>
      </c>
      <c r="K13487" s="0" t="s">
        <v>44942</v>
      </c>
      <c r="L13487" s="0" t="str">
        <f aca="false">HYPERLINK("https://www.ncbi.nlm.nih.gov/nuccore/CP000304.1?report=graph&amp;tracks=[key:gene_model_track,Options:GeneOnly]&amp;mk=3814724:3814743|offset_24|444444,3814701:3814720|offset_47|444444,3814672:3814691|offset_76|00cc00,3814651:3814670|offset_97|444444&amp;v=3814523:3814870&amp;c=444444", "offset 76")</f>
        <v>offset 76</v>
      </c>
    </row>
    <row r="13488" customFormat="false" ht="12.8" hidden="false" customHeight="false" outlineLevel="0" collapsed="false">
      <c r="A13488" s="0" t="s">
        <v>12</v>
      </c>
      <c r="B13488" s="0" t="n">
        <v>3814650</v>
      </c>
      <c r="C13488" s="0" t="n">
        <v>3814670</v>
      </c>
      <c r="D13488" s="0" t="s">
        <v>44932</v>
      </c>
      <c r="E13488" s="0" t="s">
        <v>44933</v>
      </c>
      <c r="F13488" s="0" t="s">
        <v>90</v>
      </c>
      <c r="G13488" s="0" t="s">
        <v>16</v>
      </c>
      <c r="H13488" s="0" t="n">
        <v>97</v>
      </c>
      <c r="I13488" s="0" t="s">
        <v>44943</v>
      </c>
      <c r="J13488" s="0" t="s">
        <v>44944</v>
      </c>
      <c r="K13488" s="0" t="s">
        <v>44945</v>
      </c>
      <c r="L13488" s="0" t="str">
        <f aca="false">HYPERLINK("https://www.ncbi.nlm.nih.gov/nuccore/CP000304.1?report=graph&amp;tracks=[key:gene_model_track,Options:GeneOnly]&amp;mk=3814724:3814743|offset_24|444444,3814701:3814720|offset_47|444444,3814672:3814691|offset_76|444444,3814651:3814670|offset_97|00cc00&amp;v=3814523:3814870&amp;c=444444", "offset 97")</f>
        <v>offset 97</v>
      </c>
    </row>
    <row r="13489" customFormat="false" ht="12.8" hidden="false" customHeight="false" outlineLevel="0" collapsed="false">
      <c r="A13489" s="0" t="s">
        <v>12</v>
      </c>
      <c r="B13489" s="0" t="n">
        <v>3815179</v>
      </c>
      <c r="C13489" s="0" t="n">
        <v>3815199</v>
      </c>
      <c r="D13489" s="0" t="s">
        <v>44946</v>
      </c>
      <c r="E13489" s="0" t="s">
        <v>44947</v>
      </c>
      <c r="F13489" s="0" t="s">
        <v>90</v>
      </c>
      <c r="G13489" s="0" t="s">
        <v>16</v>
      </c>
      <c r="H13489" s="0" t="n">
        <v>23</v>
      </c>
      <c r="I13489" s="0" t="s">
        <v>44948</v>
      </c>
      <c r="J13489" s="0" t="s">
        <v>44949</v>
      </c>
      <c r="K13489" s="0" t="s">
        <v>44950</v>
      </c>
      <c r="L13489" s="0" t="str">
        <f aca="false">HYPERLINK("https://www.ncbi.nlm.nih.gov/nuccore/CP000304.1?report=graph&amp;tracks=[key:gene_model_track,Options:GeneOnly]&amp;mk=3815180:3815199|offset_23|00cc00,3815146:3815165|offset_57|444444,3815126:3815145|offset_77|444444,3815079:3815098|offset_124|444444&amp;v=3814979:3815298&amp;c=444444", "offset 23")</f>
        <v>offset 23</v>
      </c>
    </row>
    <row r="13490" customFormat="false" ht="12.8" hidden="false" customHeight="false" outlineLevel="0" collapsed="false">
      <c r="A13490" s="0" t="s">
        <v>12</v>
      </c>
      <c r="B13490" s="0" t="n">
        <v>3815145</v>
      </c>
      <c r="C13490" s="0" t="n">
        <v>3815165</v>
      </c>
      <c r="D13490" s="0" t="s">
        <v>44946</v>
      </c>
      <c r="E13490" s="0" t="s">
        <v>44947</v>
      </c>
      <c r="F13490" s="0" t="s">
        <v>90</v>
      </c>
      <c r="G13490" s="0" t="s">
        <v>16</v>
      </c>
      <c r="H13490" s="0" t="n">
        <v>57</v>
      </c>
      <c r="I13490" s="0" t="s">
        <v>44951</v>
      </c>
      <c r="J13490" s="0" t="s">
        <v>44952</v>
      </c>
      <c r="K13490" s="0" t="s">
        <v>44953</v>
      </c>
      <c r="L13490" s="0" t="str">
        <f aca="false">HYPERLINK("https://www.ncbi.nlm.nih.gov/nuccore/CP000304.1?report=graph&amp;tracks=[key:gene_model_track,Options:GeneOnly]&amp;mk=3815180:3815199|offset_23|444444,3815146:3815165|offset_57|00cc00,3815126:3815145|offset_77|444444,3815079:3815098|offset_124|444444&amp;v=3814979:3815298&amp;c=444444", "offset 57")</f>
        <v>offset 57</v>
      </c>
    </row>
    <row r="13491" customFormat="false" ht="12.8" hidden="false" customHeight="false" outlineLevel="0" collapsed="false">
      <c r="A13491" s="0" t="s">
        <v>12</v>
      </c>
      <c r="B13491" s="0" t="n">
        <v>3815125</v>
      </c>
      <c r="C13491" s="0" t="n">
        <v>3815145</v>
      </c>
      <c r="D13491" s="0" t="s">
        <v>44946</v>
      </c>
      <c r="E13491" s="0" t="s">
        <v>44947</v>
      </c>
      <c r="F13491" s="0" t="s">
        <v>90</v>
      </c>
      <c r="G13491" s="0" t="s">
        <v>16</v>
      </c>
      <c r="H13491" s="0" t="n">
        <v>77</v>
      </c>
      <c r="I13491" s="0" t="s">
        <v>44954</v>
      </c>
      <c r="J13491" s="0" t="s">
        <v>44955</v>
      </c>
      <c r="K13491" s="0" t="s">
        <v>44956</v>
      </c>
      <c r="L13491" s="0" t="str">
        <f aca="false">HYPERLINK("https://www.ncbi.nlm.nih.gov/nuccore/CP000304.1?report=graph&amp;tracks=[key:gene_model_track,Options:GeneOnly]&amp;mk=3815180:3815199|offset_23|444444,3815146:3815165|offset_57|444444,3815126:3815145|offset_77|00cc00,3815079:3815098|offset_124|444444&amp;v=3814979:3815298&amp;c=444444", "offset 77")</f>
        <v>offset 77</v>
      </c>
    </row>
    <row r="13492" customFormat="false" ht="12.8" hidden="false" customHeight="false" outlineLevel="0" collapsed="false">
      <c r="A13492" s="0" t="s">
        <v>12</v>
      </c>
      <c r="B13492" s="0" t="n">
        <v>3815078</v>
      </c>
      <c r="C13492" s="0" t="n">
        <v>3815098</v>
      </c>
      <c r="D13492" s="0" t="s">
        <v>44946</v>
      </c>
      <c r="E13492" s="0" t="s">
        <v>44947</v>
      </c>
      <c r="F13492" s="0" t="s">
        <v>90</v>
      </c>
      <c r="G13492" s="0" t="s">
        <v>26</v>
      </c>
      <c r="H13492" s="0" t="n">
        <v>124</v>
      </c>
      <c r="I13492" s="0" t="s">
        <v>44957</v>
      </c>
      <c r="J13492" s="0" t="s">
        <v>44958</v>
      </c>
      <c r="K13492" s="0" t="s">
        <v>44959</v>
      </c>
      <c r="L13492" s="0" t="str">
        <f aca="false">HYPERLINK("https://www.ncbi.nlm.nih.gov/nuccore/CP000304.1?report=graph&amp;tracks=[key:gene_model_track,Options:GeneOnly]&amp;mk=3815180:3815199|offset_23|444444,3815146:3815165|offset_57|444444,3815126:3815145|offset_77|444444,3815079:3815098|offset_124|00cc00&amp;v=3814979:3815298&amp;c=444444", "offset 124")</f>
        <v>offset 124</v>
      </c>
    </row>
    <row r="13493" customFormat="false" ht="12.8" hidden="false" customHeight="false" outlineLevel="0" collapsed="false">
      <c r="A13493" s="0" t="s">
        <v>12</v>
      </c>
      <c r="B13493" s="0" t="n">
        <v>3816368</v>
      </c>
      <c r="C13493" s="0" t="n">
        <v>3816388</v>
      </c>
      <c r="D13493" s="0" t="s">
        <v>44960</v>
      </c>
      <c r="E13493" s="0" t="s">
        <v>44961</v>
      </c>
      <c r="F13493" s="0" t="s">
        <v>90</v>
      </c>
      <c r="G13493" s="0" t="s">
        <v>36</v>
      </c>
      <c r="H13493" s="0" t="n">
        <v>11</v>
      </c>
      <c r="I13493" s="0" t="s">
        <v>44962</v>
      </c>
      <c r="J13493" s="0" t="s">
        <v>44963</v>
      </c>
      <c r="K13493" s="0" t="s">
        <v>44964</v>
      </c>
      <c r="L13493" s="0" t="str">
        <f aca="false">HYPERLINK("https://www.ncbi.nlm.nih.gov/nuccore/CP000304.1?report=graph&amp;tracks=[key:gene_model_track,Options:GeneOnly]&amp;mk=3816369:3816388|offset_11|00cc00,3816346:3816365|offset_34|444444,3816317:3816336|offset_63|444444,3816274:3816293|offset_106|444444&amp;v=3816168:3816493&amp;c=444444", "offset 11")</f>
        <v>offset 11</v>
      </c>
    </row>
    <row r="13494" customFormat="false" ht="12.8" hidden="false" customHeight="false" outlineLevel="0" collapsed="false">
      <c r="A13494" s="0" t="s">
        <v>12</v>
      </c>
      <c r="B13494" s="0" t="n">
        <v>3816345</v>
      </c>
      <c r="C13494" s="0" t="n">
        <v>3816365</v>
      </c>
      <c r="D13494" s="0" t="s">
        <v>44960</v>
      </c>
      <c r="E13494" s="0" t="s">
        <v>44961</v>
      </c>
      <c r="F13494" s="0" t="s">
        <v>90</v>
      </c>
      <c r="G13494" s="0" t="s">
        <v>16</v>
      </c>
      <c r="H13494" s="0" t="n">
        <v>34</v>
      </c>
      <c r="I13494" s="0" t="s">
        <v>44965</v>
      </c>
      <c r="J13494" s="0" t="s">
        <v>44966</v>
      </c>
      <c r="K13494" s="0" t="s">
        <v>44967</v>
      </c>
      <c r="L13494" s="0" t="str">
        <f aca="false">HYPERLINK("https://www.ncbi.nlm.nih.gov/nuccore/CP000304.1?report=graph&amp;tracks=[key:gene_model_track,Options:GeneOnly]&amp;mk=3816369:3816388|offset_11|444444,3816346:3816365|offset_34|00cc00,3816317:3816336|offset_63|444444,3816274:3816293|offset_106|444444&amp;v=3816168:3816493&amp;c=444444", "offset 34")</f>
        <v>offset 34</v>
      </c>
    </row>
    <row r="13495" customFormat="false" ht="12.8" hidden="false" customHeight="false" outlineLevel="0" collapsed="false">
      <c r="A13495" s="0" t="s">
        <v>12</v>
      </c>
      <c r="B13495" s="0" t="n">
        <v>3816316</v>
      </c>
      <c r="C13495" s="0" t="n">
        <v>3816336</v>
      </c>
      <c r="D13495" s="0" t="s">
        <v>44960</v>
      </c>
      <c r="E13495" s="0" t="s">
        <v>44961</v>
      </c>
      <c r="F13495" s="0" t="s">
        <v>90</v>
      </c>
      <c r="G13495" s="0" t="s">
        <v>36</v>
      </c>
      <c r="H13495" s="0" t="n">
        <v>63</v>
      </c>
      <c r="I13495" s="0" t="s">
        <v>44968</v>
      </c>
      <c r="J13495" s="0" t="s">
        <v>44969</v>
      </c>
      <c r="K13495" s="0" t="s">
        <v>44970</v>
      </c>
      <c r="L13495" s="0" t="str">
        <f aca="false">HYPERLINK("https://www.ncbi.nlm.nih.gov/nuccore/CP000304.1?report=graph&amp;tracks=[key:gene_model_track,Options:GeneOnly]&amp;mk=3816369:3816388|offset_11|444444,3816346:3816365|offset_34|444444,3816317:3816336|offset_63|00cc00,3816274:3816293|offset_106|444444&amp;v=3816168:3816493&amp;c=444444", "offset 63")</f>
        <v>offset 63</v>
      </c>
    </row>
    <row r="13496" customFormat="false" ht="12.8" hidden="false" customHeight="false" outlineLevel="0" collapsed="false">
      <c r="A13496" s="0" t="s">
        <v>12</v>
      </c>
      <c r="B13496" s="0" t="n">
        <v>3816273</v>
      </c>
      <c r="C13496" s="0" t="n">
        <v>3816293</v>
      </c>
      <c r="D13496" s="0" t="s">
        <v>44960</v>
      </c>
      <c r="E13496" s="0" t="s">
        <v>44961</v>
      </c>
      <c r="F13496" s="0" t="s">
        <v>90</v>
      </c>
      <c r="G13496" s="0" t="s">
        <v>32</v>
      </c>
      <c r="H13496" s="0" t="n">
        <v>106</v>
      </c>
      <c r="I13496" s="0" t="s">
        <v>44971</v>
      </c>
      <c r="J13496" s="0" t="s">
        <v>44972</v>
      </c>
      <c r="K13496" s="0" t="s">
        <v>44973</v>
      </c>
      <c r="L13496" s="0" t="str">
        <f aca="false">HYPERLINK("https://www.ncbi.nlm.nih.gov/nuccore/CP000304.1?report=graph&amp;tracks=[key:gene_model_track,Options:GeneOnly]&amp;mk=3816369:3816388|offset_11|444444,3816346:3816365|offset_34|444444,3816317:3816336|offset_63|444444,3816274:3816293|offset_106|00cc00&amp;v=3816168:3816493&amp;c=444444", "offset 106")</f>
        <v>offset 106</v>
      </c>
    </row>
    <row r="13497" customFormat="false" ht="12.8" hidden="false" customHeight="false" outlineLevel="0" collapsed="false">
      <c r="A13497" s="0" t="s">
        <v>12</v>
      </c>
      <c r="B13497" s="0" t="n">
        <v>3816716</v>
      </c>
      <c r="C13497" s="0" t="n">
        <v>3816736</v>
      </c>
      <c r="D13497" s="0" t="s">
        <v>44974</v>
      </c>
      <c r="E13497" s="0" t="s">
        <v>44975</v>
      </c>
      <c r="F13497" s="0" t="s">
        <v>90</v>
      </c>
      <c r="G13497" s="0" t="s">
        <v>32</v>
      </c>
      <c r="H13497" s="0" t="n">
        <v>1</v>
      </c>
      <c r="I13497" s="0" t="s">
        <v>44976</v>
      </c>
      <c r="J13497" s="0" t="s">
        <v>44977</v>
      </c>
      <c r="K13497" s="0" t="s">
        <v>44978</v>
      </c>
      <c r="L13497" s="0" t="str">
        <f aca="false">HYPERLINK("https://www.ncbi.nlm.nih.gov/nuccore/CP000304.1?report=graph&amp;tracks=[key:gene_model_track,Options:GeneOnly]&amp;mk=3816717:3816736|offset_1|00cc00,3816696:3816715|offset_22|444444,3816675:3816694|offset_43|444444,3816652:3816671|offset_66|444444&amp;v=3816516:3816871&amp;c=444444", "offset 1")</f>
        <v>offset 1</v>
      </c>
    </row>
    <row r="13498" customFormat="false" ht="12.8" hidden="false" customHeight="false" outlineLevel="0" collapsed="false">
      <c r="A13498" s="0" t="s">
        <v>12</v>
      </c>
      <c r="B13498" s="0" t="n">
        <v>3816695</v>
      </c>
      <c r="C13498" s="0" t="n">
        <v>3816715</v>
      </c>
      <c r="D13498" s="0" t="s">
        <v>44974</v>
      </c>
      <c r="E13498" s="0" t="s">
        <v>44975</v>
      </c>
      <c r="F13498" s="0" t="s">
        <v>90</v>
      </c>
      <c r="G13498" s="0" t="s">
        <v>16</v>
      </c>
      <c r="H13498" s="0" t="n">
        <v>22</v>
      </c>
      <c r="I13498" s="0" t="s">
        <v>44979</v>
      </c>
      <c r="J13498" s="0" t="s">
        <v>44980</v>
      </c>
      <c r="K13498" s="0" t="s">
        <v>44981</v>
      </c>
      <c r="L13498" s="0" t="str">
        <f aca="false">HYPERLINK("https://www.ncbi.nlm.nih.gov/nuccore/CP000304.1?report=graph&amp;tracks=[key:gene_model_track,Options:GeneOnly]&amp;mk=3816717:3816736|offset_1|444444,3816696:3816715|offset_22|00cc00,3816675:3816694|offset_43|444444,3816652:3816671|offset_66|444444&amp;v=3816516:3816871&amp;c=444444", "offset 22")</f>
        <v>offset 22</v>
      </c>
    </row>
    <row r="13499" customFormat="false" ht="12.8" hidden="false" customHeight="false" outlineLevel="0" collapsed="false">
      <c r="A13499" s="0" t="s">
        <v>12</v>
      </c>
      <c r="B13499" s="0" t="n">
        <v>3816674</v>
      </c>
      <c r="C13499" s="0" t="n">
        <v>3816694</v>
      </c>
      <c r="D13499" s="0" t="s">
        <v>44974</v>
      </c>
      <c r="E13499" s="0" t="s">
        <v>44975</v>
      </c>
      <c r="F13499" s="0" t="s">
        <v>90</v>
      </c>
      <c r="G13499" s="0" t="s">
        <v>36</v>
      </c>
      <c r="H13499" s="0" t="n">
        <v>43</v>
      </c>
      <c r="I13499" s="0" t="s">
        <v>44982</v>
      </c>
      <c r="J13499" s="0" t="s">
        <v>44983</v>
      </c>
      <c r="K13499" s="0" t="s">
        <v>44984</v>
      </c>
      <c r="L13499" s="0" t="str">
        <f aca="false">HYPERLINK("https://www.ncbi.nlm.nih.gov/nuccore/CP000304.1?report=graph&amp;tracks=[key:gene_model_track,Options:GeneOnly]&amp;mk=3816717:3816736|offset_1|444444,3816696:3816715|offset_22|444444,3816675:3816694|offset_43|00cc00,3816652:3816671|offset_66|444444&amp;v=3816516:3816871&amp;c=444444", "offset 43")</f>
        <v>offset 43</v>
      </c>
    </row>
    <row r="13500" customFormat="false" ht="12.8" hidden="false" customHeight="false" outlineLevel="0" collapsed="false">
      <c r="A13500" s="0" t="s">
        <v>12</v>
      </c>
      <c r="B13500" s="0" t="n">
        <v>3816651</v>
      </c>
      <c r="C13500" s="0" t="n">
        <v>3816671</v>
      </c>
      <c r="D13500" s="0" t="s">
        <v>44974</v>
      </c>
      <c r="E13500" s="0" t="s">
        <v>44975</v>
      </c>
      <c r="F13500" s="0" t="s">
        <v>90</v>
      </c>
      <c r="G13500" s="0" t="s">
        <v>36</v>
      </c>
      <c r="H13500" s="0" t="n">
        <v>66</v>
      </c>
      <c r="I13500" s="0" t="s">
        <v>44985</v>
      </c>
      <c r="J13500" s="0" t="s">
        <v>44986</v>
      </c>
      <c r="K13500" s="0" t="s">
        <v>44987</v>
      </c>
      <c r="L13500" s="0" t="str">
        <f aca="false">HYPERLINK("https://www.ncbi.nlm.nih.gov/nuccore/CP000304.1?report=graph&amp;tracks=[key:gene_model_track,Options:GeneOnly]&amp;mk=3816717:3816736|offset_1|444444,3816696:3816715|offset_22|444444,3816675:3816694|offset_43|444444,3816652:3816671|offset_66|00cc00&amp;v=3816516:3816871&amp;c=444444", "offset 66")</f>
        <v>offset 66</v>
      </c>
    </row>
    <row r="13501" customFormat="false" ht="12.8" hidden="false" customHeight="false" outlineLevel="0" collapsed="false">
      <c r="A13501" s="0" t="s">
        <v>12</v>
      </c>
      <c r="B13501" s="0" t="n">
        <v>3817036</v>
      </c>
      <c r="C13501" s="0" t="n">
        <v>3817056</v>
      </c>
      <c r="D13501" s="0" t="s">
        <v>44988</v>
      </c>
      <c r="E13501" s="0" t="s">
        <v>44989</v>
      </c>
      <c r="F13501" s="0" t="s">
        <v>90</v>
      </c>
      <c r="G13501" s="0" t="s">
        <v>26</v>
      </c>
      <c r="H13501" s="0" t="n">
        <v>14</v>
      </c>
      <c r="I13501" s="0" t="s">
        <v>44990</v>
      </c>
      <c r="J13501" s="0" t="s">
        <v>44991</v>
      </c>
      <c r="K13501" s="0" t="s">
        <v>44992</v>
      </c>
      <c r="L13501" s="0" t="str">
        <f aca="false">HYPERLINK("https://www.ncbi.nlm.nih.gov/nuccore/CP000304.1?report=graph&amp;tracks=[key:gene_model_track,Options:GeneOnly]&amp;mk=3817037:3817056|offset_14|00cc00,3817002:3817021|offset_49|444444,3816952:3816971|offset_99|444444,3816924:3816943|offset_127|444444&amp;v=3816836:3817143&amp;c=444444", "offset 14")</f>
        <v>offset 14</v>
      </c>
    </row>
    <row r="13502" customFormat="false" ht="12.8" hidden="false" customHeight="false" outlineLevel="0" collapsed="false">
      <c r="A13502" s="0" t="s">
        <v>12</v>
      </c>
      <c r="B13502" s="0" t="n">
        <v>3817001</v>
      </c>
      <c r="C13502" s="0" t="n">
        <v>3817021</v>
      </c>
      <c r="D13502" s="0" t="s">
        <v>44988</v>
      </c>
      <c r="E13502" s="0" t="s">
        <v>44989</v>
      </c>
      <c r="F13502" s="0" t="s">
        <v>90</v>
      </c>
      <c r="G13502" s="0" t="s">
        <v>36</v>
      </c>
      <c r="H13502" s="0" t="n">
        <v>49</v>
      </c>
      <c r="I13502" s="0" t="s">
        <v>44993</v>
      </c>
      <c r="J13502" s="0" t="s">
        <v>44994</v>
      </c>
      <c r="K13502" s="0" t="s">
        <v>44995</v>
      </c>
      <c r="L13502" s="0" t="str">
        <f aca="false">HYPERLINK("https://www.ncbi.nlm.nih.gov/nuccore/CP000304.1?report=graph&amp;tracks=[key:gene_model_track,Options:GeneOnly]&amp;mk=3817037:3817056|offset_14|444444,3817002:3817021|offset_49|00cc00,3816952:3816971|offset_99|444444,3816924:3816943|offset_127|444444&amp;v=3816836:3817143&amp;c=444444", "offset 49")</f>
        <v>offset 49</v>
      </c>
    </row>
    <row r="13503" customFormat="false" ht="12.8" hidden="false" customHeight="false" outlineLevel="0" collapsed="false">
      <c r="A13503" s="0" t="s">
        <v>12</v>
      </c>
      <c r="B13503" s="0" t="n">
        <v>3816951</v>
      </c>
      <c r="C13503" s="0" t="n">
        <v>3816971</v>
      </c>
      <c r="D13503" s="0" t="s">
        <v>44988</v>
      </c>
      <c r="E13503" s="0" t="s">
        <v>44989</v>
      </c>
      <c r="F13503" s="0" t="s">
        <v>90</v>
      </c>
      <c r="G13503" s="0" t="s">
        <v>36</v>
      </c>
      <c r="H13503" s="0" t="n">
        <v>99</v>
      </c>
      <c r="I13503" s="0" t="s">
        <v>44996</v>
      </c>
      <c r="J13503" s="0" t="s">
        <v>44997</v>
      </c>
      <c r="K13503" s="0" t="s">
        <v>44998</v>
      </c>
      <c r="L13503" s="0" t="str">
        <f aca="false">HYPERLINK("https://www.ncbi.nlm.nih.gov/nuccore/CP000304.1?report=graph&amp;tracks=[key:gene_model_track,Options:GeneOnly]&amp;mk=3817037:3817056|offset_14|444444,3817002:3817021|offset_49|444444,3816952:3816971|offset_99|00cc00,3816924:3816943|offset_127|444444&amp;v=3816836:3817143&amp;c=444444", "offset 99")</f>
        <v>offset 99</v>
      </c>
    </row>
    <row r="13504" customFormat="false" ht="12.8" hidden="false" customHeight="false" outlineLevel="0" collapsed="false">
      <c r="A13504" s="0" t="s">
        <v>12</v>
      </c>
      <c r="B13504" s="0" t="n">
        <v>3816923</v>
      </c>
      <c r="C13504" s="0" t="n">
        <v>3816943</v>
      </c>
      <c r="D13504" s="0" t="s">
        <v>44988</v>
      </c>
      <c r="E13504" s="0" t="s">
        <v>44989</v>
      </c>
      <c r="F13504" s="0" t="s">
        <v>90</v>
      </c>
      <c r="G13504" s="0" t="s">
        <v>32</v>
      </c>
      <c r="H13504" s="0" t="n">
        <v>127</v>
      </c>
      <c r="I13504" s="0" t="s">
        <v>44999</v>
      </c>
      <c r="J13504" s="0" t="s">
        <v>45000</v>
      </c>
      <c r="K13504" s="0" t="s">
        <v>45001</v>
      </c>
      <c r="L13504" s="0" t="str">
        <f aca="false">HYPERLINK("https://www.ncbi.nlm.nih.gov/nuccore/CP000304.1?report=graph&amp;tracks=[key:gene_model_track,Options:GeneOnly]&amp;mk=3817037:3817056|offset_14|444444,3817002:3817021|offset_49|444444,3816952:3816971|offset_99|444444,3816924:3816943|offset_127|00cc00&amp;v=3816836:3817143&amp;c=444444", "offset 127")</f>
        <v>offset 127</v>
      </c>
    </row>
    <row r="13505" customFormat="false" ht="12.8" hidden="false" customHeight="false" outlineLevel="0" collapsed="false">
      <c r="A13505" s="0" t="s">
        <v>12</v>
      </c>
      <c r="B13505" s="0" t="n">
        <v>3818176</v>
      </c>
      <c r="C13505" s="0" t="n">
        <v>3818196</v>
      </c>
      <c r="D13505" s="0" t="s">
        <v>45002</v>
      </c>
      <c r="E13505" s="0" t="s">
        <v>45003</v>
      </c>
      <c r="F13505" s="0" t="s">
        <v>90</v>
      </c>
      <c r="G13505" s="0" t="s">
        <v>16</v>
      </c>
      <c r="H13505" s="0" t="n">
        <v>7</v>
      </c>
      <c r="I13505" s="0" t="s">
        <v>45004</v>
      </c>
      <c r="J13505" s="0" t="s">
        <v>45005</v>
      </c>
      <c r="K13505" s="0" t="s">
        <v>45006</v>
      </c>
      <c r="L13505" s="0" t="str">
        <f aca="false">HYPERLINK("https://www.ncbi.nlm.nih.gov/nuccore/CP000304.1?report=graph&amp;tracks=[key:gene_model_track,Options:GeneOnly]&amp;mk=3818177:3818196|offset_7|00cc00,3818147:3818166|offset_37|444444,3818122:3818141|offset_62|444444,3818093:3818112|offset_91|444444&amp;v=3817976:3818312&amp;c=444444", "offset 7")</f>
        <v>offset 7</v>
      </c>
    </row>
    <row r="13506" customFormat="false" ht="12.8" hidden="false" customHeight="false" outlineLevel="0" collapsed="false">
      <c r="A13506" s="0" t="s">
        <v>12</v>
      </c>
      <c r="B13506" s="0" t="n">
        <v>3818146</v>
      </c>
      <c r="C13506" s="0" t="n">
        <v>3818166</v>
      </c>
      <c r="D13506" s="0" t="s">
        <v>45002</v>
      </c>
      <c r="E13506" s="0" t="s">
        <v>45003</v>
      </c>
      <c r="F13506" s="0" t="s">
        <v>90</v>
      </c>
      <c r="G13506" s="0" t="s">
        <v>16</v>
      </c>
      <c r="H13506" s="0" t="n">
        <v>37</v>
      </c>
      <c r="I13506" s="0" t="s">
        <v>45007</v>
      </c>
      <c r="J13506" s="0" t="s">
        <v>45008</v>
      </c>
      <c r="K13506" s="0" t="s">
        <v>45009</v>
      </c>
      <c r="L13506" s="0" t="str">
        <f aca="false">HYPERLINK("https://www.ncbi.nlm.nih.gov/nuccore/CP000304.1?report=graph&amp;tracks=[key:gene_model_track,Options:GeneOnly]&amp;mk=3818177:3818196|offset_7|444444,3818147:3818166|offset_37|00cc00,3818122:3818141|offset_62|444444,3818093:3818112|offset_91|444444&amp;v=3817976:3818312&amp;c=444444", "offset 37")</f>
        <v>offset 37</v>
      </c>
    </row>
    <row r="13507" customFormat="false" ht="12.8" hidden="false" customHeight="false" outlineLevel="0" collapsed="false">
      <c r="A13507" s="0" t="s">
        <v>12</v>
      </c>
      <c r="B13507" s="0" t="n">
        <v>3818121</v>
      </c>
      <c r="C13507" s="0" t="n">
        <v>3818141</v>
      </c>
      <c r="D13507" s="0" t="s">
        <v>45002</v>
      </c>
      <c r="E13507" s="0" t="s">
        <v>45003</v>
      </c>
      <c r="F13507" s="0" t="s">
        <v>90</v>
      </c>
      <c r="G13507" s="0" t="s">
        <v>36</v>
      </c>
      <c r="H13507" s="0" t="n">
        <v>62</v>
      </c>
      <c r="I13507" s="0" t="s">
        <v>45010</v>
      </c>
      <c r="J13507" s="0" t="s">
        <v>45011</v>
      </c>
      <c r="K13507" s="0" t="s">
        <v>45012</v>
      </c>
      <c r="L13507" s="0" t="str">
        <f aca="false">HYPERLINK("https://www.ncbi.nlm.nih.gov/nuccore/CP000304.1?report=graph&amp;tracks=[key:gene_model_track,Options:GeneOnly]&amp;mk=3818177:3818196|offset_7|444444,3818147:3818166|offset_37|444444,3818122:3818141|offset_62|00cc00,3818093:3818112|offset_91|444444&amp;v=3817976:3818312&amp;c=444444", "offset 62")</f>
        <v>offset 62</v>
      </c>
    </row>
    <row r="13508" customFormat="false" ht="12.8" hidden="false" customHeight="false" outlineLevel="0" collapsed="false">
      <c r="A13508" s="0" t="s">
        <v>12</v>
      </c>
      <c r="B13508" s="0" t="n">
        <v>3818092</v>
      </c>
      <c r="C13508" s="0" t="n">
        <v>3818112</v>
      </c>
      <c r="D13508" s="0" t="s">
        <v>45002</v>
      </c>
      <c r="E13508" s="0" t="s">
        <v>45003</v>
      </c>
      <c r="F13508" s="0" t="s">
        <v>90</v>
      </c>
      <c r="G13508" s="0" t="s">
        <v>32</v>
      </c>
      <c r="H13508" s="0" t="n">
        <v>91</v>
      </c>
      <c r="I13508" s="0" t="s">
        <v>45013</v>
      </c>
      <c r="J13508" s="0" t="s">
        <v>45014</v>
      </c>
      <c r="K13508" s="0" t="s">
        <v>45015</v>
      </c>
      <c r="L13508" s="0" t="str">
        <f aca="false">HYPERLINK("https://www.ncbi.nlm.nih.gov/nuccore/CP000304.1?report=graph&amp;tracks=[key:gene_model_track,Options:GeneOnly]&amp;mk=3818177:3818196|offset_7|444444,3818147:3818166|offset_37|444444,3818122:3818141|offset_62|444444,3818093:3818112|offset_91|00cc00&amp;v=3817976:3818312&amp;c=444444", "offset 91")</f>
        <v>offset 91</v>
      </c>
    </row>
    <row r="13509" customFormat="false" ht="12.8" hidden="false" customHeight="false" outlineLevel="0" collapsed="false">
      <c r="A13509" s="0" t="s">
        <v>12</v>
      </c>
      <c r="B13509" s="0" t="n">
        <v>3818901</v>
      </c>
      <c r="C13509" s="0" t="n">
        <v>3818921</v>
      </c>
      <c r="D13509" s="0" t="s">
        <v>45016</v>
      </c>
      <c r="E13509" s="0" t="s">
        <v>45017</v>
      </c>
      <c r="F13509" s="0" t="s">
        <v>90</v>
      </c>
      <c r="G13509" s="0" t="s">
        <v>32</v>
      </c>
      <c r="H13509" s="0" t="n">
        <v>1</v>
      </c>
      <c r="I13509" s="0" t="s">
        <v>45018</v>
      </c>
      <c r="J13509" s="0" t="s">
        <v>45019</v>
      </c>
      <c r="K13509" s="0" t="s">
        <v>45020</v>
      </c>
      <c r="L13509" s="0" t="str">
        <f aca="false">HYPERLINK("https://www.ncbi.nlm.nih.gov/nuccore/CP000304.1?report=graph&amp;tracks=[key:gene_model_track,Options:GeneOnly]&amp;mk=3818902:3818921|offset_1|00cc00,3818856:3818875|offset_47|444444,3818746:3818765|offset_157|444444,3818719:3818738|offset_184|444444&amp;v=3818701:3818938&amp;c=444444", "offset 1")</f>
        <v>offset 1</v>
      </c>
    </row>
    <row r="13510" customFormat="false" ht="12.8" hidden="false" customHeight="false" outlineLevel="0" collapsed="false">
      <c r="A13510" s="0" t="s">
        <v>12</v>
      </c>
      <c r="B13510" s="0" t="n">
        <v>3818855</v>
      </c>
      <c r="C13510" s="0" t="n">
        <v>3818875</v>
      </c>
      <c r="D13510" s="0" t="s">
        <v>45016</v>
      </c>
      <c r="E13510" s="0" t="s">
        <v>45017</v>
      </c>
      <c r="F13510" s="0" t="s">
        <v>90</v>
      </c>
      <c r="G13510" s="0" t="s">
        <v>26</v>
      </c>
      <c r="H13510" s="0" t="n">
        <v>47</v>
      </c>
      <c r="I13510" s="0" t="s">
        <v>45021</v>
      </c>
      <c r="J13510" s="0" t="s">
        <v>45022</v>
      </c>
      <c r="K13510" s="0" t="s">
        <v>45023</v>
      </c>
      <c r="L13510" s="0" t="str">
        <f aca="false">HYPERLINK("https://www.ncbi.nlm.nih.gov/nuccore/CP000304.1?report=graph&amp;tracks=[key:gene_model_track,Options:GeneOnly]&amp;mk=3818902:3818921|offset_1|444444,3818856:3818875|offset_47|00cc00,3818746:3818765|offset_157|444444,3818719:3818738|offset_184|444444&amp;v=3818701:3818938&amp;c=444444", "offset 47")</f>
        <v>offset 47</v>
      </c>
    </row>
    <row r="13511" customFormat="false" ht="12.8" hidden="false" customHeight="false" outlineLevel="0" collapsed="false">
      <c r="A13511" s="0" t="s">
        <v>12</v>
      </c>
      <c r="B13511" s="0" t="n">
        <v>3818745</v>
      </c>
      <c r="C13511" s="0" t="n">
        <v>3818765</v>
      </c>
      <c r="D13511" s="0" t="s">
        <v>45016</v>
      </c>
      <c r="E13511" s="0" t="s">
        <v>45017</v>
      </c>
      <c r="F13511" s="0" t="s">
        <v>90</v>
      </c>
      <c r="G13511" s="0" t="s">
        <v>32</v>
      </c>
      <c r="H13511" s="0" t="n">
        <v>157</v>
      </c>
      <c r="I13511" s="0" t="s">
        <v>45024</v>
      </c>
      <c r="J13511" s="0" t="s">
        <v>45025</v>
      </c>
      <c r="K13511" s="0" t="s">
        <v>45026</v>
      </c>
      <c r="L13511" s="0" t="str">
        <f aca="false">HYPERLINK("https://www.ncbi.nlm.nih.gov/nuccore/CP000304.1?report=graph&amp;tracks=[key:gene_model_track,Options:GeneOnly]&amp;mk=3818902:3818921|offset_1|444444,3818856:3818875|offset_47|444444,3818746:3818765|offset_157|00cc00,3818719:3818738|offset_184|444444&amp;v=3818701:3818938&amp;c=444444", "offset 157")</f>
        <v>offset 157</v>
      </c>
    </row>
    <row r="13512" customFormat="false" ht="12.8" hidden="false" customHeight="false" outlineLevel="0" collapsed="false">
      <c r="A13512" s="0" t="s">
        <v>12</v>
      </c>
      <c r="B13512" s="0" t="n">
        <v>3818718</v>
      </c>
      <c r="C13512" s="0" t="n">
        <v>3818738</v>
      </c>
      <c r="D13512" s="0" t="s">
        <v>45016</v>
      </c>
      <c r="E13512" s="0" t="s">
        <v>45017</v>
      </c>
      <c r="F13512" s="0" t="s">
        <v>90</v>
      </c>
      <c r="G13512" s="0" t="s">
        <v>26</v>
      </c>
      <c r="H13512" s="0" t="n">
        <v>184</v>
      </c>
      <c r="I13512" s="0" t="s">
        <v>45027</v>
      </c>
      <c r="J13512" s="0" t="s">
        <v>45028</v>
      </c>
      <c r="K13512" s="0" t="s">
        <v>45029</v>
      </c>
      <c r="L13512" s="0" t="str">
        <f aca="false">HYPERLINK("https://www.ncbi.nlm.nih.gov/nuccore/CP000304.1?report=graph&amp;tracks=[key:gene_model_track,Options:GeneOnly]&amp;mk=3818902:3818921|offset_1|444444,3818856:3818875|offset_47|444444,3818746:3818765|offset_157|444444,3818719:3818738|offset_184|00cc00&amp;v=3818701:3818938&amp;c=444444", "offset 184")</f>
        <v>offset 184</v>
      </c>
    </row>
    <row r="13513" customFormat="false" ht="12.8" hidden="false" customHeight="false" outlineLevel="0" collapsed="false">
      <c r="A13513" s="0" t="s">
        <v>12</v>
      </c>
      <c r="B13513" s="0" t="n">
        <v>3820633</v>
      </c>
      <c r="C13513" s="0" t="n">
        <v>3820653</v>
      </c>
      <c r="D13513" s="0" t="s">
        <v>45030</v>
      </c>
      <c r="E13513" s="0" t="s">
        <v>45031</v>
      </c>
      <c r="F13513" s="0" t="s">
        <v>90</v>
      </c>
      <c r="G13513" s="0" t="s">
        <v>26</v>
      </c>
      <c r="H13513" s="0" t="n">
        <v>21</v>
      </c>
      <c r="I13513" s="0" t="s">
        <v>45032</v>
      </c>
      <c r="J13513" s="0" t="s">
        <v>45033</v>
      </c>
      <c r="K13513" s="0" t="s">
        <v>45034</v>
      </c>
      <c r="L13513" s="0" t="str">
        <f aca="false">HYPERLINK("https://www.ncbi.nlm.nih.gov/nuccore/CP000304.1?report=graph&amp;tracks=[key:gene_model_track,Options:GeneOnly]&amp;mk=3820634:3820653|offset_21|00cc00,3820612:3820631|offset_43|444444,3820581:3820600|offset_74|444444,3820558:3820577|offset_97|444444&amp;v=3820433:3820777&amp;c=444444", "offset 21")</f>
        <v>offset 21</v>
      </c>
    </row>
    <row r="13514" customFormat="false" ht="12.8" hidden="false" customHeight="false" outlineLevel="0" collapsed="false">
      <c r="A13514" s="0" t="s">
        <v>12</v>
      </c>
      <c r="B13514" s="0" t="n">
        <v>3820611</v>
      </c>
      <c r="C13514" s="0" t="n">
        <v>3820631</v>
      </c>
      <c r="D13514" s="0" t="s">
        <v>45030</v>
      </c>
      <c r="E13514" s="0" t="s">
        <v>45031</v>
      </c>
      <c r="F13514" s="0" t="s">
        <v>90</v>
      </c>
      <c r="G13514" s="0" t="s">
        <v>16</v>
      </c>
      <c r="H13514" s="0" t="n">
        <v>43</v>
      </c>
      <c r="I13514" s="0" t="s">
        <v>45035</v>
      </c>
      <c r="J13514" s="0" t="s">
        <v>45036</v>
      </c>
      <c r="K13514" s="0" t="s">
        <v>45037</v>
      </c>
      <c r="L13514" s="0" t="str">
        <f aca="false">HYPERLINK("https://www.ncbi.nlm.nih.gov/nuccore/CP000304.1?report=graph&amp;tracks=[key:gene_model_track,Options:GeneOnly]&amp;mk=3820634:3820653|offset_21|444444,3820612:3820631|offset_43|00cc00,3820581:3820600|offset_74|444444,3820558:3820577|offset_97|444444&amp;v=3820433:3820777&amp;c=444444", "offset 43")</f>
        <v>offset 43</v>
      </c>
    </row>
    <row r="13515" customFormat="false" ht="12.8" hidden="false" customHeight="false" outlineLevel="0" collapsed="false">
      <c r="A13515" s="0" t="s">
        <v>12</v>
      </c>
      <c r="B13515" s="0" t="n">
        <v>3820580</v>
      </c>
      <c r="C13515" s="0" t="n">
        <v>3820600</v>
      </c>
      <c r="D13515" s="0" t="s">
        <v>45030</v>
      </c>
      <c r="E13515" s="0" t="s">
        <v>45031</v>
      </c>
      <c r="F13515" s="0" t="s">
        <v>90</v>
      </c>
      <c r="G13515" s="0" t="s">
        <v>32</v>
      </c>
      <c r="H13515" s="0" t="n">
        <v>74</v>
      </c>
      <c r="I13515" s="0" t="s">
        <v>45038</v>
      </c>
      <c r="J13515" s="0" t="s">
        <v>45039</v>
      </c>
      <c r="K13515" s="0" t="s">
        <v>45040</v>
      </c>
      <c r="L13515" s="0" t="str">
        <f aca="false">HYPERLINK("https://www.ncbi.nlm.nih.gov/nuccore/CP000304.1?report=graph&amp;tracks=[key:gene_model_track,Options:GeneOnly]&amp;mk=3820634:3820653|offset_21|444444,3820612:3820631|offset_43|444444,3820581:3820600|offset_74|00cc00,3820558:3820577|offset_97|444444&amp;v=3820433:3820777&amp;c=444444", "offset 74")</f>
        <v>offset 74</v>
      </c>
    </row>
    <row r="13516" customFormat="false" ht="12.8" hidden="false" customHeight="false" outlineLevel="0" collapsed="false">
      <c r="A13516" s="0" t="s">
        <v>12</v>
      </c>
      <c r="B13516" s="0" t="n">
        <v>3820557</v>
      </c>
      <c r="C13516" s="0" t="n">
        <v>3820577</v>
      </c>
      <c r="D13516" s="0" t="s">
        <v>45030</v>
      </c>
      <c r="E13516" s="0" t="s">
        <v>45031</v>
      </c>
      <c r="F13516" s="0" t="s">
        <v>90</v>
      </c>
      <c r="G13516" s="0" t="s">
        <v>16</v>
      </c>
      <c r="H13516" s="0" t="n">
        <v>97</v>
      </c>
      <c r="I13516" s="0" t="s">
        <v>45041</v>
      </c>
      <c r="J13516" s="0" t="s">
        <v>45042</v>
      </c>
      <c r="K13516" s="0" t="s">
        <v>45043</v>
      </c>
      <c r="L13516" s="0" t="str">
        <f aca="false">HYPERLINK("https://www.ncbi.nlm.nih.gov/nuccore/CP000304.1?report=graph&amp;tracks=[key:gene_model_track,Options:GeneOnly]&amp;mk=3820634:3820653|offset_21|444444,3820612:3820631|offset_43|444444,3820581:3820600|offset_74|444444,3820558:3820577|offset_97|00cc00&amp;v=3820433:3820777&amp;c=444444", "offset 97")</f>
        <v>offset 97</v>
      </c>
    </row>
    <row r="13517" customFormat="false" ht="12.8" hidden="false" customHeight="false" outlineLevel="0" collapsed="false">
      <c r="A13517" s="0" t="s">
        <v>12</v>
      </c>
      <c r="B13517" s="0" t="n">
        <v>3821128</v>
      </c>
      <c r="C13517" s="0" t="n">
        <v>3821148</v>
      </c>
      <c r="D13517" s="0" t="s">
        <v>45044</v>
      </c>
      <c r="E13517" s="0" t="s">
        <v>45045</v>
      </c>
      <c r="F13517" s="0" t="s">
        <v>15</v>
      </c>
      <c r="G13517" s="0" t="s">
        <v>16</v>
      </c>
      <c r="H13517" s="0" t="n">
        <v>6</v>
      </c>
      <c r="I13517" s="0" t="s">
        <v>45046</v>
      </c>
      <c r="J13517" s="0" t="s">
        <v>45047</v>
      </c>
      <c r="K13517" s="0" t="s">
        <v>45048</v>
      </c>
      <c r="L13517" s="0" t="str">
        <f aca="false">HYPERLINK("https://www.ncbi.nlm.nih.gov/nuccore/CP000304.1?report=graph&amp;tracks=[key:gene_model_track,Options:GeneOnly]&amp;mk=3821129:3821148|offset_6|00cc00,3821151:3821170|offset_28|444444,3821191:3821210|offset_68|444444,3821214:3821233|offset_91|444444&amp;v=3820928:3821433&amp;c=444444", "offset 6")</f>
        <v>offset 6</v>
      </c>
    </row>
    <row r="13518" customFormat="false" ht="12.8" hidden="false" customHeight="false" outlineLevel="0" collapsed="false">
      <c r="A13518" s="0" t="s">
        <v>12</v>
      </c>
      <c r="B13518" s="0" t="n">
        <v>3821150</v>
      </c>
      <c r="C13518" s="0" t="n">
        <v>3821170</v>
      </c>
      <c r="D13518" s="0" t="s">
        <v>45044</v>
      </c>
      <c r="E13518" s="0" t="s">
        <v>45045</v>
      </c>
      <c r="F13518" s="0" t="s">
        <v>15</v>
      </c>
      <c r="G13518" s="0" t="s">
        <v>16</v>
      </c>
      <c r="H13518" s="0" t="n">
        <v>28</v>
      </c>
      <c r="I13518" s="0" t="s">
        <v>45049</v>
      </c>
      <c r="J13518" s="0" t="s">
        <v>45050</v>
      </c>
      <c r="K13518" s="0" t="s">
        <v>45051</v>
      </c>
      <c r="L13518" s="0" t="str">
        <f aca="false">HYPERLINK("https://www.ncbi.nlm.nih.gov/nuccore/CP000304.1?report=graph&amp;tracks=[key:gene_model_track,Options:GeneOnly]&amp;mk=3821129:3821148|offset_6|444444,3821151:3821170|offset_28|00cc00,3821191:3821210|offset_68|444444,3821214:3821233|offset_91|444444&amp;v=3820928:3821433&amp;c=444444", "offset 28")</f>
        <v>offset 28</v>
      </c>
    </row>
    <row r="13519" customFormat="false" ht="12.8" hidden="false" customHeight="false" outlineLevel="0" collapsed="false">
      <c r="A13519" s="0" t="s">
        <v>12</v>
      </c>
      <c r="B13519" s="0" t="n">
        <v>3821190</v>
      </c>
      <c r="C13519" s="0" t="n">
        <v>3821210</v>
      </c>
      <c r="D13519" s="0" t="s">
        <v>45044</v>
      </c>
      <c r="E13519" s="0" t="s">
        <v>45045</v>
      </c>
      <c r="F13519" s="0" t="s">
        <v>15</v>
      </c>
      <c r="G13519" s="0" t="s">
        <v>16</v>
      </c>
      <c r="H13519" s="0" t="n">
        <v>68</v>
      </c>
      <c r="I13519" s="0" t="s">
        <v>45052</v>
      </c>
      <c r="J13519" s="0" t="s">
        <v>45053</v>
      </c>
      <c r="K13519" s="0" t="s">
        <v>45054</v>
      </c>
      <c r="L13519" s="0" t="str">
        <f aca="false">HYPERLINK("https://www.ncbi.nlm.nih.gov/nuccore/CP000304.1?report=graph&amp;tracks=[key:gene_model_track,Options:GeneOnly]&amp;mk=3821129:3821148|offset_6|444444,3821151:3821170|offset_28|444444,3821191:3821210|offset_68|00cc00,3821214:3821233|offset_91|444444&amp;v=3820928:3821433&amp;c=444444", "offset 68")</f>
        <v>offset 68</v>
      </c>
    </row>
    <row r="13520" customFormat="false" ht="12.8" hidden="false" customHeight="false" outlineLevel="0" collapsed="false">
      <c r="A13520" s="0" t="s">
        <v>12</v>
      </c>
      <c r="B13520" s="0" t="n">
        <v>3821213</v>
      </c>
      <c r="C13520" s="0" t="n">
        <v>3821233</v>
      </c>
      <c r="D13520" s="0" t="s">
        <v>45044</v>
      </c>
      <c r="E13520" s="0" t="s">
        <v>45045</v>
      </c>
      <c r="F13520" s="0" t="s">
        <v>15</v>
      </c>
      <c r="G13520" s="0" t="s">
        <v>16</v>
      </c>
      <c r="H13520" s="0" t="n">
        <v>91</v>
      </c>
      <c r="I13520" s="0" t="s">
        <v>45055</v>
      </c>
      <c r="J13520" s="0" t="s">
        <v>45056</v>
      </c>
      <c r="K13520" s="0" t="s">
        <v>45057</v>
      </c>
      <c r="L13520" s="0" t="str">
        <f aca="false">HYPERLINK("https://www.ncbi.nlm.nih.gov/nuccore/CP000304.1?report=graph&amp;tracks=[key:gene_model_track,Options:GeneOnly]&amp;mk=3821129:3821148|offset_6|444444,3821151:3821170|offset_28|444444,3821191:3821210|offset_68|444444,3821214:3821233|offset_91|00cc00&amp;v=3820928:3821433&amp;c=444444", "offset 91")</f>
        <v>offset 91</v>
      </c>
    </row>
    <row r="13521" customFormat="false" ht="12.8" hidden="false" customHeight="false" outlineLevel="0" collapsed="false">
      <c r="A13521" s="0" t="s">
        <v>12</v>
      </c>
      <c r="B13521" s="0" t="n">
        <v>3821890</v>
      </c>
      <c r="C13521" s="0" t="n">
        <v>3821910</v>
      </c>
      <c r="D13521" s="0" t="s">
        <v>45058</v>
      </c>
      <c r="E13521" s="0" t="s">
        <v>45059</v>
      </c>
      <c r="F13521" s="0" t="s">
        <v>15</v>
      </c>
      <c r="G13521" s="0" t="s">
        <v>26</v>
      </c>
      <c r="H13521" s="0" t="n">
        <v>17</v>
      </c>
      <c r="I13521" s="0" t="s">
        <v>45060</v>
      </c>
      <c r="J13521" s="0" t="s">
        <v>45061</v>
      </c>
      <c r="K13521" s="0" t="s">
        <v>45062</v>
      </c>
      <c r="L13521" s="0" t="str">
        <f aca="false">HYPERLINK("https://www.ncbi.nlm.nih.gov/nuccore/CP000304.1?report=graph&amp;tracks=[key:gene_model_track,Options:GeneOnly]&amp;mk=3821891:3821910|offset_17|00cc00,3821914:3821933|offset_40|444444,3821955:3821974|offset_81|444444,3821975:3821994|offset_101|444444&amp;v=3821690:3822194&amp;c=444444", "offset 17")</f>
        <v>offset 17</v>
      </c>
    </row>
    <row r="13522" customFormat="false" ht="12.8" hidden="false" customHeight="false" outlineLevel="0" collapsed="false">
      <c r="A13522" s="0" t="s">
        <v>12</v>
      </c>
      <c r="B13522" s="0" t="n">
        <v>3821913</v>
      </c>
      <c r="C13522" s="0" t="n">
        <v>3821933</v>
      </c>
      <c r="D13522" s="0" t="s">
        <v>45058</v>
      </c>
      <c r="E13522" s="0" t="s">
        <v>45059</v>
      </c>
      <c r="F13522" s="0" t="s">
        <v>15</v>
      </c>
      <c r="G13522" s="0" t="s">
        <v>32</v>
      </c>
      <c r="H13522" s="0" t="n">
        <v>40</v>
      </c>
      <c r="I13522" s="0" t="s">
        <v>45063</v>
      </c>
      <c r="J13522" s="0" t="s">
        <v>45064</v>
      </c>
      <c r="K13522" s="0" t="s">
        <v>45065</v>
      </c>
      <c r="L13522" s="0" t="str">
        <f aca="false">HYPERLINK("https://www.ncbi.nlm.nih.gov/nuccore/CP000304.1?report=graph&amp;tracks=[key:gene_model_track,Options:GeneOnly]&amp;mk=3821891:3821910|offset_17|444444,3821914:3821933|offset_40|00cc00,3821955:3821974|offset_81|444444,3821975:3821994|offset_101|444444&amp;v=3821690:3822194&amp;c=444444", "offset 40")</f>
        <v>offset 40</v>
      </c>
    </row>
    <row r="13523" customFormat="false" ht="12.8" hidden="false" customHeight="false" outlineLevel="0" collapsed="false">
      <c r="A13523" s="0" t="s">
        <v>12</v>
      </c>
      <c r="B13523" s="0" t="n">
        <v>3821954</v>
      </c>
      <c r="C13523" s="0" t="n">
        <v>3821974</v>
      </c>
      <c r="D13523" s="0" t="s">
        <v>45058</v>
      </c>
      <c r="E13523" s="0" t="s">
        <v>45059</v>
      </c>
      <c r="F13523" s="0" t="s">
        <v>15</v>
      </c>
      <c r="G13523" s="0" t="s">
        <v>16</v>
      </c>
      <c r="H13523" s="0" t="n">
        <v>81</v>
      </c>
      <c r="I13523" s="0" t="s">
        <v>45066</v>
      </c>
      <c r="J13523" s="0" t="s">
        <v>45067</v>
      </c>
      <c r="K13523" s="0" t="s">
        <v>45068</v>
      </c>
      <c r="L13523" s="0" t="str">
        <f aca="false">HYPERLINK("https://www.ncbi.nlm.nih.gov/nuccore/CP000304.1?report=graph&amp;tracks=[key:gene_model_track,Options:GeneOnly]&amp;mk=3821891:3821910|offset_17|444444,3821914:3821933|offset_40|444444,3821955:3821974|offset_81|00cc00,3821975:3821994|offset_101|444444&amp;v=3821690:3822194&amp;c=444444", "offset 81")</f>
        <v>offset 81</v>
      </c>
    </row>
    <row r="13524" customFormat="false" ht="12.8" hidden="false" customHeight="false" outlineLevel="0" collapsed="false">
      <c r="A13524" s="0" t="s">
        <v>12</v>
      </c>
      <c r="B13524" s="0" t="n">
        <v>3821974</v>
      </c>
      <c r="C13524" s="0" t="n">
        <v>3821994</v>
      </c>
      <c r="D13524" s="0" t="s">
        <v>45058</v>
      </c>
      <c r="E13524" s="0" t="s">
        <v>45059</v>
      </c>
      <c r="F13524" s="0" t="s">
        <v>15</v>
      </c>
      <c r="G13524" s="0" t="s">
        <v>16</v>
      </c>
      <c r="H13524" s="0" t="n">
        <v>101</v>
      </c>
      <c r="I13524" s="0" t="s">
        <v>45069</v>
      </c>
      <c r="J13524" s="0" t="s">
        <v>45070</v>
      </c>
      <c r="K13524" s="0" t="s">
        <v>45071</v>
      </c>
      <c r="L13524" s="0" t="str">
        <f aca="false">HYPERLINK("https://www.ncbi.nlm.nih.gov/nuccore/CP000304.1?report=graph&amp;tracks=[key:gene_model_track,Options:GeneOnly]&amp;mk=3821891:3821910|offset_17|444444,3821914:3821933|offset_40|444444,3821955:3821974|offset_81|444444,3821975:3821994|offset_101|00cc00&amp;v=3821690:3822194&amp;c=444444", "offset 101")</f>
        <v>offset 101</v>
      </c>
    </row>
    <row r="13525" customFormat="false" ht="12.8" hidden="false" customHeight="false" outlineLevel="0" collapsed="false">
      <c r="A13525" s="0" t="s">
        <v>12</v>
      </c>
      <c r="B13525" s="0" t="n">
        <v>3822418</v>
      </c>
      <c r="C13525" s="0" t="n">
        <v>3822438</v>
      </c>
      <c r="D13525" s="0" t="s">
        <v>45072</v>
      </c>
      <c r="E13525" s="0" t="s">
        <v>45073</v>
      </c>
      <c r="F13525" s="0" t="s">
        <v>15</v>
      </c>
      <c r="G13525" s="0" t="s">
        <v>16</v>
      </c>
      <c r="H13525" s="0" t="n">
        <v>7</v>
      </c>
      <c r="I13525" s="0" t="s">
        <v>45074</v>
      </c>
      <c r="J13525" s="0" t="s">
        <v>45075</v>
      </c>
      <c r="K13525" s="0" t="s">
        <v>45076</v>
      </c>
      <c r="L13525" s="0" t="str">
        <f aca="false">HYPERLINK("https://www.ncbi.nlm.nih.gov/nuccore/CP000304.1?report=graph&amp;tracks=[key:gene_model_track,Options:GeneOnly]&amp;mk=3822419:3822438|offset_7|00cc00,3822440:3822459|offset_28|444444,3822473:3822492|offset_61|444444,3822494:3822513|offset_82|444444&amp;v=3822218:3822713&amp;c=444444", "offset 7")</f>
        <v>offset 7</v>
      </c>
    </row>
    <row r="13526" customFormat="false" ht="12.8" hidden="false" customHeight="false" outlineLevel="0" collapsed="false">
      <c r="A13526" s="0" t="s">
        <v>12</v>
      </c>
      <c r="B13526" s="0" t="n">
        <v>3822439</v>
      </c>
      <c r="C13526" s="0" t="n">
        <v>3822459</v>
      </c>
      <c r="D13526" s="0" t="s">
        <v>45072</v>
      </c>
      <c r="E13526" s="0" t="s">
        <v>45073</v>
      </c>
      <c r="F13526" s="0" t="s">
        <v>15</v>
      </c>
      <c r="G13526" s="0" t="s">
        <v>26</v>
      </c>
      <c r="H13526" s="0" t="n">
        <v>28</v>
      </c>
      <c r="I13526" s="0" t="s">
        <v>45077</v>
      </c>
      <c r="J13526" s="0" t="s">
        <v>45078</v>
      </c>
      <c r="K13526" s="0" t="s">
        <v>45079</v>
      </c>
      <c r="L13526" s="0" t="str">
        <f aca="false">HYPERLINK("https://www.ncbi.nlm.nih.gov/nuccore/CP000304.1?report=graph&amp;tracks=[key:gene_model_track,Options:GeneOnly]&amp;mk=3822419:3822438|offset_7|444444,3822440:3822459|offset_28|00cc00,3822473:3822492|offset_61|444444,3822494:3822513|offset_82|444444&amp;v=3822218:3822713&amp;c=444444", "offset 28")</f>
        <v>offset 28</v>
      </c>
    </row>
    <row r="13527" customFormat="false" ht="12.8" hidden="false" customHeight="false" outlineLevel="0" collapsed="false">
      <c r="A13527" s="0" t="s">
        <v>12</v>
      </c>
      <c r="B13527" s="0" t="n">
        <v>3822472</v>
      </c>
      <c r="C13527" s="0" t="n">
        <v>3822492</v>
      </c>
      <c r="D13527" s="0" t="s">
        <v>45072</v>
      </c>
      <c r="E13527" s="0" t="s">
        <v>45073</v>
      </c>
      <c r="F13527" s="0" t="s">
        <v>15</v>
      </c>
      <c r="G13527" s="0" t="s">
        <v>32</v>
      </c>
      <c r="H13527" s="0" t="n">
        <v>61</v>
      </c>
      <c r="I13527" s="0" t="s">
        <v>45080</v>
      </c>
      <c r="J13527" s="0" t="s">
        <v>45081</v>
      </c>
      <c r="K13527" s="0" t="s">
        <v>45082</v>
      </c>
      <c r="L13527" s="0" t="str">
        <f aca="false">HYPERLINK("https://www.ncbi.nlm.nih.gov/nuccore/CP000304.1?report=graph&amp;tracks=[key:gene_model_track,Options:GeneOnly]&amp;mk=3822419:3822438|offset_7|444444,3822440:3822459|offset_28|444444,3822473:3822492|offset_61|00cc00,3822494:3822513|offset_82|444444&amp;v=3822218:3822713&amp;c=444444", "offset 61")</f>
        <v>offset 61</v>
      </c>
    </row>
    <row r="13528" customFormat="false" ht="12.8" hidden="false" customHeight="false" outlineLevel="0" collapsed="false">
      <c r="A13528" s="0" t="s">
        <v>12</v>
      </c>
      <c r="B13528" s="0" t="n">
        <v>3822493</v>
      </c>
      <c r="C13528" s="0" t="n">
        <v>3822513</v>
      </c>
      <c r="D13528" s="0" t="s">
        <v>45072</v>
      </c>
      <c r="E13528" s="0" t="s">
        <v>45073</v>
      </c>
      <c r="F13528" s="0" t="s">
        <v>15</v>
      </c>
      <c r="G13528" s="0" t="s">
        <v>16</v>
      </c>
      <c r="H13528" s="0" t="n">
        <v>82</v>
      </c>
      <c r="I13528" s="0" t="s">
        <v>45083</v>
      </c>
      <c r="J13528" s="0" t="s">
        <v>45084</v>
      </c>
      <c r="K13528" s="0" t="s">
        <v>45085</v>
      </c>
      <c r="L13528" s="0" t="str">
        <f aca="false">HYPERLINK("https://www.ncbi.nlm.nih.gov/nuccore/CP000304.1?report=graph&amp;tracks=[key:gene_model_track,Options:GeneOnly]&amp;mk=3822419:3822438|offset_7|444444,3822440:3822459|offset_28|444444,3822473:3822492|offset_61|444444,3822494:3822513|offset_82|00cc00&amp;v=3822218:3822713&amp;c=444444", "offset 82")</f>
        <v>offset 82</v>
      </c>
    </row>
    <row r="13529" customFormat="false" ht="12.8" hidden="false" customHeight="false" outlineLevel="0" collapsed="false">
      <c r="A13529" s="0" t="s">
        <v>12</v>
      </c>
      <c r="B13529" s="0" t="n">
        <v>3822818</v>
      </c>
      <c r="C13529" s="0" t="n">
        <v>3822838</v>
      </c>
      <c r="D13529" s="0" t="s">
        <v>45086</v>
      </c>
      <c r="E13529" s="0" t="s">
        <v>45087</v>
      </c>
      <c r="F13529" s="0" t="s">
        <v>15</v>
      </c>
      <c r="G13529" s="0" t="s">
        <v>36</v>
      </c>
      <c r="H13529" s="0" t="n">
        <v>0</v>
      </c>
      <c r="I13529" s="0" t="s">
        <v>45088</v>
      </c>
      <c r="J13529" s="0" t="s">
        <v>45089</v>
      </c>
      <c r="K13529" s="0" t="s">
        <v>45090</v>
      </c>
      <c r="L13529" s="0" t="str">
        <f aca="false">HYPERLINK("https://www.ncbi.nlm.nih.gov/nuccore/CP000304.1?report=graph&amp;tracks=[key:gene_model_track,Options:GeneOnly]&amp;mk=3822819:3822838|offset_0|00cc00,3822850:3822869|offset_31|444444,3822870:3822889|offset_51|444444,3822905:3822924|offset_86|444444&amp;v=3822618:3823124&amp;c=444444", "offset 0")</f>
        <v>offset 0</v>
      </c>
    </row>
    <row r="13530" customFormat="false" ht="12.8" hidden="false" customHeight="false" outlineLevel="0" collapsed="false">
      <c r="A13530" s="0" t="s">
        <v>12</v>
      </c>
      <c r="B13530" s="0" t="n">
        <v>3822849</v>
      </c>
      <c r="C13530" s="0" t="n">
        <v>3822869</v>
      </c>
      <c r="D13530" s="0" t="s">
        <v>45086</v>
      </c>
      <c r="E13530" s="0" t="s">
        <v>45087</v>
      </c>
      <c r="F13530" s="0" t="s">
        <v>15</v>
      </c>
      <c r="G13530" s="0" t="s">
        <v>36</v>
      </c>
      <c r="H13530" s="0" t="n">
        <v>31</v>
      </c>
      <c r="I13530" s="0" t="s">
        <v>45091</v>
      </c>
      <c r="J13530" s="0" t="s">
        <v>45092</v>
      </c>
      <c r="K13530" s="0" t="s">
        <v>45093</v>
      </c>
      <c r="L13530" s="0" t="str">
        <f aca="false">HYPERLINK("https://www.ncbi.nlm.nih.gov/nuccore/CP000304.1?report=graph&amp;tracks=[key:gene_model_track,Options:GeneOnly]&amp;mk=3822819:3822838|offset_0|444444,3822850:3822869|offset_31|00cc00,3822870:3822889|offset_51|444444,3822905:3822924|offset_86|444444&amp;v=3822618:3823124&amp;c=444444", "offset 31")</f>
        <v>offset 31</v>
      </c>
    </row>
    <row r="13531" customFormat="false" ht="12.8" hidden="false" customHeight="false" outlineLevel="0" collapsed="false">
      <c r="A13531" s="0" t="s">
        <v>12</v>
      </c>
      <c r="B13531" s="0" t="n">
        <v>3822869</v>
      </c>
      <c r="C13531" s="0" t="n">
        <v>3822889</v>
      </c>
      <c r="D13531" s="0" t="s">
        <v>45086</v>
      </c>
      <c r="E13531" s="0" t="s">
        <v>45087</v>
      </c>
      <c r="F13531" s="0" t="s">
        <v>15</v>
      </c>
      <c r="G13531" s="0" t="s">
        <v>16</v>
      </c>
      <c r="H13531" s="0" t="n">
        <v>51</v>
      </c>
      <c r="I13531" s="0" t="s">
        <v>45094</v>
      </c>
      <c r="J13531" s="0" t="s">
        <v>45095</v>
      </c>
      <c r="K13531" s="0" t="s">
        <v>45096</v>
      </c>
      <c r="L13531" s="0" t="str">
        <f aca="false">HYPERLINK("https://www.ncbi.nlm.nih.gov/nuccore/CP000304.1?report=graph&amp;tracks=[key:gene_model_track,Options:GeneOnly]&amp;mk=3822819:3822838|offset_0|444444,3822850:3822869|offset_31|444444,3822870:3822889|offset_51|00cc00,3822905:3822924|offset_86|444444&amp;v=3822618:3823124&amp;c=444444", "offset 51")</f>
        <v>offset 51</v>
      </c>
    </row>
    <row r="13532" customFormat="false" ht="12.8" hidden="false" customHeight="false" outlineLevel="0" collapsed="false">
      <c r="A13532" s="0" t="s">
        <v>12</v>
      </c>
      <c r="B13532" s="0" t="n">
        <v>3822904</v>
      </c>
      <c r="C13532" s="0" t="n">
        <v>3822924</v>
      </c>
      <c r="D13532" s="0" t="s">
        <v>45086</v>
      </c>
      <c r="E13532" s="0" t="s">
        <v>45087</v>
      </c>
      <c r="F13532" s="0" t="s">
        <v>15</v>
      </c>
      <c r="G13532" s="0" t="s">
        <v>36</v>
      </c>
      <c r="H13532" s="0" t="n">
        <v>86</v>
      </c>
      <c r="I13532" s="0" t="s">
        <v>45097</v>
      </c>
      <c r="J13532" s="0" t="s">
        <v>45098</v>
      </c>
      <c r="K13532" s="0" t="s">
        <v>45099</v>
      </c>
      <c r="L13532" s="0" t="str">
        <f aca="false">HYPERLINK("https://www.ncbi.nlm.nih.gov/nuccore/CP000304.1?report=graph&amp;tracks=[key:gene_model_track,Options:GeneOnly]&amp;mk=3822819:3822838|offset_0|444444,3822850:3822869|offset_31|444444,3822870:3822889|offset_51|444444,3822905:3822924|offset_86|00cc00&amp;v=3822618:3823124&amp;c=444444", "offset 86")</f>
        <v>offset 86</v>
      </c>
    </row>
    <row r="13533" customFormat="false" ht="12.8" hidden="false" customHeight="false" outlineLevel="0" collapsed="false">
      <c r="A13533" s="0" t="s">
        <v>12</v>
      </c>
      <c r="B13533" s="0" t="n">
        <v>3824069</v>
      </c>
      <c r="C13533" s="0" t="n">
        <v>3824089</v>
      </c>
      <c r="D13533" s="0" t="s">
        <v>45100</v>
      </c>
      <c r="E13533" s="0" t="s">
        <v>45101</v>
      </c>
      <c r="F13533" s="0" t="s">
        <v>15</v>
      </c>
      <c r="G13533" s="0" t="s">
        <v>32</v>
      </c>
      <c r="H13533" s="0" t="n">
        <v>8</v>
      </c>
      <c r="I13533" s="0" t="s">
        <v>45102</v>
      </c>
      <c r="J13533" s="0" t="s">
        <v>45103</v>
      </c>
      <c r="K13533" s="0" t="s">
        <v>45104</v>
      </c>
      <c r="L13533" s="0" t="str">
        <f aca="false">HYPERLINK("https://www.ncbi.nlm.nih.gov/nuccore/CP000304.1?report=graph&amp;tracks=[key:gene_model_track,Options:GeneOnly]&amp;mk=3824070:3824089|offset_8|00cc00,3824102:3824121|offset_40|444444,3824138:3824157|offset_76|444444,3824165:3824184|offset_103|444444&amp;v=3823869:3824384&amp;c=444444", "offset 8")</f>
        <v>offset 8</v>
      </c>
    </row>
    <row r="13534" customFormat="false" ht="12.8" hidden="false" customHeight="false" outlineLevel="0" collapsed="false">
      <c r="A13534" s="0" t="s">
        <v>12</v>
      </c>
      <c r="B13534" s="0" t="n">
        <v>3824101</v>
      </c>
      <c r="C13534" s="0" t="n">
        <v>3824121</v>
      </c>
      <c r="D13534" s="0" t="s">
        <v>45100</v>
      </c>
      <c r="E13534" s="0" t="s">
        <v>45101</v>
      </c>
      <c r="F13534" s="0" t="s">
        <v>15</v>
      </c>
      <c r="G13534" s="0" t="s">
        <v>16</v>
      </c>
      <c r="H13534" s="0" t="n">
        <v>40</v>
      </c>
      <c r="I13534" s="0" t="s">
        <v>45105</v>
      </c>
      <c r="J13534" s="0" t="s">
        <v>45106</v>
      </c>
      <c r="K13534" s="0" t="s">
        <v>45107</v>
      </c>
      <c r="L13534" s="0" t="str">
        <f aca="false">HYPERLINK("https://www.ncbi.nlm.nih.gov/nuccore/CP000304.1?report=graph&amp;tracks=[key:gene_model_track,Options:GeneOnly]&amp;mk=3824070:3824089|offset_8|444444,3824102:3824121|offset_40|00cc00,3824138:3824157|offset_76|444444,3824165:3824184|offset_103|444444&amp;v=3823869:3824384&amp;c=444444", "offset 40")</f>
        <v>offset 40</v>
      </c>
    </row>
    <row r="13535" customFormat="false" ht="12.8" hidden="false" customHeight="false" outlineLevel="0" collapsed="false">
      <c r="A13535" s="0" t="s">
        <v>12</v>
      </c>
      <c r="B13535" s="0" t="n">
        <v>3824137</v>
      </c>
      <c r="C13535" s="0" t="n">
        <v>3824157</v>
      </c>
      <c r="D13535" s="0" t="s">
        <v>45100</v>
      </c>
      <c r="E13535" s="0" t="s">
        <v>45101</v>
      </c>
      <c r="F13535" s="0" t="s">
        <v>15</v>
      </c>
      <c r="G13535" s="0" t="s">
        <v>16</v>
      </c>
      <c r="H13535" s="0" t="n">
        <v>76</v>
      </c>
      <c r="I13535" s="0" t="s">
        <v>45108</v>
      </c>
      <c r="J13535" s="0" t="s">
        <v>45109</v>
      </c>
      <c r="K13535" s="0" t="s">
        <v>45110</v>
      </c>
      <c r="L13535" s="0" t="str">
        <f aca="false">HYPERLINK("https://www.ncbi.nlm.nih.gov/nuccore/CP000304.1?report=graph&amp;tracks=[key:gene_model_track,Options:GeneOnly]&amp;mk=3824070:3824089|offset_8|444444,3824102:3824121|offset_40|444444,3824138:3824157|offset_76|00cc00,3824165:3824184|offset_103|444444&amp;v=3823869:3824384&amp;c=444444", "offset 76")</f>
        <v>offset 76</v>
      </c>
    </row>
    <row r="13536" customFormat="false" ht="12.8" hidden="false" customHeight="false" outlineLevel="0" collapsed="false">
      <c r="A13536" s="0" t="s">
        <v>12</v>
      </c>
      <c r="B13536" s="0" t="n">
        <v>3824164</v>
      </c>
      <c r="C13536" s="0" t="n">
        <v>3824184</v>
      </c>
      <c r="D13536" s="0" t="s">
        <v>45100</v>
      </c>
      <c r="E13536" s="0" t="s">
        <v>45101</v>
      </c>
      <c r="F13536" s="0" t="s">
        <v>15</v>
      </c>
      <c r="G13536" s="0" t="s">
        <v>36</v>
      </c>
      <c r="H13536" s="0" t="n">
        <v>103</v>
      </c>
      <c r="I13536" s="0" t="s">
        <v>45111</v>
      </c>
      <c r="J13536" s="0" t="s">
        <v>45112</v>
      </c>
      <c r="K13536" s="0" t="s">
        <v>45113</v>
      </c>
      <c r="L13536" s="0" t="str">
        <f aca="false">HYPERLINK("https://www.ncbi.nlm.nih.gov/nuccore/CP000304.1?report=graph&amp;tracks=[key:gene_model_track,Options:GeneOnly]&amp;mk=3824070:3824089|offset_8|444444,3824102:3824121|offset_40|444444,3824138:3824157|offset_76|444444,3824165:3824184|offset_103|00cc00&amp;v=3823869:3824384&amp;c=444444", "offset 103")</f>
        <v>offset 103</v>
      </c>
    </row>
    <row r="13537" customFormat="false" ht="12.8" hidden="false" customHeight="false" outlineLevel="0" collapsed="false">
      <c r="A13537" s="0" t="s">
        <v>12</v>
      </c>
      <c r="B13537" s="0" t="n">
        <v>3824903</v>
      </c>
      <c r="C13537" s="0" t="n">
        <v>3824923</v>
      </c>
      <c r="D13537" s="0" t="s">
        <v>45114</v>
      </c>
      <c r="E13537" s="0" t="s">
        <v>45115</v>
      </c>
      <c r="F13537" s="0" t="s">
        <v>15</v>
      </c>
      <c r="G13537" s="0" t="s">
        <v>36</v>
      </c>
      <c r="H13537" s="0" t="n">
        <v>15</v>
      </c>
      <c r="I13537" s="0" t="s">
        <v>45116</v>
      </c>
      <c r="J13537" s="0" t="s">
        <v>45117</v>
      </c>
      <c r="K13537" s="0" t="s">
        <v>45118</v>
      </c>
      <c r="L13537" s="0" t="str">
        <f aca="false">HYPERLINK("https://www.ncbi.nlm.nih.gov/nuccore/CP000304.1?report=graph&amp;tracks=[key:gene_model_track,Options:GeneOnly]&amp;mk=3824904:3824923|offset_15|00cc00,3824931:3824950|offset_42|444444,3824951:3824970|offset_62|444444,3824971:3824990|offset_82|444444&amp;v=3824703:3825190&amp;c=444444", "offset 15")</f>
        <v>offset 15</v>
      </c>
    </row>
    <row r="13538" customFormat="false" ht="12.8" hidden="false" customHeight="false" outlineLevel="0" collapsed="false">
      <c r="A13538" s="0" t="s">
        <v>12</v>
      </c>
      <c r="B13538" s="0" t="n">
        <v>3824930</v>
      </c>
      <c r="C13538" s="0" t="n">
        <v>3824950</v>
      </c>
      <c r="D13538" s="0" t="s">
        <v>45114</v>
      </c>
      <c r="E13538" s="0" t="s">
        <v>45115</v>
      </c>
      <c r="F13538" s="0" t="s">
        <v>15</v>
      </c>
      <c r="G13538" s="0" t="s">
        <v>16</v>
      </c>
      <c r="H13538" s="0" t="n">
        <v>42</v>
      </c>
      <c r="I13538" s="0" t="s">
        <v>45119</v>
      </c>
      <c r="J13538" s="0" t="s">
        <v>45120</v>
      </c>
      <c r="K13538" s="0" t="s">
        <v>45121</v>
      </c>
      <c r="L13538" s="0" t="str">
        <f aca="false">HYPERLINK("https://www.ncbi.nlm.nih.gov/nuccore/CP000304.1?report=graph&amp;tracks=[key:gene_model_track,Options:GeneOnly]&amp;mk=3824904:3824923|offset_15|444444,3824931:3824950|offset_42|00cc00,3824951:3824970|offset_62|444444,3824971:3824990|offset_82|444444&amp;v=3824703:3825190&amp;c=444444", "offset 42")</f>
        <v>offset 42</v>
      </c>
    </row>
    <row r="13539" customFormat="false" ht="12.8" hidden="false" customHeight="false" outlineLevel="0" collapsed="false">
      <c r="A13539" s="0" t="s">
        <v>12</v>
      </c>
      <c r="B13539" s="0" t="n">
        <v>3824950</v>
      </c>
      <c r="C13539" s="0" t="n">
        <v>3824970</v>
      </c>
      <c r="D13539" s="0" t="s">
        <v>45114</v>
      </c>
      <c r="E13539" s="0" t="s">
        <v>45115</v>
      </c>
      <c r="F13539" s="0" t="s">
        <v>15</v>
      </c>
      <c r="G13539" s="0" t="s">
        <v>26</v>
      </c>
      <c r="H13539" s="0" t="n">
        <v>62</v>
      </c>
      <c r="I13539" s="0" t="s">
        <v>45122</v>
      </c>
      <c r="J13539" s="0" t="s">
        <v>45123</v>
      </c>
      <c r="K13539" s="0" t="s">
        <v>45124</v>
      </c>
      <c r="L13539" s="0" t="str">
        <f aca="false">HYPERLINK("https://www.ncbi.nlm.nih.gov/nuccore/CP000304.1?report=graph&amp;tracks=[key:gene_model_track,Options:GeneOnly]&amp;mk=3824904:3824923|offset_15|444444,3824931:3824950|offset_42|444444,3824951:3824970|offset_62|00cc00,3824971:3824990|offset_82|444444&amp;v=3824703:3825190&amp;c=444444", "offset 62")</f>
        <v>offset 62</v>
      </c>
    </row>
    <row r="13540" customFormat="false" ht="12.8" hidden="false" customHeight="false" outlineLevel="0" collapsed="false">
      <c r="A13540" s="0" t="s">
        <v>12</v>
      </c>
      <c r="B13540" s="0" t="n">
        <v>3824970</v>
      </c>
      <c r="C13540" s="0" t="n">
        <v>3824990</v>
      </c>
      <c r="D13540" s="0" t="s">
        <v>45114</v>
      </c>
      <c r="E13540" s="0" t="s">
        <v>45115</v>
      </c>
      <c r="F13540" s="0" t="s">
        <v>15</v>
      </c>
      <c r="G13540" s="0" t="s">
        <v>32</v>
      </c>
      <c r="H13540" s="0" t="n">
        <v>82</v>
      </c>
      <c r="I13540" s="0" t="s">
        <v>45125</v>
      </c>
      <c r="J13540" s="0" t="s">
        <v>45126</v>
      </c>
      <c r="K13540" s="0" t="s">
        <v>45127</v>
      </c>
      <c r="L13540" s="0" t="str">
        <f aca="false">HYPERLINK("https://www.ncbi.nlm.nih.gov/nuccore/CP000304.1?report=graph&amp;tracks=[key:gene_model_track,Options:GeneOnly]&amp;mk=3824904:3824923|offset_15|444444,3824931:3824950|offset_42|444444,3824951:3824970|offset_62|444444,3824971:3824990|offset_82|00cc00&amp;v=3824703:3825190&amp;c=444444", "offset 82")</f>
        <v>offset 82</v>
      </c>
    </row>
    <row r="13541" customFormat="false" ht="12.8" hidden="false" customHeight="false" outlineLevel="0" collapsed="false">
      <c r="A13541" s="0" t="s">
        <v>12</v>
      </c>
      <c r="B13541" s="0" t="n">
        <v>3826649</v>
      </c>
      <c r="C13541" s="0" t="n">
        <v>3826669</v>
      </c>
      <c r="D13541" s="0" t="s">
        <v>45128</v>
      </c>
      <c r="E13541" s="0" t="s">
        <v>45129</v>
      </c>
      <c r="F13541" s="0" t="s">
        <v>15</v>
      </c>
      <c r="G13541" s="0" t="s">
        <v>16</v>
      </c>
      <c r="H13541" s="0" t="n">
        <v>16</v>
      </c>
      <c r="I13541" s="0" t="s">
        <v>45130</v>
      </c>
      <c r="J13541" s="0" t="s">
        <v>45131</v>
      </c>
      <c r="K13541" s="0" t="s">
        <v>45132</v>
      </c>
      <c r="L13541" s="0" t="str">
        <f aca="false">HYPERLINK("https://www.ncbi.nlm.nih.gov/nuccore/CP000304.1?report=graph&amp;tracks=[key:gene_model_track,Options:GeneOnly]&amp;mk=3826650:3826669|offset_16|00cc00,3826689:3826708|offset_55|444444,3826713:3826732|offset_79|444444,3826735:3826754|offset_101|444444&amp;v=3826449:3826954&amp;c=444444", "offset 16")</f>
        <v>offset 16</v>
      </c>
    </row>
    <row r="13542" customFormat="false" ht="12.8" hidden="false" customHeight="false" outlineLevel="0" collapsed="false">
      <c r="A13542" s="0" t="s">
        <v>12</v>
      </c>
      <c r="B13542" s="0" t="n">
        <v>3826688</v>
      </c>
      <c r="C13542" s="0" t="n">
        <v>3826708</v>
      </c>
      <c r="D13542" s="0" t="s">
        <v>45128</v>
      </c>
      <c r="E13542" s="0" t="s">
        <v>45129</v>
      </c>
      <c r="F13542" s="0" t="s">
        <v>15</v>
      </c>
      <c r="G13542" s="0" t="s">
        <v>26</v>
      </c>
      <c r="H13542" s="0" t="n">
        <v>55</v>
      </c>
      <c r="I13542" s="0" t="s">
        <v>45133</v>
      </c>
      <c r="J13542" s="0" t="s">
        <v>45134</v>
      </c>
      <c r="K13542" s="0" t="s">
        <v>45135</v>
      </c>
      <c r="L13542" s="0" t="str">
        <f aca="false">HYPERLINK("https://www.ncbi.nlm.nih.gov/nuccore/CP000304.1?report=graph&amp;tracks=[key:gene_model_track,Options:GeneOnly]&amp;mk=3826650:3826669|offset_16|444444,3826689:3826708|offset_55|00cc00,3826713:3826732|offset_79|444444,3826735:3826754|offset_101|444444&amp;v=3826449:3826954&amp;c=444444", "offset 55")</f>
        <v>offset 55</v>
      </c>
    </row>
    <row r="13543" customFormat="false" ht="12.8" hidden="false" customHeight="false" outlineLevel="0" collapsed="false">
      <c r="A13543" s="0" t="s">
        <v>12</v>
      </c>
      <c r="B13543" s="0" t="n">
        <v>3826712</v>
      </c>
      <c r="C13543" s="0" t="n">
        <v>3826732</v>
      </c>
      <c r="D13543" s="0" t="s">
        <v>45128</v>
      </c>
      <c r="E13543" s="0" t="s">
        <v>45129</v>
      </c>
      <c r="F13543" s="0" t="s">
        <v>15</v>
      </c>
      <c r="G13543" s="0" t="s">
        <v>26</v>
      </c>
      <c r="H13543" s="0" t="n">
        <v>79</v>
      </c>
      <c r="I13543" s="0" t="s">
        <v>45136</v>
      </c>
      <c r="J13543" s="0" t="s">
        <v>45137</v>
      </c>
      <c r="K13543" s="0" t="s">
        <v>45138</v>
      </c>
      <c r="L13543" s="0" t="str">
        <f aca="false">HYPERLINK("https://www.ncbi.nlm.nih.gov/nuccore/CP000304.1?report=graph&amp;tracks=[key:gene_model_track,Options:GeneOnly]&amp;mk=3826650:3826669|offset_16|444444,3826689:3826708|offset_55|444444,3826713:3826732|offset_79|00cc00,3826735:3826754|offset_101|444444&amp;v=3826449:3826954&amp;c=444444", "offset 79")</f>
        <v>offset 79</v>
      </c>
    </row>
    <row r="13544" customFormat="false" ht="12.8" hidden="false" customHeight="false" outlineLevel="0" collapsed="false">
      <c r="A13544" s="0" t="s">
        <v>12</v>
      </c>
      <c r="B13544" s="0" t="n">
        <v>3826734</v>
      </c>
      <c r="C13544" s="0" t="n">
        <v>3826754</v>
      </c>
      <c r="D13544" s="0" t="s">
        <v>45128</v>
      </c>
      <c r="E13544" s="0" t="s">
        <v>45129</v>
      </c>
      <c r="F13544" s="0" t="s">
        <v>15</v>
      </c>
      <c r="G13544" s="0" t="s">
        <v>26</v>
      </c>
      <c r="H13544" s="0" t="n">
        <v>101</v>
      </c>
      <c r="I13544" s="0" t="s">
        <v>45139</v>
      </c>
      <c r="J13544" s="0" t="s">
        <v>45140</v>
      </c>
      <c r="K13544" s="0" t="s">
        <v>45141</v>
      </c>
      <c r="L13544" s="0" t="str">
        <f aca="false">HYPERLINK("https://www.ncbi.nlm.nih.gov/nuccore/CP000304.1?report=graph&amp;tracks=[key:gene_model_track,Options:GeneOnly]&amp;mk=3826650:3826669|offset_16|444444,3826689:3826708|offset_55|444444,3826713:3826732|offset_79|444444,3826735:3826754|offset_101|00cc00&amp;v=3826449:3826954&amp;c=444444", "offset 101")</f>
        <v>offset 101</v>
      </c>
    </row>
    <row r="13545" customFormat="false" ht="12.8" hidden="false" customHeight="false" outlineLevel="0" collapsed="false">
      <c r="A13545" s="0" t="s">
        <v>12</v>
      </c>
      <c r="B13545" s="0" t="n">
        <v>3828407</v>
      </c>
      <c r="C13545" s="0" t="n">
        <v>3828427</v>
      </c>
      <c r="D13545" s="0" t="s">
        <v>45142</v>
      </c>
      <c r="E13545" s="0" t="s">
        <v>89</v>
      </c>
      <c r="F13545" s="0" t="s">
        <v>90</v>
      </c>
      <c r="G13545" s="0" t="s">
        <v>16</v>
      </c>
      <c r="H13545" s="0" t="n">
        <v>6</v>
      </c>
      <c r="I13545" s="0" t="s">
        <v>45143</v>
      </c>
      <c r="J13545" s="0" t="s">
        <v>45144</v>
      </c>
      <c r="K13545" s="0" t="s">
        <v>45145</v>
      </c>
      <c r="L13545" s="0" t="str">
        <f aca="false">HYPERLINK("https://www.ncbi.nlm.nih.gov/nuccore/CP000304.1?report=graph&amp;tracks=[key:gene_model_track,Options:GeneOnly]&amp;mk=3828408:3828427|offset_6|00cc00,3828362:3828381|offset_52|444444,3828341:3828360|offset_73|444444,3828311:3828330|offset_103|444444&amp;v=3828207:3828530&amp;c=444444", "offset 6")</f>
        <v>offset 6</v>
      </c>
    </row>
    <row r="13546" customFormat="false" ht="12.8" hidden="false" customHeight="false" outlineLevel="0" collapsed="false">
      <c r="A13546" s="0" t="s">
        <v>12</v>
      </c>
      <c r="B13546" s="0" t="n">
        <v>3828361</v>
      </c>
      <c r="C13546" s="0" t="n">
        <v>3828381</v>
      </c>
      <c r="D13546" s="0" t="s">
        <v>45142</v>
      </c>
      <c r="E13546" s="0" t="s">
        <v>89</v>
      </c>
      <c r="F13546" s="0" t="s">
        <v>90</v>
      </c>
      <c r="G13546" s="0" t="s">
        <v>36</v>
      </c>
      <c r="H13546" s="0" t="n">
        <v>52</v>
      </c>
      <c r="I13546" s="0" t="s">
        <v>45146</v>
      </c>
      <c r="J13546" s="0" t="s">
        <v>45147</v>
      </c>
      <c r="K13546" s="0" t="s">
        <v>45148</v>
      </c>
      <c r="L13546" s="0" t="str">
        <f aca="false">HYPERLINK("https://www.ncbi.nlm.nih.gov/nuccore/CP000304.1?report=graph&amp;tracks=[key:gene_model_track,Options:GeneOnly]&amp;mk=3828408:3828427|offset_6|444444,3828362:3828381|offset_52|00cc00,3828341:3828360|offset_73|444444,3828311:3828330|offset_103|444444&amp;v=3828207:3828530&amp;c=444444", "offset 52")</f>
        <v>offset 52</v>
      </c>
    </row>
    <row r="13547" customFormat="false" ht="12.8" hidden="false" customHeight="false" outlineLevel="0" collapsed="false">
      <c r="A13547" s="0" t="s">
        <v>12</v>
      </c>
      <c r="B13547" s="0" t="n">
        <v>3828340</v>
      </c>
      <c r="C13547" s="0" t="n">
        <v>3828360</v>
      </c>
      <c r="D13547" s="0" t="s">
        <v>45142</v>
      </c>
      <c r="E13547" s="0" t="s">
        <v>89</v>
      </c>
      <c r="F13547" s="0" t="s">
        <v>90</v>
      </c>
      <c r="G13547" s="0" t="s">
        <v>16</v>
      </c>
      <c r="H13547" s="0" t="n">
        <v>73</v>
      </c>
      <c r="I13547" s="0" t="s">
        <v>45149</v>
      </c>
      <c r="J13547" s="0" t="s">
        <v>45150</v>
      </c>
      <c r="K13547" s="0" t="s">
        <v>45151</v>
      </c>
      <c r="L13547" s="0" t="str">
        <f aca="false">HYPERLINK("https://www.ncbi.nlm.nih.gov/nuccore/CP000304.1?report=graph&amp;tracks=[key:gene_model_track,Options:GeneOnly]&amp;mk=3828408:3828427|offset_6|444444,3828362:3828381|offset_52|444444,3828341:3828360|offset_73|00cc00,3828311:3828330|offset_103|444444&amp;v=3828207:3828530&amp;c=444444", "offset 73")</f>
        <v>offset 73</v>
      </c>
    </row>
    <row r="13548" customFormat="false" ht="12.8" hidden="false" customHeight="false" outlineLevel="0" collapsed="false">
      <c r="A13548" s="0" t="s">
        <v>12</v>
      </c>
      <c r="B13548" s="0" t="n">
        <v>3828310</v>
      </c>
      <c r="C13548" s="0" t="n">
        <v>3828330</v>
      </c>
      <c r="D13548" s="0" t="s">
        <v>45142</v>
      </c>
      <c r="E13548" s="0" t="s">
        <v>89</v>
      </c>
      <c r="F13548" s="0" t="s">
        <v>90</v>
      </c>
      <c r="G13548" s="0" t="s">
        <v>26</v>
      </c>
      <c r="H13548" s="0" t="n">
        <v>103</v>
      </c>
      <c r="I13548" s="0" t="s">
        <v>45152</v>
      </c>
      <c r="J13548" s="0" t="s">
        <v>45153</v>
      </c>
      <c r="K13548" s="0" t="s">
        <v>45154</v>
      </c>
      <c r="L13548" s="0" t="str">
        <f aca="false">HYPERLINK("https://www.ncbi.nlm.nih.gov/nuccore/CP000304.1?report=graph&amp;tracks=[key:gene_model_track,Options:GeneOnly]&amp;mk=3828408:3828427|offset_6|444444,3828362:3828381|offset_52|444444,3828341:3828360|offset_73|444444,3828311:3828330|offset_103|00cc00&amp;v=3828207:3828530&amp;c=444444", "offset 103")</f>
        <v>offset 103</v>
      </c>
    </row>
    <row r="13549" customFormat="false" ht="12.8" hidden="false" customHeight="false" outlineLevel="0" collapsed="false">
      <c r="A13549" s="0" t="s">
        <v>12</v>
      </c>
      <c r="B13549" s="0" t="n">
        <v>3828992</v>
      </c>
      <c r="C13549" s="0" t="n">
        <v>3829012</v>
      </c>
      <c r="D13549" s="0" t="s">
        <v>45155</v>
      </c>
      <c r="E13549" s="0" t="s">
        <v>89</v>
      </c>
      <c r="F13549" s="0" t="s">
        <v>90</v>
      </c>
      <c r="G13549" s="0" t="s">
        <v>36</v>
      </c>
      <c r="H13549" s="0" t="n">
        <v>23</v>
      </c>
      <c r="I13549" s="0" t="s">
        <v>45156</v>
      </c>
      <c r="J13549" s="0" t="s">
        <v>45157</v>
      </c>
      <c r="K13549" s="0" t="s">
        <v>45158</v>
      </c>
      <c r="L13549" s="0" t="str">
        <f aca="false">HYPERLINK("https://www.ncbi.nlm.nih.gov/nuccore/CP000304.1?report=graph&amp;tracks=[key:gene_model_track,Options:GeneOnly]&amp;mk=3828993:3829012|offset_23|00cc00,3828969:3828988|offset_47|444444,3828949:3828968|offset_67|444444,3828903:3828922|offset_113|444444&amp;v=3828792:3829122&amp;c=444444", "offset 23")</f>
        <v>offset 23</v>
      </c>
    </row>
    <row r="13550" customFormat="false" ht="12.8" hidden="false" customHeight="false" outlineLevel="0" collapsed="false">
      <c r="A13550" s="0" t="s">
        <v>12</v>
      </c>
      <c r="B13550" s="0" t="n">
        <v>3828968</v>
      </c>
      <c r="C13550" s="0" t="n">
        <v>3828988</v>
      </c>
      <c r="D13550" s="0" t="s">
        <v>45155</v>
      </c>
      <c r="E13550" s="0" t="s">
        <v>89</v>
      </c>
      <c r="F13550" s="0" t="s">
        <v>90</v>
      </c>
      <c r="G13550" s="0" t="s">
        <v>16</v>
      </c>
      <c r="H13550" s="0" t="n">
        <v>47</v>
      </c>
      <c r="I13550" s="0" t="s">
        <v>45159</v>
      </c>
      <c r="J13550" s="0" t="s">
        <v>45160</v>
      </c>
      <c r="K13550" s="0" t="s">
        <v>45161</v>
      </c>
      <c r="L13550" s="0" t="str">
        <f aca="false">HYPERLINK("https://www.ncbi.nlm.nih.gov/nuccore/CP000304.1?report=graph&amp;tracks=[key:gene_model_track,Options:GeneOnly]&amp;mk=3828993:3829012|offset_23|444444,3828969:3828988|offset_47|00cc00,3828949:3828968|offset_67|444444,3828903:3828922|offset_113|444444&amp;v=3828792:3829122&amp;c=444444", "offset 47")</f>
        <v>offset 47</v>
      </c>
    </row>
    <row r="13551" customFormat="false" ht="12.8" hidden="false" customHeight="false" outlineLevel="0" collapsed="false">
      <c r="A13551" s="0" t="s">
        <v>12</v>
      </c>
      <c r="B13551" s="0" t="n">
        <v>3828948</v>
      </c>
      <c r="C13551" s="0" t="n">
        <v>3828968</v>
      </c>
      <c r="D13551" s="0" t="s">
        <v>45155</v>
      </c>
      <c r="E13551" s="0" t="s">
        <v>89</v>
      </c>
      <c r="F13551" s="0" t="s">
        <v>90</v>
      </c>
      <c r="G13551" s="0" t="s">
        <v>36</v>
      </c>
      <c r="H13551" s="0" t="n">
        <v>67</v>
      </c>
      <c r="I13551" s="0" t="s">
        <v>45162</v>
      </c>
      <c r="J13551" s="0" t="s">
        <v>45163</v>
      </c>
      <c r="K13551" s="0" t="s">
        <v>45164</v>
      </c>
      <c r="L13551" s="0" t="str">
        <f aca="false">HYPERLINK("https://www.ncbi.nlm.nih.gov/nuccore/CP000304.1?report=graph&amp;tracks=[key:gene_model_track,Options:GeneOnly]&amp;mk=3828993:3829012|offset_23|444444,3828969:3828988|offset_47|444444,3828949:3828968|offset_67|00cc00,3828903:3828922|offset_113|444444&amp;v=3828792:3829122&amp;c=444444", "offset 67")</f>
        <v>offset 67</v>
      </c>
    </row>
    <row r="13552" customFormat="false" ht="12.8" hidden="false" customHeight="false" outlineLevel="0" collapsed="false">
      <c r="A13552" s="0" t="s">
        <v>12</v>
      </c>
      <c r="B13552" s="0" t="n">
        <v>3828902</v>
      </c>
      <c r="C13552" s="0" t="n">
        <v>3828922</v>
      </c>
      <c r="D13552" s="0" t="s">
        <v>45155</v>
      </c>
      <c r="E13552" s="0" t="s">
        <v>89</v>
      </c>
      <c r="F13552" s="0" t="s">
        <v>90</v>
      </c>
      <c r="G13552" s="0" t="s">
        <v>26</v>
      </c>
      <c r="H13552" s="0" t="n">
        <v>113</v>
      </c>
      <c r="I13552" s="0" t="s">
        <v>45165</v>
      </c>
      <c r="J13552" s="0" t="s">
        <v>45166</v>
      </c>
      <c r="K13552" s="0" t="s">
        <v>45167</v>
      </c>
      <c r="L13552" s="0" t="str">
        <f aca="false">HYPERLINK("https://www.ncbi.nlm.nih.gov/nuccore/CP000304.1?report=graph&amp;tracks=[key:gene_model_track,Options:GeneOnly]&amp;mk=3828993:3829012|offset_23|444444,3828969:3828988|offset_47|444444,3828949:3828968|offset_67|444444,3828903:3828922|offset_113|00cc00&amp;v=3828792:3829122&amp;c=444444", "offset 113")</f>
        <v>offset 113</v>
      </c>
    </row>
    <row r="13553" customFormat="false" ht="12.8" hidden="false" customHeight="false" outlineLevel="0" collapsed="false">
      <c r="A13553" s="0" t="s">
        <v>12</v>
      </c>
      <c r="B13553" s="0" t="n">
        <v>3830380</v>
      </c>
      <c r="C13553" s="0" t="n">
        <v>3830400</v>
      </c>
      <c r="D13553" s="0" t="s">
        <v>45168</v>
      </c>
      <c r="E13553" s="0" t="s">
        <v>89</v>
      </c>
      <c r="F13553" s="0" t="s">
        <v>90</v>
      </c>
      <c r="G13553" s="0" t="s">
        <v>16</v>
      </c>
      <c r="H13553" s="0" t="n">
        <v>0</v>
      </c>
      <c r="I13553" s="0" t="s">
        <v>45169</v>
      </c>
      <c r="J13553" s="0" t="s">
        <v>45170</v>
      </c>
      <c r="K13553" s="0" t="s">
        <v>45171</v>
      </c>
      <c r="L13553" s="0" t="str">
        <f aca="false">HYPERLINK("https://www.ncbi.nlm.nih.gov/nuccore/CP000304.1?report=graph&amp;tracks=[key:gene_model_track,Options:GeneOnly]&amp;mk=3830381:3830400|offset_0|00cc00,3830349:3830368|offset_32|444444,3830320:3830339|offset_61|444444,3830290:3830309|offset_91|444444&amp;v=3830180:3830509&amp;c=444444", "offset 0")</f>
        <v>offset 0</v>
      </c>
    </row>
    <row r="13554" customFormat="false" ht="12.8" hidden="false" customHeight="false" outlineLevel="0" collapsed="false">
      <c r="A13554" s="0" t="s">
        <v>12</v>
      </c>
      <c r="B13554" s="0" t="n">
        <v>3830348</v>
      </c>
      <c r="C13554" s="0" t="n">
        <v>3830368</v>
      </c>
      <c r="D13554" s="0" t="s">
        <v>45168</v>
      </c>
      <c r="E13554" s="0" t="s">
        <v>89</v>
      </c>
      <c r="F13554" s="0" t="s">
        <v>90</v>
      </c>
      <c r="G13554" s="0" t="s">
        <v>32</v>
      </c>
      <c r="H13554" s="0" t="n">
        <v>32</v>
      </c>
      <c r="I13554" s="0" t="s">
        <v>45172</v>
      </c>
      <c r="J13554" s="0" t="s">
        <v>45173</v>
      </c>
      <c r="K13554" s="0" t="s">
        <v>45174</v>
      </c>
      <c r="L13554" s="0" t="str">
        <f aca="false">HYPERLINK("https://www.ncbi.nlm.nih.gov/nuccore/CP000304.1?report=graph&amp;tracks=[key:gene_model_track,Options:GeneOnly]&amp;mk=3830381:3830400|offset_0|444444,3830349:3830368|offset_32|00cc00,3830320:3830339|offset_61|444444,3830290:3830309|offset_91|444444&amp;v=3830180:3830509&amp;c=444444", "offset 32")</f>
        <v>offset 32</v>
      </c>
    </row>
    <row r="13555" customFormat="false" ht="12.8" hidden="false" customHeight="false" outlineLevel="0" collapsed="false">
      <c r="A13555" s="0" t="s">
        <v>12</v>
      </c>
      <c r="B13555" s="0" t="n">
        <v>3830319</v>
      </c>
      <c r="C13555" s="0" t="n">
        <v>3830339</v>
      </c>
      <c r="D13555" s="0" t="s">
        <v>45168</v>
      </c>
      <c r="E13555" s="0" t="s">
        <v>89</v>
      </c>
      <c r="F13555" s="0" t="s">
        <v>90</v>
      </c>
      <c r="G13555" s="0" t="s">
        <v>36</v>
      </c>
      <c r="H13555" s="0" t="n">
        <v>61</v>
      </c>
      <c r="I13555" s="0" t="s">
        <v>45175</v>
      </c>
      <c r="J13555" s="0" t="s">
        <v>45176</v>
      </c>
      <c r="K13555" s="0" t="s">
        <v>45177</v>
      </c>
      <c r="L13555" s="0" t="str">
        <f aca="false">HYPERLINK("https://www.ncbi.nlm.nih.gov/nuccore/CP000304.1?report=graph&amp;tracks=[key:gene_model_track,Options:GeneOnly]&amp;mk=3830381:3830400|offset_0|444444,3830349:3830368|offset_32|444444,3830320:3830339|offset_61|00cc00,3830290:3830309|offset_91|444444&amp;v=3830180:3830509&amp;c=444444", "offset 61")</f>
        <v>offset 61</v>
      </c>
    </row>
    <row r="13556" customFormat="false" ht="12.8" hidden="false" customHeight="false" outlineLevel="0" collapsed="false">
      <c r="A13556" s="0" t="s">
        <v>12</v>
      </c>
      <c r="B13556" s="0" t="n">
        <v>3830289</v>
      </c>
      <c r="C13556" s="0" t="n">
        <v>3830309</v>
      </c>
      <c r="D13556" s="0" t="s">
        <v>45168</v>
      </c>
      <c r="E13556" s="0" t="s">
        <v>89</v>
      </c>
      <c r="F13556" s="0" t="s">
        <v>90</v>
      </c>
      <c r="G13556" s="0" t="s">
        <v>16</v>
      </c>
      <c r="H13556" s="0" t="n">
        <v>91</v>
      </c>
      <c r="I13556" s="0" t="s">
        <v>45178</v>
      </c>
      <c r="J13556" s="0" t="s">
        <v>45179</v>
      </c>
      <c r="K13556" s="0" t="s">
        <v>45180</v>
      </c>
      <c r="L13556" s="0" t="str">
        <f aca="false">HYPERLINK("https://www.ncbi.nlm.nih.gov/nuccore/CP000304.1?report=graph&amp;tracks=[key:gene_model_track,Options:GeneOnly]&amp;mk=3830381:3830400|offset_0|444444,3830349:3830368|offset_32|444444,3830320:3830339|offset_61|444444,3830290:3830309|offset_91|00cc00&amp;v=3830180:3830509&amp;c=444444", "offset 91")</f>
        <v>offset 91</v>
      </c>
    </row>
    <row r="13557" customFormat="false" ht="12.8" hidden="false" customHeight="false" outlineLevel="0" collapsed="false">
      <c r="A13557" s="0" t="s">
        <v>12</v>
      </c>
      <c r="B13557" s="0" t="n">
        <v>3831110</v>
      </c>
      <c r="C13557" s="0" t="n">
        <v>3831130</v>
      </c>
      <c r="D13557" s="0" t="s">
        <v>45181</v>
      </c>
      <c r="E13557" s="0" t="s">
        <v>89</v>
      </c>
      <c r="F13557" s="0" t="s">
        <v>90</v>
      </c>
      <c r="G13557" s="0" t="s">
        <v>26</v>
      </c>
      <c r="H13557" s="0" t="n">
        <v>26</v>
      </c>
      <c r="I13557" s="0" t="s">
        <v>45182</v>
      </c>
      <c r="J13557" s="0" t="s">
        <v>45183</v>
      </c>
      <c r="K13557" s="0" t="s">
        <v>45184</v>
      </c>
      <c r="L13557" s="0" t="str">
        <f aca="false">HYPERLINK("https://www.ncbi.nlm.nih.gov/nuccore/CP000304.1?report=graph&amp;tracks=[key:gene_model_track,Options:GeneOnly]&amp;mk=3831111:3831130|offset_26|00cc00,3831091:3831110|offset_46|444444,3831070:3831089|offset_67|444444,3830998:3831017|offset_139|444444&amp;v=3830910:3831217&amp;c=444444", "offset 26")</f>
        <v>offset 26</v>
      </c>
    </row>
    <row r="13558" customFormat="false" ht="12.8" hidden="false" customHeight="false" outlineLevel="0" collapsed="false">
      <c r="A13558" s="0" t="s">
        <v>12</v>
      </c>
      <c r="B13558" s="0" t="n">
        <v>3831090</v>
      </c>
      <c r="C13558" s="0" t="n">
        <v>3831110</v>
      </c>
      <c r="D13558" s="0" t="s">
        <v>45181</v>
      </c>
      <c r="E13558" s="0" t="s">
        <v>89</v>
      </c>
      <c r="F13558" s="0" t="s">
        <v>90</v>
      </c>
      <c r="G13558" s="0" t="s">
        <v>32</v>
      </c>
      <c r="H13558" s="0" t="n">
        <v>46</v>
      </c>
      <c r="I13558" s="0" t="s">
        <v>45185</v>
      </c>
      <c r="J13558" s="0" t="s">
        <v>45186</v>
      </c>
      <c r="K13558" s="0" t="s">
        <v>45187</v>
      </c>
      <c r="L13558" s="0" t="str">
        <f aca="false">HYPERLINK("https://www.ncbi.nlm.nih.gov/nuccore/CP000304.1?report=graph&amp;tracks=[key:gene_model_track,Options:GeneOnly]&amp;mk=3831111:3831130|offset_26|444444,3831091:3831110|offset_46|00cc00,3831070:3831089|offset_67|444444,3830998:3831017|offset_139|444444&amp;v=3830910:3831217&amp;c=444444", "offset 46")</f>
        <v>offset 46</v>
      </c>
    </row>
    <row r="13559" customFormat="false" ht="12.8" hidden="false" customHeight="false" outlineLevel="0" collapsed="false">
      <c r="A13559" s="0" t="s">
        <v>12</v>
      </c>
      <c r="B13559" s="0" t="n">
        <v>3831069</v>
      </c>
      <c r="C13559" s="0" t="n">
        <v>3831089</v>
      </c>
      <c r="D13559" s="0" t="s">
        <v>45181</v>
      </c>
      <c r="E13559" s="0" t="s">
        <v>89</v>
      </c>
      <c r="F13559" s="0" t="s">
        <v>90</v>
      </c>
      <c r="G13559" s="0" t="s">
        <v>36</v>
      </c>
      <c r="H13559" s="0" t="n">
        <v>67</v>
      </c>
      <c r="I13559" s="0" t="s">
        <v>45188</v>
      </c>
      <c r="J13559" s="0" t="s">
        <v>45189</v>
      </c>
      <c r="K13559" s="0" t="s">
        <v>45190</v>
      </c>
      <c r="L13559" s="0" t="str">
        <f aca="false">HYPERLINK("https://www.ncbi.nlm.nih.gov/nuccore/CP000304.1?report=graph&amp;tracks=[key:gene_model_track,Options:GeneOnly]&amp;mk=3831111:3831130|offset_26|444444,3831091:3831110|offset_46|444444,3831070:3831089|offset_67|00cc00,3830998:3831017|offset_139|444444&amp;v=3830910:3831217&amp;c=444444", "offset 67")</f>
        <v>offset 67</v>
      </c>
    </row>
    <row r="13560" customFormat="false" ht="12.8" hidden="false" customHeight="false" outlineLevel="0" collapsed="false">
      <c r="A13560" s="0" t="s">
        <v>12</v>
      </c>
      <c r="B13560" s="0" t="n">
        <v>3830997</v>
      </c>
      <c r="C13560" s="0" t="n">
        <v>3831017</v>
      </c>
      <c r="D13560" s="0" t="s">
        <v>45181</v>
      </c>
      <c r="E13560" s="0" t="s">
        <v>89</v>
      </c>
      <c r="F13560" s="0" t="s">
        <v>90</v>
      </c>
      <c r="G13560" s="0" t="s">
        <v>32</v>
      </c>
      <c r="H13560" s="0" t="n">
        <v>139</v>
      </c>
      <c r="I13560" s="0" t="s">
        <v>45191</v>
      </c>
      <c r="J13560" s="0" t="s">
        <v>45192</v>
      </c>
      <c r="K13560" s="0" t="s">
        <v>45193</v>
      </c>
      <c r="L13560" s="0" t="str">
        <f aca="false">HYPERLINK("https://www.ncbi.nlm.nih.gov/nuccore/CP000304.1?report=graph&amp;tracks=[key:gene_model_track,Options:GeneOnly]&amp;mk=3831111:3831130|offset_26|444444,3831091:3831110|offset_46|444444,3831070:3831089|offset_67|444444,3830998:3831017|offset_139|00cc00&amp;v=3830910:3831217&amp;c=444444", "offset 139")</f>
        <v>offset 139</v>
      </c>
    </row>
    <row r="13561" customFormat="false" ht="12.8" hidden="false" customHeight="false" outlineLevel="0" collapsed="false">
      <c r="A13561" s="0" t="s">
        <v>12</v>
      </c>
      <c r="B13561" s="0" t="n">
        <v>3832444</v>
      </c>
      <c r="C13561" s="0" t="n">
        <v>3832464</v>
      </c>
      <c r="D13561" s="0" t="s">
        <v>45194</v>
      </c>
      <c r="E13561" s="0" t="s">
        <v>89</v>
      </c>
      <c r="F13561" s="0" t="s">
        <v>90</v>
      </c>
      <c r="G13561" s="0" t="s">
        <v>16</v>
      </c>
      <c r="H13561" s="0" t="n">
        <v>1</v>
      </c>
      <c r="I13561" s="0" t="s">
        <v>45195</v>
      </c>
      <c r="J13561" s="0" t="s">
        <v>45196</v>
      </c>
      <c r="K13561" s="0" t="s">
        <v>45197</v>
      </c>
      <c r="L13561" s="0" t="str">
        <f aca="false">HYPERLINK("https://www.ncbi.nlm.nih.gov/nuccore/CP000304.1?report=graph&amp;tracks=[key:gene_model_track,Options:GeneOnly]&amp;mk=3832445:3832464|offset_1|00cc00,3832418:3832437|offset_28|444444,3832381:3832400|offset_65|444444,3832339:3832358|offset_107|444444&amp;v=3832244:3832558&amp;c=444444", "offset 1")</f>
        <v>offset 1</v>
      </c>
    </row>
    <row r="13562" customFormat="false" ht="12.8" hidden="false" customHeight="false" outlineLevel="0" collapsed="false">
      <c r="A13562" s="0" t="s">
        <v>12</v>
      </c>
      <c r="B13562" s="0" t="n">
        <v>3832417</v>
      </c>
      <c r="C13562" s="0" t="n">
        <v>3832437</v>
      </c>
      <c r="D13562" s="0" t="s">
        <v>45194</v>
      </c>
      <c r="E13562" s="0" t="s">
        <v>89</v>
      </c>
      <c r="F13562" s="0" t="s">
        <v>90</v>
      </c>
      <c r="G13562" s="0" t="s">
        <v>36</v>
      </c>
      <c r="H13562" s="0" t="n">
        <v>28</v>
      </c>
      <c r="I13562" s="0" t="s">
        <v>45198</v>
      </c>
      <c r="J13562" s="0" t="s">
        <v>45199</v>
      </c>
      <c r="K13562" s="0" t="s">
        <v>45200</v>
      </c>
      <c r="L13562" s="0" t="str">
        <f aca="false">HYPERLINK("https://www.ncbi.nlm.nih.gov/nuccore/CP000304.1?report=graph&amp;tracks=[key:gene_model_track,Options:GeneOnly]&amp;mk=3832445:3832464|offset_1|444444,3832418:3832437|offset_28|00cc00,3832381:3832400|offset_65|444444,3832339:3832358|offset_107|444444&amp;v=3832244:3832558&amp;c=444444", "offset 28")</f>
        <v>offset 28</v>
      </c>
    </row>
    <row r="13563" customFormat="false" ht="12.8" hidden="false" customHeight="false" outlineLevel="0" collapsed="false">
      <c r="A13563" s="0" t="s">
        <v>12</v>
      </c>
      <c r="B13563" s="0" t="n">
        <v>3832380</v>
      </c>
      <c r="C13563" s="0" t="n">
        <v>3832400</v>
      </c>
      <c r="D13563" s="0" t="s">
        <v>45194</v>
      </c>
      <c r="E13563" s="0" t="s">
        <v>89</v>
      </c>
      <c r="F13563" s="0" t="s">
        <v>90</v>
      </c>
      <c r="G13563" s="0" t="s">
        <v>36</v>
      </c>
      <c r="H13563" s="0" t="n">
        <v>65</v>
      </c>
      <c r="I13563" s="0" t="s">
        <v>45201</v>
      </c>
      <c r="J13563" s="0" t="s">
        <v>45202</v>
      </c>
      <c r="K13563" s="0" t="s">
        <v>45203</v>
      </c>
      <c r="L13563" s="0" t="str">
        <f aca="false">HYPERLINK("https://www.ncbi.nlm.nih.gov/nuccore/CP000304.1?report=graph&amp;tracks=[key:gene_model_track,Options:GeneOnly]&amp;mk=3832445:3832464|offset_1|444444,3832418:3832437|offset_28|444444,3832381:3832400|offset_65|00cc00,3832339:3832358|offset_107|444444&amp;v=3832244:3832558&amp;c=444444", "offset 65")</f>
        <v>offset 65</v>
      </c>
    </row>
    <row r="13564" customFormat="false" ht="12.8" hidden="false" customHeight="false" outlineLevel="0" collapsed="false">
      <c r="A13564" s="0" t="s">
        <v>12</v>
      </c>
      <c r="B13564" s="0" t="n">
        <v>3832338</v>
      </c>
      <c r="C13564" s="0" t="n">
        <v>3832358</v>
      </c>
      <c r="D13564" s="0" t="s">
        <v>45194</v>
      </c>
      <c r="E13564" s="0" t="s">
        <v>89</v>
      </c>
      <c r="F13564" s="0" t="s">
        <v>90</v>
      </c>
      <c r="G13564" s="0" t="s">
        <v>36</v>
      </c>
      <c r="H13564" s="0" t="n">
        <v>107</v>
      </c>
      <c r="I13564" s="0" t="s">
        <v>45204</v>
      </c>
      <c r="J13564" s="0" t="s">
        <v>45205</v>
      </c>
      <c r="K13564" s="0" t="s">
        <v>45206</v>
      </c>
      <c r="L13564" s="0" t="str">
        <f aca="false">HYPERLINK("https://www.ncbi.nlm.nih.gov/nuccore/CP000304.1?report=graph&amp;tracks=[key:gene_model_track,Options:GeneOnly]&amp;mk=3832445:3832464|offset_1|444444,3832418:3832437|offset_28|444444,3832381:3832400|offset_65|444444,3832339:3832358|offset_107|00cc00&amp;v=3832244:3832558&amp;c=444444", "offset 107")</f>
        <v>offset 107</v>
      </c>
    </row>
    <row r="13565" customFormat="false" ht="12.8" hidden="false" customHeight="false" outlineLevel="0" collapsed="false">
      <c r="A13565" s="0" t="s">
        <v>12</v>
      </c>
      <c r="B13565" s="0" t="n">
        <v>3832875</v>
      </c>
      <c r="C13565" s="0" t="n">
        <v>3832895</v>
      </c>
      <c r="D13565" s="0" t="s">
        <v>45207</v>
      </c>
      <c r="E13565" s="0" t="s">
        <v>45208</v>
      </c>
      <c r="F13565" s="0" t="s">
        <v>90</v>
      </c>
      <c r="G13565" s="0" t="s">
        <v>32</v>
      </c>
      <c r="H13565" s="0" t="n">
        <v>82</v>
      </c>
      <c r="I13565" s="0" t="s">
        <v>45209</v>
      </c>
      <c r="J13565" s="0" t="s">
        <v>45210</v>
      </c>
      <c r="K13565" s="0" t="s">
        <v>45211</v>
      </c>
      <c r="L13565" s="0" t="str">
        <f aca="false">HYPERLINK("https://www.ncbi.nlm.nih.gov/nuccore/CP000304.1?report=graph&amp;tracks=[key:gene_model_track,Options:GeneOnly]&amp;mk=3832876:3832895|offset_82|00cc00,3832852:3832871|offset_106|444444,3832824:3832843|offset_134|444444,3832798:3832817|offset_160|444444&amp;v=3832675:3833017&amp;c=444444", "offset 82")</f>
        <v>offset 82</v>
      </c>
    </row>
    <row r="13566" customFormat="false" ht="12.8" hidden="false" customHeight="false" outlineLevel="0" collapsed="false">
      <c r="A13566" s="0" t="s">
        <v>12</v>
      </c>
      <c r="B13566" s="0" t="n">
        <v>3832851</v>
      </c>
      <c r="C13566" s="0" t="n">
        <v>3832871</v>
      </c>
      <c r="D13566" s="0" t="s">
        <v>45207</v>
      </c>
      <c r="E13566" s="0" t="s">
        <v>45208</v>
      </c>
      <c r="F13566" s="0" t="s">
        <v>90</v>
      </c>
      <c r="G13566" s="0" t="s">
        <v>16</v>
      </c>
      <c r="H13566" s="0" t="n">
        <v>106</v>
      </c>
      <c r="I13566" s="0" t="s">
        <v>45212</v>
      </c>
      <c r="J13566" s="0" t="s">
        <v>45213</v>
      </c>
      <c r="K13566" s="0" t="s">
        <v>45214</v>
      </c>
      <c r="L13566" s="0" t="str">
        <f aca="false">HYPERLINK("https://www.ncbi.nlm.nih.gov/nuccore/CP000304.1?report=graph&amp;tracks=[key:gene_model_track,Options:GeneOnly]&amp;mk=3832876:3832895|offset_82|444444,3832852:3832871|offset_106|00cc00,3832824:3832843|offset_134|444444,3832798:3832817|offset_160|444444&amp;v=3832675:3833017&amp;c=444444", "offset 106")</f>
        <v>offset 106</v>
      </c>
    </row>
    <row r="13567" customFormat="false" ht="12.8" hidden="false" customHeight="false" outlineLevel="0" collapsed="false">
      <c r="A13567" s="0" t="s">
        <v>12</v>
      </c>
      <c r="B13567" s="0" t="n">
        <v>3832823</v>
      </c>
      <c r="C13567" s="0" t="n">
        <v>3832843</v>
      </c>
      <c r="D13567" s="0" t="s">
        <v>45207</v>
      </c>
      <c r="E13567" s="0" t="s">
        <v>45208</v>
      </c>
      <c r="F13567" s="0" t="s">
        <v>90</v>
      </c>
      <c r="G13567" s="0" t="s">
        <v>16</v>
      </c>
      <c r="H13567" s="0" t="n">
        <v>134</v>
      </c>
      <c r="I13567" s="0" t="s">
        <v>45215</v>
      </c>
      <c r="J13567" s="0" t="s">
        <v>45216</v>
      </c>
      <c r="K13567" s="0" t="s">
        <v>45217</v>
      </c>
      <c r="L13567" s="0" t="str">
        <f aca="false">HYPERLINK("https://www.ncbi.nlm.nih.gov/nuccore/CP000304.1?report=graph&amp;tracks=[key:gene_model_track,Options:GeneOnly]&amp;mk=3832876:3832895|offset_82|444444,3832852:3832871|offset_106|444444,3832824:3832843|offset_134|00cc00,3832798:3832817|offset_160|444444&amp;v=3832675:3833017&amp;c=444444", "offset 134")</f>
        <v>offset 134</v>
      </c>
    </row>
    <row r="13568" customFormat="false" ht="12.8" hidden="false" customHeight="false" outlineLevel="0" collapsed="false">
      <c r="A13568" s="0" t="s">
        <v>12</v>
      </c>
      <c r="B13568" s="0" t="n">
        <v>3832797</v>
      </c>
      <c r="C13568" s="0" t="n">
        <v>3832817</v>
      </c>
      <c r="D13568" s="0" t="s">
        <v>45207</v>
      </c>
      <c r="E13568" s="0" t="s">
        <v>45208</v>
      </c>
      <c r="F13568" s="0" t="s">
        <v>90</v>
      </c>
      <c r="G13568" s="0" t="s">
        <v>16</v>
      </c>
      <c r="H13568" s="0" t="n">
        <v>160</v>
      </c>
      <c r="I13568" s="0" t="s">
        <v>45218</v>
      </c>
      <c r="J13568" s="0" t="s">
        <v>45219</v>
      </c>
      <c r="K13568" s="0" t="s">
        <v>45220</v>
      </c>
      <c r="L13568" s="0" t="str">
        <f aca="false">HYPERLINK("https://www.ncbi.nlm.nih.gov/nuccore/CP000304.1?report=graph&amp;tracks=[key:gene_model_track,Options:GeneOnly]&amp;mk=3832876:3832895|offset_82|444444,3832852:3832871|offset_106|444444,3832824:3832843|offset_134|444444,3832798:3832817|offset_160|00cc00&amp;v=3832675:3833017&amp;c=444444", "offset 160")</f>
        <v>offset 160</v>
      </c>
    </row>
    <row r="13569" customFormat="false" ht="12.8" hidden="false" customHeight="false" outlineLevel="0" collapsed="false">
      <c r="A13569" s="0" t="s">
        <v>12</v>
      </c>
      <c r="B13569" s="0" t="n">
        <v>3833561</v>
      </c>
      <c r="C13569" s="0" t="n">
        <v>3833581</v>
      </c>
      <c r="D13569" s="0" t="s">
        <v>45221</v>
      </c>
      <c r="E13569" s="0" t="s">
        <v>45222</v>
      </c>
      <c r="F13569" s="0" t="s">
        <v>90</v>
      </c>
      <c r="G13569" s="0" t="s">
        <v>32</v>
      </c>
      <c r="H13569" s="0" t="n">
        <v>1</v>
      </c>
      <c r="I13569" s="0" t="s">
        <v>45223</v>
      </c>
      <c r="J13569" s="0" t="s">
        <v>45224</v>
      </c>
      <c r="K13569" s="0" t="s">
        <v>45225</v>
      </c>
      <c r="L13569" s="0" t="str">
        <f aca="false">HYPERLINK("https://www.ncbi.nlm.nih.gov/nuccore/CP000304.1?report=graph&amp;tracks=[key:gene_model_track,Options:GeneOnly]&amp;mk=3833562:3833581|offset_1|00cc00,3833535:3833554|offset_28|444444,3833501:3833520|offset_62|444444,3833471:3833490|offset_92|444444&amp;v=3833361:3833690&amp;c=444444", "offset 1")</f>
        <v>offset 1</v>
      </c>
    </row>
    <row r="13570" customFormat="false" ht="12.8" hidden="false" customHeight="false" outlineLevel="0" collapsed="false">
      <c r="A13570" s="0" t="s">
        <v>12</v>
      </c>
      <c r="B13570" s="0" t="n">
        <v>3833534</v>
      </c>
      <c r="C13570" s="0" t="n">
        <v>3833554</v>
      </c>
      <c r="D13570" s="0" t="s">
        <v>45221</v>
      </c>
      <c r="E13570" s="0" t="s">
        <v>45222</v>
      </c>
      <c r="F13570" s="0" t="s">
        <v>90</v>
      </c>
      <c r="G13570" s="0" t="s">
        <v>16</v>
      </c>
      <c r="H13570" s="0" t="n">
        <v>28</v>
      </c>
      <c r="I13570" s="0" t="s">
        <v>45226</v>
      </c>
      <c r="J13570" s="0" t="s">
        <v>45227</v>
      </c>
      <c r="K13570" s="0" t="s">
        <v>45228</v>
      </c>
      <c r="L13570" s="0" t="str">
        <f aca="false">HYPERLINK("https://www.ncbi.nlm.nih.gov/nuccore/CP000304.1?report=graph&amp;tracks=[key:gene_model_track,Options:GeneOnly]&amp;mk=3833562:3833581|offset_1|444444,3833535:3833554|offset_28|00cc00,3833501:3833520|offset_62|444444,3833471:3833490|offset_92|444444&amp;v=3833361:3833690&amp;c=444444", "offset 28")</f>
        <v>offset 28</v>
      </c>
    </row>
    <row r="13571" customFormat="false" ht="12.8" hidden="false" customHeight="false" outlineLevel="0" collapsed="false">
      <c r="A13571" s="0" t="s">
        <v>12</v>
      </c>
      <c r="B13571" s="0" t="n">
        <v>3833500</v>
      </c>
      <c r="C13571" s="0" t="n">
        <v>3833520</v>
      </c>
      <c r="D13571" s="0" t="s">
        <v>45221</v>
      </c>
      <c r="E13571" s="0" t="s">
        <v>45222</v>
      </c>
      <c r="F13571" s="0" t="s">
        <v>90</v>
      </c>
      <c r="G13571" s="0" t="s">
        <v>26</v>
      </c>
      <c r="H13571" s="0" t="n">
        <v>62</v>
      </c>
      <c r="I13571" s="0" t="s">
        <v>45229</v>
      </c>
      <c r="J13571" s="0" t="s">
        <v>45230</v>
      </c>
      <c r="K13571" s="0" t="s">
        <v>45231</v>
      </c>
      <c r="L13571" s="0" t="str">
        <f aca="false">HYPERLINK("https://www.ncbi.nlm.nih.gov/nuccore/CP000304.1?report=graph&amp;tracks=[key:gene_model_track,Options:GeneOnly]&amp;mk=3833562:3833581|offset_1|444444,3833535:3833554|offset_28|444444,3833501:3833520|offset_62|00cc00,3833471:3833490|offset_92|444444&amp;v=3833361:3833690&amp;c=444444", "offset 62")</f>
        <v>offset 62</v>
      </c>
    </row>
    <row r="13572" customFormat="false" ht="12.8" hidden="false" customHeight="false" outlineLevel="0" collapsed="false">
      <c r="A13572" s="0" t="s">
        <v>12</v>
      </c>
      <c r="B13572" s="0" t="n">
        <v>3833470</v>
      </c>
      <c r="C13572" s="0" t="n">
        <v>3833490</v>
      </c>
      <c r="D13572" s="0" t="s">
        <v>45221</v>
      </c>
      <c r="E13572" s="0" t="s">
        <v>45222</v>
      </c>
      <c r="F13572" s="0" t="s">
        <v>90</v>
      </c>
      <c r="G13572" s="0" t="s">
        <v>16</v>
      </c>
      <c r="H13572" s="0" t="n">
        <v>92</v>
      </c>
      <c r="I13572" s="0" t="s">
        <v>45232</v>
      </c>
      <c r="J13572" s="0" t="s">
        <v>45233</v>
      </c>
      <c r="K13572" s="0" t="s">
        <v>45234</v>
      </c>
      <c r="L13572" s="0" t="str">
        <f aca="false">HYPERLINK("https://www.ncbi.nlm.nih.gov/nuccore/CP000304.1?report=graph&amp;tracks=[key:gene_model_track,Options:GeneOnly]&amp;mk=3833562:3833581|offset_1|444444,3833535:3833554|offset_28|444444,3833501:3833520|offset_62|444444,3833471:3833490|offset_92|00cc00&amp;v=3833361:3833690&amp;c=444444", "offset 92")</f>
        <v>offset 92</v>
      </c>
    </row>
    <row r="13573" customFormat="false" ht="12.8" hidden="false" customHeight="false" outlineLevel="0" collapsed="false">
      <c r="A13573" s="0" t="s">
        <v>12</v>
      </c>
      <c r="B13573" s="0" t="n">
        <v>3834410</v>
      </c>
      <c r="C13573" s="0" t="n">
        <v>3834430</v>
      </c>
      <c r="D13573" s="0" t="s">
        <v>45235</v>
      </c>
      <c r="E13573" s="0" t="s">
        <v>45236</v>
      </c>
      <c r="F13573" s="0" t="s">
        <v>90</v>
      </c>
      <c r="G13573" s="0" t="s">
        <v>32</v>
      </c>
      <c r="H13573" s="0" t="n">
        <v>8</v>
      </c>
      <c r="I13573" s="0" t="s">
        <v>45237</v>
      </c>
      <c r="J13573" s="0" t="s">
        <v>45238</v>
      </c>
      <c r="K13573" s="0" t="s">
        <v>45239</v>
      </c>
      <c r="L13573" s="0" t="str">
        <f aca="false">HYPERLINK("https://www.ncbi.nlm.nih.gov/nuccore/CP000304.1?report=graph&amp;tracks=[key:gene_model_track,Options:GeneOnly]&amp;mk=3834411:3834430|offset_8|00cc00,3834372:3834391|offset_47|444444,3834349:3834368|offset_70|444444,3834298:3834317|offset_121|444444&amp;v=3834210:3834517&amp;c=444444", "offset 8")</f>
        <v>offset 8</v>
      </c>
    </row>
    <row r="13574" customFormat="false" ht="12.8" hidden="false" customHeight="false" outlineLevel="0" collapsed="false">
      <c r="A13574" s="0" t="s">
        <v>12</v>
      </c>
      <c r="B13574" s="0" t="n">
        <v>3834371</v>
      </c>
      <c r="C13574" s="0" t="n">
        <v>3834391</v>
      </c>
      <c r="D13574" s="0" t="s">
        <v>45235</v>
      </c>
      <c r="E13574" s="0" t="s">
        <v>45236</v>
      </c>
      <c r="F13574" s="0" t="s">
        <v>90</v>
      </c>
      <c r="G13574" s="0" t="s">
        <v>26</v>
      </c>
      <c r="H13574" s="0" t="n">
        <v>47</v>
      </c>
      <c r="I13574" s="0" t="s">
        <v>45240</v>
      </c>
      <c r="J13574" s="0" t="s">
        <v>45241</v>
      </c>
      <c r="K13574" s="0" t="s">
        <v>45242</v>
      </c>
      <c r="L13574" s="0" t="str">
        <f aca="false">HYPERLINK("https://www.ncbi.nlm.nih.gov/nuccore/CP000304.1?report=graph&amp;tracks=[key:gene_model_track,Options:GeneOnly]&amp;mk=3834411:3834430|offset_8|444444,3834372:3834391|offset_47|00cc00,3834349:3834368|offset_70|444444,3834298:3834317|offset_121|444444&amp;v=3834210:3834517&amp;c=444444", "offset 47")</f>
        <v>offset 47</v>
      </c>
    </row>
    <row r="13575" customFormat="false" ht="12.8" hidden="false" customHeight="false" outlineLevel="0" collapsed="false">
      <c r="A13575" s="0" t="s">
        <v>12</v>
      </c>
      <c r="B13575" s="0" t="n">
        <v>3834348</v>
      </c>
      <c r="C13575" s="0" t="n">
        <v>3834368</v>
      </c>
      <c r="D13575" s="0" t="s">
        <v>45235</v>
      </c>
      <c r="E13575" s="0" t="s">
        <v>45236</v>
      </c>
      <c r="F13575" s="0" t="s">
        <v>90</v>
      </c>
      <c r="G13575" s="0" t="s">
        <v>32</v>
      </c>
      <c r="H13575" s="0" t="n">
        <v>70</v>
      </c>
      <c r="I13575" s="0" t="s">
        <v>45243</v>
      </c>
      <c r="J13575" s="0" t="s">
        <v>45244</v>
      </c>
      <c r="K13575" s="0" t="s">
        <v>45245</v>
      </c>
      <c r="L13575" s="0" t="str">
        <f aca="false">HYPERLINK("https://www.ncbi.nlm.nih.gov/nuccore/CP000304.1?report=graph&amp;tracks=[key:gene_model_track,Options:GeneOnly]&amp;mk=3834411:3834430|offset_8|444444,3834372:3834391|offset_47|444444,3834349:3834368|offset_70|00cc00,3834298:3834317|offset_121|444444&amp;v=3834210:3834517&amp;c=444444", "offset 70")</f>
        <v>offset 70</v>
      </c>
    </row>
    <row r="13576" customFormat="false" ht="12.8" hidden="false" customHeight="false" outlineLevel="0" collapsed="false">
      <c r="A13576" s="0" t="s">
        <v>12</v>
      </c>
      <c r="B13576" s="0" t="n">
        <v>3834297</v>
      </c>
      <c r="C13576" s="0" t="n">
        <v>3834317</v>
      </c>
      <c r="D13576" s="0" t="s">
        <v>45235</v>
      </c>
      <c r="E13576" s="0" t="s">
        <v>45236</v>
      </c>
      <c r="F13576" s="0" t="s">
        <v>90</v>
      </c>
      <c r="G13576" s="0" t="s">
        <v>16</v>
      </c>
      <c r="H13576" s="0" t="n">
        <v>121</v>
      </c>
      <c r="I13576" s="0" t="s">
        <v>45246</v>
      </c>
      <c r="J13576" s="0" t="s">
        <v>45247</v>
      </c>
      <c r="K13576" s="0" t="s">
        <v>45248</v>
      </c>
      <c r="L13576" s="0" t="str">
        <f aca="false">HYPERLINK("https://www.ncbi.nlm.nih.gov/nuccore/CP000304.1?report=graph&amp;tracks=[key:gene_model_track,Options:GeneOnly]&amp;mk=3834411:3834430|offset_8|444444,3834372:3834391|offset_47|444444,3834349:3834368|offset_70|444444,3834298:3834317|offset_121|00cc00&amp;v=3834210:3834517&amp;c=444444", "offset 121")</f>
        <v>offset 121</v>
      </c>
    </row>
    <row r="13577" customFormat="false" ht="12.8" hidden="false" customHeight="false" outlineLevel="0" collapsed="false">
      <c r="A13577" s="0" t="s">
        <v>12</v>
      </c>
      <c r="B13577" s="0" t="n">
        <v>3835331</v>
      </c>
      <c r="C13577" s="0" t="n">
        <v>3835351</v>
      </c>
      <c r="D13577" s="0" t="s">
        <v>45249</v>
      </c>
      <c r="E13577" s="0" t="s">
        <v>45250</v>
      </c>
      <c r="F13577" s="0" t="s">
        <v>90</v>
      </c>
      <c r="G13577" s="0" t="s">
        <v>16</v>
      </c>
      <c r="H13577" s="0" t="n">
        <v>10</v>
      </c>
      <c r="I13577" s="0" t="s">
        <v>45251</v>
      </c>
      <c r="J13577" s="0" t="s">
        <v>45252</v>
      </c>
      <c r="K13577" s="0" t="s">
        <v>45253</v>
      </c>
      <c r="L13577" s="0" t="str">
        <f aca="false">HYPERLINK("https://www.ncbi.nlm.nih.gov/nuccore/CP000304.1?report=graph&amp;tracks=[key:gene_model_track,Options:GeneOnly]&amp;mk=3835332:3835351|offset_10|00cc00,3835310:3835329|offset_32|444444,3835290:3835309|offset_52|444444,3835221:3835240|offset_121|444444&amp;v=3835131:3835440&amp;c=444444", "offset 10")</f>
        <v>offset 10</v>
      </c>
    </row>
    <row r="13578" customFormat="false" ht="12.8" hidden="false" customHeight="false" outlineLevel="0" collapsed="false">
      <c r="A13578" s="0" t="s">
        <v>12</v>
      </c>
      <c r="B13578" s="0" t="n">
        <v>3835309</v>
      </c>
      <c r="C13578" s="0" t="n">
        <v>3835329</v>
      </c>
      <c r="D13578" s="0" t="s">
        <v>45249</v>
      </c>
      <c r="E13578" s="0" t="s">
        <v>45250</v>
      </c>
      <c r="F13578" s="0" t="s">
        <v>90</v>
      </c>
      <c r="G13578" s="0" t="s">
        <v>32</v>
      </c>
      <c r="H13578" s="0" t="n">
        <v>32</v>
      </c>
      <c r="I13578" s="0" t="s">
        <v>45254</v>
      </c>
      <c r="J13578" s="0" t="s">
        <v>45255</v>
      </c>
      <c r="K13578" s="0" t="s">
        <v>45256</v>
      </c>
      <c r="L13578" s="0" t="str">
        <f aca="false">HYPERLINK("https://www.ncbi.nlm.nih.gov/nuccore/CP000304.1?report=graph&amp;tracks=[key:gene_model_track,Options:GeneOnly]&amp;mk=3835332:3835351|offset_10|444444,3835310:3835329|offset_32|00cc00,3835290:3835309|offset_52|444444,3835221:3835240|offset_121|444444&amp;v=3835131:3835440&amp;c=444444", "offset 32")</f>
        <v>offset 32</v>
      </c>
    </row>
    <row r="13579" customFormat="false" ht="12.8" hidden="false" customHeight="false" outlineLevel="0" collapsed="false">
      <c r="A13579" s="0" t="s">
        <v>12</v>
      </c>
      <c r="B13579" s="0" t="n">
        <v>3835289</v>
      </c>
      <c r="C13579" s="0" t="n">
        <v>3835309</v>
      </c>
      <c r="D13579" s="0" t="s">
        <v>45249</v>
      </c>
      <c r="E13579" s="0" t="s">
        <v>45250</v>
      </c>
      <c r="F13579" s="0" t="s">
        <v>90</v>
      </c>
      <c r="G13579" s="0" t="s">
        <v>16</v>
      </c>
      <c r="H13579" s="0" t="n">
        <v>52</v>
      </c>
      <c r="I13579" s="0" t="s">
        <v>45257</v>
      </c>
      <c r="J13579" s="0" t="s">
        <v>45258</v>
      </c>
      <c r="K13579" s="0" t="s">
        <v>45259</v>
      </c>
      <c r="L13579" s="0" t="str">
        <f aca="false">HYPERLINK("https://www.ncbi.nlm.nih.gov/nuccore/CP000304.1?report=graph&amp;tracks=[key:gene_model_track,Options:GeneOnly]&amp;mk=3835332:3835351|offset_10|444444,3835310:3835329|offset_32|444444,3835290:3835309|offset_52|00cc00,3835221:3835240|offset_121|444444&amp;v=3835131:3835440&amp;c=444444", "offset 52")</f>
        <v>offset 52</v>
      </c>
    </row>
    <row r="13580" customFormat="false" ht="12.8" hidden="false" customHeight="false" outlineLevel="0" collapsed="false">
      <c r="A13580" s="0" t="s">
        <v>12</v>
      </c>
      <c r="B13580" s="0" t="n">
        <v>3835220</v>
      </c>
      <c r="C13580" s="0" t="n">
        <v>3835240</v>
      </c>
      <c r="D13580" s="0" t="s">
        <v>45249</v>
      </c>
      <c r="E13580" s="0" t="s">
        <v>45250</v>
      </c>
      <c r="F13580" s="0" t="s">
        <v>90</v>
      </c>
      <c r="G13580" s="0" t="s">
        <v>16</v>
      </c>
      <c r="H13580" s="0" t="n">
        <v>121</v>
      </c>
      <c r="I13580" s="0" t="s">
        <v>45260</v>
      </c>
      <c r="J13580" s="0" t="s">
        <v>45261</v>
      </c>
      <c r="K13580" s="0" t="s">
        <v>45262</v>
      </c>
      <c r="L13580" s="0" t="str">
        <f aca="false">HYPERLINK("https://www.ncbi.nlm.nih.gov/nuccore/CP000304.1?report=graph&amp;tracks=[key:gene_model_track,Options:GeneOnly]&amp;mk=3835332:3835351|offset_10|444444,3835310:3835329|offset_32|444444,3835290:3835309|offset_52|444444,3835221:3835240|offset_121|00cc00&amp;v=3835131:3835440&amp;c=444444", "offset 121")</f>
        <v>offset 121</v>
      </c>
    </row>
    <row r="13581" customFormat="false" ht="12.8" hidden="false" customHeight="false" outlineLevel="0" collapsed="false">
      <c r="A13581" s="0" t="s">
        <v>12</v>
      </c>
      <c r="B13581" s="0" t="n">
        <v>3836527</v>
      </c>
      <c r="C13581" s="0" t="n">
        <v>3836547</v>
      </c>
      <c r="D13581" s="0" t="s">
        <v>45263</v>
      </c>
      <c r="E13581" s="0" t="s">
        <v>45264</v>
      </c>
      <c r="F13581" s="0" t="s">
        <v>90</v>
      </c>
      <c r="G13581" s="0" t="s">
        <v>32</v>
      </c>
      <c r="H13581" s="0" t="n">
        <v>1</v>
      </c>
      <c r="I13581" s="0" t="s">
        <v>45265</v>
      </c>
      <c r="J13581" s="0" t="s">
        <v>45266</v>
      </c>
      <c r="K13581" s="0" t="s">
        <v>45267</v>
      </c>
      <c r="L13581" s="0" t="str">
        <f aca="false">HYPERLINK("https://www.ncbi.nlm.nih.gov/nuccore/CP000304.1?report=graph&amp;tracks=[key:gene_model_track,Options:GeneOnly]&amp;mk=3836528:3836547|offset_1|00cc00,3836498:3836517|offset_31|444444,3836476:3836495|offset_53|444444,3836442:3836461|offset_87|444444&amp;v=3836327:3836661&amp;c=444444", "offset 1")</f>
        <v>offset 1</v>
      </c>
    </row>
    <row r="13582" customFormat="false" ht="12.8" hidden="false" customHeight="false" outlineLevel="0" collapsed="false">
      <c r="A13582" s="0" t="s">
        <v>12</v>
      </c>
      <c r="B13582" s="0" t="n">
        <v>3836497</v>
      </c>
      <c r="C13582" s="0" t="n">
        <v>3836517</v>
      </c>
      <c r="D13582" s="0" t="s">
        <v>45263</v>
      </c>
      <c r="E13582" s="0" t="s">
        <v>45264</v>
      </c>
      <c r="F13582" s="0" t="s">
        <v>90</v>
      </c>
      <c r="G13582" s="0" t="s">
        <v>16</v>
      </c>
      <c r="H13582" s="0" t="n">
        <v>31</v>
      </c>
      <c r="I13582" s="0" t="s">
        <v>45268</v>
      </c>
      <c r="J13582" s="0" t="s">
        <v>45269</v>
      </c>
      <c r="K13582" s="0" t="s">
        <v>45270</v>
      </c>
      <c r="L13582" s="0" t="str">
        <f aca="false">HYPERLINK("https://www.ncbi.nlm.nih.gov/nuccore/CP000304.1?report=graph&amp;tracks=[key:gene_model_track,Options:GeneOnly]&amp;mk=3836528:3836547|offset_1|444444,3836498:3836517|offset_31|00cc00,3836476:3836495|offset_53|444444,3836442:3836461|offset_87|444444&amp;v=3836327:3836661&amp;c=444444", "offset 31")</f>
        <v>offset 31</v>
      </c>
    </row>
    <row r="13583" customFormat="false" ht="12.8" hidden="false" customHeight="false" outlineLevel="0" collapsed="false">
      <c r="A13583" s="0" t="s">
        <v>12</v>
      </c>
      <c r="B13583" s="0" t="n">
        <v>3836475</v>
      </c>
      <c r="C13583" s="0" t="n">
        <v>3836495</v>
      </c>
      <c r="D13583" s="0" t="s">
        <v>45263</v>
      </c>
      <c r="E13583" s="0" t="s">
        <v>45264</v>
      </c>
      <c r="F13583" s="0" t="s">
        <v>90</v>
      </c>
      <c r="G13583" s="0" t="s">
        <v>16</v>
      </c>
      <c r="H13583" s="0" t="n">
        <v>53</v>
      </c>
      <c r="I13583" s="0" t="s">
        <v>45271</v>
      </c>
      <c r="J13583" s="0" t="s">
        <v>45272</v>
      </c>
      <c r="K13583" s="0" t="s">
        <v>45273</v>
      </c>
      <c r="L13583" s="0" t="str">
        <f aca="false">HYPERLINK("https://www.ncbi.nlm.nih.gov/nuccore/CP000304.1?report=graph&amp;tracks=[key:gene_model_track,Options:GeneOnly]&amp;mk=3836528:3836547|offset_1|444444,3836498:3836517|offset_31|444444,3836476:3836495|offset_53|00cc00,3836442:3836461|offset_87|444444&amp;v=3836327:3836661&amp;c=444444", "offset 53")</f>
        <v>offset 53</v>
      </c>
    </row>
    <row r="13584" customFormat="false" ht="12.8" hidden="false" customHeight="false" outlineLevel="0" collapsed="false">
      <c r="A13584" s="0" t="s">
        <v>12</v>
      </c>
      <c r="B13584" s="0" t="n">
        <v>3836441</v>
      </c>
      <c r="C13584" s="0" t="n">
        <v>3836461</v>
      </c>
      <c r="D13584" s="0" t="s">
        <v>45263</v>
      </c>
      <c r="E13584" s="0" t="s">
        <v>45264</v>
      </c>
      <c r="F13584" s="0" t="s">
        <v>90</v>
      </c>
      <c r="G13584" s="0" t="s">
        <v>32</v>
      </c>
      <c r="H13584" s="0" t="n">
        <v>87</v>
      </c>
      <c r="I13584" s="0" t="s">
        <v>45274</v>
      </c>
      <c r="J13584" s="0" t="s">
        <v>45275</v>
      </c>
      <c r="K13584" s="0" t="s">
        <v>45276</v>
      </c>
      <c r="L13584" s="0" t="str">
        <f aca="false">HYPERLINK("https://www.ncbi.nlm.nih.gov/nuccore/CP000304.1?report=graph&amp;tracks=[key:gene_model_track,Options:GeneOnly]&amp;mk=3836528:3836547|offset_1|444444,3836498:3836517|offset_31|444444,3836476:3836495|offset_53|444444,3836442:3836461|offset_87|00cc00&amp;v=3836327:3836661&amp;c=444444", "offset 87")</f>
        <v>offset 87</v>
      </c>
    </row>
    <row r="13585" customFormat="false" ht="12.8" hidden="false" customHeight="false" outlineLevel="0" collapsed="false">
      <c r="A13585" s="0" t="s">
        <v>12</v>
      </c>
      <c r="B13585" s="0" t="n">
        <v>3838672</v>
      </c>
      <c r="C13585" s="0" t="n">
        <v>3838692</v>
      </c>
      <c r="D13585" s="0" t="s">
        <v>45277</v>
      </c>
      <c r="E13585" s="0" t="s">
        <v>45278</v>
      </c>
      <c r="F13585" s="0" t="s">
        <v>90</v>
      </c>
      <c r="G13585" s="0" t="s">
        <v>36</v>
      </c>
      <c r="H13585" s="0" t="n">
        <v>0</v>
      </c>
      <c r="I13585" s="0" t="s">
        <v>45279</v>
      </c>
      <c r="J13585" s="0" t="s">
        <v>45280</v>
      </c>
      <c r="K13585" s="0" t="s">
        <v>45281</v>
      </c>
      <c r="L13585" s="0" t="str">
        <f aca="false">HYPERLINK("https://www.ncbi.nlm.nih.gov/nuccore/CP000304.1?report=graph&amp;tracks=[key:gene_model_track,Options:GeneOnly]&amp;mk=3838673:3838692|offset_0|00cc00,3838647:3838666|offset_26|444444,3838617:3838636|offset_56|444444,3838597:3838616|offset_76|444444&amp;v=3838472:3838816&amp;c=444444", "offset 0")</f>
        <v>offset 0</v>
      </c>
    </row>
    <row r="13586" customFormat="false" ht="12.8" hidden="false" customHeight="false" outlineLevel="0" collapsed="false">
      <c r="A13586" s="0" t="s">
        <v>12</v>
      </c>
      <c r="B13586" s="0" t="n">
        <v>3838646</v>
      </c>
      <c r="C13586" s="0" t="n">
        <v>3838666</v>
      </c>
      <c r="D13586" s="0" t="s">
        <v>45277</v>
      </c>
      <c r="E13586" s="0" t="s">
        <v>45278</v>
      </c>
      <c r="F13586" s="0" t="s">
        <v>90</v>
      </c>
      <c r="G13586" s="0" t="s">
        <v>36</v>
      </c>
      <c r="H13586" s="0" t="n">
        <v>26</v>
      </c>
      <c r="I13586" s="0" t="s">
        <v>45282</v>
      </c>
      <c r="J13586" s="0" t="s">
        <v>45283</v>
      </c>
      <c r="K13586" s="0" t="s">
        <v>45284</v>
      </c>
      <c r="L13586" s="0" t="str">
        <f aca="false">HYPERLINK("https://www.ncbi.nlm.nih.gov/nuccore/CP000304.1?report=graph&amp;tracks=[key:gene_model_track,Options:GeneOnly]&amp;mk=3838673:3838692|offset_0|444444,3838647:3838666|offset_26|00cc00,3838617:3838636|offset_56|444444,3838597:3838616|offset_76|444444&amp;v=3838472:3838816&amp;c=444444", "offset 26")</f>
        <v>offset 26</v>
      </c>
    </row>
    <row r="13587" customFormat="false" ht="12.8" hidden="false" customHeight="false" outlineLevel="0" collapsed="false">
      <c r="A13587" s="0" t="s">
        <v>12</v>
      </c>
      <c r="B13587" s="0" t="n">
        <v>3838616</v>
      </c>
      <c r="C13587" s="0" t="n">
        <v>3838636</v>
      </c>
      <c r="D13587" s="0" t="s">
        <v>45277</v>
      </c>
      <c r="E13587" s="0" t="s">
        <v>45278</v>
      </c>
      <c r="F13587" s="0" t="s">
        <v>90</v>
      </c>
      <c r="G13587" s="0" t="s">
        <v>16</v>
      </c>
      <c r="H13587" s="0" t="n">
        <v>56</v>
      </c>
      <c r="I13587" s="0" t="s">
        <v>45285</v>
      </c>
      <c r="J13587" s="0" t="s">
        <v>45286</v>
      </c>
      <c r="K13587" s="0" t="s">
        <v>45287</v>
      </c>
      <c r="L13587" s="0" t="str">
        <f aca="false">HYPERLINK("https://www.ncbi.nlm.nih.gov/nuccore/CP000304.1?report=graph&amp;tracks=[key:gene_model_track,Options:GeneOnly]&amp;mk=3838673:3838692|offset_0|444444,3838647:3838666|offset_26|444444,3838617:3838636|offset_56|00cc00,3838597:3838616|offset_76|444444&amp;v=3838472:3838816&amp;c=444444", "offset 56")</f>
        <v>offset 56</v>
      </c>
    </row>
    <row r="13588" customFormat="false" ht="12.8" hidden="false" customHeight="false" outlineLevel="0" collapsed="false">
      <c r="A13588" s="0" t="s">
        <v>12</v>
      </c>
      <c r="B13588" s="0" t="n">
        <v>3838596</v>
      </c>
      <c r="C13588" s="0" t="n">
        <v>3838616</v>
      </c>
      <c r="D13588" s="0" t="s">
        <v>45277</v>
      </c>
      <c r="E13588" s="0" t="s">
        <v>45278</v>
      </c>
      <c r="F13588" s="0" t="s">
        <v>90</v>
      </c>
      <c r="G13588" s="0" t="s">
        <v>32</v>
      </c>
      <c r="H13588" s="0" t="n">
        <v>76</v>
      </c>
      <c r="I13588" s="0" t="s">
        <v>45288</v>
      </c>
      <c r="J13588" s="0" t="s">
        <v>45289</v>
      </c>
      <c r="K13588" s="0" t="s">
        <v>45290</v>
      </c>
      <c r="L13588" s="0" t="str">
        <f aca="false">HYPERLINK("https://www.ncbi.nlm.nih.gov/nuccore/CP000304.1?report=graph&amp;tracks=[key:gene_model_track,Options:GeneOnly]&amp;mk=3838673:3838692|offset_0|444444,3838647:3838666|offset_26|444444,3838617:3838636|offset_56|444444,3838597:3838616|offset_76|00cc00&amp;v=3838472:3838816&amp;c=444444", "offset 76")</f>
        <v>offset 76</v>
      </c>
    </row>
    <row r="13589" customFormat="false" ht="12.8" hidden="false" customHeight="false" outlineLevel="0" collapsed="false">
      <c r="A13589" s="0" t="s">
        <v>12</v>
      </c>
      <c r="B13589" s="0" t="n">
        <v>3840907</v>
      </c>
      <c r="C13589" s="0" t="n">
        <v>3840927</v>
      </c>
      <c r="D13589" s="0" t="s">
        <v>45291</v>
      </c>
      <c r="E13589" s="0" t="s">
        <v>45292</v>
      </c>
      <c r="F13589" s="0" t="s">
        <v>90</v>
      </c>
      <c r="G13589" s="0" t="s">
        <v>36</v>
      </c>
      <c r="H13589" s="0" t="n">
        <v>10</v>
      </c>
      <c r="I13589" s="0" t="s">
        <v>45293</v>
      </c>
      <c r="J13589" s="0" t="s">
        <v>45294</v>
      </c>
      <c r="K13589" s="0" t="s">
        <v>45295</v>
      </c>
      <c r="L13589" s="0" t="str">
        <f aca="false">HYPERLINK("https://www.ncbi.nlm.nih.gov/nuccore/CP000304.1?report=graph&amp;tracks=[key:gene_model_track,Options:GeneOnly]&amp;mk=3840908:3840927|offset_10|00cc00,3840887:3840906|offset_31|444444,3840841:3840860|offset_77|444444,3840812:3840831|offset_106|444444&amp;v=3840707:3841031&amp;c=444444", "offset 10")</f>
        <v>offset 10</v>
      </c>
    </row>
    <row r="13590" customFormat="false" ht="12.8" hidden="false" customHeight="false" outlineLevel="0" collapsed="false">
      <c r="A13590" s="0" t="s">
        <v>12</v>
      </c>
      <c r="B13590" s="0" t="n">
        <v>3840886</v>
      </c>
      <c r="C13590" s="0" t="n">
        <v>3840906</v>
      </c>
      <c r="D13590" s="0" t="s">
        <v>45291</v>
      </c>
      <c r="E13590" s="0" t="s">
        <v>45292</v>
      </c>
      <c r="F13590" s="0" t="s">
        <v>90</v>
      </c>
      <c r="G13590" s="0" t="s">
        <v>16</v>
      </c>
      <c r="H13590" s="0" t="n">
        <v>31</v>
      </c>
      <c r="I13590" s="0" t="s">
        <v>45296</v>
      </c>
      <c r="J13590" s="0" t="s">
        <v>45297</v>
      </c>
      <c r="K13590" s="0" t="s">
        <v>45298</v>
      </c>
      <c r="L13590" s="0" t="str">
        <f aca="false">HYPERLINK("https://www.ncbi.nlm.nih.gov/nuccore/CP000304.1?report=graph&amp;tracks=[key:gene_model_track,Options:GeneOnly]&amp;mk=3840908:3840927|offset_10|444444,3840887:3840906|offset_31|00cc00,3840841:3840860|offset_77|444444,3840812:3840831|offset_106|444444&amp;v=3840707:3841031&amp;c=444444", "offset 31")</f>
        <v>offset 31</v>
      </c>
    </row>
    <row r="13591" customFormat="false" ht="12.8" hidden="false" customHeight="false" outlineLevel="0" collapsed="false">
      <c r="A13591" s="0" t="s">
        <v>12</v>
      </c>
      <c r="B13591" s="0" t="n">
        <v>3840840</v>
      </c>
      <c r="C13591" s="0" t="n">
        <v>3840860</v>
      </c>
      <c r="D13591" s="0" t="s">
        <v>45291</v>
      </c>
      <c r="E13591" s="0" t="s">
        <v>45292</v>
      </c>
      <c r="F13591" s="0" t="s">
        <v>90</v>
      </c>
      <c r="G13591" s="0" t="s">
        <v>26</v>
      </c>
      <c r="H13591" s="0" t="n">
        <v>77</v>
      </c>
      <c r="I13591" s="0" t="s">
        <v>45299</v>
      </c>
      <c r="J13591" s="0" t="s">
        <v>45300</v>
      </c>
      <c r="K13591" s="0" t="s">
        <v>45301</v>
      </c>
      <c r="L13591" s="0" t="str">
        <f aca="false">HYPERLINK("https://www.ncbi.nlm.nih.gov/nuccore/CP000304.1?report=graph&amp;tracks=[key:gene_model_track,Options:GeneOnly]&amp;mk=3840908:3840927|offset_10|444444,3840887:3840906|offset_31|444444,3840841:3840860|offset_77|00cc00,3840812:3840831|offset_106|444444&amp;v=3840707:3841031&amp;c=444444", "offset 77")</f>
        <v>offset 77</v>
      </c>
    </row>
    <row r="13592" customFormat="false" ht="12.8" hidden="false" customHeight="false" outlineLevel="0" collapsed="false">
      <c r="A13592" s="0" t="s">
        <v>12</v>
      </c>
      <c r="B13592" s="0" t="n">
        <v>3840811</v>
      </c>
      <c r="C13592" s="0" t="n">
        <v>3840831</v>
      </c>
      <c r="D13592" s="0" t="s">
        <v>45291</v>
      </c>
      <c r="E13592" s="0" t="s">
        <v>45292</v>
      </c>
      <c r="F13592" s="0" t="s">
        <v>90</v>
      </c>
      <c r="G13592" s="0" t="s">
        <v>32</v>
      </c>
      <c r="H13592" s="0" t="n">
        <v>106</v>
      </c>
      <c r="I13592" s="0" t="s">
        <v>45302</v>
      </c>
      <c r="J13592" s="0" t="s">
        <v>45303</v>
      </c>
      <c r="K13592" s="0" t="s">
        <v>45304</v>
      </c>
      <c r="L13592" s="0" t="str">
        <f aca="false">HYPERLINK("https://www.ncbi.nlm.nih.gov/nuccore/CP000304.1?report=graph&amp;tracks=[key:gene_model_track,Options:GeneOnly]&amp;mk=3840908:3840927|offset_10|444444,3840887:3840906|offset_31|444444,3840841:3840860|offset_77|444444,3840812:3840831|offset_106|00cc00&amp;v=3840707:3841031&amp;c=444444", "offset 106")</f>
        <v>offset 106</v>
      </c>
    </row>
    <row r="13593" customFormat="false" ht="12.8" hidden="false" customHeight="false" outlineLevel="0" collapsed="false">
      <c r="A13593" s="0" t="s">
        <v>12</v>
      </c>
      <c r="B13593" s="0" t="n">
        <v>3842427</v>
      </c>
      <c r="C13593" s="0" t="n">
        <v>3842447</v>
      </c>
      <c r="D13593" s="0" t="s">
        <v>45305</v>
      </c>
      <c r="E13593" s="0" t="s">
        <v>89</v>
      </c>
      <c r="F13593" s="0" t="s">
        <v>90</v>
      </c>
      <c r="G13593" s="0" t="s">
        <v>32</v>
      </c>
      <c r="H13593" s="0" t="n">
        <v>1</v>
      </c>
      <c r="I13593" s="0" t="s">
        <v>45306</v>
      </c>
      <c r="J13593" s="0" t="s">
        <v>45307</v>
      </c>
      <c r="K13593" s="0" t="s">
        <v>45308</v>
      </c>
      <c r="L13593" s="0" t="str">
        <f aca="false">HYPERLINK("https://www.ncbi.nlm.nih.gov/nuccore/CP000304.1?report=graph&amp;tracks=[key:gene_model_track,Options:GeneOnly]&amp;mk=3842428:3842447|offset_1|00cc00,3842408:3842427|offset_21|444444,3842374:3842393|offset_55|444444,3842351:3842370|offset_78|444444&amp;v=3842227:3842570&amp;c=444444", "offset 1")</f>
        <v>offset 1</v>
      </c>
    </row>
    <row r="13594" customFormat="false" ht="12.8" hidden="false" customHeight="false" outlineLevel="0" collapsed="false">
      <c r="A13594" s="0" t="s">
        <v>12</v>
      </c>
      <c r="B13594" s="0" t="n">
        <v>3842407</v>
      </c>
      <c r="C13594" s="0" t="n">
        <v>3842427</v>
      </c>
      <c r="D13594" s="0" t="s">
        <v>45305</v>
      </c>
      <c r="E13594" s="0" t="s">
        <v>89</v>
      </c>
      <c r="F13594" s="0" t="s">
        <v>90</v>
      </c>
      <c r="G13594" s="0" t="s">
        <v>16</v>
      </c>
      <c r="H13594" s="0" t="n">
        <v>21</v>
      </c>
      <c r="I13594" s="0" t="s">
        <v>45309</v>
      </c>
      <c r="J13594" s="0" t="s">
        <v>45310</v>
      </c>
      <c r="K13594" s="0" t="s">
        <v>45311</v>
      </c>
      <c r="L13594" s="0" t="str">
        <f aca="false">HYPERLINK("https://www.ncbi.nlm.nih.gov/nuccore/CP000304.1?report=graph&amp;tracks=[key:gene_model_track,Options:GeneOnly]&amp;mk=3842428:3842447|offset_1|444444,3842408:3842427|offset_21|00cc00,3842374:3842393|offset_55|444444,3842351:3842370|offset_78|444444&amp;v=3842227:3842570&amp;c=444444", "offset 21")</f>
        <v>offset 21</v>
      </c>
    </row>
    <row r="13595" customFormat="false" ht="12.8" hidden="false" customHeight="false" outlineLevel="0" collapsed="false">
      <c r="A13595" s="0" t="s">
        <v>12</v>
      </c>
      <c r="B13595" s="0" t="n">
        <v>3842373</v>
      </c>
      <c r="C13595" s="0" t="n">
        <v>3842393</v>
      </c>
      <c r="D13595" s="0" t="s">
        <v>45305</v>
      </c>
      <c r="E13595" s="0" t="s">
        <v>89</v>
      </c>
      <c r="F13595" s="0" t="s">
        <v>90</v>
      </c>
      <c r="G13595" s="0" t="s">
        <v>26</v>
      </c>
      <c r="H13595" s="0" t="n">
        <v>55</v>
      </c>
      <c r="I13595" s="0" t="s">
        <v>45312</v>
      </c>
      <c r="J13595" s="0" t="s">
        <v>45313</v>
      </c>
      <c r="K13595" s="0" t="s">
        <v>45314</v>
      </c>
      <c r="L13595" s="0" t="str">
        <f aca="false">HYPERLINK("https://www.ncbi.nlm.nih.gov/nuccore/CP000304.1?report=graph&amp;tracks=[key:gene_model_track,Options:GeneOnly]&amp;mk=3842428:3842447|offset_1|444444,3842408:3842427|offset_21|444444,3842374:3842393|offset_55|00cc00,3842351:3842370|offset_78|444444&amp;v=3842227:3842570&amp;c=444444", "offset 55")</f>
        <v>offset 55</v>
      </c>
    </row>
    <row r="13596" customFormat="false" ht="12.8" hidden="false" customHeight="false" outlineLevel="0" collapsed="false">
      <c r="A13596" s="0" t="s">
        <v>12</v>
      </c>
      <c r="B13596" s="0" t="n">
        <v>3842350</v>
      </c>
      <c r="C13596" s="0" t="n">
        <v>3842370</v>
      </c>
      <c r="D13596" s="0" t="s">
        <v>45305</v>
      </c>
      <c r="E13596" s="0" t="s">
        <v>89</v>
      </c>
      <c r="F13596" s="0" t="s">
        <v>90</v>
      </c>
      <c r="G13596" s="0" t="s">
        <v>16</v>
      </c>
      <c r="H13596" s="0" t="n">
        <v>78</v>
      </c>
      <c r="I13596" s="0" t="s">
        <v>45315</v>
      </c>
      <c r="J13596" s="0" t="s">
        <v>45316</v>
      </c>
      <c r="K13596" s="0" t="s">
        <v>45317</v>
      </c>
      <c r="L13596" s="0" t="str">
        <f aca="false">HYPERLINK("https://www.ncbi.nlm.nih.gov/nuccore/CP000304.1?report=graph&amp;tracks=[key:gene_model_track,Options:GeneOnly]&amp;mk=3842428:3842447|offset_1|444444,3842408:3842427|offset_21|444444,3842374:3842393|offset_55|444444,3842351:3842370|offset_78|00cc00&amp;v=3842227:3842570&amp;c=444444", "offset 78")</f>
        <v>offset 78</v>
      </c>
    </row>
    <row r="13597" customFormat="false" ht="12.8" hidden="false" customHeight="false" outlineLevel="0" collapsed="false">
      <c r="A13597" s="0" t="s">
        <v>12</v>
      </c>
      <c r="B13597" s="0" t="n">
        <v>3843039</v>
      </c>
      <c r="C13597" s="0" t="n">
        <v>3843059</v>
      </c>
      <c r="D13597" s="0" t="s">
        <v>45318</v>
      </c>
      <c r="E13597" s="0" t="s">
        <v>89</v>
      </c>
      <c r="F13597" s="0" t="s">
        <v>90</v>
      </c>
      <c r="G13597" s="0" t="s">
        <v>16</v>
      </c>
      <c r="H13597" s="0" t="n">
        <v>13</v>
      </c>
      <c r="I13597" s="0" t="s">
        <v>45319</v>
      </c>
      <c r="J13597" s="0" t="s">
        <v>45320</v>
      </c>
      <c r="K13597" s="0" t="s">
        <v>45321</v>
      </c>
      <c r="L13597" s="0" t="str">
        <f aca="false">HYPERLINK("https://www.ncbi.nlm.nih.gov/nuccore/CP000304.1?report=graph&amp;tracks=[key:gene_model_track,Options:GeneOnly]&amp;mk=3843040:3843059|offset_13|00cc00,3843013:3843032|offset_40|444444,3842970:3842989|offset_83|444444,3842930:3842949|offset_123|444444&amp;v=3842839:3843149&amp;c=444444", "offset 13")</f>
        <v>offset 13</v>
      </c>
    </row>
    <row r="13598" customFormat="false" ht="12.8" hidden="false" customHeight="false" outlineLevel="0" collapsed="false">
      <c r="A13598" s="0" t="s">
        <v>12</v>
      </c>
      <c r="B13598" s="0" t="n">
        <v>3843012</v>
      </c>
      <c r="C13598" s="0" t="n">
        <v>3843032</v>
      </c>
      <c r="D13598" s="0" t="s">
        <v>45318</v>
      </c>
      <c r="E13598" s="0" t="s">
        <v>89</v>
      </c>
      <c r="F13598" s="0" t="s">
        <v>90</v>
      </c>
      <c r="G13598" s="0" t="s">
        <v>16</v>
      </c>
      <c r="H13598" s="0" t="n">
        <v>40</v>
      </c>
      <c r="I13598" s="0" t="s">
        <v>45322</v>
      </c>
      <c r="J13598" s="0" t="s">
        <v>45323</v>
      </c>
      <c r="K13598" s="0" t="s">
        <v>45324</v>
      </c>
      <c r="L13598" s="0" t="str">
        <f aca="false">HYPERLINK("https://www.ncbi.nlm.nih.gov/nuccore/CP000304.1?report=graph&amp;tracks=[key:gene_model_track,Options:GeneOnly]&amp;mk=3843040:3843059|offset_13|444444,3843013:3843032|offset_40|00cc00,3842970:3842989|offset_83|444444,3842930:3842949|offset_123|444444&amp;v=3842839:3843149&amp;c=444444", "offset 40")</f>
        <v>offset 40</v>
      </c>
    </row>
    <row r="13599" customFormat="false" ht="12.8" hidden="false" customHeight="false" outlineLevel="0" collapsed="false">
      <c r="A13599" s="0" t="s">
        <v>12</v>
      </c>
      <c r="B13599" s="0" t="n">
        <v>3842969</v>
      </c>
      <c r="C13599" s="0" t="n">
        <v>3842989</v>
      </c>
      <c r="D13599" s="0" t="s">
        <v>45318</v>
      </c>
      <c r="E13599" s="0" t="s">
        <v>89</v>
      </c>
      <c r="F13599" s="0" t="s">
        <v>90</v>
      </c>
      <c r="G13599" s="0" t="s">
        <v>26</v>
      </c>
      <c r="H13599" s="0" t="n">
        <v>83</v>
      </c>
      <c r="I13599" s="0" t="s">
        <v>45325</v>
      </c>
      <c r="J13599" s="0" t="s">
        <v>45326</v>
      </c>
      <c r="K13599" s="0" t="s">
        <v>45327</v>
      </c>
      <c r="L13599" s="0" t="str">
        <f aca="false">HYPERLINK("https://www.ncbi.nlm.nih.gov/nuccore/CP000304.1?report=graph&amp;tracks=[key:gene_model_track,Options:GeneOnly]&amp;mk=3843040:3843059|offset_13|444444,3843013:3843032|offset_40|444444,3842970:3842989|offset_83|00cc00,3842930:3842949|offset_123|444444&amp;v=3842839:3843149&amp;c=444444", "offset 83")</f>
        <v>offset 83</v>
      </c>
    </row>
    <row r="13600" customFormat="false" ht="12.8" hidden="false" customHeight="false" outlineLevel="0" collapsed="false">
      <c r="A13600" s="0" t="s">
        <v>12</v>
      </c>
      <c r="B13600" s="0" t="n">
        <v>3842929</v>
      </c>
      <c r="C13600" s="0" t="n">
        <v>3842949</v>
      </c>
      <c r="D13600" s="0" t="s">
        <v>45318</v>
      </c>
      <c r="E13600" s="0" t="s">
        <v>89</v>
      </c>
      <c r="F13600" s="0" t="s">
        <v>90</v>
      </c>
      <c r="G13600" s="0" t="s">
        <v>16</v>
      </c>
      <c r="H13600" s="0" t="n">
        <v>123</v>
      </c>
      <c r="I13600" s="0" t="s">
        <v>45328</v>
      </c>
      <c r="J13600" s="0" t="s">
        <v>45329</v>
      </c>
      <c r="K13600" s="0" t="s">
        <v>45330</v>
      </c>
      <c r="L13600" s="0" t="str">
        <f aca="false">HYPERLINK("https://www.ncbi.nlm.nih.gov/nuccore/CP000304.1?report=graph&amp;tracks=[key:gene_model_track,Options:GeneOnly]&amp;mk=3843040:3843059|offset_13|444444,3843013:3843032|offset_40|444444,3842970:3842989|offset_83|444444,3842930:3842949|offset_123|00cc00&amp;v=3842839:3843149&amp;c=444444", "offset 123")</f>
        <v>offset 123</v>
      </c>
    </row>
    <row r="13601" customFormat="false" ht="12.8" hidden="false" customHeight="false" outlineLevel="0" collapsed="false">
      <c r="A13601" s="0" t="s">
        <v>12</v>
      </c>
      <c r="B13601" s="0" t="n">
        <v>3843435</v>
      </c>
      <c r="C13601" s="0" t="n">
        <v>3843455</v>
      </c>
      <c r="D13601" s="0" t="s">
        <v>45331</v>
      </c>
      <c r="E13601" s="0" t="s">
        <v>89</v>
      </c>
      <c r="F13601" s="0" t="s">
        <v>90</v>
      </c>
      <c r="G13601" s="0" t="s">
        <v>26</v>
      </c>
      <c r="H13601" s="0" t="n">
        <v>41</v>
      </c>
      <c r="I13601" s="0" t="s">
        <v>45332</v>
      </c>
      <c r="J13601" s="0" t="s">
        <v>45333</v>
      </c>
      <c r="K13601" s="0" t="s">
        <v>45334</v>
      </c>
      <c r="L13601" s="0" t="str">
        <f aca="false">HYPERLINK("https://www.ncbi.nlm.nih.gov/nuccore/CP000304.1?report=graph&amp;tracks=[key:gene_model_track,Options:GeneOnly]&amp;mk=3843436:3843455|offset_41|00cc00,3843385:3843404|offset_92|444444,3843335:3843354|offset_142|444444,3843257:3843276|offset_220|444444&amp;v=3843235:3843476&amp;c=444444", "offset 41")</f>
        <v>offset 41</v>
      </c>
    </row>
    <row r="13602" customFormat="false" ht="12.8" hidden="false" customHeight="false" outlineLevel="0" collapsed="false">
      <c r="A13602" s="0" t="s">
        <v>12</v>
      </c>
      <c r="B13602" s="0" t="n">
        <v>3843384</v>
      </c>
      <c r="C13602" s="0" t="n">
        <v>3843404</v>
      </c>
      <c r="D13602" s="0" t="s">
        <v>45331</v>
      </c>
      <c r="E13602" s="0" t="s">
        <v>89</v>
      </c>
      <c r="F13602" s="0" t="s">
        <v>90</v>
      </c>
      <c r="G13602" s="0" t="s">
        <v>16</v>
      </c>
      <c r="H13602" s="0" t="n">
        <v>92</v>
      </c>
      <c r="I13602" s="0" t="s">
        <v>45335</v>
      </c>
      <c r="J13602" s="0" t="s">
        <v>45336</v>
      </c>
      <c r="K13602" s="0" t="s">
        <v>45337</v>
      </c>
      <c r="L13602" s="0" t="str">
        <f aca="false">HYPERLINK("https://www.ncbi.nlm.nih.gov/nuccore/CP000304.1?report=graph&amp;tracks=[key:gene_model_track,Options:GeneOnly]&amp;mk=3843436:3843455|offset_41|444444,3843385:3843404|offset_92|00cc00,3843335:3843354|offset_142|444444,3843257:3843276|offset_220|444444&amp;v=3843235:3843476&amp;c=444444", "offset 92")</f>
        <v>offset 92</v>
      </c>
    </row>
    <row r="13603" customFormat="false" ht="12.8" hidden="false" customHeight="false" outlineLevel="0" collapsed="false">
      <c r="A13603" s="0" t="s">
        <v>12</v>
      </c>
      <c r="B13603" s="0" t="n">
        <v>3843334</v>
      </c>
      <c r="C13603" s="0" t="n">
        <v>3843354</v>
      </c>
      <c r="D13603" s="0" t="s">
        <v>45331</v>
      </c>
      <c r="E13603" s="0" t="s">
        <v>89</v>
      </c>
      <c r="F13603" s="0" t="s">
        <v>90</v>
      </c>
      <c r="G13603" s="0" t="s">
        <v>16</v>
      </c>
      <c r="H13603" s="0" t="n">
        <v>142</v>
      </c>
      <c r="I13603" s="0" t="s">
        <v>45338</v>
      </c>
      <c r="J13603" s="0" t="s">
        <v>45339</v>
      </c>
      <c r="K13603" s="0" t="s">
        <v>45340</v>
      </c>
      <c r="L13603" s="0" t="str">
        <f aca="false">HYPERLINK("https://www.ncbi.nlm.nih.gov/nuccore/CP000304.1?report=graph&amp;tracks=[key:gene_model_track,Options:GeneOnly]&amp;mk=3843436:3843455|offset_41|444444,3843385:3843404|offset_92|444444,3843335:3843354|offset_142|00cc00,3843257:3843276|offset_220|444444&amp;v=3843235:3843476&amp;c=444444", "offset 142")</f>
        <v>offset 142</v>
      </c>
    </row>
    <row r="13604" customFormat="false" ht="12.8" hidden="false" customHeight="false" outlineLevel="0" collapsed="false">
      <c r="A13604" s="0" t="s">
        <v>12</v>
      </c>
      <c r="B13604" s="0" t="n">
        <v>3843256</v>
      </c>
      <c r="C13604" s="0" t="n">
        <v>3843276</v>
      </c>
      <c r="D13604" s="0" t="s">
        <v>45331</v>
      </c>
      <c r="E13604" s="0" t="s">
        <v>89</v>
      </c>
      <c r="F13604" s="0" t="s">
        <v>90</v>
      </c>
      <c r="G13604" s="0" t="s">
        <v>16</v>
      </c>
      <c r="H13604" s="0" t="n">
        <v>220</v>
      </c>
      <c r="I13604" s="0" t="s">
        <v>45341</v>
      </c>
      <c r="J13604" s="0" t="s">
        <v>45342</v>
      </c>
      <c r="K13604" s="0" t="s">
        <v>45343</v>
      </c>
      <c r="L13604" s="0" t="str">
        <f aca="false">HYPERLINK("https://www.ncbi.nlm.nih.gov/nuccore/CP000304.1?report=graph&amp;tracks=[key:gene_model_track,Options:GeneOnly]&amp;mk=3843436:3843455|offset_41|444444,3843385:3843404|offset_92|444444,3843335:3843354|offset_142|444444,3843257:3843276|offset_220|00cc00&amp;v=3843235:3843476&amp;c=444444", "offset 220")</f>
        <v>offset 220</v>
      </c>
    </row>
    <row r="13605" customFormat="false" ht="12.8" hidden="false" customHeight="false" outlineLevel="0" collapsed="false">
      <c r="A13605" s="0" t="s">
        <v>12</v>
      </c>
      <c r="B13605" s="0" t="n">
        <v>3843728</v>
      </c>
      <c r="C13605" s="0" t="n">
        <v>3843748</v>
      </c>
      <c r="D13605" s="0" t="s">
        <v>45344</v>
      </c>
      <c r="E13605" s="0" t="s">
        <v>89</v>
      </c>
      <c r="F13605" s="0" t="s">
        <v>15</v>
      </c>
      <c r="G13605" s="0" t="s">
        <v>26</v>
      </c>
      <c r="H13605" s="0" t="n">
        <v>22</v>
      </c>
      <c r="I13605" s="0" t="s">
        <v>45345</v>
      </c>
      <c r="J13605" s="0" t="s">
        <v>45346</v>
      </c>
      <c r="K13605" s="0" t="s">
        <v>45347</v>
      </c>
      <c r="L13605" s="0" t="str">
        <f aca="false">HYPERLINK("https://www.ncbi.nlm.nih.gov/nuccore/CP000304.1?report=graph&amp;tracks=[key:gene_model_track,Options:GeneOnly]&amp;mk=3843729:3843748|offset_22|00cc00,3843757:3843776|offset_50|444444,3843785:3843804|offset_78|444444,3843822:3843841|offset_115|444444&amp;v=3843528:3844041&amp;c=444444", "offset 22")</f>
        <v>offset 22</v>
      </c>
    </row>
    <row r="13606" customFormat="false" ht="12.8" hidden="false" customHeight="false" outlineLevel="0" collapsed="false">
      <c r="A13606" s="0" t="s">
        <v>12</v>
      </c>
      <c r="B13606" s="0" t="n">
        <v>3843756</v>
      </c>
      <c r="C13606" s="0" t="n">
        <v>3843776</v>
      </c>
      <c r="D13606" s="0" t="s">
        <v>45344</v>
      </c>
      <c r="E13606" s="0" t="s">
        <v>89</v>
      </c>
      <c r="F13606" s="0" t="s">
        <v>15</v>
      </c>
      <c r="G13606" s="0" t="s">
        <v>16</v>
      </c>
      <c r="H13606" s="0" t="n">
        <v>50</v>
      </c>
      <c r="I13606" s="0" t="s">
        <v>45348</v>
      </c>
      <c r="J13606" s="0" t="s">
        <v>45349</v>
      </c>
      <c r="K13606" s="0" t="s">
        <v>45350</v>
      </c>
      <c r="L13606" s="0" t="str">
        <f aca="false">HYPERLINK("https://www.ncbi.nlm.nih.gov/nuccore/CP000304.1?report=graph&amp;tracks=[key:gene_model_track,Options:GeneOnly]&amp;mk=3843729:3843748|offset_22|444444,3843757:3843776|offset_50|00cc00,3843785:3843804|offset_78|444444,3843822:3843841|offset_115|444444&amp;v=3843528:3844041&amp;c=444444", "offset 50")</f>
        <v>offset 50</v>
      </c>
    </row>
    <row r="13607" customFormat="false" ht="12.8" hidden="false" customHeight="false" outlineLevel="0" collapsed="false">
      <c r="A13607" s="0" t="s">
        <v>12</v>
      </c>
      <c r="B13607" s="0" t="n">
        <v>3843784</v>
      </c>
      <c r="C13607" s="0" t="n">
        <v>3843804</v>
      </c>
      <c r="D13607" s="0" t="s">
        <v>45344</v>
      </c>
      <c r="E13607" s="0" t="s">
        <v>89</v>
      </c>
      <c r="F13607" s="0" t="s">
        <v>15</v>
      </c>
      <c r="G13607" s="0" t="s">
        <v>16</v>
      </c>
      <c r="H13607" s="0" t="n">
        <v>78</v>
      </c>
      <c r="I13607" s="0" t="s">
        <v>45351</v>
      </c>
      <c r="J13607" s="0" t="s">
        <v>45352</v>
      </c>
      <c r="K13607" s="0" t="s">
        <v>45353</v>
      </c>
      <c r="L13607" s="0" t="str">
        <f aca="false">HYPERLINK("https://www.ncbi.nlm.nih.gov/nuccore/CP000304.1?report=graph&amp;tracks=[key:gene_model_track,Options:GeneOnly]&amp;mk=3843729:3843748|offset_22|444444,3843757:3843776|offset_50|444444,3843785:3843804|offset_78|00cc00,3843822:3843841|offset_115|444444&amp;v=3843528:3844041&amp;c=444444", "offset 78")</f>
        <v>offset 78</v>
      </c>
    </row>
    <row r="13608" customFormat="false" ht="12.8" hidden="false" customHeight="false" outlineLevel="0" collapsed="false">
      <c r="A13608" s="0" t="s">
        <v>12</v>
      </c>
      <c r="B13608" s="0" t="n">
        <v>3843821</v>
      </c>
      <c r="C13608" s="0" t="n">
        <v>3843841</v>
      </c>
      <c r="D13608" s="0" t="s">
        <v>45344</v>
      </c>
      <c r="E13608" s="0" t="s">
        <v>89</v>
      </c>
      <c r="F13608" s="0" t="s">
        <v>15</v>
      </c>
      <c r="G13608" s="0" t="s">
        <v>26</v>
      </c>
      <c r="H13608" s="0" t="n">
        <v>115</v>
      </c>
      <c r="I13608" s="0" t="s">
        <v>45354</v>
      </c>
      <c r="J13608" s="0" t="s">
        <v>45355</v>
      </c>
      <c r="K13608" s="0" t="s">
        <v>45356</v>
      </c>
      <c r="L13608" s="0" t="str">
        <f aca="false">HYPERLINK("https://www.ncbi.nlm.nih.gov/nuccore/CP000304.1?report=graph&amp;tracks=[key:gene_model_track,Options:GeneOnly]&amp;mk=3843729:3843748|offset_22|444444,3843757:3843776|offset_50|444444,3843785:3843804|offset_78|444444,3843822:3843841|offset_115|00cc00&amp;v=3843528:3844041&amp;c=444444", "offset 115")</f>
        <v>offset 115</v>
      </c>
    </row>
    <row r="13609" customFormat="false" ht="12.8" hidden="false" customHeight="false" outlineLevel="0" collapsed="false">
      <c r="A13609" s="0" t="s">
        <v>12</v>
      </c>
      <c r="B13609" s="0" t="n">
        <v>3845051</v>
      </c>
      <c r="C13609" s="0" t="n">
        <v>3845071</v>
      </c>
      <c r="D13609" s="0" t="s">
        <v>45357</v>
      </c>
      <c r="E13609" s="0" t="s">
        <v>89</v>
      </c>
      <c r="F13609" s="0" t="s">
        <v>90</v>
      </c>
      <c r="G13609" s="0" t="s">
        <v>36</v>
      </c>
      <c r="H13609" s="0" t="n">
        <v>37</v>
      </c>
      <c r="I13609" s="0" t="s">
        <v>45358</v>
      </c>
      <c r="J13609" s="0" t="s">
        <v>45359</v>
      </c>
      <c r="K13609" s="0" t="s">
        <v>45360</v>
      </c>
      <c r="L13609" s="0" t="str">
        <f aca="false">HYPERLINK("https://www.ncbi.nlm.nih.gov/nuccore/CP000304.1?report=graph&amp;tracks=[key:gene_model_track,Options:GeneOnly]&amp;mk=3845052:3845071|offset_37|00cc00,3845032:3845051|offset_57|444444,3844989:3845008|offset_100|444444,3844816:3844835|offset_273|444444&amp;v=3844851:3845035&amp;c=444444", "offset 37")</f>
        <v>offset 37</v>
      </c>
    </row>
    <row r="13610" customFormat="false" ht="12.8" hidden="false" customHeight="false" outlineLevel="0" collapsed="false">
      <c r="A13610" s="0" t="s">
        <v>12</v>
      </c>
      <c r="B13610" s="0" t="n">
        <v>3845031</v>
      </c>
      <c r="C13610" s="0" t="n">
        <v>3845051</v>
      </c>
      <c r="D13610" s="0" t="s">
        <v>45357</v>
      </c>
      <c r="E13610" s="0" t="s">
        <v>89</v>
      </c>
      <c r="F13610" s="0" t="s">
        <v>90</v>
      </c>
      <c r="G13610" s="0" t="s">
        <v>36</v>
      </c>
      <c r="H13610" s="0" t="n">
        <v>57</v>
      </c>
      <c r="I13610" s="0" t="s">
        <v>45361</v>
      </c>
      <c r="J13610" s="0" t="s">
        <v>45362</v>
      </c>
      <c r="K13610" s="0" t="s">
        <v>45363</v>
      </c>
      <c r="L13610" s="0" t="str">
        <f aca="false">HYPERLINK("https://www.ncbi.nlm.nih.gov/nuccore/CP000304.1?report=graph&amp;tracks=[key:gene_model_track,Options:GeneOnly]&amp;mk=3845052:3845071|offset_37|444444,3845032:3845051|offset_57|00cc00,3844989:3845008|offset_100|444444,3844816:3844835|offset_273|444444&amp;v=3844851:3845035&amp;c=444444", "offset 57")</f>
        <v>offset 57</v>
      </c>
    </row>
    <row r="13611" customFormat="false" ht="12.8" hidden="false" customHeight="false" outlineLevel="0" collapsed="false">
      <c r="A13611" s="0" t="s">
        <v>12</v>
      </c>
      <c r="B13611" s="0" t="n">
        <v>3844988</v>
      </c>
      <c r="C13611" s="0" t="n">
        <v>3845008</v>
      </c>
      <c r="D13611" s="0" t="s">
        <v>45357</v>
      </c>
      <c r="E13611" s="0" t="s">
        <v>89</v>
      </c>
      <c r="F13611" s="0" t="s">
        <v>90</v>
      </c>
      <c r="G13611" s="0" t="s">
        <v>36</v>
      </c>
      <c r="H13611" s="0" t="n">
        <v>100</v>
      </c>
      <c r="I13611" s="0" t="s">
        <v>45364</v>
      </c>
      <c r="J13611" s="0" t="s">
        <v>45365</v>
      </c>
      <c r="K13611" s="0" t="s">
        <v>45366</v>
      </c>
      <c r="L13611" s="0" t="str">
        <f aca="false">HYPERLINK("https://www.ncbi.nlm.nih.gov/nuccore/CP000304.1?report=graph&amp;tracks=[key:gene_model_track,Options:GeneOnly]&amp;mk=3845052:3845071|offset_37|444444,3845032:3845051|offset_57|444444,3844989:3845008|offset_100|00cc00,3844816:3844835|offset_273|444444&amp;v=3844851:3845035&amp;c=444444", "offset 100")</f>
        <v>offset 100</v>
      </c>
    </row>
    <row r="13612" customFormat="false" ht="12.8" hidden="false" customHeight="false" outlineLevel="0" collapsed="false">
      <c r="A13612" s="0" t="s">
        <v>12</v>
      </c>
      <c r="B13612" s="0" t="n">
        <v>3844815</v>
      </c>
      <c r="C13612" s="0" t="n">
        <v>3844835</v>
      </c>
      <c r="D13612" s="0" t="s">
        <v>45357</v>
      </c>
      <c r="E13612" s="0" t="s">
        <v>89</v>
      </c>
      <c r="F13612" s="0" t="s">
        <v>90</v>
      </c>
      <c r="G13612" s="0" t="s">
        <v>16</v>
      </c>
      <c r="H13612" s="0" t="n">
        <v>273</v>
      </c>
      <c r="I13612" s="0" t="s">
        <v>45367</v>
      </c>
      <c r="J13612" s="0" t="s">
        <v>45368</v>
      </c>
      <c r="K13612" s="0" t="s">
        <v>45369</v>
      </c>
      <c r="L13612" s="0" t="str">
        <f aca="false">HYPERLINK("https://www.ncbi.nlm.nih.gov/nuccore/CP000304.1?report=graph&amp;tracks=[key:gene_model_track,Options:GeneOnly]&amp;mk=3845052:3845071|offset_37|444444,3845032:3845051|offset_57|444444,3844989:3845008|offset_100|444444,3844816:3844835|offset_273|00cc00&amp;v=3844851:3845035&amp;c=444444", "offset 273")</f>
        <v>offset 273</v>
      </c>
    </row>
    <row r="13613" customFormat="false" ht="12.8" hidden="false" customHeight="false" outlineLevel="0" collapsed="false">
      <c r="A13613" s="0" t="s">
        <v>12</v>
      </c>
      <c r="B13613" s="0" t="n">
        <v>3846480</v>
      </c>
      <c r="C13613" s="0" t="n">
        <v>3846500</v>
      </c>
      <c r="D13613" s="0" t="s">
        <v>45370</v>
      </c>
      <c r="E13613" s="0" t="s">
        <v>89</v>
      </c>
      <c r="F13613" s="0" t="s">
        <v>90</v>
      </c>
      <c r="G13613" s="0" t="s">
        <v>16</v>
      </c>
      <c r="H13613" s="0" t="n">
        <v>197</v>
      </c>
      <c r="I13613" s="0" t="s">
        <v>45371</v>
      </c>
      <c r="J13613" s="0" t="s">
        <v>45372</v>
      </c>
      <c r="K13613" s="0" t="s">
        <v>45373</v>
      </c>
      <c r="L13613" s="0" t="str">
        <f aca="false">HYPERLINK("https://www.ncbi.nlm.nih.gov/nuccore/CP000304.1?report=graph&amp;tracks=[key:gene_model_track,Options:GeneOnly]&amp;mk=3846481:3846500|offset_197|00cc00,3846424:3846443|offset_254|444444,3846404:3846423|offset_274|444444,3846378:3846397|offset_300|444444&amp;v=3846280:3846597&amp;c=444444", "offset 197")</f>
        <v>offset 197</v>
      </c>
    </row>
    <row r="13614" customFormat="false" ht="12.8" hidden="false" customHeight="false" outlineLevel="0" collapsed="false">
      <c r="A13614" s="0" t="s">
        <v>12</v>
      </c>
      <c r="B13614" s="0" t="n">
        <v>3846423</v>
      </c>
      <c r="C13614" s="0" t="n">
        <v>3846443</v>
      </c>
      <c r="D13614" s="0" t="s">
        <v>45370</v>
      </c>
      <c r="E13614" s="0" t="s">
        <v>89</v>
      </c>
      <c r="F13614" s="0" t="s">
        <v>90</v>
      </c>
      <c r="G13614" s="0" t="s">
        <v>36</v>
      </c>
      <c r="H13614" s="0" t="n">
        <v>254</v>
      </c>
      <c r="I13614" s="0" t="s">
        <v>45374</v>
      </c>
      <c r="J13614" s="0" t="s">
        <v>45375</v>
      </c>
      <c r="K13614" s="0" t="s">
        <v>45376</v>
      </c>
      <c r="L13614" s="0" t="str">
        <f aca="false">HYPERLINK("https://www.ncbi.nlm.nih.gov/nuccore/CP000304.1?report=graph&amp;tracks=[key:gene_model_track,Options:GeneOnly]&amp;mk=3846481:3846500|offset_197|444444,3846424:3846443|offset_254|00cc00,3846404:3846423|offset_274|444444,3846378:3846397|offset_300|444444&amp;v=3846280:3846597&amp;c=444444", "offset 254")</f>
        <v>offset 254</v>
      </c>
    </row>
    <row r="13615" customFormat="false" ht="12.8" hidden="false" customHeight="false" outlineLevel="0" collapsed="false">
      <c r="A13615" s="0" t="s">
        <v>12</v>
      </c>
      <c r="B13615" s="0" t="n">
        <v>3846403</v>
      </c>
      <c r="C13615" s="0" t="n">
        <v>3846423</v>
      </c>
      <c r="D13615" s="0" t="s">
        <v>45370</v>
      </c>
      <c r="E13615" s="0" t="s">
        <v>89</v>
      </c>
      <c r="F13615" s="0" t="s">
        <v>90</v>
      </c>
      <c r="G13615" s="0" t="s">
        <v>26</v>
      </c>
      <c r="H13615" s="0" t="n">
        <v>274</v>
      </c>
      <c r="I13615" s="0" t="s">
        <v>45377</v>
      </c>
      <c r="J13615" s="0" t="s">
        <v>45378</v>
      </c>
      <c r="K13615" s="0" t="s">
        <v>45379</v>
      </c>
      <c r="L13615" s="0" t="str">
        <f aca="false">HYPERLINK("https://www.ncbi.nlm.nih.gov/nuccore/CP000304.1?report=graph&amp;tracks=[key:gene_model_track,Options:GeneOnly]&amp;mk=3846481:3846500|offset_197|444444,3846424:3846443|offset_254|444444,3846404:3846423|offset_274|00cc00,3846378:3846397|offset_300|444444&amp;v=3846280:3846597&amp;c=444444", "offset 274")</f>
        <v>offset 274</v>
      </c>
    </row>
    <row r="13616" customFormat="false" ht="12.8" hidden="false" customHeight="false" outlineLevel="0" collapsed="false">
      <c r="A13616" s="0" t="s">
        <v>12</v>
      </c>
      <c r="B13616" s="0" t="n">
        <v>3846377</v>
      </c>
      <c r="C13616" s="0" t="n">
        <v>3846397</v>
      </c>
      <c r="D13616" s="0" t="s">
        <v>45370</v>
      </c>
      <c r="E13616" s="0" t="s">
        <v>89</v>
      </c>
      <c r="F13616" s="0" t="s">
        <v>90</v>
      </c>
      <c r="G13616" s="0" t="s">
        <v>16</v>
      </c>
      <c r="H13616" s="0" t="n">
        <v>300</v>
      </c>
      <c r="I13616" s="0" t="s">
        <v>45380</v>
      </c>
      <c r="J13616" s="0" t="s">
        <v>45381</v>
      </c>
      <c r="K13616" s="0" t="s">
        <v>45382</v>
      </c>
      <c r="L13616" s="0" t="str">
        <f aca="false">HYPERLINK("https://www.ncbi.nlm.nih.gov/nuccore/CP000304.1?report=graph&amp;tracks=[key:gene_model_track,Options:GeneOnly]&amp;mk=3846481:3846500|offset_197|444444,3846424:3846443|offset_254|444444,3846404:3846423|offset_274|444444,3846378:3846397|offset_300|00cc00&amp;v=3846280:3846597&amp;c=444444", "offset 300")</f>
        <v>offset 300</v>
      </c>
    </row>
    <row r="13617" customFormat="false" ht="12.8" hidden="false" customHeight="false" outlineLevel="0" collapsed="false">
      <c r="A13617" s="0" t="s">
        <v>12</v>
      </c>
      <c r="B13617" s="0" t="n">
        <v>3846728</v>
      </c>
      <c r="C13617" s="0" t="n">
        <v>3846748</v>
      </c>
      <c r="D13617" s="0" t="s">
        <v>45383</v>
      </c>
      <c r="E13617" s="0" t="s">
        <v>89</v>
      </c>
      <c r="F13617" s="0" t="s">
        <v>15</v>
      </c>
      <c r="G13617" s="0" t="s">
        <v>32</v>
      </c>
      <c r="H13617" s="0" t="n">
        <v>185</v>
      </c>
      <c r="I13617" s="0" t="s">
        <v>45384</v>
      </c>
      <c r="J13617" s="0" t="s">
        <v>45385</v>
      </c>
      <c r="K13617" s="0" t="s">
        <v>45386</v>
      </c>
      <c r="L13617" s="0" t="str">
        <f aca="false">HYPERLINK("https://www.ncbi.nlm.nih.gov/nuccore/CP000304.1?report=graph&amp;tracks=[key:gene_model_track,Options:GeneOnly]&amp;mk=3846729:3846748|offset_185|00cc00,3846759:3846778|offset_215|444444,3846789:3846808|offset_245|444444,3846810:3846829|offset_266|444444&amp;v=3846528:3847029&amp;c=444444", "offset 185")</f>
        <v>offset 185</v>
      </c>
    </row>
    <row r="13618" customFormat="false" ht="12.8" hidden="false" customHeight="false" outlineLevel="0" collapsed="false">
      <c r="A13618" s="0" t="s">
        <v>12</v>
      </c>
      <c r="B13618" s="0" t="n">
        <v>3846758</v>
      </c>
      <c r="C13618" s="0" t="n">
        <v>3846778</v>
      </c>
      <c r="D13618" s="0" t="s">
        <v>45383</v>
      </c>
      <c r="E13618" s="0" t="s">
        <v>89</v>
      </c>
      <c r="F13618" s="0" t="s">
        <v>15</v>
      </c>
      <c r="G13618" s="0" t="s">
        <v>32</v>
      </c>
      <c r="H13618" s="0" t="n">
        <v>215</v>
      </c>
      <c r="I13618" s="0" t="s">
        <v>45387</v>
      </c>
      <c r="J13618" s="0" t="s">
        <v>45388</v>
      </c>
      <c r="K13618" s="0" t="s">
        <v>45389</v>
      </c>
      <c r="L13618" s="0" t="str">
        <f aca="false">HYPERLINK("https://www.ncbi.nlm.nih.gov/nuccore/CP000304.1?report=graph&amp;tracks=[key:gene_model_track,Options:GeneOnly]&amp;mk=3846729:3846748|offset_185|444444,3846759:3846778|offset_215|00cc00,3846789:3846808|offset_245|444444,3846810:3846829|offset_266|444444&amp;v=3846528:3847029&amp;c=444444", "offset 215")</f>
        <v>offset 215</v>
      </c>
    </row>
    <row r="13619" customFormat="false" ht="12.8" hidden="false" customHeight="false" outlineLevel="0" collapsed="false">
      <c r="A13619" s="0" t="s">
        <v>12</v>
      </c>
      <c r="B13619" s="0" t="n">
        <v>3846788</v>
      </c>
      <c r="C13619" s="0" t="n">
        <v>3846808</v>
      </c>
      <c r="D13619" s="0" t="s">
        <v>45383</v>
      </c>
      <c r="E13619" s="0" t="s">
        <v>89</v>
      </c>
      <c r="F13619" s="0" t="s">
        <v>15</v>
      </c>
      <c r="G13619" s="0" t="s">
        <v>36</v>
      </c>
      <c r="H13619" s="0" t="n">
        <v>245</v>
      </c>
      <c r="I13619" s="0" t="s">
        <v>45390</v>
      </c>
      <c r="J13619" s="0" t="s">
        <v>45391</v>
      </c>
      <c r="K13619" s="0" t="s">
        <v>45392</v>
      </c>
      <c r="L13619" s="0" t="str">
        <f aca="false">HYPERLINK("https://www.ncbi.nlm.nih.gov/nuccore/CP000304.1?report=graph&amp;tracks=[key:gene_model_track,Options:GeneOnly]&amp;mk=3846729:3846748|offset_185|444444,3846759:3846778|offset_215|444444,3846789:3846808|offset_245|00cc00,3846810:3846829|offset_266|444444&amp;v=3846528:3847029&amp;c=444444", "offset 245")</f>
        <v>offset 245</v>
      </c>
    </row>
    <row r="13620" customFormat="false" ht="12.8" hidden="false" customHeight="false" outlineLevel="0" collapsed="false">
      <c r="A13620" s="0" t="s">
        <v>12</v>
      </c>
      <c r="B13620" s="0" t="n">
        <v>3846809</v>
      </c>
      <c r="C13620" s="0" t="n">
        <v>3846829</v>
      </c>
      <c r="D13620" s="0" t="s">
        <v>45383</v>
      </c>
      <c r="E13620" s="0" t="s">
        <v>89</v>
      </c>
      <c r="F13620" s="0" t="s">
        <v>15</v>
      </c>
      <c r="G13620" s="0" t="s">
        <v>36</v>
      </c>
      <c r="H13620" s="0" t="n">
        <v>266</v>
      </c>
      <c r="I13620" s="0" t="s">
        <v>45393</v>
      </c>
      <c r="J13620" s="0" t="s">
        <v>45394</v>
      </c>
      <c r="K13620" s="0" t="s">
        <v>45395</v>
      </c>
      <c r="L13620" s="0" t="str">
        <f aca="false">HYPERLINK("https://www.ncbi.nlm.nih.gov/nuccore/CP000304.1?report=graph&amp;tracks=[key:gene_model_track,Options:GeneOnly]&amp;mk=3846729:3846748|offset_185|444444,3846759:3846778|offset_215|444444,3846789:3846808|offset_245|444444,3846810:3846829|offset_266|00cc00&amp;v=3846528:3847029&amp;c=444444", "offset 266")</f>
        <v>offset 266</v>
      </c>
    </row>
    <row r="13621" customFormat="false" ht="12.8" hidden="false" customHeight="false" outlineLevel="0" collapsed="false">
      <c r="A13621" s="0" t="s">
        <v>12</v>
      </c>
      <c r="B13621" s="0" t="n">
        <v>3847876</v>
      </c>
      <c r="C13621" s="0" t="n">
        <v>3847896</v>
      </c>
      <c r="D13621" s="0" t="s">
        <v>45396</v>
      </c>
      <c r="E13621" s="0" t="s">
        <v>45397</v>
      </c>
      <c r="F13621" s="0" t="s">
        <v>15</v>
      </c>
      <c r="G13621" s="0" t="s">
        <v>32</v>
      </c>
      <c r="H13621" s="0" t="n">
        <v>0</v>
      </c>
      <c r="I13621" s="0" t="s">
        <v>45398</v>
      </c>
      <c r="J13621" s="0" t="s">
        <v>45399</v>
      </c>
      <c r="K13621" s="0" t="s">
        <v>45400</v>
      </c>
      <c r="L13621" s="0" t="str">
        <f aca="false">HYPERLINK("https://www.ncbi.nlm.nih.gov/nuccore/CP000304.1?report=graph&amp;tracks=[key:gene_model_track,Options:GeneOnly]&amp;mk=3847877:3847896|offset_0|00cc00,3847900:3847919|offset_23|444444,3847921:3847940|offset_44|444444,3847956:3847975|offset_79|444444&amp;v=3847676:3848175&amp;c=444444", "offset 0")</f>
        <v>offset 0</v>
      </c>
    </row>
    <row r="13622" customFormat="false" ht="12.8" hidden="false" customHeight="false" outlineLevel="0" collapsed="false">
      <c r="A13622" s="0" t="s">
        <v>12</v>
      </c>
      <c r="B13622" s="0" t="n">
        <v>3847899</v>
      </c>
      <c r="C13622" s="0" t="n">
        <v>3847919</v>
      </c>
      <c r="D13622" s="0" t="s">
        <v>45396</v>
      </c>
      <c r="E13622" s="0" t="s">
        <v>45397</v>
      </c>
      <c r="F13622" s="0" t="s">
        <v>15</v>
      </c>
      <c r="G13622" s="0" t="s">
        <v>26</v>
      </c>
      <c r="H13622" s="0" t="n">
        <v>23</v>
      </c>
      <c r="I13622" s="0" t="s">
        <v>45401</v>
      </c>
      <c r="J13622" s="0" t="s">
        <v>45402</v>
      </c>
      <c r="K13622" s="0" t="s">
        <v>45403</v>
      </c>
      <c r="L13622" s="0" t="str">
        <f aca="false">HYPERLINK("https://www.ncbi.nlm.nih.gov/nuccore/CP000304.1?report=graph&amp;tracks=[key:gene_model_track,Options:GeneOnly]&amp;mk=3847877:3847896|offset_0|444444,3847900:3847919|offset_23|00cc00,3847921:3847940|offset_44|444444,3847956:3847975|offset_79|444444&amp;v=3847676:3848175&amp;c=444444", "offset 23")</f>
        <v>offset 23</v>
      </c>
    </row>
    <row r="13623" customFormat="false" ht="12.8" hidden="false" customHeight="false" outlineLevel="0" collapsed="false">
      <c r="A13623" s="0" t="s">
        <v>12</v>
      </c>
      <c r="B13623" s="0" t="n">
        <v>3847920</v>
      </c>
      <c r="C13623" s="0" t="n">
        <v>3847940</v>
      </c>
      <c r="D13623" s="0" t="s">
        <v>45396</v>
      </c>
      <c r="E13623" s="0" t="s">
        <v>45397</v>
      </c>
      <c r="F13623" s="0" t="s">
        <v>15</v>
      </c>
      <c r="G13623" s="0" t="s">
        <v>36</v>
      </c>
      <c r="H13623" s="0" t="n">
        <v>44</v>
      </c>
      <c r="I13623" s="0" t="s">
        <v>45404</v>
      </c>
      <c r="J13623" s="0" t="s">
        <v>45405</v>
      </c>
      <c r="K13623" s="0" t="s">
        <v>45406</v>
      </c>
      <c r="L13623" s="0" t="str">
        <f aca="false">HYPERLINK("https://www.ncbi.nlm.nih.gov/nuccore/CP000304.1?report=graph&amp;tracks=[key:gene_model_track,Options:GeneOnly]&amp;mk=3847877:3847896|offset_0|444444,3847900:3847919|offset_23|444444,3847921:3847940|offset_44|00cc00,3847956:3847975|offset_79|444444&amp;v=3847676:3848175&amp;c=444444", "offset 44")</f>
        <v>offset 44</v>
      </c>
    </row>
    <row r="13624" customFormat="false" ht="12.8" hidden="false" customHeight="false" outlineLevel="0" collapsed="false">
      <c r="A13624" s="0" t="s">
        <v>12</v>
      </c>
      <c r="B13624" s="0" t="n">
        <v>3847955</v>
      </c>
      <c r="C13624" s="0" t="n">
        <v>3847975</v>
      </c>
      <c r="D13624" s="0" t="s">
        <v>45396</v>
      </c>
      <c r="E13624" s="0" t="s">
        <v>45397</v>
      </c>
      <c r="F13624" s="0" t="s">
        <v>15</v>
      </c>
      <c r="G13624" s="0" t="s">
        <v>16</v>
      </c>
      <c r="H13624" s="0" t="n">
        <v>79</v>
      </c>
      <c r="I13624" s="0" t="s">
        <v>45407</v>
      </c>
      <c r="J13624" s="0" t="s">
        <v>45408</v>
      </c>
      <c r="K13624" s="0" t="s">
        <v>45409</v>
      </c>
      <c r="L13624" s="0" t="str">
        <f aca="false">HYPERLINK("https://www.ncbi.nlm.nih.gov/nuccore/CP000304.1?report=graph&amp;tracks=[key:gene_model_track,Options:GeneOnly]&amp;mk=3847877:3847896|offset_0|444444,3847900:3847919|offset_23|444444,3847921:3847940|offset_44|444444,3847956:3847975|offset_79|00cc00&amp;v=3847676:3848175&amp;c=444444", "offset 79")</f>
        <v>offset 79</v>
      </c>
    </row>
    <row r="13625" customFormat="false" ht="12.8" hidden="false" customHeight="false" outlineLevel="0" collapsed="false">
      <c r="A13625" s="0" t="s">
        <v>12</v>
      </c>
      <c r="B13625" s="0" t="n">
        <v>3849308</v>
      </c>
      <c r="C13625" s="0" t="n">
        <v>3849328</v>
      </c>
      <c r="D13625" s="0" t="s">
        <v>45410</v>
      </c>
      <c r="E13625" s="0" t="s">
        <v>89</v>
      </c>
      <c r="F13625" s="0" t="s">
        <v>15</v>
      </c>
      <c r="G13625" s="0" t="s">
        <v>16</v>
      </c>
      <c r="H13625" s="0" t="n">
        <v>13</v>
      </c>
      <c r="I13625" s="0" t="s">
        <v>45411</v>
      </c>
      <c r="J13625" s="0" t="s">
        <v>45412</v>
      </c>
      <c r="K13625" s="0" t="s">
        <v>45413</v>
      </c>
      <c r="L13625" s="0" t="str">
        <f aca="false">HYPERLINK("https://www.ncbi.nlm.nih.gov/nuccore/CP000304.1?report=graph&amp;tracks=[key:gene_model_track,Options:GeneOnly]&amp;mk=3849309:3849328|offset_13|00cc00,3849351:3849370|offset_55|444444,3849373:3849392|offset_77|444444,3849393:3849412|offset_97|444444&amp;v=3849108:3849612&amp;c=444444", "offset 13")</f>
        <v>offset 13</v>
      </c>
    </row>
    <row r="13626" customFormat="false" ht="12.8" hidden="false" customHeight="false" outlineLevel="0" collapsed="false">
      <c r="A13626" s="0" t="s">
        <v>12</v>
      </c>
      <c r="B13626" s="0" t="n">
        <v>3849350</v>
      </c>
      <c r="C13626" s="0" t="n">
        <v>3849370</v>
      </c>
      <c r="D13626" s="0" t="s">
        <v>45410</v>
      </c>
      <c r="E13626" s="0" t="s">
        <v>89</v>
      </c>
      <c r="F13626" s="0" t="s">
        <v>15</v>
      </c>
      <c r="G13626" s="0" t="s">
        <v>36</v>
      </c>
      <c r="H13626" s="0" t="n">
        <v>55</v>
      </c>
      <c r="I13626" s="0" t="s">
        <v>45414</v>
      </c>
      <c r="J13626" s="0" t="s">
        <v>45415</v>
      </c>
      <c r="K13626" s="0" t="s">
        <v>45416</v>
      </c>
      <c r="L13626" s="0" t="str">
        <f aca="false">HYPERLINK("https://www.ncbi.nlm.nih.gov/nuccore/CP000304.1?report=graph&amp;tracks=[key:gene_model_track,Options:GeneOnly]&amp;mk=3849309:3849328|offset_13|444444,3849351:3849370|offset_55|00cc00,3849373:3849392|offset_77|444444,3849393:3849412|offset_97|444444&amp;v=3849108:3849612&amp;c=444444", "offset 55")</f>
        <v>offset 55</v>
      </c>
    </row>
    <row r="13627" customFormat="false" ht="12.8" hidden="false" customHeight="false" outlineLevel="0" collapsed="false">
      <c r="A13627" s="0" t="s">
        <v>12</v>
      </c>
      <c r="B13627" s="0" t="n">
        <v>3849372</v>
      </c>
      <c r="C13627" s="0" t="n">
        <v>3849392</v>
      </c>
      <c r="D13627" s="0" t="s">
        <v>45410</v>
      </c>
      <c r="E13627" s="0" t="s">
        <v>89</v>
      </c>
      <c r="F13627" s="0" t="s">
        <v>15</v>
      </c>
      <c r="G13627" s="0" t="s">
        <v>36</v>
      </c>
      <c r="H13627" s="0" t="n">
        <v>77</v>
      </c>
      <c r="I13627" s="0" t="s">
        <v>45417</v>
      </c>
      <c r="J13627" s="0" t="s">
        <v>45418</v>
      </c>
      <c r="K13627" s="0" t="s">
        <v>45419</v>
      </c>
      <c r="L13627" s="0" t="str">
        <f aca="false">HYPERLINK("https://www.ncbi.nlm.nih.gov/nuccore/CP000304.1?report=graph&amp;tracks=[key:gene_model_track,Options:GeneOnly]&amp;mk=3849309:3849328|offset_13|444444,3849351:3849370|offset_55|444444,3849373:3849392|offset_77|00cc00,3849393:3849412|offset_97|444444&amp;v=3849108:3849612&amp;c=444444", "offset 77")</f>
        <v>offset 77</v>
      </c>
    </row>
    <row r="13628" customFormat="false" ht="12.8" hidden="false" customHeight="false" outlineLevel="0" collapsed="false">
      <c r="A13628" s="0" t="s">
        <v>12</v>
      </c>
      <c r="B13628" s="0" t="n">
        <v>3849392</v>
      </c>
      <c r="C13628" s="0" t="n">
        <v>3849412</v>
      </c>
      <c r="D13628" s="0" t="s">
        <v>45410</v>
      </c>
      <c r="E13628" s="0" t="s">
        <v>89</v>
      </c>
      <c r="F13628" s="0" t="s">
        <v>15</v>
      </c>
      <c r="G13628" s="0" t="s">
        <v>32</v>
      </c>
      <c r="H13628" s="0" t="n">
        <v>97</v>
      </c>
      <c r="I13628" s="0" t="s">
        <v>45420</v>
      </c>
      <c r="J13628" s="0" t="s">
        <v>45421</v>
      </c>
      <c r="K13628" s="0" t="s">
        <v>45422</v>
      </c>
      <c r="L13628" s="0" t="str">
        <f aca="false">HYPERLINK("https://www.ncbi.nlm.nih.gov/nuccore/CP000304.1?report=graph&amp;tracks=[key:gene_model_track,Options:GeneOnly]&amp;mk=3849309:3849328|offset_13|444444,3849351:3849370|offset_55|444444,3849373:3849392|offset_77|444444,3849393:3849412|offset_97|00cc00&amp;v=3849108:3849612&amp;c=444444", "offset 97")</f>
        <v>offset 97</v>
      </c>
    </row>
    <row r="13629" customFormat="false" ht="12.8" hidden="false" customHeight="false" outlineLevel="0" collapsed="false">
      <c r="A13629" s="0" t="s">
        <v>12</v>
      </c>
      <c r="B13629" s="0" t="n">
        <v>3855201</v>
      </c>
      <c r="C13629" s="0" t="n">
        <v>3855221</v>
      </c>
      <c r="D13629" s="0" t="s">
        <v>45423</v>
      </c>
      <c r="E13629" s="0" t="s">
        <v>45424</v>
      </c>
      <c r="F13629" s="0" t="s">
        <v>90</v>
      </c>
      <c r="G13629" s="0" t="s">
        <v>32</v>
      </c>
      <c r="H13629" s="0" t="n">
        <v>1</v>
      </c>
      <c r="I13629" s="0" t="s">
        <v>45425</v>
      </c>
      <c r="J13629" s="0" t="s">
        <v>45426</v>
      </c>
      <c r="K13629" s="0" t="s">
        <v>45427</v>
      </c>
      <c r="L13629" s="0" t="str">
        <f aca="false">HYPERLINK("https://www.ncbi.nlm.nih.gov/nuccore/CP000304.1?report=graph&amp;tracks=[key:gene_model_track,Options:GeneOnly]&amp;mk=3855202:3855221|offset_1|00cc00,3855180:3855199|offset_23|444444,3855144:3855163|offset_59|444444,3855114:3855133|offset_89|444444&amp;v=3855001:3855333&amp;c=444444", "offset 1")</f>
        <v>offset 1</v>
      </c>
    </row>
    <row r="13630" customFormat="false" ht="12.8" hidden="false" customHeight="false" outlineLevel="0" collapsed="false">
      <c r="A13630" s="0" t="s">
        <v>12</v>
      </c>
      <c r="B13630" s="0" t="n">
        <v>3855179</v>
      </c>
      <c r="C13630" s="0" t="n">
        <v>3855199</v>
      </c>
      <c r="D13630" s="0" t="s">
        <v>45423</v>
      </c>
      <c r="E13630" s="0" t="s">
        <v>45424</v>
      </c>
      <c r="F13630" s="0" t="s">
        <v>90</v>
      </c>
      <c r="G13630" s="0" t="s">
        <v>32</v>
      </c>
      <c r="H13630" s="0" t="n">
        <v>23</v>
      </c>
      <c r="I13630" s="0" t="s">
        <v>45428</v>
      </c>
      <c r="J13630" s="0" t="s">
        <v>45429</v>
      </c>
      <c r="K13630" s="0" t="s">
        <v>45430</v>
      </c>
      <c r="L13630" s="0" t="str">
        <f aca="false">HYPERLINK("https://www.ncbi.nlm.nih.gov/nuccore/CP000304.1?report=graph&amp;tracks=[key:gene_model_track,Options:GeneOnly]&amp;mk=3855202:3855221|offset_1|444444,3855180:3855199|offset_23|00cc00,3855144:3855163|offset_59|444444,3855114:3855133|offset_89|444444&amp;v=3855001:3855333&amp;c=444444", "offset 23")</f>
        <v>offset 23</v>
      </c>
    </row>
    <row r="13631" customFormat="false" ht="12.8" hidden="false" customHeight="false" outlineLevel="0" collapsed="false">
      <c r="A13631" s="0" t="s">
        <v>12</v>
      </c>
      <c r="B13631" s="0" t="n">
        <v>3855143</v>
      </c>
      <c r="C13631" s="0" t="n">
        <v>3855163</v>
      </c>
      <c r="D13631" s="0" t="s">
        <v>45423</v>
      </c>
      <c r="E13631" s="0" t="s">
        <v>45424</v>
      </c>
      <c r="F13631" s="0" t="s">
        <v>90</v>
      </c>
      <c r="G13631" s="0" t="s">
        <v>26</v>
      </c>
      <c r="H13631" s="0" t="n">
        <v>59</v>
      </c>
      <c r="I13631" s="0" t="s">
        <v>45431</v>
      </c>
      <c r="J13631" s="0" t="s">
        <v>45432</v>
      </c>
      <c r="K13631" s="0" t="s">
        <v>45433</v>
      </c>
      <c r="L13631" s="0" t="str">
        <f aca="false">HYPERLINK("https://www.ncbi.nlm.nih.gov/nuccore/CP000304.1?report=graph&amp;tracks=[key:gene_model_track,Options:GeneOnly]&amp;mk=3855202:3855221|offset_1|444444,3855180:3855199|offset_23|444444,3855144:3855163|offset_59|00cc00,3855114:3855133|offset_89|444444&amp;v=3855001:3855333&amp;c=444444", "offset 59")</f>
        <v>offset 59</v>
      </c>
    </row>
    <row r="13632" customFormat="false" ht="12.8" hidden="false" customHeight="false" outlineLevel="0" collapsed="false">
      <c r="A13632" s="0" t="s">
        <v>12</v>
      </c>
      <c r="B13632" s="0" t="n">
        <v>3855113</v>
      </c>
      <c r="C13632" s="0" t="n">
        <v>3855133</v>
      </c>
      <c r="D13632" s="0" t="s">
        <v>45423</v>
      </c>
      <c r="E13632" s="0" t="s">
        <v>45424</v>
      </c>
      <c r="F13632" s="0" t="s">
        <v>90</v>
      </c>
      <c r="G13632" s="0" t="s">
        <v>16</v>
      </c>
      <c r="H13632" s="0" t="n">
        <v>89</v>
      </c>
      <c r="I13632" s="0" t="s">
        <v>45434</v>
      </c>
      <c r="J13632" s="0" t="s">
        <v>45435</v>
      </c>
      <c r="K13632" s="0" t="s">
        <v>45436</v>
      </c>
      <c r="L13632" s="0" t="str">
        <f aca="false">HYPERLINK("https://www.ncbi.nlm.nih.gov/nuccore/CP000304.1?report=graph&amp;tracks=[key:gene_model_track,Options:GeneOnly]&amp;mk=3855202:3855221|offset_1|444444,3855180:3855199|offset_23|444444,3855144:3855163|offset_59|444444,3855114:3855133|offset_89|00cc00&amp;v=3855001:3855333&amp;c=444444", "offset 89")</f>
        <v>offset 89</v>
      </c>
    </row>
    <row r="13633" customFormat="false" ht="12.8" hidden="false" customHeight="false" outlineLevel="0" collapsed="false">
      <c r="A13633" s="0" t="s">
        <v>12</v>
      </c>
      <c r="B13633" s="0" t="n">
        <v>3855477</v>
      </c>
      <c r="C13633" s="0" t="n">
        <v>3855497</v>
      </c>
      <c r="D13633" s="0" t="s">
        <v>45437</v>
      </c>
      <c r="E13633" s="0" t="s">
        <v>45438</v>
      </c>
      <c r="F13633" s="0" t="s">
        <v>15</v>
      </c>
      <c r="G13633" s="0" t="s">
        <v>32</v>
      </c>
      <c r="H13633" s="0" t="n">
        <v>10</v>
      </c>
      <c r="I13633" s="0" t="s">
        <v>45439</v>
      </c>
      <c r="J13633" s="0" t="s">
        <v>45440</v>
      </c>
      <c r="K13633" s="0" t="s">
        <v>45441</v>
      </c>
      <c r="L13633" s="0" t="str">
        <f aca="false">HYPERLINK("https://www.ncbi.nlm.nih.gov/nuccore/CP000304.1?report=graph&amp;tracks=[key:gene_model_track,Options:GeneOnly]&amp;mk=3855478:3855497|offset_10|00cc00,3855501:3855520|offset_33|444444,3855527:3855546|offset_59|444444,3855595:3855614|offset_127|444444&amp;v=3855277:3855814&amp;c=444444", "offset 10")</f>
        <v>offset 10</v>
      </c>
    </row>
    <row r="13634" customFormat="false" ht="12.8" hidden="false" customHeight="false" outlineLevel="0" collapsed="false">
      <c r="A13634" s="0" t="s">
        <v>12</v>
      </c>
      <c r="B13634" s="0" t="n">
        <v>3855500</v>
      </c>
      <c r="C13634" s="0" t="n">
        <v>3855520</v>
      </c>
      <c r="D13634" s="0" t="s">
        <v>45437</v>
      </c>
      <c r="E13634" s="0" t="s">
        <v>45438</v>
      </c>
      <c r="F13634" s="0" t="s">
        <v>15</v>
      </c>
      <c r="G13634" s="0" t="s">
        <v>16</v>
      </c>
      <c r="H13634" s="0" t="n">
        <v>33</v>
      </c>
      <c r="I13634" s="0" t="s">
        <v>45442</v>
      </c>
      <c r="J13634" s="0" t="s">
        <v>45443</v>
      </c>
      <c r="K13634" s="0" t="s">
        <v>45444</v>
      </c>
      <c r="L13634" s="0" t="str">
        <f aca="false">HYPERLINK("https://www.ncbi.nlm.nih.gov/nuccore/CP000304.1?report=graph&amp;tracks=[key:gene_model_track,Options:GeneOnly]&amp;mk=3855478:3855497|offset_10|444444,3855501:3855520|offset_33|00cc00,3855527:3855546|offset_59|444444,3855595:3855614|offset_127|444444&amp;v=3855277:3855814&amp;c=444444", "offset 33")</f>
        <v>offset 33</v>
      </c>
    </row>
    <row r="13635" customFormat="false" ht="12.8" hidden="false" customHeight="false" outlineLevel="0" collapsed="false">
      <c r="A13635" s="0" t="s">
        <v>12</v>
      </c>
      <c r="B13635" s="0" t="n">
        <v>3855526</v>
      </c>
      <c r="C13635" s="0" t="n">
        <v>3855546</v>
      </c>
      <c r="D13635" s="0" t="s">
        <v>45437</v>
      </c>
      <c r="E13635" s="0" t="s">
        <v>45438</v>
      </c>
      <c r="F13635" s="0" t="s">
        <v>15</v>
      </c>
      <c r="G13635" s="0" t="s">
        <v>36</v>
      </c>
      <c r="H13635" s="0" t="n">
        <v>59</v>
      </c>
      <c r="I13635" s="0" t="s">
        <v>45445</v>
      </c>
      <c r="J13635" s="0" t="s">
        <v>45446</v>
      </c>
      <c r="K13635" s="0" t="s">
        <v>45447</v>
      </c>
      <c r="L13635" s="0" t="str">
        <f aca="false">HYPERLINK("https://www.ncbi.nlm.nih.gov/nuccore/CP000304.1?report=graph&amp;tracks=[key:gene_model_track,Options:GeneOnly]&amp;mk=3855478:3855497|offset_10|444444,3855501:3855520|offset_33|444444,3855527:3855546|offset_59|00cc00,3855595:3855614|offset_127|444444&amp;v=3855277:3855814&amp;c=444444", "offset 59")</f>
        <v>offset 59</v>
      </c>
    </row>
    <row r="13636" customFormat="false" ht="12.8" hidden="false" customHeight="false" outlineLevel="0" collapsed="false">
      <c r="A13636" s="0" t="s">
        <v>12</v>
      </c>
      <c r="B13636" s="0" t="n">
        <v>3855594</v>
      </c>
      <c r="C13636" s="0" t="n">
        <v>3855614</v>
      </c>
      <c r="D13636" s="0" t="s">
        <v>45437</v>
      </c>
      <c r="E13636" s="0" t="s">
        <v>45438</v>
      </c>
      <c r="F13636" s="0" t="s">
        <v>15</v>
      </c>
      <c r="G13636" s="0" t="s">
        <v>26</v>
      </c>
      <c r="H13636" s="0" t="n">
        <v>127</v>
      </c>
      <c r="I13636" s="0" t="s">
        <v>45448</v>
      </c>
      <c r="J13636" s="0" t="s">
        <v>45449</v>
      </c>
      <c r="K13636" s="0" t="s">
        <v>45450</v>
      </c>
      <c r="L13636" s="0" t="str">
        <f aca="false">HYPERLINK("https://www.ncbi.nlm.nih.gov/nuccore/CP000304.1?report=graph&amp;tracks=[key:gene_model_track,Options:GeneOnly]&amp;mk=3855478:3855497|offset_10|444444,3855501:3855520|offset_33|444444,3855527:3855546|offset_59|444444,3855595:3855614|offset_127|00cc00&amp;v=3855277:3855814&amp;c=444444", "offset 127")</f>
        <v>offset 127</v>
      </c>
    </row>
    <row r="13637" customFormat="false" ht="12.8" hidden="false" customHeight="false" outlineLevel="0" collapsed="false">
      <c r="A13637" s="0" t="s">
        <v>12</v>
      </c>
      <c r="B13637" s="0" t="n">
        <v>3856393</v>
      </c>
      <c r="C13637" s="0" t="n">
        <v>3856413</v>
      </c>
      <c r="D13637" s="0" t="s">
        <v>45451</v>
      </c>
      <c r="E13637" s="0" t="s">
        <v>45452</v>
      </c>
      <c r="F13637" s="0" t="s">
        <v>15</v>
      </c>
      <c r="G13637" s="0" t="s">
        <v>32</v>
      </c>
      <c r="H13637" s="0" t="n">
        <v>1</v>
      </c>
      <c r="I13637" s="0" t="s">
        <v>45453</v>
      </c>
      <c r="J13637" s="0" t="s">
        <v>45454</v>
      </c>
      <c r="K13637" s="0" t="s">
        <v>45455</v>
      </c>
      <c r="L13637" s="0" t="str">
        <f aca="false">HYPERLINK("https://www.ncbi.nlm.nih.gov/nuccore/CP000304.1?report=graph&amp;tracks=[key:gene_model_track,Options:GeneOnly]&amp;mk=3856394:3856413|offset_1|00cc00,3856415:3856434|offset_22|444444,3856436:3856455|offset_43|444444,3856479:3856498|offset_86|444444&amp;v=3856193:3856698&amp;c=444444", "offset 1")</f>
        <v>offset 1</v>
      </c>
    </row>
    <row r="13638" customFormat="false" ht="12.8" hidden="false" customHeight="false" outlineLevel="0" collapsed="false">
      <c r="A13638" s="0" t="s">
        <v>12</v>
      </c>
      <c r="B13638" s="0" t="n">
        <v>3856414</v>
      </c>
      <c r="C13638" s="0" t="n">
        <v>3856434</v>
      </c>
      <c r="D13638" s="0" t="s">
        <v>45451</v>
      </c>
      <c r="E13638" s="0" t="s">
        <v>45452</v>
      </c>
      <c r="F13638" s="0" t="s">
        <v>15</v>
      </c>
      <c r="G13638" s="0" t="s">
        <v>36</v>
      </c>
      <c r="H13638" s="0" t="n">
        <v>22</v>
      </c>
      <c r="I13638" s="0" t="s">
        <v>45456</v>
      </c>
      <c r="J13638" s="0" t="s">
        <v>45457</v>
      </c>
      <c r="K13638" s="0" t="s">
        <v>45458</v>
      </c>
      <c r="L13638" s="0" t="str">
        <f aca="false">HYPERLINK("https://www.ncbi.nlm.nih.gov/nuccore/CP000304.1?report=graph&amp;tracks=[key:gene_model_track,Options:GeneOnly]&amp;mk=3856394:3856413|offset_1|444444,3856415:3856434|offset_22|00cc00,3856436:3856455|offset_43|444444,3856479:3856498|offset_86|444444&amp;v=3856193:3856698&amp;c=444444", "offset 22")</f>
        <v>offset 22</v>
      </c>
    </row>
    <row r="13639" customFormat="false" ht="12.8" hidden="false" customHeight="false" outlineLevel="0" collapsed="false">
      <c r="A13639" s="0" t="s">
        <v>12</v>
      </c>
      <c r="B13639" s="0" t="n">
        <v>3856435</v>
      </c>
      <c r="C13639" s="0" t="n">
        <v>3856455</v>
      </c>
      <c r="D13639" s="0" t="s">
        <v>45451</v>
      </c>
      <c r="E13639" s="0" t="s">
        <v>45452</v>
      </c>
      <c r="F13639" s="0" t="s">
        <v>15</v>
      </c>
      <c r="G13639" s="0" t="s">
        <v>16</v>
      </c>
      <c r="H13639" s="0" t="n">
        <v>43</v>
      </c>
      <c r="I13639" s="0" t="s">
        <v>45459</v>
      </c>
      <c r="J13639" s="0" t="s">
        <v>45460</v>
      </c>
      <c r="K13639" s="0" t="s">
        <v>45461</v>
      </c>
      <c r="L13639" s="0" t="str">
        <f aca="false">HYPERLINK("https://www.ncbi.nlm.nih.gov/nuccore/CP000304.1?report=graph&amp;tracks=[key:gene_model_track,Options:GeneOnly]&amp;mk=3856394:3856413|offset_1|444444,3856415:3856434|offset_22|444444,3856436:3856455|offset_43|00cc00,3856479:3856498|offset_86|444444&amp;v=3856193:3856698&amp;c=444444", "offset 43")</f>
        <v>offset 43</v>
      </c>
    </row>
    <row r="13640" customFormat="false" ht="12.8" hidden="false" customHeight="false" outlineLevel="0" collapsed="false">
      <c r="A13640" s="0" t="s">
        <v>12</v>
      </c>
      <c r="B13640" s="0" t="n">
        <v>3856478</v>
      </c>
      <c r="C13640" s="0" t="n">
        <v>3856498</v>
      </c>
      <c r="D13640" s="0" t="s">
        <v>45451</v>
      </c>
      <c r="E13640" s="0" t="s">
        <v>45452</v>
      </c>
      <c r="F13640" s="0" t="s">
        <v>15</v>
      </c>
      <c r="G13640" s="0" t="s">
        <v>16</v>
      </c>
      <c r="H13640" s="0" t="n">
        <v>86</v>
      </c>
      <c r="I13640" s="0" t="s">
        <v>45462</v>
      </c>
      <c r="J13640" s="0" t="s">
        <v>45463</v>
      </c>
      <c r="K13640" s="0" t="s">
        <v>45464</v>
      </c>
      <c r="L13640" s="0" t="str">
        <f aca="false">HYPERLINK("https://www.ncbi.nlm.nih.gov/nuccore/CP000304.1?report=graph&amp;tracks=[key:gene_model_track,Options:GeneOnly]&amp;mk=3856394:3856413|offset_1|444444,3856415:3856434|offset_22|444444,3856436:3856455|offset_43|444444,3856479:3856498|offset_86|00cc00&amp;v=3856193:3856698&amp;c=444444", "offset 86")</f>
        <v>offset 86</v>
      </c>
    </row>
    <row r="13641" customFormat="false" ht="12.8" hidden="false" customHeight="false" outlineLevel="0" collapsed="false">
      <c r="A13641" s="0" t="s">
        <v>12</v>
      </c>
      <c r="B13641" s="0" t="n">
        <v>3856762</v>
      </c>
      <c r="C13641" s="0" t="n">
        <v>3856782</v>
      </c>
      <c r="D13641" s="0" t="s">
        <v>45465</v>
      </c>
      <c r="E13641" s="0" t="s">
        <v>45466</v>
      </c>
      <c r="F13641" s="0" t="s">
        <v>15</v>
      </c>
      <c r="G13641" s="0" t="s">
        <v>32</v>
      </c>
      <c r="H13641" s="0" t="n">
        <v>14</v>
      </c>
      <c r="I13641" s="0" t="s">
        <v>45467</v>
      </c>
      <c r="J13641" s="0" t="s">
        <v>45468</v>
      </c>
      <c r="K13641" s="0" t="s">
        <v>45469</v>
      </c>
      <c r="L13641" s="0" t="str">
        <f aca="false">HYPERLINK("https://www.ncbi.nlm.nih.gov/nuccore/CP000304.1?report=graph&amp;tracks=[key:gene_model_track,Options:GeneOnly]&amp;mk=3856763:3856782|offset_14|00cc00,3856787:3856806|offset_38|444444,3856808:3856827|offset_59|444444,3856829:3856848|offset_80|444444&amp;v=3856562:3857048&amp;c=444444", "offset 14")</f>
        <v>offset 14</v>
      </c>
    </row>
    <row r="13642" customFormat="false" ht="12.8" hidden="false" customHeight="false" outlineLevel="0" collapsed="false">
      <c r="A13642" s="0" t="s">
        <v>12</v>
      </c>
      <c r="B13642" s="0" t="n">
        <v>3856786</v>
      </c>
      <c r="C13642" s="0" t="n">
        <v>3856806</v>
      </c>
      <c r="D13642" s="0" t="s">
        <v>45465</v>
      </c>
      <c r="E13642" s="0" t="s">
        <v>45466</v>
      </c>
      <c r="F13642" s="0" t="s">
        <v>15</v>
      </c>
      <c r="G13642" s="0" t="s">
        <v>36</v>
      </c>
      <c r="H13642" s="0" t="n">
        <v>38</v>
      </c>
      <c r="I13642" s="0" t="s">
        <v>45470</v>
      </c>
      <c r="J13642" s="0" t="s">
        <v>45471</v>
      </c>
      <c r="K13642" s="0" t="s">
        <v>45472</v>
      </c>
      <c r="L13642" s="0" t="str">
        <f aca="false">HYPERLINK("https://www.ncbi.nlm.nih.gov/nuccore/CP000304.1?report=graph&amp;tracks=[key:gene_model_track,Options:GeneOnly]&amp;mk=3856763:3856782|offset_14|444444,3856787:3856806|offset_38|00cc00,3856808:3856827|offset_59|444444,3856829:3856848|offset_80|444444&amp;v=3856562:3857048&amp;c=444444", "offset 38")</f>
        <v>offset 38</v>
      </c>
    </row>
    <row r="13643" customFormat="false" ht="12.8" hidden="false" customHeight="false" outlineLevel="0" collapsed="false">
      <c r="A13643" s="0" t="s">
        <v>12</v>
      </c>
      <c r="B13643" s="0" t="n">
        <v>3856807</v>
      </c>
      <c r="C13643" s="0" t="n">
        <v>3856827</v>
      </c>
      <c r="D13643" s="0" t="s">
        <v>45465</v>
      </c>
      <c r="E13643" s="0" t="s">
        <v>45466</v>
      </c>
      <c r="F13643" s="0" t="s">
        <v>15</v>
      </c>
      <c r="G13643" s="0" t="s">
        <v>26</v>
      </c>
      <c r="H13643" s="0" t="n">
        <v>59</v>
      </c>
      <c r="I13643" s="0" t="s">
        <v>45473</v>
      </c>
      <c r="J13643" s="0" t="s">
        <v>45474</v>
      </c>
      <c r="K13643" s="0" t="s">
        <v>45475</v>
      </c>
      <c r="L13643" s="0" t="str">
        <f aca="false">HYPERLINK("https://www.ncbi.nlm.nih.gov/nuccore/CP000304.1?report=graph&amp;tracks=[key:gene_model_track,Options:GeneOnly]&amp;mk=3856763:3856782|offset_14|444444,3856787:3856806|offset_38|444444,3856808:3856827|offset_59|00cc00,3856829:3856848|offset_80|444444&amp;v=3856562:3857048&amp;c=444444", "offset 59")</f>
        <v>offset 59</v>
      </c>
    </row>
    <row r="13644" customFormat="false" ht="12.8" hidden="false" customHeight="false" outlineLevel="0" collapsed="false">
      <c r="A13644" s="0" t="s">
        <v>12</v>
      </c>
      <c r="B13644" s="0" t="n">
        <v>3856828</v>
      </c>
      <c r="C13644" s="0" t="n">
        <v>3856848</v>
      </c>
      <c r="D13644" s="0" t="s">
        <v>45465</v>
      </c>
      <c r="E13644" s="0" t="s">
        <v>45466</v>
      </c>
      <c r="F13644" s="0" t="s">
        <v>15</v>
      </c>
      <c r="G13644" s="0" t="s">
        <v>36</v>
      </c>
      <c r="H13644" s="0" t="n">
        <v>80</v>
      </c>
      <c r="I13644" s="0" t="s">
        <v>45476</v>
      </c>
      <c r="J13644" s="0" t="s">
        <v>45477</v>
      </c>
      <c r="K13644" s="0" t="s">
        <v>45478</v>
      </c>
      <c r="L13644" s="0" t="str">
        <f aca="false">HYPERLINK("https://www.ncbi.nlm.nih.gov/nuccore/CP000304.1?report=graph&amp;tracks=[key:gene_model_track,Options:GeneOnly]&amp;mk=3856763:3856782|offset_14|444444,3856787:3856806|offset_38|444444,3856808:3856827|offset_59|444444,3856829:3856848|offset_80|00cc00&amp;v=3856562:3857048&amp;c=444444", "offset 80")</f>
        <v>offset 80</v>
      </c>
    </row>
    <row r="13645" customFormat="false" ht="12.8" hidden="false" customHeight="false" outlineLevel="0" collapsed="false">
      <c r="A13645" s="0" t="s">
        <v>12</v>
      </c>
      <c r="B13645" s="0" t="n">
        <v>3857966</v>
      </c>
      <c r="C13645" s="0" t="n">
        <v>3857986</v>
      </c>
      <c r="D13645" s="0" t="s">
        <v>45479</v>
      </c>
      <c r="E13645" s="0" t="s">
        <v>89</v>
      </c>
      <c r="F13645" s="0" t="s">
        <v>15</v>
      </c>
      <c r="G13645" s="0" t="s">
        <v>16</v>
      </c>
      <c r="H13645" s="0" t="n">
        <v>0</v>
      </c>
      <c r="I13645" s="0" t="s">
        <v>45480</v>
      </c>
      <c r="J13645" s="0" t="s">
        <v>45481</v>
      </c>
      <c r="K13645" s="0" t="s">
        <v>45482</v>
      </c>
      <c r="L13645" s="0" t="str">
        <f aca="false">HYPERLINK("https://www.ncbi.nlm.nih.gov/nuccore/CP000304.1?report=graph&amp;tracks=[key:gene_model_track,Options:GeneOnly]&amp;mk=3857967:3857986|offset_0|00cc00,3857991:3858010|offset_24|444444,3858035:3858054|offset_68|444444,3858061:3858080|offset_94|444444&amp;v=3857766:3858280&amp;c=444444", "offset 0")</f>
        <v>offset 0</v>
      </c>
    </row>
    <row r="13646" customFormat="false" ht="12.8" hidden="false" customHeight="false" outlineLevel="0" collapsed="false">
      <c r="A13646" s="0" t="s">
        <v>12</v>
      </c>
      <c r="B13646" s="0" t="n">
        <v>3857990</v>
      </c>
      <c r="C13646" s="0" t="n">
        <v>3858010</v>
      </c>
      <c r="D13646" s="0" t="s">
        <v>45479</v>
      </c>
      <c r="E13646" s="0" t="s">
        <v>89</v>
      </c>
      <c r="F13646" s="0" t="s">
        <v>15</v>
      </c>
      <c r="G13646" s="0" t="s">
        <v>16</v>
      </c>
      <c r="H13646" s="0" t="n">
        <v>24</v>
      </c>
      <c r="I13646" s="0" t="s">
        <v>45483</v>
      </c>
      <c r="J13646" s="0" t="s">
        <v>45484</v>
      </c>
      <c r="K13646" s="0" t="s">
        <v>45485</v>
      </c>
      <c r="L13646" s="0" t="str">
        <f aca="false">HYPERLINK("https://www.ncbi.nlm.nih.gov/nuccore/CP000304.1?report=graph&amp;tracks=[key:gene_model_track,Options:GeneOnly]&amp;mk=3857967:3857986|offset_0|444444,3857991:3858010|offset_24|00cc00,3858035:3858054|offset_68|444444,3858061:3858080|offset_94|444444&amp;v=3857766:3858280&amp;c=444444", "offset 24")</f>
        <v>offset 24</v>
      </c>
    </row>
    <row r="13647" customFormat="false" ht="12.8" hidden="false" customHeight="false" outlineLevel="0" collapsed="false">
      <c r="A13647" s="0" t="s">
        <v>12</v>
      </c>
      <c r="B13647" s="0" t="n">
        <v>3858034</v>
      </c>
      <c r="C13647" s="0" t="n">
        <v>3858054</v>
      </c>
      <c r="D13647" s="0" t="s">
        <v>45479</v>
      </c>
      <c r="E13647" s="0" t="s">
        <v>89</v>
      </c>
      <c r="F13647" s="0" t="s">
        <v>15</v>
      </c>
      <c r="G13647" s="0" t="s">
        <v>32</v>
      </c>
      <c r="H13647" s="0" t="n">
        <v>68</v>
      </c>
      <c r="I13647" s="0" t="s">
        <v>45486</v>
      </c>
      <c r="J13647" s="0" t="s">
        <v>45487</v>
      </c>
      <c r="K13647" s="0" t="s">
        <v>45488</v>
      </c>
      <c r="L13647" s="0" t="str">
        <f aca="false">HYPERLINK("https://www.ncbi.nlm.nih.gov/nuccore/CP000304.1?report=graph&amp;tracks=[key:gene_model_track,Options:GeneOnly]&amp;mk=3857967:3857986|offset_0|444444,3857991:3858010|offset_24|444444,3858035:3858054|offset_68|00cc00,3858061:3858080|offset_94|444444&amp;v=3857766:3858280&amp;c=444444", "offset 68")</f>
        <v>offset 68</v>
      </c>
    </row>
    <row r="13648" customFormat="false" ht="12.8" hidden="false" customHeight="false" outlineLevel="0" collapsed="false">
      <c r="A13648" s="0" t="s">
        <v>12</v>
      </c>
      <c r="B13648" s="0" t="n">
        <v>3858060</v>
      </c>
      <c r="C13648" s="0" t="n">
        <v>3858080</v>
      </c>
      <c r="D13648" s="0" t="s">
        <v>45479</v>
      </c>
      <c r="E13648" s="0" t="s">
        <v>89</v>
      </c>
      <c r="F13648" s="0" t="s">
        <v>15</v>
      </c>
      <c r="G13648" s="0" t="s">
        <v>16</v>
      </c>
      <c r="H13648" s="0" t="n">
        <v>94</v>
      </c>
      <c r="I13648" s="0" t="s">
        <v>45489</v>
      </c>
      <c r="J13648" s="0" t="s">
        <v>45490</v>
      </c>
      <c r="K13648" s="0" t="s">
        <v>45491</v>
      </c>
      <c r="L13648" s="0" t="str">
        <f aca="false">HYPERLINK("https://www.ncbi.nlm.nih.gov/nuccore/CP000304.1?report=graph&amp;tracks=[key:gene_model_track,Options:GeneOnly]&amp;mk=3857967:3857986|offset_0|444444,3857991:3858010|offset_24|444444,3858035:3858054|offset_68|444444,3858061:3858080|offset_94|00cc00&amp;v=3857766:3858280&amp;c=444444", "offset 94")</f>
        <v>offset 94</v>
      </c>
    </row>
    <row r="13649" customFormat="false" ht="12.8" hidden="false" customHeight="false" outlineLevel="0" collapsed="false">
      <c r="A13649" s="0" t="s">
        <v>12</v>
      </c>
      <c r="B13649" s="0" t="n">
        <v>3858993</v>
      </c>
      <c r="C13649" s="0" t="n">
        <v>3859013</v>
      </c>
      <c r="D13649" s="0" t="s">
        <v>45492</v>
      </c>
      <c r="E13649" s="0" t="s">
        <v>45493</v>
      </c>
      <c r="F13649" s="0" t="s">
        <v>15</v>
      </c>
      <c r="G13649" s="0" t="s">
        <v>32</v>
      </c>
      <c r="H13649" s="0" t="n">
        <v>1</v>
      </c>
      <c r="I13649" s="0" t="s">
        <v>45494</v>
      </c>
      <c r="J13649" s="0" t="s">
        <v>45495</v>
      </c>
      <c r="K13649" s="0" t="s">
        <v>45496</v>
      </c>
      <c r="L13649" s="0" t="str">
        <f aca="false">HYPERLINK("https://www.ncbi.nlm.nih.gov/nuccore/CP000304.1?report=graph&amp;tracks=[key:gene_model_track,Options:GeneOnly]&amp;mk=3858994:3859013|offset_1|00cc00,3859021:3859040|offset_28|444444,3859055:3859074|offset_62|444444,3859075:3859094|offset_82|444444&amp;v=3858793:3859294&amp;c=444444", "offset 1")</f>
        <v>offset 1</v>
      </c>
    </row>
    <row r="13650" customFormat="false" ht="12.8" hidden="false" customHeight="false" outlineLevel="0" collapsed="false">
      <c r="A13650" s="0" t="s">
        <v>12</v>
      </c>
      <c r="B13650" s="0" t="n">
        <v>3859020</v>
      </c>
      <c r="C13650" s="0" t="n">
        <v>3859040</v>
      </c>
      <c r="D13650" s="0" t="s">
        <v>45492</v>
      </c>
      <c r="E13650" s="0" t="s">
        <v>45493</v>
      </c>
      <c r="F13650" s="0" t="s">
        <v>15</v>
      </c>
      <c r="G13650" s="0" t="s">
        <v>36</v>
      </c>
      <c r="H13650" s="0" t="n">
        <v>28</v>
      </c>
      <c r="I13650" s="0" t="s">
        <v>45497</v>
      </c>
      <c r="J13650" s="0" t="s">
        <v>45498</v>
      </c>
      <c r="K13650" s="0" t="s">
        <v>45499</v>
      </c>
      <c r="L13650" s="0" t="str">
        <f aca="false">HYPERLINK("https://www.ncbi.nlm.nih.gov/nuccore/CP000304.1?report=graph&amp;tracks=[key:gene_model_track,Options:GeneOnly]&amp;mk=3858994:3859013|offset_1|444444,3859021:3859040|offset_28|00cc00,3859055:3859074|offset_62|444444,3859075:3859094|offset_82|444444&amp;v=3858793:3859294&amp;c=444444", "offset 28")</f>
        <v>offset 28</v>
      </c>
    </row>
    <row r="13651" customFormat="false" ht="12.8" hidden="false" customHeight="false" outlineLevel="0" collapsed="false">
      <c r="A13651" s="0" t="s">
        <v>12</v>
      </c>
      <c r="B13651" s="0" t="n">
        <v>3859054</v>
      </c>
      <c r="C13651" s="0" t="n">
        <v>3859074</v>
      </c>
      <c r="D13651" s="0" t="s">
        <v>45492</v>
      </c>
      <c r="E13651" s="0" t="s">
        <v>45493</v>
      </c>
      <c r="F13651" s="0" t="s">
        <v>15</v>
      </c>
      <c r="G13651" s="0" t="s">
        <v>26</v>
      </c>
      <c r="H13651" s="0" t="n">
        <v>62</v>
      </c>
      <c r="I13651" s="0" t="s">
        <v>45500</v>
      </c>
      <c r="J13651" s="0" t="s">
        <v>45501</v>
      </c>
      <c r="K13651" s="0" t="s">
        <v>45502</v>
      </c>
      <c r="L13651" s="0" t="str">
        <f aca="false">HYPERLINK("https://www.ncbi.nlm.nih.gov/nuccore/CP000304.1?report=graph&amp;tracks=[key:gene_model_track,Options:GeneOnly]&amp;mk=3858994:3859013|offset_1|444444,3859021:3859040|offset_28|444444,3859055:3859074|offset_62|00cc00,3859075:3859094|offset_82|444444&amp;v=3858793:3859294&amp;c=444444", "offset 62")</f>
        <v>offset 62</v>
      </c>
    </row>
    <row r="13652" customFormat="false" ht="12.8" hidden="false" customHeight="false" outlineLevel="0" collapsed="false">
      <c r="A13652" s="0" t="s">
        <v>12</v>
      </c>
      <c r="B13652" s="0" t="n">
        <v>3859074</v>
      </c>
      <c r="C13652" s="0" t="n">
        <v>3859094</v>
      </c>
      <c r="D13652" s="0" t="s">
        <v>45492</v>
      </c>
      <c r="E13652" s="0" t="s">
        <v>45493</v>
      </c>
      <c r="F13652" s="0" t="s">
        <v>15</v>
      </c>
      <c r="G13652" s="0" t="s">
        <v>16</v>
      </c>
      <c r="H13652" s="0" t="n">
        <v>82</v>
      </c>
      <c r="I13652" s="0" t="s">
        <v>45503</v>
      </c>
      <c r="J13652" s="0" t="s">
        <v>45504</v>
      </c>
      <c r="K13652" s="0" t="s">
        <v>45505</v>
      </c>
      <c r="L13652" s="0" t="str">
        <f aca="false">HYPERLINK("https://www.ncbi.nlm.nih.gov/nuccore/CP000304.1?report=graph&amp;tracks=[key:gene_model_track,Options:GeneOnly]&amp;mk=3858994:3859013|offset_1|444444,3859021:3859040|offset_28|444444,3859055:3859074|offset_62|444444,3859075:3859094|offset_82|00cc00&amp;v=3858793:3859294&amp;c=444444", "offset 82")</f>
        <v>offset 82</v>
      </c>
    </row>
    <row r="13653" customFormat="false" ht="12.8" hidden="false" customHeight="false" outlineLevel="0" collapsed="false">
      <c r="A13653" s="0" t="s">
        <v>12</v>
      </c>
      <c r="B13653" s="0" t="n">
        <v>3859932</v>
      </c>
      <c r="C13653" s="0" t="n">
        <v>3859952</v>
      </c>
      <c r="D13653" s="0" t="s">
        <v>45506</v>
      </c>
      <c r="E13653" s="0" t="s">
        <v>89</v>
      </c>
      <c r="F13653" s="0" t="s">
        <v>90</v>
      </c>
      <c r="G13653" s="0" t="s">
        <v>16</v>
      </c>
      <c r="H13653" s="0" t="n">
        <v>49</v>
      </c>
      <c r="I13653" s="0" t="s">
        <v>45507</v>
      </c>
      <c r="J13653" s="0" t="s">
        <v>45508</v>
      </c>
      <c r="K13653" s="0" t="s">
        <v>45509</v>
      </c>
      <c r="L13653" s="0" t="str">
        <f aca="false">HYPERLINK("https://www.ncbi.nlm.nih.gov/nuccore/CP000304.1?report=graph&amp;tracks=[key:gene_model_track,Options:GeneOnly]&amp;mk=3859933:3859952|offset_49|00cc00,3859913:3859932|offset_69|444444,3859889:3859908|offset_93|444444,3859846:3859865|offset_136|444444&amp;v=3859732:3860065&amp;c=444444", "offset 49")</f>
        <v>offset 49</v>
      </c>
    </row>
    <row r="13654" customFormat="false" ht="12.8" hidden="false" customHeight="false" outlineLevel="0" collapsed="false">
      <c r="A13654" s="0" t="s">
        <v>12</v>
      </c>
      <c r="B13654" s="0" t="n">
        <v>3859912</v>
      </c>
      <c r="C13654" s="0" t="n">
        <v>3859932</v>
      </c>
      <c r="D13654" s="0" t="s">
        <v>45506</v>
      </c>
      <c r="E13654" s="0" t="s">
        <v>89</v>
      </c>
      <c r="F13654" s="0" t="s">
        <v>90</v>
      </c>
      <c r="G13654" s="0" t="s">
        <v>16</v>
      </c>
      <c r="H13654" s="0" t="n">
        <v>69</v>
      </c>
      <c r="I13654" s="0" t="s">
        <v>45510</v>
      </c>
      <c r="J13654" s="0" t="s">
        <v>45511</v>
      </c>
      <c r="K13654" s="0" t="s">
        <v>45512</v>
      </c>
      <c r="L13654" s="0" t="str">
        <f aca="false">HYPERLINK("https://www.ncbi.nlm.nih.gov/nuccore/CP000304.1?report=graph&amp;tracks=[key:gene_model_track,Options:GeneOnly]&amp;mk=3859933:3859952|offset_49|444444,3859913:3859932|offset_69|00cc00,3859889:3859908|offset_93|444444,3859846:3859865|offset_136|444444&amp;v=3859732:3860065&amp;c=444444", "offset 69")</f>
        <v>offset 69</v>
      </c>
    </row>
    <row r="13655" customFormat="false" ht="12.8" hidden="false" customHeight="false" outlineLevel="0" collapsed="false">
      <c r="A13655" s="0" t="s">
        <v>12</v>
      </c>
      <c r="B13655" s="0" t="n">
        <v>3859888</v>
      </c>
      <c r="C13655" s="0" t="n">
        <v>3859908</v>
      </c>
      <c r="D13655" s="0" t="s">
        <v>45506</v>
      </c>
      <c r="E13655" s="0" t="s">
        <v>89</v>
      </c>
      <c r="F13655" s="0" t="s">
        <v>90</v>
      </c>
      <c r="G13655" s="0" t="s">
        <v>36</v>
      </c>
      <c r="H13655" s="0" t="n">
        <v>93</v>
      </c>
      <c r="I13655" s="0" t="s">
        <v>45513</v>
      </c>
      <c r="J13655" s="0" t="s">
        <v>45514</v>
      </c>
      <c r="K13655" s="0" t="s">
        <v>45515</v>
      </c>
      <c r="L13655" s="0" t="str">
        <f aca="false">HYPERLINK("https://www.ncbi.nlm.nih.gov/nuccore/CP000304.1?report=graph&amp;tracks=[key:gene_model_track,Options:GeneOnly]&amp;mk=3859933:3859952|offset_49|444444,3859913:3859932|offset_69|444444,3859889:3859908|offset_93|00cc00,3859846:3859865|offset_136|444444&amp;v=3859732:3860065&amp;c=444444", "offset 93")</f>
        <v>offset 93</v>
      </c>
    </row>
    <row r="13656" customFormat="false" ht="12.8" hidden="false" customHeight="false" outlineLevel="0" collapsed="false">
      <c r="A13656" s="0" t="s">
        <v>12</v>
      </c>
      <c r="B13656" s="0" t="n">
        <v>3859845</v>
      </c>
      <c r="C13656" s="0" t="n">
        <v>3859865</v>
      </c>
      <c r="D13656" s="0" t="s">
        <v>45506</v>
      </c>
      <c r="E13656" s="0" t="s">
        <v>89</v>
      </c>
      <c r="F13656" s="0" t="s">
        <v>90</v>
      </c>
      <c r="G13656" s="0" t="s">
        <v>16</v>
      </c>
      <c r="H13656" s="0" t="n">
        <v>136</v>
      </c>
      <c r="I13656" s="0" t="s">
        <v>45516</v>
      </c>
      <c r="J13656" s="0" t="s">
        <v>45517</v>
      </c>
      <c r="K13656" s="0" t="s">
        <v>45518</v>
      </c>
      <c r="L13656" s="0" t="str">
        <f aca="false">HYPERLINK("https://www.ncbi.nlm.nih.gov/nuccore/CP000304.1?report=graph&amp;tracks=[key:gene_model_track,Options:GeneOnly]&amp;mk=3859933:3859952|offset_49|444444,3859913:3859932|offset_69|444444,3859889:3859908|offset_93|444444,3859846:3859865|offset_136|00cc00&amp;v=3859732:3860065&amp;c=444444", "offset 136")</f>
        <v>offset 136</v>
      </c>
    </row>
    <row r="13657" customFormat="false" ht="12.8" hidden="false" customHeight="false" outlineLevel="0" collapsed="false">
      <c r="A13657" s="0" t="s">
        <v>12</v>
      </c>
      <c r="B13657" s="0" t="n">
        <v>3861631</v>
      </c>
      <c r="C13657" s="0" t="n">
        <v>3861651</v>
      </c>
      <c r="D13657" s="0" t="s">
        <v>45519</v>
      </c>
      <c r="E13657" s="0" t="s">
        <v>45520</v>
      </c>
      <c r="F13657" s="0" t="s">
        <v>90</v>
      </c>
      <c r="G13657" s="0" t="s">
        <v>36</v>
      </c>
      <c r="H13657" s="0" t="n">
        <v>0</v>
      </c>
      <c r="I13657" s="0" t="s">
        <v>45521</v>
      </c>
      <c r="J13657" s="0" t="s">
        <v>45522</v>
      </c>
      <c r="K13657" s="0" t="s">
        <v>45523</v>
      </c>
      <c r="L13657" s="0" t="str">
        <f aca="false">HYPERLINK("https://www.ncbi.nlm.nih.gov/nuccore/CP000304.1?report=graph&amp;tracks=[key:gene_model_track,Options:GeneOnly]&amp;mk=3861632:3861651|offset_0|00cc00,3861607:3861626|offset_25|444444,3861574:3861593|offset_58|444444,3861544:3861563|offset_88|444444&amp;v=3861431:3861763&amp;c=444444", "offset 0")</f>
        <v>offset 0</v>
      </c>
    </row>
    <row r="13658" customFormat="false" ht="12.8" hidden="false" customHeight="false" outlineLevel="0" collapsed="false">
      <c r="A13658" s="0" t="s">
        <v>12</v>
      </c>
      <c r="B13658" s="0" t="n">
        <v>3861606</v>
      </c>
      <c r="C13658" s="0" t="n">
        <v>3861626</v>
      </c>
      <c r="D13658" s="0" t="s">
        <v>45519</v>
      </c>
      <c r="E13658" s="0" t="s">
        <v>45520</v>
      </c>
      <c r="F13658" s="0" t="s">
        <v>90</v>
      </c>
      <c r="G13658" s="0" t="s">
        <v>32</v>
      </c>
      <c r="H13658" s="0" t="n">
        <v>25</v>
      </c>
      <c r="I13658" s="0" t="s">
        <v>45524</v>
      </c>
      <c r="J13658" s="0" t="s">
        <v>45525</v>
      </c>
      <c r="K13658" s="0" t="s">
        <v>45526</v>
      </c>
      <c r="L13658" s="0" t="str">
        <f aca="false">HYPERLINK("https://www.ncbi.nlm.nih.gov/nuccore/CP000304.1?report=graph&amp;tracks=[key:gene_model_track,Options:GeneOnly]&amp;mk=3861632:3861651|offset_0|444444,3861607:3861626|offset_25|00cc00,3861574:3861593|offset_58|444444,3861544:3861563|offset_88|444444&amp;v=3861431:3861763&amp;c=444444", "offset 25")</f>
        <v>offset 25</v>
      </c>
    </row>
    <row r="13659" customFormat="false" ht="12.8" hidden="false" customHeight="false" outlineLevel="0" collapsed="false">
      <c r="A13659" s="0" t="s">
        <v>12</v>
      </c>
      <c r="B13659" s="0" t="n">
        <v>3861573</v>
      </c>
      <c r="C13659" s="0" t="n">
        <v>3861593</v>
      </c>
      <c r="D13659" s="0" t="s">
        <v>45519</v>
      </c>
      <c r="E13659" s="0" t="s">
        <v>45520</v>
      </c>
      <c r="F13659" s="0" t="s">
        <v>90</v>
      </c>
      <c r="G13659" s="0" t="s">
        <v>16</v>
      </c>
      <c r="H13659" s="0" t="n">
        <v>58</v>
      </c>
      <c r="I13659" s="0" t="s">
        <v>45527</v>
      </c>
      <c r="J13659" s="0" t="s">
        <v>45528</v>
      </c>
      <c r="K13659" s="0" t="s">
        <v>45529</v>
      </c>
      <c r="L13659" s="0" t="str">
        <f aca="false">HYPERLINK("https://www.ncbi.nlm.nih.gov/nuccore/CP000304.1?report=graph&amp;tracks=[key:gene_model_track,Options:GeneOnly]&amp;mk=3861632:3861651|offset_0|444444,3861607:3861626|offset_25|444444,3861574:3861593|offset_58|00cc00,3861544:3861563|offset_88|444444&amp;v=3861431:3861763&amp;c=444444", "offset 58")</f>
        <v>offset 58</v>
      </c>
    </row>
    <row r="13660" customFormat="false" ht="12.8" hidden="false" customHeight="false" outlineLevel="0" collapsed="false">
      <c r="A13660" s="0" t="s">
        <v>12</v>
      </c>
      <c r="B13660" s="0" t="n">
        <v>3861543</v>
      </c>
      <c r="C13660" s="0" t="n">
        <v>3861563</v>
      </c>
      <c r="D13660" s="0" t="s">
        <v>45519</v>
      </c>
      <c r="E13660" s="0" t="s">
        <v>45520</v>
      </c>
      <c r="F13660" s="0" t="s">
        <v>90</v>
      </c>
      <c r="G13660" s="0" t="s">
        <v>16</v>
      </c>
      <c r="H13660" s="0" t="n">
        <v>88</v>
      </c>
      <c r="I13660" s="0" t="s">
        <v>45530</v>
      </c>
      <c r="J13660" s="0" t="s">
        <v>45531</v>
      </c>
      <c r="K13660" s="0" t="s">
        <v>45532</v>
      </c>
      <c r="L13660" s="0" t="str">
        <f aca="false">HYPERLINK("https://www.ncbi.nlm.nih.gov/nuccore/CP000304.1?report=graph&amp;tracks=[key:gene_model_track,Options:GeneOnly]&amp;mk=3861632:3861651|offset_0|444444,3861607:3861626|offset_25|444444,3861574:3861593|offset_58|444444,3861544:3861563|offset_88|00cc00&amp;v=3861431:3861763&amp;c=444444", "offset 88")</f>
        <v>offset 88</v>
      </c>
    </row>
    <row r="13661" customFormat="false" ht="12.8" hidden="false" customHeight="false" outlineLevel="0" collapsed="false">
      <c r="A13661" s="0" t="s">
        <v>12</v>
      </c>
      <c r="B13661" s="0" t="n">
        <v>3861943</v>
      </c>
      <c r="C13661" s="0" t="n">
        <v>3861963</v>
      </c>
      <c r="D13661" s="0" t="s">
        <v>45533</v>
      </c>
      <c r="E13661" s="0" t="s">
        <v>45534</v>
      </c>
      <c r="F13661" s="0" t="s">
        <v>15</v>
      </c>
      <c r="G13661" s="0" t="s">
        <v>32</v>
      </c>
      <c r="H13661" s="0" t="n">
        <v>1</v>
      </c>
      <c r="I13661" s="0" t="s">
        <v>45535</v>
      </c>
      <c r="J13661" s="0" t="s">
        <v>45536</v>
      </c>
      <c r="K13661" s="0" t="s">
        <v>45537</v>
      </c>
      <c r="L13661" s="0" t="str">
        <f aca="false">HYPERLINK("https://www.ncbi.nlm.nih.gov/nuccore/CP000304.1?report=graph&amp;tracks=[key:gene_model_track,Options:GeneOnly]&amp;mk=3861944:3861963|offset_1|00cc00,3861965:3861984|offset_22|444444,3861988:3862007|offset_45|444444,3862016:3862035|offset_73|444444&amp;v=3861743:3862235&amp;c=444444", "offset 1")</f>
        <v>offset 1</v>
      </c>
    </row>
    <row r="13662" customFormat="false" ht="12.8" hidden="false" customHeight="false" outlineLevel="0" collapsed="false">
      <c r="A13662" s="0" t="s">
        <v>12</v>
      </c>
      <c r="B13662" s="0" t="n">
        <v>3861964</v>
      </c>
      <c r="C13662" s="0" t="n">
        <v>3861984</v>
      </c>
      <c r="D13662" s="0" t="s">
        <v>45533</v>
      </c>
      <c r="E13662" s="0" t="s">
        <v>45534</v>
      </c>
      <c r="F13662" s="0" t="s">
        <v>15</v>
      </c>
      <c r="G13662" s="0" t="s">
        <v>16</v>
      </c>
      <c r="H13662" s="0" t="n">
        <v>22</v>
      </c>
      <c r="I13662" s="0" t="s">
        <v>45538</v>
      </c>
      <c r="J13662" s="0" t="s">
        <v>45539</v>
      </c>
      <c r="K13662" s="0" t="s">
        <v>45540</v>
      </c>
      <c r="L13662" s="0" t="str">
        <f aca="false">HYPERLINK("https://www.ncbi.nlm.nih.gov/nuccore/CP000304.1?report=graph&amp;tracks=[key:gene_model_track,Options:GeneOnly]&amp;mk=3861944:3861963|offset_1|444444,3861965:3861984|offset_22|00cc00,3861988:3862007|offset_45|444444,3862016:3862035|offset_73|444444&amp;v=3861743:3862235&amp;c=444444", "offset 22")</f>
        <v>offset 22</v>
      </c>
    </row>
    <row r="13663" customFormat="false" ht="12.8" hidden="false" customHeight="false" outlineLevel="0" collapsed="false">
      <c r="A13663" s="0" t="s">
        <v>12</v>
      </c>
      <c r="B13663" s="0" t="n">
        <v>3861987</v>
      </c>
      <c r="C13663" s="0" t="n">
        <v>3862007</v>
      </c>
      <c r="D13663" s="0" t="s">
        <v>45533</v>
      </c>
      <c r="E13663" s="0" t="s">
        <v>45534</v>
      </c>
      <c r="F13663" s="0" t="s">
        <v>15</v>
      </c>
      <c r="G13663" s="0" t="s">
        <v>36</v>
      </c>
      <c r="H13663" s="0" t="n">
        <v>45</v>
      </c>
      <c r="I13663" s="0" t="s">
        <v>45541</v>
      </c>
      <c r="J13663" s="0" t="s">
        <v>45542</v>
      </c>
      <c r="K13663" s="0" t="s">
        <v>45543</v>
      </c>
      <c r="L13663" s="0" t="str">
        <f aca="false">HYPERLINK("https://www.ncbi.nlm.nih.gov/nuccore/CP000304.1?report=graph&amp;tracks=[key:gene_model_track,Options:GeneOnly]&amp;mk=3861944:3861963|offset_1|444444,3861965:3861984|offset_22|444444,3861988:3862007|offset_45|00cc00,3862016:3862035|offset_73|444444&amp;v=3861743:3862235&amp;c=444444", "offset 45")</f>
        <v>offset 45</v>
      </c>
    </row>
    <row r="13664" customFormat="false" ht="12.8" hidden="false" customHeight="false" outlineLevel="0" collapsed="false">
      <c r="A13664" s="0" t="s">
        <v>12</v>
      </c>
      <c r="B13664" s="0" t="n">
        <v>3862015</v>
      </c>
      <c r="C13664" s="0" t="n">
        <v>3862035</v>
      </c>
      <c r="D13664" s="0" t="s">
        <v>45533</v>
      </c>
      <c r="E13664" s="0" t="s">
        <v>45534</v>
      </c>
      <c r="F13664" s="0" t="s">
        <v>15</v>
      </c>
      <c r="G13664" s="0" t="s">
        <v>32</v>
      </c>
      <c r="H13664" s="0" t="n">
        <v>73</v>
      </c>
      <c r="I13664" s="0" t="s">
        <v>45544</v>
      </c>
      <c r="J13664" s="0" t="s">
        <v>45545</v>
      </c>
      <c r="K13664" s="0" t="s">
        <v>45546</v>
      </c>
      <c r="L13664" s="0" t="str">
        <f aca="false">HYPERLINK("https://www.ncbi.nlm.nih.gov/nuccore/CP000304.1?report=graph&amp;tracks=[key:gene_model_track,Options:GeneOnly]&amp;mk=3861944:3861963|offset_1|444444,3861965:3861984|offset_22|444444,3861988:3862007|offset_45|444444,3862016:3862035|offset_73|00cc00&amp;v=3861743:3862235&amp;c=444444", "offset 73")</f>
        <v>offset 73</v>
      </c>
    </row>
    <row r="13665" customFormat="false" ht="12.8" hidden="false" customHeight="false" outlineLevel="0" collapsed="false">
      <c r="A13665" s="0" t="s">
        <v>12</v>
      </c>
      <c r="B13665" s="0" t="n">
        <v>3863234</v>
      </c>
      <c r="C13665" s="0" t="n">
        <v>3863254</v>
      </c>
      <c r="D13665" s="0" t="s">
        <v>45547</v>
      </c>
      <c r="E13665" s="0" t="s">
        <v>45548</v>
      </c>
      <c r="F13665" s="0" t="s">
        <v>15</v>
      </c>
      <c r="G13665" s="0" t="s">
        <v>32</v>
      </c>
      <c r="H13665" s="0" t="n">
        <v>1</v>
      </c>
      <c r="I13665" s="0" t="s">
        <v>45549</v>
      </c>
      <c r="J13665" s="0" t="s">
        <v>45550</v>
      </c>
      <c r="K13665" s="0" t="s">
        <v>45551</v>
      </c>
      <c r="L13665" s="0" t="str">
        <f aca="false">HYPERLINK("https://www.ncbi.nlm.nih.gov/nuccore/CP000304.1?report=graph&amp;tracks=[key:gene_model_track,Options:GeneOnly]&amp;mk=3863235:3863254|offset_1|00cc00,3863257:3863276|offset_23|444444,3863281:3863300|offset_47|444444,3863310:3863329|offset_76|444444&amp;v=3863034:3863529&amp;c=444444", "offset 1")</f>
        <v>offset 1</v>
      </c>
    </row>
    <row r="13666" customFormat="false" ht="12.8" hidden="false" customHeight="false" outlineLevel="0" collapsed="false">
      <c r="A13666" s="0" t="s">
        <v>12</v>
      </c>
      <c r="B13666" s="0" t="n">
        <v>3863256</v>
      </c>
      <c r="C13666" s="0" t="n">
        <v>3863276</v>
      </c>
      <c r="D13666" s="0" t="s">
        <v>45547</v>
      </c>
      <c r="E13666" s="0" t="s">
        <v>45548</v>
      </c>
      <c r="F13666" s="0" t="s">
        <v>15</v>
      </c>
      <c r="G13666" s="0" t="s">
        <v>26</v>
      </c>
      <c r="H13666" s="0" t="n">
        <v>23</v>
      </c>
      <c r="I13666" s="0" t="s">
        <v>45552</v>
      </c>
      <c r="J13666" s="0" t="s">
        <v>45553</v>
      </c>
      <c r="K13666" s="0" t="s">
        <v>45554</v>
      </c>
      <c r="L13666" s="0" t="str">
        <f aca="false">HYPERLINK("https://www.ncbi.nlm.nih.gov/nuccore/CP000304.1?report=graph&amp;tracks=[key:gene_model_track,Options:GeneOnly]&amp;mk=3863235:3863254|offset_1|444444,3863257:3863276|offset_23|00cc00,3863281:3863300|offset_47|444444,3863310:3863329|offset_76|444444&amp;v=3863034:3863529&amp;c=444444", "offset 23")</f>
        <v>offset 23</v>
      </c>
    </row>
    <row r="13667" customFormat="false" ht="12.8" hidden="false" customHeight="false" outlineLevel="0" collapsed="false">
      <c r="A13667" s="0" t="s">
        <v>12</v>
      </c>
      <c r="B13667" s="0" t="n">
        <v>3863280</v>
      </c>
      <c r="C13667" s="0" t="n">
        <v>3863300</v>
      </c>
      <c r="D13667" s="0" t="s">
        <v>45547</v>
      </c>
      <c r="E13667" s="0" t="s">
        <v>45548</v>
      </c>
      <c r="F13667" s="0" t="s">
        <v>15</v>
      </c>
      <c r="G13667" s="0" t="s">
        <v>16</v>
      </c>
      <c r="H13667" s="0" t="n">
        <v>47</v>
      </c>
      <c r="I13667" s="0" t="s">
        <v>45555</v>
      </c>
      <c r="J13667" s="0" t="s">
        <v>45556</v>
      </c>
      <c r="K13667" s="0" t="s">
        <v>45557</v>
      </c>
      <c r="L13667" s="0" t="str">
        <f aca="false">HYPERLINK("https://www.ncbi.nlm.nih.gov/nuccore/CP000304.1?report=graph&amp;tracks=[key:gene_model_track,Options:GeneOnly]&amp;mk=3863235:3863254|offset_1|444444,3863257:3863276|offset_23|444444,3863281:3863300|offset_47|00cc00,3863310:3863329|offset_76|444444&amp;v=3863034:3863529&amp;c=444444", "offset 47")</f>
        <v>offset 47</v>
      </c>
    </row>
    <row r="13668" customFormat="false" ht="12.8" hidden="false" customHeight="false" outlineLevel="0" collapsed="false">
      <c r="A13668" s="0" t="s">
        <v>12</v>
      </c>
      <c r="B13668" s="0" t="n">
        <v>3863309</v>
      </c>
      <c r="C13668" s="0" t="n">
        <v>3863329</v>
      </c>
      <c r="D13668" s="0" t="s">
        <v>45547</v>
      </c>
      <c r="E13668" s="0" t="s">
        <v>45548</v>
      </c>
      <c r="F13668" s="0" t="s">
        <v>15</v>
      </c>
      <c r="G13668" s="0" t="s">
        <v>16</v>
      </c>
      <c r="H13668" s="0" t="n">
        <v>76</v>
      </c>
      <c r="I13668" s="0" t="s">
        <v>45558</v>
      </c>
      <c r="J13668" s="0" t="s">
        <v>45559</v>
      </c>
      <c r="K13668" s="0" t="s">
        <v>45560</v>
      </c>
      <c r="L13668" s="0" t="str">
        <f aca="false">HYPERLINK("https://www.ncbi.nlm.nih.gov/nuccore/CP000304.1?report=graph&amp;tracks=[key:gene_model_track,Options:GeneOnly]&amp;mk=3863235:3863254|offset_1|444444,3863257:3863276|offset_23|444444,3863281:3863300|offset_47|444444,3863310:3863329|offset_76|00cc00&amp;v=3863034:3863529&amp;c=444444", "offset 76")</f>
        <v>offset 76</v>
      </c>
    </row>
    <row r="13669" customFormat="false" ht="12.8" hidden="false" customHeight="false" outlineLevel="0" collapsed="false">
      <c r="A13669" s="0" t="s">
        <v>12</v>
      </c>
      <c r="B13669" s="0" t="n">
        <v>3865035</v>
      </c>
      <c r="C13669" s="0" t="n">
        <v>3865055</v>
      </c>
      <c r="D13669" s="0" t="s">
        <v>45561</v>
      </c>
      <c r="E13669" s="0" t="s">
        <v>89</v>
      </c>
      <c r="F13669" s="0" t="s">
        <v>90</v>
      </c>
      <c r="G13669" s="0" t="s">
        <v>16</v>
      </c>
      <c r="H13669" s="0" t="n">
        <v>7</v>
      </c>
      <c r="I13669" s="0" t="s">
        <v>45562</v>
      </c>
      <c r="J13669" s="0" t="s">
        <v>45563</v>
      </c>
      <c r="K13669" s="0" t="s">
        <v>45564</v>
      </c>
      <c r="L13669" s="0" t="str">
        <f aca="false">HYPERLINK("https://www.ncbi.nlm.nih.gov/nuccore/CP000304.1?report=graph&amp;tracks=[key:gene_model_track,Options:GeneOnly]&amp;mk=3865036:3865055|offset_7|00cc00,3864999:3865018|offset_44|444444,3864976:3864995|offset_67|444444,3864933:3864952|offset_110|444444&amp;v=3864835:3865152&amp;c=444444", "offset 7")</f>
        <v>offset 7</v>
      </c>
    </row>
    <row r="13670" customFormat="false" ht="12.8" hidden="false" customHeight="false" outlineLevel="0" collapsed="false">
      <c r="A13670" s="0" t="s">
        <v>12</v>
      </c>
      <c r="B13670" s="0" t="n">
        <v>3864998</v>
      </c>
      <c r="C13670" s="0" t="n">
        <v>3865018</v>
      </c>
      <c r="D13670" s="0" t="s">
        <v>45561</v>
      </c>
      <c r="E13670" s="0" t="s">
        <v>89</v>
      </c>
      <c r="F13670" s="0" t="s">
        <v>90</v>
      </c>
      <c r="G13670" s="0" t="s">
        <v>32</v>
      </c>
      <c r="H13670" s="0" t="n">
        <v>44</v>
      </c>
      <c r="I13670" s="0" t="s">
        <v>45565</v>
      </c>
      <c r="J13670" s="0" t="s">
        <v>45566</v>
      </c>
      <c r="K13670" s="0" t="s">
        <v>45567</v>
      </c>
      <c r="L13670" s="0" t="str">
        <f aca="false">HYPERLINK("https://www.ncbi.nlm.nih.gov/nuccore/CP000304.1?report=graph&amp;tracks=[key:gene_model_track,Options:GeneOnly]&amp;mk=3865036:3865055|offset_7|444444,3864999:3865018|offset_44|00cc00,3864976:3864995|offset_67|444444,3864933:3864952|offset_110|444444&amp;v=3864835:3865152&amp;c=444444", "offset 44")</f>
        <v>offset 44</v>
      </c>
    </row>
    <row r="13671" customFormat="false" ht="12.8" hidden="false" customHeight="false" outlineLevel="0" collapsed="false">
      <c r="A13671" s="0" t="s">
        <v>12</v>
      </c>
      <c r="B13671" s="0" t="n">
        <v>3864975</v>
      </c>
      <c r="C13671" s="0" t="n">
        <v>3864995</v>
      </c>
      <c r="D13671" s="0" t="s">
        <v>45561</v>
      </c>
      <c r="E13671" s="0" t="s">
        <v>89</v>
      </c>
      <c r="F13671" s="0" t="s">
        <v>90</v>
      </c>
      <c r="G13671" s="0" t="s">
        <v>26</v>
      </c>
      <c r="H13671" s="0" t="n">
        <v>67</v>
      </c>
      <c r="I13671" s="0" t="s">
        <v>45568</v>
      </c>
      <c r="J13671" s="0" t="s">
        <v>45569</v>
      </c>
      <c r="K13671" s="0" t="s">
        <v>45570</v>
      </c>
      <c r="L13671" s="0" t="str">
        <f aca="false">HYPERLINK("https://www.ncbi.nlm.nih.gov/nuccore/CP000304.1?report=graph&amp;tracks=[key:gene_model_track,Options:GeneOnly]&amp;mk=3865036:3865055|offset_7|444444,3864999:3865018|offset_44|444444,3864976:3864995|offset_67|00cc00,3864933:3864952|offset_110|444444&amp;v=3864835:3865152&amp;c=444444", "offset 67")</f>
        <v>offset 67</v>
      </c>
    </row>
    <row r="13672" customFormat="false" ht="12.8" hidden="false" customHeight="false" outlineLevel="0" collapsed="false">
      <c r="A13672" s="0" t="s">
        <v>12</v>
      </c>
      <c r="B13672" s="0" t="n">
        <v>3864932</v>
      </c>
      <c r="C13672" s="0" t="n">
        <v>3864952</v>
      </c>
      <c r="D13672" s="0" t="s">
        <v>45561</v>
      </c>
      <c r="E13672" s="0" t="s">
        <v>89</v>
      </c>
      <c r="F13672" s="0" t="s">
        <v>90</v>
      </c>
      <c r="G13672" s="0" t="s">
        <v>36</v>
      </c>
      <c r="H13672" s="0" t="n">
        <v>110</v>
      </c>
      <c r="I13672" s="0" t="s">
        <v>45571</v>
      </c>
      <c r="J13672" s="0" t="s">
        <v>45572</v>
      </c>
      <c r="K13672" s="0" t="s">
        <v>45573</v>
      </c>
      <c r="L13672" s="0" t="str">
        <f aca="false">HYPERLINK("https://www.ncbi.nlm.nih.gov/nuccore/CP000304.1?report=graph&amp;tracks=[key:gene_model_track,Options:GeneOnly]&amp;mk=3865036:3865055|offset_7|444444,3864999:3865018|offset_44|444444,3864976:3864995|offset_67|444444,3864933:3864952|offset_110|00cc00&amp;v=3864835:3865152&amp;c=444444", "offset 110")</f>
        <v>offset 110</v>
      </c>
    </row>
    <row r="13673" customFormat="false" ht="12.8" hidden="false" customHeight="false" outlineLevel="0" collapsed="false">
      <c r="A13673" s="0" t="s">
        <v>12</v>
      </c>
      <c r="B13673" s="0" t="n">
        <v>3865415</v>
      </c>
      <c r="C13673" s="0" t="n">
        <v>3865435</v>
      </c>
      <c r="D13673" s="0" t="s">
        <v>45574</v>
      </c>
      <c r="E13673" s="0" t="s">
        <v>89</v>
      </c>
      <c r="F13673" s="0" t="s">
        <v>90</v>
      </c>
      <c r="G13673" s="0" t="s">
        <v>26</v>
      </c>
      <c r="H13673" s="0" t="n">
        <v>33</v>
      </c>
      <c r="I13673" s="0" t="s">
        <v>45575</v>
      </c>
      <c r="J13673" s="0" t="s">
        <v>45576</v>
      </c>
      <c r="K13673" s="0" t="s">
        <v>45577</v>
      </c>
      <c r="L13673" s="0" t="str">
        <f aca="false">HYPERLINK("https://www.ncbi.nlm.nih.gov/nuccore/CP000304.1?report=graph&amp;tracks=[key:gene_model_track,Options:GeneOnly]&amp;mk=3865416:3865435|offset_33|00cc00&amp;v=3865215:3865635&amp;c=444444", "offset 33")</f>
        <v>offset 33</v>
      </c>
    </row>
    <row r="13674" customFormat="false" ht="12.8" hidden="false" customHeight="false" outlineLevel="0" collapsed="false">
      <c r="A13674" s="0" t="s">
        <v>12</v>
      </c>
      <c r="B13674" s="0" t="n">
        <v>3865514</v>
      </c>
      <c r="C13674" s="0" t="n">
        <v>3865534</v>
      </c>
      <c r="D13674" s="0" t="s">
        <v>45578</v>
      </c>
      <c r="E13674" s="0" t="s">
        <v>89</v>
      </c>
      <c r="F13674" s="0" t="s">
        <v>15</v>
      </c>
      <c r="G13674" s="0" t="s">
        <v>32</v>
      </c>
      <c r="H13674" s="0" t="n">
        <v>1</v>
      </c>
      <c r="I13674" s="0" t="s">
        <v>45579</v>
      </c>
      <c r="J13674" s="0" t="s">
        <v>45580</v>
      </c>
      <c r="K13674" s="0" t="s">
        <v>45581</v>
      </c>
      <c r="L13674" s="0" t="str">
        <f aca="false">HYPERLINK("https://www.ncbi.nlm.nih.gov/nuccore/CP000304.1?report=graph&amp;tracks=[key:gene_model_track,Options:GeneOnly]&amp;mk=3865515:3865534|offset_1|00cc00,3865535:3865554|offset_21|444444,3865602:3865621|offset_88|444444,3865626:3865645|offset_112|444444&amp;v=3865314:3865845&amp;c=444444", "offset 1")</f>
        <v>offset 1</v>
      </c>
    </row>
    <row r="13675" customFormat="false" ht="12.8" hidden="false" customHeight="false" outlineLevel="0" collapsed="false">
      <c r="A13675" s="0" t="s">
        <v>12</v>
      </c>
      <c r="B13675" s="0" t="n">
        <v>3865534</v>
      </c>
      <c r="C13675" s="0" t="n">
        <v>3865554</v>
      </c>
      <c r="D13675" s="0" t="s">
        <v>45578</v>
      </c>
      <c r="E13675" s="0" t="s">
        <v>89</v>
      </c>
      <c r="F13675" s="0" t="s">
        <v>15</v>
      </c>
      <c r="G13675" s="0" t="s">
        <v>16</v>
      </c>
      <c r="H13675" s="0" t="n">
        <v>21</v>
      </c>
      <c r="I13675" s="0" t="s">
        <v>45582</v>
      </c>
      <c r="J13675" s="0" t="s">
        <v>45583</v>
      </c>
      <c r="K13675" s="0" t="s">
        <v>45584</v>
      </c>
      <c r="L13675" s="0" t="str">
        <f aca="false">HYPERLINK("https://www.ncbi.nlm.nih.gov/nuccore/CP000304.1?report=graph&amp;tracks=[key:gene_model_track,Options:GeneOnly]&amp;mk=3865515:3865534|offset_1|444444,3865535:3865554|offset_21|00cc00,3865602:3865621|offset_88|444444,3865626:3865645|offset_112|444444&amp;v=3865314:3865845&amp;c=444444", "offset 21")</f>
        <v>offset 21</v>
      </c>
    </row>
    <row r="13676" customFormat="false" ht="12.8" hidden="false" customHeight="false" outlineLevel="0" collapsed="false">
      <c r="A13676" s="0" t="s">
        <v>12</v>
      </c>
      <c r="B13676" s="0" t="n">
        <v>3865601</v>
      </c>
      <c r="C13676" s="0" t="n">
        <v>3865621</v>
      </c>
      <c r="D13676" s="0" t="s">
        <v>45578</v>
      </c>
      <c r="E13676" s="0" t="s">
        <v>89</v>
      </c>
      <c r="F13676" s="0" t="s">
        <v>15</v>
      </c>
      <c r="G13676" s="0" t="s">
        <v>26</v>
      </c>
      <c r="H13676" s="0" t="n">
        <v>88</v>
      </c>
      <c r="I13676" s="0" t="s">
        <v>45585</v>
      </c>
      <c r="J13676" s="0" t="s">
        <v>45586</v>
      </c>
      <c r="K13676" s="0" t="s">
        <v>45587</v>
      </c>
      <c r="L13676" s="0" t="str">
        <f aca="false">HYPERLINK("https://www.ncbi.nlm.nih.gov/nuccore/CP000304.1?report=graph&amp;tracks=[key:gene_model_track,Options:GeneOnly]&amp;mk=3865515:3865534|offset_1|444444,3865535:3865554|offset_21|444444,3865602:3865621|offset_88|00cc00,3865626:3865645|offset_112|444444&amp;v=3865314:3865845&amp;c=444444", "offset 88")</f>
        <v>offset 88</v>
      </c>
    </row>
    <row r="13677" customFormat="false" ht="12.8" hidden="false" customHeight="false" outlineLevel="0" collapsed="false">
      <c r="A13677" s="0" t="s">
        <v>12</v>
      </c>
      <c r="B13677" s="0" t="n">
        <v>3865625</v>
      </c>
      <c r="C13677" s="0" t="n">
        <v>3865645</v>
      </c>
      <c r="D13677" s="0" t="s">
        <v>45578</v>
      </c>
      <c r="E13677" s="0" t="s">
        <v>89</v>
      </c>
      <c r="F13677" s="0" t="s">
        <v>15</v>
      </c>
      <c r="G13677" s="0" t="s">
        <v>16</v>
      </c>
      <c r="H13677" s="0" t="n">
        <v>112</v>
      </c>
      <c r="I13677" s="0" t="s">
        <v>45588</v>
      </c>
      <c r="J13677" s="0" t="s">
        <v>45589</v>
      </c>
      <c r="K13677" s="0" t="s">
        <v>45590</v>
      </c>
      <c r="L13677" s="0" t="str">
        <f aca="false">HYPERLINK("https://www.ncbi.nlm.nih.gov/nuccore/CP000304.1?report=graph&amp;tracks=[key:gene_model_track,Options:GeneOnly]&amp;mk=3865515:3865534|offset_1|444444,3865535:3865554|offset_21|444444,3865602:3865621|offset_88|444444,3865626:3865645|offset_112|00cc00&amp;v=3865314:3865845&amp;c=444444", "offset 112")</f>
        <v>offset 112</v>
      </c>
    </row>
    <row r="13678" customFormat="false" ht="12.8" hidden="false" customHeight="false" outlineLevel="0" collapsed="false">
      <c r="A13678" s="0" t="s">
        <v>12</v>
      </c>
      <c r="B13678" s="0" t="n">
        <v>3866104</v>
      </c>
      <c r="C13678" s="0" t="n">
        <v>3866124</v>
      </c>
      <c r="D13678" s="0" t="s">
        <v>45591</v>
      </c>
      <c r="E13678" s="0" t="s">
        <v>45592</v>
      </c>
      <c r="F13678" s="0" t="s">
        <v>15</v>
      </c>
      <c r="G13678" s="0" t="s">
        <v>16</v>
      </c>
      <c r="H13678" s="0" t="n">
        <v>1</v>
      </c>
      <c r="I13678" s="0" t="s">
        <v>45593</v>
      </c>
      <c r="J13678" s="0" t="s">
        <v>45594</v>
      </c>
      <c r="K13678" s="0" t="s">
        <v>45595</v>
      </c>
      <c r="L13678" s="0" t="str">
        <f aca="false">HYPERLINK("https://www.ncbi.nlm.nih.gov/nuccore/CP000304.1?report=graph&amp;tracks=[key:gene_model_track,Options:GeneOnly]&amp;mk=3866105:3866124|offset_1|00cc00,3866127:3866146|offset_23|444444,3866150:3866169|offset_46|444444,3866179:3866198|offset_75|444444&amp;v=3865904:3866398&amp;c=444444", "offset 1")</f>
        <v>offset 1</v>
      </c>
    </row>
    <row r="13679" customFormat="false" ht="12.8" hidden="false" customHeight="false" outlineLevel="0" collapsed="false">
      <c r="A13679" s="0" t="s">
        <v>12</v>
      </c>
      <c r="B13679" s="0" t="n">
        <v>3866126</v>
      </c>
      <c r="C13679" s="0" t="n">
        <v>3866146</v>
      </c>
      <c r="D13679" s="0" t="s">
        <v>45591</v>
      </c>
      <c r="E13679" s="0" t="s">
        <v>45592</v>
      </c>
      <c r="F13679" s="0" t="s">
        <v>15</v>
      </c>
      <c r="G13679" s="0" t="s">
        <v>36</v>
      </c>
      <c r="H13679" s="0" t="n">
        <v>23</v>
      </c>
      <c r="I13679" s="0" t="s">
        <v>45596</v>
      </c>
      <c r="J13679" s="0" t="s">
        <v>45597</v>
      </c>
      <c r="K13679" s="0" t="s">
        <v>45598</v>
      </c>
      <c r="L13679" s="0" t="str">
        <f aca="false">HYPERLINK("https://www.ncbi.nlm.nih.gov/nuccore/CP000304.1?report=graph&amp;tracks=[key:gene_model_track,Options:GeneOnly]&amp;mk=3866105:3866124|offset_1|444444,3866127:3866146|offset_23|00cc00,3866150:3866169|offset_46|444444,3866179:3866198|offset_75|444444&amp;v=3865904:3866398&amp;c=444444", "offset 23")</f>
        <v>offset 23</v>
      </c>
    </row>
    <row r="13680" customFormat="false" ht="12.8" hidden="false" customHeight="false" outlineLevel="0" collapsed="false">
      <c r="A13680" s="0" t="s">
        <v>12</v>
      </c>
      <c r="B13680" s="0" t="n">
        <v>3866149</v>
      </c>
      <c r="C13680" s="0" t="n">
        <v>3866169</v>
      </c>
      <c r="D13680" s="0" t="s">
        <v>45591</v>
      </c>
      <c r="E13680" s="0" t="s">
        <v>45592</v>
      </c>
      <c r="F13680" s="0" t="s">
        <v>15</v>
      </c>
      <c r="G13680" s="0" t="s">
        <v>26</v>
      </c>
      <c r="H13680" s="0" t="n">
        <v>46</v>
      </c>
      <c r="I13680" s="0" t="s">
        <v>45599</v>
      </c>
      <c r="J13680" s="0" t="s">
        <v>45600</v>
      </c>
      <c r="K13680" s="0" t="s">
        <v>45601</v>
      </c>
      <c r="L13680" s="0" t="str">
        <f aca="false">HYPERLINK("https://www.ncbi.nlm.nih.gov/nuccore/CP000304.1?report=graph&amp;tracks=[key:gene_model_track,Options:GeneOnly]&amp;mk=3866105:3866124|offset_1|444444,3866127:3866146|offset_23|444444,3866150:3866169|offset_46|00cc00,3866179:3866198|offset_75|444444&amp;v=3865904:3866398&amp;c=444444", "offset 46")</f>
        <v>offset 46</v>
      </c>
    </row>
    <row r="13681" customFormat="false" ht="12.8" hidden="false" customHeight="false" outlineLevel="0" collapsed="false">
      <c r="A13681" s="0" t="s">
        <v>12</v>
      </c>
      <c r="B13681" s="0" t="n">
        <v>3866178</v>
      </c>
      <c r="C13681" s="0" t="n">
        <v>3866198</v>
      </c>
      <c r="D13681" s="0" t="s">
        <v>45591</v>
      </c>
      <c r="E13681" s="0" t="s">
        <v>45592</v>
      </c>
      <c r="F13681" s="0" t="s">
        <v>15</v>
      </c>
      <c r="G13681" s="0" t="s">
        <v>36</v>
      </c>
      <c r="H13681" s="0" t="n">
        <v>75</v>
      </c>
      <c r="I13681" s="0" t="s">
        <v>45602</v>
      </c>
      <c r="J13681" s="0" t="s">
        <v>45603</v>
      </c>
      <c r="K13681" s="0" t="s">
        <v>45604</v>
      </c>
      <c r="L13681" s="0" t="str">
        <f aca="false">HYPERLINK("https://www.ncbi.nlm.nih.gov/nuccore/CP000304.1?report=graph&amp;tracks=[key:gene_model_track,Options:GeneOnly]&amp;mk=3866105:3866124|offset_1|444444,3866127:3866146|offset_23|444444,3866150:3866169|offset_46|444444,3866179:3866198|offset_75|00cc00&amp;v=3865904:3866398&amp;c=444444", "offset 75")</f>
        <v>offset 75</v>
      </c>
    </row>
    <row r="13682" customFormat="false" ht="12.8" hidden="false" customHeight="false" outlineLevel="0" collapsed="false">
      <c r="A13682" s="0" t="s">
        <v>12</v>
      </c>
      <c r="B13682" s="0" t="n">
        <v>3867064</v>
      </c>
      <c r="C13682" s="0" t="n">
        <v>3867084</v>
      </c>
      <c r="D13682" s="0" t="s">
        <v>45605</v>
      </c>
      <c r="E13682" s="0" t="s">
        <v>89</v>
      </c>
      <c r="F13682" s="0" t="s">
        <v>90</v>
      </c>
      <c r="G13682" s="0" t="s">
        <v>16</v>
      </c>
      <c r="H13682" s="0" t="n">
        <v>119</v>
      </c>
      <c r="I13682" s="0" t="s">
        <v>45606</v>
      </c>
      <c r="J13682" s="0" t="s">
        <v>45607</v>
      </c>
      <c r="K13682" s="0" t="s">
        <v>45608</v>
      </c>
      <c r="L13682" s="0" t="str">
        <f aca="false">HYPERLINK("https://www.ncbi.nlm.nih.gov/nuccore/CP000304.1?report=graph&amp;tracks=[key:gene_model_track,Options:GeneOnly]&amp;mk=3867065:3867084|offset_119|00cc00,3867000:3867019|offset_184|444444,3866979:3866998|offset_205|444444,3866959:3866978|offset_225|444444&amp;v=3866864:3867178&amp;c=444444", "offset 119")</f>
        <v>offset 119</v>
      </c>
    </row>
    <row r="13683" customFormat="false" ht="12.8" hidden="false" customHeight="false" outlineLevel="0" collapsed="false">
      <c r="A13683" s="0" t="s">
        <v>12</v>
      </c>
      <c r="B13683" s="0" t="n">
        <v>3866999</v>
      </c>
      <c r="C13683" s="0" t="n">
        <v>3867019</v>
      </c>
      <c r="D13683" s="0" t="s">
        <v>45605</v>
      </c>
      <c r="E13683" s="0" t="s">
        <v>89</v>
      </c>
      <c r="F13683" s="0" t="s">
        <v>90</v>
      </c>
      <c r="G13683" s="0" t="s">
        <v>16</v>
      </c>
      <c r="H13683" s="0" t="n">
        <v>184</v>
      </c>
      <c r="I13683" s="0" t="s">
        <v>45609</v>
      </c>
      <c r="J13683" s="0" t="s">
        <v>45610</v>
      </c>
      <c r="K13683" s="0" t="s">
        <v>45611</v>
      </c>
      <c r="L13683" s="0" t="str">
        <f aca="false">HYPERLINK("https://www.ncbi.nlm.nih.gov/nuccore/CP000304.1?report=graph&amp;tracks=[key:gene_model_track,Options:GeneOnly]&amp;mk=3867065:3867084|offset_119|444444,3867000:3867019|offset_184|00cc00,3866979:3866998|offset_205|444444,3866959:3866978|offset_225|444444&amp;v=3866864:3867178&amp;c=444444", "offset 184")</f>
        <v>offset 184</v>
      </c>
    </row>
    <row r="13684" customFormat="false" ht="12.8" hidden="false" customHeight="false" outlineLevel="0" collapsed="false">
      <c r="A13684" s="0" t="s">
        <v>12</v>
      </c>
      <c r="B13684" s="0" t="n">
        <v>3866978</v>
      </c>
      <c r="C13684" s="0" t="n">
        <v>3866998</v>
      </c>
      <c r="D13684" s="0" t="s">
        <v>45605</v>
      </c>
      <c r="E13684" s="0" t="s">
        <v>89</v>
      </c>
      <c r="F13684" s="0" t="s">
        <v>90</v>
      </c>
      <c r="G13684" s="0" t="s">
        <v>36</v>
      </c>
      <c r="H13684" s="0" t="n">
        <v>205</v>
      </c>
      <c r="I13684" s="0" t="s">
        <v>45612</v>
      </c>
      <c r="J13684" s="0" t="s">
        <v>45613</v>
      </c>
      <c r="K13684" s="0" t="s">
        <v>45614</v>
      </c>
      <c r="L13684" s="0" t="str">
        <f aca="false">HYPERLINK("https://www.ncbi.nlm.nih.gov/nuccore/CP000304.1?report=graph&amp;tracks=[key:gene_model_track,Options:GeneOnly]&amp;mk=3867065:3867084|offset_119|444444,3867000:3867019|offset_184|444444,3866979:3866998|offset_205|00cc00,3866959:3866978|offset_225|444444&amp;v=3866864:3867178&amp;c=444444", "offset 205")</f>
        <v>offset 205</v>
      </c>
    </row>
    <row r="13685" customFormat="false" ht="12.8" hidden="false" customHeight="false" outlineLevel="0" collapsed="false">
      <c r="A13685" s="0" t="s">
        <v>12</v>
      </c>
      <c r="B13685" s="0" t="n">
        <v>3866958</v>
      </c>
      <c r="C13685" s="0" t="n">
        <v>3866978</v>
      </c>
      <c r="D13685" s="0" t="s">
        <v>45605</v>
      </c>
      <c r="E13685" s="0" t="s">
        <v>89</v>
      </c>
      <c r="F13685" s="0" t="s">
        <v>90</v>
      </c>
      <c r="G13685" s="0" t="s">
        <v>16</v>
      </c>
      <c r="H13685" s="0" t="n">
        <v>225</v>
      </c>
      <c r="I13685" s="0" t="s">
        <v>45615</v>
      </c>
      <c r="J13685" s="0" t="s">
        <v>45616</v>
      </c>
      <c r="K13685" s="0" t="s">
        <v>45617</v>
      </c>
      <c r="L13685" s="0" t="str">
        <f aca="false">HYPERLINK("https://www.ncbi.nlm.nih.gov/nuccore/CP000304.1?report=graph&amp;tracks=[key:gene_model_track,Options:GeneOnly]&amp;mk=3867065:3867084|offset_119|444444,3867000:3867019|offset_184|444444,3866979:3866998|offset_205|444444,3866959:3866978|offset_225|00cc00&amp;v=3866864:3867178&amp;c=444444", "offset 225")</f>
        <v>offset 225</v>
      </c>
    </row>
    <row r="13686" customFormat="false" ht="12.8" hidden="false" customHeight="false" outlineLevel="0" collapsed="false">
      <c r="A13686" s="0" t="s">
        <v>12</v>
      </c>
      <c r="B13686" s="0" t="n">
        <v>3867444</v>
      </c>
      <c r="C13686" s="0" t="n">
        <v>3867464</v>
      </c>
      <c r="D13686" s="0" t="s">
        <v>45618</v>
      </c>
      <c r="E13686" s="0" t="s">
        <v>89</v>
      </c>
      <c r="F13686" s="0" t="s">
        <v>15</v>
      </c>
      <c r="G13686" s="0" t="s">
        <v>32</v>
      </c>
      <c r="H13686" s="0" t="n">
        <v>7</v>
      </c>
      <c r="I13686" s="0" t="s">
        <v>45619</v>
      </c>
      <c r="J13686" s="0" t="s">
        <v>45620</v>
      </c>
      <c r="K13686" s="0" t="s">
        <v>45621</v>
      </c>
      <c r="L13686" s="0" t="str">
        <f aca="false">HYPERLINK("https://www.ncbi.nlm.nih.gov/nuccore/CP000304.1?report=graph&amp;tracks=[key:gene_model_track,Options:GeneOnly]&amp;mk=3867445:3867464|offset_7|00cc00,3867490:3867509|offset_52|444444,3867539:3867558|offset_101|444444,3867559:3867578|offset_121|444444&amp;v=3867244:3867778&amp;c=444444", "offset 7")</f>
        <v>offset 7</v>
      </c>
    </row>
    <row r="13687" customFormat="false" ht="12.8" hidden="false" customHeight="false" outlineLevel="0" collapsed="false">
      <c r="A13687" s="0" t="s">
        <v>12</v>
      </c>
      <c r="B13687" s="0" t="n">
        <v>3867489</v>
      </c>
      <c r="C13687" s="0" t="n">
        <v>3867509</v>
      </c>
      <c r="D13687" s="0" t="s">
        <v>45618</v>
      </c>
      <c r="E13687" s="0" t="s">
        <v>89</v>
      </c>
      <c r="F13687" s="0" t="s">
        <v>15</v>
      </c>
      <c r="G13687" s="0" t="s">
        <v>32</v>
      </c>
      <c r="H13687" s="0" t="n">
        <v>52</v>
      </c>
      <c r="I13687" s="0" t="s">
        <v>45622</v>
      </c>
      <c r="J13687" s="0" t="s">
        <v>45623</v>
      </c>
      <c r="K13687" s="0" t="s">
        <v>45624</v>
      </c>
      <c r="L13687" s="0" t="str">
        <f aca="false">HYPERLINK("https://www.ncbi.nlm.nih.gov/nuccore/CP000304.1?report=graph&amp;tracks=[key:gene_model_track,Options:GeneOnly]&amp;mk=3867445:3867464|offset_7|444444,3867490:3867509|offset_52|00cc00,3867539:3867558|offset_101|444444,3867559:3867578|offset_121|444444&amp;v=3867244:3867778&amp;c=444444", "offset 52")</f>
        <v>offset 52</v>
      </c>
    </row>
    <row r="13688" customFormat="false" ht="12.8" hidden="false" customHeight="false" outlineLevel="0" collapsed="false">
      <c r="A13688" s="0" t="s">
        <v>12</v>
      </c>
      <c r="B13688" s="0" t="n">
        <v>3867538</v>
      </c>
      <c r="C13688" s="0" t="n">
        <v>3867558</v>
      </c>
      <c r="D13688" s="0" t="s">
        <v>45618</v>
      </c>
      <c r="E13688" s="0" t="s">
        <v>89</v>
      </c>
      <c r="F13688" s="0" t="s">
        <v>15</v>
      </c>
      <c r="G13688" s="0" t="s">
        <v>32</v>
      </c>
      <c r="H13688" s="0" t="n">
        <v>101</v>
      </c>
      <c r="I13688" s="0" t="s">
        <v>45625</v>
      </c>
      <c r="J13688" s="0" t="s">
        <v>45626</v>
      </c>
      <c r="K13688" s="0" t="s">
        <v>45627</v>
      </c>
      <c r="L13688" s="0" t="str">
        <f aca="false">HYPERLINK("https://www.ncbi.nlm.nih.gov/nuccore/CP000304.1?report=graph&amp;tracks=[key:gene_model_track,Options:GeneOnly]&amp;mk=3867445:3867464|offset_7|444444,3867490:3867509|offset_52|444444,3867539:3867558|offset_101|00cc00,3867559:3867578|offset_121|444444&amp;v=3867244:3867778&amp;c=444444", "offset 101")</f>
        <v>offset 101</v>
      </c>
    </row>
    <row r="13689" customFormat="false" ht="12.8" hidden="false" customHeight="false" outlineLevel="0" collapsed="false">
      <c r="A13689" s="0" t="s">
        <v>12</v>
      </c>
      <c r="B13689" s="0" t="n">
        <v>3867558</v>
      </c>
      <c r="C13689" s="0" t="n">
        <v>3867578</v>
      </c>
      <c r="D13689" s="0" t="s">
        <v>45618</v>
      </c>
      <c r="E13689" s="0" t="s">
        <v>89</v>
      </c>
      <c r="F13689" s="0" t="s">
        <v>15</v>
      </c>
      <c r="G13689" s="0" t="s">
        <v>26</v>
      </c>
      <c r="H13689" s="0" t="n">
        <v>121</v>
      </c>
      <c r="I13689" s="0" t="s">
        <v>45628</v>
      </c>
      <c r="J13689" s="0" t="s">
        <v>45629</v>
      </c>
      <c r="K13689" s="0" t="s">
        <v>45630</v>
      </c>
      <c r="L13689" s="0" t="str">
        <f aca="false">HYPERLINK("https://www.ncbi.nlm.nih.gov/nuccore/CP000304.1?report=graph&amp;tracks=[key:gene_model_track,Options:GeneOnly]&amp;mk=3867445:3867464|offset_7|444444,3867490:3867509|offset_52|444444,3867539:3867558|offset_101|444444,3867559:3867578|offset_121|00cc00&amp;v=3867244:3867778&amp;c=444444", "offset 121")</f>
        <v>offset 121</v>
      </c>
    </row>
    <row r="13690" customFormat="false" ht="12.8" hidden="false" customHeight="false" outlineLevel="0" collapsed="false">
      <c r="A13690" s="0" t="s">
        <v>12</v>
      </c>
      <c r="B13690" s="0" t="n">
        <v>3869468</v>
      </c>
      <c r="C13690" s="0" t="n">
        <v>3869488</v>
      </c>
      <c r="D13690" s="0" t="s">
        <v>45631</v>
      </c>
      <c r="E13690" s="0" t="s">
        <v>89</v>
      </c>
      <c r="F13690" s="0" t="s">
        <v>90</v>
      </c>
      <c r="G13690" s="0" t="s">
        <v>16</v>
      </c>
      <c r="H13690" s="0" t="n">
        <v>88</v>
      </c>
      <c r="I13690" s="0" t="s">
        <v>45632</v>
      </c>
      <c r="J13690" s="0" t="s">
        <v>45633</v>
      </c>
      <c r="K13690" s="0" t="s">
        <v>45634</v>
      </c>
      <c r="L13690" s="0" t="str">
        <f aca="false">HYPERLINK("https://www.ncbi.nlm.nih.gov/nuccore/CP000304.1?report=graph&amp;tracks=[key:gene_model_track,Options:GeneOnly]&amp;mk=3869469:3869488|offset_88|00cc00,3869448:3869467|offset_109|444444,3869420:3869439|offset_137|444444,3869361:3869380|offset_196|444444&amp;v=3869268:3869580&amp;c=444444", "offset 88")</f>
        <v>offset 88</v>
      </c>
    </row>
    <row r="13691" customFormat="false" ht="12.8" hidden="false" customHeight="false" outlineLevel="0" collapsed="false">
      <c r="A13691" s="0" t="s">
        <v>12</v>
      </c>
      <c r="B13691" s="0" t="n">
        <v>3869447</v>
      </c>
      <c r="C13691" s="0" t="n">
        <v>3869467</v>
      </c>
      <c r="D13691" s="0" t="s">
        <v>45631</v>
      </c>
      <c r="E13691" s="0" t="s">
        <v>89</v>
      </c>
      <c r="F13691" s="0" t="s">
        <v>90</v>
      </c>
      <c r="G13691" s="0" t="s">
        <v>32</v>
      </c>
      <c r="H13691" s="0" t="n">
        <v>109</v>
      </c>
      <c r="I13691" s="0" t="s">
        <v>45635</v>
      </c>
      <c r="J13691" s="0" t="s">
        <v>45636</v>
      </c>
      <c r="K13691" s="0" t="s">
        <v>45637</v>
      </c>
      <c r="L13691" s="0" t="str">
        <f aca="false">HYPERLINK("https://www.ncbi.nlm.nih.gov/nuccore/CP000304.1?report=graph&amp;tracks=[key:gene_model_track,Options:GeneOnly]&amp;mk=3869469:3869488|offset_88|444444,3869448:3869467|offset_109|00cc00,3869420:3869439|offset_137|444444,3869361:3869380|offset_196|444444&amp;v=3869268:3869580&amp;c=444444", "offset 109")</f>
        <v>offset 109</v>
      </c>
    </row>
    <row r="13692" customFormat="false" ht="12.8" hidden="false" customHeight="false" outlineLevel="0" collapsed="false">
      <c r="A13692" s="0" t="s">
        <v>12</v>
      </c>
      <c r="B13692" s="0" t="n">
        <v>3869419</v>
      </c>
      <c r="C13692" s="0" t="n">
        <v>3869439</v>
      </c>
      <c r="D13692" s="0" t="s">
        <v>45631</v>
      </c>
      <c r="E13692" s="0" t="s">
        <v>89</v>
      </c>
      <c r="F13692" s="0" t="s">
        <v>90</v>
      </c>
      <c r="G13692" s="0" t="s">
        <v>36</v>
      </c>
      <c r="H13692" s="0" t="n">
        <v>137</v>
      </c>
      <c r="I13692" s="0" t="s">
        <v>45638</v>
      </c>
      <c r="J13692" s="0" t="s">
        <v>45639</v>
      </c>
      <c r="K13692" s="0" t="s">
        <v>45640</v>
      </c>
      <c r="L13692" s="0" t="str">
        <f aca="false">HYPERLINK("https://www.ncbi.nlm.nih.gov/nuccore/CP000304.1?report=graph&amp;tracks=[key:gene_model_track,Options:GeneOnly]&amp;mk=3869469:3869488|offset_88|444444,3869448:3869467|offset_109|444444,3869420:3869439|offset_137|00cc00,3869361:3869380|offset_196|444444&amp;v=3869268:3869580&amp;c=444444", "offset 137")</f>
        <v>offset 137</v>
      </c>
    </row>
    <row r="13693" customFormat="false" ht="12.8" hidden="false" customHeight="false" outlineLevel="0" collapsed="false">
      <c r="A13693" s="0" t="s">
        <v>12</v>
      </c>
      <c r="B13693" s="0" t="n">
        <v>3869360</v>
      </c>
      <c r="C13693" s="0" t="n">
        <v>3869380</v>
      </c>
      <c r="D13693" s="0" t="s">
        <v>45631</v>
      </c>
      <c r="E13693" s="0" t="s">
        <v>89</v>
      </c>
      <c r="F13693" s="0" t="s">
        <v>90</v>
      </c>
      <c r="G13693" s="0" t="s">
        <v>16</v>
      </c>
      <c r="H13693" s="0" t="n">
        <v>196</v>
      </c>
      <c r="I13693" s="0" t="s">
        <v>45641</v>
      </c>
      <c r="J13693" s="0" t="s">
        <v>45642</v>
      </c>
      <c r="K13693" s="0" t="s">
        <v>45643</v>
      </c>
      <c r="L13693" s="0" t="str">
        <f aca="false">HYPERLINK("https://www.ncbi.nlm.nih.gov/nuccore/CP000304.1?report=graph&amp;tracks=[key:gene_model_track,Options:GeneOnly]&amp;mk=3869469:3869488|offset_88|444444,3869448:3869467|offset_109|444444,3869420:3869439|offset_137|444444,3869361:3869380|offset_196|00cc00&amp;v=3869268:3869580&amp;c=444444", "offset 196")</f>
        <v>offset 196</v>
      </c>
    </row>
    <row r="13694" customFormat="false" ht="12.8" hidden="false" customHeight="false" outlineLevel="0" collapsed="false">
      <c r="A13694" s="0" t="s">
        <v>12</v>
      </c>
      <c r="B13694" s="0" t="n">
        <v>3869794</v>
      </c>
      <c r="C13694" s="0" t="n">
        <v>3869814</v>
      </c>
      <c r="D13694" s="0" t="s">
        <v>45644</v>
      </c>
      <c r="E13694" s="0" t="s">
        <v>89</v>
      </c>
      <c r="F13694" s="0" t="s">
        <v>15</v>
      </c>
      <c r="G13694" s="0" t="s">
        <v>32</v>
      </c>
      <c r="H13694" s="0" t="n">
        <v>13</v>
      </c>
      <c r="I13694" s="0" t="s">
        <v>45645</v>
      </c>
      <c r="J13694" s="0" t="s">
        <v>45646</v>
      </c>
      <c r="K13694" s="0" t="s">
        <v>45647</v>
      </c>
      <c r="L13694" s="0" t="str">
        <f aca="false">HYPERLINK("https://www.ncbi.nlm.nih.gov/nuccore/CP000304.1?report=graph&amp;tracks=[key:gene_model_track,Options:GeneOnly]&amp;mk=3869795:3869814|offset_13|00cc00,3869819:3869838|offset_37|444444,3869863:3869882|offset_81|444444,3869883:3869902|offset_101|444444&amp;v=3869594:3870102&amp;c=444444", "offset 13")</f>
        <v>offset 13</v>
      </c>
    </row>
    <row r="13695" customFormat="false" ht="12.8" hidden="false" customHeight="false" outlineLevel="0" collapsed="false">
      <c r="A13695" s="0" t="s">
        <v>12</v>
      </c>
      <c r="B13695" s="0" t="n">
        <v>3869818</v>
      </c>
      <c r="C13695" s="0" t="n">
        <v>3869838</v>
      </c>
      <c r="D13695" s="0" t="s">
        <v>45644</v>
      </c>
      <c r="E13695" s="0" t="s">
        <v>89</v>
      </c>
      <c r="F13695" s="0" t="s">
        <v>15</v>
      </c>
      <c r="G13695" s="0" t="s">
        <v>26</v>
      </c>
      <c r="H13695" s="0" t="n">
        <v>37</v>
      </c>
      <c r="I13695" s="0" t="s">
        <v>45648</v>
      </c>
      <c r="J13695" s="0" t="s">
        <v>45649</v>
      </c>
      <c r="K13695" s="0" t="s">
        <v>45650</v>
      </c>
      <c r="L13695" s="0" t="str">
        <f aca="false">HYPERLINK("https://www.ncbi.nlm.nih.gov/nuccore/CP000304.1?report=graph&amp;tracks=[key:gene_model_track,Options:GeneOnly]&amp;mk=3869795:3869814|offset_13|444444,3869819:3869838|offset_37|00cc00,3869863:3869882|offset_81|444444,3869883:3869902|offset_101|444444&amp;v=3869594:3870102&amp;c=444444", "offset 37")</f>
        <v>offset 37</v>
      </c>
    </row>
    <row r="13696" customFormat="false" ht="12.8" hidden="false" customHeight="false" outlineLevel="0" collapsed="false">
      <c r="A13696" s="0" t="s">
        <v>12</v>
      </c>
      <c r="B13696" s="0" t="n">
        <v>3869862</v>
      </c>
      <c r="C13696" s="0" t="n">
        <v>3869882</v>
      </c>
      <c r="D13696" s="0" t="s">
        <v>45644</v>
      </c>
      <c r="E13696" s="0" t="s">
        <v>89</v>
      </c>
      <c r="F13696" s="0" t="s">
        <v>15</v>
      </c>
      <c r="G13696" s="0" t="s">
        <v>16</v>
      </c>
      <c r="H13696" s="0" t="n">
        <v>81</v>
      </c>
      <c r="I13696" s="0" t="s">
        <v>45651</v>
      </c>
      <c r="J13696" s="0" t="s">
        <v>45652</v>
      </c>
      <c r="K13696" s="0" t="s">
        <v>45653</v>
      </c>
      <c r="L13696" s="0" t="str">
        <f aca="false">HYPERLINK("https://www.ncbi.nlm.nih.gov/nuccore/CP000304.1?report=graph&amp;tracks=[key:gene_model_track,Options:GeneOnly]&amp;mk=3869795:3869814|offset_13|444444,3869819:3869838|offset_37|444444,3869863:3869882|offset_81|00cc00,3869883:3869902|offset_101|444444&amp;v=3869594:3870102&amp;c=444444", "offset 81")</f>
        <v>offset 81</v>
      </c>
    </row>
    <row r="13697" customFormat="false" ht="12.8" hidden="false" customHeight="false" outlineLevel="0" collapsed="false">
      <c r="A13697" s="0" t="s">
        <v>12</v>
      </c>
      <c r="B13697" s="0" t="n">
        <v>3869882</v>
      </c>
      <c r="C13697" s="0" t="n">
        <v>3869902</v>
      </c>
      <c r="D13697" s="0" t="s">
        <v>45644</v>
      </c>
      <c r="E13697" s="0" t="s">
        <v>89</v>
      </c>
      <c r="F13697" s="0" t="s">
        <v>15</v>
      </c>
      <c r="G13697" s="0" t="s">
        <v>32</v>
      </c>
      <c r="H13697" s="0" t="n">
        <v>101</v>
      </c>
      <c r="I13697" s="0" t="s">
        <v>45654</v>
      </c>
      <c r="J13697" s="0" t="s">
        <v>45655</v>
      </c>
      <c r="K13697" s="0" t="s">
        <v>45656</v>
      </c>
      <c r="L13697" s="0" t="str">
        <f aca="false">HYPERLINK("https://www.ncbi.nlm.nih.gov/nuccore/CP000304.1?report=graph&amp;tracks=[key:gene_model_track,Options:GeneOnly]&amp;mk=3869795:3869814|offset_13|444444,3869819:3869838|offset_37|444444,3869863:3869882|offset_81|444444,3869883:3869902|offset_101|00cc00&amp;v=3869594:3870102&amp;c=444444", "offset 101")</f>
        <v>offset 101</v>
      </c>
    </row>
    <row r="13698" customFormat="false" ht="12.8" hidden="false" customHeight="false" outlineLevel="0" collapsed="false">
      <c r="A13698" s="0" t="s">
        <v>12</v>
      </c>
      <c r="B13698" s="0" t="n">
        <v>3871083</v>
      </c>
      <c r="C13698" s="0" t="n">
        <v>3871103</v>
      </c>
      <c r="D13698" s="0" t="s">
        <v>45657</v>
      </c>
      <c r="E13698" s="0" t="s">
        <v>89</v>
      </c>
      <c r="F13698" s="0" t="s">
        <v>90</v>
      </c>
      <c r="G13698" s="0" t="s">
        <v>32</v>
      </c>
      <c r="H13698" s="0" t="n">
        <v>16</v>
      </c>
      <c r="I13698" s="0" t="s">
        <v>45658</v>
      </c>
      <c r="J13698" s="0" t="s">
        <v>45659</v>
      </c>
      <c r="K13698" s="0" t="s">
        <v>45660</v>
      </c>
      <c r="L13698" s="0" t="str">
        <f aca="false">HYPERLINK("https://www.ncbi.nlm.nih.gov/nuccore/CP000304.1?report=graph&amp;tracks=[key:gene_model_track,Options:GeneOnly]&amp;mk=3871084:3871103|offset_16|00cc00,3871064:3871083|offset_36|444444,3871041:3871060|offset_59|444444,3871020:3871039|offset_80|444444&amp;v=3870883:3871239&amp;c=444444", "offset 16")</f>
        <v>offset 16</v>
      </c>
    </row>
    <row r="13699" customFormat="false" ht="12.8" hidden="false" customHeight="false" outlineLevel="0" collapsed="false">
      <c r="A13699" s="0" t="s">
        <v>12</v>
      </c>
      <c r="B13699" s="0" t="n">
        <v>3871063</v>
      </c>
      <c r="C13699" s="0" t="n">
        <v>3871083</v>
      </c>
      <c r="D13699" s="0" t="s">
        <v>45657</v>
      </c>
      <c r="E13699" s="0" t="s">
        <v>89</v>
      </c>
      <c r="F13699" s="0" t="s">
        <v>90</v>
      </c>
      <c r="G13699" s="0" t="s">
        <v>16</v>
      </c>
      <c r="H13699" s="0" t="n">
        <v>36</v>
      </c>
      <c r="I13699" s="0" t="s">
        <v>45661</v>
      </c>
      <c r="J13699" s="0" t="s">
        <v>45662</v>
      </c>
      <c r="K13699" s="0" t="s">
        <v>45663</v>
      </c>
      <c r="L13699" s="0" t="str">
        <f aca="false">HYPERLINK("https://www.ncbi.nlm.nih.gov/nuccore/CP000304.1?report=graph&amp;tracks=[key:gene_model_track,Options:GeneOnly]&amp;mk=3871084:3871103|offset_16|444444,3871064:3871083|offset_36|00cc00,3871041:3871060|offset_59|444444,3871020:3871039|offset_80|444444&amp;v=3870883:3871239&amp;c=444444", "offset 36")</f>
        <v>offset 36</v>
      </c>
    </row>
    <row r="13700" customFormat="false" ht="12.8" hidden="false" customHeight="false" outlineLevel="0" collapsed="false">
      <c r="A13700" s="0" t="s">
        <v>12</v>
      </c>
      <c r="B13700" s="0" t="n">
        <v>3871040</v>
      </c>
      <c r="C13700" s="0" t="n">
        <v>3871060</v>
      </c>
      <c r="D13700" s="0" t="s">
        <v>45657</v>
      </c>
      <c r="E13700" s="0" t="s">
        <v>89</v>
      </c>
      <c r="F13700" s="0" t="s">
        <v>90</v>
      </c>
      <c r="G13700" s="0" t="s">
        <v>26</v>
      </c>
      <c r="H13700" s="0" t="n">
        <v>59</v>
      </c>
      <c r="I13700" s="0" t="s">
        <v>45664</v>
      </c>
      <c r="J13700" s="0" t="s">
        <v>45665</v>
      </c>
      <c r="K13700" s="0" t="s">
        <v>45666</v>
      </c>
      <c r="L13700" s="0" t="str">
        <f aca="false">HYPERLINK("https://www.ncbi.nlm.nih.gov/nuccore/CP000304.1?report=graph&amp;tracks=[key:gene_model_track,Options:GeneOnly]&amp;mk=3871084:3871103|offset_16|444444,3871064:3871083|offset_36|444444,3871041:3871060|offset_59|00cc00,3871020:3871039|offset_80|444444&amp;v=3870883:3871239&amp;c=444444", "offset 59")</f>
        <v>offset 59</v>
      </c>
    </row>
    <row r="13701" customFormat="false" ht="12.8" hidden="false" customHeight="false" outlineLevel="0" collapsed="false">
      <c r="A13701" s="0" t="s">
        <v>12</v>
      </c>
      <c r="B13701" s="0" t="n">
        <v>3871019</v>
      </c>
      <c r="C13701" s="0" t="n">
        <v>3871039</v>
      </c>
      <c r="D13701" s="0" t="s">
        <v>45657</v>
      </c>
      <c r="E13701" s="0" t="s">
        <v>89</v>
      </c>
      <c r="F13701" s="0" t="s">
        <v>90</v>
      </c>
      <c r="G13701" s="0" t="s">
        <v>26</v>
      </c>
      <c r="H13701" s="0" t="n">
        <v>80</v>
      </c>
      <c r="I13701" s="0" t="s">
        <v>45667</v>
      </c>
      <c r="J13701" s="0" t="s">
        <v>45668</v>
      </c>
      <c r="K13701" s="0" t="s">
        <v>45669</v>
      </c>
      <c r="L13701" s="0" t="str">
        <f aca="false">HYPERLINK("https://www.ncbi.nlm.nih.gov/nuccore/CP000304.1?report=graph&amp;tracks=[key:gene_model_track,Options:GeneOnly]&amp;mk=3871084:3871103|offset_16|444444,3871064:3871083|offset_36|444444,3871041:3871060|offset_59|444444,3871020:3871039|offset_80|00cc00&amp;v=3870883:3871239&amp;c=444444", "offset 80")</f>
        <v>offset 80</v>
      </c>
    </row>
    <row r="13702" customFormat="false" ht="12.8" hidden="false" customHeight="false" outlineLevel="0" collapsed="false">
      <c r="A13702" s="0" t="s">
        <v>12</v>
      </c>
      <c r="B13702" s="0" t="n">
        <v>3872214</v>
      </c>
      <c r="C13702" s="0" t="n">
        <v>3872234</v>
      </c>
      <c r="D13702" s="0" t="s">
        <v>45670</v>
      </c>
      <c r="E13702" s="0" t="s">
        <v>89</v>
      </c>
      <c r="F13702" s="0" t="s">
        <v>90</v>
      </c>
      <c r="G13702" s="0" t="s">
        <v>16</v>
      </c>
      <c r="H13702" s="0" t="n">
        <v>21</v>
      </c>
      <c r="I13702" s="0" t="s">
        <v>45671</v>
      </c>
      <c r="J13702" s="0" t="s">
        <v>45672</v>
      </c>
      <c r="K13702" s="0" t="s">
        <v>45673</v>
      </c>
      <c r="L13702" s="0" t="str">
        <f aca="false">HYPERLINK("https://www.ncbi.nlm.nih.gov/nuccore/CP000304.1?report=graph&amp;tracks=[key:gene_model_track,Options:GeneOnly]&amp;mk=3872215:3872234|offset_21|00cc00,3872187:3872206|offset_49|444444,3872167:3872186|offset_69|444444,3872135:3872154|offset_101|444444&amp;v=3872014:3872354&amp;c=444444", "offset 21")</f>
        <v>offset 21</v>
      </c>
    </row>
    <row r="13703" customFormat="false" ht="12.8" hidden="false" customHeight="false" outlineLevel="0" collapsed="false">
      <c r="A13703" s="0" t="s">
        <v>12</v>
      </c>
      <c r="B13703" s="0" t="n">
        <v>3872186</v>
      </c>
      <c r="C13703" s="0" t="n">
        <v>3872206</v>
      </c>
      <c r="D13703" s="0" t="s">
        <v>45670</v>
      </c>
      <c r="E13703" s="0" t="s">
        <v>89</v>
      </c>
      <c r="F13703" s="0" t="s">
        <v>90</v>
      </c>
      <c r="G13703" s="0" t="s">
        <v>16</v>
      </c>
      <c r="H13703" s="0" t="n">
        <v>49</v>
      </c>
      <c r="I13703" s="0" t="s">
        <v>45674</v>
      </c>
      <c r="J13703" s="0" t="s">
        <v>45675</v>
      </c>
      <c r="K13703" s="0" t="s">
        <v>45676</v>
      </c>
      <c r="L13703" s="0" t="str">
        <f aca="false">HYPERLINK("https://www.ncbi.nlm.nih.gov/nuccore/CP000304.1?report=graph&amp;tracks=[key:gene_model_track,Options:GeneOnly]&amp;mk=3872215:3872234|offset_21|444444,3872187:3872206|offset_49|00cc00,3872167:3872186|offset_69|444444,3872135:3872154|offset_101|444444&amp;v=3872014:3872354&amp;c=444444", "offset 49")</f>
        <v>offset 49</v>
      </c>
    </row>
    <row r="13704" customFormat="false" ht="12.8" hidden="false" customHeight="false" outlineLevel="0" collapsed="false">
      <c r="A13704" s="0" t="s">
        <v>12</v>
      </c>
      <c r="B13704" s="0" t="n">
        <v>3872166</v>
      </c>
      <c r="C13704" s="0" t="n">
        <v>3872186</v>
      </c>
      <c r="D13704" s="0" t="s">
        <v>45670</v>
      </c>
      <c r="E13704" s="0" t="s">
        <v>89</v>
      </c>
      <c r="F13704" s="0" t="s">
        <v>90</v>
      </c>
      <c r="G13704" s="0" t="s">
        <v>16</v>
      </c>
      <c r="H13704" s="0" t="n">
        <v>69</v>
      </c>
      <c r="I13704" s="0" t="s">
        <v>45677</v>
      </c>
      <c r="J13704" s="0" t="s">
        <v>45678</v>
      </c>
      <c r="K13704" s="0" t="s">
        <v>45679</v>
      </c>
      <c r="L13704" s="0" t="str">
        <f aca="false">HYPERLINK("https://www.ncbi.nlm.nih.gov/nuccore/CP000304.1?report=graph&amp;tracks=[key:gene_model_track,Options:GeneOnly]&amp;mk=3872215:3872234|offset_21|444444,3872187:3872206|offset_49|444444,3872167:3872186|offset_69|00cc00,3872135:3872154|offset_101|444444&amp;v=3872014:3872354&amp;c=444444", "offset 69")</f>
        <v>offset 69</v>
      </c>
    </row>
    <row r="13705" customFormat="false" ht="12.8" hidden="false" customHeight="false" outlineLevel="0" collapsed="false">
      <c r="A13705" s="0" t="s">
        <v>12</v>
      </c>
      <c r="B13705" s="0" t="n">
        <v>3872134</v>
      </c>
      <c r="C13705" s="0" t="n">
        <v>3872154</v>
      </c>
      <c r="D13705" s="0" t="s">
        <v>45670</v>
      </c>
      <c r="E13705" s="0" t="s">
        <v>89</v>
      </c>
      <c r="F13705" s="0" t="s">
        <v>90</v>
      </c>
      <c r="G13705" s="0" t="s">
        <v>16</v>
      </c>
      <c r="H13705" s="0" t="n">
        <v>101</v>
      </c>
      <c r="I13705" s="0" t="s">
        <v>45680</v>
      </c>
      <c r="J13705" s="0" t="s">
        <v>45681</v>
      </c>
      <c r="K13705" s="0" t="s">
        <v>45682</v>
      </c>
      <c r="L13705" s="0" t="str">
        <f aca="false">HYPERLINK("https://www.ncbi.nlm.nih.gov/nuccore/CP000304.1?report=graph&amp;tracks=[key:gene_model_track,Options:GeneOnly]&amp;mk=3872215:3872234|offset_21|444444,3872187:3872206|offset_49|444444,3872167:3872186|offset_69|444444,3872135:3872154|offset_101|00cc00&amp;v=3872014:3872354&amp;c=444444", "offset 101")</f>
        <v>offset 101</v>
      </c>
    </row>
    <row r="13706" customFormat="false" ht="12.8" hidden="false" customHeight="false" outlineLevel="0" collapsed="false">
      <c r="A13706" s="0" t="s">
        <v>12</v>
      </c>
      <c r="B13706" s="0" t="n">
        <v>3873794</v>
      </c>
      <c r="C13706" s="0" t="n">
        <v>3873814</v>
      </c>
      <c r="D13706" s="0" t="s">
        <v>45683</v>
      </c>
      <c r="E13706" s="0" t="s">
        <v>89</v>
      </c>
      <c r="F13706" s="0" t="s">
        <v>90</v>
      </c>
      <c r="G13706" s="0" t="s">
        <v>26</v>
      </c>
      <c r="H13706" s="0" t="n">
        <v>11</v>
      </c>
      <c r="I13706" s="0" t="s">
        <v>45684</v>
      </c>
      <c r="J13706" s="0" t="s">
        <v>45685</v>
      </c>
      <c r="K13706" s="0" t="s">
        <v>45686</v>
      </c>
      <c r="L13706" s="0" t="str">
        <f aca="false">HYPERLINK("https://www.ncbi.nlm.nih.gov/nuccore/CP000304.1?report=graph&amp;tracks=[key:gene_model_track,Options:GeneOnly]&amp;mk=3873795:3873814|offset_11|00cc00,3873775:3873794|offset_31|444444,3873742:3873761|offset_64|444444,3873721:3873740|offset_85|444444&amp;v=3873594:3873940&amp;c=444444", "offset 11")</f>
        <v>offset 11</v>
      </c>
    </row>
    <row r="13707" customFormat="false" ht="12.8" hidden="false" customHeight="false" outlineLevel="0" collapsed="false">
      <c r="A13707" s="0" t="s">
        <v>12</v>
      </c>
      <c r="B13707" s="0" t="n">
        <v>3873774</v>
      </c>
      <c r="C13707" s="0" t="n">
        <v>3873794</v>
      </c>
      <c r="D13707" s="0" t="s">
        <v>45683</v>
      </c>
      <c r="E13707" s="0" t="s">
        <v>89</v>
      </c>
      <c r="F13707" s="0" t="s">
        <v>90</v>
      </c>
      <c r="G13707" s="0" t="s">
        <v>16</v>
      </c>
      <c r="H13707" s="0" t="n">
        <v>31</v>
      </c>
      <c r="I13707" s="0" t="s">
        <v>45687</v>
      </c>
      <c r="J13707" s="0" t="s">
        <v>45688</v>
      </c>
      <c r="K13707" s="0" t="s">
        <v>45689</v>
      </c>
      <c r="L13707" s="0" t="str">
        <f aca="false">HYPERLINK("https://www.ncbi.nlm.nih.gov/nuccore/CP000304.1?report=graph&amp;tracks=[key:gene_model_track,Options:GeneOnly]&amp;mk=3873795:3873814|offset_11|444444,3873775:3873794|offset_31|00cc00,3873742:3873761|offset_64|444444,3873721:3873740|offset_85|444444&amp;v=3873594:3873940&amp;c=444444", "offset 31")</f>
        <v>offset 31</v>
      </c>
    </row>
    <row r="13708" customFormat="false" ht="12.8" hidden="false" customHeight="false" outlineLevel="0" collapsed="false">
      <c r="A13708" s="0" t="s">
        <v>12</v>
      </c>
      <c r="B13708" s="0" t="n">
        <v>3873741</v>
      </c>
      <c r="C13708" s="0" t="n">
        <v>3873761</v>
      </c>
      <c r="D13708" s="0" t="s">
        <v>45683</v>
      </c>
      <c r="E13708" s="0" t="s">
        <v>89</v>
      </c>
      <c r="F13708" s="0" t="s">
        <v>90</v>
      </c>
      <c r="G13708" s="0" t="s">
        <v>36</v>
      </c>
      <c r="H13708" s="0" t="n">
        <v>64</v>
      </c>
      <c r="I13708" s="0" t="s">
        <v>45690</v>
      </c>
      <c r="J13708" s="0" t="s">
        <v>45691</v>
      </c>
      <c r="K13708" s="0" t="s">
        <v>45692</v>
      </c>
      <c r="L13708" s="0" t="str">
        <f aca="false">HYPERLINK("https://www.ncbi.nlm.nih.gov/nuccore/CP000304.1?report=graph&amp;tracks=[key:gene_model_track,Options:GeneOnly]&amp;mk=3873795:3873814|offset_11|444444,3873775:3873794|offset_31|444444,3873742:3873761|offset_64|00cc00,3873721:3873740|offset_85|444444&amp;v=3873594:3873940&amp;c=444444", "offset 64")</f>
        <v>offset 64</v>
      </c>
    </row>
    <row r="13709" customFormat="false" ht="12.8" hidden="false" customHeight="false" outlineLevel="0" collapsed="false">
      <c r="A13709" s="0" t="s">
        <v>12</v>
      </c>
      <c r="B13709" s="0" t="n">
        <v>3873720</v>
      </c>
      <c r="C13709" s="0" t="n">
        <v>3873740</v>
      </c>
      <c r="D13709" s="0" t="s">
        <v>45683</v>
      </c>
      <c r="E13709" s="0" t="s">
        <v>89</v>
      </c>
      <c r="F13709" s="0" t="s">
        <v>90</v>
      </c>
      <c r="G13709" s="0" t="s">
        <v>16</v>
      </c>
      <c r="H13709" s="0" t="n">
        <v>85</v>
      </c>
      <c r="I13709" s="0" t="s">
        <v>45693</v>
      </c>
      <c r="J13709" s="0" t="s">
        <v>45694</v>
      </c>
      <c r="K13709" s="0" t="s">
        <v>45695</v>
      </c>
      <c r="L13709" s="0" t="str">
        <f aca="false">HYPERLINK("https://www.ncbi.nlm.nih.gov/nuccore/CP000304.1?report=graph&amp;tracks=[key:gene_model_track,Options:GeneOnly]&amp;mk=3873795:3873814|offset_11|444444,3873775:3873794|offset_31|444444,3873742:3873761|offset_64|444444,3873721:3873740|offset_85|00cc00&amp;v=3873594:3873940&amp;c=444444", "offset 85")</f>
        <v>offset 85</v>
      </c>
    </row>
    <row r="13710" customFormat="false" ht="12.8" hidden="false" customHeight="false" outlineLevel="0" collapsed="false">
      <c r="A13710" s="0" t="s">
        <v>12</v>
      </c>
      <c r="B13710" s="0" t="n">
        <v>3874918</v>
      </c>
      <c r="C13710" s="0" t="n">
        <v>3874938</v>
      </c>
      <c r="D13710" s="0" t="s">
        <v>45696</v>
      </c>
      <c r="E13710" s="0" t="s">
        <v>89</v>
      </c>
      <c r="F13710" s="0" t="s">
        <v>90</v>
      </c>
      <c r="G13710" s="0" t="s">
        <v>32</v>
      </c>
      <c r="H13710" s="0" t="n">
        <v>473</v>
      </c>
      <c r="I13710" s="0" t="s">
        <v>45697</v>
      </c>
      <c r="J13710" s="0" t="s">
        <v>45698</v>
      </c>
      <c r="K13710" s="0" t="s">
        <v>45699</v>
      </c>
      <c r="L13710" s="0" t="str">
        <f aca="false">HYPERLINK("https://www.ncbi.nlm.nih.gov/nuccore/CP000304.1?report=graph&amp;tracks=[key:gene_model_track,Options:GeneOnly]&amp;mk=3874919:3874938|offset_473|00cc00,3874875:3874894|offset_517|444444,3874850:3874869|offset_542|444444,3874827:3874846|offset_565|444444&amp;v=3874718:3875046&amp;c=444444", "offset 473")</f>
        <v>offset 473</v>
      </c>
    </row>
    <row r="13711" customFormat="false" ht="12.8" hidden="false" customHeight="false" outlineLevel="0" collapsed="false">
      <c r="A13711" s="0" t="s">
        <v>12</v>
      </c>
      <c r="B13711" s="0" t="n">
        <v>3874874</v>
      </c>
      <c r="C13711" s="0" t="n">
        <v>3874894</v>
      </c>
      <c r="D13711" s="0" t="s">
        <v>45696</v>
      </c>
      <c r="E13711" s="0" t="s">
        <v>89</v>
      </c>
      <c r="F13711" s="0" t="s">
        <v>90</v>
      </c>
      <c r="G13711" s="0" t="s">
        <v>26</v>
      </c>
      <c r="H13711" s="0" t="n">
        <v>517</v>
      </c>
      <c r="I13711" s="0" t="s">
        <v>45700</v>
      </c>
      <c r="J13711" s="0" t="s">
        <v>45701</v>
      </c>
      <c r="K13711" s="0" t="s">
        <v>45702</v>
      </c>
      <c r="L13711" s="0" t="str">
        <f aca="false">HYPERLINK("https://www.ncbi.nlm.nih.gov/nuccore/CP000304.1?report=graph&amp;tracks=[key:gene_model_track,Options:GeneOnly]&amp;mk=3874919:3874938|offset_473|444444,3874875:3874894|offset_517|00cc00,3874850:3874869|offset_542|444444,3874827:3874846|offset_565|444444&amp;v=3874718:3875046&amp;c=444444", "offset 517")</f>
        <v>offset 517</v>
      </c>
    </row>
    <row r="13712" customFormat="false" ht="12.8" hidden="false" customHeight="false" outlineLevel="0" collapsed="false">
      <c r="A13712" s="0" t="s">
        <v>12</v>
      </c>
      <c r="B13712" s="0" t="n">
        <v>3874849</v>
      </c>
      <c r="C13712" s="0" t="n">
        <v>3874869</v>
      </c>
      <c r="D13712" s="0" t="s">
        <v>45696</v>
      </c>
      <c r="E13712" s="0" t="s">
        <v>89</v>
      </c>
      <c r="F13712" s="0" t="s">
        <v>90</v>
      </c>
      <c r="G13712" s="0" t="s">
        <v>26</v>
      </c>
      <c r="H13712" s="0" t="n">
        <v>542</v>
      </c>
      <c r="I13712" s="0" t="s">
        <v>45703</v>
      </c>
      <c r="J13712" s="0" t="s">
        <v>45704</v>
      </c>
      <c r="K13712" s="0" t="s">
        <v>45705</v>
      </c>
      <c r="L13712" s="0" t="str">
        <f aca="false">HYPERLINK("https://www.ncbi.nlm.nih.gov/nuccore/CP000304.1?report=graph&amp;tracks=[key:gene_model_track,Options:GeneOnly]&amp;mk=3874919:3874938|offset_473|444444,3874875:3874894|offset_517|444444,3874850:3874869|offset_542|00cc00,3874827:3874846|offset_565|444444&amp;v=3874718:3875046&amp;c=444444", "offset 542")</f>
        <v>offset 542</v>
      </c>
    </row>
    <row r="13713" customFormat="false" ht="12.8" hidden="false" customHeight="false" outlineLevel="0" collapsed="false">
      <c r="A13713" s="0" t="s">
        <v>12</v>
      </c>
      <c r="B13713" s="0" t="n">
        <v>3874826</v>
      </c>
      <c r="C13713" s="0" t="n">
        <v>3874846</v>
      </c>
      <c r="D13713" s="0" t="s">
        <v>45696</v>
      </c>
      <c r="E13713" s="0" t="s">
        <v>89</v>
      </c>
      <c r="F13713" s="0" t="s">
        <v>90</v>
      </c>
      <c r="G13713" s="0" t="s">
        <v>26</v>
      </c>
      <c r="H13713" s="0" t="n">
        <v>565</v>
      </c>
      <c r="I13713" s="0" t="s">
        <v>45706</v>
      </c>
      <c r="J13713" s="0" t="s">
        <v>45707</v>
      </c>
      <c r="K13713" s="0" t="s">
        <v>45708</v>
      </c>
      <c r="L13713" s="0" t="str">
        <f aca="false">HYPERLINK("https://www.ncbi.nlm.nih.gov/nuccore/CP000304.1?report=graph&amp;tracks=[key:gene_model_track,Options:GeneOnly]&amp;mk=3874919:3874938|offset_473|444444,3874875:3874894|offset_517|444444,3874850:3874869|offset_542|444444,3874827:3874846|offset_565|00cc00&amp;v=3874718:3875046&amp;c=444444", "offset 565")</f>
        <v>offset 565</v>
      </c>
    </row>
    <row r="13714" customFormat="false" ht="12.8" hidden="false" customHeight="false" outlineLevel="0" collapsed="false">
      <c r="A13714" s="0" t="s">
        <v>12</v>
      </c>
      <c r="B13714" s="0" t="n">
        <v>3876319</v>
      </c>
      <c r="C13714" s="0" t="n">
        <v>3876339</v>
      </c>
      <c r="D13714" s="0" t="s">
        <v>45709</v>
      </c>
      <c r="E13714" s="0" t="s">
        <v>89</v>
      </c>
      <c r="F13714" s="0" t="s">
        <v>90</v>
      </c>
      <c r="G13714" s="0" t="s">
        <v>36</v>
      </c>
      <c r="H13714" s="0" t="n">
        <v>0</v>
      </c>
      <c r="I13714" s="0" t="s">
        <v>45710</v>
      </c>
      <c r="J13714" s="0" t="s">
        <v>45711</v>
      </c>
      <c r="K13714" s="0" t="s">
        <v>45712</v>
      </c>
      <c r="L13714" s="0" t="str">
        <f aca="false">HYPERLINK("https://www.ncbi.nlm.nih.gov/nuccore/CP000304.1?report=graph&amp;tracks=[key:gene_model_track,Options:GeneOnly]&amp;mk=3876320:3876339|offset_0|00cc00,3876299:3876318|offset_21|444444,3876271:3876290|offset_49|444444,3876241:3876260|offset_79|444444&amp;v=3876119:3876460&amp;c=444444", "offset 0")</f>
        <v>offset 0</v>
      </c>
    </row>
    <row r="13715" customFormat="false" ht="12.8" hidden="false" customHeight="false" outlineLevel="0" collapsed="false">
      <c r="A13715" s="0" t="s">
        <v>12</v>
      </c>
      <c r="B13715" s="0" t="n">
        <v>3876298</v>
      </c>
      <c r="C13715" s="0" t="n">
        <v>3876318</v>
      </c>
      <c r="D13715" s="0" t="s">
        <v>45709</v>
      </c>
      <c r="E13715" s="0" t="s">
        <v>89</v>
      </c>
      <c r="F13715" s="0" t="s">
        <v>90</v>
      </c>
      <c r="G13715" s="0" t="s">
        <v>36</v>
      </c>
      <c r="H13715" s="0" t="n">
        <v>21</v>
      </c>
      <c r="I13715" s="0" t="s">
        <v>45713</v>
      </c>
      <c r="J13715" s="0" t="s">
        <v>45714</v>
      </c>
      <c r="K13715" s="0" t="s">
        <v>45715</v>
      </c>
      <c r="L13715" s="0" t="str">
        <f aca="false">HYPERLINK("https://www.ncbi.nlm.nih.gov/nuccore/CP000304.1?report=graph&amp;tracks=[key:gene_model_track,Options:GeneOnly]&amp;mk=3876320:3876339|offset_0|444444,3876299:3876318|offset_21|00cc00,3876271:3876290|offset_49|444444,3876241:3876260|offset_79|444444&amp;v=3876119:3876460&amp;c=444444", "offset 21")</f>
        <v>offset 21</v>
      </c>
    </row>
    <row r="13716" customFormat="false" ht="12.8" hidden="false" customHeight="false" outlineLevel="0" collapsed="false">
      <c r="A13716" s="0" t="s">
        <v>12</v>
      </c>
      <c r="B13716" s="0" t="n">
        <v>3876270</v>
      </c>
      <c r="C13716" s="0" t="n">
        <v>3876290</v>
      </c>
      <c r="D13716" s="0" t="s">
        <v>45709</v>
      </c>
      <c r="E13716" s="0" t="s">
        <v>89</v>
      </c>
      <c r="F13716" s="0" t="s">
        <v>90</v>
      </c>
      <c r="G13716" s="0" t="s">
        <v>16</v>
      </c>
      <c r="H13716" s="0" t="n">
        <v>49</v>
      </c>
      <c r="I13716" s="0" t="s">
        <v>45716</v>
      </c>
      <c r="J13716" s="0" t="s">
        <v>45717</v>
      </c>
      <c r="K13716" s="0" t="s">
        <v>45718</v>
      </c>
      <c r="L13716" s="0" t="str">
        <f aca="false">HYPERLINK("https://www.ncbi.nlm.nih.gov/nuccore/CP000304.1?report=graph&amp;tracks=[key:gene_model_track,Options:GeneOnly]&amp;mk=3876320:3876339|offset_0|444444,3876299:3876318|offset_21|444444,3876271:3876290|offset_49|00cc00,3876241:3876260|offset_79|444444&amp;v=3876119:3876460&amp;c=444444", "offset 49")</f>
        <v>offset 49</v>
      </c>
    </row>
    <row r="13717" customFormat="false" ht="12.8" hidden="false" customHeight="false" outlineLevel="0" collapsed="false">
      <c r="A13717" s="0" t="s">
        <v>12</v>
      </c>
      <c r="B13717" s="0" t="n">
        <v>3876240</v>
      </c>
      <c r="C13717" s="0" t="n">
        <v>3876260</v>
      </c>
      <c r="D13717" s="0" t="s">
        <v>45709</v>
      </c>
      <c r="E13717" s="0" t="s">
        <v>89</v>
      </c>
      <c r="F13717" s="0" t="s">
        <v>90</v>
      </c>
      <c r="G13717" s="0" t="s">
        <v>36</v>
      </c>
      <c r="H13717" s="0" t="n">
        <v>79</v>
      </c>
      <c r="I13717" s="0" t="s">
        <v>45719</v>
      </c>
      <c r="J13717" s="0" t="s">
        <v>45720</v>
      </c>
      <c r="K13717" s="0" t="s">
        <v>45721</v>
      </c>
      <c r="L13717" s="0" t="str">
        <f aca="false">HYPERLINK("https://www.ncbi.nlm.nih.gov/nuccore/CP000304.1?report=graph&amp;tracks=[key:gene_model_track,Options:GeneOnly]&amp;mk=3876320:3876339|offset_0|444444,3876299:3876318|offset_21|444444,3876271:3876290|offset_49|444444,3876241:3876260|offset_79|00cc00&amp;v=3876119:3876460&amp;c=444444", "offset 79")</f>
        <v>offset 79</v>
      </c>
    </row>
    <row r="13718" customFormat="false" ht="12.8" hidden="false" customHeight="false" outlineLevel="0" collapsed="false">
      <c r="A13718" s="0" t="s">
        <v>12</v>
      </c>
      <c r="B13718" s="0" t="n">
        <v>3876695</v>
      </c>
      <c r="C13718" s="0" t="n">
        <v>3876715</v>
      </c>
      <c r="D13718" s="0" t="s">
        <v>45722</v>
      </c>
      <c r="E13718" s="0" t="s">
        <v>89</v>
      </c>
      <c r="F13718" s="0" t="s">
        <v>90</v>
      </c>
      <c r="G13718" s="0" t="s">
        <v>36</v>
      </c>
      <c r="H13718" s="0" t="n">
        <v>6</v>
      </c>
      <c r="I13718" s="0" t="s">
        <v>45723</v>
      </c>
      <c r="J13718" s="0" t="s">
        <v>45724</v>
      </c>
      <c r="K13718" s="0" t="s">
        <v>45725</v>
      </c>
      <c r="L13718" s="0" t="str">
        <f aca="false">HYPERLINK("https://www.ncbi.nlm.nih.gov/nuccore/CP000304.1?report=graph&amp;tracks=[key:gene_model_track,Options:GeneOnly]&amp;mk=3876696:3876715|offset_6|00cc00,3876671:3876690|offset_31|444444,3876627:3876646|offset_75|444444,3876602:3876621|offset_100|444444&amp;v=3876495:3876821&amp;c=444444", "offset 6")</f>
        <v>offset 6</v>
      </c>
    </row>
    <row r="13719" customFormat="false" ht="12.8" hidden="false" customHeight="false" outlineLevel="0" collapsed="false">
      <c r="A13719" s="0" t="s">
        <v>12</v>
      </c>
      <c r="B13719" s="0" t="n">
        <v>3876670</v>
      </c>
      <c r="C13719" s="0" t="n">
        <v>3876690</v>
      </c>
      <c r="D13719" s="0" t="s">
        <v>45722</v>
      </c>
      <c r="E13719" s="0" t="s">
        <v>89</v>
      </c>
      <c r="F13719" s="0" t="s">
        <v>90</v>
      </c>
      <c r="G13719" s="0" t="s">
        <v>16</v>
      </c>
      <c r="H13719" s="0" t="n">
        <v>31</v>
      </c>
      <c r="I13719" s="0" t="s">
        <v>45726</v>
      </c>
      <c r="J13719" s="0" t="s">
        <v>45727</v>
      </c>
      <c r="K13719" s="0" t="s">
        <v>45728</v>
      </c>
      <c r="L13719" s="0" t="str">
        <f aca="false">HYPERLINK("https://www.ncbi.nlm.nih.gov/nuccore/CP000304.1?report=graph&amp;tracks=[key:gene_model_track,Options:GeneOnly]&amp;mk=3876696:3876715|offset_6|444444,3876671:3876690|offset_31|00cc00,3876627:3876646|offset_75|444444,3876602:3876621|offset_100|444444&amp;v=3876495:3876821&amp;c=444444", "offset 31")</f>
        <v>offset 31</v>
      </c>
    </row>
    <row r="13720" customFormat="false" ht="12.8" hidden="false" customHeight="false" outlineLevel="0" collapsed="false">
      <c r="A13720" s="0" t="s">
        <v>12</v>
      </c>
      <c r="B13720" s="0" t="n">
        <v>3876626</v>
      </c>
      <c r="C13720" s="0" t="n">
        <v>3876646</v>
      </c>
      <c r="D13720" s="0" t="s">
        <v>45722</v>
      </c>
      <c r="E13720" s="0" t="s">
        <v>89</v>
      </c>
      <c r="F13720" s="0" t="s">
        <v>90</v>
      </c>
      <c r="G13720" s="0" t="s">
        <v>26</v>
      </c>
      <c r="H13720" s="0" t="n">
        <v>75</v>
      </c>
      <c r="I13720" s="0" t="s">
        <v>45729</v>
      </c>
      <c r="J13720" s="0" t="s">
        <v>45730</v>
      </c>
      <c r="K13720" s="0" t="s">
        <v>45731</v>
      </c>
      <c r="L13720" s="0" t="str">
        <f aca="false">HYPERLINK("https://www.ncbi.nlm.nih.gov/nuccore/CP000304.1?report=graph&amp;tracks=[key:gene_model_track,Options:GeneOnly]&amp;mk=3876696:3876715|offset_6|444444,3876671:3876690|offset_31|444444,3876627:3876646|offset_75|00cc00,3876602:3876621|offset_100|444444&amp;v=3876495:3876821&amp;c=444444", "offset 75")</f>
        <v>offset 75</v>
      </c>
    </row>
    <row r="13721" customFormat="false" ht="12.8" hidden="false" customHeight="false" outlineLevel="0" collapsed="false">
      <c r="A13721" s="0" t="s">
        <v>12</v>
      </c>
      <c r="B13721" s="0" t="n">
        <v>3876601</v>
      </c>
      <c r="C13721" s="0" t="n">
        <v>3876621</v>
      </c>
      <c r="D13721" s="0" t="s">
        <v>45722</v>
      </c>
      <c r="E13721" s="0" t="s">
        <v>89</v>
      </c>
      <c r="F13721" s="0" t="s">
        <v>90</v>
      </c>
      <c r="G13721" s="0" t="s">
        <v>16</v>
      </c>
      <c r="H13721" s="0" t="n">
        <v>100</v>
      </c>
      <c r="I13721" s="0" t="s">
        <v>45732</v>
      </c>
      <c r="J13721" s="0" t="s">
        <v>45733</v>
      </c>
      <c r="K13721" s="0" t="s">
        <v>45734</v>
      </c>
      <c r="L13721" s="0" t="str">
        <f aca="false">HYPERLINK("https://www.ncbi.nlm.nih.gov/nuccore/CP000304.1?report=graph&amp;tracks=[key:gene_model_track,Options:GeneOnly]&amp;mk=3876696:3876715|offset_6|444444,3876671:3876690|offset_31|444444,3876627:3876646|offset_75|444444,3876602:3876621|offset_100|00cc00&amp;v=3876495:3876821&amp;c=444444", "offset 100")</f>
        <v>offset 100</v>
      </c>
    </row>
    <row r="13722" customFormat="false" ht="12.8" hidden="false" customHeight="false" outlineLevel="0" collapsed="false">
      <c r="A13722" s="0" t="s">
        <v>12</v>
      </c>
      <c r="B13722" s="0" t="n">
        <v>3876912</v>
      </c>
      <c r="C13722" s="0" t="n">
        <v>3876932</v>
      </c>
      <c r="D13722" s="0" t="s">
        <v>45735</v>
      </c>
      <c r="E13722" s="0" t="s">
        <v>89</v>
      </c>
      <c r="F13722" s="0" t="s">
        <v>15</v>
      </c>
      <c r="G13722" s="0" t="s">
        <v>36</v>
      </c>
      <c r="H13722" s="0" t="n">
        <v>11</v>
      </c>
      <c r="I13722" s="0" t="s">
        <v>45736</v>
      </c>
      <c r="J13722" s="0" t="s">
        <v>45737</v>
      </c>
      <c r="K13722" s="0" t="s">
        <v>45738</v>
      </c>
      <c r="L13722" s="0" t="str">
        <f aca="false">HYPERLINK("https://www.ncbi.nlm.nih.gov/nuccore/CP000304.1?report=graph&amp;tracks=[key:gene_model_track,Options:GeneOnly]&amp;mk=3876913:3876932|offset_11|00cc00,3876933:3876952|offset_31|444444,3876957:3876976|offset_55|444444,3876983:3877002|offset_81|444444&amp;v=3876712:3877202&amp;c=444444", "offset 11")</f>
        <v>offset 11</v>
      </c>
    </row>
    <row r="13723" customFormat="false" ht="12.8" hidden="false" customHeight="false" outlineLevel="0" collapsed="false">
      <c r="A13723" s="0" t="s">
        <v>12</v>
      </c>
      <c r="B13723" s="0" t="n">
        <v>3876932</v>
      </c>
      <c r="C13723" s="0" t="n">
        <v>3876952</v>
      </c>
      <c r="D13723" s="0" t="s">
        <v>45735</v>
      </c>
      <c r="E13723" s="0" t="s">
        <v>89</v>
      </c>
      <c r="F13723" s="0" t="s">
        <v>15</v>
      </c>
      <c r="G13723" s="0" t="s">
        <v>36</v>
      </c>
      <c r="H13723" s="0" t="n">
        <v>31</v>
      </c>
      <c r="I13723" s="0" t="s">
        <v>45739</v>
      </c>
      <c r="J13723" s="0" t="s">
        <v>45740</v>
      </c>
      <c r="K13723" s="0" t="s">
        <v>45741</v>
      </c>
      <c r="L13723" s="0" t="str">
        <f aca="false">HYPERLINK("https://www.ncbi.nlm.nih.gov/nuccore/CP000304.1?report=graph&amp;tracks=[key:gene_model_track,Options:GeneOnly]&amp;mk=3876913:3876932|offset_11|444444,3876933:3876952|offset_31|00cc00,3876957:3876976|offset_55|444444,3876983:3877002|offset_81|444444&amp;v=3876712:3877202&amp;c=444444", "offset 31")</f>
        <v>offset 31</v>
      </c>
    </row>
    <row r="13724" customFormat="false" ht="12.8" hidden="false" customHeight="false" outlineLevel="0" collapsed="false">
      <c r="A13724" s="0" t="s">
        <v>12</v>
      </c>
      <c r="B13724" s="0" t="n">
        <v>3876956</v>
      </c>
      <c r="C13724" s="0" t="n">
        <v>3876976</v>
      </c>
      <c r="D13724" s="0" t="s">
        <v>45735</v>
      </c>
      <c r="E13724" s="0" t="s">
        <v>89</v>
      </c>
      <c r="F13724" s="0" t="s">
        <v>15</v>
      </c>
      <c r="G13724" s="0" t="s">
        <v>32</v>
      </c>
      <c r="H13724" s="0" t="n">
        <v>55</v>
      </c>
      <c r="I13724" s="0" t="s">
        <v>45742</v>
      </c>
      <c r="J13724" s="0" t="s">
        <v>45743</v>
      </c>
      <c r="K13724" s="0" t="s">
        <v>45744</v>
      </c>
      <c r="L13724" s="0" t="str">
        <f aca="false">HYPERLINK("https://www.ncbi.nlm.nih.gov/nuccore/CP000304.1?report=graph&amp;tracks=[key:gene_model_track,Options:GeneOnly]&amp;mk=3876913:3876932|offset_11|444444,3876933:3876952|offset_31|444444,3876957:3876976|offset_55|00cc00,3876983:3877002|offset_81|444444&amp;v=3876712:3877202&amp;c=444444", "offset 55")</f>
        <v>offset 55</v>
      </c>
    </row>
    <row r="13725" customFormat="false" ht="12.8" hidden="false" customHeight="false" outlineLevel="0" collapsed="false">
      <c r="A13725" s="0" t="s">
        <v>12</v>
      </c>
      <c r="B13725" s="0" t="n">
        <v>3876982</v>
      </c>
      <c r="C13725" s="0" t="n">
        <v>3877002</v>
      </c>
      <c r="D13725" s="0" t="s">
        <v>45735</v>
      </c>
      <c r="E13725" s="0" t="s">
        <v>89</v>
      </c>
      <c r="F13725" s="0" t="s">
        <v>15</v>
      </c>
      <c r="G13725" s="0" t="s">
        <v>16</v>
      </c>
      <c r="H13725" s="0" t="n">
        <v>81</v>
      </c>
      <c r="I13725" s="0" t="s">
        <v>45745</v>
      </c>
      <c r="J13725" s="0" t="s">
        <v>45746</v>
      </c>
      <c r="K13725" s="0" t="s">
        <v>45747</v>
      </c>
      <c r="L13725" s="0" t="str">
        <f aca="false">HYPERLINK("https://www.ncbi.nlm.nih.gov/nuccore/CP000304.1?report=graph&amp;tracks=[key:gene_model_track,Options:GeneOnly]&amp;mk=3876913:3876932|offset_11|444444,3876933:3876952|offset_31|444444,3876957:3876976|offset_55|444444,3876983:3877002|offset_81|00cc00&amp;v=3876712:3877202&amp;c=444444", "offset 81")</f>
        <v>offset 81</v>
      </c>
    </row>
    <row r="13726" customFormat="false" ht="12.8" hidden="false" customHeight="false" outlineLevel="0" collapsed="false">
      <c r="A13726" s="0" t="s">
        <v>12</v>
      </c>
      <c r="B13726" s="0" t="n">
        <v>3877393</v>
      </c>
      <c r="C13726" s="0" t="n">
        <v>3877413</v>
      </c>
      <c r="D13726" s="0" t="s">
        <v>45748</v>
      </c>
      <c r="E13726" s="0" t="s">
        <v>89</v>
      </c>
      <c r="F13726" s="0" t="s">
        <v>15</v>
      </c>
      <c r="G13726" s="0" t="s">
        <v>32</v>
      </c>
      <c r="H13726" s="0" t="n">
        <v>25</v>
      </c>
      <c r="I13726" s="0" t="s">
        <v>45749</v>
      </c>
      <c r="J13726" s="0" t="s">
        <v>45750</v>
      </c>
      <c r="K13726" s="0" t="s">
        <v>45751</v>
      </c>
      <c r="L13726" s="0" t="str">
        <f aca="false">HYPERLINK("https://www.ncbi.nlm.nih.gov/nuccore/CP000304.1?report=graph&amp;tracks=[key:gene_model_track,Options:GeneOnly]&amp;mk=3877394:3877413|offset_25|00cc00,3877451:3877470|offset_82|444444,3877471:3877490|offset_102|444444,3877504:3877523|offset_135|444444&amp;v=3877193:3877723&amp;c=444444", "offset 25")</f>
        <v>offset 25</v>
      </c>
    </row>
    <row r="13727" customFormat="false" ht="12.8" hidden="false" customHeight="false" outlineLevel="0" collapsed="false">
      <c r="A13727" s="0" t="s">
        <v>12</v>
      </c>
      <c r="B13727" s="0" t="n">
        <v>3877450</v>
      </c>
      <c r="C13727" s="0" t="n">
        <v>3877470</v>
      </c>
      <c r="D13727" s="0" t="s">
        <v>45748</v>
      </c>
      <c r="E13727" s="0" t="s">
        <v>89</v>
      </c>
      <c r="F13727" s="0" t="s">
        <v>15</v>
      </c>
      <c r="G13727" s="0" t="s">
        <v>36</v>
      </c>
      <c r="H13727" s="0" t="n">
        <v>82</v>
      </c>
      <c r="I13727" s="0" t="s">
        <v>45752</v>
      </c>
      <c r="J13727" s="0" t="s">
        <v>45753</v>
      </c>
      <c r="K13727" s="0" t="s">
        <v>45754</v>
      </c>
      <c r="L13727" s="0" t="str">
        <f aca="false">HYPERLINK("https://www.ncbi.nlm.nih.gov/nuccore/CP000304.1?report=graph&amp;tracks=[key:gene_model_track,Options:GeneOnly]&amp;mk=3877394:3877413|offset_25|444444,3877451:3877470|offset_82|00cc00,3877471:3877490|offset_102|444444,3877504:3877523|offset_135|444444&amp;v=3877193:3877723&amp;c=444444", "offset 82")</f>
        <v>offset 82</v>
      </c>
    </row>
    <row r="13728" customFormat="false" ht="12.8" hidden="false" customHeight="false" outlineLevel="0" collapsed="false">
      <c r="A13728" s="0" t="s">
        <v>12</v>
      </c>
      <c r="B13728" s="0" t="n">
        <v>3877470</v>
      </c>
      <c r="C13728" s="0" t="n">
        <v>3877490</v>
      </c>
      <c r="D13728" s="0" t="s">
        <v>45748</v>
      </c>
      <c r="E13728" s="0" t="s">
        <v>89</v>
      </c>
      <c r="F13728" s="0" t="s">
        <v>15</v>
      </c>
      <c r="G13728" s="0" t="s">
        <v>36</v>
      </c>
      <c r="H13728" s="0" t="n">
        <v>102</v>
      </c>
      <c r="I13728" s="0" t="s">
        <v>45755</v>
      </c>
      <c r="J13728" s="0" t="s">
        <v>45756</v>
      </c>
      <c r="K13728" s="0" t="s">
        <v>45757</v>
      </c>
      <c r="L13728" s="0" t="str">
        <f aca="false">HYPERLINK("https://www.ncbi.nlm.nih.gov/nuccore/CP000304.1?report=graph&amp;tracks=[key:gene_model_track,Options:GeneOnly]&amp;mk=3877394:3877413|offset_25|444444,3877451:3877470|offset_82|444444,3877471:3877490|offset_102|00cc00,3877504:3877523|offset_135|444444&amp;v=3877193:3877723&amp;c=444444", "offset 102")</f>
        <v>offset 102</v>
      </c>
    </row>
    <row r="13729" customFormat="false" ht="12.8" hidden="false" customHeight="false" outlineLevel="0" collapsed="false">
      <c r="A13729" s="0" t="s">
        <v>12</v>
      </c>
      <c r="B13729" s="0" t="n">
        <v>3877503</v>
      </c>
      <c r="C13729" s="0" t="n">
        <v>3877523</v>
      </c>
      <c r="D13729" s="0" t="s">
        <v>45748</v>
      </c>
      <c r="E13729" s="0" t="s">
        <v>89</v>
      </c>
      <c r="F13729" s="0" t="s">
        <v>15</v>
      </c>
      <c r="G13729" s="0" t="s">
        <v>16</v>
      </c>
      <c r="H13729" s="0" t="n">
        <v>135</v>
      </c>
      <c r="I13729" s="0" t="s">
        <v>45758</v>
      </c>
      <c r="J13729" s="0" t="s">
        <v>45759</v>
      </c>
      <c r="K13729" s="0" t="s">
        <v>45760</v>
      </c>
      <c r="L13729" s="0" t="str">
        <f aca="false">HYPERLINK("https://www.ncbi.nlm.nih.gov/nuccore/CP000304.1?report=graph&amp;tracks=[key:gene_model_track,Options:GeneOnly]&amp;mk=3877394:3877413|offset_25|444444,3877451:3877470|offset_82|444444,3877471:3877490|offset_102|444444,3877504:3877523|offset_135|00cc00&amp;v=3877193:3877723&amp;c=444444", "offset 135")</f>
        <v>offset 135</v>
      </c>
    </row>
    <row r="13730" customFormat="false" ht="12.8" hidden="false" customHeight="false" outlineLevel="0" collapsed="false">
      <c r="A13730" s="0" t="s">
        <v>12</v>
      </c>
      <c r="B13730" s="0" t="n">
        <v>3879084</v>
      </c>
      <c r="C13730" s="0" t="n">
        <v>3879104</v>
      </c>
      <c r="D13730" s="0" t="s">
        <v>45761</v>
      </c>
      <c r="E13730" s="0" t="s">
        <v>89</v>
      </c>
      <c r="F13730" s="0" t="s">
        <v>90</v>
      </c>
      <c r="G13730" s="0" t="s">
        <v>32</v>
      </c>
      <c r="H13730" s="0" t="n">
        <v>17</v>
      </c>
      <c r="I13730" s="0" t="s">
        <v>45762</v>
      </c>
      <c r="J13730" s="0" t="s">
        <v>45763</v>
      </c>
      <c r="K13730" s="0" t="s">
        <v>45764</v>
      </c>
      <c r="L13730" s="0" t="str">
        <f aca="false">HYPERLINK("https://www.ncbi.nlm.nih.gov/nuccore/CP000304.1?report=graph&amp;tracks=[key:gene_model_track,Options:GeneOnly]&amp;mk=3879085:3879104|offset_17|00cc00,3879065:3879084|offset_37|444444,3879035:3879054|offset_67|444444,3879015:3879034|offset_87|444444&amp;v=3878884:3879234&amp;c=444444", "offset 17")</f>
        <v>offset 17</v>
      </c>
    </row>
    <row r="13731" customFormat="false" ht="12.8" hidden="false" customHeight="false" outlineLevel="0" collapsed="false">
      <c r="A13731" s="0" t="s">
        <v>12</v>
      </c>
      <c r="B13731" s="0" t="n">
        <v>3879064</v>
      </c>
      <c r="C13731" s="0" t="n">
        <v>3879084</v>
      </c>
      <c r="D13731" s="0" t="s">
        <v>45761</v>
      </c>
      <c r="E13731" s="0" t="s">
        <v>89</v>
      </c>
      <c r="F13731" s="0" t="s">
        <v>90</v>
      </c>
      <c r="G13731" s="0" t="s">
        <v>36</v>
      </c>
      <c r="H13731" s="0" t="n">
        <v>37</v>
      </c>
      <c r="I13731" s="0" t="s">
        <v>45765</v>
      </c>
      <c r="J13731" s="0" t="s">
        <v>45766</v>
      </c>
      <c r="K13731" s="0" t="s">
        <v>45767</v>
      </c>
      <c r="L13731" s="0" t="str">
        <f aca="false">HYPERLINK("https://www.ncbi.nlm.nih.gov/nuccore/CP000304.1?report=graph&amp;tracks=[key:gene_model_track,Options:GeneOnly]&amp;mk=3879085:3879104|offset_17|444444,3879065:3879084|offset_37|00cc00,3879035:3879054|offset_67|444444,3879015:3879034|offset_87|444444&amp;v=3878884:3879234&amp;c=444444", "offset 37")</f>
        <v>offset 37</v>
      </c>
    </row>
    <row r="13732" customFormat="false" ht="12.8" hidden="false" customHeight="false" outlineLevel="0" collapsed="false">
      <c r="A13732" s="0" t="s">
        <v>12</v>
      </c>
      <c r="B13732" s="0" t="n">
        <v>3879034</v>
      </c>
      <c r="C13732" s="0" t="n">
        <v>3879054</v>
      </c>
      <c r="D13732" s="0" t="s">
        <v>45761</v>
      </c>
      <c r="E13732" s="0" t="s">
        <v>89</v>
      </c>
      <c r="F13732" s="0" t="s">
        <v>90</v>
      </c>
      <c r="G13732" s="0" t="s">
        <v>16</v>
      </c>
      <c r="H13732" s="0" t="n">
        <v>67</v>
      </c>
      <c r="I13732" s="0" t="s">
        <v>45768</v>
      </c>
      <c r="J13732" s="0" t="s">
        <v>45769</v>
      </c>
      <c r="K13732" s="0" t="s">
        <v>45770</v>
      </c>
      <c r="L13732" s="0" t="str">
        <f aca="false">HYPERLINK("https://www.ncbi.nlm.nih.gov/nuccore/CP000304.1?report=graph&amp;tracks=[key:gene_model_track,Options:GeneOnly]&amp;mk=3879085:3879104|offset_17|444444,3879065:3879084|offset_37|444444,3879035:3879054|offset_67|00cc00,3879015:3879034|offset_87|444444&amp;v=3878884:3879234&amp;c=444444", "offset 67")</f>
        <v>offset 67</v>
      </c>
    </row>
    <row r="13733" customFormat="false" ht="12.8" hidden="false" customHeight="false" outlineLevel="0" collapsed="false">
      <c r="A13733" s="0" t="s">
        <v>12</v>
      </c>
      <c r="B13733" s="0" t="n">
        <v>3879014</v>
      </c>
      <c r="C13733" s="0" t="n">
        <v>3879034</v>
      </c>
      <c r="D13733" s="0" t="s">
        <v>45761</v>
      </c>
      <c r="E13733" s="0" t="s">
        <v>89</v>
      </c>
      <c r="F13733" s="0" t="s">
        <v>90</v>
      </c>
      <c r="G13733" s="0" t="s">
        <v>36</v>
      </c>
      <c r="H13733" s="0" t="n">
        <v>87</v>
      </c>
      <c r="I13733" s="0" t="s">
        <v>45771</v>
      </c>
      <c r="J13733" s="0" t="s">
        <v>45772</v>
      </c>
      <c r="K13733" s="0" t="s">
        <v>45773</v>
      </c>
      <c r="L13733" s="0" t="str">
        <f aca="false">HYPERLINK("https://www.ncbi.nlm.nih.gov/nuccore/CP000304.1?report=graph&amp;tracks=[key:gene_model_track,Options:GeneOnly]&amp;mk=3879085:3879104|offset_17|444444,3879065:3879084|offset_37|444444,3879035:3879054|offset_67|444444,3879015:3879034|offset_87|00cc00&amp;v=3878884:3879234&amp;c=444444", "offset 87")</f>
        <v>offset 87</v>
      </c>
    </row>
    <row r="13734" customFormat="false" ht="12.8" hidden="false" customHeight="false" outlineLevel="0" collapsed="false">
      <c r="A13734" s="0" t="s">
        <v>12</v>
      </c>
      <c r="B13734" s="0" t="n">
        <v>3879291</v>
      </c>
      <c r="C13734" s="0" t="n">
        <v>3879311</v>
      </c>
      <c r="D13734" s="0" t="s">
        <v>45774</v>
      </c>
      <c r="E13734" s="0" t="s">
        <v>89</v>
      </c>
      <c r="F13734" s="0" t="s">
        <v>15</v>
      </c>
      <c r="G13734" s="0" t="s">
        <v>36</v>
      </c>
      <c r="H13734" s="0" t="n">
        <v>0</v>
      </c>
      <c r="I13734" s="0" t="s">
        <v>45775</v>
      </c>
      <c r="J13734" s="0" t="s">
        <v>45776</v>
      </c>
      <c r="K13734" s="0" t="s">
        <v>45777</v>
      </c>
      <c r="L13734" s="0" t="str">
        <f aca="false">HYPERLINK("https://www.ncbi.nlm.nih.gov/nuccore/CP000304.1?report=graph&amp;tracks=[key:gene_model_track,Options:GeneOnly]&amp;mk=3879292:3879311|offset_0|00cc00,3879312:3879331|offset_20|444444,3879332:3879351|offset_40|444444,3879368:3879387|offset_76|444444&amp;v=3879091:3879587&amp;c=444444", "offset 0")</f>
        <v>offset 0</v>
      </c>
    </row>
    <row r="13735" customFormat="false" ht="12.8" hidden="false" customHeight="false" outlineLevel="0" collapsed="false">
      <c r="A13735" s="0" t="s">
        <v>12</v>
      </c>
      <c r="B13735" s="0" t="n">
        <v>3879311</v>
      </c>
      <c r="C13735" s="0" t="n">
        <v>3879331</v>
      </c>
      <c r="D13735" s="0" t="s">
        <v>45774</v>
      </c>
      <c r="E13735" s="0" t="s">
        <v>89</v>
      </c>
      <c r="F13735" s="0" t="s">
        <v>15</v>
      </c>
      <c r="G13735" s="0" t="s">
        <v>32</v>
      </c>
      <c r="H13735" s="0" t="n">
        <v>20</v>
      </c>
      <c r="I13735" s="0" t="s">
        <v>45778</v>
      </c>
      <c r="J13735" s="0" t="s">
        <v>45779</v>
      </c>
      <c r="K13735" s="0" t="s">
        <v>45780</v>
      </c>
      <c r="L13735" s="0" t="str">
        <f aca="false">HYPERLINK("https://www.ncbi.nlm.nih.gov/nuccore/CP000304.1?report=graph&amp;tracks=[key:gene_model_track,Options:GeneOnly]&amp;mk=3879292:3879311|offset_0|444444,3879312:3879331|offset_20|00cc00,3879332:3879351|offset_40|444444,3879368:3879387|offset_76|444444&amp;v=3879091:3879587&amp;c=444444", "offset 20")</f>
        <v>offset 20</v>
      </c>
    </row>
    <row r="13736" customFormat="false" ht="12.8" hidden="false" customHeight="false" outlineLevel="0" collapsed="false">
      <c r="A13736" s="0" t="s">
        <v>12</v>
      </c>
      <c r="B13736" s="0" t="n">
        <v>3879331</v>
      </c>
      <c r="C13736" s="0" t="n">
        <v>3879351</v>
      </c>
      <c r="D13736" s="0" t="s">
        <v>45774</v>
      </c>
      <c r="E13736" s="0" t="s">
        <v>89</v>
      </c>
      <c r="F13736" s="0" t="s">
        <v>15</v>
      </c>
      <c r="G13736" s="0" t="s">
        <v>16</v>
      </c>
      <c r="H13736" s="0" t="n">
        <v>40</v>
      </c>
      <c r="I13736" s="0" t="s">
        <v>45781</v>
      </c>
      <c r="J13736" s="0" t="s">
        <v>45782</v>
      </c>
      <c r="K13736" s="0" t="s">
        <v>45783</v>
      </c>
      <c r="L13736" s="0" t="str">
        <f aca="false">HYPERLINK("https://www.ncbi.nlm.nih.gov/nuccore/CP000304.1?report=graph&amp;tracks=[key:gene_model_track,Options:GeneOnly]&amp;mk=3879292:3879311|offset_0|444444,3879312:3879331|offset_20|444444,3879332:3879351|offset_40|00cc00,3879368:3879387|offset_76|444444&amp;v=3879091:3879587&amp;c=444444", "offset 40")</f>
        <v>offset 40</v>
      </c>
    </row>
    <row r="13737" customFormat="false" ht="12.8" hidden="false" customHeight="false" outlineLevel="0" collapsed="false">
      <c r="A13737" s="0" t="s">
        <v>12</v>
      </c>
      <c r="B13737" s="0" t="n">
        <v>3879367</v>
      </c>
      <c r="C13737" s="0" t="n">
        <v>3879387</v>
      </c>
      <c r="D13737" s="0" t="s">
        <v>45774</v>
      </c>
      <c r="E13737" s="0" t="s">
        <v>89</v>
      </c>
      <c r="F13737" s="0" t="s">
        <v>15</v>
      </c>
      <c r="G13737" s="0" t="s">
        <v>36</v>
      </c>
      <c r="H13737" s="0" t="n">
        <v>76</v>
      </c>
      <c r="I13737" s="0" t="s">
        <v>45784</v>
      </c>
      <c r="J13737" s="0" t="s">
        <v>45785</v>
      </c>
      <c r="K13737" s="0" t="s">
        <v>45786</v>
      </c>
      <c r="L13737" s="0" t="str">
        <f aca="false">HYPERLINK("https://www.ncbi.nlm.nih.gov/nuccore/CP000304.1?report=graph&amp;tracks=[key:gene_model_track,Options:GeneOnly]&amp;mk=3879292:3879311|offset_0|444444,3879312:3879331|offset_20|444444,3879332:3879351|offset_40|444444,3879368:3879387|offset_76|00cc00&amp;v=3879091:3879587&amp;c=444444", "offset 76")</f>
        <v>offset 76</v>
      </c>
    </row>
    <row r="13738" customFormat="false" ht="12.8" hidden="false" customHeight="false" outlineLevel="0" collapsed="false">
      <c r="A13738" s="0" t="s">
        <v>12</v>
      </c>
      <c r="B13738" s="0" t="n">
        <v>3880279</v>
      </c>
      <c r="C13738" s="0" t="n">
        <v>3880299</v>
      </c>
      <c r="D13738" s="0" t="s">
        <v>45787</v>
      </c>
      <c r="E13738" s="0" t="s">
        <v>89</v>
      </c>
      <c r="F13738" s="0" t="s">
        <v>90</v>
      </c>
      <c r="G13738" s="0" t="s">
        <v>16</v>
      </c>
      <c r="H13738" s="0" t="n">
        <v>11</v>
      </c>
      <c r="I13738" s="0" t="s">
        <v>45788</v>
      </c>
      <c r="J13738" s="0" t="s">
        <v>45789</v>
      </c>
      <c r="K13738" s="0" t="s">
        <v>45790</v>
      </c>
      <c r="L13738" s="0" t="str">
        <f aca="false">HYPERLINK("https://www.ncbi.nlm.nih.gov/nuccore/CP000304.1?report=graph&amp;tracks=[key:gene_model_track,Options:GeneOnly]&amp;mk=3880280:3880299|offset_11|00cc00,3880254:3880273|offset_37|444444,3880227:3880246|offset_64|444444,3880205:3880224|offset_86|444444&amp;v=3880079:3880424&amp;c=444444", "offset 11")</f>
        <v>offset 11</v>
      </c>
    </row>
    <row r="13739" customFormat="false" ht="12.8" hidden="false" customHeight="false" outlineLevel="0" collapsed="false">
      <c r="A13739" s="0" t="s">
        <v>12</v>
      </c>
      <c r="B13739" s="0" t="n">
        <v>3880253</v>
      </c>
      <c r="C13739" s="0" t="n">
        <v>3880273</v>
      </c>
      <c r="D13739" s="0" t="s">
        <v>45787</v>
      </c>
      <c r="E13739" s="0" t="s">
        <v>89</v>
      </c>
      <c r="F13739" s="0" t="s">
        <v>90</v>
      </c>
      <c r="G13739" s="0" t="s">
        <v>16</v>
      </c>
      <c r="H13739" s="0" t="n">
        <v>37</v>
      </c>
      <c r="I13739" s="0" t="s">
        <v>45791</v>
      </c>
      <c r="J13739" s="0" t="s">
        <v>45792</v>
      </c>
      <c r="K13739" s="0" t="s">
        <v>45793</v>
      </c>
      <c r="L13739" s="0" t="str">
        <f aca="false">HYPERLINK("https://www.ncbi.nlm.nih.gov/nuccore/CP000304.1?report=graph&amp;tracks=[key:gene_model_track,Options:GeneOnly]&amp;mk=3880280:3880299|offset_11|444444,3880254:3880273|offset_37|00cc00,3880227:3880246|offset_64|444444,3880205:3880224|offset_86|444444&amp;v=3880079:3880424&amp;c=444444", "offset 37")</f>
        <v>offset 37</v>
      </c>
    </row>
    <row r="13740" customFormat="false" ht="12.8" hidden="false" customHeight="false" outlineLevel="0" collapsed="false">
      <c r="A13740" s="0" t="s">
        <v>12</v>
      </c>
      <c r="B13740" s="0" t="n">
        <v>3880226</v>
      </c>
      <c r="C13740" s="0" t="n">
        <v>3880246</v>
      </c>
      <c r="D13740" s="0" t="s">
        <v>45787</v>
      </c>
      <c r="E13740" s="0" t="s">
        <v>89</v>
      </c>
      <c r="F13740" s="0" t="s">
        <v>90</v>
      </c>
      <c r="G13740" s="0" t="s">
        <v>36</v>
      </c>
      <c r="H13740" s="0" t="n">
        <v>64</v>
      </c>
      <c r="I13740" s="0" t="s">
        <v>45794</v>
      </c>
      <c r="J13740" s="0" t="s">
        <v>45795</v>
      </c>
      <c r="K13740" s="0" t="s">
        <v>45796</v>
      </c>
      <c r="L13740" s="0" t="str">
        <f aca="false">HYPERLINK("https://www.ncbi.nlm.nih.gov/nuccore/CP000304.1?report=graph&amp;tracks=[key:gene_model_track,Options:GeneOnly]&amp;mk=3880280:3880299|offset_11|444444,3880254:3880273|offset_37|444444,3880227:3880246|offset_64|00cc00,3880205:3880224|offset_86|444444&amp;v=3880079:3880424&amp;c=444444", "offset 64")</f>
        <v>offset 64</v>
      </c>
    </row>
    <row r="13741" customFormat="false" ht="12.8" hidden="false" customHeight="false" outlineLevel="0" collapsed="false">
      <c r="A13741" s="0" t="s">
        <v>12</v>
      </c>
      <c r="B13741" s="0" t="n">
        <v>3880204</v>
      </c>
      <c r="C13741" s="0" t="n">
        <v>3880224</v>
      </c>
      <c r="D13741" s="0" t="s">
        <v>45787</v>
      </c>
      <c r="E13741" s="0" t="s">
        <v>89</v>
      </c>
      <c r="F13741" s="0" t="s">
        <v>90</v>
      </c>
      <c r="G13741" s="0" t="s">
        <v>26</v>
      </c>
      <c r="H13741" s="0" t="n">
        <v>86</v>
      </c>
      <c r="I13741" s="0" t="s">
        <v>45797</v>
      </c>
      <c r="J13741" s="0" t="s">
        <v>45798</v>
      </c>
      <c r="K13741" s="0" t="s">
        <v>45799</v>
      </c>
      <c r="L13741" s="0" t="str">
        <f aca="false">HYPERLINK("https://www.ncbi.nlm.nih.gov/nuccore/CP000304.1?report=graph&amp;tracks=[key:gene_model_track,Options:GeneOnly]&amp;mk=3880280:3880299|offset_11|444444,3880254:3880273|offset_37|444444,3880227:3880246|offset_64|444444,3880205:3880224|offset_86|00cc00&amp;v=3880079:3880424&amp;c=444444", "offset 86")</f>
        <v>offset 86</v>
      </c>
    </row>
    <row r="13742" customFormat="false" ht="12.8" hidden="false" customHeight="false" outlineLevel="0" collapsed="false">
      <c r="A13742" s="0" t="s">
        <v>12</v>
      </c>
      <c r="B13742" s="0" t="n">
        <v>3880751</v>
      </c>
      <c r="C13742" s="0" t="n">
        <v>3880771</v>
      </c>
      <c r="D13742" s="0" t="s">
        <v>45800</v>
      </c>
      <c r="E13742" s="0" t="s">
        <v>89</v>
      </c>
      <c r="F13742" s="0" t="s">
        <v>90</v>
      </c>
      <c r="G13742" s="0" t="s">
        <v>32</v>
      </c>
      <c r="H13742" s="0" t="n">
        <v>1</v>
      </c>
      <c r="I13742" s="0" t="s">
        <v>45801</v>
      </c>
      <c r="J13742" s="0" t="s">
        <v>45802</v>
      </c>
      <c r="K13742" s="0" t="s">
        <v>45803</v>
      </c>
      <c r="L13742" s="0" t="str">
        <f aca="false">HYPERLINK("https://www.ncbi.nlm.nih.gov/nuccore/CP000304.1?report=graph&amp;tracks=[key:gene_model_track,Options:GeneOnly]&amp;mk=3880752:3880771|offset_1|00cc00,3880731:3880750|offset_22|444444,3880689:3880708|offset_64|444444,3880667:3880686|offset_86|444444&amp;v=3880551:3880886&amp;c=444444", "offset 1")</f>
        <v>offset 1</v>
      </c>
    </row>
    <row r="13743" customFormat="false" ht="12.8" hidden="false" customHeight="false" outlineLevel="0" collapsed="false">
      <c r="A13743" s="0" t="s">
        <v>12</v>
      </c>
      <c r="B13743" s="0" t="n">
        <v>3880730</v>
      </c>
      <c r="C13743" s="0" t="n">
        <v>3880750</v>
      </c>
      <c r="D13743" s="0" t="s">
        <v>45800</v>
      </c>
      <c r="E13743" s="0" t="s">
        <v>89</v>
      </c>
      <c r="F13743" s="0" t="s">
        <v>90</v>
      </c>
      <c r="G13743" s="0" t="s">
        <v>16</v>
      </c>
      <c r="H13743" s="0" t="n">
        <v>22</v>
      </c>
      <c r="I13743" s="0" t="s">
        <v>45804</v>
      </c>
      <c r="J13743" s="0" t="s">
        <v>45805</v>
      </c>
      <c r="K13743" s="0" t="s">
        <v>45806</v>
      </c>
      <c r="L13743" s="0" t="str">
        <f aca="false">HYPERLINK("https://www.ncbi.nlm.nih.gov/nuccore/CP000304.1?report=graph&amp;tracks=[key:gene_model_track,Options:GeneOnly]&amp;mk=3880752:3880771|offset_1|444444,3880731:3880750|offset_22|00cc00,3880689:3880708|offset_64|444444,3880667:3880686|offset_86|444444&amp;v=3880551:3880886&amp;c=444444", "offset 22")</f>
        <v>offset 22</v>
      </c>
    </row>
    <row r="13744" customFormat="false" ht="12.8" hidden="false" customHeight="false" outlineLevel="0" collapsed="false">
      <c r="A13744" s="0" t="s">
        <v>12</v>
      </c>
      <c r="B13744" s="0" t="n">
        <v>3880688</v>
      </c>
      <c r="C13744" s="0" t="n">
        <v>3880708</v>
      </c>
      <c r="D13744" s="0" t="s">
        <v>45800</v>
      </c>
      <c r="E13744" s="0" t="s">
        <v>89</v>
      </c>
      <c r="F13744" s="0" t="s">
        <v>90</v>
      </c>
      <c r="G13744" s="0" t="s">
        <v>26</v>
      </c>
      <c r="H13744" s="0" t="n">
        <v>64</v>
      </c>
      <c r="I13744" s="0" t="s">
        <v>45807</v>
      </c>
      <c r="J13744" s="0" t="s">
        <v>45808</v>
      </c>
      <c r="K13744" s="0" t="s">
        <v>45809</v>
      </c>
      <c r="L13744" s="0" t="str">
        <f aca="false">HYPERLINK("https://www.ncbi.nlm.nih.gov/nuccore/CP000304.1?report=graph&amp;tracks=[key:gene_model_track,Options:GeneOnly]&amp;mk=3880752:3880771|offset_1|444444,3880731:3880750|offset_22|444444,3880689:3880708|offset_64|00cc00,3880667:3880686|offset_86|444444&amp;v=3880551:3880886&amp;c=444444", "offset 64")</f>
        <v>offset 64</v>
      </c>
    </row>
    <row r="13745" customFormat="false" ht="12.8" hidden="false" customHeight="false" outlineLevel="0" collapsed="false">
      <c r="A13745" s="0" t="s">
        <v>12</v>
      </c>
      <c r="B13745" s="0" t="n">
        <v>3880666</v>
      </c>
      <c r="C13745" s="0" t="n">
        <v>3880686</v>
      </c>
      <c r="D13745" s="0" t="s">
        <v>45800</v>
      </c>
      <c r="E13745" s="0" t="s">
        <v>89</v>
      </c>
      <c r="F13745" s="0" t="s">
        <v>90</v>
      </c>
      <c r="G13745" s="0" t="s">
        <v>16</v>
      </c>
      <c r="H13745" s="0" t="n">
        <v>86</v>
      </c>
      <c r="I13745" s="0" t="s">
        <v>45810</v>
      </c>
      <c r="J13745" s="0" t="s">
        <v>45811</v>
      </c>
      <c r="K13745" s="0" t="s">
        <v>45812</v>
      </c>
      <c r="L13745" s="0" t="str">
        <f aca="false">HYPERLINK("https://www.ncbi.nlm.nih.gov/nuccore/CP000304.1?report=graph&amp;tracks=[key:gene_model_track,Options:GeneOnly]&amp;mk=3880752:3880771|offset_1|444444,3880731:3880750|offset_22|444444,3880689:3880708|offset_64|444444,3880667:3880686|offset_86|00cc00&amp;v=3880551:3880886&amp;c=444444", "offset 86")</f>
        <v>offset 86</v>
      </c>
    </row>
    <row r="13746" customFormat="false" ht="12.8" hidden="false" customHeight="false" outlineLevel="0" collapsed="false">
      <c r="A13746" s="0" t="s">
        <v>12</v>
      </c>
      <c r="B13746" s="0" t="n">
        <v>3880785</v>
      </c>
      <c r="C13746" s="0" t="n">
        <v>3880805</v>
      </c>
      <c r="D13746" s="0" t="s">
        <v>45813</v>
      </c>
      <c r="E13746" s="0" t="s">
        <v>89</v>
      </c>
      <c r="F13746" s="0" t="s">
        <v>15</v>
      </c>
      <c r="G13746" s="0" t="s">
        <v>26</v>
      </c>
      <c r="H13746" s="0" t="n">
        <v>12</v>
      </c>
      <c r="I13746" s="0" t="s">
        <v>45814</v>
      </c>
      <c r="J13746" s="0" t="s">
        <v>45815</v>
      </c>
      <c r="K13746" s="0" t="s">
        <v>45816</v>
      </c>
      <c r="L13746" s="0" t="str">
        <f aca="false">HYPERLINK("https://www.ncbi.nlm.nih.gov/nuccore/CP000304.1?report=graph&amp;tracks=[key:gene_model_track,Options:GeneOnly]&amp;mk=3880786:3880805|offset_12|00cc00,3880806:3880825|offset_32|444444,3880852:3880871|offset_78|444444,3880874:3880893|offset_100|444444&amp;v=3880585:3881093&amp;c=444444", "offset 12")</f>
        <v>offset 12</v>
      </c>
    </row>
    <row r="13747" customFormat="false" ht="12.8" hidden="false" customHeight="false" outlineLevel="0" collapsed="false">
      <c r="A13747" s="0" t="s">
        <v>12</v>
      </c>
      <c r="B13747" s="0" t="n">
        <v>3880805</v>
      </c>
      <c r="C13747" s="0" t="n">
        <v>3880825</v>
      </c>
      <c r="D13747" s="0" t="s">
        <v>45813</v>
      </c>
      <c r="E13747" s="0" t="s">
        <v>89</v>
      </c>
      <c r="F13747" s="0" t="s">
        <v>15</v>
      </c>
      <c r="G13747" s="0" t="s">
        <v>32</v>
      </c>
      <c r="H13747" s="0" t="n">
        <v>32</v>
      </c>
      <c r="I13747" s="0" t="s">
        <v>45817</v>
      </c>
      <c r="J13747" s="0" t="s">
        <v>45818</v>
      </c>
      <c r="K13747" s="0" t="s">
        <v>45819</v>
      </c>
      <c r="L13747" s="0" t="str">
        <f aca="false">HYPERLINK("https://www.ncbi.nlm.nih.gov/nuccore/CP000304.1?report=graph&amp;tracks=[key:gene_model_track,Options:GeneOnly]&amp;mk=3880786:3880805|offset_12|444444,3880806:3880825|offset_32|00cc00,3880852:3880871|offset_78|444444,3880874:3880893|offset_100|444444&amp;v=3880585:3881093&amp;c=444444", "offset 32")</f>
        <v>offset 32</v>
      </c>
    </row>
    <row r="13748" customFormat="false" ht="12.8" hidden="false" customHeight="false" outlineLevel="0" collapsed="false">
      <c r="A13748" s="0" t="s">
        <v>12</v>
      </c>
      <c r="B13748" s="0" t="n">
        <v>3880851</v>
      </c>
      <c r="C13748" s="0" t="n">
        <v>3880871</v>
      </c>
      <c r="D13748" s="0" t="s">
        <v>45813</v>
      </c>
      <c r="E13748" s="0" t="s">
        <v>89</v>
      </c>
      <c r="F13748" s="0" t="s">
        <v>15</v>
      </c>
      <c r="G13748" s="0" t="s">
        <v>26</v>
      </c>
      <c r="H13748" s="0" t="n">
        <v>78</v>
      </c>
      <c r="I13748" s="0" t="s">
        <v>45820</v>
      </c>
      <c r="J13748" s="0" t="s">
        <v>45821</v>
      </c>
      <c r="K13748" s="0" t="s">
        <v>45822</v>
      </c>
      <c r="L13748" s="0" t="str">
        <f aca="false">HYPERLINK("https://www.ncbi.nlm.nih.gov/nuccore/CP000304.1?report=graph&amp;tracks=[key:gene_model_track,Options:GeneOnly]&amp;mk=3880786:3880805|offset_12|444444,3880806:3880825|offset_32|444444,3880852:3880871|offset_78|00cc00,3880874:3880893|offset_100|444444&amp;v=3880585:3881093&amp;c=444444", "offset 78")</f>
        <v>offset 78</v>
      </c>
    </row>
    <row r="13749" customFormat="false" ht="12.8" hidden="false" customHeight="false" outlineLevel="0" collapsed="false">
      <c r="A13749" s="0" t="s">
        <v>12</v>
      </c>
      <c r="B13749" s="0" t="n">
        <v>3880873</v>
      </c>
      <c r="C13749" s="0" t="n">
        <v>3880893</v>
      </c>
      <c r="D13749" s="0" t="s">
        <v>45813</v>
      </c>
      <c r="E13749" s="0" t="s">
        <v>89</v>
      </c>
      <c r="F13749" s="0" t="s">
        <v>15</v>
      </c>
      <c r="G13749" s="0" t="s">
        <v>36</v>
      </c>
      <c r="H13749" s="0" t="n">
        <v>100</v>
      </c>
      <c r="I13749" s="0" t="s">
        <v>45823</v>
      </c>
      <c r="J13749" s="0" t="s">
        <v>45824</v>
      </c>
      <c r="K13749" s="0" t="s">
        <v>45825</v>
      </c>
      <c r="L13749" s="0" t="str">
        <f aca="false">HYPERLINK("https://www.ncbi.nlm.nih.gov/nuccore/CP000304.1?report=graph&amp;tracks=[key:gene_model_track,Options:GeneOnly]&amp;mk=3880786:3880805|offset_12|444444,3880806:3880825|offset_32|444444,3880852:3880871|offset_78|444444,3880874:3880893|offset_100|00cc00&amp;v=3880585:3881093&amp;c=444444", "offset 100")</f>
        <v>offset 100</v>
      </c>
    </row>
    <row r="13750" customFormat="false" ht="12.8" hidden="false" customHeight="false" outlineLevel="0" collapsed="false">
      <c r="A13750" s="0" t="s">
        <v>12</v>
      </c>
      <c r="B13750" s="0" t="n">
        <v>3881729</v>
      </c>
      <c r="C13750" s="0" t="n">
        <v>3881749</v>
      </c>
      <c r="D13750" s="0" t="s">
        <v>45826</v>
      </c>
      <c r="E13750" s="0" t="s">
        <v>89</v>
      </c>
      <c r="F13750" s="0" t="s">
        <v>15</v>
      </c>
      <c r="G13750" s="0" t="s">
        <v>16</v>
      </c>
      <c r="H13750" s="0" t="n">
        <v>20</v>
      </c>
      <c r="I13750" s="0" t="s">
        <v>45827</v>
      </c>
      <c r="J13750" s="0" t="s">
        <v>45828</v>
      </c>
      <c r="K13750" s="0" t="s">
        <v>45829</v>
      </c>
      <c r="L13750" s="0" t="str">
        <f aca="false">HYPERLINK("https://www.ncbi.nlm.nih.gov/nuccore/CP000304.1?report=graph&amp;tracks=[key:gene_model_track,Options:GeneOnly]&amp;mk=3881730:3881749|offset_20|00cc00,3881772:3881791|offset_62|444444,3881813:3881832|offset_103|444444,3881834:3881853|offset_124|444444&amp;v=3881529:3882053&amp;c=444444", "offset 20")</f>
        <v>offset 20</v>
      </c>
    </row>
    <row r="13751" customFormat="false" ht="12.8" hidden="false" customHeight="false" outlineLevel="0" collapsed="false">
      <c r="A13751" s="0" t="s">
        <v>12</v>
      </c>
      <c r="B13751" s="0" t="n">
        <v>3881771</v>
      </c>
      <c r="C13751" s="0" t="n">
        <v>3881791</v>
      </c>
      <c r="D13751" s="0" t="s">
        <v>45826</v>
      </c>
      <c r="E13751" s="0" t="s">
        <v>89</v>
      </c>
      <c r="F13751" s="0" t="s">
        <v>15</v>
      </c>
      <c r="G13751" s="0" t="s">
        <v>26</v>
      </c>
      <c r="H13751" s="0" t="n">
        <v>62</v>
      </c>
      <c r="I13751" s="0" t="s">
        <v>45830</v>
      </c>
      <c r="J13751" s="0" t="s">
        <v>45831</v>
      </c>
      <c r="K13751" s="0" t="s">
        <v>45832</v>
      </c>
      <c r="L13751" s="0" t="str">
        <f aca="false">HYPERLINK("https://www.ncbi.nlm.nih.gov/nuccore/CP000304.1?report=graph&amp;tracks=[key:gene_model_track,Options:GeneOnly]&amp;mk=3881730:3881749|offset_20|444444,3881772:3881791|offset_62|00cc00,3881813:3881832|offset_103|444444,3881834:3881853|offset_124|444444&amp;v=3881529:3882053&amp;c=444444", "offset 62")</f>
        <v>offset 62</v>
      </c>
    </row>
    <row r="13752" customFormat="false" ht="12.8" hidden="false" customHeight="false" outlineLevel="0" collapsed="false">
      <c r="A13752" s="0" t="s">
        <v>12</v>
      </c>
      <c r="B13752" s="0" t="n">
        <v>3881812</v>
      </c>
      <c r="C13752" s="0" t="n">
        <v>3881832</v>
      </c>
      <c r="D13752" s="0" t="s">
        <v>45826</v>
      </c>
      <c r="E13752" s="0" t="s">
        <v>89</v>
      </c>
      <c r="F13752" s="0" t="s">
        <v>15</v>
      </c>
      <c r="G13752" s="0" t="s">
        <v>32</v>
      </c>
      <c r="H13752" s="0" t="n">
        <v>103</v>
      </c>
      <c r="I13752" s="0" t="s">
        <v>45833</v>
      </c>
      <c r="J13752" s="0" t="s">
        <v>45834</v>
      </c>
      <c r="K13752" s="0" t="s">
        <v>45835</v>
      </c>
      <c r="L13752" s="0" t="str">
        <f aca="false">HYPERLINK("https://www.ncbi.nlm.nih.gov/nuccore/CP000304.1?report=graph&amp;tracks=[key:gene_model_track,Options:GeneOnly]&amp;mk=3881730:3881749|offset_20|444444,3881772:3881791|offset_62|444444,3881813:3881832|offset_103|00cc00,3881834:3881853|offset_124|444444&amp;v=3881529:3882053&amp;c=444444", "offset 103")</f>
        <v>offset 103</v>
      </c>
    </row>
    <row r="13753" customFormat="false" ht="12.8" hidden="false" customHeight="false" outlineLevel="0" collapsed="false">
      <c r="A13753" s="0" t="s">
        <v>12</v>
      </c>
      <c r="B13753" s="0" t="n">
        <v>3881833</v>
      </c>
      <c r="C13753" s="0" t="n">
        <v>3881853</v>
      </c>
      <c r="D13753" s="0" t="s">
        <v>45826</v>
      </c>
      <c r="E13753" s="0" t="s">
        <v>89</v>
      </c>
      <c r="F13753" s="0" t="s">
        <v>15</v>
      </c>
      <c r="G13753" s="0" t="s">
        <v>32</v>
      </c>
      <c r="H13753" s="0" t="n">
        <v>124</v>
      </c>
      <c r="I13753" s="0" t="s">
        <v>45836</v>
      </c>
      <c r="J13753" s="0" t="s">
        <v>45837</v>
      </c>
      <c r="K13753" s="0" t="s">
        <v>45838</v>
      </c>
      <c r="L13753" s="0" t="str">
        <f aca="false">HYPERLINK("https://www.ncbi.nlm.nih.gov/nuccore/CP000304.1?report=graph&amp;tracks=[key:gene_model_track,Options:GeneOnly]&amp;mk=3881730:3881749|offset_20|444444,3881772:3881791|offset_62|444444,3881813:3881832|offset_103|444444,3881834:3881853|offset_124|00cc00&amp;v=3881529:3882053&amp;c=444444", "offset 124")</f>
        <v>offset 124</v>
      </c>
    </row>
    <row r="13754" customFormat="false" ht="12.8" hidden="false" customHeight="false" outlineLevel="0" collapsed="false">
      <c r="A13754" s="0" t="s">
        <v>12</v>
      </c>
      <c r="B13754" s="0" t="n">
        <v>3882932</v>
      </c>
      <c r="C13754" s="0" t="n">
        <v>3882952</v>
      </c>
      <c r="D13754" s="0" t="s">
        <v>45839</v>
      </c>
      <c r="E13754" s="0" t="s">
        <v>89</v>
      </c>
      <c r="F13754" s="0" t="s">
        <v>15</v>
      </c>
      <c r="G13754" s="0" t="s">
        <v>36</v>
      </c>
      <c r="H13754" s="0" t="n">
        <v>24</v>
      </c>
      <c r="I13754" s="0" t="s">
        <v>45840</v>
      </c>
      <c r="J13754" s="0" t="s">
        <v>45841</v>
      </c>
      <c r="K13754" s="0" t="s">
        <v>45842</v>
      </c>
      <c r="L13754" s="0" t="str">
        <f aca="false">HYPERLINK("https://www.ncbi.nlm.nih.gov/nuccore/CP000304.1?report=graph&amp;tracks=[key:gene_model_track,Options:GeneOnly]&amp;mk=3882933:3882952|offset_24|00cc00,3882958:3882977|offset_49|444444,3882988:3883007|offset_79|444444,3883029:3883048|offset_120|444444&amp;v=3882732:3883248&amp;c=444444", "offset 24")</f>
        <v>offset 24</v>
      </c>
    </row>
    <row r="13755" customFormat="false" ht="12.8" hidden="false" customHeight="false" outlineLevel="0" collapsed="false">
      <c r="A13755" s="0" t="s">
        <v>12</v>
      </c>
      <c r="B13755" s="0" t="n">
        <v>3882957</v>
      </c>
      <c r="C13755" s="0" t="n">
        <v>3882977</v>
      </c>
      <c r="D13755" s="0" t="s">
        <v>45839</v>
      </c>
      <c r="E13755" s="0" t="s">
        <v>89</v>
      </c>
      <c r="F13755" s="0" t="s">
        <v>15</v>
      </c>
      <c r="G13755" s="0" t="s">
        <v>36</v>
      </c>
      <c r="H13755" s="0" t="n">
        <v>49</v>
      </c>
      <c r="I13755" s="0" t="s">
        <v>45843</v>
      </c>
      <c r="J13755" s="0" t="s">
        <v>45844</v>
      </c>
      <c r="K13755" s="0" t="s">
        <v>45845</v>
      </c>
      <c r="L13755" s="0" t="str">
        <f aca="false">HYPERLINK("https://www.ncbi.nlm.nih.gov/nuccore/CP000304.1?report=graph&amp;tracks=[key:gene_model_track,Options:GeneOnly]&amp;mk=3882933:3882952|offset_24|444444,3882958:3882977|offset_49|00cc00,3882988:3883007|offset_79|444444,3883029:3883048|offset_120|444444&amp;v=3882732:3883248&amp;c=444444", "offset 49")</f>
        <v>offset 49</v>
      </c>
    </row>
    <row r="13756" customFormat="false" ht="12.8" hidden="false" customHeight="false" outlineLevel="0" collapsed="false">
      <c r="A13756" s="0" t="s">
        <v>12</v>
      </c>
      <c r="B13756" s="0" t="n">
        <v>3882987</v>
      </c>
      <c r="C13756" s="0" t="n">
        <v>3883007</v>
      </c>
      <c r="D13756" s="0" t="s">
        <v>45839</v>
      </c>
      <c r="E13756" s="0" t="s">
        <v>89</v>
      </c>
      <c r="F13756" s="0" t="s">
        <v>15</v>
      </c>
      <c r="G13756" s="0" t="s">
        <v>16</v>
      </c>
      <c r="H13756" s="0" t="n">
        <v>79</v>
      </c>
      <c r="I13756" s="0" t="s">
        <v>45846</v>
      </c>
      <c r="J13756" s="0" t="s">
        <v>45847</v>
      </c>
      <c r="K13756" s="0" t="s">
        <v>45848</v>
      </c>
      <c r="L13756" s="0" t="str">
        <f aca="false">HYPERLINK("https://www.ncbi.nlm.nih.gov/nuccore/CP000304.1?report=graph&amp;tracks=[key:gene_model_track,Options:GeneOnly]&amp;mk=3882933:3882952|offset_24|444444,3882958:3882977|offset_49|444444,3882988:3883007|offset_79|00cc00,3883029:3883048|offset_120|444444&amp;v=3882732:3883248&amp;c=444444", "offset 79")</f>
        <v>offset 79</v>
      </c>
    </row>
    <row r="13757" customFormat="false" ht="12.8" hidden="false" customHeight="false" outlineLevel="0" collapsed="false">
      <c r="A13757" s="0" t="s">
        <v>12</v>
      </c>
      <c r="B13757" s="0" t="n">
        <v>3883028</v>
      </c>
      <c r="C13757" s="0" t="n">
        <v>3883048</v>
      </c>
      <c r="D13757" s="0" t="s">
        <v>45839</v>
      </c>
      <c r="E13757" s="0" t="s">
        <v>89</v>
      </c>
      <c r="F13757" s="0" t="s">
        <v>15</v>
      </c>
      <c r="G13757" s="0" t="s">
        <v>32</v>
      </c>
      <c r="H13757" s="0" t="n">
        <v>120</v>
      </c>
      <c r="I13757" s="0" t="s">
        <v>45849</v>
      </c>
      <c r="J13757" s="0" t="s">
        <v>45850</v>
      </c>
      <c r="K13757" s="0" t="s">
        <v>45851</v>
      </c>
      <c r="L13757" s="0" t="str">
        <f aca="false">HYPERLINK("https://www.ncbi.nlm.nih.gov/nuccore/CP000304.1?report=graph&amp;tracks=[key:gene_model_track,Options:GeneOnly]&amp;mk=3882933:3882952|offset_24|444444,3882958:3882977|offset_49|444444,3882988:3883007|offset_79|444444,3883029:3883048|offset_120|00cc00&amp;v=3882732:3883248&amp;c=444444", "offset 120")</f>
        <v>offset 120</v>
      </c>
    </row>
    <row r="13758" customFormat="false" ht="12.8" hidden="false" customHeight="false" outlineLevel="0" collapsed="false">
      <c r="A13758" s="0" t="s">
        <v>12</v>
      </c>
      <c r="B13758" s="0" t="n">
        <v>3884467</v>
      </c>
      <c r="C13758" s="0" t="n">
        <v>3884487</v>
      </c>
      <c r="D13758" s="0" t="s">
        <v>45852</v>
      </c>
      <c r="E13758" s="0" t="s">
        <v>89</v>
      </c>
      <c r="F13758" s="0" t="s">
        <v>90</v>
      </c>
      <c r="G13758" s="0" t="s">
        <v>16</v>
      </c>
      <c r="H13758" s="0" t="n">
        <v>0</v>
      </c>
      <c r="I13758" s="0" t="s">
        <v>45853</v>
      </c>
      <c r="J13758" s="0" t="s">
        <v>45854</v>
      </c>
      <c r="K13758" s="0" t="s">
        <v>45855</v>
      </c>
      <c r="L13758" s="0" t="str">
        <f aca="false">HYPERLINK("https://www.ncbi.nlm.nih.gov/nuccore/CP000304.1?report=graph&amp;tracks=[key:gene_model_track,Options:GeneOnly]&amp;mk=3884468:3884487|offset_0|00cc00,3884447:3884466|offset_21|444444,3884420:3884439|offset_48|444444,3884398:3884417|offset_70|444444&amp;v=3884267:3884617&amp;c=444444", "offset 0")</f>
        <v>offset 0</v>
      </c>
    </row>
    <row r="13759" customFormat="false" ht="12.8" hidden="false" customHeight="false" outlineLevel="0" collapsed="false">
      <c r="A13759" s="0" t="s">
        <v>12</v>
      </c>
      <c r="B13759" s="0" t="n">
        <v>3884446</v>
      </c>
      <c r="C13759" s="0" t="n">
        <v>3884466</v>
      </c>
      <c r="D13759" s="0" t="s">
        <v>45852</v>
      </c>
      <c r="E13759" s="0" t="s">
        <v>89</v>
      </c>
      <c r="F13759" s="0" t="s">
        <v>90</v>
      </c>
      <c r="G13759" s="0" t="s">
        <v>36</v>
      </c>
      <c r="H13759" s="0" t="n">
        <v>21</v>
      </c>
      <c r="I13759" s="0" t="s">
        <v>45856</v>
      </c>
      <c r="J13759" s="0" t="s">
        <v>45857</v>
      </c>
      <c r="K13759" s="0" t="s">
        <v>45858</v>
      </c>
      <c r="L13759" s="0" t="str">
        <f aca="false">HYPERLINK("https://www.ncbi.nlm.nih.gov/nuccore/CP000304.1?report=graph&amp;tracks=[key:gene_model_track,Options:GeneOnly]&amp;mk=3884468:3884487|offset_0|444444,3884447:3884466|offset_21|00cc00,3884420:3884439|offset_48|444444,3884398:3884417|offset_70|444444&amp;v=3884267:3884617&amp;c=444444", "offset 21")</f>
        <v>offset 21</v>
      </c>
    </row>
    <row r="13760" customFormat="false" ht="12.8" hidden="false" customHeight="false" outlineLevel="0" collapsed="false">
      <c r="A13760" s="0" t="s">
        <v>12</v>
      </c>
      <c r="B13760" s="0" t="n">
        <v>3884419</v>
      </c>
      <c r="C13760" s="0" t="n">
        <v>3884439</v>
      </c>
      <c r="D13760" s="0" t="s">
        <v>45852</v>
      </c>
      <c r="E13760" s="0" t="s">
        <v>89</v>
      </c>
      <c r="F13760" s="0" t="s">
        <v>90</v>
      </c>
      <c r="G13760" s="0" t="s">
        <v>36</v>
      </c>
      <c r="H13760" s="0" t="n">
        <v>48</v>
      </c>
      <c r="I13760" s="0" t="s">
        <v>45859</v>
      </c>
      <c r="J13760" s="0" t="s">
        <v>45860</v>
      </c>
      <c r="K13760" s="0" t="s">
        <v>45861</v>
      </c>
      <c r="L13760" s="0" t="str">
        <f aca="false">HYPERLINK("https://www.ncbi.nlm.nih.gov/nuccore/CP000304.1?report=graph&amp;tracks=[key:gene_model_track,Options:GeneOnly]&amp;mk=3884468:3884487|offset_0|444444,3884447:3884466|offset_21|444444,3884420:3884439|offset_48|00cc00,3884398:3884417|offset_70|444444&amp;v=3884267:3884617&amp;c=444444", "offset 48")</f>
        <v>offset 48</v>
      </c>
    </row>
    <row r="13761" customFormat="false" ht="12.8" hidden="false" customHeight="false" outlineLevel="0" collapsed="false">
      <c r="A13761" s="0" t="s">
        <v>12</v>
      </c>
      <c r="B13761" s="0" t="n">
        <v>3884397</v>
      </c>
      <c r="C13761" s="0" t="n">
        <v>3884417</v>
      </c>
      <c r="D13761" s="0" t="s">
        <v>45852</v>
      </c>
      <c r="E13761" s="0" t="s">
        <v>89</v>
      </c>
      <c r="F13761" s="0" t="s">
        <v>90</v>
      </c>
      <c r="G13761" s="0" t="s">
        <v>16</v>
      </c>
      <c r="H13761" s="0" t="n">
        <v>70</v>
      </c>
      <c r="I13761" s="0" t="s">
        <v>45862</v>
      </c>
      <c r="J13761" s="0" t="s">
        <v>45863</v>
      </c>
      <c r="K13761" s="0" t="s">
        <v>45864</v>
      </c>
      <c r="L13761" s="0" t="str">
        <f aca="false">HYPERLINK("https://www.ncbi.nlm.nih.gov/nuccore/CP000304.1?report=graph&amp;tracks=[key:gene_model_track,Options:GeneOnly]&amp;mk=3884468:3884487|offset_0|444444,3884447:3884466|offset_21|444444,3884420:3884439|offset_48|444444,3884398:3884417|offset_70|00cc00&amp;v=3884267:3884617&amp;c=444444", "offset 70")</f>
        <v>offset 70</v>
      </c>
    </row>
    <row r="13762" customFormat="false" ht="12.8" hidden="false" customHeight="false" outlineLevel="0" collapsed="false">
      <c r="A13762" s="0" t="s">
        <v>12</v>
      </c>
      <c r="B13762" s="0" t="n">
        <v>3885284</v>
      </c>
      <c r="C13762" s="0" t="n">
        <v>3885304</v>
      </c>
      <c r="D13762" s="0" t="s">
        <v>45865</v>
      </c>
      <c r="E13762" s="0" t="s">
        <v>89</v>
      </c>
      <c r="F13762" s="0" t="s">
        <v>90</v>
      </c>
      <c r="G13762" s="0" t="s">
        <v>36</v>
      </c>
      <c r="H13762" s="0" t="n">
        <v>0</v>
      </c>
      <c r="I13762" s="0" t="s">
        <v>45866</v>
      </c>
      <c r="J13762" s="0" t="s">
        <v>45867</v>
      </c>
      <c r="K13762" s="0" t="s">
        <v>45868</v>
      </c>
      <c r="L13762" s="0" t="str">
        <f aca="false">HYPERLINK("https://www.ncbi.nlm.nih.gov/nuccore/CP000304.1?report=graph&amp;tracks=[key:gene_model_track,Options:GeneOnly]&amp;mk=3885285:3885304|offset_0|00cc00,3885261:3885280|offset_24|444444,3885239:3885258|offset_46|444444,3885212:3885231|offset_73|444444&amp;v=3885084:3885431&amp;c=444444", "offset 0")</f>
        <v>offset 0</v>
      </c>
    </row>
    <row r="13763" customFormat="false" ht="12.8" hidden="false" customHeight="false" outlineLevel="0" collapsed="false">
      <c r="A13763" s="0" t="s">
        <v>12</v>
      </c>
      <c r="B13763" s="0" t="n">
        <v>3885260</v>
      </c>
      <c r="C13763" s="0" t="n">
        <v>3885280</v>
      </c>
      <c r="D13763" s="0" t="s">
        <v>45865</v>
      </c>
      <c r="E13763" s="0" t="s">
        <v>89</v>
      </c>
      <c r="F13763" s="0" t="s">
        <v>90</v>
      </c>
      <c r="G13763" s="0" t="s">
        <v>32</v>
      </c>
      <c r="H13763" s="0" t="n">
        <v>24</v>
      </c>
      <c r="I13763" s="0" t="s">
        <v>45869</v>
      </c>
      <c r="J13763" s="0" t="s">
        <v>45870</v>
      </c>
      <c r="K13763" s="0" t="s">
        <v>45871</v>
      </c>
      <c r="L13763" s="0" t="str">
        <f aca="false">HYPERLINK("https://www.ncbi.nlm.nih.gov/nuccore/CP000304.1?report=graph&amp;tracks=[key:gene_model_track,Options:GeneOnly]&amp;mk=3885285:3885304|offset_0|444444,3885261:3885280|offset_24|00cc00,3885239:3885258|offset_46|444444,3885212:3885231|offset_73|444444&amp;v=3885084:3885431&amp;c=444444", "offset 24")</f>
        <v>offset 24</v>
      </c>
    </row>
    <row r="13764" customFormat="false" ht="12.8" hidden="false" customHeight="false" outlineLevel="0" collapsed="false">
      <c r="A13764" s="0" t="s">
        <v>12</v>
      </c>
      <c r="B13764" s="0" t="n">
        <v>3885238</v>
      </c>
      <c r="C13764" s="0" t="n">
        <v>3885258</v>
      </c>
      <c r="D13764" s="0" t="s">
        <v>45865</v>
      </c>
      <c r="E13764" s="0" t="s">
        <v>89</v>
      </c>
      <c r="F13764" s="0" t="s">
        <v>90</v>
      </c>
      <c r="G13764" s="0" t="s">
        <v>32</v>
      </c>
      <c r="H13764" s="0" t="n">
        <v>46</v>
      </c>
      <c r="I13764" s="0" t="s">
        <v>45872</v>
      </c>
      <c r="J13764" s="0" t="s">
        <v>45873</v>
      </c>
      <c r="K13764" s="0" t="s">
        <v>45874</v>
      </c>
      <c r="L13764" s="0" t="str">
        <f aca="false">HYPERLINK("https://www.ncbi.nlm.nih.gov/nuccore/CP000304.1?report=graph&amp;tracks=[key:gene_model_track,Options:GeneOnly]&amp;mk=3885285:3885304|offset_0|444444,3885261:3885280|offset_24|444444,3885239:3885258|offset_46|00cc00,3885212:3885231|offset_73|444444&amp;v=3885084:3885431&amp;c=444444", "offset 46")</f>
        <v>offset 46</v>
      </c>
    </row>
    <row r="13765" customFormat="false" ht="12.8" hidden="false" customHeight="false" outlineLevel="0" collapsed="false">
      <c r="A13765" s="0" t="s">
        <v>12</v>
      </c>
      <c r="B13765" s="0" t="n">
        <v>3885211</v>
      </c>
      <c r="C13765" s="0" t="n">
        <v>3885231</v>
      </c>
      <c r="D13765" s="0" t="s">
        <v>45865</v>
      </c>
      <c r="E13765" s="0" t="s">
        <v>89</v>
      </c>
      <c r="F13765" s="0" t="s">
        <v>90</v>
      </c>
      <c r="G13765" s="0" t="s">
        <v>16</v>
      </c>
      <c r="H13765" s="0" t="n">
        <v>73</v>
      </c>
      <c r="I13765" s="0" t="s">
        <v>45875</v>
      </c>
      <c r="J13765" s="0" t="s">
        <v>45876</v>
      </c>
      <c r="K13765" s="0" t="s">
        <v>45877</v>
      </c>
      <c r="L13765" s="0" t="str">
        <f aca="false">HYPERLINK("https://www.ncbi.nlm.nih.gov/nuccore/CP000304.1?report=graph&amp;tracks=[key:gene_model_track,Options:GeneOnly]&amp;mk=3885285:3885304|offset_0|444444,3885261:3885280|offset_24|444444,3885239:3885258|offset_46|444444,3885212:3885231|offset_73|00cc00&amp;v=3885084:3885431&amp;c=444444", "offset 73")</f>
        <v>offset 73</v>
      </c>
    </row>
    <row r="13766" customFormat="false" ht="12.8" hidden="false" customHeight="false" outlineLevel="0" collapsed="false">
      <c r="A13766" s="0" t="s">
        <v>12</v>
      </c>
      <c r="B13766" s="0" t="n">
        <v>3885597</v>
      </c>
      <c r="C13766" s="0" t="n">
        <v>3885617</v>
      </c>
      <c r="D13766" s="0" t="s">
        <v>45878</v>
      </c>
      <c r="E13766" s="0" t="s">
        <v>89</v>
      </c>
      <c r="F13766" s="0" t="s">
        <v>15</v>
      </c>
      <c r="G13766" s="0" t="s">
        <v>36</v>
      </c>
      <c r="H13766" s="0" t="n">
        <v>0</v>
      </c>
      <c r="I13766" s="0" t="s">
        <v>45879</v>
      </c>
      <c r="J13766" s="0" t="s">
        <v>45880</v>
      </c>
      <c r="K13766" s="0" t="s">
        <v>45881</v>
      </c>
      <c r="L13766" s="0" t="str">
        <f aca="false">HYPERLINK("https://www.ncbi.nlm.nih.gov/nuccore/CP000304.1?report=graph&amp;tracks=[key:gene_model_track,Options:GeneOnly]&amp;mk=3885598:3885617|offset_0|00cc00,3885622:3885641|offset_24|444444,3885650:3885669|offset_52|444444,3885673:3885692|offset_75|444444&amp;v=3885397:3885892&amp;c=444444", "offset 0")</f>
        <v>offset 0</v>
      </c>
    </row>
    <row r="13767" customFormat="false" ht="12.8" hidden="false" customHeight="false" outlineLevel="0" collapsed="false">
      <c r="A13767" s="0" t="s">
        <v>12</v>
      </c>
      <c r="B13767" s="0" t="n">
        <v>3885621</v>
      </c>
      <c r="C13767" s="0" t="n">
        <v>3885641</v>
      </c>
      <c r="D13767" s="0" t="s">
        <v>45878</v>
      </c>
      <c r="E13767" s="0" t="s">
        <v>89</v>
      </c>
      <c r="F13767" s="0" t="s">
        <v>15</v>
      </c>
      <c r="G13767" s="0" t="s">
        <v>16</v>
      </c>
      <c r="H13767" s="0" t="n">
        <v>24</v>
      </c>
      <c r="I13767" s="0" t="s">
        <v>45882</v>
      </c>
      <c r="J13767" s="0" t="s">
        <v>45883</v>
      </c>
      <c r="K13767" s="0" t="s">
        <v>45884</v>
      </c>
      <c r="L13767" s="0" t="str">
        <f aca="false">HYPERLINK("https://www.ncbi.nlm.nih.gov/nuccore/CP000304.1?report=graph&amp;tracks=[key:gene_model_track,Options:GeneOnly]&amp;mk=3885598:3885617|offset_0|444444,3885622:3885641|offset_24|00cc00,3885650:3885669|offset_52|444444,3885673:3885692|offset_75|444444&amp;v=3885397:3885892&amp;c=444444", "offset 24")</f>
        <v>offset 24</v>
      </c>
    </row>
    <row r="13768" customFormat="false" ht="12.8" hidden="false" customHeight="false" outlineLevel="0" collapsed="false">
      <c r="A13768" s="0" t="s">
        <v>12</v>
      </c>
      <c r="B13768" s="0" t="n">
        <v>3885649</v>
      </c>
      <c r="C13768" s="0" t="n">
        <v>3885669</v>
      </c>
      <c r="D13768" s="0" t="s">
        <v>45878</v>
      </c>
      <c r="E13768" s="0" t="s">
        <v>89</v>
      </c>
      <c r="F13768" s="0" t="s">
        <v>15</v>
      </c>
      <c r="G13768" s="0" t="s">
        <v>16</v>
      </c>
      <c r="H13768" s="0" t="n">
        <v>52</v>
      </c>
      <c r="I13768" s="0" t="s">
        <v>45885</v>
      </c>
      <c r="J13768" s="0" t="s">
        <v>45886</v>
      </c>
      <c r="K13768" s="0" t="s">
        <v>45887</v>
      </c>
      <c r="L13768" s="0" t="str">
        <f aca="false">HYPERLINK("https://www.ncbi.nlm.nih.gov/nuccore/CP000304.1?report=graph&amp;tracks=[key:gene_model_track,Options:GeneOnly]&amp;mk=3885598:3885617|offset_0|444444,3885622:3885641|offset_24|444444,3885650:3885669|offset_52|00cc00,3885673:3885692|offset_75|444444&amp;v=3885397:3885892&amp;c=444444", "offset 52")</f>
        <v>offset 52</v>
      </c>
    </row>
    <row r="13769" customFormat="false" ht="12.8" hidden="false" customHeight="false" outlineLevel="0" collapsed="false">
      <c r="A13769" s="0" t="s">
        <v>12</v>
      </c>
      <c r="B13769" s="0" t="n">
        <v>3885672</v>
      </c>
      <c r="C13769" s="0" t="n">
        <v>3885692</v>
      </c>
      <c r="D13769" s="0" t="s">
        <v>45878</v>
      </c>
      <c r="E13769" s="0" t="s">
        <v>89</v>
      </c>
      <c r="F13769" s="0" t="s">
        <v>15</v>
      </c>
      <c r="G13769" s="0" t="s">
        <v>16</v>
      </c>
      <c r="H13769" s="0" t="n">
        <v>75</v>
      </c>
      <c r="I13769" s="0" t="s">
        <v>45888</v>
      </c>
      <c r="J13769" s="0" t="s">
        <v>45889</v>
      </c>
      <c r="K13769" s="0" t="s">
        <v>45890</v>
      </c>
      <c r="L13769" s="0" t="str">
        <f aca="false">HYPERLINK("https://www.ncbi.nlm.nih.gov/nuccore/CP000304.1?report=graph&amp;tracks=[key:gene_model_track,Options:GeneOnly]&amp;mk=3885598:3885617|offset_0|444444,3885622:3885641|offset_24|444444,3885650:3885669|offset_52|444444,3885673:3885692|offset_75|00cc00&amp;v=3885397:3885892&amp;c=444444", "offset 75")</f>
        <v>offset 75</v>
      </c>
    </row>
    <row r="13770" customFormat="false" ht="12.8" hidden="false" customHeight="false" outlineLevel="0" collapsed="false">
      <c r="A13770" s="0" t="s">
        <v>12</v>
      </c>
      <c r="B13770" s="0" t="n">
        <v>3886689</v>
      </c>
      <c r="C13770" s="0" t="n">
        <v>3886709</v>
      </c>
      <c r="D13770" s="0" t="s">
        <v>45891</v>
      </c>
      <c r="E13770" s="0" t="s">
        <v>89</v>
      </c>
      <c r="F13770" s="0" t="s">
        <v>15</v>
      </c>
      <c r="G13770" s="0" t="s">
        <v>16</v>
      </c>
      <c r="H13770" s="0" t="n">
        <v>10</v>
      </c>
      <c r="I13770" s="0" t="s">
        <v>45892</v>
      </c>
      <c r="J13770" s="0" t="s">
        <v>45893</v>
      </c>
      <c r="K13770" s="0" t="s">
        <v>45894</v>
      </c>
      <c r="L13770" s="0" t="str">
        <f aca="false">HYPERLINK("https://www.ncbi.nlm.nih.gov/nuccore/CP000304.1?report=graph&amp;tracks=[key:gene_model_track,Options:GeneOnly]&amp;mk=3886690:3886709|offset_10|00cc00,3886715:3886734|offset_35|444444,3886746:3886765|offset_66|444444,3886786:3886805|offset_106|444444&amp;v=3886489:3887005&amp;c=444444", "offset 10")</f>
        <v>offset 10</v>
      </c>
    </row>
    <row r="13771" customFormat="false" ht="12.8" hidden="false" customHeight="false" outlineLevel="0" collapsed="false">
      <c r="A13771" s="0" t="s">
        <v>12</v>
      </c>
      <c r="B13771" s="0" t="n">
        <v>3886714</v>
      </c>
      <c r="C13771" s="0" t="n">
        <v>3886734</v>
      </c>
      <c r="D13771" s="0" t="s">
        <v>45891</v>
      </c>
      <c r="E13771" s="0" t="s">
        <v>89</v>
      </c>
      <c r="F13771" s="0" t="s">
        <v>15</v>
      </c>
      <c r="G13771" s="0" t="s">
        <v>26</v>
      </c>
      <c r="H13771" s="0" t="n">
        <v>35</v>
      </c>
      <c r="I13771" s="0" t="s">
        <v>45895</v>
      </c>
      <c r="J13771" s="0" t="s">
        <v>45896</v>
      </c>
      <c r="K13771" s="0" t="s">
        <v>45897</v>
      </c>
      <c r="L13771" s="0" t="str">
        <f aca="false">HYPERLINK("https://www.ncbi.nlm.nih.gov/nuccore/CP000304.1?report=graph&amp;tracks=[key:gene_model_track,Options:GeneOnly]&amp;mk=3886690:3886709|offset_10|444444,3886715:3886734|offset_35|00cc00,3886746:3886765|offset_66|444444,3886786:3886805|offset_106|444444&amp;v=3886489:3887005&amp;c=444444", "offset 35")</f>
        <v>offset 35</v>
      </c>
    </row>
    <row r="13772" customFormat="false" ht="12.8" hidden="false" customHeight="false" outlineLevel="0" collapsed="false">
      <c r="A13772" s="0" t="s">
        <v>12</v>
      </c>
      <c r="B13772" s="0" t="n">
        <v>3886745</v>
      </c>
      <c r="C13772" s="0" t="n">
        <v>3886765</v>
      </c>
      <c r="D13772" s="0" t="s">
        <v>45891</v>
      </c>
      <c r="E13772" s="0" t="s">
        <v>89</v>
      </c>
      <c r="F13772" s="0" t="s">
        <v>15</v>
      </c>
      <c r="G13772" s="0" t="s">
        <v>16</v>
      </c>
      <c r="H13772" s="0" t="n">
        <v>66</v>
      </c>
      <c r="I13772" s="0" t="s">
        <v>45898</v>
      </c>
      <c r="J13772" s="0" t="s">
        <v>45899</v>
      </c>
      <c r="K13772" s="0" t="s">
        <v>45900</v>
      </c>
      <c r="L13772" s="0" t="str">
        <f aca="false">HYPERLINK("https://www.ncbi.nlm.nih.gov/nuccore/CP000304.1?report=graph&amp;tracks=[key:gene_model_track,Options:GeneOnly]&amp;mk=3886690:3886709|offset_10|444444,3886715:3886734|offset_35|444444,3886746:3886765|offset_66|00cc00,3886786:3886805|offset_106|444444&amp;v=3886489:3887005&amp;c=444444", "offset 66")</f>
        <v>offset 66</v>
      </c>
    </row>
    <row r="13773" customFormat="false" ht="12.8" hidden="false" customHeight="false" outlineLevel="0" collapsed="false">
      <c r="A13773" s="0" t="s">
        <v>12</v>
      </c>
      <c r="B13773" s="0" t="n">
        <v>3886785</v>
      </c>
      <c r="C13773" s="0" t="n">
        <v>3886805</v>
      </c>
      <c r="D13773" s="0" t="s">
        <v>45891</v>
      </c>
      <c r="E13773" s="0" t="s">
        <v>89</v>
      </c>
      <c r="F13773" s="0" t="s">
        <v>15</v>
      </c>
      <c r="G13773" s="0" t="s">
        <v>16</v>
      </c>
      <c r="H13773" s="0" t="n">
        <v>106</v>
      </c>
      <c r="I13773" s="0" t="s">
        <v>45901</v>
      </c>
      <c r="J13773" s="0" t="s">
        <v>45902</v>
      </c>
      <c r="K13773" s="0" t="s">
        <v>45903</v>
      </c>
      <c r="L13773" s="0" t="str">
        <f aca="false">HYPERLINK("https://www.ncbi.nlm.nih.gov/nuccore/CP000304.1?report=graph&amp;tracks=[key:gene_model_track,Options:GeneOnly]&amp;mk=3886690:3886709|offset_10|444444,3886715:3886734|offset_35|444444,3886746:3886765|offset_66|444444,3886786:3886805|offset_106|00cc00&amp;v=3886489:3887005&amp;c=444444", "offset 106")</f>
        <v>offset 106</v>
      </c>
    </row>
    <row r="13774" customFormat="false" ht="12.8" hidden="false" customHeight="false" outlineLevel="0" collapsed="false">
      <c r="A13774" s="0" t="s">
        <v>12</v>
      </c>
      <c r="B13774" s="0" t="n">
        <v>3887441</v>
      </c>
      <c r="C13774" s="0" t="n">
        <v>3887461</v>
      </c>
      <c r="D13774" s="0" t="s">
        <v>45904</v>
      </c>
      <c r="E13774" s="0" t="s">
        <v>89</v>
      </c>
      <c r="F13774" s="0" t="s">
        <v>15</v>
      </c>
      <c r="G13774" s="0" t="s">
        <v>36</v>
      </c>
      <c r="H13774" s="0" t="n">
        <v>6</v>
      </c>
      <c r="I13774" s="0" t="s">
        <v>45905</v>
      </c>
      <c r="J13774" s="0" t="s">
        <v>45906</v>
      </c>
      <c r="K13774" s="0" t="s">
        <v>45907</v>
      </c>
      <c r="L13774" s="0" t="str">
        <f aca="false">HYPERLINK("https://www.ncbi.nlm.nih.gov/nuccore/CP000304.1?report=graph&amp;tracks=[key:gene_model_track,Options:GeneOnly]&amp;mk=3887442:3887461|offset_6|00cc00,3887467:3887486|offset_31|444444,3887488:3887507|offset_52|444444,3887511:3887530|offset_75|444444&amp;v=3887241:3887730&amp;c=444444", "offset 6")</f>
        <v>offset 6</v>
      </c>
    </row>
    <row r="13775" customFormat="false" ht="12.8" hidden="false" customHeight="false" outlineLevel="0" collapsed="false">
      <c r="A13775" s="0" t="s">
        <v>12</v>
      </c>
      <c r="B13775" s="0" t="n">
        <v>3887466</v>
      </c>
      <c r="C13775" s="0" t="n">
        <v>3887486</v>
      </c>
      <c r="D13775" s="0" t="s">
        <v>45904</v>
      </c>
      <c r="E13775" s="0" t="s">
        <v>89</v>
      </c>
      <c r="F13775" s="0" t="s">
        <v>15</v>
      </c>
      <c r="G13775" s="0" t="s">
        <v>36</v>
      </c>
      <c r="H13775" s="0" t="n">
        <v>31</v>
      </c>
      <c r="I13775" s="0" t="s">
        <v>45908</v>
      </c>
      <c r="J13775" s="0" t="s">
        <v>45909</v>
      </c>
      <c r="K13775" s="0" t="s">
        <v>45910</v>
      </c>
      <c r="L13775" s="0" t="str">
        <f aca="false">HYPERLINK("https://www.ncbi.nlm.nih.gov/nuccore/CP000304.1?report=graph&amp;tracks=[key:gene_model_track,Options:GeneOnly]&amp;mk=3887442:3887461|offset_6|444444,3887467:3887486|offset_31|00cc00,3887488:3887507|offset_52|444444,3887511:3887530|offset_75|444444&amp;v=3887241:3887730&amp;c=444444", "offset 31")</f>
        <v>offset 31</v>
      </c>
    </row>
    <row r="13776" customFormat="false" ht="12.8" hidden="false" customHeight="false" outlineLevel="0" collapsed="false">
      <c r="A13776" s="0" t="s">
        <v>12</v>
      </c>
      <c r="B13776" s="0" t="n">
        <v>3887487</v>
      </c>
      <c r="C13776" s="0" t="n">
        <v>3887507</v>
      </c>
      <c r="D13776" s="0" t="s">
        <v>45904</v>
      </c>
      <c r="E13776" s="0" t="s">
        <v>89</v>
      </c>
      <c r="F13776" s="0" t="s">
        <v>15</v>
      </c>
      <c r="G13776" s="0" t="s">
        <v>26</v>
      </c>
      <c r="H13776" s="0" t="n">
        <v>52</v>
      </c>
      <c r="I13776" s="0" t="s">
        <v>45911</v>
      </c>
      <c r="J13776" s="0" t="s">
        <v>45912</v>
      </c>
      <c r="K13776" s="0" t="s">
        <v>45913</v>
      </c>
      <c r="L13776" s="0" t="str">
        <f aca="false">HYPERLINK("https://www.ncbi.nlm.nih.gov/nuccore/CP000304.1?report=graph&amp;tracks=[key:gene_model_track,Options:GeneOnly]&amp;mk=3887442:3887461|offset_6|444444,3887467:3887486|offset_31|444444,3887488:3887507|offset_52|00cc00,3887511:3887530|offset_75|444444&amp;v=3887241:3887730&amp;c=444444", "offset 52")</f>
        <v>offset 52</v>
      </c>
    </row>
    <row r="13777" customFormat="false" ht="12.8" hidden="false" customHeight="false" outlineLevel="0" collapsed="false">
      <c r="A13777" s="0" t="s">
        <v>12</v>
      </c>
      <c r="B13777" s="0" t="n">
        <v>3887510</v>
      </c>
      <c r="C13777" s="0" t="n">
        <v>3887530</v>
      </c>
      <c r="D13777" s="0" t="s">
        <v>45904</v>
      </c>
      <c r="E13777" s="0" t="s">
        <v>89</v>
      </c>
      <c r="F13777" s="0" t="s">
        <v>15</v>
      </c>
      <c r="G13777" s="0" t="s">
        <v>36</v>
      </c>
      <c r="H13777" s="0" t="n">
        <v>75</v>
      </c>
      <c r="I13777" s="0" t="s">
        <v>45914</v>
      </c>
      <c r="J13777" s="0" t="s">
        <v>45915</v>
      </c>
      <c r="K13777" s="0" t="s">
        <v>45916</v>
      </c>
      <c r="L13777" s="0" t="str">
        <f aca="false">HYPERLINK("https://www.ncbi.nlm.nih.gov/nuccore/CP000304.1?report=graph&amp;tracks=[key:gene_model_track,Options:GeneOnly]&amp;mk=3887442:3887461|offset_6|444444,3887467:3887486|offset_31|444444,3887488:3887507|offset_52|444444,3887511:3887530|offset_75|00cc00&amp;v=3887241:3887730&amp;c=444444", "offset 75")</f>
        <v>offset 75</v>
      </c>
    </row>
    <row r="13778" customFormat="false" ht="12.8" hidden="false" customHeight="false" outlineLevel="0" collapsed="false">
      <c r="A13778" s="0" t="s">
        <v>12</v>
      </c>
      <c r="B13778" s="0" t="n">
        <v>3887989</v>
      </c>
      <c r="C13778" s="0" t="n">
        <v>3888009</v>
      </c>
      <c r="D13778" s="0" t="s">
        <v>45917</v>
      </c>
      <c r="E13778" s="0" t="s">
        <v>89</v>
      </c>
      <c r="F13778" s="0" t="s">
        <v>15</v>
      </c>
      <c r="G13778" s="0" t="s">
        <v>16</v>
      </c>
      <c r="H13778" s="0" t="n">
        <v>33</v>
      </c>
      <c r="I13778" s="0" t="s">
        <v>45918</v>
      </c>
      <c r="J13778" s="0" t="s">
        <v>45919</v>
      </c>
      <c r="K13778" s="0" t="s">
        <v>45920</v>
      </c>
      <c r="L13778" s="0" t="str">
        <f aca="false">HYPERLINK("https://www.ncbi.nlm.nih.gov/nuccore/CP000304.1?report=graph&amp;tracks=[key:gene_model_track,Options:GeneOnly]&amp;mk=3887990:3888009|offset_33|00cc00,3888022:3888041|offset_65|444444,3888050:3888069|offset_93|444444,3888108:3888127|offset_151|444444&amp;v=3887789:3888327&amp;c=444444", "offset 33")</f>
        <v>offset 33</v>
      </c>
    </row>
    <row r="13779" customFormat="false" ht="12.8" hidden="false" customHeight="false" outlineLevel="0" collapsed="false">
      <c r="A13779" s="0" t="s">
        <v>12</v>
      </c>
      <c r="B13779" s="0" t="n">
        <v>3888021</v>
      </c>
      <c r="C13779" s="0" t="n">
        <v>3888041</v>
      </c>
      <c r="D13779" s="0" t="s">
        <v>45917</v>
      </c>
      <c r="E13779" s="0" t="s">
        <v>89</v>
      </c>
      <c r="F13779" s="0" t="s">
        <v>15</v>
      </c>
      <c r="G13779" s="0" t="s">
        <v>26</v>
      </c>
      <c r="H13779" s="0" t="n">
        <v>65</v>
      </c>
      <c r="I13779" s="0" t="s">
        <v>45921</v>
      </c>
      <c r="J13779" s="0" t="s">
        <v>45922</v>
      </c>
      <c r="K13779" s="0" t="s">
        <v>45923</v>
      </c>
      <c r="L13779" s="0" t="str">
        <f aca="false">HYPERLINK("https://www.ncbi.nlm.nih.gov/nuccore/CP000304.1?report=graph&amp;tracks=[key:gene_model_track,Options:GeneOnly]&amp;mk=3887990:3888009|offset_33|444444,3888022:3888041|offset_65|00cc00,3888050:3888069|offset_93|444444,3888108:3888127|offset_151|444444&amp;v=3887789:3888327&amp;c=444444", "offset 65")</f>
        <v>offset 65</v>
      </c>
    </row>
    <row r="13780" customFormat="false" ht="12.8" hidden="false" customHeight="false" outlineLevel="0" collapsed="false">
      <c r="A13780" s="0" t="s">
        <v>12</v>
      </c>
      <c r="B13780" s="0" t="n">
        <v>3888049</v>
      </c>
      <c r="C13780" s="0" t="n">
        <v>3888069</v>
      </c>
      <c r="D13780" s="0" t="s">
        <v>45917</v>
      </c>
      <c r="E13780" s="0" t="s">
        <v>89</v>
      </c>
      <c r="F13780" s="0" t="s">
        <v>15</v>
      </c>
      <c r="G13780" s="0" t="s">
        <v>16</v>
      </c>
      <c r="H13780" s="0" t="n">
        <v>93</v>
      </c>
      <c r="I13780" s="0" t="s">
        <v>45924</v>
      </c>
      <c r="J13780" s="0" t="s">
        <v>45925</v>
      </c>
      <c r="K13780" s="0" t="s">
        <v>45926</v>
      </c>
      <c r="L13780" s="0" t="str">
        <f aca="false">HYPERLINK("https://www.ncbi.nlm.nih.gov/nuccore/CP000304.1?report=graph&amp;tracks=[key:gene_model_track,Options:GeneOnly]&amp;mk=3887990:3888009|offset_33|444444,3888022:3888041|offset_65|444444,3888050:3888069|offset_93|00cc00,3888108:3888127|offset_151|444444&amp;v=3887789:3888327&amp;c=444444", "offset 93")</f>
        <v>offset 93</v>
      </c>
    </row>
    <row r="13781" customFormat="false" ht="12.8" hidden="false" customHeight="false" outlineLevel="0" collapsed="false">
      <c r="A13781" s="0" t="s">
        <v>12</v>
      </c>
      <c r="B13781" s="0" t="n">
        <v>3888107</v>
      </c>
      <c r="C13781" s="0" t="n">
        <v>3888127</v>
      </c>
      <c r="D13781" s="0" t="s">
        <v>45917</v>
      </c>
      <c r="E13781" s="0" t="s">
        <v>89</v>
      </c>
      <c r="F13781" s="0" t="s">
        <v>15</v>
      </c>
      <c r="G13781" s="0" t="s">
        <v>32</v>
      </c>
      <c r="H13781" s="0" t="n">
        <v>151</v>
      </c>
      <c r="I13781" s="0" t="s">
        <v>45927</v>
      </c>
      <c r="J13781" s="0" t="s">
        <v>45928</v>
      </c>
      <c r="K13781" s="0" t="s">
        <v>45929</v>
      </c>
      <c r="L13781" s="0" t="str">
        <f aca="false">HYPERLINK("https://www.ncbi.nlm.nih.gov/nuccore/CP000304.1?report=graph&amp;tracks=[key:gene_model_track,Options:GeneOnly]&amp;mk=3887990:3888009|offset_33|444444,3888022:3888041|offset_65|444444,3888050:3888069|offset_93|444444,3888108:3888127|offset_151|00cc00&amp;v=3887789:3888327&amp;c=444444", "offset 151")</f>
        <v>offset 151</v>
      </c>
    </row>
    <row r="13782" customFormat="false" ht="12.8" hidden="false" customHeight="false" outlineLevel="0" collapsed="false">
      <c r="A13782" s="0" t="s">
        <v>12</v>
      </c>
      <c r="B13782" s="0" t="n">
        <v>3888774</v>
      </c>
      <c r="C13782" s="0" t="n">
        <v>3888794</v>
      </c>
      <c r="D13782" s="0" t="s">
        <v>45930</v>
      </c>
      <c r="E13782" s="0" t="s">
        <v>89</v>
      </c>
      <c r="F13782" s="0" t="s">
        <v>15</v>
      </c>
      <c r="G13782" s="0" t="s">
        <v>36</v>
      </c>
      <c r="H13782" s="0" t="n">
        <v>10</v>
      </c>
      <c r="I13782" s="0" t="s">
        <v>45931</v>
      </c>
      <c r="J13782" s="0" t="s">
        <v>45932</v>
      </c>
      <c r="K13782" s="0" t="s">
        <v>45933</v>
      </c>
      <c r="L13782" s="0" t="str">
        <f aca="false">HYPERLINK("https://www.ncbi.nlm.nih.gov/nuccore/CP000304.1?report=graph&amp;tracks=[key:gene_model_track,Options:GeneOnly]&amp;mk=3888775:3888794|offset_10|00cc00,3888817:3888836|offset_52|444444,3888852:3888871|offset_87|444444,3888887:3888906|offset_122|444444&amp;v=3888574:3889106&amp;c=444444", "offset 10")</f>
        <v>offset 10</v>
      </c>
    </row>
    <row r="13783" customFormat="false" ht="12.8" hidden="false" customHeight="false" outlineLevel="0" collapsed="false">
      <c r="A13783" s="0" t="s">
        <v>12</v>
      </c>
      <c r="B13783" s="0" t="n">
        <v>3888816</v>
      </c>
      <c r="C13783" s="0" t="n">
        <v>3888836</v>
      </c>
      <c r="D13783" s="0" t="s">
        <v>45930</v>
      </c>
      <c r="E13783" s="0" t="s">
        <v>89</v>
      </c>
      <c r="F13783" s="0" t="s">
        <v>15</v>
      </c>
      <c r="G13783" s="0" t="s">
        <v>36</v>
      </c>
      <c r="H13783" s="0" t="n">
        <v>52</v>
      </c>
      <c r="I13783" s="0" t="s">
        <v>45934</v>
      </c>
      <c r="J13783" s="0" t="s">
        <v>45935</v>
      </c>
      <c r="K13783" s="0" t="s">
        <v>45936</v>
      </c>
      <c r="L13783" s="0" t="str">
        <f aca="false">HYPERLINK("https://www.ncbi.nlm.nih.gov/nuccore/CP000304.1?report=graph&amp;tracks=[key:gene_model_track,Options:GeneOnly]&amp;mk=3888775:3888794|offset_10|444444,3888817:3888836|offset_52|00cc00,3888852:3888871|offset_87|444444,3888887:3888906|offset_122|444444&amp;v=3888574:3889106&amp;c=444444", "offset 52")</f>
        <v>offset 52</v>
      </c>
    </row>
    <row r="13784" customFormat="false" ht="12.8" hidden="false" customHeight="false" outlineLevel="0" collapsed="false">
      <c r="A13784" s="0" t="s">
        <v>12</v>
      </c>
      <c r="B13784" s="0" t="n">
        <v>3888851</v>
      </c>
      <c r="C13784" s="0" t="n">
        <v>3888871</v>
      </c>
      <c r="D13784" s="0" t="s">
        <v>45930</v>
      </c>
      <c r="E13784" s="0" t="s">
        <v>89</v>
      </c>
      <c r="F13784" s="0" t="s">
        <v>15</v>
      </c>
      <c r="G13784" s="0" t="s">
        <v>16</v>
      </c>
      <c r="H13784" s="0" t="n">
        <v>87</v>
      </c>
      <c r="I13784" s="0" t="s">
        <v>45937</v>
      </c>
      <c r="J13784" s="0" t="s">
        <v>45938</v>
      </c>
      <c r="K13784" s="0" t="s">
        <v>45939</v>
      </c>
      <c r="L13784" s="0" t="str">
        <f aca="false">HYPERLINK("https://www.ncbi.nlm.nih.gov/nuccore/CP000304.1?report=graph&amp;tracks=[key:gene_model_track,Options:GeneOnly]&amp;mk=3888775:3888794|offset_10|444444,3888817:3888836|offset_52|444444,3888852:3888871|offset_87|00cc00,3888887:3888906|offset_122|444444&amp;v=3888574:3889106&amp;c=444444", "offset 87")</f>
        <v>offset 87</v>
      </c>
    </row>
    <row r="13785" customFormat="false" ht="12.8" hidden="false" customHeight="false" outlineLevel="0" collapsed="false">
      <c r="A13785" s="0" t="s">
        <v>12</v>
      </c>
      <c r="B13785" s="0" t="n">
        <v>3888886</v>
      </c>
      <c r="C13785" s="0" t="n">
        <v>3888906</v>
      </c>
      <c r="D13785" s="0" t="s">
        <v>45930</v>
      </c>
      <c r="E13785" s="0" t="s">
        <v>89</v>
      </c>
      <c r="F13785" s="0" t="s">
        <v>15</v>
      </c>
      <c r="G13785" s="0" t="s">
        <v>16</v>
      </c>
      <c r="H13785" s="0" t="n">
        <v>122</v>
      </c>
      <c r="I13785" s="0" t="s">
        <v>45940</v>
      </c>
      <c r="J13785" s="0" t="s">
        <v>45941</v>
      </c>
      <c r="K13785" s="0" t="s">
        <v>45942</v>
      </c>
      <c r="L13785" s="0" t="str">
        <f aca="false">HYPERLINK("https://www.ncbi.nlm.nih.gov/nuccore/CP000304.1?report=graph&amp;tracks=[key:gene_model_track,Options:GeneOnly]&amp;mk=3888775:3888794|offset_10|444444,3888817:3888836|offset_52|444444,3888852:3888871|offset_87|444444,3888887:3888906|offset_122|00cc00&amp;v=3888574:3889106&amp;c=444444", "offset 122")</f>
        <v>offset 122</v>
      </c>
    </row>
    <row r="13786" customFormat="false" ht="12.8" hidden="false" customHeight="false" outlineLevel="0" collapsed="false">
      <c r="A13786" s="0" t="s">
        <v>12</v>
      </c>
      <c r="B13786" s="0" t="n">
        <v>3889369</v>
      </c>
      <c r="C13786" s="0" t="n">
        <v>3889389</v>
      </c>
      <c r="D13786" s="0" t="s">
        <v>45943</v>
      </c>
      <c r="E13786" s="0" t="s">
        <v>89</v>
      </c>
      <c r="F13786" s="0" t="s">
        <v>15</v>
      </c>
      <c r="G13786" s="0" t="s">
        <v>32</v>
      </c>
      <c r="H13786" s="0" t="n">
        <v>1</v>
      </c>
      <c r="I13786" s="0" t="s">
        <v>45944</v>
      </c>
      <c r="J13786" s="0" t="s">
        <v>45945</v>
      </c>
      <c r="K13786" s="0" t="s">
        <v>45946</v>
      </c>
      <c r="L13786" s="0" t="str">
        <f aca="false">HYPERLINK("https://www.ncbi.nlm.nih.gov/nuccore/CP000304.1?report=graph&amp;tracks=[key:gene_model_track,Options:GeneOnly]&amp;mk=3889370:3889389|offset_1|00cc00,3889394:3889413|offset_25|444444,3889414:3889433|offset_45|444444,3889452:3889471|offset_83|444444&amp;v=3889169:3889671&amp;c=444444", "offset 1")</f>
        <v>offset 1</v>
      </c>
    </row>
    <row r="13787" customFormat="false" ht="12.8" hidden="false" customHeight="false" outlineLevel="0" collapsed="false">
      <c r="A13787" s="0" t="s">
        <v>12</v>
      </c>
      <c r="B13787" s="0" t="n">
        <v>3889393</v>
      </c>
      <c r="C13787" s="0" t="n">
        <v>3889413</v>
      </c>
      <c r="D13787" s="0" t="s">
        <v>45943</v>
      </c>
      <c r="E13787" s="0" t="s">
        <v>89</v>
      </c>
      <c r="F13787" s="0" t="s">
        <v>15</v>
      </c>
      <c r="G13787" s="0" t="s">
        <v>32</v>
      </c>
      <c r="H13787" s="0" t="n">
        <v>25</v>
      </c>
      <c r="I13787" s="0" t="s">
        <v>45947</v>
      </c>
      <c r="J13787" s="0" t="s">
        <v>45948</v>
      </c>
      <c r="K13787" s="0" t="s">
        <v>45949</v>
      </c>
      <c r="L13787" s="0" t="str">
        <f aca="false">HYPERLINK("https://www.ncbi.nlm.nih.gov/nuccore/CP000304.1?report=graph&amp;tracks=[key:gene_model_track,Options:GeneOnly]&amp;mk=3889370:3889389|offset_1|444444,3889394:3889413|offset_25|00cc00,3889414:3889433|offset_45|444444,3889452:3889471|offset_83|444444&amp;v=3889169:3889671&amp;c=444444", "offset 25")</f>
        <v>offset 25</v>
      </c>
    </row>
    <row r="13788" customFormat="false" ht="12.8" hidden="false" customHeight="false" outlineLevel="0" collapsed="false">
      <c r="A13788" s="0" t="s">
        <v>12</v>
      </c>
      <c r="B13788" s="0" t="n">
        <v>3889413</v>
      </c>
      <c r="C13788" s="0" t="n">
        <v>3889433</v>
      </c>
      <c r="D13788" s="0" t="s">
        <v>45943</v>
      </c>
      <c r="E13788" s="0" t="s">
        <v>89</v>
      </c>
      <c r="F13788" s="0" t="s">
        <v>15</v>
      </c>
      <c r="G13788" s="0" t="s">
        <v>32</v>
      </c>
      <c r="H13788" s="0" t="n">
        <v>45</v>
      </c>
      <c r="I13788" s="0" t="s">
        <v>45950</v>
      </c>
      <c r="J13788" s="0" t="s">
        <v>45951</v>
      </c>
      <c r="K13788" s="0" t="s">
        <v>45952</v>
      </c>
      <c r="L13788" s="0" t="str">
        <f aca="false">HYPERLINK("https://www.ncbi.nlm.nih.gov/nuccore/CP000304.1?report=graph&amp;tracks=[key:gene_model_track,Options:GeneOnly]&amp;mk=3889370:3889389|offset_1|444444,3889394:3889413|offset_25|444444,3889414:3889433|offset_45|00cc00,3889452:3889471|offset_83|444444&amp;v=3889169:3889671&amp;c=444444", "offset 45")</f>
        <v>offset 45</v>
      </c>
    </row>
    <row r="13789" customFormat="false" ht="12.8" hidden="false" customHeight="false" outlineLevel="0" collapsed="false">
      <c r="A13789" s="0" t="s">
        <v>12</v>
      </c>
      <c r="B13789" s="0" t="n">
        <v>3889451</v>
      </c>
      <c r="C13789" s="0" t="n">
        <v>3889471</v>
      </c>
      <c r="D13789" s="0" t="s">
        <v>45943</v>
      </c>
      <c r="E13789" s="0" t="s">
        <v>89</v>
      </c>
      <c r="F13789" s="0" t="s">
        <v>15</v>
      </c>
      <c r="G13789" s="0" t="s">
        <v>26</v>
      </c>
      <c r="H13789" s="0" t="n">
        <v>83</v>
      </c>
      <c r="I13789" s="0" t="s">
        <v>45953</v>
      </c>
      <c r="J13789" s="0" t="s">
        <v>45954</v>
      </c>
      <c r="K13789" s="0" t="s">
        <v>45955</v>
      </c>
      <c r="L13789" s="0" t="str">
        <f aca="false">HYPERLINK("https://www.ncbi.nlm.nih.gov/nuccore/CP000304.1?report=graph&amp;tracks=[key:gene_model_track,Options:GeneOnly]&amp;mk=3889370:3889389|offset_1|444444,3889394:3889413|offset_25|444444,3889414:3889433|offset_45|444444,3889452:3889471|offset_83|00cc00&amp;v=3889169:3889671&amp;c=444444", "offset 83")</f>
        <v>offset 83</v>
      </c>
    </row>
    <row r="13790" customFormat="false" ht="12.8" hidden="false" customHeight="false" outlineLevel="0" collapsed="false">
      <c r="A13790" s="0" t="s">
        <v>12</v>
      </c>
      <c r="B13790" s="0" t="n">
        <v>3890263</v>
      </c>
      <c r="C13790" s="0" t="n">
        <v>3890283</v>
      </c>
      <c r="D13790" s="0" t="s">
        <v>45956</v>
      </c>
      <c r="E13790" s="0" t="s">
        <v>89</v>
      </c>
      <c r="F13790" s="0" t="s">
        <v>15</v>
      </c>
      <c r="G13790" s="0" t="s">
        <v>16</v>
      </c>
      <c r="H13790" s="0" t="n">
        <v>10</v>
      </c>
      <c r="I13790" s="0" t="s">
        <v>45957</v>
      </c>
      <c r="J13790" s="0" t="s">
        <v>45958</v>
      </c>
      <c r="K13790" s="0" t="s">
        <v>45959</v>
      </c>
      <c r="L13790" s="0" t="str">
        <f aca="false">HYPERLINK("https://www.ncbi.nlm.nih.gov/nuccore/CP000304.1?report=graph&amp;tracks=[key:gene_model_track,Options:GeneOnly]&amp;mk=3890264:3890283|offset_10|00cc00,3890307:3890326|offset_53|444444,3890330:3890349|offset_76|444444,3890362:3890381|offset_108|444444&amp;v=3890063:3890581&amp;c=444444", "offset 10")</f>
        <v>offset 10</v>
      </c>
    </row>
    <row r="13791" customFormat="false" ht="12.8" hidden="false" customHeight="false" outlineLevel="0" collapsed="false">
      <c r="A13791" s="0" t="s">
        <v>12</v>
      </c>
      <c r="B13791" s="0" t="n">
        <v>3890306</v>
      </c>
      <c r="C13791" s="0" t="n">
        <v>3890326</v>
      </c>
      <c r="D13791" s="0" t="s">
        <v>45956</v>
      </c>
      <c r="E13791" s="0" t="s">
        <v>89</v>
      </c>
      <c r="F13791" s="0" t="s">
        <v>15</v>
      </c>
      <c r="G13791" s="0" t="s">
        <v>32</v>
      </c>
      <c r="H13791" s="0" t="n">
        <v>53</v>
      </c>
      <c r="I13791" s="0" t="s">
        <v>45960</v>
      </c>
      <c r="J13791" s="0" t="s">
        <v>45961</v>
      </c>
      <c r="K13791" s="0" t="s">
        <v>45962</v>
      </c>
      <c r="L13791" s="0" t="str">
        <f aca="false">HYPERLINK("https://www.ncbi.nlm.nih.gov/nuccore/CP000304.1?report=graph&amp;tracks=[key:gene_model_track,Options:GeneOnly]&amp;mk=3890264:3890283|offset_10|444444,3890307:3890326|offset_53|00cc00,3890330:3890349|offset_76|444444,3890362:3890381|offset_108|444444&amp;v=3890063:3890581&amp;c=444444", "offset 53")</f>
        <v>offset 53</v>
      </c>
    </row>
    <row r="13792" customFormat="false" ht="12.8" hidden="false" customHeight="false" outlineLevel="0" collapsed="false">
      <c r="A13792" s="0" t="s">
        <v>12</v>
      </c>
      <c r="B13792" s="0" t="n">
        <v>3890329</v>
      </c>
      <c r="C13792" s="0" t="n">
        <v>3890349</v>
      </c>
      <c r="D13792" s="0" t="s">
        <v>45956</v>
      </c>
      <c r="E13792" s="0" t="s">
        <v>89</v>
      </c>
      <c r="F13792" s="0" t="s">
        <v>15</v>
      </c>
      <c r="G13792" s="0" t="s">
        <v>16</v>
      </c>
      <c r="H13792" s="0" t="n">
        <v>76</v>
      </c>
      <c r="I13792" s="0" t="s">
        <v>45963</v>
      </c>
      <c r="J13792" s="0" t="s">
        <v>45964</v>
      </c>
      <c r="K13792" s="0" t="s">
        <v>45965</v>
      </c>
      <c r="L13792" s="0" t="str">
        <f aca="false">HYPERLINK("https://www.ncbi.nlm.nih.gov/nuccore/CP000304.1?report=graph&amp;tracks=[key:gene_model_track,Options:GeneOnly]&amp;mk=3890264:3890283|offset_10|444444,3890307:3890326|offset_53|444444,3890330:3890349|offset_76|00cc00,3890362:3890381|offset_108|444444&amp;v=3890063:3890581&amp;c=444444", "offset 76")</f>
        <v>offset 76</v>
      </c>
    </row>
    <row r="13793" customFormat="false" ht="12.8" hidden="false" customHeight="false" outlineLevel="0" collapsed="false">
      <c r="A13793" s="0" t="s">
        <v>12</v>
      </c>
      <c r="B13793" s="0" t="n">
        <v>3890361</v>
      </c>
      <c r="C13793" s="0" t="n">
        <v>3890381</v>
      </c>
      <c r="D13793" s="0" t="s">
        <v>45956</v>
      </c>
      <c r="E13793" s="0" t="s">
        <v>89</v>
      </c>
      <c r="F13793" s="0" t="s">
        <v>15</v>
      </c>
      <c r="G13793" s="0" t="s">
        <v>36</v>
      </c>
      <c r="H13793" s="0" t="n">
        <v>108</v>
      </c>
      <c r="I13793" s="0" t="s">
        <v>45966</v>
      </c>
      <c r="J13793" s="0" t="s">
        <v>45967</v>
      </c>
      <c r="K13793" s="0" t="s">
        <v>45968</v>
      </c>
      <c r="L13793" s="0" t="str">
        <f aca="false">HYPERLINK("https://www.ncbi.nlm.nih.gov/nuccore/CP000304.1?report=graph&amp;tracks=[key:gene_model_track,Options:GeneOnly]&amp;mk=3890264:3890283|offset_10|444444,3890307:3890326|offset_53|444444,3890330:3890349|offset_76|444444,3890362:3890381|offset_108|00cc00&amp;v=3890063:3890581&amp;c=444444", "offset 108")</f>
        <v>offset 108</v>
      </c>
    </row>
    <row r="13794" customFormat="false" ht="12.8" hidden="false" customHeight="false" outlineLevel="0" collapsed="false">
      <c r="A13794" s="0" t="s">
        <v>12</v>
      </c>
      <c r="B13794" s="0" t="n">
        <v>3890626</v>
      </c>
      <c r="C13794" s="0" t="n">
        <v>3890646</v>
      </c>
      <c r="D13794" s="0" t="s">
        <v>45969</v>
      </c>
      <c r="E13794" s="0" t="s">
        <v>89</v>
      </c>
      <c r="F13794" s="0" t="s">
        <v>15</v>
      </c>
      <c r="G13794" s="0" t="s">
        <v>32</v>
      </c>
      <c r="H13794" s="0" t="n">
        <v>1</v>
      </c>
      <c r="I13794" s="0" t="s">
        <v>45970</v>
      </c>
      <c r="J13794" s="0" t="s">
        <v>45971</v>
      </c>
      <c r="K13794" s="0" t="s">
        <v>45972</v>
      </c>
      <c r="L13794" s="0" t="str">
        <f aca="false">HYPERLINK("https://www.ncbi.nlm.nih.gov/nuccore/CP000304.1?report=graph&amp;tracks=[key:gene_model_track,Options:GeneOnly]&amp;mk=3890627:3890646|offset_1|00cc00,3890648:3890667|offset_22|444444,3890685:3890704|offset_59|444444,3890709:3890728|offset_83|444444&amp;v=3890426:3890928&amp;c=444444", "offset 1")</f>
        <v>offset 1</v>
      </c>
    </row>
    <row r="13795" customFormat="false" ht="12.8" hidden="false" customHeight="false" outlineLevel="0" collapsed="false">
      <c r="A13795" s="0" t="s">
        <v>12</v>
      </c>
      <c r="B13795" s="0" t="n">
        <v>3890647</v>
      </c>
      <c r="C13795" s="0" t="n">
        <v>3890667</v>
      </c>
      <c r="D13795" s="0" t="s">
        <v>45969</v>
      </c>
      <c r="E13795" s="0" t="s">
        <v>89</v>
      </c>
      <c r="F13795" s="0" t="s">
        <v>15</v>
      </c>
      <c r="G13795" s="0" t="s">
        <v>16</v>
      </c>
      <c r="H13795" s="0" t="n">
        <v>22</v>
      </c>
      <c r="I13795" s="0" t="s">
        <v>45973</v>
      </c>
      <c r="J13795" s="0" t="s">
        <v>45974</v>
      </c>
      <c r="K13795" s="0" t="s">
        <v>45975</v>
      </c>
      <c r="L13795" s="0" t="str">
        <f aca="false">HYPERLINK("https://www.ncbi.nlm.nih.gov/nuccore/CP000304.1?report=graph&amp;tracks=[key:gene_model_track,Options:GeneOnly]&amp;mk=3890627:3890646|offset_1|444444,3890648:3890667|offset_22|00cc00,3890685:3890704|offset_59|444444,3890709:3890728|offset_83|444444&amp;v=3890426:3890928&amp;c=444444", "offset 22")</f>
        <v>offset 22</v>
      </c>
    </row>
    <row r="13796" customFormat="false" ht="12.8" hidden="false" customHeight="false" outlineLevel="0" collapsed="false">
      <c r="A13796" s="0" t="s">
        <v>12</v>
      </c>
      <c r="B13796" s="0" t="n">
        <v>3890684</v>
      </c>
      <c r="C13796" s="0" t="n">
        <v>3890704</v>
      </c>
      <c r="D13796" s="0" t="s">
        <v>45969</v>
      </c>
      <c r="E13796" s="0" t="s">
        <v>89</v>
      </c>
      <c r="F13796" s="0" t="s">
        <v>15</v>
      </c>
      <c r="G13796" s="0" t="s">
        <v>26</v>
      </c>
      <c r="H13796" s="0" t="n">
        <v>59</v>
      </c>
      <c r="I13796" s="0" t="s">
        <v>45976</v>
      </c>
      <c r="J13796" s="0" t="s">
        <v>45977</v>
      </c>
      <c r="K13796" s="0" t="s">
        <v>45978</v>
      </c>
      <c r="L13796" s="0" t="str">
        <f aca="false">HYPERLINK("https://www.ncbi.nlm.nih.gov/nuccore/CP000304.1?report=graph&amp;tracks=[key:gene_model_track,Options:GeneOnly]&amp;mk=3890627:3890646|offset_1|444444,3890648:3890667|offset_22|444444,3890685:3890704|offset_59|00cc00,3890709:3890728|offset_83|444444&amp;v=3890426:3890928&amp;c=444444", "offset 59")</f>
        <v>offset 59</v>
      </c>
    </row>
    <row r="13797" customFormat="false" ht="12.8" hidden="false" customHeight="false" outlineLevel="0" collapsed="false">
      <c r="A13797" s="0" t="s">
        <v>12</v>
      </c>
      <c r="B13797" s="0" t="n">
        <v>3890708</v>
      </c>
      <c r="C13797" s="0" t="n">
        <v>3890728</v>
      </c>
      <c r="D13797" s="0" t="s">
        <v>45969</v>
      </c>
      <c r="E13797" s="0" t="s">
        <v>89</v>
      </c>
      <c r="F13797" s="0" t="s">
        <v>15</v>
      </c>
      <c r="G13797" s="0" t="s">
        <v>16</v>
      </c>
      <c r="H13797" s="0" t="n">
        <v>83</v>
      </c>
      <c r="I13797" s="0" t="s">
        <v>45979</v>
      </c>
      <c r="J13797" s="0" t="s">
        <v>45980</v>
      </c>
      <c r="K13797" s="0" t="s">
        <v>45981</v>
      </c>
      <c r="L13797" s="0" t="str">
        <f aca="false">HYPERLINK("https://www.ncbi.nlm.nih.gov/nuccore/CP000304.1?report=graph&amp;tracks=[key:gene_model_track,Options:GeneOnly]&amp;mk=3890627:3890646|offset_1|444444,3890648:3890667|offset_22|444444,3890685:3890704|offset_59|444444,3890709:3890728|offset_83|00cc00&amp;v=3890426:3890928&amp;c=444444", "offset 83")</f>
        <v>offset 83</v>
      </c>
    </row>
    <row r="13798" customFormat="false" ht="12.8" hidden="false" customHeight="false" outlineLevel="0" collapsed="false">
      <c r="A13798" s="0" t="s">
        <v>12</v>
      </c>
      <c r="B13798" s="0" t="n">
        <v>3891850</v>
      </c>
      <c r="C13798" s="0" t="n">
        <v>3891870</v>
      </c>
      <c r="D13798" s="0" t="s">
        <v>45982</v>
      </c>
      <c r="E13798" s="0" t="s">
        <v>89</v>
      </c>
      <c r="F13798" s="0" t="s">
        <v>15</v>
      </c>
      <c r="G13798" s="0" t="s">
        <v>16</v>
      </c>
      <c r="H13798" s="0" t="n">
        <v>23</v>
      </c>
      <c r="I13798" s="0" t="s">
        <v>45983</v>
      </c>
      <c r="J13798" s="0" t="s">
        <v>45984</v>
      </c>
      <c r="K13798" s="0" t="s">
        <v>45985</v>
      </c>
      <c r="L13798" s="0" t="str">
        <f aca="false">HYPERLINK("https://www.ncbi.nlm.nih.gov/nuccore/CP000304.1?report=graph&amp;tracks=[key:gene_model_track,Options:GeneOnly]&amp;mk=3891851:3891870|offset_23|00cc00,3891885:3891904|offset_57|444444,3891923:3891942|offset_95|444444,3891948:3891967|offset_120|444444&amp;v=3891650:3892167&amp;c=444444", "offset 23")</f>
        <v>offset 23</v>
      </c>
    </row>
    <row r="13799" customFormat="false" ht="12.8" hidden="false" customHeight="false" outlineLevel="0" collapsed="false">
      <c r="A13799" s="0" t="s">
        <v>12</v>
      </c>
      <c r="B13799" s="0" t="n">
        <v>3891884</v>
      </c>
      <c r="C13799" s="0" t="n">
        <v>3891904</v>
      </c>
      <c r="D13799" s="0" t="s">
        <v>45982</v>
      </c>
      <c r="E13799" s="0" t="s">
        <v>89</v>
      </c>
      <c r="F13799" s="0" t="s">
        <v>15</v>
      </c>
      <c r="G13799" s="0" t="s">
        <v>16</v>
      </c>
      <c r="H13799" s="0" t="n">
        <v>57</v>
      </c>
      <c r="I13799" s="0" t="s">
        <v>45986</v>
      </c>
      <c r="J13799" s="0" t="s">
        <v>45987</v>
      </c>
      <c r="K13799" s="0" t="s">
        <v>45988</v>
      </c>
      <c r="L13799" s="0" t="str">
        <f aca="false">HYPERLINK("https://www.ncbi.nlm.nih.gov/nuccore/CP000304.1?report=graph&amp;tracks=[key:gene_model_track,Options:GeneOnly]&amp;mk=3891851:3891870|offset_23|444444,3891885:3891904|offset_57|00cc00,3891923:3891942|offset_95|444444,3891948:3891967|offset_120|444444&amp;v=3891650:3892167&amp;c=444444", "offset 57")</f>
        <v>offset 57</v>
      </c>
    </row>
    <row r="13800" customFormat="false" ht="12.8" hidden="false" customHeight="false" outlineLevel="0" collapsed="false">
      <c r="A13800" s="0" t="s">
        <v>12</v>
      </c>
      <c r="B13800" s="0" t="n">
        <v>3891922</v>
      </c>
      <c r="C13800" s="0" t="n">
        <v>3891942</v>
      </c>
      <c r="D13800" s="0" t="s">
        <v>45982</v>
      </c>
      <c r="E13800" s="0" t="s">
        <v>89</v>
      </c>
      <c r="F13800" s="0" t="s">
        <v>15</v>
      </c>
      <c r="G13800" s="0" t="s">
        <v>26</v>
      </c>
      <c r="H13800" s="0" t="n">
        <v>95</v>
      </c>
      <c r="I13800" s="0" t="s">
        <v>45989</v>
      </c>
      <c r="J13800" s="0" t="s">
        <v>45990</v>
      </c>
      <c r="K13800" s="0" t="s">
        <v>45991</v>
      </c>
      <c r="L13800" s="0" t="str">
        <f aca="false">HYPERLINK("https://www.ncbi.nlm.nih.gov/nuccore/CP000304.1?report=graph&amp;tracks=[key:gene_model_track,Options:GeneOnly]&amp;mk=3891851:3891870|offset_23|444444,3891885:3891904|offset_57|444444,3891923:3891942|offset_95|00cc00,3891948:3891967|offset_120|444444&amp;v=3891650:3892167&amp;c=444444", "offset 95")</f>
        <v>offset 95</v>
      </c>
    </row>
    <row r="13801" customFormat="false" ht="12.8" hidden="false" customHeight="false" outlineLevel="0" collapsed="false">
      <c r="A13801" s="0" t="s">
        <v>12</v>
      </c>
      <c r="B13801" s="0" t="n">
        <v>3891947</v>
      </c>
      <c r="C13801" s="0" t="n">
        <v>3891967</v>
      </c>
      <c r="D13801" s="0" t="s">
        <v>45982</v>
      </c>
      <c r="E13801" s="0" t="s">
        <v>89</v>
      </c>
      <c r="F13801" s="0" t="s">
        <v>15</v>
      </c>
      <c r="G13801" s="0" t="s">
        <v>16</v>
      </c>
      <c r="H13801" s="0" t="n">
        <v>120</v>
      </c>
      <c r="I13801" s="0" t="s">
        <v>45992</v>
      </c>
      <c r="J13801" s="0" t="s">
        <v>45993</v>
      </c>
      <c r="K13801" s="0" t="s">
        <v>45994</v>
      </c>
      <c r="L13801" s="0" t="str">
        <f aca="false">HYPERLINK("https://www.ncbi.nlm.nih.gov/nuccore/CP000304.1?report=graph&amp;tracks=[key:gene_model_track,Options:GeneOnly]&amp;mk=3891851:3891870|offset_23|444444,3891885:3891904|offset_57|444444,3891923:3891942|offset_95|444444,3891948:3891967|offset_120|00cc00&amp;v=3891650:3892167&amp;c=444444", "offset 120")</f>
        <v>offset 120</v>
      </c>
    </row>
    <row r="13802" customFormat="false" ht="12.8" hidden="false" customHeight="false" outlineLevel="0" collapsed="false">
      <c r="A13802" s="0" t="s">
        <v>12</v>
      </c>
      <c r="B13802" s="0" t="n">
        <v>3892830</v>
      </c>
      <c r="C13802" s="0" t="n">
        <v>3892850</v>
      </c>
      <c r="D13802" s="0" t="s">
        <v>45995</v>
      </c>
      <c r="E13802" s="0" t="s">
        <v>89</v>
      </c>
      <c r="F13802" s="0" t="s">
        <v>90</v>
      </c>
      <c r="G13802" s="0" t="s">
        <v>32</v>
      </c>
      <c r="H13802" s="0" t="n">
        <v>1</v>
      </c>
      <c r="I13802" s="0" t="s">
        <v>45996</v>
      </c>
      <c r="J13802" s="0" t="s">
        <v>45997</v>
      </c>
      <c r="K13802" s="0" t="s">
        <v>45998</v>
      </c>
      <c r="L13802" s="0" t="str">
        <f aca="false">HYPERLINK("https://www.ncbi.nlm.nih.gov/nuccore/CP000304.1?report=graph&amp;tracks=[key:gene_model_track,Options:GeneOnly]&amp;mk=3892831:3892850|offset_1|00cc00,3892800:3892819|offset_32|444444,3892780:3892799|offset_52|444444,3892756:3892775|offset_76|444444&amp;v=3892630:3892975&amp;c=444444", "offset 1")</f>
        <v>offset 1</v>
      </c>
    </row>
    <row r="13803" customFormat="false" ht="12.8" hidden="false" customHeight="false" outlineLevel="0" collapsed="false">
      <c r="A13803" s="0" t="s">
        <v>12</v>
      </c>
      <c r="B13803" s="0" t="n">
        <v>3892799</v>
      </c>
      <c r="C13803" s="0" t="n">
        <v>3892819</v>
      </c>
      <c r="D13803" s="0" t="s">
        <v>45995</v>
      </c>
      <c r="E13803" s="0" t="s">
        <v>89</v>
      </c>
      <c r="F13803" s="0" t="s">
        <v>90</v>
      </c>
      <c r="G13803" s="0" t="s">
        <v>32</v>
      </c>
      <c r="H13803" s="0" t="n">
        <v>32</v>
      </c>
      <c r="I13803" s="0" t="s">
        <v>45999</v>
      </c>
      <c r="J13803" s="0" t="s">
        <v>46000</v>
      </c>
      <c r="K13803" s="0" t="s">
        <v>46001</v>
      </c>
      <c r="L13803" s="0" t="str">
        <f aca="false">HYPERLINK("https://www.ncbi.nlm.nih.gov/nuccore/CP000304.1?report=graph&amp;tracks=[key:gene_model_track,Options:GeneOnly]&amp;mk=3892831:3892850|offset_1|444444,3892800:3892819|offset_32|00cc00,3892780:3892799|offset_52|444444,3892756:3892775|offset_76|444444&amp;v=3892630:3892975&amp;c=444444", "offset 32")</f>
        <v>offset 32</v>
      </c>
    </row>
    <row r="13804" customFormat="false" ht="12.8" hidden="false" customHeight="false" outlineLevel="0" collapsed="false">
      <c r="A13804" s="0" t="s">
        <v>12</v>
      </c>
      <c r="B13804" s="0" t="n">
        <v>3892779</v>
      </c>
      <c r="C13804" s="0" t="n">
        <v>3892799</v>
      </c>
      <c r="D13804" s="0" t="s">
        <v>45995</v>
      </c>
      <c r="E13804" s="0" t="s">
        <v>89</v>
      </c>
      <c r="F13804" s="0" t="s">
        <v>90</v>
      </c>
      <c r="G13804" s="0" t="s">
        <v>36</v>
      </c>
      <c r="H13804" s="0" t="n">
        <v>52</v>
      </c>
      <c r="I13804" s="0" t="s">
        <v>46002</v>
      </c>
      <c r="J13804" s="0" t="s">
        <v>46003</v>
      </c>
      <c r="K13804" s="0" t="s">
        <v>46004</v>
      </c>
      <c r="L13804" s="0" t="str">
        <f aca="false">HYPERLINK("https://www.ncbi.nlm.nih.gov/nuccore/CP000304.1?report=graph&amp;tracks=[key:gene_model_track,Options:GeneOnly]&amp;mk=3892831:3892850|offset_1|444444,3892800:3892819|offset_32|444444,3892780:3892799|offset_52|00cc00,3892756:3892775|offset_76|444444&amp;v=3892630:3892975&amp;c=444444", "offset 52")</f>
        <v>offset 52</v>
      </c>
    </row>
    <row r="13805" customFormat="false" ht="12.8" hidden="false" customHeight="false" outlineLevel="0" collapsed="false">
      <c r="A13805" s="0" t="s">
        <v>12</v>
      </c>
      <c r="B13805" s="0" t="n">
        <v>3892755</v>
      </c>
      <c r="C13805" s="0" t="n">
        <v>3892775</v>
      </c>
      <c r="D13805" s="0" t="s">
        <v>45995</v>
      </c>
      <c r="E13805" s="0" t="s">
        <v>89</v>
      </c>
      <c r="F13805" s="0" t="s">
        <v>90</v>
      </c>
      <c r="G13805" s="0" t="s">
        <v>26</v>
      </c>
      <c r="H13805" s="0" t="n">
        <v>76</v>
      </c>
      <c r="I13805" s="0" t="s">
        <v>46005</v>
      </c>
      <c r="J13805" s="0" t="s">
        <v>46006</v>
      </c>
      <c r="K13805" s="0" t="s">
        <v>46007</v>
      </c>
      <c r="L13805" s="0" t="str">
        <f aca="false">HYPERLINK("https://www.ncbi.nlm.nih.gov/nuccore/CP000304.1?report=graph&amp;tracks=[key:gene_model_track,Options:GeneOnly]&amp;mk=3892831:3892850|offset_1|444444,3892800:3892819|offset_32|444444,3892780:3892799|offset_52|444444,3892756:3892775|offset_76|00cc00&amp;v=3892630:3892975&amp;c=444444", "offset 76")</f>
        <v>offset 76</v>
      </c>
    </row>
    <row r="13806" customFormat="false" ht="12.8" hidden="false" customHeight="false" outlineLevel="0" collapsed="false">
      <c r="A13806" s="0" t="s">
        <v>12</v>
      </c>
      <c r="B13806" s="0" t="n">
        <v>3893060</v>
      </c>
      <c r="C13806" s="0" t="n">
        <v>3893080</v>
      </c>
      <c r="D13806" s="0" t="s">
        <v>46008</v>
      </c>
      <c r="E13806" s="0" t="s">
        <v>89</v>
      </c>
      <c r="F13806" s="0" t="s">
        <v>15</v>
      </c>
      <c r="G13806" s="0" t="s">
        <v>32</v>
      </c>
      <c r="H13806" s="0" t="n">
        <v>1</v>
      </c>
      <c r="I13806" s="0" t="s">
        <v>46009</v>
      </c>
      <c r="J13806" s="0" t="s">
        <v>46010</v>
      </c>
      <c r="K13806" s="0" t="s">
        <v>46011</v>
      </c>
      <c r="L13806" s="0" t="str">
        <f aca="false">HYPERLINK("https://www.ncbi.nlm.nih.gov/nuccore/CP000304.1?report=graph&amp;tracks=[key:gene_model_track,Options:GeneOnly]&amp;mk=3893061:3893080|offset_1|00cc00,3893084:3893103|offset_24|444444,3893116:3893135|offset_56|444444,3893138:3893157|offset_78|444444&amp;v=3892860:3893357&amp;c=444444", "offset 1")</f>
        <v>offset 1</v>
      </c>
    </row>
    <row r="13807" customFormat="false" ht="12.8" hidden="false" customHeight="false" outlineLevel="0" collapsed="false">
      <c r="A13807" s="0" t="s">
        <v>12</v>
      </c>
      <c r="B13807" s="0" t="n">
        <v>3893083</v>
      </c>
      <c r="C13807" s="0" t="n">
        <v>3893103</v>
      </c>
      <c r="D13807" s="0" t="s">
        <v>46008</v>
      </c>
      <c r="E13807" s="0" t="s">
        <v>89</v>
      </c>
      <c r="F13807" s="0" t="s">
        <v>15</v>
      </c>
      <c r="G13807" s="0" t="s">
        <v>36</v>
      </c>
      <c r="H13807" s="0" t="n">
        <v>24</v>
      </c>
      <c r="I13807" s="0" t="s">
        <v>46012</v>
      </c>
      <c r="J13807" s="0" t="s">
        <v>46013</v>
      </c>
      <c r="K13807" s="0" t="s">
        <v>46014</v>
      </c>
      <c r="L13807" s="0" t="str">
        <f aca="false">HYPERLINK("https://www.ncbi.nlm.nih.gov/nuccore/CP000304.1?report=graph&amp;tracks=[key:gene_model_track,Options:GeneOnly]&amp;mk=3893061:3893080|offset_1|444444,3893084:3893103|offset_24|00cc00,3893116:3893135|offset_56|444444,3893138:3893157|offset_78|444444&amp;v=3892860:3893357&amp;c=444444", "offset 24")</f>
        <v>offset 24</v>
      </c>
    </row>
    <row r="13808" customFormat="false" ht="12.8" hidden="false" customHeight="false" outlineLevel="0" collapsed="false">
      <c r="A13808" s="0" t="s">
        <v>12</v>
      </c>
      <c r="B13808" s="0" t="n">
        <v>3893115</v>
      </c>
      <c r="C13808" s="0" t="n">
        <v>3893135</v>
      </c>
      <c r="D13808" s="0" t="s">
        <v>46008</v>
      </c>
      <c r="E13808" s="0" t="s">
        <v>89</v>
      </c>
      <c r="F13808" s="0" t="s">
        <v>15</v>
      </c>
      <c r="G13808" s="0" t="s">
        <v>16</v>
      </c>
      <c r="H13808" s="0" t="n">
        <v>56</v>
      </c>
      <c r="I13808" s="0" t="s">
        <v>46015</v>
      </c>
      <c r="J13808" s="0" t="s">
        <v>46016</v>
      </c>
      <c r="K13808" s="0" t="s">
        <v>46017</v>
      </c>
      <c r="L13808" s="0" t="str">
        <f aca="false">HYPERLINK("https://www.ncbi.nlm.nih.gov/nuccore/CP000304.1?report=graph&amp;tracks=[key:gene_model_track,Options:GeneOnly]&amp;mk=3893061:3893080|offset_1|444444,3893084:3893103|offset_24|444444,3893116:3893135|offset_56|00cc00,3893138:3893157|offset_78|444444&amp;v=3892860:3893357&amp;c=444444", "offset 56")</f>
        <v>offset 56</v>
      </c>
    </row>
    <row r="13809" customFormat="false" ht="12.8" hidden="false" customHeight="false" outlineLevel="0" collapsed="false">
      <c r="A13809" s="0" t="s">
        <v>12</v>
      </c>
      <c r="B13809" s="0" t="n">
        <v>3893137</v>
      </c>
      <c r="C13809" s="0" t="n">
        <v>3893157</v>
      </c>
      <c r="D13809" s="0" t="s">
        <v>46008</v>
      </c>
      <c r="E13809" s="0" t="s">
        <v>89</v>
      </c>
      <c r="F13809" s="0" t="s">
        <v>15</v>
      </c>
      <c r="G13809" s="0" t="s">
        <v>16</v>
      </c>
      <c r="H13809" s="0" t="n">
        <v>78</v>
      </c>
      <c r="I13809" s="0" t="s">
        <v>46018</v>
      </c>
      <c r="J13809" s="0" t="s">
        <v>46019</v>
      </c>
      <c r="K13809" s="0" t="s">
        <v>46020</v>
      </c>
      <c r="L13809" s="0" t="str">
        <f aca="false">HYPERLINK("https://www.ncbi.nlm.nih.gov/nuccore/CP000304.1?report=graph&amp;tracks=[key:gene_model_track,Options:GeneOnly]&amp;mk=3893061:3893080|offset_1|444444,3893084:3893103|offset_24|444444,3893116:3893135|offset_56|444444,3893138:3893157|offset_78|00cc00&amp;v=3892860:3893357&amp;c=444444", "offset 78")</f>
        <v>offset 78</v>
      </c>
    </row>
    <row r="13810" customFormat="false" ht="12.8" hidden="false" customHeight="false" outlineLevel="0" collapsed="false">
      <c r="A13810" s="0" t="s">
        <v>12</v>
      </c>
      <c r="B13810" s="0" t="n">
        <v>3894128</v>
      </c>
      <c r="C13810" s="0" t="n">
        <v>3894148</v>
      </c>
      <c r="D13810" s="0" t="s">
        <v>46021</v>
      </c>
      <c r="E13810" s="0" t="s">
        <v>46022</v>
      </c>
      <c r="F13810" s="0" t="s">
        <v>15</v>
      </c>
      <c r="G13810" s="0" t="s">
        <v>26</v>
      </c>
      <c r="H13810" s="0" t="n">
        <v>23</v>
      </c>
      <c r="I13810" s="0" t="s">
        <v>46023</v>
      </c>
      <c r="J13810" s="0" t="s">
        <v>46024</v>
      </c>
      <c r="K13810" s="0" t="s">
        <v>46025</v>
      </c>
      <c r="L13810" s="0" t="str">
        <f aca="false">HYPERLINK("https://www.ncbi.nlm.nih.gov/nuccore/CP000304.1?report=graph&amp;tracks=[key:gene_model_track,Options:GeneOnly]&amp;mk=3894129:3894148|offset_23|00cc00,3894150:3894169|offset_44|444444,3894175:3894194|offset_69|444444,3894197:3894216|offset_91|444444&amp;v=3893928:3894416&amp;c=444444", "offset 23")</f>
        <v>offset 23</v>
      </c>
    </row>
    <row r="13811" customFormat="false" ht="12.8" hidden="false" customHeight="false" outlineLevel="0" collapsed="false">
      <c r="A13811" s="0" t="s">
        <v>12</v>
      </c>
      <c r="B13811" s="0" t="n">
        <v>3894149</v>
      </c>
      <c r="C13811" s="0" t="n">
        <v>3894169</v>
      </c>
      <c r="D13811" s="0" t="s">
        <v>46021</v>
      </c>
      <c r="E13811" s="0" t="s">
        <v>46022</v>
      </c>
      <c r="F13811" s="0" t="s">
        <v>15</v>
      </c>
      <c r="G13811" s="0" t="s">
        <v>26</v>
      </c>
      <c r="H13811" s="0" t="n">
        <v>44</v>
      </c>
      <c r="I13811" s="0" t="s">
        <v>46026</v>
      </c>
      <c r="J13811" s="0" t="s">
        <v>46027</v>
      </c>
      <c r="K13811" s="0" t="s">
        <v>46028</v>
      </c>
      <c r="L13811" s="0" t="str">
        <f aca="false">HYPERLINK("https://www.ncbi.nlm.nih.gov/nuccore/CP000304.1?report=graph&amp;tracks=[key:gene_model_track,Options:GeneOnly]&amp;mk=3894129:3894148|offset_23|444444,3894150:3894169|offset_44|00cc00,3894175:3894194|offset_69|444444,3894197:3894216|offset_91|444444&amp;v=3893928:3894416&amp;c=444444", "offset 44")</f>
        <v>offset 44</v>
      </c>
    </row>
    <row r="13812" customFormat="false" ht="12.8" hidden="false" customHeight="false" outlineLevel="0" collapsed="false">
      <c r="A13812" s="0" t="s">
        <v>12</v>
      </c>
      <c r="B13812" s="0" t="n">
        <v>3894174</v>
      </c>
      <c r="C13812" s="0" t="n">
        <v>3894194</v>
      </c>
      <c r="D13812" s="0" t="s">
        <v>46021</v>
      </c>
      <c r="E13812" s="0" t="s">
        <v>46022</v>
      </c>
      <c r="F13812" s="0" t="s">
        <v>15</v>
      </c>
      <c r="G13812" s="0" t="s">
        <v>16</v>
      </c>
      <c r="H13812" s="0" t="n">
        <v>69</v>
      </c>
      <c r="I13812" s="0" t="s">
        <v>46029</v>
      </c>
      <c r="J13812" s="0" t="s">
        <v>46030</v>
      </c>
      <c r="K13812" s="0" t="s">
        <v>46031</v>
      </c>
      <c r="L13812" s="0" t="str">
        <f aca="false">HYPERLINK("https://www.ncbi.nlm.nih.gov/nuccore/CP000304.1?report=graph&amp;tracks=[key:gene_model_track,Options:GeneOnly]&amp;mk=3894129:3894148|offset_23|444444,3894150:3894169|offset_44|444444,3894175:3894194|offset_69|00cc00,3894197:3894216|offset_91|444444&amp;v=3893928:3894416&amp;c=444444", "offset 69")</f>
        <v>offset 69</v>
      </c>
    </row>
    <row r="13813" customFormat="false" ht="12.8" hidden="false" customHeight="false" outlineLevel="0" collapsed="false">
      <c r="A13813" s="0" t="s">
        <v>12</v>
      </c>
      <c r="B13813" s="0" t="n">
        <v>3894196</v>
      </c>
      <c r="C13813" s="0" t="n">
        <v>3894216</v>
      </c>
      <c r="D13813" s="0" t="s">
        <v>46021</v>
      </c>
      <c r="E13813" s="0" t="s">
        <v>46022</v>
      </c>
      <c r="F13813" s="0" t="s">
        <v>15</v>
      </c>
      <c r="G13813" s="0" t="s">
        <v>16</v>
      </c>
      <c r="H13813" s="0" t="n">
        <v>91</v>
      </c>
      <c r="I13813" s="0" t="s">
        <v>46032</v>
      </c>
      <c r="J13813" s="0" t="s">
        <v>46033</v>
      </c>
      <c r="K13813" s="0" t="s">
        <v>46034</v>
      </c>
      <c r="L13813" s="0" t="str">
        <f aca="false">HYPERLINK("https://www.ncbi.nlm.nih.gov/nuccore/CP000304.1?report=graph&amp;tracks=[key:gene_model_track,Options:GeneOnly]&amp;mk=3894129:3894148|offset_23|444444,3894150:3894169|offset_44|444444,3894175:3894194|offset_69|444444,3894197:3894216|offset_91|00cc00&amp;v=3893928:3894416&amp;c=444444", "offset 91")</f>
        <v>offset 91</v>
      </c>
    </row>
    <row r="13814" customFormat="false" ht="12.8" hidden="false" customHeight="false" outlineLevel="0" collapsed="false">
      <c r="A13814" s="0" t="s">
        <v>12</v>
      </c>
      <c r="B13814" s="0" t="n">
        <v>3895157</v>
      </c>
      <c r="C13814" s="0" t="n">
        <v>3895177</v>
      </c>
      <c r="D13814" s="0" t="s">
        <v>46035</v>
      </c>
      <c r="E13814" s="0" t="s">
        <v>89</v>
      </c>
      <c r="F13814" s="0" t="s">
        <v>15</v>
      </c>
      <c r="G13814" s="0" t="s">
        <v>32</v>
      </c>
      <c r="H13814" s="0" t="n">
        <v>1</v>
      </c>
      <c r="I13814" s="0" t="s">
        <v>46036</v>
      </c>
      <c r="J13814" s="0" t="s">
        <v>46037</v>
      </c>
      <c r="K13814" s="0" t="s">
        <v>46038</v>
      </c>
      <c r="L13814" s="0" t="str">
        <f aca="false">HYPERLINK("https://www.ncbi.nlm.nih.gov/nuccore/CP000304.1?report=graph&amp;tracks=[key:gene_model_track,Options:GeneOnly]&amp;mk=3895158:3895177|offset_1|00cc00,3895178:3895197|offset_21|444444,3895203:3895222|offset_46|444444,3895225:3895244|offset_68|444444&amp;v=3894957:3895444&amp;c=444444", "offset 1")</f>
        <v>offset 1</v>
      </c>
    </row>
    <row r="13815" customFormat="false" ht="12.8" hidden="false" customHeight="false" outlineLevel="0" collapsed="false">
      <c r="A13815" s="0" t="s">
        <v>12</v>
      </c>
      <c r="B13815" s="0" t="n">
        <v>3895177</v>
      </c>
      <c r="C13815" s="0" t="n">
        <v>3895197</v>
      </c>
      <c r="D13815" s="0" t="s">
        <v>46035</v>
      </c>
      <c r="E13815" s="0" t="s">
        <v>89</v>
      </c>
      <c r="F13815" s="0" t="s">
        <v>15</v>
      </c>
      <c r="G13815" s="0" t="s">
        <v>36</v>
      </c>
      <c r="H13815" s="0" t="n">
        <v>21</v>
      </c>
      <c r="I13815" s="0" t="s">
        <v>46039</v>
      </c>
      <c r="J13815" s="0" t="s">
        <v>46040</v>
      </c>
      <c r="K13815" s="0" t="s">
        <v>46041</v>
      </c>
      <c r="L13815" s="0" t="str">
        <f aca="false">HYPERLINK("https://www.ncbi.nlm.nih.gov/nuccore/CP000304.1?report=graph&amp;tracks=[key:gene_model_track,Options:GeneOnly]&amp;mk=3895158:3895177|offset_1|444444,3895178:3895197|offset_21|00cc00,3895203:3895222|offset_46|444444,3895225:3895244|offset_68|444444&amp;v=3894957:3895444&amp;c=444444", "offset 21")</f>
        <v>offset 21</v>
      </c>
    </row>
    <row r="13816" customFormat="false" ht="12.8" hidden="false" customHeight="false" outlineLevel="0" collapsed="false">
      <c r="A13816" s="0" t="s">
        <v>12</v>
      </c>
      <c r="B13816" s="0" t="n">
        <v>3895202</v>
      </c>
      <c r="C13816" s="0" t="n">
        <v>3895222</v>
      </c>
      <c r="D13816" s="0" t="s">
        <v>46035</v>
      </c>
      <c r="E13816" s="0" t="s">
        <v>89</v>
      </c>
      <c r="F13816" s="0" t="s">
        <v>15</v>
      </c>
      <c r="G13816" s="0" t="s">
        <v>26</v>
      </c>
      <c r="H13816" s="0" t="n">
        <v>46</v>
      </c>
      <c r="I13816" s="0" t="s">
        <v>46042</v>
      </c>
      <c r="J13816" s="0" t="s">
        <v>46043</v>
      </c>
      <c r="K13816" s="0" t="s">
        <v>46044</v>
      </c>
      <c r="L13816" s="0" t="str">
        <f aca="false">HYPERLINK("https://www.ncbi.nlm.nih.gov/nuccore/CP000304.1?report=graph&amp;tracks=[key:gene_model_track,Options:GeneOnly]&amp;mk=3895158:3895177|offset_1|444444,3895178:3895197|offset_21|444444,3895203:3895222|offset_46|00cc00,3895225:3895244|offset_68|444444&amp;v=3894957:3895444&amp;c=444444", "offset 46")</f>
        <v>offset 46</v>
      </c>
    </row>
    <row r="13817" customFormat="false" ht="12.8" hidden="false" customHeight="false" outlineLevel="0" collapsed="false">
      <c r="A13817" s="0" t="s">
        <v>12</v>
      </c>
      <c r="B13817" s="0" t="n">
        <v>3895224</v>
      </c>
      <c r="C13817" s="0" t="n">
        <v>3895244</v>
      </c>
      <c r="D13817" s="0" t="s">
        <v>46035</v>
      </c>
      <c r="E13817" s="0" t="s">
        <v>89</v>
      </c>
      <c r="F13817" s="0" t="s">
        <v>15</v>
      </c>
      <c r="G13817" s="0" t="s">
        <v>32</v>
      </c>
      <c r="H13817" s="0" t="n">
        <v>68</v>
      </c>
      <c r="I13817" s="0" t="s">
        <v>46045</v>
      </c>
      <c r="J13817" s="0" t="s">
        <v>46046</v>
      </c>
      <c r="K13817" s="0" t="s">
        <v>46047</v>
      </c>
      <c r="L13817" s="0" t="str">
        <f aca="false">HYPERLINK("https://www.ncbi.nlm.nih.gov/nuccore/CP000304.1?report=graph&amp;tracks=[key:gene_model_track,Options:GeneOnly]&amp;mk=3895158:3895177|offset_1|444444,3895178:3895197|offset_21|444444,3895203:3895222|offset_46|444444,3895225:3895244|offset_68|00cc00&amp;v=3894957:3895444&amp;c=444444", "offset 68")</f>
        <v>offset 68</v>
      </c>
    </row>
    <row r="13818" customFormat="false" ht="12.8" hidden="false" customHeight="false" outlineLevel="0" collapsed="false">
      <c r="A13818" s="0" t="s">
        <v>12</v>
      </c>
      <c r="B13818" s="0" t="n">
        <v>3896551</v>
      </c>
      <c r="C13818" s="0" t="n">
        <v>3896571</v>
      </c>
      <c r="D13818" s="0" t="s">
        <v>46048</v>
      </c>
      <c r="E13818" s="0" t="s">
        <v>89</v>
      </c>
      <c r="F13818" s="0" t="s">
        <v>90</v>
      </c>
      <c r="G13818" s="0" t="s">
        <v>16</v>
      </c>
      <c r="H13818" s="0" t="n">
        <v>27</v>
      </c>
      <c r="I13818" s="0" t="s">
        <v>46049</v>
      </c>
      <c r="J13818" s="0" t="s">
        <v>46050</v>
      </c>
      <c r="K13818" s="0" t="s">
        <v>46051</v>
      </c>
      <c r="L13818" s="0" t="str">
        <f aca="false">HYPERLINK("https://www.ncbi.nlm.nih.gov/nuccore/CP000304.1?report=graph&amp;tracks=[key:gene_model_track,Options:GeneOnly]&amp;mk=3896552:3896571|offset_27|00cc00,3896529:3896548|offset_50|444444,3896500:3896519|offset_79|444444,3896480:3896499|offset_99|444444&amp;v=3896351:3896699&amp;c=444444", "offset 27")</f>
        <v>offset 27</v>
      </c>
    </row>
    <row r="13819" customFormat="false" ht="12.8" hidden="false" customHeight="false" outlineLevel="0" collapsed="false">
      <c r="A13819" s="0" t="s">
        <v>12</v>
      </c>
      <c r="B13819" s="0" t="n">
        <v>3896528</v>
      </c>
      <c r="C13819" s="0" t="n">
        <v>3896548</v>
      </c>
      <c r="D13819" s="0" t="s">
        <v>46048</v>
      </c>
      <c r="E13819" s="0" t="s">
        <v>89</v>
      </c>
      <c r="F13819" s="0" t="s">
        <v>90</v>
      </c>
      <c r="G13819" s="0" t="s">
        <v>16</v>
      </c>
      <c r="H13819" s="0" t="n">
        <v>50</v>
      </c>
      <c r="I13819" s="0" t="s">
        <v>46052</v>
      </c>
      <c r="J13819" s="0" t="s">
        <v>46053</v>
      </c>
      <c r="K13819" s="0" t="s">
        <v>46054</v>
      </c>
      <c r="L13819" s="0" t="str">
        <f aca="false">HYPERLINK("https://www.ncbi.nlm.nih.gov/nuccore/CP000304.1?report=graph&amp;tracks=[key:gene_model_track,Options:GeneOnly]&amp;mk=3896552:3896571|offset_27|444444,3896529:3896548|offset_50|00cc00,3896500:3896519|offset_79|444444,3896480:3896499|offset_99|444444&amp;v=3896351:3896699&amp;c=444444", "offset 50")</f>
        <v>offset 50</v>
      </c>
    </row>
    <row r="13820" customFormat="false" ht="12.8" hidden="false" customHeight="false" outlineLevel="0" collapsed="false">
      <c r="A13820" s="0" t="s">
        <v>12</v>
      </c>
      <c r="B13820" s="0" t="n">
        <v>3896499</v>
      </c>
      <c r="C13820" s="0" t="n">
        <v>3896519</v>
      </c>
      <c r="D13820" s="0" t="s">
        <v>46048</v>
      </c>
      <c r="E13820" s="0" t="s">
        <v>89</v>
      </c>
      <c r="F13820" s="0" t="s">
        <v>90</v>
      </c>
      <c r="G13820" s="0" t="s">
        <v>36</v>
      </c>
      <c r="H13820" s="0" t="n">
        <v>79</v>
      </c>
      <c r="I13820" s="0" t="s">
        <v>46055</v>
      </c>
      <c r="J13820" s="0" t="s">
        <v>46056</v>
      </c>
      <c r="K13820" s="0" t="s">
        <v>46057</v>
      </c>
      <c r="L13820" s="0" t="str">
        <f aca="false">HYPERLINK("https://www.ncbi.nlm.nih.gov/nuccore/CP000304.1?report=graph&amp;tracks=[key:gene_model_track,Options:GeneOnly]&amp;mk=3896552:3896571|offset_27|444444,3896529:3896548|offset_50|444444,3896500:3896519|offset_79|00cc00,3896480:3896499|offset_99|444444&amp;v=3896351:3896699&amp;c=444444", "offset 79")</f>
        <v>offset 79</v>
      </c>
    </row>
    <row r="13821" customFormat="false" ht="12.8" hidden="false" customHeight="false" outlineLevel="0" collapsed="false">
      <c r="A13821" s="0" t="s">
        <v>12</v>
      </c>
      <c r="B13821" s="0" t="n">
        <v>3896479</v>
      </c>
      <c r="C13821" s="0" t="n">
        <v>3896499</v>
      </c>
      <c r="D13821" s="0" t="s">
        <v>46048</v>
      </c>
      <c r="E13821" s="0" t="s">
        <v>89</v>
      </c>
      <c r="F13821" s="0" t="s">
        <v>90</v>
      </c>
      <c r="G13821" s="0" t="s">
        <v>26</v>
      </c>
      <c r="H13821" s="0" t="n">
        <v>99</v>
      </c>
      <c r="I13821" s="0" t="s">
        <v>46058</v>
      </c>
      <c r="J13821" s="0" t="s">
        <v>46059</v>
      </c>
      <c r="K13821" s="0" t="s">
        <v>46060</v>
      </c>
      <c r="L13821" s="0" t="str">
        <f aca="false">HYPERLINK("https://www.ncbi.nlm.nih.gov/nuccore/CP000304.1?report=graph&amp;tracks=[key:gene_model_track,Options:GeneOnly]&amp;mk=3896552:3896571|offset_27|444444,3896529:3896548|offset_50|444444,3896500:3896519|offset_79|444444,3896480:3896499|offset_99|00cc00&amp;v=3896351:3896699&amp;c=444444", "offset 99")</f>
        <v>offset 99</v>
      </c>
    </row>
    <row r="13822" customFormat="false" ht="12.8" hidden="false" customHeight="false" outlineLevel="0" collapsed="false">
      <c r="A13822" s="0" t="s">
        <v>12</v>
      </c>
      <c r="B13822" s="0" t="n">
        <v>3896698</v>
      </c>
      <c r="C13822" s="0" t="n">
        <v>3896718</v>
      </c>
      <c r="D13822" s="0" t="s">
        <v>46061</v>
      </c>
      <c r="E13822" s="0" t="s">
        <v>89</v>
      </c>
      <c r="F13822" s="0" t="s">
        <v>15</v>
      </c>
      <c r="G13822" s="0" t="s">
        <v>32</v>
      </c>
      <c r="H13822" s="0" t="n">
        <v>1</v>
      </c>
      <c r="I13822" s="0" t="s">
        <v>46062</v>
      </c>
      <c r="J13822" s="0" t="s">
        <v>46063</v>
      </c>
      <c r="K13822" s="0" t="s">
        <v>46064</v>
      </c>
      <c r="L13822" s="0" t="str">
        <f aca="false">HYPERLINK("https://www.ncbi.nlm.nih.gov/nuccore/CP000304.1?report=graph&amp;tracks=[key:gene_model_track,Options:GeneOnly]&amp;mk=3896699:3896718|offset_1|00cc00,3896723:3896742|offset_25|444444,3896745:3896764|offset_47|444444,3896786:3896805|offset_88|444444&amp;v=3896498:3897005&amp;c=444444", "offset 1")</f>
        <v>offset 1</v>
      </c>
    </row>
    <row r="13823" customFormat="false" ht="12.8" hidden="false" customHeight="false" outlineLevel="0" collapsed="false">
      <c r="A13823" s="0" t="s">
        <v>12</v>
      </c>
      <c r="B13823" s="0" t="n">
        <v>3896722</v>
      </c>
      <c r="C13823" s="0" t="n">
        <v>3896742</v>
      </c>
      <c r="D13823" s="0" t="s">
        <v>46061</v>
      </c>
      <c r="E13823" s="0" t="s">
        <v>89</v>
      </c>
      <c r="F13823" s="0" t="s">
        <v>15</v>
      </c>
      <c r="G13823" s="0" t="s">
        <v>16</v>
      </c>
      <c r="H13823" s="0" t="n">
        <v>25</v>
      </c>
      <c r="I13823" s="0" t="s">
        <v>46065</v>
      </c>
      <c r="J13823" s="0" t="s">
        <v>46066</v>
      </c>
      <c r="K13823" s="0" t="s">
        <v>46067</v>
      </c>
      <c r="L13823" s="0" t="str">
        <f aca="false">HYPERLINK("https://www.ncbi.nlm.nih.gov/nuccore/CP000304.1?report=graph&amp;tracks=[key:gene_model_track,Options:GeneOnly]&amp;mk=3896699:3896718|offset_1|444444,3896723:3896742|offset_25|00cc00,3896745:3896764|offset_47|444444,3896786:3896805|offset_88|444444&amp;v=3896498:3897005&amp;c=444444", "offset 25")</f>
        <v>offset 25</v>
      </c>
    </row>
    <row r="13824" customFormat="false" ht="12.8" hidden="false" customHeight="false" outlineLevel="0" collapsed="false">
      <c r="A13824" s="0" t="s">
        <v>12</v>
      </c>
      <c r="B13824" s="0" t="n">
        <v>3896744</v>
      </c>
      <c r="C13824" s="0" t="n">
        <v>3896764</v>
      </c>
      <c r="D13824" s="0" t="s">
        <v>46061</v>
      </c>
      <c r="E13824" s="0" t="s">
        <v>89</v>
      </c>
      <c r="F13824" s="0" t="s">
        <v>15</v>
      </c>
      <c r="G13824" s="0" t="s">
        <v>26</v>
      </c>
      <c r="H13824" s="0" t="n">
        <v>47</v>
      </c>
      <c r="I13824" s="0" t="s">
        <v>46068</v>
      </c>
      <c r="J13824" s="0" t="s">
        <v>46069</v>
      </c>
      <c r="K13824" s="0" t="s">
        <v>46070</v>
      </c>
      <c r="L13824" s="0" t="str">
        <f aca="false">HYPERLINK("https://www.ncbi.nlm.nih.gov/nuccore/CP000304.1?report=graph&amp;tracks=[key:gene_model_track,Options:GeneOnly]&amp;mk=3896699:3896718|offset_1|444444,3896723:3896742|offset_25|444444,3896745:3896764|offset_47|00cc00,3896786:3896805|offset_88|444444&amp;v=3896498:3897005&amp;c=444444", "offset 47")</f>
        <v>offset 47</v>
      </c>
    </row>
    <row r="13825" customFormat="false" ht="12.8" hidden="false" customHeight="false" outlineLevel="0" collapsed="false">
      <c r="A13825" s="0" t="s">
        <v>12</v>
      </c>
      <c r="B13825" s="0" t="n">
        <v>3896785</v>
      </c>
      <c r="C13825" s="0" t="n">
        <v>3896805</v>
      </c>
      <c r="D13825" s="0" t="s">
        <v>46061</v>
      </c>
      <c r="E13825" s="0" t="s">
        <v>89</v>
      </c>
      <c r="F13825" s="0" t="s">
        <v>15</v>
      </c>
      <c r="G13825" s="0" t="s">
        <v>36</v>
      </c>
      <c r="H13825" s="0" t="n">
        <v>88</v>
      </c>
      <c r="I13825" s="0" t="s">
        <v>46071</v>
      </c>
      <c r="J13825" s="0" t="s">
        <v>46072</v>
      </c>
      <c r="K13825" s="0" t="s">
        <v>46073</v>
      </c>
      <c r="L13825" s="0" t="str">
        <f aca="false">HYPERLINK("https://www.ncbi.nlm.nih.gov/nuccore/CP000304.1?report=graph&amp;tracks=[key:gene_model_track,Options:GeneOnly]&amp;mk=3896699:3896718|offset_1|444444,3896723:3896742|offset_25|444444,3896745:3896764|offset_47|444444,3896786:3896805|offset_88|00cc00&amp;v=3896498:3897005&amp;c=444444", "offset 88")</f>
        <v>offset 88</v>
      </c>
    </row>
    <row r="13826" customFormat="false" ht="12.8" hidden="false" customHeight="false" outlineLevel="0" collapsed="false">
      <c r="A13826" s="0" t="s">
        <v>12</v>
      </c>
      <c r="B13826" s="0" t="n">
        <v>3897523</v>
      </c>
      <c r="C13826" s="0" t="n">
        <v>3897543</v>
      </c>
      <c r="D13826" s="0" t="s">
        <v>46074</v>
      </c>
      <c r="E13826" s="0" t="s">
        <v>89</v>
      </c>
      <c r="F13826" s="0" t="s">
        <v>90</v>
      </c>
      <c r="G13826" s="0" t="s">
        <v>26</v>
      </c>
      <c r="H13826" s="0" t="n">
        <v>6</v>
      </c>
      <c r="I13826" s="0" t="s">
        <v>46075</v>
      </c>
      <c r="J13826" s="0" t="s">
        <v>46076</v>
      </c>
      <c r="K13826" s="0" t="s">
        <v>46077</v>
      </c>
      <c r="L13826" s="0" t="str">
        <f aca="false">HYPERLINK("https://www.ncbi.nlm.nih.gov/nuccore/CP000304.1?report=graph&amp;tracks=[key:gene_model_track,Options:GeneOnly]&amp;mk=3897524:3897543|offset_6|00cc00,3897499:3897518|offset_31|444444,3897472:3897491|offset_58|444444,3897442:3897461|offset_88|444444&amp;v=3897323:3897661&amp;c=444444", "offset 6")</f>
        <v>offset 6</v>
      </c>
    </row>
    <row r="13827" customFormat="false" ht="12.8" hidden="false" customHeight="false" outlineLevel="0" collapsed="false">
      <c r="A13827" s="0" t="s">
        <v>12</v>
      </c>
      <c r="B13827" s="0" t="n">
        <v>3897498</v>
      </c>
      <c r="C13827" s="0" t="n">
        <v>3897518</v>
      </c>
      <c r="D13827" s="0" t="s">
        <v>46074</v>
      </c>
      <c r="E13827" s="0" t="s">
        <v>89</v>
      </c>
      <c r="F13827" s="0" t="s">
        <v>90</v>
      </c>
      <c r="G13827" s="0" t="s">
        <v>26</v>
      </c>
      <c r="H13827" s="0" t="n">
        <v>31</v>
      </c>
      <c r="I13827" s="0" t="s">
        <v>46078</v>
      </c>
      <c r="J13827" s="0" t="s">
        <v>46079</v>
      </c>
      <c r="K13827" s="0" t="s">
        <v>46080</v>
      </c>
      <c r="L13827" s="0" t="str">
        <f aca="false">HYPERLINK("https://www.ncbi.nlm.nih.gov/nuccore/CP000304.1?report=graph&amp;tracks=[key:gene_model_track,Options:GeneOnly]&amp;mk=3897524:3897543|offset_6|444444,3897499:3897518|offset_31|00cc00,3897472:3897491|offset_58|444444,3897442:3897461|offset_88|444444&amp;v=3897323:3897661&amp;c=444444", "offset 31")</f>
        <v>offset 31</v>
      </c>
    </row>
    <row r="13828" customFormat="false" ht="12.8" hidden="false" customHeight="false" outlineLevel="0" collapsed="false">
      <c r="A13828" s="0" t="s">
        <v>12</v>
      </c>
      <c r="B13828" s="0" t="n">
        <v>3897471</v>
      </c>
      <c r="C13828" s="0" t="n">
        <v>3897491</v>
      </c>
      <c r="D13828" s="0" t="s">
        <v>46074</v>
      </c>
      <c r="E13828" s="0" t="s">
        <v>89</v>
      </c>
      <c r="F13828" s="0" t="s">
        <v>90</v>
      </c>
      <c r="G13828" s="0" t="s">
        <v>36</v>
      </c>
      <c r="H13828" s="0" t="n">
        <v>58</v>
      </c>
      <c r="I13828" s="0" t="s">
        <v>46081</v>
      </c>
      <c r="J13828" s="0" t="s">
        <v>46082</v>
      </c>
      <c r="K13828" s="0" t="s">
        <v>46083</v>
      </c>
      <c r="L13828" s="0" t="str">
        <f aca="false">HYPERLINK("https://www.ncbi.nlm.nih.gov/nuccore/CP000304.1?report=graph&amp;tracks=[key:gene_model_track,Options:GeneOnly]&amp;mk=3897524:3897543|offset_6|444444,3897499:3897518|offset_31|444444,3897472:3897491|offset_58|00cc00,3897442:3897461|offset_88|444444&amp;v=3897323:3897661&amp;c=444444", "offset 58")</f>
        <v>offset 58</v>
      </c>
    </row>
    <row r="13829" customFormat="false" ht="12.8" hidden="false" customHeight="false" outlineLevel="0" collapsed="false">
      <c r="A13829" s="0" t="s">
        <v>12</v>
      </c>
      <c r="B13829" s="0" t="n">
        <v>3897441</v>
      </c>
      <c r="C13829" s="0" t="n">
        <v>3897461</v>
      </c>
      <c r="D13829" s="0" t="s">
        <v>46074</v>
      </c>
      <c r="E13829" s="0" t="s">
        <v>89</v>
      </c>
      <c r="F13829" s="0" t="s">
        <v>90</v>
      </c>
      <c r="G13829" s="0" t="s">
        <v>36</v>
      </c>
      <c r="H13829" s="0" t="n">
        <v>88</v>
      </c>
      <c r="I13829" s="0" t="s">
        <v>46084</v>
      </c>
      <c r="J13829" s="0" t="s">
        <v>46085</v>
      </c>
      <c r="K13829" s="0" t="s">
        <v>46086</v>
      </c>
      <c r="L13829" s="0" t="str">
        <f aca="false">HYPERLINK("https://www.ncbi.nlm.nih.gov/nuccore/CP000304.1?report=graph&amp;tracks=[key:gene_model_track,Options:GeneOnly]&amp;mk=3897524:3897543|offset_6|444444,3897499:3897518|offset_31|444444,3897472:3897491|offset_58|444444,3897442:3897461|offset_88|00cc00&amp;v=3897323:3897661&amp;c=444444", "offset 88")</f>
        <v>offset 88</v>
      </c>
    </row>
    <row r="13830" customFormat="false" ht="12.8" hidden="false" customHeight="false" outlineLevel="0" collapsed="false">
      <c r="A13830" s="0" t="s">
        <v>12</v>
      </c>
      <c r="B13830" s="0" t="n">
        <v>3897698</v>
      </c>
      <c r="C13830" s="0" t="n">
        <v>3897718</v>
      </c>
      <c r="D13830" s="0" t="s">
        <v>46087</v>
      </c>
      <c r="E13830" s="0" t="s">
        <v>89</v>
      </c>
      <c r="F13830" s="0" t="s">
        <v>15</v>
      </c>
      <c r="G13830" s="0" t="s">
        <v>32</v>
      </c>
      <c r="H13830" s="0" t="n">
        <v>1</v>
      </c>
      <c r="I13830" s="0" t="s">
        <v>46088</v>
      </c>
      <c r="J13830" s="0" t="s">
        <v>46089</v>
      </c>
      <c r="K13830" s="0" t="s">
        <v>46090</v>
      </c>
      <c r="L13830" s="0" t="str">
        <f aca="false">HYPERLINK("https://www.ncbi.nlm.nih.gov/nuccore/CP000304.1?report=graph&amp;tracks=[key:gene_model_track,Options:GeneOnly]&amp;mk=3897699:3897718|offset_1|00cc00,3897725:3897744|offset_27|444444,3897747:3897766|offset_49|444444,3897788:3897807|offset_90|444444&amp;v=3897498:3898007&amp;c=444444", "offset 1")</f>
        <v>offset 1</v>
      </c>
    </row>
    <row r="13831" customFormat="false" ht="12.8" hidden="false" customHeight="false" outlineLevel="0" collapsed="false">
      <c r="A13831" s="0" t="s">
        <v>12</v>
      </c>
      <c r="B13831" s="0" t="n">
        <v>3897724</v>
      </c>
      <c r="C13831" s="0" t="n">
        <v>3897744</v>
      </c>
      <c r="D13831" s="0" t="s">
        <v>46087</v>
      </c>
      <c r="E13831" s="0" t="s">
        <v>89</v>
      </c>
      <c r="F13831" s="0" t="s">
        <v>15</v>
      </c>
      <c r="G13831" s="0" t="s">
        <v>16</v>
      </c>
      <c r="H13831" s="0" t="n">
        <v>27</v>
      </c>
      <c r="I13831" s="0" t="s">
        <v>46091</v>
      </c>
      <c r="J13831" s="0" t="s">
        <v>46092</v>
      </c>
      <c r="K13831" s="0" t="s">
        <v>46093</v>
      </c>
      <c r="L13831" s="0" t="str">
        <f aca="false">HYPERLINK("https://www.ncbi.nlm.nih.gov/nuccore/CP000304.1?report=graph&amp;tracks=[key:gene_model_track,Options:GeneOnly]&amp;mk=3897699:3897718|offset_1|444444,3897725:3897744|offset_27|00cc00,3897747:3897766|offset_49|444444,3897788:3897807|offset_90|444444&amp;v=3897498:3898007&amp;c=444444", "offset 27")</f>
        <v>offset 27</v>
      </c>
    </row>
    <row r="13832" customFormat="false" ht="12.8" hidden="false" customHeight="false" outlineLevel="0" collapsed="false">
      <c r="A13832" s="0" t="s">
        <v>12</v>
      </c>
      <c r="B13832" s="0" t="n">
        <v>3897746</v>
      </c>
      <c r="C13832" s="0" t="n">
        <v>3897766</v>
      </c>
      <c r="D13832" s="0" t="s">
        <v>46087</v>
      </c>
      <c r="E13832" s="0" t="s">
        <v>89</v>
      </c>
      <c r="F13832" s="0" t="s">
        <v>15</v>
      </c>
      <c r="G13832" s="0" t="s">
        <v>32</v>
      </c>
      <c r="H13832" s="0" t="n">
        <v>49</v>
      </c>
      <c r="I13832" s="0" t="s">
        <v>46094</v>
      </c>
      <c r="J13832" s="0" t="s">
        <v>46095</v>
      </c>
      <c r="K13832" s="0" t="s">
        <v>46096</v>
      </c>
      <c r="L13832" s="0" t="str">
        <f aca="false">HYPERLINK("https://www.ncbi.nlm.nih.gov/nuccore/CP000304.1?report=graph&amp;tracks=[key:gene_model_track,Options:GeneOnly]&amp;mk=3897699:3897718|offset_1|444444,3897725:3897744|offset_27|444444,3897747:3897766|offset_49|00cc00,3897788:3897807|offset_90|444444&amp;v=3897498:3898007&amp;c=444444", "offset 49")</f>
        <v>offset 49</v>
      </c>
    </row>
    <row r="13833" customFormat="false" ht="12.8" hidden="false" customHeight="false" outlineLevel="0" collapsed="false">
      <c r="A13833" s="0" t="s">
        <v>12</v>
      </c>
      <c r="B13833" s="0" t="n">
        <v>3897787</v>
      </c>
      <c r="C13833" s="0" t="n">
        <v>3897807</v>
      </c>
      <c r="D13833" s="0" t="s">
        <v>46087</v>
      </c>
      <c r="E13833" s="0" t="s">
        <v>89</v>
      </c>
      <c r="F13833" s="0" t="s">
        <v>15</v>
      </c>
      <c r="G13833" s="0" t="s">
        <v>16</v>
      </c>
      <c r="H13833" s="0" t="n">
        <v>90</v>
      </c>
      <c r="I13833" s="0" t="s">
        <v>46097</v>
      </c>
      <c r="J13833" s="0" t="s">
        <v>46098</v>
      </c>
      <c r="K13833" s="0" t="s">
        <v>46099</v>
      </c>
      <c r="L13833" s="0" t="str">
        <f aca="false">HYPERLINK("https://www.ncbi.nlm.nih.gov/nuccore/CP000304.1?report=graph&amp;tracks=[key:gene_model_track,Options:GeneOnly]&amp;mk=3897699:3897718|offset_1|444444,3897725:3897744|offset_27|444444,3897747:3897766|offset_49|444444,3897788:3897807|offset_90|00cc00&amp;v=3897498:3898007&amp;c=444444", "offset 90")</f>
        <v>offset 90</v>
      </c>
    </row>
    <row r="13834" customFormat="false" ht="12.8" hidden="false" customHeight="false" outlineLevel="0" collapsed="false">
      <c r="A13834" s="0" t="s">
        <v>12</v>
      </c>
      <c r="B13834" s="0" t="n">
        <v>3900090</v>
      </c>
      <c r="C13834" s="0" t="n">
        <v>3900110</v>
      </c>
      <c r="D13834" s="0" t="s">
        <v>46100</v>
      </c>
      <c r="E13834" s="0" t="s">
        <v>89</v>
      </c>
      <c r="F13834" s="0" t="s">
        <v>15</v>
      </c>
      <c r="G13834" s="0" t="s">
        <v>32</v>
      </c>
      <c r="H13834" s="0" t="n">
        <v>1</v>
      </c>
      <c r="I13834" s="0" t="s">
        <v>46101</v>
      </c>
      <c r="J13834" s="0" t="s">
        <v>46102</v>
      </c>
      <c r="K13834" s="0" t="s">
        <v>46103</v>
      </c>
      <c r="L13834" s="0" t="str">
        <f aca="false">HYPERLINK("https://www.ncbi.nlm.nih.gov/nuccore/CP000304.1?report=graph&amp;tracks=[key:gene_model_track,Options:GeneOnly]&amp;mk=3900091:3900110|offset_1|00cc00,3900112:3900131|offset_22|444444,3900143:3900162|offset_53|444444,3900174:3900193|offset_84|444444&amp;v=3899890:3900393&amp;c=444444", "offset 1")</f>
        <v>offset 1</v>
      </c>
    </row>
    <row r="13835" customFormat="false" ht="12.8" hidden="false" customHeight="false" outlineLevel="0" collapsed="false">
      <c r="A13835" s="0" t="s">
        <v>12</v>
      </c>
      <c r="B13835" s="0" t="n">
        <v>3900111</v>
      </c>
      <c r="C13835" s="0" t="n">
        <v>3900131</v>
      </c>
      <c r="D13835" s="0" t="s">
        <v>46100</v>
      </c>
      <c r="E13835" s="0" t="s">
        <v>89</v>
      </c>
      <c r="F13835" s="0" t="s">
        <v>15</v>
      </c>
      <c r="G13835" s="0" t="s">
        <v>32</v>
      </c>
      <c r="H13835" s="0" t="n">
        <v>22</v>
      </c>
      <c r="I13835" s="0" t="s">
        <v>46104</v>
      </c>
      <c r="J13835" s="0" t="s">
        <v>46105</v>
      </c>
      <c r="K13835" s="0" t="s">
        <v>46106</v>
      </c>
      <c r="L13835" s="0" t="str">
        <f aca="false">HYPERLINK("https://www.ncbi.nlm.nih.gov/nuccore/CP000304.1?report=graph&amp;tracks=[key:gene_model_track,Options:GeneOnly]&amp;mk=3900091:3900110|offset_1|444444,3900112:3900131|offset_22|00cc00,3900143:3900162|offset_53|444444,3900174:3900193|offset_84|444444&amp;v=3899890:3900393&amp;c=444444", "offset 22")</f>
        <v>offset 22</v>
      </c>
    </row>
    <row r="13836" customFormat="false" ht="12.8" hidden="false" customHeight="false" outlineLevel="0" collapsed="false">
      <c r="A13836" s="0" t="s">
        <v>12</v>
      </c>
      <c r="B13836" s="0" t="n">
        <v>3900142</v>
      </c>
      <c r="C13836" s="0" t="n">
        <v>3900162</v>
      </c>
      <c r="D13836" s="0" t="s">
        <v>46100</v>
      </c>
      <c r="E13836" s="0" t="s">
        <v>89</v>
      </c>
      <c r="F13836" s="0" t="s">
        <v>15</v>
      </c>
      <c r="G13836" s="0" t="s">
        <v>16</v>
      </c>
      <c r="H13836" s="0" t="n">
        <v>53</v>
      </c>
      <c r="I13836" s="0" t="s">
        <v>46107</v>
      </c>
      <c r="J13836" s="0" t="s">
        <v>46108</v>
      </c>
      <c r="K13836" s="0" t="s">
        <v>46109</v>
      </c>
      <c r="L13836" s="0" t="str">
        <f aca="false">HYPERLINK("https://www.ncbi.nlm.nih.gov/nuccore/CP000304.1?report=graph&amp;tracks=[key:gene_model_track,Options:GeneOnly]&amp;mk=3900091:3900110|offset_1|444444,3900112:3900131|offset_22|444444,3900143:3900162|offset_53|00cc00,3900174:3900193|offset_84|444444&amp;v=3899890:3900393&amp;c=444444", "offset 53")</f>
        <v>offset 53</v>
      </c>
    </row>
    <row r="13837" customFormat="false" ht="12.8" hidden="false" customHeight="false" outlineLevel="0" collapsed="false">
      <c r="A13837" s="0" t="s">
        <v>12</v>
      </c>
      <c r="B13837" s="0" t="n">
        <v>3900173</v>
      </c>
      <c r="C13837" s="0" t="n">
        <v>3900193</v>
      </c>
      <c r="D13837" s="0" t="s">
        <v>46100</v>
      </c>
      <c r="E13837" s="0" t="s">
        <v>89</v>
      </c>
      <c r="F13837" s="0" t="s">
        <v>15</v>
      </c>
      <c r="G13837" s="0" t="s">
        <v>36</v>
      </c>
      <c r="H13837" s="0" t="n">
        <v>84</v>
      </c>
      <c r="I13837" s="0" t="s">
        <v>46110</v>
      </c>
      <c r="J13837" s="0" t="s">
        <v>46111</v>
      </c>
      <c r="K13837" s="0" t="s">
        <v>46112</v>
      </c>
      <c r="L13837" s="0" t="str">
        <f aca="false">HYPERLINK("https://www.ncbi.nlm.nih.gov/nuccore/CP000304.1?report=graph&amp;tracks=[key:gene_model_track,Options:GeneOnly]&amp;mk=3900091:3900110|offset_1|444444,3900112:3900131|offset_22|444444,3900143:3900162|offset_53|444444,3900174:3900193|offset_84|00cc00&amp;v=3899890:3900393&amp;c=444444", "offset 84")</f>
        <v>offset 84</v>
      </c>
    </row>
    <row r="13838" customFormat="false" ht="12.8" hidden="false" customHeight="false" outlineLevel="0" collapsed="false">
      <c r="A13838" s="0" t="s">
        <v>12</v>
      </c>
      <c r="B13838" s="0" t="n">
        <v>3900652</v>
      </c>
      <c r="C13838" s="0" t="n">
        <v>3900672</v>
      </c>
      <c r="D13838" s="0" t="s">
        <v>46113</v>
      </c>
      <c r="E13838" s="0" t="s">
        <v>89</v>
      </c>
      <c r="F13838" s="0" t="s">
        <v>15</v>
      </c>
      <c r="G13838" s="0" t="s">
        <v>16</v>
      </c>
      <c r="H13838" s="0" t="n">
        <v>9</v>
      </c>
      <c r="I13838" s="0" t="s">
        <v>46114</v>
      </c>
      <c r="J13838" s="0" t="s">
        <v>46115</v>
      </c>
      <c r="K13838" s="0" t="s">
        <v>46116</v>
      </c>
      <c r="L13838" s="0" t="str">
        <f aca="false">HYPERLINK("https://www.ncbi.nlm.nih.gov/nuccore/CP000304.1?report=graph&amp;tracks=[key:gene_model_track,Options:GeneOnly]&amp;mk=3900653:3900672|offset_9|00cc00,3900673:3900692|offset_29|444444,3900717:3900736|offset_73|444444,3900781:3900800|offset_137|444444&amp;v=3900452:3901000&amp;c=444444", "offset 9")</f>
        <v>offset 9</v>
      </c>
    </row>
    <row r="13839" customFormat="false" ht="12.8" hidden="false" customHeight="false" outlineLevel="0" collapsed="false">
      <c r="A13839" s="0" t="s">
        <v>12</v>
      </c>
      <c r="B13839" s="0" t="n">
        <v>3900672</v>
      </c>
      <c r="C13839" s="0" t="n">
        <v>3900692</v>
      </c>
      <c r="D13839" s="0" t="s">
        <v>46113</v>
      </c>
      <c r="E13839" s="0" t="s">
        <v>89</v>
      </c>
      <c r="F13839" s="0" t="s">
        <v>15</v>
      </c>
      <c r="G13839" s="0" t="s">
        <v>26</v>
      </c>
      <c r="H13839" s="0" t="n">
        <v>29</v>
      </c>
      <c r="I13839" s="0" t="s">
        <v>46117</v>
      </c>
      <c r="J13839" s="0" t="s">
        <v>46118</v>
      </c>
      <c r="K13839" s="0" t="s">
        <v>46119</v>
      </c>
      <c r="L13839" s="0" t="str">
        <f aca="false">HYPERLINK("https://www.ncbi.nlm.nih.gov/nuccore/CP000304.1?report=graph&amp;tracks=[key:gene_model_track,Options:GeneOnly]&amp;mk=3900653:3900672|offset_9|444444,3900673:3900692|offset_29|00cc00,3900717:3900736|offset_73|444444,3900781:3900800|offset_137|444444&amp;v=3900452:3901000&amp;c=444444", "offset 29")</f>
        <v>offset 29</v>
      </c>
    </row>
    <row r="13840" customFormat="false" ht="12.8" hidden="false" customHeight="false" outlineLevel="0" collapsed="false">
      <c r="A13840" s="0" t="s">
        <v>12</v>
      </c>
      <c r="B13840" s="0" t="n">
        <v>3900716</v>
      </c>
      <c r="C13840" s="0" t="n">
        <v>3900736</v>
      </c>
      <c r="D13840" s="0" t="s">
        <v>46113</v>
      </c>
      <c r="E13840" s="0" t="s">
        <v>89</v>
      </c>
      <c r="F13840" s="0" t="s">
        <v>15</v>
      </c>
      <c r="G13840" s="0" t="s">
        <v>32</v>
      </c>
      <c r="H13840" s="0" t="n">
        <v>73</v>
      </c>
      <c r="I13840" s="0" t="s">
        <v>46120</v>
      </c>
      <c r="J13840" s="0" t="s">
        <v>46121</v>
      </c>
      <c r="K13840" s="0" t="s">
        <v>46122</v>
      </c>
      <c r="L13840" s="0" t="str">
        <f aca="false">HYPERLINK("https://www.ncbi.nlm.nih.gov/nuccore/CP000304.1?report=graph&amp;tracks=[key:gene_model_track,Options:GeneOnly]&amp;mk=3900653:3900672|offset_9|444444,3900673:3900692|offset_29|444444,3900717:3900736|offset_73|00cc00,3900781:3900800|offset_137|444444&amp;v=3900452:3901000&amp;c=444444", "offset 73")</f>
        <v>offset 73</v>
      </c>
    </row>
    <row r="13841" customFormat="false" ht="12.8" hidden="false" customHeight="false" outlineLevel="0" collapsed="false">
      <c r="A13841" s="0" t="s">
        <v>12</v>
      </c>
      <c r="B13841" s="0" t="n">
        <v>3900780</v>
      </c>
      <c r="C13841" s="0" t="n">
        <v>3900800</v>
      </c>
      <c r="D13841" s="0" t="s">
        <v>46113</v>
      </c>
      <c r="E13841" s="0" t="s">
        <v>89</v>
      </c>
      <c r="F13841" s="0" t="s">
        <v>15</v>
      </c>
      <c r="G13841" s="0" t="s">
        <v>26</v>
      </c>
      <c r="H13841" s="0" t="n">
        <v>137</v>
      </c>
      <c r="I13841" s="0" t="s">
        <v>46123</v>
      </c>
      <c r="J13841" s="0" t="s">
        <v>46124</v>
      </c>
      <c r="K13841" s="0" t="s">
        <v>46125</v>
      </c>
      <c r="L13841" s="0" t="str">
        <f aca="false">HYPERLINK("https://www.ncbi.nlm.nih.gov/nuccore/CP000304.1?report=graph&amp;tracks=[key:gene_model_track,Options:GeneOnly]&amp;mk=3900653:3900672|offset_9|444444,3900673:3900692|offset_29|444444,3900717:3900736|offset_73|444444,3900781:3900800|offset_137|00cc00&amp;v=3900452:3901000&amp;c=444444", "offset 137")</f>
        <v>offset 137</v>
      </c>
    </row>
    <row r="13842" customFormat="false" ht="12.8" hidden="false" customHeight="false" outlineLevel="0" collapsed="false">
      <c r="A13842" s="0" t="s">
        <v>12</v>
      </c>
      <c r="B13842" s="0" t="n">
        <v>3903175</v>
      </c>
      <c r="C13842" s="0" t="n">
        <v>3903195</v>
      </c>
      <c r="D13842" s="0" t="s">
        <v>46126</v>
      </c>
      <c r="E13842" s="0" t="s">
        <v>46127</v>
      </c>
      <c r="F13842" s="0" t="s">
        <v>90</v>
      </c>
      <c r="G13842" s="0" t="s">
        <v>36</v>
      </c>
      <c r="H13842" s="0" t="n">
        <v>10</v>
      </c>
      <c r="I13842" s="0" t="s">
        <v>46128</v>
      </c>
      <c r="J13842" s="0" t="s">
        <v>46129</v>
      </c>
      <c r="K13842" s="0" t="s">
        <v>46130</v>
      </c>
      <c r="L13842" s="0" t="str">
        <f aca="false">HYPERLINK("https://www.ncbi.nlm.nih.gov/nuccore/CP000304.1?report=graph&amp;tracks=[key:gene_model_track,Options:GeneOnly]&amp;mk=3903176:3903195|offset_10|00cc00,3903130:3903149|offset_56|444444,3903061:3903080|offset_125|444444,3903041:3903060|offset_145|444444&amp;v=3902975:3903260&amp;c=444444", "offset 10")</f>
        <v>offset 10</v>
      </c>
    </row>
    <row r="13843" customFormat="false" ht="12.8" hidden="false" customHeight="false" outlineLevel="0" collapsed="false">
      <c r="A13843" s="0" t="s">
        <v>12</v>
      </c>
      <c r="B13843" s="0" t="n">
        <v>3903129</v>
      </c>
      <c r="C13843" s="0" t="n">
        <v>3903149</v>
      </c>
      <c r="D13843" s="0" t="s">
        <v>46126</v>
      </c>
      <c r="E13843" s="0" t="s">
        <v>46127</v>
      </c>
      <c r="F13843" s="0" t="s">
        <v>90</v>
      </c>
      <c r="G13843" s="0" t="s">
        <v>32</v>
      </c>
      <c r="H13843" s="0" t="n">
        <v>56</v>
      </c>
      <c r="I13843" s="0" t="s">
        <v>46131</v>
      </c>
      <c r="J13843" s="0" t="s">
        <v>46132</v>
      </c>
      <c r="K13843" s="0" t="s">
        <v>46133</v>
      </c>
      <c r="L13843" s="0" t="str">
        <f aca="false">HYPERLINK("https://www.ncbi.nlm.nih.gov/nuccore/CP000304.1?report=graph&amp;tracks=[key:gene_model_track,Options:GeneOnly]&amp;mk=3903176:3903195|offset_10|444444,3903130:3903149|offset_56|00cc00,3903061:3903080|offset_125|444444,3903041:3903060|offset_145|444444&amp;v=3902975:3903260&amp;c=444444", "offset 56")</f>
        <v>offset 56</v>
      </c>
    </row>
    <row r="13844" customFormat="false" ht="12.8" hidden="false" customHeight="false" outlineLevel="0" collapsed="false">
      <c r="A13844" s="0" t="s">
        <v>12</v>
      </c>
      <c r="B13844" s="0" t="n">
        <v>3903060</v>
      </c>
      <c r="C13844" s="0" t="n">
        <v>3903080</v>
      </c>
      <c r="D13844" s="0" t="s">
        <v>46126</v>
      </c>
      <c r="E13844" s="0" t="s">
        <v>46127</v>
      </c>
      <c r="F13844" s="0" t="s">
        <v>90</v>
      </c>
      <c r="G13844" s="0" t="s">
        <v>26</v>
      </c>
      <c r="H13844" s="0" t="n">
        <v>125</v>
      </c>
      <c r="I13844" s="0" t="s">
        <v>46134</v>
      </c>
      <c r="J13844" s="0" t="s">
        <v>46135</v>
      </c>
      <c r="K13844" s="0" t="s">
        <v>46136</v>
      </c>
      <c r="L13844" s="0" t="str">
        <f aca="false">HYPERLINK("https://www.ncbi.nlm.nih.gov/nuccore/CP000304.1?report=graph&amp;tracks=[key:gene_model_track,Options:GeneOnly]&amp;mk=3903176:3903195|offset_10|444444,3903130:3903149|offset_56|444444,3903061:3903080|offset_125|00cc00,3903041:3903060|offset_145|444444&amp;v=3902975:3903260&amp;c=444444", "offset 125")</f>
        <v>offset 125</v>
      </c>
    </row>
    <row r="13845" customFormat="false" ht="12.8" hidden="false" customHeight="false" outlineLevel="0" collapsed="false">
      <c r="A13845" s="0" t="s">
        <v>12</v>
      </c>
      <c r="B13845" s="0" t="n">
        <v>3903040</v>
      </c>
      <c r="C13845" s="0" t="n">
        <v>3903060</v>
      </c>
      <c r="D13845" s="0" t="s">
        <v>46126</v>
      </c>
      <c r="E13845" s="0" t="s">
        <v>46127</v>
      </c>
      <c r="F13845" s="0" t="s">
        <v>90</v>
      </c>
      <c r="G13845" s="0" t="s">
        <v>16</v>
      </c>
      <c r="H13845" s="0" t="n">
        <v>145</v>
      </c>
      <c r="I13845" s="0" t="s">
        <v>46137</v>
      </c>
      <c r="J13845" s="0" t="s">
        <v>46138</v>
      </c>
      <c r="K13845" s="0" t="s">
        <v>46139</v>
      </c>
      <c r="L13845" s="0" t="str">
        <f aca="false">HYPERLINK("https://www.ncbi.nlm.nih.gov/nuccore/CP000304.1?report=graph&amp;tracks=[key:gene_model_track,Options:GeneOnly]&amp;mk=3903176:3903195|offset_10|444444,3903130:3903149|offset_56|444444,3903061:3903080|offset_125|444444,3903041:3903060|offset_145|00cc00&amp;v=3902975:3903260&amp;c=444444", "offset 145")</f>
        <v>offset 145</v>
      </c>
    </row>
    <row r="13846" customFormat="false" ht="12.8" hidden="false" customHeight="false" outlineLevel="0" collapsed="false">
      <c r="A13846" s="0" t="s">
        <v>12</v>
      </c>
      <c r="B13846" s="0" t="n">
        <v>3903405</v>
      </c>
      <c r="C13846" s="0" t="n">
        <v>3903425</v>
      </c>
      <c r="D13846" s="0" t="s">
        <v>46140</v>
      </c>
      <c r="E13846" s="0" t="s">
        <v>89</v>
      </c>
      <c r="F13846" s="0" t="s">
        <v>15</v>
      </c>
      <c r="G13846" s="0" t="s">
        <v>16</v>
      </c>
      <c r="H13846" s="0" t="n">
        <v>0</v>
      </c>
      <c r="I13846" s="0" t="s">
        <v>46141</v>
      </c>
      <c r="J13846" s="0" t="s">
        <v>46142</v>
      </c>
      <c r="K13846" s="0" t="s">
        <v>46143</v>
      </c>
      <c r="L13846" s="0" t="str">
        <f aca="false">HYPERLINK("https://www.ncbi.nlm.nih.gov/nuccore/CP000304.1?report=graph&amp;tracks=[key:gene_model_track,Options:GeneOnly]&amp;mk=3903406:3903425|offset_0|00cc00,3903429:3903448|offset_23|444444,3903472:3903491|offset_66|444444,3903500:3903519|offset_94|444444&amp;v=3903205:3903719&amp;c=444444", "offset 0")</f>
        <v>offset 0</v>
      </c>
    </row>
    <row r="13847" customFormat="false" ht="12.8" hidden="false" customHeight="false" outlineLevel="0" collapsed="false">
      <c r="A13847" s="0" t="s">
        <v>12</v>
      </c>
      <c r="B13847" s="0" t="n">
        <v>3903428</v>
      </c>
      <c r="C13847" s="0" t="n">
        <v>3903448</v>
      </c>
      <c r="D13847" s="0" t="s">
        <v>46140</v>
      </c>
      <c r="E13847" s="0" t="s">
        <v>89</v>
      </c>
      <c r="F13847" s="0" t="s">
        <v>15</v>
      </c>
      <c r="G13847" s="0" t="s">
        <v>36</v>
      </c>
      <c r="H13847" s="0" t="n">
        <v>23</v>
      </c>
      <c r="I13847" s="0" t="s">
        <v>46144</v>
      </c>
      <c r="J13847" s="0" t="s">
        <v>46145</v>
      </c>
      <c r="K13847" s="0" t="s">
        <v>46146</v>
      </c>
      <c r="L13847" s="0" t="str">
        <f aca="false">HYPERLINK("https://www.ncbi.nlm.nih.gov/nuccore/CP000304.1?report=graph&amp;tracks=[key:gene_model_track,Options:GeneOnly]&amp;mk=3903406:3903425|offset_0|444444,3903429:3903448|offset_23|00cc00,3903472:3903491|offset_66|444444,3903500:3903519|offset_94|444444&amp;v=3903205:3903719&amp;c=444444", "offset 23")</f>
        <v>offset 23</v>
      </c>
    </row>
    <row r="13848" customFormat="false" ht="12.8" hidden="false" customHeight="false" outlineLevel="0" collapsed="false">
      <c r="A13848" s="0" t="s">
        <v>12</v>
      </c>
      <c r="B13848" s="0" t="n">
        <v>3903471</v>
      </c>
      <c r="C13848" s="0" t="n">
        <v>3903491</v>
      </c>
      <c r="D13848" s="0" t="s">
        <v>46140</v>
      </c>
      <c r="E13848" s="0" t="s">
        <v>89</v>
      </c>
      <c r="F13848" s="0" t="s">
        <v>15</v>
      </c>
      <c r="G13848" s="0" t="s">
        <v>16</v>
      </c>
      <c r="H13848" s="0" t="n">
        <v>66</v>
      </c>
      <c r="I13848" s="0" t="s">
        <v>46147</v>
      </c>
      <c r="J13848" s="0" t="s">
        <v>46148</v>
      </c>
      <c r="K13848" s="0" t="s">
        <v>46149</v>
      </c>
      <c r="L13848" s="0" t="str">
        <f aca="false">HYPERLINK("https://www.ncbi.nlm.nih.gov/nuccore/CP000304.1?report=graph&amp;tracks=[key:gene_model_track,Options:GeneOnly]&amp;mk=3903406:3903425|offset_0|444444,3903429:3903448|offset_23|444444,3903472:3903491|offset_66|00cc00,3903500:3903519|offset_94|444444&amp;v=3903205:3903719&amp;c=444444", "offset 66")</f>
        <v>offset 66</v>
      </c>
    </row>
    <row r="13849" customFormat="false" ht="12.8" hidden="false" customHeight="false" outlineLevel="0" collapsed="false">
      <c r="A13849" s="0" t="s">
        <v>12</v>
      </c>
      <c r="B13849" s="0" t="n">
        <v>3903499</v>
      </c>
      <c r="C13849" s="0" t="n">
        <v>3903519</v>
      </c>
      <c r="D13849" s="0" t="s">
        <v>46140</v>
      </c>
      <c r="E13849" s="0" t="s">
        <v>89</v>
      </c>
      <c r="F13849" s="0" t="s">
        <v>15</v>
      </c>
      <c r="G13849" s="0" t="s">
        <v>16</v>
      </c>
      <c r="H13849" s="0" t="n">
        <v>94</v>
      </c>
      <c r="I13849" s="0" t="s">
        <v>46150</v>
      </c>
      <c r="J13849" s="0" t="s">
        <v>46151</v>
      </c>
      <c r="K13849" s="0" t="s">
        <v>46152</v>
      </c>
      <c r="L13849" s="0" t="str">
        <f aca="false">HYPERLINK("https://www.ncbi.nlm.nih.gov/nuccore/CP000304.1?report=graph&amp;tracks=[key:gene_model_track,Options:GeneOnly]&amp;mk=3903406:3903425|offset_0|444444,3903429:3903448|offset_23|444444,3903472:3903491|offset_66|444444,3903500:3903519|offset_94|00cc00&amp;v=3903205:3903719&amp;c=444444", "offset 94")</f>
        <v>offset 94</v>
      </c>
    </row>
    <row r="13850" customFormat="false" ht="12.8" hidden="false" customHeight="false" outlineLevel="0" collapsed="false">
      <c r="A13850" s="0" t="s">
        <v>12</v>
      </c>
      <c r="B13850" s="0" t="n">
        <v>3904489</v>
      </c>
      <c r="C13850" s="0" t="n">
        <v>3904509</v>
      </c>
      <c r="D13850" s="0" t="s">
        <v>46153</v>
      </c>
      <c r="E13850" s="0" t="s">
        <v>89</v>
      </c>
      <c r="F13850" s="0" t="s">
        <v>15</v>
      </c>
      <c r="G13850" s="0" t="s">
        <v>16</v>
      </c>
      <c r="H13850" s="0" t="n">
        <v>0</v>
      </c>
      <c r="I13850" s="0" t="s">
        <v>46154</v>
      </c>
      <c r="J13850" s="0" t="s">
        <v>46155</v>
      </c>
      <c r="K13850" s="0" t="s">
        <v>46156</v>
      </c>
      <c r="L13850" s="0" t="str">
        <f aca="false">HYPERLINK("https://www.ncbi.nlm.nih.gov/nuccore/CP000304.1?report=graph&amp;tracks=[key:gene_model_track,Options:GeneOnly]&amp;mk=3904490:3904509|offset_0|00cc00,3904512:3904531|offset_22|444444,3904551:3904570|offset_61|444444,3904575:3904594|offset_85|444444&amp;v=3904289:3904794&amp;c=444444", "offset 0")</f>
        <v>offset 0</v>
      </c>
    </row>
    <row r="13851" customFormat="false" ht="12.8" hidden="false" customHeight="false" outlineLevel="0" collapsed="false">
      <c r="A13851" s="0" t="s">
        <v>12</v>
      </c>
      <c r="B13851" s="0" t="n">
        <v>3904511</v>
      </c>
      <c r="C13851" s="0" t="n">
        <v>3904531</v>
      </c>
      <c r="D13851" s="0" t="s">
        <v>46153</v>
      </c>
      <c r="E13851" s="0" t="s">
        <v>89</v>
      </c>
      <c r="F13851" s="0" t="s">
        <v>15</v>
      </c>
      <c r="G13851" s="0" t="s">
        <v>32</v>
      </c>
      <c r="H13851" s="0" t="n">
        <v>22</v>
      </c>
      <c r="I13851" s="0" t="s">
        <v>46157</v>
      </c>
      <c r="J13851" s="0" t="s">
        <v>46158</v>
      </c>
      <c r="K13851" s="0" t="s">
        <v>46159</v>
      </c>
      <c r="L13851" s="0" t="str">
        <f aca="false">HYPERLINK("https://www.ncbi.nlm.nih.gov/nuccore/CP000304.1?report=graph&amp;tracks=[key:gene_model_track,Options:GeneOnly]&amp;mk=3904490:3904509|offset_0|444444,3904512:3904531|offset_22|00cc00,3904551:3904570|offset_61|444444,3904575:3904594|offset_85|444444&amp;v=3904289:3904794&amp;c=444444", "offset 22")</f>
        <v>offset 22</v>
      </c>
    </row>
    <row r="13852" customFormat="false" ht="12.8" hidden="false" customHeight="false" outlineLevel="0" collapsed="false">
      <c r="A13852" s="0" t="s">
        <v>12</v>
      </c>
      <c r="B13852" s="0" t="n">
        <v>3904550</v>
      </c>
      <c r="C13852" s="0" t="n">
        <v>3904570</v>
      </c>
      <c r="D13852" s="0" t="s">
        <v>46153</v>
      </c>
      <c r="E13852" s="0" t="s">
        <v>89</v>
      </c>
      <c r="F13852" s="0" t="s">
        <v>15</v>
      </c>
      <c r="G13852" s="0" t="s">
        <v>26</v>
      </c>
      <c r="H13852" s="0" t="n">
        <v>61</v>
      </c>
      <c r="I13852" s="0" t="s">
        <v>46160</v>
      </c>
      <c r="J13852" s="0" t="s">
        <v>46161</v>
      </c>
      <c r="K13852" s="0" t="s">
        <v>46162</v>
      </c>
      <c r="L13852" s="0" t="str">
        <f aca="false">HYPERLINK("https://www.ncbi.nlm.nih.gov/nuccore/CP000304.1?report=graph&amp;tracks=[key:gene_model_track,Options:GeneOnly]&amp;mk=3904490:3904509|offset_0|444444,3904512:3904531|offset_22|444444,3904551:3904570|offset_61|00cc00,3904575:3904594|offset_85|444444&amp;v=3904289:3904794&amp;c=444444", "offset 61")</f>
        <v>offset 61</v>
      </c>
    </row>
    <row r="13853" customFormat="false" ht="12.8" hidden="false" customHeight="false" outlineLevel="0" collapsed="false">
      <c r="A13853" s="0" t="s">
        <v>12</v>
      </c>
      <c r="B13853" s="0" t="n">
        <v>3904574</v>
      </c>
      <c r="C13853" s="0" t="n">
        <v>3904594</v>
      </c>
      <c r="D13853" s="0" t="s">
        <v>46153</v>
      </c>
      <c r="E13853" s="0" t="s">
        <v>89</v>
      </c>
      <c r="F13853" s="0" t="s">
        <v>15</v>
      </c>
      <c r="G13853" s="0" t="s">
        <v>26</v>
      </c>
      <c r="H13853" s="0" t="n">
        <v>85</v>
      </c>
      <c r="I13853" s="0" t="s">
        <v>46163</v>
      </c>
      <c r="J13853" s="0" t="s">
        <v>46164</v>
      </c>
      <c r="K13853" s="0" t="s">
        <v>46165</v>
      </c>
      <c r="L13853" s="0" t="str">
        <f aca="false">HYPERLINK("https://www.ncbi.nlm.nih.gov/nuccore/CP000304.1?report=graph&amp;tracks=[key:gene_model_track,Options:GeneOnly]&amp;mk=3904490:3904509|offset_0|444444,3904512:3904531|offset_22|444444,3904551:3904570|offset_61|444444,3904575:3904594|offset_85|00cc00&amp;v=3904289:3904794&amp;c=444444", "offset 85")</f>
        <v>offset 85</v>
      </c>
    </row>
    <row r="13854" customFormat="false" ht="12.8" hidden="false" customHeight="false" outlineLevel="0" collapsed="false">
      <c r="A13854" s="0" t="s">
        <v>12</v>
      </c>
      <c r="B13854" s="0" t="n">
        <v>3907540</v>
      </c>
      <c r="C13854" s="0" t="n">
        <v>3907560</v>
      </c>
      <c r="D13854" s="0" t="s">
        <v>46166</v>
      </c>
      <c r="E13854" s="0" t="s">
        <v>89</v>
      </c>
      <c r="F13854" s="0" t="s">
        <v>15</v>
      </c>
      <c r="G13854" s="0" t="s">
        <v>32</v>
      </c>
      <c r="H13854" s="0" t="n">
        <v>10</v>
      </c>
      <c r="I13854" s="0" t="s">
        <v>46167</v>
      </c>
      <c r="J13854" s="0" t="s">
        <v>46168</v>
      </c>
      <c r="K13854" s="0" t="s">
        <v>46169</v>
      </c>
      <c r="L13854" s="0" t="str">
        <f aca="false">HYPERLINK("https://www.ncbi.nlm.nih.gov/nuccore/CP000304.1?report=graph&amp;tracks=[key:gene_model_track,Options:GeneOnly]&amp;mk=3907541:3907560|offset_10|00cc00,3907571:3907590|offset_40|444444,3907592:3907611|offset_61|444444,3907615:3907634|offset_84|444444&amp;v=3907340:3907834&amp;c=444444", "offset 10")</f>
        <v>offset 10</v>
      </c>
    </row>
    <row r="13855" customFormat="false" ht="12.8" hidden="false" customHeight="false" outlineLevel="0" collapsed="false">
      <c r="A13855" s="0" t="s">
        <v>12</v>
      </c>
      <c r="B13855" s="0" t="n">
        <v>3907570</v>
      </c>
      <c r="C13855" s="0" t="n">
        <v>3907590</v>
      </c>
      <c r="D13855" s="0" t="s">
        <v>46166</v>
      </c>
      <c r="E13855" s="0" t="s">
        <v>89</v>
      </c>
      <c r="F13855" s="0" t="s">
        <v>15</v>
      </c>
      <c r="G13855" s="0" t="s">
        <v>36</v>
      </c>
      <c r="H13855" s="0" t="n">
        <v>40</v>
      </c>
      <c r="I13855" s="0" t="s">
        <v>46170</v>
      </c>
      <c r="J13855" s="0" t="s">
        <v>46171</v>
      </c>
      <c r="K13855" s="0" t="s">
        <v>46172</v>
      </c>
      <c r="L13855" s="0" t="str">
        <f aca="false">HYPERLINK("https://www.ncbi.nlm.nih.gov/nuccore/CP000304.1?report=graph&amp;tracks=[key:gene_model_track,Options:GeneOnly]&amp;mk=3907541:3907560|offset_10|444444,3907571:3907590|offset_40|00cc00,3907592:3907611|offset_61|444444,3907615:3907634|offset_84|444444&amp;v=3907340:3907834&amp;c=444444", "offset 40")</f>
        <v>offset 40</v>
      </c>
    </row>
    <row r="13856" customFormat="false" ht="12.8" hidden="false" customHeight="false" outlineLevel="0" collapsed="false">
      <c r="A13856" s="0" t="s">
        <v>12</v>
      </c>
      <c r="B13856" s="0" t="n">
        <v>3907591</v>
      </c>
      <c r="C13856" s="0" t="n">
        <v>3907611</v>
      </c>
      <c r="D13856" s="0" t="s">
        <v>46166</v>
      </c>
      <c r="E13856" s="0" t="s">
        <v>89</v>
      </c>
      <c r="F13856" s="0" t="s">
        <v>15</v>
      </c>
      <c r="G13856" s="0" t="s">
        <v>32</v>
      </c>
      <c r="H13856" s="0" t="n">
        <v>61</v>
      </c>
      <c r="I13856" s="0" t="s">
        <v>46173</v>
      </c>
      <c r="J13856" s="0" t="s">
        <v>46174</v>
      </c>
      <c r="K13856" s="0" t="s">
        <v>46175</v>
      </c>
      <c r="L13856" s="0" t="str">
        <f aca="false">HYPERLINK("https://www.ncbi.nlm.nih.gov/nuccore/CP000304.1?report=graph&amp;tracks=[key:gene_model_track,Options:GeneOnly]&amp;mk=3907541:3907560|offset_10|444444,3907571:3907590|offset_40|444444,3907592:3907611|offset_61|00cc00,3907615:3907634|offset_84|444444&amp;v=3907340:3907834&amp;c=444444", "offset 61")</f>
        <v>offset 61</v>
      </c>
    </row>
    <row r="13857" customFormat="false" ht="12.8" hidden="false" customHeight="false" outlineLevel="0" collapsed="false">
      <c r="A13857" s="0" t="s">
        <v>12</v>
      </c>
      <c r="B13857" s="0" t="n">
        <v>3907614</v>
      </c>
      <c r="C13857" s="0" t="n">
        <v>3907634</v>
      </c>
      <c r="D13857" s="0" t="s">
        <v>46166</v>
      </c>
      <c r="E13857" s="0" t="s">
        <v>89</v>
      </c>
      <c r="F13857" s="0" t="s">
        <v>15</v>
      </c>
      <c r="G13857" s="0" t="s">
        <v>16</v>
      </c>
      <c r="H13857" s="0" t="n">
        <v>84</v>
      </c>
      <c r="I13857" s="0" t="s">
        <v>46176</v>
      </c>
      <c r="J13857" s="0" t="s">
        <v>46177</v>
      </c>
      <c r="K13857" s="0" t="s">
        <v>46178</v>
      </c>
      <c r="L13857" s="0" t="str">
        <f aca="false">HYPERLINK("https://www.ncbi.nlm.nih.gov/nuccore/CP000304.1?report=graph&amp;tracks=[key:gene_model_track,Options:GeneOnly]&amp;mk=3907541:3907560|offset_10|444444,3907571:3907590|offset_40|444444,3907592:3907611|offset_61|444444,3907615:3907634|offset_84|00cc00&amp;v=3907340:3907834&amp;c=444444", "offset 84")</f>
        <v>offset 84</v>
      </c>
    </row>
    <row r="13858" customFormat="false" ht="12.8" hidden="false" customHeight="false" outlineLevel="0" collapsed="false">
      <c r="A13858" s="0" t="s">
        <v>12</v>
      </c>
      <c r="B13858" s="0" t="n">
        <v>3910045</v>
      </c>
      <c r="C13858" s="0" t="n">
        <v>3910065</v>
      </c>
      <c r="D13858" s="0" t="s">
        <v>46179</v>
      </c>
      <c r="E13858" s="0" t="s">
        <v>89</v>
      </c>
      <c r="F13858" s="0" t="s">
        <v>90</v>
      </c>
      <c r="G13858" s="0" t="s">
        <v>32</v>
      </c>
      <c r="H13858" s="0" t="n">
        <v>13</v>
      </c>
      <c r="I13858" s="0" t="s">
        <v>46180</v>
      </c>
      <c r="J13858" s="0" t="s">
        <v>46181</v>
      </c>
      <c r="K13858" s="0" t="s">
        <v>46182</v>
      </c>
      <c r="L13858" s="0" t="str">
        <f aca="false">HYPERLINK("https://www.ncbi.nlm.nih.gov/nuccore/CP000304.1?report=graph&amp;tracks=[key:gene_model_track,Options:GeneOnly]&amp;mk=3910046:3910065|offset_13|00cc00,3910003:3910022|offset_56|444444,3909983:3910002|offset_76|444444,3909956:3909975|offset_103|444444&amp;v=3909845:3910175&amp;c=444444", "offset 13")</f>
        <v>offset 13</v>
      </c>
    </row>
    <row r="13859" customFormat="false" ht="12.8" hidden="false" customHeight="false" outlineLevel="0" collapsed="false">
      <c r="A13859" s="0" t="s">
        <v>12</v>
      </c>
      <c r="B13859" s="0" t="n">
        <v>3910002</v>
      </c>
      <c r="C13859" s="0" t="n">
        <v>3910022</v>
      </c>
      <c r="D13859" s="0" t="s">
        <v>46179</v>
      </c>
      <c r="E13859" s="0" t="s">
        <v>89</v>
      </c>
      <c r="F13859" s="0" t="s">
        <v>90</v>
      </c>
      <c r="G13859" s="0" t="s">
        <v>16</v>
      </c>
      <c r="H13859" s="0" t="n">
        <v>56</v>
      </c>
      <c r="I13859" s="0" t="s">
        <v>46183</v>
      </c>
      <c r="J13859" s="0" t="s">
        <v>46184</v>
      </c>
      <c r="K13859" s="0" t="s">
        <v>46185</v>
      </c>
      <c r="L13859" s="0" t="str">
        <f aca="false">HYPERLINK("https://www.ncbi.nlm.nih.gov/nuccore/CP000304.1?report=graph&amp;tracks=[key:gene_model_track,Options:GeneOnly]&amp;mk=3910046:3910065|offset_13|444444,3910003:3910022|offset_56|00cc00,3909983:3910002|offset_76|444444,3909956:3909975|offset_103|444444&amp;v=3909845:3910175&amp;c=444444", "offset 56")</f>
        <v>offset 56</v>
      </c>
    </row>
    <row r="13860" customFormat="false" ht="12.8" hidden="false" customHeight="false" outlineLevel="0" collapsed="false">
      <c r="A13860" s="0" t="s">
        <v>12</v>
      </c>
      <c r="B13860" s="0" t="n">
        <v>3909982</v>
      </c>
      <c r="C13860" s="0" t="n">
        <v>3910002</v>
      </c>
      <c r="D13860" s="0" t="s">
        <v>46179</v>
      </c>
      <c r="E13860" s="0" t="s">
        <v>89</v>
      </c>
      <c r="F13860" s="0" t="s">
        <v>90</v>
      </c>
      <c r="G13860" s="0" t="s">
        <v>26</v>
      </c>
      <c r="H13860" s="0" t="n">
        <v>76</v>
      </c>
      <c r="I13860" s="0" t="s">
        <v>46186</v>
      </c>
      <c r="J13860" s="0" t="s">
        <v>46187</v>
      </c>
      <c r="K13860" s="0" t="s">
        <v>46188</v>
      </c>
      <c r="L13860" s="0" t="str">
        <f aca="false">HYPERLINK("https://www.ncbi.nlm.nih.gov/nuccore/CP000304.1?report=graph&amp;tracks=[key:gene_model_track,Options:GeneOnly]&amp;mk=3910046:3910065|offset_13|444444,3910003:3910022|offset_56|444444,3909983:3910002|offset_76|00cc00,3909956:3909975|offset_103|444444&amp;v=3909845:3910175&amp;c=444444", "offset 76")</f>
        <v>offset 76</v>
      </c>
    </row>
    <row r="13861" customFormat="false" ht="12.8" hidden="false" customHeight="false" outlineLevel="0" collapsed="false">
      <c r="A13861" s="0" t="s">
        <v>12</v>
      </c>
      <c r="B13861" s="0" t="n">
        <v>3909955</v>
      </c>
      <c r="C13861" s="0" t="n">
        <v>3909975</v>
      </c>
      <c r="D13861" s="0" t="s">
        <v>46179</v>
      </c>
      <c r="E13861" s="0" t="s">
        <v>89</v>
      </c>
      <c r="F13861" s="0" t="s">
        <v>90</v>
      </c>
      <c r="G13861" s="0" t="s">
        <v>26</v>
      </c>
      <c r="H13861" s="0" t="n">
        <v>103</v>
      </c>
      <c r="I13861" s="0" t="s">
        <v>46189</v>
      </c>
      <c r="J13861" s="0" t="s">
        <v>46190</v>
      </c>
      <c r="K13861" s="0" t="s">
        <v>46191</v>
      </c>
      <c r="L13861" s="0" t="str">
        <f aca="false">HYPERLINK("https://www.ncbi.nlm.nih.gov/nuccore/CP000304.1?report=graph&amp;tracks=[key:gene_model_track,Options:GeneOnly]&amp;mk=3910046:3910065|offset_13|444444,3910003:3910022|offset_56|444444,3909983:3910002|offset_76|444444,3909956:3909975|offset_103|00cc00&amp;v=3909845:3910175&amp;c=444444", "offset 103")</f>
        <v>offset 103</v>
      </c>
    </row>
    <row r="13862" customFormat="false" ht="12.8" hidden="false" customHeight="false" outlineLevel="0" collapsed="false">
      <c r="A13862" s="0" t="s">
        <v>12</v>
      </c>
      <c r="B13862" s="0" t="n">
        <v>3910138</v>
      </c>
      <c r="C13862" s="0" t="n">
        <v>3910158</v>
      </c>
      <c r="D13862" s="0" t="s">
        <v>46192</v>
      </c>
      <c r="E13862" s="0" t="s">
        <v>89</v>
      </c>
      <c r="F13862" s="0" t="s">
        <v>15</v>
      </c>
      <c r="G13862" s="0" t="s">
        <v>16</v>
      </c>
      <c r="H13862" s="0" t="n">
        <v>17</v>
      </c>
      <c r="I13862" s="0" t="s">
        <v>46193</v>
      </c>
      <c r="J13862" s="0" t="s">
        <v>46194</v>
      </c>
      <c r="K13862" s="0" t="s">
        <v>46195</v>
      </c>
      <c r="L13862" s="0" t="str">
        <f aca="false">HYPERLINK("https://www.ncbi.nlm.nih.gov/nuccore/CP000304.1?report=graph&amp;tracks=[key:gene_model_track,Options:GeneOnly]&amp;mk=3910139:3910158|offset_17|00cc00,3910171:3910190|offset_49|444444,3910198:3910217|offset_76|444444,3910223:3910242|offset_101|444444&amp;v=3909938:3910442&amp;c=444444", "offset 17")</f>
        <v>offset 17</v>
      </c>
    </row>
    <row r="13863" customFormat="false" ht="12.8" hidden="false" customHeight="false" outlineLevel="0" collapsed="false">
      <c r="A13863" s="0" t="s">
        <v>12</v>
      </c>
      <c r="B13863" s="0" t="n">
        <v>3910170</v>
      </c>
      <c r="C13863" s="0" t="n">
        <v>3910190</v>
      </c>
      <c r="D13863" s="0" t="s">
        <v>46192</v>
      </c>
      <c r="E13863" s="0" t="s">
        <v>89</v>
      </c>
      <c r="F13863" s="0" t="s">
        <v>15</v>
      </c>
      <c r="G13863" s="0" t="s">
        <v>16</v>
      </c>
      <c r="H13863" s="0" t="n">
        <v>49</v>
      </c>
      <c r="I13863" s="0" t="s">
        <v>46196</v>
      </c>
      <c r="J13863" s="0" t="s">
        <v>46197</v>
      </c>
      <c r="K13863" s="0" t="s">
        <v>46198</v>
      </c>
      <c r="L13863" s="0" t="str">
        <f aca="false">HYPERLINK("https://www.ncbi.nlm.nih.gov/nuccore/CP000304.1?report=graph&amp;tracks=[key:gene_model_track,Options:GeneOnly]&amp;mk=3910139:3910158|offset_17|444444,3910171:3910190|offset_49|00cc00,3910198:3910217|offset_76|444444,3910223:3910242|offset_101|444444&amp;v=3909938:3910442&amp;c=444444", "offset 49")</f>
        <v>offset 49</v>
      </c>
    </row>
    <row r="13864" customFormat="false" ht="12.8" hidden="false" customHeight="false" outlineLevel="0" collapsed="false">
      <c r="A13864" s="0" t="s">
        <v>12</v>
      </c>
      <c r="B13864" s="0" t="n">
        <v>3910197</v>
      </c>
      <c r="C13864" s="0" t="n">
        <v>3910217</v>
      </c>
      <c r="D13864" s="0" t="s">
        <v>46192</v>
      </c>
      <c r="E13864" s="0" t="s">
        <v>89</v>
      </c>
      <c r="F13864" s="0" t="s">
        <v>15</v>
      </c>
      <c r="G13864" s="0" t="s">
        <v>16</v>
      </c>
      <c r="H13864" s="0" t="n">
        <v>76</v>
      </c>
      <c r="I13864" s="0" t="s">
        <v>46199</v>
      </c>
      <c r="J13864" s="0" t="s">
        <v>46200</v>
      </c>
      <c r="K13864" s="0" t="s">
        <v>46201</v>
      </c>
      <c r="L13864" s="0" t="str">
        <f aca="false">HYPERLINK("https://www.ncbi.nlm.nih.gov/nuccore/CP000304.1?report=graph&amp;tracks=[key:gene_model_track,Options:GeneOnly]&amp;mk=3910139:3910158|offset_17|444444,3910171:3910190|offset_49|444444,3910198:3910217|offset_76|00cc00,3910223:3910242|offset_101|444444&amp;v=3909938:3910442&amp;c=444444", "offset 76")</f>
        <v>offset 76</v>
      </c>
    </row>
    <row r="13865" customFormat="false" ht="12.8" hidden="false" customHeight="false" outlineLevel="0" collapsed="false">
      <c r="A13865" s="0" t="s">
        <v>12</v>
      </c>
      <c r="B13865" s="0" t="n">
        <v>3910222</v>
      </c>
      <c r="C13865" s="0" t="n">
        <v>3910242</v>
      </c>
      <c r="D13865" s="0" t="s">
        <v>46192</v>
      </c>
      <c r="E13865" s="0" t="s">
        <v>89</v>
      </c>
      <c r="F13865" s="0" t="s">
        <v>15</v>
      </c>
      <c r="G13865" s="0" t="s">
        <v>16</v>
      </c>
      <c r="H13865" s="0" t="n">
        <v>101</v>
      </c>
      <c r="I13865" s="0" t="s">
        <v>46202</v>
      </c>
      <c r="J13865" s="0" t="s">
        <v>46203</v>
      </c>
      <c r="K13865" s="0" t="s">
        <v>46204</v>
      </c>
      <c r="L13865" s="0" t="str">
        <f aca="false">HYPERLINK("https://www.ncbi.nlm.nih.gov/nuccore/CP000304.1?report=graph&amp;tracks=[key:gene_model_track,Options:GeneOnly]&amp;mk=3910139:3910158|offset_17|444444,3910171:3910190|offset_49|444444,3910198:3910217|offset_76|444444,3910223:3910242|offset_101|00cc00&amp;v=3909938:3910442&amp;c=444444", "offset 101")</f>
        <v>offset 101</v>
      </c>
    </row>
    <row r="13866" customFormat="false" ht="12.8" hidden="false" customHeight="false" outlineLevel="0" collapsed="false">
      <c r="A13866" s="0" t="s">
        <v>12</v>
      </c>
      <c r="B13866" s="0" t="n">
        <v>3911194</v>
      </c>
      <c r="C13866" s="0" t="n">
        <v>3911214</v>
      </c>
      <c r="D13866" s="0" t="s">
        <v>46205</v>
      </c>
      <c r="E13866" s="0" t="s">
        <v>89</v>
      </c>
      <c r="F13866" s="0" t="s">
        <v>15</v>
      </c>
      <c r="G13866" s="0" t="s">
        <v>16</v>
      </c>
      <c r="H13866" s="0" t="n">
        <v>11</v>
      </c>
      <c r="I13866" s="0" t="s">
        <v>46206</v>
      </c>
      <c r="J13866" s="0" t="s">
        <v>46207</v>
      </c>
      <c r="K13866" s="0" t="s">
        <v>46208</v>
      </c>
      <c r="L13866" s="0" t="str">
        <f aca="false">HYPERLINK("https://www.ncbi.nlm.nih.gov/nuccore/CP000304.1?report=graph&amp;tracks=[key:gene_model_track,Options:GeneOnly]&amp;mk=3911195:3911214|offset_11|00cc00,3911221:3911240|offset_37|444444,3911243:3911262|offset_59|444444,3911266:3911285|offset_82|444444&amp;v=3910994:3911485&amp;c=444444", "offset 11")</f>
        <v>offset 11</v>
      </c>
    </row>
    <row r="13867" customFormat="false" ht="12.8" hidden="false" customHeight="false" outlineLevel="0" collapsed="false">
      <c r="A13867" s="0" t="s">
        <v>12</v>
      </c>
      <c r="B13867" s="0" t="n">
        <v>3911220</v>
      </c>
      <c r="C13867" s="0" t="n">
        <v>3911240</v>
      </c>
      <c r="D13867" s="0" t="s">
        <v>46205</v>
      </c>
      <c r="E13867" s="0" t="s">
        <v>89</v>
      </c>
      <c r="F13867" s="0" t="s">
        <v>15</v>
      </c>
      <c r="G13867" s="0" t="s">
        <v>16</v>
      </c>
      <c r="H13867" s="0" t="n">
        <v>37</v>
      </c>
      <c r="I13867" s="0" t="s">
        <v>46209</v>
      </c>
      <c r="J13867" s="0" t="s">
        <v>46210</v>
      </c>
      <c r="K13867" s="0" t="s">
        <v>46211</v>
      </c>
      <c r="L13867" s="0" t="str">
        <f aca="false">HYPERLINK("https://www.ncbi.nlm.nih.gov/nuccore/CP000304.1?report=graph&amp;tracks=[key:gene_model_track,Options:GeneOnly]&amp;mk=3911195:3911214|offset_11|444444,3911221:3911240|offset_37|00cc00,3911243:3911262|offset_59|444444,3911266:3911285|offset_82|444444&amp;v=3910994:3911485&amp;c=444444", "offset 37")</f>
        <v>offset 37</v>
      </c>
    </row>
    <row r="13868" customFormat="false" ht="12.8" hidden="false" customHeight="false" outlineLevel="0" collapsed="false">
      <c r="A13868" s="0" t="s">
        <v>12</v>
      </c>
      <c r="B13868" s="0" t="n">
        <v>3911242</v>
      </c>
      <c r="C13868" s="0" t="n">
        <v>3911262</v>
      </c>
      <c r="D13868" s="0" t="s">
        <v>46205</v>
      </c>
      <c r="E13868" s="0" t="s">
        <v>89</v>
      </c>
      <c r="F13868" s="0" t="s">
        <v>15</v>
      </c>
      <c r="G13868" s="0" t="s">
        <v>32</v>
      </c>
      <c r="H13868" s="0" t="n">
        <v>59</v>
      </c>
      <c r="I13868" s="0" t="s">
        <v>46212</v>
      </c>
      <c r="J13868" s="0" t="s">
        <v>46213</v>
      </c>
      <c r="K13868" s="0" t="s">
        <v>46214</v>
      </c>
      <c r="L13868" s="0" t="str">
        <f aca="false">HYPERLINK("https://www.ncbi.nlm.nih.gov/nuccore/CP000304.1?report=graph&amp;tracks=[key:gene_model_track,Options:GeneOnly]&amp;mk=3911195:3911214|offset_11|444444,3911221:3911240|offset_37|444444,3911243:3911262|offset_59|00cc00,3911266:3911285|offset_82|444444&amp;v=3910994:3911485&amp;c=444444", "offset 59")</f>
        <v>offset 59</v>
      </c>
    </row>
    <row r="13869" customFormat="false" ht="12.8" hidden="false" customHeight="false" outlineLevel="0" collapsed="false">
      <c r="A13869" s="0" t="s">
        <v>12</v>
      </c>
      <c r="B13869" s="0" t="n">
        <v>3911265</v>
      </c>
      <c r="C13869" s="0" t="n">
        <v>3911285</v>
      </c>
      <c r="D13869" s="0" t="s">
        <v>46205</v>
      </c>
      <c r="E13869" s="0" t="s">
        <v>89</v>
      </c>
      <c r="F13869" s="0" t="s">
        <v>15</v>
      </c>
      <c r="G13869" s="0" t="s">
        <v>16</v>
      </c>
      <c r="H13869" s="0" t="n">
        <v>82</v>
      </c>
      <c r="I13869" s="0" t="s">
        <v>46215</v>
      </c>
      <c r="J13869" s="0" t="s">
        <v>46216</v>
      </c>
      <c r="K13869" s="0" t="s">
        <v>46217</v>
      </c>
      <c r="L13869" s="0" t="str">
        <f aca="false">HYPERLINK("https://www.ncbi.nlm.nih.gov/nuccore/CP000304.1?report=graph&amp;tracks=[key:gene_model_track,Options:GeneOnly]&amp;mk=3911195:3911214|offset_11|444444,3911221:3911240|offset_37|444444,3911243:3911262|offset_59|444444,3911266:3911285|offset_82|00cc00&amp;v=3910994:3911485&amp;c=444444", "offset 82")</f>
        <v>offset 82</v>
      </c>
    </row>
    <row r="13870" customFormat="false" ht="12.8" hidden="false" customHeight="false" outlineLevel="0" collapsed="false">
      <c r="A13870" s="0" t="s">
        <v>12</v>
      </c>
      <c r="B13870" s="0" t="n">
        <v>3911578</v>
      </c>
      <c r="C13870" s="0" t="n">
        <v>3911598</v>
      </c>
      <c r="D13870" s="0" t="s">
        <v>46218</v>
      </c>
      <c r="E13870" s="0" t="s">
        <v>89</v>
      </c>
      <c r="F13870" s="0" t="s">
        <v>15</v>
      </c>
      <c r="G13870" s="0" t="s">
        <v>36</v>
      </c>
      <c r="H13870" s="0" t="n">
        <v>34</v>
      </c>
      <c r="I13870" s="0" t="s">
        <v>46219</v>
      </c>
      <c r="J13870" s="0" t="s">
        <v>46220</v>
      </c>
      <c r="K13870" s="0" t="s">
        <v>46221</v>
      </c>
      <c r="L13870" s="0" t="str">
        <f aca="false">HYPERLINK("https://www.ncbi.nlm.nih.gov/nuccore/CP000304.1?report=graph&amp;tracks=[key:gene_model_track,Options:GeneOnly]&amp;mk=3911579:3911598|offset_34|00cc00,3911630:3911649|offset_85|444444,3911660:3911679|offset_115|444444,3911694:3911713|offset_149|444444&amp;v=3911378:3911913&amp;c=444444", "offset 34")</f>
        <v>offset 34</v>
      </c>
    </row>
    <row r="13871" customFormat="false" ht="12.8" hidden="false" customHeight="false" outlineLevel="0" collapsed="false">
      <c r="A13871" s="0" t="s">
        <v>12</v>
      </c>
      <c r="B13871" s="0" t="n">
        <v>3911629</v>
      </c>
      <c r="C13871" s="0" t="n">
        <v>3911649</v>
      </c>
      <c r="D13871" s="0" t="s">
        <v>46218</v>
      </c>
      <c r="E13871" s="0" t="s">
        <v>89</v>
      </c>
      <c r="F13871" s="0" t="s">
        <v>15</v>
      </c>
      <c r="G13871" s="0" t="s">
        <v>16</v>
      </c>
      <c r="H13871" s="0" t="n">
        <v>85</v>
      </c>
      <c r="I13871" s="0" t="s">
        <v>46222</v>
      </c>
      <c r="J13871" s="0" t="s">
        <v>46223</v>
      </c>
      <c r="K13871" s="0" t="s">
        <v>46224</v>
      </c>
      <c r="L13871" s="0" t="str">
        <f aca="false">HYPERLINK("https://www.ncbi.nlm.nih.gov/nuccore/CP000304.1?report=graph&amp;tracks=[key:gene_model_track,Options:GeneOnly]&amp;mk=3911579:3911598|offset_34|444444,3911630:3911649|offset_85|00cc00,3911660:3911679|offset_115|444444,3911694:3911713|offset_149|444444&amp;v=3911378:3911913&amp;c=444444", "offset 85")</f>
        <v>offset 85</v>
      </c>
    </row>
    <row r="13872" customFormat="false" ht="12.8" hidden="false" customHeight="false" outlineLevel="0" collapsed="false">
      <c r="A13872" s="0" t="s">
        <v>12</v>
      </c>
      <c r="B13872" s="0" t="n">
        <v>3911659</v>
      </c>
      <c r="C13872" s="0" t="n">
        <v>3911679</v>
      </c>
      <c r="D13872" s="0" t="s">
        <v>46218</v>
      </c>
      <c r="E13872" s="0" t="s">
        <v>89</v>
      </c>
      <c r="F13872" s="0" t="s">
        <v>15</v>
      </c>
      <c r="G13872" s="0" t="s">
        <v>26</v>
      </c>
      <c r="H13872" s="0" t="n">
        <v>115</v>
      </c>
      <c r="I13872" s="0" t="s">
        <v>46225</v>
      </c>
      <c r="J13872" s="0" t="s">
        <v>46226</v>
      </c>
      <c r="K13872" s="0" t="s">
        <v>46227</v>
      </c>
      <c r="L13872" s="0" t="str">
        <f aca="false">HYPERLINK("https://www.ncbi.nlm.nih.gov/nuccore/CP000304.1?report=graph&amp;tracks=[key:gene_model_track,Options:GeneOnly]&amp;mk=3911579:3911598|offset_34|444444,3911630:3911649|offset_85|444444,3911660:3911679|offset_115|00cc00,3911694:3911713|offset_149|444444&amp;v=3911378:3911913&amp;c=444444", "offset 115")</f>
        <v>offset 115</v>
      </c>
    </row>
    <row r="13873" customFormat="false" ht="12.8" hidden="false" customHeight="false" outlineLevel="0" collapsed="false">
      <c r="A13873" s="0" t="s">
        <v>12</v>
      </c>
      <c r="B13873" s="0" t="n">
        <v>3911693</v>
      </c>
      <c r="C13873" s="0" t="n">
        <v>3911713</v>
      </c>
      <c r="D13873" s="0" t="s">
        <v>46218</v>
      </c>
      <c r="E13873" s="0" t="s">
        <v>89</v>
      </c>
      <c r="F13873" s="0" t="s">
        <v>15</v>
      </c>
      <c r="G13873" s="0" t="s">
        <v>26</v>
      </c>
      <c r="H13873" s="0" t="n">
        <v>149</v>
      </c>
      <c r="I13873" s="0" t="s">
        <v>46228</v>
      </c>
      <c r="J13873" s="0" t="s">
        <v>46229</v>
      </c>
      <c r="K13873" s="0" t="s">
        <v>46230</v>
      </c>
      <c r="L13873" s="0" t="str">
        <f aca="false">HYPERLINK("https://www.ncbi.nlm.nih.gov/nuccore/CP000304.1?report=graph&amp;tracks=[key:gene_model_track,Options:GeneOnly]&amp;mk=3911579:3911598|offset_34|444444,3911630:3911649|offset_85|444444,3911660:3911679|offset_115|444444,3911694:3911713|offset_149|00cc00&amp;v=3911378:3911913&amp;c=444444", "offset 149")</f>
        <v>offset 149</v>
      </c>
    </row>
    <row r="13874" customFormat="false" ht="12.8" hidden="false" customHeight="false" outlineLevel="0" collapsed="false">
      <c r="A13874" s="0" t="s">
        <v>12</v>
      </c>
      <c r="B13874" s="0" t="n">
        <v>3914264</v>
      </c>
      <c r="C13874" s="0" t="n">
        <v>3914284</v>
      </c>
      <c r="D13874" s="0" t="s">
        <v>46231</v>
      </c>
      <c r="E13874" s="0" t="s">
        <v>89</v>
      </c>
      <c r="F13874" s="0" t="s">
        <v>90</v>
      </c>
      <c r="G13874" s="0" t="s">
        <v>16</v>
      </c>
      <c r="H13874" s="0" t="n">
        <v>8</v>
      </c>
      <c r="I13874" s="0" t="s">
        <v>46232</v>
      </c>
      <c r="J13874" s="0" t="s">
        <v>46233</v>
      </c>
      <c r="K13874" s="0" t="s">
        <v>46234</v>
      </c>
      <c r="L13874" s="0" t="str">
        <f aca="false">HYPERLINK("https://www.ncbi.nlm.nih.gov/nuccore/CP000304.1?report=graph&amp;tracks=[key:gene_model_track,Options:GeneOnly]&amp;mk=3914265:3914284|offset_8|00cc00,3914226:3914245|offset_47|444444,3914190:3914209|offset_83|444444,3914167:3914186|offset_106|444444&amp;v=3914064:3914386&amp;c=444444", "offset 8")</f>
        <v>offset 8</v>
      </c>
    </row>
    <row r="13875" customFormat="false" ht="12.8" hidden="false" customHeight="false" outlineLevel="0" collapsed="false">
      <c r="A13875" s="0" t="s">
        <v>12</v>
      </c>
      <c r="B13875" s="0" t="n">
        <v>3914225</v>
      </c>
      <c r="C13875" s="0" t="n">
        <v>3914245</v>
      </c>
      <c r="D13875" s="0" t="s">
        <v>46231</v>
      </c>
      <c r="E13875" s="0" t="s">
        <v>89</v>
      </c>
      <c r="F13875" s="0" t="s">
        <v>90</v>
      </c>
      <c r="G13875" s="0" t="s">
        <v>26</v>
      </c>
      <c r="H13875" s="0" t="n">
        <v>47</v>
      </c>
      <c r="I13875" s="0" t="s">
        <v>46235</v>
      </c>
      <c r="J13875" s="0" t="s">
        <v>46236</v>
      </c>
      <c r="K13875" s="0" t="s">
        <v>46237</v>
      </c>
      <c r="L13875" s="0" t="str">
        <f aca="false">HYPERLINK("https://www.ncbi.nlm.nih.gov/nuccore/CP000304.1?report=graph&amp;tracks=[key:gene_model_track,Options:GeneOnly]&amp;mk=3914265:3914284|offset_8|444444,3914226:3914245|offset_47|00cc00,3914190:3914209|offset_83|444444,3914167:3914186|offset_106|444444&amp;v=3914064:3914386&amp;c=444444", "offset 47")</f>
        <v>offset 47</v>
      </c>
    </row>
    <row r="13876" customFormat="false" ht="12.8" hidden="false" customHeight="false" outlineLevel="0" collapsed="false">
      <c r="A13876" s="0" t="s">
        <v>12</v>
      </c>
      <c r="B13876" s="0" t="n">
        <v>3914189</v>
      </c>
      <c r="C13876" s="0" t="n">
        <v>3914209</v>
      </c>
      <c r="D13876" s="0" t="s">
        <v>46231</v>
      </c>
      <c r="E13876" s="0" t="s">
        <v>89</v>
      </c>
      <c r="F13876" s="0" t="s">
        <v>90</v>
      </c>
      <c r="G13876" s="0" t="s">
        <v>26</v>
      </c>
      <c r="H13876" s="0" t="n">
        <v>83</v>
      </c>
      <c r="I13876" s="0" t="s">
        <v>46238</v>
      </c>
      <c r="J13876" s="0" t="s">
        <v>46239</v>
      </c>
      <c r="K13876" s="0" t="s">
        <v>46240</v>
      </c>
      <c r="L13876" s="0" t="str">
        <f aca="false">HYPERLINK("https://www.ncbi.nlm.nih.gov/nuccore/CP000304.1?report=graph&amp;tracks=[key:gene_model_track,Options:GeneOnly]&amp;mk=3914265:3914284|offset_8|444444,3914226:3914245|offset_47|444444,3914190:3914209|offset_83|00cc00,3914167:3914186|offset_106|444444&amp;v=3914064:3914386&amp;c=444444", "offset 83")</f>
        <v>offset 83</v>
      </c>
    </row>
    <row r="13877" customFormat="false" ht="12.8" hidden="false" customHeight="false" outlineLevel="0" collapsed="false">
      <c r="A13877" s="0" t="s">
        <v>12</v>
      </c>
      <c r="B13877" s="0" t="n">
        <v>3914166</v>
      </c>
      <c r="C13877" s="0" t="n">
        <v>3914186</v>
      </c>
      <c r="D13877" s="0" t="s">
        <v>46231</v>
      </c>
      <c r="E13877" s="0" t="s">
        <v>89</v>
      </c>
      <c r="F13877" s="0" t="s">
        <v>90</v>
      </c>
      <c r="G13877" s="0" t="s">
        <v>26</v>
      </c>
      <c r="H13877" s="0" t="n">
        <v>106</v>
      </c>
      <c r="I13877" s="0" t="s">
        <v>46241</v>
      </c>
      <c r="J13877" s="0" t="s">
        <v>46242</v>
      </c>
      <c r="K13877" s="0" t="s">
        <v>46243</v>
      </c>
      <c r="L13877" s="0" t="str">
        <f aca="false">HYPERLINK("https://www.ncbi.nlm.nih.gov/nuccore/CP000304.1?report=graph&amp;tracks=[key:gene_model_track,Options:GeneOnly]&amp;mk=3914265:3914284|offset_8|444444,3914226:3914245|offset_47|444444,3914190:3914209|offset_83|444444,3914167:3914186|offset_106|00cc00&amp;v=3914064:3914386&amp;c=444444", "offset 106")</f>
        <v>offset 106</v>
      </c>
    </row>
    <row r="13878" customFormat="false" ht="12.8" hidden="false" customHeight="false" outlineLevel="0" collapsed="false">
      <c r="A13878" s="0" t="s">
        <v>12</v>
      </c>
      <c r="B13878" s="0" t="n">
        <v>3915432</v>
      </c>
      <c r="C13878" s="0" t="n">
        <v>3915452</v>
      </c>
      <c r="D13878" s="0" t="s">
        <v>46244</v>
      </c>
      <c r="E13878" s="0" t="s">
        <v>89</v>
      </c>
      <c r="F13878" s="0" t="s">
        <v>90</v>
      </c>
      <c r="G13878" s="0" t="s">
        <v>26</v>
      </c>
      <c r="H13878" s="0" t="n">
        <v>20</v>
      </c>
      <c r="I13878" s="0" t="s">
        <v>46245</v>
      </c>
      <c r="J13878" s="0" t="s">
        <v>46246</v>
      </c>
      <c r="K13878" s="0" t="s">
        <v>46247</v>
      </c>
      <c r="L13878" s="0" t="str">
        <f aca="false">HYPERLINK("https://www.ncbi.nlm.nih.gov/nuccore/CP000304.1?report=graph&amp;tracks=[key:gene_model_track,Options:GeneOnly]&amp;mk=3915433:3915452|offset_20|00cc00,3915404:3915423|offset_49|444444,3915373:3915392|offset_80|444444,3915347:3915366|offset_106|444444&amp;v=3915232:3915566&amp;c=444444", "offset 20")</f>
        <v>offset 20</v>
      </c>
    </row>
    <row r="13879" customFormat="false" ht="12.8" hidden="false" customHeight="false" outlineLevel="0" collapsed="false">
      <c r="A13879" s="0" t="s">
        <v>12</v>
      </c>
      <c r="B13879" s="0" t="n">
        <v>3915403</v>
      </c>
      <c r="C13879" s="0" t="n">
        <v>3915423</v>
      </c>
      <c r="D13879" s="0" t="s">
        <v>46244</v>
      </c>
      <c r="E13879" s="0" t="s">
        <v>89</v>
      </c>
      <c r="F13879" s="0" t="s">
        <v>90</v>
      </c>
      <c r="G13879" s="0" t="s">
        <v>16</v>
      </c>
      <c r="H13879" s="0" t="n">
        <v>49</v>
      </c>
      <c r="I13879" s="0" t="s">
        <v>46248</v>
      </c>
      <c r="J13879" s="0" t="s">
        <v>46249</v>
      </c>
      <c r="K13879" s="0" t="s">
        <v>46250</v>
      </c>
      <c r="L13879" s="0" t="str">
        <f aca="false">HYPERLINK("https://www.ncbi.nlm.nih.gov/nuccore/CP000304.1?report=graph&amp;tracks=[key:gene_model_track,Options:GeneOnly]&amp;mk=3915433:3915452|offset_20|444444,3915404:3915423|offset_49|00cc00,3915373:3915392|offset_80|444444,3915347:3915366|offset_106|444444&amp;v=3915232:3915566&amp;c=444444", "offset 49")</f>
        <v>offset 49</v>
      </c>
    </row>
    <row r="13880" customFormat="false" ht="12.8" hidden="false" customHeight="false" outlineLevel="0" collapsed="false">
      <c r="A13880" s="0" t="s">
        <v>12</v>
      </c>
      <c r="B13880" s="0" t="n">
        <v>3915372</v>
      </c>
      <c r="C13880" s="0" t="n">
        <v>3915392</v>
      </c>
      <c r="D13880" s="0" t="s">
        <v>46244</v>
      </c>
      <c r="E13880" s="0" t="s">
        <v>89</v>
      </c>
      <c r="F13880" s="0" t="s">
        <v>90</v>
      </c>
      <c r="G13880" s="0" t="s">
        <v>36</v>
      </c>
      <c r="H13880" s="0" t="n">
        <v>80</v>
      </c>
      <c r="I13880" s="0" t="s">
        <v>46251</v>
      </c>
      <c r="J13880" s="0" t="s">
        <v>46252</v>
      </c>
      <c r="K13880" s="0" t="s">
        <v>46253</v>
      </c>
      <c r="L13880" s="0" t="str">
        <f aca="false">HYPERLINK("https://www.ncbi.nlm.nih.gov/nuccore/CP000304.1?report=graph&amp;tracks=[key:gene_model_track,Options:GeneOnly]&amp;mk=3915433:3915452|offset_20|444444,3915404:3915423|offset_49|444444,3915373:3915392|offset_80|00cc00,3915347:3915366|offset_106|444444&amp;v=3915232:3915566&amp;c=444444", "offset 80")</f>
        <v>offset 80</v>
      </c>
    </row>
    <row r="13881" customFormat="false" ht="12.8" hidden="false" customHeight="false" outlineLevel="0" collapsed="false">
      <c r="A13881" s="0" t="s">
        <v>12</v>
      </c>
      <c r="B13881" s="0" t="n">
        <v>3915346</v>
      </c>
      <c r="C13881" s="0" t="n">
        <v>3915366</v>
      </c>
      <c r="D13881" s="0" t="s">
        <v>46244</v>
      </c>
      <c r="E13881" s="0" t="s">
        <v>89</v>
      </c>
      <c r="F13881" s="0" t="s">
        <v>90</v>
      </c>
      <c r="G13881" s="0" t="s">
        <v>16</v>
      </c>
      <c r="H13881" s="0" t="n">
        <v>106</v>
      </c>
      <c r="I13881" s="0" t="s">
        <v>46254</v>
      </c>
      <c r="J13881" s="0" t="s">
        <v>46255</v>
      </c>
      <c r="K13881" s="0" t="s">
        <v>46256</v>
      </c>
      <c r="L13881" s="0" t="str">
        <f aca="false">HYPERLINK("https://www.ncbi.nlm.nih.gov/nuccore/CP000304.1?report=graph&amp;tracks=[key:gene_model_track,Options:GeneOnly]&amp;mk=3915433:3915452|offset_20|444444,3915404:3915423|offset_49|444444,3915373:3915392|offset_80|444444,3915347:3915366|offset_106|00cc00&amp;v=3915232:3915566&amp;c=444444", "offset 106")</f>
        <v>offset 106</v>
      </c>
    </row>
    <row r="13882" customFormat="false" ht="12.8" hidden="false" customHeight="false" outlineLevel="0" collapsed="false">
      <c r="A13882" s="0" t="s">
        <v>12</v>
      </c>
      <c r="B13882" s="0" t="n">
        <v>3916011</v>
      </c>
      <c r="C13882" s="0" t="n">
        <v>3916031</v>
      </c>
      <c r="D13882" s="0" t="s">
        <v>46257</v>
      </c>
      <c r="E13882" s="0" t="s">
        <v>46258</v>
      </c>
      <c r="F13882" s="0" t="s">
        <v>90</v>
      </c>
      <c r="G13882" s="0" t="s">
        <v>26</v>
      </c>
      <c r="H13882" s="0" t="n">
        <v>8</v>
      </c>
      <c r="I13882" s="0" t="s">
        <v>46259</v>
      </c>
      <c r="J13882" s="0" t="s">
        <v>46260</v>
      </c>
      <c r="K13882" s="0" t="s">
        <v>46261</v>
      </c>
      <c r="L13882" s="0" t="str">
        <f aca="false">HYPERLINK("https://www.ncbi.nlm.nih.gov/nuccore/CP000304.1?report=graph&amp;tracks=[key:gene_model_track,Options:GeneOnly]&amp;mk=3916012:3916031|offset_8|00cc00,3915988:3916007|offset_32|444444,3915968:3915987|offset_52|444444,3915945:3915964|offset_75|444444&amp;v=3915811:3916164&amp;c=444444", "offset 8")</f>
        <v>offset 8</v>
      </c>
    </row>
    <row r="13883" customFormat="false" ht="12.8" hidden="false" customHeight="false" outlineLevel="0" collapsed="false">
      <c r="A13883" s="0" t="s">
        <v>12</v>
      </c>
      <c r="B13883" s="0" t="n">
        <v>3915987</v>
      </c>
      <c r="C13883" s="0" t="n">
        <v>3916007</v>
      </c>
      <c r="D13883" s="0" t="s">
        <v>46257</v>
      </c>
      <c r="E13883" s="0" t="s">
        <v>46258</v>
      </c>
      <c r="F13883" s="0" t="s">
        <v>90</v>
      </c>
      <c r="G13883" s="0" t="s">
        <v>32</v>
      </c>
      <c r="H13883" s="0" t="n">
        <v>32</v>
      </c>
      <c r="I13883" s="0" t="s">
        <v>46262</v>
      </c>
      <c r="J13883" s="0" t="s">
        <v>46263</v>
      </c>
      <c r="K13883" s="0" t="s">
        <v>46264</v>
      </c>
      <c r="L13883" s="0" t="str">
        <f aca="false">HYPERLINK("https://www.ncbi.nlm.nih.gov/nuccore/CP000304.1?report=graph&amp;tracks=[key:gene_model_track,Options:GeneOnly]&amp;mk=3916012:3916031|offset_8|444444,3915988:3916007|offset_32|00cc00,3915968:3915987|offset_52|444444,3915945:3915964|offset_75|444444&amp;v=3915811:3916164&amp;c=444444", "offset 32")</f>
        <v>offset 32</v>
      </c>
    </row>
    <row r="13884" customFormat="false" ht="12.8" hidden="false" customHeight="false" outlineLevel="0" collapsed="false">
      <c r="A13884" s="0" t="s">
        <v>12</v>
      </c>
      <c r="B13884" s="0" t="n">
        <v>3915967</v>
      </c>
      <c r="C13884" s="0" t="n">
        <v>3915987</v>
      </c>
      <c r="D13884" s="0" t="s">
        <v>46257</v>
      </c>
      <c r="E13884" s="0" t="s">
        <v>46258</v>
      </c>
      <c r="F13884" s="0" t="s">
        <v>90</v>
      </c>
      <c r="G13884" s="0" t="s">
        <v>26</v>
      </c>
      <c r="H13884" s="0" t="n">
        <v>52</v>
      </c>
      <c r="I13884" s="0" t="s">
        <v>46265</v>
      </c>
      <c r="J13884" s="0" t="s">
        <v>46266</v>
      </c>
      <c r="K13884" s="0" t="s">
        <v>46267</v>
      </c>
      <c r="L13884" s="0" t="str">
        <f aca="false">HYPERLINK("https://www.ncbi.nlm.nih.gov/nuccore/CP000304.1?report=graph&amp;tracks=[key:gene_model_track,Options:GeneOnly]&amp;mk=3916012:3916031|offset_8|444444,3915988:3916007|offset_32|444444,3915968:3915987|offset_52|00cc00,3915945:3915964|offset_75|444444&amp;v=3915811:3916164&amp;c=444444", "offset 52")</f>
        <v>offset 52</v>
      </c>
    </row>
    <row r="13885" customFormat="false" ht="12.8" hidden="false" customHeight="false" outlineLevel="0" collapsed="false">
      <c r="A13885" s="0" t="s">
        <v>12</v>
      </c>
      <c r="B13885" s="0" t="n">
        <v>3915944</v>
      </c>
      <c r="C13885" s="0" t="n">
        <v>3915964</v>
      </c>
      <c r="D13885" s="0" t="s">
        <v>46257</v>
      </c>
      <c r="E13885" s="0" t="s">
        <v>46258</v>
      </c>
      <c r="F13885" s="0" t="s">
        <v>90</v>
      </c>
      <c r="G13885" s="0" t="s">
        <v>16</v>
      </c>
      <c r="H13885" s="0" t="n">
        <v>75</v>
      </c>
      <c r="I13885" s="0" t="s">
        <v>46268</v>
      </c>
      <c r="J13885" s="0" t="s">
        <v>46269</v>
      </c>
      <c r="K13885" s="0" t="s">
        <v>46270</v>
      </c>
      <c r="L13885" s="0" t="str">
        <f aca="false">HYPERLINK("https://www.ncbi.nlm.nih.gov/nuccore/CP000304.1?report=graph&amp;tracks=[key:gene_model_track,Options:GeneOnly]&amp;mk=3916012:3916031|offset_8|444444,3915988:3916007|offset_32|444444,3915968:3915987|offset_52|444444,3915945:3915964|offset_75|00cc00&amp;v=3915811:3916164&amp;c=444444", "offset 75")</f>
        <v>offset 75</v>
      </c>
    </row>
    <row r="13886" customFormat="false" ht="12.8" hidden="false" customHeight="false" outlineLevel="0" collapsed="false">
      <c r="A13886" s="0" t="s">
        <v>12</v>
      </c>
      <c r="B13886" s="0" t="n">
        <v>3916840</v>
      </c>
      <c r="C13886" s="0" t="n">
        <v>3916860</v>
      </c>
      <c r="D13886" s="0" t="s">
        <v>46271</v>
      </c>
      <c r="E13886" s="0" t="s">
        <v>89</v>
      </c>
      <c r="F13886" s="0" t="s">
        <v>90</v>
      </c>
      <c r="G13886" s="0" t="s">
        <v>32</v>
      </c>
      <c r="H13886" s="0" t="n">
        <v>8</v>
      </c>
      <c r="I13886" s="0" t="s">
        <v>46272</v>
      </c>
      <c r="J13886" s="0" t="s">
        <v>46273</v>
      </c>
      <c r="K13886" s="0" t="s">
        <v>46274</v>
      </c>
      <c r="L13886" s="0" t="str">
        <f aca="false">HYPERLINK("https://www.ncbi.nlm.nih.gov/nuccore/CP000304.1?report=graph&amp;tracks=[key:gene_model_track,Options:GeneOnly]&amp;mk=3916841:3916860|offset_8|00cc00,3916818:3916837|offset_31|444444,3916792:3916811|offset_57|444444,3916730:3916749|offset_119|444444&amp;v=3916640:3916949&amp;c=444444", "offset 8")</f>
        <v>offset 8</v>
      </c>
    </row>
    <row r="13887" customFormat="false" ht="12.8" hidden="false" customHeight="false" outlineLevel="0" collapsed="false">
      <c r="A13887" s="0" t="s">
        <v>12</v>
      </c>
      <c r="B13887" s="0" t="n">
        <v>3916817</v>
      </c>
      <c r="C13887" s="0" t="n">
        <v>3916837</v>
      </c>
      <c r="D13887" s="0" t="s">
        <v>46271</v>
      </c>
      <c r="E13887" s="0" t="s">
        <v>89</v>
      </c>
      <c r="F13887" s="0" t="s">
        <v>90</v>
      </c>
      <c r="G13887" s="0" t="s">
        <v>36</v>
      </c>
      <c r="H13887" s="0" t="n">
        <v>31</v>
      </c>
      <c r="I13887" s="0" t="s">
        <v>46275</v>
      </c>
      <c r="J13887" s="0" t="s">
        <v>46276</v>
      </c>
      <c r="K13887" s="0" t="s">
        <v>46277</v>
      </c>
      <c r="L13887" s="0" t="str">
        <f aca="false">HYPERLINK("https://www.ncbi.nlm.nih.gov/nuccore/CP000304.1?report=graph&amp;tracks=[key:gene_model_track,Options:GeneOnly]&amp;mk=3916841:3916860|offset_8|444444,3916818:3916837|offset_31|00cc00,3916792:3916811|offset_57|444444,3916730:3916749|offset_119|444444&amp;v=3916640:3916949&amp;c=444444", "offset 31")</f>
        <v>offset 31</v>
      </c>
    </row>
    <row r="13888" customFormat="false" ht="12.8" hidden="false" customHeight="false" outlineLevel="0" collapsed="false">
      <c r="A13888" s="0" t="s">
        <v>12</v>
      </c>
      <c r="B13888" s="0" t="n">
        <v>3916791</v>
      </c>
      <c r="C13888" s="0" t="n">
        <v>3916811</v>
      </c>
      <c r="D13888" s="0" t="s">
        <v>46271</v>
      </c>
      <c r="E13888" s="0" t="s">
        <v>89</v>
      </c>
      <c r="F13888" s="0" t="s">
        <v>90</v>
      </c>
      <c r="G13888" s="0" t="s">
        <v>26</v>
      </c>
      <c r="H13888" s="0" t="n">
        <v>57</v>
      </c>
      <c r="I13888" s="0" t="s">
        <v>46278</v>
      </c>
      <c r="J13888" s="0" t="s">
        <v>46279</v>
      </c>
      <c r="K13888" s="0" t="s">
        <v>46280</v>
      </c>
      <c r="L13888" s="0" t="str">
        <f aca="false">HYPERLINK("https://www.ncbi.nlm.nih.gov/nuccore/CP000304.1?report=graph&amp;tracks=[key:gene_model_track,Options:GeneOnly]&amp;mk=3916841:3916860|offset_8|444444,3916818:3916837|offset_31|444444,3916792:3916811|offset_57|00cc00,3916730:3916749|offset_119|444444&amp;v=3916640:3916949&amp;c=444444", "offset 57")</f>
        <v>offset 57</v>
      </c>
    </row>
    <row r="13889" customFormat="false" ht="12.8" hidden="false" customHeight="false" outlineLevel="0" collapsed="false">
      <c r="A13889" s="0" t="s">
        <v>12</v>
      </c>
      <c r="B13889" s="0" t="n">
        <v>3916729</v>
      </c>
      <c r="C13889" s="0" t="n">
        <v>3916749</v>
      </c>
      <c r="D13889" s="0" t="s">
        <v>46271</v>
      </c>
      <c r="E13889" s="0" t="s">
        <v>89</v>
      </c>
      <c r="F13889" s="0" t="s">
        <v>90</v>
      </c>
      <c r="G13889" s="0" t="s">
        <v>36</v>
      </c>
      <c r="H13889" s="0" t="n">
        <v>119</v>
      </c>
      <c r="I13889" s="0" t="s">
        <v>46281</v>
      </c>
      <c r="J13889" s="0" t="s">
        <v>46282</v>
      </c>
      <c r="K13889" s="0" t="s">
        <v>46283</v>
      </c>
      <c r="L13889" s="0" t="str">
        <f aca="false">HYPERLINK("https://www.ncbi.nlm.nih.gov/nuccore/CP000304.1?report=graph&amp;tracks=[key:gene_model_track,Options:GeneOnly]&amp;mk=3916841:3916860|offset_8|444444,3916818:3916837|offset_31|444444,3916792:3916811|offset_57|444444,3916730:3916749|offset_119|00cc00&amp;v=3916640:3916949&amp;c=444444", "offset 119")</f>
        <v>offset 119</v>
      </c>
    </row>
    <row r="13890" customFormat="false" ht="12.8" hidden="false" customHeight="false" outlineLevel="0" collapsed="false">
      <c r="A13890" s="0" t="s">
        <v>12</v>
      </c>
      <c r="B13890" s="0" t="n">
        <v>3917126</v>
      </c>
      <c r="C13890" s="0" t="n">
        <v>3917146</v>
      </c>
      <c r="D13890" s="0" t="s">
        <v>46284</v>
      </c>
      <c r="E13890" s="0" t="s">
        <v>89</v>
      </c>
      <c r="F13890" s="0" t="s">
        <v>15</v>
      </c>
      <c r="G13890" s="0" t="s">
        <v>26</v>
      </c>
      <c r="H13890" s="0" t="n">
        <v>11</v>
      </c>
      <c r="I13890" s="0" t="s">
        <v>46285</v>
      </c>
      <c r="J13890" s="0" t="s">
        <v>46286</v>
      </c>
      <c r="K13890" s="0" t="s">
        <v>46287</v>
      </c>
      <c r="L13890" s="0" t="str">
        <f aca="false">HYPERLINK("https://www.ncbi.nlm.nih.gov/nuccore/CP000304.1?report=graph&amp;tracks=[key:gene_model_track,Options:GeneOnly]&amp;mk=3917127:3917146|offset_11|00cc00,3917151:3917170|offset_35|444444,3917177:3917196|offset_61|444444,3917213:3917232|offset_97|444444&amp;v=3916926:3917432&amp;c=444444", "offset 11")</f>
        <v>offset 11</v>
      </c>
    </row>
    <row r="13891" customFormat="false" ht="12.8" hidden="false" customHeight="false" outlineLevel="0" collapsed="false">
      <c r="A13891" s="0" t="s">
        <v>12</v>
      </c>
      <c r="B13891" s="0" t="n">
        <v>3917150</v>
      </c>
      <c r="C13891" s="0" t="n">
        <v>3917170</v>
      </c>
      <c r="D13891" s="0" t="s">
        <v>46284</v>
      </c>
      <c r="E13891" s="0" t="s">
        <v>89</v>
      </c>
      <c r="F13891" s="0" t="s">
        <v>15</v>
      </c>
      <c r="G13891" s="0" t="s">
        <v>26</v>
      </c>
      <c r="H13891" s="0" t="n">
        <v>35</v>
      </c>
      <c r="I13891" s="0" t="s">
        <v>46288</v>
      </c>
      <c r="J13891" s="0" t="s">
        <v>46289</v>
      </c>
      <c r="K13891" s="0" t="s">
        <v>46290</v>
      </c>
      <c r="L13891" s="0" t="str">
        <f aca="false">HYPERLINK("https://www.ncbi.nlm.nih.gov/nuccore/CP000304.1?report=graph&amp;tracks=[key:gene_model_track,Options:GeneOnly]&amp;mk=3917127:3917146|offset_11|444444,3917151:3917170|offset_35|00cc00,3917177:3917196|offset_61|444444,3917213:3917232|offset_97|444444&amp;v=3916926:3917432&amp;c=444444", "offset 35")</f>
        <v>offset 35</v>
      </c>
    </row>
    <row r="13892" customFormat="false" ht="12.8" hidden="false" customHeight="false" outlineLevel="0" collapsed="false">
      <c r="A13892" s="0" t="s">
        <v>12</v>
      </c>
      <c r="B13892" s="0" t="n">
        <v>3917176</v>
      </c>
      <c r="C13892" s="0" t="n">
        <v>3917196</v>
      </c>
      <c r="D13892" s="0" t="s">
        <v>46284</v>
      </c>
      <c r="E13892" s="0" t="s">
        <v>89</v>
      </c>
      <c r="F13892" s="0" t="s">
        <v>15</v>
      </c>
      <c r="G13892" s="0" t="s">
        <v>36</v>
      </c>
      <c r="H13892" s="0" t="n">
        <v>61</v>
      </c>
      <c r="I13892" s="0" t="s">
        <v>46291</v>
      </c>
      <c r="J13892" s="0" t="s">
        <v>46292</v>
      </c>
      <c r="K13892" s="0" t="s">
        <v>46293</v>
      </c>
      <c r="L13892" s="0" t="str">
        <f aca="false">HYPERLINK("https://www.ncbi.nlm.nih.gov/nuccore/CP000304.1?report=graph&amp;tracks=[key:gene_model_track,Options:GeneOnly]&amp;mk=3917127:3917146|offset_11|444444,3917151:3917170|offset_35|444444,3917177:3917196|offset_61|00cc00,3917213:3917232|offset_97|444444&amp;v=3916926:3917432&amp;c=444444", "offset 61")</f>
        <v>offset 61</v>
      </c>
    </row>
    <row r="13893" customFormat="false" ht="12.8" hidden="false" customHeight="false" outlineLevel="0" collapsed="false">
      <c r="A13893" s="0" t="s">
        <v>12</v>
      </c>
      <c r="B13893" s="0" t="n">
        <v>3917212</v>
      </c>
      <c r="C13893" s="0" t="n">
        <v>3917232</v>
      </c>
      <c r="D13893" s="0" t="s">
        <v>46284</v>
      </c>
      <c r="E13893" s="0" t="s">
        <v>89</v>
      </c>
      <c r="F13893" s="0" t="s">
        <v>15</v>
      </c>
      <c r="G13893" s="0" t="s">
        <v>26</v>
      </c>
      <c r="H13893" s="0" t="n">
        <v>97</v>
      </c>
      <c r="I13893" s="0" t="s">
        <v>46294</v>
      </c>
      <c r="J13893" s="0" t="s">
        <v>46295</v>
      </c>
      <c r="K13893" s="0" t="s">
        <v>46296</v>
      </c>
      <c r="L13893" s="0" t="str">
        <f aca="false">HYPERLINK("https://www.ncbi.nlm.nih.gov/nuccore/CP000304.1?report=graph&amp;tracks=[key:gene_model_track,Options:GeneOnly]&amp;mk=3917127:3917146|offset_11|444444,3917151:3917170|offset_35|444444,3917177:3917196|offset_61|444444,3917213:3917232|offset_97|00cc00&amp;v=3916926:3917432&amp;c=444444", "offset 97")</f>
        <v>offset 97</v>
      </c>
    </row>
    <row r="13894" customFormat="false" ht="12.8" hidden="false" customHeight="false" outlineLevel="0" collapsed="false">
      <c r="A13894" s="0" t="s">
        <v>12</v>
      </c>
      <c r="B13894" s="0" t="n">
        <v>3919227</v>
      </c>
      <c r="C13894" s="0" t="n">
        <v>3919247</v>
      </c>
      <c r="D13894" s="0" t="s">
        <v>46297</v>
      </c>
      <c r="E13894" s="0" t="s">
        <v>89</v>
      </c>
      <c r="F13894" s="0" t="s">
        <v>90</v>
      </c>
      <c r="G13894" s="0" t="s">
        <v>32</v>
      </c>
      <c r="H13894" s="0" t="n">
        <v>1</v>
      </c>
      <c r="I13894" s="0" t="s">
        <v>46298</v>
      </c>
      <c r="J13894" s="0" t="s">
        <v>46299</v>
      </c>
      <c r="K13894" s="0" t="s">
        <v>46300</v>
      </c>
      <c r="L13894" s="0" t="str">
        <f aca="false">HYPERLINK("https://www.ncbi.nlm.nih.gov/nuccore/CP000304.1?report=graph&amp;tracks=[key:gene_model_track,Options:GeneOnly]&amp;mk=3919228:3919247|offset_1|00cc00,3919201:3919220|offset_28|444444,3919176:3919195|offset_53|444444,3919143:3919162|offset_86|444444&amp;v=3919027:3919362&amp;c=444444", "offset 1")</f>
        <v>offset 1</v>
      </c>
    </row>
    <row r="13895" customFormat="false" ht="12.8" hidden="false" customHeight="false" outlineLevel="0" collapsed="false">
      <c r="A13895" s="0" t="s">
        <v>12</v>
      </c>
      <c r="B13895" s="0" t="n">
        <v>3919200</v>
      </c>
      <c r="C13895" s="0" t="n">
        <v>3919220</v>
      </c>
      <c r="D13895" s="0" t="s">
        <v>46297</v>
      </c>
      <c r="E13895" s="0" t="s">
        <v>89</v>
      </c>
      <c r="F13895" s="0" t="s">
        <v>90</v>
      </c>
      <c r="G13895" s="0" t="s">
        <v>16</v>
      </c>
      <c r="H13895" s="0" t="n">
        <v>28</v>
      </c>
      <c r="I13895" s="0" t="s">
        <v>46301</v>
      </c>
      <c r="J13895" s="0" t="s">
        <v>46302</v>
      </c>
      <c r="K13895" s="0" t="s">
        <v>46303</v>
      </c>
      <c r="L13895" s="0" t="str">
        <f aca="false">HYPERLINK("https://www.ncbi.nlm.nih.gov/nuccore/CP000304.1?report=graph&amp;tracks=[key:gene_model_track,Options:GeneOnly]&amp;mk=3919228:3919247|offset_1|444444,3919201:3919220|offset_28|00cc00,3919176:3919195|offset_53|444444,3919143:3919162|offset_86|444444&amp;v=3919027:3919362&amp;c=444444", "offset 28")</f>
        <v>offset 28</v>
      </c>
    </row>
    <row r="13896" customFormat="false" ht="12.8" hidden="false" customHeight="false" outlineLevel="0" collapsed="false">
      <c r="A13896" s="0" t="s">
        <v>12</v>
      </c>
      <c r="B13896" s="0" t="n">
        <v>3919175</v>
      </c>
      <c r="C13896" s="0" t="n">
        <v>3919195</v>
      </c>
      <c r="D13896" s="0" t="s">
        <v>46297</v>
      </c>
      <c r="E13896" s="0" t="s">
        <v>89</v>
      </c>
      <c r="F13896" s="0" t="s">
        <v>90</v>
      </c>
      <c r="G13896" s="0" t="s">
        <v>32</v>
      </c>
      <c r="H13896" s="0" t="n">
        <v>53</v>
      </c>
      <c r="I13896" s="0" t="s">
        <v>46304</v>
      </c>
      <c r="J13896" s="0" t="s">
        <v>46305</v>
      </c>
      <c r="K13896" s="0" t="s">
        <v>46306</v>
      </c>
      <c r="L13896" s="0" t="str">
        <f aca="false">HYPERLINK("https://www.ncbi.nlm.nih.gov/nuccore/CP000304.1?report=graph&amp;tracks=[key:gene_model_track,Options:GeneOnly]&amp;mk=3919228:3919247|offset_1|444444,3919201:3919220|offset_28|444444,3919176:3919195|offset_53|00cc00,3919143:3919162|offset_86|444444&amp;v=3919027:3919362&amp;c=444444", "offset 53")</f>
        <v>offset 53</v>
      </c>
    </row>
    <row r="13897" customFormat="false" ht="12.8" hidden="false" customHeight="false" outlineLevel="0" collapsed="false">
      <c r="A13897" s="0" t="s">
        <v>12</v>
      </c>
      <c r="B13897" s="0" t="n">
        <v>3919142</v>
      </c>
      <c r="C13897" s="0" t="n">
        <v>3919162</v>
      </c>
      <c r="D13897" s="0" t="s">
        <v>46297</v>
      </c>
      <c r="E13897" s="0" t="s">
        <v>89</v>
      </c>
      <c r="F13897" s="0" t="s">
        <v>90</v>
      </c>
      <c r="G13897" s="0" t="s">
        <v>26</v>
      </c>
      <c r="H13897" s="0" t="n">
        <v>86</v>
      </c>
      <c r="I13897" s="0" t="s">
        <v>46307</v>
      </c>
      <c r="J13897" s="0" t="s">
        <v>46308</v>
      </c>
      <c r="K13897" s="0" t="s">
        <v>46309</v>
      </c>
      <c r="L13897" s="0" t="str">
        <f aca="false">HYPERLINK("https://www.ncbi.nlm.nih.gov/nuccore/CP000304.1?report=graph&amp;tracks=[key:gene_model_track,Options:GeneOnly]&amp;mk=3919228:3919247|offset_1|444444,3919201:3919220|offset_28|444444,3919176:3919195|offset_53|444444,3919143:3919162|offset_86|00cc00&amp;v=3919027:3919362&amp;c=444444", "offset 86")</f>
        <v>offset 86</v>
      </c>
    </row>
    <row r="13898" customFormat="false" ht="12.8" hidden="false" customHeight="false" outlineLevel="0" collapsed="false">
      <c r="A13898" s="0" t="s">
        <v>12</v>
      </c>
      <c r="B13898" s="0" t="n">
        <v>3920745</v>
      </c>
      <c r="C13898" s="0" t="n">
        <v>3920765</v>
      </c>
      <c r="D13898" s="0" t="s">
        <v>46310</v>
      </c>
      <c r="E13898" s="0" t="s">
        <v>46311</v>
      </c>
      <c r="F13898" s="0" t="s">
        <v>90</v>
      </c>
      <c r="G13898" s="0" t="s">
        <v>36</v>
      </c>
      <c r="H13898" s="0" t="n">
        <v>10</v>
      </c>
      <c r="I13898" s="0" t="s">
        <v>46312</v>
      </c>
      <c r="J13898" s="0" t="s">
        <v>46313</v>
      </c>
      <c r="K13898" s="0" t="s">
        <v>46314</v>
      </c>
      <c r="L13898" s="0" t="str">
        <f aca="false">HYPERLINK("https://www.ncbi.nlm.nih.gov/nuccore/CP000304.1?report=graph&amp;tracks=[key:gene_model_track,Options:GeneOnly]&amp;mk=3920746:3920765|offset_10|00cc00,3920725:3920744|offset_31|444444,3920692:3920711|offset_64|444444,3920670:3920689|offset_86|444444&amp;v=3920545:3920889&amp;c=444444", "offset 10")</f>
        <v>offset 10</v>
      </c>
    </row>
    <row r="13899" customFormat="false" ht="12.8" hidden="false" customHeight="false" outlineLevel="0" collapsed="false">
      <c r="A13899" s="0" t="s">
        <v>12</v>
      </c>
      <c r="B13899" s="0" t="n">
        <v>3920724</v>
      </c>
      <c r="C13899" s="0" t="n">
        <v>3920744</v>
      </c>
      <c r="D13899" s="0" t="s">
        <v>46310</v>
      </c>
      <c r="E13899" s="0" t="s">
        <v>46311</v>
      </c>
      <c r="F13899" s="0" t="s">
        <v>90</v>
      </c>
      <c r="G13899" s="0" t="s">
        <v>32</v>
      </c>
      <c r="H13899" s="0" t="n">
        <v>31</v>
      </c>
      <c r="I13899" s="0" t="s">
        <v>46315</v>
      </c>
      <c r="J13899" s="0" t="s">
        <v>46316</v>
      </c>
      <c r="K13899" s="0" t="s">
        <v>46317</v>
      </c>
      <c r="L13899" s="0" t="str">
        <f aca="false">HYPERLINK("https://www.ncbi.nlm.nih.gov/nuccore/CP000304.1?report=graph&amp;tracks=[key:gene_model_track,Options:GeneOnly]&amp;mk=3920746:3920765|offset_10|444444,3920725:3920744|offset_31|00cc00,3920692:3920711|offset_64|444444,3920670:3920689|offset_86|444444&amp;v=3920545:3920889&amp;c=444444", "offset 31")</f>
        <v>offset 31</v>
      </c>
    </row>
    <row r="13900" customFormat="false" ht="12.8" hidden="false" customHeight="false" outlineLevel="0" collapsed="false">
      <c r="A13900" s="0" t="s">
        <v>12</v>
      </c>
      <c r="B13900" s="0" t="n">
        <v>3920691</v>
      </c>
      <c r="C13900" s="0" t="n">
        <v>3920711</v>
      </c>
      <c r="D13900" s="0" t="s">
        <v>46310</v>
      </c>
      <c r="E13900" s="0" t="s">
        <v>46311</v>
      </c>
      <c r="F13900" s="0" t="s">
        <v>90</v>
      </c>
      <c r="G13900" s="0" t="s">
        <v>16</v>
      </c>
      <c r="H13900" s="0" t="n">
        <v>64</v>
      </c>
      <c r="I13900" s="0" t="s">
        <v>46318</v>
      </c>
      <c r="J13900" s="0" t="s">
        <v>46319</v>
      </c>
      <c r="K13900" s="0" t="s">
        <v>46320</v>
      </c>
      <c r="L13900" s="0" t="str">
        <f aca="false">HYPERLINK("https://www.ncbi.nlm.nih.gov/nuccore/CP000304.1?report=graph&amp;tracks=[key:gene_model_track,Options:GeneOnly]&amp;mk=3920746:3920765|offset_10|444444,3920725:3920744|offset_31|444444,3920692:3920711|offset_64|00cc00,3920670:3920689|offset_86|444444&amp;v=3920545:3920889&amp;c=444444", "offset 64")</f>
        <v>offset 64</v>
      </c>
    </row>
    <row r="13901" customFormat="false" ht="12.8" hidden="false" customHeight="false" outlineLevel="0" collapsed="false">
      <c r="A13901" s="0" t="s">
        <v>12</v>
      </c>
      <c r="B13901" s="0" t="n">
        <v>3920669</v>
      </c>
      <c r="C13901" s="0" t="n">
        <v>3920689</v>
      </c>
      <c r="D13901" s="0" t="s">
        <v>46310</v>
      </c>
      <c r="E13901" s="0" t="s">
        <v>46311</v>
      </c>
      <c r="F13901" s="0" t="s">
        <v>90</v>
      </c>
      <c r="G13901" s="0" t="s">
        <v>26</v>
      </c>
      <c r="H13901" s="0" t="n">
        <v>86</v>
      </c>
      <c r="I13901" s="0" t="s">
        <v>46321</v>
      </c>
      <c r="J13901" s="0" t="s">
        <v>46322</v>
      </c>
      <c r="K13901" s="0" t="s">
        <v>46323</v>
      </c>
      <c r="L13901" s="0" t="str">
        <f aca="false">HYPERLINK("https://www.ncbi.nlm.nih.gov/nuccore/CP000304.1?report=graph&amp;tracks=[key:gene_model_track,Options:GeneOnly]&amp;mk=3920746:3920765|offset_10|444444,3920725:3920744|offset_31|444444,3920692:3920711|offset_64|444444,3920670:3920689|offset_86|00cc00&amp;v=3920545:3920889&amp;c=444444", "offset 86")</f>
        <v>offset 86</v>
      </c>
    </row>
    <row r="13902" customFormat="false" ht="12.8" hidden="false" customHeight="false" outlineLevel="0" collapsed="false">
      <c r="A13902" s="0" t="s">
        <v>12</v>
      </c>
      <c r="B13902" s="0" t="n">
        <v>3921412</v>
      </c>
      <c r="C13902" s="0" t="n">
        <v>3921432</v>
      </c>
      <c r="D13902" s="0" t="s">
        <v>46324</v>
      </c>
      <c r="E13902" s="0" t="s">
        <v>89</v>
      </c>
      <c r="F13902" s="0" t="s">
        <v>90</v>
      </c>
      <c r="G13902" s="0" t="s">
        <v>36</v>
      </c>
      <c r="H13902" s="0" t="n">
        <v>21</v>
      </c>
      <c r="I13902" s="0" t="s">
        <v>46325</v>
      </c>
      <c r="J13902" s="0" t="s">
        <v>46326</v>
      </c>
      <c r="K13902" s="0" t="s">
        <v>46327</v>
      </c>
      <c r="L13902" s="0" t="str">
        <f aca="false">HYPERLINK("https://www.ncbi.nlm.nih.gov/nuccore/CP000304.1?report=graph&amp;tracks=[key:gene_model_track,Options:GeneOnly]&amp;mk=3921413:3921432|offset_21|00cc00,3921359:3921378|offset_75|444444,3921330:3921349|offset_104|444444,3921304:3921323|offset_130|444444&amp;v=3921212:3921523&amp;c=444444", "offset 21")</f>
        <v>offset 21</v>
      </c>
    </row>
    <row r="13903" customFormat="false" ht="12.8" hidden="false" customHeight="false" outlineLevel="0" collapsed="false">
      <c r="A13903" s="0" t="s">
        <v>12</v>
      </c>
      <c r="B13903" s="0" t="n">
        <v>3921358</v>
      </c>
      <c r="C13903" s="0" t="n">
        <v>3921378</v>
      </c>
      <c r="D13903" s="0" t="s">
        <v>46324</v>
      </c>
      <c r="E13903" s="0" t="s">
        <v>89</v>
      </c>
      <c r="F13903" s="0" t="s">
        <v>90</v>
      </c>
      <c r="G13903" s="0" t="s">
        <v>16</v>
      </c>
      <c r="H13903" s="0" t="n">
        <v>75</v>
      </c>
      <c r="I13903" s="0" t="s">
        <v>46328</v>
      </c>
      <c r="J13903" s="0" t="s">
        <v>46329</v>
      </c>
      <c r="K13903" s="0" t="s">
        <v>46330</v>
      </c>
      <c r="L13903" s="0" t="str">
        <f aca="false">HYPERLINK("https://www.ncbi.nlm.nih.gov/nuccore/CP000304.1?report=graph&amp;tracks=[key:gene_model_track,Options:GeneOnly]&amp;mk=3921413:3921432|offset_21|444444,3921359:3921378|offset_75|00cc00,3921330:3921349|offset_104|444444,3921304:3921323|offset_130|444444&amp;v=3921212:3921523&amp;c=444444", "offset 75")</f>
        <v>offset 75</v>
      </c>
    </row>
    <row r="13904" customFormat="false" ht="12.8" hidden="false" customHeight="false" outlineLevel="0" collapsed="false">
      <c r="A13904" s="0" t="s">
        <v>12</v>
      </c>
      <c r="B13904" s="0" t="n">
        <v>3921329</v>
      </c>
      <c r="C13904" s="0" t="n">
        <v>3921349</v>
      </c>
      <c r="D13904" s="0" t="s">
        <v>46324</v>
      </c>
      <c r="E13904" s="0" t="s">
        <v>89</v>
      </c>
      <c r="F13904" s="0" t="s">
        <v>90</v>
      </c>
      <c r="G13904" s="0" t="s">
        <v>32</v>
      </c>
      <c r="H13904" s="0" t="n">
        <v>104</v>
      </c>
      <c r="I13904" s="0" t="s">
        <v>46331</v>
      </c>
      <c r="J13904" s="0" t="s">
        <v>46332</v>
      </c>
      <c r="K13904" s="0" t="s">
        <v>46333</v>
      </c>
      <c r="L13904" s="0" t="str">
        <f aca="false">HYPERLINK("https://www.ncbi.nlm.nih.gov/nuccore/CP000304.1?report=graph&amp;tracks=[key:gene_model_track,Options:GeneOnly]&amp;mk=3921413:3921432|offset_21|444444,3921359:3921378|offset_75|444444,3921330:3921349|offset_104|00cc00,3921304:3921323|offset_130|444444&amp;v=3921212:3921523&amp;c=444444", "offset 104")</f>
        <v>offset 104</v>
      </c>
    </row>
    <row r="13905" customFormat="false" ht="12.8" hidden="false" customHeight="false" outlineLevel="0" collapsed="false">
      <c r="A13905" s="0" t="s">
        <v>12</v>
      </c>
      <c r="B13905" s="0" t="n">
        <v>3921303</v>
      </c>
      <c r="C13905" s="0" t="n">
        <v>3921323</v>
      </c>
      <c r="D13905" s="0" t="s">
        <v>46324</v>
      </c>
      <c r="E13905" s="0" t="s">
        <v>89</v>
      </c>
      <c r="F13905" s="0" t="s">
        <v>90</v>
      </c>
      <c r="G13905" s="0" t="s">
        <v>32</v>
      </c>
      <c r="H13905" s="0" t="n">
        <v>130</v>
      </c>
      <c r="I13905" s="0" t="s">
        <v>46334</v>
      </c>
      <c r="J13905" s="0" t="s">
        <v>46335</v>
      </c>
      <c r="K13905" s="0" t="s">
        <v>46336</v>
      </c>
      <c r="L13905" s="0" t="str">
        <f aca="false">HYPERLINK("https://www.ncbi.nlm.nih.gov/nuccore/CP000304.1?report=graph&amp;tracks=[key:gene_model_track,Options:GeneOnly]&amp;mk=3921413:3921432|offset_21|444444,3921359:3921378|offset_75|444444,3921330:3921349|offset_104|444444,3921304:3921323|offset_130|00cc00&amp;v=3921212:3921523&amp;c=444444", "offset 130")</f>
        <v>offset 130</v>
      </c>
    </row>
    <row r="13906" customFormat="false" ht="12.8" hidden="false" customHeight="false" outlineLevel="0" collapsed="false">
      <c r="A13906" s="0" t="s">
        <v>12</v>
      </c>
      <c r="B13906" s="0" t="n">
        <v>3921571</v>
      </c>
      <c r="C13906" s="0" t="n">
        <v>3921591</v>
      </c>
      <c r="D13906" s="0" t="s">
        <v>46337</v>
      </c>
      <c r="E13906" s="0" t="s">
        <v>89</v>
      </c>
      <c r="F13906" s="0" t="s">
        <v>15</v>
      </c>
      <c r="G13906" s="0" t="s">
        <v>16</v>
      </c>
      <c r="H13906" s="0" t="n">
        <v>46</v>
      </c>
      <c r="I13906" s="0" t="s">
        <v>46338</v>
      </c>
      <c r="J13906" s="0" t="s">
        <v>46339</v>
      </c>
      <c r="K13906" s="0" t="s">
        <v>46340</v>
      </c>
      <c r="L13906" s="0" t="str">
        <f aca="false">HYPERLINK("https://www.ncbi.nlm.nih.gov/nuccore/CP000304.1?report=graph&amp;tracks=[key:gene_model_track,Options:GeneOnly]&amp;mk=3921572:3921591|offset_46|00cc00,3921605:3921624|offset_79|444444,3921625:3921644|offset_99|444444,3921653:3921672|offset_127|444444&amp;v=3921371:3921872&amp;c=444444", "offset 46")</f>
        <v>offset 46</v>
      </c>
    </row>
    <row r="13907" customFormat="false" ht="12.8" hidden="false" customHeight="false" outlineLevel="0" collapsed="false">
      <c r="A13907" s="0" t="s">
        <v>12</v>
      </c>
      <c r="B13907" s="0" t="n">
        <v>3921604</v>
      </c>
      <c r="C13907" s="0" t="n">
        <v>3921624</v>
      </c>
      <c r="D13907" s="0" t="s">
        <v>46337</v>
      </c>
      <c r="E13907" s="0" t="s">
        <v>89</v>
      </c>
      <c r="F13907" s="0" t="s">
        <v>15</v>
      </c>
      <c r="G13907" s="0" t="s">
        <v>36</v>
      </c>
      <c r="H13907" s="0" t="n">
        <v>79</v>
      </c>
      <c r="I13907" s="0" t="s">
        <v>46341</v>
      </c>
      <c r="J13907" s="0" t="s">
        <v>46342</v>
      </c>
      <c r="K13907" s="0" t="s">
        <v>46343</v>
      </c>
      <c r="L13907" s="0" t="str">
        <f aca="false">HYPERLINK("https://www.ncbi.nlm.nih.gov/nuccore/CP000304.1?report=graph&amp;tracks=[key:gene_model_track,Options:GeneOnly]&amp;mk=3921572:3921591|offset_46|444444,3921605:3921624|offset_79|00cc00,3921625:3921644|offset_99|444444,3921653:3921672|offset_127|444444&amp;v=3921371:3921872&amp;c=444444", "offset 79")</f>
        <v>offset 79</v>
      </c>
    </row>
    <row r="13908" customFormat="false" ht="12.8" hidden="false" customHeight="false" outlineLevel="0" collapsed="false">
      <c r="A13908" s="0" t="s">
        <v>12</v>
      </c>
      <c r="B13908" s="0" t="n">
        <v>3921624</v>
      </c>
      <c r="C13908" s="0" t="n">
        <v>3921644</v>
      </c>
      <c r="D13908" s="0" t="s">
        <v>46337</v>
      </c>
      <c r="E13908" s="0" t="s">
        <v>89</v>
      </c>
      <c r="F13908" s="0" t="s">
        <v>15</v>
      </c>
      <c r="G13908" s="0" t="s">
        <v>16</v>
      </c>
      <c r="H13908" s="0" t="n">
        <v>99</v>
      </c>
      <c r="I13908" s="0" t="s">
        <v>46344</v>
      </c>
      <c r="J13908" s="0" t="s">
        <v>46345</v>
      </c>
      <c r="K13908" s="0" t="s">
        <v>46346</v>
      </c>
      <c r="L13908" s="0" t="str">
        <f aca="false">HYPERLINK("https://www.ncbi.nlm.nih.gov/nuccore/CP000304.1?report=graph&amp;tracks=[key:gene_model_track,Options:GeneOnly]&amp;mk=3921572:3921591|offset_46|444444,3921605:3921624|offset_79|444444,3921625:3921644|offset_99|00cc00,3921653:3921672|offset_127|444444&amp;v=3921371:3921872&amp;c=444444", "offset 99")</f>
        <v>offset 99</v>
      </c>
    </row>
    <row r="13909" customFormat="false" ht="12.8" hidden="false" customHeight="false" outlineLevel="0" collapsed="false">
      <c r="A13909" s="0" t="s">
        <v>12</v>
      </c>
      <c r="B13909" s="0" t="n">
        <v>3921652</v>
      </c>
      <c r="C13909" s="0" t="n">
        <v>3921672</v>
      </c>
      <c r="D13909" s="0" t="s">
        <v>46337</v>
      </c>
      <c r="E13909" s="0" t="s">
        <v>89</v>
      </c>
      <c r="F13909" s="0" t="s">
        <v>15</v>
      </c>
      <c r="G13909" s="0" t="s">
        <v>32</v>
      </c>
      <c r="H13909" s="0" t="n">
        <v>127</v>
      </c>
      <c r="I13909" s="0" t="s">
        <v>46347</v>
      </c>
      <c r="J13909" s="0" t="s">
        <v>46348</v>
      </c>
      <c r="K13909" s="0" t="s">
        <v>46349</v>
      </c>
      <c r="L13909" s="0" t="str">
        <f aca="false">HYPERLINK("https://www.ncbi.nlm.nih.gov/nuccore/CP000304.1?report=graph&amp;tracks=[key:gene_model_track,Options:GeneOnly]&amp;mk=3921572:3921591|offset_46|444444,3921605:3921624|offset_79|444444,3921625:3921644|offset_99|444444,3921653:3921672|offset_127|00cc00&amp;v=3921371:3921872&amp;c=444444", "offset 127")</f>
        <v>offset 127</v>
      </c>
    </row>
    <row r="13910" customFormat="false" ht="12.8" hidden="false" customHeight="false" outlineLevel="0" collapsed="false">
      <c r="A13910" s="0" t="s">
        <v>12</v>
      </c>
      <c r="B13910" s="0" t="n">
        <v>3922883</v>
      </c>
      <c r="C13910" s="0" t="n">
        <v>3922903</v>
      </c>
      <c r="D13910" s="0" t="s">
        <v>46350</v>
      </c>
      <c r="E13910" s="0" t="s">
        <v>46351</v>
      </c>
      <c r="F13910" s="0" t="s">
        <v>90</v>
      </c>
      <c r="G13910" s="0" t="s">
        <v>16</v>
      </c>
      <c r="H13910" s="0" t="n">
        <v>6</v>
      </c>
      <c r="I13910" s="0" t="s">
        <v>46352</v>
      </c>
      <c r="J13910" s="0" t="s">
        <v>46353</v>
      </c>
      <c r="K13910" s="0" t="s">
        <v>46354</v>
      </c>
      <c r="L13910" s="0" t="str">
        <f aca="false">HYPERLINK("https://www.ncbi.nlm.nih.gov/nuccore/CP000304.1?report=graph&amp;tracks=[key:gene_model_track,Options:GeneOnly]&amp;mk=3922884:3922903|offset_6|00cc00,3922859:3922878|offset_31|444444,3922834:3922853|offset_56|444444,3922796:3922815|offset_94|444444&amp;v=3922683:3923015&amp;c=444444", "offset 6")</f>
        <v>offset 6</v>
      </c>
    </row>
    <row r="13911" customFormat="false" ht="12.8" hidden="false" customHeight="false" outlineLevel="0" collapsed="false">
      <c r="A13911" s="0" t="s">
        <v>12</v>
      </c>
      <c r="B13911" s="0" t="n">
        <v>3922858</v>
      </c>
      <c r="C13911" s="0" t="n">
        <v>3922878</v>
      </c>
      <c r="D13911" s="0" t="s">
        <v>46350</v>
      </c>
      <c r="E13911" s="0" t="s">
        <v>46351</v>
      </c>
      <c r="F13911" s="0" t="s">
        <v>90</v>
      </c>
      <c r="G13911" s="0" t="s">
        <v>16</v>
      </c>
      <c r="H13911" s="0" t="n">
        <v>31</v>
      </c>
      <c r="I13911" s="0" t="s">
        <v>46355</v>
      </c>
      <c r="J13911" s="0" t="s">
        <v>46356</v>
      </c>
      <c r="K13911" s="0" t="s">
        <v>46357</v>
      </c>
      <c r="L13911" s="0" t="str">
        <f aca="false">HYPERLINK("https://www.ncbi.nlm.nih.gov/nuccore/CP000304.1?report=graph&amp;tracks=[key:gene_model_track,Options:GeneOnly]&amp;mk=3922884:3922903|offset_6|444444,3922859:3922878|offset_31|00cc00,3922834:3922853|offset_56|444444,3922796:3922815|offset_94|444444&amp;v=3922683:3923015&amp;c=444444", "offset 31")</f>
        <v>offset 31</v>
      </c>
    </row>
    <row r="13912" customFormat="false" ht="12.8" hidden="false" customHeight="false" outlineLevel="0" collapsed="false">
      <c r="A13912" s="0" t="s">
        <v>12</v>
      </c>
      <c r="B13912" s="0" t="n">
        <v>3922833</v>
      </c>
      <c r="C13912" s="0" t="n">
        <v>3922853</v>
      </c>
      <c r="D13912" s="0" t="s">
        <v>46350</v>
      </c>
      <c r="E13912" s="0" t="s">
        <v>46351</v>
      </c>
      <c r="F13912" s="0" t="s">
        <v>90</v>
      </c>
      <c r="G13912" s="0" t="s">
        <v>16</v>
      </c>
      <c r="H13912" s="0" t="n">
        <v>56</v>
      </c>
      <c r="I13912" s="0" t="s">
        <v>46358</v>
      </c>
      <c r="J13912" s="0" t="s">
        <v>46359</v>
      </c>
      <c r="K13912" s="0" t="s">
        <v>46360</v>
      </c>
      <c r="L13912" s="0" t="str">
        <f aca="false">HYPERLINK("https://www.ncbi.nlm.nih.gov/nuccore/CP000304.1?report=graph&amp;tracks=[key:gene_model_track,Options:GeneOnly]&amp;mk=3922884:3922903|offset_6|444444,3922859:3922878|offset_31|444444,3922834:3922853|offset_56|00cc00,3922796:3922815|offset_94|444444&amp;v=3922683:3923015&amp;c=444444", "offset 56")</f>
        <v>offset 56</v>
      </c>
    </row>
    <row r="13913" customFormat="false" ht="12.8" hidden="false" customHeight="false" outlineLevel="0" collapsed="false">
      <c r="A13913" s="0" t="s">
        <v>12</v>
      </c>
      <c r="B13913" s="0" t="n">
        <v>3922795</v>
      </c>
      <c r="C13913" s="0" t="n">
        <v>3922815</v>
      </c>
      <c r="D13913" s="0" t="s">
        <v>46350</v>
      </c>
      <c r="E13913" s="0" t="s">
        <v>46351</v>
      </c>
      <c r="F13913" s="0" t="s">
        <v>90</v>
      </c>
      <c r="G13913" s="0" t="s">
        <v>16</v>
      </c>
      <c r="H13913" s="0" t="n">
        <v>94</v>
      </c>
      <c r="I13913" s="0" t="s">
        <v>46361</v>
      </c>
      <c r="J13913" s="0" t="s">
        <v>46362</v>
      </c>
      <c r="K13913" s="0" t="s">
        <v>46363</v>
      </c>
      <c r="L13913" s="0" t="str">
        <f aca="false">HYPERLINK("https://www.ncbi.nlm.nih.gov/nuccore/CP000304.1?report=graph&amp;tracks=[key:gene_model_track,Options:GeneOnly]&amp;mk=3922884:3922903|offset_6|444444,3922859:3922878|offset_31|444444,3922834:3922853|offset_56|444444,3922796:3922815|offset_94|00cc00&amp;v=3922683:3923015&amp;c=444444", "offset 94")</f>
        <v>offset 94</v>
      </c>
    </row>
    <row r="13914" customFormat="false" ht="12.8" hidden="false" customHeight="false" outlineLevel="0" collapsed="false">
      <c r="A13914" s="0" t="s">
        <v>12</v>
      </c>
      <c r="B13914" s="0" t="n">
        <v>3923345</v>
      </c>
      <c r="C13914" s="0" t="n">
        <v>3923365</v>
      </c>
      <c r="D13914" s="0" t="s">
        <v>46364</v>
      </c>
      <c r="E13914" s="0" t="s">
        <v>89</v>
      </c>
      <c r="F13914" s="0" t="s">
        <v>15</v>
      </c>
      <c r="G13914" s="0" t="s">
        <v>16</v>
      </c>
      <c r="H13914" s="0" t="n">
        <v>10</v>
      </c>
      <c r="I13914" s="0" t="s">
        <v>46365</v>
      </c>
      <c r="J13914" s="0" t="s">
        <v>46366</v>
      </c>
      <c r="K13914" s="0" t="s">
        <v>46367</v>
      </c>
      <c r="L13914" s="0" t="str">
        <f aca="false">HYPERLINK("https://www.ncbi.nlm.nih.gov/nuccore/CP000304.1?report=graph&amp;tracks=[key:gene_model_track,Options:GeneOnly]&amp;mk=3923346:3923365|offset_10|00cc00,3923379:3923398|offset_43|444444,3923402:3923421|offset_66|444444,3923452:3923471|offset_116|444444&amp;v=3923145:3923671&amp;c=444444", "offset 10")</f>
        <v>offset 10</v>
      </c>
    </row>
    <row r="13915" customFormat="false" ht="12.8" hidden="false" customHeight="false" outlineLevel="0" collapsed="false">
      <c r="A13915" s="0" t="s">
        <v>12</v>
      </c>
      <c r="B13915" s="0" t="n">
        <v>3923378</v>
      </c>
      <c r="C13915" s="0" t="n">
        <v>3923398</v>
      </c>
      <c r="D13915" s="0" t="s">
        <v>46364</v>
      </c>
      <c r="E13915" s="0" t="s">
        <v>89</v>
      </c>
      <c r="F13915" s="0" t="s">
        <v>15</v>
      </c>
      <c r="G13915" s="0" t="s">
        <v>36</v>
      </c>
      <c r="H13915" s="0" t="n">
        <v>43</v>
      </c>
      <c r="I13915" s="0" t="s">
        <v>46368</v>
      </c>
      <c r="J13915" s="0" t="s">
        <v>46369</v>
      </c>
      <c r="K13915" s="0" t="s">
        <v>46370</v>
      </c>
      <c r="L13915" s="0" t="str">
        <f aca="false">HYPERLINK("https://www.ncbi.nlm.nih.gov/nuccore/CP000304.1?report=graph&amp;tracks=[key:gene_model_track,Options:GeneOnly]&amp;mk=3923346:3923365|offset_10|444444,3923379:3923398|offset_43|00cc00,3923402:3923421|offset_66|444444,3923452:3923471|offset_116|444444&amp;v=3923145:3923671&amp;c=444444", "offset 43")</f>
        <v>offset 43</v>
      </c>
    </row>
    <row r="13916" customFormat="false" ht="12.8" hidden="false" customHeight="false" outlineLevel="0" collapsed="false">
      <c r="A13916" s="0" t="s">
        <v>12</v>
      </c>
      <c r="B13916" s="0" t="n">
        <v>3923401</v>
      </c>
      <c r="C13916" s="0" t="n">
        <v>3923421</v>
      </c>
      <c r="D13916" s="0" t="s">
        <v>46364</v>
      </c>
      <c r="E13916" s="0" t="s">
        <v>89</v>
      </c>
      <c r="F13916" s="0" t="s">
        <v>15</v>
      </c>
      <c r="G13916" s="0" t="s">
        <v>16</v>
      </c>
      <c r="H13916" s="0" t="n">
        <v>66</v>
      </c>
      <c r="I13916" s="0" t="s">
        <v>46371</v>
      </c>
      <c r="J13916" s="0" t="s">
        <v>46372</v>
      </c>
      <c r="K13916" s="0" t="s">
        <v>46373</v>
      </c>
      <c r="L13916" s="0" t="str">
        <f aca="false">HYPERLINK("https://www.ncbi.nlm.nih.gov/nuccore/CP000304.1?report=graph&amp;tracks=[key:gene_model_track,Options:GeneOnly]&amp;mk=3923346:3923365|offset_10|444444,3923379:3923398|offset_43|444444,3923402:3923421|offset_66|00cc00,3923452:3923471|offset_116|444444&amp;v=3923145:3923671&amp;c=444444", "offset 66")</f>
        <v>offset 66</v>
      </c>
    </row>
    <row r="13917" customFormat="false" ht="12.8" hidden="false" customHeight="false" outlineLevel="0" collapsed="false">
      <c r="A13917" s="0" t="s">
        <v>12</v>
      </c>
      <c r="B13917" s="0" t="n">
        <v>3923451</v>
      </c>
      <c r="C13917" s="0" t="n">
        <v>3923471</v>
      </c>
      <c r="D13917" s="0" t="s">
        <v>46364</v>
      </c>
      <c r="E13917" s="0" t="s">
        <v>89</v>
      </c>
      <c r="F13917" s="0" t="s">
        <v>15</v>
      </c>
      <c r="G13917" s="0" t="s">
        <v>32</v>
      </c>
      <c r="H13917" s="0" t="n">
        <v>116</v>
      </c>
      <c r="I13917" s="0" t="s">
        <v>46374</v>
      </c>
      <c r="J13917" s="0" t="s">
        <v>46375</v>
      </c>
      <c r="K13917" s="0" t="s">
        <v>46376</v>
      </c>
      <c r="L13917" s="0" t="str">
        <f aca="false">HYPERLINK("https://www.ncbi.nlm.nih.gov/nuccore/CP000304.1?report=graph&amp;tracks=[key:gene_model_track,Options:GeneOnly]&amp;mk=3923346:3923365|offset_10|444444,3923379:3923398|offset_43|444444,3923402:3923421|offset_66|444444,3923452:3923471|offset_116|00cc00&amp;v=3923145:3923671&amp;c=444444", "offset 116")</f>
        <v>offset 116</v>
      </c>
    </row>
    <row r="13918" customFormat="false" ht="12.8" hidden="false" customHeight="false" outlineLevel="0" collapsed="false">
      <c r="A13918" s="0" t="s">
        <v>12</v>
      </c>
      <c r="B13918" s="0" t="n">
        <v>3925937</v>
      </c>
      <c r="C13918" s="0" t="n">
        <v>3925957</v>
      </c>
      <c r="D13918" s="0" t="s">
        <v>46377</v>
      </c>
      <c r="E13918" s="0" t="s">
        <v>46378</v>
      </c>
      <c r="F13918" s="0" t="s">
        <v>15</v>
      </c>
      <c r="G13918" s="0" t="s">
        <v>36</v>
      </c>
      <c r="H13918" s="0" t="n">
        <v>0</v>
      </c>
      <c r="I13918" s="0" t="s">
        <v>46379</v>
      </c>
      <c r="J13918" s="0" t="s">
        <v>46380</v>
      </c>
      <c r="K13918" s="0" t="s">
        <v>46381</v>
      </c>
      <c r="L13918" s="0" t="str">
        <f aca="false">HYPERLINK("https://www.ncbi.nlm.nih.gov/nuccore/CP000304.1?report=graph&amp;tracks=[key:gene_model_track,Options:GeneOnly]&amp;mk=3925938:3925957|offset_0|00cc00,3925982:3926001|offset_44|444444,3926011:3926030|offset_73|444444,3926032:3926051|offset_94|444444&amp;v=3925737:3926251&amp;c=444444", "offset 0")</f>
        <v>offset 0</v>
      </c>
    </row>
    <row r="13919" customFormat="false" ht="12.8" hidden="false" customHeight="false" outlineLevel="0" collapsed="false">
      <c r="A13919" s="0" t="s">
        <v>12</v>
      </c>
      <c r="B13919" s="0" t="n">
        <v>3925981</v>
      </c>
      <c r="C13919" s="0" t="n">
        <v>3926001</v>
      </c>
      <c r="D13919" s="0" t="s">
        <v>46377</v>
      </c>
      <c r="E13919" s="0" t="s">
        <v>46378</v>
      </c>
      <c r="F13919" s="0" t="s">
        <v>15</v>
      </c>
      <c r="G13919" s="0" t="s">
        <v>26</v>
      </c>
      <c r="H13919" s="0" t="n">
        <v>44</v>
      </c>
      <c r="I13919" s="0" t="s">
        <v>46382</v>
      </c>
      <c r="J13919" s="0" t="s">
        <v>46383</v>
      </c>
      <c r="K13919" s="0" t="s">
        <v>46384</v>
      </c>
      <c r="L13919" s="0" t="str">
        <f aca="false">HYPERLINK("https://www.ncbi.nlm.nih.gov/nuccore/CP000304.1?report=graph&amp;tracks=[key:gene_model_track,Options:GeneOnly]&amp;mk=3925938:3925957|offset_0|444444,3925982:3926001|offset_44|00cc00,3926011:3926030|offset_73|444444,3926032:3926051|offset_94|444444&amp;v=3925737:3926251&amp;c=444444", "offset 44")</f>
        <v>offset 44</v>
      </c>
    </row>
    <row r="13920" customFormat="false" ht="12.8" hidden="false" customHeight="false" outlineLevel="0" collapsed="false">
      <c r="A13920" s="0" t="s">
        <v>12</v>
      </c>
      <c r="B13920" s="0" t="n">
        <v>3926010</v>
      </c>
      <c r="C13920" s="0" t="n">
        <v>3926030</v>
      </c>
      <c r="D13920" s="0" t="s">
        <v>46377</v>
      </c>
      <c r="E13920" s="0" t="s">
        <v>46378</v>
      </c>
      <c r="F13920" s="0" t="s">
        <v>15</v>
      </c>
      <c r="G13920" s="0" t="s">
        <v>36</v>
      </c>
      <c r="H13920" s="0" t="n">
        <v>73</v>
      </c>
      <c r="I13920" s="0" t="s">
        <v>46385</v>
      </c>
      <c r="J13920" s="0" t="s">
        <v>46386</v>
      </c>
      <c r="K13920" s="0" t="s">
        <v>46387</v>
      </c>
      <c r="L13920" s="0" t="str">
        <f aca="false">HYPERLINK("https://www.ncbi.nlm.nih.gov/nuccore/CP000304.1?report=graph&amp;tracks=[key:gene_model_track,Options:GeneOnly]&amp;mk=3925938:3925957|offset_0|444444,3925982:3926001|offset_44|444444,3926011:3926030|offset_73|00cc00,3926032:3926051|offset_94|444444&amp;v=3925737:3926251&amp;c=444444", "offset 73")</f>
        <v>offset 73</v>
      </c>
    </row>
    <row r="13921" customFormat="false" ht="12.8" hidden="false" customHeight="false" outlineLevel="0" collapsed="false">
      <c r="A13921" s="0" t="s">
        <v>12</v>
      </c>
      <c r="B13921" s="0" t="n">
        <v>3926031</v>
      </c>
      <c r="C13921" s="0" t="n">
        <v>3926051</v>
      </c>
      <c r="D13921" s="0" t="s">
        <v>46377</v>
      </c>
      <c r="E13921" s="0" t="s">
        <v>46378</v>
      </c>
      <c r="F13921" s="0" t="s">
        <v>15</v>
      </c>
      <c r="G13921" s="0" t="s">
        <v>36</v>
      </c>
      <c r="H13921" s="0" t="n">
        <v>94</v>
      </c>
      <c r="I13921" s="0" t="s">
        <v>46388</v>
      </c>
      <c r="J13921" s="0" t="s">
        <v>46389</v>
      </c>
      <c r="K13921" s="0" t="s">
        <v>46390</v>
      </c>
      <c r="L13921" s="0" t="str">
        <f aca="false">HYPERLINK("https://www.ncbi.nlm.nih.gov/nuccore/CP000304.1?report=graph&amp;tracks=[key:gene_model_track,Options:GeneOnly]&amp;mk=3925938:3925957|offset_0|444444,3925982:3926001|offset_44|444444,3926011:3926030|offset_73|444444,3926032:3926051|offset_94|00cc00&amp;v=3925737:3926251&amp;c=444444", "offset 94")</f>
        <v>offset 94</v>
      </c>
    </row>
    <row r="13922" customFormat="false" ht="12.8" hidden="false" customHeight="false" outlineLevel="0" collapsed="false">
      <c r="A13922" s="0" t="s">
        <v>12</v>
      </c>
      <c r="B13922" s="0" t="n">
        <v>3927264</v>
      </c>
      <c r="C13922" s="0" t="n">
        <v>3927284</v>
      </c>
      <c r="D13922" s="0" t="s">
        <v>46391</v>
      </c>
      <c r="E13922" s="0" t="s">
        <v>89</v>
      </c>
      <c r="F13922" s="0" t="s">
        <v>15</v>
      </c>
      <c r="G13922" s="0" t="s">
        <v>32</v>
      </c>
      <c r="H13922" s="0" t="n">
        <v>8</v>
      </c>
      <c r="I13922" s="0" t="s">
        <v>46392</v>
      </c>
      <c r="J13922" s="0" t="s">
        <v>46393</v>
      </c>
      <c r="K13922" s="0" t="s">
        <v>46394</v>
      </c>
      <c r="L13922" s="0" t="str">
        <f aca="false">HYPERLINK("https://www.ncbi.nlm.nih.gov/nuccore/CP000304.1?report=graph&amp;tracks=[key:gene_model_track,Options:GeneOnly]&amp;mk=3927265:3927284|offset_8|00cc00,3927309:3927328|offset_52|444444,3927339:3927358|offset_82|444444&amp;v=3927064:3927558&amp;c=444444", "offset 8")</f>
        <v>offset 8</v>
      </c>
    </row>
    <row r="13923" customFormat="false" ht="12.8" hidden="false" customHeight="false" outlineLevel="0" collapsed="false">
      <c r="A13923" s="0" t="s">
        <v>12</v>
      </c>
      <c r="B13923" s="0" t="n">
        <v>3927308</v>
      </c>
      <c r="C13923" s="0" t="n">
        <v>3927328</v>
      </c>
      <c r="D13923" s="0" t="s">
        <v>46391</v>
      </c>
      <c r="E13923" s="0" t="s">
        <v>89</v>
      </c>
      <c r="F13923" s="0" t="s">
        <v>15</v>
      </c>
      <c r="G13923" s="0" t="s">
        <v>36</v>
      </c>
      <c r="H13923" s="0" t="n">
        <v>52</v>
      </c>
      <c r="I13923" s="0" t="s">
        <v>46395</v>
      </c>
      <c r="J13923" s="0" t="s">
        <v>46396</v>
      </c>
      <c r="K13923" s="0" t="s">
        <v>46397</v>
      </c>
      <c r="L13923" s="0" t="str">
        <f aca="false">HYPERLINK("https://www.ncbi.nlm.nih.gov/nuccore/CP000304.1?report=graph&amp;tracks=[key:gene_model_track,Options:GeneOnly]&amp;mk=3927265:3927284|offset_8|444444,3927309:3927328|offset_52|00cc00,3927339:3927358|offset_82|444444&amp;v=3927064:3927558&amp;c=444444", "offset 52")</f>
        <v>offset 52</v>
      </c>
    </row>
    <row r="13924" customFormat="false" ht="12.8" hidden="false" customHeight="false" outlineLevel="0" collapsed="false">
      <c r="A13924" s="0" t="s">
        <v>12</v>
      </c>
      <c r="B13924" s="0" t="n">
        <v>3927338</v>
      </c>
      <c r="C13924" s="0" t="n">
        <v>3927358</v>
      </c>
      <c r="D13924" s="0" t="s">
        <v>46391</v>
      </c>
      <c r="E13924" s="0" t="s">
        <v>89</v>
      </c>
      <c r="F13924" s="0" t="s">
        <v>15</v>
      </c>
      <c r="G13924" s="0" t="s">
        <v>16</v>
      </c>
      <c r="H13924" s="0" t="n">
        <v>82</v>
      </c>
      <c r="I13924" s="0" t="s">
        <v>46398</v>
      </c>
      <c r="J13924" s="0" t="s">
        <v>46399</v>
      </c>
      <c r="K13924" s="0" t="s">
        <v>46400</v>
      </c>
      <c r="L13924" s="0" t="str">
        <f aca="false">HYPERLINK("https://www.ncbi.nlm.nih.gov/nuccore/CP000304.1?report=graph&amp;tracks=[key:gene_model_track,Options:GeneOnly]&amp;mk=3927265:3927284|offset_8|444444,3927309:3927328|offset_52|444444,3927339:3927358|offset_82|00cc00&amp;v=3927064:3927558&amp;c=444444", "offset 82")</f>
        <v>offset 82</v>
      </c>
    </row>
    <row r="13925" customFormat="false" ht="12.8" hidden="false" customHeight="false" outlineLevel="0" collapsed="false">
      <c r="A13925" s="0" t="s">
        <v>12</v>
      </c>
      <c r="B13925" s="0" t="n">
        <v>3930324</v>
      </c>
      <c r="C13925" s="0" t="n">
        <v>3930344</v>
      </c>
      <c r="D13925" s="0" t="s">
        <v>46401</v>
      </c>
      <c r="E13925" s="0" t="s">
        <v>46402</v>
      </c>
      <c r="F13925" s="0" t="s">
        <v>90</v>
      </c>
      <c r="G13925" s="0" t="s">
        <v>32</v>
      </c>
      <c r="H13925" s="0" t="n">
        <v>1</v>
      </c>
      <c r="I13925" s="0" t="s">
        <v>46403</v>
      </c>
      <c r="J13925" s="0" t="s">
        <v>46404</v>
      </c>
      <c r="K13925" s="0" t="s">
        <v>46405</v>
      </c>
      <c r="L13925" s="0" t="str">
        <f aca="false">HYPERLINK("https://www.ncbi.nlm.nih.gov/nuccore/CP000304.1?report=graph&amp;tracks=[key:gene_model_track,Options:GeneOnly]&amp;mk=3930325:3930344|offset_1|00cc00,3930304:3930323|offset_22|444444,3930280:3930299|offset_46|444444,3930255:3930274|offset_71|444444&amp;v=3930124:3930474&amp;c=444444", "offset 1")</f>
        <v>offset 1</v>
      </c>
    </row>
    <row r="13926" customFormat="false" ht="12.8" hidden="false" customHeight="false" outlineLevel="0" collapsed="false">
      <c r="A13926" s="0" t="s">
        <v>12</v>
      </c>
      <c r="B13926" s="0" t="n">
        <v>3930303</v>
      </c>
      <c r="C13926" s="0" t="n">
        <v>3930323</v>
      </c>
      <c r="D13926" s="0" t="s">
        <v>46401</v>
      </c>
      <c r="E13926" s="0" t="s">
        <v>46402</v>
      </c>
      <c r="F13926" s="0" t="s">
        <v>90</v>
      </c>
      <c r="G13926" s="0" t="s">
        <v>32</v>
      </c>
      <c r="H13926" s="0" t="n">
        <v>22</v>
      </c>
      <c r="I13926" s="0" t="s">
        <v>46406</v>
      </c>
      <c r="J13926" s="0" t="s">
        <v>46407</v>
      </c>
      <c r="K13926" s="0" t="s">
        <v>46408</v>
      </c>
      <c r="L13926" s="0" t="str">
        <f aca="false">HYPERLINK("https://www.ncbi.nlm.nih.gov/nuccore/CP000304.1?report=graph&amp;tracks=[key:gene_model_track,Options:GeneOnly]&amp;mk=3930325:3930344|offset_1|444444,3930304:3930323|offset_22|00cc00,3930280:3930299|offset_46|444444,3930255:3930274|offset_71|444444&amp;v=3930124:3930474&amp;c=444444", "offset 22")</f>
        <v>offset 22</v>
      </c>
    </row>
    <row r="13927" customFormat="false" ht="12.8" hidden="false" customHeight="false" outlineLevel="0" collapsed="false">
      <c r="A13927" s="0" t="s">
        <v>12</v>
      </c>
      <c r="B13927" s="0" t="n">
        <v>3930279</v>
      </c>
      <c r="C13927" s="0" t="n">
        <v>3930299</v>
      </c>
      <c r="D13927" s="0" t="s">
        <v>46401</v>
      </c>
      <c r="E13927" s="0" t="s">
        <v>46402</v>
      </c>
      <c r="F13927" s="0" t="s">
        <v>90</v>
      </c>
      <c r="G13927" s="0" t="s">
        <v>16</v>
      </c>
      <c r="H13927" s="0" t="n">
        <v>46</v>
      </c>
      <c r="I13927" s="0" t="s">
        <v>46409</v>
      </c>
      <c r="J13927" s="0" t="s">
        <v>46410</v>
      </c>
      <c r="K13927" s="0" t="s">
        <v>46411</v>
      </c>
      <c r="L13927" s="0" t="str">
        <f aca="false">HYPERLINK("https://www.ncbi.nlm.nih.gov/nuccore/CP000304.1?report=graph&amp;tracks=[key:gene_model_track,Options:GeneOnly]&amp;mk=3930325:3930344|offset_1|444444,3930304:3930323|offset_22|444444,3930280:3930299|offset_46|00cc00,3930255:3930274|offset_71|444444&amp;v=3930124:3930474&amp;c=444444", "offset 46")</f>
        <v>offset 46</v>
      </c>
    </row>
    <row r="13928" customFormat="false" ht="12.8" hidden="false" customHeight="false" outlineLevel="0" collapsed="false">
      <c r="A13928" s="0" t="s">
        <v>12</v>
      </c>
      <c r="B13928" s="0" t="n">
        <v>3930254</v>
      </c>
      <c r="C13928" s="0" t="n">
        <v>3930274</v>
      </c>
      <c r="D13928" s="0" t="s">
        <v>46401</v>
      </c>
      <c r="E13928" s="0" t="s">
        <v>46402</v>
      </c>
      <c r="F13928" s="0" t="s">
        <v>90</v>
      </c>
      <c r="G13928" s="0" t="s">
        <v>26</v>
      </c>
      <c r="H13928" s="0" t="n">
        <v>71</v>
      </c>
      <c r="I13928" s="0" t="s">
        <v>46412</v>
      </c>
      <c r="J13928" s="0" t="s">
        <v>46413</v>
      </c>
      <c r="K13928" s="0" t="s">
        <v>46414</v>
      </c>
      <c r="L13928" s="0" t="str">
        <f aca="false">HYPERLINK("https://www.ncbi.nlm.nih.gov/nuccore/CP000304.1?report=graph&amp;tracks=[key:gene_model_track,Options:GeneOnly]&amp;mk=3930325:3930344|offset_1|444444,3930304:3930323|offset_22|444444,3930280:3930299|offset_46|444444,3930255:3930274|offset_71|00cc00&amp;v=3930124:3930474&amp;c=444444", "offset 71")</f>
        <v>offset 71</v>
      </c>
    </row>
    <row r="13929" customFormat="false" ht="12.8" hidden="false" customHeight="false" outlineLevel="0" collapsed="false">
      <c r="A13929" s="0" t="s">
        <v>12</v>
      </c>
      <c r="B13929" s="0" t="n">
        <v>3931188</v>
      </c>
      <c r="C13929" s="0" t="n">
        <v>3931208</v>
      </c>
      <c r="D13929" s="0" t="s">
        <v>46415</v>
      </c>
      <c r="E13929" s="0" t="s">
        <v>89</v>
      </c>
      <c r="F13929" s="0" t="s">
        <v>90</v>
      </c>
      <c r="G13929" s="0" t="s">
        <v>16</v>
      </c>
      <c r="H13929" s="0" t="n">
        <v>34</v>
      </c>
      <c r="I13929" s="0" t="s">
        <v>46416</v>
      </c>
      <c r="J13929" s="0" t="s">
        <v>46417</v>
      </c>
      <c r="K13929" s="0" t="s">
        <v>46418</v>
      </c>
      <c r="L13929" s="0" t="str">
        <f aca="false">HYPERLINK("https://www.ncbi.nlm.nih.gov/nuccore/CP000304.1?report=graph&amp;tracks=[key:gene_model_track,Options:GeneOnly]&amp;mk=3931189:3931208|offset_34|00cc00,3931159:3931178|offset_64|444444,3931121:3931140|offset_102|444444,3931079:3931098|offset_144|444444&amp;v=3930988:3931298&amp;c=444444", "offset 34")</f>
        <v>offset 34</v>
      </c>
    </row>
    <row r="13930" customFormat="false" ht="12.8" hidden="false" customHeight="false" outlineLevel="0" collapsed="false">
      <c r="A13930" s="0" t="s">
        <v>12</v>
      </c>
      <c r="B13930" s="0" t="n">
        <v>3931158</v>
      </c>
      <c r="C13930" s="0" t="n">
        <v>3931178</v>
      </c>
      <c r="D13930" s="0" t="s">
        <v>46415</v>
      </c>
      <c r="E13930" s="0" t="s">
        <v>89</v>
      </c>
      <c r="F13930" s="0" t="s">
        <v>90</v>
      </c>
      <c r="G13930" s="0" t="s">
        <v>26</v>
      </c>
      <c r="H13930" s="0" t="n">
        <v>64</v>
      </c>
      <c r="I13930" s="0" t="s">
        <v>46419</v>
      </c>
      <c r="J13930" s="0" t="s">
        <v>46420</v>
      </c>
      <c r="K13930" s="0" t="s">
        <v>46421</v>
      </c>
      <c r="L13930" s="0" t="str">
        <f aca="false">HYPERLINK("https://www.ncbi.nlm.nih.gov/nuccore/CP000304.1?report=graph&amp;tracks=[key:gene_model_track,Options:GeneOnly]&amp;mk=3931189:3931208|offset_34|444444,3931159:3931178|offset_64|00cc00,3931121:3931140|offset_102|444444,3931079:3931098|offset_144|444444&amp;v=3930988:3931298&amp;c=444444", "offset 64")</f>
        <v>offset 64</v>
      </c>
    </row>
    <row r="13931" customFormat="false" ht="12.8" hidden="false" customHeight="false" outlineLevel="0" collapsed="false">
      <c r="A13931" s="0" t="s">
        <v>12</v>
      </c>
      <c r="B13931" s="0" t="n">
        <v>3931120</v>
      </c>
      <c r="C13931" s="0" t="n">
        <v>3931140</v>
      </c>
      <c r="D13931" s="0" t="s">
        <v>46415</v>
      </c>
      <c r="E13931" s="0" t="s">
        <v>89</v>
      </c>
      <c r="F13931" s="0" t="s">
        <v>90</v>
      </c>
      <c r="G13931" s="0" t="s">
        <v>16</v>
      </c>
      <c r="H13931" s="0" t="n">
        <v>102</v>
      </c>
      <c r="I13931" s="0" t="s">
        <v>46422</v>
      </c>
      <c r="J13931" s="0" t="s">
        <v>46423</v>
      </c>
      <c r="K13931" s="0" t="s">
        <v>46424</v>
      </c>
      <c r="L13931" s="0" t="str">
        <f aca="false">HYPERLINK("https://www.ncbi.nlm.nih.gov/nuccore/CP000304.1?report=graph&amp;tracks=[key:gene_model_track,Options:GeneOnly]&amp;mk=3931189:3931208|offset_34|444444,3931159:3931178|offset_64|444444,3931121:3931140|offset_102|00cc00,3931079:3931098|offset_144|444444&amp;v=3930988:3931298&amp;c=444444", "offset 102")</f>
        <v>offset 102</v>
      </c>
    </row>
    <row r="13932" customFormat="false" ht="12.8" hidden="false" customHeight="false" outlineLevel="0" collapsed="false">
      <c r="A13932" s="0" t="s">
        <v>12</v>
      </c>
      <c r="B13932" s="0" t="n">
        <v>3931078</v>
      </c>
      <c r="C13932" s="0" t="n">
        <v>3931098</v>
      </c>
      <c r="D13932" s="0" t="s">
        <v>46415</v>
      </c>
      <c r="E13932" s="0" t="s">
        <v>89</v>
      </c>
      <c r="F13932" s="0" t="s">
        <v>90</v>
      </c>
      <c r="G13932" s="0" t="s">
        <v>16</v>
      </c>
      <c r="H13932" s="0" t="n">
        <v>144</v>
      </c>
      <c r="I13932" s="0" t="s">
        <v>46425</v>
      </c>
      <c r="J13932" s="0" t="s">
        <v>46426</v>
      </c>
      <c r="K13932" s="0" t="s">
        <v>46427</v>
      </c>
      <c r="L13932" s="0" t="str">
        <f aca="false">HYPERLINK("https://www.ncbi.nlm.nih.gov/nuccore/CP000304.1?report=graph&amp;tracks=[key:gene_model_track,Options:GeneOnly]&amp;mk=3931189:3931208|offset_34|444444,3931159:3931178|offset_64|444444,3931121:3931140|offset_102|444444,3931079:3931098|offset_144|00cc00&amp;v=3930988:3931298&amp;c=444444", "offset 144")</f>
        <v>offset 144</v>
      </c>
    </row>
    <row r="13933" customFormat="false" ht="12.8" hidden="false" customHeight="false" outlineLevel="0" collapsed="false">
      <c r="A13933" s="0" t="s">
        <v>12</v>
      </c>
      <c r="B13933" s="0" t="n">
        <v>3932186</v>
      </c>
      <c r="C13933" s="0" t="n">
        <v>3932206</v>
      </c>
      <c r="D13933" s="0" t="s">
        <v>46428</v>
      </c>
      <c r="E13933" s="0" t="s">
        <v>46429</v>
      </c>
      <c r="F13933" s="0" t="s">
        <v>90</v>
      </c>
      <c r="G13933" s="0" t="s">
        <v>32</v>
      </c>
      <c r="H13933" s="0" t="n">
        <v>7</v>
      </c>
      <c r="I13933" s="0" t="s">
        <v>46430</v>
      </c>
      <c r="J13933" s="0" t="s">
        <v>46431</v>
      </c>
      <c r="K13933" s="0" t="s">
        <v>46432</v>
      </c>
      <c r="L13933" s="0" t="str">
        <f aca="false">HYPERLINK("https://www.ncbi.nlm.nih.gov/nuccore/CP000304.1?report=graph&amp;tracks=[key:gene_model_track,Options:GeneOnly]&amp;mk=3932187:3932206|offset_7|00cc00,3932159:3932178|offset_35|444444,3932138:3932157|offset_56|444444,3932094:3932113|offset_100|444444&amp;v=3931986:3932313&amp;c=444444", "offset 7")</f>
        <v>offset 7</v>
      </c>
    </row>
    <row r="13934" customFormat="false" ht="12.8" hidden="false" customHeight="false" outlineLevel="0" collapsed="false">
      <c r="A13934" s="0" t="s">
        <v>12</v>
      </c>
      <c r="B13934" s="0" t="n">
        <v>3932158</v>
      </c>
      <c r="C13934" s="0" t="n">
        <v>3932178</v>
      </c>
      <c r="D13934" s="0" t="s">
        <v>46428</v>
      </c>
      <c r="E13934" s="0" t="s">
        <v>46429</v>
      </c>
      <c r="F13934" s="0" t="s">
        <v>90</v>
      </c>
      <c r="G13934" s="0" t="s">
        <v>16</v>
      </c>
      <c r="H13934" s="0" t="n">
        <v>35</v>
      </c>
      <c r="I13934" s="0" t="s">
        <v>46433</v>
      </c>
      <c r="J13934" s="0" t="s">
        <v>46434</v>
      </c>
      <c r="K13934" s="0" t="s">
        <v>46435</v>
      </c>
      <c r="L13934" s="0" t="str">
        <f aca="false">HYPERLINK("https://www.ncbi.nlm.nih.gov/nuccore/CP000304.1?report=graph&amp;tracks=[key:gene_model_track,Options:GeneOnly]&amp;mk=3932187:3932206|offset_7|444444,3932159:3932178|offset_35|00cc00,3932138:3932157|offset_56|444444,3932094:3932113|offset_100|444444&amp;v=3931986:3932313&amp;c=444444", "offset 35")</f>
        <v>offset 35</v>
      </c>
    </row>
    <row r="13935" customFormat="false" ht="12.8" hidden="false" customHeight="false" outlineLevel="0" collapsed="false">
      <c r="A13935" s="0" t="s">
        <v>12</v>
      </c>
      <c r="B13935" s="0" t="n">
        <v>3932137</v>
      </c>
      <c r="C13935" s="0" t="n">
        <v>3932157</v>
      </c>
      <c r="D13935" s="0" t="s">
        <v>46428</v>
      </c>
      <c r="E13935" s="0" t="s">
        <v>46429</v>
      </c>
      <c r="F13935" s="0" t="s">
        <v>90</v>
      </c>
      <c r="G13935" s="0" t="s">
        <v>26</v>
      </c>
      <c r="H13935" s="0" t="n">
        <v>56</v>
      </c>
      <c r="I13935" s="0" t="s">
        <v>46436</v>
      </c>
      <c r="J13935" s="0" t="s">
        <v>46437</v>
      </c>
      <c r="K13935" s="0" t="s">
        <v>46438</v>
      </c>
      <c r="L13935" s="0" t="str">
        <f aca="false">HYPERLINK("https://www.ncbi.nlm.nih.gov/nuccore/CP000304.1?report=graph&amp;tracks=[key:gene_model_track,Options:GeneOnly]&amp;mk=3932187:3932206|offset_7|444444,3932159:3932178|offset_35|444444,3932138:3932157|offset_56|00cc00,3932094:3932113|offset_100|444444&amp;v=3931986:3932313&amp;c=444444", "offset 56")</f>
        <v>offset 56</v>
      </c>
    </row>
    <row r="13936" customFormat="false" ht="12.8" hidden="false" customHeight="false" outlineLevel="0" collapsed="false">
      <c r="A13936" s="0" t="s">
        <v>12</v>
      </c>
      <c r="B13936" s="0" t="n">
        <v>3932093</v>
      </c>
      <c r="C13936" s="0" t="n">
        <v>3932113</v>
      </c>
      <c r="D13936" s="0" t="s">
        <v>46428</v>
      </c>
      <c r="E13936" s="0" t="s">
        <v>46429</v>
      </c>
      <c r="F13936" s="0" t="s">
        <v>90</v>
      </c>
      <c r="G13936" s="0" t="s">
        <v>16</v>
      </c>
      <c r="H13936" s="0" t="n">
        <v>100</v>
      </c>
      <c r="I13936" s="0" t="s">
        <v>46439</v>
      </c>
      <c r="J13936" s="0" t="s">
        <v>46440</v>
      </c>
      <c r="K13936" s="0" t="s">
        <v>46441</v>
      </c>
      <c r="L13936" s="0" t="str">
        <f aca="false">HYPERLINK("https://www.ncbi.nlm.nih.gov/nuccore/CP000304.1?report=graph&amp;tracks=[key:gene_model_track,Options:GeneOnly]&amp;mk=3932187:3932206|offset_7|444444,3932159:3932178|offset_35|444444,3932138:3932157|offset_56|444444,3932094:3932113|offset_100|00cc00&amp;v=3931986:3932313&amp;c=444444", "offset 100")</f>
        <v>offset 100</v>
      </c>
    </row>
    <row r="13937" customFormat="false" ht="12.8" hidden="false" customHeight="false" outlineLevel="0" collapsed="false">
      <c r="A13937" s="0" t="s">
        <v>12</v>
      </c>
      <c r="B13937" s="0" t="n">
        <v>3932297</v>
      </c>
      <c r="C13937" s="0" t="n">
        <v>3932317</v>
      </c>
      <c r="D13937" s="0" t="s">
        <v>46442</v>
      </c>
      <c r="E13937" s="0" t="s">
        <v>46443</v>
      </c>
      <c r="F13937" s="0" t="s">
        <v>15</v>
      </c>
      <c r="G13937" s="0" t="s">
        <v>26</v>
      </c>
      <c r="H13937" s="0" t="n">
        <v>15</v>
      </c>
      <c r="I13937" s="0" t="s">
        <v>46444</v>
      </c>
      <c r="J13937" s="0" t="s">
        <v>46445</v>
      </c>
      <c r="K13937" s="0" t="s">
        <v>46446</v>
      </c>
      <c r="L13937" s="0" t="str">
        <f aca="false">HYPERLINK("https://www.ncbi.nlm.nih.gov/nuccore/CP000304.1?report=graph&amp;tracks=[key:gene_model_track,Options:GeneOnly]&amp;mk=3932298:3932317|offset_15|00cc00,3932344:3932363|offset_61|444444,3932381:3932400|offset_98|444444,3932416:3932435|offset_133|444444&amp;v=3932097:3932635&amp;c=444444", "offset 15")</f>
        <v>offset 15</v>
      </c>
    </row>
    <row r="13938" customFormat="false" ht="12.8" hidden="false" customHeight="false" outlineLevel="0" collapsed="false">
      <c r="A13938" s="0" t="s">
        <v>12</v>
      </c>
      <c r="B13938" s="0" t="n">
        <v>3932343</v>
      </c>
      <c r="C13938" s="0" t="n">
        <v>3932363</v>
      </c>
      <c r="D13938" s="0" t="s">
        <v>46442</v>
      </c>
      <c r="E13938" s="0" t="s">
        <v>46443</v>
      </c>
      <c r="F13938" s="0" t="s">
        <v>15</v>
      </c>
      <c r="G13938" s="0" t="s">
        <v>36</v>
      </c>
      <c r="H13938" s="0" t="n">
        <v>61</v>
      </c>
      <c r="I13938" s="0" t="s">
        <v>46447</v>
      </c>
      <c r="J13938" s="0" t="s">
        <v>46448</v>
      </c>
      <c r="K13938" s="0" t="s">
        <v>46449</v>
      </c>
      <c r="L13938" s="0" t="str">
        <f aca="false">HYPERLINK("https://www.ncbi.nlm.nih.gov/nuccore/CP000304.1?report=graph&amp;tracks=[key:gene_model_track,Options:GeneOnly]&amp;mk=3932298:3932317|offset_15|444444,3932344:3932363|offset_61|00cc00,3932381:3932400|offset_98|444444,3932416:3932435|offset_133|444444&amp;v=3932097:3932635&amp;c=444444", "offset 61")</f>
        <v>offset 61</v>
      </c>
    </row>
    <row r="13939" customFormat="false" ht="12.8" hidden="false" customHeight="false" outlineLevel="0" collapsed="false">
      <c r="A13939" s="0" t="s">
        <v>12</v>
      </c>
      <c r="B13939" s="0" t="n">
        <v>3932380</v>
      </c>
      <c r="C13939" s="0" t="n">
        <v>3932400</v>
      </c>
      <c r="D13939" s="0" t="s">
        <v>46442</v>
      </c>
      <c r="E13939" s="0" t="s">
        <v>46443</v>
      </c>
      <c r="F13939" s="0" t="s">
        <v>15</v>
      </c>
      <c r="G13939" s="0" t="s">
        <v>16</v>
      </c>
      <c r="H13939" s="0" t="n">
        <v>98</v>
      </c>
      <c r="I13939" s="0" t="s">
        <v>46450</v>
      </c>
      <c r="J13939" s="0" t="s">
        <v>46451</v>
      </c>
      <c r="K13939" s="0" t="s">
        <v>46452</v>
      </c>
      <c r="L13939" s="0" t="str">
        <f aca="false">HYPERLINK("https://www.ncbi.nlm.nih.gov/nuccore/CP000304.1?report=graph&amp;tracks=[key:gene_model_track,Options:GeneOnly]&amp;mk=3932298:3932317|offset_15|444444,3932344:3932363|offset_61|444444,3932381:3932400|offset_98|00cc00,3932416:3932435|offset_133|444444&amp;v=3932097:3932635&amp;c=444444", "offset 98")</f>
        <v>offset 98</v>
      </c>
    </row>
    <row r="13940" customFormat="false" ht="12.8" hidden="false" customHeight="false" outlineLevel="0" collapsed="false">
      <c r="A13940" s="0" t="s">
        <v>12</v>
      </c>
      <c r="B13940" s="0" t="n">
        <v>3932415</v>
      </c>
      <c r="C13940" s="0" t="n">
        <v>3932435</v>
      </c>
      <c r="D13940" s="0" t="s">
        <v>46442</v>
      </c>
      <c r="E13940" s="0" t="s">
        <v>46443</v>
      </c>
      <c r="F13940" s="0" t="s">
        <v>15</v>
      </c>
      <c r="G13940" s="0" t="s">
        <v>16</v>
      </c>
      <c r="H13940" s="0" t="n">
        <v>133</v>
      </c>
      <c r="I13940" s="0" t="s">
        <v>46453</v>
      </c>
      <c r="J13940" s="0" t="s">
        <v>46454</v>
      </c>
      <c r="K13940" s="0" t="s">
        <v>46455</v>
      </c>
      <c r="L13940" s="0" t="str">
        <f aca="false">HYPERLINK("https://www.ncbi.nlm.nih.gov/nuccore/CP000304.1?report=graph&amp;tracks=[key:gene_model_track,Options:GeneOnly]&amp;mk=3932298:3932317|offset_15|444444,3932344:3932363|offset_61|444444,3932381:3932400|offset_98|444444,3932416:3932435|offset_133|00cc00&amp;v=3932097:3932635&amp;c=444444", "offset 133")</f>
        <v>offset 133</v>
      </c>
    </row>
    <row r="13941" customFormat="false" ht="12.8" hidden="false" customHeight="false" outlineLevel="0" collapsed="false">
      <c r="A13941" s="0" t="s">
        <v>12</v>
      </c>
      <c r="B13941" s="0" t="n">
        <v>3933441</v>
      </c>
      <c r="C13941" s="0" t="n">
        <v>3933461</v>
      </c>
      <c r="D13941" s="0" t="s">
        <v>46456</v>
      </c>
      <c r="E13941" s="0" t="s">
        <v>89</v>
      </c>
      <c r="F13941" s="0" t="s">
        <v>15</v>
      </c>
      <c r="G13941" s="0" t="s">
        <v>26</v>
      </c>
      <c r="H13941" s="0" t="n">
        <v>0</v>
      </c>
      <c r="I13941" s="0" t="s">
        <v>46457</v>
      </c>
      <c r="J13941" s="0" t="s">
        <v>46458</v>
      </c>
      <c r="K13941" s="0" t="s">
        <v>46459</v>
      </c>
      <c r="L13941" s="0" t="str">
        <f aca="false">HYPERLINK("https://www.ncbi.nlm.nih.gov/nuccore/CP000304.1?report=graph&amp;tracks=[key:gene_model_track,Options:GeneOnly]&amp;mk=3933442:3933461|offset_0|00cc00,3933466:3933485|offset_24|444444,3933492:3933511|offset_50|444444,3933572:3933591|offset_130|444444&amp;v=3933241:3933791&amp;c=444444", "offset 0")</f>
        <v>offset 0</v>
      </c>
    </row>
    <row r="13942" customFormat="false" ht="12.8" hidden="false" customHeight="false" outlineLevel="0" collapsed="false">
      <c r="A13942" s="0" t="s">
        <v>12</v>
      </c>
      <c r="B13942" s="0" t="n">
        <v>3933465</v>
      </c>
      <c r="C13942" s="0" t="n">
        <v>3933485</v>
      </c>
      <c r="D13942" s="0" t="s">
        <v>46456</v>
      </c>
      <c r="E13942" s="0" t="s">
        <v>89</v>
      </c>
      <c r="F13942" s="0" t="s">
        <v>15</v>
      </c>
      <c r="G13942" s="0" t="s">
        <v>32</v>
      </c>
      <c r="H13942" s="0" t="n">
        <v>24</v>
      </c>
      <c r="I13942" s="0" t="s">
        <v>46460</v>
      </c>
      <c r="J13942" s="0" t="s">
        <v>46461</v>
      </c>
      <c r="K13942" s="0" t="s">
        <v>46462</v>
      </c>
      <c r="L13942" s="0" t="str">
        <f aca="false">HYPERLINK("https://www.ncbi.nlm.nih.gov/nuccore/CP000304.1?report=graph&amp;tracks=[key:gene_model_track,Options:GeneOnly]&amp;mk=3933442:3933461|offset_0|444444,3933466:3933485|offset_24|00cc00,3933492:3933511|offset_50|444444,3933572:3933591|offset_130|444444&amp;v=3933241:3933791&amp;c=444444", "offset 24")</f>
        <v>offset 24</v>
      </c>
    </row>
    <row r="13943" customFormat="false" ht="12.8" hidden="false" customHeight="false" outlineLevel="0" collapsed="false">
      <c r="A13943" s="0" t="s">
        <v>12</v>
      </c>
      <c r="B13943" s="0" t="n">
        <v>3933491</v>
      </c>
      <c r="C13943" s="0" t="n">
        <v>3933511</v>
      </c>
      <c r="D13943" s="0" t="s">
        <v>46456</v>
      </c>
      <c r="E13943" s="0" t="s">
        <v>89</v>
      </c>
      <c r="F13943" s="0" t="s">
        <v>15</v>
      </c>
      <c r="G13943" s="0" t="s">
        <v>16</v>
      </c>
      <c r="H13943" s="0" t="n">
        <v>50</v>
      </c>
      <c r="I13943" s="0" t="s">
        <v>46463</v>
      </c>
      <c r="J13943" s="0" t="s">
        <v>46464</v>
      </c>
      <c r="K13943" s="0" t="s">
        <v>46465</v>
      </c>
      <c r="L13943" s="0" t="str">
        <f aca="false">HYPERLINK("https://www.ncbi.nlm.nih.gov/nuccore/CP000304.1?report=graph&amp;tracks=[key:gene_model_track,Options:GeneOnly]&amp;mk=3933442:3933461|offset_0|444444,3933466:3933485|offset_24|444444,3933492:3933511|offset_50|00cc00,3933572:3933591|offset_130|444444&amp;v=3933241:3933791&amp;c=444444", "offset 50")</f>
        <v>offset 50</v>
      </c>
    </row>
    <row r="13944" customFormat="false" ht="12.8" hidden="false" customHeight="false" outlineLevel="0" collapsed="false">
      <c r="A13944" s="0" t="s">
        <v>12</v>
      </c>
      <c r="B13944" s="0" t="n">
        <v>3933571</v>
      </c>
      <c r="C13944" s="0" t="n">
        <v>3933591</v>
      </c>
      <c r="D13944" s="0" t="s">
        <v>46456</v>
      </c>
      <c r="E13944" s="0" t="s">
        <v>89</v>
      </c>
      <c r="F13944" s="0" t="s">
        <v>15</v>
      </c>
      <c r="G13944" s="0" t="s">
        <v>16</v>
      </c>
      <c r="H13944" s="0" t="n">
        <v>130</v>
      </c>
      <c r="I13944" s="0" t="s">
        <v>46466</v>
      </c>
      <c r="J13944" s="0" t="s">
        <v>46467</v>
      </c>
      <c r="K13944" s="0" t="s">
        <v>46468</v>
      </c>
      <c r="L13944" s="0" t="str">
        <f aca="false">HYPERLINK("https://www.ncbi.nlm.nih.gov/nuccore/CP000304.1?report=graph&amp;tracks=[key:gene_model_track,Options:GeneOnly]&amp;mk=3933442:3933461|offset_0|444444,3933466:3933485|offset_24|444444,3933492:3933511|offset_50|444444,3933572:3933591|offset_130|00cc00&amp;v=3933241:3933791&amp;c=444444", "offset 130")</f>
        <v>offset 130</v>
      </c>
    </row>
    <row r="13945" customFormat="false" ht="12.8" hidden="false" customHeight="false" outlineLevel="0" collapsed="false">
      <c r="A13945" s="0" t="s">
        <v>12</v>
      </c>
      <c r="B13945" s="0" t="n">
        <v>3933768</v>
      </c>
      <c r="C13945" s="0" t="n">
        <v>3933788</v>
      </c>
      <c r="D13945" s="0" t="s">
        <v>46469</v>
      </c>
      <c r="E13945" s="0" t="s">
        <v>46470</v>
      </c>
      <c r="F13945" s="0" t="s">
        <v>15</v>
      </c>
      <c r="G13945" s="0" t="s">
        <v>26</v>
      </c>
      <c r="H13945" s="0" t="n">
        <v>17</v>
      </c>
      <c r="I13945" s="0" t="s">
        <v>46471</v>
      </c>
      <c r="J13945" s="0" t="s">
        <v>46472</v>
      </c>
      <c r="K13945" s="0" t="s">
        <v>46473</v>
      </c>
      <c r="L13945" s="0" t="str">
        <f aca="false">HYPERLINK("https://www.ncbi.nlm.nih.gov/nuccore/CP000304.1?report=graph&amp;tracks=[key:gene_model_track,Options:GeneOnly]&amp;mk=3933769:3933788|offset_17|00cc00,3933802:3933821|offset_50|444444,3933823:3933842|offset_71|444444,3933844:3933863|offset_92|444444&amp;v=3933568:3934063&amp;c=444444", "offset 17")</f>
        <v>offset 17</v>
      </c>
    </row>
    <row r="13946" customFormat="false" ht="12.8" hidden="false" customHeight="false" outlineLevel="0" collapsed="false">
      <c r="A13946" s="0" t="s">
        <v>12</v>
      </c>
      <c r="B13946" s="0" t="n">
        <v>3933801</v>
      </c>
      <c r="C13946" s="0" t="n">
        <v>3933821</v>
      </c>
      <c r="D13946" s="0" t="s">
        <v>46469</v>
      </c>
      <c r="E13946" s="0" t="s">
        <v>46470</v>
      </c>
      <c r="F13946" s="0" t="s">
        <v>15</v>
      </c>
      <c r="G13946" s="0" t="s">
        <v>26</v>
      </c>
      <c r="H13946" s="0" t="n">
        <v>50</v>
      </c>
      <c r="I13946" s="0" t="s">
        <v>46474</v>
      </c>
      <c r="J13946" s="0" t="s">
        <v>46475</v>
      </c>
      <c r="K13946" s="0" t="s">
        <v>46476</v>
      </c>
      <c r="L13946" s="0" t="str">
        <f aca="false">HYPERLINK("https://www.ncbi.nlm.nih.gov/nuccore/CP000304.1?report=graph&amp;tracks=[key:gene_model_track,Options:GeneOnly]&amp;mk=3933769:3933788|offset_17|444444,3933802:3933821|offset_50|00cc00,3933823:3933842|offset_71|444444,3933844:3933863|offset_92|444444&amp;v=3933568:3934063&amp;c=444444", "offset 50")</f>
        <v>offset 50</v>
      </c>
    </row>
    <row r="13947" customFormat="false" ht="12.8" hidden="false" customHeight="false" outlineLevel="0" collapsed="false">
      <c r="A13947" s="0" t="s">
        <v>12</v>
      </c>
      <c r="B13947" s="0" t="n">
        <v>3933822</v>
      </c>
      <c r="C13947" s="0" t="n">
        <v>3933842</v>
      </c>
      <c r="D13947" s="0" t="s">
        <v>46469</v>
      </c>
      <c r="E13947" s="0" t="s">
        <v>46470</v>
      </c>
      <c r="F13947" s="0" t="s">
        <v>15</v>
      </c>
      <c r="G13947" s="0" t="s">
        <v>16</v>
      </c>
      <c r="H13947" s="0" t="n">
        <v>71</v>
      </c>
      <c r="I13947" s="0" t="s">
        <v>46477</v>
      </c>
      <c r="J13947" s="0" t="s">
        <v>46478</v>
      </c>
      <c r="K13947" s="0" t="s">
        <v>46479</v>
      </c>
      <c r="L13947" s="0" t="str">
        <f aca="false">HYPERLINK("https://www.ncbi.nlm.nih.gov/nuccore/CP000304.1?report=graph&amp;tracks=[key:gene_model_track,Options:GeneOnly]&amp;mk=3933769:3933788|offset_17|444444,3933802:3933821|offset_50|444444,3933823:3933842|offset_71|00cc00,3933844:3933863|offset_92|444444&amp;v=3933568:3934063&amp;c=444444", "offset 71")</f>
        <v>offset 71</v>
      </c>
    </row>
    <row r="13948" customFormat="false" ht="12.8" hidden="false" customHeight="false" outlineLevel="0" collapsed="false">
      <c r="A13948" s="0" t="s">
        <v>12</v>
      </c>
      <c r="B13948" s="0" t="n">
        <v>3933843</v>
      </c>
      <c r="C13948" s="0" t="n">
        <v>3933863</v>
      </c>
      <c r="D13948" s="0" t="s">
        <v>46469</v>
      </c>
      <c r="E13948" s="0" t="s">
        <v>46470</v>
      </c>
      <c r="F13948" s="0" t="s">
        <v>15</v>
      </c>
      <c r="G13948" s="0" t="s">
        <v>26</v>
      </c>
      <c r="H13948" s="0" t="n">
        <v>92</v>
      </c>
      <c r="I13948" s="0" t="s">
        <v>46480</v>
      </c>
      <c r="J13948" s="0" t="s">
        <v>46481</v>
      </c>
      <c r="K13948" s="0" t="s">
        <v>46482</v>
      </c>
      <c r="L13948" s="0" t="str">
        <f aca="false">HYPERLINK("https://www.ncbi.nlm.nih.gov/nuccore/CP000304.1?report=graph&amp;tracks=[key:gene_model_track,Options:GeneOnly]&amp;mk=3933769:3933788|offset_17|444444,3933802:3933821|offset_50|444444,3933823:3933842|offset_71|444444,3933844:3933863|offset_92|00cc00&amp;v=3933568:3934063&amp;c=444444", "offset 92")</f>
        <v>offset 92</v>
      </c>
    </row>
    <row r="13949" customFormat="false" ht="12.8" hidden="false" customHeight="false" outlineLevel="0" collapsed="false">
      <c r="A13949" s="0" t="s">
        <v>12</v>
      </c>
      <c r="B13949" s="0" t="n">
        <v>3935430</v>
      </c>
      <c r="C13949" s="0" t="n">
        <v>3935450</v>
      </c>
      <c r="D13949" s="0" t="s">
        <v>46483</v>
      </c>
      <c r="E13949" s="0" t="s">
        <v>46484</v>
      </c>
      <c r="F13949" s="0" t="s">
        <v>15</v>
      </c>
      <c r="G13949" s="0" t="s">
        <v>32</v>
      </c>
      <c r="H13949" s="0" t="n">
        <v>10</v>
      </c>
      <c r="I13949" s="0" t="s">
        <v>46485</v>
      </c>
      <c r="J13949" s="0" t="s">
        <v>46486</v>
      </c>
      <c r="K13949" s="0" t="s">
        <v>46487</v>
      </c>
      <c r="L13949" s="0" t="str">
        <f aca="false">HYPERLINK("https://www.ncbi.nlm.nih.gov/nuccore/CP000304.1?report=graph&amp;tracks=[key:gene_model_track,Options:GeneOnly]&amp;mk=3935431:3935450|offset_10|00cc00,3935452:3935471|offset_31|444444,3935476:3935495|offset_55|444444,3935497:3935516|offset_76|444444&amp;v=3935230:3935716&amp;c=444444", "offset 10")</f>
        <v>offset 10</v>
      </c>
    </row>
    <row r="13950" customFormat="false" ht="12.8" hidden="false" customHeight="false" outlineLevel="0" collapsed="false">
      <c r="A13950" s="0" t="s">
        <v>12</v>
      </c>
      <c r="B13950" s="0" t="n">
        <v>3935451</v>
      </c>
      <c r="C13950" s="0" t="n">
        <v>3935471</v>
      </c>
      <c r="D13950" s="0" t="s">
        <v>46483</v>
      </c>
      <c r="E13950" s="0" t="s">
        <v>46484</v>
      </c>
      <c r="F13950" s="0" t="s">
        <v>15</v>
      </c>
      <c r="G13950" s="0" t="s">
        <v>36</v>
      </c>
      <c r="H13950" s="0" t="n">
        <v>31</v>
      </c>
      <c r="I13950" s="0" t="s">
        <v>46488</v>
      </c>
      <c r="J13950" s="0" t="s">
        <v>46489</v>
      </c>
      <c r="K13950" s="0" t="s">
        <v>46490</v>
      </c>
      <c r="L13950" s="0" t="str">
        <f aca="false">HYPERLINK("https://www.ncbi.nlm.nih.gov/nuccore/CP000304.1?report=graph&amp;tracks=[key:gene_model_track,Options:GeneOnly]&amp;mk=3935431:3935450|offset_10|444444,3935452:3935471|offset_31|00cc00,3935476:3935495|offset_55|444444,3935497:3935516|offset_76|444444&amp;v=3935230:3935716&amp;c=444444", "offset 31")</f>
        <v>offset 31</v>
      </c>
    </row>
    <row r="13951" customFormat="false" ht="12.8" hidden="false" customHeight="false" outlineLevel="0" collapsed="false">
      <c r="A13951" s="0" t="s">
        <v>12</v>
      </c>
      <c r="B13951" s="0" t="n">
        <v>3935475</v>
      </c>
      <c r="C13951" s="0" t="n">
        <v>3935495</v>
      </c>
      <c r="D13951" s="0" t="s">
        <v>46483</v>
      </c>
      <c r="E13951" s="0" t="s">
        <v>46484</v>
      </c>
      <c r="F13951" s="0" t="s">
        <v>15</v>
      </c>
      <c r="G13951" s="0" t="s">
        <v>32</v>
      </c>
      <c r="H13951" s="0" t="n">
        <v>55</v>
      </c>
      <c r="I13951" s="0" t="s">
        <v>46491</v>
      </c>
      <c r="J13951" s="0" t="s">
        <v>46492</v>
      </c>
      <c r="K13951" s="0" t="s">
        <v>46493</v>
      </c>
      <c r="L13951" s="0" t="str">
        <f aca="false">HYPERLINK("https://www.ncbi.nlm.nih.gov/nuccore/CP000304.1?report=graph&amp;tracks=[key:gene_model_track,Options:GeneOnly]&amp;mk=3935431:3935450|offset_10|444444,3935452:3935471|offset_31|444444,3935476:3935495|offset_55|00cc00,3935497:3935516|offset_76|444444&amp;v=3935230:3935716&amp;c=444444", "offset 55")</f>
        <v>offset 55</v>
      </c>
    </row>
    <row r="13952" customFormat="false" ht="12.8" hidden="false" customHeight="false" outlineLevel="0" collapsed="false">
      <c r="A13952" s="0" t="s">
        <v>12</v>
      </c>
      <c r="B13952" s="0" t="n">
        <v>3935496</v>
      </c>
      <c r="C13952" s="0" t="n">
        <v>3935516</v>
      </c>
      <c r="D13952" s="0" t="s">
        <v>46483</v>
      </c>
      <c r="E13952" s="0" t="s">
        <v>46484</v>
      </c>
      <c r="F13952" s="0" t="s">
        <v>15</v>
      </c>
      <c r="G13952" s="0" t="s">
        <v>36</v>
      </c>
      <c r="H13952" s="0" t="n">
        <v>76</v>
      </c>
      <c r="I13952" s="0" t="s">
        <v>46494</v>
      </c>
      <c r="J13952" s="0" t="s">
        <v>46495</v>
      </c>
      <c r="K13952" s="0" t="s">
        <v>46496</v>
      </c>
      <c r="L13952" s="0" t="str">
        <f aca="false">HYPERLINK("https://www.ncbi.nlm.nih.gov/nuccore/CP000304.1?report=graph&amp;tracks=[key:gene_model_track,Options:GeneOnly]&amp;mk=3935431:3935450|offset_10|444444,3935452:3935471|offset_31|444444,3935476:3935495|offset_55|444444,3935497:3935516|offset_76|00cc00&amp;v=3935230:3935716&amp;c=444444", "offset 76")</f>
        <v>offset 76</v>
      </c>
    </row>
    <row r="13953" customFormat="false" ht="12.8" hidden="false" customHeight="false" outlineLevel="0" collapsed="false">
      <c r="A13953" s="0" t="s">
        <v>12</v>
      </c>
      <c r="B13953" s="0" t="n">
        <v>3937894</v>
      </c>
      <c r="C13953" s="0" t="n">
        <v>3937914</v>
      </c>
      <c r="D13953" s="0" t="s">
        <v>46497</v>
      </c>
      <c r="E13953" s="0" t="s">
        <v>89</v>
      </c>
      <c r="F13953" s="0" t="s">
        <v>90</v>
      </c>
      <c r="G13953" s="0" t="s">
        <v>36</v>
      </c>
      <c r="H13953" s="0" t="n">
        <v>0</v>
      </c>
      <c r="I13953" s="0" t="s">
        <v>46498</v>
      </c>
      <c r="J13953" s="0" t="s">
        <v>46499</v>
      </c>
      <c r="K13953" s="0" t="s">
        <v>46500</v>
      </c>
      <c r="L13953" s="0" t="str">
        <f aca="false">HYPERLINK("https://www.ncbi.nlm.nih.gov/nuccore/CP000304.1?report=graph&amp;tracks=[key:gene_model_track,Options:GeneOnly]&amp;mk=3937895:3937914|offset_0|00cc00,3937863:3937882|offset_32|444444,3937840:3937859|offset_55|444444,3937812:3937831|offset_83|444444&amp;v=3937694:3938031&amp;c=444444", "offset 0")</f>
        <v>offset 0</v>
      </c>
    </row>
    <row r="13954" customFormat="false" ht="12.8" hidden="false" customHeight="false" outlineLevel="0" collapsed="false">
      <c r="A13954" s="0" t="s">
        <v>12</v>
      </c>
      <c r="B13954" s="0" t="n">
        <v>3937862</v>
      </c>
      <c r="C13954" s="0" t="n">
        <v>3937882</v>
      </c>
      <c r="D13954" s="0" t="s">
        <v>46497</v>
      </c>
      <c r="E13954" s="0" t="s">
        <v>89</v>
      </c>
      <c r="F13954" s="0" t="s">
        <v>90</v>
      </c>
      <c r="G13954" s="0" t="s">
        <v>26</v>
      </c>
      <c r="H13954" s="0" t="n">
        <v>32</v>
      </c>
      <c r="I13954" s="0" t="s">
        <v>46501</v>
      </c>
      <c r="J13954" s="0" t="s">
        <v>46502</v>
      </c>
      <c r="K13954" s="0" t="s">
        <v>46503</v>
      </c>
      <c r="L13954" s="0" t="str">
        <f aca="false">HYPERLINK("https://www.ncbi.nlm.nih.gov/nuccore/CP000304.1?report=graph&amp;tracks=[key:gene_model_track,Options:GeneOnly]&amp;mk=3937895:3937914|offset_0|444444,3937863:3937882|offset_32|00cc00,3937840:3937859|offset_55|444444,3937812:3937831|offset_83|444444&amp;v=3937694:3938031&amp;c=444444", "offset 32")</f>
        <v>offset 32</v>
      </c>
    </row>
    <row r="13955" customFormat="false" ht="12.8" hidden="false" customHeight="false" outlineLevel="0" collapsed="false">
      <c r="A13955" s="0" t="s">
        <v>12</v>
      </c>
      <c r="B13955" s="0" t="n">
        <v>3937839</v>
      </c>
      <c r="C13955" s="0" t="n">
        <v>3937859</v>
      </c>
      <c r="D13955" s="0" t="s">
        <v>46497</v>
      </c>
      <c r="E13955" s="0" t="s">
        <v>89</v>
      </c>
      <c r="F13955" s="0" t="s">
        <v>90</v>
      </c>
      <c r="G13955" s="0" t="s">
        <v>16</v>
      </c>
      <c r="H13955" s="0" t="n">
        <v>55</v>
      </c>
      <c r="I13955" s="0" t="s">
        <v>46504</v>
      </c>
      <c r="J13955" s="0" t="s">
        <v>46505</v>
      </c>
      <c r="K13955" s="0" t="s">
        <v>46506</v>
      </c>
      <c r="L13955" s="0" t="str">
        <f aca="false">HYPERLINK("https://www.ncbi.nlm.nih.gov/nuccore/CP000304.1?report=graph&amp;tracks=[key:gene_model_track,Options:GeneOnly]&amp;mk=3937895:3937914|offset_0|444444,3937863:3937882|offset_32|444444,3937840:3937859|offset_55|00cc00,3937812:3937831|offset_83|444444&amp;v=3937694:3938031&amp;c=444444", "offset 55")</f>
        <v>offset 55</v>
      </c>
    </row>
    <row r="13956" customFormat="false" ht="12.8" hidden="false" customHeight="false" outlineLevel="0" collapsed="false">
      <c r="A13956" s="0" t="s">
        <v>12</v>
      </c>
      <c r="B13956" s="0" t="n">
        <v>3937811</v>
      </c>
      <c r="C13956" s="0" t="n">
        <v>3937831</v>
      </c>
      <c r="D13956" s="0" t="s">
        <v>46497</v>
      </c>
      <c r="E13956" s="0" t="s">
        <v>89</v>
      </c>
      <c r="F13956" s="0" t="s">
        <v>90</v>
      </c>
      <c r="G13956" s="0" t="s">
        <v>36</v>
      </c>
      <c r="H13956" s="0" t="n">
        <v>83</v>
      </c>
      <c r="I13956" s="0" t="s">
        <v>46507</v>
      </c>
      <c r="J13956" s="0" t="s">
        <v>46508</v>
      </c>
      <c r="K13956" s="0" t="s">
        <v>46509</v>
      </c>
      <c r="L13956" s="0" t="str">
        <f aca="false">HYPERLINK("https://www.ncbi.nlm.nih.gov/nuccore/CP000304.1?report=graph&amp;tracks=[key:gene_model_track,Options:GeneOnly]&amp;mk=3937895:3937914|offset_0|444444,3937863:3937882|offset_32|444444,3937840:3937859|offset_55|444444,3937812:3937831|offset_83|00cc00&amp;v=3937694:3938031&amp;c=444444", "offset 83")</f>
        <v>offset 83</v>
      </c>
    </row>
    <row r="13957" customFormat="false" ht="12.8" hidden="false" customHeight="false" outlineLevel="0" collapsed="false">
      <c r="A13957" s="0" t="s">
        <v>12</v>
      </c>
      <c r="B13957" s="0" t="n">
        <v>3938168</v>
      </c>
      <c r="C13957" s="0" t="n">
        <v>3938188</v>
      </c>
      <c r="D13957" s="0" t="s">
        <v>46510</v>
      </c>
      <c r="E13957" s="0" t="s">
        <v>89</v>
      </c>
      <c r="F13957" s="0" t="s">
        <v>15</v>
      </c>
      <c r="G13957" s="0" t="s">
        <v>36</v>
      </c>
      <c r="H13957" s="0" t="n">
        <v>37</v>
      </c>
      <c r="I13957" s="0" t="s">
        <v>46511</v>
      </c>
      <c r="J13957" s="0" t="s">
        <v>46512</v>
      </c>
      <c r="K13957" s="0" t="s">
        <v>46513</v>
      </c>
      <c r="L13957" s="0" t="str">
        <f aca="false">HYPERLINK("https://www.ncbi.nlm.nih.gov/nuccore/CP000304.1?report=graph&amp;tracks=[key:gene_model_track,Options:GeneOnly]&amp;mk=3938169:3938188|offset_37|00cc00,3938248:3938267|offset_116|444444,3938292:3938311|offset_160|444444,3938347:3938366|offset_215|444444&amp;v=3937968:3938566&amp;c=444444", "offset 37")</f>
        <v>offset 37</v>
      </c>
    </row>
    <row r="13958" customFormat="false" ht="12.8" hidden="false" customHeight="false" outlineLevel="0" collapsed="false">
      <c r="A13958" s="0" t="s">
        <v>12</v>
      </c>
      <c r="B13958" s="0" t="n">
        <v>3938247</v>
      </c>
      <c r="C13958" s="0" t="n">
        <v>3938267</v>
      </c>
      <c r="D13958" s="0" t="s">
        <v>46510</v>
      </c>
      <c r="E13958" s="0" t="s">
        <v>89</v>
      </c>
      <c r="F13958" s="0" t="s">
        <v>15</v>
      </c>
      <c r="G13958" s="0" t="s">
        <v>32</v>
      </c>
      <c r="H13958" s="0" t="n">
        <v>116</v>
      </c>
      <c r="I13958" s="0" t="s">
        <v>46514</v>
      </c>
      <c r="J13958" s="0" t="s">
        <v>46515</v>
      </c>
      <c r="K13958" s="0" t="s">
        <v>46516</v>
      </c>
      <c r="L13958" s="0" t="str">
        <f aca="false">HYPERLINK("https://www.ncbi.nlm.nih.gov/nuccore/CP000304.1?report=graph&amp;tracks=[key:gene_model_track,Options:GeneOnly]&amp;mk=3938169:3938188|offset_37|444444,3938248:3938267|offset_116|00cc00,3938292:3938311|offset_160|444444,3938347:3938366|offset_215|444444&amp;v=3937968:3938566&amp;c=444444", "offset 116")</f>
        <v>offset 116</v>
      </c>
    </row>
    <row r="13959" customFormat="false" ht="12.8" hidden="false" customHeight="false" outlineLevel="0" collapsed="false">
      <c r="A13959" s="0" t="s">
        <v>12</v>
      </c>
      <c r="B13959" s="0" t="n">
        <v>3938291</v>
      </c>
      <c r="C13959" s="0" t="n">
        <v>3938311</v>
      </c>
      <c r="D13959" s="0" t="s">
        <v>46510</v>
      </c>
      <c r="E13959" s="0" t="s">
        <v>89</v>
      </c>
      <c r="F13959" s="0" t="s">
        <v>15</v>
      </c>
      <c r="G13959" s="0" t="s">
        <v>16</v>
      </c>
      <c r="H13959" s="0" t="n">
        <v>160</v>
      </c>
      <c r="I13959" s="0" t="s">
        <v>46517</v>
      </c>
      <c r="J13959" s="0" t="s">
        <v>46518</v>
      </c>
      <c r="K13959" s="0" t="s">
        <v>46519</v>
      </c>
      <c r="L13959" s="0" t="str">
        <f aca="false">HYPERLINK("https://www.ncbi.nlm.nih.gov/nuccore/CP000304.1?report=graph&amp;tracks=[key:gene_model_track,Options:GeneOnly]&amp;mk=3938169:3938188|offset_37|444444,3938248:3938267|offset_116|444444,3938292:3938311|offset_160|00cc00,3938347:3938366|offset_215|444444&amp;v=3937968:3938566&amp;c=444444", "offset 160")</f>
        <v>offset 160</v>
      </c>
    </row>
    <row r="13960" customFormat="false" ht="12.8" hidden="false" customHeight="false" outlineLevel="0" collapsed="false">
      <c r="A13960" s="0" t="s">
        <v>12</v>
      </c>
      <c r="B13960" s="0" t="n">
        <v>3938346</v>
      </c>
      <c r="C13960" s="0" t="n">
        <v>3938366</v>
      </c>
      <c r="D13960" s="0" t="s">
        <v>46510</v>
      </c>
      <c r="E13960" s="0" t="s">
        <v>89</v>
      </c>
      <c r="F13960" s="0" t="s">
        <v>15</v>
      </c>
      <c r="G13960" s="0" t="s">
        <v>26</v>
      </c>
      <c r="H13960" s="0" t="n">
        <v>215</v>
      </c>
      <c r="I13960" s="0" t="s">
        <v>46520</v>
      </c>
      <c r="J13960" s="0" t="s">
        <v>46521</v>
      </c>
      <c r="K13960" s="0" t="s">
        <v>46522</v>
      </c>
      <c r="L13960" s="0" t="str">
        <f aca="false">HYPERLINK("https://www.ncbi.nlm.nih.gov/nuccore/CP000304.1?report=graph&amp;tracks=[key:gene_model_track,Options:GeneOnly]&amp;mk=3938169:3938188|offset_37|444444,3938248:3938267|offset_116|444444,3938292:3938311|offset_160|444444,3938347:3938366|offset_215|00cc00&amp;v=3937968:3938566&amp;c=444444", "offset 215")</f>
        <v>offset 215</v>
      </c>
    </row>
    <row r="13961" customFormat="false" ht="12.8" hidden="false" customHeight="false" outlineLevel="0" collapsed="false">
      <c r="A13961" s="0" t="s">
        <v>12</v>
      </c>
      <c r="B13961" s="0" t="n">
        <v>3939862</v>
      </c>
      <c r="C13961" s="0" t="n">
        <v>3939882</v>
      </c>
      <c r="D13961" s="0" t="s">
        <v>46523</v>
      </c>
      <c r="E13961" s="0" t="s">
        <v>46524</v>
      </c>
      <c r="F13961" s="0" t="s">
        <v>15</v>
      </c>
      <c r="G13961" s="0" t="s">
        <v>26</v>
      </c>
      <c r="H13961" s="0" t="n">
        <v>8</v>
      </c>
      <c r="I13961" s="0" t="s">
        <v>46525</v>
      </c>
      <c r="J13961" s="0" t="s">
        <v>46526</v>
      </c>
      <c r="K13961" s="0" t="s">
        <v>46527</v>
      </c>
      <c r="L13961" s="0" t="str">
        <f aca="false">HYPERLINK("https://www.ncbi.nlm.nih.gov/nuccore/CP000304.1?report=graph&amp;tracks=[key:gene_model_track,Options:GeneOnly]&amp;mk=3939863:3939882|offset_8|00cc00,3939889:3939908|offset_34|444444,3939940:3939959|offset_85|444444,3939960:3939979|offset_105|444444&amp;v=3939662:3940179&amp;c=444444", "offset 8")</f>
        <v>offset 8</v>
      </c>
    </row>
    <row r="13962" customFormat="false" ht="12.8" hidden="false" customHeight="false" outlineLevel="0" collapsed="false">
      <c r="A13962" s="0" t="s">
        <v>12</v>
      </c>
      <c r="B13962" s="0" t="n">
        <v>3939888</v>
      </c>
      <c r="C13962" s="0" t="n">
        <v>3939908</v>
      </c>
      <c r="D13962" s="0" t="s">
        <v>46523</v>
      </c>
      <c r="E13962" s="0" t="s">
        <v>46524</v>
      </c>
      <c r="F13962" s="0" t="s">
        <v>15</v>
      </c>
      <c r="G13962" s="0" t="s">
        <v>36</v>
      </c>
      <c r="H13962" s="0" t="n">
        <v>34</v>
      </c>
      <c r="I13962" s="0" t="s">
        <v>46528</v>
      </c>
      <c r="J13962" s="0" t="s">
        <v>46529</v>
      </c>
      <c r="K13962" s="0" t="s">
        <v>46530</v>
      </c>
      <c r="L13962" s="0" t="str">
        <f aca="false">HYPERLINK("https://www.ncbi.nlm.nih.gov/nuccore/CP000304.1?report=graph&amp;tracks=[key:gene_model_track,Options:GeneOnly]&amp;mk=3939863:3939882|offset_8|444444,3939889:3939908|offset_34|00cc00,3939940:3939959|offset_85|444444,3939960:3939979|offset_105|444444&amp;v=3939662:3940179&amp;c=444444", "offset 34")</f>
        <v>offset 34</v>
      </c>
    </row>
    <row r="13963" customFormat="false" ht="12.8" hidden="false" customHeight="false" outlineLevel="0" collapsed="false">
      <c r="A13963" s="0" t="s">
        <v>12</v>
      </c>
      <c r="B13963" s="0" t="n">
        <v>3939939</v>
      </c>
      <c r="C13963" s="0" t="n">
        <v>3939959</v>
      </c>
      <c r="D13963" s="0" t="s">
        <v>46523</v>
      </c>
      <c r="E13963" s="0" t="s">
        <v>46524</v>
      </c>
      <c r="F13963" s="0" t="s">
        <v>15</v>
      </c>
      <c r="G13963" s="0" t="s">
        <v>16</v>
      </c>
      <c r="H13963" s="0" t="n">
        <v>85</v>
      </c>
      <c r="I13963" s="0" t="s">
        <v>46531</v>
      </c>
      <c r="J13963" s="0" t="s">
        <v>46532</v>
      </c>
      <c r="K13963" s="0" t="s">
        <v>46533</v>
      </c>
      <c r="L13963" s="0" t="str">
        <f aca="false">HYPERLINK("https://www.ncbi.nlm.nih.gov/nuccore/CP000304.1?report=graph&amp;tracks=[key:gene_model_track,Options:GeneOnly]&amp;mk=3939863:3939882|offset_8|444444,3939889:3939908|offset_34|444444,3939940:3939959|offset_85|00cc00,3939960:3939979|offset_105|444444&amp;v=3939662:3940179&amp;c=444444", "offset 85")</f>
        <v>offset 85</v>
      </c>
    </row>
    <row r="13964" customFormat="false" ht="12.8" hidden="false" customHeight="false" outlineLevel="0" collapsed="false">
      <c r="A13964" s="0" t="s">
        <v>12</v>
      </c>
      <c r="B13964" s="0" t="n">
        <v>3939959</v>
      </c>
      <c r="C13964" s="0" t="n">
        <v>3939979</v>
      </c>
      <c r="D13964" s="0" t="s">
        <v>46523</v>
      </c>
      <c r="E13964" s="0" t="s">
        <v>46524</v>
      </c>
      <c r="F13964" s="0" t="s">
        <v>15</v>
      </c>
      <c r="G13964" s="0" t="s">
        <v>36</v>
      </c>
      <c r="H13964" s="0" t="n">
        <v>105</v>
      </c>
      <c r="I13964" s="0" t="s">
        <v>46534</v>
      </c>
      <c r="J13964" s="0" t="s">
        <v>46535</v>
      </c>
      <c r="K13964" s="0" t="s">
        <v>46536</v>
      </c>
      <c r="L13964" s="0" t="str">
        <f aca="false">HYPERLINK("https://www.ncbi.nlm.nih.gov/nuccore/CP000304.1?report=graph&amp;tracks=[key:gene_model_track,Options:GeneOnly]&amp;mk=3939863:3939882|offset_8|444444,3939889:3939908|offset_34|444444,3939940:3939959|offset_85|444444,3939960:3939979|offset_105|00cc00&amp;v=3939662:3940179&amp;c=444444", "offset 105")</f>
        <v>offset 105</v>
      </c>
    </row>
    <row r="13965" customFormat="false" ht="12.8" hidden="false" customHeight="false" outlineLevel="0" collapsed="false">
      <c r="A13965" s="0" t="s">
        <v>12</v>
      </c>
      <c r="B13965" s="0" t="n">
        <v>3943970</v>
      </c>
      <c r="C13965" s="0" t="n">
        <v>3943990</v>
      </c>
      <c r="D13965" s="0" t="s">
        <v>46537</v>
      </c>
      <c r="E13965" s="0" t="s">
        <v>89</v>
      </c>
      <c r="F13965" s="0" t="s">
        <v>90</v>
      </c>
      <c r="G13965" s="0" t="s">
        <v>26</v>
      </c>
      <c r="H13965" s="0" t="n">
        <v>55</v>
      </c>
      <c r="I13965" s="0" t="s">
        <v>46538</v>
      </c>
      <c r="J13965" s="0" t="s">
        <v>46539</v>
      </c>
      <c r="K13965" s="0" t="s">
        <v>46540</v>
      </c>
      <c r="L13965" s="0" t="str">
        <f aca="false">HYPERLINK("https://www.ncbi.nlm.nih.gov/nuccore/CP000304.1?report=graph&amp;tracks=[key:gene_model_track,Options:GeneOnly]&amp;mk=3943971:3943990|offset_55|00cc00,3943889:3943908|offset_137|444444,3943843:3943862|offset_183|444444,3943818:3943837|offset_208|444444&amp;v=3943770:3944037&amp;c=444444", "offset 55")</f>
        <v>offset 55</v>
      </c>
    </row>
    <row r="13966" customFormat="false" ht="12.8" hidden="false" customHeight="false" outlineLevel="0" collapsed="false">
      <c r="A13966" s="0" t="s">
        <v>12</v>
      </c>
      <c r="B13966" s="0" t="n">
        <v>3943888</v>
      </c>
      <c r="C13966" s="0" t="n">
        <v>3943908</v>
      </c>
      <c r="D13966" s="0" t="s">
        <v>46537</v>
      </c>
      <c r="E13966" s="0" t="s">
        <v>89</v>
      </c>
      <c r="F13966" s="0" t="s">
        <v>90</v>
      </c>
      <c r="G13966" s="0" t="s">
        <v>32</v>
      </c>
      <c r="H13966" s="0" t="n">
        <v>137</v>
      </c>
      <c r="I13966" s="0" t="s">
        <v>46541</v>
      </c>
      <c r="J13966" s="0" t="s">
        <v>46542</v>
      </c>
      <c r="K13966" s="0" t="s">
        <v>46543</v>
      </c>
      <c r="L13966" s="0" t="str">
        <f aca="false">HYPERLINK("https://www.ncbi.nlm.nih.gov/nuccore/CP000304.1?report=graph&amp;tracks=[key:gene_model_track,Options:GeneOnly]&amp;mk=3943971:3943990|offset_55|444444,3943889:3943908|offset_137|00cc00,3943843:3943862|offset_183|444444,3943818:3943837|offset_208|444444&amp;v=3943770:3944037&amp;c=444444", "offset 137")</f>
        <v>offset 137</v>
      </c>
    </row>
    <row r="13967" customFormat="false" ht="12.8" hidden="false" customHeight="false" outlineLevel="0" collapsed="false">
      <c r="A13967" s="0" t="s">
        <v>12</v>
      </c>
      <c r="B13967" s="0" t="n">
        <v>3943842</v>
      </c>
      <c r="C13967" s="0" t="n">
        <v>3943862</v>
      </c>
      <c r="D13967" s="0" t="s">
        <v>46537</v>
      </c>
      <c r="E13967" s="0" t="s">
        <v>89</v>
      </c>
      <c r="F13967" s="0" t="s">
        <v>90</v>
      </c>
      <c r="G13967" s="0" t="s">
        <v>16</v>
      </c>
      <c r="H13967" s="0" t="n">
        <v>183</v>
      </c>
      <c r="I13967" s="0" t="s">
        <v>46544</v>
      </c>
      <c r="J13967" s="0" t="s">
        <v>46545</v>
      </c>
      <c r="K13967" s="0" t="s">
        <v>46546</v>
      </c>
      <c r="L13967" s="0" t="str">
        <f aca="false">HYPERLINK("https://www.ncbi.nlm.nih.gov/nuccore/CP000304.1?report=graph&amp;tracks=[key:gene_model_track,Options:GeneOnly]&amp;mk=3943971:3943990|offset_55|444444,3943889:3943908|offset_137|444444,3943843:3943862|offset_183|00cc00,3943818:3943837|offset_208|444444&amp;v=3943770:3944037&amp;c=444444", "offset 183")</f>
        <v>offset 183</v>
      </c>
    </row>
    <row r="13968" customFormat="false" ht="12.8" hidden="false" customHeight="false" outlineLevel="0" collapsed="false">
      <c r="A13968" s="0" t="s">
        <v>12</v>
      </c>
      <c r="B13968" s="0" t="n">
        <v>3943817</v>
      </c>
      <c r="C13968" s="0" t="n">
        <v>3943837</v>
      </c>
      <c r="D13968" s="0" t="s">
        <v>46537</v>
      </c>
      <c r="E13968" s="0" t="s">
        <v>89</v>
      </c>
      <c r="F13968" s="0" t="s">
        <v>90</v>
      </c>
      <c r="G13968" s="0" t="s">
        <v>16</v>
      </c>
      <c r="H13968" s="0" t="n">
        <v>208</v>
      </c>
      <c r="I13968" s="0" t="s">
        <v>46547</v>
      </c>
      <c r="J13968" s="0" t="s">
        <v>46548</v>
      </c>
      <c r="K13968" s="0" t="s">
        <v>46549</v>
      </c>
      <c r="L13968" s="0" t="str">
        <f aca="false">HYPERLINK("https://www.ncbi.nlm.nih.gov/nuccore/CP000304.1?report=graph&amp;tracks=[key:gene_model_track,Options:GeneOnly]&amp;mk=3943971:3943990|offset_55|444444,3943889:3943908|offset_137|444444,3943843:3943862|offset_183|444444,3943818:3943837|offset_208|00cc00&amp;v=3943770:3944037&amp;c=444444", "offset 208")</f>
        <v>offset 208</v>
      </c>
    </row>
    <row r="13969" customFormat="false" ht="12.8" hidden="false" customHeight="false" outlineLevel="0" collapsed="false">
      <c r="A13969" s="0" t="s">
        <v>12</v>
      </c>
      <c r="B13969" s="0" t="n">
        <v>3947210</v>
      </c>
      <c r="C13969" s="0" t="n">
        <v>3947230</v>
      </c>
      <c r="D13969" s="0" t="s">
        <v>46550</v>
      </c>
      <c r="E13969" s="0" t="s">
        <v>46551</v>
      </c>
      <c r="F13969" s="0" t="s">
        <v>90</v>
      </c>
      <c r="G13969" s="0" t="s">
        <v>36</v>
      </c>
      <c r="H13969" s="0" t="n">
        <v>0</v>
      </c>
      <c r="I13969" s="0" t="s">
        <v>46552</v>
      </c>
      <c r="J13969" s="0" t="s">
        <v>46553</v>
      </c>
      <c r="K13969" s="0" t="s">
        <v>46554</v>
      </c>
      <c r="L13969" s="0" t="str">
        <f aca="false">HYPERLINK("https://www.ncbi.nlm.nih.gov/nuccore/CP000304.1?report=graph&amp;tracks=[key:gene_model_track,Options:GeneOnly]&amp;mk=3947211:3947230|offset_0|00cc00,3947182:3947201|offset_29|444444,3947158:3947177|offset_53|444444,3947136:3947155|offset_75|444444&amp;v=3947010:3947355&amp;c=444444", "offset 0")</f>
        <v>offset 0</v>
      </c>
    </row>
    <row r="13970" customFormat="false" ht="12.8" hidden="false" customHeight="false" outlineLevel="0" collapsed="false">
      <c r="A13970" s="0" t="s">
        <v>12</v>
      </c>
      <c r="B13970" s="0" t="n">
        <v>3947181</v>
      </c>
      <c r="C13970" s="0" t="n">
        <v>3947201</v>
      </c>
      <c r="D13970" s="0" t="s">
        <v>46550</v>
      </c>
      <c r="E13970" s="0" t="s">
        <v>46551</v>
      </c>
      <c r="F13970" s="0" t="s">
        <v>90</v>
      </c>
      <c r="G13970" s="0" t="s">
        <v>26</v>
      </c>
      <c r="H13970" s="0" t="n">
        <v>29</v>
      </c>
      <c r="I13970" s="0" t="s">
        <v>46555</v>
      </c>
      <c r="J13970" s="0" t="s">
        <v>46556</v>
      </c>
      <c r="K13970" s="0" t="s">
        <v>46557</v>
      </c>
      <c r="L13970" s="0" t="str">
        <f aca="false">HYPERLINK("https://www.ncbi.nlm.nih.gov/nuccore/CP000304.1?report=graph&amp;tracks=[key:gene_model_track,Options:GeneOnly]&amp;mk=3947211:3947230|offset_0|444444,3947182:3947201|offset_29|00cc00,3947158:3947177|offset_53|444444,3947136:3947155|offset_75|444444&amp;v=3947010:3947355&amp;c=444444", "offset 29")</f>
        <v>offset 29</v>
      </c>
    </row>
    <row r="13971" customFormat="false" ht="12.8" hidden="false" customHeight="false" outlineLevel="0" collapsed="false">
      <c r="A13971" s="0" t="s">
        <v>12</v>
      </c>
      <c r="B13971" s="0" t="n">
        <v>3947157</v>
      </c>
      <c r="C13971" s="0" t="n">
        <v>3947177</v>
      </c>
      <c r="D13971" s="0" t="s">
        <v>46550</v>
      </c>
      <c r="E13971" s="0" t="s">
        <v>46551</v>
      </c>
      <c r="F13971" s="0" t="s">
        <v>90</v>
      </c>
      <c r="G13971" s="0" t="s">
        <v>26</v>
      </c>
      <c r="H13971" s="0" t="n">
        <v>53</v>
      </c>
      <c r="I13971" s="0" t="s">
        <v>46558</v>
      </c>
      <c r="J13971" s="0" t="s">
        <v>46559</v>
      </c>
      <c r="K13971" s="0" t="s">
        <v>46560</v>
      </c>
      <c r="L13971" s="0" t="str">
        <f aca="false">HYPERLINK("https://www.ncbi.nlm.nih.gov/nuccore/CP000304.1?report=graph&amp;tracks=[key:gene_model_track,Options:GeneOnly]&amp;mk=3947211:3947230|offset_0|444444,3947182:3947201|offset_29|444444,3947158:3947177|offset_53|00cc00,3947136:3947155|offset_75|444444&amp;v=3947010:3947355&amp;c=444444", "offset 53")</f>
        <v>offset 53</v>
      </c>
    </row>
    <row r="13972" customFormat="false" ht="12.8" hidden="false" customHeight="false" outlineLevel="0" collapsed="false">
      <c r="A13972" s="0" t="s">
        <v>12</v>
      </c>
      <c r="B13972" s="0" t="n">
        <v>3947135</v>
      </c>
      <c r="C13972" s="0" t="n">
        <v>3947155</v>
      </c>
      <c r="D13972" s="0" t="s">
        <v>46550</v>
      </c>
      <c r="E13972" s="0" t="s">
        <v>46551</v>
      </c>
      <c r="F13972" s="0" t="s">
        <v>90</v>
      </c>
      <c r="G13972" s="0" t="s">
        <v>36</v>
      </c>
      <c r="H13972" s="0" t="n">
        <v>75</v>
      </c>
      <c r="I13972" s="0" t="s">
        <v>46561</v>
      </c>
      <c r="J13972" s="0" t="s">
        <v>46562</v>
      </c>
      <c r="K13972" s="0" t="s">
        <v>46563</v>
      </c>
      <c r="L13972" s="0" t="str">
        <f aca="false">HYPERLINK("https://www.ncbi.nlm.nih.gov/nuccore/CP000304.1?report=graph&amp;tracks=[key:gene_model_track,Options:GeneOnly]&amp;mk=3947211:3947230|offset_0|444444,3947182:3947201|offset_29|444444,3947158:3947177|offset_53|444444,3947136:3947155|offset_75|00cc00&amp;v=3947010:3947355&amp;c=444444", "offset 75")</f>
        <v>offset 75</v>
      </c>
    </row>
    <row r="13973" customFormat="false" ht="12.8" hidden="false" customHeight="false" outlineLevel="0" collapsed="false">
      <c r="A13973" s="0" t="s">
        <v>12</v>
      </c>
      <c r="B13973" s="0" t="n">
        <v>3948589</v>
      </c>
      <c r="C13973" s="0" t="n">
        <v>3948609</v>
      </c>
      <c r="D13973" s="0" t="s">
        <v>46564</v>
      </c>
      <c r="E13973" s="0" t="s">
        <v>46565</v>
      </c>
      <c r="F13973" s="0" t="s">
        <v>90</v>
      </c>
      <c r="G13973" s="0" t="s">
        <v>32</v>
      </c>
      <c r="H13973" s="0" t="n">
        <v>11</v>
      </c>
      <c r="I13973" s="0" t="s">
        <v>46566</v>
      </c>
      <c r="J13973" s="0" t="s">
        <v>46567</v>
      </c>
      <c r="K13973" s="0" t="s">
        <v>46568</v>
      </c>
      <c r="L13973" s="0" t="str">
        <f aca="false">HYPERLINK("https://www.ncbi.nlm.nih.gov/nuccore/CP000304.1?report=graph&amp;tracks=[key:gene_model_track,Options:GeneOnly]&amp;mk=3948590:3948609|offset_11|00cc00,3948563:3948582|offset_38|444444,3948528:3948547|offset_73|444444,3948508:3948527|offset_93|444444&amp;v=3948389:3948727&amp;c=444444", "offset 11")</f>
        <v>offset 11</v>
      </c>
    </row>
    <row r="13974" customFormat="false" ht="12.8" hidden="false" customHeight="false" outlineLevel="0" collapsed="false">
      <c r="A13974" s="0" t="s">
        <v>12</v>
      </c>
      <c r="B13974" s="0" t="n">
        <v>3948562</v>
      </c>
      <c r="C13974" s="0" t="n">
        <v>3948582</v>
      </c>
      <c r="D13974" s="0" t="s">
        <v>46564</v>
      </c>
      <c r="E13974" s="0" t="s">
        <v>46565</v>
      </c>
      <c r="F13974" s="0" t="s">
        <v>90</v>
      </c>
      <c r="G13974" s="0" t="s">
        <v>32</v>
      </c>
      <c r="H13974" s="0" t="n">
        <v>38</v>
      </c>
      <c r="I13974" s="0" t="s">
        <v>46569</v>
      </c>
      <c r="J13974" s="0" t="s">
        <v>46570</v>
      </c>
      <c r="K13974" s="0" t="s">
        <v>46571</v>
      </c>
      <c r="L13974" s="0" t="str">
        <f aca="false">HYPERLINK("https://www.ncbi.nlm.nih.gov/nuccore/CP000304.1?report=graph&amp;tracks=[key:gene_model_track,Options:GeneOnly]&amp;mk=3948590:3948609|offset_11|444444,3948563:3948582|offset_38|00cc00,3948528:3948547|offset_73|444444,3948508:3948527|offset_93|444444&amp;v=3948389:3948727&amp;c=444444", "offset 38")</f>
        <v>offset 38</v>
      </c>
    </row>
    <row r="13975" customFormat="false" ht="12.8" hidden="false" customHeight="false" outlineLevel="0" collapsed="false">
      <c r="A13975" s="0" t="s">
        <v>12</v>
      </c>
      <c r="B13975" s="0" t="n">
        <v>3948527</v>
      </c>
      <c r="C13975" s="0" t="n">
        <v>3948547</v>
      </c>
      <c r="D13975" s="0" t="s">
        <v>46564</v>
      </c>
      <c r="E13975" s="0" t="s">
        <v>46565</v>
      </c>
      <c r="F13975" s="0" t="s">
        <v>90</v>
      </c>
      <c r="G13975" s="0" t="s">
        <v>36</v>
      </c>
      <c r="H13975" s="0" t="n">
        <v>73</v>
      </c>
      <c r="I13975" s="0" t="s">
        <v>46572</v>
      </c>
      <c r="J13975" s="0" t="s">
        <v>46573</v>
      </c>
      <c r="K13975" s="0" t="s">
        <v>46574</v>
      </c>
      <c r="L13975" s="0" t="str">
        <f aca="false">HYPERLINK("https://www.ncbi.nlm.nih.gov/nuccore/CP000304.1?report=graph&amp;tracks=[key:gene_model_track,Options:GeneOnly]&amp;mk=3948590:3948609|offset_11|444444,3948563:3948582|offset_38|444444,3948528:3948547|offset_73|00cc00,3948508:3948527|offset_93|444444&amp;v=3948389:3948727&amp;c=444444", "offset 73")</f>
        <v>offset 73</v>
      </c>
    </row>
    <row r="13976" customFormat="false" ht="12.8" hidden="false" customHeight="false" outlineLevel="0" collapsed="false">
      <c r="A13976" s="0" t="s">
        <v>12</v>
      </c>
      <c r="B13976" s="0" t="n">
        <v>3948507</v>
      </c>
      <c r="C13976" s="0" t="n">
        <v>3948527</v>
      </c>
      <c r="D13976" s="0" t="s">
        <v>46564</v>
      </c>
      <c r="E13976" s="0" t="s">
        <v>46565</v>
      </c>
      <c r="F13976" s="0" t="s">
        <v>90</v>
      </c>
      <c r="G13976" s="0" t="s">
        <v>16</v>
      </c>
      <c r="H13976" s="0" t="n">
        <v>93</v>
      </c>
      <c r="I13976" s="0" t="s">
        <v>46575</v>
      </c>
      <c r="J13976" s="0" t="s">
        <v>46576</v>
      </c>
      <c r="K13976" s="0" t="s">
        <v>46577</v>
      </c>
      <c r="L13976" s="0" t="str">
        <f aca="false">HYPERLINK("https://www.ncbi.nlm.nih.gov/nuccore/CP000304.1?report=graph&amp;tracks=[key:gene_model_track,Options:GeneOnly]&amp;mk=3948590:3948609|offset_11|444444,3948563:3948582|offset_38|444444,3948528:3948547|offset_73|444444,3948508:3948527|offset_93|00cc00&amp;v=3948389:3948727&amp;c=444444", "offset 93")</f>
        <v>offset 93</v>
      </c>
    </row>
    <row r="13977" customFormat="false" ht="12.8" hidden="false" customHeight="false" outlineLevel="0" collapsed="false">
      <c r="A13977" s="0" t="s">
        <v>12</v>
      </c>
      <c r="B13977" s="0" t="n">
        <v>3949249</v>
      </c>
      <c r="C13977" s="0" t="n">
        <v>3949269</v>
      </c>
      <c r="D13977" s="0" t="s">
        <v>46578</v>
      </c>
      <c r="E13977" s="0" t="s">
        <v>46579</v>
      </c>
      <c r="F13977" s="0" t="s">
        <v>90</v>
      </c>
      <c r="G13977" s="0" t="s">
        <v>32</v>
      </c>
      <c r="H13977" s="0" t="n">
        <v>31</v>
      </c>
      <c r="I13977" s="0" t="s">
        <v>46580</v>
      </c>
      <c r="J13977" s="0" t="s">
        <v>46581</v>
      </c>
      <c r="K13977" s="0" t="s">
        <v>46582</v>
      </c>
      <c r="L13977" s="0" t="str">
        <f aca="false">HYPERLINK("https://www.ncbi.nlm.nih.gov/nuccore/CP000304.1?report=graph&amp;tracks=[key:gene_model_track,Options:GeneOnly]&amp;mk=3949250:3949269|offset_31|00cc00,3949211:3949230|offset_70|444444,3949185:3949204|offset_96|444444,3949158:3949177|offset_123|444444&amp;v=3949049:3949377&amp;c=444444", "offset 31")</f>
        <v>offset 31</v>
      </c>
    </row>
    <row r="13978" customFormat="false" ht="12.8" hidden="false" customHeight="false" outlineLevel="0" collapsed="false">
      <c r="A13978" s="0" t="s">
        <v>12</v>
      </c>
      <c r="B13978" s="0" t="n">
        <v>3949210</v>
      </c>
      <c r="C13978" s="0" t="n">
        <v>3949230</v>
      </c>
      <c r="D13978" s="0" t="s">
        <v>46578</v>
      </c>
      <c r="E13978" s="0" t="s">
        <v>46579</v>
      </c>
      <c r="F13978" s="0" t="s">
        <v>90</v>
      </c>
      <c r="G13978" s="0" t="s">
        <v>16</v>
      </c>
      <c r="H13978" s="0" t="n">
        <v>70</v>
      </c>
      <c r="I13978" s="0" t="s">
        <v>46583</v>
      </c>
      <c r="J13978" s="0" t="s">
        <v>46584</v>
      </c>
      <c r="K13978" s="0" t="s">
        <v>46585</v>
      </c>
      <c r="L13978" s="0" t="str">
        <f aca="false">HYPERLINK("https://www.ncbi.nlm.nih.gov/nuccore/CP000304.1?report=graph&amp;tracks=[key:gene_model_track,Options:GeneOnly]&amp;mk=3949250:3949269|offset_31|444444,3949211:3949230|offset_70|00cc00,3949185:3949204|offset_96|444444,3949158:3949177|offset_123|444444&amp;v=3949049:3949377&amp;c=444444", "offset 70")</f>
        <v>offset 70</v>
      </c>
    </row>
    <row r="13979" customFormat="false" ht="12.8" hidden="false" customHeight="false" outlineLevel="0" collapsed="false">
      <c r="A13979" s="0" t="s">
        <v>12</v>
      </c>
      <c r="B13979" s="0" t="n">
        <v>3949184</v>
      </c>
      <c r="C13979" s="0" t="n">
        <v>3949204</v>
      </c>
      <c r="D13979" s="0" t="s">
        <v>46578</v>
      </c>
      <c r="E13979" s="0" t="s">
        <v>46579</v>
      </c>
      <c r="F13979" s="0" t="s">
        <v>90</v>
      </c>
      <c r="G13979" s="0" t="s">
        <v>16</v>
      </c>
      <c r="H13979" s="0" t="n">
        <v>96</v>
      </c>
      <c r="I13979" s="0" t="s">
        <v>46586</v>
      </c>
      <c r="J13979" s="0" t="s">
        <v>46587</v>
      </c>
      <c r="K13979" s="0" t="s">
        <v>46588</v>
      </c>
      <c r="L13979" s="0" t="str">
        <f aca="false">HYPERLINK("https://www.ncbi.nlm.nih.gov/nuccore/CP000304.1?report=graph&amp;tracks=[key:gene_model_track,Options:GeneOnly]&amp;mk=3949250:3949269|offset_31|444444,3949211:3949230|offset_70|444444,3949185:3949204|offset_96|00cc00,3949158:3949177|offset_123|444444&amp;v=3949049:3949377&amp;c=444444", "offset 96")</f>
        <v>offset 96</v>
      </c>
    </row>
    <row r="13980" customFormat="false" ht="12.8" hidden="false" customHeight="false" outlineLevel="0" collapsed="false">
      <c r="A13980" s="0" t="s">
        <v>12</v>
      </c>
      <c r="B13980" s="0" t="n">
        <v>3949157</v>
      </c>
      <c r="C13980" s="0" t="n">
        <v>3949177</v>
      </c>
      <c r="D13980" s="0" t="s">
        <v>46578</v>
      </c>
      <c r="E13980" s="0" t="s">
        <v>46579</v>
      </c>
      <c r="F13980" s="0" t="s">
        <v>90</v>
      </c>
      <c r="G13980" s="0" t="s">
        <v>16</v>
      </c>
      <c r="H13980" s="0" t="n">
        <v>123</v>
      </c>
      <c r="I13980" s="0" t="s">
        <v>46589</v>
      </c>
      <c r="J13980" s="0" t="s">
        <v>46590</v>
      </c>
      <c r="K13980" s="0" t="s">
        <v>46591</v>
      </c>
      <c r="L13980" s="0" t="str">
        <f aca="false">HYPERLINK("https://www.ncbi.nlm.nih.gov/nuccore/CP000304.1?report=graph&amp;tracks=[key:gene_model_track,Options:GeneOnly]&amp;mk=3949250:3949269|offset_31|444444,3949211:3949230|offset_70|444444,3949185:3949204|offset_96|444444,3949158:3949177|offset_123|00cc00&amp;v=3949049:3949377&amp;c=444444", "offset 123")</f>
        <v>offset 123</v>
      </c>
    </row>
    <row r="13981" customFormat="false" ht="12.8" hidden="false" customHeight="false" outlineLevel="0" collapsed="false">
      <c r="A13981" s="0" t="s">
        <v>12</v>
      </c>
      <c r="B13981" s="0" t="n">
        <v>3950185</v>
      </c>
      <c r="C13981" s="0" t="n">
        <v>3950205</v>
      </c>
      <c r="D13981" s="0" t="s">
        <v>46592</v>
      </c>
      <c r="E13981" s="0" t="s">
        <v>89</v>
      </c>
      <c r="F13981" s="0" t="s">
        <v>90</v>
      </c>
      <c r="G13981" s="0" t="s">
        <v>36</v>
      </c>
      <c r="H13981" s="0" t="n">
        <v>10</v>
      </c>
      <c r="I13981" s="0" t="s">
        <v>46593</v>
      </c>
      <c r="J13981" s="0" t="s">
        <v>46594</v>
      </c>
      <c r="K13981" s="0" t="s">
        <v>46595</v>
      </c>
      <c r="L13981" s="0" t="str">
        <f aca="false">HYPERLINK("https://www.ncbi.nlm.nih.gov/nuccore/CP000304.1?report=graph&amp;tracks=[key:gene_model_track,Options:GeneOnly]&amp;mk=3950186:3950205|offset_10|00cc00,3950161:3950180|offset_35|444444,3950135:3950154|offset_61|444444,3950093:3950112|offset_103|444444&amp;v=3949985:3950312&amp;c=444444", "offset 10")</f>
        <v>offset 10</v>
      </c>
    </row>
    <row r="13982" customFormat="false" ht="12.8" hidden="false" customHeight="false" outlineLevel="0" collapsed="false">
      <c r="A13982" s="0" t="s">
        <v>12</v>
      </c>
      <c r="B13982" s="0" t="n">
        <v>3950160</v>
      </c>
      <c r="C13982" s="0" t="n">
        <v>3950180</v>
      </c>
      <c r="D13982" s="0" t="s">
        <v>46592</v>
      </c>
      <c r="E13982" s="0" t="s">
        <v>89</v>
      </c>
      <c r="F13982" s="0" t="s">
        <v>90</v>
      </c>
      <c r="G13982" s="0" t="s">
        <v>16</v>
      </c>
      <c r="H13982" s="0" t="n">
        <v>35</v>
      </c>
      <c r="I13982" s="0" t="s">
        <v>46596</v>
      </c>
      <c r="J13982" s="0" t="s">
        <v>46597</v>
      </c>
      <c r="K13982" s="0" t="s">
        <v>46598</v>
      </c>
      <c r="L13982" s="0" t="str">
        <f aca="false">HYPERLINK("https://www.ncbi.nlm.nih.gov/nuccore/CP000304.1?report=graph&amp;tracks=[key:gene_model_track,Options:GeneOnly]&amp;mk=3950186:3950205|offset_10|444444,3950161:3950180|offset_35|00cc00,3950135:3950154|offset_61|444444,3950093:3950112|offset_103|444444&amp;v=3949985:3950312&amp;c=444444", "offset 35")</f>
        <v>offset 35</v>
      </c>
    </row>
    <row r="13983" customFormat="false" ht="12.8" hidden="false" customHeight="false" outlineLevel="0" collapsed="false">
      <c r="A13983" s="0" t="s">
        <v>12</v>
      </c>
      <c r="B13983" s="0" t="n">
        <v>3950134</v>
      </c>
      <c r="C13983" s="0" t="n">
        <v>3950154</v>
      </c>
      <c r="D13983" s="0" t="s">
        <v>46592</v>
      </c>
      <c r="E13983" s="0" t="s">
        <v>89</v>
      </c>
      <c r="F13983" s="0" t="s">
        <v>90</v>
      </c>
      <c r="G13983" s="0" t="s">
        <v>16</v>
      </c>
      <c r="H13983" s="0" t="n">
        <v>61</v>
      </c>
      <c r="I13983" s="0" t="s">
        <v>46599</v>
      </c>
      <c r="J13983" s="0" t="s">
        <v>46600</v>
      </c>
      <c r="K13983" s="0" t="s">
        <v>46601</v>
      </c>
      <c r="L13983" s="0" t="str">
        <f aca="false">HYPERLINK("https://www.ncbi.nlm.nih.gov/nuccore/CP000304.1?report=graph&amp;tracks=[key:gene_model_track,Options:GeneOnly]&amp;mk=3950186:3950205|offset_10|444444,3950161:3950180|offset_35|444444,3950135:3950154|offset_61|00cc00,3950093:3950112|offset_103|444444&amp;v=3949985:3950312&amp;c=444444", "offset 61")</f>
        <v>offset 61</v>
      </c>
    </row>
    <row r="13984" customFormat="false" ht="12.8" hidden="false" customHeight="false" outlineLevel="0" collapsed="false">
      <c r="A13984" s="0" t="s">
        <v>12</v>
      </c>
      <c r="B13984" s="0" t="n">
        <v>3950092</v>
      </c>
      <c r="C13984" s="0" t="n">
        <v>3950112</v>
      </c>
      <c r="D13984" s="0" t="s">
        <v>46592</v>
      </c>
      <c r="E13984" s="0" t="s">
        <v>89</v>
      </c>
      <c r="F13984" s="0" t="s">
        <v>90</v>
      </c>
      <c r="G13984" s="0" t="s">
        <v>16</v>
      </c>
      <c r="H13984" s="0" t="n">
        <v>103</v>
      </c>
      <c r="I13984" s="0" t="s">
        <v>46602</v>
      </c>
      <c r="J13984" s="0" t="s">
        <v>46603</v>
      </c>
      <c r="K13984" s="0" t="s">
        <v>46604</v>
      </c>
      <c r="L13984" s="0" t="str">
        <f aca="false">HYPERLINK("https://www.ncbi.nlm.nih.gov/nuccore/CP000304.1?report=graph&amp;tracks=[key:gene_model_track,Options:GeneOnly]&amp;mk=3950186:3950205|offset_10|444444,3950161:3950180|offset_35|444444,3950135:3950154|offset_61|444444,3950093:3950112|offset_103|00cc00&amp;v=3949985:3950312&amp;c=444444", "offset 103")</f>
        <v>offset 103</v>
      </c>
    </row>
    <row r="13985" customFormat="false" ht="12.8" hidden="false" customHeight="false" outlineLevel="0" collapsed="false">
      <c r="A13985" s="0" t="s">
        <v>12</v>
      </c>
      <c r="B13985" s="0" t="n">
        <v>3950443</v>
      </c>
      <c r="C13985" s="0" t="n">
        <v>3950463</v>
      </c>
      <c r="D13985" s="0" t="s">
        <v>46605</v>
      </c>
      <c r="E13985" s="0" t="s">
        <v>46606</v>
      </c>
      <c r="F13985" s="0" t="s">
        <v>90</v>
      </c>
      <c r="G13985" s="0" t="s">
        <v>16</v>
      </c>
      <c r="H13985" s="0" t="n">
        <v>17</v>
      </c>
      <c r="I13985" s="0" t="s">
        <v>46607</v>
      </c>
      <c r="J13985" s="0" t="s">
        <v>46608</v>
      </c>
      <c r="K13985" s="0" t="s">
        <v>46609</v>
      </c>
      <c r="L13985" s="0" t="str">
        <f aca="false">HYPERLINK("https://www.ncbi.nlm.nih.gov/nuccore/CP000304.1?report=graph&amp;tracks=[key:gene_model_track,Options:GeneOnly]&amp;mk=3950444:3950463|offset_17|00cc00,3950418:3950437|offset_43|444444,3950376:3950395|offset_85|444444,3950352:3950371|offset_109|444444&amp;v=3950243:3950571&amp;c=444444", "offset 17")</f>
        <v>offset 17</v>
      </c>
    </row>
    <row r="13986" customFormat="false" ht="12.8" hidden="false" customHeight="false" outlineLevel="0" collapsed="false">
      <c r="A13986" s="0" t="s">
        <v>12</v>
      </c>
      <c r="B13986" s="0" t="n">
        <v>3950417</v>
      </c>
      <c r="C13986" s="0" t="n">
        <v>3950437</v>
      </c>
      <c r="D13986" s="0" t="s">
        <v>46605</v>
      </c>
      <c r="E13986" s="0" t="s">
        <v>46606</v>
      </c>
      <c r="F13986" s="0" t="s">
        <v>90</v>
      </c>
      <c r="G13986" s="0" t="s">
        <v>16</v>
      </c>
      <c r="H13986" s="0" t="n">
        <v>43</v>
      </c>
      <c r="I13986" s="0" t="s">
        <v>46610</v>
      </c>
      <c r="J13986" s="0" t="s">
        <v>46611</v>
      </c>
      <c r="K13986" s="0" t="s">
        <v>46612</v>
      </c>
      <c r="L13986" s="0" t="str">
        <f aca="false">HYPERLINK("https://www.ncbi.nlm.nih.gov/nuccore/CP000304.1?report=graph&amp;tracks=[key:gene_model_track,Options:GeneOnly]&amp;mk=3950444:3950463|offset_17|444444,3950418:3950437|offset_43|00cc00,3950376:3950395|offset_85|444444,3950352:3950371|offset_109|444444&amp;v=3950243:3950571&amp;c=444444", "offset 43")</f>
        <v>offset 43</v>
      </c>
    </row>
    <row r="13987" customFormat="false" ht="12.8" hidden="false" customHeight="false" outlineLevel="0" collapsed="false">
      <c r="A13987" s="0" t="s">
        <v>12</v>
      </c>
      <c r="B13987" s="0" t="n">
        <v>3950375</v>
      </c>
      <c r="C13987" s="0" t="n">
        <v>3950395</v>
      </c>
      <c r="D13987" s="0" t="s">
        <v>46605</v>
      </c>
      <c r="E13987" s="0" t="s">
        <v>46606</v>
      </c>
      <c r="F13987" s="0" t="s">
        <v>90</v>
      </c>
      <c r="G13987" s="0" t="s">
        <v>36</v>
      </c>
      <c r="H13987" s="0" t="n">
        <v>85</v>
      </c>
      <c r="I13987" s="0" t="s">
        <v>46613</v>
      </c>
      <c r="J13987" s="0" t="s">
        <v>46614</v>
      </c>
      <c r="K13987" s="0" t="s">
        <v>46615</v>
      </c>
      <c r="L13987" s="0" t="str">
        <f aca="false">HYPERLINK("https://www.ncbi.nlm.nih.gov/nuccore/CP000304.1?report=graph&amp;tracks=[key:gene_model_track,Options:GeneOnly]&amp;mk=3950444:3950463|offset_17|444444,3950418:3950437|offset_43|444444,3950376:3950395|offset_85|00cc00,3950352:3950371|offset_109|444444&amp;v=3950243:3950571&amp;c=444444", "offset 85")</f>
        <v>offset 85</v>
      </c>
    </row>
    <row r="13988" customFormat="false" ht="12.8" hidden="false" customHeight="false" outlineLevel="0" collapsed="false">
      <c r="A13988" s="0" t="s">
        <v>12</v>
      </c>
      <c r="B13988" s="0" t="n">
        <v>3950351</v>
      </c>
      <c r="C13988" s="0" t="n">
        <v>3950371</v>
      </c>
      <c r="D13988" s="0" t="s">
        <v>46605</v>
      </c>
      <c r="E13988" s="0" t="s">
        <v>46606</v>
      </c>
      <c r="F13988" s="0" t="s">
        <v>90</v>
      </c>
      <c r="G13988" s="0" t="s">
        <v>16</v>
      </c>
      <c r="H13988" s="0" t="n">
        <v>109</v>
      </c>
      <c r="I13988" s="0" t="s">
        <v>46616</v>
      </c>
      <c r="J13988" s="0" t="s">
        <v>46617</v>
      </c>
      <c r="K13988" s="0" t="s">
        <v>46618</v>
      </c>
      <c r="L13988" s="0" t="str">
        <f aca="false">HYPERLINK("https://www.ncbi.nlm.nih.gov/nuccore/CP000304.1?report=graph&amp;tracks=[key:gene_model_track,Options:GeneOnly]&amp;mk=3950444:3950463|offset_17|444444,3950418:3950437|offset_43|444444,3950376:3950395|offset_85|444444,3950352:3950371|offset_109|00cc00&amp;v=3950243:3950571&amp;c=444444", "offset 109")</f>
        <v>offset 109</v>
      </c>
    </row>
    <row r="13989" customFormat="false" ht="12.8" hidden="false" customHeight="false" outlineLevel="0" collapsed="false">
      <c r="A13989" s="0" t="s">
        <v>12</v>
      </c>
      <c r="B13989" s="0" t="n">
        <v>3950870</v>
      </c>
      <c r="C13989" s="0" t="n">
        <v>3950890</v>
      </c>
      <c r="D13989" s="0" t="s">
        <v>46619</v>
      </c>
      <c r="E13989" s="0" t="s">
        <v>46620</v>
      </c>
      <c r="F13989" s="0" t="s">
        <v>90</v>
      </c>
      <c r="G13989" s="0" t="s">
        <v>36</v>
      </c>
      <c r="H13989" s="0" t="n">
        <v>35</v>
      </c>
      <c r="I13989" s="0" t="s">
        <v>46621</v>
      </c>
      <c r="J13989" s="0" t="s">
        <v>46622</v>
      </c>
      <c r="K13989" s="0" t="s">
        <v>46623</v>
      </c>
      <c r="L13989" s="0" t="str">
        <f aca="false">HYPERLINK("https://www.ncbi.nlm.nih.gov/nuccore/CP000304.1?report=graph&amp;tracks=[key:gene_model_track,Options:GeneOnly]&amp;mk=3950871:3950890|offset_35|00cc00,3950827:3950846|offset_79|444444,3950796:3950815|offset_110|444444,3950775:3950794|offset_131|444444&amp;v=3950670:3950994&amp;c=444444", "offset 35")</f>
        <v>offset 35</v>
      </c>
    </row>
    <row r="13990" customFormat="false" ht="12.8" hidden="false" customHeight="false" outlineLevel="0" collapsed="false">
      <c r="A13990" s="0" t="s">
        <v>12</v>
      </c>
      <c r="B13990" s="0" t="n">
        <v>3950826</v>
      </c>
      <c r="C13990" s="0" t="n">
        <v>3950846</v>
      </c>
      <c r="D13990" s="0" t="s">
        <v>46619</v>
      </c>
      <c r="E13990" s="0" t="s">
        <v>46620</v>
      </c>
      <c r="F13990" s="0" t="s">
        <v>90</v>
      </c>
      <c r="G13990" s="0" t="s">
        <v>32</v>
      </c>
      <c r="H13990" s="0" t="n">
        <v>79</v>
      </c>
      <c r="I13990" s="0" t="s">
        <v>46624</v>
      </c>
      <c r="J13990" s="0" t="s">
        <v>46625</v>
      </c>
      <c r="K13990" s="0" t="s">
        <v>46626</v>
      </c>
      <c r="L13990" s="0" t="str">
        <f aca="false">HYPERLINK("https://www.ncbi.nlm.nih.gov/nuccore/CP000304.1?report=graph&amp;tracks=[key:gene_model_track,Options:GeneOnly]&amp;mk=3950871:3950890|offset_35|444444,3950827:3950846|offset_79|00cc00,3950796:3950815|offset_110|444444,3950775:3950794|offset_131|444444&amp;v=3950670:3950994&amp;c=444444", "offset 79")</f>
        <v>offset 79</v>
      </c>
    </row>
    <row r="13991" customFormat="false" ht="12.8" hidden="false" customHeight="false" outlineLevel="0" collapsed="false">
      <c r="A13991" s="0" t="s">
        <v>12</v>
      </c>
      <c r="B13991" s="0" t="n">
        <v>3950795</v>
      </c>
      <c r="C13991" s="0" t="n">
        <v>3950815</v>
      </c>
      <c r="D13991" s="0" t="s">
        <v>46619</v>
      </c>
      <c r="E13991" s="0" t="s">
        <v>46620</v>
      </c>
      <c r="F13991" s="0" t="s">
        <v>90</v>
      </c>
      <c r="G13991" s="0" t="s">
        <v>32</v>
      </c>
      <c r="H13991" s="0" t="n">
        <v>110</v>
      </c>
      <c r="I13991" s="0" t="s">
        <v>46627</v>
      </c>
      <c r="J13991" s="0" t="s">
        <v>46628</v>
      </c>
      <c r="K13991" s="0" t="s">
        <v>46629</v>
      </c>
      <c r="L13991" s="0" t="str">
        <f aca="false">HYPERLINK("https://www.ncbi.nlm.nih.gov/nuccore/CP000304.1?report=graph&amp;tracks=[key:gene_model_track,Options:GeneOnly]&amp;mk=3950871:3950890|offset_35|444444,3950827:3950846|offset_79|444444,3950796:3950815|offset_110|00cc00,3950775:3950794|offset_131|444444&amp;v=3950670:3950994&amp;c=444444", "offset 110")</f>
        <v>offset 110</v>
      </c>
    </row>
    <row r="13992" customFormat="false" ht="12.8" hidden="false" customHeight="false" outlineLevel="0" collapsed="false">
      <c r="A13992" s="0" t="s">
        <v>12</v>
      </c>
      <c r="B13992" s="0" t="n">
        <v>3950774</v>
      </c>
      <c r="C13992" s="0" t="n">
        <v>3950794</v>
      </c>
      <c r="D13992" s="0" t="s">
        <v>46619</v>
      </c>
      <c r="E13992" s="0" t="s">
        <v>46620</v>
      </c>
      <c r="F13992" s="0" t="s">
        <v>90</v>
      </c>
      <c r="G13992" s="0" t="s">
        <v>16</v>
      </c>
      <c r="H13992" s="0" t="n">
        <v>131</v>
      </c>
      <c r="I13992" s="0" t="s">
        <v>46630</v>
      </c>
      <c r="J13992" s="0" t="s">
        <v>46631</v>
      </c>
      <c r="K13992" s="0" t="s">
        <v>46632</v>
      </c>
      <c r="L13992" s="0" t="str">
        <f aca="false">HYPERLINK("https://www.ncbi.nlm.nih.gov/nuccore/CP000304.1?report=graph&amp;tracks=[key:gene_model_track,Options:GeneOnly]&amp;mk=3950871:3950890|offset_35|444444,3950827:3950846|offset_79|444444,3950796:3950815|offset_110|444444,3950775:3950794|offset_131|00cc00&amp;v=3950670:3950994&amp;c=444444", "offset 131")</f>
        <v>offset 131</v>
      </c>
    </row>
    <row r="13993" customFormat="false" ht="12.8" hidden="false" customHeight="false" outlineLevel="0" collapsed="false">
      <c r="A13993" s="0" t="s">
        <v>12</v>
      </c>
      <c r="B13993" s="0" t="n">
        <v>3953227</v>
      </c>
      <c r="C13993" s="0" t="n">
        <v>3953247</v>
      </c>
      <c r="D13993" s="0" t="s">
        <v>46633</v>
      </c>
      <c r="E13993" s="0" t="s">
        <v>89</v>
      </c>
      <c r="F13993" s="0" t="s">
        <v>90</v>
      </c>
      <c r="G13993" s="0" t="s">
        <v>36</v>
      </c>
      <c r="H13993" s="0" t="n">
        <v>14</v>
      </c>
      <c r="I13993" s="0" t="s">
        <v>46634</v>
      </c>
      <c r="J13993" s="0" t="s">
        <v>46635</v>
      </c>
      <c r="K13993" s="0" t="s">
        <v>46636</v>
      </c>
      <c r="L13993" s="0" t="str">
        <f aca="false">HYPERLINK("https://www.ncbi.nlm.nih.gov/nuccore/CP000304.1?report=graph&amp;tracks=[key:gene_model_track,Options:GeneOnly]&amp;mk=3953228:3953247|offset_14|00cc00,3953197:3953216|offset_45|444444,3953174:3953193|offset_68|444444,3953151:3953170|offset_91|444444&amp;v=3953027:3953370&amp;c=444444", "offset 14")</f>
        <v>offset 14</v>
      </c>
    </row>
    <row r="13994" customFormat="false" ht="12.8" hidden="false" customHeight="false" outlineLevel="0" collapsed="false">
      <c r="A13994" s="0" t="s">
        <v>12</v>
      </c>
      <c r="B13994" s="0" t="n">
        <v>3953196</v>
      </c>
      <c r="C13994" s="0" t="n">
        <v>3953216</v>
      </c>
      <c r="D13994" s="0" t="s">
        <v>46633</v>
      </c>
      <c r="E13994" s="0" t="s">
        <v>89</v>
      </c>
      <c r="F13994" s="0" t="s">
        <v>90</v>
      </c>
      <c r="G13994" s="0" t="s">
        <v>16</v>
      </c>
      <c r="H13994" s="0" t="n">
        <v>45</v>
      </c>
      <c r="I13994" s="0" t="s">
        <v>46637</v>
      </c>
      <c r="J13994" s="0" t="s">
        <v>46638</v>
      </c>
      <c r="K13994" s="0" t="s">
        <v>46639</v>
      </c>
      <c r="L13994" s="0" t="str">
        <f aca="false">HYPERLINK("https://www.ncbi.nlm.nih.gov/nuccore/CP000304.1?report=graph&amp;tracks=[key:gene_model_track,Options:GeneOnly]&amp;mk=3953228:3953247|offset_14|444444,3953197:3953216|offset_45|00cc00,3953174:3953193|offset_68|444444,3953151:3953170|offset_91|444444&amp;v=3953027:3953370&amp;c=444444", "offset 45")</f>
        <v>offset 45</v>
      </c>
    </row>
    <row r="13995" customFormat="false" ht="12.8" hidden="false" customHeight="false" outlineLevel="0" collapsed="false">
      <c r="A13995" s="0" t="s">
        <v>12</v>
      </c>
      <c r="B13995" s="0" t="n">
        <v>3953173</v>
      </c>
      <c r="C13995" s="0" t="n">
        <v>3953193</v>
      </c>
      <c r="D13995" s="0" t="s">
        <v>46633</v>
      </c>
      <c r="E13995" s="0" t="s">
        <v>89</v>
      </c>
      <c r="F13995" s="0" t="s">
        <v>90</v>
      </c>
      <c r="G13995" s="0" t="s">
        <v>16</v>
      </c>
      <c r="H13995" s="0" t="n">
        <v>68</v>
      </c>
      <c r="I13995" s="0" t="s">
        <v>46640</v>
      </c>
      <c r="J13995" s="0" t="s">
        <v>46641</v>
      </c>
      <c r="K13995" s="0" t="s">
        <v>46642</v>
      </c>
      <c r="L13995" s="0" t="str">
        <f aca="false">HYPERLINK("https://www.ncbi.nlm.nih.gov/nuccore/CP000304.1?report=graph&amp;tracks=[key:gene_model_track,Options:GeneOnly]&amp;mk=3953228:3953247|offset_14|444444,3953197:3953216|offset_45|444444,3953174:3953193|offset_68|00cc00,3953151:3953170|offset_91|444444&amp;v=3953027:3953370&amp;c=444444", "offset 68")</f>
        <v>offset 68</v>
      </c>
    </row>
    <row r="13996" customFormat="false" ht="12.8" hidden="false" customHeight="false" outlineLevel="0" collapsed="false">
      <c r="A13996" s="0" t="s">
        <v>12</v>
      </c>
      <c r="B13996" s="0" t="n">
        <v>3953150</v>
      </c>
      <c r="C13996" s="0" t="n">
        <v>3953170</v>
      </c>
      <c r="D13996" s="0" t="s">
        <v>46633</v>
      </c>
      <c r="E13996" s="0" t="s">
        <v>89</v>
      </c>
      <c r="F13996" s="0" t="s">
        <v>90</v>
      </c>
      <c r="G13996" s="0" t="s">
        <v>32</v>
      </c>
      <c r="H13996" s="0" t="n">
        <v>91</v>
      </c>
      <c r="I13996" s="0" t="s">
        <v>46643</v>
      </c>
      <c r="J13996" s="0" t="s">
        <v>46644</v>
      </c>
      <c r="K13996" s="0" t="s">
        <v>46645</v>
      </c>
      <c r="L13996" s="0" t="str">
        <f aca="false">HYPERLINK("https://www.ncbi.nlm.nih.gov/nuccore/CP000304.1?report=graph&amp;tracks=[key:gene_model_track,Options:GeneOnly]&amp;mk=3953228:3953247|offset_14|444444,3953197:3953216|offset_45|444444,3953174:3953193|offset_68|444444,3953151:3953170|offset_91|00cc00&amp;v=3953027:3953370&amp;c=444444", "offset 91")</f>
        <v>offset 91</v>
      </c>
    </row>
    <row r="13997" customFormat="false" ht="12.8" hidden="false" customHeight="false" outlineLevel="0" collapsed="false">
      <c r="A13997" s="0" t="s">
        <v>12</v>
      </c>
      <c r="B13997" s="0" t="n">
        <v>3954140</v>
      </c>
      <c r="C13997" s="0" t="n">
        <v>3954160</v>
      </c>
      <c r="D13997" s="0" t="s">
        <v>46646</v>
      </c>
      <c r="E13997" s="0" t="s">
        <v>89</v>
      </c>
      <c r="F13997" s="0" t="s">
        <v>90</v>
      </c>
      <c r="G13997" s="0" t="s">
        <v>26</v>
      </c>
      <c r="H13997" s="0" t="n">
        <v>29</v>
      </c>
      <c r="I13997" s="0" t="s">
        <v>46647</v>
      </c>
      <c r="J13997" s="0" t="s">
        <v>46648</v>
      </c>
      <c r="K13997" s="0" t="s">
        <v>46649</v>
      </c>
      <c r="L13997" s="0" t="str">
        <f aca="false">HYPERLINK("https://www.ncbi.nlm.nih.gov/nuccore/CP000304.1?report=graph&amp;tracks=[key:gene_model_track,Options:GeneOnly]&amp;mk=3954141:3954160|offset_29|00cc00,3954114:3954133|offset_56|444444,3954079:3954098|offset_91|444444,3954034:3954053|offset_136|444444&amp;v=3953940:3954253&amp;c=444444", "offset 29")</f>
        <v>offset 29</v>
      </c>
    </row>
    <row r="13998" customFormat="false" ht="12.8" hidden="false" customHeight="false" outlineLevel="0" collapsed="false">
      <c r="A13998" s="0" t="s">
        <v>12</v>
      </c>
      <c r="B13998" s="0" t="n">
        <v>3954113</v>
      </c>
      <c r="C13998" s="0" t="n">
        <v>3954133</v>
      </c>
      <c r="D13998" s="0" t="s">
        <v>46646</v>
      </c>
      <c r="E13998" s="0" t="s">
        <v>89</v>
      </c>
      <c r="F13998" s="0" t="s">
        <v>90</v>
      </c>
      <c r="G13998" s="0" t="s">
        <v>32</v>
      </c>
      <c r="H13998" s="0" t="n">
        <v>56</v>
      </c>
      <c r="I13998" s="0" t="s">
        <v>46650</v>
      </c>
      <c r="J13998" s="0" t="s">
        <v>46651</v>
      </c>
      <c r="K13998" s="0" t="s">
        <v>46652</v>
      </c>
      <c r="L13998" s="0" t="str">
        <f aca="false">HYPERLINK("https://www.ncbi.nlm.nih.gov/nuccore/CP000304.1?report=graph&amp;tracks=[key:gene_model_track,Options:GeneOnly]&amp;mk=3954141:3954160|offset_29|444444,3954114:3954133|offset_56|00cc00,3954079:3954098|offset_91|444444,3954034:3954053|offset_136|444444&amp;v=3953940:3954253&amp;c=444444", "offset 56")</f>
        <v>offset 56</v>
      </c>
    </row>
    <row r="13999" customFormat="false" ht="12.8" hidden="false" customHeight="false" outlineLevel="0" collapsed="false">
      <c r="A13999" s="0" t="s">
        <v>12</v>
      </c>
      <c r="B13999" s="0" t="n">
        <v>3954078</v>
      </c>
      <c r="C13999" s="0" t="n">
        <v>3954098</v>
      </c>
      <c r="D13999" s="0" t="s">
        <v>46646</v>
      </c>
      <c r="E13999" s="0" t="s">
        <v>89</v>
      </c>
      <c r="F13999" s="0" t="s">
        <v>90</v>
      </c>
      <c r="G13999" s="0" t="s">
        <v>16</v>
      </c>
      <c r="H13999" s="0" t="n">
        <v>91</v>
      </c>
      <c r="I13999" s="0" t="s">
        <v>46653</v>
      </c>
      <c r="J13999" s="0" t="s">
        <v>46654</v>
      </c>
      <c r="K13999" s="0" t="s">
        <v>46655</v>
      </c>
      <c r="L13999" s="0" t="str">
        <f aca="false">HYPERLINK("https://www.ncbi.nlm.nih.gov/nuccore/CP000304.1?report=graph&amp;tracks=[key:gene_model_track,Options:GeneOnly]&amp;mk=3954141:3954160|offset_29|444444,3954114:3954133|offset_56|444444,3954079:3954098|offset_91|00cc00,3954034:3954053|offset_136|444444&amp;v=3953940:3954253&amp;c=444444", "offset 91")</f>
        <v>offset 91</v>
      </c>
    </row>
    <row r="14000" customFormat="false" ht="12.8" hidden="false" customHeight="false" outlineLevel="0" collapsed="false">
      <c r="A14000" s="0" t="s">
        <v>12</v>
      </c>
      <c r="B14000" s="0" t="n">
        <v>3954033</v>
      </c>
      <c r="C14000" s="0" t="n">
        <v>3954053</v>
      </c>
      <c r="D14000" s="0" t="s">
        <v>46646</v>
      </c>
      <c r="E14000" s="0" t="s">
        <v>89</v>
      </c>
      <c r="F14000" s="0" t="s">
        <v>90</v>
      </c>
      <c r="G14000" s="0" t="s">
        <v>16</v>
      </c>
      <c r="H14000" s="0" t="n">
        <v>136</v>
      </c>
      <c r="I14000" s="0" t="s">
        <v>46656</v>
      </c>
      <c r="J14000" s="0" t="s">
        <v>46657</v>
      </c>
      <c r="K14000" s="0" t="s">
        <v>46658</v>
      </c>
      <c r="L14000" s="0" t="str">
        <f aca="false">HYPERLINK("https://www.ncbi.nlm.nih.gov/nuccore/CP000304.1?report=graph&amp;tracks=[key:gene_model_track,Options:GeneOnly]&amp;mk=3954141:3954160|offset_29|444444,3954114:3954133|offset_56|444444,3954079:3954098|offset_91|444444,3954034:3954053|offset_136|00cc00&amp;v=3953940:3954253&amp;c=444444", "offset 136")</f>
        <v>offset 136</v>
      </c>
    </row>
    <row r="14001" customFormat="false" ht="12.8" hidden="false" customHeight="false" outlineLevel="0" collapsed="false">
      <c r="A14001" s="0" t="s">
        <v>12</v>
      </c>
      <c r="B14001" s="0" t="n">
        <v>3956660</v>
      </c>
      <c r="C14001" s="0" t="n">
        <v>3956680</v>
      </c>
      <c r="D14001" s="0" t="s">
        <v>46659</v>
      </c>
      <c r="E14001" s="0" t="s">
        <v>46660</v>
      </c>
      <c r="F14001" s="0" t="s">
        <v>90</v>
      </c>
      <c r="G14001" s="0" t="s">
        <v>16</v>
      </c>
      <c r="H14001" s="0" t="n">
        <v>7</v>
      </c>
      <c r="I14001" s="0" t="s">
        <v>46661</v>
      </c>
      <c r="J14001" s="0" t="s">
        <v>46662</v>
      </c>
      <c r="K14001" s="0" t="s">
        <v>46663</v>
      </c>
      <c r="L14001" s="0" t="str">
        <f aca="false">HYPERLINK("https://www.ncbi.nlm.nih.gov/nuccore/CP000304.1?report=graph&amp;tracks=[key:gene_model_track,Options:GeneOnly]&amp;mk=3956661:3956680|offset_7|00cc00,3956641:3956660|offset_27|444444,3956606:3956625|offset_62|444444,3956554:3956573|offset_114|444444&amp;v=3956460:3956773&amp;c=444444", "offset 7")</f>
        <v>offset 7</v>
      </c>
    </row>
    <row r="14002" customFormat="false" ht="12.8" hidden="false" customHeight="false" outlineLevel="0" collapsed="false">
      <c r="A14002" s="0" t="s">
        <v>12</v>
      </c>
      <c r="B14002" s="0" t="n">
        <v>3956640</v>
      </c>
      <c r="C14002" s="0" t="n">
        <v>3956660</v>
      </c>
      <c r="D14002" s="0" t="s">
        <v>46659</v>
      </c>
      <c r="E14002" s="0" t="s">
        <v>46660</v>
      </c>
      <c r="F14002" s="0" t="s">
        <v>90</v>
      </c>
      <c r="G14002" s="0" t="s">
        <v>36</v>
      </c>
      <c r="H14002" s="0" t="n">
        <v>27</v>
      </c>
      <c r="I14002" s="0" t="s">
        <v>46664</v>
      </c>
      <c r="J14002" s="0" t="s">
        <v>46665</v>
      </c>
      <c r="K14002" s="0" t="s">
        <v>46666</v>
      </c>
      <c r="L14002" s="0" t="str">
        <f aca="false">HYPERLINK("https://www.ncbi.nlm.nih.gov/nuccore/CP000304.1?report=graph&amp;tracks=[key:gene_model_track,Options:GeneOnly]&amp;mk=3956661:3956680|offset_7|444444,3956641:3956660|offset_27|00cc00,3956606:3956625|offset_62|444444,3956554:3956573|offset_114|444444&amp;v=3956460:3956773&amp;c=444444", "offset 27")</f>
        <v>offset 27</v>
      </c>
    </row>
    <row r="14003" customFormat="false" ht="12.8" hidden="false" customHeight="false" outlineLevel="0" collapsed="false">
      <c r="A14003" s="0" t="s">
        <v>12</v>
      </c>
      <c r="B14003" s="0" t="n">
        <v>3956605</v>
      </c>
      <c r="C14003" s="0" t="n">
        <v>3956625</v>
      </c>
      <c r="D14003" s="0" t="s">
        <v>46659</v>
      </c>
      <c r="E14003" s="0" t="s">
        <v>46660</v>
      </c>
      <c r="F14003" s="0" t="s">
        <v>90</v>
      </c>
      <c r="G14003" s="0" t="s">
        <v>36</v>
      </c>
      <c r="H14003" s="0" t="n">
        <v>62</v>
      </c>
      <c r="I14003" s="0" t="s">
        <v>46667</v>
      </c>
      <c r="J14003" s="0" t="s">
        <v>46668</v>
      </c>
      <c r="K14003" s="0" t="s">
        <v>46669</v>
      </c>
      <c r="L14003" s="0" t="str">
        <f aca="false">HYPERLINK("https://www.ncbi.nlm.nih.gov/nuccore/CP000304.1?report=graph&amp;tracks=[key:gene_model_track,Options:GeneOnly]&amp;mk=3956661:3956680|offset_7|444444,3956641:3956660|offset_27|444444,3956606:3956625|offset_62|00cc00,3956554:3956573|offset_114|444444&amp;v=3956460:3956773&amp;c=444444", "offset 62")</f>
        <v>offset 62</v>
      </c>
    </row>
    <row r="14004" customFormat="false" ht="12.8" hidden="false" customHeight="false" outlineLevel="0" collapsed="false">
      <c r="A14004" s="0" t="s">
        <v>12</v>
      </c>
      <c r="B14004" s="0" t="n">
        <v>3956553</v>
      </c>
      <c r="C14004" s="0" t="n">
        <v>3956573</v>
      </c>
      <c r="D14004" s="0" t="s">
        <v>46659</v>
      </c>
      <c r="E14004" s="0" t="s">
        <v>46660</v>
      </c>
      <c r="F14004" s="0" t="s">
        <v>90</v>
      </c>
      <c r="G14004" s="0" t="s">
        <v>32</v>
      </c>
      <c r="H14004" s="0" t="n">
        <v>114</v>
      </c>
      <c r="I14004" s="0" t="s">
        <v>46670</v>
      </c>
      <c r="J14004" s="0" t="s">
        <v>46671</v>
      </c>
      <c r="K14004" s="0" t="s">
        <v>46672</v>
      </c>
      <c r="L14004" s="0" t="str">
        <f aca="false">HYPERLINK("https://www.ncbi.nlm.nih.gov/nuccore/CP000304.1?report=graph&amp;tracks=[key:gene_model_track,Options:GeneOnly]&amp;mk=3956661:3956680|offset_7|444444,3956641:3956660|offset_27|444444,3956606:3956625|offset_62|444444,3956554:3956573|offset_114|00cc00&amp;v=3956460:3956773&amp;c=444444", "offset 114")</f>
        <v>offset 114</v>
      </c>
    </row>
    <row r="14005" customFormat="false" ht="12.8" hidden="false" customHeight="false" outlineLevel="0" collapsed="false">
      <c r="A14005" s="0" t="s">
        <v>12</v>
      </c>
      <c r="B14005" s="0" t="n">
        <v>3957050</v>
      </c>
      <c r="C14005" s="0" t="n">
        <v>3957070</v>
      </c>
      <c r="D14005" s="0" t="s">
        <v>46673</v>
      </c>
      <c r="E14005" s="0" t="s">
        <v>89</v>
      </c>
      <c r="F14005" s="0" t="s">
        <v>90</v>
      </c>
      <c r="G14005" s="0" t="s">
        <v>16</v>
      </c>
      <c r="H14005" s="0" t="n">
        <v>10</v>
      </c>
      <c r="I14005" s="0" t="s">
        <v>46674</v>
      </c>
      <c r="J14005" s="0" t="s">
        <v>46675</v>
      </c>
      <c r="K14005" s="0" t="s">
        <v>46676</v>
      </c>
      <c r="L14005" s="0" t="str">
        <f aca="false">HYPERLINK("https://www.ncbi.nlm.nih.gov/nuccore/CP000304.1?report=graph&amp;tracks=[key:gene_model_track,Options:GeneOnly]&amp;mk=3957051:3957070|offset_10|00cc00,3957031:3957050|offset_30|444444,3956992:3957011|offset_69|444444&amp;v=3956850:3957211&amp;c=444444", "offset 10")</f>
        <v>offset 10</v>
      </c>
    </row>
    <row r="14006" customFormat="false" ht="12.8" hidden="false" customHeight="false" outlineLevel="0" collapsed="false">
      <c r="A14006" s="0" t="s">
        <v>12</v>
      </c>
      <c r="B14006" s="0" t="n">
        <v>3957030</v>
      </c>
      <c r="C14006" s="0" t="n">
        <v>3957050</v>
      </c>
      <c r="D14006" s="0" t="s">
        <v>46673</v>
      </c>
      <c r="E14006" s="0" t="s">
        <v>89</v>
      </c>
      <c r="F14006" s="0" t="s">
        <v>90</v>
      </c>
      <c r="G14006" s="0" t="s">
        <v>16</v>
      </c>
      <c r="H14006" s="0" t="n">
        <v>30</v>
      </c>
      <c r="I14006" s="0" t="s">
        <v>46677</v>
      </c>
      <c r="J14006" s="0" t="s">
        <v>46678</v>
      </c>
      <c r="K14006" s="0" t="s">
        <v>46679</v>
      </c>
      <c r="L14006" s="0" t="str">
        <f aca="false">HYPERLINK("https://www.ncbi.nlm.nih.gov/nuccore/CP000304.1?report=graph&amp;tracks=[key:gene_model_track,Options:GeneOnly]&amp;mk=3957051:3957070|offset_10|444444,3957031:3957050|offset_30|00cc00,3956992:3957011|offset_69|444444&amp;v=3956850:3957211&amp;c=444444", "offset 30")</f>
        <v>offset 30</v>
      </c>
    </row>
    <row r="14007" customFormat="false" ht="12.8" hidden="false" customHeight="false" outlineLevel="0" collapsed="false">
      <c r="A14007" s="0" t="s">
        <v>12</v>
      </c>
      <c r="B14007" s="0" t="n">
        <v>3956991</v>
      </c>
      <c r="C14007" s="0" t="n">
        <v>3957011</v>
      </c>
      <c r="D14007" s="0" t="s">
        <v>46673</v>
      </c>
      <c r="E14007" s="0" t="s">
        <v>89</v>
      </c>
      <c r="F14007" s="0" t="s">
        <v>90</v>
      </c>
      <c r="G14007" s="0" t="s">
        <v>26</v>
      </c>
      <c r="H14007" s="0" t="n">
        <v>69</v>
      </c>
      <c r="I14007" s="0" t="s">
        <v>46680</v>
      </c>
      <c r="J14007" s="0" t="s">
        <v>46681</v>
      </c>
      <c r="K14007" s="0" t="s">
        <v>46682</v>
      </c>
      <c r="L14007" s="0" t="str">
        <f aca="false">HYPERLINK("https://www.ncbi.nlm.nih.gov/nuccore/CP000304.1?report=graph&amp;tracks=[key:gene_model_track,Options:GeneOnly]&amp;mk=3957051:3957070|offset_10|444444,3957031:3957050|offset_30|444444,3956992:3957011|offset_69|00cc00&amp;v=3956850:3957211&amp;c=444444", "offset 69")</f>
        <v>offset 69</v>
      </c>
    </row>
    <row r="14008" customFormat="false" ht="12.8" hidden="false" customHeight="false" outlineLevel="0" collapsed="false">
      <c r="A14008" s="0" t="s">
        <v>12</v>
      </c>
      <c r="B14008" s="0" t="n">
        <v>3958491</v>
      </c>
      <c r="C14008" s="0" t="n">
        <v>3958511</v>
      </c>
      <c r="D14008" s="0" t="s">
        <v>46683</v>
      </c>
      <c r="E14008" s="0" t="s">
        <v>46684</v>
      </c>
      <c r="F14008" s="0" t="s">
        <v>90</v>
      </c>
      <c r="G14008" s="0" t="s">
        <v>32</v>
      </c>
      <c r="H14008" s="0" t="n">
        <v>11</v>
      </c>
      <c r="I14008" s="0" t="s">
        <v>46685</v>
      </c>
      <c r="J14008" s="0" t="s">
        <v>46686</v>
      </c>
      <c r="K14008" s="0" t="s">
        <v>46687</v>
      </c>
      <c r="L14008" s="0" t="str">
        <f aca="false">HYPERLINK("https://www.ncbi.nlm.nih.gov/nuccore/CP000304.1?report=graph&amp;tracks=[key:gene_model_track,Options:GeneOnly]&amp;mk=3958492:3958511|offset_11|00cc00,3958466:3958485|offset_37|444444,3958432:3958451|offset_71|444444,3958393:3958412|offset_110|444444&amp;v=3958291:3958612&amp;c=444444", "offset 11")</f>
        <v>offset 11</v>
      </c>
    </row>
    <row r="14009" customFormat="false" ht="12.8" hidden="false" customHeight="false" outlineLevel="0" collapsed="false">
      <c r="A14009" s="0" t="s">
        <v>12</v>
      </c>
      <c r="B14009" s="0" t="n">
        <v>3958465</v>
      </c>
      <c r="C14009" s="0" t="n">
        <v>3958485</v>
      </c>
      <c r="D14009" s="0" t="s">
        <v>46683</v>
      </c>
      <c r="E14009" s="0" t="s">
        <v>46684</v>
      </c>
      <c r="F14009" s="0" t="s">
        <v>90</v>
      </c>
      <c r="G14009" s="0" t="s">
        <v>36</v>
      </c>
      <c r="H14009" s="0" t="n">
        <v>37</v>
      </c>
      <c r="I14009" s="0" t="s">
        <v>46688</v>
      </c>
      <c r="J14009" s="0" t="s">
        <v>46689</v>
      </c>
      <c r="K14009" s="0" t="s">
        <v>46690</v>
      </c>
      <c r="L14009" s="0" t="str">
        <f aca="false">HYPERLINK("https://www.ncbi.nlm.nih.gov/nuccore/CP000304.1?report=graph&amp;tracks=[key:gene_model_track,Options:GeneOnly]&amp;mk=3958492:3958511|offset_11|444444,3958466:3958485|offset_37|00cc00,3958432:3958451|offset_71|444444,3958393:3958412|offset_110|444444&amp;v=3958291:3958612&amp;c=444444", "offset 37")</f>
        <v>offset 37</v>
      </c>
    </row>
    <row r="14010" customFormat="false" ht="12.8" hidden="false" customHeight="false" outlineLevel="0" collapsed="false">
      <c r="A14010" s="0" t="s">
        <v>12</v>
      </c>
      <c r="B14010" s="0" t="n">
        <v>3958431</v>
      </c>
      <c r="C14010" s="0" t="n">
        <v>3958451</v>
      </c>
      <c r="D14010" s="0" t="s">
        <v>46683</v>
      </c>
      <c r="E14010" s="0" t="s">
        <v>46684</v>
      </c>
      <c r="F14010" s="0" t="s">
        <v>90</v>
      </c>
      <c r="G14010" s="0" t="s">
        <v>26</v>
      </c>
      <c r="H14010" s="0" t="n">
        <v>71</v>
      </c>
      <c r="I14010" s="0" t="s">
        <v>46691</v>
      </c>
      <c r="J14010" s="0" t="s">
        <v>46692</v>
      </c>
      <c r="K14010" s="0" t="s">
        <v>46693</v>
      </c>
      <c r="L14010" s="0" t="str">
        <f aca="false">HYPERLINK("https://www.ncbi.nlm.nih.gov/nuccore/CP000304.1?report=graph&amp;tracks=[key:gene_model_track,Options:GeneOnly]&amp;mk=3958492:3958511|offset_11|444444,3958466:3958485|offset_37|444444,3958432:3958451|offset_71|00cc00,3958393:3958412|offset_110|444444&amp;v=3958291:3958612&amp;c=444444", "offset 71")</f>
        <v>offset 71</v>
      </c>
    </row>
    <row r="14011" customFormat="false" ht="12.8" hidden="false" customHeight="false" outlineLevel="0" collapsed="false">
      <c r="A14011" s="0" t="s">
        <v>12</v>
      </c>
      <c r="B14011" s="0" t="n">
        <v>3958392</v>
      </c>
      <c r="C14011" s="0" t="n">
        <v>3958412</v>
      </c>
      <c r="D14011" s="0" t="s">
        <v>46683</v>
      </c>
      <c r="E14011" s="0" t="s">
        <v>46684</v>
      </c>
      <c r="F14011" s="0" t="s">
        <v>90</v>
      </c>
      <c r="G14011" s="0" t="s">
        <v>26</v>
      </c>
      <c r="H14011" s="0" t="n">
        <v>110</v>
      </c>
      <c r="I14011" s="0" t="s">
        <v>46694</v>
      </c>
      <c r="J14011" s="0" t="s">
        <v>46695</v>
      </c>
      <c r="K14011" s="0" t="s">
        <v>46696</v>
      </c>
      <c r="L14011" s="0" t="str">
        <f aca="false">HYPERLINK("https://www.ncbi.nlm.nih.gov/nuccore/CP000304.1?report=graph&amp;tracks=[key:gene_model_track,Options:GeneOnly]&amp;mk=3958492:3958511|offset_11|444444,3958466:3958485|offset_37|444444,3958432:3958451|offset_71|444444,3958393:3958412|offset_110|00cc00&amp;v=3958291:3958612&amp;c=444444", "offset 110")</f>
        <v>offset 110</v>
      </c>
    </row>
    <row r="14012" customFormat="false" ht="12.8" hidden="false" customHeight="false" outlineLevel="0" collapsed="false">
      <c r="A14012" s="0" t="s">
        <v>12</v>
      </c>
      <c r="B14012" s="0" t="n">
        <v>3959856</v>
      </c>
      <c r="C14012" s="0" t="n">
        <v>3959876</v>
      </c>
      <c r="D14012" s="0" t="s">
        <v>46697</v>
      </c>
      <c r="E14012" s="0" t="s">
        <v>89</v>
      </c>
      <c r="F14012" s="0" t="s">
        <v>90</v>
      </c>
      <c r="G14012" s="0" t="s">
        <v>16</v>
      </c>
      <c r="H14012" s="0" t="n">
        <v>17</v>
      </c>
      <c r="I14012" s="0" t="s">
        <v>46698</v>
      </c>
      <c r="J14012" s="0" t="s">
        <v>46699</v>
      </c>
      <c r="K14012" s="0" t="s">
        <v>46700</v>
      </c>
      <c r="L14012" s="0" t="str">
        <f aca="false">HYPERLINK("https://www.ncbi.nlm.nih.gov/nuccore/CP000304.1?report=graph&amp;tracks=[key:gene_model_track,Options:GeneOnly]&amp;mk=3959857:3959876|offset_17|00cc00,3959820:3959839|offset_54|444444,3959767:3959786|offset_107|444444,3959738:3959757|offset_136|444444&amp;v=3959656:3959957&amp;c=444444", "offset 17")</f>
        <v>offset 17</v>
      </c>
    </row>
    <row r="14013" customFormat="false" ht="12.8" hidden="false" customHeight="false" outlineLevel="0" collapsed="false">
      <c r="A14013" s="0" t="s">
        <v>12</v>
      </c>
      <c r="B14013" s="0" t="n">
        <v>3959819</v>
      </c>
      <c r="C14013" s="0" t="n">
        <v>3959839</v>
      </c>
      <c r="D14013" s="0" t="s">
        <v>46697</v>
      </c>
      <c r="E14013" s="0" t="s">
        <v>89</v>
      </c>
      <c r="F14013" s="0" t="s">
        <v>90</v>
      </c>
      <c r="G14013" s="0" t="s">
        <v>16</v>
      </c>
      <c r="H14013" s="0" t="n">
        <v>54</v>
      </c>
      <c r="I14013" s="0" t="s">
        <v>46701</v>
      </c>
      <c r="J14013" s="0" t="s">
        <v>46702</v>
      </c>
      <c r="K14013" s="0" t="s">
        <v>46703</v>
      </c>
      <c r="L14013" s="0" t="str">
        <f aca="false">HYPERLINK("https://www.ncbi.nlm.nih.gov/nuccore/CP000304.1?report=graph&amp;tracks=[key:gene_model_track,Options:GeneOnly]&amp;mk=3959857:3959876|offset_17|444444,3959820:3959839|offset_54|00cc00,3959767:3959786|offset_107|444444,3959738:3959757|offset_136|444444&amp;v=3959656:3959957&amp;c=444444", "offset 54")</f>
        <v>offset 54</v>
      </c>
    </row>
    <row r="14014" customFormat="false" ht="12.8" hidden="false" customHeight="false" outlineLevel="0" collapsed="false">
      <c r="A14014" s="0" t="s">
        <v>12</v>
      </c>
      <c r="B14014" s="0" t="n">
        <v>3959766</v>
      </c>
      <c r="C14014" s="0" t="n">
        <v>3959786</v>
      </c>
      <c r="D14014" s="0" t="s">
        <v>46697</v>
      </c>
      <c r="E14014" s="0" t="s">
        <v>89</v>
      </c>
      <c r="F14014" s="0" t="s">
        <v>90</v>
      </c>
      <c r="G14014" s="0" t="s">
        <v>32</v>
      </c>
      <c r="H14014" s="0" t="n">
        <v>107</v>
      </c>
      <c r="I14014" s="0" t="s">
        <v>46704</v>
      </c>
      <c r="J14014" s="0" t="s">
        <v>46705</v>
      </c>
      <c r="K14014" s="0" t="s">
        <v>46706</v>
      </c>
      <c r="L14014" s="0" t="str">
        <f aca="false">HYPERLINK("https://www.ncbi.nlm.nih.gov/nuccore/CP000304.1?report=graph&amp;tracks=[key:gene_model_track,Options:GeneOnly]&amp;mk=3959857:3959876|offset_17|444444,3959820:3959839|offset_54|444444,3959767:3959786|offset_107|00cc00,3959738:3959757|offset_136|444444&amp;v=3959656:3959957&amp;c=444444", "offset 107")</f>
        <v>offset 107</v>
      </c>
    </row>
    <row r="14015" customFormat="false" ht="12.8" hidden="false" customHeight="false" outlineLevel="0" collapsed="false">
      <c r="A14015" s="0" t="s">
        <v>12</v>
      </c>
      <c r="B14015" s="0" t="n">
        <v>3959737</v>
      </c>
      <c r="C14015" s="0" t="n">
        <v>3959757</v>
      </c>
      <c r="D14015" s="0" t="s">
        <v>46697</v>
      </c>
      <c r="E14015" s="0" t="s">
        <v>89</v>
      </c>
      <c r="F14015" s="0" t="s">
        <v>90</v>
      </c>
      <c r="G14015" s="0" t="s">
        <v>36</v>
      </c>
      <c r="H14015" s="0" t="n">
        <v>136</v>
      </c>
      <c r="I14015" s="0" t="s">
        <v>46707</v>
      </c>
      <c r="J14015" s="0" t="s">
        <v>46708</v>
      </c>
      <c r="K14015" s="0" t="s">
        <v>46709</v>
      </c>
      <c r="L14015" s="0" t="str">
        <f aca="false">HYPERLINK("https://www.ncbi.nlm.nih.gov/nuccore/CP000304.1?report=graph&amp;tracks=[key:gene_model_track,Options:GeneOnly]&amp;mk=3959857:3959876|offset_17|444444,3959820:3959839|offset_54|444444,3959767:3959786|offset_107|444444,3959738:3959757|offset_136|00cc00&amp;v=3959656:3959957&amp;c=444444", "offset 136")</f>
        <v>offset 136</v>
      </c>
    </row>
    <row r="14016" customFormat="false" ht="12.8" hidden="false" customHeight="false" outlineLevel="0" collapsed="false">
      <c r="A14016" s="0" t="s">
        <v>12</v>
      </c>
      <c r="B14016" s="0" t="n">
        <v>3961008</v>
      </c>
      <c r="C14016" s="0" t="n">
        <v>3961028</v>
      </c>
      <c r="D14016" s="0" t="s">
        <v>46710</v>
      </c>
      <c r="E14016" s="0" t="s">
        <v>46711</v>
      </c>
      <c r="F14016" s="0" t="s">
        <v>90</v>
      </c>
      <c r="G14016" s="0" t="s">
        <v>36</v>
      </c>
      <c r="H14016" s="0" t="n">
        <v>16</v>
      </c>
      <c r="I14016" s="0" t="s">
        <v>46712</v>
      </c>
      <c r="J14016" s="0" t="s">
        <v>46713</v>
      </c>
      <c r="K14016" s="0" t="s">
        <v>46714</v>
      </c>
      <c r="L14016" s="0" t="str">
        <f aca="false">HYPERLINK("https://www.ncbi.nlm.nih.gov/nuccore/CP000304.1?report=graph&amp;tracks=[key:gene_model_track,Options:GeneOnly]&amp;mk=3961009:3961028|offset_16|00cc00,3960976:3960995|offset_49|444444,3960943:3960962|offset_82|444444,3960909:3960928|offset_116|444444&amp;v=3960808:3961128&amp;c=444444", "offset 16")</f>
        <v>offset 16</v>
      </c>
    </row>
    <row r="14017" customFormat="false" ht="12.8" hidden="false" customHeight="false" outlineLevel="0" collapsed="false">
      <c r="A14017" s="0" t="s">
        <v>12</v>
      </c>
      <c r="B14017" s="0" t="n">
        <v>3960975</v>
      </c>
      <c r="C14017" s="0" t="n">
        <v>3960995</v>
      </c>
      <c r="D14017" s="0" t="s">
        <v>46710</v>
      </c>
      <c r="E14017" s="0" t="s">
        <v>46711</v>
      </c>
      <c r="F14017" s="0" t="s">
        <v>90</v>
      </c>
      <c r="G14017" s="0" t="s">
        <v>32</v>
      </c>
      <c r="H14017" s="0" t="n">
        <v>49</v>
      </c>
      <c r="I14017" s="0" t="s">
        <v>46715</v>
      </c>
      <c r="J14017" s="0" t="s">
        <v>46716</v>
      </c>
      <c r="K14017" s="0" t="s">
        <v>46717</v>
      </c>
      <c r="L14017" s="0" t="str">
        <f aca="false">HYPERLINK("https://www.ncbi.nlm.nih.gov/nuccore/CP000304.1?report=graph&amp;tracks=[key:gene_model_track,Options:GeneOnly]&amp;mk=3961009:3961028|offset_16|444444,3960976:3960995|offset_49|00cc00,3960943:3960962|offset_82|444444,3960909:3960928|offset_116|444444&amp;v=3960808:3961128&amp;c=444444", "offset 49")</f>
        <v>offset 49</v>
      </c>
    </row>
    <row r="14018" customFormat="false" ht="12.8" hidden="false" customHeight="false" outlineLevel="0" collapsed="false">
      <c r="A14018" s="0" t="s">
        <v>12</v>
      </c>
      <c r="B14018" s="0" t="n">
        <v>3960942</v>
      </c>
      <c r="C14018" s="0" t="n">
        <v>3960962</v>
      </c>
      <c r="D14018" s="0" t="s">
        <v>46710</v>
      </c>
      <c r="E14018" s="0" t="s">
        <v>46711</v>
      </c>
      <c r="F14018" s="0" t="s">
        <v>90</v>
      </c>
      <c r="G14018" s="0" t="s">
        <v>36</v>
      </c>
      <c r="H14018" s="0" t="n">
        <v>82</v>
      </c>
      <c r="I14018" s="0" t="s">
        <v>46718</v>
      </c>
      <c r="J14018" s="0" t="s">
        <v>46719</v>
      </c>
      <c r="K14018" s="0" t="s">
        <v>46720</v>
      </c>
      <c r="L14018" s="0" t="str">
        <f aca="false">HYPERLINK("https://www.ncbi.nlm.nih.gov/nuccore/CP000304.1?report=graph&amp;tracks=[key:gene_model_track,Options:GeneOnly]&amp;mk=3961009:3961028|offset_16|444444,3960976:3960995|offset_49|444444,3960943:3960962|offset_82|00cc00,3960909:3960928|offset_116|444444&amp;v=3960808:3961128&amp;c=444444", "offset 82")</f>
        <v>offset 82</v>
      </c>
    </row>
    <row r="14019" customFormat="false" ht="12.8" hidden="false" customHeight="false" outlineLevel="0" collapsed="false">
      <c r="A14019" s="0" t="s">
        <v>12</v>
      </c>
      <c r="B14019" s="0" t="n">
        <v>3960908</v>
      </c>
      <c r="C14019" s="0" t="n">
        <v>3960928</v>
      </c>
      <c r="D14019" s="0" t="s">
        <v>46710</v>
      </c>
      <c r="E14019" s="0" t="s">
        <v>46711</v>
      </c>
      <c r="F14019" s="0" t="s">
        <v>90</v>
      </c>
      <c r="G14019" s="0" t="s">
        <v>16</v>
      </c>
      <c r="H14019" s="0" t="n">
        <v>116</v>
      </c>
      <c r="I14019" s="0" t="s">
        <v>46721</v>
      </c>
      <c r="J14019" s="0" t="s">
        <v>46722</v>
      </c>
      <c r="K14019" s="0" t="s">
        <v>46723</v>
      </c>
      <c r="L14019" s="0" t="str">
        <f aca="false">HYPERLINK("https://www.ncbi.nlm.nih.gov/nuccore/CP000304.1?report=graph&amp;tracks=[key:gene_model_track,Options:GeneOnly]&amp;mk=3961009:3961028|offset_16|444444,3960976:3960995|offset_49|444444,3960943:3960962|offset_82|444444,3960909:3960928|offset_116|00cc00&amp;v=3960808:3961128&amp;c=444444", "offset 116")</f>
        <v>offset 116</v>
      </c>
    </row>
    <row r="14020" customFormat="false" ht="12.8" hidden="false" customHeight="false" outlineLevel="0" collapsed="false">
      <c r="A14020" s="0" t="s">
        <v>12</v>
      </c>
      <c r="B14020" s="0" t="n">
        <v>3962184</v>
      </c>
      <c r="C14020" s="0" t="n">
        <v>3962204</v>
      </c>
      <c r="D14020" s="0" t="s">
        <v>46724</v>
      </c>
      <c r="E14020" s="0" t="s">
        <v>46725</v>
      </c>
      <c r="F14020" s="0" t="s">
        <v>90</v>
      </c>
      <c r="G14020" s="0" t="s">
        <v>36</v>
      </c>
      <c r="H14020" s="0" t="n">
        <v>18</v>
      </c>
      <c r="I14020" s="0" t="s">
        <v>46726</v>
      </c>
      <c r="J14020" s="0" t="s">
        <v>46727</v>
      </c>
      <c r="K14020" s="0" t="s">
        <v>46728</v>
      </c>
      <c r="L14020" s="0" t="str">
        <f aca="false">HYPERLINK("https://www.ncbi.nlm.nih.gov/nuccore/CP000304.1?report=graph&amp;tracks=[key:gene_model_track,Options:GeneOnly]&amp;mk=3962185:3962204|offset_18|00cc00,3962165:3962184|offset_38|444444,3962135:3962154|offset_68|444444,3962114:3962133|offset_89|444444&amp;v=3961984:3962333&amp;c=444444", "offset 18")</f>
        <v>offset 18</v>
      </c>
    </row>
    <row r="14021" customFormat="false" ht="12.8" hidden="false" customHeight="false" outlineLevel="0" collapsed="false">
      <c r="A14021" s="0" t="s">
        <v>12</v>
      </c>
      <c r="B14021" s="0" t="n">
        <v>3962164</v>
      </c>
      <c r="C14021" s="0" t="n">
        <v>3962184</v>
      </c>
      <c r="D14021" s="0" t="s">
        <v>46724</v>
      </c>
      <c r="E14021" s="0" t="s">
        <v>46725</v>
      </c>
      <c r="F14021" s="0" t="s">
        <v>90</v>
      </c>
      <c r="G14021" s="0" t="s">
        <v>32</v>
      </c>
      <c r="H14021" s="0" t="n">
        <v>38</v>
      </c>
      <c r="I14021" s="0" t="s">
        <v>46729</v>
      </c>
      <c r="J14021" s="0" t="s">
        <v>46730</v>
      </c>
      <c r="K14021" s="0" t="s">
        <v>46731</v>
      </c>
      <c r="L14021" s="0" t="str">
        <f aca="false">HYPERLINK("https://www.ncbi.nlm.nih.gov/nuccore/CP000304.1?report=graph&amp;tracks=[key:gene_model_track,Options:GeneOnly]&amp;mk=3962185:3962204|offset_18|444444,3962165:3962184|offset_38|00cc00,3962135:3962154|offset_68|444444,3962114:3962133|offset_89|444444&amp;v=3961984:3962333&amp;c=444444", "offset 38")</f>
        <v>offset 38</v>
      </c>
    </row>
    <row r="14022" customFormat="false" ht="12.8" hidden="false" customHeight="false" outlineLevel="0" collapsed="false">
      <c r="A14022" s="0" t="s">
        <v>12</v>
      </c>
      <c r="B14022" s="0" t="n">
        <v>3962134</v>
      </c>
      <c r="C14022" s="0" t="n">
        <v>3962154</v>
      </c>
      <c r="D14022" s="0" t="s">
        <v>46724</v>
      </c>
      <c r="E14022" s="0" t="s">
        <v>46725</v>
      </c>
      <c r="F14022" s="0" t="s">
        <v>90</v>
      </c>
      <c r="G14022" s="0" t="s">
        <v>16</v>
      </c>
      <c r="H14022" s="0" t="n">
        <v>68</v>
      </c>
      <c r="I14022" s="0" t="s">
        <v>46732</v>
      </c>
      <c r="J14022" s="0" t="s">
        <v>46733</v>
      </c>
      <c r="K14022" s="0" t="s">
        <v>46734</v>
      </c>
      <c r="L14022" s="0" t="str">
        <f aca="false">HYPERLINK("https://www.ncbi.nlm.nih.gov/nuccore/CP000304.1?report=graph&amp;tracks=[key:gene_model_track,Options:GeneOnly]&amp;mk=3962185:3962204|offset_18|444444,3962165:3962184|offset_38|444444,3962135:3962154|offset_68|00cc00,3962114:3962133|offset_89|444444&amp;v=3961984:3962333&amp;c=444444", "offset 68")</f>
        <v>offset 68</v>
      </c>
    </row>
    <row r="14023" customFormat="false" ht="12.8" hidden="false" customHeight="false" outlineLevel="0" collapsed="false">
      <c r="A14023" s="0" t="s">
        <v>12</v>
      </c>
      <c r="B14023" s="0" t="n">
        <v>3962113</v>
      </c>
      <c r="C14023" s="0" t="n">
        <v>3962133</v>
      </c>
      <c r="D14023" s="0" t="s">
        <v>46724</v>
      </c>
      <c r="E14023" s="0" t="s">
        <v>46725</v>
      </c>
      <c r="F14023" s="0" t="s">
        <v>90</v>
      </c>
      <c r="G14023" s="0" t="s">
        <v>32</v>
      </c>
      <c r="H14023" s="0" t="n">
        <v>89</v>
      </c>
      <c r="I14023" s="0" t="s">
        <v>46735</v>
      </c>
      <c r="J14023" s="0" t="s">
        <v>46736</v>
      </c>
      <c r="K14023" s="0" t="s">
        <v>46737</v>
      </c>
      <c r="L14023" s="0" t="str">
        <f aca="false">HYPERLINK("https://www.ncbi.nlm.nih.gov/nuccore/CP000304.1?report=graph&amp;tracks=[key:gene_model_track,Options:GeneOnly]&amp;mk=3962185:3962204|offset_18|444444,3962165:3962184|offset_38|444444,3962135:3962154|offset_68|444444,3962114:3962133|offset_89|00cc00&amp;v=3961984:3962333&amp;c=444444", "offset 89")</f>
        <v>offset 89</v>
      </c>
    </row>
    <row r="14024" customFormat="false" ht="12.8" hidden="false" customHeight="false" outlineLevel="0" collapsed="false">
      <c r="A14024" s="0" t="s">
        <v>12</v>
      </c>
      <c r="B14024" s="0" t="n">
        <v>3963552</v>
      </c>
      <c r="C14024" s="0" t="n">
        <v>3963572</v>
      </c>
      <c r="D14024" s="0" t="s">
        <v>46738</v>
      </c>
      <c r="E14024" s="0" t="s">
        <v>46739</v>
      </c>
      <c r="F14024" s="0" t="s">
        <v>90</v>
      </c>
      <c r="G14024" s="0" t="s">
        <v>26</v>
      </c>
      <c r="H14024" s="0" t="n">
        <v>8</v>
      </c>
      <c r="I14024" s="0" t="s">
        <v>46740</v>
      </c>
      <c r="J14024" s="0" t="s">
        <v>46741</v>
      </c>
      <c r="K14024" s="0" t="s">
        <v>46742</v>
      </c>
      <c r="L14024" s="0" t="str">
        <f aca="false">HYPERLINK("https://www.ncbi.nlm.nih.gov/nuccore/CP000304.1?report=graph&amp;tracks=[key:gene_model_track,Options:GeneOnly]&amp;mk=3963553:3963572|offset_8|00cc00,3963520:3963539|offset_41|444444,3963455:3963474|offset_106|444444,3963394:3963413|offset_167|444444&amp;v=3963352:3963613&amp;c=444444", "offset 8")</f>
        <v>offset 8</v>
      </c>
    </row>
    <row r="14025" customFormat="false" ht="12.8" hidden="false" customHeight="false" outlineLevel="0" collapsed="false">
      <c r="A14025" s="0" t="s">
        <v>12</v>
      </c>
      <c r="B14025" s="0" t="n">
        <v>3963519</v>
      </c>
      <c r="C14025" s="0" t="n">
        <v>3963539</v>
      </c>
      <c r="D14025" s="0" t="s">
        <v>46738</v>
      </c>
      <c r="E14025" s="0" t="s">
        <v>46739</v>
      </c>
      <c r="F14025" s="0" t="s">
        <v>90</v>
      </c>
      <c r="G14025" s="0" t="s">
        <v>36</v>
      </c>
      <c r="H14025" s="0" t="n">
        <v>41</v>
      </c>
      <c r="I14025" s="0" t="s">
        <v>46743</v>
      </c>
      <c r="J14025" s="0" t="s">
        <v>46744</v>
      </c>
      <c r="K14025" s="0" t="s">
        <v>46745</v>
      </c>
      <c r="L14025" s="0" t="str">
        <f aca="false">HYPERLINK("https://www.ncbi.nlm.nih.gov/nuccore/CP000304.1?report=graph&amp;tracks=[key:gene_model_track,Options:GeneOnly]&amp;mk=3963553:3963572|offset_8|444444,3963520:3963539|offset_41|00cc00,3963455:3963474|offset_106|444444,3963394:3963413|offset_167|444444&amp;v=3963352:3963613&amp;c=444444", "offset 41")</f>
        <v>offset 41</v>
      </c>
    </row>
    <row r="14026" customFormat="false" ht="12.8" hidden="false" customHeight="false" outlineLevel="0" collapsed="false">
      <c r="A14026" s="0" t="s">
        <v>12</v>
      </c>
      <c r="B14026" s="0" t="n">
        <v>3963454</v>
      </c>
      <c r="C14026" s="0" t="n">
        <v>3963474</v>
      </c>
      <c r="D14026" s="0" t="s">
        <v>46738</v>
      </c>
      <c r="E14026" s="0" t="s">
        <v>46739</v>
      </c>
      <c r="F14026" s="0" t="s">
        <v>90</v>
      </c>
      <c r="G14026" s="0" t="s">
        <v>36</v>
      </c>
      <c r="H14026" s="0" t="n">
        <v>106</v>
      </c>
      <c r="I14026" s="0" t="s">
        <v>46746</v>
      </c>
      <c r="J14026" s="0" t="s">
        <v>46747</v>
      </c>
      <c r="K14026" s="0" t="s">
        <v>46748</v>
      </c>
      <c r="L14026" s="0" t="str">
        <f aca="false">HYPERLINK("https://www.ncbi.nlm.nih.gov/nuccore/CP000304.1?report=graph&amp;tracks=[key:gene_model_track,Options:GeneOnly]&amp;mk=3963553:3963572|offset_8|444444,3963520:3963539|offset_41|444444,3963455:3963474|offset_106|00cc00,3963394:3963413|offset_167|444444&amp;v=3963352:3963613&amp;c=444444", "offset 106")</f>
        <v>offset 106</v>
      </c>
    </row>
    <row r="14027" customFormat="false" ht="12.8" hidden="false" customHeight="false" outlineLevel="0" collapsed="false">
      <c r="A14027" s="0" t="s">
        <v>12</v>
      </c>
      <c r="B14027" s="0" t="n">
        <v>3963393</v>
      </c>
      <c r="C14027" s="0" t="n">
        <v>3963413</v>
      </c>
      <c r="D14027" s="0" t="s">
        <v>46738</v>
      </c>
      <c r="E14027" s="0" t="s">
        <v>46739</v>
      </c>
      <c r="F14027" s="0" t="s">
        <v>90</v>
      </c>
      <c r="G14027" s="0" t="s">
        <v>26</v>
      </c>
      <c r="H14027" s="0" t="n">
        <v>167</v>
      </c>
      <c r="I14027" s="0" t="s">
        <v>46749</v>
      </c>
      <c r="J14027" s="0" t="s">
        <v>46750</v>
      </c>
      <c r="K14027" s="0" t="s">
        <v>46751</v>
      </c>
      <c r="L14027" s="0" t="str">
        <f aca="false">HYPERLINK("https://www.ncbi.nlm.nih.gov/nuccore/CP000304.1?report=graph&amp;tracks=[key:gene_model_track,Options:GeneOnly]&amp;mk=3963553:3963572|offset_8|444444,3963520:3963539|offset_41|444444,3963455:3963474|offset_106|444444,3963394:3963413|offset_167|00cc00&amp;v=3963352:3963613&amp;c=444444", "offset 167")</f>
        <v>offset 167</v>
      </c>
    </row>
    <row r="14028" customFormat="false" ht="12.8" hidden="false" customHeight="false" outlineLevel="0" collapsed="false">
      <c r="A14028" s="0" t="s">
        <v>12</v>
      </c>
      <c r="B14028" s="0" t="n">
        <v>3963839</v>
      </c>
      <c r="C14028" s="0" t="n">
        <v>3963859</v>
      </c>
      <c r="D14028" s="0" t="s">
        <v>46752</v>
      </c>
      <c r="E14028" s="0" t="s">
        <v>89</v>
      </c>
      <c r="F14028" s="0" t="s">
        <v>90</v>
      </c>
      <c r="G14028" s="0" t="s">
        <v>36</v>
      </c>
      <c r="H14028" s="0" t="n">
        <v>29</v>
      </c>
      <c r="I14028" s="0" t="s">
        <v>46753</v>
      </c>
      <c r="J14028" s="0" t="s">
        <v>46754</v>
      </c>
      <c r="K14028" s="0" t="s">
        <v>46755</v>
      </c>
      <c r="L14028" s="0" t="str">
        <f aca="false">HYPERLINK("https://www.ncbi.nlm.nih.gov/nuccore/CP000304.1?report=graph&amp;tracks=[key:gene_model_track,Options:GeneOnly]&amp;mk=3963840:3963859|offset_29|00cc00,3963807:3963826|offset_62|444444,3963765:3963784|offset_104|444444,3963735:3963754|offset_134|444444&amp;v=3963639:3963954&amp;c=444444", "offset 29")</f>
        <v>offset 29</v>
      </c>
    </row>
    <row r="14029" customFormat="false" ht="12.8" hidden="false" customHeight="false" outlineLevel="0" collapsed="false">
      <c r="A14029" s="0" t="s">
        <v>12</v>
      </c>
      <c r="B14029" s="0" t="n">
        <v>3963806</v>
      </c>
      <c r="C14029" s="0" t="n">
        <v>3963826</v>
      </c>
      <c r="D14029" s="0" t="s">
        <v>46752</v>
      </c>
      <c r="E14029" s="0" t="s">
        <v>89</v>
      </c>
      <c r="F14029" s="0" t="s">
        <v>90</v>
      </c>
      <c r="G14029" s="0" t="s">
        <v>36</v>
      </c>
      <c r="H14029" s="0" t="n">
        <v>62</v>
      </c>
      <c r="I14029" s="0" t="s">
        <v>46756</v>
      </c>
      <c r="J14029" s="0" t="s">
        <v>46757</v>
      </c>
      <c r="K14029" s="0" t="s">
        <v>46758</v>
      </c>
      <c r="L14029" s="0" t="str">
        <f aca="false">HYPERLINK("https://www.ncbi.nlm.nih.gov/nuccore/CP000304.1?report=graph&amp;tracks=[key:gene_model_track,Options:GeneOnly]&amp;mk=3963840:3963859|offset_29|444444,3963807:3963826|offset_62|00cc00,3963765:3963784|offset_104|444444,3963735:3963754|offset_134|444444&amp;v=3963639:3963954&amp;c=444444", "offset 62")</f>
        <v>offset 62</v>
      </c>
    </row>
    <row r="14030" customFormat="false" ht="12.8" hidden="false" customHeight="false" outlineLevel="0" collapsed="false">
      <c r="A14030" s="0" t="s">
        <v>12</v>
      </c>
      <c r="B14030" s="0" t="n">
        <v>3963764</v>
      </c>
      <c r="C14030" s="0" t="n">
        <v>3963784</v>
      </c>
      <c r="D14030" s="0" t="s">
        <v>46752</v>
      </c>
      <c r="E14030" s="0" t="s">
        <v>89</v>
      </c>
      <c r="F14030" s="0" t="s">
        <v>90</v>
      </c>
      <c r="G14030" s="0" t="s">
        <v>32</v>
      </c>
      <c r="H14030" s="0" t="n">
        <v>104</v>
      </c>
      <c r="I14030" s="0" t="s">
        <v>46759</v>
      </c>
      <c r="J14030" s="0" t="s">
        <v>46760</v>
      </c>
      <c r="K14030" s="0" t="s">
        <v>46761</v>
      </c>
      <c r="L14030" s="0" t="str">
        <f aca="false">HYPERLINK("https://www.ncbi.nlm.nih.gov/nuccore/CP000304.1?report=graph&amp;tracks=[key:gene_model_track,Options:GeneOnly]&amp;mk=3963840:3963859|offset_29|444444,3963807:3963826|offset_62|444444,3963765:3963784|offset_104|00cc00,3963735:3963754|offset_134|444444&amp;v=3963639:3963954&amp;c=444444", "offset 104")</f>
        <v>offset 104</v>
      </c>
    </row>
    <row r="14031" customFormat="false" ht="12.8" hidden="false" customHeight="false" outlineLevel="0" collapsed="false">
      <c r="A14031" s="0" t="s">
        <v>12</v>
      </c>
      <c r="B14031" s="0" t="n">
        <v>3963734</v>
      </c>
      <c r="C14031" s="0" t="n">
        <v>3963754</v>
      </c>
      <c r="D14031" s="0" t="s">
        <v>46752</v>
      </c>
      <c r="E14031" s="0" t="s">
        <v>89</v>
      </c>
      <c r="F14031" s="0" t="s">
        <v>90</v>
      </c>
      <c r="G14031" s="0" t="s">
        <v>26</v>
      </c>
      <c r="H14031" s="0" t="n">
        <v>134</v>
      </c>
      <c r="I14031" s="0" t="s">
        <v>46762</v>
      </c>
      <c r="J14031" s="0" t="s">
        <v>46763</v>
      </c>
      <c r="K14031" s="0" t="s">
        <v>46764</v>
      </c>
      <c r="L14031" s="0" t="str">
        <f aca="false">HYPERLINK("https://www.ncbi.nlm.nih.gov/nuccore/CP000304.1?report=graph&amp;tracks=[key:gene_model_track,Options:GeneOnly]&amp;mk=3963840:3963859|offset_29|444444,3963807:3963826|offset_62|444444,3963765:3963784|offset_104|444444,3963735:3963754|offset_134|00cc00&amp;v=3963639:3963954&amp;c=444444", "offset 134")</f>
        <v>offset 134</v>
      </c>
    </row>
    <row r="14032" customFormat="false" ht="12.8" hidden="false" customHeight="false" outlineLevel="0" collapsed="false">
      <c r="A14032" s="0" t="s">
        <v>12</v>
      </c>
      <c r="B14032" s="0" t="n">
        <v>3964945</v>
      </c>
      <c r="C14032" s="0" t="n">
        <v>3964965</v>
      </c>
      <c r="D14032" s="0" t="s">
        <v>46765</v>
      </c>
      <c r="E14032" s="0" t="s">
        <v>46766</v>
      </c>
      <c r="F14032" s="0" t="s">
        <v>90</v>
      </c>
      <c r="G14032" s="0" t="s">
        <v>26</v>
      </c>
      <c r="H14032" s="0" t="n">
        <v>14</v>
      </c>
      <c r="I14032" s="0" t="s">
        <v>46767</v>
      </c>
      <c r="J14032" s="0" t="s">
        <v>46768</v>
      </c>
      <c r="K14032" s="0" t="s">
        <v>46769</v>
      </c>
      <c r="L14032" s="0" t="str">
        <f aca="false">HYPERLINK("https://www.ncbi.nlm.nih.gov/nuccore/CP000304.1?report=graph&amp;tracks=[key:gene_model_track,Options:GeneOnly]&amp;mk=3964946:3964965|offset_14|00cc00,3964918:3964937|offset_42|444444,3964894:3964913|offset_66|444444,3964843:3964862|offset_117|444444&amp;v=3964745:3965062&amp;c=444444", "offset 14")</f>
        <v>offset 14</v>
      </c>
    </row>
    <row r="14033" customFormat="false" ht="12.8" hidden="false" customHeight="false" outlineLevel="0" collapsed="false">
      <c r="A14033" s="0" t="s">
        <v>12</v>
      </c>
      <c r="B14033" s="0" t="n">
        <v>3964917</v>
      </c>
      <c r="C14033" s="0" t="n">
        <v>3964937</v>
      </c>
      <c r="D14033" s="0" t="s">
        <v>46765</v>
      </c>
      <c r="E14033" s="0" t="s">
        <v>46766</v>
      </c>
      <c r="F14033" s="0" t="s">
        <v>90</v>
      </c>
      <c r="G14033" s="0" t="s">
        <v>26</v>
      </c>
      <c r="H14033" s="0" t="n">
        <v>42</v>
      </c>
      <c r="I14033" s="0" t="s">
        <v>46770</v>
      </c>
      <c r="J14033" s="0" t="s">
        <v>46771</v>
      </c>
      <c r="K14033" s="0" t="s">
        <v>46772</v>
      </c>
      <c r="L14033" s="0" t="str">
        <f aca="false">HYPERLINK("https://www.ncbi.nlm.nih.gov/nuccore/CP000304.1?report=graph&amp;tracks=[key:gene_model_track,Options:GeneOnly]&amp;mk=3964946:3964965|offset_14|444444,3964918:3964937|offset_42|00cc00,3964894:3964913|offset_66|444444,3964843:3964862|offset_117|444444&amp;v=3964745:3965062&amp;c=444444", "offset 42")</f>
        <v>offset 42</v>
      </c>
    </row>
    <row r="14034" customFormat="false" ht="12.8" hidden="false" customHeight="false" outlineLevel="0" collapsed="false">
      <c r="A14034" s="0" t="s">
        <v>12</v>
      </c>
      <c r="B14034" s="0" t="n">
        <v>3964893</v>
      </c>
      <c r="C14034" s="0" t="n">
        <v>3964913</v>
      </c>
      <c r="D14034" s="0" t="s">
        <v>46765</v>
      </c>
      <c r="E14034" s="0" t="s">
        <v>46766</v>
      </c>
      <c r="F14034" s="0" t="s">
        <v>90</v>
      </c>
      <c r="G14034" s="0" t="s">
        <v>36</v>
      </c>
      <c r="H14034" s="0" t="n">
        <v>66</v>
      </c>
      <c r="I14034" s="0" t="s">
        <v>46773</v>
      </c>
      <c r="J14034" s="0" t="s">
        <v>46774</v>
      </c>
      <c r="K14034" s="0" t="s">
        <v>46775</v>
      </c>
      <c r="L14034" s="0" t="str">
        <f aca="false">HYPERLINK("https://www.ncbi.nlm.nih.gov/nuccore/CP000304.1?report=graph&amp;tracks=[key:gene_model_track,Options:GeneOnly]&amp;mk=3964946:3964965|offset_14|444444,3964918:3964937|offset_42|444444,3964894:3964913|offset_66|00cc00,3964843:3964862|offset_117|444444&amp;v=3964745:3965062&amp;c=444444", "offset 66")</f>
        <v>offset 66</v>
      </c>
    </row>
    <row r="14035" customFormat="false" ht="12.8" hidden="false" customHeight="false" outlineLevel="0" collapsed="false">
      <c r="A14035" s="0" t="s">
        <v>12</v>
      </c>
      <c r="B14035" s="0" t="n">
        <v>3964842</v>
      </c>
      <c r="C14035" s="0" t="n">
        <v>3964862</v>
      </c>
      <c r="D14035" s="0" t="s">
        <v>46765</v>
      </c>
      <c r="E14035" s="0" t="s">
        <v>46766</v>
      </c>
      <c r="F14035" s="0" t="s">
        <v>90</v>
      </c>
      <c r="G14035" s="0" t="s">
        <v>36</v>
      </c>
      <c r="H14035" s="0" t="n">
        <v>117</v>
      </c>
      <c r="I14035" s="0" t="s">
        <v>46776</v>
      </c>
      <c r="J14035" s="0" t="s">
        <v>46777</v>
      </c>
      <c r="K14035" s="0" t="s">
        <v>46778</v>
      </c>
      <c r="L14035" s="0" t="str">
        <f aca="false">HYPERLINK("https://www.ncbi.nlm.nih.gov/nuccore/CP000304.1?report=graph&amp;tracks=[key:gene_model_track,Options:GeneOnly]&amp;mk=3964946:3964965|offset_14|444444,3964918:3964937|offset_42|444444,3964894:3964913|offset_66|444444,3964843:3964862|offset_117|00cc00&amp;v=3964745:3965062&amp;c=444444", "offset 117")</f>
        <v>offset 117</v>
      </c>
    </row>
    <row r="14036" customFormat="false" ht="12.8" hidden="false" customHeight="false" outlineLevel="0" collapsed="false">
      <c r="A14036" s="0" t="s">
        <v>12</v>
      </c>
      <c r="B14036" s="0" t="n">
        <v>3966876</v>
      </c>
      <c r="C14036" s="0" t="n">
        <v>3966896</v>
      </c>
      <c r="D14036" s="0" t="s">
        <v>46779</v>
      </c>
      <c r="E14036" s="0" t="s">
        <v>46780</v>
      </c>
      <c r="F14036" s="0" t="s">
        <v>90</v>
      </c>
      <c r="G14036" s="0" t="s">
        <v>32</v>
      </c>
      <c r="H14036" s="0" t="n">
        <v>15</v>
      </c>
      <c r="I14036" s="0" t="s">
        <v>46781</v>
      </c>
      <c r="J14036" s="0" t="s">
        <v>46782</v>
      </c>
      <c r="K14036" s="0" t="s">
        <v>46783</v>
      </c>
      <c r="L14036" s="0" t="str">
        <f aca="false">HYPERLINK("https://www.ncbi.nlm.nih.gov/nuccore/CP000304.1?report=graph&amp;tracks=[key:gene_model_track,Options:GeneOnly]&amp;mk=3966877:3966896|offset_15|00cc00,3966857:3966876|offset_35|444444,3966834:3966853|offset_58|444444,3966812:3966831|offset_80|444444&amp;v=3966676:3967031&amp;c=444444", "offset 15")</f>
        <v>offset 15</v>
      </c>
    </row>
    <row r="14037" customFormat="false" ht="12.8" hidden="false" customHeight="false" outlineLevel="0" collapsed="false">
      <c r="A14037" s="0" t="s">
        <v>12</v>
      </c>
      <c r="B14037" s="0" t="n">
        <v>3966856</v>
      </c>
      <c r="C14037" s="0" t="n">
        <v>3966876</v>
      </c>
      <c r="D14037" s="0" t="s">
        <v>46779</v>
      </c>
      <c r="E14037" s="0" t="s">
        <v>46780</v>
      </c>
      <c r="F14037" s="0" t="s">
        <v>90</v>
      </c>
      <c r="G14037" s="0" t="s">
        <v>36</v>
      </c>
      <c r="H14037" s="0" t="n">
        <v>35</v>
      </c>
      <c r="I14037" s="0" t="s">
        <v>46784</v>
      </c>
      <c r="J14037" s="0" t="s">
        <v>46785</v>
      </c>
      <c r="K14037" s="0" t="s">
        <v>46786</v>
      </c>
      <c r="L14037" s="0" t="str">
        <f aca="false">HYPERLINK("https://www.ncbi.nlm.nih.gov/nuccore/CP000304.1?report=graph&amp;tracks=[key:gene_model_track,Options:GeneOnly]&amp;mk=3966877:3966896|offset_15|444444,3966857:3966876|offset_35|00cc00,3966834:3966853|offset_58|444444,3966812:3966831|offset_80|444444&amp;v=3966676:3967031&amp;c=444444", "offset 35")</f>
        <v>offset 35</v>
      </c>
    </row>
    <row r="14038" customFormat="false" ht="12.8" hidden="false" customHeight="false" outlineLevel="0" collapsed="false">
      <c r="A14038" s="0" t="s">
        <v>12</v>
      </c>
      <c r="B14038" s="0" t="n">
        <v>3966833</v>
      </c>
      <c r="C14038" s="0" t="n">
        <v>3966853</v>
      </c>
      <c r="D14038" s="0" t="s">
        <v>46779</v>
      </c>
      <c r="E14038" s="0" t="s">
        <v>46780</v>
      </c>
      <c r="F14038" s="0" t="s">
        <v>90</v>
      </c>
      <c r="G14038" s="0" t="s">
        <v>16</v>
      </c>
      <c r="H14038" s="0" t="n">
        <v>58</v>
      </c>
      <c r="I14038" s="0" t="s">
        <v>46787</v>
      </c>
      <c r="J14038" s="0" t="s">
        <v>46788</v>
      </c>
      <c r="K14038" s="0" t="s">
        <v>46789</v>
      </c>
      <c r="L14038" s="0" t="str">
        <f aca="false">HYPERLINK("https://www.ncbi.nlm.nih.gov/nuccore/CP000304.1?report=graph&amp;tracks=[key:gene_model_track,Options:GeneOnly]&amp;mk=3966877:3966896|offset_15|444444,3966857:3966876|offset_35|444444,3966834:3966853|offset_58|00cc00,3966812:3966831|offset_80|444444&amp;v=3966676:3967031&amp;c=444444", "offset 58")</f>
        <v>offset 58</v>
      </c>
    </row>
    <row r="14039" customFormat="false" ht="12.8" hidden="false" customHeight="false" outlineLevel="0" collapsed="false">
      <c r="A14039" s="0" t="s">
        <v>12</v>
      </c>
      <c r="B14039" s="0" t="n">
        <v>3966811</v>
      </c>
      <c r="C14039" s="0" t="n">
        <v>3966831</v>
      </c>
      <c r="D14039" s="0" t="s">
        <v>46779</v>
      </c>
      <c r="E14039" s="0" t="s">
        <v>46780</v>
      </c>
      <c r="F14039" s="0" t="s">
        <v>90</v>
      </c>
      <c r="G14039" s="0" t="s">
        <v>36</v>
      </c>
      <c r="H14039" s="0" t="n">
        <v>80</v>
      </c>
      <c r="I14039" s="0" t="s">
        <v>46790</v>
      </c>
      <c r="J14039" s="0" t="s">
        <v>46791</v>
      </c>
      <c r="K14039" s="0" t="s">
        <v>46792</v>
      </c>
      <c r="L14039" s="0" t="str">
        <f aca="false">HYPERLINK("https://www.ncbi.nlm.nih.gov/nuccore/CP000304.1?report=graph&amp;tracks=[key:gene_model_track,Options:GeneOnly]&amp;mk=3966877:3966896|offset_15|444444,3966857:3966876|offset_35|444444,3966834:3966853|offset_58|444444,3966812:3966831|offset_80|00cc00&amp;v=3966676:3967031&amp;c=444444", "offset 80")</f>
        <v>offset 80</v>
      </c>
    </row>
    <row r="14040" customFormat="false" ht="12.8" hidden="false" customHeight="false" outlineLevel="0" collapsed="false">
      <c r="A14040" s="0" t="s">
        <v>12</v>
      </c>
      <c r="B14040" s="0" t="n">
        <v>3968287</v>
      </c>
      <c r="C14040" s="0" t="n">
        <v>3968307</v>
      </c>
      <c r="D14040" s="0" t="s">
        <v>46793</v>
      </c>
      <c r="E14040" s="0" t="s">
        <v>46794</v>
      </c>
      <c r="F14040" s="0" t="s">
        <v>90</v>
      </c>
      <c r="G14040" s="0" t="s">
        <v>36</v>
      </c>
      <c r="H14040" s="0" t="n">
        <v>28</v>
      </c>
      <c r="I14040" s="0" t="s">
        <v>46795</v>
      </c>
      <c r="J14040" s="0" t="s">
        <v>46796</v>
      </c>
      <c r="K14040" s="0" t="s">
        <v>46797</v>
      </c>
      <c r="L14040" s="0" t="str">
        <f aca="false">HYPERLINK("https://www.ncbi.nlm.nih.gov/nuccore/CP000304.1?report=graph&amp;tracks=[key:gene_model_track,Options:GeneOnly]&amp;mk=3968288:3968307|offset_28|00cc00,3968248:3968267|offset_68|444444,3968202:3968221|offset_114|444444,3968176:3968195|offset_140|444444&amp;v=3968087:3968395&amp;c=444444", "offset 28")</f>
        <v>offset 28</v>
      </c>
    </row>
    <row r="14041" customFormat="false" ht="12.8" hidden="false" customHeight="false" outlineLevel="0" collapsed="false">
      <c r="A14041" s="0" t="s">
        <v>12</v>
      </c>
      <c r="B14041" s="0" t="n">
        <v>3968247</v>
      </c>
      <c r="C14041" s="0" t="n">
        <v>3968267</v>
      </c>
      <c r="D14041" s="0" t="s">
        <v>46793</v>
      </c>
      <c r="E14041" s="0" t="s">
        <v>46794</v>
      </c>
      <c r="F14041" s="0" t="s">
        <v>90</v>
      </c>
      <c r="G14041" s="0" t="s">
        <v>26</v>
      </c>
      <c r="H14041" s="0" t="n">
        <v>68</v>
      </c>
      <c r="I14041" s="0" t="s">
        <v>46798</v>
      </c>
      <c r="J14041" s="0" t="s">
        <v>46799</v>
      </c>
      <c r="K14041" s="0" t="s">
        <v>46800</v>
      </c>
      <c r="L14041" s="0" t="str">
        <f aca="false">HYPERLINK("https://www.ncbi.nlm.nih.gov/nuccore/CP000304.1?report=graph&amp;tracks=[key:gene_model_track,Options:GeneOnly]&amp;mk=3968288:3968307|offset_28|444444,3968248:3968267|offset_68|00cc00,3968202:3968221|offset_114|444444,3968176:3968195|offset_140|444444&amp;v=3968087:3968395&amp;c=444444", "offset 68")</f>
        <v>offset 68</v>
      </c>
    </row>
    <row r="14042" customFormat="false" ht="12.8" hidden="false" customHeight="false" outlineLevel="0" collapsed="false">
      <c r="A14042" s="0" t="s">
        <v>12</v>
      </c>
      <c r="B14042" s="0" t="n">
        <v>3968201</v>
      </c>
      <c r="C14042" s="0" t="n">
        <v>3968221</v>
      </c>
      <c r="D14042" s="0" t="s">
        <v>46793</v>
      </c>
      <c r="E14042" s="0" t="s">
        <v>46794</v>
      </c>
      <c r="F14042" s="0" t="s">
        <v>90</v>
      </c>
      <c r="G14042" s="0" t="s">
        <v>16</v>
      </c>
      <c r="H14042" s="0" t="n">
        <v>114</v>
      </c>
      <c r="I14042" s="0" t="s">
        <v>46801</v>
      </c>
      <c r="J14042" s="0" t="s">
        <v>46802</v>
      </c>
      <c r="K14042" s="0" t="s">
        <v>46803</v>
      </c>
      <c r="L14042" s="0" t="str">
        <f aca="false">HYPERLINK("https://www.ncbi.nlm.nih.gov/nuccore/CP000304.1?report=graph&amp;tracks=[key:gene_model_track,Options:GeneOnly]&amp;mk=3968288:3968307|offset_28|444444,3968248:3968267|offset_68|444444,3968202:3968221|offset_114|00cc00,3968176:3968195|offset_140|444444&amp;v=3968087:3968395&amp;c=444444", "offset 114")</f>
        <v>offset 114</v>
      </c>
    </row>
    <row r="14043" customFormat="false" ht="12.8" hidden="false" customHeight="false" outlineLevel="0" collapsed="false">
      <c r="A14043" s="0" t="s">
        <v>12</v>
      </c>
      <c r="B14043" s="0" t="n">
        <v>3968175</v>
      </c>
      <c r="C14043" s="0" t="n">
        <v>3968195</v>
      </c>
      <c r="D14043" s="0" t="s">
        <v>46793</v>
      </c>
      <c r="E14043" s="0" t="s">
        <v>46794</v>
      </c>
      <c r="F14043" s="0" t="s">
        <v>90</v>
      </c>
      <c r="G14043" s="0" t="s">
        <v>26</v>
      </c>
      <c r="H14043" s="0" t="n">
        <v>140</v>
      </c>
      <c r="I14043" s="0" t="s">
        <v>46804</v>
      </c>
      <c r="J14043" s="0" t="s">
        <v>46805</v>
      </c>
      <c r="K14043" s="0" t="s">
        <v>46806</v>
      </c>
      <c r="L14043" s="0" t="str">
        <f aca="false">HYPERLINK("https://www.ncbi.nlm.nih.gov/nuccore/CP000304.1?report=graph&amp;tracks=[key:gene_model_track,Options:GeneOnly]&amp;mk=3968288:3968307|offset_28|444444,3968248:3968267|offset_68|444444,3968202:3968221|offset_114|444444,3968176:3968195|offset_140|00cc00&amp;v=3968087:3968395&amp;c=444444", "offset 140")</f>
        <v>offset 140</v>
      </c>
    </row>
    <row r="14044" customFormat="false" ht="12.8" hidden="false" customHeight="false" outlineLevel="0" collapsed="false">
      <c r="A14044" s="0" t="s">
        <v>12</v>
      </c>
      <c r="B14044" s="0" t="n">
        <v>3968766</v>
      </c>
      <c r="C14044" s="0" t="n">
        <v>3968786</v>
      </c>
      <c r="D14044" s="0" t="s">
        <v>46807</v>
      </c>
      <c r="E14044" s="0" t="s">
        <v>89</v>
      </c>
      <c r="F14044" s="0" t="s">
        <v>90</v>
      </c>
      <c r="G14044" s="0" t="s">
        <v>16</v>
      </c>
      <c r="H14044" s="0" t="n">
        <v>25</v>
      </c>
      <c r="I14044" s="0" t="s">
        <v>46808</v>
      </c>
      <c r="J14044" s="0" t="s">
        <v>46809</v>
      </c>
      <c r="K14044" s="0" t="s">
        <v>46810</v>
      </c>
      <c r="L14044" s="0" t="str">
        <f aca="false">HYPERLINK("https://www.ncbi.nlm.nih.gov/nuccore/CP000304.1?report=graph&amp;tracks=[key:gene_model_track,Options:GeneOnly]&amp;mk=3968767:3968786|offset_25|00cc00,3968725:3968744|offset_67|444444,3968674:3968693|offset_118|444444,3968649:3968668|offset_143|444444&amp;v=3968566:3968868&amp;c=444444", "offset 25")</f>
        <v>offset 25</v>
      </c>
    </row>
    <row r="14045" customFormat="false" ht="12.8" hidden="false" customHeight="false" outlineLevel="0" collapsed="false">
      <c r="A14045" s="0" t="s">
        <v>12</v>
      </c>
      <c r="B14045" s="0" t="n">
        <v>3968724</v>
      </c>
      <c r="C14045" s="0" t="n">
        <v>3968744</v>
      </c>
      <c r="D14045" s="0" t="s">
        <v>46807</v>
      </c>
      <c r="E14045" s="0" t="s">
        <v>89</v>
      </c>
      <c r="F14045" s="0" t="s">
        <v>90</v>
      </c>
      <c r="G14045" s="0" t="s">
        <v>36</v>
      </c>
      <c r="H14045" s="0" t="n">
        <v>67</v>
      </c>
      <c r="I14045" s="0" t="s">
        <v>46811</v>
      </c>
      <c r="J14045" s="0" t="s">
        <v>46812</v>
      </c>
      <c r="K14045" s="0" t="s">
        <v>46813</v>
      </c>
      <c r="L14045" s="0" t="str">
        <f aca="false">HYPERLINK("https://www.ncbi.nlm.nih.gov/nuccore/CP000304.1?report=graph&amp;tracks=[key:gene_model_track,Options:GeneOnly]&amp;mk=3968767:3968786|offset_25|444444,3968725:3968744|offset_67|00cc00,3968674:3968693|offset_118|444444,3968649:3968668|offset_143|444444&amp;v=3968566:3968868&amp;c=444444", "offset 67")</f>
        <v>offset 67</v>
      </c>
    </row>
    <row r="14046" customFormat="false" ht="12.8" hidden="false" customHeight="false" outlineLevel="0" collapsed="false">
      <c r="A14046" s="0" t="s">
        <v>12</v>
      </c>
      <c r="B14046" s="0" t="n">
        <v>3968673</v>
      </c>
      <c r="C14046" s="0" t="n">
        <v>3968693</v>
      </c>
      <c r="D14046" s="0" t="s">
        <v>46807</v>
      </c>
      <c r="E14046" s="0" t="s">
        <v>89</v>
      </c>
      <c r="F14046" s="0" t="s">
        <v>90</v>
      </c>
      <c r="G14046" s="0" t="s">
        <v>16</v>
      </c>
      <c r="H14046" s="0" t="n">
        <v>118</v>
      </c>
      <c r="I14046" s="0" t="s">
        <v>46814</v>
      </c>
      <c r="J14046" s="0" t="s">
        <v>46815</v>
      </c>
      <c r="K14046" s="0" t="s">
        <v>46816</v>
      </c>
      <c r="L14046" s="0" t="str">
        <f aca="false">HYPERLINK("https://www.ncbi.nlm.nih.gov/nuccore/CP000304.1?report=graph&amp;tracks=[key:gene_model_track,Options:GeneOnly]&amp;mk=3968767:3968786|offset_25|444444,3968725:3968744|offset_67|444444,3968674:3968693|offset_118|00cc00,3968649:3968668|offset_143|444444&amp;v=3968566:3968868&amp;c=444444", "offset 118")</f>
        <v>offset 118</v>
      </c>
    </row>
    <row r="14047" customFormat="false" ht="12.8" hidden="false" customHeight="false" outlineLevel="0" collapsed="false">
      <c r="A14047" s="0" t="s">
        <v>12</v>
      </c>
      <c r="B14047" s="0" t="n">
        <v>3968648</v>
      </c>
      <c r="C14047" s="0" t="n">
        <v>3968668</v>
      </c>
      <c r="D14047" s="0" t="s">
        <v>46807</v>
      </c>
      <c r="E14047" s="0" t="s">
        <v>89</v>
      </c>
      <c r="F14047" s="0" t="s">
        <v>90</v>
      </c>
      <c r="G14047" s="0" t="s">
        <v>26</v>
      </c>
      <c r="H14047" s="0" t="n">
        <v>143</v>
      </c>
      <c r="I14047" s="0" t="s">
        <v>46817</v>
      </c>
      <c r="J14047" s="0" t="s">
        <v>46818</v>
      </c>
      <c r="K14047" s="0" t="s">
        <v>46819</v>
      </c>
      <c r="L14047" s="0" t="str">
        <f aca="false">HYPERLINK("https://www.ncbi.nlm.nih.gov/nuccore/CP000304.1?report=graph&amp;tracks=[key:gene_model_track,Options:GeneOnly]&amp;mk=3968767:3968786|offset_25|444444,3968725:3968744|offset_67|444444,3968674:3968693|offset_118|444444,3968649:3968668|offset_143|00cc00&amp;v=3968566:3968868&amp;c=444444", "offset 143")</f>
        <v>offset 143</v>
      </c>
    </row>
    <row r="14048" customFormat="false" ht="12.8" hidden="false" customHeight="false" outlineLevel="0" collapsed="false">
      <c r="A14048" s="0" t="s">
        <v>12</v>
      </c>
      <c r="B14048" s="0" t="n">
        <v>3970269</v>
      </c>
      <c r="C14048" s="0" t="n">
        <v>3970289</v>
      </c>
      <c r="D14048" s="0" t="s">
        <v>46820</v>
      </c>
      <c r="E14048" s="0" t="s">
        <v>89</v>
      </c>
      <c r="F14048" s="0" t="s">
        <v>90</v>
      </c>
      <c r="G14048" s="0" t="s">
        <v>16</v>
      </c>
      <c r="H14048" s="0" t="n">
        <v>0</v>
      </c>
      <c r="I14048" s="0" t="s">
        <v>46821</v>
      </c>
      <c r="J14048" s="0" t="s">
        <v>46822</v>
      </c>
      <c r="K14048" s="0" t="s">
        <v>46823</v>
      </c>
      <c r="L14048" s="0" t="str">
        <f aca="false">HYPERLINK("https://www.ncbi.nlm.nih.gov/nuccore/CP000304.1?report=graph&amp;tracks=[key:gene_model_track,Options:GeneOnly]&amp;mk=3970270:3970289|offset_0|00cc00,3970245:3970264|offset_25|444444,3970205:3970224|offset_65|444444,3970185:3970204|offset_85|444444&amp;v=3970069:3970404&amp;c=444444", "offset 0")</f>
        <v>offset 0</v>
      </c>
    </row>
    <row r="14049" customFormat="false" ht="12.8" hidden="false" customHeight="false" outlineLevel="0" collapsed="false">
      <c r="A14049" s="0" t="s">
        <v>12</v>
      </c>
      <c r="B14049" s="0" t="n">
        <v>3970244</v>
      </c>
      <c r="C14049" s="0" t="n">
        <v>3970264</v>
      </c>
      <c r="D14049" s="0" t="s">
        <v>46820</v>
      </c>
      <c r="E14049" s="0" t="s">
        <v>89</v>
      </c>
      <c r="F14049" s="0" t="s">
        <v>90</v>
      </c>
      <c r="G14049" s="0" t="s">
        <v>36</v>
      </c>
      <c r="H14049" s="0" t="n">
        <v>25</v>
      </c>
      <c r="I14049" s="0" t="s">
        <v>46824</v>
      </c>
      <c r="J14049" s="0" t="s">
        <v>46825</v>
      </c>
      <c r="K14049" s="0" t="s">
        <v>46826</v>
      </c>
      <c r="L14049" s="0" t="str">
        <f aca="false">HYPERLINK("https://www.ncbi.nlm.nih.gov/nuccore/CP000304.1?report=graph&amp;tracks=[key:gene_model_track,Options:GeneOnly]&amp;mk=3970270:3970289|offset_0|444444,3970245:3970264|offset_25|00cc00,3970205:3970224|offset_65|444444,3970185:3970204|offset_85|444444&amp;v=3970069:3970404&amp;c=444444", "offset 25")</f>
        <v>offset 25</v>
      </c>
    </row>
    <row r="14050" customFormat="false" ht="12.8" hidden="false" customHeight="false" outlineLevel="0" collapsed="false">
      <c r="A14050" s="0" t="s">
        <v>12</v>
      </c>
      <c r="B14050" s="0" t="n">
        <v>3970204</v>
      </c>
      <c r="C14050" s="0" t="n">
        <v>3970224</v>
      </c>
      <c r="D14050" s="0" t="s">
        <v>46820</v>
      </c>
      <c r="E14050" s="0" t="s">
        <v>89</v>
      </c>
      <c r="F14050" s="0" t="s">
        <v>90</v>
      </c>
      <c r="G14050" s="0" t="s">
        <v>26</v>
      </c>
      <c r="H14050" s="0" t="n">
        <v>65</v>
      </c>
      <c r="I14050" s="0" t="s">
        <v>46827</v>
      </c>
      <c r="J14050" s="0" t="s">
        <v>46828</v>
      </c>
      <c r="K14050" s="0" t="s">
        <v>46829</v>
      </c>
      <c r="L14050" s="0" t="str">
        <f aca="false">HYPERLINK("https://www.ncbi.nlm.nih.gov/nuccore/CP000304.1?report=graph&amp;tracks=[key:gene_model_track,Options:GeneOnly]&amp;mk=3970270:3970289|offset_0|444444,3970245:3970264|offset_25|444444,3970205:3970224|offset_65|00cc00,3970185:3970204|offset_85|444444&amp;v=3970069:3970404&amp;c=444444", "offset 65")</f>
        <v>offset 65</v>
      </c>
    </row>
    <row r="14051" customFormat="false" ht="12.8" hidden="false" customHeight="false" outlineLevel="0" collapsed="false">
      <c r="A14051" s="0" t="s">
        <v>12</v>
      </c>
      <c r="B14051" s="0" t="n">
        <v>3970184</v>
      </c>
      <c r="C14051" s="0" t="n">
        <v>3970204</v>
      </c>
      <c r="D14051" s="0" t="s">
        <v>46820</v>
      </c>
      <c r="E14051" s="0" t="s">
        <v>89</v>
      </c>
      <c r="F14051" s="0" t="s">
        <v>90</v>
      </c>
      <c r="G14051" s="0" t="s">
        <v>16</v>
      </c>
      <c r="H14051" s="0" t="n">
        <v>85</v>
      </c>
      <c r="I14051" s="0" t="s">
        <v>46830</v>
      </c>
      <c r="J14051" s="0" t="s">
        <v>46831</v>
      </c>
      <c r="K14051" s="0" t="s">
        <v>46832</v>
      </c>
      <c r="L14051" s="0" t="str">
        <f aca="false">HYPERLINK("https://www.ncbi.nlm.nih.gov/nuccore/CP000304.1?report=graph&amp;tracks=[key:gene_model_track,Options:GeneOnly]&amp;mk=3970270:3970289|offset_0|444444,3970245:3970264|offset_25|444444,3970205:3970224|offset_65|444444,3970185:3970204|offset_85|00cc00&amp;v=3970069:3970404&amp;c=444444", "offset 85")</f>
        <v>offset 85</v>
      </c>
    </row>
    <row r="14052" customFormat="false" ht="12.8" hidden="false" customHeight="false" outlineLevel="0" collapsed="false">
      <c r="A14052" s="0" t="s">
        <v>12</v>
      </c>
      <c r="B14052" s="0" t="n">
        <v>3970453</v>
      </c>
      <c r="C14052" s="0" t="n">
        <v>3970473</v>
      </c>
      <c r="D14052" s="0" t="s">
        <v>46833</v>
      </c>
      <c r="E14052" s="0" t="s">
        <v>89</v>
      </c>
      <c r="F14052" s="0" t="s">
        <v>15</v>
      </c>
      <c r="G14052" s="0" t="s">
        <v>16</v>
      </c>
      <c r="H14052" s="0" t="n">
        <v>13</v>
      </c>
      <c r="I14052" s="0" t="s">
        <v>46834</v>
      </c>
      <c r="J14052" s="0" t="s">
        <v>46835</v>
      </c>
      <c r="K14052" s="0" t="s">
        <v>46836</v>
      </c>
      <c r="L14052" s="0" t="str">
        <f aca="false">HYPERLINK("https://www.ncbi.nlm.nih.gov/nuccore/CP000304.1?report=graph&amp;tracks=[key:gene_model_track,Options:GeneOnly]&amp;mk=3970454:3970473|offset_13|00cc00,3970493:3970512|offset_52|444444,3970535:3970554|offset_94|444444,3970561:3970580|offset_120|444444&amp;v=3970253:3970780&amp;c=444444", "offset 13")</f>
        <v>offset 13</v>
      </c>
    </row>
    <row r="14053" customFormat="false" ht="12.8" hidden="false" customHeight="false" outlineLevel="0" collapsed="false">
      <c r="A14053" s="0" t="s">
        <v>12</v>
      </c>
      <c r="B14053" s="0" t="n">
        <v>3970492</v>
      </c>
      <c r="C14053" s="0" t="n">
        <v>3970512</v>
      </c>
      <c r="D14053" s="0" t="s">
        <v>46833</v>
      </c>
      <c r="E14053" s="0" t="s">
        <v>89</v>
      </c>
      <c r="F14053" s="0" t="s">
        <v>15</v>
      </c>
      <c r="G14053" s="0" t="s">
        <v>26</v>
      </c>
      <c r="H14053" s="0" t="n">
        <v>52</v>
      </c>
      <c r="I14053" s="0" t="s">
        <v>46837</v>
      </c>
      <c r="J14053" s="0" t="s">
        <v>46838</v>
      </c>
      <c r="K14053" s="0" t="s">
        <v>46839</v>
      </c>
      <c r="L14053" s="0" t="str">
        <f aca="false">HYPERLINK("https://www.ncbi.nlm.nih.gov/nuccore/CP000304.1?report=graph&amp;tracks=[key:gene_model_track,Options:GeneOnly]&amp;mk=3970454:3970473|offset_13|444444,3970493:3970512|offset_52|00cc00,3970535:3970554|offset_94|444444,3970561:3970580|offset_120|444444&amp;v=3970253:3970780&amp;c=444444", "offset 52")</f>
        <v>offset 52</v>
      </c>
    </row>
    <row r="14054" customFormat="false" ht="12.8" hidden="false" customHeight="false" outlineLevel="0" collapsed="false">
      <c r="A14054" s="0" t="s">
        <v>12</v>
      </c>
      <c r="B14054" s="0" t="n">
        <v>3970534</v>
      </c>
      <c r="C14054" s="0" t="n">
        <v>3970554</v>
      </c>
      <c r="D14054" s="0" t="s">
        <v>46833</v>
      </c>
      <c r="E14054" s="0" t="s">
        <v>89</v>
      </c>
      <c r="F14054" s="0" t="s">
        <v>15</v>
      </c>
      <c r="G14054" s="0" t="s">
        <v>16</v>
      </c>
      <c r="H14054" s="0" t="n">
        <v>94</v>
      </c>
      <c r="I14054" s="0" t="s">
        <v>46840</v>
      </c>
      <c r="J14054" s="0" t="s">
        <v>46841</v>
      </c>
      <c r="K14054" s="0" t="s">
        <v>46842</v>
      </c>
      <c r="L14054" s="0" t="str">
        <f aca="false">HYPERLINK("https://www.ncbi.nlm.nih.gov/nuccore/CP000304.1?report=graph&amp;tracks=[key:gene_model_track,Options:GeneOnly]&amp;mk=3970454:3970473|offset_13|444444,3970493:3970512|offset_52|444444,3970535:3970554|offset_94|00cc00,3970561:3970580|offset_120|444444&amp;v=3970253:3970780&amp;c=444444", "offset 94")</f>
        <v>offset 94</v>
      </c>
    </row>
    <row r="14055" customFormat="false" ht="12.8" hidden="false" customHeight="false" outlineLevel="0" collapsed="false">
      <c r="A14055" s="0" t="s">
        <v>12</v>
      </c>
      <c r="B14055" s="0" t="n">
        <v>3970560</v>
      </c>
      <c r="C14055" s="0" t="n">
        <v>3970580</v>
      </c>
      <c r="D14055" s="0" t="s">
        <v>46833</v>
      </c>
      <c r="E14055" s="0" t="s">
        <v>89</v>
      </c>
      <c r="F14055" s="0" t="s">
        <v>15</v>
      </c>
      <c r="G14055" s="0" t="s">
        <v>16</v>
      </c>
      <c r="H14055" s="0" t="n">
        <v>120</v>
      </c>
      <c r="I14055" s="0" t="s">
        <v>46843</v>
      </c>
      <c r="J14055" s="0" t="s">
        <v>46844</v>
      </c>
      <c r="K14055" s="0" t="s">
        <v>46845</v>
      </c>
      <c r="L14055" s="0" t="str">
        <f aca="false">HYPERLINK("https://www.ncbi.nlm.nih.gov/nuccore/CP000304.1?report=graph&amp;tracks=[key:gene_model_track,Options:GeneOnly]&amp;mk=3970454:3970473|offset_13|444444,3970493:3970512|offset_52|444444,3970535:3970554|offset_94|444444,3970561:3970580|offset_120|00cc00&amp;v=3970253:3970780&amp;c=444444", "offset 120")</f>
        <v>offset 120</v>
      </c>
    </row>
    <row r="14056" customFormat="false" ht="12.8" hidden="false" customHeight="false" outlineLevel="0" collapsed="false">
      <c r="A14056" s="0" t="s">
        <v>12</v>
      </c>
      <c r="B14056" s="0" t="n">
        <v>3973217</v>
      </c>
      <c r="C14056" s="0" t="n">
        <v>3973237</v>
      </c>
      <c r="D14056" s="0" t="s">
        <v>46846</v>
      </c>
      <c r="E14056" s="0" t="s">
        <v>46847</v>
      </c>
      <c r="F14056" s="0" t="s">
        <v>90</v>
      </c>
      <c r="G14056" s="0" t="s">
        <v>26</v>
      </c>
      <c r="H14056" s="0" t="n">
        <v>14</v>
      </c>
      <c r="I14056" s="0" t="s">
        <v>46848</v>
      </c>
      <c r="J14056" s="0" t="s">
        <v>46849</v>
      </c>
      <c r="K14056" s="0" t="s">
        <v>46850</v>
      </c>
      <c r="L14056" s="0" t="str">
        <f aca="false">HYPERLINK("https://www.ncbi.nlm.nih.gov/nuccore/CP000304.1?report=graph&amp;tracks=[key:gene_model_track,Options:GeneOnly]&amp;mk=3973218:3973237|offset_14|00cc00,3973194:3973213|offset_38|444444,3973165:3973184|offset_67|444444,3973137:3973156|offset_95|444444&amp;v=3973017:3973356&amp;c=444444", "offset 14")</f>
        <v>offset 14</v>
      </c>
    </row>
    <row r="14057" customFormat="false" ht="12.8" hidden="false" customHeight="false" outlineLevel="0" collapsed="false">
      <c r="A14057" s="0" t="s">
        <v>12</v>
      </c>
      <c r="B14057" s="0" t="n">
        <v>3973193</v>
      </c>
      <c r="C14057" s="0" t="n">
        <v>3973213</v>
      </c>
      <c r="D14057" s="0" t="s">
        <v>46846</v>
      </c>
      <c r="E14057" s="0" t="s">
        <v>46847</v>
      </c>
      <c r="F14057" s="0" t="s">
        <v>90</v>
      </c>
      <c r="G14057" s="0" t="s">
        <v>26</v>
      </c>
      <c r="H14057" s="0" t="n">
        <v>38</v>
      </c>
      <c r="I14057" s="0" t="s">
        <v>46851</v>
      </c>
      <c r="J14057" s="0" t="s">
        <v>46852</v>
      </c>
      <c r="K14057" s="0" t="s">
        <v>46853</v>
      </c>
      <c r="L14057" s="0" t="str">
        <f aca="false">HYPERLINK("https://www.ncbi.nlm.nih.gov/nuccore/CP000304.1?report=graph&amp;tracks=[key:gene_model_track,Options:GeneOnly]&amp;mk=3973218:3973237|offset_14|444444,3973194:3973213|offset_38|00cc00,3973165:3973184|offset_67|444444,3973137:3973156|offset_95|444444&amp;v=3973017:3973356&amp;c=444444", "offset 38")</f>
        <v>offset 38</v>
      </c>
    </row>
    <row r="14058" customFormat="false" ht="12.8" hidden="false" customHeight="false" outlineLevel="0" collapsed="false">
      <c r="A14058" s="0" t="s">
        <v>12</v>
      </c>
      <c r="B14058" s="0" t="n">
        <v>3973164</v>
      </c>
      <c r="C14058" s="0" t="n">
        <v>3973184</v>
      </c>
      <c r="D14058" s="0" t="s">
        <v>46846</v>
      </c>
      <c r="E14058" s="0" t="s">
        <v>46847</v>
      </c>
      <c r="F14058" s="0" t="s">
        <v>90</v>
      </c>
      <c r="G14058" s="0" t="s">
        <v>32</v>
      </c>
      <c r="H14058" s="0" t="n">
        <v>67</v>
      </c>
      <c r="I14058" s="0" t="s">
        <v>46854</v>
      </c>
      <c r="J14058" s="0" t="s">
        <v>46855</v>
      </c>
      <c r="K14058" s="0" t="s">
        <v>46856</v>
      </c>
      <c r="L14058" s="0" t="str">
        <f aca="false">HYPERLINK("https://www.ncbi.nlm.nih.gov/nuccore/CP000304.1?report=graph&amp;tracks=[key:gene_model_track,Options:GeneOnly]&amp;mk=3973218:3973237|offset_14|444444,3973194:3973213|offset_38|444444,3973165:3973184|offset_67|00cc00,3973137:3973156|offset_95|444444&amp;v=3973017:3973356&amp;c=444444", "offset 67")</f>
        <v>offset 67</v>
      </c>
    </row>
    <row r="14059" customFormat="false" ht="12.8" hidden="false" customHeight="false" outlineLevel="0" collapsed="false">
      <c r="A14059" s="0" t="s">
        <v>12</v>
      </c>
      <c r="B14059" s="0" t="n">
        <v>3973136</v>
      </c>
      <c r="C14059" s="0" t="n">
        <v>3973156</v>
      </c>
      <c r="D14059" s="0" t="s">
        <v>46846</v>
      </c>
      <c r="E14059" s="0" t="s">
        <v>46847</v>
      </c>
      <c r="F14059" s="0" t="s">
        <v>90</v>
      </c>
      <c r="G14059" s="0" t="s">
        <v>26</v>
      </c>
      <c r="H14059" s="0" t="n">
        <v>95</v>
      </c>
      <c r="I14059" s="0" t="s">
        <v>46857</v>
      </c>
      <c r="J14059" s="0" t="s">
        <v>46858</v>
      </c>
      <c r="K14059" s="0" t="s">
        <v>46859</v>
      </c>
      <c r="L14059" s="0" t="str">
        <f aca="false">HYPERLINK("https://www.ncbi.nlm.nih.gov/nuccore/CP000304.1?report=graph&amp;tracks=[key:gene_model_track,Options:GeneOnly]&amp;mk=3973218:3973237|offset_14|444444,3973194:3973213|offset_38|444444,3973165:3973184|offset_67|444444,3973137:3973156|offset_95|00cc00&amp;v=3973017:3973356&amp;c=444444", "offset 95")</f>
        <v>offset 95</v>
      </c>
    </row>
    <row r="14060" customFormat="false" ht="12.8" hidden="false" customHeight="false" outlineLevel="0" collapsed="false">
      <c r="A14060" s="0" t="s">
        <v>12</v>
      </c>
      <c r="B14060" s="0" t="n">
        <v>3973593</v>
      </c>
      <c r="C14060" s="0" t="n">
        <v>3973613</v>
      </c>
      <c r="D14060" s="0" t="s">
        <v>46860</v>
      </c>
      <c r="E14060" s="0" t="s">
        <v>89</v>
      </c>
      <c r="F14060" s="0" t="s">
        <v>90</v>
      </c>
      <c r="G14060" s="0" t="s">
        <v>32</v>
      </c>
      <c r="H14060" s="0" t="n">
        <v>58</v>
      </c>
      <c r="I14060" s="0" t="s">
        <v>46861</v>
      </c>
      <c r="J14060" s="0" t="s">
        <v>46862</v>
      </c>
      <c r="K14060" s="0" t="s">
        <v>46863</v>
      </c>
      <c r="L14060" s="0" t="str">
        <f aca="false">HYPERLINK("https://www.ncbi.nlm.nih.gov/nuccore/CP000304.1?report=graph&amp;tracks=[key:gene_model_track,Options:GeneOnly]&amp;mk=3973594:3973613|offset_58|00cc00,3973570:3973589|offset_82|444444,3973543:3973562|offset_109|444444,3973518:3973537|offset_134|444444&amp;v=3973393:3973737&amp;c=444444", "offset 58")</f>
        <v>offset 58</v>
      </c>
    </row>
    <row r="14061" customFormat="false" ht="12.8" hidden="false" customHeight="false" outlineLevel="0" collapsed="false">
      <c r="A14061" s="0" t="s">
        <v>12</v>
      </c>
      <c r="B14061" s="0" t="n">
        <v>3973569</v>
      </c>
      <c r="C14061" s="0" t="n">
        <v>3973589</v>
      </c>
      <c r="D14061" s="0" t="s">
        <v>46860</v>
      </c>
      <c r="E14061" s="0" t="s">
        <v>89</v>
      </c>
      <c r="F14061" s="0" t="s">
        <v>90</v>
      </c>
      <c r="G14061" s="0" t="s">
        <v>32</v>
      </c>
      <c r="H14061" s="0" t="n">
        <v>82</v>
      </c>
      <c r="I14061" s="0" t="s">
        <v>46864</v>
      </c>
      <c r="J14061" s="0" t="s">
        <v>46865</v>
      </c>
      <c r="K14061" s="0" t="s">
        <v>46866</v>
      </c>
      <c r="L14061" s="0" t="str">
        <f aca="false">HYPERLINK("https://www.ncbi.nlm.nih.gov/nuccore/CP000304.1?report=graph&amp;tracks=[key:gene_model_track,Options:GeneOnly]&amp;mk=3973594:3973613|offset_58|444444,3973570:3973589|offset_82|00cc00,3973543:3973562|offset_109|444444,3973518:3973537|offset_134|444444&amp;v=3973393:3973737&amp;c=444444", "offset 82")</f>
        <v>offset 82</v>
      </c>
    </row>
    <row r="14062" customFormat="false" ht="12.8" hidden="false" customHeight="false" outlineLevel="0" collapsed="false">
      <c r="A14062" s="0" t="s">
        <v>12</v>
      </c>
      <c r="B14062" s="0" t="n">
        <v>3973542</v>
      </c>
      <c r="C14062" s="0" t="n">
        <v>3973562</v>
      </c>
      <c r="D14062" s="0" t="s">
        <v>46860</v>
      </c>
      <c r="E14062" s="0" t="s">
        <v>89</v>
      </c>
      <c r="F14062" s="0" t="s">
        <v>90</v>
      </c>
      <c r="G14062" s="0" t="s">
        <v>16</v>
      </c>
      <c r="H14062" s="0" t="n">
        <v>109</v>
      </c>
      <c r="I14062" s="0" t="s">
        <v>46867</v>
      </c>
      <c r="J14062" s="0" t="s">
        <v>46868</v>
      </c>
      <c r="K14062" s="0" t="s">
        <v>46869</v>
      </c>
      <c r="L14062" s="0" t="str">
        <f aca="false">HYPERLINK("https://www.ncbi.nlm.nih.gov/nuccore/CP000304.1?report=graph&amp;tracks=[key:gene_model_track,Options:GeneOnly]&amp;mk=3973594:3973613|offset_58|444444,3973570:3973589|offset_82|444444,3973543:3973562|offset_109|00cc00,3973518:3973537|offset_134|444444&amp;v=3973393:3973737&amp;c=444444", "offset 109")</f>
        <v>offset 109</v>
      </c>
    </row>
    <row r="14063" customFormat="false" ht="12.8" hidden="false" customHeight="false" outlineLevel="0" collapsed="false">
      <c r="A14063" s="0" t="s">
        <v>12</v>
      </c>
      <c r="B14063" s="0" t="n">
        <v>3973517</v>
      </c>
      <c r="C14063" s="0" t="n">
        <v>3973537</v>
      </c>
      <c r="D14063" s="0" t="s">
        <v>46860</v>
      </c>
      <c r="E14063" s="0" t="s">
        <v>89</v>
      </c>
      <c r="F14063" s="0" t="s">
        <v>90</v>
      </c>
      <c r="G14063" s="0" t="s">
        <v>26</v>
      </c>
      <c r="H14063" s="0" t="n">
        <v>134</v>
      </c>
      <c r="I14063" s="0" t="s">
        <v>46870</v>
      </c>
      <c r="J14063" s="0" t="s">
        <v>46871</v>
      </c>
      <c r="K14063" s="0" t="s">
        <v>46872</v>
      </c>
      <c r="L14063" s="0" t="str">
        <f aca="false">HYPERLINK("https://www.ncbi.nlm.nih.gov/nuccore/CP000304.1?report=graph&amp;tracks=[key:gene_model_track,Options:GeneOnly]&amp;mk=3973594:3973613|offset_58|444444,3973570:3973589|offset_82|444444,3973543:3973562|offset_109|444444,3973518:3973537|offset_134|00cc00&amp;v=3973393:3973737&amp;c=444444", "offset 134")</f>
        <v>offset 134</v>
      </c>
    </row>
    <row r="14064" customFormat="false" ht="12.8" hidden="false" customHeight="false" outlineLevel="0" collapsed="false">
      <c r="A14064" s="0" t="s">
        <v>12</v>
      </c>
      <c r="B14064" s="0" t="n">
        <v>3974270</v>
      </c>
      <c r="C14064" s="0" t="n">
        <v>3974290</v>
      </c>
      <c r="D14064" s="0" t="s">
        <v>46873</v>
      </c>
      <c r="E14064" s="0" t="s">
        <v>89</v>
      </c>
      <c r="F14064" s="0" t="s">
        <v>90</v>
      </c>
      <c r="G14064" s="0" t="s">
        <v>16</v>
      </c>
      <c r="H14064" s="0" t="n">
        <v>12</v>
      </c>
      <c r="I14064" s="0" t="s">
        <v>46874</v>
      </c>
      <c r="J14064" s="0" t="s">
        <v>46875</v>
      </c>
      <c r="K14064" s="0" t="s">
        <v>46876</v>
      </c>
      <c r="L14064" s="0" t="str">
        <f aca="false">HYPERLINK("https://www.ncbi.nlm.nih.gov/nuccore/CP000304.1?report=graph&amp;tracks=[key:gene_model_track,Options:GeneOnly]&amp;mk=3974271:3974290|offset_12|00cc00,3974246:3974265|offset_37|444444,3974203:3974222|offset_80|444444,3974173:3974192|offset_110|444444&amp;v=3974070:3974392&amp;c=444444", "offset 12")</f>
        <v>offset 12</v>
      </c>
    </row>
    <row r="14065" customFormat="false" ht="12.8" hidden="false" customHeight="false" outlineLevel="0" collapsed="false">
      <c r="A14065" s="0" t="s">
        <v>12</v>
      </c>
      <c r="B14065" s="0" t="n">
        <v>3974245</v>
      </c>
      <c r="C14065" s="0" t="n">
        <v>3974265</v>
      </c>
      <c r="D14065" s="0" t="s">
        <v>46873</v>
      </c>
      <c r="E14065" s="0" t="s">
        <v>89</v>
      </c>
      <c r="F14065" s="0" t="s">
        <v>90</v>
      </c>
      <c r="G14065" s="0" t="s">
        <v>16</v>
      </c>
      <c r="H14065" s="0" t="n">
        <v>37</v>
      </c>
      <c r="I14065" s="0" t="s">
        <v>46877</v>
      </c>
      <c r="J14065" s="0" t="s">
        <v>46878</v>
      </c>
      <c r="K14065" s="0" t="s">
        <v>46879</v>
      </c>
      <c r="L14065" s="0" t="str">
        <f aca="false">HYPERLINK("https://www.ncbi.nlm.nih.gov/nuccore/CP000304.1?report=graph&amp;tracks=[key:gene_model_track,Options:GeneOnly]&amp;mk=3974271:3974290|offset_12|444444,3974246:3974265|offset_37|00cc00,3974203:3974222|offset_80|444444,3974173:3974192|offset_110|444444&amp;v=3974070:3974392&amp;c=444444", "offset 37")</f>
        <v>offset 37</v>
      </c>
    </row>
    <row r="14066" customFormat="false" ht="12.8" hidden="false" customHeight="false" outlineLevel="0" collapsed="false">
      <c r="A14066" s="0" t="s">
        <v>12</v>
      </c>
      <c r="B14066" s="0" t="n">
        <v>3974202</v>
      </c>
      <c r="C14066" s="0" t="n">
        <v>3974222</v>
      </c>
      <c r="D14066" s="0" t="s">
        <v>46873</v>
      </c>
      <c r="E14066" s="0" t="s">
        <v>89</v>
      </c>
      <c r="F14066" s="0" t="s">
        <v>90</v>
      </c>
      <c r="G14066" s="0" t="s">
        <v>26</v>
      </c>
      <c r="H14066" s="0" t="n">
        <v>80</v>
      </c>
      <c r="I14066" s="0" t="s">
        <v>46880</v>
      </c>
      <c r="J14066" s="0" t="s">
        <v>46881</v>
      </c>
      <c r="K14066" s="0" t="s">
        <v>46882</v>
      </c>
      <c r="L14066" s="0" t="str">
        <f aca="false">HYPERLINK("https://www.ncbi.nlm.nih.gov/nuccore/CP000304.1?report=graph&amp;tracks=[key:gene_model_track,Options:GeneOnly]&amp;mk=3974271:3974290|offset_12|444444,3974246:3974265|offset_37|444444,3974203:3974222|offset_80|00cc00,3974173:3974192|offset_110|444444&amp;v=3974070:3974392&amp;c=444444", "offset 80")</f>
        <v>offset 80</v>
      </c>
    </row>
    <row r="14067" customFormat="false" ht="12.8" hidden="false" customHeight="false" outlineLevel="0" collapsed="false">
      <c r="A14067" s="0" t="s">
        <v>12</v>
      </c>
      <c r="B14067" s="0" t="n">
        <v>3974172</v>
      </c>
      <c r="C14067" s="0" t="n">
        <v>3974192</v>
      </c>
      <c r="D14067" s="0" t="s">
        <v>46873</v>
      </c>
      <c r="E14067" s="0" t="s">
        <v>89</v>
      </c>
      <c r="F14067" s="0" t="s">
        <v>90</v>
      </c>
      <c r="G14067" s="0" t="s">
        <v>26</v>
      </c>
      <c r="H14067" s="0" t="n">
        <v>110</v>
      </c>
      <c r="I14067" s="0" t="s">
        <v>46883</v>
      </c>
      <c r="J14067" s="0" t="s">
        <v>46884</v>
      </c>
      <c r="K14067" s="0" t="s">
        <v>46885</v>
      </c>
      <c r="L14067" s="0" t="str">
        <f aca="false">HYPERLINK("https://www.ncbi.nlm.nih.gov/nuccore/CP000304.1?report=graph&amp;tracks=[key:gene_model_track,Options:GeneOnly]&amp;mk=3974271:3974290|offset_12|444444,3974246:3974265|offset_37|444444,3974203:3974222|offset_80|444444,3974173:3974192|offset_110|00cc00&amp;v=3974070:3974392&amp;c=444444", "offset 110")</f>
        <v>offset 110</v>
      </c>
    </row>
    <row r="14068" customFormat="false" ht="12.8" hidden="false" customHeight="false" outlineLevel="0" collapsed="false">
      <c r="A14068" s="0" t="s">
        <v>12</v>
      </c>
      <c r="B14068" s="0" t="n">
        <v>3976037</v>
      </c>
      <c r="C14068" s="0" t="n">
        <v>3976057</v>
      </c>
      <c r="D14068" s="0" t="s">
        <v>46886</v>
      </c>
      <c r="E14068" s="0" t="s">
        <v>46887</v>
      </c>
      <c r="F14068" s="0" t="s">
        <v>90</v>
      </c>
      <c r="G14068" s="0" t="s">
        <v>16</v>
      </c>
      <c r="H14068" s="0" t="n">
        <v>14</v>
      </c>
      <c r="I14068" s="0" t="s">
        <v>46888</v>
      </c>
      <c r="J14068" s="0" t="s">
        <v>46889</v>
      </c>
      <c r="K14068" s="0" t="s">
        <v>46890</v>
      </c>
      <c r="L14068" s="0" t="str">
        <f aca="false">HYPERLINK("https://www.ncbi.nlm.nih.gov/nuccore/CP000304.1?report=graph&amp;tracks=[key:gene_model_track,Options:GeneOnly]&amp;mk=3976038:3976057|offset_14|00cc00,3976006:3976025|offset_46|444444,3975978:3975997|offset_74|444444,3975957:3975976|offset_95|444444&amp;v=3975837:3976176&amp;c=444444", "offset 14")</f>
        <v>offset 14</v>
      </c>
    </row>
    <row r="14069" customFormat="false" ht="12.8" hidden="false" customHeight="false" outlineLevel="0" collapsed="false">
      <c r="A14069" s="0" t="s">
        <v>12</v>
      </c>
      <c r="B14069" s="0" t="n">
        <v>3976005</v>
      </c>
      <c r="C14069" s="0" t="n">
        <v>3976025</v>
      </c>
      <c r="D14069" s="0" t="s">
        <v>46886</v>
      </c>
      <c r="E14069" s="0" t="s">
        <v>46887</v>
      </c>
      <c r="F14069" s="0" t="s">
        <v>90</v>
      </c>
      <c r="G14069" s="0" t="s">
        <v>16</v>
      </c>
      <c r="H14069" s="0" t="n">
        <v>46</v>
      </c>
      <c r="I14069" s="0" t="s">
        <v>46891</v>
      </c>
      <c r="J14069" s="0" t="s">
        <v>46892</v>
      </c>
      <c r="K14069" s="0" t="s">
        <v>46893</v>
      </c>
      <c r="L14069" s="0" t="str">
        <f aca="false">HYPERLINK("https://www.ncbi.nlm.nih.gov/nuccore/CP000304.1?report=graph&amp;tracks=[key:gene_model_track,Options:GeneOnly]&amp;mk=3976038:3976057|offset_14|444444,3976006:3976025|offset_46|00cc00,3975978:3975997|offset_74|444444,3975957:3975976|offset_95|444444&amp;v=3975837:3976176&amp;c=444444", "offset 46")</f>
        <v>offset 46</v>
      </c>
    </row>
    <row r="14070" customFormat="false" ht="12.8" hidden="false" customHeight="false" outlineLevel="0" collapsed="false">
      <c r="A14070" s="0" t="s">
        <v>12</v>
      </c>
      <c r="B14070" s="0" t="n">
        <v>3975977</v>
      </c>
      <c r="C14070" s="0" t="n">
        <v>3975997</v>
      </c>
      <c r="D14070" s="0" t="s">
        <v>46886</v>
      </c>
      <c r="E14070" s="0" t="s">
        <v>46887</v>
      </c>
      <c r="F14070" s="0" t="s">
        <v>90</v>
      </c>
      <c r="G14070" s="0" t="s">
        <v>32</v>
      </c>
      <c r="H14070" s="0" t="n">
        <v>74</v>
      </c>
      <c r="I14070" s="0" t="s">
        <v>46894</v>
      </c>
      <c r="J14070" s="0" t="s">
        <v>46895</v>
      </c>
      <c r="K14070" s="0" t="s">
        <v>46896</v>
      </c>
      <c r="L14070" s="0" t="str">
        <f aca="false">HYPERLINK("https://www.ncbi.nlm.nih.gov/nuccore/CP000304.1?report=graph&amp;tracks=[key:gene_model_track,Options:GeneOnly]&amp;mk=3976038:3976057|offset_14|444444,3976006:3976025|offset_46|444444,3975978:3975997|offset_74|00cc00,3975957:3975976|offset_95|444444&amp;v=3975837:3976176&amp;c=444444", "offset 74")</f>
        <v>offset 74</v>
      </c>
    </row>
    <row r="14071" customFormat="false" ht="12.8" hidden="false" customHeight="false" outlineLevel="0" collapsed="false">
      <c r="A14071" s="0" t="s">
        <v>12</v>
      </c>
      <c r="B14071" s="0" t="n">
        <v>3975956</v>
      </c>
      <c r="C14071" s="0" t="n">
        <v>3975976</v>
      </c>
      <c r="D14071" s="0" t="s">
        <v>46886</v>
      </c>
      <c r="E14071" s="0" t="s">
        <v>46887</v>
      </c>
      <c r="F14071" s="0" t="s">
        <v>90</v>
      </c>
      <c r="G14071" s="0" t="s">
        <v>26</v>
      </c>
      <c r="H14071" s="0" t="n">
        <v>95</v>
      </c>
      <c r="I14071" s="0" t="s">
        <v>46897</v>
      </c>
      <c r="J14071" s="0" t="s">
        <v>46898</v>
      </c>
      <c r="K14071" s="0" t="s">
        <v>46899</v>
      </c>
      <c r="L14071" s="0" t="str">
        <f aca="false">HYPERLINK("https://www.ncbi.nlm.nih.gov/nuccore/CP000304.1?report=graph&amp;tracks=[key:gene_model_track,Options:GeneOnly]&amp;mk=3976038:3976057|offset_14|444444,3976006:3976025|offset_46|444444,3975978:3975997|offset_74|444444,3975957:3975976|offset_95|00cc00&amp;v=3975837:3976176&amp;c=444444", "offset 95")</f>
        <v>offset 95</v>
      </c>
    </row>
    <row r="14072" customFormat="false" ht="12.8" hidden="false" customHeight="false" outlineLevel="0" collapsed="false">
      <c r="A14072" s="0" t="s">
        <v>12</v>
      </c>
      <c r="B14072" s="0" t="n">
        <v>3976165</v>
      </c>
      <c r="C14072" s="0" t="n">
        <v>3976185</v>
      </c>
      <c r="D14072" s="0" t="s">
        <v>46900</v>
      </c>
      <c r="E14072" s="0" t="s">
        <v>89</v>
      </c>
      <c r="F14072" s="0" t="s">
        <v>15</v>
      </c>
      <c r="G14072" s="0" t="s">
        <v>36</v>
      </c>
      <c r="H14072" s="0" t="n">
        <v>13</v>
      </c>
      <c r="I14072" s="0" t="s">
        <v>46901</v>
      </c>
      <c r="J14072" s="0" t="s">
        <v>46902</v>
      </c>
      <c r="K14072" s="0" t="s">
        <v>46903</v>
      </c>
      <c r="L14072" s="0" t="str">
        <f aca="false">HYPERLINK("https://www.ncbi.nlm.nih.gov/nuccore/CP000304.1?report=graph&amp;tracks=[key:gene_model_track,Options:GeneOnly]&amp;mk=3976166:3976185|offset_13|00cc00,3976196:3976215|offset_43|444444,3976243:3976262|offset_90|444444,3976265:3976284|offset_112|444444&amp;v=3975965:3976484&amp;c=444444", "offset 13")</f>
        <v>offset 13</v>
      </c>
    </row>
    <row r="14073" customFormat="false" ht="12.8" hidden="false" customHeight="false" outlineLevel="0" collapsed="false">
      <c r="A14073" s="0" t="s">
        <v>12</v>
      </c>
      <c r="B14073" s="0" t="n">
        <v>3976195</v>
      </c>
      <c r="C14073" s="0" t="n">
        <v>3976215</v>
      </c>
      <c r="D14073" s="0" t="s">
        <v>46900</v>
      </c>
      <c r="E14073" s="0" t="s">
        <v>89</v>
      </c>
      <c r="F14073" s="0" t="s">
        <v>15</v>
      </c>
      <c r="G14073" s="0" t="s">
        <v>26</v>
      </c>
      <c r="H14073" s="0" t="n">
        <v>43</v>
      </c>
      <c r="I14073" s="0" t="s">
        <v>46904</v>
      </c>
      <c r="J14073" s="0" t="s">
        <v>46905</v>
      </c>
      <c r="K14073" s="0" t="s">
        <v>46906</v>
      </c>
      <c r="L14073" s="0" t="str">
        <f aca="false">HYPERLINK("https://www.ncbi.nlm.nih.gov/nuccore/CP000304.1?report=graph&amp;tracks=[key:gene_model_track,Options:GeneOnly]&amp;mk=3976166:3976185|offset_13|444444,3976196:3976215|offset_43|00cc00,3976243:3976262|offset_90|444444,3976265:3976284|offset_112|444444&amp;v=3975965:3976484&amp;c=444444", "offset 43")</f>
        <v>offset 43</v>
      </c>
    </row>
    <row r="14074" customFormat="false" ht="12.8" hidden="false" customHeight="false" outlineLevel="0" collapsed="false">
      <c r="A14074" s="0" t="s">
        <v>12</v>
      </c>
      <c r="B14074" s="0" t="n">
        <v>3976242</v>
      </c>
      <c r="C14074" s="0" t="n">
        <v>3976262</v>
      </c>
      <c r="D14074" s="0" t="s">
        <v>46900</v>
      </c>
      <c r="E14074" s="0" t="s">
        <v>89</v>
      </c>
      <c r="F14074" s="0" t="s">
        <v>15</v>
      </c>
      <c r="G14074" s="0" t="s">
        <v>16</v>
      </c>
      <c r="H14074" s="0" t="n">
        <v>90</v>
      </c>
      <c r="I14074" s="0" t="s">
        <v>46907</v>
      </c>
      <c r="J14074" s="0" t="s">
        <v>46908</v>
      </c>
      <c r="K14074" s="0" t="s">
        <v>46909</v>
      </c>
      <c r="L14074" s="0" t="str">
        <f aca="false">HYPERLINK("https://www.ncbi.nlm.nih.gov/nuccore/CP000304.1?report=graph&amp;tracks=[key:gene_model_track,Options:GeneOnly]&amp;mk=3976166:3976185|offset_13|444444,3976196:3976215|offset_43|444444,3976243:3976262|offset_90|00cc00,3976265:3976284|offset_112|444444&amp;v=3975965:3976484&amp;c=444444", "offset 90")</f>
        <v>offset 90</v>
      </c>
    </row>
    <row r="14075" customFormat="false" ht="12.8" hidden="false" customHeight="false" outlineLevel="0" collapsed="false">
      <c r="A14075" s="0" t="s">
        <v>12</v>
      </c>
      <c r="B14075" s="0" t="n">
        <v>3976264</v>
      </c>
      <c r="C14075" s="0" t="n">
        <v>3976284</v>
      </c>
      <c r="D14075" s="0" t="s">
        <v>46900</v>
      </c>
      <c r="E14075" s="0" t="s">
        <v>89</v>
      </c>
      <c r="F14075" s="0" t="s">
        <v>15</v>
      </c>
      <c r="G14075" s="0" t="s">
        <v>32</v>
      </c>
      <c r="H14075" s="0" t="n">
        <v>112</v>
      </c>
      <c r="I14075" s="0" t="s">
        <v>46910</v>
      </c>
      <c r="J14075" s="0" t="s">
        <v>46911</v>
      </c>
      <c r="K14075" s="0" t="s">
        <v>46912</v>
      </c>
      <c r="L14075" s="0" t="str">
        <f aca="false">HYPERLINK("https://www.ncbi.nlm.nih.gov/nuccore/CP000304.1?report=graph&amp;tracks=[key:gene_model_track,Options:GeneOnly]&amp;mk=3976166:3976185|offset_13|444444,3976196:3976215|offset_43|444444,3976243:3976262|offset_90|444444,3976265:3976284|offset_112|00cc00&amp;v=3975965:3976484&amp;c=444444", "offset 112")</f>
        <v>offset 112</v>
      </c>
    </row>
    <row r="14076" customFormat="false" ht="12.8" hidden="false" customHeight="false" outlineLevel="0" collapsed="false">
      <c r="A14076" s="0" t="s">
        <v>12</v>
      </c>
      <c r="B14076" s="0" t="n">
        <v>3977871</v>
      </c>
      <c r="C14076" s="0" t="n">
        <v>3977891</v>
      </c>
      <c r="D14076" s="0" t="s">
        <v>46913</v>
      </c>
      <c r="E14076" s="0" t="s">
        <v>89</v>
      </c>
      <c r="F14076" s="0" t="s">
        <v>15</v>
      </c>
      <c r="G14076" s="0" t="s">
        <v>36</v>
      </c>
      <c r="H14076" s="0" t="n">
        <v>0</v>
      </c>
      <c r="I14076" s="0" t="s">
        <v>46914</v>
      </c>
      <c r="J14076" s="0" t="s">
        <v>46915</v>
      </c>
      <c r="K14076" s="0" t="s">
        <v>46916</v>
      </c>
      <c r="L14076" s="0" t="str">
        <f aca="false">HYPERLINK("https://www.ncbi.nlm.nih.gov/nuccore/CP000304.1?report=graph&amp;tracks=[key:gene_model_track,Options:GeneOnly]&amp;mk=3977872:3977891|offset_0|00cc00,3977902:3977921|offset_30|444444,3977930:3977949|offset_58|444444,3977975:3977994|offset_103|444444&amp;v=3977671:3978194&amp;c=444444", "offset 0")</f>
        <v>offset 0</v>
      </c>
    </row>
    <row r="14077" customFormat="false" ht="12.8" hidden="false" customHeight="false" outlineLevel="0" collapsed="false">
      <c r="A14077" s="0" t="s">
        <v>12</v>
      </c>
      <c r="B14077" s="0" t="n">
        <v>3977901</v>
      </c>
      <c r="C14077" s="0" t="n">
        <v>3977921</v>
      </c>
      <c r="D14077" s="0" t="s">
        <v>46913</v>
      </c>
      <c r="E14077" s="0" t="s">
        <v>89</v>
      </c>
      <c r="F14077" s="0" t="s">
        <v>15</v>
      </c>
      <c r="G14077" s="0" t="s">
        <v>32</v>
      </c>
      <c r="H14077" s="0" t="n">
        <v>30</v>
      </c>
      <c r="I14077" s="0" t="s">
        <v>46917</v>
      </c>
      <c r="J14077" s="0" t="s">
        <v>46918</v>
      </c>
      <c r="K14077" s="0" t="s">
        <v>46919</v>
      </c>
      <c r="L14077" s="0" t="str">
        <f aca="false">HYPERLINK("https://www.ncbi.nlm.nih.gov/nuccore/CP000304.1?report=graph&amp;tracks=[key:gene_model_track,Options:GeneOnly]&amp;mk=3977872:3977891|offset_0|444444,3977902:3977921|offset_30|00cc00,3977930:3977949|offset_58|444444,3977975:3977994|offset_103|444444&amp;v=3977671:3978194&amp;c=444444", "offset 30")</f>
        <v>offset 30</v>
      </c>
    </row>
    <row r="14078" customFormat="false" ht="12.8" hidden="false" customHeight="false" outlineLevel="0" collapsed="false">
      <c r="A14078" s="0" t="s">
        <v>12</v>
      </c>
      <c r="B14078" s="0" t="n">
        <v>3977929</v>
      </c>
      <c r="C14078" s="0" t="n">
        <v>3977949</v>
      </c>
      <c r="D14078" s="0" t="s">
        <v>46913</v>
      </c>
      <c r="E14078" s="0" t="s">
        <v>89</v>
      </c>
      <c r="F14078" s="0" t="s">
        <v>15</v>
      </c>
      <c r="G14078" s="0" t="s">
        <v>16</v>
      </c>
      <c r="H14078" s="0" t="n">
        <v>58</v>
      </c>
      <c r="I14078" s="0" t="s">
        <v>46920</v>
      </c>
      <c r="J14078" s="0" t="s">
        <v>46921</v>
      </c>
      <c r="K14078" s="0" t="s">
        <v>46922</v>
      </c>
      <c r="L14078" s="0" t="str">
        <f aca="false">HYPERLINK("https://www.ncbi.nlm.nih.gov/nuccore/CP000304.1?report=graph&amp;tracks=[key:gene_model_track,Options:GeneOnly]&amp;mk=3977872:3977891|offset_0|444444,3977902:3977921|offset_30|444444,3977930:3977949|offset_58|00cc00,3977975:3977994|offset_103|444444&amp;v=3977671:3978194&amp;c=444444", "offset 58")</f>
        <v>offset 58</v>
      </c>
    </row>
    <row r="14079" customFormat="false" ht="12.8" hidden="false" customHeight="false" outlineLevel="0" collapsed="false">
      <c r="A14079" s="0" t="s">
        <v>12</v>
      </c>
      <c r="B14079" s="0" t="n">
        <v>3977974</v>
      </c>
      <c r="C14079" s="0" t="n">
        <v>3977994</v>
      </c>
      <c r="D14079" s="0" t="s">
        <v>46913</v>
      </c>
      <c r="E14079" s="0" t="s">
        <v>89</v>
      </c>
      <c r="F14079" s="0" t="s">
        <v>15</v>
      </c>
      <c r="G14079" s="0" t="s">
        <v>16</v>
      </c>
      <c r="H14079" s="0" t="n">
        <v>103</v>
      </c>
      <c r="I14079" s="0" t="s">
        <v>46923</v>
      </c>
      <c r="J14079" s="0" t="s">
        <v>46924</v>
      </c>
      <c r="K14079" s="0" t="s">
        <v>46925</v>
      </c>
      <c r="L14079" s="0" t="str">
        <f aca="false">HYPERLINK("https://www.ncbi.nlm.nih.gov/nuccore/CP000304.1?report=graph&amp;tracks=[key:gene_model_track,Options:GeneOnly]&amp;mk=3977872:3977891|offset_0|444444,3977902:3977921|offset_30|444444,3977930:3977949|offset_58|444444,3977975:3977994|offset_103|00cc00&amp;v=3977671:3978194&amp;c=444444", "offset 103")</f>
        <v>offset 103</v>
      </c>
    </row>
    <row r="14080" customFormat="false" ht="12.8" hidden="false" customHeight="false" outlineLevel="0" collapsed="false">
      <c r="A14080" s="0" t="s">
        <v>12</v>
      </c>
      <c r="B14080" s="0" t="n">
        <v>3979332</v>
      </c>
      <c r="C14080" s="0" t="n">
        <v>3979352</v>
      </c>
      <c r="D14080" s="0" t="s">
        <v>46926</v>
      </c>
      <c r="E14080" s="0" t="s">
        <v>46927</v>
      </c>
      <c r="F14080" s="0" t="s">
        <v>15</v>
      </c>
      <c r="G14080" s="0" t="s">
        <v>32</v>
      </c>
      <c r="H14080" s="0" t="n">
        <v>1</v>
      </c>
      <c r="I14080" s="0" t="s">
        <v>46928</v>
      </c>
      <c r="J14080" s="0" t="s">
        <v>46929</v>
      </c>
      <c r="K14080" s="0" t="s">
        <v>46930</v>
      </c>
      <c r="L14080" s="0" t="str">
        <f aca="false">HYPERLINK("https://www.ncbi.nlm.nih.gov/nuccore/CP000304.1?report=graph&amp;tracks=[key:gene_model_track,Options:GeneOnly]&amp;mk=3979333:3979352|offset_1|00cc00,3979363:3979382|offset_31|444444,3979399:3979418|offset_67|444444,3979420:3979439|offset_88|444444&amp;v=3979132:3979639&amp;c=444444", "offset 1")</f>
        <v>offset 1</v>
      </c>
    </row>
    <row r="14081" customFormat="false" ht="12.8" hidden="false" customHeight="false" outlineLevel="0" collapsed="false">
      <c r="A14081" s="0" t="s">
        <v>12</v>
      </c>
      <c r="B14081" s="0" t="n">
        <v>3979362</v>
      </c>
      <c r="C14081" s="0" t="n">
        <v>3979382</v>
      </c>
      <c r="D14081" s="0" t="s">
        <v>46926</v>
      </c>
      <c r="E14081" s="0" t="s">
        <v>46927</v>
      </c>
      <c r="F14081" s="0" t="s">
        <v>15</v>
      </c>
      <c r="G14081" s="0" t="s">
        <v>32</v>
      </c>
      <c r="H14081" s="0" t="n">
        <v>31</v>
      </c>
      <c r="I14081" s="0" t="s">
        <v>46931</v>
      </c>
      <c r="J14081" s="0" t="s">
        <v>46932</v>
      </c>
      <c r="K14081" s="0" t="s">
        <v>46933</v>
      </c>
      <c r="L14081" s="0" t="str">
        <f aca="false">HYPERLINK("https://www.ncbi.nlm.nih.gov/nuccore/CP000304.1?report=graph&amp;tracks=[key:gene_model_track,Options:GeneOnly]&amp;mk=3979333:3979352|offset_1|444444,3979363:3979382|offset_31|00cc00,3979399:3979418|offset_67|444444,3979420:3979439|offset_88|444444&amp;v=3979132:3979639&amp;c=444444", "offset 31")</f>
        <v>offset 31</v>
      </c>
    </row>
    <row r="14082" customFormat="false" ht="12.8" hidden="false" customHeight="false" outlineLevel="0" collapsed="false">
      <c r="A14082" s="0" t="s">
        <v>12</v>
      </c>
      <c r="B14082" s="0" t="n">
        <v>3979398</v>
      </c>
      <c r="C14082" s="0" t="n">
        <v>3979418</v>
      </c>
      <c r="D14082" s="0" t="s">
        <v>46926</v>
      </c>
      <c r="E14082" s="0" t="s">
        <v>46927</v>
      </c>
      <c r="F14082" s="0" t="s">
        <v>15</v>
      </c>
      <c r="G14082" s="0" t="s">
        <v>32</v>
      </c>
      <c r="H14082" s="0" t="n">
        <v>67</v>
      </c>
      <c r="I14082" s="0" t="s">
        <v>46934</v>
      </c>
      <c r="J14082" s="0" t="s">
        <v>46935</v>
      </c>
      <c r="K14082" s="0" t="s">
        <v>46936</v>
      </c>
      <c r="L14082" s="0" t="str">
        <f aca="false">HYPERLINK("https://www.ncbi.nlm.nih.gov/nuccore/CP000304.1?report=graph&amp;tracks=[key:gene_model_track,Options:GeneOnly]&amp;mk=3979333:3979352|offset_1|444444,3979363:3979382|offset_31|444444,3979399:3979418|offset_67|00cc00,3979420:3979439|offset_88|444444&amp;v=3979132:3979639&amp;c=444444", "offset 67")</f>
        <v>offset 67</v>
      </c>
    </row>
    <row r="14083" customFormat="false" ht="12.8" hidden="false" customHeight="false" outlineLevel="0" collapsed="false">
      <c r="A14083" s="0" t="s">
        <v>12</v>
      </c>
      <c r="B14083" s="0" t="n">
        <v>3979419</v>
      </c>
      <c r="C14083" s="0" t="n">
        <v>3979439</v>
      </c>
      <c r="D14083" s="0" t="s">
        <v>46926</v>
      </c>
      <c r="E14083" s="0" t="s">
        <v>46927</v>
      </c>
      <c r="F14083" s="0" t="s">
        <v>15</v>
      </c>
      <c r="G14083" s="0" t="s">
        <v>16</v>
      </c>
      <c r="H14083" s="0" t="n">
        <v>88</v>
      </c>
      <c r="I14083" s="0" t="s">
        <v>46937</v>
      </c>
      <c r="J14083" s="0" t="s">
        <v>46938</v>
      </c>
      <c r="K14083" s="0" t="s">
        <v>46939</v>
      </c>
      <c r="L14083" s="0" t="str">
        <f aca="false">HYPERLINK("https://www.ncbi.nlm.nih.gov/nuccore/CP000304.1?report=graph&amp;tracks=[key:gene_model_track,Options:GeneOnly]&amp;mk=3979333:3979352|offset_1|444444,3979363:3979382|offset_31|444444,3979399:3979418|offset_67|444444,3979420:3979439|offset_88|00cc00&amp;v=3979132:3979639&amp;c=444444", "offset 88")</f>
        <v>offset 88</v>
      </c>
    </row>
    <row r="14084" customFormat="false" ht="12.8" hidden="false" customHeight="false" outlineLevel="0" collapsed="false">
      <c r="A14084" s="0" t="s">
        <v>12</v>
      </c>
      <c r="B14084" s="0" t="n">
        <v>3980852</v>
      </c>
      <c r="C14084" s="0" t="n">
        <v>3980872</v>
      </c>
      <c r="D14084" s="0" t="s">
        <v>46940</v>
      </c>
      <c r="E14084" s="0" t="s">
        <v>46941</v>
      </c>
      <c r="F14084" s="0" t="s">
        <v>15</v>
      </c>
      <c r="G14084" s="0" t="s">
        <v>32</v>
      </c>
      <c r="H14084" s="0" t="n">
        <v>8</v>
      </c>
      <c r="I14084" s="0" t="s">
        <v>46942</v>
      </c>
      <c r="J14084" s="0" t="s">
        <v>46943</v>
      </c>
      <c r="K14084" s="0" t="s">
        <v>46944</v>
      </c>
      <c r="L14084" s="0" t="str">
        <f aca="false">HYPERLINK("https://www.ncbi.nlm.nih.gov/nuccore/CP000304.1?report=graph&amp;tracks=[key:gene_model_track,Options:GeneOnly]&amp;mk=3980853:3980872|offset_8|00cc00,3980883:3980902|offset_38|444444,3980906:3980925|offset_61|444444,3980932:3980951|offset_87|444444&amp;v=3980652:3981151&amp;c=444444", "offset 8")</f>
        <v>offset 8</v>
      </c>
    </row>
    <row r="14085" customFormat="false" ht="12.8" hidden="false" customHeight="false" outlineLevel="0" collapsed="false">
      <c r="A14085" s="0" t="s">
        <v>12</v>
      </c>
      <c r="B14085" s="0" t="n">
        <v>3980882</v>
      </c>
      <c r="C14085" s="0" t="n">
        <v>3980902</v>
      </c>
      <c r="D14085" s="0" t="s">
        <v>46940</v>
      </c>
      <c r="E14085" s="0" t="s">
        <v>46941</v>
      </c>
      <c r="F14085" s="0" t="s">
        <v>15</v>
      </c>
      <c r="G14085" s="0" t="s">
        <v>32</v>
      </c>
      <c r="H14085" s="0" t="n">
        <v>38</v>
      </c>
      <c r="I14085" s="0" t="s">
        <v>46945</v>
      </c>
      <c r="J14085" s="0" t="s">
        <v>46946</v>
      </c>
      <c r="K14085" s="0" t="s">
        <v>46947</v>
      </c>
      <c r="L14085" s="0" t="str">
        <f aca="false">HYPERLINK("https://www.ncbi.nlm.nih.gov/nuccore/CP000304.1?report=graph&amp;tracks=[key:gene_model_track,Options:GeneOnly]&amp;mk=3980853:3980872|offset_8|444444,3980883:3980902|offset_38|00cc00,3980906:3980925|offset_61|444444,3980932:3980951|offset_87|444444&amp;v=3980652:3981151&amp;c=444444", "offset 38")</f>
        <v>offset 38</v>
      </c>
    </row>
    <row r="14086" customFormat="false" ht="12.8" hidden="false" customHeight="false" outlineLevel="0" collapsed="false">
      <c r="A14086" s="0" t="s">
        <v>12</v>
      </c>
      <c r="B14086" s="0" t="n">
        <v>3980905</v>
      </c>
      <c r="C14086" s="0" t="n">
        <v>3980925</v>
      </c>
      <c r="D14086" s="0" t="s">
        <v>46940</v>
      </c>
      <c r="E14086" s="0" t="s">
        <v>46941</v>
      </c>
      <c r="F14086" s="0" t="s">
        <v>15</v>
      </c>
      <c r="G14086" s="0" t="s">
        <v>36</v>
      </c>
      <c r="H14086" s="0" t="n">
        <v>61</v>
      </c>
      <c r="I14086" s="0" t="s">
        <v>46948</v>
      </c>
      <c r="J14086" s="0" t="s">
        <v>46949</v>
      </c>
      <c r="K14086" s="0" t="s">
        <v>46950</v>
      </c>
      <c r="L14086" s="0" t="str">
        <f aca="false">HYPERLINK("https://www.ncbi.nlm.nih.gov/nuccore/CP000304.1?report=graph&amp;tracks=[key:gene_model_track,Options:GeneOnly]&amp;mk=3980853:3980872|offset_8|444444,3980883:3980902|offset_38|444444,3980906:3980925|offset_61|00cc00,3980932:3980951|offset_87|444444&amp;v=3980652:3981151&amp;c=444444", "offset 61")</f>
        <v>offset 61</v>
      </c>
    </row>
    <row r="14087" customFormat="false" ht="12.8" hidden="false" customHeight="false" outlineLevel="0" collapsed="false">
      <c r="A14087" s="0" t="s">
        <v>12</v>
      </c>
      <c r="B14087" s="0" t="n">
        <v>3980931</v>
      </c>
      <c r="C14087" s="0" t="n">
        <v>3980951</v>
      </c>
      <c r="D14087" s="0" t="s">
        <v>46940</v>
      </c>
      <c r="E14087" s="0" t="s">
        <v>46941</v>
      </c>
      <c r="F14087" s="0" t="s">
        <v>15</v>
      </c>
      <c r="G14087" s="0" t="s">
        <v>16</v>
      </c>
      <c r="H14087" s="0" t="n">
        <v>87</v>
      </c>
      <c r="I14087" s="0" t="s">
        <v>46951</v>
      </c>
      <c r="J14087" s="0" t="s">
        <v>46952</v>
      </c>
      <c r="K14087" s="0" t="s">
        <v>46953</v>
      </c>
      <c r="L14087" s="0" t="str">
        <f aca="false">HYPERLINK("https://www.ncbi.nlm.nih.gov/nuccore/CP000304.1?report=graph&amp;tracks=[key:gene_model_track,Options:GeneOnly]&amp;mk=3980853:3980872|offset_8|444444,3980883:3980902|offset_38|444444,3980906:3980925|offset_61|444444,3980932:3980951|offset_87|00cc00&amp;v=3980652:3981151&amp;c=444444", "offset 87")</f>
        <v>offset 87</v>
      </c>
    </row>
    <row r="14088" customFormat="false" ht="12.8" hidden="false" customHeight="false" outlineLevel="0" collapsed="false">
      <c r="A14088" s="0" t="s">
        <v>12</v>
      </c>
      <c r="B14088" s="0" t="n">
        <v>3983178</v>
      </c>
      <c r="C14088" s="0" t="n">
        <v>3983198</v>
      </c>
      <c r="D14088" s="0" t="s">
        <v>46954</v>
      </c>
      <c r="E14088" s="0" t="s">
        <v>89</v>
      </c>
      <c r="F14088" s="0" t="s">
        <v>90</v>
      </c>
      <c r="G14088" s="0" t="s">
        <v>16</v>
      </c>
      <c r="H14088" s="0" t="n">
        <v>7</v>
      </c>
      <c r="I14088" s="0" t="s">
        <v>46955</v>
      </c>
      <c r="J14088" s="0" t="s">
        <v>46956</v>
      </c>
      <c r="K14088" s="0" t="s">
        <v>46957</v>
      </c>
      <c r="L14088" s="0" t="str">
        <f aca="false">HYPERLINK("https://www.ncbi.nlm.nih.gov/nuccore/CP000304.1?report=graph&amp;tracks=[key:gene_model_track,Options:GeneOnly]&amp;mk=3983179:3983198|offset_7|00cc00,3983157:3983176|offset_29|444444,3983134:3983153|offset_52|444444,3983107:3983126|offset_79|444444&amp;v=3982978:3983326&amp;c=444444", "offset 7")</f>
        <v>offset 7</v>
      </c>
    </row>
    <row r="14089" customFormat="false" ht="12.8" hidden="false" customHeight="false" outlineLevel="0" collapsed="false">
      <c r="A14089" s="0" t="s">
        <v>12</v>
      </c>
      <c r="B14089" s="0" t="n">
        <v>3983156</v>
      </c>
      <c r="C14089" s="0" t="n">
        <v>3983176</v>
      </c>
      <c r="D14089" s="0" t="s">
        <v>46954</v>
      </c>
      <c r="E14089" s="0" t="s">
        <v>89</v>
      </c>
      <c r="F14089" s="0" t="s">
        <v>90</v>
      </c>
      <c r="G14089" s="0" t="s">
        <v>32</v>
      </c>
      <c r="H14089" s="0" t="n">
        <v>29</v>
      </c>
      <c r="I14089" s="0" t="s">
        <v>46958</v>
      </c>
      <c r="J14089" s="0" t="s">
        <v>46959</v>
      </c>
      <c r="K14089" s="0" t="s">
        <v>46960</v>
      </c>
      <c r="L14089" s="0" t="str">
        <f aca="false">HYPERLINK("https://www.ncbi.nlm.nih.gov/nuccore/CP000304.1?report=graph&amp;tracks=[key:gene_model_track,Options:GeneOnly]&amp;mk=3983179:3983198|offset_7|444444,3983157:3983176|offset_29|00cc00,3983134:3983153|offset_52|444444,3983107:3983126|offset_79|444444&amp;v=3982978:3983326&amp;c=444444", "offset 29")</f>
        <v>offset 29</v>
      </c>
    </row>
    <row r="14090" customFormat="false" ht="12.8" hidden="false" customHeight="false" outlineLevel="0" collapsed="false">
      <c r="A14090" s="0" t="s">
        <v>12</v>
      </c>
      <c r="B14090" s="0" t="n">
        <v>3983133</v>
      </c>
      <c r="C14090" s="0" t="n">
        <v>3983153</v>
      </c>
      <c r="D14090" s="0" t="s">
        <v>46954</v>
      </c>
      <c r="E14090" s="0" t="s">
        <v>89</v>
      </c>
      <c r="F14090" s="0" t="s">
        <v>90</v>
      </c>
      <c r="G14090" s="0" t="s">
        <v>16</v>
      </c>
      <c r="H14090" s="0" t="n">
        <v>52</v>
      </c>
      <c r="I14090" s="0" t="s">
        <v>46961</v>
      </c>
      <c r="J14090" s="0" t="s">
        <v>46962</v>
      </c>
      <c r="K14090" s="0" t="s">
        <v>46963</v>
      </c>
      <c r="L14090" s="0" t="str">
        <f aca="false">HYPERLINK("https://www.ncbi.nlm.nih.gov/nuccore/CP000304.1?report=graph&amp;tracks=[key:gene_model_track,Options:GeneOnly]&amp;mk=3983179:3983198|offset_7|444444,3983157:3983176|offset_29|444444,3983134:3983153|offset_52|00cc00,3983107:3983126|offset_79|444444&amp;v=3982978:3983326&amp;c=444444", "offset 52")</f>
        <v>offset 52</v>
      </c>
    </row>
    <row r="14091" customFormat="false" ht="12.8" hidden="false" customHeight="false" outlineLevel="0" collapsed="false">
      <c r="A14091" s="0" t="s">
        <v>12</v>
      </c>
      <c r="B14091" s="0" t="n">
        <v>3983106</v>
      </c>
      <c r="C14091" s="0" t="n">
        <v>3983126</v>
      </c>
      <c r="D14091" s="0" t="s">
        <v>46954</v>
      </c>
      <c r="E14091" s="0" t="s">
        <v>89</v>
      </c>
      <c r="F14091" s="0" t="s">
        <v>90</v>
      </c>
      <c r="G14091" s="0" t="s">
        <v>16</v>
      </c>
      <c r="H14091" s="0" t="n">
        <v>79</v>
      </c>
      <c r="I14091" s="0" t="s">
        <v>46964</v>
      </c>
      <c r="J14091" s="0" t="s">
        <v>46965</v>
      </c>
      <c r="K14091" s="0" t="s">
        <v>46966</v>
      </c>
      <c r="L14091" s="0" t="str">
        <f aca="false">HYPERLINK("https://www.ncbi.nlm.nih.gov/nuccore/CP000304.1?report=graph&amp;tracks=[key:gene_model_track,Options:GeneOnly]&amp;mk=3983179:3983198|offset_7|444444,3983157:3983176|offset_29|444444,3983134:3983153|offset_52|444444,3983107:3983126|offset_79|00cc00&amp;v=3982978:3983326&amp;c=444444", "offset 79")</f>
        <v>offset 79</v>
      </c>
    </row>
    <row r="14092" customFormat="false" ht="12.8" hidden="false" customHeight="false" outlineLevel="0" collapsed="false">
      <c r="A14092" s="0" t="s">
        <v>12</v>
      </c>
      <c r="B14092" s="0" t="n">
        <v>3983697</v>
      </c>
      <c r="C14092" s="0" t="n">
        <v>3983717</v>
      </c>
      <c r="D14092" s="0" t="s">
        <v>46967</v>
      </c>
      <c r="E14092" s="0" t="s">
        <v>89</v>
      </c>
      <c r="F14092" s="0" t="s">
        <v>90</v>
      </c>
      <c r="G14092" s="0" t="s">
        <v>32</v>
      </c>
      <c r="H14092" s="0" t="n">
        <v>1</v>
      </c>
      <c r="I14092" s="0" t="s">
        <v>46968</v>
      </c>
      <c r="J14092" s="0" t="s">
        <v>46969</v>
      </c>
      <c r="K14092" s="0" t="s">
        <v>46970</v>
      </c>
      <c r="L14092" s="0" t="str">
        <f aca="false">HYPERLINK("https://www.ncbi.nlm.nih.gov/nuccore/CP000304.1?report=graph&amp;tracks=[key:gene_model_track,Options:GeneOnly]&amp;mk=3983698:3983717|offset_1|00cc00,3983678:3983697|offset_21|444444,3983655:3983674|offset_44|444444,3983635:3983654|offset_64|444444&amp;v=3983497:3983854&amp;c=444444", "offset 1")</f>
        <v>offset 1</v>
      </c>
    </row>
    <row r="14093" customFormat="false" ht="12.8" hidden="false" customHeight="false" outlineLevel="0" collapsed="false">
      <c r="A14093" s="0" t="s">
        <v>12</v>
      </c>
      <c r="B14093" s="0" t="n">
        <v>3983677</v>
      </c>
      <c r="C14093" s="0" t="n">
        <v>3983697</v>
      </c>
      <c r="D14093" s="0" t="s">
        <v>46967</v>
      </c>
      <c r="E14093" s="0" t="s">
        <v>89</v>
      </c>
      <c r="F14093" s="0" t="s">
        <v>90</v>
      </c>
      <c r="G14093" s="0" t="s">
        <v>32</v>
      </c>
      <c r="H14093" s="0" t="n">
        <v>21</v>
      </c>
      <c r="I14093" s="0" t="s">
        <v>46971</v>
      </c>
      <c r="J14093" s="0" t="s">
        <v>46972</v>
      </c>
      <c r="K14093" s="0" t="s">
        <v>46973</v>
      </c>
      <c r="L14093" s="0" t="str">
        <f aca="false">HYPERLINK("https://www.ncbi.nlm.nih.gov/nuccore/CP000304.1?report=graph&amp;tracks=[key:gene_model_track,Options:GeneOnly]&amp;mk=3983698:3983717|offset_1|444444,3983678:3983697|offset_21|00cc00,3983655:3983674|offset_44|444444,3983635:3983654|offset_64|444444&amp;v=3983497:3983854&amp;c=444444", "offset 21")</f>
        <v>offset 21</v>
      </c>
    </row>
    <row r="14094" customFormat="false" ht="12.8" hidden="false" customHeight="false" outlineLevel="0" collapsed="false">
      <c r="A14094" s="0" t="s">
        <v>12</v>
      </c>
      <c r="B14094" s="0" t="n">
        <v>3983654</v>
      </c>
      <c r="C14094" s="0" t="n">
        <v>3983674</v>
      </c>
      <c r="D14094" s="0" t="s">
        <v>46967</v>
      </c>
      <c r="E14094" s="0" t="s">
        <v>89</v>
      </c>
      <c r="F14094" s="0" t="s">
        <v>90</v>
      </c>
      <c r="G14094" s="0" t="s">
        <v>36</v>
      </c>
      <c r="H14094" s="0" t="n">
        <v>44</v>
      </c>
      <c r="I14094" s="0" t="s">
        <v>46974</v>
      </c>
      <c r="J14094" s="0" t="s">
        <v>46975</v>
      </c>
      <c r="K14094" s="0" t="s">
        <v>46976</v>
      </c>
      <c r="L14094" s="0" t="str">
        <f aca="false">HYPERLINK("https://www.ncbi.nlm.nih.gov/nuccore/CP000304.1?report=graph&amp;tracks=[key:gene_model_track,Options:GeneOnly]&amp;mk=3983698:3983717|offset_1|444444,3983678:3983697|offset_21|444444,3983655:3983674|offset_44|00cc00,3983635:3983654|offset_64|444444&amp;v=3983497:3983854&amp;c=444444", "offset 44")</f>
        <v>offset 44</v>
      </c>
    </row>
    <row r="14095" customFormat="false" ht="12.8" hidden="false" customHeight="false" outlineLevel="0" collapsed="false">
      <c r="A14095" s="0" t="s">
        <v>12</v>
      </c>
      <c r="B14095" s="0" t="n">
        <v>3983634</v>
      </c>
      <c r="C14095" s="0" t="n">
        <v>3983654</v>
      </c>
      <c r="D14095" s="0" t="s">
        <v>46967</v>
      </c>
      <c r="E14095" s="0" t="s">
        <v>89</v>
      </c>
      <c r="F14095" s="0" t="s">
        <v>90</v>
      </c>
      <c r="G14095" s="0" t="s">
        <v>16</v>
      </c>
      <c r="H14095" s="0" t="n">
        <v>64</v>
      </c>
      <c r="I14095" s="0" t="s">
        <v>46977</v>
      </c>
      <c r="J14095" s="0" t="s">
        <v>46978</v>
      </c>
      <c r="K14095" s="0" t="s">
        <v>46979</v>
      </c>
      <c r="L14095" s="0" t="str">
        <f aca="false">HYPERLINK("https://www.ncbi.nlm.nih.gov/nuccore/CP000304.1?report=graph&amp;tracks=[key:gene_model_track,Options:GeneOnly]&amp;mk=3983698:3983717|offset_1|444444,3983678:3983697|offset_21|444444,3983655:3983674|offset_44|444444,3983635:3983654|offset_64|00cc00&amp;v=3983497:3983854&amp;c=444444", "offset 64")</f>
        <v>offset 64</v>
      </c>
    </row>
    <row r="14096" customFormat="false" ht="12.8" hidden="false" customHeight="false" outlineLevel="0" collapsed="false">
      <c r="A14096" s="0" t="s">
        <v>12</v>
      </c>
      <c r="B14096" s="0" t="n">
        <v>3983853</v>
      </c>
      <c r="C14096" s="0" t="n">
        <v>3983873</v>
      </c>
      <c r="D14096" s="0" t="s">
        <v>46980</v>
      </c>
      <c r="E14096" s="0" t="s">
        <v>89</v>
      </c>
      <c r="F14096" s="0" t="s">
        <v>15</v>
      </c>
      <c r="G14096" s="0" t="s">
        <v>16</v>
      </c>
      <c r="H14096" s="0" t="n">
        <v>10</v>
      </c>
      <c r="I14096" s="0" t="s">
        <v>46981</v>
      </c>
      <c r="J14096" s="0" t="s">
        <v>46982</v>
      </c>
      <c r="K14096" s="0" t="s">
        <v>46983</v>
      </c>
      <c r="L14096" s="0" t="str">
        <f aca="false">HYPERLINK("https://www.ncbi.nlm.nih.gov/nuccore/CP000304.1?report=graph&amp;tracks=[key:gene_model_track,Options:GeneOnly]&amp;mk=3983854:3983873|offset_10|00cc00,3983882:3983901|offset_38|444444,3983902:3983921|offset_58|444444,3983923:3983942|offset_79|444444&amp;v=3983653:3984142&amp;c=444444", "offset 10")</f>
        <v>offset 10</v>
      </c>
    </row>
    <row r="14097" customFormat="false" ht="12.8" hidden="false" customHeight="false" outlineLevel="0" collapsed="false">
      <c r="A14097" s="0" t="s">
        <v>12</v>
      </c>
      <c r="B14097" s="0" t="n">
        <v>3983881</v>
      </c>
      <c r="C14097" s="0" t="n">
        <v>3983901</v>
      </c>
      <c r="D14097" s="0" t="s">
        <v>46980</v>
      </c>
      <c r="E14097" s="0" t="s">
        <v>89</v>
      </c>
      <c r="F14097" s="0" t="s">
        <v>15</v>
      </c>
      <c r="G14097" s="0" t="s">
        <v>16</v>
      </c>
      <c r="H14097" s="0" t="n">
        <v>38</v>
      </c>
      <c r="I14097" s="0" t="s">
        <v>46984</v>
      </c>
      <c r="J14097" s="0" t="s">
        <v>46985</v>
      </c>
      <c r="K14097" s="0" t="s">
        <v>46986</v>
      </c>
      <c r="L14097" s="0" t="str">
        <f aca="false">HYPERLINK("https://www.ncbi.nlm.nih.gov/nuccore/CP000304.1?report=graph&amp;tracks=[key:gene_model_track,Options:GeneOnly]&amp;mk=3983854:3983873|offset_10|444444,3983882:3983901|offset_38|00cc00,3983902:3983921|offset_58|444444,3983923:3983942|offset_79|444444&amp;v=3983653:3984142&amp;c=444444", "offset 38")</f>
        <v>offset 38</v>
      </c>
    </row>
    <row r="14098" customFormat="false" ht="12.8" hidden="false" customHeight="false" outlineLevel="0" collapsed="false">
      <c r="A14098" s="0" t="s">
        <v>12</v>
      </c>
      <c r="B14098" s="0" t="n">
        <v>3983901</v>
      </c>
      <c r="C14098" s="0" t="n">
        <v>3983921</v>
      </c>
      <c r="D14098" s="0" t="s">
        <v>46980</v>
      </c>
      <c r="E14098" s="0" t="s">
        <v>89</v>
      </c>
      <c r="F14098" s="0" t="s">
        <v>15</v>
      </c>
      <c r="G14098" s="0" t="s">
        <v>16</v>
      </c>
      <c r="H14098" s="0" t="n">
        <v>58</v>
      </c>
      <c r="I14098" s="0" t="s">
        <v>46987</v>
      </c>
      <c r="J14098" s="0" t="s">
        <v>46988</v>
      </c>
      <c r="K14098" s="0" t="s">
        <v>46989</v>
      </c>
      <c r="L14098" s="0" t="str">
        <f aca="false">HYPERLINK("https://www.ncbi.nlm.nih.gov/nuccore/CP000304.1?report=graph&amp;tracks=[key:gene_model_track,Options:GeneOnly]&amp;mk=3983854:3983873|offset_10|444444,3983882:3983901|offset_38|444444,3983902:3983921|offset_58|00cc00,3983923:3983942|offset_79|444444&amp;v=3983653:3984142&amp;c=444444", "offset 58")</f>
        <v>offset 58</v>
      </c>
    </row>
    <row r="14099" customFormat="false" ht="12.8" hidden="false" customHeight="false" outlineLevel="0" collapsed="false">
      <c r="A14099" s="0" t="s">
        <v>12</v>
      </c>
      <c r="B14099" s="0" t="n">
        <v>3983922</v>
      </c>
      <c r="C14099" s="0" t="n">
        <v>3983942</v>
      </c>
      <c r="D14099" s="0" t="s">
        <v>46980</v>
      </c>
      <c r="E14099" s="0" t="s">
        <v>89</v>
      </c>
      <c r="F14099" s="0" t="s">
        <v>15</v>
      </c>
      <c r="G14099" s="0" t="s">
        <v>32</v>
      </c>
      <c r="H14099" s="0" t="n">
        <v>79</v>
      </c>
      <c r="I14099" s="0" t="s">
        <v>46990</v>
      </c>
      <c r="J14099" s="0" t="s">
        <v>46991</v>
      </c>
      <c r="K14099" s="0" t="s">
        <v>46992</v>
      </c>
      <c r="L14099" s="0" t="str">
        <f aca="false">HYPERLINK("https://www.ncbi.nlm.nih.gov/nuccore/CP000304.1?report=graph&amp;tracks=[key:gene_model_track,Options:GeneOnly]&amp;mk=3983854:3983873|offset_10|444444,3983882:3983901|offset_38|444444,3983902:3983921|offset_58|444444,3983923:3983942|offset_79|00cc00&amp;v=3983653:3984142&amp;c=444444", "offset 79")</f>
        <v>offset 79</v>
      </c>
    </row>
    <row r="14100" customFormat="false" ht="12.8" hidden="false" customHeight="false" outlineLevel="0" collapsed="false">
      <c r="A14100" s="0" t="s">
        <v>12</v>
      </c>
      <c r="B14100" s="0" t="n">
        <v>3984862</v>
      </c>
      <c r="C14100" s="0" t="n">
        <v>3984882</v>
      </c>
      <c r="D14100" s="0" t="s">
        <v>46993</v>
      </c>
      <c r="E14100" s="0" t="s">
        <v>46994</v>
      </c>
      <c r="F14100" s="0" t="s">
        <v>15</v>
      </c>
      <c r="G14100" s="0" t="s">
        <v>36</v>
      </c>
      <c r="H14100" s="0" t="n">
        <v>20</v>
      </c>
      <c r="I14100" s="0" t="s">
        <v>46995</v>
      </c>
      <c r="J14100" s="0" t="s">
        <v>46996</v>
      </c>
      <c r="K14100" s="0" t="s">
        <v>46997</v>
      </c>
      <c r="L14100" s="0" t="str">
        <f aca="false">HYPERLINK("https://www.ncbi.nlm.nih.gov/nuccore/CP000304.1?report=graph&amp;tracks=[key:gene_model_track,Options:GeneOnly]&amp;mk=3984863:3984882|offset_20|00cc00,3984901:3984920|offset_58|444444,3984927:3984946|offset_84|444444,3984955:3984974|offset_112|444444&amp;v=3984662:3985174&amp;c=444444", "offset 20")</f>
        <v>offset 20</v>
      </c>
    </row>
    <row r="14101" customFormat="false" ht="12.8" hidden="false" customHeight="false" outlineLevel="0" collapsed="false">
      <c r="A14101" s="0" t="s">
        <v>12</v>
      </c>
      <c r="B14101" s="0" t="n">
        <v>3984900</v>
      </c>
      <c r="C14101" s="0" t="n">
        <v>3984920</v>
      </c>
      <c r="D14101" s="0" t="s">
        <v>46993</v>
      </c>
      <c r="E14101" s="0" t="s">
        <v>46994</v>
      </c>
      <c r="F14101" s="0" t="s">
        <v>15</v>
      </c>
      <c r="G14101" s="0" t="s">
        <v>32</v>
      </c>
      <c r="H14101" s="0" t="n">
        <v>58</v>
      </c>
      <c r="I14101" s="0" t="s">
        <v>46998</v>
      </c>
      <c r="J14101" s="0" t="s">
        <v>46999</v>
      </c>
      <c r="K14101" s="0" t="s">
        <v>47000</v>
      </c>
      <c r="L14101" s="0" t="str">
        <f aca="false">HYPERLINK("https://www.ncbi.nlm.nih.gov/nuccore/CP000304.1?report=graph&amp;tracks=[key:gene_model_track,Options:GeneOnly]&amp;mk=3984863:3984882|offset_20|444444,3984901:3984920|offset_58|00cc00,3984927:3984946|offset_84|444444,3984955:3984974|offset_112|444444&amp;v=3984662:3985174&amp;c=444444", "offset 58")</f>
        <v>offset 58</v>
      </c>
    </row>
    <row r="14102" customFormat="false" ht="12.8" hidden="false" customHeight="false" outlineLevel="0" collapsed="false">
      <c r="A14102" s="0" t="s">
        <v>12</v>
      </c>
      <c r="B14102" s="0" t="n">
        <v>3984926</v>
      </c>
      <c r="C14102" s="0" t="n">
        <v>3984946</v>
      </c>
      <c r="D14102" s="0" t="s">
        <v>46993</v>
      </c>
      <c r="E14102" s="0" t="s">
        <v>46994</v>
      </c>
      <c r="F14102" s="0" t="s">
        <v>15</v>
      </c>
      <c r="G14102" s="0" t="s">
        <v>16</v>
      </c>
      <c r="H14102" s="0" t="n">
        <v>84</v>
      </c>
      <c r="I14102" s="0" t="s">
        <v>47001</v>
      </c>
      <c r="J14102" s="0" t="s">
        <v>47002</v>
      </c>
      <c r="K14102" s="0" t="s">
        <v>47003</v>
      </c>
      <c r="L14102" s="0" t="str">
        <f aca="false">HYPERLINK("https://www.ncbi.nlm.nih.gov/nuccore/CP000304.1?report=graph&amp;tracks=[key:gene_model_track,Options:GeneOnly]&amp;mk=3984863:3984882|offset_20|444444,3984901:3984920|offset_58|444444,3984927:3984946|offset_84|00cc00,3984955:3984974|offset_112|444444&amp;v=3984662:3985174&amp;c=444444", "offset 84")</f>
        <v>offset 84</v>
      </c>
    </row>
    <row r="14103" customFormat="false" ht="12.8" hidden="false" customHeight="false" outlineLevel="0" collapsed="false">
      <c r="A14103" s="0" t="s">
        <v>12</v>
      </c>
      <c r="B14103" s="0" t="n">
        <v>3984954</v>
      </c>
      <c r="C14103" s="0" t="n">
        <v>3984974</v>
      </c>
      <c r="D14103" s="0" t="s">
        <v>46993</v>
      </c>
      <c r="E14103" s="0" t="s">
        <v>46994</v>
      </c>
      <c r="F14103" s="0" t="s">
        <v>15</v>
      </c>
      <c r="G14103" s="0" t="s">
        <v>16</v>
      </c>
      <c r="H14103" s="0" t="n">
        <v>112</v>
      </c>
      <c r="I14103" s="0" t="s">
        <v>47004</v>
      </c>
      <c r="J14103" s="0" t="s">
        <v>47005</v>
      </c>
      <c r="K14103" s="0" t="s">
        <v>47006</v>
      </c>
      <c r="L14103" s="0" t="str">
        <f aca="false">HYPERLINK("https://www.ncbi.nlm.nih.gov/nuccore/CP000304.1?report=graph&amp;tracks=[key:gene_model_track,Options:GeneOnly]&amp;mk=3984863:3984882|offset_20|444444,3984901:3984920|offset_58|444444,3984927:3984946|offset_84|444444,3984955:3984974|offset_112|00cc00&amp;v=3984662:3985174&amp;c=444444", "offset 112")</f>
        <v>offset 112</v>
      </c>
    </row>
    <row r="14104" customFormat="false" ht="12.8" hidden="false" customHeight="false" outlineLevel="0" collapsed="false">
      <c r="A14104" s="0" t="s">
        <v>12</v>
      </c>
      <c r="B14104" s="0" t="n">
        <v>3986839</v>
      </c>
      <c r="C14104" s="0" t="n">
        <v>3986859</v>
      </c>
      <c r="D14104" s="0" t="s">
        <v>47007</v>
      </c>
      <c r="E14104" s="0" t="s">
        <v>89</v>
      </c>
      <c r="F14104" s="0" t="s">
        <v>90</v>
      </c>
      <c r="G14104" s="0" t="s">
        <v>16</v>
      </c>
      <c r="H14104" s="0" t="n">
        <v>0</v>
      </c>
      <c r="I14104" s="0" t="s">
        <v>47008</v>
      </c>
      <c r="J14104" s="0" t="s">
        <v>47009</v>
      </c>
      <c r="K14104" s="0" t="s">
        <v>47010</v>
      </c>
      <c r="L14104" s="0" t="str">
        <f aca="false">HYPERLINK("https://www.ncbi.nlm.nih.gov/nuccore/CP000304.1?report=graph&amp;tracks=[key:gene_model_track,Options:GeneOnly]&amp;mk=3986840:3986859|offset_0|00cc00,3986755:3986774|offset_85|444444,3986725:3986744|offset_115|444444,3986679:3986698|offset_161|444444&amp;v=3986639:3986898&amp;c=444444", "offset 0")</f>
        <v>offset 0</v>
      </c>
    </row>
    <row r="14105" customFormat="false" ht="12.8" hidden="false" customHeight="false" outlineLevel="0" collapsed="false">
      <c r="A14105" s="0" t="s">
        <v>12</v>
      </c>
      <c r="B14105" s="0" t="n">
        <v>3986754</v>
      </c>
      <c r="C14105" s="0" t="n">
        <v>3986774</v>
      </c>
      <c r="D14105" s="0" t="s">
        <v>47007</v>
      </c>
      <c r="E14105" s="0" t="s">
        <v>89</v>
      </c>
      <c r="F14105" s="0" t="s">
        <v>90</v>
      </c>
      <c r="G14105" s="0" t="s">
        <v>32</v>
      </c>
      <c r="H14105" s="0" t="n">
        <v>85</v>
      </c>
      <c r="I14105" s="0" t="s">
        <v>47011</v>
      </c>
      <c r="J14105" s="0" t="s">
        <v>47012</v>
      </c>
      <c r="K14105" s="0" t="s">
        <v>47013</v>
      </c>
      <c r="L14105" s="0" t="str">
        <f aca="false">HYPERLINK("https://www.ncbi.nlm.nih.gov/nuccore/CP000304.1?report=graph&amp;tracks=[key:gene_model_track,Options:GeneOnly]&amp;mk=3986840:3986859|offset_0|444444,3986755:3986774|offset_85|00cc00,3986725:3986744|offset_115|444444,3986679:3986698|offset_161|444444&amp;v=3986639:3986898&amp;c=444444", "offset 85")</f>
        <v>offset 85</v>
      </c>
    </row>
    <row r="14106" customFormat="false" ht="12.8" hidden="false" customHeight="false" outlineLevel="0" collapsed="false">
      <c r="A14106" s="0" t="s">
        <v>12</v>
      </c>
      <c r="B14106" s="0" t="n">
        <v>3986724</v>
      </c>
      <c r="C14106" s="0" t="n">
        <v>3986744</v>
      </c>
      <c r="D14106" s="0" t="s">
        <v>47007</v>
      </c>
      <c r="E14106" s="0" t="s">
        <v>89</v>
      </c>
      <c r="F14106" s="0" t="s">
        <v>90</v>
      </c>
      <c r="G14106" s="0" t="s">
        <v>32</v>
      </c>
      <c r="H14106" s="0" t="n">
        <v>115</v>
      </c>
      <c r="I14106" s="0" t="s">
        <v>47014</v>
      </c>
      <c r="J14106" s="0" t="s">
        <v>47015</v>
      </c>
      <c r="K14106" s="0" t="s">
        <v>47016</v>
      </c>
      <c r="L14106" s="0" t="str">
        <f aca="false">HYPERLINK("https://www.ncbi.nlm.nih.gov/nuccore/CP000304.1?report=graph&amp;tracks=[key:gene_model_track,Options:GeneOnly]&amp;mk=3986840:3986859|offset_0|444444,3986755:3986774|offset_85|444444,3986725:3986744|offset_115|00cc00,3986679:3986698|offset_161|444444&amp;v=3986639:3986898&amp;c=444444", "offset 115")</f>
        <v>offset 115</v>
      </c>
    </row>
    <row r="14107" customFormat="false" ht="12.8" hidden="false" customHeight="false" outlineLevel="0" collapsed="false">
      <c r="A14107" s="0" t="s">
        <v>12</v>
      </c>
      <c r="B14107" s="0" t="n">
        <v>3986678</v>
      </c>
      <c r="C14107" s="0" t="n">
        <v>3986698</v>
      </c>
      <c r="D14107" s="0" t="s">
        <v>47007</v>
      </c>
      <c r="E14107" s="0" t="s">
        <v>89</v>
      </c>
      <c r="F14107" s="0" t="s">
        <v>90</v>
      </c>
      <c r="G14107" s="0" t="s">
        <v>26</v>
      </c>
      <c r="H14107" s="0" t="n">
        <v>161</v>
      </c>
      <c r="I14107" s="0" t="s">
        <v>47017</v>
      </c>
      <c r="J14107" s="0" t="s">
        <v>47018</v>
      </c>
      <c r="K14107" s="0" t="s">
        <v>47019</v>
      </c>
      <c r="L14107" s="0" t="str">
        <f aca="false">HYPERLINK("https://www.ncbi.nlm.nih.gov/nuccore/CP000304.1?report=graph&amp;tracks=[key:gene_model_track,Options:GeneOnly]&amp;mk=3986840:3986859|offset_0|444444,3986755:3986774|offset_85|444444,3986725:3986744|offset_115|444444,3986679:3986698|offset_161|00cc00&amp;v=3986639:3986898&amp;c=444444", "offset 161")</f>
        <v>offset 161</v>
      </c>
    </row>
    <row r="14108" customFormat="false" ht="12.8" hidden="false" customHeight="false" outlineLevel="0" collapsed="false">
      <c r="A14108" s="0" t="s">
        <v>12</v>
      </c>
      <c r="B14108" s="0" t="n">
        <v>3987057</v>
      </c>
      <c r="C14108" s="0" t="n">
        <v>3987077</v>
      </c>
      <c r="D14108" s="0" t="s">
        <v>47020</v>
      </c>
      <c r="E14108" s="0" t="s">
        <v>89</v>
      </c>
      <c r="F14108" s="0" t="s">
        <v>15</v>
      </c>
      <c r="G14108" s="0" t="s">
        <v>32</v>
      </c>
      <c r="H14108" s="0" t="n">
        <v>24</v>
      </c>
      <c r="I14108" s="0" t="s">
        <v>47021</v>
      </c>
      <c r="J14108" s="0" t="s">
        <v>47022</v>
      </c>
      <c r="K14108" s="0" t="s">
        <v>47023</v>
      </c>
      <c r="L14108" s="0" t="str">
        <f aca="false">HYPERLINK("https://www.ncbi.nlm.nih.gov/nuccore/CP000304.1?report=graph&amp;tracks=[key:gene_model_track,Options:GeneOnly]&amp;mk=3987058:3987077|offset_24|00cc00,3987078:3987097|offset_44|444444,3987099:3987118|offset_65|444444,3987126:3987145|offset_92|444444&amp;v=3986857:3987345&amp;c=444444", "offset 24")</f>
        <v>offset 24</v>
      </c>
    </row>
    <row r="14109" customFormat="false" ht="12.8" hidden="false" customHeight="false" outlineLevel="0" collapsed="false">
      <c r="A14109" s="0" t="s">
        <v>12</v>
      </c>
      <c r="B14109" s="0" t="n">
        <v>3987077</v>
      </c>
      <c r="C14109" s="0" t="n">
        <v>3987097</v>
      </c>
      <c r="D14109" s="0" t="s">
        <v>47020</v>
      </c>
      <c r="E14109" s="0" t="s">
        <v>89</v>
      </c>
      <c r="F14109" s="0" t="s">
        <v>15</v>
      </c>
      <c r="G14109" s="0" t="s">
        <v>32</v>
      </c>
      <c r="H14109" s="0" t="n">
        <v>44</v>
      </c>
      <c r="I14109" s="0" t="s">
        <v>47024</v>
      </c>
      <c r="J14109" s="0" t="s">
        <v>47025</v>
      </c>
      <c r="K14109" s="0" t="s">
        <v>47026</v>
      </c>
      <c r="L14109" s="0" t="str">
        <f aca="false">HYPERLINK("https://www.ncbi.nlm.nih.gov/nuccore/CP000304.1?report=graph&amp;tracks=[key:gene_model_track,Options:GeneOnly]&amp;mk=3987058:3987077|offset_24|444444,3987078:3987097|offset_44|00cc00,3987099:3987118|offset_65|444444,3987126:3987145|offset_92|444444&amp;v=3986857:3987345&amp;c=444444", "offset 44")</f>
        <v>offset 44</v>
      </c>
    </row>
    <row r="14110" customFormat="false" ht="12.8" hidden="false" customHeight="false" outlineLevel="0" collapsed="false">
      <c r="A14110" s="0" t="s">
        <v>12</v>
      </c>
      <c r="B14110" s="0" t="n">
        <v>3987098</v>
      </c>
      <c r="C14110" s="0" t="n">
        <v>3987118</v>
      </c>
      <c r="D14110" s="0" t="s">
        <v>47020</v>
      </c>
      <c r="E14110" s="0" t="s">
        <v>89</v>
      </c>
      <c r="F14110" s="0" t="s">
        <v>15</v>
      </c>
      <c r="G14110" s="0" t="s">
        <v>16</v>
      </c>
      <c r="H14110" s="0" t="n">
        <v>65</v>
      </c>
      <c r="I14110" s="0" t="s">
        <v>47027</v>
      </c>
      <c r="J14110" s="0" t="s">
        <v>47028</v>
      </c>
      <c r="K14110" s="0" t="s">
        <v>47029</v>
      </c>
      <c r="L14110" s="0" t="str">
        <f aca="false">HYPERLINK("https://www.ncbi.nlm.nih.gov/nuccore/CP000304.1?report=graph&amp;tracks=[key:gene_model_track,Options:GeneOnly]&amp;mk=3987058:3987077|offset_24|444444,3987078:3987097|offset_44|444444,3987099:3987118|offset_65|00cc00,3987126:3987145|offset_92|444444&amp;v=3986857:3987345&amp;c=444444", "offset 65")</f>
        <v>offset 65</v>
      </c>
    </row>
    <row r="14111" customFormat="false" ht="12.8" hidden="false" customHeight="false" outlineLevel="0" collapsed="false">
      <c r="A14111" s="0" t="s">
        <v>12</v>
      </c>
      <c r="B14111" s="0" t="n">
        <v>3987125</v>
      </c>
      <c r="C14111" s="0" t="n">
        <v>3987145</v>
      </c>
      <c r="D14111" s="0" t="s">
        <v>47020</v>
      </c>
      <c r="E14111" s="0" t="s">
        <v>89</v>
      </c>
      <c r="F14111" s="0" t="s">
        <v>15</v>
      </c>
      <c r="G14111" s="0" t="s">
        <v>26</v>
      </c>
      <c r="H14111" s="0" t="n">
        <v>92</v>
      </c>
      <c r="I14111" s="0" t="s">
        <v>47030</v>
      </c>
      <c r="J14111" s="0" t="s">
        <v>47031</v>
      </c>
      <c r="K14111" s="0" t="s">
        <v>47032</v>
      </c>
      <c r="L14111" s="0" t="str">
        <f aca="false">HYPERLINK("https://www.ncbi.nlm.nih.gov/nuccore/CP000304.1?report=graph&amp;tracks=[key:gene_model_track,Options:GeneOnly]&amp;mk=3987058:3987077|offset_24|444444,3987078:3987097|offset_44|444444,3987099:3987118|offset_65|444444,3987126:3987145|offset_92|00cc00&amp;v=3986857:3987345&amp;c=444444", "offset 92")</f>
        <v>offset 92</v>
      </c>
    </row>
    <row r="14112" customFormat="false" ht="12.8" hidden="false" customHeight="false" outlineLevel="0" collapsed="false">
      <c r="A14112" s="0" t="s">
        <v>12</v>
      </c>
      <c r="B14112" s="0" t="n">
        <v>3987759</v>
      </c>
      <c r="C14112" s="0" t="n">
        <v>3987779</v>
      </c>
      <c r="D14112" s="0" t="s">
        <v>47033</v>
      </c>
      <c r="E14112" s="0" t="s">
        <v>89</v>
      </c>
      <c r="F14112" s="0" t="s">
        <v>15</v>
      </c>
      <c r="G14112" s="0" t="s">
        <v>26</v>
      </c>
      <c r="H14112" s="0" t="n">
        <v>20</v>
      </c>
      <c r="I14112" s="0" t="s">
        <v>47034</v>
      </c>
      <c r="J14112" s="0" t="s">
        <v>47035</v>
      </c>
      <c r="K14112" s="0" t="s">
        <v>47036</v>
      </c>
      <c r="L14112" s="0" t="str">
        <f aca="false">HYPERLINK("https://www.ncbi.nlm.nih.gov/nuccore/CP000304.1?report=graph&amp;tracks=[key:gene_model_track,Options:GeneOnly]&amp;mk=3987760:3987779|offset_20|00cc00,3987793:3987812|offset_53|444444,3987814:3987833|offset_74|444444,3987848:3987867|offset_108|444444&amp;v=3987559:3988067&amp;c=444444", "offset 20")</f>
        <v>offset 20</v>
      </c>
    </row>
    <row r="14113" customFormat="false" ht="12.8" hidden="false" customHeight="false" outlineLevel="0" collapsed="false">
      <c r="A14113" s="0" t="s">
        <v>12</v>
      </c>
      <c r="B14113" s="0" t="n">
        <v>3987792</v>
      </c>
      <c r="C14113" s="0" t="n">
        <v>3987812</v>
      </c>
      <c r="D14113" s="0" t="s">
        <v>47033</v>
      </c>
      <c r="E14113" s="0" t="s">
        <v>89</v>
      </c>
      <c r="F14113" s="0" t="s">
        <v>15</v>
      </c>
      <c r="G14113" s="0" t="s">
        <v>32</v>
      </c>
      <c r="H14113" s="0" t="n">
        <v>53</v>
      </c>
      <c r="I14113" s="0" t="s">
        <v>47037</v>
      </c>
      <c r="J14113" s="0" t="s">
        <v>47038</v>
      </c>
      <c r="K14113" s="0" t="s">
        <v>47039</v>
      </c>
      <c r="L14113" s="0" t="str">
        <f aca="false">HYPERLINK("https://www.ncbi.nlm.nih.gov/nuccore/CP000304.1?report=graph&amp;tracks=[key:gene_model_track,Options:GeneOnly]&amp;mk=3987760:3987779|offset_20|444444,3987793:3987812|offset_53|00cc00,3987814:3987833|offset_74|444444,3987848:3987867|offset_108|444444&amp;v=3987559:3988067&amp;c=444444", "offset 53")</f>
        <v>offset 53</v>
      </c>
    </row>
    <row r="14114" customFormat="false" ht="12.8" hidden="false" customHeight="false" outlineLevel="0" collapsed="false">
      <c r="A14114" s="0" t="s">
        <v>12</v>
      </c>
      <c r="B14114" s="0" t="n">
        <v>3987813</v>
      </c>
      <c r="C14114" s="0" t="n">
        <v>3987833</v>
      </c>
      <c r="D14114" s="0" t="s">
        <v>47033</v>
      </c>
      <c r="E14114" s="0" t="s">
        <v>89</v>
      </c>
      <c r="F14114" s="0" t="s">
        <v>15</v>
      </c>
      <c r="G14114" s="0" t="s">
        <v>16</v>
      </c>
      <c r="H14114" s="0" t="n">
        <v>74</v>
      </c>
      <c r="I14114" s="0" t="s">
        <v>47040</v>
      </c>
      <c r="J14114" s="0" t="s">
        <v>47041</v>
      </c>
      <c r="K14114" s="0" t="s">
        <v>47042</v>
      </c>
      <c r="L14114" s="0" t="str">
        <f aca="false">HYPERLINK("https://www.ncbi.nlm.nih.gov/nuccore/CP000304.1?report=graph&amp;tracks=[key:gene_model_track,Options:GeneOnly]&amp;mk=3987760:3987779|offset_20|444444,3987793:3987812|offset_53|444444,3987814:3987833|offset_74|00cc00,3987848:3987867|offset_108|444444&amp;v=3987559:3988067&amp;c=444444", "offset 74")</f>
        <v>offset 74</v>
      </c>
    </row>
    <row r="14115" customFormat="false" ht="12.8" hidden="false" customHeight="false" outlineLevel="0" collapsed="false">
      <c r="A14115" s="0" t="s">
        <v>12</v>
      </c>
      <c r="B14115" s="0" t="n">
        <v>3987847</v>
      </c>
      <c r="C14115" s="0" t="n">
        <v>3987867</v>
      </c>
      <c r="D14115" s="0" t="s">
        <v>47033</v>
      </c>
      <c r="E14115" s="0" t="s">
        <v>89</v>
      </c>
      <c r="F14115" s="0" t="s">
        <v>15</v>
      </c>
      <c r="G14115" s="0" t="s">
        <v>16</v>
      </c>
      <c r="H14115" s="0" t="n">
        <v>108</v>
      </c>
      <c r="I14115" s="0" t="s">
        <v>47043</v>
      </c>
      <c r="J14115" s="0" t="s">
        <v>47044</v>
      </c>
      <c r="K14115" s="0" t="s">
        <v>47045</v>
      </c>
      <c r="L14115" s="0" t="str">
        <f aca="false">HYPERLINK("https://www.ncbi.nlm.nih.gov/nuccore/CP000304.1?report=graph&amp;tracks=[key:gene_model_track,Options:GeneOnly]&amp;mk=3987760:3987779|offset_20|444444,3987793:3987812|offset_53|444444,3987814:3987833|offset_74|444444,3987848:3987867|offset_108|00cc00&amp;v=3987559:3988067&amp;c=444444", "offset 108")</f>
        <v>offset 108</v>
      </c>
    </row>
    <row r="14116" customFormat="false" ht="12.8" hidden="false" customHeight="false" outlineLevel="0" collapsed="false">
      <c r="A14116" s="0" t="s">
        <v>12</v>
      </c>
      <c r="B14116" s="0" t="n">
        <v>3988706</v>
      </c>
      <c r="C14116" s="0" t="n">
        <v>3988726</v>
      </c>
      <c r="D14116" s="0" t="s">
        <v>47046</v>
      </c>
      <c r="E14116" s="0" t="s">
        <v>89</v>
      </c>
      <c r="F14116" s="0" t="s">
        <v>15</v>
      </c>
      <c r="G14116" s="0" t="s">
        <v>26</v>
      </c>
      <c r="H14116" s="0" t="n">
        <v>38</v>
      </c>
      <c r="I14116" s="0" t="s">
        <v>47047</v>
      </c>
      <c r="J14116" s="0" t="s">
        <v>47048</v>
      </c>
      <c r="K14116" s="0" t="s">
        <v>47049</v>
      </c>
      <c r="L14116" s="0" t="str">
        <f aca="false">HYPERLINK("https://www.ncbi.nlm.nih.gov/nuccore/CP000304.1?report=graph&amp;tracks=[key:gene_model_track,Options:GeneOnly]&amp;mk=3988707:3988726|offset_38|00cc00,3988751:3988770|offset_82|444444,3988784:3988803|offset_115|444444,3988808:3988827|offset_139|444444&amp;v=3988506:3989027&amp;c=444444", "offset 38")</f>
        <v>offset 38</v>
      </c>
    </row>
    <row r="14117" customFormat="false" ht="12.8" hidden="false" customHeight="false" outlineLevel="0" collapsed="false">
      <c r="A14117" s="0" t="s">
        <v>12</v>
      </c>
      <c r="B14117" s="0" t="n">
        <v>3988750</v>
      </c>
      <c r="C14117" s="0" t="n">
        <v>3988770</v>
      </c>
      <c r="D14117" s="0" t="s">
        <v>47046</v>
      </c>
      <c r="E14117" s="0" t="s">
        <v>89</v>
      </c>
      <c r="F14117" s="0" t="s">
        <v>15</v>
      </c>
      <c r="G14117" s="0" t="s">
        <v>16</v>
      </c>
      <c r="H14117" s="0" t="n">
        <v>82</v>
      </c>
      <c r="I14117" s="0" t="s">
        <v>47050</v>
      </c>
      <c r="J14117" s="0" t="s">
        <v>47051</v>
      </c>
      <c r="K14117" s="0" t="s">
        <v>47052</v>
      </c>
      <c r="L14117" s="0" t="str">
        <f aca="false">HYPERLINK("https://www.ncbi.nlm.nih.gov/nuccore/CP000304.1?report=graph&amp;tracks=[key:gene_model_track,Options:GeneOnly]&amp;mk=3988707:3988726|offset_38|444444,3988751:3988770|offset_82|00cc00,3988784:3988803|offset_115|444444,3988808:3988827|offset_139|444444&amp;v=3988506:3989027&amp;c=444444", "offset 82")</f>
        <v>offset 82</v>
      </c>
    </row>
    <row r="14118" customFormat="false" ht="12.8" hidden="false" customHeight="false" outlineLevel="0" collapsed="false">
      <c r="A14118" s="0" t="s">
        <v>12</v>
      </c>
      <c r="B14118" s="0" t="n">
        <v>3988783</v>
      </c>
      <c r="C14118" s="0" t="n">
        <v>3988803</v>
      </c>
      <c r="D14118" s="0" t="s">
        <v>47046</v>
      </c>
      <c r="E14118" s="0" t="s">
        <v>89</v>
      </c>
      <c r="F14118" s="0" t="s">
        <v>15</v>
      </c>
      <c r="G14118" s="0" t="s">
        <v>36</v>
      </c>
      <c r="H14118" s="0" t="n">
        <v>115</v>
      </c>
      <c r="I14118" s="0" t="s">
        <v>47053</v>
      </c>
      <c r="J14118" s="0" t="s">
        <v>47054</v>
      </c>
      <c r="K14118" s="0" t="s">
        <v>47055</v>
      </c>
      <c r="L14118" s="0" t="str">
        <f aca="false">HYPERLINK("https://www.ncbi.nlm.nih.gov/nuccore/CP000304.1?report=graph&amp;tracks=[key:gene_model_track,Options:GeneOnly]&amp;mk=3988707:3988726|offset_38|444444,3988751:3988770|offset_82|444444,3988784:3988803|offset_115|00cc00,3988808:3988827|offset_139|444444&amp;v=3988506:3989027&amp;c=444444", "offset 115")</f>
        <v>offset 115</v>
      </c>
    </row>
    <row r="14119" customFormat="false" ht="12.8" hidden="false" customHeight="false" outlineLevel="0" collapsed="false">
      <c r="A14119" s="0" t="s">
        <v>12</v>
      </c>
      <c r="B14119" s="0" t="n">
        <v>3988807</v>
      </c>
      <c r="C14119" s="0" t="n">
        <v>3988827</v>
      </c>
      <c r="D14119" s="0" t="s">
        <v>47046</v>
      </c>
      <c r="E14119" s="0" t="s">
        <v>89</v>
      </c>
      <c r="F14119" s="0" t="s">
        <v>15</v>
      </c>
      <c r="G14119" s="0" t="s">
        <v>26</v>
      </c>
      <c r="H14119" s="0" t="n">
        <v>139</v>
      </c>
      <c r="I14119" s="0" t="s">
        <v>47056</v>
      </c>
      <c r="J14119" s="0" t="s">
        <v>47057</v>
      </c>
      <c r="K14119" s="0" t="s">
        <v>47058</v>
      </c>
      <c r="L14119" s="0" t="str">
        <f aca="false">HYPERLINK("https://www.ncbi.nlm.nih.gov/nuccore/CP000304.1?report=graph&amp;tracks=[key:gene_model_track,Options:GeneOnly]&amp;mk=3988707:3988726|offset_38|444444,3988751:3988770|offset_82|444444,3988784:3988803|offset_115|444444,3988808:3988827|offset_139|00cc00&amp;v=3988506:3989027&amp;c=444444", "offset 139")</f>
        <v>offset 139</v>
      </c>
    </row>
    <row r="14120" customFormat="false" ht="12.8" hidden="false" customHeight="false" outlineLevel="0" collapsed="false">
      <c r="A14120" s="0" t="s">
        <v>12</v>
      </c>
      <c r="B14120" s="0" t="n">
        <v>3990746</v>
      </c>
      <c r="C14120" s="0" t="n">
        <v>3990766</v>
      </c>
      <c r="D14120" s="0" t="s">
        <v>47059</v>
      </c>
      <c r="E14120" s="0" t="s">
        <v>89</v>
      </c>
      <c r="F14120" s="0" t="s">
        <v>15</v>
      </c>
      <c r="G14120" s="0" t="s">
        <v>16</v>
      </c>
      <c r="H14120" s="0" t="n">
        <v>736</v>
      </c>
      <c r="I14120" s="0" t="s">
        <v>47060</v>
      </c>
      <c r="J14120" s="0" t="s">
        <v>47061</v>
      </c>
      <c r="K14120" s="0" t="s">
        <v>47062</v>
      </c>
      <c r="L14120" s="0" t="str">
        <f aca="false">HYPERLINK("https://www.ncbi.nlm.nih.gov/nuccore/CP000304.1?report=graph&amp;tracks=[key:gene_model_track,Options:GeneOnly]&amp;mk=3990747:3990766|offset_736|00cc00,3990805:3990824|offset_794|444444,3990827:3990846|offset_816|444444,3990849:3990868|offset_838|444444&amp;v=3990546:3991068&amp;c=444444", "offset 736")</f>
        <v>offset 736</v>
      </c>
    </row>
    <row r="14121" customFormat="false" ht="12.8" hidden="false" customHeight="false" outlineLevel="0" collapsed="false">
      <c r="A14121" s="0" t="s">
        <v>12</v>
      </c>
      <c r="B14121" s="0" t="n">
        <v>3990804</v>
      </c>
      <c r="C14121" s="0" t="n">
        <v>3990824</v>
      </c>
      <c r="D14121" s="0" t="s">
        <v>47059</v>
      </c>
      <c r="E14121" s="0" t="s">
        <v>89</v>
      </c>
      <c r="F14121" s="0" t="s">
        <v>15</v>
      </c>
      <c r="G14121" s="0" t="s">
        <v>16</v>
      </c>
      <c r="H14121" s="0" t="n">
        <v>794</v>
      </c>
      <c r="I14121" s="0" t="s">
        <v>47063</v>
      </c>
      <c r="J14121" s="0" t="s">
        <v>47064</v>
      </c>
      <c r="K14121" s="0" t="s">
        <v>47065</v>
      </c>
      <c r="L14121" s="0" t="str">
        <f aca="false">HYPERLINK("https://www.ncbi.nlm.nih.gov/nuccore/CP000304.1?report=graph&amp;tracks=[key:gene_model_track,Options:GeneOnly]&amp;mk=3990747:3990766|offset_736|444444,3990805:3990824|offset_794|00cc00,3990827:3990846|offset_816|444444,3990849:3990868|offset_838|444444&amp;v=3990546:3991068&amp;c=444444", "offset 794")</f>
        <v>offset 794</v>
      </c>
    </row>
    <row r="14122" customFormat="false" ht="12.8" hidden="false" customHeight="false" outlineLevel="0" collapsed="false">
      <c r="A14122" s="0" t="s">
        <v>12</v>
      </c>
      <c r="B14122" s="0" t="n">
        <v>3990826</v>
      </c>
      <c r="C14122" s="0" t="n">
        <v>3990846</v>
      </c>
      <c r="D14122" s="0" t="s">
        <v>47059</v>
      </c>
      <c r="E14122" s="0" t="s">
        <v>89</v>
      </c>
      <c r="F14122" s="0" t="s">
        <v>15</v>
      </c>
      <c r="G14122" s="0" t="s">
        <v>16</v>
      </c>
      <c r="H14122" s="0" t="n">
        <v>816</v>
      </c>
      <c r="I14122" s="0" t="s">
        <v>47066</v>
      </c>
      <c r="J14122" s="0" t="s">
        <v>47067</v>
      </c>
      <c r="K14122" s="0" t="s">
        <v>47068</v>
      </c>
      <c r="L14122" s="0" t="str">
        <f aca="false">HYPERLINK("https://www.ncbi.nlm.nih.gov/nuccore/CP000304.1?report=graph&amp;tracks=[key:gene_model_track,Options:GeneOnly]&amp;mk=3990747:3990766|offset_736|444444,3990805:3990824|offset_794|444444,3990827:3990846|offset_816|00cc00,3990849:3990868|offset_838|444444&amp;v=3990546:3991068&amp;c=444444", "offset 816")</f>
        <v>offset 816</v>
      </c>
    </row>
    <row r="14123" customFormat="false" ht="12.8" hidden="false" customHeight="false" outlineLevel="0" collapsed="false">
      <c r="A14123" s="0" t="s">
        <v>12</v>
      </c>
      <c r="B14123" s="0" t="n">
        <v>3990848</v>
      </c>
      <c r="C14123" s="0" t="n">
        <v>3990868</v>
      </c>
      <c r="D14123" s="0" t="s">
        <v>47059</v>
      </c>
      <c r="E14123" s="0" t="s">
        <v>89</v>
      </c>
      <c r="F14123" s="0" t="s">
        <v>15</v>
      </c>
      <c r="G14123" s="0" t="s">
        <v>36</v>
      </c>
      <c r="H14123" s="0" t="n">
        <v>838</v>
      </c>
      <c r="I14123" s="0" t="s">
        <v>47069</v>
      </c>
      <c r="J14123" s="0" t="s">
        <v>47070</v>
      </c>
      <c r="K14123" s="0" t="s">
        <v>47071</v>
      </c>
      <c r="L14123" s="0" t="str">
        <f aca="false">HYPERLINK("https://www.ncbi.nlm.nih.gov/nuccore/CP000304.1?report=graph&amp;tracks=[key:gene_model_track,Options:GeneOnly]&amp;mk=3990747:3990766|offset_736|444444,3990805:3990824|offset_794|444444,3990827:3990846|offset_816|444444,3990849:3990868|offset_838|00cc00&amp;v=3990546:3991068&amp;c=444444", "offset 838")</f>
        <v>offset 838</v>
      </c>
    </row>
    <row r="14124" customFormat="false" ht="12.8" hidden="false" customHeight="false" outlineLevel="0" collapsed="false">
      <c r="A14124" s="0" t="s">
        <v>12</v>
      </c>
      <c r="B14124" s="0" t="n">
        <v>3991143</v>
      </c>
      <c r="C14124" s="0" t="n">
        <v>3991163</v>
      </c>
      <c r="D14124" s="0" t="s">
        <v>47072</v>
      </c>
      <c r="E14124" s="0" t="s">
        <v>89</v>
      </c>
      <c r="F14124" s="0" t="s">
        <v>15</v>
      </c>
      <c r="G14124" s="0" t="s">
        <v>36</v>
      </c>
      <c r="H14124" s="0" t="n">
        <v>0</v>
      </c>
      <c r="I14124" s="0" t="s">
        <v>47073</v>
      </c>
      <c r="J14124" s="0" t="s">
        <v>47074</v>
      </c>
      <c r="K14124" s="0" t="s">
        <v>47075</v>
      </c>
      <c r="L14124" s="0" t="str">
        <f aca="false">HYPERLINK("https://www.ncbi.nlm.nih.gov/nuccore/CP000304.1?report=graph&amp;tracks=[key:gene_model_track,Options:GeneOnly]&amp;mk=3991144:3991163|offset_0|00cc00,3991168:3991187|offset_24|444444,3991194:3991213|offset_50|444444,3991217:3991236|offset_73|444444&amp;v=3990943:3991436&amp;c=444444", "offset 0")</f>
        <v>offset 0</v>
      </c>
    </row>
    <row r="14125" customFormat="false" ht="12.8" hidden="false" customHeight="false" outlineLevel="0" collapsed="false">
      <c r="A14125" s="0" t="s">
        <v>12</v>
      </c>
      <c r="B14125" s="0" t="n">
        <v>3991167</v>
      </c>
      <c r="C14125" s="0" t="n">
        <v>3991187</v>
      </c>
      <c r="D14125" s="0" t="s">
        <v>47072</v>
      </c>
      <c r="E14125" s="0" t="s">
        <v>89</v>
      </c>
      <c r="F14125" s="0" t="s">
        <v>15</v>
      </c>
      <c r="G14125" s="0" t="s">
        <v>36</v>
      </c>
      <c r="H14125" s="0" t="n">
        <v>24</v>
      </c>
      <c r="I14125" s="0" t="s">
        <v>47076</v>
      </c>
      <c r="J14125" s="0" t="s">
        <v>47077</v>
      </c>
      <c r="K14125" s="0" t="s">
        <v>47078</v>
      </c>
      <c r="L14125" s="0" t="str">
        <f aca="false">HYPERLINK("https://www.ncbi.nlm.nih.gov/nuccore/CP000304.1?report=graph&amp;tracks=[key:gene_model_track,Options:GeneOnly]&amp;mk=3991144:3991163|offset_0|444444,3991168:3991187|offset_24|00cc00,3991194:3991213|offset_50|444444,3991217:3991236|offset_73|444444&amp;v=3990943:3991436&amp;c=444444", "offset 24")</f>
        <v>offset 24</v>
      </c>
    </row>
    <row r="14126" customFormat="false" ht="12.8" hidden="false" customHeight="false" outlineLevel="0" collapsed="false">
      <c r="A14126" s="0" t="s">
        <v>12</v>
      </c>
      <c r="B14126" s="0" t="n">
        <v>3991193</v>
      </c>
      <c r="C14126" s="0" t="n">
        <v>3991213</v>
      </c>
      <c r="D14126" s="0" t="s">
        <v>47072</v>
      </c>
      <c r="E14126" s="0" t="s">
        <v>89</v>
      </c>
      <c r="F14126" s="0" t="s">
        <v>15</v>
      </c>
      <c r="G14126" s="0" t="s">
        <v>32</v>
      </c>
      <c r="H14126" s="0" t="n">
        <v>50</v>
      </c>
      <c r="I14126" s="0" t="s">
        <v>47079</v>
      </c>
      <c r="J14126" s="0" t="s">
        <v>47080</v>
      </c>
      <c r="K14126" s="0" t="s">
        <v>47081</v>
      </c>
      <c r="L14126" s="0" t="str">
        <f aca="false">HYPERLINK("https://www.ncbi.nlm.nih.gov/nuccore/CP000304.1?report=graph&amp;tracks=[key:gene_model_track,Options:GeneOnly]&amp;mk=3991144:3991163|offset_0|444444,3991168:3991187|offset_24|444444,3991194:3991213|offset_50|00cc00,3991217:3991236|offset_73|444444&amp;v=3990943:3991436&amp;c=444444", "offset 50")</f>
        <v>offset 50</v>
      </c>
    </row>
    <row r="14127" customFormat="false" ht="12.8" hidden="false" customHeight="false" outlineLevel="0" collapsed="false">
      <c r="A14127" s="0" t="s">
        <v>12</v>
      </c>
      <c r="B14127" s="0" t="n">
        <v>3991216</v>
      </c>
      <c r="C14127" s="0" t="n">
        <v>3991236</v>
      </c>
      <c r="D14127" s="0" t="s">
        <v>47072</v>
      </c>
      <c r="E14127" s="0" t="s">
        <v>89</v>
      </c>
      <c r="F14127" s="0" t="s">
        <v>15</v>
      </c>
      <c r="G14127" s="0" t="s">
        <v>36</v>
      </c>
      <c r="H14127" s="0" t="n">
        <v>73</v>
      </c>
      <c r="I14127" s="0" t="s">
        <v>47082</v>
      </c>
      <c r="J14127" s="0" t="s">
        <v>47083</v>
      </c>
      <c r="K14127" s="0" t="s">
        <v>47084</v>
      </c>
      <c r="L14127" s="0" t="str">
        <f aca="false">HYPERLINK("https://www.ncbi.nlm.nih.gov/nuccore/CP000304.1?report=graph&amp;tracks=[key:gene_model_track,Options:GeneOnly]&amp;mk=3991144:3991163|offset_0|444444,3991168:3991187|offset_24|444444,3991194:3991213|offset_50|444444,3991217:3991236|offset_73|00cc00&amp;v=3990943:3991436&amp;c=444444", "offset 73")</f>
        <v>offset 73</v>
      </c>
    </row>
    <row r="14128" customFormat="false" ht="12.8" hidden="false" customHeight="false" outlineLevel="0" collapsed="false">
      <c r="A14128" s="0" t="s">
        <v>12</v>
      </c>
      <c r="B14128" s="0" t="n">
        <v>3995444</v>
      </c>
      <c r="C14128" s="0" t="n">
        <v>3995464</v>
      </c>
      <c r="D14128" s="0" t="s">
        <v>47085</v>
      </c>
      <c r="E14128" s="0" t="s">
        <v>89</v>
      </c>
      <c r="F14128" s="0" t="s">
        <v>90</v>
      </c>
      <c r="G14128" s="0" t="s">
        <v>16</v>
      </c>
      <c r="H14128" s="0" t="n">
        <v>7</v>
      </c>
      <c r="I14128" s="0" t="s">
        <v>47086</v>
      </c>
      <c r="J14128" s="0" t="s">
        <v>47087</v>
      </c>
      <c r="K14128" s="0" t="s">
        <v>47088</v>
      </c>
      <c r="L14128" s="0" t="str">
        <f aca="false">HYPERLINK("https://www.ncbi.nlm.nih.gov/nuccore/CP000304.1?report=graph&amp;tracks=[key:gene_model_track,Options:GeneOnly]&amp;mk=3995445:3995464|offset_7|00cc00,3995409:3995428|offset_43|444444,3995387:3995406|offset_65|444444,3995349:3995368|offset_103|444444&amp;v=3995244:3995568&amp;c=444444", "offset 7")</f>
        <v>offset 7</v>
      </c>
    </row>
    <row r="14129" customFormat="false" ht="12.8" hidden="false" customHeight="false" outlineLevel="0" collapsed="false">
      <c r="A14129" s="0" t="s">
        <v>12</v>
      </c>
      <c r="B14129" s="0" t="n">
        <v>3995408</v>
      </c>
      <c r="C14129" s="0" t="n">
        <v>3995428</v>
      </c>
      <c r="D14129" s="0" t="s">
        <v>47085</v>
      </c>
      <c r="E14129" s="0" t="s">
        <v>89</v>
      </c>
      <c r="F14129" s="0" t="s">
        <v>90</v>
      </c>
      <c r="G14129" s="0" t="s">
        <v>16</v>
      </c>
      <c r="H14129" s="0" t="n">
        <v>43</v>
      </c>
      <c r="I14129" s="0" t="s">
        <v>47089</v>
      </c>
      <c r="J14129" s="0" t="s">
        <v>47090</v>
      </c>
      <c r="K14129" s="0" t="s">
        <v>47091</v>
      </c>
      <c r="L14129" s="0" t="str">
        <f aca="false">HYPERLINK("https://www.ncbi.nlm.nih.gov/nuccore/CP000304.1?report=graph&amp;tracks=[key:gene_model_track,Options:GeneOnly]&amp;mk=3995445:3995464|offset_7|444444,3995409:3995428|offset_43|00cc00,3995387:3995406|offset_65|444444,3995349:3995368|offset_103|444444&amp;v=3995244:3995568&amp;c=444444", "offset 43")</f>
        <v>offset 43</v>
      </c>
    </row>
    <row r="14130" customFormat="false" ht="12.8" hidden="false" customHeight="false" outlineLevel="0" collapsed="false">
      <c r="A14130" s="0" t="s">
        <v>12</v>
      </c>
      <c r="B14130" s="0" t="n">
        <v>3995386</v>
      </c>
      <c r="C14130" s="0" t="n">
        <v>3995406</v>
      </c>
      <c r="D14130" s="0" t="s">
        <v>47085</v>
      </c>
      <c r="E14130" s="0" t="s">
        <v>89</v>
      </c>
      <c r="F14130" s="0" t="s">
        <v>90</v>
      </c>
      <c r="G14130" s="0" t="s">
        <v>32</v>
      </c>
      <c r="H14130" s="0" t="n">
        <v>65</v>
      </c>
      <c r="I14130" s="0" t="s">
        <v>47092</v>
      </c>
      <c r="J14130" s="0" t="s">
        <v>47093</v>
      </c>
      <c r="K14130" s="0" t="s">
        <v>47094</v>
      </c>
      <c r="L14130" s="0" t="str">
        <f aca="false">HYPERLINK("https://www.ncbi.nlm.nih.gov/nuccore/CP000304.1?report=graph&amp;tracks=[key:gene_model_track,Options:GeneOnly]&amp;mk=3995445:3995464|offset_7|444444,3995409:3995428|offset_43|444444,3995387:3995406|offset_65|00cc00,3995349:3995368|offset_103|444444&amp;v=3995244:3995568&amp;c=444444", "offset 65")</f>
        <v>offset 65</v>
      </c>
    </row>
    <row r="14131" customFormat="false" ht="12.8" hidden="false" customHeight="false" outlineLevel="0" collapsed="false">
      <c r="A14131" s="0" t="s">
        <v>12</v>
      </c>
      <c r="B14131" s="0" t="n">
        <v>3995348</v>
      </c>
      <c r="C14131" s="0" t="n">
        <v>3995368</v>
      </c>
      <c r="D14131" s="0" t="s">
        <v>47085</v>
      </c>
      <c r="E14131" s="0" t="s">
        <v>89</v>
      </c>
      <c r="F14131" s="0" t="s">
        <v>90</v>
      </c>
      <c r="G14131" s="0" t="s">
        <v>16</v>
      </c>
      <c r="H14131" s="0" t="n">
        <v>103</v>
      </c>
      <c r="I14131" s="0" t="s">
        <v>47095</v>
      </c>
      <c r="J14131" s="0" t="s">
        <v>47096</v>
      </c>
      <c r="K14131" s="0" t="s">
        <v>47097</v>
      </c>
      <c r="L14131" s="0" t="str">
        <f aca="false">HYPERLINK("https://www.ncbi.nlm.nih.gov/nuccore/CP000304.1?report=graph&amp;tracks=[key:gene_model_track,Options:GeneOnly]&amp;mk=3995445:3995464|offset_7|444444,3995409:3995428|offset_43|444444,3995387:3995406|offset_65|444444,3995349:3995368|offset_103|00cc00&amp;v=3995244:3995568&amp;c=444444", "offset 103")</f>
        <v>offset 103</v>
      </c>
    </row>
    <row r="14132" customFormat="false" ht="12.8" hidden="false" customHeight="false" outlineLevel="0" collapsed="false">
      <c r="A14132" s="0" t="s">
        <v>12</v>
      </c>
      <c r="B14132" s="0" t="n">
        <v>3996503</v>
      </c>
      <c r="C14132" s="0" t="n">
        <v>3996523</v>
      </c>
      <c r="D14132" s="0" t="s">
        <v>47098</v>
      </c>
      <c r="E14132" s="0" t="s">
        <v>89</v>
      </c>
      <c r="F14132" s="0" t="s">
        <v>90</v>
      </c>
      <c r="G14132" s="0" t="s">
        <v>32</v>
      </c>
      <c r="H14132" s="0" t="n">
        <v>1</v>
      </c>
      <c r="I14132" s="0" t="s">
        <v>47099</v>
      </c>
      <c r="J14132" s="0" t="s">
        <v>47100</v>
      </c>
      <c r="K14132" s="0" t="s">
        <v>47101</v>
      </c>
      <c r="L14132" s="0" t="str">
        <f aca="false">HYPERLINK("https://www.ncbi.nlm.nih.gov/nuccore/CP000304.1?report=graph&amp;tracks=[key:gene_model_track,Options:GeneOnly]&amp;mk=3996504:3996523|offset_1|00cc00,3996478:3996497|offset_27|444444,3996454:3996473|offset_51|444444,3996417:3996436|offset_88|444444&amp;v=3996303:3996636&amp;c=444444", "offset 1")</f>
        <v>offset 1</v>
      </c>
    </row>
    <row r="14133" customFormat="false" ht="12.8" hidden="false" customHeight="false" outlineLevel="0" collapsed="false">
      <c r="A14133" s="0" t="s">
        <v>12</v>
      </c>
      <c r="B14133" s="0" t="n">
        <v>3996477</v>
      </c>
      <c r="C14133" s="0" t="n">
        <v>3996497</v>
      </c>
      <c r="D14133" s="0" t="s">
        <v>47098</v>
      </c>
      <c r="E14133" s="0" t="s">
        <v>89</v>
      </c>
      <c r="F14133" s="0" t="s">
        <v>90</v>
      </c>
      <c r="G14133" s="0" t="s">
        <v>26</v>
      </c>
      <c r="H14133" s="0" t="n">
        <v>27</v>
      </c>
      <c r="I14133" s="0" t="s">
        <v>47102</v>
      </c>
      <c r="J14133" s="0" t="s">
        <v>47103</v>
      </c>
      <c r="K14133" s="0" t="s">
        <v>47104</v>
      </c>
      <c r="L14133" s="0" t="str">
        <f aca="false">HYPERLINK("https://www.ncbi.nlm.nih.gov/nuccore/CP000304.1?report=graph&amp;tracks=[key:gene_model_track,Options:GeneOnly]&amp;mk=3996504:3996523|offset_1|444444,3996478:3996497|offset_27|00cc00,3996454:3996473|offset_51|444444,3996417:3996436|offset_88|444444&amp;v=3996303:3996636&amp;c=444444", "offset 27")</f>
        <v>offset 27</v>
      </c>
    </row>
    <row r="14134" customFormat="false" ht="12.8" hidden="false" customHeight="false" outlineLevel="0" collapsed="false">
      <c r="A14134" s="0" t="s">
        <v>12</v>
      </c>
      <c r="B14134" s="0" t="n">
        <v>3996453</v>
      </c>
      <c r="C14134" s="0" t="n">
        <v>3996473</v>
      </c>
      <c r="D14134" s="0" t="s">
        <v>47098</v>
      </c>
      <c r="E14134" s="0" t="s">
        <v>89</v>
      </c>
      <c r="F14134" s="0" t="s">
        <v>90</v>
      </c>
      <c r="G14134" s="0" t="s">
        <v>36</v>
      </c>
      <c r="H14134" s="0" t="n">
        <v>51</v>
      </c>
      <c r="I14134" s="0" t="s">
        <v>47105</v>
      </c>
      <c r="J14134" s="0" t="s">
        <v>47106</v>
      </c>
      <c r="K14134" s="0" t="s">
        <v>47107</v>
      </c>
      <c r="L14134" s="0" t="str">
        <f aca="false">HYPERLINK("https://www.ncbi.nlm.nih.gov/nuccore/CP000304.1?report=graph&amp;tracks=[key:gene_model_track,Options:GeneOnly]&amp;mk=3996504:3996523|offset_1|444444,3996478:3996497|offset_27|444444,3996454:3996473|offset_51|00cc00,3996417:3996436|offset_88|444444&amp;v=3996303:3996636&amp;c=444444", "offset 51")</f>
        <v>offset 51</v>
      </c>
    </row>
    <row r="14135" customFormat="false" ht="12.8" hidden="false" customHeight="false" outlineLevel="0" collapsed="false">
      <c r="A14135" s="0" t="s">
        <v>12</v>
      </c>
      <c r="B14135" s="0" t="n">
        <v>3996416</v>
      </c>
      <c r="C14135" s="0" t="n">
        <v>3996436</v>
      </c>
      <c r="D14135" s="0" t="s">
        <v>47098</v>
      </c>
      <c r="E14135" s="0" t="s">
        <v>89</v>
      </c>
      <c r="F14135" s="0" t="s">
        <v>90</v>
      </c>
      <c r="G14135" s="0" t="s">
        <v>16</v>
      </c>
      <c r="H14135" s="0" t="n">
        <v>88</v>
      </c>
      <c r="I14135" s="0" t="s">
        <v>47108</v>
      </c>
      <c r="J14135" s="0" t="s">
        <v>47109</v>
      </c>
      <c r="K14135" s="0" t="s">
        <v>47110</v>
      </c>
      <c r="L14135" s="0" t="str">
        <f aca="false">HYPERLINK("https://www.ncbi.nlm.nih.gov/nuccore/CP000304.1?report=graph&amp;tracks=[key:gene_model_track,Options:GeneOnly]&amp;mk=3996504:3996523|offset_1|444444,3996478:3996497|offset_27|444444,3996454:3996473|offset_51|444444,3996417:3996436|offset_88|00cc00&amp;v=3996303:3996636&amp;c=444444", "offset 88")</f>
        <v>offset 88</v>
      </c>
    </row>
    <row r="14136" customFormat="false" ht="12.8" hidden="false" customHeight="false" outlineLevel="0" collapsed="false">
      <c r="A14136" s="0" t="s">
        <v>12</v>
      </c>
      <c r="B14136" s="0" t="n">
        <v>3997278</v>
      </c>
      <c r="C14136" s="0" t="n">
        <v>3997298</v>
      </c>
      <c r="D14136" s="0" t="s">
        <v>47111</v>
      </c>
      <c r="E14136" s="0" t="s">
        <v>89</v>
      </c>
      <c r="F14136" s="0" t="s">
        <v>90</v>
      </c>
      <c r="G14136" s="0" t="s">
        <v>32</v>
      </c>
      <c r="H14136" s="0" t="n">
        <v>1</v>
      </c>
      <c r="I14136" s="0" t="s">
        <v>47112</v>
      </c>
      <c r="J14136" s="0" t="s">
        <v>47113</v>
      </c>
      <c r="K14136" s="0" t="s">
        <v>47114</v>
      </c>
      <c r="L14136" s="0" t="str">
        <f aca="false">HYPERLINK("https://www.ncbi.nlm.nih.gov/nuccore/CP000304.1?report=graph&amp;tracks=[key:gene_model_track,Options:GeneOnly]&amp;mk=3997279:3997298|offset_1|00cc00,3997249:3997268|offset_31|444444,3997224:3997243|offset_56|444444,3997197:3997216|offset_83|444444&amp;v=3997078:3997416&amp;c=444444", "offset 1")</f>
        <v>offset 1</v>
      </c>
    </row>
    <row r="14137" customFormat="false" ht="12.8" hidden="false" customHeight="false" outlineLevel="0" collapsed="false">
      <c r="A14137" s="0" t="s">
        <v>12</v>
      </c>
      <c r="B14137" s="0" t="n">
        <v>3997248</v>
      </c>
      <c r="C14137" s="0" t="n">
        <v>3997268</v>
      </c>
      <c r="D14137" s="0" t="s">
        <v>47111</v>
      </c>
      <c r="E14137" s="0" t="s">
        <v>89</v>
      </c>
      <c r="F14137" s="0" t="s">
        <v>90</v>
      </c>
      <c r="G14137" s="0" t="s">
        <v>16</v>
      </c>
      <c r="H14137" s="0" t="n">
        <v>31</v>
      </c>
      <c r="I14137" s="0" t="s">
        <v>47115</v>
      </c>
      <c r="J14137" s="0" t="s">
        <v>47116</v>
      </c>
      <c r="K14137" s="0" t="s">
        <v>47117</v>
      </c>
      <c r="L14137" s="0" t="str">
        <f aca="false">HYPERLINK("https://www.ncbi.nlm.nih.gov/nuccore/CP000304.1?report=graph&amp;tracks=[key:gene_model_track,Options:GeneOnly]&amp;mk=3997279:3997298|offset_1|444444,3997249:3997268|offset_31|00cc00,3997224:3997243|offset_56|444444,3997197:3997216|offset_83|444444&amp;v=3997078:3997416&amp;c=444444", "offset 31")</f>
        <v>offset 31</v>
      </c>
    </row>
    <row r="14138" customFormat="false" ht="12.8" hidden="false" customHeight="false" outlineLevel="0" collapsed="false">
      <c r="A14138" s="0" t="s">
        <v>12</v>
      </c>
      <c r="B14138" s="0" t="n">
        <v>3997223</v>
      </c>
      <c r="C14138" s="0" t="n">
        <v>3997243</v>
      </c>
      <c r="D14138" s="0" t="s">
        <v>47111</v>
      </c>
      <c r="E14138" s="0" t="s">
        <v>89</v>
      </c>
      <c r="F14138" s="0" t="s">
        <v>90</v>
      </c>
      <c r="G14138" s="0" t="s">
        <v>26</v>
      </c>
      <c r="H14138" s="0" t="n">
        <v>56</v>
      </c>
      <c r="I14138" s="0" t="s">
        <v>47118</v>
      </c>
      <c r="J14138" s="0" t="s">
        <v>47119</v>
      </c>
      <c r="K14138" s="0" t="s">
        <v>47120</v>
      </c>
      <c r="L14138" s="0" t="str">
        <f aca="false">HYPERLINK("https://www.ncbi.nlm.nih.gov/nuccore/CP000304.1?report=graph&amp;tracks=[key:gene_model_track,Options:GeneOnly]&amp;mk=3997279:3997298|offset_1|444444,3997249:3997268|offset_31|444444,3997224:3997243|offset_56|00cc00,3997197:3997216|offset_83|444444&amp;v=3997078:3997416&amp;c=444444", "offset 56")</f>
        <v>offset 56</v>
      </c>
    </row>
    <row r="14139" customFormat="false" ht="12.8" hidden="false" customHeight="false" outlineLevel="0" collapsed="false">
      <c r="A14139" s="0" t="s">
        <v>12</v>
      </c>
      <c r="B14139" s="0" t="n">
        <v>3997196</v>
      </c>
      <c r="C14139" s="0" t="n">
        <v>3997216</v>
      </c>
      <c r="D14139" s="0" t="s">
        <v>47111</v>
      </c>
      <c r="E14139" s="0" t="s">
        <v>89</v>
      </c>
      <c r="F14139" s="0" t="s">
        <v>90</v>
      </c>
      <c r="G14139" s="0" t="s">
        <v>26</v>
      </c>
      <c r="H14139" s="0" t="n">
        <v>83</v>
      </c>
      <c r="I14139" s="0" t="s">
        <v>47121</v>
      </c>
      <c r="J14139" s="0" t="s">
        <v>47122</v>
      </c>
      <c r="K14139" s="0" t="s">
        <v>47123</v>
      </c>
      <c r="L14139" s="0" t="str">
        <f aca="false">HYPERLINK("https://www.ncbi.nlm.nih.gov/nuccore/CP000304.1?report=graph&amp;tracks=[key:gene_model_track,Options:GeneOnly]&amp;mk=3997279:3997298|offset_1|444444,3997249:3997268|offset_31|444444,3997224:3997243|offset_56|444444,3997197:3997216|offset_83|00cc00&amp;v=3997078:3997416&amp;c=444444", "offset 83")</f>
        <v>offset 83</v>
      </c>
    </row>
    <row r="14140" customFormat="false" ht="12.8" hidden="false" customHeight="false" outlineLevel="0" collapsed="false">
      <c r="A14140" s="0" t="s">
        <v>12</v>
      </c>
      <c r="B14140" s="0" t="n">
        <v>3998132</v>
      </c>
      <c r="C14140" s="0" t="n">
        <v>3998152</v>
      </c>
      <c r="D14140" s="0" t="s">
        <v>47124</v>
      </c>
      <c r="E14140" s="0" t="s">
        <v>89</v>
      </c>
      <c r="F14140" s="0" t="s">
        <v>90</v>
      </c>
      <c r="G14140" s="0" t="s">
        <v>36</v>
      </c>
      <c r="H14140" s="0" t="n">
        <v>23</v>
      </c>
      <c r="I14140" s="0" t="s">
        <v>47125</v>
      </c>
      <c r="J14140" s="0" t="s">
        <v>47126</v>
      </c>
      <c r="K14140" s="0" t="s">
        <v>47127</v>
      </c>
      <c r="L14140" s="0" t="str">
        <f aca="false">HYPERLINK("https://www.ncbi.nlm.nih.gov/nuccore/CP000304.1?report=graph&amp;tracks=[key:gene_model_track,Options:GeneOnly]&amp;mk=3998133:3998152|offset_23|00cc00,3998085:3998104|offset_71|444444,3998047:3998066|offset_109|444444,3998016:3998035|offset_140|444444&amp;v=3997932:3998235&amp;c=444444", "offset 23")</f>
        <v>offset 23</v>
      </c>
    </row>
    <row r="14141" customFormat="false" ht="12.8" hidden="false" customHeight="false" outlineLevel="0" collapsed="false">
      <c r="A14141" s="0" t="s">
        <v>12</v>
      </c>
      <c r="B14141" s="0" t="n">
        <v>3998084</v>
      </c>
      <c r="C14141" s="0" t="n">
        <v>3998104</v>
      </c>
      <c r="D14141" s="0" t="s">
        <v>47124</v>
      </c>
      <c r="E14141" s="0" t="s">
        <v>89</v>
      </c>
      <c r="F14141" s="0" t="s">
        <v>90</v>
      </c>
      <c r="G14141" s="0" t="s">
        <v>26</v>
      </c>
      <c r="H14141" s="0" t="n">
        <v>71</v>
      </c>
      <c r="I14141" s="0" t="s">
        <v>47128</v>
      </c>
      <c r="J14141" s="0" t="s">
        <v>47129</v>
      </c>
      <c r="K14141" s="0" t="s">
        <v>47130</v>
      </c>
      <c r="L14141" s="0" t="str">
        <f aca="false">HYPERLINK("https://www.ncbi.nlm.nih.gov/nuccore/CP000304.1?report=graph&amp;tracks=[key:gene_model_track,Options:GeneOnly]&amp;mk=3998133:3998152|offset_23|444444,3998085:3998104|offset_71|00cc00,3998047:3998066|offset_109|444444,3998016:3998035|offset_140|444444&amp;v=3997932:3998235&amp;c=444444", "offset 71")</f>
        <v>offset 71</v>
      </c>
    </row>
    <row r="14142" customFormat="false" ht="12.8" hidden="false" customHeight="false" outlineLevel="0" collapsed="false">
      <c r="A14142" s="0" t="s">
        <v>12</v>
      </c>
      <c r="B14142" s="0" t="n">
        <v>3998046</v>
      </c>
      <c r="C14142" s="0" t="n">
        <v>3998066</v>
      </c>
      <c r="D14142" s="0" t="s">
        <v>47124</v>
      </c>
      <c r="E14142" s="0" t="s">
        <v>89</v>
      </c>
      <c r="F14142" s="0" t="s">
        <v>90</v>
      </c>
      <c r="G14142" s="0" t="s">
        <v>16</v>
      </c>
      <c r="H14142" s="0" t="n">
        <v>109</v>
      </c>
      <c r="I14142" s="0" t="s">
        <v>47131</v>
      </c>
      <c r="J14142" s="0" t="s">
        <v>47132</v>
      </c>
      <c r="K14142" s="0" t="s">
        <v>47133</v>
      </c>
      <c r="L14142" s="0" t="str">
        <f aca="false">HYPERLINK("https://www.ncbi.nlm.nih.gov/nuccore/CP000304.1?report=graph&amp;tracks=[key:gene_model_track,Options:GeneOnly]&amp;mk=3998133:3998152|offset_23|444444,3998085:3998104|offset_71|444444,3998047:3998066|offset_109|00cc00,3998016:3998035|offset_140|444444&amp;v=3997932:3998235&amp;c=444444", "offset 109")</f>
        <v>offset 109</v>
      </c>
    </row>
    <row r="14143" customFormat="false" ht="12.8" hidden="false" customHeight="false" outlineLevel="0" collapsed="false">
      <c r="A14143" s="0" t="s">
        <v>12</v>
      </c>
      <c r="B14143" s="0" t="n">
        <v>3998015</v>
      </c>
      <c r="C14143" s="0" t="n">
        <v>3998035</v>
      </c>
      <c r="D14143" s="0" t="s">
        <v>47124</v>
      </c>
      <c r="E14143" s="0" t="s">
        <v>89</v>
      </c>
      <c r="F14143" s="0" t="s">
        <v>90</v>
      </c>
      <c r="G14143" s="0" t="s">
        <v>26</v>
      </c>
      <c r="H14143" s="0" t="n">
        <v>140</v>
      </c>
      <c r="I14143" s="0" t="s">
        <v>47134</v>
      </c>
      <c r="J14143" s="0" t="s">
        <v>47135</v>
      </c>
      <c r="K14143" s="0" t="s">
        <v>47136</v>
      </c>
      <c r="L14143" s="0" t="str">
        <f aca="false">HYPERLINK("https://www.ncbi.nlm.nih.gov/nuccore/CP000304.1?report=graph&amp;tracks=[key:gene_model_track,Options:GeneOnly]&amp;mk=3998133:3998152|offset_23|444444,3998085:3998104|offset_71|444444,3998047:3998066|offset_109|444444,3998016:3998035|offset_140|00cc00&amp;v=3997932:3998235&amp;c=444444", "offset 140")</f>
        <v>offset 140</v>
      </c>
    </row>
    <row r="14144" customFormat="false" ht="12.8" hidden="false" customHeight="false" outlineLevel="0" collapsed="false">
      <c r="A14144" s="0" t="s">
        <v>12</v>
      </c>
      <c r="B14144" s="0" t="n">
        <v>3998483</v>
      </c>
      <c r="C14144" s="0" t="n">
        <v>3998503</v>
      </c>
      <c r="D14144" s="0" t="s">
        <v>47137</v>
      </c>
      <c r="E14144" s="0" t="s">
        <v>89</v>
      </c>
      <c r="F14144" s="0" t="s">
        <v>90</v>
      </c>
      <c r="G14144" s="0" t="s">
        <v>36</v>
      </c>
      <c r="H14144" s="0" t="n">
        <v>11</v>
      </c>
      <c r="I14144" s="0" t="s">
        <v>47138</v>
      </c>
      <c r="J14144" s="0" t="s">
        <v>47139</v>
      </c>
      <c r="K14144" s="0" t="s">
        <v>47140</v>
      </c>
      <c r="L14144" s="0" t="str">
        <f aca="false">HYPERLINK("https://www.ncbi.nlm.nih.gov/nuccore/CP000304.1?report=graph&amp;tracks=[key:gene_model_track,Options:GeneOnly]&amp;mk=3998484:3998503|offset_11|00cc00,3998423:3998442|offset_72|444444,3998400:3998419|offset_95|444444&amp;v=3998283:3998619&amp;c=444444", "offset 11")</f>
        <v>offset 11</v>
      </c>
    </row>
    <row r="14145" customFormat="false" ht="12.8" hidden="false" customHeight="false" outlineLevel="0" collapsed="false">
      <c r="A14145" s="0" t="s">
        <v>12</v>
      </c>
      <c r="B14145" s="0" t="n">
        <v>3998422</v>
      </c>
      <c r="C14145" s="0" t="n">
        <v>3998442</v>
      </c>
      <c r="D14145" s="0" t="s">
        <v>47137</v>
      </c>
      <c r="E14145" s="0" t="s">
        <v>89</v>
      </c>
      <c r="F14145" s="0" t="s">
        <v>90</v>
      </c>
      <c r="G14145" s="0" t="s">
        <v>26</v>
      </c>
      <c r="H14145" s="0" t="n">
        <v>72</v>
      </c>
      <c r="I14145" s="0" t="s">
        <v>47141</v>
      </c>
      <c r="J14145" s="0" t="s">
        <v>47142</v>
      </c>
      <c r="K14145" s="0" t="s">
        <v>47143</v>
      </c>
      <c r="L14145" s="0" t="str">
        <f aca="false">HYPERLINK("https://www.ncbi.nlm.nih.gov/nuccore/CP000304.1?report=graph&amp;tracks=[key:gene_model_track,Options:GeneOnly]&amp;mk=3998484:3998503|offset_11|444444,3998423:3998442|offset_72|00cc00,3998400:3998419|offset_95|444444&amp;v=3998283:3998619&amp;c=444444", "offset 72")</f>
        <v>offset 72</v>
      </c>
    </row>
    <row r="14146" customFormat="false" ht="12.8" hidden="false" customHeight="false" outlineLevel="0" collapsed="false">
      <c r="A14146" s="0" t="s">
        <v>12</v>
      </c>
      <c r="B14146" s="0" t="n">
        <v>3998399</v>
      </c>
      <c r="C14146" s="0" t="n">
        <v>3998419</v>
      </c>
      <c r="D14146" s="0" t="s">
        <v>47137</v>
      </c>
      <c r="E14146" s="0" t="s">
        <v>89</v>
      </c>
      <c r="F14146" s="0" t="s">
        <v>90</v>
      </c>
      <c r="G14146" s="0" t="s">
        <v>36</v>
      </c>
      <c r="H14146" s="0" t="n">
        <v>95</v>
      </c>
      <c r="I14146" s="0" t="s">
        <v>47144</v>
      </c>
      <c r="J14146" s="0" t="s">
        <v>47145</v>
      </c>
      <c r="K14146" s="0" t="s">
        <v>47146</v>
      </c>
      <c r="L14146" s="0" t="str">
        <f aca="false">HYPERLINK("https://www.ncbi.nlm.nih.gov/nuccore/CP000304.1?report=graph&amp;tracks=[key:gene_model_track,Options:GeneOnly]&amp;mk=3998484:3998503|offset_11|444444,3998423:3998442|offset_72|444444,3998400:3998419|offset_95|00cc00&amp;v=3998283:3998619&amp;c=444444", "offset 95")</f>
        <v>offset 95</v>
      </c>
    </row>
    <row r="14147" customFormat="false" ht="12.8" hidden="false" customHeight="false" outlineLevel="0" collapsed="false">
      <c r="A14147" s="0" t="s">
        <v>12</v>
      </c>
      <c r="B14147" s="0" t="n">
        <v>3998730</v>
      </c>
      <c r="C14147" s="0" t="n">
        <v>3998750</v>
      </c>
      <c r="D14147" s="0" t="s">
        <v>47147</v>
      </c>
      <c r="E14147" s="0" t="s">
        <v>89</v>
      </c>
      <c r="F14147" s="0" t="s">
        <v>15</v>
      </c>
      <c r="G14147" s="0" t="s">
        <v>32</v>
      </c>
      <c r="H14147" s="0" t="n">
        <v>11</v>
      </c>
      <c r="I14147" s="0" t="s">
        <v>47148</v>
      </c>
      <c r="J14147" s="0" t="s">
        <v>47149</v>
      </c>
      <c r="K14147" s="0" t="s">
        <v>47150</v>
      </c>
      <c r="L14147" s="0" t="str">
        <f aca="false">HYPERLINK("https://www.ncbi.nlm.nih.gov/nuccore/CP000304.1?report=graph&amp;tracks=[key:gene_model_track,Options:GeneOnly]&amp;mk=3998731:3998750|offset_11|00cc00,3998751:3998770|offset_31|444444,3998790:3998809|offset_70|444444,3998817:3998836|offset_97|444444&amp;v=3998530:3999036&amp;c=444444", "offset 11")</f>
        <v>offset 11</v>
      </c>
    </row>
    <row r="14148" customFormat="false" ht="12.8" hidden="false" customHeight="false" outlineLevel="0" collapsed="false">
      <c r="A14148" s="0" t="s">
        <v>12</v>
      </c>
      <c r="B14148" s="0" t="n">
        <v>3998750</v>
      </c>
      <c r="C14148" s="0" t="n">
        <v>3998770</v>
      </c>
      <c r="D14148" s="0" t="s">
        <v>47147</v>
      </c>
      <c r="E14148" s="0" t="s">
        <v>89</v>
      </c>
      <c r="F14148" s="0" t="s">
        <v>15</v>
      </c>
      <c r="G14148" s="0" t="s">
        <v>36</v>
      </c>
      <c r="H14148" s="0" t="n">
        <v>31</v>
      </c>
      <c r="I14148" s="0" t="s">
        <v>47151</v>
      </c>
      <c r="J14148" s="0" t="s">
        <v>47152</v>
      </c>
      <c r="K14148" s="0" t="s">
        <v>47153</v>
      </c>
      <c r="L14148" s="0" t="str">
        <f aca="false">HYPERLINK("https://www.ncbi.nlm.nih.gov/nuccore/CP000304.1?report=graph&amp;tracks=[key:gene_model_track,Options:GeneOnly]&amp;mk=3998731:3998750|offset_11|444444,3998751:3998770|offset_31|00cc00,3998790:3998809|offset_70|444444,3998817:3998836|offset_97|444444&amp;v=3998530:3999036&amp;c=444444", "offset 31")</f>
        <v>offset 31</v>
      </c>
    </row>
    <row r="14149" customFormat="false" ht="12.8" hidden="false" customHeight="false" outlineLevel="0" collapsed="false">
      <c r="A14149" s="0" t="s">
        <v>12</v>
      </c>
      <c r="B14149" s="0" t="n">
        <v>3998789</v>
      </c>
      <c r="C14149" s="0" t="n">
        <v>3998809</v>
      </c>
      <c r="D14149" s="0" t="s">
        <v>47147</v>
      </c>
      <c r="E14149" s="0" t="s">
        <v>89</v>
      </c>
      <c r="F14149" s="0" t="s">
        <v>15</v>
      </c>
      <c r="G14149" s="0" t="s">
        <v>16</v>
      </c>
      <c r="H14149" s="0" t="n">
        <v>70</v>
      </c>
      <c r="I14149" s="0" t="s">
        <v>47154</v>
      </c>
      <c r="J14149" s="0" t="s">
        <v>47155</v>
      </c>
      <c r="K14149" s="0" t="s">
        <v>47156</v>
      </c>
      <c r="L14149" s="0" t="str">
        <f aca="false">HYPERLINK("https://www.ncbi.nlm.nih.gov/nuccore/CP000304.1?report=graph&amp;tracks=[key:gene_model_track,Options:GeneOnly]&amp;mk=3998731:3998750|offset_11|444444,3998751:3998770|offset_31|444444,3998790:3998809|offset_70|00cc00,3998817:3998836|offset_97|444444&amp;v=3998530:3999036&amp;c=444444", "offset 70")</f>
        <v>offset 70</v>
      </c>
    </row>
    <row r="14150" customFormat="false" ht="12.8" hidden="false" customHeight="false" outlineLevel="0" collapsed="false">
      <c r="A14150" s="0" t="s">
        <v>12</v>
      </c>
      <c r="B14150" s="0" t="n">
        <v>3998816</v>
      </c>
      <c r="C14150" s="0" t="n">
        <v>3998836</v>
      </c>
      <c r="D14150" s="0" t="s">
        <v>47147</v>
      </c>
      <c r="E14150" s="0" t="s">
        <v>89</v>
      </c>
      <c r="F14150" s="0" t="s">
        <v>15</v>
      </c>
      <c r="G14150" s="0" t="s">
        <v>26</v>
      </c>
      <c r="H14150" s="0" t="n">
        <v>97</v>
      </c>
      <c r="I14150" s="0" t="s">
        <v>47157</v>
      </c>
      <c r="J14150" s="0" t="s">
        <v>47158</v>
      </c>
      <c r="K14150" s="0" t="s">
        <v>47159</v>
      </c>
      <c r="L14150" s="0" t="str">
        <f aca="false">HYPERLINK("https://www.ncbi.nlm.nih.gov/nuccore/CP000304.1?report=graph&amp;tracks=[key:gene_model_track,Options:GeneOnly]&amp;mk=3998731:3998750|offset_11|444444,3998751:3998770|offset_31|444444,3998790:3998809|offset_70|444444,3998817:3998836|offset_97|00cc00&amp;v=3998530:3999036&amp;c=444444", "offset 97")</f>
        <v>offset 97</v>
      </c>
    </row>
    <row r="14151" customFormat="false" ht="12.8" hidden="false" customHeight="false" outlineLevel="0" collapsed="false">
      <c r="A14151" s="0" t="s">
        <v>12</v>
      </c>
      <c r="B14151" s="0" t="n">
        <v>4000016</v>
      </c>
      <c r="C14151" s="0" t="n">
        <v>4000036</v>
      </c>
      <c r="D14151" s="0" t="s">
        <v>47160</v>
      </c>
      <c r="E14151" s="0" t="s">
        <v>89</v>
      </c>
      <c r="F14151" s="0" t="s">
        <v>15</v>
      </c>
      <c r="G14151" s="0" t="s">
        <v>36</v>
      </c>
      <c r="H14151" s="0" t="n">
        <v>41</v>
      </c>
      <c r="I14151" s="0" t="s">
        <v>47161</v>
      </c>
      <c r="J14151" s="0" t="s">
        <v>47162</v>
      </c>
      <c r="K14151" s="0" t="s">
        <v>47163</v>
      </c>
      <c r="L14151" s="0" t="str">
        <f aca="false">HYPERLINK("https://www.ncbi.nlm.nih.gov/nuccore/CP000304.1?report=graph&amp;tracks=[key:gene_model_track,Options:GeneOnly]&amp;mk=4000017:4000036|offset_41|00cc00,4000041:4000060|offset_65|444444,4000071:4000090|offset_95|444444,4000108:4000127|offset_132|444444&amp;v=3999816:4000327&amp;c=444444", "offset 41")</f>
        <v>offset 41</v>
      </c>
    </row>
    <row r="14152" customFormat="false" ht="12.8" hidden="false" customHeight="false" outlineLevel="0" collapsed="false">
      <c r="A14152" s="0" t="s">
        <v>12</v>
      </c>
      <c r="B14152" s="0" t="n">
        <v>4000040</v>
      </c>
      <c r="C14152" s="0" t="n">
        <v>4000060</v>
      </c>
      <c r="D14152" s="0" t="s">
        <v>47160</v>
      </c>
      <c r="E14152" s="0" t="s">
        <v>89</v>
      </c>
      <c r="F14152" s="0" t="s">
        <v>15</v>
      </c>
      <c r="G14152" s="0" t="s">
        <v>26</v>
      </c>
      <c r="H14152" s="0" t="n">
        <v>65</v>
      </c>
      <c r="I14152" s="0" t="s">
        <v>47164</v>
      </c>
      <c r="J14152" s="0" t="s">
        <v>47165</v>
      </c>
      <c r="K14152" s="0" t="s">
        <v>47166</v>
      </c>
      <c r="L14152" s="0" t="str">
        <f aca="false">HYPERLINK("https://www.ncbi.nlm.nih.gov/nuccore/CP000304.1?report=graph&amp;tracks=[key:gene_model_track,Options:GeneOnly]&amp;mk=4000017:4000036|offset_41|444444,4000041:4000060|offset_65|00cc00,4000071:4000090|offset_95|444444,4000108:4000127|offset_132|444444&amp;v=3999816:4000327&amp;c=444444", "offset 65")</f>
        <v>offset 65</v>
      </c>
    </row>
    <row r="14153" customFormat="false" ht="12.8" hidden="false" customHeight="false" outlineLevel="0" collapsed="false">
      <c r="A14153" s="0" t="s">
        <v>12</v>
      </c>
      <c r="B14153" s="0" t="n">
        <v>4000070</v>
      </c>
      <c r="C14153" s="0" t="n">
        <v>4000090</v>
      </c>
      <c r="D14153" s="0" t="s">
        <v>47160</v>
      </c>
      <c r="E14153" s="0" t="s">
        <v>89</v>
      </c>
      <c r="F14153" s="0" t="s">
        <v>15</v>
      </c>
      <c r="G14153" s="0" t="s">
        <v>26</v>
      </c>
      <c r="H14153" s="0" t="n">
        <v>95</v>
      </c>
      <c r="I14153" s="0" t="s">
        <v>47167</v>
      </c>
      <c r="J14153" s="0" t="s">
        <v>47168</v>
      </c>
      <c r="K14153" s="0" t="s">
        <v>47169</v>
      </c>
      <c r="L14153" s="0" t="str">
        <f aca="false">HYPERLINK("https://www.ncbi.nlm.nih.gov/nuccore/CP000304.1?report=graph&amp;tracks=[key:gene_model_track,Options:GeneOnly]&amp;mk=4000017:4000036|offset_41|444444,4000041:4000060|offset_65|444444,4000071:4000090|offset_95|00cc00,4000108:4000127|offset_132|444444&amp;v=3999816:4000327&amp;c=444444", "offset 95")</f>
        <v>offset 95</v>
      </c>
    </row>
    <row r="14154" customFormat="false" ht="12.8" hidden="false" customHeight="false" outlineLevel="0" collapsed="false">
      <c r="A14154" s="0" t="s">
        <v>12</v>
      </c>
      <c r="B14154" s="0" t="n">
        <v>4000107</v>
      </c>
      <c r="C14154" s="0" t="n">
        <v>4000127</v>
      </c>
      <c r="D14154" s="0" t="s">
        <v>47160</v>
      </c>
      <c r="E14154" s="0" t="s">
        <v>89</v>
      </c>
      <c r="F14154" s="0" t="s">
        <v>15</v>
      </c>
      <c r="G14154" s="0" t="s">
        <v>36</v>
      </c>
      <c r="H14154" s="0" t="n">
        <v>132</v>
      </c>
      <c r="I14154" s="0" t="s">
        <v>47170</v>
      </c>
      <c r="J14154" s="0" t="s">
        <v>47171</v>
      </c>
      <c r="K14154" s="0" t="s">
        <v>47172</v>
      </c>
      <c r="L14154" s="0" t="str">
        <f aca="false">HYPERLINK("https://www.ncbi.nlm.nih.gov/nuccore/CP000304.1?report=graph&amp;tracks=[key:gene_model_track,Options:GeneOnly]&amp;mk=4000017:4000036|offset_41|444444,4000041:4000060|offset_65|444444,4000071:4000090|offset_95|444444,4000108:4000127|offset_132|00cc00&amp;v=3999816:4000327&amp;c=444444", "offset 132")</f>
        <v>offset 132</v>
      </c>
    </row>
    <row r="14155" customFormat="false" ht="12.8" hidden="false" customHeight="false" outlineLevel="0" collapsed="false">
      <c r="A14155" s="0" t="s">
        <v>12</v>
      </c>
      <c r="B14155" s="0" t="n">
        <v>4001350</v>
      </c>
      <c r="C14155" s="0" t="n">
        <v>4001370</v>
      </c>
      <c r="D14155" s="0" t="s">
        <v>47173</v>
      </c>
      <c r="E14155" s="0" t="s">
        <v>89</v>
      </c>
      <c r="F14155" s="0" t="s">
        <v>15</v>
      </c>
      <c r="G14155" s="0" t="s">
        <v>26</v>
      </c>
      <c r="H14155" s="0" t="n">
        <v>32</v>
      </c>
      <c r="I14155" s="0" t="s">
        <v>47174</v>
      </c>
      <c r="J14155" s="0" t="s">
        <v>47175</v>
      </c>
      <c r="K14155" s="0" t="s">
        <v>47176</v>
      </c>
      <c r="L14155" s="0" t="str">
        <f aca="false">HYPERLINK("https://www.ncbi.nlm.nih.gov/nuccore/CP000304.1?report=graph&amp;tracks=[key:gene_model_track,Options:GeneOnly]&amp;mk=4001351:4001370|offset_32|00cc00,4001383:4001402|offset_64|444444,4001431:4001450|offset_112|444444,4001463:4001482|offset_144|444444&amp;v=4001150:4001682&amp;c=444444", "offset 32")</f>
        <v>offset 32</v>
      </c>
    </row>
    <row r="14156" customFormat="false" ht="12.8" hidden="false" customHeight="false" outlineLevel="0" collapsed="false">
      <c r="A14156" s="0" t="s">
        <v>12</v>
      </c>
      <c r="B14156" s="0" t="n">
        <v>4001382</v>
      </c>
      <c r="C14156" s="0" t="n">
        <v>4001402</v>
      </c>
      <c r="D14156" s="0" t="s">
        <v>47173</v>
      </c>
      <c r="E14156" s="0" t="s">
        <v>89</v>
      </c>
      <c r="F14156" s="0" t="s">
        <v>15</v>
      </c>
      <c r="G14156" s="0" t="s">
        <v>16</v>
      </c>
      <c r="H14156" s="0" t="n">
        <v>64</v>
      </c>
      <c r="I14156" s="0" t="s">
        <v>47177</v>
      </c>
      <c r="J14156" s="0" t="s">
        <v>47178</v>
      </c>
      <c r="K14156" s="0" t="s">
        <v>47179</v>
      </c>
      <c r="L14156" s="0" t="str">
        <f aca="false">HYPERLINK("https://www.ncbi.nlm.nih.gov/nuccore/CP000304.1?report=graph&amp;tracks=[key:gene_model_track,Options:GeneOnly]&amp;mk=4001351:4001370|offset_32|444444,4001383:4001402|offset_64|00cc00,4001431:4001450|offset_112|444444,4001463:4001482|offset_144|444444&amp;v=4001150:4001682&amp;c=444444", "offset 64")</f>
        <v>offset 64</v>
      </c>
    </row>
    <row r="14157" customFormat="false" ht="12.8" hidden="false" customHeight="false" outlineLevel="0" collapsed="false">
      <c r="A14157" s="0" t="s">
        <v>12</v>
      </c>
      <c r="B14157" s="0" t="n">
        <v>4001430</v>
      </c>
      <c r="C14157" s="0" t="n">
        <v>4001450</v>
      </c>
      <c r="D14157" s="0" t="s">
        <v>47173</v>
      </c>
      <c r="E14157" s="0" t="s">
        <v>89</v>
      </c>
      <c r="F14157" s="0" t="s">
        <v>15</v>
      </c>
      <c r="G14157" s="0" t="s">
        <v>16</v>
      </c>
      <c r="H14157" s="0" t="n">
        <v>112</v>
      </c>
      <c r="I14157" s="0" t="s">
        <v>47180</v>
      </c>
      <c r="J14157" s="0" t="s">
        <v>47181</v>
      </c>
      <c r="K14157" s="0" t="s">
        <v>47182</v>
      </c>
      <c r="L14157" s="0" t="str">
        <f aca="false">HYPERLINK("https://www.ncbi.nlm.nih.gov/nuccore/CP000304.1?report=graph&amp;tracks=[key:gene_model_track,Options:GeneOnly]&amp;mk=4001351:4001370|offset_32|444444,4001383:4001402|offset_64|444444,4001431:4001450|offset_112|00cc00,4001463:4001482|offset_144|444444&amp;v=4001150:4001682&amp;c=444444", "offset 112")</f>
        <v>offset 112</v>
      </c>
    </row>
    <row r="14158" customFormat="false" ht="12.8" hidden="false" customHeight="false" outlineLevel="0" collapsed="false">
      <c r="A14158" s="0" t="s">
        <v>12</v>
      </c>
      <c r="B14158" s="0" t="n">
        <v>4001462</v>
      </c>
      <c r="C14158" s="0" t="n">
        <v>4001482</v>
      </c>
      <c r="D14158" s="0" t="s">
        <v>47173</v>
      </c>
      <c r="E14158" s="0" t="s">
        <v>89</v>
      </c>
      <c r="F14158" s="0" t="s">
        <v>15</v>
      </c>
      <c r="G14158" s="0" t="s">
        <v>36</v>
      </c>
      <c r="H14158" s="0" t="n">
        <v>144</v>
      </c>
      <c r="I14158" s="0" t="s">
        <v>47183</v>
      </c>
      <c r="J14158" s="0" t="s">
        <v>47184</v>
      </c>
      <c r="K14158" s="0" t="s">
        <v>47185</v>
      </c>
      <c r="L14158" s="0" t="str">
        <f aca="false">HYPERLINK("https://www.ncbi.nlm.nih.gov/nuccore/CP000304.1?report=graph&amp;tracks=[key:gene_model_track,Options:GeneOnly]&amp;mk=4001351:4001370|offset_32|444444,4001383:4001402|offset_64|444444,4001431:4001450|offset_112|444444,4001463:4001482|offset_144|00cc00&amp;v=4001150:4001682&amp;c=444444", "offset 144")</f>
        <v>offset 144</v>
      </c>
    </row>
    <row r="14159" customFormat="false" ht="12.8" hidden="false" customHeight="false" outlineLevel="0" collapsed="false">
      <c r="A14159" s="0" t="s">
        <v>12</v>
      </c>
      <c r="B14159" s="0" t="n">
        <v>4002452</v>
      </c>
      <c r="C14159" s="0" t="n">
        <v>4002472</v>
      </c>
      <c r="D14159" s="0" t="s">
        <v>47186</v>
      </c>
      <c r="E14159" s="0" t="s">
        <v>89</v>
      </c>
      <c r="F14159" s="0" t="s">
        <v>15</v>
      </c>
      <c r="G14159" s="0" t="s">
        <v>16</v>
      </c>
      <c r="H14159" s="0" t="n">
        <v>10</v>
      </c>
      <c r="I14159" s="0" t="s">
        <v>47187</v>
      </c>
      <c r="J14159" s="0" t="s">
        <v>47188</v>
      </c>
      <c r="K14159" s="0" t="s">
        <v>47189</v>
      </c>
      <c r="L14159" s="0" t="str">
        <f aca="false">HYPERLINK("https://www.ncbi.nlm.nih.gov/nuccore/CP000304.1?report=graph&amp;tracks=[key:gene_model_track,Options:GeneOnly]&amp;mk=4002453:4002472|offset_10|00cc00,4002476:4002495|offset_33|444444,4002507:4002526|offset_64|444444,4002565:4002584|offset_122|444444&amp;v=4002252:4002784&amp;c=444444", "offset 10")</f>
        <v>offset 10</v>
      </c>
    </row>
    <row r="14160" customFormat="false" ht="12.8" hidden="false" customHeight="false" outlineLevel="0" collapsed="false">
      <c r="A14160" s="0" t="s">
        <v>12</v>
      </c>
      <c r="B14160" s="0" t="n">
        <v>4002475</v>
      </c>
      <c r="C14160" s="0" t="n">
        <v>4002495</v>
      </c>
      <c r="D14160" s="0" t="s">
        <v>47186</v>
      </c>
      <c r="E14160" s="0" t="s">
        <v>89</v>
      </c>
      <c r="F14160" s="0" t="s">
        <v>15</v>
      </c>
      <c r="G14160" s="0" t="s">
        <v>16</v>
      </c>
      <c r="H14160" s="0" t="n">
        <v>33</v>
      </c>
      <c r="I14160" s="0" t="s">
        <v>47190</v>
      </c>
      <c r="J14160" s="0" t="s">
        <v>47191</v>
      </c>
      <c r="K14160" s="0" t="s">
        <v>47192</v>
      </c>
      <c r="L14160" s="0" t="str">
        <f aca="false">HYPERLINK("https://www.ncbi.nlm.nih.gov/nuccore/CP000304.1?report=graph&amp;tracks=[key:gene_model_track,Options:GeneOnly]&amp;mk=4002453:4002472|offset_10|444444,4002476:4002495|offset_33|00cc00,4002507:4002526|offset_64|444444,4002565:4002584|offset_122|444444&amp;v=4002252:4002784&amp;c=444444", "offset 33")</f>
        <v>offset 33</v>
      </c>
    </row>
    <row r="14161" customFormat="false" ht="12.8" hidden="false" customHeight="false" outlineLevel="0" collapsed="false">
      <c r="A14161" s="0" t="s">
        <v>12</v>
      </c>
      <c r="B14161" s="0" t="n">
        <v>4002506</v>
      </c>
      <c r="C14161" s="0" t="n">
        <v>4002526</v>
      </c>
      <c r="D14161" s="0" t="s">
        <v>47186</v>
      </c>
      <c r="E14161" s="0" t="s">
        <v>89</v>
      </c>
      <c r="F14161" s="0" t="s">
        <v>15</v>
      </c>
      <c r="G14161" s="0" t="s">
        <v>32</v>
      </c>
      <c r="H14161" s="0" t="n">
        <v>64</v>
      </c>
      <c r="I14161" s="0" t="s">
        <v>47193</v>
      </c>
      <c r="J14161" s="0" t="s">
        <v>47194</v>
      </c>
      <c r="K14161" s="0" t="s">
        <v>47195</v>
      </c>
      <c r="L14161" s="0" t="str">
        <f aca="false">HYPERLINK("https://www.ncbi.nlm.nih.gov/nuccore/CP000304.1?report=graph&amp;tracks=[key:gene_model_track,Options:GeneOnly]&amp;mk=4002453:4002472|offset_10|444444,4002476:4002495|offset_33|444444,4002507:4002526|offset_64|00cc00,4002565:4002584|offset_122|444444&amp;v=4002252:4002784&amp;c=444444", "offset 64")</f>
        <v>offset 64</v>
      </c>
    </row>
    <row r="14162" customFormat="false" ht="12.8" hidden="false" customHeight="false" outlineLevel="0" collapsed="false">
      <c r="A14162" s="0" t="s">
        <v>12</v>
      </c>
      <c r="B14162" s="0" t="n">
        <v>4002564</v>
      </c>
      <c r="C14162" s="0" t="n">
        <v>4002584</v>
      </c>
      <c r="D14162" s="0" t="s">
        <v>47186</v>
      </c>
      <c r="E14162" s="0" t="s">
        <v>89</v>
      </c>
      <c r="F14162" s="0" t="s">
        <v>15</v>
      </c>
      <c r="G14162" s="0" t="s">
        <v>16</v>
      </c>
      <c r="H14162" s="0" t="n">
        <v>122</v>
      </c>
      <c r="I14162" s="0" t="s">
        <v>47196</v>
      </c>
      <c r="J14162" s="0" t="s">
        <v>47197</v>
      </c>
      <c r="K14162" s="0" t="s">
        <v>47198</v>
      </c>
      <c r="L14162" s="0" t="str">
        <f aca="false">HYPERLINK("https://www.ncbi.nlm.nih.gov/nuccore/CP000304.1?report=graph&amp;tracks=[key:gene_model_track,Options:GeneOnly]&amp;mk=4002453:4002472|offset_10|444444,4002476:4002495|offset_33|444444,4002507:4002526|offset_64|444444,4002565:4002584|offset_122|00cc00&amp;v=4002252:4002784&amp;c=444444", "offset 122")</f>
        <v>offset 122</v>
      </c>
    </row>
    <row r="14163" customFormat="false" ht="12.8" hidden="false" customHeight="false" outlineLevel="0" collapsed="false">
      <c r="A14163" s="0" t="s">
        <v>12</v>
      </c>
      <c r="B14163" s="0" t="n">
        <v>4003046</v>
      </c>
      <c r="C14163" s="0" t="n">
        <v>4003066</v>
      </c>
      <c r="D14163" s="0" t="s">
        <v>47199</v>
      </c>
      <c r="E14163" s="0" t="s">
        <v>89</v>
      </c>
      <c r="F14163" s="0" t="s">
        <v>15</v>
      </c>
      <c r="G14163" s="0" t="s">
        <v>26</v>
      </c>
      <c r="H14163" s="0" t="n">
        <v>20</v>
      </c>
      <c r="I14163" s="0" t="s">
        <v>47200</v>
      </c>
      <c r="J14163" s="0" t="s">
        <v>47201</v>
      </c>
      <c r="K14163" s="0" t="s">
        <v>47202</v>
      </c>
      <c r="L14163" s="0" t="str">
        <f aca="false">HYPERLINK("https://www.ncbi.nlm.nih.gov/nuccore/CP000304.1?report=graph&amp;tracks=[key:gene_model_track,Options:GeneOnly]&amp;mk=4003047:4003066|offset_20|00cc00,4003068:4003087|offset_41|444444,4003091:4003110|offset_64|444444,4003116:4003135|offset_89|444444&amp;v=4002846:4003335&amp;c=444444", "offset 20")</f>
        <v>offset 20</v>
      </c>
    </row>
    <row r="14164" customFormat="false" ht="12.8" hidden="false" customHeight="false" outlineLevel="0" collapsed="false">
      <c r="A14164" s="0" t="s">
        <v>12</v>
      </c>
      <c r="B14164" s="0" t="n">
        <v>4003067</v>
      </c>
      <c r="C14164" s="0" t="n">
        <v>4003087</v>
      </c>
      <c r="D14164" s="0" t="s">
        <v>47199</v>
      </c>
      <c r="E14164" s="0" t="s">
        <v>89</v>
      </c>
      <c r="F14164" s="0" t="s">
        <v>15</v>
      </c>
      <c r="G14164" s="0" t="s">
        <v>26</v>
      </c>
      <c r="H14164" s="0" t="n">
        <v>41</v>
      </c>
      <c r="I14164" s="0" t="s">
        <v>47203</v>
      </c>
      <c r="J14164" s="0" t="s">
        <v>47204</v>
      </c>
      <c r="K14164" s="0" t="s">
        <v>47205</v>
      </c>
      <c r="L14164" s="0" t="str">
        <f aca="false">HYPERLINK("https://www.ncbi.nlm.nih.gov/nuccore/CP000304.1?report=graph&amp;tracks=[key:gene_model_track,Options:GeneOnly]&amp;mk=4003047:4003066|offset_20|444444,4003068:4003087|offset_41|00cc00,4003091:4003110|offset_64|444444,4003116:4003135|offset_89|444444&amp;v=4002846:4003335&amp;c=444444", "offset 41")</f>
        <v>offset 41</v>
      </c>
    </row>
    <row r="14165" customFormat="false" ht="12.8" hidden="false" customHeight="false" outlineLevel="0" collapsed="false">
      <c r="A14165" s="0" t="s">
        <v>12</v>
      </c>
      <c r="B14165" s="0" t="n">
        <v>4003090</v>
      </c>
      <c r="C14165" s="0" t="n">
        <v>4003110</v>
      </c>
      <c r="D14165" s="0" t="s">
        <v>47199</v>
      </c>
      <c r="E14165" s="0" t="s">
        <v>89</v>
      </c>
      <c r="F14165" s="0" t="s">
        <v>15</v>
      </c>
      <c r="G14165" s="0" t="s">
        <v>16</v>
      </c>
      <c r="H14165" s="0" t="n">
        <v>64</v>
      </c>
      <c r="I14165" s="0" t="s">
        <v>47206</v>
      </c>
      <c r="J14165" s="0" t="s">
        <v>47207</v>
      </c>
      <c r="K14165" s="0" t="s">
        <v>47208</v>
      </c>
      <c r="L14165" s="0" t="str">
        <f aca="false">HYPERLINK("https://www.ncbi.nlm.nih.gov/nuccore/CP000304.1?report=graph&amp;tracks=[key:gene_model_track,Options:GeneOnly]&amp;mk=4003047:4003066|offset_20|444444,4003068:4003087|offset_41|444444,4003091:4003110|offset_64|00cc00,4003116:4003135|offset_89|444444&amp;v=4002846:4003335&amp;c=444444", "offset 64")</f>
        <v>offset 64</v>
      </c>
    </row>
    <row r="14166" customFormat="false" ht="12.8" hidden="false" customHeight="false" outlineLevel="0" collapsed="false">
      <c r="A14166" s="0" t="s">
        <v>12</v>
      </c>
      <c r="B14166" s="0" t="n">
        <v>4003115</v>
      </c>
      <c r="C14166" s="0" t="n">
        <v>4003135</v>
      </c>
      <c r="D14166" s="0" t="s">
        <v>47199</v>
      </c>
      <c r="E14166" s="0" t="s">
        <v>89</v>
      </c>
      <c r="F14166" s="0" t="s">
        <v>15</v>
      </c>
      <c r="G14166" s="0" t="s">
        <v>26</v>
      </c>
      <c r="H14166" s="0" t="n">
        <v>89</v>
      </c>
      <c r="I14166" s="0" t="s">
        <v>47209</v>
      </c>
      <c r="J14166" s="0" t="s">
        <v>47210</v>
      </c>
      <c r="K14166" s="0" t="s">
        <v>47211</v>
      </c>
      <c r="L14166" s="0" t="str">
        <f aca="false">HYPERLINK("https://www.ncbi.nlm.nih.gov/nuccore/CP000304.1?report=graph&amp;tracks=[key:gene_model_track,Options:GeneOnly]&amp;mk=4003047:4003066|offset_20|444444,4003068:4003087|offset_41|444444,4003091:4003110|offset_64|444444,4003116:4003135|offset_89|00cc00&amp;v=4002846:4003335&amp;c=444444", "offset 89")</f>
        <v>offset 89</v>
      </c>
    </row>
    <row r="14167" customFormat="false" ht="12.8" hidden="false" customHeight="false" outlineLevel="0" collapsed="false">
      <c r="A14167" s="0" t="s">
        <v>12</v>
      </c>
      <c r="B14167" s="0" t="n">
        <v>4004824</v>
      </c>
      <c r="C14167" s="0" t="n">
        <v>4004844</v>
      </c>
      <c r="D14167" s="0" t="s">
        <v>47212</v>
      </c>
      <c r="E14167" s="0" t="s">
        <v>89</v>
      </c>
      <c r="F14167" s="0" t="s">
        <v>15</v>
      </c>
      <c r="G14167" s="0" t="s">
        <v>16</v>
      </c>
      <c r="H14167" s="0" t="n">
        <v>30</v>
      </c>
      <c r="I14167" s="0" t="s">
        <v>47213</v>
      </c>
      <c r="J14167" s="0" t="s">
        <v>47214</v>
      </c>
      <c r="K14167" s="0" t="s">
        <v>47215</v>
      </c>
      <c r="L14167" s="0" t="str">
        <f aca="false">HYPERLINK("https://www.ncbi.nlm.nih.gov/nuccore/CP000304.1?report=graph&amp;tracks=[key:gene_model_track,Options:GeneOnly]&amp;mk=4004825:4004844|offset_30|00cc00,4004848:4004867|offset_53|444444,4004876:4004895|offset_81|444444,4004904:4004923|offset_109|444444&amp;v=4004624:4005123&amp;c=444444", "offset 30")</f>
        <v>offset 30</v>
      </c>
    </row>
    <row r="14168" customFormat="false" ht="12.8" hidden="false" customHeight="false" outlineLevel="0" collapsed="false">
      <c r="A14168" s="0" t="s">
        <v>12</v>
      </c>
      <c r="B14168" s="0" t="n">
        <v>4004847</v>
      </c>
      <c r="C14168" s="0" t="n">
        <v>4004867</v>
      </c>
      <c r="D14168" s="0" t="s">
        <v>47212</v>
      </c>
      <c r="E14168" s="0" t="s">
        <v>89</v>
      </c>
      <c r="F14168" s="0" t="s">
        <v>15</v>
      </c>
      <c r="G14168" s="0" t="s">
        <v>26</v>
      </c>
      <c r="H14168" s="0" t="n">
        <v>53</v>
      </c>
      <c r="I14168" s="0" t="s">
        <v>47216</v>
      </c>
      <c r="J14168" s="0" t="s">
        <v>47217</v>
      </c>
      <c r="K14168" s="0" t="s">
        <v>47218</v>
      </c>
      <c r="L14168" s="0" t="str">
        <f aca="false">HYPERLINK("https://www.ncbi.nlm.nih.gov/nuccore/CP000304.1?report=graph&amp;tracks=[key:gene_model_track,Options:GeneOnly]&amp;mk=4004825:4004844|offset_30|444444,4004848:4004867|offset_53|00cc00,4004876:4004895|offset_81|444444,4004904:4004923|offset_109|444444&amp;v=4004624:4005123&amp;c=444444", "offset 53")</f>
        <v>offset 53</v>
      </c>
    </row>
    <row r="14169" customFormat="false" ht="12.8" hidden="false" customHeight="false" outlineLevel="0" collapsed="false">
      <c r="A14169" s="0" t="s">
        <v>12</v>
      </c>
      <c r="B14169" s="0" t="n">
        <v>4004875</v>
      </c>
      <c r="C14169" s="0" t="n">
        <v>4004895</v>
      </c>
      <c r="D14169" s="0" t="s">
        <v>47212</v>
      </c>
      <c r="E14169" s="0" t="s">
        <v>89</v>
      </c>
      <c r="F14169" s="0" t="s">
        <v>15</v>
      </c>
      <c r="G14169" s="0" t="s">
        <v>16</v>
      </c>
      <c r="H14169" s="0" t="n">
        <v>81</v>
      </c>
      <c r="I14169" s="0" t="s">
        <v>47219</v>
      </c>
      <c r="J14169" s="0" t="s">
        <v>47220</v>
      </c>
      <c r="K14169" s="0" t="s">
        <v>47221</v>
      </c>
      <c r="L14169" s="0" t="str">
        <f aca="false">HYPERLINK("https://www.ncbi.nlm.nih.gov/nuccore/CP000304.1?report=graph&amp;tracks=[key:gene_model_track,Options:GeneOnly]&amp;mk=4004825:4004844|offset_30|444444,4004848:4004867|offset_53|444444,4004876:4004895|offset_81|00cc00,4004904:4004923|offset_109|444444&amp;v=4004624:4005123&amp;c=444444", "offset 81")</f>
        <v>offset 81</v>
      </c>
    </row>
    <row r="14170" customFormat="false" ht="12.8" hidden="false" customHeight="false" outlineLevel="0" collapsed="false">
      <c r="A14170" s="0" t="s">
        <v>12</v>
      </c>
      <c r="B14170" s="0" t="n">
        <v>4004903</v>
      </c>
      <c r="C14170" s="0" t="n">
        <v>4004923</v>
      </c>
      <c r="D14170" s="0" t="s">
        <v>47212</v>
      </c>
      <c r="E14170" s="0" t="s">
        <v>89</v>
      </c>
      <c r="F14170" s="0" t="s">
        <v>15</v>
      </c>
      <c r="G14170" s="0" t="s">
        <v>36</v>
      </c>
      <c r="H14170" s="0" t="n">
        <v>109</v>
      </c>
      <c r="I14170" s="0" t="s">
        <v>47222</v>
      </c>
      <c r="J14170" s="0" t="s">
        <v>47223</v>
      </c>
      <c r="K14170" s="0" t="s">
        <v>47224</v>
      </c>
      <c r="L14170" s="0" t="str">
        <f aca="false">HYPERLINK("https://www.ncbi.nlm.nih.gov/nuccore/CP000304.1?report=graph&amp;tracks=[key:gene_model_track,Options:GeneOnly]&amp;mk=4004825:4004844|offset_30|444444,4004848:4004867|offset_53|444444,4004876:4004895|offset_81|444444,4004904:4004923|offset_109|00cc00&amp;v=4004624:4005123&amp;c=444444", "offset 109")</f>
        <v>offset 109</v>
      </c>
    </row>
    <row r="14171" customFormat="false" ht="12.8" hidden="false" customHeight="false" outlineLevel="0" collapsed="false">
      <c r="A14171" s="0" t="s">
        <v>12</v>
      </c>
      <c r="B14171" s="0" t="n">
        <v>4005637</v>
      </c>
      <c r="C14171" s="0" t="n">
        <v>4005657</v>
      </c>
      <c r="D14171" s="0" t="s">
        <v>47225</v>
      </c>
      <c r="E14171" s="0" t="s">
        <v>47226</v>
      </c>
      <c r="F14171" s="0" t="s">
        <v>15</v>
      </c>
      <c r="G14171" s="0" t="s">
        <v>26</v>
      </c>
      <c r="H14171" s="0" t="n">
        <v>26</v>
      </c>
      <c r="I14171" s="0" t="s">
        <v>47227</v>
      </c>
      <c r="J14171" s="0" t="s">
        <v>47228</v>
      </c>
      <c r="K14171" s="0" t="s">
        <v>47229</v>
      </c>
      <c r="L14171" s="0" t="str">
        <f aca="false">HYPERLINK("https://www.ncbi.nlm.nih.gov/nuccore/CP000304.1?report=graph&amp;tracks=[key:gene_model_track,Options:GeneOnly]&amp;mk=4005638:4005657|offset_26|00cc00,4005677:4005696|offset_65|444444,4005708:4005727|offset_96|444444,4005751:4005770|offset_139|444444&amp;v=4005437:4005970&amp;c=444444", "offset 26")</f>
        <v>offset 26</v>
      </c>
    </row>
    <row r="14172" customFormat="false" ht="12.8" hidden="false" customHeight="false" outlineLevel="0" collapsed="false">
      <c r="A14172" s="0" t="s">
        <v>12</v>
      </c>
      <c r="B14172" s="0" t="n">
        <v>4005676</v>
      </c>
      <c r="C14172" s="0" t="n">
        <v>4005696</v>
      </c>
      <c r="D14172" s="0" t="s">
        <v>47225</v>
      </c>
      <c r="E14172" s="0" t="s">
        <v>47226</v>
      </c>
      <c r="F14172" s="0" t="s">
        <v>15</v>
      </c>
      <c r="G14172" s="0" t="s">
        <v>36</v>
      </c>
      <c r="H14172" s="0" t="n">
        <v>65</v>
      </c>
      <c r="I14172" s="0" t="s">
        <v>47230</v>
      </c>
      <c r="J14172" s="0" t="s">
        <v>47231</v>
      </c>
      <c r="K14172" s="0" t="s">
        <v>47232</v>
      </c>
      <c r="L14172" s="0" t="str">
        <f aca="false">HYPERLINK("https://www.ncbi.nlm.nih.gov/nuccore/CP000304.1?report=graph&amp;tracks=[key:gene_model_track,Options:GeneOnly]&amp;mk=4005638:4005657|offset_26|444444,4005677:4005696|offset_65|00cc00,4005708:4005727|offset_96|444444,4005751:4005770|offset_139|444444&amp;v=4005437:4005970&amp;c=444444", "offset 65")</f>
        <v>offset 65</v>
      </c>
    </row>
    <row r="14173" customFormat="false" ht="12.8" hidden="false" customHeight="false" outlineLevel="0" collapsed="false">
      <c r="A14173" s="0" t="s">
        <v>12</v>
      </c>
      <c r="B14173" s="0" t="n">
        <v>4005707</v>
      </c>
      <c r="C14173" s="0" t="n">
        <v>4005727</v>
      </c>
      <c r="D14173" s="0" t="s">
        <v>47225</v>
      </c>
      <c r="E14173" s="0" t="s">
        <v>47226</v>
      </c>
      <c r="F14173" s="0" t="s">
        <v>15</v>
      </c>
      <c r="G14173" s="0" t="s">
        <v>36</v>
      </c>
      <c r="H14173" s="0" t="n">
        <v>96</v>
      </c>
      <c r="I14173" s="0" t="s">
        <v>47233</v>
      </c>
      <c r="J14173" s="0" t="s">
        <v>47234</v>
      </c>
      <c r="K14173" s="0" t="s">
        <v>47235</v>
      </c>
      <c r="L14173" s="0" t="str">
        <f aca="false">HYPERLINK("https://www.ncbi.nlm.nih.gov/nuccore/CP000304.1?report=graph&amp;tracks=[key:gene_model_track,Options:GeneOnly]&amp;mk=4005638:4005657|offset_26|444444,4005677:4005696|offset_65|444444,4005708:4005727|offset_96|00cc00,4005751:4005770|offset_139|444444&amp;v=4005437:4005970&amp;c=444444", "offset 96")</f>
        <v>offset 96</v>
      </c>
    </row>
    <row r="14174" customFormat="false" ht="12.8" hidden="false" customHeight="false" outlineLevel="0" collapsed="false">
      <c r="A14174" s="0" t="s">
        <v>12</v>
      </c>
      <c r="B14174" s="0" t="n">
        <v>4005750</v>
      </c>
      <c r="C14174" s="0" t="n">
        <v>4005770</v>
      </c>
      <c r="D14174" s="0" t="s">
        <v>47225</v>
      </c>
      <c r="E14174" s="0" t="s">
        <v>47226</v>
      </c>
      <c r="F14174" s="0" t="s">
        <v>15</v>
      </c>
      <c r="G14174" s="0" t="s">
        <v>36</v>
      </c>
      <c r="H14174" s="0" t="n">
        <v>139</v>
      </c>
      <c r="I14174" s="0" t="s">
        <v>47236</v>
      </c>
      <c r="J14174" s="0" t="s">
        <v>47237</v>
      </c>
      <c r="K14174" s="0" t="s">
        <v>47238</v>
      </c>
      <c r="L14174" s="0" t="str">
        <f aca="false">HYPERLINK("https://www.ncbi.nlm.nih.gov/nuccore/CP000304.1?report=graph&amp;tracks=[key:gene_model_track,Options:GeneOnly]&amp;mk=4005638:4005657|offset_26|444444,4005677:4005696|offset_65|444444,4005708:4005727|offset_96|444444,4005751:4005770|offset_139|00cc00&amp;v=4005437:4005970&amp;c=444444", "offset 139")</f>
        <v>offset 139</v>
      </c>
    </row>
    <row r="14175" customFormat="false" ht="12.8" hidden="false" customHeight="false" outlineLevel="0" collapsed="false">
      <c r="A14175" s="0" t="s">
        <v>12</v>
      </c>
      <c r="B14175" s="0" t="n">
        <v>4005969</v>
      </c>
      <c r="C14175" s="0" t="n">
        <v>4005989</v>
      </c>
      <c r="D14175" s="0" t="s">
        <v>47239</v>
      </c>
      <c r="E14175" s="0" t="s">
        <v>47240</v>
      </c>
      <c r="F14175" s="0" t="s">
        <v>15</v>
      </c>
      <c r="G14175" s="0" t="s">
        <v>32</v>
      </c>
      <c r="H14175" s="0" t="n">
        <v>17</v>
      </c>
      <c r="I14175" s="0" t="s">
        <v>47241</v>
      </c>
      <c r="J14175" s="0" t="s">
        <v>47242</v>
      </c>
      <c r="K14175" s="0" t="s">
        <v>47243</v>
      </c>
      <c r="L14175" s="0" t="str">
        <f aca="false">HYPERLINK("https://www.ncbi.nlm.nih.gov/nuccore/CP000304.1?report=graph&amp;tracks=[key:gene_model_track,Options:GeneOnly]&amp;mk=4005970:4005989|offset_17|00cc00,4006003:4006022|offset_50|444444,4006025:4006044|offset_72|444444,4006051:4006070|offset_98|444444&amp;v=4005769:4006270&amp;c=444444", "offset 17")</f>
        <v>offset 17</v>
      </c>
    </row>
    <row r="14176" customFormat="false" ht="12.8" hidden="false" customHeight="false" outlineLevel="0" collapsed="false">
      <c r="A14176" s="0" t="s">
        <v>12</v>
      </c>
      <c r="B14176" s="0" t="n">
        <v>4006002</v>
      </c>
      <c r="C14176" s="0" t="n">
        <v>4006022</v>
      </c>
      <c r="D14176" s="0" t="s">
        <v>47239</v>
      </c>
      <c r="E14176" s="0" t="s">
        <v>47240</v>
      </c>
      <c r="F14176" s="0" t="s">
        <v>15</v>
      </c>
      <c r="G14176" s="0" t="s">
        <v>26</v>
      </c>
      <c r="H14176" s="0" t="n">
        <v>50</v>
      </c>
      <c r="I14176" s="0" t="s">
        <v>47244</v>
      </c>
      <c r="J14176" s="0" t="s">
        <v>47245</v>
      </c>
      <c r="K14176" s="0" t="s">
        <v>47246</v>
      </c>
      <c r="L14176" s="0" t="str">
        <f aca="false">HYPERLINK("https://www.ncbi.nlm.nih.gov/nuccore/CP000304.1?report=graph&amp;tracks=[key:gene_model_track,Options:GeneOnly]&amp;mk=4005970:4005989|offset_17|444444,4006003:4006022|offset_50|00cc00,4006025:4006044|offset_72|444444,4006051:4006070|offset_98|444444&amp;v=4005769:4006270&amp;c=444444", "offset 50")</f>
        <v>offset 50</v>
      </c>
    </row>
    <row r="14177" customFormat="false" ht="12.8" hidden="false" customHeight="false" outlineLevel="0" collapsed="false">
      <c r="A14177" s="0" t="s">
        <v>12</v>
      </c>
      <c r="B14177" s="0" t="n">
        <v>4006024</v>
      </c>
      <c r="C14177" s="0" t="n">
        <v>4006044</v>
      </c>
      <c r="D14177" s="0" t="s">
        <v>47239</v>
      </c>
      <c r="E14177" s="0" t="s">
        <v>47240</v>
      </c>
      <c r="F14177" s="0" t="s">
        <v>15</v>
      </c>
      <c r="G14177" s="0" t="s">
        <v>16</v>
      </c>
      <c r="H14177" s="0" t="n">
        <v>72</v>
      </c>
      <c r="I14177" s="0" t="s">
        <v>47247</v>
      </c>
      <c r="J14177" s="0" t="s">
        <v>47248</v>
      </c>
      <c r="K14177" s="0" t="s">
        <v>47249</v>
      </c>
      <c r="L14177" s="0" t="str">
        <f aca="false">HYPERLINK("https://www.ncbi.nlm.nih.gov/nuccore/CP000304.1?report=graph&amp;tracks=[key:gene_model_track,Options:GeneOnly]&amp;mk=4005970:4005989|offset_17|444444,4006003:4006022|offset_50|444444,4006025:4006044|offset_72|00cc00,4006051:4006070|offset_98|444444&amp;v=4005769:4006270&amp;c=444444", "offset 72")</f>
        <v>offset 72</v>
      </c>
    </row>
    <row r="14178" customFormat="false" ht="12.8" hidden="false" customHeight="false" outlineLevel="0" collapsed="false">
      <c r="A14178" s="0" t="s">
        <v>12</v>
      </c>
      <c r="B14178" s="0" t="n">
        <v>4006050</v>
      </c>
      <c r="C14178" s="0" t="n">
        <v>4006070</v>
      </c>
      <c r="D14178" s="0" t="s">
        <v>47239</v>
      </c>
      <c r="E14178" s="0" t="s">
        <v>47240</v>
      </c>
      <c r="F14178" s="0" t="s">
        <v>15</v>
      </c>
      <c r="G14178" s="0" t="s">
        <v>32</v>
      </c>
      <c r="H14178" s="0" t="n">
        <v>98</v>
      </c>
      <c r="I14178" s="0" t="s">
        <v>47250</v>
      </c>
      <c r="J14178" s="0" t="s">
        <v>47251</v>
      </c>
      <c r="K14178" s="0" t="s">
        <v>47252</v>
      </c>
      <c r="L14178" s="0" t="str">
        <f aca="false">HYPERLINK("https://www.ncbi.nlm.nih.gov/nuccore/CP000304.1?report=graph&amp;tracks=[key:gene_model_track,Options:GeneOnly]&amp;mk=4005970:4005989|offset_17|444444,4006003:4006022|offset_50|444444,4006025:4006044|offset_72|444444,4006051:4006070|offset_98|00cc00&amp;v=4005769:4006270&amp;c=444444", "offset 98")</f>
        <v>offset 98</v>
      </c>
    </row>
    <row r="14179" customFormat="false" ht="12.8" hidden="false" customHeight="false" outlineLevel="0" collapsed="false">
      <c r="A14179" s="0" t="s">
        <v>12</v>
      </c>
      <c r="B14179" s="0" t="n">
        <v>4006953</v>
      </c>
      <c r="C14179" s="0" t="n">
        <v>4006973</v>
      </c>
      <c r="D14179" s="0" t="s">
        <v>47253</v>
      </c>
      <c r="E14179" s="0" t="s">
        <v>47254</v>
      </c>
      <c r="F14179" s="0" t="s">
        <v>15</v>
      </c>
      <c r="G14179" s="0" t="s">
        <v>36</v>
      </c>
      <c r="H14179" s="0" t="n">
        <v>6</v>
      </c>
      <c r="I14179" s="0" t="s">
        <v>47255</v>
      </c>
      <c r="J14179" s="0" t="s">
        <v>47256</v>
      </c>
      <c r="K14179" s="0" t="s">
        <v>47257</v>
      </c>
      <c r="L14179" s="0" t="str">
        <f aca="false">HYPERLINK("https://www.ncbi.nlm.nih.gov/nuccore/CP000304.1?report=graph&amp;tracks=[key:gene_model_track,Options:GeneOnly]&amp;mk=4006954:4006973|offset_6|00cc00,4006975:4006994|offset_27|444444,4006996:4007015|offset_48|444444,4007018:4007037|offset_70|444444&amp;v=4006753:4007237&amp;c=444444", "offset 6")</f>
        <v>offset 6</v>
      </c>
    </row>
    <row r="14180" customFormat="false" ht="12.8" hidden="false" customHeight="false" outlineLevel="0" collapsed="false">
      <c r="A14180" s="0" t="s">
        <v>12</v>
      </c>
      <c r="B14180" s="0" t="n">
        <v>4006974</v>
      </c>
      <c r="C14180" s="0" t="n">
        <v>4006994</v>
      </c>
      <c r="D14180" s="0" t="s">
        <v>47253</v>
      </c>
      <c r="E14180" s="0" t="s">
        <v>47254</v>
      </c>
      <c r="F14180" s="0" t="s">
        <v>15</v>
      </c>
      <c r="G14180" s="0" t="s">
        <v>26</v>
      </c>
      <c r="H14180" s="0" t="n">
        <v>27</v>
      </c>
      <c r="I14180" s="0" t="s">
        <v>47258</v>
      </c>
      <c r="J14180" s="0" t="s">
        <v>47259</v>
      </c>
      <c r="K14180" s="0" t="s">
        <v>47260</v>
      </c>
      <c r="L14180" s="0" t="str">
        <f aca="false">HYPERLINK("https://www.ncbi.nlm.nih.gov/nuccore/CP000304.1?report=graph&amp;tracks=[key:gene_model_track,Options:GeneOnly]&amp;mk=4006954:4006973|offset_6|444444,4006975:4006994|offset_27|00cc00,4006996:4007015|offset_48|444444,4007018:4007037|offset_70|444444&amp;v=4006753:4007237&amp;c=444444", "offset 27")</f>
        <v>offset 27</v>
      </c>
    </row>
    <row r="14181" customFormat="false" ht="12.8" hidden="false" customHeight="false" outlineLevel="0" collapsed="false">
      <c r="A14181" s="0" t="s">
        <v>12</v>
      </c>
      <c r="B14181" s="0" t="n">
        <v>4006995</v>
      </c>
      <c r="C14181" s="0" t="n">
        <v>4007015</v>
      </c>
      <c r="D14181" s="0" t="s">
        <v>47253</v>
      </c>
      <c r="E14181" s="0" t="s">
        <v>47254</v>
      </c>
      <c r="F14181" s="0" t="s">
        <v>15</v>
      </c>
      <c r="G14181" s="0" t="s">
        <v>36</v>
      </c>
      <c r="H14181" s="0" t="n">
        <v>48</v>
      </c>
      <c r="I14181" s="0" t="s">
        <v>47261</v>
      </c>
      <c r="J14181" s="0" t="s">
        <v>47262</v>
      </c>
      <c r="K14181" s="0" t="s">
        <v>47263</v>
      </c>
      <c r="L14181" s="0" t="str">
        <f aca="false">HYPERLINK("https://www.ncbi.nlm.nih.gov/nuccore/CP000304.1?report=graph&amp;tracks=[key:gene_model_track,Options:GeneOnly]&amp;mk=4006954:4006973|offset_6|444444,4006975:4006994|offset_27|444444,4006996:4007015|offset_48|00cc00,4007018:4007037|offset_70|444444&amp;v=4006753:4007237&amp;c=444444", "offset 48")</f>
        <v>offset 48</v>
      </c>
    </row>
    <row r="14182" customFormat="false" ht="12.8" hidden="false" customHeight="false" outlineLevel="0" collapsed="false">
      <c r="A14182" s="0" t="s">
        <v>12</v>
      </c>
      <c r="B14182" s="0" t="n">
        <v>4007017</v>
      </c>
      <c r="C14182" s="0" t="n">
        <v>4007037</v>
      </c>
      <c r="D14182" s="0" t="s">
        <v>47253</v>
      </c>
      <c r="E14182" s="0" t="s">
        <v>47254</v>
      </c>
      <c r="F14182" s="0" t="s">
        <v>15</v>
      </c>
      <c r="G14182" s="0" t="s">
        <v>36</v>
      </c>
      <c r="H14182" s="0" t="n">
        <v>70</v>
      </c>
      <c r="I14182" s="0" t="s">
        <v>47264</v>
      </c>
      <c r="J14182" s="0" t="s">
        <v>47265</v>
      </c>
      <c r="K14182" s="0" t="s">
        <v>47266</v>
      </c>
      <c r="L14182" s="0" t="str">
        <f aca="false">HYPERLINK("https://www.ncbi.nlm.nih.gov/nuccore/CP000304.1?report=graph&amp;tracks=[key:gene_model_track,Options:GeneOnly]&amp;mk=4006954:4006973|offset_6|444444,4006975:4006994|offset_27|444444,4006996:4007015|offset_48|444444,4007018:4007037|offset_70|00cc00&amp;v=4006753:4007237&amp;c=444444", "offset 70")</f>
        <v>offset 70</v>
      </c>
    </row>
    <row r="14183" customFormat="false" ht="12.8" hidden="false" customHeight="false" outlineLevel="0" collapsed="false">
      <c r="A14183" s="0" t="s">
        <v>12</v>
      </c>
      <c r="B14183" s="0" t="n">
        <v>4009509</v>
      </c>
      <c r="C14183" s="0" t="n">
        <v>4009529</v>
      </c>
      <c r="D14183" s="0" t="s">
        <v>47267</v>
      </c>
      <c r="E14183" s="0" t="s">
        <v>89</v>
      </c>
      <c r="F14183" s="0" t="s">
        <v>90</v>
      </c>
      <c r="G14183" s="0" t="s">
        <v>16</v>
      </c>
      <c r="H14183" s="0" t="n">
        <v>10</v>
      </c>
      <c r="I14183" s="0" t="s">
        <v>47268</v>
      </c>
      <c r="J14183" s="0" t="s">
        <v>47269</v>
      </c>
      <c r="K14183" s="0" t="s">
        <v>47270</v>
      </c>
      <c r="L14183" s="0" t="str">
        <f aca="false">HYPERLINK("https://www.ncbi.nlm.nih.gov/nuccore/CP000304.1?report=graph&amp;tracks=[key:gene_model_track,Options:GeneOnly]&amp;mk=4009510:4009529|offset_10|00cc00,4009483:4009502|offset_37|444444,4009440:4009459|offset_80|444444,4009407:4009426|offset_113|444444&amp;v=4009309:4009626&amp;c=444444", "offset 10")</f>
        <v>offset 10</v>
      </c>
    </row>
    <row r="14184" customFormat="false" ht="12.8" hidden="false" customHeight="false" outlineLevel="0" collapsed="false">
      <c r="A14184" s="0" t="s">
        <v>12</v>
      </c>
      <c r="B14184" s="0" t="n">
        <v>4009482</v>
      </c>
      <c r="C14184" s="0" t="n">
        <v>4009502</v>
      </c>
      <c r="D14184" s="0" t="s">
        <v>47267</v>
      </c>
      <c r="E14184" s="0" t="s">
        <v>89</v>
      </c>
      <c r="F14184" s="0" t="s">
        <v>90</v>
      </c>
      <c r="G14184" s="0" t="s">
        <v>32</v>
      </c>
      <c r="H14184" s="0" t="n">
        <v>37</v>
      </c>
      <c r="I14184" s="0" t="s">
        <v>47271</v>
      </c>
      <c r="J14184" s="0" t="s">
        <v>47272</v>
      </c>
      <c r="K14184" s="0" t="s">
        <v>47273</v>
      </c>
      <c r="L14184" s="0" t="str">
        <f aca="false">HYPERLINK("https://www.ncbi.nlm.nih.gov/nuccore/CP000304.1?report=graph&amp;tracks=[key:gene_model_track,Options:GeneOnly]&amp;mk=4009510:4009529|offset_10|444444,4009483:4009502|offset_37|00cc00,4009440:4009459|offset_80|444444,4009407:4009426|offset_113|444444&amp;v=4009309:4009626&amp;c=444444", "offset 37")</f>
        <v>offset 37</v>
      </c>
    </row>
    <row r="14185" customFormat="false" ht="12.8" hidden="false" customHeight="false" outlineLevel="0" collapsed="false">
      <c r="A14185" s="0" t="s">
        <v>12</v>
      </c>
      <c r="B14185" s="0" t="n">
        <v>4009439</v>
      </c>
      <c r="C14185" s="0" t="n">
        <v>4009459</v>
      </c>
      <c r="D14185" s="0" t="s">
        <v>47267</v>
      </c>
      <c r="E14185" s="0" t="s">
        <v>89</v>
      </c>
      <c r="F14185" s="0" t="s">
        <v>90</v>
      </c>
      <c r="G14185" s="0" t="s">
        <v>16</v>
      </c>
      <c r="H14185" s="0" t="n">
        <v>80</v>
      </c>
      <c r="I14185" s="0" t="s">
        <v>47274</v>
      </c>
      <c r="J14185" s="0" t="s">
        <v>47275</v>
      </c>
      <c r="K14185" s="0" t="s">
        <v>47276</v>
      </c>
      <c r="L14185" s="0" t="str">
        <f aca="false">HYPERLINK("https://www.ncbi.nlm.nih.gov/nuccore/CP000304.1?report=graph&amp;tracks=[key:gene_model_track,Options:GeneOnly]&amp;mk=4009510:4009529|offset_10|444444,4009483:4009502|offset_37|444444,4009440:4009459|offset_80|00cc00,4009407:4009426|offset_113|444444&amp;v=4009309:4009626&amp;c=444444", "offset 80")</f>
        <v>offset 80</v>
      </c>
    </row>
    <row r="14186" customFormat="false" ht="12.8" hidden="false" customHeight="false" outlineLevel="0" collapsed="false">
      <c r="A14186" s="0" t="s">
        <v>12</v>
      </c>
      <c r="B14186" s="0" t="n">
        <v>4009406</v>
      </c>
      <c r="C14186" s="0" t="n">
        <v>4009426</v>
      </c>
      <c r="D14186" s="0" t="s">
        <v>47267</v>
      </c>
      <c r="E14186" s="0" t="s">
        <v>89</v>
      </c>
      <c r="F14186" s="0" t="s">
        <v>90</v>
      </c>
      <c r="G14186" s="0" t="s">
        <v>16</v>
      </c>
      <c r="H14186" s="0" t="n">
        <v>113</v>
      </c>
      <c r="I14186" s="0" t="s">
        <v>47277</v>
      </c>
      <c r="J14186" s="0" t="s">
        <v>47278</v>
      </c>
      <c r="K14186" s="0" t="s">
        <v>47279</v>
      </c>
      <c r="L14186" s="0" t="str">
        <f aca="false">HYPERLINK("https://www.ncbi.nlm.nih.gov/nuccore/CP000304.1?report=graph&amp;tracks=[key:gene_model_track,Options:GeneOnly]&amp;mk=4009510:4009529|offset_10|444444,4009483:4009502|offset_37|444444,4009440:4009459|offset_80|444444,4009407:4009426|offset_113|00cc00&amp;v=4009309:4009626&amp;c=444444", "offset 113")</f>
        <v>offset 113</v>
      </c>
    </row>
    <row r="14187" customFormat="false" ht="12.8" hidden="false" customHeight="false" outlineLevel="0" collapsed="false">
      <c r="A14187" s="0" t="s">
        <v>12</v>
      </c>
      <c r="B14187" s="0" t="n">
        <v>4009554</v>
      </c>
      <c r="C14187" s="0" t="n">
        <v>4009574</v>
      </c>
      <c r="D14187" s="0" t="s">
        <v>47280</v>
      </c>
      <c r="E14187" s="0" t="s">
        <v>89</v>
      </c>
      <c r="F14187" s="0" t="s">
        <v>15</v>
      </c>
      <c r="G14187" s="0" t="s">
        <v>32</v>
      </c>
      <c r="H14187" s="0" t="n">
        <v>16</v>
      </c>
      <c r="I14187" s="0" t="s">
        <v>47281</v>
      </c>
      <c r="J14187" s="0" t="s">
        <v>47282</v>
      </c>
      <c r="K14187" s="0" t="s">
        <v>47283</v>
      </c>
      <c r="L14187" s="0" t="str">
        <f aca="false">HYPERLINK("https://www.ncbi.nlm.nih.gov/nuccore/CP000304.1?report=graph&amp;tracks=[key:gene_model_track,Options:GeneOnly]&amp;mk=4009555:4009574|offset_16|00cc00,4009586:4009605|offset_47|444444,4009607:4009626|offset_68|444444,4009628:4009647|offset_89|444444&amp;v=4009354:4009847&amp;c=444444", "offset 16")</f>
        <v>offset 16</v>
      </c>
    </row>
    <row r="14188" customFormat="false" ht="12.8" hidden="false" customHeight="false" outlineLevel="0" collapsed="false">
      <c r="A14188" s="0" t="s">
        <v>12</v>
      </c>
      <c r="B14188" s="0" t="n">
        <v>4009585</v>
      </c>
      <c r="C14188" s="0" t="n">
        <v>4009605</v>
      </c>
      <c r="D14188" s="0" t="s">
        <v>47280</v>
      </c>
      <c r="E14188" s="0" t="s">
        <v>89</v>
      </c>
      <c r="F14188" s="0" t="s">
        <v>15</v>
      </c>
      <c r="G14188" s="0" t="s">
        <v>16</v>
      </c>
      <c r="H14188" s="0" t="n">
        <v>47</v>
      </c>
      <c r="I14188" s="0" t="s">
        <v>47284</v>
      </c>
      <c r="J14188" s="0" t="s">
        <v>47285</v>
      </c>
      <c r="K14188" s="0" t="s">
        <v>47286</v>
      </c>
      <c r="L14188" s="0" t="str">
        <f aca="false">HYPERLINK("https://www.ncbi.nlm.nih.gov/nuccore/CP000304.1?report=graph&amp;tracks=[key:gene_model_track,Options:GeneOnly]&amp;mk=4009555:4009574|offset_16|444444,4009586:4009605|offset_47|00cc00,4009607:4009626|offset_68|444444,4009628:4009647|offset_89|444444&amp;v=4009354:4009847&amp;c=444444", "offset 47")</f>
        <v>offset 47</v>
      </c>
    </row>
    <row r="14189" customFormat="false" ht="12.8" hidden="false" customHeight="false" outlineLevel="0" collapsed="false">
      <c r="A14189" s="0" t="s">
        <v>12</v>
      </c>
      <c r="B14189" s="0" t="n">
        <v>4009606</v>
      </c>
      <c r="C14189" s="0" t="n">
        <v>4009626</v>
      </c>
      <c r="D14189" s="0" t="s">
        <v>47280</v>
      </c>
      <c r="E14189" s="0" t="s">
        <v>89</v>
      </c>
      <c r="F14189" s="0" t="s">
        <v>15</v>
      </c>
      <c r="G14189" s="0" t="s">
        <v>16</v>
      </c>
      <c r="H14189" s="0" t="n">
        <v>68</v>
      </c>
      <c r="I14189" s="0" t="s">
        <v>47287</v>
      </c>
      <c r="J14189" s="0" t="s">
        <v>47288</v>
      </c>
      <c r="K14189" s="0" t="s">
        <v>47289</v>
      </c>
      <c r="L14189" s="0" t="str">
        <f aca="false">HYPERLINK("https://www.ncbi.nlm.nih.gov/nuccore/CP000304.1?report=graph&amp;tracks=[key:gene_model_track,Options:GeneOnly]&amp;mk=4009555:4009574|offset_16|444444,4009586:4009605|offset_47|444444,4009607:4009626|offset_68|00cc00,4009628:4009647|offset_89|444444&amp;v=4009354:4009847&amp;c=444444", "offset 68")</f>
        <v>offset 68</v>
      </c>
    </row>
    <row r="14190" customFormat="false" ht="12.8" hidden="false" customHeight="false" outlineLevel="0" collapsed="false">
      <c r="A14190" s="0" t="s">
        <v>12</v>
      </c>
      <c r="B14190" s="0" t="n">
        <v>4009627</v>
      </c>
      <c r="C14190" s="0" t="n">
        <v>4009647</v>
      </c>
      <c r="D14190" s="0" t="s">
        <v>47280</v>
      </c>
      <c r="E14190" s="0" t="s">
        <v>89</v>
      </c>
      <c r="F14190" s="0" t="s">
        <v>15</v>
      </c>
      <c r="G14190" s="0" t="s">
        <v>26</v>
      </c>
      <c r="H14190" s="0" t="n">
        <v>89</v>
      </c>
      <c r="I14190" s="0" t="s">
        <v>47290</v>
      </c>
      <c r="J14190" s="0" t="s">
        <v>47291</v>
      </c>
      <c r="K14190" s="0" t="s">
        <v>47292</v>
      </c>
      <c r="L14190" s="0" t="str">
        <f aca="false">HYPERLINK("https://www.ncbi.nlm.nih.gov/nuccore/CP000304.1?report=graph&amp;tracks=[key:gene_model_track,Options:GeneOnly]&amp;mk=4009555:4009574|offset_16|444444,4009586:4009605|offset_47|444444,4009607:4009626|offset_68|444444,4009628:4009647|offset_89|00cc00&amp;v=4009354:4009847&amp;c=444444", "offset 89")</f>
        <v>offset 89</v>
      </c>
    </row>
    <row r="14191" customFormat="false" ht="12.8" hidden="false" customHeight="false" outlineLevel="0" collapsed="false">
      <c r="A14191" s="0" t="s">
        <v>12</v>
      </c>
      <c r="B14191" s="0" t="n">
        <v>4010296</v>
      </c>
      <c r="C14191" s="0" t="n">
        <v>4010316</v>
      </c>
      <c r="D14191" s="0" t="s">
        <v>47293</v>
      </c>
      <c r="E14191" s="0" t="s">
        <v>89</v>
      </c>
      <c r="F14191" s="0" t="s">
        <v>15</v>
      </c>
      <c r="G14191" s="0" t="s">
        <v>32</v>
      </c>
      <c r="H14191" s="0" t="n">
        <v>1</v>
      </c>
      <c r="I14191" s="0" t="s">
        <v>47294</v>
      </c>
      <c r="J14191" s="0" t="s">
        <v>47295</v>
      </c>
      <c r="K14191" s="0" t="s">
        <v>47296</v>
      </c>
      <c r="L14191" s="0" t="str">
        <f aca="false">HYPERLINK("https://www.ncbi.nlm.nih.gov/nuccore/CP000304.1?report=graph&amp;tracks=[key:gene_model_track,Options:GeneOnly]&amp;mk=4010297:4010316|offset_1|00cc00,4010322:4010341|offset_26|444444,4010369:4010388|offset_73|444444,4010390:4010409|offset_94|444444&amp;v=4010096:4010609&amp;c=444444", "offset 1")</f>
        <v>offset 1</v>
      </c>
    </row>
    <row r="14192" customFormat="false" ht="12.8" hidden="false" customHeight="false" outlineLevel="0" collapsed="false">
      <c r="A14192" s="0" t="s">
        <v>12</v>
      </c>
      <c r="B14192" s="0" t="n">
        <v>4010321</v>
      </c>
      <c r="C14192" s="0" t="n">
        <v>4010341</v>
      </c>
      <c r="D14192" s="0" t="s">
        <v>47293</v>
      </c>
      <c r="E14192" s="0" t="s">
        <v>89</v>
      </c>
      <c r="F14192" s="0" t="s">
        <v>15</v>
      </c>
      <c r="G14192" s="0" t="s">
        <v>26</v>
      </c>
      <c r="H14192" s="0" t="n">
        <v>26</v>
      </c>
      <c r="I14192" s="0" t="s">
        <v>47297</v>
      </c>
      <c r="J14192" s="0" t="s">
        <v>47298</v>
      </c>
      <c r="K14192" s="0" t="s">
        <v>47299</v>
      </c>
      <c r="L14192" s="0" t="str">
        <f aca="false">HYPERLINK("https://www.ncbi.nlm.nih.gov/nuccore/CP000304.1?report=graph&amp;tracks=[key:gene_model_track,Options:GeneOnly]&amp;mk=4010297:4010316|offset_1|444444,4010322:4010341|offset_26|00cc00,4010369:4010388|offset_73|444444,4010390:4010409|offset_94|444444&amp;v=4010096:4010609&amp;c=444444", "offset 26")</f>
        <v>offset 26</v>
      </c>
    </row>
    <row r="14193" customFormat="false" ht="12.8" hidden="false" customHeight="false" outlineLevel="0" collapsed="false">
      <c r="A14193" s="0" t="s">
        <v>12</v>
      </c>
      <c r="B14193" s="0" t="n">
        <v>4010368</v>
      </c>
      <c r="C14193" s="0" t="n">
        <v>4010388</v>
      </c>
      <c r="D14193" s="0" t="s">
        <v>47293</v>
      </c>
      <c r="E14193" s="0" t="s">
        <v>89</v>
      </c>
      <c r="F14193" s="0" t="s">
        <v>15</v>
      </c>
      <c r="G14193" s="0" t="s">
        <v>26</v>
      </c>
      <c r="H14193" s="0" t="n">
        <v>73</v>
      </c>
      <c r="I14193" s="0" t="s">
        <v>47300</v>
      </c>
      <c r="J14193" s="0" t="s">
        <v>47301</v>
      </c>
      <c r="K14193" s="0" t="s">
        <v>47302</v>
      </c>
      <c r="L14193" s="0" t="str">
        <f aca="false">HYPERLINK("https://www.ncbi.nlm.nih.gov/nuccore/CP000304.1?report=graph&amp;tracks=[key:gene_model_track,Options:GeneOnly]&amp;mk=4010297:4010316|offset_1|444444,4010322:4010341|offset_26|444444,4010369:4010388|offset_73|00cc00,4010390:4010409|offset_94|444444&amp;v=4010096:4010609&amp;c=444444", "offset 73")</f>
        <v>offset 73</v>
      </c>
    </row>
    <row r="14194" customFormat="false" ht="12.8" hidden="false" customHeight="false" outlineLevel="0" collapsed="false">
      <c r="A14194" s="0" t="s">
        <v>12</v>
      </c>
      <c r="B14194" s="0" t="n">
        <v>4010389</v>
      </c>
      <c r="C14194" s="0" t="n">
        <v>4010409</v>
      </c>
      <c r="D14194" s="0" t="s">
        <v>47293</v>
      </c>
      <c r="E14194" s="0" t="s">
        <v>89</v>
      </c>
      <c r="F14194" s="0" t="s">
        <v>15</v>
      </c>
      <c r="G14194" s="0" t="s">
        <v>32</v>
      </c>
      <c r="H14194" s="0" t="n">
        <v>94</v>
      </c>
      <c r="I14194" s="0" t="s">
        <v>47303</v>
      </c>
      <c r="J14194" s="0" t="s">
        <v>47304</v>
      </c>
      <c r="K14194" s="0" t="s">
        <v>47305</v>
      </c>
      <c r="L14194" s="0" t="str">
        <f aca="false">HYPERLINK("https://www.ncbi.nlm.nih.gov/nuccore/CP000304.1?report=graph&amp;tracks=[key:gene_model_track,Options:GeneOnly]&amp;mk=4010297:4010316|offset_1|444444,4010322:4010341|offset_26|444444,4010369:4010388|offset_73|444444,4010390:4010409|offset_94|00cc00&amp;v=4010096:4010609&amp;c=444444", "offset 94")</f>
        <v>offset 94</v>
      </c>
    </row>
    <row r="14195" customFormat="false" ht="12.8" hidden="false" customHeight="false" outlineLevel="0" collapsed="false">
      <c r="A14195" s="0" t="s">
        <v>12</v>
      </c>
      <c r="B14195" s="0" t="n">
        <v>4011484</v>
      </c>
      <c r="C14195" s="0" t="n">
        <v>4011504</v>
      </c>
      <c r="D14195" s="0" t="s">
        <v>47306</v>
      </c>
      <c r="E14195" s="0" t="s">
        <v>89</v>
      </c>
      <c r="F14195" s="0" t="s">
        <v>90</v>
      </c>
      <c r="G14195" s="0" t="s">
        <v>16</v>
      </c>
      <c r="H14195" s="0" t="n">
        <v>58</v>
      </c>
      <c r="I14195" s="0" t="s">
        <v>47307</v>
      </c>
      <c r="J14195" s="0" t="s">
        <v>47308</v>
      </c>
      <c r="K14195" s="0" t="s">
        <v>47309</v>
      </c>
      <c r="L14195" s="0" t="str">
        <f aca="false">HYPERLINK("https://www.ncbi.nlm.nih.gov/nuccore/CP000304.1?report=graph&amp;tracks=[key:gene_model_track,Options:GeneOnly]&amp;mk=4011485:4011504|offset_58|00cc00,4011458:4011477|offset_85|444444,4011368:4011387|offset_175|444444,4011245:4011264|offset_298|444444&amp;v=4011284:4011464&amp;c=444444", "offset 58")</f>
        <v>offset 58</v>
      </c>
    </row>
    <row r="14196" customFormat="false" ht="12.8" hidden="false" customHeight="false" outlineLevel="0" collapsed="false">
      <c r="A14196" s="0" t="s">
        <v>12</v>
      </c>
      <c r="B14196" s="0" t="n">
        <v>4011457</v>
      </c>
      <c r="C14196" s="0" t="n">
        <v>4011477</v>
      </c>
      <c r="D14196" s="0" t="s">
        <v>47306</v>
      </c>
      <c r="E14196" s="0" t="s">
        <v>89</v>
      </c>
      <c r="F14196" s="0" t="s">
        <v>90</v>
      </c>
      <c r="G14196" s="0" t="s">
        <v>36</v>
      </c>
      <c r="H14196" s="0" t="n">
        <v>85</v>
      </c>
      <c r="I14196" s="0" t="s">
        <v>47310</v>
      </c>
      <c r="J14196" s="0" t="s">
        <v>47311</v>
      </c>
      <c r="K14196" s="0" t="s">
        <v>47312</v>
      </c>
      <c r="L14196" s="0" t="str">
        <f aca="false">HYPERLINK("https://www.ncbi.nlm.nih.gov/nuccore/CP000304.1?report=graph&amp;tracks=[key:gene_model_track,Options:GeneOnly]&amp;mk=4011485:4011504|offset_58|444444,4011458:4011477|offset_85|00cc00,4011368:4011387|offset_175|444444,4011245:4011264|offset_298|444444&amp;v=4011284:4011464&amp;c=444444", "offset 85")</f>
        <v>offset 85</v>
      </c>
    </row>
    <row r="14197" customFormat="false" ht="12.8" hidden="false" customHeight="false" outlineLevel="0" collapsed="false">
      <c r="A14197" s="0" t="s">
        <v>12</v>
      </c>
      <c r="B14197" s="0" t="n">
        <v>4011367</v>
      </c>
      <c r="C14197" s="0" t="n">
        <v>4011387</v>
      </c>
      <c r="D14197" s="0" t="s">
        <v>47306</v>
      </c>
      <c r="E14197" s="0" t="s">
        <v>89</v>
      </c>
      <c r="F14197" s="0" t="s">
        <v>90</v>
      </c>
      <c r="G14197" s="0" t="s">
        <v>16</v>
      </c>
      <c r="H14197" s="0" t="n">
        <v>175</v>
      </c>
      <c r="I14197" s="0" t="s">
        <v>47313</v>
      </c>
      <c r="J14197" s="0" t="s">
        <v>47314</v>
      </c>
      <c r="K14197" s="0" t="s">
        <v>47315</v>
      </c>
      <c r="L14197" s="0" t="str">
        <f aca="false">HYPERLINK("https://www.ncbi.nlm.nih.gov/nuccore/CP000304.1?report=graph&amp;tracks=[key:gene_model_track,Options:GeneOnly]&amp;mk=4011485:4011504|offset_58|444444,4011458:4011477|offset_85|444444,4011368:4011387|offset_175|00cc00,4011245:4011264|offset_298|444444&amp;v=4011284:4011464&amp;c=444444", "offset 175")</f>
        <v>offset 175</v>
      </c>
    </row>
    <row r="14198" customFormat="false" ht="12.8" hidden="false" customHeight="false" outlineLevel="0" collapsed="false">
      <c r="A14198" s="0" t="s">
        <v>12</v>
      </c>
      <c r="B14198" s="0" t="n">
        <v>4011244</v>
      </c>
      <c r="C14198" s="0" t="n">
        <v>4011264</v>
      </c>
      <c r="D14198" s="0" t="s">
        <v>47306</v>
      </c>
      <c r="E14198" s="0" t="s">
        <v>89</v>
      </c>
      <c r="F14198" s="0" t="s">
        <v>90</v>
      </c>
      <c r="G14198" s="0" t="s">
        <v>16</v>
      </c>
      <c r="H14198" s="0" t="n">
        <v>298</v>
      </c>
      <c r="I14198" s="0" t="s">
        <v>47316</v>
      </c>
      <c r="J14198" s="0" t="s">
        <v>47317</v>
      </c>
      <c r="K14198" s="0" t="s">
        <v>47318</v>
      </c>
      <c r="L14198" s="0" t="str">
        <f aca="false">HYPERLINK("https://www.ncbi.nlm.nih.gov/nuccore/CP000304.1?report=graph&amp;tracks=[key:gene_model_track,Options:GeneOnly]&amp;mk=4011485:4011504|offset_58|444444,4011458:4011477|offset_85|444444,4011368:4011387|offset_175|444444,4011245:4011264|offset_298|00cc00&amp;v=4011284:4011464&amp;c=444444", "offset 298")</f>
        <v>offset 298</v>
      </c>
    </row>
    <row r="14199" customFormat="false" ht="12.8" hidden="false" customHeight="false" outlineLevel="0" collapsed="false">
      <c r="A14199" s="0" t="s">
        <v>12</v>
      </c>
      <c r="B14199" s="0" t="n">
        <v>4011649</v>
      </c>
      <c r="C14199" s="0" t="n">
        <v>4011669</v>
      </c>
      <c r="D14199" s="0" t="s">
        <v>47319</v>
      </c>
      <c r="E14199" s="0" t="s">
        <v>89</v>
      </c>
      <c r="F14199" s="0" t="s">
        <v>15</v>
      </c>
      <c r="G14199" s="0" t="s">
        <v>26</v>
      </c>
      <c r="H14199" s="0" t="n">
        <v>6</v>
      </c>
      <c r="I14199" s="0" t="s">
        <v>47320</v>
      </c>
      <c r="J14199" s="0" t="s">
        <v>47321</v>
      </c>
      <c r="K14199" s="0" t="s">
        <v>47322</v>
      </c>
      <c r="L14199" s="0" t="str">
        <f aca="false">HYPERLINK("https://www.ncbi.nlm.nih.gov/nuccore/CP000304.1?report=graph&amp;tracks=[key:gene_model_track,Options:GeneOnly]&amp;mk=4011650:4011669|offset_6|00cc00,4011672:4011691|offset_28|444444,4011701:4011720|offset_57|444444,4011730:4011749|offset_86|444444&amp;v=4011449:4011949&amp;c=444444", "offset 6")</f>
        <v>offset 6</v>
      </c>
    </row>
    <row r="14200" customFormat="false" ht="12.8" hidden="false" customHeight="false" outlineLevel="0" collapsed="false">
      <c r="A14200" s="0" t="s">
        <v>12</v>
      </c>
      <c r="B14200" s="0" t="n">
        <v>4011671</v>
      </c>
      <c r="C14200" s="0" t="n">
        <v>4011691</v>
      </c>
      <c r="D14200" s="0" t="s">
        <v>47319</v>
      </c>
      <c r="E14200" s="0" t="s">
        <v>89</v>
      </c>
      <c r="F14200" s="0" t="s">
        <v>15</v>
      </c>
      <c r="G14200" s="0" t="s">
        <v>26</v>
      </c>
      <c r="H14200" s="0" t="n">
        <v>28</v>
      </c>
      <c r="I14200" s="0" t="s">
        <v>47323</v>
      </c>
      <c r="J14200" s="0" t="s">
        <v>47324</v>
      </c>
      <c r="K14200" s="0" t="s">
        <v>47325</v>
      </c>
      <c r="L14200" s="0" t="str">
        <f aca="false">HYPERLINK("https://www.ncbi.nlm.nih.gov/nuccore/CP000304.1?report=graph&amp;tracks=[key:gene_model_track,Options:GeneOnly]&amp;mk=4011650:4011669|offset_6|444444,4011672:4011691|offset_28|00cc00,4011701:4011720|offset_57|444444,4011730:4011749|offset_86|444444&amp;v=4011449:4011949&amp;c=444444", "offset 28")</f>
        <v>offset 28</v>
      </c>
    </row>
    <row r="14201" customFormat="false" ht="12.8" hidden="false" customHeight="false" outlineLevel="0" collapsed="false">
      <c r="A14201" s="0" t="s">
        <v>12</v>
      </c>
      <c r="B14201" s="0" t="n">
        <v>4011700</v>
      </c>
      <c r="C14201" s="0" t="n">
        <v>4011720</v>
      </c>
      <c r="D14201" s="0" t="s">
        <v>47319</v>
      </c>
      <c r="E14201" s="0" t="s">
        <v>89</v>
      </c>
      <c r="F14201" s="0" t="s">
        <v>15</v>
      </c>
      <c r="G14201" s="0" t="s">
        <v>32</v>
      </c>
      <c r="H14201" s="0" t="n">
        <v>57</v>
      </c>
      <c r="I14201" s="0" t="s">
        <v>47326</v>
      </c>
      <c r="J14201" s="0" t="s">
        <v>47327</v>
      </c>
      <c r="K14201" s="0" t="s">
        <v>47328</v>
      </c>
      <c r="L14201" s="0" t="str">
        <f aca="false">HYPERLINK("https://www.ncbi.nlm.nih.gov/nuccore/CP000304.1?report=graph&amp;tracks=[key:gene_model_track,Options:GeneOnly]&amp;mk=4011650:4011669|offset_6|444444,4011672:4011691|offset_28|444444,4011701:4011720|offset_57|00cc00,4011730:4011749|offset_86|444444&amp;v=4011449:4011949&amp;c=444444", "offset 57")</f>
        <v>offset 57</v>
      </c>
    </row>
    <row r="14202" customFormat="false" ht="12.8" hidden="false" customHeight="false" outlineLevel="0" collapsed="false">
      <c r="A14202" s="0" t="s">
        <v>12</v>
      </c>
      <c r="B14202" s="0" t="n">
        <v>4011729</v>
      </c>
      <c r="C14202" s="0" t="n">
        <v>4011749</v>
      </c>
      <c r="D14202" s="0" t="s">
        <v>47319</v>
      </c>
      <c r="E14202" s="0" t="s">
        <v>89</v>
      </c>
      <c r="F14202" s="0" t="s">
        <v>15</v>
      </c>
      <c r="G14202" s="0" t="s">
        <v>32</v>
      </c>
      <c r="H14202" s="0" t="n">
        <v>86</v>
      </c>
      <c r="I14202" s="0" t="s">
        <v>47329</v>
      </c>
      <c r="J14202" s="0" t="s">
        <v>47330</v>
      </c>
      <c r="K14202" s="0" t="s">
        <v>47331</v>
      </c>
      <c r="L14202" s="0" t="str">
        <f aca="false">HYPERLINK("https://www.ncbi.nlm.nih.gov/nuccore/CP000304.1?report=graph&amp;tracks=[key:gene_model_track,Options:GeneOnly]&amp;mk=4011650:4011669|offset_6|444444,4011672:4011691|offset_28|444444,4011701:4011720|offset_57|444444,4011730:4011749|offset_86|00cc00&amp;v=4011449:4011949&amp;c=444444", "offset 86")</f>
        <v>offset 86</v>
      </c>
    </row>
    <row r="14203" customFormat="false" ht="12.8" hidden="false" customHeight="false" outlineLevel="0" collapsed="false">
      <c r="A14203" s="0" t="s">
        <v>12</v>
      </c>
      <c r="B14203" s="0" t="n">
        <v>4014949</v>
      </c>
      <c r="C14203" s="0" t="n">
        <v>4014969</v>
      </c>
      <c r="D14203" s="0" t="s">
        <v>47332</v>
      </c>
      <c r="E14203" s="0" t="s">
        <v>89</v>
      </c>
      <c r="F14203" s="0" t="s">
        <v>90</v>
      </c>
      <c r="G14203" s="0" t="s">
        <v>36</v>
      </c>
      <c r="H14203" s="0" t="n">
        <v>10</v>
      </c>
      <c r="I14203" s="0" t="s">
        <v>47333</v>
      </c>
      <c r="J14203" s="0" t="s">
        <v>47334</v>
      </c>
      <c r="K14203" s="0" t="s">
        <v>47335</v>
      </c>
      <c r="L14203" s="0" t="str">
        <f aca="false">HYPERLINK("https://www.ncbi.nlm.nih.gov/nuccore/CP000304.1?report=graph&amp;tracks=[key:gene_model_track,Options:GeneOnly]&amp;mk=4014950:4014969|offset_10|00cc00,4014916:4014935|offset_44|444444,4014876:4014895|offset_84|444444,4014854:4014873|offset_106|444444&amp;v=4014749:4015073&amp;c=444444", "offset 10")</f>
        <v>offset 10</v>
      </c>
    </row>
    <row r="14204" customFormat="false" ht="12.8" hidden="false" customHeight="false" outlineLevel="0" collapsed="false">
      <c r="A14204" s="0" t="s">
        <v>12</v>
      </c>
      <c r="B14204" s="0" t="n">
        <v>4014915</v>
      </c>
      <c r="C14204" s="0" t="n">
        <v>4014935</v>
      </c>
      <c r="D14204" s="0" t="s">
        <v>47332</v>
      </c>
      <c r="E14204" s="0" t="s">
        <v>89</v>
      </c>
      <c r="F14204" s="0" t="s">
        <v>90</v>
      </c>
      <c r="G14204" s="0" t="s">
        <v>32</v>
      </c>
      <c r="H14204" s="0" t="n">
        <v>44</v>
      </c>
      <c r="I14204" s="0" t="s">
        <v>47336</v>
      </c>
      <c r="J14204" s="0" t="s">
        <v>47337</v>
      </c>
      <c r="K14204" s="0" t="s">
        <v>47338</v>
      </c>
      <c r="L14204" s="0" t="str">
        <f aca="false">HYPERLINK("https://www.ncbi.nlm.nih.gov/nuccore/CP000304.1?report=graph&amp;tracks=[key:gene_model_track,Options:GeneOnly]&amp;mk=4014950:4014969|offset_10|444444,4014916:4014935|offset_44|00cc00,4014876:4014895|offset_84|444444,4014854:4014873|offset_106|444444&amp;v=4014749:4015073&amp;c=444444", "offset 44")</f>
        <v>offset 44</v>
      </c>
    </row>
    <row r="14205" customFormat="false" ht="12.8" hidden="false" customHeight="false" outlineLevel="0" collapsed="false">
      <c r="A14205" s="0" t="s">
        <v>12</v>
      </c>
      <c r="B14205" s="0" t="n">
        <v>4014875</v>
      </c>
      <c r="C14205" s="0" t="n">
        <v>4014895</v>
      </c>
      <c r="D14205" s="0" t="s">
        <v>47332</v>
      </c>
      <c r="E14205" s="0" t="s">
        <v>89</v>
      </c>
      <c r="F14205" s="0" t="s">
        <v>90</v>
      </c>
      <c r="G14205" s="0" t="s">
        <v>16</v>
      </c>
      <c r="H14205" s="0" t="n">
        <v>84</v>
      </c>
      <c r="I14205" s="0" t="s">
        <v>47339</v>
      </c>
      <c r="J14205" s="0" t="s">
        <v>47340</v>
      </c>
      <c r="K14205" s="0" t="s">
        <v>47341</v>
      </c>
      <c r="L14205" s="0" t="str">
        <f aca="false">HYPERLINK("https://www.ncbi.nlm.nih.gov/nuccore/CP000304.1?report=graph&amp;tracks=[key:gene_model_track,Options:GeneOnly]&amp;mk=4014950:4014969|offset_10|444444,4014916:4014935|offset_44|444444,4014876:4014895|offset_84|00cc00,4014854:4014873|offset_106|444444&amp;v=4014749:4015073&amp;c=444444", "offset 84")</f>
        <v>offset 84</v>
      </c>
    </row>
    <row r="14206" customFormat="false" ht="12.8" hidden="false" customHeight="false" outlineLevel="0" collapsed="false">
      <c r="A14206" s="0" t="s">
        <v>12</v>
      </c>
      <c r="B14206" s="0" t="n">
        <v>4014853</v>
      </c>
      <c r="C14206" s="0" t="n">
        <v>4014873</v>
      </c>
      <c r="D14206" s="0" t="s">
        <v>47332</v>
      </c>
      <c r="E14206" s="0" t="s">
        <v>89</v>
      </c>
      <c r="F14206" s="0" t="s">
        <v>90</v>
      </c>
      <c r="G14206" s="0" t="s">
        <v>36</v>
      </c>
      <c r="H14206" s="0" t="n">
        <v>106</v>
      </c>
      <c r="I14206" s="0" t="s">
        <v>47342</v>
      </c>
      <c r="J14206" s="0" t="s">
        <v>47343</v>
      </c>
      <c r="K14206" s="0" t="s">
        <v>47344</v>
      </c>
      <c r="L14206" s="0" t="str">
        <f aca="false">HYPERLINK("https://www.ncbi.nlm.nih.gov/nuccore/CP000304.1?report=graph&amp;tracks=[key:gene_model_track,Options:GeneOnly]&amp;mk=4014950:4014969|offset_10|444444,4014916:4014935|offset_44|444444,4014876:4014895|offset_84|444444,4014854:4014873|offset_106|00cc00&amp;v=4014749:4015073&amp;c=444444", "offset 106")</f>
        <v>offset 106</v>
      </c>
    </row>
    <row r="14207" customFormat="false" ht="12.8" hidden="false" customHeight="false" outlineLevel="0" collapsed="false">
      <c r="A14207" s="0" t="s">
        <v>12</v>
      </c>
      <c r="B14207" s="0" t="n">
        <v>4015501</v>
      </c>
      <c r="C14207" s="0" t="n">
        <v>4015521</v>
      </c>
      <c r="D14207" s="0" t="s">
        <v>47345</v>
      </c>
      <c r="E14207" s="0" t="s">
        <v>89</v>
      </c>
      <c r="F14207" s="0" t="s">
        <v>90</v>
      </c>
      <c r="G14207" s="0" t="s">
        <v>16</v>
      </c>
      <c r="H14207" s="0" t="n">
        <v>18</v>
      </c>
      <c r="I14207" s="0" t="s">
        <v>47346</v>
      </c>
      <c r="J14207" s="0" t="s">
        <v>47347</v>
      </c>
      <c r="K14207" s="0" t="s">
        <v>47348</v>
      </c>
      <c r="L14207" s="0" t="str">
        <f aca="false">HYPERLINK("https://www.ncbi.nlm.nih.gov/nuccore/CP000304.1?report=graph&amp;tracks=[key:gene_model_track,Options:GeneOnly]&amp;mk=4015502:4015521|offset_18|00cc00,4015479:4015498|offset_41|444444,4015456:4015475|offset_64|444444,4015433:4015452|offset_87|444444&amp;v=4015301:4015652&amp;c=444444", "offset 18")</f>
        <v>offset 18</v>
      </c>
    </row>
    <row r="14208" customFormat="false" ht="12.8" hidden="false" customHeight="false" outlineLevel="0" collapsed="false">
      <c r="A14208" s="0" t="s">
        <v>12</v>
      </c>
      <c r="B14208" s="0" t="n">
        <v>4015478</v>
      </c>
      <c r="C14208" s="0" t="n">
        <v>4015498</v>
      </c>
      <c r="D14208" s="0" t="s">
        <v>47345</v>
      </c>
      <c r="E14208" s="0" t="s">
        <v>89</v>
      </c>
      <c r="F14208" s="0" t="s">
        <v>90</v>
      </c>
      <c r="G14208" s="0" t="s">
        <v>26</v>
      </c>
      <c r="H14208" s="0" t="n">
        <v>41</v>
      </c>
      <c r="I14208" s="0" t="s">
        <v>47349</v>
      </c>
      <c r="J14208" s="0" t="s">
        <v>47350</v>
      </c>
      <c r="K14208" s="0" t="s">
        <v>47351</v>
      </c>
      <c r="L14208" s="0" t="str">
        <f aca="false">HYPERLINK("https://www.ncbi.nlm.nih.gov/nuccore/CP000304.1?report=graph&amp;tracks=[key:gene_model_track,Options:GeneOnly]&amp;mk=4015502:4015521|offset_18|444444,4015479:4015498|offset_41|00cc00,4015456:4015475|offset_64|444444,4015433:4015452|offset_87|444444&amp;v=4015301:4015652&amp;c=444444", "offset 41")</f>
        <v>offset 41</v>
      </c>
    </row>
    <row r="14209" customFormat="false" ht="12.8" hidden="false" customHeight="false" outlineLevel="0" collapsed="false">
      <c r="A14209" s="0" t="s">
        <v>12</v>
      </c>
      <c r="B14209" s="0" t="n">
        <v>4015455</v>
      </c>
      <c r="C14209" s="0" t="n">
        <v>4015475</v>
      </c>
      <c r="D14209" s="0" t="s">
        <v>47345</v>
      </c>
      <c r="E14209" s="0" t="s">
        <v>89</v>
      </c>
      <c r="F14209" s="0" t="s">
        <v>90</v>
      </c>
      <c r="G14209" s="0" t="s">
        <v>16</v>
      </c>
      <c r="H14209" s="0" t="n">
        <v>64</v>
      </c>
      <c r="I14209" s="0" t="s">
        <v>47352</v>
      </c>
      <c r="J14209" s="0" t="s">
        <v>47353</v>
      </c>
      <c r="K14209" s="0" t="s">
        <v>47354</v>
      </c>
      <c r="L14209" s="0" t="str">
        <f aca="false">HYPERLINK("https://www.ncbi.nlm.nih.gov/nuccore/CP000304.1?report=graph&amp;tracks=[key:gene_model_track,Options:GeneOnly]&amp;mk=4015502:4015521|offset_18|444444,4015479:4015498|offset_41|444444,4015456:4015475|offset_64|00cc00,4015433:4015452|offset_87|444444&amp;v=4015301:4015652&amp;c=444444", "offset 64")</f>
        <v>offset 64</v>
      </c>
    </row>
    <row r="14210" customFormat="false" ht="12.8" hidden="false" customHeight="false" outlineLevel="0" collapsed="false">
      <c r="A14210" s="0" t="s">
        <v>12</v>
      </c>
      <c r="B14210" s="0" t="n">
        <v>4015432</v>
      </c>
      <c r="C14210" s="0" t="n">
        <v>4015452</v>
      </c>
      <c r="D14210" s="0" t="s">
        <v>47345</v>
      </c>
      <c r="E14210" s="0" t="s">
        <v>89</v>
      </c>
      <c r="F14210" s="0" t="s">
        <v>90</v>
      </c>
      <c r="G14210" s="0" t="s">
        <v>16</v>
      </c>
      <c r="H14210" s="0" t="n">
        <v>87</v>
      </c>
      <c r="I14210" s="0" t="s">
        <v>47355</v>
      </c>
      <c r="J14210" s="0" t="s">
        <v>47356</v>
      </c>
      <c r="K14210" s="0" t="s">
        <v>47357</v>
      </c>
      <c r="L14210" s="0" t="str">
        <f aca="false">HYPERLINK("https://www.ncbi.nlm.nih.gov/nuccore/CP000304.1?report=graph&amp;tracks=[key:gene_model_track,Options:GeneOnly]&amp;mk=4015502:4015521|offset_18|444444,4015479:4015498|offset_41|444444,4015456:4015475|offset_64|444444,4015433:4015452|offset_87|00cc00&amp;v=4015301:4015652&amp;c=444444", "offset 87")</f>
        <v>offset 87</v>
      </c>
    </row>
    <row r="14211" customFormat="false" ht="12.8" hidden="false" customHeight="false" outlineLevel="0" collapsed="false">
      <c r="A14211" s="0" t="s">
        <v>12</v>
      </c>
      <c r="B14211" s="0" t="n">
        <v>4015738</v>
      </c>
      <c r="C14211" s="0" t="n">
        <v>4015758</v>
      </c>
      <c r="D14211" s="0" t="s">
        <v>47358</v>
      </c>
      <c r="E14211" s="0" t="s">
        <v>89</v>
      </c>
      <c r="F14211" s="0" t="s">
        <v>15</v>
      </c>
      <c r="G14211" s="0" t="s">
        <v>36</v>
      </c>
      <c r="H14211" s="0" t="n">
        <v>10</v>
      </c>
      <c r="I14211" s="0" t="s">
        <v>47359</v>
      </c>
      <c r="J14211" s="0" t="s">
        <v>47360</v>
      </c>
      <c r="K14211" s="0" t="s">
        <v>47361</v>
      </c>
      <c r="L14211" s="0" t="str">
        <f aca="false">HYPERLINK("https://www.ncbi.nlm.nih.gov/nuccore/CP000304.1?report=graph&amp;tracks=[key:gene_model_track,Options:GeneOnly]&amp;mk=4015739:4015758|offset_10|00cc00,4015769:4015788|offset_40|444444,4015793:4015812|offset_64|444444,4015816:4015835|offset_87|444444&amp;v=4015538:4016035&amp;c=444444", "offset 10")</f>
        <v>offset 10</v>
      </c>
    </row>
    <row r="14212" customFormat="false" ht="12.8" hidden="false" customHeight="false" outlineLevel="0" collapsed="false">
      <c r="A14212" s="0" t="s">
        <v>12</v>
      </c>
      <c r="B14212" s="0" t="n">
        <v>4015768</v>
      </c>
      <c r="C14212" s="0" t="n">
        <v>4015788</v>
      </c>
      <c r="D14212" s="0" t="s">
        <v>47358</v>
      </c>
      <c r="E14212" s="0" t="s">
        <v>89</v>
      </c>
      <c r="F14212" s="0" t="s">
        <v>15</v>
      </c>
      <c r="G14212" s="0" t="s">
        <v>16</v>
      </c>
      <c r="H14212" s="0" t="n">
        <v>40</v>
      </c>
      <c r="I14212" s="0" t="s">
        <v>47362</v>
      </c>
      <c r="J14212" s="0" t="s">
        <v>47363</v>
      </c>
      <c r="K14212" s="0" t="s">
        <v>47364</v>
      </c>
      <c r="L14212" s="0" t="str">
        <f aca="false">HYPERLINK("https://www.ncbi.nlm.nih.gov/nuccore/CP000304.1?report=graph&amp;tracks=[key:gene_model_track,Options:GeneOnly]&amp;mk=4015739:4015758|offset_10|444444,4015769:4015788|offset_40|00cc00,4015793:4015812|offset_64|444444,4015816:4015835|offset_87|444444&amp;v=4015538:4016035&amp;c=444444", "offset 40")</f>
        <v>offset 40</v>
      </c>
    </row>
    <row r="14213" customFormat="false" ht="12.8" hidden="false" customHeight="false" outlineLevel="0" collapsed="false">
      <c r="A14213" s="0" t="s">
        <v>12</v>
      </c>
      <c r="B14213" s="0" t="n">
        <v>4015792</v>
      </c>
      <c r="C14213" s="0" t="n">
        <v>4015812</v>
      </c>
      <c r="D14213" s="0" t="s">
        <v>47358</v>
      </c>
      <c r="E14213" s="0" t="s">
        <v>89</v>
      </c>
      <c r="F14213" s="0" t="s">
        <v>15</v>
      </c>
      <c r="G14213" s="0" t="s">
        <v>16</v>
      </c>
      <c r="H14213" s="0" t="n">
        <v>64</v>
      </c>
      <c r="I14213" s="0" t="s">
        <v>47365</v>
      </c>
      <c r="J14213" s="0" t="s">
        <v>47366</v>
      </c>
      <c r="K14213" s="0" t="s">
        <v>47367</v>
      </c>
      <c r="L14213" s="0" t="str">
        <f aca="false">HYPERLINK("https://www.ncbi.nlm.nih.gov/nuccore/CP000304.1?report=graph&amp;tracks=[key:gene_model_track,Options:GeneOnly]&amp;mk=4015739:4015758|offset_10|444444,4015769:4015788|offset_40|444444,4015793:4015812|offset_64|00cc00,4015816:4015835|offset_87|444444&amp;v=4015538:4016035&amp;c=444444", "offset 64")</f>
        <v>offset 64</v>
      </c>
    </row>
    <row r="14214" customFormat="false" ht="12.8" hidden="false" customHeight="false" outlineLevel="0" collapsed="false">
      <c r="A14214" s="0" t="s">
        <v>12</v>
      </c>
      <c r="B14214" s="0" t="n">
        <v>4015815</v>
      </c>
      <c r="C14214" s="0" t="n">
        <v>4015835</v>
      </c>
      <c r="D14214" s="0" t="s">
        <v>47358</v>
      </c>
      <c r="E14214" s="0" t="s">
        <v>89</v>
      </c>
      <c r="F14214" s="0" t="s">
        <v>15</v>
      </c>
      <c r="G14214" s="0" t="s">
        <v>36</v>
      </c>
      <c r="H14214" s="0" t="n">
        <v>87</v>
      </c>
      <c r="I14214" s="0" t="s">
        <v>47368</v>
      </c>
      <c r="J14214" s="0" t="s">
        <v>47369</v>
      </c>
      <c r="K14214" s="0" t="s">
        <v>47370</v>
      </c>
      <c r="L14214" s="0" t="str">
        <f aca="false">HYPERLINK("https://www.ncbi.nlm.nih.gov/nuccore/CP000304.1?report=graph&amp;tracks=[key:gene_model_track,Options:GeneOnly]&amp;mk=4015739:4015758|offset_10|444444,4015769:4015788|offset_40|444444,4015793:4015812|offset_64|444444,4015816:4015835|offset_87|00cc00&amp;v=4015538:4016035&amp;c=444444", "offset 87")</f>
        <v>offset 87</v>
      </c>
    </row>
    <row r="14215" customFormat="false" ht="12.8" hidden="false" customHeight="false" outlineLevel="0" collapsed="false">
      <c r="A14215" s="0" t="s">
        <v>12</v>
      </c>
      <c r="B14215" s="0" t="n">
        <v>4016190</v>
      </c>
      <c r="C14215" s="0" t="n">
        <v>4016210</v>
      </c>
      <c r="D14215" s="0" t="s">
        <v>47371</v>
      </c>
      <c r="E14215" s="0" t="s">
        <v>89</v>
      </c>
      <c r="F14215" s="0" t="s">
        <v>15</v>
      </c>
      <c r="G14215" s="0" t="s">
        <v>32</v>
      </c>
      <c r="H14215" s="0" t="n">
        <v>20</v>
      </c>
      <c r="I14215" s="0" t="s">
        <v>47372</v>
      </c>
      <c r="J14215" s="0" t="s">
        <v>47373</v>
      </c>
      <c r="K14215" s="0" t="s">
        <v>47374</v>
      </c>
      <c r="L14215" s="0" t="str">
        <f aca="false">HYPERLINK("https://www.ncbi.nlm.nih.gov/nuccore/CP000304.1?report=graph&amp;tracks=[key:gene_model_track,Options:GeneOnly]&amp;mk=4016191:4016210|offset_20|00cc00,4016214:4016233|offset_43|444444,4016238:4016257|offset_67|444444,4016262:4016281|offset_91|444444&amp;v=4015990:4016481&amp;c=444444", "offset 20")</f>
        <v>offset 20</v>
      </c>
    </row>
    <row r="14216" customFormat="false" ht="12.8" hidden="false" customHeight="false" outlineLevel="0" collapsed="false">
      <c r="A14216" s="0" t="s">
        <v>12</v>
      </c>
      <c r="B14216" s="0" t="n">
        <v>4016213</v>
      </c>
      <c r="C14216" s="0" t="n">
        <v>4016233</v>
      </c>
      <c r="D14216" s="0" t="s">
        <v>47371</v>
      </c>
      <c r="E14216" s="0" t="s">
        <v>89</v>
      </c>
      <c r="F14216" s="0" t="s">
        <v>15</v>
      </c>
      <c r="G14216" s="0" t="s">
        <v>32</v>
      </c>
      <c r="H14216" s="0" t="n">
        <v>43</v>
      </c>
      <c r="I14216" s="0" t="s">
        <v>47375</v>
      </c>
      <c r="J14216" s="0" t="s">
        <v>47376</v>
      </c>
      <c r="K14216" s="0" t="s">
        <v>47377</v>
      </c>
      <c r="L14216" s="0" t="str">
        <f aca="false">HYPERLINK("https://www.ncbi.nlm.nih.gov/nuccore/CP000304.1?report=graph&amp;tracks=[key:gene_model_track,Options:GeneOnly]&amp;mk=4016191:4016210|offset_20|444444,4016214:4016233|offset_43|00cc00,4016238:4016257|offset_67|444444,4016262:4016281|offset_91|444444&amp;v=4015990:4016481&amp;c=444444", "offset 43")</f>
        <v>offset 43</v>
      </c>
    </row>
    <row r="14217" customFormat="false" ht="12.8" hidden="false" customHeight="false" outlineLevel="0" collapsed="false">
      <c r="A14217" s="0" t="s">
        <v>12</v>
      </c>
      <c r="B14217" s="0" t="n">
        <v>4016237</v>
      </c>
      <c r="C14217" s="0" t="n">
        <v>4016257</v>
      </c>
      <c r="D14217" s="0" t="s">
        <v>47371</v>
      </c>
      <c r="E14217" s="0" t="s">
        <v>89</v>
      </c>
      <c r="F14217" s="0" t="s">
        <v>15</v>
      </c>
      <c r="G14217" s="0" t="s">
        <v>32</v>
      </c>
      <c r="H14217" s="0" t="n">
        <v>67</v>
      </c>
      <c r="I14217" s="0" t="s">
        <v>47378</v>
      </c>
      <c r="J14217" s="0" t="s">
        <v>47379</v>
      </c>
      <c r="K14217" s="0" t="s">
        <v>47380</v>
      </c>
      <c r="L14217" s="0" t="str">
        <f aca="false">HYPERLINK("https://www.ncbi.nlm.nih.gov/nuccore/CP000304.1?report=graph&amp;tracks=[key:gene_model_track,Options:GeneOnly]&amp;mk=4016191:4016210|offset_20|444444,4016214:4016233|offset_43|444444,4016238:4016257|offset_67|00cc00,4016262:4016281|offset_91|444444&amp;v=4015990:4016481&amp;c=444444", "offset 67")</f>
        <v>offset 67</v>
      </c>
    </row>
    <row r="14218" customFormat="false" ht="12.8" hidden="false" customHeight="false" outlineLevel="0" collapsed="false">
      <c r="A14218" s="0" t="s">
        <v>12</v>
      </c>
      <c r="B14218" s="0" t="n">
        <v>4016261</v>
      </c>
      <c r="C14218" s="0" t="n">
        <v>4016281</v>
      </c>
      <c r="D14218" s="0" t="s">
        <v>47371</v>
      </c>
      <c r="E14218" s="0" t="s">
        <v>89</v>
      </c>
      <c r="F14218" s="0" t="s">
        <v>15</v>
      </c>
      <c r="G14218" s="0" t="s">
        <v>16</v>
      </c>
      <c r="H14218" s="0" t="n">
        <v>91</v>
      </c>
      <c r="I14218" s="0" t="s">
        <v>47381</v>
      </c>
      <c r="J14218" s="0" t="s">
        <v>47382</v>
      </c>
      <c r="K14218" s="0" t="s">
        <v>47383</v>
      </c>
      <c r="L14218" s="0" t="str">
        <f aca="false">HYPERLINK("https://www.ncbi.nlm.nih.gov/nuccore/CP000304.1?report=graph&amp;tracks=[key:gene_model_track,Options:GeneOnly]&amp;mk=4016191:4016210|offset_20|444444,4016214:4016233|offset_43|444444,4016238:4016257|offset_67|444444,4016262:4016281|offset_91|00cc00&amp;v=4015990:4016481&amp;c=444444", "offset 91")</f>
        <v>offset 91</v>
      </c>
    </row>
    <row r="14219" customFormat="false" ht="12.8" hidden="false" customHeight="false" outlineLevel="0" collapsed="false">
      <c r="A14219" s="0" t="s">
        <v>12</v>
      </c>
      <c r="B14219" s="0" t="n">
        <v>4017403</v>
      </c>
      <c r="C14219" s="0" t="n">
        <v>4017423</v>
      </c>
      <c r="D14219" s="0" t="s">
        <v>47384</v>
      </c>
      <c r="E14219" s="0" t="s">
        <v>89</v>
      </c>
      <c r="F14219" s="0" t="s">
        <v>15</v>
      </c>
      <c r="G14219" s="0" t="s">
        <v>26</v>
      </c>
      <c r="H14219" s="0" t="n">
        <v>27</v>
      </c>
      <c r="I14219" s="0" t="s">
        <v>47385</v>
      </c>
      <c r="J14219" s="0" t="s">
        <v>47386</v>
      </c>
      <c r="K14219" s="0" t="s">
        <v>47387</v>
      </c>
      <c r="L14219" s="0" t="str">
        <f aca="false">HYPERLINK("https://www.ncbi.nlm.nih.gov/nuccore/CP000304.1?report=graph&amp;tracks=[key:gene_model_track,Options:GeneOnly]&amp;mk=4017404:4017423|offset_27|00cc00,4017424:4017443|offset_47|444444,4017448:4017467|offset_71|444444,4017468:4017487|offset_91|444444&amp;v=4017203:4017687&amp;c=444444", "offset 27")</f>
        <v>offset 27</v>
      </c>
    </row>
    <row r="14220" customFormat="false" ht="12.8" hidden="false" customHeight="false" outlineLevel="0" collapsed="false">
      <c r="A14220" s="0" t="s">
        <v>12</v>
      </c>
      <c r="B14220" s="0" t="n">
        <v>4017423</v>
      </c>
      <c r="C14220" s="0" t="n">
        <v>4017443</v>
      </c>
      <c r="D14220" s="0" t="s">
        <v>47384</v>
      </c>
      <c r="E14220" s="0" t="s">
        <v>89</v>
      </c>
      <c r="F14220" s="0" t="s">
        <v>15</v>
      </c>
      <c r="G14220" s="0" t="s">
        <v>26</v>
      </c>
      <c r="H14220" s="0" t="n">
        <v>47</v>
      </c>
      <c r="I14220" s="0" t="s">
        <v>47388</v>
      </c>
      <c r="J14220" s="0" t="s">
        <v>47389</v>
      </c>
      <c r="K14220" s="0" t="s">
        <v>47390</v>
      </c>
      <c r="L14220" s="0" t="str">
        <f aca="false">HYPERLINK("https://www.ncbi.nlm.nih.gov/nuccore/CP000304.1?report=graph&amp;tracks=[key:gene_model_track,Options:GeneOnly]&amp;mk=4017404:4017423|offset_27|444444,4017424:4017443|offset_47|00cc00,4017448:4017467|offset_71|444444,4017468:4017487|offset_91|444444&amp;v=4017203:4017687&amp;c=444444", "offset 47")</f>
        <v>offset 47</v>
      </c>
    </row>
    <row r="14221" customFormat="false" ht="12.8" hidden="false" customHeight="false" outlineLevel="0" collapsed="false">
      <c r="A14221" s="0" t="s">
        <v>12</v>
      </c>
      <c r="B14221" s="0" t="n">
        <v>4017447</v>
      </c>
      <c r="C14221" s="0" t="n">
        <v>4017467</v>
      </c>
      <c r="D14221" s="0" t="s">
        <v>47384</v>
      </c>
      <c r="E14221" s="0" t="s">
        <v>89</v>
      </c>
      <c r="F14221" s="0" t="s">
        <v>15</v>
      </c>
      <c r="G14221" s="0" t="s">
        <v>16</v>
      </c>
      <c r="H14221" s="0" t="n">
        <v>71</v>
      </c>
      <c r="I14221" s="0" t="s">
        <v>47391</v>
      </c>
      <c r="J14221" s="0" t="s">
        <v>47392</v>
      </c>
      <c r="K14221" s="0" t="s">
        <v>47393</v>
      </c>
      <c r="L14221" s="0" t="str">
        <f aca="false">HYPERLINK("https://www.ncbi.nlm.nih.gov/nuccore/CP000304.1?report=graph&amp;tracks=[key:gene_model_track,Options:GeneOnly]&amp;mk=4017404:4017423|offset_27|444444,4017424:4017443|offset_47|444444,4017448:4017467|offset_71|00cc00,4017468:4017487|offset_91|444444&amp;v=4017203:4017687&amp;c=444444", "offset 71")</f>
        <v>offset 71</v>
      </c>
    </row>
    <row r="14222" customFormat="false" ht="12.8" hidden="false" customHeight="false" outlineLevel="0" collapsed="false">
      <c r="A14222" s="0" t="s">
        <v>12</v>
      </c>
      <c r="B14222" s="0" t="n">
        <v>4017467</v>
      </c>
      <c r="C14222" s="0" t="n">
        <v>4017487</v>
      </c>
      <c r="D14222" s="0" t="s">
        <v>47384</v>
      </c>
      <c r="E14222" s="0" t="s">
        <v>89</v>
      </c>
      <c r="F14222" s="0" t="s">
        <v>15</v>
      </c>
      <c r="G14222" s="0" t="s">
        <v>32</v>
      </c>
      <c r="H14222" s="0" t="n">
        <v>91</v>
      </c>
      <c r="I14222" s="0" t="s">
        <v>47394</v>
      </c>
      <c r="J14222" s="0" t="s">
        <v>47395</v>
      </c>
      <c r="K14222" s="0" t="s">
        <v>47396</v>
      </c>
      <c r="L14222" s="0" t="str">
        <f aca="false">HYPERLINK("https://www.ncbi.nlm.nih.gov/nuccore/CP000304.1?report=graph&amp;tracks=[key:gene_model_track,Options:GeneOnly]&amp;mk=4017404:4017423|offset_27|444444,4017424:4017443|offset_47|444444,4017448:4017467|offset_71|444444,4017468:4017487|offset_91|00cc00&amp;v=4017203:4017687&amp;c=444444", "offset 91")</f>
        <v>offset 91</v>
      </c>
    </row>
    <row r="14223" customFormat="false" ht="12.8" hidden="false" customHeight="false" outlineLevel="0" collapsed="false">
      <c r="A14223" s="0" t="s">
        <v>12</v>
      </c>
      <c r="B14223" s="0" t="n">
        <v>4018094</v>
      </c>
      <c r="C14223" s="0" t="n">
        <v>4018114</v>
      </c>
      <c r="D14223" s="0" t="s">
        <v>47397</v>
      </c>
      <c r="E14223" s="0" t="s">
        <v>89</v>
      </c>
      <c r="F14223" s="0" t="s">
        <v>15</v>
      </c>
      <c r="G14223" s="0" t="s">
        <v>36</v>
      </c>
      <c r="H14223" s="0" t="n">
        <v>0</v>
      </c>
      <c r="I14223" s="0" t="s">
        <v>47398</v>
      </c>
      <c r="J14223" s="0" t="s">
        <v>47399</v>
      </c>
      <c r="K14223" s="0" t="s">
        <v>47400</v>
      </c>
      <c r="L14223" s="0" t="str">
        <f aca="false">HYPERLINK("https://www.ncbi.nlm.nih.gov/nuccore/CP000304.1?report=graph&amp;tracks=[key:gene_model_track,Options:GeneOnly]&amp;mk=4018095:4018114|offset_0|00cc00,4018148:4018167|offset_53|444444,4018174:4018193|offset_79|444444,4018194:4018213|offset_99|444444&amp;v=4017894:4018413&amp;c=444444", "offset 0")</f>
        <v>offset 0</v>
      </c>
    </row>
    <row r="14224" customFormat="false" ht="12.8" hidden="false" customHeight="false" outlineLevel="0" collapsed="false">
      <c r="A14224" s="0" t="s">
        <v>12</v>
      </c>
      <c r="B14224" s="0" t="n">
        <v>4018147</v>
      </c>
      <c r="C14224" s="0" t="n">
        <v>4018167</v>
      </c>
      <c r="D14224" s="0" t="s">
        <v>47397</v>
      </c>
      <c r="E14224" s="0" t="s">
        <v>89</v>
      </c>
      <c r="F14224" s="0" t="s">
        <v>15</v>
      </c>
      <c r="G14224" s="0" t="s">
        <v>36</v>
      </c>
      <c r="H14224" s="0" t="n">
        <v>53</v>
      </c>
      <c r="I14224" s="0" t="s">
        <v>47401</v>
      </c>
      <c r="J14224" s="0" t="s">
        <v>47402</v>
      </c>
      <c r="K14224" s="0" t="s">
        <v>47403</v>
      </c>
      <c r="L14224" s="0" t="str">
        <f aca="false">HYPERLINK("https://www.ncbi.nlm.nih.gov/nuccore/CP000304.1?report=graph&amp;tracks=[key:gene_model_track,Options:GeneOnly]&amp;mk=4018095:4018114|offset_0|444444,4018148:4018167|offset_53|00cc00,4018174:4018193|offset_79|444444,4018194:4018213|offset_99|444444&amp;v=4017894:4018413&amp;c=444444", "offset 53")</f>
        <v>offset 53</v>
      </c>
    </row>
    <row r="14225" customFormat="false" ht="12.8" hidden="false" customHeight="false" outlineLevel="0" collapsed="false">
      <c r="A14225" s="0" t="s">
        <v>12</v>
      </c>
      <c r="B14225" s="0" t="n">
        <v>4018173</v>
      </c>
      <c r="C14225" s="0" t="n">
        <v>4018193</v>
      </c>
      <c r="D14225" s="0" t="s">
        <v>47397</v>
      </c>
      <c r="E14225" s="0" t="s">
        <v>89</v>
      </c>
      <c r="F14225" s="0" t="s">
        <v>15</v>
      </c>
      <c r="G14225" s="0" t="s">
        <v>32</v>
      </c>
      <c r="H14225" s="0" t="n">
        <v>79</v>
      </c>
      <c r="I14225" s="0" t="s">
        <v>47404</v>
      </c>
      <c r="J14225" s="0" t="s">
        <v>47405</v>
      </c>
      <c r="K14225" s="0" t="s">
        <v>47406</v>
      </c>
      <c r="L14225" s="0" t="str">
        <f aca="false">HYPERLINK("https://www.ncbi.nlm.nih.gov/nuccore/CP000304.1?report=graph&amp;tracks=[key:gene_model_track,Options:GeneOnly]&amp;mk=4018095:4018114|offset_0|444444,4018148:4018167|offset_53|444444,4018174:4018193|offset_79|00cc00,4018194:4018213|offset_99|444444&amp;v=4017894:4018413&amp;c=444444", "offset 79")</f>
        <v>offset 79</v>
      </c>
    </row>
    <row r="14226" customFormat="false" ht="12.8" hidden="false" customHeight="false" outlineLevel="0" collapsed="false">
      <c r="A14226" s="0" t="s">
        <v>12</v>
      </c>
      <c r="B14226" s="0" t="n">
        <v>4018193</v>
      </c>
      <c r="C14226" s="0" t="n">
        <v>4018213</v>
      </c>
      <c r="D14226" s="0" t="s">
        <v>47397</v>
      </c>
      <c r="E14226" s="0" t="s">
        <v>89</v>
      </c>
      <c r="F14226" s="0" t="s">
        <v>15</v>
      </c>
      <c r="G14226" s="0" t="s">
        <v>32</v>
      </c>
      <c r="H14226" s="0" t="n">
        <v>99</v>
      </c>
      <c r="I14226" s="0" t="s">
        <v>47407</v>
      </c>
      <c r="J14226" s="0" t="s">
        <v>47408</v>
      </c>
      <c r="K14226" s="0" t="s">
        <v>47409</v>
      </c>
      <c r="L14226" s="0" t="str">
        <f aca="false">HYPERLINK("https://www.ncbi.nlm.nih.gov/nuccore/CP000304.1?report=graph&amp;tracks=[key:gene_model_track,Options:GeneOnly]&amp;mk=4018095:4018114|offset_0|444444,4018148:4018167|offset_53|444444,4018174:4018193|offset_79|444444,4018194:4018213|offset_99|00cc00&amp;v=4017894:4018413&amp;c=444444", "offset 99")</f>
        <v>offset 99</v>
      </c>
    </row>
    <row r="14227" customFormat="false" ht="12.8" hidden="false" customHeight="false" outlineLevel="0" collapsed="false">
      <c r="A14227" s="0" t="s">
        <v>12</v>
      </c>
      <c r="B14227" s="0" t="n">
        <v>4018723</v>
      </c>
      <c r="C14227" s="0" t="n">
        <v>4018743</v>
      </c>
      <c r="D14227" s="0" t="s">
        <v>47410</v>
      </c>
      <c r="E14227" s="0" t="s">
        <v>89</v>
      </c>
      <c r="F14227" s="0" t="s">
        <v>15</v>
      </c>
      <c r="G14227" s="0" t="s">
        <v>26</v>
      </c>
      <c r="H14227" s="0" t="n">
        <v>31</v>
      </c>
      <c r="I14227" s="0" t="s">
        <v>47411</v>
      </c>
      <c r="J14227" s="0" t="s">
        <v>47412</v>
      </c>
      <c r="K14227" s="0" t="s">
        <v>47413</v>
      </c>
      <c r="L14227" s="0" t="str">
        <f aca="false">HYPERLINK("https://www.ncbi.nlm.nih.gov/nuccore/CP000304.1?report=graph&amp;tracks=[key:gene_model_track,Options:GeneOnly]&amp;mk=4018724:4018743|offset_31|00cc00,4018749:4018768|offset_56|444444,4018769:4018788|offset_76|444444,4018791:4018810|offset_98|444444&amp;v=4018523:4019010&amp;c=444444", "offset 31")</f>
        <v>offset 31</v>
      </c>
    </row>
    <row r="14228" customFormat="false" ht="12.8" hidden="false" customHeight="false" outlineLevel="0" collapsed="false">
      <c r="A14228" s="0" t="s">
        <v>12</v>
      </c>
      <c r="B14228" s="0" t="n">
        <v>4018748</v>
      </c>
      <c r="C14228" s="0" t="n">
        <v>4018768</v>
      </c>
      <c r="D14228" s="0" t="s">
        <v>47410</v>
      </c>
      <c r="E14228" s="0" t="s">
        <v>89</v>
      </c>
      <c r="F14228" s="0" t="s">
        <v>15</v>
      </c>
      <c r="G14228" s="0" t="s">
        <v>26</v>
      </c>
      <c r="H14228" s="0" t="n">
        <v>56</v>
      </c>
      <c r="I14228" s="0" t="s">
        <v>47414</v>
      </c>
      <c r="J14228" s="0" t="s">
        <v>47415</v>
      </c>
      <c r="K14228" s="0" t="s">
        <v>47416</v>
      </c>
      <c r="L14228" s="0" t="str">
        <f aca="false">HYPERLINK("https://www.ncbi.nlm.nih.gov/nuccore/CP000304.1?report=graph&amp;tracks=[key:gene_model_track,Options:GeneOnly]&amp;mk=4018724:4018743|offset_31|444444,4018749:4018768|offset_56|00cc00,4018769:4018788|offset_76|444444,4018791:4018810|offset_98|444444&amp;v=4018523:4019010&amp;c=444444", "offset 56")</f>
        <v>offset 56</v>
      </c>
    </row>
    <row r="14229" customFormat="false" ht="12.8" hidden="false" customHeight="false" outlineLevel="0" collapsed="false">
      <c r="A14229" s="0" t="s">
        <v>12</v>
      </c>
      <c r="B14229" s="0" t="n">
        <v>4018768</v>
      </c>
      <c r="C14229" s="0" t="n">
        <v>4018788</v>
      </c>
      <c r="D14229" s="0" t="s">
        <v>47410</v>
      </c>
      <c r="E14229" s="0" t="s">
        <v>89</v>
      </c>
      <c r="F14229" s="0" t="s">
        <v>15</v>
      </c>
      <c r="G14229" s="0" t="s">
        <v>16</v>
      </c>
      <c r="H14229" s="0" t="n">
        <v>76</v>
      </c>
      <c r="I14229" s="0" t="s">
        <v>47417</v>
      </c>
      <c r="J14229" s="0" t="s">
        <v>47418</v>
      </c>
      <c r="K14229" s="0" t="s">
        <v>47419</v>
      </c>
      <c r="L14229" s="0" t="str">
        <f aca="false">HYPERLINK("https://www.ncbi.nlm.nih.gov/nuccore/CP000304.1?report=graph&amp;tracks=[key:gene_model_track,Options:GeneOnly]&amp;mk=4018724:4018743|offset_31|444444,4018749:4018768|offset_56|444444,4018769:4018788|offset_76|00cc00,4018791:4018810|offset_98|444444&amp;v=4018523:4019010&amp;c=444444", "offset 76")</f>
        <v>offset 76</v>
      </c>
    </row>
    <row r="14230" customFormat="false" ht="12.8" hidden="false" customHeight="false" outlineLevel="0" collapsed="false">
      <c r="A14230" s="0" t="s">
        <v>12</v>
      </c>
      <c r="B14230" s="0" t="n">
        <v>4018790</v>
      </c>
      <c r="C14230" s="0" t="n">
        <v>4018810</v>
      </c>
      <c r="D14230" s="0" t="s">
        <v>47410</v>
      </c>
      <c r="E14230" s="0" t="s">
        <v>89</v>
      </c>
      <c r="F14230" s="0" t="s">
        <v>15</v>
      </c>
      <c r="G14230" s="0" t="s">
        <v>26</v>
      </c>
      <c r="H14230" s="0" t="n">
        <v>98</v>
      </c>
      <c r="I14230" s="0" t="s">
        <v>47420</v>
      </c>
      <c r="J14230" s="0" t="s">
        <v>47421</v>
      </c>
      <c r="K14230" s="0" t="s">
        <v>47422</v>
      </c>
      <c r="L14230" s="0" t="str">
        <f aca="false">HYPERLINK("https://www.ncbi.nlm.nih.gov/nuccore/CP000304.1?report=graph&amp;tracks=[key:gene_model_track,Options:GeneOnly]&amp;mk=4018724:4018743|offset_31|444444,4018749:4018768|offset_56|444444,4018769:4018788|offset_76|444444,4018791:4018810|offset_98|00cc00&amp;v=4018523:4019010&amp;c=444444", "offset 98")</f>
        <v>offset 98</v>
      </c>
    </row>
    <row r="14231" customFormat="false" ht="12.8" hidden="false" customHeight="false" outlineLevel="0" collapsed="false">
      <c r="A14231" s="0" t="s">
        <v>12</v>
      </c>
      <c r="B14231" s="0" t="n">
        <v>4019511</v>
      </c>
      <c r="C14231" s="0" t="n">
        <v>4019531</v>
      </c>
      <c r="D14231" s="0" t="s">
        <v>47423</v>
      </c>
      <c r="E14231" s="0" t="s">
        <v>89</v>
      </c>
      <c r="F14231" s="0" t="s">
        <v>90</v>
      </c>
      <c r="G14231" s="0" t="s">
        <v>32</v>
      </c>
      <c r="H14231" s="0" t="n">
        <v>1</v>
      </c>
      <c r="I14231" s="0" t="s">
        <v>47424</v>
      </c>
      <c r="J14231" s="0" t="s">
        <v>47425</v>
      </c>
      <c r="K14231" s="0" t="s">
        <v>47426</v>
      </c>
      <c r="L14231" s="0" t="str">
        <f aca="false">HYPERLINK("https://www.ncbi.nlm.nih.gov/nuccore/CP000304.1?report=graph&amp;tracks=[key:gene_model_track,Options:GeneOnly]&amp;mk=4019512:4019531|offset_1|00cc00,4019489:4019508|offset_24|444444,4019462:4019481|offset_51|444444,4019435:4019454|offset_78|444444&amp;v=4019311:4019654&amp;c=444444", "offset 1")</f>
        <v>offset 1</v>
      </c>
    </row>
    <row r="14232" customFormat="false" ht="12.8" hidden="false" customHeight="false" outlineLevel="0" collapsed="false">
      <c r="A14232" s="0" t="s">
        <v>12</v>
      </c>
      <c r="B14232" s="0" t="n">
        <v>4019488</v>
      </c>
      <c r="C14232" s="0" t="n">
        <v>4019508</v>
      </c>
      <c r="D14232" s="0" t="s">
        <v>47423</v>
      </c>
      <c r="E14232" s="0" t="s">
        <v>89</v>
      </c>
      <c r="F14232" s="0" t="s">
        <v>90</v>
      </c>
      <c r="G14232" s="0" t="s">
        <v>32</v>
      </c>
      <c r="H14232" s="0" t="n">
        <v>24</v>
      </c>
      <c r="I14232" s="0" t="s">
        <v>47427</v>
      </c>
      <c r="J14232" s="0" t="s">
        <v>47428</v>
      </c>
      <c r="K14232" s="0" t="s">
        <v>47429</v>
      </c>
      <c r="L14232" s="0" t="str">
        <f aca="false">HYPERLINK("https://www.ncbi.nlm.nih.gov/nuccore/CP000304.1?report=graph&amp;tracks=[key:gene_model_track,Options:GeneOnly]&amp;mk=4019512:4019531|offset_1|444444,4019489:4019508|offset_24|00cc00,4019462:4019481|offset_51|444444,4019435:4019454|offset_78|444444&amp;v=4019311:4019654&amp;c=444444", "offset 24")</f>
        <v>offset 24</v>
      </c>
    </row>
    <row r="14233" customFormat="false" ht="12.8" hidden="false" customHeight="false" outlineLevel="0" collapsed="false">
      <c r="A14233" s="0" t="s">
        <v>12</v>
      </c>
      <c r="B14233" s="0" t="n">
        <v>4019461</v>
      </c>
      <c r="C14233" s="0" t="n">
        <v>4019481</v>
      </c>
      <c r="D14233" s="0" t="s">
        <v>47423</v>
      </c>
      <c r="E14233" s="0" t="s">
        <v>89</v>
      </c>
      <c r="F14233" s="0" t="s">
        <v>90</v>
      </c>
      <c r="G14233" s="0" t="s">
        <v>26</v>
      </c>
      <c r="H14233" s="0" t="n">
        <v>51</v>
      </c>
      <c r="I14233" s="0" t="s">
        <v>47430</v>
      </c>
      <c r="J14233" s="0" t="s">
        <v>47431</v>
      </c>
      <c r="K14233" s="0" t="s">
        <v>47432</v>
      </c>
      <c r="L14233" s="0" t="str">
        <f aca="false">HYPERLINK("https://www.ncbi.nlm.nih.gov/nuccore/CP000304.1?report=graph&amp;tracks=[key:gene_model_track,Options:GeneOnly]&amp;mk=4019512:4019531|offset_1|444444,4019489:4019508|offset_24|444444,4019462:4019481|offset_51|00cc00,4019435:4019454|offset_78|444444&amp;v=4019311:4019654&amp;c=444444", "offset 51")</f>
        <v>offset 51</v>
      </c>
    </row>
    <row r="14234" customFormat="false" ht="12.8" hidden="false" customHeight="false" outlineLevel="0" collapsed="false">
      <c r="A14234" s="0" t="s">
        <v>12</v>
      </c>
      <c r="B14234" s="0" t="n">
        <v>4019434</v>
      </c>
      <c r="C14234" s="0" t="n">
        <v>4019454</v>
      </c>
      <c r="D14234" s="0" t="s">
        <v>47423</v>
      </c>
      <c r="E14234" s="0" t="s">
        <v>89</v>
      </c>
      <c r="F14234" s="0" t="s">
        <v>90</v>
      </c>
      <c r="G14234" s="0" t="s">
        <v>16</v>
      </c>
      <c r="H14234" s="0" t="n">
        <v>78</v>
      </c>
      <c r="I14234" s="0" t="s">
        <v>47433</v>
      </c>
      <c r="J14234" s="0" t="s">
        <v>47434</v>
      </c>
      <c r="K14234" s="0" t="s">
        <v>47435</v>
      </c>
      <c r="L14234" s="0" t="str">
        <f aca="false">HYPERLINK("https://www.ncbi.nlm.nih.gov/nuccore/CP000304.1?report=graph&amp;tracks=[key:gene_model_track,Options:GeneOnly]&amp;mk=4019512:4019531|offset_1|444444,4019489:4019508|offset_24|444444,4019462:4019481|offset_51|444444,4019435:4019454|offset_78|00cc00&amp;v=4019311:4019654&amp;c=444444", "offset 78")</f>
        <v>offset 78</v>
      </c>
    </row>
    <row r="14235" customFormat="false" ht="12.8" hidden="false" customHeight="false" outlineLevel="0" collapsed="false">
      <c r="A14235" s="0" t="s">
        <v>12</v>
      </c>
      <c r="B14235" s="0" t="n">
        <v>4019823</v>
      </c>
      <c r="C14235" s="0" t="n">
        <v>4019843</v>
      </c>
      <c r="D14235" s="0" t="s">
        <v>47436</v>
      </c>
      <c r="E14235" s="0" t="s">
        <v>89</v>
      </c>
      <c r="F14235" s="0" t="s">
        <v>15</v>
      </c>
      <c r="G14235" s="0" t="s">
        <v>16</v>
      </c>
      <c r="H14235" s="0" t="n">
        <v>11</v>
      </c>
      <c r="I14235" s="0" t="s">
        <v>47437</v>
      </c>
      <c r="J14235" s="0" t="s">
        <v>47438</v>
      </c>
      <c r="K14235" s="0" t="s">
        <v>47439</v>
      </c>
      <c r="L14235" s="0" t="str">
        <f aca="false">HYPERLINK("https://www.ncbi.nlm.nih.gov/nuccore/CP000304.1?report=graph&amp;tracks=[key:gene_model_track,Options:GeneOnly]&amp;mk=4019824:4019843|offset_11|00cc00,4019844:4019863|offset_31|444444,4019881:4019900|offset_68|444444,4019901:4019920|offset_88|444444&amp;v=4019623:4020120&amp;c=444444", "offset 11")</f>
        <v>offset 11</v>
      </c>
    </row>
    <row r="14236" customFormat="false" ht="12.8" hidden="false" customHeight="false" outlineLevel="0" collapsed="false">
      <c r="A14236" s="0" t="s">
        <v>12</v>
      </c>
      <c r="B14236" s="0" t="n">
        <v>4019843</v>
      </c>
      <c r="C14236" s="0" t="n">
        <v>4019863</v>
      </c>
      <c r="D14236" s="0" t="s">
        <v>47436</v>
      </c>
      <c r="E14236" s="0" t="s">
        <v>89</v>
      </c>
      <c r="F14236" s="0" t="s">
        <v>15</v>
      </c>
      <c r="G14236" s="0" t="s">
        <v>36</v>
      </c>
      <c r="H14236" s="0" t="n">
        <v>31</v>
      </c>
      <c r="I14236" s="0" t="s">
        <v>47440</v>
      </c>
      <c r="J14236" s="0" t="s">
        <v>47441</v>
      </c>
      <c r="K14236" s="0" t="s">
        <v>47442</v>
      </c>
      <c r="L14236" s="0" t="str">
        <f aca="false">HYPERLINK("https://www.ncbi.nlm.nih.gov/nuccore/CP000304.1?report=graph&amp;tracks=[key:gene_model_track,Options:GeneOnly]&amp;mk=4019824:4019843|offset_11|444444,4019844:4019863|offset_31|00cc00,4019881:4019900|offset_68|444444,4019901:4019920|offset_88|444444&amp;v=4019623:4020120&amp;c=444444", "offset 31")</f>
        <v>offset 31</v>
      </c>
    </row>
    <row r="14237" customFormat="false" ht="12.8" hidden="false" customHeight="false" outlineLevel="0" collapsed="false">
      <c r="A14237" s="0" t="s">
        <v>12</v>
      </c>
      <c r="B14237" s="0" t="n">
        <v>4019880</v>
      </c>
      <c r="C14237" s="0" t="n">
        <v>4019900</v>
      </c>
      <c r="D14237" s="0" t="s">
        <v>47436</v>
      </c>
      <c r="E14237" s="0" t="s">
        <v>89</v>
      </c>
      <c r="F14237" s="0" t="s">
        <v>15</v>
      </c>
      <c r="G14237" s="0" t="s">
        <v>36</v>
      </c>
      <c r="H14237" s="0" t="n">
        <v>68</v>
      </c>
      <c r="I14237" s="0" t="s">
        <v>47443</v>
      </c>
      <c r="J14237" s="0" t="s">
        <v>47444</v>
      </c>
      <c r="K14237" s="0" t="s">
        <v>47445</v>
      </c>
      <c r="L14237" s="0" t="str">
        <f aca="false">HYPERLINK("https://www.ncbi.nlm.nih.gov/nuccore/CP000304.1?report=graph&amp;tracks=[key:gene_model_track,Options:GeneOnly]&amp;mk=4019824:4019843|offset_11|444444,4019844:4019863|offset_31|444444,4019881:4019900|offset_68|00cc00,4019901:4019920|offset_88|444444&amp;v=4019623:4020120&amp;c=444444", "offset 68")</f>
        <v>offset 68</v>
      </c>
    </row>
    <row r="14238" customFormat="false" ht="12.8" hidden="false" customHeight="false" outlineLevel="0" collapsed="false">
      <c r="A14238" s="0" t="s">
        <v>12</v>
      </c>
      <c r="B14238" s="0" t="n">
        <v>4019900</v>
      </c>
      <c r="C14238" s="0" t="n">
        <v>4019920</v>
      </c>
      <c r="D14238" s="0" t="s">
        <v>47436</v>
      </c>
      <c r="E14238" s="0" t="s">
        <v>89</v>
      </c>
      <c r="F14238" s="0" t="s">
        <v>15</v>
      </c>
      <c r="G14238" s="0" t="s">
        <v>16</v>
      </c>
      <c r="H14238" s="0" t="n">
        <v>88</v>
      </c>
      <c r="I14238" s="0" t="s">
        <v>47446</v>
      </c>
      <c r="J14238" s="0" t="s">
        <v>47447</v>
      </c>
      <c r="K14238" s="0" t="s">
        <v>47448</v>
      </c>
      <c r="L14238" s="0" t="str">
        <f aca="false">HYPERLINK("https://www.ncbi.nlm.nih.gov/nuccore/CP000304.1?report=graph&amp;tracks=[key:gene_model_track,Options:GeneOnly]&amp;mk=4019824:4019843|offset_11|444444,4019844:4019863|offset_31|444444,4019881:4019900|offset_68|444444,4019901:4019920|offset_88|00cc00&amp;v=4019623:4020120&amp;c=444444", "offset 88")</f>
        <v>offset 88</v>
      </c>
    </row>
    <row r="14239" customFormat="false" ht="12.8" hidden="false" customHeight="false" outlineLevel="0" collapsed="false">
      <c r="A14239" s="0" t="s">
        <v>12</v>
      </c>
      <c r="B14239" s="0" t="n">
        <v>4021270</v>
      </c>
      <c r="C14239" s="0" t="n">
        <v>4021290</v>
      </c>
      <c r="D14239" s="0" t="s">
        <v>47449</v>
      </c>
      <c r="E14239" s="0" t="s">
        <v>89</v>
      </c>
      <c r="F14239" s="0" t="s">
        <v>15</v>
      </c>
      <c r="G14239" s="0" t="s">
        <v>36</v>
      </c>
      <c r="H14239" s="0" t="n">
        <v>13</v>
      </c>
      <c r="I14239" s="0" t="s">
        <v>47450</v>
      </c>
      <c r="J14239" s="0" t="s">
        <v>47451</v>
      </c>
      <c r="K14239" s="0" t="s">
        <v>47452</v>
      </c>
      <c r="L14239" s="0" t="str">
        <f aca="false">HYPERLINK("https://www.ncbi.nlm.nih.gov/nuccore/CP000304.1?report=graph&amp;tracks=[key:gene_model_track,Options:GeneOnly]&amp;mk=4021271:4021290|offset_13|00cc00,4021296:4021315|offset_38|444444,4021319:4021338|offset_61|444444,4021346:4021365|offset_88|444444&amp;v=4021070:4021565&amp;c=444444", "offset 13")</f>
        <v>offset 13</v>
      </c>
    </row>
    <row r="14240" customFormat="false" ht="12.8" hidden="false" customHeight="false" outlineLevel="0" collapsed="false">
      <c r="A14240" s="0" t="s">
        <v>12</v>
      </c>
      <c r="B14240" s="0" t="n">
        <v>4021295</v>
      </c>
      <c r="C14240" s="0" t="n">
        <v>4021315</v>
      </c>
      <c r="D14240" s="0" t="s">
        <v>47449</v>
      </c>
      <c r="E14240" s="0" t="s">
        <v>89</v>
      </c>
      <c r="F14240" s="0" t="s">
        <v>15</v>
      </c>
      <c r="G14240" s="0" t="s">
        <v>26</v>
      </c>
      <c r="H14240" s="0" t="n">
        <v>38</v>
      </c>
      <c r="I14240" s="0" t="s">
        <v>47453</v>
      </c>
      <c r="J14240" s="0" t="s">
        <v>47454</v>
      </c>
      <c r="K14240" s="0" t="s">
        <v>47455</v>
      </c>
      <c r="L14240" s="0" t="str">
        <f aca="false">HYPERLINK("https://www.ncbi.nlm.nih.gov/nuccore/CP000304.1?report=graph&amp;tracks=[key:gene_model_track,Options:GeneOnly]&amp;mk=4021271:4021290|offset_13|444444,4021296:4021315|offset_38|00cc00,4021319:4021338|offset_61|444444,4021346:4021365|offset_88|444444&amp;v=4021070:4021565&amp;c=444444", "offset 38")</f>
        <v>offset 38</v>
      </c>
    </row>
    <row r="14241" customFormat="false" ht="12.8" hidden="false" customHeight="false" outlineLevel="0" collapsed="false">
      <c r="A14241" s="0" t="s">
        <v>12</v>
      </c>
      <c r="B14241" s="0" t="n">
        <v>4021318</v>
      </c>
      <c r="C14241" s="0" t="n">
        <v>4021338</v>
      </c>
      <c r="D14241" s="0" t="s">
        <v>47449</v>
      </c>
      <c r="E14241" s="0" t="s">
        <v>89</v>
      </c>
      <c r="F14241" s="0" t="s">
        <v>15</v>
      </c>
      <c r="G14241" s="0" t="s">
        <v>36</v>
      </c>
      <c r="H14241" s="0" t="n">
        <v>61</v>
      </c>
      <c r="I14241" s="0" t="s">
        <v>47456</v>
      </c>
      <c r="J14241" s="0" t="s">
        <v>47457</v>
      </c>
      <c r="K14241" s="0" t="s">
        <v>47458</v>
      </c>
      <c r="L14241" s="0" t="str">
        <f aca="false">HYPERLINK("https://www.ncbi.nlm.nih.gov/nuccore/CP000304.1?report=graph&amp;tracks=[key:gene_model_track,Options:GeneOnly]&amp;mk=4021271:4021290|offset_13|444444,4021296:4021315|offset_38|444444,4021319:4021338|offset_61|00cc00,4021346:4021365|offset_88|444444&amp;v=4021070:4021565&amp;c=444444", "offset 61")</f>
        <v>offset 61</v>
      </c>
    </row>
    <row r="14242" customFormat="false" ht="12.8" hidden="false" customHeight="false" outlineLevel="0" collapsed="false">
      <c r="A14242" s="0" t="s">
        <v>12</v>
      </c>
      <c r="B14242" s="0" t="n">
        <v>4021345</v>
      </c>
      <c r="C14242" s="0" t="n">
        <v>4021365</v>
      </c>
      <c r="D14242" s="0" t="s">
        <v>47449</v>
      </c>
      <c r="E14242" s="0" t="s">
        <v>89</v>
      </c>
      <c r="F14242" s="0" t="s">
        <v>15</v>
      </c>
      <c r="G14242" s="0" t="s">
        <v>32</v>
      </c>
      <c r="H14242" s="0" t="n">
        <v>88</v>
      </c>
      <c r="I14242" s="0" t="s">
        <v>47459</v>
      </c>
      <c r="J14242" s="0" t="s">
        <v>47460</v>
      </c>
      <c r="K14242" s="0" t="s">
        <v>47461</v>
      </c>
      <c r="L14242" s="0" t="str">
        <f aca="false">HYPERLINK("https://www.ncbi.nlm.nih.gov/nuccore/CP000304.1?report=graph&amp;tracks=[key:gene_model_track,Options:GeneOnly]&amp;mk=4021271:4021290|offset_13|444444,4021296:4021315|offset_38|444444,4021319:4021338|offset_61|444444,4021346:4021365|offset_88|00cc00&amp;v=4021070:4021565&amp;c=444444", "offset 88")</f>
        <v>offset 88</v>
      </c>
    </row>
    <row r="14243" customFormat="false" ht="12.8" hidden="false" customHeight="false" outlineLevel="0" collapsed="false">
      <c r="A14243" s="0" t="s">
        <v>12</v>
      </c>
      <c r="B14243" s="0" t="n">
        <v>4022833</v>
      </c>
      <c r="C14243" s="0" t="n">
        <v>4022853</v>
      </c>
      <c r="D14243" s="0" t="s">
        <v>47462</v>
      </c>
      <c r="E14243" s="0" t="s">
        <v>89</v>
      </c>
      <c r="F14243" s="0" t="s">
        <v>15</v>
      </c>
      <c r="G14243" s="0" t="s">
        <v>32</v>
      </c>
      <c r="H14243" s="0" t="n">
        <v>8</v>
      </c>
      <c r="I14243" s="0" t="s">
        <v>47463</v>
      </c>
      <c r="J14243" s="0" t="s">
        <v>47464</v>
      </c>
      <c r="K14243" s="0" t="s">
        <v>47465</v>
      </c>
      <c r="L14243" s="0" t="str">
        <f aca="false">HYPERLINK("https://www.ncbi.nlm.nih.gov/nuccore/CP000304.1?report=graph&amp;tracks=[key:gene_model_track,Options:GeneOnly]&amp;mk=4022834:4022853|offset_8|00cc00,4022854:4022873|offset_28|444444,4022878:4022897|offset_52|444444,4022908:4022927|offset_82|444444&amp;v=4022633:4023127&amp;c=444444", "offset 8")</f>
        <v>offset 8</v>
      </c>
    </row>
    <row r="14244" customFormat="false" ht="12.8" hidden="false" customHeight="false" outlineLevel="0" collapsed="false">
      <c r="A14244" s="0" t="s">
        <v>12</v>
      </c>
      <c r="B14244" s="0" t="n">
        <v>4022853</v>
      </c>
      <c r="C14244" s="0" t="n">
        <v>4022873</v>
      </c>
      <c r="D14244" s="0" t="s">
        <v>47462</v>
      </c>
      <c r="E14244" s="0" t="s">
        <v>89</v>
      </c>
      <c r="F14244" s="0" t="s">
        <v>15</v>
      </c>
      <c r="G14244" s="0" t="s">
        <v>16</v>
      </c>
      <c r="H14244" s="0" t="n">
        <v>28</v>
      </c>
      <c r="I14244" s="0" t="s">
        <v>47466</v>
      </c>
      <c r="J14244" s="0" t="s">
        <v>47467</v>
      </c>
      <c r="K14244" s="0" t="s">
        <v>47468</v>
      </c>
      <c r="L14244" s="0" t="str">
        <f aca="false">HYPERLINK("https://www.ncbi.nlm.nih.gov/nuccore/CP000304.1?report=graph&amp;tracks=[key:gene_model_track,Options:GeneOnly]&amp;mk=4022834:4022853|offset_8|444444,4022854:4022873|offset_28|00cc00,4022878:4022897|offset_52|444444,4022908:4022927|offset_82|444444&amp;v=4022633:4023127&amp;c=444444", "offset 28")</f>
        <v>offset 28</v>
      </c>
    </row>
    <row r="14245" customFormat="false" ht="12.8" hidden="false" customHeight="false" outlineLevel="0" collapsed="false">
      <c r="A14245" s="0" t="s">
        <v>12</v>
      </c>
      <c r="B14245" s="0" t="n">
        <v>4022877</v>
      </c>
      <c r="C14245" s="0" t="n">
        <v>4022897</v>
      </c>
      <c r="D14245" s="0" t="s">
        <v>47462</v>
      </c>
      <c r="E14245" s="0" t="s">
        <v>89</v>
      </c>
      <c r="F14245" s="0" t="s">
        <v>15</v>
      </c>
      <c r="G14245" s="0" t="s">
        <v>32</v>
      </c>
      <c r="H14245" s="0" t="n">
        <v>52</v>
      </c>
      <c r="I14245" s="0" t="s">
        <v>47469</v>
      </c>
      <c r="J14245" s="0" t="s">
        <v>47470</v>
      </c>
      <c r="K14245" s="0" t="s">
        <v>47471</v>
      </c>
      <c r="L14245" s="0" t="str">
        <f aca="false">HYPERLINK("https://www.ncbi.nlm.nih.gov/nuccore/CP000304.1?report=graph&amp;tracks=[key:gene_model_track,Options:GeneOnly]&amp;mk=4022834:4022853|offset_8|444444,4022854:4022873|offset_28|444444,4022878:4022897|offset_52|00cc00,4022908:4022927|offset_82|444444&amp;v=4022633:4023127&amp;c=444444", "offset 52")</f>
        <v>offset 52</v>
      </c>
    </row>
    <row r="14246" customFormat="false" ht="12.8" hidden="false" customHeight="false" outlineLevel="0" collapsed="false">
      <c r="A14246" s="0" t="s">
        <v>12</v>
      </c>
      <c r="B14246" s="0" t="n">
        <v>4022907</v>
      </c>
      <c r="C14246" s="0" t="n">
        <v>4022927</v>
      </c>
      <c r="D14246" s="0" t="s">
        <v>47462</v>
      </c>
      <c r="E14246" s="0" t="s">
        <v>89</v>
      </c>
      <c r="F14246" s="0" t="s">
        <v>15</v>
      </c>
      <c r="G14246" s="0" t="s">
        <v>16</v>
      </c>
      <c r="H14246" s="0" t="n">
        <v>82</v>
      </c>
      <c r="I14246" s="0" t="s">
        <v>47472</v>
      </c>
      <c r="J14246" s="0" t="s">
        <v>47473</v>
      </c>
      <c r="K14246" s="0" t="s">
        <v>47474</v>
      </c>
      <c r="L14246" s="0" t="str">
        <f aca="false">HYPERLINK("https://www.ncbi.nlm.nih.gov/nuccore/CP000304.1?report=graph&amp;tracks=[key:gene_model_track,Options:GeneOnly]&amp;mk=4022834:4022853|offset_8|444444,4022854:4022873|offset_28|444444,4022878:4022897|offset_52|444444,4022908:4022927|offset_82|00cc00&amp;v=4022633:4023127&amp;c=444444", "offset 82")</f>
        <v>offset 82</v>
      </c>
    </row>
    <row r="14247" customFormat="false" ht="12.8" hidden="false" customHeight="false" outlineLevel="0" collapsed="false">
      <c r="A14247" s="0" t="s">
        <v>12</v>
      </c>
      <c r="B14247" s="0" t="n">
        <v>4023911</v>
      </c>
      <c r="C14247" s="0" t="n">
        <v>4023931</v>
      </c>
      <c r="D14247" s="0" t="s">
        <v>47475</v>
      </c>
      <c r="E14247" s="0" t="s">
        <v>89</v>
      </c>
      <c r="F14247" s="0" t="s">
        <v>15</v>
      </c>
      <c r="G14247" s="0" t="s">
        <v>16</v>
      </c>
      <c r="H14247" s="0" t="n">
        <v>10</v>
      </c>
      <c r="I14247" s="0" t="s">
        <v>47476</v>
      </c>
      <c r="J14247" s="0" t="s">
        <v>47477</v>
      </c>
      <c r="K14247" s="0" t="s">
        <v>47478</v>
      </c>
      <c r="L14247" s="0" t="str">
        <f aca="false">HYPERLINK("https://www.ncbi.nlm.nih.gov/nuccore/CP000304.1?report=graph&amp;tracks=[key:gene_model_track,Options:GeneOnly]&amp;mk=4023912:4023931|offset_10|00cc00,4023946:4023965|offset_44|444444,4023966:4023985|offset_64|444444,4023996:4024015|offset_94|444444&amp;v=4023711:4024215&amp;c=444444", "offset 10")</f>
        <v>offset 10</v>
      </c>
    </row>
    <row r="14248" customFormat="false" ht="12.8" hidden="false" customHeight="false" outlineLevel="0" collapsed="false">
      <c r="A14248" s="0" t="s">
        <v>12</v>
      </c>
      <c r="B14248" s="0" t="n">
        <v>4023945</v>
      </c>
      <c r="C14248" s="0" t="n">
        <v>4023965</v>
      </c>
      <c r="D14248" s="0" t="s">
        <v>47475</v>
      </c>
      <c r="E14248" s="0" t="s">
        <v>89</v>
      </c>
      <c r="F14248" s="0" t="s">
        <v>15</v>
      </c>
      <c r="G14248" s="0" t="s">
        <v>36</v>
      </c>
      <c r="H14248" s="0" t="n">
        <v>44</v>
      </c>
      <c r="I14248" s="0" t="s">
        <v>47479</v>
      </c>
      <c r="J14248" s="0" t="s">
        <v>47480</v>
      </c>
      <c r="K14248" s="0" t="s">
        <v>47481</v>
      </c>
      <c r="L14248" s="0" t="str">
        <f aca="false">HYPERLINK("https://www.ncbi.nlm.nih.gov/nuccore/CP000304.1?report=graph&amp;tracks=[key:gene_model_track,Options:GeneOnly]&amp;mk=4023912:4023931|offset_10|444444,4023946:4023965|offset_44|00cc00,4023966:4023985|offset_64|444444,4023996:4024015|offset_94|444444&amp;v=4023711:4024215&amp;c=444444", "offset 44")</f>
        <v>offset 44</v>
      </c>
    </row>
    <row r="14249" customFormat="false" ht="12.8" hidden="false" customHeight="false" outlineLevel="0" collapsed="false">
      <c r="A14249" s="0" t="s">
        <v>12</v>
      </c>
      <c r="B14249" s="0" t="n">
        <v>4023965</v>
      </c>
      <c r="C14249" s="0" t="n">
        <v>4023985</v>
      </c>
      <c r="D14249" s="0" t="s">
        <v>47475</v>
      </c>
      <c r="E14249" s="0" t="s">
        <v>89</v>
      </c>
      <c r="F14249" s="0" t="s">
        <v>15</v>
      </c>
      <c r="G14249" s="0" t="s">
        <v>36</v>
      </c>
      <c r="H14249" s="0" t="n">
        <v>64</v>
      </c>
      <c r="I14249" s="0" t="s">
        <v>47482</v>
      </c>
      <c r="J14249" s="0" t="s">
        <v>47483</v>
      </c>
      <c r="K14249" s="0" t="s">
        <v>47484</v>
      </c>
      <c r="L14249" s="0" t="str">
        <f aca="false">HYPERLINK("https://www.ncbi.nlm.nih.gov/nuccore/CP000304.1?report=graph&amp;tracks=[key:gene_model_track,Options:GeneOnly]&amp;mk=4023912:4023931|offset_10|444444,4023946:4023965|offset_44|444444,4023966:4023985|offset_64|00cc00,4023996:4024015|offset_94|444444&amp;v=4023711:4024215&amp;c=444444", "offset 64")</f>
        <v>offset 64</v>
      </c>
    </row>
    <row r="14250" customFormat="false" ht="12.8" hidden="false" customHeight="false" outlineLevel="0" collapsed="false">
      <c r="A14250" s="0" t="s">
        <v>12</v>
      </c>
      <c r="B14250" s="0" t="n">
        <v>4023995</v>
      </c>
      <c r="C14250" s="0" t="n">
        <v>4024015</v>
      </c>
      <c r="D14250" s="0" t="s">
        <v>47475</v>
      </c>
      <c r="E14250" s="0" t="s">
        <v>89</v>
      </c>
      <c r="F14250" s="0" t="s">
        <v>15</v>
      </c>
      <c r="G14250" s="0" t="s">
        <v>16</v>
      </c>
      <c r="H14250" s="0" t="n">
        <v>94</v>
      </c>
      <c r="I14250" s="0" t="s">
        <v>47485</v>
      </c>
      <c r="J14250" s="0" t="s">
        <v>47486</v>
      </c>
      <c r="K14250" s="0" t="s">
        <v>47487</v>
      </c>
      <c r="L14250" s="0" t="str">
        <f aca="false">HYPERLINK("https://www.ncbi.nlm.nih.gov/nuccore/CP000304.1?report=graph&amp;tracks=[key:gene_model_track,Options:GeneOnly]&amp;mk=4023912:4023931|offset_10|444444,4023946:4023965|offset_44|444444,4023966:4023985|offset_64|444444,4023996:4024015|offset_94|00cc00&amp;v=4023711:4024215&amp;c=444444", "offset 94")</f>
        <v>offset 94</v>
      </c>
    </row>
    <row r="14251" customFormat="false" ht="12.8" hidden="false" customHeight="false" outlineLevel="0" collapsed="false">
      <c r="A14251" s="0" t="s">
        <v>12</v>
      </c>
      <c r="B14251" s="0" t="n">
        <v>4024892</v>
      </c>
      <c r="C14251" s="0" t="n">
        <v>4024912</v>
      </c>
      <c r="D14251" s="0" t="s">
        <v>47488</v>
      </c>
      <c r="E14251" s="0" t="s">
        <v>89</v>
      </c>
      <c r="F14251" s="0" t="s">
        <v>15</v>
      </c>
      <c r="G14251" s="0" t="s">
        <v>32</v>
      </c>
      <c r="H14251" s="0" t="n">
        <v>14</v>
      </c>
      <c r="I14251" s="0" t="s">
        <v>47489</v>
      </c>
      <c r="J14251" s="0" t="s">
        <v>47490</v>
      </c>
      <c r="K14251" s="0" t="s">
        <v>47491</v>
      </c>
      <c r="L14251" s="0" t="str">
        <f aca="false">HYPERLINK("https://www.ncbi.nlm.nih.gov/nuccore/CP000304.1?report=graph&amp;tracks=[key:gene_model_track,Options:GeneOnly]&amp;mk=4024893:4024912|offset_14|00cc00,4024923:4024942|offset_44|444444,4024970:4024989|offset_91|444444,4025003:4025022|offset_124|444444&amp;v=4024692:4025222&amp;c=444444", "offset 14")</f>
        <v>offset 14</v>
      </c>
    </row>
    <row r="14252" customFormat="false" ht="12.8" hidden="false" customHeight="false" outlineLevel="0" collapsed="false">
      <c r="A14252" s="0" t="s">
        <v>12</v>
      </c>
      <c r="B14252" s="0" t="n">
        <v>4024922</v>
      </c>
      <c r="C14252" s="0" t="n">
        <v>4024942</v>
      </c>
      <c r="D14252" s="0" t="s">
        <v>47488</v>
      </c>
      <c r="E14252" s="0" t="s">
        <v>89</v>
      </c>
      <c r="F14252" s="0" t="s">
        <v>15</v>
      </c>
      <c r="G14252" s="0" t="s">
        <v>32</v>
      </c>
      <c r="H14252" s="0" t="n">
        <v>44</v>
      </c>
      <c r="I14252" s="0" t="s">
        <v>47492</v>
      </c>
      <c r="J14252" s="0" t="s">
        <v>47493</v>
      </c>
      <c r="K14252" s="0" t="s">
        <v>47494</v>
      </c>
      <c r="L14252" s="0" t="str">
        <f aca="false">HYPERLINK("https://www.ncbi.nlm.nih.gov/nuccore/CP000304.1?report=graph&amp;tracks=[key:gene_model_track,Options:GeneOnly]&amp;mk=4024893:4024912|offset_14|444444,4024923:4024942|offset_44|00cc00,4024970:4024989|offset_91|444444,4025003:4025022|offset_124|444444&amp;v=4024692:4025222&amp;c=444444", "offset 44")</f>
        <v>offset 44</v>
      </c>
    </row>
    <row r="14253" customFormat="false" ht="12.8" hidden="false" customHeight="false" outlineLevel="0" collapsed="false">
      <c r="A14253" s="0" t="s">
        <v>12</v>
      </c>
      <c r="B14253" s="0" t="n">
        <v>4024969</v>
      </c>
      <c r="C14253" s="0" t="n">
        <v>4024989</v>
      </c>
      <c r="D14253" s="0" t="s">
        <v>47488</v>
      </c>
      <c r="E14253" s="0" t="s">
        <v>89</v>
      </c>
      <c r="F14253" s="0" t="s">
        <v>15</v>
      </c>
      <c r="G14253" s="0" t="s">
        <v>26</v>
      </c>
      <c r="H14253" s="0" t="n">
        <v>91</v>
      </c>
      <c r="I14253" s="0" t="s">
        <v>47495</v>
      </c>
      <c r="J14253" s="0" t="s">
        <v>47496</v>
      </c>
      <c r="K14253" s="0" t="s">
        <v>47497</v>
      </c>
      <c r="L14253" s="0" t="str">
        <f aca="false">HYPERLINK("https://www.ncbi.nlm.nih.gov/nuccore/CP000304.1?report=graph&amp;tracks=[key:gene_model_track,Options:GeneOnly]&amp;mk=4024893:4024912|offset_14|444444,4024923:4024942|offset_44|444444,4024970:4024989|offset_91|00cc00,4025003:4025022|offset_124|444444&amp;v=4024692:4025222&amp;c=444444", "offset 91")</f>
        <v>offset 91</v>
      </c>
    </row>
    <row r="14254" customFormat="false" ht="12.8" hidden="false" customHeight="false" outlineLevel="0" collapsed="false">
      <c r="A14254" s="0" t="s">
        <v>12</v>
      </c>
      <c r="B14254" s="0" t="n">
        <v>4025002</v>
      </c>
      <c r="C14254" s="0" t="n">
        <v>4025022</v>
      </c>
      <c r="D14254" s="0" t="s">
        <v>47488</v>
      </c>
      <c r="E14254" s="0" t="s">
        <v>89</v>
      </c>
      <c r="F14254" s="0" t="s">
        <v>15</v>
      </c>
      <c r="G14254" s="0" t="s">
        <v>32</v>
      </c>
      <c r="H14254" s="0" t="n">
        <v>124</v>
      </c>
      <c r="I14254" s="0" t="s">
        <v>47498</v>
      </c>
      <c r="J14254" s="0" t="s">
        <v>47499</v>
      </c>
      <c r="K14254" s="0" t="s">
        <v>47500</v>
      </c>
      <c r="L14254" s="0" t="str">
        <f aca="false">HYPERLINK("https://www.ncbi.nlm.nih.gov/nuccore/CP000304.1?report=graph&amp;tracks=[key:gene_model_track,Options:GeneOnly]&amp;mk=4024893:4024912|offset_14|444444,4024923:4024942|offset_44|444444,4024970:4024989|offset_91|444444,4025003:4025022|offset_124|00cc00&amp;v=4024692:4025222&amp;c=444444", "offset 124")</f>
        <v>offset 124</v>
      </c>
    </row>
    <row r="14255" customFormat="false" ht="12.8" hidden="false" customHeight="false" outlineLevel="0" collapsed="false">
      <c r="A14255" s="0" t="s">
        <v>12</v>
      </c>
      <c r="B14255" s="0" t="n">
        <v>4025706</v>
      </c>
      <c r="C14255" s="0" t="n">
        <v>4025726</v>
      </c>
      <c r="D14255" s="0" t="s">
        <v>47501</v>
      </c>
      <c r="E14255" s="0" t="s">
        <v>89</v>
      </c>
      <c r="F14255" s="0" t="s">
        <v>15</v>
      </c>
      <c r="G14255" s="0" t="s">
        <v>16</v>
      </c>
      <c r="H14255" s="0" t="n">
        <v>25</v>
      </c>
      <c r="I14255" s="0" t="s">
        <v>47502</v>
      </c>
      <c r="J14255" s="0" t="s">
        <v>47503</v>
      </c>
      <c r="K14255" s="0" t="s">
        <v>47504</v>
      </c>
      <c r="L14255" s="0" t="str">
        <f aca="false">HYPERLINK("https://www.ncbi.nlm.nih.gov/nuccore/CP000304.1?report=graph&amp;tracks=[key:gene_model_track,Options:GeneOnly]&amp;mk=4025707:4025726|offset_25|00cc00,4025730:4025749|offset_48|444444,4025803:4025822|offset_121|444444,4025834:4025853|offset_152|444444&amp;v=4025506:4026053&amp;c=444444", "offset 25")</f>
        <v>offset 25</v>
      </c>
    </row>
    <row r="14256" customFormat="false" ht="12.8" hidden="false" customHeight="false" outlineLevel="0" collapsed="false">
      <c r="A14256" s="0" t="s">
        <v>12</v>
      </c>
      <c r="B14256" s="0" t="n">
        <v>4025729</v>
      </c>
      <c r="C14256" s="0" t="n">
        <v>4025749</v>
      </c>
      <c r="D14256" s="0" t="s">
        <v>47501</v>
      </c>
      <c r="E14256" s="0" t="s">
        <v>89</v>
      </c>
      <c r="F14256" s="0" t="s">
        <v>15</v>
      </c>
      <c r="G14256" s="0" t="s">
        <v>16</v>
      </c>
      <c r="H14256" s="0" t="n">
        <v>48</v>
      </c>
      <c r="I14256" s="0" t="s">
        <v>47505</v>
      </c>
      <c r="J14256" s="0" t="s">
        <v>47506</v>
      </c>
      <c r="K14256" s="0" t="s">
        <v>47507</v>
      </c>
      <c r="L14256" s="0" t="str">
        <f aca="false">HYPERLINK("https://www.ncbi.nlm.nih.gov/nuccore/CP000304.1?report=graph&amp;tracks=[key:gene_model_track,Options:GeneOnly]&amp;mk=4025707:4025726|offset_25|444444,4025730:4025749|offset_48|00cc00,4025803:4025822|offset_121|444444,4025834:4025853|offset_152|444444&amp;v=4025506:4026053&amp;c=444444", "offset 48")</f>
        <v>offset 48</v>
      </c>
    </row>
    <row r="14257" customFormat="false" ht="12.8" hidden="false" customHeight="false" outlineLevel="0" collapsed="false">
      <c r="A14257" s="0" t="s">
        <v>12</v>
      </c>
      <c r="B14257" s="0" t="n">
        <v>4025802</v>
      </c>
      <c r="C14257" s="0" t="n">
        <v>4025822</v>
      </c>
      <c r="D14257" s="0" t="s">
        <v>47501</v>
      </c>
      <c r="E14257" s="0" t="s">
        <v>89</v>
      </c>
      <c r="F14257" s="0" t="s">
        <v>15</v>
      </c>
      <c r="G14257" s="0" t="s">
        <v>16</v>
      </c>
      <c r="H14257" s="0" t="n">
        <v>121</v>
      </c>
      <c r="I14257" s="0" t="s">
        <v>47508</v>
      </c>
      <c r="J14257" s="0" t="s">
        <v>47509</v>
      </c>
      <c r="K14257" s="0" t="s">
        <v>47510</v>
      </c>
      <c r="L14257" s="0" t="str">
        <f aca="false">HYPERLINK("https://www.ncbi.nlm.nih.gov/nuccore/CP000304.1?report=graph&amp;tracks=[key:gene_model_track,Options:GeneOnly]&amp;mk=4025707:4025726|offset_25|444444,4025730:4025749|offset_48|444444,4025803:4025822|offset_121|00cc00,4025834:4025853|offset_152|444444&amp;v=4025506:4026053&amp;c=444444", "offset 121")</f>
        <v>offset 121</v>
      </c>
    </row>
    <row r="14258" customFormat="false" ht="12.8" hidden="false" customHeight="false" outlineLevel="0" collapsed="false">
      <c r="A14258" s="0" t="s">
        <v>12</v>
      </c>
      <c r="B14258" s="0" t="n">
        <v>4025833</v>
      </c>
      <c r="C14258" s="0" t="n">
        <v>4025853</v>
      </c>
      <c r="D14258" s="0" t="s">
        <v>47501</v>
      </c>
      <c r="E14258" s="0" t="s">
        <v>89</v>
      </c>
      <c r="F14258" s="0" t="s">
        <v>15</v>
      </c>
      <c r="G14258" s="0" t="s">
        <v>32</v>
      </c>
      <c r="H14258" s="0" t="n">
        <v>152</v>
      </c>
      <c r="I14258" s="0" t="s">
        <v>47511</v>
      </c>
      <c r="J14258" s="0" t="s">
        <v>47512</v>
      </c>
      <c r="K14258" s="0" t="s">
        <v>47513</v>
      </c>
      <c r="L14258" s="0" t="str">
        <f aca="false">HYPERLINK("https://www.ncbi.nlm.nih.gov/nuccore/CP000304.1?report=graph&amp;tracks=[key:gene_model_track,Options:GeneOnly]&amp;mk=4025707:4025726|offset_25|444444,4025730:4025749|offset_48|444444,4025803:4025822|offset_121|444444,4025834:4025853|offset_152|00cc00&amp;v=4025506:4026053&amp;c=444444", "offset 152")</f>
        <v>offset 152</v>
      </c>
    </row>
    <row r="14259" customFormat="false" ht="12.8" hidden="false" customHeight="false" outlineLevel="0" collapsed="false">
      <c r="A14259" s="0" t="s">
        <v>12</v>
      </c>
      <c r="B14259" s="0" t="n">
        <v>4029253</v>
      </c>
      <c r="C14259" s="0" t="n">
        <v>4029273</v>
      </c>
      <c r="D14259" s="0" t="s">
        <v>47514</v>
      </c>
      <c r="E14259" s="0" t="s">
        <v>47515</v>
      </c>
      <c r="F14259" s="0" t="s">
        <v>15</v>
      </c>
      <c r="G14259" s="0" t="s">
        <v>32</v>
      </c>
      <c r="H14259" s="0" t="n">
        <v>91</v>
      </c>
      <c r="I14259" s="0" t="s">
        <v>47516</v>
      </c>
      <c r="J14259" s="0" t="s">
        <v>47517</v>
      </c>
      <c r="K14259" s="0" t="s">
        <v>47518</v>
      </c>
      <c r="L14259" s="0" t="str">
        <f aca="false">HYPERLINK("https://www.ncbi.nlm.nih.gov/nuccore/CP000304.1?report=graph&amp;tracks=[key:gene_model_track,Options:GeneOnly]&amp;mk=4029254:4029273|offset_91|00cc00,4029274:4029293|offset_111|444444,4029294:4029313|offset_131|444444,4029335:4029354|offset_172|444444&amp;v=4029053:4029554&amp;c=444444", "offset 91")</f>
        <v>offset 91</v>
      </c>
    </row>
    <row r="14260" customFormat="false" ht="12.8" hidden="false" customHeight="false" outlineLevel="0" collapsed="false">
      <c r="A14260" s="0" t="s">
        <v>12</v>
      </c>
      <c r="B14260" s="0" t="n">
        <v>4029273</v>
      </c>
      <c r="C14260" s="0" t="n">
        <v>4029293</v>
      </c>
      <c r="D14260" s="0" t="s">
        <v>47514</v>
      </c>
      <c r="E14260" s="0" t="s">
        <v>47515</v>
      </c>
      <c r="F14260" s="0" t="s">
        <v>15</v>
      </c>
      <c r="G14260" s="0" t="s">
        <v>16</v>
      </c>
      <c r="H14260" s="0" t="n">
        <v>111</v>
      </c>
      <c r="I14260" s="0" t="s">
        <v>47519</v>
      </c>
      <c r="J14260" s="0" t="s">
        <v>47520</v>
      </c>
      <c r="K14260" s="0" t="s">
        <v>47521</v>
      </c>
      <c r="L14260" s="0" t="str">
        <f aca="false">HYPERLINK("https://www.ncbi.nlm.nih.gov/nuccore/CP000304.1?report=graph&amp;tracks=[key:gene_model_track,Options:GeneOnly]&amp;mk=4029254:4029273|offset_91|444444,4029274:4029293|offset_111|00cc00,4029294:4029313|offset_131|444444,4029335:4029354|offset_172|444444&amp;v=4029053:4029554&amp;c=444444", "offset 111")</f>
        <v>offset 111</v>
      </c>
    </row>
    <row r="14261" customFormat="false" ht="12.8" hidden="false" customHeight="false" outlineLevel="0" collapsed="false">
      <c r="A14261" s="0" t="s">
        <v>12</v>
      </c>
      <c r="B14261" s="0" t="n">
        <v>4029293</v>
      </c>
      <c r="C14261" s="0" t="n">
        <v>4029313</v>
      </c>
      <c r="D14261" s="0" t="s">
        <v>47514</v>
      </c>
      <c r="E14261" s="0" t="s">
        <v>47515</v>
      </c>
      <c r="F14261" s="0" t="s">
        <v>15</v>
      </c>
      <c r="G14261" s="0" t="s">
        <v>16</v>
      </c>
      <c r="H14261" s="0" t="n">
        <v>131</v>
      </c>
      <c r="I14261" s="0" t="s">
        <v>47522</v>
      </c>
      <c r="J14261" s="0" t="s">
        <v>47523</v>
      </c>
      <c r="K14261" s="0" t="s">
        <v>47524</v>
      </c>
      <c r="L14261" s="0" t="str">
        <f aca="false">HYPERLINK("https://www.ncbi.nlm.nih.gov/nuccore/CP000304.1?report=graph&amp;tracks=[key:gene_model_track,Options:GeneOnly]&amp;mk=4029254:4029273|offset_91|444444,4029274:4029293|offset_111|444444,4029294:4029313|offset_131|00cc00,4029335:4029354|offset_172|444444&amp;v=4029053:4029554&amp;c=444444", "offset 131")</f>
        <v>offset 131</v>
      </c>
    </row>
    <row r="14262" customFormat="false" ht="12.8" hidden="false" customHeight="false" outlineLevel="0" collapsed="false">
      <c r="A14262" s="0" t="s">
        <v>12</v>
      </c>
      <c r="B14262" s="0" t="n">
        <v>4029334</v>
      </c>
      <c r="C14262" s="0" t="n">
        <v>4029354</v>
      </c>
      <c r="D14262" s="0" t="s">
        <v>47514</v>
      </c>
      <c r="E14262" s="0" t="s">
        <v>47515</v>
      </c>
      <c r="F14262" s="0" t="s">
        <v>15</v>
      </c>
      <c r="G14262" s="0" t="s">
        <v>26</v>
      </c>
      <c r="H14262" s="0" t="n">
        <v>172</v>
      </c>
      <c r="I14262" s="0" t="s">
        <v>47525</v>
      </c>
      <c r="J14262" s="0" t="s">
        <v>47526</v>
      </c>
      <c r="K14262" s="0" t="s">
        <v>47527</v>
      </c>
      <c r="L14262" s="0" t="str">
        <f aca="false">HYPERLINK("https://www.ncbi.nlm.nih.gov/nuccore/CP000304.1?report=graph&amp;tracks=[key:gene_model_track,Options:GeneOnly]&amp;mk=4029254:4029273|offset_91|444444,4029274:4029293|offset_111|444444,4029294:4029313|offset_131|444444,4029335:4029354|offset_172|00cc00&amp;v=4029053:4029554&amp;c=444444", "offset 172")</f>
        <v>offset 172</v>
      </c>
    </row>
    <row r="14263" customFormat="false" ht="12.8" hidden="false" customHeight="false" outlineLevel="0" collapsed="false">
      <c r="A14263" s="0" t="s">
        <v>12</v>
      </c>
      <c r="B14263" s="0" t="n">
        <v>4030406</v>
      </c>
      <c r="C14263" s="0" t="n">
        <v>4030426</v>
      </c>
      <c r="D14263" s="0" t="s">
        <v>47528</v>
      </c>
      <c r="E14263" s="0" t="s">
        <v>47529</v>
      </c>
      <c r="F14263" s="0" t="s">
        <v>15</v>
      </c>
      <c r="G14263" s="0" t="s">
        <v>32</v>
      </c>
      <c r="H14263" s="0" t="n">
        <v>15</v>
      </c>
      <c r="I14263" s="0" t="s">
        <v>47530</v>
      </c>
      <c r="J14263" s="0" t="s">
        <v>47531</v>
      </c>
      <c r="K14263" s="0" t="s">
        <v>47532</v>
      </c>
      <c r="L14263" s="0" t="str">
        <f aca="false">HYPERLINK("https://www.ncbi.nlm.nih.gov/nuccore/CP000304.1?report=graph&amp;tracks=[key:gene_model_track,Options:GeneOnly]&amp;mk=4030407:4030426|offset_15|00cc00,4030445:4030464|offset_53|444444,4030468:4030487|offset_76|444444,4030490:4030509|offset_98|444444&amp;v=4030206:4030709&amp;c=444444", "offset 15")</f>
        <v>offset 15</v>
      </c>
    </row>
    <row r="14264" customFormat="false" ht="12.8" hidden="false" customHeight="false" outlineLevel="0" collapsed="false">
      <c r="A14264" s="0" t="s">
        <v>12</v>
      </c>
      <c r="B14264" s="0" t="n">
        <v>4030444</v>
      </c>
      <c r="C14264" s="0" t="n">
        <v>4030464</v>
      </c>
      <c r="D14264" s="0" t="s">
        <v>47528</v>
      </c>
      <c r="E14264" s="0" t="s">
        <v>47529</v>
      </c>
      <c r="F14264" s="0" t="s">
        <v>15</v>
      </c>
      <c r="G14264" s="0" t="s">
        <v>26</v>
      </c>
      <c r="H14264" s="0" t="n">
        <v>53</v>
      </c>
      <c r="I14264" s="0" t="s">
        <v>47533</v>
      </c>
      <c r="J14264" s="0" t="s">
        <v>47534</v>
      </c>
      <c r="K14264" s="0" t="s">
        <v>47535</v>
      </c>
      <c r="L14264" s="0" t="str">
        <f aca="false">HYPERLINK("https://www.ncbi.nlm.nih.gov/nuccore/CP000304.1?report=graph&amp;tracks=[key:gene_model_track,Options:GeneOnly]&amp;mk=4030407:4030426|offset_15|444444,4030445:4030464|offset_53|00cc00,4030468:4030487|offset_76|444444,4030490:4030509|offset_98|444444&amp;v=4030206:4030709&amp;c=444444", "offset 53")</f>
        <v>offset 53</v>
      </c>
    </row>
    <row r="14265" customFormat="false" ht="12.8" hidden="false" customHeight="false" outlineLevel="0" collapsed="false">
      <c r="A14265" s="0" t="s">
        <v>12</v>
      </c>
      <c r="B14265" s="0" t="n">
        <v>4030467</v>
      </c>
      <c r="C14265" s="0" t="n">
        <v>4030487</v>
      </c>
      <c r="D14265" s="0" t="s">
        <v>47528</v>
      </c>
      <c r="E14265" s="0" t="s">
        <v>47529</v>
      </c>
      <c r="F14265" s="0" t="s">
        <v>15</v>
      </c>
      <c r="G14265" s="0" t="s">
        <v>36</v>
      </c>
      <c r="H14265" s="0" t="n">
        <v>76</v>
      </c>
      <c r="I14265" s="0" t="s">
        <v>47536</v>
      </c>
      <c r="J14265" s="0" t="s">
        <v>47537</v>
      </c>
      <c r="K14265" s="0" t="s">
        <v>47538</v>
      </c>
      <c r="L14265" s="0" t="str">
        <f aca="false">HYPERLINK("https://www.ncbi.nlm.nih.gov/nuccore/CP000304.1?report=graph&amp;tracks=[key:gene_model_track,Options:GeneOnly]&amp;mk=4030407:4030426|offset_15|444444,4030445:4030464|offset_53|444444,4030468:4030487|offset_76|00cc00,4030490:4030509|offset_98|444444&amp;v=4030206:4030709&amp;c=444444", "offset 76")</f>
        <v>offset 76</v>
      </c>
    </row>
    <row r="14266" customFormat="false" ht="12.8" hidden="false" customHeight="false" outlineLevel="0" collapsed="false">
      <c r="A14266" s="0" t="s">
        <v>12</v>
      </c>
      <c r="B14266" s="0" t="n">
        <v>4030489</v>
      </c>
      <c r="C14266" s="0" t="n">
        <v>4030509</v>
      </c>
      <c r="D14266" s="0" t="s">
        <v>47528</v>
      </c>
      <c r="E14266" s="0" t="s">
        <v>47529</v>
      </c>
      <c r="F14266" s="0" t="s">
        <v>15</v>
      </c>
      <c r="G14266" s="0" t="s">
        <v>36</v>
      </c>
      <c r="H14266" s="0" t="n">
        <v>98</v>
      </c>
      <c r="I14266" s="0" t="s">
        <v>47539</v>
      </c>
      <c r="J14266" s="0" t="s">
        <v>47540</v>
      </c>
      <c r="K14266" s="0" t="s">
        <v>47541</v>
      </c>
      <c r="L14266" s="0" t="str">
        <f aca="false">HYPERLINK("https://www.ncbi.nlm.nih.gov/nuccore/CP000304.1?report=graph&amp;tracks=[key:gene_model_track,Options:GeneOnly]&amp;mk=4030407:4030426|offset_15|444444,4030445:4030464|offset_53|444444,4030468:4030487|offset_76|444444,4030490:4030509|offset_98|00cc00&amp;v=4030206:4030709&amp;c=444444", "offset 98")</f>
        <v>offset 98</v>
      </c>
    </row>
    <row r="14267" customFormat="false" ht="12.8" hidden="false" customHeight="false" outlineLevel="0" collapsed="false">
      <c r="A14267" s="0" t="s">
        <v>12</v>
      </c>
      <c r="B14267" s="0" t="n">
        <v>4031257</v>
      </c>
      <c r="C14267" s="0" t="n">
        <v>4031277</v>
      </c>
      <c r="D14267" s="0" t="s">
        <v>47542</v>
      </c>
      <c r="E14267" s="0" t="s">
        <v>47543</v>
      </c>
      <c r="F14267" s="0" t="s">
        <v>15</v>
      </c>
      <c r="G14267" s="0" t="s">
        <v>32</v>
      </c>
      <c r="H14267" s="0" t="n">
        <v>1</v>
      </c>
      <c r="I14267" s="0" t="s">
        <v>47544</v>
      </c>
      <c r="J14267" s="0" t="s">
        <v>47545</v>
      </c>
      <c r="K14267" s="0" t="s">
        <v>47546</v>
      </c>
      <c r="L14267" s="0" t="str">
        <f aca="false">HYPERLINK("https://www.ncbi.nlm.nih.gov/nuccore/CP000304.1?report=graph&amp;tracks=[key:gene_model_track,Options:GeneOnly]&amp;mk=4031258:4031277|offset_1|00cc00,4031283:4031302|offset_26|444444,4031309:4031328|offset_52|444444,4031339:4031358|offset_82|444444&amp;v=4031057:4031558&amp;c=444444", "offset 1")</f>
        <v>offset 1</v>
      </c>
    </row>
    <row r="14268" customFormat="false" ht="12.8" hidden="false" customHeight="false" outlineLevel="0" collapsed="false">
      <c r="A14268" s="0" t="s">
        <v>12</v>
      </c>
      <c r="B14268" s="0" t="n">
        <v>4031282</v>
      </c>
      <c r="C14268" s="0" t="n">
        <v>4031302</v>
      </c>
      <c r="D14268" s="0" t="s">
        <v>47542</v>
      </c>
      <c r="E14268" s="0" t="s">
        <v>47543</v>
      </c>
      <c r="F14268" s="0" t="s">
        <v>15</v>
      </c>
      <c r="G14268" s="0" t="s">
        <v>32</v>
      </c>
      <c r="H14268" s="0" t="n">
        <v>26</v>
      </c>
      <c r="I14268" s="0" t="s">
        <v>47547</v>
      </c>
      <c r="J14268" s="0" t="s">
        <v>47548</v>
      </c>
      <c r="K14268" s="0" t="s">
        <v>47549</v>
      </c>
      <c r="L14268" s="0" t="str">
        <f aca="false">HYPERLINK("https://www.ncbi.nlm.nih.gov/nuccore/CP000304.1?report=graph&amp;tracks=[key:gene_model_track,Options:GeneOnly]&amp;mk=4031258:4031277|offset_1|444444,4031283:4031302|offset_26|00cc00,4031309:4031328|offset_52|444444,4031339:4031358|offset_82|444444&amp;v=4031057:4031558&amp;c=444444", "offset 26")</f>
        <v>offset 26</v>
      </c>
    </row>
    <row r="14269" customFormat="false" ht="12.8" hidden="false" customHeight="false" outlineLevel="0" collapsed="false">
      <c r="A14269" s="0" t="s">
        <v>12</v>
      </c>
      <c r="B14269" s="0" t="n">
        <v>4031308</v>
      </c>
      <c r="C14269" s="0" t="n">
        <v>4031328</v>
      </c>
      <c r="D14269" s="0" t="s">
        <v>47542</v>
      </c>
      <c r="E14269" s="0" t="s">
        <v>47543</v>
      </c>
      <c r="F14269" s="0" t="s">
        <v>15</v>
      </c>
      <c r="G14269" s="0" t="s">
        <v>16</v>
      </c>
      <c r="H14269" s="0" t="n">
        <v>52</v>
      </c>
      <c r="I14269" s="0" t="s">
        <v>47550</v>
      </c>
      <c r="J14269" s="0" t="s">
        <v>47551</v>
      </c>
      <c r="K14269" s="0" t="s">
        <v>47552</v>
      </c>
      <c r="L14269" s="0" t="str">
        <f aca="false">HYPERLINK("https://www.ncbi.nlm.nih.gov/nuccore/CP000304.1?report=graph&amp;tracks=[key:gene_model_track,Options:GeneOnly]&amp;mk=4031258:4031277|offset_1|444444,4031283:4031302|offset_26|444444,4031309:4031328|offset_52|00cc00,4031339:4031358|offset_82|444444&amp;v=4031057:4031558&amp;c=444444", "offset 52")</f>
        <v>offset 52</v>
      </c>
    </row>
    <row r="14270" customFormat="false" ht="12.8" hidden="false" customHeight="false" outlineLevel="0" collapsed="false">
      <c r="A14270" s="0" t="s">
        <v>12</v>
      </c>
      <c r="B14270" s="0" t="n">
        <v>4031338</v>
      </c>
      <c r="C14270" s="0" t="n">
        <v>4031358</v>
      </c>
      <c r="D14270" s="0" t="s">
        <v>47542</v>
      </c>
      <c r="E14270" s="0" t="s">
        <v>47543</v>
      </c>
      <c r="F14270" s="0" t="s">
        <v>15</v>
      </c>
      <c r="G14270" s="0" t="s">
        <v>32</v>
      </c>
      <c r="H14270" s="0" t="n">
        <v>82</v>
      </c>
      <c r="I14270" s="0" t="s">
        <v>47553</v>
      </c>
      <c r="J14270" s="0" t="s">
        <v>47554</v>
      </c>
      <c r="K14270" s="0" t="s">
        <v>47555</v>
      </c>
      <c r="L14270" s="0" t="str">
        <f aca="false">HYPERLINK("https://www.ncbi.nlm.nih.gov/nuccore/CP000304.1?report=graph&amp;tracks=[key:gene_model_track,Options:GeneOnly]&amp;mk=4031258:4031277|offset_1|444444,4031283:4031302|offset_26|444444,4031309:4031328|offset_52|444444,4031339:4031358|offset_82|00cc00&amp;v=4031057:4031558&amp;c=444444", "offset 82")</f>
        <v>offset 82</v>
      </c>
    </row>
    <row r="14271" customFormat="false" ht="12.8" hidden="false" customHeight="false" outlineLevel="0" collapsed="false">
      <c r="A14271" s="0" t="s">
        <v>12</v>
      </c>
      <c r="B14271" s="0" t="n">
        <v>4031595</v>
      </c>
      <c r="C14271" s="0" t="n">
        <v>4031615</v>
      </c>
      <c r="D14271" s="0" t="s">
        <v>47556</v>
      </c>
      <c r="E14271" s="0" t="s">
        <v>47557</v>
      </c>
      <c r="F14271" s="0" t="s">
        <v>15</v>
      </c>
      <c r="G14271" s="0" t="s">
        <v>16</v>
      </c>
      <c r="H14271" s="0" t="n">
        <v>13</v>
      </c>
      <c r="I14271" s="0" t="s">
        <v>47558</v>
      </c>
      <c r="J14271" s="0" t="s">
        <v>47559</v>
      </c>
      <c r="K14271" s="0" t="s">
        <v>47560</v>
      </c>
      <c r="L14271" s="0" t="str">
        <f aca="false">HYPERLINK("https://www.ncbi.nlm.nih.gov/nuccore/CP000304.1?report=graph&amp;tracks=[key:gene_model_track,Options:GeneOnly]&amp;mk=4031596:4031615|offset_13|00cc00,4031644:4031663|offset_61|444444,4031677:4031696|offset_94|444444,4031705:4031724|offset_122|444444&amp;v=4031395:4031924&amp;c=444444", "offset 13")</f>
        <v>offset 13</v>
      </c>
    </row>
    <row r="14272" customFormat="false" ht="12.8" hidden="false" customHeight="false" outlineLevel="0" collapsed="false">
      <c r="A14272" s="0" t="s">
        <v>12</v>
      </c>
      <c r="B14272" s="0" t="n">
        <v>4031643</v>
      </c>
      <c r="C14272" s="0" t="n">
        <v>4031663</v>
      </c>
      <c r="D14272" s="0" t="s">
        <v>47556</v>
      </c>
      <c r="E14272" s="0" t="s">
        <v>47557</v>
      </c>
      <c r="F14272" s="0" t="s">
        <v>15</v>
      </c>
      <c r="G14272" s="0" t="s">
        <v>32</v>
      </c>
      <c r="H14272" s="0" t="n">
        <v>61</v>
      </c>
      <c r="I14272" s="0" t="s">
        <v>47561</v>
      </c>
      <c r="J14272" s="0" t="s">
        <v>47562</v>
      </c>
      <c r="K14272" s="0" t="s">
        <v>47563</v>
      </c>
      <c r="L14272" s="0" t="str">
        <f aca="false">HYPERLINK("https://www.ncbi.nlm.nih.gov/nuccore/CP000304.1?report=graph&amp;tracks=[key:gene_model_track,Options:GeneOnly]&amp;mk=4031596:4031615|offset_13|444444,4031644:4031663|offset_61|00cc00,4031677:4031696|offset_94|444444,4031705:4031724|offset_122|444444&amp;v=4031395:4031924&amp;c=444444", "offset 61")</f>
        <v>offset 61</v>
      </c>
    </row>
    <row r="14273" customFormat="false" ht="12.8" hidden="false" customHeight="false" outlineLevel="0" collapsed="false">
      <c r="A14273" s="0" t="s">
        <v>12</v>
      </c>
      <c r="B14273" s="0" t="n">
        <v>4031676</v>
      </c>
      <c r="C14273" s="0" t="n">
        <v>4031696</v>
      </c>
      <c r="D14273" s="0" t="s">
        <v>47556</v>
      </c>
      <c r="E14273" s="0" t="s">
        <v>47557</v>
      </c>
      <c r="F14273" s="0" t="s">
        <v>15</v>
      </c>
      <c r="G14273" s="0" t="s">
        <v>36</v>
      </c>
      <c r="H14273" s="0" t="n">
        <v>94</v>
      </c>
      <c r="I14273" s="0" t="s">
        <v>47564</v>
      </c>
      <c r="J14273" s="0" t="s">
        <v>47565</v>
      </c>
      <c r="K14273" s="0" t="s">
        <v>47566</v>
      </c>
      <c r="L14273" s="0" t="str">
        <f aca="false">HYPERLINK("https://www.ncbi.nlm.nih.gov/nuccore/CP000304.1?report=graph&amp;tracks=[key:gene_model_track,Options:GeneOnly]&amp;mk=4031596:4031615|offset_13|444444,4031644:4031663|offset_61|444444,4031677:4031696|offset_94|00cc00,4031705:4031724|offset_122|444444&amp;v=4031395:4031924&amp;c=444444", "offset 94")</f>
        <v>offset 94</v>
      </c>
    </row>
    <row r="14274" customFormat="false" ht="12.8" hidden="false" customHeight="false" outlineLevel="0" collapsed="false">
      <c r="A14274" s="0" t="s">
        <v>12</v>
      </c>
      <c r="B14274" s="0" t="n">
        <v>4031704</v>
      </c>
      <c r="C14274" s="0" t="n">
        <v>4031724</v>
      </c>
      <c r="D14274" s="0" t="s">
        <v>47556</v>
      </c>
      <c r="E14274" s="0" t="s">
        <v>47557</v>
      </c>
      <c r="F14274" s="0" t="s">
        <v>15</v>
      </c>
      <c r="G14274" s="0" t="s">
        <v>36</v>
      </c>
      <c r="H14274" s="0" t="n">
        <v>122</v>
      </c>
      <c r="I14274" s="0" t="s">
        <v>47567</v>
      </c>
      <c r="J14274" s="0" t="s">
        <v>47568</v>
      </c>
      <c r="K14274" s="0" t="s">
        <v>47569</v>
      </c>
      <c r="L14274" s="0" t="str">
        <f aca="false">HYPERLINK("https://www.ncbi.nlm.nih.gov/nuccore/CP000304.1?report=graph&amp;tracks=[key:gene_model_track,Options:GeneOnly]&amp;mk=4031596:4031615|offset_13|444444,4031644:4031663|offset_61|444444,4031677:4031696|offset_94|444444,4031705:4031724|offset_122|00cc00&amp;v=4031395:4031924&amp;c=444444", "offset 122")</f>
        <v>offset 122</v>
      </c>
    </row>
    <row r="14275" customFormat="false" ht="12.8" hidden="false" customHeight="false" outlineLevel="0" collapsed="false">
      <c r="A14275" s="0" t="s">
        <v>12</v>
      </c>
      <c r="B14275" s="0" t="n">
        <v>4033506</v>
      </c>
      <c r="C14275" s="0" t="n">
        <v>4033526</v>
      </c>
      <c r="D14275" s="0" t="s">
        <v>47570</v>
      </c>
      <c r="E14275" s="0" t="s">
        <v>89</v>
      </c>
      <c r="F14275" s="0" t="s">
        <v>15</v>
      </c>
      <c r="G14275" s="0" t="s">
        <v>32</v>
      </c>
      <c r="H14275" s="0" t="n">
        <v>13</v>
      </c>
      <c r="I14275" s="0" t="s">
        <v>47571</v>
      </c>
      <c r="J14275" s="0" t="s">
        <v>47572</v>
      </c>
      <c r="K14275" s="0" t="s">
        <v>47573</v>
      </c>
      <c r="L14275" s="0" t="str">
        <f aca="false">HYPERLINK("https://www.ncbi.nlm.nih.gov/nuccore/CP000304.1?report=graph&amp;tracks=[key:gene_model_track,Options:GeneOnly]&amp;mk=4033507:4033526|offset_13|00cc00,4033546:4033565|offset_52|444444,4033579:4033598|offset_85|444444,4033606:4033625|offset_112|444444&amp;v=4033306:4033825&amp;c=444444", "offset 13")</f>
        <v>offset 13</v>
      </c>
    </row>
    <row r="14276" customFormat="false" ht="12.8" hidden="false" customHeight="false" outlineLevel="0" collapsed="false">
      <c r="A14276" s="0" t="s">
        <v>12</v>
      </c>
      <c r="B14276" s="0" t="n">
        <v>4033545</v>
      </c>
      <c r="C14276" s="0" t="n">
        <v>4033565</v>
      </c>
      <c r="D14276" s="0" t="s">
        <v>47570</v>
      </c>
      <c r="E14276" s="0" t="s">
        <v>89</v>
      </c>
      <c r="F14276" s="0" t="s">
        <v>15</v>
      </c>
      <c r="G14276" s="0" t="s">
        <v>16</v>
      </c>
      <c r="H14276" s="0" t="n">
        <v>52</v>
      </c>
      <c r="I14276" s="0" t="s">
        <v>47574</v>
      </c>
      <c r="J14276" s="0" t="s">
        <v>47575</v>
      </c>
      <c r="K14276" s="0" t="s">
        <v>47576</v>
      </c>
      <c r="L14276" s="0" t="str">
        <f aca="false">HYPERLINK("https://www.ncbi.nlm.nih.gov/nuccore/CP000304.1?report=graph&amp;tracks=[key:gene_model_track,Options:GeneOnly]&amp;mk=4033507:4033526|offset_13|444444,4033546:4033565|offset_52|00cc00,4033579:4033598|offset_85|444444,4033606:4033625|offset_112|444444&amp;v=4033306:4033825&amp;c=444444", "offset 52")</f>
        <v>offset 52</v>
      </c>
    </row>
    <row r="14277" customFormat="false" ht="12.8" hidden="false" customHeight="false" outlineLevel="0" collapsed="false">
      <c r="A14277" s="0" t="s">
        <v>12</v>
      </c>
      <c r="B14277" s="0" t="n">
        <v>4033578</v>
      </c>
      <c r="C14277" s="0" t="n">
        <v>4033598</v>
      </c>
      <c r="D14277" s="0" t="s">
        <v>47570</v>
      </c>
      <c r="E14277" s="0" t="s">
        <v>89</v>
      </c>
      <c r="F14277" s="0" t="s">
        <v>15</v>
      </c>
      <c r="G14277" s="0" t="s">
        <v>32</v>
      </c>
      <c r="H14277" s="0" t="n">
        <v>85</v>
      </c>
      <c r="I14277" s="0" t="s">
        <v>47577</v>
      </c>
      <c r="J14277" s="0" t="s">
        <v>47578</v>
      </c>
      <c r="K14277" s="0" t="s">
        <v>47579</v>
      </c>
      <c r="L14277" s="0" t="str">
        <f aca="false">HYPERLINK("https://www.ncbi.nlm.nih.gov/nuccore/CP000304.1?report=graph&amp;tracks=[key:gene_model_track,Options:GeneOnly]&amp;mk=4033507:4033526|offset_13|444444,4033546:4033565|offset_52|444444,4033579:4033598|offset_85|00cc00,4033606:4033625|offset_112|444444&amp;v=4033306:4033825&amp;c=444444", "offset 85")</f>
        <v>offset 85</v>
      </c>
    </row>
    <row r="14278" customFormat="false" ht="12.8" hidden="false" customHeight="false" outlineLevel="0" collapsed="false">
      <c r="A14278" s="0" t="s">
        <v>12</v>
      </c>
      <c r="B14278" s="0" t="n">
        <v>4033605</v>
      </c>
      <c r="C14278" s="0" t="n">
        <v>4033625</v>
      </c>
      <c r="D14278" s="0" t="s">
        <v>47570</v>
      </c>
      <c r="E14278" s="0" t="s">
        <v>89</v>
      </c>
      <c r="F14278" s="0" t="s">
        <v>15</v>
      </c>
      <c r="G14278" s="0" t="s">
        <v>36</v>
      </c>
      <c r="H14278" s="0" t="n">
        <v>112</v>
      </c>
      <c r="I14278" s="0" t="s">
        <v>47580</v>
      </c>
      <c r="J14278" s="0" t="s">
        <v>47581</v>
      </c>
      <c r="K14278" s="0" t="s">
        <v>47582</v>
      </c>
      <c r="L14278" s="0" t="str">
        <f aca="false">HYPERLINK("https://www.ncbi.nlm.nih.gov/nuccore/CP000304.1?report=graph&amp;tracks=[key:gene_model_track,Options:GeneOnly]&amp;mk=4033507:4033526|offset_13|444444,4033546:4033565|offset_52|444444,4033579:4033598|offset_85|444444,4033606:4033625|offset_112|00cc00&amp;v=4033306:4033825&amp;c=444444", "offset 112")</f>
        <v>offset 112</v>
      </c>
    </row>
    <row r="14279" customFormat="false" ht="12.8" hidden="false" customHeight="false" outlineLevel="0" collapsed="false">
      <c r="A14279" s="0" t="s">
        <v>12</v>
      </c>
      <c r="B14279" s="0" t="n">
        <v>4035045</v>
      </c>
      <c r="C14279" s="0" t="n">
        <v>4035065</v>
      </c>
      <c r="D14279" s="0" t="s">
        <v>47583</v>
      </c>
      <c r="E14279" s="0" t="s">
        <v>89</v>
      </c>
      <c r="F14279" s="0" t="s">
        <v>90</v>
      </c>
      <c r="G14279" s="0" t="s">
        <v>16</v>
      </c>
      <c r="H14279" s="0" t="n">
        <v>6</v>
      </c>
      <c r="I14279" s="0" t="s">
        <v>47584</v>
      </c>
      <c r="J14279" s="0" t="s">
        <v>47585</v>
      </c>
      <c r="K14279" s="0" t="s">
        <v>47586</v>
      </c>
      <c r="L14279" s="0" t="str">
        <f aca="false">HYPERLINK("https://www.ncbi.nlm.nih.gov/nuccore/CP000304.1?report=graph&amp;tracks=[key:gene_model_track,Options:GeneOnly]&amp;mk=4035046:4035065|offset_6|00cc00,4035018:4035037|offset_34|444444,4034994:4035013|offset_58|444444,4034960:4034979|offset_92|444444&amp;v=4034845:4035179&amp;c=444444", "offset 6")</f>
        <v>offset 6</v>
      </c>
    </row>
    <row r="14280" customFormat="false" ht="12.8" hidden="false" customHeight="false" outlineLevel="0" collapsed="false">
      <c r="A14280" s="0" t="s">
        <v>12</v>
      </c>
      <c r="B14280" s="0" t="n">
        <v>4035017</v>
      </c>
      <c r="C14280" s="0" t="n">
        <v>4035037</v>
      </c>
      <c r="D14280" s="0" t="s">
        <v>47583</v>
      </c>
      <c r="E14280" s="0" t="s">
        <v>89</v>
      </c>
      <c r="F14280" s="0" t="s">
        <v>90</v>
      </c>
      <c r="G14280" s="0" t="s">
        <v>36</v>
      </c>
      <c r="H14280" s="0" t="n">
        <v>34</v>
      </c>
      <c r="I14280" s="0" t="s">
        <v>47587</v>
      </c>
      <c r="J14280" s="0" t="s">
        <v>47588</v>
      </c>
      <c r="K14280" s="0" t="s">
        <v>47589</v>
      </c>
      <c r="L14280" s="0" t="str">
        <f aca="false">HYPERLINK("https://www.ncbi.nlm.nih.gov/nuccore/CP000304.1?report=graph&amp;tracks=[key:gene_model_track,Options:GeneOnly]&amp;mk=4035046:4035065|offset_6|444444,4035018:4035037|offset_34|00cc00,4034994:4035013|offset_58|444444,4034960:4034979|offset_92|444444&amp;v=4034845:4035179&amp;c=444444", "offset 34")</f>
        <v>offset 34</v>
      </c>
    </row>
    <row r="14281" customFormat="false" ht="12.8" hidden="false" customHeight="false" outlineLevel="0" collapsed="false">
      <c r="A14281" s="0" t="s">
        <v>12</v>
      </c>
      <c r="B14281" s="0" t="n">
        <v>4034993</v>
      </c>
      <c r="C14281" s="0" t="n">
        <v>4035013</v>
      </c>
      <c r="D14281" s="0" t="s">
        <v>47583</v>
      </c>
      <c r="E14281" s="0" t="s">
        <v>89</v>
      </c>
      <c r="F14281" s="0" t="s">
        <v>90</v>
      </c>
      <c r="G14281" s="0" t="s">
        <v>32</v>
      </c>
      <c r="H14281" s="0" t="n">
        <v>58</v>
      </c>
      <c r="I14281" s="0" t="s">
        <v>47590</v>
      </c>
      <c r="J14281" s="0" t="s">
        <v>47591</v>
      </c>
      <c r="K14281" s="0" t="s">
        <v>47592</v>
      </c>
      <c r="L14281" s="0" t="str">
        <f aca="false">HYPERLINK("https://www.ncbi.nlm.nih.gov/nuccore/CP000304.1?report=graph&amp;tracks=[key:gene_model_track,Options:GeneOnly]&amp;mk=4035046:4035065|offset_6|444444,4035018:4035037|offset_34|444444,4034994:4035013|offset_58|00cc00,4034960:4034979|offset_92|444444&amp;v=4034845:4035179&amp;c=444444", "offset 58")</f>
        <v>offset 58</v>
      </c>
    </row>
    <row r="14282" customFormat="false" ht="12.8" hidden="false" customHeight="false" outlineLevel="0" collapsed="false">
      <c r="A14282" s="0" t="s">
        <v>12</v>
      </c>
      <c r="B14282" s="0" t="n">
        <v>4034959</v>
      </c>
      <c r="C14282" s="0" t="n">
        <v>4034979</v>
      </c>
      <c r="D14282" s="0" t="s">
        <v>47583</v>
      </c>
      <c r="E14282" s="0" t="s">
        <v>89</v>
      </c>
      <c r="F14282" s="0" t="s">
        <v>90</v>
      </c>
      <c r="G14282" s="0" t="s">
        <v>32</v>
      </c>
      <c r="H14282" s="0" t="n">
        <v>92</v>
      </c>
      <c r="I14282" s="0" t="s">
        <v>47593</v>
      </c>
      <c r="J14282" s="0" t="s">
        <v>47594</v>
      </c>
      <c r="K14282" s="0" t="s">
        <v>47595</v>
      </c>
      <c r="L14282" s="0" t="str">
        <f aca="false">HYPERLINK("https://www.ncbi.nlm.nih.gov/nuccore/CP000304.1?report=graph&amp;tracks=[key:gene_model_track,Options:GeneOnly]&amp;mk=4035046:4035065|offset_6|444444,4035018:4035037|offset_34|444444,4034994:4035013|offset_58|444444,4034960:4034979|offset_92|00cc00&amp;v=4034845:4035179&amp;c=444444", "offset 92")</f>
        <v>offset 92</v>
      </c>
    </row>
    <row r="14283" customFormat="false" ht="12.8" hidden="false" customHeight="false" outlineLevel="0" collapsed="false">
      <c r="A14283" s="0" t="s">
        <v>12</v>
      </c>
      <c r="B14283" s="0" t="n">
        <v>4035163</v>
      </c>
      <c r="C14283" s="0" t="n">
        <v>4035183</v>
      </c>
      <c r="D14283" s="0" t="s">
        <v>47596</v>
      </c>
      <c r="E14283" s="0" t="s">
        <v>89</v>
      </c>
      <c r="F14283" s="0" t="s">
        <v>15</v>
      </c>
      <c r="G14283" s="0" t="s">
        <v>16</v>
      </c>
      <c r="H14283" s="0" t="n">
        <v>18</v>
      </c>
      <c r="I14283" s="0" t="s">
        <v>47597</v>
      </c>
      <c r="J14283" s="0" t="s">
        <v>47598</v>
      </c>
      <c r="K14283" s="0" t="s">
        <v>47599</v>
      </c>
      <c r="L14283" s="0" t="str">
        <f aca="false">HYPERLINK("https://www.ncbi.nlm.nih.gov/nuccore/CP000304.1?report=graph&amp;tracks=[key:gene_model_track,Options:GeneOnly]&amp;mk=4035164:4035183|offset_18|00cc00,4035184:4035203|offset_38|444444,4035209:4035228|offset_63|444444,4035237:4035256|offset_91|444444&amp;v=4034963:4035456&amp;c=444444", "offset 18")</f>
        <v>offset 18</v>
      </c>
    </row>
    <row r="14284" customFormat="false" ht="12.8" hidden="false" customHeight="false" outlineLevel="0" collapsed="false">
      <c r="A14284" s="0" t="s">
        <v>12</v>
      </c>
      <c r="B14284" s="0" t="n">
        <v>4035183</v>
      </c>
      <c r="C14284" s="0" t="n">
        <v>4035203</v>
      </c>
      <c r="D14284" s="0" t="s">
        <v>47596</v>
      </c>
      <c r="E14284" s="0" t="s">
        <v>89</v>
      </c>
      <c r="F14284" s="0" t="s">
        <v>15</v>
      </c>
      <c r="G14284" s="0" t="s">
        <v>26</v>
      </c>
      <c r="H14284" s="0" t="n">
        <v>38</v>
      </c>
      <c r="I14284" s="0" t="s">
        <v>47600</v>
      </c>
      <c r="J14284" s="0" t="s">
        <v>47601</v>
      </c>
      <c r="K14284" s="0" t="s">
        <v>47602</v>
      </c>
      <c r="L14284" s="0" t="str">
        <f aca="false">HYPERLINK("https://www.ncbi.nlm.nih.gov/nuccore/CP000304.1?report=graph&amp;tracks=[key:gene_model_track,Options:GeneOnly]&amp;mk=4035164:4035183|offset_18|444444,4035184:4035203|offset_38|00cc00,4035209:4035228|offset_63|444444,4035237:4035256|offset_91|444444&amp;v=4034963:4035456&amp;c=444444", "offset 38")</f>
        <v>offset 38</v>
      </c>
    </row>
    <row r="14285" customFormat="false" ht="12.8" hidden="false" customHeight="false" outlineLevel="0" collapsed="false">
      <c r="A14285" s="0" t="s">
        <v>12</v>
      </c>
      <c r="B14285" s="0" t="n">
        <v>4035208</v>
      </c>
      <c r="C14285" s="0" t="n">
        <v>4035228</v>
      </c>
      <c r="D14285" s="0" t="s">
        <v>47596</v>
      </c>
      <c r="E14285" s="0" t="s">
        <v>89</v>
      </c>
      <c r="F14285" s="0" t="s">
        <v>15</v>
      </c>
      <c r="G14285" s="0" t="s">
        <v>32</v>
      </c>
      <c r="H14285" s="0" t="n">
        <v>63</v>
      </c>
      <c r="I14285" s="0" t="s">
        <v>47603</v>
      </c>
      <c r="J14285" s="0" t="s">
        <v>47604</v>
      </c>
      <c r="K14285" s="0" t="s">
        <v>47605</v>
      </c>
      <c r="L14285" s="0" t="str">
        <f aca="false">HYPERLINK("https://www.ncbi.nlm.nih.gov/nuccore/CP000304.1?report=graph&amp;tracks=[key:gene_model_track,Options:GeneOnly]&amp;mk=4035164:4035183|offset_18|444444,4035184:4035203|offset_38|444444,4035209:4035228|offset_63|00cc00,4035237:4035256|offset_91|444444&amp;v=4034963:4035456&amp;c=444444", "offset 63")</f>
        <v>offset 63</v>
      </c>
    </row>
    <row r="14286" customFormat="false" ht="12.8" hidden="false" customHeight="false" outlineLevel="0" collapsed="false">
      <c r="A14286" s="0" t="s">
        <v>12</v>
      </c>
      <c r="B14286" s="0" t="n">
        <v>4035236</v>
      </c>
      <c r="C14286" s="0" t="n">
        <v>4035256</v>
      </c>
      <c r="D14286" s="0" t="s">
        <v>47596</v>
      </c>
      <c r="E14286" s="0" t="s">
        <v>89</v>
      </c>
      <c r="F14286" s="0" t="s">
        <v>15</v>
      </c>
      <c r="G14286" s="0" t="s">
        <v>26</v>
      </c>
      <c r="H14286" s="0" t="n">
        <v>91</v>
      </c>
      <c r="I14286" s="0" t="s">
        <v>47606</v>
      </c>
      <c r="J14286" s="0" t="s">
        <v>47607</v>
      </c>
      <c r="K14286" s="0" t="s">
        <v>47608</v>
      </c>
      <c r="L14286" s="0" t="str">
        <f aca="false">HYPERLINK("https://www.ncbi.nlm.nih.gov/nuccore/CP000304.1?report=graph&amp;tracks=[key:gene_model_track,Options:GeneOnly]&amp;mk=4035164:4035183|offset_18|444444,4035184:4035203|offset_38|444444,4035209:4035228|offset_63|444444,4035237:4035256|offset_91|00cc00&amp;v=4034963:4035456&amp;c=444444", "offset 91")</f>
        <v>offset 91</v>
      </c>
    </row>
    <row r="14287" customFormat="false" ht="12.8" hidden="false" customHeight="false" outlineLevel="0" collapsed="false">
      <c r="A14287" s="0" t="s">
        <v>12</v>
      </c>
      <c r="B14287" s="0" t="n">
        <v>4036716</v>
      </c>
      <c r="C14287" s="0" t="n">
        <v>4036736</v>
      </c>
      <c r="D14287" s="0" t="s">
        <v>47609</v>
      </c>
      <c r="E14287" s="0" t="s">
        <v>47610</v>
      </c>
      <c r="F14287" s="0" t="s">
        <v>90</v>
      </c>
      <c r="G14287" s="0" t="s">
        <v>16</v>
      </c>
      <c r="H14287" s="0" t="n">
        <v>6</v>
      </c>
      <c r="I14287" s="0" t="s">
        <v>47611</v>
      </c>
      <c r="J14287" s="0" t="s">
        <v>47612</v>
      </c>
      <c r="K14287" s="0" t="s">
        <v>47613</v>
      </c>
      <c r="L14287" s="0" t="str">
        <f aca="false">HYPERLINK("https://www.ncbi.nlm.nih.gov/nuccore/CP000304.1?report=graph&amp;tracks=[key:gene_model_track,Options:GeneOnly]&amp;mk=4036717:4036736|offset_6|00cc00,4036697:4036716|offset_26|444444,4036665:4036684|offset_58|444444,4036644:4036663|offset_79|444444&amp;v=4036516:4036863&amp;c=444444", "offset 6")</f>
        <v>offset 6</v>
      </c>
    </row>
    <row r="14288" customFormat="false" ht="12.8" hidden="false" customHeight="false" outlineLevel="0" collapsed="false">
      <c r="A14288" s="0" t="s">
        <v>12</v>
      </c>
      <c r="B14288" s="0" t="n">
        <v>4036696</v>
      </c>
      <c r="C14288" s="0" t="n">
        <v>4036716</v>
      </c>
      <c r="D14288" s="0" t="s">
        <v>47609</v>
      </c>
      <c r="E14288" s="0" t="s">
        <v>47610</v>
      </c>
      <c r="F14288" s="0" t="s">
        <v>90</v>
      </c>
      <c r="G14288" s="0" t="s">
        <v>26</v>
      </c>
      <c r="H14288" s="0" t="n">
        <v>26</v>
      </c>
      <c r="I14288" s="0" t="s">
        <v>47614</v>
      </c>
      <c r="J14288" s="0" t="s">
        <v>47615</v>
      </c>
      <c r="K14288" s="0" t="s">
        <v>47616</v>
      </c>
      <c r="L14288" s="0" t="str">
        <f aca="false">HYPERLINK("https://www.ncbi.nlm.nih.gov/nuccore/CP000304.1?report=graph&amp;tracks=[key:gene_model_track,Options:GeneOnly]&amp;mk=4036717:4036736|offset_6|444444,4036697:4036716|offset_26|00cc00,4036665:4036684|offset_58|444444,4036644:4036663|offset_79|444444&amp;v=4036516:4036863&amp;c=444444", "offset 26")</f>
        <v>offset 26</v>
      </c>
    </row>
    <row r="14289" customFormat="false" ht="12.8" hidden="false" customHeight="false" outlineLevel="0" collapsed="false">
      <c r="A14289" s="0" t="s">
        <v>12</v>
      </c>
      <c r="B14289" s="0" t="n">
        <v>4036664</v>
      </c>
      <c r="C14289" s="0" t="n">
        <v>4036684</v>
      </c>
      <c r="D14289" s="0" t="s">
        <v>47609</v>
      </c>
      <c r="E14289" s="0" t="s">
        <v>47610</v>
      </c>
      <c r="F14289" s="0" t="s">
        <v>90</v>
      </c>
      <c r="G14289" s="0" t="s">
        <v>16</v>
      </c>
      <c r="H14289" s="0" t="n">
        <v>58</v>
      </c>
      <c r="I14289" s="0" t="s">
        <v>47617</v>
      </c>
      <c r="J14289" s="0" t="s">
        <v>47618</v>
      </c>
      <c r="K14289" s="0" t="s">
        <v>47619</v>
      </c>
      <c r="L14289" s="0" t="str">
        <f aca="false">HYPERLINK("https://www.ncbi.nlm.nih.gov/nuccore/CP000304.1?report=graph&amp;tracks=[key:gene_model_track,Options:GeneOnly]&amp;mk=4036717:4036736|offset_6|444444,4036697:4036716|offset_26|444444,4036665:4036684|offset_58|00cc00,4036644:4036663|offset_79|444444&amp;v=4036516:4036863&amp;c=444444", "offset 58")</f>
        <v>offset 58</v>
      </c>
    </row>
    <row r="14290" customFormat="false" ht="12.8" hidden="false" customHeight="false" outlineLevel="0" collapsed="false">
      <c r="A14290" s="0" t="s">
        <v>12</v>
      </c>
      <c r="B14290" s="0" t="n">
        <v>4036643</v>
      </c>
      <c r="C14290" s="0" t="n">
        <v>4036663</v>
      </c>
      <c r="D14290" s="0" t="s">
        <v>47609</v>
      </c>
      <c r="E14290" s="0" t="s">
        <v>47610</v>
      </c>
      <c r="F14290" s="0" t="s">
        <v>90</v>
      </c>
      <c r="G14290" s="0" t="s">
        <v>26</v>
      </c>
      <c r="H14290" s="0" t="n">
        <v>79</v>
      </c>
      <c r="I14290" s="0" t="s">
        <v>47620</v>
      </c>
      <c r="J14290" s="0" t="s">
        <v>47621</v>
      </c>
      <c r="K14290" s="0" t="s">
        <v>47622</v>
      </c>
      <c r="L14290" s="0" t="str">
        <f aca="false">HYPERLINK("https://www.ncbi.nlm.nih.gov/nuccore/CP000304.1?report=graph&amp;tracks=[key:gene_model_track,Options:GeneOnly]&amp;mk=4036717:4036736|offset_6|444444,4036697:4036716|offset_26|444444,4036665:4036684|offset_58|444444,4036644:4036663|offset_79|00cc00&amp;v=4036516:4036863&amp;c=444444", "offset 79")</f>
        <v>offset 79</v>
      </c>
    </row>
    <row r="14291" customFormat="false" ht="12.8" hidden="false" customHeight="false" outlineLevel="0" collapsed="false">
      <c r="A14291" s="0" t="s">
        <v>12</v>
      </c>
      <c r="B14291" s="0" t="n">
        <v>4037681</v>
      </c>
      <c r="C14291" s="0" t="n">
        <v>4037701</v>
      </c>
      <c r="D14291" s="0" t="s">
        <v>47623</v>
      </c>
      <c r="E14291" s="0" t="s">
        <v>89</v>
      </c>
      <c r="F14291" s="0" t="s">
        <v>90</v>
      </c>
      <c r="G14291" s="0" t="s">
        <v>32</v>
      </c>
      <c r="H14291" s="0" t="n">
        <v>14</v>
      </c>
      <c r="I14291" s="0" t="s">
        <v>47624</v>
      </c>
      <c r="J14291" s="0" t="s">
        <v>47625</v>
      </c>
      <c r="K14291" s="0" t="s">
        <v>47626</v>
      </c>
      <c r="L14291" s="0" t="str">
        <f aca="false">HYPERLINK("https://www.ncbi.nlm.nih.gov/nuccore/CP000304.1?report=graph&amp;tracks=[key:gene_model_track,Options:GeneOnly]&amp;mk=4037682:4037701|offset_14|00cc00,4037661:4037680|offset_35|444444,4037629:4037648|offset_67|444444,4037604:4037623|offset_92|444444&amp;v=4037481:4037823&amp;c=444444", "offset 14")</f>
        <v>offset 14</v>
      </c>
    </row>
    <row r="14292" customFormat="false" ht="12.8" hidden="false" customHeight="false" outlineLevel="0" collapsed="false">
      <c r="A14292" s="0" t="s">
        <v>12</v>
      </c>
      <c r="B14292" s="0" t="n">
        <v>4037660</v>
      </c>
      <c r="C14292" s="0" t="n">
        <v>4037680</v>
      </c>
      <c r="D14292" s="0" t="s">
        <v>47623</v>
      </c>
      <c r="E14292" s="0" t="s">
        <v>89</v>
      </c>
      <c r="F14292" s="0" t="s">
        <v>90</v>
      </c>
      <c r="G14292" s="0" t="s">
        <v>26</v>
      </c>
      <c r="H14292" s="0" t="n">
        <v>35</v>
      </c>
      <c r="I14292" s="0" t="s">
        <v>47627</v>
      </c>
      <c r="J14292" s="0" t="s">
        <v>47628</v>
      </c>
      <c r="K14292" s="0" t="s">
        <v>47629</v>
      </c>
      <c r="L14292" s="0" t="str">
        <f aca="false">HYPERLINK("https://www.ncbi.nlm.nih.gov/nuccore/CP000304.1?report=graph&amp;tracks=[key:gene_model_track,Options:GeneOnly]&amp;mk=4037682:4037701|offset_14|444444,4037661:4037680|offset_35|00cc00,4037629:4037648|offset_67|444444,4037604:4037623|offset_92|444444&amp;v=4037481:4037823&amp;c=444444", "offset 35")</f>
        <v>offset 35</v>
      </c>
    </row>
    <row r="14293" customFormat="false" ht="12.8" hidden="false" customHeight="false" outlineLevel="0" collapsed="false">
      <c r="A14293" s="0" t="s">
        <v>12</v>
      </c>
      <c r="B14293" s="0" t="n">
        <v>4037628</v>
      </c>
      <c r="C14293" s="0" t="n">
        <v>4037648</v>
      </c>
      <c r="D14293" s="0" t="s">
        <v>47623</v>
      </c>
      <c r="E14293" s="0" t="s">
        <v>89</v>
      </c>
      <c r="F14293" s="0" t="s">
        <v>90</v>
      </c>
      <c r="G14293" s="0" t="s">
        <v>32</v>
      </c>
      <c r="H14293" s="0" t="n">
        <v>67</v>
      </c>
      <c r="I14293" s="0" t="s">
        <v>47630</v>
      </c>
      <c r="J14293" s="0" t="s">
        <v>47631</v>
      </c>
      <c r="K14293" s="0" t="s">
        <v>47632</v>
      </c>
      <c r="L14293" s="0" t="str">
        <f aca="false">HYPERLINK("https://www.ncbi.nlm.nih.gov/nuccore/CP000304.1?report=graph&amp;tracks=[key:gene_model_track,Options:GeneOnly]&amp;mk=4037682:4037701|offset_14|444444,4037661:4037680|offset_35|444444,4037629:4037648|offset_67|00cc00,4037604:4037623|offset_92|444444&amp;v=4037481:4037823&amp;c=444444", "offset 67")</f>
        <v>offset 67</v>
      </c>
    </row>
    <row r="14294" customFormat="false" ht="12.8" hidden="false" customHeight="false" outlineLevel="0" collapsed="false">
      <c r="A14294" s="0" t="s">
        <v>12</v>
      </c>
      <c r="B14294" s="0" t="n">
        <v>4037603</v>
      </c>
      <c r="C14294" s="0" t="n">
        <v>4037623</v>
      </c>
      <c r="D14294" s="0" t="s">
        <v>47623</v>
      </c>
      <c r="E14294" s="0" t="s">
        <v>89</v>
      </c>
      <c r="F14294" s="0" t="s">
        <v>90</v>
      </c>
      <c r="G14294" s="0" t="s">
        <v>26</v>
      </c>
      <c r="H14294" s="0" t="n">
        <v>92</v>
      </c>
      <c r="I14294" s="0" t="s">
        <v>47633</v>
      </c>
      <c r="J14294" s="0" t="s">
        <v>47634</v>
      </c>
      <c r="K14294" s="0" t="s">
        <v>47635</v>
      </c>
      <c r="L14294" s="0" t="str">
        <f aca="false">HYPERLINK("https://www.ncbi.nlm.nih.gov/nuccore/CP000304.1?report=graph&amp;tracks=[key:gene_model_track,Options:GeneOnly]&amp;mk=4037682:4037701|offset_14|444444,4037661:4037680|offset_35|444444,4037629:4037648|offset_67|444444,4037604:4037623|offset_92|00cc00&amp;v=4037481:4037823&amp;c=444444", "offset 92")</f>
        <v>offset 92</v>
      </c>
    </row>
    <row r="14295" customFormat="false" ht="12.8" hidden="false" customHeight="false" outlineLevel="0" collapsed="false">
      <c r="A14295" s="0" t="s">
        <v>12</v>
      </c>
      <c r="B14295" s="0" t="n">
        <v>4037915</v>
      </c>
      <c r="C14295" s="0" t="n">
        <v>4037935</v>
      </c>
      <c r="D14295" s="0" t="s">
        <v>47636</v>
      </c>
      <c r="E14295" s="0" t="s">
        <v>89</v>
      </c>
      <c r="F14295" s="0" t="s">
        <v>15</v>
      </c>
      <c r="G14295" s="0" t="s">
        <v>16</v>
      </c>
      <c r="H14295" s="0" t="n">
        <v>17</v>
      </c>
      <c r="I14295" s="0" t="s">
        <v>47637</v>
      </c>
      <c r="J14295" s="0" t="s">
        <v>47638</v>
      </c>
      <c r="K14295" s="0" t="s">
        <v>47639</v>
      </c>
      <c r="L14295" s="0" t="str">
        <f aca="false">HYPERLINK("https://www.ncbi.nlm.nih.gov/nuccore/CP000304.1?report=graph&amp;tracks=[key:gene_model_track,Options:GeneOnly]&amp;mk=4037916:4037935|offset_17|00cc00,4037953:4037972|offset_54|444444,4037973:4037992|offset_74|444444,4038003:4038022|offset_104|444444&amp;v=4037715:4038222&amp;c=444444", "offset 17")</f>
        <v>offset 17</v>
      </c>
    </row>
    <row r="14296" customFormat="false" ht="12.8" hidden="false" customHeight="false" outlineLevel="0" collapsed="false">
      <c r="A14296" s="0" t="s">
        <v>12</v>
      </c>
      <c r="B14296" s="0" t="n">
        <v>4037952</v>
      </c>
      <c r="C14296" s="0" t="n">
        <v>4037972</v>
      </c>
      <c r="D14296" s="0" t="s">
        <v>47636</v>
      </c>
      <c r="E14296" s="0" t="s">
        <v>89</v>
      </c>
      <c r="F14296" s="0" t="s">
        <v>15</v>
      </c>
      <c r="G14296" s="0" t="s">
        <v>16</v>
      </c>
      <c r="H14296" s="0" t="n">
        <v>54</v>
      </c>
      <c r="I14296" s="0" t="s">
        <v>47640</v>
      </c>
      <c r="J14296" s="0" t="s">
        <v>47641</v>
      </c>
      <c r="K14296" s="0" t="s">
        <v>47642</v>
      </c>
      <c r="L14296" s="0" t="str">
        <f aca="false">HYPERLINK("https://www.ncbi.nlm.nih.gov/nuccore/CP000304.1?report=graph&amp;tracks=[key:gene_model_track,Options:GeneOnly]&amp;mk=4037916:4037935|offset_17|444444,4037953:4037972|offset_54|00cc00,4037973:4037992|offset_74|444444,4038003:4038022|offset_104|444444&amp;v=4037715:4038222&amp;c=444444", "offset 54")</f>
        <v>offset 54</v>
      </c>
    </row>
    <row r="14297" customFormat="false" ht="12.8" hidden="false" customHeight="false" outlineLevel="0" collapsed="false">
      <c r="A14297" s="0" t="s">
        <v>12</v>
      </c>
      <c r="B14297" s="0" t="n">
        <v>4037972</v>
      </c>
      <c r="C14297" s="0" t="n">
        <v>4037992</v>
      </c>
      <c r="D14297" s="0" t="s">
        <v>47636</v>
      </c>
      <c r="E14297" s="0" t="s">
        <v>89</v>
      </c>
      <c r="F14297" s="0" t="s">
        <v>15</v>
      </c>
      <c r="G14297" s="0" t="s">
        <v>32</v>
      </c>
      <c r="H14297" s="0" t="n">
        <v>74</v>
      </c>
      <c r="I14297" s="0" t="s">
        <v>47643</v>
      </c>
      <c r="J14297" s="0" t="s">
        <v>47644</v>
      </c>
      <c r="K14297" s="0" t="s">
        <v>47645</v>
      </c>
      <c r="L14297" s="0" t="str">
        <f aca="false">HYPERLINK("https://www.ncbi.nlm.nih.gov/nuccore/CP000304.1?report=graph&amp;tracks=[key:gene_model_track,Options:GeneOnly]&amp;mk=4037916:4037935|offset_17|444444,4037953:4037972|offset_54|444444,4037973:4037992|offset_74|00cc00,4038003:4038022|offset_104|444444&amp;v=4037715:4038222&amp;c=444444", "offset 74")</f>
        <v>offset 74</v>
      </c>
    </row>
    <row r="14298" customFormat="false" ht="12.8" hidden="false" customHeight="false" outlineLevel="0" collapsed="false">
      <c r="A14298" s="0" t="s">
        <v>12</v>
      </c>
      <c r="B14298" s="0" t="n">
        <v>4038002</v>
      </c>
      <c r="C14298" s="0" t="n">
        <v>4038022</v>
      </c>
      <c r="D14298" s="0" t="s">
        <v>47636</v>
      </c>
      <c r="E14298" s="0" t="s">
        <v>89</v>
      </c>
      <c r="F14298" s="0" t="s">
        <v>15</v>
      </c>
      <c r="G14298" s="0" t="s">
        <v>36</v>
      </c>
      <c r="H14298" s="0" t="n">
        <v>104</v>
      </c>
      <c r="I14298" s="0" t="s">
        <v>47646</v>
      </c>
      <c r="J14298" s="0" t="s">
        <v>47647</v>
      </c>
      <c r="K14298" s="0" t="s">
        <v>47648</v>
      </c>
      <c r="L14298" s="0" t="str">
        <f aca="false">HYPERLINK("https://www.ncbi.nlm.nih.gov/nuccore/CP000304.1?report=graph&amp;tracks=[key:gene_model_track,Options:GeneOnly]&amp;mk=4037916:4037935|offset_17|444444,4037953:4037972|offset_54|444444,4037973:4037992|offset_74|444444,4038003:4038022|offset_104|00cc00&amp;v=4037715:4038222&amp;c=444444", "offset 104")</f>
        <v>offset 104</v>
      </c>
    </row>
    <row r="14299" customFormat="false" ht="12.8" hidden="false" customHeight="false" outlineLevel="0" collapsed="false">
      <c r="A14299" s="0" t="s">
        <v>12</v>
      </c>
      <c r="B14299" s="0" t="n">
        <v>4038590</v>
      </c>
      <c r="C14299" s="0" t="n">
        <v>4038610</v>
      </c>
      <c r="D14299" s="0" t="s">
        <v>47649</v>
      </c>
      <c r="E14299" s="0" t="s">
        <v>47650</v>
      </c>
      <c r="F14299" s="0" t="s">
        <v>15</v>
      </c>
      <c r="G14299" s="0" t="s">
        <v>32</v>
      </c>
      <c r="H14299" s="0" t="n">
        <v>34</v>
      </c>
      <c r="I14299" s="0" t="s">
        <v>47651</v>
      </c>
      <c r="J14299" s="0" t="s">
        <v>47652</v>
      </c>
      <c r="K14299" s="0" t="s">
        <v>47653</v>
      </c>
      <c r="L14299" s="0" t="str">
        <f aca="false">HYPERLINK("https://www.ncbi.nlm.nih.gov/nuccore/CP000304.1?report=graph&amp;tracks=[key:gene_model_track,Options:GeneOnly]&amp;mk=4038591:4038610|offset_34|00cc00,4038617:4038636|offset_60|444444,4038663:4038682|offset_106|444444,4038696:4038715|offset_139|444444&amp;v=4038390:4038915&amp;c=444444", "offset 34")</f>
        <v>offset 34</v>
      </c>
    </row>
    <row r="14300" customFormat="false" ht="12.8" hidden="false" customHeight="false" outlineLevel="0" collapsed="false">
      <c r="A14300" s="0" t="s">
        <v>12</v>
      </c>
      <c r="B14300" s="0" t="n">
        <v>4038616</v>
      </c>
      <c r="C14300" s="0" t="n">
        <v>4038636</v>
      </c>
      <c r="D14300" s="0" t="s">
        <v>47649</v>
      </c>
      <c r="E14300" s="0" t="s">
        <v>47650</v>
      </c>
      <c r="F14300" s="0" t="s">
        <v>15</v>
      </c>
      <c r="G14300" s="0" t="s">
        <v>16</v>
      </c>
      <c r="H14300" s="0" t="n">
        <v>60</v>
      </c>
      <c r="I14300" s="0" t="s">
        <v>47654</v>
      </c>
      <c r="J14300" s="0" t="s">
        <v>47655</v>
      </c>
      <c r="K14300" s="0" t="s">
        <v>47656</v>
      </c>
      <c r="L14300" s="0" t="str">
        <f aca="false">HYPERLINK("https://www.ncbi.nlm.nih.gov/nuccore/CP000304.1?report=graph&amp;tracks=[key:gene_model_track,Options:GeneOnly]&amp;mk=4038591:4038610|offset_34|444444,4038617:4038636|offset_60|00cc00,4038663:4038682|offset_106|444444,4038696:4038715|offset_139|444444&amp;v=4038390:4038915&amp;c=444444", "offset 60")</f>
        <v>offset 60</v>
      </c>
    </row>
    <row r="14301" customFormat="false" ht="12.8" hidden="false" customHeight="false" outlineLevel="0" collapsed="false">
      <c r="A14301" s="0" t="s">
        <v>12</v>
      </c>
      <c r="B14301" s="0" t="n">
        <v>4038662</v>
      </c>
      <c r="C14301" s="0" t="n">
        <v>4038682</v>
      </c>
      <c r="D14301" s="0" t="s">
        <v>47649</v>
      </c>
      <c r="E14301" s="0" t="s">
        <v>47650</v>
      </c>
      <c r="F14301" s="0" t="s">
        <v>15</v>
      </c>
      <c r="G14301" s="0" t="s">
        <v>36</v>
      </c>
      <c r="H14301" s="0" t="n">
        <v>106</v>
      </c>
      <c r="I14301" s="0" t="s">
        <v>47657</v>
      </c>
      <c r="J14301" s="0" t="s">
        <v>47658</v>
      </c>
      <c r="K14301" s="0" t="s">
        <v>47659</v>
      </c>
      <c r="L14301" s="0" t="str">
        <f aca="false">HYPERLINK("https://www.ncbi.nlm.nih.gov/nuccore/CP000304.1?report=graph&amp;tracks=[key:gene_model_track,Options:GeneOnly]&amp;mk=4038591:4038610|offset_34|444444,4038617:4038636|offset_60|444444,4038663:4038682|offset_106|00cc00,4038696:4038715|offset_139|444444&amp;v=4038390:4038915&amp;c=444444", "offset 106")</f>
        <v>offset 106</v>
      </c>
    </row>
    <row r="14302" customFormat="false" ht="12.8" hidden="false" customHeight="false" outlineLevel="0" collapsed="false">
      <c r="A14302" s="0" t="s">
        <v>12</v>
      </c>
      <c r="B14302" s="0" t="n">
        <v>4038695</v>
      </c>
      <c r="C14302" s="0" t="n">
        <v>4038715</v>
      </c>
      <c r="D14302" s="0" t="s">
        <v>47649</v>
      </c>
      <c r="E14302" s="0" t="s">
        <v>47650</v>
      </c>
      <c r="F14302" s="0" t="s">
        <v>15</v>
      </c>
      <c r="G14302" s="0" t="s">
        <v>26</v>
      </c>
      <c r="H14302" s="0" t="n">
        <v>139</v>
      </c>
      <c r="I14302" s="0" t="s">
        <v>47660</v>
      </c>
      <c r="J14302" s="0" t="s">
        <v>47661</v>
      </c>
      <c r="K14302" s="0" t="s">
        <v>47662</v>
      </c>
      <c r="L14302" s="0" t="str">
        <f aca="false">HYPERLINK("https://www.ncbi.nlm.nih.gov/nuccore/CP000304.1?report=graph&amp;tracks=[key:gene_model_track,Options:GeneOnly]&amp;mk=4038591:4038610|offset_34|444444,4038617:4038636|offset_60|444444,4038663:4038682|offset_106|444444,4038696:4038715|offset_139|00cc00&amp;v=4038390:4038915&amp;c=444444", "offset 139")</f>
        <v>offset 139</v>
      </c>
    </row>
    <row r="14303" customFormat="false" ht="12.8" hidden="false" customHeight="false" outlineLevel="0" collapsed="false">
      <c r="A14303" s="0" t="s">
        <v>12</v>
      </c>
      <c r="B14303" s="0" t="n">
        <v>4039247</v>
      </c>
      <c r="C14303" s="0" t="n">
        <v>4039267</v>
      </c>
      <c r="D14303" s="0" t="s">
        <v>47663</v>
      </c>
      <c r="E14303" s="0" t="s">
        <v>47664</v>
      </c>
      <c r="F14303" s="0" t="s">
        <v>15</v>
      </c>
      <c r="G14303" s="0" t="s">
        <v>32</v>
      </c>
      <c r="H14303" s="0" t="n">
        <v>20</v>
      </c>
      <c r="I14303" s="0" t="s">
        <v>47665</v>
      </c>
      <c r="J14303" s="0" t="s">
        <v>47666</v>
      </c>
      <c r="K14303" s="0" t="s">
        <v>47667</v>
      </c>
      <c r="L14303" s="0" t="str">
        <f aca="false">HYPERLINK("https://www.ncbi.nlm.nih.gov/nuccore/CP000304.1?report=graph&amp;tracks=[key:gene_model_track,Options:GeneOnly]&amp;mk=4039248:4039267|offset_20|00cc00,4039305:4039324|offset_77|444444,4039337:4039356|offset_109|444444,4039369:4039388|offset_141|444444&amp;v=4039047:4039588&amp;c=444444", "offset 20")</f>
        <v>offset 20</v>
      </c>
    </row>
    <row r="14304" customFormat="false" ht="12.8" hidden="false" customHeight="false" outlineLevel="0" collapsed="false">
      <c r="A14304" s="0" t="s">
        <v>12</v>
      </c>
      <c r="B14304" s="0" t="n">
        <v>4039304</v>
      </c>
      <c r="C14304" s="0" t="n">
        <v>4039324</v>
      </c>
      <c r="D14304" s="0" t="s">
        <v>47663</v>
      </c>
      <c r="E14304" s="0" t="s">
        <v>47664</v>
      </c>
      <c r="F14304" s="0" t="s">
        <v>15</v>
      </c>
      <c r="G14304" s="0" t="s">
        <v>26</v>
      </c>
      <c r="H14304" s="0" t="n">
        <v>77</v>
      </c>
      <c r="I14304" s="0" t="s">
        <v>47668</v>
      </c>
      <c r="J14304" s="0" t="s">
        <v>47669</v>
      </c>
      <c r="K14304" s="0" t="s">
        <v>47670</v>
      </c>
      <c r="L14304" s="0" t="str">
        <f aca="false">HYPERLINK("https://www.ncbi.nlm.nih.gov/nuccore/CP000304.1?report=graph&amp;tracks=[key:gene_model_track,Options:GeneOnly]&amp;mk=4039248:4039267|offset_20|444444,4039305:4039324|offset_77|00cc00,4039337:4039356|offset_109|444444,4039369:4039388|offset_141|444444&amp;v=4039047:4039588&amp;c=444444", "offset 77")</f>
        <v>offset 77</v>
      </c>
    </row>
    <row r="14305" customFormat="false" ht="12.8" hidden="false" customHeight="false" outlineLevel="0" collapsed="false">
      <c r="A14305" s="0" t="s">
        <v>12</v>
      </c>
      <c r="B14305" s="0" t="n">
        <v>4039336</v>
      </c>
      <c r="C14305" s="0" t="n">
        <v>4039356</v>
      </c>
      <c r="D14305" s="0" t="s">
        <v>47663</v>
      </c>
      <c r="E14305" s="0" t="s">
        <v>47664</v>
      </c>
      <c r="F14305" s="0" t="s">
        <v>15</v>
      </c>
      <c r="G14305" s="0" t="s">
        <v>36</v>
      </c>
      <c r="H14305" s="0" t="n">
        <v>109</v>
      </c>
      <c r="I14305" s="0" t="s">
        <v>47671</v>
      </c>
      <c r="J14305" s="0" t="s">
        <v>47672</v>
      </c>
      <c r="K14305" s="0" t="s">
        <v>47673</v>
      </c>
      <c r="L14305" s="0" t="str">
        <f aca="false">HYPERLINK("https://www.ncbi.nlm.nih.gov/nuccore/CP000304.1?report=graph&amp;tracks=[key:gene_model_track,Options:GeneOnly]&amp;mk=4039248:4039267|offset_20|444444,4039305:4039324|offset_77|444444,4039337:4039356|offset_109|00cc00,4039369:4039388|offset_141|444444&amp;v=4039047:4039588&amp;c=444444", "offset 109")</f>
        <v>offset 109</v>
      </c>
    </row>
    <row r="14306" customFormat="false" ht="12.8" hidden="false" customHeight="false" outlineLevel="0" collapsed="false">
      <c r="A14306" s="0" t="s">
        <v>12</v>
      </c>
      <c r="B14306" s="0" t="n">
        <v>4039368</v>
      </c>
      <c r="C14306" s="0" t="n">
        <v>4039388</v>
      </c>
      <c r="D14306" s="0" t="s">
        <v>47663</v>
      </c>
      <c r="E14306" s="0" t="s">
        <v>47664</v>
      </c>
      <c r="F14306" s="0" t="s">
        <v>15</v>
      </c>
      <c r="G14306" s="0" t="s">
        <v>16</v>
      </c>
      <c r="H14306" s="0" t="n">
        <v>141</v>
      </c>
      <c r="I14306" s="0" t="s">
        <v>47674</v>
      </c>
      <c r="J14306" s="0" t="s">
        <v>47675</v>
      </c>
      <c r="K14306" s="0" t="s">
        <v>47676</v>
      </c>
      <c r="L14306" s="0" t="str">
        <f aca="false">HYPERLINK("https://www.ncbi.nlm.nih.gov/nuccore/CP000304.1?report=graph&amp;tracks=[key:gene_model_track,Options:GeneOnly]&amp;mk=4039248:4039267|offset_20|444444,4039305:4039324|offset_77|444444,4039337:4039356|offset_109|444444,4039369:4039388|offset_141|00cc00&amp;v=4039047:4039588&amp;c=444444", "offset 141")</f>
        <v>offset 141</v>
      </c>
    </row>
    <row r="14307" customFormat="false" ht="12.8" hidden="false" customHeight="false" outlineLevel="0" collapsed="false">
      <c r="A14307" s="0" t="s">
        <v>12</v>
      </c>
      <c r="B14307" s="0" t="n">
        <v>4040929</v>
      </c>
      <c r="C14307" s="0" t="n">
        <v>4040949</v>
      </c>
      <c r="D14307" s="0" t="s">
        <v>47677</v>
      </c>
      <c r="E14307" s="0" t="s">
        <v>47678</v>
      </c>
      <c r="F14307" s="0" t="s">
        <v>15</v>
      </c>
      <c r="G14307" s="0" t="s">
        <v>36</v>
      </c>
      <c r="H14307" s="0" t="n">
        <v>0</v>
      </c>
      <c r="I14307" s="0" t="s">
        <v>47679</v>
      </c>
      <c r="J14307" s="0" t="s">
        <v>47680</v>
      </c>
      <c r="K14307" s="0" t="s">
        <v>47681</v>
      </c>
      <c r="L14307" s="0" t="str">
        <f aca="false">HYPERLINK("https://www.ncbi.nlm.nih.gov/nuccore/CP000304.1?report=graph&amp;tracks=[key:gene_model_track,Options:GeneOnly]&amp;mk=4040930:4040949|offset_0|00cc00,4040969:4040988|offset_39|444444,4040991:4041010|offset_61|444444,4041015:4041034|offset_85|444444&amp;v=4040729:4041234&amp;c=444444", "offset 0")</f>
        <v>offset 0</v>
      </c>
    </row>
    <row r="14308" customFormat="false" ht="12.8" hidden="false" customHeight="false" outlineLevel="0" collapsed="false">
      <c r="A14308" s="0" t="s">
        <v>12</v>
      </c>
      <c r="B14308" s="0" t="n">
        <v>4040968</v>
      </c>
      <c r="C14308" s="0" t="n">
        <v>4040988</v>
      </c>
      <c r="D14308" s="0" t="s">
        <v>47677</v>
      </c>
      <c r="E14308" s="0" t="s">
        <v>47678</v>
      </c>
      <c r="F14308" s="0" t="s">
        <v>15</v>
      </c>
      <c r="G14308" s="0" t="s">
        <v>16</v>
      </c>
      <c r="H14308" s="0" t="n">
        <v>39</v>
      </c>
      <c r="I14308" s="0" t="s">
        <v>47682</v>
      </c>
      <c r="J14308" s="0" t="s">
        <v>47683</v>
      </c>
      <c r="K14308" s="0" t="s">
        <v>47684</v>
      </c>
      <c r="L14308" s="0" t="str">
        <f aca="false">HYPERLINK("https://www.ncbi.nlm.nih.gov/nuccore/CP000304.1?report=graph&amp;tracks=[key:gene_model_track,Options:GeneOnly]&amp;mk=4040930:4040949|offset_0|444444,4040969:4040988|offset_39|00cc00,4040991:4041010|offset_61|444444,4041015:4041034|offset_85|444444&amp;v=4040729:4041234&amp;c=444444", "offset 39")</f>
        <v>offset 39</v>
      </c>
    </row>
    <row r="14309" customFormat="false" ht="12.8" hidden="false" customHeight="false" outlineLevel="0" collapsed="false">
      <c r="A14309" s="0" t="s">
        <v>12</v>
      </c>
      <c r="B14309" s="0" t="n">
        <v>4040990</v>
      </c>
      <c r="C14309" s="0" t="n">
        <v>4041010</v>
      </c>
      <c r="D14309" s="0" t="s">
        <v>47677</v>
      </c>
      <c r="E14309" s="0" t="s">
        <v>47678</v>
      </c>
      <c r="F14309" s="0" t="s">
        <v>15</v>
      </c>
      <c r="G14309" s="0" t="s">
        <v>36</v>
      </c>
      <c r="H14309" s="0" t="n">
        <v>61</v>
      </c>
      <c r="I14309" s="0" t="s">
        <v>47685</v>
      </c>
      <c r="J14309" s="0" t="s">
        <v>47686</v>
      </c>
      <c r="K14309" s="0" t="s">
        <v>47687</v>
      </c>
      <c r="L14309" s="0" t="str">
        <f aca="false">HYPERLINK("https://www.ncbi.nlm.nih.gov/nuccore/CP000304.1?report=graph&amp;tracks=[key:gene_model_track,Options:GeneOnly]&amp;mk=4040930:4040949|offset_0|444444,4040969:4040988|offset_39|444444,4040991:4041010|offset_61|00cc00,4041015:4041034|offset_85|444444&amp;v=4040729:4041234&amp;c=444444", "offset 61")</f>
        <v>offset 61</v>
      </c>
    </row>
    <row r="14310" customFormat="false" ht="12.8" hidden="false" customHeight="false" outlineLevel="0" collapsed="false">
      <c r="A14310" s="0" t="s">
        <v>12</v>
      </c>
      <c r="B14310" s="0" t="n">
        <v>4041014</v>
      </c>
      <c r="C14310" s="0" t="n">
        <v>4041034</v>
      </c>
      <c r="D14310" s="0" t="s">
        <v>47677</v>
      </c>
      <c r="E14310" s="0" t="s">
        <v>47678</v>
      </c>
      <c r="F14310" s="0" t="s">
        <v>15</v>
      </c>
      <c r="G14310" s="0" t="s">
        <v>36</v>
      </c>
      <c r="H14310" s="0" t="n">
        <v>85</v>
      </c>
      <c r="I14310" s="0" t="s">
        <v>47688</v>
      </c>
      <c r="J14310" s="0" t="s">
        <v>47689</v>
      </c>
      <c r="K14310" s="0" t="s">
        <v>47690</v>
      </c>
      <c r="L14310" s="0" t="str">
        <f aca="false">HYPERLINK("https://www.ncbi.nlm.nih.gov/nuccore/CP000304.1?report=graph&amp;tracks=[key:gene_model_track,Options:GeneOnly]&amp;mk=4040930:4040949|offset_0|444444,4040969:4040988|offset_39|444444,4040991:4041010|offset_61|444444,4041015:4041034|offset_85|00cc00&amp;v=4040729:4041234&amp;c=444444", "offset 85")</f>
        <v>offset 85</v>
      </c>
    </row>
    <row r="14311" customFormat="false" ht="12.8" hidden="false" customHeight="false" outlineLevel="0" collapsed="false">
      <c r="A14311" s="0" t="s">
        <v>12</v>
      </c>
      <c r="B14311" s="0" t="n">
        <v>4041581</v>
      </c>
      <c r="C14311" s="0" t="n">
        <v>4041601</v>
      </c>
      <c r="D14311" s="0" t="s">
        <v>47691</v>
      </c>
      <c r="E14311" s="0" t="s">
        <v>47692</v>
      </c>
      <c r="F14311" s="0" t="s">
        <v>15</v>
      </c>
      <c r="G14311" s="0" t="s">
        <v>26</v>
      </c>
      <c r="H14311" s="0" t="n">
        <v>8</v>
      </c>
      <c r="I14311" s="0" t="s">
        <v>47693</v>
      </c>
      <c r="J14311" s="0" t="s">
        <v>47694</v>
      </c>
      <c r="K14311" s="0" t="s">
        <v>47695</v>
      </c>
      <c r="L14311" s="0" t="str">
        <f aca="false">HYPERLINK("https://www.ncbi.nlm.nih.gov/nuccore/CP000304.1?report=graph&amp;tracks=[key:gene_model_track,Options:GeneOnly]&amp;mk=4041582:4041601|offset_8|00cc00,4041602:4041621|offset_28|444444,4041622:4041641|offset_48|444444,4041642:4041661|offset_68|444444&amp;v=4041381:4041861&amp;c=444444", "offset 8")</f>
        <v>offset 8</v>
      </c>
    </row>
    <row r="14312" customFormat="false" ht="12.8" hidden="false" customHeight="false" outlineLevel="0" collapsed="false">
      <c r="A14312" s="0" t="s">
        <v>12</v>
      </c>
      <c r="B14312" s="0" t="n">
        <v>4041601</v>
      </c>
      <c r="C14312" s="0" t="n">
        <v>4041621</v>
      </c>
      <c r="D14312" s="0" t="s">
        <v>47691</v>
      </c>
      <c r="E14312" s="0" t="s">
        <v>47692</v>
      </c>
      <c r="F14312" s="0" t="s">
        <v>15</v>
      </c>
      <c r="G14312" s="0" t="s">
        <v>32</v>
      </c>
      <c r="H14312" s="0" t="n">
        <v>28</v>
      </c>
      <c r="I14312" s="0" t="s">
        <v>47696</v>
      </c>
      <c r="J14312" s="0" t="s">
        <v>47697</v>
      </c>
      <c r="K14312" s="0" t="s">
        <v>47698</v>
      </c>
      <c r="L14312" s="0" t="str">
        <f aca="false">HYPERLINK("https://www.ncbi.nlm.nih.gov/nuccore/CP000304.1?report=graph&amp;tracks=[key:gene_model_track,Options:GeneOnly]&amp;mk=4041582:4041601|offset_8|444444,4041602:4041621|offset_28|00cc00,4041622:4041641|offset_48|444444,4041642:4041661|offset_68|444444&amp;v=4041381:4041861&amp;c=444444", "offset 28")</f>
        <v>offset 28</v>
      </c>
    </row>
    <row r="14313" customFormat="false" ht="12.8" hidden="false" customHeight="false" outlineLevel="0" collapsed="false">
      <c r="A14313" s="0" t="s">
        <v>12</v>
      </c>
      <c r="B14313" s="0" t="n">
        <v>4041621</v>
      </c>
      <c r="C14313" s="0" t="n">
        <v>4041641</v>
      </c>
      <c r="D14313" s="0" t="s">
        <v>47691</v>
      </c>
      <c r="E14313" s="0" t="s">
        <v>47692</v>
      </c>
      <c r="F14313" s="0" t="s">
        <v>15</v>
      </c>
      <c r="G14313" s="0" t="s">
        <v>16</v>
      </c>
      <c r="H14313" s="0" t="n">
        <v>48</v>
      </c>
      <c r="I14313" s="0" t="s">
        <v>47699</v>
      </c>
      <c r="J14313" s="0" t="s">
        <v>47700</v>
      </c>
      <c r="K14313" s="0" t="s">
        <v>47701</v>
      </c>
      <c r="L14313" s="0" t="str">
        <f aca="false">HYPERLINK("https://www.ncbi.nlm.nih.gov/nuccore/CP000304.1?report=graph&amp;tracks=[key:gene_model_track,Options:GeneOnly]&amp;mk=4041582:4041601|offset_8|444444,4041602:4041621|offset_28|444444,4041622:4041641|offset_48|00cc00,4041642:4041661|offset_68|444444&amp;v=4041381:4041861&amp;c=444444", "offset 48")</f>
        <v>offset 48</v>
      </c>
    </row>
    <row r="14314" customFormat="false" ht="12.8" hidden="false" customHeight="false" outlineLevel="0" collapsed="false">
      <c r="A14314" s="0" t="s">
        <v>12</v>
      </c>
      <c r="B14314" s="0" t="n">
        <v>4041641</v>
      </c>
      <c r="C14314" s="0" t="n">
        <v>4041661</v>
      </c>
      <c r="D14314" s="0" t="s">
        <v>47691</v>
      </c>
      <c r="E14314" s="0" t="s">
        <v>47692</v>
      </c>
      <c r="F14314" s="0" t="s">
        <v>15</v>
      </c>
      <c r="G14314" s="0" t="s">
        <v>36</v>
      </c>
      <c r="H14314" s="0" t="n">
        <v>68</v>
      </c>
      <c r="I14314" s="0" t="s">
        <v>47702</v>
      </c>
      <c r="J14314" s="0" t="s">
        <v>47703</v>
      </c>
      <c r="K14314" s="0" t="s">
        <v>47704</v>
      </c>
      <c r="L14314" s="0" t="str">
        <f aca="false">HYPERLINK("https://www.ncbi.nlm.nih.gov/nuccore/CP000304.1?report=graph&amp;tracks=[key:gene_model_track,Options:GeneOnly]&amp;mk=4041582:4041601|offset_8|444444,4041602:4041621|offset_28|444444,4041622:4041641|offset_48|444444,4041642:4041661|offset_68|00cc00&amp;v=4041381:4041861&amp;c=444444", "offset 68")</f>
        <v>offset 68</v>
      </c>
    </row>
    <row r="14315" customFormat="false" ht="12.8" hidden="false" customHeight="false" outlineLevel="0" collapsed="false">
      <c r="A14315" s="0" t="s">
        <v>12</v>
      </c>
      <c r="B14315" s="0" t="n">
        <v>4042320</v>
      </c>
      <c r="C14315" s="0" t="n">
        <v>4042340</v>
      </c>
      <c r="D14315" s="0" t="s">
        <v>47705</v>
      </c>
      <c r="E14315" s="0" t="s">
        <v>89</v>
      </c>
      <c r="F14315" s="0" t="s">
        <v>15</v>
      </c>
      <c r="G14315" s="0" t="s">
        <v>32</v>
      </c>
      <c r="H14315" s="0" t="n">
        <v>13</v>
      </c>
      <c r="I14315" s="0" t="s">
        <v>47706</v>
      </c>
      <c r="J14315" s="0" t="s">
        <v>47707</v>
      </c>
      <c r="K14315" s="0" t="s">
        <v>47708</v>
      </c>
      <c r="L14315" s="0" t="str">
        <f aca="false">HYPERLINK("https://www.ncbi.nlm.nih.gov/nuccore/CP000304.1?report=graph&amp;tracks=[key:gene_model_track,Options:GeneOnly]&amp;mk=4042321:4042340|offset_13|00cc00,4042345:4042364|offset_37|444444,4042369:4042388|offset_61|444444,4042412:4042431|offset_104|444444&amp;v=4042120:4042631&amp;c=444444", "offset 13")</f>
        <v>offset 13</v>
      </c>
    </row>
    <row r="14316" customFormat="false" ht="12.8" hidden="false" customHeight="false" outlineLevel="0" collapsed="false">
      <c r="A14316" s="0" t="s">
        <v>12</v>
      </c>
      <c r="B14316" s="0" t="n">
        <v>4042344</v>
      </c>
      <c r="C14316" s="0" t="n">
        <v>4042364</v>
      </c>
      <c r="D14316" s="0" t="s">
        <v>47705</v>
      </c>
      <c r="E14316" s="0" t="s">
        <v>89</v>
      </c>
      <c r="F14316" s="0" t="s">
        <v>15</v>
      </c>
      <c r="G14316" s="0" t="s">
        <v>26</v>
      </c>
      <c r="H14316" s="0" t="n">
        <v>37</v>
      </c>
      <c r="I14316" s="0" t="s">
        <v>47709</v>
      </c>
      <c r="J14316" s="0" t="s">
        <v>47710</v>
      </c>
      <c r="K14316" s="0" t="s">
        <v>47711</v>
      </c>
      <c r="L14316" s="0" t="str">
        <f aca="false">HYPERLINK("https://www.ncbi.nlm.nih.gov/nuccore/CP000304.1?report=graph&amp;tracks=[key:gene_model_track,Options:GeneOnly]&amp;mk=4042321:4042340|offset_13|444444,4042345:4042364|offset_37|00cc00,4042369:4042388|offset_61|444444,4042412:4042431|offset_104|444444&amp;v=4042120:4042631&amp;c=444444", "offset 37")</f>
        <v>offset 37</v>
      </c>
    </row>
    <row r="14317" customFormat="false" ht="12.8" hidden="false" customHeight="false" outlineLevel="0" collapsed="false">
      <c r="A14317" s="0" t="s">
        <v>12</v>
      </c>
      <c r="B14317" s="0" t="n">
        <v>4042368</v>
      </c>
      <c r="C14317" s="0" t="n">
        <v>4042388</v>
      </c>
      <c r="D14317" s="0" t="s">
        <v>47705</v>
      </c>
      <c r="E14317" s="0" t="s">
        <v>89</v>
      </c>
      <c r="F14317" s="0" t="s">
        <v>15</v>
      </c>
      <c r="G14317" s="0" t="s">
        <v>32</v>
      </c>
      <c r="H14317" s="0" t="n">
        <v>61</v>
      </c>
      <c r="I14317" s="0" t="s">
        <v>47712</v>
      </c>
      <c r="J14317" s="0" t="s">
        <v>47713</v>
      </c>
      <c r="K14317" s="0" t="s">
        <v>47714</v>
      </c>
      <c r="L14317" s="0" t="str">
        <f aca="false">HYPERLINK("https://www.ncbi.nlm.nih.gov/nuccore/CP000304.1?report=graph&amp;tracks=[key:gene_model_track,Options:GeneOnly]&amp;mk=4042321:4042340|offset_13|444444,4042345:4042364|offset_37|444444,4042369:4042388|offset_61|00cc00,4042412:4042431|offset_104|444444&amp;v=4042120:4042631&amp;c=444444", "offset 61")</f>
        <v>offset 61</v>
      </c>
    </row>
    <row r="14318" customFormat="false" ht="12.8" hidden="false" customHeight="false" outlineLevel="0" collapsed="false">
      <c r="A14318" s="0" t="s">
        <v>12</v>
      </c>
      <c r="B14318" s="0" t="n">
        <v>4042411</v>
      </c>
      <c r="C14318" s="0" t="n">
        <v>4042431</v>
      </c>
      <c r="D14318" s="0" t="s">
        <v>47705</v>
      </c>
      <c r="E14318" s="0" t="s">
        <v>89</v>
      </c>
      <c r="F14318" s="0" t="s">
        <v>15</v>
      </c>
      <c r="G14318" s="0" t="s">
        <v>26</v>
      </c>
      <c r="H14318" s="0" t="n">
        <v>104</v>
      </c>
      <c r="I14318" s="0" t="s">
        <v>47715</v>
      </c>
      <c r="J14318" s="0" t="s">
        <v>47716</v>
      </c>
      <c r="K14318" s="0" t="s">
        <v>47717</v>
      </c>
      <c r="L14318" s="0" t="str">
        <f aca="false">HYPERLINK("https://www.ncbi.nlm.nih.gov/nuccore/CP000304.1?report=graph&amp;tracks=[key:gene_model_track,Options:GeneOnly]&amp;mk=4042321:4042340|offset_13|444444,4042345:4042364|offset_37|444444,4042369:4042388|offset_61|444444,4042412:4042431|offset_104|00cc00&amp;v=4042120:4042631&amp;c=444444", "offset 104")</f>
        <v>offset 104</v>
      </c>
    </row>
    <row r="14319" customFormat="false" ht="12.8" hidden="false" customHeight="false" outlineLevel="0" collapsed="false">
      <c r="A14319" s="0" t="s">
        <v>12</v>
      </c>
      <c r="B14319" s="0" t="n">
        <v>4042676</v>
      </c>
      <c r="C14319" s="0" t="n">
        <v>4042696</v>
      </c>
      <c r="D14319" s="0" t="s">
        <v>47718</v>
      </c>
      <c r="E14319" s="0" t="s">
        <v>89</v>
      </c>
      <c r="F14319" s="0" t="s">
        <v>15</v>
      </c>
      <c r="G14319" s="0" t="s">
        <v>26</v>
      </c>
      <c r="H14319" s="0" t="n">
        <v>0</v>
      </c>
      <c r="I14319" s="0" t="s">
        <v>47719</v>
      </c>
      <c r="J14319" s="0" t="s">
        <v>47720</v>
      </c>
      <c r="K14319" s="0" t="s">
        <v>47721</v>
      </c>
      <c r="L14319" s="0" t="str">
        <f aca="false">HYPERLINK("https://www.ncbi.nlm.nih.gov/nuccore/CP000304.1?report=graph&amp;tracks=[key:gene_model_track,Options:GeneOnly]&amp;mk=4042677:4042696|offset_0|00cc00,4042702:4042721|offset_25|444444,4042722:4042741|offset_45|444444,4042754:4042773|offset_77|444444&amp;v=4042476:4042973&amp;c=444444", "offset 0")</f>
        <v>offset 0</v>
      </c>
    </row>
    <row r="14320" customFormat="false" ht="12.8" hidden="false" customHeight="false" outlineLevel="0" collapsed="false">
      <c r="A14320" s="0" t="s">
        <v>12</v>
      </c>
      <c r="B14320" s="0" t="n">
        <v>4042701</v>
      </c>
      <c r="C14320" s="0" t="n">
        <v>4042721</v>
      </c>
      <c r="D14320" s="0" t="s">
        <v>47718</v>
      </c>
      <c r="E14320" s="0" t="s">
        <v>89</v>
      </c>
      <c r="F14320" s="0" t="s">
        <v>15</v>
      </c>
      <c r="G14320" s="0" t="s">
        <v>16</v>
      </c>
      <c r="H14320" s="0" t="n">
        <v>25</v>
      </c>
      <c r="I14320" s="0" t="s">
        <v>47722</v>
      </c>
      <c r="J14320" s="0" t="s">
        <v>47723</v>
      </c>
      <c r="K14320" s="0" t="s">
        <v>47724</v>
      </c>
      <c r="L14320" s="0" t="str">
        <f aca="false">HYPERLINK("https://www.ncbi.nlm.nih.gov/nuccore/CP000304.1?report=graph&amp;tracks=[key:gene_model_track,Options:GeneOnly]&amp;mk=4042677:4042696|offset_0|444444,4042702:4042721|offset_25|00cc00,4042722:4042741|offset_45|444444,4042754:4042773|offset_77|444444&amp;v=4042476:4042973&amp;c=444444", "offset 25")</f>
        <v>offset 25</v>
      </c>
    </row>
    <row r="14321" customFormat="false" ht="12.8" hidden="false" customHeight="false" outlineLevel="0" collapsed="false">
      <c r="A14321" s="0" t="s">
        <v>12</v>
      </c>
      <c r="B14321" s="0" t="n">
        <v>4042721</v>
      </c>
      <c r="C14321" s="0" t="n">
        <v>4042741</v>
      </c>
      <c r="D14321" s="0" t="s">
        <v>47718</v>
      </c>
      <c r="E14321" s="0" t="s">
        <v>89</v>
      </c>
      <c r="F14321" s="0" t="s">
        <v>15</v>
      </c>
      <c r="G14321" s="0" t="s">
        <v>36</v>
      </c>
      <c r="H14321" s="0" t="n">
        <v>45</v>
      </c>
      <c r="I14321" s="0" t="s">
        <v>47725</v>
      </c>
      <c r="J14321" s="0" t="s">
        <v>47726</v>
      </c>
      <c r="K14321" s="0" t="s">
        <v>47727</v>
      </c>
      <c r="L14321" s="0" t="str">
        <f aca="false">HYPERLINK("https://www.ncbi.nlm.nih.gov/nuccore/CP000304.1?report=graph&amp;tracks=[key:gene_model_track,Options:GeneOnly]&amp;mk=4042677:4042696|offset_0|444444,4042702:4042721|offset_25|444444,4042722:4042741|offset_45|00cc00,4042754:4042773|offset_77|444444&amp;v=4042476:4042973&amp;c=444444", "offset 45")</f>
        <v>offset 45</v>
      </c>
    </row>
    <row r="14322" customFormat="false" ht="12.8" hidden="false" customHeight="false" outlineLevel="0" collapsed="false">
      <c r="A14322" s="0" t="s">
        <v>12</v>
      </c>
      <c r="B14322" s="0" t="n">
        <v>4042753</v>
      </c>
      <c r="C14322" s="0" t="n">
        <v>4042773</v>
      </c>
      <c r="D14322" s="0" t="s">
        <v>47718</v>
      </c>
      <c r="E14322" s="0" t="s">
        <v>89</v>
      </c>
      <c r="F14322" s="0" t="s">
        <v>15</v>
      </c>
      <c r="G14322" s="0" t="s">
        <v>36</v>
      </c>
      <c r="H14322" s="0" t="n">
        <v>77</v>
      </c>
      <c r="I14322" s="0" t="s">
        <v>47728</v>
      </c>
      <c r="J14322" s="0" t="s">
        <v>47729</v>
      </c>
      <c r="K14322" s="0" t="s">
        <v>47730</v>
      </c>
      <c r="L14322" s="0" t="str">
        <f aca="false">HYPERLINK("https://www.ncbi.nlm.nih.gov/nuccore/CP000304.1?report=graph&amp;tracks=[key:gene_model_track,Options:GeneOnly]&amp;mk=4042677:4042696|offset_0|444444,4042702:4042721|offset_25|444444,4042722:4042741|offset_45|444444,4042754:4042773|offset_77|00cc00&amp;v=4042476:4042973&amp;c=444444", "offset 77")</f>
        <v>offset 77</v>
      </c>
    </row>
    <row r="14323" customFormat="false" ht="12.8" hidden="false" customHeight="false" outlineLevel="0" collapsed="false">
      <c r="A14323" s="0" t="s">
        <v>12</v>
      </c>
      <c r="B14323" s="0" t="n">
        <v>4046163</v>
      </c>
      <c r="C14323" s="0" t="n">
        <v>4046183</v>
      </c>
      <c r="D14323" s="0" t="s">
        <v>47731</v>
      </c>
      <c r="E14323" s="0" t="s">
        <v>47732</v>
      </c>
      <c r="F14323" s="0" t="s">
        <v>90</v>
      </c>
      <c r="G14323" s="0" t="s">
        <v>32</v>
      </c>
      <c r="H14323" s="0" t="n">
        <v>9</v>
      </c>
      <c r="I14323" s="0" t="s">
        <v>47733</v>
      </c>
      <c r="J14323" s="0" t="s">
        <v>47734</v>
      </c>
      <c r="K14323" s="0" t="s">
        <v>47735</v>
      </c>
      <c r="L14323" s="0" t="str">
        <f aca="false">HYPERLINK("https://www.ncbi.nlm.nih.gov/nuccore/CP000304.1?report=graph&amp;tracks=[key:gene_model_track,Options:GeneOnly]&amp;mk=4046164:4046183|offset_9|00cc00,4046139:4046158|offset_34|444444,4046111:4046130|offset_62|444444,4046088:4046107|offset_85|444444&amp;v=4045963:4046307&amp;c=444444", "offset 9")</f>
        <v>offset 9</v>
      </c>
    </row>
    <row r="14324" customFormat="false" ht="12.8" hidden="false" customHeight="false" outlineLevel="0" collapsed="false">
      <c r="A14324" s="0" t="s">
        <v>12</v>
      </c>
      <c r="B14324" s="0" t="n">
        <v>4046138</v>
      </c>
      <c r="C14324" s="0" t="n">
        <v>4046158</v>
      </c>
      <c r="D14324" s="0" t="s">
        <v>47731</v>
      </c>
      <c r="E14324" s="0" t="s">
        <v>47732</v>
      </c>
      <c r="F14324" s="0" t="s">
        <v>90</v>
      </c>
      <c r="G14324" s="0" t="s">
        <v>32</v>
      </c>
      <c r="H14324" s="0" t="n">
        <v>34</v>
      </c>
      <c r="I14324" s="0" t="s">
        <v>47736</v>
      </c>
      <c r="J14324" s="0" t="s">
        <v>47737</v>
      </c>
      <c r="K14324" s="0" t="s">
        <v>47738</v>
      </c>
      <c r="L14324" s="0" t="str">
        <f aca="false">HYPERLINK("https://www.ncbi.nlm.nih.gov/nuccore/CP000304.1?report=graph&amp;tracks=[key:gene_model_track,Options:GeneOnly]&amp;mk=4046164:4046183|offset_9|444444,4046139:4046158|offset_34|00cc00,4046111:4046130|offset_62|444444,4046088:4046107|offset_85|444444&amp;v=4045963:4046307&amp;c=444444", "offset 34")</f>
        <v>offset 34</v>
      </c>
    </row>
    <row r="14325" customFormat="false" ht="12.8" hidden="false" customHeight="false" outlineLevel="0" collapsed="false">
      <c r="A14325" s="0" t="s">
        <v>12</v>
      </c>
      <c r="B14325" s="0" t="n">
        <v>4046110</v>
      </c>
      <c r="C14325" s="0" t="n">
        <v>4046130</v>
      </c>
      <c r="D14325" s="0" t="s">
        <v>47731</v>
      </c>
      <c r="E14325" s="0" t="s">
        <v>47732</v>
      </c>
      <c r="F14325" s="0" t="s">
        <v>90</v>
      </c>
      <c r="G14325" s="0" t="s">
        <v>26</v>
      </c>
      <c r="H14325" s="0" t="n">
        <v>62</v>
      </c>
      <c r="I14325" s="0" t="s">
        <v>47739</v>
      </c>
      <c r="J14325" s="0" t="s">
        <v>47740</v>
      </c>
      <c r="K14325" s="0" t="s">
        <v>47741</v>
      </c>
      <c r="L14325" s="0" t="str">
        <f aca="false">HYPERLINK("https://www.ncbi.nlm.nih.gov/nuccore/CP000304.1?report=graph&amp;tracks=[key:gene_model_track,Options:GeneOnly]&amp;mk=4046164:4046183|offset_9|444444,4046139:4046158|offset_34|444444,4046111:4046130|offset_62|00cc00,4046088:4046107|offset_85|444444&amp;v=4045963:4046307&amp;c=444444", "offset 62")</f>
        <v>offset 62</v>
      </c>
    </row>
    <row r="14326" customFormat="false" ht="12.8" hidden="false" customHeight="false" outlineLevel="0" collapsed="false">
      <c r="A14326" s="0" t="s">
        <v>12</v>
      </c>
      <c r="B14326" s="0" t="n">
        <v>4046087</v>
      </c>
      <c r="C14326" s="0" t="n">
        <v>4046107</v>
      </c>
      <c r="D14326" s="0" t="s">
        <v>47731</v>
      </c>
      <c r="E14326" s="0" t="s">
        <v>47732</v>
      </c>
      <c r="F14326" s="0" t="s">
        <v>90</v>
      </c>
      <c r="G14326" s="0" t="s">
        <v>32</v>
      </c>
      <c r="H14326" s="0" t="n">
        <v>85</v>
      </c>
      <c r="I14326" s="0" t="s">
        <v>47742</v>
      </c>
      <c r="J14326" s="0" t="s">
        <v>47743</v>
      </c>
      <c r="K14326" s="0" t="s">
        <v>47744</v>
      </c>
      <c r="L14326" s="0" t="str">
        <f aca="false">HYPERLINK("https://www.ncbi.nlm.nih.gov/nuccore/CP000304.1?report=graph&amp;tracks=[key:gene_model_track,Options:GeneOnly]&amp;mk=4046164:4046183|offset_9|444444,4046139:4046158|offset_34|444444,4046111:4046130|offset_62|444444,4046088:4046107|offset_85|00cc00&amp;v=4045963:4046307&amp;c=444444", "offset 85")</f>
        <v>offset 85</v>
      </c>
    </row>
    <row r="14327" customFormat="false" ht="12.8" hidden="false" customHeight="false" outlineLevel="0" collapsed="false">
      <c r="A14327" s="0" t="s">
        <v>12</v>
      </c>
      <c r="B14327" s="0" t="n">
        <v>4047642</v>
      </c>
      <c r="C14327" s="0" t="n">
        <v>4047662</v>
      </c>
      <c r="D14327" s="0" t="s">
        <v>47745</v>
      </c>
      <c r="E14327" s="0" t="s">
        <v>89</v>
      </c>
      <c r="F14327" s="0" t="s">
        <v>90</v>
      </c>
      <c r="G14327" s="0" t="s">
        <v>26</v>
      </c>
      <c r="H14327" s="0" t="n">
        <v>14</v>
      </c>
      <c r="I14327" s="0" t="s">
        <v>47746</v>
      </c>
      <c r="J14327" s="0" t="s">
        <v>47747</v>
      </c>
      <c r="K14327" s="0" t="s">
        <v>47748</v>
      </c>
      <c r="L14327" s="0" t="str">
        <f aca="false">HYPERLINK("https://www.ncbi.nlm.nih.gov/nuccore/CP000304.1?report=graph&amp;tracks=[key:gene_model_track,Options:GeneOnly]&amp;mk=4047643:4047662|offset_14|00cc00,4047615:4047634|offset_42|444444,4047585:4047604|offset_72|444444,4047561:4047580|offset_96|444444&amp;v=4047442:4047780&amp;c=444444", "offset 14")</f>
        <v>offset 14</v>
      </c>
    </row>
    <row r="14328" customFormat="false" ht="12.8" hidden="false" customHeight="false" outlineLevel="0" collapsed="false">
      <c r="A14328" s="0" t="s">
        <v>12</v>
      </c>
      <c r="B14328" s="0" t="n">
        <v>4047614</v>
      </c>
      <c r="C14328" s="0" t="n">
        <v>4047634</v>
      </c>
      <c r="D14328" s="0" t="s">
        <v>47745</v>
      </c>
      <c r="E14328" s="0" t="s">
        <v>89</v>
      </c>
      <c r="F14328" s="0" t="s">
        <v>90</v>
      </c>
      <c r="G14328" s="0" t="s">
        <v>26</v>
      </c>
      <c r="H14328" s="0" t="n">
        <v>42</v>
      </c>
      <c r="I14328" s="0" t="s">
        <v>47749</v>
      </c>
      <c r="J14328" s="0" t="s">
        <v>47750</v>
      </c>
      <c r="K14328" s="0" t="s">
        <v>47751</v>
      </c>
      <c r="L14328" s="0" t="str">
        <f aca="false">HYPERLINK("https://www.ncbi.nlm.nih.gov/nuccore/CP000304.1?report=graph&amp;tracks=[key:gene_model_track,Options:GeneOnly]&amp;mk=4047643:4047662|offset_14|444444,4047615:4047634|offset_42|00cc00,4047585:4047604|offset_72|444444,4047561:4047580|offset_96|444444&amp;v=4047442:4047780&amp;c=444444", "offset 42")</f>
        <v>offset 42</v>
      </c>
    </row>
    <row r="14329" customFormat="false" ht="12.8" hidden="false" customHeight="false" outlineLevel="0" collapsed="false">
      <c r="A14329" s="0" t="s">
        <v>12</v>
      </c>
      <c r="B14329" s="0" t="n">
        <v>4047584</v>
      </c>
      <c r="C14329" s="0" t="n">
        <v>4047604</v>
      </c>
      <c r="D14329" s="0" t="s">
        <v>47745</v>
      </c>
      <c r="E14329" s="0" t="s">
        <v>89</v>
      </c>
      <c r="F14329" s="0" t="s">
        <v>90</v>
      </c>
      <c r="G14329" s="0" t="s">
        <v>16</v>
      </c>
      <c r="H14329" s="0" t="n">
        <v>72</v>
      </c>
      <c r="I14329" s="0" t="s">
        <v>47752</v>
      </c>
      <c r="J14329" s="0" t="s">
        <v>47753</v>
      </c>
      <c r="K14329" s="0" t="s">
        <v>47754</v>
      </c>
      <c r="L14329" s="0" t="str">
        <f aca="false">HYPERLINK("https://www.ncbi.nlm.nih.gov/nuccore/CP000304.1?report=graph&amp;tracks=[key:gene_model_track,Options:GeneOnly]&amp;mk=4047643:4047662|offset_14|444444,4047615:4047634|offset_42|444444,4047585:4047604|offset_72|00cc00,4047561:4047580|offset_96|444444&amp;v=4047442:4047780&amp;c=444444", "offset 72")</f>
        <v>offset 72</v>
      </c>
    </row>
    <row r="14330" customFormat="false" ht="12.8" hidden="false" customHeight="false" outlineLevel="0" collapsed="false">
      <c r="A14330" s="0" t="s">
        <v>12</v>
      </c>
      <c r="B14330" s="0" t="n">
        <v>4047560</v>
      </c>
      <c r="C14330" s="0" t="n">
        <v>4047580</v>
      </c>
      <c r="D14330" s="0" t="s">
        <v>47745</v>
      </c>
      <c r="E14330" s="0" t="s">
        <v>89</v>
      </c>
      <c r="F14330" s="0" t="s">
        <v>90</v>
      </c>
      <c r="G14330" s="0" t="s">
        <v>32</v>
      </c>
      <c r="H14330" s="0" t="n">
        <v>96</v>
      </c>
      <c r="I14330" s="0" t="s">
        <v>47755</v>
      </c>
      <c r="J14330" s="0" t="s">
        <v>47756</v>
      </c>
      <c r="K14330" s="0" t="s">
        <v>47757</v>
      </c>
      <c r="L14330" s="0" t="str">
        <f aca="false">HYPERLINK("https://www.ncbi.nlm.nih.gov/nuccore/CP000304.1?report=graph&amp;tracks=[key:gene_model_track,Options:GeneOnly]&amp;mk=4047643:4047662|offset_14|444444,4047615:4047634|offset_42|444444,4047585:4047604|offset_72|444444,4047561:4047580|offset_96|00cc00&amp;v=4047442:4047780&amp;c=444444", "offset 96")</f>
        <v>offset 96</v>
      </c>
    </row>
    <row r="14331" customFormat="false" ht="12.8" hidden="false" customHeight="false" outlineLevel="0" collapsed="false">
      <c r="A14331" s="0" t="s">
        <v>12</v>
      </c>
      <c r="B14331" s="0" t="n">
        <v>4047919</v>
      </c>
      <c r="C14331" s="0" t="n">
        <v>4047939</v>
      </c>
      <c r="D14331" s="0" t="s">
        <v>47758</v>
      </c>
      <c r="E14331" s="0" t="s">
        <v>89</v>
      </c>
      <c r="F14331" s="0" t="s">
        <v>15</v>
      </c>
      <c r="G14331" s="0" t="s">
        <v>32</v>
      </c>
      <c r="H14331" s="0" t="n">
        <v>13</v>
      </c>
      <c r="I14331" s="0" t="s">
        <v>47759</v>
      </c>
      <c r="J14331" s="0" t="s">
        <v>47760</v>
      </c>
      <c r="K14331" s="0" t="s">
        <v>47761</v>
      </c>
      <c r="L14331" s="0" t="str">
        <f aca="false">HYPERLINK("https://www.ncbi.nlm.nih.gov/nuccore/CP000304.1?report=graph&amp;tracks=[key:gene_model_track,Options:GeneOnly]&amp;mk=4047920:4047939|offset_13|00cc00,4047945:4047964|offset_38|444444,4047968:4047987|offset_61|444444,4047994:4048013|offset_87|444444&amp;v=4047719:4048213&amp;c=444444", "offset 13")</f>
        <v>offset 13</v>
      </c>
    </row>
    <row r="14332" customFormat="false" ht="12.8" hidden="false" customHeight="false" outlineLevel="0" collapsed="false">
      <c r="A14332" s="0" t="s">
        <v>12</v>
      </c>
      <c r="B14332" s="0" t="n">
        <v>4047944</v>
      </c>
      <c r="C14332" s="0" t="n">
        <v>4047964</v>
      </c>
      <c r="D14332" s="0" t="s">
        <v>47758</v>
      </c>
      <c r="E14332" s="0" t="s">
        <v>89</v>
      </c>
      <c r="F14332" s="0" t="s">
        <v>15</v>
      </c>
      <c r="G14332" s="0" t="s">
        <v>26</v>
      </c>
      <c r="H14332" s="0" t="n">
        <v>38</v>
      </c>
      <c r="I14332" s="0" t="s">
        <v>47762</v>
      </c>
      <c r="J14332" s="0" t="s">
        <v>47763</v>
      </c>
      <c r="K14332" s="0" t="s">
        <v>47764</v>
      </c>
      <c r="L14332" s="0" t="str">
        <f aca="false">HYPERLINK("https://www.ncbi.nlm.nih.gov/nuccore/CP000304.1?report=graph&amp;tracks=[key:gene_model_track,Options:GeneOnly]&amp;mk=4047920:4047939|offset_13|444444,4047945:4047964|offset_38|00cc00,4047968:4047987|offset_61|444444,4047994:4048013|offset_87|444444&amp;v=4047719:4048213&amp;c=444444", "offset 38")</f>
        <v>offset 38</v>
      </c>
    </row>
    <row r="14333" customFormat="false" ht="12.8" hidden="false" customHeight="false" outlineLevel="0" collapsed="false">
      <c r="A14333" s="0" t="s">
        <v>12</v>
      </c>
      <c r="B14333" s="0" t="n">
        <v>4047967</v>
      </c>
      <c r="C14333" s="0" t="n">
        <v>4047987</v>
      </c>
      <c r="D14333" s="0" t="s">
        <v>47758</v>
      </c>
      <c r="E14333" s="0" t="s">
        <v>89</v>
      </c>
      <c r="F14333" s="0" t="s">
        <v>15</v>
      </c>
      <c r="G14333" s="0" t="s">
        <v>16</v>
      </c>
      <c r="H14333" s="0" t="n">
        <v>61</v>
      </c>
      <c r="I14333" s="0" t="s">
        <v>47765</v>
      </c>
      <c r="J14333" s="0" t="s">
        <v>47766</v>
      </c>
      <c r="K14333" s="0" t="s">
        <v>47767</v>
      </c>
      <c r="L14333" s="0" t="str">
        <f aca="false">HYPERLINK("https://www.ncbi.nlm.nih.gov/nuccore/CP000304.1?report=graph&amp;tracks=[key:gene_model_track,Options:GeneOnly]&amp;mk=4047920:4047939|offset_13|444444,4047945:4047964|offset_38|444444,4047968:4047987|offset_61|00cc00,4047994:4048013|offset_87|444444&amp;v=4047719:4048213&amp;c=444444", "offset 61")</f>
        <v>offset 61</v>
      </c>
    </row>
    <row r="14334" customFormat="false" ht="12.8" hidden="false" customHeight="false" outlineLevel="0" collapsed="false">
      <c r="A14334" s="0" t="s">
        <v>12</v>
      </c>
      <c r="B14334" s="0" t="n">
        <v>4047993</v>
      </c>
      <c r="C14334" s="0" t="n">
        <v>4048013</v>
      </c>
      <c r="D14334" s="0" t="s">
        <v>47758</v>
      </c>
      <c r="E14334" s="0" t="s">
        <v>89</v>
      </c>
      <c r="F14334" s="0" t="s">
        <v>15</v>
      </c>
      <c r="G14334" s="0" t="s">
        <v>16</v>
      </c>
      <c r="H14334" s="0" t="n">
        <v>87</v>
      </c>
      <c r="I14334" s="0" t="s">
        <v>47768</v>
      </c>
      <c r="J14334" s="0" t="s">
        <v>47769</v>
      </c>
      <c r="K14334" s="0" t="s">
        <v>47770</v>
      </c>
      <c r="L14334" s="0" t="str">
        <f aca="false">HYPERLINK("https://www.ncbi.nlm.nih.gov/nuccore/CP000304.1?report=graph&amp;tracks=[key:gene_model_track,Options:GeneOnly]&amp;mk=4047920:4047939|offset_13|444444,4047945:4047964|offset_38|444444,4047968:4047987|offset_61|444444,4047994:4048013|offset_87|00cc00&amp;v=4047719:4048213&amp;c=444444", "offset 87")</f>
        <v>offset 87</v>
      </c>
    </row>
    <row r="14335" customFormat="false" ht="12.8" hidden="false" customHeight="false" outlineLevel="0" collapsed="false">
      <c r="A14335" s="0" t="s">
        <v>12</v>
      </c>
      <c r="B14335" s="0" t="n">
        <v>4048842</v>
      </c>
      <c r="C14335" s="0" t="n">
        <v>4048862</v>
      </c>
      <c r="D14335" s="0" t="s">
        <v>47771</v>
      </c>
      <c r="E14335" s="0" t="s">
        <v>89</v>
      </c>
      <c r="F14335" s="0" t="s">
        <v>15</v>
      </c>
      <c r="G14335" s="0" t="s">
        <v>36</v>
      </c>
      <c r="H14335" s="0" t="n">
        <v>42</v>
      </c>
      <c r="I14335" s="0" t="s">
        <v>47772</v>
      </c>
      <c r="J14335" s="0" t="s">
        <v>47773</v>
      </c>
      <c r="K14335" s="0" t="s">
        <v>47774</v>
      </c>
      <c r="L14335" s="0" t="str">
        <f aca="false">HYPERLINK("https://www.ncbi.nlm.nih.gov/nuccore/CP000304.1?report=graph&amp;tracks=[key:gene_model_track,Options:GeneOnly]&amp;mk=4048843:4048862|offset_42|00cc00,4048870:4048889|offset_69|444444,4048907:4048926|offset_106|444444,4048931:4048950|offset_130|444444&amp;v=4048642:4049150&amp;c=444444", "offset 42")</f>
        <v>offset 42</v>
      </c>
    </row>
    <row r="14336" customFormat="false" ht="12.8" hidden="false" customHeight="false" outlineLevel="0" collapsed="false">
      <c r="A14336" s="0" t="s">
        <v>12</v>
      </c>
      <c r="B14336" s="0" t="n">
        <v>4048869</v>
      </c>
      <c r="C14336" s="0" t="n">
        <v>4048889</v>
      </c>
      <c r="D14336" s="0" t="s">
        <v>47771</v>
      </c>
      <c r="E14336" s="0" t="s">
        <v>89</v>
      </c>
      <c r="F14336" s="0" t="s">
        <v>15</v>
      </c>
      <c r="G14336" s="0" t="s">
        <v>16</v>
      </c>
      <c r="H14336" s="0" t="n">
        <v>69</v>
      </c>
      <c r="I14336" s="0" t="s">
        <v>47775</v>
      </c>
      <c r="J14336" s="0" t="s">
        <v>47776</v>
      </c>
      <c r="K14336" s="0" t="s">
        <v>47777</v>
      </c>
      <c r="L14336" s="0" t="str">
        <f aca="false">HYPERLINK("https://www.ncbi.nlm.nih.gov/nuccore/CP000304.1?report=graph&amp;tracks=[key:gene_model_track,Options:GeneOnly]&amp;mk=4048843:4048862|offset_42|444444,4048870:4048889|offset_69|00cc00,4048907:4048926|offset_106|444444,4048931:4048950|offset_130|444444&amp;v=4048642:4049150&amp;c=444444", "offset 69")</f>
        <v>offset 69</v>
      </c>
    </row>
    <row r="14337" customFormat="false" ht="12.8" hidden="false" customHeight="false" outlineLevel="0" collapsed="false">
      <c r="A14337" s="0" t="s">
        <v>12</v>
      </c>
      <c r="B14337" s="0" t="n">
        <v>4048906</v>
      </c>
      <c r="C14337" s="0" t="n">
        <v>4048926</v>
      </c>
      <c r="D14337" s="0" t="s">
        <v>47771</v>
      </c>
      <c r="E14337" s="0" t="s">
        <v>89</v>
      </c>
      <c r="F14337" s="0" t="s">
        <v>15</v>
      </c>
      <c r="G14337" s="0" t="s">
        <v>16</v>
      </c>
      <c r="H14337" s="0" t="n">
        <v>106</v>
      </c>
      <c r="I14337" s="0" t="s">
        <v>47778</v>
      </c>
      <c r="J14337" s="0" t="s">
        <v>47779</v>
      </c>
      <c r="K14337" s="0" t="s">
        <v>47780</v>
      </c>
      <c r="L14337" s="0" t="str">
        <f aca="false">HYPERLINK("https://www.ncbi.nlm.nih.gov/nuccore/CP000304.1?report=graph&amp;tracks=[key:gene_model_track,Options:GeneOnly]&amp;mk=4048843:4048862|offset_42|444444,4048870:4048889|offset_69|444444,4048907:4048926|offset_106|00cc00,4048931:4048950|offset_130|444444&amp;v=4048642:4049150&amp;c=444444", "offset 106")</f>
        <v>offset 106</v>
      </c>
    </row>
    <row r="14338" customFormat="false" ht="12.8" hidden="false" customHeight="false" outlineLevel="0" collapsed="false">
      <c r="A14338" s="0" t="s">
        <v>12</v>
      </c>
      <c r="B14338" s="0" t="n">
        <v>4048930</v>
      </c>
      <c r="C14338" s="0" t="n">
        <v>4048950</v>
      </c>
      <c r="D14338" s="0" t="s">
        <v>47771</v>
      </c>
      <c r="E14338" s="0" t="s">
        <v>89</v>
      </c>
      <c r="F14338" s="0" t="s">
        <v>15</v>
      </c>
      <c r="G14338" s="0" t="s">
        <v>16</v>
      </c>
      <c r="H14338" s="0" t="n">
        <v>130</v>
      </c>
      <c r="I14338" s="0" t="s">
        <v>47781</v>
      </c>
      <c r="J14338" s="0" t="s">
        <v>47782</v>
      </c>
      <c r="K14338" s="0" t="s">
        <v>47783</v>
      </c>
      <c r="L14338" s="0" t="str">
        <f aca="false">HYPERLINK("https://www.ncbi.nlm.nih.gov/nuccore/CP000304.1?report=graph&amp;tracks=[key:gene_model_track,Options:GeneOnly]&amp;mk=4048843:4048862|offset_42|444444,4048870:4048889|offset_69|444444,4048907:4048926|offset_106|444444,4048931:4048950|offset_130|00cc00&amp;v=4048642:4049150&amp;c=444444", "offset 130")</f>
        <v>offset 130</v>
      </c>
    </row>
    <row r="14339" customFormat="false" ht="12.8" hidden="false" customHeight="false" outlineLevel="0" collapsed="false">
      <c r="A14339" s="0" t="s">
        <v>12</v>
      </c>
      <c r="B14339" s="0" t="n">
        <v>4051159</v>
      </c>
      <c r="C14339" s="0" t="n">
        <v>4051179</v>
      </c>
      <c r="D14339" s="0" t="s">
        <v>47784</v>
      </c>
      <c r="E14339" s="0" t="s">
        <v>89</v>
      </c>
      <c r="F14339" s="0" t="s">
        <v>15</v>
      </c>
      <c r="G14339" s="0" t="s">
        <v>26</v>
      </c>
      <c r="H14339" s="0" t="n">
        <v>7</v>
      </c>
      <c r="I14339" s="0" t="s">
        <v>47785</v>
      </c>
      <c r="J14339" s="0" t="s">
        <v>47786</v>
      </c>
      <c r="K14339" s="0" t="s">
        <v>47787</v>
      </c>
      <c r="L14339" s="0" t="str">
        <f aca="false">HYPERLINK("https://www.ncbi.nlm.nih.gov/nuccore/CP000304.1?report=graph&amp;tracks=[key:gene_model_track,Options:GeneOnly]&amp;mk=4051160:4051179|offset_7|00cc00,4051196:4051215|offset_43|444444,4051250:4051269|offset_97|444444,4051280:4051299|offset_127|444444&amp;v=4050959:4051499&amp;c=444444", "offset 7")</f>
        <v>offset 7</v>
      </c>
    </row>
    <row r="14340" customFormat="false" ht="12.8" hidden="false" customHeight="false" outlineLevel="0" collapsed="false">
      <c r="A14340" s="0" t="s">
        <v>12</v>
      </c>
      <c r="B14340" s="0" t="n">
        <v>4051195</v>
      </c>
      <c r="C14340" s="0" t="n">
        <v>4051215</v>
      </c>
      <c r="D14340" s="0" t="s">
        <v>47784</v>
      </c>
      <c r="E14340" s="0" t="s">
        <v>89</v>
      </c>
      <c r="F14340" s="0" t="s">
        <v>15</v>
      </c>
      <c r="G14340" s="0" t="s">
        <v>26</v>
      </c>
      <c r="H14340" s="0" t="n">
        <v>43</v>
      </c>
      <c r="I14340" s="0" t="s">
        <v>47788</v>
      </c>
      <c r="J14340" s="0" t="s">
        <v>47789</v>
      </c>
      <c r="K14340" s="0" t="s">
        <v>47790</v>
      </c>
      <c r="L14340" s="0" t="str">
        <f aca="false">HYPERLINK("https://www.ncbi.nlm.nih.gov/nuccore/CP000304.1?report=graph&amp;tracks=[key:gene_model_track,Options:GeneOnly]&amp;mk=4051160:4051179|offset_7|444444,4051196:4051215|offset_43|00cc00,4051250:4051269|offset_97|444444,4051280:4051299|offset_127|444444&amp;v=4050959:4051499&amp;c=444444", "offset 43")</f>
        <v>offset 43</v>
      </c>
    </row>
    <row r="14341" customFormat="false" ht="12.8" hidden="false" customHeight="false" outlineLevel="0" collapsed="false">
      <c r="A14341" s="0" t="s">
        <v>12</v>
      </c>
      <c r="B14341" s="0" t="n">
        <v>4051249</v>
      </c>
      <c r="C14341" s="0" t="n">
        <v>4051269</v>
      </c>
      <c r="D14341" s="0" t="s">
        <v>47784</v>
      </c>
      <c r="E14341" s="0" t="s">
        <v>89</v>
      </c>
      <c r="F14341" s="0" t="s">
        <v>15</v>
      </c>
      <c r="G14341" s="0" t="s">
        <v>36</v>
      </c>
      <c r="H14341" s="0" t="n">
        <v>97</v>
      </c>
      <c r="I14341" s="0" t="s">
        <v>47791</v>
      </c>
      <c r="J14341" s="0" t="s">
        <v>47792</v>
      </c>
      <c r="K14341" s="0" t="s">
        <v>47793</v>
      </c>
      <c r="L14341" s="0" t="str">
        <f aca="false">HYPERLINK("https://www.ncbi.nlm.nih.gov/nuccore/CP000304.1?report=graph&amp;tracks=[key:gene_model_track,Options:GeneOnly]&amp;mk=4051160:4051179|offset_7|444444,4051196:4051215|offset_43|444444,4051250:4051269|offset_97|00cc00,4051280:4051299|offset_127|444444&amp;v=4050959:4051499&amp;c=444444", "offset 97")</f>
        <v>offset 97</v>
      </c>
    </row>
    <row r="14342" customFormat="false" ht="12.8" hidden="false" customHeight="false" outlineLevel="0" collapsed="false">
      <c r="A14342" s="0" t="s">
        <v>12</v>
      </c>
      <c r="B14342" s="0" t="n">
        <v>4051279</v>
      </c>
      <c r="C14342" s="0" t="n">
        <v>4051299</v>
      </c>
      <c r="D14342" s="0" t="s">
        <v>47784</v>
      </c>
      <c r="E14342" s="0" t="s">
        <v>89</v>
      </c>
      <c r="F14342" s="0" t="s">
        <v>15</v>
      </c>
      <c r="G14342" s="0" t="s">
        <v>32</v>
      </c>
      <c r="H14342" s="0" t="n">
        <v>127</v>
      </c>
      <c r="I14342" s="0" t="s">
        <v>47794</v>
      </c>
      <c r="J14342" s="0" t="s">
        <v>47795</v>
      </c>
      <c r="K14342" s="0" t="s">
        <v>47796</v>
      </c>
      <c r="L14342" s="0" t="str">
        <f aca="false">HYPERLINK("https://www.ncbi.nlm.nih.gov/nuccore/CP000304.1?report=graph&amp;tracks=[key:gene_model_track,Options:GeneOnly]&amp;mk=4051160:4051179|offset_7|444444,4051196:4051215|offset_43|444444,4051250:4051269|offset_97|444444,4051280:4051299|offset_127|00cc00&amp;v=4050959:4051499&amp;c=444444", "offset 127")</f>
        <v>offset 127</v>
      </c>
    </row>
    <row r="14343" customFormat="false" ht="12.8" hidden="false" customHeight="false" outlineLevel="0" collapsed="false">
      <c r="A14343" s="0" t="s">
        <v>12</v>
      </c>
      <c r="B14343" s="0" t="n">
        <v>4051831</v>
      </c>
      <c r="C14343" s="0" t="n">
        <v>4051851</v>
      </c>
      <c r="D14343" s="0" t="s">
        <v>47797</v>
      </c>
      <c r="E14343" s="0" t="s">
        <v>89</v>
      </c>
      <c r="F14343" s="0" t="s">
        <v>15</v>
      </c>
      <c r="G14343" s="0" t="s">
        <v>26</v>
      </c>
      <c r="H14343" s="0" t="n">
        <v>8</v>
      </c>
      <c r="I14343" s="0" t="s">
        <v>47798</v>
      </c>
      <c r="J14343" s="0" t="s">
        <v>47799</v>
      </c>
      <c r="K14343" s="0" t="s">
        <v>47800</v>
      </c>
      <c r="L14343" s="0" t="str">
        <f aca="false">HYPERLINK("https://www.ncbi.nlm.nih.gov/nuccore/CP000304.1?report=graph&amp;tracks=[key:gene_model_track,Options:GeneOnly]&amp;mk=4051832:4051851|offset_8|00cc00,4051893:4051912|offset_69|444444,4051941:4051960|offset_117|444444,4051976:4051995|offset_152|444444&amp;v=4051631:4052195&amp;c=444444", "offset 8")</f>
        <v>offset 8</v>
      </c>
    </row>
    <row r="14344" customFormat="false" ht="12.8" hidden="false" customHeight="false" outlineLevel="0" collapsed="false">
      <c r="A14344" s="0" t="s">
        <v>12</v>
      </c>
      <c r="B14344" s="0" t="n">
        <v>4051892</v>
      </c>
      <c r="C14344" s="0" t="n">
        <v>4051912</v>
      </c>
      <c r="D14344" s="0" t="s">
        <v>47797</v>
      </c>
      <c r="E14344" s="0" t="s">
        <v>89</v>
      </c>
      <c r="F14344" s="0" t="s">
        <v>15</v>
      </c>
      <c r="G14344" s="0" t="s">
        <v>36</v>
      </c>
      <c r="H14344" s="0" t="n">
        <v>69</v>
      </c>
      <c r="I14344" s="0" t="s">
        <v>47801</v>
      </c>
      <c r="J14344" s="0" t="s">
        <v>47802</v>
      </c>
      <c r="K14344" s="0" t="s">
        <v>47803</v>
      </c>
      <c r="L14344" s="0" t="str">
        <f aca="false">HYPERLINK("https://www.ncbi.nlm.nih.gov/nuccore/CP000304.1?report=graph&amp;tracks=[key:gene_model_track,Options:GeneOnly]&amp;mk=4051832:4051851|offset_8|444444,4051893:4051912|offset_69|00cc00,4051941:4051960|offset_117|444444,4051976:4051995|offset_152|444444&amp;v=4051631:4052195&amp;c=444444", "offset 69")</f>
        <v>offset 69</v>
      </c>
    </row>
    <row r="14345" customFormat="false" ht="12.8" hidden="false" customHeight="false" outlineLevel="0" collapsed="false">
      <c r="A14345" s="0" t="s">
        <v>12</v>
      </c>
      <c r="B14345" s="0" t="n">
        <v>4051940</v>
      </c>
      <c r="C14345" s="0" t="n">
        <v>4051960</v>
      </c>
      <c r="D14345" s="0" t="s">
        <v>47797</v>
      </c>
      <c r="E14345" s="0" t="s">
        <v>89</v>
      </c>
      <c r="F14345" s="0" t="s">
        <v>15</v>
      </c>
      <c r="G14345" s="0" t="s">
        <v>16</v>
      </c>
      <c r="H14345" s="0" t="n">
        <v>117</v>
      </c>
      <c r="I14345" s="0" t="s">
        <v>47804</v>
      </c>
      <c r="J14345" s="0" t="s">
        <v>47805</v>
      </c>
      <c r="K14345" s="0" t="s">
        <v>47806</v>
      </c>
      <c r="L14345" s="0" t="str">
        <f aca="false">HYPERLINK("https://www.ncbi.nlm.nih.gov/nuccore/CP000304.1?report=graph&amp;tracks=[key:gene_model_track,Options:GeneOnly]&amp;mk=4051832:4051851|offset_8|444444,4051893:4051912|offset_69|444444,4051941:4051960|offset_117|00cc00,4051976:4051995|offset_152|444444&amp;v=4051631:4052195&amp;c=444444", "offset 117")</f>
        <v>offset 117</v>
      </c>
    </row>
    <row r="14346" customFormat="false" ht="12.8" hidden="false" customHeight="false" outlineLevel="0" collapsed="false">
      <c r="A14346" s="0" t="s">
        <v>12</v>
      </c>
      <c r="B14346" s="0" t="n">
        <v>4051975</v>
      </c>
      <c r="C14346" s="0" t="n">
        <v>4051995</v>
      </c>
      <c r="D14346" s="0" t="s">
        <v>47797</v>
      </c>
      <c r="E14346" s="0" t="s">
        <v>89</v>
      </c>
      <c r="F14346" s="0" t="s">
        <v>15</v>
      </c>
      <c r="G14346" s="0" t="s">
        <v>32</v>
      </c>
      <c r="H14346" s="0" t="n">
        <v>152</v>
      </c>
      <c r="I14346" s="0" t="s">
        <v>47807</v>
      </c>
      <c r="J14346" s="0" t="s">
        <v>47808</v>
      </c>
      <c r="K14346" s="0" t="s">
        <v>47809</v>
      </c>
      <c r="L14346" s="0" t="str">
        <f aca="false">HYPERLINK("https://www.ncbi.nlm.nih.gov/nuccore/CP000304.1?report=graph&amp;tracks=[key:gene_model_track,Options:GeneOnly]&amp;mk=4051832:4051851|offset_8|444444,4051893:4051912|offset_69|444444,4051941:4051960|offset_117|444444,4051976:4051995|offset_152|00cc00&amp;v=4051631:4052195&amp;c=444444", "offset 152")</f>
        <v>offset 152</v>
      </c>
    </row>
    <row r="14347" customFormat="false" ht="12.8" hidden="false" customHeight="false" outlineLevel="0" collapsed="false">
      <c r="A14347" s="0" t="s">
        <v>12</v>
      </c>
      <c r="B14347" s="0" t="n">
        <v>4053627</v>
      </c>
      <c r="C14347" s="0" t="n">
        <v>4053647</v>
      </c>
      <c r="D14347" s="0" t="s">
        <v>47810</v>
      </c>
      <c r="E14347" s="0" t="s">
        <v>89</v>
      </c>
      <c r="F14347" s="0" t="s">
        <v>15</v>
      </c>
      <c r="G14347" s="0" t="s">
        <v>16</v>
      </c>
      <c r="H14347" s="0" t="n">
        <v>20</v>
      </c>
      <c r="I14347" s="0" t="s">
        <v>47811</v>
      </c>
      <c r="J14347" s="0" t="s">
        <v>47812</v>
      </c>
      <c r="K14347" s="0" t="s">
        <v>47813</v>
      </c>
      <c r="L14347" s="0" t="str">
        <f aca="false">HYPERLINK("https://www.ncbi.nlm.nih.gov/nuccore/CP000304.1?report=graph&amp;tracks=[key:gene_model_track,Options:GeneOnly]&amp;mk=4053628:4053647|offset_20|00cc00,4053660:4053679|offset_52|444444,4053682:4053701|offset_74|444444,4053702:4053721|offset_94|444444&amp;v=4053427:4053921&amp;c=444444", "offset 20")</f>
        <v>offset 20</v>
      </c>
    </row>
    <row r="14348" customFormat="false" ht="12.8" hidden="false" customHeight="false" outlineLevel="0" collapsed="false">
      <c r="A14348" s="0" t="s">
        <v>12</v>
      </c>
      <c r="B14348" s="0" t="n">
        <v>4053659</v>
      </c>
      <c r="C14348" s="0" t="n">
        <v>4053679</v>
      </c>
      <c r="D14348" s="0" t="s">
        <v>47810</v>
      </c>
      <c r="E14348" s="0" t="s">
        <v>89</v>
      </c>
      <c r="F14348" s="0" t="s">
        <v>15</v>
      </c>
      <c r="G14348" s="0" t="s">
        <v>32</v>
      </c>
      <c r="H14348" s="0" t="n">
        <v>52</v>
      </c>
      <c r="I14348" s="0" t="s">
        <v>47814</v>
      </c>
      <c r="J14348" s="0" t="s">
        <v>47815</v>
      </c>
      <c r="K14348" s="0" t="s">
        <v>47816</v>
      </c>
      <c r="L14348" s="0" t="str">
        <f aca="false">HYPERLINK("https://www.ncbi.nlm.nih.gov/nuccore/CP000304.1?report=graph&amp;tracks=[key:gene_model_track,Options:GeneOnly]&amp;mk=4053628:4053647|offset_20|444444,4053660:4053679|offset_52|00cc00,4053682:4053701|offset_74|444444,4053702:4053721|offset_94|444444&amp;v=4053427:4053921&amp;c=444444", "offset 52")</f>
        <v>offset 52</v>
      </c>
    </row>
    <row r="14349" customFormat="false" ht="12.8" hidden="false" customHeight="false" outlineLevel="0" collapsed="false">
      <c r="A14349" s="0" t="s">
        <v>12</v>
      </c>
      <c r="B14349" s="0" t="n">
        <v>4053681</v>
      </c>
      <c r="C14349" s="0" t="n">
        <v>4053701</v>
      </c>
      <c r="D14349" s="0" t="s">
        <v>47810</v>
      </c>
      <c r="E14349" s="0" t="s">
        <v>89</v>
      </c>
      <c r="F14349" s="0" t="s">
        <v>15</v>
      </c>
      <c r="G14349" s="0" t="s">
        <v>36</v>
      </c>
      <c r="H14349" s="0" t="n">
        <v>74</v>
      </c>
      <c r="I14349" s="0" t="s">
        <v>47817</v>
      </c>
      <c r="J14349" s="0" t="s">
        <v>47818</v>
      </c>
      <c r="K14349" s="0" t="s">
        <v>47819</v>
      </c>
      <c r="L14349" s="0" t="str">
        <f aca="false">HYPERLINK("https://www.ncbi.nlm.nih.gov/nuccore/CP000304.1?report=graph&amp;tracks=[key:gene_model_track,Options:GeneOnly]&amp;mk=4053628:4053647|offset_20|444444,4053660:4053679|offset_52|444444,4053682:4053701|offset_74|00cc00,4053702:4053721|offset_94|444444&amp;v=4053427:4053921&amp;c=444444", "offset 74")</f>
        <v>offset 74</v>
      </c>
    </row>
    <row r="14350" customFormat="false" ht="12.8" hidden="false" customHeight="false" outlineLevel="0" collapsed="false">
      <c r="A14350" s="0" t="s">
        <v>12</v>
      </c>
      <c r="B14350" s="0" t="n">
        <v>4053701</v>
      </c>
      <c r="C14350" s="0" t="n">
        <v>4053721</v>
      </c>
      <c r="D14350" s="0" t="s">
        <v>47810</v>
      </c>
      <c r="E14350" s="0" t="s">
        <v>89</v>
      </c>
      <c r="F14350" s="0" t="s">
        <v>15</v>
      </c>
      <c r="G14350" s="0" t="s">
        <v>36</v>
      </c>
      <c r="H14350" s="0" t="n">
        <v>94</v>
      </c>
      <c r="I14350" s="0" t="s">
        <v>47820</v>
      </c>
      <c r="J14350" s="0" t="s">
        <v>47821</v>
      </c>
      <c r="K14350" s="0" t="s">
        <v>47822</v>
      </c>
      <c r="L14350" s="0" t="str">
        <f aca="false">HYPERLINK("https://www.ncbi.nlm.nih.gov/nuccore/CP000304.1?report=graph&amp;tracks=[key:gene_model_track,Options:GeneOnly]&amp;mk=4053628:4053647|offset_20|444444,4053660:4053679|offset_52|444444,4053682:4053701|offset_74|444444,4053702:4053721|offset_94|00cc00&amp;v=4053427:4053921&amp;c=444444", "offset 94")</f>
        <v>offset 94</v>
      </c>
    </row>
    <row r="14351" customFormat="false" ht="12.8" hidden="false" customHeight="false" outlineLevel="0" collapsed="false">
      <c r="A14351" s="0" t="s">
        <v>12</v>
      </c>
      <c r="B14351" s="0" t="n">
        <v>4054513</v>
      </c>
      <c r="C14351" s="0" t="n">
        <v>4054533</v>
      </c>
      <c r="D14351" s="0" t="s">
        <v>47823</v>
      </c>
      <c r="E14351" s="0" t="s">
        <v>89</v>
      </c>
      <c r="F14351" s="0" t="s">
        <v>15</v>
      </c>
      <c r="G14351" s="0" t="s">
        <v>26</v>
      </c>
      <c r="H14351" s="0" t="n">
        <v>17</v>
      </c>
      <c r="I14351" s="0" t="s">
        <v>47824</v>
      </c>
      <c r="J14351" s="0" t="s">
        <v>47825</v>
      </c>
      <c r="K14351" s="0" t="s">
        <v>47826</v>
      </c>
      <c r="L14351" s="0" t="str">
        <f aca="false">HYPERLINK("https://www.ncbi.nlm.nih.gov/nuccore/CP000304.1?report=graph&amp;tracks=[key:gene_model_track,Options:GeneOnly]&amp;mk=4054514:4054533|offset_17|00cc00,4054544:4054563|offset_47|444444,4054574:4054593|offset_77|444444,4054594:4054613|offset_97|444444&amp;v=4054313:4054813&amp;c=444444", "offset 17")</f>
        <v>offset 17</v>
      </c>
    </row>
    <row r="14352" customFormat="false" ht="12.8" hidden="false" customHeight="false" outlineLevel="0" collapsed="false">
      <c r="A14352" s="0" t="s">
        <v>12</v>
      </c>
      <c r="B14352" s="0" t="n">
        <v>4054543</v>
      </c>
      <c r="C14352" s="0" t="n">
        <v>4054563</v>
      </c>
      <c r="D14352" s="0" t="s">
        <v>47823</v>
      </c>
      <c r="E14352" s="0" t="s">
        <v>89</v>
      </c>
      <c r="F14352" s="0" t="s">
        <v>15</v>
      </c>
      <c r="G14352" s="0" t="s">
        <v>26</v>
      </c>
      <c r="H14352" s="0" t="n">
        <v>47</v>
      </c>
      <c r="I14352" s="0" t="s">
        <v>47827</v>
      </c>
      <c r="J14352" s="0" t="s">
        <v>47828</v>
      </c>
      <c r="K14352" s="0" t="s">
        <v>47829</v>
      </c>
      <c r="L14352" s="0" t="str">
        <f aca="false">HYPERLINK("https://www.ncbi.nlm.nih.gov/nuccore/CP000304.1?report=graph&amp;tracks=[key:gene_model_track,Options:GeneOnly]&amp;mk=4054514:4054533|offset_17|444444,4054544:4054563|offset_47|00cc00,4054574:4054593|offset_77|444444,4054594:4054613|offset_97|444444&amp;v=4054313:4054813&amp;c=444444", "offset 47")</f>
        <v>offset 47</v>
      </c>
    </row>
    <row r="14353" customFormat="false" ht="12.8" hidden="false" customHeight="false" outlineLevel="0" collapsed="false">
      <c r="A14353" s="0" t="s">
        <v>12</v>
      </c>
      <c r="B14353" s="0" t="n">
        <v>4054573</v>
      </c>
      <c r="C14353" s="0" t="n">
        <v>4054593</v>
      </c>
      <c r="D14353" s="0" t="s">
        <v>47823</v>
      </c>
      <c r="E14353" s="0" t="s">
        <v>89</v>
      </c>
      <c r="F14353" s="0" t="s">
        <v>15</v>
      </c>
      <c r="G14353" s="0" t="s">
        <v>32</v>
      </c>
      <c r="H14353" s="0" t="n">
        <v>77</v>
      </c>
      <c r="I14353" s="0" t="s">
        <v>47830</v>
      </c>
      <c r="J14353" s="0" t="s">
        <v>47831</v>
      </c>
      <c r="K14353" s="0" t="s">
        <v>47832</v>
      </c>
      <c r="L14353" s="0" t="str">
        <f aca="false">HYPERLINK("https://www.ncbi.nlm.nih.gov/nuccore/CP000304.1?report=graph&amp;tracks=[key:gene_model_track,Options:GeneOnly]&amp;mk=4054514:4054533|offset_17|444444,4054544:4054563|offset_47|444444,4054574:4054593|offset_77|00cc00,4054594:4054613|offset_97|444444&amp;v=4054313:4054813&amp;c=444444", "offset 77")</f>
        <v>offset 77</v>
      </c>
    </row>
    <row r="14354" customFormat="false" ht="12.8" hidden="false" customHeight="false" outlineLevel="0" collapsed="false">
      <c r="A14354" s="0" t="s">
        <v>12</v>
      </c>
      <c r="B14354" s="0" t="n">
        <v>4054593</v>
      </c>
      <c r="C14354" s="0" t="n">
        <v>4054613</v>
      </c>
      <c r="D14354" s="0" t="s">
        <v>47823</v>
      </c>
      <c r="E14354" s="0" t="s">
        <v>89</v>
      </c>
      <c r="F14354" s="0" t="s">
        <v>15</v>
      </c>
      <c r="G14354" s="0" t="s">
        <v>16</v>
      </c>
      <c r="H14354" s="0" t="n">
        <v>97</v>
      </c>
      <c r="I14354" s="0" t="s">
        <v>47833</v>
      </c>
      <c r="J14354" s="0" t="s">
        <v>47834</v>
      </c>
      <c r="K14354" s="0" t="s">
        <v>47835</v>
      </c>
      <c r="L14354" s="0" t="str">
        <f aca="false">HYPERLINK("https://www.ncbi.nlm.nih.gov/nuccore/CP000304.1?report=graph&amp;tracks=[key:gene_model_track,Options:GeneOnly]&amp;mk=4054514:4054533|offset_17|444444,4054544:4054563|offset_47|444444,4054574:4054593|offset_77|444444,4054594:4054613|offset_97|00cc00&amp;v=4054313:4054813&amp;c=444444", "offset 97")</f>
        <v>offset 97</v>
      </c>
    </row>
    <row r="14355" customFormat="false" ht="12.8" hidden="false" customHeight="false" outlineLevel="0" collapsed="false">
      <c r="A14355" s="0" t="s">
        <v>12</v>
      </c>
      <c r="B14355" s="0" t="n">
        <v>4055263</v>
      </c>
      <c r="C14355" s="0" t="n">
        <v>4055283</v>
      </c>
      <c r="D14355" s="0" t="s">
        <v>47836</v>
      </c>
      <c r="E14355" s="0" t="s">
        <v>89</v>
      </c>
      <c r="F14355" s="0" t="s">
        <v>15</v>
      </c>
      <c r="G14355" s="0" t="s">
        <v>26</v>
      </c>
      <c r="H14355" s="0" t="n">
        <v>14</v>
      </c>
      <c r="I14355" s="0" t="s">
        <v>47837</v>
      </c>
      <c r="J14355" s="0" t="s">
        <v>47838</v>
      </c>
      <c r="K14355" s="0" t="s">
        <v>47839</v>
      </c>
      <c r="L14355" s="0" t="str">
        <f aca="false">HYPERLINK("https://www.ncbi.nlm.nih.gov/nuccore/CP000304.1?report=graph&amp;tracks=[key:gene_model_track,Options:GeneOnly]&amp;mk=4055264:4055283|offset_14|00cc00,4055293:4055312|offset_43|444444,4055317:4055336|offset_67|444444,4055342:4055361|offset_92|444444&amp;v=4055063:4055561&amp;c=444444", "offset 14")</f>
        <v>offset 14</v>
      </c>
    </row>
    <row r="14356" customFormat="false" ht="12.8" hidden="false" customHeight="false" outlineLevel="0" collapsed="false">
      <c r="A14356" s="0" t="s">
        <v>12</v>
      </c>
      <c r="B14356" s="0" t="n">
        <v>4055292</v>
      </c>
      <c r="C14356" s="0" t="n">
        <v>4055312</v>
      </c>
      <c r="D14356" s="0" t="s">
        <v>47836</v>
      </c>
      <c r="E14356" s="0" t="s">
        <v>89</v>
      </c>
      <c r="F14356" s="0" t="s">
        <v>15</v>
      </c>
      <c r="G14356" s="0" t="s">
        <v>36</v>
      </c>
      <c r="H14356" s="0" t="n">
        <v>43</v>
      </c>
      <c r="I14356" s="0" t="s">
        <v>47840</v>
      </c>
      <c r="J14356" s="0" t="s">
        <v>47841</v>
      </c>
      <c r="K14356" s="0" t="s">
        <v>47842</v>
      </c>
      <c r="L14356" s="0" t="str">
        <f aca="false">HYPERLINK("https://www.ncbi.nlm.nih.gov/nuccore/CP000304.1?report=graph&amp;tracks=[key:gene_model_track,Options:GeneOnly]&amp;mk=4055264:4055283|offset_14|444444,4055293:4055312|offset_43|00cc00,4055317:4055336|offset_67|444444,4055342:4055361|offset_92|444444&amp;v=4055063:4055561&amp;c=444444", "offset 43")</f>
        <v>offset 43</v>
      </c>
    </row>
    <row r="14357" customFormat="false" ht="12.8" hidden="false" customHeight="false" outlineLevel="0" collapsed="false">
      <c r="A14357" s="0" t="s">
        <v>12</v>
      </c>
      <c r="B14357" s="0" t="n">
        <v>4055316</v>
      </c>
      <c r="C14357" s="0" t="n">
        <v>4055336</v>
      </c>
      <c r="D14357" s="0" t="s">
        <v>47836</v>
      </c>
      <c r="E14357" s="0" t="s">
        <v>89</v>
      </c>
      <c r="F14357" s="0" t="s">
        <v>15</v>
      </c>
      <c r="G14357" s="0" t="s">
        <v>16</v>
      </c>
      <c r="H14357" s="0" t="n">
        <v>67</v>
      </c>
      <c r="I14357" s="0" t="s">
        <v>47843</v>
      </c>
      <c r="J14357" s="0" t="s">
        <v>47844</v>
      </c>
      <c r="K14357" s="0" t="s">
        <v>47845</v>
      </c>
      <c r="L14357" s="0" t="str">
        <f aca="false">HYPERLINK("https://www.ncbi.nlm.nih.gov/nuccore/CP000304.1?report=graph&amp;tracks=[key:gene_model_track,Options:GeneOnly]&amp;mk=4055264:4055283|offset_14|444444,4055293:4055312|offset_43|444444,4055317:4055336|offset_67|00cc00,4055342:4055361|offset_92|444444&amp;v=4055063:4055561&amp;c=444444", "offset 67")</f>
        <v>offset 67</v>
      </c>
    </row>
    <row r="14358" customFormat="false" ht="12.8" hidden="false" customHeight="false" outlineLevel="0" collapsed="false">
      <c r="A14358" s="0" t="s">
        <v>12</v>
      </c>
      <c r="B14358" s="0" t="n">
        <v>4055341</v>
      </c>
      <c r="C14358" s="0" t="n">
        <v>4055361</v>
      </c>
      <c r="D14358" s="0" t="s">
        <v>47836</v>
      </c>
      <c r="E14358" s="0" t="s">
        <v>89</v>
      </c>
      <c r="F14358" s="0" t="s">
        <v>15</v>
      </c>
      <c r="G14358" s="0" t="s">
        <v>26</v>
      </c>
      <c r="H14358" s="0" t="n">
        <v>92</v>
      </c>
      <c r="I14358" s="0" t="s">
        <v>47846</v>
      </c>
      <c r="J14358" s="0" t="s">
        <v>47847</v>
      </c>
      <c r="K14358" s="0" t="s">
        <v>47848</v>
      </c>
      <c r="L14358" s="0" t="str">
        <f aca="false">HYPERLINK("https://www.ncbi.nlm.nih.gov/nuccore/CP000304.1?report=graph&amp;tracks=[key:gene_model_track,Options:GeneOnly]&amp;mk=4055264:4055283|offset_14|444444,4055293:4055312|offset_43|444444,4055317:4055336|offset_67|444444,4055342:4055361|offset_92|00cc00&amp;v=4055063:4055561&amp;c=444444", "offset 92")</f>
        <v>offset 92</v>
      </c>
    </row>
    <row r="14359" customFormat="false" ht="12.8" hidden="false" customHeight="false" outlineLevel="0" collapsed="false">
      <c r="A14359" s="0" t="s">
        <v>12</v>
      </c>
      <c r="B14359" s="0" t="n">
        <v>4056193</v>
      </c>
      <c r="C14359" s="0" t="n">
        <v>4056213</v>
      </c>
      <c r="D14359" s="0" t="s">
        <v>47849</v>
      </c>
      <c r="E14359" s="0" t="s">
        <v>89</v>
      </c>
      <c r="F14359" s="0" t="s">
        <v>15</v>
      </c>
      <c r="G14359" s="0" t="s">
        <v>26</v>
      </c>
      <c r="H14359" s="0" t="n">
        <v>20</v>
      </c>
      <c r="I14359" s="0" t="s">
        <v>47850</v>
      </c>
      <c r="J14359" s="0" t="s">
        <v>47851</v>
      </c>
      <c r="K14359" s="0" t="s">
        <v>47852</v>
      </c>
      <c r="L14359" s="0" t="str">
        <f aca="false">HYPERLINK("https://www.ncbi.nlm.nih.gov/nuccore/CP000304.1?report=graph&amp;tracks=[key:gene_model_track,Options:GeneOnly]&amp;mk=4056194:4056213|offset_20|00cc00,4056226:4056245|offset_52|444444,4056251:4056270|offset_77|444444,4056319:4056338|offset_145|444444&amp;v=4055993:4056538&amp;c=444444", "offset 20")</f>
        <v>offset 20</v>
      </c>
    </row>
    <row r="14360" customFormat="false" ht="12.8" hidden="false" customHeight="false" outlineLevel="0" collapsed="false">
      <c r="A14360" s="0" t="s">
        <v>12</v>
      </c>
      <c r="B14360" s="0" t="n">
        <v>4056225</v>
      </c>
      <c r="C14360" s="0" t="n">
        <v>4056245</v>
      </c>
      <c r="D14360" s="0" t="s">
        <v>47849</v>
      </c>
      <c r="E14360" s="0" t="s">
        <v>89</v>
      </c>
      <c r="F14360" s="0" t="s">
        <v>15</v>
      </c>
      <c r="G14360" s="0" t="s">
        <v>16</v>
      </c>
      <c r="H14360" s="0" t="n">
        <v>52</v>
      </c>
      <c r="I14360" s="0" t="s">
        <v>47853</v>
      </c>
      <c r="J14360" s="0" t="s">
        <v>47854</v>
      </c>
      <c r="K14360" s="0" t="s">
        <v>47855</v>
      </c>
      <c r="L14360" s="0" t="str">
        <f aca="false">HYPERLINK("https://www.ncbi.nlm.nih.gov/nuccore/CP000304.1?report=graph&amp;tracks=[key:gene_model_track,Options:GeneOnly]&amp;mk=4056194:4056213|offset_20|444444,4056226:4056245|offset_52|00cc00,4056251:4056270|offset_77|444444,4056319:4056338|offset_145|444444&amp;v=4055993:4056538&amp;c=444444", "offset 52")</f>
        <v>offset 52</v>
      </c>
    </row>
    <row r="14361" customFormat="false" ht="12.8" hidden="false" customHeight="false" outlineLevel="0" collapsed="false">
      <c r="A14361" s="0" t="s">
        <v>12</v>
      </c>
      <c r="B14361" s="0" t="n">
        <v>4056250</v>
      </c>
      <c r="C14361" s="0" t="n">
        <v>4056270</v>
      </c>
      <c r="D14361" s="0" t="s">
        <v>47849</v>
      </c>
      <c r="E14361" s="0" t="s">
        <v>89</v>
      </c>
      <c r="F14361" s="0" t="s">
        <v>15</v>
      </c>
      <c r="G14361" s="0" t="s">
        <v>26</v>
      </c>
      <c r="H14361" s="0" t="n">
        <v>77</v>
      </c>
      <c r="I14361" s="0" t="s">
        <v>47856</v>
      </c>
      <c r="J14361" s="0" t="s">
        <v>47857</v>
      </c>
      <c r="K14361" s="0" t="s">
        <v>47858</v>
      </c>
      <c r="L14361" s="0" t="str">
        <f aca="false">HYPERLINK("https://www.ncbi.nlm.nih.gov/nuccore/CP000304.1?report=graph&amp;tracks=[key:gene_model_track,Options:GeneOnly]&amp;mk=4056194:4056213|offset_20|444444,4056226:4056245|offset_52|444444,4056251:4056270|offset_77|00cc00,4056319:4056338|offset_145|444444&amp;v=4055993:4056538&amp;c=444444", "offset 77")</f>
        <v>offset 77</v>
      </c>
    </row>
    <row r="14362" customFormat="false" ht="12.8" hidden="false" customHeight="false" outlineLevel="0" collapsed="false">
      <c r="A14362" s="0" t="s">
        <v>12</v>
      </c>
      <c r="B14362" s="0" t="n">
        <v>4056318</v>
      </c>
      <c r="C14362" s="0" t="n">
        <v>4056338</v>
      </c>
      <c r="D14362" s="0" t="s">
        <v>47849</v>
      </c>
      <c r="E14362" s="0" t="s">
        <v>89</v>
      </c>
      <c r="F14362" s="0" t="s">
        <v>15</v>
      </c>
      <c r="G14362" s="0" t="s">
        <v>16</v>
      </c>
      <c r="H14362" s="0" t="n">
        <v>145</v>
      </c>
      <c r="I14362" s="0" t="s">
        <v>47859</v>
      </c>
      <c r="J14362" s="0" t="s">
        <v>47860</v>
      </c>
      <c r="K14362" s="0" t="s">
        <v>47861</v>
      </c>
      <c r="L14362" s="0" t="str">
        <f aca="false">HYPERLINK("https://www.ncbi.nlm.nih.gov/nuccore/CP000304.1?report=graph&amp;tracks=[key:gene_model_track,Options:GeneOnly]&amp;mk=4056194:4056213|offset_20|444444,4056226:4056245|offset_52|444444,4056251:4056270|offset_77|444444,4056319:4056338|offset_145|00cc00&amp;v=4055993:4056538&amp;c=444444", "offset 145")</f>
        <v>offset 145</v>
      </c>
    </row>
    <row r="14363" customFormat="false" ht="12.8" hidden="false" customHeight="false" outlineLevel="0" collapsed="false">
      <c r="A14363" s="0" t="s">
        <v>12</v>
      </c>
      <c r="B14363" s="0" t="n">
        <v>4059645</v>
      </c>
      <c r="C14363" s="0" t="n">
        <v>4059665</v>
      </c>
      <c r="D14363" s="0" t="s">
        <v>47862</v>
      </c>
      <c r="E14363" s="0" t="s">
        <v>89</v>
      </c>
      <c r="F14363" s="0" t="s">
        <v>90</v>
      </c>
      <c r="G14363" s="0" t="s">
        <v>32</v>
      </c>
      <c r="H14363" s="0" t="n">
        <v>11</v>
      </c>
      <c r="I14363" s="0" t="s">
        <v>47863</v>
      </c>
      <c r="J14363" s="0" t="s">
        <v>47864</v>
      </c>
      <c r="K14363" s="0" t="s">
        <v>47865</v>
      </c>
      <c r="L14363" s="0" t="str">
        <f aca="false">HYPERLINK("https://www.ncbi.nlm.nih.gov/nuccore/CP000304.1?report=graph&amp;tracks=[key:gene_model_track,Options:GeneOnly]&amp;mk=4059646:4059665|offset_11|00cc00,4059484:4059503|offset_173|444444,4059420:4059439|offset_237|444444,4059397:4059416|offset_260|444444&amp;v=4059445:4059616&amp;c=444444", "offset 11")</f>
        <v>offset 11</v>
      </c>
    </row>
    <row r="14364" customFormat="false" ht="12.8" hidden="false" customHeight="false" outlineLevel="0" collapsed="false">
      <c r="A14364" s="0" t="s">
        <v>12</v>
      </c>
      <c r="B14364" s="0" t="n">
        <v>4059483</v>
      </c>
      <c r="C14364" s="0" t="n">
        <v>4059503</v>
      </c>
      <c r="D14364" s="0" t="s">
        <v>47862</v>
      </c>
      <c r="E14364" s="0" t="s">
        <v>89</v>
      </c>
      <c r="F14364" s="0" t="s">
        <v>90</v>
      </c>
      <c r="G14364" s="0" t="s">
        <v>16</v>
      </c>
      <c r="H14364" s="0" t="n">
        <v>173</v>
      </c>
      <c r="I14364" s="0" t="s">
        <v>47866</v>
      </c>
      <c r="J14364" s="0" t="s">
        <v>47867</v>
      </c>
      <c r="K14364" s="0" t="s">
        <v>47868</v>
      </c>
      <c r="L14364" s="0" t="str">
        <f aca="false">HYPERLINK("https://www.ncbi.nlm.nih.gov/nuccore/CP000304.1?report=graph&amp;tracks=[key:gene_model_track,Options:GeneOnly]&amp;mk=4059646:4059665|offset_11|444444,4059484:4059503|offset_173|00cc00,4059420:4059439|offset_237|444444,4059397:4059416|offset_260|444444&amp;v=4059445:4059616&amp;c=444444", "offset 173")</f>
        <v>offset 173</v>
      </c>
    </row>
    <row r="14365" customFormat="false" ht="12.8" hidden="false" customHeight="false" outlineLevel="0" collapsed="false">
      <c r="A14365" s="0" t="s">
        <v>12</v>
      </c>
      <c r="B14365" s="0" t="n">
        <v>4059419</v>
      </c>
      <c r="C14365" s="0" t="n">
        <v>4059439</v>
      </c>
      <c r="D14365" s="0" t="s">
        <v>47862</v>
      </c>
      <c r="E14365" s="0" t="s">
        <v>89</v>
      </c>
      <c r="F14365" s="0" t="s">
        <v>90</v>
      </c>
      <c r="G14365" s="0" t="s">
        <v>36</v>
      </c>
      <c r="H14365" s="0" t="n">
        <v>237</v>
      </c>
      <c r="I14365" s="0" t="s">
        <v>47869</v>
      </c>
      <c r="J14365" s="0" t="s">
        <v>47870</v>
      </c>
      <c r="K14365" s="0" t="s">
        <v>47871</v>
      </c>
      <c r="L14365" s="0" t="str">
        <f aca="false">HYPERLINK("https://www.ncbi.nlm.nih.gov/nuccore/CP000304.1?report=graph&amp;tracks=[key:gene_model_track,Options:GeneOnly]&amp;mk=4059646:4059665|offset_11|444444,4059484:4059503|offset_173|444444,4059420:4059439|offset_237|00cc00,4059397:4059416|offset_260|444444&amp;v=4059445:4059616&amp;c=444444", "offset 237")</f>
        <v>offset 237</v>
      </c>
    </row>
    <row r="14366" customFormat="false" ht="12.8" hidden="false" customHeight="false" outlineLevel="0" collapsed="false">
      <c r="A14366" s="0" t="s">
        <v>12</v>
      </c>
      <c r="B14366" s="0" t="n">
        <v>4059396</v>
      </c>
      <c r="C14366" s="0" t="n">
        <v>4059416</v>
      </c>
      <c r="D14366" s="0" t="s">
        <v>47862</v>
      </c>
      <c r="E14366" s="0" t="s">
        <v>89</v>
      </c>
      <c r="F14366" s="0" t="s">
        <v>90</v>
      </c>
      <c r="G14366" s="0" t="s">
        <v>32</v>
      </c>
      <c r="H14366" s="0" t="n">
        <v>260</v>
      </c>
      <c r="I14366" s="0" t="s">
        <v>47872</v>
      </c>
      <c r="J14366" s="0" t="s">
        <v>47873</v>
      </c>
      <c r="K14366" s="0" t="s">
        <v>47874</v>
      </c>
      <c r="L14366" s="0" t="str">
        <f aca="false">HYPERLINK("https://www.ncbi.nlm.nih.gov/nuccore/CP000304.1?report=graph&amp;tracks=[key:gene_model_track,Options:GeneOnly]&amp;mk=4059646:4059665|offset_11|444444,4059484:4059503|offset_173|444444,4059420:4059439|offset_237|444444,4059397:4059416|offset_260|00cc00&amp;v=4059445:4059616&amp;c=444444", "offset 260")</f>
        <v>offset 260</v>
      </c>
    </row>
    <row r="14367" customFormat="false" ht="12.8" hidden="false" customHeight="false" outlineLevel="0" collapsed="false">
      <c r="A14367" s="0" t="s">
        <v>12</v>
      </c>
      <c r="B14367" s="0" t="n">
        <v>4059708</v>
      </c>
      <c r="C14367" s="0" t="n">
        <v>4059728</v>
      </c>
      <c r="D14367" s="0" t="s">
        <v>47875</v>
      </c>
      <c r="E14367" s="0" t="s">
        <v>89</v>
      </c>
      <c r="F14367" s="0" t="s">
        <v>15</v>
      </c>
      <c r="G14367" s="0" t="s">
        <v>26</v>
      </c>
      <c r="H14367" s="0" t="n">
        <v>11</v>
      </c>
      <c r="I14367" s="0" t="s">
        <v>47876</v>
      </c>
      <c r="J14367" s="0" t="s">
        <v>47877</v>
      </c>
      <c r="K14367" s="0" t="s">
        <v>47878</v>
      </c>
      <c r="L14367" s="0" t="str">
        <f aca="false">HYPERLINK("https://www.ncbi.nlm.nih.gov/nuccore/CP000304.1?report=graph&amp;tracks=[key:gene_model_track,Options:GeneOnly]&amp;mk=4059709:4059728|offset_11|00cc00,4059750:4059769|offset_52|444444,4059777:4059796|offset_79|444444,4059799:4059818|offset_101|444444&amp;v=4059508:4060018&amp;c=444444", "offset 11")</f>
        <v>offset 11</v>
      </c>
    </row>
    <row r="14368" customFormat="false" ht="12.8" hidden="false" customHeight="false" outlineLevel="0" collapsed="false">
      <c r="A14368" s="0" t="s">
        <v>12</v>
      </c>
      <c r="B14368" s="0" t="n">
        <v>4059749</v>
      </c>
      <c r="C14368" s="0" t="n">
        <v>4059769</v>
      </c>
      <c r="D14368" s="0" t="s">
        <v>47875</v>
      </c>
      <c r="E14368" s="0" t="s">
        <v>89</v>
      </c>
      <c r="F14368" s="0" t="s">
        <v>15</v>
      </c>
      <c r="G14368" s="0" t="s">
        <v>16</v>
      </c>
      <c r="H14368" s="0" t="n">
        <v>52</v>
      </c>
      <c r="I14368" s="0" t="s">
        <v>47879</v>
      </c>
      <c r="J14368" s="0" t="s">
        <v>47880</v>
      </c>
      <c r="K14368" s="0" t="s">
        <v>47881</v>
      </c>
      <c r="L14368" s="0" t="str">
        <f aca="false">HYPERLINK("https://www.ncbi.nlm.nih.gov/nuccore/CP000304.1?report=graph&amp;tracks=[key:gene_model_track,Options:GeneOnly]&amp;mk=4059709:4059728|offset_11|444444,4059750:4059769|offset_52|00cc00,4059777:4059796|offset_79|444444,4059799:4059818|offset_101|444444&amp;v=4059508:4060018&amp;c=444444", "offset 52")</f>
        <v>offset 52</v>
      </c>
    </row>
    <row r="14369" customFormat="false" ht="12.8" hidden="false" customHeight="false" outlineLevel="0" collapsed="false">
      <c r="A14369" s="0" t="s">
        <v>12</v>
      </c>
      <c r="B14369" s="0" t="n">
        <v>4059776</v>
      </c>
      <c r="C14369" s="0" t="n">
        <v>4059796</v>
      </c>
      <c r="D14369" s="0" t="s">
        <v>47875</v>
      </c>
      <c r="E14369" s="0" t="s">
        <v>89</v>
      </c>
      <c r="F14369" s="0" t="s">
        <v>15</v>
      </c>
      <c r="G14369" s="0" t="s">
        <v>26</v>
      </c>
      <c r="H14369" s="0" t="n">
        <v>79</v>
      </c>
      <c r="I14369" s="0" t="s">
        <v>47882</v>
      </c>
      <c r="J14369" s="0" t="s">
        <v>47883</v>
      </c>
      <c r="K14369" s="0" t="s">
        <v>47884</v>
      </c>
      <c r="L14369" s="0" t="str">
        <f aca="false">HYPERLINK("https://www.ncbi.nlm.nih.gov/nuccore/CP000304.1?report=graph&amp;tracks=[key:gene_model_track,Options:GeneOnly]&amp;mk=4059709:4059728|offset_11|444444,4059750:4059769|offset_52|444444,4059777:4059796|offset_79|00cc00,4059799:4059818|offset_101|444444&amp;v=4059508:4060018&amp;c=444444", "offset 79")</f>
        <v>offset 79</v>
      </c>
    </row>
    <row r="14370" customFormat="false" ht="12.8" hidden="false" customHeight="false" outlineLevel="0" collapsed="false">
      <c r="A14370" s="0" t="s">
        <v>12</v>
      </c>
      <c r="B14370" s="0" t="n">
        <v>4059798</v>
      </c>
      <c r="C14370" s="0" t="n">
        <v>4059818</v>
      </c>
      <c r="D14370" s="0" t="s">
        <v>47875</v>
      </c>
      <c r="E14370" s="0" t="s">
        <v>89</v>
      </c>
      <c r="F14370" s="0" t="s">
        <v>15</v>
      </c>
      <c r="G14370" s="0" t="s">
        <v>36</v>
      </c>
      <c r="H14370" s="0" t="n">
        <v>101</v>
      </c>
      <c r="I14370" s="0" t="s">
        <v>47885</v>
      </c>
      <c r="J14370" s="0" t="s">
        <v>47886</v>
      </c>
      <c r="K14370" s="0" t="s">
        <v>47887</v>
      </c>
      <c r="L14370" s="0" t="str">
        <f aca="false">HYPERLINK("https://www.ncbi.nlm.nih.gov/nuccore/CP000304.1?report=graph&amp;tracks=[key:gene_model_track,Options:GeneOnly]&amp;mk=4059709:4059728|offset_11|444444,4059750:4059769|offset_52|444444,4059777:4059796|offset_79|444444,4059799:4059818|offset_101|00cc00&amp;v=4059508:4060018&amp;c=444444", "offset 101")</f>
        <v>offset 101</v>
      </c>
    </row>
    <row r="14371" customFormat="false" ht="12.8" hidden="false" customHeight="false" outlineLevel="0" collapsed="false">
      <c r="A14371" s="0" t="s">
        <v>12</v>
      </c>
      <c r="B14371" s="0" t="n">
        <v>4062508</v>
      </c>
      <c r="C14371" s="0" t="n">
        <v>4062528</v>
      </c>
      <c r="D14371" s="0" t="s">
        <v>47888</v>
      </c>
      <c r="E14371" s="0" t="s">
        <v>89</v>
      </c>
      <c r="F14371" s="0" t="s">
        <v>90</v>
      </c>
      <c r="G14371" s="0" t="s">
        <v>26</v>
      </c>
      <c r="H14371" s="0" t="n">
        <v>76</v>
      </c>
      <c r="I14371" s="0" t="s">
        <v>47889</v>
      </c>
      <c r="J14371" s="0" t="s">
        <v>47890</v>
      </c>
      <c r="K14371" s="0" t="s">
        <v>47891</v>
      </c>
      <c r="L14371" s="0" t="str">
        <f aca="false">HYPERLINK("https://www.ncbi.nlm.nih.gov/nuccore/CP000304.1?report=graph&amp;tracks=[key:gene_model_track,Options:GeneOnly]&amp;mk=4062509:4062528|offset_76|00cc00,4062476:4062495|offset_109|444444,4062453:4062472|offset_132|444444,4062424:4062443|offset_161|444444&amp;v=4062308:4062643&amp;c=444444", "offset 76")</f>
        <v>offset 76</v>
      </c>
    </row>
    <row r="14372" customFormat="false" ht="12.8" hidden="false" customHeight="false" outlineLevel="0" collapsed="false">
      <c r="A14372" s="0" t="s">
        <v>12</v>
      </c>
      <c r="B14372" s="0" t="n">
        <v>4062475</v>
      </c>
      <c r="C14372" s="0" t="n">
        <v>4062495</v>
      </c>
      <c r="D14372" s="0" t="s">
        <v>47888</v>
      </c>
      <c r="E14372" s="0" t="s">
        <v>89</v>
      </c>
      <c r="F14372" s="0" t="s">
        <v>90</v>
      </c>
      <c r="G14372" s="0" t="s">
        <v>16</v>
      </c>
      <c r="H14372" s="0" t="n">
        <v>109</v>
      </c>
      <c r="I14372" s="0" t="s">
        <v>47892</v>
      </c>
      <c r="J14372" s="0" t="s">
        <v>47893</v>
      </c>
      <c r="K14372" s="0" t="s">
        <v>47894</v>
      </c>
      <c r="L14372" s="0" t="str">
        <f aca="false">HYPERLINK("https://www.ncbi.nlm.nih.gov/nuccore/CP000304.1?report=graph&amp;tracks=[key:gene_model_track,Options:GeneOnly]&amp;mk=4062509:4062528|offset_76|444444,4062476:4062495|offset_109|00cc00,4062453:4062472|offset_132|444444,4062424:4062443|offset_161|444444&amp;v=4062308:4062643&amp;c=444444", "offset 109")</f>
        <v>offset 109</v>
      </c>
    </row>
    <row r="14373" customFormat="false" ht="12.8" hidden="false" customHeight="false" outlineLevel="0" collapsed="false">
      <c r="A14373" s="0" t="s">
        <v>12</v>
      </c>
      <c r="B14373" s="0" t="n">
        <v>4062452</v>
      </c>
      <c r="C14373" s="0" t="n">
        <v>4062472</v>
      </c>
      <c r="D14373" s="0" t="s">
        <v>47888</v>
      </c>
      <c r="E14373" s="0" t="s">
        <v>89</v>
      </c>
      <c r="F14373" s="0" t="s">
        <v>90</v>
      </c>
      <c r="G14373" s="0" t="s">
        <v>32</v>
      </c>
      <c r="H14373" s="0" t="n">
        <v>132</v>
      </c>
      <c r="I14373" s="0" t="s">
        <v>47895</v>
      </c>
      <c r="J14373" s="0" t="s">
        <v>47896</v>
      </c>
      <c r="K14373" s="0" t="s">
        <v>47897</v>
      </c>
      <c r="L14373" s="0" t="str">
        <f aca="false">HYPERLINK("https://www.ncbi.nlm.nih.gov/nuccore/CP000304.1?report=graph&amp;tracks=[key:gene_model_track,Options:GeneOnly]&amp;mk=4062509:4062528|offset_76|444444,4062476:4062495|offset_109|444444,4062453:4062472|offset_132|00cc00,4062424:4062443|offset_161|444444&amp;v=4062308:4062643&amp;c=444444", "offset 132")</f>
        <v>offset 132</v>
      </c>
    </row>
    <row r="14374" customFormat="false" ht="12.8" hidden="false" customHeight="false" outlineLevel="0" collapsed="false">
      <c r="A14374" s="0" t="s">
        <v>12</v>
      </c>
      <c r="B14374" s="0" t="n">
        <v>4062423</v>
      </c>
      <c r="C14374" s="0" t="n">
        <v>4062443</v>
      </c>
      <c r="D14374" s="0" t="s">
        <v>47888</v>
      </c>
      <c r="E14374" s="0" t="s">
        <v>89</v>
      </c>
      <c r="F14374" s="0" t="s">
        <v>90</v>
      </c>
      <c r="G14374" s="0" t="s">
        <v>16</v>
      </c>
      <c r="H14374" s="0" t="n">
        <v>161</v>
      </c>
      <c r="I14374" s="0" t="s">
        <v>47898</v>
      </c>
      <c r="J14374" s="0" t="s">
        <v>47899</v>
      </c>
      <c r="K14374" s="0" t="s">
        <v>47900</v>
      </c>
      <c r="L14374" s="0" t="str">
        <f aca="false">HYPERLINK("https://www.ncbi.nlm.nih.gov/nuccore/CP000304.1?report=graph&amp;tracks=[key:gene_model_track,Options:GeneOnly]&amp;mk=4062509:4062528|offset_76|444444,4062476:4062495|offset_109|444444,4062453:4062472|offset_132|444444,4062424:4062443|offset_161|00cc00&amp;v=4062308:4062643&amp;c=444444", "offset 161")</f>
        <v>offset 161</v>
      </c>
    </row>
    <row r="14375" customFormat="false" ht="12.8" hidden="false" customHeight="false" outlineLevel="0" collapsed="false">
      <c r="A14375" s="0" t="s">
        <v>12</v>
      </c>
      <c r="B14375" s="0" t="n">
        <v>4064503</v>
      </c>
      <c r="C14375" s="0" t="n">
        <v>4064523</v>
      </c>
      <c r="D14375" s="0" t="s">
        <v>47901</v>
      </c>
      <c r="E14375" s="0" t="s">
        <v>89</v>
      </c>
      <c r="F14375" s="0" t="s">
        <v>90</v>
      </c>
      <c r="G14375" s="0" t="s">
        <v>26</v>
      </c>
      <c r="H14375" s="0" t="n">
        <v>17</v>
      </c>
      <c r="I14375" s="0" t="s">
        <v>47902</v>
      </c>
      <c r="J14375" s="0" t="s">
        <v>47903</v>
      </c>
      <c r="K14375" s="0" t="s">
        <v>47904</v>
      </c>
      <c r="L14375" s="0" t="str">
        <f aca="false">HYPERLINK("https://www.ncbi.nlm.nih.gov/nuccore/CP000304.1?report=graph&amp;tracks=[key:gene_model_track,Options:GeneOnly]&amp;mk=4064504:4064523|offset_17|00cc00,4064482:4064501|offset_39|444444,4064445:4064464|offset_76|444444,4064401:4064420|offset_120|444444&amp;v=4064303:4064620&amp;c=444444", "offset 17")</f>
        <v>offset 17</v>
      </c>
    </row>
    <row r="14376" customFormat="false" ht="12.8" hidden="false" customHeight="false" outlineLevel="0" collapsed="false">
      <c r="A14376" s="0" t="s">
        <v>12</v>
      </c>
      <c r="B14376" s="0" t="n">
        <v>4064481</v>
      </c>
      <c r="C14376" s="0" t="n">
        <v>4064501</v>
      </c>
      <c r="D14376" s="0" t="s">
        <v>47901</v>
      </c>
      <c r="E14376" s="0" t="s">
        <v>89</v>
      </c>
      <c r="F14376" s="0" t="s">
        <v>90</v>
      </c>
      <c r="G14376" s="0" t="s">
        <v>26</v>
      </c>
      <c r="H14376" s="0" t="n">
        <v>39</v>
      </c>
      <c r="I14376" s="0" t="s">
        <v>47905</v>
      </c>
      <c r="J14376" s="0" t="s">
        <v>47906</v>
      </c>
      <c r="K14376" s="0" t="s">
        <v>47907</v>
      </c>
      <c r="L14376" s="0" t="str">
        <f aca="false">HYPERLINK("https://www.ncbi.nlm.nih.gov/nuccore/CP000304.1?report=graph&amp;tracks=[key:gene_model_track,Options:GeneOnly]&amp;mk=4064504:4064523|offset_17|444444,4064482:4064501|offset_39|00cc00,4064445:4064464|offset_76|444444,4064401:4064420|offset_120|444444&amp;v=4064303:4064620&amp;c=444444", "offset 39")</f>
        <v>offset 39</v>
      </c>
    </row>
    <row r="14377" customFormat="false" ht="12.8" hidden="false" customHeight="false" outlineLevel="0" collapsed="false">
      <c r="A14377" s="0" t="s">
        <v>12</v>
      </c>
      <c r="B14377" s="0" t="n">
        <v>4064444</v>
      </c>
      <c r="C14377" s="0" t="n">
        <v>4064464</v>
      </c>
      <c r="D14377" s="0" t="s">
        <v>47901</v>
      </c>
      <c r="E14377" s="0" t="s">
        <v>89</v>
      </c>
      <c r="F14377" s="0" t="s">
        <v>90</v>
      </c>
      <c r="G14377" s="0" t="s">
        <v>36</v>
      </c>
      <c r="H14377" s="0" t="n">
        <v>76</v>
      </c>
      <c r="I14377" s="0" t="s">
        <v>47908</v>
      </c>
      <c r="J14377" s="0" t="s">
        <v>47909</v>
      </c>
      <c r="K14377" s="0" t="s">
        <v>47910</v>
      </c>
      <c r="L14377" s="0" t="str">
        <f aca="false">HYPERLINK("https://www.ncbi.nlm.nih.gov/nuccore/CP000304.1?report=graph&amp;tracks=[key:gene_model_track,Options:GeneOnly]&amp;mk=4064504:4064523|offset_17|444444,4064482:4064501|offset_39|444444,4064445:4064464|offset_76|00cc00,4064401:4064420|offset_120|444444&amp;v=4064303:4064620&amp;c=444444", "offset 76")</f>
        <v>offset 76</v>
      </c>
    </row>
    <row r="14378" customFormat="false" ht="12.8" hidden="false" customHeight="false" outlineLevel="0" collapsed="false">
      <c r="A14378" s="0" t="s">
        <v>12</v>
      </c>
      <c r="B14378" s="0" t="n">
        <v>4064400</v>
      </c>
      <c r="C14378" s="0" t="n">
        <v>4064420</v>
      </c>
      <c r="D14378" s="0" t="s">
        <v>47901</v>
      </c>
      <c r="E14378" s="0" t="s">
        <v>89</v>
      </c>
      <c r="F14378" s="0" t="s">
        <v>90</v>
      </c>
      <c r="G14378" s="0" t="s">
        <v>16</v>
      </c>
      <c r="H14378" s="0" t="n">
        <v>120</v>
      </c>
      <c r="I14378" s="0" t="s">
        <v>47911</v>
      </c>
      <c r="J14378" s="0" t="s">
        <v>47912</v>
      </c>
      <c r="K14378" s="0" t="s">
        <v>47913</v>
      </c>
      <c r="L14378" s="0" t="str">
        <f aca="false">HYPERLINK("https://www.ncbi.nlm.nih.gov/nuccore/CP000304.1?report=graph&amp;tracks=[key:gene_model_track,Options:GeneOnly]&amp;mk=4064504:4064523|offset_17|444444,4064482:4064501|offset_39|444444,4064445:4064464|offset_76|444444,4064401:4064420|offset_120|00cc00&amp;v=4064303:4064620&amp;c=444444", "offset 120")</f>
        <v>offset 120</v>
      </c>
    </row>
    <row r="14379" customFormat="false" ht="12.8" hidden="false" customHeight="false" outlineLevel="0" collapsed="false">
      <c r="A14379" s="0" t="s">
        <v>12</v>
      </c>
      <c r="B14379" s="0" t="n">
        <v>4064737</v>
      </c>
      <c r="C14379" s="0" t="n">
        <v>4064757</v>
      </c>
      <c r="D14379" s="0" t="s">
        <v>47914</v>
      </c>
      <c r="E14379" s="0" t="s">
        <v>47915</v>
      </c>
      <c r="F14379" s="0" t="s">
        <v>15</v>
      </c>
      <c r="G14379" s="0" t="s">
        <v>16</v>
      </c>
      <c r="H14379" s="0" t="n">
        <v>31</v>
      </c>
      <c r="I14379" s="0" t="s">
        <v>47916</v>
      </c>
      <c r="J14379" s="0" t="s">
        <v>47917</v>
      </c>
      <c r="K14379" s="0" t="s">
        <v>47918</v>
      </c>
      <c r="L14379" s="0" t="str">
        <f aca="false">HYPERLINK("https://www.ncbi.nlm.nih.gov/nuccore/CP000304.1?report=graph&amp;tracks=[key:gene_model_track,Options:GeneOnly]&amp;mk=4064738:4064757|offset_31|00cc00,4064777:4064796|offset_70|444444,4064800:4064819|offset_93|444444,4064823:4064842|offset_116|444444&amp;v=4064537:4065042&amp;c=444444", "offset 31")</f>
        <v>offset 31</v>
      </c>
    </row>
    <row r="14380" customFormat="false" ht="12.8" hidden="false" customHeight="false" outlineLevel="0" collapsed="false">
      <c r="A14380" s="0" t="s">
        <v>12</v>
      </c>
      <c r="B14380" s="0" t="n">
        <v>4064776</v>
      </c>
      <c r="C14380" s="0" t="n">
        <v>4064796</v>
      </c>
      <c r="D14380" s="0" t="s">
        <v>47914</v>
      </c>
      <c r="E14380" s="0" t="s">
        <v>47915</v>
      </c>
      <c r="F14380" s="0" t="s">
        <v>15</v>
      </c>
      <c r="G14380" s="0" t="s">
        <v>32</v>
      </c>
      <c r="H14380" s="0" t="n">
        <v>70</v>
      </c>
      <c r="I14380" s="0" t="s">
        <v>47919</v>
      </c>
      <c r="J14380" s="0" t="s">
        <v>47920</v>
      </c>
      <c r="K14380" s="0" t="s">
        <v>47921</v>
      </c>
      <c r="L14380" s="0" t="str">
        <f aca="false">HYPERLINK("https://www.ncbi.nlm.nih.gov/nuccore/CP000304.1?report=graph&amp;tracks=[key:gene_model_track,Options:GeneOnly]&amp;mk=4064738:4064757|offset_31|444444,4064777:4064796|offset_70|00cc00,4064800:4064819|offset_93|444444,4064823:4064842|offset_116|444444&amp;v=4064537:4065042&amp;c=444444", "offset 70")</f>
        <v>offset 70</v>
      </c>
    </row>
    <row r="14381" customFormat="false" ht="12.8" hidden="false" customHeight="false" outlineLevel="0" collapsed="false">
      <c r="A14381" s="0" t="s">
        <v>12</v>
      </c>
      <c r="B14381" s="0" t="n">
        <v>4064799</v>
      </c>
      <c r="C14381" s="0" t="n">
        <v>4064819</v>
      </c>
      <c r="D14381" s="0" t="s">
        <v>47914</v>
      </c>
      <c r="E14381" s="0" t="s">
        <v>47915</v>
      </c>
      <c r="F14381" s="0" t="s">
        <v>15</v>
      </c>
      <c r="G14381" s="0" t="s">
        <v>36</v>
      </c>
      <c r="H14381" s="0" t="n">
        <v>93</v>
      </c>
      <c r="I14381" s="0" t="s">
        <v>47922</v>
      </c>
      <c r="J14381" s="0" t="s">
        <v>47923</v>
      </c>
      <c r="K14381" s="0" t="s">
        <v>47924</v>
      </c>
      <c r="L14381" s="0" t="str">
        <f aca="false">HYPERLINK("https://www.ncbi.nlm.nih.gov/nuccore/CP000304.1?report=graph&amp;tracks=[key:gene_model_track,Options:GeneOnly]&amp;mk=4064738:4064757|offset_31|444444,4064777:4064796|offset_70|444444,4064800:4064819|offset_93|00cc00,4064823:4064842|offset_116|444444&amp;v=4064537:4065042&amp;c=444444", "offset 93")</f>
        <v>offset 93</v>
      </c>
    </row>
    <row r="14382" customFormat="false" ht="12.8" hidden="false" customHeight="false" outlineLevel="0" collapsed="false">
      <c r="A14382" s="0" t="s">
        <v>12</v>
      </c>
      <c r="B14382" s="0" t="n">
        <v>4064822</v>
      </c>
      <c r="C14382" s="0" t="n">
        <v>4064842</v>
      </c>
      <c r="D14382" s="0" t="s">
        <v>47914</v>
      </c>
      <c r="E14382" s="0" t="s">
        <v>47915</v>
      </c>
      <c r="F14382" s="0" t="s">
        <v>15</v>
      </c>
      <c r="G14382" s="0" t="s">
        <v>32</v>
      </c>
      <c r="H14382" s="0" t="n">
        <v>116</v>
      </c>
      <c r="I14382" s="0" t="s">
        <v>47925</v>
      </c>
      <c r="J14382" s="0" t="s">
        <v>47926</v>
      </c>
      <c r="K14382" s="0" t="s">
        <v>47927</v>
      </c>
      <c r="L14382" s="0" t="str">
        <f aca="false">HYPERLINK("https://www.ncbi.nlm.nih.gov/nuccore/CP000304.1?report=graph&amp;tracks=[key:gene_model_track,Options:GeneOnly]&amp;mk=4064738:4064757|offset_31|444444,4064777:4064796|offset_70|444444,4064800:4064819|offset_93|444444,4064823:4064842|offset_116|00cc00&amp;v=4064537:4065042&amp;c=444444", "offset 116")</f>
        <v>offset 116</v>
      </c>
    </row>
    <row r="14383" customFormat="false" ht="12.8" hidden="false" customHeight="false" outlineLevel="0" collapsed="false">
      <c r="A14383" s="0" t="s">
        <v>12</v>
      </c>
      <c r="B14383" s="0" t="n">
        <v>4065601</v>
      </c>
      <c r="C14383" s="0" t="n">
        <v>4065621</v>
      </c>
      <c r="D14383" s="0" t="s">
        <v>47928</v>
      </c>
      <c r="E14383" s="0" t="s">
        <v>47929</v>
      </c>
      <c r="F14383" s="0" t="s">
        <v>15</v>
      </c>
      <c r="G14383" s="0" t="s">
        <v>16</v>
      </c>
      <c r="H14383" s="0" t="n">
        <v>17</v>
      </c>
      <c r="I14383" s="0" t="s">
        <v>47930</v>
      </c>
      <c r="J14383" s="0" t="s">
        <v>47931</v>
      </c>
      <c r="K14383" s="0" t="s">
        <v>47932</v>
      </c>
      <c r="L14383" s="0" t="str">
        <f aca="false">HYPERLINK("https://www.ncbi.nlm.nih.gov/nuccore/CP000304.1?report=graph&amp;tracks=[key:gene_model_track,Options:GeneOnly]&amp;mk=4065602:4065621|offset_17|00cc00,4065622:4065641|offset_37|444444,4065646:4065665|offset_61|444444,4065694:4065713|offset_109|444444&amp;v=4065401:4065913&amp;c=444444", "offset 17")</f>
        <v>offset 17</v>
      </c>
    </row>
    <row r="14384" customFormat="false" ht="12.8" hidden="false" customHeight="false" outlineLevel="0" collapsed="false">
      <c r="A14384" s="0" t="s">
        <v>12</v>
      </c>
      <c r="B14384" s="0" t="n">
        <v>4065621</v>
      </c>
      <c r="C14384" s="0" t="n">
        <v>4065641</v>
      </c>
      <c r="D14384" s="0" t="s">
        <v>47928</v>
      </c>
      <c r="E14384" s="0" t="s">
        <v>47929</v>
      </c>
      <c r="F14384" s="0" t="s">
        <v>15</v>
      </c>
      <c r="G14384" s="0" t="s">
        <v>32</v>
      </c>
      <c r="H14384" s="0" t="n">
        <v>37</v>
      </c>
      <c r="I14384" s="0" t="s">
        <v>47933</v>
      </c>
      <c r="J14384" s="0" t="s">
        <v>47934</v>
      </c>
      <c r="K14384" s="0" t="s">
        <v>47935</v>
      </c>
      <c r="L14384" s="0" t="str">
        <f aca="false">HYPERLINK("https://www.ncbi.nlm.nih.gov/nuccore/CP000304.1?report=graph&amp;tracks=[key:gene_model_track,Options:GeneOnly]&amp;mk=4065602:4065621|offset_17|444444,4065622:4065641|offset_37|00cc00,4065646:4065665|offset_61|444444,4065694:4065713|offset_109|444444&amp;v=4065401:4065913&amp;c=444444", "offset 37")</f>
        <v>offset 37</v>
      </c>
    </row>
    <row r="14385" customFormat="false" ht="12.8" hidden="false" customHeight="false" outlineLevel="0" collapsed="false">
      <c r="A14385" s="0" t="s">
        <v>12</v>
      </c>
      <c r="B14385" s="0" t="n">
        <v>4065645</v>
      </c>
      <c r="C14385" s="0" t="n">
        <v>4065665</v>
      </c>
      <c r="D14385" s="0" t="s">
        <v>47928</v>
      </c>
      <c r="E14385" s="0" t="s">
        <v>47929</v>
      </c>
      <c r="F14385" s="0" t="s">
        <v>15</v>
      </c>
      <c r="G14385" s="0" t="s">
        <v>16</v>
      </c>
      <c r="H14385" s="0" t="n">
        <v>61</v>
      </c>
      <c r="I14385" s="0" t="s">
        <v>47936</v>
      </c>
      <c r="J14385" s="0" t="s">
        <v>47937</v>
      </c>
      <c r="K14385" s="0" t="s">
        <v>47938</v>
      </c>
      <c r="L14385" s="0" t="str">
        <f aca="false">HYPERLINK("https://www.ncbi.nlm.nih.gov/nuccore/CP000304.1?report=graph&amp;tracks=[key:gene_model_track,Options:GeneOnly]&amp;mk=4065602:4065621|offset_17|444444,4065622:4065641|offset_37|444444,4065646:4065665|offset_61|00cc00,4065694:4065713|offset_109|444444&amp;v=4065401:4065913&amp;c=444444", "offset 61")</f>
        <v>offset 61</v>
      </c>
    </row>
    <row r="14386" customFormat="false" ht="12.8" hidden="false" customHeight="false" outlineLevel="0" collapsed="false">
      <c r="A14386" s="0" t="s">
        <v>12</v>
      </c>
      <c r="B14386" s="0" t="n">
        <v>4065693</v>
      </c>
      <c r="C14386" s="0" t="n">
        <v>4065713</v>
      </c>
      <c r="D14386" s="0" t="s">
        <v>47928</v>
      </c>
      <c r="E14386" s="0" t="s">
        <v>47929</v>
      </c>
      <c r="F14386" s="0" t="s">
        <v>15</v>
      </c>
      <c r="G14386" s="0" t="s">
        <v>36</v>
      </c>
      <c r="H14386" s="0" t="n">
        <v>109</v>
      </c>
      <c r="I14386" s="0" t="s">
        <v>47939</v>
      </c>
      <c r="J14386" s="0" t="s">
        <v>47940</v>
      </c>
      <c r="K14386" s="0" t="s">
        <v>47941</v>
      </c>
      <c r="L14386" s="0" t="str">
        <f aca="false">HYPERLINK("https://www.ncbi.nlm.nih.gov/nuccore/CP000304.1?report=graph&amp;tracks=[key:gene_model_track,Options:GeneOnly]&amp;mk=4065602:4065621|offset_17|444444,4065622:4065641|offset_37|444444,4065646:4065665|offset_61|444444,4065694:4065713|offset_109|00cc00&amp;v=4065401:4065913&amp;c=444444", "offset 109")</f>
        <v>offset 109</v>
      </c>
    </row>
    <row r="14387" customFormat="false" ht="12.8" hidden="false" customHeight="false" outlineLevel="0" collapsed="false">
      <c r="A14387" s="0" t="s">
        <v>12</v>
      </c>
      <c r="B14387" s="0" t="n">
        <v>4066286</v>
      </c>
      <c r="C14387" s="0" t="n">
        <v>4066306</v>
      </c>
      <c r="D14387" s="0" t="s">
        <v>47942</v>
      </c>
      <c r="E14387" s="0" t="s">
        <v>47943</v>
      </c>
      <c r="F14387" s="0" t="s">
        <v>15</v>
      </c>
      <c r="G14387" s="0" t="s">
        <v>36</v>
      </c>
      <c r="H14387" s="0" t="n">
        <v>7</v>
      </c>
      <c r="I14387" s="0" t="s">
        <v>47944</v>
      </c>
      <c r="J14387" s="0" t="s">
        <v>47945</v>
      </c>
      <c r="K14387" s="0" t="s">
        <v>47946</v>
      </c>
      <c r="L14387" s="0" t="str">
        <f aca="false">HYPERLINK("https://www.ncbi.nlm.nih.gov/nuccore/CP000304.1?report=graph&amp;tracks=[key:gene_model_track,Options:GeneOnly]&amp;mk=4066287:4066306|offset_7|00cc00,4066308:4066327|offset_28|444444,4066329:4066348|offset_49|444444,4066356:4066375|offset_76|444444&amp;v=4066086:4066575&amp;c=444444", "offset 7")</f>
        <v>offset 7</v>
      </c>
    </row>
    <row r="14388" customFormat="false" ht="12.8" hidden="false" customHeight="false" outlineLevel="0" collapsed="false">
      <c r="A14388" s="0" t="s">
        <v>12</v>
      </c>
      <c r="B14388" s="0" t="n">
        <v>4066307</v>
      </c>
      <c r="C14388" s="0" t="n">
        <v>4066327</v>
      </c>
      <c r="D14388" s="0" t="s">
        <v>47942</v>
      </c>
      <c r="E14388" s="0" t="s">
        <v>47943</v>
      </c>
      <c r="F14388" s="0" t="s">
        <v>15</v>
      </c>
      <c r="G14388" s="0" t="s">
        <v>32</v>
      </c>
      <c r="H14388" s="0" t="n">
        <v>28</v>
      </c>
      <c r="I14388" s="0" t="s">
        <v>47947</v>
      </c>
      <c r="J14388" s="0" t="s">
        <v>47948</v>
      </c>
      <c r="K14388" s="0" t="s">
        <v>47949</v>
      </c>
      <c r="L14388" s="0" t="str">
        <f aca="false">HYPERLINK("https://www.ncbi.nlm.nih.gov/nuccore/CP000304.1?report=graph&amp;tracks=[key:gene_model_track,Options:GeneOnly]&amp;mk=4066287:4066306|offset_7|444444,4066308:4066327|offset_28|00cc00,4066329:4066348|offset_49|444444,4066356:4066375|offset_76|444444&amp;v=4066086:4066575&amp;c=444444", "offset 28")</f>
        <v>offset 28</v>
      </c>
    </row>
    <row r="14389" customFormat="false" ht="12.8" hidden="false" customHeight="false" outlineLevel="0" collapsed="false">
      <c r="A14389" s="0" t="s">
        <v>12</v>
      </c>
      <c r="B14389" s="0" t="n">
        <v>4066328</v>
      </c>
      <c r="C14389" s="0" t="n">
        <v>4066348</v>
      </c>
      <c r="D14389" s="0" t="s">
        <v>47942</v>
      </c>
      <c r="E14389" s="0" t="s">
        <v>47943</v>
      </c>
      <c r="F14389" s="0" t="s">
        <v>15</v>
      </c>
      <c r="G14389" s="0" t="s">
        <v>16</v>
      </c>
      <c r="H14389" s="0" t="n">
        <v>49</v>
      </c>
      <c r="I14389" s="0" t="s">
        <v>47950</v>
      </c>
      <c r="J14389" s="0" t="s">
        <v>47951</v>
      </c>
      <c r="K14389" s="0" t="s">
        <v>47952</v>
      </c>
      <c r="L14389" s="0" t="str">
        <f aca="false">HYPERLINK("https://www.ncbi.nlm.nih.gov/nuccore/CP000304.1?report=graph&amp;tracks=[key:gene_model_track,Options:GeneOnly]&amp;mk=4066287:4066306|offset_7|444444,4066308:4066327|offset_28|444444,4066329:4066348|offset_49|00cc00,4066356:4066375|offset_76|444444&amp;v=4066086:4066575&amp;c=444444", "offset 49")</f>
        <v>offset 49</v>
      </c>
    </row>
    <row r="14390" customFormat="false" ht="12.8" hidden="false" customHeight="false" outlineLevel="0" collapsed="false">
      <c r="A14390" s="0" t="s">
        <v>12</v>
      </c>
      <c r="B14390" s="0" t="n">
        <v>4066355</v>
      </c>
      <c r="C14390" s="0" t="n">
        <v>4066375</v>
      </c>
      <c r="D14390" s="0" t="s">
        <v>47942</v>
      </c>
      <c r="E14390" s="0" t="s">
        <v>47943</v>
      </c>
      <c r="F14390" s="0" t="s">
        <v>15</v>
      </c>
      <c r="G14390" s="0" t="s">
        <v>26</v>
      </c>
      <c r="H14390" s="0" t="n">
        <v>76</v>
      </c>
      <c r="I14390" s="0" t="s">
        <v>47953</v>
      </c>
      <c r="J14390" s="0" t="s">
        <v>47954</v>
      </c>
      <c r="K14390" s="0" t="s">
        <v>47955</v>
      </c>
      <c r="L14390" s="0" t="str">
        <f aca="false">HYPERLINK("https://www.ncbi.nlm.nih.gov/nuccore/CP000304.1?report=graph&amp;tracks=[key:gene_model_track,Options:GeneOnly]&amp;mk=4066287:4066306|offset_7|444444,4066308:4066327|offset_28|444444,4066329:4066348|offset_49|444444,4066356:4066375|offset_76|00cc00&amp;v=4066086:4066575&amp;c=444444", "offset 76")</f>
        <v>offset 76</v>
      </c>
    </row>
    <row r="14391" customFormat="false" ht="12.8" hidden="false" customHeight="false" outlineLevel="0" collapsed="false">
      <c r="A14391" s="0" t="s">
        <v>12</v>
      </c>
      <c r="B14391" s="0" t="n">
        <v>4067571</v>
      </c>
      <c r="C14391" s="0" t="n">
        <v>4067591</v>
      </c>
      <c r="D14391" s="0" t="s">
        <v>47956</v>
      </c>
      <c r="E14391" s="0" t="s">
        <v>89</v>
      </c>
      <c r="F14391" s="0" t="s">
        <v>15</v>
      </c>
      <c r="G14391" s="0" t="s">
        <v>16</v>
      </c>
      <c r="H14391" s="0" t="n">
        <v>12</v>
      </c>
      <c r="I14391" s="0" t="s">
        <v>47957</v>
      </c>
      <c r="J14391" s="0" t="s">
        <v>47958</v>
      </c>
      <c r="K14391" s="0" t="s">
        <v>47959</v>
      </c>
      <c r="L14391" s="0" t="str">
        <f aca="false">HYPERLINK("https://www.ncbi.nlm.nih.gov/nuccore/CP000304.1?report=graph&amp;tracks=[key:gene_model_track,Options:GeneOnly]&amp;mk=4067572:4067591|offset_12|00cc00,4067592:4067611|offset_32|444444,4067618:4067637|offset_58|444444,4067642:4067661|offset_82|444444&amp;v=4067371:4067861&amp;c=444444", "offset 12")</f>
        <v>offset 12</v>
      </c>
    </row>
    <row r="14392" customFormat="false" ht="12.8" hidden="false" customHeight="false" outlineLevel="0" collapsed="false">
      <c r="A14392" s="0" t="s">
        <v>12</v>
      </c>
      <c r="B14392" s="0" t="n">
        <v>4067591</v>
      </c>
      <c r="C14392" s="0" t="n">
        <v>4067611</v>
      </c>
      <c r="D14392" s="0" t="s">
        <v>47956</v>
      </c>
      <c r="E14392" s="0" t="s">
        <v>89</v>
      </c>
      <c r="F14392" s="0" t="s">
        <v>15</v>
      </c>
      <c r="G14392" s="0" t="s">
        <v>26</v>
      </c>
      <c r="H14392" s="0" t="n">
        <v>32</v>
      </c>
      <c r="I14392" s="0" t="s">
        <v>47960</v>
      </c>
      <c r="J14392" s="0" t="s">
        <v>47961</v>
      </c>
      <c r="K14392" s="0" t="s">
        <v>47962</v>
      </c>
      <c r="L14392" s="0" t="str">
        <f aca="false">HYPERLINK("https://www.ncbi.nlm.nih.gov/nuccore/CP000304.1?report=graph&amp;tracks=[key:gene_model_track,Options:GeneOnly]&amp;mk=4067572:4067591|offset_12|444444,4067592:4067611|offset_32|00cc00,4067618:4067637|offset_58|444444,4067642:4067661|offset_82|444444&amp;v=4067371:4067861&amp;c=444444", "offset 32")</f>
        <v>offset 32</v>
      </c>
    </row>
    <row r="14393" customFormat="false" ht="12.8" hidden="false" customHeight="false" outlineLevel="0" collapsed="false">
      <c r="A14393" s="0" t="s">
        <v>12</v>
      </c>
      <c r="B14393" s="0" t="n">
        <v>4067617</v>
      </c>
      <c r="C14393" s="0" t="n">
        <v>4067637</v>
      </c>
      <c r="D14393" s="0" t="s">
        <v>47956</v>
      </c>
      <c r="E14393" s="0" t="s">
        <v>89</v>
      </c>
      <c r="F14393" s="0" t="s">
        <v>15</v>
      </c>
      <c r="G14393" s="0" t="s">
        <v>32</v>
      </c>
      <c r="H14393" s="0" t="n">
        <v>58</v>
      </c>
      <c r="I14393" s="0" t="s">
        <v>47963</v>
      </c>
      <c r="J14393" s="0" t="s">
        <v>47964</v>
      </c>
      <c r="K14393" s="0" t="s">
        <v>47965</v>
      </c>
      <c r="L14393" s="0" t="str">
        <f aca="false">HYPERLINK("https://www.ncbi.nlm.nih.gov/nuccore/CP000304.1?report=graph&amp;tracks=[key:gene_model_track,Options:GeneOnly]&amp;mk=4067572:4067591|offset_12|444444,4067592:4067611|offset_32|444444,4067618:4067637|offset_58|00cc00,4067642:4067661|offset_82|444444&amp;v=4067371:4067861&amp;c=444444", "offset 58")</f>
        <v>offset 58</v>
      </c>
    </row>
    <row r="14394" customFormat="false" ht="12.8" hidden="false" customHeight="false" outlineLevel="0" collapsed="false">
      <c r="A14394" s="0" t="s">
        <v>12</v>
      </c>
      <c r="B14394" s="0" t="n">
        <v>4067641</v>
      </c>
      <c r="C14394" s="0" t="n">
        <v>4067661</v>
      </c>
      <c r="D14394" s="0" t="s">
        <v>47956</v>
      </c>
      <c r="E14394" s="0" t="s">
        <v>89</v>
      </c>
      <c r="F14394" s="0" t="s">
        <v>15</v>
      </c>
      <c r="G14394" s="0" t="s">
        <v>36</v>
      </c>
      <c r="H14394" s="0" t="n">
        <v>82</v>
      </c>
      <c r="I14394" s="0" t="s">
        <v>47966</v>
      </c>
      <c r="J14394" s="0" t="s">
        <v>47967</v>
      </c>
      <c r="K14394" s="0" t="s">
        <v>47968</v>
      </c>
      <c r="L14394" s="0" t="str">
        <f aca="false">HYPERLINK("https://www.ncbi.nlm.nih.gov/nuccore/CP000304.1?report=graph&amp;tracks=[key:gene_model_track,Options:GeneOnly]&amp;mk=4067572:4067591|offset_12|444444,4067592:4067611|offset_32|444444,4067618:4067637|offset_58|444444,4067642:4067661|offset_82|00cc00&amp;v=4067371:4067861&amp;c=444444", "offset 82")</f>
        <v>offset 82</v>
      </c>
    </row>
    <row r="14395" customFormat="false" ht="12.8" hidden="false" customHeight="false" outlineLevel="0" collapsed="false">
      <c r="A14395" s="0" t="s">
        <v>12</v>
      </c>
      <c r="B14395" s="0" t="n">
        <v>4068308</v>
      </c>
      <c r="C14395" s="0" t="n">
        <v>4068328</v>
      </c>
      <c r="D14395" s="0" t="s">
        <v>47969</v>
      </c>
      <c r="E14395" s="0" t="s">
        <v>89</v>
      </c>
      <c r="F14395" s="0" t="s">
        <v>15</v>
      </c>
      <c r="G14395" s="0" t="s">
        <v>16</v>
      </c>
      <c r="H14395" s="0" t="n">
        <v>8</v>
      </c>
      <c r="I14395" s="0" t="s">
        <v>47970</v>
      </c>
      <c r="J14395" s="0" t="s">
        <v>47971</v>
      </c>
      <c r="K14395" s="0" t="s">
        <v>47972</v>
      </c>
      <c r="L14395" s="0" t="str">
        <f aca="false">HYPERLINK("https://www.ncbi.nlm.nih.gov/nuccore/CP000304.1?report=graph&amp;tracks=[key:gene_model_track,Options:GeneOnly]&amp;mk=4068309:4068328|offset_8|00cc00,4068355:4068374|offset_54|444444,4068383:4068402|offset_82|444444,4068404:4068423|offset_103|444444&amp;v=4068108:4068623&amp;c=444444", "offset 8")</f>
        <v>offset 8</v>
      </c>
    </row>
    <row r="14396" customFormat="false" ht="12.8" hidden="false" customHeight="false" outlineLevel="0" collapsed="false">
      <c r="A14396" s="0" t="s">
        <v>12</v>
      </c>
      <c r="B14396" s="0" t="n">
        <v>4068354</v>
      </c>
      <c r="C14396" s="0" t="n">
        <v>4068374</v>
      </c>
      <c r="D14396" s="0" t="s">
        <v>47969</v>
      </c>
      <c r="E14396" s="0" t="s">
        <v>89</v>
      </c>
      <c r="F14396" s="0" t="s">
        <v>15</v>
      </c>
      <c r="G14396" s="0" t="s">
        <v>26</v>
      </c>
      <c r="H14396" s="0" t="n">
        <v>54</v>
      </c>
      <c r="I14396" s="0" t="s">
        <v>47973</v>
      </c>
      <c r="J14396" s="0" t="s">
        <v>47974</v>
      </c>
      <c r="K14396" s="0" t="s">
        <v>47975</v>
      </c>
      <c r="L14396" s="0" t="str">
        <f aca="false">HYPERLINK("https://www.ncbi.nlm.nih.gov/nuccore/CP000304.1?report=graph&amp;tracks=[key:gene_model_track,Options:GeneOnly]&amp;mk=4068309:4068328|offset_8|444444,4068355:4068374|offset_54|00cc00,4068383:4068402|offset_82|444444,4068404:4068423|offset_103|444444&amp;v=4068108:4068623&amp;c=444444", "offset 54")</f>
        <v>offset 54</v>
      </c>
    </row>
    <row r="14397" customFormat="false" ht="12.8" hidden="false" customHeight="false" outlineLevel="0" collapsed="false">
      <c r="A14397" s="0" t="s">
        <v>12</v>
      </c>
      <c r="B14397" s="0" t="n">
        <v>4068382</v>
      </c>
      <c r="C14397" s="0" t="n">
        <v>4068402</v>
      </c>
      <c r="D14397" s="0" t="s">
        <v>47969</v>
      </c>
      <c r="E14397" s="0" t="s">
        <v>89</v>
      </c>
      <c r="F14397" s="0" t="s">
        <v>15</v>
      </c>
      <c r="G14397" s="0" t="s">
        <v>36</v>
      </c>
      <c r="H14397" s="0" t="n">
        <v>82</v>
      </c>
      <c r="I14397" s="0" t="s">
        <v>47976</v>
      </c>
      <c r="J14397" s="0" t="s">
        <v>47977</v>
      </c>
      <c r="K14397" s="0" t="s">
        <v>47978</v>
      </c>
      <c r="L14397" s="0" t="str">
        <f aca="false">HYPERLINK("https://www.ncbi.nlm.nih.gov/nuccore/CP000304.1?report=graph&amp;tracks=[key:gene_model_track,Options:GeneOnly]&amp;mk=4068309:4068328|offset_8|444444,4068355:4068374|offset_54|444444,4068383:4068402|offset_82|00cc00,4068404:4068423|offset_103|444444&amp;v=4068108:4068623&amp;c=444444", "offset 82")</f>
        <v>offset 82</v>
      </c>
    </row>
    <row r="14398" customFormat="false" ht="12.8" hidden="false" customHeight="false" outlineLevel="0" collapsed="false">
      <c r="A14398" s="0" t="s">
        <v>12</v>
      </c>
      <c r="B14398" s="0" t="n">
        <v>4068403</v>
      </c>
      <c r="C14398" s="0" t="n">
        <v>4068423</v>
      </c>
      <c r="D14398" s="0" t="s">
        <v>47969</v>
      </c>
      <c r="E14398" s="0" t="s">
        <v>89</v>
      </c>
      <c r="F14398" s="0" t="s">
        <v>15</v>
      </c>
      <c r="G14398" s="0" t="s">
        <v>36</v>
      </c>
      <c r="H14398" s="0" t="n">
        <v>103</v>
      </c>
      <c r="I14398" s="0" t="s">
        <v>47979</v>
      </c>
      <c r="J14398" s="0" t="s">
        <v>47980</v>
      </c>
      <c r="K14398" s="0" t="s">
        <v>47981</v>
      </c>
      <c r="L14398" s="0" t="str">
        <f aca="false">HYPERLINK("https://www.ncbi.nlm.nih.gov/nuccore/CP000304.1?report=graph&amp;tracks=[key:gene_model_track,Options:GeneOnly]&amp;mk=4068309:4068328|offset_8|444444,4068355:4068374|offset_54|444444,4068383:4068402|offset_82|444444,4068404:4068423|offset_103|00cc00&amp;v=4068108:4068623&amp;c=444444", "offset 103")</f>
        <v>offset 103</v>
      </c>
    </row>
    <row r="14399" customFormat="false" ht="12.8" hidden="false" customHeight="false" outlineLevel="0" collapsed="false">
      <c r="A14399" s="0" t="s">
        <v>12</v>
      </c>
      <c r="B14399" s="0" t="n">
        <v>4069034</v>
      </c>
      <c r="C14399" s="0" t="n">
        <v>4069054</v>
      </c>
      <c r="D14399" s="0" t="s">
        <v>47982</v>
      </c>
      <c r="E14399" s="0" t="s">
        <v>47983</v>
      </c>
      <c r="F14399" s="0" t="s">
        <v>15</v>
      </c>
      <c r="G14399" s="0" t="s">
        <v>32</v>
      </c>
      <c r="H14399" s="0" t="n">
        <v>1</v>
      </c>
      <c r="I14399" s="0" t="s">
        <v>47984</v>
      </c>
      <c r="J14399" s="0" t="s">
        <v>47985</v>
      </c>
      <c r="K14399" s="0" t="s">
        <v>47986</v>
      </c>
      <c r="L14399" s="0" t="str">
        <f aca="false">HYPERLINK("https://www.ncbi.nlm.nih.gov/nuccore/CP000304.1?report=graph&amp;tracks=[key:gene_model_track,Options:GeneOnly]&amp;mk=4069035:4069054|offset_1|00cc00,4069055:4069074|offset_21|444444,4069075:4069094|offset_41|444444,4069096:4069115|offset_62|444444&amp;v=4068834:4069315&amp;c=444444", "offset 1")</f>
        <v>offset 1</v>
      </c>
    </row>
    <row r="14400" customFormat="false" ht="12.8" hidden="false" customHeight="false" outlineLevel="0" collapsed="false">
      <c r="A14400" s="0" t="s">
        <v>12</v>
      </c>
      <c r="B14400" s="0" t="n">
        <v>4069054</v>
      </c>
      <c r="C14400" s="0" t="n">
        <v>4069074</v>
      </c>
      <c r="D14400" s="0" t="s">
        <v>47982</v>
      </c>
      <c r="E14400" s="0" t="s">
        <v>47983</v>
      </c>
      <c r="F14400" s="0" t="s">
        <v>15</v>
      </c>
      <c r="G14400" s="0" t="s">
        <v>16</v>
      </c>
      <c r="H14400" s="0" t="n">
        <v>21</v>
      </c>
      <c r="I14400" s="0" t="s">
        <v>47987</v>
      </c>
      <c r="J14400" s="0" t="s">
        <v>47988</v>
      </c>
      <c r="K14400" s="0" t="s">
        <v>47989</v>
      </c>
      <c r="L14400" s="0" t="str">
        <f aca="false">HYPERLINK("https://www.ncbi.nlm.nih.gov/nuccore/CP000304.1?report=graph&amp;tracks=[key:gene_model_track,Options:GeneOnly]&amp;mk=4069035:4069054|offset_1|444444,4069055:4069074|offset_21|00cc00,4069075:4069094|offset_41|444444,4069096:4069115|offset_62|444444&amp;v=4068834:4069315&amp;c=444444", "offset 21")</f>
        <v>offset 21</v>
      </c>
    </row>
    <row r="14401" customFormat="false" ht="12.8" hidden="false" customHeight="false" outlineLevel="0" collapsed="false">
      <c r="A14401" s="0" t="s">
        <v>12</v>
      </c>
      <c r="B14401" s="0" t="n">
        <v>4069074</v>
      </c>
      <c r="C14401" s="0" t="n">
        <v>4069094</v>
      </c>
      <c r="D14401" s="0" t="s">
        <v>47982</v>
      </c>
      <c r="E14401" s="0" t="s">
        <v>47983</v>
      </c>
      <c r="F14401" s="0" t="s">
        <v>15</v>
      </c>
      <c r="G14401" s="0" t="s">
        <v>26</v>
      </c>
      <c r="H14401" s="0" t="n">
        <v>41</v>
      </c>
      <c r="I14401" s="0" t="s">
        <v>47990</v>
      </c>
      <c r="J14401" s="0" t="s">
        <v>47991</v>
      </c>
      <c r="K14401" s="0" t="s">
        <v>47992</v>
      </c>
      <c r="L14401" s="0" t="str">
        <f aca="false">HYPERLINK("https://www.ncbi.nlm.nih.gov/nuccore/CP000304.1?report=graph&amp;tracks=[key:gene_model_track,Options:GeneOnly]&amp;mk=4069035:4069054|offset_1|444444,4069055:4069074|offset_21|444444,4069075:4069094|offset_41|00cc00,4069096:4069115|offset_62|444444&amp;v=4068834:4069315&amp;c=444444", "offset 41")</f>
        <v>offset 41</v>
      </c>
    </row>
    <row r="14402" customFormat="false" ht="12.8" hidden="false" customHeight="false" outlineLevel="0" collapsed="false">
      <c r="A14402" s="0" t="s">
        <v>12</v>
      </c>
      <c r="B14402" s="0" t="n">
        <v>4069095</v>
      </c>
      <c r="C14402" s="0" t="n">
        <v>4069115</v>
      </c>
      <c r="D14402" s="0" t="s">
        <v>47982</v>
      </c>
      <c r="E14402" s="0" t="s">
        <v>47983</v>
      </c>
      <c r="F14402" s="0" t="s">
        <v>15</v>
      </c>
      <c r="G14402" s="0" t="s">
        <v>16</v>
      </c>
      <c r="H14402" s="0" t="n">
        <v>62</v>
      </c>
      <c r="I14402" s="0" t="s">
        <v>47993</v>
      </c>
      <c r="J14402" s="0" t="s">
        <v>47994</v>
      </c>
      <c r="K14402" s="0" t="s">
        <v>47995</v>
      </c>
      <c r="L14402" s="0" t="str">
        <f aca="false">HYPERLINK("https://www.ncbi.nlm.nih.gov/nuccore/CP000304.1?report=graph&amp;tracks=[key:gene_model_track,Options:GeneOnly]&amp;mk=4069035:4069054|offset_1|444444,4069055:4069074|offset_21|444444,4069075:4069094|offset_41|444444,4069096:4069115|offset_62|00cc00&amp;v=4068834:4069315&amp;c=444444", "offset 62")</f>
        <v>offset 62</v>
      </c>
    </row>
    <row r="14403" customFormat="false" ht="12.8" hidden="false" customHeight="false" outlineLevel="0" collapsed="false">
      <c r="A14403" s="0" t="s">
        <v>12</v>
      </c>
      <c r="B14403" s="0" t="n">
        <v>4070385</v>
      </c>
      <c r="C14403" s="0" t="n">
        <v>4070405</v>
      </c>
      <c r="D14403" s="0" t="s">
        <v>47996</v>
      </c>
      <c r="E14403" s="0" t="s">
        <v>89</v>
      </c>
      <c r="F14403" s="0" t="s">
        <v>15</v>
      </c>
      <c r="G14403" s="0" t="s">
        <v>36</v>
      </c>
      <c r="H14403" s="0" t="n">
        <v>0</v>
      </c>
      <c r="I14403" s="0" t="s">
        <v>47997</v>
      </c>
      <c r="J14403" s="0" t="s">
        <v>47998</v>
      </c>
      <c r="K14403" s="0" t="s">
        <v>47999</v>
      </c>
      <c r="L14403" s="0" t="str">
        <f aca="false">HYPERLINK("https://www.ncbi.nlm.nih.gov/nuccore/CP000304.1?report=graph&amp;tracks=[key:gene_model_track,Options:GeneOnly]&amp;mk=4070386:4070405|offset_0|00cc00,4070407:4070426|offset_21|444444,4070428:4070447|offset_42|444444,4070450:4070469|offset_64|444444&amp;v=4070185:4070669&amp;c=444444", "offset 0")</f>
        <v>offset 0</v>
      </c>
    </row>
    <row r="14404" customFormat="false" ht="12.8" hidden="false" customHeight="false" outlineLevel="0" collapsed="false">
      <c r="A14404" s="0" t="s">
        <v>12</v>
      </c>
      <c r="B14404" s="0" t="n">
        <v>4070406</v>
      </c>
      <c r="C14404" s="0" t="n">
        <v>4070426</v>
      </c>
      <c r="D14404" s="0" t="s">
        <v>47996</v>
      </c>
      <c r="E14404" s="0" t="s">
        <v>89</v>
      </c>
      <c r="F14404" s="0" t="s">
        <v>15</v>
      </c>
      <c r="G14404" s="0" t="s">
        <v>16</v>
      </c>
      <c r="H14404" s="0" t="n">
        <v>21</v>
      </c>
      <c r="I14404" s="0" t="s">
        <v>48000</v>
      </c>
      <c r="J14404" s="0" t="s">
        <v>48001</v>
      </c>
      <c r="K14404" s="0" t="s">
        <v>48002</v>
      </c>
      <c r="L14404" s="0" t="str">
        <f aca="false">HYPERLINK("https://www.ncbi.nlm.nih.gov/nuccore/CP000304.1?report=graph&amp;tracks=[key:gene_model_track,Options:GeneOnly]&amp;mk=4070386:4070405|offset_0|444444,4070407:4070426|offset_21|00cc00,4070428:4070447|offset_42|444444,4070450:4070469|offset_64|444444&amp;v=4070185:4070669&amp;c=444444", "offset 21")</f>
        <v>offset 21</v>
      </c>
    </row>
    <row r="14405" customFormat="false" ht="12.8" hidden="false" customHeight="false" outlineLevel="0" collapsed="false">
      <c r="A14405" s="0" t="s">
        <v>12</v>
      </c>
      <c r="B14405" s="0" t="n">
        <v>4070427</v>
      </c>
      <c r="C14405" s="0" t="n">
        <v>4070447</v>
      </c>
      <c r="D14405" s="0" t="s">
        <v>47996</v>
      </c>
      <c r="E14405" s="0" t="s">
        <v>89</v>
      </c>
      <c r="F14405" s="0" t="s">
        <v>15</v>
      </c>
      <c r="G14405" s="0" t="s">
        <v>36</v>
      </c>
      <c r="H14405" s="0" t="n">
        <v>42</v>
      </c>
      <c r="I14405" s="0" t="s">
        <v>48003</v>
      </c>
      <c r="J14405" s="0" t="s">
        <v>48004</v>
      </c>
      <c r="K14405" s="0" t="s">
        <v>48005</v>
      </c>
      <c r="L14405" s="0" t="str">
        <f aca="false">HYPERLINK("https://www.ncbi.nlm.nih.gov/nuccore/CP000304.1?report=graph&amp;tracks=[key:gene_model_track,Options:GeneOnly]&amp;mk=4070386:4070405|offset_0|444444,4070407:4070426|offset_21|444444,4070428:4070447|offset_42|00cc00,4070450:4070469|offset_64|444444&amp;v=4070185:4070669&amp;c=444444", "offset 42")</f>
        <v>offset 42</v>
      </c>
    </row>
    <row r="14406" customFormat="false" ht="12.8" hidden="false" customHeight="false" outlineLevel="0" collapsed="false">
      <c r="A14406" s="0" t="s">
        <v>12</v>
      </c>
      <c r="B14406" s="0" t="n">
        <v>4070449</v>
      </c>
      <c r="C14406" s="0" t="n">
        <v>4070469</v>
      </c>
      <c r="D14406" s="0" t="s">
        <v>47996</v>
      </c>
      <c r="E14406" s="0" t="s">
        <v>89</v>
      </c>
      <c r="F14406" s="0" t="s">
        <v>15</v>
      </c>
      <c r="G14406" s="0" t="s">
        <v>32</v>
      </c>
      <c r="H14406" s="0" t="n">
        <v>64</v>
      </c>
      <c r="I14406" s="0" t="s">
        <v>48006</v>
      </c>
      <c r="J14406" s="0" t="s">
        <v>48007</v>
      </c>
      <c r="K14406" s="0" t="s">
        <v>48008</v>
      </c>
      <c r="L14406" s="0" t="str">
        <f aca="false">HYPERLINK("https://www.ncbi.nlm.nih.gov/nuccore/CP000304.1?report=graph&amp;tracks=[key:gene_model_track,Options:GeneOnly]&amp;mk=4070386:4070405|offset_0|444444,4070407:4070426|offset_21|444444,4070428:4070447|offset_42|444444,4070450:4070469|offset_64|00cc00&amp;v=4070185:4070669&amp;c=444444", "offset 64")</f>
        <v>offset 64</v>
      </c>
    </row>
    <row r="14407" customFormat="false" ht="12.8" hidden="false" customHeight="false" outlineLevel="0" collapsed="false">
      <c r="A14407" s="0" t="s">
        <v>12</v>
      </c>
      <c r="B14407" s="0" t="n">
        <v>4071402</v>
      </c>
      <c r="C14407" s="0" t="n">
        <v>4071422</v>
      </c>
      <c r="D14407" s="0" t="s">
        <v>48009</v>
      </c>
      <c r="E14407" s="0" t="s">
        <v>89</v>
      </c>
      <c r="F14407" s="0" t="s">
        <v>15</v>
      </c>
      <c r="G14407" s="0" t="s">
        <v>26</v>
      </c>
      <c r="H14407" s="0" t="n">
        <v>17</v>
      </c>
      <c r="I14407" s="0" t="s">
        <v>48010</v>
      </c>
      <c r="J14407" s="0" t="s">
        <v>48011</v>
      </c>
      <c r="K14407" s="0" t="s">
        <v>48012</v>
      </c>
      <c r="L14407" s="0" t="str">
        <f aca="false">HYPERLINK("https://www.ncbi.nlm.nih.gov/nuccore/CP000304.1?report=graph&amp;tracks=[key:gene_model_track,Options:GeneOnly]&amp;mk=4071403:4071422|offset_17|00cc00,4071426:4071445|offset_40|444444,4071492:4071511|offset_106|444444,4071529:4071548|offset_143|444444&amp;v=4071202:4071748&amp;c=444444", "offset 17")</f>
        <v>offset 17</v>
      </c>
    </row>
    <row r="14408" customFormat="false" ht="12.8" hidden="false" customHeight="false" outlineLevel="0" collapsed="false">
      <c r="A14408" s="0" t="s">
        <v>12</v>
      </c>
      <c r="B14408" s="0" t="n">
        <v>4071425</v>
      </c>
      <c r="C14408" s="0" t="n">
        <v>4071445</v>
      </c>
      <c r="D14408" s="0" t="s">
        <v>48009</v>
      </c>
      <c r="E14408" s="0" t="s">
        <v>89</v>
      </c>
      <c r="F14408" s="0" t="s">
        <v>15</v>
      </c>
      <c r="G14408" s="0" t="s">
        <v>16</v>
      </c>
      <c r="H14408" s="0" t="n">
        <v>40</v>
      </c>
      <c r="I14408" s="0" t="s">
        <v>48013</v>
      </c>
      <c r="J14408" s="0" t="s">
        <v>48014</v>
      </c>
      <c r="K14408" s="0" t="s">
        <v>48015</v>
      </c>
      <c r="L14408" s="0" t="str">
        <f aca="false">HYPERLINK("https://www.ncbi.nlm.nih.gov/nuccore/CP000304.1?report=graph&amp;tracks=[key:gene_model_track,Options:GeneOnly]&amp;mk=4071403:4071422|offset_17|444444,4071426:4071445|offset_40|00cc00,4071492:4071511|offset_106|444444,4071529:4071548|offset_143|444444&amp;v=4071202:4071748&amp;c=444444", "offset 40")</f>
        <v>offset 40</v>
      </c>
    </row>
    <row r="14409" customFormat="false" ht="12.8" hidden="false" customHeight="false" outlineLevel="0" collapsed="false">
      <c r="A14409" s="0" t="s">
        <v>12</v>
      </c>
      <c r="B14409" s="0" t="n">
        <v>4071491</v>
      </c>
      <c r="C14409" s="0" t="n">
        <v>4071511</v>
      </c>
      <c r="D14409" s="0" t="s">
        <v>48009</v>
      </c>
      <c r="E14409" s="0" t="s">
        <v>89</v>
      </c>
      <c r="F14409" s="0" t="s">
        <v>15</v>
      </c>
      <c r="G14409" s="0" t="s">
        <v>16</v>
      </c>
      <c r="H14409" s="0" t="n">
        <v>106</v>
      </c>
      <c r="I14409" s="0" t="s">
        <v>48016</v>
      </c>
      <c r="J14409" s="0" t="s">
        <v>48017</v>
      </c>
      <c r="K14409" s="0" t="s">
        <v>48018</v>
      </c>
      <c r="L14409" s="0" t="str">
        <f aca="false">HYPERLINK("https://www.ncbi.nlm.nih.gov/nuccore/CP000304.1?report=graph&amp;tracks=[key:gene_model_track,Options:GeneOnly]&amp;mk=4071403:4071422|offset_17|444444,4071426:4071445|offset_40|444444,4071492:4071511|offset_106|00cc00,4071529:4071548|offset_143|444444&amp;v=4071202:4071748&amp;c=444444", "offset 106")</f>
        <v>offset 106</v>
      </c>
    </row>
    <row r="14410" customFormat="false" ht="12.8" hidden="false" customHeight="false" outlineLevel="0" collapsed="false">
      <c r="A14410" s="0" t="s">
        <v>12</v>
      </c>
      <c r="B14410" s="0" t="n">
        <v>4071528</v>
      </c>
      <c r="C14410" s="0" t="n">
        <v>4071548</v>
      </c>
      <c r="D14410" s="0" t="s">
        <v>48009</v>
      </c>
      <c r="E14410" s="0" t="s">
        <v>89</v>
      </c>
      <c r="F14410" s="0" t="s">
        <v>15</v>
      </c>
      <c r="G14410" s="0" t="s">
        <v>16</v>
      </c>
      <c r="H14410" s="0" t="n">
        <v>143</v>
      </c>
      <c r="I14410" s="0" t="s">
        <v>48019</v>
      </c>
      <c r="J14410" s="0" t="s">
        <v>48020</v>
      </c>
      <c r="K14410" s="0" t="s">
        <v>48021</v>
      </c>
      <c r="L14410" s="0" t="str">
        <f aca="false">HYPERLINK("https://www.ncbi.nlm.nih.gov/nuccore/CP000304.1?report=graph&amp;tracks=[key:gene_model_track,Options:GeneOnly]&amp;mk=4071403:4071422|offset_17|444444,4071426:4071445|offset_40|444444,4071492:4071511|offset_106|444444,4071529:4071548|offset_143|00cc00&amp;v=4071202:4071748&amp;c=444444", "offset 143")</f>
        <v>offset 143</v>
      </c>
    </row>
    <row r="14411" customFormat="false" ht="12.8" hidden="false" customHeight="false" outlineLevel="0" collapsed="false">
      <c r="A14411" s="0" t="s">
        <v>12</v>
      </c>
      <c r="B14411" s="0" t="n">
        <v>4071914</v>
      </c>
      <c r="C14411" s="0" t="n">
        <v>4071934</v>
      </c>
      <c r="D14411" s="0" t="s">
        <v>48022</v>
      </c>
      <c r="E14411" s="0" t="s">
        <v>89</v>
      </c>
      <c r="F14411" s="0" t="s">
        <v>15</v>
      </c>
      <c r="G14411" s="0" t="s">
        <v>26</v>
      </c>
      <c r="H14411" s="0" t="n">
        <v>37</v>
      </c>
      <c r="I14411" s="0" t="s">
        <v>48023</v>
      </c>
      <c r="J14411" s="0" t="s">
        <v>48024</v>
      </c>
      <c r="K14411" s="0" t="s">
        <v>48025</v>
      </c>
      <c r="L14411" s="0" t="str">
        <f aca="false">HYPERLINK("https://www.ncbi.nlm.nih.gov/nuccore/CP000304.1?report=graph&amp;tracks=[key:gene_model_track,Options:GeneOnly]&amp;mk=4071915:4071934|offset_37|00cc00,4071945:4071964|offset_67|444444,4071982:4072001|offset_104|444444,4072029:4072048|offset_151|444444&amp;v=4071714:4072248&amp;c=444444", "offset 37")</f>
        <v>offset 37</v>
      </c>
    </row>
    <row r="14412" customFormat="false" ht="12.8" hidden="false" customHeight="false" outlineLevel="0" collapsed="false">
      <c r="A14412" s="0" t="s">
        <v>12</v>
      </c>
      <c r="B14412" s="0" t="n">
        <v>4071944</v>
      </c>
      <c r="C14412" s="0" t="n">
        <v>4071964</v>
      </c>
      <c r="D14412" s="0" t="s">
        <v>48022</v>
      </c>
      <c r="E14412" s="0" t="s">
        <v>89</v>
      </c>
      <c r="F14412" s="0" t="s">
        <v>15</v>
      </c>
      <c r="G14412" s="0" t="s">
        <v>36</v>
      </c>
      <c r="H14412" s="0" t="n">
        <v>67</v>
      </c>
      <c r="I14412" s="0" t="s">
        <v>48026</v>
      </c>
      <c r="J14412" s="0" t="s">
        <v>48027</v>
      </c>
      <c r="K14412" s="0" t="s">
        <v>48028</v>
      </c>
      <c r="L14412" s="0" t="str">
        <f aca="false">HYPERLINK("https://www.ncbi.nlm.nih.gov/nuccore/CP000304.1?report=graph&amp;tracks=[key:gene_model_track,Options:GeneOnly]&amp;mk=4071915:4071934|offset_37|444444,4071945:4071964|offset_67|00cc00,4071982:4072001|offset_104|444444,4072029:4072048|offset_151|444444&amp;v=4071714:4072248&amp;c=444444", "offset 67")</f>
        <v>offset 67</v>
      </c>
    </row>
    <row r="14413" customFormat="false" ht="12.8" hidden="false" customHeight="false" outlineLevel="0" collapsed="false">
      <c r="A14413" s="0" t="s">
        <v>12</v>
      </c>
      <c r="B14413" s="0" t="n">
        <v>4071981</v>
      </c>
      <c r="C14413" s="0" t="n">
        <v>4072001</v>
      </c>
      <c r="D14413" s="0" t="s">
        <v>48022</v>
      </c>
      <c r="E14413" s="0" t="s">
        <v>89</v>
      </c>
      <c r="F14413" s="0" t="s">
        <v>15</v>
      </c>
      <c r="G14413" s="0" t="s">
        <v>26</v>
      </c>
      <c r="H14413" s="0" t="n">
        <v>104</v>
      </c>
      <c r="I14413" s="0" t="s">
        <v>48029</v>
      </c>
      <c r="J14413" s="0" t="s">
        <v>48030</v>
      </c>
      <c r="K14413" s="0" t="s">
        <v>48031</v>
      </c>
      <c r="L14413" s="0" t="str">
        <f aca="false">HYPERLINK("https://www.ncbi.nlm.nih.gov/nuccore/CP000304.1?report=graph&amp;tracks=[key:gene_model_track,Options:GeneOnly]&amp;mk=4071915:4071934|offset_37|444444,4071945:4071964|offset_67|444444,4071982:4072001|offset_104|00cc00,4072029:4072048|offset_151|444444&amp;v=4071714:4072248&amp;c=444444", "offset 104")</f>
        <v>offset 104</v>
      </c>
    </row>
    <row r="14414" customFormat="false" ht="12.8" hidden="false" customHeight="false" outlineLevel="0" collapsed="false">
      <c r="A14414" s="0" t="s">
        <v>12</v>
      </c>
      <c r="B14414" s="0" t="n">
        <v>4072028</v>
      </c>
      <c r="C14414" s="0" t="n">
        <v>4072048</v>
      </c>
      <c r="D14414" s="0" t="s">
        <v>48022</v>
      </c>
      <c r="E14414" s="0" t="s">
        <v>89</v>
      </c>
      <c r="F14414" s="0" t="s">
        <v>15</v>
      </c>
      <c r="G14414" s="0" t="s">
        <v>32</v>
      </c>
      <c r="H14414" s="0" t="n">
        <v>151</v>
      </c>
      <c r="I14414" s="0" t="s">
        <v>48032</v>
      </c>
      <c r="J14414" s="0" t="s">
        <v>48033</v>
      </c>
      <c r="K14414" s="0" t="s">
        <v>48034</v>
      </c>
      <c r="L14414" s="0" t="str">
        <f aca="false">HYPERLINK("https://www.ncbi.nlm.nih.gov/nuccore/CP000304.1?report=graph&amp;tracks=[key:gene_model_track,Options:GeneOnly]&amp;mk=4071915:4071934|offset_37|444444,4071945:4071964|offset_67|444444,4071982:4072001|offset_104|444444,4072029:4072048|offset_151|00cc00&amp;v=4071714:4072248&amp;c=444444", "offset 151")</f>
        <v>offset 151</v>
      </c>
    </row>
    <row r="14415" customFormat="false" ht="12.8" hidden="false" customHeight="false" outlineLevel="0" collapsed="false">
      <c r="A14415" s="0" t="s">
        <v>12</v>
      </c>
      <c r="B14415" s="0" t="n">
        <v>4072787</v>
      </c>
      <c r="C14415" s="0" t="n">
        <v>4072807</v>
      </c>
      <c r="D14415" s="0" t="s">
        <v>48035</v>
      </c>
      <c r="E14415" s="0" t="s">
        <v>48036</v>
      </c>
      <c r="F14415" s="0" t="s">
        <v>15</v>
      </c>
      <c r="G14415" s="0" t="s">
        <v>36</v>
      </c>
      <c r="H14415" s="0" t="n">
        <v>6</v>
      </c>
      <c r="I14415" s="0" t="s">
        <v>48037</v>
      </c>
      <c r="J14415" s="0" t="s">
        <v>48038</v>
      </c>
      <c r="K14415" s="0" t="s">
        <v>48039</v>
      </c>
      <c r="L14415" s="0" t="str">
        <f aca="false">HYPERLINK("https://www.ncbi.nlm.nih.gov/nuccore/CP000304.1?report=graph&amp;tracks=[key:gene_model_track,Options:GeneOnly]&amp;mk=4072788:4072807|offset_6|00cc00,4072808:4072827|offset_26|444444,4072844:4072863|offset_62|444444,4072879:4072898|offset_97|444444&amp;v=4072587:4073098&amp;c=444444", "offset 6")</f>
        <v>offset 6</v>
      </c>
    </row>
    <row r="14416" customFormat="false" ht="12.8" hidden="false" customHeight="false" outlineLevel="0" collapsed="false">
      <c r="A14416" s="0" t="s">
        <v>12</v>
      </c>
      <c r="B14416" s="0" t="n">
        <v>4072807</v>
      </c>
      <c r="C14416" s="0" t="n">
        <v>4072827</v>
      </c>
      <c r="D14416" s="0" t="s">
        <v>48035</v>
      </c>
      <c r="E14416" s="0" t="s">
        <v>48036</v>
      </c>
      <c r="F14416" s="0" t="s">
        <v>15</v>
      </c>
      <c r="G14416" s="0" t="s">
        <v>36</v>
      </c>
      <c r="H14416" s="0" t="n">
        <v>26</v>
      </c>
      <c r="I14416" s="0" t="s">
        <v>48040</v>
      </c>
      <c r="J14416" s="0" t="s">
        <v>48041</v>
      </c>
      <c r="K14416" s="0" t="s">
        <v>48042</v>
      </c>
      <c r="L14416" s="0" t="str">
        <f aca="false">HYPERLINK("https://www.ncbi.nlm.nih.gov/nuccore/CP000304.1?report=graph&amp;tracks=[key:gene_model_track,Options:GeneOnly]&amp;mk=4072788:4072807|offset_6|444444,4072808:4072827|offset_26|00cc00,4072844:4072863|offset_62|444444,4072879:4072898|offset_97|444444&amp;v=4072587:4073098&amp;c=444444", "offset 26")</f>
        <v>offset 26</v>
      </c>
    </row>
    <row r="14417" customFormat="false" ht="12.8" hidden="false" customHeight="false" outlineLevel="0" collapsed="false">
      <c r="A14417" s="0" t="s">
        <v>12</v>
      </c>
      <c r="B14417" s="0" t="n">
        <v>4072843</v>
      </c>
      <c r="C14417" s="0" t="n">
        <v>4072863</v>
      </c>
      <c r="D14417" s="0" t="s">
        <v>48035</v>
      </c>
      <c r="E14417" s="0" t="s">
        <v>48036</v>
      </c>
      <c r="F14417" s="0" t="s">
        <v>15</v>
      </c>
      <c r="G14417" s="0" t="s">
        <v>36</v>
      </c>
      <c r="H14417" s="0" t="n">
        <v>62</v>
      </c>
      <c r="I14417" s="0" t="s">
        <v>48043</v>
      </c>
      <c r="J14417" s="0" t="s">
        <v>48044</v>
      </c>
      <c r="K14417" s="0" t="s">
        <v>48045</v>
      </c>
      <c r="L14417" s="0" t="str">
        <f aca="false">HYPERLINK("https://www.ncbi.nlm.nih.gov/nuccore/CP000304.1?report=graph&amp;tracks=[key:gene_model_track,Options:GeneOnly]&amp;mk=4072788:4072807|offset_6|444444,4072808:4072827|offset_26|444444,4072844:4072863|offset_62|00cc00,4072879:4072898|offset_97|444444&amp;v=4072587:4073098&amp;c=444444", "offset 62")</f>
        <v>offset 62</v>
      </c>
    </row>
    <row r="14418" customFormat="false" ht="12.8" hidden="false" customHeight="false" outlineLevel="0" collapsed="false">
      <c r="A14418" s="0" t="s">
        <v>12</v>
      </c>
      <c r="B14418" s="0" t="n">
        <v>4072878</v>
      </c>
      <c r="C14418" s="0" t="n">
        <v>4072898</v>
      </c>
      <c r="D14418" s="0" t="s">
        <v>48035</v>
      </c>
      <c r="E14418" s="0" t="s">
        <v>48036</v>
      </c>
      <c r="F14418" s="0" t="s">
        <v>15</v>
      </c>
      <c r="G14418" s="0" t="s">
        <v>16</v>
      </c>
      <c r="H14418" s="0" t="n">
        <v>97</v>
      </c>
      <c r="I14418" s="0" t="s">
        <v>48046</v>
      </c>
      <c r="J14418" s="0" t="s">
        <v>48047</v>
      </c>
      <c r="K14418" s="0" t="s">
        <v>48048</v>
      </c>
      <c r="L14418" s="0" t="str">
        <f aca="false">HYPERLINK("https://www.ncbi.nlm.nih.gov/nuccore/CP000304.1?report=graph&amp;tracks=[key:gene_model_track,Options:GeneOnly]&amp;mk=4072788:4072807|offset_6|444444,4072808:4072827|offset_26|444444,4072844:4072863|offset_62|444444,4072879:4072898|offset_97|00cc00&amp;v=4072587:4073098&amp;c=444444", "offset 97")</f>
        <v>offset 97</v>
      </c>
    </row>
    <row r="14419" customFormat="false" ht="12.8" hidden="false" customHeight="false" outlineLevel="0" collapsed="false">
      <c r="A14419" s="0" t="s">
        <v>12</v>
      </c>
      <c r="B14419" s="0" t="n">
        <v>4075123</v>
      </c>
      <c r="C14419" s="0" t="n">
        <v>4075143</v>
      </c>
      <c r="D14419" s="0" t="s">
        <v>48049</v>
      </c>
      <c r="E14419" s="0" t="s">
        <v>89</v>
      </c>
      <c r="F14419" s="0" t="s">
        <v>90</v>
      </c>
      <c r="G14419" s="0" t="s">
        <v>16</v>
      </c>
      <c r="H14419" s="0" t="n">
        <v>6</v>
      </c>
      <c r="I14419" s="0" t="s">
        <v>48050</v>
      </c>
      <c r="J14419" s="0" t="s">
        <v>48051</v>
      </c>
      <c r="K14419" s="0" t="s">
        <v>48052</v>
      </c>
      <c r="L14419" s="0" t="str">
        <f aca="false">HYPERLINK("https://www.ncbi.nlm.nih.gov/nuccore/CP000304.1?report=graph&amp;tracks=[key:gene_model_track,Options:GeneOnly]&amp;mk=4075124:4075143|offset_6|00cc00,4075091:4075110|offset_39|444444,4075044:4075063|offset_86|444444,4074997:4075016|offset_133|444444&amp;v=4074923:4075216&amp;c=444444", "offset 6")</f>
        <v>offset 6</v>
      </c>
    </row>
    <row r="14420" customFormat="false" ht="12.8" hidden="false" customHeight="false" outlineLevel="0" collapsed="false">
      <c r="A14420" s="0" t="s">
        <v>12</v>
      </c>
      <c r="B14420" s="0" t="n">
        <v>4075090</v>
      </c>
      <c r="C14420" s="0" t="n">
        <v>4075110</v>
      </c>
      <c r="D14420" s="0" t="s">
        <v>48049</v>
      </c>
      <c r="E14420" s="0" t="s">
        <v>89</v>
      </c>
      <c r="F14420" s="0" t="s">
        <v>90</v>
      </c>
      <c r="G14420" s="0" t="s">
        <v>32</v>
      </c>
      <c r="H14420" s="0" t="n">
        <v>39</v>
      </c>
      <c r="I14420" s="0" t="s">
        <v>48053</v>
      </c>
      <c r="J14420" s="0" t="s">
        <v>48054</v>
      </c>
      <c r="K14420" s="0" t="s">
        <v>48055</v>
      </c>
      <c r="L14420" s="0" t="str">
        <f aca="false">HYPERLINK("https://www.ncbi.nlm.nih.gov/nuccore/CP000304.1?report=graph&amp;tracks=[key:gene_model_track,Options:GeneOnly]&amp;mk=4075124:4075143|offset_6|444444,4075091:4075110|offset_39|00cc00,4075044:4075063|offset_86|444444,4074997:4075016|offset_133|444444&amp;v=4074923:4075216&amp;c=444444", "offset 39")</f>
        <v>offset 39</v>
      </c>
    </row>
    <row r="14421" customFormat="false" ht="12.8" hidden="false" customHeight="false" outlineLevel="0" collapsed="false">
      <c r="A14421" s="0" t="s">
        <v>12</v>
      </c>
      <c r="B14421" s="0" t="n">
        <v>4075043</v>
      </c>
      <c r="C14421" s="0" t="n">
        <v>4075063</v>
      </c>
      <c r="D14421" s="0" t="s">
        <v>48049</v>
      </c>
      <c r="E14421" s="0" t="s">
        <v>89</v>
      </c>
      <c r="F14421" s="0" t="s">
        <v>90</v>
      </c>
      <c r="G14421" s="0" t="s">
        <v>16</v>
      </c>
      <c r="H14421" s="0" t="n">
        <v>86</v>
      </c>
      <c r="I14421" s="0" t="s">
        <v>48056</v>
      </c>
      <c r="J14421" s="0" t="s">
        <v>48057</v>
      </c>
      <c r="K14421" s="0" t="s">
        <v>48058</v>
      </c>
      <c r="L14421" s="0" t="str">
        <f aca="false">HYPERLINK("https://www.ncbi.nlm.nih.gov/nuccore/CP000304.1?report=graph&amp;tracks=[key:gene_model_track,Options:GeneOnly]&amp;mk=4075124:4075143|offset_6|444444,4075091:4075110|offset_39|444444,4075044:4075063|offset_86|00cc00,4074997:4075016|offset_133|444444&amp;v=4074923:4075216&amp;c=444444", "offset 86")</f>
        <v>offset 86</v>
      </c>
    </row>
    <row r="14422" customFormat="false" ht="12.8" hidden="false" customHeight="false" outlineLevel="0" collapsed="false">
      <c r="A14422" s="0" t="s">
        <v>12</v>
      </c>
      <c r="B14422" s="0" t="n">
        <v>4074996</v>
      </c>
      <c r="C14422" s="0" t="n">
        <v>4075016</v>
      </c>
      <c r="D14422" s="0" t="s">
        <v>48049</v>
      </c>
      <c r="E14422" s="0" t="s">
        <v>89</v>
      </c>
      <c r="F14422" s="0" t="s">
        <v>90</v>
      </c>
      <c r="G14422" s="0" t="s">
        <v>16</v>
      </c>
      <c r="H14422" s="0" t="n">
        <v>133</v>
      </c>
      <c r="I14422" s="0" t="s">
        <v>48059</v>
      </c>
      <c r="J14422" s="0" t="s">
        <v>48060</v>
      </c>
      <c r="K14422" s="0" t="s">
        <v>48061</v>
      </c>
      <c r="L14422" s="0" t="str">
        <f aca="false">HYPERLINK("https://www.ncbi.nlm.nih.gov/nuccore/CP000304.1?report=graph&amp;tracks=[key:gene_model_track,Options:GeneOnly]&amp;mk=4075124:4075143|offset_6|444444,4075091:4075110|offset_39|444444,4075044:4075063|offset_86|444444,4074997:4075016|offset_133|00cc00&amp;v=4074923:4075216&amp;c=444444", "offset 133")</f>
        <v>offset 133</v>
      </c>
    </row>
    <row r="14423" customFormat="false" ht="12.8" hidden="false" customHeight="false" outlineLevel="0" collapsed="false">
      <c r="A14423" s="0" t="s">
        <v>12</v>
      </c>
      <c r="B14423" s="0" t="n">
        <v>4075632</v>
      </c>
      <c r="C14423" s="0" t="n">
        <v>4075652</v>
      </c>
      <c r="D14423" s="0" t="s">
        <v>48062</v>
      </c>
      <c r="E14423" s="0" t="s">
        <v>89</v>
      </c>
      <c r="F14423" s="0" t="s">
        <v>90</v>
      </c>
      <c r="G14423" s="0" t="s">
        <v>16</v>
      </c>
      <c r="H14423" s="0" t="n">
        <v>15</v>
      </c>
      <c r="I14423" s="0" t="s">
        <v>48063</v>
      </c>
      <c r="J14423" s="0" t="s">
        <v>48064</v>
      </c>
      <c r="K14423" s="0" t="s">
        <v>48065</v>
      </c>
      <c r="L14423" s="0" t="str">
        <f aca="false">HYPERLINK("https://www.ncbi.nlm.nih.gov/nuccore/CP000304.1?report=graph&amp;tracks=[key:gene_model_track,Options:GeneOnly]&amp;mk=4075633:4075652|offset_15|00cc00,4075551:4075570|offset_97|444444,4075506:4075525|offset_142|444444,4075484:4075503|offset_164|444444&amp;v=4075432:4075703&amp;c=444444", "offset 15")</f>
        <v>offset 15</v>
      </c>
    </row>
    <row r="14424" customFormat="false" ht="12.8" hidden="false" customHeight="false" outlineLevel="0" collapsed="false">
      <c r="A14424" s="0" t="s">
        <v>12</v>
      </c>
      <c r="B14424" s="0" t="n">
        <v>4075550</v>
      </c>
      <c r="C14424" s="0" t="n">
        <v>4075570</v>
      </c>
      <c r="D14424" s="0" t="s">
        <v>48062</v>
      </c>
      <c r="E14424" s="0" t="s">
        <v>89</v>
      </c>
      <c r="F14424" s="0" t="s">
        <v>90</v>
      </c>
      <c r="G14424" s="0" t="s">
        <v>16</v>
      </c>
      <c r="H14424" s="0" t="n">
        <v>97</v>
      </c>
      <c r="I14424" s="0" t="s">
        <v>48066</v>
      </c>
      <c r="J14424" s="0" t="s">
        <v>48067</v>
      </c>
      <c r="K14424" s="0" t="s">
        <v>48068</v>
      </c>
      <c r="L14424" s="0" t="str">
        <f aca="false">HYPERLINK("https://www.ncbi.nlm.nih.gov/nuccore/CP000304.1?report=graph&amp;tracks=[key:gene_model_track,Options:GeneOnly]&amp;mk=4075633:4075652|offset_15|444444,4075551:4075570|offset_97|00cc00,4075506:4075525|offset_142|444444,4075484:4075503|offset_164|444444&amp;v=4075432:4075703&amp;c=444444", "offset 97")</f>
        <v>offset 97</v>
      </c>
    </row>
    <row r="14425" customFormat="false" ht="12.8" hidden="false" customHeight="false" outlineLevel="0" collapsed="false">
      <c r="A14425" s="0" t="s">
        <v>12</v>
      </c>
      <c r="B14425" s="0" t="n">
        <v>4075505</v>
      </c>
      <c r="C14425" s="0" t="n">
        <v>4075525</v>
      </c>
      <c r="D14425" s="0" t="s">
        <v>48062</v>
      </c>
      <c r="E14425" s="0" t="s">
        <v>89</v>
      </c>
      <c r="F14425" s="0" t="s">
        <v>90</v>
      </c>
      <c r="G14425" s="0" t="s">
        <v>36</v>
      </c>
      <c r="H14425" s="0" t="n">
        <v>142</v>
      </c>
      <c r="I14425" s="0" t="s">
        <v>48069</v>
      </c>
      <c r="J14425" s="0" t="s">
        <v>48070</v>
      </c>
      <c r="K14425" s="0" t="s">
        <v>48071</v>
      </c>
      <c r="L14425" s="0" t="str">
        <f aca="false">HYPERLINK("https://www.ncbi.nlm.nih.gov/nuccore/CP000304.1?report=graph&amp;tracks=[key:gene_model_track,Options:GeneOnly]&amp;mk=4075633:4075652|offset_15|444444,4075551:4075570|offset_97|444444,4075506:4075525|offset_142|00cc00,4075484:4075503|offset_164|444444&amp;v=4075432:4075703&amp;c=444444", "offset 142")</f>
        <v>offset 142</v>
      </c>
    </row>
    <row r="14426" customFormat="false" ht="12.8" hidden="false" customHeight="false" outlineLevel="0" collapsed="false">
      <c r="A14426" s="0" t="s">
        <v>12</v>
      </c>
      <c r="B14426" s="0" t="n">
        <v>4075483</v>
      </c>
      <c r="C14426" s="0" t="n">
        <v>4075503</v>
      </c>
      <c r="D14426" s="0" t="s">
        <v>48062</v>
      </c>
      <c r="E14426" s="0" t="s">
        <v>89</v>
      </c>
      <c r="F14426" s="0" t="s">
        <v>90</v>
      </c>
      <c r="G14426" s="0" t="s">
        <v>16</v>
      </c>
      <c r="H14426" s="0" t="n">
        <v>164</v>
      </c>
      <c r="I14426" s="0" t="s">
        <v>48072</v>
      </c>
      <c r="J14426" s="0" t="s">
        <v>48073</v>
      </c>
      <c r="K14426" s="0" t="s">
        <v>48074</v>
      </c>
      <c r="L14426" s="0" t="str">
        <f aca="false">HYPERLINK("https://www.ncbi.nlm.nih.gov/nuccore/CP000304.1?report=graph&amp;tracks=[key:gene_model_track,Options:GeneOnly]&amp;mk=4075633:4075652|offset_15|444444,4075551:4075570|offset_97|444444,4075506:4075525|offset_142|444444,4075484:4075503|offset_164|00cc00&amp;v=4075432:4075703&amp;c=444444", "offset 164")</f>
        <v>offset 164</v>
      </c>
    </row>
    <row r="14427" customFormat="false" ht="12.8" hidden="false" customHeight="false" outlineLevel="0" collapsed="false">
      <c r="A14427" s="0" t="s">
        <v>12</v>
      </c>
      <c r="B14427" s="0" t="n">
        <v>4075816</v>
      </c>
      <c r="C14427" s="0" t="n">
        <v>4075836</v>
      </c>
      <c r="D14427" s="0" t="s">
        <v>48075</v>
      </c>
      <c r="E14427" s="0" t="s">
        <v>48076</v>
      </c>
      <c r="F14427" s="0" t="s">
        <v>15</v>
      </c>
      <c r="G14427" s="0" t="s">
        <v>32</v>
      </c>
      <c r="H14427" s="0" t="n">
        <v>1</v>
      </c>
      <c r="I14427" s="0" t="s">
        <v>48077</v>
      </c>
      <c r="J14427" s="0" t="s">
        <v>48078</v>
      </c>
      <c r="K14427" s="0" t="s">
        <v>48079</v>
      </c>
      <c r="L14427" s="0" t="str">
        <f aca="false">HYPERLINK("https://www.ncbi.nlm.nih.gov/nuccore/CP000304.1?report=graph&amp;tracks=[key:gene_model_track,Options:GeneOnly]&amp;mk=4075817:4075836|offset_1|00cc00,4075839:4075858|offset_23|444444,4075861:4075880|offset_45|444444,4075882:4075901|offset_66|444444&amp;v=4075616:4076101&amp;c=444444", "offset 1")</f>
        <v>offset 1</v>
      </c>
    </row>
    <row r="14428" customFormat="false" ht="12.8" hidden="false" customHeight="false" outlineLevel="0" collapsed="false">
      <c r="A14428" s="0" t="s">
        <v>12</v>
      </c>
      <c r="B14428" s="0" t="n">
        <v>4075838</v>
      </c>
      <c r="C14428" s="0" t="n">
        <v>4075858</v>
      </c>
      <c r="D14428" s="0" t="s">
        <v>48075</v>
      </c>
      <c r="E14428" s="0" t="s">
        <v>48076</v>
      </c>
      <c r="F14428" s="0" t="s">
        <v>15</v>
      </c>
      <c r="G14428" s="0" t="s">
        <v>16</v>
      </c>
      <c r="H14428" s="0" t="n">
        <v>23</v>
      </c>
      <c r="I14428" s="0" t="s">
        <v>48080</v>
      </c>
      <c r="J14428" s="0" t="s">
        <v>48081</v>
      </c>
      <c r="K14428" s="0" t="s">
        <v>48082</v>
      </c>
      <c r="L14428" s="0" t="str">
        <f aca="false">HYPERLINK("https://www.ncbi.nlm.nih.gov/nuccore/CP000304.1?report=graph&amp;tracks=[key:gene_model_track,Options:GeneOnly]&amp;mk=4075817:4075836|offset_1|444444,4075839:4075858|offset_23|00cc00,4075861:4075880|offset_45|444444,4075882:4075901|offset_66|444444&amp;v=4075616:4076101&amp;c=444444", "offset 23")</f>
        <v>offset 23</v>
      </c>
    </row>
    <row r="14429" customFormat="false" ht="12.8" hidden="false" customHeight="false" outlineLevel="0" collapsed="false">
      <c r="A14429" s="0" t="s">
        <v>12</v>
      </c>
      <c r="B14429" s="0" t="n">
        <v>4075860</v>
      </c>
      <c r="C14429" s="0" t="n">
        <v>4075880</v>
      </c>
      <c r="D14429" s="0" t="s">
        <v>48075</v>
      </c>
      <c r="E14429" s="0" t="s">
        <v>48076</v>
      </c>
      <c r="F14429" s="0" t="s">
        <v>15</v>
      </c>
      <c r="G14429" s="0" t="s">
        <v>26</v>
      </c>
      <c r="H14429" s="0" t="n">
        <v>45</v>
      </c>
      <c r="I14429" s="0" t="s">
        <v>48083</v>
      </c>
      <c r="J14429" s="0" t="s">
        <v>48084</v>
      </c>
      <c r="K14429" s="0" t="s">
        <v>48085</v>
      </c>
      <c r="L14429" s="0" t="str">
        <f aca="false">HYPERLINK("https://www.ncbi.nlm.nih.gov/nuccore/CP000304.1?report=graph&amp;tracks=[key:gene_model_track,Options:GeneOnly]&amp;mk=4075817:4075836|offset_1|444444,4075839:4075858|offset_23|444444,4075861:4075880|offset_45|00cc00,4075882:4075901|offset_66|444444&amp;v=4075616:4076101&amp;c=444444", "offset 45")</f>
        <v>offset 45</v>
      </c>
    </row>
    <row r="14430" customFormat="false" ht="12.8" hidden="false" customHeight="false" outlineLevel="0" collapsed="false">
      <c r="A14430" s="0" t="s">
        <v>12</v>
      </c>
      <c r="B14430" s="0" t="n">
        <v>4075881</v>
      </c>
      <c r="C14430" s="0" t="n">
        <v>4075901</v>
      </c>
      <c r="D14430" s="0" t="s">
        <v>48075</v>
      </c>
      <c r="E14430" s="0" t="s">
        <v>48076</v>
      </c>
      <c r="F14430" s="0" t="s">
        <v>15</v>
      </c>
      <c r="G14430" s="0" t="s">
        <v>26</v>
      </c>
      <c r="H14430" s="0" t="n">
        <v>66</v>
      </c>
      <c r="I14430" s="0" t="s">
        <v>48086</v>
      </c>
      <c r="J14430" s="0" t="s">
        <v>48087</v>
      </c>
      <c r="K14430" s="0" t="s">
        <v>48088</v>
      </c>
      <c r="L14430" s="0" t="str">
        <f aca="false">HYPERLINK("https://www.ncbi.nlm.nih.gov/nuccore/CP000304.1?report=graph&amp;tracks=[key:gene_model_track,Options:GeneOnly]&amp;mk=4075817:4075836|offset_1|444444,4075839:4075858|offset_23|444444,4075861:4075880|offset_45|444444,4075882:4075901|offset_66|00cc00&amp;v=4075616:4076101&amp;c=444444", "offset 66")</f>
        <v>offset 66</v>
      </c>
    </row>
    <row r="14431" customFormat="false" ht="12.8" hidden="false" customHeight="false" outlineLevel="0" collapsed="false">
      <c r="A14431" s="0" t="s">
        <v>12</v>
      </c>
      <c r="B14431" s="0" t="n">
        <v>4078631</v>
      </c>
      <c r="C14431" s="0" t="n">
        <v>4078651</v>
      </c>
      <c r="D14431" s="0" t="s">
        <v>48089</v>
      </c>
      <c r="E14431" s="0" t="s">
        <v>89</v>
      </c>
      <c r="F14431" s="0" t="s">
        <v>15</v>
      </c>
      <c r="G14431" s="0" t="s">
        <v>26</v>
      </c>
      <c r="H14431" s="0" t="n">
        <v>52</v>
      </c>
      <c r="I14431" s="0" t="s">
        <v>48090</v>
      </c>
      <c r="J14431" s="0" t="s">
        <v>48091</v>
      </c>
      <c r="K14431" s="0" t="s">
        <v>48092</v>
      </c>
      <c r="L14431" s="0" t="str">
        <f aca="false">HYPERLINK("https://www.ncbi.nlm.nih.gov/nuccore/CP000304.1?report=graph&amp;tracks=[key:gene_model_track,Options:GeneOnly]&amp;mk=4078632:4078651|offset_52|00cc00,4078656:4078675|offset_76|444444,4078698:4078717|offset_118|444444,4078723:4078742|offset_143|444444&amp;v=4078431:4078942&amp;c=444444", "offset 52")</f>
        <v>offset 52</v>
      </c>
    </row>
    <row r="14432" customFormat="false" ht="12.8" hidden="false" customHeight="false" outlineLevel="0" collapsed="false">
      <c r="A14432" s="0" t="s">
        <v>12</v>
      </c>
      <c r="B14432" s="0" t="n">
        <v>4078655</v>
      </c>
      <c r="C14432" s="0" t="n">
        <v>4078675</v>
      </c>
      <c r="D14432" s="0" t="s">
        <v>48089</v>
      </c>
      <c r="E14432" s="0" t="s">
        <v>89</v>
      </c>
      <c r="F14432" s="0" t="s">
        <v>15</v>
      </c>
      <c r="G14432" s="0" t="s">
        <v>16</v>
      </c>
      <c r="H14432" s="0" t="n">
        <v>76</v>
      </c>
      <c r="I14432" s="0" t="s">
        <v>48093</v>
      </c>
      <c r="J14432" s="0" t="s">
        <v>48094</v>
      </c>
      <c r="K14432" s="0" t="s">
        <v>48095</v>
      </c>
      <c r="L14432" s="0" t="str">
        <f aca="false">HYPERLINK("https://www.ncbi.nlm.nih.gov/nuccore/CP000304.1?report=graph&amp;tracks=[key:gene_model_track,Options:GeneOnly]&amp;mk=4078632:4078651|offset_52|444444,4078656:4078675|offset_76|00cc00,4078698:4078717|offset_118|444444,4078723:4078742|offset_143|444444&amp;v=4078431:4078942&amp;c=444444", "offset 76")</f>
        <v>offset 76</v>
      </c>
    </row>
    <row r="14433" customFormat="false" ht="12.8" hidden="false" customHeight="false" outlineLevel="0" collapsed="false">
      <c r="A14433" s="0" t="s">
        <v>12</v>
      </c>
      <c r="B14433" s="0" t="n">
        <v>4078697</v>
      </c>
      <c r="C14433" s="0" t="n">
        <v>4078717</v>
      </c>
      <c r="D14433" s="0" t="s">
        <v>48089</v>
      </c>
      <c r="E14433" s="0" t="s">
        <v>89</v>
      </c>
      <c r="F14433" s="0" t="s">
        <v>15</v>
      </c>
      <c r="G14433" s="0" t="s">
        <v>36</v>
      </c>
      <c r="H14433" s="0" t="n">
        <v>118</v>
      </c>
      <c r="I14433" s="0" t="s">
        <v>48096</v>
      </c>
      <c r="J14433" s="0" t="s">
        <v>48097</v>
      </c>
      <c r="K14433" s="0" t="s">
        <v>48098</v>
      </c>
      <c r="L14433" s="0" t="str">
        <f aca="false">HYPERLINK("https://www.ncbi.nlm.nih.gov/nuccore/CP000304.1?report=graph&amp;tracks=[key:gene_model_track,Options:GeneOnly]&amp;mk=4078632:4078651|offset_52|444444,4078656:4078675|offset_76|444444,4078698:4078717|offset_118|00cc00,4078723:4078742|offset_143|444444&amp;v=4078431:4078942&amp;c=444444", "offset 118")</f>
        <v>offset 118</v>
      </c>
    </row>
    <row r="14434" customFormat="false" ht="12.8" hidden="false" customHeight="false" outlineLevel="0" collapsed="false">
      <c r="A14434" s="0" t="s">
        <v>12</v>
      </c>
      <c r="B14434" s="0" t="n">
        <v>4078722</v>
      </c>
      <c r="C14434" s="0" t="n">
        <v>4078742</v>
      </c>
      <c r="D14434" s="0" t="s">
        <v>48089</v>
      </c>
      <c r="E14434" s="0" t="s">
        <v>89</v>
      </c>
      <c r="F14434" s="0" t="s">
        <v>15</v>
      </c>
      <c r="G14434" s="0" t="s">
        <v>32</v>
      </c>
      <c r="H14434" s="0" t="n">
        <v>143</v>
      </c>
      <c r="I14434" s="0" t="s">
        <v>48099</v>
      </c>
      <c r="J14434" s="0" t="s">
        <v>48100</v>
      </c>
      <c r="K14434" s="0" t="s">
        <v>48101</v>
      </c>
      <c r="L14434" s="0" t="str">
        <f aca="false">HYPERLINK("https://www.ncbi.nlm.nih.gov/nuccore/CP000304.1?report=graph&amp;tracks=[key:gene_model_track,Options:GeneOnly]&amp;mk=4078632:4078651|offset_52|444444,4078656:4078675|offset_76|444444,4078698:4078717|offset_118|444444,4078723:4078742|offset_143|00cc00&amp;v=4078431:4078942&amp;c=444444", "offset 143")</f>
        <v>offset 143</v>
      </c>
    </row>
    <row r="14435" customFormat="false" ht="12.8" hidden="false" customHeight="false" outlineLevel="0" collapsed="false">
      <c r="A14435" s="0" t="s">
        <v>12</v>
      </c>
      <c r="B14435" s="0" t="n">
        <v>4079222</v>
      </c>
      <c r="C14435" s="0" t="n">
        <v>4079242</v>
      </c>
      <c r="D14435" s="0" t="s">
        <v>48102</v>
      </c>
      <c r="E14435" s="0" t="s">
        <v>48103</v>
      </c>
      <c r="F14435" s="0" t="s">
        <v>15</v>
      </c>
      <c r="G14435" s="0" t="s">
        <v>36</v>
      </c>
      <c r="H14435" s="0" t="n">
        <v>0</v>
      </c>
      <c r="I14435" s="0" t="s">
        <v>48104</v>
      </c>
      <c r="J14435" s="0" t="s">
        <v>48105</v>
      </c>
      <c r="K14435" s="0" t="s">
        <v>48106</v>
      </c>
      <c r="L14435" s="0" t="str">
        <f aca="false">HYPERLINK("https://www.ncbi.nlm.nih.gov/nuccore/CP000304.1?report=graph&amp;tracks=[key:gene_model_track,Options:GeneOnly]&amp;mk=4079223:4079242|offset_0|00cc00,4079243:4079262|offset_20|444444,4079277:4079296|offset_54|444444,4079323:4079342|offset_100|444444&amp;v=4079022:4079542&amp;c=444444", "offset 0")</f>
        <v>offset 0</v>
      </c>
    </row>
    <row r="14436" customFormat="false" ht="12.8" hidden="false" customHeight="false" outlineLevel="0" collapsed="false">
      <c r="A14436" s="0" t="s">
        <v>12</v>
      </c>
      <c r="B14436" s="0" t="n">
        <v>4079242</v>
      </c>
      <c r="C14436" s="0" t="n">
        <v>4079262</v>
      </c>
      <c r="D14436" s="0" t="s">
        <v>48102</v>
      </c>
      <c r="E14436" s="0" t="s">
        <v>48103</v>
      </c>
      <c r="F14436" s="0" t="s">
        <v>15</v>
      </c>
      <c r="G14436" s="0" t="s">
        <v>32</v>
      </c>
      <c r="H14436" s="0" t="n">
        <v>20</v>
      </c>
      <c r="I14436" s="0" t="s">
        <v>48107</v>
      </c>
      <c r="J14436" s="0" t="s">
        <v>48108</v>
      </c>
      <c r="K14436" s="0" t="s">
        <v>48109</v>
      </c>
      <c r="L14436" s="0" t="str">
        <f aca="false">HYPERLINK("https://www.ncbi.nlm.nih.gov/nuccore/CP000304.1?report=graph&amp;tracks=[key:gene_model_track,Options:GeneOnly]&amp;mk=4079223:4079242|offset_0|444444,4079243:4079262|offset_20|00cc00,4079277:4079296|offset_54|444444,4079323:4079342|offset_100|444444&amp;v=4079022:4079542&amp;c=444444", "offset 20")</f>
        <v>offset 20</v>
      </c>
    </row>
    <row r="14437" customFormat="false" ht="12.8" hidden="false" customHeight="false" outlineLevel="0" collapsed="false">
      <c r="A14437" s="0" t="s">
        <v>12</v>
      </c>
      <c r="B14437" s="0" t="n">
        <v>4079276</v>
      </c>
      <c r="C14437" s="0" t="n">
        <v>4079296</v>
      </c>
      <c r="D14437" s="0" t="s">
        <v>48102</v>
      </c>
      <c r="E14437" s="0" t="s">
        <v>48103</v>
      </c>
      <c r="F14437" s="0" t="s">
        <v>15</v>
      </c>
      <c r="G14437" s="0" t="s">
        <v>36</v>
      </c>
      <c r="H14437" s="0" t="n">
        <v>54</v>
      </c>
      <c r="I14437" s="0" t="s">
        <v>48110</v>
      </c>
      <c r="J14437" s="0" t="s">
        <v>48111</v>
      </c>
      <c r="K14437" s="0" t="s">
        <v>48112</v>
      </c>
      <c r="L14437" s="0" t="str">
        <f aca="false">HYPERLINK("https://www.ncbi.nlm.nih.gov/nuccore/CP000304.1?report=graph&amp;tracks=[key:gene_model_track,Options:GeneOnly]&amp;mk=4079223:4079242|offset_0|444444,4079243:4079262|offset_20|444444,4079277:4079296|offset_54|00cc00,4079323:4079342|offset_100|444444&amp;v=4079022:4079542&amp;c=444444", "offset 54")</f>
        <v>offset 54</v>
      </c>
    </row>
    <row r="14438" customFormat="false" ht="12.8" hidden="false" customHeight="false" outlineLevel="0" collapsed="false">
      <c r="A14438" s="0" t="s">
        <v>12</v>
      </c>
      <c r="B14438" s="0" t="n">
        <v>4079322</v>
      </c>
      <c r="C14438" s="0" t="n">
        <v>4079342</v>
      </c>
      <c r="D14438" s="0" t="s">
        <v>48102</v>
      </c>
      <c r="E14438" s="0" t="s">
        <v>48103</v>
      </c>
      <c r="F14438" s="0" t="s">
        <v>15</v>
      </c>
      <c r="G14438" s="0" t="s">
        <v>26</v>
      </c>
      <c r="H14438" s="0" t="n">
        <v>100</v>
      </c>
      <c r="I14438" s="0" t="s">
        <v>48113</v>
      </c>
      <c r="J14438" s="0" t="s">
        <v>48114</v>
      </c>
      <c r="K14438" s="0" t="s">
        <v>48115</v>
      </c>
      <c r="L14438" s="0" t="str">
        <f aca="false">HYPERLINK("https://www.ncbi.nlm.nih.gov/nuccore/CP000304.1?report=graph&amp;tracks=[key:gene_model_track,Options:GeneOnly]&amp;mk=4079223:4079242|offset_0|444444,4079243:4079262|offset_20|444444,4079277:4079296|offset_54|444444,4079323:4079342|offset_100|00cc00&amp;v=4079022:4079542&amp;c=444444", "offset 100")</f>
        <v>offset 100</v>
      </c>
    </row>
    <row r="14439" customFormat="false" ht="12.8" hidden="false" customHeight="false" outlineLevel="0" collapsed="false">
      <c r="A14439" s="0" t="s">
        <v>12</v>
      </c>
      <c r="B14439" s="0" t="n">
        <v>4080290</v>
      </c>
      <c r="C14439" s="0" t="n">
        <v>4080310</v>
      </c>
      <c r="D14439" s="0" t="s">
        <v>48116</v>
      </c>
      <c r="E14439" s="0" t="s">
        <v>89</v>
      </c>
      <c r="F14439" s="0" t="s">
        <v>15</v>
      </c>
      <c r="G14439" s="0" t="s">
        <v>26</v>
      </c>
      <c r="H14439" s="0" t="n">
        <v>0</v>
      </c>
      <c r="I14439" s="0" t="s">
        <v>48117</v>
      </c>
      <c r="J14439" s="0" t="s">
        <v>48118</v>
      </c>
      <c r="K14439" s="0" t="s">
        <v>48119</v>
      </c>
      <c r="L14439" s="0" t="str">
        <f aca="false">HYPERLINK("https://www.ncbi.nlm.nih.gov/nuccore/CP000304.1?report=graph&amp;tracks=[key:gene_model_track,Options:GeneOnly]&amp;mk=4080291:4080310|offset_0|00cc00,4080313:4080332|offset_22|444444,4080357:4080376|offset_66|444444,4080387:4080406|offset_96|444444&amp;v=4080090:4080606&amp;c=444444", "offset 0")</f>
        <v>offset 0</v>
      </c>
    </row>
    <row r="14440" customFormat="false" ht="12.8" hidden="false" customHeight="false" outlineLevel="0" collapsed="false">
      <c r="A14440" s="0" t="s">
        <v>12</v>
      </c>
      <c r="B14440" s="0" t="n">
        <v>4080312</v>
      </c>
      <c r="C14440" s="0" t="n">
        <v>4080332</v>
      </c>
      <c r="D14440" s="0" t="s">
        <v>48116</v>
      </c>
      <c r="E14440" s="0" t="s">
        <v>89</v>
      </c>
      <c r="F14440" s="0" t="s">
        <v>15</v>
      </c>
      <c r="G14440" s="0" t="s">
        <v>16</v>
      </c>
      <c r="H14440" s="0" t="n">
        <v>22</v>
      </c>
      <c r="I14440" s="0" t="s">
        <v>48120</v>
      </c>
      <c r="J14440" s="0" t="s">
        <v>48121</v>
      </c>
      <c r="K14440" s="0" t="s">
        <v>48122</v>
      </c>
      <c r="L14440" s="0" t="str">
        <f aca="false">HYPERLINK("https://www.ncbi.nlm.nih.gov/nuccore/CP000304.1?report=graph&amp;tracks=[key:gene_model_track,Options:GeneOnly]&amp;mk=4080291:4080310|offset_0|444444,4080313:4080332|offset_22|00cc00,4080357:4080376|offset_66|444444,4080387:4080406|offset_96|444444&amp;v=4080090:4080606&amp;c=444444", "offset 22")</f>
        <v>offset 22</v>
      </c>
    </row>
    <row r="14441" customFormat="false" ht="12.8" hidden="false" customHeight="false" outlineLevel="0" collapsed="false">
      <c r="A14441" s="0" t="s">
        <v>12</v>
      </c>
      <c r="B14441" s="0" t="n">
        <v>4080356</v>
      </c>
      <c r="C14441" s="0" t="n">
        <v>4080376</v>
      </c>
      <c r="D14441" s="0" t="s">
        <v>48116</v>
      </c>
      <c r="E14441" s="0" t="s">
        <v>89</v>
      </c>
      <c r="F14441" s="0" t="s">
        <v>15</v>
      </c>
      <c r="G14441" s="0" t="s">
        <v>16</v>
      </c>
      <c r="H14441" s="0" t="n">
        <v>66</v>
      </c>
      <c r="I14441" s="0" t="s">
        <v>48123</v>
      </c>
      <c r="J14441" s="0" t="s">
        <v>48124</v>
      </c>
      <c r="K14441" s="0" t="s">
        <v>48125</v>
      </c>
      <c r="L14441" s="0" t="str">
        <f aca="false">HYPERLINK("https://www.ncbi.nlm.nih.gov/nuccore/CP000304.1?report=graph&amp;tracks=[key:gene_model_track,Options:GeneOnly]&amp;mk=4080291:4080310|offset_0|444444,4080313:4080332|offset_22|444444,4080357:4080376|offset_66|00cc00,4080387:4080406|offset_96|444444&amp;v=4080090:4080606&amp;c=444444", "offset 66")</f>
        <v>offset 66</v>
      </c>
    </row>
    <row r="14442" customFormat="false" ht="12.8" hidden="false" customHeight="false" outlineLevel="0" collapsed="false">
      <c r="A14442" s="0" t="s">
        <v>12</v>
      </c>
      <c r="B14442" s="0" t="n">
        <v>4080386</v>
      </c>
      <c r="C14442" s="0" t="n">
        <v>4080406</v>
      </c>
      <c r="D14442" s="0" t="s">
        <v>48116</v>
      </c>
      <c r="E14442" s="0" t="s">
        <v>89</v>
      </c>
      <c r="F14442" s="0" t="s">
        <v>15</v>
      </c>
      <c r="G14442" s="0" t="s">
        <v>32</v>
      </c>
      <c r="H14442" s="0" t="n">
        <v>96</v>
      </c>
      <c r="I14442" s="0" t="s">
        <v>48126</v>
      </c>
      <c r="J14442" s="0" t="s">
        <v>48127</v>
      </c>
      <c r="K14442" s="0" t="s">
        <v>48128</v>
      </c>
      <c r="L14442" s="0" t="str">
        <f aca="false">HYPERLINK("https://www.ncbi.nlm.nih.gov/nuccore/CP000304.1?report=graph&amp;tracks=[key:gene_model_track,Options:GeneOnly]&amp;mk=4080291:4080310|offset_0|444444,4080313:4080332|offset_22|444444,4080357:4080376|offset_66|444444,4080387:4080406|offset_96|00cc00&amp;v=4080090:4080606&amp;c=444444", "offset 96")</f>
        <v>offset 96</v>
      </c>
    </row>
    <row r="14443" customFormat="false" ht="12.8" hidden="false" customHeight="false" outlineLevel="0" collapsed="false">
      <c r="A14443" s="0" t="s">
        <v>12</v>
      </c>
      <c r="B14443" s="0" t="n">
        <v>4080530</v>
      </c>
      <c r="C14443" s="0" t="n">
        <v>4080550</v>
      </c>
      <c r="D14443" s="0" t="s">
        <v>48129</v>
      </c>
      <c r="E14443" s="0" t="s">
        <v>89</v>
      </c>
      <c r="F14443" s="0" t="s">
        <v>15</v>
      </c>
      <c r="G14443" s="0" t="s">
        <v>16</v>
      </c>
      <c r="H14443" s="0" t="n">
        <v>19</v>
      </c>
      <c r="I14443" s="0" t="s">
        <v>48130</v>
      </c>
      <c r="J14443" s="0" t="s">
        <v>48131</v>
      </c>
      <c r="K14443" s="0" t="s">
        <v>48132</v>
      </c>
      <c r="L14443" s="0" t="str">
        <f aca="false">HYPERLINK("https://www.ncbi.nlm.nih.gov/nuccore/CP000304.1?report=graph&amp;tracks=[key:gene_model_track,Options:GeneOnly]&amp;mk=4080531:4080550|offset_19|00cc00,4080567:4080586|offset_55|444444,4080603:4080622|offset_91|444444,4080636:4080655|offset_124|444444&amp;v=4080330:4080855&amp;c=444444", "offset 19")</f>
        <v>offset 19</v>
      </c>
    </row>
    <row r="14444" customFormat="false" ht="12.8" hidden="false" customHeight="false" outlineLevel="0" collapsed="false">
      <c r="A14444" s="0" t="s">
        <v>12</v>
      </c>
      <c r="B14444" s="0" t="n">
        <v>4080566</v>
      </c>
      <c r="C14444" s="0" t="n">
        <v>4080586</v>
      </c>
      <c r="D14444" s="0" t="s">
        <v>48129</v>
      </c>
      <c r="E14444" s="0" t="s">
        <v>89</v>
      </c>
      <c r="F14444" s="0" t="s">
        <v>15</v>
      </c>
      <c r="G14444" s="0" t="s">
        <v>26</v>
      </c>
      <c r="H14444" s="0" t="n">
        <v>55</v>
      </c>
      <c r="I14444" s="0" t="s">
        <v>48133</v>
      </c>
      <c r="J14444" s="0" t="s">
        <v>48134</v>
      </c>
      <c r="K14444" s="0" t="s">
        <v>48135</v>
      </c>
      <c r="L14444" s="0" t="str">
        <f aca="false">HYPERLINK("https://www.ncbi.nlm.nih.gov/nuccore/CP000304.1?report=graph&amp;tracks=[key:gene_model_track,Options:GeneOnly]&amp;mk=4080531:4080550|offset_19|444444,4080567:4080586|offset_55|00cc00,4080603:4080622|offset_91|444444,4080636:4080655|offset_124|444444&amp;v=4080330:4080855&amp;c=444444", "offset 55")</f>
        <v>offset 55</v>
      </c>
    </row>
    <row r="14445" customFormat="false" ht="12.8" hidden="false" customHeight="false" outlineLevel="0" collapsed="false">
      <c r="A14445" s="0" t="s">
        <v>12</v>
      </c>
      <c r="B14445" s="0" t="n">
        <v>4080602</v>
      </c>
      <c r="C14445" s="0" t="n">
        <v>4080622</v>
      </c>
      <c r="D14445" s="0" t="s">
        <v>48129</v>
      </c>
      <c r="E14445" s="0" t="s">
        <v>89</v>
      </c>
      <c r="F14445" s="0" t="s">
        <v>15</v>
      </c>
      <c r="G14445" s="0" t="s">
        <v>16</v>
      </c>
      <c r="H14445" s="0" t="n">
        <v>91</v>
      </c>
      <c r="I14445" s="0" t="s">
        <v>48136</v>
      </c>
      <c r="J14445" s="0" t="s">
        <v>48137</v>
      </c>
      <c r="K14445" s="0" t="s">
        <v>48138</v>
      </c>
      <c r="L14445" s="0" t="str">
        <f aca="false">HYPERLINK("https://www.ncbi.nlm.nih.gov/nuccore/CP000304.1?report=graph&amp;tracks=[key:gene_model_track,Options:GeneOnly]&amp;mk=4080531:4080550|offset_19|444444,4080567:4080586|offset_55|444444,4080603:4080622|offset_91|00cc00,4080636:4080655|offset_124|444444&amp;v=4080330:4080855&amp;c=444444", "offset 91")</f>
        <v>offset 91</v>
      </c>
    </row>
    <row r="14446" customFormat="false" ht="12.8" hidden="false" customHeight="false" outlineLevel="0" collapsed="false">
      <c r="A14446" s="0" t="s">
        <v>12</v>
      </c>
      <c r="B14446" s="0" t="n">
        <v>4080635</v>
      </c>
      <c r="C14446" s="0" t="n">
        <v>4080655</v>
      </c>
      <c r="D14446" s="0" t="s">
        <v>48129</v>
      </c>
      <c r="E14446" s="0" t="s">
        <v>89</v>
      </c>
      <c r="F14446" s="0" t="s">
        <v>15</v>
      </c>
      <c r="G14446" s="0" t="s">
        <v>16</v>
      </c>
      <c r="H14446" s="0" t="n">
        <v>124</v>
      </c>
      <c r="I14446" s="0" t="s">
        <v>48139</v>
      </c>
      <c r="J14446" s="0" t="s">
        <v>48140</v>
      </c>
      <c r="K14446" s="0" t="s">
        <v>48141</v>
      </c>
      <c r="L14446" s="0" t="str">
        <f aca="false">HYPERLINK("https://www.ncbi.nlm.nih.gov/nuccore/CP000304.1?report=graph&amp;tracks=[key:gene_model_track,Options:GeneOnly]&amp;mk=4080531:4080550|offset_19|444444,4080567:4080586|offset_55|444444,4080603:4080622|offset_91|444444,4080636:4080655|offset_124|00cc00&amp;v=4080330:4080855&amp;c=444444", "offset 124")</f>
        <v>offset 124</v>
      </c>
    </row>
    <row r="14447" customFormat="false" ht="12.8" hidden="false" customHeight="false" outlineLevel="0" collapsed="false">
      <c r="A14447" s="0" t="s">
        <v>12</v>
      </c>
      <c r="B14447" s="0" t="n">
        <v>4082287</v>
      </c>
      <c r="C14447" s="0" t="n">
        <v>4082307</v>
      </c>
      <c r="D14447" s="0" t="s">
        <v>48142</v>
      </c>
      <c r="E14447" s="0" t="s">
        <v>89</v>
      </c>
      <c r="F14447" s="0" t="s">
        <v>90</v>
      </c>
      <c r="G14447" s="0" t="s">
        <v>32</v>
      </c>
      <c r="H14447" s="0" t="n">
        <v>29</v>
      </c>
      <c r="I14447" s="0" t="s">
        <v>48143</v>
      </c>
      <c r="J14447" s="0" t="s">
        <v>48144</v>
      </c>
      <c r="K14447" s="0" t="s">
        <v>48145</v>
      </c>
      <c r="L14447" s="0" t="str">
        <f aca="false">HYPERLINK("https://www.ncbi.nlm.nih.gov/nuccore/CP000304.1?report=graph&amp;tracks=[key:gene_model_track,Options:GeneOnly]&amp;mk=4082288:4082307|offset_29|00cc00,4082251:4082270|offset_66|444444,4082217:4082236|offset_100|444444,4082189:4082208|offset_128|444444&amp;v=4082087:4082408&amp;c=444444", "offset 29")</f>
        <v>offset 29</v>
      </c>
    </row>
    <row r="14448" customFormat="false" ht="12.8" hidden="false" customHeight="false" outlineLevel="0" collapsed="false">
      <c r="A14448" s="0" t="s">
        <v>12</v>
      </c>
      <c r="B14448" s="0" t="n">
        <v>4082250</v>
      </c>
      <c r="C14448" s="0" t="n">
        <v>4082270</v>
      </c>
      <c r="D14448" s="0" t="s">
        <v>48142</v>
      </c>
      <c r="E14448" s="0" t="s">
        <v>89</v>
      </c>
      <c r="F14448" s="0" t="s">
        <v>90</v>
      </c>
      <c r="G14448" s="0" t="s">
        <v>36</v>
      </c>
      <c r="H14448" s="0" t="n">
        <v>66</v>
      </c>
      <c r="I14448" s="0" t="s">
        <v>48146</v>
      </c>
      <c r="J14448" s="0" t="s">
        <v>48147</v>
      </c>
      <c r="K14448" s="0" t="s">
        <v>48148</v>
      </c>
      <c r="L14448" s="0" t="str">
        <f aca="false">HYPERLINK("https://www.ncbi.nlm.nih.gov/nuccore/CP000304.1?report=graph&amp;tracks=[key:gene_model_track,Options:GeneOnly]&amp;mk=4082288:4082307|offset_29|444444,4082251:4082270|offset_66|00cc00,4082217:4082236|offset_100|444444,4082189:4082208|offset_128|444444&amp;v=4082087:4082408&amp;c=444444", "offset 66")</f>
        <v>offset 66</v>
      </c>
    </row>
    <row r="14449" customFormat="false" ht="12.8" hidden="false" customHeight="false" outlineLevel="0" collapsed="false">
      <c r="A14449" s="0" t="s">
        <v>12</v>
      </c>
      <c r="B14449" s="0" t="n">
        <v>4082216</v>
      </c>
      <c r="C14449" s="0" t="n">
        <v>4082236</v>
      </c>
      <c r="D14449" s="0" t="s">
        <v>48142</v>
      </c>
      <c r="E14449" s="0" t="s">
        <v>89</v>
      </c>
      <c r="F14449" s="0" t="s">
        <v>90</v>
      </c>
      <c r="G14449" s="0" t="s">
        <v>16</v>
      </c>
      <c r="H14449" s="0" t="n">
        <v>100</v>
      </c>
      <c r="I14449" s="0" t="s">
        <v>48149</v>
      </c>
      <c r="J14449" s="0" t="s">
        <v>48150</v>
      </c>
      <c r="K14449" s="0" t="s">
        <v>48151</v>
      </c>
      <c r="L14449" s="0" t="str">
        <f aca="false">HYPERLINK("https://www.ncbi.nlm.nih.gov/nuccore/CP000304.1?report=graph&amp;tracks=[key:gene_model_track,Options:GeneOnly]&amp;mk=4082288:4082307|offset_29|444444,4082251:4082270|offset_66|444444,4082217:4082236|offset_100|00cc00,4082189:4082208|offset_128|444444&amp;v=4082087:4082408&amp;c=444444", "offset 100")</f>
        <v>offset 100</v>
      </c>
    </row>
    <row r="14450" customFormat="false" ht="12.8" hidden="false" customHeight="false" outlineLevel="0" collapsed="false">
      <c r="A14450" s="0" t="s">
        <v>12</v>
      </c>
      <c r="B14450" s="0" t="n">
        <v>4082188</v>
      </c>
      <c r="C14450" s="0" t="n">
        <v>4082208</v>
      </c>
      <c r="D14450" s="0" t="s">
        <v>48142</v>
      </c>
      <c r="E14450" s="0" t="s">
        <v>89</v>
      </c>
      <c r="F14450" s="0" t="s">
        <v>90</v>
      </c>
      <c r="G14450" s="0" t="s">
        <v>16</v>
      </c>
      <c r="H14450" s="0" t="n">
        <v>128</v>
      </c>
      <c r="I14450" s="0" t="s">
        <v>48152</v>
      </c>
      <c r="J14450" s="0" t="s">
        <v>48153</v>
      </c>
      <c r="K14450" s="0" t="s">
        <v>48154</v>
      </c>
      <c r="L14450" s="0" t="str">
        <f aca="false">HYPERLINK("https://www.ncbi.nlm.nih.gov/nuccore/CP000304.1?report=graph&amp;tracks=[key:gene_model_track,Options:GeneOnly]&amp;mk=4082288:4082307|offset_29|444444,4082251:4082270|offset_66|444444,4082217:4082236|offset_100|444444,4082189:4082208|offset_128|00cc00&amp;v=4082087:4082408&amp;c=444444", "offset 128")</f>
        <v>offset 128</v>
      </c>
    </row>
    <row r="14451" customFormat="false" ht="12.8" hidden="false" customHeight="false" outlineLevel="0" collapsed="false">
      <c r="A14451" s="0" t="s">
        <v>12</v>
      </c>
      <c r="B14451" s="0" t="n">
        <v>4083408</v>
      </c>
      <c r="C14451" s="0" t="n">
        <v>4083428</v>
      </c>
      <c r="D14451" s="0" t="s">
        <v>48155</v>
      </c>
      <c r="E14451" s="0" t="s">
        <v>48156</v>
      </c>
      <c r="F14451" s="0" t="s">
        <v>90</v>
      </c>
      <c r="G14451" s="0" t="s">
        <v>36</v>
      </c>
      <c r="H14451" s="0" t="n">
        <v>32</v>
      </c>
      <c r="I14451" s="0" t="s">
        <v>48157</v>
      </c>
      <c r="J14451" s="0" t="s">
        <v>48158</v>
      </c>
      <c r="K14451" s="0" t="s">
        <v>48159</v>
      </c>
      <c r="L14451" s="0" t="str">
        <f aca="false">HYPERLINK("https://www.ncbi.nlm.nih.gov/nuccore/CP000304.1?report=graph&amp;tracks=[key:gene_model_track,Options:GeneOnly]&amp;mk=4083409:4083428|offset_32|00cc00,4083371:4083390|offset_70|444444,4083351:4083370|offset_90|444444,4083321:4083340|offset_120|444444&amp;v=4083208:4083540&amp;c=444444", "offset 32")</f>
        <v>offset 32</v>
      </c>
    </row>
    <row r="14452" customFormat="false" ht="12.8" hidden="false" customHeight="false" outlineLevel="0" collapsed="false">
      <c r="A14452" s="0" t="s">
        <v>12</v>
      </c>
      <c r="B14452" s="0" t="n">
        <v>4083370</v>
      </c>
      <c r="C14452" s="0" t="n">
        <v>4083390</v>
      </c>
      <c r="D14452" s="0" t="s">
        <v>48155</v>
      </c>
      <c r="E14452" s="0" t="s">
        <v>48156</v>
      </c>
      <c r="F14452" s="0" t="s">
        <v>90</v>
      </c>
      <c r="G14452" s="0" t="s">
        <v>16</v>
      </c>
      <c r="H14452" s="0" t="n">
        <v>70</v>
      </c>
      <c r="I14452" s="0" t="s">
        <v>48160</v>
      </c>
      <c r="J14452" s="0" t="s">
        <v>48161</v>
      </c>
      <c r="K14452" s="0" t="s">
        <v>48162</v>
      </c>
      <c r="L14452" s="0" t="str">
        <f aca="false">HYPERLINK("https://www.ncbi.nlm.nih.gov/nuccore/CP000304.1?report=graph&amp;tracks=[key:gene_model_track,Options:GeneOnly]&amp;mk=4083409:4083428|offset_32|444444,4083371:4083390|offset_70|00cc00,4083351:4083370|offset_90|444444,4083321:4083340|offset_120|444444&amp;v=4083208:4083540&amp;c=444444", "offset 70")</f>
        <v>offset 70</v>
      </c>
    </row>
    <row r="14453" customFormat="false" ht="12.8" hidden="false" customHeight="false" outlineLevel="0" collapsed="false">
      <c r="A14453" s="0" t="s">
        <v>12</v>
      </c>
      <c r="B14453" s="0" t="n">
        <v>4083350</v>
      </c>
      <c r="C14453" s="0" t="n">
        <v>4083370</v>
      </c>
      <c r="D14453" s="0" t="s">
        <v>48155</v>
      </c>
      <c r="E14453" s="0" t="s">
        <v>48156</v>
      </c>
      <c r="F14453" s="0" t="s">
        <v>90</v>
      </c>
      <c r="G14453" s="0" t="s">
        <v>16</v>
      </c>
      <c r="H14453" s="0" t="n">
        <v>90</v>
      </c>
      <c r="I14453" s="0" t="s">
        <v>48163</v>
      </c>
      <c r="J14453" s="0" t="s">
        <v>48164</v>
      </c>
      <c r="K14453" s="0" t="s">
        <v>48165</v>
      </c>
      <c r="L14453" s="0" t="str">
        <f aca="false">HYPERLINK("https://www.ncbi.nlm.nih.gov/nuccore/CP000304.1?report=graph&amp;tracks=[key:gene_model_track,Options:GeneOnly]&amp;mk=4083409:4083428|offset_32|444444,4083371:4083390|offset_70|444444,4083351:4083370|offset_90|00cc00,4083321:4083340|offset_120|444444&amp;v=4083208:4083540&amp;c=444444", "offset 90")</f>
        <v>offset 90</v>
      </c>
    </row>
    <row r="14454" customFormat="false" ht="12.8" hidden="false" customHeight="false" outlineLevel="0" collapsed="false">
      <c r="A14454" s="0" t="s">
        <v>12</v>
      </c>
      <c r="B14454" s="0" t="n">
        <v>4083320</v>
      </c>
      <c r="C14454" s="0" t="n">
        <v>4083340</v>
      </c>
      <c r="D14454" s="0" t="s">
        <v>48155</v>
      </c>
      <c r="E14454" s="0" t="s">
        <v>48156</v>
      </c>
      <c r="F14454" s="0" t="s">
        <v>90</v>
      </c>
      <c r="G14454" s="0" t="s">
        <v>16</v>
      </c>
      <c r="H14454" s="0" t="n">
        <v>120</v>
      </c>
      <c r="I14454" s="0" t="s">
        <v>48166</v>
      </c>
      <c r="J14454" s="0" t="s">
        <v>48167</v>
      </c>
      <c r="K14454" s="0" t="s">
        <v>48168</v>
      </c>
      <c r="L14454" s="0" t="str">
        <f aca="false">HYPERLINK("https://www.ncbi.nlm.nih.gov/nuccore/CP000304.1?report=graph&amp;tracks=[key:gene_model_track,Options:GeneOnly]&amp;mk=4083409:4083428|offset_32|444444,4083371:4083390|offset_70|444444,4083351:4083370|offset_90|444444,4083321:4083340|offset_120|00cc00&amp;v=4083208:4083540&amp;c=444444", "offset 120")</f>
        <v>offset 120</v>
      </c>
    </row>
    <row r="14455" customFormat="false" ht="12.8" hidden="false" customHeight="false" outlineLevel="0" collapsed="false">
      <c r="A14455" s="0" t="s">
        <v>12</v>
      </c>
      <c r="B14455" s="0" t="n">
        <v>4084082</v>
      </c>
      <c r="C14455" s="0" t="n">
        <v>4084102</v>
      </c>
      <c r="D14455" s="0" t="s">
        <v>48169</v>
      </c>
      <c r="E14455" s="0" t="s">
        <v>48170</v>
      </c>
      <c r="F14455" s="0" t="s">
        <v>90</v>
      </c>
      <c r="G14455" s="0" t="s">
        <v>36</v>
      </c>
      <c r="H14455" s="0" t="n">
        <v>10</v>
      </c>
      <c r="I14455" s="0" t="s">
        <v>48171</v>
      </c>
      <c r="J14455" s="0" t="s">
        <v>48172</v>
      </c>
      <c r="K14455" s="0" t="s">
        <v>48173</v>
      </c>
      <c r="L14455" s="0" t="str">
        <f aca="false">HYPERLINK("https://www.ncbi.nlm.nih.gov/nuccore/CP000304.1?report=graph&amp;tracks=[key:gene_model_track,Options:GeneOnly]&amp;mk=4084083:4084102|offset_10|00cc00,4084035:4084054|offset_58|444444,4084011:4084030|offset_82|444444,4083961:4083980|offset_132|444444&amp;v=4083882:4084180&amp;c=444444", "offset 10")</f>
        <v>offset 10</v>
      </c>
    </row>
    <row r="14456" customFormat="false" ht="12.8" hidden="false" customHeight="false" outlineLevel="0" collapsed="false">
      <c r="A14456" s="0" t="s">
        <v>12</v>
      </c>
      <c r="B14456" s="0" t="n">
        <v>4084034</v>
      </c>
      <c r="C14456" s="0" t="n">
        <v>4084054</v>
      </c>
      <c r="D14456" s="0" t="s">
        <v>48169</v>
      </c>
      <c r="E14456" s="0" t="s">
        <v>48170</v>
      </c>
      <c r="F14456" s="0" t="s">
        <v>90</v>
      </c>
      <c r="G14456" s="0" t="s">
        <v>26</v>
      </c>
      <c r="H14456" s="0" t="n">
        <v>58</v>
      </c>
      <c r="I14456" s="0" t="s">
        <v>48174</v>
      </c>
      <c r="J14456" s="0" t="s">
        <v>48175</v>
      </c>
      <c r="K14456" s="0" t="s">
        <v>48176</v>
      </c>
      <c r="L14456" s="0" t="str">
        <f aca="false">HYPERLINK("https://www.ncbi.nlm.nih.gov/nuccore/CP000304.1?report=graph&amp;tracks=[key:gene_model_track,Options:GeneOnly]&amp;mk=4084083:4084102|offset_10|444444,4084035:4084054|offset_58|00cc00,4084011:4084030|offset_82|444444,4083961:4083980|offset_132|444444&amp;v=4083882:4084180&amp;c=444444", "offset 58")</f>
        <v>offset 58</v>
      </c>
    </row>
    <row r="14457" customFormat="false" ht="12.8" hidden="false" customHeight="false" outlineLevel="0" collapsed="false">
      <c r="A14457" s="0" t="s">
        <v>12</v>
      </c>
      <c r="B14457" s="0" t="n">
        <v>4084010</v>
      </c>
      <c r="C14457" s="0" t="n">
        <v>4084030</v>
      </c>
      <c r="D14457" s="0" t="s">
        <v>48169</v>
      </c>
      <c r="E14457" s="0" t="s">
        <v>48170</v>
      </c>
      <c r="F14457" s="0" t="s">
        <v>90</v>
      </c>
      <c r="G14457" s="0" t="s">
        <v>32</v>
      </c>
      <c r="H14457" s="0" t="n">
        <v>82</v>
      </c>
      <c r="I14457" s="0" t="s">
        <v>48177</v>
      </c>
      <c r="J14457" s="0" t="s">
        <v>48178</v>
      </c>
      <c r="K14457" s="0" t="s">
        <v>48179</v>
      </c>
      <c r="L14457" s="0" t="str">
        <f aca="false">HYPERLINK("https://www.ncbi.nlm.nih.gov/nuccore/CP000304.1?report=graph&amp;tracks=[key:gene_model_track,Options:GeneOnly]&amp;mk=4084083:4084102|offset_10|444444,4084035:4084054|offset_58|444444,4084011:4084030|offset_82|00cc00,4083961:4083980|offset_132|444444&amp;v=4083882:4084180&amp;c=444444", "offset 82")</f>
        <v>offset 82</v>
      </c>
    </row>
    <row r="14458" customFormat="false" ht="12.8" hidden="false" customHeight="false" outlineLevel="0" collapsed="false">
      <c r="A14458" s="0" t="s">
        <v>12</v>
      </c>
      <c r="B14458" s="0" t="n">
        <v>4083960</v>
      </c>
      <c r="C14458" s="0" t="n">
        <v>4083980</v>
      </c>
      <c r="D14458" s="0" t="s">
        <v>48169</v>
      </c>
      <c r="E14458" s="0" t="s">
        <v>48170</v>
      </c>
      <c r="F14458" s="0" t="s">
        <v>90</v>
      </c>
      <c r="G14458" s="0" t="s">
        <v>16</v>
      </c>
      <c r="H14458" s="0" t="n">
        <v>132</v>
      </c>
      <c r="I14458" s="0" t="s">
        <v>48180</v>
      </c>
      <c r="J14458" s="0" t="s">
        <v>48181</v>
      </c>
      <c r="K14458" s="0" t="s">
        <v>48182</v>
      </c>
      <c r="L14458" s="0" t="str">
        <f aca="false">HYPERLINK("https://www.ncbi.nlm.nih.gov/nuccore/CP000304.1?report=graph&amp;tracks=[key:gene_model_track,Options:GeneOnly]&amp;mk=4084083:4084102|offset_10|444444,4084035:4084054|offset_58|444444,4084011:4084030|offset_82|444444,4083961:4083980|offset_132|00cc00&amp;v=4083882:4084180&amp;c=444444", "offset 132")</f>
        <v>offset 132</v>
      </c>
    </row>
    <row r="14459" customFormat="false" ht="12.8" hidden="false" customHeight="false" outlineLevel="0" collapsed="false">
      <c r="A14459" s="0" t="s">
        <v>12</v>
      </c>
      <c r="B14459" s="0" t="n">
        <v>4084372</v>
      </c>
      <c r="C14459" s="0" t="n">
        <v>4084392</v>
      </c>
      <c r="D14459" s="0" t="s">
        <v>48183</v>
      </c>
      <c r="E14459" s="0" t="s">
        <v>89</v>
      </c>
      <c r="F14459" s="0" t="s">
        <v>90</v>
      </c>
      <c r="G14459" s="0" t="s">
        <v>32</v>
      </c>
      <c r="H14459" s="0" t="n">
        <v>1</v>
      </c>
      <c r="I14459" s="0" t="s">
        <v>48184</v>
      </c>
      <c r="J14459" s="0" t="s">
        <v>48185</v>
      </c>
      <c r="K14459" s="0" t="s">
        <v>48186</v>
      </c>
      <c r="L14459" s="0" t="str">
        <f aca="false">HYPERLINK("https://www.ncbi.nlm.nih.gov/nuccore/CP000304.1?report=graph&amp;tracks=[key:gene_model_track,Options:GeneOnly]&amp;mk=4084373:4084392|offset_1|00cc00,4084341:4084360|offset_33|444444,4084311:4084330|offset_63|444444,4084289:4084308|offset_85|444444&amp;v=4084172:4084508&amp;c=444444", "offset 1")</f>
        <v>offset 1</v>
      </c>
    </row>
    <row r="14460" customFormat="false" ht="12.8" hidden="false" customHeight="false" outlineLevel="0" collapsed="false">
      <c r="A14460" s="0" t="s">
        <v>12</v>
      </c>
      <c r="B14460" s="0" t="n">
        <v>4084340</v>
      </c>
      <c r="C14460" s="0" t="n">
        <v>4084360</v>
      </c>
      <c r="D14460" s="0" t="s">
        <v>48183</v>
      </c>
      <c r="E14460" s="0" t="s">
        <v>89</v>
      </c>
      <c r="F14460" s="0" t="s">
        <v>90</v>
      </c>
      <c r="G14460" s="0" t="s">
        <v>36</v>
      </c>
      <c r="H14460" s="0" t="n">
        <v>33</v>
      </c>
      <c r="I14460" s="0" t="s">
        <v>48187</v>
      </c>
      <c r="J14460" s="0" t="s">
        <v>48188</v>
      </c>
      <c r="K14460" s="0" t="s">
        <v>48189</v>
      </c>
      <c r="L14460" s="0" t="str">
        <f aca="false">HYPERLINK("https://www.ncbi.nlm.nih.gov/nuccore/CP000304.1?report=graph&amp;tracks=[key:gene_model_track,Options:GeneOnly]&amp;mk=4084373:4084392|offset_1|444444,4084341:4084360|offset_33|00cc00,4084311:4084330|offset_63|444444,4084289:4084308|offset_85|444444&amp;v=4084172:4084508&amp;c=444444", "offset 33")</f>
        <v>offset 33</v>
      </c>
    </row>
    <row r="14461" customFormat="false" ht="12.8" hidden="false" customHeight="false" outlineLevel="0" collapsed="false">
      <c r="A14461" s="0" t="s">
        <v>12</v>
      </c>
      <c r="B14461" s="0" t="n">
        <v>4084310</v>
      </c>
      <c r="C14461" s="0" t="n">
        <v>4084330</v>
      </c>
      <c r="D14461" s="0" t="s">
        <v>48183</v>
      </c>
      <c r="E14461" s="0" t="s">
        <v>89</v>
      </c>
      <c r="F14461" s="0" t="s">
        <v>90</v>
      </c>
      <c r="G14461" s="0" t="s">
        <v>16</v>
      </c>
      <c r="H14461" s="0" t="n">
        <v>63</v>
      </c>
      <c r="I14461" s="0" t="s">
        <v>48190</v>
      </c>
      <c r="J14461" s="0" t="s">
        <v>48191</v>
      </c>
      <c r="K14461" s="0" t="s">
        <v>48192</v>
      </c>
      <c r="L14461" s="0" t="str">
        <f aca="false">HYPERLINK("https://www.ncbi.nlm.nih.gov/nuccore/CP000304.1?report=graph&amp;tracks=[key:gene_model_track,Options:GeneOnly]&amp;mk=4084373:4084392|offset_1|444444,4084341:4084360|offset_33|444444,4084311:4084330|offset_63|00cc00,4084289:4084308|offset_85|444444&amp;v=4084172:4084508&amp;c=444444", "offset 63")</f>
        <v>offset 63</v>
      </c>
    </row>
    <row r="14462" customFormat="false" ht="12.8" hidden="false" customHeight="false" outlineLevel="0" collapsed="false">
      <c r="A14462" s="0" t="s">
        <v>12</v>
      </c>
      <c r="B14462" s="0" t="n">
        <v>4084288</v>
      </c>
      <c r="C14462" s="0" t="n">
        <v>4084308</v>
      </c>
      <c r="D14462" s="0" t="s">
        <v>48183</v>
      </c>
      <c r="E14462" s="0" t="s">
        <v>89</v>
      </c>
      <c r="F14462" s="0" t="s">
        <v>90</v>
      </c>
      <c r="G14462" s="0" t="s">
        <v>16</v>
      </c>
      <c r="H14462" s="0" t="n">
        <v>85</v>
      </c>
      <c r="I14462" s="0" t="s">
        <v>48193</v>
      </c>
      <c r="J14462" s="0" t="s">
        <v>48194</v>
      </c>
      <c r="K14462" s="0" t="s">
        <v>48195</v>
      </c>
      <c r="L14462" s="0" t="str">
        <f aca="false">HYPERLINK("https://www.ncbi.nlm.nih.gov/nuccore/CP000304.1?report=graph&amp;tracks=[key:gene_model_track,Options:GeneOnly]&amp;mk=4084373:4084392|offset_1|444444,4084341:4084360|offset_33|444444,4084311:4084330|offset_63|444444,4084289:4084308|offset_85|00cc00&amp;v=4084172:4084508&amp;c=444444", "offset 85")</f>
        <v>offset 85</v>
      </c>
    </row>
    <row r="14463" customFormat="false" ht="12.8" hidden="false" customHeight="false" outlineLevel="0" collapsed="false">
      <c r="A14463" s="0" t="s">
        <v>12</v>
      </c>
      <c r="B14463" s="0" t="n">
        <v>4085584</v>
      </c>
      <c r="C14463" s="0" t="n">
        <v>4085604</v>
      </c>
      <c r="D14463" s="0" t="s">
        <v>48196</v>
      </c>
      <c r="E14463" s="0" t="s">
        <v>48197</v>
      </c>
      <c r="F14463" s="0" t="s">
        <v>90</v>
      </c>
      <c r="G14463" s="0" t="s">
        <v>32</v>
      </c>
      <c r="H14463" s="0" t="n">
        <v>13</v>
      </c>
      <c r="I14463" s="0" t="s">
        <v>48198</v>
      </c>
      <c r="J14463" s="0" t="s">
        <v>48199</v>
      </c>
      <c r="K14463" s="0" t="s">
        <v>48200</v>
      </c>
      <c r="L14463" s="0" t="str">
        <f aca="false">HYPERLINK("https://www.ncbi.nlm.nih.gov/nuccore/CP000304.1?report=graph&amp;tracks=[key:gene_model_track,Options:GeneOnly]&amp;mk=4085585:4085604|offset_13|00cc00,4085560:4085579|offset_38|444444,4085538:4085557|offset_60|444444,4085515:4085534|offset_83|444444&amp;v=4085384:4085734&amp;c=444444", "offset 13")</f>
        <v>offset 13</v>
      </c>
    </row>
    <row r="14464" customFormat="false" ht="12.8" hidden="false" customHeight="false" outlineLevel="0" collapsed="false">
      <c r="A14464" s="0" t="s">
        <v>12</v>
      </c>
      <c r="B14464" s="0" t="n">
        <v>4085559</v>
      </c>
      <c r="C14464" s="0" t="n">
        <v>4085579</v>
      </c>
      <c r="D14464" s="0" t="s">
        <v>48196</v>
      </c>
      <c r="E14464" s="0" t="s">
        <v>48197</v>
      </c>
      <c r="F14464" s="0" t="s">
        <v>90</v>
      </c>
      <c r="G14464" s="0" t="s">
        <v>26</v>
      </c>
      <c r="H14464" s="0" t="n">
        <v>38</v>
      </c>
      <c r="I14464" s="0" t="s">
        <v>48201</v>
      </c>
      <c r="J14464" s="0" t="s">
        <v>48202</v>
      </c>
      <c r="K14464" s="0" t="s">
        <v>48203</v>
      </c>
      <c r="L14464" s="0" t="str">
        <f aca="false">HYPERLINK("https://www.ncbi.nlm.nih.gov/nuccore/CP000304.1?report=graph&amp;tracks=[key:gene_model_track,Options:GeneOnly]&amp;mk=4085585:4085604|offset_13|444444,4085560:4085579|offset_38|00cc00,4085538:4085557|offset_60|444444,4085515:4085534|offset_83|444444&amp;v=4085384:4085734&amp;c=444444", "offset 38")</f>
        <v>offset 38</v>
      </c>
    </row>
    <row r="14465" customFormat="false" ht="12.8" hidden="false" customHeight="false" outlineLevel="0" collapsed="false">
      <c r="A14465" s="0" t="s">
        <v>12</v>
      </c>
      <c r="B14465" s="0" t="n">
        <v>4085537</v>
      </c>
      <c r="C14465" s="0" t="n">
        <v>4085557</v>
      </c>
      <c r="D14465" s="0" t="s">
        <v>48196</v>
      </c>
      <c r="E14465" s="0" t="s">
        <v>48197</v>
      </c>
      <c r="F14465" s="0" t="s">
        <v>90</v>
      </c>
      <c r="G14465" s="0" t="s">
        <v>16</v>
      </c>
      <c r="H14465" s="0" t="n">
        <v>60</v>
      </c>
      <c r="I14465" s="0" t="s">
        <v>48204</v>
      </c>
      <c r="J14465" s="0" t="s">
        <v>48205</v>
      </c>
      <c r="K14465" s="0" t="s">
        <v>48206</v>
      </c>
      <c r="L14465" s="0" t="str">
        <f aca="false">HYPERLINK("https://www.ncbi.nlm.nih.gov/nuccore/CP000304.1?report=graph&amp;tracks=[key:gene_model_track,Options:GeneOnly]&amp;mk=4085585:4085604|offset_13|444444,4085560:4085579|offset_38|444444,4085538:4085557|offset_60|00cc00,4085515:4085534|offset_83|444444&amp;v=4085384:4085734&amp;c=444444", "offset 60")</f>
        <v>offset 60</v>
      </c>
    </row>
    <row r="14466" customFormat="false" ht="12.8" hidden="false" customHeight="false" outlineLevel="0" collapsed="false">
      <c r="A14466" s="0" t="s">
        <v>12</v>
      </c>
      <c r="B14466" s="0" t="n">
        <v>4085514</v>
      </c>
      <c r="C14466" s="0" t="n">
        <v>4085534</v>
      </c>
      <c r="D14466" s="0" t="s">
        <v>48196</v>
      </c>
      <c r="E14466" s="0" t="s">
        <v>48197</v>
      </c>
      <c r="F14466" s="0" t="s">
        <v>90</v>
      </c>
      <c r="G14466" s="0" t="s">
        <v>26</v>
      </c>
      <c r="H14466" s="0" t="n">
        <v>83</v>
      </c>
      <c r="I14466" s="0" t="s">
        <v>48207</v>
      </c>
      <c r="J14466" s="0" t="s">
        <v>48208</v>
      </c>
      <c r="K14466" s="0" t="s">
        <v>48209</v>
      </c>
      <c r="L14466" s="0" t="str">
        <f aca="false">HYPERLINK("https://www.ncbi.nlm.nih.gov/nuccore/CP000304.1?report=graph&amp;tracks=[key:gene_model_track,Options:GeneOnly]&amp;mk=4085585:4085604|offset_13|444444,4085560:4085579|offset_38|444444,4085538:4085557|offset_60|444444,4085515:4085534|offset_83|00cc00&amp;v=4085384:4085734&amp;c=444444", "offset 83")</f>
        <v>offset 83</v>
      </c>
    </row>
    <row r="14467" customFormat="false" ht="12.8" hidden="false" customHeight="false" outlineLevel="0" collapsed="false">
      <c r="A14467" s="0" t="s">
        <v>12</v>
      </c>
      <c r="B14467" s="0" t="n">
        <v>4086629</v>
      </c>
      <c r="C14467" s="0" t="n">
        <v>4086649</v>
      </c>
      <c r="D14467" s="0" t="s">
        <v>48210</v>
      </c>
      <c r="E14467" s="0" t="s">
        <v>89</v>
      </c>
      <c r="F14467" s="0" t="s">
        <v>90</v>
      </c>
      <c r="G14467" s="0" t="s">
        <v>36</v>
      </c>
      <c r="H14467" s="0" t="n">
        <v>8</v>
      </c>
      <c r="I14467" s="0" t="s">
        <v>48211</v>
      </c>
      <c r="J14467" s="0" t="s">
        <v>48212</v>
      </c>
      <c r="K14467" s="0" t="s">
        <v>48213</v>
      </c>
      <c r="L14467" s="0" t="str">
        <f aca="false">HYPERLINK("https://www.ncbi.nlm.nih.gov/nuccore/CP000304.1?report=graph&amp;tracks=[key:gene_model_track,Options:GeneOnly]&amp;mk=4086630:4086649|offset_8|00cc00,4086607:4086626|offset_31|444444,4086571:4086590|offset_67|444444,4086550:4086569|offset_88|444444&amp;v=4086429:4086769&amp;c=444444", "offset 8")</f>
        <v>offset 8</v>
      </c>
    </row>
    <row r="14468" customFormat="false" ht="12.8" hidden="false" customHeight="false" outlineLevel="0" collapsed="false">
      <c r="A14468" s="0" t="s">
        <v>12</v>
      </c>
      <c r="B14468" s="0" t="n">
        <v>4086606</v>
      </c>
      <c r="C14468" s="0" t="n">
        <v>4086626</v>
      </c>
      <c r="D14468" s="0" t="s">
        <v>48210</v>
      </c>
      <c r="E14468" s="0" t="s">
        <v>89</v>
      </c>
      <c r="F14468" s="0" t="s">
        <v>90</v>
      </c>
      <c r="G14468" s="0" t="s">
        <v>26</v>
      </c>
      <c r="H14468" s="0" t="n">
        <v>31</v>
      </c>
      <c r="I14468" s="0" t="s">
        <v>48214</v>
      </c>
      <c r="J14468" s="0" t="s">
        <v>48215</v>
      </c>
      <c r="K14468" s="0" t="s">
        <v>48216</v>
      </c>
      <c r="L14468" s="0" t="str">
        <f aca="false">HYPERLINK("https://www.ncbi.nlm.nih.gov/nuccore/CP000304.1?report=graph&amp;tracks=[key:gene_model_track,Options:GeneOnly]&amp;mk=4086630:4086649|offset_8|444444,4086607:4086626|offset_31|00cc00,4086571:4086590|offset_67|444444,4086550:4086569|offset_88|444444&amp;v=4086429:4086769&amp;c=444444", "offset 31")</f>
        <v>offset 31</v>
      </c>
    </row>
    <row r="14469" customFormat="false" ht="12.8" hidden="false" customHeight="false" outlineLevel="0" collapsed="false">
      <c r="A14469" s="0" t="s">
        <v>12</v>
      </c>
      <c r="B14469" s="0" t="n">
        <v>4086570</v>
      </c>
      <c r="C14469" s="0" t="n">
        <v>4086590</v>
      </c>
      <c r="D14469" s="0" t="s">
        <v>48210</v>
      </c>
      <c r="E14469" s="0" t="s">
        <v>89</v>
      </c>
      <c r="F14469" s="0" t="s">
        <v>90</v>
      </c>
      <c r="G14469" s="0" t="s">
        <v>26</v>
      </c>
      <c r="H14469" s="0" t="n">
        <v>67</v>
      </c>
      <c r="I14469" s="0" t="s">
        <v>48217</v>
      </c>
      <c r="J14469" s="0" t="s">
        <v>48218</v>
      </c>
      <c r="K14469" s="0" t="s">
        <v>48219</v>
      </c>
      <c r="L14469" s="0" t="str">
        <f aca="false">HYPERLINK("https://www.ncbi.nlm.nih.gov/nuccore/CP000304.1?report=graph&amp;tracks=[key:gene_model_track,Options:GeneOnly]&amp;mk=4086630:4086649|offset_8|444444,4086607:4086626|offset_31|444444,4086571:4086590|offset_67|00cc00,4086550:4086569|offset_88|444444&amp;v=4086429:4086769&amp;c=444444", "offset 67")</f>
        <v>offset 67</v>
      </c>
    </row>
    <row r="14470" customFormat="false" ht="12.8" hidden="false" customHeight="false" outlineLevel="0" collapsed="false">
      <c r="A14470" s="0" t="s">
        <v>12</v>
      </c>
      <c r="B14470" s="0" t="n">
        <v>4086549</v>
      </c>
      <c r="C14470" s="0" t="n">
        <v>4086569</v>
      </c>
      <c r="D14470" s="0" t="s">
        <v>48210</v>
      </c>
      <c r="E14470" s="0" t="s">
        <v>89</v>
      </c>
      <c r="F14470" s="0" t="s">
        <v>90</v>
      </c>
      <c r="G14470" s="0" t="s">
        <v>32</v>
      </c>
      <c r="H14470" s="0" t="n">
        <v>88</v>
      </c>
      <c r="I14470" s="0" t="s">
        <v>48220</v>
      </c>
      <c r="J14470" s="0" t="s">
        <v>48221</v>
      </c>
      <c r="K14470" s="0" t="s">
        <v>48222</v>
      </c>
      <c r="L14470" s="0" t="str">
        <f aca="false">HYPERLINK("https://www.ncbi.nlm.nih.gov/nuccore/CP000304.1?report=graph&amp;tracks=[key:gene_model_track,Options:GeneOnly]&amp;mk=4086630:4086649|offset_8|444444,4086607:4086626|offset_31|444444,4086571:4086590|offset_67|444444,4086550:4086569|offset_88|00cc00&amp;v=4086429:4086769&amp;c=444444", "offset 88")</f>
        <v>offset 88</v>
      </c>
    </row>
    <row r="14471" customFormat="false" ht="12.8" hidden="false" customHeight="false" outlineLevel="0" collapsed="false">
      <c r="A14471" s="0" t="s">
        <v>12</v>
      </c>
      <c r="B14471" s="0" t="n">
        <v>4087586</v>
      </c>
      <c r="C14471" s="0" t="n">
        <v>4087606</v>
      </c>
      <c r="D14471" s="0" t="s">
        <v>48223</v>
      </c>
      <c r="E14471" s="0" t="s">
        <v>48224</v>
      </c>
      <c r="F14471" s="0" t="s">
        <v>90</v>
      </c>
      <c r="G14471" s="0" t="s">
        <v>16</v>
      </c>
      <c r="H14471" s="0" t="n">
        <v>25</v>
      </c>
      <c r="I14471" s="0" t="s">
        <v>48225</v>
      </c>
      <c r="J14471" s="0" t="s">
        <v>48226</v>
      </c>
      <c r="K14471" s="0" t="s">
        <v>48227</v>
      </c>
      <c r="L14471" s="0" t="str">
        <f aca="false">HYPERLINK("https://www.ncbi.nlm.nih.gov/nuccore/CP000304.1?report=graph&amp;tracks=[key:gene_model_track,Options:GeneOnly]&amp;mk=4087587:4087606|offset_25|00cc00,4087564:4087583|offset_48|444444,4087542:4087561|offset_70|444444,4087506:4087525|offset_106|444444&amp;v=4087386:4087725&amp;c=444444", "offset 25")</f>
        <v>offset 25</v>
      </c>
    </row>
    <row r="14472" customFormat="false" ht="12.8" hidden="false" customHeight="false" outlineLevel="0" collapsed="false">
      <c r="A14472" s="0" t="s">
        <v>12</v>
      </c>
      <c r="B14472" s="0" t="n">
        <v>4087563</v>
      </c>
      <c r="C14472" s="0" t="n">
        <v>4087583</v>
      </c>
      <c r="D14472" s="0" t="s">
        <v>48223</v>
      </c>
      <c r="E14472" s="0" t="s">
        <v>48224</v>
      </c>
      <c r="F14472" s="0" t="s">
        <v>90</v>
      </c>
      <c r="G14472" s="0" t="s">
        <v>16</v>
      </c>
      <c r="H14472" s="0" t="n">
        <v>48</v>
      </c>
      <c r="I14472" s="0" t="s">
        <v>48228</v>
      </c>
      <c r="J14472" s="0" t="s">
        <v>48229</v>
      </c>
      <c r="K14472" s="0" t="s">
        <v>48230</v>
      </c>
      <c r="L14472" s="0" t="str">
        <f aca="false">HYPERLINK("https://www.ncbi.nlm.nih.gov/nuccore/CP000304.1?report=graph&amp;tracks=[key:gene_model_track,Options:GeneOnly]&amp;mk=4087587:4087606|offset_25|444444,4087564:4087583|offset_48|00cc00,4087542:4087561|offset_70|444444,4087506:4087525|offset_106|444444&amp;v=4087386:4087725&amp;c=444444", "offset 48")</f>
        <v>offset 48</v>
      </c>
    </row>
    <row r="14473" customFormat="false" ht="12.8" hidden="false" customHeight="false" outlineLevel="0" collapsed="false">
      <c r="A14473" s="0" t="s">
        <v>12</v>
      </c>
      <c r="B14473" s="0" t="n">
        <v>4087541</v>
      </c>
      <c r="C14473" s="0" t="n">
        <v>4087561</v>
      </c>
      <c r="D14473" s="0" t="s">
        <v>48223</v>
      </c>
      <c r="E14473" s="0" t="s">
        <v>48224</v>
      </c>
      <c r="F14473" s="0" t="s">
        <v>90</v>
      </c>
      <c r="G14473" s="0" t="s">
        <v>16</v>
      </c>
      <c r="H14473" s="0" t="n">
        <v>70</v>
      </c>
      <c r="I14473" s="0" t="s">
        <v>48231</v>
      </c>
      <c r="J14473" s="0" t="s">
        <v>48232</v>
      </c>
      <c r="K14473" s="0" t="s">
        <v>48233</v>
      </c>
      <c r="L14473" s="0" t="str">
        <f aca="false">HYPERLINK("https://www.ncbi.nlm.nih.gov/nuccore/CP000304.1?report=graph&amp;tracks=[key:gene_model_track,Options:GeneOnly]&amp;mk=4087587:4087606|offset_25|444444,4087564:4087583|offset_48|444444,4087542:4087561|offset_70|00cc00,4087506:4087525|offset_106|444444&amp;v=4087386:4087725&amp;c=444444", "offset 70")</f>
        <v>offset 70</v>
      </c>
    </row>
    <row r="14474" customFormat="false" ht="12.8" hidden="false" customHeight="false" outlineLevel="0" collapsed="false">
      <c r="A14474" s="0" t="s">
        <v>12</v>
      </c>
      <c r="B14474" s="0" t="n">
        <v>4087505</v>
      </c>
      <c r="C14474" s="0" t="n">
        <v>4087525</v>
      </c>
      <c r="D14474" s="0" t="s">
        <v>48223</v>
      </c>
      <c r="E14474" s="0" t="s">
        <v>48224</v>
      </c>
      <c r="F14474" s="0" t="s">
        <v>90</v>
      </c>
      <c r="G14474" s="0" t="s">
        <v>36</v>
      </c>
      <c r="H14474" s="0" t="n">
        <v>106</v>
      </c>
      <c r="I14474" s="0" t="s">
        <v>48234</v>
      </c>
      <c r="J14474" s="0" t="s">
        <v>48235</v>
      </c>
      <c r="K14474" s="0" t="s">
        <v>48236</v>
      </c>
      <c r="L14474" s="0" t="str">
        <f aca="false">HYPERLINK("https://www.ncbi.nlm.nih.gov/nuccore/CP000304.1?report=graph&amp;tracks=[key:gene_model_track,Options:GeneOnly]&amp;mk=4087587:4087606|offset_25|444444,4087564:4087583|offset_48|444444,4087542:4087561|offset_70|444444,4087506:4087525|offset_106|00cc00&amp;v=4087386:4087725&amp;c=444444", "offset 106")</f>
        <v>offset 106</v>
      </c>
    </row>
    <row r="14475" customFormat="false" ht="12.8" hidden="false" customHeight="false" outlineLevel="0" collapsed="false">
      <c r="A14475" s="0" t="s">
        <v>12</v>
      </c>
      <c r="B14475" s="0" t="n">
        <v>4088784</v>
      </c>
      <c r="C14475" s="0" t="n">
        <v>4088804</v>
      </c>
      <c r="D14475" s="0" t="s">
        <v>48237</v>
      </c>
      <c r="E14475" s="0" t="s">
        <v>48238</v>
      </c>
      <c r="F14475" s="0" t="s">
        <v>90</v>
      </c>
      <c r="G14475" s="0" t="s">
        <v>16</v>
      </c>
      <c r="H14475" s="0" t="n">
        <v>20</v>
      </c>
      <c r="I14475" s="0" t="s">
        <v>48239</v>
      </c>
      <c r="J14475" s="0" t="s">
        <v>48240</v>
      </c>
      <c r="K14475" s="0" t="s">
        <v>48241</v>
      </c>
      <c r="L14475" s="0" t="str">
        <f aca="false">HYPERLINK("https://www.ncbi.nlm.nih.gov/nuccore/CP000304.1?report=graph&amp;tracks=[key:gene_model_track,Options:GeneOnly]&amp;mk=4088785:4088804|offset_20|00cc00,4088752:4088771|offset_53|444444,4088731:4088750|offset_74|444444,4088687:4088706|offset_118|444444&amp;v=4088584:4088906&amp;c=444444", "offset 20")</f>
        <v>offset 20</v>
      </c>
    </row>
    <row r="14476" customFormat="false" ht="12.8" hidden="false" customHeight="false" outlineLevel="0" collapsed="false">
      <c r="A14476" s="0" t="s">
        <v>12</v>
      </c>
      <c r="B14476" s="0" t="n">
        <v>4088751</v>
      </c>
      <c r="C14476" s="0" t="n">
        <v>4088771</v>
      </c>
      <c r="D14476" s="0" t="s">
        <v>48237</v>
      </c>
      <c r="E14476" s="0" t="s">
        <v>48238</v>
      </c>
      <c r="F14476" s="0" t="s">
        <v>90</v>
      </c>
      <c r="G14476" s="0" t="s">
        <v>16</v>
      </c>
      <c r="H14476" s="0" t="n">
        <v>53</v>
      </c>
      <c r="I14476" s="0" t="s">
        <v>48242</v>
      </c>
      <c r="J14476" s="0" t="s">
        <v>48243</v>
      </c>
      <c r="K14476" s="0" t="s">
        <v>48244</v>
      </c>
      <c r="L14476" s="0" t="str">
        <f aca="false">HYPERLINK("https://www.ncbi.nlm.nih.gov/nuccore/CP000304.1?report=graph&amp;tracks=[key:gene_model_track,Options:GeneOnly]&amp;mk=4088785:4088804|offset_20|444444,4088752:4088771|offset_53|00cc00,4088731:4088750|offset_74|444444,4088687:4088706|offset_118|444444&amp;v=4088584:4088906&amp;c=444444", "offset 53")</f>
        <v>offset 53</v>
      </c>
    </row>
    <row r="14477" customFormat="false" ht="12.8" hidden="false" customHeight="false" outlineLevel="0" collapsed="false">
      <c r="A14477" s="0" t="s">
        <v>12</v>
      </c>
      <c r="B14477" s="0" t="n">
        <v>4088730</v>
      </c>
      <c r="C14477" s="0" t="n">
        <v>4088750</v>
      </c>
      <c r="D14477" s="0" t="s">
        <v>48237</v>
      </c>
      <c r="E14477" s="0" t="s">
        <v>48238</v>
      </c>
      <c r="F14477" s="0" t="s">
        <v>90</v>
      </c>
      <c r="G14477" s="0" t="s">
        <v>26</v>
      </c>
      <c r="H14477" s="0" t="n">
        <v>74</v>
      </c>
      <c r="I14477" s="0" t="s">
        <v>48245</v>
      </c>
      <c r="J14477" s="0" t="s">
        <v>48246</v>
      </c>
      <c r="K14477" s="0" t="s">
        <v>48247</v>
      </c>
      <c r="L14477" s="0" t="str">
        <f aca="false">HYPERLINK("https://www.ncbi.nlm.nih.gov/nuccore/CP000304.1?report=graph&amp;tracks=[key:gene_model_track,Options:GeneOnly]&amp;mk=4088785:4088804|offset_20|444444,4088752:4088771|offset_53|444444,4088731:4088750|offset_74|00cc00,4088687:4088706|offset_118|444444&amp;v=4088584:4088906&amp;c=444444", "offset 74")</f>
        <v>offset 74</v>
      </c>
    </row>
    <row r="14478" customFormat="false" ht="12.8" hidden="false" customHeight="false" outlineLevel="0" collapsed="false">
      <c r="A14478" s="0" t="s">
        <v>12</v>
      </c>
      <c r="B14478" s="0" t="n">
        <v>4088686</v>
      </c>
      <c r="C14478" s="0" t="n">
        <v>4088706</v>
      </c>
      <c r="D14478" s="0" t="s">
        <v>48237</v>
      </c>
      <c r="E14478" s="0" t="s">
        <v>48238</v>
      </c>
      <c r="F14478" s="0" t="s">
        <v>90</v>
      </c>
      <c r="G14478" s="0" t="s">
        <v>16</v>
      </c>
      <c r="H14478" s="0" t="n">
        <v>118</v>
      </c>
      <c r="I14478" s="0" t="s">
        <v>48248</v>
      </c>
      <c r="J14478" s="0" t="s">
        <v>48249</v>
      </c>
      <c r="K14478" s="0" t="s">
        <v>48250</v>
      </c>
      <c r="L14478" s="0" t="str">
        <f aca="false">HYPERLINK("https://www.ncbi.nlm.nih.gov/nuccore/CP000304.1?report=graph&amp;tracks=[key:gene_model_track,Options:GeneOnly]&amp;mk=4088785:4088804|offset_20|444444,4088752:4088771|offset_53|444444,4088731:4088750|offset_74|444444,4088687:4088706|offset_118|00cc00&amp;v=4088584:4088906&amp;c=444444", "offset 118")</f>
        <v>offset 118</v>
      </c>
    </row>
    <row r="14479" customFormat="false" ht="12.8" hidden="false" customHeight="false" outlineLevel="0" collapsed="false">
      <c r="A14479" s="0" t="s">
        <v>12</v>
      </c>
      <c r="B14479" s="0" t="n">
        <v>4090684</v>
      </c>
      <c r="C14479" s="0" t="n">
        <v>4090704</v>
      </c>
      <c r="D14479" s="0" t="s">
        <v>48251</v>
      </c>
      <c r="E14479" s="0" t="s">
        <v>48252</v>
      </c>
      <c r="F14479" s="0" t="s">
        <v>90</v>
      </c>
      <c r="G14479" s="0" t="s">
        <v>16</v>
      </c>
      <c r="H14479" s="0" t="n">
        <v>6</v>
      </c>
      <c r="I14479" s="0" t="s">
        <v>48253</v>
      </c>
      <c r="J14479" s="0" t="s">
        <v>48254</v>
      </c>
      <c r="K14479" s="0" t="s">
        <v>48255</v>
      </c>
      <c r="L14479" s="0" t="str">
        <f aca="false">HYPERLINK("https://www.ncbi.nlm.nih.gov/nuccore/CP000304.1?report=graph&amp;tracks=[key:gene_model_track,Options:GeneOnly]&amp;mk=4090685:4090704|offset_6|00cc00,4090648:4090667|offset_43|444444,4090617:4090636|offset_74|444444,4090566:4090585|offset_125|444444&amp;v=4090484:4090785&amp;c=444444", "offset 6")</f>
        <v>offset 6</v>
      </c>
    </row>
    <row r="14480" customFormat="false" ht="12.8" hidden="false" customHeight="false" outlineLevel="0" collapsed="false">
      <c r="A14480" s="0" t="s">
        <v>12</v>
      </c>
      <c r="B14480" s="0" t="n">
        <v>4090647</v>
      </c>
      <c r="C14480" s="0" t="n">
        <v>4090667</v>
      </c>
      <c r="D14480" s="0" t="s">
        <v>48251</v>
      </c>
      <c r="E14480" s="0" t="s">
        <v>48252</v>
      </c>
      <c r="F14480" s="0" t="s">
        <v>90</v>
      </c>
      <c r="G14480" s="0" t="s">
        <v>16</v>
      </c>
      <c r="H14480" s="0" t="n">
        <v>43</v>
      </c>
      <c r="I14480" s="0" t="s">
        <v>48256</v>
      </c>
      <c r="J14480" s="0" t="s">
        <v>48257</v>
      </c>
      <c r="K14480" s="0" t="s">
        <v>48258</v>
      </c>
      <c r="L14480" s="0" t="str">
        <f aca="false">HYPERLINK("https://www.ncbi.nlm.nih.gov/nuccore/CP000304.1?report=graph&amp;tracks=[key:gene_model_track,Options:GeneOnly]&amp;mk=4090685:4090704|offset_6|444444,4090648:4090667|offset_43|00cc00,4090617:4090636|offset_74|444444,4090566:4090585|offset_125|444444&amp;v=4090484:4090785&amp;c=444444", "offset 43")</f>
        <v>offset 43</v>
      </c>
    </row>
    <row r="14481" customFormat="false" ht="12.8" hidden="false" customHeight="false" outlineLevel="0" collapsed="false">
      <c r="A14481" s="0" t="s">
        <v>12</v>
      </c>
      <c r="B14481" s="0" t="n">
        <v>4090616</v>
      </c>
      <c r="C14481" s="0" t="n">
        <v>4090636</v>
      </c>
      <c r="D14481" s="0" t="s">
        <v>48251</v>
      </c>
      <c r="E14481" s="0" t="s">
        <v>48252</v>
      </c>
      <c r="F14481" s="0" t="s">
        <v>90</v>
      </c>
      <c r="G14481" s="0" t="s">
        <v>26</v>
      </c>
      <c r="H14481" s="0" t="n">
        <v>74</v>
      </c>
      <c r="I14481" s="0" t="s">
        <v>48259</v>
      </c>
      <c r="J14481" s="0" t="s">
        <v>48260</v>
      </c>
      <c r="K14481" s="0" t="s">
        <v>48261</v>
      </c>
      <c r="L14481" s="0" t="str">
        <f aca="false">HYPERLINK("https://www.ncbi.nlm.nih.gov/nuccore/CP000304.1?report=graph&amp;tracks=[key:gene_model_track,Options:GeneOnly]&amp;mk=4090685:4090704|offset_6|444444,4090648:4090667|offset_43|444444,4090617:4090636|offset_74|00cc00,4090566:4090585|offset_125|444444&amp;v=4090484:4090785&amp;c=444444", "offset 74")</f>
        <v>offset 74</v>
      </c>
    </row>
    <row r="14482" customFormat="false" ht="12.8" hidden="false" customHeight="false" outlineLevel="0" collapsed="false">
      <c r="A14482" s="0" t="s">
        <v>12</v>
      </c>
      <c r="B14482" s="0" t="n">
        <v>4090565</v>
      </c>
      <c r="C14482" s="0" t="n">
        <v>4090585</v>
      </c>
      <c r="D14482" s="0" t="s">
        <v>48251</v>
      </c>
      <c r="E14482" s="0" t="s">
        <v>48252</v>
      </c>
      <c r="F14482" s="0" t="s">
        <v>90</v>
      </c>
      <c r="G14482" s="0" t="s">
        <v>26</v>
      </c>
      <c r="H14482" s="0" t="n">
        <v>125</v>
      </c>
      <c r="I14482" s="0" t="s">
        <v>48262</v>
      </c>
      <c r="J14482" s="0" t="s">
        <v>48263</v>
      </c>
      <c r="K14482" s="0" t="s">
        <v>48264</v>
      </c>
      <c r="L14482" s="0" t="str">
        <f aca="false">HYPERLINK("https://www.ncbi.nlm.nih.gov/nuccore/CP000304.1?report=graph&amp;tracks=[key:gene_model_track,Options:GeneOnly]&amp;mk=4090685:4090704|offset_6|444444,4090648:4090667|offset_43|444444,4090617:4090636|offset_74|444444,4090566:4090585|offset_125|00cc00&amp;v=4090484:4090785&amp;c=444444", "offset 125")</f>
        <v>offset 125</v>
      </c>
    </row>
    <row r="14483" customFormat="false" ht="12.8" hidden="false" customHeight="false" outlineLevel="0" collapsed="false">
      <c r="A14483" s="0" t="s">
        <v>12</v>
      </c>
      <c r="B14483" s="0" t="n">
        <v>4091137</v>
      </c>
      <c r="C14483" s="0" t="n">
        <v>4091157</v>
      </c>
      <c r="D14483" s="0" t="s">
        <v>48265</v>
      </c>
      <c r="E14483" s="0" t="s">
        <v>89</v>
      </c>
      <c r="F14483" s="0" t="s">
        <v>90</v>
      </c>
      <c r="G14483" s="0" t="s">
        <v>16</v>
      </c>
      <c r="H14483" s="0" t="n">
        <v>6</v>
      </c>
      <c r="I14483" s="0" t="s">
        <v>48266</v>
      </c>
      <c r="J14483" s="0" t="s">
        <v>48267</v>
      </c>
      <c r="K14483" s="0" t="s">
        <v>48268</v>
      </c>
      <c r="L14483" s="0" t="str">
        <f aca="false">HYPERLINK("https://www.ncbi.nlm.nih.gov/nuccore/CP000304.1?report=graph&amp;tracks=[key:gene_model_track,Options:GeneOnly]&amp;mk=4091138:4091157|offset_6|00cc00,4091097:4091116|offset_47|444444,4091061:4091080|offset_83|444444,4090999:4091018|offset_145|444444&amp;v=4090937:4091218&amp;c=444444", "offset 6")</f>
        <v>offset 6</v>
      </c>
    </row>
    <row r="14484" customFormat="false" ht="12.8" hidden="false" customHeight="false" outlineLevel="0" collapsed="false">
      <c r="A14484" s="0" t="s">
        <v>12</v>
      </c>
      <c r="B14484" s="0" t="n">
        <v>4091096</v>
      </c>
      <c r="C14484" s="0" t="n">
        <v>4091116</v>
      </c>
      <c r="D14484" s="0" t="s">
        <v>48265</v>
      </c>
      <c r="E14484" s="0" t="s">
        <v>89</v>
      </c>
      <c r="F14484" s="0" t="s">
        <v>90</v>
      </c>
      <c r="G14484" s="0" t="s">
        <v>26</v>
      </c>
      <c r="H14484" s="0" t="n">
        <v>47</v>
      </c>
      <c r="I14484" s="0" t="s">
        <v>48269</v>
      </c>
      <c r="J14484" s="0" t="s">
        <v>48270</v>
      </c>
      <c r="K14484" s="0" t="s">
        <v>48271</v>
      </c>
      <c r="L14484" s="0" t="str">
        <f aca="false">HYPERLINK("https://www.ncbi.nlm.nih.gov/nuccore/CP000304.1?report=graph&amp;tracks=[key:gene_model_track,Options:GeneOnly]&amp;mk=4091138:4091157|offset_6|444444,4091097:4091116|offset_47|00cc00,4091061:4091080|offset_83|444444,4090999:4091018|offset_145|444444&amp;v=4090937:4091218&amp;c=444444", "offset 47")</f>
        <v>offset 47</v>
      </c>
    </row>
    <row r="14485" customFormat="false" ht="12.8" hidden="false" customHeight="false" outlineLevel="0" collapsed="false">
      <c r="A14485" s="0" t="s">
        <v>12</v>
      </c>
      <c r="B14485" s="0" t="n">
        <v>4091060</v>
      </c>
      <c r="C14485" s="0" t="n">
        <v>4091080</v>
      </c>
      <c r="D14485" s="0" t="s">
        <v>48265</v>
      </c>
      <c r="E14485" s="0" t="s">
        <v>89</v>
      </c>
      <c r="F14485" s="0" t="s">
        <v>90</v>
      </c>
      <c r="G14485" s="0" t="s">
        <v>36</v>
      </c>
      <c r="H14485" s="0" t="n">
        <v>83</v>
      </c>
      <c r="I14485" s="0" t="s">
        <v>48272</v>
      </c>
      <c r="J14485" s="0" t="s">
        <v>48273</v>
      </c>
      <c r="K14485" s="0" t="s">
        <v>48274</v>
      </c>
      <c r="L14485" s="0" t="str">
        <f aca="false">HYPERLINK("https://www.ncbi.nlm.nih.gov/nuccore/CP000304.1?report=graph&amp;tracks=[key:gene_model_track,Options:GeneOnly]&amp;mk=4091138:4091157|offset_6|444444,4091097:4091116|offset_47|444444,4091061:4091080|offset_83|00cc00,4090999:4091018|offset_145|444444&amp;v=4090937:4091218&amp;c=444444", "offset 83")</f>
        <v>offset 83</v>
      </c>
    </row>
    <row r="14486" customFormat="false" ht="12.8" hidden="false" customHeight="false" outlineLevel="0" collapsed="false">
      <c r="A14486" s="0" t="s">
        <v>12</v>
      </c>
      <c r="B14486" s="0" t="n">
        <v>4090998</v>
      </c>
      <c r="C14486" s="0" t="n">
        <v>4091018</v>
      </c>
      <c r="D14486" s="0" t="s">
        <v>48265</v>
      </c>
      <c r="E14486" s="0" t="s">
        <v>89</v>
      </c>
      <c r="F14486" s="0" t="s">
        <v>90</v>
      </c>
      <c r="G14486" s="0" t="s">
        <v>32</v>
      </c>
      <c r="H14486" s="0" t="n">
        <v>145</v>
      </c>
      <c r="I14486" s="0" t="s">
        <v>48275</v>
      </c>
      <c r="J14486" s="0" t="s">
        <v>48276</v>
      </c>
      <c r="K14486" s="0" t="s">
        <v>48277</v>
      </c>
      <c r="L14486" s="0" t="str">
        <f aca="false">HYPERLINK("https://www.ncbi.nlm.nih.gov/nuccore/CP000304.1?report=graph&amp;tracks=[key:gene_model_track,Options:GeneOnly]&amp;mk=4091138:4091157|offset_6|444444,4091097:4091116|offset_47|444444,4091061:4091080|offset_83|444444,4090999:4091018|offset_145|00cc00&amp;v=4090937:4091218&amp;c=444444", "offset 145")</f>
        <v>offset 145</v>
      </c>
    </row>
    <row r="14487" customFormat="false" ht="12.8" hidden="false" customHeight="false" outlineLevel="0" collapsed="false">
      <c r="A14487" s="0" t="s">
        <v>12</v>
      </c>
      <c r="B14487" s="0" t="n">
        <v>4091516</v>
      </c>
      <c r="C14487" s="0" t="n">
        <v>4091536</v>
      </c>
      <c r="D14487" s="0" t="s">
        <v>48278</v>
      </c>
      <c r="E14487" s="0" t="s">
        <v>89</v>
      </c>
      <c r="F14487" s="0" t="s">
        <v>90</v>
      </c>
      <c r="G14487" s="0" t="s">
        <v>32</v>
      </c>
      <c r="H14487" s="0" t="n">
        <v>23</v>
      </c>
      <c r="I14487" s="0" t="s">
        <v>48279</v>
      </c>
      <c r="J14487" s="0" t="s">
        <v>48280</v>
      </c>
      <c r="K14487" s="0" t="s">
        <v>48281</v>
      </c>
      <c r="L14487" s="0" t="str">
        <f aca="false">HYPERLINK("https://www.ncbi.nlm.nih.gov/nuccore/CP000304.1?report=graph&amp;tracks=[key:gene_model_track,Options:GeneOnly]&amp;mk=4091517:4091536|offset_23|00cc00,4091481:4091500|offset_59|444444,4091446:4091465|offset_94|444444,4091403:4091422|offset_137|444444&amp;v=4091316:4091622&amp;c=444444", "offset 23")</f>
        <v>offset 23</v>
      </c>
    </row>
    <row r="14488" customFormat="false" ht="12.8" hidden="false" customHeight="false" outlineLevel="0" collapsed="false">
      <c r="A14488" s="0" t="s">
        <v>12</v>
      </c>
      <c r="B14488" s="0" t="n">
        <v>4091480</v>
      </c>
      <c r="C14488" s="0" t="n">
        <v>4091500</v>
      </c>
      <c r="D14488" s="0" t="s">
        <v>48278</v>
      </c>
      <c r="E14488" s="0" t="s">
        <v>89</v>
      </c>
      <c r="F14488" s="0" t="s">
        <v>90</v>
      </c>
      <c r="G14488" s="0" t="s">
        <v>32</v>
      </c>
      <c r="H14488" s="0" t="n">
        <v>59</v>
      </c>
      <c r="I14488" s="0" t="s">
        <v>48282</v>
      </c>
      <c r="J14488" s="0" t="s">
        <v>48283</v>
      </c>
      <c r="K14488" s="0" t="s">
        <v>48284</v>
      </c>
      <c r="L14488" s="0" t="str">
        <f aca="false">HYPERLINK("https://www.ncbi.nlm.nih.gov/nuccore/CP000304.1?report=graph&amp;tracks=[key:gene_model_track,Options:GeneOnly]&amp;mk=4091517:4091536|offset_23|444444,4091481:4091500|offset_59|00cc00,4091446:4091465|offset_94|444444,4091403:4091422|offset_137|444444&amp;v=4091316:4091622&amp;c=444444", "offset 59")</f>
        <v>offset 59</v>
      </c>
    </row>
    <row r="14489" customFormat="false" ht="12.8" hidden="false" customHeight="false" outlineLevel="0" collapsed="false">
      <c r="A14489" s="0" t="s">
        <v>12</v>
      </c>
      <c r="B14489" s="0" t="n">
        <v>4091445</v>
      </c>
      <c r="C14489" s="0" t="n">
        <v>4091465</v>
      </c>
      <c r="D14489" s="0" t="s">
        <v>48278</v>
      </c>
      <c r="E14489" s="0" t="s">
        <v>89</v>
      </c>
      <c r="F14489" s="0" t="s">
        <v>90</v>
      </c>
      <c r="G14489" s="0" t="s">
        <v>32</v>
      </c>
      <c r="H14489" s="0" t="n">
        <v>94</v>
      </c>
      <c r="I14489" s="0" t="s">
        <v>48285</v>
      </c>
      <c r="J14489" s="0" t="s">
        <v>48286</v>
      </c>
      <c r="K14489" s="0" t="s">
        <v>48287</v>
      </c>
      <c r="L14489" s="0" t="str">
        <f aca="false">HYPERLINK("https://www.ncbi.nlm.nih.gov/nuccore/CP000304.1?report=graph&amp;tracks=[key:gene_model_track,Options:GeneOnly]&amp;mk=4091517:4091536|offset_23|444444,4091481:4091500|offset_59|444444,4091446:4091465|offset_94|00cc00,4091403:4091422|offset_137|444444&amp;v=4091316:4091622&amp;c=444444", "offset 94")</f>
        <v>offset 94</v>
      </c>
    </row>
    <row r="14490" customFormat="false" ht="12.8" hidden="false" customHeight="false" outlineLevel="0" collapsed="false">
      <c r="A14490" s="0" t="s">
        <v>12</v>
      </c>
      <c r="B14490" s="0" t="n">
        <v>4091402</v>
      </c>
      <c r="C14490" s="0" t="n">
        <v>4091422</v>
      </c>
      <c r="D14490" s="0" t="s">
        <v>48278</v>
      </c>
      <c r="E14490" s="0" t="s">
        <v>89</v>
      </c>
      <c r="F14490" s="0" t="s">
        <v>90</v>
      </c>
      <c r="G14490" s="0" t="s">
        <v>16</v>
      </c>
      <c r="H14490" s="0" t="n">
        <v>137</v>
      </c>
      <c r="I14490" s="0" t="s">
        <v>48288</v>
      </c>
      <c r="J14490" s="0" t="s">
        <v>48289</v>
      </c>
      <c r="K14490" s="0" t="s">
        <v>48290</v>
      </c>
      <c r="L14490" s="0" t="str">
        <f aca="false">HYPERLINK("https://www.ncbi.nlm.nih.gov/nuccore/CP000304.1?report=graph&amp;tracks=[key:gene_model_track,Options:GeneOnly]&amp;mk=4091517:4091536|offset_23|444444,4091481:4091500|offset_59|444444,4091446:4091465|offset_94|444444,4091403:4091422|offset_137|00cc00&amp;v=4091316:4091622&amp;c=444444", "offset 137")</f>
        <v>offset 137</v>
      </c>
    </row>
    <row r="14491" customFormat="false" ht="12.8" hidden="false" customHeight="false" outlineLevel="0" collapsed="false">
      <c r="A14491" s="0" t="s">
        <v>12</v>
      </c>
      <c r="B14491" s="0" t="n">
        <v>4092157</v>
      </c>
      <c r="C14491" s="0" t="n">
        <v>4092177</v>
      </c>
      <c r="D14491" s="0" t="s">
        <v>48291</v>
      </c>
      <c r="E14491" s="0" t="s">
        <v>48292</v>
      </c>
      <c r="F14491" s="0" t="s">
        <v>90</v>
      </c>
      <c r="G14491" s="0" t="s">
        <v>16</v>
      </c>
      <c r="H14491" s="0" t="n">
        <v>0</v>
      </c>
      <c r="I14491" s="0" t="s">
        <v>48293</v>
      </c>
      <c r="J14491" s="0" t="s">
        <v>48294</v>
      </c>
      <c r="K14491" s="0" t="s">
        <v>48295</v>
      </c>
      <c r="L14491" s="0" t="str">
        <f aca="false">HYPERLINK("https://www.ncbi.nlm.nih.gov/nuccore/CP000304.1?report=graph&amp;tracks=[key:gene_model_track,Options:GeneOnly]&amp;mk=4092158:4092177|offset_0|00cc00,4092118:4092137|offset_40|444444,4092083:4092102|offset_75|444444,4092063:4092082|offset_95|444444&amp;v=4091957:4092282&amp;c=444444", "offset 0")</f>
        <v>offset 0</v>
      </c>
    </row>
    <row r="14492" customFormat="false" ht="12.8" hidden="false" customHeight="false" outlineLevel="0" collapsed="false">
      <c r="A14492" s="0" t="s">
        <v>12</v>
      </c>
      <c r="B14492" s="0" t="n">
        <v>4092117</v>
      </c>
      <c r="C14492" s="0" t="n">
        <v>4092137</v>
      </c>
      <c r="D14492" s="0" t="s">
        <v>48291</v>
      </c>
      <c r="E14492" s="0" t="s">
        <v>48292</v>
      </c>
      <c r="F14492" s="0" t="s">
        <v>90</v>
      </c>
      <c r="G14492" s="0" t="s">
        <v>16</v>
      </c>
      <c r="H14492" s="0" t="n">
        <v>40</v>
      </c>
      <c r="I14492" s="0" t="s">
        <v>48296</v>
      </c>
      <c r="J14492" s="0" t="s">
        <v>48297</v>
      </c>
      <c r="K14492" s="0" t="s">
        <v>48298</v>
      </c>
      <c r="L14492" s="0" t="str">
        <f aca="false">HYPERLINK("https://www.ncbi.nlm.nih.gov/nuccore/CP000304.1?report=graph&amp;tracks=[key:gene_model_track,Options:GeneOnly]&amp;mk=4092158:4092177|offset_0|444444,4092118:4092137|offset_40|00cc00,4092083:4092102|offset_75|444444,4092063:4092082|offset_95|444444&amp;v=4091957:4092282&amp;c=444444", "offset 40")</f>
        <v>offset 40</v>
      </c>
    </row>
    <row r="14493" customFormat="false" ht="12.8" hidden="false" customHeight="false" outlineLevel="0" collapsed="false">
      <c r="A14493" s="0" t="s">
        <v>12</v>
      </c>
      <c r="B14493" s="0" t="n">
        <v>4092082</v>
      </c>
      <c r="C14493" s="0" t="n">
        <v>4092102</v>
      </c>
      <c r="D14493" s="0" t="s">
        <v>48291</v>
      </c>
      <c r="E14493" s="0" t="s">
        <v>48292</v>
      </c>
      <c r="F14493" s="0" t="s">
        <v>90</v>
      </c>
      <c r="G14493" s="0" t="s">
        <v>36</v>
      </c>
      <c r="H14493" s="0" t="n">
        <v>75</v>
      </c>
      <c r="I14493" s="0" t="s">
        <v>48299</v>
      </c>
      <c r="J14493" s="0" t="s">
        <v>48300</v>
      </c>
      <c r="K14493" s="0" t="s">
        <v>48301</v>
      </c>
      <c r="L14493" s="0" t="str">
        <f aca="false">HYPERLINK("https://www.ncbi.nlm.nih.gov/nuccore/CP000304.1?report=graph&amp;tracks=[key:gene_model_track,Options:GeneOnly]&amp;mk=4092158:4092177|offset_0|444444,4092118:4092137|offset_40|444444,4092083:4092102|offset_75|00cc00,4092063:4092082|offset_95|444444&amp;v=4091957:4092282&amp;c=444444", "offset 75")</f>
        <v>offset 75</v>
      </c>
    </row>
    <row r="14494" customFormat="false" ht="12.8" hidden="false" customHeight="false" outlineLevel="0" collapsed="false">
      <c r="A14494" s="0" t="s">
        <v>12</v>
      </c>
      <c r="B14494" s="0" t="n">
        <v>4092062</v>
      </c>
      <c r="C14494" s="0" t="n">
        <v>4092082</v>
      </c>
      <c r="D14494" s="0" t="s">
        <v>48291</v>
      </c>
      <c r="E14494" s="0" t="s">
        <v>48292</v>
      </c>
      <c r="F14494" s="0" t="s">
        <v>90</v>
      </c>
      <c r="G14494" s="0" t="s">
        <v>16</v>
      </c>
      <c r="H14494" s="0" t="n">
        <v>95</v>
      </c>
      <c r="I14494" s="0" t="s">
        <v>48302</v>
      </c>
      <c r="J14494" s="0" t="s">
        <v>48303</v>
      </c>
      <c r="K14494" s="0" t="s">
        <v>48304</v>
      </c>
      <c r="L14494" s="0" t="str">
        <f aca="false">HYPERLINK("https://www.ncbi.nlm.nih.gov/nuccore/CP000304.1?report=graph&amp;tracks=[key:gene_model_track,Options:GeneOnly]&amp;mk=4092158:4092177|offset_0|444444,4092118:4092137|offset_40|444444,4092083:4092102|offset_75|444444,4092063:4092082|offset_95|00cc00&amp;v=4091957:4092282&amp;c=444444", "offset 95")</f>
        <v>offset 95</v>
      </c>
    </row>
    <row r="14495" customFormat="false" ht="12.8" hidden="false" customHeight="false" outlineLevel="0" collapsed="false">
      <c r="A14495" s="0" t="s">
        <v>12</v>
      </c>
      <c r="B14495" s="0" t="n">
        <v>4093478</v>
      </c>
      <c r="C14495" s="0" t="n">
        <v>4093498</v>
      </c>
      <c r="D14495" s="0" t="s">
        <v>48305</v>
      </c>
      <c r="E14495" s="0" t="s">
        <v>48306</v>
      </c>
      <c r="F14495" s="0" t="s">
        <v>90</v>
      </c>
      <c r="G14495" s="0" t="s">
        <v>32</v>
      </c>
      <c r="H14495" s="0" t="n">
        <v>1</v>
      </c>
      <c r="I14495" s="0" t="s">
        <v>48307</v>
      </c>
      <c r="J14495" s="0" t="s">
        <v>48308</v>
      </c>
      <c r="K14495" s="0" t="s">
        <v>48309</v>
      </c>
      <c r="L14495" s="0" t="str">
        <f aca="false">HYPERLINK("https://www.ncbi.nlm.nih.gov/nuccore/CP000304.1?report=graph&amp;tracks=[key:gene_model_track,Options:GeneOnly]&amp;mk=4093479:4093498|offset_1|00cc00,4093445:4093464|offset_35|444444,4093422:4093441|offset_58|444444,4093401:4093420|offset_79|444444&amp;v=4093278:4093620&amp;c=444444", "offset 1")</f>
        <v>offset 1</v>
      </c>
    </row>
    <row r="14496" customFormat="false" ht="12.8" hidden="false" customHeight="false" outlineLevel="0" collapsed="false">
      <c r="A14496" s="0" t="s">
        <v>12</v>
      </c>
      <c r="B14496" s="0" t="n">
        <v>4093444</v>
      </c>
      <c r="C14496" s="0" t="n">
        <v>4093464</v>
      </c>
      <c r="D14496" s="0" t="s">
        <v>48305</v>
      </c>
      <c r="E14496" s="0" t="s">
        <v>48306</v>
      </c>
      <c r="F14496" s="0" t="s">
        <v>90</v>
      </c>
      <c r="G14496" s="0" t="s">
        <v>26</v>
      </c>
      <c r="H14496" s="0" t="n">
        <v>35</v>
      </c>
      <c r="I14496" s="0" t="s">
        <v>48310</v>
      </c>
      <c r="J14496" s="0" t="s">
        <v>48311</v>
      </c>
      <c r="K14496" s="0" t="s">
        <v>48312</v>
      </c>
      <c r="L14496" s="0" t="str">
        <f aca="false">HYPERLINK("https://www.ncbi.nlm.nih.gov/nuccore/CP000304.1?report=graph&amp;tracks=[key:gene_model_track,Options:GeneOnly]&amp;mk=4093479:4093498|offset_1|444444,4093445:4093464|offset_35|00cc00,4093422:4093441|offset_58|444444,4093401:4093420|offset_79|444444&amp;v=4093278:4093620&amp;c=444444", "offset 35")</f>
        <v>offset 35</v>
      </c>
    </row>
    <row r="14497" customFormat="false" ht="12.8" hidden="false" customHeight="false" outlineLevel="0" collapsed="false">
      <c r="A14497" s="0" t="s">
        <v>12</v>
      </c>
      <c r="B14497" s="0" t="n">
        <v>4093421</v>
      </c>
      <c r="C14497" s="0" t="n">
        <v>4093441</v>
      </c>
      <c r="D14497" s="0" t="s">
        <v>48305</v>
      </c>
      <c r="E14497" s="0" t="s">
        <v>48306</v>
      </c>
      <c r="F14497" s="0" t="s">
        <v>90</v>
      </c>
      <c r="G14497" s="0" t="s">
        <v>26</v>
      </c>
      <c r="H14497" s="0" t="n">
        <v>58</v>
      </c>
      <c r="I14497" s="0" t="s">
        <v>48313</v>
      </c>
      <c r="J14497" s="0" t="s">
        <v>48314</v>
      </c>
      <c r="K14497" s="0" t="s">
        <v>48315</v>
      </c>
      <c r="L14497" s="0" t="str">
        <f aca="false">HYPERLINK("https://www.ncbi.nlm.nih.gov/nuccore/CP000304.1?report=graph&amp;tracks=[key:gene_model_track,Options:GeneOnly]&amp;mk=4093479:4093498|offset_1|444444,4093445:4093464|offset_35|444444,4093422:4093441|offset_58|00cc00,4093401:4093420|offset_79|444444&amp;v=4093278:4093620&amp;c=444444", "offset 58")</f>
        <v>offset 58</v>
      </c>
    </row>
    <row r="14498" customFormat="false" ht="12.8" hidden="false" customHeight="false" outlineLevel="0" collapsed="false">
      <c r="A14498" s="0" t="s">
        <v>12</v>
      </c>
      <c r="B14498" s="0" t="n">
        <v>4093400</v>
      </c>
      <c r="C14498" s="0" t="n">
        <v>4093420</v>
      </c>
      <c r="D14498" s="0" t="s">
        <v>48305</v>
      </c>
      <c r="E14498" s="0" t="s">
        <v>48306</v>
      </c>
      <c r="F14498" s="0" t="s">
        <v>90</v>
      </c>
      <c r="G14498" s="0" t="s">
        <v>32</v>
      </c>
      <c r="H14498" s="0" t="n">
        <v>79</v>
      </c>
      <c r="I14498" s="0" t="s">
        <v>48316</v>
      </c>
      <c r="J14498" s="0" t="s">
        <v>48317</v>
      </c>
      <c r="K14498" s="0" t="s">
        <v>48318</v>
      </c>
      <c r="L14498" s="0" t="str">
        <f aca="false">HYPERLINK("https://www.ncbi.nlm.nih.gov/nuccore/CP000304.1?report=graph&amp;tracks=[key:gene_model_track,Options:GeneOnly]&amp;mk=4093479:4093498|offset_1|444444,4093445:4093464|offset_35|444444,4093422:4093441|offset_58|444444,4093401:4093420|offset_79|00cc00&amp;v=4093278:4093620&amp;c=444444", "offset 79")</f>
        <v>offset 79</v>
      </c>
    </row>
    <row r="14499" customFormat="false" ht="12.8" hidden="false" customHeight="false" outlineLevel="0" collapsed="false">
      <c r="A14499" s="0" t="s">
        <v>12</v>
      </c>
      <c r="B14499" s="0" t="n">
        <v>4093608</v>
      </c>
      <c r="C14499" s="0" t="n">
        <v>4093628</v>
      </c>
      <c r="D14499" s="0" t="s">
        <v>48319</v>
      </c>
      <c r="E14499" s="0" t="s">
        <v>89</v>
      </c>
      <c r="F14499" s="0" t="s">
        <v>15</v>
      </c>
      <c r="G14499" s="0" t="s">
        <v>16</v>
      </c>
      <c r="H14499" s="0" t="n">
        <v>26</v>
      </c>
      <c r="I14499" s="0" t="s">
        <v>48320</v>
      </c>
      <c r="J14499" s="0" t="s">
        <v>48321</v>
      </c>
      <c r="K14499" s="0" t="s">
        <v>48322</v>
      </c>
      <c r="L14499" s="0" t="str">
        <f aca="false">HYPERLINK("https://www.ncbi.nlm.nih.gov/nuccore/CP000304.1?report=graph&amp;tracks=[key:gene_model_track,Options:GeneOnly]&amp;mk=4093609:4093628|offset_26|00cc00,4093639:4093658|offset_56|444444,4093666:4093685|offset_83|444444,4093713:4093732|offset_130|444444&amp;v=4093408:4093932&amp;c=444444", "offset 26")</f>
        <v>offset 26</v>
      </c>
    </row>
    <row r="14500" customFormat="false" ht="12.8" hidden="false" customHeight="false" outlineLevel="0" collapsed="false">
      <c r="A14500" s="0" t="s">
        <v>12</v>
      </c>
      <c r="B14500" s="0" t="n">
        <v>4093638</v>
      </c>
      <c r="C14500" s="0" t="n">
        <v>4093658</v>
      </c>
      <c r="D14500" s="0" t="s">
        <v>48319</v>
      </c>
      <c r="E14500" s="0" t="s">
        <v>89</v>
      </c>
      <c r="F14500" s="0" t="s">
        <v>15</v>
      </c>
      <c r="G14500" s="0" t="s">
        <v>36</v>
      </c>
      <c r="H14500" s="0" t="n">
        <v>56</v>
      </c>
      <c r="I14500" s="0" t="s">
        <v>48323</v>
      </c>
      <c r="J14500" s="0" t="s">
        <v>48324</v>
      </c>
      <c r="K14500" s="0" t="s">
        <v>48325</v>
      </c>
      <c r="L14500" s="0" t="str">
        <f aca="false">HYPERLINK("https://www.ncbi.nlm.nih.gov/nuccore/CP000304.1?report=graph&amp;tracks=[key:gene_model_track,Options:GeneOnly]&amp;mk=4093609:4093628|offset_26|444444,4093639:4093658|offset_56|00cc00,4093666:4093685|offset_83|444444,4093713:4093732|offset_130|444444&amp;v=4093408:4093932&amp;c=444444", "offset 56")</f>
        <v>offset 56</v>
      </c>
    </row>
    <row r="14501" customFormat="false" ht="12.8" hidden="false" customHeight="false" outlineLevel="0" collapsed="false">
      <c r="A14501" s="0" t="s">
        <v>12</v>
      </c>
      <c r="B14501" s="0" t="n">
        <v>4093665</v>
      </c>
      <c r="C14501" s="0" t="n">
        <v>4093685</v>
      </c>
      <c r="D14501" s="0" t="s">
        <v>48319</v>
      </c>
      <c r="E14501" s="0" t="s">
        <v>89</v>
      </c>
      <c r="F14501" s="0" t="s">
        <v>15</v>
      </c>
      <c r="G14501" s="0" t="s">
        <v>36</v>
      </c>
      <c r="H14501" s="0" t="n">
        <v>83</v>
      </c>
      <c r="I14501" s="0" t="s">
        <v>48326</v>
      </c>
      <c r="J14501" s="0" t="s">
        <v>48327</v>
      </c>
      <c r="K14501" s="0" t="s">
        <v>48328</v>
      </c>
      <c r="L14501" s="0" t="str">
        <f aca="false">HYPERLINK("https://www.ncbi.nlm.nih.gov/nuccore/CP000304.1?report=graph&amp;tracks=[key:gene_model_track,Options:GeneOnly]&amp;mk=4093609:4093628|offset_26|444444,4093639:4093658|offset_56|444444,4093666:4093685|offset_83|00cc00,4093713:4093732|offset_130|444444&amp;v=4093408:4093932&amp;c=444444", "offset 83")</f>
        <v>offset 83</v>
      </c>
    </row>
    <row r="14502" customFormat="false" ht="12.8" hidden="false" customHeight="false" outlineLevel="0" collapsed="false">
      <c r="A14502" s="0" t="s">
        <v>12</v>
      </c>
      <c r="B14502" s="0" t="n">
        <v>4093712</v>
      </c>
      <c r="C14502" s="0" t="n">
        <v>4093732</v>
      </c>
      <c r="D14502" s="0" t="s">
        <v>48319</v>
      </c>
      <c r="E14502" s="0" t="s">
        <v>89</v>
      </c>
      <c r="F14502" s="0" t="s">
        <v>15</v>
      </c>
      <c r="G14502" s="0" t="s">
        <v>16</v>
      </c>
      <c r="H14502" s="0" t="n">
        <v>130</v>
      </c>
      <c r="I14502" s="0" t="s">
        <v>48329</v>
      </c>
      <c r="J14502" s="0" t="s">
        <v>48330</v>
      </c>
      <c r="K14502" s="0" t="s">
        <v>48331</v>
      </c>
      <c r="L14502" s="0" t="str">
        <f aca="false">HYPERLINK("https://www.ncbi.nlm.nih.gov/nuccore/CP000304.1?report=graph&amp;tracks=[key:gene_model_track,Options:GeneOnly]&amp;mk=4093609:4093628|offset_26|444444,4093639:4093658|offset_56|444444,4093666:4093685|offset_83|444444,4093713:4093732|offset_130|00cc00&amp;v=4093408:4093932&amp;c=444444", "offset 130")</f>
        <v>offset 130</v>
      </c>
    </row>
    <row r="14503" customFormat="false" ht="12.8" hidden="false" customHeight="false" outlineLevel="0" collapsed="false">
      <c r="A14503" s="0" t="s">
        <v>12</v>
      </c>
      <c r="B14503" s="0" t="n">
        <v>4095603</v>
      </c>
      <c r="C14503" s="0" t="n">
        <v>4095623</v>
      </c>
      <c r="D14503" s="0" t="s">
        <v>48332</v>
      </c>
      <c r="E14503" s="0" t="s">
        <v>89</v>
      </c>
      <c r="F14503" s="0" t="s">
        <v>90</v>
      </c>
      <c r="G14503" s="0" t="s">
        <v>16</v>
      </c>
      <c r="H14503" s="0" t="n">
        <v>12</v>
      </c>
      <c r="I14503" s="0" t="s">
        <v>48333</v>
      </c>
      <c r="J14503" s="0" t="s">
        <v>48334</v>
      </c>
      <c r="K14503" s="0" t="s">
        <v>48335</v>
      </c>
      <c r="L14503" s="0" t="str">
        <f aca="false">HYPERLINK("https://www.ncbi.nlm.nih.gov/nuccore/CP000304.1?report=graph&amp;tracks=[key:gene_model_track,Options:GeneOnly]&amp;mk=4095604:4095623|offset_12|00cc00,4095575:4095594|offset_41|444444,4095533:4095552|offset_83|444444,4095512:4095531|offset_104|444444&amp;v=4095403:4095731&amp;c=444444", "offset 12")</f>
        <v>offset 12</v>
      </c>
    </row>
    <row r="14504" customFormat="false" ht="12.8" hidden="false" customHeight="false" outlineLevel="0" collapsed="false">
      <c r="A14504" s="0" t="s">
        <v>12</v>
      </c>
      <c r="B14504" s="0" t="n">
        <v>4095574</v>
      </c>
      <c r="C14504" s="0" t="n">
        <v>4095594</v>
      </c>
      <c r="D14504" s="0" t="s">
        <v>48332</v>
      </c>
      <c r="E14504" s="0" t="s">
        <v>89</v>
      </c>
      <c r="F14504" s="0" t="s">
        <v>90</v>
      </c>
      <c r="G14504" s="0" t="s">
        <v>36</v>
      </c>
      <c r="H14504" s="0" t="n">
        <v>41</v>
      </c>
      <c r="I14504" s="0" t="s">
        <v>48336</v>
      </c>
      <c r="J14504" s="0" t="s">
        <v>48337</v>
      </c>
      <c r="K14504" s="0" t="s">
        <v>48338</v>
      </c>
      <c r="L14504" s="0" t="str">
        <f aca="false">HYPERLINK("https://www.ncbi.nlm.nih.gov/nuccore/CP000304.1?report=graph&amp;tracks=[key:gene_model_track,Options:GeneOnly]&amp;mk=4095604:4095623|offset_12|444444,4095575:4095594|offset_41|00cc00,4095533:4095552|offset_83|444444,4095512:4095531|offset_104|444444&amp;v=4095403:4095731&amp;c=444444", "offset 41")</f>
        <v>offset 41</v>
      </c>
    </row>
    <row r="14505" customFormat="false" ht="12.8" hidden="false" customHeight="false" outlineLevel="0" collapsed="false">
      <c r="A14505" s="0" t="s">
        <v>12</v>
      </c>
      <c r="B14505" s="0" t="n">
        <v>4095532</v>
      </c>
      <c r="C14505" s="0" t="n">
        <v>4095552</v>
      </c>
      <c r="D14505" s="0" t="s">
        <v>48332</v>
      </c>
      <c r="E14505" s="0" t="s">
        <v>89</v>
      </c>
      <c r="F14505" s="0" t="s">
        <v>90</v>
      </c>
      <c r="G14505" s="0" t="s">
        <v>26</v>
      </c>
      <c r="H14505" s="0" t="n">
        <v>83</v>
      </c>
      <c r="I14505" s="0" t="s">
        <v>48339</v>
      </c>
      <c r="J14505" s="0" t="s">
        <v>48340</v>
      </c>
      <c r="K14505" s="0" t="s">
        <v>48341</v>
      </c>
      <c r="L14505" s="0" t="str">
        <f aca="false">HYPERLINK("https://www.ncbi.nlm.nih.gov/nuccore/CP000304.1?report=graph&amp;tracks=[key:gene_model_track,Options:GeneOnly]&amp;mk=4095604:4095623|offset_12|444444,4095575:4095594|offset_41|444444,4095533:4095552|offset_83|00cc00,4095512:4095531|offset_104|444444&amp;v=4095403:4095731&amp;c=444444", "offset 83")</f>
        <v>offset 83</v>
      </c>
    </row>
    <row r="14506" customFormat="false" ht="12.8" hidden="false" customHeight="false" outlineLevel="0" collapsed="false">
      <c r="A14506" s="0" t="s">
        <v>12</v>
      </c>
      <c r="B14506" s="0" t="n">
        <v>4095511</v>
      </c>
      <c r="C14506" s="0" t="n">
        <v>4095531</v>
      </c>
      <c r="D14506" s="0" t="s">
        <v>48332</v>
      </c>
      <c r="E14506" s="0" t="s">
        <v>89</v>
      </c>
      <c r="F14506" s="0" t="s">
        <v>90</v>
      </c>
      <c r="G14506" s="0" t="s">
        <v>26</v>
      </c>
      <c r="H14506" s="0" t="n">
        <v>104</v>
      </c>
      <c r="I14506" s="0" t="s">
        <v>48342</v>
      </c>
      <c r="J14506" s="0" t="s">
        <v>48343</v>
      </c>
      <c r="K14506" s="0" t="s">
        <v>48344</v>
      </c>
      <c r="L14506" s="0" t="str">
        <f aca="false">HYPERLINK("https://www.ncbi.nlm.nih.gov/nuccore/CP000304.1?report=graph&amp;tracks=[key:gene_model_track,Options:GeneOnly]&amp;mk=4095604:4095623|offset_12|444444,4095575:4095594|offset_41|444444,4095533:4095552|offset_83|444444,4095512:4095531|offset_104|00cc00&amp;v=4095403:4095731&amp;c=444444", "offset 104")</f>
        <v>offset 104</v>
      </c>
    </row>
    <row r="14507" customFormat="false" ht="12.8" hidden="false" customHeight="false" outlineLevel="0" collapsed="false">
      <c r="A14507" s="0" t="s">
        <v>12</v>
      </c>
      <c r="B14507" s="0" t="n">
        <v>4096317</v>
      </c>
      <c r="C14507" s="0" t="n">
        <v>4096337</v>
      </c>
      <c r="D14507" s="0" t="s">
        <v>48345</v>
      </c>
      <c r="E14507" s="0" t="s">
        <v>89</v>
      </c>
      <c r="F14507" s="0" t="s">
        <v>90</v>
      </c>
      <c r="G14507" s="0" t="s">
        <v>26</v>
      </c>
      <c r="H14507" s="0" t="n">
        <v>25</v>
      </c>
      <c r="I14507" s="0" t="s">
        <v>48346</v>
      </c>
      <c r="J14507" s="0" t="s">
        <v>48347</v>
      </c>
      <c r="K14507" s="0" t="s">
        <v>48348</v>
      </c>
      <c r="L14507" s="0" t="str">
        <f aca="false">HYPERLINK("https://www.ncbi.nlm.nih.gov/nuccore/CP000304.1?report=graph&amp;tracks=[key:gene_model_track,Options:GeneOnly]&amp;mk=4096318:4096337|offset_25|00cc00,4096295:4096314|offset_48|444444,4096273:4096292|offset_70|444444,4096246:4096265|offset_97|444444&amp;v=4096117:4096465&amp;c=444444", "offset 25")</f>
        <v>offset 25</v>
      </c>
    </row>
    <row r="14508" customFormat="false" ht="12.8" hidden="false" customHeight="false" outlineLevel="0" collapsed="false">
      <c r="A14508" s="0" t="s">
        <v>12</v>
      </c>
      <c r="B14508" s="0" t="n">
        <v>4096294</v>
      </c>
      <c r="C14508" s="0" t="n">
        <v>4096314</v>
      </c>
      <c r="D14508" s="0" t="s">
        <v>48345</v>
      </c>
      <c r="E14508" s="0" t="s">
        <v>89</v>
      </c>
      <c r="F14508" s="0" t="s">
        <v>90</v>
      </c>
      <c r="G14508" s="0" t="s">
        <v>32</v>
      </c>
      <c r="H14508" s="0" t="n">
        <v>48</v>
      </c>
      <c r="I14508" s="0" t="s">
        <v>48349</v>
      </c>
      <c r="J14508" s="0" t="s">
        <v>48350</v>
      </c>
      <c r="K14508" s="0" t="s">
        <v>48351</v>
      </c>
      <c r="L14508" s="0" t="str">
        <f aca="false">HYPERLINK("https://www.ncbi.nlm.nih.gov/nuccore/CP000304.1?report=graph&amp;tracks=[key:gene_model_track,Options:GeneOnly]&amp;mk=4096318:4096337|offset_25|444444,4096295:4096314|offset_48|00cc00,4096273:4096292|offset_70|444444,4096246:4096265|offset_97|444444&amp;v=4096117:4096465&amp;c=444444", "offset 48")</f>
        <v>offset 48</v>
      </c>
    </row>
    <row r="14509" customFormat="false" ht="12.8" hidden="false" customHeight="false" outlineLevel="0" collapsed="false">
      <c r="A14509" s="0" t="s">
        <v>12</v>
      </c>
      <c r="B14509" s="0" t="n">
        <v>4096272</v>
      </c>
      <c r="C14509" s="0" t="n">
        <v>4096292</v>
      </c>
      <c r="D14509" s="0" t="s">
        <v>48345</v>
      </c>
      <c r="E14509" s="0" t="s">
        <v>89</v>
      </c>
      <c r="F14509" s="0" t="s">
        <v>90</v>
      </c>
      <c r="G14509" s="0" t="s">
        <v>36</v>
      </c>
      <c r="H14509" s="0" t="n">
        <v>70</v>
      </c>
      <c r="I14509" s="0" t="s">
        <v>48352</v>
      </c>
      <c r="J14509" s="0" t="s">
        <v>48353</v>
      </c>
      <c r="K14509" s="0" t="s">
        <v>48354</v>
      </c>
      <c r="L14509" s="0" t="str">
        <f aca="false">HYPERLINK("https://www.ncbi.nlm.nih.gov/nuccore/CP000304.1?report=graph&amp;tracks=[key:gene_model_track,Options:GeneOnly]&amp;mk=4096318:4096337|offset_25|444444,4096295:4096314|offset_48|444444,4096273:4096292|offset_70|00cc00,4096246:4096265|offset_97|444444&amp;v=4096117:4096465&amp;c=444444", "offset 70")</f>
        <v>offset 70</v>
      </c>
    </row>
    <row r="14510" customFormat="false" ht="12.8" hidden="false" customHeight="false" outlineLevel="0" collapsed="false">
      <c r="A14510" s="0" t="s">
        <v>12</v>
      </c>
      <c r="B14510" s="0" t="n">
        <v>4096245</v>
      </c>
      <c r="C14510" s="0" t="n">
        <v>4096265</v>
      </c>
      <c r="D14510" s="0" t="s">
        <v>48345</v>
      </c>
      <c r="E14510" s="0" t="s">
        <v>89</v>
      </c>
      <c r="F14510" s="0" t="s">
        <v>90</v>
      </c>
      <c r="G14510" s="0" t="s">
        <v>16</v>
      </c>
      <c r="H14510" s="0" t="n">
        <v>97</v>
      </c>
      <c r="I14510" s="0" t="s">
        <v>48355</v>
      </c>
      <c r="J14510" s="0" t="s">
        <v>48356</v>
      </c>
      <c r="K14510" s="0" t="s">
        <v>48357</v>
      </c>
      <c r="L14510" s="0" t="str">
        <f aca="false">HYPERLINK("https://www.ncbi.nlm.nih.gov/nuccore/CP000304.1?report=graph&amp;tracks=[key:gene_model_track,Options:GeneOnly]&amp;mk=4096318:4096337|offset_25|444444,4096295:4096314|offset_48|444444,4096273:4096292|offset_70|444444,4096246:4096265|offset_97|00cc00&amp;v=4096117:4096465&amp;c=444444", "offset 97")</f>
        <v>offset 97</v>
      </c>
    </row>
    <row r="14511" customFormat="false" ht="12.8" hidden="false" customHeight="false" outlineLevel="0" collapsed="false">
      <c r="A14511" s="0" t="s">
        <v>12</v>
      </c>
      <c r="B14511" s="0" t="n">
        <v>4096704</v>
      </c>
      <c r="C14511" s="0" t="n">
        <v>4096724</v>
      </c>
      <c r="D14511" s="0" t="s">
        <v>48358</v>
      </c>
      <c r="E14511" s="0" t="s">
        <v>89</v>
      </c>
      <c r="F14511" s="0" t="s">
        <v>90</v>
      </c>
      <c r="G14511" s="0" t="s">
        <v>36</v>
      </c>
      <c r="H14511" s="0" t="n">
        <v>0</v>
      </c>
      <c r="I14511" s="0" t="s">
        <v>48359</v>
      </c>
      <c r="J14511" s="0" t="s">
        <v>48360</v>
      </c>
      <c r="K14511" s="0" t="s">
        <v>48361</v>
      </c>
      <c r="L14511" s="0" t="str">
        <f aca="false">HYPERLINK("https://www.ncbi.nlm.nih.gov/nuccore/CP000304.1?report=graph&amp;tracks=[key:gene_model_track,Options:GeneOnly]&amp;mk=4096705:4096724|offset_0|00cc00,4096683:4096702|offset_22|444444,4096653:4096672|offset_52|444444,4096630:4096649|offset_75|444444&amp;v=4096504:4096849&amp;c=444444", "offset 0")</f>
        <v>offset 0</v>
      </c>
    </row>
    <row r="14512" customFormat="false" ht="12.8" hidden="false" customHeight="false" outlineLevel="0" collapsed="false">
      <c r="A14512" s="0" t="s">
        <v>12</v>
      </c>
      <c r="B14512" s="0" t="n">
        <v>4096682</v>
      </c>
      <c r="C14512" s="0" t="n">
        <v>4096702</v>
      </c>
      <c r="D14512" s="0" t="s">
        <v>48358</v>
      </c>
      <c r="E14512" s="0" t="s">
        <v>89</v>
      </c>
      <c r="F14512" s="0" t="s">
        <v>90</v>
      </c>
      <c r="G14512" s="0" t="s">
        <v>26</v>
      </c>
      <c r="H14512" s="0" t="n">
        <v>22</v>
      </c>
      <c r="I14512" s="0" t="s">
        <v>48362</v>
      </c>
      <c r="J14512" s="0" t="s">
        <v>48363</v>
      </c>
      <c r="K14512" s="0" t="s">
        <v>48364</v>
      </c>
      <c r="L14512" s="0" t="str">
        <f aca="false">HYPERLINK("https://www.ncbi.nlm.nih.gov/nuccore/CP000304.1?report=graph&amp;tracks=[key:gene_model_track,Options:GeneOnly]&amp;mk=4096705:4096724|offset_0|444444,4096683:4096702|offset_22|00cc00,4096653:4096672|offset_52|444444,4096630:4096649|offset_75|444444&amp;v=4096504:4096849&amp;c=444444", "offset 22")</f>
        <v>offset 22</v>
      </c>
    </row>
    <row r="14513" customFormat="false" ht="12.8" hidden="false" customHeight="false" outlineLevel="0" collapsed="false">
      <c r="A14513" s="0" t="s">
        <v>12</v>
      </c>
      <c r="B14513" s="0" t="n">
        <v>4096652</v>
      </c>
      <c r="C14513" s="0" t="n">
        <v>4096672</v>
      </c>
      <c r="D14513" s="0" t="s">
        <v>48358</v>
      </c>
      <c r="E14513" s="0" t="s">
        <v>89</v>
      </c>
      <c r="F14513" s="0" t="s">
        <v>90</v>
      </c>
      <c r="G14513" s="0" t="s">
        <v>16</v>
      </c>
      <c r="H14513" s="0" t="n">
        <v>52</v>
      </c>
      <c r="I14513" s="0" t="s">
        <v>48365</v>
      </c>
      <c r="J14513" s="0" t="s">
        <v>48366</v>
      </c>
      <c r="K14513" s="0" t="s">
        <v>48367</v>
      </c>
      <c r="L14513" s="0" t="str">
        <f aca="false">HYPERLINK("https://www.ncbi.nlm.nih.gov/nuccore/CP000304.1?report=graph&amp;tracks=[key:gene_model_track,Options:GeneOnly]&amp;mk=4096705:4096724|offset_0|444444,4096683:4096702|offset_22|444444,4096653:4096672|offset_52|00cc00,4096630:4096649|offset_75|444444&amp;v=4096504:4096849&amp;c=444444", "offset 52")</f>
        <v>offset 52</v>
      </c>
    </row>
    <row r="14514" customFormat="false" ht="12.8" hidden="false" customHeight="false" outlineLevel="0" collapsed="false">
      <c r="A14514" s="0" t="s">
        <v>12</v>
      </c>
      <c r="B14514" s="0" t="n">
        <v>4096629</v>
      </c>
      <c r="C14514" s="0" t="n">
        <v>4096649</v>
      </c>
      <c r="D14514" s="0" t="s">
        <v>48358</v>
      </c>
      <c r="E14514" s="0" t="s">
        <v>89</v>
      </c>
      <c r="F14514" s="0" t="s">
        <v>90</v>
      </c>
      <c r="G14514" s="0" t="s">
        <v>36</v>
      </c>
      <c r="H14514" s="0" t="n">
        <v>75</v>
      </c>
      <c r="I14514" s="0" t="s">
        <v>48368</v>
      </c>
      <c r="J14514" s="0" t="s">
        <v>48369</v>
      </c>
      <c r="K14514" s="0" t="s">
        <v>48370</v>
      </c>
      <c r="L14514" s="0" t="str">
        <f aca="false">HYPERLINK("https://www.ncbi.nlm.nih.gov/nuccore/CP000304.1?report=graph&amp;tracks=[key:gene_model_track,Options:GeneOnly]&amp;mk=4096705:4096724|offset_0|444444,4096683:4096702|offset_22|444444,4096653:4096672|offset_52|444444,4096630:4096649|offset_75|00cc00&amp;v=4096504:4096849&amp;c=444444", "offset 75")</f>
        <v>offset 75</v>
      </c>
    </row>
    <row r="14515" customFormat="false" ht="12.8" hidden="false" customHeight="false" outlineLevel="0" collapsed="false">
      <c r="A14515" s="0" t="s">
        <v>12</v>
      </c>
      <c r="B14515" s="0" t="n">
        <v>4096798</v>
      </c>
      <c r="C14515" s="0" t="n">
        <v>4096818</v>
      </c>
      <c r="D14515" s="0" t="s">
        <v>48371</v>
      </c>
      <c r="E14515" s="0" t="s">
        <v>89</v>
      </c>
      <c r="F14515" s="0" t="s">
        <v>15</v>
      </c>
      <c r="G14515" s="0" t="s">
        <v>32</v>
      </c>
      <c r="H14515" s="0" t="n">
        <v>11</v>
      </c>
      <c r="I14515" s="0" t="s">
        <v>48372</v>
      </c>
      <c r="J14515" s="0" t="s">
        <v>48373</v>
      </c>
      <c r="K14515" s="0" t="s">
        <v>48374</v>
      </c>
      <c r="L14515" s="0" t="str">
        <f aca="false">HYPERLINK("https://www.ncbi.nlm.nih.gov/nuccore/CP000304.1?report=graph&amp;tracks=[key:gene_model_track,Options:GeneOnly]&amp;mk=4096799:4096818|offset_11|00cc00,4096825:4096844|offset_37|444444,4096852:4096871|offset_64|444444,4096881:4096900|offset_93|444444&amp;v=4096598:4097100&amp;c=444444", "offset 11")</f>
        <v>offset 11</v>
      </c>
    </row>
    <row r="14516" customFormat="false" ht="12.8" hidden="false" customHeight="false" outlineLevel="0" collapsed="false">
      <c r="A14516" s="0" t="s">
        <v>12</v>
      </c>
      <c r="B14516" s="0" t="n">
        <v>4096824</v>
      </c>
      <c r="C14516" s="0" t="n">
        <v>4096844</v>
      </c>
      <c r="D14516" s="0" t="s">
        <v>48371</v>
      </c>
      <c r="E14516" s="0" t="s">
        <v>89</v>
      </c>
      <c r="F14516" s="0" t="s">
        <v>15</v>
      </c>
      <c r="G14516" s="0" t="s">
        <v>32</v>
      </c>
      <c r="H14516" s="0" t="n">
        <v>37</v>
      </c>
      <c r="I14516" s="0" t="s">
        <v>48375</v>
      </c>
      <c r="J14516" s="0" t="s">
        <v>48376</v>
      </c>
      <c r="K14516" s="0" t="s">
        <v>48377</v>
      </c>
      <c r="L14516" s="0" t="str">
        <f aca="false">HYPERLINK("https://www.ncbi.nlm.nih.gov/nuccore/CP000304.1?report=graph&amp;tracks=[key:gene_model_track,Options:GeneOnly]&amp;mk=4096799:4096818|offset_11|444444,4096825:4096844|offset_37|00cc00,4096852:4096871|offset_64|444444,4096881:4096900|offset_93|444444&amp;v=4096598:4097100&amp;c=444444", "offset 37")</f>
        <v>offset 37</v>
      </c>
    </row>
    <row r="14517" customFormat="false" ht="12.8" hidden="false" customHeight="false" outlineLevel="0" collapsed="false">
      <c r="A14517" s="0" t="s">
        <v>12</v>
      </c>
      <c r="B14517" s="0" t="n">
        <v>4096851</v>
      </c>
      <c r="C14517" s="0" t="n">
        <v>4096871</v>
      </c>
      <c r="D14517" s="0" t="s">
        <v>48371</v>
      </c>
      <c r="E14517" s="0" t="s">
        <v>89</v>
      </c>
      <c r="F14517" s="0" t="s">
        <v>15</v>
      </c>
      <c r="G14517" s="0" t="s">
        <v>36</v>
      </c>
      <c r="H14517" s="0" t="n">
        <v>64</v>
      </c>
      <c r="I14517" s="0" t="s">
        <v>48378</v>
      </c>
      <c r="J14517" s="0" t="s">
        <v>48379</v>
      </c>
      <c r="K14517" s="0" t="s">
        <v>48380</v>
      </c>
      <c r="L14517" s="0" t="str">
        <f aca="false">HYPERLINK("https://www.ncbi.nlm.nih.gov/nuccore/CP000304.1?report=graph&amp;tracks=[key:gene_model_track,Options:GeneOnly]&amp;mk=4096799:4096818|offset_11|444444,4096825:4096844|offset_37|444444,4096852:4096871|offset_64|00cc00,4096881:4096900|offset_93|444444&amp;v=4096598:4097100&amp;c=444444", "offset 64")</f>
        <v>offset 64</v>
      </c>
    </row>
    <row r="14518" customFormat="false" ht="12.8" hidden="false" customHeight="false" outlineLevel="0" collapsed="false">
      <c r="A14518" s="0" t="s">
        <v>12</v>
      </c>
      <c r="B14518" s="0" t="n">
        <v>4096880</v>
      </c>
      <c r="C14518" s="0" t="n">
        <v>4096900</v>
      </c>
      <c r="D14518" s="0" t="s">
        <v>48371</v>
      </c>
      <c r="E14518" s="0" t="s">
        <v>89</v>
      </c>
      <c r="F14518" s="0" t="s">
        <v>15</v>
      </c>
      <c r="G14518" s="0" t="s">
        <v>16</v>
      </c>
      <c r="H14518" s="0" t="n">
        <v>93</v>
      </c>
      <c r="I14518" s="0" t="s">
        <v>48381</v>
      </c>
      <c r="J14518" s="0" t="s">
        <v>48382</v>
      </c>
      <c r="K14518" s="0" t="s">
        <v>48383</v>
      </c>
      <c r="L14518" s="0" t="str">
        <f aca="false">HYPERLINK("https://www.ncbi.nlm.nih.gov/nuccore/CP000304.1?report=graph&amp;tracks=[key:gene_model_track,Options:GeneOnly]&amp;mk=4096799:4096818|offset_11|444444,4096825:4096844|offset_37|444444,4096852:4096871|offset_64|444444,4096881:4096900|offset_93|00cc00&amp;v=4096598:4097100&amp;c=444444", "offset 93")</f>
        <v>offset 93</v>
      </c>
    </row>
    <row r="14519" customFormat="false" ht="12.8" hidden="false" customHeight="false" outlineLevel="0" collapsed="false">
      <c r="A14519" s="0" t="s">
        <v>12</v>
      </c>
      <c r="B14519" s="0" t="n">
        <v>4097472</v>
      </c>
      <c r="C14519" s="0" t="n">
        <v>4097492</v>
      </c>
      <c r="D14519" s="0" t="s">
        <v>48384</v>
      </c>
      <c r="E14519" s="0" t="s">
        <v>89</v>
      </c>
      <c r="F14519" s="0" t="s">
        <v>15</v>
      </c>
      <c r="G14519" s="0" t="s">
        <v>26</v>
      </c>
      <c r="H14519" s="0" t="n">
        <v>11</v>
      </c>
      <c r="I14519" s="0" t="s">
        <v>48385</v>
      </c>
      <c r="J14519" s="0" t="s">
        <v>48386</v>
      </c>
      <c r="K14519" s="0" t="s">
        <v>48387</v>
      </c>
      <c r="L14519" s="0" t="str">
        <f aca="false">HYPERLINK("https://www.ncbi.nlm.nih.gov/nuccore/CP000304.1?report=graph&amp;tracks=[key:gene_model_track,Options:GeneOnly]&amp;mk=4097473:4097492|offset_11|00cc00,4097497:4097516|offset_35|444444,4097525:4097544|offset_63|444444,4097552:4097571|offset_90|444444&amp;v=4097272:4097771&amp;c=444444", "offset 11")</f>
        <v>offset 11</v>
      </c>
    </row>
    <row r="14520" customFormat="false" ht="12.8" hidden="false" customHeight="false" outlineLevel="0" collapsed="false">
      <c r="A14520" s="0" t="s">
        <v>12</v>
      </c>
      <c r="B14520" s="0" t="n">
        <v>4097496</v>
      </c>
      <c r="C14520" s="0" t="n">
        <v>4097516</v>
      </c>
      <c r="D14520" s="0" t="s">
        <v>48384</v>
      </c>
      <c r="E14520" s="0" t="s">
        <v>89</v>
      </c>
      <c r="F14520" s="0" t="s">
        <v>15</v>
      </c>
      <c r="G14520" s="0" t="s">
        <v>26</v>
      </c>
      <c r="H14520" s="0" t="n">
        <v>35</v>
      </c>
      <c r="I14520" s="0" t="s">
        <v>48388</v>
      </c>
      <c r="J14520" s="0" t="s">
        <v>48389</v>
      </c>
      <c r="K14520" s="0" t="s">
        <v>48390</v>
      </c>
      <c r="L14520" s="0" t="str">
        <f aca="false">HYPERLINK("https://www.ncbi.nlm.nih.gov/nuccore/CP000304.1?report=graph&amp;tracks=[key:gene_model_track,Options:GeneOnly]&amp;mk=4097473:4097492|offset_11|444444,4097497:4097516|offset_35|00cc00,4097525:4097544|offset_63|444444,4097552:4097571|offset_90|444444&amp;v=4097272:4097771&amp;c=444444", "offset 35")</f>
        <v>offset 35</v>
      </c>
    </row>
    <row r="14521" customFormat="false" ht="12.8" hidden="false" customHeight="false" outlineLevel="0" collapsed="false">
      <c r="A14521" s="0" t="s">
        <v>12</v>
      </c>
      <c r="B14521" s="0" t="n">
        <v>4097524</v>
      </c>
      <c r="C14521" s="0" t="n">
        <v>4097544</v>
      </c>
      <c r="D14521" s="0" t="s">
        <v>48384</v>
      </c>
      <c r="E14521" s="0" t="s">
        <v>89</v>
      </c>
      <c r="F14521" s="0" t="s">
        <v>15</v>
      </c>
      <c r="G14521" s="0" t="s">
        <v>32</v>
      </c>
      <c r="H14521" s="0" t="n">
        <v>63</v>
      </c>
      <c r="I14521" s="0" t="s">
        <v>48391</v>
      </c>
      <c r="J14521" s="0" t="s">
        <v>48392</v>
      </c>
      <c r="K14521" s="0" t="s">
        <v>48393</v>
      </c>
      <c r="L14521" s="0" t="str">
        <f aca="false">HYPERLINK("https://www.ncbi.nlm.nih.gov/nuccore/CP000304.1?report=graph&amp;tracks=[key:gene_model_track,Options:GeneOnly]&amp;mk=4097473:4097492|offset_11|444444,4097497:4097516|offset_35|444444,4097525:4097544|offset_63|00cc00,4097552:4097571|offset_90|444444&amp;v=4097272:4097771&amp;c=444444", "offset 63")</f>
        <v>offset 63</v>
      </c>
    </row>
    <row r="14522" customFormat="false" ht="12.8" hidden="false" customHeight="false" outlineLevel="0" collapsed="false">
      <c r="A14522" s="0" t="s">
        <v>12</v>
      </c>
      <c r="B14522" s="0" t="n">
        <v>4097551</v>
      </c>
      <c r="C14522" s="0" t="n">
        <v>4097571</v>
      </c>
      <c r="D14522" s="0" t="s">
        <v>48384</v>
      </c>
      <c r="E14522" s="0" t="s">
        <v>89</v>
      </c>
      <c r="F14522" s="0" t="s">
        <v>15</v>
      </c>
      <c r="G14522" s="0" t="s">
        <v>36</v>
      </c>
      <c r="H14522" s="0" t="n">
        <v>90</v>
      </c>
      <c r="I14522" s="0" t="s">
        <v>48394</v>
      </c>
      <c r="J14522" s="0" t="s">
        <v>48395</v>
      </c>
      <c r="K14522" s="0" t="s">
        <v>48396</v>
      </c>
      <c r="L14522" s="0" t="str">
        <f aca="false">HYPERLINK("https://www.ncbi.nlm.nih.gov/nuccore/CP000304.1?report=graph&amp;tracks=[key:gene_model_track,Options:GeneOnly]&amp;mk=4097473:4097492|offset_11|444444,4097497:4097516|offset_35|444444,4097525:4097544|offset_63|444444,4097552:4097571|offset_90|00cc00&amp;v=4097272:4097771&amp;c=444444", "offset 90")</f>
        <v>offset 90</v>
      </c>
    </row>
    <row r="14523" customFormat="false" ht="12.8" hidden="false" customHeight="false" outlineLevel="0" collapsed="false">
      <c r="A14523" s="0" t="s">
        <v>12</v>
      </c>
      <c r="B14523" s="0" t="n">
        <v>4099155</v>
      </c>
      <c r="C14523" s="0" t="n">
        <v>4099175</v>
      </c>
      <c r="D14523" s="0" t="s">
        <v>48397</v>
      </c>
      <c r="E14523" s="0" t="s">
        <v>89</v>
      </c>
      <c r="F14523" s="0" t="s">
        <v>15</v>
      </c>
      <c r="G14523" s="0" t="s">
        <v>32</v>
      </c>
      <c r="H14523" s="0" t="n">
        <v>1</v>
      </c>
      <c r="I14523" s="0" t="s">
        <v>48398</v>
      </c>
      <c r="J14523" s="0" t="s">
        <v>48399</v>
      </c>
      <c r="K14523" s="0" t="s">
        <v>48400</v>
      </c>
      <c r="L14523" s="0" t="str">
        <f aca="false">HYPERLINK("https://www.ncbi.nlm.nih.gov/nuccore/CP000304.1?report=graph&amp;tracks=[key:gene_model_track,Options:GeneOnly]&amp;mk=4099156:4099175|offset_1|00cc00,4099189:4099208|offset_34|444444,4099242:4099261|offset_87|444444,4099266:4099285|offset_111|444444&amp;v=4098955:4099485&amp;c=444444", "offset 1")</f>
        <v>offset 1</v>
      </c>
    </row>
    <row r="14524" customFormat="false" ht="12.8" hidden="false" customHeight="false" outlineLevel="0" collapsed="false">
      <c r="A14524" s="0" t="s">
        <v>12</v>
      </c>
      <c r="B14524" s="0" t="n">
        <v>4099188</v>
      </c>
      <c r="C14524" s="0" t="n">
        <v>4099208</v>
      </c>
      <c r="D14524" s="0" t="s">
        <v>48397</v>
      </c>
      <c r="E14524" s="0" t="s">
        <v>89</v>
      </c>
      <c r="F14524" s="0" t="s">
        <v>15</v>
      </c>
      <c r="G14524" s="0" t="s">
        <v>16</v>
      </c>
      <c r="H14524" s="0" t="n">
        <v>34</v>
      </c>
      <c r="I14524" s="0" t="s">
        <v>48401</v>
      </c>
      <c r="J14524" s="0" t="s">
        <v>48402</v>
      </c>
      <c r="K14524" s="0" t="s">
        <v>48403</v>
      </c>
      <c r="L14524" s="0" t="str">
        <f aca="false">HYPERLINK("https://www.ncbi.nlm.nih.gov/nuccore/CP000304.1?report=graph&amp;tracks=[key:gene_model_track,Options:GeneOnly]&amp;mk=4099156:4099175|offset_1|444444,4099189:4099208|offset_34|00cc00,4099242:4099261|offset_87|444444,4099266:4099285|offset_111|444444&amp;v=4098955:4099485&amp;c=444444", "offset 34")</f>
        <v>offset 34</v>
      </c>
    </row>
    <row r="14525" customFormat="false" ht="12.8" hidden="false" customHeight="false" outlineLevel="0" collapsed="false">
      <c r="A14525" s="0" t="s">
        <v>12</v>
      </c>
      <c r="B14525" s="0" t="n">
        <v>4099241</v>
      </c>
      <c r="C14525" s="0" t="n">
        <v>4099261</v>
      </c>
      <c r="D14525" s="0" t="s">
        <v>48397</v>
      </c>
      <c r="E14525" s="0" t="s">
        <v>89</v>
      </c>
      <c r="F14525" s="0" t="s">
        <v>15</v>
      </c>
      <c r="G14525" s="0" t="s">
        <v>36</v>
      </c>
      <c r="H14525" s="0" t="n">
        <v>87</v>
      </c>
      <c r="I14525" s="0" t="s">
        <v>48404</v>
      </c>
      <c r="J14525" s="0" t="s">
        <v>48405</v>
      </c>
      <c r="K14525" s="0" t="s">
        <v>48406</v>
      </c>
      <c r="L14525" s="0" t="str">
        <f aca="false">HYPERLINK("https://www.ncbi.nlm.nih.gov/nuccore/CP000304.1?report=graph&amp;tracks=[key:gene_model_track,Options:GeneOnly]&amp;mk=4099156:4099175|offset_1|444444,4099189:4099208|offset_34|444444,4099242:4099261|offset_87|00cc00,4099266:4099285|offset_111|444444&amp;v=4098955:4099485&amp;c=444444", "offset 87")</f>
        <v>offset 87</v>
      </c>
    </row>
    <row r="14526" customFormat="false" ht="12.8" hidden="false" customHeight="false" outlineLevel="0" collapsed="false">
      <c r="A14526" s="0" t="s">
        <v>12</v>
      </c>
      <c r="B14526" s="0" t="n">
        <v>4099265</v>
      </c>
      <c r="C14526" s="0" t="n">
        <v>4099285</v>
      </c>
      <c r="D14526" s="0" t="s">
        <v>48397</v>
      </c>
      <c r="E14526" s="0" t="s">
        <v>89</v>
      </c>
      <c r="F14526" s="0" t="s">
        <v>15</v>
      </c>
      <c r="G14526" s="0" t="s">
        <v>36</v>
      </c>
      <c r="H14526" s="0" t="n">
        <v>111</v>
      </c>
      <c r="I14526" s="0" t="s">
        <v>48407</v>
      </c>
      <c r="J14526" s="0" t="s">
        <v>48408</v>
      </c>
      <c r="K14526" s="0" t="s">
        <v>48409</v>
      </c>
      <c r="L14526" s="0" t="str">
        <f aca="false">HYPERLINK("https://www.ncbi.nlm.nih.gov/nuccore/CP000304.1?report=graph&amp;tracks=[key:gene_model_track,Options:GeneOnly]&amp;mk=4099156:4099175|offset_1|444444,4099189:4099208|offset_34|444444,4099242:4099261|offset_87|444444,4099266:4099285|offset_111|00cc00&amp;v=4098955:4099485&amp;c=444444", "offset 111")</f>
        <v>offset 111</v>
      </c>
    </row>
    <row r="14527" customFormat="false" ht="12.8" hidden="false" customHeight="false" outlineLevel="0" collapsed="false">
      <c r="A14527" s="0" t="s">
        <v>12</v>
      </c>
      <c r="B14527" s="0" t="n">
        <v>4100414</v>
      </c>
      <c r="C14527" s="0" t="n">
        <v>4100434</v>
      </c>
      <c r="D14527" s="0" t="s">
        <v>48410</v>
      </c>
      <c r="E14527" s="0" t="s">
        <v>48411</v>
      </c>
      <c r="F14527" s="0" t="s">
        <v>90</v>
      </c>
      <c r="G14527" s="0" t="s">
        <v>36</v>
      </c>
      <c r="H14527" s="0" t="n">
        <v>11</v>
      </c>
      <c r="I14527" s="0" t="s">
        <v>48412</v>
      </c>
      <c r="J14527" s="0" t="s">
        <v>48413</v>
      </c>
      <c r="K14527" s="0" t="s">
        <v>48414</v>
      </c>
      <c r="L14527" s="0" t="str">
        <f aca="false">HYPERLINK("https://www.ncbi.nlm.nih.gov/nuccore/CP000304.1?report=graph&amp;tracks=[key:gene_model_track,Options:GeneOnly]&amp;mk=4100415:4100434|offset_11|00cc00,4100391:4100410|offset_35|444444,4100369:4100388|offset_57|444444,4100341:4100360|offset_85|444444&amp;v=4100214:4100560&amp;c=444444", "offset 11")</f>
        <v>offset 11</v>
      </c>
    </row>
    <row r="14528" customFormat="false" ht="12.8" hidden="false" customHeight="false" outlineLevel="0" collapsed="false">
      <c r="A14528" s="0" t="s">
        <v>12</v>
      </c>
      <c r="B14528" s="0" t="n">
        <v>4100390</v>
      </c>
      <c r="C14528" s="0" t="n">
        <v>4100410</v>
      </c>
      <c r="D14528" s="0" t="s">
        <v>48410</v>
      </c>
      <c r="E14528" s="0" t="s">
        <v>48411</v>
      </c>
      <c r="F14528" s="0" t="s">
        <v>90</v>
      </c>
      <c r="G14528" s="0" t="s">
        <v>26</v>
      </c>
      <c r="H14528" s="0" t="n">
        <v>35</v>
      </c>
      <c r="I14528" s="0" t="s">
        <v>48415</v>
      </c>
      <c r="J14528" s="0" t="s">
        <v>48416</v>
      </c>
      <c r="K14528" s="0" t="s">
        <v>48417</v>
      </c>
      <c r="L14528" s="0" t="str">
        <f aca="false">HYPERLINK("https://www.ncbi.nlm.nih.gov/nuccore/CP000304.1?report=graph&amp;tracks=[key:gene_model_track,Options:GeneOnly]&amp;mk=4100415:4100434|offset_11|444444,4100391:4100410|offset_35|00cc00,4100369:4100388|offset_57|444444,4100341:4100360|offset_85|444444&amp;v=4100214:4100560&amp;c=444444", "offset 35")</f>
        <v>offset 35</v>
      </c>
    </row>
    <row r="14529" customFormat="false" ht="12.8" hidden="false" customHeight="false" outlineLevel="0" collapsed="false">
      <c r="A14529" s="0" t="s">
        <v>12</v>
      </c>
      <c r="B14529" s="0" t="n">
        <v>4100368</v>
      </c>
      <c r="C14529" s="0" t="n">
        <v>4100388</v>
      </c>
      <c r="D14529" s="0" t="s">
        <v>48410</v>
      </c>
      <c r="E14529" s="0" t="s">
        <v>48411</v>
      </c>
      <c r="F14529" s="0" t="s">
        <v>90</v>
      </c>
      <c r="G14529" s="0" t="s">
        <v>16</v>
      </c>
      <c r="H14529" s="0" t="n">
        <v>57</v>
      </c>
      <c r="I14529" s="0" t="s">
        <v>48418</v>
      </c>
      <c r="J14529" s="0" t="s">
        <v>48419</v>
      </c>
      <c r="K14529" s="0" t="s">
        <v>48420</v>
      </c>
      <c r="L14529" s="0" t="str">
        <f aca="false">HYPERLINK("https://www.ncbi.nlm.nih.gov/nuccore/CP000304.1?report=graph&amp;tracks=[key:gene_model_track,Options:GeneOnly]&amp;mk=4100415:4100434|offset_11|444444,4100391:4100410|offset_35|444444,4100369:4100388|offset_57|00cc00,4100341:4100360|offset_85|444444&amp;v=4100214:4100560&amp;c=444444", "offset 57")</f>
        <v>offset 57</v>
      </c>
    </row>
    <row r="14530" customFormat="false" ht="12.8" hidden="false" customHeight="false" outlineLevel="0" collapsed="false">
      <c r="A14530" s="0" t="s">
        <v>12</v>
      </c>
      <c r="B14530" s="0" t="n">
        <v>4100340</v>
      </c>
      <c r="C14530" s="0" t="n">
        <v>4100360</v>
      </c>
      <c r="D14530" s="0" t="s">
        <v>48410</v>
      </c>
      <c r="E14530" s="0" t="s">
        <v>48411</v>
      </c>
      <c r="F14530" s="0" t="s">
        <v>90</v>
      </c>
      <c r="G14530" s="0" t="s">
        <v>32</v>
      </c>
      <c r="H14530" s="0" t="n">
        <v>85</v>
      </c>
      <c r="I14530" s="0" t="s">
        <v>48421</v>
      </c>
      <c r="J14530" s="0" t="s">
        <v>48422</v>
      </c>
      <c r="K14530" s="0" t="s">
        <v>48423</v>
      </c>
      <c r="L14530" s="0" t="str">
        <f aca="false">HYPERLINK("https://www.ncbi.nlm.nih.gov/nuccore/CP000304.1?report=graph&amp;tracks=[key:gene_model_track,Options:GeneOnly]&amp;mk=4100415:4100434|offset_11|444444,4100391:4100410|offset_35|444444,4100369:4100388|offset_57|444444,4100341:4100360|offset_85|00cc00&amp;v=4100214:4100560&amp;c=444444", "offset 85")</f>
        <v>offset 85</v>
      </c>
    </row>
    <row r="14531" customFormat="false" ht="12.8" hidden="false" customHeight="false" outlineLevel="0" collapsed="false">
      <c r="A14531" s="0" t="s">
        <v>12</v>
      </c>
      <c r="B14531" s="0" t="n">
        <v>4101259</v>
      </c>
      <c r="C14531" s="0" t="n">
        <v>4101279</v>
      </c>
      <c r="D14531" s="0" t="s">
        <v>48424</v>
      </c>
      <c r="E14531" s="0" t="s">
        <v>89</v>
      </c>
      <c r="F14531" s="0" t="s">
        <v>90</v>
      </c>
      <c r="G14531" s="0" t="s">
        <v>32</v>
      </c>
      <c r="H14531" s="0" t="n">
        <v>1</v>
      </c>
      <c r="I14531" s="0" t="s">
        <v>48425</v>
      </c>
      <c r="J14531" s="0" t="s">
        <v>48426</v>
      </c>
      <c r="K14531" s="0" t="s">
        <v>48427</v>
      </c>
      <c r="L14531" s="0" t="str">
        <f aca="false">HYPERLINK("https://www.ncbi.nlm.nih.gov/nuccore/CP000304.1?report=graph&amp;tracks=[key:gene_model_track,Options:GeneOnly]&amp;mk=4101260:4101279|offset_1|00cc00,4101231:4101250|offset_30|444444,4101192:4101211|offset_69|444444,4101166:4101185|offset_95|444444&amp;v=4101059:4101385&amp;c=444444", "offset 1")</f>
        <v>offset 1</v>
      </c>
    </row>
    <row r="14532" customFormat="false" ht="12.8" hidden="false" customHeight="false" outlineLevel="0" collapsed="false">
      <c r="A14532" s="0" t="s">
        <v>12</v>
      </c>
      <c r="B14532" s="0" t="n">
        <v>4101230</v>
      </c>
      <c r="C14532" s="0" t="n">
        <v>4101250</v>
      </c>
      <c r="D14532" s="0" t="s">
        <v>48424</v>
      </c>
      <c r="E14532" s="0" t="s">
        <v>89</v>
      </c>
      <c r="F14532" s="0" t="s">
        <v>90</v>
      </c>
      <c r="G14532" s="0" t="s">
        <v>36</v>
      </c>
      <c r="H14532" s="0" t="n">
        <v>30</v>
      </c>
      <c r="I14532" s="0" t="s">
        <v>48428</v>
      </c>
      <c r="J14532" s="0" t="s">
        <v>48429</v>
      </c>
      <c r="K14532" s="0" t="s">
        <v>48430</v>
      </c>
      <c r="L14532" s="0" t="str">
        <f aca="false">HYPERLINK("https://www.ncbi.nlm.nih.gov/nuccore/CP000304.1?report=graph&amp;tracks=[key:gene_model_track,Options:GeneOnly]&amp;mk=4101260:4101279|offset_1|444444,4101231:4101250|offset_30|00cc00,4101192:4101211|offset_69|444444,4101166:4101185|offset_95|444444&amp;v=4101059:4101385&amp;c=444444", "offset 30")</f>
        <v>offset 30</v>
      </c>
    </row>
    <row r="14533" customFormat="false" ht="12.8" hidden="false" customHeight="false" outlineLevel="0" collapsed="false">
      <c r="A14533" s="0" t="s">
        <v>12</v>
      </c>
      <c r="B14533" s="0" t="n">
        <v>4101191</v>
      </c>
      <c r="C14533" s="0" t="n">
        <v>4101211</v>
      </c>
      <c r="D14533" s="0" t="s">
        <v>48424</v>
      </c>
      <c r="E14533" s="0" t="s">
        <v>89</v>
      </c>
      <c r="F14533" s="0" t="s">
        <v>90</v>
      </c>
      <c r="G14533" s="0" t="s">
        <v>16</v>
      </c>
      <c r="H14533" s="0" t="n">
        <v>69</v>
      </c>
      <c r="I14533" s="0" t="s">
        <v>48431</v>
      </c>
      <c r="J14533" s="0" t="s">
        <v>48432</v>
      </c>
      <c r="K14533" s="0" t="s">
        <v>48433</v>
      </c>
      <c r="L14533" s="0" t="str">
        <f aca="false">HYPERLINK("https://www.ncbi.nlm.nih.gov/nuccore/CP000304.1?report=graph&amp;tracks=[key:gene_model_track,Options:GeneOnly]&amp;mk=4101260:4101279|offset_1|444444,4101231:4101250|offset_30|444444,4101192:4101211|offset_69|00cc00,4101166:4101185|offset_95|444444&amp;v=4101059:4101385&amp;c=444444", "offset 69")</f>
        <v>offset 69</v>
      </c>
    </row>
    <row r="14534" customFormat="false" ht="12.8" hidden="false" customHeight="false" outlineLevel="0" collapsed="false">
      <c r="A14534" s="0" t="s">
        <v>12</v>
      </c>
      <c r="B14534" s="0" t="n">
        <v>4101165</v>
      </c>
      <c r="C14534" s="0" t="n">
        <v>4101185</v>
      </c>
      <c r="D14534" s="0" t="s">
        <v>48424</v>
      </c>
      <c r="E14534" s="0" t="s">
        <v>89</v>
      </c>
      <c r="F14534" s="0" t="s">
        <v>90</v>
      </c>
      <c r="G14534" s="0" t="s">
        <v>26</v>
      </c>
      <c r="H14534" s="0" t="n">
        <v>95</v>
      </c>
      <c r="I14534" s="0" t="s">
        <v>48434</v>
      </c>
      <c r="J14534" s="0" t="s">
        <v>48435</v>
      </c>
      <c r="K14534" s="0" t="s">
        <v>48436</v>
      </c>
      <c r="L14534" s="0" t="str">
        <f aca="false">HYPERLINK("https://www.ncbi.nlm.nih.gov/nuccore/CP000304.1?report=graph&amp;tracks=[key:gene_model_track,Options:GeneOnly]&amp;mk=4101260:4101279|offset_1|444444,4101231:4101250|offset_30|444444,4101192:4101211|offset_69|444444,4101166:4101185|offset_95|00cc00&amp;v=4101059:4101385&amp;c=444444", "offset 95")</f>
        <v>offset 95</v>
      </c>
    </row>
    <row r="14535" customFormat="false" ht="12.8" hidden="false" customHeight="false" outlineLevel="0" collapsed="false">
      <c r="A14535" s="0" t="s">
        <v>12</v>
      </c>
      <c r="B14535" s="0" t="n">
        <v>4101376</v>
      </c>
      <c r="C14535" s="0" t="n">
        <v>4101396</v>
      </c>
      <c r="D14535" s="0" t="s">
        <v>48437</v>
      </c>
      <c r="E14535" s="0" t="s">
        <v>89</v>
      </c>
      <c r="F14535" s="0" t="s">
        <v>15</v>
      </c>
      <c r="G14535" s="0" t="s">
        <v>16</v>
      </c>
      <c r="H14535" s="0" t="n">
        <v>15</v>
      </c>
      <c r="I14535" s="0" t="s">
        <v>48438</v>
      </c>
      <c r="J14535" s="0" t="s">
        <v>48439</v>
      </c>
      <c r="K14535" s="0" t="s">
        <v>48440</v>
      </c>
      <c r="L14535" s="0" t="str">
        <f aca="false">HYPERLINK("https://www.ncbi.nlm.nih.gov/nuccore/CP000304.1?report=graph&amp;tracks=[key:gene_model_track,Options:GeneOnly]&amp;mk=4101377:4101396|offset_15|00cc00,4101398:4101417|offset_36|444444,4101418:4101437|offset_56|444444,4101457:4101476|offset_95|444444&amp;v=4101176:4101676&amp;c=444444", "offset 15")</f>
        <v>offset 15</v>
      </c>
    </row>
    <row r="14536" customFormat="false" ht="12.8" hidden="false" customHeight="false" outlineLevel="0" collapsed="false">
      <c r="A14536" s="0" t="s">
        <v>12</v>
      </c>
      <c r="B14536" s="0" t="n">
        <v>4101397</v>
      </c>
      <c r="C14536" s="0" t="n">
        <v>4101417</v>
      </c>
      <c r="D14536" s="0" t="s">
        <v>48437</v>
      </c>
      <c r="E14536" s="0" t="s">
        <v>89</v>
      </c>
      <c r="F14536" s="0" t="s">
        <v>15</v>
      </c>
      <c r="G14536" s="0" t="s">
        <v>36</v>
      </c>
      <c r="H14536" s="0" t="n">
        <v>36</v>
      </c>
      <c r="I14536" s="0" t="s">
        <v>48441</v>
      </c>
      <c r="J14536" s="0" t="s">
        <v>48442</v>
      </c>
      <c r="K14536" s="0" t="s">
        <v>48443</v>
      </c>
      <c r="L14536" s="0" t="str">
        <f aca="false">HYPERLINK("https://www.ncbi.nlm.nih.gov/nuccore/CP000304.1?report=graph&amp;tracks=[key:gene_model_track,Options:GeneOnly]&amp;mk=4101377:4101396|offset_15|444444,4101398:4101417|offset_36|00cc00,4101418:4101437|offset_56|444444,4101457:4101476|offset_95|444444&amp;v=4101176:4101676&amp;c=444444", "offset 36")</f>
        <v>offset 36</v>
      </c>
    </row>
    <row r="14537" customFormat="false" ht="12.8" hidden="false" customHeight="false" outlineLevel="0" collapsed="false">
      <c r="A14537" s="0" t="s">
        <v>12</v>
      </c>
      <c r="B14537" s="0" t="n">
        <v>4101417</v>
      </c>
      <c r="C14537" s="0" t="n">
        <v>4101437</v>
      </c>
      <c r="D14537" s="0" t="s">
        <v>48437</v>
      </c>
      <c r="E14537" s="0" t="s">
        <v>89</v>
      </c>
      <c r="F14537" s="0" t="s">
        <v>15</v>
      </c>
      <c r="G14537" s="0" t="s">
        <v>32</v>
      </c>
      <c r="H14537" s="0" t="n">
        <v>56</v>
      </c>
      <c r="I14537" s="0" t="s">
        <v>48444</v>
      </c>
      <c r="J14537" s="0" t="s">
        <v>48445</v>
      </c>
      <c r="K14537" s="0" t="s">
        <v>48446</v>
      </c>
      <c r="L14537" s="0" t="str">
        <f aca="false">HYPERLINK("https://www.ncbi.nlm.nih.gov/nuccore/CP000304.1?report=graph&amp;tracks=[key:gene_model_track,Options:GeneOnly]&amp;mk=4101377:4101396|offset_15|444444,4101398:4101417|offset_36|444444,4101418:4101437|offset_56|00cc00,4101457:4101476|offset_95|444444&amp;v=4101176:4101676&amp;c=444444", "offset 56")</f>
        <v>offset 56</v>
      </c>
    </row>
    <row r="14538" customFormat="false" ht="12.8" hidden="false" customHeight="false" outlineLevel="0" collapsed="false">
      <c r="A14538" s="0" t="s">
        <v>12</v>
      </c>
      <c r="B14538" s="0" t="n">
        <v>4101456</v>
      </c>
      <c r="C14538" s="0" t="n">
        <v>4101476</v>
      </c>
      <c r="D14538" s="0" t="s">
        <v>48437</v>
      </c>
      <c r="E14538" s="0" t="s">
        <v>89</v>
      </c>
      <c r="F14538" s="0" t="s">
        <v>15</v>
      </c>
      <c r="G14538" s="0" t="s">
        <v>32</v>
      </c>
      <c r="H14538" s="0" t="n">
        <v>95</v>
      </c>
      <c r="I14538" s="0" t="s">
        <v>48447</v>
      </c>
      <c r="J14538" s="0" t="s">
        <v>48448</v>
      </c>
      <c r="K14538" s="0" t="s">
        <v>48449</v>
      </c>
      <c r="L14538" s="0" t="str">
        <f aca="false">HYPERLINK("https://www.ncbi.nlm.nih.gov/nuccore/CP000304.1?report=graph&amp;tracks=[key:gene_model_track,Options:GeneOnly]&amp;mk=4101377:4101396|offset_15|444444,4101398:4101417|offset_36|444444,4101418:4101437|offset_56|444444,4101457:4101476|offset_95|00cc00&amp;v=4101176:4101676&amp;c=444444", "offset 95")</f>
        <v>offset 95</v>
      </c>
    </row>
    <row r="14539" customFormat="false" ht="12.8" hidden="false" customHeight="false" outlineLevel="0" collapsed="false">
      <c r="A14539" s="0" t="s">
        <v>12</v>
      </c>
      <c r="B14539" s="0" t="n">
        <v>4103437</v>
      </c>
      <c r="C14539" s="0" t="n">
        <v>4103457</v>
      </c>
      <c r="D14539" s="0" t="s">
        <v>48450</v>
      </c>
      <c r="E14539" s="0" t="s">
        <v>89</v>
      </c>
      <c r="F14539" s="0" t="s">
        <v>90</v>
      </c>
      <c r="G14539" s="0" t="s">
        <v>32</v>
      </c>
      <c r="H14539" s="0" t="n">
        <v>1</v>
      </c>
      <c r="I14539" s="0" t="s">
        <v>48451</v>
      </c>
      <c r="J14539" s="0" t="s">
        <v>48452</v>
      </c>
      <c r="K14539" s="0" t="s">
        <v>48453</v>
      </c>
      <c r="L14539" s="0" t="str">
        <f aca="false">HYPERLINK("https://www.ncbi.nlm.nih.gov/nuccore/CP000304.1?report=graph&amp;tracks=[key:gene_model_track,Options:GeneOnly]&amp;mk=4103438:4103457|offset_1|00cc00,4103357:4103376|offset_82|444444,4103320:4103339|offset_119|444444,4103294:4103313|offset_145|444444&amp;v=4103237:4103513&amp;c=444444", "offset 1")</f>
        <v>offset 1</v>
      </c>
    </row>
    <row r="14540" customFormat="false" ht="12.8" hidden="false" customHeight="false" outlineLevel="0" collapsed="false">
      <c r="A14540" s="0" t="s">
        <v>12</v>
      </c>
      <c r="B14540" s="0" t="n">
        <v>4103356</v>
      </c>
      <c r="C14540" s="0" t="n">
        <v>4103376</v>
      </c>
      <c r="D14540" s="0" t="s">
        <v>48450</v>
      </c>
      <c r="E14540" s="0" t="s">
        <v>89</v>
      </c>
      <c r="F14540" s="0" t="s">
        <v>90</v>
      </c>
      <c r="G14540" s="0" t="s">
        <v>26</v>
      </c>
      <c r="H14540" s="0" t="n">
        <v>82</v>
      </c>
      <c r="I14540" s="0" t="s">
        <v>48454</v>
      </c>
      <c r="J14540" s="0" t="s">
        <v>48455</v>
      </c>
      <c r="K14540" s="0" t="s">
        <v>48456</v>
      </c>
      <c r="L14540" s="0" t="str">
        <f aca="false">HYPERLINK("https://www.ncbi.nlm.nih.gov/nuccore/CP000304.1?report=graph&amp;tracks=[key:gene_model_track,Options:GeneOnly]&amp;mk=4103438:4103457|offset_1|444444,4103357:4103376|offset_82|00cc00,4103320:4103339|offset_119|444444,4103294:4103313|offset_145|444444&amp;v=4103237:4103513&amp;c=444444", "offset 82")</f>
        <v>offset 82</v>
      </c>
    </row>
    <row r="14541" customFormat="false" ht="12.8" hidden="false" customHeight="false" outlineLevel="0" collapsed="false">
      <c r="A14541" s="0" t="s">
        <v>12</v>
      </c>
      <c r="B14541" s="0" t="n">
        <v>4103319</v>
      </c>
      <c r="C14541" s="0" t="n">
        <v>4103339</v>
      </c>
      <c r="D14541" s="0" t="s">
        <v>48450</v>
      </c>
      <c r="E14541" s="0" t="s">
        <v>89</v>
      </c>
      <c r="F14541" s="0" t="s">
        <v>90</v>
      </c>
      <c r="G14541" s="0" t="s">
        <v>26</v>
      </c>
      <c r="H14541" s="0" t="n">
        <v>119</v>
      </c>
      <c r="I14541" s="0" t="s">
        <v>48457</v>
      </c>
      <c r="J14541" s="0" t="s">
        <v>48458</v>
      </c>
      <c r="K14541" s="0" t="s">
        <v>48459</v>
      </c>
      <c r="L14541" s="0" t="str">
        <f aca="false">HYPERLINK("https://www.ncbi.nlm.nih.gov/nuccore/CP000304.1?report=graph&amp;tracks=[key:gene_model_track,Options:GeneOnly]&amp;mk=4103438:4103457|offset_1|444444,4103357:4103376|offset_82|444444,4103320:4103339|offset_119|00cc00,4103294:4103313|offset_145|444444&amp;v=4103237:4103513&amp;c=444444", "offset 119")</f>
        <v>offset 119</v>
      </c>
    </row>
    <row r="14542" customFormat="false" ht="12.8" hidden="false" customHeight="false" outlineLevel="0" collapsed="false">
      <c r="A14542" s="0" t="s">
        <v>12</v>
      </c>
      <c r="B14542" s="0" t="n">
        <v>4103293</v>
      </c>
      <c r="C14542" s="0" t="n">
        <v>4103313</v>
      </c>
      <c r="D14542" s="0" t="s">
        <v>48450</v>
      </c>
      <c r="E14542" s="0" t="s">
        <v>89</v>
      </c>
      <c r="F14542" s="0" t="s">
        <v>90</v>
      </c>
      <c r="G14542" s="0" t="s">
        <v>32</v>
      </c>
      <c r="H14542" s="0" t="n">
        <v>145</v>
      </c>
      <c r="I14542" s="0" t="s">
        <v>48460</v>
      </c>
      <c r="J14542" s="0" t="s">
        <v>48461</v>
      </c>
      <c r="K14542" s="0" t="s">
        <v>48462</v>
      </c>
      <c r="L14542" s="0" t="str">
        <f aca="false">HYPERLINK("https://www.ncbi.nlm.nih.gov/nuccore/CP000304.1?report=graph&amp;tracks=[key:gene_model_track,Options:GeneOnly]&amp;mk=4103438:4103457|offset_1|444444,4103357:4103376|offset_82|444444,4103320:4103339|offset_119|444444,4103294:4103313|offset_145|00cc00&amp;v=4103237:4103513&amp;c=444444", "offset 145")</f>
        <v>offset 145</v>
      </c>
    </row>
    <row r="14543" customFormat="false" ht="12.8" hidden="false" customHeight="false" outlineLevel="0" collapsed="false">
      <c r="A14543" s="0" t="s">
        <v>12</v>
      </c>
      <c r="B14543" s="0" t="n">
        <v>4104299</v>
      </c>
      <c r="C14543" s="0" t="n">
        <v>4104319</v>
      </c>
      <c r="D14543" s="0" t="s">
        <v>48463</v>
      </c>
      <c r="E14543" s="0" t="s">
        <v>48464</v>
      </c>
      <c r="F14543" s="0" t="s">
        <v>90</v>
      </c>
      <c r="G14543" s="0" t="s">
        <v>26</v>
      </c>
      <c r="H14543" s="0" t="n">
        <v>0</v>
      </c>
      <c r="I14543" s="0" t="s">
        <v>48465</v>
      </c>
      <c r="J14543" s="0" t="s">
        <v>48466</v>
      </c>
      <c r="K14543" s="0" t="s">
        <v>48467</v>
      </c>
      <c r="L14543" s="0" t="str">
        <f aca="false">HYPERLINK("https://www.ncbi.nlm.nih.gov/nuccore/CP000304.1?report=graph&amp;tracks=[key:gene_model_track,Options:GeneOnly]&amp;mk=4104300:4104319|offset_0|00cc00,4104263:4104282|offset_37|444444,4104211:4104230|offset_89|444444,4104163:4104182|offset_137|444444&amp;v=4104099:4104382&amp;c=444444", "offset 0")</f>
        <v>offset 0</v>
      </c>
    </row>
    <row r="14544" customFormat="false" ht="12.8" hidden="false" customHeight="false" outlineLevel="0" collapsed="false">
      <c r="A14544" s="0" t="s">
        <v>12</v>
      </c>
      <c r="B14544" s="0" t="n">
        <v>4104262</v>
      </c>
      <c r="C14544" s="0" t="n">
        <v>4104282</v>
      </c>
      <c r="D14544" s="0" t="s">
        <v>48463</v>
      </c>
      <c r="E14544" s="0" t="s">
        <v>48464</v>
      </c>
      <c r="F14544" s="0" t="s">
        <v>90</v>
      </c>
      <c r="G14544" s="0" t="s">
        <v>32</v>
      </c>
      <c r="H14544" s="0" t="n">
        <v>37</v>
      </c>
      <c r="I14544" s="0" t="s">
        <v>48468</v>
      </c>
      <c r="J14544" s="0" t="s">
        <v>48469</v>
      </c>
      <c r="K14544" s="0" t="s">
        <v>48470</v>
      </c>
      <c r="L14544" s="0" t="str">
        <f aca="false">HYPERLINK("https://www.ncbi.nlm.nih.gov/nuccore/CP000304.1?report=graph&amp;tracks=[key:gene_model_track,Options:GeneOnly]&amp;mk=4104300:4104319|offset_0|444444,4104263:4104282|offset_37|00cc00,4104211:4104230|offset_89|444444,4104163:4104182|offset_137|444444&amp;v=4104099:4104382&amp;c=444444", "offset 37")</f>
        <v>offset 37</v>
      </c>
    </row>
    <row r="14545" customFormat="false" ht="12.8" hidden="false" customHeight="false" outlineLevel="0" collapsed="false">
      <c r="A14545" s="0" t="s">
        <v>12</v>
      </c>
      <c r="B14545" s="0" t="n">
        <v>4104210</v>
      </c>
      <c r="C14545" s="0" t="n">
        <v>4104230</v>
      </c>
      <c r="D14545" s="0" t="s">
        <v>48463</v>
      </c>
      <c r="E14545" s="0" t="s">
        <v>48464</v>
      </c>
      <c r="F14545" s="0" t="s">
        <v>90</v>
      </c>
      <c r="G14545" s="0" t="s">
        <v>32</v>
      </c>
      <c r="H14545" s="0" t="n">
        <v>89</v>
      </c>
      <c r="I14545" s="0" t="s">
        <v>48471</v>
      </c>
      <c r="J14545" s="0" t="s">
        <v>48472</v>
      </c>
      <c r="K14545" s="0" t="s">
        <v>48473</v>
      </c>
      <c r="L14545" s="0" t="str">
        <f aca="false">HYPERLINK("https://www.ncbi.nlm.nih.gov/nuccore/CP000304.1?report=graph&amp;tracks=[key:gene_model_track,Options:GeneOnly]&amp;mk=4104300:4104319|offset_0|444444,4104263:4104282|offset_37|444444,4104211:4104230|offset_89|00cc00,4104163:4104182|offset_137|444444&amp;v=4104099:4104382&amp;c=444444", "offset 89")</f>
        <v>offset 89</v>
      </c>
    </row>
    <row r="14546" customFormat="false" ht="12.8" hidden="false" customHeight="false" outlineLevel="0" collapsed="false">
      <c r="A14546" s="0" t="s">
        <v>12</v>
      </c>
      <c r="B14546" s="0" t="n">
        <v>4104162</v>
      </c>
      <c r="C14546" s="0" t="n">
        <v>4104182</v>
      </c>
      <c r="D14546" s="0" t="s">
        <v>48463</v>
      </c>
      <c r="E14546" s="0" t="s">
        <v>48464</v>
      </c>
      <c r="F14546" s="0" t="s">
        <v>90</v>
      </c>
      <c r="G14546" s="0" t="s">
        <v>26</v>
      </c>
      <c r="H14546" s="0" t="n">
        <v>137</v>
      </c>
      <c r="I14546" s="0" t="s">
        <v>48474</v>
      </c>
      <c r="J14546" s="0" t="s">
        <v>48475</v>
      </c>
      <c r="K14546" s="0" t="s">
        <v>48476</v>
      </c>
      <c r="L14546" s="0" t="str">
        <f aca="false">HYPERLINK("https://www.ncbi.nlm.nih.gov/nuccore/CP000304.1?report=graph&amp;tracks=[key:gene_model_track,Options:GeneOnly]&amp;mk=4104300:4104319|offset_0|444444,4104263:4104282|offset_37|444444,4104211:4104230|offset_89|444444,4104163:4104182|offset_137|00cc00&amp;v=4104099:4104382&amp;c=444444", "offset 137")</f>
        <v>offset 137</v>
      </c>
    </row>
    <row r="14547" customFormat="false" ht="12.8" hidden="false" customHeight="false" outlineLevel="0" collapsed="false">
      <c r="A14547" s="0" t="s">
        <v>12</v>
      </c>
      <c r="B14547" s="0" t="n">
        <v>4104484</v>
      </c>
      <c r="C14547" s="0" t="n">
        <v>4104504</v>
      </c>
      <c r="D14547" s="0" t="s">
        <v>48477</v>
      </c>
      <c r="E14547" s="0" t="s">
        <v>89</v>
      </c>
      <c r="F14547" s="0" t="s">
        <v>15</v>
      </c>
      <c r="G14547" s="0" t="s">
        <v>32</v>
      </c>
      <c r="H14547" s="0" t="n">
        <v>1</v>
      </c>
      <c r="I14547" s="0" t="s">
        <v>48478</v>
      </c>
      <c r="J14547" s="0" t="s">
        <v>48479</v>
      </c>
      <c r="K14547" s="0" t="s">
        <v>48480</v>
      </c>
      <c r="L14547" s="0" t="str">
        <f aca="false">HYPERLINK("https://www.ncbi.nlm.nih.gov/nuccore/CP000304.1?report=graph&amp;tracks=[key:gene_model_track,Options:GeneOnly]&amp;mk=4104485:4104504|offset_1|00cc00,4104508:4104527|offset_24|444444,4104550:4104569|offset_66|444444,4104605:4104624|offset_121|444444&amp;v=4104284:4104824&amp;c=444444", "offset 1")</f>
        <v>offset 1</v>
      </c>
    </row>
    <row r="14548" customFormat="false" ht="12.8" hidden="false" customHeight="false" outlineLevel="0" collapsed="false">
      <c r="A14548" s="0" t="s">
        <v>12</v>
      </c>
      <c r="B14548" s="0" t="n">
        <v>4104507</v>
      </c>
      <c r="C14548" s="0" t="n">
        <v>4104527</v>
      </c>
      <c r="D14548" s="0" t="s">
        <v>48477</v>
      </c>
      <c r="E14548" s="0" t="s">
        <v>89</v>
      </c>
      <c r="F14548" s="0" t="s">
        <v>15</v>
      </c>
      <c r="G14548" s="0" t="s">
        <v>36</v>
      </c>
      <c r="H14548" s="0" t="n">
        <v>24</v>
      </c>
      <c r="I14548" s="0" t="s">
        <v>48481</v>
      </c>
      <c r="J14548" s="0" t="s">
        <v>48482</v>
      </c>
      <c r="K14548" s="0" t="s">
        <v>48483</v>
      </c>
      <c r="L14548" s="0" t="str">
        <f aca="false">HYPERLINK("https://www.ncbi.nlm.nih.gov/nuccore/CP000304.1?report=graph&amp;tracks=[key:gene_model_track,Options:GeneOnly]&amp;mk=4104485:4104504|offset_1|444444,4104508:4104527|offset_24|00cc00,4104550:4104569|offset_66|444444,4104605:4104624|offset_121|444444&amp;v=4104284:4104824&amp;c=444444", "offset 24")</f>
        <v>offset 24</v>
      </c>
    </row>
    <row r="14549" customFormat="false" ht="12.8" hidden="false" customHeight="false" outlineLevel="0" collapsed="false">
      <c r="A14549" s="0" t="s">
        <v>12</v>
      </c>
      <c r="B14549" s="0" t="n">
        <v>4104549</v>
      </c>
      <c r="C14549" s="0" t="n">
        <v>4104569</v>
      </c>
      <c r="D14549" s="0" t="s">
        <v>48477</v>
      </c>
      <c r="E14549" s="0" t="s">
        <v>89</v>
      </c>
      <c r="F14549" s="0" t="s">
        <v>15</v>
      </c>
      <c r="G14549" s="0" t="s">
        <v>36</v>
      </c>
      <c r="H14549" s="0" t="n">
        <v>66</v>
      </c>
      <c r="I14549" s="0" t="s">
        <v>48484</v>
      </c>
      <c r="J14549" s="0" t="s">
        <v>48485</v>
      </c>
      <c r="K14549" s="0" t="s">
        <v>48486</v>
      </c>
      <c r="L14549" s="0" t="str">
        <f aca="false">HYPERLINK("https://www.ncbi.nlm.nih.gov/nuccore/CP000304.1?report=graph&amp;tracks=[key:gene_model_track,Options:GeneOnly]&amp;mk=4104485:4104504|offset_1|444444,4104508:4104527|offset_24|444444,4104550:4104569|offset_66|00cc00,4104605:4104624|offset_121|444444&amp;v=4104284:4104824&amp;c=444444", "offset 66")</f>
        <v>offset 66</v>
      </c>
    </row>
    <row r="14550" customFormat="false" ht="12.8" hidden="false" customHeight="false" outlineLevel="0" collapsed="false">
      <c r="A14550" s="0" t="s">
        <v>12</v>
      </c>
      <c r="B14550" s="0" t="n">
        <v>4104604</v>
      </c>
      <c r="C14550" s="0" t="n">
        <v>4104624</v>
      </c>
      <c r="D14550" s="0" t="s">
        <v>48477</v>
      </c>
      <c r="E14550" s="0" t="s">
        <v>89</v>
      </c>
      <c r="F14550" s="0" t="s">
        <v>15</v>
      </c>
      <c r="G14550" s="0" t="s">
        <v>32</v>
      </c>
      <c r="H14550" s="0" t="n">
        <v>121</v>
      </c>
      <c r="I14550" s="0" t="s">
        <v>48487</v>
      </c>
      <c r="J14550" s="0" t="s">
        <v>48488</v>
      </c>
      <c r="K14550" s="0" t="s">
        <v>48489</v>
      </c>
      <c r="L14550" s="0" t="str">
        <f aca="false">HYPERLINK("https://www.ncbi.nlm.nih.gov/nuccore/CP000304.1?report=graph&amp;tracks=[key:gene_model_track,Options:GeneOnly]&amp;mk=4104485:4104504|offset_1|444444,4104508:4104527|offset_24|444444,4104550:4104569|offset_66|444444,4104605:4104624|offset_121|00cc00&amp;v=4104284:4104824&amp;c=444444", "offset 121")</f>
        <v>offset 121</v>
      </c>
    </row>
    <row r="14551" customFormat="false" ht="12.8" hidden="false" customHeight="false" outlineLevel="0" collapsed="false">
      <c r="A14551" s="0" t="s">
        <v>12</v>
      </c>
      <c r="B14551" s="0" t="n">
        <v>4106055</v>
      </c>
      <c r="C14551" s="0" t="n">
        <v>4106075</v>
      </c>
      <c r="D14551" s="0" t="s">
        <v>48490</v>
      </c>
      <c r="E14551" s="0" t="s">
        <v>48491</v>
      </c>
      <c r="F14551" s="0" t="s">
        <v>15</v>
      </c>
      <c r="G14551" s="0" t="s">
        <v>16</v>
      </c>
      <c r="H14551" s="0" t="n">
        <v>1</v>
      </c>
      <c r="I14551" s="0" t="s">
        <v>48492</v>
      </c>
      <c r="J14551" s="0" t="s">
        <v>48493</v>
      </c>
      <c r="K14551" s="0" t="s">
        <v>48494</v>
      </c>
      <c r="L14551" s="0" t="str">
        <f aca="false">HYPERLINK("https://www.ncbi.nlm.nih.gov/nuccore/CP000304.1?report=graph&amp;tracks=[key:gene_model_track,Options:GeneOnly]&amp;mk=4106056:4106075|offset_1|00cc00,4106079:4106098|offset_24|444444,4106107:4106126|offset_52|444444,4106135:4106154|offset_80|444444&amp;v=4105855:4106354&amp;c=444444", "offset 1")</f>
        <v>offset 1</v>
      </c>
    </row>
    <row r="14552" customFormat="false" ht="12.8" hidden="false" customHeight="false" outlineLevel="0" collapsed="false">
      <c r="A14552" s="0" t="s">
        <v>12</v>
      </c>
      <c r="B14552" s="0" t="n">
        <v>4106078</v>
      </c>
      <c r="C14552" s="0" t="n">
        <v>4106098</v>
      </c>
      <c r="D14552" s="0" t="s">
        <v>48490</v>
      </c>
      <c r="E14552" s="0" t="s">
        <v>48491</v>
      </c>
      <c r="F14552" s="0" t="s">
        <v>15</v>
      </c>
      <c r="G14552" s="0" t="s">
        <v>32</v>
      </c>
      <c r="H14552" s="0" t="n">
        <v>24</v>
      </c>
      <c r="I14552" s="0" t="s">
        <v>48495</v>
      </c>
      <c r="J14552" s="0" t="s">
        <v>48496</v>
      </c>
      <c r="K14552" s="0" t="s">
        <v>48497</v>
      </c>
      <c r="L14552" s="0" t="str">
        <f aca="false">HYPERLINK("https://www.ncbi.nlm.nih.gov/nuccore/CP000304.1?report=graph&amp;tracks=[key:gene_model_track,Options:GeneOnly]&amp;mk=4106056:4106075|offset_1|444444,4106079:4106098|offset_24|00cc00,4106107:4106126|offset_52|444444,4106135:4106154|offset_80|444444&amp;v=4105855:4106354&amp;c=444444", "offset 24")</f>
        <v>offset 24</v>
      </c>
    </row>
    <row r="14553" customFormat="false" ht="12.8" hidden="false" customHeight="false" outlineLevel="0" collapsed="false">
      <c r="A14553" s="0" t="s">
        <v>12</v>
      </c>
      <c r="B14553" s="0" t="n">
        <v>4106106</v>
      </c>
      <c r="C14553" s="0" t="n">
        <v>4106126</v>
      </c>
      <c r="D14553" s="0" t="s">
        <v>48490</v>
      </c>
      <c r="E14553" s="0" t="s">
        <v>48491</v>
      </c>
      <c r="F14553" s="0" t="s">
        <v>15</v>
      </c>
      <c r="G14553" s="0" t="s">
        <v>32</v>
      </c>
      <c r="H14553" s="0" t="n">
        <v>52</v>
      </c>
      <c r="I14553" s="0" t="s">
        <v>48498</v>
      </c>
      <c r="J14553" s="0" t="s">
        <v>48499</v>
      </c>
      <c r="K14553" s="0" t="s">
        <v>48500</v>
      </c>
      <c r="L14553" s="0" t="str">
        <f aca="false">HYPERLINK("https://www.ncbi.nlm.nih.gov/nuccore/CP000304.1?report=graph&amp;tracks=[key:gene_model_track,Options:GeneOnly]&amp;mk=4106056:4106075|offset_1|444444,4106079:4106098|offset_24|444444,4106107:4106126|offset_52|00cc00,4106135:4106154|offset_80|444444&amp;v=4105855:4106354&amp;c=444444", "offset 52")</f>
        <v>offset 52</v>
      </c>
    </row>
    <row r="14554" customFormat="false" ht="12.8" hidden="false" customHeight="false" outlineLevel="0" collapsed="false">
      <c r="A14554" s="0" t="s">
        <v>12</v>
      </c>
      <c r="B14554" s="0" t="n">
        <v>4106134</v>
      </c>
      <c r="C14554" s="0" t="n">
        <v>4106154</v>
      </c>
      <c r="D14554" s="0" t="s">
        <v>48490</v>
      </c>
      <c r="E14554" s="0" t="s">
        <v>48491</v>
      </c>
      <c r="F14554" s="0" t="s">
        <v>15</v>
      </c>
      <c r="G14554" s="0" t="s">
        <v>26</v>
      </c>
      <c r="H14554" s="0" t="n">
        <v>80</v>
      </c>
      <c r="I14554" s="0" t="s">
        <v>48501</v>
      </c>
      <c r="J14554" s="0" t="s">
        <v>48502</v>
      </c>
      <c r="K14554" s="0" t="s">
        <v>48503</v>
      </c>
      <c r="L14554" s="0" t="str">
        <f aca="false">HYPERLINK("https://www.ncbi.nlm.nih.gov/nuccore/CP000304.1?report=graph&amp;tracks=[key:gene_model_track,Options:GeneOnly]&amp;mk=4106056:4106075|offset_1|444444,4106079:4106098|offset_24|444444,4106107:4106126|offset_52|444444,4106135:4106154|offset_80|00cc00&amp;v=4105855:4106354&amp;c=444444", "offset 80")</f>
        <v>offset 80</v>
      </c>
    </row>
    <row r="14555" customFormat="false" ht="12.8" hidden="false" customHeight="false" outlineLevel="0" collapsed="false">
      <c r="A14555" s="0" t="s">
        <v>12</v>
      </c>
      <c r="B14555" s="0" t="n">
        <v>4106892</v>
      </c>
      <c r="C14555" s="0" t="n">
        <v>4106912</v>
      </c>
      <c r="D14555" s="0" t="s">
        <v>48504</v>
      </c>
      <c r="E14555" s="0" t="s">
        <v>48505</v>
      </c>
      <c r="F14555" s="0" t="s">
        <v>15</v>
      </c>
      <c r="G14555" s="0" t="s">
        <v>16</v>
      </c>
      <c r="H14555" s="0" t="n">
        <v>11</v>
      </c>
      <c r="I14555" s="0" t="s">
        <v>48506</v>
      </c>
      <c r="J14555" s="0" t="s">
        <v>48507</v>
      </c>
      <c r="K14555" s="0" t="s">
        <v>48508</v>
      </c>
      <c r="L14555" s="0" t="str">
        <f aca="false">HYPERLINK("https://www.ncbi.nlm.nih.gov/nuccore/CP000304.1?report=graph&amp;tracks=[key:gene_model_track,Options:GeneOnly]&amp;mk=4106893:4106912|offset_11|00cc00,4106924:4106943|offset_42|444444,4106944:4106963|offset_62|444444,4106968:4106987|offset_86|444444&amp;v=4106692:4107187&amp;c=444444", "offset 11")</f>
        <v>offset 11</v>
      </c>
    </row>
    <row r="14556" customFormat="false" ht="12.8" hidden="false" customHeight="false" outlineLevel="0" collapsed="false">
      <c r="A14556" s="0" t="s">
        <v>12</v>
      </c>
      <c r="B14556" s="0" t="n">
        <v>4106923</v>
      </c>
      <c r="C14556" s="0" t="n">
        <v>4106943</v>
      </c>
      <c r="D14556" s="0" t="s">
        <v>48504</v>
      </c>
      <c r="E14556" s="0" t="s">
        <v>48505</v>
      </c>
      <c r="F14556" s="0" t="s">
        <v>15</v>
      </c>
      <c r="G14556" s="0" t="s">
        <v>16</v>
      </c>
      <c r="H14556" s="0" t="n">
        <v>42</v>
      </c>
      <c r="I14556" s="0" t="s">
        <v>48509</v>
      </c>
      <c r="J14556" s="0" t="s">
        <v>48510</v>
      </c>
      <c r="K14556" s="0" t="s">
        <v>48511</v>
      </c>
      <c r="L14556" s="0" t="str">
        <f aca="false">HYPERLINK("https://www.ncbi.nlm.nih.gov/nuccore/CP000304.1?report=graph&amp;tracks=[key:gene_model_track,Options:GeneOnly]&amp;mk=4106893:4106912|offset_11|444444,4106924:4106943|offset_42|00cc00,4106944:4106963|offset_62|444444,4106968:4106987|offset_86|444444&amp;v=4106692:4107187&amp;c=444444", "offset 42")</f>
        <v>offset 42</v>
      </c>
    </row>
    <row r="14557" customFormat="false" ht="12.8" hidden="false" customHeight="false" outlineLevel="0" collapsed="false">
      <c r="A14557" s="0" t="s">
        <v>12</v>
      </c>
      <c r="B14557" s="0" t="n">
        <v>4106943</v>
      </c>
      <c r="C14557" s="0" t="n">
        <v>4106963</v>
      </c>
      <c r="D14557" s="0" t="s">
        <v>48504</v>
      </c>
      <c r="E14557" s="0" t="s">
        <v>48505</v>
      </c>
      <c r="F14557" s="0" t="s">
        <v>15</v>
      </c>
      <c r="G14557" s="0" t="s">
        <v>26</v>
      </c>
      <c r="H14557" s="0" t="n">
        <v>62</v>
      </c>
      <c r="I14557" s="0" t="s">
        <v>48512</v>
      </c>
      <c r="J14557" s="0" t="s">
        <v>48513</v>
      </c>
      <c r="K14557" s="0" t="s">
        <v>48514</v>
      </c>
      <c r="L14557" s="0" t="str">
        <f aca="false">HYPERLINK("https://www.ncbi.nlm.nih.gov/nuccore/CP000304.1?report=graph&amp;tracks=[key:gene_model_track,Options:GeneOnly]&amp;mk=4106893:4106912|offset_11|444444,4106924:4106943|offset_42|444444,4106944:4106963|offset_62|00cc00,4106968:4106987|offset_86|444444&amp;v=4106692:4107187&amp;c=444444", "offset 62")</f>
        <v>offset 62</v>
      </c>
    </row>
    <row r="14558" customFormat="false" ht="12.8" hidden="false" customHeight="false" outlineLevel="0" collapsed="false">
      <c r="A14558" s="0" t="s">
        <v>12</v>
      </c>
      <c r="B14558" s="0" t="n">
        <v>4106967</v>
      </c>
      <c r="C14558" s="0" t="n">
        <v>4106987</v>
      </c>
      <c r="D14558" s="0" t="s">
        <v>48504</v>
      </c>
      <c r="E14558" s="0" t="s">
        <v>48505</v>
      </c>
      <c r="F14558" s="0" t="s">
        <v>15</v>
      </c>
      <c r="G14558" s="0" t="s">
        <v>16</v>
      </c>
      <c r="H14558" s="0" t="n">
        <v>86</v>
      </c>
      <c r="I14558" s="0" t="s">
        <v>48515</v>
      </c>
      <c r="J14558" s="0" t="s">
        <v>48516</v>
      </c>
      <c r="K14558" s="0" t="s">
        <v>48517</v>
      </c>
      <c r="L14558" s="0" t="str">
        <f aca="false">HYPERLINK("https://www.ncbi.nlm.nih.gov/nuccore/CP000304.1?report=graph&amp;tracks=[key:gene_model_track,Options:GeneOnly]&amp;mk=4106893:4106912|offset_11|444444,4106924:4106943|offset_42|444444,4106944:4106963|offset_62|444444,4106968:4106987|offset_86|00cc00&amp;v=4106692:4107187&amp;c=444444", "offset 86")</f>
        <v>offset 86</v>
      </c>
    </row>
    <row r="14559" customFormat="false" ht="12.8" hidden="false" customHeight="false" outlineLevel="0" collapsed="false">
      <c r="A14559" s="0" t="s">
        <v>12</v>
      </c>
      <c r="B14559" s="0" t="n">
        <v>4107936</v>
      </c>
      <c r="C14559" s="0" t="n">
        <v>4107956</v>
      </c>
      <c r="D14559" s="0" t="s">
        <v>48518</v>
      </c>
      <c r="E14559" s="0" t="s">
        <v>89</v>
      </c>
      <c r="F14559" s="0" t="s">
        <v>15</v>
      </c>
      <c r="G14559" s="0" t="s">
        <v>32</v>
      </c>
      <c r="H14559" s="0" t="n">
        <v>17</v>
      </c>
      <c r="I14559" s="0" t="s">
        <v>48519</v>
      </c>
      <c r="J14559" s="0" t="s">
        <v>48520</v>
      </c>
      <c r="K14559" s="0" t="s">
        <v>48521</v>
      </c>
      <c r="L14559" s="0" t="str">
        <f aca="false">HYPERLINK("https://www.ncbi.nlm.nih.gov/nuccore/CP000304.1?report=graph&amp;tracks=[key:gene_model_track,Options:GeneOnly]&amp;mk=4107937:4107956|offset_17|00cc00,4107959:4107978|offset_39|444444,4107979:4107998|offset_59|444444,4108014:4108033|offset_94|444444&amp;v=4107736:4108233&amp;c=444444", "offset 17")</f>
        <v>offset 17</v>
      </c>
    </row>
    <row r="14560" customFormat="false" ht="12.8" hidden="false" customHeight="false" outlineLevel="0" collapsed="false">
      <c r="A14560" s="0" t="s">
        <v>12</v>
      </c>
      <c r="B14560" s="0" t="n">
        <v>4107958</v>
      </c>
      <c r="C14560" s="0" t="n">
        <v>4107978</v>
      </c>
      <c r="D14560" s="0" t="s">
        <v>48518</v>
      </c>
      <c r="E14560" s="0" t="s">
        <v>89</v>
      </c>
      <c r="F14560" s="0" t="s">
        <v>15</v>
      </c>
      <c r="G14560" s="0" t="s">
        <v>36</v>
      </c>
      <c r="H14560" s="0" t="n">
        <v>39</v>
      </c>
      <c r="I14560" s="0" t="s">
        <v>48522</v>
      </c>
      <c r="J14560" s="0" t="s">
        <v>48523</v>
      </c>
      <c r="K14560" s="0" t="s">
        <v>48524</v>
      </c>
      <c r="L14560" s="0" t="str">
        <f aca="false">HYPERLINK("https://www.ncbi.nlm.nih.gov/nuccore/CP000304.1?report=graph&amp;tracks=[key:gene_model_track,Options:GeneOnly]&amp;mk=4107937:4107956|offset_17|444444,4107959:4107978|offset_39|00cc00,4107979:4107998|offset_59|444444,4108014:4108033|offset_94|444444&amp;v=4107736:4108233&amp;c=444444", "offset 39")</f>
        <v>offset 39</v>
      </c>
    </row>
    <row r="14561" customFormat="false" ht="12.8" hidden="false" customHeight="false" outlineLevel="0" collapsed="false">
      <c r="A14561" s="0" t="s">
        <v>12</v>
      </c>
      <c r="B14561" s="0" t="n">
        <v>4107978</v>
      </c>
      <c r="C14561" s="0" t="n">
        <v>4107998</v>
      </c>
      <c r="D14561" s="0" t="s">
        <v>48518</v>
      </c>
      <c r="E14561" s="0" t="s">
        <v>89</v>
      </c>
      <c r="F14561" s="0" t="s">
        <v>15</v>
      </c>
      <c r="G14561" s="0" t="s">
        <v>26</v>
      </c>
      <c r="H14561" s="0" t="n">
        <v>59</v>
      </c>
      <c r="I14561" s="0" t="s">
        <v>48525</v>
      </c>
      <c r="J14561" s="0" t="s">
        <v>48526</v>
      </c>
      <c r="K14561" s="0" t="s">
        <v>48527</v>
      </c>
      <c r="L14561" s="0" t="str">
        <f aca="false">HYPERLINK("https://www.ncbi.nlm.nih.gov/nuccore/CP000304.1?report=graph&amp;tracks=[key:gene_model_track,Options:GeneOnly]&amp;mk=4107937:4107956|offset_17|444444,4107959:4107978|offset_39|444444,4107979:4107998|offset_59|00cc00,4108014:4108033|offset_94|444444&amp;v=4107736:4108233&amp;c=444444", "offset 59")</f>
        <v>offset 59</v>
      </c>
    </row>
    <row r="14562" customFormat="false" ht="12.8" hidden="false" customHeight="false" outlineLevel="0" collapsed="false">
      <c r="A14562" s="0" t="s">
        <v>12</v>
      </c>
      <c r="B14562" s="0" t="n">
        <v>4108013</v>
      </c>
      <c r="C14562" s="0" t="n">
        <v>4108033</v>
      </c>
      <c r="D14562" s="0" t="s">
        <v>48518</v>
      </c>
      <c r="E14562" s="0" t="s">
        <v>89</v>
      </c>
      <c r="F14562" s="0" t="s">
        <v>15</v>
      </c>
      <c r="G14562" s="0" t="s">
        <v>16</v>
      </c>
      <c r="H14562" s="0" t="n">
        <v>94</v>
      </c>
      <c r="I14562" s="0" t="s">
        <v>48528</v>
      </c>
      <c r="J14562" s="0" t="s">
        <v>48529</v>
      </c>
      <c r="K14562" s="0" t="s">
        <v>48530</v>
      </c>
      <c r="L14562" s="0" t="str">
        <f aca="false">HYPERLINK("https://www.ncbi.nlm.nih.gov/nuccore/CP000304.1?report=graph&amp;tracks=[key:gene_model_track,Options:GeneOnly]&amp;mk=4107937:4107956|offset_17|444444,4107959:4107978|offset_39|444444,4107979:4107998|offset_59|444444,4108014:4108033|offset_94|00cc00&amp;v=4107736:4108233&amp;c=444444", "offset 94")</f>
        <v>offset 94</v>
      </c>
    </row>
    <row r="14563" customFormat="false" ht="12.8" hidden="false" customHeight="false" outlineLevel="0" collapsed="false">
      <c r="A14563" s="0" t="s">
        <v>12</v>
      </c>
      <c r="B14563" s="0" t="n">
        <v>4109956</v>
      </c>
      <c r="C14563" s="0" t="n">
        <v>4109976</v>
      </c>
      <c r="D14563" s="0" t="s">
        <v>48531</v>
      </c>
      <c r="E14563" s="0" t="s">
        <v>89</v>
      </c>
      <c r="F14563" s="0" t="s">
        <v>15</v>
      </c>
      <c r="G14563" s="0" t="s">
        <v>26</v>
      </c>
      <c r="H14563" s="0" t="n">
        <v>29</v>
      </c>
      <c r="I14563" s="0" t="s">
        <v>48532</v>
      </c>
      <c r="J14563" s="0" t="s">
        <v>48533</v>
      </c>
      <c r="K14563" s="0" t="s">
        <v>48534</v>
      </c>
      <c r="L14563" s="0" t="str">
        <f aca="false">HYPERLINK("https://www.ncbi.nlm.nih.gov/nuccore/CP000304.1?report=graph&amp;tracks=[key:gene_model_track,Options:GeneOnly]&amp;mk=4109957:4109976|offset_29|00cc00,4109980:4109999|offset_52|444444,4110003:4110022|offset_75|444444,4110023:4110042|offset_95|444444&amp;v=4109756:4110242&amp;c=444444", "offset 29")</f>
        <v>offset 29</v>
      </c>
    </row>
    <row r="14564" customFormat="false" ht="12.8" hidden="false" customHeight="false" outlineLevel="0" collapsed="false">
      <c r="A14564" s="0" t="s">
        <v>12</v>
      </c>
      <c r="B14564" s="0" t="n">
        <v>4109979</v>
      </c>
      <c r="C14564" s="0" t="n">
        <v>4109999</v>
      </c>
      <c r="D14564" s="0" t="s">
        <v>48531</v>
      </c>
      <c r="E14564" s="0" t="s">
        <v>89</v>
      </c>
      <c r="F14564" s="0" t="s">
        <v>15</v>
      </c>
      <c r="G14564" s="0" t="s">
        <v>26</v>
      </c>
      <c r="H14564" s="0" t="n">
        <v>52</v>
      </c>
      <c r="I14564" s="0" t="s">
        <v>48535</v>
      </c>
      <c r="J14564" s="0" t="s">
        <v>48536</v>
      </c>
      <c r="K14564" s="0" t="s">
        <v>48537</v>
      </c>
      <c r="L14564" s="0" t="str">
        <f aca="false">HYPERLINK("https://www.ncbi.nlm.nih.gov/nuccore/CP000304.1?report=graph&amp;tracks=[key:gene_model_track,Options:GeneOnly]&amp;mk=4109957:4109976|offset_29|444444,4109980:4109999|offset_52|00cc00,4110003:4110022|offset_75|444444,4110023:4110042|offset_95|444444&amp;v=4109756:4110242&amp;c=444444", "offset 52")</f>
        <v>offset 52</v>
      </c>
    </row>
    <row r="14565" customFormat="false" ht="12.8" hidden="false" customHeight="false" outlineLevel="0" collapsed="false">
      <c r="A14565" s="0" t="s">
        <v>12</v>
      </c>
      <c r="B14565" s="0" t="n">
        <v>4110002</v>
      </c>
      <c r="C14565" s="0" t="n">
        <v>4110022</v>
      </c>
      <c r="D14565" s="0" t="s">
        <v>48531</v>
      </c>
      <c r="E14565" s="0" t="s">
        <v>89</v>
      </c>
      <c r="F14565" s="0" t="s">
        <v>15</v>
      </c>
      <c r="G14565" s="0" t="s">
        <v>16</v>
      </c>
      <c r="H14565" s="0" t="n">
        <v>75</v>
      </c>
      <c r="I14565" s="0" t="s">
        <v>48538</v>
      </c>
      <c r="J14565" s="0" t="s">
        <v>48539</v>
      </c>
      <c r="K14565" s="0" t="s">
        <v>48540</v>
      </c>
      <c r="L14565" s="0" t="str">
        <f aca="false">HYPERLINK("https://www.ncbi.nlm.nih.gov/nuccore/CP000304.1?report=graph&amp;tracks=[key:gene_model_track,Options:GeneOnly]&amp;mk=4109957:4109976|offset_29|444444,4109980:4109999|offset_52|444444,4110003:4110022|offset_75|00cc00,4110023:4110042|offset_95|444444&amp;v=4109756:4110242&amp;c=444444", "offset 75")</f>
        <v>offset 75</v>
      </c>
    </row>
    <row r="14566" customFormat="false" ht="12.8" hidden="false" customHeight="false" outlineLevel="0" collapsed="false">
      <c r="A14566" s="0" t="s">
        <v>12</v>
      </c>
      <c r="B14566" s="0" t="n">
        <v>4110022</v>
      </c>
      <c r="C14566" s="0" t="n">
        <v>4110042</v>
      </c>
      <c r="D14566" s="0" t="s">
        <v>48531</v>
      </c>
      <c r="E14566" s="0" t="s">
        <v>89</v>
      </c>
      <c r="F14566" s="0" t="s">
        <v>15</v>
      </c>
      <c r="G14566" s="0" t="s">
        <v>36</v>
      </c>
      <c r="H14566" s="0" t="n">
        <v>95</v>
      </c>
      <c r="I14566" s="0" t="s">
        <v>48541</v>
      </c>
      <c r="J14566" s="0" t="s">
        <v>48542</v>
      </c>
      <c r="K14566" s="0" t="s">
        <v>48543</v>
      </c>
      <c r="L14566" s="0" t="str">
        <f aca="false">HYPERLINK("https://www.ncbi.nlm.nih.gov/nuccore/CP000304.1?report=graph&amp;tracks=[key:gene_model_track,Options:GeneOnly]&amp;mk=4109957:4109976|offset_29|444444,4109980:4109999|offset_52|444444,4110003:4110022|offset_75|444444,4110023:4110042|offset_95|00cc00&amp;v=4109756:4110242&amp;c=444444", "offset 95")</f>
        <v>offset 95</v>
      </c>
    </row>
    <row r="14567" customFormat="false" ht="12.8" hidden="false" customHeight="false" outlineLevel="0" collapsed="false">
      <c r="A14567" s="0" t="s">
        <v>12</v>
      </c>
      <c r="B14567" s="0" t="n">
        <v>4112023</v>
      </c>
      <c r="C14567" s="0" t="n">
        <v>4112043</v>
      </c>
      <c r="D14567" s="0" t="s">
        <v>48544</v>
      </c>
      <c r="E14567" s="0" t="s">
        <v>89</v>
      </c>
      <c r="F14567" s="0" t="s">
        <v>15</v>
      </c>
      <c r="G14567" s="0" t="s">
        <v>32</v>
      </c>
      <c r="H14567" s="0" t="n">
        <v>1</v>
      </c>
      <c r="I14567" s="0" t="s">
        <v>48545</v>
      </c>
      <c r="J14567" s="0" t="s">
        <v>48546</v>
      </c>
      <c r="K14567" s="0" t="s">
        <v>48547</v>
      </c>
      <c r="L14567" s="0" t="str">
        <f aca="false">HYPERLINK("https://www.ncbi.nlm.nih.gov/nuccore/CP000304.1?report=graph&amp;tracks=[key:gene_model_track,Options:GeneOnly]&amp;mk=4112024:4112043|offset_1|00cc00,4112045:4112064|offset_22|444444,4112086:4112105|offset_63|444444,4112129:4112148|offset_106|444444&amp;v=4111823:4112348&amp;c=444444", "offset 1")</f>
        <v>offset 1</v>
      </c>
    </row>
    <row r="14568" customFormat="false" ht="12.8" hidden="false" customHeight="false" outlineLevel="0" collapsed="false">
      <c r="A14568" s="0" t="s">
        <v>12</v>
      </c>
      <c r="B14568" s="0" t="n">
        <v>4112044</v>
      </c>
      <c r="C14568" s="0" t="n">
        <v>4112064</v>
      </c>
      <c r="D14568" s="0" t="s">
        <v>48544</v>
      </c>
      <c r="E14568" s="0" t="s">
        <v>89</v>
      </c>
      <c r="F14568" s="0" t="s">
        <v>15</v>
      </c>
      <c r="G14568" s="0" t="s">
        <v>16</v>
      </c>
      <c r="H14568" s="0" t="n">
        <v>22</v>
      </c>
      <c r="I14568" s="0" t="s">
        <v>48548</v>
      </c>
      <c r="J14568" s="0" t="s">
        <v>48549</v>
      </c>
      <c r="K14568" s="0" t="s">
        <v>48550</v>
      </c>
      <c r="L14568" s="0" t="str">
        <f aca="false">HYPERLINK("https://www.ncbi.nlm.nih.gov/nuccore/CP000304.1?report=graph&amp;tracks=[key:gene_model_track,Options:GeneOnly]&amp;mk=4112024:4112043|offset_1|444444,4112045:4112064|offset_22|00cc00,4112086:4112105|offset_63|444444,4112129:4112148|offset_106|444444&amp;v=4111823:4112348&amp;c=444444", "offset 22")</f>
        <v>offset 22</v>
      </c>
    </row>
    <row r="14569" customFormat="false" ht="12.8" hidden="false" customHeight="false" outlineLevel="0" collapsed="false">
      <c r="A14569" s="0" t="s">
        <v>12</v>
      </c>
      <c r="B14569" s="0" t="n">
        <v>4112085</v>
      </c>
      <c r="C14569" s="0" t="n">
        <v>4112105</v>
      </c>
      <c r="D14569" s="0" t="s">
        <v>48544</v>
      </c>
      <c r="E14569" s="0" t="s">
        <v>89</v>
      </c>
      <c r="F14569" s="0" t="s">
        <v>15</v>
      </c>
      <c r="G14569" s="0" t="s">
        <v>36</v>
      </c>
      <c r="H14569" s="0" t="n">
        <v>63</v>
      </c>
      <c r="I14569" s="0" t="s">
        <v>48551</v>
      </c>
      <c r="J14569" s="0" t="s">
        <v>48552</v>
      </c>
      <c r="K14569" s="0" t="s">
        <v>48553</v>
      </c>
      <c r="L14569" s="0" t="str">
        <f aca="false">HYPERLINK("https://www.ncbi.nlm.nih.gov/nuccore/CP000304.1?report=graph&amp;tracks=[key:gene_model_track,Options:GeneOnly]&amp;mk=4112024:4112043|offset_1|444444,4112045:4112064|offset_22|444444,4112086:4112105|offset_63|00cc00,4112129:4112148|offset_106|444444&amp;v=4111823:4112348&amp;c=444444", "offset 63")</f>
        <v>offset 63</v>
      </c>
    </row>
    <row r="14570" customFormat="false" ht="12.8" hidden="false" customHeight="false" outlineLevel="0" collapsed="false">
      <c r="A14570" s="0" t="s">
        <v>12</v>
      </c>
      <c r="B14570" s="0" t="n">
        <v>4112128</v>
      </c>
      <c r="C14570" s="0" t="n">
        <v>4112148</v>
      </c>
      <c r="D14570" s="0" t="s">
        <v>48544</v>
      </c>
      <c r="E14570" s="0" t="s">
        <v>89</v>
      </c>
      <c r="F14570" s="0" t="s">
        <v>15</v>
      </c>
      <c r="G14570" s="0" t="s">
        <v>32</v>
      </c>
      <c r="H14570" s="0" t="n">
        <v>106</v>
      </c>
      <c r="I14570" s="0" t="s">
        <v>48554</v>
      </c>
      <c r="J14570" s="0" t="s">
        <v>48555</v>
      </c>
      <c r="K14570" s="0" t="s">
        <v>48556</v>
      </c>
      <c r="L14570" s="0" t="str">
        <f aca="false">HYPERLINK("https://www.ncbi.nlm.nih.gov/nuccore/CP000304.1?report=graph&amp;tracks=[key:gene_model_track,Options:GeneOnly]&amp;mk=4112024:4112043|offset_1|444444,4112045:4112064|offset_22|444444,4112086:4112105|offset_63|444444,4112129:4112148|offset_106|00cc00&amp;v=4111823:4112348&amp;c=444444", "offset 106")</f>
        <v>offset 106</v>
      </c>
    </row>
    <row r="14571" customFormat="false" ht="12.8" hidden="false" customHeight="false" outlineLevel="0" collapsed="false">
      <c r="A14571" s="0" t="s">
        <v>12</v>
      </c>
      <c r="B14571" s="0" t="n">
        <v>4114338</v>
      </c>
      <c r="C14571" s="0" t="n">
        <v>4114358</v>
      </c>
      <c r="D14571" s="0" t="s">
        <v>48557</v>
      </c>
      <c r="E14571" s="0" t="s">
        <v>48558</v>
      </c>
      <c r="F14571" s="0" t="s">
        <v>90</v>
      </c>
      <c r="G14571" s="0" t="s">
        <v>26</v>
      </c>
      <c r="H14571" s="0" t="n">
        <v>37</v>
      </c>
      <c r="I14571" s="0" t="s">
        <v>48559</v>
      </c>
      <c r="J14571" s="0" t="s">
        <v>48560</v>
      </c>
      <c r="K14571" s="0" t="s">
        <v>48561</v>
      </c>
      <c r="L14571" s="0" t="str">
        <f aca="false">HYPERLINK("https://www.ncbi.nlm.nih.gov/nuccore/CP000304.1?report=graph&amp;tracks=[key:gene_model_track,Options:GeneOnly]&amp;mk=4114339:4114358|offset_37|00cc00,4114309:4114328|offset_67|444444,4114285:4114304|offset_91|444444,4114261:4114280|offset_115|444444&amp;v=4114138:4114480&amp;c=444444", "offset 37")</f>
        <v>offset 37</v>
      </c>
    </row>
    <row r="14572" customFormat="false" ht="12.8" hidden="false" customHeight="false" outlineLevel="0" collapsed="false">
      <c r="A14572" s="0" t="s">
        <v>12</v>
      </c>
      <c r="B14572" s="0" t="n">
        <v>4114308</v>
      </c>
      <c r="C14572" s="0" t="n">
        <v>4114328</v>
      </c>
      <c r="D14572" s="0" t="s">
        <v>48557</v>
      </c>
      <c r="E14572" s="0" t="s">
        <v>48558</v>
      </c>
      <c r="F14572" s="0" t="s">
        <v>90</v>
      </c>
      <c r="G14572" s="0" t="s">
        <v>16</v>
      </c>
      <c r="H14572" s="0" t="n">
        <v>67</v>
      </c>
      <c r="I14572" s="0" t="s">
        <v>48562</v>
      </c>
      <c r="J14572" s="0" t="s">
        <v>48563</v>
      </c>
      <c r="K14572" s="0" t="s">
        <v>48564</v>
      </c>
      <c r="L14572" s="0" t="str">
        <f aca="false">HYPERLINK("https://www.ncbi.nlm.nih.gov/nuccore/CP000304.1?report=graph&amp;tracks=[key:gene_model_track,Options:GeneOnly]&amp;mk=4114339:4114358|offset_37|444444,4114309:4114328|offset_67|00cc00,4114285:4114304|offset_91|444444,4114261:4114280|offset_115|444444&amp;v=4114138:4114480&amp;c=444444", "offset 67")</f>
        <v>offset 67</v>
      </c>
    </row>
    <row r="14573" customFormat="false" ht="12.8" hidden="false" customHeight="false" outlineLevel="0" collapsed="false">
      <c r="A14573" s="0" t="s">
        <v>12</v>
      </c>
      <c r="B14573" s="0" t="n">
        <v>4114284</v>
      </c>
      <c r="C14573" s="0" t="n">
        <v>4114304</v>
      </c>
      <c r="D14573" s="0" t="s">
        <v>48557</v>
      </c>
      <c r="E14573" s="0" t="s">
        <v>48558</v>
      </c>
      <c r="F14573" s="0" t="s">
        <v>90</v>
      </c>
      <c r="G14573" s="0" t="s">
        <v>16</v>
      </c>
      <c r="H14573" s="0" t="n">
        <v>91</v>
      </c>
      <c r="I14573" s="0" t="s">
        <v>48565</v>
      </c>
      <c r="J14573" s="0" t="s">
        <v>48566</v>
      </c>
      <c r="K14573" s="0" t="s">
        <v>48567</v>
      </c>
      <c r="L14573" s="0" t="str">
        <f aca="false">HYPERLINK("https://www.ncbi.nlm.nih.gov/nuccore/CP000304.1?report=graph&amp;tracks=[key:gene_model_track,Options:GeneOnly]&amp;mk=4114339:4114358|offset_37|444444,4114309:4114328|offset_67|444444,4114285:4114304|offset_91|00cc00,4114261:4114280|offset_115|444444&amp;v=4114138:4114480&amp;c=444444", "offset 91")</f>
        <v>offset 91</v>
      </c>
    </row>
    <row r="14574" customFormat="false" ht="12.8" hidden="false" customHeight="false" outlineLevel="0" collapsed="false">
      <c r="A14574" s="0" t="s">
        <v>12</v>
      </c>
      <c r="B14574" s="0" t="n">
        <v>4114260</v>
      </c>
      <c r="C14574" s="0" t="n">
        <v>4114280</v>
      </c>
      <c r="D14574" s="0" t="s">
        <v>48557</v>
      </c>
      <c r="E14574" s="0" t="s">
        <v>48558</v>
      </c>
      <c r="F14574" s="0" t="s">
        <v>90</v>
      </c>
      <c r="G14574" s="0" t="s">
        <v>36</v>
      </c>
      <c r="H14574" s="0" t="n">
        <v>115</v>
      </c>
      <c r="I14574" s="0" t="s">
        <v>48568</v>
      </c>
      <c r="J14574" s="0" t="s">
        <v>48569</v>
      </c>
      <c r="K14574" s="0" t="s">
        <v>48570</v>
      </c>
      <c r="L14574" s="0" t="str">
        <f aca="false">HYPERLINK("https://www.ncbi.nlm.nih.gov/nuccore/CP000304.1?report=graph&amp;tracks=[key:gene_model_track,Options:GeneOnly]&amp;mk=4114339:4114358|offset_37|444444,4114309:4114328|offset_67|444444,4114285:4114304|offset_91|444444,4114261:4114280|offset_115|00cc00&amp;v=4114138:4114480&amp;c=444444", "offset 115")</f>
        <v>offset 115</v>
      </c>
    </row>
    <row r="14575" customFormat="false" ht="12.8" hidden="false" customHeight="false" outlineLevel="0" collapsed="false">
      <c r="A14575" s="0" t="s">
        <v>12</v>
      </c>
      <c r="B14575" s="0" t="n">
        <v>4114428</v>
      </c>
      <c r="C14575" s="0" t="n">
        <v>4114448</v>
      </c>
      <c r="D14575" s="0" t="s">
        <v>48571</v>
      </c>
      <c r="E14575" s="0" t="s">
        <v>89</v>
      </c>
      <c r="F14575" s="0" t="s">
        <v>15</v>
      </c>
      <c r="G14575" s="0" t="s">
        <v>16</v>
      </c>
      <c r="H14575" s="0" t="n">
        <v>57</v>
      </c>
      <c r="I14575" s="0" t="s">
        <v>48572</v>
      </c>
      <c r="J14575" s="0" t="s">
        <v>48573</v>
      </c>
      <c r="K14575" s="0" t="s">
        <v>48574</v>
      </c>
      <c r="L14575" s="0" t="str">
        <f aca="false">HYPERLINK("https://www.ncbi.nlm.nih.gov/nuccore/CP000304.1?report=graph&amp;tracks=[key:gene_model_track,Options:GeneOnly]&amp;mk=4114429:4114448|offset_57|00cc00,4114455:4114474|offset_83|444444,4114479:4114498|offset_107|444444,4114499:4114518|offset_127|444444&amp;v=4114228:4114718&amp;c=444444", "offset 57")</f>
        <v>offset 57</v>
      </c>
    </row>
    <row r="14576" customFormat="false" ht="12.8" hidden="false" customHeight="false" outlineLevel="0" collapsed="false">
      <c r="A14576" s="0" t="s">
        <v>12</v>
      </c>
      <c r="B14576" s="0" t="n">
        <v>4114454</v>
      </c>
      <c r="C14576" s="0" t="n">
        <v>4114474</v>
      </c>
      <c r="D14576" s="0" t="s">
        <v>48571</v>
      </c>
      <c r="E14576" s="0" t="s">
        <v>89</v>
      </c>
      <c r="F14576" s="0" t="s">
        <v>15</v>
      </c>
      <c r="G14576" s="0" t="s">
        <v>16</v>
      </c>
      <c r="H14576" s="0" t="n">
        <v>83</v>
      </c>
      <c r="I14576" s="0" t="s">
        <v>48575</v>
      </c>
      <c r="J14576" s="0" t="s">
        <v>48576</v>
      </c>
      <c r="K14576" s="0" t="s">
        <v>48577</v>
      </c>
      <c r="L14576" s="0" t="str">
        <f aca="false">HYPERLINK("https://www.ncbi.nlm.nih.gov/nuccore/CP000304.1?report=graph&amp;tracks=[key:gene_model_track,Options:GeneOnly]&amp;mk=4114429:4114448|offset_57|444444,4114455:4114474|offset_83|00cc00,4114479:4114498|offset_107|444444,4114499:4114518|offset_127|444444&amp;v=4114228:4114718&amp;c=444444", "offset 83")</f>
        <v>offset 83</v>
      </c>
    </row>
    <row r="14577" customFormat="false" ht="12.8" hidden="false" customHeight="false" outlineLevel="0" collapsed="false">
      <c r="A14577" s="0" t="s">
        <v>12</v>
      </c>
      <c r="B14577" s="0" t="n">
        <v>4114478</v>
      </c>
      <c r="C14577" s="0" t="n">
        <v>4114498</v>
      </c>
      <c r="D14577" s="0" t="s">
        <v>48571</v>
      </c>
      <c r="E14577" s="0" t="s">
        <v>89</v>
      </c>
      <c r="F14577" s="0" t="s">
        <v>15</v>
      </c>
      <c r="G14577" s="0" t="s">
        <v>16</v>
      </c>
      <c r="H14577" s="0" t="n">
        <v>107</v>
      </c>
      <c r="I14577" s="0" t="s">
        <v>48578</v>
      </c>
      <c r="J14577" s="0" t="s">
        <v>48579</v>
      </c>
      <c r="K14577" s="0" t="s">
        <v>48580</v>
      </c>
      <c r="L14577" s="0" t="str">
        <f aca="false">HYPERLINK("https://www.ncbi.nlm.nih.gov/nuccore/CP000304.1?report=graph&amp;tracks=[key:gene_model_track,Options:GeneOnly]&amp;mk=4114429:4114448|offset_57|444444,4114455:4114474|offset_83|444444,4114479:4114498|offset_107|00cc00,4114499:4114518|offset_127|444444&amp;v=4114228:4114718&amp;c=444444", "offset 107")</f>
        <v>offset 107</v>
      </c>
    </row>
    <row r="14578" customFormat="false" ht="12.8" hidden="false" customHeight="false" outlineLevel="0" collapsed="false">
      <c r="A14578" s="0" t="s">
        <v>12</v>
      </c>
      <c r="B14578" s="0" t="n">
        <v>4114498</v>
      </c>
      <c r="C14578" s="0" t="n">
        <v>4114518</v>
      </c>
      <c r="D14578" s="0" t="s">
        <v>48571</v>
      </c>
      <c r="E14578" s="0" t="s">
        <v>89</v>
      </c>
      <c r="F14578" s="0" t="s">
        <v>15</v>
      </c>
      <c r="G14578" s="0" t="s">
        <v>36</v>
      </c>
      <c r="H14578" s="0" t="n">
        <v>127</v>
      </c>
      <c r="I14578" s="0" t="s">
        <v>48581</v>
      </c>
      <c r="J14578" s="0" t="s">
        <v>48582</v>
      </c>
      <c r="K14578" s="0" t="s">
        <v>48583</v>
      </c>
      <c r="L14578" s="0" t="str">
        <f aca="false">HYPERLINK("https://www.ncbi.nlm.nih.gov/nuccore/CP000304.1?report=graph&amp;tracks=[key:gene_model_track,Options:GeneOnly]&amp;mk=4114429:4114448|offset_57|444444,4114455:4114474|offset_83|444444,4114479:4114498|offset_107|444444,4114499:4114518|offset_127|00cc00&amp;v=4114228:4114718&amp;c=444444", "offset 127")</f>
        <v>offset 127</v>
      </c>
    </row>
    <row r="14579" customFormat="false" ht="12.8" hidden="false" customHeight="false" outlineLevel="0" collapsed="false">
      <c r="A14579" s="0" t="s">
        <v>12</v>
      </c>
      <c r="B14579" s="0" t="n">
        <v>4116903</v>
      </c>
      <c r="C14579" s="0" t="n">
        <v>4116923</v>
      </c>
      <c r="D14579" s="0" t="s">
        <v>48584</v>
      </c>
      <c r="E14579" s="0" t="s">
        <v>89</v>
      </c>
      <c r="F14579" s="0" t="s">
        <v>90</v>
      </c>
      <c r="G14579" s="0" t="s">
        <v>16</v>
      </c>
      <c r="H14579" s="0" t="n">
        <v>33</v>
      </c>
      <c r="I14579" s="0" t="s">
        <v>48585</v>
      </c>
      <c r="J14579" s="0" t="s">
        <v>48586</v>
      </c>
      <c r="K14579" s="0" t="s">
        <v>48587</v>
      </c>
      <c r="L14579" s="0" t="str">
        <f aca="false">HYPERLINK("https://www.ncbi.nlm.nih.gov/nuccore/CP000304.1?report=graph&amp;tracks=[key:gene_model_track,Options:GeneOnly]&amp;mk=4116904:4116923|offset_33|00cc00,4116875:4116894|offset_62|444444,4116850:4116869|offset_87|444444,4116819:4116838|offset_118|444444&amp;v=4116703:4117038&amp;c=444444", "offset 33")</f>
        <v>offset 33</v>
      </c>
    </row>
    <row r="14580" customFormat="false" ht="12.8" hidden="false" customHeight="false" outlineLevel="0" collapsed="false">
      <c r="A14580" s="0" t="s">
        <v>12</v>
      </c>
      <c r="B14580" s="0" t="n">
        <v>4116874</v>
      </c>
      <c r="C14580" s="0" t="n">
        <v>4116894</v>
      </c>
      <c r="D14580" s="0" t="s">
        <v>48584</v>
      </c>
      <c r="E14580" s="0" t="s">
        <v>89</v>
      </c>
      <c r="F14580" s="0" t="s">
        <v>90</v>
      </c>
      <c r="G14580" s="0" t="s">
        <v>26</v>
      </c>
      <c r="H14580" s="0" t="n">
        <v>62</v>
      </c>
      <c r="I14580" s="0" t="s">
        <v>48588</v>
      </c>
      <c r="J14580" s="0" t="s">
        <v>48589</v>
      </c>
      <c r="K14580" s="0" t="s">
        <v>48590</v>
      </c>
      <c r="L14580" s="0" t="str">
        <f aca="false">HYPERLINK("https://www.ncbi.nlm.nih.gov/nuccore/CP000304.1?report=graph&amp;tracks=[key:gene_model_track,Options:GeneOnly]&amp;mk=4116904:4116923|offset_33|444444,4116875:4116894|offset_62|00cc00,4116850:4116869|offset_87|444444,4116819:4116838|offset_118|444444&amp;v=4116703:4117038&amp;c=444444", "offset 62")</f>
        <v>offset 62</v>
      </c>
    </row>
    <row r="14581" customFormat="false" ht="12.8" hidden="false" customHeight="false" outlineLevel="0" collapsed="false">
      <c r="A14581" s="0" t="s">
        <v>12</v>
      </c>
      <c r="B14581" s="0" t="n">
        <v>4116849</v>
      </c>
      <c r="C14581" s="0" t="n">
        <v>4116869</v>
      </c>
      <c r="D14581" s="0" t="s">
        <v>48584</v>
      </c>
      <c r="E14581" s="0" t="s">
        <v>89</v>
      </c>
      <c r="F14581" s="0" t="s">
        <v>90</v>
      </c>
      <c r="G14581" s="0" t="s">
        <v>16</v>
      </c>
      <c r="H14581" s="0" t="n">
        <v>87</v>
      </c>
      <c r="I14581" s="0" t="s">
        <v>48591</v>
      </c>
      <c r="J14581" s="0" t="s">
        <v>48592</v>
      </c>
      <c r="K14581" s="0" t="s">
        <v>48593</v>
      </c>
      <c r="L14581" s="0" t="str">
        <f aca="false">HYPERLINK("https://www.ncbi.nlm.nih.gov/nuccore/CP000304.1?report=graph&amp;tracks=[key:gene_model_track,Options:GeneOnly]&amp;mk=4116904:4116923|offset_33|444444,4116875:4116894|offset_62|444444,4116850:4116869|offset_87|00cc00,4116819:4116838|offset_118|444444&amp;v=4116703:4117038&amp;c=444444", "offset 87")</f>
        <v>offset 87</v>
      </c>
    </row>
    <row r="14582" customFormat="false" ht="12.8" hidden="false" customHeight="false" outlineLevel="0" collapsed="false">
      <c r="A14582" s="0" t="s">
        <v>12</v>
      </c>
      <c r="B14582" s="0" t="n">
        <v>4116818</v>
      </c>
      <c r="C14582" s="0" t="n">
        <v>4116838</v>
      </c>
      <c r="D14582" s="0" t="s">
        <v>48584</v>
      </c>
      <c r="E14582" s="0" t="s">
        <v>89</v>
      </c>
      <c r="F14582" s="0" t="s">
        <v>90</v>
      </c>
      <c r="G14582" s="0" t="s">
        <v>32</v>
      </c>
      <c r="H14582" s="0" t="n">
        <v>118</v>
      </c>
      <c r="I14582" s="0" t="s">
        <v>48594</v>
      </c>
      <c r="J14582" s="0" t="s">
        <v>48595</v>
      </c>
      <c r="K14582" s="0" t="s">
        <v>48596</v>
      </c>
      <c r="L14582" s="0" t="str">
        <f aca="false">HYPERLINK("https://www.ncbi.nlm.nih.gov/nuccore/CP000304.1?report=graph&amp;tracks=[key:gene_model_track,Options:GeneOnly]&amp;mk=4116904:4116923|offset_33|444444,4116875:4116894|offset_62|444444,4116850:4116869|offset_87|444444,4116819:4116838|offset_118|00cc00&amp;v=4116703:4117038&amp;c=444444", "offset 118")</f>
        <v>offset 118</v>
      </c>
    </row>
    <row r="14583" customFormat="false" ht="12.8" hidden="false" customHeight="false" outlineLevel="0" collapsed="false">
      <c r="A14583" s="0" t="s">
        <v>12</v>
      </c>
      <c r="B14583" s="0" t="n">
        <v>4119349</v>
      </c>
      <c r="C14583" s="0" t="n">
        <v>4119369</v>
      </c>
      <c r="D14583" s="0" t="s">
        <v>48597</v>
      </c>
      <c r="E14583" s="0" t="s">
        <v>48598</v>
      </c>
      <c r="F14583" s="0" t="s">
        <v>90</v>
      </c>
      <c r="G14583" s="0" t="s">
        <v>36</v>
      </c>
      <c r="H14583" s="0" t="n">
        <v>13</v>
      </c>
      <c r="I14583" s="0" t="s">
        <v>48599</v>
      </c>
      <c r="J14583" s="0" t="s">
        <v>48600</v>
      </c>
      <c r="K14583" s="0" t="s">
        <v>48601</v>
      </c>
      <c r="L14583" s="0" t="str">
        <f aca="false">HYPERLINK("https://www.ncbi.nlm.nih.gov/nuccore/CP000304.1?report=graph&amp;tracks=[key:gene_model_track,Options:GeneOnly]&amp;mk=4119350:4119369|offset_13|00cc00,4119314:4119333|offset_49|444444,4119290:4119309|offset_73|444444,4119246:4119265|offset_117|444444&amp;v=4119149:4119465&amp;c=444444", "offset 13")</f>
        <v>offset 13</v>
      </c>
    </row>
    <row r="14584" customFormat="false" ht="12.8" hidden="false" customHeight="false" outlineLevel="0" collapsed="false">
      <c r="A14584" s="0" t="s">
        <v>12</v>
      </c>
      <c r="B14584" s="0" t="n">
        <v>4119313</v>
      </c>
      <c r="C14584" s="0" t="n">
        <v>4119333</v>
      </c>
      <c r="D14584" s="0" t="s">
        <v>48597</v>
      </c>
      <c r="E14584" s="0" t="s">
        <v>48598</v>
      </c>
      <c r="F14584" s="0" t="s">
        <v>90</v>
      </c>
      <c r="G14584" s="0" t="s">
        <v>36</v>
      </c>
      <c r="H14584" s="0" t="n">
        <v>49</v>
      </c>
      <c r="I14584" s="0" t="s">
        <v>48602</v>
      </c>
      <c r="J14584" s="0" t="s">
        <v>48603</v>
      </c>
      <c r="K14584" s="0" t="s">
        <v>48604</v>
      </c>
      <c r="L14584" s="0" t="str">
        <f aca="false">HYPERLINK("https://www.ncbi.nlm.nih.gov/nuccore/CP000304.1?report=graph&amp;tracks=[key:gene_model_track,Options:GeneOnly]&amp;mk=4119350:4119369|offset_13|444444,4119314:4119333|offset_49|00cc00,4119290:4119309|offset_73|444444,4119246:4119265|offset_117|444444&amp;v=4119149:4119465&amp;c=444444", "offset 49")</f>
        <v>offset 49</v>
      </c>
    </row>
    <row r="14585" customFormat="false" ht="12.8" hidden="false" customHeight="false" outlineLevel="0" collapsed="false">
      <c r="A14585" s="0" t="s">
        <v>12</v>
      </c>
      <c r="B14585" s="0" t="n">
        <v>4119289</v>
      </c>
      <c r="C14585" s="0" t="n">
        <v>4119309</v>
      </c>
      <c r="D14585" s="0" t="s">
        <v>48597</v>
      </c>
      <c r="E14585" s="0" t="s">
        <v>48598</v>
      </c>
      <c r="F14585" s="0" t="s">
        <v>90</v>
      </c>
      <c r="G14585" s="0" t="s">
        <v>26</v>
      </c>
      <c r="H14585" s="0" t="n">
        <v>73</v>
      </c>
      <c r="I14585" s="0" t="s">
        <v>48605</v>
      </c>
      <c r="J14585" s="0" t="s">
        <v>48606</v>
      </c>
      <c r="K14585" s="0" t="s">
        <v>48607</v>
      </c>
      <c r="L14585" s="0" t="str">
        <f aca="false">HYPERLINK("https://www.ncbi.nlm.nih.gov/nuccore/CP000304.1?report=graph&amp;tracks=[key:gene_model_track,Options:GeneOnly]&amp;mk=4119350:4119369|offset_13|444444,4119314:4119333|offset_49|444444,4119290:4119309|offset_73|00cc00,4119246:4119265|offset_117|444444&amp;v=4119149:4119465&amp;c=444444", "offset 73")</f>
        <v>offset 73</v>
      </c>
    </row>
    <row r="14586" customFormat="false" ht="12.8" hidden="false" customHeight="false" outlineLevel="0" collapsed="false">
      <c r="A14586" s="0" t="s">
        <v>12</v>
      </c>
      <c r="B14586" s="0" t="n">
        <v>4119245</v>
      </c>
      <c r="C14586" s="0" t="n">
        <v>4119265</v>
      </c>
      <c r="D14586" s="0" t="s">
        <v>48597</v>
      </c>
      <c r="E14586" s="0" t="s">
        <v>48598</v>
      </c>
      <c r="F14586" s="0" t="s">
        <v>90</v>
      </c>
      <c r="G14586" s="0" t="s">
        <v>16</v>
      </c>
      <c r="H14586" s="0" t="n">
        <v>117</v>
      </c>
      <c r="I14586" s="0" t="s">
        <v>48608</v>
      </c>
      <c r="J14586" s="0" t="s">
        <v>48609</v>
      </c>
      <c r="K14586" s="0" t="s">
        <v>48610</v>
      </c>
      <c r="L14586" s="0" t="str">
        <f aca="false">HYPERLINK("https://www.ncbi.nlm.nih.gov/nuccore/CP000304.1?report=graph&amp;tracks=[key:gene_model_track,Options:GeneOnly]&amp;mk=4119350:4119369|offset_13|444444,4119314:4119333|offset_49|444444,4119290:4119309|offset_73|444444,4119246:4119265|offset_117|00cc00&amp;v=4119149:4119465&amp;c=444444", "offset 117")</f>
        <v>offset 117</v>
      </c>
    </row>
    <row r="14587" customFormat="false" ht="12.8" hidden="false" customHeight="false" outlineLevel="0" collapsed="false">
      <c r="A14587" s="0" t="s">
        <v>12</v>
      </c>
      <c r="B14587" s="0" t="n">
        <v>4119834</v>
      </c>
      <c r="C14587" s="0" t="n">
        <v>4119854</v>
      </c>
      <c r="D14587" s="0" t="s">
        <v>48611</v>
      </c>
      <c r="E14587" s="0" t="s">
        <v>89</v>
      </c>
      <c r="F14587" s="0" t="s">
        <v>90</v>
      </c>
      <c r="G14587" s="0" t="s">
        <v>26</v>
      </c>
      <c r="H14587" s="0" t="n">
        <v>16</v>
      </c>
      <c r="I14587" s="0" t="s">
        <v>48612</v>
      </c>
      <c r="J14587" s="0" t="s">
        <v>48613</v>
      </c>
      <c r="K14587" s="0" t="s">
        <v>48614</v>
      </c>
      <c r="L14587" s="0" t="str">
        <f aca="false">HYPERLINK("https://www.ncbi.nlm.nih.gov/nuccore/CP000304.1?report=graph&amp;tracks=[key:gene_model_track,Options:GeneOnly]&amp;mk=4119835:4119854|offset_16|00cc00,4119793:4119812|offset_58|444444,4119771:4119790|offset_80|444444,4119751:4119770|offset_100|444444&amp;v=4119634:4119970&amp;c=444444", "offset 16")</f>
        <v>offset 16</v>
      </c>
    </row>
    <row r="14588" customFormat="false" ht="12.8" hidden="false" customHeight="false" outlineLevel="0" collapsed="false">
      <c r="A14588" s="0" t="s">
        <v>12</v>
      </c>
      <c r="B14588" s="0" t="n">
        <v>4119792</v>
      </c>
      <c r="C14588" s="0" t="n">
        <v>4119812</v>
      </c>
      <c r="D14588" s="0" t="s">
        <v>48611</v>
      </c>
      <c r="E14588" s="0" t="s">
        <v>89</v>
      </c>
      <c r="F14588" s="0" t="s">
        <v>90</v>
      </c>
      <c r="G14588" s="0" t="s">
        <v>26</v>
      </c>
      <c r="H14588" s="0" t="n">
        <v>58</v>
      </c>
      <c r="I14588" s="0" t="s">
        <v>48615</v>
      </c>
      <c r="J14588" s="0" t="s">
        <v>48616</v>
      </c>
      <c r="K14588" s="0" t="s">
        <v>48617</v>
      </c>
      <c r="L14588" s="0" t="str">
        <f aca="false">HYPERLINK("https://www.ncbi.nlm.nih.gov/nuccore/CP000304.1?report=graph&amp;tracks=[key:gene_model_track,Options:GeneOnly]&amp;mk=4119835:4119854|offset_16|444444,4119793:4119812|offset_58|00cc00,4119771:4119790|offset_80|444444,4119751:4119770|offset_100|444444&amp;v=4119634:4119970&amp;c=444444", "offset 58")</f>
        <v>offset 58</v>
      </c>
    </row>
    <row r="14589" customFormat="false" ht="12.8" hidden="false" customHeight="false" outlineLevel="0" collapsed="false">
      <c r="A14589" s="0" t="s">
        <v>12</v>
      </c>
      <c r="B14589" s="0" t="n">
        <v>4119770</v>
      </c>
      <c r="C14589" s="0" t="n">
        <v>4119790</v>
      </c>
      <c r="D14589" s="0" t="s">
        <v>48611</v>
      </c>
      <c r="E14589" s="0" t="s">
        <v>89</v>
      </c>
      <c r="F14589" s="0" t="s">
        <v>90</v>
      </c>
      <c r="G14589" s="0" t="s">
        <v>36</v>
      </c>
      <c r="H14589" s="0" t="n">
        <v>80</v>
      </c>
      <c r="I14589" s="0" t="s">
        <v>48618</v>
      </c>
      <c r="J14589" s="0" t="s">
        <v>48619</v>
      </c>
      <c r="K14589" s="0" t="s">
        <v>48620</v>
      </c>
      <c r="L14589" s="0" t="str">
        <f aca="false">HYPERLINK("https://www.ncbi.nlm.nih.gov/nuccore/CP000304.1?report=graph&amp;tracks=[key:gene_model_track,Options:GeneOnly]&amp;mk=4119835:4119854|offset_16|444444,4119793:4119812|offset_58|444444,4119771:4119790|offset_80|00cc00,4119751:4119770|offset_100|444444&amp;v=4119634:4119970&amp;c=444444", "offset 80")</f>
        <v>offset 80</v>
      </c>
    </row>
    <row r="14590" customFormat="false" ht="12.8" hidden="false" customHeight="false" outlineLevel="0" collapsed="false">
      <c r="A14590" s="0" t="s">
        <v>12</v>
      </c>
      <c r="B14590" s="0" t="n">
        <v>4119750</v>
      </c>
      <c r="C14590" s="0" t="n">
        <v>4119770</v>
      </c>
      <c r="D14590" s="0" t="s">
        <v>48611</v>
      </c>
      <c r="E14590" s="0" t="s">
        <v>89</v>
      </c>
      <c r="F14590" s="0" t="s">
        <v>90</v>
      </c>
      <c r="G14590" s="0" t="s">
        <v>36</v>
      </c>
      <c r="H14590" s="0" t="n">
        <v>100</v>
      </c>
      <c r="I14590" s="0" t="s">
        <v>48621</v>
      </c>
      <c r="J14590" s="0" t="s">
        <v>48622</v>
      </c>
      <c r="K14590" s="0" t="s">
        <v>48623</v>
      </c>
      <c r="L14590" s="0" t="str">
        <f aca="false">HYPERLINK("https://www.ncbi.nlm.nih.gov/nuccore/CP000304.1?report=graph&amp;tracks=[key:gene_model_track,Options:GeneOnly]&amp;mk=4119835:4119854|offset_16|444444,4119793:4119812|offset_58|444444,4119771:4119790|offset_80|444444,4119751:4119770|offset_100|00cc00&amp;v=4119634:4119970&amp;c=444444", "offset 100")</f>
        <v>offset 100</v>
      </c>
    </row>
    <row r="14591" customFormat="false" ht="12.8" hidden="false" customHeight="false" outlineLevel="0" collapsed="false">
      <c r="A14591" s="0" t="s">
        <v>12</v>
      </c>
      <c r="B14591" s="0" t="n">
        <v>4120858</v>
      </c>
      <c r="C14591" s="0" t="n">
        <v>4120878</v>
      </c>
      <c r="D14591" s="0" t="s">
        <v>48624</v>
      </c>
      <c r="E14591" s="0" t="s">
        <v>89</v>
      </c>
      <c r="F14591" s="0" t="s">
        <v>90</v>
      </c>
      <c r="G14591" s="0" t="s">
        <v>16</v>
      </c>
      <c r="H14591" s="0" t="n">
        <v>8</v>
      </c>
      <c r="I14591" s="0" t="s">
        <v>48625</v>
      </c>
      <c r="J14591" s="0" t="s">
        <v>48626</v>
      </c>
      <c r="K14591" s="0" t="s">
        <v>48627</v>
      </c>
      <c r="L14591" s="0" t="str">
        <f aca="false">HYPERLINK("https://www.ncbi.nlm.nih.gov/nuccore/CP000304.1?report=graph&amp;tracks=[key:gene_model_track,Options:GeneOnly]&amp;mk=4120859:4120878|offset_8|00cc00,4120822:4120841|offset_45|444444,4120798:4120817|offset_69|444444,4120771:4120790|offset_96|444444&amp;v=4120658:4120990&amp;c=444444", "offset 8")</f>
        <v>offset 8</v>
      </c>
    </row>
    <row r="14592" customFormat="false" ht="12.8" hidden="false" customHeight="false" outlineLevel="0" collapsed="false">
      <c r="A14592" s="0" t="s">
        <v>12</v>
      </c>
      <c r="B14592" s="0" t="n">
        <v>4120821</v>
      </c>
      <c r="C14592" s="0" t="n">
        <v>4120841</v>
      </c>
      <c r="D14592" s="0" t="s">
        <v>48624</v>
      </c>
      <c r="E14592" s="0" t="s">
        <v>89</v>
      </c>
      <c r="F14592" s="0" t="s">
        <v>90</v>
      </c>
      <c r="G14592" s="0" t="s">
        <v>16</v>
      </c>
      <c r="H14592" s="0" t="n">
        <v>45</v>
      </c>
      <c r="I14592" s="0" t="s">
        <v>48628</v>
      </c>
      <c r="J14592" s="0" t="s">
        <v>48629</v>
      </c>
      <c r="K14592" s="0" t="s">
        <v>48630</v>
      </c>
      <c r="L14592" s="0" t="str">
        <f aca="false">HYPERLINK("https://www.ncbi.nlm.nih.gov/nuccore/CP000304.1?report=graph&amp;tracks=[key:gene_model_track,Options:GeneOnly]&amp;mk=4120859:4120878|offset_8|444444,4120822:4120841|offset_45|00cc00,4120798:4120817|offset_69|444444,4120771:4120790|offset_96|444444&amp;v=4120658:4120990&amp;c=444444", "offset 45")</f>
        <v>offset 45</v>
      </c>
    </row>
    <row r="14593" customFormat="false" ht="12.8" hidden="false" customHeight="false" outlineLevel="0" collapsed="false">
      <c r="A14593" s="0" t="s">
        <v>12</v>
      </c>
      <c r="B14593" s="0" t="n">
        <v>4120797</v>
      </c>
      <c r="C14593" s="0" t="n">
        <v>4120817</v>
      </c>
      <c r="D14593" s="0" t="s">
        <v>48624</v>
      </c>
      <c r="E14593" s="0" t="s">
        <v>89</v>
      </c>
      <c r="F14593" s="0" t="s">
        <v>90</v>
      </c>
      <c r="G14593" s="0" t="s">
        <v>36</v>
      </c>
      <c r="H14593" s="0" t="n">
        <v>69</v>
      </c>
      <c r="I14593" s="0" t="s">
        <v>48631</v>
      </c>
      <c r="J14593" s="0" t="s">
        <v>48632</v>
      </c>
      <c r="K14593" s="0" t="s">
        <v>48633</v>
      </c>
      <c r="L14593" s="0" t="str">
        <f aca="false">HYPERLINK("https://www.ncbi.nlm.nih.gov/nuccore/CP000304.1?report=graph&amp;tracks=[key:gene_model_track,Options:GeneOnly]&amp;mk=4120859:4120878|offset_8|444444,4120822:4120841|offset_45|444444,4120798:4120817|offset_69|00cc00,4120771:4120790|offset_96|444444&amp;v=4120658:4120990&amp;c=444444", "offset 69")</f>
        <v>offset 69</v>
      </c>
    </row>
    <row r="14594" customFormat="false" ht="12.8" hidden="false" customHeight="false" outlineLevel="0" collapsed="false">
      <c r="A14594" s="0" t="s">
        <v>12</v>
      </c>
      <c r="B14594" s="0" t="n">
        <v>4120770</v>
      </c>
      <c r="C14594" s="0" t="n">
        <v>4120790</v>
      </c>
      <c r="D14594" s="0" t="s">
        <v>48624</v>
      </c>
      <c r="E14594" s="0" t="s">
        <v>89</v>
      </c>
      <c r="F14594" s="0" t="s">
        <v>90</v>
      </c>
      <c r="G14594" s="0" t="s">
        <v>36</v>
      </c>
      <c r="H14594" s="0" t="n">
        <v>96</v>
      </c>
      <c r="I14594" s="0" t="s">
        <v>48634</v>
      </c>
      <c r="J14594" s="0" t="s">
        <v>48635</v>
      </c>
      <c r="K14594" s="0" t="s">
        <v>48636</v>
      </c>
      <c r="L14594" s="0" t="str">
        <f aca="false">HYPERLINK("https://www.ncbi.nlm.nih.gov/nuccore/CP000304.1?report=graph&amp;tracks=[key:gene_model_track,Options:GeneOnly]&amp;mk=4120859:4120878|offset_8|444444,4120822:4120841|offset_45|444444,4120798:4120817|offset_69|444444,4120771:4120790|offset_96|00cc00&amp;v=4120658:4120990&amp;c=444444", "offset 96")</f>
        <v>offset 96</v>
      </c>
    </row>
    <row r="14595" customFormat="false" ht="12.8" hidden="false" customHeight="false" outlineLevel="0" collapsed="false">
      <c r="A14595" s="0" t="s">
        <v>12</v>
      </c>
      <c r="B14595" s="0" t="n">
        <v>4122865</v>
      </c>
      <c r="C14595" s="0" t="n">
        <v>4122885</v>
      </c>
      <c r="D14595" s="0" t="s">
        <v>48637</v>
      </c>
      <c r="E14595" s="0" t="s">
        <v>48638</v>
      </c>
      <c r="F14595" s="0" t="s">
        <v>90</v>
      </c>
      <c r="G14595" s="0" t="s">
        <v>36</v>
      </c>
      <c r="H14595" s="0" t="n">
        <v>10</v>
      </c>
      <c r="I14595" s="0" t="s">
        <v>48639</v>
      </c>
      <c r="J14595" s="0" t="s">
        <v>48640</v>
      </c>
      <c r="K14595" s="0" t="s">
        <v>48641</v>
      </c>
      <c r="L14595" s="0" t="str">
        <f aca="false">HYPERLINK("https://www.ncbi.nlm.nih.gov/nuccore/CP000304.1?report=graph&amp;tracks=[key:gene_model_track,Options:GeneOnly]&amp;mk=4122866:4122885|offset_10|00cc00,4122843:4122862|offset_33|444444,4122819:4122838|offset_57|444444,4122792:4122811|offset_84|444444&amp;v=4122665:4123011&amp;c=444444", "offset 10")</f>
        <v>offset 10</v>
      </c>
    </row>
    <row r="14596" customFormat="false" ht="12.8" hidden="false" customHeight="false" outlineLevel="0" collapsed="false">
      <c r="A14596" s="0" t="s">
        <v>12</v>
      </c>
      <c r="B14596" s="0" t="n">
        <v>4122842</v>
      </c>
      <c r="C14596" s="0" t="n">
        <v>4122862</v>
      </c>
      <c r="D14596" s="0" t="s">
        <v>48637</v>
      </c>
      <c r="E14596" s="0" t="s">
        <v>48638</v>
      </c>
      <c r="F14596" s="0" t="s">
        <v>90</v>
      </c>
      <c r="G14596" s="0" t="s">
        <v>32</v>
      </c>
      <c r="H14596" s="0" t="n">
        <v>33</v>
      </c>
      <c r="I14596" s="0" t="s">
        <v>48642</v>
      </c>
      <c r="J14596" s="0" t="s">
        <v>48643</v>
      </c>
      <c r="K14596" s="0" t="s">
        <v>48644</v>
      </c>
      <c r="L14596" s="0" t="str">
        <f aca="false">HYPERLINK("https://www.ncbi.nlm.nih.gov/nuccore/CP000304.1?report=graph&amp;tracks=[key:gene_model_track,Options:GeneOnly]&amp;mk=4122866:4122885|offset_10|444444,4122843:4122862|offset_33|00cc00,4122819:4122838|offset_57|444444,4122792:4122811|offset_84|444444&amp;v=4122665:4123011&amp;c=444444", "offset 33")</f>
        <v>offset 33</v>
      </c>
    </row>
    <row r="14597" customFormat="false" ht="12.8" hidden="false" customHeight="false" outlineLevel="0" collapsed="false">
      <c r="A14597" s="0" t="s">
        <v>12</v>
      </c>
      <c r="B14597" s="0" t="n">
        <v>4122818</v>
      </c>
      <c r="C14597" s="0" t="n">
        <v>4122838</v>
      </c>
      <c r="D14597" s="0" t="s">
        <v>48637</v>
      </c>
      <c r="E14597" s="0" t="s">
        <v>48638</v>
      </c>
      <c r="F14597" s="0" t="s">
        <v>90</v>
      </c>
      <c r="G14597" s="0" t="s">
        <v>16</v>
      </c>
      <c r="H14597" s="0" t="n">
        <v>57</v>
      </c>
      <c r="I14597" s="0" t="s">
        <v>48645</v>
      </c>
      <c r="J14597" s="0" t="s">
        <v>48646</v>
      </c>
      <c r="K14597" s="0" t="s">
        <v>48647</v>
      </c>
      <c r="L14597" s="0" t="str">
        <f aca="false">HYPERLINK("https://www.ncbi.nlm.nih.gov/nuccore/CP000304.1?report=graph&amp;tracks=[key:gene_model_track,Options:GeneOnly]&amp;mk=4122866:4122885|offset_10|444444,4122843:4122862|offset_33|444444,4122819:4122838|offset_57|00cc00,4122792:4122811|offset_84|444444&amp;v=4122665:4123011&amp;c=444444", "offset 57")</f>
        <v>offset 57</v>
      </c>
    </row>
    <row r="14598" customFormat="false" ht="12.8" hidden="false" customHeight="false" outlineLevel="0" collapsed="false">
      <c r="A14598" s="0" t="s">
        <v>12</v>
      </c>
      <c r="B14598" s="0" t="n">
        <v>4122791</v>
      </c>
      <c r="C14598" s="0" t="n">
        <v>4122811</v>
      </c>
      <c r="D14598" s="0" t="s">
        <v>48637</v>
      </c>
      <c r="E14598" s="0" t="s">
        <v>48638</v>
      </c>
      <c r="F14598" s="0" t="s">
        <v>90</v>
      </c>
      <c r="G14598" s="0" t="s">
        <v>36</v>
      </c>
      <c r="H14598" s="0" t="n">
        <v>84</v>
      </c>
      <c r="I14598" s="0" t="s">
        <v>48648</v>
      </c>
      <c r="J14598" s="0" t="s">
        <v>48649</v>
      </c>
      <c r="K14598" s="0" t="s">
        <v>48650</v>
      </c>
      <c r="L14598" s="0" t="str">
        <f aca="false">HYPERLINK("https://www.ncbi.nlm.nih.gov/nuccore/CP000304.1?report=graph&amp;tracks=[key:gene_model_track,Options:GeneOnly]&amp;mk=4122866:4122885|offset_10|444444,4122843:4122862|offset_33|444444,4122819:4122838|offset_57|444444,4122792:4122811|offset_84|00cc00&amp;v=4122665:4123011&amp;c=444444", "offset 84")</f>
        <v>offset 84</v>
      </c>
    </row>
    <row r="14599" customFormat="false" ht="12.8" hidden="false" customHeight="false" outlineLevel="0" collapsed="false">
      <c r="A14599" s="0" t="s">
        <v>12</v>
      </c>
      <c r="B14599" s="0" t="n">
        <v>4123559</v>
      </c>
      <c r="C14599" s="0" t="n">
        <v>4123579</v>
      </c>
      <c r="D14599" s="0" t="s">
        <v>48651</v>
      </c>
      <c r="E14599" s="0" t="s">
        <v>89</v>
      </c>
      <c r="F14599" s="0" t="s">
        <v>90</v>
      </c>
      <c r="G14599" s="0" t="s">
        <v>32</v>
      </c>
      <c r="H14599" s="0" t="n">
        <v>9</v>
      </c>
      <c r="I14599" s="0" t="s">
        <v>48652</v>
      </c>
      <c r="J14599" s="0" t="s">
        <v>48653</v>
      </c>
      <c r="K14599" s="0" t="s">
        <v>48654</v>
      </c>
      <c r="L14599" s="0" t="str">
        <f aca="false">HYPERLINK("https://www.ncbi.nlm.nih.gov/nuccore/CP000304.1?report=graph&amp;tracks=[key:gene_model_track,Options:GeneOnly]&amp;mk=4123560:4123579|offset_9|00cc00,4123527:4123546|offset_42|444444,4123493:4123512|offset_76|444444,4123468:4123487|offset_101|444444&amp;v=4123359:4123687&amp;c=444444", "offset 9")</f>
        <v>offset 9</v>
      </c>
    </row>
    <row r="14600" customFormat="false" ht="12.8" hidden="false" customHeight="false" outlineLevel="0" collapsed="false">
      <c r="A14600" s="0" t="s">
        <v>12</v>
      </c>
      <c r="B14600" s="0" t="n">
        <v>4123526</v>
      </c>
      <c r="C14600" s="0" t="n">
        <v>4123546</v>
      </c>
      <c r="D14600" s="0" t="s">
        <v>48651</v>
      </c>
      <c r="E14600" s="0" t="s">
        <v>89</v>
      </c>
      <c r="F14600" s="0" t="s">
        <v>90</v>
      </c>
      <c r="G14600" s="0" t="s">
        <v>26</v>
      </c>
      <c r="H14600" s="0" t="n">
        <v>42</v>
      </c>
      <c r="I14600" s="0" t="s">
        <v>48655</v>
      </c>
      <c r="J14600" s="0" t="s">
        <v>48656</v>
      </c>
      <c r="K14600" s="0" t="s">
        <v>48657</v>
      </c>
      <c r="L14600" s="0" t="str">
        <f aca="false">HYPERLINK("https://www.ncbi.nlm.nih.gov/nuccore/CP000304.1?report=graph&amp;tracks=[key:gene_model_track,Options:GeneOnly]&amp;mk=4123560:4123579|offset_9|444444,4123527:4123546|offset_42|00cc00,4123493:4123512|offset_76|444444,4123468:4123487|offset_101|444444&amp;v=4123359:4123687&amp;c=444444", "offset 42")</f>
        <v>offset 42</v>
      </c>
    </row>
    <row r="14601" customFormat="false" ht="12.8" hidden="false" customHeight="false" outlineLevel="0" collapsed="false">
      <c r="A14601" s="0" t="s">
        <v>12</v>
      </c>
      <c r="B14601" s="0" t="n">
        <v>4123492</v>
      </c>
      <c r="C14601" s="0" t="n">
        <v>4123512</v>
      </c>
      <c r="D14601" s="0" t="s">
        <v>48651</v>
      </c>
      <c r="E14601" s="0" t="s">
        <v>89</v>
      </c>
      <c r="F14601" s="0" t="s">
        <v>90</v>
      </c>
      <c r="G14601" s="0" t="s">
        <v>32</v>
      </c>
      <c r="H14601" s="0" t="n">
        <v>76</v>
      </c>
      <c r="I14601" s="0" t="s">
        <v>48658</v>
      </c>
      <c r="J14601" s="0" t="s">
        <v>48659</v>
      </c>
      <c r="K14601" s="0" t="s">
        <v>48660</v>
      </c>
      <c r="L14601" s="0" t="str">
        <f aca="false">HYPERLINK("https://www.ncbi.nlm.nih.gov/nuccore/CP000304.1?report=graph&amp;tracks=[key:gene_model_track,Options:GeneOnly]&amp;mk=4123560:4123579|offset_9|444444,4123527:4123546|offset_42|444444,4123493:4123512|offset_76|00cc00,4123468:4123487|offset_101|444444&amp;v=4123359:4123687&amp;c=444444", "offset 76")</f>
        <v>offset 76</v>
      </c>
    </row>
    <row r="14602" customFormat="false" ht="12.8" hidden="false" customHeight="false" outlineLevel="0" collapsed="false">
      <c r="A14602" s="0" t="s">
        <v>12</v>
      </c>
      <c r="B14602" s="0" t="n">
        <v>4123467</v>
      </c>
      <c r="C14602" s="0" t="n">
        <v>4123487</v>
      </c>
      <c r="D14602" s="0" t="s">
        <v>48651</v>
      </c>
      <c r="E14602" s="0" t="s">
        <v>89</v>
      </c>
      <c r="F14602" s="0" t="s">
        <v>90</v>
      </c>
      <c r="G14602" s="0" t="s">
        <v>26</v>
      </c>
      <c r="H14602" s="0" t="n">
        <v>101</v>
      </c>
      <c r="I14602" s="0" t="s">
        <v>48661</v>
      </c>
      <c r="J14602" s="0" t="s">
        <v>48662</v>
      </c>
      <c r="K14602" s="0" t="s">
        <v>48663</v>
      </c>
      <c r="L14602" s="0" t="str">
        <f aca="false">HYPERLINK("https://www.ncbi.nlm.nih.gov/nuccore/CP000304.1?report=graph&amp;tracks=[key:gene_model_track,Options:GeneOnly]&amp;mk=4123560:4123579|offset_9|444444,4123527:4123546|offset_42|444444,4123493:4123512|offset_76|444444,4123468:4123487|offset_101|00cc00&amp;v=4123359:4123687&amp;c=444444", "offset 101")</f>
        <v>offset 101</v>
      </c>
    </row>
    <row r="14603" customFormat="false" ht="12.8" hidden="false" customHeight="false" outlineLevel="0" collapsed="false">
      <c r="A14603" s="0" t="s">
        <v>12</v>
      </c>
      <c r="B14603" s="0" t="n">
        <v>4124410</v>
      </c>
      <c r="C14603" s="0" t="n">
        <v>4124430</v>
      </c>
      <c r="D14603" s="0" t="s">
        <v>48664</v>
      </c>
      <c r="E14603" s="0" t="s">
        <v>89</v>
      </c>
      <c r="F14603" s="0" t="s">
        <v>90</v>
      </c>
      <c r="G14603" s="0" t="s">
        <v>36</v>
      </c>
      <c r="H14603" s="0" t="n">
        <v>0</v>
      </c>
      <c r="I14603" s="0" t="s">
        <v>48665</v>
      </c>
      <c r="J14603" s="0" t="s">
        <v>48666</v>
      </c>
      <c r="K14603" s="0" t="s">
        <v>48667</v>
      </c>
      <c r="L14603" s="0" t="str">
        <f aca="false">HYPERLINK("https://www.ncbi.nlm.nih.gov/nuccore/CP000304.1?report=graph&amp;tracks=[key:gene_model_track,Options:GeneOnly]&amp;mk=4124411:4124430|offset_0|00cc00,4124368:4124387|offset_43|444444,4124325:4124344|offset_86|444444,4124284:4124303|offset_127|444444&amp;v=4124210:4124503&amp;c=444444", "offset 0")</f>
        <v>offset 0</v>
      </c>
    </row>
    <row r="14604" customFormat="false" ht="12.8" hidden="false" customHeight="false" outlineLevel="0" collapsed="false">
      <c r="A14604" s="0" t="s">
        <v>12</v>
      </c>
      <c r="B14604" s="0" t="n">
        <v>4124367</v>
      </c>
      <c r="C14604" s="0" t="n">
        <v>4124387</v>
      </c>
      <c r="D14604" s="0" t="s">
        <v>48664</v>
      </c>
      <c r="E14604" s="0" t="s">
        <v>89</v>
      </c>
      <c r="F14604" s="0" t="s">
        <v>90</v>
      </c>
      <c r="G14604" s="0" t="s">
        <v>16</v>
      </c>
      <c r="H14604" s="0" t="n">
        <v>43</v>
      </c>
      <c r="I14604" s="0" t="s">
        <v>48668</v>
      </c>
      <c r="J14604" s="0" t="s">
        <v>48669</v>
      </c>
      <c r="K14604" s="0" t="s">
        <v>48670</v>
      </c>
      <c r="L14604" s="0" t="str">
        <f aca="false">HYPERLINK("https://www.ncbi.nlm.nih.gov/nuccore/CP000304.1?report=graph&amp;tracks=[key:gene_model_track,Options:GeneOnly]&amp;mk=4124411:4124430|offset_0|444444,4124368:4124387|offset_43|00cc00,4124325:4124344|offset_86|444444,4124284:4124303|offset_127|444444&amp;v=4124210:4124503&amp;c=444444", "offset 43")</f>
        <v>offset 43</v>
      </c>
    </row>
    <row r="14605" customFormat="false" ht="12.8" hidden="false" customHeight="false" outlineLevel="0" collapsed="false">
      <c r="A14605" s="0" t="s">
        <v>12</v>
      </c>
      <c r="B14605" s="0" t="n">
        <v>4124324</v>
      </c>
      <c r="C14605" s="0" t="n">
        <v>4124344</v>
      </c>
      <c r="D14605" s="0" t="s">
        <v>48664</v>
      </c>
      <c r="E14605" s="0" t="s">
        <v>89</v>
      </c>
      <c r="F14605" s="0" t="s">
        <v>90</v>
      </c>
      <c r="G14605" s="0" t="s">
        <v>26</v>
      </c>
      <c r="H14605" s="0" t="n">
        <v>86</v>
      </c>
      <c r="I14605" s="0" t="s">
        <v>48671</v>
      </c>
      <c r="J14605" s="0" t="s">
        <v>48672</v>
      </c>
      <c r="K14605" s="0" t="s">
        <v>48673</v>
      </c>
      <c r="L14605" s="0" t="str">
        <f aca="false">HYPERLINK("https://www.ncbi.nlm.nih.gov/nuccore/CP000304.1?report=graph&amp;tracks=[key:gene_model_track,Options:GeneOnly]&amp;mk=4124411:4124430|offset_0|444444,4124368:4124387|offset_43|444444,4124325:4124344|offset_86|00cc00,4124284:4124303|offset_127|444444&amp;v=4124210:4124503&amp;c=444444", "offset 86")</f>
        <v>offset 86</v>
      </c>
    </row>
    <row r="14606" customFormat="false" ht="12.8" hidden="false" customHeight="false" outlineLevel="0" collapsed="false">
      <c r="A14606" s="0" t="s">
        <v>12</v>
      </c>
      <c r="B14606" s="0" t="n">
        <v>4124283</v>
      </c>
      <c r="C14606" s="0" t="n">
        <v>4124303</v>
      </c>
      <c r="D14606" s="0" t="s">
        <v>48664</v>
      </c>
      <c r="E14606" s="0" t="s">
        <v>89</v>
      </c>
      <c r="F14606" s="0" t="s">
        <v>90</v>
      </c>
      <c r="G14606" s="0" t="s">
        <v>16</v>
      </c>
      <c r="H14606" s="0" t="n">
        <v>127</v>
      </c>
      <c r="I14606" s="0" t="s">
        <v>48674</v>
      </c>
      <c r="J14606" s="0" t="s">
        <v>48675</v>
      </c>
      <c r="K14606" s="0" t="s">
        <v>48676</v>
      </c>
      <c r="L14606" s="0" t="str">
        <f aca="false">HYPERLINK("https://www.ncbi.nlm.nih.gov/nuccore/CP000304.1?report=graph&amp;tracks=[key:gene_model_track,Options:GeneOnly]&amp;mk=4124411:4124430|offset_0|444444,4124368:4124387|offset_43|444444,4124325:4124344|offset_86|444444,4124284:4124303|offset_127|00cc00&amp;v=4124210:4124503&amp;c=444444", "offset 127")</f>
        <v>offset 127</v>
      </c>
    </row>
    <row r="14607" customFormat="false" ht="12.8" hidden="false" customHeight="false" outlineLevel="0" collapsed="false">
      <c r="A14607" s="0" t="s">
        <v>12</v>
      </c>
      <c r="B14607" s="0" t="n">
        <v>4124997</v>
      </c>
      <c r="C14607" s="0" t="n">
        <v>4125017</v>
      </c>
      <c r="D14607" s="0" t="s">
        <v>48677</v>
      </c>
      <c r="E14607" s="0" t="s">
        <v>89</v>
      </c>
      <c r="F14607" s="0" t="s">
        <v>90</v>
      </c>
      <c r="G14607" s="0" t="s">
        <v>16</v>
      </c>
      <c r="H14607" s="0" t="n">
        <v>26</v>
      </c>
      <c r="I14607" s="0" t="s">
        <v>48678</v>
      </c>
      <c r="J14607" s="0" t="s">
        <v>48679</v>
      </c>
      <c r="K14607" s="0" t="s">
        <v>48680</v>
      </c>
      <c r="L14607" s="0" t="str">
        <f aca="false">HYPERLINK("https://www.ncbi.nlm.nih.gov/nuccore/CP000304.1?report=graph&amp;tracks=[key:gene_model_track,Options:GeneOnly]&amp;mk=4124998:4125017|offset_26|00cc00,4124969:4124988|offset_55|444444,4124931:4124950|offset_93|444444,4124887:4124906|offset_137|444444&amp;v=4124797:4125106&amp;c=444444", "offset 26")</f>
        <v>offset 26</v>
      </c>
    </row>
    <row r="14608" customFormat="false" ht="12.8" hidden="false" customHeight="false" outlineLevel="0" collapsed="false">
      <c r="A14608" s="0" t="s">
        <v>12</v>
      </c>
      <c r="B14608" s="0" t="n">
        <v>4124968</v>
      </c>
      <c r="C14608" s="0" t="n">
        <v>4124988</v>
      </c>
      <c r="D14608" s="0" t="s">
        <v>48677</v>
      </c>
      <c r="E14608" s="0" t="s">
        <v>89</v>
      </c>
      <c r="F14608" s="0" t="s">
        <v>90</v>
      </c>
      <c r="G14608" s="0" t="s">
        <v>26</v>
      </c>
      <c r="H14608" s="0" t="n">
        <v>55</v>
      </c>
      <c r="I14608" s="0" t="s">
        <v>48681</v>
      </c>
      <c r="J14608" s="0" t="s">
        <v>48682</v>
      </c>
      <c r="K14608" s="0" t="s">
        <v>48683</v>
      </c>
      <c r="L14608" s="0" t="str">
        <f aca="false">HYPERLINK("https://www.ncbi.nlm.nih.gov/nuccore/CP000304.1?report=graph&amp;tracks=[key:gene_model_track,Options:GeneOnly]&amp;mk=4124998:4125017|offset_26|444444,4124969:4124988|offset_55|00cc00,4124931:4124950|offset_93|444444,4124887:4124906|offset_137|444444&amp;v=4124797:4125106&amp;c=444444", "offset 55")</f>
        <v>offset 55</v>
      </c>
    </row>
    <row r="14609" customFormat="false" ht="12.8" hidden="false" customHeight="false" outlineLevel="0" collapsed="false">
      <c r="A14609" s="0" t="s">
        <v>12</v>
      </c>
      <c r="B14609" s="0" t="n">
        <v>4124930</v>
      </c>
      <c r="C14609" s="0" t="n">
        <v>4124950</v>
      </c>
      <c r="D14609" s="0" t="s">
        <v>48677</v>
      </c>
      <c r="E14609" s="0" t="s">
        <v>89</v>
      </c>
      <c r="F14609" s="0" t="s">
        <v>90</v>
      </c>
      <c r="G14609" s="0" t="s">
        <v>16</v>
      </c>
      <c r="H14609" s="0" t="n">
        <v>93</v>
      </c>
      <c r="I14609" s="0" t="s">
        <v>48684</v>
      </c>
      <c r="J14609" s="0" t="s">
        <v>48685</v>
      </c>
      <c r="K14609" s="0" t="s">
        <v>48686</v>
      </c>
      <c r="L14609" s="0" t="str">
        <f aca="false">HYPERLINK("https://www.ncbi.nlm.nih.gov/nuccore/CP000304.1?report=graph&amp;tracks=[key:gene_model_track,Options:GeneOnly]&amp;mk=4124998:4125017|offset_26|444444,4124969:4124988|offset_55|444444,4124931:4124950|offset_93|00cc00,4124887:4124906|offset_137|444444&amp;v=4124797:4125106&amp;c=444444", "offset 93")</f>
        <v>offset 93</v>
      </c>
    </row>
    <row r="14610" customFormat="false" ht="12.8" hidden="false" customHeight="false" outlineLevel="0" collapsed="false">
      <c r="A14610" s="0" t="s">
        <v>12</v>
      </c>
      <c r="B14610" s="0" t="n">
        <v>4124886</v>
      </c>
      <c r="C14610" s="0" t="n">
        <v>4124906</v>
      </c>
      <c r="D14610" s="0" t="s">
        <v>48677</v>
      </c>
      <c r="E14610" s="0" t="s">
        <v>89</v>
      </c>
      <c r="F14610" s="0" t="s">
        <v>90</v>
      </c>
      <c r="G14610" s="0" t="s">
        <v>32</v>
      </c>
      <c r="H14610" s="0" t="n">
        <v>137</v>
      </c>
      <c r="I14610" s="0" t="s">
        <v>48687</v>
      </c>
      <c r="J14610" s="0" t="s">
        <v>48688</v>
      </c>
      <c r="K14610" s="0" t="s">
        <v>48689</v>
      </c>
      <c r="L14610" s="0" t="str">
        <f aca="false">HYPERLINK("https://www.ncbi.nlm.nih.gov/nuccore/CP000304.1?report=graph&amp;tracks=[key:gene_model_track,Options:GeneOnly]&amp;mk=4124998:4125017|offset_26|444444,4124969:4124988|offset_55|444444,4124931:4124950|offset_93|444444,4124887:4124906|offset_137|00cc00&amp;v=4124797:4125106&amp;c=444444", "offset 137")</f>
        <v>offset 137</v>
      </c>
    </row>
    <row r="14611" customFormat="false" ht="12.8" hidden="false" customHeight="false" outlineLevel="0" collapsed="false">
      <c r="A14611" s="0" t="s">
        <v>12</v>
      </c>
      <c r="B14611" s="0" t="n">
        <v>4125637</v>
      </c>
      <c r="C14611" s="0" t="n">
        <v>4125657</v>
      </c>
      <c r="D14611" s="0" t="s">
        <v>48690</v>
      </c>
      <c r="E14611" s="0" t="s">
        <v>89</v>
      </c>
      <c r="F14611" s="0" t="s">
        <v>90</v>
      </c>
      <c r="G14611" s="0" t="s">
        <v>36</v>
      </c>
      <c r="H14611" s="0" t="n">
        <v>0</v>
      </c>
      <c r="I14611" s="0" t="s">
        <v>48691</v>
      </c>
      <c r="J14611" s="0" t="s">
        <v>48692</v>
      </c>
      <c r="K14611" s="0" t="s">
        <v>48693</v>
      </c>
      <c r="L14611" s="0" t="str">
        <f aca="false">HYPERLINK("https://www.ncbi.nlm.nih.gov/nuccore/CP000304.1?report=graph&amp;tracks=[key:gene_model_track,Options:GeneOnly]&amp;mk=4125638:4125657|offset_0|00cc00,4125617:4125636|offset_21|444444,4125594:4125613|offset_44|444444,4125543:4125562|offset_95|444444&amp;v=4125437:4125762&amp;c=444444", "offset 0")</f>
        <v>offset 0</v>
      </c>
    </row>
    <row r="14612" customFormat="false" ht="12.8" hidden="false" customHeight="false" outlineLevel="0" collapsed="false">
      <c r="A14612" s="0" t="s">
        <v>12</v>
      </c>
      <c r="B14612" s="0" t="n">
        <v>4125616</v>
      </c>
      <c r="C14612" s="0" t="n">
        <v>4125636</v>
      </c>
      <c r="D14612" s="0" t="s">
        <v>48690</v>
      </c>
      <c r="E14612" s="0" t="s">
        <v>89</v>
      </c>
      <c r="F14612" s="0" t="s">
        <v>90</v>
      </c>
      <c r="G14612" s="0" t="s">
        <v>36</v>
      </c>
      <c r="H14612" s="0" t="n">
        <v>21</v>
      </c>
      <c r="I14612" s="0" t="s">
        <v>48694</v>
      </c>
      <c r="J14612" s="0" t="s">
        <v>48695</v>
      </c>
      <c r="K14612" s="0" t="s">
        <v>48696</v>
      </c>
      <c r="L14612" s="0" t="str">
        <f aca="false">HYPERLINK("https://www.ncbi.nlm.nih.gov/nuccore/CP000304.1?report=graph&amp;tracks=[key:gene_model_track,Options:GeneOnly]&amp;mk=4125638:4125657|offset_0|444444,4125617:4125636|offset_21|00cc00,4125594:4125613|offset_44|444444,4125543:4125562|offset_95|444444&amp;v=4125437:4125762&amp;c=444444", "offset 21")</f>
        <v>offset 21</v>
      </c>
    </row>
    <row r="14613" customFormat="false" ht="12.8" hidden="false" customHeight="false" outlineLevel="0" collapsed="false">
      <c r="A14613" s="0" t="s">
        <v>12</v>
      </c>
      <c r="B14613" s="0" t="n">
        <v>4125593</v>
      </c>
      <c r="C14613" s="0" t="n">
        <v>4125613</v>
      </c>
      <c r="D14613" s="0" t="s">
        <v>48690</v>
      </c>
      <c r="E14613" s="0" t="s">
        <v>89</v>
      </c>
      <c r="F14613" s="0" t="s">
        <v>90</v>
      </c>
      <c r="G14613" s="0" t="s">
        <v>26</v>
      </c>
      <c r="H14613" s="0" t="n">
        <v>44</v>
      </c>
      <c r="I14613" s="0" t="s">
        <v>48697</v>
      </c>
      <c r="J14613" s="0" t="s">
        <v>48698</v>
      </c>
      <c r="K14613" s="0" t="s">
        <v>48699</v>
      </c>
      <c r="L14613" s="0" t="str">
        <f aca="false">HYPERLINK("https://www.ncbi.nlm.nih.gov/nuccore/CP000304.1?report=graph&amp;tracks=[key:gene_model_track,Options:GeneOnly]&amp;mk=4125638:4125657|offset_0|444444,4125617:4125636|offset_21|444444,4125594:4125613|offset_44|00cc00,4125543:4125562|offset_95|444444&amp;v=4125437:4125762&amp;c=444444", "offset 44")</f>
        <v>offset 44</v>
      </c>
    </row>
    <row r="14614" customFormat="false" ht="12.8" hidden="false" customHeight="false" outlineLevel="0" collapsed="false">
      <c r="A14614" s="0" t="s">
        <v>12</v>
      </c>
      <c r="B14614" s="0" t="n">
        <v>4125542</v>
      </c>
      <c r="C14614" s="0" t="n">
        <v>4125562</v>
      </c>
      <c r="D14614" s="0" t="s">
        <v>48690</v>
      </c>
      <c r="E14614" s="0" t="s">
        <v>89</v>
      </c>
      <c r="F14614" s="0" t="s">
        <v>90</v>
      </c>
      <c r="G14614" s="0" t="s">
        <v>26</v>
      </c>
      <c r="H14614" s="0" t="n">
        <v>95</v>
      </c>
      <c r="I14614" s="0" t="s">
        <v>48700</v>
      </c>
      <c r="J14614" s="0" t="s">
        <v>48701</v>
      </c>
      <c r="K14614" s="0" t="s">
        <v>48702</v>
      </c>
      <c r="L14614" s="0" t="str">
        <f aca="false">HYPERLINK("https://www.ncbi.nlm.nih.gov/nuccore/CP000304.1?report=graph&amp;tracks=[key:gene_model_track,Options:GeneOnly]&amp;mk=4125638:4125657|offset_0|444444,4125617:4125636|offset_21|444444,4125594:4125613|offset_44|444444,4125543:4125562|offset_95|00cc00&amp;v=4125437:4125762&amp;c=444444", "offset 95")</f>
        <v>offset 95</v>
      </c>
    </row>
    <row r="14615" customFormat="false" ht="12.8" hidden="false" customHeight="false" outlineLevel="0" collapsed="false">
      <c r="A14615" s="0" t="s">
        <v>12</v>
      </c>
      <c r="B14615" s="0" t="n">
        <v>4125773</v>
      </c>
      <c r="C14615" s="0" t="n">
        <v>4125793</v>
      </c>
      <c r="D14615" s="0" t="s">
        <v>48703</v>
      </c>
      <c r="E14615" s="0" t="s">
        <v>89</v>
      </c>
      <c r="F14615" s="0" t="s">
        <v>15</v>
      </c>
      <c r="G14615" s="0" t="s">
        <v>26</v>
      </c>
      <c r="H14615" s="0" t="n">
        <v>0</v>
      </c>
      <c r="I14615" s="0" t="s">
        <v>48704</v>
      </c>
      <c r="J14615" s="0" t="s">
        <v>48705</v>
      </c>
      <c r="K14615" s="0" t="s">
        <v>48706</v>
      </c>
      <c r="L14615" s="0" t="str">
        <f aca="false">HYPERLINK("https://www.ncbi.nlm.nih.gov/nuccore/CP000304.1?report=graph&amp;tracks=[key:gene_model_track,Options:GeneOnly]&amp;mk=4125774:4125793|offset_0|00cc00,4125811:4125830|offset_37|444444,4125859:4125878|offset_85|444444,4125882:4125901|offset_108|444444&amp;v=4125573:4126101&amp;c=444444", "offset 0")</f>
        <v>offset 0</v>
      </c>
    </row>
    <row r="14616" customFormat="false" ht="12.8" hidden="false" customHeight="false" outlineLevel="0" collapsed="false">
      <c r="A14616" s="0" t="s">
        <v>12</v>
      </c>
      <c r="B14616" s="0" t="n">
        <v>4125810</v>
      </c>
      <c r="C14616" s="0" t="n">
        <v>4125830</v>
      </c>
      <c r="D14616" s="0" t="s">
        <v>48703</v>
      </c>
      <c r="E14616" s="0" t="s">
        <v>89</v>
      </c>
      <c r="F14616" s="0" t="s">
        <v>15</v>
      </c>
      <c r="G14616" s="0" t="s">
        <v>16</v>
      </c>
      <c r="H14616" s="0" t="n">
        <v>37</v>
      </c>
      <c r="I14616" s="0" t="s">
        <v>48707</v>
      </c>
      <c r="J14616" s="0" t="s">
        <v>48708</v>
      </c>
      <c r="K14616" s="0" t="s">
        <v>48709</v>
      </c>
      <c r="L14616" s="0" t="str">
        <f aca="false">HYPERLINK("https://www.ncbi.nlm.nih.gov/nuccore/CP000304.1?report=graph&amp;tracks=[key:gene_model_track,Options:GeneOnly]&amp;mk=4125774:4125793|offset_0|444444,4125811:4125830|offset_37|00cc00,4125859:4125878|offset_85|444444,4125882:4125901|offset_108|444444&amp;v=4125573:4126101&amp;c=444444", "offset 37")</f>
        <v>offset 37</v>
      </c>
    </row>
    <row r="14617" customFormat="false" ht="12.8" hidden="false" customHeight="false" outlineLevel="0" collapsed="false">
      <c r="A14617" s="0" t="s">
        <v>12</v>
      </c>
      <c r="B14617" s="0" t="n">
        <v>4125858</v>
      </c>
      <c r="C14617" s="0" t="n">
        <v>4125878</v>
      </c>
      <c r="D14617" s="0" t="s">
        <v>48703</v>
      </c>
      <c r="E14617" s="0" t="s">
        <v>89</v>
      </c>
      <c r="F14617" s="0" t="s">
        <v>15</v>
      </c>
      <c r="G14617" s="0" t="s">
        <v>32</v>
      </c>
      <c r="H14617" s="0" t="n">
        <v>85</v>
      </c>
      <c r="I14617" s="0" t="s">
        <v>48710</v>
      </c>
      <c r="J14617" s="0" t="s">
        <v>48711</v>
      </c>
      <c r="K14617" s="0" t="s">
        <v>48712</v>
      </c>
      <c r="L14617" s="0" t="str">
        <f aca="false">HYPERLINK("https://www.ncbi.nlm.nih.gov/nuccore/CP000304.1?report=graph&amp;tracks=[key:gene_model_track,Options:GeneOnly]&amp;mk=4125774:4125793|offset_0|444444,4125811:4125830|offset_37|444444,4125859:4125878|offset_85|00cc00,4125882:4125901|offset_108|444444&amp;v=4125573:4126101&amp;c=444444", "offset 85")</f>
        <v>offset 85</v>
      </c>
    </row>
    <row r="14618" customFormat="false" ht="12.8" hidden="false" customHeight="false" outlineLevel="0" collapsed="false">
      <c r="A14618" s="0" t="s">
        <v>12</v>
      </c>
      <c r="B14618" s="0" t="n">
        <v>4125881</v>
      </c>
      <c r="C14618" s="0" t="n">
        <v>4125901</v>
      </c>
      <c r="D14618" s="0" t="s">
        <v>48703</v>
      </c>
      <c r="E14618" s="0" t="s">
        <v>89</v>
      </c>
      <c r="F14618" s="0" t="s">
        <v>15</v>
      </c>
      <c r="G14618" s="0" t="s">
        <v>32</v>
      </c>
      <c r="H14618" s="0" t="n">
        <v>108</v>
      </c>
      <c r="I14618" s="0" t="s">
        <v>48713</v>
      </c>
      <c r="J14618" s="0" t="s">
        <v>48714</v>
      </c>
      <c r="K14618" s="0" t="s">
        <v>48715</v>
      </c>
      <c r="L14618" s="0" t="str">
        <f aca="false">HYPERLINK("https://www.ncbi.nlm.nih.gov/nuccore/CP000304.1?report=graph&amp;tracks=[key:gene_model_track,Options:GeneOnly]&amp;mk=4125774:4125793|offset_0|444444,4125811:4125830|offset_37|444444,4125859:4125878|offset_85|444444,4125882:4125901|offset_108|00cc00&amp;v=4125573:4126101&amp;c=444444", "offset 108")</f>
        <v>offset 108</v>
      </c>
    </row>
    <row r="14619" customFormat="false" ht="12.8" hidden="false" customHeight="false" outlineLevel="0" collapsed="false">
      <c r="A14619" s="0" t="s">
        <v>12</v>
      </c>
      <c r="B14619" s="0" t="n">
        <v>4128559</v>
      </c>
      <c r="C14619" s="0" t="n">
        <v>4128579</v>
      </c>
      <c r="D14619" s="0" t="s">
        <v>48716</v>
      </c>
      <c r="E14619" s="0" t="s">
        <v>48717</v>
      </c>
      <c r="F14619" s="0" t="s">
        <v>90</v>
      </c>
      <c r="G14619" s="0" t="s">
        <v>16</v>
      </c>
      <c r="H14619" s="0" t="n">
        <v>0</v>
      </c>
      <c r="I14619" s="0" t="s">
        <v>48718</v>
      </c>
      <c r="J14619" s="0" t="s">
        <v>48719</v>
      </c>
      <c r="K14619" s="0" t="s">
        <v>48720</v>
      </c>
      <c r="L14619" s="0" t="str">
        <f aca="false">HYPERLINK("https://www.ncbi.nlm.nih.gov/nuccore/CP000304.1?report=graph&amp;tracks=[key:gene_model_track,Options:GeneOnly]&amp;mk=4128560:4128579|offset_0|00cc00,4128523:4128542|offset_37|444444,4128502:4128521|offset_58|444444,4128453:4128472|offset_107|444444&amp;v=4128359:4128672&amp;c=444444", "offset 0")</f>
        <v>offset 0</v>
      </c>
    </row>
    <row r="14620" customFormat="false" ht="12.8" hidden="false" customHeight="false" outlineLevel="0" collapsed="false">
      <c r="A14620" s="0" t="s">
        <v>12</v>
      </c>
      <c r="B14620" s="0" t="n">
        <v>4128522</v>
      </c>
      <c r="C14620" s="0" t="n">
        <v>4128542</v>
      </c>
      <c r="D14620" s="0" t="s">
        <v>48716</v>
      </c>
      <c r="E14620" s="0" t="s">
        <v>48717</v>
      </c>
      <c r="F14620" s="0" t="s">
        <v>90</v>
      </c>
      <c r="G14620" s="0" t="s">
        <v>16</v>
      </c>
      <c r="H14620" s="0" t="n">
        <v>37</v>
      </c>
      <c r="I14620" s="0" t="s">
        <v>48721</v>
      </c>
      <c r="J14620" s="0" t="s">
        <v>48722</v>
      </c>
      <c r="K14620" s="0" t="s">
        <v>48723</v>
      </c>
      <c r="L14620" s="0" t="str">
        <f aca="false">HYPERLINK("https://www.ncbi.nlm.nih.gov/nuccore/CP000304.1?report=graph&amp;tracks=[key:gene_model_track,Options:GeneOnly]&amp;mk=4128560:4128579|offset_0|444444,4128523:4128542|offset_37|00cc00,4128502:4128521|offset_58|444444,4128453:4128472|offset_107|444444&amp;v=4128359:4128672&amp;c=444444", "offset 37")</f>
        <v>offset 37</v>
      </c>
    </row>
    <row r="14621" customFormat="false" ht="12.8" hidden="false" customHeight="false" outlineLevel="0" collapsed="false">
      <c r="A14621" s="0" t="s">
        <v>12</v>
      </c>
      <c r="B14621" s="0" t="n">
        <v>4128501</v>
      </c>
      <c r="C14621" s="0" t="n">
        <v>4128521</v>
      </c>
      <c r="D14621" s="0" t="s">
        <v>48716</v>
      </c>
      <c r="E14621" s="0" t="s">
        <v>48717</v>
      </c>
      <c r="F14621" s="0" t="s">
        <v>90</v>
      </c>
      <c r="G14621" s="0" t="s">
        <v>32</v>
      </c>
      <c r="H14621" s="0" t="n">
        <v>58</v>
      </c>
      <c r="I14621" s="0" t="s">
        <v>48724</v>
      </c>
      <c r="J14621" s="0" t="s">
        <v>48725</v>
      </c>
      <c r="K14621" s="0" t="s">
        <v>48726</v>
      </c>
      <c r="L14621" s="0" t="str">
        <f aca="false">HYPERLINK("https://www.ncbi.nlm.nih.gov/nuccore/CP000304.1?report=graph&amp;tracks=[key:gene_model_track,Options:GeneOnly]&amp;mk=4128560:4128579|offset_0|444444,4128523:4128542|offset_37|444444,4128502:4128521|offset_58|00cc00,4128453:4128472|offset_107|444444&amp;v=4128359:4128672&amp;c=444444", "offset 58")</f>
        <v>offset 58</v>
      </c>
    </row>
    <row r="14622" customFormat="false" ht="12.8" hidden="false" customHeight="false" outlineLevel="0" collapsed="false">
      <c r="A14622" s="0" t="s">
        <v>12</v>
      </c>
      <c r="B14622" s="0" t="n">
        <v>4128452</v>
      </c>
      <c r="C14622" s="0" t="n">
        <v>4128472</v>
      </c>
      <c r="D14622" s="0" t="s">
        <v>48716</v>
      </c>
      <c r="E14622" s="0" t="s">
        <v>48717</v>
      </c>
      <c r="F14622" s="0" t="s">
        <v>90</v>
      </c>
      <c r="G14622" s="0" t="s">
        <v>36</v>
      </c>
      <c r="H14622" s="0" t="n">
        <v>107</v>
      </c>
      <c r="I14622" s="0" t="s">
        <v>48727</v>
      </c>
      <c r="J14622" s="0" t="s">
        <v>48728</v>
      </c>
      <c r="K14622" s="0" t="s">
        <v>48729</v>
      </c>
      <c r="L14622" s="0" t="str">
        <f aca="false">HYPERLINK("https://www.ncbi.nlm.nih.gov/nuccore/CP000304.1?report=graph&amp;tracks=[key:gene_model_track,Options:GeneOnly]&amp;mk=4128560:4128579|offset_0|444444,4128523:4128542|offset_37|444444,4128502:4128521|offset_58|444444,4128453:4128472|offset_107|00cc00&amp;v=4128359:4128672&amp;c=444444", "offset 107")</f>
        <v>offset 107</v>
      </c>
    </row>
    <row r="14623" customFormat="false" ht="12.8" hidden="false" customHeight="false" outlineLevel="0" collapsed="false">
      <c r="A14623" s="0" t="s">
        <v>12</v>
      </c>
      <c r="B14623" s="0" t="n">
        <v>4128925</v>
      </c>
      <c r="C14623" s="0" t="n">
        <v>4128945</v>
      </c>
      <c r="D14623" s="0" t="s">
        <v>48730</v>
      </c>
      <c r="E14623" s="0" t="s">
        <v>89</v>
      </c>
      <c r="F14623" s="0" t="s">
        <v>15</v>
      </c>
      <c r="G14623" s="0" t="s">
        <v>26</v>
      </c>
      <c r="H14623" s="0" t="n">
        <v>1</v>
      </c>
      <c r="I14623" s="0" t="s">
        <v>48731</v>
      </c>
      <c r="J14623" s="0" t="s">
        <v>48732</v>
      </c>
      <c r="K14623" s="0" t="s">
        <v>48733</v>
      </c>
      <c r="L14623" s="0" t="str">
        <f aca="false">HYPERLINK("https://www.ncbi.nlm.nih.gov/nuccore/CP000304.1?report=graph&amp;tracks=[key:gene_model_track,Options:GeneOnly]&amp;mk=4128926:4128945|offset_1|00cc00,4128955:4128974|offset_30|444444,4128975:4128994|offset_50|444444,4128995:4129014|offset_70|444444&amp;v=4128725:4129214&amp;c=444444", "offset 1")</f>
        <v>offset 1</v>
      </c>
    </row>
    <row r="14624" customFormat="false" ht="12.8" hidden="false" customHeight="false" outlineLevel="0" collapsed="false">
      <c r="A14624" s="0" t="s">
        <v>12</v>
      </c>
      <c r="B14624" s="0" t="n">
        <v>4128954</v>
      </c>
      <c r="C14624" s="0" t="n">
        <v>4128974</v>
      </c>
      <c r="D14624" s="0" t="s">
        <v>48730</v>
      </c>
      <c r="E14624" s="0" t="s">
        <v>89</v>
      </c>
      <c r="F14624" s="0" t="s">
        <v>15</v>
      </c>
      <c r="G14624" s="0" t="s">
        <v>36</v>
      </c>
      <c r="H14624" s="0" t="n">
        <v>30</v>
      </c>
      <c r="I14624" s="0" t="s">
        <v>48734</v>
      </c>
      <c r="J14624" s="0" t="s">
        <v>48735</v>
      </c>
      <c r="K14624" s="0" t="s">
        <v>48736</v>
      </c>
      <c r="L14624" s="0" t="str">
        <f aca="false">HYPERLINK("https://www.ncbi.nlm.nih.gov/nuccore/CP000304.1?report=graph&amp;tracks=[key:gene_model_track,Options:GeneOnly]&amp;mk=4128926:4128945|offset_1|444444,4128955:4128974|offset_30|00cc00,4128975:4128994|offset_50|444444,4128995:4129014|offset_70|444444&amp;v=4128725:4129214&amp;c=444444", "offset 30")</f>
        <v>offset 30</v>
      </c>
    </row>
    <row r="14625" customFormat="false" ht="12.8" hidden="false" customHeight="false" outlineLevel="0" collapsed="false">
      <c r="A14625" s="0" t="s">
        <v>12</v>
      </c>
      <c r="B14625" s="0" t="n">
        <v>4128974</v>
      </c>
      <c r="C14625" s="0" t="n">
        <v>4128994</v>
      </c>
      <c r="D14625" s="0" t="s">
        <v>48730</v>
      </c>
      <c r="E14625" s="0" t="s">
        <v>89</v>
      </c>
      <c r="F14625" s="0" t="s">
        <v>15</v>
      </c>
      <c r="G14625" s="0" t="s">
        <v>36</v>
      </c>
      <c r="H14625" s="0" t="n">
        <v>50</v>
      </c>
      <c r="I14625" s="0" t="s">
        <v>48737</v>
      </c>
      <c r="J14625" s="0" t="s">
        <v>48738</v>
      </c>
      <c r="K14625" s="0" t="s">
        <v>48739</v>
      </c>
      <c r="L14625" s="0" t="str">
        <f aca="false">HYPERLINK("https://www.ncbi.nlm.nih.gov/nuccore/CP000304.1?report=graph&amp;tracks=[key:gene_model_track,Options:GeneOnly]&amp;mk=4128926:4128945|offset_1|444444,4128955:4128974|offset_30|444444,4128975:4128994|offset_50|00cc00,4128995:4129014|offset_70|444444&amp;v=4128725:4129214&amp;c=444444", "offset 50")</f>
        <v>offset 50</v>
      </c>
    </row>
    <row r="14626" customFormat="false" ht="12.8" hidden="false" customHeight="false" outlineLevel="0" collapsed="false">
      <c r="A14626" s="0" t="s">
        <v>12</v>
      </c>
      <c r="B14626" s="0" t="n">
        <v>4128994</v>
      </c>
      <c r="C14626" s="0" t="n">
        <v>4129014</v>
      </c>
      <c r="D14626" s="0" t="s">
        <v>48730</v>
      </c>
      <c r="E14626" s="0" t="s">
        <v>89</v>
      </c>
      <c r="F14626" s="0" t="s">
        <v>15</v>
      </c>
      <c r="G14626" s="0" t="s">
        <v>32</v>
      </c>
      <c r="H14626" s="0" t="n">
        <v>70</v>
      </c>
      <c r="I14626" s="0" t="s">
        <v>48740</v>
      </c>
      <c r="J14626" s="0" t="s">
        <v>48741</v>
      </c>
      <c r="K14626" s="0" t="s">
        <v>48742</v>
      </c>
      <c r="L14626" s="0" t="str">
        <f aca="false">HYPERLINK("https://www.ncbi.nlm.nih.gov/nuccore/CP000304.1?report=graph&amp;tracks=[key:gene_model_track,Options:GeneOnly]&amp;mk=4128926:4128945|offset_1|444444,4128955:4128974|offset_30|444444,4128975:4128994|offset_50|444444,4128995:4129014|offset_70|00cc00&amp;v=4128725:4129214&amp;c=444444", "offset 70")</f>
        <v>offset 70</v>
      </c>
    </row>
    <row r="14627" customFormat="false" ht="12.8" hidden="false" customHeight="false" outlineLevel="0" collapsed="false">
      <c r="A14627" s="0" t="s">
        <v>12</v>
      </c>
      <c r="B14627" s="0" t="n">
        <v>4131779</v>
      </c>
      <c r="C14627" s="0" t="n">
        <v>4131799</v>
      </c>
      <c r="D14627" s="0" t="s">
        <v>48743</v>
      </c>
      <c r="E14627" s="0" t="s">
        <v>48744</v>
      </c>
      <c r="F14627" s="0" t="s">
        <v>90</v>
      </c>
      <c r="G14627" s="0" t="s">
        <v>36</v>
      </c>
      <c r="H14627" s="0" t="n">
        <v>0</v>
      </c>
      <c r="I14627" s="0" t="s">
        <v>48745</v>
      </c>
      <c r="J14627" s="0" t="s">
        <v>48746</v>
      </c>
      <c r="K14627" s="0" t="s">
        <v>48747</v>
      </c>
      <c r="L14627" s="0" t="str">
        <f aca="false">HYPERLINK("https://www.ncbi.nlm.nih.gov/nuccore/CP000304.1?report=graph&amp;tracks=[key:gene_model_track,Options:GeneOnly]&amp;mk=4131780:4131799|offset_0|00cc00,4131758:4131777|offset_22|444444,4131735:4131754|offset_45|444444,4131704:4131723|offset_76|444444&amp;v=4131579:4131923&amp;c=444444", "offset 0")</f>
        <v>offset 0</v>
      </c>
    </row>
    <row r="14628" customFormat="false" ht="12.8" hidden="false" customHeight="false" outlineLevel="0" collapsed="false">
      <c r="A14628" s="0" t="s">
        <v>12</v>
      </c>
      <c r="B14628" s="0" t="n">
        <v>4131757</v>
      </c>
      <c r="C14628" s="0" t="n">
        <v>4131777</v>
      </c>
      <c r="D14628" s="0" t="s">
        <v>48743</v>
      </c>
      <c r="E14628" s="0" t="s">
        <v>48744</v>
      </c>
      <c r="F14628" s="0" t="s">
        <v>90</v>
      </c>
      <c r="G14628" s="0" t="s">
        <v>36</v>
      </c>
      <c r="H14628" s="0" t="n">
        <v>22</v>
      </c>
      <c r="I14628" s="0" t="s">
        <v>48748</v>
      </c>
      <c r="J14628" s="0" t="s">
        <v>48749</v>
      </c>
      <c r="K14628" s="0" t="s">
        <v>48750</v>
      </c>
      <c r="L14628" s="0" t="str">
        <f aca="false">HYPERLINK("https://www.ncbi.nlm.nih.gov/nuccore/CP000304.1?report=graph&amp;tracks=[key:gene_model_track,Options:GeneOnly]&amp;mk=4131780:4131799|offset_0|444444,4131758:4131777|offset_22|00cc00,4131735:4131754|offset_45|444444,4131704:4131723|offset_76|444444&amp;v=4131579:4131923&amp;c=444444", "offset 22")</f>
        <v>offset 22</v>
      </c>
    </row>
    <row r="14629" customFormat="false" ht="12.8" hidden="false" customHeight="false" outlineLevel="0" collapsed="false">
      <c r="A14629" s="0" t="s">
        <v>12</v>
      </c>
      <c r="B14629" s="0" t="n">
        <v>4131734</v>
      </c>
      <c r="C14629" s="0" t="n">
        <v>4131754</v>
      </c>
      <c r="D14629" s="0" t="s">
        <v>48743</v>
      </c>
      <c r="E14629" s="0" t="s">
        <v>48744</v>
      </c>
      <c r="F14629" s="0" t="s">
        <v>90</v>
      </c>
      <c r="G14629" s="0" t="s">
        <v>16</v>
      </c>
      <c r="H14629" s="0" t="n">
        <v>45</v>
      </c>
      <c r="I14629" s="0" t="s">
        <v>48751</v>
      </c>
      <c r="J14629" s="0" t="s">
        <v>48752</v>
      </c>
      <c r="K14629" s="0" t="s">
        <v>48753</v>
      </c>
      <c r="L14629" s="0" t="str">
        <f aca="false">HYPERLINK("https://www.ncbi.nlm.nih.gov/nuccore/CP000304.1?report=graph&amp;tracks=[key:gene_model_track,Options:GeneOnly]&amp;mk=4131780:4131799|offset_0|444444,4131758:4131777|offset_22|444444,4131735:4131754|offset_45|00cc00,4131704:4131723|offset_76|444444&amp;v=4131579:4131923&amp;c=444444", "offset 45")</f>
        <v>offset 45</v>
      </c>
    </row>
    <row r="14630" customFormat="false" ht="12.8" hidden="false" customHeight="false" outlineLevel="0" collapsed="false">
      <c r="A14630" s="0" t="s">
        <v>12</v>
      </c>
      <c r="B14630" s="0" t="n">
        <v>4131703</v>
      </c>
      <c r="C14630" s="0" t="n">
        <v>4131723</v>
      </c>
      <c r="D14630" s="0" t="s">
        <v>48743</v>
      </c>
      <c r="E14630" s="0" t="s">
        <v>48744</v>
      </c>
      <c r="F14630" s="0" t="s">
        <v>90</v>
      </c>
      <c r="G14630" s="0" t="s">
        <v>26</v>
      </c>
      <c r="H14630" s="0" t="n">
        <v>76</v>
      </c>
      <c r="I14630" s="0" t="s">
        <v>48754</v>
      </c>
      <c r="J14630" s="0" t="s">
        <v>48755</v>
      </c>
      <c r="K14630" s="0" t="s">
        <v>48756</v>
      </c>
      <c r="L14630" s="0" t="str">
        <f aca="false">HYPERLINK("https://www.ncbi.nlm.nih.gov/nuccore/CP000304.1?report=graph&amp;tracks=[key:gene_model_track,Options:GeneOnly]&amp;mk=4131780:4131799|offset_0|444444,4131758:4131777|offset_22|444444,4131735:4131754|offset_45|444444,4131704:4131723|offset_76|00cc00&amp;v=4131579:4131923&amp;c=444444", "offset 76")</f>
        <v>offset 76</v>
      </c>
    </row>
    <row r="14631" customFormat="false" ht="12.8" hidden="false" customHeight="false" outlineLevel="0" collapsed="false">
      <c r="A14631" s="0" t="s">
        <v>12</v>
      </c>
      <c r="B14631" s="0" t="n">
        <v>4131890</v>
      </c>
      <c r="C14631" s="0" t="n">
        <v>4131910</v>
      </c>
      <c r="D14631" s="0" t="s">
        <v>48757</v>
      </c>
      <c r="E14631" s="0" t="s">
        <v>89</v>
      </c>
      <c r="F14631" s="0" t="s">
        <v>15</v>
      </c>
      <c r="G14631" s="0" t="s">
        <v>36</v>
      </c>
      <c r="H14631" s="0" t="n">
        <v>6</v>
      </c>
      <c r="I14631" s="0" t="s">
        <v>48758</v>
      </c>
      <c r="J14631" s="0" t="s">
        <v>48759</v>
      </c>
      <c r="K14631" s="0" t="s">
        <v>48760</v>
      </c>
      <c r="L14631" s="0" t="str">
        <f aca="false">HYPERLINK("https://www.ncbi.nlm.nih.gov/nuccore/CP000304.1?report=graph&amp;tracks=[key:gene_model_track,Options:GeneOnly]&amp;mk=4131891:4131910|offset_6|00cc00,4131913:4131932|offset_28|444444,4131952:4131971|offset_67|444444,4131988:4132007|offset_103|444444&amp;v=4131690:4132207&amp;c=444444", "offset 6")</f>
        <v>offset 6</v>
      </c>
    </row>
    <row r="14632" customFormat="false" ht="12.8" hidden="false" customHeight="false" outlineLevel="0" collapsed="false">
      <c r="A14632" s="0" t="s">
        <v>12</v>
      </c>
      <c r="B14632" s="0" t="n">
        <v>4131912</v>
      </c>
      <c r="C14632" s="0" t="n">
        <v>4131932</v>
      </c>
      <c r="D14632" s="0" t="s">
        <v>48757</v>
      </c>
      <c r="E14632" s="0" t="s">
        <v>89</v>
      </c>
      <c r="F14632" s="0" t="s">
        <v>15</v>
      </c>
      <c r="G14632" s="0" t="s">
        <v>32</v>
      </c>
      <c r="H14632" s="0" t="n">
        <v>28</v>
      </c>
      <c r="I14632" s="0" t="s">
        <v>48761</v>
      </c>
      <c r="J14632" s="0" t="s">
        <v>48762</v>
      </c>
      <c r="K14632" s="0" t="s">
        <v>48763</v>
      </c>
      <c r="L14632" s="0" t="str">
        <f aca="false">HYPERLINK("https://www.ncbi.nlm.nih.gov/nuccore/CP000304.1?report=graph&amp;tracks=[key:gene_model_track,Options:GeneOnly]&amp;mk=4131891:4131910|offset_6|444444,4131913:4131932|offset_28|00cc00,4131952:4131971|offset_67|444444,4131988:4132007|offset_103|444444&amp;v=4131690:4132207&amp;c=444444", "offset 28")</f>
        <v>offset 28</v>
      </c>
    </row>
    <row r="14633" customFormat="false" ht="12.8" hidden="false" customHeight="false" outlineLevel="0" collapsed="false">
      <c r="A14633" s="0" t="s">
        <v>12</v>
      </c>
      <c r="B14633" s="0" t="n">
        <v>4131951</v>
      </c>
      <c r="C14633" s="0" t="n">
        <v>4131971</v>
      </c>
      <c r="D14633" s="0" t="s">
        <v>48757</v>
      </c>
      <c r="E14633" s="0" t="s">
        <v>89</v>
      </c>
      <c r="F14633" s="0" t="s">
        <v>15</v>
      </c>
      <c r="G14633" s="0" t="s">
        <v>16</v>
      </c>
      <c r="H14633" s="0" t="n">
        <v>67</v>
      </c>
      <c r="I14633" s="0" t="s">
        <v>48764</v>
      </c>
      <c r="J14633" s="0" t="s">
        <v>48765</v>
      </c>
      <c r="K14633" s="0" t="s">
        <v>48766</v>
      </c>
      <c r="L14633" s="0" t="str">
        <f aca="false">HYPERLINK("https://www.ncbi.nlm.nih.gov/nuccore/CP000304.1?report=graph&amp;tracks=[key:gene_model_track,Options:GeneOnly]&amp;mk=4131891:4131910|offset_6|444444,4131913:4131932|offset_28|444444,4131952:4131971|offset_67|00cc00,4131988:4132007|offset_103|444444&amp;v=4131690:4132207&amp;c=444444", "offset 67")</f>
        <v>offset 67</v>
      </c>
    </row>
    <row r="14634" customFormat="false" ht="12.8" hidden="false" customHeight="false" outlineLevel="0" collapsed="false">
      <c r="A14634" s="0" t="s">
        <v>12</v>
      </c>
      <c r="B14634" s="0" t="n">
        <v>4131987</v>
      </c>
      <c r="C14634" s="0" t="n">
        <v>4132007</v>
      </c>
      <c r="D14634" s="0" t="s">
        <v>48757</v>
      </c>
      <c r="E14634" s="0" t="s">
        <v>89</v>
      </c>
      <c r="F14634" s="0" t="s">
        <v>15</v>
      </c>
      <c r="G14634" s="0" t="s">
        <v>16</v>
      </c>
      <c r="H14634" s="0" t="n">
        <v>103</v>
      </c>
      <c r="I14634" s="0" t="s">
        <v>48767</v>
      </c>
      <c r="J14634" s="0" t="s">
        <v>48768</v>
      </c>
      <c r="K14634" s="0" t="s">
        <v>48769</v>
      </c>
      <c r="L14634" s="0" t="str">
        <f aca="false">HYPERLINK("https://www.ncbi.nlm.nih.gov/nuccore/CP000304.1?report=graph&amp;tracks=[key:gene_model_track,Options:GeneOnly]&amp;mk=4131891:4131910|offset_6|444444,4131913:4131932|offset_28|444444,4131952:4131971|offset_67|444444,4131988:4132007|offset_103|00cc00&amp;v=4131690:4132207&amp;c=444444", "offset 103")</f>
        <v>offset 103</v>
      </c>
    </row>
    <row r="14635" customFormat="false" ht="12.8" hidden="false" customHeight="false" outlineLevel="0" collapsed="false">
      <c r="A14635" s="0" t="s">
        <v>12</v>
      </c>
      <c r="B14635" s="0" t="n">
        <v>4132305</v>
      </c>
      <c r="C14635" s="0" t="n">
        <v>4132325</v>
      </c>
      <c r="D14635" s="0" t="s">
        <v>48770</v>
      </c>
      <c r="E14635" s="0" t="s">
        <v>89</v>
      </c>
      <c r="F14635" s="0" t="s">
        <v>15</v>
      </c>
      <c r="G14635" s="0" t="s">
        <v>36</v>
      </c>
      <c r="H14635" s="0" t="n">
        <v>6</v>
      </c>
      <c r="I14635" s="0" t="s">
        <v>48771</v>
      </c>
      <c r="J14635" s="0" t="s">
        <v>48772</v>
      </c>
      <c r="K14635" s="0" t="s">
        <v>48773</v>
      </c>
      <c r="L14635" s="0" t="str">
        <f aca="false">HYPERLINK("https://www.ncbi.nlm.nih.gov/nuccore/CP000304.1?report=graph&amp;tracks=[key:gene_model_track,Options:GeneOnly]&amp;mk=4132306:4132325|offset_6|00cc00,4132329:4132348|offset_29|444444,4132352:4132371|offset_52|444444,4132374:4132393|offset_74|444444&amp;v=4132105:4132593&amp;c=444444", "offset 6")</f>
        <v>offset 6</v>
      </c>
    </row>
    <row r="14636" customFormat="false" ht="12.8" hidden="false" customHeight="false" outlineLevel="0" collapsed="false">
      <c r="A14636" s="0" t="s">
        <v>12</v>
      </c>
      <c r="B14636" s="0" t="n">
        <v>4132328</v>
      </c>
      <c r="C14636" s="0" t="n">
        <v>4132348</v>
      </c>
      <c r="D14636" s="0" t="s">
        <v>48770</v>
      </c>
      <c r="E14636" s="0" t="s">
        <v>89</v>
      </c>
      <c r="F14636" s="0" t="s">
        <v>15</v>
      </c>
      <c r="G14636" s="0" t="s">
        <v>26</v>
      </c>
      <c r="H14636" s="0" t="n">
        <v>29</v>
      </c>
      <c r="I14636" s="0" t="s">
        <v>48774</v>
      </c>
      <c r="J14636" s="0" t="s">
        <v>48775</v>
      </c>
      <c r="K14636" s="0" t="s">
        <v>48776</v>
      </c>
      <c r="L14636" s="0" t="str">
        <f aca="false">HYPERLINK("https://www.ncbi.nlm.nih.gov/nuccore/CP000304.1?report=graph&amp;tracks=[key:gene_model_track,Options:GeneOnly]&amp;mk=4132306:4132325|offset_6|444444,4132329:4132348|offset_29|00cc00,4132352:4132371|offset_52|444444,4132374:4132393|offset_74|444444&amp;v=4132105:4132593&amp;c=444444", "offset 29")</f>
        <v>offset 29</v>
      </c>
    </row>
    <row r="14637" customFormat="false" ht="12.8" hidden="false" customHeight="false" outlineLevel="0" collapsed="false">
      <c r="A14637" s="0" t="s">
        <v>12</v>
      </c>
      <c r="B14637" s="0" t="n">
        <v>4132351</v>
      </c>
      <c r="C14637" s="0" t="n">
        <v>4132371</v>
      </c>
      <c r="D14637" s="0" t="s">
        <v>48770</v>
      </c>
      <c r="E14637" s="0" t="s">
        <v>89</v>
      </c>
      <c r="F14637" s="0" t="s">
        <v>15</v>
      </c>
      <c r="G14637" s="0" t="s">
        <v>16</v>
      </c>
      <c r="H14637" s="0" t="n">
        <v>52</v>
      </c>
      <c r="I14637" s="0" t="s">
        <v>48777</v>
      </c>
      <c r="J14637" s="0" t="s">
        <v>48778</v>
      </c>
      <c r="K14637" s="0" t="s">
        <v>48779</v>
      </c>
      <c r="L14637" s="0" t="str">
        <f aca="false">HYPERLINK("https://www.ncbi.nlm.nih.gov/nuccore/CP000304.1?report=graph&amp;tracks=[key:gene_model_track,Options:GeneOnly]&amp;mk=4132306:4132325|offset_6|444444,4132329:4132348|offset_29|444444,4132352:4132371|offset_52|00cc00,4132374:4132393|offset_74|444444&amp;v=4132105:4132593&amp;c=444444", "offset 52")</f>
        <v>offset 52</v>
      </c>
    </row>
    <row r="14638" customFormat="false" ht="12.8" hidden="false" customHeight="false" outlineLevel="0" collapsed="false">
      <c r="A14638" s="0" t="s">
        <v>12</v>
      </c>
      <c r="B14638" s="0" t="n">
        <v>4132373</v>
      </c>
      <c r="C14638" s="0" t="n">
        <v>4132393</v>
      </c>
      <c r="D14638" s="0" t="s">
        <v>48770</v>
      </c>
      <c r="E14638" s="0" t="s">
        <v>89</v>
      </c>
      <c r="F14638" s="0" t="s">
        <v>15</v>
      </c>
      <c r="G14638" s="0" t="s">
        <v>26</v>
      </c>
      <c r="H14638" s="0" t="n">
        <v>74</v>
      </c>
      <c r="I14638" s="0" t="s">
        <v>48780</v>
      </c>
      <c r="J14638" s="0" t="s">
        <v>48781</v>
      </c>
      <c r="K14638" s="0" t="s">
        <v>48782</v>
      </c>
      <c r="L14638" s="0" t="str">
        <f aca="false">HYPERLINK("https://www.ncbi.nlm.nih.gov/nuccore/CP000304.1?report=graph&amp;tracks=[key:gene_model_track,Options:GeneOnly]&amp;mk=4132306:4132325|offset_6|444444,4132329:4132348|offset_29|444444,4132352:4132371|offset_52|444444,4132374:4132393|offset_74|00cc00&amp;v=4132105:4132593&amp;c=444444", "offset 74")</f>
        <v>offset 74</v>
      </c>
    </row>
    <row r="14639" customFormat="false" ht="12.8" hidden="false" customHeight="false" outlineLevel="0" collapsed="false">
      <c r="A14639" s="0" t="s">
        <v>12</v>
      </c>
      <c r="B14639" s="0" t="n">
        <v>4133494</v>
      </c>
      <c r="C14639" s="0" t="n">
        <v>4133514</v>
      </c>
      <c r="D14639" s="0" t="s">
        <v>48783</v>
      </c>
      <c r="E14639" s="0" t="s">
        <v>89</v>
      </c>
      <c r="F14639" s="0" t="s">
        <v>15</v>
      </c>
      <c r="G14639" s="0" t="s">
        <v>26</v>
      </c>
      <c r="H14639" s="0" t="n">
        <v>23</v>
      </c>
      <c r="I14639" s="0" t="s">
        <v>48784</v>
      </c>
      <c r="J14639" s="0" t="s">
        <v>48785</v>
      </c>
      <c r="K14639" s="0" t="s">
        <v>48786</v>
      </c>
      <c r="L14639" s="0" t="str">
        <f aca="false">HYPERLINK("https://www.ncbi.nlm.nih.gov/nuccore/CP000304.1?report=graph&amp;tracks=[key:gene_model_track,Options:GeneOnly]&amp;mk=4133495:4133514|offset_23|00cc00,4133518:4133537|offset_46|444444,4133570:4133589|offset_98|444444,4133599:4133618|offset_127|444444&amp;v=4133294:4133818&amp;c=444444", "offset 23")</f>
        <v>offset 23</v>
      </c>
    </row>
    <row r="14640" customFormat="false" ht="12.8" hidden="false" customHeight="false" outlineLevel="0" collapsed="false">
      <c r="A14640" s="0" t="s">
        <v>12</v>
      </c>
      <c r="B14640" s="0" t="n">
        <v>4133517</v>
      </c>
      <c r="C14640" s="0" t="n">
        <v>4133537</v>
      </c>
      <c r="D14640" s="0" t="s">
        <v>48783</v>
      </c>
      <c r="E14640" s="0" t="s">
        <v>89</v>
      </c>
      <c r="F14640" s="0" t="s">
        <v>15</v>
      </c>
      <c r="G14640" s="0" t="s">
        <v>16</v>
      </c>
      <c r="H14640" s="0" t="n">
        <v>46</v>
      </c>
      <c r="I14640" s="0" t="s">
        <v>48787</v>
      </c>
      <c r="J14640" s="0" t="s">
        <v>48788</v>
      </c>
      <c r="K14640" s="0" t="s">
        <v>48789</v>
      </c>
      <c r="L14640" s="0" t="str">
        <f aca="false">HYPERLINK("https://www.ncbi.nlm.nih.gov/nuccore/CP000304.1?report=graph&amp;tracks=[key:gene_model_track,Options:GeneOnly]&amp;mk=4133495:4133514|offset_23|444444,4133518:4133537|offset_46|00cc00,4133570:4133589|offset_98|444444,4133599:4133618|offset_127|444444&amp;v=4133294:4133818&amp;c=444444", "offset 46")</f>
        <v>offset 46</v>
      </c>
    </row>
    <row r="14641" customFormat="false" ht="12.8" hidden="false" customHeight="false" outlineLevel="0" collapsed="false">
      <c r="A14641" s="0" t="s">
        <v>12</v>
      </c>
      <c r="B14641" s="0" t="n">
        <v>4133569</v>
      </c>
      <c r="C14641" s="0" t="n">
        <v>4133589</v>
      </c>
      <c r="D14641" s="0" t="s">
        <v>48783</v>
      </c>
      <c r="E14641" s="0" t="s">
        <v>89</v>
      </c>
      <c r="F14641" s="0" t="s">
        <v>15</v>
      </c>
      <c r="G14641" s="0" t="s">
        <v>32</v>
      </c>
      <c r="H14641" s="0" t="n">
        <v>98</v>
      </c>
      <c r="I14641" s="0" t="s">
        <v>48790</v>
      </c>
      <c r="J14641" s="0" t="s">
        <v>48791</v>
      </c>
      <c r="K14641" s="0" t="s">
        <v>48792</v>
      </c>
      <c r="L14641" s="0" t="str">
        <f aca="false">HYPERLINK("https://www.ncbi.nlm.nih.gov/nuccore/CP000304.1?report=graph&amp;tracks=[key:gene_model_track,Options:GeneOnly]&amp;mk=4133495:4133514|offset_23|444444,4133518:4133537|offset_46|444444,4133570:4133589|offset_98|00cc00,4133599:4133618|offset_127|444444&amp;v=4133294:4133818&amp;c=444444", "offset 98")</f>
        <v>offset 98</v>
      </c>
    </row>
    <row r="14642" customFormat="false" ht="12.8" hidden="false" customHeight="false" outlineLevel="0" collapsed="false">
      <c r="A14642" s="0" t="s">
        <v>12</v>
      </c>
      <c r="B14642" s="0" t="n">
        <v>4133598</v>
      </c>
      <c r="C14642" s="0" t="n">
        <v>4133618</v>
      </c>
      <c r="D14642" s="0" t="s">
        <v>48783</v>
      </c>
      <c r="E14642" s="0" t="s">
        <v>89</v>
      </c>
      <c r="F14642" s="0" t="s">
        <v>15</v>
      </c>
      <c r="G14642" s="0" t="s">
        <v>32</v>
      </c>
      <c r="H14642" s="0" t="n">
        <v>127</v>
      </c>
      <c r="I14642" s="0" t="s">
        <v>48793</v>
      </c>
      <c r="J14642" s="0" t="s">
        <v>48794</v>
      </c>
      <c r="K14642" s="0" t="s">
        <v>48795</v>
      </c>
      <c r="L14642" s="0" t="str">
        <f aca="false">HYPERLINK("https://www.ncbi.nlm.nih.gov/nuccore/CP000304.1?report=graph&amp;tracks=[key:gene_model_track,Options:GeneOnly]&amp;mk=4133495:4133514|offset_23|444444,4133518:4133537|offset_46|444444,4133570:4133589|offset_98|444444,4133599:4133618|offset_127|00cc00&amp;v=4133294:4133818&amp;c=444444", "offset 127")</f>
        <v>offset 127</v>
      </c>
    </row>
    <row r="14643" customFormat="false" ht="12.8" hidden="false" customHeight="false" outlineLevel="0" collapsed="false">
      <c r="A14643" s="0" t="s">
        <v>12</v>
      </c>
      <c r="B14643" s="0" t="n">
        <v>4134372</v>
      </c>
      <c r="C14643" s="0" t="n">
        <v>4134392</v>
      </c>
      <c r="D14643" s="0" t="s">
        <v>48796</v>
      </c>
      <c r="E14643" s="0" t="s">
        <v>89</v>
      </c>
      <c r="F14643" s="0" t="s">
        <v>15</v>
      </c>
      <c r="G14643" s="0" t="s">
        <v>26</v>
      </c>
      <c r="H14643" s="0" t="n">
        <v>6</v>
      </c>
      <c r="I14643" s="0" t="s">
        <v>48797</v>
      </c>
      <c r="J14643" s="0" t="s">
        <v>48798</v>
      </c>
      <c r="K14643" s="0" t="s">
        <v>48799</v>
      </c>
      <c r="L14643" s="0" t="str">
        <f aca="false">HYPERLINK("https://www.ncbi.nlm.nih.gov/nuccore/CP000304.1?report=graph&amp;tracks=[key:gene_model_track,Options:GeneOnly]&amp;mk=4134373:4134392|offset_6|00cc00,4134396:4134415|offset_29|444444,4134418:4134437|offset_51|444444,4134438:4134457|offset_71|444444&amp;v=4134172:4134657&amp;c=444444", "offset 6")</f>
        <v>offset 6</v>
      </c>
    </row>
    <row r="14644" customFormat="false" ht="12.8" hidden="false" customHeight="false" outlineLevel="0" collapsed="false">
      <c r="A14644" s="0" t="s">
        <v>12</v>
      </c>
      <c r="B14644" s="0" t="n">
        <v>4134395</v>
      </c>
      <c r="C14644" s="0" t="n">
        <v>4134415</v>
      </c>
      <c r="D14644" s="0" t="s">
        <v>48796</v>
      </c>
      <c r="E14644" s="0" t="s">
        <v>89</v>
      </c>
      <c r="F14644" s="0" t="s">
        <v>15</v>
      </c>
      <c r="G14644" s="0" t="s">
        <v>36</v>
      </c>
      <c r="H14644" s="0" t="n">
        <v>29</v>
      </c>
      <c r="I14644" s="0" t="s">
        <v>48800</v>
      </c>
      <c r="J14644" s="0" t="s">
        <v>48801</v>
      </c>
      <c r="K14644" s="0" t="s">
        <v>48802</v>
      </c>
      <c r="L14644" s="0" t="str">
        <f aca="false">HYPERLINK("https://www.ncbi.nlm.nih.gov/nuccore/CP000304.1?report=graph&amp;tracks=[key:gene_model_track,Options:GeneOnly]&amp;mk=4134373:4134392|offset_6|444444,4134396:4134415|offset_29|00cc00,4134418:4134437|offset_51|444444,4134438:4134457|offset_71|444444&amp;v=4134172:4134657&amp;c=444444", "offset 29")</f>
        <v>offset 29</v>
      </c>
    </row>
    <row r="14645" customFormat="false" ht="12.8" hidden="false" customHeight="false" outlineLevel="0" collapsed="false">
      <c r="A14645" s="0" t="s">
        <v>12</v>
      </c>
      <c r="B14645" s="0" t="n">
        <v>4134417</v>
      </c>
      <c r="C14645" s="0" t="n">
        <v>4134437</v>
      </c>
      <c r="D14645" s="0" t="s">
        <v>48796</v>
      </c>
      <c r="E14645" s="0" t="s">
        <v>89</v>
      </c>
      <c r="F14645" s="0" t="s">
        <v>15</v>
      </c>
      <c r="G14645" s="0" t="s">
        <v>16</v>
      </c>
      <c r="H14645" s="0" t="n">
        <v>51</v>
      </c>
      <c r="I14645" s="0" t="s">
        <v>48803</v>
      </c>
      <c r="J14645" s="0" t="s">
        <v>48804</v>
      </c>
      <c r="K14645" s="0" t="s">
        <v>48805</v>
      </c>
      <c r="L14645" s="0" t="str">
        <f aca="false">HYPERLINK("https://www.ncbi.nlm.nih.gov/nuccore/CP000304.1?report=graph&amp;tracks=[key:gene_model_track,Options:GeneOnly]&amp;mk=4134373:4134392|offset_6|444444,4134396:4134415|offset_29|444444,4134418:4134437|offset_51|00cc00,4134438:4134457|offset_71|444444&amp;v=4134172:4134657&amp;c=444444", "offset 51")</f>
        <v>offset 51</v>
      </c>
    </row>
    <row r="14646" customFormat="false" ht="12.8" hidden="false" customHeight="false" outlineLevel="0" collapsed="false">
      <c r="A14646" s="0" t="s">
        <v>12</v>
      </c>
      <c r="B14646" s="0" t="n">
        <v>4134437</v>
      </c>
      <c r="C14646" s="0" t="n">
        <v>4134457</v>
      </c>
      <c r="D14646" s="0" t="s">
        <v>48796</v>
      </c>
      <c r="E14646" s="0" t="s">
        <v>89</v>
      </c>
      <c r="F14646" s="0" t="s">
        <v>15</v>
      </c>
      <c r="G14646" s="0" t="s">
        <v>32</v>
      </c>
      <c r="H14646" s="0" t="n">
        <v>71</v>
      </c>
      <c r="I14646" s="0" t="s">
        <v>48806</v>
      </c>
      <c r="J14646" s="0" t="s">
        <v>48807</v>
      </c>
      <c r="K14646" s="0" t="s">
        <v>48808</v>
      </c>
      <c r="L14646" s="0" t="str">
        <f aca="false">HYPERLINK("https://www.ncbi.nlm.nih.gov/nuccore/CP000304.1?report=graph&amp;tracks=[key:gene_model_track,Options:GeneOnly]&amp;mk=4134373:4134392|offset_6|444444,4134396:4134415|offset_29|444444,4134418:4134437|offset_51|444444,4134438:4134457|offset_71|00cc00&amp;v=4134172:4134657&amp;c=444444", "offset 71")</f>
        <v>offset 71</v>
      </c>
    </row>
    <row r="14647" customFormat="false" ht="12.8" hidden="false" customHeight="false" outlineLevel="0" collapsed="false">
      <c r="A14647" s="0" t="s">
        <v>12</v>
      </c>
      <c r="B14647" s="0" t="n">
        <v>4135464</v>
      </c>
      <c r="C14647" s="0" t="n">
        <v>4135484</v>
      </c>
      <c r="D14647" s="0" t="s">
        <v>48809</v>
      </c>
      <c r="E14647" s="0" t="s">
        <v>89</v>
      </c>
      <c r="F14647" s="0" t="s">
        <v>15</v>
      </c>
      <c r="G14647" s="0" t="s">
        <v>16</v>
      </c>
      <c r="H14647" s="0" t="n">
        <v>6</v>
      </c>
      <c r="I14647" s="0" t="s">
        <v>48810</v>
      </c>
      <c r="J14647" s="0" t="s">
        <v>48811</v>
      </c>
      <c r="K14647" s="0" t="s">
        <v>48812</v>
      </c>
      <c r="L14647" s="0" t="str">
        <f aca="false">HYPERLINK("https://www.ncbi.nlm.nih.gov/nuccore/CP000304.1?report=graph&amp;tracks=[key:gene_model_track,Options:GeneOnly]&amp;mk=4135465:4135484|offset_6|00cc00,4135490:4135509|offset_31|444444,4135526:4135545|offset_67|444444,4135550:4135569|offset_91|444444&amp;v=4135264:4135769&amp;c=444444", "offset 6")</f>
        <v>offset 6</v>
      </c>
    </row>
    <row r="14648" customFormat="false" ht="12.8" hidden="false" customHeight="false" outlineLevel="0" collapsed="false">
      <c r="A14648" s="0" t="s">
        <v>12</v>
      </c>
      <c r="B14648" s="0" t="n">
        <v>4135489</v>
      </c>
      <c r="C14648" s="0" t="n">
        <v>4135509</v>
      </c>
      <c r="D14648" s="0" t="s">
        <v>48809</v>
      </c>
      <c r="E14648" s="0" t="s">
        <v>89</v>
      </c>
      <c r="F14648" s="0" t="s">
        <v>15</v>
      </c>
      <c r="G14648" s="0" t="s">
        <v>36</v>
      </c>
      <c r="H14648" s="0" t="n">
        <v>31</v>
      </c>
      <c r="I14648" s="0" t="s">
        <v>48813</v>
      </c>
      <c r="J14648" s="0" t="s">
        <v>48814</v>
      </c>
      <c r="K14648" s="0" t="s">
        <v>48815</v>
      </c>
      <c r="L14648" s="0" t="str">
        <f aca="false">HYPERLINK("https://www.ncbi.nlm.nih.gov/nuccore/CP000304.1?report=graph&amp;tracks=[key:gene_model_track,Options:GeneOnly]&amp;mk=4135465:4135484|offset_6|444444,4135490:4135509|offset_31|00cc00,4135526:4135545|offset_67|444444,4135550:4135569|offset_91|444444&amp;v=4135264:4135769&amp;c=444444", "offset 31")</f>
        <v>offset 31</v>
      </c>
    </row>
    <row r="14649" customFormat="false" ht="12.8" hidden="false" customHeight="false" outlineLevel="0" collapsed="false">
      <c r="A14649" s="0" t="s">
        <v>12</v>
      </c>
      <c r="B14649" s="0" t="n">
        <v>4135525</v>
      </c>
      <c r="C14649" s="0" t="n">
        <v>4135545</v>
      </c>
      <c r="D14649" s="0" t="s">
        <v>48809</v>
      </c>
      <c r="E14649" s="0" t="s">
        <v>89</v>
      </c>
      <c r="F14649" s="0" t="s">
        <v>15</v>
      </c>
      <c r="G14649" s="0" t="s">
        <v>32</v>
      </c>
      <c r="H14649" s="0" t="n">
        <v>67</v>
      </c>
      <c r="I14649" s="0" t="s">
        <v>48816</v>
      </c>
      <c r="J14649" s="0" t="s">
        <v>48817</v>
      </c>
      <c r="K14649" s="0" t="s">
        <v>48818</v>
      </c>
      <c r="L14649" s="0" t="str">
        <f aca="false">HYPERLINK("https://www.ncbi.nlm.nih.gov/nuccore/CP000304.1?report=graph&amp;tracks=[key:gene_model_track,Options:GeneOnly]&amp;mk=4135465:4135484|offset_6|444444,4135490:4135509|offset_31|444444,4135526:4135545|offset_67|00cc00,4135550:4135569|offset_91|444444&amp;v=4135264:4135769&amp;c=444444", "offset 67")</f>
        <v>offset 67</v>
      </c>
    </row>
    <row r="14650" customFormat="false" ht="12.8" hidden="false" customHeight="false" outlineLevel="0" collapsed="false">
      <c r="A14650" s="0" t="s">
        <v>12</v>
      </c>
      <c r="B14650" s="0" t="n">
        <v>4135549</v>
      </c>
      <c r="C14650" s="0" t="n">
        <v>4135569</v>
      </c>
      <c r="D14650" s="0" t="s">
        <v>48809</v>
      </c>
      <c r="E14650" s="0" t="s">
        <v>89</v>
      </c>
      <c r="F14650" s="0" t="s">
        <v>15</v>
      </c>
      <c r="G14650" s="0" t="s">
        <v>16</v>
      </c>
      <c r="H14650" s="0" t="n">
        <v>91</v>
      </c>
      <c r="I14650" s="0" t="s">
        <v>48819</v>
      </c>
      <c r="J14650" s="0" t="s">
        <v>48820</v>
      </c>
      <c r="K14650" s="0" t="s">
        <v>48821</v>
      </c>
      <c r="L14650" s="0" t="str">
        <f aca="false">HYPERLINK("https://www.ncbi.nlm.nih.gov/nuccore/CP000304.1?report=graph&amp;tracks=[key:gene_model_track,Options:GeneOnly]&amp;mk=4135465:4135484|offset_6|444444,4135490:4135509|offset_31|444444,4135526:4135545|offset_67|444444,4135550:4135569|offset_91|00cc00&amp;v=4135264:4135769&amp;c=444444", "offset 91")</f>
        <v>offset 91</v>
      </c>
    </row>
    <row r="14651" customFormat="false" ht="12.8" hidden="false" customHeight="false" outlineLevel="0" collapsed="false">
      <c r="A14651" s="0" t="s">
        <v>12</v>
      </c>
      <c r="B14651" s="0" t="n">
        <v>4136856</v>
      </c>
      <c r="C14651" s="0" t="n">
        <v>4136876</v>
      </c>
      <c r="D14651" s="0" t="s">
        <v>48822</v>
      </c>
      <c r="E14651" s="0" t="s">
        <v>89</v>
      </c>
      <c r="F14651" s="0" t="s">
        <v>15</v>
      </c>
      <c r="G14651" s="0" t="s">
        <v>16</v>
      </c>
      <c r="H14651" s="0" t="n">
        <v>58</v>
      </c>
      <c r="I14651" s="0" t="s">
        <v>48823</v>
      </c>
      <c r="J14651" s="0" t="s">
        <v>48824</v>
      </c>
      <c r="K14651" s="0" t="s">
        <v>48825</v>
      </c>
      <c r="L14651" s="0" t="str">
        <f aca="false">HYPERLINK("https://www.ncbi.nlm.nih.gov/nuccore/CP000304.1?report=graph&amp;tracks=[key:gene_model_track,Options:GeneOnly]&amp;mk=4136857:4136876|offset_58|00cc00,4136881:4136900|offset_82|444444,4136912:4136931|offset_113|444444,4136932:4136951|offset_133|444444&amp;v=4136656:4137151&amp;c=444444", "offset 58")</f>
        <v>offset 58</v>
      </c>
    </row>
    <row r="14652" customFormat="false" ht="12.8" hidden="false" customHeight="false" outlineLevel="0" collapsed="false">
      <c r="A14652" s="0" t="s">
        <v>12</v>
      </c>
      <c r="B14652" s="0" t="n">
        <v>4136880</v>
      </c>
      <c r="C14652" s="0" t="n">
        <v>4136900</v>
      </c>
      <c r="D14652" s="0" t="s">
        <v>48822</v>
      </c>
      <c r="E14652" s="0" t="s">
        <v>89</v>
      </c>
      <c r="F14652" s="0" t="s">
        <v>15</v>
      </c>
      <c r="G14652" s="0" t="s">
        <v>16</v>
      </c>
      <c r="H14652" s="0" t="n">
        <v>82</v>
      </c>
      <c r="I14652" s="0" t="s">
        <v>48826</v>
      </c>
      <c r="J14652" s="0" t="s">
        <v>48827</v>
      </c>
      <c r="K14652" s="0" t="s">
        <v>48828</v>
      </c>
      <c r="L14652" s="0" t="str">
        <f aca="false">HYPERLINK("https://www.ncbi.nlm.nih.gov/nuccore/CP000304.1?report=graph&amp;tracks=[key:gene_model_track,Options:GeneOnly]&amp;mk=4136857:4136876|offset_58|444444,4136881:4136900|offset_82|00cc00,4136912:4136931|offset_113|444444,4136932:4136951|offset_133|444444&amp;v=4136656:4137151&amp;c=444444", "offset 82")</f>
        <v>offset 82</v>
      </c>
    </row>
    <row r="14653" customFormat="false" ht="12.8" hidden="false" customHeight="false" outlineLevel="0" collapsed="false">
      <c r="A14653" s="0" t="s">
        <v>12</v>
      </c>
      <c r="B14653" s="0" t="n">
        <v>4136911</v>
      </c>
      <c r="C14653" s="0" t="n">
        <v>4136931</v>
      </c>
      <c r="D14653" s="0" t="s">
        <v>48822</v>
      </c>
      <c r="E14653" s="0" t="s">
        <v>89</v>
      </c>
      <c r="F14653" s="0" t="s">
        <v>15</v>
      </c>
      <c r="G14653" s="0" t="s">
        <v>26</v>
      </c>
      <c r="H14653" s="0" t="n">
        <v>113</v>
      </c>
      <c r="I14653" s="0" t="s">
        <v>48829</v>
      </c>
      <c r="J14653" s="0" t="s">
        <v>48830</v>
      </c>
      <c r="K14653" s="0" t="s">
        <v>48831</v>
      </c>
      <c r="L14653" s="0" t="str">
        <f aca="false">HYPERLINK("https://www.ncbi.nlm.nih.gov/nuccore/CP000304.1?report=graph&amp;tracks=[key:gene_model_track,Options:GeneOnly]&amp;mk=4136857:4136876|offset_58|444444,4136881:4136900|offset_82|444444,4136912:4136931|offset_113|00cc00,4136932:4136951|offset_133|444444&amp;v=4136656:4137151&amp;c=444444", "offset 113")</f>
        <v>offset 113</v>
      </c>
    </row>
    <row r="14654" customFormat="false" ht="12.8" hidden="false" customHeight="false" outlineLevel="0" collapsed="false">
      <c r="A14654" s="0" t="s">
        <v>12</v>
      </c>
      <c r="B14654" s="0" t="n">
        <v>4136931</v>
      </c>
      <c r="C14654" s="0" t="n">
        <v>4136951</v>
      </c>
      <c r="D14654" s="0" t="s">
        <v>48822</v>
      </c>
      <c r="E14654" s="0" t="s">
        <v>89</v>
      </c>
      <c r="F14654" s="0" t="s">
        <v>15</v>
      </c>
      <c r="G14654" s="0" t="s">
        <v>36</v>
      </c>
      <c r="H14654" s="0" t="n">
        <v>133</v>
      </c>
      <c r="I14654" s="0" t="s">
        <v>48832</v>
      </c>
      <c r="J14654" s="0" t="s">
        <v>48833</v>
      </c>
      <c r="K14654" s="0" t="s">
        <v>48834</v>
      </c>
      <c r="L14654" s="0" t="str">
        <f aca="false">HYPERLINK("https://www.ncbi.nlm.nih.gov/nuccore/CP000304.1?report=graph&amp;tracks=[key:gene_model_track,Options:GeneOnly]&amp;mk=4136857:4136876|offset_58|444444,4136881:4136900|offset_82|444444,4136912:4136931|offset_113|444444,4136932:4136951|offset_133|00cc00&amp;v=4136656:4137151&amp;c=444444", "offset 133")</f>
        <v>offset 133</v>
      </c>
    </row>
    <row r="14655" customFormat="false" ht="12.8" hidden="false" customHeight="false" outlineLevel="0" collapsed="false">
      <c r="A14655" s="0" t="s">
        <v>12</v>
      </c>
      <c r="B14655" s="0" t="n">
        <v>4138802</v>
      </c>
      <c r="C14655" s="0" t="n">
        <v>4138822</v>
      </c>
      <c r="D14655" s="0" t="s">
        <v>48835</v>
      </c>
      <c r="E14655" s="0" t="s">
        <v>48836</v>
      </c>
      <c r="F14655" s="0" t="s">
        <v>90</v>
      </c>
      <c r="G14655" s="0" t="s">
        <v>36</v>
      </c>
      <c r="H14655" s="0" t="n">
        <v>0</v>
      </c>
      <c r="I14655" s="0" t="s">
        <v>48837</v>
      </c>
      <c r="J14655" s="0" t="s">
        <v>48838</v>
      </c>
      <c r="K14655" s="0" t="s">
        <v>48839</v>
      </c>
      <c r="L14655" s="0" t="str">
        <f aca="false">HYPERLINK("https://www.ncbi.nlm.nih.gov/nuccore/CP000304.1?report=graph&amp;tracks=[key:gene_model_track,Options:GeneOnly]&amp;mk=4138803:4138822|offset_0|00cc00,4138783:4138802|offset_20|444444,4138701:4138720|offset_102|444444,4138653:4138672|offset_150|444444&amp;v=4138602:4138872&amp;c=444444", "offset 0")</f>
        <v>offset 0</v>
      </c>
    </row>
    <row r="14656" customFormat="false" ht="12.8" hidden="false" customHeight="false" outlineLevel="0" collapsed="false">
      <c r="A14656" s="0" t="s">
        <v>12</v>
      </c>
      <c r="B14656" s="0" t="n">
        <v>4138782</v>
      </c>
      <c r="C14656" s="0" t="n">
        <v>4138802</v>
      </c>
      <c r="D14656" s="0" t="s">
        <v>48835</v>
      </c>
      <c r="E14656" s="0" t="s">
        <v>48836</v>
      </c>
      <c r="F14656" s="0" t="s">
        <v>90</v>
      </c>
      <c r="G14656" s="0" t="s">
        <v>16</v>
      </c>
      <c r="H14656" s="0" t="n">
        <v>20</v>
      </c>
      <c r="I14656" s="0" t="s">
        <v>48840</v>
      </c>
      <c r="J14656" s="0" t="s">
        <v>48841</v>
      </c>
      <c r="K14656" s="0" t="s">
        <v>48842</v>
      </c>
      <c r="L14656" s="0" t="str">
        <f aca="false">HYPERLINK("https://www.ncbi.nlm.nih.gov/nuccore/CP000304.1?report=graph&amp;tracks=[key:gene_model_track,Options:GeneOnly]&amp;mk=4138803:4138822|offset_0|444444,4138783:4138802|offset_20|00cc00,4138701:4138720|offset_102|444444,4138653:4138672|offset_150|444444&amp;v=4138602:4138872&amp;c=444444", "offset 20")</f>
        <v>offset 20</v>
      </c>
    </row>
    <row r="14657" customFormat="false" ht="12.8" hidden="false" customHeight="false" outlineLevel="0" collapsed="false">
      <c r="A14657" s="0" t="s">
        <v>12</v>
      </c>
      <c r="B14657" s="0" t="n">
        <v>4138700</v>
      </c>
      <c r="C14657" s="0" t="n">
        <v>4138720</v>
      </c>
      <c r="D14657" s="0" t="s">
        <v>48835</v>
      </c>
      <c r="E14657" s="0" t="s">
        <v>48836</v>
      </c>
      <c r="F14657" s="0" t="s">
        <v>90</v>
      </c>
      <c r="G14657" s="0" t="s">
        <v>16</v>
      </c>
      <c r="H14657" s="0" t="n">
        <v>102</v>
      </c>
      <c r="I14657" s="0" t="s">
        <v>48843</v>
      </c>
      <c r="J14657" s="0" t="s">
        <v>48844</v>
      </c>
      <c r="K14657" s="0" t="s">
        <v>48845</v>
      </c>
      <c r="L14657" s="0" t="str">
        <f aca="false">HYPERLINK("https://www.ncbi.nlm.nih.gov/nuccore/CP000304.1?report=graph&amp;tracks=[key:gene_model_track,Options:GeneOnly]&amp;mk=4138803:4138822|offset_0|444444,4138783:4138802|offset_20|444444,4138701:4138720|offset_102|00cc00,4138653:4138672|offset_150|444444&amp;v=4138602:4138872&amp;c=444444", "offset 102")</f>
        <v>offset 102</v>
      </c>
    </row>
    <row r="14658" customFormat="false" ht="12.8" hidden="false" customHeight="false" outlineLevel="0" collapsed="false">
      <c r="A14658" s="0" t="s">
        <v>12</v>
      </c>
      <c r="B14658" s="0" t="n">
        <v>4138652</v>
      </c>
      <c r="C14658" s="0" t="n">
        <v>4138672</v>
      </c>
      <c r="D14658" s="0" t="s">
        <v>48835</v>
      </c>
      <c r="E14658" s="0" t="s">
        <v>48836</v>
      </c>
      <c r="F14658" s="0" t="s">
        <v>90</v>
      </c>
      <c r="G14658" s="0" t="s">
        <v>16</v>
      </c>
      <c r="H14658" s="0" t="n">
        <v>150</v>
      </c>
      <c r="I14658" s="0" t="s">
        <v>48846</v>
      </c>
      <c r="J14658" s="0" t="s">
        <v>48847</v>
      </c>
      <c r="K14658" s="0" t="s">
        <v>48848</v>
      </c>
      <c r="L14658" s="0" t="str">
        <f aca="false">HYPERLINK("https://www.ncbi.nlm.nih.gov/nuccore/CP000304.1?report=graph&amp;tracks=[key:gene_model_track,Options:GeneOnly]&amp;mk=4138803:4138822|offset_0|444444,4138783:4138802|offset_20|444444,4138701:4138720|offset_102|444444,4138653:4138672|offset_150|00cc00&amp;v=4138602:4138872&amp;c=444444", "offset 150")</f>
        <v>offset 150</v>
      </c>
    </row>
    <row r="14659" customFormat="false" ht="12.8" hidden="false" customHeight="false" outlineLevel="0" collapsed="false">
      <c r="A14659" s="0" t="s">
        <v>12</v>
      </c>
      <c r="B14659" s="0" t="n">
        <v>4139121</v>
      </c>
      <c r="C14659" s="0" t="n">
        <v>4139141</v>
      </c>
      <c r="D14659" s="0" t="s">
        <v>48849</v>
      </c>
      <c r="E14659" s="0" t="s">
        <v>89</v>
      </c>
      <c r="F14659" s="0" t="s">
        <v>15</v>
      </c>
      <c r="G14659" s="0" t="s">
        <v>36</v>
      </c>
      <c r="H14659" s="0" t="n">
        <v>6</v>
      </c>
      <c r="I14659" s="0" t="s">
        <v>48850</v>
      </c>
      <c r="J14659" s="0" t="s">
        <v>48851</v>
      </c>
      <c r="K14659" s="0" t="s">
        <v>48852</v>
      </c>
      <c r="L14659" s="0" t="str">
        <f aca="false">HYPERLINK("https://www.ncbi.nlm.nih.gov/nuccore/CP000304.1?report=graph&amp;tracks=[key:gene_model_track,Options:GeneOnly]&amp;mk=4139122:4139141|offset_6|00cc00,4139143:4139162|offset_27|444444,4139177:4139196|offset_61|444444,4139198:4139217|offset_82|444444&amp;v=4138921:4139417&amp;c=444444", "offset 6")</f>
        <v>offset 6</v>
      </c>
    </row>
    <row r="14660" customFormat="false" ht="12.8" hidden="false" customHeight="false" outlineLevel="0" collapsed="false">
      <c r="A14660" s="0" t="s">
        <v>12</v>
      </c>
      <c r="B14660" s="0" t="n">
        <v>4139142</v>
      </c>
      <c r="C14660" s="0" t="n">
        <v>4139162</v>
      </c>
      <c r="D14660" s="0" t="s">
        <v>48849</v>
      </c>
      <c r="E14660" s="0" t="s">
        <v>89</v>
      </c>
      <c r="F14660" s="0" t="s">
        <v>15</v>
      </c>
      <c r="G14660" s="0" t="s">
        <v>36</v>
      </c>
      <c r="H14660" s="0" t="n">
        <v>27</v>
      </c>
      <c r="I14660" s="0" t="s">
        <v>48853</v>
      </c>
      <c r="J14660" s="0" t="s">
        <v>48854</v>
      </c>
      <c r="K14660" s="0" t="s">
        <v>48855</v>
      </c>
      <c r="L14660" s="0" t="str">
        <f aca="false">HYPERLINK("https://www.ncbi.nlm.nih.gov/nuccore/CP000304.1?report=graph&amp;tracks=[key:gene_model_track,Options:GeneOnly]&amp;mk=4139122:4139141|offset_6|444444,4139143:4139162|offset_27|00cc00,4139177:4139196|offset_61|444444,4139198:4139217|offset_82|444444&amp;v=4138921:4139417&amp;c=444444", "offset 27")</f>
        <v>offset 27</v>
      </c>
    </row>
    <row r="14661" customFormat="false" ht="12.8" hidden="false" customHeight="false" outlineLevel="0" collapsed="false">
      <c r="A14661" s="0" t="s">
        <v>12</v>
      </c>
      <c r="B14661" s="0" t="n">
        <v>4139176</v>
      </c>
      <c r="C14661" s="0" t="n">
        <v>4139196</v>
      </c>
      <c r="D14661" s="0" t="s">
        <v>48849</v>
      </c>
      <c r="E14661" s="0" t="s">
        <v>89</v>
      </c>
      <c r="F14661" s="0" t="s">
        <v>15</v>
      </c>
      <c r="G14661" s="0" t="s">
        <v>16</v>
      </c>
      <c r="H14661" s="0" t="n">
        <v>61</v>
      </c>
      <c r="I14661" s="0" t="s">
        <v>48856</v>
      </c>
      <c r="J14661" s="0" t="s">
        <v>48857</v>
      </c>
      <c r="K14661" s="0" t="s">
        <v>48858</v>
      </c>
      <c r="L14661" s="0" t="str">
        <f aca="false">HYPERLINK("https://www.ncbi.nlm.nih.gov/nuccore/CP000304.1?report=graph&amp;tracks=[key:gene_model_track,Options:GeneOnly]&amp;mk=4139122:4139141|offset_6|444444,4139143:4139162|offset_27|444444,4139177:4139196|offset_61|00cc00,4139198:4139217|offset_82|444444&amp;v=4138921:4139417&amp;c=444444", "offset 61")</f>
        <v>offset 61</v>
      </c>
    </row>
    <row r="14662" customFormat="false" ht="12.8" hidden="false" customHeight="false" outlineLevel="0" collapsed="false">
      <c r="A14662" s="0" t="s">
        <v>12</v>
      </c>
      <c r="B14662" s="0" t="n">
        <v>4139197</v>
      </c>
      <c r="C14662" s="0" t="n">
        <v>4139217</v>
      </c>
      <c r="D14662" s="0" t="s">
        <v>48849</v>
      </c>
      <c r="E14662" s="0" t="s">
        <v>89</v>
      </c>
      <c r="F14662" s="0" t="s">
        <v>15</v>
      </c>
      <c r="G14662" s="0" t="s">
        <v>16</v>
      </c>
      <c r="H14662" s="0" t="n">
        <v>82</v>
      </c>
      <c r="I14662" s="0" t="s">
        <v>48859</v>
      </c>
      <c r="J14662" s="0" t="s">
        <v>48860</v>
      </c>
      <c r="K14662" s="0" t="s">
        <v>48861</v>
      </c>
      <c r="L14662" s="0" t="str">
        <f aca="false">HYPERLINK("https://www.ncbi.nlm.nih.gov/nuccore/CP000304.1?report=graph&amp;tracks=[key:gene_model_track,Options:GeneOnly]&amp;mk=4139122:4139141|offset_6|444444,4139143:4139162|offset_27|444444,4139177:4139196|offset_61|444444,4139198:4139217|offset_82|00cc00&amp;v=4138921:4139417&amp;c=444444", "offset 82")</f>
        <v>offset 82</v>
      </c>
    </row>
    <row r="14663" customFormat="false" ht="12.8" hidden="false" customHeight="false" outlineLevel="0" collapsed="false">
      <c r="A14663" s="0" t="s">
        <v>12</v>
      </c>
      <c r="B14663" s="0" t="n">
        <v>4141651</v>
      </c>
      <c r="C14663" s="0" t="n">
        <v>4141671</v>
      </c>
      <c r="D14663" s="0" t="s">
        <v>48862</v>
      </c>
      <c r="E14663" s="0" t="s">
        <v>89</v>
      </c>
      <c r="F14663" s="0" t="s">
        <v>90</v>
      </c>
      <c r="G14663" s="0" t="s">
        <v>16</v>
      </c>
      <c r="H14663" s="0" t="n">
        <v>46</v>
      </c>
      <c r="I14663" s="0" t="s">
        <v>48863</v>
      </c>
      <c r="J14663" s="0" t="s">
        <v>48864</v>
      </c>
      <c r="K14663" s="0" t="s">
        <v>48865</v>
      </c>
      <c r="L14663" s="0" t="str">
        <f aca="false">HYPERLINK("https://www.ncbi.nlm.nih.gov/nuccore/CP000304.1?report=graph&amp;tracks=[key:gene_model_track,Options:GeneOnly]&amp;mk=4141652:4141671|offset_46|00cc00,4141621:4141640|offset_77|444444,4141598:4141617|offset_100|444444,4141569:4141588|offset_129|444444&amp;v=4141451:4141788&amp;c=444444", "offset 46")</f>
        <v>offset 46</v>
      </c>
    </row>
    <row r="14664" customFormat="false" ht="12.8" hidden="false" customHeight="false" outlineLevel="0" collapsed="false">
      <c r="A14664" s="0" t="s">
        <v>12</v>
      </c>
      <c r="B14664" s="0" t="n">
        <v>4141620</v>
      </c>
      <c r="C14664" s="0" t="n">
        <v>4141640</v>
      </c>
      <c r="D14664" s="0" t="s">
        <v>48862</v>
      </c>
      <c r="E14664" s="0" t="s">
        <v>89</v>
      </c>
      <c r="F14664" s="0" t="s">
        <v>90</v>
      </c>
      <c r="G14664" s="0" t="s">
        <v>26</v>
      </c>
      <c r="H14664" s="0" t="n">
        <v>77</v>
      </c>
      <c r="I14664" s="0" t="s">
        <v>48866</v>
      </c>
      <c r="J14664" s="0" t="s">
        <v>48867</v>
      </c>
      <c r="K14664" s="0" t="s">
        <v>48868</v>
      </c>
      <c r="L14664" s="0" t="str">
        <f aca="false">HYPERLINK("https://www.ncbi.nlm.nih.gov/nuccore/CP000304.1?report=graph&amp;tracks=[key:gene_model_track,Options:GeneOnly]&amp;mk=4141652:4141671|offset_46|444444,4141621:4141640|offset_77|00cc00,4141598:4141617|offset_100|444444,4141569:4141588|offset_129|444444&amp;v=4141451:4141788&amp;c=444444", "offset 77")</f>
        <v>offset 77</v>
      </c>
    </row>
    <row r="14665" customFormat="false" ht="12.8" hidden="false" customHeight="false" outlineLevel="0" collapsed="false">
      <c r="A14665" s="0" t="s">
        <v>12</v>
      </c>
      <c r="B14665" s="0" t="n">
        <v>4141597</v>
      </c>
      <c r="C14665" s="0" t="n">
        <v>4141617</v>
      </c>
      <c r="D14665" s="0" t="s">
        <v>48862</v>
      </c>
      <c r="E14665" s="0" t="s">
        <v>89</v>
      </c>
      <c r="F14665" s="0" t="s">
        <v>90</v>
      </c>
      <c r="G14665" s="0" t="s">
        <v>26</v>
      </c>
      <c r="H14665" s="0" t="n">
        <v>100</v>
      </c>
      <c r="I14665" s="0" t="s">
        <v>48869</v>
      </c>
      <c r="J14665" s="0" t="s">
        <v>48870</v>
      </c>
      <c r="K14665" s="0" t="s">
        <v>48871</v>
      </c>
      <c r="L14665" s="0" t="str">
        <f aca="false">HYPERLINK("https://www.ncbi.nlm.nih.gov/nuccore/CP000304.1?report=graph&amp;tracks=[key:gene_model_track,Options:GeneOnly]&amp;mk=4141652:4141671|offset_46|444444,4141621:4141640|offset_77|444444,4141598:4141617|offset_100|00cc00,4141569:4141588|offset_129|444444&amp;v=4141451:4141788&amp;c=444444", "offset 100")</f>
        <v>offset 100</v>
      </c>
    </row>
    <row r="14666" customFormat="false" ht="12.8" hidden="false" customHeight="false" outlineLevel="0" collapsed="false">
      <c r="A14666" s="0" t="s">
        <v>12</v>
      </c>
      <c r="B14666" s="0" t="n">
        <v>4141568</v>
      </c>
      <c r="C14666" s="0" t="n">
        <v>4141588</v>
      </c>
      <c r="D14666" s="0" t="s">
        <v>48862</v>
      </c>
      <c r="E14666" s="0" t="s">
        <v>89</v>
      </c>
      <c r="F14666" s="0" t="s">
        <v>90</v>
      </c>
      <c r="G14666" s="0" t="s">
        <v>16</v>
      </c>
      <c r="H14666" s="0" t="n">
        <v>129</v>
      </c>
      <c r="I14666" s="0" t="s">
        <v>48872</v>
      </c>
      <c r="J14666" s="0" t="s">
        <v>48873</v>
      </c>
      <c r="K14666" s="0" t="s">
        <v>48874</v>
      </c>
      <c r="L14666" s="0" t="str">
        <f aca="false">HYPERLINK("https://www.ncbi.nlm.nih.gov/nuccore/CP000304.1?report=graph&amp;tracks=[key:gene_model_track,Options:GeneOnly]&amp;mk=4141652:4141671|offset_46|444444,4141621:4141640|offset_77|444444,4141598:4141617|offset_100|444444,4141569:4141588|offset_129|00cc00&amp;v=4141451:4141788&amp;c=444444", "offset 129")</f>
        <v>offset 129</v>
      </c>
    </row>
    <row r="14667" customFormat="false" ht="12.8" hidden="false" customHeight="false" outlineLevel="0" collapsed="false">
      <c r="A14667" s="0" t="s">
        <v>12</v>
      </c>
      <c r="B14667" s="0" t="n">
        <v>4142644</v>
      </c>
      <c r="C14667" s="0" t="n">
        <v>4142664</v>
      </c>
      <c r="D14667" s="0" t="s">
        <v>48875</v>
      </c>
      <c r="E14667" s="0" t="s">
        <v>89</v>
      </c>
      <c r="F14667" s="0" t="s">
        <v>90</v>
      </c>
      <c r="G14667" s="0" t="s">
        <v>36</v>
      </c>
      <c r="H14667" s="0" t="n">
        <v>11</v>
      </c>
      <c r="I14667" s="0" t="s">
        <v>48876</v>
      </c>
      <c r="J14667" s="0" t="s">
        <v>48877</v>
      </c>
      <c r="K14667" s="0" t="s">
        <v>48878</v>
      </c>
      <c r="L14667" s="0" t="str">
        <f aca="false">HYPERLINK("https://www.ncbi.nlm.nih.gov/nuccore/CP000304.1?report=graph&amp;tracks=[key:gene_model_track,Options:GeneOnly]&amp;mk=4142645:4142664|offset_11|00cc00,4142601:4142620|offset_55|444444,4142556:4142575|offset_100|444444,4142509:4142528|offset_147|444444&amp;v=4142444:4142728&amp;c=444444", "offset 11")</f>
        <v>offset 11</v>
      </c>
    </row>
    <row r="14668" customFormat="false" ht="12.8" hidden="false" customHeight="false" outlineLevel="0" collapsed="false">
      <c r="A14668" s="0" t="s">
        <v>12</v>
      </c>
      <c r="B14668" s="0" t="n">
        <v>4142600</v>
      </c>
      <c r="C14668" s="0" t="n">
        <v>4142620</v>
      </c>
      <c r="D14668" s="0" t="s">
        <v>48875</v>
      </c>
      <c r="E14668" s="0" t="s">
        <v>89</v>
      </c>
      <c r="F14668" s="0" t="s">
        <v>90</v>
      </c>
      <c r="G14668" s="0" t="s">
        <v>26</v>
      </c>
      <c r="H14668" s="0" t="n">
        <v>55</v>
      </c>
      <c r="I14668" s="0" t="s">
        <v>48879</v>
      </c>
      <c r="J14668" s="0" t="s">
        <v>48880</v>
      </c>
      <c r="K14668" s="0" t="s">
        <v>48881</v>
      </c>
      <c r="L14668" s="0" t="str">
        <f aca="false">HYPERLINK("https://www.ncbi.nlm.nih.gov/nuccore/CP000304.1?report=graph&amp;tracks=[key:gene_model_track,Options:GeneOnly]&amp;mk=4142645:4142664|offset_11|444444,4142601:4142620|offset_55|00cc00,4142556:4142575|offset_100|444444,4142509:4142528|offset_147|444444&amp;v=4142444:4142728&amp;c=444444", "offset 55")</f>
        <v>offset 55</v>
      </c>
    </row>
    <row r="14669" customFormat="false" ht="12.8" hidden="false" customHeight="false" outlineLevel="0" collapsed="false">
      <c r="A14669" s="0" t="s">
        <v>12</v>
      </c>
      <c r="B14669" s="0" t="n">
        <v>4142555</v>
      </c>
      <c r="C14669" s="0" t="n">
        <v>4142575</v>
      </c>
      <c r="D14669" s="0" t="s">
        <v>48875</v>
      </c>
      <c r="E14669" s="0" t="s">
        <v>89</v>
      </c>
      <c r="F14669" s="0" t="s">
        <v>90</v>
      </c>
      <c r="G14669" s="0" t="s">
        <v>32</v>
      </c>
      <c r="H14669" s="0" t="n">
        <v>100</v>
      </c>
      <c r="I14669" s="0" t="s">
        <v>48882</v>
      </c>
      <c r="J14669" s="0" t="s">
        <v>48883</v>
      </c>
      <c r="K14669" s="0" t="s">
        <v>48884</v>
      </c>
      <c r="L14669" s="0" t="str">
        <f aca="false">HYPERLINK("https://www.ncbi.nlm.nih.gov/nuccore/CP000304.1?report=graph&amp;tracks=[key:gene_model_track,Options:GeneOnly]&amp;mk=4142645:4142664|offset_11|444444,4142601:4142620|offset_55|444444,4142556:4142575|offset_100|00cc00,4142509:4142528|offset_147|444444&amp;v=4142444:4142728&amp;c=444444", "offset 100")</f>
        <v>offset 100</v>
      </c>
    </row>
    <row r="14670" customFormat="false" ht="12.8" hidden="false" customHeight="false" outlineLevel="0" collapsed="false">
      <c r="A14670" s="0" t="s">
        <v>12</v>
      </c>
      <c r="B14670" s="0" t="n">
        <v>4142508</v>
      </c>
      <c r="C14670" s="0" t="n">
        <v>4142528</v>
      </c>
      <c r="D14670" s="0" t="s">
        <v>48875</v>
      </c>
      <c r="E14670" s="0" t="s">
        <v>89</v>
      </c>
      <c r="F14670" s="0" t="s">
        <v>90</v>
      </c>
      <c r="G14670" s="0" t="s">
        <v>16</v>
      </c>
      <c r="H14670" s="0" t="n">
        <v>147</v>
      </c>
      <c r="I14670" s="0" t="s">
        <v>48885</v>
      </c>
      <c r="J14670" s="0" t="s">
        <v>48886</v>
      </c>
      <c r="K14670" s="0" t="s">
        <v>48887</v>
      </c>
      <c r="L14670" s="0" t="str">
        <f aca="false">HYPERLINK("https://www.ncbi.nlm.nih.gov/nuccore/CP000304.1?report=graph&amp;tracks=[key:gene_model_track,Options:GeneOnly]&amp;mk=4142645:4142664|offset_11|444444,4142601:4142620|offset_55|444444,4142556:4142575|offset_100|444444,4142509:4142528|offset_147|00cc00&amp;v=4142444:4142728&amp;c=444444", "offset 147")</f>
        <v>offset 147</v>
      </c>
    </row>
    <row r="14671" customFormat="false" ht="12.8" hidden="false" customHeight="false" outlineLevel="0" collapsed="false">
      <c r="A14671" s="0" t="s">
        <v>12</v>
      </c>
      <c r="B14671" s="0" t="n">
        <v>4143327</v>
      </c>
      <c r="C14671" s="0" t="n">
        <v>4143347</v>
      </c>
      <c r="D14671" s="0" t="s">
        <v>48888</v>
      </c>
      <c r="E14671" s="0" t="s">
        <v>89</v>
      </c>
      <c r="F14671" s="0" t="s">
        <v>90</v>
      </c>
      <c r="G14671" s="0" t="s">
        <v>32</v>
      </c>
      <c r="H14671" s="0" t="n">
        <v>8</v>
      </c>
      <c r="I14671" s="0" t="s">
        <v>48889</v>
      </c>
      <c r="J14671" s="0" t="s">
        <v>48890</v>
      </c>
      <c r="K14671" s="0" t="s">
        <v>48891</v>
      </c>
      <c r="L14671" s="0" t="str">
        <f aca="false">HYPERLINK("https://www.ncbi.nlm.nih.gov/nuccore/CP000304.1?report=graph&amp;tracks=[key:gene_model_track,Options:GeneOnly]&amp;mk=4143328:4143347|offset_8|00cc00,4143299:4143318|offset_37|444444,4143276:4143295|offset_60|444444,4143227:4143246|offset_109|444444&amp;v=4143127:4143446&amp;c=444444", "offset 8")</f>
        <v>offset 8</v>
      </c>
    </row>
    <row r="14672" customFormat="false" ht="12.8" hidden="false" customHeight="false" outlineLevel="0" collapsed="false">
      <c r="A14672" s="0" t="s">
        <v>12</v>
      </c>
      <c r="B14672" s="0" t="n">
        <v>4143298</v>
      </c>
      <c r="C14672" s="0" t="n">
        <v>4143318</v>
      </c>
      <c r="D14672" s="0" t="s">
        <v>48888</v>
      </c>
      <c r="E14672" s="0" t="s">
        <v>89</v>
      </c>
      <c r="F14672" s="0" t="s">
        <v>90</v>
      </c>
      <c r="G14672" s="0" t="s">
        <v>16</v>
      </c>
      <c r="H14672" s="0" t="n">
        <v>37</v>
      </c>
      <c r="I14672" s="0" t="s">
        <v>48892</v>
      </c>
      <c r="J14672" s="0" t="s">
        <v>48893</v>
      </c>
      <c r="K14672" s="0" t="s">
        <v>48894</v>
      </c>
      <c r="L14672" s="0" t="str">
        <f aca="false">HYPERLINK("https://www.ncbi.nlm.nih.gov/nuccore/CP000304.1?report=graph&amp;tracks=[key:gene_model_track,Options:GeneOnly]&amp;mk=4143328:4143347|offset_8|444444,4143299:4143318|offset_37|00cc00,4143276:4143295|offset_60|444444,4143227:4143246|offset_109|444444&amp;v=4143127:4143446&amp;c=444444", "offset 37")</f>
        <v>offset 37</v>
      </c>
    </row>
    <row r="14673" customFormat="false" ht="12.8" hidden="false" customHeight="false" outlineLevel="0" collapsed="false">
      <c r="A14673" s="0" t="s">
        <v>12</v>
      </c>
      <c r="B14673" s="0" t="n">
        <v>4143275</v>
      </c>
      <c r="C14673" s="0" t="n">
        <v>4143295</v>
      </c>
      <c r="D14673" s="0" t="s">
        <v>48888</v>
      </c>
      <c r="E14673" s="0" t="s">
        <v>89</v>
      </c>
      <c r="F14673" s="0" t="s">
        <v>90</v>
      </c>
      <c r="G14673" s="0" t="s">
        <v>16</v>
      </c>
      <c r="H14673" s="0" t="n">
        <v>60</v>
      </c>
      <c r="I14673" s="0" t="s">
        <v>48895</v>
      </c>
      <c r="J14673" s="0" t="s">
        <v>48896</v>
      </c>
      <c r="K14673" s="0" t="s">
        <v>48897</v>
      </c>
      <c r="L14673" s="0" t="str">
        <f aca="false">HYPERLINK("https://www.ncbi.nlm.nih.gov/nuccore/CP000304.1?report=graph&amp;tracks=[key:gene_model_track,Options:GeneOnly]&amp;mk=4143328:4143347|offset_8|444444,4143299:4143318|offset_37|444444,4143276:4143295|offset_60|00cc00,4143227:4143246|offset_109|444444&amp;v=4143127:4143446&amp;c=444444", "offset 60")</f>
        <v>offset 60</v>
      </c>
    </row>
    <row r="14674" customFormat="false" ht="12.8" hidden="false" customHeight="false" outlineLevel="0" collapsed="false">
      <c r="A14674" s="0" t="s">
        <v>12</v>
      </c>
      <c r="B14674" s="0" t="n">
        <v>4143226</v>
      </c>
      <c r="C14674" s="0" t="n">
        <v>4143246</v>
      </c>
      <c r="D14674" s="0" t="s">
        <v>48888</v>
      </c>
      <c r="E14674" s="0" t="s">
        <v>89</v>
      </c>
      <c r="F14674" s="0" t="s">
        <v>90</v>
      </c>
      <c r="G14674" s="0" t="s">
        <v>36</v>
      </c>
      <c r="H14674" s="0" t="n">
        <v>109</v>
      </c>
      <c r="I14674" s="0" t="s">
        <v>48898</v>
      </c>
      <c r="J14674" s="0" t="s">
        <v>48899</v>
      </c>
      <c r="K14674" s="0" t="s">
        <v>48900</v>
      </c>
      <c r="L14674" s="0" t="str">
        <f aca="false">HYPERLINK("https://www.ncbi.nlm.nih.gov/nuccore/CP000304.1?report=graph&amp;tracks=[key:gene_model_track,Options:GeneOnly]&amp;mk=4143328:4143347|offset_8|444444,4143299:4143318|offset_37|444444,4143276:4143295|offset_60|444444,4143227:4143246|offset_109|00cc00&amp;v=4143127:4143446&amp;c=444444", "offset 109")</f>
        <v>offset 109</v>
      </c>
    </row>
    <row r="14675" customFormat="false" ht="12.8" hidden="false" customHeight="false" outlineLevel="0" collapsed="false">
      <c r="A14675" s="0" t="s">
        <v>12</v>
      </c>
      <c r="B14675" s="0" t="n">
        <v>4145163</v>
      </c>
      <c r="C14675" s="0" t="n">
        <v>4145183</v>
      </c>
      <c r="D14675" s="0" t="s">
        <v>48901</v>
      </c>
      <c r="E14675" s="0" t="s">
        <v>48902</v>
      </c>
      <c r="F14675" s="0" t="s">
        <v>90</v>
      </c>
      <c r="G14675" s="0" t="s">
        <v>32</v>
      </c>
      <c r="H14675" s="0" t="n">
        <v>7</v>
      </c>
      <c r="I14675" s="0" t="s">
        <v>48903</v>
      </c>
      <c r="J14675" s="0" t="s">
        <v>48904</v>
      </c>
      <c r="K14675" s="0" t="s">
        <v>48905</v>
      </c>
      <c r="L14675" s="0" t="str">
        <f aca="false">HYPERLINK("https://www.ncbi.nlm.nih.gov/nuccore/CP000304.1?report=graph&amp;tracks=[key:gene_model_track,Options:GeneOnly]&amp;mk=4145164:4145183|offset_7|00cc00,4145106:4145125|offset_65|444444,4145079:4145098|offset_92|444444,4145053:4145072|offset_118|444444&amp;v=4144963:4145272&amp;c=444444", "offset 7")</f>
        <v>offset 7</v>
      </c>
    </row>
    <row r="14676" customFormat="false" ht="12.8" hidden="false" customHeight="false" outlineLevel="0" collapsed="false">
      <c r="A14676" s="0" t="s">
        <v>12</v>
      </c>
      <c r="B14676" s="0" t="n">
        <v>4145105</v>
      </c>
      <c r="C14676" s="0" t="n">
        <v>4145125</v>
      </c>
      <c r="D14676" s="0" t="s">
        <v>48901</v>
      </c>
      <c r="E14676" s="0" t="s">
        <v>48902</v>
      </c>
      <c r="F14676" s="0" t="s">
        <v>90</v>
      </c>
      <c r="G14676" s="0" t="s">
        <v>36</v>
      </c>
      <c r="H14676" s="0" t="n">
        <v>65</v>
      </c>
      <c r="I14676" s="0" t="s">
        <v>48906</v>
      </c>
      <c r="J14676" s="0" t="s">
        <v>48907</v>
      </c>
      <c r="K14676" s="0" t="s">
        <v>48908</v>
      </c>
      <c r="L14676" s="0" t="str">
        <f aca="false">HYPERLINK("https://www.ncbi.nlm.nih.gov/nuccore/CP000304.1?report=graph&amp;tracks=[key:gene_model_track,Options:GeneOnly]&amp;mk=4145164:4145183|offset_7|444444,4145106:4145125|offset_65|00cc00,4145079:4145098|offset_92|444444,4145053:4145072|offset_118|444444&amp;v=4144963:4145272&amp;c=444444", "offset 65")</f>
        <v>offset 65</v>
      </c>
    </row>
    <row r="14677" customFormat="false" ht="12.8" hidden="false" customHeight="false" outlineLevel="0" collapsed="false">
      <c r="A14677" s="0" t="s">
        <v>12</v>
      </c>
      <c r="B14677" s="0" t="n">
        <v>4145078</v>
      </c>
      <c r="C14677" s="0" t="n">
        <v>4145098</v>
      </c>
      <c r="D14677" s="0" t="s">
        <v>48901</v>
      </c>
      <c r="E14677" s="0" t="s">
        <v>48902</v>
      </c>
      <c r="F14677" s="0" t="s">
        <v>90</v>
      </c>
      <c r="G14677" s="0" t="s">
        <v>26</v>
      </c>
      <c r="H14677" s="0" t="n">
        <v>92</v>
      </c>
      <c r="I14677" s="0" t="s">
        <v>48909</v>
      </c>
      <c r="J14677" s="0" t="s">
        <v>48910</v>
      </c>
      <c r="K14677" s="0" t="s">
        <v>48911</v>
      </c>
      <c r="L14677" s="0" t="str">
        <f aca="false">HYPERLINK("https://www.ncbi.nlm.nih.gov/nuccore/CP000304.1?report=graph&amp;tracks=[key:gene_model_track,Options:GeneOnly]&amp;mk=4145164:4145183|offset_7|444444,4145106:4145125|offset_65|444444,4145079:4145098|offset_92|00cc00,4145053:4145072|offset_118|444444&amp;v=4144963:4145272&amp;c=444444", "offset 92")</f>
        <v>offset 92</v>
      </c>
    </row>
    <row r="14678" customFormat="false" ht="12.8" hidden="false" customHeight="false" outlineLevel="0" collapsed="false">
      <c r="A14678" s="0" t="s">
        <v>12</v>
      </c>
      <c r="B14678" s="0" t="n">
        <v>4145052</v>
      </c>
      <c r="C14678" s="0" t="n">
        <v>4145072</v>
      </c>
      <c r="D14678" s="0" t="s">
        <v>48901</v>
      </c>
      <c r="E14678" s="0" t="s">
        <v>48902</v>
      </c>
      <c r="F14678" s="0" t="s">
        <v>90</v>
      </c>
      <c r="G14678" s="0" t="s">
        <v>32</v>
      </c>
      <c r="H14678" s="0" t="n">
        <v>118</v>
      </c>
      <c r="I14678" s="0" t="s">
        <v>48912</v>
      </c>
      <c r="J14678" s="0" t="s">
        <v>48913</v>
      </c>
      <c r="K14678" s="0" t="s">
        <v>48914</v>
      </c>
      <c r="L14678" s="0" t="str">
        <f aca="false">HYPERLINK("https://www.ncbi.nlm.nih.gov/nuccore/CP000304.1?report=graph&amp;tracks=[key:gene_model_track,Options:GeneOnly]&amp;mk=4145164:4145183|offset_7|444444,4145106:4145125|offset_65|444444,4145079:4145098|offset_92|444444,4145053:4145072|offset_118|00cc00&amp;v=4144963:4145272&amp;c=444444", "offset 118")</f>
        <v>offset 118</v>
      </c>
    </row>
    <row r="14679" customFormat="false" ht="12.8" hidden="false" customHeight="false" outlineLevel="0" collapsed="false">
      <c r="A14679" s="0" t="s">
        <v>12</v>
      </c>
      <c r="B14679" s="0" t="n">
        <v>4145301</v>
      </c>
      <c r="C14679" s="0" t="n">
        <v>4145321</v>
      </c>
      <c r="D14679" s="0" t="s">
        <v>48915</v>
      </c>
      <c r="E14679" s="0" t="s">
        <v>89</v>
      </c>
      <c r="F14679" s="0" t="s">
        <v>15</v>
      </c>
      <c r="G14679" s="0" t="s">
        <v>36</v>
      </c>
      <c r="H14679" s="0" t="n">
        <v>77</v>
      </c>
      <c r="I14679" s="0" t="s">
        <v>48916</v>
      </c>
      <c r="J14679" s="0" t="s">
        <v>48917</v>
      </c>
      <c r="K14679" s="0" t="s">
        <v>48918</v>
      </c>
      <c r="L14679" s="0" t="str">
        <f aca="false">HYPERLINK("https://www.ncbi.nlm.nih.gov/nuccore/CP000304.1?report=graph&amp;tracks=[key:gene_model_track,Options:GeneOnly]&amp;mk=4145302:4145321|offset_77|00cc00,4145322:4145341|offset_97|444444,4145347:4145366|offset_122|444444,4145384:4145403|offset_159|444444&amp;v=4145101:4145603&amp;c=444444", "offset 77")</f>
        <v>offset 77</v>
      </c>
    </row>
    <row r="14680" customFormat="false" ht="12.8" hidden="false" customHeight="false" outlineLevel="0" collapsed="false">
      <c r="A14680" s="0" t="s">
        <v>12</v>
      </c>
      <c r="B14680" s="0" t="n">
        <v>4145321</v>
      </c>
      <c r="C14680" s="0" t="n">
        <v>4145341</v>
      </c>
      <c r="D14680" s="0" t="s">
        <v>48915</v>
      </c>
      <c r="E14680" s="0" t="s">
        <v>89</v>
      </c>
      <c r="F14680" s="0" t="s">
        <v>15</v>
      </c>
      <c r="G14680" s="0" t="s">
        <v>32</v>
      </c>
      <c r="H14680" s="0" t="n">
        <v>97</v>
      </c>
      <c r="I14680" s="0" t="s">
        <v>48919</v>
      </c>
      <c r="J14680" s="0" t="s">
        <v>48920</v>
      </c>
      <c r="K14680" s="0" t="s">
        <v>48921</v>
      </c>
      <c r="L14680" s="0" t="str">
        <f aca="false">HYPERLINK("https://www.ncbi.nlm.nih.gov/nuccore/CP000304.1?report=graph&amp;tracks=[key:gene_model_track,Options:GeneOnly]&amp;mk=4145302:4145321|offset_77|444444,4145322:4145341|offset_97|00cc00,4145347:4145366|offset_122|444444,4145384:4145403|offset_159|444444&amp;v=4145101:4145603&amp;c=444444", "offset 97")</f>
        <v>offset 97</v>
      </c>
    </row>
    <row r="14681" customFormat="false" ht="12.8" hidden="false" customHeight="false" outlineLevel="0" collapsed="false">
      <c r="A14681" s="0" t="s">
        <v>12</v>
      </c>
      <c r="B14681" s="0" t="n">
        <v>4145346</v>
      </c>
      <c r="C14681" s="0" t="n">
        <v>4145366</v>
      </c>
      <c r="D14681" s="0" t="s">
        <v>48915</v>
      </c>
      <c r="E14681" s="0" t="s">
        <v>89</v>
      </c>
      <c r="F14681" s="0" t="s">
        <v>15</v>
      </c>
      <c r="G14681" s="0" t="s">
        <v>32</v>
      </c>
      <c r="H14681" s="0" t="n">
        <v>122</v>
      </c>
      <c r="I14681" s="0" t="s">
        <v>48922</v>
      </c>
      <c r="J14681" s="0" t="s">
        <v>48923</v>
      </c>
      <c r="K14681" s="0" t="s">
        <v>48924</v>
      </c>
      <c r="L14681" s="0" t="str">
        <f aca="false">HYPERLINK("https://www.ncbi.nlm.nih.gov/nuccore/CP000304.1?report=graph&amp;tracks=[key:gene_model_track,Options:GeneOnly]&amp;mk=4145302:4145321|offset_77|444444,4145322:4145341|offset_97|444444,4145347:4145366|offset_122|00cc00,4145384:4145403|offset_159|444444&amp;v=4145101:4145603&amp;c=444444", "offset 122")</f>
        <v>offset 122</v>
      </c>
    </row>
    <row r="14682" customFormat="false" ht="12.8" hidden="false" customHeight="false" outlineLevel="0" collapsed="false">
      <c r="A14682" s="0" t="s">
        <v>12</v>
      </c>
      <c r="B14682" s="0" t="n">
        <v>4145383</v>
      </c>
      <c r="C14682" s="0" t="n">
        <v>4145403</v>
      </c>
      <c r="D14682" s="0" t="s">
        <v>48915</v>
      </c>
      <c r="E14682" s="0" t="s">
        <v>89</v>
      </c>
      <c r="F14682" s="0" t="s">
        <v>15</v>
      </c>
      <c r="G14682" s="0" t="s">
        <v>36</v>
      </c>
      <c r="H14682" s="0" t="n">
        <v>159</v>
      </c>
      <c r="I14682" s="0" t="s">
        <v>48925</v>
      </c>
      <c r="J14682" s="0" t="s">
        <v>48926</v>
      </c>
      <c r="K14682" s="0" t="s">
        <v>48927</v>
      </c>
      <c r="L14682" s="0" t="str">
        <f aca="false">HYPERLINK("https://www.ncbi.nlm.nih.gov/nuccore/CP000304.1?report=graph&amp;tracks=[key:gene_model_track,Options:GeneOnly]&amp;mk=4145302:4145321|offset_77|444444,4145322:4145341|offset_97|444444,4145347:4145366|offset_122|444444,4145384:4145403|offset_159|00cc00&amp;v=4145101:4145603&amp;c=444444", "offset 159")</f>
        <v>offset 159</v>
      </c>
    </row>
    <row r="14683" customFormat="false" ht="12.8" hidden="false" customHeight="false" outlineLevel="0" collapsed="false">
      <c r="A14683" s="0" t="s">
        <v>12</v>
      </c>
      <c r="B14683" s="0" t="n">
        <v>4146925</v>
      </c>
      <c r="C14683" s="0" t="n">
        <v>4146945</v>
      </c>
      <c r="D14683" s="0" t="s">
        <v>48928</v>
      </c>
      <c r="E14683" s="0" t="s">
        <v>89</v>
      </c>
      <c r="F14683" s="0" t="s">
        <v>90</v>
      </c>
      <c r="G14683" s="0" t="s">
        <v>26</v>
      </c>
      <c r="H14683" s="0" t="n">
        <v>39</v>
      </c>
      <c r="I14683" s="0" t="s">
        <v>48929</v>
      </c>
      <c r="J14683" s="0" t="s">
        <v>48930</v>
      </c>
      <c r="K14683" s="0" t="s">
        <v>48931</v>
      </c>
      <c r="L14683" s="0" t="str">
        <f aca="false">HYPERLINK("https://www.ncbi.nlm.nih.gov/nuccore/CP000304.1?report=graph&amp;tracks=[key:gene_model_track,Options:GeneOnly]&amp;mk=4146926:4146945|offset_39|00cc00,4146891:4146910|offset_74|444444,4146865:4146884|offset_100|444444,4146834:4146853|offset_131|444444&amp;v=4146725:4147053&amp;c=444444", "offset 39")</f>
        <v>offset 39</v>
      </c>
    </row>
    <row r="14684" customFormat="false" ht="12.8" hidden="false" customHeight="false" outlineLevel="0" collapsed="false">
      <c r="A14684" s="0" t="s">
        <v>12</v>
      </c>
      <c r="B14684" s="0" t="n">
        <v>4146890</v>
      </c>
      <c r="C14684" s="0" t="n">
        <v>4146910</v>
      </c>
      <c r="D14684" s="0" t="s">
        <v>48928</v>
      </c>
      <c r="E14684" s="0" t="s">
        <v>89</v>
      </c>
      <c r="F14684" s="0" t="s">
        <v>90</v>
      </c>
      <c r="G14684" s="0" t="s">
        <v>26</v>
      </c>
      <c r="H14684" s="0" t="n">
        <v>74</v>
      </c>
      <c r="I14684" s="0" t="s">
        <v>48932</v>
      </c>
      <c r="J14684" s="0" t="s">
        <v>48933</v>
      </c>
      <c r="K14684" s="0" t="s">
        <v>48934</v>
      </c>
      <c r="L14684" s="0" t="str">
        <f aca="false">HYPERLINK("https://www.ncbi.nlm.nih.gov/nuccore/CP000304.1?report=graph&amp;tracks=[key:gene_model_track,Options:GeneOnly]&amp;mk=4146926:4146945|offset_39|444444,4146891:4146910|offset_74|00cc00,4146865:4146884|offset_100|444444,4146834:4146853|offset_131|444444&amp;v=4146725:4147053&amp;c=444444", "offset 74")</f>
        <v>offset 74</v>
      </c>
    </row>
    <row r="14685" customFormat="false" ht="12.8" hidden="false" customHeight="false" outlineLevel="0" collapsed="false">
      <c r="A14685" s="0" t="s">
        <v>12</v>
      </c>
      <c r="B14685" s="0" t="n">
        <v>4146864</v>
      </c>
      <c r="C14685" s="0" t="n">
        <v>4146884</v>
      </c>
      <c r="D14685" s="0" t="s">
        <v>48928</v>
      </c>
      <c r="E14685" s="0" t="s">
        <v>89</v>
      </c>
      <c r="F14685" s="0" t="s">
        <v>90</v>
      </c>
      <c r="G14685" s="0" t="s">
        <v>32</v>
      </c>
      <c r="H14685" s="0" t="n">
        <v>100</v>
      </c>
      <c r="I14685" s="0" t="s">
        <v>48935</v>
      </c>
      <c r="J14685" s="0" t="s">
        <v>48936</v>
      </c>
      <c r="K14685" s="0" t="s">
        <v>48937</v>
      </c>
      <c r="L14685" s="0" t="str">
        <f aca="false">HYPERLINK("https://www.ncbi.nlm.nih.gov/nuccore/CP000304.1?report=graph&amp;tracks=[key:gene_model_track,Options:GeneOnly]&amp;mk=4146926:4146945|offset_39|444444,4146891:4146910|offset_74|444444,4146865:4146884|offset_100|00cc00,4146834:4146853|offset_131|444444&amp;v=4146725:4147053&amp;c=444444", "offset 100")</f>
        <v>offset 100</v>
      </c>
    </row>
    <row r="14686" customFormat="false" ht="12.8" hidden="false" customHeight="false" outlineLevel="0" collapsed="false">
      <c r="A14686" s="0" t="s">
        <v>12</v>
      </c>
      <c r="B14686" s="0" t="n">
        <v>4146833</v>
      </c>
      <c r="C14686" s="0" t="n">
        <v>4146853</v>
      </c>
      <c r="D14686" s="0" t="s">
        <v>48928</v>
      </c>
      <c r="E14686" s="0" t="s">
        <v>89</v>
      </c>
      <c r="F14686" s="0" t="s">
        <v>90</v>
      </c>
      <c r="G14686" s="0" t="s">
        <v>26</v>
      </c>
      <c r="H14686" s="0" t="n">
        <v>131</v>
      </c>
      <c r="I14686" s="0" t="s">
        <v>48938</v>
      </c>
      <c r="J14686" s="0" t="s">
        <v>48939</v>
      </c>
      <c r="K14686" s="0" t="s">
        <v>48940</v>
      </c>
      <c r="L14686" s="0" t="str">
        <f aca="false">HYPERLINK("https://www.ncbi.nlm.nih.gov/nuccore/CP000304.1?report=graph&amp;tracks=[key:gene_model_track,Options:GeneOnly]&amp;mk=4146926:4146945|offset_39|444444,4146891:4146910|offset_74|444444,4146865:4146884|offset_100|444444,4146834:4146853|offset_131|00cc00&amp;v=4146725:4147053&amp;c=444444", "offset 131")</f>
        <v>offset 131</v>
      </c>
    </row>
    <row r="14687" customFormat="false" ht="12.8" hidden="false" customHeight="false" outlineLevel="0" collapsed="false">
      <c r="A14687" s="0" t="s">
        <v>12</v>
      </c>
      <c r="B14687" s="0" t="n">
        <v>4147747</v>
      </c>
      <c r="C14687" s="0" t="n">
        <v>4147767</v>
      </c>
      <c r="D14687" s="0" t="s">
        <v>48941</v>
      </c>
      <c r="E14687" s="0" t="s">
        <v>89</v>
      </c>
      <c r="F14687" s="0" t="s">
        <v>90</v>
      </c>
      <c r="G14687" s="0" t="s">
        <v>16</v>
      </c>
      <c r="H14687" s="0" t="n">
        <v>26</v>
      </c>
      <c r="I14687" s="0" t="s">
        <v>48942</v>
      </c>
      <c r="J14687" s="0" t="s">
        <v>48943</v>
      </c>
      <c r="K14687" s="0" t="s">
        <v>48944</v>
      </c>
      <c r="L14687" s="0" t="str">
        <f aca="false">HYPERLINK("https://www.ncbi.nlm.nih.gov/nuccore/CP000304.1?report=graph&amp;tracks=[key:gene_model_track,Options:GeneOnly]&amp;mk=4147748:4147767|offset_26|00cc00,4147727:4147746|offset_47|444444,4147693:4147712|offset_81|444444,4147663:4147682|offset_111|444444&amp;v=4147547:4147882&amp;c=444444", "offset 26")</f>
        <v>offset 26</v>
      </c>
    </row>
    <row r="14688" customFormat="false" ht="12.8" hidden="false" customHeight="false" outlineLevel="0" collapsed="false">
      <c r="A14688" s="0" t="s">
        <v>12</v>
      </c>
      <c r="B14688" s="0" t="n">
        <v>4147726</v>
      </c>
      <c r="C14688" s="0" t="n">
        <v>4147746</v>
      </c>
      <c r="D14688" s="0" t="s">
        <v>48941</v>
      </c>
      <c r="E14688" s="0" t="s">
        <v>89</v>
      </c>
      <c r="F14688" s="0" t="s">
        <v>90</v>
      </c>
      <c r="G14688" s="0" t="s">
        <v>36</v>
      </c>
      <c r="H14688" s="0" t="n">
        <v>47</v>
      </c>
      <c r="I14688" s="0" t="s">
        <v>48945</v>
      </c>
      <c r="J14688" s="0" t="s">
        <v>48946</v>
      </c>
      <c r="K14688" s="0" t="s">
        <v>48947</v>
      </c>
      <c r="L14688" s="0" t="str">
        <f aca="false">HYPERLINK("https://www.ncbi.nlm.nih.gov/nuccore/CP000304.1?report=graph&amp;tracks=[key:gene_model_track,Options:GeneOnly]&amp;mk=4147748:4147767|offset_26|444444,4147727:4147746|offset_47|00cc00,4147693:4147712|offset_81|444444,4147663:4147682|offset_111|444444&amp;v=4147547:4147882&amp;c=444444", "offset 47")</f>
        <v>offset 47</v>
      </c>
    </row>
    <row r="14689" customFormat="false" ht="12.8" hidden="false" customHeight="false" outlineLevel="0" collapsed="false">
      <c r="A14689" s="0" t="s">
        <v>12</v>
      </c>
      <c r="B14689" s="0" t="n">
        <v>4147692</v>
      </c>
      <c r="C14689" s="0" t="n">
        <v>4147712</v>
      </c>
      <c r="D14689" s="0" t="s">
        <v>48941</v>
      </c>
      <c r="E14689" s="0" t="s">
        <v>89</v>
      </c>
      <c r="F14689" s="0" t="s">
        <v>90</v>
      </c>
      <c r="G14689" s="0" t="s">
        <v>16</v>
      </c>
      <c r="H14689" s="0" t="n">
        <v>81</v>
      </c>
      <c r="I14689" s="0" t="s">
        <v>48948</v>
      </c>
      <c r="J14689" s="0" t="s">
        <v>48949</v>
      </c>
      <c r="K14689" s="0" t="s">
        <v>48950</v>
      </c>
      <c r="L14689" s="0" t="str">
        <f aca="false">HYPERLINK("https://www.ncbi.nlm.nih.gov/nuccore/CP000304.1?report=graph&amp;tracks=[key:gene_model_track,Options:GeneOnly]&amp;mk=4147748:4147767|offset_26|444444,4147727:4147746|offset_47|444444,4147693:4147712|offset_81|00cc00,4147663:4147682|offset_111|444444&amp;v=4147547:4147882&amp;c=444444", "offset 81")</f>
        <v>offset 81</v>
      </c>
    </row>
    <row r="14690" customFormat="false" ht="12.8" hidden="false" customHeight="false" outlineLevel="0" collapsed="false">
      <c r="A14690" s="0" t="s">
        <v>12</v>
      </c>
      <c r="B14690" s="0" t="n">
        <v>4147662</v>
      </c>
      <c r="C14690" s="0" t="n">
        <v>4147682</v>
      </c>
      <c r="D14690" s="0" t="s">
        <v>48941</v>
      </c>
      <c r="E14690" s="0" t="s">
        <v>89</v>
      </c>
      <c r="F14690" s="0" t="s">
        <v>90</v>
      </c>
      <c r="G14690" s="0" t="s">
        <v>16</v>
      </c>
      <c r="H14690" s="0" t="n">
        <v>111</v>
      </c>
      <c r="I14690" s="0" t="s">
        <v>48951</v>
      </c>
      <c r="J14690" s="0" t="s">
        <v>48952</v>
      </c>
      <c r="K14690" s="0" t="s">
        <v>48953</v>
      </c>
      <c r="L14690" s="0" t="str">
        <f aca="false">HYPERLINK("https://www.ncbi.nlm.nih.gov/nuccore/CP000304.1?report=graph&amp;tracks=[key:gene_model_track,Options:GeneOnly]&amp;mk=4147748:4147767|offset_26|444444,4147727:4147746|offset_47|444444,4147693:4147712|offset_81|444444,4147663:4147682|offset_111|00cc00&amp;v=4147547:4147882&amp;c=444444", "offset 111")</f>
        <v>offset 111</v>
      </c>
    </row>
    <row r="14691" customFormat="false" ht="12.8" hidden="false" customHeight="false" outlineLevel="0" collapsed="false">
      <c r="A14691" s="0" t="s">
        <v>12</v>
      </c>
      <c r="B14691" s="0" t="n">
        <v>4148682</v>
      </c>
      <c r="C14691" s="0" t="n">
        <v>4148702</v>
      </c>
      <c r="D14691" s="0" t="s">
        <v>48954</v>
      </c>
      <c r="E14691" s="0" t="s">
        <v>89</v>
      </c>
      <c r="F14691" s="0" t="s">
        <v>90</v>
      </c>
      <c r="G14691" s="0" t="s">
        <v>32</v>
      </c>
      <c r="H14691" s="0" t="n">
        <v>43</v>
      </c>
      <c r="I14691" s="0" t="s">
        <v>48955</v>
      </c>
      <c r="J14691" s="0" t="s">
        <v>48956</v>
      </c>
      <c r="K14691" s="0" t="s">
        <v>48957</v>
      </c>
      <c r="L14691" s="0" t="str">
        <f aca="false">HYPERLINK("https://www.ncbi.nlm.nih.gov/nuccore/CP000304.1?report=graph&amp;tracks=[key:gene_model_track,Options:GeneOnly]&amp;mk=4148683:4148702|offset_43|00cc00,4148607:4148626|offset_119|444444,4148587:4148606|offset_139|444444,4148563:4148582|offset_163|444444&amp;v=4148482:4148782&amp;c=444444", "offset 43")</f>
        <v>offset 43</v>
      </c>
    </row>
    <row r="14692" customFormat="false" ht="12.8" hidden="false" customHeight="false" outlineLevel="0" collapsed="false">
      <c r="A14692" s="0" t="s">
        <v>12</v>
      </c>
      <c r="B14692" s="0" t="n">
        <v>4148606</v>
      </c>
      <c r="C14692" s="0" t="n">
        <v>4148626</v>
      </c>
      <c r="D14692" s="0" t="s">
        <v>48954</v>
      </c>
      <c r="E14692" s="0" t="s">
        <v>89</v>
      </c>
      <c r="F14692" s="0" t="s">
        <v>90</v>
      </c>
      <c r="G14692" s="0" t="s">
        <v>16</v>
      </c>
      <c r="H14692" s="0" t="n">
        <v>119</v>
      </c>
      <c r="I14692" s="0" t="s">
        <v>48958</v>
      </c>
      <c r="J14692" s="0" t="s">
        <v>48959</v>
      </c>
      <c r="K14692" s="0" t="s">
        <v>48960</v>
      </c>
      <c r="L14692" s="0" t="str">
        <f aca="false">HYPERLINK("https://www.ncbi.nlm.nih.gov/nuccore/CP000304.1?report=graph&amp;tracks=[key:gene_model_track,Options:GeneOnly]&amp;mk=4148683:4148702|offset_43|444444,4148607:4148626|offset_119|00cc00,4148587:4148606|offset_139|444444,4148563:4148582|offset_163|444444&amp;v=4148482:4148782&amp;c=444444", "offset 119")</f>
        <v>offset 119</v>
      </c>
    </row>
    <row r="14693" customFormat="false" ht="12.8" hidden="false" customHeight="false" outlineLevel="0" collapsed="false">
      <c r="A14693" s="0" t="s">
        <v>12</v>
      </c>
      <c r="B14693" s="0" t="n">
        <v>4148586</v>
      </c>
      <c r="C14693" s="0" t="n">
        <v>4148606</v>
      </c>
      <c r="D14693" s="0" t="s">
        <v>48954</v>
      </c>
      <c r="E14693" s="0" t="s">
        <v>89</v>
      </c>
      <c r="F14693" s="0" t="s">
        <v>90</v>
      </c>
      <c r="G14693" s="0" t="s">
        <v>26</v>
      </c>
      <c r="H14693" s="0" t="n">
        <v>139</v>
      </c>
      <c r="I14693" s="0" t="s">
        <v>48961</v>
      </c>
      <c r="J14693" s="0" t="s">
        <v>48962</v>
      </c>
      <c r="K14693" s="0" t="s">
        <v>48963</v>
      </c>
      <c r="L14693" s="0" t="str">
        <f aca="false">HYPERLINK("https://www.ncbi.nlm.nih.gov/nuccore/CP000304.1?report=graph&amp;tracks=[key:gene_model_track,Options:GeneOnly]&amp;mk=4148683:4148702|offset_43|444444,4148607:4148626|offset_119|444444,4148587:4148606|offset_139|00cc00,4148563:4148582|offset_163|444444&amp;v=4148482:4148782&amp;c=444444", "offset 139")</f>
        <v>offset 139</v>
      </c>
    </row>
    <row r="14694" customFormat="false" ht="12.8" hidden="false" customHeight="false" outlineLevel="0" collapsed="false">
      <c r="A14694" s="0" t="s">
        <v>12</v>
      </c>
      <c r="B14694" s="0" t="n">
        <v>4148562</v>
      </c>
      <c r="C14694" s="0" t="n">
        <v>4148582</v>
      </c>
      <c r="D14694" s="0" t="s">
        <v>48954</v>
      </c>
      <c r="E14694" s="0" t="s">
        <v>89</v>
      </c>
      <c r="F14694" s="0" t="s">
        <v>90</v>
      </c>
      <c r="G14694" s="0" t="s">
        <v>36</v>
      </c>
      <c r="H14694" s="0" t="n">
        <v>163</v>
      </c>
      <c r="I14694" s="0" t="s">
        <v>48964</v>
      </c>
      <c r="J14694" s="0" t="s">
        <v>48965</v>
      </c>
      <c r="K14694" s="0" t="s">
        <v>48966</v>
      </c>
      <c r="L14694" s="0" t="str">
        <f aca="false">HYPERLINK("https://www.ncbi.nlm.nih.gov/nuccore/CP000304.1?report=graph&amp;tracks=[key:gene_model_track,Options:GeneOnly]&amp;mk=4148683:4148702|offset_43|444444,4148607:4148626|offset_119|444444,4148587:4148606|offset_139|444444,4148563:4148582|offset_163|00cc00&amp;v=4148482:4148782&amp;c=444444", "offset 163")</f>
        <v>offset 163</v>
      </c>
    </row>
    <row r="14695" customFormat="false" ht="12.8" hidden="false" customHeight="false" outlineLevel="0" collapsed="false">
      <c r="A14695" s="0" t="s">
        <v>12</v>
      </c>
      <c r="B14695" s="0" t="n">
        <v>4149864</v>
      </c>
      <c r="C14695" s="0" t="n">
        <v>4149884</v>
      </c>
      <c r="D14695" s="0" t="s">
        <v>48967</v>
      </c>
      <c r="E14695" s="0" t="s">
        <v>89</v>
      </c>
      <c r="F14695" s="0" t="s">
        <v>90</v>
      </c>
      <c r="G14695" s="0" t="s">
        <v>26</v>
      </c>
      <c r="H14695" s="0" t="n">
        <v>41</v>
      </c>
      <c r="I14695" s="0" t="s">
        <v>48968</v>
      </c>
      <c r="J14695" s="0" t="s">
        <v>48969</v>
      </c>
      <c r="K14695" s="0" t="s">
        <v>48970</v>
      </c>
      <c r="L14695" s="0" t="str">
        <f aca="false">HYPERLINK("https://www.ncbi.nlm.nih.gov/nuccore/CP000304.1?report=graph&amp;tracks=[key:gene_model_track,Options:GeneOnly]&amp;mk=4149865:4149884|offset_41|00cc00,4149839:4149858|offset_67|444444,4149803:4149822|offset_103|444444,4149770:4149789|offset_136|444444&amp;v=4149664:4149989&amp;c=444444", "offset 41")</f>
        <v>offset 41</v>
      </c>
    </row>
    <row r="14696" customFormat="false" ht="12.8" hidden="false" customHeight="false" outlineLevel="0" collapsed="false">
      <c r="A14696" s="0" t="s">
        <v>12</v>
      </c>
      <c r="B14696" s="0" t="n">
        <v>4149838</v>
      </c>
      <c r="C14696" s="0" t="n">
        <v>4149858</v>
      </c>
      <c r="D14696" s="0" t="s">
        <v>48967</v>
      </c>
      <c r="E14696" s="0" t="s">
        <v>89</v>
      </c>
      <c r="F14696" s="0" t="s">
        <v>90</v>
      </c>
      <c r="G14696" s="0" t="s">
        <v>16</v>
      </c>
      <c r="H14696" s="0" t="n">
        <v>67</v>
      </c>
      <c r="I14696" s="0" t="s">
        <v>48971</v>
      </c>
      <c r="J14696" s="0" t="s">
        <v>48972</v>
      </c>
      <c r="K14696" s="0" t="s">
        <v>48973</v>
      </c>
      <c r="L14696" s="0" t="str">
        <f aca="false">HYPERLINK("https://www.ncbi.nlm.nih.gov/nuccore/CP000304.1?report=graph&amp;tracks=[key:gene_model_track,Options:GeneOnly]&amp;mk=4149865:4149884|offset_41|444444,4149839:4149858|offset_67|00cc00,4149803:4149822|offset_103|444444,4149770:4149789|offset_136|444444&amp;v=4149664:4149989&amp;c=444444", "offset 67")</f>
        <v>offset 67</v>
      </c>
    </row>
    <row r="14697" customFormat="false" ht="12.8" hidden="false" customHeight="false" outlineLevel="0" collapsed="false">
      <c r="A14697" s="0" t="s">
        <v>12</v>
      </c>
      <c r="B14697" s="0" t="n">
        <v>4149802</v>
      </c>
      <c r="C14697" s="0" t="n">
        <v>4149822</v>
      </c>
      <c r="D14697" s="0" t="s">
        <v>48967</v>
      </c>
      <c r="E14697" s="0" t="s">
        <v>89</v>
      </c>
      <c r="F14697" s="0" t="s">
        <v>90</v>
      </c>
      <c r="G14697" s="0" t="s">
        <v>16</v>
      </c>
      <c r="H14697" s="0" t="n">
        <v>103</v>
      </c>
      <c r="I14697" s="0" t="s">
        <v>48974</v>
      </c>
      <c r="J14697" s="0" t="s">
        <v>48975</v>
      </c>
      <c r="K14697" s="0" t="s">
        <v>48976</v>
      </c>
      <c r="L14697" s="0" t="str">
        <f aca="false">HYPERLINK("https://www.ncbi.nlm.nih.gov/nuccore/CP000304.1?report=graph&amp;tracks=[key:gene_model_track,Options:GeneOnly]&amp;mk=4149865:4149884|offset_41|444444,4149839:4149858|offset_67|444444,4149803:4149822|offset_103|00cc00,4149770:4149789|offset_136|444444&amp;v=4149664:4149989&amp;c=444444", "offset 103")</f>
        <v>offset 103</v>
      </c>
    </row>
    <row r="14698" customFormat="false" ht="12.8" hidden="false" customHeight="false" outlineLevel="0" collapsed="false">
      <c r="A14698" s="0" t="s">
        <v>12</v>
      </c>
      <c r="B14698" s="0" t="n">
        <v>4149769</v>
      </c>
      <c r="C14698" s="0" t="n">
        <v>4149789</v>
      </c>
      <c r="D14698" s="0" t="s">
        <v>48967</v>
      </c>
      <c r="E14698" s="0" t="s">
        <v>89</v>
      </c>
      <c r="F14698" s="0" t="s">
        <v>90</v>
      </c>
      <c r="G14698" s="0" t="s">
        <v>16</v>
      </c>
      <c r="H14698" s="0" t="n">
        <v>136</v>
      </c>
      <c r="I14698" s="0" t="s">
        <v>48977</v>
      </c>
      <c r="J14698" s="0" t="s">
        <v>48978</v>
      </c>
      <c r="K14698" s="0" t="s">
        <v>48979</v>
      </c>
      <c r="L14698" s="0" t="str">
        <f aca="false">HYPERLINK("https://www.ncbi.nlm.nih.gov/nuccore/CP000304.1?report=graph&amp;tracks=[key:gene_model_track,Options:GeneOnly]&amp;mk=4149865:4149884|offset_41|444444,4149839:4149858|offset_67|444444,4149803:4149822|offset_103|444444,4149770:4149789|offset_136|00cc00&amp;v=4149664:4149989&amp;c=444444", "offset 136")</f>
        <v>offset 136</v>
      </c>
    </row>
    <row r="14699" customFormat="false" ht="12.8" hidden="false" customHeight="false" outlineLevel="0" collapsed="false">
      <c r="A14699" s="0" t="s">
        <v>12</v>
      </c>
      <c r="B14699" s="0" t="n">
        <v>4150435</v>
      </c>
      <c r="C14699" s="0" t="n">
        <v>4150455</v>
      </c>
      <c r="D14699" s="0" t="s">
        <v>48980</v>
      </c>
      <c r="E14699" s="0" t="s">
        <v>89</v>
      </c>
      <c r="F14699" s="0" t="s">
        <v>90</v>
      </c>
      <c r="G14699" s="0" t="s">
        <v>32</v>
      </c>
      <c r="H14699" s="0" t="n">
        <v>48</v>
      </c>
      <c r="I14699" s="0" t="s">
        <v>48981</v>
      </c>
      <c r="J14699" s="0" t="s">
        <v>48982</v>
      </c>
      <c r="K14699" s="0" t="s">
        <v>48983</v>
      </c>
      <c r="L14699" s="0" t="str">
        <f aca="false">HYPERLINK("https://www.ncbi.nlm.nih.gov/nuccore/CP000304.1?report=graph&amp;tracks=[key:gene_model_track,Options:GeneOnly]&amp;mk=4150436:4150455|offset_48|00cc00,4150397:4150416|offset_87|444444,4150308:4150327|offset_176|444444,4150274:4150293|offset_210|444444&amp;v=4150235:4150493&amp;c=444444", "offset 48")</f>
        <v>offset 48</v>
      </c>
    </row>
    <row r="14700" customFormat="false" ht="12.8" hidden="false" customHeight="false" outlineLevel="0" collapsed="false">
      <c r="A14700" s="0" t="s">
        <v>12</v>
      </c>
      <c r="B14700" s="0" t="n">
        <v>4150396</v>
      </c>
      <c r="C14700" s="0" t="n">
        <v>4150416</v>
      </c>
      <c r="D14700" s="0" t="s">
        <v>48980</v>
      </c>
      <c r="E14700" s="0" t="s">
        <v>89</v>
      </c>
      <c r="F14700" s="0" t="s">
        <v>90</v>
      </c>
      <c r="G14700" s="0" t="s">
        <v>36</v>
      </c>
      <c r="H14700" s="0" t="n">
        <v>87</v>
      </c>
      <c r="I14700" s="0" t="s">
        <v>48984</v>
      </c>
      <c r="J14700" s="0" t="s">
        <v>48985</v>
      </c>
      <c r="K14700" s="0" t="s">
        <v>48986</v>
      </c>
      <c r="L14700" s="0" t="str">
        <f aca="false">HYPERLINK("https://www.ncbi.nlm.nih.gov/nuccore/CP000304.1?report=graph&amp;tracks=[key:gene_model_track,Options:GeneOnly]&amp;mk=4150436:4150455|offset_48|444444,4150397:4150416|offset_87|00cc00,4150308:4150327|offset_176|444444,4150274:4150293|offset_210|444444&amp;v=4150235:4150493&amp;c=444444", "offset 87")</f>
        <v>offset 87</v>
      </c>
    </row>
    <row r="14701" customFormat="false" ht="12.8" hidden="false" customHeight="false" outlineLevel="0" collapsed="false">
      <c r="A14701" s="0" t="s">
        <v>12</v>
      </c>
      <c r="B14701" s="0" t="n">
        <v>4150307</v>
      </c>
      <c r="C14701" s="0" t="n">
        <v>4150327</v>
      </c>
      <c r="D14701" s="0" t="s">
        <v>48980</v>
      </c>
      <c r="E14701" s="0" t="s">
        <v>89</v>
      </c>
      <c r="F14701" s="0" t="s">
        <v>90</v>
      </c>
      <c r="G14701" s="0" t="s">
        <v>32</v>
      </c>
      <c r="H14701" s="0" t="n">
        <v>176</v>
      </c>
      <c r="I14701" s="0" t="s">
        <v>48987</v>
      </c>
      <c r="J14701" s="0" t="s">
        <v>48988</v>
      </c>
      <c r="K14701" s="0" t="s">
        <v>48989</v>
      </c>
      <c r="L14701" s="0" t="str">
        <f aca="false">HYPERLINK("https://www.ncbi.nlm.nih.gov/nuccore/CP000304.1?report=graph&amp;tracks=[key:gene_model_track,Options:GeneOnly]&amp;mk=4150436:4150455|offset_48|444444,4150397:4150416|offset_87|444444,4150308:4150327|offset_176|00cc00,4150274:4150293|offset_210|444444&amp;v=4150235:4150493&amp;c=444444", "offset 176")</f>
        <v>offset 176</v>
      </c>
    </row>
    <row r="14702" customFormat="false" ht="12.8" hidden="false" customHeight="false" outlineLevel="0" collapsed="false">
      <c r="A14702" s="0" t="s">
        <v>12</v>
      </c>
      <c r="B14702" s="0" t="n">
        <v>4150273</v>
      </c>
      <c r="C14702" s="0" t="n">
        <v>4150293</v>
      </c>
      <c r="D14702" s="0" t="s">
        <v>48980</v>
      </c>
      <c r="E14702" s="0" t="s">
        <v>89</v>
      </c>
      <c r="F14702" s="0" t="s">
        <v>90</v>
      </c>
      <c r="G14702" s="0" t="s">
        <v>36</v>
      </c>
      <c r="H14702" s="0" t="n">
        <v>210</v>
      </c>
      <c r="I14702" s="0" t="s">
        <v>48990</v>
      </c>
      <c r="J14702" s="0" t="s">
        <v>48991</v>
      </c>
      <c r="K14702" s="0" t="s">
        <v>48992</v>
      </c>
      <c r="L14702" s="0" t="str">
        <f aca="false">HYPERLINK("https://www.ncbi.nlm.nih.gov/nuccore/CP000304.1?report=graph&amp;tracks=[key:gene_model_track,Options:GeneOnly]&amp;mk=4150436:4150455|offset_48|444444,4150397:4150416|offset_87|444444,4150308:4150327|offset_176|444444,4150274:4150293|offset_210|00cc00&amp;v=4150235:4150493&amp;c=444444", "offset 210")</f>
        <v>offset 210</v>
      </c>
    </row>
    <row r="14703" customFormat="false" ht="12.8" hidden="false" customHeight="false" outlineLevel="0" collapsed="false">
      <c r="A14703" s="0" t="s">
        <v>12</v>
      </c>
      <c r="B14703" s="0" t="n">
        <v>4151609</v>
      </c>
      <c r="C14703" s="0" t="n">
        <v>4151629</v>
      </c>
      <c r="D14703" s="0" t="s">
        <v>48993</v>
      </c>
      <c r="E14703" s="0" t="s">
        <v>89</v>
      </c>
      <c r="F14703" s="0" t="s">
        <v>90</v>
      </c>
      <c r="G14703" s="0" t="s">
        <v>32</v>
      </c>
      <c r="H14703" s="0" t="n">
        <v>1</v>
      </c>
      <c r="I14703" s="0" t="s">
        <v>48994</v>
      </c>
      <c r="J14703" s="0" t="s">
        <v>48995</v>
      </c>
      <c r="K14703" s="0" t="s">
        <v>48996</v>
      </c>
      <c r="L14703" s="0" t="str">
        <f aca="false">HYPERLINK("https://www.ncbi.nlm.nih.gov/nuccore/CP000304.1?report=graph&amp;tracks=[key:gene_model_track,Options:GeneOnly]&amp;mk=4151610:4151629|offset_1|00cc00,4151565:4151584|offset_46|444444,4151541:4151560|offset_70|444444,4151520:4151539|offset_91|444444&amp;v=4151409:4151739&amp;c=444444", "offset 1")</f>
        <v>offset 1</v>
      </c>
    </row>
    <row r="14704" customFormat="false" ht="12.8" hidden="false" customHeight="false" outlineLevel="0" collapsed="false">
      <c r="A14704" s="0" t="s">
        <v>12</v>
      </c>
      <c r="B14704" s="0" t="n">
        <v>4151564</v>
      </c>
      <c r="C14704" s="0" t="n">
        <v>4151584</v>
      </c>
      <c r="D14704" s="0" t="s">
        <v>48993</v>
      </c>
      <c r="E14704" s="0" t="s">
        <v>89</v>
      </c>
      <c r="F14704" s="0" t="s">
        <v>90</v>
      </c>
      <c r="G14704" s="0" t="s">
        <v>16</v>
      </c>
      <c r="H14704" s="0" t="n">
        <v>46</v>
      </c>
      <c r="I14704" s="0" t="s">
        <v>48997</v>
      </c>
      <c r="J14704" s="0" t="s">
        <v>48998</v>
      </c>
      <c r="K14704" s="0" t="s">
        <v>48999</v>
      </c>
      <c r="L14704" s="0" t="str">
        <f aca="false">HYPERLINK("https://www.ncbi.nlm.nih.gov/nuccore/CP000304.1?report=graph&amp;tracks=[key:gene_model_track,Options:GeneOnly]&amp;mk=4151610:4151629|offset_1|444444,4151565:4151584|offset_46|00cc00,4151541:4151560|offset_70|444444,4151520:4151539|offset_91|444444&amp;v=4151409:4151739&amp;c=444444", "offset 46")</f>
        <v>offset 46</v>
      </c>
    </row>
    <row r="14705" customFormat="false" ht="12.8" hidden="false" customHeight="false" outlineLevel="0" collapsed="false">
      <c r="A14705" s="0" t="s">
        <v>12</v>
      </c>
      <c r="B14705" s="0" t="n">
        <v>4151540</v>
      </c>
      <c r="C14705" s="0" t="n">
        <v>4151560</v>
      </c>
      <c r="D14705" s="0" t="s">
        <v>48993</v>
      </c>
      <c r="E14705" s="0" t="s">
        <v>89</v>
      </c>
      <c r="F14705" s="0" t="s">
        <v>90</v>
      </c>
      <c r="G14705" s="0" t="s">
        <v>36</v>
      </c>
      <c r="H14705" s="0" t="n">
        <v>70</v>
      </c>
      <c r="I14705" s="0" t="s">
        <v>49000</v>
      </c>
      <c r="J14705" s="0" t="s">
        <v>49001</v>
      </c>
      <c r="K14705" s="0" t="s">
        <v>49002</v>
      </c>
      <c r="L14705" s="0" t="str">
        <f aca="false">HYPERLINK("https://www.ncbi.nlm.nih.gov/nuccore/CP000304.1?report=graph&amp;tracks=[key:gene_model_track,Options:GeneOnly]&amp;mk=4151610:4151629|offset_1|444444,4151565:4151584|offset_46|444444,4151541:4151560|offset_70|00cc00,4151520:4151539|offset_91|444444&amp;v=4151409:4151739&amp;c=444444", "offset 70")</f>
        <v>offset 70</v>
      </c>
    </row>
    <row r="14706" customFormat="false" ht="12.8" hidden="false" customHeight="false" outlineLevel="0" collapsed="false">
      <c r="A14706" s="0" t="s">
        <v>12</v>
      </c>
      <c r="B14706" s="0" t="n">
        <v>4151519</v>
      </c>
      <c r="C14706" s="0" t="n">
        <v>4151539</v>
      </c>
      <c r="D14706" s="0" t="s">
        <v>48993</v>
      </c>
      <c r="E14706" s="0" t="s">
        <v>89</v>
      </c>
      <c r="F14706" s="0" t="s">
        <v>90</v>
      </c>
      <c r="G14706" s="0" t="s">
        <v>36</v>
      </c>
      <c r="H14706" s="0" t="n">
        <v>91</v>
      </c>
      <c r="I14706" s="0" t="s">
        <v>49003</v>
      </c>
      <c r="J14706" s="0" t="s">
        <v>49004</v>
      </c>
      <c r="K14706" s="0" t="s">
        <v>49005</v>
      </c>
      <c r="L14706" s="0" t="str">
        <f aca="false">HYPERLINK("https://www.ncbi.nlm.nih.gov/nuccore/CP000304.1?report=graph&amp;tracks=[key:gene_model_track,Options:GeneOnly]&amp;mk=4151610:4151629|offset_1|444444,4151565:4151584|offset_46|444444,4151541:4151560|offset_70|444444,4151520:4151539|offset_91|00cc00&amp;v=4151409:4151739&amp;c=444444", "offset 91")</f>
        <v>offset 91</v>
      </c>
    </row>
    <row r="14707" customFormat="false" ht="12.8" hidden="false" customHeight="false" outlineLevel="0" collapsed="false">
      <c r="A14707" s="0" t="s">
        <v>12</v>
      </c>
      <c r="B14707" s="0" t="n">
        <v>4152290</v>
      </c>
      <c r="C14707" s="0" t="n">
        <v>4152310</v>
      </c>
      <c r="D14707" s="0" t="s">
        <v>49006</v>
      </c>
      <c r="E14707" s="0" t="s">
        <v>89</v>
      </c>
      <c r="F14707" s="0" t="s">
        <v>90</v>
      </c>
      <c r="G14707" s="0" t="s">
        <v>36</v>
      </c>
      <c r="H14707" s="0" t="n">
        <v>21</v>
      </c>
      <c r="I14707" s="0" t="s">
        <v>49007</v>
      </c>
      <c r="J14707" s="0" t="s">
        <v>49008</v>
      </c>
      <c r="K14707" s="0" t="s">
        <v>49009</v>
      </c>
      <c r="L14707" s="0" t="str">
        <f aca="false">HYPERLINK("https://www.ncbi.nlm.nih.gov/nuccore/CP000304.1?report=graph&amp;tracks=[key:gene_model_track,Options:GeneOnly]&amp;mk=4152291:4152310|offset_21|00cc00,4152265:4152284|offset_47|444444,4152231:4152250|offset_81|444444,4152181:4152200|offset_131|444444&amp;v=4152090:4152400&amp;c=444444", "offset 21")</f>
        <v>offset 21</v>
      </c>
    </row>
    <row r="14708" customFormat="false" ht="12.8" hidden="false" customHeight="false" outlineLevel="0" collapsed="false">
      <c r="A14708" s="0" t="s">
        <v>12</v>
      </c>
      <c r="B14708" s="0" t="n">
        <v>4152264</v>
      </c>
      <c r="C14708" s="0" t="n">
        <v>4152284</v>
      </c>
      <c r="D14708" s="0" t="s">
        <v>49006</v>
      </c>
      <c r="E14708" s="0" t="s">
        <v>89</v>
      </c>
      <c r="F14708" s="0" t="s">
        <v>90</v>
      </c>
      <c r="G14708" s="0" t="s">
        <v>36</v>
      </c>
      <c r="H14708" s="0" t="n">
        <v>47</v>
      </c>
      <c r="I14708" s="0" t="s">
        <v>49010</v>
      </c>
      <c r="J14708" s="0" t="s">
        <v>49011</v>
      </c>
      <c r="K14708" s="0" t="s">
        <v>49012</v>
      </c>
      <c r="L14708" s="0" t="str">
        <f aca="false">HYPERLINK("https://www.ncbi.nlm.nih.gov/nuccore/CP000304.1?report=graph&amp;tracks=[key:gene_model_track,Options:GeneOnly]&amp;mk=4152291:4152310|offset_21|444444,4152265:4152284|offset_47|00cc00,4152231:4152250|offset_81|444444,4152181:4152200|offset_131|444444&amp;v=4152090:4152400&amp;c=444444", "offset 47")</f>
        <v>offset 47</v>
      </c>
    </row>
    <row r="14709" customFormat="false" ht="12.8" hidden="false" customHeight="false" outlineLevel="0" collapsed="false">
      <c r="A14709" s="0" t="s">
        <v>12</v>
      </c>
      <c r="B14709" s="0" t="n">
        <v>4152230</v>
      </c>
      <c r="C14709" s="0" t="n">
        <v>4152250</v>
      </c>
      <c r="D14709" s="0" t="s">
        <v>49006</v>
      </c>
      <c r="E14709" s="0" t="s">
        <v>89</v>
      </c>
      <c r="F14709" s="0" t="s">
        <v>90</v>
      </c>
      <c r="G14709" s="0" t="s">
        <v>16</v>
      </c>
      <c r="H14709" s="0" t="n">
        <v>81</v>
      </c>
      <c r="I14709" s="0" t="s">
        <v>49013</v>
      </c>
      <c r="J14709" s="0" t="s">
        <v>49014</v>
      </c>
      <c r="K14709" s="0" t="s">
        <v>49015</v>
      </c>
      <c r="L14709" s="0" t="str">
        <f aca="false">HYPERLINK("https://www.ncbi.nlm.nih.gov/nuccore/CP000304.1?report=graph&amp;tracks=[key:gene_model_track,Options:GeneOnly]&amp;mk=4152291:4152310|offset_21|444444,4152265:4152284|offset_47|444444,4152231:4152250|offset_81|00cc00,4152181:4152200|offset_131|444444&amp;v=4152090:4152400&amp;c=444444", "offset 81")</f>
        <v>offset 81</v>
      </c>
    </row>
    <row r="14710" customFormat="false" ht="12.8" hidden="false" customHeight="false" outlineLevel="0" collapsed="false">
      <c r="A14710" s="0" t="s">
        <v>12</v>
      </c>
      <c r="B14710" s="0" t="n">
        <v>4152180</v>
      </c>
      <c r="C14710" s="0" t="n">
        <v>4152200</v>
      </c>
      <c r="D14710" s="0" t="s">
        <v>49006</v>
      </c>
      <c r="E14710" s="0" t="s">
        <v>89</v>
      </c>
      <c r="F14710" s="0" t="s">
        <v>90</v>
      </c>
      <c r="G14710" s="0" t="s">
        <v>16</v>
      </c>
      <c r="H14710" s="0" t="n">
        <v>131</v>
      </c>
      <c r="I14710" s="0" t="s">
        <v>49016</v>
      </c>
      <c r="J14710" s="0" t="s">
        <v>49017</v>
      </c>
      <c r="K14710" s="0" t="s">
        <v>49018</v>
      </c>
      <c r="L14710" s="0" t="str">
        <f aca="false">HYPERLINK("https://www.ncbi.nlm.nih.gov/nuccore/CP000304.1?report=graph&amp;tracks=[key:gene_model_track,Options:GeneOnly]&amp;mk=4152291:4152310|offset_21|444444,4152265:4152284|offset_47|444444,4152231:4152250|offset_81|444444,4152181:4152200|offset_131|00cc00&amp;v=4152090:4152400&amp;c=444444", "offset 131")</f>
        <v>offset 131</v>
      </c>
    </row>
    <row r="14711" customFormat="false" ht="12.8" hidden="false" customHeight="false" outlineLevel="0" collapsed="false">
      <c r="A14711" s="0" t="s">
        <v>12</v>
      </c>
      <c r="B14711" s="0" t="n">
        <v>4153459</v>
      </c>
      <c r="C14711" s="0" t="n">
        <v>4153479</v>
      </c>
      <c r="D14711" s="0" t="s">
        <v>49019</v>
      </c>
      <c r="E14711" s="0" t="s">
        <v>49020</v>
      </c>
      <c r="F14711" s="0" t="s">
        <v>90</v>
      </c>
      <c r="G14711" s="0" t="s">
        <v>36</v>
      </c>
      <c r="H14711" s="0" t="n">
        <v>9</v>
      </c>
      <c r="I14711" s="0" t="s">
        <v>49021</v>
      </c>
      <c r="J14711" s="0" t="s">
        <v>49022</v>
      </c>
      <c r="K14711" s="0" t="s">
        <v>49023</v>
      </c>
      <c r="L14711" s="0" t="str">
        <f aca="false">HYPERLINK("https://www.ncbi.nlm.nih.gov/nuccore/CP000304.1?report=graph&amp;tracks=[key:gene_model_track,Options:GeneOnly]&amp;mk=4153460:4153479|offset_9|00cc00,4153438:4153457|offset_31|444444,4153392:4153411|offset_77|444444,4153354:4153373|offset_115|444444&amp;v=4153259:4153573&amp;c=444444", "offset 9")</f>
        <v>offset 9</v>
      </c>
    </row>
    <row r="14712" customFormat="false" ht="12.8" hidden="false" customHeight="false" outlineLevel="0" collapsed="false">
      <c r="A14712" s="0" t="s">
        <v>12</v>
      </c>
      <c r="B14712" s="0" t="n">
        <v>4153437</v>
      </c>
      <c r="C14712" s="0" t="n">
        <v>4153457</v>
      </c>
      <c r="D14712" s="0" t="s">
        <v>49019</v>
      </c>
      <c r="E14712" s="0" t="s">
        <v>49020</v>
      </c>
      <c r="F14712" s="0" t="s">
        <v>90</v>
      </c>
      <c r="G14712" s="0" t="s">
        <v>36</v>
      </c>
      <c r="H14712" s="0" t="n">
        <v>31</v>
      </c>
      <c r="I14712" s="0" t="s">
        <v>49024</v>
      </c>
      <c r="J14712" s="0" t="s">
        <v>49025</v>
      </c>
      <c r="K14712" s="0" t="s">
        <v>49026</v>
      </c>
      <c r="L14712" s="0" t="str">
        <f aca="false">HYPERLINK("https://www.ncbi.nlm.nih.gov/nuccore/CP000304.1?report=graph&amp;tracks=[key:gene_model_track,Options:GeneOnly]&amp;mk=4153460:4153479|offset_9|444444,4153438:4153457|offset_31|00cc00,4153392:4153411|offset_77|444444,4153354:4153373|offset_115|444444&amp;v=4153259:4153573&amp;c=444444", "offset 31")</f>
        <v>offset 31</v>
      </c>
    </row>
    <row r="14713" customFormat="false" ht="12.8" hidden="false" customHeight="false" outlineLevel="0" collapsed="false">
      <c r="A14713" s="0" t="s">
        <v>12</v>
      </c>
      <c r="B14713" s="0" t="n">
        <v>4153391</v>
      </c>
      <c r="C14713" s="0" t="n">
        <v>4153411</v>
      </c>
      <c r="D14713" s="0" t="s">
        <v>49019</v>
      </c>
      <c r="E14713" s="0" t="s">
        <v>49020</v>
      </c>
      <c r="F14713" s="0" t="s">
        <v>90</v>
      </c>
      <c r="G14713" s="0" t="s">
        <v>26</v>
      </c>
      <c r="H14713" s="0" t="n">
        <v>77</v>
      </c>
      <c r="I14713" s="0" t="s">
        <v>49027</v>
      </c>
      <c r="J14713" s="0" t="s">
        <v>49028</v>
      </c>
      <c r="K14713" s="0" t="s">
        <v>49029</v>
      </c>
      <c r="L14713" s="0" t="str">
        <f aca="false">HYPERLINK("https://www.ncbi.nlm.nih.gov/nuccore/CP000304.1?report=graph&amp;tracks=[key:gene_model_track,Options:GeneOnly]&amp;mk=4153460:4153479|offset_9|444444,4153438:4153457|offset_31|444444,4153392:4153411|offset_77|00cc00,4153354:4153373|offset_115|444444&amp;v=4153259:4153573&amp;c=444444", "offset 77")</f>
        <v>offset 77</v>
      </c>
    </row>
    <row r="14714" customFormat="false" ht="12.8" hidden="false" customHeight="false" outlineLevel="0" collapsed="false">
      <c r="A14714" s="0" t="s">
        <v>12</v>
      </c>
      <c r="B14714" s="0" t="n">
        <v>4153353</v>
      </c>
      <c r="C14714" s="0" t="n">
        <v>4153373</v>
      </c>
      <c r="D14714" s="0" t="s">
        <v>49019</v>
      </c>
      <c r="E14714" s="0" t="s">
        <v>49020</v>
      </c>
      <c r="F14714" s="0" t="s">
        <v>90</v>
      </c>
      <c r="G14714" s="0" t="s">
        <v>16</v>
      </c>
      <c r="H14714" s="0" t="n">
        <v>115</v>
      </c>
      <c r="I14714" s="0" t="s">
        <v>49030</v>
      </c>
      <c r="J14714" s="0" t="s">
        <v>49031</v>
      </c>
      <c r="K14714" s="0" t="s">
        <v>49032</v>
      </c>
      <c r="L14714" s="0" t="str">
        <f aca="false">HYPERLINK("https://www.ncbi.nlm.nih.gov/nuccore/CP000304.1?report=graph&amp;tracks=[key:gene_model_track,Options:GeneOnly]&amp;mk=4153460:4153479|offset_9|444444,4153438:4153457|offset_31|444444,4153392:4153411|offset_77|444444,4153354:4153373|offset_115|00cc00&amp;v=4153259:4153573&amp;c=444444", "offset 115")</f>
        <v>offset 115</v>
      </c>
    </row>
    <row r="14715" customFormat="false" ht="12.8" hidden="false" customHeight="false" outlineLevel="0" collapsed="false">
      <c r="A14715" s="0" t="s">
        <v>12</v>
      </c>
      <c r="B14715" s="0" t="n">
        <v>4154328</v>
      </c>
      <c r="C14715" s="0" t="n">
        <v>4154348</v>
      </c>
      <c r="D14715" s="0" t="s">
        <v>49033</v>
      </c>
      <c r="E14715" s="0" t="s">
        <v>89</v>
      </c>
      <c r="F14715" s="0" t="s">
        <v>90</v>
      </c>
      <c r="G14715" s="0" t="s">
        <v>32</v>
      </c>
      <c r="H14715" s="0" t="n">
        <v>7</v>
      </c>
      <c r="I14715" s="0" t="s">
        <v>49034</v>
      </c>
      <c r="J14715" s="0" t="s">
        <v>49035</v>
      </c>
      <c r="K14715" s="0" t="s">
        <v>49036</v>
      </c>
      <c r="L14715" s="0" t="str">
        <f aca="false">HYPERLINK("https://www.ncbi.nlm.nih.gov/nuccore/CP000304.1?report=graph&amp;tracks=[key:gene_model_track,Options:GeneOnly]&amp;mk=4154329:4154348|offset_7|00cc00,4154259:4154278|offset_77|444444,4154215:4154234|offset_121|444444,4154187:4154206|offset_149|444444&amp;v=4154128:4154406&amp;c=444444", "offset 7")</f>
        <v>offset 7</v>
      </c>
    </row>
    <row r="14716" customFormat="false" ht="12.8" hidden="false" customHeight="false" outlineLevel="0" collapsed="false">
      <c r="A14716" s="0" t="s">
        <v>12</v>
      </c>
      <c r="B14716" s="0" t="n">
        <v>4154258</v>
      </c>
      <c r="C14716" s="0" t="n">
        <v>4154278</v>
      </c>
      <c r="D14716" s="0" t="s">
        <v>49033</v>
      </c>
      <c r="E14716" s="0" t="s">
        <v>89</v>
      </c>
      <c r="F14716" s="0" t="s">
        <v>90</v>
      </c>
      <c r="G14716" s="0" t="s">
        <v>16</v>
      </c>
      <c r="H14716" s="0" t="n">
        <v>77</v>
      </c>
      <c r="I14716" s="0" t="s">
        <v>49037</v>
      </c>
      <c r="J14716" s="0" t="s">
        <v>49038</v>
      </c>
      <c r="K14716" s="0" t="s">
        <v>49039</v>
      </c>
      <c r="L14716" s="0" t="str">
        <f aca="false">HYPERLINK("https://www.ncbi.nlm.nih.gov/nuccore/CP000304.1?report=graph&amp;tracks=[key:gene_model_track,Options:GeneOnly]&amp;mk=4154329:4154348|offset_7|444444,4154259:4154278|offset_77|00cc00,4154215:4154234|offset_121|444444,4154187:4154206|offset_149|444444&amp;v=4154128:4154406&amp;c=444444", "offset 77")</f>
        <v>offset 77</v>
      </c>
    </row>
    <row r="14717" customFormat="false" ht="12.8" hidden="false" customHeight="false" outlineLevel="0" collapsed="false">
      <c r="A14717" s="0" t="s">
        <v>12</v>
      </c>
      <c r="B14717" s="0" t="n">
        <v>4154214</v>
      </c>
      <c r="C14717" s="0" t="n">
        <v>4154234</v>
      </c>
      <c r="D14717" s="0" t="s">
        <v>49033</v>
      </c>
      <c r="E14717" s="0" t="s">
        <v>89</v>
      </c>
      <c r="F14717" s="0" t="s">
        <v>90</v>
      </c>
      <c r="G14717" s="0" t="s">
        <v>32</v>
      </c>
      <c r="H14717" s="0" t="n">
        <v>121</v>
      </c>
      <c r="I14717" s="0" t="s">
        <v>49040</v>
      </c>
      <c r="J14717" s="0" t="s">
        <v>49041</v>
      </c>
      <c r="K14717" s="0" t="s">
        <v>49042</v>
      </c>
      <c r="L14717" s="0" t="str">
        <f aca="false">HYPERLINK("https://www.ncbi.nlm.nih.gov/nuccore/CP000304.1?report=graph&amp;tracks=[key:gene_model_track,Options:GeneOnly]&amp;mk=4154329:4154348|offset_7|444444,4154259:4154278|offset_77|444444,4154215:4154234|offset_121|00cc00,4154187:4154206|offset_149|444444&amp;v=4154128:4154406&amp;c=444444", "offset 121")</f>
        <v>offset 121</v>
      </c>
    </row>
    <row r="14718" customFormat="false" ht="12.8" hidden="false" customHeight="false" outlineLevel="0" collapsed="false">
      <c r="A14718" s="0" t="s">
        <v>12</v>
      </c>
      <c r="B14718" s="0" t="n">
        <v>4154186</v>
      </c>
      <c r="C14718" s="0" t="n">
        <v>4154206</v>
      </c>
      <c r="D14718" s="0" t="s">
        <v>49033</v>
      </c>
      <c r="E14718" s="0" t="s">
        <v>89</v>
      </c>
      <c r="F14718" s="0" t="s">
        <v>90</v>
      </c>
      <c r="G14718" s="0" t="s">
        <v>36</v>
      </c>
      <c r="H14718" s="0" t="n">
        <v>149</v>
      </c>
      <c r="I14718" s="0" t="s">
        <v>49043</v>
      </c>
      <c r="J14718" s="0" t="s">
        <v>49044</v>
      </c>
      <c r="K14718" s="0" t="s">
        <v>49045</v>
      </c>
      <c r="L14718" s="0" t="str">
        <f aca="false">HYPERLINK("https://www.ncbi.nlm.nih.gov/nuccore/CP000304.1?report=graph&amp;tracks=[key:gene_model_track,Options:GeneOnly]&amp;mk=4154329:4154348|offset_7|444444,4154259:4154278|offset_77|444444,4154215:4154234|offset_121|444444,4154187:4154206|offset_149|00cc00&amp;v=4154128:4154406&amp;c=444444", "offset 149")</f>
        <v>offset 149</v>
      </c>
    </row>
    <row r="14719" customFormat="false" ht="12.8" hidden="false" customHeight="false" outlineLevel="0" collapsed="false">
      <c r="A14719" s="0" t="s">
        <v>12</v>
      </c>
      <c r="B14719" s="0" t="n">
        <v>4155541</v>
      </c>
      <c r="C14719" s="0" t="n">
        <v>4155561</v>
      </c>
      <c r="D14719" s="0" t="s">
        <v>49046</v>
      </c>
      <c r="E14719" s="0" t="s">
        <v>89</v>
      </c>
      <c r="F14719" s="0" t="s">
        <v>90</v>
      </c>
      <c r="G14719" s="0" t="s">
        <v>32</v>
      </c>
      <c r="H14719" s="0" t="n">
        <v>35</v>
      </c>
      <c r="I14719" s="0" t="s">
        <v>49047</v>
      </c>
      <c r="J14719" s="0" t="s">
        <v>49048</v>
      </c>
      <c r="K14719" s="0" t="s">
        <v>49049</v>
      </c>
      <c r="L14719" s="0" t="str">
        <f aca="false">HYPERLINK("https://www.ncbi.nlm.nih.gov/nuccore/CP000304.1?report=graph&amp;tracks=[key:gene_model_track,Options:GeneOnly]&amp;mk=4155542:4155561|offset_35|00cc00,4155513:4155532|offset_64|444444,4155486:4155505|offset_91|444444,4155445:4155464|offset_132|444444&amp;v=4155341:4155664&amp;c=444444", "offset 35")</f>
        <v>offset 35</v>
      </c>
    </row>
    <row r="14720" customFormat="false" ht="12.8" hidden="false" customHeight="false" outlineLevel="0" collapsed="false">
      <c r="A14720" s="0" t="s">
        <v>12</v>
      </c>
      <c r="B14720" s="0" t="n">
        <v>4155512</v>
      </c>
      <c r="C14720" s="0" t="n">
        <v>4155532</v>
      </c>
      <c r="D14720" s="0" t="s">
        <v>49046</v>
      </c>
      <c r="E14720" s="0" t="s">
        <v>89</v>
      </c>
      <c r="F14720" s="0" t="s">
        <v>90</v>
      </c>
      <c r="G14720" s="0" t="s">
        <v>16</v>
      </c>
      <c r="H14720" s="0" t="n">
        <v>64</v>
      </c>
      <c r="I14720" s="0" t="s">
        <v>49050</v>
      </c>
      <c r="J14720" s="0" t="s">
        <v>49051</v>
      </c>
      <c r="K14720" s="0" t="s">
        <v>49052</v>
      </c>
      <c r="L14720" s="0" t="str">
        <f aca="false">HYPERLINK("https://www.ncbi.nlm.nih.gov/nuccore/CP000304.1?report=graph&amp;tracks=[key:gene_model_track,Options:GeneOnly]&amp;mk=4155542:4155561|offset_35|444444,4155513:4155532|offset_64|00cc00,4155486:4155505|offset_91|444444,4155445:4155464|offset_132|444444&amp;v=4155341:4155664&amp;c=444444", "offset 64")</f>
        <v>offset 64</v>
      </c>
    </row>
    <row r="14721" customFormat="false" ht="12.8" hidden="false" customHeight="false" outlineLevel="0" collapsed="false">
      <c r="A14721" s="0" t="s">
        <v>12</v>
      </c>
      <c r="B14721" s="0" t="n">
        <v>4155485</v>
      </c>
      <c r="C14721" s="0" t="n">
        <v>4155505</v>
      </c>
      <c r="D14721" s="0" t="s">
        <v>49046</v>
      </c>
      <c r="E14721" s="0" t="s">
        <v>89</v>
      </c>
      <c r="F14721" s="0" t="s">
        <v>90</v>
      </c>
      <c r="G14721" s="0" t="s">
        <v>32</v>
      </c>
      <c r="H14721" s="0" t="n">
        <v>91</v>
      </c>
      <c r="I14721" s="0" t="s">
        <v>49053</v>
      </c>
      <c r="J14721" s="0" t="s">
        <v>49054</v>
      </c>
      <c r="K14721" s="0" t="s">
        <v>49055</v>
      </c>
      <c r="L14721" s="0" t="str">
        <f aca="false">HYPERLINK("https://www.ncbi.nlm.nih.gov/nuccore/CP000304.1?report=graph&amp;tracks=[key:gene_model_track,Options:GeneOnly]&amp;mk=4155542:4155561|offset_35|444444,4155513:4155532|offset_64|444444,4155486:4155505|offset_91|00cc00,4155445:4155464|offset_132|444444&amp;v=4155341:4155664&amp;c=444444", "offset 91")</f>
        <v>offset 91</v>
      </c>
    </row>
    <row r="14722" customFormat="false" ht="12.8" hidden="false" customHeight="false" outlineLevel="0" collapsed="false">
      <c r="A14722" s="0" t="s">
        <v>12</v>
      </c>
      <c r="B14722" s="0" t="n">
        <v>4155444</v>
      </c>
      <c r="C14722" s="0" t="n">
        <v>4155464</v>
      </c>
      <c r="D14722" s="0" t="s">
        <v>49046</v>
      </c>
      <c r="E14722" s="0" t="s">
        <v>89</v>
      </c>
      <c r="F14722" s="0" t="s">
        <v>90</v>
      </c>
      <c r="G14722" s="0" t="s">
        <v>26</v>
      </c>
      <c r="H14722" s="0" t="n">
        <v>132</v>
      </c>
      <c r="I14722" s="0" t="s">
        <v>49056</v>
      </c>
      <c r="J14722" s="0" t="s">
        <v>49057</v>
      </c>
      <c r="K14722" s="0" t="s">
        <v>49058</v>
      </c>
      <c r="L14722" s="0" t="str">
        <f aca="false">HYPERLINK("https://www.ncbi.nlm.nih.gov/nuccore/CP000304.1?report=graph&amp;tracks=[key:gene_model_track,Options:GeneOnly]&amp;mk=4155542:4155561|offset_35|444444,4155513:4155532|offset_64|444444,4155486:4155505|offset_91|444444,4155445:4155464|offset_132|00cc00&amp;v=4155341:4155664&amp;c=444444", "offset 132")</f>
        <v>offset 132</v>
      </c>
    </row>
    <row r="14723" customFormat="false" ht="12.8" hidden="false" customHeight="false" outlineLevel="0" collapsed="false">
      <c r="A14723" s="0" t="s">
        <v>12</v>
      </c>
      <c r="B14723" s="0" t="n">
        <v>4157377</v>
      </c>
      <c r="C14723" s="0" t="n">
        <v>4157397</v>
      </c>
      <c r="D14723" s="0" t="s">
        <v>49059</v>
      </c>
      <c r="E14723" s="0" t="s">
        <v>89</v>
      </c>
      <c r="F14723" s="0" t="s">
        <v>90</v>
      </c>
      <c r="G14723" s="0" t="s">
        <v>36</v>
      </c>
      <c r="H14723" s="0" t="n">
        <v>0</v>
      </c>
      <c r="I14723" s="0" t="s">
        <v>49060</v>
      </c>
      <c r="J14723" s="0" t="s">
        <v>49061</v>
      </c>
      <c r="K14723" s="0" t="s">
        <v>49062</v>
      </c>
      <c r="L14723" s="0" t="str">
        <f aca="false">HYPERLINK("https://www.ncbi.nlm.nih.gov/nuccore/CP000304.1?report=graph&amp;tracks=[key:gene_model_track,Options:GeneOnly]&amp;mk=4157378:4157397|offset_0|00cc00,4157355:4157374|offset_23|444444,4157330:4157349|offset_48|444444,4157290:4157309|offset_88|444444&amp;v=4157177:4157509&amp;c=444444", "offset 0")</f>
        <v>offset 0</v>
      </c>
    </row>
    <row r="14724" customFormat="false" ht="12.8" hidden="false" customHeight="false" outlineLevel="0" collapsed="false">
      <c r="A14724" s="0" t="s">
        <v>12</v>
      </c>
      <c r="B14724" s="0" t="n">
        <v>4157354</v>
      </c>
      <c r="C14724" s="0" t="n">
        <v>4157374</v>
      </c>
      <c r="D14724" s="0" t="s">
        <v>49059</v>
      </c>
      <c r="E14724" s="0" t="s">
        <v>89</v>
      </c>
      <c r="F14724" s="0" t="s">
        <v>90</v>
      </c>
      <c r="G14724" s="0" t="s">
        <v>26</v>
      </c>
      <c r="H14724" s="0" t="n">
        <v>23</v>
      </c>
      <c r="I14724" s="0" t="s">
        <v>49063</v>
      </c>
      <c r="J14724" s="0" t="s">
        <v>49064</v>
      </c>
      <c r="K14724" s="0" t="s">
        <v>49065</v>
      </c>
      <c r="L14724" s="0" t="str">
        <f aca="false">HYPERLINK("https://www.ncbi.nlm.nih.gov/nuccore/CP000304.1?report=graph&amp;tracks=[key:gene_model_track,Options:GeneOnly]&amp;mk=4157378:4157397|offset_0|444444,4157355:4157374|offset_23|00cc00,4157330:4157349|offset_48|444444,4157290:4157309|offset_88|444444&amp;v=4157177:4157509&amp;c=444444", "offset 23")</f>
        <v>offset 23</v>
      </c>
    </row>
    <row r="14725" customFormat="false" ht="12.8" hidden="false" customHeight="false" outlineLevel="0" collapsed="false">
      <c r="A14725" s="0" t="s">
        <v>12</v>
      </c>
      <c r="B14725" s="0" t="n">
        <v>4157329</v>
      </c>
      <c r="C14725" s="0" t="n">
        <v>4157349</v>
      </c>
      <c r="D14725" s="0" t="s">
        <v>49059</v>
      </c>
      <c r="E14725" s="0" t="s">
        <v>89</v>
      </c>
      <c r="F14725" s="0" t="s">
        <v>90</v>
      </c>
      <c r="G14725" s="0" t="s">
        <v>26</v>
      </c>
      <c r="H14725" s="0" t="n">
        <v>48</v>
      </c>
      <c r="I14725" s="0" t="s">
        <v>49066</v>
      </c>
      <c r="J14725" s="0" t="s">
        <v>49067</v>
      </c>
      <c r="K14725" s="0" t="s">
        <v>49068</v>
      </c>
      <c r="L14725" s="0" t="str">
        <f aca="false">HYPERLINK("https://www.ncbi.nlm.nih.gov/nuccore/CP000304.1?report=graph&amp;tracks=[key:gene_model_track,Options:GeneOnly]&amp;mk=4157378:4157397|offset_0|444444,4157355:4157374|offset_23|444444,4157330:4157349|offset_48|00cc00,4157290:4157309|offset_88|444444&amp;v=4157177:4157509&amp;c=444444", "offset 48")</f>
        <v>offset 48</v>
      </c>
    </row>
    <row r="14726" customFormat="false" ht="12.8" hidden="false" customHeight="false" outlineLevel="0" collapsed="false">
      <c r="A14726" s="0" t="s">
        <v>12</v>
      </c>
      <c r="B14726" s="0" t="n">
        <v>4157289</v>
      </c>
      <c r="C14726" s="0" t="n">
        <v>4157309</v>
      </c>
      <c r="D14726" s="0" t="s">
        <v>49059</v>
      </c>
      <c r="E14726" s="0" t="s">
        <v>89</v>
      </c>
      <c r="F14726" s="0" t="s">
        <v>90</v>
      </c>
      <c r="G14726" s="0" t="s">
        <v>16</v>
      </c>
      <c r="H14726" s="0" t="n">
        <v>88</v>
      </c>
      <c r="I14726" s="0" t="s">
        <v>49069</v>
      </c>
      <c r="J14726" s="0" t="s">
        <v>49070</v>
      </c>
      <c r="K14726" s="0" t="s">
        <v>49071</v>
      </c>
      <c r="L14726" s="0" t="str">
        <f aca="false">HYPERLINK("https://www.ncbi.nlm.nih.gov/nuccore/CP000304.1?report=graph&amp;tracks=[key:gene_model_track,Options:GeneOnly]&amp;mk=4157378:4157397|offset_0|444444,4157355:4157374|offset_23|444444,4157330:4157349|offset_48|444444,4157290:4157309|offset_88|00cc00&amp;v=4157177:4157509&amp;c=444444", "offset 88")</f>
        <v>offset 88</v>
      </c>
    </row>
    <row r="14727" customFormat="false" ht="12.8" hidden="false" customHeight="false" outlineLevel="0" collapsed="false">
      <c r="A14727" s="0" t="s">
        <v>12</v>
      </c>
      <c r="B14727" s="0" t="n">
        <v>4158904</v>
      </c>
      <c r="C14727" s="0" t="n">
        <v>4158924</v>
      </c>
      <c r="D14727" s="0" t="s">
        <v>49072</v>
      </c>
      <c r="E14727" s="0" t="s">
        <v>89</v>
      </c>
      <c r="F14727" s="0" t="s">
        <v>90</v>
      </c>
      <c r="G14727" s="0" t="s">
        <v>26</v>
      </c>
      <c r="H14727" s="0" t="n">
        <v>8</v>
      </c>
      <c r="I14727" s="0" t="s">
        <v>49073</v>
      </c>
      <c r="J14727" s="0" t="s">
        <v>49074</v>
      </c>
      <c r="K14727" s="0" t="s">
        <v>49075</v>
      </c>
      <c r="L14727" s="0" t="str">
        <f aca="false">HYPERLINK("https://www.ncbi.nlm.nih.gov/nuccore/CP000304.1?report=graph&amp;tracks=[key:gene_model_track,Options:GeneOnly]&amp;mk=4158905:4158924|offset_8|00cc00,4158885:4158904|offset_28|444444,4158865:4158884|offset_48|444444,4158843:4158862|offset_70|444444&amp;v=4158704:4159062&amp;c=444444", "offset 8")</f>
        <v>offset 8</v>
      </c>
    </row>
    <row r="14728" customFormat="false" ht="12.8" hidden="false" customHeight="false" outlineLevel="0" collapsed="false">
      <c r="A14728" s="0" t="s">
        <v>12</v>
      </c>
      <c r="B14728" s="0" t="n">
        <v>4158884</v>
      </c>
      <c r="C14728" s="0" t="n">
        <v>4158904</v>
      </c>
      <c r="D14728" s="0" t="s">
        <v>49072</v>
      </c>
      <c r="E14728" s="0" t="s">
        <v>89</v>
      </c>
      <c r="F14728" s="0" t="s">
        <v>90</v>
      </c>
      <c r="G14728" s="0" t="s">
        <v>16</v>
      </c>
      <c r="H14728" s="0" t="n">
        <v>28</v>
      </c>
      <c r="I14728" s="0" t="s">
        <v>49076</v>
      </c>
      <c r="J14728" s="0" t="s">
        <v>49077</v>
      </c>
      <c r="K14728" s="0" t="s">
        <v>49078</v>
      </c>
      <c r="L14728" s="0" t="str">
        <f aca="false">HYPERLINK("https://www.ncbi.nlm.nih.gov/nuccore/CP000304.1?report=graph&amp;tracks=[key:gene_model_track,Options:GeneOnly]&amp;mk=4158905:4158924|offset_8|444444,4158885:4158904|offset_28|00cc00,4158865:4158884|offset_48|444444,4158843:4158862|offset_70|444444&amp;v=4158704:4159062&amp;c=444444", "offset 28")</f>
        <v>offset 28</v>
      </c>
    </row>
    <row r="14729" customFormat="false" ht="12.8" hidden="false" customHeight="false" outlineLevel="0" collapsed="false">
      <c r="A14729" s="0" t="s">
        <v>12</v>
      </c>
      <c r="B14729" s="0" t="n">
        <v>4158864</v>
      </c>
      <c r="C14729" s="0" t="n">
        <v>4158884</v>
      </c>
      <c r="D14729" s="0" t="s">
        <v>49072</v>
      </c>
      <c r="E14729" s="0" t="s">
        <v>89</v>
      </c>
      <c r="F14729" s="0" t="s">
        <v>90</v>
      </c>
      <c r="G14729" s="0" t="s">
        <v>16</v>
      </c>
      <c r="H14729" s="0" t="n">
        <v>48</v>
      </c>
      <c r="I14729" s="0" t="s">
        <v>49079</v>
      </c>
      <c r="J14729" s="0" t="s">
        <v>49080</v>
      </c>
      <c r="K14729" s="0" t="s">
        <v>49081</v>
      </c>
      <c r="L14729" s="0" t="str">
        <f aca="false">HYPERLINK("https://www.ncbi.nlm.nih.gov/nuccore/CP000304.1?report=graph&amp;tracks=[key:gene_model_track,Options:GeneOnly]&amp;mk=4158905:4158924|offset_8|444444,4158885:4158904|offset_28|444444,4158865:4158884|offset_48|00cc00,4158843:4158862|offset_70|444444&amp;v=4158704:4159062&amp;c=444444", "offset 48")</f>
        <v>offset 48</v>
      </c>
    </row>
    <row r="14730" customFormat="false" ht="12.8" hidden="false" customHeight="false" outlineLevel="0" collapsed="false">
      <c r="A14730" s="0" t="s">
        <v>12</v>
      </c>
      <c r="B14730" s="0" t="n">
        <v>4158842</v>
      </c>
      <c r="C14730" s="0" t="n">
        <v>4158862</v>
      </c>
      <c r="D14730" s="0" t="s">
        <v>49072</v>
      </c>
      <c r="E14730" s="0" t="s">
        <v>89</v>
      </c>
      <c r="F14730" s="0" t="s">
        <v>90</v>
      </c>
      <c r="G14730" s="0" t="s">
        <v>16</v>
      </c>
      <c r="H14730" s="0" t="n">
        <v>70</v>
      </c>
      <c r="I14730" s="0" t="s">
        <v>49082</v>
      </c>
      <c r="J14730" s="0" t="s">
        <v>49083</v>
      </c>
      <c r="K14730" s="0" t="s">
        <v>49084</v>
      </c>
      <c r="L14730" s="0" t="str">
        <f aca="false">HYPERLINK("https://www.ncbi.nlm.nih.gov/nuccore/CP000304.1?report=graph&amp;tracks=[key:gene_model_track,Options:GeneOnly]&amp;mk=4158905:4158924|offset_8|444444,4158885:4158904|offset_28|444444,4158865:4158884|offset_48|444444,4158843:4158862|offset_70|00cc00&amp;v=4158704:4159062&amp;c=444444", "offset 70")</f>
        <v>offset 70</v>
      </c>
    </row>
    <row r="14731" customFormat="false" ht="12.8" hidden="false" customHeight="false" outlineLevel="0" collapsed="false">
      <c r="A14731" s="0" t="s">
        <v>12</v>
      </c>
      <c r="B14731" s="0" t="n">
        <v>4159559</v>
      </c>
      <c r="C14731" s="0" t="n">
        <v>4159579</v>
      </c>
      <c r="D14731" s="0" t="s">
        <v>49085</v>
      </c>
      <c r="E14731" s="0" t="s">
        <v>89</v>
      </c>
      <c r="F14731" s="0" t="s">
        <v>90</v>
      </c>
      <c r="G14731" s="0" t="s">
        <v>16</v>
      </c>
      <c r="H14731" s="0" t="n">
        <v>54</v>
      </c>
      <c r="I14731" s="0" t="s">
        <v>49086</v>
      </c>
      <c r="J14731" s="0" t="s">
        <v>49087</v>
      </c>
      <c r="K14731" s="0" t="s">
        <v>49088</v>
      </c>
      <c r="L14731" s="0" t="str">
        <f aca="false">HYPERLINK("https://www.ncbi.nlm.nih.gov/nuccore/CP000304.1?report=graph&amp;tracks=[key:gene_model_track,Options:GeneOnly]&amp;mk=4159560:4159579|offset_54|00cc00,4159522:4159541|offset_92|444444,4159502:4159521|offset_112|444444,4159474:4159493|offset_140|444444&amp;v=4159359:4159693&amp;c=444444", "offset 54")</f>
        <v>offset 54</v>
      </c>
    </row>
    <row r="14732" customFormat="false" ht="12.8" hidden="false" customHeight="false" outlineLevel="0" collapsed="false">
      <c r="A14732" s="0" t="s">
        <v>12</v>
      </c>
      <c r="B14732" s="0" t="n">
        <v>4159521</v>
      </c>
      <c r="C14732" s="0" t="n">
        <v>4159541</v>
      </c>
      <c r="D14732" s="0" t="s">
        <v>49085</v>
      </c>
      <c r="E14732" s="0" t="s">
        <v>89</v>
      </c>
      <c r="F14732" s="0" t="s">
        <v>90</v>
      </c>
      <c r="G14732" s="0" t="s">
        <v>26</v>
      </c>
      <c r="H14732" s="0" t="n">
        <v>92</v>
      </c>
      <c r="I14732" s="0" t="s">
        <v>49089</v>
      </c>
      <c r="J14732" s="0" t="s">
        <v>49090</v>
      </c>
      <c r="K14732" s="0" t="s">
        <v>49091</v>
      </c>
      <c r="L14732" s="0" t="str">
        <f aca="false">HYPERLINK("https://www.ncbi.nlm.nih.gov/nuccore/CP000304.1?report=graph&amp;tracks=[key:gene_model_track,Options:GeneOnly]&amp;mk=4159560:4159579|offset_54|444444,4159522:4159541|offset_92|00cc00,4159502:4159521|offset_112|444444,4159474:4159493|offset_140|444444&amp;v=4159359:4159693&amp;c=444444", "offset 92")</f>
        <v>offset 92</v>
      </c>
    </row>
    <row r="14733" customFormat="false" ht="12.8" hidden="false" customHeight="false" outlineLevel="0" collapsed="false">
      <c r="A14733" s="0" t="s">
        <v>12</v>
      </c>
      <c r="B14733" s="0" t="n">
        <v>4159501</v>
      </c>
      <c r="C14733" s="0" t="n">
        <v>4159521</v>
      </c>
      <c r="D14733" s="0" t="s">
        <v>49085</v>
      </c>
      <c r="E14733" s="0" t="s">
        <v>89</v>
      </c>
      <c r="F14733" s="0" t="s">
        <v>90</v>
      </c>
      <c r="G14733" s="0" t="s">
        <v>26</v>
      </c>
      <c r="H14733" s="0" t="n">
        <v>112</v>
      </c>
      <c r="I14733" s="0" t="s">
        <v>49092</v>
      </c>
      <c r="J14733" s="0" t="s">
        <v>49093</v>
      </c>
      <c r="K14733" s="0" t="s">
        <v>49094</v>
      </c>
      <c r="L14733" s="0" t="str">
        <f aca="false">HYPERLINK("https://www.ncbi.nlm.nih.gov/nuccore/CP000304.1?report=graph&amp;tracks=[key:gene_model_track,Options:GeneOnly]&amp;mk=4159560:4159579|offset_54|444444,4159522:4159541|offset_92|444444,4159502:4159521|offset_112|00cc00,4159474:4159493|offset_140|444444&amp;v=4159359:4159693&amp;c=444444", "offset 112")</f>
        <v>offset 112</v>
      </c>
    </row>
    <row r="14734" customFormat="false" ht="12.8" hidden="false" customHeight="false" outlineLevel="0" collapsed="false">
      <c r="A14734" s="0" t="s">
        <v>12</v>
      </c>
      <c r="B14734" s="0" t="n">
        <v>4159473</v>
      </c>
      <c r="C14734" s="0" t="n">
        <v>4159493</v>
      </c>
      <c r="D14734" s="0" t="s">
        <v>49085</v>
      </c>
      <c r="E14734" s="0" t="s">
        <v>89</v>
      </c>
      <c r="F14734" s="0" t="s">
        <v>90</v>
      </c>
      <c r="G14734" s="0" t="s">
        <v>26</v>
      </c>
      <c r="H14734" s="0" t="n">
        <v>140</v>
      </c>
      <c r="I14734" s="0" t="s">
        <v>49095</v>
      </c>
      <c r="J14734" s="0" t="s">
        <v>49096</v>
      </c>
      <c r="K14734" s="0" t="s">
        <v>49097</v>
      </c>
      <c r="L14734" s="0" t="str">
        <f aca="false">HYPERLINK("https://www.ncbi.nlm.nih.gov/nuccore/CP000304.1?report=graph&amp;tracks=[key:gene_model_track,Options:GeneOnly]&amp;mk=4159560:4159579|offset_54|444444,4159522:4159541|offset_92|444444,4159502:4159521|offset_112|444444,4159474:4159493|offset_140|00cc00&amp;v=4159359:4159693&amp;c=444444", "offset 140")</f>
        <v>offset 140</v>
      </c>
    </row>
    <row r="14735" customFormat="false" ht="12.8" hidden="false" customHeight="false" outlineLevel="0" collapsed="false">
      <c r="A14735" s="0" t="s">
        <v>12</v>
      </c>
      <c r="B14735" s="0" t="n">
        <v>4160361</v>
      </c>
      <c r="C14735" s="0" t="n">
        <v>4160381</v>
      </c>
      <c r="D14735" s="0" t="s">
        <v>49098</v>
      </c>
      <c r="E14735" s="0" t="s">
        <v>89</v>
      </c>
      <c r="F14735" s="0" t="s">
        <v>90</v>
      </c>
      <c r="G14735" s="0" t="s">
        <v>16</v>
      </c>
      <c r="H14735" s="0" t="n">
        <v>16</v>
      </c>
      <c r="I14735" s="0" t="s">
        <v>49099</v>
      </c>
      <c r="J14735" s="0" t="s">
        <v>49100</v>
      </c>
      <c r="K14735" s="0" t="s">
        <v>49101</v>
      </c>
      <c r="L14735" s="0" t="str">
        <f aca="false">HYPERLINK("https://www.ncbi.nlm.nih.gov/nuccore/CP000304.1?report=graph&amp;tracks=[key:gene_model_track,Options:GeneOnly]&amp;mk=4160362:4160381|offset_16|00cc00,4160341:4160360|offset_37|444444,4160306:4160325|offset_72|444444,4160274:4160293|offset_104|444444&amp;v=4160161:4160493&amp;c=444444", "offset 16")</f>
        <v>offset 16</v>
      </c>
    </row>
    <row r="14736" customFormat="false" ht="12.8" hidden="false" customHeight="false" outlineLevel="0" collapsed="false">
      <c r="A14736" s="0" t="s">
        <v>12</v>
      </c>
      <c r="B14736" s="0" t="n">
        <v>4160340</v>
      </c>
      <c r="C14736" s="0" t="n">
        <v>4160360</v>
      </c>
      <c r="D14736" s="0" t="s">
        <v>49098</v>
      </c>
      <c r="E14736" s="0" t="s">
        <v>89</v>
      </c>
      <c r="F14736" s="0" t="s">
        <v>90</v>
      </c>
      <c r="G14736" s="0" t="s">
        <v>16</v>
      </c>
      <c r="H14736" s="0" t="n">
        <v>37</v>
      </c>
      <c r="I14736" s="0" t="s">
        <v>49102</v>
      </c>
      <c r="J14736" s="0" t="s">
        <v>49103</v>
      </c>
      <c r="K14736" s="0" t="s">
        <v>49104</v>
      </c>
      <c r="L14736" s="0" t="str">
        <f aca="false">HYPERLINK("https://www.ncbi.nlm.nih.gov/nuccore/CP000304.1?report=graph&amp;tracks=[key:gene_model_track,Options:GeneOnly]&amp;mk=4160362:4160381|offset_16|444444,4160341:4160360|offset_37|00cc00,4160306:4160325|offset_72|444444,4160274:4160293|offset_104|444444&amp;v=4160161:4160493&amp;c=444444", "offset 37")</f>
        <v>offset 37</v>
      </c>
    </row>
    <row r="14737" customFormat="false" ht="12.8" hidden="false" customHeight="false" outlineLevel="0" collapsed="false">
      <c r="A14737" s="0" t="s">
        <v>12</v>
      </c>
      <c r="B14737" s="0" t="n">
        <v>4160305</v>
      </c>
      <c r="C14737" s="0" t="n">
        <v>4160325</v>
      </c>
      <c r="D14737" s="0" t="s">
        <v>49098</v>
      </c>
      <c r="E14737" s="0" t="s">
        <v>89</v>
      </c>
      <c r="F14737" s="0" t="s">
        <v>90</v>
      </c>
      <c r="G14737" s="0" t="s">
        <v>16</v>
      </c>
      <c r="H14737" s="0" t="n">
        <v>72</v>
      </c>
      <c r="I14737" s="0" t="s">
        <v>49105</v>
      </c>
      <c r="J14737" s="0" t="s">
        <v>49106</v>
      </c>
      <c r="K14737" s="0" t="s">
        <v>49107</v>
      </c>
      <c r="L14737" s="0" t="str">
        <f aca="false">HYPERLINK("https://www.ncbi.nlm.nih.gov/nuccore/CP000304.1?report=graph&amp;tracks=[key:gene_model_track,Options:GeneOnly]&amp;mk=4160362:4160381|offset_16|444444,4160341:4160360|offset_37|444444,4160306:4160325|offset_72|00cc00,4160274:4160293|offset_104|444444&amp;v=4160161:4160493&amp;c=444444", "offset 72")</f>
        <v>offset 72</v>
      </c>
    </row>
    <row r="14738" customFormat="false" ht="12.8" hidden="false" customHeight="false" outlineLevel="0" collapsed="false">
      <c r="A14738" s="0" t="s">
        <v>12</v>
      </c>
      <c r="B14738" s="0" t="n">
        <v>4160273</v>
      </c>
      <c r="C14738" s="0" t="n">
        <v>4160293</v>
      </c>
      <c r="D14738" s="0" t="s">
        <v>49098</v>
      </c>
      <c r="E14738" s="0" t="s">
        <v>89</v>
      </c>
      <c r="F14738" s="0" t="s">
        <v>90</v>
      </c>
      <c r="G14738" s="0" t="s">
        <v>16</v>
      </c>
      <c r="H14738" s="0" t="n">
        <v>104</v>
      </c>
      <c r="I14738" s="0" t="s">
        <v>49108</v>
      </c>
      <c r="J14738" s="0" t="s">
        <v>49109</v>
      </c>
      <c r="K14738" s="0" t="s">
        <v>49110</v>
      </c>
      <c r="L14738" s="0" t="str">
        <f aca="false">HYPERLINK("https://www.ncbi.nlm.nih.gov/nuccore/CP000304.1?report=graph&amp;tracks=[key:gene_model_track,Options:GeneOnly]&amp;mk=4160362:4160381|offset_16|444444,4160341:4160360|offset_37|444444,4160306:4160325|offset_72|444444,4160274:4160293|offset_104|00cc00&amp;v=4160161:4160493&amp;c=444444", "offset 104")</f>
        <v>offset 104</v>
      </c>
    </row>
    <row r="14739" customFormat="false" ht="12.8" hidden="false" customHeight="false" outlineLevel="0" collapsed="false">
      <c r="A14739" s="0" t="s">
        <v>12</v>
      </c>
      <c r="B14739" s="0" t="n">
        <v>4161320</v>
      </c>
      <c r="C14739" s="0" t="n">
        <v>4161340</v>
      </c>
      <c r="D14739" s="0" t="s">
        <v>49111</v>
      </c>
      <c r="E14739" s="0" t="s">
        <v>49112</v>
      </c>
      <c r="F14739" s="0" t="s">
        <v>90</v>
      </c>
      <c r="G14739" s="0" t="s">
        <v>32</v>
      </c>
      <c r="H14739" s="0" t="n">
        <v>1</v>
      </c>
      <c r="I14739" s="0" t="s">
        <v>49113</v>
      </c>
      <c r="J14739" s="0" t="s">
        <v>49114</v>
      </c>
      <c r="K14739" s="0" t="s">
        <v>49115</v>
      </c>
      <c r="L14739" s="0" t="str">
        <f aca="false">HYPERLINK("https://www.ncbi.nlm.nih.gov/nuccore/CP000304.1?report=graph&amp;tracks=[key:gene_model_track,Options:GeneOnly]&amp;mk=4161321:4161340|offset_1|00cc00,4161299:4161318|offset_23|444444,4161259:4161278|offset_63|444444,4161238:4161257|offset_84|444444&amp;v=4161120:4161457&amp;c=444444", "offset 1")</f>
        <v>offset 1</v>
      </c>
    </row>
    <row r="14740" customFormat="false" ht="12.8" hidden="false" customHeight="false" outlineLevel="0" collapsed="false">
      <c r="A14740" s="0" t="s">
        <v>12</v>
      </c>
      <c r="B14740" s="0" t="n">
        <v>4161298</v>
      </c>
      <c r="C14740" s="0" t="n">
        <v>4161318</v>
      </c>
      <c r="D14740" s="0" t="s">
        <v>49111</v>
      </c>
      <c r="E14740" s="0" t="s">
        <v>49112</v>
      </c>
      <c r="F14740" s="0" t="s">
        <v>90</v>
      </c>
      <c r="G14740" s="0" t="s">
        <v>36</v>
      </c>
      <c r="H14740" s="0" t="n">
        <v>23</v>
      </c>
      <c r="I14740" s="0" t="s">
        <v>49116</v>
      </c>
      <c r="J14740" s="0" t="s">
        <v>49117</v>
      </c>
      <c r="K14740" s="0" t="s">
        <v>49118</v>
      </c>
      <c r="L14740" s="0" t="str">
        <f aca="false">HYPERLINK("https://www.ncbi.nlm.nih.gov/nuccore/CP000304.1?report=graph&amp;tracks=[key:gene_model_track,Options:GeneOnly]&amp;mk=4161321:4161340|offset_1|444444,4161299:4161318|offset_23|00cc00,4161259:4161278|offset_63|444444,4161238:4161257|offset_84|444444&amp;v=4161120:4161457&amp;c=444444", "offset 23")</f>
        <v>offset 23</v>
      </c>
    </row>
    <row r="14741" customFormat="false" ht="12.8" hidden="false" customHeight="false" outlineLevel="0" collapsed="false">
      <c r="A14741" s="0" t="s">
        <v>12</v>
      </c>
      <c r="B14741" s="0" t="n">
        <v>4161258</v>
      </c>
      <c r="C14741" s="0" t="n">
        <v>4161278</v>
      </c>
      <c r="D14741" s="0" t="s">
        <v>49111</v>
      </c>
      <c r="E14741" s="0" t="s">
        <v>49112</v>
      </c>
      <c r="F14741" s="0" t="s">
        <v>90</v>
      </c>
      <c r="G14741" s="0" t="s">
        <v>26</v>
      </c>
      <c r="H14741" s="0" t="n">
        <v>63</v>
      </c>
      <c r="I14741" s="0" t="s">
        <v>49119</v>
      </c>
      <c r="J14741" s="0" t="s">
        <v>49120</v>
      </c>
      <c r="K14741" s="0" t="s">
        <v>49121</v>
      </c>
      <c r="L14741" s="0" t="str">
        <f aca="false">HYPERLINK("https://www.ncbi.nlm.nih.gov/nuccore/CP000304.1?report=graph&amp;tracks=[key:gene_model_track,Options:GeneOnly]&amp;mk=4161321:4161340|offset_1|444444,4161299:4161318|offset_23|444444,4161259:4161278|offset_63|00cc00,4161238:4161257|offset_84|444444&amp;v=4161120:4161457&amp;c=444444", "offset 63")</f>
        <v>offset 63</v>
      </c>
    </row>
    <row r="14742" customFormat="false" ht="12.8" hidden="false" customHeight="false" outlineLevel="0" collapsed="false">
      <c r="A14742" s="0" t="s">
        <v>12</v>
      </c>
      <c r="B14742" s="0" t="n">
        <v>4161237</v>
      </c>
      <c r="C14742" s="0" t="n">
        <v>4161257</v>
      </c>
      <c r="D14742" s="0" t="s">
        <v>49111</v>
      </c>
      <c r="E14742" s="0" t="s">
        <v>49112</v>
      </c>
      <c r="F14742" s="0" t="s">
        <v>90</v>
      </c>
      <c r="G14742" s="0" t="s">
        <v>32</v>
      </c>
      <c r="H14742" s="0" t="n">
        <v>84</v>
      </c>
      <c r="I14742" s="0" t="s">
        <v>49122</v>
      </c>
      <c r="J14742" s="0" t="s">
        <v>49123</v>
      </c>
      <c r="K14742" s="0" t="s">
        <v>49124</v>
      </c>
      <c r="L14742" s="0" t="str">
        <f aca="false">HYPERLINK("https://www.ncbi.nlm.nih.gov/nuccore/CP000304.1?report=graph&amp;tracks=[key:gene_model_track,Options:GeneOnly]&amp;mk=4161321:4161340|offset_1|444444,4161299:4161318|offset_23|444444,4161259:4161278|offset_63|444444,4161238:4161257|offset_84|00cc00&amp;v=4161120:4161457&amp;c=444444", "offset 84")</f>
        <v>offset 84</v>
      </c>
    </row>
    <row r="14743" customFormat="false" ht="12.8" hidden="false" customHeight="false" outlineLevel="0" collapsed="false">
      <c r="A14743" s="0" t="s">
        <v>12</v>
      </c>
      <c r="B14743" s="0" t="n">
        <v>4162511</v>
      </c>
      <c r="C14743" s="0" t="n">
        <v>4162531</v>
      </c>
      <c r="D14743" s="0" t="s">
        <v>49125</v>
      </c>
      <c r="E14743" s="0" t="s">
        <v>49126</v>
      </c>
      <c r="F14743" s="0" t="s">
        <v>90</v>
      </c>
      <c r="G14743" s="0" t="s">
        <v>26</v>
      </c>
      <c r="H14743" s="0" t="n">
        <v>8</v>
      </c>
      <c r="I14743" s="0" t="s">
        <v>49127</v>
      </c>
      <c r="J14743" s="0" t="s">
        <v>49128</v>
      </c>
      <c r="K14743" s="0" t="s">
        <v>49129</v>
      </c>
      <c r="L14743" s="0" t="str">
        <f aca="false">HYPERLINK("https://www.ncbi.nlm.nih.gov/nuccore/CP000304.1?report=graph&amp;tracks=[key:gene_model_track,Options:GeneOnly]&amp;mk=4162512:4162531|offset_8|00cc00,4162485:4162504|offset_35|444444,4162447:4162466|offset_73|444444,4162425:4162444|offset_95|444444&amp;v=4162311:4162644&amp;c=444444", "offset 8")</f>
        <v>offset 8</v>
      </c>
    </row>
    <row r="14744" customFormat="false" ht="12.8" hidden="false" customHeight="false" outlineLevel="0" collapsed="false">
      <c r="A14744" s="0" t="s">
        <v>12</v>
      </c>
      <c r="B14744" s="0" t="n">
        <v>4162484</v>
      </c>
      <c r="C14744" s="0" t="n">
        <v>4162504</v>
      </c>
      <c r="D14744" s="0" t="s">
        <v>49125</v>
      </c>
      <c r="E14744" s="0" t="s">
        <v>49126</v>
      </c>
      <c r="F14744" s="0" t="s">
        <v>90</v>
      </c>
      <c r="G14744" s="0" t="s">
        <v>36</v>
      </c>
      <c r="H14744" s="0" t="n">
        <v>35</v>
      </c>
      <c r="I14744" s="0" t="s">
        <v>49130</v>
      </c>
      <c r="J14744" s="0" t="s">
        <v>49131</v>
      </c>
      <c r="K14744" s="0" t="s">
        <v>49132</v>
      </c>
      <c r="L14744" s="0" t="str">
        <f aca="false">HYPERLINK("https://www.ncbi.nlm.nih.gov/nuccore/CP000304.1?report=graph&amp;tracks=[key:gene_model_track,Options:GeneOnly]&amp;mk=4162512:4162531|offset_8|444444,4162485:4162504|offset_35|00cc00,4162447:4162466|offset_73|444444,4162425:4162444|offset_95|444444&amp;v=4162311:4162644&amp;c=444444", "offset 35")</f>
        <v>offset 35</v>
      </c>
    </row>
    <row r="14745" customFormat="false" ht="12.8" hidden="false" customHeight="false" outlineLevel="0" collapsed="false">
      <c r="A14745" s="0" t="s">
        <v>12</v>
      </c>
      <c r="B14745" s="0" t="n">
        <v>4162446</v>
      </c>
      <c r="C14745" s="0" t="n">
        <v>4162466</v>
      </c>
      <c r="D14745" s="0" t="s">
        <v>49125</v>
      </c>
      <c r="E14745" s="0" t="s">
        <v>49126</v>
      </c>
      <c r="F14745" s="0" t="s">
        <v>90</v>
      </c>
      <c r="G14745" s="0" t="s">
        <v>36</v>
      </c>
      <c r="H14745" s="0" t="n">
        <v>73</v>
      </c>
      <c r="I14745" s="0" t="s">
        <v>49133</v>
      </c>
      <c r="J14745" s="0" t="s">
        <v>49134</v>
      </c>
      <c r="K14745" s="0" t="s">
        <v>49135</v>
      </c>
      <c r="L14745" s="0" t="str">
        <f aca="false">HYPERLINK("https://www.ncbi.nlm.nih.gov/nuccore/CP000304.1?report=graph&amp;tracks=[key:gene_model_track,Options:GeneOnly]&amp;mk=4162512:4162531|offset_8|444444,4162485:4162504|offset_35|444444,4162447:4162466|offset_73|00cc00,4162425:4162444|offset_95|444444&amp;v=4162311:4162644&amp;c=444444", "offset 73")</f>
        <v>offset 73</v>
      </c>
    </row>
    <row r="14746" customFormat="false" ht="12.8" hidden="false" customHeight="false" outlineLevel="0" collapsed="false">
      <c r="A14746" s="0" t="s">
        <v>12</v>
      </c>
      <c r="B14746" s="0" t="n">
        <v>4162424</v>
      </c>
      <c r="C14746" s="0" t="n">
        <v>4162444</v>
      </c>
      <c r="D14746" s="0" t="s">
        <v>49125</v>
      </c>
      <c r="E14746" s="0" t="s">
        <v>49126</v>
      </c>
      <c r="F14746" s="0" t="s">
        <v>90</v>
      </c>
      <c r="G14746" s="0" t="s">
        <v>32</v>
      </c>
      <c r="H14746" s="0" t="n">
        <v>95</v>
      </c>
      <c r="I14746" s="0" t="s">
        <v>49136</v>
      </c>
      <c r="J14746" s="0" t="s">
        <v>49137</v>
      </c>
      <c r="K14746" s="0" t="s">
        <v>49138</v>
      </c>
      <c r="L14746" s="0" t="str">
        <f aca="false">HYPERLINK("https://www.ncbi.nlm.nih.gov/nuccore/CP000304.1?report=graph&amp;tracks=[key:gene_model_track,Options:GeneOnly]&amp;mk=4162512:4162531|offset_8|444444,4162485:4162504|offset_35|444444,4162447:4162466|offset_73|444444,4162425:4162444|offset_95|00cc00&amp;v=4162311:4162644&amp;c=444444", "offset 95")</f>
        <v>offset 95</v>
      </c>
    </row>
    <row r="14747" customFormat="false" ht="12.8" hidden="false" customHeight="false" outlineLevel="0" collapsed="false">
      <c r="A14747" s="0" t="s">
        <v>12</v>
      </c>
      <c r="B14747" s="0" t="n">
        <v>4163459</v>
      </c>
      <c r="C14747" s="0" t="n">
        <v>4163479</v>
      </c>
      <c r="D14747" s="0" t="s">
        <v>49139</v>
      </c>
      <c r="E14747" s="0" t="s">
        <v>49140</v>
      </c>
      <c r="F14747" s="0" t="s">
        <v>90</v>
      </c>
      <c r="G14747" s="0" t="s">
        <v>16</v>
      </c>
      <c r="H14747" s="0" t="n">
        <v>9</v>
      </c>
      <c r="I14747" s="0" t="s">
        <v>49141</v>
      </c>
      <c r="J14747" s="0" t="s">
        <v>49142</v>
      </c>
      <c r="K14747" s="0" t="s">
        <v>49143</v>
      </c>
      <c r="L14747" s="0" t="str">
        <f aca="false">HYPERLINK("https://www.ncbi.nlm.nih.gov/nuccore/CP000304.1?report=graph&amp;tracks=[key:gene_model_track,Options:GeneOnly]&amp;mk=4163460:4163479|offset_9|00cc00,4163430:4163449|offset_39|444444,4163383:4163402|offset_86|444444,4163362:4163381|offset_107|444444&amp;v=4163259:4163581&amp;c=444444", "offset 9")</f>
        <v>offset 9</v>
      </c>
    </row>
    <row r="14748" customFormat="false" ht="12.8" hidden="false" customHeight="false" outlineLevel="0" collapsed="false">
      <c r="A14748" s="0" t="s">
        <v>12</v>
      </c>
      <c r="B14748" s="0" t="n">
        <v>4163429</v>
      </c>
      <c r="C14748" s="0" t="n">
        <v>4163449</v>
      </c>
      <c r="D14748" s="0" t="s">
        <v>49139</v>
      </c>
      <c r="E14748" s="0" t="s">
        <v>49140</v>
      </c>
      <c r="F14748" s="0" t="s">
        <v>90</v>
      </c>
      <c r="G14748" s="0" t="s">
        <v>36</v>
      </c>
      <c r="H14748" s="0" t="n">
        <v>39</v>
      </c>
      <c r="I14748" s="0" t="s">
        <v>49144</v>
      </c>
      <c r="J14748" s="0" t="s">
        <v>49145</v>
      </c>
      <c r="K14748" s="0" t="s">
        <v>49146</v>
      </c>
      <c r="L14748" s="0" t="str">
        <f aca="false">HYPERLINK("https://www.ncbi.nlm.nih.gov/nuccore/CP000304.1?report=graph&amp;tracks=[key:gene_model_track,Options:GeneOnly]&amp;mk=4163460:4163479|offset_9|444444,4163430:4163449|offset_39|00cc00,4163383:4163402|offset_86|444444,4163362:4163381|offset_107|444444&amp;v=4163259:4163581&amp;c=444444", "offset 39")</f>
        <v>offset 39</v>
      </c>
    </row>
    <row r="14749" customFormat="false" ht="12.8" hidden="false" customHeight="false" outlineLevel="0" collapsed="false">
      <c r="A14749" s="0" t="s">
        <v>12</v>
      </c>
      <c r="B14749" s="0" t="n">
        <v>4163382</v>
      </c>
      <c r="C14749" s="0" t="n">
        <v>4163402</v>
      </c>
      <c r="D14749" s="0" t="s">
        <v>49139</v>
      </c>
      <c r="E14749" s="0" t="s">
        <v>49140</v>
      </c>
      <c r="F14749" s="0" t="s">
        <v>90</v>
      </c>
      <c r="G14749" s="0" t="s">
        <v>26</v>
      </c>
      <c r="H14749" s="0" t="n">
        <v>86</v>
      </c>
      <c r="I14749" s="0" t="s">
        <v>49147</v>
      </c>
      <c r="J14749" s="0" t="s">
        <v>49148</v>
      </c>
      <c r="K14749" s="0" t="s">
        <v>49149</v>
      </c>
      <c r="L14749" s="0" t="str">
        <f aca="false">HYPERLINK("https://www.ncbi.nlm.nih.gov/nuccore/CP000304.1?report=graph&amp;tracks=[key:gene_model_track,Options:GeneOnly]&amp;mk=4163460:4163479|offset_9|444444,4163430:4163449|offset_39|444444,4163383:4163402|offset_86|00cc00,4163362:4163381|offset_107|444444&amp;v=4163259:4163581&amp;c=444444", "offset 86")</f>
        <v>offset 86</v>
      </c>
    </row>
    <row r="14750" customFormat="false" ht="12.8" hidden="false" customHeight="false" outlineLevel="0" collapsed="false">
      <c r="A14750" s="0" t="s">
        <v>12</v>
      </c>
      <c r="B14750" s="0" t="n">
        <v>4163361</v>
      </c>
      <c r="C14750" s="0" t="n">
        <v>4163381</v>
      </c>
      <c r="D14750" s="0" t="s">
        <v>49139</v>
      </c>
      <c r="E14750" s="0" t="s">
        <v>49140</v>
      </c>
      <c r="F14750" s="0" t="s">
        <v>90</v>
      </c>
      <c r="G14750" s="0" t="s">
        <v>26</v>
      </c>
      <c r="H14750" s="0" t="n">
        <v>107</v>
      </c>
      <c r="I14750" s="0" t="s">
        <v>49150</v>
      </c>
      <c r="J14750" s="0" t="s">
        <v>49151</v>
      </c>
      <c r="K14750" s="0" t="s">
        <v>49152</v>
      </c>
      <c r="L14750" s="0" t="str">
        <f aca="false">HYPERLINK("https://www.ncbi.nlm.nih.gov/nuccore/CP000304.1?report=graph&amp;tracks=[key:gene_model_track,Options:GeneOnly]&amp;mk=4163460:4163479|offset_9|444444,4163430:4163449|offset_39|444444,4163383:4163402|offset_86|444444,4163362:4163381|offset_107|00cc00&amp;v=4163259:4163581&amp;c=444444", "offset 107")</f>
        <v>offset 107</v>
      </c>
    </row>
    <row r="14751" customFormat="false" ht="12.8" hidden="false" customHeight="false" outlineLevel="0" collapsed="false">
      <c r="A14751" s="0" t="s">
        <v>12</v>
      </c>
      <c r="B14751" s="0" t="n">
        <v>4164725</v>
      </c>
      <c r="C14751" s="0" t="n">
        <v>4164745</v>
      </c>
      <c r="D14751" s="0" t="s">
        <v>49153</v>
      </c>
      <c r="E14751" s="0" t="s">
        <v>49154</v>
      </c>
      <c r="F14751" s="0" t="s">
        <v>90</v>
      </c>
      <c r="G14751" s="0" t="s">
        <v>16</v>
      </c>
      <c r="H14751" s="0" t="n">
        <v>0</v>
      </c>
      <c r="I14751" s="0" t="s">
        <v>49155</v>
      </c>
      <c r="J14751" s="0" t="s">
        <v>49156</v>
      </c>
      <c r="K14751" s="0" t="s">
        <v>49157</v>
      </c>
      <c r="L14751" s="0" t="str">
        <f aca="false">HYPERLINK("https://www.ncbi.nlm.nih.gov/nuccore/CP000304.1?report=graph&amp;tracks=[key:gene_model_track,Options:GeneOnly]&amp;mk=4164726:4164745|offset_0|00cc00,4164706:4164725|offset_20|444444,4164683:4164702|offset_43|444444,4164639:4164658|offset_87|444444&amp;v=4164525:4164858&amp;c=444444", "offset 0")</f>
        <v>offset 0</v>
      </c>
    </row>
    <row r="14752" customFormat="false" ht="12.8" hidden="false" customHeight="false" outlineLevel="0" collapsed="false">
      <c r="A14752" s="0" t="s">
        <v>12</v>
      </c>
      <c r="B14752" s="0" t="n">
        <v>4164705</v>
      </c>
      <c r="C14752" s="0" t="n">
        <v>4164725</v>
      </c>
      <c r="D14752" s="0" t="s">
        <v>49153</v>
      </c>
      <c r="E14752" s="0" t="s">
        <v>49154</v>
      </c>
      <c r="F14752" s="0" t="s">
        <v>90</v>
      </c>
      <c r="G14752" s="0" t="s">
        <v>16</v>
      </c>
      <c r="H14752" s="0" t="n">
        <v>20</v>
      </c>
      <c r="I14752" s="0" t="s">
        <v>49158</v>
      </c>
      <c r="J14752" s="0" t="s">
        <v>49159</v>
      </c>
      <c r="K14752" s="0" t="s">
        <v>49160</v>
      </c>
      <c r="L14752" s="0" t="str">
        <f aca="false">HYPERLINK("https://www.ncbi.nlm.nih.gov/nuccore/CP000304.1?report=graph&amp;tracks=[key:gene_model_track,Options:GeneOnly]&amp;mk=4164726:4164745|offset_0|444444,4164706:4164725|offset_20|00cc00,4164683:4164702|offset_43|444444,4164639:4164658|offset_87|444444&amp;v=4164525:4164858&amp;c=444444", "offset 20")</f>
        <v>offset 20</v>
      </c>
    </row>
    <row r="14753" customFormat="false" ht="12.8" hidden="false" customHeight="false" outlineLevel="0" collapsed="false">
      <c r="A14753" s="0" t="s">
        <v>12</v>
      </c>
      <c r="B14753" s="0" t="n">
        <v>4164682</v>
      </c>
      <c r="C14753" s="0" t="n">
        <v>4164702</v>
      </c>
      <c r="D14753" s="0" t="s">
        <v>49153</v>
      </c>
      <c r="E14753" s="0" t="s">
        <v>49154</v>
      </c>
      <c r="F14753" s="0" t="s">
        <v>90</v>
      </c>
      <c r="G14753" s="0" t="s">
        <v>36</v>
      </c>
      <c r="H14753" s="0" t="n">
        <v>43</v>
      </c>
      <c r="I14753" s="0" t="s">
        <v>49161</v>
      </c>
      <c r="J14753" s="0" t="s">
        <v>49162</v>
      </c>
      <c r="K14753" s="0" t="s">
        <v>49163</v>
      </c>
      <c r="L14753" s="0" t="str">
        <f aca="false">HYPERLINK("https://www.ncbi.nlm.nih.gov/nuccore/CP000304.1?report=graph&amp;tracks=[key:gene_model_track,Options:GeneOnly]&amp;mk=4164726:4164745|offset_0|444444,4164706:4164725|offset_20|444444,4164683:4164702|offset_43|00cc00,4164639:4164658|offset_87|444444&amp;v=4164525:4164858&amp;c=444444", "offset 43")</f>
        <v>offset 43</v>
      </c>
    </row>
    <row r="14754" customFormat="false" ht="12.8" hidden="false" customHeight="false" outlineLevel="0" collapsed="false">
      <c r="A14754" s="0" t="s">
        <v>12</v>
      </c>
      <c r="B14754" s="0" t="n">
        <v>4164638</v>
      </c>
      <c r="C14754" s="0" t="n">
        <v>4164658</v>
      </c>
      <c r="D14754" s="0" t="s">
        <v>49153</v>
      </c>
      <c r="E14754" s="0" t="s">
        <v>49154</v>
      </c>
      <c r="F14754" s="0" t="s">
        <v>90</v>
      </c>
      <c r="G14754" s="0" t="s">
        <v>36</v>
      </c>
      <c r="H14754" s="0" t="n">
        <v>87</v>
      </c>
      <c r="I14754" s="0" t="s">
        <v>49164</v>
      </c>
      <c r="J14754" s="0" t="s">
        <v>49165</v>
      </c>
      <c r="K14754" s="0" t="s">
        <v>49166</v>
      </c>
      <c r="L14754" s="0" t="str">
        <f aca="false">HYPERLINK("https://www.ncbi.nlm.nih.gov/nuccore/CP000304.1?report=graph&amp;tracks=[key:gene_model_track,Options:GeneOnly]&amp;mk=4164726:4164745|offset_0|444444,4164706:4164725|offset_20|444444,4164683:4164702|offset_43|444444,4164639:4164658|offset_87|00cc00&amp;v=4164525:4164858&amp;c=444444", "offset 87")</f>
        <v>offset 87</v>
      </c>
    </row>
    <row r="14755" customFormat="false" ht="12.8" hidden="false" customHeight="false" outlineLevel="0" collapsed="false">
      <c r="A14755" s="0" t="s">
        <v>12</v>
      </c>
      <c r="B14755" s="0" t="n">
        <v>4165690</v>
      </c>
      <c r="C14755" s="0" t="n">
        <v>4165710</v>
      </c>
      <c r="D14755" s="0" t="s">
        <v>49167</v>
      </c>
      <c r="E14755" s="0" t="s">
        <v>49168</v>
      </c>
      <c r="F14755" s="0" t="s">
        <v>90</v>
      </c>
      <c r="G14755" s="0" t="s">
        <v>16</v>
      </c>
      <c r="H14755" s="0" t="n">
        <v>13</v>
      </c>
      <c r="I14755" s="0" t="s">
        <v>49169</v>
      </c>
      <c r="J14755" s="0" t="s">
        <v>49170</v>
      </c>
      <c r="K14755" s="0" t="s">
        <v>49171</v>
      </c>
      <c r="L14755" s="0" t="str">
        <f aca="false">HYPERLINK("https://www.ncbi.nlm.nih.gov/nuccore/CP000304.1?report=graph&amp;tracks=[key:gene_model_track,Options:GeneOnly]&amp;mk=4165691:4165710|offset_13|00cc00,4165634:4165653|offset_70|444444,4165613:4165632|offset_91|444444,4165574:4165593|offset_130|444444&amp;v=4165490:4165793&amp;c=444444", "offset 13")</f>
        <v>offset 13</v>
      </c>
    </row>
    <row r="14756" customFormat="false" ht="12.8" hidden="false" customHeight="false" outlineLevel="0" collapsed="false">
      <c r="A14756" s="0" t="s">
        <v>12</v>
      </c>
      <c r="B14756" s="0" t="n">
        <v>4165633</v>
      </c>
      <c r="C14756" s="0" t="n">
        <v>4165653</v>
      </c>
      <c r="D14756" s="0" t="s">
        <v>49167</v>
      </c>
      <c r="E14756" s="0" t="s">
        <v>49168</v>
      </c>
      <c r="F14756" s="0" t="s">
        <v>90</v>
      </c>
      <c r="G14756" s="0" t="s">
        <v>32</v>
      </c>
      <c r="H14756" s="0" t="n">
        <v>70</v>
      </c>
      <c r="I14756" s="0" t="s">
        <v>49172</v>
      </c>
      <c r="J14756" s="0" t="s">
        <v>49173</v>
      </c>
      <c r="K14756" s="0" t="s">
        <v>49174</v>
      </c>
      <c r="L14756" s="0" t="str">
        <f aca="false">HYPERLINK("https://www.ncbi.nlm.nih.gov/nuccore/CP000304.1?report=graph&amp;tracks=[key:gene_model_track,Options:GeneOnly]&amp;mk=4165691:4165710|offset_13|444444,4165634:4165653|offset_70|00cc00,4165613:4165632|offset_91|444444,4165574:4165593|offset_130|444444&amp;v=4165490:4165793&amp;c=444444", "offset 70")</f>
        <v>offset 70</v>
      </c>
    </row>
    <row r="14757" customFormat="false" ht="12.8" hidden="false" customHeight="false" outlineLevel="0" collapsed="false">
      <c r="A14757" s="0" t="s">
        <v>12</v>
      </c>
      <c r="B14757" s="0" t="n">
        <v>4165612</v>
      </c>
      <c r="C14757" s="0" t="n">
        <v>4165632</v>
      </c>
      <c r="D14757" s="0" t="s">
        <v>49167</v>
      </c>
      <c r="E14757" s="0" t="s">
        <v>49168</v>
      </c>
      <c r="F14757" s="0" t="s">
        <v>90</v>
      </c>
      <c r="G14757" s="0" t="s">
        <v>36</v>
      </c>
      <c r="H14757" s="0" t="n">
        <v>91</v>
      </c>
      <c r="I14757" s="0" t="s">
        <v>49175</v>
      </c>
      <c r="J14757" s="0" t="s">
        <v>49176</v>
      </c>
      <c r="K14757" s="0" t="s">
        <v>49177</v>
      </c>
      <c r="L14757" s="0" t="str">
        <f aca="false">HYPERLINK("https://www.ncbi.nlm.nih.gov/nuccore/CP000304.1?report=graph&amp;tracks=[key:gene_model_track,Options:GeneOnly]&amp;mk=4165691:4165710|offset_13|444444,4165634:4165653|offset_70|444444,4165613:4165632|offset_91|00cc00,4165574:4165593|offset_130|444444&amp;v=4165490:4165793&amp;c=444444", "offset 91")</f>
        <v>offset 91</v>
      </c>
    </row>
    <row r="14758" customFormat="false" ht="12.8" hidden="false" customHeight="false" outlineLevel="0" collapsed="false">
      <c r="A14758" s="0" t="s">
        <v>12</v>
      </c>
      <c r="B14758" s="0" t="n">
        <v>4165573</v>
      </c>
      <c r="C14758" s="0" t="n">
        <v>4165593</v>
      </c>
      <c r="D14758" s="0" t="s">
        <v>49167</v>
      </c>
      <c r="E14758" s="0" t="s">
        <v>49168</v>
      </c>
      <c r="F14758" s="0" t="s">
        <v>90</v>
      </c>
      <c r="G14758" s="0" t="s">
        <v>26</v>
      </c>
      <c r="H14758" s="0" t="n">
        <v>130</v>
      </c>
      <c r="I14758" s="0" t="s">
        <v>49178</v>
      </c>
      <c r="J14758" s="0" t="s">
        <v>49179</v>
      </c>
      <c r="K14758" s="0" t="s">
        <v>49180</v>
      </c>
      <c r="L14758" s="0" t="str">
        <f aca="false">HYPERLINK("https://www.ncbi.nlm.nih.gov/nuccore/CP000304.1?report=graph&amp;tracks=[key:gene_model_track,Options:GeneOnly]&amp;mk=4165691:4165710|offset_13|444444,4165634:4165653|offset_70|444444,4165613:4165632|offset_91|444444,4165574:4165593|offset_130|00cc00&amp;v=4165490:4165793&amp;c=444444", "offset 130")</f>
        <v>offset 130</v>
      </c>
    </row>
    <row r="14759" customFormat="false" ht="12.8" hidden="false" customHeight="false" outlineLevel="0" collapsed="false">
      <c r="A14759" s="0" t="s">
        <v>12</v>
      </c>
      <c r="B14759" s="0" t="n">
        <v>4168686</v>
      </c>
      <c r="C14759" s="0" t="n">
        <v>4168706</v>
      </c>
      <c r="D14759" s="0" t="s">
        <v>49181</v>
      </c>
      <c r="E14759" s="0" t="s">
        <v>49182</v>
      </c>
      <c r="F14759" s="0" t="s">
        <v>90</v>
      </c>
      <c r="G14759" s="0" t="s">
        <v>32</v>
      </c>
      <c r="H14759" s="0" t="n">
        <v>12</v>
      </c>
      <c r="I14759" s="0" t="s">
        <v>49183</v>
      </c>
      <c r="J14759" s="0" t="s">
        <v>49184</v>
      </c>
      <c r="K14759" s="0" t="s">
        <v>49185</v>
      </c>
      <c r="L14759" s="0" t="str">
        <f aca="false">HYPERLINK("https://www.ncbi.nlm.nih.gov/nuccore/CP000304.1?report=graph&amp;tracks=[key:gene_model_track,Options:GeneOnly]&amp;mk=4168687:4168706|offset_12|00cc00,4168666:4168685|offset_33|444444,4168638:4168657|offset_61|444444,4168617:4168636|offset_82|444444&amp;v=4168486:4168836&amp;c=444444", "offset 12")</f>
        <v>offset 12</v>
      </c>
    </row>
    <row r="14760" customFormat="false" ht="12.8" hidden="false" customHeight="false" outlineLevel="0" collapsed="false">
      <c r="A14760" s="0" t="s">
        <v>12</v>
      </c>
      <c r="B14760" s="0" t="n">
        <v>4168665</v>
      </c>
      <c r="C14760" s="0" t="n">
        <v>4168685</v>
      </c>
      <c r="D14760" s="0" t="s">
        <v>49181</v>
      </c>
      <c r="E14760" s="0" t="s">
        <v>49182</v>
      </c>
      <c r="F14760" s="0" t="s">
        <v>90</v>
      </c>
      <c r="G14760" s="0" t="s">
        <v>36</v>
      </c>
      <c r="H14760" s="0" t="n">
        <v>33</v>
      </c>
      <c r="I14760" s="0" t="s">
        <v>49186</v>
      </c>
      <c r="J14760" s="0" t="s">
        <v>49187</v>
      </c>
      <c r="K14760" s="0" t="s">
        <v>49188</v>
      </c>
      <c r="L14760" s="0" t="str">
        <f aca="false">HYPERLINK("https://www.ncbi.nlm.nih.gov/nuccore/CP000304.1?report=graph&amp;tracks=[key:gene_model_track,Options:GeneOnly]&amp;mk=4168687:4168706|offset_12|444444,4168666:4168685|offset_33|00cc00,4168638:4168657|offset_61|444444,4168617:4168636|offset_82|444444&amp;v=4168486:4168836&amp;c=444444", "offset 33")</f>
        <v>offset 33</v>
      </c>
    </row>
    <row r="14761" customFormat="false" ht="12.8" hidden="false" customHeight="false" outlineLevel="0" collapsed="false">
      <c r="A14761" s="0" t="s">
        <v>12</v>
      </c>
      <c r="B14761" s="0" t="n">
        <v>4168637</v>
      </c>
      <c r="C14761" s="0" t="n">
        <v>4168657</v>
      </c>
      <c r="D14761" s="0" t="s">
        <v>49181</v>
      </c>
      <c r="E14761" s="0" t="s">
        <v>49182</v>
      </c>
      <c r="F14761" s="0" t="s">
        <v>90</v>
      </c>
      <c r="G14761" s="0" t="s">
        <v>16</v>
      </c>
      <c r="H14761" s="0" t="n">
        <v>61</v>
      </c>
      <c r="I14761" s="0" t="s">
        <v>49189</v>
      </c>
      <c r="J14761" s="0" t="s">
        <v>49190</v>
      </c>
      <c r="K14761" s="0" t="s">
        <v>49191</v>
      </c>
      <c r="L14761" s="0" t="str">
        <f aca="false">HYPERLINK("https://www.ncbi.nlm.nih.gov/nuccore/CP000304.1?report=graph&amp;tracks=[key:gene_model_track,Options:GeneOnly]&amp;mk=4168687:4168706|offset_12|444444,4168666:4168685|offset_33|444444,4168638:4168657|offset_61|00cc00,4168617:4168636|offset_82|444444&amp;v=4168486:4168836&amp;c=444444", "offset 61")</f>
        <v>offset 61</v>
      </c>
    </row>
    <row r="14762" customFormat="false" ht="12.8" hidden="false" customHeight="false" outlineLevel="0" collapsed="false">
      <c r="A14762" s="0" t="s">
        <v>12</v>
      </c>
      <c r="B14762" s="0" t="n">
        <v>4168616</v>
      </c>
      <c r="C14762" s="0" t="n">
        <v>4168636</v>
      </c>
      <c r="D14762" s="0" t="s">
        <v>49181</v>
      </c>
      <c r="E14762" s="0" t="s">
        <v>49182</v>
      </c>
      <c r="F14762" s="0" t="s">
        <v>90</v>
      </c>
      <c r="G14762" s="0" t="s">
        <v>16</v>
      </c>
      <c r="H14762" s="0" t="n">
        <v>82</v>
      </c>
      <c r="I14762" s="0" t="s">
        <v>49192</v>
      </c>
      <c r="J14762" s="0" t="s">
        <v>49193</v>
      </c>
      <c r="K14762" s="0" t="s">
        <v>49194</v>
      </c>
      <c r="L14762" s="0" t="str">
        <f aca="false">HYPERLINK("https://www.ncbi.nlm.nih.gov/nuccore/CP000304.1?report=graph&amp;tracks=[key:gene_model_track,Options:GeneOnly]&amp;mk=4168687:4168706|offset_12|444444,4168666:4168685|offset_33|444444,4168638:4168657|offset_61|444444,4168617:4168636|offset_82|00cc00&amp;v=4168486:4168836&amp;c=444444", "offset 82")</f>
        <v>offset 82</v>
      </c>
    </row>
    <row r="14763" customFormat="false" ht="12.8" hidden="false" customHeight="false" outlineLevel="0" collapsed="false">
      <c r="A14763" s="0" t="s">
        <v>12</v>
      </c>
      <c r="B14763" s="0" t="n">
        <v>4168990</v>
      </c>
      <c r="C14763" s="0" t="n">
        <v>4169010</v>
      </c>
      <c r="D14763" s="0" t="s">
        <v>49195</v>
      </c>
      <c r="E14763" s="0" t="s">
        <v>49196</v>
      </c>
      <c r="F14763" s="0" t="s">
        <v>15</v>
      </c>
      <c r="G14763" s="0" t="s">
        <v>32</v>
      </c>
      <c r="H14763" s="0" t="n">
        <v>1</v>
      </c>
      <c r="I14763" s="0" t="s">
        <v>49197</v>
      </c>
      <c r="J14763" s="0" t="s">
        <v>49198</v>
      </c>
      <c r="K14763" s="0" t="s">
        <v>49199</v>
      </c>
      <c r="L14763" s="0" t="str">
        <f aca="false">HYPERLINK("https://www.ncbi.nlm.nih.gov/nuccore/CP000304.1?report=graph&amp;tracks=[key:gene_model_track,Options:GeneOnly]&amp;mk=4168991:4169010|offset_1|00cc00,4169018:4169037|offset_28|444444,4169045:4169064|offset_55|444444,4169070:4169089|offset_80|444444&amp;v=4168790:4169289&amp;c=444444", "offset 1")</f>
        <v>offset 1</v>
      </c>
    </row>
    <row r="14764" customFormat="false" ht="12.8" hidden="false" customHeight="false" outlineLevel="0" collapsed="false">
      <c r="A14764" s="0" t="s">
        <v>12</v>
      </c>
      <c r="B14764" s="0" t="n">
        <v>4169017</v>
      </c>
      <c r="C14764" s="0" t="n">
        <v>4169037</v>
      </c>
      <c r="D14764" s="0" t="s">
        <v>49195</v>
      </c>
      <c r="E14764" s="0" t="s">
        <v>49196</v>
      </c>
      <c r="F14764" s="0" t="s">
        <v>15</v>
      </c>
      <c r="G14764" s="0" t="s">
        <v>36</v>
      </c>
      <c r="H14764" s="0" t="n">
        <v>28</v>
      </c>
      <c r="I14764" s="0" t="s">
        <v>49200</v>
      </c>
      <c r="J14764" s="0" t="s">
        <v>49201</v>
      </c>
      <c r="K14764" s="0" t="s">
        <v>49202</v>
      </c>
      <c r="L14764" s="0" t="str">
        <f aca="false">HYPERLINK("https://www.ncbi.nlm.nih.gov/nuccore/CP000304.1?report=graph&amp;tracks=[key:gene_model_track,Options:GeneOnly]&amp;mk=4168991:4169010|offset_1|444444,4169018:4169037|offset_28|00cc00,4169045:4169064|offset_55|444444,4169070:4169089|offset_80|444444&amp;v=4168790:4169289&amp;c=444444", "offset 28")</f>
        <v>offset 28</v>
      </c>
    </row>
    <row r="14765" customFormat="false" ht="12.8" hidden="false" customHeight="false" outlineLevel="0" collapsed="false">
      <c r="A14765" s="0" t="s">
        <v>12</v>
      </c>
      <c r="B14765" s="0" t="n">
        <v>4169044</v>
      </c>
      <c r="C14765" s="0" t="n">
        <v>4169064</v>
      </c>
      <c r="D14765" s="0" t="s">
        <v>49195</v>
      </c>
      <c r="E14765" s="0" t="s">
        <v>49196</v>
      </c>
      <c r="F14765" s="0" t="s">
        <v>15</v>
      </c>
      <c r="G14765" s="0" t="s">
        <v>16</v>
      </c>
      <c r="H14765" s="0" t="n">
        <v>55</v>
      </c>
      <c r="I14765" s="0" t="s">
        <v>49203</v>
      </c>
      <c r="J14765" s="0" t="s">
        <v>49204</v>
      </c>
      <c r="K14765" s="0" t="s">
        <v>49205</v>
      </c>
      <c r="L14765" s="0" t="str">
        <f aca="false">HYPERLINK("https://www.ncbi.nlm.nih.gov/nuccore/CP000304.1?report=graph&amp;tracks=[key:gene_model_track,Options:GeneOnly]&amp;mk=4168991:4169010|offset_1|444444,4169018:4169037|offset_28|444444,4169045:4169064|offset_55|00cc00,4169070:4169089|offset_80|444444&amp;v=4168790:4169289&amp;c=444444", "offset 55")</f>
        <v>offset 55</v>
      </c>
    </row>
    <row r="14766" customFormat="false" ht="12.8" hidden="false" customHeight="false" outlineLevel="0" collapsed="false">
      <c r="A14766" s="0" t="s">
        <v>12</v>
      </c>
      <c r="B14766" s="0" t="n">
        <v>4169069</v>
      </c>
      <c r="C14766" s="0" t="n">
        <v>4169089</v>
      </c>
      <c r="D14766" s="0" t="s">
        <v>49195</v>
      </c>
      <c r="E14766" s="0" t="s">
        <v>49196</v>
      </c>
      <c r="F14766" s="0" t="s">
        <v>15</v>
      </c>
      <c r="G14766" s="0" t="s">
        <v>16</v>
      </c>
      <c r="H14766" s="0" t="n">
        <v>80</v>
      </c>
      <c r="I14766" s="0" t="s">
        <v>49206</v>
      </c>
      <c r="J14766" s="0" t="s">
        <v>49207</v>
      </c>
      <c r="K14766" s="0" t="s">
        <v>49208</v>
      </c>
      <c r="L14766" s="0" t="str">
        <f aca="false">HYPERLINK("https://www.ncbi.nlm.nih.gov/nuccore/CP000304.1?report=graph&amp;tracks=[key:gene_model_track,Options:GeneOnly]&amp;mk=4168991:4169010|offset_1|444444,4169018:4169037|offset_28|444444,4169045:4169064|offset_55|444444,4169070:4169089|offset_80|00cc00&amp;v=4168790:4169289&amp;c=444444", "offset 80")</f>
        <v>offset 80</v>
      </c>
    </row>
    <row r="14767" customFormat="false" ht="12.8" hidden="false" customHeight="false" outlineLevel="0" collapsed="false">
      <c r="A14767" s="0" t="s">
        <v>12</v>
      </c>
      <c r="B14767" s="0" t="n">
        <v>4171675</v>
      </c>
      <c r="C14767" s="0" t="n">
        <v>4171695</v>
      </c>
      <c r="D14767" s="0" t="s">
        <v>49209</v>
      </c>
      <c r="E14767" s="0" t="s">
        <v>49210</v>
      </c>
      <c r="F14767" s="0" t="s">
        <v>15</v>
      </c>
      <c r="G14767" s="0" t="s">
        <v>32</v>
      </c>
      <c r="H14767" s="0" t="n">
        <v>13</v>
      </c>
      <c r="I14767" s="0" t="s">
        <v>49211</v>
      </c>
      <c r="J14767" s="0" t="s">
        <v>49212</v>
      </c>
      <c r="K14767" s="0" t="s">
        <v>49213</v>
      </c>
      <c r="L14767" s="0" t="str">
        <f aca="false">HYPERLINK("https://www.ncbi.nlm.nih.gov/nuccore/CP000304.1?report=graph&amp;tracks=[key:gene_model_track,Options:GeneOnly]&amp;mk=4171676:4171695|offset_13|00cc00,4171743:4171762|offset_80|444444,4171767:4171786|offset_104|444444,4171790:4171809|offset_127|444444&amp;v=4171475:4172009&amp;c=444444", "offset 13")</f>
        <v>offset 13</v>
      </c>
    </row>
    <row r="14768" customFormat="false" ht="12.8" hidden="false" customHeight="false" outlineLevel="0" collapsed="false">
      <c r="A14768" s="0" t="s">
        <v>12</v>
      </c>
      <c r="B14768" s="0" t="n">
        <v>4171742</v>
      </c>
      <c r="C14768" s="0" t="n">
        <v>4171762</v>
      </c>
      <c r="D14768" s="0" t="s">
        <v>49209</v>
      </c>
      <c r="E14768" s="0" t="s">
        <v>49210</v>
      </c>
      <c r="F14768" s="0" t="s">
        <v>15</v>
      </c>
      <c r="G14768" s="0" t="s">
        <v>16</v>
      </c>
      <c r="H14768" s="0" t="n">
        <v>80</v>
      </c>
      <c r="I14768" s="0" t="s">
        <v>49214</v>
      </c>
      <c r="J14768" s="0" t="s">
        <v>49215</v>
      </c>
      <c r="K14768" s="0" t="s">
        <v>49216</v>
      </c>
      <c r="L14768" s="0" t="str">
        <f aca="false">HYPERLINK("https://www.ncbi.nlm.nih.gov/nuccore/CP000304.1?report=graph&amp;tracks=[key:gene_model_track,Options:GeneOnly]&amp;mk=4171676:4171695|offset_13|444444,4171743:4171762|offset_80|00cc00,4171767:4171786|offset_104|444444,4171790:4171809|offset_127|444444&amp;v=4171475:4172009&amp;c=444444", "offset 80")</f>
        <v>offset 80</v>
      </c>
    </row>
    <row r="14769" customFormat="false" ht="12.8" hidden="false" customHeight="false" outlineLevel="0" collapsed="false">
      <c r="A14769" s="0" t="s">
        <v>12</v>
      </c>
      <c r="B14769" s="0" t="n">
        <v>4171766</v>
      </c>
      <c r="C14769" s="0" t="n">
        <v>4171786</v>
      </c>
      <c r="D14769" s="0" t="s">
        <v>49209</v>
      </c>
      <c r="E14769" s="0" t="s">
        <v>49210</v>
      </c>
      <c r="F14769" s="0" t="s">
        <v>15</v>
      </c>
      <c r="G14769" s="0" t="s">
        <v>26</v>
      </c>
      <c r="H14769" s="0" t="n">
        <v>104</v>
      </c>
      <c r="I14769" s="0" t="s">
        <v>49217</v>
      </c>
      <c r="J14769" s="0" t="s">
        <v>49218</v>
      </c>
      <c r="K14769" s="0" t="s">
        <v>49219</v>
      </c>
      <c r="L14769" s="0" t="str">
        <f aca="false">HYPERLINK("https://www.ncbi.nlm.nih.gov/nuccore/CP000304.1?report=graph&amp;tracks=[key:gene_model_track,Options:GeneOnly]&amp;mk=4171676:4171695|offset_13|444444,4171743:4171762|offset_80|444444,4171767:4171786|offset_104|00cc00,4171790:4171809|offset_127|444444&amp;v=4171475:4172009&amp;c=444444", "offset 104")</f>
        <v>offset 104</v>
      </c>
    </row>
    <row r="14770" customFormat="false" ht="12.8" hidden="false" customHeight="false" outlineLevel="0" collapsed="false">
      <c r="A14770" s="0" t="s">
        <v>12</v>
      </c>
      <c r="B14770" s="0" t="n">
        <v>4171789</v>
      </c>
      <c r="C14770" s="0" t="n">
        <v>4171809</v>
      </c>
      <c r="D14770" s="0" t="s">
        <v>49209</v>
      </c>
      <c r="E14770" s="0" t="s">
        <v>49210</v>
      </c>
      <c r="F14770" s="0" t="s">
        <v>15</v>
      </c>
      <c r="G14770" s="0" t="s">
        <v>32</v>
      </c>
      <c r="H14770" s="0" t="n">
        <v>127</v>
      </c>
      <c r="I14770" s="0" t="s">
        <v>49220</v>
      </c>
      <c r="J14770" s="0" t="s">
        <v>49221</v>
      </c>
      <c r="K14770" s="0" t="s">
        <v>49222</v>
      </c>
      <c r="L14770" s="0" t="str">
        <f aca="false">HYPERLINK("https://www.ncbi.nlm.nih.gov/nuccore/CP000304.1?report=graph&amp;tracks=[key:gene_model_track,Options:GeneOnly]&amp;mk=4171676:4171695|offset_13|444444,4171743:4171762|offset_80|444444,4171767:4171786|offset_104|444444,4171790:4171809|offset_127|00cc00&amp;v=4171475:4172009&amp;c=444444", "offset 127")</f>
        <v>offset 127</v>
      </c>
    </row>
    <row r="14771" customFormat="false" ht="12.8" hidden="false" customHeight="false" outlineLevel="0" collapsed="false">
      <c r="A14771" s="0" t="s">
        <v>12</v>
      </c>
      <c r="B14771" s="0" t="n">
        <v>4173883</v>
      </c>
      <c r="C14771" s="0" t="n">
        <v>4173903</v>
      </c>
      <c r="D14771" s="0" t="s">
        <v>49223</v>
      </c>
      <c r="E14771" s="0" t="s">
        <v>89</v>
      </c>
      <c r="F14771" s="0" t="s">
        <v>90</v>
      </c>
      <c r="G14771" s="0" t="s">
        <v>16</v>
      </c>
      <c r="H14771" s="0" t="n">
        <v>72</v>
      </c>
      <c r="I14771" s="0" t="s">
        <v>49224</v>
      </c>
      <c r="J14771" s="0" t="s">
        <v>49225</v>
      </c>
      <c r="K14771" s="0" t="s">
        <v>49226</v>
      </c>
      <c r="L14771" s="0" t="str">
        <f aca="false">HYPERLINK("https://www.ncbi.nlm.nih.gov/nuccore/CP000304.1?report=graph&amp;tracks=[key:gene_model_track,Options:GeneOnly]&amp;mk=4173884:4173903|offset_72|00cc00,4173850:4173869|offset_106|444444,4173807:4173826|offset_149|444444,4173751:4173770|offset_205|444444&amp;v=4173683:4173970&amp;c=444444", "offset 72")</f>
        <v>offset 72</v>
      </c>
    </row>
    <row r="14772" customFormat="false" ht="12.8" hidden="false" customHeight="false" outlineLevel="0" collapsed="false">
      <c r="A14772" s="0" t="s">
        <v>12</v>
      </c>
      <c r="B14772" s="0" t="n">
        <v>4173849</v>
      </c>
      <c r="C14772" s="0" t="n">
        <v>4173869</v>
      </c>
      <c r="D14772" s="0" t="s">
        <v>49223</v>
      </c>
      <c r="E14772" s="0" t="s">
        <v>89</v>
      </c>
      <c r="F14772" s="0" t="s">
        <v>90</v>
      </c>
      <c r="G14772" s="0" t="s">
        <v>16</v>
      </c>
      <c r="H14772" s="0" t="n">
        <v>106</v>
      </c>
      <c r="I14772" s="0" t="s">
        <v>49227</v>
      </c>
      <c r="J14772" s="0" t="s">
        <v>49228</v>
      </c>
      <c r="K14772" s="0" t="s">
        <v>49229</v>
      </c>
      <c r="L14772" s="0" t="str">
        <f aca="false">HYPERLINK("https://www.ncbi.nlm.nih.gov/nuccore/CP000304.1?report=graph&amp;tracks=[key:gene_model_track,Options:GeneOnly]&amp;mk=4173884:4173903|offset_72|444444,4173850:4173869|offset_106|00cc00,4173807:4173826|offset_149|444444,4173751:4173770|offset_205|444444&amp;v=4173683:4173970&amp;c=444444", "offset 106")</f>
        <v>offset 106</v>
      </c>
    </row>
    <row r="14773" customFormat="false" ht="12.8" hidden="false" customHeight="false" outlineLevel="0" collapsed="false">
      <c r="A14773" s="0" t="s">
        <v>12</v>
      </c>
      <c r="B14773" s="0" t="n">
        <v>4173806</v>
      </c>
      <c r="C14773" s="0" t="n">
        <v>4173826</v>
      </c>
      <c r="D14773" s="0" t="s">
        <v>49223</v>
      </c>
      <c r="E14773" s="0" t="s">
        <v>89</v>
      </c>
      <c r="F14773" s="0" t="s">
        <v>90</v>
      </c>
      <c r="G14773" s="0" t="s">
        <v>26</v>
      </c>
      <c r="H14773" s="0" t="n">
        <v>149</v>
      </c>
      <c r="I14773" s="0" t="s">
        <v>49230</v>
      </c>
      <c r="J14773" s="0" t="s">
        <v>49231</v>
      </c>
      <c r="K14773" s="0" t="s">
        <v>49232</v>
      </c>
      <c r="L14773" s="0" t="str">
        <f aca="false">HYPERLINK("https://www.ncbi.nlm.nih.gov/nuccore/CP000304.1?report=graph&amp;tracks=[key:gene_model_track,Options:GeneOnly]&amp;mk=4173884:4173903|offset_72|444444,4173850:4173869|offset_106|444444,4173807:4173826|offset_149|00cc00,4173751:4173770|offset_205|444444&amp;v=4173683:4173970&amp;c=444444", "offset 149")</f>
        <v>offset 149</v>
      </c>
    </row>
    <row r="14774" customFormat="false" ht="12.8" hidden="false" customHeight="false" outlineLevel="0" collapsed="false">
      <c r="A14774" s="0" t="s">
        <v>12</v>
      </c>
      <c r="B14774" s="0" t="n">
        <v>4173750</v>
      </c>
      <c r="C14774" s="0" t="n">
        <v>4173770</v>
      </c>
      <c r="D14774" s="0" t="s">
        <v>49223</v>
      </c>
      <c r="E14774" s="0" t="s">
        <v>89</v>
      </c>
      <c r="F14774" s="0" t="s">
        <v>90</v>
      </c>
      <c r="G14774" s="0" t="s">
        <v>26</v>
      </c>
      <c r="H14774" s="0" t="n">
        <v>205</v>
      </c>
      <c r="I14774" s="0" t="s">
        <v>49233</v>
      </c>
      <c r="J14774" s="0" t="s">
        <v>49234</v>
      </c>
      <c r="K14774" s="0" t="s">
        <v>49235</v>
      </c>
      <c r="L14774" s="0" t="str">
        <f aca="false">HYPERLINK("https://www.ncbi.nlm.nih.gov/nuccore/CP000304.1?report=graph&amp;tracks=[key:gene_model_track,Options:GeneOnly]&amp;mk=4173884:4173903|offset_72|444444,4173850:4173869|offset_106|444444,4173807:4173826|offset_149|444444,4173751:4173770|offset_205|00cc00&amp;v=4173683:4173970&amp;c=444444", "offset 205")</f>
        <v>offset 205</v>
      </c>
    </row>
    <row r="14775" customFormat="false" ht="12.8" hidden="false" customHeight="false" outlineLevel="0" collapsed="false">
      <c r="A14775" s="0" t="s">
        <v>12</v>
      </c>
      <c r="B14775" s="0" t="n">
        <v>4174101</v>
      </c>
      <c r="C14775" s="0" t="n">
        <v>4174121</v>
      </c>
      <c r="D14775" s="0" t="s">
        <v>49236</v>
      </c>
      <c r="E14775" s="0" t="s">
        <v>89</v>
      </c>
      <c r="F14775" s="0" t="s">
        <v>15</v>
      </c>
      <c r="G14775" s="0" t="s">
        <v>16</v>
      </c>
      <c r="H14775" s="0" t="n">
        <v>16</v>
      </c>
      <c r="I14775" s="0" t="s">
        <v>49237</v>
      </c>
      <c r="J14775" s="0" t="s">
        <v>49238</v>
      </c>
      <c r="K14775" s="0" t="s">
        <v>49239</v>
      </c>
      <c r="L14775" s="0" t="str">
        <f aca="false">HYPERLINK("https://www.ncbi.nlm.nih.gov/nuccore/CP000304.1?report=graph&amp;tracks=[key:gene_model_track,Options:GeneOnly]&amp;mk=4174102:4174121|offset_16|00cc00,4174126:4174145|offset_40|444444,4174146:4174165|offset_60|444444,4174184:4174203|offset_98|444444&amp;v=4173901:4174403&amp;c=444444", "offset 16")</f>
        <v>offset 16</v>
      </c>
    </row>
    <row r="14776" customFormat="false" ht="12.8" hidden="false" customHeight="false" outlineLevel="0" collapsed="false">
      <c r="A14776" s="0" t="s">
        <v>12</v>
      </c>
      <c r="B14776" s="0" t="n">
        <v>4174125</v>
      </c>
      <c r="C14776" s="0" t="n">
        <v>4174145</v>
      </c>
      <c r="D14776" s="0" t="s">
        <v>49236</v>
      </c>
      <c r="E14776" s="0" t="s">
        <v>89</v>
      </c>
      <c r="F14776" s="0" t="s">
        <v>15</v>
      </c>
      <c r="G14776" s="0" t="s">
        <v>16</v>
      </c>
      <c r="H14776" s="0" t="n">
        <v>40</v>
      </c>
      <c r="I14776" s="0" t="s">
        <v>49240</v>
      </c>
      <c r="J14776" s="0" t="s">
        <v>49241</v>
      </c>
      <c r="K14776" s="0" t="s">
        <v>49242</v>
      </c>
      <c r="L14776" s="0" t="str">
        <f aca="false">HYPERLINK("https://www.ncbi.nlm.nih.gov/nuccore/CP000304.1?report=graph&amp;tracks=[key:gene_model_track,Options:GeneOnly]&amp;mk=4174102:4174121|offset_16|444444,4174126:4174145|offset_40|00cc00,4174146:4174165|offset_60|444444,4174184:4174203|offset_98|444444&amp;v=4173901:4174403&amp;c=444444", "offset 40")</f>
        <v>offset 40</v>
      </c>
    </row>
    <row r="14777" customFormat="false" ht="12.8" hidden="false" customHeight="false" outlineLevel="0" collapsed="false">
      <c r="A14777" s="0" t="s">
        <v>12</v>
      </c>
      <c r="B14777" s="0" t="n">
        <v>4174145</v>
      </c>
      <c r="C14777" s="0" t="n">
        <v>4174165</v>
      </c>
      <c r="D14777" s="0" t="s">
        <v>49236</v>
      </c>
      <c r="E14777" s="0" t="s">
        <v>89</v>
      </c>
      <c r="F14777" s="0" t="s">
        <v>15</v>
      </c>
      <c r="G14777" s="0" t="s">
        <v>32</v>
      </c>
      <c r="H14777" s="0" t="n">
        <v>60</v>
      </c>
      <c r="I14777" s="0" t="s">
        <v>49243</v>
      </c>
      <c r="J14777" s="0" t="s">
        <v>49244</v>
      </c>
      <c r="K14777" s="0" t="s">
        <v>49245</v>
      </c>
      <c r="L14777" s="0" t="str">
        <f aca="false">HYPERLINK("https://www.ncbi.nlm.nih.gov/nuccore/CP000304.1?report=graph&amp;tracks=[key:gene_model_track,Options:GeneOnly]&amp;mk=4174102:4174121|offset_16|444444,4174126:4174145|offset_40|444444,4174146:4174165|offset_60|00cc00,4174184:4174203|offset_98|444444&amp;v=4173901:4174403&amp;c=444444", "offset 60")</f>
        <v>offset 60</v>
      </c>
    </row>
    <row r="14778" customFormat="false" ht="12.8" hidden="false" customHeight="false" outlineLevel="0" collapsed="false">
      <c r="A14778" s="0" t="s">
        <v>12</v>
      </c>
      <c r="B14778" s="0" t="n">
        <v>4174183</v>
      </c>
      <c r="C14778" s="0" t="n">
        <v>4174203</v>
      </c>
      <c r="D14778" s="0" t="s">
        <v>49236</v>
      </c>
      <c r="E14778" s="0" t="s">
        <v>89</v>
      </c>
      <c r="F14778" s="0" t="s">
        <v>15</v>
      </c>
      <c r="G14778" s="0" t="s">
        <v>26</v>
      </c>
      <c r="H14778" s="0" t="n">
        <v>98</v>
      </c>
      <c r="I14778" s="0" t="s">
        <v>49246</v>
      </c>
      <c r="J14778" s="0" t="s">
        <v>49247</v>
      </c>
      <c r="K14778" s="0" t="s">
        <v>49248</v>
      </c>
      <c r="L14778" s="0" t="str">
        <f aca="false">HYPERLINK("https://www.ncbi.nlm.nih.gov/nuccore/CP000304.1?report=graph&amp;tracks=[key:gene_model_track,Options:GeneOnly]&amp;mk=4174102:4174121|offset_16|444444,4174126:4174145|offset_40|444444,4174146:4174165|offset_60|444444,4174184:4174203|offset_98|00cc00&amp;v=4173901:4174403&amp;c=444444", "offset 98")</f>
        <v>offset 98</v>
      </c>
    </row>
    <row r="14779" customFormat="false" ht="12.8" hidden="false" customHeight="false" outlineLevel="0" collapsed="false">
      <c r="A14779" s="0" t="s">
        <v>12</v>
      </c>
      <c r="B14779" s="0" t="n">
        <v>4176807</v>
      </c>
      <c r="C14779" s="0" t="n">
        <v>4176827</v>
      </c>
      <c r="D14779" s="0" t="s">
        <v>49249</v>
      </c>
      <c r="E14779" s="0" t="s">
        <v>49250</v>
      </c>
      <c r="F14779" s="0" t="s">
        <v>15</v>
      </c>
      <c r="G14779" s="0" t="s">
        <v>16</v>
      </c>
      <c r="H14779" s="0" t="n">
        <v>37</v>
      </c>
      <c r="I14779" s="0" t="s">
        <v>49251</v>
      </c>
      <c r="J14779" s="0" t="s">
        <v>49252</v>
      </c>
      <c r="K14779" s="0" t="s">
        <v>49253</v>
      </c>
      <c r="L14779" s="0" t="str">
        <f aca="false">HYPERLINK("https://www.ncbi.nlm.nih.gov/nuccore/CP000304.1?report=graph&amp;tracks=[key:gene_model_track,Options:GeneOnly]&amp;mk=4176808:4176827|offset_37|00cc00,4176842:4176861|offset_71|444444,4176906:4176925|offset_135|444444,4176927:4176946|offset_156|444444&amp;v=4176607:4177146&amp;c=444444", "offset 37")</f>
        <v>offset 37</v>
      </c>
    </row>
    <row r="14780" customFormat="false" ht="12.8" hidden="false" customHeight="false" outlineLevel="0" collapsed="false">
      <c r="A14780" s="0" t="s">
        <v>12</v>
      </c>
      <c r="B14780" s="0" t="n">
        <v>4176841</v>
      </c>
      <c r="C14780" s="0" t="n">
        <v>4176861</v>
      </c>
      <c r="D14780" s="0" t="s">
        <v>49249</v>
      </c>
      <c r="E14780" s="0" t="s">
        <v>49250</v>
      </c>
      <c r="F14780" s="0" t="s">
        <v>15</v>
      </c>
      <c r="G14780" s="0" t="s">
        <v>16</v>
      </c>
      <c r="H14780" s="0" t="n">
        <v>71</v>
      </c>
      <c r="I14780" s="0" t="s">
        <v>49254</v>
      </c>
      <c r="J14780" s="0" t="s">
        <v>49255</v>
      </c>
      <c r="K14780" s="0" t="s">
        <v>49256</v>
      </c>
      <c r="L14780" s="0" t="str">
        <f aca="false">HYPERLINK("https://www.ncbi.nlm.nih.gov/nuccore/CP000304.1?report=graph&amp;tracks=[key:gene_model_track,Options:GeneOnly]&amp;mk=4176808:4176827|offset_37|444444,4176842:4176861|offset_71|00cc00,4176906:4176925|offset_135|444444,4176927:4176946|offset_156|444444&amp;v=4176607:4177146&amp;c=444444", "offset 71")</f>
        <v>offset 71</v>
      </c>
    </row>
    <row r="14781" customFormat="false" ht="12.8" hidden="false" customHeight="false" outlineLevel="0" collapsed="false">
      <c r="A14781" s="0" t="s">
        <v>12</v>
      </c>
      <c r="B14781" s="0" t="n">
        <v>4176905</v>
      </c>
      <c r="C14781" s="0" t="n">
        <v>4176925</v>
      </c>
      <c r="D14781" s="0" t="s">
        <v>49249</v>
      </c>
      <c r="E14781" s="0" t="s">
        <v>49250</v>
      </c>
      <c r="F14781" s="0" t="s">
        <v>15</v>
      </c>
      <c r="G14781" s="0" t="s">
        <v>36</v>
      </c>
      <c r="H14781" s="0" t="n">
        <v>135</v>
      </c>
      <c r="I14781" s="0" t="s">
        <v>49257</v>
      </c>
      <c r="J14781" s="0" t="s">
        <v>49258</v>
      </c>
      <c r="K14781" s="0" t="s">
        <v>49259</v>
      </c>
      <c r="L14781" s="0" t="str">
        <f aca="false">HYPERLINK("https://www.ncbi.nlm.nih.gov/nuccore/CP000304.1?report=graph&amp;tracks=[key:gene_model_track,Options:GeneOnly]&amp;mk=4176808:4176827|offset_37|444444,4176842:4176861|offset_71|444444,4176906:4176925|offset_135|00cc00,4176927:4176946|offset_156|444444&amp;v=4176607:4177146&amp;c=444444", "offset 135")</f>
        <v>offset 135</v>
      </c>
    </row>
    <row r="14782" customFormat="false" ht="12.8" hidden="false" customHeight="false" outlineLevel="0" collapsed="false">
      <c r="A14782" s="0" t="s">
        <v>12</v>
      </c>
      <c r="B14782" s="0" t="n">
        <v>4176926</v>
      </c>
      <c r="C14782" s="0" t="n">
        <v>4176946</v>
      </c>
      <c r="D14782" s="0" t="s">
        <v>49249</v>
      </c>
      <c r="E14782" s="0" t="s">
        <v>49250</v>
      </c>
      <c r="F14782" s="0" t="s">
        <v>15</v>
      </c>
      <c r="G14782" s="0" t="s">
        <v>36</v>
      </c>
      <c r="H14782" s="0" t="n">
        <v>156</v>
      </c>
      <c r="I14782" s="0" t="s">
        <v>49260</v>
      </c>
      <c r="J14782" s="0" t="s">
        <v>49261</v>
      </c>
      <c r="K14782" s="0" t="s">
        <v>49262</v>
      </c>
      <c r="L14782" s="0" t="str">
        <f aca="false">HYPERLINK("https://www.ncbi.nlm.nih.gov/nuccore/CP000304.1?report=graph&amp;tracks=[key:gene_model_track,Options:GeneOnly]&amp;mk=4176808:4176827|offset_37|444444,4176842:4176861|offset_71|444444,4176906:4176925|offset_135|444444,4176927:4176946|offset_156|00cc00&amp;v=4176607:4177146&amp;c=444444", "offset 156")</f>
        <v>offset 156</v>
      </c>
    </row>
    <row r="14783" customFormat="false" ht="12.8" hidden="false" customHeight="false" outlineLevel="0" collapsed="false">
      <c r="A14783" s="0" t="s">
        <v>12</v>
      </c>
      <c r="B14783" s="0" t="n">
        <v>4177553</v>
      </c>
      <c r="C14783" s="0" t="n">
        <v>4177573</v>
      </c>
      <c r="D14783" s="0" t="s">
        <v>49263</v>
      </c>
      <c r="E14783" s="0" t="s">
        <v>89</v>
      </c>
      <c r="F14783" s="0" t="s">
        <v>90</v>
      </c>
      <c r="G14783" s="0" t="s">
        <v>32</v>
      </c>
      <c r="H14783" s="0" t="n">
        <v>55</v>
      </c>
      <c r="I14783" s="0" t="s">
        <v>49264</v>
      </c>
      <c r="J14783" s="0" t="s">
        <v>49265</v>
      </c>
      <c r="K14783" s="0" t="s">
        <v>49266</v>
      </c>
      <c r="L14783" s="0" t="str">
        <f aca="false">HYPERLINK("https://www.ncbi.nlm.nih.gov/nuccore/CP000304.1?report=graph&amp;tracks=[key:gene_model_track,Options:GeneOnly]&amp;mk=4177554:4177573|offset_55|00cc00&amp;v=4177353:4177773&amp;c=444444", "offset 55")</f>
        <v>offset 55</v>
      </c>
    </row>
    <row r="14784" customFormat="false" ht="12.8" hidden="false" customHeight="false" outlineLevel="0" collapsed="false">
      <c r="A14784" s="0" t="s">
        <v>12</v>
      </c>
      <c r="B14784" s="0" t="n">
        <v>4179673</v>
      </c>
      <c r="C14784" s="0" t="n">
        <v>4179693</v>
      </c>
      <c r="D14784" s="0" t="s">
        <v>49267</v>
      </c>
      <c r="E14784" s="0" t="s">
        <v>89</v>
      </c>
      <c r="F14784" s="0" t="s">
        <v>90</v>
      </c>
      <c r="G14784" s="0" t="s">
        <v>32</v>
      </c>
      <c r="H14784" s="0" t="n">
        <v>1</v>
      </c>
      <c r="I14784" s="0" t="s">
        <v>49268</v>
      </c>
      <c r="J14784" s="0" t="s">
        <v>49269</v>
      </c>
      <c r="K14784" s="0" t="s">
        <v>49270</v>
      </c>
      <c r="L14784" s="0" t="str">
        <f aca="false">HYPERLINK("https://www.ncbi.nlm.nih.gov/nuccore/CP000304.1?report=graph&amp;tracks=[key:gene_model_track,Options:GeneOnly]&amp;mk=4179674:4179693|offset_1|00cc00,4179654:4179673|offset_21|444444,4179609:4179628|offset_66|444444,4179588:4179607|offset_87|444444&amp;v=4179473:4179807&amp;c=444444", "offset 1")</f>
        <v>offset 1</v>
      </c>
    </row>
    <row r="14785" customFormat="false" ht="12.8" hidden="false" customHeight="false" outlineLevel="0" collapsed="false">
      <c r="A14785" s="0" t="s">
        <v>12</v>
      </c>
      <c r="B14785" s="0" t="n">
        <v>4179653</v>
      </c>
      <c r="C14785" s="0" t="n">
        <v>4179673</v>
      </c>
      <c r="D14785" s="0" t="s">
        <v>49267</v>
      </c>
      <c r="E14785" s="0" t="s">
        <v>89</v>
      </c>
      <c r="F14785" s="0" t="s">
        <v>90</v>
      </c>
      <c r="G14785" s="0" t="s">
        <v>16</v>
      </c>
      <c r="H14785" s="0" t="n">
        <v>21</v>
      </c>
      <c r="I14785" s="0" t="s">
        <v>49271</v>
      </c>
      <c r="J14785" s="0" t="s">
        <v>49272</v>
      </c>
      <c r="K14785" s="0" t="s">
        <v>49273</v>
      </c>
      <c r="L14785" s="0" t="str">
        <f aca="false">HYPERLINK("https://www.ncbi.nlm.nih.gov/nuccore/CP000304.1?report=graph&amp;tracks=[key:gene_model_track,Options:GeneOnly]&amp;mk=4179674:4179693|offset_1|444444,4179654:4179673|offset_21|00cc00,4179609:4179628|offset_66|444444,4179588:4179607|offset_87|444444&amp;v=4179473:4179807&amp;c=444444", "offset 21")</f>
        <v>offset 21</v>
      </c>
    </row>
    <row r="14786" customFormat="false" ht="12.8" hidden="false" customHeight="false" outlineLevel="0" collapsed="false">
      <c r="A14786" s="0" t="s">
        <v>12</v>
      </c>
      <c r="B14786" s="0" t="n">
        <v>4179608</v>
      </c>
      <c r="C14786" s="0" t="n">
        <v>4179628</v>
      </c>
      <c r="D14786" s="0" t="s">
        <v>49267</v>
      </c>
      <c r="E14786" s="0" t="s">
        <v>89</v>
      </c>
      <c r="F14786" s="0" t="s">
        <v>90</v>
      </c>
      <c r="G14786" s="0" t="s">
        <v>16</v>
      </c>
      <c r="H14786" s="0" t="n">
        <v>66</v>
      </c>
      <c r="I14786" s="0" t="s">
        <v>49274</v>
      </c>
      <c r="J14786" s="0" t="s">
        <v>49275</v>
      </c>
      <c r="K14786" s="0" t="s">
        <v>49276</v>
      </c>
      <c r="L14786" s="0" t="str">
        <f aca="false">HYPERLINK("https://www.ncbi.nlm.nih.gov/nuccore/CP000304.1?report=graph&amp;tracks=[key:gene_model_track,Options:GeneOnly]&amp;mk=4179674:4179693|offset_1|444444,4179654:4179673|offset_21|444444,4179609:4179628|offset_66|00cc00,4179588:4179607|offset_87|444444&amp;v=4179473:4179807&amp;c=444444", "offset 66")</f>
        <v>offset 66</v>
      </c>
    </row>
    <row r="14787" customFormat="false" ht="12.8" hidden="false" customHeight="false" outlineLevel="0" collapsed="false">
      <c r="A14787" s="0" t="s">
        <v>12</v>
      </c>
      <c r="B14787" s="0" t="n">
        <v>4179587</v>
      </c>
      <c r="C14787" s="0" t="n">
        <v>4179607</v>
      </c>
      <c r="D14787" s="0" t="s">
        <v>49267</v>
      </c>
      <c r="E14787" s="0" t="s">
        <v>89</v>
      </c>
      <c r="F14787" s="0" t="s">
        <v>90</v>
      </c>
      <c r="G14787" s="0" t="s">
        <v>32</v>
      </c>
      <c r="H14787" s="0" t="n">
        <v>87</v>
      </c>
      <c r="I14787" s="0" t="s">
        <v>49277</v>
      </c>
      <c r="J14787" s="0" t="s">
        <v>49278</v>
      </c>
      <c r="K14787" s="0" t="s">
        <v>49279</v>
      </c>
      <c r="L14787" s="0" t="str">
        <f aca="false">HYPERLINK("https://www.ncbi.nlm.nih.gov/nuccore/CP000304.1?report=graph&amp;tracks=[key:gene_model_track,Options:GeneOnly]&amp;mk=4179674:4179693|offset_1|444444,4179654:4179673|offset_21|444444,4179609:4179628|offset_66|444444,4179588:4179607|offset_87|00cc00&amp;v=4179473:4179807&amp;c=444444", "offset 87")</f>
        <v>offset 87</v>
      </c>
    </row>
    <row r="14788" customFormat="false" ht="12.8" hidden="false" customHeight="false" outlineLevel="0" collapsed="false">
      <c r="A14788" s="0" t="s">
        <v>12</v>
      </c>
      <c r="B14788" s="0" t="n">
        <v>4180973</v>
      </c>
      <c r="C14788" s="0" t="n">
        <v>4180993</v>
      </c>
      <c r="D14788" s="0" t="s">
        <v>49280</v>
      </c>
      <c r="E14788" s="0" t="s">
        <v>89</v>
      </c>
      <c r="F14788" s="0" t="s">
        <v>90</v>
      </c>
      <c r="G14788" s="0" t="s">
        <v>16</v>
      </c>
      <c r="H14788" s="0" t="n">
        <v>42</v>
      </c>
      <c r="I14788" s="0" t="s">
        <v>49281</v>
      </c>
      <c r="J14788" s="0" t="s">
        <v>49282</v>
      </c>
      <c r="K14788" s="0" t="s">
        <v>49283</v>
      </c>
      <c r="L14788" s="0" t="str">
        <f aca="false">HYPERLINK("https://www.ncbi.nlm.nih.gov/nuccore/CP000304.1?report=graph&amp;tracks=[key:gene_model_track,Options:GeneOnly]&amp;mk=4180974:4180993|offset_42|00cc00,4180927:4180946|offset_89|444444,4180879:4180898|offset_137|444444,4180852:4180871|offset_164|444444&amp;v=4180773:4181071&amp;c=444444", "offset 42")</f>
        <v>offset 42</v>
      </c>
    </row>
    <row r="14789" customFormat="false" ht="12.8" hidden="false" customHeight="false" outlineLevel="0" collapsed="false">
      <c r="A14789" s="0" t="s">
        <v>12</v>
      </c>
      <c r="B14789" s="0" t="n">
        <v>4180926</v>
      </c>
      <c r="C14789" s="0" t="n">
        <v>4180946</v>
      </c>
      <c r="D14789" s="0" t="s">
        <v>49280</v>
      </c>
      <c r="E14789" s="0" t="s">
        <v>89</v>
      </c>
      <c r="F14789" s="0" t="s">
        <v>90</v>
      </c>
      <c r="G14789" s="0" t="s">
        <v>16</v>
      </c>
      <c r="H14789" s="0" t="n">
        <v>89</v>
      </c>
      <c r="I14789" s="0" t="s">
        <v>49284</v>
      </c>
      <c r="J14789" s="0" t="s">
        <v>49285</v>
      </c>
      <c r="K14789" s="0" t="s">
        <v>49286</v>
      </c>
      <c r="L14789" s="0" t="str">
        <f aca="false">HYPERLINK("https://www.ncbi.nlm.nih.gov/nuccore/CP000304.1?report=graph&amp;tracks=[key:gene_model_track,Options:GeneOnly]&amp;mk=4180974:4180993|offset_42|444444,4180927:4180946|offset_89|00cc00,4180879:4180898|offset_137|444444,4180852:4180871|offset_164|444444&amp;v=4180773:4181071&amp;c=444444", "offset 89")</f>
        <v>offset 89</v>
      </c>
    </row>
    <row r="14790" customFormat="false" ht="12.8" hidden="false" customHeight="false" outlineLevel="0" collapsed="false">
      <c r="A14790" s="0" t="s">
        <v>12</v>
      </c>
      <c r="B14790" s="0" t="n">
        <v>4180878</v>
      </c>
      <c r="C14790" s="0" t="n">
        <v>4180898</v>
      </c>
      <c r="D14790" s="0" t="s">
        <v>49280</v>
      </c>
      <c r="E14790" s="0" t="s">
        <v>89</v>
      </c>
      <c r="F14790" s="0" t="s">
        <v>90</v>
      </c>
      <c r="G14790" s="0" t="s">
        <v>26</v>
      </c>
      <c r="H14790" s="0" t="n">
        <v>137</v>
      </c>
      <c r="I14790" s="0" t="s">
        <v>49287</v>
      </c>
      <c r="J14790" s="0" t="s">
        <v>49288</v>
      </c>
      <c r="K14790" s="0" t="s">
        <v>49289</v>
      </c>
      <c r="L14790" s="0" t="str">
        <f aca="false">HYPERLINK("https://www.ncbi.nlm.nih.gov/nuccore/CP000304.1?report=graph&amp;tracks=[key:gene_model_track,Options:GeneOnly]&amp;mk=4180974:4180993|offset_42|444444,4180927:4180946|offset_89|444444,4180879:4180898|offset_137|00cc00,4180852:4180871|offset_164|444444&amp;v=4180773:4181071&amp;c=444444", "offset 137")</f>
        <v>offset 137</v>
      </c>
    </row>
    <row r="14791" customFormat="false" ht="12.8" hidden="false" customHeight="false" outlineLevel="0" collapsed="false">
      <c r="A14791" s="0" t="s">
        <v>12</v>
      </c>
      <c r="B14791" s="0" t="n">
        <v>4180851</v>
      </c>
      <c r="C14791" s="0" t="n">
        <v>4180871</v>
      </c>
      <c r="D14791" s="0" t="s">
        <v>49280</v>
      </c>
      <c r="E14791" s="0" t="s">
        <v>89</v>
      </c>
      <c r="F14791" s="0" t="s">
        <v>90</v>
      </c>
      <c r="G14791" s="0" t="s">
        <v>16</v>
      </c>
      <c r="H14791" s="0" t="n">
        <v>164</v>
      </c>
      <c r="I14791" s="0" t="s">
        <v>49290</v>
      </c>
      <c r="J14791" s="0" t="s">
        <v>49291</v>
      </c>
      <c r="K14791" s="0" t="s">
        <v>49292</v>
      </c>
      <c r="L14791" s="0" t="str">
        <f aca="false">HYPERLINK("https://www.ncbi.nlm.nih.gov/nuccore/CP000304.1?report=graph&amp;tracks=[key:gene_model_track,Options:GeneOnly]&amp;mk=4180974:4180993|offset_42|444444,4180927:4180946|offset_89|444444,4180879:4180898|offset_137|444444,4180852:4180871|offset_164|00cc00&amp;v=4180773:4181071&amp;c=444444", "offset 164")</f>
        <v>offset 164</v>
      </c>
    </row>
    <row r="14792" customFormat="false" ht="12.8" hidden="false" customHeight="false" outlineLevel="0" collapsed="false">
      <c r="A14792" s="0" t="s">
        <v>12</v>
      </c>
      <c r="B14792" s="0" t="n">
        <v>4183112</v>
      </c>
      <c r="C14792" s="0" t="n">
        <v>4183132</v>
      </c>
      <c r="D14792" s="0" t="s">
        <v>49293</v>
      </c>
      <c r="E14792" s="0" t="s">
        <v>89</v>
      </c>
      <c r="F14792" s="0" t="s">
        <v>90</v>
      </c>
      <c r="G14792" s="0" t="s">
        <v>16</v>
      </c>
      <c r="H14792" s="0" t="n">
        <v>7</v>
      </c>
      <c r="I14792" s="0" t="s">
        <v>49294</v>
      </c>
      <c r="J14792" s="0" t="s">
        <v>49295</v>
      </c>
      <c r="K14792" s="0" t="s">
        <v>49296</v>
      </c>
      <c r="L14792" s="0" t="str">
        <f aca="false">HYPERLINK("https://www.ncbi.nlm.nih.gov/nuccore/CP000304.1?report=graph&amp;tracks=[key:gene_model_track,Options:GeneOnly]&amp;mk=4183113:4183132|offset_7|00cc00,4183080:4183099|offset_40|444444,4183060:4183079|offset_60|444444,4183031:4183050|offset_89|444444&amp;v=4182912:4183250&amp;c=444444", "offset 7")</f>
        <v>offset 7</v>
      </c>
    </row>
    <row r="14793" customFormat="false" ht="12.8" hidden="false" customHeight="false" outlineLevel="0" collapsed="false">
      <c r="A14793" s="0" t="s">
        <v>12</v>
      </c>
      <c r="B14793" s="0" t="n">
        <v>4183079</v>
      </c>
      <c r="C14793" s="0" t="n">
        <v>4183099</v>
      </c>
      <c r="D14793" s="0" t="s">
        <v>49293</v>
      </c>
      <c r="E14793" s="0" t="s">
        <v>89</v>
      </c>
      <c r="F14793" s="0" t="s">
        <v>90</v>
      </c>
      <c r="G14793" s="0" t="s">
        <v>16</v>
      </c>
      <c r="H14793" s="0" t="n">
        <v>40</v>
      </c>
      <c r="I14793" s="0" t="s">
        <v>49297</v>
      </c>
      <c r="J14793" s="0" t="s">
        <v>49298</v>
      </c>
      <c r="K14793" s="0" t="s">
        <v>49299</v>
      </c>
      <c r="L14793" s="0" t="str">
        <f aca="false">HYPERLINK("https://www.ncbi.nlm.nih.gov/nuccore/CP000304.1?report=graph&amp;tracks=[key:gene_model_track,Options:GeneOnly]&amp;mk=4183113:4183132|offset_7|444444,4183080:4183099|offset_40|00cc00,4183060:4183079|offset_60|444444,4183031:4183050|offset_89|444444&amp;v=4182912:4183250&amp;c=444444", "offset 40")</f>
        <v>offset 40</v>
      </c>
    </row>
    <row r="14794" customFormat="false" ht="12.8" hidden="false" customHeight="false" outlineLevel="0" collapsed="false">
      <c r="A14794" s="0" t="s">
        <v>12</v>
      </c>
      <c r="B14794" s="0" t="n">
        <v>4183059</v>
      </c>
      <c r="C14794" s="0" t="n">
        <v>4183079</v>
      </c>
      <c r="D14794" s="0" t="s">
        <v>49293</v>
      </c>
      <c r="E14794" s="0" t="s">
        <v>89</v>
      </c>
      <c r="F14794" s="0" t="s">
        <v>90</v>
      </c>
      <c r="G14794" s="0" t="s">
        <v>36</v>
      </c>
      <c r="H14794" s="0" t="n">
        <v>60</v>
      </c>
      <c r="I14794" s="0" t="s">
        <v>49300</v>
      </c>
      <c r="J14794" s="0" t="s">
        <v>49301</v>
      </c>
      <c r="K14794" s="0" t="s">
        <v>49302</v>
      </c>
      <c r="L14794" s="0" t="str">
        <f aca="false">HYPERLINK("https://www.ncbi.nlm.nih.gov/nuccore/CP000304.1?report=graph&amp;tracks=[key:gene_model_track,Options:GeneOnly]&amp;mk=4183113:4183132|offset_7|444444,4183080:4183099|offset_40|444444,4183060:4183079|offset_60|00cc00,4183031:4183050|offset_89|444444&amp;v=4182912:4183250&amp;c=444444", "offset 60")</f>
        <v>offset 60</v>
      </c>
    </row>
    <row r="14795" customFormat="false" ht="12.8" hidden="false" customHeight="false" outlineLevel="0" collapsed="false">
      <c r="A14795" s="0" t="s">
        <v>12</v>
      </c>
      <c r="B14795" s="0" t="n">
        <v>4183030</v>
      </c>
      <c r="C14795" s="0" t="n">
        <v>4183050</v>
      </c>
      <c r="D14795" s="0" t="s">
        <v>49293</v>
      </c>
      <c r="E14795" s="0" t="s">
        <v>89</v>
      </c>
      <c r="F14795" s="0" t="s">
        <v>90</v>
      </c>
      <c r="G14795" s="0" t="s">
        <v>16</v>
      </c>
      <c r="H14795" s="0" t="n">
        <v>89</v>
      </c>
      <c r="I14795" s="0" t="s">
        <v>49303</v>
      </c>
      <c r="J14795" s="0" t="s">
        <v>49304</v>
      </c>
      <c r="K14795" s="0" t="s">
        <v>49305</v>
      </c>
      <c r="L14795" s="0" t="str">
        <f aca="false">HYPERLINK("https://www.ncbi.nlm.nih.gov/nuccore/CP000304.1?report=graph&amp;tracks=[key:gene_model_track,Options:GeneOnly]&amp;mk=4183113:4183132|offset_7|444444,4183080:4183099|offset_40|444444,4183060:4183079|offset_60|444444,4183031:4183050|offset_89|00cc00&amp;v=4182912:4183250&amp;c=444444", "offset 89")</f>
        <v>offset 89</v>
      </c>
    </row>
    <row r="14796" customFormat="false" ht="12.8" hidden="false" customHeight="false" outlineLevel="0" collapsed="false">
      <c r="A14796" s="0" t="s">
        <v>12</v>
      </c>
      <c r="B14796" s="0" t="n">
        <v>4183668</v>
      </c>
      <c r="C14796" s="0" t="n">
        <v>4183688</v>
      </c>
      <c r="D14796" s="0" t="s">
        <v>49306</v>
      </c>
      <c r="E14796" s="0" t="s">
        <v>89</v>
      </c>
      <c r="F14796" s="0" t="s">
        <v>90</v>
      </c>
      <c r="G14796" s="0" t="s">
        <v>32</v>
      </c>
      <c r="H14796" s="0" t="n">
        <v>13</v>
      </c>
      <c r="I14796" s="0" t="s">
        <v>49307</v>
      </c>
      <c r="J14796" s="0" t="s">
        <v>49308</v>
      </c>
      <c r="K14796" s="0" t="s">
        <v>49309</v>
      </c>
      <c r="L14796" s="0" t="str">
        <f aca="false">HYPERLINK("https://www.ncbi.nlm.nih.gov/nuccore/CP000304.1?report=graph&amp;tracks=[key:gene_model_track,Options:GeneOnly]&amp;mk=4183669:4183688|offset_13|00cc00,4183639:4183658|offset_43|444444,4183606:4183625|offset_76|444444,4183585:4183604|offset_97|444444&amp;v=4183468:4183804&amp;c=444444", "offset 13")</f>
        <v>offset 13</v>
      </c>
    </row>
    <row r="14797" customFormat="false" ht="12.8" hidden="false" customHeight="false" outlineLevel="0" collapsed="false">
      <c r="A14797" s="0" t="s">
        <v>12</v>
      </c>
      <c r="B14797" s="0" t="n">
        <v>4183638</v>
      </c>
      <c r="C14797" s="0" t="n">
        <v>4183658</v>
      </c>
      <c r="D14797" s="0" t="s">
        <v>49306</v>
      </c>
      <c r="E14797" s="0" t="s">
        <v>89</v>
      </c>
      <c r="F14797" s="0" t="s">
        <v>90</v>
      </c>
      <c r="G14797" s="0" t="s">
        <v>26</v>
      </c>
      <c r="H14797" s="0" t="n">
        <v>43</v>
      </c>
      <c r="I14797" s="0" t="s">
        <v>49310</v>
      </c>
      <c r="J14797" s="0" t="s">
        <v>49311</v>
      </c>
      <c r="K14797" s="0" t="s">
        <v>49312</v>
      </c>
      <c r="L14797" s="0" t="str">
        <f aca="false">HYPERLINK("https://www.ncbi.nlm.nih.gov/nuccore/CP000304.1?report=graph&amp;tracks=[key:gene_model_track,Options:GeneOnly]&amp;mk=4183669:4183688|offset_13|444444,4183639:4183658|offset_43|00cc00,4183606:4183625|offset_76|444444,4183585:4183604|offset_97|444444&amp;v=4183468:4183804&amp;c=444444", "offset 43")</f>
        <v>offset 43</v>
      </c>
    </row>
    <row r="14798" customFormat="false" ht="12.8" hidden="false" customHeight="false" outlineLevel="0" collapsed="false">
      <c r="A14798" s="0" t="s">
        <v>12</v>
      </c>
      <c r="B14798" s="0" t="n">
        <v>4183605</v>
      </c>
      <c r="C14798" s="0" t="n">
        <v>4183625</v>
      </c>
      <c r="D14798" s="0" t="s">
        <v>49306</v>
      </c>
      <c r="E14798" s="0" t="s">
        <v>89</v>
      </c>
      <c r="F14798" s="0" t="s">
        <v>90</v>
      </c>
      <c r="G14798" s="0" t="s">
        <v>16</v>
      </c>
      <c r="H14798" s="0" t="n">
        <v>76</v>
      </c>
      <c r="I14798" s="0" t="s">
        <v>49313</v>
      </c>
      <c r="J14798" s="0" t="s">
        <v>49314</v>
      </c>
      <c r="K14798" s="0" t="s">
        <v>49315</v>
      </c>
      <c r="L14798" s="0" t="str">
        <f aca="false">HYPERLINK("https://www.ncbi.nlm.nih.gov/nuccore/CP000304.1?report=graph&amp;tracks=[key:gene_model_track,Options:GeneOnly]&amp;mk=4183669:4183688|offset_13|444444,4183639:4183658|offset_43|444444,4183606:4183625|offset_76|00cc00,4183585:4183604|offset_97|444444&amp;v=4183468:4183804&amp;c=444444", "offset 76")</f>
        <v>offset 76</v>
      </c>
    </row>
    <row r="14799" customFormat="false" ht="12.8" hidden="false" customHeight="false" outlineLevel="0" collapsed="false">
      <c r="A14799" s="0" t="s">
        <v>12</v>
      </c>
      <c r="B14799" s="0" t="n">
        <v>4183584</v>
      </c>
      <c r="C14799" s="0" t="n">
        <v>4183604</v>
      </c>
      <c r="D14799" s="0" t="s">
        <v>49306</v>
      </c>
      <c r="E14799" s="0" t="s">
        <v>89</v>
      </c>
      <c r="F14799" s="0" t="s">
        <v>90</v>
      </c>
      <c r="G14799" s="0" t="s">
        <v>32</v>
      </c>
      <c r="H14799" s="0" t="n">
        <v>97</v>
      </c>
      <c r="I14799" s="0" t="s">
        <v>49316</v>
      </c>
      <c r="J14799" s="0" t="s">
        <v>49317</v>
      </c>
      <c r="K14799" s="0" t="s">
        <v>49318</v>
      </c>
      <c r="L14799" s="0" t="str">
        <f aca="false">HYPERLINK("https://www.ncbi.nlm.nih.gov/nuccore/CP000304.1?report=graph&amp;tracks=[key:gene_model_track,Options:GeneOnly]&amp;mk=4183669:4183688|offset_13|444444,4183639:4183658|offset_43|444444,4183606:4183625|offset_76|444444,4183585:4183604|offset_97|00cc00&amp;v=4183468:4183804&amp;c=444444", "offset 97")</f>
        <v>offset 97</v>
      </c>
    </row>
    <row r="14800" customFormat="false" ht="12.8" hidden="false" customHeight="false" outlineLevel="0" collapsed="false">
      <c r="A14800" s="0" t="s">
        <v>12</v>
      </c>
      <c r="B14800" s="0" t="n">
        <v>4184440</v>
      </c>
      <c r="C14800" s="0" t="n">
        <v>4184460</v>
      </c>
      <c r="D14800" s="0" t="s">
        <v>49319</v>
      </c>
      <c r="E14800" s="0" t="s">
        <v>49320</v>
      </c>
      <c r="F14800" s="0" t="s">
        <v>90</v>
      </c>
      <c r="G14800" s="0" t="s">
        <v>26</v>
      </c>
      <c r="H14800" s="0" t="n">
        <v>40</v>
      </c>
      <c r="I14800" s="0" t="s">
        <v>49321</v>
      </c>
      <c r="J14800" s="0" t="s">
        <v>49322</v>
      </c>
      <c r="K14800" s="0" t="s">
        <v>49323</v>
      </c>
      <c r="L14800" s="0" t="str">
        <f aca="false">HYPERLINK("https://www.ncbi.nlm.nih.gov/nuccore/CP000304.1?report=graph&amp;tracks=[key:gene_model_track,Options:GeneOnly]&amp;mk=4184441:4184460|offset_40|00cc00,4184402:4184421|offset_79|444444,4184375:4184394|offset_106|444444,4184354:4184373|offset_127|444444&amp;v=4184240:4184573&amp;c=444444", "offset 40")</f>
        <v>offset 40</v>
      </c>
    </row>
    <row r="14801" customFormat="false" ht="12.8" hidden="false" customHeight="false" outlineLevel="0" collapsed="false">
      <c r="A14801" s="0" t="s">
        <v>12</v>
      </c>
      <c r="B14801" s="0" t="n">
        <v>4184401</v>
      </c>
      <c r="C14801" s="0" t="n">
        <v>4184421</v>
      </c>
      <c r="D14801" s="0" t="s">
        <v>49319</v>
      </c>
      <c r="E14801" s="0" t="s">
        <v>49320</v>
      </c>
      <c r="F14801" s="0" t="s">
        <v>90</v>
      </c>
      <c r="G14801" s="0" t="s">
        <v>32</v>
      </c>
      <c r="H14801" s="0" t="n">
        <v>79</v>
      </c>
      <c r="I14801" s="0" t="s">
        <v>49324</v>
      </c>
      <c r="J14801" s="0" t="s">
        <v>49325</v>
      </c>
      <c r="K14801" s="0" t="s">
        <v>49326</v>
      </c>
      <c r="L14801" s="0" t="str">
        <f aca="false">HYPERLINK("https://www.ncbi.nlm.nih.gov/nuccore/CP000304.1?report=graph&amp;tracks=[key:gene_model_track,Options:GeneOnly]&amp;mk=4184441:4184460|offset_40|444444,4184402:4184421|offset_79|00cc00,4184375:4184394|offset_106|444444,4184354:4184373|offset_127|444444&amp;v=4184240:4184573&amp;c=444444", "offset 79")</f>
        <v>offset 79</v>
      </c>
    </row>
    <row r="14802" customFormat="false" ht="12.8" hidden="false" customHeight="false" outlineLevel="0" collapsed="false">
      <c r="A14802" s="0" t="s">
        <v>12</v>
      </c>
      <c r="B14802" s="0" t="n">
        <v>4184374</v>
      </c>
      <c r="C14802" s="0" t="n">
        <v>4184394</v>
      </c>
      <c r="D14802" s="0" t="s">
        <v>49319</v>
      </c>
      <c r="E14802" s="0" t="s">
        <v>49320</v>
      </c>
      <c r="F14802" s="0" t="s">
        <v>90</v>
      </c>
      <c r="G14802" s="0" t="s">
        <v>16</v>
      </c>
      <c r="H14802" s="0" t="n">
        <v>106</v>
      </c>
      <c r="I14802" s="0" t="s">
        <v>49327</v>
      </c>
      <c r="J14802" s="0" t="s">
        <v>49328</v>
      </c>
      <c r="K14802" s="0" t="s">
        <v>49329</v>
      </c>
      <c r="L14802" s="0" t="str">
        <f aca="false">HYPERLINK("https://www.ncbi.nlm.nih.gov/nuccore/CP000304.1?report=graph&amp;tracks=[key:gene_model_track,Options:GeneOnly]&amp;mk=4184441:4184460|offset_40|444444,4184402:4184421|offset_79|444444,4184375:4184394|offset_106|00cc00,4184354:4184373|offset_127|444444&amp;v=4184240:4184573&amp;c=444444", "offset 106")</f>
        <v>offset 106</v>
      </c>
    </row>
    <row r="14803" customFormat="false" ht="12.8" hidden="false" customHeight="false" outlineLevel="0" collapsed="false">
      <c r="A14803" s="0" t="s">
        <v>12</v>
      </c>
      <c r="B14803" s="0" t="n">
        <v>4184353</v>
      </c>
      <c r="C14803" s="0" t="n">
        <v>4184373</v>
      </c>
      <c r="D14803" s="0" t="s">
        <v>49319</v>
      </c>
      <c r="E14803" s="0" t="s">
        <v>49320</v>
      </c>
      <c r="F14803" s="0" t="s">
        <v>90</v>
      </c>
      <c r="G14803" s="0" t="s">
        <v>32</v>
      </c>
      <c r="H14803" s="0" t="n">
        <v>127</v>
      </c>
      <c r="I14803" s="0" t="s">
        <v>49330</v>
      </c>
      <c r="J14803" s="0" t="s">
        <v>49331</v>
      </c>
      <c r="K14803" s="0" t="s">
        <v>49332</v>
      </c>
      <c r="L14803" s="0" t="str">
        <f aca="false">HYPERLINK("https://www.ncbi.nlm.nih.gov/nuccore/CP000304.1?report=graph&amp;tracks=[key:gene_model_track,Options:GeneOnly]&amp;mk=4184441:4184460|offset_40|444444,4184402:4184421|offset_79|444444,4184375:4184394|offset_106|444444,4184354:4184373|offset_127|00cc00&amp;v=4184240:4184573&amp;c=444444", "offset 127")</f>
        <v>offset 127</v>
      </c>
    </row>
    <row r="14804" customFormat="false" ht="12.8" hidden="false" customHeight="false" outlineLevel="0" collapsed="false">
      <c r="A14804" s="0" t="s">
        <v>12</v>
      </c>
      <c r="B14804" s="0" t="n">
        <v>4185236</v>
      </c>
      <c r="C14804" s="0" t="n">
        <v>4185256</v>
      </c>
      <c r="D14804" s="0" t="s">
        <v>49333</v>
      </c>
      <c r="E14804" s="0" t="s">
        <v>49334</v>
      </c>
      <c r="F14804" s="0" t="s">
        <v>90</v>
      </c>
      <c r="G14804" s="0" t="s">
        <v>16</v>
      </c>
      <c r="H14804" s="0" t="n">
        <v>16</v>
      </c>
      <c r="I14804" s="0" t="s">
        <v>49335</v>
      </c>
      <c r="J14804" s="0" t="s">
        <v>49336</v>
      </c>
      <c r="K14804" s="0" t="s">
        <v>49337</v>
      </c>
      <c r="L14804" s="0" t="str">
        <f aca="false">HYPERLINK("https://www.ncbi.nlm.nih.gov/nuccore/CP000304.1?report=graph&amp;tracks=[key:gene_model_track,Options:GeneOnly]&amp;mk=4185237:4185256|offset_16|00cc00,4185215:4185234|offset_38|444444,4185195:4185214|offset_58|444444,4185165:4185184|offset_88|444444&amp;v=4185036:4185384&amp;c=444444", "offset 16")</f>
        <v>offset 16</v>
      </c>
    </row>
    <row r="14805" customFormat="false" ht="12.8" hidden="false" customHeight="false" outlineLevel="0" collapsed="false">
      <c r="A14805" s="0" t="s">
        <v>12</v>
      </c>
      <c r="B14805" s="0" t="n">
        <v>4185214</v>
      </c>
      <c r="C14805" s="0" t="n">
        <v>4185234</v>
      </c>
      <c r="D14805" s="0" t="s">
        <v>49333</v>
      </c>
      <c r="E14805" s="0" t="s">
        <v>49334</v>
      </c>
      <c r="F14805" s="0" t="s">
        <v>90</v>
      </c>
      <c r="G14805" s="0" t="s">
        <v>32</v>
      </c>
      <c r="H14805" s="0" t="n">
        <v>38</v>
      </c>
      <c r="I14805" s="0" t="s">
        <v>49338</v>
      </c>
      <c r="J14805" s="0" t="s">
        <v>49339</v>
      </c>
      <c r="K14805" s="0" t="s">
        <v>49340</v>
      </c>
      <c r="L14805" s="0" t="str">
        <f aca="false">HYPERLINK("https://www.ncbi.nlm.nih.gov/nuccore/CP000304.1?report=graph&amp;tracks=[key:gene_model_track,Options:GeneOnly]&amp;mk=4185237:4185256|offset_16|444444,4185215:4185234|offset_38|00cc00,4185195:4185214|offset_58|444444,4185165:4185184|offset_88|444444&amp;v=4185036:4185384&amp;c=444444", "offset 38")</f>
        <v>offset 38</v>
      </c>
    </row>
    <row r="14806" customFormat="false" ht="12.8" hidden="false" customHeight="false" outlineLevel="0" collapsed="false">
      <c r="A14806" s="0" t="s">
        <v>12</v>
      </c>
      <c r="B14806" s="0" t="n">
        <v>4185194</v>
      </c>
      <c r="C14806" s="0" t="n">
        <v>4185214</v>
      </c>
      <c r="D14806" s="0" t="s">
        <v>49333</v>
      </c>
      <c r="E14806" s="0" t="s">
        <v>49334</v>
      </c>
      <c r="F14806" s="0" t="s">
        <v>90</v>
      </c>
      <c r="G14806" s="0" t="s">
        <v>36</v>
      </c>
      <c r="H14806" s="0" t="n">
        <v>58</v>
      </c>
      <c r="I14806" s="0" t="s">
        <v>49341</v>
      </c>
      <c r="J14806" s="0" t="s">
        <v>49342</v>
      </c>
      <c r="K14806" s="0" t="s">
        <v>49343</v>
      </c>
      <c r="L14806" s="0" t="str">
        <f aca="false">HYPERLINK("https://www.ncbi.nlm.nih.gov/nuccore/CP000304.1?report=graph&amp;tracks=[key:gene_model_track,Options:GeneOnly]&amp;mk=4185237:4185256|offset_16|444444,4185215:4185234|offset_38|444444,4185195:4185214|offset_58|00cc00,4185165:4185184|offset_88|444444&amp;v=4185036:4185384&amp;c=444444", "offset 58")</f>
        <v>offset 58</v>
      </c>
    </row>
    <row r="14807" customFormat="false" ht="12.8" hidden="false" customHeight="false" outlineLevel="0" collapsed="false">
      <c r="A14807" s="0" t="s">
        <v>12</v>
      </c>
      <c r="B14807" s="0" t="n">
        <v>4185164</v>
      </c>
      <c r="C14807" s="0" t="n">
        <v>4185184</v>
      </c>
      <c r="D14807" s="0" t="s">
        <v>49333</v>
      </c>
      <c r="E14807" s="0" t="s">
        <v>49334</v>
      </c>
      <c r="F14807" s="0" t="s">
        <v>90</v>
      </c>
      <c r="G14807" s="0" t="s">
        <v>16</v>
      </c>
      <c r="H14807" s="0" t="n">
        <v>88</v>
      </c>
      <c r="I14807" s="0" t="s">
        <v>49344</v>
      </c>
      <c r="J14807" s="0" t="s">
        <v>49345</v>
      </c>
      <c r="K14807" s="0" t="s">
        <v>49346</v>
      </c>
      <c r="L14807" s="0" t="str">
        <f aca="false">HYPERLINK("https://www.ncbi.nlm.nih.gov/nuccore/CP000304.1?report=graph&amp;tracks=[key:gene_model_track,Options:GeneOnly]&amp;mk=4185237:4185256|offset_16|444444,4185215:4185234|offset_38|444444,4185195:4185214|offset_58|444444,4185165:4185184|offset_88|00cc00&amp;v=4185036:4185384&amp;c=444444", "offset 88")</f>
        <v>offset 88</v>
      </c>
    </row>
    <row r="14808" customFormat="false" ht="12.8" hidden="false" customHeight="false" outlineLevel="0" collapsed="false">
      <c r="A14808" s="0" t="s">
        <v>12</v>
      </c>
      <c r="B14808" s="0" t="n">
        <v>4185951</v>
      </c>
      <c r="C14808" s="0" t="n">
        <v>4185971</v>
      </c>
      <c r="D14808" s="0" t="s">
        <v>49347</v>
      </c>
      <c r="E14808" s="0" t="s">
        <v>49348</v>
      </c>
      <c r="F14808" s="0" t="s">
        <v>90</v>
      </c>
      <c r="G14808" s="0" t="s">
        <v>36</v>
      </c>
      <c r="H14808" s="0" t="n">
        <v>19</v>
      </c>
      <c r="I14808" s="0" t="s">
        <v>49349</v>
      </c>
      <c r="J14808" s="0" t="s">
        <v>49350</v>
      </c>
      <c r="K14808" s="0" t="s">
        <v>49351</v>
      </c>
      <c r="L14808" s="0" t="str">
        <f aca="false">HYPERLINK("https://www.ncbi.nlm.nih.gov/nuccore/CP000304.1?report=graph&amp;tracks=[key:gene_model_track,Options:GeneOnly]&amp;mk=4185952:4185971|offset_19|00cc00,4185927:4185946|offset_44|444444,4185904:4185923|offset_67|444444,4185881:4185900|offset_90|444444&amp;v=4185751:4186100&amp;c=444444", "offset 19")</f>
        <v>offset 19</v>
      </c>
    </row>
    <row r="14809" customFormat="false" ht="12.8" hidden="false" customHeight="false" outlineLevel="0" collapsed="false">
      <c r="A14809" s="0" t="s">
        <v>12</v>
      </c>
      <c r="B14809" s="0" t="n">
        <v>4185926</v>
      </c>
      <c r="C14809" s="0" t="n">
        <v>4185946</v>
      </c>
      <c r="D14809" s="0" t="s">
        <v>49347</v>
      </c>
      <c r="E14809" s="0" t="s">
        <v>49348</v>
      </c>
      <c r="F14809" s="0" t="s">
        <v>90</v>
      </c>
      <c r="G14809" s="0" t="s">
        <v>36</v>
      </c>
      <c r="H14809" s="0" t="n">
        <v>44</v>
      </c>
      <c r="I14809" s="0" t="s">
        <v>49352</v>
      </c>
      <c r="J14809" s="0" t="s">
        <v>49353</v>
      </c>
      <c r="K14809" s="0" t="s">
        <v>49354</v>
      </c>
      <c r="L14809" s="0" t="str">
        <f aca="false">HYPERLINK("https://www.ncbi.nlm.nih.gov/nuccore/CP000304.1?report=graph&amp;tracks=[key:gene_model_track,Options:GeneOnly]&amp;mk=4185952:4185971|offset_19|444444,4185927:4185946|offset_44|00cc00,4185904:4185923|offset_67|444444,4185881:4185900|offset_90|444444&amp;v=4185751:4186100&amp;c=444444", "offset 44")</f>
        <v>offset 44</v>
      </c>
    </row>
    <row r="14810" customFormat="false" ht="12.8" hidden="false" customHeight="false" outlineLevel="0" collapsed="false">
      <c r="A14810" s="0" t="s">
        <v>12</v>
      </c>
      <c r="B14810" s="0" t="n">
        <v>4185903</v>
      </c>
      <c r="C14810" s="0" t="n">
        <v>4185923</v>
      </c>
      <c r="D14810" s="0" t="s">
        <v>49347</v>
      </c>
      <c r="E14810" s="0" t="s">
        <v>49348</v>
      </c>
      <c r="F14810" s="0" t="s">
        <v>90</v>
      </c>
      <c r="G14810" s="0" t="s">
        <v>16</v>
      </c>
      <c r="H14810" s="0" t="n">
        <v>67</v>
      </c>
      <c r="I14810" s="0" t="s">
        <v>49355</v>
      </c>
      <c r="J14810" s="0" t="s">
        <v>49356</v>
      </c>
      <c r="K14810" s="0" t="s">
        <v>49357</v>
      </c>
      <c r="L14810" s="0" t="str">
        <f aca="false">HYPERLINK("https://www.ncbi.nlm.nih.gov/nuccore/CP000304.1?report=graph&amp;tracks=[key:gene_model_track,Options:GeneOnly]&amp;mk=4185952:4185971|offset_19|444444,4185927:4185946|offset_44|444444,4185904:4185923|offset_67|00cc00,4185881:4185900|offset_90|444444&amp;v=4185751:4186100&amp;c=444444", "offset 67")</f>
        <v>offset 67</v>
      </c>
    </row>
    <row r="14811" customFormat="false" ht="12.8" hidden="false" customHeight="false" outlineLevel="0" collapsed="false">
      <c r="A14811" s="0" t="s">
        <v>12</v>
      </c>
      <c r="B14811" s="0" t="n">
        <v>4185880</v>
      </c>
      <c r="C14811" s="0" t="n">
        <v>4185900</v>
      </c>
      <c r="D14811" s="0" t="s">
        <v>49347</v>
      </c>
      <c r="E14811" s="0" t="s">
        <v>49348</v>
      </c>
      <c r="F14811" s="0" t="s">
        <v>90</v>
      </c>
      <c r="G14811" s="0" t="s">
        <v>16</v>
      </c>
      <c r="H14811" s="0" t="n">
        <v>90</v>
      </c>
      <c r="I14811" s="0" t="s">
        <v>49358</v>
      </c>
      <c r="J14811" s="0" t="s">
        <v>49359</v>
      </c>
      <c r="K14811" s="0" t="s">
        <v>49360</v>
      </c>
      <c r="L14811" s="0" t="str">
        <f aca="false">HYPERLINK("https://www.ncbi.nlm.nih.gov/nuccore/CP000304.1?report=graph&amp;tracks=[key:gene_model_track,Options:GeneOnly]&amp;mk=4185952:4185971|offset_19|444444,4185927:4185946|offset_44|444444,4185904:4185923|offset_67|444444,4185881:4185900|offset_90|00cc00&amp;v=4185751:4186100&amp;c=444444", "offset 90")</f>
        <v>offset 90</v>
      </c>
    </row>
    <row r="14812" customFormat="false" ht="12.8" hidden="false" customHeight="false" outlineLevel="0" collapsed="false">
      <c r="A14812" s="0" t="s">
        <v>12</v>
      </c>
      <c r="B14812" s="0" t="n">
        <v>4187140</v>
      </c>
      <c r="C14812" s="0" t="n">
        <v>4187160</v>
      </c>
      <c r="D14812" s="0" t="s">
        <v>49361</v>
      </c>
      <c r="E14812" s="0" t="s">
        <v>49362</v>
      </c>
      <c r="F14812" s="0" t="s">
        <v>90</v>
      </c>
      <c r="G14812" s="0" t="s">
        <v>32</v>
      </c>
      <c r="H14812" s="0" t="n">
        <v>1</v>
      </c>
      <c r="I14812" s="0" t="s">
        <v>49363</v>
      </c>
      <c r="J14812" s="0" t="s">
        <v>49364</v>
      </c>
      <c r="K14812" s="0" t="s">
        <v>49365</v>
      </c>
      <c r="L14812" s="0" t="str">
        <f aca="false">HYPERLINK("https://www.ncbi.nlm.nih.gov/nuccore/CP000304.1?report=graph&amp;tracks=[key:gene_model_track,Options:GeneOnly]&amp;mk=4187141:4187160|offset_1|00cc00,4187120:4187139|offset_22|444444,4187099:4187118|offset_43|444444,4187076:4187095|offset_66|444444&amp;v=4186940:4187295&amp;c=444444", "offset 1")</f>
        <v>offset 1</v>
      </c>
    </row>
    <row r="14813" customFormat="false" ht="12.8" hidden="false" customHeight="false" outlineLevel="0" collapsed="false">
      <c r="A14813" s="0" t="s">
        <v>12</v>
      </c>
      <c r="B14813" s="0" t="n">
        <v>4187119</v>
      </c>
      <c r="C14813" s="0" t="n">
        <v>4187139</v>
      </c>
      <c r="D14813" s="0" t="s">
        <v>49361</v>
      </c>
      <c r="E14813" s="0" t="s">
        <v>49362</v>
      </c>
      <c r="F14813" s="0" t="s">
        <v>90</v>
      </c>
      <c r="G14813" s="0" t="s">
        <v>36</v>
      </c>
      <c r="H14813" s="0" t="n">
        <v>22</v>
      </c>
      <c r="I14813" s="0" t="s">
        <v>49366</v>
      </c>
      <c r="J14813" s="0" t="s">
        <v>49367</v>
      </c>
      <c r="K14813" s="0" t="s">
        <v>49368</v>
      </c>
      <c r="L14813" s="0" t="str">
        <f aca="false">HYPERLINK("https://www.ncbi.nlm.nih.gov/nuccore/CP000304.1?report=graph&amp;tracks=[key:gene_model_track,Options:GeneOnly]&amp;mk=4187141:4187160|offset_1|444444,4187120:4187139|offset_22|00cc00,4187099:4187118|offset_43|444444,4187076:4187095|offset_66|444444&amp;v=4186940:4187295&amp;c=444444", "offset 22")</f>
        <v>offset 22</v>
      </c>
    </row>
    <row r="14814" customFormat="false" ht="12.8" hidden="false" customHeight="false" outlineLevel="0" collapsed="false">
      <c r="A14814" s="0" t="s">
        <v>12</v>
      </c>
      <c r="B14814" s="0" t="n">
        <v>4187098</v>
      </c>
      <c r="C14814" s="0" t="n">
        <v>4187118</v>
      </c>
      <c r="D14814" s="0" t="s">
        <v>49361</v>
      </c>
      <c r="E14814" s="0" t="s">
        <v>49362</v>
      </c>
      <c r="F14814" s="0" t="s">
        <v>90</v>
      </c>
      <c r="G14814" s="0" t="s">
        <v>16</v>
      </c>
      <c r="H14814" s="0" t="n">
        <v>43</v>
      </c>
      <c r="I14814" s="0" t="s">
        <v>49369</v>
      </c>
      <c r="J14814" s="0" t="s">
        <v>49370</v>
      </c>
      <c r="K14814" s="0" t="s">
        <v>49371</v>
      </c>
      <c r="L14814" s="0" t="str">
        <f aca="false">HYPERLINK("https://www.ncbi.nlm.nih.gov/nuccore/CP000304.1?report=graph&amp;tracks=[key:gene_model_track,Options:GeneOnly]&amp;mk=4187141:4187160|offset_1|444444,4187120:4187139|offset_22|444444,4187099:4187118|offset_43|00cc00,4187076:4187095|offset_66|444444&amp;v=4186940:4187295&amp;c=444444", "offset 43")</f>
        <v>offset 43</v>
      </c>
    </row>
    <row r="14815" customFormat="false" ht="12.8" hidden="false" customHeight="false" outlineLevel="0" collapsed="false">
      <c r="A14815" s="0" t="s">
        <v>12</v>
      </c>
      <c r="B14815" s="0" t="n">
        <v>4187075</v>
      </c>
      <c r="C14815" s="0" t="n">
        <v>4187095</v>
      </c>
      <c r="D14815" s="0" t="s">
        <v>49361</v>
      </c>
      <c r="E14815" s="0" t="s">
        <v>49362</v>
      </c>
      <c r="F14815" s="0" t="s">
        <v>90</v>
      </c>
      <c r="G14815" s="0" t="s">
        <v>16</v>
      </c>
      <c r="H14815" s="0" t="n">
        <v>66</v>
      </c>
      <c r="I14815" s="0" t="s">
        <v>49372</v>
      </c>
      <c r="J14815" s="0" t="s">
        <v>49373</v>
      </c>
      <c r="K14815" s="0" t="s">
        <v>49374</v>
      </c>
      <c r="L14815" s="0" t="str">
        <f aca="false">HYPERLINK("https://www.ncbi.nlm.nih.gov/nuccore/CP000304.1?report=graph&amp;tracks=[key:gene_model_track,Options:GeneOnly]&amp;mk=4187141:4187160|offset_1|444444,4187120:4187139|offset_22|444444,4187099:4187118|offset_43|444444,4187076:4187095|offset_66|00cc00&amp;v=4186940:4187295&amp;c=444444", "offset 66")</f>
        <v>offset 66</v>
      </c>
    </row>
    <row r="14816" customFormat="false" ht="12.8" hidden="false" customHeight="false" outlineLevel="0" collapsed="false">
      <c r="A14816" s="0" t="s">
        <v>12</v>
      </c>
      <c r="B14816" s="0" t="n">
        <v>4188303</v>
      </c>
      <c r="C14816" s="0" t="n">
        <v>4188323</v>
      </c>
      <c r="D14816" s="0" t="s">
        <v>49375</v>
      </c>
      <c r="E14816" s="0" t="s">
        <v>49376</v>
      </c>
      <c r="F14816" s="0" t="s">
        <v>90</v>
      </c>
      <c r="G14816" s="0" t="s">
        <v>36</v>
      </c>
      <c r="H14816" s="0" t="n">
        <v>0</v>
      </c>
      <c r="I14816" s="0" t="s">
        <v>49377</v>
      </c>
      <c r="J14816" s="0" t="s">
        <v>49378</v>
      </c>
      <c r="K14816" s="0" t="s">
        <v>49379</v>
      </c>
      <c r="L14816" s="0" t="str">
        <f aca="false">HYPERLINK("https://www.ncbi.nlm.nih.gov/nuccore/CP000304.1?report=graph&amp;tracks=[key:gene_model_track,Options:GeneOnly]&amp;mk=4188304:4188323|offset_0|00cc00,4188282:4188301|offset_22|444444,4188261:4188280|offset_43|444444,4188229:4188248|offset_75|444444&amp;v=4188103:4188448&amp;c=444444", "offset 0")</f>
        <v>offset 0</v>
      </c>
    </row>
    <row r="14817" customFormat="false" ht="12.8" hidden="false" customHeight="false" outlineLevel="0" collapsed="false">
      <c r="A14817" s="0" t="s">
        <v>12</v>
      </c>
      <c r="B14817" s="0" t="n">
        <v>4188281</v>
      </c>
      <c r="C14817" s="0" t="n">
        <v>4188301</v>
      </c>
      <c r="D14817" s="0" t="s">
        <v>49375</v>
      </c>
      <c r="E14817" s="0" t="s">
        <v>49376</v>
      </c>
      <c r="F14817" s="0" t="s">
        <v>90</v>
      </c>
      <c r="G14817" s="0" t="s">
        <v>16</v>
      </c>
      <c r="H14817" s="0" t="n">
        <v>22</v>
      </c>
      <c r="I14817" s="0" t="s">
        <v>49380</v>
      </c>
      <c r="J14817" s="0" t="s">
        <v>49381</v>
      </c>
      <c r="K14817" s="0" t="s">
        <v>49382</v>
      </c>
      <c r="L14817" s="0" t="str">
        <f aca="false">HYPERLINK("https://www.ncbi.nlm.nih.gov/nuccore/CP000304.1?report=graph&amp;tracks=[key:gene_model_track,Options:GeneOnly]&amp;mk=4188304:4188323|offset_0|444444,4188282:4188301|offset_22|00cc00,4188261:4188280|offset_43|444444,4188229:4188248|offset_75|444444&amp;v=4188103:4188448&amp;c=444444", "offset 22")</f>
        <v>offset 22</v>
      </c>
    </row>
    <row r="14818" customFormat="false" ht="12.8" hidden="false" customHeight="false" outlineLevel="0" collapsed="false">
      <c r="A14818" s="0" t="s">
        <v>12</v>
      </c>
      <c r="B14818" s="0" t="n">
        <v>4188260</v>
      </c>
      <c r="C14818" s="0" t="n">
        <v>4188280</v>
      </c>
      <c r="D14818" s="0" t="s">
        <v>49375</v>
      </c>
      <c r="E14818" s="0" t="s">
        <v>49376</v>
      </c>
      <c r="F14818" s="0" t="s">
        <v>90</v>
      </c>
      <c r="G14818" s="0" t="s">
        <v>36</v>
      </c>
      <c r="H14818" s="0" t="n">
        <v>43</v>
      </c>
      <c r="I14818" s="0" t="s">
        <v>49383</v>
      </c>
      <c r="J14818" s="0" t="s">
        <v>49384</v>
      </c>
      <c r="K14818" s="0" t="s">
        <v>49385</v>
      </c>
      <c r="L14818" s="0" t="str">
        <f aca="false">HYPERLINK("https://www.ncbi.nlm.nih.gov/nuccore/CP000304.1?report=graph&amp;tracks=[key:gene_model_track,Options:GeneOnly]&amp;mk=4188304:4188323|offset_0|444444,4188282:4188301|offset_22|444444,4188261:4188280|offset_43|00cc00,4188229:4188248|offset_75|444444&amp;v=4188103:4188448&amp;c=444444", "offset 43")</f>
        <v>offset 43</v>
      </c>
    </row>
    <row r="14819" customFormat="false" ht="12.8" hidden="false" customHeight="false" outlineLevel="0" collapsed="false">
      <c r="A14819" s="0" t="s">
        <v>12</v>
      </c>
      <c r="B14819" s="0" t="n">
        <v>4188228</v>
      </c>
      <c r="C14819" s="0" t="n">
        <v>4188248</v>
      </c>
      <c r="D14819" s="0" t="s">
        <v>49375</v>
      </c>
      <c r="E14819" s="0" t="s">
        <v>49376</v>
      </c>
      <c r="F14819" s="0" t="s">
        <v>90</v>
      </c>
      <c r="G14819" s="0" t="s">
        <v>36</v>
      </c>
      <c r="H14819" s="0" t="n">
        <v>75</v>
      </c>
      <c r="I14819" s="0" t="s">
        <v>49386</v>
      </c>
      <c r="J14819" s="0" t="s">
        <v>49387</v>
      </c>
      <c r="K14819" s="0" t="s">
        <v>49388</v>
      </c>
      <c r="L14819" s="0" t="str">
        <f aca="false">HYPERLINK("https://www.ncbi.nlm.nih.gov/nuccore/CP000304.1?report=graph&amp;tracks=[key:gene_model_track,Options:GeneOnly]&amp;mk=4188304:4188323|offset_0|444444,4188282:4188301|offset_22|444444,4188261:4188280|offset_43|444444,4188229:4188248|offset_75|00cc00&amp;v=4188103:4188448&amp;c=444444", "offset 75")</f>
        <v>offset 75</v>
      </c>
    </row>
    <row r="14820" customFormat="false" ht="12.8" hidden="false" customHeight="false" outlineLevel="0" collapsed="false">
      <c r="A14820" s="0" t="s">
        <v>12</v>
      </c>
      <c r="B14820" s="0" t="n">
        <v>4188448</v>
      </c>
      <c r="C14820" s="0" t="n">
        <v>4188468</v>
      </c>
      <c r="D14820" s="0" t="s">
        <v>49389</v>
      </c>
      <c r="E14820" s="0" t="s">
        <v>89</v>
      </c>
      <c r="F14820" s="0" t="s">
        <v>15</v>
      </c>
      <c r="G14820" s="0" t="s">
        <v>32</v>
      </c>
      <c r="H14820" s="0" t="n">
        <v>32</v>
      </c>
      <c r="I14820" s="0" t="s">
        <v>49390</v>
      </c>
      <c r="J14820" s="0" t="s">
        <v>49391</v>
      </c>
      <c r="K14820" s="0" t="s">
        <v>49392</v>
      </c>
      <c r="L14820" s="0" t="str">
        <f aca="false">HYPERLINK("https://www.ncbi.nlm.nih.gov/nuccore/CP000304.1?report=graph&amp;tracks=[key:gene_model_track,Options:GeneOnly]&amp;mk=4188449:4188468|offset_32|00cc00,4188486:4188505|offset_69|444444,4188516:4188535|offset_99|444444,4188551:4188570|offset_134|444444&amp;v=4188248:4188770&amp;c=444444", "offset 32")</f>
        <v>offset 32</v>
      </c>
    </row>
    <row r="14821" customFormat="false" ht="12.8" hidden="false" customHeight="false" outlineLevel="0" collapsed="false">
      <c r="A14821" s="0" t="s">
        <v>12</v>
      </c>
      <c r="B14821" s="0" t="n">
        <v>4188485</v>
      </c>
      <c r="C14821" s="0" t="n">
        <v>4188505</v>
      </c>
      <c r="D14821" s="0" t="s">
        <v>49389</v>
      </c>
      <c r="E14821" s="0" t="s">
        <v>89</v>
      </c>
      <c r="F14821" s="0" t="s">
        <v>15</v>
      </c>
      <c r="G14821" s="0" t="s">
        <v>32</v>
      </c>
      <c r="H14821" s="0" t="n">
        <v>69</v>
      </c>
      <c r="I14821" s="0" t="s">
        <v>49393</v>
      </c>
      <c r="J14821" s="0" t="s">
        <v>49394</v>
      </c>
      <c r="K14821" s="0" t="s">
        <v>49395</v>
      </c>
      <c r="L14821" s="0" t="str">
        <f aca="false">HYPERLINK("https://www.ncbi.nlm.nih.gov/nuccore/CP000304.1?report=graph&amp;tracks=[key:gene_model_track,Options:GeneOnly]&amp;mk=4188449:4188468|offset_32|444444,4188486:4188505|offset_69|00cc00,4188516:4188535|offset_99|444444,4188551:4188570|offset_134|444444&amp;v=4188248:4188770&amp;c=444444", "offset 69")</f>
        <v>offset 69</v>
      </c>
    </row>
    <row r="14822" customFormat="false" ht="12.8" hidden="false" customHeight="false" outlineLevel="0" collapsed="false">
      <c r="A14822" s="0" t="s">
        <v>12</v>
      </c>
      <c r="B14822" s="0" t="n">
        <v>4188515</v>
      </c>
      <c r="C14822" s="0" t="n">
        <v>4188535</v>
      </c>
      <c r="D14822" s="0" t="s">
        <v>49389</v>
      </c>
      <c r="E14822" s="0" t="s">
        <v>89</v>
      </c>
      <c r="F14822" s="0" t="s">
        <v>15</v>
      </c>
      <c r="G14822" s="0" t="s">
        <v>16</v>
      </c>
      <c r="H14822" s="0" t="n">
        <v>99</v>
      </c>
      <c r="I14822" s="0" t="s">
        <v>49396</v>
      </c>
      <c r="J14822" s="0" t="s">
        <v>49397</v>
      </c>
      <c r="K14822" s="0" t="s">
        <v>49398</v>
      </c>
      <c r="L14822" s="0" t="str">
        <f aca="false">HYPERLINK("https://www.ncbi.nlm.nih.gov/nuccore/CP000304.1?report=graph&amp;tracks=[key:gene_model_track,Options:GeneOnly]&amp;mk=4188449:4188468|offset_32|444444,4188486:4188505|offset_69|444444,4188516:4188535|offset_99|00cc00,4188551:4188570|offset_134|444444&amp;v=4188248:4188770&amp;c=444444", "offset 99")</f>
        <v>offset 99</v>
      </c>
    </row>
    <row r="14823" customFormat="false" ht="12.8" hidden="false" customHeight="false" outlineLevel="0" collapsed="false">
      <c r="A14823" s="0" t="s">
        <v>12</v>
      </c>
      <c r="B14823" s="0" t="n">
        <v>4188550</v>
      </c>
      <c r="C14823" s="0" t="n">
        <v>4188570</v>
      </c>
      <c r="D14823" s="0" t="s">
        <v>49389</v>
      </c>
      <c r="E14823" s="0" t="s">
        <v>89</v>
      </c>
      <c r="F14823" s="0" t="s">
        <v>15</v>
      </c>
      <c r="G14823" s="0" t="s">
        <v>36</v>
      </c>
      <c r="H14823" s="0" t="n">
        <v>134</v>
      </c>
      <c r="I14823" s="0" t="s">
        <v>49399</v>
      </c>
      <c r="J14823" s="0" t="s">
        <v>49400</v>
      </c>
      <c r="K14823" s="0" t="s">
        <v>49401</v>
      </c>
      <c r="L14823" s="0" t="str">
        <f aca="false">HYPERLINK("https://www.ncbi.nlm.nih.gov/nuccore/CP000304.1?report=graph&amp;tracks=[key:gene_model_track,Options:GeneOnly]&amp;mk=4188449:4188468|offset_32|444444,4188486:4188505|offset_69|444444,4188516:4188535|offset_99|444444,4188551:4188570|offset_134|00cc00&amp;v=4188248:4188770&amp;c=444444", "offset 134")</f>
        <v>offset 134</v>
      </c>
    </row>
    <row r="14824" customFormat="false" ht="12.8" hidden="false" customHeight="false" outlineLevel="0" collapsed="false">
      <c r="A14824" s="0" t="s">
        <v>12</v>
      </c>
      <c r="B14824" s="0" t="n">
        <v>4189182</v>
      </c>
      <c r="C14824" s="0" t="n">
        <v>4189202</v>
      </c>
      <c r="D14824" s="0" t="s">
        <v>49402</v>
      </c>
      <c r="E14824" s="0" t="s">
        <v>89</v>
      </c>
      <c r="F14824" s="0" t="s">
        <v>15</v>
      </c>
      <c r="G14824" s="0" t="s">
        <v>36</v>
      </c>
      <c r="H14824" s="0" t="n">
        <v>7</v>
      </c>
      <c r="I14824" s="0" t="s">
        <v>49403</v>
      </c>
      <c r="J14824" s="0" t="s">
        <v>49404</v>
      </c>
      <c r="K14824" s="0" t="s">
        <v>49405</v>
      </c>
      <c r="L14824" s="0" t="str">
        <f aca="false">HYPERLINK("https://www.ncbi.nlm.nih.gov/nuccore/CP000304.1?report=graph&amp;tracks=[key:gene_model_track,Options:GeneOnly]&amp;mk=4189183:4189202|offset_7|00cc00,4189206:4189225|offset_30|444444,4189244:4189263|offset_68|444444,4189286:4189305|offset_110|444444&amp;v=4188982:4189505&amp;c=444444", "offset 7")</f>
        <v>offset 7</v>
      </c>
    </row>
    <row r="14825" customFormat="false" ht="12.8" hidden="false" customHeight="false" outlineLevel="0" collapsed="false">
      <c r="A14825" s="0" t="s">
        <v>12</v>
      </c>
      <c r="B14825" s="0" t="n">
        <v>4189205</v>
      </c>
      <c r="C14825" s="0" t="n">
        <v>4189225</v>
      </c>
      <c r="D14825" s="0" t="s">
        <v>49402</v>
      </c>
      <c r="E14825" s="0" t="s">
        <v>89</v>
      </c>
      <c r="F14825" s="0" t="s">
        <v>15</v>
      </c>
      <c r="G14825" s="0" t="s">
        <v>16</v>
      </c>
      <c r="H14825" s="0" t="n">
        <v>30</v>
      </c>
      <c r="I14825" s="0" t="s">
        <v>49406</v>
      </c>
      <c r="J14825" s="0" t="s">
        <v>49407</v>
      </c>
      <c r="K14825" s="0" t="s">
        <v>49408</v>
      </c>
      <c r="L14825" s="0" t="str">
        <f aca="false">HYPERLINK("https://www.ncbi.nlm.nih.gov/nuccore/CP000304.1?report=graph&amp;tracks=[key:gene_model_track,Options:GeneOnly]&amp;mk=4189183:4189202|offset_7|444444,4189206:4189225|offset_30|00cc00,4189244:4189263|offset_68|444444,4189286:4189305|offset_110|444444&amp;v=4188982:4189505&amp;c=444444", "offset 30")</f>
        <v>offset 30</v>
      </c>
    </row>
    <row r="14826" customFormat="false" ht="12.8" hidden="false" customHeight="false" outlineLevel="0" collapsed="false">
      <c r="A14826" s="0" t="s">
        <v>12</v>
      </c>
      <c r="B14826" s="0" t="n">
        <v>4189243</v>
      </c>
      <c r="C14826" s="0" t="n">
        <v>4189263</v>
      </c>
      <c r="D14826" s="0" t="s">
        <v>49402</v>
      </c>
      <c r="E14826" s="0" t="s">
        <v>89</v>
      </c>
      <c r="F14826" s="0" t="s">
        <v>15</v>
      </c>
      <c r="G14826" s="0" t="s">
        <v>26</v>
      </c>
      <c r="H14826" s="0" t="n">
        <v>68</v>
      </c>
      <c r="I14826" s="0" t="s">
        <v>49409</v>
      </c>
      <c r="J14826" s="0" t="s">
        <v>49410</v>
      </c>
      <c r="K14826" s="0" t="s">
        <v>49411</v>
      </c>
      <c r="L14826" s="0" t="str">
        <f aca="false">HYPERLINK("https://www.ncbi.nlm.nih.gov/nuccore/CP000304.1?report=graph&amp;tracks=[key:gene_model_track,Options:GeneOnly]&amp;mk=4189183:4189202|offset_7|444444,4189206:4189225|offset_30|444444,4189244:4189263|offset_68|00cc00,4189286:4189305|offset_110|444444&amp;v=4188982:4189505&amp;c=444444", "offset 68")</f>
        <v>offset 68</v>
      </c>
    </row>
    <row r="14827" customFormat="false" ht="12.8" hidden="false" customHeight="false" outlineLevel="0" collapsed="false">
      <c r="A14827" s="0" t="s">
        <v>12</v>
      </c>
      <c r="B14827" s="0" t="n">
        <v>4189285</v>
      </c>
      <c r="C14827" s="0" t="n">
        <v>4189305</v>
      </c>
      <c r="D14827" s="0" t="s">
        <v>49402</v>
      </c>
      <c r="E14827" s="0" t="s">
        <v>89</v>
      </c>
      <c r="F14827" s="0" t="s">
        <v>15</v>
      </c>
      <c r="G14827" s="0" t="s">
        <v>16</v>
      </c>
      <c r="H14827" s="0" t="n">
        <v>110</v>
      </c>
      <c r="I14827" s="0" t="s">
        <v>49412</v>
      </c>
      <c r="J14827" s="0" t="s">
        <v>49413</v>
      </c>
      <c r="K14827" s="0" t="s">
        <v>49414</v>
      </c>
      <c r="L14827" s="0" t="str">
        <f aca="false">HYPERLINK("https://www.ncbi.nlm.nih.gov/nuccore/CP000304.1?report=graph&amp;tracks=[key:gene_model_track,Options:GeneOnly]&amp;mk=4189183:4189202|offset_7|444444,4189206:4189225|offset_30|444444,4189244:4189263|offset_68|444444,4189286:4189305|offset_110|00cc00&amp;v=4188982:4189505&amp;c=444444", "offset 110")</f>
        <v>offset 110</v>
      </c>
    </row>
    <row r="14828" customFormat="false" ht="12.8" hidden="false" customHeight="false" outlineLevel="0" collapsed="false">
      <c r="A14828" s="0" t="s">
        <v>12</v>
      </c>
      <c r="B14828" s="0" t="n">
        <v>4191027</v>
      </c>
      <c r="C14828" s="0" t="n">
        <v>4191047</v>
      </c>
      <c r="D14828" s="0" t="s">
        <v>49415</v>
      </c>
      <c r="E14828" s="0" t="s">
        <v>89</v>
      </c>
      <c r="F14828" s="0" t="s">
        <v>90</v>
      </c>
      <c r="G14828" s="0" t="s">
        <v>16</v>
      </c>
      <c r="H14828" s="0" t="n">
        <v>11</v>
      </c>
      <c r="I14828" s="0" t="s">
        <v>49416</v>
      </c>
      <c r="J14828" s="0" t="s">
        <v>49417</v>
      </c>
      <c r="K14828" s="0" t="s">
        <v>49418</v>
      </c>
      <c r="L14828" s="0" t="str">
        <f aca="false">HYPERLINK("https://www.ncbi.nlm.nih.gov/nuccore/CP000304.1?report=graph&amp;tracks=[key:gene_model_track,Options:GeneOnly]&amp;mk=4191028:4191047|offset_11|00cc00,4191004:4191023|offset_35|444444,4190983:4191002|offset_56|444444,4190939:4190958|offset_100|444444&amp;v=4190827:4191158&amp;c=444444", "offset 11")</f>
        <v>offset 11</v>
      </c>
    </row>
    <row r="14829" customFormat="false" ht="12.8" hidden="false" customHeight="false" outlineLevel="0" collapsed="false">
      <c r="A14829" s="0" t="s">
        <v>12</v>
      </c>
      <c r="B14829" s="0" t="n">
        <v>4191003</v>
      </c>
      <c r="C14829" s="0" t="n">
        <v>4191023</v>
      </c>
      <c r="D14829" s="0" t="s">
        <v>49415</v>
      </c>
      <c r="E14829" s="0" t="s">
        <v>89</v>
      </c>
      <c r="F14829" s="0" t="s">
        <v>90</v>
      </c>
      <c r="G14829" s="0" t="s">
        <v>32</v>
      </c>
      <c r="H14829" s="0" t="n">
        <v>35</v>
      </c>
      <c r="I14829" s="0" t="s">
        <v>49419</v>
      </c>
      <c r="J14829" s="0" t="s">
        <v>49420</v>
      </c>
      <c r="K14829" s="0" t="s">
        <v>49421</v>
      </c>
      <c r="L14829" s="0" t="str">
        <f aca="false">HYPERLINK("https://www.ncbi.nlm.nih.gov/nuccore/CP000304.1?report=graph&amp;tracks=[key:gene_model_track,Options:GeneOnly]&amp;mk=4191028:4191047|offset_11|444444,4191004:4191023|offset_35|00cc00,4190983:4191002|offset_56|444444,4190939:4190958|offset_100|444444&amp;v=4190827:4191158&amp;c=444444", "offset 35")</f>
        <v>offset 35</v>
      </c>
    </row>
    <row r="14830" customFormat="false" ht="12.8" hidden="false" customHeight="false" outlineLevel="0" collapsed="false">
      <c r="A14830" s="0" t="s">
        <v>12</v>
      </c>
      <c r="B14830" s="0" t="n">
        <v>4190982</v>
      </c>
      <c r="C14830" s="0" t="n">
        <v>4191002</v>
      </c>
      <c r="D14830" s="0" t="s">
        <v>49415</v>
      </c>
      <c r="E14830" s="0" t="s">
        <v>89</v>
      </c>
      <c r="F14830" s="0" t="s">
        <v>90</v>
      </c>
      <c r="G14830" s="0" t="s">
        <v>26</v>
      </c>
      <c r="H14830" s="0" t="n">
        <v>56</v>
      </c>
      <c r="I14830" s="0" t="s">
        <v>49422</v>
      </c>
      <c r="J14830" s="0" t="s">
        <v>49423</v>
      </c>
      <c r="K14830" s="0" t="s">
        <v>49424</v>
      </c>
      <c r="L14830" s="0" t="str">
        <f aca="false">HYPERLINK("https://www.ncbi.nlm.nih.gov/nuccore/CP000304.1?report=graph&amp;tracks=[key:gene_model_track,Options:GeneOnly]&amp;mk=4191028:4191047|offset_11|444444,4191004:4191023|offset_35|444444,4190983:4191002|offset_56|00cc00,4190939:4190958|offset_100|444444&amp;v=4190827:4191158&amp;c=444444", "offset 56")</f>
        <v>offset 56</v>
      </c>
    </row>
    <row r="14831" customFormat="false" ht="12.8" hidden="false" customHeight="false" outlineLevel="0" collapsed="false">
      <c r="A14831" s="0" t="s">
        <v>12</v>
      </c>
      <c r="B14831" s="0" t="n">
        <v>4190938</v>
      </c>
      <c r="C14831" s="0" t="n">
        <v>4190958</v>
      </c>
      <c r="D14831" s="0" t="s">
        <v>49415</v>
      </c>
      <c r="E14831" s="0" t="s">
        <v>89</v>
      </c>
      <c r="F14831" s="0" t="s">
        <v>90</v>
      </c>
      <c r="G14831" s="0" t="s">
        <v>36</v>
      </c>
      <c r="H14831" s="0" t="n">
        <v>100</v>
      </c>
      <c r="I14831" s="0" t="s">
        <v>49425</v>
      </c>
      <c r="J14831" s="0" t="s">
        <v>49426</v>
      </c>
      <c r="K14831" s="0" t="s">
        <v>49427</v>
      </c>
      <c r="L14831" s="0" t="str">
        <f aca="false">HYPERLINK("https://www.ncbi.nlm.nih.gov/nuccore/CP000304.1?report=graph&amp;tracks=[key:gene_model_track,Options:GeneOnly]&amp;mk=4191028:4191047|offset_11|444444,4191004:4191023|offset_35|444444,4190983:4191002|offset_56|444444,4190939:4190958|offset_100|00cc00&amp;v=4190827:4191158&amp;c=444444", "offset 100")</f>
        <v>offset 100</v>
      </c>
    </row>
    <row r="14832" customFormat="false" ht="12.8" hidden="false" customHeight="false" outlineLevel="0" collapsed="false">
      <c r="A14832" s="0" t="s">
        <v>12</v>
      </c>
      <c r="B14832" s="0" t="n">
        <v>4191192</v>
      </c>
      <c r="C14832" s="0" t="n">
        <v>4191212</v>
      </c>
      <c r="D14832" s="0" t="s">
        <v>49428</v>
      </c>
      <c r="E14832" s="0" t="s">
        <v>89</v>
      </c>
      <c r="F14832" s="0" t="s">
        <v>15</v>
      </c>
      <c r="G14832" s="0" t="s">
        <v>36</v>
      </c>
      <c r="H14832" s="0" t="n">
        <v>0</v>
      </c>
      <c r="I14832" s="0" t="s">
        <v>49429</v>
      </c>
      <c r="J14832" s="0" t="s">
        <v>49430</v>
      </c>
      <c r="K14832" s="0" t="s">
        <v>49431</v>
      </c>
      <c r="L14832" s="0" t="str">
        <f aca="false">HYPERLINK("https://www.ncbi.nlm.nih.gov/nuccore/CP000304.1?report=graph&amp;tracks=[key:gene_model_track,Options:GeneOnly]&amp;mk=4191193:4191212|offset_0|00cc00,4191228:4191247|offset_35|444444,4191251:4191270|offset_58|444444,4191275:4191294|offset_82|444444&amp;v=4190992:4191494&amp;c=444444", "offset 0")</f>
        <v>offset 0</v>
      </c>
    </row>
    <row r="14833" customFormat="false" ht="12.8" hidden="false" customHeight="false" outlineLevel="0" collapsed="false">
      <c r="A14833" s="0" t="s">
        <v>12</v>
      </c>
      <c r="B14833" s="0" t="n">
        <v>4191227</v>
      </c>
      <c r="C14833" s="0" t="n">
        <v>4191247</v>
      </c>
      <c r="D14833" s="0" t="s">
        <v>49428</v>
      </c>
      <c r="E14833" s="0" t="s">
        <v>89</v>
      </c>
      <c r="F14833" s="0" t="s">
        <v>15</v>
      </c>
      <c r="G14833" s="0" t="s">
        <v>36</v>
      </c>
      <c r="H14833" s="0" t="n">
        <v>35</v>
      </c>
      <c r="I14833" s="0" t="s">
        <v>49432</v>
      </c>
      <c r="J14833" s="0" t="s">
        <v>49433</v>
      </c>
      <c r="K14833" s="0" t="s">
        <v>49434</v>
      </c>
      <c r="L14833" s="0" t="str">
        <f aca="false">HYPERLINK("https://www.ncbi.nlm.nih.gov/nuccore/CP000304.1?report=graph&amp;tracks=[key:gene_model_track,Options:GeneOnly]&amp;mk=4191193:4191212|offset_0|444444,4191228:4191247|offset_35|00cc00,4191251:4191270|offset_58|444444,4191275:4191294|offset_82|444444&amp;v=4190992:4191494&amp;c=444444", "offset 35")</f>
        <v>offset 35</v>
      </c>
    </row>
    <row r="14834" customFormat="false" ht="12.8" hidden="false" customHeight="false" outlineLevel="0" collapsed="false">
      <c r="A14834" s="0" t="s">
        <v>12</v>
      </c>
      <c r="B14834" s="0" t="n">
        <v>4191250</v>
      </c>
      <c r="C14834" s="0" t="n">
        <v>4191270</v>
      </c>
      <c r="D14834" s="0" t="s">
        <v>49428</v>
      </c>
      <c r="E14834" s="0" t="s">
        <v>89</v>
      </c>
      <c r="F14834" s="0" t="s">
        <v>15</v>
      </c>
      <c r="G14834" s="0" t="s">
        <v>16</v>
      </c>
      <c r="H14834" s="0" t="n">
        <v>58</v>
      </c>
      <c r="I14834" s="0" t="s">
        <v>49435</v>
      </c>
      <c r="J14834" s="0" t="s">
        <v>49436</v>
      </c>
      <c r="K14834" s="0" t="s">
        <v>49437</v>
      </c>
      <c r="L14834" s="0" t="str">
        <f aca="false">HYPERLINK("https://www.ncbi.nlm.nih.gov/nuccore/CP000304.1?report=graph&amp;tracks=[key:gene_model_track,Options:GeneOnly]&amp;mk=4191193:4191212|offset_0|444444,4191228:4191247|offset_35|444444,4191251:4191270|offset_58|00cc00,4191275:4191294|offset_82|444444&amp;v=4190992:4191494&amp;c=444444", "offset 58")</f>
        <v>offset 58</v>
      </c>
    </row>
    <row r="14835" customFormat="false" ht="12.8" hidden="false" customHeight="false" outlineLevel="0" collapsed="false">
      <c r="A14835" s="0" t="s">
        <v>12</v>
      </c>
      <c r="B14835" s="0" t="n">
        <v>4191274</v>
      </c>
      <c r="C14835" s="0" t="n">
        <v>4191294</v>
      </c>
      <c r="D14835" s="0" t="s">
        <v>49428</v>
      </c>
      <c r="E14835" s="0" t="s">
        <v>89</v>
      </c>
      <c r="F14835" s="0" t="s">
        <v>15</v>
      </c>
      <c r="G14835" s="0" t="s">
        <v>16</v>
      </c>
      <c r="H14835" s="0" t="n">
        <v>82</v>
      </c>
      <c r="I14835" s="0" t="s">
        <v>49438</v>
      </c>
      <c r="J14835" s="0" t="s">
        <v>49439</v>
      </c>
      <c r="K14835" s="0" t="s">
        <v>49440</v>
      </c>
      <c r="L14835" s="0" t="str">
        <f aca="false">HYPERLINK("https://www.ncbi.nlm.nih.gov/nuccore/CP000304.1?report=graph&amp;tracks=[key:gene_model_track,Options:GeneOnly]&amp;mk=4191193:4191212|offset_0|444444,4191228:4191247|offset_35|444444,4191251:4191270|offset_58|444444,4191275:4191294|offset_82|00cc00&amp;v=4190992:4191494&amp;c=444444", "offset 82")</f>
        <v>offset 82</v>
      </c>
    </row>
    <row r="14836" customFormat="false" ht="12.8" hidden="false" customHeight="false" outlineLevel="0" collapsed="false">
      <c r="A14836" s="0" t="s">
        <v>12</v>
      </c>
      <c r="B14836" s="0" t="n">
        <v>4192319</v>
      </c>
      <c r="C14836" s="0" t="n">
        <v>4192339</v>
      </c>
      <c r="D14836" s="0" t="s">
        <v>49441</v>
      </c>
      <c r="E14836" s="0" t="s">
        <v>49442</v>
      </c>
      <c r="F14836" s="0" t="s">
        <v>15</v>
      </c>
      <c r="G14836" s="0" t="s">
        <v>32</v>
      </c>
      <c r="H14836" s="0" t="n">
        <v>1</v>
      </c>
      <c r="I14836" s="0" t="s">
        <v>49443</v>
      </c>
      <c r="J14836" s="0" t="s">
        <v>49444</v>
      </c>
      <c r="K14836" s="0" t="s">
        <v>49445</v>
      </c>
      <c r="L14836" s="0" t="str">
        <f aca="false">HYPERLINK("https://www.ncbi.nlm.nih.gov/nuccore/CP000304.1?report=graph&amp;tracks=[key:gene_model_track,Options:GeneOnly]&amp;mk=4192320:4192339|offset_1|00cc00,4192356:4192375|offset_37|444444,4192441:4192460|offset_122|444444,4192477:4192496|offset_158|444444&amp;v=4192119:4192696&amp;c=444444", "offset 1")</f>
        <v>offset 1</v>
      </c>
    </row>
    <row r="14837" customFormat="false" ht="12.8" hidden="false" customHeight="false" outlineLevel="0" collapsed="false">
      <c r="A14837" s="0" t="s">
        <v>12</v>
      </c>
      <c r="B14837" s="0" t="n">
        <v>4192355</v>
      </c>
      <c r="C14837" s="0" t="n">
        <v>4192375</v>
      </c>
      <c r="D14837" s="0" t="s">
        <v>49441</v>
      </c>
      <c r="E14837" s="0" t="s">
        <v>49442</v>
      </c>
      <c r="F14837" s="0" t="s">
        <v>15</v>
      </c>
      <c r="G14837" s="0" t="s">
        <v>32</v>
      </c>
      <c r="H14837" s="0" t="n">
        <v>37</v>
      </c>
      <c r="I14837" s="0" t="s">
        <v>49446</v>
      </c>
      <c r="J14837" s="0" t="s">
        <v>49447</v>
      </c>
      <c r="K14837" s="0" t="s">
        <v>49448</v>
      </c>
      <c r="L14837" s="0" t="str">
        <f aca="false">HYPERLINK("https://www.ncbi.nlm.nih.gov/nuccore/CP000304.1?report=graph&amp;tracks=[key:gene_model_track,Options:GeneOnly]&amp;mk=4192320:4192339|offset_1|444444,4192356:4192375|offset_37|00cc00,4192441:4192460|offset_122|444444,4192477:4192496|offset_158|444444&amp;v=4192119:4192696&amp;c=444444", "offset 37")</f>
        <v>offset 37</v>
      </c>
    </row>
    <row r="14838" customFormat="false" ht="12.8" hidden="false" customHeight="false" outlineLevel="0" collapsed="false">
      <c r="A14838" s="0" t="s">
        <v>12</v>
      </c>
      <c r="B14838" s="0" t="n">
        <v>4192440</v>
      </c>
      <c r="C14838" s="0" t="n">
        <v>4192460</v>
      </c>
      <c r="D14838" s="0" t="s">
        <v>49441</v>
      </c>
      <c r="E14838" s="0" t="s">
        <v>49442</v>
      </c>
      <c r="F14838" s="0" t="s">
        <v>15</v>
      </c>
      <c r="G14838" s="0" t="s">
        <v>32</v>
      </c>
      <c r="H14838" s="0" t="n">
        <v>122</v>
      </c>
      <c r="I14838" s="0" t="s">
        <v>49449</v>
      </c>
      <c r="J14838" s="0" t="s">
        <v>49450</v>
      </c>
      <c r="K14838" s="0" t="s">
        <v>49451</v>
      </c>
      <c r="L14838" s="0" t="str">
        <f aca="false">HYPERLINK("https://www.ncbi.nlm.nih.gov/nuccore/CP000304.1?report=graph&amp;tracks=[key:gene_model_track,Options:GeneOnly]&amp;mk=4192320:4192339|offset_1|444444,4192356:4192375|offset_37|444444,4192441:4192460|offset_122|00cc00,4192477:4192496|offset_158|444444&amp;v=4192119:4192696&amp;c=444444", "offset 122")</f>
        <v>offset 122</v>
      </c>
    </row>
    <row r="14839" customFormat="false" ht="12.8" hidden="false" customHeight="false" outlineLevel="0" collapsed="false">
      <c r="A14839" s="0" t="s">
        <v>12</v>
      </c>
      <c r="B14839" s="0" t="n">
        <v>4192476</v>
      </c>
      <c r="C14839" s="0" t="n">
        <v>4192496</v>
      </c>
      <c r="D14839" s="0" t="s">
        <v>49441</v>
      </c>
      <c r="E14839" s="0" t="s">
        <v>49442</v>
      </c>
      <c r="F14839" s="0" t="s">
        <v>15</v>
      </c>
      <c r="G14839" s="0" t="s">
        <v>26</v>
      </c>
      <c r="H14839" s="0" t="n">
        <v>158</v>
      </c>
      <c r="I14839" s="0" t="s">
        <v>49452</v>
      </c>
      <c r="J14839" s="0" t="s">
        <v>49453</v>
      </c>
      <c r="K14839" s="0" t="s">
        <v>49454</v>
      </c>
      <c r="L14839" s="0" t="str">
        <f aca="false">HYPERLINK("https://www.ncbi.nlm.nih.gov/nuccore/CP000304.1?report=graph&amp;tracks=[key:gene_model_track,Options:GeneOnly]&amp;mk=4192320:4192339|offset_1|444444,4192356:4192375|offset_37|444444,4192441:4192460|offset_122|444444,4192477:4192496|offset_158|00cc00&amp;v=4192119:4192696&amp;c=444444", "offset 158")</f>
        <v>offset 158</v>
      </c>
    </row>
    <row r="14840" customFormat="false" ht="12.8" hidden="false" customHeight="false" outlineLevel="0" collapsed="false">
      <c r="A14840" s="0" t="s">
        <v>12</v>
      </c>
      <c r="B14840" s="0" t="n">
        <v>4193690</v>
      </c>
      <c r="C14840" s="0" t="n">
        <v>4193710</v>
      </c>
      <c r="D14840" s="0" t="s">
        <v>49455</v>
      </c>
      <c r="E14840" s="0" t="s">
        <v>89</v>
      </c>
      <c r="F14840" s="0" t="s">
        <v>90</v>
      </c>
      <c r="G14840" s="0" t="s">
        <v>32</v>
      </c>
      <c r="H14840" s="0" t="n">
        <v>28</v>
      </c>
      <c r="I14840" s="0" t="s">
        <v>49456</v>
      </c>
      <c r="J14840" s="0" t="s">
        <v>49457</v>
      </c>
      <c r="K14840" s="0" t="s">
        <v>49458</v>
      </c>
      <c r="L14840" s="0" t="str">
        <f aca="false">HYPERLINK("https://www.ncbi.nlm.nih.gov/nuccore/CP000304.1?report=graph&amp;tracks=[key:gene_model_track,Options:GeneOnly]&amp;mk=4193691:4193710|offset_28|00cc00,4193667:4193686|offset_52|444444,4193624:4193643|offset_95|444444,4193598:4193617|offset_121|444444&amp;v=4193490:4193817&amp;c=444444", "offset 28")</f>
        <v>offset 28</v>
      </c>
    </row>
    <row r="14841" customFormat="false" ht="12.8" hidden="false" customHeight="false" outlineLevel="0" collapsed="false">
      <c r="A14841" s="0" t="s">
        <v>12</v>
      </c>
      <c r="B14841" s="0" t="n">
        <v>4193666</v>
      </c>
      <c r="C14841" s="0" t="n">
        <v>4193686</v>
      </c>
      <c r="D14841" s="0" t="s">
        <v>49455</v>
      </c>
      <c r="E14841" s="0" t="s">
        <v>89</v>
      </c>
      <c r="F14841" s="0" t="s">
        <v>90</v>
      </c>
      <c r="G14841" s="0" t="s">
        <v>32</v>
      </c>
      <c r="H14841" s="0" t="n">
        <v>52</v>
      </c>
      <c r="I14841" s="0" t="s">
        <v>49459</v>
      </c>
      <c r="J14841" s="0" t="s">
        <v>49460</v>
      </c>
      <c r="K14841" s="0" t="s">
        <v>49461</v>
      </c>
      <c r="L14841" s="0" t="str">
        <f aca="false">HYPERLINK("https://www.ncbi.nlm.nih.gov/nuccore/CP000304.1?report=graph&amp;tracks=[key:gene_model_track,Options:GeneOnly]&amp;mk=4193691:4193710|offset_28|444444,4193667:4193686|offset_52|00cc00,4193624:4193643|offset_95|444444,4193598:4193617|offset_121|444444&amp;v=4193490:4193817&amp;c=444444", "offset 52")</f>
        <v>offset 52</v>
      </c>
    </row>
    <row r="14842" customFormat="false" ht="12.8" hidden="false" customHeight="false" outlineLevel="0" collapsed="false">
      <c r="A14842" s="0" t="s">
        <v>12</v>
      </c>
      <c r="B14842" s="0" t="n">
        <v>4193623</v>
      </c>
      <c r="C14842" s="0" t="n">
        <v>4193643</v>
      </c>
      <c r="D14842" s="0" t="s">
        <v>49455</v>
      </c>
      <c r="E14842" s="0" t="s">
        <v>89</v>
      </c>
      <c r="F14842" s="0" t="s">
        <v>90</v>
      </c>
      <c r="G14842" s="0" t="s">
        <v>16</v>
      </c>
      <c r="H14842" s="0" t="n">
        <v>95</v>
      </c>
      <c r="I14842" s="0" t="s">
        <v>49462</v>
      </c>
      <c r="J14842" s="0" t="s">
        <v>49463</v>
      </c>
      <c r="K14842" s="0" t="s">
        <v>49464</v>
      </c>
      <c r="L14842" s="0" t="str">
        <f aca="false">HYPERLINK("https://www.ncbi.nlm.nih.gov/nuccore/CP000304.1?report=graph&amp;tracks=[key:gene_model_track,Options:GeneOnly]&amp;mk=4193691:4193710|offset_28|444444,4193667:4193686|offset_52|444444,4193624:4193643|offset_95|00cc00,4193598:4193617|offset_121|444444&amp;v=4193490:4193817&amp;c=444444", "offset 95")</f>
        <v>offset 95</v>
      </c>
    </row>
    <row r="14843" customFormat="false" ht="12.8" hidden="false" customHeight="false" outlineLevel="0" collapsed="false">
      <c r="A14843" s="0" t="s">
        <v>12</v>
      </c>
      <c r="B14843" s="0" t="n">
        <v>4193597</v>
      </c>
      <c r="C14843" s="0" t="n">
        <v>4193617</v>
      </c>
      <c r="D14843" s="0" t="s">
        <v>49455</v>
      </c>
      <c r="E14843" s="0" t="s">
        <v>89</v>
      </c>
      <c r="F14843" s="0" t="s">
        <v>90</v>
      </c>
      <c r="G14843" s="0" t="s">
        <v>26</v>
      </c>
      <c r="H14843" s="0" t="n">
        <v>121</v>
      </c>
      <c r="I14843" s="0" t="s">
        <v>49465</v>
      </c>
      <c r="J14843" s="0" t="s">
        <v>49466</v>
      </c>
      <c r="K14843" s="0" t="s">
        <v>49467</v>
      </c>
      <c r="L14843" s="0" t="str">
        <f aca="false">HYPERLINK("https://www.ncbi.nlm.nih.gov/nuccore/CP000304.1?report=graph&amp;tracks=[key:gene_model_track,Options:GeneOnly]&amp;mk=4193691:4193710|offset_28|444444,4193667:4193686|offset_52|444444,4193624:4193643|offset_95|444444,4193598:4193617|offset_121|00cc00&amp;v=4193490:4193817&amp;c=444444", "offset 121")</f>
        <v>offset 121</v>
      </c>
    </row>
    <row r="14844" customFormat="false" ht="12.8" hidden="false" customHeight="false" outlineLevel="0" collapsed="false">
      <c r="A14844" s="0" t="s">
        <v>12</v>
      </c>
      <c r="B14844" s="0" t="n">
        <v>4195224</v>
      </c>
      <c r="C14844" s="0" t="n">
        <v>4195244</v>
      </c>
      <c r="D14844" s="0" t="s">
        <v>49468</v>
      </c>
      <c r="E14844" s="0" t="s">
        <v>89</v>
      </c>
      <c r="F14844" s="0" t="s">
        <v>90</v>
      </c>
      <c r="G14844" s="0" t="s">
        <v>32</v>
      </c>
      <c r="H14844" s="0" t="n">
        <v>8</v>
      </c>
      <c r="I14844" s="0" t="s">
        <v>49469</v>
      </c>
      <c r="J14844" s="0" t="s">
        <v>49470</v>
      </c>
      <c r="K14844" s="0" t="s">
        <v>49471</v>
      </c>
      <c r="L14844" s="0" t="str">
        <f aca="false">HYPERLINK("https://www.ncbi.nlm.nih.gov/nuccore/CP000304.1?report=graph&amp;tracks=[key:gene_model_track,Options:GeneOnly]&amp;mk=4195225:4195244|offset_8|00cc00,4195184:4195203|offset_49|444444,4195156:4195175|offset_77|444444,4195135:4195154|offset_98|444444&amp;v=4195024:4195354&amp;c=444444", "offset 8")</f>
        <v>offset 8</v>
      </c>
    </row>
    <row r="14845" customFormat="false" ht="12.8" hidden="false" customHeight="false" outlineLevel="0" collapsed="false">
      <c r="A14845" s="0" t="s">
        <v>12</v>
      </c>
      <c r="B14845" s="0" t="n">
        <v>4195183</v>
      </c>
      <c r="C14845" s="0" t="n">
        <v>4195203</v>
      </c>
      <c r="D14845" s="0" t="s">
        <v>49468</v>
      </c>
      <c r="E14845" s="0" t="s">
        <v>89</v>
      </c>
      <c r="F14845" s="0" t="s">
        <v>90</v>
      </c>
      <c r="G14845" s="0" t="s">
        <v>16</v>
      </c>
      <c r="H14845" s="0" t="n">
        <v>49</v>
      </c>
      <c r="I14845" s="0" t="s">
        <v>49472</v>
      </c>
      <c r="J14845" s="0" t="s">
        <v>49473</v>
      </c>
      <c r="K14845" s="0" t="s">
        <v>49474</v>
      </c>
      <c r="L14845" s="0" t="str">
        <f aca="false">HYPERLINK("https://www.ncbi.nlm.nih.gov/nuccore/CP000304.1?report=graph&amp;tracks=[key:gene_model_track,Options:GeneOnly]&amp;mk=4195225:4195244|offset_8|444444,4195184:4195203|offset_49|00cc00,4195156:4195175|offset_77|444444,4195135:4195154|offset_98|444444&amp;v=4195024:4195354&amp;c=444444", "offset 49")</f>
        <v>offset 49</v>
      </c>
    </row>
    <row r="14846" customFormat="false" ht="12.8" hidden="false" customHeight="false" outlineLevel="0" collapsed="false">
      <c r="A14846" s="0" t="s">
        <v>12</v>
      </c>
      <c r="B14846" s="0" t="n">
        <v>4195155</v>
      </c>
      <c r="C14846" s="0" t="n">
        <v>4195175</v>
      </c>
      <c r="D14846" s="0" t="s">
        <v>49468</v>
      </c>
      <c r="E14846" s="0" t="s">
        <v>89</v>
      </c>
      <c r="F14846" s="0" t="s">
        <v>90</v>
      </c>
      <c r="G14846" s="0" t="s">
        <v>16</v>
      </c>
      <c r="H14846" s="0" t="n">
        <v>77</v>
      </c>
      <c r="I14846" s="0" t="s">
        <v>49475</v>
      </c>
      <c r="J14846" s="0" t="s">
        <v>49476</v>
      </c>
      <c r="K14846" s="0" t="s">
        <v>49477</v>
      </c>
      <c r="L14846" s="0" t="str">
        <f aca="false">HYPERLINK("https://www.ncbi.nlm.nih.gov/nuccore/CP000304.1?report=graph&amp;tracks=[key:gene_model_track,Options:GeneOnly]&amp;mk=4195225:4195244|offset_8|444444,4195184:4195203|offset_49|444444,4195156:4195175|offset_77|00cc00,4195135:4195154|offset_98|444444&amp;v=4195024:4195354&amp;c=444444", "offset 77")</f>
        <v>offset 77</v>
      </c>
    </row>
    <row r="14847" customFormat="false" ht="12.8" hidden="false" customHeight="false" outlineLevel="0" collapsed="false">
      <c r="A14847" s="0" t="s">
        <v>12</v>
      </c>
      <c r="B14847" s="0" t="n">
        <v>4195134</v>
      </c>
      <c r="C14847" s="0" t="n">
        <v>4195154</v>
      </c>
      <c r="D14847" s="0" t="s">
        <v>49468</v>
      </c>
      <c r="E14847" s="0" t="s">
        <v>89</v>
      </c>
      <c r="F14847" s="0" t="s">
        <v>90</v>
      </c>
      <c r="G14847" s="0" t="s">
        <v>32</v>
      </c>
      <c r="H14847" s="0" t="n">
        <v>98</v>
      </c>
      <c r="I14847" s="0" t="s">
        <v>49478</v>
      </c>
      <c r="J14847" s="0" t="s">
        <v>49479</v>
      </c>
      <c r="K14847" s="0" t="s">
        <v>49480</v>
      </c>
      <c r="L14847" s="0" t="str">
        <f aca="false">HYPERLINK("https://www.ncbi.nlm.nih.gov/nuccore/CP000304.1?report=graph&amp;tracks=[key:gene_model_track,Options:GeneOnly]&amp;mk=4195225:4195244|offset_8|444444,4195184:4195203|offset_49|444444,4195156:4195175|offset_77|444444,4195135:4195154|offset_98|00cc00&amp;v=4195024:4195354&amp;c=444444", "offset 98")</f>
        <v>offset 98</v>
      </c>
    </row>
    <row r="14848" customFormat="false" ht="12.8" hidden="false" customHeight="false" outlineLevel="0" collapsed="false">
      <c r="A14848" s="0" t="s">
        <v>12</v>
      </c>
      <c r="B14848" s="0" t="n">
        <v>4196369</v>
      </c>
      <c r="C14848" s="0" t="n">
        <v>4196389</v>
      </c>
      <c r="D14848" s="0" t="s">
        <v>49481</v>
      </c>
      <c r="E14848" s="0" t="s">
        <v>89</v>
      </c>
      <c r="F14848" s="0" t="s">
        <v>90</v>
      </c>
      <c r="G14848" s="0" t="s">
        <v>26</v>
      </c>
      <c r="H14848" s="0" t="n">
        <v>26</v>
      </c>
      <c r="I14848" s="0" t="s">
        <v>49482</v>
      </c>
      <c r="J14848" s="0" t="s">
        <v>49483</v>
      </c>
      <c r="K14848" s="0" t="s">
        <v>49484</v>
      </c>
      <c r="L14848" s="0" t="str">
        <f aca="false">HYPERLINK("https://www.ncbi.nlm.nih.gov/nuccore/CP000304.1?report=graph&amp;tracks=[key:gene_model_track,Options:GeneOnly]&amp;mk=4196370:4196389|offset_26|00cc00,4196350:4196369|offset_46|444444,4196322:4196341|offset_74|444444,4196292:4196311|offset_104|444444&amp;v=4196169:4196511&amp;c=444444", "offset 26")</f>
        <v>offset 26</v>
      </c>
    </row>
    <row r="14849" customFormat="false" ht="12.8" hidden="false" customHeight="false" outlineLevel="0" collapsed="false">
      <c r="A14849" s="0" t="s">
        <v>12</v>
      </c>
      <c r="B14849" s="0" t="n">
        <v>4196349</v>
      </c>
      <c r="C14849" s="0" t="n">
        <v>4196369</v>
      </c>
      <c r="D14849" s="0" t="s">
        <v>49481</v>
      </c>
      <c r="E14849" s="0" t="s">
        <v>89</v>
      </c>
      <c r="F14849" s="0" t="s">
        <v>90</v>
      </c>
      <c r="G14849" s="0" t="s">
        <v>32</v>
      </c>
      <c r="H14849" s="0" t="n">
        <v>46</v>
      </c>
      <c r="I14849" s="0" t="s">
        <v>49485</v>
      </c>
      <c r="J14849" s="0" t="s">
        <v>49486</v>
      </c>
      <c r="K14849" s="0" t="s">
        <v>49487</v>
      </c>
      <c r="L14849" s="0" t="str">
        <f aca="false">HYPERLINK("https://www.ncbi.nlm.nih.gov/nuccore/CP000304.1?report=graph&amp;tracks=[key:gene_model_track,Options:GeneOnly]&amp;mk=4196370:4196389|offset_26|444444,4196350:4196369|offset_46|00cc00,4196322:4196341|offset_74|444444,4196292:4196311|offset_104|444444&amp;v=4196169:4196511&amp;c=444444", "offset 46")</f>
        <v>offset 46</v>
      </c>
    </row>
    <row r="14850" customFormat="false" ht="12.8" hidden="false" customHeight="false" outlineLevel="0" collapsed="false">
      <c r="A14850" s="0" t="s">
        <v>12</v>
      </c>
      <c r="B14850" s="0" t="n">
        <v>4196321</v>
      </c>
      <c r="C14850" s="0" t="n">
        <v>4196341</v>
      </c>
      <c r="D14850" s="0" t="s">
        <v>49481</v>
      </c>
      <c r="E14850" s="0" t="s">
        <v>89</v>
      </c>
      <c r="F14850" s="0" t="s">
        <v>90</v>
      </c>
      <c r="G14850" s="0" t="s">
        <v>32</v>
      </c>
      <c r="H14850" s="0" t="n">
        <v>74</v>
      </c>
      <c r="I14850" s="0" t="s">
        <v>49488</v>
      </c>
      <c r="J14850" s="0" t="s">
        <v>49489</v>
      </c>
      <c r="K14850" s="0" t="s">
        <v>49490</v>
      </c>
      <c r="L14850" s="0" t="str">
        <f aca="false">HYPERLINK("https://www.ncbi.nlm.nih.gov/nuccore/CP000304.1?report=graph&amp;tracks=[key:gene_model_track,Options:GeneOnly]&amp;mk=4196370:4196389|offset_26|444444,4196350:4196369|offset_46|444444,4196322:4196341|offset_74|00cc00,4196292:4196311|offset_104|444444&amp;v=4196169:4196511&amp;c=444444", "offset 74")</f>
        <v>offset 74</v>
      </c>
    </row>
    <row r="14851" customFormat="false" ht="12.8" hidden="false" customHeight="false" outlineLevel="0" collapsed="false">
      <c r="A14851" s="0" t="s">
        <v>12</v>
      </c>
      <c r="B14851" s="0" t="n">
        <v>4196291</v>
      </c>
      <c r="C14851" s="0" t="n">
        <v>4196311</v>
      </c>
      <c r="D14851" s="0" t="s">
        <v>49481</v>
      </c>
      <c r="E14851" s="0" t="s">
        <v>89</v>
      </c>
      <c r="F14851" s="0" t="s">
        <v>90</v>
      </c>
      <c r="G14851" s="0" t="s">
        <v>26</v>
      </c>
      <c r="H14851" s="0" t="n">
        <v>104</v>
      </c>
      <c r="I14851" s="0" t="s">
        <v>49491</v>
      </c>
      <c r="J14851" s="0" t="s">
        <v>49492</v>
      </c>
      <c r="K14851" s="0" t="s">
        <v>49493</v>
      </c>
      <c r="L14851" s="0" t="str">
        <f aca="false">HYPERLINK("https://www.ncbi.nlm.nih.gov/nuccore/CP000304.1?report=graph&amp;tracks=[key:gene_model_track,Options:GeneOnly]&amp;mk=4196370:4196389|offset_26|444444,4196350:4196369|offset_46|444444,4196322:4196341|offset_74|444444,4196292:4196311|offset_104|00cc00&amp;v=4196169:4196511&amp;c=444444", "offset 104")</f>
        <v>offset 104</v>
      </c>
    </row>
    <row r="14852" customFormat="false" ht="12.8" hidden="false" customHeight="false" outlineLevel="0" collapsed="false">
      <c r="A14852" s="0" t="s">
        <v>12</v>
      </c>
      <c r="B14852" s="0" t="n">
        <v>4197671</v>
      </c>
      <c r="C14852" s="0" t="n">
        <v>4197691</v>
      </c>
      <c r="D14852" s="0" t="s">
        <v>49494</v>
      </c>
      <c r="E14852" s="0" t="s">
        <v>89</v>
      </c>
      <c r="F14852" s="0" t="s">
        <v>90</v>
      </c>
      <c r="G14852" s="0" t="s">
        <v>16</v>
      </c>
      <c r="H14852" s="0" t="n">
        <v>0</v>
      </c>
      <c r="I14852" s="0" t="s">
        <v>49495</v>
      </c>
      <c r="J14852" s="0" t="s">
        <v>49496</v>
      </c>
      <c r="K14852" s="0" t="s">
        <v>49497</v>
      </c>
      <c r="L14852" s="0" t="str">
        <f aca="false">HYPERLINK("https://www.ncbi.nlm.nih.gov/nuccore/CP000304.1?report=graph&amp;tracks=[key:gene_model_track,Options:GeneOnly]&amp;mk=4197672:4197691|offset_0|00cc00,4197645:4197664|offset_27|444444,4197605:4197624|offset_67|444444,4197583:4197602|offset_89|444444&amp;v=4197471:4197802&amp;c=444444", "offset 0")</f>
        <v>offset 0</v>
      </c>
    </row>
    <row r="14853" customFormat="false" ht="12.8" hidden="false" customHeight="false" outlineLevel="0" collapsed="false">
      <c r="A14853" s="0" t="s">
        <v>12</v>
      </c>
      <c r="B14853" s="0" t="n">
        <v>4197644</v>
      </c>
      <c r="C14853" s="0" t="n">
        <v>4197664</v>
      </c>
      <c r="D14853" s="0" t="s">
        <v>49494</v>
      </c>
      <c r="E14853" s="0" t="s">
        <v>89</v>
      </c>
      <c r="F14853" s="0" t="s">
        <v>90</v>
      </c>
      <c r="G14853" s="0" t="s">
        <v>16</v>
      </c>
      <c r="H14853" s="0" t="n">
        <v>27</v>
      </c>
      <c r="I14853" s="0" t="s">
        <v>49498</v>
      </c>
      <c r="J14853" s="0" t="s">
        <v>49499</v>
      </c>
      <c r="K14853" s="0" t="s">
        <v>49500</v>
      </c>
      <c r="L14853" s="0" t="str">
        <f aca="false">HYPERLINK("https://www.ncbi.nlm.nih.gov/nuccore/CP000304.1?report=graph&amp;tracks=[key:gene_model_track,Options:GeneOnly]&amp;mk=4197672:4197691|offset_0|444444,4197645:4197664|offset_27|00cc00,4197605:4197624|offset_67|444444,4197583:4197602|offset_89|444444&amp;v=4197471:4197802&amp;c=444444", "offset 27")</f>
        <v>offset 27</v>
      </c>
    </row>
    <row r="14854" customFormat="false" ht="12.8" hidden="false" customHeight="false" outlineLevel="0" collapsed="false">
      <c r="A14854" s="0" t="s">
        <v>12</v>
      </c>
      <c r="B14854" s="0" t="n">
        <v>4197604</v>
      </c>
      <c r="C14854" s="0" t="n">
        <v>4197624</v>
      </c>
      <c r="D14854" s="0" t="s">
        <v>49494</v>
      </c>
      <c r="E14854" s="0" t="s">
        <v>89</v>
      </c>
      <c r="F14854" s="0" t="s">
        <v>90</v>
      </c>
      <c r="G14854" s="0" t="s">
        <v>26</v>
      </c>
      <c r="H14854" s="0" t="n">
        <v>67</v>
      </c>
      <c r="I14854" s="0" t="s">
        <v>49501</v>
      </c>
      <c r="J14854" s="0" t="s">
        <v>49502</v>
      </c>
      <c r="K14854" s="0" t="s">
        <v>49503</v>
      </c>
      <c r="L14854" s="0" t="str">
        <f aca="false">HYPERLINK("https://www.ncbi.nlm.nih.gov/nuccore/CP000304.1?report=graph&amp;tracks=[key:gene_model_track,Options:GeneOnly]&amp;mk=4197672:4197691|offset_0|444444,4197645:4197664|offset_27|444444,4197605:4197624|offset_67|00cc00,4197583:4197602|offset_89|444444&amp;v=4197471:4197802&amp;c=444444", "offset 67")</f>
        <v>offset 67</v>
      </c>
    </row>
    <row r="14855" customFormat="false" ht="12.8" hidden="false" customHeight="false" outlineLevel="0" collapsed="false">
      <c r="A14855" s="0" t="s">
        <v>12</v>
      </c>
      <c r="B14855" s="0" t="n">
        <v>4197582</v>
      </c>
      <c r="C14855" s="0" t="n">
        <v>4197602</v>
      </c>
      <c r="D14855" s="0" t="s">
        <v>49494</v>
      </c>
      <c r="E14855" s="0" t="s">
        <v>89</v>
      </c>
      <c r="F14855" s="0" t="s">
        <v>90</v>
      </c>
      <c r="G14855" s="0" t="s">
        <v>32</v>
      </c>
      <c r="H14855" s="0" t="n">
        <v>89</v>
      </c>
      <c r="I14855" s="0" t="s">
        <v>49504</v>
      </c>
      <c r="J14855" s="0" t="s">
        <v>49505</v>
      </c>
      <c r="K14855" s="0" t="s">
        <v>49506</v>
      </c>
      <c r="L14855" s="0" t="str">
        <f aca="false">HYPERLINK("https://www.ncbi.nlm.nih.gov/nuccore/CP000304.1?report=graph&amp;tracks=[key:gene_model_track,Options:GeneOnly]&amp;mk=4197672:4197691|offset_0|444444,4197645:4197664|offset_27|444444,4197605:4197624|offset_67|444444,4197583:4197602|offset_89|00cc00&amp;v=4197471:4197802&amp;c=444444", "offset 89")</f>
        <v>offset 89</v>
      </c>
    </row>
    <row r="14856" customFormat="false" ht="12.8" hidden="false" customHeight="false" outlineLevel="0" collapsed="false">
      <c r="A14856" s="0" t="s">
        <v>12</v>
      </c>
      <c r="B14856" s="0" t="n">
        <v>4198730</v>
      </c>
      <c r="C14856" s="0" t="n">
        <v>4198750</v>
      </c>
      <c r="D14856" s="0" t="s">
        <v>49507</v>
      </c>
      <c r="E14856" s="0" t="s">
        <v>89</v>
      </c>
      <c r="F14856" s="0" t="s">
        <v>90</v>
      </c>
      <c r="G14856" s="0" t="s">
        <v>32</v>
      </c>
      <c r="H14856" s="0" t="n">
        <v>1</v>
      </c>
      <c r="I14856" s="0" t="s">
        <v>49508</v>
      </c>
      <c r="J14856" s="0" t="s">
        <v>49509</v>
      </c>
      <c r="K14856" s="0" t="s">
        <v>49510</v>
      </c>
      <c r="L14856" s="0" t="str">
        <f aca="false">HYPERLINK("https://www.ncbi.nlm.nih.gov/nuccore/CP000304.1?report=graph&amp;tracks=[key:gene_model_track,Options:GeneOnly]&amp;mk=4198731:4198750|offset_1|00cc00,4198706:4198725|offset_26|444444,4198679:4198698|offset_53|444444,4198656:4198675|offset_76|444444&amp;v=4198530:4198875&amp;c=444444", "offset 1")</f>
        <v>offset 1</v>
      </c>
    </row>
    <row r="14857" customFormat="false" ht="12.8" hidden="false" customHeight="false" outlineLevel="0" collapsed="false">
      <c r="A14857" s="0" t="s">
        <v>12</v>
      </c>
      <c r="B14857" s="0" t="n">
        <v>4198705</v>
      </c>
      <c r="C14857" s="0" t="n">
        <v>4198725</v>
      </c>
      <c r="D14857" s="0" t="s">
        <v>49507</v>
      </c>
      <c r="E14857" s="0" t="s">
        <v>89</v>
      </c>
      <c r="F14857" s="0" t="s">
        <v>90</v>
      </c>
      <c r="G14857" s="0" t="s">
        <v>16</v>
      </c>
      <c r="H14857" s="0" t="n">
        <v>26</v>
      </c>
      <c r="I14857" s="0" t="s">
        <v>49511</v>
      </c>
      <c r="J14857" s="0" t="s">
        <v>49512</v>
      </c>
      <c r="K14857" s="0" t="s">
        <v>49513</v>
      </c>
      <c r="L14857" s="0" t="str">
        <f aca="false">HYPERLINK("https://www.ncbi.nlm.nih.gov/nuccore/CP000304.1?report=graph&amp;tracks=[key:gene_model_track,Options:GeneOnly]&amp;mk=4198731:4198750|offset_1|444444,4198706:4198725|offset_26|00cc00,4198679:4198698|offset_53|444444,4198656:4198675|offset_76|444444&amp;v=4198530:4198875&amp;c=444444", "offset 26")</f>
        <v>offset 26</v>
      </c>
    </row>
    <row r="14858" customFormat="false" ht="12.8" hidden="false" customHeight="false" outlineLevel="0" collapsed="false">
      <c r="A14858" s="0" t="s">
        <v>12</v>
      </c>
      <c r="B14858" s="0" t="n">
        <v>4198678</v>
      </c>
      <c r="C14858" s="0" t="n">
        <v>4198698</v>
      </c>
      <c r="D14858" s="0" t="s">
        <v>49507</v>
      </c>
      <c r="E14858" s="0" t="s">
        <v>89</v>
      </c>
      <c r="F14858" s="0" t="s">
        <v>90</v>
      </c>
      <c r="G14858" s="0" t="s">
        <v>26</v>
      </c>
      <c r="H14858" s="0" t="n">
        <v>53</v>
      </c>
      <c r="I14858" s="0" t="s">
        <v>49514</v>
      </c>
      <c r="J14858" s="0" t="s">
        <v>49515</v>
      </c>
      <c r="K14858" s="0" t="s">
        <v>49516</v>
      </c>
      <c r="L14858" s="0" t="str">
        <f aca="false">HYPERLINK("https://www.ncbi.nlm.nih.gov/nuccore/CP000304.1?report=graph&amp;tracks=[key:gene_model_track,Options:GeneOnly]&amp;mk=4198731:4198750|offset_1|444444,4198706:4198725|offset_26|444444,4198679:4198698|offset_53|00cc00,4198656:4198675|offset_76|444444&amp;v=4198530:4198875&amp;c=444444", "offset 53")</f>
        <v>offset 53</v>
      </c>
    </row>
    <row r="14859" customFormat="false" ht="12.8" hidden="false" customHeight="false" outlineLevel="0" collapsed="false">
      <c r="A14859" s="0" t="s">
        <v>12</v>
      </c>
      <c r="B14859" s="0" t="n">
        <v>4198655</v>
      </c>
      <c r="C14859" s="0" t="n">
        <v>4198675</v>
      </c>
      <c r="D14859" s="0" t="s">
        <v>49507</v>
      </c>
      <c r="E14859" s="0" t="s">
        <v>89</v>
      </c>
      <c r="F14859" s="0" t="s">
        <v>90</v>
      </c>
      <c r="G14859" s="0" t="s">
        <v>16</v>
      </c>
      <c r="H14859" s="0" t="n">
        <v>76</v>
      </c>
      <c r="I14859" s="0" t="s">
        <v>49517</v>
      </c>
      <c r="J14859" s="0" t="s">
        <v>49518</v>
      </c>
      <c r="K14859" s="0" t="s">
        <v>49519</v>
      </c>
      <c r="L14859" s="0" t="str">
        <f aca="false">HYPERLINK("https://www.ncbi.nlm.nih.gov/nuccore/CP000304.1?report=graph&amp;tracks=[key:gene_model_track,Options:GeneOnly]&amp;mk=4198731:4198750|offset_1|444444,4198706:4198725|offset_26|444444,4198679:4198698|offset_53|444444,4198656:4198675|offset_76|00cc00&amp;v=4198530:4198875&amp;c=444444", "offset 76")</f>
        <v>offset 76</v>
      </c>
    </row>
    <row r="14860" customFormat="false" ht="12.8" hidden="false" customHeight="false" outlineLevel="0" collapsed="false">
      <c r="A14860" s="0" t="s">
        <v>12</v>
      </c>
      <c r="B14860" s="0" t="n">
        <v>4198909</v>
      </c>
      <c r="C14860" s="0" t="n">
        <v>4198929</v>
      </c>
      <c r="D14860" s="0" t="s">
        <v>49520</v>
      </c>
      <c r="E14860" s="0" t="s">
        <v>89</v>
      </c>
      <c r="F14860" s="0" t="s">
        <v>15</v>
      </c>
      <c r="G14860" s="0" t="s">
        <v>32</v>
      </c>
      <c r="H14860" s="0" t="n">
        <v>1</v>
      </c>
      <c r="I14860" s="0" t="s">
        <v>49521</v>
      </c>
      <c r="J14860" s="0" t="s">
        <v>49522</v>
      </c>
      <c r="K14860" s="0" t="s">
        <v>49523</v>
      </c>
      <c r="L14860" s="0" t="str">
        <f aca="false">HYPERLINK("https://www.ncbi.nlm.nih.gov/nuccore/CP000304.1?report=graph&amp;tracks=[key:gene_model_track,Options:GeneOnly]&amp;mk=4198910:4198929|offset_1|00cc00,4198935:4198954|offset_26|444444,4198956:4198975|offset_47|444444,4199001:4199020|offset_92|444444&amp;v=4198709:4199220&amp;c=444444", "offset 1")</f>
        <v>offset 1</v>
      </c>
    </row>
    <row r="14861" customFormat="false" ht="12.8" hidden="false" customHeight="false" outlineLevel="0" collapsed="false">
      <c r="A14861" s="0" t="s">
        <v>12</v>
      </c>
      <c r="B14861" s="0" t="n">
        <v>4198934</v>
      </c>
      <c r="C14861" s="0" t="n">
        <v>4198954</v>
      </c>
      <c r="D14861" s="0" t="s">
        <v>49520</v>
      </c>
      <c r="E14861" s="0" t="s">
        <v>89</v>
      </c>
      <c r="F14861" s="0" t="s">
        <v>15</v>
      </c>
      <c r="G14861" s="0" t="s">
        <v>36</v>
      </c>
      <c r="H14861" s="0" t="n">
        <v>26</v>
      </c>
      <c r="I14861" s="0" t="s">
        <v>49524</v>
      </c>
      <c r="J14861" s="0" t="s">
        <v>49525</v>
      </c>
      <c r="K14861" s="0" t="s">
        <v>49526</v>
      </c>
      <c r="L14861" s="0" t="str">
        <f aca="false">HYPERLINK("https://www.ncbi.nlm.nih.gov/nuccore/CP000304.1?report=graph&amp;tracks=[key:gene_model_track,Options:GeneOnly]&amp;mk=4198910:4198929|offset_1|444444,4198935:4198954|offset_26|00cc00,4198956:4198975|offset_47|444444,4199001:4199020|offset_92|444444&amp;v=4198709:4199220&amp;c=444444", "offset 26")</f>
        <v>offset 26</v>
      </c>
    </row>
    <row r="14862" customFormat="false" ht="12.8" hidden="false" customHeight="false" outlineLevel="0" collapsed="false">
      <c r="A14862" s="0" t="s">
        <v>12</v>
      </c>
      <c r="B14862" s="0" t="n">
        <v>4198955</v>
      </c>
      <c r="C14862" s="0" t="n">
        <v>4198975</v>
      </c>
      <c r="D14862" s="0" t="s">
        <v>49520</v>
      </c>
      <c r="E14862" s="0" t="s">
        <v>89</v>
      </c>
      <c r="F14862" s="0" t="s">
        <v>15</v>
      </c>
      <c r="G14862" s="0" t="s">
        <v>26</v>
      </c>
      <c r="H14862" s="0" t="n">
        <v>47</v>
      </c>
      <c r="I14862" s="0" t="s">
        <v>49527</v>
      </c>
      <c r="J14862" s="0" t="s">
        <v>49528</v>
      </c>
      <c r="K14862" s="0" t="s">
        <v>49529</v>
      </c>
      <c r="L14862" s="0" t="str">
        <f aca="false">HYPERLINK("https://www.ncbi.nlm.nih.gov/nuccore/CP000304.1?report=graph&amp;tracks=[key:gene_model_track,Options:GeneOnly]&amp;mk=4198910:4198929|offset_1|444444,4198935:4198954|offset_26|444444,4198956:4198975|offset_47|00cc00,4199001:4199020|offset_92|444444&amp;v=4198709:4199220&amp;c=444444", "offset 47")</f>
        <v>offset 47</v>
      </c>
    </row>
    <row r="14863" customFormat="false" ht="12.8" hidden="false" customHeight="false" outlineLevel="0" collapsed="false">
      <c r="A14863" s="0" t="s">
        <v>12</v>
      </c>
      <c r="B14863" s="0" t="n">
        <v>4199000</v>
      </c>
      <c r="C14863" s="0" t="n">
        <v>4199020</v>
      </c>
      <c r="D14863" s="0" t="s">
        <v>49520</v>
      </c>
      <c r="E14863" s="0" t="s">
        <v>89</v>
      </c>
      <c r="F14863" s="0" t="s">
        <v>15</v>
      </c>
      <c r="G14863" s="0" t="s">
        <v>26</v>
      </c>
      <c r="H14863" s="0" t="n">
        <v>92</v>
      </c>
      <c r="I14863" s="0" t="s">
        <v>49530</v>
      </c>
      <c r="J14863" s="0" t="s">
        <v>49531</v>
      </c>
      <c r="K14863" s="0" t="s">
        <v>49532</v>
      </c>
      <c r="L14863" s="0" t="str">
        <f aca="false">HYPERLINK("https://www.ncbi.nlm.nih.gov/nuccore/CP000304.1?report=graph&amp;tracks=[key:gene_model_track,Options:GeneOnly]&amp;mk=4198910:4198929|offset_1|444444,4198935:4198954|offset_26|444444,4198956:4198975|offset_47|444444,4199001:4199020|offset_92|00cc00&amp;v=4198709:4199220&amp;c=444444", "offset 92")</f>
        <v>offset 92</v>
      </c>
    </row>
    <row r="14864" customFormat="false" ht="12.8" hidden="false" customHeight="false" outlineLevel="0" collapsed="false">
      <c r="A14864" s="0" t="s">
        <v>12</v>
      </c>
      <c r="B14864" s="0" t="n">
        <v>4199902</v>
      </c>
      <c r="C14864" s="0" t="n">
        <v>4199922</v>
      </c>
      <c r="D14864" s="0" t="s">
        <v>49533</v>
      </c>
      <c r="E14864" s="0" t="s">
        <v>89</v>
      </c>
      <c r="F14864" s="0" t="s">
        <v>15</v>
      </c>
      <c r="G14864" s="0" t="s">
        <v>32</v>
      </c>
      <c r="H14864" s="0" t="n">
        <v>1</v>
      </c>
      <c r="I14864" s="0" t="s">
        <v>49534</v>
      </c>
      <c r="J14864" s="0" t="s">
        <v>49535</v>
      </c>
      <c r="K14864" s="0" t="s">
        <v>49536</v>
      </c>
      <c r="L14864" s="0" t="str">
        <f aca="false">HYPERLINK("https://www.ncbi.nlm.nih.gov/nuccore/CP000304.1?report=graph&amp;tracks=[key:gene_model_track,Options:GeneOnly]&amp;mk=4199903:4199922|offset_1|00cc00,4199925:4199944|offset_23|444444,4199966:4199985|offset_64|444444,4199996:4200015|offset_94|444444&amp;v=4199702:4200215&amp;c=444444", "offset 1")</f>
        <v>offset 1</v>
      </c>
    </row>
    <row r="14865" customFormat="false" ht="12.8" hidden="false" customHeight="false" outlineLevel="0" collapsed="false">
      <c r="A14865" s="0" t="s">
        <v>12</v>
      </c>
      <c r="B14865" s="0" t="n">
        <v>4199924</v>
      </c>
      <c r="C14865" s="0" t="n">
        <v>4199944</v>
      </c>
      <c r="D14865" s="0" t="s">
        <v>49533</v>
      </c>
      <c r="E14865" s="0" t="s">
        <v>89</v>
      </c>
      <c r="F14865" s="0" t="s">
        <v>15</v>
      </c>
      <c r="G14865" s="0" t="s">
        <v>36</v>
      </c>
      <c r="H14865" s="0" t="n">
        <v>23</v>
      </c>
      <c r="I14865" s="0" t="s">
        <v>49537</v>
      </c>
      <c r="J14865" s="0" t="s">
        <v>49538</v>
      </c>
      <c r="K14865" s="0" t="s">
        <v>49539</v>
      </c>
      <c r="L14865" s="0" t="str">
        <f aca="false">HYPERLINK("https://www.ncbi.nlm.nih.gov/nuccore/CP000304.1?report=graph&amp;tracks=[key:gene_model_track,Options:GeneOnly]&amp;mk=4199903:4199922|offset_1|444444,4199925:4199944|offset_23|00cc00,4199966:4199985|offset_64|444444,4199996:4200015|offset_94|444444&amp;v=4199702:4200215&amp;c=444444", "offset 23")</f>
        <v>offset 23</v>
      </c>
    </row>
    <row r="14866" customFormat="false" ht="12.8" hidden="false" customHeight="false" outlineLevel="0" collapsed="false">
      <c r="A14866" s="0" t="s">
        <v>12</v>
      </c>
      <c r="B14866" s="0" t="n">
        <v>4199965</v>
      </c>
      <c r="C14866" s="0" t="n">
        <v>4199985</v>
      </c>
      <c r="D14866" s="0" t="s">
        <v>49533</v>
      </c>
      <c r="E14866" s="0" t="s">
        <v>89</v>
      </c>
      <c r="F14866" s="0" t="s">
        <v>15</v>
      </c>
      <c r="G14866" s="0" t="s">
        <v>16</v>
      </c>
      <c r="H14866" s="0" t="n">
        <v>64</v>
      </c>
      <c r="I14866" s="0" t="s">
        <v>49540</v>
      </c>
      <c r="J14866" s="0" t="s">
        <v>49541</v>
      </c>
      <c r="K14866" s="0" t="s">
        <v>49542</v>
      </c>
      <c r="L14866" s="0" t="str">
        <f aca="false">HYPERLINK("https://www.ncbi.nlm.nih.gov/nuccore/CP000304.1?report=graph&amp;tracks=[key:gene_model_track,Options:GeneOnly]&amp;mk=4199903:4199922|offset_1|444444,4199925:4199944|offset_23|444444,4199966:4199985|offset_64|00cc00,4199996:4200015|offset_94|444444&amp;v=4199702:4200215&amp;c=444444", "offset 64")</f>
        <v>offset 64</v>
      </c>
    </row>
    <row r="14867" customFormat="false" ht="12.8" hidden="false" customHeight="false" outlineLevel="0" collapsed="false">
      <c r="A14867" s="0" t="s">
        <v>12</v>
      </c>
      <c r="B14867" s="0" t="n">
        <v>4199995</v>
      </c>
      <c r="C14867" s="0" t="n">
        <v>4200015</v>
      </c>
      <c r="D14867" s="0" t="s">
        <v>49533</v>
      </c>
      <c r="E14867" s="0" t="s">
        <v>89</v>
      </c>
      <c r="F14867" s="0" t="s">
        <v>15</v>
      </c>
      <c r="G14867" s="0" t="s">
        <v>16</v>
      </c>
      <c r="H14867" s="0" t="n">
        <v>94</v>
      </c>
      <c r="I14867" s="0" t="s">
        <v>49543</v>
      </c>
      <c r="J14867" s="0" t="s">
        <v>49544</v>
      </c>
      <c r="K14867" s="0" t="s">
        <v>49545</v>
      </c>
      <c r="L14867" s="0" t="str">
        <f aca="false">HYPERLINK("https://www.ncbi.nlm.nih.gov/nuccore/CP000304.1?report=graph&amp;tracks=[key:gene_model_track,Options:GeneOnly]&amp;mk=4199903:4199922|offset_1|444444,4199925:4199944|offset_23|444444,4199966:4199985|offset_64|444444,4199996:4200015|offset_94|00cc00&amp;v=4199702:4200215&amp;c=444444", "offset 94")</f>
        <v>offset 94</v>
      </c>
    </row>
    <row r="14868" customFormat="false" ht="12.8" hidden="false" customHeight="false" outlineLevel="0" collapsed="false">
      <c r="A14868" s="0" t="s">
        <v>12</v>
      </c>
      <c r="B14868" s="0" t="n">
        <v>4201859</v>
      </c>
      <c r="C14868" s="0" t="n">
        <v>4201879</v>
      </c>
      <c r="D14868" s="0" t="s">
        <v>49546</v>
      </c>
      <c r="E14868" s="0" t="s">
        <v>89</v>
      </c>
      <c r="F14868" s="0" t="s">
        <v>15</v>
      </c>
      <c r="G14868" s="0" t="s">
        <v>32</v>
      </c>
      <c r="H14868" s="0" t="n">
        <v>23</v>
      </c>
      <c r="I14868" s="0" t="s">
        <v>49547</v>
      </c>
      <c r="J14868" s="0" t="s">
        <v>49548</v>
      </c>
      <c r="K14868" s="0" t="s">
        <v>49549</v>
      </c>
      <c r="L14868" s="0" t="str">
        <f aca="false">HYPERLINK("https://www.ncbi.nlm.nih.gov/nuccore/CP000304.1?report=graph&amp;tracks=[key:gene_model_track,Options:GeneOnly]&amp;mk=4201860:4201879|offset_23|00cc00,4201880:4201899|offset_43|444444,4201902:4201921|offset_65|444444,4201926:4201945|offset_89|444444&amp;v=4201659:4202145&amp;c=444444", "offset 23")</f>
        <v>offset 23</v>
      </c>
    </row>
    <row r="14869" customFormat="false" ht="12.8" hidden="false" customHeight="false" outlineLevel="0" collapsed="false">
      <c r="A14869" s="0" t="s">
        <v>12</v>
      </c>
      <c r="B14869" s="0" t="n">
        <v>4201879</v>
      </c>
      <c r="C14869" s="0" t="n">
        <v>4201899</v>
      </c>
      <c r="D14869" s="0" t="s">
        <v>49546</v>
      </c>
      <c r="E14869" s="0" t="s">
        <v>89</v>
      </c>
      <c r="F14869" s="0" t="s">
        <v>15</v>
      </c>
      <c r="G14869" s="0" t="s">
        <v>26</v>
      </c>
      <c r="H14869" s="0" t="n">
        <v>43</v>
      </c>
      <c r="I14869" s="0" t="s">
        <v>49550</v>
      </c>
      <c r="J14869" s="0" t="s">
        <v>49551</v>
      </c>
      <c r="K14869" s="0" t="s">
        <v>49552</v>
      </c>
      <c r="L14869" s="0" t="str">
        <f aca="false">HYPERLINK("https://www.ncbi.nlm.nih.gov/nuccore/CP000304.1?report=graph&amp;tracks=[key:gene_model_track,Options:GeneOnly]&amp;mk=4201860:4201879|offset_23|444444,4201880:4201899|offset_43|00cc00,4201902:4201921|offset_65|444444,4201926:4201945|offset_89|444444&amp;v=4201659:4202145&amp;c=444444", "offset 43")</f>
        <v>offset 43</v>
      </c>
    </row>
    <row r="14870" customFormat="false" ht="12.8" hidden="false" customHeight="false" outlineLevel="0" collapsed="false">
      <c r="A14870" s="0" t="s">
        <v>12</v>
      </c>
      <c r="B14870" s="0" t="n">
        <v>4201901</v>
      </c>
      <c r="C14870" s="0" t="n">
        <v>4201921</v>
      </c>
      <c r="D14870" s="0" t="s">
        <v>49546</v>
      </c>
      <c r="E14870" s="0" t="s">
        <v>89</v>
      </c>
      <c r="F14870" s="0" t="s">
        <v>15</v>
      </c>
      <c r="G14870" s="0" t="s">
        <v>26</v>
      </c>
      <c r="H14870" s="0" t="n">
        <v>65</v>
      </c>
      <c r="I14870" s="0" t="s">
        <v>49553</v>
      </c>
      <c r="J14870" s="0" t="s">
        <v>49554</v>
      </c>
      <c r="K14870" s="0" t="s">
        <v>49555</v>
      </c>
      <c r="L14870" s="0" t="str">
        <f aca="false">HYPERLINK("https://www.ncbi.nlm.nih.gov/nuccore/CP000304.1?report=graph&amp;tracks=[key:gene_model_track,Options:GeneOnly]&amp;mk=4201860:4201879|offset_23|444444,4201880:4201899|offset_43|444444,4201902:4201921|offset_65|00cc00,4201926:4201945|offset_89|444444&amp;v=4201659:4202145&amp;c=444444", "offset 65")</f>
        <v>offset 65</v>
      </c>
    </row>
    <row r="14871" customFormat="false" ht="12.8" hidden="false" customHeight="false" outlineLevel="0" collapsed="false">
      <c r="A14871" s="0" t="s">
        <v>12</v>
      </c>
      <c r="B14871" s="0" t="n">
        <v>4201925</v>
      </c>
      <c r="C14871" s="0" t="n">
        <v>4201945</v>
      </c>
      <c r="D14871" s="0" t="s">
        <v>49546</v>
      </c>
      <c r="E14871" s="0" t="s">
        <v>89</v>
      </c>
      <c r="F14871" s="0" t="s">
        <v>15</v>
      </c>
      <c r="G14871" s="0" t="s">
        <v>26</v>
      </c>
      <c r="H14871" s="0" t="n">
        <v>89</v>
      </c>
      <c r="I14871" s="0" t="s">
        <v>49556</v>
      </c>
      <c r="J14871" s="0" t="s">
        <v>49557</v>
      </c>
      <c r="K14871" s="0" t="s">
        <v>49558</v>
      </c>
      <c r="L14871" s="0" t="str">
        <f aca="false">HYPERLINK("https://www.ncbi.nlm.nih.gov/nuccore/CP000304.1?report=graph&amp;tracks=[key:gene_model_track,Options:GeneOnly]&amp;mk=4201860:4201879|offset_23|444444,4201880:4201899|offset_43|444444,4201902:4201921|offset_65|444444,4201926:4201945|offset_89|00cc00&amp;v=4201659:4202145&amp;c=444444", "offset 89")</f>
        <v>offset 89</v>
      </c>
    </row>
    <row r="14872" customFormat="false" ht="12.8" hidden="false" customHeight="false" outlineLevel="0" collapsed="false">
      <c r="A14872" s="0" t="s">
        <v>12</v>
      </c>
      <c r="B14872" s="0" t="n">
        <v>4203708</v>
      </c>
      <c r="C14872" s="0" t="n">
        <v>4203728</v>
      </c>
      <c r="D14872" s="0" t="s">
        <v>49559</v>
      </c>
      <c r="E14872" s="0" t="s">
        <v>89</v>
      </c>
      <c r="F14872" s="0" t="s">
        <v>15</v>
      </c>
      <c r="G14872" s="0" t="s">
        <v>36</v>
      </c>
      <c r="H14872" s="0" t="n">
        <v>0</v>
      </c>
      <c r="I14872" s="0" t="s">
        <v>49560</v>
      </c>
      <c r="J14872" s="0" t="s">
        <v>49561</v>
      </c>
      <c r="K14872" s="0" t="s">
        <v>49562</v>
      </c>
      <c r="L14872" s="0" t="str">
        <f aca="false">HYPERLINK("https://www.ncbi.nlm.nih.gov/nuccore/CP000304.1?report=graph&amp;tracks=[key:gene_model_track,Options:GeneOnly]&amp;mk=4203709:4203728|offset_0|00cc00,4203729:4203748|offset_20|444444,4203750:4203769|offset_41|444444,4203773:4203792|offset_64|444444&amp;v=4203508:4203992&amp;c=444444", "offset 0")</f>
        <v>offset 0</v>
      </c>
    </row>
    <row r="14873" customFormat="false" ht="12.8" hidden="false" customHeight="false" outlineLevel="0" collapsed="false">
      <c r="A14873" s="0" t="s">
        <v>12</v>
      </c>
      <c r="B14873" s="0" t="n">
        <v>4203728</v>
      </c>
      <c r="C14873" s="0" t="n">
        <v>4203748</v>
      </c>
      <c r="D14873" s="0" t="s">
        <v>49559</v>
      </c>
      <c r="E14873" s="0" t="s">
        <v>89</v>
      </c>
      <c r="F14873" s="0" t="s">
        <v>15</v>
      </c>
      <c r="G14873" s="0" t="s">
        <v>26</v>
      </c>
      <c r="H14873" s="0" t="n">
        <v>20</v>
      </c>
      <c r="I14873" s="0" t="s">
        <v>49563</v>
      </c>
      <c r="J14873" s="0" t="s">
        <v>49564</v>
      </c>
      <c r="K14873" s="0" t="s">
        <v>49565</v>
      </c>
      <c r="L14873" s="0" t="str">
        <f aca="false">HYPERLINK("https://www.ncbi.nlm.nih.gov/nuccore/CP000304.1?report=graph&amp;tracks=[key:gene_model_track,Options:GeneOnly]&amp;mk=4203709:4203728|offset_0|444444,4203729:4203748|offset_20|00cc00,4203750:4203769|offset_41|444444,4203773:4203792|offset_64|444444&amp;v=4203508:4203992&amp;c=444444", "offset 20")</f>
        <v>offset 20</v>
      </c>
    </row>
    <row r="14874" customFormat="false" ht="12.8" hidden="false" customHeight="false" outlineLevel="0" collapsed="false">
      <c r="A14874" s="0" t="s">
        <v>12</v>
      </c>
      <c r="B14874" s="0" t="n">
        <v>4203749</v>
      </c>
      <c r="C14874" s="0" t="n">
        <v>4203769</v>
      </c>
      <c r="D14874" s="0" t="s">
        <v>49559</v>
      </c>
      <c r="E14874" s="0" t="s">
        <v>89</v>
      </c>
      <c r="F14874" s="0" t="s">
        <v>15</v>
      </c>
      <c r="G14874" s="0" t="s">
        <v>26</v>
      </c>
      <c r="H14874" s="0" t="n">
        <v>41</v>
      </c>
      <c r="I14874" s="0" t="s">
        <v>49566</v>
      </c>
      <c r="J14874" s="0" t="s">
        <v>49567</v>
      </c>
      <c r="K14874" s="0" t="s">
        <v>49568</v>
      </c>
      <c r="L14874" s="0" t="str">
        <f aca="false">HYPERLINK("https://www.ncbi.nlm.nih.gov/nuccore/CP000304.1?report=graph&amp;tracks=[key:gene_model_track,Options:GeneOnly]&amp;mk=4203709:4203728|offset_0|444444,4203729:4203748|offset_20|444444,4203750:4203769|offset_41|00cc00,4203773:4203792|offset_64|444444&amp;v=4203508:4203992&amp;c=444444", "offset 41")</f>
        <v>offset 41</v>
      </c>
    </row>
    <row r="14875" customFormat="false" ht="12.8" hidden="false" customHeight="false" outlineLevel="0" collapsed="false">
      <c r="A14875" s="0" t="s">
        <v>12</v>
      </c>
      <c r="B14875" s="0" t="n">
        <v>4203772</v>
      </c>
      <c r="C14875" s="0" t="n">
        <v>4203792</v>
      </c>
      <c r="D14875" s="0" t="s">
        <v>49559</v>
      </c>
      <c r="E14875" s="0" t="s">
        <v>89</v>
      </c>
      <c r="F14875" s="0" t="s">
        <v>15</v>
      </c>
      <c r="G14875" s="0" t="s">
        <v>36</v>
      </c>
      <c r="H14875" s="0" t="n">
        <v>64</v>
      </c>
      <c r="I14875" s="0" t="s">
        <v>49569</v>
      </c>
      <c r="J14875" s="0" t="s">
        <v>49570</v>
      </c>
      <c r="K14875" s="0" t="s">
        <v>49571</v>
      </c>
      <c r="L14875" s="0" t="str">
        <f aca="false">HYPERLINK("https://www.ncbi.nlm.nih.gov/nuccore/CP000304.1?report=graph&amp;tracks=[key:gene_model_track,Options:GeneOnly]&amp;mk=4203709:4203728|offset_0|444444,4203729:4203748|offset_20|444444,4203750:4203769|offset_41|444444,4203773:4203792|offset_64|00cc00&amp;v=4203508:4203992&amp;c=444444", "offset 64")</f>
        <v>offset 64</v>
      </c>
    </row>
    <row r="14876" customFormat="false" ht="12.8" hidden="false" customHeight="false" outlineLevel="0" collapsed="false">
      <c r="A14876" s="0" t="s">
        <v>12</v>
      </c>
      <c r="B14876" s="0" t="n">
        <v>4207100</v>
      </c>
      <c r="C14876" s="0" t="n">
        <v>4207120</v>
      </c>
      <c r="D14876" s="0" t="s">
        <v>49572</v>
      </c>
      <c r="E14876" s="0" t="s">
        <v>89</v>
      </c>
      <c r="F14876" s="0" t="s">
        <v>15</v>
      </c>
      <c r="G14876" s="0" t="s">
        <v>36</v>
      </c>
      <c r="H14876" s="0" t="n">
        <v>10</v>
      </c>
      <c r="I14876" s="0" t="s">
        <v>49573</v>
      </c>
      <c r="J14876" s="0" t="s">
        <v>49574</v>
      </c>
      <c r="K14876" s="0" t="s">
        <v>49575</v>
      </c>
      <c r="L14876" s="0" t="str">
        <f aca="false">HYPERLINK("https://www.ncbi.nlm.nih.gov/nuccore/CP000304.1?report=graph&amp;tracks=[key:gene_model_track,Options:GeneOnly]&amp;mk=4207101:4207120|offset_10|00cc00,4207134:4207153|offset_43|444444,4207155:4207174|offset_64|444444,4207175:4207194|offset_84|444444&amp;v=4206900:4207394&amp;c=444444", "offset 10")</f>
        <v>offset 10</v>
      </c>
    </row>
    <row r="14877" customFormat="false" ht="12.8" hidden="false" customHeight="false" outlineLevel="0" collapsed="false">
      <c r="A14877" s="0" t="s">
        <v>12</v>
      </c>
      <c r="B14877" s="0" t="n">
        <v>4207133</v>
      </c>
      <c r="C14877" s="0" t="n">
        <v>4207153</v>
      </c>
      <c r="D14877" s="0" t="s">
        <v>49572</v>
      </c>
      <c r="E14877" s="0" t="s">
        <v>89</v>
      </c>
      <c r="F14877" s="0" t="s">
        <v>15</v>
      </c>
      <c r="G14877" s="0" t="s">
        <v>36</v>
      </c>
      <c r="H14877" s="0" t="n">
        <v>43</v>
      </c>
      <c r="I14877" s="0" t="s">
        <v>49576</v>
      </c>
      <c r="J14877" s="0" t="s">
        <v>49577</v>
      </c>
      <c r="K14877" s="0" t="s">
        <v>49578</v>
      </c>
      <c r="L14877" s="0" t="str">
        <f aca="false">HYPERLINK("https://www.ncbi.nlm.nih.gov/nuccore/CP000304.1?report=graph&amp;tracks=[key:gene_model_track,Options:GeneOnly]&amp;mk=4207101:4207120|offset_10|444444,4207134:4207153|offset_43|00cc00,4207155:4207174|offset_64|444444,4207175:4207194|offset_84|444444&amp;v=4206900:4207394&amp;c=444444", "offset 43")</f>
        <v>offset 43</v>
      </c>
    </row>
    <row r="14878" customFormat="false" ht="12.8" hidden="false" customHeight="false" outlineLevel="0" collapsed="false">
      <c r="A14878" s="0" t="s">
        <v>12</v>
      </c>
      <c r="B14878" s="0" t="n">
        <v>4207154</v>
      </c>
      <c r="C14878" s="0" t="n">
        <v>4207174</v>
      </c>
      <c r="D14878" s="0" t="s">
        <v>49572</v>
      </c>
      <c r="E14878" s="0" t="s">
        <v>89</v>
      </c>
      <c r="F14878" s="0" t="s">
        <v>15</v>
      </c>
      <c r="G14878" s="0" t="s">
        <v>32</v>
      </c>
      <c r="H14878" s="0" t="n">
        <v>64</v>
      </c>
      <c r="I14878" s="0" t="s">
        <v>49579</v>
      </c>
      <c r="J14878" s="0" t="s">
        <v>49580</v>
      </c>
      <c r="K14878" s="0" t="s">
        <v>49581</v>
      </c>
      <c r="L14878" s="0" t="str">
        <f aca="false">HYPERLINK("https://www.ncbi.nlm.nih.gov/nuccore/CP000304.1?report=graph&amp;tracks=[key:gene_model_track,Options:GeneOnly]&amp;mk=4207101:4207120|offset_10|444444,4207134:4207153|offset_43|444444,4207155:4207174|offset_64|00cc00,4207175:4207194|offset_84|444444&amp;v=4206900:4207394&amp;c=444444", "offset 64")</f>
        <v>offset 64</v>
      </c>
    </row>
    <row r="14879" customFormat="false" ht="12.8" hidden="false" customHeight="false" outlineLevel="0" collapsed="false">
      <c r="A14879" s="0" t="s">
        <v>12</v>
      </c>
      <c r="B14879" s="0" t="n">
        <v>4207174</v>
      </c>
      <c r="C14879" s="0" t="n">
        <v>4207194</v>
      </c>
      <c r="D14879" s="0" t="s">
        <v>49572</v>
      </c>
      <c r="E14879" s="0" t="s">
        <v>89</v>
      </c>
      <c r="F14879" s="0" t="s">
        <v>15</v>
      </c>
      <c r="G14879" s="0" t="s">
        <v>16</v>
      </c>
      <c r="H14879" s="0" t="n">
        <v>84</v>
      </c>
      <c r="I14879" s="0" t="s">
        <v>49582</v>
      </c>
      <c r="J14879" s="0" t="s">
        <v>49583</v>
      </c>
      <c r="K14879" s="0" t="s">
        <v>49584</v>
      </c>
      <c r="L14879" s="0" t="str">
        <f aca="false">HYPERLINK("https://www.ncbi.nlm.nih.gov/nuccore/CP000304.1?report=graph&amp;tracks=[key:gene_model_track,Options:GeneOnly]&amp;mk=4207101:4207120|offset_10|444444,4207134:4207153|offset_43|444444,4207155:4207174|offset_64|444444,4207175:4207194|offset_84|00cc00&amp;v=4206900:4207394&amp;c=444444", "offset 84")</f>
        <v>offset 84</v>
      </c>
    </row>
    <row r="14880" customFormat="false" ht="12.8" hidden="false" customHeight="false" outlineLevel="0" collapsed="false">
      <c r="A14880" s="0" t="s">
        <v>12</v>
      </c>
      <c r="B14880" s="0" t="n">
        <v>4209749</v>
      </c>
      <c r="C14880" s="0" t="n">
        <v>4209769</v>
      </c>
      <c r="D14880" s="0" t="s">
        <v>49585</v>
      </c>
      <c r="E14880" s="0" t="s">
        <v>89</v>
      </c>
      <c r="F14880" s="0" t="s">
        <v>90</v>
      </c>
      <c r="G14880" s="0" t="s">
        <v>32</v>
      </c>
      <c r="H14880" s="0" t="n">
        <v>1</v>
      </c>
      <c r="I14880" s="0" t="s">
        <v>49586</v>
      </c>
      <c r="J14880" s="0" t="s">
        <v>49587</v>
      </c>
      <c r="K14880" s="0" t="s">
        <v>49588</v>
      </c>
      <c r="L14880" s="0" t="str">
        <f aca="false">HYPERLINK("https://www.ncbi.nlm.nih.gov/nuccore/CP000304.1?report=graph&amp;tracks=[key:gene_model_track,Options:GeneOnly]&amp;mk=4209750:4209769|offset_1|00cc00,4209700:4209719|offset_51|444444,4209661:4209680|offset_90|444444,4209639:4209658|offset_112|444444&amp;v=4209549:4209858&amp;c=444444", "offset 1")</f>
        <v>offset 1</v>
      </c>
    </row>
    <row r="14881" customFormat="false" ht="12.8" hidden="false" customHeight="false" outlineLevel="0" collapsed="false">
      <c r="A14881" s="0" t="s">
        <v>12</v>
      </c>
      <c r="B14881" s="0" t="n">
        <v>4209699</v>
      </c>
      <c r="C14881" s="0" t="n">
        <v>4209719</v>
      </c>
      <c r="D14881" s="0" t="s">
        <v>49585</v>
      </c>
      <c r="E14881" s="0" t="s">
        <v>89</v>
      </c>
      <c r="F14881" s="0" t="s">
        <v>90</v>
      </c>
      <c r="G14881" s="0" t="s">
        <v>16</v>
      </c>
      <c r="H14881" s="0" t="n">
        <v>51</v>
      </c>
      <c r="I14881" s="0" t="s">
        <v>49589</v>
      </c>
      <c r="J14881" s="0" t="s">
        <v>49590</v>
      </c>
      <c r="K14881" s="0" t="s">
        <v>49591</v>
      </c>
      <c r="L14881" s="0" t="str">
        <f aca="false">HYPERLINK("https://www.ncbi.nlm.nih.gov/nuccore/CP000304.1?report=graph&amp;tracks=[key:gene_model_track,Options:GeneOnly]&amp;mk=4209750:4209769|offset_1|444444,4209700:4209719|offset_51|00cc00,4209661:4209680|offset_90|444444,4209639:4209658|offset_112|444444&amp;v=4209549:4209858&amp;c=444444", "offset 51")</f>
        <v>offset 51</v>
      </c>
    </row>
    <row r="14882" customFormat="false" ht="12.8" hidden="false" customHeight="false" outlineLevel="0" collapsed="false">
      <c r="A14882" s="0" t="s">
        <v>12</v>
      </c>
      <c r="B14882" s="0" t="n">
        <v>4209660</v>
      </c>
      <c r="C14882" s="0" t="n">
        <v>4209680</v>
      </c>
      <c r="D14882" s="0" t="s">
        <v>49585</v>
      </c>
      <c r="E14882" s="0" t="s">
        <v>89</v>
      </c>
      <c r="F14882" s="0" t="s">
        <v>90</v>
      </c>
      <c r="G14882" s="0" t="s">
        <v>36</v>
      </c>
      <c r="H14882" s="0" t="n">
        <v>90</v>
      </c>
      <c r="I14882" s="0" t="s">
        <v>49592</v>
      </c>
      <c r="J14882" s="0" t="s">
        <v>49593</v>
      </c>
      <c r="K14882" s="0" t="s">
        <v>49594</v>
      </c>
      <c r="L14882" s="0" t="str">
        <f aca="false">HYPERLINK("https://www.ncbi.nlm.nih.gov/nuccore/CP000304.1?report=graph&amp;tracks=[key:gene_model_track,Options:GeneOnly]&amp;mk=4209750:4209769|offset_1|444444,4209700:4209719|offset_51|444444,4209661:4209680|offset_90|00cc00,4209639:4209658|offset_112|444444&amp;v=4209549:4209858&amp;c=444444", "offset 90")</f>
        <v>offset 90</v>
      </c>
    </row>
    <row r="14883" customFormat="false" ht="12.8" hidden="false" customHeight="false" outlineLevel="0" collapsed="false">
      <c r="A14883" s="0" t="s">
        <v>12</v>
      </c>
      <c r="B14883" s="0" t="n">
        <v>4209638</v>
      </c>
      <c r="C14883" s="0" t="n">
        <v>4209658</v>
      </c>
      <c r="D14883" s="0" t="s">
        <v>49585</v>
      </c>
      <c r="E14883" s="0" t="s">
        <v>89</v>
      </c>
      <c r="F14883" s="0" t="s">
        <v>90</v>
      </c>
      <c r="G14883" s="0" t="s">
        <v>16</v>
      </c>
      <c r="H14883" s="0" t="n">
        <v>112</v>
      </c>
      <c r="I14883" s="0" t="s">
        <v>49595</v>
      </c>
      <c r="J14883" s="0" t="s">
        <v>49596</v>
      </c>
      <c r="K14883" s="0" t="s">
        <v>49597</v>
      </c>
      <c r="L14883" s="0" t="str">
        <f aca="false">HYPERLINK("https://www.ncbi.nlm.nih.gov/nuccore/CP000304.1?report=graph&amp;tracks=[key:gene_model_track,Options:GeneOnly]&amp;mk=4209750:4209769|offset_1|444444,4209700:4209719|offset_51|444444,4209661:4209680|offset_90|444444,4209639:4209658|offset_112|00cc00&amp;v=4209549:4209858&amp;c=444444", "offset 112")</f>
        <v>offset 112</v>
      </c>
    </row>
    <row r="14884" customFormat="false" ht="12.8" hidden="false" customHeight="false" outlineLevel="0" collapsed="false">
      <c r="A14884" s="0" t="s">
        <v>12</v>
      </c>
      <c r="B14884" s="0" t="n">
        <v>4210239</v>
      </c>
      <c r="C14884" s="0" t="n">
        <v>4210259</v>
      </c>
      <c r="D14884" s="0" t="s">
        <v>49598</v>
      </c>
      <c r="E14884" s="0" t="s">
        <v>89</v>
      </c>
      <c r="F14884" s="0" t="s">
        <v>90</v>
      </c>
      <c r="G14884" s="0" t="s">
        <v>26</v>
      </c>
      <c r="H14884" s="0" t="n">
        <v>17</v>
      </c>
      <c r="I14884" s="0" t="s">
        <v>49599</v>
      </c>
      <c r="J14884" s="0" t="s">
        <v>49600</v>
      </c>
      <c r="K14884" s="0" t="s">
        <v>49601</v>
      </c>
      <c r="L14884" s="0" t="str">
        <f aca="false">HYPERLINK("https://www.ncbi.nlm.nih.gov/nuccore/CP000304.1?report=graph&amp;tracks=[key:gene_model_track,Options:GeneOnly]&amp;mk=4210240:4210259|offset_17|00cc00,4210218:4210237|offset_39|444444,4210194:4210213|offset_63|444444,4210169:4210188|offset_88|444444&amp;v=4210039:4210388&amp;c=444444", "offset 17")</f>
        <v>offset 17</v>
      </c>
    </row>
    <row r="14885" customFormat="false" ht="12.8" hidden="false" customHeight="false" outlineLevel="0" collapsed="false">
      <c r="A14885" s="0" t="s">
        <v>12</v>
      </c>
      <c r="B14885" s="0" t="n">
        <v>4210217</v>
      </c>
      <c r="C14885" s="0" t="n">
        <v>4210237</v>
      </c>
      <c r="D14885" s="0" t="s">
        <v>49598</v>
      </c>
      <c r="E14885" s="0" t="s">
        <v>89</v>
      </c>
      <c r="F14885" s="0" t="s">
        <v>90</v>
      </c>
      <c r="G14885" s="0" t="s">
        <v>16</v>
      </c>
      <c r="H14885" s="0" t="n">
        <v>39</v>
      </c>
      <c r="I14885" s="0" t="s">
        <v>49602</v>
      </c>
      <c r="J14885" s="0" t="s">
        <v>49603</v>
      </c>
      <c r="K14885" s="0" t="s">
        <v>49604</v>
      </c>
      <c r="L14885" s="0" t="str">
        <f aca="false">HYPERLINK("https://www.ncbi.nlm.nih.gov/nuccore/CP000304.1?report=graph&amp;tracks=[key:gene_model_track,Options:GeneOnly]&amp;mk=4210240:4210259|offset_17|444444,4210218:4210237|offset_39|00cc00,4210194:4210213|offset_63|444444,4210169:4210188|offset_88|444444&amp;v=4210039:4210388&amp;c=444444", "offset 39")</f>
        <v>offset 39</v>
      </c>
    </row>
    <row r="14886" customFormat="false" ht="12.8" hidden="false" customHeight="false" outlineLevel="0" collapsed="false">
      <c r="A14886" s="0" t="s">
        <v>12</v>
      </c>
      <c r="B14886" s="0" t="n">
        <v>4210193</v>
      </c>
      <c r="C14886" s="0" t="n">
        <v>4210213</v>
      </c>
      <c r="D14886" s="0" t="s">
        <v>49598</v>
      </c>
      <c r="E14886" s="0" t="s">
        <v>89</v>
      </c>
      <c r="F14886" s="0" t="s">
        <v>90</v>
      </c>
      <c r="G14886" s="0" t="s">
        <v>26</v>
      </c>
      <c r="H14886" s="0" t="n">
        <v>63</v>
      </c>
      <c r="I14886" s="0" t="s">
        <v>49605</v>
      </c>
      <c r="J14886" s="0" t="s">
        <v>49606</v>
      </c>
      <c r="K14886" s="0" t="s">
        <v>49607</v>
      </c>
      <c r="L14886" s="0" t="str">
        <f aca="false">HYPERLINK("https://www.ncbi.nlm.nih.gov/nuccore/CP000304.1?report=graph&amp;tracks=[key:gene_model_track,Options:GeneOnly]&amp;mk=4210240:4210259|offset_17|444444,4210218:4210237|offset_39|444444,4210194:4210213|offset_63|00cc00,4210169:4210188|offset_88|444444&amp;v=4210039:4210388&amp;c=444444", "offset 63")</f>
        <v>offset 63</v>
      </c>
    </row>
    <row r="14887" customFormat="false" ht="12.8" hidden="false" customHeight="false" outlineLevel="0" collapsed="false">
      <c r="A14887" s="0" t="s">
        <v>12</v>
      </c>
      <c r="B14887" s="0" t="n">
        <v>4210168</v>
      </c>
      <c r="C14887" s="0" t="n">
        <v>4210188</v>
      </c>
      <c r="D14887" s="0" t="s">
        <v>49598</v>
      </c>
      <c r="E14887" s="0" t="s">
        <v>89</v>
      </c>
      <c r="F14887" s="0" t="s">
        <v>90</v>
      </c>
      <c r="G14887" s="0" t="s">
        <v>16</v>
      </c>
      <c r="H14887" s="0" t="n">
        <v>88</v>
      </c>
      <c r="I14887" s="0" t="s">
        <v>49608</v>
      </c>
      <c r="J14887" s="0" t="s">
        <v>49609</v>
      </c>
      <c r="K14887" s="0" t="s">
        <v>49610</v>
      </c>
      <c r="L14887" s="0" t="str">
        <f aca="false">HYPERLINK("https://www.ncbi.nlm.nih.gov/nuccore/CP000304.1?report=graph&amp;tracks=[key:gene_model_track,Options:GeneOnly]&amp;mk=4210240:4210259|offset_17|444444,4210218:4210237|offset_39|444444,4210194:4210213|offset_63|444444,4210169:4210188|offset_88|00cc00&amp;v=4210039:4210388&amp;c=444444", "offset 88")</f>
        <v>offset 88</v>
      </c>
    </row>
    <row r="14888" customFormat="false" ht="12.8" hidden="false" customHeight="false" outlineLevel="0" collapsed="false">
      <c r="A14888" s="0" t="s">
        <v>12</v>
      </c>
      <c r="B14888" s="0" t="n">
        <v>4211164</v>
      </c>
      <c r="C14888" s="0" t="n">
        <v>4211184</v>
      </c>
      <c r="D14888" s="0" t="s">
        <v>49611</v>
      </c>
      <c r="E14888" s="0" t="s">
        <v>89</v>
      </c>
      <c r="F14888" s="0" t="s">
        <v>90</v>
      </c>
      <c r="G14888" s="0" t="s">
        <v>36</v>
      </c>
      <c r="H14888" s="0" t="n">
        <v>6</v>
      </c>
      <c r="I14888" s="0" t="s">
        <v>49612</v>
      </c>
      <c r="J14888" s="0" t="s">
        <v>49613</v>
      </c>
      <c r="K14888" s="0" t="s">
        <v>49614</v>
      </c>
      <c r="L14888" s="0" t="str">
        <f aca="false">HYPERLINK("https://www.ncbi.nlm.nih.gov/nuccore/CP000304.1?report=graph&amp;tracks=[key:gene_model_track,Options:GeneOnly]&amp;mk=4211165:4211184|offset_6|00cc00,4211122:4211141|offset_49|444444,4211094:4211113|offset_77|444444,4211001:4211020|offset_170|444444&amp;v=4210964:4211220&amp;c=444444", "offset 6")</f>
        <v>offset 6</v>
      </c>
    </row>
    <row r="14889" customFormat="false" ht="12.8" hidden="false" customHeight="false" outlineLevel="0" collapsed="false">
      <c r="A14889" s="0" t="s">
        <v>12</v>
      </c>
      <c r="B14889" s="0" t="n">
        <v>4211121</v>
      </c>
      <c r="C14889" s="0" t="n">
        <v>4211141</v>
      </c>
      <c r="D14889" s="0" t="s">
        <v>49611</v>
      </c>
      <c r="E14889" s="0" t="s">
        <v>89</v>
      </c>
      <c r="F14889" s="0" t="s">
        <v>90</v>
      </c>
      <c r="G14889" s="0" t="s">
        <v>32</v>
      </c>
      <c r="H14889" s="0" t="n">
        <v>49</v>
      </c>
      <c r="I14889" s="0" t="s">
        <v>49615</v>
      </c>
      <c r="J14889" s="0" t="s">
        <v>49616</v>
      </c>
      <c r="K14889" s="0" t="s">
        <v>49617</v>
      </c>
      <c r="L14889" s="0" t="str">
        <f aca="false">HYPERLINK("https://www.ncbi.nlm.nih.gov/nuccore/CP000304.1?report=graph&amp;tracks=[key:gene_model_track,Options:GeneOnly]&amp;mk=4211165:4211184|offset_6|444444,4211122:4211141|offset_49|00cc00,4211094:4211113|offset_77|444444,4211001:4211020|offset_170|444444&amp;v=4210964:4211220&amp;c=444444", "offset 49")</f>
        <v>offset 49</v>
      </c>
    </row>
    <row r="14890" customFormat="false" ht="12.8" hidden="false" customHeight="false" outlineLevel="0" collapsed="false">
      <c r="A14890" s="0" t="s">
        <v>12</v>
      </c>
      <c r="B14890" s="0" t="n">
        <v>4211093</v>
      </c>
      <c r="C14890" s="0" t="n">
        <v>4211113</v>
      </c>
      <c r="D14890" s="0" t="s">
        <v>49611</v>
      </c>
      <c r="E14890" s="0" t="s">
        <v>89</v>
      </c>
      <c r="F14890" s="0" t="s">
        <v>90</v>
      </c>
      <c r="G14890" s="0" t="s">
        <v>16</v>
      </c>
      <c r="H14890" s="0" t="n">
        <v>77</v>
      </c>
      <c r="I14890" s="0" t="s">
        <v>49618</v>
      </c>
      <c r="J14890" s="0" t="s">
        <v>49619</v>
      </c>
      <c r="K14890" s="0" t="s">
        <v>49620</v>
      </c>
      <c r="L14890" s="0" t="str">
        <f aca="false">HYPERLINK("https://www.ncbi.nlm.nih.gov/nuccore/CP000304.1?report=graph&amp;tracks=[key:gene_model_track,Options:GeneOnly]&amp;mk=4211165:4211184|offset_6|444444,4211122:4211141|offset_49|444444,4211094:4211113|offset_77|00cc00,4211001:4211020|offset_170|444444&amp;v=4210964:4211220&amp;c=444444", "offset 77")</f>
        <v>offset 77</v>
      </c>
    </row>
    <row r="14891" customFormat="false" ht="12.8" hidden="false" customHeight="false" outlineLevel="0" collapsed="false">
      <c r="A14891" s="0" t="s">
        <v>12</v>
      </c>
      <c r="B14891" s="0" t="n">
        <v>4211000</v>
      </c>
      <c r="C14891" s="0" t="n">
        <v>4211020</v>
      </c>
      <c r="D14891" s="0" t="s">
        <v>49611</v>
      </c>
      <c r="E14891" s="0" t="s">
        <v>89</v>
      </c>
      <c r="F14891" s="0" t="s">
        <v>90</v>
      </c>
      <c r="G14891" s="0" t="s">
        <v>26</v>
      </c>
      <c r="H14891" s="0" t="n">
        <v>170</v>
      </c>
      <c r="I14891" s="0" t="s">
        <v>49621</v>
      </c>
      <c r="J14891" s="0" t="s">
        <v>49622</v>
      </c>
      <c r="K14891" s="0" t="s">
        <v>49623</v>
      </c>
      <c r="L14891" s="0" t="str">
        <f aca="false">HYPERLINK("https://www.ncbi.nlm.nih.gov/nuccore/CP000304.1?report=graph&amp;tracks=[key:gene_model_track,Options:GeneOnly]&amp;mk=4211165:4211184|offset_6|444444,4211122:4211141|offset_49|444444,4211094:4211113|offset_77|444444,4211001:4211020|offset_170|00cc00&amp;v=4210964:4211220&amp;c=444444", "offset 170")</f>
        <v>offset 170</v>
      </c>
    </row>
    <row r="14892" customFormat="false" ht="12.8" hidden="false" customHeight="false" outlineLevel="0" collapsed="false">
      <c r="A14892" s="0" t="s">
        <v>12</v>
      </c>
      <c r="B14892" s="0" t="n">
        <v>4214671</v>
      </c>
      <c r="C14892" s="0" t="n">
        <v>4214691</v>
      </c>
      <c r="D14892" s="0" t="s">
        <v>49624</v>
      </c>
      <c r="E14892" s="0" t="s">
        <v>89</v>
      </c>
      <c r="F14892" s="0" t="s">
        <v>90</v>
      </c>
      <c r="G14892" s="0" t="s">
        <v>26</v>
      </c>
      <c r="H14892" s="0" t="n">
        <v>13</v>
      </c>
      <c r="I14892" s="0" t="s">
        <v>49625</v>
      </c>
      <c r="J14892" s="0" t="s">
        <v>49626</v>
      </c>
      <c r="K14892" s="0" t="s">
        <v>49627</v>
      </c>
      <c r="L14892" s="0" t="str">
        <f aca="false">HYPERLINK("https://www.ncbi.nlm.nih.gov/nuccore/CP000304.1?report=graph&amp;tracks=[key:gene_model_track,Options:GeneOnly]&amp;mk=4214672:4214691|offset_13|00cc00,4214641:4214660|offset_44|444444,4214619:4214638|offset_66|444444,4214594:4214613|offset_91|444444&amp;v=4214471:4214813&amp;c=444444", "offset 13")</f>
        <v>offset 13</v>
      </c>
    </row>
    <row r="14893" customFormat="false" ht="12.8" hidden="false" customHeight="false" outlineLevel="0" collapsed="false">
      <c r="A14893" s="0" t="s">
        <v>12</v>
      </c>
      <c r="B14893" s="0" t="n">
        <v>4214640</v>
      </c>
      <c r="C14893" s="0" t="n">
        <v>4214660</v>
      </c>
      <c r="D14893" s="0" t="s">
        <v>49624</v>
      </c>
      <c r="E14893" s="0" t="s">
        <v>89</v>
      </c>
      <c r="F14893" s="0" t="s">
        <v>90</v>
      </c>
      <c r="G14893" s="0" t="s">
        <v>26</v>
      </c>
      <c r="H14893" s="0" t="n">
        <v>44</v>
      </c>
      <c r="I14893" s="0" t="s">
        <v>49628</v>
      </c>
      <c r="J14893" s="0" t="s">
        <v>49629</v>
      </c>
      <c r="K14893" s="0" t="s">
        <v>49630</v>
      </c>
      <c r="L14893" s="0" t="str">
        <f aca="false">HYPERLINK("https://www.ncbi.nlm.nih.gov/nuccore/CP000304.1?report=graph&amp;tracks=[key:gene_model_track,Options:GeneOnly]&amp;mk=4214672:4214691|offset_13|444444,4214641:4214660|offset_44|00cc00,4214619:4214638|offset_66|444444,4214594:4214613|offset_91|444444&amp;v=4214471:4214813&amp;c=444444", "offset 44")</f>
        <v>offset 44</v>
      </c>
    </row>
    <row r="14894" customFormat="false" ht="12.8" hidden="false" customHeight="false" outlineLevel="0" collapsed="false">
      <c r="A14894" s="0" t="s">
        <v>12</v>
      </c>
      <c r="B14894" s="0" t="n">
        <v>4214618</v>
      </c>
      <c r="C14894" s="0" t="n">
        <v>4214638</v>
      </c>
      <c r="D14894" s="0" t="s">
        <v>49624</v>
      </c>
      <c r="E14894" s="0" t="s">
        <v>89</v>
      </c>
      <c r="F14894" s="0" t="s">
        <v>90</v>
      </c>
      <c r="G14894" s="0" t="s">
        <v>36</v>
      </c>
      <c r="H14894" s="0" t="n">
        <v>66</v>
      </c>
      <c r="I14894" s="0" t="s">
        <v>49631</v>
      </c>
      <c r="J14894" s="0" t="s">
        <v>49632</v>
      </c>
      <c r="K14894" s="0" t="s">
        <v>49633</v>
      </c>
      <c r="L14894" s="0" t="str">
        <f aca="false">HYPERLINK("https://www.ncbi.nlm.nih.gov/nuccore/CP000304.1?report=graph&amp;tracks=[key:gene_model_track,Options:GeneOnly]&amp;mk=4214672:4214691|offset_13|444444,4214641:4214660|offset_44|444444,4214619:4214638|offset_66|00cc00,4214594:4214613|offset_91|444444&amp;v=4214471:4214813&amp;c=444444", "offset 66")</f>
        <v>offset 66</v>
      </c>
    </row>
    <row r="14895" customFormat="false" ht="12.8" hidden="false" customHeight="false" outlineLevel="0" collapsed="false">
      <c r="A14895" s="0" t="s">
        <v>12</v>
      </c>
      <c r="B14895" s="0" t="n">
        <v>4214593</v>
      </c>
      <c r="C14895" s="0" t="n">
        <v>4214613</v>
      </c>
      <c r="D14895" s="0" t="s">
        <v>49624</v>
      </c>
      <c r="E14895" s="0" t="s">
        <v>89</v>
      </c>
      <c r="F14895" s="0" t="s">
        <v>90</v>
      </c>
      <c r="G14895" s="0" t="s">
        <v>26</v>
      </c>
      <c r="H14895" s="0" t="n">
        <v>91</v>
      </c>
      <c r="I14895" s="0" t="s">
        <v>49634</v>
      </c>
      <c r="J14895" s="0" t="s">
        <v>49635</v>
      </c>
      <c r="K14895" s="0" t="s">
        <v>49636</v>
      </c>
      <c r="L14895" s="0" t="str">
        <f aca="false">HYPERLINK("https://www.ncbi.nlm.nih.gov/nuccore/CP000304.1?report=graph&amp;tracks=[key:gene_model_track,Options:GeneOnly]&amp;mk=4214672:4214691|offset_13|444444,4214641:4214660|offset_44|444444,4214619:4214638|offset_66|444444,4214594:4214613|offset_91|00cc00&amp;v=4214471:4214813&amp;c=444444", "offset 91")</f>
        <v>offset 91</v>
      </c>
    </row>
    <row r="14896" customFormat="false" ht="12.8" hidden="false" customHeight="false" outlineLevel="0" collapsed="false">
      <c r="A14896" s="0" t="s">
        <v>12</v>
      </c>
      <c r="B14896" s="0" t="n">
        <v>4215027</v>
      </c>
      <c r="C14896" s="0" t="n">
        <v>4215047</v>
      </c>
      <c r="D14896" s="0" t="s">
        <v>49637</v>
      </c>
      <c r="E14896" s="0" t="s">
        <v>89</v>
      </c>
      <c r="F14896" s="0" t="s">
        <v>90</v>
      </c>
      <c r="G14896" s="0" t="s">
        <v>26</v>
      </c>
      <c r="H14896" s="0" t="n">
        <v>8</v>
      </c>
      <c r="I14896" s="0" t="s">
        <v>49638</v>
      </c>
      <c r="J14896" s="0" t="s">
        <v>49639</v>
      </c>
      <c r="K14896" s="0" t="s">
        <v>49640</v>
      </c>
      <c r="L14896" s="0" t="str">
        <f aca="false">HYPERLINK("https://www.ncbi.nlm.nih.gov/nuccore/CP000304.1?report=graph&amp;tracks=[key:gene_model_track,Options:GeneOnly]&amp;mk=4215028:4215047|offset_8|00cc00,4214997:4215016|offset_39|444444,4214977:4214996|offset_59|444444,4214957:4214976|offset_79|444444&amp;v=4214827:4215176&amp;c=444444", "offset 8")</f>
        <v>offset 8</v>
      </c>
    </row>
    <row r="14897" customFormat="false" ht="12.8" hidden="false" customHeight="false" outlineLevel="0" collapsed="false">
      <c r="A14897" s="0" t="s">
        <v>12</v>
      </c>
      <c r="B14897" s="0" t="n">
        <v>4214996</v>
      </c>
      <c r="C14897" s="0" t="n">
        <v>4215016</v>
      </c>
      <c r="D14897" s="0" t="s">
        <v>49637</v>
      </c>
      <c r="E14897" s="0" t="s">
        <v>89</v>
      </c>
      <c r="F14897" s="0" t="s">
        <v>90</v>
      </c>
      <c r="G14897" s="0" t="s">
        <v>32</v>
      </c>
      <c r="H14897" s="0" t="n">
        <v>39</v>
      </c>
      <c r="I14897" s="0" t="s">
        <v>49641</v>
      </c>
      <c r="J14897" s="0" t="s">
        <v>49642</v>
      </c>
      <c r="K14897" s="0" t="s">
        <v>49643</v>
      </c>
      <c r="L14897" s="0" t="str">
        <f aca="false">HYPERLINK("https://www.ncbi.nlm.nih.gov/nuccore/CP000304.1?report=graph&amp;tracks=[key:gene_model_track,Options:GeneOnly]&amp;mk=4215028:4215047|offset_8|444444,4214997:4215016|offset_39|00cc00,4214977:4214996|offset_59|444444,4214957:4214976|offset_79|444444&amp;v=4214827:4215176&amp;c=444444", "offset 39")</f>
        <v>offset 39</v>
      </c>
    </row>
    <row r="14898" customFormat="false" ht="12.8" hidden="false" customHeight="false" outlineLevel="0" collapsed="false">
      <c r="A14898" s="0" t="s">
        <v>12</v>
      </c>
      <c r="B14898" s="0" t="n">
        <v>4214976</v>
      </c>
      <c r="C14898" s="0" t="n">
        <v>4214996</v>
      </c>
      <c r="D14898" s="0" t="s">
        <v>49637</v>
      </c>
      <c r="E14898" s="0" t="s">
        <v>89</v>
      </c>
      <c r="F14898" s="0" t="s">
        <v>90</v>
      </c>
      <c r="G14898" s="0" t="s">
        <v>32</v>
      </c>
      <c r="H14898" s="0" t="n">
        <v>59</v>
      </c>
      <c r="I14898" s="0" t="s">
        <v>49644</v>
      </c>
      <c r="J14898" s="0" t="s">
        <v>49645</v>
      </c>
      <c r="K14898" s="0" t="s">
        <v>49646</v>
      </c>
      <c r="L14898" s="0" t="str">
        <f aca="false">HYPERLINK("https://www.ncbi.nlm.nih.gov/nuccore/CP000304.1?report=graph&amp;tracks=[key:gene_model_track,Options:GeneOnly]&amp;mk=4215028:4215047|offset_8|444444,4214997:4215016|offset_39|444444,4214977:4214996|offset_59|00cc00,4214957:4214976|offset_79|444444&amp;v=4214827:4215176&amp;c=444444", "offset 59")</f>
        <v>offset 59</v>
      </c>
    </row>
    <row r="14899" customFormat="false" ht="12.8" hidden="false" customHeight="false" outlineLevel="0" collapsed="false">
      <c r="A14899" s="0" t="s">
        <v>12</v>
      </c>
      <c r="B14899" s="0" t="n">
        <v>4214956</v>
      </c>
      <c r="C14899" s="0" t="n">
        <v>4214976</v>
      </c>
      <c r="D14899" s="0" t="s">
        <v>49637</v>
      </c>
      <c r="E14899" s="0" t="s">
        <v>89</v>
      </c>
      <c r="F14899" s="0" t="s">
        <v>90</v>
      </c>
      <c r="G14899" s="0" t="s">
        <v>26</v>
      </c>
      <c r="H14899" s="0" t="n">
        <v>79</v>
      </c>
      <c r="I14899" s="0" t="s">
        <v>49647</v>
      </c>
      <c r="J14899" s="0" t="s">
        <v>49648</v>
      </c>
      <c r="K14899" s="0" t="s">
        <v>49649</v>
      </c>
      <c r="L14899" s="0" t="str">
        <f aca="false">HYPERLINK("https://www.ncbi.nlm.nih.gov/nuccore/CP000304.1?report=graph&amp;tracks=[key:gene_model_track,Options:GeneOnly]&amp;mk=4215028:4215047|offset_8|444444,4214997:4215016|offset_39|444444,4214977:4214996|offset_59|444444,4214957:4214976|offset_79|00cc00&amp;v=4214827:4215176&amp;c=444444", "offset 79")</f>
        <v>offset 79</v>
      </c>
    </row>
    <row r="14900" customFormat="false" ht="12.8" hidden="false" customHeight="false" outlineLevel="0" collapsed="false">
      <c r="A14900" s="0" t="s">
        <v>12</v>
      </c>
      <c r="B14900" s="0" t="n">
        <v>4215463</v>
      </c>
      <c r="C14900" s="0" t="n">
        <v>4215483</v>
      </c>
      <c r="D14900" s="0" t="s">
        <v>49650</v>
      </c>
      <c r="E14900" s="0" t="s">
        <v>89</v>
      </c>
      <c r="F14900" s="0" t="s">
        <v>15</v>
      </c>
      <c r="G14900" s="0" t="s">
        <v>32</v>
      </c>
      <c r="H14900" s="0" t="n">
        <v>7</v>
      </c>
      <c r="I14900" s="0" t="s">
        <v>49651</v>
      </c>
      <c r="J14900" s="0" t="s">
        <v>49652</v>
      </c>
      <c r="K14900" s="0" t="s">
        <v>49653</v>
      </c>
      <c r="L14900" s="0" t="str">
        <f aca="false">HYPERLINK("https://www.ncbi.nlm.nih.gov/nuccore/CP000304.1?report=graph&amp;tracks=[key:gene_model_track,Options:GeneOnly]&amp;mk=4215464:4215483|offset_7|00cc00,4215487:4215506|offset_30|444444,4215536:4215555|offset_79|444444,4215561:4215580|offset_104|444444&amp;v=4215263:4215780&amp;c=444444", "offset 7")</f>
        <v>offset 7</v>
      </c>
    </row>
    <row r="14901" customFormat="false" ht="12.8" hidden="false" customHeight="false" outlineLevel="0" collapsed="false">
      <c r="A14901" s="0" t="s">
        <v>12</v>
      </c>
      <c r="B14901" s="0" t="n">
        <v>4215486</v>
      </c>
      <c r="C14901" s="0" t="n">
        <v>4215506</v>
      </c>
      <c r="D14901" s="0" t="s">
        <v>49650</v>
      </c>
      <c r="E14901" s="0" t="s">
        <v>89</v>
      </c>
      <c r="F14901" s="0" t="s">
        <v>15</v>
      </c>
      <c r="G14901" s="0" t="s">
        <v>32</v>
      </c>
      <c r="H14901" s="0" t="n">
        <v>30</v>
      </c>
      <c r="I14901" s="0" t="s">
        <v>49654</v>
      </c>
      <c r="J14901" s="0" t="s">
        <v>49655</v>
      </c>
      <c r="K14901" s="0" t="s">
        <v>49656</v>
      </c>
      <c r="L14901" s="0" t="str">
        <f aca="false">HYPERLINK("https://www.ncbi.nlm.nih.gov/nuccore/CP000304.1?report=graph&amp;tracks=[key:gene_model_track,Options:GeneOnly]&amp;mk=4215464:4215483|offset_7|444444,4215487:4215506|offset_30|00cc00,4215536:4215555|offset_79|444444,4215561:4215580|offset_104|444444&amp;v=4215263:4215780&amp;c=444444", "offset 30")</f>
        <v>offset 30</v>
      </c>
    </row>
    <row r="14902" customFormat="false" ht="12.8" hidden="false" customHeight="false" outlineLevel="0" collapsed="false">
      <c r="A14902" s="0" t="s">
        <v>12</v>
      </c>
      <c r="B14902" s="0" t="n">
        <v>4215535</v>
      </c>
      <c r="C14902" s="0" t="n">
        <v>4215555</v>
      </c>
      <c r="D14902" s="0" t="s">
        <v>49650</v>
      </c>
      <c r="E14902" s="0" t="s">
        <v>89</v>
      </c>
      <c r="F14902" s="0" t="s">
        <v>15</v>
      </c>
      <c r="G14902" s="0" t="s">
        <v>16</v>
      </c>
      <c r="H14902" s="0" t="n">
        <v>79</v>
      </c>
      <c r="I14902" s="0" t="s">
        <v>49657</v>
      </c>
      <c r="J14902" s="0" t="s">
        <v>49658</v>
      </c>
      <c r="K14902" s="0" t="s">
        <v>49659</v>
      </c>
      <c r="L14902" s="0" t="str">
        <f aca="false">HYPERLINK("https://www.ncbi.nlm.nih.gov/nuccore/CP000304.1?report=graph&amp;tracks=[key:gene_model_track,Options:GeneOnly]&amp;mk=4215464:4215483|offset_7|444444,4215487:4215506|offset_30|444444,4215536:4215555|offset_79|00cc00,4215561:4215580|offset_104|444444&amp;v=4215263:4215780&amp;c=444444", "offset 79")</f>
        <v>offset 79</v>
      </c>
    </row>
    <row r="14903" customFormat="false" ht="12.8" hidden="false" customHeight="false" outlineLevel="0" collapsed="false">
      <c r="A14903" s="0" t="s">
        <v>12</v>
      </c>
      <c r="B14903" s="0" t="n">
        <v>4215560</v>
      </c>
      <c r="C14903" s="0" t="n">
        <v>4215580</v>
      </c>
      <c r="D14903" s="0" t="s">
        <v>49650</v>
      </c>
      <c r="E14903" s="0" t="s">
        <v>89</v>
      </c>
      <c r="F14903" s="0" t="s">
        <v>15</v>
      </c>
      <c r="G14903" s="0" t="s">
        <v>16</v>
      </c>
      <c r="H14903" s="0" t="n">
        <v>104</v>
      </c>
      <c r="I14903" s="0" t="s">
        <v>49660</v>
      </c>
      <c r="J14903" s="0" t="s">
        <v>49661</v>
      </c>
      <c r="K14903" s="0" t="s">
        <v>49662</v>
      </c>
      <c r="L14903" s="0" t="str">
        <f aca="false">HYPERLINK("https://www.ncbi.nlm.nih.gov/nuccore/CP000304.1?report=graph&amp;tracks=[key:gene_model_track,Options:GeneOnly]&amp;mk=4215464:4215483|offset_7|444444,4215487:4215506|offset_30|444444,4215536:4215555|offset_79|444444,4215561:4215580|offset_104|00cc00&amp;v=4215263:4215780&amp;c=444444", "offset 104")</f>
        <v>offset 104</v>
      </c>
    </row>
    <row r="14904" customFormat="false" ht="12.8" hidden="false" customHeight="false" outlineLevel="0" collapsed="false">
      <c r="A14904" s="0" t="s">
        <v>12</v>
      </c>
      <c r="B14904" s="0" t="n">
        <v>4216639</v>
      </c>
      <c r="C14904" s="0" t="n">
        <v>4216659</v>
      </c>
      <c r="D14904" s="0" t="s">
        <v>49663</v>
      </c>
      <c r="E14904" s="0" t="s">
        <v>89</v>
      </c>
      <c r="F14904" s="0" t="s">
        <v>90</v>
      </c>
      <c r="G14904" s="0" t="s">
        <v>32</v>
      </c>
      <c r="H14904" s="0" t="n">
        <v>12</v>
      </c>
      <c r="I14904" s="0" t="s">
        <v>49664</v>
      </c>
      <c r="J14904" s="0" t="s">
        <v>49665</v>
      </c>
      <c r="K14904" s="0" t="s">
        <v>49666</v>
      </c>
      <c r="L14904" s="0" t="str">
        <f aca="false">HYPERLINK("https://www.ncbi.nlm.nih.gov/nuccore/CP000304.1?report=graph&amp;tracks=[key:gene_model_track,Options:GeneOnly]&amp;mk=4216640:4216659|offset_12|00cc00,4216582:4216601|offset_70|444444,4216510:4216529|offset_142|444444,4216488:4216507|offset_164|444444&amp;v=4216439:4216707&amp;c=444444", "offset 12")</f>
        <v>offset 12</v>
      </c>
    </row>
    <row r="14905" customFormat="false" ht="12.8" hidden="false" customHeight="false" outlineLevel="0" collapsed="false">
      <c r="A14905" s="0" t="s">
        <v>12</v>
      </c>
      <c r="B14905" s="0" t="n">
        <v>4216581</v>
      </c>
      <c r="C14905" s="0" t="n">
        <v>4216601</v>
      </c>
      <c r="D14905" s="0" t="s">
        <v>49663</v>
      </c>
      <c r="E14905" s="0" t="s">
        <v>89</v>
      </c>
      <c r="F14905" s="0" t="s">
        <v>90</v>
      </c>
      <c r="G14905" s="0" t="s">
        <v>26</v>
      </c>
      <c r="H14905" s="0" t="n">
        <v>70</v>
      </c>
      <c r="I14905" s="0" t="s">
        <v>49667</v>
      </c>
      <c r="J14905" s="0" t="s">
        <v>49668</v>
      </c>
      <c r="K14905" s="0" t="s">
        <v>49669</v>
      </c>
      <c r="L14905" s="0" t="str">
        <f aca="false">HYPERLINK("https://www.ncbi.nlm.nih.gov/nuccore/CP000304.1?report=graph&amp;tracks=[key:gene_model_track,Options:GeneOnly]&amp;mk=4216640:4216659|offset_12|444444,4216582:4216601|offset_70|00cc00,4216510:4216529|offset_142|444444,4216488:4216507|offset_164|444444&amp;v=4216439:4216707&amp;c=444444", "offset 70")</f>
        <v>offset 70</v>
      </c>
    </row>
    <row r="14906" customFormat="false" ht="12.8" hidden="false" customHeight="false" outlineLevel="0" collapsed="false">
      <c r="A14906" s="0" t="s">
        <v>12</v>
      </c>
      <c r="B14906" s="0" t="n">
        <v>4216509</v>
      </c>
      <c r="C14906" s="0" t="n">
        <v>4216529</v>
      </c>
      <c r="D14906" s="0" t="s">
        <v>49663</v>
      </c>
      <c r="E14906" s="0" t="s">
        <v>89</v>
      </c>
      <c r="F14906" s="0" t="s">
        <v>90</v>
      </c>
      <c r="G14906" s="0" t="s">
        <v>16</v>
      </c>
      <c r="H14906" s="0" t="n">
        <v>142</v>
      </c>
      <c r="I14906" s="0" t="s">
        <v>49670</v>
      </c>
      <c r="J14906" s="0" t="s">
        <v>49671</v>
      </c>
      <c r="K14906" s="0" t="s">
        <v>49672</v>
      </c>
      <c r="L14906" s="0" t="str">
        <f aca="false">HYPERLINK("https://www.ncbi.nlm.nih.gov/nuccore/CP000304.1?report=graph&amp;tracks=[key:gene_model_track,Options:GeneOnly]&amp;mk=4216640:4216659|offset_12|444444,4216582:4216601|offset_70|444444,4216510:4216529|offset_142|00cc00,4216488:4216507|offset_164|444444&amp;v=4216439:4216707&amp;c=444444", "offset 142")</f>
        <v>offset 142</v>
      </c>
    </row>
    <row r="14907" customFormat="false" ht="12.8" hidden="false" customHeight="false" outlineLevel="0" collapsed="false">
      <c r="A14907" s="0" t="s">
        <v>12</v>
      </c>
      <c r="B14907" s="0" t="n">
        <v>4216487</v>
      </c>
      <c r="C14907" s="0" t="n">
        <v>4216507</v>
      </c>
      <c r="D14907" s="0" t="s">
        <v>49663</v>
      </c>
      <c r="E14907" s="0" t="s">
        <v>89</v>
      </c>
      <c r="F14907" s="0" t="s">
        <v>90</v>
      </c>
      <c r="G14907" s="0" t="s">
        <v>16</v>
      </c>
      <c r="H14907" s="0" t="n">
        <v>164</v>
      </c>
      <c r="I14907" s="0" t="s">
        <v>49673</v>
      </c>
      <c r="J14907" s="0" t="s">
        <v>49674</v>
      </c>
      <c r="K14907" s="0" t="s">
        <v>49675</v>
      </c>
      <c r="L14907" s="0" t="str">
        <f aca="false">HYPERLINK("https://www.ncbi.nlm.nih.gov/nuccore/CP000304.1?report=graph&amp;tracks=[key:gene_model_track,Options:GeneOnly]&amp;mk=4216640:4216659|offset_12|444444,4216582:4216601|offset_70|444444,4216510:4216529|offset_142|444444,4216488:4216507|offset_164|00cc00&amp;v=4216439:4216707&amp;c=444444", "offset 164")</f>
        <v>offset 164</v>
      </c>
    </row>
    <row r="14908" customFormat="false" ht="12.8" hidden="false" customHeight="false" outlineLevel="0" collapsed="false">
      <c r="A14908" s="0" t="s">
        <v>12</v>
      </c>
      <c r="B14908" s="0" t="n">
        <v>4217473</v>
      </c>
      <c r="C14908" s="0" t="n">
        <v>4217493</v>
      </c>
      <c r="D14908" s="0" t="s">
        <v>49676</v>
      </c>
      <c r="E14908" s="0" t="s">
        <v>89</v>
      </c>
      <c r="F14908" s="0" t="s">
        <v>90</v>
      </c>
      <c r="G14908" s="0" t="s">
        <v>32</v>
      </c>
      <c r="H14908" s="0" t="n">
        <v>11</v>
      </c>
      <c r="I14908" s="0" t="s">
        <v>49677</v>
      </c>
      <c r="J14908" s="0" t="s">
        <v>49678</v>
      </c>
      <c r="K14908" s="0" t="s">
        <v>49679</v>
      </c>
      <c r="L14908" s="0" t="str">
        <f aca="false">HYPERLINK("https://www.ncbi.nlm.nih.gov/nuccore/CP000304.1?report=graph&amp;tracks=[key:gene_model_track,Options:GeneOnly]&amp;mk=4217474:4217493|offset_11|00cc00,4217446:4217465|offset_39|444444,4217408:4217427|offset_77|444444,4217387:4217406|offset_98|444444&amp;v=4217273:4217606&amp;c=444444", "offset 11")</f>
        <v>offset 11</v>
      </c>
    </row>
    <row r="14909" customFormat="false" ht="12.8" hidden="false" customHeight="false" outlineLevel="0" collapsed="false">
      <c r="A14909" s="0" t="s">
        <v>12</v>
      </c>
      <c r="B14909" s="0" t="n">
        <v>4217445</v>
      </c>
      <c r="C14909" s="0" t="n">
        <v>4217465</v>
      </c>
      <c r="D14909" s="0" t="s">
        <v>49676</v>
      </c>
      <c r="E14909" s="0" t="s">
        <v>89</v>
      </c>
      <c r="F14909" s="0" t="s">
        <v>90</v>
      </c>
      <c r="G14909" s="0" t="s">
        <v>16</v>
      </c>
      <c r="H14909" s="0" t="n">
        <v>39</v>
      </c>
      <c r="I14909" s="0" t="s">
        <v>49680</v>
      </c>
      <c r="J14909" s="0" t="s">
        <v>49681</v>
      </c>
      <c r="K14909" s="0" t="s">
        <v>49682</v>
      </c>
      <c r="L14909" s="0" t="str">
        <f aca="false">HYPERLINK("https://www.ncbi.nlm.nih.gov/nuccore/CP000304.1?report=graph&amp;tracks=[key:gene_model_track,Options:GeneOnly]&amp;mk=4217474:4217493|offset_11|444444,4217446:4217465|offset_39|00cc00,4217408:4217427|offset_77|444444,4217387:4217406|offset_98|444444&amp;v=4217273:4217606&amp;c=444444", "offset 39")</f>
        <v>offset 39</v>
      </c>
    </row>
    <row r="14910" customFormat="false" ht="12.8" hidden="false" customHeight="false" outlineLevel="0" collapsed="false">
      <c r="A14910" s="0" t="s">
        <v>12</v>
      </c>
      <c r="B14910" s="0" t="n">
        <v>4217407</v>
      </c>
      <c r="C14910" s="0" t="n">
        <v>4217427</v>
      </c>
      <c r="D14910" s="0" t="s">
        <v>49676</v>
      </c>
      <c r="E14910" s="0" t="s">
        <v>89</v>
      </c>
      <c r="F14910" s="0" t="s">
        <v>90</v>
      </c>
      <c r="G14910" s="0" t="s">
        <v>26</v>
      </c>
      <c r="H14910" s="0" t="n">
        <v>77</v>
      </c>
      <c r="I14910" s="0" t="s">
        <v>49683</v>
      </c>
      <c r="J14910" s="0" t="s">
        <v>49684</v>
      </c>
      <c r="K14910" s="0" t="s">
        <v>49685</v>
      </c>
      <c r="L14910" s="0" t="str">
        <f aca="false">HYPERLINK("https://www.ncbi.nlm.nih.gov/nuccore/CP000304.1?report=graph&amp;tracks=[key:gene_model_track,Options:GeneOnly]&amp;mk=4217474:4217493|offset_11|444444,4217446:4217465|offset_39|444444,4217408:4217427|offset_77|00cc00,4217387:4217406|offset_98|444444&amp;v=4217273:4217606&amp;c=444444", "offset 77")</f>
        <v>offset 77</v>
      </c>
    </row>
    <row r="14911" customFormat="false" ht="12.8" hidden="false" customHeight="false" outlineLevel="0" collapsed="false">
      <c r="A14911" s="0" t="s">
        <v>12</v>
      </c>
      <c r="B14911" s="0" t="n">
        <v>4217386</v>
      </c>
      <c r="C14911" s="0" t="n">
        <v>4217406</v>
      </c>
      <c r="D14911" s="0" t="s">
        <v>49676</v>
      </c>
      <c r="E14911" s="0" t="s">
        <v>89</v>
      </c>
      <c r="F14911" s="0" t="s">
        <v>90</v>
      </c>
      <c r="G14911" s="0" t="s">
        <v>32</v>
      </c>
      <c r="H14911" s="0" t="n">
        <v>98</v>
      </c>
      <c r="I14911" s="0" t="s">
        <v>49686</v>
      </c>
      <c r="J14911" s="0" t="s">
        <v>49687</v>
      </c>
      <c r="K14911" s="0" t="s">
        <v>49688</v>
      </c>
      <c r="L14911" s="0" t="str">
        <f aca="false">HYPERLINK("https://www.ncbi.nlm.nih.gov/nuccore/CP000304.1?report=graph&amp;tracks=[key:gene_model_track,Options:GeneOnly]&amp;mk=4217474:4217493|offset_11|444444,4217446:4217465|offset_39|444444,4217408:4217427|offset_77|444444,4217387:4217406|offset_98|00cc00&amp;v=4217273:4217606&amp;c=444444", "offset 98")</f>
        <v>offset 98</v>
      </c>
    </row>
    <row r="14912" customFormat="false" ht="12.8" hidden="false" customHeight="false" outlineLevel="0" collapsed="false">
      <c r="A14912" s="0" t="s">
        <v>12</v>
      </c>
      <c r="B14912" s="0" t="n">
        <v>4217694</v>
      </c>
      <c r="C14912" s="0" t="n">
        <v>4217714</v>
      </c>
      <c r="D14912" s="0" t="s">
        <v>49689</v>
      </c>
      <c r="E14912" s="0" t="s">
        <v>89</v>
      </c>
      <c r="F14912" s="0" t="s">
        <v>15</v>
      </c>
      <c r="G14912" s="0" t="s">
        <v>32</v>
      </c>
      <c r="H14912" s="0" t="n">
        <v>1</v>
      </c>
      <c r="I14912" s="0" t="s">
        <v>49690</v>
      </c>
      <c r="J14912" s="0" t="s">
        <v>49691</v>
      </c>
      <c r="K14912" s="0" t="s">
        <v>49692</v>
      </c>
      <c r="L14912" s="0" t="str">
        <f aca="false">HYPERLINK("https://www.ncbi.nlm.nih.gov/nuccore/CP000304.1?report=graph&amp;tracks=[key:gene_model_track,Options:GeneOnly]&amp;mk=4217695:4217714|offset_1|00cc00,4217728:4217747|offset_34|444444,4217750:4217769|offset_56|444444,4217772:4217791|offset_78|444444&amp;v=4217494:4217991&amp;c=444444", "offset 1")</f>
        <v>offset 1</v>
      </c>
    </row>
    <row r="14913" customFormat="false" ht="12.8" hidden="false" customHeight="false" outlineLevel="0" collapsed="false">
      <c r="A14913" s="0" t="s">
        <v>12</v>
      </c>
      <c r="B14913" s="0" t="n">
        <v>4217727</v>
      </c>
      <c r="C14913" s="0" t="n">
        <v>4217747</v>
      </c>
      <c r="D14913" s="0" t="s">
        <v>49689</v>
      </c>
      <c r="E14913" s="0" t="s">
        <v>89</v>
      </c>
      <c r="F14913" s="0" t="s">
        <v>15</v>
      </c>
      <c r="G14913" s="0" t="s">
        <v>36</v>
      </c>
      <c r="H14913" s="0" t="n">
        <v>34</v>
      </c>
      <c r="I14913" s="0" t="s">
        <v>49693</v>
      </c>
      <c r="J14913" s="0" t="s">
        <v>49694</v>
      </c>
      <c r="K14913" s="0" t="s">
        <v>49695</v>
      </c>
      <c r="L14913" s="0" t="str">
        <f aca="false">HYPERLINK("https://www.ncbi.nlm.nih.gov/nuccore/CP000304.1?report=graph&amp;tracks=[key:gene_model_track,Options:GeneOnly]&amp;mk=4217695:4217714|offset_1|444444,4217728:4217747|offset_34|00cc00,4217750:4217769|offset_56|444444,4217772:4217791|offset_78|444444&amp;v=4217494:4217991&amp;c=444444", "offset 34")</f>
        <v>offset 34</v>
      </c>
    </row>
    <row r="14914" customFormat="false" ht="12.8" hidden="false" customHeight="false" outlineLevel="0" collapsed="false">
      <c r="A14914" s="0" t="s">
        <v>12</v>
      </c>
      <c r="B14914" s="0" t="n">
        <v>4217749</v>
      </c>
      <c r="C14914" s="0" t="n">
        <v>4217769</v>
      </c>
      <c r="D14914" s="0" t="s">
        <v>49689</v>
      </c>
      <c r="E14914" s="0" t="s">
        <v>89</v>
      </c>
      <c r="F14914" s="0" t="s">
        <v>15</v>
      </c>
      <c r="G14914" s="0" t="s">
        <v>32</v>
      </c>
      <c r="H14914" s="0" t="n">
        <v>56</v>
      </c>
      <c r="I14914" s="0" t="s">
        <v>49696</v>
      </c>
      <c r="J14914" s="0" t="s">
        <v>49697</v>
      </c>
      <c r="K14914" s="0" t="s">
        <v>49698</v>
      </c>
      <c r="L14914" s="0" t="str">
        <f aca="false">HYPERLINK("https://www.ncbi.nlm.nih.gov/nuccore/CP000304.1?report=graph&amp;tracks=[key:gene_model_track,Options:GeneOnly]&amp;mk=4217695:4217714|offset_1|444444,4217728:4217747|offset_34|444444,4217750:4217769|offset_56|00cc00,4217772:4217791|offset_78|444444&amp;v=4217494:4217991&amp;c=444444", "offset 56")</f>
        <v>offset 56</v>
      </c>
    </row>
    <row r="14915" customFormat="false" ht="12.8" hidden="false" customHeight="false" outlineLevel="0" collapsed="false">
      <c r="A14915" s="0" t="s">
        <v>12</v>
      </c>
      <c r="B14915" s="0" t="n">
        <v>4217771</v>
      </c>
      <c r="C14915" s="0" t="n">
        <v>4217791</v>
      </c>
      <c r="D14915" s="0" t="s">
        <v>49689</v>
      </c>
      <c r="E14915" s="0" t="s">
        <v>89</v>
      </c>
      <c r="F14915" s="0" t="s">
        <v>15</v>
      </c>
      <c r="G14915" s="0" t="s">
        <v>16</v>
      </c>
      <c r="H14915" s="0" t="n">
        <v>78</v>
      </c>
      <c r="I14915" s="0" t="s">
        <v>49699</v>
      </c>
      <c r="J14915" s="0" t="s">
        <v>49700</v>
      </c>
      <c r="K14915" s="0" t="s">
        <v>49701</v>
      </c>
      <c r="L14915" s="0" t="str">
        <f aca="false">HYPERLINK("https://www.ncbi.nlm.nih.gov/nuccore/CP000304.1?report=graph&amp;tracks=[key:gene_model_track,Options:GeneOnly]&amp;mk=4217695:4217714|offset_1|444444,4217728:4217747|offset_34|444444,4217750:4217769|offset_56|444444,4217772:4217791|offset_78|00cc00&amp;v=4217494:4217991&amp;c=444444", "offset 78")</f>
        <v>offset 78</v>
      </c>
    </row>
    <row r="14916" customFormat="false" ht="12.8" hidden="false" customHeight="false" outlineLevel="0" collapsed="false">
      <c r="A14916" s="0" t="s">
        <v>12</v>
      </c>
      <c r="B14916" s="0" t="n">
        <v>4219117</v>
      </c>
      <c r="C14916" s="0" t="n">
        <v>4219137</v>
      </c>
      <c r="D14916" s="0" t="s">
        <v>49702</v>
      </c>
      <c r="E14916" s="0" t="s">
        <v>89</v>
      </c>
      <c r="F14916" s="0" t="s">
        <v>15</v>
      </c>
      <c r="G14916" s="0" t="s">
        <v>26</v>
      </c>
      <c r="H14916" s="0" t="n">
        <v>58</v>
      </c>
      <c r="I14916" s="0" t="s">
        <v>49703</v>
      </c>
      <c r="J14916" s="0" t="s">
        <v>49704</v>
      </c>
      <c r="K14916" s="0" t="s">
        <v>49705</v>
      </c>
      <c r="L14916" s="0" t="str">
        <f aca="false">HYPERLINK("https://www.ncbi.nlm.nih.gov/nuccore/CP000304.1?report=graph&amp;tracks=[key:gene_model_track,Options:GeneOnly]&amp;mk=4219118:4219137|offset_58|00cc00,4219195:4219214|offset_135|444444,4219215:4219234|offset_155|444444,4219245:4219264|offset_185|444444&amp;v=4218917:4219464&amp;c=444444", "offset 58")</f>
        <v>offset 58</v>
      </c>
    </row>
    <row r="14917" customFormat="false" ht="12.8" hidden="false" customHeight="false" outlineLevel="0" collapsed="false">
      <c r="A14917" s="0" t="s">
        <v>12</v>
      </c>
      <c r="B14917" s="0" t="n">
        <v>4219194</v>
      </c>
      <c r="C14917" s="0" t="n">
        <v>4219214</v>
      </c>
      <c r="D14917" s="0" t="s">
        <v>49702</v>
      </c>
      <c r="E14917" s="0" t="s">
        <v>89</v>
      </c>
      <c r="F14917" s="0" t="s">
        <v>15</v>
      </c>
      <c r="G14917" s="0" t="s">
        <v>36</v>
      </c>
      <c r="H14917" s="0" t="n">
        <v>135</v>
      </c>
      <c r="I14917" s="0" t="s">
        <v>49706</v>
      </c>
      <c r="J14917" s="0" t="s">
        <v>49707</v>
      </c>
      <c r="K14917" s="0" t="s">
        <v>49708</v>
      </c>
      <c r="L14917" s="0" t="str">
        <f aca="false">HYPERLINK("https://www.ncbi.nlm.nih.gov/nuccore/CP000304.1?report=graph&amp;tracks=[key:gene_model_track,Options:GeneOnly]&amp;mk=4219118:4219137|offset_58|444444,4219195:4219214|offset_135|00cc00,4219215:4219234|offset_155|444444,4219245:4219264|offset_185|444444&amp;v=4218917:4219464&amp;c=444444", "offset 135")</f>
        <v>offset 135</v>
      </c>
    </row>
    <row r="14918" customFormat="false" ht="12.8" hidden="false" customHeight="false" outlineLevel="0" collapsed="false">
      <c r="A14918" s="0" t="s">
        <v>12</v>
      </c>
      <c r="B14918" s="0" t="n">
        <v>4219214</v>
      </c>
      <c r="C14918" s="0" t="n">
        <v>4219234</v>
      </c>
      <c r="D14918" s="0" t="s">
        <v>49702</v>
      </c>
      <c r="E14918" s="0" t="s">
        <v>89</v>
      </c>
      <c r="F14918" s="0" t="s">
        <v>15</v>
      </c>
      <c r="G14918" s="0" t="s">
        <v>36</v>
      </c>
      <c r="H14918" s="0" t="n">
        <v>155</v>
      </c>
      <c r="I14918" s="0" t="s">
        <v>49709</v>
      </c>
      <c r="J14918" s="0" t="s">
        <v>49710</v>
      </c>
      <c r="K14918" s="0" t="s">
        <v>49711</v>
      </c>
      <c r="L14918" s="0" t="str">
        <f aca="false">HYPERLINK("https://www.ncbi.nlm.nih.gov/nuccore/CP000304.1?report=graph&amp;tracks=[key:gene_model_track,Options:GeneOnly]&amp;mk=4219118:4219137|offset_58|444444,4219195:4219214|offset_135|444444,4219215:4219234|offset_155|00cc00,4219245:4219264|offset_185|444444&amp;v=4218917:4219464&amp;c=444444", "offset 155")</f>
        <v>offset 155</v>
      </c>
    </row>
    <row r="14919" customFormat="false" ht="12.8" hidden="false" customHeight="false" outlineLevel="0" collapsed="false">
      <c r="A14919" s="0" t="s">
        <v>12</v>
      </c>
      <c r="B14919" s="0" t="n">
        <v>4219244</v>
      </c>
      <c r="C14919" s="0" t="n">
        <v>4219264</v>
      </c>
      <c r="D14919" s="0" t="s">
        <v>49702</v>
      </c>
      <c r="E14919" s="0" t="s">
        <v>89</v>
      </c>
      <c r="F14919" s="0" t="s">
        <v>15</v>
      </c>
      <c r="G14919" s="0" t="s">
        <v>26</v>
      </c>
      <c r="H14919" s="0" t="n">
        <v>185</v>
      </c>
      <c r="I14919" s="0" t="s">
        <v>49712</v>
      </c>
      <c r="J14919" s="0" t="s">
        <v>49713</v>
      </c>
      <c r="K14919" s="0" t="s">
        <v>49714</v>
      </c>
      <c r="L14919" s="0" t="str">
        <f aca="false">HYPERLINK("https://www.ncbi.nlm.nih.gov/nuccore/CP000304.1?report=graph&amp;tracks=[key:gene_model_track,Options:GeneOnly]&amp;mk=4219118:4219137|offset_58|444444,4219195:4219214|offset_135|444444,4219215:4219234|offset_155|444444,4219245:4219264|offset_185|00cc00&amp;v=4218917:4219464&amp;c=444444", "offset 185")</f>
        <v>offset 185</v>
      </c>
    </row>
    <row r="14920" customFormat="false" ht="12.8" hidden="false" customHeight="false" outlineLevel="0" collapsed="false">
      <c r="A14920" s="0" t="s">
        <v>12</v>
      </c>
      <c r="B14920" s="0" t="n">
        <v>4219827</v>
      </c>
      <c r="C14920" s="0" t="n">
        <v>4219847</v>
      </c>
      <c r="D14920" s="0" t="s">
        <v>49715</v>
      </c>
      <c r="E14920" s="0" t="s">
        <v>89</v>
      </c>
      <c r="F14920" s="0" t="s">
        <v>15</v>
      </c>
      <c r="G14920" s="0" t="s">
        <v>32</v>
      </c>
      <c r="H14920" s="0" t="n">
        <v>9</v>
      </c>
      <c r="I14920" s="0" t="s">
        <v>49716</v>
      </c>
      <c r="J14920" s="0" t="s">
        <v>49717</v>
      </c>
      <c r="K14920" s="0" t="s">
        <v>49718</v>
      </c>
      <c r="L14920" s="0" t="str">
        <f aca="false">HYPERLINK("https://www.ncbi.nlm.nih.gov/nuccore/CP000304.1?report=graph&amp;tracks=[key:gene_model_track,Options:GeneOnly]&amp;mk=4219828:4219847|offset_9|00cc00,4219849:4219868|offset_30|444444,4219880:4219899|offset_61|444444,4219904:4219923|offset_85|444444&amp;v=4219627:4220123&amp;c=444444", "offset 9")</f>
        <v>offset 9</v>
      </c>
    </row>
    <row r="14921" customFormat="false" ht="12.8" hidden="false" customHeight="false" outlineLevel="0" collapsed="false">
      <c r="A14921" s="0" t="s">
        <v>12</v>
      </c>
      <c r="B14921" s="0" t="n">
        <v>4219848</v>
      </c>
      <c r="C14921" s="0" t="n">
        <v>4219868</v>
      </c>
      <c r="D14921" s="0" t="s">
        <v>49715</v>
      </c>
      <c r="E14921" s="0" t="s">
        <v>89</v>
      </c>
      <c r="F14921" s="0" t="s">
        <v>15</v>
      </c>
      <c r="G14921" s="0" t="s">
        <v>32</v>
      </c>
      <c r="H14921" s="0" t="n">
        <v>30</v>
      </c>
      <c r="I14921" s="0" t="s">
        <v>49719</v>
      </c>
      <c r="J14921" s="0" t="s">
        <v>49720</v>
      </c>
      <c r="K14921" s="0" t="s">
        <v>49721</v>
      </c>
      <c r="L14921" s="0" t="str">
        <f aca="false">HYPERLINK("https://www.ncbi.nlm.nih.gov/nuccore/CP000304.1?report=graph&amp;tracks=[key:gene_model_track,Options:GeneOnly]&amp;mk=4219828:4219847|offset_9|444444,4219849:4219868|offset_30|00cc00,4219880:4219899|offset_61|444444,4219904:4219923|offset_85|444444&amp;v=4219627:4220123&amp;c=444444", "offset 30")</f>
        <v>offset 30</v>
      </c>
    </row>
    <row r="14922" customFormat="false" ht="12.8" hidden="false" customHeight="false" outlineLevel="0" collapsed="false">
      <c r="A14922" s="0" t="s">
        <v>12</v>
      </c>
      <c r="B14922" s="0" t="n">
        <v>4219879</v>
      </c>
      <c r="C14922" s="0" t="n">
        <v>4219899</v>
      </c>
      <c r="D14922" s="0" t="s">
        <v>49715</v>
      </c>
      <c r="E14922" s="0" t="s">
        <v>89</v>
      </c>
      <c r="F14922" s="0" t="s">
        <v>15</v>
      </c>
      <c r="G14922" s="0" t="s">
        <v>36</v>
      </c>
      <c r="H14922" s="0" t="n">
        <v>61</v>
      </c>
      <c r="I14922" s="0" t="s">
        <v>49722</v>
      </c>
      <c r="J14922" s="0" t="s">
        <v>49723</v>
      </c>
      <c r="K14922" s="0" t="s">
        <v>49724</v>
      </c>
      <c r="L14922" s="0" t="str">
        <f aca="false">HYPERLINK("https://www.ncbi.nlm.nih.gov/nuccore/CP000304.1?report=graph&amp;tracks=[key:gene_model_track,Options:GeneOnly]&amp;mk=4219828:4219847|offset_9|444444,4219849:4219868|offset_30|444444,4219880:4219899|offset_61|00cc00,4219904:4219923|offset_85|444444&amp;v=4219627:4220123&amp;c=444444", "offset 61")</f>
        <v>offset 61</v>
      </c>
    </row>
    <row r="14923" customFormat="false" ht="12.8" hidden="false" customHeight="false" outlineLevel="0" collapsed="false">
      <c r="A14923" s="0" t="s">
        <v>12</v>
      </c>
      <c r="B14923" s="0" t="n">
        <v>4219903</v>
      </c>
      <c r="C14923" s="0" t="n">
        <v>4219923</v>
      </c>
      <c r="D14923" s="0" t="s">
        <v>49715</v>
      </c>
      <c r="E14923" s="0" t="s">
        <v>89</v>
      </c>
      <c r="F14923" s="0" t="s">
        <v>15</v>
      </c>
      <c r="G14923" s="0" t="s">
        <v>26</v>
      </c>
      <c r="H14923" s="0" t="n">
        <v>85</v>
      </c>
      <c r="I14923" s="0" t="s">
        <v>49725</v>
      </c>
      <c r="J14923" s="0" t="s">
        <v>49726</v>
      </c>
      <c r="K14923" s="0" t="s">
        <v>49727</v>
      </c>
      <c r="L14923" s="0" t="str">
        <f aca="false">HYPERLINK("https://www.ncbi.nlm.nih.gov/nuccore/CP000304.1?report=graph&amp;tracks=[key:gene_model_track,Options:GeneOnly]&amp;mk=4219828:4219847|offset_9|444444,4219849:4219868|offset_30|444444,4219880:4219899|offset_61|444444,4219904:4219923|offset_85|00cc00&amp;v=4219627:4220123&amp;c=444444", "offset 85")</f>
        <v>offset 85</v>
      </c>
    </row>
    <row r="14924" customFormat="false" ht="12.8" hidden="false" customHeight="false" outlineLevel="0" collapsed="false">
      <c r="A14924" s="0" t="s">
        <v>12</v>
      </c>
      <c r="B14924" s="0" t="n">
        <v>4220439</v>
      </c>
      <c r="C14924" s="0" t="n">
        <v>4220459</v>
      </c>
      <c r="D14924" s="0" t="s">
        <v>49728</v>
      </c>
      <c r="E14924" s="0" t="s">
        <v>89</v>
      </c>
      <c r="F14924" s="0" t="s">
        <v>15</v>
      </c>
      <c r="G14924" s="0" t="s">
        <v>32</v>
      </c>
      <c r="H14924" s="0" t="n">
        <v>1</v>
      </c>
      <c r="I14924" s="0" t="s">
        <v>49729</v>
      </c>
      <c r="J14924" s="0" t="s">
        <v>49730</v>
      </c>
      <c r="K14924" s="0" t="s">
        <v>49731</v>
      </c>
      <c r="L14924" s="0" t="str">
        <f aca="false">HYPERLINK("https://www.ncbi.nlm.nih.gov/nuccore/CP000304.1?report=graph&amp;tracks=[key:gene_model_track,Options:GeneOnly]&amp;mk=4220440:4220459|offset_1|00cc00,4220460:4220479|offset_21|444444,4220494:4220513|offset_55|444444,4220515:4220534|offset_76|444444&amp;v=4220239:4220734&amp;c=444444", "offset 1")</f>
        <v>offset 1</v>
      </c>
    </row>
    <row r="14925" customFormat="false" ht="12.8" hidden="false" customHeight="false" outlineLevel="0" collapsed="false">
      <c r="A14925" s="0" t="s">
        <v>12</v>
      </c>
      <c r="B14925" s="0" t="n">
        <v>4220459</v>
      </c>
      <c r="C14925" s="0" t="n">
        <v>4220479</v>
      </c>
      <c r="D14925" s="0" t="s">
        <v>49728</v>
      </c>
      <c r="E14925" s="0" t="s">
        <v>89</v>
      </c>
      <c r="F14925" s="0" t="s">
        <v>15</v>
      </c>
      <c r="G14925" s="0" t="s">
        <v>32</v>
      </c>
      <c r="H14925" s="0" t="n">
        <v>21</v>
      </c>
      <c r="I14925" s="0" t="s">
        <v>49732</v>
      </c>
      <c r="J14925" s="0" t="s">
        <v>49733</v>
      </c>
      <c r="K14925" s="0" t="s">
        <v>49734</v>
      </c>
      <c r="L14925" s="0" t="str">
        <f aca="false">HYPERLINK("https://www.ncbi.nlm.nih.gov/nuccore/CP000304.1?report=graph&amp;tracks=[key:gene_model_track,Options:GeneOnly]&amp;mk=4220440:4220459|offset_1|444444,4220460:4220479|offset_21|00cc00,4220494:4220513|offset_55|444444,4220515:4220534|offset_76|444444&amp;v=4220239:4220734&amp;c=444444", "offset 21")</f>
        <v>offset 21</v>
      </c>
    </row>
    <row r="14926" customFormat="false" ht="12.8" hidden="false" customHeight="false" outlineLevel="0" collapsed="false">
      <c r="A14926" s="0" t="s">
        <v>12</v>
      </c>
      <c r="B14926" s="0" t="n">
        <v>4220493</v>
      </c>
      <c r="C14926" s="0" t="n">
        <v>4220513</v>
      </c>
      <c r="D14926" s="0" t="s">
        <v>49728</v>
      </c>
      <c r="E14926" s="0" t="s">
        <v>89</v>
      </c>
      <c r="F14926" s="0" t="s">
        <v>15</v>
      </c>
      <c r="G14926" s="0" t="s">
        <v>16</v>
      </c>
      <c r="H14926" s="0" t="n">
        <v>55</v>
      </c>
      <c r="I14926" s="0" t="s">
        <v>49735</v>
      </c>
      <c r="J14926" s="0" t="s">
        <v>49736</v>
      </c>
      <c r="K14926" s="0" t="s">
        <v>49737</v>
      </c>
      <c r="L14926" s="0" t="str">
        <f aca="false">HYPERLINK("https://www.ncbi.nlm.nih.gov/nuccore/CP000304.1?report=graph&amp;tracks=[key:gene_model_track,Options:GeneOnly]&amp;mk=4220440:4220459|offset_1|444444,4220460:4220479|offset_21|444444,4220494:4220513|offset_55|00cc00,4220515:4220534|offset_76|444444&amp;v=4220239:4220734&amp;c=444444", "offset 55")</f>
        <v>offset 55</v>
      </c>
    </row>
    <row r="14927" customFormat="false" ht="12.8" hidden="false" customHeight="false" outlineLevel="0" collapsed="false">
      <c r="A14927" s="0" t="s">
        <v>12</v>
      </c>
      <c r="B14927" s="0" t="n">
        <v>4220514</v>
      </c>
      <c r="C14927" s="0" t="n">
        <v>4220534</v>
      </c>
      <c r="D14927" s="0" t="s">
        <v>49728</v>
      </c>
      <c r="E14927" s="0" t="s">
        <v>89</v>
      </c>
      <c r="F14927" s="0" t="s">
        <v>15</v>
      </c>
      <c r="G14927" s="0" t="s">
        <v>16</v>
      </c>
      <c r="H14927" s="0" t="n">
        <v>76</v>
      </c>
      <c r="I14927" s="0" t="s">
        <v>49738</v>
      </c>
      <c r="J14927" s="0" t="s">
        <v>49739</v>
      </c>
      <c r="K14927" s="0" t="s">
        <v>49740</v>
      </c>
      <c r="L14927" s="0" t="str">
        <f aca="false">HYPERLINK("https://www.ncbi.nlm.nih.gov/nuccore/CP000304.1?report=graph&amp;tracks=[key:gene_model_track,Options:GeneOnly]&amp;mk=4220440:4220459|offset_1|444444,4220460:4220479|offset_21|444444,4220494:4220513|offset_55|444444,4220515:4220534|offset_76|00cc00&amp;v=4220239:4220734&amp;c=444444", "offset 76")</f>
        <v>offset 76</v>
      </c>
    </row>
    <row r="14928" customFormat="false" ht="12.8" hidden="false" customHeight="false" outlineLevel="0" collapsed="false">
      <c r="A14928" s="0" t="s">
        <v>12</v>
      </c>
      <c r="B14928" s="0" t="n">
        <v>4222969</v>
      </c>
      <c r="C14928" s="0" t="n">
        <v>4222989</v>
      </c>
      <c r="D14928" s="0" t="s">
        <v>49741</v>
      </c>
      <c r="E14928" s="0" t="s">
        <v>49742</v>
      </c>
      <c r="F14928" s="0" t="s">
        <v>90</v>
      </c>
      <c r="G14928" s="0" t="s">
        <v>16</v>
      </c>
      <c r="H14928" s="0" t="n">
        <v>25</v>
      </c>
      <c r="I14928" s="0" t="s">
        <v>49743</v>
      </c>
      <c r="J14928" s="0" t="s">
        <v>49744</v>
      </c>
      <c r="K14928" s="0" t="s">
        <v>49745</v>
      </c>
      <c r="L14928" s="0" t="str">
        <f aca="false">HYPERLINK("https://www.ncbi.nlm.nih.gov/nuccore/CP000304.1?report=graph&amp;tracks=[key:gene_model_track,Options:GeneOnly]&amp;mk=4222970:4222989|offset_25|00cc00,4222950:4222969|offset_45|444444,4222928:4222947|offset_67|444444,4222902:4222921|offset_93|444444&amp;v=4222769:4223121&amp;c=444444", "offset 25")</f>
        <v>offset 25</v>
      </c>
    </row>
    <row r="14929" customFormat="false" ht="12.8" hidden="false" customHeight="false" outlineLevel="0" collapsed="false">
      <c r="A14929" s="0" t="s">
        <v>12</v>
      </c>
      <c r="B14929" s="0" t="n">
        <v>4222949</v>
      </c>
      <c r="C14929" s="0" t="n">
        <v>4222969</v>
      </c>
      <c r="D14929" s="0" t="s">
        <v>49741</v>
      </c>
      <c r="E14929" s="0" t="s">
        <v>49742</v>
      </c>
      <c r="F14929" s="0" t="s">
        <v>90</v>
      </c>
      <c r="G14929" s="0" t="s">
        <v>16</v>
      </c>
      <c r="H14929" s="0" t="n">
        <v>45</v>
      </c>
      <c r="I14929" s="0" t="s">
        <v>49746</v>
      </c>
      <c r="J14929" s="0" t="s">
        <v>49747</v>
      </c>
      <c r="K14929" s="0" t="s">
        <v>49748</v>
      </c>
      <c r="L14929" s="0" t="str">
        <f aca="false">HYPERLINK("https://www.ncbi.nlm.nih.gov/nuccore/CP000304.1?report=graph&amp;tracks=[key:gene_model_track,Options:GeneOnly]&amp;mk=4222970:4222989|offset_25|444444,4222950:4222969|offset_45|00cc00,4222928:4222947|offset_67|444444,4222902:4222921|offset_93|444444&amp;v=4222769:4223121&amp;c=444444", "offset 45")</f>
        <v>offset 45</v>
      </c>
    </row>
    <row r="14930" customFormat="false" ht="12.8" hidden="false" customHeight="false" outlineLevel="0" collapsed="false">
      <c r="A14930" s="0" t="s">
        <v>12</v>
      </c>
      <c r="B14930" s="0" t="n">
        <v>4222927</v>
      </c>
      <c r="C14930" s="0" t="n">
        <v>4222947</v>
      </c>
      <c r="D14930" s="0" t="s">
        <v>49741</v>
      </c>
      <c r="E14930" s="0" t="s">
        <v>49742</v>
      </c>
      <c r="F14930" s="0" t="s">
        <v>90</v>
      </c>
      <c r="G14930" s="0" t="s">
        <v>32</v>
      </c>
      <c r="H14930" s="0" t="n">
        <v>67</v>
      </c>
      <c r="I14930" s="0" t="s">
        <v>49749</v>
      </c>
      <c r="J14930" s="0" t="s">
        <v>49750</v>
      </c>
      <c r="K14930" s="0" t="s">
        <v>49751</v>
      </c>
      <c r="L14930" s="0" t="str">
        <f aca="false">HYPERLINK("https://www.ncbi.nlm.nih.gov/nuccore/CP000304.1?report=graph&amp;tracks=[key:gene_model_track,Options:GeneOnly]&amp;mk=4222970:4222989|offset_25|444444,4222950:4222969|offset_45|444444,4222928:4222947|offset_67|00cc00,4222902:4222921|offset_93|444444&amp;v=4222769:4223121&amp;c=444444", "offset 67")</f>
        <v>offset 67</v>
      </c>
    </row>
    <row r="14931" customFormat="false" ht="12.8" hidden="false" customHeight="false" outlineLevel="0" collapsed="false">
      <c r="A14931" s="0" t="s">
        <v>12</v>
      </c>
      <c r="B14931" s="0" t="n">
        <v>4222901</v>
      </c>
      <c r="C14931" s="0" t="n">
        <v>4222921</v>
      </c>
      <c r="D14931" s="0" t="s">
        <v>49741</v>
      </c>
      <c r="E14931" s="0" t="s">
        <v>49742</v>
      </c>
      <c r="F14931" s="0" t="s">
        <v>90</v>
      </c>
      <c r="G14931" s="0" t="s">
        <v>26</v>
      </c>
      <c r="H14931" s="0" t="n">
        <v>93</v>
      </c>
      <c r="I14931" s="0" t="s">
        <v>49752</v>
      </c>
      <c r="J14931" s="0" t="s">
        <v>49753</v>
      </c>
      <c r="K14931" s="0" t="s">
        <v>49754</v>
      </c>
      <c r="L14931" s="0" t="str">
        <f aca="false">HYPERLINK("https://www.ncbi.nlm.nih.gov/nuccore/CP000304.1?report=graph&amp;tracks=[key:gene_model_track,Options:GeneOnly]&amp;mk=4222970:4222989|offset_25|444444,4222950:4222969|offset_45|444444,4222928:4222947|offset_67|444444,4222902:4222921|offset_93|00cc00&amp;v=4222769:4223121&amp;c=444444", "offset 93")</f>
        <v>offset 93</v>
      </c>
    </row>
    <row r="14932" customFormat="false" ht="12.8" hidden="false" customHeight="false" outlineLevel="0" collapsed="false">
      <c r="A14932" s="0" t="s">
        <v>12</v>
      </c>
      <c r="B14932" s="0" t="n">
        <v>4223697</v>
      </c>
      <c r="C14932" s="0" t="n">
        <v>4223717</v>
      </c>
      <c r="D14932" s="0" t="s">
        <v>49755</v>
      </c>
      <c r="E14932" s="0" t="s">
        <v>89</v>
      </c>
      <c r="F14932" s="0" t="s">
        <v>90</v>
      </c>
      <c r="G14932" s="0" t="s">
        <v>36</v>
      </c>
      <c r="H14932" s="0" t="n">
        <v>43</v>
      </c>
      <c r="I14932" s="0" t="s">
        <v>49756</v>
      </c>
      <c r="J14932" s="0" t="s">
        <v>49757</v>
      </c>
      <c r="K14932" s="0" t="s">
        <v>49758</v>
      </c>
      <c r="L14932" s="0" t="str">
        <f aca="false">HYPERLINK("https://www.ncbi.nlm.nih.gov/nuccore/CP000304.1?report=graph&amp;tracks=[key:gene_model_track,Options:GeneOnly]&amp;mk=4223698:4223717|offset_43|00cc00,4223667:4223686|offset_74|444444,4223631:4223650|offset_110|444444,4223611:4223630|offset_130|444444&amp;v=4223497:4223830&amp;c=444444", "offset 43")</f>
        <v>offset 43</v>
      </c>
    </row>
    <row r="14933" customFormat="false" ht="12.8" hidden="false" customHeight="false" outlineLevel="0" collapsed="false">
      <c r="A14933" s="0" t="s">
        <v>12</v>
      </c>
      <c r="B14933" s="0" t="n">
        <v>4223666</v>
      </c>
      <c r="C14933" s="0" t="n">
        <v>4223686</v>
      </c>
      <c r="D14933" s="0" t="s">
        <v>49755</v>
      </c>
      <c r="E14933" s="0" t="s">
        <v>89</v>
      </c>
      <c r="F14933" s="0" t="s">
        <v>90</v>
      </c>
      <c r="G14933" s="0" t="s">
        <v>26</v>
      </c>
      <c r="H14933" s="0" t="n">
        <v>74</v>
      </c>
      <c r="I14933" s="0" t="s">
        <v>49759</v>
      </c>
      <c r="J14933" s="0" t="s">
        <v>49760</v>
      </c>
      <c r="K14933" s="0" t="s">
        <v>49761</v>
      </c>
      <c r="L14933" s="0" t="str">
        <f aca="false">HYPERLINK("https://www.ncbi.nlm.nih.gov/nuccore/CP000304.1?report=graph&amp;tracks=[key:gene_model_track,Options:GeneOnly]&amp;mk=4223698:4223717|offset_43|444444,4223667:4223686|offset_74|00cc00,4223631:4223650|offset_110|444444,4223611:4223630|offset_130|444444&amp;v=4223497:4223830&amp;c=444444", "offset 74")</f>
        <v>offset 74</v>
      </c>
    </row>
    <row r="14934" customFormat="false" ht="12.8" hidden="false" customHeight="false" outlineLevel="0" collapsed="false">
      <c r="A14934" s="0" t="s">
        <v>12</v>
      </c>
      <c r="B14934" s="0" t="n">
        <v>4223630</v>
      </c>
      <c r="C14934" s="0" t="n">
        <v>4223650</v>
      </c>
      <c r="D14934" s="0" t="s">
        <v>49755</v>
      </c>
      <c r="E14934" s="0" t="s">
        <v>89</v>
      </c>
      <c r="F14934" s="0" t="s">
        <v>90</v>
      </c>
      <c r="G14934" s="0" t="s">
        <v>16</v>
      </c>
      <c r="H14934" s="0" t="n">
        <v>110</v>
      </c>
      <c r="I14934" s="0" t="s">
        <v>49762</v>
      </c>
      <c r="J14934" s="0" t="s">
        <v>49763</v>
      </c>
      <c r="K14934" s="0" t="s">
        <v>49764</v>
      </c>
      <c r="L14934" s="0" t="str">
        <f aca="false">HYPERLINK("https://www.ncbi.nlm.nih.gov/nuccore/CP000304.1?report=graph&amp;tracks=[key:gene_model_track,Options:GeneOnly]&amp;mk=4223698:4223717|offset_43|444444,4223667:4223686|offset_74|444444,4223631:4223650|offset_110|00cc00,4223611:4223630|offset_130|444444&amp;v=4223497:4223830&amp;c=444444", "offset 110")</f>
        <v>offset 110</v>
      </c>
    </row>
    <row r="14935" customFormat="false" ht="12.8" hidden="false" customHeight="false" outlineLevel="0" collapsed="false">
      <c r="A14935" s="0" t="s">
        <v>12</v>
      </c>
      <c r="B14935" s="0" t="n">
        <v>4223610</v>
      </c>
      <c r="C14935" s="0" t="n">
        <v>4223630</v>
      </c>
      <c r="D14935" s="0" t="s">
        <v>49755</v>
      </c>
      <c r="E14935" s="0" t="s">
        <v>89</v>
      </c>
      <c r="F14935" s="0" t="s">
        <v>90</v>
      </c>
      <c r="G14935" s="0" t="s">
        <v>36</v>
      </c>
      <c r="H14935" s="0" t="n">
        <v>130</v>
      </c>
      <c r="I14935" s="0" t="s">
        <v>49765</v>
      </c>
      <c r="J14935" s="0" t="s">
        <v>49766</v>
      </c>
      <c r="K14935" s="0" t="s">
        <v>49767</v>
      </c>
      <c r="L14935" s="0" t="str">
        <f aca="false">HYPERLINK("https://www.ncbi.nlm.nih.gov/nuccore/CP000304.1?report=graph&amp;tracks=[key:gene_model_track,Options:GeneOnly]&amp;mk=4223698:4223717|offset_43|444444,4223667:4223686|offset_74|444444,4223631:4223650|offset_110|444444,4223611:4223630|offset_130|00cc00&amp;v=4223497:4223830&amp;c=444444", "offset 130")</f>
        <v>offset 130</v>
      </c>
    </row>
    <row r="14936" customFormat="false" ht="12.8" hidden="false" customHeight="false" outlineLevel="0" collapsed="false">
      <c r="A14936" s="0" t="s">
        <v>12</v>
      </c>
      <c r="B14936" s="0" t="n">
        <v>4223974</v>
      </c>
      <c r="C14936" s="0" t="n">
        <v>4223994</v>
      </c>
      <c r="D14936" s="0" t="s">
        <v>49768</v>
      </c>
      <c r="E14936" s="0" t="s">
        <v>49769</v>
      </c>
      <c r="F14936" s="0" t="s">
        <v>15</v>
      </c>
      <c r="G14936" s="0" t="s">
        <v>16</v>
      </c>
      <c r="H14936" s="0" t="n">
        <v>10</v>
      </c>
      <c r="I14936" s="0" t="s">
        <v>49770</v>
      </c>
      <c r="J14936" s="0" t="s">
        <v>49771</v>
      </c>
      <c r="K14936" s="0" t="s">
        <v>49772</v>
      </c>
      <c r="L14936" s="0" t="str">
        <f aca="false">HYPERLINK("https://www.ncbi.nlm.nih.gov/nuccore/CP000304.1?report=graph&amp;tracks=[key:gene_model_track,Options:GeneOnly]&amp;mk=4223975:4223994|offset_10|00cc00,4224011:4224030|offset_46|444444,4224036:4224055|offset_71|444444,4224086:4224105|offset_121|444444&amp;v=4223774:4224305&amp;c=444444", "offset 10")</f>
        <v>offset 10</v>
      </c>
    </row>
    <row r="14937" customFormat="false" ht="12.8" hidden="false" customHeight="false" outlineLevel="0" collapsed="false">
      <c r="A14937" s="0" t="s">
        <v>12</v>
      </c>
      <c r="B14937" s="0" t="n">
        <v>4224010</v>
      </c>
      <c r="C14937" s="0" t="n">
        <v>4224030</v>
      </c>
      <c r="D14937" s="0" t="s">
        <v>49768</v>
      </c>
      <c r="E14937" s="0" t="s">
        <v>49769</v>
      </c>
      <c r="F14937" s="0" t="s">
        <v>15</v>
      </c>
      <c r="G14937" s="0" t="s">
        <v>32</v>
      </c>
      <c r="H14937" s="0" t="n">
        <v>46</v>
      </c>
      <c r="I14937" s="0" t="s">
        <v>49773</v>
      </c>
      <c r="J14937" s="0" t="s">
        <v>49774</v>
      </c>
      <c r="K14937" s="0" t="s">
        <v>49775</v>
      </c>
      <c r="L14937" s="0" t="str">
        <f aca="false">HYPERLINK("https://www.ncbi.nlm.nih.gov/nuccore/CP000304.1?report=graph&amp;tracks=[key:gene_model_track,Options:GeneOnly]&amp;mk=4223975:4223994|offset_10|444444,4224011:4224030|offset_46|00cc00,4224036:4224055|offset_71|444444,4224086:4224105|offset_121|444444&amp;v=4223774:4224305&amp;c=444444", "offset 46")</f>
        <v>offset 46</v>
      </c>
    </row>
    <row r="14938" customFormat="false" ht="12.8" hidden="false" customHeight="false" outlineLevel="0" collapsed="false">
      <c r="A14938" s="0" t="s">
        <v>12</v>
      </c>
      <c r="B14938" s="0" t="n">
        <v>4224035</v>
      </c>
      <c r="C14938" s="0" t="n">
        <v>4224055</v>
      </c>
      <c r="D14938" s="0" t="s">
        <v>49768</v>
      </c>
      <c r="E14938" s="0" t="s">
        <v>49769</v>
      </c>
      <c r="F14938" s="0" t="s">
        <v>15</v>
      </c>
      <c r="G14938" s="0" t="s">
        <v>36</v>
      </c>
      <c r="H14938" s="0" t="n">
        <v>71</v>
      </c>
      <c r="I14938" s="0" t="s">
        <v>49776</v>
      </c>
      <c r="J14938" s="0" t="s">
        <v>49777</v>
      </c>
      <c r="K14938" s="0" t="s">
        <v>49778</v>
      </c>
      <c r="L14938" s="0" t="str">
        <f aca="false">HYPERLINK("https://www.ncbi.nlm.nih.gov/nuccore/CP000304.1?report=graph&amp;tracks=[key:gene_model_track,Options:GeneOnly]&amp;mk=4223975:4223994|offset_10|444444,4224011:4224030|offset_46|444444,4224036:4224055|offset_71|00cc00,4224086:4224105|offset_121|444444&amp;v=4223774:4224305&amp;c=444444", "offset 71")</f>
        <v>offset 71</v>
      </c>
    </row>
    <row r="14939" customFormat="false" ht="12.8" hidden="false" customHeight="false" outlineLevel="0" collapsed="false">
      <c r="A14939" s="0" t="s">
        <v>12</v>
      </c>
      <c r="B14939" s="0" t="n">
        <v>4224085</v>
      </c>
      <c r="C14939" s="0" t="n">
        <v>4224105</v>
      </c>
      <c r="D14939" s="0" t="s">
        <v>49768</v>
      </c>
      <c r="E14939" s="0" t="s">
        <v>49769</v>
      </c>
      <c r="F14939" s="0" t="s">
        <v>15</v>
      </c>
      <c r="G14939" s="0" t="s">
        <v>36</v>
      </c>
      <c r="H14939" s="0" t="n">
        <v>121</v>
      </c>
      <c r="I14939" s="0" t="s">
        <v>49779</v>
      </c>
      <c r="J14939" s="0" t="s">
        <v>49780</v>
      </c>
      <c r="K14939" s="0" t="s">
        <v>49781</v>
      </c>
      <c r="L14939" s="0" t="str">
        <f aca="false">HYPERLINK("https://www.ncbi.nlm.nih.gov/nuccore/CP000304.1?report=graph&amp;tracks=[key:gene_model_track,Options:GeneOnly]&amp;mk=4223975:4223994|offset_10|444444,4224011:4224030|offset_46|444444,4224036:4224055|offset_71|444444,4224086:4224105|offset_121|00cc00&amp;v=4223774:4224305&amp;c=444444", "offset 121")</f>
        <v>offset 121</v>
      </c>
    </row>
    <row r="14940" customFormat="false" ht="12.8" hidden="false" customHeight="false" outlineLevel="0" collapsed="false">
      <c r="A14940" s="0" t="s">
        <v>12</v>
      </c>
      <c r="B14940" s="0" t="n">
        <v>4225362</v>
      </c>
      <c r="C14940" s="0" t="n">
        <v>4225382</v>
      </c>
      <c r="D14940" s="0" t="s">
        <v>49782</v>
      </c>
      <c r="E14940" s="0" t="s">
        <v>89</v>
      </c>
      <c r="F14940" s="0" t="s">
        <v>90</v>
      </c>
      <c r="G14940" s="0" t="s">
        <v>32</v>
      </c>
      <c r="H14940" s="0" t="n">
        <v>1</v>
      </c>
      <c r="I14940" s="0" t="s">
        <v>49783</v>
      </c>
      <c r="J14940" s="0" t="s">
        <v>49784</v>
      </c>
      <c r="K14940" s="0" t="s">
        <v>49785</v>
      </c>
      <c r="L14940" s="0" t="str">
        <f aca="false">HYPERLINK("https://www.ncbi.nlm.nih.gov/nuccore/CP000304.1?report=graph&amp;tracks=[key:gene_model_track,Options:GeneOnly]&amp;mk=4225363:4225382|offset_1|00cc00,4225342:4225361|offset_22|444444,4225321:4225340|offset_43|444444,4225300:4225319|offset_64|444444&amp;v=4225162:4225519&amp;c=444444", "offset 1")</f>
        <v>offset 1</v>
      </c>
    </row>
    <row r="14941" customFormat="false" ht="12.8" hidden="false" customHeight="false" outlineLevel="0" collapsed="false">
      <c r="A14941" s="0" t="s">
        <v>12</v>
      </c>
      <c r="B14941" s="0" t="n">
        <v>4225341</v>
      </c>
      <c r="C14941" s="0" t="n">
        <v>4225361</v>
      </c>
      <c r="D14941" s="0" t="s">
        <v>49782</v>
      </c>
      <c r="E14941" s="0" t="s">
        <v>89</v>
      </c>
      <c r="F14941" s="0" t="s">
        <v>90</v>
      </c>
      <c r="G14941" s="0" t="s">
        <v>16</v>
      </c>
      <c r="H14941" s="0" t="n">
        <v>22</v>
      </c>
      <c r="I14941" s="0" t="s">
        <v>49786</v>
      </c>
      <c r="J14941" s="0" t="s">
        <v>49787</v>
      </c>
      <c r="K14941" s="0" t="s">
        <v>49788</v>
      </c>
      <c r="L14941" s="0" t="str">
        <f aca="false">HYPERLINK("https://www.ncbi.nlm.nih.gov/nuccore/CP000304.1?report=graph&amp;tracks=[key:gene_model_track,Options:GeneOnly]&amp;mk=4225363:4225382|offset_1|444444,4225342:4225361|offset_22|00cc00,4225321:4225340|offset_43|444444,4225300:4225319|offset_64|444444&amp;v=4225162:4225519&amp;c=444444", "offset 22")</f>
        <v>offset 22</v>
      </c>
    </row>
    <row r="14942" customFormat="false" ht="12.8" hidden="false" customHeight="false" outlineLevel="0" collapsed="false">
      <c r="A14942" s="0" t="s">
        <v>12</v>
      </c>
      <c r="B14942" s="0" t="n">
        <v>4225320</v>
      </c>
      <c r="C14942" s="0" t="n">
        <v>4225340</v>
      </c>
      <c r="D14942" s="0" t="s">
        <v>49782</v>
      </c>
      <c r="E14942" s="0" t="s">
        <v>89</v>
      </c>
      <c r="F14942" s="0" t="s">
        <v>90</v>
      </c>
      <c r="G14942" s="0" t="s">
        <v>16</v>
      </c>
      <c r="H14942" s="0" t="n">
        <v>43</v>
      </c>
      <c r="I14942" s="0" t="s">
        <v>49789</v>
      </c>
      <c r="J14942" s="0" t="s">
        <v>49790</v>
      </c>
      <c r="K14942" s="0" t="s">
        <v>49791</v>
      </c>
      <c r="L14942" s="0" t="str">
        <f aca="false">HYPERLINK("https://www.ncbi.nlm.nih.gov/nuccore/CP000304.1?report=graph&amp;tracks=[key:gene_model_track,Options:GeneOnly]&amp;mk=4225363:4225382|offset_1|444444,4225342:4225361|offset_22|444444,4225321:4225340|offset_43|00cc00,4225300:4225319|offset_64|444444&amp;v=4225162:4225519&amp;c=444444", "offset 43")</f>
        <v>offset 43</v>
      </c>
    </row>
    <row r="14943" customFormat="false" ht="12.8" hidden="false" customHeight="false" outlineLevel="0" collapsed="false">
      <c r="A14943" s="0" t="s">
        <v>12</v>
      </c>
      <c r="B14943" s="0" t="n">
        <v>4225299</v>
      </c>
      <c r="C14943" s="0" t="n">
        <v>4225319</v>
      </c>
      <c r="D14943" s="0" t="s">
        <v>49782</v>
      </c>
      <c r="E14943" s="0" t="s">
        <v>89</v>
      </c>
      <c r="F14943" s="0" t="s">
        <v>90</v>
      </c>
      <c r="G14943" s="0" t="s">
        <v>32</v>
      </c>
      <c r="H14943" s="0" t="n">
        <v>64</v>
      </c>
      <c r="I14943" s="0" t="s">
        <v>49792</v>
      </c>
      <c r="J14943" s="0" t="s">
        <v>49793</v>
      </c>
      <c r="K14943" s="0" t="s">
        <v>49794</v>
      </c>
      <c r="L14943" s="0" t="str">
        <f aca="false">HYPERLINK("https://www.ncbi.nlm.nih.gov/nuccore/CP000304.1?report=graph&amp;tracks=[key:gene_model_track,Options:GeneOnly]&amp;mk=4225363:4225382|offset_1|444444,4225342:4225361|offset_22|444444,4225321:4225340|offset_43|444444,4225300:4225319|offset_64|00cc00&amp;v=4225162:4225519&amp;c=444444", "offset 64")</f>
        <v>offset 64</v>
      </c>
    </row>
    <row r="14944" customFormat="false" ht="12.8" hidden="false" customHeight="false" outlineLevel="0" collapsed="false">
      <c r="A14944" s="0" t="s">
        <v>12</v>
      </c>
      <c r="B14944" s="0" t="n">
        <v>4225642</v>
      </c>
      <c r="C14944" s="0" t="n">
        <v>4225662</v>
      </c>
      <c r="D14944" s="0" t="s">
        <v>49795</v>
      </c>
      <c r="E14944" s="0" t="s">
        <v>89</v>
      </c>
      <c r="F14944" s="0" t="s">
        <v>15</v>
      </c>
      <c r="G14944" s="0" t="s">
        <v>26</v>
      </c>
      <c r="H14944" s="0" t="n">
        <v>29</v>
      </c>
      <c r="I14944" s="0" t="s">
        <v>49796</v>
      </c>
      <c r="J14944" s="0" t="s">
        <v>49797</v>
      </c>
      <c r="K14944" s="0" t="s">
        <v>49798</v>
      </c>
      <c r="L14944" s="0" t="str">
        <f aca="false">HYPERLINK("https://www.ncbi.nlm.nih.gov/nuccore/CP000304.1?report=graph&amp;tracks=[key:gene_model_track,Options:GeneOnly]&amp;mk=4225643:4225662|offset_29|00cc00,4225692:4225711|offset_78|444444,4225714:4225733|offset_100|444444,4225801:4225820|offset_187|444444&amp;v=4225442:4226020&amp;c=444444", "offset 29")</f>
        <v>offset 29</v>
      </c>
    </row>
    <row r="14945" customFormat="false" ht="12.8" hidden="false" customHeight="false" outlineLevel="0" collapsed="false">
      <c r="A14945" s="0" t="s">
        <v>12</v>
      </c>
      <c r="B14945" s="0" t="n">
        <v>4225691</v>
      </c>
      <c r="C14945" s="0" t="n">
        <v>4225711</v>
      </c>
      <c r="D14945" s="0" t="s">
        <v>49795</v>
      </c>
      <c r="E14945" s="0" t="s">
        <v>89</v>
      </c>
      <c r="F14945" s="0" t="s">
        <v>15</v>
      </c>
      <c r="G14945" s="0" t="s">
        <v>36</v>
      </c>
      <c r="H14945" s="0" t="n">
        <v>78</v>
      </c>
      <c r="I14945" s="0" t="s">
        <v>49799</v>
      </c>
      <c r="J14945" s="0" t="s">
        <v>49800</v>
      </c>
      <c r="K14945" s="0" t="s">
        <v>49801</v>
      </c>
      <c r="L14945" s="0" t="str">
        <f aca="false">HYPERLINK("https://www.ncbi.nlm.nih.gov/nuccore/CP000304.1?report=graph&amp;tracks=[key:gene_model_track,Options:GeneOnly]&amp;mk=4225643:4225662|offset_29|444444,4225692:4225711|offset_78|00cc00,4225714:4225733|offset_100|444444,4225801:4225820|offset_187|444444&amp;v=4225442:4226020&amp;c=444444", "offset 78")</f>
        <v>offset 78</v>
      </c>
    </row>
    <row r="14946" customFormat="false" ht="12.8" hidden="false" customHeight="false" outlineLevel="0" collapsed="false">
      <c r="A14946" s="0" t="s">
        <v>12</v>
      </c>
      <c r="B14946" s="0" t="n">
        <v>4225713</v>
      </c>
      <c r="C14946" s="0" t="n">
        <v>4225733</v>
      </c>
      <c r="D14946" s="0" t="s">
        <v>49795</v>
      </c>
      <c r="E14946" s="0" t="s">
        <v>89</v>
      </c>
      <c r="F14946" s="0" t="s">
        <v>15</v>
      </c>
      <c r="G14946" s="0" t="s">
        <v>16</v>
      </c>
      <c r="H14946" s="0" t="n">
        <v>100</v>
      </c>
      <c r="I14946" s="0" t="s">
        <v>49802</v>
      </c>
      <c r="J14946" s="0" t="s">
        <v>49803</v>
      </c>
      <c r="K14946" s="0" t="s">
        <v>49804</v>
      </c>
      <c r="L14946" s="0" t="str">
        <f aca="false">HYPERLINK("https://www.ncbi.nlm.nih.gov/nuccore/CP000304.1?report=graph&amp;tracks=[key:gene_model_track,Options:GeneOnly]&amp;mk=4225643:4225662|offset_29|444444,4225692:4225711|offset_78|444444,4225714:4225733|offset_100|00cc00,4225801:4225820|offset_187|444444&amp;v=4225442:4226020&amp;c=444444", "offset 100")</f>
        <v>offset 100</v>
      </c>
    </row>
    <row r="14947" customFormat="false" ht="12.8" hidden="false" customHeight="false" outlineLevel="0" collapsed="false">
      <c r="A14947" s="0" t="s">
        <v>12</v>
      </c>
      <c r="B14947" s="0" t="n">
        <v>4225800</v>
      </c>
      <c r="C14947" s="0" t="n">
        <v>4225820</v>
      </c>
      <c r="D14947" s="0" t="s">
        <v>49795</v>
      </c>
      <c r="E14947" s="0" t="s">
        <v>89</v>
      </c>
      <c r="F14947" s="0" t="s">
        <v>15</v>
      </c>
      <c r="G14947" s="0" t="s">
        <v>32</v>
      </c>
      <c r="H14947" s="0" t="n">
        <v>187</v>
      </c>
      <c r="I14947" s="0" t="s">
        <v>49805</v>
      </c>
      <c r="J14947" s="0" t="s">
        <v>49806</v>
      </c>
      <c r="K14947" s="0" t="s">
        <v>49807</v>
      </c>
      <c r="L14947" s="0" t="str">
        <f aca="false">HYPERLINK("https://www.ncbi.nlm.nih.gov/nuccore/CP000304.1?report=graph&amp;tracks=[key:gene_model_track,Options:GeneOnly]&amp;mk=4225643:4225662|offset_29|444444,4225692:4225711|offset_78|444444,4225714:4225733|offset_100|444444,4225801:4225820|offset_187|00cc00&amp;v=4225442:4226020&amp;c=444444", "offset 187")</f>
        <v>offset 187</v>
      </c>
    </row>
    <row r="14948" customFormat="false" ht="12.8" hidden="false" customHeight="false" outlineLevel="0" collapsed="false">
      <c r="A14948" s="0" t="s">
        <v>12</v>
      </c>
      <c r="B14948" s="0" t="n">
        <v>4227952</v>
      </c>
      <c r="C14948" s="0" t="n">
        <v>4227972</v>
      </c>
      <c r="D14948" s="0" t="s">
        <v>49808</v>
      </c>
      <c r="E14948" s="0" t="s">
        <v>89</v>
      </c>
      <c r="F14948" s="0" t="s">
        <v>15</v>
      </c>
      <c r="G14948" s="0" t="s">
        <v>32</v>
      </c>
      <c r="H14948" s="0" t="n">
        <v>1</v>
      </c>
      <c r="I14948" s="0" t="s">
        <v>49809</v>
      </c>
      <c r="J14948" s="0" t="s">
        <v>49810</v>
      </c>
      <c r="K14948" s="0" t="s">
        <v>49811</v>
      </c>
      <c r="L14948" s="0" t="str">
        <f aca="false">HYPERLINK("https://www.ncbi.nlm.nih.gov/nuccore/CP000304.1?report=graph&amp;tracks=[key:gene_model_track,Options:GeneOnly]&amp;mk=4227953:4227972|offset_1|00cc00,4227973:4227992|offset_21|444444,4227995:4228014|offset_43|444444,4228019:4228038|offset_67|444444&amp;v=4227752:4228238&amp;c=444444", "offset 1")</f>
        <v>offset 1</v>
      </c>
    </row>
    <row r="14949" customFormat="false" ht="12.8" hidden="false" customHeight="false" outlineLevel="0" collapsed="false">
      <c r="A14949" s="0" t="s">
        <v>12</v>
      </c>
      <c r="B14949" s="0" t="n">
        <v>4227972</v>
      </c>
      <c r="C14949" s="0" t="n">
        <v>4227992</v>
      </c>
      <c r="D14949" s="0" t="s">
        <v>49808</v>
      </c>
      <c r="E14949" s="0" t="s">
        <v>89</v>
      </c>
      <c r="F14949" s="0" t="s">
        <v>15</v>
      </c>
      <c r="G14949" s="0" t="s">
        <v>16</v>
      </c>
      <c r="H14949" s="0" t="n">
        <v>21</v>
      </c>
      <c r="I14949" s="0" t="s">
        <v>49812</v>
      </c>
      <c r="J14949" s="0" t="s">
        <v>49813</v>
      </c>
      <c r="K14949" s="0" t="s">
        <v>49814</v>
      </c>
      <c r="L14949" s="0" t="str">
        <f aca="false">HYPERLINK("https://www.ncbi.nlm.nih.gov/nuccore/CP000304.1?report=graph&amp;tracks=[key:gene_model_track,Options:GeneOnly]&amp;mk=4227953:4227972|offset_1|444444,4227973:4227992|offset_21|00cc00,4227995:4228014|offset_43|444444,4228019:4228038|offset_67|444444&amp;v=4227752:4228238&amp;c=444444", "offset 21")</f>
        <v>offset 21</v>
      </c>
    </row>
    <row r="14950" customFormat="false" ht="12.8" hidden="false" customHeight="false" outlineLevel="0" collapsed="false">
      <c r="A14950" s="0" t="s">
        <v>12</v>
      </c>
      <c r="B14950" s="0" t="n">
        <v>4227994</v>
      </c>
      <c r="C14950" s="0" t="n">
        <v>4228014</v>
      </c>
      <c r="D14950" s="0" t="s">
        <v>49808</v>
      </c>
      <c r="E14950" s="0" t="s">
        <v>89</v>
      </c>
      <c r="F14950" s="0" t="s">
        <v>15</v>
      </c>
      <c r="G14950" s="0" t="s">
        <v>26</v>
      </c>
      <c r="H14950" s="0" t="n">
        <v>43</v>
      </c>
      <c r="I14950" s="0" t="s">
        <v>49815</v>
      </c>
      <c r="J14950" s="0" t="s">
        <v>49816</v>
      </c>
      <c r="K14950" s="0" t="s">
        <v>49817</v>
      </c>
      <c r="L14950" s="0" t="str">
        <f aca="false">HYPERLINK("https://www.ncbi.nlm.nih.gov/nuccore/CP000304.1?report=graph&amp;tracks=[key:gene_model_track,Options:GeneOnly]&amp;mk=4227953:4227972|offset_1|444444,4227973:4227992|offset_21|444444,4227995:4228014|offset_43|00cc00,4228019:4228038|offset_67|444444&amp;v=4227752:4228238&amp;c=444444", "offset 43")</f>
        <v>offset 43</v>
      </c>
    </row>
    <row r="14951" customFormat="false" ht="12.8" hidden="false" customHeight="false" outlineLevel="0" collapsed="false">
      <c r="A14951" s="0" t="s">
        <v>12</v>
      </c>
      <c r="B14951" s="0" t="n">
        <v>4228018</v>
      </c>
      <c r="C14951" s="0" t="n">
        <v>4228038</v>
      </c>
      <c r="D14951" s="0" t="s">
        <v>49808</v>
      </c>
      <c r="E14951" s="0" t="s">
        <v>89</v>
      </c>
      <c r="F14951" s="0" t="s">
        <v>15</v>
      </c>
      <c r="G14951" s="0" t="s">
        <v>16</v>
      </c>
      <c r="H14951" s="0" t="n">
        <v>67</v>
      </c>
      <c r="I14951" s="0" t="s">
        <v>49818</v>
      </c>
      <c r="J14951" s="0" t="s">
        <v>49819</v>
      </c>
      <c r="K14951" s="0" t="s">
        <v>49820</v>
      </c>
      <c r="L14951" s="0" t="str">
        <f aca="false">HYPERLINK("https://www.ncbi.nlm.nih.gov/nuccore/CP000304.1?report=graph&amp;tracks=[key:gene_model_track,Options:GeneOnly]&amp;mk=4227953:4227972|offset_1|444444,4227973:4227992|offset_21|444444,4227995:4228014|offset_43|444444,4228019:4228038|offset_67|00cc00&amp;v=4227752:4228238&amp;c=444444", "offset 67")</f>
        <v>offset 67</v>
      </c>
    </row>
    <row r="14952" customFormat="false" ht="12.8" hidden="false" customHeight="false" outlineLevel="0" collapsed="false">
      <c r="A14952" s="0" t="s">
        <v>12</v>
      </c>
      <c r="B14952" s="0" t="n">
        <v>4229929</v>
      </c>
      <c r="C14952" s="0" t="n">
        <v>4229949</v>
      </c>
      <c r="D14952" s="0" t="s">
        <v>49821</v>
      </c>
      <c r="E14952" s="0" t="s">
        <v>89</v>
      </c>
      <c r="F14952" s="0" t="s">
        <v>15</v>
      </c>
      <c r="G14952" s="0" t="s">
        <v>36</v>
      </c>
      <c r="H14952" s="0" t="n">
        <v>23</v>
      </c>
      <c r="I14952" s="0" t="s">
        <v>49822</v>
      </c>
      <c r="J14952" s="0" t="s">
        <v>49823</v>
      </c>
      <c r="K14952" s="0" t="s">
        <v>49824</v>
      </c>
      <c r="L14952" s="0" t="str">
        <f aca="false">HYPERLINK("https://www.ncbi.nlm.nih.gov/nuccore/CP000304.1?report=graph&amp;tracks=[key:gene_model_track,Options:GeneOnly]&amp;mk=4229930:4229949|offset_23|00cc00,4229950:4229969|offset_43|444444,4229974:4229993|offset_67|444444,4229997:4230016|offset_90|444444&amp;v=4229729:4230216&amp;c=444444", "offset 23")</f>
        <v>offset 23</v>
      </c>
    </row>
    <row r="14953" customFormat="false" ht="12.8" hidden="false" customHeight="false" outlineLevel="0" collapsed="false">
      <c r="A14953" s="0" t="s">
        <v>12</v>
      </c>
      <c r="B14953" s="0" t="n">
        <v>4229949</v>
      </c>
      <c r="C14953" s="0" t="n">
        <v>4229969</v>
      </c>
      <c r="D14953" s="0" t="s">
        <v>49821</v>
      </c>
      <c r="E14953" s="0" t="s">
        <v>89</v>
      </c>
      <c r="F14953" s="0" t="s">
        <v>15</v>
      </c>
      <c r="G14953" s="0" t="s">
        <v>36</v>
      </c>
      <c r="H14953" s="0" t="n">
        <v>43</v>
      </c>
      <c r="I14953" s="0" t="s">
        <v>49825</v>
      </c>
      <c r="J14953" s="0" t="s">
        <v>49826</v>
      </c>
      <c r="K14953" s="0" t="s">
        <v>49827</v>
      </c>
      <c r="L14953" s="0" t="str">
        <f aca="false">HYPERLINK("https://www.ncbi.nlm.nih.gov/nuccore/CP000304.1?report=graph&amp;tracks=[key:gene_model_track,Options:GeneOnly]&amp;mk=4229930:4229949|offset_23|444444,4229950:4229969|offset_43|00cc00,4229974:4229993|offset_67|444444,4229997:4230016|offset_90|444444&amp;v=4229729:4230216&amp;c=444444", "offset 43")</f>
        <v>offset 43</v>
      </c>
    </row>
    <row r="14954" customFormat="false" ht="12.8" hidden="false" customHeight="false" outlineLevel="0" collapsed="false">
      <c r="A14954" s="0" t="s">
        <v>12</v>
      </c>
      <c r="B14954" s="0" t="n">
        <v>4229973</v>
      </c>
      <c r="C14954" s="0" t="n">
        <v>4229993</v>
      </c>
      <c r="D14954" s="0" t="s">
        <v>49821</v>
      </c>
      <c r="E14954" s="0" t="s">
        <v>89</v>
      </c>
      <c r="F14954" s="0" t="s">
        <v>15</v>
      </c>
      <c r="G14954" s="0" t="s">
        <v>16</v>
      </c>
      <c r="H14954" s="0" t="n">
        <v>67</v>
      </c>
      <c r="I14954" s="0" t="s">
        <v>49828</v>
      </c>
      <c r="J14954" s="0" t="s">
        <v>49829</v>
      </c>
      <c r="K14954" s="0" t="s">
        <v>49830</v>
      </c>
      <c r="L14954" s="0" t="str">
        <f aca="false">HYPERLINK("https://www.ncbi.nlm.nih.gov/nuccore/CP000304.1?report=graph&amp;tracks=[key:gene_model_track,Options:GeneOnly]&amp;mk=4229930:4229949|offset_23|444444,4229950:4229969|offset_43|444444,4229974:4229993|offset_67|00cc00,4229997:4230016|offset_90|444444&amp;v=4229729:4230216&amp;c=444444", "offset 67")</f>
        <v>offset 67</v>
      </c>
    </row>
    <row r="14955" customFormat="false" ht="12.8" hidden="false" customHeight="false" outlineLevel="0" collapsed="false">
      <c r="A14955" s="0" t="s">
        <v>12</v>
      </c>
      <c r="B14955" s="0" t="n">
        <v>4229996</v>
      </c>
      <c r="C14955" s="0" t="n">
        <v>4230016</v>
      </c>
      <c r="D14955" s="0" t="s">
        <v>49821</v>
      </c>
      <c r="E14955" s="0" t="s">
        <v>89</v>
      </c>
      <c r="F14955" s="0" t="s">
        <v>15</v>
      </c>
      <c r="G14955" s="0" t="s">
        <v>16</v>
      </c>
      <c r="H14955" s="0" t="n">
        <v>90</v>
      </c>
      <c r="I14955" s="0" t="s">
        <v>49831</v>
      </c>
      <c r="J14955" s="0" t="s">
        <v>49832</v>
      </c>
      <c r="K14955" s="0" t="s">
        <v>49833</v>
      </c>
      <c r="L14955" s="0" t="str">
        <f aca="false">HYPERLINK("https://www.ncbi.nlm.nih.gov/nuccore/CP000304.1?report=graph&amp;tracks=[key:gene_model_track,Options:GeneOnly]&amp;mk=4229930:4229949|offset_23|444444,4229950:4229969|offset_43|444444,4229974:4229993|offset_67|444444,4229997:4230016|offset_90|00cc00&amp;v=4229729:4230216&amp;c=444444", "offset 90")</f>
        <v>offset 90</v>
      </c>
    </row>
    <row r="14956" customFormat="false" ht="12.8" hidden="false" customHeight="false" outlineLevel="0" collapsed="false">
      <c r="A14956" s="0" t="s">
        <v>12</v>
      </c>
      <c r="B14956" s="0" t="n">
        <v>4231223</v>
      </c>
      <c r="C14956" s="0" t="n">
        <v>4231243</v>
      </c>
      <c r="D14956" s="0" t="s">
        <v>49834</v>
      </c>
      <c r="E14956" s="0" t="s">
        <v>89</v>
      </c>
      <c r="F14956" s="0" t="s">
        <v>90</v>
      </c>
      <c r="G14956" s="0" t="s">
        <v>16</v>
      </c>
      <c r="H14956" s="0" t="n">
        <v>34</v>
      </c>
      <c r="I14956" s="0" t="s">
        <v>49835</v>
      </c>
      <c r="J14956" s="0" t="s">
        <v>49836</v>
      </c>
      <c r="K14956" s="0" t="s">
        <v>49837</v>
      </c>
      <c r="L14956" s="0" t="str">
        <f aca="false">HYPERLINK("https://www.ncbi.nlm.nih.gov/nuccore/CP000304.1?report=graph&amp;tracks=[key:gene_model_track,Options:GeneOnly]&amp;mk=4231224:4231243|offset_34|00cc00,4231185:4231204|offset_73|444444,4231165:4231184|offset_93|444444,4231116:4231135|offset_142|444444&amp;v=4231023:4231335&amp;c=444444", "offset 34")</f>
        <v>offset 34</v>
      </c>
    </row>
    <row r="14957" customFormat="false" ht="12.8" hidden="false" customHeight="false" outlineLevel="0" collapsed="false">
      <c r="A14957" s="0" t="s">
        <v>12</v>
      </c>
      <c r="B14957" s="0" t="n">
        <v>4231184</v>
      </c>
      <c r="C14957" s="0" t="n">
        <v>4231204</v>
      </c>
      <c r="D14957" s="0" t="s">
        <v>49834</v>
      </c>
      <c r="E14957" s="0" t="s">
        <v>89</v>
      </c>
      <c r="F14957" s="0" t="s">
        <v>90</v>
      </c>
      <c r="G14957" s="0" t="s">
        <v>26</v>
      </c>
      <c r="H14957" s="0" t="n">
        <v>73</v>
      </c>
      <c r="I14957" s="0" t="s">
        <v>49838</v>
      </c>
      <c r="J14957" s="0" t="s">
        <v>49839</v>
      </c>
      <c r="K14957" s="0" t="s">
        <v>49840</v>
      </c>
      <c r="L14957" s="0" t="str">
        <f aca="false">HYPERLINK("https://www.ncbi.nlm.nih.gov/nuccore/CP000304.1?report=graph&amp;tracks=[key:gene_model_track,Options:GeneOnly]&amp;mk=4231224:4231243|offset_34|444444,4231185:4231204|offset_73|00cc00,4231165:4231184|offset_93|444444,4231116:4231135|offset_142|444444&amp;v=4231023:4231335&amp;c=444444", "offset 73")</f>
        <v>offset 73</v>
      </c>
    </row>
    <row r="14958" customFormat="false" ht="12.8" hidden="false" customHeight="false" outlineLevel="0" collapsed="false">
      <c r="A14958" s="0" t="s">
        <v>12</v>
      </c>
      <c r="B14958" s="0" t="n">
        <v>4231164</v>
      </c>
      <c r="C14958" s="0" t="n">
        <v>4231184</v>
      </c>
      <c r="D14958" s="0" t="s">
        <v>49834</v>
      </c>
      <c r="E14958" s="0" t="s">
        <v>89</v>
      </c>
      <c r="F14958" s="0" t="s">
        <v>90</v>
      </c>
      <c r="G14958" s="0" t="s">
        <v>16</v>
      </c>
      <c r="H14958" s="0" t="n">
        <v>93</v>
      </c>
      <c r="I14958" s="0" t="s">
        <v>49841</v>
      </c>
      <c r="J14958" s="0" t="s">
        <v>49842</v>
      </c>
      <c r="K14958" s="0" t="s">
        <v>49843</v>
      </c>
      <c r="L14958" s="0" t="str">
        <f aca="false">HYPERLINK("https://www.ncbi.nlm.nih.gov/nuccore/CP000304.1?report=graph&amp;tracks=[key:gene_model_track,Options:GeneOnly]&amp;mk=4231224:4231243|offset_34|444444,4231185:4231204|offset_73|444444,4231165:4231184|offset_93|00cc00,4231116:4231135|offset_142|444444&amp;v=4231023:4231335&amp;c=444444", "offset 93")</f>
        <v>offset 93</v>
      </c>
    </row>
    <row r="14959" customFormat="false" ht="12.8" hidden="false" customHeight="false" outlineLevel="0" collapsed="false">
      <c r="A14959" s="0" t="s">
        <v>12</v>
      </c>
      <c r="B14959" s="0" t="n">
        <v>4231115</v>
      </c>
      <c r="C14959" s="0" t="n">
        <v>4231135</v>
      </c>
      <c r="D14959" s="0" t="s">
        <v>49834</v>
      </c>
      <c r="E14959" s="0" t="s">
        <v>89</v>
      </c>
      <c r="F14959" s="0" t="s">
        <v>90</v>
      </c>
      <c r="G14959" s="0" t="s">
        <v>32</v>
      </c>
      <c r="H14959" s="0" t="n">
        <v>142</v>
      </c>
      <c r="I14959" s="0" t="s">
        <v>49844</v>
      </c>
      <c r="J14959" s="0" t="s">
        <v>49845</v>
      </c>
      <c r="K14959" s="0" t="s">
        <v>49846</v>
      </c>
      <c r="L14959" s="0" t="str">
        <f aca="false">HYPERLINK("https://www.ncbi.nlm.nih.gov/nuccore/CP000304.1?report=graph&amp;tracks=[key:gene_model_track,Options:GeneOnly]&amp;mk=4231224:4231243|offset_34|444444,4231185:4231204|offset_73|444444,4231165:4231184|offset_93|444444,4231116:4231135|offset_142|00cc00&amp;v=4231023:4231335&amp;c=444444", "offset 142")</f>
        <v>offset 142</v>
      </c>
    </row>
    <row r="14960" customFormat="false" ht="12.8" hidden="false" customHeight="false" outlineLevel="0" collapsed="false">
      <c r="A14960" s="0" t="s">
        <v>12</v>
      </c>
      <c r="B14960" s="0" t="n">
        <v>4233123</v>
      </c>
      <c r="C14960" s="0" t="n">
        <v>4233143</v>
      </c>
      <c r="D14960" s="0" t="s">
        <v>49847</v>
      </c>
      <c r="E14960" s="0" t="s">
        <v>89</v>
      </c>
      <c r="F14960" s="0" t="s">
        <v>90</v>
      </c>
      <c r="G14960" s="0" t="s">
        <v>32</v>
      </c>
      <c r="H14960" s="0" t="n">
        <v>1</v>
      </c>
      <c r="I14960" s="0" t="s">
        <v>49848</v>
      </c>
      <c r="J14960" s="0" t="s">
        <v>49849</v>
      </c>
      <c r="K14960" s="0" t="s">
        <v>49850</v>
      </c>
      <c r="L14960" s="0" t="str">
        <f aca="false">HYPERLINK("https://www.ncbi.nlm.nih.gov/nuccore/CP000304.1?report=graph&amp;tracks=[key:gene_model_track,Options:GeneOnly]&amp;mk=4233124:4233143|offset_1|00cc00,4233085:4233104|offset_40|444444,4233043:4233062|offset_82|444444,4233016:4233035|offset_109|444444&amp;v=4232923:4233235&amp;c=444444", "offset 1")</f>
        <v>offset 1</v>
      </c>
    </row>
    <row r="14961" customFormat="false" ht="12.8" hidden="false" customHeight="false" outlineLevel="0" collapsed="false">
      <c r="A14961" s="0" t="s">
        <v>12</v>
      </c>
      <c r="B14961" s="0" t="n">
        <v>4233084</v>
      </c>
      <c r="C14961" s="0" t="n">
        <v>4233104</v>
      </c>
      <c r="D14961" s="0" t="s">
        <v>49847</v>
      </c>
      <c r="E14961" s="0" t="s">
        <v>89</v>
      </c>
      <c r="F14961" s="0" t="s">
        <v>90</v>
      </c>
      <c r="G14961" s="0" t="s">
        <v>26</v>
      </c>
      <c r="H14961" s="0" t="n">
        <v>40</v>
      </c>
      <c r="I14961" s="0" t="s">
        <v>49851</v>
      </c>
      <c r="J14961" s="0" t="s">
        <v>49852</v>
      </c>
      <c r="K14961" s="0" t="s">
        <v>49853</v>
      </c>
      <c r="L14961" s="0" t="str">
        <f aca="false">HYPERLINK("https://www.ncbi.nlm.nih.gov/nuccore/CP000304.1?report=graph&amp;tracks=[key:gene_model_track,Options:GeneOnly]&amp;mk=4233124:4233143|offset_1|444444,4233085:4233104|offset_40|00cc00,4233043:4233062|offset_82|444444,4233016:4233035|offset_109|444444&amp;v=4232923:4233235&amp;c=444444", "offset 40")</f>
        <v>offset 40</v>
      </c>
    </row>
    <row r="14962" customFormat="false" ht="12.8" hidden="false" customHeight="false" outlineLevel="0" collapsed="false">
      <c r="A14962" s="0" t="s">
        <v>12</v>
      </c>
      <c r="B14962" s="0" t="n">
        <v>4233042</v>
      </c>
      <c r="C14962" s="0" t="n">
        <v>4233062</v>
      </c>
      <c r="D14962" s="0" t="s">
        <v>49847</v>
      </c>
      <c r="E14962" s="0" t="s">
        <v>89</v>
      </c>
      <c r="F14962" s="0" t="s">
        <v>90</v>
      </c>
      <c r="G14962" s="0" t="s">
        <v>16</v>
      </c>
      <c r="H14962" s="0" t="n">
        <v>82</v>
      </c>
      <c r="I14962" s="0" t="s">
        <v>49854</v>
      </c>
      <c r="J14962" s="0" t="s">
        <v>49855</v>
      </c>
      <c r="K14962" s="0" t="s">
        <v>49856</v>
      </c>
      <c r="L14962" s="0" t="str">
        <f aca="false">HYPERLINK("https://www.ncbi.nlm.nih.gov/nuccore/CP000304.1?report=graph&amp;tracks=[key:gene_model_track,Options:GeneOnly]&amp;mk=4233124:4233143|offset_1|444444,4233085:4233104|offset_40|444444,4233043:4233062|offset_82|00cc00,4233016:4233035|offset_109|444444&amp;v=4232923:4233235&amp;c=444444", "offset 82")</f>
        <v>offset 82</v>
      </c>
    </row>
    <row r="14963" customFormat="false" ht="12.8" hidden="false" customHeight="false" outlineLevel="0" collapsed="false">
      <c r="A14963" s="0" t="s">
        <v>12</v>
      </c>
      <c r="B14963" s="0" t="n">
        <v>4233015</v>
      </c>
      <c r="C14963" s="0" t="n">
        <v>4233035</v>
      </c>
      <c r="D14963" s="0" t="s">
        <v>49847</v>
      </c>
      <c r="E14963" s="0" t="s">
        <v>89</v>
      </c>
      <c r="F14963" s="0" t="s">
        <v>90</v>
      </c>
      <c r="G14963" s="0" t="s">
        <v>16</v>
      </c>
      <c r="H14963" s="0" t="n">
        <v>109</v>
      </c>
      <c r="I14963" s="0" t="s">
        <v>49857</v>
      </c>
      <c r="J14963" s="0" t="s">
        <v>49858</v>
      </c>
      <c r="K14963" s="0" t="s">
        <v>49859</v>
      </c>
      <c r="L14963" s="0" t="str">
        <f aca="false">HYPERLINK("https://www.ncbi.nlm.nih.gov/nuccore/CP000304.1?report=graph&amp;tracks=[key:gene_model_track,Options:GeneOnly]&amp;mk=4233124:4233143|offset_1|444444,4233085:4233104|offset_40|444444,4233043:4233062|offset_82|444444,4233016:4233035|offset_109|00cc00&amp;v=4232923:4233235&amp;c=444444", "offset 109")</f>
        <v>offset 109</v>
      </c>
    </row>
    <row r="14964" customFormat="false" ht="12.8" hidden="false" customHeight="false" outlineLevel="0" collapsed="false">
      <c r="A14964" s="0" t="s">
        <v>12</v>
      </c>
      <c r="B14964" s="0" t="n">
        <v>4233633</v>
      </c>
      <c r="C14964" s="0" t="n">
        <v>4233653</v>
      </c>
      <c r="D14964" s="0" t="s">
        <v>49860</v>
      </c>
      <c r="E14964" s="0" t="s">
        <v>89</v>
      </c>
      <c r="F14964" s="0" t="s">
        <v>90</v>
      </c>
      <c r="G14964" s="0" t="s">
        <v>16</v>
      </c>
      <c r="H14964" s="0" t="n">
        <v>15</v>
      </c>
      <c r="I14964" s="0" t="s">
        <v>49861</v>
      </c>
      <c r="J14964" s="0" t="s">
        <v>49862</v>
      </c>
      <c r="K14964" s="0" t="s">
        <v>49863</v>
      </c>
      <c r="L14964" s="0" t="str">
        <f aca="false">HYPERLINK("https://www.ncbi.nlm.nih.gov/nuccore/CP000304.1?report=graph&amp;tracks=[key:gene_model_track,Options:GeneOnly]&amp;mk=4233634:4233653|offset_15|00cc00,4233600:4233619|offset_49|444444,4233552:4233571|offset_97|444444,4233458:4233477|offset_191|444444&amp;v=4233433:4233677&amp;c=444444", "offset 15")</f>
        <v>offset 15</v>
      </c>
    </row>
    <row r="14965" customFormat="false" ht="12.8" hidden="false" customHeight="false" outlineLevel="0" collapsed="false">
      <c r="A14965" s="0" t="s">
        <v>12</v>
      </c>
      <c r="B14965" s="0" t="n">
        <v>4233599</v>
      </c>
      <c r="C14965" s="0" t="n">
        <v>4233619</v>
      </c>
      <c r="D14965" s="0" t="s">
        <v>49860</v>
      </c>
      <c r="E14965" s="0" t="s">
        <v>89</v>
      </c>
      <c r="F14965" s="0" t="s">
        <v>90</v>
      </c>
      <c r="G14965" s="0" t="s">
        <v>16</v>
      </c>
      <c r="H14965" s="0" t="n">
        <v>49</v>
      </c>
      <c r="I14965" s="0" t="s">
        <v>49864</v>
      </c>
      <c r="J14965" s="0" t="s">
        <v>49865</v>
      </c>
      <c r="K14965" s="0" t="s">
        <v>49866</v>
      </c>
      <c r="L14965" s="0" t="str">
        <f aca="false">HYPERLINK("https://www.ncbi.nlm.nih.gov/nuccore/CP000304.1?report=graph&amp;tracks=[key:gene_model_track,Options:GeneOnly]&amp;mk=4233634:4233653|offset_15|444444,4233600:4233619|offset_49|00cc00,4233552:4233571|offset_97|444444,4233458:4233477|offset_191|444444&amp;v=4233433:4233677&amp;c=444444", "offset 49")</f>
        <v>offset 49</v>
      </c>
    </row>
    <row r="14966" customFormat="false" ht="12.8" hidden="false" customHeight="false" outlineLevel="0" collapsed="false">
      <c r="A14966" s="0" t="s">
        <v>12</v>
      </c>
      <c r="B14966" s="0" t="n">
        <v>4233551</v>
      </c>
      <c r="C14966" s="0" t="n">
        <v>4233571</v>
      </c>
      <c r="D14966" s="0" t="s">
        <v>49860</v>
      </c>
      <c r="E14966" s="0" t="s">
        <v>89</v>
      </c>
      <c r="F14966" s="0" t="s">
        <v>90</v>
      </c>
      <c r="G14966" s="0" t="s">
        <v>32</v>
      </c>
      <c r="H14966" s="0" t="n">
        <v>97</v>
      </c>
      <c r="I14966" s="0" t="s">
        <v>49867</v>
      </c>
      <c r="J14966" s="0" t="s">
        <v>49868</v>
      </c>
      <c r="K14966" s="0" t="s">
        <v>49869</v>
      </c>
      <c r="L14966" s="0" t="str">
        <f aca="false">HYPERLINK("https://www.ncbi.nlm.nih.gov/nuccore/CP000304.1?report=graph&amp;tracks=[key:gene_model_track,Options:GeneOnly]&amp;mk=4233634:4233653|offset_15|444444,4233600:4233619|offset_49|444444,4233552:4233571|offset_97|00cc00,4233458:4233477|offset_191|444444&amp;v=4233433:4233677&amp;c=444444", "offset 97")</f>
        <v>offset 97</v>
      </c>
    </row>
    <row r="14967" customFormat="false" ht="12.8" hidden="false" customHeight="false" outlineLevel="0" collapsed="false">
      <c r="A14967" s="0" t="s">
        <v>12</v>
      </c>
      <c r="B14967" s="0" t="n">
        <v>4233457</v>
      </c>
      <c r="C14967" s="0" t="n">
        <v>4233477</v>
      </c>
      <c r="D14967" s="0" t="s">
        <v>49860</v>
      </c>
      <c r="E14967" s="0" t="s">
        <v>89</v>
      </c>
      <c r="F14967" s="0" t="s">
        <v>90</v>
      </c>
      <c r="G14967" s="0" t="s">
        <v>36</v>
      </c>
      <c r="H14967" s="0" t="n">
        <v>191</v>
      </c>
      <c r="I14967" s="0" t="s">
        <v>49870</v>
      </c>
      <c r="J14967" s="0" t="s">
        <v>49871</v>
      </c>
      <c r="K14967" s="0" t="s">
        <v>49872</v>
      </c>
      <c r="L14967" s="0" t="str">
        <f aca="false">HYPERLINK("https://www.ncbi.nlm.nih.gov/nuccore/CP000304.1?report=graph&amp;tracks=[key:gene_model_track,Options:GeneOnly]&amp;mk=4233634:4233653|offset_15|444444,4233600:4233619|offset_49|444444,4233552:4233571|offset_97|444444,4233458:4233477|offset_191|00cc00&amp;v=4233433:4233677&amp;c=444444", "offset 191")</f>
        <v>offset 191</v>
      </c>
    </row>
    <row r="14968" customFormat="false" ht="12.8" hidden="false" customHeight="false" outlineLevel="0" collapsed="false">
      <c r="A14968" s="0" t="s">
        <v>12</v>
      </c>
      <c r="B14968" s="0" t="n">
        <v>4234602</v>
      </c>
      <c r="C14968" s="0" t="n">
        <v>4234622</v>
      </c>
      <c r="D14968" s="0" t="s">
        <v>49873</v>
      </c>
      <c r="E14968" s="0" t="s">
        <v>89</v>
      </c>
      <c r="F14968" s="0" t="s">
        <v>90</v>
      </c>
      <c r="G14968" s="0" t="s">
        <v>26</v>
      </c>
      <c r="H14968" s="0" t="n">
        <v>20</v>
      </c>
      <c r="I14968" s="0" t="s">
        <v>49874</v>
      </c>
      <c r="J14968" s="0" t="s">
        <v>49875</v>
      </c>
      <c r="K14968" s="0" t="s">
        <v>49876</v>
      </c>
      <c r="L14968" s="0" t="str">
        <f aca="false">HYPERLINK("https://www.ncbi.nlm.nih.gov/nuccore/CP000304.1?report=graph&amp;tracks=[key:gene_model_track,Options:GeneOnly]&amp;mk=4234603:4234622|offset_20|00cc00,4234581:4234600|offset_42|444444,4234559:4234578|offset_64|444444,4234510:4234529|offset_113|444444&amp;v=4234402:4234729&amp;c=444444", "offset 20")</f>
        <v>offset 20</v>
      </c>
    </row>
    <row r="14969" customFormat="false" ht="12.8" hidden="false" customHeight="false" outlineLevel="0" collapsed="false">
      <c r="A14969" s="0" t="s">
        <v>12</v>
      </c>
      <c r="B14969" s="0" t="n">
        <v>4234580</v>
      </c>
      <c r="C14969" s="0" t="n">
        <v>4234600</v>
      </c>
      <c r="D14969" s="0" t="s">
        <v>49873</v>
      </c>
      <c r="E14969" s="0" t="s">
        <v>89</v>
      </c>
      <c r="F14969" s="0" t="s">
        <v>90</v>
      </c>
      <c r="G14969" s="0" t="s">
        <v>16</v>
      </c>
      <c r="H14969" s="0" t="n">
        <v>42</v>
      </c>
      <c r="I14969" s="0" t="s">
        <v>49877</v>
      </c>
      <c r="J14969" s="0" t="s">
        <v>49878</v>
      </c>
      <c r="K14969" s="0" t="s">
        <v>49879</v>
      </c>
      <c r="L14969" s="0" t="str">
        <f aca="false">HYPERLINK("https://www.ncbi.nlm.nih.gov/nuccore/CP000304.1?report=graph&amp;tracks=[key:gene_model_track,Options:GeneOnly]&amp;mk=4234603:4234622|offset_20|444444,4234581:4234600|offset_42|00cc00,4234559:4234578|offset_64|444444,4234510:4234529|offset_113|444444&amp;v=4234402:4234729&amp;c=444444", "offset 42")</f>
        <v>offset 42</v>
      </c>
    </row>
    <row r="14970" customFormat="false" ht="12.8" hidden="false" customHeight="false" outlineLevel="0" collapsed="false">
      <c r="A14970" s="0" t="s">
        <v>12</v>
      </c>
      <c r="B14970" s="0" t="n">
        <v>4234558</v>
      </c>
      <c r="C14970" s="0" t="n">
        <v>4234578</v>
      </c>
      <c r="D14970" s="0" t="s">
        <v>49873</v>
      </c>
      <c r="E14970" s="0" t="s">
        <v>89</v>
      </c>
      <c r="F14970" s="0" t="s">
        <v>90</v>
      </c>
      <c r="G14970" s="0" t="s">
        <v>36</v>
      </c>
      <c r="H14970" s="0" t="n">
        <v>64</v>
      </c>
      <c r="I14970" s="0" t="s">
        <v>49880</v>
      </c>
      <c r="J14970" s="0" t="s">
        <v>49881</v>
      </c>
      <c r="K14970" s="0" t="s">
        <v>49882</v>
      </c>
      <c r="L14970" s="0" t="str">
        <f aca="false">HYPERLINK("https://www.ncbi.nlm.nih.gov/nuccore/CP000304.1?report=graph&amp;tracks=[key:gene_model_track,Options:GeneOnly]&amp;mk=4234603:4234622|offset_20|444444,4234581:4234600|offset_42|444444,4234559:4234578|offset_64|00cc00,4234510:4234529|offset_113|444444&amp;v=4234402:4234729&amp;c=444444", "offset 64")</f>
        <v>offset 64</v>
      </c>
    </row>
    <row r="14971" customFormat="false" ht="12.8" hidden="false" customHeight="false" outlineLevel="0" collapsed="false">
      <c r="A14971" s="0" t="s">
        <v>12</v>
      </c>
      <c r="B14971" s="0" t="n">
        <v>4234509</v>
      </c>
      <c r="C14971" s="0" t="n">
        <v>4234529</v>
      </c>
      <c r="D14971" s="0" t="s">
        <v>49873</v>
      </c>
      <c r="E14971" s="0" t="s">
        <v>89</v>
      </c>
      <c r="F14971" s="0" t="s">
        <v>90</v>
      </c>
      <c r="G14971" s="0" t="s">
        <v>26</v>
      </c>
      <c r="H14971" s="0" t="n">
        <v>113</v>
      </c>
      <c r="I14971" s="0" t="s">
        <v>49883</v>
      </c>
      <c r="J14971" s="0" t="s">
        <v>49884</v>
      </c>
      <c r="K14971" s="0" t="s">
        <v>49885</v>
      </c>
      <c r="L14971" s="0" t="str">
        <f aca="false">HYPERLINK("https://www.ncbi.nlm.nih.gov/nuccore/CP000304.1?report=graph&amp;tracks=[key:gene_model_track,Options:GeneOnly]&amp;mk=4234603:4234622|offset_20|444444,4234581:4234600|offset_42|444444,4234559:4234578|offset_64|444444,4234510:4234529|offset_113|00cc00&amp;v=4234402:4234729&amp;c=444444", "offset 113")</f>
        <v>offset 113</v>
      </c>
    </row>
    <row r="14972" customFormat="false" ht="12.8" hidden="false" customHeight="false" outlineLevel="0" collapsed="false">
      <c r="A14972" s="0" t="s">
        <v>12</v>
      </c>
      <c r="B14972" s="0" t="n">
        <v>4234686</v>
      </c>
      <c r="C14972" s="0" t="n">
        <v>4234706</v>
      </c>
      <c r="D14972" s="0" t="s">
        <v>49886</v>
      </c>
      <c r="E14972" s="0" t="s">
        <v>49887</v>
      </c>
      <c r="F14972" s="0" t="s">
        <v>15</v>
      </c>
      <c r="G14972" s="0" t="s">
        <v>16</v>
      </c>
      <c r="H14972" s="0" t="n">
        <v>22</v>
      </c>
      <c r="I14972" s="0" t="s">
        <v>49888</v>
      </c>
      <c r="J14972" s="0" t="s">
        <v>49889</v>
      </c>
      <c r="K14972" s="0" t="s">
        <v>49890</v>
      </c>
      <c r="L14972" s="0" t="str">
        <f aca="false">HYPERLINK("https://www.ncbi.nlm.nih.gov/nuccore/CP000304.1?report=graph&amp;tracks=[key:gene_model_track,Options:GeneOnly]&amp;mk=4234687:4234706|offset_22|00cc00,4234715:4234734|offset_50|444444,4234753:4234772|offset_88|444444,4234775:4234794|offset_110|444444&amp;v=4234486:4234994&amp;c=444444", "offset 22")</f>
        <v>offset 22</v>
      </c>
    </row>
    <row r="14973" customFormat="false" ht="12.8" hidden="false" customHeight="false" outlineLevel="0" collapsed="false">
      <c r="A14973" s="0" t="s">
        <v>12</v>
      </c>
      <c r="B14973" s="0" t="n">
        <v>4234714</v>
      </c>
      <c r="C14973" s="0" t="n">
        <v>4234734</v>
      </c>
      <c r="D14973" s="0" t="s">
        <v>49886</v>
      </c>
      <c r="E14973" s="0" t="s">
        <v>49887</v>
      </c>
      <c r="F14973" s="0" t="s">
        <v>15</v>
      </c>
      <c r="G14973" s="0" t="s">
        <v>26</v>
      </c>
      <c r="H14973" s="0" t="n">
        <v>50</v>
      </c>
      <c r="I14973" s="0" t="s">
        <v>49891</v>
      </c>
      <c r="J14973" s="0" t="s">
        <v>49892</v>
      </c>
      <c r="K14973" s="0" t="s">
        <v>49893</v>
      </c>
      <c r="L14973" s="0" t="str">
        <f aca="false">HYPERLINK("https://www.ncbi.nlm.nih.gov/nuccore/CP000304.1?report=graph&amp;tracks=[key:gene_model_track,Options:GeneOnly]&amp;mk=4234687:4234706|offset_22|444444,4234715:4234734|offset_50|00cc00,4234753:4234772|offset_88|444444,4234775:4234794|offset_110|444444&amp;v=4234486:4234994&amp;c=444444", "offset 50")</f>
        <v>offset 50</v>
      </c>
    </row>
    <row r="14974" customFormat="false" ht="12.8" hidden="false" customHeight="false" outlineLevel="0" collapsed="false">
      <c r="A14974" s="0" t="s">
        <v>12</v>
      </c>
      <c r="B14974" s="0" t="n">
        <v>4234752</v>
      </c>
      <c r="C14974" s="0" t="n">
        <v>4234772</v>
      </c>
      <c r="D14974" s="0" t="s">
        <v>49886</v>
      </c>
      <c r="E14974" s="0" t="s">
        <v>49887</v>
      </c>
      <c r="F14974" s="0" t="s">
        <v>15</v>
      </c>
      <c r="G14974" s="0" t="s">
        <v>16</v>
      </c>
      <c r="H14974" s="0" t="n">
        <v>88</v>
      </c>
      <c r="I14974" s="0" t="s">
        <v>49894</v>
      </c>
      <c r="J14974" s="0" t="s">
        <v>49895</v>
      </c>
      <c r="K14974" s="0" t="s">
        <v>49896</v>
      </c>
      <c r="L14974" s="0" t="str">
        <f aca="false">HYPERLINK("https://www.ncbi.nlm.nih.gov/nuccore/CP000304.1?report=graph&amp;tracks=[key:gene_model_track,Options:GeneOnly]&amp;mk=4234687:4234706|offset_22|444444,4234715:4234734|offset_50|444444,4234753:4234772|offset_88|00cc00,4234775:4234794|offset_110|444444&amp;v=4234486:4234994&amp;c=444444", "offset 88")</f>
        <v>offset 88</v>
      </c>
    </row>
    <row r="14975" customFormat="false" ht="12.8" hidden="false" customHeight="false" outlineLevel="0" collapsed="false">
      <c r="A14975" s="0" t="s">
        <v>12</v>
      </c>
      <c r="B14975" s="0" t="n">
        <v>4234774</v>
      </c>
      <c r="C14975" s="0" t="n">
        <v>4234794</v>
      </c>
      <c r="D14975" s="0" t="s">
        <v>49886</v>
      </c>
      <c r="E14975" s="0" t="s">
        <v>49887</v>
      </c>
      <c r="F14975" s="0" t="s">
        <v>15</v>
      </c>
      <c r="G14975" s="0" t="s">
        <v>16</v>
      </c>
      <c r="H14975" s="0" t="n">
        <v>110</v>
      </c>
      <c r="I14975" s="0" t="s">
        <v>49897</v>
      </c>
      <c r="J14975" s="0" t="s">
        <v>49898</v>
      </c>
      <c r="K14975" s="0" t="s">
        <v>49899</v>
      </c>
      <c r="L14975" s="0" t="str">
        <f aca="false">HYPERLINK("https://www.ncbi.nlm.nih.gov/nuccore/CP000304.1?report=graph&amp;tracks=[key:gene_model_track,Options:GeneOnly]&amp;mk=4234687:4234706|offset_22|444444,4234715:4234734|offset_50|444444,4234753:4234772|offset_88|444444,4234775:4234794|offset_110|00cc00&amp;v=4234486:4234994&amp;c=444444", "offset 110")</f>
        <v>offset 110</v>
      </c>
    </row>
    <row r="14976" customFormat="false" ht="12.8" hidden="false" customHeight="false" outlineLevel="0" collapsed="false">
      <c r="A14976" s="0" t="s">
        <v>12</v>
      </c>
      <c r="B14976" s="0" t="n">
        <v>4236267</v>
      </c>
      <c r="C14976" s="0" t="n">
        <v>4236287</v>
      </c>
      <c r="D14976" s="0" t="s">
        <v>49900</v>
      </c>
      <c r="E14976" s="0" t="s">
        <v>89</v>
      </c>
      <c r="F14976" s="0" t="s">
        <v>15</v>
      </c>
      <c r="G14976" s="0" t="s">
        <v>16</v>
      </c>
      <c r="H14976" s="0" t="n">
        <v>10</v>
      </c>
      <c r="I14976" s="0" t="s">
        <v>49901</v>
      </c>
      <c r="J14976" s="0" t="s">
        <v>49902</v>
      </c>
      <c r="K14976" s="0" t="s">
        <v>49903</v>
      </c>
      <c r="L14976" s="0" t="str">
        <f aca="false">HYPERLINK("https://www.ncbi.nlm.nih.gov/nuccore/CP000304.1?report=graph&amp;tracks=[key:gene_model_track,Options:GeneOnly]&amp;mk=4236268:4236287|offset_10|00cc00,4236304:4236323|offset_46|444444,4236324:4236343|offset_66|444444,4236345:4236364|offset_87|444444&amp;v=4236067:4236564&amp;c=444444", "offset 10")</f>
        <v>offset 10</v>
      </c>
    </row>
    <row r="14977" customFormat="false" ht="12.8" hidden="false" customHeight="false" outlineLevel="0" collapsed="false">
      <c r="A14977" s="0" t="s">
        <v>12</v>
      </c>
      <c r="B14977" s="0" t="n">
        <v>4236303</v>
      </c>
      <c r="C14977" s="0" t="n">
        <v>4236323</v>
      </c>
      <c r="D14977" s="0" t="s">
        <v>49900</v>
      </c>
      <c r="E14977" s="0" t="s">
        <v>89</v>
      </c>
      <c r="F14977" s="0" t="s">
        <v>15</v>
      </c>
      <c r="G14977" s="0" t="s">
        <v>36</v>
      </c>
      <c r="H14977" s="0" t="n">
        <v>46</v>
      </c>
      <c r="I14977" s="0" t="s">
        <v>49904</v>
      </c>
      <c r="J14977" s="0" t="s">
        <v>49905</v>
      </c>
      <c r="K14977" s="0" t="s">
        <v>49906</v>
      </c>
      <c r="L14977" s="0" t="str">
        <f aca="false">HYPERLINK("https://www.ncbi.nlm.nih.gov/nuccore/CP000304.1?report=graph&amp;tracks=[key:gene_model_track,Options:GeneOnly]&amp;mk=4236268:4236287|offset_10|444444,4236304:4236323|offset_46|00cc00,4236324:4236343|offset_66|444444,4236345:4236364|offset_87|444444&amp;v=4236067:4236564&amp;c=444444", "offset 46")</f>
        <v>offset 46</v>
      </c>
    </row>
    <row r="14978" customFormat="false" ht="12.8" hidden="false" customHeight="false" outlineLevel="0" collapsed="false">
      <c r="A14978" s="0" t="s">
        <v>12</v>
      </c>
      <c r="B14978" s="0" t="n">
        <v>4236323</v>
      </c>
      <c r="C14978" s="0" t="n">
        <v>4236343</v>
      </c>
      <c r="D14978" s="0" t="s">
        <v>49900</v>
      </c>
      <c r="E14978" s="0" t="s">
        <v>89</v>
      </c>
      <c r="F14978" s="0" t="s">
        <v>15</v>
      </c>
      <c r="G14978" s="0" t="s">
        <v>16</v>
      </c>
      <c r="H14978" s="0" t="n">
        <v>66</v>
      </c>
      <c r="I14978" s="0" t="s">
        <v>49907</v>
      </c>
      <c r="J14978" s="0" t="s">
        <v>49908</v>
      </c>
      <c r="K14978" s="0" t="s">
        <v>49909</v>
      </c>
      <c r="L14978" s="0" t="str">
        <f aca="false">HYPERLINK("https://www.ncbi.nlm.nih.gov/nuccore/CP000304.1?report=graph&amp;tracks=[key:gene_model_track,Options:GeneOnly]&amp;mk=4236268:4236287|offset_10|444444,4236304:4236323|offset_46|444444,4236324:4236343|offset_66|00cc00,4236345:4236364|offset_87|444444&amp;v=4236067:4236564&amp;c=444444", "offset 66")</f>
        <v>offset 66</v>
      </c>
    </row>
    <row r="14979" customFormat="false" ht="12.8" hidden="false" customHeight="false" outlineLevel="0" collapsed="false">
      <c r="A14979" s="0" t="s">
        <v>12</v>
      </c>
      <c r="B14979" s="0" t="n">
        <v>4236344</v>
      </c>
      <c r="C14979" s="0" t="n">
        <v>4236364</v>
      </c>
      <c r="D14979" s="0" t="s">
        <v>49900</v>
      </c>
      <c r="E14979" s="0" t="s">
        <v>89</v>
      </c>
      <c r="F14979" s="0" t="s">
        <v>15</v>
      </c>
      <c r="G14979" s="0" t="s">
        <v>36</v>
      </c>
      <c r="H14979" s="0" t="n">
        <v>87</v>
      </c>
      <c r="I14979" s="0" t="s">
        <v>49910</v>
      </c>
      <c r="J14979" s="0" t="s">
        <v>49911</v>
      </c>
      <c r="K14979" s="0" t="s">
        <v>49912</v>
      </c>
      <c r="L14979" s="0" t="str">
        <f aca="false">HYPERLINK("https://www.ncbi.nlm.nih.gov/nuccore/CP000304.1?report=graph&amp;tracks=[key:gene_model_track,Options:GeneOnly]&amp;mk=4236268:4236287|offset_10|444444,4236304:4236323|offset_46|444444,4236324:4236343|offset_66|444444,4236345:4236364|offset_87|00cc00&amp;v=4236067:4236564&amp;c=444444", "offset 87")</f>
        <v>offset 87</v>
      </c>
    </row>
    <row r="14980" customFormat="false" ht="12.8" hidden="false" customHeight="false" outlineLevel="0" collapsed="false">
      <c r="A14980" s="0" t="s">
        <v>12</v>
      </c>
      <c r="B14980" s="0" t="n">
        <v>4239190</v>
      </c>
      <c r="C14980" s="0" t="n">
        <v>4239210</v>
      </c>
      <c r="D14980" s="0" t="s">
        <v>49913</v>
      </c>
      <c r="E14980" s="0" t="s">
        <v>89</v>
      </c>
      <c r="F14980" s="0" t="s">
        <v>90</v>
      </c>
      <c r="G14980" s="0" t="s">
        <v>16</v>
      </c>
      <c r="H14980" s="0" t="n">
        <v>31</v>
      </c>
      <c r="I14980" s="0" t="s">
        <v>49914</v>
      </c>
      <c r="J14980" s="0" t="s">
        <v>49915</v>
      </c>
      <c r="K14980" s="0" t="s">
        <v>49916</v>
      </c>
      <c r="L14980" s="0" t="str">
        <f aca="false">HYPERLINK("https://www.ncbi.nlm.nih.gov/nuccore/CP000304.1?report=graph&amp;tracks=[key:gene_model_track,Options:GeneOnly]&amp;mk=4239191:4239210|offset_31|00cc00,4239170:4239189|offset_52|444444,4239136:4239155|offset_86|444444,4239116:4239135|offset_106|444444&amp;v=4238990:4239335&amp;c=444444", "offset 31")</f>
        <v>offset 31</v>
      </c>
    </row>
    <row r="14981" customFormat="false" ht="12.8" hidden="false" customHeight="false" outlineLevel="0" collapsed="false">
      <c r="A14981" s="0" t="s">
        <v>12</v>
      </c>
      <c r="B14981" s="0" t="n">
        <v>4239169</v>
      </c>
      <c r="C14981" s="0" t="n">
        <v>4239189</v>
      </c>
      <c r="D14981" s="0" t="s">
        <v>49913</v>
      </c>
      <c r="E14981" s="0" t="s">
        <v>89</v>
      </c>
      <c r="F14981" s="0" t="s">
        <v>90</v>
      </c>
      <c r="G14981" s="0" t="s">
        <v>16</v>
      </c>
      <c r="H14981" s="0" t="n">
        <v>52</v>
      </c>
      <c r="I14981" s="0" t="s">
        <v>49917</v>
      </c>
      <c r="J14981" s="0" t="s">
        <v>49918</v>
      </c>
      <c r="K14981" s="0" t="s">
        <v>49919</v>
      </c>
      <c r="L14981" s="0" t="str">
        <f aca="false">HYPERLINK("https://www.ncbi.nlm.nih.gov/nuccore/CP000304.1?report=graph&amp;tracks=[key:gene_model_track,Options:GeneOnly]&amp;mk=4239191:4239210|offset_31|444444,4239170:4239189|offset_52|00cc00,4239136:4239155|offset_86|444444,4239116:4239135|offset_106|444444&amp;v=4238990:4239335&amp;c=444444", "offset 52")</f>
        <v>offset 52</v>
      </c>
    </row>
    <row r="14982" customFormat="false" ht="12.8" hidden="false" customHeight="false" outlineLevel="0" collapsed="false">
      <c r="A14982" s="0" t="s">
        <v>12</v>
      </c>
      <c r="B14982" s="0" t="n">
        <v>4239135</v>
      </c>
      <c r="C14982" s="0" t="n">
        <v>4239155</v>
      </c>
      <c r="D14982" s="0" t="s">
        <v>49913</v>
      </c>
      <c r="E14982" s="0" t="s">
        <v>89</v>
      </c>
      <c r="F14982" s="0" t="s">
        <v>90</v>
      </c>
      <c r="G14982" s="0" t="s">
        <v>26</v>
      </c>
      <c r="H14982" s="0" t="n">
        <v>86</v>
      </c>
      <c r="I14982" s="0" t="s">
        <v>49920</v>
      </c>
      <c r="J14982" s="0" t="s">
        <v>49921</v>
      </c>
      <c r="K14982" s="0" t="s">
        <v>49922</v>
      </c>
      <c r="L14982" s="0" t="str">
        <f aca="false">HYPERLINK("https://www.ncbi.nlm.nih.gov/nuccore/CP000304.1?report=graph&amp;tracks=[key:gene_model_track,Options:GeneOnly]&amp;mk=4239191:4239210|offset_31|444444,4239170:4239189|offset_52|444444,4239136:4239155|offset_86|00cc00,4239116:4239135|offset_106|444444&amp;v=4238990:4239335&amp;c=444444", "offset 86")</f>
        <v>offset 86</v>
      </c>
    </row>
    <row r="14983" customFormat="false" ht="12.8" hidden="false" customHeight="false" outlineLevel="0" collapsed="false">
      <c r="A14983" s="0" t="s">
        <v>12</v>
      </c>
      <c r="B14983" s="0" t="n">
        <v>4239115</v>
      </c>
      <c r="C14983" s="0" t="n">
        <v>4239135</v>
      </c>
      <c r="D14983" s="0" t="s">
        <v>49913</v>
      </c>
      <c r="E14983" s="0" t="s">
        <v>89</v>
      </c>
      <c r="F14983" s="0" t="s">
        <v>90</v>
      </c>
      <c r="G14983" s="0" t="s">
        <v>16</v>
      </c>
      <c r="H14983" s="0" t="n">
        <v>106</v>
      </c>
      <c r="I14983" s="0" t="s">
        <v>49923</v>
      </c>
      <c r="J14983" s="0" t="s">
        <v>49924</v>
      </c>
      <c r="K14983" s="0" t="s">
        <v>49925</v>
      </c>
      <c r="L14983" s="0" t="str">
        <f aca="false">HYPERLINK("https://www.ncbi.nlm.nih.gov/nuccore/CP000304.1?report=graph&amp;tracks=[key:gene_model_track,Options:GeneOnly]&amp;mk=4239191:4239210|offset_31|444444,4239170:4239189|offset_52|444444,4239136:4239155|offset_86|444444,4239116:4239135|offset_106|00cc00&amp;v=4238990:4239335&amp;c=444444", "offset 106")</f>
        <v>offset 106</v>
      </c>
    </row>
    <row r="14984" customFormat="false" ht="12.8" hidden="false" customHeight="false" outlineLevel="0" collapsed="false">
      <c r="A14984" s="0" t="s">
        <v>12</v>
      </c>
      <c r="B14984" s="0" t="n">
        <v>4239445</v>
      </c>
      <c r="C14984" s="0" t="n">
        <v>4239465</v>
      </c>
      <c r="D14984" s="0" t="s">
        <v>49926</v>
      </c>
      <c r="E14984" s="0" t="s">
        <v>89</v>
      </c>
      <c r="F14984" s="0" t="s">
        <v>15</v>
      </c>
      <c r="G14984" s="0" t="s">
        <v>16</v>
      </c>
      <c r="H14984" s="0" t="n">
        <v>31</v>
      </c>
      <c r="I14984" s="0" t="s">
        <v>49927</v>
      </c>
      <c r="J14984" s="0" t="s">
        <v>49928</v>
      </c>
      <c r="K14984" s="0" t="s">
        <v>49929</v>
      </c>
      <c r="L14984" s="0" t="str">
        <f aca="false">HYPERLINK("https://www.ncbi.nlm.nih.gov/nuccore/CP000304.1?report=graph&amp;tracks=[key:gene_model_track,Options:GeneOnly]&amp;mk=4239446:4239465|offset_31|00cc00,4239476:4239495|offset_61|444444,4239513:4239532|offset_98|444444,4239540:4239559|offset_125|444444&amp;v=4239245:4239759&amp;c=444444", "offset 31")</f>
        <v>offset 31</v>
      </c>
    </row>
    <row r="14985" customFormat="false" ht="12.8" hidden="false" customHeight="false" outlineLevel="0" collapsed="false">
      <c r="A14985" s="0" t="s">
        <v>12</v>
      </c>
      <c r="B14985" s="0" t="n">
        <v>4239475</v>
      </c>
      <c r="C14985" s="0" t="n">
        <v>4239495</v>
      </c>
      <c r="D14985" s="0" t="s">
        <v>49926</v>
      </c>
      <c r="E14985" s="0" t="s">
        <v>89</v>
      </c>
      <c r="F14985" s="0" t="s">
        <v>15</v>
      </c>
      <c r="G14985" s="0" t="s">
        <v>16</v>
      </c>
      <c r="H14985" s="0" t="n">
        <v>61</v>
      </c>
      <c r="I14985" s="0" t="s">
        <v>49930</v>
      </c>
      <c r="J14985" s="0" t="s">
        <v>49931</v>
      </c>
      <c r="K14985" s="0" t="s">
        <v>49932</v>
      </c>
      <c r="L14985" s="0" t="str">
        <f aca="false">HYPERLINK("https://www.ncbi.nlm.nih.gov/nuccore/CP000304.1?report=graph&amp;tracks=[key:gene_model_track,Options:GeneOnly]&amp;mk=4239446:4239465|offset_31|444444,4239476:4239495|offset_61|00cc00,4239513:4239532|offset_98|444444,4239540:4239559|offset_125|444444&amp;v=4239245:4239759&amp;c=444444", "offset 61")</f>
        <v>offset 61</v>
      </c>
    </row>
    <row r="14986" customFormat="false" ht="12.8" hidden="false" customHeight="false" outlineLevel="0" collapsed="false">
      <c r="A14986" s="0" t="s">
        <v>12</v>
      </c>
      <c r="B14986" s="0" t="n">
        <v>4239512</v>
      </c>
      <c r="C14986" s="0" t="n">
        <v>4239532</v>
      </c>
      <c r="D14986" s="0" t="s">
        <v>49926</v>
      </c>
      <c r="E14986" s="0" t="s">
        <v>89</v>
      </c>
      <c r="F14986" s="0" t="s">
        <v>15</v>
      </c>
      <c r="G14986" s="0" t="s">
        <v>32</v>
      </c>
      <c r="H14986" s="0" t="n">
        <v>98</v>
      </c>
      <c r="I14986" s="0" t="s">
        <v>49933</v>
      </c>
      <c r="J14986" s="0" t="s">
        <v>49934</v>
      </c>
      <c r="K14986" s="0" t="s">
        <v>49935</v>
      </c>
      <c r="L14986" s="0" t="str">
        <f aca="false">HYPERLINK("https://www.ncbi.nlm.nih.gov/nuccore/CP000304.1?report=graph&amp;tracks=[key:gene_model_track,Options:GeneOnly]&amp;mk=4239446:4239465|offset_31|444444,4239476:4239495|offset_61|444444,4239513:4239532|offset_98|00cc00,4239540:4239559|offset_125|444444&amp;v=4239245:4239759&amp;c=444444", "offset 98")</f>
        <v>offset 98</v>
      </c>
    </row>
    <row r="14987" customFormat="false" ht="12.8" hidden="false" customHeight="false" outlineLevel="0" collapsed="false">
      <c r="A14987" s="0" t="s">
        <v>12</v>
      </c>
      <c r="B14987" s="0" t="n">
        <v>4239539</v>
      </c>
      <c r="C14987" s="0" t="n">
        <v>4239559</v>
      </c>
      <c r="D14987" s="0" t="s">
        <v>49926</v>
      </c>
      <c r="E14987" s="0" t="s">
        <v>89</v>
      </c>
      <c r="F14987" s="0" t="s">
        <v>15</v>
      </c>
      <c r="G14987" s="0" t="s">
        <v>26</v>
      </c>
      <c r="H14987" s="0" t="n">
        <v>125</v>
      </c>
      <c r="I14987" s="0" t="s">
        <v>49936</v>
      </c>
      <c r="J14987" s="0" t="s">
        <v>49937</v>
      </c>
      <c r="K14987" s="0" t="s">
        <v>49938</v>
      </c>
      <c r="L14987" s="0" t="str">
        <f aca="false">HYPERLINK("https://www.ncbi.nlm.nih.gov/nuccore/CP000304.1?report=graph&amp;tracks=[key:gene_model_track,Options:GeneOnly]&amp;mk=4239446:4239465|offset_31|444444,4239476:4239495|offset_61|444444,4239513:4239532|offset_98|444444,4239540:4239559|offset_125|00cc00&amp;v=4239245:4239759&amp;c=444444", "offset 125")</f>
        <v>offset 125</v>
      </c>
    </row>
    <row r="14988" customFormat="false" ht="12.8" hidden="false" customHeight="false" outlineLevel="0" collapsed="false">
      <c r="A14988" s="0" t="s">
        <v>12</v>
      </c>
      <c r="B14988" s="0" t="n">
        <v>4240739</v>
      </c>
      <c r="C14988" s="0" t="n">
        <v>4240759</v>
      </c>
      <c r="D14988" s="0" t="s">
        <v>49939</v>
      </c>
      <c r="E14988" s="0" t="s">
        <v>89</v>
      </c>
      <c r="F14988" s="0" t="s">
        <v>90</v>
      </c>
      <c r="G14988" s="0" t="s">
        <v>36</v>
      </c>
      <c r="H14988" s="0" t="n">
        <v>40</v>
      </c>
      <c r="I14988" s="0" t="s">
        <v>49940</v>
      </c>
      <c r="J14988" s="0" t="s">
        <v>49941</v>
      </c>
      <c r="K14988" s="0" t="s">
        <v>49942</v>
      </c>
      <c r="L14988" s="0" t="str">
        <f aca="false">HYPERLINK("https://www.ncbi.nlm.nih.gov/nuccore/CP000304.1?report=graph&amp;tracks=[key:gene_model_track,Options:GeneOnly]&amp;mk=4240740:4240759|offset_40|00cc00,4240717:4240736|offset_63|444444,4240682:4240701|offset_98|444444,4240656:4240675|offset_124|444444&amp;v=4240539:4240875&amp;c=444444", "offset 40")</f>
        <v>offset 40</v>
      </c>
    </row>
    <row r="14989" customFormat="false" ht="12.8" hidden="false" customHeight="false" outlineLevel="0" collapsed="false">
      <c r="A14989" s="0" t="s">
        <v>12</v>
      </c>
      <c r="B14989" s="0" t="n">
        <v>4240716</v>
      </c>
      <c r="C14989" s="0" t="n">
        <v>4240736</v>
      </c>
      <c r="D14989" s="0" t="s">
        <v>49939</v>
      </c>
      <c r="E14989" s="0" t="s">
        <v>89</v>
      </c>
      <c r="F14989" s="0" t="s">
        <v>90</v>
      </c>
      <c r="G14989" s="0" t="s">
        <v>16</v>
      </c>
      <c r="H14989" s="0" t="n">
        <v>63</v>
      </c>
      <c r="I14989" s="0" t="s">
        <v>49943</v>
      </c>
      <c r="J14989" s="0" t="s">
        <v>49944</v>
      </c>
      <c r="K14989" s="0" t="s">
        <v>49945</v>
      </c>
      <c r="L14989" s="0" t="str">
        <f aca="false">HYPERLINK("https://www.ncbi.nlm.nih.gov/nuccore/CP000304.1?report=graph&amp;tracks=[key:gene_model_track,Options:GeneOnly]&amp;mk=4240740:4240759|offset_40|444444,4240717:4240736|offset_63|00cc00,4240682:4240701|offset_98|444444,4240656:4240675|offset_124|444444&amp;v=4240539:4240875&amp;c=444444", "offset 63")</f>
        <v>offset 63</v>
      </c>
    </row>
    <row r="14990" customFormat="false" ht="12.8" hidden="false" customHeight="false" outlineLevel="0" collapsed="false">
      <c r="A14990" s="0" t="s">
        <v>12</v>
      </c>
      <c r="B14990" s="0" t="n">
        <v>4240681</v>
      </c>
      <c r="C14990" s="0" t="n">
        <v>4240701</v>
      </c>
      <c r="D14990" s="0" t="s">
        <v>49939</v>
      </c>
      <c r="E14990" s="0" t="s">
        <v>89</v>
      </c>
      <c r="F14990" s="0" t="s">
        <v>90</v>
      </c>
      <c r="G14990" s="0" t="s">
        <v>16</v>
      </c>
      <c r="H14990" s="0" t="n">
        <v>98</v>
      </c>
      <c r="I14990" s="0" t="s">
        <v>49946</v>
      </c>
      <c r="J14990" s="0" t="s">
        <v>49947</v>
      </c>
      <c r="K14990" s="0" t="s">
        <v>49948</v>
      </c>
      <c r="L14990" s="0" t="str">
        <f aca="false">HYPERLINK("https://www.ncbi.nlm.nih.gov/nuccore/CP000304.1?report=graph&amp;tracks=[key:gene_model_track,Options:GeneOnly]&amp;mk=4240740:4240759|offset_40|444444,4240717:4240736|offset_63|444444,4240682:4240701|offset_98|00cc00,4240656:4240675|offset_124|444444&amp;v=4240539:4240875&amp;c=444444", "offset 98")</f>
        <v>offset 98</v>
      </c>
    </row>
    <row r="14991" customFormat="false" ht="12.8" hidden="false" customHeight="false" outlineLevel="0" collapsed="false">
      <c r="A14991" s="0" t="s">
        <v>12</v>
      </c>
      <c r="B14991" s="0" t="n">
        <v>4240655</v>
      </c>
      <c r="C14991" s="0" t="n">
        <v>4240675</v>
      </c>
      <c r="D14991" s="0" t="s">
        <v>49939</v>
      </c>
      <c r="E14991" s="0" t="s">
        <v>89</v>
      </c>
      <c r="F14991" s="0" t="s">
        <v>90</v>
      </c>
      <c r="G14991" s="0" t="s">
        <v>16</v>
      </c>
      <c r="H14991" s="0" t="n">
        <v>124</v>
      </c>
      <c r="I14991" s="0" t="s">
        <v>49949</v>
      </c>
      <c r="J14991" s="0" t="s">
        <v>49950</v>
      </c>
      <c r="K14991" s="0" t="s">
        <v>49951</v>
      </c>
      <c r="L14991" s="0" t="str">
        <f aca="false">HYPERLINK("https://www.ncbi.nlm.nih.gov/nuccore/CP000304.1?report=graph&amp;tracks=[key:gene_model_track,Options:GeneOnly]&amp;mk=4240740:4240759|offset_40|444444,4240717:4240736|offset_63|444444,4240682:4240701|offset_98|444444,4240656:4240675|offset_124|00cc00&amp;v=4240539:4240875&amp;c=444444", "offset 124")</f>
        <v>offset 124</v>
      </c>
    </row>
    <row r="14992" customFormat="false" ht="12.8" hidden="false" customHeight="false" outlineLevel="0" collapsed="false">
      <c r="A14992" s="0" t="s">
        <v>12</v>
      </c>
      <c r="B14992" s="0" t="n">
        <v>4241164</v>
      </c>
      <c r="C14992" s="0" t="n">
        <v>4241184</v>
      </c>
      <c r="D14992" s="0" t="s">
        <v>49952</v>
      </c>
      <c r="E14992" s="0" t="s">
        <v>89</v>
      </c>
      <c r="F14992" s="0" t="s">
        <v>90</v>
      </c>
      <c r="G14992" s="0" t="s">
        <v>32</v>
      </c>
      <c r="H14992" s="0" t="n">
        <v>1</v>
      </c>
      <c r="I14992" s="0" t="s">
        <v>49953</v>
      </c>
      <c r="J14992" s="0" t="s">
        <v>49954</v>
      </c>
      <c r="K14992" s="0" t="s">
        <v>49955</v>
      </c>
      <c r="L14992" s="0" t="str">
        <f aca="false">HYPERLINK("https://www.ncbi.nlm.nih.gov/nuccore/CP000304.1?report=graph&amp;tracks=[key:gene_model_track,Options:GeneOnly]&amp;mk=4241165:4241184|offset_1|00cc00,4241142:4241161|offset_24|444444,4241107:4241126|offset_59|444444,4241082:4241101|offset_84|444444&amp;v=4240964:4241301&amp;c=444444", "offset 1")</f>
        <v>offset 1</v>
      </c>
    </row>
    <row r="14993" customFormat="false" ht="12.8" hidden="false" customHeight="false" outlineLevel="0" collapsed="false">
      <c r="A14993" s="0" t="s">
        <v>12</v>
      </c>
      <c r="B14993" s="0" t="n">
        <v>4241141</v>
      </c>
      <c r="C14993" s="0" t="n">
        <v>4241161</v>
      </c>
      <c r="D14993" s="0" t="s">
        <v>49952</v>
      </c>
      <c r="E14993" s="0" t="s">
        <v>89</v>
      </c>
      <c r="F14993" s="0" t="s">
        <v>90</v>
      </c>
      <c r="G14993" s="0" t="s">
        <v>36</v>
      </c>
      <c r="H14993" s="0" t="n">
        <v>24</v>
      </c>
      <c r="I14993" s="0" t="s">
        <v>49956</v>
      </c>
      <c r="J14993" s="0" t="s">
        <v>49957</v>
      </c>
      <c r="K14993" s="0" t="s">
        <v>49958</v>
      </c>
      <c r="L14993" s="0" t="str">
        <f aca="false">HYPERLINK("https://www.ncbi.nlm.nih.gov/nuccore/CP000304.1?report=graph&amp;tracks=[key:gene_model_track,Options:GeneOnly]&amp;mk=4241165:4241184|offset_1|444444,4241142:4241161|offset_24|00cc00,4241107:4241126|offset_59|444444,4241082:4241101|offset_84|444444&amp;v=4240964:4241301&amp;c=444444", "offset 24")</f>
        <v>offset 24</v>
      </c>
    </row>
    <row r="14994" customFormat="false" ht="12.8" hidden="false" customHeight="false" outlineLevel="0" collapsed="false">
      <c r="A14994" s="0" t="s">
        <v>12</v>
      </c>
      <c r="B14994" s="0" t="n">
        <v>4241106</v>
      </c>
      <c r="C14994" s="0" t="n">
        <v>4241126</v>
      </c>
      <c r="D14994" s="0" t="s">
        <v>49952</v>
      </c>
      <c r="E14994" s="0" t="s">
        <v>89</v>
      </c>
      <c r="F14994" s="0" t="s">
        <v>90</v>
      </c>
      <c r="G14994" s="0" t="s">
        <v>36</v>
      </c>
      <c r="H14994" s="0" t="n">
        <v>59</v>
      </c>
      <c r="I14994" s="0" t="s">
        <v>49959</v>
      </c>
      <c r="J14994" s="0" t="s">
        <v>49960</v>
      </c>
      <c r="K14994" s="0" t="s">
        <v>49961</v>
      </c>
      <c r="L14994" s="0" t="str">
        <f aca="false">HYPERLINK("https://www.ncbi.nlm.nih.gov/nuccore/CP000304.1?report=graph&amp;tracks=[key:gene_model_track,Options:GeneOnly]&amp;mk=4241165:4241184|offset_1|444444,4241142:4241161|offset_24|444444,4241107:4241126|offset_59|00cc00,4241082:4241101|offset_84|444444&amp;v=4240964:4241301&amp;c=444444", "offset 59")</f>
        <v>offset 59</v>
      </c>
    </row>
    <row r="14995" customFormat="false" ht="12.8" hidden="false" customHeight="false" outlineLevel="0" collapsed="false">
      <c r="A14995" s="0" t="s">
        <v>12</v>
      </c>
      <c r="B14995" s="0" t="n">
        <v>4241081</v>
      </c>
      <c r="C14995" s="0" t="n">
        <v>4241101</v>
      </c>
      <c r="D14995" s="0" t="s">
        <v>49952</v>
      </c>
      <c r="E14995" s="0" t="s">
        <v>89</v>
      </c>
      <c r="F14995" s="0" t="s">
        <v>90</v>
      </c>
      <c r="G14995" s="0" t="s">
        <v>16</v>
      </c>
      <c r="H14995" s="0" t="n">
        <v>84</v>
      </c>
      <c r="I14995" s="0" t="s">
        <v>49962</v>
      </c>
      <c r="J14995" s="0" t="s">
        <v>49963</v>
      </c>
      <c r="K14995" s="0" t="s">
        <v>49964</v>
      </c>
      <c r="L14995" s="0" t="str">
        <f aca="false">HYPERLINK("https://www.ncbi.nlm.nih.gov/nuccore/CP000304.1?report=graph&amp;tracks=[key:gene_model_track,Options:GeneOnly]&amp;mk=4241165:4241184|offset_1|444444,4241142:4241161|offset_24|444444,4241107:4241126|offset_59|444444,4241082:4241101|offset_84|00cc00&amp;v=4240964:4241301&amp;c=444444", "offset 84")</f>
        <v>offset 84</v>
      </c>
    </row>
    <row r="14996" customFormat="false" ht="12.8" hidden="false" customHeight="false" outlineLevel="0" collapsed="false">
      <c r="A14996" s="0" t="s">
        <v>12</v>
      </c>
      <c r="B14996" s="0" t="n">
        <v>4243505</v>
      </c>
      <c r="C14996" s="0" t="n">
        <v>4243525</v>
      </c>
      <c r="D14996" s="0" t="s">
        <v>49965</v>
      </c>
      <c r="E14996" s="0" t="s">
        <v>89</v>
      </c>
      <c r="F14996" s="0" t="s">
        <v>90</v>
      </c>
      <c r="G14996" s="0" t="s">
        <v>26</v>
      </c>
      <c r="H14996" s="0" t="n">
        <v>47</v>
      </c>
      <c r="I14996" s="0" t="s">
        <v>49966</v>
      </c>
      <c r="J14996" s="0" t="s">
        <v>49967</v>
      </c>
      <c r="K14996" s="0" t="s">
        <v>49968</v>
      </c>
      <c r="L14996" s="0" t="str">
        <f aca="false">HYPERLINK("https://www.ncbi.nlm.nih.gov/nuccore/CP000304.1?report=graph&amp;tracks=[key:gene_model_track,Options:GeneOnly]&amp;mk=4243506:4243525|offset_47|00cc00,4243462:4243481|offset_91|444444,4243440:4243459|offset_113|444444,4243405:4243424|offset_148|444444&amp;v=4243305:4243624&amp;c=444444", "offset 47")</f>
        <v>offset 47</v>
      </c>
    </row>
    <row r="14997" customFormat="false" ht="12.8" hidden="false" customHeight="false" outlineLevel="0" collapsed="false">
      <c r="A14997" s="0" t="s">
        <v>12</v>
      </c>
      <c r="B14997" s="0" t="n">
        <v>4243461</v>
      </c>
      <c r="C14997" s="0" t="n">
        <v>4243481</v>
      </c>
      <c r="D14997" s="0" t="s">
        <v>49965</v>
      </c>
      <c r="E14997" s="0" t="s">
        <v>89</v>
      </c>
      <c r="F14997" s="0" t="s">
        <v>90</v>
      </c>
      <c r="G14997" s="0" t="s">
        <v>16</v>
      </c>
      <c r="H14997" s="0" t="n">
        <v>91</v>
      </c>
      <c r="I14997" s="0" t="s">
        <v>49969</v>
      </c>
      <c r="J14997" s="0" t="s">
        <v>49970</v>
      </c>
      <c r="K14997" s="0" t="s">
        <v>49971</v>
      </c>
      <c r="L14997" s="0" t="str">
        <f aca="false">HYPERLINK("https://www.ncbi.nlm.nih.gov/nuccore/CP000304.1?report=graph&amp;tracks=[key:gene_model_track,Options:GeneOnly]&amp;mk=4243506:4243525|offset_47|444444,4243462:4243481|offset_91|00cc00,4243440:4243459|offset_113|444444,4243405:4243424|offset_148|444444&amp;v=4243305:4243624&amp;c=444444", "offset 91")</f>
        <v>offset 91</v>
      </c>
    </row>
    <row r="14998" customFormat="false" ht="12.8" hidden="false" customHeight="false" outlineLevel="0" collapsed="false">
      <c r="A14998" s="0" t="s">
        <v>12</v>
      </c>
      <c r="B14998" s="0" t="n">
        <v>4243439</v>
      </c>
      <c r="C14998" s="0" t="n">
        <v>4243459</v>
      </c>
      <c r="D14998" s="0" t="s">
        <v>49965</v>
      </c>
      <c r="E14998" s="0" t="s">
        <v>89</v>
      </c>
      <c r="F14998" s="0" t="s">
        <v>90</v>
      </c>
      <c r="G14998" s="0" t="s">
        <v>16</v>
      </c>
      <c r="H14998" s="0" t="n">
        <v>113</v>
      </c>
      <c r="I14998" s="0" t="s">
        <v>49972</v>
      </c>
      <c r="J14998" s="0" t="s">
        <v>49973</v>
      </c>
      <c r="K14998" s="0" t="s">
        <v>49974</v>
      </c>
      <c r="L14998" s="0" t="str">
        <f aca="false">HYPERLINK("https://www.ncbi.nlm.nih.gov/nuccore/CP000304.1?report=graph&amp;tracks=[key:gene_model_track,Options:GeneOnly]&amp;mk=4243506:4243525|offset_47|444444,4243462:4243481|offset_91|444444,4243440:4243459|offset_113|00cc00,4243405:4243424|offset_148|444444&amp;v=4243305:4243624&amp;c=444444", "offset 113")</f>
        <v>offset 113</v>
      </c>
    </row>
    <row r="14999" customFormat="false" ht="12.8" hidden="false" customHeight="false" outlineLevel="0" collapsed="false">
      <c r="A14999" s="0" t="s">
        <v>12</v>
      </c>
      <c r="B14999" s="0" t="n">
        <v>4243404</v>
      </c>
      <c r="C14999" s="0" t="n">
        <v>4243424</v>
      </c>
      <c r="D14999" s="0" t="s">
        <v>49965</v>
      </c>
      <c r="E14999" s="0" t="s">
        <v>89</v>
      </c>
      <c r="F14999" s="0" t="s">
        <v>90</v>
      </c>
      <c r="G14999" s="0" t="s">
        <v>26</v>
      </c>
      <c r="H14999" s="0" t="n">
        <v>148</v>
      </c>
      <c r="I14999" s="0" t="s">
        <v>49975</v>
      </c>
      <c r="J14999" s="0" t="s">
        <v>49976</v>
      </c>
      <c r="K14999" s="0" t="s">
        <v>49977</v>
      </c>
      <c r="L14999" s="0" t="str">
        <f aca="false">HYPERLINK("https://www.ncbi.nlm.nih.gov/nuccore/CP000304.1?report=graph&amp;tracks=[key:gene_model_track,Options:GeneOnly]&amp;mk=4243506:4243525|offset_47|444444,4243462:4243481|offset_91|444444,4243440:4243459|offset_113|444444,4243405:4243424|offset_148|00cc00&amp;v=4243305:4243624&amp;c=444444", "offset 148")</f>
        <v>offset 148</v>
      </c>
    </row>
    <row r="15000" customFormat="false" ht="12.8" hidden="false" customHeight="false" outlineLevel="0" collapsed="false">
      <c r="A15000" s="0" t="s">
        <v>12</v>
      </c>
      <c r="B15000" s="0" t="n">
        <v>4244178</v>
      </c>
      <c r="C15000" s="0" t="n">
        <v>4244198</v>
      </c>
      <c r="D15000" s="0" t="s">
        <v>49978</v>
      </c>
      <c r="E15000" s="0" t="s">
        <v>89</v>
      </c>
      <c r="F15000" s="0" t="s">
        <v>90</v>
      </c>
      <c r="G15000" s="0" t="s">
        <v>26</v>
      </c>
      <c r="H15000" s="0" t="n">
        <v>50</v>
      </c>
      <c r="I15000" s="0" t="s">
        <v>49979</v>
      </c>
      <c r="J15000" s="0" t="s">
        <v>49980</v>
      </c>
      <c r="K15000" s="0" t="s">
        <v>49981</v>
      </c>
      <c r="L15000" s="0" t="str">
        <f aca="false">HYPERLINK("https://www.ncbi.nlm.nih.gov/nuccore/CP000304.1?report=graph&amp;tracks=[key:gene_model_track,Options:GeneOnly]&amp;mk=4244179:4244198|offset_50|00cc00,4244156:4244175|offset_73|444444,4244129:4244148|offset_100|444444,4244096:4244115|offset_133|444444&amp;v=4243978:4244315&amp;c=444444", "offset 50")</f>
        <v>offset 50</v>
      </c>
    </row>
    <row r="15001" customFormat="false" ht="12.8" hidden="false" customHeight="false" outlineLevel="0" collapsed="false">
      <c r="A15001" s="0" t="s">
        <v>12</v>
      </c>
      <c r="B15001" s="0" t="n">
        <v>4244155</v>
      </c>
      <c r="C15001" s="0" t="n">
        <v>4244175</v>
      </c>
      <c r="D15001" s="0" t="s">
        <v>49978</v>
      </c>
      <c r="E15001" s="0" t="s">
        <v>89</v>
      </c>
      <c r="F15001" s="0" t="s">
        <v>90</v>
      </c>
      <c r="G15001" s="0" t="s">
        <v>32</v>
      </c>
      <c r="H15001" s="0" t="n">
        <v>73</v>
      </c>
      <c r="I15001" s="0" t="s">
        <v>49982</v>
      </c>
      <c r="J15001" s="0" t="s">
        <v>49983</v>
      </c>
      <c r="K15001" s="0" t="s">
        <v>49984</v>
      </c>
      <c r="L15001" s="0" t="str">
        <f aca="false">HYPERLINK("https://www.ncbi.nlm.nih.gov/nuccore/CP000304.1?report=graph&amp;tracks=[key:gene_model_track,Options:GeneOnly]&amp;mk=4244179:4244198|offset_50|444444,4244156:4244175|offset_73|00cc00,4244129:4244148|offset_100|444444,4244096:4244115|offset_133|444444&amp;v=4243978:4244315&amp;c=444444", "offset 73")</f>
        <v>offset 73</v>
      </c>
    </row>
    <row r="15002" customFormat="false" ht="12.8" hidden="false" customHeight="false" outlineLevel="0" collapsed="false">
      <c r="A15002" s="0" t="s">
        <v>12</v>
      </c>
      <c r="B15002" s="0" t="n">
        <v>4244128</v>
      </c>
      <c r="C15002" s="0" t="n">
        <v>4244148</v>
      </c>
      <c r="D15002" s="0" t="s">
        <v>49978</v>
      </c>
      <c r="E15002" s="0" t="s">
        <v>89</v>
      </c>
      <c r="F15002" s="0" t="s">
        <v>90</v>
      </c>
      <c r="G15002" s="0" t="s">
        <v>16</v>
      </c>
      <c r="H15002" s="0" t="n">
        <v>100</v>
      </c>
      <c r="I15002" s="0" t="s">
        <v>49985</v>
      </c>
      <c r="J15002" s="0" t="s">
        <v>49986</v>
      </c>
      <c r="K15002" s="0" t="s">
        <v>49987</v>
      </c>
      <c r="L15002" s="0" t="str">
        <f aca="false">HYPERLINK("https://www.ncbi.nlm.nih.gov/nuccore/CP000304.1?report=graph&amp;tracks=[key:gene_model_track,Options:GeneOnly]&amp;mk=4244179:4244198|offset_50|444444,4244156:4244175|offset_73|444444,4244129:4244148|offset_100|00cc00,4244096:4244115|offset_133|444444&amp;v=4243978:4244315&amp;c=444444", "offset 100")</f>
        <v>offset 100</v>
      </c>
    </row>
    <row r="15003" customFormat="false" ht="12.8" hidden="false" customHeight="false" outlineLevel="0" collapsed="false">
      <c r="A15003" s="0" t="s">
        <v>12</v>
      </c>
      <c r="B15003" s="0" t="n">
        <v>4244095</v>
      </c>
      <c r="C15003" s="0" t="n">
        <v>4244115</v>
      </c>
      <c r="D15003" s="0" t="s">
        <v>49978</v>
      </c>
      <c r="E15003" s="0" t="s">
        <v>89</v>
      </c>
      <c r="F15003" s="0" t="s">
        <v>90</v>
      </c>
      <c r="G15003" s="0" t="s">
        <v>32</v>
      </c>
      <c r="H15003" s="0" t="n">
        <v>133</v>
      </c>
      <c r="I15003" s="0" t="s">
        <v>49988</v>
      </c>
      <c r="J15003" s="0" t="s">
        <v>49989</v>
      </c>
      <c r="K15003" s="0" t="s">
        <v>49990</v>
      </c>
      <c r="L15003" s="0" t="str">
        <f aca="false">HYPERLINK("https://www.ncbi.nlm.nih.gov/nuccore/CP000304.1?report=graph&amp;tracks=[key:gene_model_track,Options:GeneOnly]&amp;mk=4244179:4244198|offset_50|444444,4244156:4244175|offset_73|444444,4244129:4244148|offset_100|444444,4244096:4244115|offset_133|00cc00&amp;v=4243978:4244315&amp;c=444444", "offset 133")</f>
        <v>offset 133</v>
      </c>
    </row>
    <row r="15004" customFormat="false" ht="12.8" hidden="false" customHeight="false" outlineLevel="0" collapsed="false">
      <c r="A15004" s="0" t="s">
        <v>12</v>
      </c>
      <c r="B15004" s="0" t="n">
        <v>4244633</v>
      </c>
      <c r="C15004" s="0" t="n">
        <v>4244653</v>
      </c>
      <c r="D15004" s="0" t="s">
        <v>49991</v>
      </c>
      <c r="E15004" s="0" t="s">
        <v>89</v>
      </c>
      <c r="F15004" s="0" t="s">
        <v>90</v>
      </c>
      <c r="G15004" s="0" t="s">
        <v>26</v>
      </c>
      <c r="H15004" s="0" t="n">
        <v>27</v>
      </c>
      <c r="I15004" s="0" t="s">
        <v>49992</v>
      </c>
      <c r="J15004" s="0" t="s">
        <v>49993</v>
      </c>
      <c r="K15004" s="0" t="s">
        <v>49994</v>
      </c>
      <c r="L15004" s="0" t="str">
        <f aca="false">HYPERLINK("https://www.ncbi.nlm.nih.gov/nuccore/CP000304.1?report=graph&amp;tracks=[key:gene_model_track,Options:GeneOnly]&amp;mk=4244634:4244653|offset_27|00cc00,4244591:4244610|offset_70|444444,4244567:4244586|offset_94|444444,4244540:4244559|offset_121|444444&amp;v=4244433:4244759&amp;c=444444", "offset 27")</f>
        <v>offset 27</v>
      </c>
    </row>
    <row r="15005" customFormat="false" ht="12.8" hidden="false" customHeight="false" outlineLevel="0" collapsed="false">
      <c r="A15005" s="0" t="s">
        <v>12</v>
      </c>
      <c r="B15005" s="0" t="n">
        <v>4244590</v>
      </c>
      <c r="C15005" s="0" t="n">
        <v>4244610</v>
      </c>
      <c r="D15005" s="0" t="s">
        <v>49991</v>
      </c>
      <c r="E15005" s="0" t="s">
        <v>89</v>
      </c>
      <c r="F15005" s="0" t="s">
        <v>90</v>
      </c>
      <c r="G15005" s="0" t="s">
        <v>16</v>
      </c>
      <c r="H15005" s="0" t="n">
        <v>70</v>
      </c>
      <c r="I15005" s="0" t="s">
        <v>49995</v>
      </c>
      <c r="J15005" s="0" t="s">
        <v>49996</v>
      </c>
      <c r="K15005" s="0" t="s">
        <v>49997</v>
      </c>
      <c r="L15005" s="0" t="str">
        <f aca="false">HYPERLINK("https://www.ncbi.nlm.nih.gov/nuccore/CP000304.1?report=graph&amp;tracks=[key:gene_model_track,Options:GeneOnly]&amp;mk=4244634:4244653|offset_27|444444,4244591:4244610|offset_70|00cc00,4244567:4244586|offset_94|444444,4244540:4244559|offset_121|444444&amp;v=4244433:4244759&amp;c=444444", "offset 70")</f>
        <v>offset 70</v>
      </c>
    </row>
    <row r="15006" customFormat="false" ht="12.8" hidden="false" customHeight="false" outlineLevel="0" collapsed="false">
      <c r="A15006" s="0" t="s">
        <v>12</v>
      </c>
      <c r="B15006" s="0" t="n">
        <v>4244566</v>
      </c>
      <c r="C15006" s="0" t="n">
        <v>4244586</v>
      </c>
      <c r="D15006" s="0" t="s">
        <v>49991</v>
      </c>
      <c r="E15006" s="0" t="s">
        <v>89</v>
      </c>
      <c r="F15006" s="0" t="s">
        <v>90</v>
      </c>
      <c r="G15006" s="0" t="s">
        <v>16</v>
      </c>
      <c r="H15006" s="0" t="n">
        <v>94</v>
      </c>
      <c r="I15006" s="0" t="s">
        <v>49998</v>
      </c>
      <c r="J15006" s="0" t="s">
        <v>49999</v>
      </c>
      <c r="K15006" s="0" t="s">
        <v>50000</v>
      </c>
      <c r="L15006" s="0" t="str">
        <f aca="false">HYPERLINK("https://www.ncbi.nlm.nih.gov/nuccore/CP000304.1?report=graph&amp;tracks=[key:gene_model_track,Options:GeneOnly]&amp;mk=4244634:4244653|offset_27|444444,4244591:4244610|offset_70|444444,4244567:4244586|offset_94|00cc00,4244540:4244559|offset_121|444444&amp;v=4244433:4244759&amp;c=444444", "offset 94")</f>
        <v>offset 94</v>
      </c>
    </row>
    <row r="15007" customFormat="false" ht="12.8" hidden="false" customHeight="false" outlineLevel="0" collapsed="false">
      <c r="A15007" s="0" t="s">
        <v>12</v>
      </c>
      <c r="B15007" s="0" t="n">
        <v>4244539</v>
      </c>
      <c r="C15007" s="0" t="n">
        <v>4244559</v>
      </c>
      <c r="D15007" s="0" t="s">
        <v>49991</v>
      </c>
      <c r="E15007" s="0" t="s">
        <v>89</v>
      </c>
      <c r="F15007" s="0" t="s">
        <v>90</v>
      </c>
      <c r="G15007" s="0" t="s">
        <v>16</v>
      </c>
      <c r="H15007" s="0" t="n">
        <v>121</v>
      </c>
      <c r="I15007" s="0" t="s">
        <v>50001</v>
      </c>
      <c r="J15007" s="0" t="s">
        <v>50002</v>
      </c>
      <c r="K15007" s="0" t="s">
        <v>50003</v>
      </c>
      <c r="L15007" s="0" t="str">
        <f aca="false">HYPERLINK("https://www.ncbi.nlm.nih.gov/nuccore/CP000304.1?report=graph&amp;tracks=[key:gene_model_track,Options:GeneOnly]&amp;mk=4244634:4244653|offset_27|444444,4244591:4244610|offset_70|444444,4244567:4244586|offset_94|444444,4244540:4244559|offset_121|00cc00&amp;v=4244433:4244759&amp;c=444444", "offset 121")</f>
        <v>offset 121</v>
      </c>
    </row>
    <row r="15008" customFormat="false" ht="12.8" hidden="false" customHeight="false" outlineLevel="0" collapsed="false">
      <c r="A15008" s="0" t="s">
        <v>12</v>
      </c>
      <c r="B15008" s="0" t="n">
        <v>4245391</v>
      </c>
      <c r="C15008" s="0" t="n">
        <v>4245411</v>
      </c>
      <c r="D15008" s="0" t="s">
        <v>50004</v>
      </c>
      <c r="E15008" s="0" t="s">
        <v>89</v>
      </c>
      <c r="F15008" s="0" t="s">
        <v>90</v>
      </c>
      <c r="G15008" s="0" t="s">
        <v>32</v>
      </c>
      <c r="H15008" s="0" t="n">
        <v>1</v>
      </c>
      <c r="I15008" s="0" t="s">
        <v>50005</v>
      </c>
      <c r="J15008" s="0" t="s">
        <v>50006</v>
      </c>
      <c r="K15008" s="0" t="s">
        <v>50007</v>
      </c>
      <c r="L15008" s="0" t="str">
        <f aca="false">HYPERLINK("https://www.ncbi.nlm.nih.gov/nuccore/CP000304.1?report=graph&amp;tracks=[key:gene_model_track,Options:GeneOnly]&amp;mk=4245392:4245411|offset_1|00cc00,4245359:4245378|offset_34|444444,4245335:4245354|offset_58|444444,4245314:4245333|offset_79|444444&amp;v=4245191:4245533&amp;c=444444", "offset 1")</f>
        <v>offset 1</v>
      </c>
    </row>
    <row r="15009" customFormat="false" ht="12.8" hidden="false" customHeight="false" outlineLevel="0" collapsed="false">
      <c r="A15009" s="0" t="s">
        <v>12</v>
      </c>
      <c r="B15009" s="0" t="n">
        <v>4245358</v>
      </c>
      <c r="C15009" s="0" t="n">
        <v>4245378</v>
      </c>
      <c r="D15009" s="0" t="s">
        <v>50004</v>
      </c>
      <c r="E15009" s="0" t="s">
        <v>89</v>
      </c>
      <c r="F15009" s="0" t="s">
        <v>90</v>
      </c>
      <c r="G15009" s="0" t="s">
        <v>36</v>
      </c>
      <c r="H15009" s="0" t="n">
        <v>34</v>
      </c>
      <c r="I15009" s="0" t="s">
        <v>50008</v>
      </c>
      <c r="J15009" s="0" t="s">
        <v>50009</v>
      </c>
      <c r="K15009" s="0" t="s">
        <v>50010</v>
      </c>
      <c r="L15009" s="0" t="str">
        <f aca="false">HYPERLINK("https://www.ncbi.nlm.nih.gov/nuccore/CP000304.1?report=graph&amp;tracks=[key:gene_model_track,Options:GeneOnly]&amp;mk=4245392:4245411|offset_1|444444,4245359:4245378|offset_34|00cc00,4245335:4245354|offset_58|444444,4245314:4245333|offset_79|444444&amp;v=4245191:4245533&amp;c=444444", "offset 34")</f>
        <v>offset 34</v>
      </c>
    </row>
    <row r="15010" customFormat="false" ht="12.8" hidden="false" customHeight="false" outlineLevel="0" collapsed="false">
      <c r="A15010" s="0" t="s">
        <v>12</v>
      </c>
      <c r="B15010" s="0" t="n">
        <v>4245334</v>
      </c>
      <c r="C15010" s="0" t="n">
        <v>4245354</v>
      </c>
      <c r="D15010" s="0" t="s">
        <v>50004</v>
      </c>
      <c r="E15010" s="0" t="s">
        <v>89</v>
      </c>
      <c r="F15010" s="0" t="s">
        <v>90</v>
      </c>
      <c r="G15010" s="0" t="s">
        <v>16</v>
      </c>
      <c r="H15010" s="0" t="n">
        <v>58</v>
      </c>
      <c r="I15010" s="0" t="s">
        <v>50011</v>
      </c>
      <c r="J15010" s="0" t="s">
        <v>50012</v>
      </c>
      <c r="K15010" s="0" t="s">
        <v>50013</v>
      </c>
      <c r="L15010" s="0" t="str">
        <f aca="false">HYPERLINK("https://www.ncbi.nlm.nih.gov/nuccore/CP000304.1?report=graph&amp;tracks=[key:gene_model_track,Options:GeneOnly]&amp;mk=4245392:4245411|offset_1|444444,4245359:4245378|offset_34|444444,4245335:4245354|offset_58|00cc00,4245314:4245333|offset_79|444444&amp;v=4245191:4245533&amp;c=444444", "offset 58")</f>
        <v>offset 58</v>
      </c>
    </row>
    <row r="15011" customFormat="false" ht="12.8" hidden="false" customHeight="false" outlineLevel="0" collapsed="false">
      <c r="A15011" s="0" t="s">
        <v>12</v>
      </c>
      <c r="B15011" s="0" t="n">
        <v>4245313</v>
      </c>
      <c r="C15011" s="0" t="n">
        <v>4245333</v>
      </c>
      <c r="D15011" s="0" t="s">
        <v>50004</v>
      </c>
      <c r="E15011" s="0" t="s">
        <v>89</v>
      </c>
      <c r="F15011" s="0" t="s">
        <v>90</v>
      </c>
      <c r="G15011" s="0" t="s">
        <v>36</v>
      </c>
      <c r="H15011" s="0" t="n">
        <v>79</v>
      </c>
      <c r="I15011" s="0" t="s">
        <v>50014</v>
      </c>
      <c r="J15011" s="0" t="s">
        <v>50015</v>
      </c>
      <c r="K15011" s="0" t="s">
        <v>50016</v>
      </c>
      <c r="L15011" s="0" t="str">
        <f aca="false">HYPERLINK("https://www.ncbi.nlm.nih.gov/nuccore/CP000304.1?report=graph&amp;tracks=[key:gene_model_track,Options:GeneOnly]&amp;mk=4245392:4245411|offset_1|444444,4245359:4245378|offset_34|444444,4245335:4245354|offset_58|444444,4245314:4245333|offset_79|00cc00&amp;v=4245191:4245533&amp;c=444444", "offset 79")</f>
        <v>offset 79</v>
      </c>
    </row>
    <row r="15012" customFormat="false" ht="12.8" hidden="false" customHeight="false" outlineLevel="0" collapsed="false">
      <c r="A15012" s="0" t="s">
        <v>12</v>
      </c>
      <c r="B15012" s="0" t="n">
        <v>4245692</v>
      </c>
      <c r="C15012" s="0" t="n">
        <v>4245712</v>
      </c>
      <c r="D15012" s="0" t="s">
        <v>50017</v>
      </c>
      <c r="E15012" s="0" t="s">
        <v>89</v>
      </c>
      <c r="F15012" s="0" t="s">
        <v>15</v>
      </c>
      <c r="G15012" s="0" t="s">
        <v>32</v>
      </c>
      <c r="H15012" s="0" t="n">
        <v>8</v>
      </c>
      <c r="I15012" s="0" t="s">
        <v>50018</v>
      </c>
      <c r="J15012" s="0" t="s">
        <v>50019</v>
      </c>
      <c r="K15012" s="0" t="s">
        <v>50020</v>
      </c>
      <c r="L15012" s="0" t="str">
        <f aca="false">HYPERLINK("https://www.ncbi.nlm.nih.gov/nuccore/CP000304.1?report=graph&amp;tracks=[key:gene_model_track,Options:GeneOnly]&amp;mk=4245693:4245712|offset_8|00cc00,4245733:4245752|offset_48|444444,4245805:4245824|offset_120|444444,4245830:4245849|offset_145|444444&amp;v=4245492:4246049&amp;c=444444", "offset 8")</f>
        <v>offset 8</v>
      </c>
    </row>
    <row r="15013" customFormat="false" ht="12.8" hidden="false" customHeight="false" outlineLevel="0" collapsed="false">
      <c r="A15013" s="0" t="s">
        <v>12</v>
      </c>
      <c r="B15013" s="0" t="n">
        <v>4245732</v>
      </c>
      <c r="C15013" s="0" t="n">
        <v>4245752</v>
      </c>
      <c r="D15013" s="0" t="s">
        <v>50017</v>
      </c>
      <c r="E15013" s="0" t="s">
        <v>89</v>
      </c>
      <c r="F15013" s="0" t="s">
        <v>15</v>
      </c>
      <c r="G15013" s="0" t="s">
        <v>16</v>
      </c>
      <c r="H15013" s="0" t="n">
        <v>48</v>
      </c>
      <c r="I15013" s="0" t="s">
        <v>50021</v>
      </c>
      <c r="J15013" s="0" t="s">
        <v>50022</v>
      </c>
      <c r="K15013" s="0" t="s">
        <v>50023</v>
      </c>
      <c r="L15013" s="0" t="str">
        <f aca="false">HYPERLINK("https://www.ncbi.nlm.nih.gov/nuccore/CP000304.1?report=graph&amp;tracks=[key:gene_model_track,Options:GeneOnly]&amp;mk=4245693:4245712|offset_8|444444,4245733:4245752|offset_48|00cc00,4245805:4245824|offset_120|444444,4245830:4245849|offset_145|444444&amp;v=4245492:4246049&amp;c=444444", "offset 48")</f>
        <v>offset 48</v>
      </c>
    </row>
    <row r="15014" customFormat="false" ht="12.8" hidden="false" customHeight="false" outlineLevel="0" collapsed="false">
      <c r="A15014" s="0" t="s">
        <v>12</v>
      </c>
      <c r="B15014" s="0" t="n">
        <v>4245804</v>
      </c>
      <c r="C15014" s="0" t="n">
        <v>4245824</v>
      </c>
      <c r="D15014" s="0" t="s">
        <v>50017</v>
      </c>
      <c r="E15014" s="0" t="s">
        <v>89</v>
      </c>
      <c r="F15014" s="0" t="s">
        <v>15</v>
      </c>
      <c r="G15014" s="0" t="s">
        <v>36</v>
      </c>
      <c r="H15014" s="0" t="n">
        <v>120</v>
      </c>
      <c r="I15014" s="0" t="s">
        <v>50024</v>
      </c>
      <c r="J15014" s="0" t="s">
        <v>50025</v>
      </c>
      <c r="K15014" s="0" t="s">
        <v>50026</v>
      </c>
      <c r="L15014" s="0" t="str">
        <f aca="false">HYPERLINK("https://www.ncbi.nlm.nih.gov/nuccore/CP000304.1?report=graph&amp;tracks=[key:gene_model_track,Options:GeneOnly]&amp;mk=4245693:4245712|offset_8|444444,4245733:4245752|offset_48|444444,4245805:4245824|offset_120|00cc00,4245830:4245849|offset_145|444444&amp;v=4245492:4246049&amp;c=444444", "offset 120")</f>
        <v>offset 120</v>
      </c>
    </row>
    <row r="15015" customFormat="false" ht="12.8" hidden="false" customHeight="false" outlineLevel="0" collapsed="false">
      <c r="A15015" s="0" t="s">
        <v>12</v>
      </c>
      <c r="B15015" s="0" t="n">
        <v>4245829</v>
      </c>
      <c r="C15015" s="0" t="n">
        <v>4245849</v>
      </c>
      <c r="D15015" s="0" t="s">
        <v>50017</v>
      </c>
      <c r="E15015" s="0" t="s">
        <v>89</v>
      </c>
      <c r="F15015" s="0" t="s">
        <v>15</v>
      </c>
      <c r="G15015" s="0" t="s">
        <v>32</v>
      </c>
      <c r="H15015" s="0" t="n">
        <v>145</v>
      </c>
      <c r="I15015" s="0" t="s">
        <v>50027</v>
      </c>
      <c r="J15015" s="0" t="s">
        <v>50028</v>
      </c>
      <c r="K15015" s="0" t="s">
        <v>50029</v>
      </c>
      <c r="L15015" s="0" t="str">
        <f aca="false">HYPERLINK("https://www.ncbi.nlm.nih.gov/nuccore/CP000304.1?report=graph&amp;tracks=[key:gene_model_track,Options:GeneOnly]&amp;mk=4245693:4245712|offset_8|444444,4245733:4245752|offset_48|444444,4245805:4245824|offset_120|444444,4245830:4245849|offset_145|00cc00&amp;v=4245492:4246049&amp;c=444444", "offset 145")</f>
        <v>offset 145</v>
      </c>
    </row>
    <row r="15016" customFormat="false" ht="12.8" hidden="false" customHeight="false" outlineLevel="0" collapsed="false">
      <c r="A15016" s="0" t="s">
        <v>12</v>
      </c>
      <c r="B15016" s="0" t="n">
        <v>4247148</v>
      </c>
      <c r="C15016" s="0" t="n">
        <v>4247168</v>
      </c>
      <c r="D15016" s="0" t="s">
        <v>50030</v>
      </c>
      <c r="E15016" s="0" t="s">
        <v>50031</v>
      </c>
      <c r="F15016" s="0" t="s">
        <v>90</v>
      </c>
      <c r="G15016" s="0" t="s">
        <v>32</v>
      </c>
      <c r="H15016" s="0" t="n">
        <v>23</v>
      </c>
      <c r="I15016" s="0" t="s">
        <v>50032</v>
      </c>
      <c r="J15016" s="0" t="s">
        <v>50033</v>
      </c>
      <c r="K15016" s="0" t="s">
        <v>50034</v>
      </c>
      <c r="L15016" s="0" t="str">
        <f aca="false">HYPERLINK("https://www.ncbi.nlm.nih.gov/nuccore/CP000304.1?report=graph&amp;tracks=[key:gene_model_track,Options:GeneOnly]&amp;mk=4247149:4247168|offset_23|00cc00,4247129:4247148|offset_43|444444,4247109:4247128|offset_63|444444,4247072:4247091|offset_100|444444&amp;v=4246948:4247291&amp;c=444444", "offset 23")</f>
        <v>offset 23</v>
      </c>
    </row>
    <row r="15017" customFormat="false" ht="12.8" hidden="false" customHeight="false" outlineLevel="0" collapsed="false">
      <c r="A15017" s="0" t="s">
        <v>12</v>
      </c>
      <c r="B15017" s="0" t="n">
        <v>4247128</v>
      </c>
      <c r="C15017" s="0" t="n">
        <v>4247148</v>
      </c>
      <c r="D15017" s="0" t="s">
        <v>50030</v>
      </c>
      <c r="E15017" s="0" t="s">
        <v>50031</v>
      </c>
      <c r="F15017" s="0" t="s">
        <v>90</v>
      </c>
      <c r="G15017" s="0" t="s">
        <v>16</v>
      </c>
      <c r="H15017" s="0" t="n">
        <v>43</v>
      </c>
      <c r="I15017" s="0" t="s">
        <v>50035</v>
      </c>
      <c r="J15017" s="0" t="s">
        <v>50036</v>
      </c>
      <c r="K15017" s="0" t="s">
        <v>50037</v>
      </c>
      <c r="L15017" s="0" t="str">
        <f aca="false">HYPERLINK("https://www.ncbi.nlm.nih.gov/nuccore/CP000304.1?report=graph&amp;tracks=[key:gene_model_track,Options:GeneOnly]&amp;mk=4247149:4247168|offset_23|444444,4247129:4247148|offset_43|00cc00,4247109:4247128|offset_63|444444,4247072:4247091|offset_100|444444&amp;v=4246948:4247291&amp;c=444444", "offset 43")</f>
        <v>offset 43</v>
      </c>
    </row>
    <row r="15018" customFormat="false" ht="12.8" hidden="false" customHeight="false" outlineLevel="0" collapsed="false">
      <c r="A15018" s="0" t="s">
        <v>12</v>
      </c>
      <c r="B15018" s="0" t="n">
        <v>4247108</v>
      </c>
      <c r="C15018" s="0" t="n">
        <v>4247128</v>
      </c>
      <c r="D15018" s="0" t="s">
        <v>50030</v>
      </c>
      <c r="E15018" s="0" t="s">
        <v>50031</v>
      </c>
      <c r="F15018" s="0" t="s">
        <v>90</v>
      </c>
      <c r="G15018" s="0" t="s">
        <v>16</v>
      </c>
      <c r="H15018" s="0" t="n">
        <v>63</v>
      </c>
      <c r="I15018" s="0" t="s">
        <v>50038</v>
      </c>
      <c r="J15018" s="0" t="s">
        <v>50039</v>
      </c>
      <c r="K15018" s="0" t="s">
        <v>50040</v>
      </c>
      <c r="L15018" s="0" t="str">
        <f aca="false">HYPERLINK("https://www.ncbi.nlm.nih.gov/nuccore/CP000304.1?report=graph&amp;tracks=[key:gene_model_track,Options:GeneOnly]&amp;mk=4247149:4247168|offset_23|444444,4247129:4247148|offset_43|444444,4247109:4247128|offset_63|00cc00,4247072:4247091|offset_100|444444&amp;v=4246948:4247291&amp;c=444444", "offset 63")</f>
        <v>offset 63</v>
      </c>
    </row>
    <row r="15019" customFormat="false" ht="12.8" hidden="false" customHeight="false" outlineLevel="0" collapsed="false">
      <c r="A15019" s="0" t="s">
        <v>12</v>
      </c>
      <c r="B15019" s="0" t="n">
        <v>4247071</v>
      </c>
      <c r="C15019" s="0" t="n">
        <v>4247091</v>
      </c>
      <c r="D15019" s="0" t="s">
        <v>50030</v>
      </c>
      <c r="E15019" s="0" t="s">
        <v>50031</v>
      </c>
      <c r="F15019" s="0" t="s">
        <v>90</v>
      </c>
      <c r="G15019" s="0" t="s">
        <v>32</v>
      </c>
      <c r="H15019" s="0" t="n">
        <v>100</v>
      </c>
      <c r="I15019" s="0" t="s">
        <v>50041</v>
      </c>
      <c r="J15019" s="0" t="s">
        <v>50042</v>
      </c>
      <c r="K15019" s="0" t="s">
        <v>50043</v>
      </c>
      <c r="L15019" s="0" t="str">
        <f aca="false">HYPERLINK("https://www.ncbi.nlm.nih.gov/nuccore/CP000304.1?report=graph&amp;tracks=[key:gene_model_track,Options:GeneOnly]&amp;mk=4247149:4247168|offset_23|444444,4247129:4247148|offset_43|444444,4247109:4247128|offset_63|444444,4247072:4247091|offset_100|00cc00&amp;v=4246948:4247291&amp;c=444444", "offset 100")</f>
        <v>offset 100</v>
      </c>
    </row>
    <row r="15020" customFormat="false" ht="12.8" hidden="false" customHeight="false" outlineLevel="0" collapsed="false">
      <c r="A15020" s="0" t="s">
        <v>12</v>
      </c>
      <c r="B15020" s="0" t="n">
        <v>4247670</v>
      </c>
      <c r="C15020" s="0" t="n">
        <v>4247690</v>
      </c>
      <c r="D15020" s="0" t="s">
        <v>50044</v>
      </c>
      <c r="E15020" s="0" t="s">
        <v>89</v>
      </c>
      <c r="F15020" s="0" t="s">
        <v>90</v>
      </c>
      <c r="G15020" s="0" t="s">
        <v>36</v>
      </c>
      <c r="H15020" s="0" t="n">
        <v>18</v>
      </c>
      <c r="I15020" s="0" t="s">
        <v>50045</v>
      </c>
      <c r="J15020" s="0" t="s">
        <v>50046</v>
      </c>
      <c r="K15020" s="0" t="s">
        <v>50047</v>
      </c>
      <c r="L15020" s="0" t="str">
        <f aca="false">HYPERLINK("https://www.ncbi.nlm.nih.gov/nuccore/CP000304.1?report=graph&amp;tracks=[key:gene_model_track,Options:GeneOnly]&amp;mk=4247671:4247690|offset_18|00cc00,4247633:4247652|offset_56|444444,4247608:4247627|offset_81|444444,4247588:4247607|offset_101|444444&amp;v=4247470:4247807&amp;c=444444", "offset 18")</f>
        <v>offset 18</v>
      </c>
    </row>
    <row r="15021" customFormat="false" ht="12.8" hidden="false" customHeight="false" outlineLevel="0" collapsed="false">
      <c r="A15021" s="0" t="s">
        <v>12</v>
      </c>
      <c r="B15021" s="0" t="n">
        <v>4247632</v>
      </c>
      <c r="C15021" s="0" t="n">
        <v>4247652</v>
      </c>
      <c r="D15021" s="0" t="s">
        <v>50044</v>
      </c>
      <c r="E15021" s="0" t="s">
        <v>89</v>
      </c>
      <c r="F15021" s="0" t="s">
        <v>90</v>
      </c>
      <c r="G15021" s="0" t="s">
        <v>32</v>
      </c>
      <c r="H15021" s="0" t="n">
        <v>56</v>
      </c>
      <c r="I15021" s="0" t="s">
        <v>50048</v>
      </c>
      <c r="J15021" s="0" t="s">
        <v>50049</v>
      </c>
      <c r="K15021" s="0" t="s">
        <v>50050</v>
      </c>
      <c r="L15021" s="0" t="str">
        <f aca="false">HYPERLINK("https://www.ncbi.nlm.nih.gov/nuccore/CP000304.1?report=graph&amp;tracks=[key:gene_model_track,Options:GeneOnly]&amp;mk=4247671:4247690|offset_18|444444,4247633:4247652|offset_56|00cc00,4247608:4247627|offset_81|444444,4247588:4247607|offset_101|444444&amp;v=4247470:4247807&amp;c=444444", "offset 56")</f>
        <v>offset 56</v>
      </c>
    </row>
    <row r="15022" customFormat="false" ht="12.8" hidden="false" customHeight="false" outlineLevel="0" collapsed="false">
      <c r="A15022" s="0" t="s">
        <v>12</v>
      </c>
      <c r="B15022" s="0" t="n">
        <v>4247607</v>
      </c>
      <c r="C15022" s="0" t="n">
        <v>4247627</v>
      </c>
      <c r="D15022" s="0" t="s">
        <v>50044</v>
      </c>
      <c r="E15022" s="0" t="s">
        <v>89</v>
      </c>
      <c r="F15022" s="0" t="s">
        <v>90</v>
      </c>
      <c r="G15022" s="0" t="s">
        <v>16</v>
      </c>
      <c r="H15022" s="0" t="n">
        <v>81</v>
      </c>
      <c r="I15022" s="0" t="s">
        <v>50051</v>
      </c>
      <c r="J15022" s="0" t="s">
        <v>50052</v>
      </c>
      <c r="K15022" s="0" t="s">
        <v>50053</v>
      </c>
      <c r="L15022" s="0" t="str">
        <f aca="false">HYPERLINK("https://www.ncbi.nlm.nih.gov/nuccore/CP000304.1?report=graph&amp;tracks=[key:gene_model_track,Options:GeneOnly]&amp;mk=4247671:4247690|offset_18|444444,4247633:4247652|offset_56|444444,4247608:4247627|offset_81|00cc00,4247588:4247607|offset_101|444444&amp;v=4247470:4247807&amp;c=444444", "offset 81")</f>
        <v>offset 81</v>
      </c>
    </row>
    <row r="15023" customFormat="false" ht="12.8" hidden="false" customHeight="false" outlineLevel="0" collapsed="false">
      <c r="A15023" s="0" t="s">
        <v>12</v>
      </c>
      <c r="B15023" s="0" t="n">
        <v>4247587</v>
      </c>
      <c r="C15023" s="0" t="n">
        <v>4247607</v>
      </c>
      <c r="D15023" s="0" t="s">
        <v>50044</v>
      </c>
      <c r="E15023" s="0" t="s">
        <v>89</v>
      </c>
      <c r="F15023" s="0" t="s">
        <v>90</v>
      </c>
      <c r="G15023" s="0" t="s">
        <v>32</v>
      </c>
      <c r="H15023" s="0" t="n">
        <v>101</v>
      </c>
      <c r="I15023" s="0" t="s">
        <v>50054</v>
      </c>
      <c r="J15023" s="0" t="s">
        <v>50055</v>
      </c>
      <c r="K15023" s="0" t="s">
        <v>50056</v>
      </c>
      <c r="L15023" s="0" t="str">
        <f aca="false">HYPERLINK("https://www.ncbi.nlm.nih.gov/nuccore/CP000304.1?report=graph&amp;tracks=[key:gene_model_track,Options:GeneOnly]&amp;mk=4247671:4247690|offset_18|444444,4247633:4247652|offset_56|444444,4247608:4247627|offset_81|444444,4247588:4247607|offset_101|00cc00&amp;v=4247470:4247807&amp;c=444444", "offset 101")</f>
        <v>offset 101</v>
      </c>
    </row>
    <row r="15024" customFormat="false" ht="12.8" hidden="false" customHeight="false" outlineLevel="0" collapsed="false">
      <c r="A15024" s="0" t="s">
        <v>12</v>
      </c>
      <c r="B15024" s="0" t="n">
        <v>4249190</v>
      </c>
      <c r="C15024" s="0" t="n">
        <v>4249210</v>
      </c>
      <c r="D15024" s="0" t="s">
        <v>50057</v>
      </c>
      <c r="E15024" s="0" t="s">
        <v>50058</v>
      </c>
      <c r="F15024" s="0" t="s">
        <v>90</v>
      </c>
      <c r="G15024" s="0" t="s">
        <v>26</v>
      </c>
      <c r="H15024" s="0" t="n">
        <v>79</v>
      </c>
      <c r="I15024" s="0" t="s">
        <v>50059</v>
      </c>
      <c r="J15024" s="0" t="s">
        <v>50060</v>
      </c>
      <c r="K15024" s="0" t="s">
        <v>50061</v>
      </c>
      <c r="L15024" s="0" t="str">
        <f aca="false">HYPERLINK("https://www.ncbi.nlm.nih.gov/nuccore/CP000304.1?report=graph&amp;tracks=[key:gene_model_track,Options:GeneOnly]&amp;mk=4249191:4249210|offset_79|00cc00,4249170:4249189|offset_100|444444,4249145:4249164|offset_125|444444,4249121:4249140|offset_149|444444&amp;v=4248990:4249340&amp;c=444444", "offset 79")</f>
        <v>offset 79</v>
      </c>
    </row>
    <row r="15025" customFormat="false" ht="12.8" hidden="false" customHeight="false" outlineLevel="0" collapsed="false">
      <c r="A15025" s="0" t="s">
        <v>12</v>
      </c>
      <c r="B15025" s="0" t="n">
        <v>4249169</v>
      </c>
      <c r="C15025" s="0" t="n">
        <v>4249189</v>
      </c>
      <c r="D15025" s="0" t="s">
        <v>50057</v>
      </c>
      <c r="E15025" s="0" t="s">
        <v>50058</v>
      </c>
      <c r="F15025" s="0" t="s">
        <v>90</v>
      </c>
      <c r="G15025" s="0" t="s">
        <v>16</v>
      </c>
      <c r="H15025" s="0" t="n">
        <v>100</v>
      </c>
      <c r="I15025" s="0" t="s">
        <v>50062</v>
      </c>
      <c r="J15025" s="0" t="s">
        <v>50063</v>
      </c>
      <c r="K15025" s="0" t="s">
        <v>50064</v>
      </c>
      <c r="L15025" s="0" t="str">
        <f aca="false">HYPERLINK("https://www.ncbi.nlm.nih.gov/nuccore/CP000304.1?report=graph&amp;tracks=[key:gene_model_track,Options:GeneOnly]&amp;mk=4249191:4249210|offset_79|444444,4249170:4249189|offset_100|00cc00,4249145:4249164|offset_125|444444,4249121:4249140|offset_149|444444&amp;v=4248990:4249340&amp;c=444444", "offset 100")</f>
        <v>offset 100</v>
      </c>
    </row>
    <row r="15026" customFormat="false" ht="12.8" hidden="false" customHeight="false" outlineLevel="0" collapsed="false">
      <c r="A15026" s="0" t="s">
        <v>12</v>
      </c>
      <c r="B15026" s="0" t="n">
        <v>4249144</v>
      </c>
      <c r="C15026" s="0" t="n">
        <v>4249164</v>
      </c>
      <c r="D15026" s="0" t="s">
        <v>50057</v>
      </c>
      <c r="E15026" s="0" t="s">
        <v>50058</v>
      </c>
      <c r="F15026" s="0" t="s">
        <v>90</v>
      </c>
      <c r="G15026" s="0" t="s">
        <v>26</v>
      </c>
      <c r="H15026" s="0" t="n">
        <v>125</v>
      </c>
      <c r="I15026" s="0" t="s">
        <v>50065</v>
      </c>
      <c r="J15026" s="0" t="s">
        <v>50066</v>
      </c>
      <c r="K15026" s="0" t="s">
        <v>50067</v>
      </c>
      <c r="L15026" s="0" t="str">
        <f aca="false">HYPERLINK("https://www.ncbi.nlm.nih.gov/nuccore/CP000304.1?report=graph&amp;tracks=[key:gene_model_track,Options:GeneOnly]&amp;mk=4249191:4249210|offset_79|444444,4249170:4249189|offset_100|444444,4249145:4249164|offset_125|00cc00,4249121:4249140|offset_149|444444&amp;v=4248990:4249340&amp;c=444444", "offset 125")</f>
        <v>offset 125</v>
      </c>
    </row>
    <row r="15027" customFormat="false" ht="12.8" hidden="false" customHeight="false" outlineLevel="0" collapsed="false">
      <c r="A15027" s="0" t="s">
        <v>12</v>
      </c>
      <c r="B15027" s="0" t="n">
        <v>4249120</v>
      </c>
      <c r="C15027" s="0" t="n">
        <v>4249140</v>
      </c>
      <c r="D15027" s="0" t="s">
        <v>50057</v>
      </c>
      <c r="E15027" s="0" t="s">
        <v>50058</v>
      </c>
      <c r="F15027" s="0" t="s">
        <v>90</v>
      </c>
      <c r="G15027" s="0" t="s">
        <v>16</v>
      </c>
      <c r="H15027" s="0" t="n">
        <v>149</v>
      </c>
      <c r="I15027" s="0" t="s">
        <v>50068</v>
      </c>
      <c r="J15027" s="0" t="s">
        <v>50069</v>
      </c>
      <c r="K15027" s="0" t="s">
        <v>50070</v>
      </c>
      <c r="L15027" s="0" t="str">
        <f aca="false">HYPERLINK("https://www.ncbi.nlm.nih.gov/nuccore/CP000304.1?report=graph&amp;tracks=[key:gene_model_track,Options:GeneOnly]&amp;mk=4249191:4249210|offset_79|444444,4249170:4249189|offset_100|444444,4249145:4249164|offset_125|444444,4249121:4249140|offset_149|00cc00&amp;v=4248990:4249340&amp;c=444444", "offset 149")</f>
        <v>offset 149</v>
      </c>
    </row>
    <row r="15028" customFormat="false" ht="12.8" hidden="false" customHeight="false" outlineLevel="0" collapsed="false">
      <c r="A15028" s="0" t="s">
        <v>12</v>
      </c>
      <c r="B15028" s="0" t="n">
        <v>4250272</v>
      </c>
      <c r="C15028" s="0" t="n">
        <v>4250292</v>
      </c>
      <c r="D15028" s="0" t="s">
        <v>50071</v>
      </c>
      <c r="E15028" s="0" t="s">
        <v>50072</v>
      </c>
      <c r="F15028" s="0" t="s">
        <v>90</v>
      </c>
      <c r="G15028" s="0" t="s">
        <v>36</v>
      </c>
      <c r="H15028" s="0" t="n">
        <v>0</v>
      </c>
      <c r="I15028" s="0" t="s">
        <v>50073</v>
      </c>
      <c r="J15028" s="0" t="s">
        <v>50074</v>
      </c>
      <c r="K15028" s="0" t="s">
        <v>50075</v>
      </c>
      <c r="L15028" s="0" t="str">
        <f aca="false">HYPERLINK("https://www.ncbi.nlm.nih.gov/nuccore/CP000304.1?report=graph&amp;tracks=[key:gene_model_track,Options:GeneOnly]&amp;mk=4250273:4250292|offset_0|00cc00,4250226:4250245|offset_47|444444,4250182:4250201|offset_91|444444,4250143:4250162|offset_130|444444&amp;v=4250072:4250362&amp;c=444444", "offset 0")</f>
        <v>offset 0</v>
      </c>
    </row>
    <row r="15029" customFormat="false" ht="12.8" hidden="false" customHeight="false" outlineLevel="0" collapsed="false">
      <c r="A15029" s="0" t="s">
        <v>12</v>
      </c>
      <c r="B15029" s="0" t="n">
        <v>4250225</v>
      </c>
      <c r="C15029" s="0" t="n">
        <v>4250245</v>
      </c>
      <c r="D15029" s="0" t="s">
        <v>50071</v>
      </c>
      <c r="E15029" s="0" t="s">
        <v>50072</v>
      </c>
      <c r="F15029" s="0" t="s">
        <v>90</v>
      </c>
      <c r="G15029" s="0" t="s">
        <v>16</v>
      </c>
      <c r="H15029" s="0" t="n">
        <v>47</v>
      </c>
      <c r="I15029" s="0" t="s">
        <v>50076</v>
      </c>
      <c r="J15029" s="0" t="s">
        <v>50077</v>
      </c>
      <c r="K15029" s="0" t="s">
        <v>50078</v>
      </c>
      <c r="L15029" s="0" t="str">
        <f aca="false">HYPERLINK("https://www.ncbi.nlm.nih.gov/nuccore/CP000304.1?report=graph&amp;tracks=[key:gene_model_track,Options:GeneOnly]&amp;mk=4250273:4250292|offset_0|444444,4250226:4250245|offset_47|00cc00,4250182:4250201|offset_91|444444,4250143:4250162|offset_130|444444&amp;v=4250072:4250362&amp;c=444444", "offset 47")</f>
        <v>offset 47</v>
      </c>
    </row>
    <row r="15030" customFormat="false" ht="12.8" hidden="false" customHeight="false" outlineLevel="0" collapsed="false">
      <c r="A15030" s="0" t="s">
        <v>12</v>
      </c>
      <c r="B15030" s="0" t="n">
        <v>4250181</v>
      </c>
      <c r="C15030" s="0" t="n">
        <v>4250201</v>
      </c>
      <c r="D15030" s="0" t="s">
        <v>50071</v>
      </c>
      <c r="E15030" s="0" t="s">
        <v>50072</v>
      </c>
      <c r="F15030" s="0" t="s">
        <v>90</v>
      </c>
      <c r="G15030" s="0" t="s">
        <v>16</v>
      </c>
      <c r="H15030" s="0" t="n">
        <v>91</v>
      </c>
      <c r="I15030" s="0" t="s">
        <v>50079</v>
      </c>
      <c r="J15030" s="0" t="s">
        <v>50080</v>
      </c>
      <c r="K15030" s="0" t="s">
        <v>50081</v>
      </c>
      <c r="L15030" s="0" t="str">
        <f aca="false">HYPERLINK("https://www.ncbi.nlm.nih.gov/nuccore/CP000304.1?report=graph&amp;tracks=[key:gene_model_track,Options:GeneOnly]&amp;mk=4250273:4250292|offset_0|444444,4250226:4250245|offset_47|444444,4250182:4250201|offset_91|00cc00,4250143:4250162|offset_130|444444&amp;v=4250072:4250362&amp;c=444444", "offset 91")</f>
        <v>offset 91</v>
      </c>
    </row>
    <row r="15031" customFormat="false" ht="12.8" hidden="false" customHeight="false" outlineLevel="0" collapsed="false">
      <c r="A15031" s="0" t="s">
        <v>12</v>
      </c>
      <c r="B15031" s="0" t="n">
        <v>4250142</v>
      </c>
      <c r="C15031" s="0" t="n">
        <v>4250162</v>
      </c>
      <c r="D15031" s="0" t="s">
        <v>50071</v>
      </c>
      <c r="E15031" s="0" t="s">
        <v>50072</v>
      </c>
      <c r="F15031" s="0" t="s">
        <v>90</v>
      </c>
      <c r="G15031" s="0" t="s">
        <v>16</v>
      </c>
      <c r="H15031" s="0" t="n">
        <v>130</v>
      </c>
      <c r="I15031" s="0" t="s">
        <v>50082</v>
      </c>
      <c r="J15031" s="0" t="s">
        <v>50083</v>
      </c>
      <c r="K15031" s="0" t="s">
        <v>50084</v>
      </c>
      <c r="L15031" s="0" t="str">
        <f aca="false">HYPERLINK("https://www.ncbi.nlm.nih.gov/nuccore/CP000304.1?report=graph&amp;tracks=[key:gene_model_track,Options:GeneOnly]&amp;mk=4250273:4250292|offset_0|444444,4250226:4250245|offset_47|444444,4250182:4250201|offset_91|444444,4250143:4250162|offset_130|00cc00&amp;v=4250072:4250362&amp;c=444444", "offset 130")</f>
        <v>offset 130</v>
      </c>
    </row>
    <row r="15032" customFormat="false" ht="12.8" hidden="false" customHeight="false" outlineLevel="0" collapsed="false">
      <c r="A15032" s="0" t="s">
        <v>12</v>
      </c>
      <c r="B15032" s="0" t="n">
        <v>4252369</v>
      </c>
      <c r="C15032" s="0" t="n">
        <v>4252389</v>
      </c>
      <c r="D15032" s="0" t="s">
        <v>50085</v>
      </c>
      <c r="E15032" s="0" t="s">
        <v>50086</v>
      </c>
      <c r="F15032" s="0" t="s">
        <v>90</v>
      </c>
      <c r="G15032" s="0" t="s">
        <v>36</v>
      </c>
      <c r="H15032" s="0" t="n">
        <v>6</v>
      </c>
      <c r="I15032" s="0" t="s">
        <v>50087</v>
      </c>
      <c r="J15032" s="0" t="s">
        <v>50088</v>
      </c>
      <c r="K15032" s="0" t="s">
        <v>50089</v>
      </c>
      <c r="L15032" s="0" t="str">
        <f aca="false">HYPERLINK("https://www.ncbi.nlm.nih.gov/nuccore/CP000304.1?report=graph&amp;tracks=[key:gene_model_track,Options:GeneOnly]&amp;mk=4252370:4252389|offset_6|00cc00,4252345:4252364|offset_31|444444,4252321:4252340|offset_55|444444,4252299:4252318|offset_77|444444&amp;v=4252169:4252518&amp;c=444444", "offset 6")</f>
        <v>offset 6</v>
      </c>
    </row>
    <row r="15033" customFormat="false" ht="12.8" hidden="false" customHeight="false" outlineLevel="0" collapsed="false">
      <c r="A15033" s="0" t="s">
        <v>12</v>
      </c>
      <c r="B15033" s="0" t="n">
        <v>4252344</v>
      </c>
      <c r="C15033" s="0" t="n">
        <v>4252364</v>
      </c>
      <c r="D15033" s="0" t="s">
        <v>50085</v>
      </c>
      <c r="E15033" s="0" t="s">
        <v>50086</v>
      </c>
      <c r="F15033" s="0" t="s">
        <v>90</v>
      </c>
      <c r="G15033" s="0" t="s">
        <v>32</v>
      </c>
      <c r="H15033" s="0" t="n">
        <v>31</v>
      </c>
      <c r="I15033" s="0" t="s">
        <v>50090</v>
      </c>
      <c r="J15033" s="0" t="s">
        <v>50091</v>
      </c>
      <c r="K15033" s="0" t="s">
        <v>50092</v>
      </c>
      <c r="L15033" s="0" t="str">
        <f aca="false">HYPERLINK("https://www.ncbi.nlm.nih.gov/nuccore/CP000304.1?report=graph&amp;tracks=[key:gene_model_track,Options:GeneOnly]&amp;mk=4252370:4252389|offset_6|444444,4252345:4252364|offset_31|00cc00,4252321:4252340|offset_55|444444,4252299:4252318|offset_77|444444&amp;v=4252169:4252518&amp;c=444444", "offset 31")</f>
        <v>offset 31</v>
      </c>
    </row>
    <row r="15034" customFormat="false" ht="12.8" hidden="false" customHeight="false" outlineLevel="0" collapsed="false">
      <c r="A15034" s="0" t="s">
        <v>12</v>
      </c>
      <c r="B15034" s="0" t="n">
        <v>4252320</v>
      </c>
      <c r="C15034" s="0" t="n">
        <v>4252340</v>
      </c>
      <c r="D15034" s="0" t="s">
        <v>50085</v>
      </c>
      <c r="E15034" s="0" t="s">
        <v>50086</v>
      </c>
      <c r="F15034" s="0" t="s">
        <v>90</v>
      </c>
      <c r="G15034" s="0" t="s">
        <v>16</v>
      </c>
      <c r="H15034" s="0" t="n">
        <v>55</v>
      </c>
      <c r="I15034" s="0" t="s">
        <v>50093</v>
      </c>
      <c r="J15034" s="0" t="s">
        <v>50094</v>
      </c>
      <c r="K15034" s="0" t="s">
        <v>50095</v>
      </c>
      <c r="L15034" s="0" t="str">
        <f aca="false">HYPERLINK("https://www.ncbi.nlm.nih.gov/nuccore/CP000304.1?report=graph&amp;tracks=[key:gene_model_track,Options:GeneOnly]&amp;mk=4252370:4252389|offset_6|444444,4252345:4252364|offset_31|444444,4252321:4252340|offset_55|00cc00,4252299:4252318|offset_77|444444&amp;v=4252169:4252518&amp;c=444444", "offset 55")</f>
        <v>offset 55</v>
      </c>
    </row>
    <row r="15035" customFormat="false" ht="12.8" hidden="false" customHeight="false" outlineLevel="0" collapsed="false">
      <c r="A15035" s="0" t="s">
        <v>12</v>
      </c>
      <c r="B15035" s="0" t="n">
        <v>4252298</v>
      </c>
      <c r="C15035" s="0" t="n">
        <v>4252318</v>
      </c>
      <c r="D15035" s="0" t="s">
        <v>50085</v>
      </c>
      <c r="E15035" s="0" t="s">
        <v>50086</v>
      </c>
      <c r="F15035" s="0" t="s">
        <v>90</v>
      </c>
      <c r="G15035" s="0" t="s">
        <v>32</v>
      </c>
      <c r="H15035" s="0" t="n">
        <v>77</v>
      </c>
      <c r="I15035" s="0" t="s">
        <v>50096</v>
      </c>
      <c r="J15035" s="0" t="s">
        <v>50097</v>
      </c>
      <c r="K15035" s="0" t="s">
        <v>50098</v>
      </c>
      <c r="L15035" s="0" t="str">
        <f aca="false">HYPERLINK("https://www.ncbi.nlm.nih.gov/nuccore/CP000304.1?report=graph&amp;tracks=[key:gene_model_track,Options:GeneOnly]&amp;mk=4252370:4252389|offset_6|444444,4252345:4252364|offset_31|444444,4252321:4252340|offset_55|444444,4252299:4252318|offset_77|00cc00&amp;v=4252169:4252518&amp;c=444444", "offset 77")</f>
        <v>offset 77</v>
      </c>
    </row>
    <row r="15036" customFormat="false" ht="12.8" hidden="false" customHeight="false" outlineLevel="0" collapsed="false">
      <c r="A15036" s="0" t="s">
        <v>12</v>
      </c>
      <c r="B15036" s="0" t="n">
        <v>4253374</v>
      </c>
      <c r="C15036" s="0" t="n">
        <v>4253394</v>
      </c>
      <c r="D15036" s="0" t="s">
        <v>50099</v>
      </c>
      <c r="E15036" s="0" t="s">
        <v>89</v>
      </c>
      <c r="F15036" s="0" t="s">
        <v>90</v>
      </c>
      <c r="G15036" s="0" t="s">
        <v>16</v>
      </c>
      <c r="H15036" s="0" t="n">
        <v>36</v>
      </c>
      <c r="I15036" s="0" t="s">
        <v>50100</v>
      </c>
      <c r="J15036" s="0" t="s">
        <v>50101</v>
      </c>
      <c r="K15036" s="0" t="s">
        <v>50102</v>
      </c>
      <c r="L15036" s="0" t="str">
        <f aca="false">HYPERLINK("https://www.ncbi.nlm.nih.gov/nuccore/CP000304.1?report=graph&amp;tracks=[key:gene_model_track,Options:GeneOnly]&amp;mk=4253375:4253394|offset_36|00cc00,4253353:4253372|offset_58|444444,4253319:4253338|offset_92|444444,4253241:4253260|offset_170|444444&amp;v=4253174:4253460&amp;c=444444", "offset 36")</f>
        <v>offset 36</v>
      </c>
    </row>
    <row r="15037" customFormat="false" ht="12.8" hidden="false" customHeight="false" outlineLevel="0" collapsed="false">
      <c r="A15037" s="0" t="s">
        <v>12</v>
      </c>
      <c r="B15037" s="0" t="n">
        <v>4253352</v>
      </c>
      <c r="C15037" s="0" t="n">
        <v>4253372</v>
      </c>
      <c r="D15037" s="0" t="s">
        <v>50099</v>
      </c>
      <c r="E15037" s="0" t="s">
        <v>89</v>
      </c>
      <c r="F15037" s="0" t="s">
        <v>90</v>
      </c>
      <c r="G15037" s="0" t="s">
        <v>26</v>
      </c>
      <c r="H15037" s="0" t="n">
        <v>58</v>
      </c>
      <c r="I15037" s="0" t="s">
        <v>50103</v>
      </c>
      <c r="J15037" s="0" t="s">
        <v>50104</v>
      </c>
      <c r="K15037" s="0" t="s">
        <v>50105</v>
      </c>
      <c r="L15037" s="0" t="str">
        <f aca="false">HYPERLINK("https://www.ncbi.nlm.nih.gov/nuccore/CP000304.1?report=graph&amp;tracks=[key:gene_model_track,Options:GeneOnly]&amp;mk=4253375:4253394|offset_36|444444,4253353:4253372|offset_58|00cc00,4253319:4253338|offset_92|444444,4253241:4253260|offset_170|444444&amp;v=4253174:4253460&amp;c=444444", "offset 58")</f>
        <v>offset 58</v>
      </c>
    </row>
    <row r="15038" customFormat="false" ht="12.8" hidden="false" customHeight="false" outlineLevel="0" collapsed="false">
      <c r="A15038" s="0" t="s">
        <v>12</v>
      </c>
      <c r="B15038" s="0" t="n">
        <v>4253318</v>
      </c>
      <c r="C15038" s="0" t="n">
        <v>4253338</v>
      </c>
      <c r="D15038" s="0" t="s">
        <v>50099</v>
      </c>
      <c r="E15038" s="0" t="s">
        <v>89</v>
      </c>
      <c r="F15038" s="0" t="s">
        <v>90</v>
      </c>
      <c r="G15038" s="0" t="s">
        <v>32</v>
      </c>
      <c r="H15038" s="0" t="n">
        <v>92</v>
      </c>
      <c r="I15038" s="0" t="s">
        <v>50106</v>
      </c>
      <c r="J15038" s="0" t="s">
        <v>50107</v>
      </c>
      <c r="K15038" s="0" t="s">
        <v>50108</v>
      </c>
      <c r="L15038" s="0" t="str">
        <f aca="false">HYPERLINK("https://www.ncbi.nlm.nih.gov/nuccore/CP000304.1?report=graph&amp;tracks=[key:gene_model_track,Options:GeneOnly]&amp;mk=4253375:4253394|offset_36|444444,4253353:4253372|offset_58|444444,4253319:4253338|offset_92|00cc00,4253241:4253260|offset_170|444444&amp;v=4253174:4253460&amp;c=444444", "offset 92")</f>
        <v>offset 92</v>
      </c>
    </row>
    <row r="15039" customFormat="false" ht="12.8" hidden="false" customHeight="false" outlineLevel="0" collapsed="false">
      <c r="A15039" s="0" t="s">
        <v>12</v>
      </c>
      <c r="B15039" s="0" t="n">
        <v>4253240</v>
      </c>
      <c r="C15039" s="0" t="n">
        <v>4253260</v>
      </c>
      <c r="D15039" s="0" t="s">
        <v>50099</v>
      </c>
      <c r="E15039" s="0" t="s">
        <v>89</v>
      </c>
      <c r="F15039" s="0" t="s">
        <v>90</v>
      </c>
      <c r="G15039" s="0" t="s">
        <v>32</v>
      </c>
      <c r="H15039" s="0" t="n">
        <v>170</v>
      </c>
      <c r="I15039" s="0" t="s">
        <v>50109</v>
      </c>
      <c r="J15039" s="0" t="s">
        <v>50110</v>
      </c>
      <c r="K15039" s="0" t="s">
        <v>50111</v>
      </c>
      <c r="L15039" s="0" t="str">
        <f aca="false">HYPERLINK("https://www.ncbi.nlm.nih.gov/nuccore/CP000304.1?report=graph&amp;tracks=[key:gene_model_track,Options:GeneOnly]&amp;mk=4253375:4253394|offset_36|444444,4253353:4253372|offset_58|444444,4253319:4253338|offset_92|444444,4253241:4253260|offset_170|00cc00&amp;v=4253174:4253460&amp;c=444444", "offset 170")</f>
        <v>offset 170</v>
      </c>
    </row>
    <row r="15040" customFormat="false" ht="12.8" hidden="false" customHeight="false" outlineLevel="0" collapsed="false">
      <c r="A15040" s="0" t="s">
        <v>12</v>
      </c>
      <c r="B15040" s="0" t="n">
        <v>4253503</v>
      </c>
      <c r="C15040" s="0" t="n">
        <v>4253523</v>
      </c>
      <c r="D15040" s="0" t="s">
        <v>50112</v>
      </c>
      <c r="E15040" s="0" t="s">
        <v>89</v>
      </c>
      <c r="F15040" s="0" t="s">
        <v>90</v>
      </c>
      <c r="G15040" s="0" t="s">
        <v>36</v>
      </c>
      <c r="H15040" s="0" t="n">
        <v>30</v>
      </c>
      <c r="I15040" s="0" t="s">
        <v>50113</v>
      </c>
      <c r="J15040" s="0" t="s">
        <v>50114</v>
      </c>
      <c r="K15040" s="0" t="s">
        <v>50115</v>
      </c>
      <c r="L15040" s="0" t="str">
        <f aca="false">HYPERLINK("https://www.ncbi.nlm.nih.gov/nuccore/CP000304.1?report=graph&amp;tracks=[key:gene_model_track,Options:GeneOnly]&amp;mk=4253504:4253523|offset_30|00cc00&amp;v=4253303:4253723&amp;c=444444", "offset 30")</f>
        <v>offset 30</v>
      </c>
    </row>
    <row r="15041" customFormat="false" ht="12.8" hidden="false" customHeight="false" outlineLevel="0" collapsed="false">
      <c r="A15041" s="0" t="s">
        <v>12</v>
      </c>
      <c r="B15041" s="0" t="n">
        <v>4253607</v>
      </c>
      <c r="C15041" s="0" t="n">
        <v>4253627</v>
      </c>
      <c r="D15041" s="0" t="s">
        <v>50116</v>
      </c>
      <c r="E15041" s="0" t="s">
        <v>89</v>
      </c>
      <c r="F15041" s="0" t="s">
        <v>15</v>
      </c>
      <c r="G15041" s="0" t="s">
        <v>32</v>
      </c>
      <c r="H15041" s="0" t="n">
        <v>34</v>
      </c>
      <c r="I15041" s="0" t="s">
        <v>50117</v>
      </c>
      <c r="J15041" s="0" t="s">
        <v>50118</v>
      </c>
      <c r="K15041" s="0" t="s">
        <v>50119</v>
      </c>
      <c r="L15041" s="0" t="str">
        <f aca="false">HYPERLINK("https://www.ncbi.nlm.nih.gov/nuccore/CP000304.1?report=graph&amp;tracks=[key:gene_model_track,Options:GeneOnly]&amp;mk=4253608:4253627|offset_34|00cc00,4253636:4253655|offset_62|444444,4253666:4253685|offset_92|444444,4253693:4253712|offset_119|444444&amp;v=4253407:4253912&amp;c=444444", "offset 34")</f>
        <v>offset 34</v>
      </c>
    </row>
    <row r="15042" customFormat="false" ht="12.8" hidden="false" customHeight="false" outlineLevel="0" collapsed="false">
      <c r="A15042" s="0" t="s">
        <v>12</v>
      </c>
      <c r="B15042" s="0" t="n">
        <v>4253635</v>
      </c>
      <c r="C15042" s="0" t="n">
        <v>4253655</v>
      </c>
      <c r="D15042" s="0" t="s">
        <v>50116</v>
      </c>
      <c r="E15042" s="0" t="s">
        <v>89</v>
      </c>
      <c r="F15042" s="0" t="s">
        <v>15</v>
      </c>
      <c r="G15042" s="0" t="s">
        <v>32</v>
      </c>
      <c r="H15042" s="0" t="n">
        <v>62</v>
      </c>
      <c r="I15042" s="0" t="s">
        <v>50120</v>
      </c>
      <c r="J15042" s="0" t="s">
        <v>50121</v>
      </c>
      <c r="K15042" s="0" t="s">
        <v>50122</v>
      </c>
      <c r="L15042" s="0" t="str">
        <f aca="false">HYPERLINK("https://www.ncbi.nlm.nih.gov/nuccore/CP000304.1?report=graph&amp;tracks=[key:gene_model_track,Options:GeneOnly]&amp;mk=4253608:4253627|offset_34|444444,4253636:4253655|offset_62|00cc00,4253666:4253685|offset_92|444444,4253693:4253712|offset_119|444444&amp;v=4253407:4253912&amp;c=444444", "offset 62")</f>
        <v>offset 62</v>
      </c>
    </row>
    <row r="15043" customFormat="false" ht="12.8" hidden="false" customHeight="false" outlineLevel="0" collapsed="false">
      <c r="A15043" s="0" t="s">
        <v>12</v>
      </c>
      <c r="B15043" s="0" t="n">
        <v>4253665</v>
      </c>
      <c r="C15043" s="0" t="n">
        <v>4253685</v>
      </c>
      <c r="D15043" s="0" t="s">
        <v>50116</v>
      </c>
      <c r="E15043" s="0" t="s">
        <v>89</v>
      </c>
      <c r="F15043" s="0" t="s">
        <v>15</v>
      </c>
      <c r="G15043" s="0" t="s">
        <v>16</v>
      </c>
      <c r="H15043" s="0" t="n">
        <v>92</v>
      </c>
      <c r="I15043" s="0" t="s">
        <v>50123</v>
      </c>
      <c r="J15043" s="0" t="s">
        <v>50124</v>
      </c>
      <c r="K15043" s="0" t="s">
        <v>50125</v>
      </c>
      <c r="L15043" s="0" t="str">
        <f aca="false">HYPERLINK("https://www.ncbi.nlm.nih.gov/nuccore/CP000304.1?report=graph&amp;tracks=[key:gene_model_track,Options:GeneOnly]&amp;mk=4253608:4253627|offset_34|444444,4253636:4253655|offset_62|444444,4253666:4253685|offset_92|00cc00,4253693:4253712|offset_119|444444&amp;v=4253407:4253912&amp;c=444444", "offset 92")</f>
        <v>offset 92</v>
      </c>
    </row>
    <row r="15044" customFormat="false" ht="12.8" hidden="false" customHeight="false" outlineLevel="0" collapsed="false">
      <c r="A15044" s="0" t="s">
        <v>12</v>
      </c>
      <c r="B15044" s="0" t="n">
        <v>4253692</v>
      </c>
      <c r="C15044" s="0" t="n">
        <v>4253712</v>
      </c>
      <c r="D15044" s="0" t="s">
        <v>50116</v>
      </c>
      <c r="E15044" s="0" t="s">
        <v>89</v>
      </c>
      <c r="F15044" s="0" t="s">
        <v>15</v>
      </c>
      <c r="G15044" s="0" t="s">
        <v>26</v>
      </c>
      <c r="H15044" s="0" t="n">
        <v>119</v>
      </c>
      <c r="I15044" s="0" t="s">
        <v>50126</v>
      </c>
      <c r="J15044" s="0" t="s">
        <v>50127</v>
      </c>
      <c r="K15044" s="0" t="s">
        <v>50128</v>
      </c>
      <c r="L15044" s="0" t="str">
        <f aca="false">HYPERLINK("https://www.ncbi.nlm.nih.gov/nuccore/CP000304.1?report=graph&amp;tracks=[key:gene_model_track,Options:GeneOnly]&amp;mk=4253608:4253627|offset_34|444444,4253636:4253655|offset_62|444444,4253666:4253685|offset_92|444444,4253693:4253712|offset_119|00cc00&amp;v=4253407:4253912&amp;c=444444", "offset 119")</f>
        <v>offset 119</v>
      </c>
    </row>
    <row r="15045" customFormat="false" ht="12.8" hidden="false" customHeight="false" outlineLevel="0" collapsed="false">
      <c r="A15045" s="0" t="s">
        <v>12</v>
      </c>
      <c r="B15045" s="0" t="n">
        <v>4254461</v>
      </c>
      <c r="C15045" s="0" t="n">
        <v>4254481</v>
      </c>
      <c r="D15045" s="0" t="s">
        <v>50129</v>
      </c>
      <c r="E15045" s="0" t="s">
        <v>89</v>
      </c>
      <c r="F15045" s="0" t="s">
        <v>15</v>
      </c>
      <c r="G15045" s="0" t="s">
        <v>32</v>
      </c>
      <c r="H15045" s="0" t="n">
        <v>10</v>
      </c>
      <c r="I15045" s="0" t="s">
        <v>50130</v>
      </c>
      <c r="J15045" s="0" t="s">
        <v>50131</v>
      </c>
      <c r="K15045" s="0" t="s">
        <v>50132</v>
      </c>
      <c r="L15045" s="0" t="str">
        <f aca="false">HYPERLINK("https://www.ncbi.nlm.nih.gov/nuccore/CP000304.1?report=graph&amp;tracks=[key:gene_model_track,Options:GeneOnly]&amp;mk=4254462:4254481|offset_10|00cc00,4254483:4254502|offset_31|444444,4254504:4254523|offset_52|444444,4254526:4254545|offset_74|444444&amp;v=4254261:4254745&amp;c=444444", "offset 10")</f>
        <v>offset 10</v>
      </c>
    </row>
    <row r="15046" customFormat="false" ht="12.8" hidden="false" customHeight="false" outlineLevel="0" collapsed="false">
      <c r="A15046" s="0" t="s">
        <v>12</v>
      </c>
      <c r="B15046" s="0" t="n">
        <v>4254482</v>
      </c>
      <c r="C15046" s="0" t="n">
        <v>4254502</v>
      </c>
      <c r="D15046" s="0" t="s">
        <v>50129</v>
      </c>
      <c r="E15046" s="0" t="s">
        <v>89</v>
      </c>
      <c r="F15046" s="0" t="s">
        <v>15</v>
      </c>
      <c r="G15046" s="0" t="s">
        <v>16</v>
      </c>
      <c r="H15046" s="0" t="n">
        <v>31</v>
      </c>
      <c r="I15046" s="0" t="s">
        <v>50133</v>
      </c>
      <c r="J15046" s="0" t="s">
        <v>50134</v>
      </c>
      <c r="K15046" s="0" t="s">
        <v>50135</v>
      </c>
      <c r="L15046" s="0" t="str">
        <f aca="false">HYPERLINK("https://www.ncbi.nlm.nih.gov/nuccore/CP000304.1?report=graph&amp;tracks=[key:gene_model_track,Options:GeneOnly]&amp;mk=4254462:4254481|offset_10|444444,4254483:4254502|offset_31|00cc00,4254504:4254523|offset_52|444444,4254526:4254545|offset_74|444444&amp;v=4254261:4254745&amp;c=444444", "offset 31")</f>
        <v>offset 31</v>
      </c>
    </row>
    <row r="15047" customFormat="false" ht="12.8" hidden="false" customHeight="false" outlineLevel="0" collapsed="false">
      <c r="A15047" s="0" t="s">
        <v>12</v>
      </c>
      <c r="B15047" s="0" t="n">
        <v>4254503</v>
      </c>
      <c r="C15047" s="0" t="n">
        <v>4254523</v>
      </c>
      <c r="D15047" s="0" t="s">
        <v>50129</v>
      </c>
      <c r="E15047" s="0" t="s">
        <v>89</v>
      </c>
      <c r="F15047" s="0" t="s">
        <v>15</v>
      </c>
      <c r="G15047" s="0" t="s">
        <v>26</v>
      </c>
      <c r="H15047" s="0" t="n">
        <v>52</v>
      </c>
      <c r="I15047" s="0" t="s">
        <v>50136</v>
      </c>
      <c r="J15047" s="0" t="s">
        <v>50137</v>
      </c>
      <c r="K15047" s="0" t="s">
        <v>50138</v>
      </c>
      <c r="L15047" s="0" t="str">
        <f aca="false">HYPERLINK("https://www.ncbi.nlm.nih.gov/nuccore/CP000304.1?report=graph&amp;tracks=[key:gene_model_track,Options:GeneOnly]&amp;mk=4254462:4254481|offset_10|444444,4254483:4254502|offset_31|444444,4254504:4254523|offset_52|00cc00,4254526:4254545|offset_74|444444&amp;v=4254261:4254745&amp;c=444444", "offset 52")</f>
        <v>offset 52</v>
      </c>
    </row>
    <row r="15048" customFormat="false" ht="12.8" hidden="false" customHeight="false" outlineLevel="0" collapsed="false">
      <c r="A15048" s="0" t="s">
        <v>12</v>
      </c>
      <c r="B15048" s="0" t="n">
        <v>4254525</v>
      </c>
      <c r="C15048" s="0" t="n">
        <v>4254545</v>
      </c>
      <c r="D15048" s="0" t="s">
        <v>50129</v>
      </c>
      <c r="E15048" s="0" t="s">
        <v>89</v>
      </c>
      <c r="F15048" s="0" t="s">
        <v>15</v>
      </c>
      <c r="G15048" s="0" t="s">
        <v>26</v>
      </c>
      <c r="H15048" s="0" t="n">
        <v>74</v>
      </c>
      <c r="I15048" s="0" t="s">
        <v>50139</v>
      </c>
      <c r="J15048" s="0" t="s">
        <v>50140</v>
      </c>
      <c r="K15048" s="0" t="s">
        <v>50141</v>
      </c>
      <c r="L15048" s="0" t="str">
        <f aca="false">HYPERLINK("https://www.ncbi.nlm.nih.gov/nuccore/CP000304.1?report=graph&amp;tracks=[key:gene_model_track,Options:GeneOnly]&amp;mk=4254462:4254481|offset_10|444444,4254483:4254502|offset_31|444444,4254504:4254523|offset_52|444444,4254526:4254545|offset_74|00cc00&amp;v=4254261:4254745&amp;c=444444", "offset 74")</f>
        <v>offset 74</v>
      </c>
    </row>
    <row r="15049" customFormat="false" ht="12.8" hidden="false" customHeight="false" outlineLevel="0" collapsed="false">
      <c r="A15049" s="0" t="s">
        <v>12</v>
      </c>
      <c r="B15049" s="0" t="n">
        <v>4255136</v>
      </c>
      <c r="C15049" s="0" t="n">
        <v>4255156</v>
      </c>
      <c r="D15049" s="0" t="s">
        <v>50142</v>
      </c>
      <c r="E15049" s="0" t="s">
        <v>89</v>
      </c>
      <c r="F15049" s="0" t="s">
        <v>15</v>
      </c>
      <c r="G15049" s="0" t="s">
        <v>26</v>
      </c>
      <c r="H15049" s="0" t="n">
        <v>0</v>
      </c>
      <c r="I15049" s="0" t="s">
        <v>50143</v>
      </c>
      <c r="J15049" s="0" t="s">
        <v>50144</v>
      </c>
      <c r="K15049" s="0" t="s">
        <v>50145</v>
      </c>
      <c r="L15049" s="0" t="str">
        <f aca="false">HYPERLINK("https://www.ncbi.nlm.nih.gov/nuccore/CP000304.1?report=graph&amp;tracks=[key:gene_model_track,Options:GeneOnly]&amp;mk=4255137:4255156|offset_0|00cc00,4255157:4255176|offset_20|444444,4255181:4255200|offset_44|444444,4255223:4255242|offset_86|444444&amp;v=4254936:4255442&amp;c=444444", "offset 0")</f>
        <v>offset 0</v>
      </c>
    </row>
    <row r="15050" customFormat="false" ht="12.8" hidden="false" customHeight="false" outlineLevel="0" collapsed="false">
      <c r="A15050" s="0" t="s">
        <v>12</v>
      </c>
      <c r="B15050" s="0" t="n">
        <v>4255156</v>
      </c>
      <c r="C15050" s="0" t="n">
        <v>4255176</v>
      </c>
      <c r="D15050" s="0" t="s">
        <v>50142</v>
      </c>
      <c r="E15050" s="0" t="s">
        <v>89</v>
      </c>
      <c r="F15050" s="0" t="s">
        <v>15</v>
      </c>
      <c r="G15050" s="0" t="s">
        <v>32</v>
      </c>
      <c r="H15050" s="0" t="n">
        <v>20</v>
      </c>
      <c r="I15050" s="0" t="s">
        <v>50146</v>
      </c>
      <c r="J15050" s="0" t="s">
        <v>50147</v>
      </c>
      <c r="K15050" s="0" t="s">
        <v>50148</v>
      </c>
      <c r="L15050" s="0" t="str">
        <f aca="false">HYPERLINK("https://www.ncbi.nlm.nih.gov/nuccore/CP000304.1?report=graph&amp;tracks=[key:gene_model_track,Options:GeneOnly]&amp;mk=4255137:4255156|offset_0|444444,4255157:4255176|offset_20|00cc00,4255181:4255200|offset_44|444444,4255223:4255242|offset_86|444444&amp;v=4254936:4255442&amp;c=444444", "offset 20")</f>
        <v>offset 20</v>
      </c>
    </row>
    <row r="15051" customFormat="false" ht="12.8" hidden="false" customHeight="false" outlineLevel="0" collapsed="false">
      <c r="A15051" s="0" t="s">
        <v>12</v>
      </c>
      <c r="B15051" s="0" t="n">
        <v>4255180</v>
      </c>
      <c r="C15051" s="0" t="n">
        <v>4255200</v>
      </c>
      <c r="D15051" s="0" t="s">
        <v>50142</v>
      </c>
      <c r="E15051" s="0" t="s">
        <v>89</v>
      </c>
      <c r="F15051" s="0" t="s">
        <v>15</v>
      </c>
      <c r="G15051" s="0" t="s">
        <v>32</v>
      </c>
      <c r="H15051" s="0" t="n">
        <v>44</v>
      </c>
      <c r="I15051" s="0" t="s">
        <v>50149</v>
      </c>
      <c r="J15051" s="0" t="s">
        <v>50150</v>
      </c>
      <c r="K15051" s="0" t="s">
        <v>50151</v>
      </c>
      <c r="L15051" s="0" t="str">
        <f aca="false">HYPERLINK("https://www.ncbi.nlm.nih.gov/nuccore/CP000304.1?report=graph&amp;tracks=[key:gene_model_track,Options:GeneOnly]&amp;mk=4255137:4255156|offset_0|444444,4255157:4255176|offset_20|444444,4255181:4255200|offset_44|00cc00,4255223:4255242|offset_86|444444&amp;v=4254936:4255442&amp;c=444444", "offset 44")</f>
        <v>offset 44</v>
      </c>
    </row>
    <row r="15052" customFormat="false" ht="12.8" hidden="false" customHeight="false" outlineLevel="0" collapsed="false">
      <c r="A15052" s="0" t="s">
        <v>12</v>
      </c>
      <c r="B15052" s="0" t="n">
        <v>4255222</v>
      </c>
      <c r="C15052" s="0" t="n">
        <v>4255242</v>
      </c>
      <c r="D15052" s="0" t="s">
        <v>50142</v>
      </c>
      <c r="E15052" s="0" t="s">
        <v>89</v>
      </c>
      <c r="F15052" s="0" t="s">
        <v>15</v>
      </c>
      <c r="G15052" s="0" t="s">
        <v>26</v>
      </c>
      <c r="H15052" s="0" t="n">
        <v>86</v>
      </c>
      <c r="I15052" s="0" t="s">
        <v>50152</v>
      </c>
      <c r="J15052" s="0" t="s">
        <v>50153</v>
      </c>
      <c r="K15052" s="0" t="s">
        <v>50154</v>
      </c>
      <c r="L15052" s="0" t="str">
        <f aca="false">HYPERLINK("https://www.ncbi.nlm.nih.gov/nuccore/CP000304.1?report=graph&amp;tracks=[key:gene_model_track,Options:GeneOnly]&amp;mk=4255137:4255156|offset_0|444444,4255157:4255176|offset_20|444444,4255181:4255200|offset_44|444444,4255223:4255242|offset_86|00cc00&amp;v=4254936:4255442&amp;c=444444", "offset 86")</f>
        <v>offset 86</v>
      </c>
    </row>
    <row r="15053" customFormat="false" ht="12.8" hidden="false" customHeight="false" outlineLevel="0" collapsed="false">
      <c r="A15053" s="0" t="s">
        <v>12</v>
      </c>
      <c r="B15053" s="0" t="n">
        <v>4256177</v>
      </c>
      <c r="C15053" s="0" t="n">
        <v>4256197</v>
      </c>
      <c r="D15053" s="0" t="s">
        <v>50155</v>
      </c>
      <c r="E15053" s="0" t="s">
        <v>50156</v>
      </c>
      <c r="F15053" s="0" t="s">
        <v>15</v>
      </c>
      <c r="G15053" s="0" t="s">
        <v>26</v>
      </c>
      <c r="H15053" s="0" t="n">
        <v>25</v>
      </c>
      <c r="I15053" s="0" t="s">
        <v>50157</v>
      </c>
      <c r="J15053" s="0" t="s">
        <v>50158</v>
      </c>
      <c r="K15053" s="0" t="s">
        <v>50159</v>
      </c>
      <c r="L15053" s="0" t="str">
        <f aca="false">HYPERLINK("https://www.ncbi.nlm.nih.gov/nuccore/CP000304.1?report=graph&amp;tracks=[key:gene_model_track,Options:GeneOnly]&amp;mk=4256178:4256197|offset_25|00cc00,4256204:4256223|offset_51|444444,4256229:4256248|offset_76|444444,4256256:4256275|offset_103|444444&amp;v=4255977:4256475&amp;c=444444", "offset 25")</f>
        <v>offset 25</v>
      </c>
    </row>
    <row r="15054" customFormat="false" ht="12.8" hidden="false" customHeight="false" outlineLevel="0" collapsed="false">
      <c r="A15054" s="0" t="s">
        <v>12</v>
      </c>
      <c r="B15054" s="0" t="n">
        <v>4256203</v>
      </c>
      <c r="C15054" s="0" t="n">
        <v>4256223</v>
      </c>
      <c r="D15054" s="0" t="s">
        <v>50155</v>
      </c>
      <c r="E15054" s="0" t="s">
        <v>50156</v>
      </c>
      <c r="F15054" s="0" t="s">
        <v>15</v>
      </c>
      <c r="G15054" s="0" t="s">
        <v>16</v>
      </c>
      <c r="H15054" s="0" t="n">
        <v>51</v>
      </c>
      <c r="I15054" s="0" t="s">
        <v>50160</v>
      </c>
      <c r="J15054" s="0" t="s">
        <v>50161</v>
      </c>
      <c r="K15054" s="0" t="s">
        <v>50162</v>
      </c>
      <c r="L15054" s="0" t="str">
        <f aca="false">HYPERLINK("https://www.ncbi.nlm.nih.gov/nuccore/CP000304.1?report=graph&amp;tracks=[key:gene_model_track,Options:GeneOnly]&amp;mk=4256178:4256197|offset_25|444444,4256204:4256223|offset_51|00cc00,4256229:4256248|offset_76|444444,4256256:4256275|offset_103|444444&amp;v=4255977:4256475&amp;c=444444", "offset 51")</f>
        <v>offset 51</v>
      </c>
    </row>
    <row r="15055" customFormat="false" ht="12.8" hidden="false" customHeight="false" outlineLevel="0" collapsed="false">
      <c r="A15055" s="0" t="s">
        <v>12</v>
      </c>
      <c r="B15055" s="0" t="n">
        <v>4256228</v>
      </c>
      <c r="C15055" s="0" t="n">
        <v>4256248</v>
      </c>
      <c r="D15055" s="0" t="s">
        <v>50155</v>
      </c>
      <c r="E15055" s="0" t="s">
        <v>50156</v>
      </c>
      <c r="F15055" s="0" t="s">
        <v>15</v>
      </c>
      <c r="G15055" s="0" t="s">
        <v>16</v>
      </c>
      <c r="H15055" s="0" t="n">
        <v>76</v>
      </c>
      <c r="I15055" s="0" t="s">
        <v>50163</v>
      </c>
      <c r="J15055" s="0" t="s">
        <v>50164</v>
      </c>
      <c r="K15055" s="0" t="s">
        <v>50165</v>
      </c>
      <c r="L15055" s="0" t="str">
        <f aca="false">HYPERLINK("https://www.ncbi.nlm.nih.gov/nuccore/CP000304.1?report=graph&amp;tracks=[key:gene_model_track,Options:GeneOnly]&amp;mk=4256178:4256197|offset_25|444444,4256204:4256223|offset_51|444444,4256229:4256248|offset_76|00cc00,4256256:4256275|offset_103|444444&amp;v=4255977:4256475&amp;c=444444", "offset 76")</f>
        <v>offset 76</v>
      </c>
    </row>
    <row r="15056" customFormat="false" ht="12.8" hidden="false" customHeight="false" outlineLevel="0" collapsed="false">
      <c r="A15056" s="0" t="s">
        <v>12</v>
      </c>
      <c r="B15056" s="0" t="n">
        <v>4256255</v>
      </c>
      <c r="C15056" s="0" t="n">
        <v>4256275</v>
      </c>
      <c r="D15056" s="0" t="s">
        <v>50155</v>
      </c>
      <c r="E15056" s="0" t="s">
        <v>50156</v>
      </c>
      <c r="F15056" s="0" t="s">
        <v>15</v>
      </c>
      <c r="G15056" s="0" t="s">
        <v>16</v>
      </c>
      <c r="H15056" s="0" t="n">
        <v>103</v>
      </c>
      <c r="I15056" s="0" t="s">
        <v>50166</v>
      </c>
      <c r="J15056" s="0" t="s">
        <v>50167</v>
      </c>
      <c r="K15056" s="0" t="s">
        <v>50168</v>
      </c>
      <c r="L15056" s="0" t="str">
        <f aca="false">HYPERLINK("https://www.ncbi.nlm.nih.gov/nuccore/CP000304.1?report=graph&amp;tracks=[key:gene_model_track,Options:GeneOnly]&amp;mk=4256178:4256197|offset_25|444444,4256204:4256223|offset_51|444444,4256229:4256248|offset_76|444444,4256256:4256275|offset_103|00cc00&amp;v=4255977:4256475&amp;c=444444", "offset 103")</f>
        <v>offset 103</v>
      </c>
    </row>
    <row r="15057" customFormat="false" ht="12.8" hidden="false" customHeight="false" outlineLevel="0" collapsed="false">
      <c r="A15057" s="0" t="s">
        <v>12</v>
      </c>
      <c r="B15057" s="0" t="n">
        <v>4257561</v>
      </c>
      <c r="C15057" s="0" t="n">
        <v>4257581</v>
      </c>
      <c r="D15057" s="0" t="s">
        <v>50169</v>
      </c>
      <c r="E15057" s="0" t="s">
        <v>89</v>
      </c>
      <c r="F15057" s="0" t="s">
        <v>15</v>
      </c>
      <c r="G15057" s="0" t="s">
        <v>32</v>
      </c>
      <c r="H15057" s="0" t="n">
        <v>1</v>
      </c>
      <c r="I15057" s="0" t="s">
        <v>50170</v>
      </c>
      <c r="J15057" s="0" t="s">
        <v>50171</v>
      </c>
      <c r="K15057" s="0" t="s">
        <v>50172</v>
      </c>
      <c r="L15057" s="0" t="str">
        <f aca="false">HYPERLINK("https://www.ncbi.nlm.nih.gov/nuccore/CP000304.1?report=graph&amp;tracks=[key:gene_model_track,Options:GeneOnly]&amp;mk=4257562:4257581|offset_1|00cc00,4257592:4257611|offset_31|444444,4257613:4257632|offset_52|444444,4257646:4257665|offset_85|444444&amp;v=4257361:4257865&amp;c=444444", "offset 1")</f>
        <v>offset 1</v>
      </c>
    </row>
    <row r="15058" customFormat="false" ht="12.8" hidden="false" customHeight="false" outlineLevel="0" collapsed="false">
      <c r="A15058" s="0" t="s">
        <v>12</v>
      </c>
      <c r="B15058" s="0" t="n">
        <v>4257591</v>
      </c>
      <c r="C15058" s="0" t="n">
        <v>4257611</v>
      </c>
      <c r="D15058" s="0" t="s">
        <v>50169</v>
      </c>
      <c r="E15058" s="0" t="s">
        <v>89</v>
      </c>
      <c r="F15058" s="0" t="s">
        <v>15</v>
      </c>
      <c r="G15058" s="0" t="s">
        <v>36</v>
      </c>
      <c r="H15058" s="0" t="n">
        <v>31</v>
      </c>
      <c r="I15058" s="0" t="s">
        <v>50173</v>
      </c>
      <c r="J15058" s="0" t="s">
        <v>50174</v>
      </c>
      <c r="K15058" s="0" t="s">
        <v>50175</v>
      </c>
      <c r="L15058" s="0" t="str">
        <f aca="false">HYPERLINK("https://www.ncbi.nlm.nih.gov/nuccore/CP000304.1?report=graph&amp;tracks=[key:gene_model_track,Options:GeneOnly]&amp;mk=4257562:4257581|offset_1|444444,4257592:4257611|offset_31|00cc00,4257613:4257632|offset_52|444444,4257646:4257665|offset_85|444444&amp;v=4257361:4257865&amp;c=444444", "offset 31")</f>
        <v>offset 31</v>
      </c>
    </row>
    <row r="15059" customFormat="false" ht="12.8" hidden="false" customHeight="false" outlineLevel="0" collapsed="false">
      <c r="A15059" s="0" t="s">
        <v>12</v>
      </c>
      <c r="B15059" s="0" t="n">
        <v>4257612</v>
      </c>
      <c r="C15059" s="0" t="n">
        <v>4257632</v>
      </c>
      <c r="D15059" s="0" t="s">
        <v>50169</v>
      </c>
      <c r="E15059" s="0" t="s">
        <v>89</v>
      </c>
      <c r="F15059" s="0" t="s">
        <v>15</v>
      </c>
      <c r="G15059" s="0" t="s">
        <v>26</v>
      </c>
      <c r="H15059" s="0" t="n">
        <v>52</v>
      </c>
      <c r="I15059" s="0" t="s">
        <v>50176</v>
      </c>
      <c r="J15059" s="0" t="s">
        <v>50177</v>
      </c>
      <c r="K15059" s="0" t="s">
        <v>50178</v>
      </c>
      <c r="L15059" s="0" t="str">
        <f aca="false">HYPERLINK("https://www.ncbi.nlm.nih.gov/nuccore/CP000304.1?report=graph&amp;tracks=[key:gene_model_track,Options:GeneOnly]&amp;mk=4257562:4257581|offset_1|444444,4257592:4257611|offset_31|444444,4257613:4257632|offset_52|00cc00,4257646:4257665|offset_85|444444&amp;v=4257361:4257865&amp;c=444444", "offset 52")</f>
        <v>offset 52</v>
      </c>
    </row>
    <row r="15060" customFormat="false" ht="12.8" hidden="false" customHeight="false" outlineLevel="0" collapsed="false">
      <c r="A15060" s="0" t="s">
        <v>12</v>
      </c>
      <c r="B15060" s="0" t="n">
        <v>4257645</v>
      </c>
      <c r="C15060" s="0" t="n">
        <v>4257665</v>
      </c>
      <c r="D15060" s="0" t="s">
        <v>50169</v>
      </c>
      <c r="E15060" s="0" t="s">
        <v>89</v>
      </c>
      <c r="F15060" s="0" t="s">
        <v>15</v>
      </c>
      <c r="G15060" s="0" t="s">
        <v>32</v>
      </c>
      <c r="H15060" s="0" t="n">
        <v>85</v>
      </c>
      <c r="I15060" s="0" t="s">
        <v>50179</v>
      </c>
      <c r="J15060" s="0" t="s">
        <v>50180</v>
      </c>
      <c r="K15060" s="0" t="s">
        <v>50181</v>
      </c>
      <c r="L15060" s="0" t="str">
        <f aca="false">HYPERLINK("https://www.ncbi.nlm.nih.gov/nuccore/CP000304.1?report=graph&amp;tracks=[key:gene_model_track,Options:GeneOnly]&amp;mk=4257562:4257581|offset_1|444444,4257592:4257611|offset_31|444444,4257613:4257632|offset_52|444444,4257646:4257665|offset_85|00cc00&amp;v=4257361:4257865&amp;c=444444", "offset 85")</f>
        <v>offset 85</v>
      </c>
    </row>
    <row r="15061" customFormat="false" ht="12.8" hidden="false" customHeight="false" outlineLevel="0" collapsed="false">
      <c r="A15061" s="0" t="s">
        <v>12</v>
      </c>
      <c r="B15061" s="0" t="n">
        <v>4258673</v>
      </c>
      <c r="C15061" s="0" t="n">
        <v>4258693</v>
      </c>
      <c r="D15061" s="0" t="s">
        <v>50182</v>
      </c>
      <c r="E15061" s="0" t="s">
        <v>89</v>
      </c>
      <c r="F15061" s="0" t="s">
        <v>90</v>
      </c>
      <c r="G15061" s="0" t="s">
        <v>16</v>
      </c>
      <c r="H15061" s="0" t="n">
        <v>20</v>
      </c>
      <c r="I15061" s="0" t="s">
        <v>50183</v>
      </c>
      <c r="J15061" s="0" t="s">
        <v>50184</v>
      </c>
      <c r="K15061" s="0" t="s">
        <v>50185</v>
      </c>
      <c r="L15061" s="0" t="str">
        <f aca="false">HYPERLINK("https://www.ncbi.nlm.nih.gov/nuccore/CP000304.1?report=graph&amp;tracks=[key:gene_model_track,Options:GeneOnly]&amp;mk=4258674:4258693|offset_20|00cc00,4258642:4258661|offset_52|444444,4258615:4258634|offset_79|444444,4258567:4258586|offset_127|444444&amp;v=4258473:4258786&amp;c=444444", "offset 20")</f>
        <v>offset 20</v>
      </c>
    </row>
    <row r="15062" customFormat="false" ht="12.8" hidden="false" customHeight="false" outlineLevel="0" collapsed="false">
      <c r="A15062" s="0" t="s">
        <v>12</v>
      </c>
      <c r="B15062" s="0" t="n">
        <v>4258641</v>
      </c>
      <c r="C15062" s="0" t="n">
        <v>4258661</v>
      </c>
      <c r="D15062" s="0" t="s">
        <v>50182</v>
      </c>
      <c r="E15062" s="0" t="s">
        <v>89</v>
      </c>
      <c r="F15062" s="0" t="s">
        <v>90</v>
      </c>
      <c r="G15062" s="0" t="s">
        <v>26</v>
      </c>
      <c r="H15062" s="0" t="n">
        <v>52</v>
      </c>
      <c r="I15062" s="0" t="s">
        <v>50186</v>
      </c>
      <c r="J15062" s="0" t="s">
        <v>50187</v>
      </c>
      <c r="K15062" s="0" t="s">
        <v>50188</v>
      </c>
      <c r="L15062" s="0" t="str">
        <f aca="false">HYPERLINK("https://www.ncbi.nlm.nih.gov/nuccore/CP000304.1?report=graph&amp;tracks=[key:gene_model_track,Options:GeneOnly]&amp;mk=4258674:4258693|offset_20|444444,4258642:4258661|offset_52|00cc00,4258615:4258634|offset_79|444444,4258567:4258586|offset_127|444444&amp;v=4258473:4258786&amp;c=444444", "offset 52")</f>
        <v>offset 52</v>
      </c>
    </row>
    <row r="15063" customFormat="false" ht="12.8" hidden="false" customHeight="false" outlineLevel="0" collapsed="false">
      <c r="A15063" s="0" t="s">
        <v>12</v>
      </c>
      <c r="B15063" s="0" t="n">
        <v>4258614</v>
      </c>
      <c r="C15063" s="0" t="n">
        <v>4258634</v>
      </c>
      <c r="D15063" s="0" t="s">
        <v>50182</v>
      </c>
      <c r="E15063" s="0" t="s">
        <v>89</v>
      </c>
      <c r="F15063" s="0" t="s">
        <v>90</v>
      </c>
      <c r="G15063" s="0" t="s">
        <v>32</v>
      </c>
      <c r="H15063" s="0" t="n">
        <v>79</v>
      </c>
      <c r="I15063" s="0" t="s">
        <v>50189</v>
      </c>
      <c r="J15063" s="0" t="s">
        <v>50190</v>
      </c>
      <c r="K15063" s="0" t="s">
        <v>50191</v>
      </c>
      <c r="L15063" s="0" t="str">
        <f aca="false">HYPERLINK("https://www.ncbi.nlm.nih.gov/nuccore/CP000304.1?report=graph&amp;tracks=[key:gene_model_track,Options:GeneOnly]&amp;mk=4258674:4258693|offset_20|444444,4258642:4258661|offset_52|444444,4258615:4258634|offset_79|00cc00,4258567:4258586|offset_127|444444&amp;v=4258473:4258786&amp;c=444444", "offset 79")</f>
        <v>offset 79</v>
      </c>
    </row>
    <row r="15064" customFormat="false" ht="12.8" hidden="false" customHeight="false" outlineLevel="0" collapsed="false">
      <c r="A15064" s="0" t="s">
        <v>12</v>
      </c>
      <c r="B15064" s="0" t="n">
        <v>4258566</v>
      </c>
      <c r="C15064" s="0" t="n">
        <v>4258586</v>
      </c>
      <c r="D15064" s="0" t="s">
        <v>50182</v>
      </c>
      <c r="E15064" s="0" t="s">
        <v>89</v>
      </c>
      <c r="F15064" s="0" t="s">
        <v>90</v>
      </c>
      <c r="G15064" s="0" t="s">
        <v>32</v>
      </c>
      <c r="H15064" s="0" t="n">
        <v>127</v>
      </c>
      <c r="I15064" s="0" t="s">
        <v>50192</v>
      </c>
      <c r="J15064" s="0" t="s">
        <v>50193</v>
      </c>
      <c r="K15064" s="0" t="s">
        <v>50194</v>
      </c>
      <c r="L15064" s="0" t="str">
        <f aca="false">HYPERLINK("https://www.ncbi.nlm.nih.gov/nuccore/CP000304.1?report=graph&amp;tracks=[key:gene_model_track,Options:GeneOnly]&amp;mk=4258674:4258693|offset_20|444444,4258642:4258661|offset_52|444444,4258615:4258634|offset_79|444444,4258567:4258586|offset_127|00cc00&amp;v=4258473:4258786&amp;c=444444", "offset 127")</f>
        <v>offset 127</v>
      </c>
    </row>
    <row r="15065" customFormat="false" ht="12.8" hidden="false" customHeight="false" outlineLevel="0" collapsed="false">
      <c r="A15065" s="0" t="s">
        <v>12</v>
      </c>
      <c r="B15065" s="0" t="n">
        <v>4259730</v>
      </c>
      <c r="C15065" s="0" t="n">
        <v>4259750</v>
      </c>
      <c r="D15065" s="0" t="s">
        <v>50195</v>
      </c>
      <c r="E15065" s="0" t="s">
        <v>89</v>
      </c>
      <c r="F15065" s="0" t="s">
        <v>90</v>
      </c>
      <c r="G15065" s="0" t="s">
        <v>32</v>
      </c>
      <c r="H15065" s="0" t="n">
        <v>1</v>
      </c>
      <c r="I15065" s="0" t="s">
        <v>50196</v>
      </c>
      <c r="J15065" s="0" t="s">
        <v>50197</v>
      </c>
      <c r="K15065" s="0" t="s">
        <v>50198</v>
      </c>
      <c r="L15065" s="0" t="str">
        <f aca="false">HYPERLINK("https://www.ncbi.nlm.nih.gov/nuccore/CP000304.1?report=graph&amp;tracks=[key:gene_model_track,Options:GeneOnly]&amp;mk=4259731:4259750|offset_1|00cc00,4259700:4259719|offset_32|444444,4259655:4259674|offset_77|444444,4259630:4259649|offset_102|444444&amp;v=4259530:4259849&amp;c=444444", "offset 1")</f>
        <v>offset 1</v>
      </c>
    </row>
    <row r="15066" customFormat="false" ht="12.8" hidden="false" customHeight="false" outlineLevel="0" collapsed="false">
      <c r="A15066" s="0" t="s">
        <v>12</v>
      </c>
      <c r="B15066" s="0" t="n">
        <v>4259699</v>
      </c>
      <c r="C15066" s="0" t="n">
        <v>4259719</v>
      </c>
      <c r="D15066" s="0" t="s">
        <v>50195</v>
      </c>
      <c r="E15066" s="0" t="s">
        <v>89</v>
      </c>
      <c r="F15066" s="0" t="s">
        <v>90</v>
      </c>
      <c r="G15066" s="0" t="s">
        <v>16</v>
      </c>
      <c r="H15066" s="0" t="n">
        <v>32</v>
      </c>
      <c r="I15066" s="0" t="s">
        <v>50199</v>
      </c>
      <c r="J15066" s="0" t="s">
        <v>50200</v>
      </c>
      <c r="K15066" s="0" t="s">
        <v>50201</v>
      </c>
      <c r="L15066" s="0" t="str">
        <f aca="false">HYPERLINK("https://www.ncbi.nlm.nih.gov/nuccore/CP000304.1?report=graph&amp;tracks=[key:gene_model_track,Options:GeneOnly]&amp;mk=4259731:4259750|offset_1|444444,4259700:4259719|offset_32|00cc00,4259655:4259674|offset_77|444444,4259630:4259649|offset_102|444444&amp;v=4259530:4259849&amp;c=444444", "offset 32")</f>
        <v>offset 32</v>
      </c>
    </row>
    <row r="15067" customFormat="false" ht="12.8" hidden="false" customHeight="false" outlineLevel="0" collapsed="false">
      <c r="A15067" s="0" t="s">
        <v>12</v>
      </c>
      <c r="B15067" s="0" t="n">
        <v>4259654</v>
      </c>
      <c r="C15067" s="0" t="n">
        <v>4259674</v>
      </c>
      <c r="D15067" s="0" t="s">
        <v>50195</v>
      </c>
      <c r="E15067" s="0" t="s">
        <v>89</v>
      </c>
      <c r="F15067" s="0" t="s">
        <v>90</v>
      </c>
      <c r="G15067" s="0" t="s">
        <v>36</v>
      </c>
      <c r="H15067" s="0" t="n">
        <v>77</v>
      </c>
      <c r="I15067" s="0" t="s">
        <v>50202</v>
      </c>
      <c r="J15067" s="0" t="s">
        <v>50203</v>
      </c>
      <c r="K15067" s="0" t="s">
        <v>50204</v>
      </c>
      <c r="L15067" s="0" t="str">
        <f aca="false">HYPERLINK("https://www.ncbi.nlm.nih.gov/nuccore/CP000304.1?report=graph&amp;tracks=[key:gene_model_track,Options:GeneOnly]&amp;mk=4259731:4259750|offset_1|444444,4259700:4259719|offset_32|444444,4259655:4259674|offset_77|00cc00,4259630:4259649|offset_102|444444&amp;v=4259530:4259849&amp;c=444444", "offset 77")</f>
        <v>offset 77</v>
      </c>
    </row>
    <row r="15068" customFormat="false" ht="12.8" hidden="false" customHeight="false" outlineLevel="0" collapsed="false">
      <c r="A15068" s="0" t="s">
        <v>12</v>
      </c>
      <c r="B15068" s="0" t="n">
        <v>4259629</v>
      </c>
      <c r="C15068" s="0" t="n">
        <v>4259649</v>
      </c>
      <c r="D15068" s="0" t="s">
        <v>50195</v>
      </c>
      <c r="E15068" s="0" t="s">
        <v>89</v>
      </c>
      <c r="F15068" s="0" t="s">
        <v>90</v>
      </c>
      <c r="G15068" s="0" t="s">
        <v>36</v>
      </c>
      <c r="H15068" s="0" t="n">
        <v>102</v>
      </c>
      <c r="I15068" s="0" t="s">
        <v>50205</v>
      </c>
      <c r="J15068" s="0" t="s">
        <v>50206</v>
      </c>
      <c r="K15068" s="0" t="s">
        <v>50207</v>
      </c>
      <c r="L15068" s="0" t="str">
        <f aca="false">HYPERLINK("https://www.ncbi.nlm.nih.gov/nuccore/CP000304.1?report=graph&amp;tracks=[key:gene_model_track,Options:GeneOnly]&amp;mk=4259731:4259750|offset_1|444444,4259700:4259719|offset_32|444444,4259655:4259674|offset_77|444444,4259630:4259649|offset_102|00cc00&amp;v=4259530:4259849&amp;c=444444", "offset 102")</f>
        <v>offset 102</v>
      </c>
    </row>
    <row r="15069" customFormat="false" ht="12.8" hidden="false" customHeight="false" outlineLevel="0" collapsed="false">
      <c r="A15069" s="0" t="s">
        <v>12</v>
      </c>
      <c r="B15069" s="0" t="n">
        <v>4259846</v>
      </c>
      <c r="C15069" s="0" t="n">
        <v>4259866</v>
      </c>
      <c r="D15069" s="0" t="s">
        <v>50208</v>
      </c>
      <c r="E15069" s="0" t="s">
        <v>89</v>
      </c>
      <c r="F15069" s="0" t="s">
        <v>15</v>
      </c>
      <c r="G15069" s="0" t="s">
        <v>26</v>
      </c>
      <c r="H15069" s="0" t="n">
        <v>22</v>
      </c>
      <c r="I15069" s="0" t="s">
        <v>50209</v>
      </c>
      <c r="J15069" s="0" t="s">
        <v>50210</v>
      </c>
      <c r="K15069" s="0" t="s">
        <v>50211</v>
      </c>
      <c r="L15069" s="0" t="str">
        <f aca="false">HYPERLINK("https://www.ncbi.nlm.nih.gov/nuccore/CP000304.1?report=graph&amp;tracks=[key:gene_model_track,Options:GeneOnly]&amp;mk=4259847:4259866|offset_22|00cc00,4259917:4259936|offset_92|444444,4259973:4259992|offset_148|444444,4260008:4260027|offset_183|444444&amp;v=4259646:4260227&amp;c=444444", "offset 22")</f>
        <v>offset 22</v>
      </c>
    </row>
    <row r="15070" customFormat="false" ht="12.8" hidden="false" customHeight="false" outlineLevel="0" collapsed="false">
      <c r="A15070" s="0" t="s">
        <v>12</v>
      </c>
      <c r="B15070" s="0" t="n">
        <v>4259916</v>
      </c>
      <c r="C15070" s="0" t="n">
        <v>4259936</v>
      </c>
      <c r="D15070" s="0" t="s">
        <v>50208</v>
      </c>
      <c r="E15070" s="0" t="s">
        <v>89</v>
      </c>
      <c r="F15070" s="0" t="s">
        <v>15</v>
      </c>
      <c r="G15070" s="0" t="s">
        <v>32</v>
      </c>
      <c r="H15070" s="0" t="n">
        <v>92</v>
      </c>
      <c r="I15070" s="0" t="s">
        <v>50212</v>
      </c>
      <c r="J15070" s="0" t="s">
        <v>50213</v>
      </c>
      <c r="K15070" s="0" t="s">
        <v>50214</v>
      </c>
      <c r="L15070" s="0" t="str">
        <f aca="false">HYPERLINK("https://www.ncbi.nlm.nih.gov/nuccore/CP000304.1?report=graph&amp;tracks=[key:gene_model_track,Options:GeneOnly]&amp;mk=4259847:4259866|offset_22|444444,4259917:4259936|offset_92|00cc00,4259973:4259992|offset_148|444444,4260008:4260027|offset_183|444444&amp;v=4259646:4260227&amp;c=444444", "offset 92")</f>
        <v>offset 92</v>
      </c>
    </row>
    <row r="15071" customFormat="false" ht="12.8" hidden="false" customHeight="false" outlineLevel="0" collapsed="false">
      <c r="A15071" s="0" t="s">
        <v>12</v>
      </c>
      <c r="B15071" s="0" t="n">
        <v>4259972</v>
      </c>
      <c r="C15071" s="0" t="n">
        <v>4259992</v>
      </c>
      <c r="D15071" s="0" t="s">
        <v>50208</v>
      </c>
      <c r="E15071" s="0" t="s">
        <v>89</v>
      </c>
      <c r="F15071" s="0" t="s">
        <v>15</v>
      </c>
      <c r="G15071" s="0" t="s">
        <v>16</v>
      </c>
      <c r="H15071" s="0" t="n">
        <v>148</v>
      </c>
      <c r="I15071" s="0" t="s">
        <v>50215</v>
      </c>
      <c r="J15071" s="0" t="s">
        <v>50216</v>
      </c>
      <c r="K15071" s="0" t="s">
        <v>50217</v>
      </c>
      <c r="L15071" s="0" t="str">
        <f aca="false">HYPERLINK("https://www.ncbi.nlm.nih.gov/nuccore/CP000304.1?report=graph&amp;tracks=[key:gene_model_track,Options:GeneOnly]&amp;mk=4259847:4259866|offset_22|444444,4259917:4259936|offset_92|444444,4259973:4259992|offset_148|00cc00,4260008:4260027|offset_183|444444&amp;v=4259646:4260227&amp;c=444444", "offset 148")</f>
        <v>offset 148</v>
      </c>
    </row>
    <row r="15072" customFormat="false" ht="12.8" hidden="false" customHeight="false" outlineLevel="0" collapsed="false">
      <c r="A15072" s="0" t="s">
        <v>12</v>
      </c>
      <c r="B15072" s="0" t="n">
        <v>4260007</v>
      </c>
      <c r="C15072" s="0" t="n">
        <v>4260027</v>
      </c>
      <c r="D15072" s="0" t="s">
        <v>50208</v>
      </c>
      <c r="E15072" s="0" t="s">
        <v>89</v>
      </c>
      <c r="F15072" s="0" t="s">
        <v>15</v>
      </c>
      <c r="G15072" s="0" t="s">
        <v>32</v>
      </c>
      <c r="H15072" s="0" t="n">
        <v>183</v>
      </c>
      <c r="I15072" s="0" t="s">
        <v>50218</v>
      </c>
      <c r="J15072" s="0" t="s">
        <v>50219</v>
      </c>
      <c r="K15072" s="0" t="s">
        <v>50220</v>
      </c>
      <c r="L15072" s="0" t="str">
        <f aca="false">HYPERLINK("https://www.ncbi.nlm.nih.gov/nuccore/CP000304.1?report=graph&amp;tracks=[key:gene_model_track,Options:GeneOnly]&amp;mk=4259847:4259866|offset_22|444444,4259917:4259936|offset_92|444444,4259973:4259992|offset_148|444444,4260008:4260027|offset_183|00cc00&amp;v=4259646:4260227&amp;c=444444", "offset 183")</f>
        <v>offset 183</v>
      </c>
    </row>
    <row r="15073" customFormat="false" ht="12.8" hidden="false" customHeight="false" outlineLevel="0" collapsed="false">
      <c r="A15073" s="0" t="s">
        <v>12</v>
      </c>
      <c r="B15073" s="0" t="n">
        <v>4261176</v>
      </c>
      <c r="C15073" s="0" t="n">
        <v>4261196</v>
      </c>
      <c r="D15073" s="0" t="s">
        <v>50221</v>
      </c>
      <c r="E15073" s="0" t="s">
        <v>89</v>
      </c>
      <c r="F15073" s="0" t="s">
        <v>15</v>
      </c>
      <c r="G15073" s="0" t="s">
        <v>26</v>
      </c>
      <c r="H15073" s="0" t="n">
        <v>57</v>
      </c>
      <c r="I15073" s="0" t="s">
        <v>50222</v>
      </c>
      <c r="J15073" s="0" t="s">
        <v>50223</v>
      </c>
      <c r="K15073" s="0" t="s">
        <v>50224</v>
      </c>
      <c r="L15073" s="0" t="str">
        <f aca="false">HYPERLINK("https://www.ncbi.nlm.nih.gov/nuccore/CP000304.1?report=graph&amp;tracks=[key:gene_model_track,Options:GeneOnly]&amp;mk=4261177:4261196|offset_57|00cc00,4261204:4261223|offset_84|444444,4261226:4261245|offset_106|444444,4261253:4261272|offset_133|444444&amp;v=4260976:4261472&amp;c=444444", "offset 57")</f>
        <v>offset 57</v>
      </c>
    </row>
    <row r="15074" customFormat="false" ht="12.8" hidden="false" customHeight="false" outlineLevel="0" collapsed="false">
      <c r="A15074" s="0" t="s">
        <v>12</v>
      </c>
      <c r="B15074" s="0" t="n">
        <v>4261203</v>
      </c>
      <c r="C15074" s="0" t="n">
        <v>4261223</v>
      </c>
      <c r="D15074" s="0" t="s">
        <v>50221</v>
      </c>
      <c r="E15074" s="0" t="s">
        <v>89</v>
      </c>
      <c r="F15074" s="0" t="s">
        <v>15</v>
      </c>
      <c r="G15074" s="0" t="s">
        <v>16</v>
      </c>
      <c r="H15074" s="0" t="n">
        <v>84</v>
      </c>
      <c r="I15074" s="0" t="s">
        <v>50225</v>
      </c>
      <c r="J15074" s="0" t="s">
        <v>50226</v>
      </c>
      <c r="K15074" s="0" t="s">
        <v>50227</v>
      </c>
      <c r="L15074" s="0" t="str">
        <f aca="false">HYPERLINK("https://www.ncbi.nlm.nih.gov/nuccore/CP000304.1?report=graph&amp;tracks=[key:gene_model_track,Options:GeneOnly]&amp;mk=4261177:4261196|offset_57|444444,4261204:4261223|offset_84|00cc00,4261226:4261245|offset_106|444444,4261253:4261272|offset_133|444444&amp;v=4260976:4261472&amp;c=444444", "offset 84")</f>
        <v>offset 84</v>
      </c>
    </row>
    <row r="15075" customFormat="false" ht="12.8" hidden="false" customHeight="false" outlineLevel="0" collapsed="false">
      <c r="A15075" s="0" t="s">
        <v>12</v>
      </c>
      <c r="B15075" s="0" t="n">
        <v>4261225</v>
      </c>
      <c r="C15075" s="0" t="n">
        <v>4261245</v>
      </c>
      <c r="D15075" s="0" t="s">
        <v>50221</v>
      </c>
      <c r="E15075" s="0" t="s">
        <v>89</v>
      </c>
      <c r="F15075" s="0" t="s">
        <v>15</v>
      </c>
      <c r="G15075" s="0" t="s">
        <v>36</v>
      </c>
      <c r="H15075" s="0" t="n">
        <v>106</v>
      </c>
      <c r="I15075" s="0" t="s">
        <v>50228</v>
      </c>
      <c r="J15075" s="0" t="s">
        <v>50229</v>
      </c>
      <c r="K15075" s="0" t="s">
        <v>50230</v>
      </c>
      <c r="L15075" s="0" t="str">
        <f aca="false">HYPERLINK("https://www.ncbi.nlm.nih.gov/nuccore/CP000304.1?report=graph&amp;tracks=[key:gene_model_track,Options:GeneOnly]&amp;mk=4261177:4261196|offset_57|444444,4261204:4261223|offset_84|444444,4261226:4261245|offset_106|00cc00,4261253:4261272|offset_133|444444&amp;v=4260976:4261472&amp;c=444444", "offset 106")</f>
        <v>offset 106</v>
      </c>
    </row>
    <row r="15076" customFormat="false" ht="12.8" hidden="false" customHeight="false" outlineLevel="0" collapsed="false">
      <c r="A15076" s="0" t="s">
        <v>12</v>
      </c>
      <c r="B15076" s="0" t="n">
        <v>4261252</v>
      </c>
      <c r="C15076" s="0" t="n">
        <v>4261272</v>
      </c>
      <c r="D15076" s="0" t="s">
        <v>50221</v>
      </c>
      <c r="E15076" s="0" t="s">
        <v>89</v>
      </c>
      <c r="F15076" s="0" t="s">
        <v>15</v>
      </c>
      <c r="G15076" s="0" t="s">
        <v>32</v>
      </c>
      <c r="H15076" s="0" t="n">
        <v>133</v>
      </c>
      <c r="I15076" s="0" t="s">
        <v>50231</v>
      </c>
      <c r="J15076" s="0" t="s">
        <v>50232</v>
      </c>
      <c r="K15076" s="0" t="s">
        <v>50233</v>
      </c>
      <c r="L15076" s="0" t="str">
        <f aca="false">HYPERLINK("https://www.ncbi.nlm.nih.gov/nuccore/CP000304.1?report=graph&amp;tracks=[key:gene_model_track,Options:GeneOnly]&amp;mk=4261177:4261196|offset_57|444444,4261204:4261223|offset_84|444444,4261226:4261245|offset_106|444444,4261253:4261272|offset_133|00cc00&amp;v=4260976:4261472&amp;c=444444", "offset 133")</f>
        <v>offset 133</v>
      </c>
    </row>
    <row r="15077" customFormat="false" ht="12.8" hidden="false" customHeight="false" outlineLevel="0" collapsed="false">
      <c r="A15077" s="0" t="s">
        <v>12</v>
      </c>
      <c r="B15077" s="0" t="n">
        <v>4262994</v>
      </c>
      <c r="C15077" s="0" t="n">
        <v>4263014</v>
      </c>
      <c r="D15077" s="0" t="s">
        <v>50234</v>
      </c>
      <c r="E15077" s="0" t="s">
        <v>89</v>
      </c>
      <c r="F15077" s="0" t="s">
        <v>15</v>
      </c>
      <c r="G15077" s="0" t="s">
        <v>36</v>
      </c>
      <c r="H15077" s="0" t="n">
        <v>21</v>
      </c>
      <c r="I15077" s="0" t="s">
        <v>50235</v>
      </c>
      <c r="J15077" s="0" t="s">
        <v>50236</v>
      </c>
      <c r="K15077" s="0" t="s">
        <v>50237</v>
      </c>
      <c r="L15077" s="0" t="str">
        <f aca="false">HYPERLINK("https://www.ncbi.nlm.nih.gov/nuccore/CP000304.1?report=graph&amp;tracks=[key:gene_model_track,Options:GeneOnly]&amp;mk=4262995:4263014|offset_21|00cc00,4263030:4263049|offset_56|444444,4263056:4263075|offset_82|444444,4263114:4263133|offset_140|444444&amp;v=4262794:4263333&amp;c=444444", "offset 21")</f>
        <v>offset 21</v>
      </c>
    </row>
    <row r="15078" customFormat="false" ht="12.8" hidden="false" customHeight="false" outlineLevel="0" collapsed="false">
      <c r="A15078" s="0" t="s">
        <v>12</v>
      </c>
      <c r="B15078" s="0" t="n">
        <v>4263029</v>
      </c>
      <c r="C15078" s="0" t="n">
        <v>4263049</v>
      </c>
      <c r="D15078" s="0" t="s">
        <v>50234</v>
      </c>
      <c r="E15078" s="0" t="s">
        <v>89</v>
      </c>
      <c r="F15078" s="0" t="s">
        <v>15</v>
      </c>
      <c r="G15078" s="0" t="s">
        <v>36</v>
      </c>
      <c r="H15078" s="0" t="n">
        <v>56</v>
      </c>
      <c r="I15078" s="0" t="s">
        <v>50238</v>
      </c>
      <c r="J15078" s="0" t="s">
        <v>50239</v>
      </c>
      <c r="K15078" s="0" t="s">
        <v>50240</v>
      </c>
      <c r="L15078" s="0" t="str">
        <f aca="false">HYPERLINK("https://www.ncbi.nlm.nih.gov/nuccore/CP000304.1?report=graph&amp;tracks=[key:gene_model_track,Options:GeneOnly]&amp;mk=4262995:4263014|offset_21|444444,4263030:4263049|offset_56|00cc00,4263056:4263075|offset_82|444444,4263114:4263133|offset_140|444444&amp;v=4262794:4263333&amp;c=444444", "offset 56")</f>
        <v>offset 56</v>
      </c>
    </row>
    <row r="15079" customFormat="false" ht="12.8" hidden="false" customHeight="false" outlineLevel="0" collapsed="false">
      <c r="A15079" s="0" t="s">
        <v>12</v>
      </c>
      <c r="B15079" s="0" t="n">
        <v>4263055</v>
      </c>
      <c r="C15079" s="0" t="n">
        <v>4263075</v>
      </c>
      <c r="D15079" s="0" t="s">
        <v>50234</v>
      </c>
      <c r="E15079" s="0" t="s">
        <v>89</v>
      </c>
      <c r="F15079" s="0" t="s">
        <v>15</v>
      </c>
      <c r="G15079" s="0" t="s">
        <v>16</v>
      </c>
      <c r="H15079" s="0" t="n">
        <v>82</v>
      </c>
      <c r="I15079" s="0" t="s">
        <v>50241</v>
      </c>
      <c r="J15079" s="0" t="s">
        <v>50242</v>
      </c>
      <c r="K15079" s="0" t="s">
        <v>50243</v>
      </c>
      <c r="L15079" s="0" t="str">
        <f aca="false">HYPERLINK("https://www.ncbi.nlm.nih.gov/nuccore/CP000304.1?report=graph&amp;tracks=[key:gene_model_track,Options:GeneOnly]&amp;mk=4262995:4263014|offset_21|444444,4263030:4263049|offset_56|444444,4263056:4263075|offset_82|00cc00,4263114:4263133|offset_140|444444&amp;v=4262794:4263333&amp;c=444444", "offset 82")</f>
        <v>offset 82</v>
      </c>
    </row>
    <row r="15080" customFormat="false" ht="12.8" hidden="false" customHeight="false" outlineLevel="0" collapsed="false">
      <c r="A15080" s="0" t="s">
        <v>12</v>
      </c>
      <c r="B15080" s="0" t="n">
        <v>4263113</v>
      </c>
      <c r="C15080" s="0" t="n">
        <v>4263133</v>
      </c>
      <c r="D15080" s="0" t="s">
        <v>50234</v>
      </c>
      <c r="E15080" s="0" t="s">
        <v>89</v>
      </c>
      <c r="F15080" s="0" t="s">
        <v>15</v>
      </c>
      <c r="G15080" s="0" t="s">
        <v>26</v>
      </c>
      <c r="H15080" s="0" t="n">
        <v>140</v>
      </c>
      <c r="I15080" s="0" t="s">
        <v>50244</v>
      </c>
      <c r="J15080" s="0" t="s">
        <v>50245</v>
      </c>
      <c r="K15080" s="0" t="s">
        <v>50246</v>
      </c>
      <c r="L15080" s="0" t="str">
        <f aca="false">HYPERLINK("https://www.ncbi.nlm.nih.gov/nuccore/CP000304.1?report=graph&amp;tracks=[key:gene_model_track,Options:GeneOnly]&amp;mk=4262995:4263014|offset_21|444444,4263030:4263049|offset_56|444444,4263056:4263075|offset_82|444444,4263114:4263133|offset_140|00cc00&amp;v=4262794:4263333&amp;c=444444", "offset 140")</f>
        <v>offset 140</v>
      </c>
    </row>
    <row r="15081" customFormat="false" ht="12.8" hidden="false" customHeight="false" outlineLevel="0" collapsed="false">
      <c r="A15081" s="0" t="s">
        <v>12</v>
      </c>
      <c r="B15081" s="0" t="n">
        <v>4263789</v>
      </c>
      <c r="C15081" s="0" t="n">
        <v>4263809</v>
      </c>
      <c r="D15081" s="0" t="s">
        <v>50247</v>
      </c>
      <c r="E15081" s="0" t="s">
        <v>89</v>
      </c>
      <c r="F15081" s="0" t="s">
        <v>90</v>
      </c>
      <c r="G15081" s="0" t="s">
        <v>32</v>
      </c>
      <c r="H15081" s="0" t="n">
        <v>1</v>
      </c>
      <c r="I15081" s="0" t="s">
        <v>50248</v>
      </c>
      <c r="J15081" s="0" t="s">
        <v>50249</v>
      </c>
      <c r="K15081" s="0" t="s">
        <v>50250</v>
      </c>
      <c r="L15081" s="0" t="str">
        <f aca="false">HYPERLINK("https://www.ncbi.nlm.nih.gov/nuccore/CP000304.1?report=graph&amp;tracks=[key:gene_model_track,Options:GeneOnly]&amp;mk=4263790:4263809|offset_1|00cc00,4263765:4263784|offset_26|444444,4263717:4263736|offset_74|444444,4263664:4263683|offset_127|444444&amp;v=4263589:4263883&amp;c=444444", "offset 1")</f>
        <v>offset 1</v>
      </c>
    </row>
    <row r="15082" customFormat="false" ht="12.8" hidden="false" customHeight="false" outlineLevel="0" collapsed="false">
      <c r="A15082" s="0" t="s">
        <v>12</v>
      </c>
      <c r="B15082" s="0" t="n">
        <v>4263764</v>
      </c>
      <c r="C15082" s="0" t="n">
        <v>4263784</v>
      </c>
      <c r="D15082" s="0" t="s">
        <v>50247</v>
      </c>
      <c r="E15082" s="0" t="s">
        <v>89</v>
      </c>
      <c r="F15082" s="0" t="s">
        <v>90</v>
      </c>
      <c r="G15082" s="0" t="s">
        <v>26</v>
      </c>
      <c r="H15082" s="0" t="n">
        <v>26</v>
      </c>
      <c r="I15082" s="0" t="s">
        <v>50251</v>
      </c>
      <c r="J15082" s="0" t="s">
        <v>50252</v>
      </c>
      <c r="K15082" s="0" t="s">
        <v>50253</v>
      </c>
      <c r="L15082" s="0" t="str">
        <f aca="false">HYPERLINK("https://www.ncbi.nlm.nih.gov/nuccore/CP000304.1?report=graph&amp;tracks=[key:gene_model_track,Options:GeneOnly]&amp;mk=4263790:4263809|offset_1|444444,4263765:4263784|offset_26|00cc00,4263717:4263736|offset_74|444444,4263664:4263683|offset_127|444444&amp;v=4263589:4263883&amp;c=444444", "offset 26")</f>
        <v>offset 26</v>
      </c>
    </row>
    <row r="15083" customFormat="false" ht="12.8" hidden="false" customHeight="false" outlineLevel="0" collapsed="false">
      <c r="A15083" s="0" t="s">
        <v>12</v>
      </c>
      <c r="B15083" s="0" t="n">
        <v>4263716</v>
      </c>
      <c r="C15083" s="0" t="n">
        <v>4263736</v>
      </c>
      <c r="D15083" s="0" t="s">
        <v>50247</v>
      </c>
      <c r="E15083" s="0" t="s">
        <v>89</v>
      </c>
      <c r="F15083" s="0" t="s">
        <v>90</v>
      </c>
      <c r="G15083" s="0" t="s">
        <v>36</v>
      </c>
      <c r="H15083" s="0" t="n">
        <v>74</v>
      </c>
      <c r="I15083" s="0" t="s">
        <v>50254</v>
      </c>
      <c r="J15083" s="0" t="s">
        <v>50255</v>
      </c>
      <c r="K15083" s="0" t="s">
        <v>50256</v>
      </c>
      <c r="L15083" s="0" t="str">
        <f aca="false">HYPERLINK("https://www.ncbi.nlm.nih.gov/nuccore/CP000304.1?report=graph&amp;tracks=[key:gene_model_track,Options:GeneOnly]&amp;mk=4263790:4263809|offset_1|444444,4263765:4263784|offset_26|444444,4263717:4263736|offset_74|00cc00,4263664:4263683|offset_127|444444&amp;v=4263589:4263883&amp;c=444444", "offset 74")</f>
        <v>offset 74</v>
      </c>
    </row>
    <row r="15084" customFormat="false" ht="12.8" hidden="false" customHeight="false" outlineLevel="0" collapsed="false">
      <c r="A15084" s="0" t="s">
        <v>12</v>
      </c>
      <c r="B15084" s="0" t="n">
        <v>4263663</v>
      </c>
      <c r="C15084" s="0" t="n">
        <v>4263683</v>
      </c>
      <c r="D15084" s="0" t="s">
        <v>50247</v>
      </c>
      <c r="E15084" s="0" t="s">
        <v>89</v>
      </c>
      <c r="F15084" s="0" t="s">
        <v>90</v>
      </c>
      <c r="G15084" s="0" t="s">
        <v>32</v>
      </c>
      <c r="H15084" s="0" t="n">
        <v>127</v>
      </c>
      <c r="I15084" s="0" t="s">
        <v>50257</v>
      </c>
      <c r="J15084" s="0" t="s">
        <v>50258</v>
      </c>
      <c r="K15084" s="0" t="s">
        <v>50259</v>
      </c>
      <c r="L15084" s="0" t="str">
        <f aca="false">HYPERLINK("https://www.ncbi.nlm.nih.gov/nuccore/CP000304.1?report=graph&amp;tracks=[key:gene_model_track,Options:GeneOnly]&amp;mk=4263790:4263809|offset_1|444444,4263765:4263784|offset_26|444444,4263717:4263736|offset_74|444444,4263664:4263683|offset_127|00cc00&amp;v=4263589:4263883&amp;c=444444", "offset 127")</f>
        <v>offset 127</v>
      </c>
    </row>
    <row r="15085" customFormat="false" ht="12.8" hidden="false" customHeight="false" outlineLevel="0" collapsed="false">
      <c r="A15085" s="0" t="s">
        <v>12</v>
      </c>
      <c r="B15085" s="0" t="n">
        <v>4264331</v>
      </c>
      <c r="C15085" s="0" t="n">
        <v>4264351</v>
      </c>
      <c r="D15085" s="0" t="s">
        <v>50260</v>
      </c>
      <c r="E15085" s="0" t="s">
        <v>89</v>
      </c>
      <c r="F15085" s="0" t="s">
        <v>90</v>
      </c>
      <c r="G15085" s="0" t="s">
        <v>32</v>
      </c>
      <c r="H15085" s="0" t="n">
        <v>1</v>
      </c>
      <c r="I15085" s="0" t="s">
        <v>50261</v>
      </c>
      <c r="J15085" s="0" t="s">
        <v>50262</v>
      </c>
      <c r="K15085" s="0" t="s">
        <v>50263</v>
      </c>
      <c r="L15085" s="0" t="str">
        <f aca="false">HYPERLINK("https://www.ncbi.nlm.nih.gov/nuccore/CP000304.1?report=graph&amp;tracks=[key:gene_model_track,Options:GeneOnly]&amp;mk=4264332:4264351|offset_1|00cc00,4264308:4264327|offset_25|444444,4264280:4264299|offset_53|444444,4264260:4264279|offset_73|444444&amp;v=4264131:4264479&amp;c=444444", "offset 1")</f>
        <v>offset 1</v>
      </c>
    </row>
    <row r="15086" customFormat="false" ht="12.8" hidden="false" customHeight="false" outlineLevel="0" collapsed="false">
      <c r="A15086" s="0" t="s">
        <v>12</v>
      </c>
      <c r="B15086" s="0" t="n">
        <v>4264307</v>
      </c>
      <c r="C15086" s="0" t="n">
        <v>4264327</v>
      </c>
      <c r="D15086" s="0" t="s">
        <v>50260</v>
      </c>
      <c r="E15086" s="0" t="s">
        <v>89</v>
      </c>
      <c r="F15086" s="0" t="s">
        <v>90</v>
      </c>
      <c r="G15086" s="0" t="s">
        <v>36</v>
      </c>
      <c r="H15086" s="0" t="n">
        <v>25</v>
      </c>
      <c r="I15086" s="0" t="s">
        <v>50264</v>
      </c>
      <c r="J15086" s="0" t="s">
        <v>50265</v>
      </c>
      <c r="K15086" s="0" t="s">
        <v>50266</v>
      </c>
      <c r="L15086" s="0" t="str">
        <f aca="false">HYPERLINK("https://www.ncbi.nlm.nih.gov/nuccore/CP000304.1?report=graph&amp;tracks=[key:gene_model_track,Options:GeneOnly]&amp;mk=4264332:4264351|offset_1|444444,4264308:4264327|offset_25|00cc00,4264280:4264299|offset_53|444444,4264260:4264279|offset_73|444444&amp;v=4264131:4264479&amp;c=444444", "offset 25")</f>
        <v>offset 25</v>
      </c>
    </row>
    <row r="15087" customFormat="false" ht="12.8" hidden="false" customHeight="false" outlineLevel="0" collapsed="false">
      <c r="A15087" s="0" t="s">
        <v>12</v>
      </c>
      <c r="B15087" s="0" t="n">
        <v>4264279</v>
      </c>
      <c r="C15087" s="0" t="n">
        <v>4264299</v>
      </c>
      <c r="D15087" s="0" t="s">
        <v>50260</v>
      </c>
      <c r="E15087" s="0" t="s">
        <v>89</v>
      </c>
      <c r="F15087" s="0" t="s">
        <v>90</v>
      </c>
      <c r="G15087" s="0" t="s">
        <v>26</v>
      </c>
      <c r="H15087" s="0" t="n">
        <v>53</v>
      </c>
      <c r="I15087" s="0" t="s">
        <v>50267</v>
      </c>
      <c r="J15087" s="0" t="s">
        <v>50268</v>
      </c>
      <c r="K15087" s="0" t="s">
        <v>50269</v>
      </c>
      <c r="L15087" s="0" t="str">
        <f aca="false">HYPERLINK("https://www.ncbi.nlm.nih.gov/nuccore/CP000304.1?report=graph&amp;tracks=[key:gene_model_track,Options:GeneOnly]&amp;mk=4264332:4264351|offset_1|444444,4264308:4264327|offset_25|444444,4264280:4264299|offset_53|00cc00,4264260:4264279|offset_73|444444&amp;v=4264131:4264479&amp;c=444444", "offset 53")</f>
        <v>offset 53</v>
      </c>
    </row>
    <row r="15088" customFormat="false" ht="12.8" hidden="false" customHeight="false" outlineLevel="0" collapsed="false">
      <c r="A15088" s="0" t="s">
        <v>12</v>
      </c>
      <c r="B15088" s="0" t="n">
        <v>4264259</v>
      </c>
      <c r="C15088" s="0" t="n">
        <v>4264279</v>
      </c>
      <c r="D15088" s="0" t="s">
        <v>50260</v>
      </c>
      <c r="E15088" s="0" t="s">
        <v>89</v>
      </c>
      <c r="F15088" s="0" t="s">
        <v>90</v>
      </c>
      <c r="G15088" s="0" t="s">
        <v>26</v>
      </c>
      <c r="H15088" s="0" t="n">
        <v>73</v>
      </c>
      <c r="I15088" s="0" t="s">
        <v>50270</v>
      </c>
      <c r="J15088" s="0" t="s">
        <v>50271</v>
      </c>
      <c r="K15088" s="0" t="s">
        <v>50272</v>
      </c>
      <c r="L15088" s="0" t="str">
        <f aca="false">HYPERLINK("https://www.ncbi.nlm.nih.gov/nuccore/CP000304.1?report=graph&amp;tracks=[key:gene_model_track,Options:GeneOnly]&amp;mk=4264332:4264351|offset_1|444444,4264308:4264327|offset_25|444444,4264280:4264299|offset_53|444444,4264260:4264279|offset_73|00cc00&amp;v=4264131:4264479&amp;c=444444", "offset 73")</f>
        <v>offset 73</v>
      </c>
    </row>
    <row r="15089" customFormat="false" ht="12.8" hidden="false" customHeight="false" outlineLevel="0" collapsed="false">
      <c r="A15089" s="0" t="s">
        <v>12</v>
      </c>
      <c r="B15089" s="0" t="n">
        <v>4264650</v>
      </c>
      <c r="C15089" s="0" t="n">
        <v>4264670</v>
      </c>
      <c r="D15089" s="0" t="s">
        <v>50273</v>
      </c>
      <c r="E15089" s="0" t="s">
        <v>50274</v>
      </c>
      <c r="F15089" s="0" t="s">
        <v>15</v>
      </c>
      <c r="G15089" s="0" t="s">
        <v>26</v>
      </c>
      <c r="H15089" s="0" t="n">
        <v>21</v>
      </c>
      <c r="I15089" s="0" t="s">
        <v>50275</v>
      </c>
      <c r="J15089" s="0" t="s">
        <v>50276</v>
      </c>
      <c r="K15089" s="0" t="s">
        <v>50277</v>
      </c>
      <c r="L15089" s="0" t="str">
        <f aca="false">HYPERLINK("https://www.ncbi.nlm.nih.gov/nuccore/CP000304.1?report=graph&amp;tracks=[key:gene_model_track,Options:GeneOnly]&amp;mk=4264651:4264670|offset_21|00cc00,4264679:4264698|offset_49|444444,4264707:4264726|offset_77|444444,4264738:4264757|offset_108|444444&amp;v=4264450:4264957&amp;c=444444", "offset 21")</f>
        <v>offset 21</v>
      </c>
    </row>
    <row r="15090" customFormat="false" ht="12.8" hidden="false" customHeight="false" outlineLevel="0" collapsed="false">
      <c r="A15090" s="0" t="s">
        <v>12</v>
      </c>
      <c r="B15090" s="0" t="n">
        <v>4264678</v>
      </c>
      <c r="C15090" s="0" t="n">
        <v>4264698</v>
      </c>
      <c r="D15090" s="0" t="s">
        <v>50273</v>
      </c>
      <c r="E15090" s="0" t="s">
        <v>50274</v>
      </c>
      <c r="F15090" s="0" t="s">
        <v>15</v>
      </c>
      <c r="G15090" s="0" t="s">
        <v>16</v>
      </c>
      <c r="H15090" s="0" t="n">
        <v>49</v>
      </c>
      <c r="I15090" s="0" t="s">
        <v>50278</v>
      </c>
      <c r="J15090" s="0" t="s">
        <v>50279</v>
      </c>
      <c r="K15090" s="0" t="s">
        <v>50280</v>
      </c>
      <c r="L15090" s="0" t="str">
        <f aca="false">HYPERLINK("https://www.ncbi.nlm.nih.gov/nuccore/CP000304.1?report=graph&amp;tracks=[key:gene_model_track,Options:GeneOnly]&amp;mk=4264651:4264670|offset_21|444444,4264679:4264698|offset_49|00cc00,4264707:4264726|offset_77|444444,4264738:4264757|offset_108|444444&amp;v=4264450:4264957&amp;c=444444", "offset 49")</f>
        <v>offset 49</v>
      </c>
    </row>
    <row r="15091" customFormat="false" ht="12.8" hidden="false" customHeight="false" outlineLevel="0" collapsed="false">
      <c r="A15091" s="0" t="s">
        <v>12</v>
      </c>
      <c r="B15091" s="0" t="n">
        <v>4264706</v>
      </c>
      <c r="C15091" s="0" t="n">
        <v>4264726</v>
      </c>
      <c r="D15091" s="0" t="s">
        <v>50273</v>
      </c>
      <c r="E15091" s="0" t="s">
        <v>50274</v>
      </c>
      <c r="F15091" s="0" t="s">
        <v>15</v>
      </c>
      <c r="G15091" s="0" t="s">
        <v>16</v>
      </c>
      <c r="H15091" s="0" t="n">
        <v>77</v>
      </c>
      <c r="I15091" s="0" t="s">
        <v>50281</v>
      </c>
      <c r="J15091" s="0" t="s">
        <v>50282</v>
      </c>
      <c r="K15091" s="0" t="s">
        <v>50283</v>
      </c>
      <c r="L15091" s="0" t="str">
        <f aca="false">HYPERLINK("https://www.ncbi.nlm.nih.gov/nuccore/CP000304.1?report=graph&amp;tracks=[key:gene_model_track,Options:GeneOnly]&amp;mk=4264651:4264670|offset_21|444444,4264679:4264698|offset_49|444444,4264707:4264726|offset_77|00cc00,4264738:4264757|offset_108|444444&amp;v=4264450:4264957&amp;c=444444", "offset 77")</f>
        <v>offset 77</v>
      </c>
    </row>
    <row r="15092" customFormat="false" ht="12.8" hidden="false" customHeight="false" outlineLevel="0" collapsed="false">
      <c r="A15092" s="0" t="s">
        <v>12</v>
      </c>
      <c r="B15092" s="0" t="n">
        <v>4264737</v>
      </c>
      <c r="C15092" s="0" t="n">
        <v>4264757</v>
      </c>
      <c r="D15092" s="0" t="s">
        <v>50273</v>
      </c>
      <c r="E15092" s="0" t="s">
        <v>50274</v>
      </c>
      <c r="F15092" s="0" t="s">
        <v>15</v>
      </c>
      <c r="G15092" s="0" t="s">
        <v>36</v>
      </c>
      <c r="H15092" s="0" t="n">
        <v>108</v>
      </c>
      <c r="I15092" s="0" t="s">
        <v>50284</v>
      </c>
      <c r="J15092" s="0" t="s">
        <v>50285</v>
      </c>
      <c r="K15092" s="0" t="s">
        <v>50286</v>
      </c>
      <c r="L15092" s="0" t="str">
        <f aca="false">HYPERLINK("https://www.ncbi.nlm.nih.gov/nuccore/CP000304.1?report=graph&amp;tracks=[key:gene_model_track,Options:GeneOnly]&amp;mk=4264651:4264670|offset_21|444444,4264679:4264698|offset_49|444444,4264707:4264726|offset_77|444444,4264738:4264757|offset_108|00cc00&amp;v=4264450:4264957&amp;c=444444", "offset 108")</f>
        <v>offset 108</v>
      </c>
    </row>
    <row r="15093" customFormat="false" ht="12.8" hidden="false" customHeight="false" outlineLevel="0" collapsed="false">
      <c r="A15093" s="0" t="s">
        <v>12</v>
      </c>
      <c r="B15093" s="0" t="n">
        <v>4266116</v>
      </c>
      <c r="C15093" s="0" t="n">
        <v>4266136</v>
      </c>
      <c r="D15093" s="0" t="s">
        <v>50287</v>
      </c>
      <c r="E15093" s="0" t="s">
        <v>50288</v>
      </c>
      <c r="F15093" s="0" t="s">
        <v>15</v>
      </c>
      <c r="G15093" s="0" t="s">
        <v>26</v>
      </c>
      <c r="H15093" s="0" t="n">
        <v>7</v>
      </c>
      <c r="I15093" s="0" t="s">
        <v>50289</v>
      </c>
      <c r="J15093" s="0" t="s">
        <v>50290</v>
      </c>
      <c r="K15093" s="0" t="s">
        <v>50291</v>
      </c>
      <c r="L15093" s="0" t="str">
        <f aca="false">HYPERLINK("https://www.ncbi.nlm.nih.gov/nuccore/CP000304.1?report=graph&amp;tracks=[key:gene_model_track,Options:GeneOnly]&amp;mk=4266117:4266136|offset_7|00cc00,4266154:4266173|offset_44|444444,4266202:4266221|offset_92|444444,4266222:4266241|offset_112|444444&amp;v=4265916:4266441&amp;c=444444", "offset 7")</f>
        <v>offset 7</v>
      </c>
    </row>
    <row r="15094" customFormat="false" ht="12.8" hidden="false" customHeight="false" outlineLevel="0" collapsed="false">
      <c r="A15094" s="0" t="s">
        <v>12</v>
      </c>
      <c r="B15094" s="0" t="n">
        <v>4266153</v>
      </c>
      <c r="C15094" s="0" t="n">
        <v>4266173</v>
      </c>
      <c r="D15094" s="0" t="s">
        <v>50287</v>
      </c>
      <c r="E15094" s="0" t="s">
        <v>50288</v>
      </c>
      <c r="F15094" s="0" t="s">
        <v>15</v>
      </c>
      <c r="G15094" s="0" t="s">
        <v>36</v>
      </c>
      <c r="H15094" s="0" t="n">
        <v>44</v>
      </c>
      <c r="I15094" s="0" t="s">
        <v>50292</v>
      </c>
      <c r="J15094" s="0" t="s">
        <v>50293</v>
      </c>
      <c r="K15094" s="0" t="s">
        <v>50294</v>
      </c>
      <c r="L15094" s="0" t="str">
        <f aca="false">HYPERLINK("https://www.ncbi.nlm.nih.gov/nuccore/CP000304.1?report=graph&amp;tracks=[key:gene_model_track,Options:GeneOnly]&amp;mk=4266117:4266136|offset_7|444444,4266154:4266173|offset_44|00cc00,4266202:4266221|offset_92|444444,4266222:4266241|offset_112|444444&amp;v=4265916:4266441&amp;c=444444", "offset 44")</f>
        <v>offset 44</v>
      </c>
    </row>
    <row r="15095" customFormat="false" ht="12.8" hidden="false" customHeight="false" outlineLevel="0" collapsed="false">
      <c r="A15095" s="0" t="s">
        <v>12</v>
      </c>
      <c r="B15095" s="0" t="n">
        <v>4266201</v>
      </c>
      <c r="C15095" s="0" t="n">
        <v>4266221</v>
      </c>
      <c r="D15095" s="0" t="s">
        <v>50287</v>
      </c>
      <c r="E15095" s="0" t="s">
        <v>50288</v>
      </c>
      <c r="F15095" s="0" t="s">
        <v>15</v>
      </c>
      <c r="G15095" s="0" t="s">
        <v>32</v>
      </c>
      <c r="H15095" s="0" t="n">
        <v>92</v>
      </c>
      <c r="I15095" s="0" t="s">
        <v>50295</v>
      </c>
      <c r="J15095" s="0" t="s">
        <v>50296</v>
      </c>
      <c r="K15095" s="0" t="s">
        <v>50297</v>
      </c>
      <c r="L15095" s="0" t="str">
        <f aca="false">HYPERLINK("https://www.ncbi.nlm.nih.gov/nuccore/CP000304.1?report=graph&amp;tracks=[key:gene_model_track,Options:GeneOnly]&amp;mk=4266117:4266136|offset_7|444444,4266154:4266173|offset_44|444444,4266202:4266221|offset_92|00cc00,4266222:4266241|offset_112|444444&amp;v=4265916:4266441&amp;c=444444", "offset 92")</f>
        <v>offset 92</v>
      </c>
    </row>
    <row r="15096" customFormat="false" ht="12.8" hidden="false" customHeight="false" outlineLevel="0" collapsed="false">
      <c r="A15096" s="0" t="s">
        <v>12</v>
      </c>
      <c r="B15096" s="0" t="n">
        <v>4266221</v>
      </c>
      <c r="C15096" s="0" t="n">
        <v>4266241</v>
      </c>
      <c r="D15096" s="0" t="s">
        <v>50287</v>
      </c>
      <c r="E15096" s="0" t="s">
        <v>50288</v>
      </c>
      <c r="F15096" s="0" t="s">
        <v>15</v>
      </c>
      <c r="G15096" s="0" t="s">
        <v>16</v>
      </c>
      <c r="H15096" s="0" t="n">
        <v>112</v>
      </c>
      <c r="I15096" s="0" t="s">
        <v>50298</v>
      </c>
      <c r="J15096" s="0" t="s">
        <v>50299</v>
      </c>
      <c r="K15096" s="0" t="s">
        <v>50300</v>
      </c>
      <c r="L15096" s="0" t="str">
        <f aca="false">HYPERLINK("https://www.ncbi.nlm.nih.gov/nuccore/CP000304.1?report=graph&amp;tracks=[key:gene_model_track,Options:GeneOnly]&amp;mk=4266117:4266136|offset_7|444444,4266154:4266173|offset_44|444444,4266202:4266221|offset_92|444444,4266222:4266241|offset_112|00cc00&amp;v=4265916:4266441&amp;c=444444", "offset 112")</f>
        <v>offset 112</v>
      </c>
    </row>
    <row r="15097" customFormat="false" ht="12.8" hidden="false" customHeight="false" outlineLevel="0" collapsed="false">
      <c r="A15097" s="0" t="s">
        <v>12</v>
      </c>
      <c r="B15097" s="0" t="n">
        <v>4267199</v>
      </c>
      <c r="C15097" s="0" t="n">
        <v>4267219</v>
      </c>
      <c r="D15097" s="0" t="s">
        <v>50301</v>
      </c>
      <c r="E15097" s="0" t="s">
        <v>89</v>
      </c>
      <c r="F15097" s="0" t="s">
        <v>15</v>
      </c>
      <c r="G15097" s="0" t="s">
        <v>26</v>
      </c>
      <c r="H15097" s="0" t="n">
        <v>7</v>
      </c>
      <c r="I15097" s="0" t="s">
        <v>50302</v>
      </c>
      <c r="J15097" s="0" t="s">
        <v>50303</v>
      </c>
      <c r="K15097" s="0" t="s">
        <v>50304</v>
      </c>
      <c r="L15097" s="0" t="str">
        <f aca="false">HYPERLINK("https://www.ncbi.nlm.nih.gov/nuccore/CP000304.1?report=graph&amp;tracks=[key:gene_model_track,Options:GeneOnly]&amp;mk=4267200:4267219|offset_7|00cc00,4267233:4267252|offset_40|444444,4267260:4267279|offset_67|444444,4267292:4267311|offset_99|444444&amp;v=4266999:4267511&amp;c=444444", "offset 7")</f>
        <v>offset 7</v>
      </c>
    </row>
    <row r="15098" customFormat="false" ht="12.8" hidden="false" customHeight="false" outlineLevel="0" collapsed="false">
      <c r="A15098" s="0" t="s">
        <v>12</v>
      </c>
      <c r="B15098" s="0" t="n">
        <v>4267232</v>
      </c>
      <c r="C15098" s="0" t="n">
        <v>4267252</v>
      </c>
      <c r="D15098" s="0" t="s">
        <v>50301</v>
      </c>
      <c r="E15098" s="0" t="s">
        <v>89</v>
      </c>
      <c r="F15098" s="0" t="s">
        <v>15</v>
      </c>
      <c r="G15098" s="0" t="s">
        <v>16</v>
      </c>
      <c r="H15098" s="0" t="n">
        <v>40</v>
      </c>
      <c r="I15098" s="0" t="s">
        <v>50305</v>
      </c>
      <c r="J15098" s="0" t="s">
        <v>50306</v>
      </c>
      <c r="K15098" s="0" t="s">
        <v>50307</v>
      </c>
      <c r="L15098" s="0" t="str">
        <f aca="false">HYPERLINK("https://www.ncbi.nlm.nih.gov/nuccore/CP000304.1?report=graph&amp;tracks=[key:gene_model_track,Options:GeneOnly]&amp;mk=4267200:4267219|offset_7|444444,4267233:4267252|offset_40|00cc00,4267260:4267279|offset_67|444444,4267292:4267311|offset_99|444444&amp;v=4266999:4267511&amp;c=444444", "offset 40")</f>
        <v>offset 40</v>
      </c>
    </row>
    <row r="15099" customFormat="false" ht="12.8" hidden="false" customHeight="false" outlineLevel="0" collapsed="false">
      <c r="A15099" s="0" t="s">
        <v>12</v>
      </c>
      <c r="B15099" s="0" t="n">
        <v>4267259</v>
      </c>
      <c r="C15099" s="0" t="n">
        <v>4267279</v>
      </c>
      <c r="D15099" s="0" t="s">
        <v>50301</v>
      </c>
      <c r="E15099" s="0" t="s">
        <v>89</v>
      </c>
      <c r="F15099" s="0" t="s">
        <v>15</v>
      </c>
      <c r="G15099" s="0" t="s">
        <v>36</v>
      </c>
      <c r="H15099" s="0" t="n">
        <v>67</v>
      </c>
      <c r="I15099" s="0" t="s">
        <v>50308</v>
      </c>
      <c r="J15099" s="0" t="s">
        <v>50309</v>
      </c>
      <c r="K15099" s="0" t="s">
        <v>50310</v>
      </c>
      <c r="L15099" s="0" t="str">
        <f aca="false">HYPERLINK("https://www.ncbi.nlm.nih.gov/nuccore/CP000304.1?report=graph&amp;tracks=[key:gene_model_track,Options:GeneOnly]&amp;mk=4267200:4267219|offset_7|444444,4267233:4267252|offset_40|444444,4267260:4267279|offset_67|00cc00,4267292:4267311|offset_99|444444&amp;v=4266999:4267511&amp;c=444444", "offset 67")</f>
        <v>offset 67</v>
      </c>
    </row>
    <row r="15100" customFormat="false" ht="12.8" hidden="false" customHeight="false" outlineLevel="0" collapsed="false">
      <c r="A15100" s="0" t="s">
        <v>12</v>
      </c>
      <c r="B15100" s="0" t="n">
        <v>4267291</v>
      </c>
      <c r="C15100" s="0" t="n">
        <v>4267311</v>
      </c>
      <c r="D15100" s="0" t="s">
        <v>50301</v>
      </c>
      <c r="E15100" s="0" t="s">
        <v>89</v>
      </c>
      <c r="F15100" s="0" t="s">
        <v>15</v>
      </c>
      <c r="G15100" s="0" t="s">
        <v>36</v>
      </c>
      <c r="H15100" s="0" t="n">
        <v>99</v>
      </c>
      <c r="I15100" s="0" t="s">
        <v>50311</v>
      </c>
      <c r="J15100" s="0" t="s">
        <v>50312</v>
      </c>
      <c r="K15100" s="0" t="s">
        <v>50313</v>
      </c>
      <c r="L15100" s="0" t="str">
        <f aca="false">HYPERLINK("https://www.ncbi.nlm.nih.gov/nuccore/CP000304.1?report=graph&amp;tracks=[key:gene_model_track,Options:GeneOnly]&amp;mk=4267200:4267219|offset_7|444444,4267233:4267252|offset_40|444444,4267260:4267279|offset_67|444444,4267292:4267311|offset_99|00cc00&amp;v=4266999:4267511&amp;c=444444", "offset 99")</f>
        <v>offset 99</v>
      </c>
    </row>
    <row r="15101" customFormat="false" ht="12.8" hidden="false" customHeight="false" outlineLevel="0" collapsed="false">
      <c r="A15101" s="0" t="s">
        <v>12</v>
      </c>
      <c r="B15101" s="0" t="n">
        <v>4270452</v>
      </c>
      <c r="C15101" s="0" t="n">
        <v>4270472</v>
      </c>
      <c r="D15101" s="0" t="s">
        <v>50314</v>
      </c>
      <c r="E15101" s="0" t="s">
        <v>50315</v>
      </c>
      <c r="F15101" s="0" t="s">
        <v>90</v>
      </c>
      <c r="G15101" s="0" t="s">
        <v>16</v>
      </c>
      <c r="H15101" s="0" t="n">
        <v>63</v>
      </c>
      <c r="I15101" s="0" t="s">
        <v>50316</v>
      </c>
      <c r="J15101" s="0" t="s">
        <v>50317</v>
      </c>
      <c r="K15101" s="0" t="s">
        <v>50318</v>
      </c>
      <c r="L15101" s="0" t="str">
        <f aca="false">HYPERLINK("https://www.ncbi.nlm.nih.gov/nuccore/CP000304.1?report=graph&amp;tracks=[key:gene_model_track,Options:GeneOnly]&amp;mk=4270453:4270472|offset_63|00cc00,4270429:4270448|offset_87|444444,4270398:4270417|offset_118|444444,4270362:4270381|offset_154|444444&amp;v=4270252:4270581&amp;c=444444", "offset 63")</f>
        <v>offset 63</v>
      </c>
    </row>
    <row r="15102" customFormat="false" ht="12.8" hidden="false" customHeight="false" outlineLevel="0" collapsed="false">
      <c r="A15102" s="0" t="s">
        <v>12</v>
      </c>
      <c r="B15102" s="0" t="n">
        <v>4270428</v>
      </c>
      <c r="C15102" s="0" t="n">
        <v>4270448</v>
      </c>
      <c r="D15102" s="0" t="s">
        <v>50314</v>
      </c>
      <c r="E15102" s="0" t="s">
        <v>50315</v>
      </c>
      <c r="F15102" s="0" t="s">
        <v>90</v>
      </c>
      <c r="G15102" s="0" t="s">
        <v>16</v>
      </c>
      <c r="H15102" s="0" t="n">
        <v>87</v>
      </c>
      <c r="I15102" s="0" t="s">
        <v>50319</v>
      </c>
      <c r="J15102" s="0" t="s">
        <v>50320</v>
      </c>
      <c r="K15102" s="0" t="s">
        <v>50321</v>
      </c>
      <c r="L15102" s="0" t="str">
        <f aca="false">HYPERLINK("https://www.ncbi.nlm.nih.gov/nuccore/CP000304.1?report=graph&amp;tracks=[key:gene_model_track,Options:GeneOnly]&amp;mk=4270453:4270472|offset_63|444444,4270429:4270448|offset_87|00cc00,4270398:4270417|offset_118|444444,4270362:4270381|offset_154|444444&amp;v=4270252:4270581&amp;c=444444", "offset 87")</f>
        <v>offset 87</v>
      </c>
    </row>
    <row r="15103" customFormat="false" ht="12.8" hidden="false" customHeight="false" outlineLevel="0" collapsed="false">
      <c r="A15103" s="0" t="s">
        <v>12</v>
      </c>
      <c r="B15103" s="0" t="n">
        <v>4270397</v>
      </c>
      <c r="C15103" s="0" t="n">
        <v>4270417</v>
      </c>
      <c r="D15103" s="0" t="s">
        <v>50314</v>
      </c>
      <c r="E15103" s="0" t="s">
        <v>50315</v>
      </c>
      <c r="F15103" s="0" t="s">
        <v>90</v>
      </c>
      <c r="G15103" s="0" t="s">
        <v>26</v>
      </c>
      <c r="H15103" s="0" t="n">
        <v>118</v>
      </c>
      <c r="I15103" s="0" t="s">
        <v>50322</v>
      </c>
      <c r="J15103" s="0" t="s">
        <v>50323</v>
      </c>
      <c r="K15103" s="0" t="s">
        <v>50324</v>
      </c>
      <c r="L15103" s="0" t="str">
        <f aca="false">HYPERLINK("https://www.ncbi.nlm.nih.gov/nuccore/CP000304.1?report=graph&amp;tracks=[key:gene_model_track,Options:GeneOnly]&amp;mk=4270453:4270472|offset_63|444444,4270429:4270448|offset_87|444444,4270398:4270417|offset_118|00cc00,4270362:4270381|offset_154|444444&amp;v=4270252:4270581&amp;c=444444", "offset 118")</f>
        <v>offset 118</v>
      </c>
    </row>
    <row r="15104" customFormat="false" ht="12.8" hidden="false" customHeight="false" outlineLevel="0" collapsed="false">
      <c r="A15104" s="0" t="s">
        <v>12</v>
      </c>
      <c r="B15104" s="0" t="n">
        <v>4270361</v>
      </c>
      <c r="C15104" s="0" t="n">
        <v>4270381</v>
      </c>
      <c r="D15104" s="0" t="s">
        <v>50314</v>
      </c>
      <c r="E15104" s="0" t="s">
        <v>50315</v>
      </c>
      <c r="F15104" s="0" t="s">
        <v>90</v>
      </c>
      <c r="G15104" s="0" t="s">
        <v>36</v>
      </c>
      <c r="H15104" s="0" t="n">
        <v>154</v>
      </c>
      <c r="I15104" s="0" t="s">
        <v>50325</v>
      </c>
      <c r="J15104" s="0" t="s">
        <v>50326</v>
      </c>
      <c r="K15104" s="0" t="s">
        <v>50327</v>
      </c>
      <c r="L15104" s="0" t="str">
        <f aca="false">HYPERLINK("https://www.ncbi.nlm.nih.gov/nuccore/CP000304.1?report=graph&amp;tracks=[key:gene_model_track,Options:GeneOnly]&amp;mk=4270453:4270472|offset_63|444444,4270429:4270448|offset_87|444444,4270398:4270417|offset_118|444444,4270362:4270381|offset_154|00cc00&amp;v=4270252:4270581&amp;c=444444", "offset 154")</f>
        <v>offset 154</v>
      </c>
    </row>
    <row r="15105" customFormat="false" ht="12.8" hidden="false" customHeight="false" outlineLevel="0" collapsed="false">
      <c r="A15105" s="0" t="s">
        <v>12</v>
      </c>
      <c r="B15105" s="0" t="n">
        <v>4273642</v>
      </c>
      <c r="C15105" s="0" t="n">
        <v>4273662</v>
      </c>
      <c r="D15105" s="0" t="s">
        <v>50328</v>
      </c>
      <c r="E15105" s="0" t="s">
        <v>50329</v>
      </c>
      <c r="F15105" s="0" t="s">
        <v>90</v>
      </c>
      <c r="G15105" s="0" t="s">
        <v>32</v>
      </c>
      <c r="H15105" s="0" t="n">
        <v>7</v>
      </c>
      <c r="I15105" s="0" t="s">
        <v>50330</v>
      </c>
      <c r="J15105" s="0" t="s">
        <v>50331</v>
      </c>
      <c r="K15105" s="0" t="s">
        <v>50332</v>
      </c>
      <c r="L15105" s="0" t="str">
        <f aca="false">HYPERLINK("https://www.ncbi.nlm.nih.gov/nuccore/CP000304.1?report=graph&amp;tracks=[key:gene_model_track,Options:GeneOnly]&amp;mk=4273643:4273662|offset_7|00cc00,4273623:4273642|offset_27|444444,4273600:4273619|offset_50|444444,4273577:4273596|offset_73|444444&amp;v=4273442:4273796&amp;c=444444", "offset 7")</f>
        <v>offset 7</v>
      </c>
    </row>
    <row r="15106" customFormat="false" ht="12.8" hidden="false" customHeight="false" outlineLevel="0" collapsed="false">
      <c r="A15106" s="0" t="s">
        <v>12</v>
      </c>
      <c r="B15106" s="0" t="n">
        <v>4273622</v>
      </c>
      <c r="C15106" s="0" t="n">
        <v>4273642</v>
      </c>
      <c r="D15106" s="0" t="s">
        <v>50328</v>
      </c>
      <c r="E15106" s="0" t="s">
        <v>50329</v>
      </c>
      <c r="F15106" s="0" t="s">
        <v>90</v>
      </c>
      <c r="G15106" s="0" t="s">
        <v>16</v>
      </c>
      <c r="H15106" s="0" t="n">
        <v>27</v>
      </c>
      <c r="I15106" s="0" t="s">
        <v>50333</v>
      </c>
      <c r="J15106" s="0" t="s">
        <v>50334</v>
      </c>
      <c r="K15106" s="0" t="s">
        <v>50335</v>
      </c>
      <c r="L15106" s="0" t="str">
        <f aca="false">HYPERLINK("https://www.ncbi.nlm.nih.gov/nuccore/CP000304.1?report=graph&amp;tracks=[key:gene_model_track,Options:GeneOnly]&amp;mk=4273643:4273662|offset_7|444444,4273623:4273642|offset_27|00cc00,4273600:4273619|offset_50|444444,4273577:4273596|offset_73|444444&amp;v=4273442:4273796&amp;c=444444", "offset 27")</f>
        <v>offset 27</v>
      </c>
    </row>
    <row r="15107" customFormat="false" ht="12.8" hidden="false" customHeight="false" outlineLevel="0" collapsed="false">
      <c r="A15107" s="0" t="s">
        <v>12</v>
      </c>
      <c r="B15107" s="0" t="n">
        <v>4273599</v>
      </c>
      <c r="C15107" s="0" t="n">
        <v>4273619</v>
      </c>
      <c r="D15107" s="0" t="s">
        <v>50328</v>
      </c>
      <c r="E15107" s="0" t="s">
        <v>50329</v>
      </c>
      <c r="F15107" s="0" t="s">
        <v>90</v>
      </c>
      <c r="G15107" s="0" t="s">
        <v>26</v>
      </c>
      <c r="H15107" s="0" t="n">
        <v>50</v>
      </c>
      <c r="I15107" s="0" t="s">
        <v>50336</v>
      </c>
      <c r="J15107" s="0" t="s">
        <v>50337</v>
      </c>
      <c r="K15107" s="0" t="s">
        <v>50338</v>
      </c>
      <c r="L15107" s="0" t="str">
        <f aca="false">HYPERLINK("https://www.ncbi.nlm.nih.gov/nuccore/CP000304.1?report=graph&amp;tracks=[key:gene_model_track,Options:GeneOnly]&amp;mk=4273643:4273662|offset_7|444444,4273623:4273642|offset_27|444444,4273600:4273619|offset_50|00cc00,4273577:4273596|offset_73|444444&amp;v=4273442:4273796&amp;c=444444", "offset 50")</f>
        <v>offset 50</v>
      </c>
    </row>
    <row r="15108" customFormat="false" ht="12.8" hidden="false" customHeight="false" outlineLevel="0" collapsed="false">
      <c r="A15108" s="0" t="s">
        <v>12</v>
      </c>
      <c r="B15108" s="0" t="n">
        <v>4273576</v>
      </c>
      <c r="C15108" s="0" t="n">
        <v>4273596</v>
      </c>
      <c r="D15108" s="0" t="s">
        <v>50328</v>
      </c>
      <c r="E15108" s="0" t="s">
        <v>50329</v>
      </c>
      <c r="F15108" s="0" t="s">
        <v>90</v>
      </c>
      <c r="G15108" s="0" t="s">
        <v>36</v>
      </c>
      <c r="H15108" s="0" t="n">
        <v>73</v>
      </c>
      <c r="I15108" s="0" t="s">
        <v>50339</v>
      </c>
      <c r="J15108" s="0" t="s">
        <v>50340</v>
      </c>
      <c r="K15108" s="0" t="s">
        <v>50341</v>
      </c>
      <c r="L15108" s="0" t="str">
        <f aca="false">HYPERLINK("https://www.ncbi.nlm.nih.gov/nuccore/CP000304.1?report=graph&amp;tracks=[key:gene_model_track,Options:GeneOnly]&amp;mk=4273643:4273662|offset_7|444444,4273623:4273642|offset_27|444444,4273600:4273619|offset_50|444444,4273577:4273596|offset_73|00cc00&amp;v=4273442:4273796&amp;c=444444", "offset 73")</f>
        <v>offset 73</v>
      </c>
    </row>
    <row r="15109" customFormat="false" ht="12.8" hidden="false" customHeight="false" outlineLevel="0" collapsed="false">
      <c r="A15109" s="0" t="s">
        <v>12</v>
      </c>
      <c r="B15109" s="0" t="n">
        <v>4274802</v>
      </c>
      <c r="C15109" s="0" t="n">
        <v>4274822</v>
      </c>
      <c r="D15109" s="0" t="s">
        <v>50342</v>
      </c>
      <c r="E15109" s="0" t="s">
        <v>50343</v>
      </c>
      <c r="F15109" s="0" t="s">
        <v>90</v>
      </c>
      <c r="G15109" s="0" t="s">
        <v>32</v>
      </c>
      <c r="H15109" s="0" t="n">
        <v>1</v>
      </c>
      <c r="I15109" s="0" t="s">
        <v>50344</v>
      </c>
      <c r="J15109" s="0" t="s">
        <v>50345</v>
      </c>
      <c r="K15109" s="0" t="s">
        <v>50346</v>
      </c>
      <c r="L15109" s="0" t="str">
        <f aca="false">HYPERLINK("https://www.ncbi.nlm.nih.gov/nuccore/CP000304.1?report=graph&amp;tracks=[key:gene_model_track,Options:GeneOnly]&amp;mk=4274803:4274822|offset_1|00cc00,4274776:4274795|offset_28|444444,4274745:4274764|offset_59|444444,4274717:4274736|offset_87|444444&amp;v=4274602:4274936&amp;c=444444", "offset 1")</f>
        <v>offset 1</v>
      </c>
    </row>
    <row r="15110" customFormat="false" ht="12.8" hidden="false" customHeight="false" outlineLevel="0" collapsed="false">
      <c r="A15110" s="0" t="s">
        <v>12</v>
      </c>
      <c r="B15110" s="0" t="n">
        <v>4274775</v>
      </c>
      <c r="C15110" s="0" t="n">
        <v>4274795</v>
      </c>
      <c r="D15110" s="0" t="s">
        <v>50342</v>
      </c>
      <c r="E15110" s="0" t="s">
        <v>50343</v>
      </c>
      <c r="F15110" s="0" t="s">
        <v>90</v>
      </c>
      <c r="G15110" s="0" t="s">
        <v>36</v>
      </c>
      <c r="H15110" s="0" t="n">
        <v>28</v>
      </c>
      <c r="I15110" s="0" t="s">
        <v>50347</v>
      </c>
      <c r="J15110" s="0" t="s">
        <v>50348</v>
      </c>
      <c r="K15110" s="0" t="s">
        <v>50349</v>
      </c>
      <c r="L15110" s="0" t="str">
        <f aca="false">HYPERLINK("https://www.ncbi.nlm.nih.gov/nuccore/CP000304.1?report=graph&amp;tracks=[key:gene_model_track,Options:GeneOnly]&amp;mk=4274803:4274822|offset_1|444444,4274776:4274795|offset_28|00cc00,4274745:4274764|offset_59|444444,4274717:4274736|offset_87|444444&amp;v=4274602:4274936&amp;c=444444", "offset 28")</f>
        <v>offset 28</v>
      </c>
    </row>
    <row r="15111" customFormat="false" ht="12.8" hidden="false" customHeight="false" outlineLevel="0" collapsed="false">
      <c r="A15111" s="0" t="s">
        <v>12</v>
      </c>
      <c r="B15111" s="0" t="n">
        <v>4274744</v>
      </c>
      <c r="C15111" s="0" t="n">
        <v>4274764</v>
      </c>
      <c r="D15111" s="0" t="s">
        <v>50342</v>
      </c>
      <c r="E15111" s="0" t="s">
        <v>50343</v>
      </c>
      <c r="F15111" s="0" t="s">
        <v>90</v>
      </c>
      <c r="G15111" s="0" t="s">
        <v>26</v>
      </c>
      <c r="H15111" s="0" t="n">
        <v>59</v>
      </c>
      <c r="I15111" s="0" t="s">
        <v>50350</v>
      </c>
      <c r="J15111" s="0" t="s">
        <v>50351</v>
      </c>
      <c r="K15111" s="0" t="s">
        <v>50352</v>
      </c>
      <c r="L15111" s="0" t="str">
        <f aca="false">HYPERLINK("https://www.ncbi.nlm.nih.gov/nuccore/CP000304.1?report=graph&amp;tracks=[key:gene_model_track,Options:GeneOnly]&amp;mk=4274803:4274822|offset_1|444444,4274776:4274795|offset_28|444444,4274745:4274764|offset_59|00cc00,4274717:4274736|offset_87|444444&amp;v=4274602:4274936&amp;c=444444", "offset 59")</f>
        <v>offset 59</v>
      </c>
    </row>
    <row r="15112" customFormat="false" ht="12.8" hidden="false" customHeight="false" outlineLevel="0" collapsed="false">
      <c r="A15112" s="0" t="s">
        <v>12</v>
      </c>
      <c r="B15112" s="0" t="n">
        <v>4274716</v>
      </c>
      <c r="C15112" s="0" t="n">
        <v>4274736</v>
      </c>
      <c r="D15112" s="0" t="s">
        <v>50342</v>
      </c>
      <c r="E15112" s="0" t="s">
        <v>50343</v>
      </c>
      <c r="F15112" s="0" t="s">
        <v>90</v>
      </c>
      <c r="G15112" s="0" t="s">
        <v>36</v>
      </c>
      <c r="H15112" s="0" t="n">
        <v>87</v>
      </c>
      <c r="I15112" s="0" t="s">
        <v>50353</v>
      </c>
      <c r="J15112" s="0" t="s">
        <v>50354</v>
      </c>
      <c r="K15112" s="0" t="s">
        <v>50355</v>
      </c>
      <c r="L15112" s="0" t="str">
        <f aca="false">HYPERLINK("https://www.ncbi.nlm.nih.gov/nuccore/CP000304.1?report=graph&amp;tracks=[key:gene_model_track,Options:GeneOnly]&amp;mk=4274803:4274822|offset_1|444444,4274776:4274795|offset_28|444444,4274745:4274764|offset_59|444444,4274717:4274736|offset_87|00cc00&amp;v=4274602:4274936&amp;c=444444", "offset 87")</f>
        <v>offset 87</v>
      </c>
    </row>
    <row r="15113" customFormat="false" ht="12.8" hidden="false" customHeight="false" outlineLevel="0" collapsed="false">
      <c r="A15113" s="0" t="s">
        <v>12</v>
      </c>
      <c r="B15113" s="0" t="n">
        <v>4275569</v>
      </c>
      <c r="C15113" s="0" t="n">
        <v>4275589</v>
      </c>
      <c r="D15113" s="0" t="s">
        <v>50356</v>
      </c>
      <c r="E15113" s="0" t="s">
        <v>89</v>
      </c>
      <c r="F15113" s="0" t="s">
        <v>90</v>
      </c>
      <c r="G15113" s="0" t="s">
        <v>32</v>
      </c>
      <c r="H15113" s="0" t="n">
        <v>56</v>
      </c>
      <c r="I15113" s="0" t="s">
        <v>50357</v>
      </c>
      <c r="J15113" s="0" t="s">
        <v>50358</v>
      </c>
      <c r="K15113" s="0" t="s">
        <v>50359</v>
      </c>
      <c r="L15113" s="0" t="str">
        <f aca="false">HYPERLINK("https://www.ncbi.nlm.nih.gov/nuccore/CP000304.1?report=graph&amp;tracks=[key:gene_model_track,Options:GeneOnly]&amp;mk=4275570:4275589|offset_56|00cc00,4275547:4275566|offset_79|444444,4275501:4275520|offset_125|444444,4275472:4275491|offset_154|444444&amp;v=4275369:4275691&amp;c=444444", "offset 56")</f>
        <v>offset 56</v>
      </c>
    </row>
    <row r="15114" customFormat="false" ht="12.8" hidden="false" customHeight="false" outlineLevel="0" collapsed="false">
      <c r="A15114" s="0" t="s">
        <v>12</v>
      </c>
      <c r="B15114" s="0" t="n">
        <v>4275546</v>
      </c>
      <c r="C15114" s="0" t="n">
        <v>4275566</v>
      </c>
      <c r="D15114" s="0" t="s">
        <v>50356</v>
      </c>
      <c r="E15114" s="0" t="s">
        <v>89</v>
      </c>
      <c r="F15114" s="0" t="s">
        <v>90</v>
      </c>
      <c r="G15114" s="0" t="s">
        <v>32</v>
      </c>
      <c r="H15114" s="0" t="n">
        <v>79</v>
      </c>
      <c r="I15114" s="0" t="s">
        <v>50360</v>
      </c>
      <c r="J15114" s="0" t="s">
        <v>50361</v>
      </c>
      <c r="K15114" s="0" t="s">
        <v>50362</v>
      </c>
      <c r="L15114" s="0" t="str">
        <f aca="false">HYPERLINK("https://www.ncbi.nlm.nih.gov/nuccore/CP000304.1?report=graph&amp;tracks=[key:gene_model_track,Options:GeneOnly]&amp;mk=4275570:4275589|offset_56|444444,4275547:4275566|offset_79|00cc00,4275501:4275520|offset_125|444444,4275472:4275491|offset_154|444444&amp;v=4275369:4275691&amp;c=444444", "offset 79")</f>
        <v>offset 79</v>
      </c>
    </row>
    <row r="15115" customFormat="false" ht="12.8" hidden="false" customHeight="false" outlineLevel="0" collapsed="false">
      <c r="A15115" s="0" t="s">
        <v>12</v>
      </c>
      <c r="B15115" s="0" t="n">
        <v>4275500</v>
      </c>
      <c r="C15115" s="0" t="n">
        <v>4275520</v>
      </c>
      <c r="D15115" s="0" t="s">
        <v>50356</v>
      </c>
      <c r="E15115" s="0" t="s">
        <v>89</v>
      </c>
      <c r="F15115" s="0" t="s">
        <v>90</v>
      </c>
      <c r="G15115" s="0" t="s">
        <v>32</v>
      </c>
      <c r="H15115" s="0" t="n">
        <v>125</v>
      </c>
      <c r="I15115" s="0" t="s">
        <v>50363</v>
      </c>
      <c r="J15115" s="0" t="s">
        <v>50364</v>
      </c>
      <c r="K15115" s="0" t="s">
        <v>50365</v>
      </c>
      <c r="L15115" s="0" t="str">
        <f aca="false">HYPERLINK("https://www.ncbi.nlm.nih.gov/nuccore/CP000304.1?report=graph&amp;tracks=[key:gene_model_track,Options:GeneOnly]&amp;mk=4275570:4275589|offset_56|444444,4275547:4275566|offset_79|444444,4275501:4275520|offset_125|00cc00,4275472:4275491|offset_154|444444&amp;v=4275369:4275691&amp;c=444444", "offset 125")</f>
        <v>offset 125</v>
      </c>
    </row>
    <row r="15116" customFormat="false" ht="12.8" hidden="false" customHeight="false" outlineLevel="0" collapsed="false">
      <c r="A15116" s="0" t="s">
        <v>12</v>
      </c>
      <c r="B15116" s="0" t="n">
        <v>4275471</v>
      </c>
      <c r="C15116" s="0" t="n">
        <v>4275491</v>
      </c>
      <c r="D15116" s="0" t="s">
        <v>50356</v>
      </c>
      <c r="E15116" s="0" t="s">
        <v>89</v>
      </c>
      <c r="F15116" s="0" t="s">
        <v>90</v>
      </c>
      <c r="G15116" s="0" t="s">
        <v>26</v>
      </c>
      <c r="H15116" s="0" t="n">
        <v>154</v>
      </c>
      <c r="I15116" s="0" t="s">
        <v>50366</v>
      </c>
      <c r="J15116" s="0" t="s">
        <v>50367</v>
      </c>
      <c r="K15116" s="0" t="s">
        <v>50368</v>
      </c>
      <c r="L15116" s="0" t="str">
        <f aca="false">HYPERLINK("https://www.ncbi.nlm.nih.gov/nuccore/CP000304.1?report=graph&amp;tracks=[key:gene_model_track,Options:GeneOnly]&amp;mk=4275570:4275589|offset_56|444444,4275547:4275566|offset_79|444444,4275501:4275520|offset_125|444444,4275472:4275491|offset_154|00cc00&amp;v=4275369:4275691&amp;c=444444", "offset 154")</f>
        <v>offset 154</v>
      </c>
    </row>
    <row r="15117" customFormat="false" ht="12.8" hidden="false" customHeight="false" outlineLevel="0" collapsed="false">
      <c r="A15117" s="0" t="s">
        <v>12</v>
      </c>
      <c r="B15117" s="0" t="n">
        <v>4276184</v>
      </c>
      <c r="C15117" s="0" t="n">
        <v>4276204</v>
      </c>
      <c r="D15117" s="0" t="s">
        <v>50369</v>
      </c>
      <c r="E15117" s="0" t="s">
        <v>89</v>
      </c>
      <c r="F15117" s="0" t="s">
        <v>90</v>
      </c>
      <c r="G15117" s="0" t="s">
        <v>36</v>
      </c>
      <c r="H15117" s="0" t="n">
        <v>19</v>
      </c>
      <c r="I15117" s="0" t="s">
        <v>50370</v>
      </c>
      <c r="J15117" s="0" t="s">
        <v>50371</v>
      </c>
      <c r="K15117" s="0" t="s">
        <v>50372</v>
      </c>
      <c r="L15117" s="0" t="str">
        <f aca="false">HYPERLINK("https://www.ncbi.nlm.nih.gov/nuccore/CP000304.1?report=graph&amp;tracks=[key:gene_model_track,Options:GeneOnly]&amp;mk=4276185:4276204|offset_19|00cc00,4276164:4276183|offset_40|444444,4276137:4276156|offset_67|444444,4276113:4276132|offset_91|444444&amp;v=4275984:4276332&amp;c=444444", "offset 19")</f>
        <v>offset 19</v>
      </c>
    </row>
    <row r="15118" customFormat="false" ht="12.8" hidden="false" customHeight="false" outlineLevel="0" collapsed="false">
      <c r="A15118" s="0" t="s">
        <v>12</v>
      </c>
      <c r="B15118" s="0" t="n">
        <v>4276163</v>
      </c>
      <c r="C15118" s="0" t="n">
        <v>4276183</v>
      </c>
      <c r="D15118" s="0" t="s">
        <v>50369</v>
      </c>
      <c r="E15118" s="0" t="s">
        <v>89</v>
      </c>
      <c r="F15118" s="0" t="s">
        <v>90</v>
      </c>
      <c r="G15118" s="0" t="s">
        <v>32</v>
      </c>
      <c r="H15118" s="0" t="n">
        <v>40</v>
      </c>
      <c r="I15118" s="0" t="s">
        <v>50373</v>
      </c>
      <c r="J15118" s="0" t="s">
        <v>50374</v>
      </c>
      <c r="K15118" s="0" t="s">
        <v>50375</v>
      </c>
      <c r="L15118" s="0" t="str">
        <f aca="false">HYPERLINK("https://www.ncbi.nlm.nih.gov/nuccore/CP000304.1?report=graph&amp;tracks=[key:gene_model_track,Options:GeneOnly]&amp;mk=4276185:4276204|offset_19|444444,4276164:4276183|offset_40|00cc00,4276137:4276156|offset_67|444444,4276113:4276132|offset_91|444444&amp;v=4275984:4276332&amp;c=444444", "offset 40")</f>
        <v>offset 40</v>
      </c>
    </row>
    <row r="15119" customFormat="false" ht="12.8" hidden="false" customHeight="false" outlineLevel="0" collapsed="false">
      <c r="A15119" s="0" t="s">
        <v>12</v>
      </c>
      <c r="B15119" s="0" t="n">
        <v>4276136</v>
      </c>
      <c r="C15119" s="0" t="n">
        <v>4276156</v>
      </c>
      <c r="D15119" s="0" t="s">
        <v>50369</v>
      </c>
      <c r="E15119" s="0" t="s">
        <v>89</v>
      </c>
      <c r="F15119" s="0" t="s">
        <v>90</v>
      </c>
      <c r="G15119" s="0" t="s">
        <v>16</v>
      </c>
      <c r="H15119" s="0" t="n">
        <v>67</v>
      </c>
      <c r="I15119" s="0" t="s">
        <v>50376</v>
      </c>
      <c r="J15119" s="0" t="s">
        <v>50377</v>
      </c>
      <c r="K15119" s="0" t="s">
        <v>50378</v>
      </c>
      <c r="L15119" s="0" t="str">
        <f aca="false">HYPERLINK("https://www.ncbi.nlm.nih.gov/nuccore/CP000304.1?report=graph&amp;tracks=[key:gene_model_track,Options:GeneOnly]&amp;mk=4276185:4276204|offset_19|444444,4276164:4276183|offset_40|444444,4276137:4276156|offset_67|00cc00,4276113:4276132|offset_91|444444&amp;v=4275984:4276332&amp;c=444444", "offset 67")</f>
        <v>offset 67</v>
      </c>
    </row>
    <row r="15120" customFormat="false" ht="12.8" hidden="false" customHeight="false" outlineLevel="0" collapsed="false">
      <c r="A15120" s="0" t="s">
        <v>12</v>
      </c>
      <c r="B15120" s="0" t="n">
        <v>4276112</v>
      </c>
      <c r="C15120" s="0" t="n">
        <v>4276132</v>
      </c>
      <c r="D15120" s="0" t="s">
        <v>50369</v>
      </c>
      <c r="E15120" s="0" t="s">
        <v>89</v>
      </c>
      <c r="F15120" s="0" t="s">
        <v>90</v>
      </c>
      <c r="G15120" s="0" t="s">
        <v>36</v>
      </c>
      <c r="H15120" s="0" t="n">
        <v>91</v>
      </c>
      <c r="I15120" s="0" t="s">
        <v>50379</v>
      </c>
      <c r="J15120" s="0" t="s">
        <v>50380</v>
      </c>
      <c r="K15120" s="0" t="s">
        <v>50381</v>
      </c>
      <c r="L15120" s="0" t="str">
        <f aca="false">HYPERLINK("https://www.ncbi.nlm.nih.gov/nuccore/CP000304.1?report=graph&amp;tracks=[key:gene_model_track,Options:GeneOnly]&amp;mk=4276185:4276204|offset_19|444444,4276164:4276183|offset_40|444444,4276137:4276156|offset_67|444444,4276113:4276132|offset_91|00cc00&amp;v=4275984:4276332&amp;c=444444", "offset 91")</f>
        <v>offset 91</v>
      </c>
    </row>
    <row r="15121" customFormat="false" ht="12.8" hidden="false" customHeight="false" outlineLevel="0" collapsed="false">
      <c r="A15121" s="0" t="s">
        <v>12</v>
      </c>
      <c r="B15121" s="0" t="n">
        <v>4276411</v>
      </c>
      <c r="C15121" s="0" t="n">
        <v>4276431</v>
      </c>
      <c r="D15121" s="0" t="s">
        <v>50382</v>
      </c>
      <c r="E15121" s="0" t="s">
        <v>89</v>
      </c>
      <c r="F15121" s="0" t="s">
        <v>90</v>
      </c>
      <c r="G15121" s="0" t="s">
        <v>32</v>
      </c>
      <c r="H15121" s="0" t="n">
        <v>6</v>
      </c>
      <c r="I15121" s="0" t="s">
        <v>50383</v>
      </c>
      <c r="J15121" s="0" t="s">
        <v>50384</v>
      </c>
      <c r="K15121" s="0" t="s">
        <v>50385</v>
      </c>
      <c r="L15121" s="0" t="str">
        <f aca="false">HYPERLINK("https://www.ncbi.nlm.nih.gov/nuccore/CP000304.1?report=graph&amp;tracks=[key:gene_model_track,Options:GeneOnly]&amp;mk=4276412:4276431|offset_6|00cc00,4276357:4276376|offset_61|444444,4276335:4276354|offset_83|444444,4276253:4276272|offset_165|444444&amp;v=4276211:4276472&amp;c=444444", "offset 6")</f>
        <v>offset 6</v>
      </c>
    </row>
    <row r="15122" customFormat="false" ht="12.8" hidden="false" customHeight="false" outlineLevel="0" collapsed="false">
      <c r="A15122" s="0" t="s">
        <v>12</v>
      </c>
      <c r="B15122" s="0" t="n">
        <v>4276356</v>
      </c>
      <c r="C15122" s="0" t="n">
        <v>4276376</v>
      </c>
      <c r="D15122" s="0" t="s">
        <v>50382</v>
      </c>
      <c r="E15122" s="0" t="s">
        <v>89</v>
      </c>
      <c r="F15122" s="0" t="s">
        <v>90</v>
      </c>
      <c r="G15122" s="0" t="s">
        <v>26</v>
      </c>
      <c r="H15122" s="0" t="n">
        <v>61</v>
      </c>
      <c r="I15122" s="0" t="s">
        <v>50386</v>
      </c>
      <c r="J15122" s="0" t="s">
        <v>50387</v>
      </c>
      <c r="K15122" s="0" t="s">
        <v>50388</v>
      </c>
      <c r="L15122" s="0" t="str">
        <f aca="false">HYPERLINK("https://www.ncbi.nlm.nih.gov/nuccore/CP000304.1?report=graph&amp;tracks=[key:gene_model_track,Options:GeneOnly]&amp;mk=4276412:4276431|offset_6|444444,4276357:4276376|offset_61|00cc00,4276335:4276354|offset_83|444444,4276253:4276272|offset_165|444444&amp;v=4276211:4276472&amp;c=444444", "offset 61")</f>
        <v>offset 61</v>
      </c>
    </row>
    <row r="15123" customFormat="false" ht="12.8" hidden="false" customHeight="false" outlineLevel="0" collapsed="false">
      <c r="A15123" s="0" t="s">
        <v>12</v>
      </c>
      <c r="B15123" s="0" t="n">
        <v>4276334</v>
      </c>
      <c r="C15123" s="0" t="n">
        <v>4276354</v>
      </c>
      <c r="D15123" s="0" t="s">
        <v>50382</v>
      </c>
      <c r="E15123" s="0" t="s">
        <v>89</v>
      </c>
      <c r="F15123" s="0" t="s">
        <v>90</v>
      </c>
      <c r="G15123" s="0" t="s">
        <v>26</v>
      </c>
      <c r="H15123" s="0" t="n">
        <v>83</v>
      </c>
      <c r="I15123" s="0" t="s">
        <v>50389</v>
      </c>
      <c r="J15123" s="0" t="s">
        <v>50390</v>
      </c>
      <c r="K15123" s="0" t="s">
        <v>50391</v>
      </c>
      <c r="L15123" s="0" t="str">
        <f aca="false">HYPERLINK("https://www.ncbi.nlm.nih.gov/nuccore/CP000304.1?report=graph&amp;tracks=[key:gene_model_track,Options:GeneOnly]&amp;mk=4276412:4276431|offset_6|444444,4276357:4276376|offset_61|444444,4276335:4276354|offset_83|00cc00,4276253:4276272|offset_165|444444&amp;v=4276211:4276472&amp;c=444444", "offset 83")</f>
        <v>offset 83</v>
      </c>
    </row>
    <row r="15124" customFormat="false" ht="12.8" hidden="false" customHeight="false" outlineLevel="0" collapsed="false">
      <c r="A15124" s="0" t="s">
        <v>12</v>
      </c>
      <c r="B15124" s="0" t="n">
        <v>4276252</v>
      </c>
      <c r="C15124" s="0" t="n">
        <v>4276272</v>
      </c>
      <c r="D15124" s="0" t="s">
        <v>50382</v>
      </c>
      <c r="E15124" s="0" t="s">
        <v>89</v>
      </c>
      <c r="F15124" s="0" t="s">
        <v>90</v>
      </c>
      <c r="G15124" s="0" t="s">
        <v>16</v>
      </c>
      <c r="H15124" s="0" t="n">
        <v>165</v>
      </c>
      <c r="I15124" s="0" t="s">
        <v>50392</v>
      </c>
      <c r="J15124" s="0" t="s">
        <v>50393</v>
      </c>
      <c r="K15124" s="0" t="s">
        <v>50394</v>
      </c>
      <c r="L15124" s="0" t="str">
        <f aca="false">HYPERLINK("https://www.ncbi.nlm.nih.gov/nuccore/CP000304.1?report=graph&amp;tracks=[key:gene_model_track,Options:GeneOnly]&amp;mk=4276412:4276431|offset_6|444444,4276357:4276376|offset_61|444444,4276335:4276354|offset_83|444444,4276253:4276272|offset_165|00cc00&amp;v=4276211:4276472&amp;c=444444", "offset 165")</f>
        <v>offset 165</v>
      </c>
    </row>
    <row r="15125" customFormat="false" ht="12.8" hidden="false" customHeight="false" outlineLevel="0" collapsed="false">
      <c r="A15125" s="0" t="s">
        <v>12</v>
      </c>
      <c r="B15125" s="0" t="n">
        <v>4276552</v>
      </c>
      <c r="C15125" s="0" t="n">
        <v>4276572</v>
      </c>
      <c r="D15125" s="0" t="s">
        <v>50395</v>
      </c>
      <c r="E15125" s="0" t="s">
        <v>50396</v>
      </c>
      <c r="F15125" s="0" t="s">
        <v>15</v>
      </c>
      <c r="G15125" s="0" t="s">
        <v>26</v>
      </c>
      <c r="H15125" s="0" t="n">
        <v>10</v>
      </c>
      <c r="I15125" s="0" t="s">
        <v>50397</v>
      </c>
      <c r="J15125" s="0" t="s">
        <v>50398</v>
      </c>
      <c r="K15125" s="0" t="s">
        <v>50399</v>
      </c>
      <c r="L15125" s="0" t="str">
        <f aca="false">HYPERLINK("https://www.ncbi.nlm.nih.gov/nuccore/CP000304.1?report=graph&amp;tracks=[key:gene_model_track,Options:GeneOnly]&amp;mk=4276553:4276572|offset_10|00cc00,4276575:4276594|offset_32|444444,4276611:4276630|offset_68|444444,4276643:4276662|offset_100|444444&amp;v=4276352:4276862&amp;c=444444", "offset 10")</f>
        <v>offset 10</v>
      </c>
    </row>
    <row r="15126" customFormat="false" ht="12.8" hidden="false" customHeight="false" outlineLevel="0" collapsed="false">
      <c r="A15126" s="0" t="s">
        <v>12</v>
      </c>
      <c r="B15126" s="0" t="n">
        <v>4276574</v>
      </c>
      <c r="C15126" s="0" t="n">
        <v>4276594</v>
      </c>
      <c r="D15126" s="0" t="s">
        <v>50395</v>
      </c>
      <c r="E15126" s="0" t="s">
        <v>50396</v>
      </c>
      <c r="F15126" s="0" t="s">
        <v>15</v>
      </c>
      <c r="G15126" s="0" t="s">
        <v>32</v>
      </c>
      <c r="H15126" s="0" t="n">
        <v>32</v>
      </c>
      <c r="I15126" s="0" t="s">
        <v>50400</v>
      </c>
      <c r="J15126" s="0" t="s">
        <v>50401</v>
      </c>
      <c r="K15126" s="0" t="s">
        <v>50402</v>
      </c>
      <c r="L15126" s="0" t="str">
        <f aca="false">HYPERLINK("https://www.ncbi.nlm.nih.gov/nuccore/CP000304.1?report=graph&amp;tracks=[key:gene_model_track,Options:GeneOnly]&amp;mk=4276553:4276572|offset_10|444444,4276575:4276594|offset_32|00cc00,4276611:4276630|offset_68|444444,4276643:4276662|offset_100|444444&amp;v=4276352:4276862&amp;c=444444", "offset 32")</f>
        <v>offset 32</v>
      </c>
    </row>
    <row r="15127" customFormat="false" ht="12.8" hidden="false" customHeight="false" outlineLevel="0" collapsed="false">
      <c r="A15127" s="0" t="s">
        <v>12</v>
      </c>
      <c r="B15127" s="0" t="n">
        <v>4276610</v>
      </c>
      <c r="C15127" s="0" t="n">
        <v>4276630</v>
      </c>
      <c r="D15127" s="0" t="s">
        <v>50395</v>
      </c>
      <c r="E15127" s="0" t="s">
        <v>50396</v>
      </c>
      <c r="F15127" s="0" t="s">
        <v>15</v>
      </c>
      <c r="G15127" s="0" t="s">
        <v>32</v>
      </c>
      <c r="H15127" s="0" t="n">
        <v>68</v>
      </c>
      <c r="I15127" s="0" t="s">
        <v>50403</v>
      </c>
      <c r="J15127" s="0" t="s">
        <v>50404</v>
      </c>
      <c r="K15127" s="0" t="s">
        <v>50405</v>
      </c>
      <c r="L15127" s="0" t="str">
        <f aca="false">HYPERLINK("https://www.ncbi.nlm.nih.gov/nuccore/CP000304.1?report=graph&amp;tracks=[key:gene_model_track,Options:GeneOnly]&amp;mk=4276553:4276572|offset_10|444444,4276575:4276594|offset_32|444444,4276611:4276630|offset_68|00cc00,4276643:4276662|offset_100|444444&amp;v=4276352:4276862&amp;c=444444", "offset 68")</f>
        <v>offset 68</v>
      </c>
    </row>
    <row r="15128" customFormat="false" ht="12.8" hidden="false" customHeight="false" outlineLevel="0" collapsed="false">
      <c r="A15128" s="0" t="s">
        <v>12</v>
      </c>
      <c r="B15128" s="0" t="n">
        <v>4276642</v>
      </c>
      <c r="C15128" s="0" t="n">
        <v>4276662</v>
      </c>
      <c r="D15128" s="0" t="s">
        <v>50395</v>
      </c>
      <c r="E15128" s="0" t="s">
        <v>50396</v>
      </c>
      <c r="F15128" s="0" t="s">
        <v>15</v>
      </c>
      <c r="G15128" s="0" t="s">
        <v>16</v>
      </c>
      <c r="H15128" s="0" t="n">
        <v>100</v>
      </c>
      <c r="I15128" s="0" t="s">
        <v>50406</v>
      </c>
      <c r="J15128" s="0" t="s">
        <v>50407</v>
      </c>
      <c r="K15128" s="0" t="s">
        <v>50408</v>
      </c>
      <c r="L15128" s="0" t="str">
        <f aca="false">HYPERLINK("https://www.ncbi.nlm.nih.gov/nuccore/CP000304.1?report=graph&amp;tracks=[key:gene_model_track,Options:GeneOnly]&amp;mk=4276553:4276572|offset_10|444444,4276575:4276594|offset_32|444444,4276611:4276630|offset_68|444444,4276643:4276662|offset_100|00cc00&amp;v=4276352:4276862&amp;c=444444", "offset 100")</f>
        <v>offset 100</v>
      </c>
    </row>
    <row r="15129" customFormat="false" ht="12.8" hidden="false" customHeight="false" outlineLevel="0" collapsed="false">
      <c r="A15129" s="0" t="s">
        <v>12</v>
      </c>
      <c r="B15129" s="0" t="n">
        <v>4277879</v>
      </c>
      <c r="C15129" s="0" t="n">
        <v>4277899</v>
      </c>
      <c r="D15129" s="0" t="s">
        <v>50409</v>
      </c>
      <c r="E15129" s="0" t="s">
        <v>89</v>
      </c>
      <c r="F15129" s="0" t="s">
        <v>15</v>
      </c>
      <c r="G15129" s="0" t="s">
        <v>26</v>
      </c>
      <c r="H15129" s="0" t="n">
        <v>0</v>
      </c>
      <c r="I15129" s="0" t="s">
        <v>50410</v>
      </c>
      <c r="J15129" s="0" t="s">
        <v>50411</v>
      </c>
      <c r="K15129" s="0" t="s">
        <v>50412</v>
      </c>
      <c r="L15129" s="0" t="str">
        <f aca="false">HYPERLINK("https://www.ncbi.nlm.nih.gov/nuccore/CP000304.1?report=graph&amp;tracks=[key:gene_model_track,Options:GeneOnly]&amp;mk=4277880:4277899|offset_0|00cc00,4277911:4277930|offset_31|444444,4277940:4277959|offset_60|444444,4277978:4277997|offset_98|444444&amp;v=4277679:4278197&amp;c=444444", "offset 0")</f>
        <v>offset 0</v>
      </c>
    </row>
    <row r="15130" customFormat="false" ht="12.8" hidden="false" customHeight="false" outlineLevel="0" collapsed="false">
      <c r="A15130" s="0" t="s">
        <v>12</v>
      </c>
      <c r="B15130" s="0" t="n">
        <v>4277910</v>
      </c>
      <c r="C15130" s="0" t="n">
        <v>4277930</v>
      </c>
      <c r="D15130" s="0" t="s">
        <v>50409</v>
      </c>
      <c r="E15130" s="0" t="s">
        <v>89</v>
      </c>
      <c r="F15130" s="0" t="s">
        <v>15</v>
      </c>
      <c r="G15130" s="0" t="s">
        <v>36</v>
      </c>
      <c r="H15130" s="0" t="n">
        <v>31</v>
      </c>
      <c r="I15130" s="0" t="s">
        <v>50413</v>
      </c>
      <c r="J15130" s="0" t="s">
        <v>50414</v>
      </c>
      <c r="K15130" s="0" t="s">
        <v>50415</v>
      </c>
      <c r="L15130" s="0" t="str">
        <f aca="false">HYPERLINK("https://www.ncbi.nlm.nih.gov/nuccore/CP000304.1?report=graph&amp;tracks=[key:gene_model_track,Options:GeneOnly]&amp;mk=4277880:4277899|offset_0|444444,4277911:4277930|offset_31|00cc00,4277940:4277959|offset_60|444444,4277978:4277997|offset_98|444444&amp;v=4277679:4278197&amp;c=444444", "offset 31")</f>
        <v>offset 31</v>
      </c>
    </row>
    <row r="15131" customFormat="false" ht="12.8" hidden="false" customHeight="false" outlineLevel="0" collapsed="false">
      <c r="A15131" s="0" t="s">
        <v>12</v>
      </c>
      <c r="B15131" s="0" t="n">
        <v>4277939</v>
      </c>
      <c r="C15131" s="0" t="n">
        <v>4277959</v>
      </c>
      <c r="D15131" s="0" t="s">
        <v>50409</v>
      </c>
      <c r="E15131" s="0" t="s">
        <v>89</v>
      </c>
      <c r="F15131" s="0" t="s">
        <v>15</v>
      </c>
      <c r="G15131" s="0" t="s">
        <v>36</v>
      </c>
      <c r="H15131" s="0" t="n">
        <v>60</v>
      </c>
      <c r="I15131" s="0" t="s">
        <v>50416</v>
      </c>
      <c r="J15131" s="0" t="s">
        <v>50417</v>
      </c>
      <c r="K15131" s="0" t="s">
        <v>50418</v>
      </c>
      <c r="L15131" s="0" t="str">
        <f aca="false">HYPERLINK("https://www.ncbi.nlm.nih.gov/nuccore/CP000304.1?report=graph&amp;tracks=[key:gene_model_track,Options:GeneOnly]&amp;mk=4277880:4277899|offset_0|444444,4277911:4277930|offset_31|444444,4277940:4277959|offset_60|00cc00,4277978:4277997|offset_98|444444&amp;v=4277679:4278197&amp;c=444444", "offset 60")</f>
        <v>offset 60</v>
      </c>
    </row>
    <row r="15132" customFormat="false" ht="12.8" hidden="false" customHeight="false" outlineLevel="0" collapsed="false">
      <c r="A15132" s="0" t="s">
        <v>12</v>
      </c>
      <c r="B15132" s="0" t="n">
        <v>4277977</v>
      </c>
      <c r="C15132" s="0" t="n">
        <v>4277997</v>
      </c>
      <c r="D15132" s="0" t="s">
        <v>50409</v>
      </c>
      <c r="E15132" s="0" t="s">
        <v>89</v>
      </c>
      <c r="F15132" s="0" t="s">
        <v>15</v>
      </c>
      <c r="G15132" s="0" t="s">
        <v>26</v>
      </c>
      <c r="H15132" s="0" t="n">
        <v>98</v>
      </c>
      <c r="I15132" s="0" t="s">
        <v>50419</v>
      </c>
      <c r="J15132" s="0" t="s">
        <v>50420</v>
      </c>
      <c r="K15132" s="0" t="s">
        <v>50421</v>
      </c>
      <c r="L15132" s="0" t="str">
        <f aca="false">HYPERLINK("https://www.ncbi.nlm.nih.gov/nuccore/CP000304.1?report=graph&amp;tracks=[key:gene_model_track,Options:GeneOnly]&amp;mk=4277880:4277899|offset_0|444444,4277911:4277930|offset_31|444444,4277940:4277959|offset_60|444444,4277978:4277997|offset_98|00cc00&amp;v=4277679:4278197&amp;c=444444", "offset 98")</f>
        <v>offset 98</v>
      </c>
    </row>
    <row r="15133" customFormat="false" ht="12.8" hidden="false" customHeight="false" outlineLevel="0" collapsed="false">
      <c r="A15133" s="0" t="s">
        <v>12</v>
      </c>
      <c r="B15133" s="0" t="n">
        <v>4279022</v>
      </c>
      <c r="C15133" s="0" t="n">
        <v>4279042</v>
      </c>
      <c r="D15133" s="0" t="s">
        <v>50422</v>
      </c>
      <c r="E15133" s="0" t="s">
        <v>89</v>
      </c>
      <c r="F15133" s="0" t="s">
        <v>90</v>
      </c>
      <c r="G15133" s="0" t="s">
        <v>26</v>
      </c>
      <c r="H15133" s="0" t="n">
        <v>38</v>
      </c>
      <c r="I15133" s="0" t="s">
        <v>50423</v>
      </c>
      <c r="J15133" s="0" t="s">
        <v>50424</v>
      </c>
      <c r="K15133" s="0" t="s">
        <v>50425</v>
      </c>
      <c r="L15133" s="0" t="str">
        <f aca="false">HYPERLINK("https://www.ncbi.nlm.nih.gov/nuccore/CP000304.1?report=graph&amp;tracks=[key:gene_model_track,Options:GeneOnly]&amp;mk=4279023:4279042|offset_38|00cc00,4278977:4278996|offset_84|444444,4278950:4278969|offset_111|444444,4278917:4278936|offset_144|444444&amp;v=4278822:4279136&amp;c=444444", "offset 38")</f>
        <v>offset 38</v>
      </c>
    </row>
    <row r="15134" customFormat="false" ht="12.8" hidden="false" customHeight="false" outlineLevel="0" collapsed="false">
      <c r="A15134" s="0" t="s">
        <v>12</v>
      </c>
      <c r="B15134" s="0" t="n">
        <v>4278976</v>
      </c>
      <c r="C15134" s="0" t="n">
        <v>4278996</v>
      </c>
      <c r="D15134" s="0" t="s">
        <v>50422</v>
      </c>
      <c r="E15134" s="0" t="s">
        <v>89</v>
      </c>
      <c r="F15134" s="0" t="s">
        <v>90</v>
      </c>
      <c r="G15134" s="0" t="s">
        <v>36</v>
      </c>
      <c r="H15134" s="0" t="n">
        <v>84</v>
      </c>
      <c r="I15134" s="0" t="s">
        <v>50426</v>
      </c>
      <c r="J15134" s="0" t="s">
        <v>50427</v>
      </c>
      <c r="K15134" s="0" t="s">
        <v>50428</v>
      </c>
      <c r="L15134" s="0" t="str">
        <f aca="false">HYPERLINK("https://www.ncbi.nlm.nih.gov/nuccore/CP000304.1?report=graph&amp;tracks=[key:gene_model_track,Options:GeneOnly]&amp;mk=4279023:4279042|offset_38|444444,4278977:4278996|offset_84|00cc00,4278950:4278969|offset_111|444444,4278917:4278936|offset_144|444444&amp;v=4278822:4279136&amp;c=444444", "offset 84")</f>
        <v>offset 84</v>
      </c>
    </row>
    <row r="15135" customFormat="false" ht="12.8" hidden="false" customHeight="false" outlineLevel="0" collapsed="false">
      <c r="A15135" s="0" t="s">
        <v>12</v>
      </c>
      <c r="B15135" s="0" t="n">
        <v>4278949</v>
      </c>
      <c r="C15135" s="0" t="n">
        <v>4278969</v>
      </c>
      <c r="D15135" s="0" t="s">
        <v>50422</v>
      </c>
      <c r="E15135" s="0" t="s">
        <v>89</v>
      </c>
      <c r="F15135" s="0" t="s">
        <v>90</v>
      </c>
      <c r="G15135" s="0" t="s">
        <v>16</v>
      </c>
      <c r="H15135" s="0" t="n">
        <v>111</v>
      </c>
      <c r="I15135" s="0" t="s">
        <v>50429</v>
      </c>
      <c r="J15135" s="0" t="s">
        <v>50430</v>
      </c>
      <c r="K15135" s="0" t="s">
        <v>50431</v>
      </c>
      <c r="L15135" s="0" t="str">
        <f aca="false">HYPERLINK("https://www.ncbi.nlm.nih.gov/nuccore/CP000304.1?report=graph&amp;tracks=[key:gene_model_track,Options:GeneOnly]&amp;mk=4279023:4279042|offset_38|444444,4278977:4278996|offset_84|444444,4278950:4278969|offset_111|00cc00,4278917:4278936|offset_144|444444&amp;v=4278822:4279136&amp;c=444444", "offset 111")</f>
        <v>offset 111</v>
      </c>
    </row>
    <row r="15136" customFormat="false" ht="12.8" hidden="false" customHeight="false" outlineLevel="0" collapsed="false">
      <c r="A15136" s="0" t="s">
        <v>12</v>
      </c>
      <c r="B15136" s="0" t="n">
        <v>4278916</v>
      </c>
      <c r="C15136" s="0" t="n">
        <v>4278936</v>
      </c>
      <c r="D15136" s="0" t="s">
        <v>50422</v>
      </c>
      <c r="E15136" s="0" t="s">
        <v>89</v>
      </c>
      <c r="F15136" s="0" t="s">
        <v>90</v>
      </c>
      <c r="G15136" s="0" t="s">
        <v>16</v>
      </c>
      <c r="H15136" s="0" t="n">
        <v>144</v>
      </c>
      <c r="I15136" s="0" t="s">
        <v>50432</v>
      </c>
      <c r="J15136" s="0" t="s">
        <v>50433</v>
      </c>
      <c r="K15136" s="0" t="s">
        <v>50434</v>
      </c>
      <c r="L15136" s="0" t="str">
        <f aca="false">HYPERLINK("https://www.ncbi.nlm.nih.gov/nuccore/CP000304.1?report=graph&amp;tracks=[key:gene_model_track,Options:GeneOnly]&amp;mk=4279023:4279042|offset_38|444444,4278977:4278996|offset_84|444444,4278950:4278969|offset_111|444444,4278917:4278936|offset_144|00cc00&amp;v=4278822:4279136&amp;c=444444", "offset 144")</f>
        <v>offset 144</v>
      </c>
    </row>
    <row r="15137" customFormat="false" ht="12.8" hidden="false" customHeight="false" outlineLevel="0" collapsed="false">
      <c r="A15137" s="0" t="s">
        <v>12</v>
      </c>
      <c r="B15137" s="0" t="n">
        <v>4280090</v>
      </c>
      <c r="C15137" s="0" t="n">
        <v>4280110</v>
      </c>
      <c r="D15137" s="0" t="s">
        <v>50435</v>
      </c>
      <c r="E15137" s="0" t="s">
        <v>89</v>
      </c>
      <c r="F15137" s="0" t="s">
        <v>90</v>
      </c>
      <c r="G15137" s="0" t="s">
        <v>32</v>
      </c>
      <c r="H15137" s="0" t="n">
        <v>19</v>
      </c>
      <c r="I15137" s="0" t="s">
        <v>50436</v>
      </c>
      <c r="J15137" s="0" t="s">
        <v>50437</v>
      </c>
      <c r="K15137" s="0" t="s">
        <v>50438</v>
      </c>
      <c r="L15137" s="0" t="str">
        <f aca="false">HYPERLINK("https://www.ncbi.nlm.nih.gov/nuccore/CP000304.1?report=graph&amp;tracks=[key:gene_model_track,Options:GeneOnly]&amp;mk=4280091:4280110|offset_19|00cc00,4280070:4280089|offset_40|444444,4280028:4280047|offset_82|444444,4279994:4280013|offset_116|444444&amp;v=4279890:4280213&amp;c=444444", "offset 19")</f>
        <v>offset 19</v>
      </c>
    </row>
    <row r="15138" customFormat="false" ht="12.8" hidden="false" customHeight="false" outlineLevel="0" collapsed="false">
      <c r="A15138" s="0" t="s">
        <v>12</v>
      </c>
      <c r="B15138" s="0" t="n">
        <v>4280069</v>
      </c>
      <c r="C15138" s="0" t="n">
        <v>4280089</v>
      </c>
      <c r="D15138" s="0" t="s">
        <v>50435</v>
      </c>
      <c r="E15138" s="0" t="s">
        <v>89</v>
      </c>
      <c r="F15138" s="0" t="s">
        <v>90</v>
      </c>
      <c r="G15138" s="0" t="s">
        <v>16</v>
      </c>
      <c r="H15138" s="0" t="n">
        <v>40</v>
      </c>
      <c r="I15138" s="0" t="s">
        <v>50439</v>
      </c>
      <c r="J15138" s="0" t="s">
        <v>50440</v>
      </c>
      <c r="K15138" s="0" t="s">
        <v>50441</v>
      </c>
      <c r="L15138" s="0" t="str">
        <f aca="false">HYPERLINK("https://www.ncbi.nlm.nih.gov/nuccore/CP000304.1?report=graph&amp;tracks=[key:gene_model_track,Options:GeneOnly]&amp;mk=4280091:4280110|offset_19|444444,4280070:4280089|offset_40|00cc00,4280028:4280047|offset_82|444444,4279994:4280013|offset_116|444444&amp;v=4279890:4280213&amp;c=444444", "offset 40")</f>
        <v>offset 40</v>
      </c>
    </row>
    <row r="15139" customFormat="false" ht="12.8" hidden="false" customHeight="false" outlineLevel="0" collapsed="false">
      <c r="A15139" s="0" t="s">
        <v>12</v>
      </c>
      <c r="B15139" s="0" t="n">
        <v>4280027</v>
      </c>
      <c r="C15139" s="0" t="n">
        <v>4280047</v>
      </c>
      <c r="D15139" s="0" t="s">
        <v>50435</v>
      </c>
      <c r="E15139" s="0" t="s">
        <v>89</v>
      </c>
      <c r="F15139" s="0" t="s">
        <v>90</v>
      </c>
      <c r="G15139" s="0" t="s">
        <v>16</v>
      </c>
      <c r="H15139" s="0" t="n">
        <v>82</v>
      </c>
      <c r="I15139" s="0" t="s">
        <v>50442</v>
      </c>
      <c r="J15139" s="0" t="s">
        <v>50443</v>
      </c>
      <c r="K15139" s="0" t="s">
        <v>50444</v>
      </c>
      <c r="L15139" s="0" t="str">
        <f aca="false">HYPERLINK("https://www.ncbi.nlm.nih.gov/nuccore/CP000304.1?report=graph&amp;tracks=[key:gene_model_track,Options:GeneOnly]&amp;mk=4280091:4280110|offset_19|444444,4280070:4280089|offset_40|444444,4280028:4280047|offset_82|00cc00,4279994:4280013|offset_116|444444&amp;v=4279890:4280213&amp;c=444444", "offset 82")</f>
        <v>offset 82</v>
      </c>
    </row>
    <row r="15140" customFormat="false" ht="12.8" hidden="false" customHeight="false" outlineLevel="0" collapsed="false">
      <c r="A15140" s="0" t="s">
        <v>12</v>
      </c>
      <c r="B15140" s="0" t="n">
        <v>4279993</v>
      </c>
      <c r="C15140" s="0" t="n">
        <v>4280013</v>
      </c>
      <c r="D15140" s="0" t="s">
        <v>50435</v>
      </c>
      <c r="E15140" s="0" t="s">
        <v>89</v>
      </c>
      <c r="F15140" s="0" t="s">
        <v>90</v>
      </c>
      <c r="G15140" s="0" t="s">
        <v>36</v>
      </c>
      <c r="H15140" s="0" t="n">
        <v>116</v>
      </c>
      <c r="I15140" s="0" t="s">
        <v>50445</v>
      </c>
      <c r="J15140" s="0" t="s">
        <v>50446</v>
      </c>
      <c r="K15140" s="0" t="s">
        <v>50447</v>
      </c>
      <c r="L15140" s="0" t="str">
        <f aca="false">HYPERLINK("https://www.ncbi.nlm.nih.gov/nuccore/CP000304.1?report=graph&amp;tracks=[key:gene_model_track,Options:GeneOnly]&amp;mk=4280091:4280110|offset_19|444444,4280070:4280089|offset_40|444444,4280028:4280047|offset_82|444444,4279994:4280013|offset_116|00cc00&amp;v=4279890:4280213&amp;c=444444", "offset 116")</f>
        <v>offset 116</v>
      </c>
    </row>
    <row r="15141" customFormat="false" ht="12.8" hidden="false" customHeight="false" outlineLevel="0" collapsed="false">
      <c r="A15141" s="0" t="s">
        <v>12</v>
      </c>
      <c r="B15141" s="0" t="n">
        <v>4287408</v>
      </c>
      <c r="C15141" s="0" t="n">
        <v>4287428</v>
      </c>
      <c r="D15141" s="0" t="s">
        <v>50448</v>
      </c>
      <c r="E15141" s="0" t="s">
        <v>89</v>
      </c>
      <c r="F15141" s="0" t="s">
        <v>90</v>
      </c>
      <c r="G15141" s="0" t="s">
        <v>36</v>
      </c>
      <c r="H15141" s="0" t="n">
        <v>28</v>
      </c>
      <c r="I15141" s="0" t="s">
        <v>50449</v>
      </c>
      <c r="J15141" s="0" t="s">
        <v>50450</v>
      </c>
      <c r="K15141" s="0" t="s">
        <v>50451</v>
      </c>
      <c r="L15141" s="0" t="str">
        <f aca="false">HYPERLINK("https://www.ncbi.nlm.nih.gov/nuccore/CP000304.1?report=graph&amp;tracks=[key:gene_model_track,Options:GeneOnly]&amp;mk=4287409:4287428|offset_28|00cc00,4287382:4287401|offset_55|444444,4287332:4287351|offset_105|444444,4287303:4287322|offset_134|444444&amp;v=4287208:4287522&amp;c=444444", "offset 28")</f>
        <v>offset 28</v>
      </c>
    </row>
    <row r="15142" customFormat="false" ht="12.8" hidden="false" customHeight="false" outlineLevel="0" collapsed="false">
      <c r="A15142" s="0" t="s">
        <v>12</v>
      </c>
      <c r="B15142" s="0" t="n">
        <v>4287381</v>
      </c>
      <c r="C15142" s="0" t="n">
        <v>4287401</v>
      </c>
      <c r="D15142" s="0" t="s">
        <v>50448</v>
      </c>
      <c r="E15142" s="0" t="s">
        <v>89</v>
      </c>
      <c r="F15142" s="0" t="s">
        <v>90</v>
      </c>
      <c r="G15142" s="0" t="s">
        <v>16</v>
      </c>
      <c r="H15142" s="0" t="n">
        <v>55</v>
      </c>
      <c r="I15142" s="0" t="s">
        <v>50452</v>
      </c>
      <c r="J15142" s="0" t="s">
        <v>50453</v>
      </c>
      <c r="K15142" s="0" t="s">
        <v>50454</v>
      </c>
      <c r="L15142" s="0" t="str">
        <f aca="false">HYPERLINK("https://www.ncbi.nlm.nih.gov/nuccore/CP000304.1?report=graph&amp;tracks=[key:gene_model_track,Options:GeneOnly]&amp;mk=4287409:4287428|offset_28|444444,4287382:4287401|offset_55|00cc00,4287332:4287351|offset_105|444444,4287303:4287322|offset_134|444444&amp;v=4287208:4287522&amp;c=444444", "offset 55")</f>
        <v>offset 55</v>
      </c>
    </row>
    <row r="15143" customFormat="false" ht="12.8" hidden="false" customHeight="false" outlineLevel="0" collapsed="false">
      <c r="A15143" s="0" t="s">
        <v>12</v>
      </c>
      <c r="B15143" s="0" t="n">
        <v>4287331</v>
      </c>
      <c r="C15143" s="0" t="n">
        <v>4287351</v>
      </c>
      <c r="D15143" s="0" t="s">
        <v>50448</v>
      </c>
      <c r="E15143" s="0" t="s">
        <v>89</v>
      </c>
      <c r="F15143" s="0" t="s">
        <v>90</v>
      </c>
      <c r="G15143" s="0" t="s">
        <v>32</v>
      </c>
      <c r="H15143" s="0" t="n">
        <v>105</v>
      </c>
      <c r="I15143" s="0" t="s">
        <v>50455</v>
      </c>
      <c r="J15143" s="0" t="s">
        <v>50456</v>
      </c>
      <c r="K15143" s="0" t="s">
        <v>50457</v>
      </c>
      <c r="L15143" s="0" t="str">
        <f aca="false">HYPERLINK("https://www.ncbi.nlm.nih.gov/nuccore/CP000304.1?report=graph&amp;tracks=[key:gene_model_track,Options:GeneOnly]&amp;mk=4287409:4287428|offset_28|444444,4287382:4287401|offset_55|444444,4287332:4287351|offset_105|00cc00,4287303:4287322|offset_134|444444&amp;v=4287208:4287522&amp;c=444444", "offset 105")</f>
        <v>offset 105</v>
      </c>
    </row>
    <row r="15144" customFormat="false" ht="12.8" hidden="false" customHeight="false" outlineLevel="0" collapsed="false">
      <c r="A15144" s="0" t="s">
        <v>12</v>
      </c>
      <c r="B15144" s="0" t="n">
        <v>4287302</v>
      </c>
      <c r="C15144" s="0" t="n">
        <v>4287322</v>
      </c>
      <c r="D15144" s="0" t="s">
        <v>50448</v>
      </c>
      <c r="E15144" s="0" t="s">
        <v>89</v>
      </c>
      <c r="F15144" s="0" t="s">
        <v>90</v>
      </c>
      <c r="G15144" s="0" t="s">
        <v>26</v>
      </c>
      <c r="H15144" s="0" t="n">
        <v>134</v>
      </c>
      <c r="I15144" s="0" t="s">
        <v>50458</v>
      </c>
      <c r="J15144" s="0" t="s">
        <v>50459</v>
      </c>
      <c r="K15144" s="0" t="s">
        <v>50460</v>
      </c>
      <c r="L15144" s="0" t="str">
        <f aca="false">HYPERLINK("https://www.ncbi.nlm.nih.gov/nuccore/CP000304.1?report=graph&amp;tracks=[key:gene_model_track,Options:GeneOnly]&amp;mk=4287409:4287428|offset_28|444444,4287382:4287401|offset_55|444444,4287332:4287351|offset_105|444444,4287303:4287322|offset_134|00cc00&amp;v=4287208:4287522&amp;c=444444", "offset 134")</f>
        <v>offset 134</v>
      </c>
    </row>
    <row r="15145" customFormat="false" ht="12.8" hidden="false" customHeight="false" outlineLevel="0" collapsed="false">
      <c r="A15145" s="0" t="s">
        <v>12</v>
      </c>
      <c r="B15145" s="0" t="n">
        <v>4288305</v>
      </c>
      <c r="C15145" s="0" t="n">
        <v>4288325</v>
      </c>
      <c r="D15145" s="0" t="s">
        <v>50461</v>
      </c>
      <c r="E15145" s="0" t="s">
        <v>50462</v>
      </c>
      <c r="F15145" s="0" t="s">
        <v>90</v>
      </c>
      <c r="G15145" s="0" t="s">
        <v>16</v>
      </c>
      <c r="H15145" s="0" t="n">
        <v>9</v>
      </c>
      <c r="I15145" s="0" t="s">
        <v>50463</v>
      </c>
      <c r="J15145" s="0" t="s">
        <v>50464</v>
      </c>
      <c r="K15145" s="0" t="s">
        <v>50465</v>
      </c>
      <c r="L15145" s="0" t="str">
        <f aca="false">HYPERLINK("https://www.ncbi.nlm.nih.gov/nuccore/CP000304.1?report=graph&amp;tracks=[key:gene_model_track,Options:GeneOnly]&amp;mk=4288306:4288325|offset_9|00cc00,4288282:4288301|offset_33|444444,4288253:4288272|offset_62|444444,4288221:4288240|offset_94|444444&amp;v=4288105:4288440&amp;c=444444", "offset 9")</f>
        <v>offset 9</v>
      </c>
    </row>
    <row r="15146" customFormat="false" ht="12.8" hidden="false" customHeight="false" outlineLevel="0" collapsed="false">
      <c r="A15146" s="0" t="s">
        <v>12</v>
      </c>
      <c r="B15146" s="0" t="n">
        <v>4288281</v>
      </c>
      <c r="C15146" s="0" t="n">
        <v>4288301</v>
      </c>
      <c r="D15146" s="0" t="s">
        <v>50461</v>
      </c>
      <c r="E15146" s="0" t="s">
        <v>50462</v>
      </c>
      <c r="F15146" s="0" t="s">
        <v>90</v>
      </c>
      <c r="G15146" s="0" t="s">
        <v>36</v>
      </c>
      <c r="H15146" s="0" t="n">
        <v>33</v>
      </c>
      <c r="I15146" s="0" t="s">
        <v>50466</v>
      </c>
      <c r="J15146" s="0" t="s">
        <v>50467</v>
      </c>
      <c r="K15146" s="0" t="s">
        <v>50468</v>
      </c>
      <c r="L15146" s="0" t="str">
        <f aca="false">HYPERLINK("https://www.ncbi.nlm.nih.gov/nuccore/CP000304.1?report=graph&amp;tracks=[key:gene_model_track,Options:GeneOnly]&amp;mk=4288306:4288325|offset_9|444444,4288282:4288301|offset_33|00cc00,4288253:4288272|offset_62|444444,4288221:4288240|offset_94|444444&amp;v=4288105:4288440&amp;c=444444", "offset 33")</f>
        <v>offset 33</v>
      </c>
    </row>
    <row r="15147" customFormat="false" ht="12.8" hidden="false" customHeight="false" outlineLevel="0" collapsed="false">
      <c r="A15147" s="0" t="s">
        <v>12</v>
      </c>
      <c r="B15147" s="0" t="n">
        <v>4288252</v>
      </c>
      <c r="C15147" s="0" t="n">
        <v>4288272</v>
      </c>
      <c r="D15147" s="0" t="s">
        <v>50461</v>
      </c>
      <c r="E15147" s="0" t="s">
        <v>50462</v>
      </c>
      <c r="F15147" s="0" t="s">
        <v>90</v>
      </c>
      <c r="G15147" s="0" t="s">
        <v>32</v>
      </c>
      <c r="H15147" s="0" t="n">
        <v>62</v>
      </c>
      <c r="I15147" s="0" t="s">
        <v>50469</v>
      </c>
      <c r="J15147" s="0" t="s">
        <v>50470</v>
      </c>
      <c r="K15147" s="0" t="s">
        <v>50471</v>
      </c>
      <c r="L15147" s="0" t="str">
        <f aca="false">HYPERLINK("https://www.ncbi.nlm.nih.gov/nuccore/CP000304.1?report=graph&amp;tracks=[key:gene_model_track,Options:GeneOnly]&amp;mk=4288306:4288325|offset_9|444444,4288282:4288301|offset_33|444444,4288253:4288272|offset_62|00cc00,4288221:4288240|offset_94|444444&amp;v=4288105:4288440&amp;c=444444", "offset 62")</f>
        <v>offset 62</v>
      </c>
    </row>
    <row r="15148" customFormat="false" ht="12.8" hidden="false" customHeight="false" outlineLevel="0" collapsed="false">
      <c r="A15148" s="0" t="s">
        <v>12</v>
      </c>
      <c r="B15148" s="0" t="n">
        <v>4288220</v>
      </c>
      <c r="C15148" s="0" t="n">
        <v>4288240</v>
      </c>
      <c r="D15148" s="0" t="s">
        <v>50461</v>
      </c>
      <c r="E15148" s="0" t="s">
        <v>50462</v>
      </c>
      <c r="F15148" s="0" t="s">
        <v>90</v>
      </c>
      <c r="G15148" s="0" t="s">
        <v>16</v>
      </c>
      <c r="H15148" s="0" t="n">
        <v>94</v>
      </c>
      <c r="I15148" s="0" t="s">
        <v>50472</v>
      </c>
      <c r="J15148" s="0" t="s">
        <v>50473</v>
      </c>
      <c r="K15148" s="0" t="s">
        <v>50474</v>
      </c>
      <c r="L15148" s="0" t="str">
        <f aca="false">HYPERLINK("https://www.ncbi.nlm.nih.gov/nuccore/CP000304.1?report=graph&amp;tracks=[key:gene_model_track,Options:GeneOnly]&amp;mk=4288306:4288325|offset_9|444444,4288282:4288301|offset_33|444444,4288253:4288272|offset_62|444444,4288221:4288240|offset_94|00cc00&amp;v=4288105:4288440&amp;c=444444", "offset 94")</f>
        <v>offset 94</v>
      </c>
    </row>
    <row r="15149" customFormat="false" ht="12.8" hidden="false" customHeight="false" outlineLevel="0" collapsed="false">
      <c r="A15149" s="0" t="s">
        <v>12</v>
      </c>
      <c r="B15149" s="0" t="n">
        <v>4290362</v>
      </c>
      <c r="C15149" s="0" t="n">
        <v>4290382</v>
      </c>
      <c r="D15149" s="0" t="s">
        <v>50475</v>
      </c>
      <c r="E15149" s="0" t="s">
        <v>50476</v>
      </c>
      <c r="F15149" s="0" t="s">
        <v>90</v>
      </c>
      <c r="G15149" s="0" t="s">
        <v>16</v>
      </c>
      <c r="H15149" s="0" t="n">
        <v>61</v>
      </c>
      <c r="I15149" s="0" t="s">
        <v>50477</v>
      </c>
      <c r="J15149" s="0" t="s">
        <v>50478</v>
      </c>
      <c r="K15149" s="0" t="s">
        <v>50479</v>
      </c>
      <c r="L15149" s="0" t="str">
        <f aca="false">HYPERLINK("https://www.ncbi.nlm.nih.gov/nuccore/CP000304.1?report=graph&amp;tracks=[key:gene_model_track,Options:GeneOnly]&amp;mk=4290363:4290382|offset_61|00cc00,4290240:4290259|offset_184|444444,4290219:4290238|offset_205|444444,4290180:4290199|offset_244|444444&amp;v=4290162:4290399&amp;c=444444", "offset 61")</f>
        <v>offset 61</v>
      </c>
    </row>
    <row r="15150" customFormat="false" ht="12.8" hidden="false" customHeight="false" outlineLevel="0" collapsed="false">
      <c r="A15150" s="0" t="s">
        <v>12</v>
      </c>
      <c r="B15150" s="0" t="n">
        <v>4290239</v>
      </c>
      <c r="C15150" s="0" t="n">
        <v>4290259</v>
      </c>
      <c r="D15150" s="0" t="s">
        <v>50475</v>
      </c>
      <c r="E15150" s="0" t="s">
        <v>50476</v>
      </c>
      <c r="F15150" s="0" t="s">
        <v>90</v>
      </c>
      <c r="G15150" s="0" t="s">
        <v>36</v>
      </c>
      <c r="H15150" s="0" t="n">
        <v>184</v>
      </c>
      <c r="I15150" s="0" t="s">
        <v>50480</v>
      </c>
      <c r="J15150" s="0" t="s">
        <v>50481</v>
      </c>
      <c r="K15150" s="0" t="s">
        <v>50482</v>
      </c>
      <c r="L15150" s="0" t="str">
        <f aca="false">HYPERLINK("https://www.ncbi.nlm.nih.gov/nuccore/CP000304.1?report=graph&amp;tracks=[key:gene_model_track,Options:GeneOnly]&amp;mk=4290363:4290382|offset_61|444444,4290240:4290259|offset_184|00cc00,4290219:4290238|offset_205|444444,4290180:4290199|offset_244|444444&amp;v=4290162:4290399&amp;c=444444", "offset 184")</f>
        <v>offset 184</v>
      </c>
    </row>
    <row r="15151" customFormat="false" ht="12.8" hidden="false" customHeight="false" outlineLevel="0" collapsed="false">
      <c r="A15151" s="0" t="s">
        <v>12</v>
      </c>
      <c r="B15151" s="0" t="n">
        <v>4290218</v>
      </c>
      <c r="C15151" s="0" t="n">
        <v>4290238</v>
      </c>
      <c r="D15151" s="0" t="s">
        <v>50475</v>
      </c>
      <c r="E15151" s="0" t="s">
        <v>50476</v>
      </c>
      <c r="F15151" s="0" t="s">
        <v>90</v>
      </c>
      <c r="G15151" s="0" t="s">
        <v>16</v>
      </c>
      <c r="H15151" s="0" t="n">
        <v>205</v>
      </c>
      <c r="I15151" s="0" t="s">
        <v>50483</v>
      </c>
      <c r="J15151" s="0" t="s">
        <v>50484</v>
      </c>
      <c r="K15151" s="0" t="s">
        <v>50485</v>
      </c>
      <c r="L15151" s="0" t="str">
        <f aca="false">HYPERLINK("https://www.ncbi.nlm.nih.gov/nuccore/CP000304.1?report=graph&amp;tracks=[key:gene_model_track,Options:GeneOnly]&amp;mk=4290363:4290382|offset_61|444444,4290240:4290259|offset_184|444444,4290219:4290238|offset_205|00cc00,4290180:4290199|offset_244|444444&amp;v=4290162:4290399&amp;c=444444", "offset 205")</f>
        <v>offset 205</v>
      </c>
    </row>
    <row r="15152" customFormat="false" ht="12.8" hidden="false" customHeight="false" outlineLevel="0" collapsed="false">
      <c r="A15152" s="0" t="s">
        <v>12</v>
      </c>
      <c r="B15152" s="0" t="n">
        <v>4290179</v>
      </c>
      <c r="C15152" s="0" t="n">
        <v>4290199</v>
      </c>
      <c r="D15152" s="0" t="s">
        <v>50475</v>
      </c>
      <c r="E15152" s="0" t="s">
        <v>50476</v>
      </c>
      <c r="F15152" s="0" t="s">
        <v>90</v>
      </c>
      <c r="G15152" s="0" t="s">
        <v>36</v>
      </c>
      <c r="H15152" s="0" t="n">
        <v>244</v>
      </c>
      <c r="I15152" s="0" t="s">
        <v>50486</v>
      </c>
      <c r="J15152" s="0" t="s">
        <v>50487</v>
      </c>
      <c r="K15152" s="0" t="s">
        <v>50488</v>
      </c>
      <c r="L15152" s="0" t="str">
        <f aca="false">HYPERLINK("https://www.ncbi.nlm.nih.gov/nuccore/CP000304.1?report=graph&amp;tracks=[key:gene_model_track,Options:GeneOnly]&amp;mk=4290363:4290382|offset_61|444444,4290240:4290259|offset_184|444444,4290219:4290238|offset_205|444444,4290180:4290199|offset_244|00cc00&amp;v=4290162:4290399&amp;c=444444", "offset 244")</f>
        <v>offset 244</v>
      </c>
    </row>
    <row r="15153" customFormat="false" ht="12.8" hidden="false" customHeight="false" outlineLevel="0" collapsed="false">
      <c r="A15153" s="0" t="s">
        <v>12</v>
      </c>
      <c r="B15153" s="0" t="n">
        <v>4291017</v>
      </c>
      <c r="C15153" s="0" t="n">
        <v>4291037</v>
      </c>
      <c r="D15153" s="0" t="s">
        <v>50489</v>
      </c>
      <c r="E15153" s="0" t="s">
        <v>50490</v>
      </c>
      <c r="F15153" s="0" t="s">
        <v>90</v>
      </c>
      <c r="G15153" s="0" t="s">
        <v>16</v>
      </c>
      <c r="H15153" s="0" t="n">
        <v>12</v>
      </c>
      <c r="I15153" s="0" t="s">
        <v>50491</v>
      </c>
      <c r="J15153" s="0" t="s">
        <v>50492</v>
      </c>
      <c r="K15153" s="0" t="s">
        <v>50493</v>
      </c>
      <c r="L15153" s="0" t="str">
        <f aca="false">HYPERLINK("https://www.ncbi.nlm.nih.gov/nuccore/CP000304.1?report=graph&amp;tracks=[key:gene_model_track,Options:GeneOnly]&amp;mk=4291018:4291037|offset_12|00cc00,4290983:4291002|offset_47|444444,4290961:4290980|offset_69|444444,4290936:4290955|offset_94|444444&amp;v=4290817:4291155&amp;c=444444", "offset 12")</f>
        <v>offset 12</v>
      </c>
    </row>
    <row r="15154" customFormat="false" ht="12.8" hidden="false" customHeight="false" outlineLevel="0" collapsed="false">
      <c r="A15154" s="0" t="s">
        <v>12</v>
      </c>
      <c r="B15154" s="0" t="n">
        <v>4290982</v>
      </c>
      <c r="C15154" s="0" t="n">
        <v>4291002</v>
      </c>
      <c r="D15154" s="0" t="s">
        <v>50489</v>
      </c>
      <c r="E15154" s="0" t="s">
        <v>50490</v>
      </c>
      <c r="F15154" s="0" t="s">
        <v>90</v>
      </c>
      <c r="G15154" s="0" t="s">
        <v>16</v>
      </c>
      <c r="H15154" s="0" t="n">
        <v>47</v>
      </c>
      <c r="I15154" s="0" t="s">
        <v>50494</v>
      </c>
      <c r="J15154" s="0" t="s">
        <v>50495</v>
      </c>
      <c r="K15154" s="0" t="s">
        <v>50496</v>
      </c>
      <c r="L15154" s="0" t="str">
        <f aca="false">HYPERLINK("https://www.ncbi.nlm.nih.gov/nuccore/CP000304.1?report=graph&amp;tracks=[key:gene_model_track,Options:GeneOnly]&amp;mk=4291018:4291037|offset_12|444444,4290983:4291002|offset_47|00cc00,4290961:4290980|offset_69|444444,4290936:4290955|offset_94|444444&amp;v=4290817:4291155&amp;c=444444", "offset 47")</f>
        <v>offset 47</v>
      </c>
    </row>
    <row r="15155" customFormat="false" ht="12.8" hidden="false" customHeight="false" outlineLevel="0" collapsed="false">
      <c r="A15155" s="0" t="s">
        <v>12</v>
      </c>
      <c r="B15155" s="0" t="n">
        <v>4290960</v>
      </c>
      <c r="C15155" s="0" t="n">
        <v>4290980</v>
      </c>
      <c r="D15155" s="0" t="s">
        <v>50489</v>
      </c>
      <c r="E15155" s="0" t="s">
        <v>50490</v>
      </c>
      <c r="F15155" s="0" t="s">
        <v>90</v>
      </c>
      <c r="G15155" s="0" t="s">
        <v>26</v>
      </c>
      <c r="H15155" s="0" t="n">
        <v>69</v>
      </c>
      <c r="I15155" s="0" t="s">
        <v>50497</v>
      </c>
      <c r="J15155" s="0" t="s">
        <v>50498</v>
      </c>
      <c r="K15155" s="0" t="s">
        <v>50499</v>
      </c>
      <c r="L15155" s="0" t="str">
        <f aca="false">HYPERLINK("https://www.ncbi.nlm.nih.gov/nuccore/CP000304.1?report=graph&amp;tracks=[key:gene_model_track,Options:GeneOnly]&amp;mk=4291018:4291037|offset_12|444444,4290983:4291002|offset_47|444444,4290961:4290980|offset_69|00cc00,4290936:4290955|offset_94|444444&amp;v=4290817:4291155&amp;c=444444", "offset 69")</f>
        <v>offset 69</v>
      </c>
    </row>
    <row r="15156" customFormat="false" ht="12.8" hidden="false" customHeight="false" outlineLevel="0" collapsed="false">
      <c r="A15156" s="0" t="s">
        <v>12</v>
      </c>
      <c r="B15156" s="0" t="n">
        <v>4290935</v>
      </c>
      <c r="C15156" s="0" t="n">
        <v>4290955</v>
      </c>
      <c r="D15156" s="0" t="s">
        <v>50489</v>
      </c>
      <c r="E15156" s="0" t="s">
        <v>50490</v>
      </c>
      <c r="F15156" s="0" t="s">
        <v>90</v>
      </c>
      <c r="G15156" s="0" t="s">
        <v>26</v>
      </c>
      <c r="H15156" s="0" t="n">
        <v>94</v>
      </c>
      <c r="I15156" s="0" t="s">
        <v>50500</v>
      </c>
      <c r="J15156" s="0" t="s">
        <v>50501</v>
      </c>
      <c r="K15156" s="0" t="s">
        <v>50502</v>
      </c>
      <c r="L15156" s="0" t="str">
        <f aca="false">HYPERLINK("https://www.ncbi.nlm.nih.gov/nuccore/CP000304.1?report=graph&amp;tracks=[key:gene_model_track,Options:GeneOnly]&amp;mk=4291018:4291037|offset_12|444444,4290983:4291002|offset_47|444444,4290961:4290980|offset_69|444444,4290936:4290955|offset_94|00cc00&amp;v=4290817:4291155&amp;c=444444", "offset 94")</f>
        <v>offset 94</v>
      </c>
    </row>
    <row r="15157" customFormat="false" ht="12.8" hidden="false" customHeight="false" outlineLevel="0" collapsed="false">
      <c r="A15157" s="0" t="s">
        <v>12</v>
      </c>
      <c r="B15157" s="0" t="n">
        <v>4291412</v>
      </c>
      <c r="C15157" s="0" t="n">
        <v>4291432</v>
      </c>
      <c r="D15157" s="0" t="s">
        <v>50503</v>
      </c>
      <c r="E15157" s="0" t="s">
        <v>50504</v>
      </c>
      <c r="F15157" s="0" t="s">
        <v>90</v>
      </c>
      <c r="G15157" s="0" t="s">
        <v>16</v>
      </c>
      <c r="H15157" s="0" t="n">
        <v>33</v>
      </c>
      <c r="I15157" s="0" t="s">
        <v>50505</v>
      </c>
      <c r="J15157" s="0" t="s">
        <v>50506</v>
      </c>
      <c r="K15157" s="0" t="s">
        <v>50507</v>
      </c>
      <c r="L15157" s="0" t="str">
        <f aca="false">HYPERLINK("https://www.ncbi.nlm.nih.gov/nuccore/CP000304.1?report=graph&amp;tracks=[key:gene_model_track,Options:GeneOnly]&amp;mk=4291413:4291432|offset_33|00cc00,4291391:4291410|offset_55|444444,4291352:4291371|offset_94|444444,4291318:4291337|offset_128|444444&amp;v=4291212:4291537&amp;c=444444", "offset 33")</f>
        <v>offset 33</v>
      </c>
    </row>
    <row r="15158" customFormat="false" ht="12.8" hidden="false" customHeight="false" outlineLevel="0" collapsed="false">
      <c r="A15158" s="0" t="s">
        <v>12</v>
      </c>
      <c r="B15158" s="0" t="n">
        <v>4291390</v>
      </c>
      <c r="C15158" s="0" t="n">
        <v>4291410</v>
      </c>
      <c r="D15158" s="0" t="s">
        <v>50503</v>
      </c>
      <c r="E15158" s="0" t="s">
        <v>50504</v>
      </c>
      <c r="F15158" s="0" t="s">
        <v>90</v>
      </c>
      <c r="G15158" s="0" t="s">
        <v>16</v>
      </c>
      <c r="H15158" s="0" t="n">
        <v>55</v>
      </c>
      <c r="I15158" s="0" t="s">
        <v>50508</v>
      </c>
      <c r="J15158" s="0" t="s">
        <v>50509</v>
      </c>
      <c r="K15158" s="0" t="s">
        <v>50510</v>
      </c>
      <c r="L15158" s="0" t="str">
        <f aca="false">HYPERLINK("https://www.ncbi.nlm.nih.gov/nuccore/CP000304.1?report=graph&amp;tracks=[key:gene_model_track,Options:GeneOnly]&amp;mk=4291413:4291432|offset_33|444444,4291391:4291410|offset_55|00cc00,4291352:4291371|offset_94|444444,4291318:4291337|offset_128|444444&amp;v=4291212:4291537&amp;c=444444", "offset 55")</f>
        <v>offset 55</v>
      </c>
    </row>
    <row r="15159" customFormat="false" ht="12.8" hidden="false" customHeight="false" outlineLevel="0" collapsed="false">
      <c r="A15159" s="0" t="s">
        <v>12</v>
      </c>
      <c r="B15159" s="0" t="n">
        <v>4291351</v>
      </c>
      <c r="C15159" s="0" t="n">
        <v>4291371</v>
      </c>
      <c r="D15159" s="0" t="s">
        <v>50503</v>
      </c>
      <c r="E15159" s="0" t="s">
        <v>50504</v>
      </c>
      <c r="F15159" s="0" t="s">
        <v>90</v>
      </c>
      <c r="G15159" s="0" t="s">
        <v>16</v>
      </c>
      <c r="H15159" s="0" t="n">
        <v>94</v>
      </c>
      <c r="I15159" s="0" t="s">
        <v>50511</v>
      </c>
      <c r="J15159" s="0" t="s">
        <v>50512</v>
      </c>
      <c r="K15159" s="0" t="s">
        <v>50513</v>
      </c>
      <c r="L15159" s="0" t="str">
        <f aca="false">HYPERLINK("https://www.ncbi.nlm.nih.gov/nuccore/CP000304.1?report=graph&amp;tracks=[key:gene_model_track,Options:GeneOnly]&amp;mk=4291413:4291432|offset_33|444444,4291391:4291410|offset_55|444444,4291352:4291371|offset_94|00cc00,4291318:4291337|offset_128|444444&amp;v=4291212:4291537&amp;c=444444", "offset 94")</f>
        <v>offset 94</v>
      </c>
    </row>
    <row r="15160" customFormat="false" ht="12.8" hidden="false" customHeight="false" outlineLevel="0" collapsed="false">
      <c r="A15160" s="0" t="s">
        <v>12</v>
      </c>
      <c r="B15160" s="0" t="n">
        <v>4291317</v>
      </c>
      <c r="C15160" s="0" t="n">
        <v>4291337</v>
      </c>
      <c r="D15160" s="0" t="s">
        <v>50503</v>
      </c>
      <c r="E15160" s="0" t="s">
        <v>50504</v>
      </c>
      <c r="F15160" s="0" t="s">
        <v>90</v>
      </c>
      <c r="G15160" s="0" t="s">
        <v>32</v>
      </c>
      <c r="H15160" s="0" t="n">
        <v>128</v>
      </c>
      <c r="I15160" s="0" t="s">
        <v>50514</v>
      </c>
      <c r="J15160" s="0" t="s">
        <v>50515</v>
      </c>
      <c r="K15160" s="0" t="s">
        <v>50516</v>
      </c>
      <c r="L15160" s="0" t="str">
        <f aca="false">HYPERLINK("https://www.ncbi.nlm.nih.gov/nuccore/CP000304.1?report=graph&amp;tracks=[key:gene_model_track,Options:GeneOnly]&amp;mk=4291413:4291432|offset_33|444444,4291391:4291410|offset_55|444444,4291352:4291371|offset_94|444444,4291318:4291337|offset_128|00cc00&amp;v=4291212:4291537&amp;c=444444", "offset 128")</f>
        <v>offset 128</v>
      </c>
    </row>
    <row r="15161" customFormat="false" ht="12.8" hidden="false" customHeight="false" outlineLevel="0" collapsed="false">
      <c r="A15161" s="0" t="s">
        <v>12</v>
      </c>
      <c r="B15161" s="0" t="n">
        <v>4291821</v>
      </c>
      <c r="C15161" s="0" t="n">
        <v>4291841</v>
      </c>
      <c r="D15161" s="0" t="s">
        <v>50517</v>
      </c>
      <c r="E15161" s="0" t="s">
        <v>50518</v>
      </c>
      <c r="F15161" s="0" t="s">
        <v>90</v>
      </c>
      <c r="G15161" s="0" t="s">
        <v>36</v>
      </c>
      <c r="H15161" s="0" t="n">
        <v>46</v>
      </c>
      <c r="I15161" s="0" t="s">
        <v>50519</v>
      </c>
      <c r="J15161" s="0" t="s">
        <v>50520</v>
      </c>
      <c r="K15161" s="0" t="s">
        <v>50521</v>
      </c>
      <c r="L15161" s="0" t="str">
        <f aca="false">HYPERLINK("https://www.ncbi.nlm.nih.gov/nuccore/CP000304.1?report=graph&amp;tracks=[key:gene_model_track,Options:GeneOnly]&amp;mk=4291822:4291841|offset_46|00cc00,4291789:4291808|offset_79|444444,4291768:4291787|offset_100|444444,4291742:4291761|offset_126|444444&amp;v=4291621:4291961&amp;c=444444", "offset 46")</f>
        <v>offset 46</v>
      </c>
    </row>
    <row r="15162" customFormat="false" ht="12.8" hidden="false" customHeight="false" outlineLevel="0" collapsed="false">
      <c r="A15162" s="0" t="s">
        <v>12</v>
      </c>
      <c r="B15162" s="0" t="n">
        <v>4291788</v>
      </c>
      <c r="C15162" s="0" t="n">
        <v>4291808</v>
      </c>
      <c r="D15162" s="0" t="s">
        <v>50517</v>
      </c>
      <c r="E15162" s="0" t="s">
        <v>50518</v>
      </c>
      <c r="F15162" s="0" t="s">
        <v>90</v>
      </c>
      <c r="G15162" s="0" t="s">
        <v>16</v>
      </c>
      <c r="H15162" s="0" t="n">
        <v>79</v>
      </c>
      <c r="I15162" s="0" t="s">
        <v>50522</v>
      </c>
      <c r="J15162" s="0" t="s">
        <v>50523</v>
      </c>
      <c r="K15162" s="0" t="s">
        <v>50524</v>
      </c>
      <c r="L15162" s="0" t="str">
        <f aca="false">HYPERLINK("https://www.ncbi.nlm.nih.gov/nuccore/CP000304.1?report=graph&amp;tracks=[key:gene_model_track,Options:GeneOnly]&amp;mk=4291822:4291841|offset_46|444444,4291789:4291808|offset_79|00cc00,4291768:4291787|offset_100|444444,4291742:4291761|offset_126|444444&amp;v=4291621:4291961&amp;c=444444", "offset 79")</f>
        <v>offset 79</v>
      </c>
    </row>
    <row r="15163" customFormat="false" ht="12.8" hidden="false" customHeight="false" outlineLevel="0" collapsed="false">
      <c r="A15163" s="0" t="s">
        <v>12</v>
      </c>
      <c r="B15163" s="0" t="n">
        <v>4291767</v>
      </c>
      <c r="C15163" s="0" t="n">
        <v>4291787</v>
      </c>
      <c r="D15163" s="0" t="s">
        <v>50517</v>
      </c>
      <c r="E15163" s="0" t="s">
        <v>50518</v>
      </c>
      <c r="F15163" s="0" t="s">
        <v>90</v>
      </c>
      <c r="G15163" s="0" t="s">
        <v>36</v>
      </c>
      <c r="H15163" s="0" t="n">
        <v>100</v>
      </c>
      <c r="I15163" s="0" t="s">
        <v>50525</v>
      </c>
      <c r="J15163" s="0" t="s">
        <v>50526</v>
      </c>
      <c r="K15163" s="0" t="s">
        <v>50527</v>
      </c>
      <c r="L15163" s="0" t="str">
        <f aca="false">HYPERLINK("https://www.ncbi.nlm.nih.gov/nuccore/CP000304.1?report=graph&amp;tracks=[key:gene_model_track,Options:GeneOnly]&amp;mk=4291822:4291841|offset_46|444444,4291789:4291808|offset_79|444444,4291768:4291787|offset_100|00cc00,4291742:4291761|offset_126|444444&amp;v=4291621:4291961&amp;c=444444", "offset 100")</f>
        <v>offset 100</v>
      </c>
    </row>
    <row r="15164" customFormat="false" ht="12.8" hidden="false" customHeight="false" outlineLevel="0" collapsed="false">
      <c r="A15164" s="0" t="s">
        <v>12</v>
      </c>
      <c r="B15164" s="0" t="n">
        <v>4291741</v>
      </c>
      <c r="C15164" s="0" t="n">
        <v>4291761</v>
      </c>
      <c r="D15164" s="0" t="s">
        <v>50517</v>
      </c>
      <c r="E15164" s="0" t="s">
        <v>50518</v>
      </c>
      <c r="F15164" s="0" t="s">
        <v>90</v>
      </c>
      <c r="G15164" s="0" t="s">
        <v>36</v>
      </c>
      <c r="H15164" s="0" t="n">
        <v>126</v>
      </c>
      <c r="I15164" s="0" t="s">
        <v>50528</v>
      </c>
      <c r="J15164" s="0" t="s">
        <v>50529</v>
      </c>
      <c r="K15164" s="0" t="s">
        <v>50530</v>
      </c>
      <c r="L15164" s="0" t="str">
        <f aca="false">HYPERLINK("https://www.ncbi.nlm.nih.gov/nuccore/CP000304.1?report=graph&amp;tracks=[key:gene_model_track,Options:GeneOnly]&amp;mk=4291822:4291841|offset_46|444444,4291789:4291808|offset_79|444444,4291768:4291787|offset_100|444444,4291742:4291761|offset_126|00cc00&amp;v=4291621:4291961&amp;c=444444", "offset 126")</f>
        <v>offset 126</v>
      </c>
    </row>
    <row r="15165" customFormat="false" ht="12.8" hidden="false" customHeight="false" outlineLevel="0" collapsed="false">
      <c r="A15165" s="0" t="s">
        <v>12</v>
      </c>
      <c r="B15165" s="0" t="n">
        <v>4292160</v>
      </c>
      <c r="C15165" s="0" t="n">
        <v>4292180</v>
      </c>
      <c r="D15165" s="0" t="s">
        <v>50531</v>
      </c>
      <c r="E15165" s="0" t="s">
        <v>50532</v>
      </c>
      <c r="F15165" s="0" t="s">
        <v>15</v>
      </c>
      <c r="G15165" s="0" t="s">
        <v>16</v>
      </c>
      <c r="H15165" s="0" t="n">
        <v>7</v>
      </c>
      <c r="I15165" s="0" t="s">
        <v>50533</v>
      </c>
      <c r="J15165" s="0" t="s">
        <v>50534</v>
      </c>
      <c r="K15165" s="0" t="s">
        <v>50535</v>
      </c>
      <c r="L15165" s="0" t="str">
        <f aca="false">HYPERLINK("https://www.ncbi.nlm.nih.gov/nuccore/CP000304.1?report=graph&amp;tracks=[key:gene_model_track,Options:GeneOnly]&amp;mk=4292161:4292180|offset_7|00cc00,4292186:4292205|offset_32|444444,4292227:4292246|offset_73|444444,4292285:4292304|offset_131|444444&amp;v=4291960:4292504&amp;c=444444", "offset 7")</f>
        <v>offset 7</v>
      </c>
    </row>
    <row r="15166" customFormat="false" ht="12.8" hidden="false" customHeight="false" outlineLevel="0" collapsed="false">
      <c r="A15166" s="0" t="s">
        <v>12</v>
      </c>
      <c r="B15166" s="0" t="n">
        <v>4292185</v>
      </c>
      <c r="C15166" s="0" t="n">
        <v>4292205</v>
      </c>
      <c r="D15166" s="0" t="s">
        <v>50531</v>
      </c>
      <c r="E15166" s="0" t="s">
        <v>50532</v>
      </c>
      <c r="F15166" s="0" t="s">
        <v>15</v>
      </c>
      <c r="G15166" s="0" t="s">
        <v>36</v>
      </c>
      <c r="H15166" s="0" t="n">
        <v>32</v>
      </c>
      <c r="I15166" s="0" t="s">
        <v>50536</v>
      </c>
      <c r="J15166" s="0" t="s">
        <v>50537</v>
      </c>
      <c r="K15166" s="0" t="s">
        <v>50538</v>
      </c>
      <c r="L15166" s="0" t="str">
        <f aca="false">HYPERLINK("https://www.ncbi.nlm.nih.gov/nuccore/CP000304.1?report=graph&amp;tracks=[key:gene_model_track,Options:GeneOnly]&amp;mk=4292161:4292180|offset_7|444444,4292186:4292205|offset_32|00cc00,4292227:4292246|offset_73|444444,4292285:4292304|offset_131|444444&amp;v=4291960:4292504&amp;c=444444", "offset 32")</f>
        <v>offset 32</v>
      </c>
    </row>
    <row r="15167" customFormat="false" ht="12.8" hidden="false" customHeight="false" outlineLevel="0" collapsed="false">
      <c r="A15167" s="0" t="s">
        <v>12</v>
      </c>
      <c r="B15167" s="0" t="n">
        <v>4292226</v>
      </c>
      <c r="C15167" s="0" t="n">
        <v>4292246</v>
      </c>
      <c r="D15167" s="0" t="s">
        <v>50531</v>
      </c>
      <c r="E15167" s="0" t="s">
        <v>50532</v>
      </c>
      <c r="F15167" s="0" t="s">
        <v>15</v>
      </c>
      <c r="G15167" s="0" t="s">
        <v>32</v>
      </c>
      <c r="H15167" s="0" t="n">
        <v>73</v>
      </c>
      <c r="I15167" s="0" t="s">
        <v>50539</v>
      </c>
      <c r="J15167" s="0" t="s">
        <v>50540</v>
      </c>
      <c r="K15167" s="0" t="s">
        <v>50541</v>
      </c>
      <c r="L15167" s="0" t="str">
        <f aca="false">HYPERLINK("https://www.ncbi.nlm.nih.gov/nuccore/CP000304.1?report=graph&amp;tracks=[key:gene_model_track,Options:GeneOnly]&amp;mk=4292161:4292180|offset_7|444444,4292186:4292205|offset_32|444444,4292227:4292246|offset_73|00cc00,4292285:4292304|offset_131|444444&amp;v=4291960:4292504&amp;c=444444", "offset 73")</f>
        <v>offset 73</v>
      </c>
    </row>
    <row r="15168" customFormat="false" ht="12.8" hidden="false" customHeight="false" outlineLevel="0" collapsed="false">
      <c r="A15168" s="0" t="s">
        <v>12</v>
      </c>
      <c r="B15168" s="0" t="n">
        <v>4292284</v>
      </c>
      <c r="C15168" s="0" t="n">
        <v>4292304</v>
      </c>
      <c r="D15168" s="0" t="s">
        <v>50531</v>
      </c>
      <c r="E15168" s="0" t="s">
        <v>50532</v>
      </c>
      <c r="F15168" s="0" t="s">
        <v>15</v>
      </c>
      <c r="G15168" s="0" t="s">
        <v>26</v>
      </c>
      <c r="H15168" s="0" t="n">
        <v>131</v>
      </c>
      <c r="I15168" s="0" t="s">
        <v>50542</v>
      </c>
      <c r="J15168" s="0" t="s">
        <v>50543</v>
      </c>
      <c r="K15168" s="0" t="s">
        <v>50544</v>
      </c>
      <c r="L15168" s="0" t="str">
        <f aca="false">HYPERLINK("https://www.ncbi.nlm.nih.gov/nuccore/CP000304.1?report=graph&amp;tracks=[key:gene_model_track,Options:GeneOnly]&amp;mk=4292161:4292180|offset_7|444444,4292186:4292205|offset_32|444444,4292227:4292246|offset_73|444444,4292285:4292304|offset_131|00cc00&amp;v=4291960:4292504&amp;c=444444", "offset 131")</f>
        <v>offset 131</v>
      </c>
    </row>
    <row r="15169" customFormat="false" ht="12.8" hidden="false" customHeight="false" outlineLevel="0" collapsed="false">
      <c r="A15169" s="0" t="s">
        <v>12</v>
      </c>
      <c r="B15169" s="0" t="n">
        <v>4293179</v>
      </c>
      <c r="C15169" s="0" t="n">
        <v>4293199</v>
      </c>
      <c r="D15169" s="0" t="s">
        <v>50545</v>
      </c>
      <c r="E15169" s="0" t="s">
        <v>89</v>
      </c>
      <c r="F15169" s="0" t="s">
        <v>15</v>
      </c>
      <c r="G15169" s="0" t="s">
        <v>16</v>
      </c>
      <c r="H15169" s="0" t="n">
        <v>48</v>
      </c>
      <c r="I15169" s="0" t="s">
        <v>50546</v>
      </c>
      <c r="J15169" s="0" t="s">
        <v>50547</v>
      </c>
      <c r="K15169" s="0" t="s">
        <v>50548</v>
      </c>
      <c r="L15169" s="0" t="str">
        <f aca="false">HYPERLINK("https://www.ncbi.nlm.nih.gov/nuccore/CP000304.1?report=graph&amp;tracks=[key:gene_model_track,Options:GeneOnly]&amp;mk=4293180:4293199|offset_48|00cc00,4293202:4293221|offset_70|444444,4293222:4293241|offset_90|444444,4293242:4293261|offset_110|444444&amp;v=4292979:4293461&amp;c=444444", "offset 48")</f>
        <v>offset 48</v>
      </c>
    </row>
    <row r="15170" customFormat="false" ht="12.8" hidden="false" customHeight="false" outlineLevel="0" collapsed="false">
      <c r="A15170" s="0" t="s">
        <v>12</v>
      </c>
      <c r="B15170" s="0" t="n">
        <v>4293201</v>
      </c>
      <c r="C15170" s="0" t="n">
        <v>4293221</v>
      </c>
      <c r="D15170" s="0" t="s">
        <v>50545</v>
      </c>
      <c r="E15170" s="0" t="s">
        <v>89</v>
      </c>
      <c r="F15170" s="0" t="s">
        <v>15</v>
      </c>
      <c r="G15170" s="0" t="s">
        <v>16</v>
      </c>
      <c r="H15170" s="0" t="n">
        <v>70</v>
      </c>
      <c r="I15170" s="0" t="s">
        <v>50549</v>
      </c>
      <c r="J15170" s="0" t="s">
        <v>50550</v>
      </c>
      <c r="K15170" s="0" t="s">
        <v>50551</v>
      </c>
      <c r="L15170" s="0" t="str">
        <f aca="false">HYPERLINK("https://www.ncbi.nlm.nih.gov/nuccore/CP000304.1?report=graph&amp;tracks=[key:gene_model_track,Options:GeneOnly]&amp;mk=4293180:4293199|offset_48|444444,4293202:4293221|offset_70|00cc00,4293222:4293241|offset_90|444444,4293242:4293261|offset_110|444444&amp;v=4292979:4293461&amp;c=444444", "offset 70")</f>
        <v>offset 70</v>
      </c>
    </row>
    <row r="15171" customFormat="false" ht="12.8" hidden="false" customHeight="false" outlineLevel="0" collapsed="false">
      <c r="A15171" s="0" t="s">
        <v>12</v>
      </c>
      <c r="B15171" s="0" t="n">
        <v>4293221</v>
      </c>
      <c r="C15171" s="0" t="n">
        <v>4293241</v>
      </c>
      <c r="D15171" s="0" t="s">
        <v>50545</v>
      </c>
      <c r="E15171" s="0" t="s">
        <v>89</v>
      </c>
      <c r="F15171" s="0" t="s">
        <v>15</v>
      </c>
      <c r="G15171" s="0" t="s">
        <v>26</v>
      </c>
      <c r="H15171" s="0" t="n">
        <v>90</v>
      </c>
      <c r="I15171" s="0" t="s">
        <v>50552</v>
      </c>
      <c r="J15171" s="0" t="s">
        <v>50553</v>
      </c>
      <c r="K15171" s="0" t="s">
        <v>50554</v>
      </c>
      <c r="L15171" s="0" t="str">
        <f aca="false">HYPERLINK("https://www.ncbi.nlm.nih.gov/nuccore/CP000304.1?report=graph&amp;tracks=[key:gene_model_track,Options:GeneOnly]&amp;mk=4293180:4293199|offset_48|444444,4293202:4293221|offset_70|444444,4293222:4293241|offset_90|00cc00,4293242:4293261|offset_110|444444&amp;v=4292979:4293461&amp;c=444444", "offset 90")</f>
        <v>offset 90</v>
      </c>
    </row>
    <row r="15172" customFormat="false" ht="12.8" hidden="false" customHeight="false" outlineLevel="0" collapsed="false">
      <c r="A15172" s="0" t="s">
        <v>12</v>
      </c>
      <c r="B15172" s="0" t="n">
        <v>4293241</v>
      </c>
      <c r="C15172" s="0" t="n">
        <v>4293261</v>
      </c>
      <c r="D15172" s="0" t="s">
        <v>50545</v>
      </c>
      <c r="E15172" s="0" t="s">
        <v>89</v>
      </c>
      <c r="F15172" s="0" t="s">
        <v>15</v>
      </c>
      <c r="G15172" s="0" t="s">
        <v>36</v>
      </c>
      <c r="H15172" s="0" t="n">
        <v>110</v>
      </c>
      <c r="I15172" s="0" t="s">
        <v>50555</v>
      </c>
      <c r="J15172" s="0" t="s">
        <v>50556</v>
      </c>
      <c r="K15172" s="0" t="s">
        <v>50557</v>
      </c>
      <c r="L15172" s="0" t="str">
        <f aca="false">HYPERLINK("https://www.ncbi.nlm.nih.gov/nuccore/CP000304.1?report=graph&amp;tracks=[key:gene_model_track,Options:GeneOnly]&amp;mk=4293180:4293199|offset_48|444444,4293202:4293221|offset_70|444444,4293222:4293241|offset_90|444444,4293242:4293261|offset_110|00cc00&amp;v=4292979:4293461&amp;c=444444", "offset 110")</f>
        <v>offset 110</v>
      </c>
    </row>
    <row r="15173" customFormat="false" ht="12.8" hidden="false" customHeight="false" outlineLevel="0" collapsed="false">
      <c r="A15173" s="0" t="s">
        <v>12</v>
      </c>
      <c r="B15173" s="0" t="n">
        <v>4294163</v>
      </c>
      <c r="C15173" s="0" t="n">
        <v>4294183</v>
      </c>
      <c r="D15173" s="0" t="s">
        <v>50558</v>
      </c>
      <c r="E15173" s="0" t="s">
        <v>50559</v>
      </c>
      <c r="F15173" s="0" t="s">
        <v>15</v>
      </c>
      <c r="G15173" s="0" t="s">
        <v>16</v>
      </c>
      <c r="H15173" s="0" t="n">
        <v>13</v>
      </c>
      <c r="I15173" s="0" t="s">
        <v>50560</v>
      </c>
      <c r="J15173" s="0" t="s">
        <v>50561</v>
      </c>
      <c r="K15173" s="0" t="s">
        <v>50562</v>
      </c>
      <c r="L15173" s="0" t="str">
        <f aca="false">HYPERLINK("https://www.ncbi.nlm.nih.gov/nuccore/CP000304.1?report=graph&amp;tracks=[key:gene_model_track,Options:GeneOnly]&amp;mk=4294164:4294183|offset_13|00cc00,4294200:4294219|offset_49|444444,4294220:4294239|offset_69|444444,4294246:4294265|offset_95|444444&amp;v=4293963:4294465&amp;c=444444", "offset 13")</f>
        <v>offset 13</v>
      </c>
    </row>
    <row r="15174" customFormat="false" ht="12.8" hidden="false" customHeight="false" outlineLevel="0" collapsed="false">
      <c r="A15174" s="0" t="s">
        <v>12</v>
      </c>
      <c r="B15174" s="0" t="n">
        <v>4294199</v>
      </c>
      <c r="C15174" s="0" t="n">
        <v>4294219</v>
      </c>
      <c r="D15174" s="0" t="s">
        <v>50558</v>
      </c>
      <c r="E15174" s="0" t="s">
        <v>50559</v>
      </c>
      <c r="F15174" s="0" t="s">
        <v>15</v>
      </c>
      <c r="G15174" s="0" t="s">
        <v>32</v>
      </c>
      <c r="H15174" s="0" t="n">
        <v>49</v>
      </c>
      <c r="I15174" s="0" t="s">
        <v>50563</v>
      </c>
      <c r="J15174" s="0" t="s">
        <v>50564</v>
      </c>
      <c r="K15174" s="0" t="s">
        <v>50565</v>
      </c>
      <c r="L15174" s="0" t="str">
        <f aca="false">HYPERLINK("https://www.ncbi.nlm.nih.gov/nuccore/CP000304.1?report=graph&amp;tracks=[key:gene_model_track,Options:GeneOnly]&amp;mk=4294164:4294183|offset_13|444444,4294200:4294219|offset_49|00cc00,4294220:4294239|offset_69|444444,4294246:4294265|offset_95|444444&amp;v=4293963:4294465&amp;c=444444", "offset 49")</f>
        <v>offset 49</v>
      </c>
    </row>
    <row r="15175" customFormat="false" ht="12.8" hidden="false" customHeight="false" outlineLevel="0" collapsed="false">
      <c r="A15175" s="0" t="s">
        <v>12</v>
      </c>
      <c r="B15175" s="0" t="n">
        <v>4294219</v>
      </c>
      <c r="C15175" s="0" t="n">
        <v>4294239</v>
      </c>
      <c r="D15175" s="0" t="s">
        <v>50558</v>
      </c>
      <c r="E15175" s="0" t="s">
        <v>50559</v>
      </c>
      <c r="F15175" s="0" t="s">
        <v>15</v>
      </c>
      <c r="G15175" s="0" t="s">
        <v>16</v>
      </c>
      <c r="H15175" s="0" t="n">
        <v>69</v>
      </c>
      <c r="I15175" s="0" t="s">
        <v>50566</v>
      </c>
      <c r="J15175" s="0" t="s">
        <v>50567</v>
      </c>
      <c r="K15175" s="0" t="s">
        <v>50568</v>
      </c>
      <c r="L15175" s="0" t="str">
        <f aca="false">HYPERLINK("https://www.ncbi.nlm.nih.gov/nuccore/CP000304.1?report=graph&amp;tracks=[key:gene_model_track,Options:GeneOnly]&amp;mk=4294164:4294183|offset_13|444444,4294200:4294219|offset_49|444444,4294220:4294239|offset_69|00cc00,4294246:4294265|offset_95|444444&amp;v=4293963:4294465&amp;c=444444", "offset 69")</f>
        <v>offset 69</v>
      </c>
    </row>
    <row r="15176" customFormat="false" ht="12.8" hidden="false" customHeight="false" outlineLevel="0" collapsed="false">
      <c r="A15176" s="0" t="s">
        <v>12</v>
      </c>
      <c r="B15176" s="0" t="n">
        <v>4294245</v>
      </c>
      <c r="C15176" s="0" t="n">
        <v>4294265</v>
      </c>
      <c r="D15176" s="0" t="s">
        <v>50558</v>
      </c>
      <c r="E15176" s="0" t="s">
        <v>50559</v>
      </c>
      <c r="F15176" s="0" t="s">
        <v>15</v>
      </c>
      <c r="G15176" s="0" t="s">
        <v>26</v>
      </c>
      <c r="H15176" s="0" t="n">
        <v>95</v>
      </c>
      <c r="I15176" s="0" t="s">
        <v>50569</v>
      </c>
      <c r="J15176" s="0" t="s">
        <v>50570</v>
      </c>
      <c r="K15176" s="0" t="s">
        <v>50571</v>
      </c>
      <c r="L15176" s="0" t="str">
        <f aca="false">HYPERLINK("https://www.ncbi.nlm.nih.gov/nuccore/CP000304.1?report=graph&amp;tracks=[key:gene_model_track,Options:GeneOnly]&amp;mk=4294164:4294183|offset_13|444444,4294200:4294219|offset_49|444444,4294220:4294239|offset_69|444444,4294246:4294265|offset_95|00cc00&amp;v=4293963:4294465&amp;c=444444", "offset 95")</f>
        <v>offset 95</v>
      </c>
    </row>
    <row r="15177" customFormat="false" ht="12.8" hidden="false" customHeight="false" outlineLevel="0" collapsed="false">
      <c r="A15177" s="0" t="s">
        <v>12</v>
      </c>
      <c r="B15177" s="0" t="n">
        <v>4294728</v>
      </c>
      <c r="C15177" s="0" t="n">
        <v>4294748</v>
      </c>
      <c r="D15177" s="0" t="s">
        <v>50572</v>
      </c>
      <c r="E15177" s="0" t="s">
        <v>89</v>
      </c>
      <c r="F15177" s="0" t="s">
        <v>15</v>
      </c>
      <c r="G15177" s="0" t="s">
        <v>16</v>
      </c>
      <c r="H15177" s="0" t="n">
        <v>12</v>
      </c>
      <c r="I15177" s="0" t="s">
        <v>50573</v>
      </c>
      <c r="J15177" s="0" t="s">
        <v>50574</v>
      </c>
      <c r="K15177" s="0" t="s">
        <v>50575</v>
      </c>
      <c r="L15177" s="0" t="str">
        <f aca="false">HYPERLINK("https://www.ncbi.nlm.nih.gov/nuccore/CP000304.1?report=graph&amp;tracks=[key:gene_model_track,Options:GeneOnly]&amp;mk=4294729:4294748|offset_12|00cc00,4294760:4294779|offset_43|444444,4294785:4294804|offset_68|444444,4294805:4294824|offset_88|444444&amp;v=4294528:4295024&amp;c=444444", "offset 12")</f>
        <v>offset 12</v>
      </c>
    </row>
    <row r="15178" customFormat="false" ht="12.8" hidden="false" customHeight="false" outlineLevel="0" collapsed="false">
      <c r="A15178" s="0" t="s">
        <v>12</v>
      </c>
      <c r="B15178" s="0" t="n">
        <v>4294759</v>
      </c>
      <c r="C15178" s="0" t="n">
        <v>4294779</v>
      </c>
      <c r="D15178" s="0" t="s">
        <v>50572</v>
      </c>
      <c r="E15178" s="0" t="s">
        <v>89</v>
      </c>
      <c r="F15178" s="0" t="s">
        <v>15</v>
      </c>
      <c r="G15178" s="0" t="s">
        <v>32</v>
      </c>
      <c r="H15178" s="0" t="n">
        <v>43</v>
      </c>
      <c r="I15178" s="0" t="s">
        <v>50576</v>
      </c>
      <c r="J15178" s="0" t="s">
        <v>50577</v>
      </c>
      <c r="K15178" s="0" t="s">
        <v>50578</v>
      </c>
      <c r="L15178" s="0" t="str">
        <f aca="false">HYPERLINK("https://www.ncbi.nlm.nih.gov/nuccore/CP000304.1?report=graph&amp;tracks=[key:gene_model_track,Options:GeneOnly]&amp;mk=4294729:4294748|offset_12|444444,4294760:4294779|offset_43|00cc00,4294785:4294804|offset_68|444444,4294805:4294824|offset_88|444444&amp;v=4294528:4295024&amp;c=444444", "offset 43")</f>
        <v>offset 43</v>
      </c>
    </row>
    <row r="15179" customFormat="false" ht="12.8" hidden="false" customHeight="false" outlineLevel="0" collapsed="false">
      <c r="A15179" s="0" t="s">
        <v>12</v>
      </c>
      <c r="B15179" s="0" t="n">
        <v>4294784</v>
      </c>
      <c r="C15179" s="0" t="n">
        <v>4294804</v>
      </c>
      <c r="D15179" s="0" t="s">
        <v>50572</v>
      </c>
      <c r="E15179" s="0" t="s">
        <v>89</v>
      </c>
      <c r="F15179" s="0" t="s">
        <v>15</v>
      </c>
      <c r="G15179" s="0" t="s">
        <v>32</v>
      </c>
      <c r="H15179" s="0" t="n">
        <v>68</v>
      </c>
      <c r="I15179" s="0" t="s">
        <v>50579</v>
      </c>
      <c r="J15179" s="0" t="s">
        <v>50580</v>
      </c>
      <c r="K15179" s="0" t="s">
        <v>50581</v>
      </c>
      <c r="L15179" s="0" t="str">
        <f aca="false">HYPERLINK("https://www.ncbi.nlm.nih.gov/nuccore/CP000304.1?report=graph&amp;tracks=[key:gene_model_track,Options:GeneOnly]&amp;mk=4294729:4294748|offset_12|444444,4294760:4294779|offset_43|444444,4294785:4294804|offset_68|00cc00,4294805:4294824|offset_88|444444&amp;v=4294528:4295024&amp;c=444444", "offset 68")</f>
        <v>offset 68</v>
      </c>
    </row>
    <row r="15180" customFormat="false" ht="12.8" hidden="false" customHeight="false" outlineLevel="0" collapsed="false">
      <c r="A15180" s="0" t="s">
        <v>12</v>
      </c>
      <c r="B15180" s="0" t="n">
        <v>4294804</v>
      </c>
      <c r="C15180" s="0" t="n">
        <v>4294824</v>
      </c>
      <c r="D15180" s="0" t="s">
        <v>50572</v>
      </c>
      <c r="E15180" s="0" t="s">
        <v>89</v>
      </c>
      <c r="F15180" s="0" t="s">
        <v>15</v>
      </c>
      <c r="G15180" s="0" t="s">
        <v>36</v>
      </c>
      <c r="H15180" s="0" t="n">
        <v>88</v>
      </c>
      <c r="I15180" s="0" t="s">
        <v>50582</v>
      </c>
      <c r="J15180" s="0" t="s">
        <v>50583</v>
      </c>
      <c r="K15180" s="0" t="s">
        <v>50584</v>
      </c>
      <c r="L15180" s="0" t="str">
        <f aca="false">HYPERLINK("https://www.ncbi.nlm.nih.gov/nuccore/CP000304.1?report=graph&amp;tracks=[key:gene_model_track,Options:GeneOnly]&amp;mk=4294729:4294748|offset_12|444444,4294760:4294779|offset_43|444444,4294785:4294804|offset_68|444444,4294805:4294824|offset_88|00cc00&amp;v=4294528:4295024&amp;c=444444", "offset 88")</f>
        <v>offset 88</v>
      </c>
    </row>
    <row r="15181" customFormat="false" ht="12.8" hidden="false" customHeight="false" outlineLevel="0" collapsed="false">
      <c r="A15181" s="0" t="s">
        <v>12</v>
      </c>
      <c r="B15181" s="0" t="n">
        <v>4295162</v>
      </c>
      <c r="C15181" s="0" t="n">
        <v>4295182</v>
      </c>
      <c r="D15181" s="0" t="s">
        <v>50585</v>
      </c>
      <c r="E15181" s="0" t="s">
        <v>50586</v>
      </c>
      <c r="F15181" s="0" t="s">
        <v>15</v>
      </c>
      <c r="G15181" s="0" t="s">
        <v>36</v>
      </c>
      <c r="H15181" s="0" t="n">
        <v>0</v>
      </c>
      <c r="I15181" s="0" t="s">
        <v>50587</v>
      </c>
      <c r="J15181" s="0" t="s">
        <v>50588</v>
      </c>
      <c r="K15181" s="0" t="s">
        <v>50589</v>
      </c>
      <c r="L15181" s="0" t="str">
        <f aca="false">HYPERLINK("https://www.ncbi.nlm.nih.gov/nuccore/CP000304.1?report=graph&amp;tracks=[key:gene_model_track,Options:GeneOnly]&amp;mk=4295163:4295182|offset_0|00cc00,4295197:4295216|offset_34|444444,4295225:4295244|offset_62|444444,4295250:4295269|offset_87|444444&amp;v=4294962:4295469&amp;c=444444", "offset 0")</f>
        <v>offset 0</v>
      </c>
    </row>
    <row r="15182" customFormat="false" ht="12.8" hidden="false" customHeight="false" outlineLevel="0" collapsed="false">
      <c r="A15182" s="0" t="s">
        <v>12</v>
      </c>
      <c r="B15182" s="0" t="n">
        <v>4295196</v>
      </c>
      <c r="C15182" s="0" t="n">
        <v>4295216</v>
      </c>
      <c r="D15182" s="0" t="s">
        <v>50585</v>
      </c>
      <c r="E15182" s="0" t="s">
        <v>50586</v>
      </c>
      <c r="F15182" s="0" t="s">
        <v>15</v>
      </c>
      <c r="G15182" s="0" t="s">
        <v>16</v>
      </c>
      <c r="H15182" s="0" t="n">
        <v>34</v>
      </c>
      <c r="I15182" s="0" t="s">
        <v>50590</v>
      </c>
      <c r="J15182" s="0" t="s">
        <v>50591</v>
      </c>
      <c r="K15182" s="0" t="s">
        <v>50592</v>
      </c>
      <c r="L15182" s="0" t="str">
        <f aca="false">HYPERLINK("https://www.ncbi.nlm.nih.gov/nuccore/CP000304.1?report=graph&amp;tracks=[key:gene_model_track,Options:GeneOnly]&amp;mk=4295163:4295182|offset_0|444444,4295197:4295216|offset_34|00cc00,4295225:4295244|offset_62|444444,4295250:4295269|offset_87|444444&amp;v=4294962:4295469&amp;c=444444", "offset 34")</f>
        <v>offset 34</v>
      </c>
    </row>
    <row r="15183" customFormat="false" ht="12.8" hidden="false" customHeight="false" outlineLevel="0" collapsed="false">
      <c r="A15183" s="0" t="s">
        <v>12</v>
      </c>
      <c r="B15183" s="0" t="n">
        <v>4295224</v>
      </c>
      <c r="C15183" s="0" t="n">
        <v>4295244</v>
      </c>
      <c r="D15183" s="0" t="s">
        <v>50585</v>
      </c>
      <c r="E15183" s="0" t="s">
        <v>50586</v>
      </c>
      <c r="F15183" s="0" t="s">
        <v>15</v>
      </c>
      <c r="G15183" s="0" t="s">
        <v>26</v>
      </c>
      <c r="H15183" s="0" t="n">
        <v>62</v>
      </c>
      <c r="I15183" s="0" t="s">
        <v>50593</v>
      </c>
      <c r="J15183" s="0" t="s">
        <v>50594</v>
      </c>
      <c r="K15183" s="0" t="s">
        <v>50595</v>
      </c>
      <c r="L15183" s="0" t="str">
        <f aca="false">HYPERLINK("https://www.ncbi.nlm.nih.gov/nuccore/CP000304.1?report=graph&amp;tracks=[key:gene_model_track,Options:GeneOnly]&amp;mk=4295163:4295182|offset_0|444444,4295197:4295216|offset_34|444444,4295225:4295244|offset_62|00cc00,4295250:4295269|offset_87|444444&amp;v=4294962:4295469&amp;c=444444", "offset 62")</f>
        <v>offset 62</v>
      </c>
    </row>
    <row r="15184" customFormat="false" ht="12.8" hidden="false" customHeight="false" outlineLevel="0" collapsed="false">
      <c r="A15184" s="0" t="s">
        <v>12</v>
      </c>
      <c r="B15184" s="0" t="n">
        <v>4295249</v>
      </c>
      <c r="C15184" s="0" t="n">
        <v>4295269</v>
      </c>
      <c r="D15184" s="0" t="s">
        <v>50585</v>
      </c>
      <c r="E15184" s="0" t="s">
        <v>50586</v>
      </c>
      <c r="F15184" s="0" t="s">
        <v>15</v>
      </c>
      <c r="G15184" s="0" t="s">
        <v>16</v>
      </c>
      <c r="H15184" s="0" t="n">
        <v>87</v>
      </c>
      <c r="I15184" s="0" t="s">
        <v>50596</v>
      </c>
      <c r="J15184" s="0" t="s">
        <v>50597</v>
      </c>
      <c r="K15184" s="0" t="s">
        <v>50598</v>
      </c>
      <c r="L15184" s="0" t="str">
        <f aca="false">HYPERLINK("https://www.ncbi.nlm.nih.gov/nuccore/CP000304.1?report=graph&amp;tracks=[key:gene_model_track,Options:GeneOnly]&amp;mk=4295163:4295182|offset_0|444444,4295197:4295216|offset_34|444444,4295225:4295244|offset_62|444444,4295250:4295269|offset_87|00cc00&amp;v=4294962:4295469&amp;c=444444", "offset 87")</f>
        <v>offset 87</v>
      </c>
    </row>
    <row r="15185" customFormat="false" ht="12.8" hidden="false" customHeight="false" outlineLevel="0" collapsed="false">
      <c r="A15185" s="0" t="s">
        <v>12</v>
      </c>
      <c r="B15185" s="0" t="n">
        <v>4295740</v>
      </c>
      <c r="C15185" s="0" t="n">
        <v>4295760</v>
      </c>
      <c r="D15185" s="0" t="s">
        <v>50599</v>
      </c>
      <c r="E15185" s="0" t="s">
        <v>50600</v>
      </c>
      <c r="F15185" s="0" t="s">
        <v>15</v>
      </c>
      <c r="G15185" s="0" t="s">
        <v>36</v>
      </c>
      <c r="H15185" s="0" t="n">
        <v>9</v>
      </c>
      <c r="I15185" s="0" t="s">
        <v>50601</v>
      </c>
      <c r="J15185" s="0" t="s">
        <v>50602</v>
      </c>
      <c r="K15185" s="0" t="s">
        <v>50603</v>
      </c>
      <c r="L15185" s="0" t="str">
        <f aca="false">HYPERLINK("https://www.ncbi.nlm.nih.gov/nuccore/CP000304.1?report=graph&amp;tracks=[key:gene_model_track,Options:GeneOnly]&amp;mk=4295741:4295760|offset_9|00cc00,4295776:4295795|offset_44|444444,4295802:4295821|offset_70|444444,4295832:4295851|offset_100|444444&amp;v=4295540:4296051&amp;c=444444", "offset 9")</f>
        <v>offset 9</v>
      </c>
    </row>
    <row r="15186" customFormat="false" ht="12.8" hidden="false" customHeight="false" outlineLevel="0" collapsed="false">
      <c r="A15186" s="0" t="s">
        <v>12</v>
      </c>
      <c r="B15186" s="0" t="n">
        <v>4295775</v>
      </c>
      <c r="C15186" s="0" t="n">
        <v>4295795</v>
      </c>
      <c r="D15186" s="0" t="s">
        <v>50599</v>
      </c>
      <c r="E15186" s="0" t="s">
        <v>50600</v>
      </c>
      <c r="F15186" s="0" t="s">
        <v>15</v>
      </c>
      <c r="G15186" s="0" t="s">
        <v>32</v>
      </c>
      <c r="H15186" s="0" t="n">
        <v>44</v>
      </c>
      <c r="I15186" s="0" t="s">
        <v>50604</v>
      </c>
      <c r="J15186" s="0" t="s">
        <v>50605</v>
      </c>
      <c r="K15186" s="0" t="s">
        <v>50606</v>
      </c>
      <c r="L15186" s="0" t="str">
        <f aca="false">HYPERLINK("https://www.ncbi.nlm.nih.gov/nuccore/CP000304.1?report=graph&amp;tracks=[key:gene_model_track,Options:GeneOnly]&amp;mk=4295741:4295760|offset_9|444444,4295776:4295795|offset_44|00cc00,4295802:4295821|offset_70|444444,4295832:4295851|offset_100|444444&amp;v=4295540:4296051&amp;c=444444", "offset 44")</f>
        <v>offset 44</v>
      </c>
    </row>
    <row r="15187" customFormat="false" ht="12.8" hidden="false" customHeight="false" outlineLevel="0" collapsed="false">
      <c r="A15187" s="0" t="s">
        <v>12</v>
      </c>
      <c r="B15187" s="0" t="n">
        <v>4295801</v>
      </c>
      <c r="C15187" s="0" t="n">
        <v>4295821</v>
      </c>
      <c r="D15187" s="0" t="s">
        <v>50599</v>
      </c>
      <c r="E15187" s="0" t="s">
        <v>50600</v>
      </c>
      <c r="F15187" s="0" t="s">
        <v>15</v>
      </c>
      <c r="G15187" s="0" t="s">
        <v>36</v>
      </c>
      <c r="H15187" s="0" t="n">
        <v>70</v>
      </c>
      <c r="I15187" s="0" t="s">
        <v>50607</v>
      </c>
      <c r="J15187" s="0" t="s">
        <v>50608</v>
      </c>
      <c r="K15187" s="0" t="s">
        <v>50609</v>
      </c>
      <c r="L15187" s="0" t="str">
        <f aca="false">HYPERLINK("https://www.ncbi.nlm.nih.gov/nuccore/CP000304.1?report=graph&amp;tracks=[key:gene_model_track,Options:GeneOnly]&amp;mk=4295741:4295760|offset_9|444444,4295776:4295795|offset_44|444444,4295802:4295821|offset_70|00cc00,4295832:4295851|offset_100|444444&amp;v=4295540:4296051&amp;c=444444", "offset 70")</f>
        <v>offset 70</v>
      </c>
    </row>
    <row r="15188" customFormat="false" ht="12.8" hidden="false" customHeight="false" outlineLevel="0" collapsed="false">
      <c r="A15188" s="0" t="s">
        <v>12</v>
      </c>
      <c r="B15188" s="0" t="n">
        <v>4295831</v>
      </c>
      <c r="C15188" s="0" t="n">
        <v>4295851</v>
      </c>
      <c r="D15188" s="0" t="s">
        <v>50599</v>
      </c>
      <c r="E15188" s="0" t="s">
        <v>50600</v>
      </c>
      <c r="F15188" s="0" t="s">
        <v>15</v>
      </c>
      <c r="G15188" s="0" t="s">
        <v>16</v>
      </c>
      <c r="H15188" s="0" t="n">
        <v>100</v>
      </c>
      <c r="I15188" s="0" t="s">
        <v>50610</v>
      </c>
      <c r="J15188" s="0" t="s">
        <v>50611</v>
      </c>
      <c r="K15188" s="0" t="s">
        <v>50612</v>
      </c>
      <c r="L15188" s="0" t="str">
        <f aca="false">HYPERLINK("https://www.ncbi.nlm.nih.gov/nuccore/CP000304.1?report=graph&amp;tracks=[key:gene_model_track,Options:GeneOnly]&amp;mk=4295741:4295760|offset_9|444444,4295776:4295795|offset_44|444444,4295802:4295821|offset_70|444444,4295832:4295851|offset_100|00cc00&amp;v=4295540:4296051&amp;c=444444", "offset 100")</f>
        <v>offset 100</v>
      </c>
    </row>
    <row r="15189" customFormat="false" ht="12.8" hidden="false" customHeight="false" outlineLevel="0" collapsed="false">
      <c r="A15189" s="0" t="s">
        <v>12</v>
      </c>
      <c r="B15189" s="0" t="n">
        <v>4296767</v>
      </c>
      <c r="C15189" s="0" t="n">
        <v>4296787</v>
      </c>
      <c r="D15189" s="0" t="s">
        <v>50613</v>
      </c>
      <c r="E15189" s="0" t="s">
        <v>89</v>
      </c>
      <c r="F15189" s="0" t="s">
        <v>15</v>
      </c>
      <c r="G15189" s="0" t="s">
        <v>26</v>
      </c>
      <c r="H15189" s="0" t="n">
        <v>20</v>
      </c>
      <c r="I15189" s="0" t="s">
        <v>50614</v>
      </c>
      <c r="J15189" s="0" t="s">
        <v>50615</v>
      </c>
      <c r="K15189" s="0" t="s">
        <v>50616</v>
      </c>
      <c r="L15189" s="0" t="str">
        <f aca="false">HYPERLINK("https://www.ncbi.nlm.nih.gov/nuccore/CP000304.1?report=graph&amp;tracks=[key:gene_model_track,Options:GeneOnly]&amp;mk=4296768:4296787|offset_20|00cc00,4296789:4296808|offset_41|444444,4296815:4296834|offset_67|444444,4296848:4296867|offset_100|444444&amp;v=4296567:4297067&amp;c=444444", "offset 20")</f>
        <v>offset 20</v>
      </c>
    </row>
    <row r="15190" customFormat="false" ht="12.8" hidden="false" customHeight="false" outlineLevel="0" collapsed="false">
      <c r="A15190" s="0" t="s">
        <v>12</v>
      </c>
      <c r="B15190" s="0" t="n">
        <v>4296788</v>
      </c>
      <c r="C15190" s="0" t="n">
        <v>4296808</v>
      </c>
      <c r="D15190" s="0" t="s">
        <v>50613</v>
      </c>
      <c r="E15190" s="0" t="s">
        <v>89</v>
      </c>
      <c r="F15190" s="0" t="s">
        <v>15</v>
      </c>
      <c r="G15190" s="0" t="s">
        <v>36</v>
      </c>
      <c r="H15190" s="0" t="n">
        <v>41</v>
      </c>
      <c r="I15190" s="0" t="s">
        <v>50617</v>
      </c>
      <c r="J15190" s="0" t="s">
        <v>50618</v>
      </c>
      <c r="K15190" s="0" t="s">
        <v>50619</v>
      </c>
      <c r="L15190" s="0" t="str">
        <f aca="false">HYPERLINK("https://www.ncbi.nlm.nih.gov/nuccore/CP000304.1?report=graph&amp;tracks=[key:gene_model_track,Options:GeneOnly]&amp;mk=4296768:4296787|offset_20|444444,4296789:4296808|offset_41|00cc00,4296815:4296834|offset_67|444444,4296848:4296867|offset_100|444444&amp;v=4296567:4297067&amp;c=444444", "offset 41")</f>
        <v>offset 41</v>
      </c>
    </row>
    <row r="15191" customFormat="false" ht="12.8" hidden="false" customHeight="false" outlineLevel="0" collapsed="false">
      <c r="A15191" s="0" t="s">
        <v>12</v>
      </c>
      <c r="B15191" s="0" t="n">
        <v>4296814</v>
      </c>
      <c r="C15191" s="0" t="n">
        <v>4296834</v>
      </c>
      <c r="D15191" s="0" t="s">
        <v>50613</v>
      </c>
      <c r="E15191" s="0" t="s">
        <v>89</v>
      </c>
      <c r="F15191" s="0" t="s">
        <v>15</v>
      </c>
      <c r="G15191" s="0" t="s">
        <v>16</v>
      </c>
      <c r="H15191" s="0" t="n">
        <v>67</v>
      </c>
      <c r="I15191" s="0" t="s">
        <v>50620</v>
      </c>
      <c r="J15191" s="0" t="s">
        <v>50621</v>
      </c>
      <c r="K15191" s="0" t="s">
        <v>50622</v>
      </c>
      <c r="L15191" s="0" t="str">
        <f aca="false">HYPERLINK("https://www.ncbi.nlm.nih.gov/nuccore/CP000304.1?report=graph&amp;tracks=[key:gene_model_track,Options:GeneOnly]&amp;mk=4296768:4296787|offset_20|444444,4296789:4296808|offset_41|444444,4296815:4296834|offset_67|00cc00,4296848:4296867|offset_100|444444&amp;v=4296567:4297067&amp;c=444444", "offset 67")</f>
        <v>offset 67</v>
      </c>
    </row>
    <row r="15192" customFormat="false" ht="12.8" hidden="false" customHeight="false" outlineLevel="0" collapsed="false">
      <c r="A15192" s="0" t="s">
        <v>12</v>
      </c>
      <c r="B15192" s="0" t="n">
        <v>4296847</v>
      </c>
      <c r="C15192" s="0" t="n">
        <v>4296867</v>
      </c>
      <c r="D15192" s="0" t="s">
        <v>50613</v>
      </c>
      <c r="E15192" s="0" t="s">
        <v>89</v>
      </c>
      <c r="F15192" s="0" t="s">
        <v>15</v>
      </c>
      <c r="G15192" s="0" t="s">
        <v>32</v>
      </c>
      <c r="H15192" s="0" t="n">
        <v>100</v>
      </c>
      <c r="I15192" s="0" t="s">
        <v>50623</v>
      </c>
      <c r="J15192" s="0" t="s">
        <v>50624</v>
      </c>
      <c r="K15192" s="0" t="s">
        <v>50625</v>
      </c>
      <c r="L15192" s="0" t="str">
        <f aca="false">HYPERLINK("https://www.ncbi.nlm.nih.gov/nuccore/CP000304.1?report=graph&amp;tracks=[key:gene_model_track,Options:GeneOnly]&amp;mk=4296768:4296787|offset_20|444444,4296789:4296808|offset_41|444444,4296815:4296834|offset_67|444444,4296848:4296867|offset_100|00cc00&amp;v=4296567:4297067&amp;c=444444", "offset 100")</f>
        <v>offset 100</v>
      </c>
    </row>
    <row r="15193" customFormat="false" ht="12.8" hidden="false" customHeight="false" outlineLevel="0" collapsed="false">
      <c r="A15193" s="0" t="s">
        <v>12</v>
      </c>
      <c r="B15193" s="0" t="n">
        <v>4298414</v>
      </c>
      <c r="C15193" s="0" t="n">
        <v>4298434</v>
      </c>
      <c r="D15193" s="0" t="s">
        <v>50626</v>
      </c>
      <c r="E15193" s="0" t="s">
        <v>89</v>
      </c>
      <c r="F15193" s="0" t="s">
        <v>90</v>
      </c>
      <c r="G15193" s="0" t="s">
        <v>26</v>
      </c>
      <c r="H15193" s="0" t="n">
        <v>41</v>
      </c>
      <c r="I15193" s="0" t="s">
        <v>50627</v>
      </c>
      <c r="J15193" s="0" t="s">
        <v>50628</v>
      </c>
      <c r="K15193" s="0" t="s">
        <v>50629</v>
      </c>
      <c r="L15193" s="0" t="str">
        <f aca="false">HYPERLINK("https://www.ncbi.nlm.nih.gov/nuccore/CP000304.1?report=graph&amp;tracks=[key:gene_model_track,Options:GeneOnly]&amp;mk=4298415:4298434|offset_41|00cc00,4298389:4298408|offset_67|444444,4298366:4298385|offset_90|444444,4298331:4298350|offset_125|444444&amp;v=4298214:4298550&amp;c=444444", "offset 41")</f>
        <v>offset 41</v>
      </c>
    </row>
    <row r="15194" customFormat="false" ht="12.8" hidden="false" customHeight="false" outlineLevel="0" collapsed="false">
      <c r="A15194" s="0" t="s">
        <v>12</v>
      </c>
      <c r="B15194" s="0" t="n">
        <v>4298388</v>
      </c>
      <c r="C15194" s="0" t="n">
        <v>4298408</v>
      </c>
      <c r="D15194" s="0" t="s">
        <v>50626</v>
      </c>
      <c r="E15194" s="0" t="s">
        <v>89</v>
      </c>
      <c r="F15194" s="0" t="s">
        <v>90</v>
      </c>
      <c r="G15194" s="0" t="s">
        <v>36</v>
      </c>
      <c r="H15194" s="0" t="n">
        <v>67</v>
      </c>
      <c r="I15194" s="0" t="s">
        <v>50630</v>
      </c>
      <c r="J15194" s="0" t="s">
        <v>50631</v>
      </c>
      <c r="K15194" s="0" t="s">
        <v>50632</v>
      </c>
      <c r="L15194" s="0" t="str">
        <f aca="false">HYPERLINK("https://www.ncbi.nlm.nih.gov/nuccore/CP000304.1?report=graph&amp;tracks=[key:gene_model_track,Options:GeneOnly]&amp;mk=4298415:4298434|offset_41|444444,4298389:4298408|offset_67|00cc00,4298366:4298385|offset_90|444444,4298331:4298350|offset_125|444444&amp;v=4298214:4298550&amp;c=444444", "offset 67")</f>
        <v>offset 67</v>
      </c>
    </row>
    <row r="15195" customFormat="false" ht="12.8" hidden="false" customHeight="false" outlineLevel="0" collapsed="false">
      <c r="A15195" s="0" t="s">
        <v>12</v>
      </c>
      <c r="B15195" s="0" t="n">
        <v>4298365</v>
      </c>
      <c r="C15195" s="0" t="n">
        <v>4298385</v>
      </c>
      <c r="D15195" s="0" t="s">
        <v>50626</v>
      </c>
      <c r="E15195" s="0" t="s">
        <v>89</v>
      </c>
      <c r="F15195" s="0" t="s">
        <v>90</v>
      </c>
      <c r="G15195" s="0" t="s">
        <v>16</v>
      </c>
      <c r="H15195" s="0" t="n">
        <v>90</v>
      </c>
      <c r="I15195" s="0" t="s">
        <v>50633</v>
      </c>
      <c r="J15195" s="0" t="s">
        <v>50634</v>
      </c>
      <c r="K15195" s="0" t="s">
        <v>50635</v>
      </c>
      <c r="L15195" s="0" t="str">
        <f aca="false">HYPERLINK("https://www.ncbi.nlm.nih.gov/nuccore/CP000304.1?report=graph&amp;tracks=[key:gene_model_track,Options:GeneOnly]&amp;mk=4298415:4298434|offset_41|444444,4298389:4298408|offset_67|444444,4298366:4298385|offset_90|00cc00,4298331:4298350|offset_125|444444&amp;v=4298214:4298550&amp;c=444444", "offset 90")</f>
        <v>offset 90</v>
      </c>
    </row>
    <row r="15196" customFormat="false" ht="12.8" hidden="false" customHeight="false" outlineLevel="0" collapsed="false">
      <c r="A15196" s="0" t="s">
        <v>12</v>
      </c>
      <c r="B15196" s="0" t="n">
        <v>4298330</v>
      </c>
      <c r="C15196" s="0" t="n">
        <v>4298350</v>
      </c>
      <c r="D15196" s="0" t="s">
        <v>50626</v>
      </c>
      <c r="E15196" s="0" t="s">
        <v>89</v>
      </c>
      <c r="F15196" s="0" t="s">
        <v>90</v>
      </c>
      <c r="G15196" s="0" t="s">
        <v>26</v>
      </c>
      <c r="H15196" s="0" t="n">
        <v>125</v>
      </c>
      <c r="I15196" s="0" t="s">
        <v>50636</v>
      </c>
      <c r="J15196" s="0" t="s">
        <v>50637</v>
      </c>
      <c r="K15196" s="0" t="s">
        <v>50638</v>
      </c>
      <c r="L15196" s="0" t="str">
        <f aca="false">HYPERLINK("https://www.ncbi.nlm.nih.gov/nuccore/CP000304.1?report=graph&amp;tracks=[key:gene_model_track,Options:GeneOnly]&amp;mk=4298415:4298434|offset_41|444444,4298389:4298408|offset_67|444444,4298366:4298385|offset_90|444444,4298331:4298350|offset_125|00cc00&amp;v=4298214:4298550&amp;c=444444", "offset 125")</f>
        <v>offset 125</v>
      </c>
    </row>
    <row r="15197" customFormat="false" ht="12.8" hidden="false" customHeight="false" outlineLevel="0" collapsed="false">
      <c r="A15197" s="0" t="s">
        <v>12</v>
      </c>
      <c r="B15197" s="0" t="n">
        <v>4298607</v>
      </c>
      <c r="C15197" s="0" t="n">
        <v>4298627</v>
      </c>
      <c r="D15197" s="0" t="s">
        <v>50639</v>
      </c>
      <c r="E15197" s="0" t="s">
        <v>89</v>
      </c>
      <c r="F15197" s="0" t="s">
        <v>15</v>
      </c>
      <c r="G15197" s="0" t="s">
        <v>36</v>
      </c>
      <c r="H15197" s="0" t="n">
        <v>24</v>
      </c>
      <c r="I15197" s="0" t="s">
        <v>50640</v>
      </c>
      <c r="J15197" s="0" t="s">
        <v>50641</v>
      </c>
      <c r="K15197" s="0" t="s">
        <v>50642</v>
      </c>
      <c r="L15197" s="0" t="str">
        <f aca="false">HYPERLINK("https://www.ncbi.nlm.nih.gov/nuccore/CP000304.1?report=graph&amp;tracks=[key:gene_model_track,Options:GeneOnly]&amp;mk=4298608:4298627|offset_24|00cc00,4298645:4298664|offset_61|444444,4298689:4298708|offset_105|444444,4298726:4298745|offset_142|444444&amp;v=4298407:4298945&amp;c=444444", "offset 24")</f>
        <v>offset 24</v>
      </c>
    </row>
    <row r="15198" customFormat="false" ht="12.8" hidden="false" customHeight="false" outlineLevel="0" collapsed="false">
      <c r="A15198" s="0" t="s">
        <v>12</v>
      </c>
      <c r="B15198" s="0" t="n">
        <v>4298644</v>
      </c>
      <c r="C15198" s="0" t="n">
        <v>4298664</v>
      </c>
      <c r="D15198" s="0" t="s">
        <v>50639</v>
      </c>
      <c r="E15198" s="0" t="s">
        <v>89</v>
      </c>
      <c r="F15198" s="0" t="s">
        <v>15</v>
      </c>
      <c r="G15198" s="0" t="s">
        <v>16</v>
      </c>
      <c r="H15198" s="0" t="n">
        <v>61</v>
      </c>
      <c r="I15198" s="0" t="s">
        <v>50643</v>
      </c>
      <c r="J15198" s="0" t="s">
        <v>50644</v>
      </c>
      <c r="K15198" s="0" t="s">
        <v>50645</v>
      </c>
      <c r="L15198" s="0" t="str">
        <f aca="false">HYPERLINK("https://www.ncbi.nlm.nih.gov/nuccore/CP000304.1?report=graph&amp;tracks=[key:gene_model_track,Options:GeneOnly]&amp;mk=4298608:4298627|offset_24|444444,4298645:4298664|offset_61|00cc00,4298689:4298708|offset_105|444444,4298726:4298745|offset_142|444444&amp;v=4298407:4298945&amp;c=444444", "offset 61")</f>
        <v>offset 61</v>
      </c>
    </row>
    <row r="15199" customFormat="false" ht="12.8" hidden="false" customHeight="false" outlineLevel="0" collapsed="false">
      <c r="A15199" s="0" t="s">
        <v>12</v>
      </c>
      <c r="B15199" s="0" t="n">
        <v>4298688</v>
      </c>
      <c r="C15199" s="0" t="n">
        <v>4298708</v>
      </c>
      <c r="D15199" s="0" t="s">
        <v>50639</v>
      </c>
      <c r="E15199" s="0" t="s">
        <v>89</v>
      </c>
      <c r="F15199" s="0" t="s">
        <v>15</v>
      </c>
      <c r="G15199" s="0" t="s">
        <v>16</v>
      </c>
      <c r="H15199" s="0" t="n">
        <v>105</v>
      </c>
      <c r="I15199" s="0" t="s">
        <v>50646</v>
      </c>
      <c r="J15199" s="0" t="s">
        <v>50647</v>
      </c>
      <c r="K15199" s="0" t="s">
        <v>50648</v>
      </c>
      <c r="L15199" s="0" t="str">
        <f aca="false">HYPERLINK("https://www.ncbi.nlm.nih.gov/nuccore/CP000304.1?report=graph&amp;tracks=[key:gene_model_track,Options:GeneOnly]&amp;mk=4298608:4298627|offset_24|444444,4298645:4298664|offset_61|444444,4298689:4298708|offset_105|00cc00,4298726:4298745|offset_142|444444&amp;v=4298407:4298945&amp;c=444444", "offset 105")</f>
        <v>offset 105</v>
      </c>
    </row>
    <row r="15200" customFormat="false" ht="12.8" hidden="false" customHeight="false" outlineLevel="0" collapsed="false">
      <c r="A15200" s="0" t="s">
        <v>12</v>
      </c>
      <c r="B15200" s="0" t="n">
        <v>4298725</v>
      </c>
      <c r="C15200" s="0" t="n">
        <v>4298745</v>
      </c>
      <c r="D15200" s="0" t="s">
        <v>50639</v>
      </c>
      <c r="E15200" s="0" t="s">
        <v>89</v>
      </c>
      <c r="F15200" s="0" t="s">
        <v>15</v>
      </c>
      <c r="G15200" s="0" t="s">
        <v>32</v>
      </c>
      <c r="H15200" s="0" t="n">
        <v>142</v>
      </c>
      <c r="I15200" s="0" t="s">
        <v>50649</v>
      </c>
      <c r="J15200" s="0" t="s">
        <v>50650</v>
      </c>
      <c r="K15200" s="0" t="s">
        <v>50651</v>
      </c>
      <c r="L15200" s="0" t="str">
        <f aca="false">HYPERLINK("https://www.ncbi.nlm.nih.gov/nuccore/CP000304.1?report=graph&amp;tracks=[key:gene_model_track,Options:GeneOnly]&amp;mk=4298608:4298627|offset_24|444444,4298645:4298664|offset_61|444444,4298689:4298708|offset_105|444444,4298726:4298745|offset_142|00cc00&amp;v=4298407:4298945&amp;c=444444", "offset 142")</f>
        <v>offset 142</v>
      </c>
    </row>
    <row r="15201" customFormat="false" ht="12.8" hidden="false" customHeight="false" outlineLevel="0" collapsed="false">
      <c r="A15201" s="0" t="s">
        <v>12</v>
      </c>
      <c r="B15201" s="0" t="n">
        <v>4299856</v>
      </c>
      <c r="C15201" s="0" t="n">
        <v>4299876</v>
      </c>
      <c r="D15201" s="0" t="s">
        <v>50652</v>
      </c>
      <c r="E15201" s="0" t="s">
        <v>89</v>
      </c>
      <c r="F15201" s="0" t="s">
        <v>15</v>
      </c>
      <c r="G15201" s="0" t="s">
        <v>32</v>
      </c>
      <c r="H15201" s="0" t="n">
        <v>32</v>
      </c>
      <c r="I15201" s="0" t="s">
        <v>50653</v>
      </c>
      <c r="J15201" s="0" t="s">
        <v>50654</v>
      </c>
      <c r="K15201" s="0" t="s">
        <v>50655</v>
      </c>
      <c r="L15201" s="0" t="str">
        <f aca="false">HYPERLINK("https://www.ncbi.nlm.nih.gov/nuccore/CP000304.1?report=graph&amp;tracks=[key:gene_model_track,Options:GeneOnly]&amp;mk=4299857:4299876|offset_32|00cc00,4299906:4299925|offset_81|444444,4299957:4299976|offset_132|444444,4299995:4300014|offset_170|444444&amp;v=4299656:4300214&amp;c=444444", "offset 32")</f>
        <v>offset 32</v>
      </c>
    </row>
    <row r="15202" customFormat="false" ht="12.8" hidden="false" customHeight="false" outlineLevel="0" collapsed="false">
      <c r="A15202" s="0" t="s">
        <v>12</v>
      </c>
      <c r="B15202" s="0" t="n">
        <v>4299905</v>
      </c>
      <c r="C15202" s="0" t="n">
        <v>4299925</v>
      </c>
      <c r="D15202" s="0" t="s">
        <v>50652</v>
      </c>
      <c r="E15202" s="0" t="s">
        <v>89</v>
      </c>
      <c r="F15202" s="0" t="s">
        <v>15</v>
      </c>
      <c r="G15202" s="0" t="s">
        <v>16</v>
      </c>
      <c r="H15202" s="0" t="n">
        <v>81</v>
      </c>
      <c r="I15202" s="0" t="s">
        <v>50656</v>
      </c>
      <c r="J15202" s="0" t="s">
        <v>50657</v>
      </c>
      <c r="K15202" s="0" t="s">
        <v>50658</v>
      </c>
      <c r="L15202" s="0" t="str">
        <f aca="false">HYPERLINK("https://www.ncbi.nlm.nih.gov/nuccore/CP000304.1?report=graph&amp;tracks=[key:gene_model_track,Options:GeneOnly]&amp;mk=4299857:4299876|offset_32|444444,4299906:4299925|offset_81|00cc00,4299957:4299976|offset_132|444444,4299995:4300014|offset_170|444444&amp;v=4299656:4300214&amp;c=444444", "offset 81")</f>
        <v>offset 81</v>
      </c>
    </row>
    <row r="15203" customFormat="false" ht="12.8" hidden="false" customHeight="false" outlineLevel="0" collapsed="false">
      <c r="A15203" s="0" t="s">
        <v>12</v>
      </c>
      <c r="B15203" s="0" t="n">
        <v>4299956</v>
      </c>
      <c r="C15203" s="0" t="n">
        <v>4299976</v>
      </c>
      <c r="D15203" s="0" t="s">
        <v>50652</v>
      </c>
      <c r="E15203" s="0" t="s">
        <v>89</v>
      </c>
      <c r="F15203" s="0" t="s">
        <v>15</v>
      </c>
      <c r="G15203" s="0" t="s">
        <v>32</v>
      </c>
      <c r="H15203" s="0" t="n">
        <v>132</v>
      </c>
      <c r="I15203" s="0" t="s">
        <v>50659</v>
      </c>
      <c r="J15203" s="0" t="s">
        <v>50660</v>
      </c>
      <c r="K15203" s="0" t="s">
        <v>50661</v>
      </c>
      <c r="L15203" s="0" t="str">
        <f aca="false">HYPERLINK("https://www.ncbi.nlm.nih.gov/nuccore/CP000304.1?report=graph&amp;tracks=[key:gene_model_track,Options:GeneOnly]&amp;mk=4299857:4299876|offset_32|444444,4299906:4299925|offset_81|444444,4299957:4299976|offset_132|00cc00,4299995:4300014|offset_170|444444&amp;v=4299656:4300214&amp;c=444444", "offset 132")</f>
        <v>offset 132</v>
      </c>
    </row>
    <row r="15204" customFormat="false" ht="12.8" hidden="false" customHeight="false" outlineLevel="0" collapsed="false">
      <c r="A15204" s="0" t="s">
        <v>12</v>
      </c>
      <c r="B15204" s="0" t="n">
        <v>4299994</v>
      </c>
      <c r="C15204" s="0" t="n">
        <v>4300014</v>
      </c>
      <c r="D15204" s="0" t="s">
        <v>50652</v>
      </c>
      <c r="E15204" s="0" t="s">
        <v>89</v>
      </c>
      <c r="F15204" s="0" t="s">
        <v>15</v>
      </c>
      <c r="G15204" s="0" t="s">
        <v>16</v>
      </c>
      <c r="H15204" s="0" t="n">
        <v>170</v>
      </c>
      <c r="I15204" s="0" t="s">
        <v>50662</v>
      </c>
      <c r="J15204" s="0" t="s">
        <v>50663</v>
      </c>
      <c r="K15204" s="0" t="s">
        <v>50664</v>
      </c>
      <c r="L15204" s="0" t="str">
        <f aca="false">HYPERLINK("https://www.ncbi.nlm.nih.gov/nuccore/CP000304.1?report=graph&amp;tracks=[key:gene_model_track,Options:GeneOnly]&amp;mk=4299857:4299876|offset_32|444444,4299906:4299925|offset_81|444444,4299957:4299976|offset_132|444444,4299995:4300014|offset_170|00cc00&amp;v=4299656:4300214&amp;c=444444", "offset 170")</f>
        <v>offset 170</v>
      </c>
    </row>
    <row r="15205" customFormat="false" ht="12.8" hidden="false" customHeight="false" outlineLevel="0" collapsed="false">
      <c r="A15205" s="0" t="s">
        <v>12</v>
      </c>
      <c r="B15205" s="0" t="n">
        <v>4301672</v>
      </c>
      <c r="C15205" s="0" t="n">
        <v>4301692</v>
      </c>
      <c r="D15205" s="0" t="s">
        <v>50665</v>
      </c>
      <c r="E15205" s="0" t="s">
        <v>50666</v>
      </c>
      <c r="F15205" s="0" t="s">
        <v>90</v>
      </c>
      <c r="G15205" s="0" t="s">
        <v>16</v>
      </c>
      <c r="H15205" s="0" t="n">
        <v>27</v>
      </c>
      <c r="I15205" s="0" t="s">
        <v>50667</v>
      </c>
      <c r="J15205" s="0" t="s">
        <v>50668</v>
      </c>
      <c r="K15205" s="0" t="s">
        <v>50669</v>
      </c>
      <c r="L15205" s="0" t="str">
        <f aca="false">HYPERLINK("https://www.ncbi.nlm.nih.gov/nuccore/CP000304.1?report=graph&amp;tracks=[key:gene_model_track,Options:GeneOnly]&amp;mk=4301673:4301692|offset_27|00cc00,4301649:4301668|offset_51|444444,4301599:4301618|offset_101|444444,4301555:4301574|offset_145|444444&amp;v=4301472:4301774&amp;c=444444", "offset 27")</f>
        <v>offset 27</v>
      </c>
    </row>
    <row r="15206" customFormat="false" ht="12.8" hidden="false" customHeight="false" outlineLevel="0" collapsed="false">
      <c r="A15206" s="0" t="s">
        <v>12</v>
      </c>
      <c r="B15206" s="0" t="n">
        <v>4301648</v>
      </c>
      <c r="C15206" s="0" t="n">
        <v>4301668</v>
      </c>
      <c r="D15206" s="0" t="s">
        <v>50665</v>
      </c>
      <c r="E15206" s="0" t="s">
        <v>50666</v>
      </c>
      <c r="F15206" s="0" t="s">
        <v>90</v>
      </c>
      <c r="G15206" s="0" t="s">
        <v>16</v>
      </c>
      <c r="H15206" s="0" t="n">
        <v>51</v>
      </c>
      <c r="I15206" s="0" t="s">
        <v>50670</v>
      </c>
      <c r="J15206" s="0" t="s">
        <v>50671</v>
      </c>
      <c r="K15206" s="0" t="s">
        <v>50672</v>
      </c>
      <c r="L15206" s="0" t="str">
        <f aca="false">HYPERLINK("https://www.ncbi.nlm.nih.gov/nuccore/CP000304.1?report=graph&amp;tracks=[key:gene_model_track,Options:GeneOnly]&amp;mk=4301673:4301692|offset_27|444444,4301649:4301668|offset_51|00cc00,4301599:4301618|offset_101|444444,4301555:4301574|offset_145|444444&amp;v=4301472:4301774&amp;c=444444", "offset 51")</f>
        <v>offset 51</v>
      </c>
    </row>
    <row r="15207" customFormat="false" ht="12.8" hidden="false" customHeight="false" outlineLevel="0" collapsed="false">
      <c r="A15207" s="0" t="s">
        <v>12</v>
      </c>
      <c r="B15207" s="0" t="n">
        <v>4301598</v>
      </c>
      <c r="C15207" s="0" t="n">
        <v>4301618</v>
      </c>
      <c r="D15207" s="0" t="s">
        <v>50665</v>
      </c>
      <c r="E15207" s="0" t="s">
        <v>50666</v>
      </c>
      <c r="F15207" s="0" t="s">
        <v>90</v>
      </c>
      <c r="G15207" s="0" t="s">
        <v>16</v>
      </c>
      <c r="H15207" s="0" t="n">
        <v>101</v>
      </c>
      <c r="I15207" s="0" t="s">
        <v>50673</v>
      </c>
      <c r="J15207" s="0" t="s">
        <v>50674</v>
      </c>
      <c r="K15207" s="0" t="s">
        <v>50675</v>
      </c>
      <c r="L15207" s="0" t="str">
        <f aca="false">HYPERLINK("https://www.ncbi.nlm.nih.gov/nuccore/CP000304.1?report=graph&amp;tracks=[key:gene_model_track,Options:GeneOnly]&amp;mk=4301673:4301692|offset_27|444444,4301649:4301668|offset_51|444444,4301599:4301618|offset_101|00cc00,4301555:4301574|offset_145|444444&amp;v=4301472:4301774&amp;c=444444", "offset 101")</f>
        <v>offset 101</v>
      </c>
    </row>
    <row r="15208" customFormat="false" ht="12.8" hidden="false" customHeight="false" outlineLevel="0" collapsed="false">
      <c r="A15208" s="0" t="s">
        <v>12</v>
      </c>
      <c r="B15208" s="0" t="n">
        <v>4301554</v>
      </c>
      <c r="C15208" s="0" t="n">
        <v>4301574</v>
      </c>
      <c r="D15208" s="0" t="s">
        <v>50665</v>
      </c>
      <c r="E15208" s="0" t="s">
        <v>50666</v>
      </c>
      <c r="F15208" s="0" t="s">
        <v>90</v>
      </c>
      <c r="G15208" s="0" t="s">
        <v>36</v>
      </c>
      <c r="H15208" s="0" t="n">
        <v>145</v>
      </c>
      <c r="I15208" s="0" t="s">
        <v>50676</v>
      </c>
      <c r="J15208" s="0" t="s">
        <v>50677</v>
      </c>
      <c r="K15208" s="0" t="s">
        <v>50678</v>
      </c>
      <c r="L15208" s="0" t="str">
        <f aca="false">HYPERLINK("https://www.ncbi.nlm.nih.gov/nuccore/CP000304.1?report=graph&amp;tracks=[key:gene_model_track,Options:GeneOnly]&amp;mk=4301673:4301692|offset_27|444444,4301649:4301668|offset_51|444444,4301599:4301618|offset_101|444444,4301555:4301574|offset_145|00cc00&amp;v=4301472:4301774&amp;c=444444", "offset 145")</f>
        <v>offset 145</v>
      </c>
    </row>
    <row r="15209" customFormat="false" ht="12.8" hidden="false" customHeight="false" outlineLevel="0" collapsed="false">
      <c r="A15209" s="0" t="s">
        <v>12</v>
      </c>
      <c r="B15209" s="0" t="n">
        <v>4302874</v>
      </c>
      <c r="C15209" s="0" t="n">
        <v>4302894</v>
      </c>
      <c r="D15209" s="0" t="s">
        <v>50679</v>
      </c>
      <c r="E15209" s="0" t="s">
        <v>50680</v>
      </c>
      <c r="F15209" s="0" t="s">
        <v>90</v>
      </c>
      <c r="G15209" s="0" t="s">
        <v>36</v>
      </c>
      <c r="H15209" s="0" t="n">
        <v>0</v>
      </c>
      <c r="I15209" s="0" t="s">
        <v>50681</v>
      </c>
      <c r="J15209" s="0" t="s">
        <v>50682</v>
      </c>
      <c r="K15209" s="0" t="s">
        <v>50683</v>
      </c>
      <c r="L15209" s="0" t="str">
        <f aca="false">HYPERLINK("https://www.ncbi.nlm.nih.gov/nuccore/CP000304.1?report=graph&amp;tracks=[key:gene_model_track,Options:GeneOnly]&amp;mk=4302875:4302894|offset_0|00cc00,4302850:4302869|offset_25|444444,4302816:4302835|offset_59|444444,4302755:4302774|offset_120|444444&amp;v=4302674:4302974&amp;c=444444", "offset 0")</f>
        <v>offset 0</v>
      </c>
    </row>
    <row r="15210" customFormat="false" ht="12.8" hidden="false" customHeight="false" outlineLevel="0" collapsed="false">
      <c r="A15210" s="0" t="s">
        <v>12</v>
      </c>
      <c r="B15210" s="0" t="n">
        <v>4302849</v>
      </c>
      <c r="C15210" s="0" t="n">
        <v>4302869</v>
      </c>
      <c r="D15210" s="0" t="s">
        <v>50679</v>
      </c>
      <c r="E15210" s="0" t="s">
        <v>50680</v>
      </c>
      <c r="F15210" s="0" t="s">
        <v>90</v>
      </c>
      <c r="G15210" s="0" t="s">
        <v>26</v>
      </c>
      <c r="H15210" s="0" t="n">
        <v>25</v>
      </c>
      <c r="I15210" s="0" t="s">
        <v>50684</v>
      </c>
      <c r="J15210" s="0" t="s">
        <v>50685</v>
      </c>
      <c r="K15210" s="0" t="s">
        <v>50686</v>
      </c>
      <c r="L15210" s="0" t="str">
        <f aca="false">HYPERLINK("https://www.ncbi.nlm.nih.gov/nuccore/CP000304.1?report=graph&amp;tracks=[key:gene_model_track,Options:GeneOnly]&amp;mk=4302875:4302894|offset_0|444444,4302850:4302869|offset_25|00cc00,4302816:4302835|offset_59|444444,4302755:4302774|offset_120|444444&amp;v=4302674:4302974&amp;c=444444", "offset 25")</f>
        <v>offset 25</v>
      </c>
    </row>
    <row r="15211" customFormat="false" ht="12.8" hidden="false" customHeight="false" outlineLevel="0" collapsed="false">
      <c r="A15211" s="0" t="s">
        <v>12</v>
      </c>
      <c r="B15211" s="0" t="n">
        <v>4302815</v>
      </c>
      <c r="C15211" s="0" t="n">
        <v>4302835</v>
      </c>
      <c r="D15211" s="0" t="s">
        <v>50679</v>
      </c>
      <c r="E15211" s="0" t="s">
        <v>50680</v>
      </c>
      <c r="F15211" s="0" t="s">
        <v>90</v>
      </c>
      <c r="G15211" s="0" t="s">
        <v>26</v>
      </c>
      <c r="H15211" s="0" t="n">
        <v>59</v>
      </c>
      <c r="I15211" s="0" t="s">
        <v>50687</v>
      </c>
      <c r="J15211" s="0" t="s">
        <v>50688</v>
      </c>
      <c r="K15211" s="0" t="s">
        <v>50689</v>
      </c>
      <c r="L15211" s="0" t="str">
        <f aca="false">HYPERLINK("https://www.ncbi.nlm.nih.gov/nuccore/CP000304.1?report=graph&amp;tracks=[key:gene_model_track,Options:GeneOnly]&amp;mk=4302875:4302894|offset_0|444444,4302850:4302869|offset_25|444444,4302816:4302835|offset_59|00cc00,4302755:4302774|offset_120|444444&amp;v=4302674:4302974&amp;c=444444", "offset 59")</f>
        <v>offset 59</v>
      </c>
    </row>
    <row r="15212" customFormat="false" ht="12.8" hidden="false" customHeight="false" outlineLevel="0" collapsed="false">
      <c r="A15212" s="0" t="s">
        <v>12</v>
      </c>
      <c r="B15212" s="0" t="n">
        <v>4302754</v>
      </c>
      <c r="C15212" s="0" t="n">
        <v>4302774</v>
      </c>
      <c r="D15212" s="0" t="s">
        <v>50679</v>
      </c>
      <c r="E15212" s="0" t="s">
        <v>50680</v>
      </c>
      <c r="F15212" s="0" t="s">
        <v>90</v>
      </c>
      <c r="G15212" s="0" t="s">
        <v>16</v>
      </c>
      <c r="H15212" s="0" t="n">
        <v>120</v>
      </c>
      <c r="I15212" s="0" t="s">
        <v>50690</v>
      </c>
      <c r="J15212" s="0" t="s">
        <v>50691</v>
      </c>
      <c r="K15212" s="0" t="s">
        <v>50692</v>
      </c>
      <c r="L15212" s="0" t="str">
        <f aca="false">HYPERLINK("https://www.ncbi.nlm.nih.gov/nuccore/CP000304.1?report=graph&amp;tracks=[key:gene_model_track,Options:GeneOnly]&amp;mk=4302875:4302894|offset_0|444444,4302850:4302869|offset_25|444444,4302816:4302835|offset_59|444444,4302755:4302774|offset_120|00cc00&amp;v=4302674:4302974&amp;c=444444", "offset 120")</f>
        <v>offset 120</v>
      </c>
    </row>
    <row r="15213" customFormat="false" ht="12.8" hidden="false" customHeight="false" outlineLevel="0" collapsed="false">
      <c r="A15213" s="0" t="s">
        <v>12</v>
      </c>
      <c r="B15213" s="0" t="n">
        <v>4302967</v>
      </c>
      <c r="C15213" s="0" t="n">
        <v>4302987</v>
      </c>
      <c r="D15213" s="0" t="s">
        <v>50693</v>
      </c>
      <c r="E15213" s="0" t="s">
        <v>89</v>
      </c>
      <c r="F15213" s="0" t="s">
        <v>15</v>
      </c>
      <c r="G15213" s="0" t="s">
        <v>32</v>
      </c>
      <c r="H15213" s="0" t="n">
        <v>7</v>
      </c>
      <c r="I15213" s="0" t="s">
        <v>50694</v>
      </c>
      <c r="J15213" s="0" t="s">
        <v>50695</v>
      </c>
      <c r="K15213" s="0" t="s">
        <v>50696</v>
      </c>
      <c r="L15213" s="0" t="str">
        <f aca="false">HYPERLINK("https://www.ncbi.nlm.nih.gov/nuccore/CP000304.1?report=graph&amp;tracks=[key:gene_model_track,Options:GeneOnly]&amp;mk=4302968:4302987|offset_7|00cc00,4303008:4303027|offset_47|444444,4303040:4303059|offset_79|444444,4303061:4303080|offset_100|444444&amp;v=4302767:4303280&amp;c=444444", "offset 7")</f>
        <v>offset 7</v>
      </c>
    </row>
    <row r="15214" customFormat="false" ht="12.8" hidden="false" customHeight="false" outlineLevel="0" collapsed="false">
      <c r="A15214" s="0" t="s">
        <v>12</v>
      </c>
      <c r="B15214" s="0" t="n">
        <v>4303007</v>
      </c>
      <c r="C15214" s="0" t="n">
        <v>4303027</v>
      </c>
      <c r="D15214" s="0" t="s">
        <v>50693</v>
      </c>
      <c r="E15214" s="0" t="s">
        <v>89</v>
      </c>
      <c r="F15214" s="0" t="s">
        <v>15</v>
      </c>
      <c r="G15214" s="0" t="s">
        <v>16</v>
      </c>
      <c r="H15214" s="0" t="n">
        <v>47</v>
      </c>
      <c r="I15214" s="0" t="s">
        <v>50697</v>
      </c>
      <c r="J15214" s="0" t="s">
        <v>50698</v>
      </c>
      <c r="K15214" s="0" t="s">
        <v>50699</v>
      </c>
      <c r="L15214" s="0" t="str">
        <f aca="false">HYPERLINK("https://www.ncbi.nlm.nih.gov/nuccore/CP000304.1?report=graph&amp;tracks=[key:gene_model_track,Options:GeneOnly]&amp;mk=4302968:4302987|offset_7|444444,4303008:4303027|offset_47|00cc00,4303040:4303059|offset_79|444444,4303061:4303080|offset_100|444444&amp;v=4302767:4303280&amp;c=444444", "offset 47")</f>
        <v>offset 47</v>
      </c>
    </row>
    <row r="15215" customFormat="false" ht="12.8" hidden="false" customHeight="false" outlineLevel="0" collapsed="false">
      <c r="A15215" s="0" t="s">
        <v>12</v>
      </c>
      <c r="B15215" s="0" t="n">
        <v>4303039</v>
      </c>
      <c r="C15215" s="0" t="n">
        <v>4303059</v>
      </c>
      <c r="D15215" s="0" t="s">
        <v>50693</v>
      </c>
      <c r="E15215" s="0" t="s">
        <v>89</v>
      </c>
      <c r="F15215" s="0" t="s">
        <v>15</v>
      </c>
      <c r="G15215" s="0" t="s">
        <v>16</v>
      </c>
      <c r="H15215" s="0" t="n">
        <v>79</v>
      </c>
      <c r="I15215" s="0" t="s">
        <v>50700</v>
      </c>
      <c r="J15215" s="0" t="s">
        <v>50701</v>
      </c>
      <c r="K15215" s="0" t="s">
        <v>50702</v>
      </c>
      <c r="L15215" s="0" t="str">
        <f aca="false">HYPERLINK("https://www.ncbi.nlm.nih.gov/nuccore/CP000304.1?report=graph&amp;tracks=[key:gene_model_track,Options:GeneOnly]&amp;mk=4302968:4302987|offset_7|444444,4303008:4303027|offset_47|444444,4303040:4303059|offset_79|00cc00,4303061:4303080|offset_100|444444&amp;v=4302767:4303280&amp;c=444444", "offset 79")</f>
        <v>offset 79</v>
      </c>
    </row>
    <row r="15216" customFormat="false" ht="12.8" hidden="false" customHeight="false" outlineLevel="0" collapsed="false">
      <c r="A15216" s="0" t="s">
        <v>12</v>
      </c>
      <c r="B15216" s="0" t="n">
        <v>4303060</v>
      </c>
      <c r="C15216" s="0" t="n">
        <v>4303080</v>
      </c>
      <c r="D15216" s="0" t="s">
        <v>50693</v>
      </c>
      <c r="E15216" s="0" t="s">
        <v>89</v>
      </c>
      <c r="F15216" s="0" t="s">
        <v>15</v>
      </c>
      <c r="G15216" s="0" t="s">
        <v>16</v>
      </c>
      <c r="H15216" s="0" t="n">
        <v>100</v>
      </c>
      <c r="I15216" s="0" t="s">
        <v>50703</v>
      </c>
      <c r="J15216" s="0" t="s">
        <v>50704</v>
      </c>
      <c r="K15216" s="0" t="s">
        <v>50705</v>
      </c>
      <c r="L15216" s="0" t="str">
        <f aca="false">HYPERLINK("https://www.ncbi.nlm.nih.gov/nuccore/CP000304.1?report=graph&amp;tracks=[key:gene_model_track,Options:GeneOnly]&amp;mk=4302968:4302987|offset_7|444444,4303008:4303027|offset_47|444444,4303040:4303059|offset_79|444444,4303061:4303080|offset_100|00cc00&amp;v=4302767:4303280&amp;c=444444", "offset 100")</f>
        <v>offset 100</v>
      </c>
    </row>
    <row r="15217" customFormat="false" ht="12.8" hidden="false" customHeight="false" outlineLevel="0" collapsed="false">
      <c r="A15217" s="0" t="s">
        <v>12</v>
      </c>
      <c r="B15217" s="0" t="n">
        <v>4303709</v>
      </c>
      <c r="C15217" s="0" t="n">
        <v>4303729</v>
      </c>
      <c r="D15217" s="0" t="s">
        <v>50706</v>
      </c>
      <c r="E15217" s="0" t="s">
        <v>50707</v>
      </c>
      <c r="F15217" s="0" t="s">
        <v>15</v>
      </c>
      <c r="G15217" s="0" t="s">
        <v>32</v>
      </c>
      <c r="H15217" s="0" t="n">
        <v>10</v>
      </c>
      <c r="I15217" s="0" t="s">
        <v>50708</v>
      </c>
      <c r="J15217" s="0" t="s">
        <v>50709</v>
      </c>
      <c r="K15217" s="0" t="s">
        <v>50710</v>
      </c>
      <c r="L15217" s="0" t="str">
        <f aca="false">HYPERLINK("https://www.ncbi.nlm.nih.gov/nuccore/CP000304.1?report=graph&amp;tracks=[key:gene_model_track,Options:GeneOnly]&amp;mk=4303710:4303729|offset_10|00cc00,4303735:4303754|offset_35|444444,4303755:4303774|offset_55|444444,4303779:4303798|offset_79|444444&amp;v=4303509:4303998&amp;c=444444", "offset 10")</f>
        <v>offset 10</v>
      </c>
    </row>
    <row r="15218" customFormat="false" ht="12.8" hidden="false" customHeight="false" outlineLevel="0" collapsed="false">
      <c r="A15218" s="0" t="s">
        <v>12</v>
      </c>
      <c r="B15218" s="0" t="n">
        <v>4303734</v>
      </c>
      <c r="C15218" s="0" t="n">
        <v>4303754</v>
      </c>
      <c r="D15218" s="0" t="s">
        <v>50706</v>
      </c>
      <c r="E15218" s="0" t="s">
        <v>50707</v>
      </c>
      <c r="F15218" s="0" t="s">
        <v>15</v>
      </c>
      <c r="G15218" s="0" t="s">
        <v>32</v>
      </c>
      <c r="H15218" s="0" t="n">
        <v>35</v>
      </c>
      <c r="I15218" s="0" t="s">
        <v>50711</v>
      </c>
      <c r="J15218" s="0" t="s">
        <v>50712</v>
      </c>
      <c r="K15218" s="0" t="s">
        <v>50713</v>
      </c>
      <c r="L15218" s="0" t="str">
        <f aca="false">HYPERLINK("https://www.ncbi.nlm.nih.gov/nuccore/CP000304.1?report=graph&amp;tracks=[key:gene_model_track,Options:GeneOnly]&amp;mk=4303710:4303729|offset_10|444444,4303735:4303754|offset_35|00cc00,4303755:4303774|offset_55|444444,4303779:4303798|offset_79|444444&amp;v=4303509:4303998&amp;c=444444", "offset 35")</f>
        <v>offset 35</v>
      </c>
    </row>
    <row r="15219" customFormat="false" ht="12.8" hidden="false" customHeight="false" outlineLevel="0" collapsed="false">
      <c r="A15219" s="0" t="s">
        <v>12</v>
      </c>
      <c r="B15219" s="0" t="n">
        <v>4303754</v>
      </c>
      <c r="C15219" s="0" t="n">
        <v>4303774</v>
      </c>
      <c r="D15219" s="0" t="s">
        <v>50706</v>
      </c>
      <c r="E15219" s="0" t="s">
        <v>50707</v>
      </c>
      <c r="F15219" s="0" t="s">
        <v>15</v>
      </c>
      <c r="G15219" s="0" t="s">
        <v>32</v>
      </c>
      <c r="H15219" s="0" t="n">
        <v>55</v>
      </c>
      <c r="I15219" s="0" t="s">
        <v>50714</v>
      </c>
      <c r="J15219" s="0" t="s">
        <v>50715</v>
      </c>
      <c r="K15219" s="0" t="s">
        <v>50716</v>
      </c>
      <c r="L15219" s="0" t="str">
        <f aca="false">HYPERLINK("https://www.ncbi.nlm.nih.gov/nuccore/CP000304.1?report=graph&amp;tracks=[key:gene_model_track,Options:GeneOnly]&amp;mk=4303710:4303729|offset_10|444444,4303735:4303754|offset_35|444444,4303755:4303774|offset_55|00cc00,4303779:4303798|offset_79|444444&amp;v=4303509:4303998&amp;c=444444", "offset 55")</f>
        <v>offset 55</v>
      </c>
    </row>
    <row r="15220" customFormat="false" ht="12.8" hidden="false" customHeight="false" outlineLevel="0" collapsed="false">
      <c r="A15220" s="0" t="s">
        <v>12</v>
      </c>
      <c r="B15220" s="0" t="n">
        <v>4303778</v>
      </c>
      <c r="C15220" s="0" t="n">
        <v>4303798</v>
      </c>
      <c r="D15220" s="0" t="s">
        <v>50706</v>
      </c>
      <c r="E15220" s="0" t="s">
        <v>50707</v>
      </c>
      <c r="F15220" s="0" t="s">
        <v>15</v>
      </c>
      <c r="G15220" s="0" t="s">
        <v>16</v>
      </c>
      <c r="H15220" s="0" t="n">
        <v>79</v>
      </c>
      <c r="I15220" s="0" t="s">
        <v>50717</v>
      </c>
      <c r="J15220" s="0" t="s">
        <v>50718</v>
      </c>
      <c r="K15220" s="0" t="s">
        <v>50719</v>
      </c>
      <c r="L15220" s="0" t="str">
        <f aca="false">HYPERLINK("https://www.ncbi.nlm.nih.gov/nuccore/CP000304.1?report=graph&amp;tracks=[key:gene_model_track,Options:GeneOnly]&amp;mk=4303710:4303729|offset_10|444444,4303735:4303754|offset_35|444444,4303755:4303774|offset_55|444444,4303779:4303798|offset_79|00cc00&amp;v=4303509:4303998&amp;c=444444", "offset 79")</f>
        <v>offset 79</v>
      </c>
    </row>
    <row r="15221" customFormat="false" ht="12.8" hidden="false" customHeight="false" outlineLevel="0" collapsed="false">
      <c r="A15221" s="0" t="s">
        <v>12</v>
      </c>
      <c r="B15221" s="0" t="n">
        <v>4304501</v>
      </c>
      <c r="C15221" s="0" t="n">
        <v>4304521</v>
      </c>
      <c r="D15221" s="0" t="s">
        <v>50720</v>
      </c>
      <c r="E15221" s="0" t="s">
        <v>89</v>
      </c>
      <c r="F15221" s="0" t="s">
        <v>15</v>
      </c>
      <c r="G15221" s="0" t="s">
        <v>36</v>
      </c>
      <c r="H15221" s="0" t="n">
        <v>7</v>
      </c>
      <c r="I15221" s="0" t="s">
        <v>50721</v>
      </c>
      <c r="J15221" s="0" t="s">
        <v>50722</v>
      </c>
      <c r="K15221" s="0" t="s">
        <v>50723</v>
      </c>
      <c r="L15221" s="0" t="str">
        <f aca="false">HYPERLINK("https://www.ncbi.nlm.nih.gov/nuccore/CP000304.1?report=graph&amp;tracks=[key:gene_model_track,Options:GeneOnly]&amp;mk=4304502:4304521|offset_7|00cc00,4304524:4304543|offset_29|444444,4304548:4304567|offset_53|444444,4304581:4304600|offset_86|444444&amp;v=4304301:4304800&amp;c=444444", "offset 7")</f>
        <v>offset 7</v>
      </c>
    </row>
    <row r="15222" customFormat="false" ht="12.8" hidden="false" customHeight="false" outlineLevel="0" collapsed="false">
      <c r="A15222" s="0" t="s">
        <v>12</v>
      </c>
      <c r="B15222" s="0" t="n">
        <v>4304523</v>
      </c>
      <c r="C15222" s="0" t="n">
        <v>4304543</v>
      </c>
      <c r="D15222" s="0" t="s">
        <v>50720</v>
      </c>
      <c r="E15222" s="0" t="s">
        <v>89</v>
      </c>
      <c r="F15222" s="0" t="s">
        <v>15</v>
      </c>
      <c r="G15222" s="0" t="s">
        <v>26</v>
      </c>
      <c r="H15222" s="0" t="n">
        <v>29</v>
      </c>
      <c r="I15222" s="0" t="s">
        <v>50724</v>
      </c>
      <c r="J15222" s="0" t="s">
        <v>50725</v>
      </c>
      <c r="K15222" s="0" t="s">
        <v>50726</v>
      </c>
      <c r="L15222" s="0" t="str">
        <f aca="false">HYPERLINK("https://www.ncbi.nlm.nih.gov/nuccore/CP000304.1?report=graph&amp;tracks=[key:gene_model_track,Options:GeneOnly]&amp;mk=4304502:4304521|offset_7|444444,4304524:4304543|offset_29|00cc00,4304548:4304567|offset_53|444444,4304581:4304600|offset_86|444444&amp;v=4304301:4304800&amp;c=444444", "offset 29")</f>
        <v>offset 29</v>
      </c>
    </row>
    <row r="15223" customFormat="false" ht="12.8" hidden="false" customHeight="false" outlineLevel="0" collapsed="false">
      <c r="A15223" s="0" t="s">
        <v>12</v>
      </c>
      <c r="B15223" s="0" t="n">
        <v>4304547</v>
      </c>
      <c r="C15223" s="0" t="n">
        <v>4304567</v>
      </c>
      <c r="D15223" s="0" t="s">
        <v>50720</v>
      </c>
      <c r="E15223" s="0" t="s">
        <v>89</v>
      </c>
      <c r="F15223" s="0" t="s">
        <v>15</v>
      </c>
      <c r="G15223" s="0" t="s">
        <v>26</v>
      </c>
      <c r="H15223" s="0" t="n">
        <v>53</v>
      </c>
      <c r="I15223" s="0" t="s">
        <v>50727</v>
      </c>
      <c r="J15223" s="0" t="s">
        <v>50728</v>
      </c>
      <c r="K15223" s="0" t="s">
        <v>50729</v>
      </c>
      <c r="L15223" s="0" t="str">
        <f aca="false">HYPERLINK("https://www.ncbi.nlm.nih.gov/nuccore/CP000304.1?report=graph&amp;tracks=[key:gene_model_track,Options:GeneOnly]&amp;mk=4304502:4304521|offset_7|444444,4304524:4304543|offset_29|444444,4304548:4304567|offset_53|00cc00,4304581:4304600|offset_86|444444&amp;v=4304301:4304800&amp;c=444444", "offset 53")</f>
        <v>offset 53</v>
      </c>
    </row>
    <row r="15224" customFormat="false" ht="12.8" hidden="false" customHeight="false" outlineLevel="0" collapsed="false">
      <c r="A15224" s="0" t="s">
        <v>12</v>
      </c>
      <c r="B15224" s="0" t="n">
        <v>4304580</v>
      </c>
      <c r="C15224" s="0" t="n">
        <v>4304600</v>
      </c>
      <c r="D15224" s="0" t="s">
        <v>50720</v>
      </c>
      <c r="E15224" s="0" t="s">
        <v>89</v>
      </c>
      <c r="F15224" s="0" t="s">
        <v>15</v>
      </c>
      <c r="G15224" s="0" t="s">
        <v>26</v>
      </c>
      <c r="H15224" s="0" t="n">
        <v>86</v>
      </c>
      <c r="I15224" s="0" t="s">
        <v>50730</v>
      </c>
      <c r="J15224" s="0" t="s">
        <v>50731</v>
      </c>
      <c r="K15224" s="0" t="s">
        <v>50732</v>
      </c>
      <c r="L15224" s="0" t="str">
        <f aca="false">HYPERLINK("https://www.ncbi.nlm.nih.gov/nuccore/CP000304.1?report=graph&amp;tracks=[key:gene_model_track,Options:GeneOnly]&amp;mk=4304502:4304521|offset_7|444444,4304524:4304543|offset_29|444444,4304548:4304567|offset_53|444444,4304581:4304600|offset_86|00cc00&amp;v=4304301:4304800&amp;c=444444", "offset 86")</f>
        <v>offset 86</v>
      </c>
    </row>
    <row r="15225" customFormat="false" ht="12.8" hidden="false" customHeight="false" outlineLevel="0" collapsed="false">
      <c r="A15225" s="0" t="s">
        <v>12</v>
      </c>
      <c r="B15225" s="0" t="n">
        <v>4305391</v>
      </c>
      <c r="C15225" s="0" t="n">
        <v>4305411</v>
      </c>
      <c r="D15225" s="0" t="s">
        <v>50733</v>
      </c>
      <c r="E15225" s="0" t="s">
        <v>89</v>
      </c>
      <c r="F15225" s="0" t="s">
        <v>15</v>
      </c>
      <c r="G15225" s="0" t="s">
        <v>26</v>
      </c>
      <c r="H15225" s="0" t="n">
        <v>31</v>
      </c>
      <c r="I15225" s="0" t="s">
        <v>50734</v>
      </c>
      <c r="J15225" s="0" t="s">
        <v>50735</v>
      </c>
      <c r="K15225" s="0" t="s">
        <v>50736</v>
      </c>
      <c r="L15225" s="0" t="str">
        <f aca="false">HYPERLINK("https://www.ncbi.nlm.nih.gov/nuccore/CP000304.1?report=graph&amp;tracks=[key:gene_model_track,Options:GeneOnly]&amp;mk=4305392:4305411|offset_31|00cc00,4305431:4305450|offset_70|444444,4305459:4305478|offset_98|444444,4305489:4305508|offset_128|444444&amp;v=4305191:4305708&amp;c=444444", "offset 31")</f>
        <v>offset 31</v>
      </c>
    </row>
    <row r="15226" customFormat="false" ht="12.8" hidden="false" customHeight="false" outlineLevel="0" collapsed="false">
      <c r="A15226" s="0" t="s">
        <v>12</v>
      </c>
      <c r="B15226" s="0" t="n">
        <v>4305430</v>
      </c>
      <c r="C15226" s="0" t="n">
        <v>4305450</v>
      </c>
      <c r="D15226" s="0" t="s">
        <v>50733</v>
      </c>
      <c r="E15226" s="0" t="s">
        <v>89</v>
      </c>
      <c r="F15226" s="0" t="s">
        <v>15</v>
      </c>
      <c r="G15226" s="0" t="s">
        <v>36</v>
      </c>
      <c r="H15226" s="0" t="n">
        <v>70</v>
      </c>
      <c r="I15226" s="0" t="s">
        <v>50737</v>
      </c>
      <c r="J15226" s="0" t="s">
        <v>50738</v>
      </c>
      <c r="K15226" s="0" t="s">
        <v>50739</v>
      </c>
      <c r="L15226" s="0" t="str">
        <f aca="false">HYPERLINK("https://www.ncbi.nlm.nih.gov/nuccore/CP000304.1?report=graph&amp;tracks=[key:gene_model_track,Options:GeneOnly]&amp;mk=4305392:4305411|offset_31|444444,4305431:4305450|offset_70|00cc00,4305459:4305478|offset_98|444444,4305489:4305508|offset_128|444444&amp;v=4305191:4305708&amp;c=444444", "offset 70")</f>
        <v>offset 70</v>
      </c>
    </row>
    <row r="15227" customFormat="false" ht="12.8" hidden="false" customHeight="false" outlineLevel="0" collapsed="false">
      <c r="A15227" s="0" t="s">
        <v>12</v>
      </c>
      <c r="B15227" s="0" t="n">
        <v>4305458</v>
      </c>
      <c r="C15227" s="0" t="n">
        <v>4305478</v>
      </c>
      <c r="D15227" s="0" t="s">
        <v>50733</v>
      </c>
      <c r="E15227" s="0" t="s">
        <v>89</v>
      </c>
      <c r="F15227" s="0" t="s">
        <v>15</v>
      </c>
      <c r="G15227" s="0" t="s">
        <v>16</v>
      </c>
      <c r="H15227" s="0" t="n">
        <v>98</v>
      </c>
      <c r="I15227" s="0" t="s">
        <v>50740</v>
      </c>
      <c r="J15227" s="0" t="s">
        <v>50741</v>
      </c>
      <c r="K15227" s="0" t="s">
        <v>50742</v>
      </c>
      <c r="L15227" s="0" t="str">
        <f aca="false">HYPERLINK("https://www.ncbi.nlm.nih.gov/nuccore/CP000304.1?report=graph&amp;tracks=[key:gene_model_track,Options:GeneOnly]&amp;mk=4305392:4305411|offset_31|444444,4305431:4305450|offset_70|444444,4305459:4305478|offset_98|00cc00,4305489:4305508|offset_128|444444&amp;v=4305191:4305708&amp;c=444444", "offset 98")</f>
        <v>offset 98</v>
      </c>
    </row>
    <row r="15228" customFormat="false" ht="12.8" hidden="false" customHeight="false" outlineLevel="0" collapsed="false">
      <c r="A15228" s="0" t="s">
        <v>12</v>
      </c>
      <c r="B15228" s="0" t="n">
        <v>4305488</v>
      </c>
      <c r="C15228" s="0" t="n">
        <v>4305508</v>
      </c>
      <c r="D15228" s="0" t="s">
        <v>50733</v>
      </c>
      <c r="E15228" s="0" t="s">
        <v>89</v>
      </c>
      <c r="F15228" s="0" t="s">
        <v>15</v>
      </c>
      <c r="G15228" s="0" t="s">
        <v>26</v>
      </c>
      <c r="H15228" s="0" t="n">
        <v>128</v>
      </c>
      <c r="I15228" s="0" t="s">
        <v>50743</v>
      </c>
      <c r="J15228" s="0" t="s">
        <v>50744</v>
      </c>
      <c r="K15228" s="0" t="s">
        <v>50745</v>
      </c>
      <c r="L15228" s="0" t="str">
        <f aca="false">HYPERLINK("https://www.ncbi.nlm.nih.gov/nuccore/CP000304.1?report=graph&amp;tracks=[key:gene_model_track,Options:GeneOnly]&amp;mk=4305392:4305411|offset_31|444444,4305431:4305450|offset_70|444444,4305459:4305478|offset_98|444444,4305489:4305508|offset_128|00cc00&amp;v=4305191:4305708&amp;c=444444", "offset 128")</f>
        <v>offset 128</v>
      </c>
    </row>
    <row r="15229" customFormat="false" ht="12.8" hidden="false" customHeight="false" outlineLevel="0" collapsed="false">
      <c r="A15229" s="0" t="s">
        <v>12</v>
      </c>
      <c r="B15229" s="0" t="n">
        <v>4307458</v>
      </c>
      <c r="C15229" s="0" t="n">
        <v>4307478</v>
      </c>
      <c r="D15229" s="0" t="s">
        <v>50746</v>
      </c>
      <c r="E15229" s="0" t="s">
        <v>50747</v>
      </c>
      <c r="F15229" s="0" t="s">
        <v>15</v>
      </c>
      <c r="G15229" s="0" t="s">
        <v>36</v>
      </c>
      <c r="H15229" s="0" t="n">
        <v>6</v>
      </c>
      <c r="I15229" s="0" t="s">
        <v>50748</v>
      </c>
      <c r="J15229" s="0" t="s">
        <v>50749</v>
      </c>
      <c r="K15229" s="0" t="s">
        <v>50750</v>
      </c>
      <c r="L15229" s="0" t="str">
        <f aca="false">HYPERLINK("https://www.ncbi.nlm.nih.gov/nuccore/CP000304.1?report=graph&amp;tracks=[key:gene_model_track,Options:GeneOnly]&amp;mk=4307459:4307478|offset_6|00cc00,4307481:4307500|offset_28|444444,4307517:4307536|offset_64|444444,4307542:4307561|offset_89|444444&amp;v=4307258:4307761&amp;c=444444", "offset 6")</f>
        <v>offset 6</v>
      </c>
    </row>
    <row r="15230" customFormat="false" ht="12.8" hidden="false" customHeight="false" outlineLevel="0" collapsed="false">
      <c r="A15230" s="0" t="s">
        <v>12</v>
      </c>
      <c r="B15230" s="0" t="n">
        <v>4307480</v>
      </c>
      <c r="C15230" s="0" t="n">
        <v>4307500</v>
      </c>
      <c r="D15230" s="0" t="s">
        <v>50746</v>
      </c>
      <c r="E15230" s="0" t="s">
        <v>50747</v>
      </c>
      <c r="F15230" s="0" t="s">
        <v>15</v>
      </c>
      <c r="G15230" s="0" t="s">
        <v>16</v>
      </c>
      <c r="H15230" s="0" t="n">
        <v>28</v>
      </c>
      <c r="I15230" s="0" t="s">
        <v>50751</v>
      </c>
      <c r="J15230" s="0" t="s">
        <v>50752</v>
      </c>
      <c r="K15230" s="0" t="s">
        <v>50753</v>
      </c>
      <c r="L15230" s="0" t="str">
        <f aca="false">HYPERLINK("https://www.ncbi.nlm.nih.gov/nuccore/CP000304.1?report=graph&amp;tracks=[key:gene_model_track,Options:GeneOnly]&amp;mk=4307459:4307478|offset_6|444444,4307481:4307500|offset_28|00cc00,4307517:4307536|offset_64|444444,4307542:4307561|offset_89|444444&amp;v=4307258:4307761&amp;c=444444", "offset 28")</f>
        <v>offset 28</v>
      </c>
    </row>
    <row r="15231" customFormat="false" ht="12.8" hidden="false" customHeight="false" outlineLevel="0" collapsed="false">
      <c r="A15231" s="0" t="s">
        <v>12</v>
      </c>
      <c r="B15231" s="0" t="n">
        <v>4307516</v>
      </c>
      <c r="C15231" s="0" t="n">
        <v>4307536</v>
      </c>
      <c r="D15231" s="0" t="s">
        <v>50746</v>
      </c>
      <c r="E15231" s="0" t="s">
        <v>50747</v>
      </c>
      <c r="F15231" s="0" t="s">
        <v>15</v>
      </c>
      <c r="G15231" s="0" t="s">
        <v>16</v>
      </c>
      <c r="H15231" s="0" t="n">
        <v>64</v>
      </c>
      <c r="I15231" s="0" t="s">
        <v>50754</v>
      </c>
      <c r="J15231" s="0" t="s">
        <v>50755</v>
      </c>
      <c r="K15231" s="0" t="s">
        <v>50756</v>
      </c>
      <c r="L15231" s="0" t="str">
        <f aca="false">HYPERLINK("https://www.ncbi.nlm.nih.gov/nuccore/CP000304.1?report=graph&amp;tracks=[key:gene_model_track,Options:GeneOnly]&amp;mk=4307459:4307478|offset_6|444444,4307481:4307500|offset_28|444444,4307517:4307536|offset_64|00cc00,4307542:4307561|offset_89|444444&amp;v=4307258:4307761&amp;c=444444", "offset 64")</f>
        <v>offset 64</v>
      </c>
    </row>
    <row r="15232" customFormat="false" ht="12.8" hidden="false" customHeight="false" outlineLevel="0" collapsed="false">
      <c r="A15232" s="0" t="s">
        <v>12</v>
      </c>
      <c r="B15232" s="0" t="n">
        <v>4307541</v>
      </c>
      <c r="C15232" s="0" t="n">
        <v>4307561</v>
      </c>
      <c r="D15232" s="0" t="s">
        <v>50746</v>
      </c>
      <c r="E15232" s="0" t="s">
        <v>50747</v>
      </c>
      <c r="F15232" s="0" t="s">
        <v>15</v>
      </c>
      <c r="G15232" s="0" t="s">
        <v>16</v>
      </c>
      <c r="H15232" s="0" t="n">
        <v>89</v>
      </c>
      <c r="I15232" s="0" t="s">
        <v>50757</v>
      </c>
      <c r="J15232" s="0" t="s">
        <v>50758</v>
      </c>
      <c r="K15232" s="0" t="s">
        <v>50759</v>
      </c>
      <c r="L15232" s="0" t="str">
        <f aca="false">HYPERLINK("https://www.ncbi.nlm.nih.gov/nuccore/CP000304.1?report=graph&amp;tracks=[key:gene_model_track,Options:GeneOnly]&amp;mk=4307459:4307478|offset_6|444444,4307481:4307500|offset_28|444444,4307517:4307536|offset_64|444444,4307542:4307561|offset_89|00cc00&amp;v=4307258:4307761&amp;c=444444", "offset 89")</f>
        <v>offset 89</v>
      </c>
    </row>
    <row r="15233" customFormat="false" ht="12.8" hidden="false" customHeight="false" outlineLevel="0" collapsed="false">
      <c r="A15233" s="0" t="s">
        <v>12</v>
      </c>
      <c r="B15233" s="0" t="n">
        <v>4308611</v>
      </c>
      <c r="C15233" s="0" t="n">
        <v>4308631</v>
      </c>
      <c r="D15233" s="0" t="s">
        <v>50760</v>
      </c>
      <c r="E15233" s="0" t="s">
        <v>50761</v>
      </c>
      <c r="F15233" s="0" t="s">
        <v>15</v>
      </c>
      <c r="G15233" s="0" t="s">
        <v>16</v>
      </c>
      <c r="H15233" s="0" t="n">
        <v>10</v>
      </c>
      <c r="I15233" s="0" t="s">
        <v>50762</v>
      </c>
      <c r="J15233" s="0" t="s">
        <v>50763</v>
      </c>
      <c r="K15233" s="0" t="s">
        <v>50764</v>
      </c>
      <c r="L15233" s="0" t="str">
        <f aca="false">HYPERLINK("https://www.ncbi.nlm.nih.gov/nuccore/CP000304.1?report=graph&amp;tracks=[key:gene_model_track,Options:GeneOnly]&amp;mk=4308612:4308631|offset_10|00cc00,4308640:4308659|offset_38|444444,4308693:4308712|offset_91|444444,4308730:4308749|offset_128|444444&amp;v=4308411:4308949&amp;c=444444", "offset 10")</f>
        <v>offset 10</v>
      </c>
    </row>
    <row r="15234" customFormat="false" ht="12.8" hidden="false" customHeight="false" outlineLevel="0" collapsed="false">
      <c r="A15234" s="0" t="s">
        <v>12</v>
      </c>
      <c r="B15234" s="0" t="n">
        <v>4308639</v>
      </c>
      <c r="C15234" s="0" t="n">
        <v>4308659</v>
      </c>
      <c r="D15234" s="0" t="s">
        <v>50760</v>
      </c>
      <c r="E15234" s="0" t="s">
        <v>50761</v>
      </c>
      <c r="F15234" s="0" t="s">
        <v>15</v>
      </c>
      <c r="G15234" s="0" t="s">
        <v>36</v>
      </c>
      <c r="H15234" s="0" t="n">
        <v>38</v>
      </c>
      <c r="I15234" s="0" t="s">
        <v>50765</v>
      </c>
      <c r="J15234" s="0" t="s">
        <v>50766</v>
      </c>
      <c r="K15234" s="0" t="s">
        <v>50767</v>
      </c>
      <c r="L15234" s="0" t="str">
        <f aca="false">HYPERLINK("https://www.ncbi.nlm.nih.gov/nuccore/CP000304.1?report=graph&amp;tracks=[key:gene_model_track,Options:GeneOnly]&amp;mk=4308612:4308631|offset_10|444444,4308640:4308659|offset_38|00cc00,4308693:4308712|offset_91|444444,4308730:4308749|offset_128|444444&amp;v=4308411:4308949&amp;c=444444", "offset 38")</f>
        <v>offset 38</v>
      </c>
    </row>
    <row r="15235" customFormat="false" ht="12.8" hidden="false" customHeight="false" outlineLevel="0" collapsed="false">
      <c r="A15235" s="0" t="s">
        <v>12</v>
      </c>
      <c r="B15235" s="0" t="n">
        <v>4308692</v>
      </c>
      <c r="C15235" s="0" t="n">
        <v>4308712</v>
      </c>
      <c r="D15235" s="0" t="s">
        <v>50760</v>
      </c>
      <c r="E15235" s="0" t="s">
        <v>50761</v>
      </c>
      <c r="F15235" s="0" t="s">
        <v>15</v>
      </c>
      <c r="G15235" s="0" t="s">
        <v>26</v>
      </c>
      <c r="H15235" s="0" t="n">
        <v>91</v>
      </c>
      <c r="I15235" s="0" t="s">
        <v>50768</v>
      </c>
      <c r="J15235" s="0" t="s">
        <v>50769</v>
      </c>
      <c r="K15235" s="0" t="s">
        <v>50770</v>
      </c>
      <c r="L15235" s="0" t="str">
        <f aca="false">HYPERLINK("https://www.ncbi.nlm.nih.gov/nuccore/CP000304.1?report=graph&amp;tracks=[key:gene_model_track,Options:GeneOnly]&amp;mk=4308612:4308631|offset_10|444444,4308640:4308659|offset_38|444444,4308693:4308712|offset_91|00cc00,4308730:4308749|offset_128|444444&amp;v=4308411:4308949&amp;c=444444", "offset 91")</f>
        <v>offset 91</v>
      </c>
    </row>
    <row r="15236" customFormat="false" ht="12.8" hidden="false" customHeight="false" outlineLevel="0" collapsed="false">
      <c r="A15236" s="0" t="s">
        <v>12</v>
      </c>
      <c r="B15236" s="0" t="n">
        <v>4308729</v>
      </c>
      <c r="C15236" s="0" t="n">
        <v>4308749</v>
      </c>
      <c r="D15236" s="0" t="s">
        <v>50760</v>
      </c>
      <c r="E15236" s="0" t="s">
        <v>50761</v>
      </c>
      <c r="F15236" s="0" t="s">
        <v>15</v>
      </c>
      <c r="G15236" s="0" t="s">
        <v>26</v>
      </c>
      <c r="H15236" s="0" t="n">
        <v>128</v>
      </c>
      <c r="I15236" s="0" t="s">
        <v>50771</v>
      </c>
      <c r="J15236" s="0" t="s">
        <v>50772</v>
      </c>
      <c r="K15236" s="0" t="s">
        <v>50773</v>
      </c>
      <c r="L15236" s="0" t="str">
        <f aca="false">HYPERLINK("https://www.ncbi.nlm.nih.gov/nuccore/CP000304.1?report=graph&amp;tracks=[key:gene_model_track,Options:GeneOnly]&amp;mk=4308612:4308631|offset_10|444444,4308640:4308659|offset_38|444444,4308693:4308712|offset_91|444444,4308730:4308749|offset_128|00cc00&amp;v=4308411:4308949&amp;c=444444", "offset 128")</f>
        <v>offset 128</v>
      </c>
    </row>
    <row r="15237" customFormat="false" ht="12.8" hidden="false" customHeight="false" outlineLevel="0" collapsed="false">
      <c r="A15237" s="0" t="s">
        <v>12</v>
      </c>
      <c r="B15237" s="0" t="n">
        <v>4309225</v>
      </c>
      <c r="C15237" s="0" t="n">
        <v>4309245</v>
      </c>
      <c r="D15237" s="0" t="s">
        <v>50774</v>
      </c>
      <c r="E15237" s="0" t="s">
        <v>89</v>
      </c>
      <c r="F15237" s="0" t="s">
        <v>15</v>
      </c>
      <c r="G15237" s="0" t="s">
        <v>36</v>
      </c>
      <c r="H15237" s="0" t="n">
        <v>0</v>
      </c>
      <c r="I15237" s="0" t="s">
        <v>50775</v>
      </c>
      <c r="J15237" s="0" t="s">
        <v>50776</v>
      </c>
      <c r="K15237" s="0" t="s">
        <v>50777</v>
      </c>
      <c r="L15237" s="0" t="str">
        <f aca="false">HYPERLINK("https://www.ncbi.nlm.nih.gov/nuccore/CP000304.1?report=graph&amp;tracks=[key:gene_model_track,Options:GeneOnly]&amp;mk=4309226:4309245|offset_0|00cc00,4309257:4309276|offset_31|444444,4309284:4309303|offset_58|444444,4309318:4309337|offset_92|444444&amp;v=4309025:4309537&amp;c=444444", "offset 0")</f>
        <v>offset 0</v>
      </c>
    </row>
    <row r="15238" customFormat="false" ht="12.8" hidden="false" customHeight="false" outlineLevel="0" collapsed="false">
      <c r="A15238" s="0" t="s">
        <v>12</v>
      </c>
      <c r="B15238" s="0" t="n">
        <v>4309256</v>
      </c>
      <c r="C15238" s="0" t="n">
        <v>4309276</v>
      </c>
      <c r="D15238" s="0" t="s">
        <v>50774</v>
      </c>
      <c r="E15238" s="0" t="s">
        <v>89</v>
      </c>
      <c r="F15238" s="0" t="s">
        <v>15</v>
      </c>
      <c r="G15238" s="0" t="s">
        <v>16</v>
      </c>
      <c r="H15238" s="0" t="n">
        <v>31</v>
      </c>
      <c r="I15238" s="0" t="s">
        <v>50778</v>
      </c>
      <c r="J15238" s="0" t="s">
        <v>50779</v>
      </c>
      <c r="K15238" s="0" t="s">
        <v>50780</v>
      </c>
      <c r="L15238" s="0" t="str">
        <f aca="false">HYPERLINK("https://www.ncbi.nlm.nih.gov/nuccore/CP000304.1?report=graph&amp;tracks=[key:gene_model_track,Options:GeneOnly]&amp;mk=4309226:4309245|offset_0|444444,4309257:4309276|offset_31|00cc00,4309284:4309303|offset_58|444444,4309318:4309337|offset_92|444444&amp;v=4309025:4309537&amp;c=444444", "offset 31")</f>
        <v>offset 31</v>
      </c>
    </row>
    <row r="15239" customFormat="false" ht="12.8" hidden="false" customHeight="false" outlineLevel="0" collapsed="false">
      <c r="A15239" s="0" t="s">
        <v>12</v>
      </c>
      <c r="B15239" s="0" t="n">
        <v>4309283</v>
      </c>
      <c r="C15239" s="0" t="n">
        <v>4309303</v>
      </c>
      <c r="D15239" s="0" t="s">
        <v>50774</v>
      </c>
      <c r="E15239" s="0" t="s">
        <v>89</v>
      </c>
      <c r="F15239" s="0" t="s">
        <v>15</v>
      </c>
      <c r="G15239" s="0" t="s">
        <v>16</v>
      </c>
      <c r="H15239" s="0" t="n">
        <v>58</v>
      </c>
      <c r="I15239" s="0" t="s">
        <v>50781</v>
      </c>
      <c r="J15239" s="0" t="s">
        <v>50782</v>
      </c>
      <c r="K15239" s="0" t="s">
        <v>50783</v>
      </c>
      <c r="L15239" s="0" t="str">
        <f aca="false">HYPERLINK("https://www.ncbi.nlm.nih.gov/nuccore/CP000304.1?report=graph&amp;tracks=[key:gene_model_track,Options:GeneOnly]&amp;mk=4309226:4309245|offset_0|444444,4309257:4309276|offset_31|444444,4309284:4309303|offset_58|00cc00,4309318:4309337|offset_92|444444&amp;v=4309025:4309537&amp;c=444444", "offset 58")</f>
        <v>offset 58</v>
      </c>
    </row>
    <row r="15240" customFormat="false" ht="12.8" hidden="false" customHeight="false" outlineLevel="0" collapsed="false">
      <c r="A15240" s="0" t="s">
        <v>12</v>
      </c>
      <c r="B15240" s="0" t="n">
        <v>4309317</v>
      </c>
      <c r="C15240" s="0" t="n">
        <v>4309337</v>
      </c>
      <c r="D15240" s="0" t="s">
        <v>50774</v>
      </c>
      <c r="E15240" s="0" t="s">
        <v>89</v>
      </c>
      <c r="F15240" s="0" t="s">
        <v>15</v>
      </c>
      <c r="G15240" s="0" t="s">
        <v>32</v>
      </c>
      <c r="H15240" s="0" t="n">
        <v>92</v>
      </c>
      <c r="I15240" s="0" t="s">
        <v>50784</v>
      </c>
      <c r="J15240" s="0" t="s">
        <v>50785</v>
      </c>
      <c r="K15240" s="0" t="s">
        <v>50786</v>
      </c>
      <c r="L15240" s="0" t="str">
        <f aca="false">HYPERLINK("https://www.ncbi.nlm.nih.gov/nuccore/CP000304.1?report=graph&amp;tracks=[key:gene_model_track,Options:GeneOnly]&amp;mk=4309226:4309245|offset_0|444444,4309257:4309276|offset_31|444444,4309284:4309303|offset_58|444444,4309318:4309337|offset_92|00cc00&amp;v=4309025:4309537&amp;c=444444", "offset 92")</f>
        <v>offset 92</v>
      </c>
    </row>
    <row r="15241" customFormat="false" ht="12.8" hidden="false" customHeight="false" outlineLevel="0" collapsed="false">
      <c r="A15241" s="0" t="s">
        <v>12</v>
      </c>
      <c r="B15241" s="0" t="n">
        <v>4309653</v>
      </c>
      <c r="C15241" s="0" t="n">
        <v>4309673</v>
      </c>
      <c r="D15241" s="0" t="s">
        <v>50787</v>
      </c>
      <c r="E15241" s="0" t="s">
        <v>89</v>
      </c>
      <c r="F15241" s="0" t="s">
        <v>15</v>
      </c>
      <c r="G15241" s="0" t="s">
        <v>26</v>
      </c>
      <c r="H15241" s="0" t="n">
        <v>9</v>
      </c>
      <c r="I15241" s="0" t="s">
        <v>50788</v>
      </c>
      <c r="J15241" s="0" t="s">
        <v>50789</v>
      </c>
      <c r="K15241" s="0" t="s">
        <v>50790</v>
      </c>
      <c r="L15241" s="0" t="str">
        <f aca="false">HYPERLINK("https://www.ncbi.nlm.nih.gov/nuccore/CP000304.1?report=graph&amp;tracks=[key:gene_model_track,Options:GeneOnly]&amp;mk=4309654:4309673|offset_9|00cc00,4309676:4309695|offset_31|444444,4309712:4309731|offset_67|444444,4309737:4309756|offset_92|444444&amp;v=4309453:4309956&amp;c=444444", "offset 9")</f>
        <v>offset 9</v>
      </c>
    </row>
    <row r="15242" customFormat="false" ht="12.8" hidden="false" customHeight="false" outlineLevel="0" collapsed="false">
      <c r="A15242" s="0" t="s">
        <v>12</v>
      </c>
      <c r="B15242" s="0" t="n">
        <v>4309675</v>
      </c>
      <c r="C15242" s="0" t="n">
        <v>4309695</v>
      </c>
      <c r="D15242" s="0" t="s">
        <v>50787</v>
      </c>
      <c r="E15242" s="0" t="s">
        <v>89</v>
      </c>
      <c r="F15242" s="0" t="s">
        <v>15</v>
      </c>
      <c r="G15242" s="0" t="s">
        <v>32</v>
      </c>
      <c r="H15242" s="0" t="n">
        <v>31</v>
      </c>
      <c r="I15242" s="0" t="s">
        <v>50791</v>
      </c>
      <c r="J15242" s="0" t="s">
        <v>50792</v>
      </c>
      <c r="K15242" s="0" t="s">
        <v>50793</v>
      </c>
      <c r="L15242" s="0" t="str">
        <f aca="false">HYPERLINK("https://www.ncbi.nlm.nih.gov/nuccore/CP000304.1?report=graph&amp;tracks=[key:gene_model_track,Options:GeneOnly]&amp;mk=4309654:4309673|offset_9|444444,4309676:4309695|offset_31|00cc00,4309712:4309731|offset_67|444444,4309737:4309756|offset_92|444444&amp;v=4309453:4309956&amp;c=444444", "offset 31")</f>
        <v>offset 31</v>
      </c>
    </row>
    <row r="15243" customFormat="false" ht="12.8" hidden="false" customHeight="false" outlineLevel="0" collapsed="false">
      <c r="A15243" s="0" t="s">
        <v>12</v>
      </c>
      <c r="B15243" s="0" t="n">
        <v>4309711</v>
      </c>
      <c r="C15243" s="0" t="n">
        <v>4309731</v>
      </c>
      <c r="D15243" s="0" t="s">
        <v>50787</v>
      </c>
      <c r="E15243" s="0" t="s">
        <v>89</v>
      </c>
      <c r="F15243" s="0" t="s">
        <v>15</v>
      </c>
      <c r="G15243" s="0" t="s">
        <v>32</v>
      </c>
      <c r="H15243" s="0" t="n">
        <v>67</v>
      </c>
      <c r="I15243" s="0" t="s">
        <v>50794</v>
      </c>
      <c r="J15243" s="0" t="s">
        <v>50795</v>
      </c>
      <c r="K15243" s="0" t="s">
        <v>50796</v>
      </c>
      <c r="L15243" s="0" t="str">
        <f aca="false">HYPERLINK("https://www.ncbi.nlm.nih.gov/nuccore/CP000304.1?report=graph&amp;tracks=[key:gene_model_track,Options:GeneOnly]&amp;mk=4309654:4309673|offset_9|444444,4309676:4309695|offset_31|444444,4309712:4309731|offset_67|00cc00,4309737:4309756|offset_92|444444&amp;v=4309453:4309956&amp;c=444444", "offset 67")</f>
        <v>offset 67</v>
      </c>
    </row>
    <row r="15244" customFormat="false" ht="12.8" hidden="false" customHeight="false" outlineLevel="0" collapsed="false">
      <c r="A15244" s="0" t="s">
        <v>12</v>
      </c>
      <c r="B15244" s="0" t="n">
        <v>4309736</v>
      </c>
      <c r="C15244" s="0" t="n">
        <v>4309756</v>
      </c>
      <c r="D15244" s="0" t="s">
        <v>50787</v>
      </c>
      <c r="E15244" s="0" t="s">
        <v>89</v>
      </c>
      <c r="F15244" s="0" t="s">
        <v>15</v>
      </c>
      <c r="G15244" s="0" t="s">
        <v>16</v>
      </c>
      <c r="H15244" s="0" t="n">
        <v>92</v>
      </c>
      <c r="I15244" s="0" t="s">
        <v>50797</v>
      </c>
      <c r="J15244" s="0" t="s">
        <v>50798</v>
      </c>
      <c r="K15244" s="0" t="s">
        <v>50799</v>
      </c>
      <c r="L15244" s="0" t="str">
        <f aca="false">HYPERLINK("https://www.ncbi.nlm.nih.gov/nuccore/CP000304.1?report=graph&amp;tracks=[key:gene_model_track,Options:GeneOnly]&amp;mk=4309654:4309673|offset_9|444444,4309676:4309695|offset_31|444444,4309712:4309731|offset_67|444444,4309737:4309756|offset_92|00cc00&amp;v=4309453:4309956&amp;c=444444", "offset 92")</f>
        <v>offset 92</v>
      </c>
    </row>
    <row r="15245" customFormat="false" ht="12.8" hidden="false" customHeight="false" outlineLevel="0" collapsed="false">
      <c r="A15245" s="0" t="s">
        <v>12</v>
      </c>
      <c r="B15245" s="0" t="n">
        <v>4310244</v>
      </c>
      <c r="C15245" s="0" t="n">
        <v>4310264</v>
      </c>
      <c r="D15245" s="0" t="s">
        <v>50800</v>
      </c>
      <c r="E15245" s="0" t="s">
        <v>89</v>
      </c>
      <c r="F15245" s="0" t="s">
        <v>15</v>
      </c>
      <c r="G15245" s="0" t="s">
        <v>16</v>
      </c>
      <c r="H15245" s="0" t="n">
        <v>10</v>
      </c>
      <c r="I15245" s="0" t="s">
        <v>50801</v>
      </c>
      <c r="J15245" s="0" t="s">
        <v>50802</v>
      </c>
      <c r="K15245" s="0" t="s">
        <v>50803</v>
      </c>
      <c r="L15245" s="0" t="str">
        <f aca="false">HYPERLINK("https://www.ncbi.nlm.nih.gov/nuccore/CP000304.1?report=graph&amp;tracks=[key:gene_model_track,Options:GeneOnly]&amp;mk=4310245:4310264|offset_10|00cc00,4310276:4310295|offset_41|444444,4310309:4310328|offset_74|444444,4310336:4310355|offset_101|444444&amp;v=4310044:4310555&amp;c=444444", "offset 10")</f>
        <v>offset 10</v>
      </c>
    </row>
    <row r="15246" customFormat="false" ht="12.8" hidden="false" customHeight="false" outlineLevel="0" collapsed="false">
      <c r="A15246" s="0" t="s">
        <v>12</v>
      </c>
      <c r="B15246" s="0" t="n">
        <v>4310275</v>
      </c>
      <c r="C15246" s="0" t="n">
        <v>4310295</v>
      </c>
      <c r="D15246" s="0" t="s">
        <v>50800</v>
      </c>
      <c r="E15246" s="0" t="s">
        <v>89</v>
      </c>
      <c r="F15246" s="0" t="s">
        <v>15</v>
      </c>
      <c r="G15246" s="0" t="s">
        <v>16</v>
      </c>
      <c r="H15246" s="0" t="n">
        <v>41</v>
      </c>
      <c r="I15246" s="0" t="s">
        <v>50804</v>
      </c>
      <c r="J15246" s="0" t="s">
        <v>50805</v>
      </c>
      <c r="K15246" s="0" t="s">
        <v>50806</v>
      </c>
      <c r="L15246" s="0" t="str">
        <f aca="false">HYPERLINK("https://www.ncbi.nlm.nih.gov/nuccore/CP000304.1?report=graph&amp;tracks=[key:gene_model_track,Options:GeneOnly]&amp;mk=4310245:4310264|offset_10|444444,4310276:4310295|offset_41|00cc00,4310309:4310328|offset_74|444444,4310336:4310355|offset_101|444444&amp;v=4310044:4310555&amp;c=444444", "offset 41")</f>
        <v>offset 41</v>
      </c>
    </row>
    <row r="15247" customFormat="false" ht="12.8" hidden="false" customHeight="false" outlineLevel="0" collapsed="false">
      <c r="A15247" s="0" t="s">
        <v>12</v>
      </c>
      <c r="B15247" s="0" t="n">
        <v>4310308</v>
      </c>
      <c r="C15247" s="0" t="n">
        <v>4310328</v>
      </c>
      <c r="D15247" s="0" t="s">
        <v>50800</v>
      </c>
      <c r="E15247" s="0" t="s">
        <v>89</v>
      </c>
      <c r="F15247" s="0" t="s">
        <v>15</v>
      </c>
      <c r="G15247" s="0" t="s">
        <v>32</v>
      </c>
      <c r="H15247" s="0" t="n">
        <v>74</v>
      </c>
      <c r="I15247" s="0" t="s">
        <v>50807</v>
      </c>
      <c r="J15247" s="0" t="s">
        <v>50808</v>
      </c>
      <c r="K15247" s="0" t="s">
        <v>50809</v>
      </c>
      <c r="L15247" s="0" t="str">
        <f aca="false">HYPERLINK("https://www.ncbi.nlm.nih.gov/nuccore/CP000304.1?report=graph&amp;tracks=[key:gene_model_track,Options:GeneOnly]&amp;mk=4310245:4310264|offset_10|444444,4310276:4310295|offset_41|444444,4310309:4310328|offset_74|00cc00,4310336:4310355|offset_101|444444&amp;v=4310044:4310555&amp;c=444444", "offset 74")</f>
        <v>offset 74</v>
      </c>
    </row>
    <row r="15248" customFormat="false" ht="12.8" hidden="false" customHeight="false" outlineLevel="0" collapsed="false">
      <c r="A15248" s="0" t="s">
        <v>12</v>
      </c>
      <c r="B15248" s="0" t="n">
        <v>4310335</v>
      </c>
      <c r="C15248" s="0" t="n">
        <v>4310355</v>
      </c>
      <c r="D15248" s="0" t="s">
        <v>50800</v>
      </c>
      <c r="E15248" s="0" t="s">
        <v>89</v>
      </c>
      <c r="F15248" s="0" t="s">
        <v>15</v>
      </c>
      <c r="G15248" s="0" t="s">
        <v>36</v>
      </c>
      <c r="H15248" s="0" t="n">
        <v>101</v>
      </c>
      <c r="I15248" s="0" t="s">
        <v>50810</v>
      </c>
      <c r="J15248" s="0" t="s">
        <v>50811</v>
      </c>
      <c r="K15248" s="0" t="s">
        <v>50812</v>
      </c>
      <c r="L15248" s="0" t="str">
        <f aca="false">HYPERLINK("https://www.ncbi.nlm.nih.gov/nuccore/CP000304.1?report=graph&amp;tracks=[key:gene_model_track,Options:GeneOnly]&amp;mk=4310245:4310264|offset_10|444444,4310276:4310295|offset_41|444444,4310309:4310328|offset_74|444444,4310336:4310355|offset_101|00cc00&amp;v=4310044:4310555&amp;c=444444", "offset 101")</f>
        <v>offset 101</v>
      </c>
    </row>
    <row r="15249" customFormat="false" ht="12.8" hidden="false" customHeight="false" outlineLevel="0" collapsed="false">
      <c r="A15249" s="0" t="s">
        <v>12</v>
      </c>
      <c r="B15249" s="0" t="n">
        <v>4311442</v>
      </c>
      <c r="C15249" s="0" t="n">
        <v>4311462</v>
      </c>
      <c r="D15249" s="0" t="s">
        <v>50813</v>
      </c>
      <c r="E15249" s="0" t="s">
        <v>89</v>
      </c>
      <c r="F15249" s="0" t="s">
        <v>15</v>
      </c>
      <c r="G15249" s="0" t="s">
        <v>26</v>
      </c>
      <c r="H15249" s="0" t="n">
        <v>20</v>
      </c>
      <c r="I15249" s="0" t="s">
        <v>50814</v>
      </c>
      <c r="J15249" s="0" t="s">
        <v>50815</v>
      </c>
      <c r="K15249" s="0" t="s">
        <v>50816</v>
      </c>
      <c r="L15249" s="0" t="str">
        <f aca="false">HYPERLINK("https://www.ncbi.nlm.nih.gov/nuccore/CP000304.1?report=graph&amp;tracks=[key:gene_model_track,Options:GeneOnly]&amp;mk=4311443:4311462|offset_20|00cc00,4311470:4311489|offset_47|444444,4311493:4311512|offset_70|444444,4311530:4311549|offset_107|444444&amp;v=4311242:4311749&amp;c=444444", "offset 20")</f>
        <v>offset 20</v>
      </c>
    </row>
    <row r="15250" customFormat="false" ht="12.8" hidden="false" customHeight="false" outlineLevel="0" collapsed="false">
      <c r="A15250" s="0" t="s">
        <v>12</v>
      </c>
      <c r="B15250" s="0" t="n">
        <v>4311469</v>
      </c>
      <c r="C15250" s="0" t="n">
        <v>4311489</v>
      </c>
      <c r="D15250" s="0" t="s">
        <v>50813</v>
      </c>
      <c r="E15250" s="0" t="s">
        <v>89</v>
      </c>
      <c r="F15250" s="0" t="s">
        <v>15</v>
      </c>
      <c r="G15250" s="0" t="s">
        <v>16</v>
      </c>
      <c r="H15250" s="0" t="n">
        <v>47</v>
      </c>
      <c r="I15250" s="0" t="s">
        <v>50817</v>
      </c>
      <c r="J15250" s="0" t="s">
        <v>50818</v>
      </c>
      <c r="K15250" s="0" t="s">
        <v>50819</v>
      </c>
      <c r="L15250" s="0" t="str">
        <f aca="false">HYPERLINK("https://www.ncbi.nlm.nih.gov/nuccore/CP000304.1?report=graph&amp;tracks=[key:gene_model_track,Options:GeneOnly]&amp;mk=4311443:4311462|offset_20|444444,4311470:4311489|offset_47|00cc00,4311493:4311512|offset_70|444444,4311530:4311549|offset_107|444444&amp;v=4311242:4311749&amp;c=444444", "offset 47")</f>
        <v>offset 47</v>
      </c>
    </row>
    <row r="15251" customFormat="false" ht="12.8" hidden="false" customHeight="false" outlineLevel="0" collapsed="false">
      <c r="A15251" s="0" t="s">
        <v>12</v>
      </c>
      <c r="B15251" s="0" t="n">
        <v>4311492</v>
      </c>
      <c r="C15251" s="0" t="n">
        <v>4311512</v>
      </c>
      <c r="D15251" s="0" t="s">
        <v>50813</v>
      </c>
      <c r="E15251" s="0" t="s">
        <v>89</v>
      </c>
      <c r="F15251" s="0" t="s">
        <v>15</v>
      </c>
      <c r="G15251" s="0" t="s">
        <v>36</v>
      </c>
      <c r="H15251" s="0" t="n">
        <v>70</v>
      </c>
      <c r="I15251" s="0" t="s">
        <v>50820</v>
      </c>
      <c r="J15251" s="0" t="s">
        <v>50821</v>
      </c>
      <c r="K15251" s="0" t="s">
        <v>50822</v>
      </c>
      <c r="L15251" s="0" t="str">
        <f aca="false">HYPERLINK("https://www.ncbi.nlm.nih.gov/nuccore/CP000304.1?report=graph&amp;tracks=[key:gene_model_track,Options:GeneOnly]&amp;mk=4311443:4311462|offset_20|444444,4311470:4311489|offset_47|444444,4311493:4311512|offset_70|00cc00,4311530:4311549|offset_107|444444&amp;v=4311242:4311749&amp;c=444444", "offset 70")</f>
        <v>offset 70</v>
      </c>
    </row>
    <row r="15252" customFormat="false" ht="12.8" hidden="false" customHeight="false" outlineLevel="0" collapsed="false">
      <c r="A15252" s="0" t="s">
        <v>12</v>
      </c>
      <c r="B15252" s="0" t="n">
        <v>4311529</v>
      </c>
      <c r="C15252" s="0" t="n">
        <v>4311549</v>
      </c>
      <c r="D15252" s="0" t="s">
        <v>50813</v>
      </c>
      <c r="E15252" s="0" t="s">
        <v>89</v>
      </c>
      <c r="F15252" s="0" t="s">
        <v>15</v>
      </c>
      <c r="G15252" s="0" t="s">
        <v>36</v>
      </c>
      <c r="H15252" s="0" t="n">
        <v>107</v>
      </c>
      <c r="I15252" s="0" t="s">
        <v>50823</v>
      </c>
      <c r="J15252" s="0" t="s">
        <v>50824</v>
      </c>
      <c r="K15252" s="0" t="s">
        <v>50825</v>
      </c>
      <c r="L15252" s="0" t="str">
        <f aca="false">HYPERLINK("https://www.ncbi.nlm.nih.gov/nuccore/CP000304.1?report=graph&amp;tracks=[key:gene_model_track,Options:GeneOnly]&amp;mk=4311443:4311462|offset_20|444444,4311470:4311489|offset_47|444444,4311493:4311512|offset_70|444444,4311530:4311549|offset_107|00cc00&amp;v=4311242:4311749&amp;c=444444", "offset 107")</f>
        <v>offset 107</v>
      </c>
    </row>
    <row r="15253" customFormat="false" ht="12.8" hidden="false" customHeight="false" outlineLevel="0" collapsed="false">
      <c r="A15253" s="0" t="s">
        <v>12</v>
      </c>
      <c r="B15253" s="0" t="n">
        <v>4312083</v>
      </c>
      <c r="C15253" s="0" t="n">
        <v>4312103</v>
      </c>
      <c r="D15253" s="0" t="s">
        <v>50826</v>
      </c>
      <c r="E15253" s="0" t="s">
        <v>89</v>
      </c>
      <c r="F15253" s="0" t="s">
        <v>90</v>
      </c>
      <c r="G15253" s="0" t="s">
        <v>36</v>
      </c>
      <c r="H15253" s="0" t="n">
        <v>12</v>
      </c>
      <c r="I15253" s="0" t="s">
        <v>50827</v>
      </c>
      <c r="J15253" s="0" t="s">
        <v>50828</v>
      </c>
      <c r="K15253" s="0" t="s">
        <v>50829</v>
      </c>
      <c r="L15253" s="0" t="str">
        <f aca="false">HYPERLINK("https://www.ncbi.nlm.nih.gov/nuccore/CP000304.1?report=graph&amp;tracks=[key:gene_model_track,Options:GeneOnly]&amp;mk=4312084:4312103|offset_12|00cc00,4312064:4312083|offset_32|444444,4312043:4312062|offset_53|444444,4312002:4312021|offset_94|444444&amp;v=4311883:4312221&amp;c=444444", "offset 12")</f>
        <v>offset 12</v>
      </c>
    </row>
    <row r="15254" customFormat="false" ht="12.8" hidden="false" customHeight="false" outlineLevel="0" collapsed="false">
      <c r="A15254" s="0" t="s">
        <v>12</v>
      </c>
      <c r="B15254" s="0" t="n">
        <v>4312063</v>
      </c>
      <c r="C15254" s="0" t="n">
        <v>4312083</v>
      </c>
      <c r="D15254" s="0" t="s">
        <v>50826</v>
      </c>
      <c r="E15254" s="0" t="s">
        <v>89</v>
      </c>
      <c r="F15254" s="0" t="s">
        <v>90</v>
      </c>
      <c r="G15254" s="0" t="s">
        <v>16</v>
      </c>
      <c r="H15254" s="0" t="n">
        <v>32</v>
      </c>
      <c r="I15254" s="0" t="s">
        <v>50830</v>
      </c>
      <c r="J15254" s="0" t="s">
        <v>50831</v>
      </c>
      <c r="K15254" s="0" t="s">
        <v>50832</v>
      </c>
      <c r="L15254" s="0" t="str">
        <f aca="false">HYPERLINK("https://www.ncbi.nlm.nih.gov/nuccore/CP000304.1?report=graph&amp;tracks=[key:gene_model_track,Options:GeneOnly]&amp;mk=4312084:4312103|offset_12|444444,4312064:4312083|offset_32|00cc00,4312043:4312062|offset_53|444444,4312002:4312021|offset_94|444444&amp;v=4311883:4312221&amp;c=444444", "offset 32")</f>
        <v>offset 32</v>
      </c>
    </row>
    <row r="15255" customFormat="false" ht="12.8" hidden="false" customHeight="false" outlineLevel="0" collapsed="false">
      <c r="A15255" s="0" t="s">
        <v>12</v>
      </c>
      <c r="B15255" s="0" t="n">
        <v>4312042</v>
      </c>
      <c r="C15255" s="0" t="n">
        <v>4312062</v>
      </c>
      <c r="D15255" s="0" t="s">
        <v>50826</v>
      </c>
      <c r="E15255" s="0" t="s">
        <v>89</v>
      </c>
      <c r="F15255" s="0" t="s">
        <v>90</v>
      </c>
      <c r="G15255" s="0" t="s">
        <v>36</v>
      </c>
      <c r="H15255" s="0" t="n">
        <v>53</v>
      </c>
      <c r="I15255" s="0" t="s">
        <v>50833</v>
      </c>
      <c r="J15255" s="0" t="s">
        <v>50834</v>
      </c>
      <c r="K15255" s="0" t="s">
        <v>50835</v>
      </c>
      <c r="L15255" s="0" t="str">
        <f aca="false">HYPERLINK("https://www.ncbi.nlm.nih.gov/nuccore/CP000304.1?report=graph&amp;tracks=[key:gene_model_track,Options:GeneOnly]&amp;mk=4312084:4312103|offset_12|444444,4312064:4312083|offset_32|444444,4312043:4312062|offset_53|00cc00,4312002:4312021|offset_94|444444&amp;v=4311883:4312221&amp;c=444444", "offset 53")</f>
        <v>offset 53</v>
      </c>
    </row>
    <row r="15256" customFormat="false" ht="12.8" hidden="false" customHeight="false" outlineLevel="0" collapsed="false">
      <c r="A15256" s="0" t="s">
        <v>12</v>
      </c>
      <c r="B15256" s="0" t="n">
        <v>4312001</v>
      </c>
      <c r="C15256" s="0" t="n">
        <v>4312021</v>
      </c>
      <c r="D15256" s="0" t="s">
        <v>50826</v>
      </c>
      <c r="E15256" s="0" t="s">
        <v>89</v>
      </c>
      <c r="F15256" s="0" t="s">
        <v>90</v>
      </c>
      <c r="G15256" s="0" t="s">
        <v>16</v>
      </c>
      <c r="H15256" s="0" t="n">
        <v>94</v>
      </c>
      <c r="I15256" s="0" t="s">
        <v>50836</v>
      </c>
      <c r="J15256" s="0" t="s">
        <v>50837</v>
      </c>
      <c r="K15256" s="0" t="s">
        <v>50838</v>
      </c>
      <c r="L15256" s="0" t="str">
        <f aca="false">HYPERLINK("https://www.ncbi.nlm.nih.gov/nuccore/CP000304.1?report=graph&amp;tracks=[key:gene_model_track,Options:GeneOnly]&amp;mk=4312084:4312103|offset_12|444444,4312064:4312083|offset_32|444444,4312043:4312062|offset_53|444444,4312002:4312021|offset_94|00cc00&amp;v=4311883:4312221&amp;c=444444", "offset 94")</f>
        <v>offset 94</v>
      </c>
    </row>
    <row r="15257" customFormat="false" ht="12.8" hidden="false" customHeight="false" outlineLevel="0" collapsed="false">
      <c r="A15257" s="0" t="s">
        <v>12</v>
      </c>
      <c r="B15257" s="0" t="n">
        <v>4312310</v>
      </c>
      <c r="C15257" s="0" t="n">
        <v>4312330</v>
      </c>
      <c r="D15257" s="0" t="s">
        <v>50839</v>
      </c>
      <c r="E15257" s="0" t="s">
        <v>50840</v>
      </c>
      <c r="F15257" s="0" t="s">
        <v>15</v>
      </c>
      <c r="G15257" s="0" t="s">
        <v>32</v>
      </c>
      <c r="H15257" s="0" t="n">
        <v>7</v>
      </c>
      <c r="I15257" s="0" t="s">
        <v>50841</v>
      </c>
      <c r="J15257" s="0" t="s">
        <v>50842</v>
      </c>
      <c r="K15257" s="0" t="s">
        <v>50843</v>
      </c>
      <c r="L15257" s="0" t="str">
        <f aca="false">HYPERLINK("https://www.ncbi.nlm.nih.gov/nuccore/CP000304.1?report=graph&amp;tracks=[key:gene_model_track,Options:GeneOnly]&amp;mk=4312311:4312330|offset_7|00cc00,4312394:4312413|offset_90|444444,4312416:4312435|offset_112|444444,4312455:4312474|offset_151|444444&amp;v=4312110:4312674&amp;c=444444", "offset 7")</f>
        <v>offset 7</v>
      </c>
    </row>
    <row r="15258" customFormat="false" ht="12.8" hidden="false" customHeight="false" outlineLevel="0" collapsed="false">
      <c r="A15258" s="0" t="s">
        <v>12</v>
      </c>
      <c r="B15258" s="0" t="n">
        <v>4312393</v>
      </c>
      <c r="C15258" s="0" t="n">
        <v>4312413</v>
      </c>
      <c r="D15258" s="0" t="s">
        <v>50839</v>
      </c>
      <c r="E15258" s="0" t="s">
        <v>50840</v>
      </c>
      <c r="F15258" s="0" t="s">
        <v>15</v>
      </c>
      <c r="G15258" s="0" t="s">
        <v>16</v>
      </c>
      <c r="H15258" s="0" t="n">
        <v>90</v>
      </c>
      <c r="I15258" s="0" t="s">
        <v>50844</v>
      </c>
      <c r="J15258" s="0" t="s">
        <v>50845</v>
      </c>
      <c r="K15258" s="0" t="s">
        <v>50846</v>
      </c>
      <c r="L15258" s="0" t="str">
        <f aca="false">HYPERLINK("https://www.ncbi.nlm.nih.gov/nuccore/CP000304.1?report=graph&amp;tracks=[key:gene_model_track,Options:GeneOnly]&amp;mk=4312311:4312330|offset_7|444444,4312394:4312413|offset_90|00cc00,4312416:4312435|offset_112|444444,4312455:4312474|offset_151|444444&amp;v=4312110:4312674&amp;c=444444", "offset 90")</f>
        <v>offset 90</v>
      </c>
    </row>
    <row r="15259" customFormat="false" ht="12.8" hidden="false" customHeight="false" outlineLevel="0" collapsed="false">
      <c r="A15259" s="0" t="s">
        <v>12</v>
      </c>
      <c r="B15259" s="0" t="n">
        <v>4312415</v>
      </c>
      <c r="C15259" s="0" t="n">
        <v>4312435</v>
      </c>
      <c r="D15259" s="0" t="s">
        <v>50839</v>
      </c>
      <c r="E15259" s="0" t="s">
        <v>50840</v>
      </c>
      <c r="F15259" s="0" t="s">
        <v>15</v>
      </c>
      <c r="G15259" s="0" t="s">
        <v>32</v>
      </c>
      <c r="H15259" s="0" t="n">
        <v>112</v>
      </c>
      <c r="I15259" s="0" t="s">
        <v>50847</v>
      </c>
      <c r="J15259" s="0" t="s">
        <v>50848</v>
      </c>
      <c r="K15259" s="0" t="s">
        <v>50849</v>
      </c>
      <c r="L15259" s="0" t="str">
        <f aca="false">HYPERLINK("https://www.ncbi.nlm.nih.gov/nuccore/CP000304.1?report=graph&amp;tracks=[key:gene_model_track,Options:GeneOnly]&amp;mk=4312311:4312330|offset_7|444444,4312394:4312413|offset_90|444444,4312416:4312435|offset_112|00cc00,4312455:4312474|offset_151|444444&amp;v=4312110:4312674&amp;c=444444", "offset 112")</f>
        <v>offset 112</v>
      </c>
    </row>
    <row r="15260" customFormat="false" ht="12.8" hidden="false" customHeight="false" outlineLevel="0" collapsed="false">
      <c r="A15260" s="0" t="s">
        <v>12</v>
      </c>
      <c r="B15260" s="0" t="n">
        <v>4312454</v>
      </c>
      <c r="C15260" s="0" t="n">
        <v>4312474</v>
      </c>
      <c r="D15260" s="0" t="s">
        <v>50839</v>
      </c>
      <c r="E15260" s="0" t="s">
        <v>50840</v>
      </c>
      <c r="F15260" s="0" t="s">
        <v>15</v>
      </c>
      <c r="G15260" s="0" t="s">
        <v>16</v>
      </c>
      <c r="H15260" s="0" t="n">
        <v>151</v>
      </c>
      <c r="I15260" s="0" t="s">
        <v>50850</v>
      </c>
      <c r="J15260" s="0" t="s">
        <v>50851</v>
      </c>
      <c r="K15260" s="0" t="s">
        <v>50852</v>
      </c>
      <c r="L15260" s="0" t="str">
        <f aca="false">HYPERLINK("https://www.ncbi.nlm.nih.gov/nuccore/CP000304.1?report=graph&amp;tracks=[key:gene_model_track,Options:GeneOnly]&amp;mk=4312311:4312330|offset_7|444444,4312394:4312413|offset_90|444444,4312416:4312435|offset_112|444444,4312455:4312474|offset_151|00cc00&amp;v=4312110:4312674&amp;c=444444", "offset 151")</f>
        <v>offset 151</v>
      </c>
    </row>
    <row r="15261" customFormat="false" ht="12.8" hidden="false" customHeight="false" outlineLevel="0" collapsed="false">
      <c r="A15261" s="0" t="s">
        <v>12</v>
      </c>
      <c r="B15261" s="0" t="n">
        <v>4313823</v>
      </c>
      <c r="C15261" s="0" t="n">
        <v>4313843</v>
      </c>
      <c r="D15261" s="0" t="s">
        <v>50853</v>
      </c>
      <c r="E15261" s="0" t="s">
        <v>50854</v>
      </c>
      <c r="F15261" s="0" t="s">
        <v>15</v>
      </c>
      <c r="G15261" s="0" t="s">
        <v>32</v>
      </c>
      <c r="H15261" s="0" t="n">
        <v>1</v>
      </c>
      <c r="I15261" s="0" t="s">
        <v>50855</v>
      </c>
      <c r="J15261" s="0" t="s">
        <v>50856</v>
      </c>
      <c r="K15261" s="0" t="s">
        <v>50857</v>
      </c>
      <c r="L15261" s="0" t="str">
        <f aca="false">HYPERLINK("https://www.ncbi.nlm.nih.gov/nuccore/CP000304.1?report=graph&amp;tracks=[key:gene_model_track,Options:GeneOnly]&amp;mk=4313824:4313843|offset_1|00cc00,4313855:4313874|offset_32|444444,4313898:4313917|offset_75|444444,4313918:4313937|offset_95|444444&amp;v=4313623:4314137&amp;c=444444", "offset 1")</f>
        <v>offset 1</v>
      </c>
    </row>
    <row r="15262" customFormat="false" ht="12.8" hidden="false" customHeight="false" outlineLevel="0" collapsed="false">
      <c r="A15262" s="0" t="s">
        <v>12</v>
      </c>
      <c r="B15262" s="0" t="n">
        <v>4313854</v>
      </c>
      <c r="C15262" s="0" t="n">
        <v>4313874</v>
      </c>
      <c r="D15262" s="0" t="s">
        <v>50853</v>
      </c>
      <c r="E15262" s="0" t="s">
        <v>50854</v>
      </c>
      <c r="F15262" s="0" t="s">
        <v>15</v>
      </c>
      <c r="G15262" s="0" t="s">
        <v>32</v>
      </c>
      <c r="H15262" s="0" t="n">
        <v>32</v>
      </c>
      <c r="I15262" s="0" t="s">
        <v>50858</v>
      </c>
      <c r="J15262" s="0" t="s">
        <v>50859</v>
      </c>
      <c r="K15262" s="0" t="s">
        <v>50860</v>
      </c>
      <c r="L15262" s="0" t="str">
        <f aca="false">HYPERLINK("https://www.ncbi.nlm.nih.gov/nuccore/CP000304.1?report=graph&amp;tracks=[key:gene_model_track,Options:GeneOnly]&amp;mk=4313824:4313843|offset_1|444444,4313855:4313874|offset_32|00cc00,4313898:4313917|offset_75|444444,4313918:4313937|offset_95|444444&amp;v=4313623:4314137&amp;c=444444", "offset 32")</f>
        <v>offset 32</v>
      </c>
    </row>
    <row r="15263" customFormat="false" ht="12.8" hidden="false" customHeight="false" outlineLevel="0" collapsed="false">
      <c r="A15263" s="0" t="s">
        <v>12</v>
      </c>
      <c r="B15263" s="0" t="n">
        <v>4313897</v>
      </c>
      <c r="C15263" s="0" t="n">
        <v>4313917</v>
      </c>
      <c r="D15263" s="0" t="s">
        <v>50853</v>
      </c>
      <c r="E15263" s="0" t="s">
        <v>50854</v>
      </c>
      <c r="F15263" s="0" t="s">
        <v>15</v>
      </c>
      <c r="G15263" s="0" t="s">
        <v>36</v>
      </c>
      <c r="H15263" s="0" t="n">
        <v>75</v>
      </c>
      <c r="I15263" s="0" t="s">
        <v>50861</v>
      </c>
      <c r="J15263" s="0" t="s">
        <v>50862</v>
      </c>
      <c r="K15263" s="0" t="s">
        <v>50863</v>
      </c>
      <c r="L15263" s="0" t="str">
        <f aca="false">HYPERLINK("https://www.ncbi.nlm.nih.gov/nuccore/CP000304.1?report=graph&amp;tracks=[key:gene_model_track,Options:GeneOnly]&amp;mk=4313824:4313843|offset_1|444444,4313855:4313874|offset_32|444444,4313898:4313917|offset_75|00cc00,4313918:4313937|offset_95|444444&amp;v=4313623:4314137&amp;c=444444", "offset 75")</f>
        <v>offset 75</v>
      </c>
    </row>
    <row r="15264" customFormat="false" ht="12.8" hidden="false" customHeight="false" outlineLevel="0" collapsed="false">
      <c r="A15264" s="0" t="s">
        <v>12</v>
      </c>
      <c r="B15264" s="0" t="n">
        <v>4313917</v>
      </c>
      <c r="C15264" s="0" t="n">
        <v>4313937</v>
      </c>
      <c r="D15264" s="0" t="s">
        <v>50853</v>
      </c>
      <c r="E15264" s="0" t="s">
        <v>50854</v>
      </c>
      <c r="F15264" s="0" t="s">
        <v>15</v>
      </c>
      <c r="G15264" s="0" t="s">
        <v>26</v>
      </c>
      <c r="H15264" s="0" t="n">
        <v>95</v>
      </c>
      <c r="I15264" s="0" t="s">
        <v>50864</v>
      </c>
      <c r="J15264" s="0" t="s">
        <v>50865</v>
      </c>
      <c r="K15264" s="0" t="s">
        <v>50866</v>
      </c>
      <c r="L15264" s="0" t="str">
        <f aca="false">HYPERLINK("https://www.ncbi.nlm.nih.gov/nuccore/CP000304.1?report=graph&amp;tracks=[key:gene_model_track,Options:GeneOnly]&amp;mk=4313824:4313843|offset_1|444444,4313855:4313874|offset_32|444444,4313898:4313917|offset_75|444444,4313918:4313937|offset_95|00cc00&amp;v=4313623:4314137&amp;c=444444", "offset 95")</f>
        <v>offset 95</v>
      </c>
    </row>
    <row r="15265" customFormat="false" ht="12.8" hidden="false" customHeight="false" outlineLevel="0" collapsed="false">
      <c r="A15265" s="0" t="s">
        <v>12</v>
      </c>
      <c r="B15265" s="0" t="n">
        <v>4315130</v>
      </c>
      <c r="C15265" s="0" t="n">
        <v>4315150</v>
      </c>
      <c r="D15265" s="0" t="s">
        <v>50867</v>
      </c>
      <c r="E15265" s="0" t="s">
        <v>50868</v>
      </c>
      <c r="F15265" s="0" t="s">
        <v>15</v>
      </c>
      <c r="G15265" s="0" t="s">
        <v>36</v>
      </c>
      <c r="H15265" s="0" t="n">
        <v>0</v>
      </c>
      <c r="I15265" s="0" t="s">
        <v>50869</v>
      </c>
      <c r="J15265" s="0" t="s">
        <v>50870</v>
      </c>
      <c r="K15265" s="0" t="s">
        <v>50871</v>
      </c>
      <c r="L15265" s="0" t="str">
        <f aca="false">HYPERLINK("https://www.ncbi.nlm.nih.gov/nuccore/CP000304.1?report=graph&amp;tracks=[key:gene_model_track,Options:GeneOnly]&amp;mk=4315131:4315150|offset_0|00cc00,4315178:4315197|offset_47|444444,4315202:4315221|offset_71|444444,4315223:4315242|offset_92|444444&amp;v=4314930:4315442&amp;c=444444", "offset 0")</f>
        <v>offset 0</v>
      </c>
    </row>
    <row r="15266" customFormat="false" ht="12.8" hidden="false" customHeight="false" outlineLevel="0" collapsed="false">
      <c r="A15266" s="0" t="s">
        <v>12</v>
      </c>
      <c r="B15266" s="0" t="n">
        <v>4315177</v>
      </c>
      <c r="C15266" s="0" t="n">
        <v>4315197</v>
      </c>
      <c r="D15266" s="0" t="s">
        <v>50867</v>
      </c>
      <c r="E15266" s="0" t="s">
        <v>50868</v>
      </c>
      <c r="F15266" s="0" t="s">
        <v>15</v>
      </c>
      <c r="G15266" s="0" t="s">
        <v>32</v>
      </c>
      <c r="H15266" s="0" t="n">
        <v>47</v>
      </c>
      <c r="I15266" s="0" t="s">
        <v>50872</v>
      </c>
      <c r="J15266" s="0" t="s">
        <v>50873</v>
      </c>
      <c r="K15266" s="0" t="s">
        <v>50874</v>
      </c>
      <c r="L15266" s="0" t="str">
        <f aca="false">HYPERLINK("https://www.ncbi.nlm.nih.gov/nuccore/CP000304.1?report=graph&amp;tracks=[key:gene_model_track,Options:GeneOnly]&amp;mk=4315131:4315150|offset_0|444444,4315178:4315197|offset_47|00cc00,4315202:4315221|offset_71|444444,4315223:4315242|offset_92|444444&amp;v=4314930:4315442&amp;c=444444", "offset 47")</f>
        <v>offset 47</v>
      </c>
    </row>
    <row r="15267" customFormat="false" ht="12.8" hidden="false" customHeight="false" outlineLevel="0" collapsed="false">
      <c r="A15267" s="0" t="s">
        <v>12</v>
      </c>
      <c r="B15267" s="0" t="n">
        <v>4315201</v>
      </c>
      <c r="C15267" s="0" t="n">
        <v>4315221</v>
      </c>
      <c r="D15267" s="0" t="s">
        <v>50867</v>
      </c>
      <c r="E15267" s="0" t="s">
        <v>50868</v>
      </c>
      <c r="F15267" s="0" t="s">
        <v>15</v>
      </c>
      <c r="G15267" s="0" t="s">
        <v>26</v>
      </c>
      <c r="H15267" s="0" t="n">
        <v>71</v>
      </c>
      <c r="I15267" s="0" t="s">
        <v>50875</v>
      </c>
      <c r="J15267" s="0" t="s">
        <v>50876</v>
      </c>
      <c r="K15267" s="0" t="s">
        <v>50877</v>
      </c>
      <c r="L15267" s="0" t="str">
        <f aca="false">HYPERLINK("https://www.ncbi.nlm.nih.gov/nuccore/CP000304.1?report=graph&amp;tracks=[key:gene_model_track,Options:GeneOnly]&amp;mk=4315131:4315150|offset_0|444444,4315178:4315197|offset_47|444444,4315202:4315221|offset_71|00cc00,4315223:4315242|offset_92|444444&amp;v=4314930:4315442&amp;c=444444", "offset 71")</f>
        <v>offset 71</v>
      </c>
    </row>
    <row r="15268" customFormat="false" ht="12.8" hidden="false" customHeight="false" outlineLevel="0" collapsed="false">
      <c r="A15268" s="0" t="s">
        <v>12</v>
      </c>
      <c r="B15268" s="0" t="n">
        <v>4315222</v>
      </c>
      <c r="C15268" s="0" t="n">
        <v>4315242</v>
      </c>
      <c r="D15268" s="0" t="s">
        <v>50867</v>
      </c>
      <c r="E15268" s="0" t="s">
        <v>50868</v>
      </c>
      <c r="F15268" s="0" t="s">
        <v>15</v>
      </c>
      <c r="G15268" s="0" t="s">
        <v>26</v>
      </c>
      <c r="H15268" s="0" t="n">
        <v>92</v>
      </c>
      <c r="I15268" s="0" t="s">
        <v>50878</v>
      </c>
      <c r="J15268" s="0" t="s">
        <v>50879</v>
      </c>
      <c r="K15268" s="0" t="s">
        <v>50880</v>
      </c>
      <c r="L15268" s="0" t="str">
        <f aca="false">HYPERLINK("https://www.ncbi.nlm.nih.gov/nuccore/CP000304.1?report=graph&amp;tracks=[key:gene_model_track,Options:GeneOnly]&amp;mk=4315131:4315150|offset_0|444444,4315178:4315197|offset_47|444444,4315202:4315221|offset_71|444444,4315223:4315242|offset_92|00cc00&amp;v=4314930:4315442&amp;c=444444", "offset 92")</f>
        <v>offset 92</v>
      </c>
    </row>
    <row r="15269" customFormat="false" ht="12.8" hidden="false" customHeight="false" outlineLevel="0" collapsed="false">
      <c r="A15269" s="0" t="s">
        <v>12</v>
      </c>
      <c r="B15269" s="0" t="n">
        <v>4316215</v>
      </c>
      <c r="C15269" s="0" t="n">
        <v>4316235</v>
      </c>
      <c r="D15269" s="0" t="s">
        <v>50881</v>
      </c>
      <c r="E15269" s="0" t="s">
        <v>50882</v>
      </c>
      <c r="F15269" s="0" t="s">
        <v>15</v>
      </c>
      <c r="G15269" s="0" t="s">
        <v>36</v>
      </c>
      <c r="H15269" s="0" t="n">
        <v>34</v>
      </c>
      <c r="I15269" s="0" t="s">
        <v>50883</v>
      </c>
      <c r="J15269" s="0" t="s">
        <v>50884</v>
      </c>
      <c r="K15269" s="0" t="s">
        <v>50885</v>
      </c>
      <c r="L15269" s="0" t="str">
        <f aca="false">HYPERLINK("https://www.ncbi.nlm.nih.gov/nuccore/CP000304.1?report=graph&amp;tracks=[key:gene_model_track,Options:GeneOnly]&amp;mk=4316216:4316235|offset_34|00cc00,4316236:4316255|offset_54|444444,4316268:4316287|offset_86|444444,4316325:4316344|offset_143|444444&amp;v=4316015:4316544&amp;c=444444", "offset 34")</f>
        <v>offset 34</v>
      </c>
    </row>
    <row r="15270" customFormat="false" ht="12.8" hidden="false" customHeight="false" outlineLevel="0" collapsed="false">
      <c r="A15270" s="0" t="s">
        <v>12</v>
      </c>
      <c r="B15270" s="0" t="n">
        <v>4316235</v>
      </c>
      <c r="C15270" s="0" t="n">
        <v>4316255</v>
      </c>
      <c r="D15270" s="0" t="s">
        <v>50881</v>
      </c>
      <c r="E15270" s="0" t="s">
        <v>50882</v>
      </c>
      <c r="F15270" s="0" t="s">
        <v>15</v>
      </c>
      <c r="G15270" s="0" t="s">
        <v>16</v>
      </c>
      <c r="H15270" s="0" t="n">
        <v>54</v>
      </c>
      <c r="I15270" s="0" t="s">
        <v>50886</v>
      </c>
      <c r="J15270" s="0" t="s">
        <v>50887</v>
      </c>
      <c r="K15270" s="0" t="s">
        <v>50888</v>
      </c>
      <c r="L15270" s="0" t="str">
        <f aca="false">HYPERLINK("https://www.ncbi.nlm.nih.gov/nuccore/CP000304.1?report=graph&amp;tracks=[key:gene_model_track,Options:GeneOnly]&amp;mk=4316216:4316235|offset_34|444444,4316236:4316255|offset_54|00cc00,4316268:4316287|offset_86|444444,4316325:4316344|offset_143|444444&amp;v=4316015:4316544&amp;c=444444", "offset 54")</f>
        <v>offset 54</v>
      </c>
    </row>
    <row r="15271" customFormat="false" ht="12.8" hidden="false" customHeight="false" outlineLevel="0" collapsed="false">
      <c r="A15271" s="0" t="s">
        <v>12</v>
      </c>
      <c r="B15271" s="0" t="n">
        <v>4316267</v>
      </c>
      <c r="C15271" s="0" t="n">
        <v>4316287</v>
      </c>
      <c r="D15271" s="0" t="s">
        <v>50881</v>
      </c>
      <c r="E15271" s="0" t="s">
        <v>50882</v>
      </c>
      <c r="F15271" s="0" t="s">
        <v>15</v>
      </c>
      <c r="G15271" s="0" t="s">
        <v>16</v>
      </c>
      <c r="H15271" s="0" t="n">
        <v>86</v>
      </c>
      <c r="I15271" s="0" t="s">
        <v>50889</v>
      </c>
      <c r="J15271" s="0" t="s">
        <v>50890</v>
      </c>
      <c r="K15271" s="0" t="s">
        <v>50891</v>
      </c>
      <c r="L15271" s="0" t="str">
        <f aca="false">HYPERLINK("https://www.ncbi.nlm.nih.gov/nuccore/CP000304.1?report=graph&amp;tracks=[key:gene_model_track,Options:GeneOnly]&amp;mk=4316216:4316235|offset_34|444444,4316236:4316255|offset_54|444444,4316268:4316287|offset_86|00cc00,4316325:4316344|offset_143|444444&amp;v=4316015:4316544&amp;c=444444", "offset 86")</f>
        <v>offset 86</v>
      </c>
    </row>
    <row r="15272" customFormat="false" ht="12.8" hidden="false" customHeight="false" outlineLevel="0" collapsed="false">
      <c r="A15272" s="0" t="s">
        <v>12</v>
      </c>
      <c r="B15272" s="0" t="n">
        <v>4316324</v>
      </c>
      <c r="C15272" s="0" t="n">
        <v>4316344</v>
      </c>
      <c r="D15272" s="0" t="s">
        <v>50881</v>
      </c>
      <c r="E15272" s="0" t="s">
        <v>50882</v>
      </c>
      <c r="F15272" s="0" t="s">
        <v>15</v>
      </c>
      <c r="G15272" s="0" t="s">
        <v>32</v>
      </c>
      <c r="H15272" s="0" t="n">
        <v>143</v>
      </c>
      <c r="I15272" s="0" t="s">
        <v>50892</v>
      </c>
      <c r="J15272" s="0" t="s">
        <v>50893</v>
      </c>
      <c r="K15272" s="0" t="s">
        <v>50894</v>
      </c>
      <c r="L15272" s="0" t="str">
        <f aca="false">HYPERLINK("https://www.ncbi.nlm.nih.gov/nuccore/CP000304.1?report=graph&amp;tracks=[key:gene_model_track,Options:GeneOnly]&amp;mk=4316216:4316235|offset_34|444444,4316236:4316255|offset_54|444444,4316268:4316287|offset_86|444444,4316325:4316344|offset_143|00cc00&amp;v=4316015:4316544&amp;c=444444", "offset 143")</f>
        <v>offset 143</v>
      </c>
    </row>
    <row r="15273" customFormat="false" ht="12.8" hidden="false" customHeight="false" outlineLevel="0" collapsed="false">
      <c r="A15273" s="0" t="s">
        <v>12</v>
      </c>
      <c r="B15273" s="0" t="n">
        <v>4318438</v>
      </c>
      <c r="C15273" s="0" t="n">
        <v>4318458</v>
      </c>
      <c r="D15273" s="0" t="s">
        <v>50895</v>
      </c>
      <c r="E15273" s="0" t="s">
        <v>89</v>
      </c>
      <c r="F15273" s="0" t="s">
        <v>90</v>
      </c>
      <c r="G15273" s="0" t="s">
        <v>26</v>
      </c>
      <c r="H15273" s="0" t="n">
        <v>37</v>
      </c>
      <c r="I15273" s="0" t="s">
        <v>50896</v>
      </c>
      <c r="J15273" s="0" t="s">
        <v>50897</v>
      </c>
      <c r="K15273" s="0" t="s">
        <v>50898</v>
      </c>
      <c r="L15273" s="0" t="str">
        <f aca="false">HYPERLINK("https://www.ncbi.nlm.nih.gov/nuccore/CP000304.1?report=graph&amp;tracks=[key:gene_model_track,Options:GeneOnly]&amp;mk=4318439:4318458|offset_37|00cc00,4318415:4318434|offset_61|444444,4318394:4318413|offset_82|444444,4318368:4318387|offset_108|444444&amp;v=4318238:4318587&amp;c=444444", "offset 37")</f>
        <v>offset 37</v>
      </c>
    </row>
    <row r="15274" customFormat="false" ht="12.8" hidden="false" customHeight="false" outlineLevel="0" collapsed="false">
      <c r="A15274" s="0" t="s">
        <v>12</v>
      </c>
      <c r="B15274" s="0" t="n">
        <v>4318414</v>
      </c>
      <c r="C15274" s="0" t="n">
        <v>4318434</v>
      </c>
      <c r="D15274" s="0" t="s">
        <v>50895</v>
      </c>
      <c r="E15274" s="0" t="s">
        <v>89</v>
      </c>
      <c r="F15274" s="0" t="s">
        <v>90</v>
      </c>
      <c r="G15274" s="0" t="s">
        <v>32</v>
      </c>
      <c r="H15274" s="0" t="n">
        <v>61</v>
      </c>
      <c r="I15274" s="0" t="s">
        <v>50899</v>
      </c>
      <c r="J15274" s="0" t="s">
        <v>50900</v>
      </c>
      <c r="K15274" s="0" t="s">
        <v>50901</v>
      </c>
      <c r="L15274" s="0" t="str">
        <f aca="false">HYPERLINK("https://www.ncbi.nlm.nih.gov/nuccore/CP000304.1?report=graph&amp;tracks=[key:gene_model_track,Options:GeneOnly]&amp;mk=4318439:4318458|offset_37|444444,4318415:4318434|offset_61|00cc00,4318394:4318413|offset_82|444444,4318368:4318387|offset_108|444444&amp;v=4318238:4318587&amp;c=444444", "offset 61")</f>
        <v>offset 61</v>
      </c>
    </row>
    <row r="15275" customFormat="false" ht="12.8" hidden="false" customHeight="false" outlineLevel="0" collapsed="false">
      <c r="A15275" s="0" t="s">
        <v>12</v>
      </c>
      <c r="B15275" s="0" t="n">
        <v>4318393</v>
      </c>
      <c r="C15275" s="0" t="n">
        <v>4318413</v>
      </c>
      <c r="D15275" s="0" t="s">
        <v>50895</v>
      </c>
      <c r="E15275" s="0" t="s">
        <v>89</v>
      </c>
      <c r="F15275" s="0" t="s">
        <v>90</v>
      </c>
      <c r="G15275" s="0" t="s">
        <v>16</v>
      </c>
      <c r="H15275" s="0" t="n">
        <v>82</v>
      </c>
      <c r="I15275" s="0" t="s">
        <v>50902</v>
      </c>
      <c r="J15275" s="0" t="s">
        <v>50903</v>
      </c>
      <c r="K15275" s="0" t="s">
        <v>50904</v>
      </c>
      <c r="L15275" s="0" t="str">
        <f aca="false">HYPERLINK("https://www.ncbi.nlm.nih.gov/nuccore/CP000304.1?report=graph&amp;tracks=[key:gene_model_track,Options:GeneOnly]&amp;mk=4318439:4318458|offset_37|444444,4318415:4318434|offset_61|444444,4318394:4318413|offset_82|00cc00,4318368:4318387|offset_108|444444&amp;v=4318238:4318587&amp;c=444444", "offset 82")</f>
        <v>offset 82</v>
      </c>
    </row>
    <row r="15276" customFormat="false" ht="12.8" hidden="false" customHeight="false" outlineLevel="0" collapsed="false">
      <c r="A15276" s="0" t="s">
        <v>12</v>
      </c>
      <c r="B15276" s="0" t="n">
        <v>4318367</v>
      </c>
      <c r="C15276" s="0" t="n">
        <v>4318387</v>
      </c>
      <c r="D15276" s="0" t="s">
        <v>50895</v>
      </c>
      <c r="E15276" s="0" t="s">
        <v>89</v>
      </c>
      <c r="F15276" s="0" t="s">
        <v>90</v>
      </c>
      <c r="G15276" s="0" t="s">
        <v>16</v>
      </c>
      <c r="H15276" s="0" t="n">
        <v>108</v>
      </c>
      <c r="I15276" s="0" t="s">
        <v>50905</v>
      </c>
      <c r="J15276" s="0" t="s">
        <v>50906</v>
      </c>
      <c r="K15276" s="0" t="s">
        <v>50907</v>
      </c>
      <c r="L15276" s="0" t="str">
        <f aca="false">HYPERLINK("https://www.ncbi.nlm.nih.gov/nuccore/CP000304.1?report=graph&amp;tracks=[key:gene_model_track,Options:GeneOnly]&amp;mk=4318439:4318458|offset_37|444444,4318415:4318434|offset_61|444444,4318394:4318413|offset_82|444444,4318368:4318387|offset_108|00cc00&amp;v=4318238:4318587&amp;c=444444", "offset 108")</f>
        <v>offset 108</v>
      </c>
    </row>
    <row r="15277" customFormat="false" ht="12.8" hidden="false" customHeight="false" outlineLevel="0" collapsed="false">
      <c r="A15277" s="0" t="s">
        <v>12</v>
      </c>
      <c r="B15277" s="0" t="n">
        <v>4319407</v>
      </c>
      <c r="C15277" s="0" t="n">
        <v>4319427</v>
      </c>
      <c r="D15277" s="0" t="s">
        <v>50908</v>
      </c>
      <c r="E15277" s="0" t="s">
        <v>50909</v>
      </c>
      <c r="F15277" s="0" t="s">
        <v>90</v>
      </c>
      <c r="G15277" s="0" t="s">
        <v>32</v>
      </c>
      <c r="H15277" s="0" t="n">
        <v>1</v>
      </c>
      <c r="I15277" s="0" t="s">
        <v>50910</v>
      </c>
      <c r="J15277" s="0" t="s">
        <v>50911</v>
      </c>
      <c r="K15277" s="0" t="s">
        <v>50912</v>
      </c>
      <c r="L15277" s="0" t="str">
        <f aca="false">HYPERLINK("https://www.ncbi.nlm.nih.gov/nuccore/CP000304.1?report=graph&amp;tracks=[key:gene_model_track,Options:GeneOnly]&amp;mk=4319408:4319427|offset_1|00cc00,4319384:4319403|offset_25|444444,4319364:4319383|offset_45|444444,4319330:4319349|offset_79|444444&amp;v=4319207:4319549&amp;c=444444", "offset 1")</f>
        <v>offset 1</v>
      </c>
    </row>
    <row r="15278" customFormat="false" ht="12.8" hidden="false" customHeight="false" outlineLevel="0" collapsed="false">
      <c r="A15278" s="0" t="s">
        <v>12</v>
      </c>
      <c r="B15278" s="0" t="n">
        <v>4319383</v>
      </c>
      <c r="C15278" s="0" t="n">
        <v>4319403</v>
      </c>
      <c r="D15278" s="0" t="s">
        <v>50908</v>
      </c>
      <c r="E15278" s="0" t="s">
        <v>50909</v>
      </c>
      <c r="F15278" s="0" t="s">
        <v>90</v>
      </c>
      <c r="G15278" s="0" t="s">
        <v>16</v>
      </c>
      <c r="H15278" s="0" t="n">
        <v>25</v>
      </c>
      <c r="I15278" s="0" t="s">
        <v>50913</v>
      </c>
      <c r="J15278" s="0" t="s">
        <v>50914</v>
      </c>
      <c r="K15278" s="0" t="s">
        <v>50915</v>
      </c>
      <c r="L15278" s="0" t="str">
        <f aca="false">HYPERLINK("https://www.ncbi.nlm.nih.gov/nuccore/CP000304.1?report=graph&amp;tracks=[key:gene_model_track,Options:GeneOnly]&amp;mk=4319408:4319427|offset_1|444444,4319384:4319403|offset_25|00cc00,4319364:4319383|offset_45|444444,4319330:4319349|offset_79|444444&amp;v=4319207:4319549&amp;c=444444", "offset 25")</f>
        <v>offset 25</v>
      </c>
    </row>
    <row r="15279" customFormat="false" ht="12.8" hidden="false" customHeight="false" outlineLevel="0" collapsed="false">
      <c r="A15279" s="0" t="s">
        <v>12</v>
      </c>
      <c r="B15279" s="0" t="n">
        <v>4319363</v>
      </c>
      <c r="C15279" s="0" t="n">
        <v>4319383</v>
      </c>
      <c r="D15279" s="0" t="s">
        <v>50908</v>
      </c>
      <c r="E15279" s="0" t="s">
        <v>50909</v>
      </c>
      <c r="F15279" s="0" t="s">
        <v>90</v>
      </c>
      <c r="G15279" s="0" t="s">
        <v>26</v>
      </c>
      <c r="H15279" s="0" t="n">
        <v>45</v>
      </c>
      <c r="I15279" s="0" t="s">
        <v>50916</v>
      </c>
      <c r="J15279" s="0" t="s">
        <v>50917</v>
      </c>
      <c r="K15279" s="0" t="s">
        <v>50918</v>
      </c>
      <c r="L15279" s="0" t="str">
        <f aca="false">HYPERLINK("https://www.ncbi.nlm.nih.gov/nuccore/CP000304.1?report=graph&amp;tracks=[key:gene_model_track,Options:GeneOnly]&amp;mk=4319408:4319427|offset_1|444444,4319384:4319403|offset_25|444444,4319364:4319383|offset_45|00cc00,4319330:4319349|offset_79|444444&amp;v=4319207:4319549&amp;c=444444", "offset 45")</f>
        <v>offset 45</v>
      </c>
    </row>
    <row r="15280" customFormat="false" ht="12.8" hidden="false" customHeight="false" outlineLevel="0" collapsed="false">
      <c r="A15280" s="0" t="s">
        <v>12</v>
      </c>
      <c r="B15280" s="0" t="n">
        <v>4319329</v>
      </c>
      <c r="C15280" s="0" t="n">
        <v>4319349</v>
      </c>
      <c r="D15280" s="0" t="s">
        <v>50908</v>
      </c>
      <c r="E15280" s="0" t="s">
        <v>50909</v>
      </c>
      <c r="F15280" s="0" t="s">
        <v>90</v>
      </c>
      <c r="G15280" s="0" t="s">
        <v>16</v>
      </c>
      <c r="H15280" s="0" t="n">
        <v>79</v>
      </c>
      <c r="I15280" s="0" t="s">
        <v>50919</v>
      </c>
      <c r="J15280" s="0" t="s">
        <v>50920</v>
      </c>
      <c r="K15280" s="0" t="s">
        <v>50921</v>
      </c>
      <c r="L15280" s="0" t="str">
        <f aca="false">HYPERLINK("https://www.ncbi.nlm.nih.gov/nuccore/CP000304.1?report=graph&amp;tracks=[key:gene_model_track,Options:GeneOnly]&amp;mk=4319408:4319427|offset_1|444444,4319384:4319403|offset_25|444444,4319364:4319383|offset_45|444444,4319330:4319349|offset_79|00cc00&amp;v=4319207:4319549&amp;c=444444", "offset 79")</f>
        <v>offset 79</v>
      </c>
    </row>
    <row r="15281" customFormat="false" ht="12.8" hidden="false" customHeight="false" outlineLevel="0" collapsed="false">
      <c r="A15281" s="0" t="s">
        <v>12</v>
      </c>
      <c r="B15281" s="0" t="n">
        <v>4320262</v>
      </c>
      <c r="C15281" s="0" t="n">
        <v>4320282</v>
      </c>
      <c r="D15281" s="0" t="s">
        <v>50922</v>
      </c>
      <c r="E15281" s="0" t="s">
        <v>50923</v>
      </c>
      <c r="F15281" s="0" t="s">
        <v>90</v>
      </c>
      <c r="G15281" s="0" t="s">
        <v>36</v>
      </c>
      <c r="H15281" s="0" t="n">
        <v>6</v>
      </c>
      <c r="I15281" s="0" t="s">
        <v>50924</v>
      </c>
      <c r="J15281" s="0" t="s">
        <v>50925</v>
      </c>
      <c r="K15281" s="0" t="s">
        <v>50926</v>
      </c>
      <c r="L15281" s="0" t="str">
        <f aca="false">HYPERLINK("https://www.ncbi.nlm.nih.gov/nuccore/CP000304.1?report=graph&amp;tracks=[key:gene_model_track,Options:GeneOnly]&amp;mk=4320263:4320282|offset_6|00cc00,4320242:4320261|offset_27|444444,4320207:4320226|offset_62|444444,4320157:4320176|offset_112|444444&amp;v=4320062:4320376&amp;c=444444", "offset 6")</f>
        <v>offset 6</v>
      </c>
    </row>
    <row r="15282" customFormat="false" ht="12.8" hidden="false" customHeight="false" outlineLevel="0" collapsed="false">
      <c r="A15282" s="0" t="s">
        <v>12</v>
      </c>
      <c r="B15282" s="0" t="n">
        <v>4320241</v>
      </c>
      <c r="C15282" s="0" t="n">
        <v>4320261</v>
      </c>
      <c r="D15282" s="0" t="s">
        <v>50922</v>
      </c>
      <c r="E15282" s="0" t="s">
        <v>50923</v>
      </c>
      <c r="F15282" s="0" t="s">
        <v>90</v>
      </c>
      <c r="G15282" s="0" t="s">
        <v>26</v>
      </c>
      <c r="H15282" s="0" t="n">
        <v>27</v>
      </c>
      <c r="I15282" s="0" t="s">
        <v>50927</v>
      </c>
      <c r="J15282" s="0" t="s">
        <v>50928</v>
      </c>
      <c r="K15282" s="0" t="s">
        <v>50929</v>
      </c>
      <c r="L15282" s="0" t="str">
        <f aca="false">HYPERLINK("https://www.ncbi.nlm.nih.gov/nuccore/CP000304.1?report=graph&amp;tracks=[key:gene_model_track,Options:GeneOnly]&amp;mk=4320263:4320282|offset_6|444444,4320242:4320261|offset_27|00cc00,4320207:4320226|offset_62|444444,4320157:4320176|offset_112|444444&amp;v=4320062:4320376&amp;c=444444", "offset 27")</f>
        <v>offset 27</v>
      </c>
    </row>
    <row r="15283" customFormat="false" ht="12.8" hidden="false" customHeight="false" outlineLevel="0" collapsed="false">
      <c r="A15283" s="0" t="s">
        <v>12</v>
      </c>
      <c r="B15283" s="0" t="n">
        <v>4320206</v>
      </c>
      <c r="C15283" s="0" t="n">
        <v>4320226</v>
      </c>
      <c r="D15283" s="0" t="s">
        <v>50922</v>
      </c>
      <c r="E15283" s="0" t="s">
        <v>50923</v>
      </c>
      <c r="F15283" s="0" t="s">
        <v>90</v>
      </c>
      <c r="G15283" s="0" t="s">
        <v>26</v>
      </c>
      <c r="H15283" s="0" t="n">
        <v>62</v>
      </c>
      <c r="I15283" s="0" t="s">
        <v>50930</v>
      </c>
      <c r="J15283" s="0" t="s">
        <v>50931</v>
      </c>
      <c r="K15283" s="0" t="s">
        <v>50932</v>
      </c>
      <c r="L15283" s="0" t="str">
        <f aca="false">HYPERLINK("https://www.ncbi.nlm.nih.gov/nuccore/CP000304.1?report=graph&amp;tracks=[key:gene_model_track,Options:GeneOnly]&amp;mk=4320263:4320282|offset_6|444444,4320242:4320261|offset_27|444444,4320207:4320226|offset_62|00cc00,4320157:4320176|offset_112|444444&amp;v=4320062:4320376&amp;c=444444", "offset 62")</f>
        <v>offset 62</v>
      </c>
    </row>
    <row r="15284" customFormat="false" ht="12.8" hidden="false" customHeight="false" outlineLevel="0" collapsed="false">
      <c r="A15284" s="0" t="s">
        <v>12</v>
      </c>
      <c r="B15284" s="0" t="n">
        <v>4320156</v>
      </c>
      <c r="C15284" s="0" t="n">
        <v>4320176</v>
      </c>
      <c r="D15284" s="0" t="s">
        <v>50922</v>
      </c>
      <c r="E15284" s="0" t="s">
        <v>50923</v>
      </c>
      <c r="F15284" s="0" t="s">
        <v>90</v>
      </c>
      <c r="G15284" s="0" t="s">
        <v>32</v>
      </c>
      <c r="H15284" s="0" t="n">
        <v>112</v>
      </c>
      <c r="I15284" s="0" t="s">
        <v>50933</v>
      </c>
      <c r="J15284" s="0" t="s">
        <v>50934</v>
      </c>
      <c r="K15284" s="0" t="s">
        <v>50935</v>
      </c>
      <c r="L15284" s="0" t="str">
        <f aca="false">HYPERLINK("https://www.ncbi.nlm.nih.gov/nuccore/CP000304.1?report=graph&amp;tracks=[key:gene_model_track,Options:GeneOnly]&amp;mk=4320263:4320282|offset_6|444444,4320242:4320261|offset_27|444444,4320207:4320226|offset_62|444444,4320157:4320176|offset_112|00cc00&amp;v=4320062:4320376&amp;c=444444", "offset 112")</f>
        <v>offset 112</v>
      </c>
    </row>
    <row r="15285" customFormat="false" ht="12.8" hidden="false" customHeight="false" outlineLevel="0" collapsed="false">
      <c r="A15285" s="0" t="s">
        <v>12</v>
      </c>
      <c r="B15285" s="0" t="n">
        <v>4320594</v>
      </c>
      <c r="C15285" s="0" t="n">
        <v>4320614</v>
      </c>
      <c r="D15285" s="0" t="s">
        <v>50936</v>
      </c>
      <c r="E15285" s="0" t="s">
        <v>50937</v>
      </c>
      <c r="F15285" s="0" t="s">
        <v>90</v>
      </c>
      <c r="G15285" s="0" t="s">
        <v>16</v>
      </c>
      <c r="H15285" s="0" t="n">
        <v>8</v>
      </c>
      <c r="I15285" s="0" t="s">
        <v>50938</v>
      </c>
      <c r="J15285" s="0" t="s">
        <v>50939</v>
      </c>
      <c r="K15285" s="0" t="s">
        <v>50940</v>
      </c>
      <c r="L15285" s="0" t="str">
        <f aca="false">HYPERLINK("https://www.ncbi.nlm.nih.gov/nuccore/CP000304.1?report=graph&amp;tracks=[key:gene_model_track,Options:GeneOnly]&amp;mk=4320595:4320614|offset_8|00cc00,4320573:4320592|offset_30|444444,4320519:4320538|offset_84|444444,4320499:4320518|offset_104|444444&amp;v=4320394:4320718&amp;c=444444", "offset 8")</f>
        <v>offset 8</v>
      </c>
    </row>
    <row r="15286" customFormat="false" ht="12.8" hidden="false" customHeight="false" outlineLevel="0" collapsed="false">
      <c r="A15286" s="0" t="s">
        <v>12</v>
      </c>
      <c r="B15286" s="0" t="n">
        <v>4320572</v>
      </c>
      <c r="C15286" s="0" t="n">
        <v>4320592</v>
      </c>
      <c r="D15286" s="0" t="s">
        <v>50936</v>
      </c>
      <c r="E15286" s="0" t="s">
        <v>50937</v>
      </c>
      <c r="F15286" s="0" t="s">
        <v>90</v>
      </c>
      <c r="G15286" s="0" t="s">
        <v>16</v>
      </c>
      <c r="H15286" s="0" t="n">
        <v>30</v>
      </c>
      <c r="I15286" s="0" t="s">
        <v>50941</v>
      </c>
      <c r="J15286" s="0" t="s">
        <v>50942</v>
      </c>
      <c r="K15286" s="0" t="s">
        <v>50943</v>
      </c>
      <c r="L15286" s="0" t="str">
        <f aca="false">HYPERLINK("https://www.ncbi.nlm.nih.gov/nuccore/CP000304.1?report=graph&amp;tracks=[key:gene_model_track,Options:GeneOnly]&amp;mk=4320595:4320614|offset_8|444444,4320573:4320592|offset_30|00cc00,4320519:4320538|offset_84|444444,4320499:4320518|offset_104|444444&amp;v=4320394:4320718&amp;c=444444", "offset 30")</f>
        <v>offset 30</v>
      </c>
    </row>
    <row r="15287" customFormat="false" ht="12.8" hidden="false" customHeight="false" outlineLevel="0" collapsed="false">
      <c r="A15287" s="0" t="s">
        <v>12</v>
      </c>
      <c r="B15287" s="0" t="n">
        <v>4320518</v>
      </c>
      <c r="C15287" s="0" t="n">
        <v>4320538</v>
      </c>
      <c r="D15287" s="0" t="s">
        <v>50936</v>
      </c>
      <c r="E15287" s="0" t="s">
        <v>50937</v>
      </c>
      <c r="F15287" s="0" t="s">
        <v>90</v>
      </c>
      <c r="G15287" s="0" t="s">
        <v>36</v>
      </c>
      <c r="H15287" s="0" t="n">
        <v>84</v>
      </c>
      <c r="I15287" s="0" t="s">
        <v>50944</v>
      </c>
      <c r="J15287" s="0" t="s">
        <v>50945</v>
      </c>
      <c r="K15287" s="0" t="s">
        <v>50946</v>
      </c>
      <c r="L15287" s="0" t="str">
        <f aca="false">HYPERLINK("https://www.ncbi.nlm.nih.gov/nuccore/CP000304.1?report=graph&amp;tracks=[key:gene_model_track,Options:GeneOnly]&amp;mk=4320595:4320614|offset_8|444444,4320573:4320592|offset_30|444444,4320519:4320538|offset_84|00cc00,4320499:4320518|offset_104|444444&amp;v=4320394:4320718&amp;c=444444", "offset 84")</f>
        <v>offset 84</v>
      </c>
    </row>
    <row r="15288" customFormat="false" ht="12.8" hidden="false" customHeight="false" outlineLevel="0" collapsed="false">
      <c r="A15288" s="0" t="s">
        <v>12</v>
      </c>
      <c r="B15288" s="0" t="n">
        <v>4320498</v>
      </c>
      <c r="C15288" s="0" t="n">
        <v>4320518</v>
      </c>
      <c r="D15288" s="0" t="s">
        <v>50936</v>
      </c>
      <c r="E15288" s="0" t="s">
        <v>50937</v>
      </c>
      <c r="F15288" s="0" t="s">
        <v>90</v>
      </c>
      <c r="G15288" s="0" t="s">
        <v>32</v>
      </c>
      <c r="H15288" s="0" t="n">
        <v>104</v>
      </c>
      <c r="I15288" s="0" t="s">
        <v>50947</v>
      </c>
      <c r="J15288" s="0" t="s">
        <v>50948</v>
      </c>
      <c r="K15288" s="0" t="s">
        <v>50949</v>
      </c>
      <c r="L15288" s="0" t="str">
        <f aca="false">HYPERLINK("https://www.ncbi.nlm.nih.gov/nuccore/CP000304.1?report=graph&amp;tracks=[key:gene_model_track,Options:GeneOnly]&amp;mk=4320595:4320614|offset_8|444444,4320573:4320592|offset_30|444444,4320519:4320538|offset_84|444444,4320499:4320518|offset_104|00cc00&amp;v=4320394:4320718&amp;c=444444", "offset 104")</f>
        <v>offset 104</v>
      </c>
    </row>
    <row r="15289" customFormat="false" ht="12.8" hidden="false" customHeight="false" outlineLevel="0" collapsed="false">
      <c r="A15289" s="0" t="s">
        <v>12</v>
      </c>
      <c r="B15289" s="0" t="n">
        <v>4320979</v>
      </c>
      <c r="C15289" s="0" t="n">
        <v>4320999</v>
      </c>
      <c r="D15289" s="0" t="s">
        <v>50950</v>
      </c>
      <c r="E15289" s="0" t="s">
        <v>89</v>
      </c>
      <c r="F15289" s="0" t="s">
        <v>90</v>
      </c>
      <c r="G15289" s="0" t="s">
        <v>16</v>
      </c>
      <c r="H15289" s="0" t="n">
        <v>28</v>
      </c>
      <c r="I15289" s="0" t="s">
        <v>50951</v>
      </c>
      <c r="J15289" s="0" t="s">
        <v>50952</v>
      </c>
      <c r="K15289" s="0" t="s">
        <v>50953</v>
      </c>
      <c r="L15289" s="0" t="str">
        <f aca="false">HYPERLINK("https://www.ncbi.nlm.nih.gov/nuccore/CP000304.1?report=graph&amp;tracks=[key:gene_model_track,Options:GeneOnly]&amp;mk=4320980:4320999|offset_28|00cc00,4320944:4320963|offset_64|444444,4320919:4320938|offset_89|444444,4320889:4320908|offset_119|444444&amp;v=4320779:4321108&amp;c=444444", "offset 28")</f>
        <v>offset 28</v>
      </c>
    </row>
    <row r="15290" customFormat="false" ht="12.8" hidden="false" customHeight="false" outlineLevel="0" collapsed="false">
      <c r="A15290" s="0" t="s">
        <v>12</v>
      </c>
      <c r="B15290" s="0" t="n">
        <v>4320943</v>
      </c>
      <c r="C15290" s="0" t="n">
        <v>4320963</v>
      </c>
      <c r="D15290" s="0" t="s">
        <v>50950</v>
      </c>
      <c r="E15290" s="0" t="s">
        <v>89</v>
      </c>
      <c r="F15290" s="0" t="s">
        <v>90</v>
      </c>
      <c r="G15290" s="0" t="s">
        <v>26</v>
      </c>
      <c r="H15290" s="0" t="n">
        <v>64</v>
      </c>
      <c r="I15290" s="0" t="s">
        <v>50954</v>
      </c>
      <c r="J15290" s="0" t="s">
        <v>50955</v>
      </c>
      <c r="K15290" s="0" t="s">
        <v>50956</v>
      </c>
      <c r="L15290" s="0" t="str">
        <f aca="false">HYPERLINK("https://www.ncbi.nlm.nih.gov/nuccore/CP000304.1?report=graph&amp;tracks=[key:gene_model_track,Options:GeneOnly]&amp;mk=4320980:4320999|offset_28|444444,4320944:4320963|offset_64|00cc00,4320919:4320938|offset_89|444444,4320889:4320908|offset_119|444444&amp;v=4320779:4321108&amp;c=444444", "offset 64")</f>
        <v>offset 64</v>
      </c>
    </row>
    <row r="15291" customFormat="false" ht="12.8" hidden="false" customHeight="false" outlineLevel="0" collapsed="false">
      <c r="A15291" s="0" t="s">
        <v>12</v>
      </c>
      <c r="B15291" s="0" t="n">
        <v>4320918</v>
      </c>
      <c r="C15291" s="0" t="n">
        <v>4320938</v>
      </c>
      <c r="D15291" s="0" t="s">
        <v>50950</v>
      </c>
      <c r="E15291" s="0" t="s">
        <v>89</v>
      </c>
      <c r="F15291" s="0" t="s">
        <v>90</v>
      </c>
      <c r="G15291" s="0" t="s">
        <v>32</v>
      </c>
      <c r="H15291" s="0" t="n">
        <v>89</v>
      </c>
      <c r="I15291" s="0" t="s">
        <v>50957</v>
      </c>
      <c r="J15291" s="0" t="s">
        <v>50958</v>
      </c>
      <c r="K15291" s="0" t="s">
        <v>50959</v>
      </c>
      <c r="L15291" s="0" t="str">
        <f aca="false">HYPERLINK("https://www.ncbi.nlm.nih.gov/nuccore/CP000304.1?report=graph&amp;tracks=[key:gene_model_track,Options:GeneOnly]&amp;mk=4320980:4320999|offset_28|444444,4320944:4320963|offset_64|444444,4320919:4320938|offset_89|00cc00,4320889:4320908|offset_119|444444&amp;v=4320779:4321108&amp;c=444444", "offset 89")</f>
        <v>offset 89</v>
      </c>
    </row>
    <row r="15292" customFormat="false" ht="12.8" hidden="false" customHeight="false" outlineLevel="0" collapsed="false">
      <c r="A15292" s="0" t="s">
        <v>12</v>
      </c>
      <c r="B15292" s="0" t="n">
        <v>4320888</v>
      </c>
      <c r="C15292" s="0" t="n">
        <v>4320908</v>
      </c>
      <c r="D15292" s="0" t="s">
        <v>50950</v>
      </c>
      <c r="E15292" s="0" t="s">
        <v>89</v>
      </c>
      <c r="F15292" s="0" t="s">
        <v>90</v>
      </c>
      <c r="G15292" s="0" t="s">
        <v>32</v>
      </c>
      <c r="H15292" s="0" t="n">
        <v>119</v>
      </c>
      <c r="I15292" s="0" t="s">
        <v>50960</v>
      </c>
      <c r="J15292" s="0" t="s">
        <v>50961</v>
      </c>
      <c r="K15292" s="0" t="s">
        <v>50962</v>
      </c>
      <c r="L15292" s="0" t="str">
        <f aca="false">HYPERLINK("https://www.ncbi.nlm.nih.gov/nuccore/CP000304.1?report=graph&amp;tracks=[key:gene_model_track,Options:GeneOnly]&amp;mk=4320980:4320999|offset_28|444444,4320944:4320963|offset_64|444444,4320919:4320938|offset_89|444444,4320889:4320908|offset_119|00cc00&amp;v=4320779:4321108&amp;c=444444", "offset 119")</f>
        <v>offset 119</v>
      </c>
    </row>
    <row r="15293" customFormat="false" ht="12.8" hidden="false" customHeight="false" outlineLevel="0" collapsed="false">
      <c r="A15293" s="0" t="s">
        <v>12</v>
      </c>
      <c r="B15293" s="0" t="n">
        <v>4321095</v>
      </c>
      <c r="C15293" s="0" t="n">
        <v>4321115</v>
      </c>
      <c r="D15293" s="0" t="s">
        <v>50963</v>
      </c>
      <c r="E15293" s="0" t="s">
        <v>50964</v>
      </c>
      <c r="F15293" s="0" t="s">
        <v>15</v>
      </c>
      <c r="G15293" s="0" t="s">
        <v>32</v>
      </c>
      <c r="H15293" s="0" t="n">
        <v>1</v>
      </c>
      <c r="I15293" s="0" t="s">
        <v>50965</v>
      </c>
      <c r="J15293" s="0" t="s">
        <v>50966</v>
      </c>
      <c r="K15293" s="0" t="s">
        <v>50967</v>
      </c>
      <c r="L15293" s="0" t="str">
        <f aca="false">HYPERLINK("https://www.ncbi.nlm.nih.gov/nuccore/CP000304.1?report=graph&amp;tracks=[key:gene_model_track,Options:GeneOnly]&amp;mk=4321096:4321115|offset_1|00cc00,4321121:4321140|offset_26|444444,4321150:4321169|offset_55|444444,4321188:4321207|offset_93|444444&amp;v=4320895:4321407&amp;c=444444", "offset 1")</f>
        <v>offset 1</v>
      </c>
    </row>
    <row r="15294" customFormat="false" ht="12.8" hidden="false" customHeight="false" outlineLevel="0" collapsed="false">
      <c r="A15294" s="0" t="s">
        <v>12</v>
      </c>
      <c r="B15294" s="0" t="n">
        <v>4321120</v>
      </c>
      <c r="C15294" s="0" t="n">
        <v>4321140</v>
      </c>
      <c r="D15294" s="0" t="s">
        <v>50963</v>
      </c>
      <c r="E15294" s="0" t="s">
        <v>50964</v>
      </c>
      <c r="F15294" s="0" t="s">
        <v>15</v>
      </c>
      <c r="G15294" s="0" t="s">
        <v>26</v>
      </c>
      <c r="H15294" s="0" t="n">
        <v>26</v>
      </c>
      <c r="I15294" s="0" t="s">
        <v>50968</v>
      </c>
      <c r="J15294" s="0" t="s">
        <v>50969</v>
      </c>
      <c r="K15294" s="0" t="s">
        <v>50970</v>
      </c>
      <c r="L15294" s="0" t="str">
        <f aca="false">HYPERLINK("https://www.ncbi.nlm.nih.gov/nuccore/CP000304.1?report=graph&amp;tracks=[key:gene_model_track,Options:GeneOnly]&amp;mk=4321096:4321115|offset_1|444444,4321121:4321140|offset_26|00cc00,4321150:4321169|offset_55|444444,4321188:4321207|offset_93|444444&amp;v=4320895:4321407&amp;c=444444", "offset 26")</f>
        <v>offset 26</v>
      </c>
    </row>
    <row r="15295" customFormat="false" ht="12.8" hidden="false" customHeight="false" outlineLevel="0" collapsed="false">
      <c r="A15295" s="0" t="s">
        <v>12</v>
      </c>
      <c r="B15295" s="0" t="n">
        <v>4321149</v>
      </c>
      <c r="C15295" s="0" t="n">
        <v>4321169</v>
      </c>
      <c r="D15295" s="0" t="s">
        <v>50963</v>
      </c>
      <c r="E15295" s="0" t="s">
        <v>50964</v>
      </c>
      <c r="F15295" s="0" t="s">
        <v>15</v>
      </c>
      <c r="G15295" s="0" t="s">
        <v>36</v>
      </c>
      <c r="H15295" s="0" t="n">
        <v>55</v>
      </c>
      <c r="I15295" s="0" t="s">
        <v>50971</v>
      </c>
      <c r="J15295" s="0" t="s">
        <v>50972</v>
      </c>
      <c r="K15295" s="0" t="s">
        <v>50973</v>
      </c>
      <c r="L15295" s="0" t="str">
        <f aca="false">HYPERLINK("https://www.ncbi.nlm.nih.gov/nuccore/CP000304.1?report=graph&amp;tracks=[key:gene_model_track,Options:GeneOnly]&amp;mk=4321096:4321115|offset_1|444444,4321121:4321140|offset_26|444444,4321150:4321169|offset_55|00cc00,4321188:4321207|offset_93|444444&amp;v=4320895:4321407&amp;c=444444", "offset 55")</f>
        <v>offset 55</v>
      </c>
    </row>
    <row r="15296" customFormat="false" ht="12.8" hidden="false" customHeight="false" outlineLevel="0" collapsed="false">
      <c r="A15296" s="0" t="s">
        <v>12</v>
      </c>
      <c r="B15296" s="0" t="n">
        <v>4321187</v>
      </c>
      <c r="C15296" s="0" t="n">
        <v>4321207</v>
      </c>
      <c r="D15296" s="0" t="s">
        <v>50963</v>
      </c>
      <c r="E15296" s="0" t="s">
        <v>50964</v>
      </c>
      <c r="F15296" s="0" t="s">
        <v>15</v>
      </c>
      <c r="G15296" s="0" t="s">
        <v>16</v>
      </c>
      <c r="H15296" s="0" t="n">
        <v>93</v>
      </c>
      <c r="I15296" s="0" t="s">
        <v>50974</v>
      </c>
      <c r="J15296" s="0" t="s">
        <v>50975</v>
      </c>
      <c r="K15296" s="0" t="s">
        <v>50976</v>
      </c>
      <c r="L15296" s="0" t="str">
        <f aca="false">HYPERLINK("https://www.ncbi.nlm.nih.gov/nuccore/CP000304.1?report=graph&amp;tracks=[key:gene_model_track,Options:GeneOnly]&amp;mk=4321096:4321115|offset_1|444444,4321121:4321140|offset_26|444444,4321150:4321169|offset_55|444444,4321188:4321207|offset_93|00cc00&amp;v=4320895:4321407&amp;c=444444", "offset 93")</f>
        <v>offset 93</v>
      </c>
    </row>
    <row r="15297" customFormat="false" ht="12.8" hidden="false" customHeight="false" outlineLevel="0" collapsed="false">
      <c r="A15297" s="0" t="s">
        <v>12</v>
      </c>
      <c r="B15297" s="0" t="n">
        <v>4321957</v>
      </c>
      <c r="C15297" s="0" t="n">
        <v>4321977</v>
      </c>
      <c r="D15297" s="0" t="s">
        <v>50977</v>
      </c>
      <c r="E15297" s="0" t="s">
        <v>89</v>
      </c>
      <c r="F15297" s="0" t="s">
        <v>15</v>
      </c>
      <c r="G15297" s="0" t="s">
        <v>26</v>
      </c>
      <c r="H15297" s="0" t="n">
        <v>10</v>
      </c>
      <c r="I15297" s="0" t="s">
        <v>50978</v>
      </c>
      <c r="J15297" s="0" t="s">
        <v>50979</v>
      </c>
      <c r="K15297" s="0" t="s">
        <v>50980</v>
      </c>
      <c r="L15297" s="0" t="str">
        <f aca="false">HYPERLINK("https://www.ncbi.nlm.nih.gov/nuccore/CP000304.1?report=graph&amp;tracks=[key:gene_model_track,Options:GeneOnly]&amp;mk=4321958:4321977|offset_10|00cc00,4321992:4322011|offset_44|444444,4322024:4322043|offset_76|444444,4322055:4322074|offset_107|444444&amp;v=4321757:4322274&amp;c=444444", "offset 10")</f>
        <v>offset 10</v>
      </c>
    </row>
    <row r="15298" customFormat="false" ht="12.8" hidden="false" customHeight="false" outlineLevel="0" collapsed="false">
      <c r="A15298" s="0" t="s">
        <v>12</v>
      </c>
      <c r="B15298" s="0" t="n">
        <v>4321991</v>
      </c>
      <c r="C15298" s="0" t="n">
        <v>4322011</v>
      </c>
      <c r="D15298" s="0" t="s">
        <v>50977</v>
      </c>
      <c r="E15298" s="0" t="s">
        <v>89</v>
      </c>
      <c r="F15298" s="0" t="s">
        <v>15</v>
      </c>
      <c r="G15298" s="0" t="s">
        <v>26</v>
      </c>
      <c r="H15298" s="0" t="n">
        <v>44</v>
      </c>
      <c r="I15298" s="0" t="s">
        <v>50981</v>
      </c>
      <c r="J15298" s="0" t="s">
        <v>50982</v>
      </c>
      <c r="K15298" s="0" t="s">
        <v>50983</v>
      </c>
      <c r="L15298" s="0" t="str">
        <f aca="false">HYPERLINK("https://www.ncbi.nlm.nih.gov/nuccore/CP000304.1?report=graph&amp;tracks=[key:gene_model_track,Options:GeneOnly]&amp;mk=4321958:4321977|offset_10|444444,4321992:4322011|offset_44|00cc00,4322024:4322043|offset_76|444444,4322055:4322074|offset_107|444444&amp;v=4321757:4322274&amp;c=444444", "offset 44")</f>
        <v>offset 44</v>
      </c>
    </row>
    <row r="15299" customFormat="false" ht="12.8" hidden="false" customHeight="false" outlineLevel="0" collapsed="false">
      <c r="A15299" s="0" t="s">
        <v>12</v>
      </c>
      <c r="B15299" s="0" t="n">
        <v>4322023</v>
      </c>
      <c r="C15299" s="0" t="n">
        <v>4322043</v>
      </c>
      <c r="D15299" s="0" t="s">
        <v>50977</v>
      </c>
      <c r="E15299" s="0" t="s">
        <v>89</v>
      </c>
      <c r="F15299" s="0" t="s">
        <v>15</v>
      </c>
      <c r="G15299" s="0" t="s">
        <v>36</v>
      </c>
      <c r="H15299" s="0" t="n">
        <v>76</v>
      </c>
      <c r="I15299" s="0" t="s">
        <v>50984</v>
      </c>
      <c r="J15299" s="0" t="s">
        <v>50985</v>
      </c>
      <c r="K15299" s="0" t="s">
        <v>50986</v>
      </c>
      <c r="L15299" s="0" t="str">
        <f aca="false">HYPERLINK("https://www.ncbi.nlm.nih.gov/nuccore/CP000304.1?report=graph&amp;tracks=[key:gene_model_track,Options:GeneOnly]&amp;mk=4321958:4321977|offset_10|444444,4321992:4322011|offset_44|444444,4322024:4322043|offset_76|00cc00,4322055:4322074|offset_107|444444&amp;v=4321757:4322274&amp;c=444444", "offset 76")</f>
        <v>offset 76</v>
      </c>
    </row>
    <row r="15300" customFormat="false" ht="12.8" hidden="false" customHeight="false" outlineLevel="0" collapsed="false">
      <c r="A15300" s="0" t="s">
        <v>12</v>
      </c>
      <c r="B15300" s="0" t="n">
        <v>4322054</v>
      </c>
      <c r="C15300" s="0" t="n">
        <v>4322074</v>
      </c>
      <c r="D15300" s="0" t="s">
        <v>50977</v>
      </c>
      <c r="E15300" s="0" t="s">
        <v>89</v>
      </c>
      <c r="F15300" s="0" t="s">
        <v>15</v>
      </c>
      <c r="G15300" s="0" t="s">
        <v>32</v>
      </c>
      <c r="H15300" s="0" t="n">
        <v>107</v>
      </c>
      <c r="I15300" s="0" t="s">
        <v>50987</v>
      </c>
      <c r="J15300" s="0" t="s">
        <v>50988</v>
      </c>
      <c r="K15300" s="0" t="s">
        <v>50989</v>
      </c>
      <c r="L15300" s="0" t="str">
        <f aca="false">HYPERLINK("https://www.ncbi.nlm.nih.gov/nuccore/CP000304.1?report=graph&amp;tracks=[key:gene_model_track,Options:GeneOnly]&amp;mk=4321958:4321977|offset_10|444444,4321992:4322011|offset_44|444444,4322024:4322043|offset_76|444444,4322055:4322074|offset_107|00cc00&amp;v=4321757:4322274&amp;c=444444", "offset 107")</f>
        <v>offset 107</v>
      </c>
    </row>
    <row r="15301" customFormat="false" ht="12.8" hidden="false" customHeight="false" outlineLevel="0" collapsed="false">
      <c r="A15301" s="0" t="s">
        <v>12</v>
      </c>
      <c r="B15301" s="0" t="n">
        <v>4324246</v>
      </c>
      <c r="C15301" s="0" t="n">
        <v>4324266</v>
      </c>
      <c r="D15301" s="0" t="s">
        <v>50990</v>
      </c>
      <c r="E15301" s="0" t="s">
        <v>89</v>
      </c>
      <c r="F15301" s="0" t="s">
        <v>15</v>
      </c>
      <c r="G15301" s="0" t="s">
        <v>16</v>
      </c>
      <c r="H15301" s="0" t="n">
        <v>22</v>
      </c>
      <c r="I15301" s="0" t="s">
        <v>50991</v>
      </c>
      <c r="J15301" s="0" t="s">
        <v>50992</v>
      </c>
      <c r="K15301" s="0" t="s">
        <v>50993</v>
      </c>
      <c r="L15301" s="0" t="str">
        <f aca="false">HYPERLINK("https://www.ncbi.nlm.nih.gov/nuccore/CP000304.1?report=graph&amp;tracks=[key:gene_model_track,Options:GeneOnly]&amp;mk=4324247:4324266|offset_22|00cc00,4324275:4324294|offset_50|444444,4324305:4324324|offset_80|444444,4324332:4324351|offset_107|444444&amp;v=4324046:4324551&amp;c=444444", "offset 22")</f>
        <v>offset 22</v>
      </c>
    </row>
    <row r="15302" customFormat="false" ht="12.8" hidden="false" customHeight="false" outlineLevel="0" collapsed="false">
      <c r="A15302" s="0" t="s">
        <v>12</v>
      </c>
      <c r="B15302" s="0" t="n">
        <v>4324274</v>
      </c>
      <c r="C15302" s="0" t="n">
        <v>4324294</v>
      </c>
      <c r="D15302" s="0" t="s">
        <v>50990</v>
      </c>
      <c r="E15302" s="0" t="s">
        <v>89</v>
      </c>
      <c r="F15302" s="0" t="s">
        <v>15</v>
      </c>
      <c r="G15302" s="0" t="s">
        <v>32</v>
      </c>
      <c r="H15302" s="0" t="n">
        <v>50</v>
      </c>
      <c r="I15302" s="0" t="s">
        <v>50994</v>
      </c>
      <c r="J15302" s="0" t="s">
        <v>50995</v>
      </c>
      <c r="K15302" s="0" t="s">
        <v>50996</v>
      </c>
      <c r="L15302" s="0" t="str">
        <f aca="false">HYPERLINK("https://www.ncbi.nlm.nih.gov/nuccore/CP000304.1?report=graph&amp;tracks=[key:gene_model_track,Options:GeneOnly]&amp;mk=4324247:4324266|offset_22|444444,4324275:4324294|offset_50|00cc00,4324305:4324324|offset_80|444444,4324332:4324351|offset_107|444444&amp;v=4324046:4324551&amp;c=444444", "offset 50")</f>
        <v>offset 50</v>
      </c>
    </row>
    <row r="15303" customFormat="false" ht="12.8" hidden="false" customHeight="false" outlineLevel="0" collapsed="false">
      <c r="A15303" s="0" t="s">
        <v>12</v>
      </c>
      <c r="B15303" s="0" t="n">
        <v>4324304</v>
      </c>
      <c r="C15303" s="0" t="n">
        <v>4324324</v>
      </c>
      <c r="D15303" s="0" t="s">
        <v>50990</v>
      </c>
      <c r="E15303" s="0" t="s">
        <v>89</v>
      </c>
      <c r="F15303" s="0" t="s">
        <v>15</v>
      </c>
      <c r="G15303" s="0" t="s">
        <v>26</v>
      </c>
      <c r="H15303" s="0" t="n">
        <v>80</v>
      </c>
      <c r="I15303" s="0" t="s">
        <v>50997</v>
      </c>
      <c r="J15303" s="0" t="s">
        <v>50998</v>
      </c>
      <c r="K15303" s="0" t="s">
        <v>50999</v>
      </c>
      <c r="L15303" s="0" t="str">
        <f aca="false">HYPERLINK("https://www.ncbi.nlm.nih.gov/nuccore/CP000304.1?report=graph&amp;tracks=[key:gene_model_track,Options:GeneOnly]&amp;mk=4324247:4324266|offset_22|444444,4324275:4324294|offset_50|444444,4324305:4324324|offset_80|00cc00,4324332:4324351|offset_107|444444&amp;v=4324046:4324551&amp;c=444444", "offset 80")</f>
        <v>offset 80</v>
      </c>
    </row>
    <row r="15304" customFormat="false" ht="12.8" hidden="false" customHeight="false" outlineLevel="0" collapsed="false">
      <c r="A15304" s="0" t="s">
        <v>12</v>
      </c>
      <c r="B15304" s="0" t="n">
        <v>4324331</v>
      </c>
      <c r="C15304" s="0" t="n">
        <v>4324351</v>
      </c>
      <c r="D15304" s="0" t="s">
        <v>50990</v>
      </c>
      <c r="E15304" s="0" t="s">
        <v>89</v>
      </c>
      <c r="F15304" s="0" t="s">
        <v>15</v>
      </c>
      <c r="G15304" s="0" t="s">
        <v>16</v>
      </c>
      <c r="H15304" s="0" t="n">
        <v>107</v>
      </c>
      <c r="I15304" s="0" t="s">
        <v>51000</v>
      </c>
      <c r="J15304" s="0" t="s">
        <v>51001</v>
      </c>
      <c r="K15304" s="0" t="s">
        <v>51002</v>
      </c>
      <c r="L15304" s="0" t="str">
        <f aca="false">HYPERLINK("https://www.ncbi.nlm.nih.gov/nuccore/CP000304.1?report=graph&amp;tracks=[key:gene_model_track,Options:GeneOnly]&amp;mk=4324247:4324266|offset_22|444444,4324275:4324294|offset_50|444444,4324305:4324324|offset_80|444444,4324332:4324351|offset_107|00cc00&amp;v=4324046:4324551&amp;c=444444", "offset 107")</f>
        <v>offset 107</v>
      </c>
    </row>
    <row r="15305" customFormat="false" ht="12.8" hidden="false" customHeight="false" outlineLevel="0" collapsed="false">
      <c r="A15305" s="0" t="s">
        <v>12</v>
      </c>
      <c r="B15305" s="0" t="n">
        <v>4327508</v>
      </c>
      <c r="C15305" s="0" t="n">
        <v>4327528</v>
      </c>
      <c r="D15305" s="0" t="s">
        <v>51003</v>
      </c>
      <c r="E15305" s="0" t="s">
        <v>51004</v>
      </c>
      <c r="F15305" s="0" t="s">
        <v>90</v>
      </c>
      <c r="G15305" s="0" t="s">
        <v>26</v>
      </c>
      <c r="H15305" s="0" t="n">
        <v>21</v>
      </c>
      <c r="I15305" s="0" t="s">
        <v>51005</v>
      </c>
      <c r="J15305" s="0" t="s">
        <v>51006</v>
      </c>
      <c r="K15305" s="0" t="s">
        <v>51007</v>
      </c>
      <c r="L15305" s="0" t="str">
        <f aca="false">HYPERLINK("https://www.ncbi.nlm.nih.gov/nuccore/CP000304.1?report=graph&amp;tracks=[key:gene_model_track,Options:GeneOnly]&amp;mk=4327509:4327528|offset_21|00cc00,4327472:4327491|offset_58|444444,4327412:4327431|offset_118|444444,4327354:4327373|offset_176|444444&amp;v=4327308:4327573&amp;c=444444", "offset 21")</f>
        <v>offset 21</v>
      </c>
    </row>
    <row r="15306" customFormat="false" ht="12.8" hidden="false" customHeight="false" outlineLevel="0" collapsed="false">
      <c r="A15306" s="0" t="s">
        <v>12</v>
      </c>
      <c r="B15306" s="0" t="n">
        <v>4327471</v>
      </c>
      <c r="C15306" s="0" t="n">
        <v>4327491</v>
      </c>
      <c r="D15306" s="0" t="s">
        <v>51003</v>
      </c>
      <c r="E15306" s="0" t="s">
        <v>51004</v>
      </c>
      <c r="F15306" s="0" t="s">
        <v>90</v>
      </c>
      <c r="G15306" s="0" t="s">
        <v>26</v>
      </c>
      <c r="H15306" s="0" t="n">
        <v>58</v>
      </c>
      <c r="I15306" s="0" t="s">
        <v>51008</v>
      </c>
      <c r="J15306" s="0" t="s">
        <v>51009</v>
      </c>
      <c r="K15306" s="0" t="s">
        <v>51010</v>
      </c>
      <c r="L15306" s="0" t="str">
        <f aca="false">HYPERLINK("https://www.ncbi.nlm.nih.gov/nuccore/CP000304.1?report=graph&amp;tracks=[key:gene_model_track,Options:GeneOnly]&amp;mk=4327509:4327528|offset_21|444444,4327472:4327491|offset_58|00cc00,4327412:4327431|offset_118|444444,4327354:4327373|offset_176|444444&amp;v=4327308:4327573&amp;c=444444", "offset 58")</f>
        <v>offset 58</v>
      </c>
    </row>
    <row r="15307" customFormat="false" ht="12.8" hidden="false" customHeight="false" outlineLevel="0" collapsed="false">
      <c r="A15307" s="0" t="s">
        <v>12</v>
      </c>
      <c r="B15307" s="0" t="n">
        <v>4327411</v>
      </c>
      <c r="C15307" s="0" t="n">
        <v>4327431</v>
      </c>
      <c r="D15307" s="0" t="s">
        <v>51003</v>
      </c>
      <c r="E15307" s="0" t="s">
        <v>51004</v>
      </c>
      <c r="F15307" s="0" t="s">
        <v>90</v>
      </c>
      <c r="G15307" s="0" t="s">
        <v>16</v>
      </c>
      <c r="H15307" s="0" t="n">
        <v>118</v>
      </c>
      <c r="I15307" s="0" t="s">
        <v>51011</v>
      </c>
      <c r="J15307" s="0" t="s">
        <v>51012</v>
      </c>
      <c r="K15307" s="0" t="s">
        <v>51013</v>
      </c>
      <c r="L15307" s="0" t="str">
        <f aca="false">HYPERLINK("https://www.ncbi.nlm.nih.gov/nuccore/CP000304.1?report=graph&amp;tracks=[key:gene_model_track,Options:GeneOnly]&amp;mk=4327509:4327528|offset_21|444444,4327472:4327491|offset_58|444444,4327412:4327431|offset_118|00cc00,4327354:4327373|offset_176|444444&amp;v=4327308:4327573&amp;c=444444", "offset 118")</f>
        <v>offset 118</v>
      </c>
    </row>
    <row r="15308" customFormat="false" ht="12.8" hidden="false" customHeight="false" outlineLevel="0" collapsed="false">
      <c r="A15308" s="0" t="s">
        <v>12</v>
      </c>
      <c r="B15308" s="0" t="n">
        <v>4327353</v>
      </c>
      <c r="C15308" s="0" t="n">
        <v>4327373</v>
      </c>
      <c r="D15308" s="0" t="s">
        <v>51003</v>
      </c>
      <c r="E15308" s="0" t="s">
        <v>51004</v>
      </c>
      <c r="F15308" s="0" t="s">
        <v>90</v>
      </c>
      <c r="G15308" s="0" t="s">
        <v>26</v>
      </c>
      <c r="H15308" s="0" t="n">
        <v>176</v>
      </c>
      <c r="I15308" s="0" t="s">
        <v>51014</v>
      </c>
      <c r="J15308" s="0" t="s">
        <v>51015</v>
      </c>
      <c r="K15308" s="0" t="s">
        <v>51016</v>
      </c>
      <c r="L15308" s="0" t="str">
        <f aca="false">HYPERLINK("https://www.ncbi.nlm.nih.gov/nuccore/CP000304.1?report=graph&amp;tracks=[key:gene_model_track,Options:GeneOnly]&amp;mk=4327509:4327528|offset_21|444444,4327472:4327491|offset_58|444444,4327412:4327431|offset_118|444444,4327354:4327373|offset_176|00cc00&amp;v=4327308:4327573&amp;c=444444", "offset 176")</f>
        <v>offset 176</v>
      </c>
    </row>
    <row r="15309" customFormat="false" ht="12.8" hidden="false" customHeight="false" outlineLevel="0" collapsed="false">
      <c r="A15309" s="0" t="s">
        <v>12</v>
      </c>
      <c r="B15309" s="0" t="n">
        <v>4328639</v>
      </c>
      <c r="C15309" s="0" t="n">
        <v>4328659</v>
      </c>
      <c r="D15309" s="0" t="s">
        <v>51017</v>
      </c>
      <c r="E15309" s="0" t="s">
        <v>51018</v>
      </c>
      <c r="F15309" s="0" t="s">
        <v>90</v>
      </c>
      <c r="G15309" s="0" t="s">
        <v>32</v>
      </c>
      <c r="H15309" s="0" t="n">
        <v>22</v>
      </c>
      <c r="I15309" s="0" t="s">
        <v>51019</v>
      </c>
      <c r="J15309" s="0" t="s">
        <v>51020</v>
      </c>
      <c r="K15309" s="0" t="s">
        <v>51021</v>
      </c>
      <c r="L15309" s="0" t="str">
        <f aca="false">HYPERLINK("https://www.ncbi.nlm.nih.gov/nuccore/CP000304.1?report=graph&amp;tracks=[key:gene_model_track,Options:GeneOnly]&amp;mk=4328640:4328659|offset_22|00cc00,4328619:4328638|offset_43|444444,4328590:4328609|offset_72|444444,4328566:4328585|offset_96|444444&amp;v=4328439:4328785&amp;c=444444", "offset 22")</f>
        <v>offset 22</v>
      </c>
    </row>
    <row r="15310" customFormat="false" ht="12.8" hidden="false" customHeight="false" outlineLevel="0" collapsed="false">
      <c r="A15310" s="0" t="s">
        <v>12</v>
      </c>
      <c r="B15310" s="0" t="n">
        <v>4328618</v>
      </c>
      <c r="C15310" s="0" t="n">
        <v>4328638</v>
      </c>
      <c r="D15310" s="0" t="s">
        <v>51017</v>
      </c>
      <c r="E15310" s="0" t="s">
        <v>51018</v>
      </c>
      <c r="F15310" s="0" t="s">
        <v>90</v>
      </c>
      <c r="G15310" s="0" t="s">
        <v>16</v>
      </c>
      <c r="H15310" s="0" t="n">
        <v>43</v>
      </c>
      <c r="I15310" s="0" t="s">
        <v>51022</v>
      </c>
      <c r="J15310" s="0" t="s">
        <v>51023</v>
      </c>
      <c r="K15310" s="0" t="s">
        <v>51024</v>
      </c>
      <c r="L15310" s="0" t="str">
        <f aca="false">HYPERLINK("https://www.ncbi.nlm.nih.gov/nuccore/CP000304.1?report=graph&amp;tracks=[key:gene_model_track,Options:GeneOnly]&amp;mk=4328640:4328659|offset_22|444444,4328619:4328638|offset_43|00cc00,4328590:4328609|offset_72|444444,4328566:4328585|offset_96|444444&amp;v=4328439:4328785&amp;c=444444", "offset 43")</f>
        <v>offset 43</v>
      </c>
    </row>
    <row r="15311" customFormat="false" ht="12.8" hidden="false" customHeight="false" outlineLevel="0" collapsed="false">
      <c r="A15311" s="0" t="s">
        <v>12</v>
      </c>
      <c r="B15311" s="0" t="n">
        <v>4328589</v>
      </c>
      <c r="C15311" s="0" t="n">
        <v>4328609</v>
      </c>
      <c r="D15311" s="0" t="s">
        <v>51017</v>
      </c>
      <c r="E15311" s="0" t="s">
        <v>51018</v>
      </c>
      <c r="F15311" s="0" t="s">
        <v>90</v>
      </c>
      <c r="G15311" s="0" t="s">
        <v>16</v>
      </c>
      <c r="H15311" s="0" t="n">
        <v>72</v>
      </c>
      <c r="I15311" s="0" t="s">
        <v>51025</v>
      </c>
      <c r="J15311" s="0" t="s">
        <v>51026</v>
      </c>
      <c r="K15311" s="0" t="s">
        <v>51027</v>
      </c>
      <c r="L15311" s="0" t="str">
        <f aca="false">HYPERLINK("https://www.ncbi.nlm.nih.gov/nuccore/CP000304.1?report=graph&amp;tracks=[key:gene_model_track,Options:GeneOnly]&amp;mk=4328640:4328659|offset_22|444444,4328619:4328638|offset_43|444444,4328590:4328609|offset_72|00cc00,4328566:4328585|offset_96|444444&amp;v=4328439:4328785&amp;c=444444", "offset 72")</f>
        <v>offset 72</v>
      </c>
    </row>
    <row r="15312" customFormat="false" ht="12.8" hidden="false" customHeight="false" outlineLevel="0" collapsed="false">
      <c r="A15312" s="0" t="s">
        <v>12</v>
      </c>
      <c r="B15312" s="0" t="n">
        <v>4328565</v>
      </c>
      <c r="C15312" s="0" t="n">
        <v>4328585</v>
      </c>
      <c r="D15312" s="0" t="s">
        <v>51017</v>
      </c>
      <c r="E15312" s="0" t="s">
        <v>51018</v>
      </c>
      <c r="F15312" s="0" t="s">
        <v>90</v>
      </c>
      <c r="G15312" s="0" t="s">
        <v>36</v>
      </c>
      <c r="H15312" s="0" t="n">
        <v>96</v>
      </c>
      <c r="I15312" s="0" t="s">
        <v>51028</v>
      </c>
      <c r="J15312" s="0" t="s">
        <v>51029</v>
      </c>
      <c r="K15312" s="0" t="s">
        <v>51030</v>
      </c>
      <c r="L15312" s="0" t="str">
        <f aca="false">HYPERLINK("https://www.ncbi.nlm.nih.gov/nuccore/CP000304.1?report=graph&amp;tracks=[key:gene_model_track,Options:GeneOnly]&amp;mk=4328640:4328659|offset_22|444444,4328619:4328638|offset_43|444444,4328590:4328609|offset_72|444444,4328566:4328585|offset_96|00cc00&amp;v=4328439:4328785&amp;c=444444", "offset 96")</f>
        <v>offset 96</v>
      </c>
    </row>
    <row r="15313" customFormat="false" ht="12.8" hidden="false" customHeight="false" outlineLevel="0" collapsed="false">
      <c r="A15313" s="0" t="s">
        <v>12</v>
      </c>
      <c r="B15313" s="0" t="n">
        <v>4329321</v>
      </c>
      <c r="C15313" s="0" t="n">
        <v>4329341</v>
      </c>
      <c r="D15313" s="0" t="s">
        <v>51031</v>
      </c>
      <c r="E15313" s="0" t="s">
        <v>51032</v>
      </c>
      <c r="F15313" s="0" t="s">
        <v>90</v>
      </c>
      <c r="G15313" s="0" t="s">
        <v>16</v>
      </c>
      <c r="H15313" s="0" t="n">
        <v>8</v>
      </c>
      <c r="I15313" s="0" t="s">
        <v>51033</v>
      </c>
      <c r="J15313" s="0" t="s">
        <v>51034</v>
      </c>
      <c r="K15313" s="0" t="s">
        <v>51035</v>
      </c>
      <c r="L15313" s="0" t="str">
        <f aca="false">HYPERLINK("https://www.ncbi.nlm.nih.gov/nuccore/CP000304.1?report=graph&amp;tracks=[key:gene_model_track,Options:GeneOnly]&amp;mk=4329322:4329341|offset_8|00cc00,4329295:4329314|offset_35|444444,4329263:4329282|offset_67|444444,4329238:4329257|offset_92|444444&amp;v=4329121:4329457&amp;c=444444", "offset 8")</f>
        <v>offset 8</v>
      </c>
    </row>
    <row r="15314" customFormat="false" ht="12.8" hidden="false" customHeight="false" outlineLevel="0" collapsed="false">
      <c r="A15314" s="0" t="s">
        <v>12</v>
      </c>
      <c r="B15314" s="0" t="n">
        <v>4329294</v>
      </c>
      <c r="C15314" s="0" t="n">
        <v>4329314</v>
      </c>
      <c r="D15314" s="0" t="s">
        <v>51031</v>
      </c>
      <c r="E15314" s="0" t="s">
        <v>51032</v>
      </c>
      <c r="F15314" s="0" t="s">
        <v>90</v>
      </c>
      <c r="G15314" s="0" t="s">
        <v>36</v>
      </c>
      <c r="H15314" s="0" t="n">
        <v>35</v>
      </c>
      <c r="I15314" s="0" t="s">
        <v>51036</v>
      </c>
      <c r="J15314" s="0" t="s">
        <v>51037</v>
      </c>
      <c r="K15314" s="0" t="s">
        <v>51038</v>
      </c>
      <c r="L15314" s="0" t="str">
        <f aca="false">HYPERLINK("https://www.ncbi.nlm.nih.gov/nuccore/CP000304.1?report=graph&amp;tracks=[key:gene_model_track,Options:GeneOnly]&amp;mk=4329322:4329341|offset_8|444444,4329295:4329314|offset_35|00cc00,4329263:4329282|offset_67|444444,4329238:4329257|offset_92|444444&amp;v=4329121:4329457&amp;c=444444", "offset 35")</f>
        <v>offset 35</v>
      </c>
    </row>
    <row r="15315" customFormat="false" ht="12.8" hidden="false" customHeight="false" outlineLevel="0" collapsed="false">
      <c r="A15315" s="0" t="s">
        <v>12</v>
      </c>
      <c r="B15315" s="0" t="n">
        <v>4329262</v>
      </c>
      <c r="C15315" s="0" t="n">
        <v>4329282</v>
      </c>
      <c r="D15315" s="0" t="s">
        <v>51031</v>
      </c>
      <c r="E15315" s="0" t="s">
        <v>51032</v>
      </c>
      <c r="F15315" s="0" t="s">
        <v>90</v>
      </c>
      <c r="G15315" s="0" t="s">
        <v>26</v>
      </c>
      <c r="H15315" s="0" t="n">
        <v>67</v>
      </c>
      <c r="I15315" s="0" t="s">
        <v>51039</v>
      </c>
      <c r="J15315" s="0" t="s">
        <v>51040</v>
      </c>
      <c r="K15315" s="0" t="s">
        <v>51041</v>
      </c>
      <c r="L15315" s="0" t="str">
        <f aca="false">HYPERLINK("https://www.ncbi.nlm.nih.gov/nuccore/CP000304.1?report=graph&amp;tracks=[key:gene_model_track,Options:GeneOnly]&amp;mk=4329322:4329341|offset_8|444444,4329295:4329314|offset_35|444444,4329263:4329282|offset_67|00cc00,4329238:4329257|offset_92|444444&amp;v=4329121:4329457&amp;c=444444", "offset 67")</f>
        <v>offset 67</v>
      </c>
    </row>
    <row r="15316" customFormat="false" ht="12.8" hidden="false" customHeight="false" outlineLevel="0" collapsed="false">
      <c r="A15316" s="0" t="s">
        <v>12</v>
      </c>
      <c r="B15316" s="0" t="n">
        <v>4329237</v>
      </c>
      <c r="C15316" s="0" t="n">
        <v>4329257</v>
      </c>
      <c r="D15316" s="0" t="s">
        <v>51031</v>
      </c>
      <c r="E15316" s="0" t="s">
        <v>51032</v>
      </c>
      <c r="F15316" s="0" t="s">
        <v>90</v>
      </c>
      <c r="G15316" s="0" t="s">
        <v>26</v>
      </c>
      <c r="H15316" s="0" t="n">
        <v>92</v>
      </c>
      <c r="I15316" s="0" t="s">
        <v>51042</v>
      </c>
      <c r="J15316" s="0" t="s">
        <v>51043</v>
      </c>
      <c r="K15316" s="0" t="s">
        <v>51044</v>
      </c>
      <c r="L15316" s="0" t="str">
        <f aca="false">HYPERLINK("https://www.ncbi.nlm.nih.gov/nuccore/CP000304.1?report=graph&amp;tracks=[key:gene_model_track,Options:GeneOnly]&amp;mk=4329322:4329341|offset_8|444444,4329295:4329314|offset_35|444444,4329263:4329282|offset_67|444444,4329238:4329257|offset_92|00cc00&amp;v=4329121:4329457&amp;c=444444", "offset 92")</f>
        <v>offset 92</v>
      </c>
    </row>
    <row r="15317" customFormat="false" ht="12.8" hidden="false" customHeight="false" outlineLevel="0" collapsed="false">
      <c r="A15317" s="0" t="s">
        <v>12</v>
      </c>
      <c r="B15317" s="0" t="n">
        <v>4330752</v>
      </c>
      <c r="C15317" s="0" t="n">
        <v>4330772</v>
      </c>
      <c r="D15317" s="0" t="s">
        <v>51045</v>
      </c>
      <c r="E15317" s="0" t="s">
        <v>51046</v>
      </c>
      <c r="F15317" s="0" t="s">
        <v>90</v>
      </c>
      <c r="G15317" s="0" t="s">
        <v>16</v>
      </c>
      <c r="H15317" s="0" t="n">
        <v>7</v>
      </c>
      <c r="I15317" s="0" t="s">
        <v>51047</v>
      </c>
      <c r="J15317" s="0" t="s">
        <v>51048</v>
      </c>
      <c r="K15317" s="0" t="s">
        <v>51049</v>
      </c>
      <c r="L15317" s="0" t="str">
        <f aca="false">HYPERLINK("https://www.ncbi.nlm.nih.gov/nuccore/CP000304.1?report=graph&amp;tracks=[key:gene_model_track,Options:GeneOnly]&amp;mk=4330753:4330772|offset_7|00cc00,4330733:4330752|offset_27|444444,4330699:4330718|offset_61|444444,4330658:4330677|offset_102|444444&amp;v=4330552:4330877&amp;c=444444", "offset 7")</f>
        <v>offset 7</v>
      </c>
    </row>
    <row r="15318" customFormat="false" ht="12.8" hidden="false" customHeight="false" outlineLevel="0" collapsed="false">
      <c r="A15318" s="0" t="s">
        <v>12</v>
      </c>
      <c r="B15318" s="0" t="n">
        <v>4330732</v>
      </c>
      <c r="C15318" s="0" t="n">
        <v>4330752</v>
      </c>
      <c r="D15318" s="0" t="s">
        <v>51045</v>
      </c>
      <c r="E15318" s="0" t="s">
        <v>51046</v>
      </c>
      <c r="F15318" s="0" t="s">
        <v>90</v>
      </c>
      <c r="G15318" s="0" t="s">
        <v>16</v>
      </c>
      <c r="H15318" s="0" t="n">
        <v>27</v>
      </c>
      <c r="I15318" s="0" t="s">
        <v>51050</v>
      </c>
      <c r="J15318" s="0" t="s">
        <v>51051</v>
      </c>
      <c r="K15318" s="0" t="s">
        <v>51052</v>
      </c>
      <c r="L15318" s="0" t="str">
        <f aca="false">HYPERLINK("https://www.ncbi.nlm.nih.gov/nuccore/CP000304.1?report=graph&amp;tracks=[key:gene_model_track,Options:GeneOnly]&amp;mk=4330753:4330772|offset_7|444444,4330733:4330752|offset_27|00cc00,4330699:4330718|offset_61|444444,4330658:4330677|offset_102|444444&amp;v=4330552:4330877&amp;c=444444", "offset 27")</f>
        <v>offset 27</v>
      </c>
    </row>
    <row r="15319" customFormat="false" ht="12.8" hidden="false" customHeight="false" outlineLevel="0" collapsed="false">
      <c r="A15319" s="0" t="s">
        <v>12</v>
      </c>
      <c r="B15319" s="0" t="n">
        <v>4330698</v>
      </c>
      <c r="C15319" s="0" t="n">
        <v>4330718</v>
      </c>
      <c r="D15319" s="0" t="s">
        <v>51045</v>
      </c>
      <c r="E15319" s="0" t="s">
        <v>51046</v>
      </c>
      <c r="F15319" s="0" t="s">
        <v>90</v>
      </c>
      <c r="G15319" s="0" t="s">
        <v>16</v>
      </c>
      <c r="H15319" s="0" t="n">
        <v>61</v>
      </c>
      <c r="I15319" s="0" t="s">
        <v>51053</v>
      </c>
      <c r="J15319" s="0" t="s">
        <v>51054</v>
      </c>
      <c r="K15319" s="0" t="s">
        <v>51055</v>
      </c>
      <c r="L15319" s="0" t="str">
        <f aca="false">HYPERLINK("https://www.ncbi.nlm.nih.gov/nuccore/CP000304.1?report=graph&amp;tracks=[key:gene_model_track,Options:GeneOnly]&amp;mk=4330753:4330772|offset_7|444444,4330733:4330752|offset_27|444444,4330699:4330718|offset_61|00cc00,4330658:4330677|offset_102|444444&amp;v=4330552:4330877&amp;c=444444", "offset 61")</f>
        <v>offset 61</v>
      </c>
    </row>
    <row r="15320" customFormat="false" ht="12.8" hidden="false" customHeight="false" outlineLevel="0" collapsed="false">
      <c r="A15320" s="0" t="s">
        <v>12</v>
      </c>
      <c r="B15320" s="0" t="n">
        <v>4330657</v>
      </c>
      <c r="C15320" s="0" t="n">
        <v>4330677</v>
      </c>
      <c r="D15320" s="0" t="s">
        <v>51045</v>
      </c>
      <c r="E15320" s="0" t="s">
        <v>51046</v>
      </c>
      <c r="F15320" s="0" t="s">
        <v>90</v>
      </c>
      <c r="G15320" s="0" t="s">
        <v>36</v>
      </c>
      <c r="H15320" s="0" t="n">
        <v>102</v>
      </c>
      <c r="I15320" s="0" t="s">
        <v>51056</v>
      </c>
      <c r="J15320" s="0" t="s">
        <v>51057</v>
      </c>
      <c r="K15320" s="0" t="s">
        <v>51058</v>
      </c>
      <c r="L15320" s="0" t="str">
        <f aca="false">HYPERLINK("https://www.ncbi.nlm.nih.gov/nuccore/CP000304.1?report=graph&amp;tracks=[key:gene_model_track,Options:GeneOnly]&amp;mk=4330753:4330772|offset_7|444444,4330733:4330752|offset_27|444444,4330699:4330718|offset_61|444444,4330658:4330677|offset_102|00cc00&amp;v=4330552:4330877&amp;c=444444", "offset 102")</f>
        <v>offset 102</v>
      </c>
    </row>
    <row r="15321" customFormat="false" ht="12.8" hidden="false" customHeight="false" outlineLevel="0" collapsed="false">
      <c r="A15321" s="0" t="s">
        <v>12</v>
      </c>
      <c r="B15321" s="0" t="n">
        <v>4330853</v>
      </c>
      <c r="C15321" s="0" t="n">
        <v>4330873</v>
      </c>
      <c r="D15321" s="0" t="s">
        <v>51059</v>
      </c>
      <c r="E15321" s="0" t="s">
        <v>89</v>
      </c>
      <c r="F15321" s="0" t="s">
        <v>15</v>
      </c>
      <c r="G15321" s="0" t="s">
        <v>26</v>
      </c>
      <c r="H15321" s="0" t="n">
        <v>6</v>
      </c>
      <c r="I15321" s="0" t="s">
        <v>51060</v>
      </c>
      <c r="J15321" s="0" t="s">
        <v>51061</v>
      </c>
      <c r="K15321" s="0" t="s">
        <v>51062</v>
      </c>
      <c r="L15321" s="0" t="str">
        <f aca="false">HYPERLINK("https://www.ncbi.nlm.nih.gov/nuccore/CP000304.1?report=graph&amp;tracks=[key:gene_model_track,Options:GeneOnly]&amp;mk=4330854:4330873|offset_6|00cc00,4330879:4330898|offset_31|444444,4330905:4330924|offset_57|444444,4330928:4330947|offset_80|444444&amp;v=4330653:4331147&amp;c=444444", "offset 6")</f>
        <v>offset 6</v>
      </c>
    </row>
    <row r="15322" customFormat="false" ht="12.8" hidden="false" customHeight="false" outlineLevel="0" collapsed="false">
      <c r="A15322" s="0" t="s">
        <v>12</v>
      </c>
      <c r="B15322" s="0" t="n">
        <v>4330878</v>
      </c>
      <c r="C15322" s="0" t="n">
        <v>4330898</v>
      </c>
      <c r="D15322" s="0" t="s">
        <v>51059</v>
      </c>
      <c r="E15322" s="0" t="s">
        <v>89</v>
      </c>
      <c r="F15322" s="0" t="s">
        <v>15</v>
      </c>
      <c r="G15322" s="0" t="s">
        <v>36</v>
      </c>
      <c r="H15322" s="0" t="n">
        <v>31</v>
      </c>
      <c r="I15322" s="0" t="s">
        <v>51063</v>
      </c>
      <c r="J15322" s="0" t="s">
        <v>51064</v>
      </c>
      <c r="K15322" s="0" t="s">
        <v>51065</v>
      </c>
      <c r="L15322" s="0" t="str">
        <f aca="false">HYPERLINK("https://www.ncbi.nlm.nih.gov/nuccore/CP000304.1?report=graph&amp;tracks=[key:gene_model_track,Options:GeneOnly]&amp;mk=4330854:4330873|offset_6|444444,4330879:4330898|offset_31|00cc00,4330905:4330924|offset_57|444444,4330928:4330947|offset_80|444444&amp;v=4330653:4331147&amp;c=444444", "offset 31")</f>
        <v>offset 31</v>
      </c>
    </row>
    <row r="15323" customFormat="false" ht="12.8" hidden="false" customHeight="false" outlineLevel="0" collapsed="false">
      <c r="A15323" s="0" t="s">
        <v>12</v>
      </c>
      <c r="B15323" s="0" t="n">
        <v>4330904</v>
      </c>
      <c r="C15323" s="0" t="n">
        <v>4330924</v>
      </c>
      <c r="D15323" s="0" t="s">
        <v>51059</v>
      </c>
      <c r="E15323" s="0" t="s">
        <v>89</v>
      </c>
      <c r="F15323" s="0" t="s">
        <v>15</v>
      </c>
      <c r="G15323" s="0" t="s">
        <v>16</v>
      </c>
      <c r="H15323" s="0" t="n">
        <v>57</v>
      </c>
      <c r="I15323" s="0" t="s">
        <v>51066</v>
      </c>
      <c r="J15323" s="0" t="s">
        <v>51067</v>
      </c>
      <c r="K15323" s="0" t="s">
        <v>51068</v>
      </c>
      <c r="L15323" s="0" t="str">
        <f aca="false">HYPERLINK("https://www.ncbi.nlm.nih.gov/nuccore/CP000304.1?report=graph&amp;tracks=[key:gene_model_track,Options:GeneOnly]&amp;mk=4330854:4330873|offset_6|444444,4330879:4330898|offset_31|444444,4330905:4330924|offset_57|00cc00,4330928:4330947|offset_80|444444&amp;v=4330653:4331147&amp;c=444444", "offset 57")</f>
        <v>offset 57</v>
      </c>
    </row>
    <row r="15324" customFormat="false" ht="12.8" hidden="false" customHeight="false" outlineLevel="0" collapsed="false">
      <c r="A15324" s="0" t="s">
        <v>12</v>
      </c>
      <c r="B15324" s="0" t="n">
        <v>4330927</v>
      </c>
      <c r="C15324" s="0" t="n">
        <v>4330947</v>
      </c>
      <c r="D15324" s="0" t="s">
        <v>51059</v>
      </c>
      <c r="E15324" s="0" t="s">
        <v>89</v>
      </c>
      <c r="F15324" s="0" t="s">
        <v>15</v>
      </c>
      <c r="G15324" s="0" t="s">
        <v>32</v>
      </c>
      <c r="H15324" s="0" t="n">
        <v>80</v>
      </c>
      <c r="I15324" s="0" t="s">
        <v>51069</v>
      </c>
      <c r="J15324" s="0" t="s">
        <v>51070</v>
      </c>
      <c r="K15324" s="0" t="s">
        <v>51071</v>
      </c>
      <c r="L15324" s="0" t="str">
        <f aca="false">HYPERLINK("https://www.ncbi.nlm.nih.gov/nuccore/CP000304.1?report=graph&amp;tracks=[key:gene_model_track,Options:GeneOnly]&amp;mk=4330854:4330873|offset_6|444444,4330879:4330898|offset_31|444444,4330905:4330924|offset_57|444444,4330928:4330947|offset_80|00cc00&amp;v=4330653:4331147&amp;c=444444", "offset 80")</f>
        <v>offset 80</v>
      </c>
    </row>
    <row r="15325" customFormat="false" ht="12.8" hidden="false" customHeight="false" outlineLevel="0" collapsed="false">
      <c r="A15325" s="0" t="s">
        <v>12</v>
      </c>
      <c r="B15325" s="0" t="n">
        <v>4332211</v>
      </c>
      <c r="C15325" s="0" t="n">
        <v>4332231</v>
      </c>
      <c r="D15325" s="0" t="s">
        <v>51072</v>
      </c>
      <c r="E15325" s="0" t="s">
        <v>89</v>
      </c>
      <c r="F15325" s="0" t="s">
        <v>15</v>
      </c>
      <c r="G15325" s="0" t="s">
        <v>36</v>
      </c>
      <c r="H15325" s="0" t="n">
        <v>43</v>
      </c>
      <c r="I15325" s="0" t="s">
        <v>51073</v>
      </c>
      <c r="J15325" s="0" t="s">
        <v>51074</v>
      </c>
      <c r="K15325" s="0" t="s">
        <v>51075</v>
      </c>
      <c r="L15325" s="0" t="str">
        <f aca="false">HYPERLINK("https://www.ncbi.nlm.nih.gov/nuccore/CP000304.1?report=graph&amp;tracks=[key:gene_model_track,Options:GeneOnly]&amp;mk=4332212:4332231|offset_43|00cc00,4332248:4332267|offset_79|444444,4332281:4332300|offset_112|444444,4332307:4332326|offset_138|444444&amp;v=4332011:4332526&amp;c=444444", "offset 43")</f>
        <v>offset 43</v>
      </c>
    </row>
    <row r="15326" customFormat="false" ht="12.8" hidden="false" customHeight="false" outlineLevel="0" collapsed="false">
      <c r="A15326" s="0" t="s">
        <v>12</v>
      </c>
      <c r="B15326" s="0" t="n">
        <v>4332247</v>
      </c>
      <c r="C15326" s="0" t="n">
        <v>4332267</v>
      </c>
      <c r="D15326" s="0" t="s">
        <v>51072</v>
      </c>
      <c r="E15326" s="0" t="s">
        <v>89</v>
      </c>
      <c r="F15326" s="0" t="s">
        <v>15</v>
      </c>
      <c r="G15326" s="0" t="s">
        <v>32</v>
      </c>
      <c r="H15326" s="0" t="n">
        <v>79</v>
      </c>
      <c r="I15326" s="0" t="s">
        <v>51076</v>
      </c>
      <c r="J15326" s="0" t="s">
        <v>51077</v>
      </c>
      <c r="K15326" s="0" t="s">
        <v>51078</v>
      </c>
      <c r="L15326" s="0" t="str">
        <f aca="false">HYPERLINK("https://www.ncbi.nlm.nih.gov/nuccore/CP000304.1?report=graph&amp;tracks=[key:gene_model_track,Options:GeneOnly]&amp;mk=4332212:4332231|offset_43|444444,4332248:4332267|offset_79|00cc00,4332281:4332300|offset_112|444444,4332307:4332326|offset_138|444444&amp;v=4332011:4332526&amp;c=444444", "offset 79")</f>
        <v>offset 79</v>
      </c>
    </row>
    <row r="15327" customFormat="false" ht="12.8" hidden="false" customHeight="false" outlineLevel="0" collapsed="false">
      <c r="A15327" s="0" t="s">
        <v>12</v>
      </c>
      <c r="B15327" s="0" t="n">
        <v>4332280</v>
      </c>
      <c r="C15327" s="0" t="n">
        <v>4332300</v>
      </c>
      <c r="D15327" s="0" t="s">
        <v>51072</v>
      </c>
      <c r="E15327" s="0" t="s">
        <v>89</v>
      </c>
      <c r="F15327" s="0" t="s">
        <v>15</v>
      </c>
      <c r="G15327" s="0" t="s">
        <v>32</v>
      </c>
      <c r="H15327" s="0" t="n">
        <v>112</v>
      </c>
      <c r="I15327" s="0" t="s">
        <v>51079</v>
      </c>
      <c r="J15327" s="0" t="s">
        <v>51080</v>
      </c>
      <c r="K15327" s="0" t="s">
        <v>51081</v>
      </c>
      <c r="L15327" s="0" t="str">
        <f aca="false">HYPERLINK("https://www.ncbi.nlm.nih.gov/nuccore/CP000304.1?report=graph&amp;tracks=[key:gene_model_track,Options:GeneOnly]&amp;mk=4332212:4332231|offset_43|444444,4332248:4332267|offset_79|444444,4332281:4332300|offset_112|00cc00,4332307:4332326|offset_138|444444&amp;v=4332011:4332526&amp;c=444444", "offset 112")</f>
        <v>offset 112</v>
      </c>
    </row>
    <row r="15328" customFormat="false" ht="12.8" hidden="false" customHeight="false" outlineLevel="0" collapsed="false">
      <c r="A15328" s="0" t="s">
        <v>12</v>
      </c>
      <c r="B15328" s="0" t="n">
        <v>4332306</v>
      </c>
      <c r="C15328" s="0" t="n">
        <v>4332326</v>
      </c>
      <c r="D15328" s="0" t="s">
        <v>51072</v>
      </c>
      <c r="E15328" s="0" t="s">
        <v>89</v>
      </c>
      <c r="F15328" s="0" t="s">
        <v>15</v>
      </c>
      <c r="G15328" s="0" t="s">
        <v>32</v>
      </c>
      <c r="H15328" s="0" t="n">
        <v>138</v>
      </c>
      <c r="I15328" s="0" t="s">
        <v>51082</v>
      </c>
      <c r="J15328" s="0" t="s">
        <v>51083</v>
      </c>
      <c r="K15328" s="0" t="s">
        <v>51084</v>
      </c>
      <c r="L15328" s="0" t="str">
        <f aca="false">HYPERLINK("https://www.ncbi.nlm.nih.gov/nuccore/CP000304.1?report=graph&amp;tracks=[key:gene_model_track,Options:GeneOnly]&amp;mk=4332212:4332231|offset_43|444444,4332248:4332267|offset_79|444444,4332281:4332300|offset_112|444444,4332307:4332326|offset_138|00cc00&amp;v=4332011:4332526&amp;c=444444", "offset 138")</f>
        <v>offset 138</v>
      </c>
    </row>
    <row r="15329" customFormat="false" ht="12.8" hidden="false" customHeight="false" outlineLevel="0" collapsed="false">
      <c r="A15329" s="0" t="s">
        <v>12</v>
      </c>
      <c r="B15329" s="0" t="n">
        <v>4333740</v>
      </c>
      <c r="C15329" s="0" t="n">
        <v>4333760</v>
      </c>
      <c r="D15329" s="0" t="s">
        <v>51085</v>
      </c>
      <c r="E15329" s="0" t="s">
        <v>89</v>
      </c>
      <c r="F15329" s="0" t="s">
        <v>15</v>
      </c>
      <c r="G15329" s="0" t="s">
        <v>32</v>
      </c>
      <c r="H15329" s="0" t="n">
        <v>7</v>
      </c>
      <c r="I15329" s="0" t="s">
        <v>51086</v>
      </c>
      <c r="J15329" s="0" t="s">
        <v>51087</v>
      </c>
      <c r="K15329" s="0" t="s">
        <v>51088</v>
      </c>
      <c r="L15329" s="0" t="str">
        <f aca="false">HYPERLINK("https://www.ncbi.nlm.nih.gov/nuccore/CP000304.1?report=graph&amp;tracks=[key:gene_model_track,Options:GeneOnly]&amp;mk=4333741:4333760|offset_7|00cc00,4333765:4333784|offset_31|444444,4333817:4333836|offset_83|444444,4333837:4333856|offset_103|444444&amp;v=4333540:4334056&amp;c=444444", "offset 7")</f>
        <v>offset 7</v>
      </c>
    </row>
    <row r="15330" customFormat="false" ht="12.8" hidden="false" customHeight="false" outlineLevel="0" collapsed="false">
      <c r="A15330" s="0" t="s">
        <v>12</v>
      </c>
      <c r="B15330" s="0" t="n">
        <v>4333764</v>
      </c>
      <c r="C15330" s="0" t="n">
        <v>4333784</v>
      </c>
      <c r="D15330" s="0" t="s">
        <v>51085</v>
      </c>
      <c r="E15330" s="0" t="s">
        <v>89</v>
      </c>
      <c r="F15330" s="0" t="s">
        <v>15</v>
      </c>
      <c r="G15330" s="0" t="s">
        <v>36</v>
      </c>
      <c r="H15330" s="0" t="n">
        <v>31</v>
      </c>
      <c r="I15330" s="0" t="s">
        <v>51089</v>
      </c>
      <c r="J15330" s="0" t="s">
        <v>51090</v>
      </c>
      <c r="K15330" s="0" t="s">
        <v>51091</v>
      </c>
      <c r="L15330" s="0" t="str">
        <f aca="false">HYPERLINK("https://www.ncbi.nlm.nih.gov/nuccore/CP000304.1?report=graph&amp;tracks=[key:gene_model_track,Options:GeneOnly]&amp;mk=4333741:4333760|offset_7|444444,4333765:4333784|offset_31|00cc00,4333817:4333836|offset_83|444444,4333837:4333856|offset_103|444444&amp;v=4333540:4334056&amp;c=444444", "offset 31")</f>
        <v>offset 31</v>
      </c>
    </row>
    <row r="15331" customFormat="false" ht="12.8" hidden="false" customHeight="false" outlineLevel="0" collapsed="false">
      <c r="A15331" s="0" t="s">
        <v>12</v>
      </c>
      <c r="B15331" s="0" t="n">
        <v>4333816</v>
      </c>
      <c r="C15331" s="0" t="n">
        <v>4333836</v>
      </c>
      <c r="D15331" s="0" t="s">
        <v>51085</v>
      </c>
      <c r="E15331" s="0" t="s">
        <v>89</v>
      </c>
      <c r="F15331" s="0" t="s">
        <v>15</v>
      </c>
      <c r="G15331" s="0" t="s">
        <v>16</v>
      </c>
      <c r="H15331" s="0" t="n">
        <v>83</v>
      </c>
      <c r="I15331" s="0" t="s">
        <v>51092</v>
      </c>
      <c r="J15331" s="0" t="s">
        <v>51093</v>
      </c>
      <c r="K15331" s="0" t="s">
        <v>51094</v>
      </c>
      <c r="L15331" s="0" t="str">
        <f aca="false">HYPERLINK("https://www.ncbi.nlm.nih.gov/nuccore/CP000304.1?report=graph&amp;tracks=[key:gene_model_track,Options:GeneOnly]&amp;mk=4333741:4333760|offset_7|444444,4333765:4333784|offset_31|444444,4333817:4333836|offset_83|00cc00,4333837:4333856|offset_103|444444&amp;v=4333540:4334056&amp;c=444444", "offset 83")</f>
        <v>offset 83</v>
      </c>
    </row>
    <row r="15332" customFormat="false" ht="12.8" hidden="false" customHeight="false" outlineLevel="0" collapsed="false">
      <c r="A15332" s="0" t="s">
        <v>12</v>
      </c>
      <c r="B15332" s="0" t="n">
        <v>4333836</v>
      </c>
      <c r="C15332" s="0" t="n">
        <v>4333856</v>
      </c>
      <c r="D15332" s="0" t="s">
        <v>51085</v>
      </c>
      <c r="E15332" s="0" t="s">
        <v>89</v>
      </c>
      <c r="F15332" s="0" t="s">
        <v>15</v>
      </c>
      <c r="G15332" s="0" t="s">
        <v>16</v>
      </c>
      <c r="H15332" s="0" t="n">
        <v>103</v>
      </c>
      <c r="I15332" s="0" t="s">
        <v>51095</v>
      </c>
      <c r="J15332" s="0" t="s">
        <v>51096</v>
      </c>
      <c r="K15332" s="0" t="s">
        <v>51097</v>
      </c>
      <c r="L15332" s="0" t="str">
        <f aca="false">HYPERLINK("https://www.ncbi.nlm.nih.gov/nuccore/CP000304.1?report=graph&amp;tracks=[key:gene_model_track,Options:GeneOnly]&amp;mk=4333741:4333760|offset_7|444444,4333765:4333784|offset_31|444444,4333817:4333836|offset_83|444444,4333837:4333856|offset_103|00cc00&amp;v=4333540:4334056&amp;c=444444", "offset 103")</f>
        <v>offset 103</v>
      </c>
    </row>
    <row r="15333" customFormat="false" ht="12.8" hidden="false" customHeight="false" outlineLevel="0" collapsed="false">
      <c r="A15333" s="0" t="s">
        <v>12</v>
      </c>
      <c r="B15333" s="0" t="n">
        <v>4334733</v>
      </c>
      <c r="C15333" s="0" t="n">
        <v>4334753</v>
      </c>
      <c r="D15333" s="0" t="s">
        <v>51098</v>
      </c>
      <c r="E15333" s="0" t="s">
        <v>89</v>
      </c>
      <c r="F15333" s="0" t="s">
        <v>90</v>
      </c>
      <c r="G15333" s="0" t="s">
        <v>32</v>
      </c>
      <c r="H15333" s="0" t="n">
        <v>56</v>
      </c>
      <c r="I15333" s="0" t="s">
        <v>51099</v>
      </c>
      <c r="J15333" s="0" t="s">
        <v>51100</v>
      </c>
      <c r="K15333" s="0" t="s">
        <v>51101</v>
      </c>
      <c r="L15333" s="0" t="str">
        <f aca="false">HYPERLINK("https://www.ncbi.nlm.nih.gov/nuccore/CP000304.1?report=graph&amp;tracks=[key:gene_model_track,Options:GeneOnly]&amp;mk=4334734:4334753|offset_56|00cc00,4334714:4334733|offset_76|444444,4334673:4334692|offset_117|444444,4334642:4334661|offset_148|444444&amp;v=4334533:4334861&amp;c=444444", "offset 56")</f>
        <v>offset 56</v>
      </c>
    </row>
    <row r="15334" customFormat="false" ht="12.8" hidden="false" customHeight="false" outlineLevel="0" collapsed="false">
      <c r="A15334" s="0" t="s">
        <v>12</v>
      </c>
      <c r="B15334" s="0" t="n">
        <v>4334713</v>
      </c>
      <c r="C15334" s="0" t="n">
        <v>4334733</v>
      </c>
      <c r="D15334" s="0" t="s">
        <v>51098</v>
      </c>
      <c r="E15334" s="0" t="s">
        <v>89</v>
      </c>
      <c r="F15334" s="0" t="s">
        <v>90</v>
      </c>
      <c r="G15334" s="0" t="s">
        <v>26</v>
      </c>
      <c r="H15334" s="0" t="n">
        <v>76</v>
      </c>
      <c r="I15334" s="0" t="s">
        <v>51102</v>
      </c>
      <c r="J15334" s="0" t="s">
        <v>51103</v>
      </c>
      <c r="K15334" s="0" t="s">
        <v>51104</v>
      </c>
      <c r="L15334" s="0" t="str">
        <f aca="false">HYPERLINK("https://www.ncbi.nlm.nih.gov/nuccore/CP000304.1?report=graph&amp;tracks=[key:gene_model_track,Options:GeneOnly]&amp;mk=4334734:4334753|offset_56|444444,4334714:4334733|offset_76|00cc00,4334673:4334692|offset_117|444444,4334642:4334661|offset_148|444444&amp;v=4334533:4334861&amp;c=444444", "offset 76")</f>
        <v>offset 76</v>
      </c>
    </row>
    <row r="15335" customFormat="false" ht="12.8" hidden="false" customHeight="false" outlineLevel="0" collapsed="false">
      <c r="A15335" s="0" t="s">
        <v>12</v>
      </c>
      <c r="B15335" s="0" t="n">
        <v>4334672</v>
      </c>
      <c r="C15335" s="0" t="n">
        <v>4334692</v>
      </c>
      <c r="D15335" s="0" t="s">
        <v>51098</v>
      </c>
      <c r="E15335" s="0" t="s">
        <v>89</v>
      </c>
      <c r="F15335" s="0" t="s">
        <v>90</v>
      </c>
      <c r="G15335" s="0" t="s">
        <v>16</v>
      </c>
      <c r="H15335" s="0" t="n">
        <v>117</v>
      </c>
      <c r="I15335" s="0" t="s">
        <v>51105</v>
      </c>
      <c r="J15335" s="0" t="s">
        <v>51106</v>
      </c>
      <c r="K15335" s="0" t="s">
        <v>51107</v>
      </c>
      <c r="L15335" s="0" t="str">
        <f aca="false">HYPERLINK("https://www.ncbi.nlm.nih.gov/nuccore/CP000304.1?report=graph&amp;tracks=[key:gene_model_track,Options:GeneOnly]&amp;mk=4334734:4334753|offset_56|444444,4334714:4334733|offset_76|444444,4334673:4334692|offset_117|00cc00,4334642:4334661|offset_148|444444&amp;v=4334533:4334861&amp;c=444444", "offset 117")</f>
        <v>offset 117</v>
      </c>
    </row>
    <row r="15336" customFormat="false" ht="12.8" hidden="false" customHeight="false" outlineLevel="0" collapsed="false">
      <c r="A15336" s="0" t="s">
        <v>12</v>
      </c>
      <c r="B15336" s="0" t="n">
        <v>4334641</v>
      </c>
      <c r="C15336" s="0" t="n">
        <v>4334661</v>
      </c>
      <c r="D15336" s="0" t="s">
        <v>51098</v>
      </c>
      <c r="E15336" s="0" t="s">
        <v>89</v>
      </c>
      <c r="F15336" s="0" t="s">
        <v>90</v>
      </c>
      <c r="G15336" s="0" t="s">
        <v>16</v>
      </c>
      <c r="H15336" s="0" t="n">
        <v>148</v>
      </c>
      <c r="I15336" s="0" t="s">
        <v>51108</v>
      </c>
      <c r="J15336" s="0" t="s">
        <v>51109</v>
      </c>
      <c r="K15336" s="0" t="s">
        <v>51110</v>
      </c>
      <c r="L15336" s="0" t="str">
        <f aca="false">HYPERLINK("https://www.ncbi.nlm.nih.gov/nuccore/CP000304.1?report=graph&amp;tracks=[key:gene_model_track,Options:GeneOnly]&amp;mk=4334734:4334753|offset_56|444444,4334714:4334733|offset_76|444444,4334673:4334692|offset_117|444444,4334642:4334661|offset_148|00cc00&amp;v=4334533:4334861&amp;c=444444", "offset 148")</f>
        <v>offset 148</v>
      </c>
    </row>
    <row r="15337" customFormat="false" ht="12.8" hidden="false" customHeight="false" outlineLevel="0" collapsed="false">
      <c r="A15337" s="0" t="s">
        <v>12</v>
      </c>
      <c r="B15337" s="0" t="n">
        <v>4334816</v>
      </c>
      <c r="C15337" s="0" t="n">
        <v>4334836</v>
      </c>
      <c r="D15337" s="0" t="s">
        <v>51111</v>
      </c>
      <c r="E15337" s="0" t="s">
        <v>89</v>
      </c>
      <c r="F15337" s="0" t="s">
        <v>15</v>
      </c>
      <c r="G15337" s="0" t="s">
        <v>32</v>
      </c>
      <c r="H15337" s="0" t="n">
        <v>55</v>
      </c>
      <c r="I15337" s="0" t="s">
        <v>51112</v>
      </c>
      <c r="J15337" s="0" t="s">
        <v>51113</v>
      </c>
      <c r="K15337" s="0" t="s">
        <v>51114</v>
      </c>
      <c r="L15337" s="0" t="str">
        <f aca="false">HYPERLINK("https://www.ncbi.nlm.nih.gov/nuccore/CP000304.1?report=graph&amp;tracks=[key:gene_model_track,Options:GeneOnly]&amp;mk=4334817:4334836|offset_55|00cc00,4334837:4334856|offset_75|444444,4334857:4334876|offset_95|444444,4334879:4334898|offset_117|444444&amp;v=4334616:4335098&amp;c=444444", "offset 55")</f>
        <v>offset 55</v>
      </c>
    </row>
    <row r="15338" customFormat="false" ht="12.8" hidden="false" customHeight="false" outlineLevel="0" collapsed="false">
      <c r="A15338" s="0" t="s">
        <v>12</v>
      </c>
      <c r="B15338" s="0" t="n">
        <v>4334836</v>
      </c>
      <c r="C15338" s="0" t="n">
        <v>4334856</v>
      </c>
      <c r="D15338" s="0" t="s">
        <v>51111</v>
      </c>
      <c r="E15338" s="0" t="s">
        <v>89</v>
      </c>
      <c r="F15338" s="0" t="s">
        <v>15</v>
      </c>
      <c r="G15338" s="0" t="s">
        <v>16</v>
      </c>
      <c r="H15338" s="0" t="n">
        <v>75</v>
      </c>
      <c r="I15338" s="0" t="s">
        <v>51115</v>
      </c>
      <c r="J15338" s="0" t="s">
        <v>51116</v>
      </c>
      <c r="K15338" s="0" t="s">
        <v>51117</v>
      </c>
      <c r="L15338" s="0" t="str">
        <f aca="false">HYPERLINK("https://www.ncbi.nlm.nih.gov/nuccore/CP000304.1?report=graph&amp;tracks=[key:gene_model_track,Options:GeneOnly]&amp;mk=4334817:4334836|offset_55|444444,4334837:4334856|offset_75|00cc00,4334857:4334876|offset_95|444444,4334879:4334898|offset_117|444444&amp;v=4334616:4335098&amp;c=444444", "offset 75")</f>
        <v>offset 75</v>
      </c>
    </row>
    <row r="15339" customFormat="false" ht="12.8" hidden="false" customHeight="false" outlineLevel="0" collapsed="false">
      <c r="A15339" s="0" t="s">
        <v>12</v>
      </c>
      <c r="B15339" s="0" t="n">
        <v>4334856</v>
      </c>
      <c r="C15339" s="0" t="n">
        <v>4334876</v>
      </c>
      <c r="D15339" s="0" t="s">
        <v>51111</v>
      </c>
      <c r="E15339" s="0" t="s">
        <v>89</v>
      </c>
      <c r="F15339" s="0" t="s">
        <v>15</v>
      </c>
      <c r="G15339" s="0" t="s">
        <v>26</v>
      </c>
      <c r="H15339" s="0" t="n">
        <v>95</v>
      </c>
      <c r="I15339" s="0" t="s">
        <v>51118</v>
      </c>
      <c r="J15339" s="0" t="s">
        <v>51119</v>
      </c>
      <c r="K15339" s="0" t="s">
        <v>51120</v>
      </c>
      <c r="L15339" s="0" t="str">
        <f aca="false">HYPERLINK("https://www.ncbi.nlm.nih.gov/nuccore/CP000304.1?report=graph&amp;tracks=[key:gene_model_track,Options:GeneOnly]&amp;mk=4334817:4334836|offset_55|444444,4334837:4334856|offset_75|444444,4334857:4334876|offset_95|00cc00,4334879:4334898|offset_117|444444&amp;v=4334616:4335098&amp;c=444444", "offset 95")</f>
        <v>offset 95</v>
      </c>
    </row>
    <row r="15340" customFormat="false" ht="12.8" hidden="false" customHeight="false" outlineLevel="0" collapsed="false">
      <c r="A15340" s="0" t="s">
        <v>12</v>
      </c>
      <c r="B15340" s="0" t="n">
        <v>4334878</v>
      </c>
      <c r="C15340" s="0" t="n">
        <v>4334898</v>
      </c>
      <c r="D15340" s="0" t="s">
        <v>51111</v>
      </c>
      <c r="E15340" s="0" t="s">
        <v>89</v>
      </c>
      <c r="F15340" s="0" t="s">
        <v>15</v>
      </c>
      <c r="G15340" s="0" t="s">
        <v>16</v>
      </c>
      <c r="H15340" s="0" t="n">
        <v>117</v>
      </c>
      <c r="I15340" s="0" t="s">
        <v>51121</v>
      </c>
      <c r="J15340" s="0" t="s">
        <v>51122</v>
      </c>
      <c r="K15340" s="0" t="s">
        <v>51123</v>
      </c>
      <c r="L15340" s="0" t="str">
        <f aca="false">HYPERLINK("https://www.ncbi.nlm.nih.gov/nuccore/CP000304.1?report=graph&amp;tracks=[key:gene_model_track,Options:GeneOnly]&amp;mk=4334817:4334836|offset_55|444444,4334837:4334856|offset_75|444444,4334857:4334876|offset_95|444444,4334879:4334898|offset_117|00cc00&amp;v=4334616:4335098&amp;c=444444", "offset 117")</f>
        <v>offset 117</v>
      </c>
    </row>
    <row r="15341" customFormat="false" ht="12.8" hidden="false" customHeight="false" outlineLevel="0" collapsed="false">
      <c r="A15341" s="0" t="s">
        <v>12</v>
      </c>
      <c r="B15341" s="0" t="n">
        <v>4336618</v>
      </c>
      <c r="C15341" s="0" t="n">
        <v>4336638</v>
      </c>
      <c r="D15341" s="0" t="s">
        <v>51124</v>
      </c>
      <c r="E15341" s="0" t="s">
        <v>89</v>
      </c>
      <c r="F15341" s="0" t="s">
        <v>90</v>
      </c>
      <c r="G15341" s="0" t="s">
        <v>16</v>
      </c>
      <c r="H15341" s="0" t="n">
        <v>6</v>
      </c>
      <c r="I15341" s="0" t="s">
        <v>51125</v>
      </c>
      <c r="J15341" s="0" t="s">
        <v>51126</v>
      </c>
      <c r="K15341" s="0" t="s">
        <v>51127</v>
      </c>
      <c r="L15341" s="0" t="str">
        <f aca="false">HYPERLINK("https://www.ncbi.nlm.nih.gov/nuccore/CP000304.1?report=graph&amp;tracks=[key:gene_model_track,Options:GeneOnly]&amp;mk=4336619:4336638|offset_6|00cc00,4336595:4336614|offset_30|444444,4336573:4336592|offset_52|444444,4336549:4336568|offset_76|444444&amp;v=4336418:4336768&amp;c=444444", "offset 6")</f>
        <v>offset 6</v>
      </c>
    </row>
    <row r="15342" customFormat="false" ht="12.8" hidden="false" customHeight="false" outlineLevel="0" collapsed="false">
      <c r="A15342" s="0" t="s">
        <v>12</v>
      </c>
      <c r="B15342" s="0" t="n">
        <v>4336594</v>
      </c>
      <c r="C15342" s="0" t="n">
        <v>4336614</v>
      </c>
      <c r="D15342" s="0" t="s">
        <v>51124</v>
      </c>
      <c r="E15342" s="0" t="s">
        <v>89</v>
      </c>
      <c r="F15342" s="0" t="s">
        <v>90</v>
      </c>
      <c r="G15342" s="0" t="s">
        <v>36</v>
      </c>
      <c r="H15342" s="0" t="n">
        <v>30</v>
      </c>
      <c r="I15342" s="0" t="s">
        <v>51128</v>
      </c>
      <c r="J15342" s="0" t="s">
        <v>51129</v>
      </c>
      <c r="K15342" s="0" t="s">
        <v>51130</v>
      </c>
      <c r="L15342" s="0" t="str">
        <f aca="false">HYPERLINK("https://www.ncbi.nlm.nih.gov/nuccore/CP000304.1?report=graph&amp;tracks=[key:gene_model_track,Options:GeneOnly]&amp;mk=4336619:4336638|offset_6|444444,4336595:4336614|offset_30|00cc00,4336573:4336592|offset_52|444444,4336549:4336568|offset_76|444444&amp;v=4336418:4336768&amp;c=444444", "offset 30")</f>
        <v>offset 30</v>
      </c>
    </row>
    <row r="15343" customFormat="false" ht="12.8" hidden="false" customHeight="false" outlineLevel="0" collapsed="false">
      <c r="A15343" s="0" t="s">
        <v>12</v>
      </c>
      <c r="B15343" s="0" t="n">
        <v>4336572</v>
      </c>
      <c r="C15343" s="0" t="n">
        <v>4336592</v>
      </c>
      <c r="D15343" s="0" t="s">
        <v>51124</v>
      </c>
      <c r="E15343" s="0" t="s">
        <v>89</v>
      </c>
      <c r="F15343" s="0" t="s">
        <v>90</v>
      </c>
      <c r="G15343" s="0" t="s">
        <v>36</v>
      </c>
      <c r="H15343" s="0" t="n">
        <v>52</v>
      </c>
      <c r="I15343" s="0" t="s">
        <v>51131</v>
      </c>
      <c r="J15343" s="0" t="s">
        <v>51132</v>
      </c>
      <c r="K15343" s="0" t="s">
        <v>51133</v>
      </c>
      <c r="L15343" s="0" t="str">
        <f aca="false">HYPERLINK("https://www.ncbi.nlm.nih.gov/nuccore/CP000304.1?report=graph&amp;tracks=[key:gene_model_track,Options:GeneOnly]&amp;mk=4336619:4336638|offset_6|444444,4336595:4336614|offset_30|444444,4336573:4336592|offset_52|00cc00,4336549:4336568|offset_76|444444&amp;v=4336418:4336768&amp;c=444444", "offset 52")</f>
        <v>offset 52</v>
      </c>
    </row>
    <row r="15344" customFormat="false" ht="12.8" hidden="false" customHeight="false" outlineLevel="0" collapsed="false">
      <c r="A15344" s="0" t="s">
        <v>12</v>
      </c>
      <c r="B15344" s="0" t="n">
        <v>4336548</v>
      </c>
      <c r="C15344" s="0" t="n">
        <v>4336568</v>
      </c>
      <c r="D15344" s="0" t="s">
        <v>51124</v>
      </c>
      <c r="E15344" s="0" t="s">
        <v>89</v>
      </c>
      <c r="F15344" s="0" t="s">
        <v>90</v>
      </c>
      <c r="G15344" s="0" t="s">
        <v>32</v>
      </c>
      <c r="H15344" s="0" t="n">
        <v>76</v>
      </c>
      <c r="I15344" s="0" t="s">
        <v>51134</v>
      </c>
      <c r="J15344" s="0" t="s">
        <v>51135</v>
      </c>
      <c r="K15344" s="0" t="s">
        <v>51136</v>
      </c>
      <c r="L15344" s="0" t="str">
        <f aca="false">HYPERLINK("https://www.ncbi.nlm.nih.gov/nuccore/CP000304.1?report=graph&amp;tracks=[key:gene_model_track,Options:GeneOnly]&amp;mk=4336619:4336638|offset_6|444444,4336595:4336614|offset_30|444444,4336573:4336592|offset_52|444444,4336549:4336568|offset_76|00cc00&amp;v=4336418:4336768&amp;c=444444", "offset 76")</f>
        <v>offset 76</v>
      </c>
    </row>
    <row r="15345" customFormat="false" ht="12.8" hidden="false" customHeight="false" outlineLevel="0" collapsed="false">
      <c r="A15345" s="0" t="s">
        <v>12</v>
      </c>
      <c r="B15345" s="0" t="n">
        <v>4336747</v>
      </c>
      <c r="C15345" s="0" t="n">
        <v>4336767</v>
      </c>
      <c r="D15345" s="0" t="s">
        <v>51137</v>
      </c>
      <c r="E15345" s="0" t="s">
        <v>89</v>
      </c>
      <c r="F15345" s="0" t="s">
        <v>15</v>
      </c>
      <c r="G15345" s="0" t="s">
        <v>32</v>
      </c>
      <c r="H15345" s="0" t="n">
        <v>1</v>
      </c>
      <c r="I15345" s="0" t="s">
        <v>51138</v>
      </c>
      <c r="J15345" s="0" t="s">
        <v>51139</v>
      </c>
      <c r="K15345" s="0" t="s">
        <v>51140</v>
      </c>
      <c r="L15345" s="0" t="str">
        <f aca="false">HYPERLINK("https://www.ncbi.nlm.nih.gov/nuccore/CP000304.1?report=graph&amp;tracks=[key:gene_model_track,Options:GeneOnly]&amp;mk=4336748:4336767|offset_1|00cc00,4336781:4336800|offset_34|444444,4336801:4336820|offset_54|444444,4336856:4336875|offset_109|444444&amp;v=4336547:4337075&amp;c=444444", "offset 1")</f>
        <v>offset 1</v>
      </c>
    </row>
    <row r="15346" customFormat="false" ht="12.8" hidden="false" customHeight="false" outlineLevel="0" collapsed="false">
      <c r="A15346" s="0" t="s">
        <v>12</v>
      </c>
      <c r="B15346" s="0" t="n">
        <v>4336780</v>
      </c>
      <c r="C15346" s="0" t="n">
        <v>4336800</v>
      </c>
      <c r="D15346" s="0" t="s">
        <v>51137</v>
      </c>
      <c r="E15346" s="0" t="s">
        <v>89</v>
      </c>
      <c r="F15346" s="0" t="s">
        <v>15</v>
      </c>
      <c r="G15346" s="0" t="s">
        <v>26</v>
      </c>
      <c r="H15346" s="0" t="n">
        <v>34</v>
      </c>
      <c r="I15346" s="0" t="s">
        <v>51141</v>
      </c>
      <c r="J15346" s="0" t="s">
        <v>51142</v>
      </c>
      <c r="K15346" s="0" t="s">
        <v>51143</v>
      </c>
      <c r="L15346" s="0" t="str">
        <f aca="false">HYPERLINK("https://www.ncbi.nlm.nih.gov/nuccore/CP000304.1?report=graph&amp;tracks=[key:gene_model_track,Options:GeneOnly]&amp;mk=4336748:4336767|offset_1|444444,4336781:4336800|offset_34|00cc00,4336801:4336820|offset_54|444444,4336856:4336875|offset_109|444444&amp;v=4336547:4337075&amp;c=444444", "offset 34")</f>
        <v>offset 34</v>
      </c>
    </row>
    <row r="15347" customFormat="false" ht="12.8" hidden="false" customHeight="false" outlineLevel="0" collapsed="false">
      <c r="A15347" s="0" t="s">
        <v>12</v>
      </c>
      <c r="B15347" s="0" t="n">
        <v>4336800</v>
      </c>
      <c r="C15347" s="0" t="n">
        <v>4336820</v>
      </c>
      <c r="D15347" s="0" t="s">
        <v>51137</v>
      </c>
      <c r="E15347" s="0" t="s">
        <v>89</v>
      </c>
      <c r="F15347" s="0" t="s">
        <v>15</v>
      </c>
      <c r="G15347" s="0" t="s">
        <v>26</v>
      </c>
      <c r="H15347" s="0" t="n">
        <v>54</v>
      </c>
      <c r="I15347" s="0" t="s">
        <v>51144</v>
      </c>
      <c r="J15347" s="0" t="s">
        <v>51145</v>
      </c>
      <c r="K15347" s="0" t="s">
        <v>51146</v>
      </c>
      <c r="L15347" s="0" t="str">
        <f aca="false">HYPERLINK("https://www.ncbi.nlm.nih.gov/nuccore/CP000304.1?report=graph&amp;tracks=[key:gene_model_track,Options:GeneOnly]&amp;mk=4336748:4336767|offset_1|444444,4336781:4336800|offset_34|444444,4336801:4336820|offset_54|00cc00,4336856:4336875|offset_109|444444&amp;v=4336547:4337075&amp;c=444444", "offset 54")</f>
        <v>offset 54</v>
      </c>
    </row>
    <row r="15348" customFormat="false" ht="12.8" hidden="false" customHeight="false" outlineLevel="0" collapsed="false">
      <c r="A15348" s="0" t="s">
        <v>12</v>
      </c>
      <c r="B15348" s="0" t="n">
        <v>4336855</v>
      </c>
      <c r="C15348" s="0" t="n">
        <v>4336875</v>
      </c>
      <c r="D15348" s="0" t="s">
        <v>51137</v>
      </c>
      <c r="E15348" s="0" t="s">
        <v>89</v>
      </c>
      <c r="F15348" s="0" t="s">
        <v>15</v>
      </c>
      <c r="G15348" s="0" t="s">
        <v>36</v>
      </c>
      <c r="H15348" s="0" t="n">
        <v>109</v>
      </c>
      <c r="I15348" s="0" t="s">
        <v>51147</v>
      </c>
      <c r="J15348" s="0" t="s">
        <v>51148</v>
      </c>
      <c r="K15348" s="0" t="s">
        <v>51149</v>
      </c>
      <c r="L15348" s="0" t="str">
        <f aca="false">HYPERLINK("https://www.ncbi.nlm.nih.gov/nuccore/CP000304.1?report=graph&amp;tracks=[key:gene_model_track,Options:GeneOnly]&amp;mk=4336748:4336767|offset_1|444444,4336781:4336800|offset_34|444444,4336801:4336820|offset_54|444444,4336856:4336875|offset_109|00cc00&amp;v=4336547:4337075&amp;c=444444", "offset 109")</f>
        <v>offset 109</v>
      </c>
    </row>
    <row r="15349" customFormat="false" ht="12.8" hidden="false" customHeight="false" outlineLevel="0" collapsed="false">
      <c r="A15349" s="0" t="s">
        <v>12</v>
      </c>
      <c r="B15349" s="0" t="n">
        <v>4338140</v>
      </c>
      <c r="C15349" s="0" t="n">
        <v>4338160</v>
      </c>
      <c r="D15349" s="0" t="s">
        <v>51150</v>
      </c>
      <c r="E15349" s="0" t="s">
        <v>89</v>
      </c>
      <c r="F15349" s="0" t="s">
        <v>15</v>
      </c>
      <c r="G15349" s="0" t="s">
        <v>36</v>
      </c>
      <c r="H15349" s="0" t="n">
        <v>51</v>
      </c>
      <c r="I15349" s="0" t="s">
        <v>51151</v>
      </c>
      <c r="J15349" s="0" t="s">
        <v>51152</v>
      </c>
      <c r="K15349" s="0" t="s">
        <v>51153</v>
      </c>
      <c r="L15349" s="0" t="str">
        <f aca="false">HYPERLINK("https://www.ncbi.nlm.nih.gov/nuccore/CP000304.1?report=graph&amp;tracks=[key:gene_model_track,Options:GeneOnly]&amp;mk=4338141:4338160|offset_51|00cc00,4338164:4338183|offset_74|444444,4338206:4338225|offset_116|444444,4338230:4338249|offset_140|444444&amp;v=4337940:4338449&amp;c=444444", "offset 51")</f>
        <v>offset 51</v>
      </c>
    </row>
    <row r="15350" customFormat="false" ht="12.8" hidden="false" customHeight="false" outlineLevel="0" collapsed="false">
      <c r="A15350" s="0" t="s">
        <v>12</v>
      </c>
      <c r="B15350" s="0" t="n">
        <v>4338163</v>
      </c>
      <c r="C15350" s="0" t="n">
        <v>4338183</v>
      </c>
      <c r="D15350" s="0" t="s">
        <v>51150</v>
      </c>
      <c r="E15350" s="0" t="s">
        <v>89</v>
      </c>
      <c r="F15350" s="0" t="s">
        <v>15</v>
      </c>
      <c r="G15350" s="0" t="s">
        <v>16</v>
      </c>
      <c r="H15350" s="0" t="n">
        <v>74</v>
      </c>
      <c r="I15350" s="0" t="s">
        <v>51154</v>
      </c>
      <c r="J15350" s="0" t="s">
        <v>51155</v>
      </c>
      <c r="K15350" s="0" t="s">
        <v>51156</v>
      </c>
      <c r="L15350" s="0" t="str">
        <f aca="false">HYPERLINK("https://www.ncbi.nlm.nih.gov/nuccore/CP000304.1?report=graph&amp;tracks=[key:gene_model_track,Options:GeneOnly]&amp;mk=4338141:4338160|offset_51|444444,4338164:4338183|offset_74|00cc00,4338206:4338225|offset_116|444444,4338230:4338249|offset_140|444444&amp;v=4337940:4338449&amp;c=444444", "offset 74")</f>
        <v>offset 74</v>
      </c>
    </row>
    <row r="15351" customFormat="false" ht="12.8" hidden="false" customHeight="false" outlineLevel="0" collapsed="false">
      <c r="A15351" s="0" t="s">
        <v>12</v>
      </c>
      <c r="B15351" s="0" t="n">
        <v>4338205</v>
      </c>
      <c r="C15351" s="0" t="n">
        <v>4338225</v>
      </c>
      <c r="D15351" s="0" t="s">
        <v>51150</v>
      </c>
      <c r="E15351" s="0" t="s">
        <v>89</v>
      </c>
      <c r="F15351" s="0" t="s">
        <v>15</v>
      </c>
      <c r="G15351" s="0" t="s">
        <v>26</v>
      </c>
      <c r="H15351" s="0" t="n">
        <v>116</v>
      </c>
      <c r="I15351" s="0" t="s">
        <v>51157</v>
      </c>
      <c r="J15351" s="0" t="s">
        <v>51158</v>
      </c>
      <c r="K15351" s="0" t="s">
        <v>51159</v>
      </c>
      <c r="L15351" s="0" t="str">
        <f aca="false">HYPERLINK("https://www.ncbi.nlm.nih.gov/nuccore/CP000304.1?report=graph&amp;tracks=[key:gene_model_track,Options:GeneOnly]&amp;mk=4338141:4338160|offset_51|444444,4338164:4338183|offset_74|444444,4338206:4338225|offset_116|00cc00,4338230:4338249|offset_140|444444&amp;v=4337940:4338449&amp;c=444444", "offset 116")</f>
        <v>offset 116</v>
      </c>
    </row>
    <row r="15352" customFormat="false" ht="12.8" hidden="false" customHeight="false" outlineLevel="0" collapsed="false">
      <c r="A15352" s="0" t="s">
        <v>12</v>
      </c>
      <c r="B15352" s="0" t="n">
        <v>4338229</v>
      </c>
      <c r="C15352" s="0" t="n">
        <v>4338249</v>
      </c>
      <c r="D15352" s="0" t="s">
        <v>51150</v>
      </c>
      <c r="E15352" s="0" t="s">
        <v>89</v>
      </c>
      <c r="F15352" s="0" t="s">
        <v>15</v>
      </c>
      <c r="G15352" s="0" t="s">
        <v>16</v>
      </c>
      <c r="H15352" s="0" t="n">
        <v>140</v>
      </c>
      <c r="I15352" s="0" t="s">
        <v>51160</v>
      </c>
      <c r="J15352" s="0" t="s">
        <v>51161</v>
      </c>
      <c r="K15352" s="0" t="s">
        <v>51162</v>
      </c>
      <c r="L15352" s="0" t="str">
        <f aca="false">HYPERLINK("https://www.ncbi.nlm.nih.gov/nuccore/CP000304.1?report=graph&amp;tracks=[key:gene_model_track,Options:GeneOnly]&amp;mk=4338141:4338160|offset_51|444444,4338164:4338183|offset_74|444444,4338206:4338225|offset_116|444444,4338230:4338249|offset_140|00cc00&amp;v=4337940:4338449&amp;c=444444", "offset 140")</f>
        <v>offset 140</v>
      </c>
    </row>
    <row r="15353" customFormat="false" ht="12.8" hidden="false" customHeight="false" outlineLevel="0" collapsed="false">
      <c r="A15353" s="0" t="s">
        <v>12</v>
      </c>
      <c r="B15353" s="0" t="n">
        <v>4338686</v>
      </c>
      <c r="C15353" s="0" t="n">
        <v>4338706</v>
      </c>
      <c r="D15353" s="0" t="s">
        <v>51163</v>
      </c>
      <c r="E15353" s="0" t="s">
        <v>89</v>
      </c>
      <c r="F15353" s="0" t="s">
        <v>15</v>
      </c>
      <c r="G15353" s="0" t="s">
        <v>16</v>
      </c>
      <c r="H15353" s="0" t="n">
        <v>1</v>
      </c>
      <c r="I15353" s="0" t="s">
        <v>51164</v>
      </c>
      <c r="J15353" s="0" t="s">
        <v>51165</v>
      </c>
      <c r="K15353" s="0" t="s">
        <v>51166</v>
      </c>
      <c r="L15353" s="0" t="str">
        <f aca="false">HYPERLINK("https://www.ncbi.nlm.nih.gov/nuccore/CP000304.1?report=graph&amp;tracks=[key:gene_model_track,Options:GeneOnly]&amp;mk=4338687:4338706|offset_1|00cc00,4338711:4338730|offset_25|444444,4338735:4338754|offset_49|444444,4338766:4338785|offset_80|444444&amp;v=4338486:4338985&amp;c=444444", "offset 1")</f>
        <v>offset 1</v>
      </c>
    </row>
    <row r="15354" customFormat="false" ht="12.8" hidden="false" customHeight="false" outlineLevel="0" collapsed="false">
      <c r="A15354" s="0" t="s">
        <v>12</v>
      </c>
      <c r="B15354" s="0" t="n">
        <v>4338710</v>
      </c>
      <c r="C15354" s="0" t="n">
        <v>4338730</v>
      </c>
      <c r="D15354" s="0" t="s">
        <v>51163</v>
      </c>
      <c r="E15354" s="0" t="s">
        <v>89</v>
      </c>
      <c r="F15354" s="0" t="s">
        <v>15</v>
      </c>
      <c r="G15354" s="0" t="s">
        <v>16</v>
      </c>
      <c r="H15354" s="0" t="n">
        <v>25</v>
      </c>
      <c r="I15354" s="0" t="s">
        <v>51167</v>
      </c>
      <c r="J15354" s="0" t="s">
        <v>51168</v>
      </c>
      <c r="K15354" s="0" t="s">
        <v>51169</v>
      </c>
      <c r="L15354" s="0" t="str">
        <f aca="false">HYPERLINK("https://www.ncbi.nlm.nih.gov/nuccore/CP000304.1?report=graph&amp;tracks=[key:gene_model_track,Options:GeneOnly]&amp;mk=4338687:4338706|offset_1|444444,4338711:4338730|offset_25|00cc00,4338735:4338754|offset_49|444444,4338766:4338785|offset_80|444444&amp;v=4338486:4338985&amp;c=444444", "offset 25")</f>
        <v>offset 25</v>
      </c>
    </row>
    <row r="15355" customFormat="false" ht="12.8" hidden="false" customHeight="false" outlineLevel="0" collapsed="false">
      <c r="A15355" s="0" t="s">
        <v>12</v>
      </c>
      <c r="B15355" s="0" t="n">
        <v>4338734</v>
      </c>
      <c r="C15355" s="0" t="n">
        <v>4338754</v>
      </c>
      <c r="D15355" s="0" t="s">
        <v>51163</v>
      </c>
      <c r="E15355" s="0" t="s">
        <v>89</v>
      </c>
      <c r="F15355" s="0" t="s">
        <v>15</v>
      </c>
      <c r="G15355" s="0" t="s">
        <v>32</v>
      </c>
      <c r="H15355" s="0" t="n">
        <v>49</v>
      </c>
      <c r="I15355" s="0" t="s">
        <v>51170</v>
      </c>
      <c r="J15355" s="0" t="s">
        <v>51171</v>
      </c>
      <c r="K15355" s="0" t="s">
        <v>51172</v>
      </c>
      <c r="L15355" s="0" t="str">
        <f aca="false">HYPERLINK("https://www.ncbi.nlm.nih.gov/nuccore/CP000304.1?report=graph&amp;tracks=[key:gene_model_track,Options:GeneOnly]&amp;mk=4338687:4338706|offset_1|444444,4338711:4338730|offset_25|444444,4338735:4338754|offset_49|00cc00,4338766:4338785|offset_80|444444&amp;v=4338486:4338985&amp;c=444444", "offset 49")</f>
        <v>offset 49</v>
      </c>
    </row>
    <row r="15356" customFormat="false" ht="12.8" hidden="false" customHeight="false" outlineLevel="0" collapsed="false">
      <c r="A15356" s="0" t="s">
        <v>12</v>
      </c>
      <c r="B15356" s="0" t="n">
        <v>4338765</v>
      </c>
      <c r="C15356" s="0" t="n">
        <v>4338785</v>
      </c>
      <c r="D15356" s="0" t="s">
        <v>51163</v>
      </c>
      <c r="E15356" s="0" t="s">
        <v>89</v>
      </c>
      <c r="F15356" s="0" t="s">
        <v>15</v>
      </c>
      <c r="G15356" s="0" t="s">
        <v>26</v>
      </c>
      <c r="H15356" s="0" t="n">
        <v>80</v>
      </c>
      <c r="I15356" s="0" t="s">
        <v>51173</v>
      </c>
      <c r="J15356" s="0" t="s">
        <v>51174</v>
      </c>
      <c r="K15356" s="0" t="s">
        <v>51175</v>
      </c>
      <c r="L15356" s="0" t="str">
        <f aca="false">HYPERLINK("https://www.ncbi.nlm.nih.gov/nuccore/CP000304.1?report=graph&amp;tracks=[key:gene_model_track,Options:GeneOnly]&amp;mk=4338687:4338706|offset_1|444444,4338711:4338730|offset_25|444444,4338735:4338754|offset_49|444444,4338766:4338785|offset_80|00cc00&amp;v=4338486:4338985&amp;c=444444", "offset 80")</f>
        <v>offset 80</v>
      </c>
    </row>
    <row r="15357" customFormat="false" ht="12.8" hidden="false" customHeight="false" outlineLevel="0" collapsed="false">
      <c r="A15357" s="0" t="s">
        <v>12</v>
      </c>
      <c r="B15357" s="0" t="n">
        <v>4340310</v>
      </c>
      <c r="C15357" s="0" t="n">
        <v>4340330</v>
      </c>
      <c r="D15357" s="0" t="s">
        <v>51176</v>
      </c>
      <c r="E15357" s="0" t="s">
        <v>51177</v>
      </c>
      <c r="F15357" s="0" t="s">
        <v>15</v>
      </c>
      <c r="G15357" s="0" t="s">
        <v>16</v>
      </c>
      <c r="H15357" s="0" t="n">
        <v>52</v>
      </c>
      <c r="I15357" s="0" t="s">
        <v>51178</v>
      </c>
      <c r="J15357" s="0" t="s">
        <v>51179</v>
      </c>
      <c r="K15357" s="0" t="s">
        <v>51180</v>
      </c>
      <c r="L15357" s="0" t="str">
        <f aca="false">HYPERLINK("https://www.ncbi.nlm.nih.gov/nuccore/CP000304.1?report=graph&amp;tracks=[key:gene_model_track,Options:GeneOnly]&amp;mk=4340311:4340330|offset_52|00cc00,4340344:4340363|offset_85|444444,4340364:4340383|offset_105|444444,4340386:4340405|offset_127|444444&amp;v=4340110:4340605&amp;c=444444", "offset 52")</f>
        <v>offset 52</v>
      </c>
    </row>
    <row r="15358" customFormat="false" ht="12.8" hidden="false" customHeight="false" outlineLevel="0" collapsed="false">
      <c r="A15358" s="0" t="s">
        <v>12</v>
      </c>
      <c r="B15358" s="0" t="n">
        <v>4340343</v>
      </c>
      <c r="C15358" s="0" t="n">
        <v>4340363</v>
      </c>
      <c r="D15358" s="0" t="s">
        <v>51176</v>
      </c>
      <c r="E15358" s="0" t="s">
        <v>51177</v>
      </c>
      <c r="F15358" s="0" t="s">
        <v>15</v>
      </c>
      <c r="G15358" s="0" t="s">
        <v>16</v>
      </c>
      <c r="H15358" s="0" t="n">
        <v>85</v>
      </c>
      <c r="I15358" s="0" t="s">
        <v>51181</v>
      </c>
      <c r="J15358" s="0" t="s">
        <v>51182</v>
      </c>
      <c r="K15358" s="0" t="s">
        <v>51183</v>
      </c>
      <c r="L15358" s="0" t="str">
        <f aca="false">HYPERLINK("https://www.ncbi.nlm.nih.gov/nuccore/CP000304.1?report=graph&amp;tracks=[key:gene_model_track,Options:GeneOnly]&amp;mk=4340311:4340330|offset_52|444444,4340344:4340363|offset_85|00cc00,4340364:4340383|offset_105|444444,4340386:4340405|offset_127|444444&amp;v=4340110:4340605&amp;c=444444", "offset 85")</f>
        <v>offset 85</v>
      </c>
    </row>
    <row r="15359" customFormat="false" ht="12.8" hidden="false" customHeight="false" outlineLevel="0" collapsed="false">
      <c r="A15359" s="0" t="s">
        <v>12</v>
      </c>
      <c r="B15359" s="0" t="n">
        <v>4340363</v>
      </c>
      <c r="C15359" s="0" t="n">
        <v>4340383</v>
      </c>
      <c r="D15359" s="0" t="s">
        <v>51176</v>
      </c>
      <c r="E15359" s="0" t="s">
        <v>51177</v>
      </c>
      <c r="F15359" s="0" t="s">
        <v>15</v>
      </c>
      <c r="G15359" s="0" t="s">
        <v>36</v>
      </c>
      <c r="H15359" s="0" t="n">
        <v>105</v>
      </c>
      <c r="I15359" s="0" t="s">
        <v>51184</v>
      </c>
      <c r="J15359" s="0" t="s">
        <v>51185</v>
      </c>
      <c r="K15359" s="0" t="s">
        <v>51186</v>
      </c>
      <c r="L15359" s="0" t="str">
        <f aca="false">HYPERLINK("https://www.ncbi.nlm.nih.gov/nuccore/CP000304.1?report=graph&amp;tracks=[key:gene_model_track,Options:GeneOnly]&amp;mk=4340311:4340330|offset_52|444444,4340344:4340363|offset_85|444444,4340364:4340383|offset_105|00cc00,4340386:4340405|offset_127|444444&amp;v=4340110:4340605&amp;c=444444", "offset 105")</f>
        <v>offset 105</v>
      </c>
    </row>
    <row r="15360" customFormat="false" ht="12.8" hidden="false" customHeight="false" outlineLevel="0" collapsed="false">
      <c r="A15360" s="0" t="s">
        <v>12</v>
      </c>
      <c r="B15360" s="0" t="n">
        <v>4340385</v>
      </c>
      <c r="C15360" s="0" t="n">
        <v>4340405</v>
      </c>
      <c r="D15360" s="0" t="s">
        <v>51176</v>
      </c>
      <c r="E15360" s="0" t="s">
        <v>51177</v>
      </c>
      <c r="F15360" s="0" t="s">
        <v>15</v>
      </c>
      <c r="G15360" s="0" t="s">
        <v>16</v>
      </c>
      <c r="H15360" s="0" t="n">
        <v>127</v>
      </c>
      <c r="I15360" s="0" t="s">
        <v>51187</v>
      </c>
      <c r="J15360" s="0" t="s">
        <v>51188</v>
      </c>
      <c r="K15360" s="0" t="s">
        <v>51189</v>
      </c>
      <c r="L15360" s="0" t="str">
        <f aca="false">HYPERLINK("https://www.ncbi.nlm.nih.gov/nuccore/CP000304.1?report=graph&amp;tracks=[key:gene_model_track,Options:GeneOnly]&amp;mk=4340311:4340330|offset_52|444444,4340344:4340363|offset_85|444444,4340364:4340383|offset_105|444444,4340386:4340405|offset_127|00cc00&amp;v=4340110:4340605&amp;c=444444", "offset 127")</f>
        <v>offset 127</v>
      </c>
    </row>
    <row r="15361" customFormat="false" ht="12.8" hidden="false" customHeight="false" outlineLevel="0" collapsed="false">
      <c r="A15361" s="0" t="s">
        <v>12</v>
      </c>
      <c r="B15361" s="0" t="n">
        <v>4340984</v>
      </c>
      <c r="C15361" s="0" t="n">
        <v>4341004</v>
      </c>
      <c r="D15361" s="0" t="s">
        <v>51190</v>
      </c>
      <c r="E15361" s="0" t="s">
        <v>51191</v>
      </c>
      <c r="F15361" s="0" t="s">
        <v>15</v>
      </c>
      <c r="G15361" s="0" t="s">
        <v>36</v>
      </c>
      <c r="H15361" s="0" t="n">
        <v>7</v>
      </c>
      <c r="I15361" s="0" t="s">
        <v>51192</v>
      </c>
      <c r="J15361" s="0" t="s">
        <v>51193</v>
      </c>
      <c r="K15361" s="0" t="s">
        <v>51194</v>
      </c>
      <c r="L15361" s="0" t="str">
        <f aca="false">HYPERLINK("https://www.ncbi.nlm.nih.gov/nuccore/CP000304.1?report=graph&amp;tracks=[key:gene_model_track,Options:GeneOnly]&amp;mk=4340985:4341004|offset_7|00cc00,4341029:4341048|offset_51|444444,4341054:4341073|offset_76|444444,4341082:4341101|offset_104|444444&amp;v=4340784:4341301&amp;c=444444", "offset 7")</f>
        <v>offset 7</v>
      </c>
    </row>
    <row r="15362" customFormat="false" ht="12.8" hidden="false" customHeight="false" outlineLevel="0" collapsed="false">
      <c r="A15362" s="0" t="s">
        <v>12</v>
      </c>
      <c r="B15362" s="0" t="n">
        <v>4341028</v>
      </c>
      <c r="C15362" s="0" t="n">
        <v>4341048</v>
      </c>
      <c r="D15362" s="0" t="s">
        <v>51190</v>
      </c>
      <c r="E15362" s="0" t="s">
        <v>51191</v>
      </c>
      <c r="F15362" s="0" t="s">
        <v>15</v>
      </c>
      <c r="G15362" s="0" t="s">
        <v>16</v>
      </c>
      <c r="H15362" s="0" t="n">
        <v>51</v>
      </c>
      <c r="I15362" s="0" t="s">
        <v>51195</v>
      </c>
      <c r="J15362" s="0" t="s">
        <v>51196</v>
      </c>
      <c r="K15362" s="0" t="s">
        <v>51197</v>
      </c>
      <c r="L15362" s="0" t="str">
        <f aca="false">HYPERLINK("https://www.ncbi.nlm.nih.gov/nuccore/CP000304.1?report=graph&amp;tracks=[key:gene_model_track,Options:GeneOnly]&amp;mk=4340985:4341004|offset_7|444444,4341029:4341048|offset_51|00cc00,4341054:4341073|offset_76|444444,4341082:4341101|offset_104|444444&amp;v=4340784:4341301&amp;c=444444", "offset 51")</f>
        <v>offset 51</v>
      </c>
    </row>
    <row r="15363" customFormat="false" ht="12.8" hidden="false" customHeight="false" outlineLevel="0" collapsed="false">
      <c r="A15363" s="0" t="s">
        <v>12</v>
      </c>
      <c r="B15363" s="0" t="n">
        <v>4341053</v>
      </c>
      <c r="C15363" s="0" t="n">
        <v>4341073</v>
      </c>
      <c r="D15363" s="0" t="s">
        <v>51190</v>
      </c>
      <c r="E15363" s="0" t="s">
        <v>51191</v>
      </c>
      <c r="F15363" s="0" t="s">
        <v>15</v>
      </c>
      <c r="G15363" s="0" t="s">
        <v>36</v>
      </c>
      <c r="H15363" s="0" t="n">
        <v>76</v>
      </c>
      <c r="I15363" s="0" t="s">
        <v>51198</v>
      </c>
      <c r="J15363" s="0" t="s">
        <v>51199</v>
      </c>
      <c r="K15363" s="0" t="s">
        <v>51200</v>
      </c>
      <c r="L15363" s="0" t="str">
        <f aca="false">HYPERLINK("https://www.ncbi.nlm.nih.gov/nuccore/CP000304.1?report=graph&amp;tracks=[key:gene_model_track,Options:GeneOnly]&amp;mk=4340985:4341004|offset_7|444444,4341029:4341048|offset_51|444444,4341054:4341073|offset_76|00cc00,4341082:4341101|offset_104|444444&amp;v=4340784:4341301&amp;c=444444", "offset 76")</f>
        <v>offset 76</v>
      </c>
    </row>
    <row r="15364" customFormat="false" ht="12.8" hidden="false" customHeight="false" outlineLevel="0" collapsed="false">
      <c r="A15364" s="0" t="s">
        <v>12</v>
      </c>
      <c r="B15364" s="0" t="n">
        <v>4341081</v>
      </c>
      <c r="C15364" s="0" t="n">
        <v>4341101</v>
      </c>
      <c r="D15364" s="0" t="s">
        <v>51190</v>
      </c>
      <c r="E15364" s="0" t="s">
        <v>51191</v>
      </c>
      <c r="F15364" s="0" t="s">
        <v>15</v>
      </c>
      <c r="G15364" s="0" t="s">
        <v>36</v>
      </c>
      <c r="H15364" s="0" t="n">
        <v>104</v>
      </c>
      <c r="I15364" s="0" t="s">
        <v>51201</v>
      </c>
      <c r="J15364" s="0" t="s">
        <v>51202</v>
      </c>
      <c r="K15364" s="0" t="s">
        <v>51203</v>
      </c>
      <c r="L15364" s="0" t="str">
        <f aca="false">HYPERLINK("https://www.ncbi.nlm.nih.gov/nuccore/CP000304.1?report=graph&amp;tracks=[key:gene_model_track,Options:GeneOnly]&amp;mk=4340985:4341004|offset_7|444444,4341029:4341048|offset_51|444444,4341054:4341073|offset_76|444444,4341082:4341101|offset_104|00cc00&amp;v=4340784:4341301&amp;c=444444", "offset 104")</f>
        <v>offset 104</v>
      </c>
    </row>
    <row r="15365" customFormat="false" ht="12.8" hidden="false" customHeight="false" outlineLevel="0" collapsed="false">
      <c r="A15365" s="0" t="s">
        <v>12</v>
      </c>
      <c r="B15365" s="0" t="n">
        <v>4341246</v>
      </c>
      <c r="C15365" s="0" t="n">
        <v>4341266</v>
      </c>
      <c r="D15365" s="0" t="s">
        <v>51204</v>
      </c>
      <c r="E15365" s="0" t="s">
        <v>89</v>
      </c>
      <c r="F15365" s="0" t="s">
        <v>15</v>
      </c>
      <c r="G15365" s="0" t="s">
        <v>16</v>
      </c>
      <c r="H15365" s="0" t="n">
        <v>18</v>
      </c>
      <c r="I15365" s="0" t="s">
        <v>51205</v>
      </c>
      <c r="J15365" s="0" t="s">
        <v>51206</v>
      </c>
      <c r="K15365" s="0" t="s">
        <v>51207</v>
      </c>
      <c r="L15365" s="0" t="str">
        <f aca="false">HYPERLINK("https://www.ncbi.nlm.nih.gov/nuccore/CP000304.1?report=graph&amp;tracks=[key:gene_model_track,Options:GeneOnly]&amp;mk=4341247:4341266|offset_18|00cc00,4341279:4341298|offset_50|444444,4341311:4341330|offset_82|444444,4341331:4341350|offset_102|444444&amp;v=4341046:4341550&amp;c=444444", "offset 18")</f>
        <v>offset 18</v>
      </c>
    </row>
    <row r="15366" customFormat="false" ht="12.8" hidden="false" customHeight="false" outlineLevel="0" collapsed="false">
      <c r="A15366" s="0" t="s">
        <v>12</v>
      </c>
      <c r="B15366" s="0" t="n">
        <v>4341278</v>
      </c>
      <c r="C15366" s="0" t="n">
        <v>4341298</v>
      </c>
      <c r="D15366" s="0" t="s">
        <v>51204</v>
      </c>
      <c r="E15366" s="0" t="s">
        <v>89</v>
      </c>
      <c r="F15366" s="0" t="s">
        <v>15</v>
      </c>
      <c r="G15366" s="0" t="s">
        <v>32</v>
      </c>
      <c r="H15366" s="0" t="n">
        <v>50</v>
      </c>
      <c r="I15366" s="0" t="s">
        <v>51208</v>
      </c>
      <c r="J15366" s="0" t="s">
        <v>51209</v>
      </c>
      <c r="K15366" s="0" t="s">
        <v>51210</v>
      </c>
      <c r="L15366" s="0" t="str">
        <f aca="false">HYPERLINK("https://www.ncbi.nlm.nih.gov/nuccore/CP000304.1?report=graph&amp;tracks=[key:gene_model_track,Options:GeneOnly]&amp;mk=4341247:4341266|offset_18|444444,4341279:4341298|offset_50|00cc00,4341311:4341330|offset_82|444444,4341331:4341350|offset_102|444444&amp;v=4341046:4341550&amp;c=444444", "offset 50")</f>
        <v>offset 50</v>
      </c>
    </row>
    <row r="15367" customFormat="false" ht="12.8" hidden="false" customHeight="false" outlineLevel="0" collapsed="false">
      <c r="A15367" s="0" t="s">
        <v>12</v>
      </c>
      <c r="B15367" s="0" t="n">
        <v>4341310</v>
      </c>
      <c r="C15367" s="0" t="n">
        <v>4341330</v>
      </c>
      <c r="D15367" s="0" t="s">
        <v>51204</v>
      </c>
      <c r="E15367" s="0" t="s">
        <v>89</v>
      </c>
      <c r="F15367" s="0" t="s">
        <v>15</v>
      </c>
      <c r="G15367" s="0" t="s">
        <v>26</v>
      </c>
      <c r="H15367" s="0" t="n">
        <v>82</v>
      </c>
      <c r="I15367" s="0" t="s">
        <v>51211</v>
      </c>
      <c r="J15367" s="0" t="s">
        <v>51212</v>
      </c>
      <c r="K15367" s="0" t="s">
        <v>51213</v>
      </c>
      <c r="L15367" s="0" t="str">
        <f aca="false">HYPERLINK("https://www.ncbi.nlm.nih.gov/nuccore/CP000304.1?report=graph&amp;tracks=[key:gene_model_track,Options:GeneOnly]&amp;mk=4341247:4341266|offset_18|444444,4341279:4341298|offset_50|444444,4341311:4341330|offset_82|00cc00,4341331:4341350|offset_102|444444&amp;v=4341046:4341550&amp;c=444444", "offset 82")</f>
        <v>offset 82</v>
      </c>
    </row>
    <row r="15368" customFormat="false" ht="12.8" hidden="false" customHeight="false" outlineLevel="0" collapsed="false">
      <c r="A15368" s="0" t="s">
        <v>12</v>
      </c>
      <c r="B15368" s="0" t="n">
        <v>4341330</v>
      </c>
      <c r="C15368" s="0" t="n">
        <v>4341350</v>
      </c>
      <c r="D15368" s="0" t="s">
        <v>51204</v>
      </c>
      <c r="E15368" s="0" t="s">
        <v>89</v>
      </c>
      <c r="F15368" s="0" t="s">
        <v>15</v>
      </c>
      <c r="G15368" s="0" t="s">
        <v>16</v>
      </c>
      <c r="H15368" s="0" t="n">
        <v>102</v>
      </c>
      <c r="I15368" s="0" t="s">
        <v>51214</v>
      </c>
      <c r="J15368" s="0" t="s">
        <v>51215</v>
      </c>
      <c r="K15368" s="0" t="s">
        <v>51216</v>
      </c>
      <c r="L15368" s="0" t="str">
        <f aca="false">HYPERLINK("https://www.ncbi.nlm.nih.gov/nuccore/CP000304.1?report=graph&amp;tracks=[key:gene_model_track,Options:GeneOnly]&amp;mk=4341247:4341266|offset_18|444444,4341279:4341298|offset_50|444444,4341311:4341330|offset_82|444444,4341331:4341350|offset_102|00cc00&amp;v=4341046:4341550&amp;c=444444", "offset 102")</f>
        <v>offset 102</v>
      </c>
    </row>
    <row r="15369" customFormat="false" ht="12.8" hidden="false" customHeight="false" outlineLevel="0" collapsed="false">
      <c r="A15369" s="0" t="s">
        <v>12</v>
      </c>
      <c r="B15369" s="0" t="n">
        <v>4344703</v>
      </c>
      <c r="C15369" s="0" t="n">
        <v>4344723</v>
      </c>
      <c r="D15369" s="0" t="s">
        <v>51217</v>
      </c>
      <c r="E15369" s="0" t="s">
        <v>89</v>
      </c>
      <c r="F15369" s="0" t="s">
        <v>90</v>
      </c>
      <c r="G15369" s="0" t="s">
        <v>26</v>
      </c>
      <c r="H15369" s="0" t="n">
        <v>13</v>
      </c>
      <c r="I15369" s="0" t="s">
        <v>51218</v>
      </c>
      <c r="J15369" s="0" t="s">
        <v>51219</v>
      </c>
      <c r="K15369" s="0" t="s">
        <v>51220</v>
      </c>
      <c r="L15369" s="0" t="str">
        <f aca="false">HYPERLINK("https://www.ncbi.nlm.nih.gov/nuccore/CP000304.1?report=graph&amp;tracks=[key:gene_model_track,Options:GeneOnly]&amp;mk=4344704:4344723|offset_13|00cc00,4344646:4344665|offset_71|444444,4344616:4344635|offset_101|444444,4344575:4344594|offset_142|444444&amp;v=4344503:4344794&amp;c=444444", "offset 13")</f>
        <v>offset 13</v>
      </c>
    </row>
    <row r="15370" customFormat="false" ht="12.8" hidden="false" customHeight="false" outlineLevel="0" collapsed="false">
      <c r="A15370" s="0" t="s">
        <v>12</v>
      </c>
      <c r="B15370" s="0" t="n">
        <v>4344645</v>
      </c>
      <c r="C15370" s="0" t="n">
        <v>4344665</v>
      </c>
      <c r="D15370" s="0" t="s">
        <v>51217</v>
      </c>
      <c r="E15370" s="0" t="s">
        <v>89</v>
      </c>
      <c r="F15370" s="0" t="s">
        <v>90</v>
      </c>
      <c r="G15370" s="0" t="s">
        <v>26</v>
      </c>
      <c r="H15370" s="0" t="n">
        <v>71</v>
      </c>
      <c r="I15370" s="0" t="s">
        <v>51221</v>
      </c>
      <c r="J15370" s="0" t="s">
        <v>51222</v>
      </c>
      <c r="K15370" s="0" t="s">
        <v>51223</v>
      </c>
      <c r="L15370" s="0" t="str">
        <f aca="false">HYPERLINK("https://www.ncbi.nlm.nih.gov/nuccore/CP000304.1?report=graph&amp;tracks=[key:gene_model_track,Options:GeneOnly]&amp;mk=4344704:4344723|offset_13|444444,4344646:4344665|offset_71|00cc00,4344616:4344635|offset_101|444444,4344575:4344594|offset_142|444444&amp;v=4344503:4344794&amp;c=444444", "offset 71")</f>
        <v>offset 71</v>
      </c>
    </row>
    <row r="15371" customFormat="false" ht="12.8" hidden="false" customHeight="false" outlineLevel="0" collapsed="false">
      <c r="A15371" s="0" t="s">
        <v>12</v>
      </c>
      <c r="B15371" s="0" t="n">
        <v>4344615</v>
      </c>
      <c r="C15371" s="0" t="n">
        <v>4344635</v>
      </c>
      <c r="D15371" s="0" t="s">
        <v>51217</v>
      </c>
      <c r="E15371" s="0" t="s">
        <v>89</v>
      </c>
      <c r="F15371" s="0" t="s">
        <v>90</v>
      </c>
      <c r="G15371" s="0" t="s">
        <v>26</v>
      </c>
      <c r="H15371" s="0" t="n">
        <v>101</v>
      </c>
      <c r="I15371" s="0" t="s">
        <v>51224</v>
      </c>
      <c r="J15371" s="0" t="s">
        <v>51225</v>
      </c>
      <c r="K15371" s="0" t="s">
        <v>51226</v>
      </c>
      <c r="L15371" s="0" t="str">
        <f aca="false">HYPERLINK("https://www.ncbi.nlm.nih.gov/nuccore/CP000304.1?report=graph&amp;tracks=[key:gene_model_track,Options:GeneOnly]&amp;mk=4344704:4344723|offset_13|444444,4344646:4344665|offset_71|444444,4344616:4344635|offset_101|00cc00,4344575:4344594|offset_142|444444&amp;v=4344503:4344794&amp;c=444444", "offset 101")</f>
        <v>offset 101</v>
      </c>
    </row>
    <row r="15372" customFormat="false" ht="12.8" hidden="false" customHeight="false" outlineLevel="0" collapsed="false">
      <c r="A15372" s="0" t="s">
        <v>12</v>
      </c>
      <c r="B15372" s="0" t="n">
        <v>4344574</v>
      </c>
      <c r="C15372" s="0" t="n">
        <v>4344594</v>
      </c>
      <c r="D15372" s="0" t="s">
        <v>51217</v>
      </c>
      <c r="E15372" s="0" t="s">
        <v>89</v>
      </c>
      <c r="F15372" s="0" t="s">
        <v>90</v>
      </c>
      <c r="G15372" s="0" t="s">
        <v>36</v>
      </c>
      <c r="H15372" s="0" t="n">
        <v>142</v>
      </c>
      <c r="I15372" s="0" t="s">
        <v>51227</v>
      </c>
      <c r="J15372" s="0" t="s">
        <v>51228</v>
      </c>
      <c r="K15372" s="0" t="s">
        <v>51229</v>
      </c>
      <c r="L15372" s="0" t="str">
        <f aca="false">HYPERLINK("https://www.ncbi.nlm.nih.gov/nuccore/CP000304.1?report=graph&amp;tracks=[key:gene_model_track,Options:GeneOnly]&amp;mk=4344704:4344723|offset_13|444444,4344646:4344665|offset_71|444444,4344616:4344635|offset_101|444444,4344575:4344594|offset_142|00cc00&amp;v=4344503:4344794&amp;c=444444", "offset 142")</f>
        <v>offset 142</v>
      </c>
    </row>
    <row r="15373" customFormat="false" ht="12.8" hidden="false" customHeight="false" outlineLevel="0" collapsed="false">
      <c r="A15373" s="0" t="s">
        <v>12</v>
      </c>
      <c r="B15373" s="0" t="n">
        <v>4345233</v>
      </c>
      <c r="C15373" s="0" t="n">
        <v>4345253</v>
      </c>
      <c r="D15373" s="0" t="s">
        <v>51230</v>
      </c>
      <c r="E15373" s="0" t="s">
        <v>89</v>
      </c>
      <c r="F15373" s="0" t="s">
        <v>90</v>
      </c>
      <c r="G15373" s="0" t="s">
        <v>16</v>
      </c>
      <c r="H15373" s="0" t="n">
        <v>6</v>
      </c>
      <c r="I15373" s="0" t="s">
        <v>51231</v>
      </c>
      <c r="J15373" s="0" t="s">
        <v>51232</v>
      </c>
      <c r="K15373" s="0" t="s">
        <v>51233</v>
      </c>
      <c r="L15373" s="0" t="str">
        <f aca="false">HYPERLINK("https://www.ncbi.nlm.nih.gov/nuccore/CP000304.1?report=graph&amp;tracks=[key:gene_model_track,Options:GeneOnly]&amp;mk=4345234:4345253|offset_6|00cc00,4345211:4345230|offset_29|444444,4345188:4345207|offset_52|444444,4345164:4345183|offset_76|444444&amp;v=4345033:4345383&amp;c=444444", "offset 6")</f>
        <v>offset 6</v>
      </c>
    </row>
    <row r="15374" customFormat="false" ht="12.8" hidden="false" customHeight="false" outlineLevel="0" collapsed="false">
      <c r="A15374" s="0" t="s">
        <v>12</v>
      </c>
      <c r="B15374" s="0" t="n">
        <v>4345210</v>
      </c>
      <c r="C15374" s="0" t="n">
        <v>4345230</v>
      </c>
      <c r="D15374" s="0" t="s">
        <v>51230</v>
      </c>
      <c r="E15374" s="0" t="s">
        <v>89</v>
      </c>
      <c r="F15374" s="0" t="s">
        <v>90</v>
      </c>
      <c r="G15374" s="0" t="s">
        <v>32</v>
      </c>
      <c r="H15374" s="0" t="n">
        <v>29</v>
      </c>
      <c r="I15374" s="0" t="s">
        <v>51234</v>
      </c>
      <c r="J15374" s="0" t="s">
        <v>51235</v>
      </c>
      <c r="K15374" s="0" t="s">
        <v>51236</v>
      </c>
      <c r="L15374" s="0" t="str">
        <f aca="false">HYPERLINK("https://www.ncbi.nlm.nih.gov/nuccore/CP000304.1?report=graph&amp;tracks=[key:gene_model_track,Options:GeneOnly]&amp;mk=4345234:4345253|offset_6|444444,4345211:4345230|offset_29|00cc00,4345188:4345207|offset_52|444444,4345164:4345183|offset_76|444444&amp;v=4345033:4345383&amp;c=444444", "offset 29")</f>
        <v>offset 29</v>
      </c>
    </row>
    <row r="15375" customFormat="false" ht="12.8" hidden="false" customHeight="false" outlineLevel="0" collapsed="false">
      <c r="A15375" s="0" t="s">
        <v>12</v>
      </c>
      <c r="B15375" s="0" t="n">
        <v>4345187</v>
      </c>
      <c r="C15375" s="0" t="n">
        <v>4345207</v>
      </c>
      <c r="D15375" s="0" t="s">
        <v>51230</v>
      </c>
      <c r="E15375" s="0" t="s">
        <v>89</v>
      </c>
      <c r="F15375" s="0" t="s">
        <v>90</v>
      </c>
      <c r="G15375" s="0" t="s">
        <v>32</v>
      </c>
      <c r="H15375" s="0" t="n">
        <v>52</v>
      </c>
      <c r="I15375" s="0" t="s">
        <v>51237</v>
      </c>
      <c r="J15375" s="0" t="s">
        <v>51238</v>
      </c>
      <c r="K15375" s="0" t="s">
        <v>51239</v>
      </c>
      <c r="L15375" s="0" t="str">
        <f aca="false">HYPERLINK("https://www.ncbi.nlm.nih.gov/nuccore/CP000304.1?report=graph&amp;tracks=[key:gene_model_track,Options:GeneOnly]&amp;mk=4345234:4345253|offset_6|444444,4345211:4345230|offset_29|444444,4345188:4345207|offset_52|00cc00,4345164:4345183|offset_76|444444&amp;v=4345033:4345383&amp;c=444444", "offset 52")</f>
        <v>offset 52</v>
      </c>
    </row>
    <row r="15376" customFormat="false" ht="12.8" hidden="false" customHeight="false" outlineLevel="0" collapsed="false">
      <c r="A15376" s="0" t="s">
        <v>12</v>
      </c>
      <c r="B15376" s="0" t="n">
        <v>4345163</v>
      </c>
      <c r="C15376" s="0" t="n">
        <v>4345183</v>
      </c>
      <c r="D15376" s="0" t="s">
        <v>51230</v>
      </c>
      <c r="E15376" s="0" t="s">
        <v>89</v>
      </c>
      <c r="F15376" s="0" t="s">
        <v>90</v>
      </c>
      <c r="G15376" s="0" t="s">
        <v>32</v>
      </c>
      <c r="H15376" s="0" t="n">
        <v>76</v>
      </c>
      <c r="I15376" s="0" t="s">
        <v>51240</v>
      </c>
      <c r="J15376" s="0" t="s">
        <v>51241</v>
      </c>
      <c r="K15376" s="0" t="s">
        <v>51242</v>
      </c>
      <c r="L15376" s="0" t="str">
        <f aca="false">HYPERLINK("https://www.ncbi.nlm.nih.gov/nuccore/CP000304.1?report=graph&amp;tracks=[key:gene_model_track,Options:GeneOnly]&amp;mk=4345234:4345253|offset_6|444444,4345211:4345230|offset_29|444444,4345188:4345207|offset_52|444444,4345164:4345183|offset_76|00cc00&amp;v=4345033:4345383&amp;c=444444", "offset 76")</f>
        <v>offset 76</v>
      </c>
    </row>
    <row r="15377" customFormat="false" ht="12.8" hidden="false" customHeight="false" outlineLevel="0" collapsed="false">
      <c r="A15377" s="0" t="s">
        <v>12</v>
      </c>
      <c r="B15377" s="0" t="n">
        <v>4346132</v>
      </c>
      <c r="C15377" s="0" t="n">
        <v>4346152</v>
      </c>
      <c r="D15377" s="0" t="s">
        <v>51243</v>
      </c>
      <c r="E15377" s="0" t="s">
        <v>51244</v>
      </c>
      <c r="F15377" s="0" t="s">
        <v>90</v>
      </c>
      <c r="G15377" s="0" t="s">
        <v>32</v>
      </c>
      <c r="H15377" s="0" t="n">
        <v>1</v>
      </c>
      <c r="I15377" s="0" t="s">
        <v>51245</v>
      </c>
      <c r="J15377" s="0" t="s">
        <v>51246</v>
      </c>
      <c r="K15377" s="0" t="s">
        <v>51247</v>
      </c>
      <c r="L15377" s="0" t="str">
        <f aca="false">HYPERLINK("https://www.ncbi.nlm.nih.gov/nuccore/CP000304.1?report=graph&amp;tracks=[key:gene_model_track,Options:GeneOnly]&amp;mk=4346133:4346152|offset_1|00cc00,4346106:4346125|offset_28|444444,4346086:4346105|offset_48|444444,4346060:4346079|offset_74|444444&amp;v=4345932:4346279&amp;c=444444", "offset 1")</f>
        <v>offset 1</v>
      </c>
    </row>
    <row r="15378" customFormat="false" ht="12.8" hidden="false" customHeight="false" outlineLevel="0" collapsed="false">
      <c r="A15378" s="0" t="s">
        <v>12</v>
      </c>
      <c r="B15378" s="0" t="n">
        <v>4346105</v>
      </c>
      <c r="C15378" s="0" t="n">
        <v>4346125</v>
      </c>
      <c r="D15378" s="0" t="s">
        <v>51243</v>
      </c>
      <c r="E15378" s="0" t="s">
        <v>51244</v>
      </c>
      <c r="F15378" s="0" t="s">
        <v>90</v>
      </c>
      <c r="G15378" s="0" t="s">
        <v>32</v>
      </c>
      <c r="H15378" s="0" t="n">
        <v>28</v>
      </c>
      <c r="I15378" s="0" t="s">
        <v>51248</v>
      </c>
      <c r="J15378" s="0" t="s">
        <v>51249</v>
      </c>
      <c r="K15378" s="0" t="s">
        <v>51250</v>
      </c>
      <c r="L15378" s="0" t="str">
        <f aca="false">HYPERLINK("https://www.ncbi.nlm.nih.gov/nuccore/CP000304.1?report=graph&amp;tracks=[key:gene_model_track,Options:GeneOnly]&amp;mk=4346133:4346152|offset_1|444444,4346106:4346125|offset_28|00cc00,4346086:4346105|offset_48|444444,4346060:4346079|offset_74|444444&amp;v=4345932:4346279&amp;c=444444", "offset 28")</f>
        <v>offset 28</v>
      </c>
    </row>
    <row r="15379" customFormat="false" ht="12.8" hidden="false" customHeight="false" outlineLevel="0" collapsed="false">
      <c r="A15379" s="0" t="s">
        <v>12</v>
      </c>
      <c r="B15379" s="0" t="n">
        <v>4346085</v>
      </c>
      <c r="C15379" s="0" t="n">
        <v>4346105</v>
      </c>
      <c r="D15379" s="0" t="s">
        <v>51243</v>
      </c>
      <c r="E15379" s="0" t="s">
        <v>51244</v>
      </c>
      <c r="F15379" s="0" t="s">
        <v>90</v>
      </c>
      <c r="G15379" s="0" t="s">
        <v>16</v>
      </c>
      <c r="H15379" s="0" t="n">
        <v>48</v>
      </c>
      <c r="I15379" s="0" t="s">
        <v>51251</v>
      </c>
      <c r="J15379" s="0" t="s">
        <v>51252</v>
      </c>
      <c r="K15379" s="0" t="s">
        <v>51253</v>
      </c>
      <c r="L15379" s="0" t="str">
        <f aca="false">HYPERLINK("https://www.ncbi.nlm.nih.gov/nuccore/CP000304.1?report=graph&amp;tracks=[key:gene_model_track,Options:GeneOnly]&amp;mk=4346133:4346152|offset_1|444444,4346106:4346125|offset_28|444444,4346086:4346105|offset_48|00cc00,4346060:4346079|offset_74|444444&amp;v=4345932:4346279&amp;c=444444", "offset 48")</f>
        <v>offset 48</v>
      </c>
    </row>
    <row r="15380" customFormat="false" ht="12.8" hidden="false" customHeight="false" outlineLevel="0" collapsed="false">
      <c r="A15380" s="0" t="s">
        <v>12</v>
      </c>
      <c r="B15380" s="0" t="n">
        <v>4346059</v>
      </c>
      <c r="C15380" s="0" t="n">
        <v>4346079</v>
      </c>
      <c r="D15380" s="0" t="s">
        <v>51243</v>
      </c>
      <c r="E15380" s="0" t="s">
        <v>51244</v>
      </c>
      <c r="F15380" s="0" t="s">
        <v>90</v>
      </c>
      <c r="G15380" s="0" t="s">
        <v>16</v>
      </c>
      <c r="H15380" s="0" t="n">
        <v>74</v>
      </c>
      <c r="I15380" s="0" t="s">
        <v>51254</v>
      </c>
      <c r="J15380" s="0" t="s">
        <v>51255</v>
      </c>
      <c r="K15380" s="0" t="s">
        <v>51256</v>
      </c>
      <c r="L15380" s="0" t="str">
        <f aca="false">HYPERLINK("https://www.ncbi.nlm.nih.gov/nuccore/CP000304.1?report=graph&amp;tracks=[key:gene_model_track,Options:GeneOnly]&amp;mk=4346133:4346152|offset_1|444444,4346106:4346125|offset_28|444444,4346086:4346105|offset_48|444444,4346060:4346079|offset_74|00cc00&amp;v=4345932:4346279&amp;c=444444", "offset 74")</f>
        <v>offset 74</v>
      </c>
    </row>
    <row r="15381" customFormat="false" ht="12.8" hidden="false" customHeight="false" outlineLevel="0" collapsed="false">
      <c r="A15381" s="0" t="s">
        <v>12</v>
      </c>
      <c r="B15381" s="0" t="n">
        <v>4347123</v>
      </c>
      <c r="C15381" s="0" t="n">
        <v>4347143</v>
      </c>
      <c r="D15381" s="0" t="s">
        <v>51257</v>
      </c>
      <c r="E15381" s="0" t="s">
        <v>89</v>
      </c>
      <c r="F15381" s="0" t="s">
        <v>90</v>
      </c>
      <c r="G15381" s="0" t="s">
        <v>36</v>
      </c>
      <c r="H15381" s="0" t="n">
        <v>14</v>
      </c>
      <c r="I15381" s="0" t="s">
        <v>51258</v>
      </c>
      <c r="J15381" s="0" t="s">
        <v>51259</v>
      </c>
      <c r="K15381" s="0" t="s">
        <v>51260</v>
      </c>
      <c r="L15381" s="0" t="str">
        <f aca="false">HYPERLINK("https://www.ncbi.nlm.nih.gov/nuccore/CP000304.1?report=graph&amp;tracks=[key:gene_model_track,Options:GeneOnly]&amp;mk=4347124:4347143|offset_14|00cc00,4347102:4347121|offset_36|444444,4347078:4347097|offset_60|444444,4347056:4347075|offset_82|444444&amp;v=4346923:4347275&amp;c=444444", "offset 14")</f>
        <v>offset 14</v>
      </c>
    </row>
    <row r="15382" customFormat="false" ht="12.8" hidden="false" customHeight="false" outlineLevel="0" collapsed="false">
      <c r="A15382" s="0" t="s">
        <v>12</v>
      </c>
      <c r="B15382" s="0" t="n">
        <v>4347101</v>
      </c>
      <c r="C15382" s="0" t="n">
        <v>4347121</v>
      </c>
      <c r="D15382" s="0" t="s">
        <v>51257</v>
      </c>
      <c r="E15382" s="0" t="s">
        <v>89</v>
      </c>
      <c r="F15382" s="0" t="s">
        <v>90</v>
      </c>
      <c r="G15382" s="0" t="s">
        <v>36</v>
      </c>
      <c r="H15382" s="0" t="n">
        <v>36</v>
      </c>
      <c r="I15382" s="0" t="s">
        <v>51261</v>
      </c>
      <c r="J15382" s="0" t="s">
        <v>51262</v>
      </c>
      <c r="K15382" s="0" t="s">
        <v>51263</v>
      </c>
      <c r="L15382" s="0" t="str">
        <f aca="false">HYPERLINK("https://www.ncbi.nlm.nih.gov/nuccore/CP000304.1?report=graph&amp;tracks=[key:gene_model_track,Options:GeneOnly]&amp;mk=4347124:4347143|offset_14|444444,4347102:4347121|offset_36|00cc00,4347078:4347097|offset_60|444444,4347056:4347075|offset_82|444444&amp;v=4346923:4347275&amp;c=444444", "offset 36")</f>
        <v>offset 36</v>
      </c>
    </row>
    <row r="15383" customFormat="false" ht="12.8" hidden="false" customHeight="false" outlineLevel="0" collapsed="false">
      <c r="A15383" s="0" t="s">
        <v>12</v>
      </c>
      <c r="B15383" s="0" t="n">
        <v>4347077</v>
      </c>
      <c r="C15383" s="0" t="n">
        <v>4347097</v>
      </c>
      <c r="D15383" s="0" t="s">
        <v>51257</v>
      </c>
      <c r="E15383" s="0" t="s">
        <v>89</v>
      </c>
      <c r="F15383" s="0" t="s">
        <v>90</v>
      </c>
      <c r="G15383" s="0" t="s">
        <v>26</v>
      </c>
      <c r="H15383" s="0" t="n">
        <v>60</v>
      </c>
      <c r="I15383" s="0" t="s">
        <v>51264</v>
      </c>
      <c r="J15383" s="0" t="s">
        <v>51265</v>
      </c>
      <c r="K15383" s="0" t="s">
        <v>51266</v>
      </c>
      <c r="L15383" s="0" t="str">
        <f aca="false">HYPERLINK("https://www.ncbi.nlm.nih.gov/nuccore/CP000304.1?report=graph&amp;tracks=[key:gene_model_track,Options:GeneOnly]&amp;mk=4347124:4347143|offset_14|444444,4347102:4347121|offset_36|444444,4347078:4347097|offset_60|00cc00,4347056:4347075|offset_82|444444&amp;v=4346923:4347275&amp;c=444444", "offset 60")</f>
        <v>offset 60</v>
      </c>
    </row>
    <row r="15384" customFormat="false" ht="12.8" hidden="false" customHeight="false" outlineLevel="0" collapsed="false">
      <c r="A15384" s="0" t="s">
        <v>12</v>
      </c>
      <c r="B15384" s="0" t="n">
        <v>4347055</v>
      </c>
      <c r="C15384" s="0" t="n">
        <v>4347075</v>
      </c>
      <c r="D15384" s="0" t="s">
        <v>51257</v>
      </c>
      <c r="E15384" s="0" t="s">
        <v>89</v>
      </c>
      <c r="F15384" s="0" t="s">
        <v>90</v>
      </c>
      <c r="G15384" s="0" t="s">
        <v>32</v>
      </c>
      <c r="H15384" s="0" t="n">
        <v>82</v>
      </c>
      <c r="I15384" s="0" t="s">
        <v>51267</v>
      </c>
      <c r="J15384" s="0" t="s">
        <v>51268</v>
      </c>
      <c r="K15384" s="0" t="s">
        <v>51269</v>
      </c>
      <c r="L15384" s="0" t="str">
        <f aca="false">HYPERLINK("https://www.ncbi.nlm.nih.gov/nuccore/CP000304.1?report=graph&amp;tracks=[key:gene_model_track,Options:GeneOnly]&amp;mk=4347124:4347143|offset_14|444444,4347102:4347121|offset_36|444444,4347078:4347097|offset_60|444444,4347056:4347075|offset_82|00cc00&amp;v=4346923:4347275&amp;c=444444", "offset 82")</f>
        <v>offset 82</v>
      </c>
    </row>
    <row r="15385" customFormat="false" ht="12.8" hidden="false" customHeight="false" outlineLevel="0" collapsed="false">
      <c r="A15385" s="0" t="s">
        <v>12</v>
      </c>
      <c r="B15385" s="0" t="n">
        <v>4347206</v>
      </c>
      <c r="C15385" s="0" t="n">
        <v>4347226</v>
      </c>
      <c r="D15385" s="0" t="s">
        <v>51270</v>
      </c>
      <c r="E15385" s="0" t="s">
        <v>51271</v>
      </c>
      <c r="F15385" s="0" t="s">
        <v>15</v>
      </c>
      <c r="G15385" s="0" t="s">
        <v>36</v>
      </c>
      <c r="H15385" s="0" t="n">
        <v>0</v>
      </c>
      <c r="I15385" s="0" t="s">
        <v>51272</v>
      </c>
      <c r="J15385" s="0" t="s">
        <v>51273</v>
      </c>
      <c r="K15385" s="0" t="s">
        <v>51274</v>
      </c>
      <c r="L15385" s="0" t="str">
        <f aca="false">HYPERLINK("https://www.ncbi.nlm.nih.gov/nuccore/CP000304.1?report=graph&amp;tracks=[key:gene_model_track,Options:GeneOnly]&amp;mk=4347207:4347226|offset_0|00cc00,4347241:4347260|offset_34|444444,4347280:4347299|offset_73|444444,4347316:4347335|offset_109|444444&amp;v=4347006:4347535&amp;c=444444", "offset 0")</f>
        <v>offset 0</v>
      </c>
    </row>
    <row r="15386" customFormat="false" ht="12.8" hidden="false" customHeight="false" outlineLevel="0" collapsed="false">
      <c r="A15386" s="0" t="s">
        <v>12</v>
      </c>
      <c r="B15386" s="0" t="n">
        <v>4347240</v>
      </c>
      <c r="C15386" s="0" t="n">
        <v>4347260</v>
      </c>
      <c r="D15386" s="0" t="s">
        <v>51270</v>
      </c>
      <c r="E15386" s="0" t="s">
        <v>51271</v>
      </c>
      <c r="F15386" s="0" t="s">
        <v>15</v>
      </c>
      <c r="G15386" s="0" t="s">
        <v>32</v>
      </c>
      <c r="H15386" s="0" t="n">
        <v>34</v>
      </c>
      <c r="I15386" s="0" t="s">
        <v>51275</v>
      </c>
      <c r="J15386" s="0" t="s">
        <v>51276</v>
      </c>
      <c r="K15386" s="0" t="s">
        <v>51277</v>
      </c>
      <c r="L15386" s="0" t="str">
        <f aca="false">HYPERLINK("https://www.ncbi.nlm.nih.gov/nuccore/CP000304.1?report=graph&amp;tracks=[key:gene_model_track,Options:GeneOnly]&amp;mk=4347207:4347226|offset_0|444444,4347241:4347260|offset_34|00cc00,4347280:4347299|offset_73|444444,4347316:4347335|offset_109|444444&amp;v=4347006:4347535&amp;c=444444", "offset 34")</f>
        <v>offset 34</v>
      </c>
    </row>
    <row r="15387" customFormat="false" ht="12.8" hidden="false" customHeight="false" outlineLevel="0" collapsed="false">
      <c r="A15387" s="0" t="s">
        <v>12</v>
      </c>
      <c r="B15387" s="0" t="n">
        <v>4347279</v>
      </c>
      <c r="C15387" s="0" t="n">
        <v>4347299</v>
      </c>
      <c r="D15387" s="0" t="s">
        <v>51270</v>
      </c>
      <c r="E15387" s="0" t="s">
        <v>51271</v>
      </c>
      <c r="F15387" s="0" t="s">
        <v>15</v>
      </c>
      <c r="G15387" s="0" t="s">
        <v>16</v>
      </c>
      <c r="H15387" s="0" t="n">
        <v>73</v>
      </c>
      <c r="I15387" s="0" t="s">
        <v>51278</v>
      </c>
      <c r="J15387" s="0" t="s">
        <v>51279</v>
      </c>
      <c r="K15387" s="0" t="s">
        <v>51280</v>
      </c>
      <c r="L15387" s="0" t="str">
        <f aca="false">HYPERLINK("https://www.ncbi.nlm.nih.gov/nuccore/CP000304.1?report=graph&amp;tracks=[key:gene_model_track,Options:GeneOnly]&amp;mk=4347207:4347226|offset_0|444444,4347241:4347260|offset_34|444444,4347280:4347299|offset_73|00cc00,4347316:4347335|offset_109|444444&amp;v=4347006:4347535&amp;c=444444", "offset 73")</f>
        <v>offset 73</v>
      </c>
    </row>
    <row r="15388" customFormat="false" ht="12.8" hidden="false" customHeight="false" outlineLevel="0" collapsed="false">
      <c r="A15388" s="0" t="s">
        <v>12</v>
      </c>
      <c r="B15388" s="0" t="n">
        <v>4347315</v>
      </c>
      <c r="C15388" s="0" t="n">
        <v>4347335</v>
      </c>
      <c r="D15388" s="0" t="s">
        <v>51270</v>
      </c>
      <c r="E15388" s="0" t="s">
        <v>51271</v>
      </c>
      <c r="F15388" s="0" t="s">
        <v>15</v>
      </c>
      <c r="G15388" s="0" t="s">
        <v>16</v>
      </c>
      <c r="H15388" s="0" t="n">
        <v>109</v>
      </c>
      <c r="I15388" s="0" t="s">
        <v>51281</v>
      </c>
      <c r="J15388" s="0" t="s">
        <v>51282</v>
      </c>
      <c r="K15388" s="0" t="s">
        <v>51283</v>
      </c>
      <c r="L15388" s="0" t="str">
        <f aca="false">HYPERLINK("https://www.ncbi.nlm.nih.gov/nuccore/CP000304.1?report=graph&amp;tracks=[key:gene_model_track,Options:GeneOnly]&amp;mk=4347207:4347226|offset_0|444444,4347241:4347260|offset_34|444444,4347280:4347299|offset_73|444444,4347316:4347335|offset_109|00cc00&amp;v=4347006:4347535&amp;c=444444", "offset 109")</f>
        <v>offset 109</v>
      </c>
    </row>
    <row r="15389" customFormat="false" ht="12.8" hidden="false" customHeight="false" outlineLevel="0" collapsed="false">
      <c r="A15389" s="0" t="s">
        <v>12</v>
      </c>
      <c r="B15389" s="0" t="n">
        <v>4347848</v>
      </c>
      <c r="C15389" s="0" t="n">
        <v>4347868</v>
      </c>
      <c r="D15389" s="0" t="s">
        <v>51284</v>
      </c>
      <c r="E15389" s="0" t="s">
        <v>89</v>
      </c>
      <c r="F15389" s="0" t="s">
        <v>15</v>
      </c>
      <c r="G15389" s="0" t="s">
        <v>16</v>
      </c>
      <c r="H15389" s="0" t="n">
        <v>0</v>
      </c>
      <c r="I15389" s="0" t="s">
        <v>51285</v>
      </c>
      <c r="J15389" s="0" t="s">
        <v>51286</v>
      </c>
      <c r="K15389" s="0" t="s">
        <v>51287</v>
      </c>
      <c r="L15389" s="0" t="str">
        <f aca="false">HYPERLINK("https://www.ncbi.nlm.nih.gov/nuccore/CP000304.1?report=graph&amp;tracks=[key:gene_model_track,Options:GeneOnly]&amp;mk=4347849:4347868|offset_0|00cc00,4347886:4347905|offset_37|444444,4347908:4347927|offset_59|444444,4347943:4347962|offset_94|444444&amp;v=4347648:4348162&amp;c=444444", "offset 0")</f>
        <v>offset 0</v>
      </c>
    </row>
    <row r="15390" customFormat="false" ht="12.8" hidden="false" customHeight="false" outlineLevel="0" collapsed="false">
      <c r="A15390" s="0" t="s">
        <v>12</v>
      </c>
      <c r="B15390" s="0" t="n">
        <v>4347885</v>
      </c>
      <c r="C15390" s="0" t="n">
        <v>4347905</v>
      </c>
      <c r="D15390" s="0" t="s">
        <v>51284</v>
      </c>
      <c r="E15390" s="0" t="s">
        <v>89</v>
      </c>
      <c r="F15390" s="0" t="s">
        <v>15</v>
      </c>
      <c r="G15390" s="0" t="s">
        <v>16</v>
      </c>
      <c r="H15390" s="0" t="n">
        <v>37</v>
      </c>
      <c r="I15390" s="0" t="s">
        <v>51288</v>
      </c>
      <c r="J15390" s="0" t="s">
        <v>51289</v>
      </c>
      <c r="K15390" s="0" t="s">
        <v>51290</v>
      </c>
      <c r="L15390" s="0" t="str">
        <f aca="false">HYPERLINK("https://www.ncbi.nlm.nih.gov/nuccore/CP000304.1?report=graph&amp;tracks=[key:gene_model_track,Options:GeneOnly]&amp;mk=4347849:4347868|offset_0|444444,4347886:4347905|offset_37|00cc00,4347908:4347927|offset_59|444444,4347943:4347962|offset_94|444444&amp;v=4347648:4348162&amp;c=444444", "offset 37")</f>
        <v>offset 37</v>
      </c>
    </row>
    <row r="15391" customFormat="false" ht="12.8" hidden="false" customHeight="false" outlineLevel="0" collapsed="false">
      <c r="A15391" s="0" t="s">
        <v>12</v>
      </c>
      <c r="B15391" s="0" t="n">
        <v>4347907</v>
      </c>
      <c r="C15391" s="0" t="n">
        <v>4347927</v>
      </c>
      <c r="D15391" s="0" t="s">
        <v>51284</v>
      </c>
      <c r="E15391" s="0" t="s">
        <v>89</v>
      </c>
      <c r="F15391" s="0" t="s">
        <v>15</v>
      </c>
      <c r="G15391" s="0" t="s">
        <v>32</v>
      </c>
      <c r="H15391" s="0" t="n">
        <v>59</v>
      </c>
      <c r="I15391" s="0" t="s">
        <v>51291</v>
      </c>
      <c r="J15391" s="0" t="s">
        <v>51292</v>
      </c>
      <c r="K15391" s="0" t="s">
        <v>51293</v>
      </c>
      <c r="L15391" s="0" t="str">
        <f aca="false">HYPERLINK("https://www.ncbi.nlm.nih.gov/nuccore/CP000304.1?report=graph&amp;tracks=[key:gene_model_track,Options:GeneOnly]&amp;mk=4347849:4347868|offset_0|444444,4347886:4347905|offset_37|444444,4347908:4347927|offset_59|00cc00,4347943:4347962|offset_94|444444&amp;v=4347648:4348162&amp;c=444444", "offset 59")</f>
        <v>offset 59</v>
      </c>
    </row>
    <row r="15392" customFormat="false" ht="12.8" hidden="false" customHeight="false" outlineLevel="0" collapsed="false">
      <c r="A15392" s="0" t="s">
        <v>12</v>
      </c>
      <c r="B15392" s="0" t="n">
        <v>4347942</v>
      </c>
      <c r="C15392" s="0" t="n">
        <v>4347962</v>
      </c>
      <c r="D15392" s="0" t="s">
        <v>51284</v>
      </c>
      <c r="E15392" s="0" t="s">
        <v>89</v>
      </c>
      <c r="F15392" s="0" t="s">
        <v>15</v>
      </c>
      <c r="G15392" s="0" t="s">
        <v>16</v>
      </c>
      <c r="H15392" s="0" t="n">
        <v>94</v>
      </c>
      <c r="I15392" s="0" t="s">
        <v>51294</v>
      </c>
      <c r="J15392" s="0" t="s">
        <v>51295</v>
      </c>
      <c r="K15392" s="0" t="s">
        <v>51296</v>
      </c>
      <c r="L15392" s="0" t="str">
        <f aca="false">HYPERLINK("https://www.ncbi.nlm.nih.gov/nuccore/CP000304.1?report=graph&amp;tracks=[key:gene_model_track,Options:GeneOnly]&amp;mk=4347849:4347868|offset_0|444444,4347886:4347905|offset_37|444444,4347908:4347927|offset_59|444444,4347943:4347962|offset_94|00cc00&amp;v=4347648:4348162&amp;c=444444", "offset 94")</f>
        <v>offset 94</v>
      </c>
    </row>
    <row r="15393" customFormat="false" ht="12.8" hidden="false" customHeight="false" outlineLevel="0" collapsed="false">
      <c r="A15393" s="0" t="s">
        <v>12</v>
      </c>
      <c r="B15393" s="0" t="n">
        <v>4349898</v>
      </c>
      <c r="C15393" s="0" t="n">
        <v>4349918</v>
      </c>
      <c r="D15393" s="0" t="s">
        <v>51297</v>
      </c>
      <c r="E15393" s="0" t="s">
        <v>89</v>
      </c>
      <c r="F15393" s="0" t="s">
        <v>90</v>
      </c>
      <c r="G15393" s="0" t="s">
        <v>26</v>
      </c>
      <c r="H15393" s="0" t="n">
        <v>26</v>
      </c>
      <c r="I15393" s="0" t="s">
        <v>51298</v>
      </c>
      <c r="J15393" s="0" t="s">
        <v>51299</v>
      </c>
      <c r="K15393" s="0" t="s">
        <v>51300</v>
      </c>
      <c r="L15393" s="0" t="str">
        <f aca="false">HYPERLINK("https://www.ncbi.nlm.nih.gov/nuccore/CP000304.1?report=graph&amp;tracks=[key:gene_model_track,Options:GeneOnly]&amp;mk=4349899:4349918|offset_26|00cc00,4349876:4349895|offset_49|444444,4349855:4349874|offset_70|444444,4349835:4349854|offset_90|444444&amp;v=4349698:4350054&amp;c=444444", "offset 26")</f>
        <v>offset 26</v>
      </c>
    </row>
    <row r="15394" customFormat="false" ht="12.8" hidden="false" customHeight="false" outlineLevel="0" collapsed="false">
      <c r="A15394" s="0" t="s">
        <v>12</v>
      </c>
      <c r="B15394" s="0" t="n">
        <v>4349875</v>
      </c>
      <c r="C15394" s="0" t="n">
        <v>4349895</v>
      </c>
      <c r="D15394" s="0" t="s">
        <v>51297</v>
      </c>
      <c r="E15394" s="0" t="s">
        <v>89</v>
      </c>
      <c r="F15394" s="0" t="s">
        <v>90</v>
      </c>
      <c r="G15394" s="0" t="s">
        <v>36</v>
      </c>
      <c r="H15394" s="0" t="n">
        <v>49</v>
      </c>
      <c r="I15394" s="0" t="s">
        <v>51301</v>
      </c>
      <c r="J15394" s="0" t="s">
        <v>51302</v>
      </c>
      <c r="K15394" s="0" t="s">
        <v>51303</v>
      </c>
      <c r="L15394" s="0" t="str">
        <f aca="false">HYPERLINK("https://www.ncbi.nlm.nih.gov/nuccore/CP000304.1?report=graph&amp;tracks=[key:gene_model_track,Options:GeneOnly]&amp;mk=4349899:4349918|offset_26|444444,4349876:4349895|offset_49|00cc00,4349855:4349874|offset_70|444444,4349835:4349854|offset_90|444444&amp;v=4349698:4350054&amp;c=444444", "offset 49")</f>
        <v>offset 49</v>
      </c>
    </row>
    <row r="15395" customFormat="false" ht="12.8" hidden="false" customHeight="false" outlineLevel="0" collapsed="false">
      <c r="A15395" s="0" t="s">
        <v>12</v>
      </c>
      <c r="B15395" s="0" t="n">
        <v>4349854</v>
      </c>
      <c r="C15395" s="0" t="n">
        <v>4349874</v>
      </c>
      <c r="D15395" s="0" t="s">
        <v>51297</v>
      </c>
      <c r="E15395" s="0" t="s">
        <v>89</v>
      </c>
      <c r="F15395" s="0" t="s">
        <v>90</v>
      </c>
      <c r="G15395" s="0" t="s">
        <v>16</v>
      </c>
      <c r="H15395" s="0" t="n">
        <v>70</v>
      </c>
      <c r="I15395" s="0" t="s">
        <v>51304</v>
      </c>
      <c r="J15395" s="0" t="s">
        <v>51305</v>
      </c>
      <c r="K15395" s="0" t="s">
        <v>51306</v>
      </c>
      <c r="L15395" s="0" t="str">
        <f aca="false">HYPERLINK("https://www.ncbi.nlm.nih.gov/nuccore/CP000304.1?report=graph&amp;tracks=[key:gene_model_track,Options:GeneOnly]&amp;mk=4349899:4349918|offset_26|444444,4349876:4349895|offset_49|444444,4349855:4349874|offset_70|00cc00,4349835:4349854|offset_90|444444&amp;v=4349698:4350054&amp;c=444444", "offset 70")</f>
        <v>offset 70</v>
      </c>
    </row>
    <row r="15396" customFormat="false" ht="12.8" hidden="false" customHeight="false" outlineLevel="0" collapsed="false">
      <c r="A15396" s="0" t="s">
        <v>12</v>
      </c>
      <c r="B15396" s="0" t="n">
        <v>4349834</v>
      </c>
      <c r="C15396" s="0" t="n">
        <v>4349854</v>
      </c>
      <c r="D15396" s="0" t="s">
        <v>51297</v>
      </c>
      <c r="E15396" s="0" t="s">
        <v>89</v>
      </c>
      <c r="F15396" s="0" t="s">
        <v>90</v>
      </c>
      <c r="G15396" s="0" t="s">
        <v>36</v>
      </c>
      <c r="H15396" s="0" t="n">
        <v>90</v>
      </c>
      <c r="I15396" s="0" t="s">
        <v>51307</v>
      </c>
      <c r="J15396" s="0" t="s">
        <v>51308</v>
      </c>
      <c r="K15396" s="0" t="s">
        <v>51309</v>
      </c>
      <c r="L15396" s="0" t="str">
        <f aca="false">HYPERLINK("https://www.ncbi.nlm.nih.gov/nuccore/CP000304.1?report=graph&amp;tracks=[key:gene_model_track,Options:GeneOnly]&amp;mk=4349899:4349918|offset_26|444444,4349876:4349895|offset_49|444444,4349855:4349874|offset_70|444444,4349835:4349854|offset_90|00cc00&amp;v=4349698:4350054&amp;c=444444", "offset 90")</f>
        <v>offset 90</v>
      </c>
    </row>
    <row r="15397" customFormat="false" ht="12.8" hidden="false" customHeight="false" outlineLevel="0" collapsed="false">
      <c r="A15397" s="0" t="s">
        <v>12</v>
      </c>
      <c r="B15397" s="0" t="n">
        <v>4350458</v>
      </c>
      <c r="C15397" s="0" t="n">
        <v>4350478</v>
      </c>
      <c r="D15397" s="0" t="s">
        <v>51310</v>
      </c>
      <c r="E15397" s="0" t="s">
        <v>51311</v>
      </c>
      <c r="F15397" s="0" t="s">
        <v>15</v>
      </c>
      <c r="G15397" s="0" t="s">
        <v>26</v>
      </c>
      <c r="H15397" s="0" t="n">
        <v>6</v>
      </c>
      <c r="I15397" s="0" t="s">
        <v>51312</v>
      </c>
      <c r="J15397" s="0" t="s">
        <v>51313</v>
      </c>
      <c r="K15397" s="0" t="s">
        <v>51314</v>
      </c>
      <c r="L15397" s="0" t="str">
        <f aca="false">HYPERLINK("https://www.ncbi.nlm.nih.gov/nuccore/CP000304.1?report=graph&amp;tracks=[key:gene_model_track,Options:GeneOnly]&amp;mk=4350459:4350478|offset_6|00cc00,4350481:4350500|offset_28|444444,4350502:4350521|offset_49|444444,4350526:4350545|offset_73|444444&amp;v=4350258:4350745&amp;c=444444", "offset 6")</f>
        <v>offset 6</v>
      </c>
    </row>
    <row r="15398" customFormat="false" ht="12.8" hidden="false" customHeight="false" outlineLevel="0" collapsed="false">
      <c r="A15398" s="0" t="s">
        <v>12</v>
      </c>
      <c r="B15398" s="0" t="n">
        <v>4350480</v>
      </c>
      <c r="C15398" s="0" t="n">
        <v>4350500</v>
      </c>
      <c r="D15398" s="0" t="s">
        <v>51310</v>
      </c>
      <c r="E15398" s="0" t="s">
        <v>51311</v>
      </c>
      <c r="F15398" s="0" t="s">
        <v>15</v>
      </c>
      <c r="G15398" s="0" t="s">
        <v>32</v>
      </c>
      <c r="H15398" s="0" t="n">
        <v>28</v>
      </c>
      <c r="I15398" s="0" t="s">
        <v>51315</v>
      </c>
      <c r="J15398" s="0" t="s">
        <v>51316</v>
      </c>
      <c r="K15398" s="0" t="s">
        <v>51317</v>
      </c>
      <c r="L15398" s="0" t="str">
        <f aca="false">HYPERLINK("https://www.ncbi.nlm.nih.gov/nuccore/CP000304.1?report=graph&amp;tracks=[key:gene_model_track,Options:GeneOnly]&amp;mk=4350459:4350478|offset_6|444444,4350481:4350500|offset_28|00cc00,4350502:4350521|offset_49|444444,4350526:4350545|offset_73|444444&amp;v=4350258:4350745&amp;c=444444", "offset 28")</f>
        <v>offset 28</v>
      </c>
    </row>
    <row r="15399" customFormat="false" ht="12.8" hidden="false" customHeight="false" outlineLevel="0" collapsed="false">
      <c r="A15399" s="0" t="s">
        <v>12</v>
      </c>
      <c r="B15399" s="0" t="n">
        <v>4350501</v>
      </c>
      <c r="C15399" s="0" t="n">
        <v>4350521</v>
      </c>
      <c r="D15399" s="0" t="s">
        <v>51310</v>
      </c>
      <c r="E15399" s="0" t="s">
        <v>51311</v>
      </c>
      <c r="F15399" s="0" t="s">
        <v>15</v>
      </c>
      <c r="G15399" s="0" t="s">
        <v>16</v>
      </c>
      <c r="H15399" s="0" t="n">
        <v>49</v>
      </c>
      <c r="I15399" s="0" t="s">
        <v>51318</v>
      </c>
      <c r="J15399" s="0" t="s">
        <v>51319</v>
      </c>
      <c r="K15399" s="0" t="s">
        <v>51320</v>
      </c>
      <c r="L15399" s="0" t="str">
        <f aca="false">HYPERLINK("https://www.ncbi.nlm.nih.gov/nuccore/CP000304.1?report=graph&amp;tracks=[key:gene_model_track,Options:GeneOnly]&amp;mk=4350459:4350478|offset_6|444444,4350481:4350500|offset_28|444444,4350502:4350521|offset_49|00cc00,4350526:4350545|offset_73|444444&amp;v=4350258:4350745&amp;c=444444", "offset 49")</f>
        <v>offset 49</v>
      </c>
    </row>
    <row r="15400" customFormat="false" ht="12.8" hidden="false" customHeight="false" outlineLevel="0" collapsed="false">
      <c r="A15400" s="0" t="s">
        <v>12</v>
      </c>
      <c r="B15400" s="0" t="n">
        <v>4350525</v>
      </c>
      <c r="C15400" s="0" t="n">
        <v>4350545</v>
      </c>
      <c r="D15400" s="0" t="s">
        <v>51310</v>
      </c>
      <c r="E15400" s="0" t="s">
        <v>51311</v>
      </c>
      <c r="F15400" s="0" t="s">
        <v>15</v>
      </c>
      <c r="G15400" s="0" t="s">
        <v>32</v>
      </c>
      <c r="H15400" s="0" t="n">
        <v>73</v>
      </c>
      <c r="I15400" s="0" t="s">
        <v>51321</v>
      </c>
      <c r="J15400" s="0" t="s">
        <v>51322</v>
      </c>
      <c r="K15400" s="0" t="s">
        <v>51323</v>
      </c>
      <c r="L15400" s="0" t="str">
        <f aca="false">HYPERLINK("https://www.ncbi.nlm.nih.gov/nuccore/CP000304.1?report=graph&amp;tracks=[key:gene_model_track,Options:GeneOnly]&amp;mk=4350459:4350478|offset_6|444444,4350481:4350500|offset_28|444444,4350502:4350521|offset_49|444444,4350526:4350545|offset_73|00cc00&amp;v=4350258:4350745&amp;c=444444", "offset 73")</f>
        <v>offset 73</v>
      </c>
    </row>
    <row r="15401" customFormat="false" ht="12.8" hidden="false" customHeight="false" outlineLevel="0" collapsed="false">
      <c r="A15401" s="0" t="s">
        <v>12</v>
      </c>
      <c r="B15401" s="0" t="n">
        <v>4354129</v>
      </c>
      <c r="C15401" s="0" t="n">
        <v>4354149</v>
      </c>
      <c r="D15401" s="0" t="s">
        <v>51324</v>
      </c>
      <c r="E15401" s="0" t="s">
        <v>89</v>
      </c>
      <c r="F15401" s="0" t="s">
        <v>90</v>
      </c>
      <c r="G15401" s="0" t="s">
        <v>36</v>
      </c>
      <c r="H15401" s="0" t="n">
        <v>80</v>
      </c>
      <c r="I15401" s="0" t="s">
        <v>51325</v>
      </c>
      <c r="J15401" s="0" t="s">
        <v>51326</v>
      </c>
      <c r="K15401" s="0" t="s">
        <v>51327</v>
      </c>
      <c r="L15401" s="0" t="str">
        <f aca="false">HYPERLINK("https://www.ncbi.nlm.nih.gov/nuccore/CP000304.1?report=graph&amp;tracks=[key:gene_model_track,Options:GeneOnly]&amp;mk=4354130:4354149|offset_80|00cc00,4354103:4354122|offset_107|444444,4354078:4354097|offset_132|444444,4354041:4354060|offset_169|444444&amp;v=4353929:4354260&amp;c=444444", "offset 80")</f>
        <v>offset 80</v>
      </c>
    </row>
    <row r="15402" customFormat="false" ht="12.8" hidden="false" customHeight="false" outlineLevel="0" collapsed="false">
      <c r="A15402" s="0" t="s">
        <v>12</v>
      </c>
      <c r="B15402" s="0" t="n">
        <v>4354102</v>
      </c>
      <c r="C15402" s="0" t="n">
        <v>4354122</v>
      </c>
      <c r="D15402" s="0" t="s">
        <v>51324</v>
      </c>
      <c r="E15402" s="0" t="s">
        <v>89</v>
      </c>
      <c r="F15402" s="0" t="s">
        <v>90</v>
      </c>
      <c r="G15402" s="0" t="s">
        <v>36</v>
      </c>
      <c r="H15402" s="0" t="n">
        <v>107</v>
      </c>
      <c r="I15402" s="0" t="s">
        <v>51328</v>
      </c>
      <c r="J15402" s="0" t="s">
        <v>51329</v>
      </c>
      <c r="K15402" s="0" t="s">
        <v>51330</v>
      </c>
      <c r="L15402" s="0" t="str">
        <f aca="false">HYPERLINK("https://www.ncbi.nlm.nih.gov/nuccore/CP000304.1?report=graph&amp;tracks=[key:gene_model_track,Options:GeneOnly]&amp;mk=4354130:4354149|offset_80|444444,4354103:4354122|offset_107|00cc00,4354078:4354097|offset_132|444444,4354041:4354060|offset_169|444444&amp;v=4353929:4354260&amp;c=444444", "offset 107")</f>
        <v>offset 107</v>
      </c>
    </row>
    <row r="15403" customFormat="false" ht="12.8" hidden="false" customHeight="false" outlineLevel="0" collapsed="false">
      <c r="A15403" s="0" t="s">
        <v>12</v>
      </c>
      <c r="B15403" s="0" t="n">
        <v>4354077</v>
      </c>
      <c r="C15403" s="0" t="n">
        <v>4354097</v>
      </c>
      <c r="D15403" s="0" t="s">
        <v>51324</v>
      </c>
      <c r="E15403" s="0" t="s">
        <v>89</v>
      </c>
      <c r="F15403" s="0" t="s">
        <v>90</v>
      </c>
      <c r="G15403" s="0" t="s">
        <v>16</v>
      </c>
      <c r="H15403" s="0" t="n">
        <v>132</v>
      </c>
      <c r="I15403" s="0" t="s">
        <v>51331</v>
      </c>
      <c r="J15403" s="0" t="s">
        <v>51332</v>
      </c>
      <c r="K15403" s="0" t="s">
        <v>51333</v>
      </c>
      <c r="L15403" s="0" t="str">
        <f aca="false">HYPERLINK("https://www.ncbi.nlm.nih.gov/nuccore/CP000304.1?report=graph&amp;tracks=[key:gene_model_track,Options:GeneOnly]&amp;mk=4354130:4354149|offset_80|444444,4354103:4354122|offset_107|444444,4354078:4354097|offset_132|00cc00,4354041:4354060|offset_169|444444&amp;v=4353929:4354260&amp;c=444444", "offset 132")</f>
        <v>offset 132</v>
      </c>
    </row>
    <row r="15404" customFormat="false" ht="12.8" hidden="false" customHeight="false" outlineLevel="0" collapsed="false">
      <c r="A15404" s="0" t="s">
        <v>12</v>
      </c>
      <c r="B15404" s="0" t="n">
        <v>4354040</v>
      </c>
      <c r="C15404" s="0" t="n">
        <v>4354060</v>
      </c>
      <c r="D15404" s="0" t="s">
        <v>51324</v>
      </c>
      <c r="E15404" s="0" t="s">
        <v>89</v>
      </c>
      <c r="F15404" s="0" t="s">
        <v>90</v>
      </c>
      <c r="G15404" s="0" t="s">
        <v>36</v>
      </c>
      <c r="H15404" s="0" t="n">
        <v>169</v>
      </c>
      <c r="I15404" s="0" t="s">
        <v>51334</v>
      </c>
      <c r="J15404" s="0" t="s">
        <v>51335</v>
      </c>
      <c r="K15404" s="0" t="s">
        <v>51336</v>
      </c>
      <c r="L15404" s="0" t="str">
        <f aca="false">HYPERLINK("https://www.ncbi.nlm.nih.gov/nuccore/CP000304.1?report=graph&amp;tracks=[key:gene_model_track,Options:GeneOnly]&amp;mk=4354130:4354149|offset_80|444444,4354103:4354122|offset_107|444444,4354078:4354097|offset_132|444444,4354041:4354060|offset_169|00cc00&amp;v=4353929:4354260&amp;c=444444", "offset 169")</f>
        <v>offset 169</v>
      </c>
    </row>
    <row r="15405" customFormat="false" ht="12.8" hidden="false" customHeight="false" outlineLevel="0" collapsed="false">
      <c r="A15405" s="0" t="s">
        <v>12</v>
      </c>
      <c r="B15405" s="0" t="n">
        <v>4355205</v>
      </c>
      <c r="C15405" s="0" t="n">
        <v>4355225</v>
      </c>
      <c r="D15405" s="0" t="s">
        <v>51337</v>
      </c>
      <c r="E15405" s="0" t="s">
        <v>89</v>
      </c>
      <c r="F15405" s="0" t="s">
        <v>90</v>
      </c>
      <c r="G15405" s="0" t="s">
        <v>26</v>
      </c>
      <c r="H15405" s="0" t="n">
        <v>76</v>
      </c>
      <c r="I15405" s="0" t="s">
        <v>51338</v>
      </c>
      <c r="J15405" s="0" t="s">
        <v>51339</v>
      </c>
      <c r="K15405" s="0" t="s">
        <v>51340</v>
      </c>
      <c r="L15405" s="0" t="str">
        <f aca="false">HYPERLINK("https://www.ncbi.nlm.nih.gov/nuccore/CP000304.1?report=graph&amp;tracks=[key:gene_model_track,Options:GeneOnly]&amp;mk=4355206:4355225|offset_76|00cc00,4355179:4355198|offset_103|444444,4355155:4355174|offset_127|444444,4355130:4355149|offset_152|444444&amp;v=4355005:4355349&amp;c=444444", "offset 76")</f>
        <v>offset 76</v>
      </c>
    </row>
    <row r="15406" customFormat="false" ht="12.8" hidden="false" customHeight="false" outlineLevel="0" collapsed="false">
      <c r="A15406" s="0" t="s">
        <v>12</v>
      </c>
      <c r="B15406" s="0" t="n">
        <v>4355178</v>
      </c>
      <c r="C15406" s="0" t="n">
        <v>4355198</v>
      </c>
      <c r="D15406" s="0" t="s">
        <v>51337</v>
      </c>
      <c r="E15406" s="0" t="s">
        <v>89</v>
      </c>
      <c r="F15406" s="0" t="s">
        <v>90</v>
      </c>
      <c r="G15406" s="0" t="s">
        <v>16</v>
      </c>
      <c r="H15406" s="0" t="n">
        <v>103</v>
      </c>
      <c r="I15406" s="0" t="s">
        <v>51341</v>
      </c>
      <c r="J15406" s="0" t="s">
        <v>51342</v>
      </c>
      <c r="K15406" s="0" t="s">
        <v>51343</v>
      </c>
      <c r="L15406" s="0" t="str">
        <f aca="false">HYPERLINK("https://www.ncbi.nlm.nih.gov/nuccore/CP000304.1?report=graph&amp;tracks=[key:gene_model_track,Options:GeneOnly]&amp;mk=4355206:4355225|offset_76|444444,4355179:4355198|offset_103|00cc00,4355155:4355174|offset_127|444444,4355130:4355149|offset_152|444444&amp;v=4355005:4355349&amp;c=444444", "offset 103")</f>
        <v>offset 103</v>
      </c>
    </row>
    <row r="15407" customFormat="false" ht="12.8" hidden="false" customHeight="false" outlineLevel="0" collapsed="false">
      <c r="A15407" s="0" t="s">
        <v>12</v>
      </c>
      <c r="B15407" s="0" t="n">
        <v>4355154</v>
      </c>
      <c r="C15407" s="0" t="n">
        <v>4355174</v>
      </c>
      <c r="D15407" s="0" t="s">
        <v>51337</v>
      </c>
      <c r="E15407" s="0" t="s">
        <v>89</v>
      </c>
      <c r="F15407" s="0" t="s">
        <v>90</v>
      </c>
      <c r="G15407" s="0" t="s">
        <v>32</v>
      </c>
      <c r="H15407" s="0" t="n">
        <v>127</v>
      </c>
      <c r="I15407" s="0" t="s">
        <v>51344</v>
      </c>
      <c r="J15407" s="0" t="s">
        <v>51345</v>
      </c>
      <c r="K15407" s="0" t="s">
        <v>51346</v>
      </c>
      <c r="L15407" s="0" t="str">
        <f aca="false">HYPERLINK("https://www.ncbi.nlm.nih.gov/nuccore/CP000304.1?report=graph&amp;tracks=[key:gene_model_track,Options:GeneOnly]&amp;mk=4355206:4355225|offset_76|444444,4355179:4355198|offset_103|444444,4355155:4355174|offset_127|00cc00,4355130:4355149|offset_152|444444&amp;v=4355005:4355349&amp;c=444444", "offset 127")</f>
        <v>offset 127</v>
      </c>
    </row>
    <row r="15408" customFormat="false" ht="12.8" hidden="false" customHeight="false" outlineLevel="0" collapsed="false">
      <c r="A15408" s="0" t="s">
        <v>12</v>
      </c>
      <c r="B15408" s="0" t="n">
        <v>4355129</v>
      </c>
      <c r="C15408" s="0" t="n">
        <v>4355149</v>
      </c>
      <c r="D15408" s="0" t="s">
        <v>51337</v>
      </c>
      <c r="E15408" s="0" t="s">
        <v>89</v>
      </c>
      <c r="F15408" s="0" t="s">
        <v>90</v>
      </c>
      <c r="G15408" s="0" t="s">
        <v>32</v>
      </c>
      <c r="H15408" s="0" t="n">
        <v>152</v>
      </c>
      <c r="I15408" s="0" t="s">
        <v>51347</v>
      </c>
      <c r="J15408" s="0" t="s">
        <v>51348</v>
      </c>
      <c r="K15408" s="0" t="s">
        <v>51349</v>
      </c>
      <c r="L15408" s="0" t="str">
        <f aca="false">HYPERLINK("https://www.ncbi.nlm.nih.gov/nuccore/CP000304.1?report=graph&amp;tracks=[key:gene_model_track,Options:GeneOnly]&amp;mk=4355206:4355225|offset_76|444444,4355179:4355198|offset_103|444444,4355155:4355174|offset_127|444444,4355130:4355149|offset_152|00cc00&amp;v=4355005:4355349&amp;c=444444", "offset 152")</f>
        <v>offset 152</v>
      </c>
    </row>
    <row r="15409" customFormat="false" ht="12.8" hidden="false" customHeight="false" outlineLevel="0" collapsed="false">
      <c r="A15409" s="0" t="s">
        <v>12</v>
      </c>
      <c r="B15409" s="0" t="n">
        <v>4355412</v>
      </c>
      <c r="C15409" s="0" t="n">
        <v>4355432</v>
      </c>
      <c r="D15409" s="0" t="s">
        <v>51350</v>
      </c>
      <c r="E15409" s="0" t="s">
        <v>89</v>
      </c>
      <c r="F15409" s="0" t="s">
        <v>15</v>
      </c>
      <c r="G15409" s="0" t="s">
        <v>26</v>
      </c>
      <c r="H15409" s="0" t="n">
        <v>14</v>
      </c>
      <c r="I15409" s="0" t="s">
        <v>51351</v>
      </c>
      <c r="J15409" s="0" t="s">
        <v>51352</v>
      </c>
      <c r="K15409" s="0" t="s">
        <v>51353</v>
      </c>
      <c r="L15409" s="0" t="str">
        <f aca="false">HYPERLINK("https://www.ncbi.nlm.nih.gov/nuccore/CP000304.1?report=graph&amp;tracks=[key:gene_model_track,Options:GeneOnly]&amp;mk=4355413:4355432|offset_14|00cc00,4355434:4355453|offset_35|444444,4355490:4355509|offset_91|444444,4355540:4355559|offset_141|444444&amp;v=4355212:4355759&amp;c=444444", "offset 14")</f>
        <v>offset 14</v>
      </c>
    </row>
    <row r="15410" customFormat="false" ht="12.8" hidden="false" customHeight="false" outlineLevel="0" collapsed="false">
      <c r="A15410" s="0" t="s">
        <v>12</v>
      </c>
      <c r="B15410" s="0" t="n">
        <v>4355433</v>
      </c>
      <c r="C15410" s="0" t="n">
        <v>4355453</v>
      </c>
      <c r="D15410" s="0" t="s">
        <v>51350</v>
      </c>
      <c r="E15410" s="0" t="s">
        <v>89</v>
      </c>
      <c r="F15410" s="0" t="s">
        <v>15</v>
      </c>
      <c r="G15410" s="0" t="s">
        <v>26</v>
      </c>
      <c r="H15410" s="0" t="n">
        <v>35</v>
      </c>
      <c r="I15410" s="0" t="s">
        <v>51354</v>
      </c>
      <c r="J15410" s="0" t="s">
        <v>51355</v>
      </c>
      <c r="K15410" s="0" t="s">
        <v>51356</v>
      </c>
      <c r="L15410" s="0" t="str">
        <f aca="false">HYPERLINK("https://www.ncbi.nlm.nih.gov/nuccore/CP000304.1?report=graph&amp;tracks=[key:gene_model_track,Options:GeneOnly]&amp;mk=4355413:4355432|offset_14|444444,4355434:4355453|offset_35|00cc00,4355490:4355509|offset_91|444444,4355540:4355559|offset_141|444444&amp;v=4355212:4355759&amp;c=444444", "offset 35")</f>
        <v>offset 35</v>
      </c>
    </row>
    <row r="15411" customFormat="false" ht="12.8" hidden="false" customHeight="false" outlineLevel="0" collapsed="false">
      <c r="A15411" s="0" t="s">
        <v>12</v>
      </c>
      <c r="B15411" s="0" t="n">
        <v>4355489</v>
      </c>
      <c r="C15411" s="0" t="n">
        <v>4355509</v>
      </c>
      <c r="D15411" s="0" t="s">
        <v>51350</v>
      </c>
      <c r="E15411" s="0" t="s">
        <v>89</v>
      </c>
      <c r="F15411" s="0" t="s">
        <v>15</v>
      </c>
      <c r="G15411" s="0" t="s">
        <v>16</v>
      </c>
      <c r="H15411" s="0" t="n">
        <v>91</v>
      </c>
      <c r="I15411" s="0" t="s">
        <v>51357</v>
      </c>
      <c r="J15411" s="0" t="s">
        <v>51358</v>
      </c>
      <c r="K15411" s="0" t="s">
        <v>51359</v>
      </c>
      <c r="L15411" s="0" t="str">
        <f aca="false">HYPERLINK("https://www.ncbi.nlm.nih.gov/nuccore/CP000304.1?report=graph&amp;tracks=[key:gene_model_track,Options:GeneOnly]&amp;mk=4355413:4355432|offset_14|444444,4355434:4355453|offset_35|444444,4355490:4355509|offset_91|00cc00,4355540:4355559|offset_141|444444&amp;v=4355212:4355759&amp;c=444444", "offset 91")</f>
        <v>offset 91</v>
      </c>
    </row>
    <row r="15412" customFormat="false" ht="12.8" hidden="false" customHeight="false" outlineLevel="0" collapsed="false">
      <c r="A15412" s="0" t="s">
        <v>12</v>
      </c>
      <c r="B15412" s="0" t="n">
        <v>4355539</v>
      </c>
      <c r="C15412" s="0" t="n">
        <v>4355559</v>
      </c>
      <c r="D15412" s="0" t="s">
        <v>51350</v>
      </c>
      <c r="E15412" s="0" t="s">
        <v>89</v>
      </c>
      <c r="F15412" s="0" t="s">
        <v>15</v>
      </c>
      <c r="G15412" s="0" t="s">
        <v>16</v>
      </c>
      <c r="H15412" s="0" t="n">
        <v>141</v>
      </c>
      <c r="I15412" s="0" t="s">
        <v>51360</v>
      </c>
      <c r="J15412" s="0" t="s">
        <v>51361</v>
      </c>
      <c r="K15412" s="0" t="s">
        <v>51362</v>
      </c>
      <c r="L15412" s="0" t="str">
        <f aca="false">HYPERLINK("https://www.ncbi.nlm.nih.gov/nuccore/CP000304.1?report=graph&amp;tracks=[key:gene_model_track,Options:GeneOnly]&amp;mk=4355413:4355432|offset_14|444444,4355434:4355453|offset_35|444444,4355490:4355509|offset_91|444444,4355540:4355559|offset_141|00cc00&amp;v=4355212:4355759&amp;c=444444", "offset 141")</f>
        <v>offset 141</v>
      </c>
    </row>
    <row r="15413" customFormat="false" ht="12.8" hidden="false" customHeight="false" outlineLevel="0" collapsed="false">
      <c r="A15413" s="0" t="s">
        <v>12</v>
      </c>
      <c r="B15413" s="0" t="n">
        <v>4356474</v>
      </c>
      <c r="C15413" s="0" t="n">
        <v>4356494</v>
      </c>
      <c r="D15413" s="0" t="s">
        <v>51363</v>
      </c>
      <c r="E15413" s="0" t="s">
        <v>89</v>
      </c>
      <c r="F15413" s="0" t="s">
        <v>90</v>
      </c>
      <c r="G15413" s="0" t="s">
        <v>16</v>
      </c>
      <c r="H15413" s="0" t="n">
        <v>0</v>
      </c>
      <c r="I15413" s="0" t="s">
        <v>51364</v>
      </c>
      <c r="J15413" s="0" t="s">
        <v>51365</v>
      </c>
      <c r="K15413" s="0" t="s">
        <v>51366</v>
      </c>
      <c r="L15413" s="0" t="str">
        <f aca="false">HYPERLINK("https://www.ncbi.nlm.nih.gov/nuccore/CP000304.1?report=graph&amp;tracks=[key:gene_model_track,Options:GeneOnly]&amp;mk=4356475:4356494|offset_0|00cc00,4356448:4356467|offset_27|444444,4356410:4356429|offset_65|444444,4356378:4356397|offset_97|444444&amp;v=4356274:4356597&amp;c=444444", "offset 0")</f>
        <v>offset 0</v>
      </c>
    </row>
    <row r="15414" customFormat="false" ht="12.8" hidden="false" customHeight="false" outlineLevel="0" collapsed="false">
      <c r="A15414" s="0" t="s">
        <v>12</v>
      </c>
      <c r="B15414" s="0" t="n">
        <v>4356447</v>
      </c>
      <c r="C15414" s="0" t="n">
        <v>4356467</v>
      </c>
      <c r="D15414" s="0" t="s">
        <v>51363</v>
      </c>
      <c r="E15414" s="0" t="s">
        <v>89</v>
      </c>
      <c r="F15414" s="0" t="s">
        <v>90</v>
      </c>
      <c r="G15414" s="0" t="s">
        <v>16</v>
      </c>
      <c r="H15414" s="0" t="n">
        <v>27</v>
      </c>
      <c r="I15414" s="0" t="s">
        <v>51367</v>
      </c>
      <c r="J15414" s="0" t="s">
        <v>51368</v>
      </c>
      <c r="K15414" s="0" t="s">
        <v>51369</v>
      </c>
      <c r="L15414" s="0" t="str">
        <f aca="false">HYPERLINK("https://www.ncbi.nlm.nih.gov/nuccore/CP000304.1?report=graph&amp;tracks=[key:gene_model_track,Options:GeneOnly]&amp;mk=4356475:4356494|offset_0|444444,4356448:4356467|offset_27|00cc00,4356410:4356429|offset_65|444444,4356378:4356397|offset_97|444444&amp;v=4356274:4356597&amp;c=444444", "offset 27")</f>
        <v>offset 27</v>
      </c>
    </row>
    <row r="15415" customFormat="false" ht="12.8" hidden="false" customHeight="false" outlineLevel="0" collapsed="false">
      <c r="A15415" s="0" t="s">
        <v>12</v>
      </c>
      <c r="B15415" s="0" t="n">
        <v>4356409</v>
      </c>
      <c r="C15415" s="0" t="n">
        <v>4356429</v>
      </c>
      <c r="D15415" s="0" t="s">
        <v>51363</v>
      </c>
      <c r="E15415" s="0" t="s">
        <v>89</v>
      </c>
      <c r="F15415" s="0" t="s">
        <v>90</v>
      </c>
      <c r="G15415" s="0" t="s">
        <v>36</v>
      </c>
      <c r="H15415" s="0" t="n">
        <v>65</v>
      </c>
      <c r="I15415" s="0" t="s">
        <v>51370</v>
      </c>
      <c r="J15415" s="0" t="s">
        <v>51371</v>
      </c>
      <c r="K15415" s="0" t="s">
        <v>51372</v>
      </c>
      <c r="L15415" s="0" t="str">
        <f aca="false">HYPERLINK("https://www.ncbi.nlm.nih.gov/nuccore/CP000304.1?report=graph&amp;tracks=[key:gene_model_track,Options:GeneOnly]&amp;mk=4356475:4356494|offset_0|444444,4356448:4356467|offset_27|444444,4356410:4356429|offset_65|00cc00,4356378:4356397|offset_97|444444&amp;v=4356274:4356597&amp;c=444444", "offset 65")</f>
        <v>offset 65</v>
      </c>
    </row>
    <row r="15416" customFormat="false" ht="12.8" hidden="false" customHeight="false" outlineLevel="0" collapsed="false">
      <c r="A15416" s="0" t="s">
        <v>12</v>
      </c>
      <c r="B15416" s="0" t="n">
        <v>4356377</v>
      </c>
      <c r="C15416" s="0" t="n">
        <v>4356397</v>
      </c>
      <c r="D15416" s="0" t="s">
        <v>51363</v>
      </c>
      <c r="E15416" s="0" t="s">
        <v>89</v>
      </c>
      <c r="F15416" s="0" t="s">
        <v>90</v>
      </c>
      <c r="G15416" s="0" t="s">
        <v>16</v>
      </c>
      <c r="H15416" s="0" t="n">
        <v>97</v>
      </c>
      <c r="I15416" s="0" t="s">
        <v>51373</v>
      </c>
      <c r="J15416" s="0" t="s">
        <v>51374</v>
      </c>
      <c r="K15416" s="0" t="s">
        <v>51375</v>
      </c>
      <c r="L15416" s="0" t="str">
        <f aca="false">HYPERLINK("https://www.ncbi.nlm.nih.gov/nuccore/CP000304.1?report=graph&amp;tracks=[key:gene_model_track,Options:GeneOnly]&amp;mk=4356475:4356494|offset_0|444444,4356448:4356467|offset_27|444444,4356410:4356429|offset_65|444444,4356378:4356397|offset_97|00cc00&amp;v=4356274:4356597&amp;c=444444", "offset 97")</f>
        <v>offset 97</v>
      </c>
    </row>
    <row r="15417" customFormat="false" ht="12.8" hidden="false" customHeight="false" outlineLevel="0" collapsed="false">
      <c r="A15417" s="0" t="s">
        <v>12</v>
      </c>
      <c r="B15417" s="0" t="n">
        <v>4357294</v>
      </c>
      <c r="C15417" s="0" t="n">
        <v>4357314</v>
      </c>
      <c r="D15417" s="0" t="s">
        <v>51376</v>
      </c>
      <c r="E15417" s="0" t="s">
        <v>51377</v>
      </c>
      <c r="F15417" s="0" t="s">
        <v>90</v>
      </c>
      <c r="G15417" s="0" t="s">
        <v>32</v>
      </c>
      <c r="H15417" s="0" t="n">
        <v>8</v>
      </c>
      <c r="I15417" s="0" t="s">
        <v>51378</v>
      </c>
      <c r="J15417" s="0" t="s">
        <v>51379</v>
      </c>
      <c r="K15417" s="0" t="s">
        <v>51380</v>
      </c>
      <c r="L15417" s="0" t="str">
        <f aca="false">HYPERLINK("https://www.ncbi.nlm.nih.gov/nuccore/CP000304.1?report=graph&amp;tracks=[key:gene_model_track,Options:GeneOnly]&amp;mk=4357295:4357314|offset_8|00cc00,4357263:4357282|offset_40|444444,4357229:4357248|offset_74|444444,4357190:4357209|offset_113|444444&amp;v=4357094:4357409&amp;c=444444", "offset 8")</f>
        <v>offset 8</v>
      </c>
    </row>
    <row r="15418" customFormat="false" ht="12.8" hidden="false" customHeight="false" outlineLevel="0" collapsed="false">
      <c r="A15418" s="0" t="s">
        <v>12</v>
      </c>
      <c r="B15418" s="0" t="n">
        <v>4357262</v>
      </c>
      <c r="C15418" s="0" t="n">
        <v>4357282</v>
      </c>
      <c r="D15418" s="0" t="s">
        <v>51376</v>
      </c>
      <c r="E15418" s="0" t="s">
        <v>51377</v>
      </c>
      <c r="F15418" s="0" t="s">
        <v>90</v>
      </c>
      <c r="G15418" s="0" t="s">
        <v>32</v>
      </c>
      <c r="H15418" s="0" t="n">
        <v>40</v>
      </c>
      <c r="I15418" s="0" t="s">
        <v>51381</v>
      </c>
      <c r="J15418" s="0" t="s">
        <v>51382</v>
      </c>
      <c r="K15418" s="0" t="s">
        <v>51383</v>
      </c>
      <c r="L15418" s="0" t="str">
        <f aca="false">HYPERLINK("https://www.ncbi.nlm.nih.gov/nuccore/CP000304.1?report=graph&amp;tracks=[key:gene_model_track,Options:GeneOnly]&amp;mk=4357295:4357314|offset_8|444444,4357263:4357282|offset_40|00cc00,4357229:4357248|offset_74|444444,4357190:4357209|offset_113|444444&amp;v=4357094:4357409&amp;c=444444", "offset 40")</f>
        <v>offset 40</v>
      </c>
    </row>
    <row r="15419" customFormat="false" ht="12.8" hidden="false" customHeight="false" outlineLevel="0" collapsed="false">
      <c r="A15419" s="0" t="s">
        <v>12</v>
      </c>
      <c r="B15419" s="0" t="n">
        <v>4357228</v>
      </c>
      <c r="C15419" s="0" t="n">
        <v>4357248</v>
      </c>
      <c r="D15419" s="0" t="s">
        <v>51376</v>
      </c>
      <c r="E15419" s="0" t="s">
        <v>51377</v>
      </c>
      <c r="F15419" s="0" t="s">
        <v>90</v>
      </c>
      <c r="G15419" s="0" t="s">
        <v>26</v>
      </c>
      <c r="H15419" s="0" t="n">
        <v>74</v>
      </c>
      <c r="I15419" s="0" t="s">
        <v>51384</v>
      </c>
      <c r="J15419" s="0" t="s">
        <v>51385</v>
      </c>
      <c r="K15419" s="0" t="s">
        <v>51386</v>
      </c>
      <c r="L15419" s="0" t="str">
        <f aca="false">HYPERLINK("https://www.ncbi.nlm.nih.gov/nuccore/CP000304.1?report=graph&amp;tracks=[key:gene_model_track,Options:GeneOnly]&amp;mk=4357295:4357314|offset_8|444444,4357263:4357282|offset_40|444444,4357229:4357248|offset_74|00cc00,4357190:4357209|offset_113|444444&amp;v=4357094:4357409&amp;c=444444", "offset 74")</f>
        <v>offset 74</v>
      </c>
    </row>
    <row r="15420" customFormat="false" ht="12.8" hidden="false" customHeight="false" outlineLevel="0" collapsed="false">
      <c r="A15420" s="0" t="s">
        <v>12</v>
      </c>
      <c r="B15420" s="0" t="n">
        <v>4357189</v>
      </c>
      <c r="C15420" s="0" t="n">
        <v>4357209</v>
      </c>
      <c r="D15420" s="0" t="s">
        <v>51376</v>
      </c>
      <c r="E15420" s="0" t="s">
        <v>51377</v>
      </c>
      <c r="F15420" s="0" t="s">
        <v>90</v>
      </c>
      <c r="G15420" s="0" t="s">
        <v>36</v>
      </c>
      <c r="H15420" s="0" t="n">
        <v>113</v>
      </c>
      <c r="I15420" s="0" t="s">
        <v>51387</v>
      </c>
      <c r="J15420" s="0" t="s">
        <v>51388</v>
      </c>
      <c r="K15420" s="0" t="s">
        <v>51389</v>
      </c>
      <c r="L15420" s="0" t="str">
        <f aca="false">HYPERLINK("https://www.ncbi.nlm.nih.gov/nuccore/CP000304.1?report=graph&amp;tracks=[key:gene_model_track,Options:GeneOnly]&amp;mk=4357295:4357314|offset_8|444444,4357263:4357282|offset_40|444444,4357229:4357248|offset_74|444444,4357190:4357209|offset_113|00cc00&amp;v=4357094:4357409&amp;c=444444", "offset 113")</f>
        <v>offset 113</v>
      </c>
    </row>
    <row r="15421" customFormat="false" ht="12.8" hidden="false" customHeight="false" outlineLevel="0" collapsed="false">
      <c r="A15421" s="0" t="s">
        <v>12</v>
      </c>
      <c r="B15421" s="0" t="n">
        <v>4357344</v>
      </c>
      <c r="C15421" s="0" t="n">
        <v>4357364</v>
      </c>
      <c r="D15421" s="0" t="s">
        <v>51390</v>
      </c>
      <c r="E15421" s="0" t="s">
        <v>51391</v>
      </c>
      <c r="F15421" s="0" t="s">
        <v>15</v>
      </c>
      <c r="G15421" s="0" t="s">
        <v>16</v>
      </c>
      <c r="H15421" s="0" t="n">
        <v>9</v>
      </c>
      <c r="I15421" s="0" t="s">
        <v>51392</v>
      </c>
      <c r="J15421" s="0" t="s">
        <v>51393</v>
      </c>
      <c r="K15421" s="0" t="s">
        <v>51394</v>
      </c>
      <c r="L15421" s="0" t="str">
        <f aca="false">HYPERLINK("https://www.ncbi.nlm.nih.gov/nuccore/CP000304.1?report=graph&amp;tracks=[key:gene_model_track,Options:GeneOnly]&amp;mk=4357345:4357364|offset_9|00cc00,4357366:4357385|offset_30|444444,4357408:4357427|offset_72|444444,4357428:4357447|offset_92|444444&amp;v=4357144:4357647&amp;c=444444", "offset 9")</f>
        <v>offset 9</v>
      </c>
    </row>
    <row r="15422" customFormat="false" ht="12.8" hidden="false" customHeight="false" outlineLevel="0" collapsed="false">
      <c r="A15422" s="0" t="s">
        <v>12</v>
      </c>
      <c r="B15422" s="0" t="n">
        <v>4357365</v>
      </c>
      <c r="C15422" s="0" t="n">
        <v>4357385</v>
      </c>
      <c r="D15422" s="0" t="s">
        <v>51390</v>
      </c>
      <c r="E15422" s="0" t="s">
        <v>51391</v>
      </c>
      <c r="F15422" s="0" t="s">
        <v>15</v>
      </c>
      <c r="G15422" s="0" t="s">
        <v>16</v>
      </c>
      <c r="H15422" s="0" t="n">
        <v>30</v>
      </c>
      <c r="I15422" s="0" t="s">
        <v>51395</v>
      </c>
      <c r="J15422" s="0" t="s">
        <v>51396</v>
      </c>
      <c r="K15422" s="0" t="s">
        <v>51397</v>
      </c>
      <c r="L15422" s="0" t="str">
        <f aca="false">HYPERLINK("https://www.ncbi.nlm.nih.gov/nuccore/CP000304.1?report=graph&amp;tracks=[key:gene_model_track,Options:GeneOnly]&amp;mk=4357345:4357364|offset_9|444444,4357366:4357385|offset_30|00cc00,4357408:4357427|offset_72|444444,4357428:4357447|offset_92|444444&amp;v=4357144:4357647&amp;c=444444", "offset 30")</f>
        <v>offset 30</v>
      </c>
    </row>
    <row r="15423" customFormat="false" ht="12.8" hidden="false" customHeight="false" outlineLevel="0" collapsed="false">
      <c r="A15423" s="0" t="s">
        <v>12</v>
      </c>
      <c r="B15423" s="0" t="n">
        <v>4357407</v>
      </c>
      <c r="C15423" s="0" t="n">
        <v>4357427</v>
      </c>
      <c r="D15423" s="0" t="s">
        <v>51390</v>
      </c>
      <c r="E15423" s="0" t="s">
        <v>51391</v>
      </c>
      <c r="F15423" s="0" t="s">
        <v>15</v>
      </c>
      <c r="G15423" s="0" t="s">
        <v>16</v>
      </c>
      <c r="H15423" s="0" t="n">
        <v>72</v>
      </c>
      <c r="I15423" s="0" t="s">
        <v>51398</v>
      </c>
      <c r="J15423" s="0" t="s">
        <v>51399</v>
      </c>
      <c r="K15423" s="0" t="s">
        <v>51400</v>
      </c>
      <c r="L15423" s="0" t="str">
        <f aca="false">HYPERLINK("https://www.ncbi.nlm.nih.gov/nuccore/CP000304.1?report=graph&amp;tracks=[key:gene_model_track,Options:GeneOnly]&amp;mk=4357345:4357364|offset_9|444444,4357366:4357385|offset_30|444444,4357408:4357427|offset_72|00cc00,4357428:4357447|offset_92|444444&amp;v=4357144:4357647&amp;c=444444", "offset 72")</f>
        <v>offset 72</v>
      </c>
    </row>
    <row r="15424" customFormat="false" ht="12.8" hidden="false" customHeight="false" outlineLevel="0" collapsed="false">
      <c r="A15424" s="0" t="s">
        <v>12</v>
      </c>
      <c r="B15424" s="0" t="n">
        <v>4357427</v>
      </c>
      <c r="C15424" s="0" t="n">
        <v>4357447</v>
      </c>
      <c r="D15424" s="0" t="s">
        <v>51390</v>
      </c>
      <c r="E15424" s="0" t="s">
        <v>51391</v>
      </c>
      <c r="F15424" s="0" t="s">
        <v>15</v>
      </c>
      <c r="G15424" s="0" t="s">
        <v>32</v>
      </c>
      <c r="H15424" s="0" t="n">
        <v>92</v>
      </c>
      <c r="I15424" s="0" t="s">
        <v>51401</v>
      </c>
      <c r="J15424" s="0" t="s">
        <v>51402</v>
      </c>
      <c r="K15424" s="0" t="s">
        <v>51403</v>
      </c>
      <c r="L15424" s="0" t="str">
        <f aca="false">HYPERLINK("https://www.ncbi.nlm.nih.gov/nuccore/CP000304.1?report=graph&amp;tracks=[key:gene_model_track,Options:GeneOnly]&amp;mk=4357345:4357364|offset_9|444444,4357366:4357385|offset_30|444444,4357408:4357427|offset_72|444444,4357428:4357447|offset_92|00cc00&amp;v=4357144:4357647&amp;c=444444", "offset 92")</f>
        <v>offset 92</v>
      </c>
    </row>
    <row r="15425" customFormat="false" ht="12.8" hidden="false" customHeight="false" outlineLevel="0" collapsed="false">
      <c r="A15425" s="0" t="s">
        <v>12</v>
      </c>
      <c r="B15425" s="0" t="n">
        <v>4358496</v>
      </c>
      <c r="C15425" s="0" t="n">
        <v>4358516</v>
      </c>
      <c r="D15425" s="0" t="s">
        <v>51404</v>
      </c>
      <c r="E15425" s="0" t="s">
        <v>89</v>
      </c>
      <c r="F15425" s="0" t="s">
        <v>15</v>
      </c>
      <c r="G15425" s="0" t="s">
        <v>16</v>
      </c>
      <c r="H15425" s="0" t="n">
        <v>7</v>
      </c>
      <c r="I15425" s="0" t="s">
        <v>51405</v>
      </c>
      <c r="J15425" s="0" t="s">
        <v>51406</v>
      </c>
      <c r="K15425" s="0" t="s">
        <v>51407</v>
      </c>
      <c r="L15425" s="0" t="str">
        <f aca="false">HYPERLINK("https://www.ncbi.nlm.nih.gov/nuccore/CP000304.1?report=graph&amp;tracks=[key:gene_model_track,Options:GeneOnly]&amp;mk=4358497:4358516|offset_7|00cc00,4358523:4358542|offset_33|444444,4358545:4358564|offset_55|444444,4358575:4358594|offset_85|444444&amp;v=4358296:4358794&amp;c=444444", "offset 7")</f>
        <v>offset 7</v>
      </c>
    </row>
    <row r="15426" customFormat="false" ht="12.8" hidden="false" customHeight="false" outlineLevel="0" collapsed="false">
      <c r="A15426" s="0" t="s">
        <v>12</v>
      </c>
      <c r="B15426" s="0" t="n">
        <v>4358522</v>
      </c>
      <c r="C15426" s="0" t="n">
        <v>4358542</v>
      </c>
      <c r="D15426" s="0" t="s">
        <v>51404</v>
      </c>
      <c r="E15426" s="0" t="s">
        <v>89</v>
      </c>
      <c r="F15426" s="0" t="s">
        <v>15</v>
      </c>
      <c r="G15426" s="0" t="s">
        <v>16</v>
      </c>
      <c r="H15426" s="0" t="n">
        <v>33</v>
      </c>
      <c r="I15426" s="0" t="s">
        <v>51408</v>
      </c>
      <c r="J15426" s="0" t="s">
        <v>51409</v>
      </c>
      <c r="K15426" s="0" t="s">
        <v>51410</v>
      </c>
      <c r="L15426" s="0" t="str">
        <f aca="false">HYPERLINK("https://www.ncbi.nlm.nih.gov/nuccore/CP000304.1?report=graph&amp;tracks=[key:gene_model_track,Options:GeneOnly]&amp;mk=4358497:4358516|offset_7|444444,4358523:4358542|offset_33|00cc00,4358545:4358564|offset_55|444444,4358575:4358594|offset_85|444444&amp;v=4358296:4358794&amp;c=444444", "offset 33")</f>
        <v>offset 33</v>
      </c>
    </row>
    <row r="15427" customFormat="false" ht="12.8" hidden="false" customHeight="false" outlineLevel="0" collapsed="false">
      <c r="A15427" s="0" t="s">
        <v>12</v>
      </c>
      <c r="B15427" s="0" t="n">
        <v>4358544</v>
      </c>
      <c r="C15427" s="0" t="n">
        <v>4358564</v>
      </c>
      <c r="D15427" s="0" t="s">
        <v>51404</v>
      </c>
      <c r="E15427" s="0" t="s">
        <v>89</v>
      </c>
      <c r="F15427" s="0" t="s">
        <v>15</v>
      </c>
      <c r="G15427" s="0" t="s">
        <v>16</v>
      </c>
      <c r="H15427" s="0" t="n">
        <v>55</v>
      </c>
      <c r="I15427" s="0" t="s">
        <v>51411</v>
      </c>
      <c r="J15427" s="0" t="s">
        <v>51412</v>
      </c>
      <c r="K15427" s="0" t="s">
        <v>51413</v>
      </c>
      <c r="L15427" s="0" t="str">
        <f aca="false">HYPERLINK("https://www.ncbi.nlm.nih.gov/nuccore/CP000304.1?report=graph&amp;tracks=[key:gene_model_track,Options:GeneOnly]&amp;mk=4358497:4358516|offset_7|444444,4358523:4358542|offset_33|444444,4358545:4358564|offset_55|00cc00,4358575:4358594|offset_85|444444&amp;v=4358296:4358794&amp;c=444444", "offset 55")</f>
        <v>offset 55</v>
      </c>
    </row>
    <row r="15428" customFormat="false" ht="12.8" hidden="false" customHeight="false" outlineLevel="0" collapsed="false">
      <c r="A15428" s="0" t="s">
        <v>12</v>
      </c>
      <c r="B15428" s="0" t="n">
        <v>4358574</v>
      </c>
      <c r="C15428" s="0" t="n">
        <v>4358594</v>
      </c>
      <c r="D15428" s="0" t="s">
        <v>51404</v>
      </c>
      <c r="E15428" s="0" t="s">
        <v>89</v>
      </c>
      <c r="F15428" s="0" t="s">
        <v>15</v>
      </c>
      <c r="G15428" s="0" t="s">
        <v>16</v>
      </c>
      <c r="H15428" s="0" t="n">
        <v>85</v>
      </c>
      <c r="I15428" s="0" t="s">
        <v>51414</v>
      </c>
      <c r="J15428" s="0" t="s">
        <v>51415</v>
      </c>
      <c r="K15428" s="0" t="s">
        <v>51416</v>
      </c>
      <c r="L15428" s="0" t="str">
        <f aca="false">HYPERLINK("https://www.ncbi.nlm.nih.gov/nuccore/CP000304.1?report=graph&amp;tracks=[key:gene_model_track,Options:GeneOnly]&amp;mk=4358497:4358516|offset_7|444444,4358523:4358542|offset_33|444444,4358545:4358564|offset_55|444444,4358575:4358594|offset_85|00cc00&amp;v=4358296:4358794&amp;c=444444", "offset 85")</f>
        <v>offset 85</v>
      </c>
    </row>
    <row r="15429" customFormat="false" ht="12.8" hidden="false" customHeight="false" outlineLevel="0" collapsed="false">
      <c r="A15429" s="0" t="s">
        <v>12</v>
      </c>
      <c r="B15429" s="0" t="n">
        <v>4359901</v>
      </c>
      <c r="C15429" s="0" t="n">
        <v>4359921</v>
      </c>
      <c r="D15429" s="0" t="s">
        <v>51417</v>
      </c>
      <c r="E15429" s="0" t="s">
        <v>89</v>
      </c>
      <c r="F15429" s="0" t="s">
        <v>15</v>
      </c>
      <c r="G15429" s="0" t="s">
        <v>16</v>
      </c>
      <c r="H15429" s="0" t="n">
        <v>25</v>
      </c>
      <c r="I15429" s="0" t="s">
        <v>51418</v>
      </c>
      <c r="J15429" s="0" t="s">
        <v>51419</v>
      </c>
      <c r="K15429" s="0" t="s">
        <v>51420</v>
      </c>
      <c r="L15429" s="0" t="str">
        <f aca="false">HYPERLINK("https://www.ncbi.nlm.nih.gov/nuccore/CP000304.1?report=graph&amp;tracks=[key:gene_model_track,Options:GeneOnly]&amp;mk=4359902:4359921|offset_25|00cc00,4359932:4359951|offset_55|444444,4359984:4360003|offset_107|444444,4360039:4360058|offset_162|444444&amp;v=4359701:4360258&amp;c=444444", "offset 25")</f>
        <v>offset 25</v>
      </c>
    </row>
    <row r="15430" customFormat="false" ht="12.8" hidden="false" customHeight="false" outlineLevel="0" collapsed="false">
      <c r="A15430" s="0" t="s">
        <v>12</v>
      </c>
      <c r="B15430" s="0" t="n">
        <v>4359931</v>
      </c>
      <c r="C15430" s="0" t="n">
        <v>4359951</v>
      </c>
      <c r="D15430" s="0" t="s">
        <v>51417</v>
      </c>
      <c r="E15430" s="0" t="s">
        <v>89</v>
      </c>
      <c r="F15430" s="0" t="s">
        <v>15</v>
      </c>
      <c r="G15430" s="0" t="s">
        <v>26</v>
      </c>
      <c r="H15430" s="0" t="n">
        <v>55</v>
      </c>
      <c r="I15430" s="0" t="s">
        <v>51421</v>
      </c>
      <c r="J15430" s="0" t="s">
        <v>51422</v>
      </c>
      <c r="K15430" s="0" t="s">
        <v>51423</v>
      </c>
      <c r="L15430" s="0" t="str">
        <f aca="false">HYPERLINK("https://www.ncbi.nlm.nih.gov/nuccore/CP000304.1?report=graph&amp;tracks=[key:gene_model_track,Options:GeneOnly]&amp;mk=4359902:4359921|offset_25|444444,4359932:4359951|offset_55|00cc00,4359984:4360003|offset_107|444444,4360039:4360058|offset_162|444444&amp;v=4359701:4360258&amp;c=444444", "offset 55")</f>
        <v>offset 55</v>
      </c>
    </row>
    <row r="15431" customFormat="false" ht="12.8" hidden="false" customHeight="false" outlineLevel="0" collapsed="false">
      <c r="A15431" s="0" t="s">
        <v>12</v>
      </c>
      <c r="B15431" s="0" t="n">
        <v>4359983</v>
      </c>
      <c r="C15431" s="0" t="n">
        <v>4360003</v>
      </c>
      <c r="D15431" s="0" t="s">
        <v>51417</v>
      </c>
      <c r="E15431" s="0" t="s">
        <v>89</v>
      </c>
      <c r="F15431" s="0" t="s">
        <v>15</v>
      </c>
      <c r="G15431" s="0" t="s">
        <v>16</v>
      </c>
      <c r="H15431" s="0" t="n">
        <v>107</v>
      </c>
      <c r="I15431" s="0" t="s">
        <v>51424</v>
      </c>
      <c r="J15431" s="0" t="s">
        <v>51425</v>
      </c>
      <c r="K15431" s="0" t="s">
        <v>51426</v>
      </c>
      <c r="L15431" s="0" t="str">
        <f aca="false">HYPERLINK("https://www.ncbi.nlm.nih.gov/nuccore/CP000304.1?report=graph&amp;tracks=[key:gene_model_track,Options:GeneOnly]&amp;mk=4359902:4359921|offset_25|444444,4359932:4359951|offset_55|444444,4359984:4360003|offset_107|00cc00,4360039:4360058|offset_162|444444&amp;v=4359701:4360258&amp;c=444444", "offset 107")</f>
        <v>offset 107</v>
      </c>
    </row>
    <row r="15432" customFormat="false" ht="12.8" hidden="false" customHeight="false" outlineLevel="0" collapsed="false">
      <c r="A15432" s="0" t="s">
        <v>12</v>
      </c>
      <c r="B15432" s="0" t="n">
        <v>4360038</v>
      </c>
      <c r="C15432" s="0" t="n">
        <v>4360058</v>
      </c>
      <c r="D15432" s="0" t="s">
        <v>51417</v>
      </c>
      <c r="E15432" s="0" t="s">
        <v>89</v>
      </c>
      <c r="F15432" s="0" t="s">
        <v>15</v>
      </c>
      <c r="G15432" s="0" t="s">
        <v>16</v>
      </c>
      <c r="H15432" s="0" t="n">
        <v>162</v>
      </c>
      <c r="I15432" s="0" t="s">
        <v>51427</v>
      </c>
      <c r="J15432" s="0" t="s">
        <v>51428</v>
      </c>
      <c r="K15432" s="0" t="s">
        <v>51429</v>
      </c>
      <c r="L15432" s="0" t="str">
        <f aca="false">HYPERLINK("https://www.ncbi.nlm.nih.gov/nuccore/CP000304.1?report=graph&amp;tracks=[key:gene_model_track,Options:GeneOnly]&amp;mk=4359902:4359921|offset_25|444444,4359932:4359951|offset_55|444444,4359984:4360003|offset_107|444444,4360039:4360058|offset_162|00cc00&amp;v=4359701:4360258&amp;c=444444", "offset 162")</f>
        <v>offset 162</v>
      </c>
    </row>
    <row r="15433" customFormat="false" ht="12.8" hidden="false" customHeight="false" outlineLevel="0" collapsed="false">
      <c r="A15433" s="0" t="s">
        <v>12</v>
      </c>
      <c r="B15433" s="0" t="n">
        <v>4362058</v>
      </c>
      <c r="C15433" s="0" t="n">
        <v>4362078</v>
      </c>
      <c r="D15433" s="0" t="s">
        <v>51430</v>
      </c>
      <c r="E15433" s="0" t="s">
        <v>89</v>
      </c>
      <c r="F15433" s="0" t="s">
        <v>90</v>
      </c>
      <c r="G15433" s="0" t="s">
        <v>36</v>
      </c>
      <c r="H15433" s="0" t="n">
        <v>71</v>
      </c>
      <c r="I15433" s="0" t="s">
        <v>51431</v>
      </c>
      <c r="J15433" s="0" t="s">
        <v>51432</v>
      </c>
      <c r="K15433" s="0" t="s">
        <v>51433</v>
      </c>
      <c r="L15433" s="0" t="str">
        <f aca="false">HYPERLINK("https://www.ncbi.nlm.nih.gov/nuccore/CP000304.1?report=graph&amp;tracks=[key:gene_model_track,Options:GeneOnly]&amp;mk=4362059:4362078|offset_71|00cc00,4362035:4362054|offset_95|444444,4362004:4362023|offset_126|444444,4361959:4361978|offset_171|444444&amp;v=4361858:4362178&amp;c=444444", "offset 71")</f>
        <v>offset 71</v>
      </c>
    </row>
    <row r="15434" customFormat="false" ht="12.8" hidden="false" customHeight="false" outlineLevel="0" collapsed="false">
      <c r="A15434" s="0" t="s">
        <v>12</v>
      </c>
      <c r="B15434" s="0" t="n">
        <v>4362034</v>
      </c>
      <c r="C15434" s="0" t="n">
        <v>4362054</v>
      </c>
      <c r="D15434" s="0" t="s">
        <v>51430</v>
      </c>
      <c r="E15434" s="0" t="s">
        <v>89</v>
      </c>
      <c r="F15434" s="0" t="s">
        <v>90</v>
      </c>
      <c r="G15434" s="0" t="s">
        <v>16</v>
      </c>
      <c r="H15434" s="0" t="n">
        <v>95</v>
      </c>
      <c r="I15434" s="0" t="s">
        <v>51434</v>
      </c>
      <c r="J15434" s="0" t="s">
        <v>51435</v>
      </c>
      <c r="K15434" s="0" t="s">
        <v>51436</v>
      </c>
      <c r="L15434" s="0" t="str">
        <f aca="false">HYPERLINK("https://www.ncbi.nlm.nih.gov/nuccore/CP000304.1?report=graph&amp;tracks=[key:gene_model_track,Options:GeneOnly]&amp;mk=4362059:4362078|offset_71|444444,4362035:4362054|offset_95|00cc00,4362004:4362023|offset_126|444444,4361959:4361978|offset_171|444444&amp;v=4361858:4362178&amp;c=444444", "offset 95")</f>
        <v>offset 95</v>
      </c>
    </row>
    <row r="15435" customFormat="false" ht="12.8" hidden="false" customHeight="false" outlineLevel="0" collapsed="false">
      <c r="A15435" s="0" t="s">
        <v>12</v>
      </c>
      <c r="B15435" s="0" t="n">
        <v>4362003</v>
      </c>
      <c r="C15435" s="0" t="n">
        <v>4362023</v>
      </c>
      <c r="D15435" s="0" t="s">
        <v>51430</v>
      </c>
      <c r="E15435" s="0" t="s">
        <v>89</v>
      </c>
      <c r="F15435" s="0" t="s">
        <v>90</v>
      </c>
      <c r="G15435" s="0" t="s">
        <v>16</v>
      </c>
      <c r="H15435" s="0" t="n">
        <v>126</v>
      </c>
      <c r="I15435" s="0" t="s">
        <v>51437</v>
      </c>
      <c r="J15435" s="0" t="s">
        <v>51438</v>
      </c>
      <c r="K15435" s="0" t="s">
        <v>51439</v>
      </c>
      <c r="L15435" s="0" t="str">
        <f aca="false">HYPERLINK("https://www.ncbi.nlm.nih.gov/nuccore/CP000304.1?report=graph&amp;tracks=[key:gene_model_track,Options:GeneOnly]&amp;mk=4362059:4362078|offset_71|444444,4362035:4362054|offset_95|444444,4362004:4362023|offset_126|00cc00,4361959:4361978|offset_171|444444&amp;v=4361858:4362178&amp;c=444444", "offset 126")</f>
        <v>offset 126</v>
      </c>
    </row>
    <row r="15436" customFormat="false" ht="12.8" hidden="false" customHeight="false" outlineLevel="0" collapsed="false">
      <c r="A15436" s="0" t="s">
        <v>12</v>
      </c>
      <c r="B15436" s="0" t="n">
        <v>4361958</v>
      </c>
      <c r="C15436" s="0" t="n">
        <v>4361978</v>
      </c>
      <c r="D15436" s="0" t="s">
        <v>51430</v>
      </c>
      <c r="E15436" s="0" t="s">
        <v>89</v>
      </c>
      <c r="F15436" s="0" t="s">
        <v>90</v>
      </c>
      <c r="G15436" s="0" t="s">
        <v>16</v>
      </c>
      <c r="H15436" s="0" t="n">
        <v>171</v>
      </c>
      <c r="I15436" s="0" t="s">
        <v>51440</v>
      </c>
      <c r="J15436" s="0" t="s">
        <v>51441</v>
      </c>
      <c r="K15436" s="0" t="s">
        <v>51442</v>
      </c>
      <c r="L15436" s="0" t="str">
        <f aca="false">HYPERLINK("https://www.ncbi.nlm.nih.gov/nuccore/CP000304.1?report=graph&amp;tracks=[key:gene_model_track,Options:GeneOnly]&amp;mk=4362059:4362078|offset_71|444444,4362035:4362054|offset_95|444444,4362004:4362023|offset_126|444444,4361959:4361978|offset_171|00cc00&amp;v=4361858:4362178&amp;c=444444", "offset 171")</f>
        <v>offset 171</v>
      </c>
    </row>
    <row r="15437" customFormat="false" ht="12.8" hidden="false" customHeight="false" outlineLevel="0" collapsed="false">
      <c r="A15437" s="0" t="s">
        <v>12</v>
      </c>
      <c r="B15437" s="0" t="n">
        <v>4362304</v>
      </c>
      <c r="C15437" s="0" t="n">
        <v>4362324</v>
      </c>
      <c r="D15437" s="0" t="s">
        <v>51443</v>
      </c>
      <c r="E15437" s="0" t="s">
        <v>89</v>
      </c>
      <c r="F15437" s="0" t="s">
        <v>15</v>
      </c>
      <c r="G15437" s="0" t="s">
        <v>36</v>
      </c>
      <c r="H15437" s="0" t="n">
        <v>25</v>
      </c>
      <c r="I15437" s="0" t="s">
        <v>51444</v>
      </c>
      <c r="J15437" s="0" t="s">
        <v>51445</v>
      </c>
      <c r="K15437" s="0" t="s">
        <v>51446</v>
      </c>
      <c r="L15437" s="0" t="str">
        <f aca="false">HYPERLINK("https://www.ncbi.nlm.nih.gov/nuccore/CP000304.1?report=graph&amp;tracks=[key:gene_model_track,Options:GeneOnly]&amp;mk=4362305:4362324|offset_25|00cc00,4362359:4362378|offset_79|444444,4362388:4362407|offset_108|444444,4362428:4362447|offset_148|444444&amp;v=4362104:4362647&amp;c=444444", "offset 25")</f>
        <v>offset 25</v>
      </c>
    </row>
    <row r="15438" customFormat="false" ht="12.8" hidden="false" customHeight="false" outlineLevel="0" collapsed="false">
      <c r="A15438" s="0" t="s">
        <v>12</v>
      </c>
      <c r="B15438" s="0" t="n">
        <v>4362358</v>
      </c>
      <c r="C15438" s="0" t="n">
        <v>4362378</v>
      </c>
      <c r="D15438" s="0" t="s">
        <v>51443</v>
      </c>
      <c r="E15438" s="0" t="s">
        <v>89</v>
      </c>
      <c r="F15438" s="0" t="s">
        <v>15</v>
      </c>
      <c r="G15438" s="0" t="s">
        <v>16</v>
      </c>
      <c r="H15438" s="0" t="n">
        <v>79</v>
      </c>
      <c r="I15438" s="0" t="s">
        <v>51447</v>
      </c>
      <c r="J15438" s="0" t="s">
        <v>51448</v>
      </c>
      <c r="K15438" s="0" t="s">
        <v>51449</v>
      </c>
      <c r="L15438" s="0" t="str">
        <f aca="false">HYPERLINK("https://www.ncbi.nlm.nih.gov/nuccore/CP000304.1?report=graph&amp;tracks=[key:gene_model_track,Options:GeneOnly]&amp;mk=4362305:4362324|offset_25|444444,4362359:4362378|offset_79|00cc00,4362388:4362407|offset_108|444444,4362428:4362447|offset_148|444444&amp;v=4362104:4362647&amp;c=444444", "offset 79")</f>
        <v>offset 79</v>
      </c>
    </row>
    <row r="15439" customFormat="false" ht="12.8" hidden="false" customHeight="false" outlineLevel="0" collapsed="false">
      <c r="A15439" s="0" t="s">
        <v>12</v>
      </c>
      <c r="B15439" s="0" t="n">
        <v>4362387</v>
      </c>
      <c r="C15439" s="0" t="n">
        <v>4362407</v>
      </c>
      <c r="D15439" s="0" t="s">
        <v>51443</v>
      </c>
      <c r="E15439" s="0" t="s">
        <v>89</v>
      </c>
      <c r="F15439" s="0" t="s">
        <v>15</v>
      </c>
      <c r="G15439" s="0" t="s">
        <v>16</v>
      </c>
      <c r="H15439" s="0" t="n">
        <v>108</v>
      </c>
      <c r="I15439" s="0" t="s">
        <v>51450</v>
      </c>
      <c r="J15439" s="0" t="s">
        <v>51451</v>
      </c>
      <c r="K15439" s="0" t="s">
        <v>51452</v>
      </c>
      <c r="L15439" s="0" t="str">
        <f aca="false">HYPERLINK("https://www.ncbi.nlm.nih.gov/nuccore/CP000304.1?report=graph&amp;tracks=[key:gene_model_track,Options:GeneOnly]&amp;mk=4362305:4362324|offset_25|444444,4362359:4362378|offset_79|444444,4362388:4362407|offset_108|00cc00,4362428:4362447|offset_148|444444&amp;v=4362104:4362647&amp;c=444444", "offset 108")</f>
        <v>offset 108</v>
      </c>
    </row>
    <row r="15440" customFormat="false" ht="12.8" hidden="false" customHeight="false" outlineLevel="0" collapsed="false">
      <c r="A15440" s="0" t="s">
        <v>12</v>
      </c>
      <c r="B15440" s="0" t="n">
        <v>4362427</v>
      </c>
      <c r="C15440" s="0" t="n">
        <v>4362447</v>
      </c>
      <c r="D15440" s="0" t="s">
        <v>51443</v>
      </c>
      <c r="E15440" s="0" t="s">
        <v>89</v>
      </c>
      <c r="F15440" s="0" t="s">
        <v>15</v>
      </c>
      <c r="G15440" s="0" t="s">
        <v>36</v>
      </c>
      <c r="H15440" s="0" t="n">
        <v>148</v>
      </c>
      <c r="I15440" s="0" t="s">
        <v>51453</v>
      </c>
      <c r="J15440" s="0" t="s">
        <v>51454</v>
      </c>
      <c r="K15440" s="0" t="s">
        <v>51455</v>
      </c>
      <c r="L15440" s="0" t="str">
        <f aca="false">HYPERLINK("https://www.ncbi.nlm.nih.gov/nuccore/CP000304.1?report=graph&amp;tracks=[key:gene_model_track,Options:GeneOnly]&amp;mk=4362305:4362324|offset_25|444444,4362359:4362378|offset_79|444444,4362388:4362407|offset_108|444444,4362428:4362447|offset_148|00cc00&amp;v=4362104:4362647&amp;c=444444", "offset 148")</f>
        <v>offset 148</v>
      </c>
    </row>
    <row r="15441" customFormat="false" ht="12.8" hidden="false" customHeight="false" outlineLevel="0" collapsed="false">
      <c r="A15441" s="0" t="s">
        <v>12</v>
      </c>
      <c r="B15441" s="0" t="n">
        <v>4363831</v>
      </c>
      <c r="C15441" s="0" t="n">
        <v>4363851</v>
      </c>
      <c r="D15441" s="0" t="s">
        <v>51456</v>
      </c>
      <c r="E15441" s="0" t="s">
        <v>51457</v>
      </c>
      <c r="F15441" s="0" t="s">
        <v>90</v>
      </c>
      <c r="G15441" s="0" t="s">
        <v>16</v>
      </c>
      <c r="H15441" s="0" t="n">
        <v>43</v>
      </c>
      <c r="I15441" s="0" t="s">
        <v>51458</v>
      </c>
      <c r="J15441" s="0" t="s">
        <v>51459</v>
      </c>
      <c r="K15441" s="0" t="s">
        <v>51460</v>
      </c>
      <c r="L15441" s="0" t="str">
        <f aca="false">HYPERLINK("https://www.ncbi.nlm.nih.gov/nuccore/CP000304.1?report=graph&amp;tracks=[key:gene_model_track,Options:GeneOnly]&amp;mk=4363832:4363851|offset_43|00cc00,4363807:4363826|offset_68|444444,4363768:4363787|offset_107|444444,4363724:4363743|offset_151|444444&amp;v=4363631:4363943&amp;c=444444", "offset 43")</f>
        <v>offset 43</v>
      </c>
    </row>
    <row r="15442" customFormat="false" ht="12.8" hidden="false" customHeight="false" outlineLevel="0" collapsed="false">
      <c r="A15442" s="0" t="s">
        <v>12</v>
      </c>
      <c r="B15442" s="0" t="n">
        <v>4363806</v>
      </c>
      <c r="C15442" s="0" t="n">
        <v>4363826</v>
      </c>
      <c r="D15442" s="0" t="s">
        <v>51456</v>
      </c>
      <c r="E15442" s="0" t="s">
        <v>51457</v>
      </c>
      <c r="F15442" s="0" t="s">
        <v>90</v>
      </c>
      <c r="G15442" s="0" t="s">
        <v>26</v>
      </c>
      <c r="H15442" s="0" t="n">
        <v>68</v>
      </c>
      <c r="I15442" s="0" t="s">
        <v>51461</v>
      </c>
      <c r="J15442" s="0" t="s">
        <v>51462</v>
      </c>
      <c r="K15442" s="0" t="s">
        <v>51463</v>
      </c>
      <c r="L15442" s="0" t="str">
        <f aca="false">HYPERLINK("https://www.ncbi.nlm.nih.gov/nuccore/CP000304.1?report=graph&amp;tracks=[key:gene_model_track,Options:GeneOnly]&amp;mk=4363832:4363851|offset_43|444444,4363807:4363826|offset_68|00cc00,4363768:4363787|offset_107|444444,4363724:4363743|offset_151|444444&amp;v=4363631:4363943&amp;c=444444", "offset 68")</f>
        <v>offset 68</v>
      </c>
    </row>
    <row r="15443" customFormat="false" ht="12.8" hidden="false" customHeight="false" outlineLevel="0" collapsed="false">
      <c r="A15443" s="0" t="s">
        <v>12</v>
      </c>
      <c r="B15443" s="0" t="n">
        <v>4363767</v>
      </c>
      <c r="C15443" s="0" t="n">
        <v>4363787</v>
      </c>
      <c r="D15443" s="0" t="s">
        <v>51456</v>
      </c>
      <c r="E15443" s="0" t="s">
        <v>51457</v>
      </c>
      <c r="F15443" s="0" t="s">
        <v>90</v>
      </c>
      <c r="G15443" s="0" t="s">
        <v>32</v>
      </c>
      <c r="H15443" s="0" t="n">
        <v>107</v>
      </c>
      <c r="I15443" s="0" t="s">
        <v>51464</v>
      </c>
      <c r="J15443" s="0" t="s">
        <v>51465</v>
      </c>
      <c r="K15443" s="0" t="s">
        <v>51466</v>
      </c>
      <c r="L15443" s="0" t="str">
        <f aca="false">HYPERLINK("https://www.ncbi.nlm.nih.gov/nuccore/CP000304.1?report=graph&amp;tracks=[key:gene_model_track,Options:GeneOnly]&amp;mk=4363832:4363851|offset_43|444444,4363807:4363826|offset_68|444444,4363768:4363787|offset_107|00cc00,4363724:4363743|offset_151|444444&amp;v=4363631:4363943&amp;c=444444", "offset 107")</f>
        <v>offset 107</v>
      </c>
    </row>
    <row r="15444" customFormat="false" ht="12.8" hidden="false" customHeight="false" outlineLevel="0" collapsed="false">
      <c r="A15444" s="0" t="s">
        <v>12</v>
      </c>
      <c r="B15444" s="0" t="n">
        <v>4363723</v>
      </c>
      <c r="C15444" s="0" t="n">
        <v>4363743</v>
      </c>
      <c r="D15444" s="0" t="s">
        <v>51456</v>
      </c>
      <c r="E15444" s="0" t="s">
        <v>51457</v>
      </c>
      <c r="F15444" s="0" t="s">
        <v>90</v>
      </c>
      <c r="G15444" s="0" t="s">
        <v>36</v>
      </c>
      <c r="H15444" s="0" t="n">
        <v>151</v>
      </c>
      <c r="I15444" s="0" t="s">
        <v>51467</v>
      </c>
      <c r="J15444" s="0" t="s">
        <v>51468</v>
      </c>
      <c r="K15444" s="0" t="s">
        <v>51469</v>
      </c>
      <c r="L15444" s="0" t="str">
        <f aca="false">HYPERLINK("https://www.ncbi.nlm.nih.gov/nuccore/CP000304.1?report=graph&amp;tracks=[key:gene_model_track,Options:GeneOnly]&amp;mk=4363832:4363851|offset_43|444444,4363807:4363826|offset_68|444444,4363768:4363787|offset_107|444444,4363724:4363743|offset_151|00cc00&amp;v=4363631:4363943&amp;c=444444", "offset 151")</f>
        <v>offset 151</v>
      </c>
    </row>
    <row r="15445" customFormat="false" ht="12.8" hidden="false" customHeight="false" outlineLevel="0" collapsed="false">
      <c r="A15445" s="0" t="s">
        <v>12</v>
      </c>
      <c r="B15445" s="0" t="n">
        <v>4364921</v>
      </c>
      <c r="C15445" s="0" t="n">
        <v>4364941</v>
      </c>
      <c r="D15445" s="0" t="s">
        <v>51470</v>
      </c>
      <c r="E15445" s="0" t="s">
        <v>89</v>
      </c>
      <c r="F15445" s="0" t="s">
        <v>90</v>
      </c>
      <c r="G15445" s="0" t="s">
        <v>32</v>
      </c>
      <c r="H15445" s="0" t="n">
        <v>10</v>
      </c>
      <c r="I15445" s="0" t="s">
        <v>51471</v>
      </c>
      <c r="J15445" s="0" t="s">
        <v>51472</v>
      </c>
      <c r="K15445" s="0" t="s">
        <v>51473</v>
      </c>
      <c r="L15445" s="0" t="str">
        <f aca="false">HYPERLINK("https://www.ncbi.nlm.nih.gov/nuccore/CP000304.1?report=graph&amp;tracks=[key:gene_model_track,Options:GeneOnly]&amp;mk=4364922:4364941|offset_10|00cc00,4364895:4364914|offset_37|444444,4364873:4364892|offset_59|444444,4364847:4364866|offset_85|444444&amp;v=4364721:4365066&amp;c=444444", "offset 10")</f>
        <v>offset 10</v>
      </c>
    </row>
    <row r="15446" customFormat="false" ht="12.8" hidden="false" customHeight="false" outlineLevel="0" collapsed="false">
      <c r="A15446" s="0" t="s">
        <v>12</v>
      </c>
      <c r="B15446" s="0" t="n">
        <v>4364894</v>
      </c>
      <c r="C15446" s="0" t="n">
        <v>4364914</v>
      </c>
      <c r="D15446" s="0" t="s">
        <v>51470</v>
      </c>
      <c r="E15446" s="0" t="s">
        <v>89</v>
      </c>
      <c r="F15446" s="0" t="s">
        <v>90</v>
      </c>
      <c r="G15446" s="0" t="s">
        <v>36</v>
      </c>
      <c r="H15446" s="0" t="n">
        <v>37</v>
      </c>
      <c r="I15446" s="0" t="s">
        <v>51474</v>
      </c>
      <c r="J15446" s="0" t="s">
        <v>51475</v>
      </c>
      <c r="K15446" s="0" t="s">
        <v>51476</v>
      </c>
      <c r="L15446" s="0" t="str">
        <f aca="false">HYPERLINK("https://www.ncbi.nlm.nih.gov/nuccore/CP000304.1?report=graph&amp;tracks=[key:gene_model_track,Options:GeneOnly]&amp;mk=4364922:4364941|offset_10|444444,4364895:4364914|offset_37|00cc00,4364873:4364892|offset_59|444444,4364847:4364866|offset_85|444444&amp;v=4364721:4365066&amp;c=444444", "offset 37")</f>
        <v>offset 37</v>
      </c>
    </row>
    <row r="15447" customFormat="false" ht="12.8" hidden="false" customHeight="false" outlineLevel="0" collapsed="false">
      <c r="A15447" s="0" t="s">
        <v>12</v>
      </c>
      <c r="B15447" s="0" t="n">
        <v>4364872</v>
      </c>
      <c r="C15447" s="0" t="n">
        <v>4364892</v>
      </c>
      <c r="D15447" s="0" t="s">
        <v>51470</v>
      </c>
      <c r="E15447" s="0" t="s">
        <v>89</v>
      </c>
      <c r="F15447" s="0" t="s">
        <v>90</v>
      </c>
      <c r="G15447" s="0" t="s">
        <v>26</v>
      </c>
      <c r="H15447" s="0" t="n">
        <v>59</v>
      </c>
      <c r="I15447" s="0" t="s">
        <v>51477</v>
      </c>
      <c r="J15447" s="0" t="s">
        <v>51478</v>
      </c>
      <c r="K15447" s="0" t="s">
        <v>51479</v>
      </c>
      <c r="L15447" s="0" t="str">
        <f aca="false">HYPERLINK("https://www.ncbi.nlm.nih.gov/nuccore/CP000304.1?report=graph&amp;tracks=[key:gene_model_track,Options:GeneOnly]&amp;mk=4364922:4364941|offset_10|444444,4364895:4364914|offset_37|444444,4364873:4364892|offset_59|00cc00,4364847:4364866|offset_85|444444&amp;v=4364721:4365066&amp;c=444444", "offset 59")</f>
        <v>offset 59</v>
      </c>
    </row>
    <row r="15448" customFormat="false" ht="12.8" hidden="false" customHeight="false" outlineLevel="0" collapsed="false">
      <c r="A15448" s="0" t="s">
        <v>12</v>
      </c>
      <c r="B15448" s="0" t="n">
        <v>4364846</v>
      </c>
      <c r="C15448" s="0" t="n">
        <v>4364866</v>
      </c>
      <c r="D15448" s="0" t="s">
        <v>51470</v>
      </c>
      <c r="E15448" s="0" t="s">
        <v>89</v>
      </c>
      <c r="F15448" s="0" t="s">
        <v>90</v>
      </c>
      <c r="G15448" s="0" t="s">
        <v>32</v>
      </c>
      <c r="H15448" s="0" t="n">
        <v>85</v>
      </c>
      <c r="I15448" s="0" t="s">
        <v>51480</v>
      </c>
      <c r="J15448" s="0" t="s">
        <v>51481</v>
      </c>
      <c r="K15448" s="0" t="s">
        <v>51482</v>
      </c>
      <c r="L15448" s="0" t="str">
        <f aca="false">HYPERLINK("https://www.ncbi.nlm.nih.gov/nuccore/CP000304.1?report=graph&amp;tracks=[key:gene_model_track,Options:GeneOnly]&amp;mk=4364922:4364941|offset_10|444444,4364895:4364914|offset_37|444444,4364873:4364892|offset_59|444444,4364847:4364866|offset_85|00cc00&amp;v=4364721:4365066&amp;c=444444", "offset 85")</f>
        <v>offset 85</v>
      </c>
    </row>
    <row r="15449" customFormat="false" ht="12.8" hidden="false" customHeight="false" outlineLevel="0" collapsed="false">
      <c r="A15449" s="0" t="s">
        <v>12</v>
      </c>
      <c r="B15449" s="0" t="n">
        <v>4366698</v>
      </c>
      <c r="C15449" s="0" t="n">
        <v>4366718</v>
      </c>
      <c r="D15449" s="0" t="s">
        <v>51483</v>
      </c>
      <c r="E15449" s="0" t="s">
        <v>89</v>
      </c>
      <c r="F15449" s="0" t="s">
        <v>90</v>
      </c>
      <c r="G15449" s="0" t="s">
        <v>16</v>
      </c>
      <c r="H15449" s="0" t="n">
        <v>1</v>
      </c>
      <c r="I15449" s="0" t="s">
        <v>51484</v>
      </c>
      <c r="J15449" s="0" t="s">
        <v>51485</v>
      </c>
      <c r="K15449" s="0" t="s">
        <v>51486</v>
      </c>
      <c r="L15449" s="0" t="str">
        <f aca="false">HYPERLINK("https://www.ncbi.nlm.nih.gov/nuccore/CP000304.1?report=graph&amp;tracks=[key:gene_model_track,Options:GeneOnly]&amp;mk=4366699:4366718|offset_1|00cc00,4366655:4366674|offset_45|444444,4366624:4366643|offset_76|444444,4366582:4366601|offset_118|444444&amp;v=4366498:4366801&amp;c=444444", "offset 1")</f>
        <v>offset 1</v>
      </c>
    </row>
    <row r="15450" customFormat="false" ht="12.8" hidden="false" customHeight="false" outlineLevel="0" collapsed="false">
      <c r="A15450" s="0" t="s">
        <v>12</v>
      </c>
      <c r="B15450" s="0" t="n">
        <v>4366654</v>
      </c>
      <c r="C15450" s="0" t="n">
        <v>4366674</v>
      </c>
      <c r="D15450" s="0" t="s">
        <v>51483</v>
      </c>
      <c r="E15450" s="0" t="s">
        <v>89</v>
      </c>
      <c r="F15450" s="0" t="s">
        <v>90</v>
      </c>
      <c r="G15450" s="0" t="s">
        <v>36</v>
      </c>
      <c r="H15450" s="0" t="n">
        <v>45</v>
      </c>
      <c r="I15450" s="0" t="s">
        <v>51487</v>
      </c>
      <c r="J15450" s="0" t="s">
        <v>51488</v>
      </c>
      <c r="K15450" s="0" t="s">
        <v>51489</v>
      </c>
      <c r="L15450" s="0" t="str">
        <f aca="false">HYPERLINK("https://www.ncbi.nlm.nih.gov/nuccore/CP000304.1?report=graph&amp;tracks=[key:gene_model_track,Options:GeneOnly]&amp;mk=4366699:4366718|offset_1|444444,4366655:4366674|offset_45|00cc00,4366624:4366643|offset_76|444444,4366582:4366601|offset_118|444444&amp;v=4366498:4366801&amp;c=444444", "offset 45")</f>
        <v>offset 45</v>
      </c>
    </row>
    <row r="15451" customFormat="false" ht="12.8" hidden="false" customHeight="false" outlineLevel="0" collapsed="false">
      <c r="A15451" s="0" t="s">
        <v>12</v>
      </c>
      <c r="B15451" s="0" t="n">
        <v>4366623</v>
      </c>
      <c r="C15451" s="0" t="n">
        <v>4366643</v>
      </c>
      <c r="D15451" s="0" t="s">
        <v>51483</v>
      </c>
      <c r="E15451" s="0" t="s">
        <v>89</v>
      </c>
      <c r="F15451" s="0" t="s">
        <v>90</v>
      </c>
      <c r="G15451" s="0" t="s">
        <v>32</v>
      </c>
      <c r="H15451" s="0" t="n">
        <v>76</v>
      </c>
      <c r="I15451" s="0" t="s">
        <v>51490</v>
      </c>
      <c r="J15451" s="0" t="s">
        <v>51491</v>
      </c>
      <c r="K15451" s="0" t="s">
        <v>51492</v>
      </c>
      <c r="L15451" s="0" t="str">
        <f aca="false">HYPERLINK("https://www.ncbi.nlm.nih.gov/nuccore/CP000304.1?report=graph&amp;tracks=[key:gene_model_track,Options:GeneOnly]&amp;mk=4366699:4366718|offset_1|444444,4366655:4366674|offset_45|444444,4366624:4366643|offset_76|00cc00,4366582:4366601|offset_118|444444&amp;v=4366498:4366801&amp;c=444444", "offset 76")</f>
        <v>offset 76</v>
      </c>
    </row>
    <row r="15452" customFormat="false" ht="12.8" hidden="false" customHeight="false" outlineLevel="0" collapsed="false">
      <c r="A15452" s="0" t="s">
        <v>12</v>
      </c>
      <c r="B15452" s="0" t="n">
        <v>4366581</v>
      </c>
      <c r="C15452" s="0" t="n">
        <v>4366601</v>
      </c>
      <c r="D15452" s="0" t="s">
        <v>51483</v>
      </c>
      <c r="E15452" s="0" t="s">
        <v>89</v>
      </c>
      <c r="F15452" s="0" t="s">
        <v>90</v>
      </c>
      <c r="G15452" s="0" t="s">
        <v>16</v>
      </c>
      <c r="H15452" s="0" t="n">
        <v>118</v>
      </c>
      <c r="I15452" s="0" t="s">
        <v>51493</v>
      </c>
      <c r="J15452" s="0" t="s">
        <v>51494</v>
      </c>
      <c r="K15452" s="0" t="s">
        <v>51495</v>
      </c>
      <c r="L15452" s="0" t="str">
        <f aca="false">HYPERLINK("https://www.ncbi.nlm.nih.gov/nuccore/CP000304.1?report=graph&amp;tracks=[key:gene_model_track,Options:GeneOnly]&amp;mk=4366699:4366718|offset_1|444444,4366655:4366674|offset_45|444444,4366624:4366643|offset_76|444444,4366582:4366601|offset_118|00cc00&amp;v=4366498:4366801&amp;c=444444", "offset 118")</f>
        <v>offset 118</v>
      </c>
    </row>
    <row r="15453" customFormat="false" ht="12.8" hidden="false" customHeight="false" outlineLevel="0" collapsed="false">
      <c r="A15453" s="0" t="s">
        <v>12</v>
      </c>
      <c r="B15453" s="0" t="n">
        <v>4368978</v>
      </c>
      <c r="C15453" s="0" t="n">
        <v>4368998</v>
      </c>
      <c r="D15453" s="0" t="s">
        <v>51496</v>
      </c>
      <c r="E15453" s="0" t="s">
        <v>89</v>
      </c>
      <c r="F15453" s="0" t="s">
        <v>90</v>
      </c>
      <c r="G15453" s="0" t="s">
        <v>16</v>
      </c>
      <c r="H15453" s="0" t="n">
        <v>25</v>
      </c>
      <c r="I15453" s="0" t="s">
        <v>51497</v>
      </c>
      <c r="J15453" s="0" t="s">
        <v>51498</v>
      </c>
      <c r="K15453" s="0" t="s">
        <v>51499</v>
      </c>
      <c r="L15453" s="0" t="str">
        <f aca="false">HYPERLINK("https://www.ncbi.nlm.nih.gov/nuccore/CP000304.1?report=graph&amp;tracks=[key:gene_model_track,Options:GeneOnly]&amp;mk=4368979:4368998|offset_25|00cc00,4368941:4368960|offset_63|444444,4368900:4368919|offset_104|444444,4368877:4368896|offset_127|444444&amp;v=4368778:4369096&amp;c=444444", "offset 25")</f>
        <v>offset 25</v>
      </c>
    </row>
    <row r="15454" customFormat="false" ht="12.8" hidden="false" customHeight="false" outlineLevel="0" collapsed="false">
      <c r="A15454" s="0" t="s">
        <v>12</v>
      </c>
      <c r="B15454" s="0" t="n">
        <v>4368940</v>
      </c>
      <c r="C15454" s="0" t="n">
        <v>4368960</v>
      </c>
      <c r="D15454" s="0" t="s">
        <v>51496</v>
      </c>
      <c r="E15454" s="0" t="s">
        <v>89</v>
      </c>
      <c r="F15454" s="0" t="s">
        <v>90</v>
      </c>
      <c r="G15454" s="0" t="s">
        <v>16</v>
      </c>
      <c r="H15454" s="0" t="n">
        <v>63</v>
      </c>
      <c r="I15454" s="0" t="s">
        <v>51500</v>
      </c>
      <c r="J15454" s="0" t="s">
        <v>51501</v>
      </c>
      <c r="K15454" s="0" t="s">
        <v>51502</v>
      </c>
      <c r="L15454" s="0" t="str">
        <f aca="false">HYPERLINK("https://www.ncbi.nlm.nih.gov/nuccore/CP000304.1?report=graph&amp;tracks=[key:gene_model_track,Options:GeneOnly]&amp;mk=4368979:4368998|offset_25|444444,4368941:4368960|offset_63|00cc00,4368900:4368919|offset_104|444444,4368877:4368896|offset_127|444444&amp;v=4368778:4369096&amp;c=444444", "offset 63")</f>
        <v>offset 63</v>
      </c>
    </row>
    <row r="15455" customFormat="false" ht="12.8" hidden="false" customHeight="false" outlineLevel="0" collapsed="false">
      <c r="A15455" s="0" t="s">
        <v>12</v>
      </c>
      <c r="B15455" s="0" t="n">
        <v>4368899</v>
      </c>
      <c r="C15455" s="0" t="n">
        <v>4368919</v>
      </c>
      <c r="D15455" s="0" t="s">
        <v>51496</v>
      </c>
      <c r="E15455" s="0" t="s">
        <v>89</v>
      </c>
      <c r="F15455" s="0" t="s">
        <v>90</v>
      </c>
      <c r="G15455" s="0" t="s">
        <v>32</v>
      </c>
      <c r="H15455" s="0" t="n">
        <v>104</v>
      </c>
      <c r="I15455" s="0" t="s">
        <v>51503</v>
      </c>
      <c r="J15455" s="0" t="s">
        <v>51504</v>
      </c>
      <c r="K15455" s="0" t="s">
        <v>51505</v>
      </c>
      <c r="L15455" s="0" t="str">
        <f aca="false">HYPERLINK("https://www.ncbi.nlm.nih.gov/nuccore/CP000304.1?report=graph&amp;tracks=[key:gene_model_track,Options:GeneOnly]&amp;mk=4368979:4368998|offset_25|444444,4368941:4368960|offset_63|444444,4368900:4368919|offset_104|00cc00,4368877:4368896|offset_127|444444&amp;v=4368778:4369096&amp;c=444444", "offset 104")</f>
        <v>offset 104</v>
      </c>
    </row>
    <row r="15456" customFormat="false" ht="12.8" hidden="false" customHeight="false" outlineLevel="0" collapsed="false">
      <c r="A15456" s="0" t="s">
        <v>12</v>
      </c>
      <c r="B15456" s="0" t="n">
        <v>4368876</v>
      </c>
      <c r="C15456" s="0" t="n">
        <v>4368896</v>
      </c>
      <c r="D15456" s="0" t="s">
        <v>51496</v>
      </c>
      <c r="E15456" s="0" t="s">
        <v>89</v>
      </c>
      <c r="F15456" s="0" t="s">
        <v>90</v>
      </c>
      <c r="G15456" s="0" t="s">
        <v>32</v>
      </c>
      <c r="H15456" s="0" t="n">
        <v>127</v>
      </c>
      <c r="I15456" s="0" t="s">
        <v>51506</v>
      </c>
      <c r="J15456" s="0" t="s">
        <v>51507</v>
      </c>
      <c r="K15456" s="0" t="s">
        <v>51508</v>
      </c>
      <c r="L15456" s="0" t="str">
        <f aca="false">HYPERLINK("https://www.ncbi.nlm.nih.gov/nuccore/CP000304.1?report=graph&amp;tracks=[key:gene_model_track,Options:GeneOnly]&amp;mk=4368979:4368998|offset_25|444444,4368941:4368960|offset_63|444444,4368900:4368919|offset_104|444444,4368877:4368896|offset_127|00cc00&amp;v=4368778:4369096&amp;c=444444", "offset 127")</f>
        <v>offset 127</v>
      </c>
    </row>
    <row r="15457" customFormat="false" ht="12.8" hidden="false" customHeight="false" outlineLevel="0" collapsed="false">
      <c r="A15457" s="0" t="s">
        <v>12</v>
      </c>
      <c r="B15457" s="0" t="n">
        <v>4370102</v>
      </c>
      <c r="C15457" s="0" t="n">
        <v>4370122</v>
      </c>
      <c r="D15457" s="0" t="s">
        <v>51509</v>
      </c>
      <c r="E15457" s="0" t="s">
        <v>89</v>
      </c>
      <c r="F15457" s="0" t="s">
        <v>90</v>
      </c>
      <c r="G15457" s="0" t="s">
        <v>36</v>
      </c>
      <c r="H15457" s="0" t="n">
        <v>28</v>
      </c>
      <c r="I15457" s="0" t="s">
        <v>51510</v>
      </c>
      <c r="J15457" s="0" t="s">
        <v>51511</v>
      </c>
      <c r="K15457" s="0" t="s">
        <v>51512</v>
      </c>
      <c r="L15457" s="0" t="str">
        <f aca="false">HYPERLINK("https://www.ncbi.nlm.nih.gov/nuccore/CP000304.1?report=graph&amp;tracks=[key:gene_model_track,Options:GeneOnly]&amp;mk=4370103:4370122|offset_28|00cc00,4370073:4370092|offset_58|444444,4370048:4370067|offset_83|444444,4370022:4370041|offset_109|444444&amp;v=4369902:4370241&amp;c=444444", "offset 28")</f>
        <v>offset 28</v>
      </c>
    </row>
    <row r="15458" customFormat="false" ht="12.8" hidden="false" customHeight="false" outlineLevel="0" collapsed="false">
      <c r="A15458" s="0" t="s">
        <v>12</v>
      </c>
      <c r="B15458" s="0" t="n">
        <v>4370072</v>
      </c>
      <c r="C15458" s="0" t="n">
        <v>4370092</v>
      </c>
      <c r="D15458" s="0" t="s">
        <v>51509</v>
      </c>
      <c r="E15458" s="0" t="s">
        <v>89</v>
      </c>
      <c r="F15458" s="0" t="s">
        <v>90</v>
      </c>
      <c r="G15458" s="0" t="s">
        <v>16</v>
      </c>
      <c r="H15458" s="0" t="n">
        <v>58</v>
      </c>
      <c r="I15458" s="0" t="s">
        <v>51513</v>
      </c>
      <c r="J15458" s="0" t="s">
        <v>51514</v>
      </c>
      <c r="K15458" s="0" t="s">
        <v>51515</v>
      </c>
      <c r="L15458" s="0" t="str">
        <f aca="false">HYPERLINK("https://www.ncbi.nlm.nih.gov/nuccore/CP000304.1?report=graph&amp;tracks=[key:gene_model_track,Options:GeneOnly]&amp;mk=4370103:4370122|offset_28|444444,4370073:4370092|offset_58|00cc00,4370048:4370067|offset_83|444444,4370022:4370041|offset_109|444444&amp;v=4369902:4370241&amp;c=444444", "offset 58")</f>
        <v>offset 58</v>
      </c>
    </row>
    <row r="15459" customFormat="false" ht="12.8" hidden="false" customHeight="false" outlineLevel="0" collapsed="false">
      <c r="A15459" s="0" t="s">
        <v>12</v>
      </c>
      <c r="B15459" s="0" t="n">
        <v>4370047</v>
      </c>
      <c r="C15459" s="0" t="n">
        <v>4370067</v>
      </c>
      <c r="D15459" s="0" t="s">
        <v>51509</v>
      </c>
      <c r="E15459" s="0" t="s">
        <v>89</v>
      </c>
      <c r="F15459" s="0" t="s">
        <v>90</v>
      </c>
      <c r="G15459" s="0" t="s">
        <v>36</v>
      </c>
      <c r="H15459" s="0" t="n">
        <v>83</v>
      </c>
      <c r="I15459" s="0" t="s">
        <v>51516</v>
      </c>
      <c r="J15459" s="0" t="s">
        <v>51517</v>
      </c>
      <c r="K15459" s="0" t="s">
        <v>51518</v>
      </c>
      <c r="L15459" s="0" t="str">
        <f aca="false">HYPERLINK("https://www.ncbi.nlm.nih.gov/nuccore/CP000304.1?report=graph&amp;tracks=[key:gene_model_track,Options:GeneOnly]&amp;mk=4370103:4370122|offset_28|444444,4370073:4370092|offset_58|444444,4370048:4370067|offset_83|00cc00,4370022:4370041|offset_109|444444&amp;v=4369902:4370241&amp;c=444444", "offset 83")</f>
        <v>offset 83</v>
      </c>
    </row>
    <row r="15460" customFormat="false" ht="12.8" hidden="false" customHeight="false" outlineLevel="0" collapsed="false">
      <c r="A15460" s="0" t="s">
        <v>12</v>
      </c>
      <c r="B15460" s="0" t="n">
        <v>4370021</v>
      </c>
      <c r="C15460" s="0" t="n">
        <v>4370041</v>
      </c>
      <c r="D15460" s="0" t="s">
        <v>51509</v>
      </c>
      <c r="E15460" s="0" t="s">
        <v>89</v>
      </c>
      <c r="F15460" s="0" t="s">
        <v>90</v>
      </c>
      <c r="G15460" s="0" t="s">
        <v>26</v>
      </c>
      <c r="H15460" s="0" t="n">
        <v>109</v>
      </c>
      <c r="I15460" s="0" t="s">
        <v>51519</v>
      </c>
      <c r="J15460" s="0" t="s">
        <v>51520</v>
      </c>
      <c r="K15460" s="0" t="s">
        <v>51521</v>
      </c>
      <c r="L15460" s="0" t="str">
        <f aca="false">HYPERLINK("https://www.ncbi.nlm.nih.gov/nuccore/CP000304.1?report=graph&amp;tracks=[key:gene_model_track,Options:GeneOnly]&amp;mk=4370103:4370122|offset_28|444444,4370073:4370092|offset_58|444444,4370048:4370067|offset_83|444444,4370022:4370041|offset_109|00cc00&amp;v=4369902:4370241&amp;c=444444", "offset 109")</f>
        <v>offset 109</v>
      </c>
    </row>
    <row r="15461" customFormat="false" ht="12.8" hidden="false" customHeight="false" outlineLevel="0" collapsed="false">
      <c r="A15461" s="0" t="s">
        <v>12</v>
      </c>
      <c r="B15461" s="0" t="n">
        <v>4370262</v>
      </c>
      <c r="C15461" s="0" t="n">
        <v>4370282</v>
      </c>
      <c r="D15461" s="0" t="s">
        <v>51522</v>
      </c>
      <c r="E15461" s="0" t="s">
        <v>89</v>
      </c>
      <c r="F15461" s="0" t="s">
        <v>15</v>
      </c>
      <c r="G15461" s="0" t="s">
        <v>32</v>
      </c>
      <c r="H15461" s="0" t="n">
        <v>0</v>
      </c>
      <c r="I15461" s="0" t="s">
        <v>51523</v>
      </c>
      <c r="J15461" s="0" t="s">
        <v>51524</v>
      </c>
      <c r="K15461" s="0" t="s">
        <v>51525</v>
      </c>
      <c r="L15461" s="0" t="str">
        <f aca="false">HYPERLINK("https://www.ncbi.nlm.nih.gov/nuccore/CP000304.1?report=graph&amp;tracks=[key:gene_model_track,Options:GeneOnly]&amp;mk=4370263:4370282|offset_0|00cc00,4370299:4370318|offset_36|444444,4370320:4370339|offset_57|444444,4370345:4370364|offset_82|444444&amp;v=4370062:4370564&amp;c=444444", "offset 0")</f>
        <v>offset 0</v>
      </c>
    </row>
    <row r="15462" customFormat="false" ht="12.8" hidden="false" customHeight="false" outlineLevel="0" collapsed="false">
      <c r="A15462" s="0" t="s">
        <v>12</v>
      </c>
      <c r="B15462" s="0" t="n">
        <v>4370298</v>
      </c>
      <c r="C15462" s="0" t="n">
        <v>4370318</v>
      </c>
      <c r="D15462" s="0" t="s">
        <v>51522</v>
      </c>
      <c r="E15462" s="0" t="s">
        <v>89</v>
      </c>
      <c r="F15462" s="0" t="s">
        <v>15</v>
      </c>
      <c r="G15462" s="0" t="s">
        <v>16</v>
      </c>
      <c r="H15462" s="0" t="n">
        <v>36</v>
      </c>
      <c r="I15462" s="0" t="s">
        <v>51526</v>
      </c>
      <c r="J15462" s="0" t="s">
        <v>51527</v>
      </c>
      <c r="K15462" s="0" t="s">
        <v>51528</v>
      </c>
      <c r="L15462" s="0" t="str">
        <f aca="false">HYPERLINK("https://www.ncbi.nlm.nih.gov/nuccore/CP000304.1?report=graph&amp;tracks=[key:gene_model_track,Options:GeneOnly]&amp;mk=4370263:4370282|offset_0|444444,4370299:4370318|offset_36|00cc00,4370320:4370339|offset_57|444444,4370345:4370364|offset_82|444444&amp;v=4370062:4370564&amp;c=444444", "offset 36")</f>
        <v>offset 36</v>
      </c>
    </row>
    <row r="15463" customFormat="false" ht="12.8" hidden="false" customHeight="false" outlineLevel="0" collapsed="false">
      <c r="A15463" s="0" t="s">
        <v>12</v>
      </c>
      <c r="B15463" s="0" t="n">
        <v>4370319</v>
      </c>
      <c r="C15463" s="0" t="n">
        <v>4370339</v>
      </c>
      <c r="D15463" s="0" t="s">
        <v>51522</v>
      </c>
      <c r="E15463" s="0" t="s">
        <v>89</v>
      </c>
      <c r="F15463" s="0" t="s">
        <v>15</v>
      </c>
      <c r="G15463" s="0" t="s">
        <v>36</v>
      </c>
      <c r="H15463" s="0" t="n">
        <v>57</v>
      </c>
      <c r="I15463" s="0" t="s">
        <v>51529</v>
      </c>
      <c r="J15463" s="0" t="s">
        <v>51530</v>
      </c>
      <c r="K15463" s="0" t="s">
        <v>51531</v>
      </c>
      <c r="L15463" s="0" t="str">
        <f aca="false">HYPERLINK("https://www.ncbi.nlm.nih.gov/nuccore/CP000304.1?report=graph&amp;tracks=[key:gene_model_track,Options:GeneOnly]&amp;mk=4370263:4370282|offset_0|444444,4370299:4370318|offset_36|444444,4370320:4370339|offset_57|00cc00,4370345:4370364|offset_82|444444&amp;v=4370062:4370564&amp;c=444444", "offset 57")</f>
        <v>offset 57</v>
      </c>
    </row>
    <row r="15464" customFormat="false" ht="12.8" hidden="false" customHeight="false" outlineLevel="0" collapsed="false">
      <c r="A15464" s="0" t="s">
        <v>12</v>
      </c>
      <c r="B15464" s="0" t="n">
        <v>4370344</v>
      </c>
      <c r="C15464" s="0" t="n">
        <v>4370364</v>
      </c>
      <c r="D15464" s="0" t="s">
        <v>51522</v>
      </c>
      <c r="E15464" s="0" t="s">
        <v>89</v>
      </c>
      <c r="F15464" s="0" t="s">
        <v>15</v>
      </c>
      <c r="G15464" s="0" t="s">
        <v>32</v>
      </c>
      <c r="H15464" s="0" t="n">
        <v>82</v>
      </c>
      <c r="I15464" s="0" t="s">
        <v>51532</v>
      </c>
      <c r="J15464" s="0" t="s">
        <v>51533</v>
      </c>
      <c r="K15464" s="0" t="s">
        <v>51534</v>
      </c>
      <c r="L15464" s="0" t="str">
        <f aca="false">HYPERLINK("https://www.ncbi.nlm.nih.gov/nuccore/CP000304.1?report=graph&amp;tracks=[key:gene_model_track,Options:GeneOnly]&amp;mk=4370263:4370282|offset_0|444444,4370299:4370318|offset_36|444444,4370320:4370339|offset_57|444444,4370345:4370364|offset_82|00cc00&amp;v=4370062:4370564&amp;c=444444", "offset 82")</f>
        <v>offset 82</v>
      </c>
    </row>
    <row r="15465" customFormat="false" ht="12.8" hidden="false" customHeight="false" outlineLevel="0" collapsed="false">
      <c r="A15465" s="0" t="s">
        <v>12</v>
      </c>
      <c r="B15465" s="0" t="n">
        <v>4371968</v>
      </c>
      <c r="C15465" s="0" t="n">
        <v>4371988</v>
      </c>
      <c r="D15465" s="0" t="s">
        <v>51535</v>
      </c>
      <c r="E15465" s="0" t="s">
        <v>89</v>
      </c>
      <c r="F15465" s="0" t="s">
        <v>90</v>
      </c>
      <c r="G15465" s="0" t="s">
        <v>16</v>
      </c>
      <c r="H15465" s="0" t="n">
        <v>0</v>
      </c>
      <c r="I15465" s="0" t="s">
        <v>51536</v>
      </c>
      <c r="J15465" s="0" t="s">
        <v>51537</v>
      </c>
      <c r="K15465" s="0" t="s">
        <v>51538</v>
      </c>
      <c r="L15465" s="0" t="str">
        <f aca="false">HYPERLINK("https://www.ncbi.nlm.nih.gov/nuccore/CP000304.1?report=graph&amp;tracks=[key:gene_model_track,Options:GeneOnly]&amp;mk=4371969:4371988|offset_0|00cc00,4371949:4371968|offset_20|444444,4371920:4371939|offset_49|444444,4371883:4371902|offset_86|444444&amp;v=4371768:4372102&amp;c=444444", "offset 0")</f>
        <v>offset 0</v>
      </c>
    </row>
    <row r="15466" customFormat="false" ht="12.8" hidden="false" customHeight="false" outlineLevel="0" collapsed="false">
      <c r="A15466" s="0" t="s">
        <v>12</v>
      </c>
      <c r="B15466" s="0" t="n">
        <v>4371948</v>
      </c>
      <c r="C15466" s="0" t="n">
        <v>4371968</v>
      </c>
      <c r="D15466" s="0" t="s">
        <v>51535</v>
      </c>
      <c r="E15466" s="0" t="s">
        <v>89</v>
      </c>
      <c r="F15466" s="0" t="s">
        <v>90</v>
      </c>
      <c r="G15466" s="0" t="s">
        <v>32</v>
      </c>
      <c r="H15466" s="0" t="n">
        <v>20</v>
      </c>
      <c r="I15466" s="0" t="s">
        <v>51539</v>
      </c>
      <c r="J15466" s="0" t="s">
        <v>51540</v>
      </c>
      <c r="K15466" s="0" t="s">
        <v>51541</v>
      </c>
      <c r="L15466" s="0" t="str">
        <f aca="false">HYPERLINK("https://www.ncbi.nlm.nih.gov/nuccore/CP000304.1?report=graph&amp;tracks=[key:gene_model_track,Options:GeneOnly]&amp;mk=4371969:4371988|offset_0|444444,4371949:4371968|offset_20|00cc00,4371920:4371939|offset_49|444444,4371883:4371902|offset_86|444444&amp;v=4371768:4372102&amp;c=444444", "offset 20")</f>
        <v>offset 20</v>
      </c>
    </row>
    <row r="15467" customFormat="false" ht="12.8" hidden="false" customHeight="false" outlineLevel="0" collapsed="false">
      <c r="A15467" s="0" t="s">
        <v>12</v>
      </c>
      <c r="B15467" s="0" t="n">
        <v>4371919</v>
      </c>
      <c r="C15467" s="0" t="n">
        <v>4371939</v>
      </c>
      <c r="D15467" s="0" t="s">
        <v>51535</v>
      </c>
      <c r="E15467" s="0" t="s">
        <v>89</v>
      </c>
      <c r="F15467" s="0" t="s">
        <v>90</v>
      </c>
      <c r="G15467" s="0" t="s">
        <v>36</v>
      </c>
      <c r="H15467" s="0" t="n">
        <v>49</v>
      </c>
      <c r="I15467" s="0" t="s">
        <v>51542</v>
      </c>
      <c r="J15467" s="0" t="s">
        <v>51543</v>
      </c>
      <c r="K15467" s="0" t="s">
        <v>51544</v>
      </c>
      <c r="L15467" s="0" t="str">
        <f aca="false">HYPERLINK("https://www.ncbi.nlm.nih.gov/nuccore/CP000304.1?report=graph&amp;tracks=[key:gene_model_track,Options:GeneOnly]&amp;mk=4371969:4371988|offset_0|444444,4371949:4371968|offset_20|444444,4371920:4371939|offset_49|00cc00,4371883:4371902|offset_86|444444&amp;v=4371768:4372102&amp;c=444444", "offset 49")</f>
        <v>offset 49</v>
      </c>
    </row>
    <row r="15468" customFormat="false" ht="12.8" hidden="false" customHeight="false" outlineLevel="0" collapsed="false">
      <c r="A15468" s="0" t="s">
        <v>12</v>
      </c>
      <c r="B15468" s="0" t="n">
        <v>4371882</v>
      </c>
      <c r="C15468" s="0" t="n">
        <v>4371902</v>
      </c>
      <c r="D15468" s="0" t="s">
        <v>51535</v>
      </c>
      <c r="E15468" s="0" t="s">
        <v>89</v>
      </c>
      <c r="F15468" s="0" t="s">
        <v>90</v>
      </c>
      <c r="G15468" s="0" t="s">
        <v>26</v>
      </c>
      <c r="H15468" s="0" t="n">
        <v>86</v>
      </c>
      <c r="I15468" s="0" t="s">
        <v>51545</v>
      </c>
      <c r="J15468" s="0" t="s">
        <v>51546</v>
      </c>
      <c r="K15468" s="0" t="s">
        <v>51547</v>
      </c>
      <c r="L15468" s="0" t="str">
        <f aca="false">HYPERLINK("https://www.ncbi.nlm.nih.gov/nuccore/CP000304.1?report=graph&amp;tracks=[key:gene_model_track,Options:GeneOnly]&amp;mk=4371969:4371988|offset_0|444444,4371949:4371968|offset_20|444444,4371920:4371939|offset_49|444444,4371883:4371902|offset_86|00cc00&amp;v=4371768:4372102&amp;c=444444", "offset 86")</f>
        <v>offset 86</v>
      </c>
    </row>
    <row r="15469" customFormat="false" ht="12.8" hidden="false" customHeight="false" outlineLevel="0" collapsed="false">
      <c r="A15469" s="0" t="s">
        <v>12</v>
      </c>
      <c r="B15469" s="0" t="n">
        <v>4372112</v>
      </c>
      <c r="C15469" s="0" t="n">
        <v>4372132</v>
      </c>
      <c r="D15469" s="0" t="s">
        <v>51548</v>
      </c>
      <c r="E15469" s="0" t="s">
        <v>89</v>
      </c>
      <c r="F15469" s="0" t="s">
        <v>15</v>
      </c>
      <c r="G15469" s="0" t="s">
        <v>32</v>
      </c>
      <c r="H15469" s="0" t="n">
        <v>39</v>
      </c>
      <c r="I15469" s="0" t="s">
        <v>51549</v>
      </c>
      <c r="J15469" s="0" t="s">
        <v>51550</v>
      </c>
      <c r="K15469" s="0" t="s">
        <v>51551</v>
      </c>
      <c r="L15469" s="0" t="str">
        <f aca="false">HYPERLINK("https://www.ncbi.nlm.nih.gov/nuccore/CP000304.1?report=graph&amp;tracks=[key:gene_model_track,Options:GeneOnly]&amp;mk=4372113:4372132|offset_39|00cc00,4372153:4372172|offset_79|444444,4372174:4372193|offset_100|444444,4372214:4372233|offset_140|444444&amp;v=4371912:4372433&amp;c=444444", "offset 39")</f>
        <v>offset 39</v>
      </c>
    </row>
    <row r="15470" customFormat="false" ht="12.8" hidden="false" customHeight="false" outlineLevel="0" collapsed="false">
      <c r="A15470" s="0" t="s">
        <v>12</v>
      </c>
      <c r="B15470" s="0" t="n">
        <v>4372152</v>
      </c>
      <c r="C15470" s="0" t="n">
        <v>4372172</v>
      </c>
      <c r="D15470" s="0" t="s">
        <v>51548</v>
      </c>
      <c r="E15470" s="0" t="s">
        <v>89</v>
      </c>
      <c r="F15470" s="0" t="s">
        <v>15</v>
      </c>
      <c r="G15470" s="0" t="s">
        <v>16</v>
      </c>
      <c r="H15470" s="0" t="n">
        <v>79</v>
      </c>
      <c r="I15470" s="0" t="s">
        <v>51552</v>
      </c>
      <c r="J15470" s="0" t="s">
        <v>51553</v>
      </c>
      <c r="K15470" s="0" t="s">
        <v>51554</v>
      </c>
      <c r="L15470" s="0" t="str">
        <f aca="false">HYPERLINK("https://www.ncbi.nlm.nih.gov/nuccore/CP000304.1?report=graph&amp;tracks=[key:gene_model_track,Options:GeneOnly]&amp;mk=4372113:4372132|offset_39|444444,4372153:4372172|offset_79|00cc00,4372174:4372193|offset_100|444444,4372214:4372233|offset_140|444444&amp;v=4371912:4372433&amp;c=444444", "offset 79")</f>
        <v>offset 79</v>
      </c>
    </row>
    <row r="15471" customFormat="false" ht="12.8" hidden="false" customHeight="false" outlineLevel="0" collapsed="false">
      <c r="A15471" s="0" t="s">
        <v>12</v>
      </c>
      <c r="B15471" s="0" t="n">
        <v>4372173</v>
      </c>
      <c r="C15471" s="0" t="n">
        <v>4372193</v>
      </c>
      <c r="D15471" s="0" t="s">
        <v>51548</v>
      </c>
      <c r="E15471" s="0" t="s">
        <v>89</v>
      </c>
      <c r="F15471" s="0" t="s">
        <v>15</v>
      </c>
      <c r="G15471" s="0" t="s">
        <v>36</v>
      </c>
      <c r="H15471" s="0" t="n">
        <v>100</v>
      </c>
      <c r="I15471" s="0" t="s">
        <v>51555</v>
      </c>
      <c r="J15471" s="0" t="s">
        <v>51556</v>
      </c>
      <c r="K15471" s="0" t="s">
        <v>51557</v>
      </c>
      <c r="L15471" s="0" t="str">
        <f aca="false">HYPERLINK("https://www.ncbi.nlm.nih.gov/nuccore/CP000304.1?report=graph&amp;tracks=[key:gene_model_track,Options:GeneOnly]&amp;mk=4372113:4372132|offset_39|444444,4372153:4372172|offset_79|444444,4372174:4372193|offset_100|00cc00,4372214:4372233|offset_140|444444&amp;v=4371912:4372433&amp;c=444444", "offset 100")</f>
        <v>offset 100</v>
      </c>
    </row>
    <row r="15472" customFormat="false" ht="12.8" hidden="false" customHeight="false" outlineLevel="0" collapsed="false">
      <c r="A15472" s="0" t="s">
        <v>12</v>
      </c>
      <c r="B15472" s="0" t="n">
        <v>4372213</v>
      </c>
      <c r="C15472" s="0" t="n">
        <v>4372233</v>
      </c>
      <c r="D15472" s="0" t="s">
        <v>51548</v>
      </c>
      <c r="E15472" s="0" t="s">
        <v>89</v>
      </c>
      <c r="F15472" s="0" t="s">
        <v>15</v>
      </c>
      <c r="G15472" s="0" t="s">
        <v>26</v>
      </c>
      <c r="H15472" s="0" t="n">
        <v>140</v>
      </c>
      <c r="I15472" s="0" t="s">
        <v>51558</v>
      </c>
      <c r="J15472" s="0" t="s">
        <v>51559</v>
      </c>
      <c r="K15472" s="0" t="s">
        <v>51560</v>
      </c>
      <c r="L15472" s="0" t="str">
        <f aca="false">HYPERLINK("https://www.ncbi.nlm.nih.gov/nuccore/CP000304.1?report=graph&amp;tracks=[key:gene_model_track,Options:GeneOnly]&amp;mk=4372113:4372132|offset_39|444444,4372153:4372172|offset_79|444444,4372174:4372193|offset_100|444444,4372214:4372233|offset_140|00cc00&amp;v=4371912:4372433&amp;c=444444", "offset 140")</f>
        <v>offset 140</v>
      </c>
    </row>
    <row r="15473" customFormat="false" ht="12.8" hidden="false" customHeight="false" outlineLevel="0" collapsed="false">
      <c r="A15473" s="0" t="s">
        <v>12</v>
      </c>
      <c r="B15473" s="0" t="n">
        <v>4373520</v>
      </c>
      <c r="C15473" s="0" t="n">
        <v>4373540</v>
      </c>
      <c r="D15473" s="0" t="s">
        <v>51561</v>
      </c>
      <c r="E15473" s="0" t="s">
        <v>89</v>
      </c>
      <c r="F15473" s="0" t="s">
        <v>90</v>
      </c>
      <c r="G15473" s="0" t="s">
        <v>16</v>
      </c>
      <c r="H15473" s="0" t="n">
        <v>0</v>
      </c>
      <c r="I15473" s="0" t="s">
        <v>51562</v>
      </c>
      <c r="J15473" s="0" t="s">
        <v>51563</v>
      </c>
      <c r="K15473" s="0" t="s">
        <v>51564</v>
      </c>
      <c r="L15473" s="0" t="str">
        <f aca="false">HYPERLINK("https://www.ncbi.nlm.nih.gov/nuccore/CP000304.1?report=graph&amp;tracks=[key:gene_model_track,Options:GeneOnly]&amp;mk=4373521:4373540|offset_0|00cc00,4373500:4373519|offset_21|444444,4373475:4373494|offset_46|444444,4373444:4373463|offset_77|444444&amp;v=4373320:4373663&amp;c=444444", "offset 0")</f>
        <v>offset 0</v>
      </c>
    </row>
    <row r="15474" customFormat="false" ht="12.8" hidden="false" customHeight="false" outlineLevel="0" collapsed="false">
      <c r="A15474" s="0" t="s">
        <v>12</v>
      </c>
      <c r="B15474" s="0" t="n">
        <v>4373499</v>
      </c>
      <c r="C15474" s="0" t="n">
        <v>4373519</v>
      </c>
      <c r="D15474" s="0" t="s">
        <v>51561</v>
      </c>
      <c r="E15474" s="0" t="s">
        <v>89</v>
      </c>
      <c r="F15474" s="0" t="s">
        <v>90</v>
      </c>
      <c r="G15474" s="0" t="s">
        <v>16</v>
      </c>
      <c r="H15474" s="0" t="n">
        <v>21</v>
      </c>
      <c r="I15474" s="0" t="s">
        <v>51565</v>
      </c>
      <c r="J15474" s="0" t="s">
        <v>51566</v>
      </c>
      <c r="K15474" s="0" t="s">
        <v>51567</v>
      </c>
      <c r="L15474" s="0" t="str">
        <f aca="false">HYPERLINK("https://www.ncbi.nlm.nih.gov/nuccore/CP000304.1?report=graph&amp;tracks=[key:gene_model_track,Options:GeneOnly]&amp;mk=4373521:4373540|offset_0|444444,4373500:4373519|offset_21|00cc00,4373475:4373494|offset_46|444444,4373444:4373463|offset_77|444444&amp;v=4373320:4373663&amp;c=444444", "offset 21")</f>
        <v>offset 21</v>
      </c>
    </row>
    <row r="15475" customFormat="false" ht="12.8" hidden="false" customHeight="false" outlineLevel="0" collapsed="false">
      <c r="A15475" s="0" t="s">
        <v>12</v>
      </c>
      <c r="B15475" s="0" t="n">
        <v>4373474</v>
      </c>
      <c r="C15475" s="0" t="n">
        <v>4373494</v>
      </c>
      <c r="D15475" s="0" t="s">
        <v>51561</v>
      </c>
      <c r="E15475" s="0" t="s">
        <v>89</v>
      </c>
      <c r="F15475" s="0" t="s">
        <v>90</v>
      </c>
      <c r="G15475" s="0" t="s">
        <v>26</v>
      </c>
      <c r="H15475" s="0" t="n">
        <v>46</v>
      </c>
      <c r="I15475" s="0" t="s">
        <v>51568</v>
      </c>
      <c r="J15475" s="0" t="s">
        <v>51569</v>
      </c>
      <c r="K15475" s="0" t="s">
        <v>51570</v>
      </c>
      <c r="L15475" s="0" t="str">
        <f aca="false">HYPERLINK("https://www.ncbi.nlm.nih.gov/nuccore/CP000304.1?report=graph&amp;tracks=[key:gene_model_track,Options:GeneOnly]&amp;mk=4373521:4373540|offset_0|444444,4373500:4373519|offset_21|444444,4373475:4373494|offset_46|00cc00,4373444:4373463|offset_77|444444&amp;v=4373320:4373663&amp;c=444444", "offset 46")</f>
        <v>offset 46</v>
      </c>
    </row>
    <row r="15476" customFormat="false" ht="12.8" hidden="false" customHeight="false" outlineLevel="0" collapsed="false">
      <c r="A15476" s="0" t="s">
        <v>12</v>
      </c>
      <c r="B15476" s="0" t="n">
        <v>4373443</v>
      </c>
      <c r="C15476" s="0" t="n">
        <v>4373463</v>
      </c>
      <c r="D15476" s="0" t="s">
        <v>51561</v>
      </c>
      <c r="E15476" s="0" t="s">
        <v>89</v>
      </c>
      <c r="F15476" s="0" t="s">
        <v>90</v>
      </c>
      <c r="G15476" s="0" t="s">
        <v>26</v>
      </c>
      <c r="H15476" s="0" t="n">
        <v>77</v>
      </c>
      <c r="I15476" s="0" t="s">
        <v>51571</v>
      </c>
      <c r="J15476" s="0" t="s">
        <v>51572</v>
      </c>
      <c r="K15476" s="0" t="s">
        <v>51573</v>
      </c>
      <c r="L15476" s="0" t="str">
        <f aca="false">HYPERLINK("https://www.ncbi.nlm.nih.gov/nuccore/CP000304.1?report=graph&amp;tracks=[key:gene_model_track,Options:GeneOnly]&amp;mk=4373521:4373540|offset_0|444444,4373500:4373519|offset_21|444444,4373475:4373494|offset_46|444444,4373444:4373463|offset_77|00cc00&amp;v=4373320:4373663&amp;c=444444", "offset 77")</f>
        <v>offset 77</v>
      </c>
    </row>
    <row r="15477" customFormat="false" ht="12.8" hidden="false" customHeight="false" outlineLevel="0" collapsed="false">
      <c r="A15477" s="0" t="s">
        <v>12</v>
      </c>
      <c r="B15477" s="0" t="n">
        <v>4375452</v>
      </c>
      <c r="C15477" s="0" t="n">
        <v>4375472</v>
      </c>
      <c r="D15477" s="0" t="s">
        <v>51574</v>
      </c>
      <c r="E15477" s="0" t="s">
        <v>51575</v>
      </c>
      <c r="F15477" s="0" t="s">
        <v>90</v>
      </c>
      <c r="G15477" s="0" t="s">
        <v>16</v>
      </c>
      <c r="H15477" s="0" t="n">
        <v>13</v>
      </c>
      <c r="I15477" s="0" t="s">
        <v>51576</v>
      </c>
      <c r="J15477" s="0" t="s">
        <v>51577</v>
      </c>
      <c r="K15477" s="0" t="s">
        <v>51578</v>
      </c>
      <c r="L15477" s="0" t="str">
        <f aca="false">HYPERLINK("https://www.ncbi.nlm.nih.gov/nuccore/CP000304.1?report=graph&amp;tracks=[key:gene_model_track,Options:GeneOnly]&amp;mk=4375453:4375472|offset_13|00cc00,4375423:4375442|offset_43|444444,4375401:4375420|offset_65|444444,4375366:4375385|offset_100|444444&amp;v=4375252:4375585&amp;c=444444", "offset 13")</f>
        <v>offset 13</v>
      </c>
    </row>
    <row r="15478" customFormat="false" ht="12.8" hidden="false" customHeight="false" outlineLevel="0" collapsed="false">
      <c r="A15478" s="0" t="s">
        <v>12</v>
      </c>
      <c r="B15478" s="0" t="n">
        <v>4375422</v>
      </c>
      <c r="C15478" s="0" t="n">
        <v>4375442</v>
      </c>
      <c r="D15478" s="0" t="s">
        <v>51574</v>
      </c>
      <c r="E15478" s="0" t="s">
        <v>51575</v>
      </c>
      <c r="F15478" s="0" t="s">
        <v>90</v>
      </c>
      <c r="G15478" s="0" t="s">
        <v>26</v>
      </c>
      <c r="H15478" s="0" t="n">
        <v>43</v>
      </c>
      <c r="I15478" s="0" t="s">
        <v>51579</v>
      </c>
      <c r="J15478" s="0" t="s">
        <v>51580</v>
      </c>
      <c r="K15478" s="0" t="s">
        <v>51581</v>
      </c>
      <c r="L15478" s="0" t="str">
        <f aca="false">HYPERLINK("https://www.ncbi.nlm.nih.gov/nuccore/CP000304.1?report=graph&amp;tracks=[key:gene_model_track,Options:GeneOnly]&amp;mk=4375453:4375472|offset_13|444444,4375423:4375442|offset_43|00cc00,4375401:4375420|offset_65|444444,4375366:4375385|offset_100|444444&amp;v=4375252:4375585&amp;c=444444", "offset 43")</f>
        <v>offset 43</v>
      </c>
    </row>
    <row r="15479" customFormat="false" ht="12.8" hidden="false" customHeight="false" outlineLevel="0" collapsed="false">
      <c r="A15479" s="0" t="s">
        <v>12</v>
      </c>
      <c r="B15479" s="0" t="n">
        <v>4375400</v>
      </c>
      <c r="C15479" s="0" t="n">
        <v>4375420</v>
      </c>
      <c r="D15479" s="0" t="s">
        <v>51574</v>
      </c>
      <c r="E15479" s="0" t="s">
        <v>51575</v>
      </c>
      <c r="F15479" s="0" t="s">
        <v>90</v>
      </c>
      <c r="G15479" s="0" t="s">
        <v>26</v>
      </c>
      <c r="H15479" s="0" t="n">
        <v>65</v>
      </c>
      <c r="I15479" s="0" t="s">
        <v>51582</v>
      </c>
      <c r="J15479" s="0" t="s">
        <v>51583</v>
      </c>
      <c r="K15479" s="0" t="s">
        <v>51584</v>
      </c>
      <c r="L15479" s="0" t="str">
        <f aca="false">HYPERLINK("https://www.ncbi.nlm.nih.gov/nuccore/CP000304.1?report=graph&amp;tracks=[key:gene_model_track,Options:GeneOnly]&amp;mk=4375453:4375472|offset_13|444444,4375423:4375442|offset_43|444444,4375401:4375420|offset_65|00cc00,4375366:4375385|offset_100|444444&amp;v=4375252:4375585&amp;c=444444", "offset 65")</f>
        <v>offset 65</v>
      </c>
    </row>
    <row r="15480" customFormat="false" ht="12.8" hidden="false" customHeight="false" outlineLevel="0" collapsed="false">
      <c r="A15480" s="0" t="s">
        <v>12</v>
      </c>
      <c r="B15480" s="0" t="n">
        <v>4375365</v>
      </c>
      <c r="C15480" s="0" t="n">
        <v>4375385</v>
      </c>
      <c r="D15480" s="0" t="s">
        <v>51574</v>
      </c>
      <c r="E15480" s="0" t="s">
        <v>51575</v>
      </c>
      <c r="F15480" s="0" t="s">
        <v>90</v>
      </c>
      <c r="G15480" s="0" t="s">
        <v>16</v>
      </c>
      <c r="H15480" s="0" t="n">
        <v>100</v>
      </c>
      <c r="I15480" s="0" t="s">
        <v>51585</v>
      </c>
      <c r="J15480" s="0" t="s">
        <v>51586</v>
      </c>
      <c r="K15480" s="0" t="s">
        <v>51587</v>
      </c>
      <c r="L15480" s="0" t="str">
        <f aca="false">HYPERLINK("https://www.ncbi.nlm.nih.gov/nuccore/CP000304.1?report=graph&amp;tracks=[key:gene_model_track,Options:GeneOnly]&amp;mk=4375453:4375472|offset_13|444444,4375423:4375442|offset_43|444444,4375401:4375420|offset_65|444444,4375366:4375385|offset_100|00cc00&amp;v=4375252:4375585&amp;c=444444", "offset 100")</f>
        <v>offset 100</v>
      </c>
    </row>
    <row r="15481" customFormat="false" ht="12.8" hidden="false" customHeight="false" outlineLevel="0" collapsed="false">
      <c r="A15481" s="0" t="s">
        <v>12</v>
      </c>
      <c r="B15481" s="0" t="n">
        <v>4379083</v>
      </c>
      <c r="C15481" s="0" t="n">
        <v>4379103</v>
      </c>
      <c r="D15481" s="0" t="s">
        <v>51588</v>
      </c>
      <c r="E15481" s="0" t="s">
        <v>51589</v>
      </c>
      <c r="F15481" s="0" t="s">
        <v>90</v>
      </c>
      <c r="G15481" s="0" t="s">
        <v>32</v>
      </c>
      <c r="H15481" s="0" t="n">
        <v>1</v>
      </c>
      <c r="I15481" s="0" t="s">
        <v>51590</v>
      </c>
      <c r="J15481" s="0" t="s">
        <v>51591</v>
      </c>
      <c r="K15481" s="0" t="s">
        <v>51592</v>
      </c>
      <c r="L15481" s="0" t="str">
        <f aca="false">HYPERLINK("https://www.ncbi.nlm.nih.gov/nuccore/CP000304.1?report=graph&amp;tracks=[key:gene_model_track,Options:GeneOnly]&amp;mk=4379084:4379103|offset_1|00cc00,4379058:4379077|offset_27|444444,4379018:4379037|offset_67|444444,4378997:4379016|offset_88|444444&amp;v=4378883:4379216&amp;c=444444", "offset 1")</f>
        <v>offset 1</v>
      </c>
    </row>
    <row r="15482" customFormat="false" ht="12.8" hidden="false" customHeight="false" outlineLevel="0" collapsed="false">
      <c r="A15482" s="0" t="s">
        <v>12</v>
      </c>
      <c r="B15482" s="0" t="n">
        <v>4379057</v>
      </c>
      <c r="C15482" s="0" t="n">
        <v>4379077</v>
      </c>
      <c r="D15482" s="0" t="s">
        <v>51588</v>
      </c>
      <c r="E15482" s="0" t="s">
        <v>51589</v>
      </c>
      <c r="F15482" s="0" t="s">
        <v>90</v>
      </c>
      <c r="G15482" s="0" t="s">
        <v>36</v>
      </c>
      <c r="H15482" s="0" t="n">
        <v>27</v>
      </c>
      <c r="I15482" s="0" t="s">
        <v>51593</v>
      </c>
      <c r="J15482" s="0" t="s">
        <v>51594</v>
      </c>
      <c r="K15482" s="0" t="s">
        <v>51595</v>
      </c>
      <c r="L15482" s="0" t="str">
        <f aca="false">HYPERLINK("https://www.ncbi.nlm.nih.gov/nuccore/CP000304.1?report=graph&amp;tracks=[key:gene_model_track,Options:GeneOnly]&amp;mk=4379084:4379103|offset_1|444444,4379058:4379077|offset_27|00cc00,4379018:4379037|offset_67|444444,4378997:4379016|offset_88|444444&amp;v=4378883:4379216&amp;c=444444", "offset 27")</f>
        <v>offset 27</v>
      </c>
    </row>
    <row r="15483" customFormat="false" ht="12.8" hidden="false" customHeight="false" outlineLevel="0" collapsed="false">
      <c r="A15483" s="0" t="s">
        <v>12</v>
      </c>
      <c r="B15483" s="0" t="n">
        <v>4379017</v>
      </c>
      <c r="C15483" s="0" t="n">
        <v>4379037</v>
      </c>
      <c r="D15483" s="0" t="s">
        <v>51588</v>
      </c>
      <c r="E15483" s="0" t="s">
        <v>51589</v>
      </c>
      <c r="F15483" s="0" t="s">
        <v>90</v>
      </c>
      <c r="G15483" s="0" t="s">
        <v>16</v>
      </c>
      <c r="H15483" s="0" t="n">
        <v>67</v>
      </c>
      <c r="I15483" s="0" t="s">
        <v>51596</v>
      </c>
      <c r="J15483" s="0" t="s">
        <v>51597</v>
      </c>
      <c r="K15483" s="0" t="s">
        <v>51598</v>
      </c>
      <c r="L15483" s="0" t="str">
        <f aca="false">HYPERLINK("https://www.ncbi.nlm.nih.gov/nuccore/CP000304.1?report=graph&amp;tracks=[key:gene_model_track,Options:GeneOnly]&amp;mk=4379084:4379103|offset_1|444444,4379058:4379077|offset_27|444444,4379018:4379037|offset_67|00cc00,4378997:4379016|offset_88|444444&amp;v=4378883:4379216&amp;c=444444", "offset 67")</f>
        <v>offset 67</v>
      </c>
    </row>
    <row r="15484" customFormat="false" ht="12.8" hidden="false" customHeight="false" outlineLevel="0" collapsed="false">
      <c r="A15484" s="0" t="s">
        <v>12</v>
      </c>
      <c r="B15484" s="0" t="n">
        <v>4378996</v>
      </c>
      <c r="C15484" s="0" t="n">
        <v>4379016</v>
      </c>
      <c r="D15484" s="0" t="s">
        <v>51588</v>
      </c>
      <c r="E15484" s="0" t="s">
        <v>51589</v>
      </c>
      <c r="F15484" s="0" t="s">
        <v>90</v>
      </c>
      <c r="G15484" s="0" t="s">
        <v>16</v>
      </c>
      <c r="H15484" s="0" t="n">
        <v>88</v>
      </c>
      <c r="I15484" s="0" t="s">
        <v>51599</v>
      </c>
      <c r="J15484" s="0" t="s">
        <v>51600</v>
      </c>
      <c r="K15484" s="0" t="s">
        <v>51601</v>
      </c>
      <c r="L15484" s="0" t="str">
        <f aca="false">HYPERLINK("https://www.ncbi.nlm.nih.gov/nuccore/CP000304.1?report=graph&amp;tracks=[key:gene_model_track,Options:GeneOnly]&amp;mk=4379084:4379103|offset_1|444444,4379058:4379077|offset_27|444444,4379018:4379037|offset_67|444444,4378997:4379016|offset_88|00cc00&amp;v=4378883:4379216&amp;c=444444", "offset 88")</f>
        <v>offset 88</v>
      </c>
    </row>
    <row r="15485" customFormat="false" ht="12.8" hidden="false" customHeight="false" outlineLevel="0" collapsed="false">
      <c r="A15485" s="0" t="s">
        <v>12</v>
      </c>
      <c r="B15485" s="0" t="n">
        <v>4383026</v>
      </c>
      <c r="C15485" s="0" t="n">
        <v>4383046</v>
      </c>
      <c r="D15485" s="0" t="s">
        <v>51602</v>
      </c>
      <c r="E15485" s="0" t="s">
        <v>51603</v>
      </c>
      <c r="F15485" s="0" t="s">
        <v>90</v>
      </c>
      <c r="G15485" s="0" t="s">
        <v>36</v>
      </c>
      <c r="H15485" s="0" t="n">
        <v>0</v>
      </c>
      <c r="I15485" s="0" t="s">
        <v>51604</v>
      </c>
      <c r="J15485" s="0" t="s">
        <v>51605</v>
      </c>
      <c r="K15485" s="0" t="s">
        <v>51606</v>
      </c>
      <c r="L15485" s="0" t="str">
        <f aca="false">HYPERLINK("https://www.ncbi.nlm.nih.gov/nuccore/CP000304.1?report=graph&amp;tracks=[key:gene_model_track,Options:GeneOnly]&amp;mk=4383027:4383046|offset_0|00cc00,4383005:4383024|offset_22|444444,4382960:4382979|offset_67|444444,4382934:4382953|offset_93|444444&amp;v=4382826:4383153&amp;c=444444", "offset 0")</f>
        <v>offset 0</v>
      </c>
    </row>
    <row r="15486" customFormat="false" ht="12.8" hidden="false" customHeight="false" outlineLevel="0" collapsed="false">
      <c r="A15486" s="0" t="s">
        <v>12</v>
      </c>
      <c r="B15486" s="0" t="n">
        <v>4383004</v>
      </c>
      <c r="C15486" s="0" t="n">
        <v>4383024</v>
      </c>
      <c r="D15486" s="0" t="s">
        <v>51602</v>
      </c>
      <c r="E15486" s="0" t="s">
        <v>51603</v>
      </c>
      <c r="F15486" s="0" t="s">
        <v>90</v>
      </c>
      <c r="G15486" s="0" t="s">
        <v>36</v>
      </c>
      <c r="H15486" s="0" t="n">
        <v>22</v>
      </c>
      <c r="I15486" s="0" t="s">
        <v>51607</v>
      </c>
      <c r="J15486" s="0" t="s">
        <v>51608</v>
      </c>
      <c r="K15486" s="0" t="s">
        <v>51609</v>
      </c>
      <c r="L15486" s="0" t="str">
        <f aca="false">HYPERLINK("https://www.ncbi.nlm.nih.gov/nuccore/CP000304.1?report=graph&amp;tracks=[key:gene_model_track,Options:GeneOnly]&amp;mk=4383027:4383046|offset_0|444444,4383005:4383024|offset_22|00cc00,4382960:4382979|offset_67|444444,4382934:4382953|offset_93|444444&amp;v=4382826:4383153&amp;c=444444", "offset 22")</f>
        <v>offset 22</v>
      </c>
    </row>
    <row r="15487" customFormat="false" ht="12.8" hidden="false" customHeight="false" outlineLevel="0" collapsed="false">
      <c r="A15487" s="0" t="s">
        <v>12</v>
      </c>
      <c r="B15487" s="0" t="n">
        <v>4382959</v>
      </c>
      <c r="C15487" s="0" t="n">
        <v>4382979</v>
      </c>
      <c r="D15487" s="0" t="s">
        <v>51602</v>
      </c>
      <c r="E15487" s="0" t="s">
        <v>51603</v>
      </c>
      <c r="F15487" s="0" t="s">
        <v>90</v>
      </c>
      <c r="G15487" s="0" t="s">
        <v>36</v>
      </c>
      <c r="H15487" s="0" t="n">
        <v>67</v>
      </c>
      <c r="I15487" s="0" t="s">
        <v>51610</v>
      </c>
      <c r="J15487" s="0" t="s">
        <v>51611</v>
      </c>
      <c r="K15487" s="0" t="s">
        <v>51612</v>
      </c>
      <c r="L15487" s="0" t="str">
        <f aca="false">HYPERLINK("https://www.ncbi.nlm.nih.gov/nuccore/CP000304.1?report=graph&amp;tracks=[key:gene_model_track,Options:GeneOnly]&amp;mk=4383027:4383046|offset_0|444444,4383005:4383024|offset_22|444444,4382960:4382979|offset_67|00cc00,4382934:4382953|offset_93|444444&amp;v=4382826:4383153&amp;c=444444", "offset 67")</f>
        <v>offset 67</v>
      </c>
    </row>
    <row r="15488" customFormat="false" ht="12.8" hidden="false" customHeight="false" outlineLevel="0" collapsed="false">
      <c r="A15488" s="0" t="s">
        <v>12</v>
      </c>
      <c r="B15488" s="0" t="n">
        <v>4382933</v>
      </c>
      <c r="C15488" s="0" t="n">
        <v>4382953</v>
      </c>
      <c r="D15488" s="0" t="s">
        <v>51602</v>
      </c>
      <c r="E15488" s="0" t="s">
        <v>51603</v>
      </c>
      <c r="F15488" s="0" t="s">
        <v>90</v>
      </c>
      <c r="G15488" s="0" t="s">
        <v>16</v>
      </c>
      <c r="H15488" s="0" t="n">
        <v>93</v>
      </c>
      <c r="I15488" s="0" t="s">
        <v>51613</v>
      </c>
      <c r="J15488" s="0" t="s">
        <v>51614</v>
      </c>
      <c r="K15488" s="0" t="s">
        <v>51615</v>
      </c>
      <c r="L15488" s="0" t="str">
        <f aca="false">HYPERLINK("https://www.ncbi.nlm.nih.gov/nuccore/CP000304.1?report=graph&amp;tracks=[key:gene_model_track,Options:GeneOnly]&amp;mk=4383027:4383046|offset_0|444444,4383005:4383024|offset_22|444444,4382960:4382979|offset_67|444444,4382934:4382953|offset_93|00cc00&amp;v=4382826:4383153&amp;c=444444", "offset 93")</f>
        <v>offset 93</v>
      </c>
    </row>
    <row r="15489" customFormat="false" ht="12.8" hidden="false" customHeight="false" outlineLevel="0" collapsed="false">
      <c r="A15489" s="0" t="s">
        <v>12</v>
      </c>
      <c r="B15489" s="0" t="n">
        <v>4383280</v>
      </c>
      <c r="C15489" s="0" t="n">
        <v>4383300</v>
      </c>
      <c r="D15489" s="0" t="s">
        <v>51616</v>
      </c>
      <c r="E15489" s="0" t="s">
        <v>89</v>
      </c>
      <c r="F15489" s="0" t="s">
        <v>15</v>
      </c>
      <c r="G15489" s="0" t="s">
        <v>16</v>
      </c>
      <c r="H15489" s="0" t="n">
        <v>8</v>
      </c>
      <c r="I15489" s="0" t="s">
        <v>51617</v>
      </c>
      <c r="J15489" s="0" t="s">
        <v>51618</v>
      </c>
      <c r="K15489" s="0" t="s">
        <v>51619</v>
      </c>
      <c r="L15489" s="0" t="str">
        <f aca="false">HYPERLINK("https://www.ncbi.nlm.nih.gov/nuccore/CP000304.1?report=graph&amp;tracks=[key:gene_model_track,Options:GeneOnly]&amp;mk=4383281:4383300|offset_8|00cc00,4383304:4383323|offset_31|444444,4383325:4383344|offset_52|444444,4383355:4383374|offset_82|444444&amp;v=4383080:4383574&amp;c=444444", "offset 8")</f>
        <v>offset 8</v>
      </c>
    </row>
    <row r="15490" customFormat="false" ht="12.8" hidden="false" customHeight="false" outlineLevel="0" collapsed="false">
      <c r="A15490" s="0" t="s">
        <v>12</v>
      </c>
      <c r="B15490" s="0" t="n">
        <v>4383303</v>
      </c>
      <c r="C15490" s="0" t="n">
        <v>4383323</v>
      </c>
      <c r="D15490" s="0" t="s">
        <v>51616</v>
      </c>
      <c r="E15490" s="0" t="s">
        <v>89</v>
      </c>
      <c r="F15490" s="0" t="s">
        <v>15</v>
      </c>
      <c r="G15490" s="0" t="s">
        <v>36</v>
      </c>
      <c r="H15490" s="0" t="n">
        <v>31</v>
      </c>
      <c r="I15490" s="0" t="s">
        <v>51620</v>
      </c>
      <c r="J15490" s="0" t="s">
        <v>51621</v>
      </c>
      <c r="K15490" s="0" t="s">
        <v>51622</v>
      </c>
      <c r="L15490" s="0" t="str">
        <f aca="false">HYPERLINK("https://www.ncbi.nlm.nih.gov/nuccore/CP000304.1?report=graph&amp;tracks=[key:gene_model_track,Options:GeneOnly]&amp;mk=4383281:4383300|offset_8|444444,4383304:4383323|offset_31|00cc00,4383325:4383344|offset_52|444444,4383355:4383374|offset_82|444444&amp;v=4383080:4383574&amp;c=444444", "offset 31")</f>
        <v>offset 31</v>
      </c>
    </row>
    <row r="15491" customFormat="false" ht="12.8" hidden="false" customHeight="false" outlineLevel="0" collapsed="false">
      <c r="A15491" s="0" t="s">
        <v>12</v>
      </c>
      <c r="B15491" s="0" t="n">
        <v>4383324</v>
      </c>
      <c r="C15491" s="0" t="n">
        <v>4383344</v>
      </c>
      <c r="D15491" s="0" t="s">
        <v>51616</v>
      </c>
      <c r="E15491" s="0" t="s">
        <v>89</v>
      </c>
      <c r="F15491" s="0" t="s">
        <v>15</v>
      </c>
      <c r="G15491" s="0" t="s">
        <v>32</v>
      </c>
      <c r="H15491" s="0" t="n">
        <v>52</v>
      </c>
      <c r="I15491" s="0" t="s">
        <v>51623</v>
      </c>
      <c r="J15491" s="0" t="s">
        <v>51624</v>
      </c>
      <c r="K15491" s="0" t="s">
        <v>51625</v>
      </c>
      <c r="L15491" s="0" t="str">
        <f aca="false">HYPERLINK("https://www.ncbi.nlm.nih.gov/nuccore/CP000304.1?report=graph&amp;tracks=[key:gene_model_track,Options:GeneOnly]&amp;mk=4383281:4383300|offset_8|444444,4383304:4383323|offset_31|444444,4383325:4383344|offset_52|00cc00,4383355:4383374|offset_82|444444&amp;v=4383080:4383574&amp;c=444444", "offset 52")</f>
        <v>offset 52</v>
      </c>
    </row>
    <row r="15492" customFormat="false" ht="12.8" hidden="false" customHeight="false" outlineLevel="0" collapsed="false">
      <c r="A15492" s="0" t="s">
        <v>12</v>
      </c>
      <c r="B15492" s="0" t="n">
        <v>4383354</v>
      </c>
      <c r="C15492" s="0" t="n">
        <v>4383374</v>
      </c>
      <c r="D15492" s="0" t="s">
        <v>51616</v>
      </c>
      <c r="E15492" s="0" t="s">
        <v>89</v>
      </c>
      <c r="F15492" s="0" t="s">
        <v>15</v>
      </c>
      <c r="G15492" s="0" t="s">
        <v>36</v>
      </c>
      <c r="H15492" s="0" t="n">
        <v>82</v>
      </c>
      <c r="I15492" s="0" t="s">
        <v>51626</v>
      </c>
      <c r="J15492" s="0" t="s">
        <v>51627</v>
      </c>
      <c r="K15492" s="0" t="s">
        <v>51628</v>
      </c>
      <c r="L15492" s="0" t="str">
        <f aca="false">HYPERLINK("https://www.ncbi.nlm.nih.gov/nuccore/CP000304.1?report=graph&amp;tracks=[key:gene_model_track,Options:GeneOnly]&amp;mk=4383281:4383300|offset_8|444444,4383304:4383323|offset_31|444444,4383325:4383344|offset_52|444444,4383355:4383374|offset_82|00cc00&amp;v=4383080:4383574&amp;c=444444", "offset 82")</f>
        <v>offset 82</v>
      </c>
    </row>
    <row r="15493" customFormat="false" ht="12.8" hidden="false" customHeight="false" outlineLevel="0" collapsed="false">
      <c r="A15493" s="0" t="s">
        <v>12</v>
      </c>
      <c r="B15493" s="0" t="n">
        <v>4384306</v>
      </c>
      <c r="C15493" s="0" t="n">
        <v>4384326</v>
      </c>
      <c r="D15493" s="0" t="s">
        <v>51629</v>
      </c>
      <c r="E15493" s="0" t="s">
        <v>89</v>
      </c>
      <c r="F15493" s="0" t="s">
        <v>15</v>
      </c>
      <c r="G15493" s="0" t="s">
        <v>26</v>
      </c>
      <c r="H15493" s="0" t="n">
        <v>11</v>
      </c>
      <c r="I15493" s="0" t="s">
        <v>51630</v>
      </c>
      <c r="J15493" s="0" t="s">
        <v>51631</v>
      </c>
      <c r="K15493" s="0" t="s">
        <v>51632</v>
      </c>
      <c r="L15493" s="0" t="str">
        <f aca="false">HYPERLINK("https://www.ncbi.nlm.nih.gov/nuccore/CP000304.1?report=graph&amp;tracks=[key:gene_model_track,Options:GeneOnly]&amp;mk=4384307:4384326|offset_11|00cc00,4384327:4384346|offset_31|444444,4384366:4384385|offset_70|444444,4384394:4384413|offset_98|444444&amp;v=4384106:4384613&amp;c=444444", "offset 11")</f>
        <v>offset 11</v>
      </c>
    </row>
    <row r="15494" customFormat="false" ht="12.8" hidden="false" customHeight="false" outlineLevel="0" collapsed="false">
      <c r="A15494" s="0" t="s">
        <v>12</v>
      </c>
      <c r="B15494" s="0" t="n">
        <v>4384326</v>
      </c>
      <c r="C15494" s="0" t="n">
        <v>4384346</v>
      </c>
      <c r="D15494" s="0" t="s">
        <v>51629</v>
      </c>
      <c r="E15494" s="0" t="s">
        <v>89</v>
      </c>
      <c r="F15494" s="0" t="s">
        <v>15</v>
      </c>
      <c r="G15494" s="0" t="s">
        <v>32</v>
      </c>
      <c r="H15494" s="0" t="n">
        <v>31</v>
      </c>
      <c r="I15494" s="0" t="s">
        <v>51633</v>
      </c>
      <c r="J15494" s="0" t="s">
        <v>51634</v>
      </c>
      <c r="K15494" s="0" t="s">
        <v>51635</v>
      </c>
      <c r="L15494" s="0" t="str">
        <f aca="false">HYPERLINK("https://www.ncbi.nlm.nih.gov/nuccore/CP000304.1?report=graph&amp;tracks=[key:gene_model_track,Options:GeneOnly]&amp;mk=4384307:4384326|offset_11|444444,4384327:4384346|offset_31|00cc00,4384366:4384385|offset_70|444444,4384394:4384413|offset_98|444444&amp;v=4384106:4384613&amp;c=444444", "offset 31")</f>
        <v>offset 31</v>
      </c>
    </row>
    <row r="15495" customFormat="false" ht="12.8" hidden="false" customHeight="false" outlineLevel="0" collapsed="false">
      <c r="A15495" s="0" t="s">
        <v>12</v>
      </c>
      <c r="B15495" s="0" t="n">
        <v>4384365</v>
      </c>
      <c r="C15495" s="0" t="n">
        <v>4384385</v>
      </c>
      <c r="D15495" s="0" t="s">
        <v>51629</v>
      </c>
      <c r="E15495" s="0" t="s">
        <v>89</v>
      </c>
      <c r="F15495" s="0" t="s">
        <v>15</v>
      </c>
      <c r="G15495" s="0" t="s">
        <v>16</v>
      </c>
      <c r="H15495" s="0" t="n">
        <v>70</v>
      </c>
      <c r="I15495" s="0" t="s">
        <v>51636</v>
      </c>
      <c r="J15495" s="0" t="s">
        <v>51637</v>
      </c>
      <c r="K15495" s="0" t="s">
        <v>51638</v>
      </c>
      <c r="L15495" s="0" t="str">
        <f aca="false">HYPERLINK("https://www.ncbi.nlm.nih.gov/nuccore/CP000304.1?report=graph&amp;tracks=[key:gene_model_track,Options:GeneOnly]&amp;mk=4384307:4384326|offset_11|444444,4384327:4384346|offset_31|444444,4384366:4384385|offset_70|00cc00,4384394:4384413|offset_98|444444&amp;v=4384106:4384613&amp;c=444444", "offset 70")</f>
        <v>offset 70</v>
      </c>
    </row>
    <row r="15496" customFormat="false" ht="12.8" hidden="false" customHeight="false" outlineLevel="0" collapsed="false">
      <c r="A15496" s="0" t="s">
        <v>12</v>
      </c>
      <c r="B15496" s="0" t="n">
        <v>4384393</v>
      </c>
      <c r="C15496" s="0" t="n">
        <v>4384413</v>
      </c>
      <c r="D15496" s="0" t="s">
        <v>51629</v>
      </c>
      <c r="E15496" s="0" t="s">
        <v>89</v>
      </c>
      <c r="F15496" s="0" t="s">
        <v>15</v>
      </c>
      <c r="G15496" s="0" t="s">
        <v>26</v>
      </c>
      <c r="H15496" s="0" t="n">
        <v>98</v>
      </c>
      <c r="I15496" s="0" t="s">
        <v>51639</v>
      </c>
      <c r="J15496" s="0" t="s">
        <v>51640</v>
      </c>
      <c r="K15496" s="0" t="s">
        <v>51641</v>
      </c>
      <c r="L15496" s="0" t="str">
        <f aca="false">HYPERLINK("https://www.ncbi.nlm.nih.gov/nuccore/CP000304.1?report=graph&amp;tracks=[key:gene_model_track,Options:GeneOnly]&amp;mk=4384307:4384326|offset_11|444444,4384327:4384346|offset_31|444444,4384366:4384385|offset_70|444444,4384394:4384413|offset_98|00cc00&amp;v=4384106:4384613&amp;c=444444", "offset 98")</f>
        <v>offset 98</v>
      </c>
    </row>
    <row r="15497" customFormat="false" ht="12.8" hidden="false" customHeight="false" outlineLevel="0" collapsed="false">
      <c r="A15497" s="0" t="s">
        <v>12</v>
      </c>
      <c r="B15497" s="0" t="n">
        <v>4386966</v>
      </c>
      <c r="C15497" s="0" t="n">
        <v>4386986</v>
      </c>
      <c r="D15497" s="0" t="s">
        <v>51642</v>
      </c>
      <c r="E15497" s="0" t="s">
        <v>89</v>
      </c>
      <c r="F15497" s="0" t="s">
        <v>90</v>
      </c>
      <c r="G15497" s="0" t="s">
        <v>32</v>
      </c>
      <c r="H15497" s="0" t="n">
        <v>8</v>
      </c>
      <c r="I15497" s="0" t="s">
        <v>51643</v>
      </c>
      <c r="J15497" s="0" t="s">
        <v>51644</v>
      </c>
      <c r="K15497" s="0" t="s">
        <v>51645</v>
      </c>
      <c r="L15497" s="0" t="str">
        <f aca="false">HYPERLINK("https://www.ncbi.nlm.nih.gov/nuccore/CP000304.1?report=graph&amp;tracks=[key:gene_model_track,Options:GeneOnly]&amp;mk=4386967:4386986|offset_8|00cc00,4386939:4386958|offset_36|444444,4386904:4386923|offset_71|444444,4386816:4386835|offset_159|444444&amp;v=4386766:4387035&amp;c=444444", "offset 8")</f>
        <v>offset 8</v>
      </c>
    </row>
    <row r="15498" customFormat="false" ht="12.8" hidden="false" customHeight="false" outlineLevel="0" collapsed="false">
      <c r="A15498" s="0" t="s">
        <v>12</v>
      </c>
      <c r="B15498" s="0" t="n">
        <v>4386938</v>
      </c>
      <c r="C15498" s="0" t="n">
        <v>4386958</v>
      </c>
      <c r="D15498" s="0" t="s">
        <v>51642</v>
      </c>
      <c r="E15498" s="0" t="s">
        <v>89</v>
      </c>
      <c r="F15498" s="0" t="s">
        <v>90</v>
      </c>
      <c r="G15498" s="0" t="s">
        <v>16</v>
      </c>
      <c r="H15498" s="0" t="n">
        <v>36</v>
      </c>
      <c r="I15498" s="0" t="s">
        <v>51646</v>
      </c>
      <c r="J15498" s="0" t="s">
        <v>51647</v>
      </c>
      <c r="K15498" s="0" t="s">
        <v>51648</v>
      </c>
      <c r="L15498" s="0" t="str">
        <f aca="false">HYPERLINK("https://www.ncbi.nlm.nih.gov/nuccore/CP000304.1?report=graph&amp;tracks=[key:gene_model_track,Options:GeneOnly]&amp;mk=4386967:4386986|offset_8|444444,4386939:4386958|offset_36|00cc00,4386904:4386923|offset_71|444444,4386816:4386835|offset_159|444444&amp;v=4386766:4387035&amp;c=444444", "offset 36")</f>
        <v>offset 36</v>
      </c>
    </row>
    <row r="15499" customFormat="false" ht="12.8" hidden="false" customHeight="false" outlineLevel="0" collapsed="false">
      <c r="A15499" s="0" t="s">
        <v>12</v>
      </c>
      <c r="B15499" s="0" t="n">
        <v>4386903</v>
      </c>
      <c r="C15499" s="0" t="n">
        <v>4386923</v>
      </c>
      <c r="D15499" s="0" t="s">
        <v>51642</v>
      </c>
      <c r="E15499" s="0" t="s">
        <v>89</v>
      </c>
      <c r="F15499" s="0" t="s">
        <v>90</v>
      </c>
      <c r="G15499" s="0" t="s">
        <v>26</v>
      </c>
      <c r="H15499" s="0" t="n">
        <v>71</v>
      </c>
      <c r="I15499" s="0" t="s">
        <v>51649</v>
      </c>
      <c r="J15499" s="0" t="s">
        <v>51650</v>
      </c>
      <c r="K15499" s="0" t="s">
        <v>51651</v>
      </c>
      <c r="L15499" s="0" t="str">
        <f aca="false">HYPERLINK("https://www.ncbi.nlm.nih.gov/nuccore/CP000304.1?report=graph&amp;tracks=[key:gene_model_track,Options:GeneOnly]&amp;mk=4386967:4386986|offset_8|444444,4386939:4386958|offset_36|444444,4386904:4386923|offset_71|00cc00,4386816:4386835|offset_159|444444&amp;v=4386766:4387035&amp;c=444444", "offset 71")</f>
        <v>offset 71</v>
      </c>
    </row>
    <row r="15500" customFormat="false" ht="12.8" hidden="false" customHeight="false" outlineLevel="0" collapsed="false">
      <c r="A15500" s="0" t="s">
        <v>12</v>
      </c>
      <c r="B15500" s="0" t="n">
        <v>4386815</v>
      </c>
      <c r="C15500" s="0" t="n">
        <v>4386835</v>
      </c>
      <c r="D15500" s="0" t="s">
        <v>51642</v>
      </c>
      <c r="E15500" s="0" t="s">
        <v>89</v>
      </c>
      <c r="F15500" s="0" t="s">
        <v>90</v>
      </c>
      <c r="G15500" s="0" t="s">
        <v>16</v>
      </c>
      <c r="H15500" s="0" t="n">
        <v>159</v>
      </c>
      <c r="I15500" s="0" t="s">
        <v>51652</v>
      </c>
      <c r="J15500" s="0" t="s">
        <v>51653</v>
      </c>
      <c r="K15500" s="0" t="s">
        <v>51654</v>
      </c>
      <c r="L15500" s="0" t="str">
        <f aca="false">HYPERLINK("https://www.ncbi.nlm.nih.gov/nuccore/CP000304.1?report=graph&amp;tracks=[key:gene_model_track,Options:GeneOnly]&amp;mk=4386967:4386986|offset_8|444444,4386939:4386958|offset_36|444444,4386904:4386923|offset_71|444444,4386816:4386835|offset_159|00cc00&amp;v=4386766:4387035&amp;c=444444", "offset 159")</f>
        <v>offset 159</v>
      </c>
    </row>
    <row r="15501" customFormat="false" ht="12.8" hidden="false" customHeight="false" outlineLevel="0" collapsed="false">
      <c r="A15501" s="0" t="s">
        <v>12</v>
      </c>
      <c r="B15501" s="0" t="n">
        <v>4388447</v>
      </c>
      <c r="C15501" s="0" t="n">
        <v>4388467</v>
      </c>
      <c r="D15501" s="0" t="s">
        <v>51655</v>
      </c>
      <c r="E15501" s="0" t="s">
        <v>89</v>
      </c>
      <c r="F15501" s="0" t="s">
        <v>90</v>
      </c>
      <c r="G15501" s="0" t="s">
        <v>32</v>
      </c>
      <c r="H15501" s="0" t="n">
        <v>43</v>
      </c>
      <c r="I15501" s="0" t="s">
        <v>51656</v>
      </c>
      <c r="J15501" s="0" t="s">
        <v>51657</v>
      </c>
      <c r="K15501" s="0" t="s">
        <v>51658</v>
      </c>
      <c r="L15501" s="0" t="str">
        <f aca="false">HYPERLINK("https://www.ncbi.nlm.nih.gov/nuccore/CP000304.1?report=graph&amp;tracks=[key:gene_model_track,Options:GeneOnly]&amp;mk=4388448:4388467|offset_43|00cc00,4388409:4388428|offset_82|444444,4388380:4388399|offset_111|444444,4388341:4388360|offset_150|444444&amp;v=4388247:4388560&amp;c=444444", "offset 43")</f>
        <v>offset 43</v>
      </c>
    </row>
    <row r="15502" customFormat="false" ht="12.8" hidden="false" customHeight="false" outlineLevel="0" collapsed="false">
      <c r="A15502" s="0" t="s">
        <v>12</v>
      </c>
      <c r="B15502" s="0" t="n">
        <v>4388408</v>
      </c>
      <c r="C15502" s="0" t="n">
        <v>4388428</v>
      </c>
      <c r="D15502" s="0" t="s">
        <v>51655</v>
      </c>
      <c r="E15502" s="0" t="s">
        <v>89</v>
      </c>
      <c r="F15502" s="0" t="s">
        <v>90</v>
      </c>
      <c r="G15502" s="0" t="s">
        <v>26</v>
      </c>
      <c r="H15502" s="0" t="n">
        <v>82</v>
      </c>
      <c r="I15502" s="0" t="s">
        <v>51659</v>
      </c>
      <c r="J15502" s="0" t="s">
        <v>51660</v>
      </c>
      <c r="K15502" s="0" t="s">
        <v>51661</v>
      </c>
      <c r="L15502" s="0" t="str">
        <f aca="false">HYPERLINK("https://www.ncbi.nlm.nih.gov/nuccore/CP000304.1?report=graph&amp;tracks=[key:gene_model_track,Options:GeneOnly]&amp;mk=4388448:4388467|offset_43|444444,4388409:4388428|offset_82|00cc00,4388380:4388399|offset_111|444444,4388341:4388360|offset_150|444444&amp;v=4388247:4388560&amp;c=444444", "offset 82")</f>
        <v>offset 82</v>
      </c>
    </row>
    <row r="15503" customFormat="false" ht="12.8" hidden="false" customHeight="false" outlineLevel="0" collapsed="false">
      <c r="A15503" s="0" t="s">
        <v>12</v>
      </c>
      <c r="B15503" s="0" t="n">
        <v>4388379</v>
      </c>
      <c r="C15503" s="0" t="n">
        <v>4388399</v>
      </c>
      <c r="D15503" s="0" t="s">
        <v>51655</v>
      </c>
      <c r="E15503" s="0" t="s">
        <v>89</v>
      </c>
      <c r="F15503" s="0" t="s">
        <v>90</v>
      </c>
      <c r="G15503" s="0" t="s">
        <v>36</v>
      </c>
      <c r="H15503" s="0" t="n">
        <v>111</v>
      </c>
      <c r="I15503" s="0" t="s">
        <v>51662</v>
      </c>
      <c r="J15503" s="0" t="s">
        <v>51663</v>
      </c>
      <c r="K15503" s="0" t="s">
        <v>51664</v>
      </c>
      <c r="L15503" s="0" t="str">
        <f aca="false">HYPERLINK("https://www.ncbi.nlm.nih.gov/nuccore/CP000304.1?report=graph&amp;tracks=[key:gene_model_track,Options:GeneOnly]&amp;mk=4388448:4388467|offset_43|444444,4388409:4388428|offset_82|444444,4388380:4388399|offset_111|00cc00,4388341:4388360|offset_150|444444&amp;v=4388247:4388560&amp;c=444444", "offset 111")</f>
        <v>offset 111</v>
      </c>
    </row>
    <row r="15504" customFormat="false" ht="12.8" hidden="false" customHeight="false" outlineLevel="0" collapsed="false">
      <c r="A15504" s="0" t="s">
        <v>12</v>
      </c>
      <c r="B15504" s="0" t="n">
        <v>4388340</v>
      </c>
      <c r="C15504" s="0" t="n">
        <v>4388360</v>
      </c>
      <c r="D15504" s="0" t="s">
        <v>51655</v>
      </c>
      <c r="E15504" s="0" t="s">
        <v>89</v>
      </c>
      <c r="F15504" s="0" t="s">
        <v>90</v>
      </c>
      <c r="G15504" s="0" t="s">
        <v>16</v>
      </c>
      <c r="H15504" s="0" t="n">
        <v>150</v>
      </c>
      <c r="I15504" s="0" t="s">
        <v>51665</v>
      </c>
      <c r="J15504" s="0" t="s">
        <v>51666</v>
      </c>
      <c r="K15504" s="0" t="s">
        <v>51667</v>
      </c>
      <c r="L15504" s="0" t="str">
        <f aca="false">HYPERLINK("https://www.ncbi.nlm.nih.gov/nuccore/CP000304.1?report=graph&amp;tracks=[key:gene_model_track,Options:GeneOnly]&amp;mk=4388448:4388467|offset_43|444444,4388409:4388428|offset_82|444444,4388380:4388399|offset_111|444444,4388341:4388360|offset_150|00cc00&amp;v=4388247:4388560&amp;c=444444", "offset 150")</f>
        <v>offset 150</v>
      </c>
    </row>
    <row r="15505" customFormat="false" ht="12.8" hidden="false" customHeight="false" outlineLevel="0" collapsed="false">
      <c r="A15505" s="0" t="s">
        <v>12</v>
      </c>
      <c r="B15505" s="0" t="n">
        <v>4388913</v>
      </c>
      <c r="C15505" s="0" t="n">
        <v>4388933</v>
      </c>
      <c r="D15505" s="0" t="s">
        <v>51668</v>
      </c>
      <c r="E15505" s="0" t="s">
        <v>89</v>
      </c>
      <c r="F15505" s="0" t="s">
        <v>90</v>
      </c>
      <c r="G15505" s="0" t="s">
        <v>16</v>
      </c>
      <c r="H15505" s="0" t="n">
        <v>22</v>
      </c>
      <c r="I15505" s="0" t="s">
        <v>51669</v>
      </c>
      <c r="J15505" s="0" t="s">
        <v>51670</v>
      </c>
      <c r="K15505" s="0" t="s">
        <v>51671</v>
      </c>
      <c r="L15505" s="0" t="str">
        <f aca="false">HYPERLINK("https://www.ncbi.nlm.nih.gov/nuccore/CP000304.1?report=graph&amp;tracks=[key:gene_model_track,Options:GeneOnly]&amp;mk=4388914:4388933|offset_22|00cc00,4388890:4388909|offset_46|444444,4388855:4388874|offset_81|444444,4388831:4388850|offset_105|444444&amp;v=4388713:4389050&amp;c=444444", "offset 22")</f>
        <v>offset 22</v>
      </c>
    </row>
    <row r="15506" customFormat="false" ht="12.8" hidden="false" customHeight="false" outlineLevel="0" collapsed="false">
      <c r="A15506" s="0" t="s">
        <v>12</v>
      </c>
      <c r="B15506" s="0" t="n">
        <v>4388889</v>
      </c>
      <c r="C15506" s="0" t="n">
        <v>4388909</v>
      </c>
      <c r="D15506" s="0" t="s">
        <v>51668</v>
      </c>
      <c r="E15506" s="0" t="s">
        <v>89</v>
      </c>
      <c r="F15506" s="0" t="s">
        <v>90</v>
      </c>
      <c r="G15506" s="0" t="s">
        <v>16</v>
      </c>
      <c r="H15506" s="0" t="n">
        <v>46</v>
      </c>
      <c r="I15506" s="0" t="s">
        <v>51672</v>
      </c>
      <c r="J15506" s="0" t="s">
        <v>51673</v>
      </c>
      <c r="K15506" s="0" t="s">
        <v>51674</v>
      </c>
      <c r="L15506" s="0" t="str">
        <f aca="false">HYPERLINK("https://www.ncbi.nlm.nih.gov/nuccore/CP000304.1?report=graph&amp;tracks=[key:gene_model_track,Options:GeneOnly]&amp;mk=4388914:4388933|offset_22|444444,4388890:4388909|offset_46|00cc00,4388855:4388874|offset_81|444444,4388831:4388850|offset_105|444444&amp;v=4388713:4389050&amp;c=444444", "offset 46")</f>
        <v>offset 46</v>
      </c>
    </row>
    <row r="15507" customFormat="false" ht="12.8" hidden="false" customHeight="false" outlineLevel="0" collapsed="false">
      <c r="A15507" s="0" t="s">
        <v>12</v>
      </c>
      <c r="B15507" s="0" t="n">
        <v>4388854</v>
      </c>
      <c r="C15507" s="0" t="n">
        <v>4388874</v>
      </c>
      <c r="D15507" s="0" t="s">
        <v>51668</v>
      </c>
      <c r="E15507" s="0" t="s">
        <v>89</v>
      </c>
      <c r="F15507" s="0" t="s">
        <v>90</v>
      </c>
      <c r="G15507" s="0" t="s">
        <v>36</v>
      </c>
      <c r="H15507" s="0" t="n">
        <v>81</v>
      </c>
      <c r="I15507" s="0" t="s">
        <v>51675</v>
      </c>
      <c r="J15507" s="0" t="s">
        <v>51676</v>
      </c>
      <c r="K15507" s="0" t="s">
        <v>51677</v>
      </c>
      <c r="L15507" s="0" t="str">
        <f aca="false">HYPERLINK("https://www.ncbi.nlm.nih.gov/nuccore/CP000304.1?report=graph&amp;tracks=[key:gene_model_track,Options:GeneOnly]&amp;mk=4388914:4388933|offset_22|444444,4388890:4388909|offset_46|444444,4388855:4388874|offset_81|00cc00,4388831:4388850|offset_105|444444&amp;v=4388713:4389050&amp;c=444444", "offset 81")</f>
        <v>offset 81</v>
      </c>
    </row>
    <row r="15508" customFormat="false" ht="12.8" hidden="false" customHeight="false" outlineLevel="0" collapsed="false">
      <c r="A15508" s="0" t="s">
        <v>12</v>
      </c>
      <c r="B15508" s="0" t="n">
        <v>4388830</v>
      </c>
      <c r="C15508" s="0" t="n">
        <v>4388850</v>
      </c>
      <c r="D15508" s="0" t="s">
        <v>51668</v>
      </c>
      <c r="E15508" s="0" t="s">
        <v>89</v>
      </c>
      <c r="F15508" s="0" t="s">
        <v>90</v>
      </c>
      <c r="G15508" s="0" t="s">
        <v>16</v>
      </c>
      <c r="H15508" s="0" t="n">
        <v>105</v>
      </c>
      <c r="I15508" s="0" t="s">
        <v>51678</v>
      </c>
      <c r="J15508" s="0" t="s">
        <v>51679</v>
      </c>
      <c r="K15508" s="0" t="s">
        <v>51680</v>
      </c>
      <c r="L15508" s="0" t="str">
        <f aca="false">HYPERLINK("https://www.ncbi.nlm.nih.gov/nuccore/CP000304.1?report=graph&amp;tracks=[key:gene_model_track,Options:GeneOnly]&amp;mk=4388914:4388933|offset_22|444444,4388890:4388909|offset_46|444444,4388855:4388874|offset_81|444444,4388831:4388850|offset_105|00cc00&amp;v=4388713:4389050&amp;c=444444", "offset 105")</f>
        <v>offset 105</v>
      </c>
    </row>
    <row r="15509" customFormat="false" ht="12.8" hidden="false" customHeight="false" outlineLevel="0" collapsed="false">
      <c r="A15509" s="0" t="s">
        <v>12</v>
      </c>
      <c r="B15509" s="0" t="n">
        <v>4389988</v>
      </c>
      <c r="C15509" s="0" t="n">
        <v>4390008</v>
      </c>
      <c r="D15509" s="0" t="s">
        <v>51681</v>
      </c>
      <c r="E15509" s="0" t="s">
        <v>89</v>
      </c>
      <c r="F15509" s="0" t="s">
        <v>90</v>
      </c>
      <c r="G15509" s="0" t="s">
        <v>16</v>
      </c>
      <c r="H15509" s="0" t="n">
        <v>0</v>
      </c>
      <c r="I15509" s="0" t="s">
        <v>51682</v>
      </c>
      <c r="J15509" s="0" t="s">
        <v>51683</v>
      </c>
      <c r="K15509" s="0" t="s">
        <v>51684</v>
      </c>
      <c r="L15509" s="0" t="str">
        <f aca="false">HYPERLINK("https://www.ncbi.nlm.nih.gov/nuccore/CP000304.1?report=graph&amp;tracks=[key:gene_model_track,Options:GeneOnly]&amp;mk=4389989:4390008|offset_0|00cc00,4389969:4389988|offset_20|444444,4389949:4389968|offset_40|444444,4389919:4389938|offset_70|444444&amp;v=4389788:4390138&amp;c=444444", "offset 0")</f>
        <v>offset 0</v>
      </c>
    </row>
    <row r="15510" customFormat="false" ht="12.8" hidden="false" customHeight="false" outlineLevel="0" collapsed="false">
      <c r="A15510" s="0" t="s">
        <v>12</v>
      </c>
      <c r="B15510" s="0" t="n">
        <v>4389968</v>
      </c>
      <c r="C15510" s="0" t="n">
        <v>4389988</v>
      </c>
      <c r="D15510" s="0" t="s">
        <v>51681</v>
      </c>
      <c r="E15510" s="0" t="s">
        <v>89</v>
      </c>
      <c r="F15510" s="0" t="s">
        <v>90</v>
      </c>
      <c r="G15510" s="0" t="s">
        <v>16</v>
      </c>
      <c r="H15510" s="0" t="n">
        <v>20</v>
      </c>
      <c r="I15510" s="0" t="s">
        <v>51685</v>
      </c>
      <c r="J15510" s="0" t="s">
        <v>51686</v>
      </c>
      <c r="K15510" s="0" t="s">
        <v>51687</v>
      </c>
      <c r="L15510" s="0" t="str">
        <f aca="false">HYPERLINK("https://www.ncbi.nlm.nih.gov/nuccore/CP000304.1?report=graph&amp;tracks=[key:gene_model_track,Options:GeneOnly]&amp;mk=4389989:4390008|offset_0|444444,4389969:4389988|offset_20|00cc00,4389949:4389968|offset_40|444444,4389919:4389938|offset_70|444444&amp;v=4389788:4390138&amp;c=444444", "offset 20")</f>
        <v>offset 20</v>
      </c>
    </row>
    <row r="15511" customFormat="false" ht="12.8" hidden="false" customHeight="false" outlineLevel="0" collapsed="false">
      <c r="A15511" s="0" t="s">
        <v>12</v>
      </c>
      <c r="B15511" s="0" t="n">
        <v>4389948</v>
      </c>
      <c r="C15511" s="0" t="n">
        <v>4389968</v>
      </c>
      <c r="D15511" s="0" t="s">
        <v>51681</v>
      </c>
      <c r="E15511" s="0" t="s">
        <v>89</v>
      </c>
      <c r="F15511" s="0" t="s">
        <v>90</v>
      </c>
      <c r="G15511" s="0" t="s">
        <v>26</v>
      </c>
      <c r="H15511" s="0" t="n">
        <v>40</v>
      </c>
      <c r="I15511" s="0" t="s">
        <v>51688</v>
      </c>
      <c r="J15511" s="0" t="s">
        <v>51689</v>
      </c>
      <c r="K15511" s="0" t="s">
        <v>51690</v>
      </c>
      <c r="L15511" s="0" t="str">
        <f aca="false">HYPERLINK("https://www.ncbi.nlm.nih.gov/nuccore/CP000304.1?report=graph&amp;tracks=[key:gene_model_track,Options:GeneOnly]&amp;mk=4389989:4390008|offset_0|444444,4389969:4389988|offset_20|444444,4389949:4389968|offset_40|00cc00,4389919:4389938|offset_70|444444&amp;v=4389788:4390138&amp;c=444444", "offset 40")</f>
        <v>offset 40</v>
      </c>
    </row>
    <row r="15512" customFormat="false" ht="12.8" hidden="false" customHeight="false" outlineLevel="0" collapsed="false">
      <c r="A15512" s="0" t="s">
        <v>12</v>
      </c>
      <c r="B15512" s="0" t="n">
        <v>4389918</v>
      </c>
      <c r="C15512" s="0" t="n">
        <v>4389938</v>
      </c>
      <c r="D15512" s="0" t="s">
        <v>51681</v>
      </c>
      <c r="E15512" s="0" t="s">
        <v>89</v>
      </c>
      <c r="F15512" s="0" t="s">
        <v>90</v>
      </c>
      <c r="G15512" s="0" t="s">
        <v>16</v>
      </c>
      <c r="H15512" s="0" t="n">
        <v>70</v>
      </c>
      <c r="I15512" s="0" t="s">
        <v>51691</v>
      </c>
      <c r="J15512" s="0" t="s">
        <v>51692</v>
      </c>
      <c r="K15512" s="0" t="s">
        <v>51693</v>
      </c>
      <c r="L15512" s="0" t="str">
        <f aca="false">HYPERLINK("https://www.ncbi.nlm.nih.gov/nuccore/CP000304.1?report=graph&amp;tracks=[key:gene_model_track,Options:GeneOnly]&amp;mk=4389989:4390008|offset_0|444444,4389969:4389988|offset_20|444444,4389949:4389968|offset_40|444444,4389919:4389938|offset_70|00cc00&amp;v=4389788:4390138&amp;c=444444", "offset 70")</f>
        <v>offset 70</v>
      </c>
    </row>
    <row r="15513" customFormat="false" ht="12.8" hidden="false" customHeight="false" outlineLevel="0" collapsed="false">
      <c r="A15513" s="0" t="s">
        <v>12</v>
      </c>
      <c r="B15513" s="0" t="n">
        <v>4391278</v>
      </c>
      <c r="C15513" s="0" t="n">
        <v>4391298</v>
      </c>
      <c r="D15513" s="0" t="s">
        <v>51694</v>
      </c>
      <c r="E15513" s="0" t="s">
        <v>89</v>
      </c>
      <c r="F15513" s="0" t="s">
        <v>90</v>
      </c>
      <c r="G15513" s="0" t="s">
        <v>16</v>
      </c>
      <c r="H15513" s="0" t="n">
        <v>0</v>
      </c>
      <c r="I15513" s="0" t="s">
        <v>51695</v>
      </c>
      <c r="J15513" s="0" t="s">
        <v>51696</v>
      </c>
      <c r="K15513" s="0" t="s">
        <v>51697</v>
      </c>
      <c r="L15513" s="0" t="str">
        <f aca="false">HYPERLINK("https://www.ncbi.nlm.nih.gov/nuccore/CP000304.1?report=graph&amp;tracks=[key:gene_model_track,Options:GeneOnly]&amp;mk=4391279:4391298|offset_0|00cc00,4391252:4391271|offset_27|444444,4391218:4391237|offset_61|444444,4391197:4391216|offset_82|444444&amp;v=4391078:4391416&amp;c=444444", "offset 0")</f>
        <v>offset 0</v>
      </c>
    </row>
    <row r="15514" customFormat="false" ht="12.8" hidden="false" customHeight="false" outlineLevel="0" collapsed="false">
      <c r="A15514" s="0" t="s">
        <v>12</v>
      </c>
      <c r="B15514" s="0" t="n">
        <v>4391251</v>
      </c>
      <c r="C15514" s="0" t="n">
        <v>4391271</v>
      </c>
      <c r="D15514" s="0" t="s">
        <v>51694</v>
      </c>
      <c r="E15514" s="0" t="s">
        <v>89</v>
      </c>
      <c r="F15514" s="0" t="s">
        <v>90</v>
      </c>
      <c r="G15514" s="0" t="s">
        <v>36</v>
      </c>
      <c r="H15514" s="0" t="n">
        <v>27</v>
      </c>
      <c r="I15514" s="0" t="s">
        <v>51698</v>
      </c>
      <c r="J15514" s="0" t="s">
        <v>51699</v>
      </c>
      <c r="K15514" s="0" t="s">
        <v>51700</v>
      </c>
      <c r="L15514" s="0" t="str">
        <f aca="false">HYPERLINK("https://www.ncbi.nlm.nih.gov/nuccore/CP000304.1?report=graph&amp;tracks=[key:gene_model_track,Options:GeneOnly]&amp;mk=4391279:4391298|offset_0|444444,4391252:4391271|offset_27|00cc00,4391218:4391237|offset_61|444444,4391197:4391216|offset_82|444444&amp;v=4391078:4391416&amp;c=444444", "offset 27")</f>
        <v>offset 27</v>
      </c>
    </row>
    <row r="15515" customFormat="false" ht="12.8" hidden="false" customHeight="false" outlineLevel="0" collapsed="false">
      <c r="A15515" s="0" t="s">
        <v>12</v>
      </c>
      <c r="B15515" s="0" t="n">
        <v>4391217</v>
      </c>
      <c r="C15515" s="0" t="n">
        <v>4391237</v>
      </c>
      <c r="D15515" s="0" t="s">
        <v>51694</v>
      </c>
      <c r="E15515" s="0" t="s">
        <v>89</v>
      </c>
      <c r="F15515" s="0" t="s">
        <v>90</v>
      </c>
      <c r="G15515" s="0" t="s">
        <v>16</v>
      </c>
      <c r="H15515" s="0" t="n">
        <v>61</v>
      </c>
      <c r="I15515" s="0" t="s">
        <v>51701</v>
      </c>
      <c r="J15515" s="0" t="s">
        <v>51702</v>
      </c>
      <c r="K15515" s="0" t="s">
        <v>51703</v>
      </c>
      <c r="L15515" s="0" t="str">
        <f aca="false">HYPERLINK("https://www.ncbi.nlm.nih.gov/nuccore/CP000304.1?report=graph&amp;tracks=[key:gene_model_track,Options:GeneOnly]&amp;mk=4391279:4391298|offset_0|444444,4391252:4391271|offset_27|444444,4391218:4391237|offset_61|00cc00,4391197:4391216|offset_82|444444&amp;v=4391078:4391416&amp;c=444444", "offset 61")</f>
        <v>offset 61</v>
      </c>
    </row>
    <row r="15516" customFormat="false" ht="12.8" hidden="false" customHeight="false" outlineLevel="0" collapsed="false">
      <c r="A15516" s="0" t="s">
        <v>12</v>
      </c>
      <c r="B15516" s="0" t="n">
        <v>4391196</v>
      </c>
      <c r="C15516" s="0" t="n">
        <v>4391216</v>
      </c>
      <c r="D15516" s="0" t="s">
        <v>51694</v>
      </c>
      <c r="E15516" s="0" t="s">
        <v>89</v>
      </c>
      <c r="F15516" s="0" t="s">
        <v>90</v>
      </c>
      <c r="G15516" s="0" t="s">
        <v>36</v>
      </c>
      <c r="H15516" s="0" t="n">
        <v>82</v>
      </c>
      <c r="I15516" s="0" t="s">
        <v>51704</v>
      </c>
      <c r="J15516" s="0" t="s">
        <v>51705</v>
      </c>
      <c r="K15516" s="0" t="s">
        <v>51706</v>
      </c>
      <c r="L15516" s="0" t="str">
        <f aca="false">HYPERLINK("https://www.ncbi.nlm.nih.gov/nuccore/CP000304.1?report=graph&amp;tracks=[key:gene_model_track,Options:GeneOnly]&amp;mk=4391279:4391298|offset_0|444444,4391252:4391271|offset_27|444444,4391218:4391237|offset_61|444444,4391197:4391216|offset_82|00cc00&amp;v=4391078:4391416&amp;c=444444", "offset 82")</f>
        <v>offset 82</v>
      </c>
    </row>
    <row r="15517" customFormat="false" ht="12.8" hidden="false" customHeight="false" outlineLevel="0" collapsed="false">
      <c r="A15517" s="0" t="s">
        <v>12</v>
      </c>
      <c r="B15517" s="0" t="n">
        <v>4391343</v>
      </c>
      <c r="C15517" s="0" t="n">
        <v>4391363</v>
      </c>
      <c r="D15517" s="0" t="s">
        <v>51707</v>
      </c>
      <c r="E15517" s="0" t="s">
        <v>51708</v>
      </c>
      <c r="F15517" s="0" t="s">
        <v>15</v>
      </c>
      <c r="G15517" s="0" t="s">
        <v>16</v>
      </c>
      <c r="H15517" s="0" t="n">
        <v>8</v>
      </c>
      <c r="I15517" s="0" t="s">
        <v>51709</v>
      </c>
      <c r="J15517" s="0" t="s">
        <v>51710</v>
      </c>
      <c r="K15517" s="0" t="s">
        <v>51711</v>
      </c>
      <c r="L15517" s="0" t="str">
        <f aca="false">HYPERLINK("https://www.ncbi.nlm.nih.gov/nuccore/CP000304.1?report=graph&amp;tracks=[key:gene_model_track,Options:GeneOnly]&amp;mk=4391344:4391363|offset_8|00cc00,4391366:4391385|offset_30|444444,4391398:4391417|offset_62|444444,4391419:4391438|offset_83|444444&amp;v=4391143:4391638&amp;c=444444", "offset 8")</f>
        <v>offset 8</v>
      </c>
    </row>
    <row r="15518" customFormat="false" ht="12.8" hidden="false" customHeight="false" outlineLevel="0" collapsed="false">
      <c r="A15518" s="0" t="s">
        <v>12</v>
      </c>
      <c r="B15518" s="0" t="n">
        <v>4391365</v>
      </c>
      <c r="C15518" s="0" t="n">
        <v>4391385</v>
      </c>
      <c r="D15518" s="0" t="s">
        <v>51707</v>
      </c>
      <c r="E15518" s="0" t="s">
        <v>51708</v>
      </c>
      <c r="F15518" s="0" t="s">
        <v>15</v>
      </c>
      <c r="G15518" s="0" t="s">
        <v>26</v>
      </c>
      <c r="H15518" s="0" t="n">
        <v>30</v>
      </c>
      <c r="I15518" s="0" t="s">
        <v>51712</v>
      </c>
      <c r="J15518" s="0" t="s">
        <v>51713</v>
      </c>
      <c r="K15518" s="0" t="s">
        <v>51714</v>
      </c>
      <c r="L15518" s="0" t="str">
        <f aca="false">HYPERLINK("https://www.ncbi.nlm.nih.gov/nuccore/CP000304.1?report=graph&amp;tracks=[key:gene_model_track,Options:GeneOnly]&amp;mk=4391344:4391363|offset_8|444444,4391366:4391385|offset_30|00cc00,4391398:4391417|offset_62|444444,4391419:4391438|offset_83|444444&amp;v=4391143:4391638&amp;c=444444", "offset 30")</f>
        <v>offset 30</v>
      </c>
    </row>
    <row r="15519" customFormat="false" ht="12.8" hidden="false" customHeight="false" outlineLevel="0" collapsed="false">
      <c r="A15519" s="0" t="s">
        <v>12</v>
      </c>
      <c r="B15519" s="0" t="n">
        <v>4391397</v>
      </c>
      <c r="C15519" s="0" t="n">
        <v>4391417</v>
      </c>
      <c r="D15519" s="0" t="s">
        <v>51707</v>
      </c>
      <c r="E15519" s="0" t="s">
        <v>51708</v>
      </c>
      <c r="F15519" s="0" t="s">
        <v>15</v>
      </c>
      <c r="G15519" s="0" t="s">
        <v>32</v>
      </c>
      <c r="H15519" s="0" t="n">
        <v>62</v>
      </c>
      <c r="I15519" s="0" t="s">
        <v>51715</v>
      </c>
      <c r="J15519" s="0" t="s">
        <v>51716</v>
      </c>
      <c r="K15519" s="0" t="s">
        <v>51717</v>
      </c>
      <c r="L15519" s="0" t="str">
        <f aca="false">HYPERLINK("https://www.ncbi.nlm.nih.gov/nuccore/CP000304.1?report=graph&amp;tracks=[key:gene_model_track,Options:GeneOnly]&amp;mk=4391344:4391363|offset_8|444444,4391366:4391385|offset_30|444444,4391398:4391417|offset_62|00cc00,4391419:4391438|offset_83|444444&amp;v=4391143:4391638&amp;c=444444", "offset 62")</f>
        <v>offset 62</v>
      </c>
    </row>
    <row r="15520" customFormat="false" ht="12.8" hidden="false" customHeight="false" outlineLevel="0" collapsed="false">
      <c r="A15520" s="0" t="s">
        <v>12</v>
      </c>
      <c r="B15520" s="0" t="n">
        <v>4391418</v>
      </c>
      <c r="C15520" s="0" t="n">
        <v>4391438</v>
      </c>
      <c r="D15520" s="0" t="s">
        <v>51707</v>
      </c>
      <c r="E15520" s="0" t="s">
        <v>51708</v>
      </c>
      <c r="F15520" s="0" t="s">
        <v>15</v>
      </c>
      <c r="G15520" s="0" t="s">
        <v>26</v>
      </c>
      <c r="H15520" s="0" t="n">
        <v>83</v>
      </c>
      <c r="I15520" s="0" t="s">
        <v>51718</v>
      </c>
      <c r="J15520" s="0" t="s">
        <v>51719</v>
      </c>
      <c r="K15520" s="0" t="s">
        <v>51720</v>
      </c>
      <c r="L15520" s="0" t="str">
        <f aca="false">HYPERLINK("https://www.ncbi.nlm.nih.gov/nuccore/CP000304.1?report=graph&amp;tracks=[key:gene_model_track,Options:GeneOnly]&amp;mk=4391344:4391363|offset_8|444444,4391366:4391385|offset_30|444444,4391398:4391417|offset_62|444444,4391419:4391438|offset_83|00cc00&amp;v=4391143:4391638&amp;c=444444", "offset 83")</f>
        <v>offset 83</v>
      </c>
    </row>
    <row r="15521" customFormat="false" ht="12.8" hidden="false" customHeight="false" outlineLevel="0" collapsed="false">
      <c r="A15521" s="0" t="s">
        <v>12</v>
      </c>
      <c r="B15521" s="0" t="n">
        <v>4392165</v>
      </c>
      <c r="C15521" s="0" t="n">
        <v>4392185</v>
      </c>
      <c r="D15521" s="0" t="s">
        <v>51721</v>
      </c>
      <c r="E15521" s="0" t="s">
        <v>89</v>
      </c>
      <c r="F15521" s="0" t="s">
        <v>15</v>
      </c>
      <c r="G15521" s="0" t="s">
        <v>16</v>
      </c>
      <c r="H15521" s="0" t="n">
        <v>22</v>
      </c>
      <c r="I15521" s="0" t="s">
        <v>51722</v>
      </c>
      <c r="J15521" s="0" t="s">
        <v>51723</v>
      </c>
      <c r="K15521" s="0" t="s">
        <v>51724</v>
      </c>
      <c r="L15521" s="0" t="str">
        <f aca="false">HYPERLINK("https://www.ncbi.nlm.nih.gov/nuccore/CP000304.1?report=graph&amp;tracks=[key:gene_model_track,Options:GeneOnly]&amp;mk=4392166:4392185|offset_22|00cc00,4392194:4392213|offset_50|444444,4392244:4392263|offset_100|444444,4392268:4392287|offset_124|444444&amp;v=4391965:4392487&amp;c=444444", "offset 22")</f>
        <v>offset 22</v>
      </c>
    </row>
    <row r="15522" customFormat="false" ht="12.8" hidden="false" customHeight="false" outlineLevel="0" collapsed="false">
      <c r="A15522" s="0" t="s">
        <v>12</v>
      </c>
      <c r="B15522" s="0" t="n">
        <v>4392193</v>
      </c>
      <c r="C15522" s="0" t="n">
        <v>4392213</v>
      </c>
      <c r="D15522" s="0" t="s">
        <v>51721</v>
      </c>
      <c r="E15522" s="0" t="s">
        <v>89</v>
      </c>
      <c r="F15522" s="0" t="s">
        <v>15</v>
      </c>
      <c r="G15522" s="0" t="s">
        <v>16</v>
      </c>
      <c r="H15522" s="0" t="n">
        <v>50</v>
      </c>
      <c r="I15522" s="0" t="s">
        <v>51725</v>
      </c>
      <c r="J15522" s="0" t="s">
        <v>51726</v>
      </c>
      <c r="K15522" s="0" t="s">
        <v>51727</v>
      </c>
      <c r="L15522" s="0" t="str">
        <f aca="false">HYPERLINK("https://www.ncbi.nlm.nih.gov/nuccore/CP000304.1?report=graph&amp;tracks=[key:gene_model_track,Options:GeneOnly]&amp;mk=4392166:4392185|offset_22|444444,4392194:4392213|offset_50|00cc00,4392244:4392263|offset_100|444444,4392268:4392287|offset_124|444444&amp;v=4391965:4392487&amp;c=444444", "offset 50")</f>
        <v>offset 50</v>
      </c>
    </row>
    <row r="15523" customFormat="false" ht="12.8" hidden="false" customHeight="false" outlineLevel="0" collapsed="false">
      <c r="A15523" s="0" t="s">
        <v>12</v>
      </c>
      <c r="B15523" s="0" t="n">
        <v>4392243</v>
      </c>
      <c r="C15523" s="0" t="n">
        <v>4392263</v>
      </c>
      <c r="D15523" s="0" t="s">
        <v>51721</v>
      </c>
      <c r="E15523" s="0" t="s">
        <v>89</v>
      </c>
      <c r="F15523" s="0" t="s">
        <v>15</v>
      </c>
      <c r="G15523" s="0" t="s">
        <v>26</v>
      </c>
      <c r="H15523" s="0" t="n">
        <v>100</v>
      </c>
      <c r="I15523" s="0" t="s">
        <v>51728</v>
      </c>
      <c r="J15523" s="0" t="s">
        <v>51729</v>
      </c>
      <c r="K15523" s="0" t="s">
        <v>51730</v>
      </c>
      <c r="L15523" s="0" t="str">
        <f aca="false">HYPERLINK("https://www.ncbi.nlm.nih.gov/nuccore/CP000304.1?report=graph&amp;tracks=[key:gene_model_track,Options:GeneOnly]&amp;mk=4392166:4392185|offset_22|444444,4392194:4392213|offset_50|444444,4392244:4392263|offset_100|00cc00,4392268:4392287|offset_124|444444&amp;v=4391965:4392487&amp;c=444444", "offset 100")</f>
        <v>offset 100</v>
      </c>
    </row>
    <row r="15524" customFormat="false" ht="12.8" hidden="false" customHeight="false" outlineLevel="0" collapsed="false">
      <c r="A15524" s="0" t="s">
        <v>12</v>
      </c>
      <c r="B15524" s="0" t="n">
        <v>4392267</v>
      </c>
      <c r="C15524" s="0" t="n">
        <v>4392287</v>
      </c>
      <c r="D15524" s="0" t="s">
        <v>51721</v>
      </c>
      <c r="E15524" s="0" t="s">
        <v>89</v>
      </c>
      <c r="F15524" s="0" t="s">
        <v>15</v>
      </c>
      <c r="G15524" s="0" t="s">
        <v>16</v>
      </c>
      <c r="H15524" s="0" t="n">
        <v>124</v>
      </c>
      <c r="I15524" s="0" t="s">
        <v>51731</v>
      </c>
      <c r="J15524" s="0" t="s">
        <v>51732</v>
      </c>
      <c r="K15524" s="0" t="s">
        <v>51733</v>
      </c>
      <c r="L15524" s="0" t="str">
        <f aca="false">HYPERLINK("https://www.ncbi.nlm.nih.gov/nuccore/CP000304.1?report=graph&amp;tracks=[key:gene_model_track,Options:GeneOnly]&amp;mk=4392166:4392185|offset_22|444444,4392194:4392213|offset_50|444444,4392244:4392263|offset_100|444444,4392268:4392287|offset_124|00cc00&amp;v=4391965:4392487&amp;c=444444", "offset 124")</f>
        <v>offset 124</v>
      </c>
    </row>
    <row r="15525" customFormat="false" ht="12.8" hidden="false" customHeight="false" outlineLevel="0" collapsed="false">
      <c r="A15525" s="0" t="s">
        <v>12</v>
      </c>
      <c r="B15525" s="0" t="n">
        <v>4395430</v>
      </c>
      <c r="C15525" s="0" t="n">
        <v>4395450</v>
      </c>
      <c r="D15525" s="0" t="s">
        <v>51734</v>
      </c>
      <c r="E15525" s="0" t="s">
        <v>89</v>
      </c>
      <c r="F15525" s="0" t="s">
        <v>90</v>
      </c>
      <c r="G15525" s="0" t="s">
        <v>36</v>
      </c>
      <c r="H15525" s="0" t="n">
        <v>0</v>
      </c>
      <c r="I15525" s="0" t="s">
        <v>51735</v>
      </c>
      <c r="J15525" s="0" t="s">
        <v>51736</v>
      </c>
      <c r="K15525" s="0" t="s">
        <v>51737</v>
      </c>
      <c r="L15525" s="0" t="str">
        <f aca="false">HYPERLINK("https://www.ncbi.nlm.nih.gov/nuccore/CP000304.1?report=graph&amp;tracks=[key:gene_model_track,Options:GeneOnly]&amp;mk=4395431:4395450|offset_0|00cc00,4395400:4395419|offset_31|444444,4395373:4395392|offset_58|444444,4395345:4395364|offset_86|444444&amp;v=4395230:4395564&amp;c=444444", "offset 0")</f>
        <v>offset 0</v>
      </c>
    </row>
    <row r="15526" customFormat="false" ht="12.8" hidden="false" customHeight="false" outlineLevel="0" collapsed="false">
      <c r="A15526" s="0" t="s">
        <v>12</v>
      </c>
      <c r="B15526" s="0" t="n">
        <v>4395399</v>
      </c>
      <c r="C15526" s="0" t="n">
        <v>4395419</v>
      </c>
      <c r="D15526" s="0" t="s">
        <v>51734</v>
      </c>
      <c r="E15526" s="0" t="s">
        <v>89</v>
      </c>
      <c r="F15526" s="0" t="s">
        <v>90</v>
      </c>
      <c r="G15526" s="0" t="s">
        <v>26</v>
      </c>
      <c r="H15526" s="0" t="n">
        <v>31</v>
      </c>
      <c r="I15526" s="0" t="s">
        <v>51738</v>
      </c>
      <c r="J15526" s="0" t="s">
        <v>51739</v>
      </c>
      <c r="K15526" s="0" t="s">
        <v>51740</v>
      </c>
      <c r="L15526" s="0" t="str">
        <f aca="false">HYPERLINK("https://www.ncbi.nlm.nih.gov/nuccore/CP000304.1?report=graph&amp;tracks=[key:gene_model_track,Options:GeneOnly]&amp;mk=4395431:4395450|offset_0|444444,4395400:4395419|offset_31|00cc00,4395373:4395392|offset_58|444444,4395345:4395364|offset_86|444444&amp;v=4395230:4395564&amp;c=444444", "offset 31")</f>
        <v>offset 31</v>
      </c>
    </row>
    <row r="15527" customFormat="false" ht="12.8" hidden="false" customHeight="false" outlineLevel="0" collapsed="false">
      <c r="A15527" s="0" t="s">
        <v>12</v>
      </c>
      <c r="B15527" s="0" t="n">
        <v>4395372</v>
      </c>
      <c r="C15527" s="0" t="n">
        <v>4395392</v>
      </c>
      <c r="D15527" s="0" t="s">
        <v>51734</v>
      </c>
      <c r="E15527" s="0" t="s">
        <v>89</v>
      </c>
      <c r="F15527" s="0" t="s">
        <v>90</v>
      </c>
      <c r="G15527" s="0" t="s">
        <v>16</v>
      </c>
      <c r="H15527" s="0" t="n">
        <v>58</v>
      </c>
      <c r="I15527" s="0" t="s">
        <v>51741</v>
      </c>
      <c r="J15527" s="0" t="s">
        <v>51742</v>
      </c>
      <c r="K15527" s="0" t="s">
        <v>51743</v>
      </c>
      <c r="L15527" s="0" t="str">
        <f aca="false">HYPERLINK("https://www.ncbi.nlm.nih.gov/nuccore/CP000304.1?report=graph&amp;tracks=[key:gene_model_track,Options:GeneOnly]&amp;mk=4395431:4395450|offset_0|444444,4395400:4395419|offset_31|444444,4395373:4395392|offset_58|00cc00,4395345:4395364|offset_86|444444&amp;v=4395230:4395564&amp;c=444444", "offset 58")</f>
        <v>offset 58</v>
      </c>
    </row>
    <row r="15528" customFormat="false" ht="12.8" hidden="false" customHeight="false" outlineLevel="0" collapsed="false">
      <c r="A15528" s="0" t="s">
        <v>12</v>
      </c>
      <c r="B15528" s="0" t="n">
        <v>4395344</v>
      </c>
      <c r="C15528" s="0" t="n">
        <v>4395364</v>
      </c>
      <c r="D15528" s="0" t="s">
        <v>51734</v>
      </c>
      <c r="E15528" s="0" t="s">
        <v>89</v>
      </c>
      <c r="F15528" s="0" t="s">
        <v>90</v>
      </c>
      <c r="G15528" s="0" t="s">
        <v>32</v>
      </c>
      <c r="H15528" s="0" t="n">
        <v>86</v>
      </c>
      <c r="I15528" s="0" t="s">
        <v>51744</v>
      </c>
      <c r="J15528" s="0" t="s">
        <v>51745</v>
      </c>
      <c r="K15528" s="0" t="s">
        <v>51746</v>
      </c>
      <c r="L15528" s="0" t="str">
        <f aca="false">HYPERLINK("https://www.ncbi.nlm.nih.gov/nuccore/CP000304.1?report=graph&amp;tracks=[key:gene_model_track,Options:GeneOnly]&amp;mk=4395431:4395450|offset_0|444444,4395400:4395419|offset_31|444444,4395373:4395392|offset_58|444444,4395345:4395364|offset_86|00cc00&amp;v=4395230:4395564&amp;c=444444", "offset 86")</f>
        <v>offset 86</v>
      </c>
    </row>
    <row r="15529" customFormat="false" ht="12.8" hidden="false" customHeight="false" outlineLevel="0" collapsed="false">
      <c r="A15529" s="0" t="s">
        <v>12</v>
      </c>
      <c r="B15529" s="0" t="n">
        <v>4397076</v>
      </c>
      <c r="C15529" s="0" t="n">
        <v>4397096</v>
      </c>
      <c r="D15529" s="0" t="s">
        <v>51747</v>
      </c>
      <c r="E15529" s="0" t="s">
        <v>89</v>
      </c>
      <c r="F15529" s="0" t="s">
        <v>90</v>
      </c>
      <c r="G15529" s="0" t="s">
        <v>26</v>
      </c>
      <c r="H15529" s="0" t="n">
        <v>26</v>
      </c>
      <c r="I15529" s="0" t="s">
        <v>51748</v>
      </c>
      <c r="J15529" s="0" t="s">
        <v>51749</v>
      </c>
      <c r="K15529" s="0" t="s">
        <v>51750</v>
      </c>
      <c r="L15529" s="0" t="str">
        <f aca="false">HYPERLINK("https://www.ncbi.nlm.nih.gov/nuccore/CP000304.1?report=graph&amp;tracks=[key:gene_model_track,Options:GeneOnly]&amp;mk=4397077:4397096|offset_26|00cc00,4397051:4397070|offset_52|444444,4397015:4397034|offset_88|444444,4396983:4397002|offset_120|444444&amp;v=4396876:4397202&amp;c=444444", "offset 26")</f>
        <v>offset 26</v>
      </c>
    </row>
    <row r="15530" customFormat="false" ht="12.8" hidden="false" customHeight="false" outlineLevel="0" collapsed="false">
      <c r="A15530" s="0" t="s">
        <v>12</v>
      </c>
      <c r="B15530" s="0" t="n">
        <v>4397050</v>
      </c>
      <c r="C15530" s="0" t="n">
        <v>4397070</v>
      </c>
      <c r="D15530" s="0" t="s">
        <v>51747</v>
      </c>
      <c r="E15530" s="0" t="s">
        <v>89</v>
      </c>
      <c r="F15530" s="0" t="s">
        <v>90</v>
      </c>
      <c r="G15530" s="0" t="s">
        <v>32</v>
      </c>
      <c r="H15530" s="0" t="n">
        <v>52</v>
      </c>
      <c r="I15530" s="0" t="s">
        <v>51751</v>
      </c>
      <c r="J15530" s="0" t="s">
        <v>51752</v>
      </c>
      <c r="K15530" s="0" t="s">
        <v>51753</v>
      </c>
      <c r="L15530" s="0" t="str">
        <f aca="false">HYPERLINK("https://www.ncbi.nlm.nih.gov/nuccore/CP000304.1?report=graph&amp;tracks=[key:gene_model_track,Options:GeneOnly]&amp;mk=4397077:4397096|offset_26|444444,4397051:4397070|offset_52|00cc00,4397015:4397034|offset_88|444444,4396983:4397002|offset_120|444444&amp;v=4396876:4397202&amp;c=444444", "offset 52")</f>
        <v>offset 52</v>
      </c>
    </row>
    <row r="15531" customFormat="false" ht="12.8" hidden="false" customHeight="false" outlineLevel="0" collapsed="false">
      <c r="A15531" s="0" t="s">
        <v>12</v>
      </c>
      <c r="B15531" s="0" t="n">
        <v>4397014</v>
      </c>
      <c r="C15531" s="0" t="n">
        <v>4397034</v>
      </c>
      <c r="D15531" s="0" t="s">
        <v>51747</v>
      </c>
      <c r="E15531" s="0" t="s">
        <v>89</v>
      </c>
      <c r="F15531" s="0" t="s">
        <v>90</v>
      </c>
      <c r="G15531" s="0" t="s">
        <v>16</v>
      </c>
      <c r="H15531" s="0" t="n">
        <v>88</v>
      </c>
      <c r="I15531" s="0" t="s">
        <v>51754</v>
      </c>
      <c r="J15531" s="0" t="s">
        <v>51755</v>
      </c>
      <c r="K15531" s="0" t="s">
        <v>51756</v>
      </c>
      <c r="L15531" s="0" t="str">
        <f aca="false">HYPERLINK("https://www.ncbi.nlm.nih.gov/nuccore/CP000304.1?report=graph&amp;tracks=[key:gene_model_track,Options:GeneOnly]&amp;mk=4397077:4397096|offset_26|444444,4397051:4397070|offset_52|444444,4397015:4397034|offset_88|00cc00,4396983:4397002|offset_120|444444&amp;v=4396876:4397202&amp;c=444444", "offset 88")</f>
        <v>offset 88</v>
      </c>
    </row>
    <row r="15532" customFormat="false" ht="12.8" hidden="false" customHeight="false" outlineLevel="0" collapsed="false">
      <c r="A15532" s="0" t="s">
        <v>12</v>
      </c>
      <c r="B15532" s="0" t="n">
        <v>4396982</v>
      </c>
      <c r="C15532" s="0" t="n">
        <v>4397002</v>
      </c>
      <c r="D15532" s="0" t="s">
        <v>51747</v>
      </c>
      <c r="E15532" s="0" t="s">
        <v>89</v>
      </c>
      <c r="F15532" s="0" t="s">
        <v>90</v>
      </c>
      <c r="G15532" s="0" t="s">
        <v>16</v>
      </c>
      <c r="H15532" s="0" t="n">
        <v>120</v>
      </c>
      <c r="I15532" s="0" t="s">
        <v>51757</v>
      </c>
      <c r="J15532" s="0" t="s">
        <v>51758</v>
      </c>
      <c r="K15532" s="0" t="s">
        <v>51759</v>
      </c>
      <c r="L15532" s="0" t="str">
        <f aca="false">HYPERLINK("https://www.ncbi.nlm.nih.gov/nuccore/CP000304.1?report=graph&amp;tracks=[key:gene_model_track,Options:GeneOnly]&amp;mk=4397077:4397096|offset_26|444444,4397051:4397070|offset_52|444444,4397015:4397034|offset_88|444444,4396983:4397002|offset_120|00cc00&amp;v=4396876:4397202&amp;c=444444", "offset 120")</f>
        <v>offset 120</v>
      </c>
    </row>
    <row r="15533" customFormat="false" ht="12.8" hidden="false" customHeight="false" outlineLevel="0" collapsed="false">
      <c r="A15533" s="0" t="s">
        <v>12</v>
      </c>
      <c r="B15533" s="0" t="n">
        <v>4397454</v>
      </c>
      <c r="C15533" s="0" t="n">
        <v>4397474</v>
      </c>
      <c r="D15533" s="0" t="s">
        <v>51760</v>
      </c>
      <c r="E15533" s="0" t="s">
        <v>89</v>
      </c>
      <c r="F15533" s="0" t="s">
        <v>90</v>
      </c>
      <c r="G15533" s="0" t="s">
        <v>16</v>
      </c>
      <c r="H15533" s="0" t="n">
        <v>21</v>
      </c>
      <c r="I15533" s="0" t="s">
        <v>51761</v>
      </c>
      <c r="J15533" s="0" t="s">
        <v>51762</v>
      </c>
      <c r="K15533" s="0" t="s">
        <v>51763</v>
      </c>
      <c r="L15533" s="0" t="str">
        <f aca="false">HYPERLINK("https://www.ncbi.nlm.nih.gov/nuccore/CP000304.1?report=graph&amp;tracks=[key:gene_model_track,Options:GeneOnly]&amp;mk=4397455:4397474|offset_21|00cc00,4397435:4397454|offset_41|444444,4397412:4397431|offset_64|444444,4397391:4397410|offset_85|444444&amp;v=4397254:4397610&amp;c=444444", "offset 21")</f>
        <v>offset 21</v>
      </c>
    </row>
    <row r="15534" customFormat="false" ht="12.8" hidden="false" customHeight="false" outlineLevel="0" collapsed="false">
      <c r="A15534" s="0" t="s">
        <v>12</v>
      </c>
      <c r="B15534" s="0" t="n">
        <v>4397434</v>
      </c>
      <c r="C15534" s="0" t="n">
        <v>4397454</v>
      </c>
      <c r="D15534" s="0" t="s">
        <v>51760</v>
      </c>
      <c r="E15534" s="0" t="s">
        <v>89</v>
      </c>
      <c r="F15534" s="0" t="s">
        <v>90</v>
      </c>
      <c r="G15534" s="0" t="s">
        <v>26</v>
      </c>
      <c r="H15534" s="0" t="n">
        <v>41</v>
      </c>
      <c r="I15534" s="0" t="s">
        <v>51764</v>
      </c>
      <c r="J15534" s="0" t="s">
        <v>51765</v>
      </c>
      <c r="K15534" s="0" t="s">
        <v>51766</v>
      </c>
      <c r="L15534" s="0" t="str">
        <f aca="false">HYPERLINK("https://www.ncbi.nlm.nih.gov/nuccore/CP000304.1?report=graph&amp;tracks=[key:gene_model_track,Options:GeneOnly]&amp;mk=4397455:4397474|offset_21|444444,4397435:4397454|offset_41|00cc00,4397412:4397431|offset_64|444444,4397391:4397410|offset_85|444444&amp;v=4397254:4397610&amp;c=444444", "offset 41")</f>
        <v>offset 41</v>
      </c>
    </row>
    <row r="15535" customFormat="false" ht="12.8" hidden="false" customHeight="false" outlineLevel="0" collapsed="false">
      <c r="A15535" s="0" t="s">
        <v>12</v>
      </c>
      <c r="B15535" s="0" t="n">
        <v>4397411</v>
      </c>
      <c r="C15535" s="0" t="n">
        <v>4397431</v>
      </c>
      <c r="D15535" s="0" t="s">
        <v>51760</v>
      </c>
      <c r="E15535" s="0" t="s">
        <v>89</v>
      </c>
      <c r="F15535" s="0" t="s">
        <v>90</v>
      </c>
      <c r="G15535" s="0" t="s">
        <v>32</v>
      </c>
      <c r="H15535" s="0" t="n">
        <v>64</v>
      </c>
      <c r="I15535" s="0" t="s">
        <v>51767</v>
      </c>
      <c r="J15535" s="0" t="s">
        <v>51768</v>
      </c>
      <c r="K15535" s="0" t="s">
        <v>51769</v>
      </c>
      <c r="L15535" s="0" t="str">
        <f aca="false">HYPERLINK("https://www.ncbi.nlm.nih.gov/nuccore/CP000304.1?report=graph&amp;tracks=[key:gene_model_track,Options:GeneOnly]&amp;mk=4397455:4397474|offset_21|444444,4397435:4397454|offset_41|444444,4397412:4397431|offset_64|00cc00,4397391:4397410|offset_85|444444&amp;v=4397254:4397610&amp;c=444444", "offset 64")</f>
        <v>offset 64</v>
      </c>
    </row>
    <row r="15536" customFormat="false" ht="12.8" hidden="false" customHeight="false" outlineLevel="0" collapsed="false">
      <c r="A15536" s="0" t="s">
        <v>12</v>
      </c>
      <c r="B15536" s="0" t="n">
        <v>4397390</v>
      </c>
      <c r="C15536" s="0" t="n">
        <v>4397410</v>
      </c>
      <c r="D15536" s="0" t="s">
        <v>51760</v>
      </c>
      <c r="E15536" s="0" t="s">
        <v>89</v>
      </c>
      <c r="F15536" s="0" t="s">
        <v>90</v>
      </c>
      <c r="G15536" s="0" t="s">
        <v>36</v>
      </c>
      <c r="H15536" s="0" t="n">
        <v>85</v>
      </c>
      <c r="I15536" s="0" t="s">
        <v>51770</v>
      </c>
      <c r="J15536" s="0" t="s">
        <v>51771</v>
      </c>
      <c r="K15536" s="0" t="s">
        <v>51772</v>
      </c>
      <c r="L15536" s="0" t="str">
        <f aca="false">HYPERLINK("https://www.ncbi.nlm.nih.gov/nuccore/CP000304.1?report=graph&amp;tracks=[key:gene_model_track,Options:GeneOnly]&amp;mk=4397455:4397474|offset_21|444444,4397435:4397454|offset_41|444444,4397412:4397431|offset_64|444444,4397391:4397410|offset_85|00cc00&amp;v=4397254:4397610&amp;c=444444", "offset 85")</f>
        <v>offset 85</v>
      </c>
    </row>
    <row r="15537" customFormat="false" ht="12.8" hidden="false" customHeight="false" outlineLevel="0" collapsed="false">
      <c r="A15537" s="0" t="s">
        <v>12</v>
      </c>
      <c r="B15537" s="0" t="n">
        <v>4399587</v>
      </c>
      <c r="C15537" s="0" t="n">
        <v>4399607</v>
      </c>
      <c r="D15537" s="0" t="s">
        <v>51773</v>
      </c>
      <c r="E15537" s="0" t="s">
        <v>51774</v>
      </c>
      <c r="F15537" s="0" t="s">
        <v>90</v>
      </c>
      <c r="G15537" s="0" t="s">
        <v>16</v>
      </c>
      <c r="H15537" s="0" t="n">
        <v>10</v>
      </c>
      <c r="I15537" s="0" t="s">
        <v>51775</v>
      </c>
      <c r="J15537" s="0" t="s">
        <v>51776</v>
      </c>
      <c r="K15537" s="0" t="s">
        <v>51777</v>
      </c>
      <c r="L15537" s="0" t="str">
        <f aca="false">HYPERLINK("https://www.ncbi.nlm.nih.gov/nuccore/CP000304.1?report=graph&amp;tracks=[key:gene_model_track,Options:GeneOnly]&amp;mk=4399588:4399607|offset_10|00cc00,4399554:4399573|offset_44|444444,4399504:4399523|offset_94|444444,4399470:4399489|offset_128|444444&amp;v=4399387:4399689&amp;c=444444", "offset 10")</f>
        <v>offset 10</v>
      </c>
    </row>
    <row r="15538" customFormat="false" ht="12.8" hidden="false" customHeight="false" outlineLevel="0" collapsed="false">
      <c r="A15538" s="0" t="s">
        <v>12</v>
      </c>
      <c r="B15538" s="0" t="n">
        <v>4399553</v>
      </c>
      <c r="C15538" s="0" t="n">
        <v>4399573</v>
      </c>
      <c r="D15538" s="0" t="s">
        <v>51773</v>
      </c>
      <c r="E15538" s="0" t="s">
        <v>51774</v>
      </c>
      <c r="F15538" s="0" t="s">
        <v>90</v>
      </c>
      <c r="G15538" s="0" t="s">
        <v>32</v>
      </c>
      <c r="H15538" s="0" t="n">
        <v>44</v>
      </c>
      <c r="I15538" s="0" t="s">
        <v>51778</v>
      </c>
      <c r="J15538" s="0" t="s">
        <v>51779</v>
      </c>
      <c r="K15538" s="0" t="s">
        <v>51780</v>
      </c>
      <c r="L15538" s="0" t="str">
        <f aca="false">HYPERLINK("https://www.ncbi.nlm.nih.gov/nuccore/CP000304.1?report=graph&amp;tracks=[key:gene_model_track,Options:GeneOnly]&amp;mk=4399588:4399607|offset_10|444444,4399554:4399573|offset_44|00cc00,4399504:4399523|offset_94|444444,4399470:4399489|offset_128|444444&amp;v=4399387:4399689&amp;c=444444", "offset 44")</f>
        <v>offset 44</v>
      </c>
    </row>
    <row r="15539" customFormat="false" ht="12.8" hidden="false" customHeight="false" outlineLevel="0" collapsed="false">
      <c r="A15539" s="0" t="s">
        <v>12</v>
      </c>
      <c r="B15539" s="0" t="n">
        <v>4399503</v>
      </c>
      <c r="C15539" s="0" t="n">
        <v>4399523</v>
      </c>
      <c r="D15539" s="0" t="s">
        <v>51773</v>
      </c>
      <c r="E15539" s="0" t="s">
        <v>51774</v>
      </c>
      <c r="F15539" s="0" t="s">
        <v>90</v>
      </c>
      <c r="G15539" s="0" t="s">
        <v>36</v>
      </c>
      <c r="H15539" s="0" t="n">
        <v>94</v>
      </c>
      <c r="I15539" s="0" t="s">
        <v>51781</v>
      </c>
      <c r="J15539" s="0" t="s">
        <v>51782</v>
      </c>
      <c r="K15539" s="0" t="s">
        <v>51783</v>
      </c>
      <c r="L15539" s="0" t="str">
        <f aca="false">HYPERLINK("https://www.ncbi.nlm.nih.gov/nuccore/CP000304.1?report=graph&amp;tracks=[key:gene_model_track,Options:GeneOnly]&amp;mk=4399588:4399607|offset_10|444444,4399554:4399573|offset_44|444444,4399504:4399523|offset_94|00cc00,4399470:4399489|offset_128|444444&amp;v=4399387:4399689&amp;c=444444", "offset 94")</f>
        <v>offset 94</v>
      </c>
    </row>
    <row r="15540" customFormat="false" ht="12.8" hidden="false" customHeight="false" outlineLevel="0" collapsed="false">
      <c r="A15540" s="0" t="s">
        <v>12</v>
      </c>
      <c r="B15540" s="0" t="n">
        <v>4399469</v>
      </c>
      <c r="C15540" s="0" t="n">
        <v>4399489</v>
      </c>
      <c r="D15540" s="0" t="s">
        <v>51773</v>
      </c>
      <c r="E15540" s="0" t="s">
        <v>51774</v>
      </c>
      <c r="F15540" s="0" t="s">
        <v>90</v>
      </c>
      <c r="G15540" s="0" t="s">
        <v>36</v>
      </c>
      <c r="H15540" s="0" t="n">
        <v>128</v>
      </c>
      <c r="I15540" s="0" t="s">
        <v>51784</v>
      </c>
      <c r="J15540" s="0" t="s">
        <v>51785</v>
      </c>
      <c r="K15540" s="0" t="s">
        <v>51786</v>
      </c>
      <c r="L15540" s="0" t="str">
        <f aca="false">HYPERLINK("https://www.ncbi.nlm.nih.gov/nuccore/CP000304.1?report=graph&amp;tracks=[key:gene_model_track,Options:GeneOnly]&amp;mk=4399588:4399607|offset_10|444444,4399554:4399573|offset_44|444444,4399504:4399523|offset_94|444444,4399470:4399489|offset_128|00cc00&amp;v=4399387:4399689&amp;c=444444", "offset 128")</f>
        <v>offset 128</v>
      </c>
    </row>
    <row r="15541" customFormat="false" ht="12.8" hidden="false" customHeight="false" outlineLevel="0" collapsed="false">
      <c r="A15541" s="0" t="s">
        <v>12</v>
      </c>
      <c r="B15541" s="0" t="n">
        <v>4399962</v>
      </c>
      <c r="C15541" s="0" t="n">
        <v>4399982</v>
      </c>
      <c r="D15541" s="0" t="s">
        <v>51787</v>
      </c>
      <c r="E15541" s="0" t="s">
        <v>89</v>
      </c>
      <c r="F15541" s="0" t="s">
        <v>15</v>
      </c>
      <c r="G15541" s="0" t="s">
        <v>32</v>
      </c>
      <c r="H15541" s="0" t="n">
        <v>1</v>
      </c>
      <c r="I15541" s="0" t="s">
        <v>51788</v>
      </c>
      <c r="J15541" s="0" t="s">
        <v>51789</v>
      </c>
      <c r="K15541" s="0" t="s">
        <v>51790</v>
      </c>
      <c r="L15541" s="0" t="str">
        <f aca="false">HYPERLINK("https://www.ncbi.nlm.nih.gov/nuccore/CP000304.1?report=graph&amp;tracks=[key:gene_model_track,Options:GeneOnly]&amp;mk=4399963:4399982|offset_1|00cc00,4399996:4400015|offset_34|444444,4400018:4400037|offset_56|444444,4400077:4400096|offset_115|444444&amp;v=4399762:4400296&amp;c=444444", "offset 1")</f>
        <v>offset 1</v>
      </c>
    </row>
    <row r="15542" customFormat="false" ht="12.8" hidden="false" customHeight="false" outlineLevel="0" collapsed="false">
      <c r="A15542" s="0" t="s">
        <v>12</v>
      </c>
      <c r="B15542" s="0" t="n">
        <v>4399995</v>
      </c>
      <c r="C15542" s="0" t="n">
        <v>4400015</v>
      </c>
      <c r="D15542" s="0" t="s">
        <v>51787</v>
      </c>
      <c r="E15542" s="0" t="s">
        <v>89</v>
      </c>
      <c r="F15542" s="0" t="s">
        <v>15</v>
      </c>
      <c r="G15542" s="0" t="s">
        <v>16</v>
      </c>
      <c r="H15542" s="0" t="n">
        <v>34</v>
      </c>
      <c r="I15542" s="0" t="s">
        <v>51791</v>
      </c>
      <c r="J15542" s="0" t="s">
        <v>51792</v>
      </c>
      <c r="K15542" s="0" t="s">
        <v>51793</v>
      </c>
      <c r="L15542" s="0" t="str">
        <f aca="false">HYPERLINK("https://www.ncbi.nlm.nih.gov/nuccore/CP000304.1?report=graph&amp;tracks=[key:gene_model_track,Options:GeneOnly]&amp;mk=4399963:4399982|offset_1|444444,4399996:4400015|offset_34|00cc00,4400018:4400037|offset_56|444444,4400077:4400096|offset_115|444444&amp;v=4399762:4400296&amp;c=444444", "offset 34")</f>
        <v>offset 34</v>
      </c>
    </row>
    <row r="15543" customFormat="false" ht="12.8" hidden="false" customHeight="false" outlineLevel="0" collapsed="false">
      <c r="A15543" s="0" t="s">
        <v>12</v>
      </c>
      <c r="B15543" s="0" t="n">
        <v>4400017</v>
      </c>
      <c r="C15543" s="0" t="n">
        <v>4400037</v>
      </c>
      <c r="D15543" s="0" t="s">
        <v>51787</v>
      </c>
      <c r="E15543" s="0" t="s">
        <v>89</v>
      </c>
      <c r="F15543" s="0" t="s">
        <v>15</v>
      </c>
      <c r="G15543" s="0" t="s">
        <v>26</v>
      </c>
      <c r="H15543" s="0" t="n">
        <v>56</v>
      </c>
      <c r="I15543" s="0" t="s">
        <v>51794</v>
      </c>
      <c r="J15543" s="0" t="s">
        <v>51795</v>
      </c>
      <c r="K15543" s="0" t="s">
        <v>51796</v>
      </c>
      <c r="L15543" s="0" t="str">
        <f aca="false">HYPERLINK("https://www.ncbi.nlm.nih.gov/nuccore/CP000304.1?report=graph&amp;tracks=[key:gene_model_track,Options:GeneOnly]&amp;mk=4399963:4399982|offset_1|444444,4399996:4400015|offset_34|444444,4400018:4400037|offset_56|00cc00,4400077:4400096|offset_115|444444&amp;v=4399762:4400296&amp;c=444444", "offset 56")</f>
        <v>offset 56</v>
      </c>
    </row>
    <row r="15544" customFormat="false" ht="12.8" hidden="false" customHeight="false" outlineLevel="0" collapsed="false">
      <c r="A15544" s="0" t="s">
        <v>12</v>
      </c>
      <c r="B15544" s="0" t="n">
        <v>4400076</v>
      </c>
      <c r="C15544" s="0" t="n">
        <v>4400096</v>
      </c>
      <c r="D15544" s="0" t="s">
        <v>51787</v>
      </c>
      <c r="E15544" s="0" t="s">
        <v>89</v>
      </c>
      <c r="F15544" s="0" t="s">
        <v>15</v>
      </c>
      <c r="G15544" s="0" t="s">
        <v>16</v>
      </c>
      <c r="H15544" s="0" t="n">
        <v>115</v>
      </c>
      <c r="I15544" s="0" t="s">
        <v>51797</v>
      </c>
      <c r="J15544" s="0" t="s">
        <v>51798</v>
      </c>
      <c r="K15544" s="0" t="s">
        <v>51799</v>
      </c>
      <c r="L15544" s="0" t="str">
        <f aca="false">HYPERLINK("https://www.ncbi.nlm.nih.gov/nuccore/CP000304.1?report=graph&amp;tracks=[key:gene_model_track,Options:GeneOnly]&amp;mk=4399963:4399982|offset_1|444444,4399996:4400015|offset_34|444444,4400018:4400037|offset_56|444444,4400077:4400096|offset_115|00cc00&amp;v=4399762:4400296&amp;c=444444", "offset 115")</f>
        <v>offset 115</v>
      </c>
    </row>
    <row r="15545" customFormat="false" ht="12.8" hidden="false" customHeight="false" outlineLevel="0" collapsed="false">
      <c r="A15545" s="0" t="s">
        <v>12</v>
      </c>
      <c r="B15545" s="0" t="n">
        <v>4401069</v>
      </c>
      <c r="C15545" s="0" t="n">
        <v>4401089</v>
      </c>
      <c r="D15545" s="0" t="s">
        <v>51800</v>
      </c>
      <c r="E15545" s="0" t="s">
        <v>89</v>
      </c>
      <c r="F15545" s="0" t="s">
        <v>15</v>
      </c>
      <c r="G15545" s="0" t="s">
        <v>16</v>
      </c>
      <c r="H15545" s="0" t="n">
        <v>25</v>
      </c>
      <c r="I15545" s="0" t="s">
        <v>51801</v>
      </c>
      <c r="J15545" s="0" t="s">
        <v>51802</v>
      </c>
      <c r="K15545" s="0" t="s">
        <v>51803</v>
      </c>
      <c r="L15545" s="0" t="str">
        <f aca="false">HYPERLINK("https://www.ncbi.nlm.nih.gov/nuccore/CP000304.1?report=graph&amp;tracks=[key:gene_model_track,Options:GeneOnly]&amp;mk=4401070:4401089|offset_25|00cc00,4401108:4401127|offset_63|444444,4401136:4401155|offset_91|444444,4401164:4401183|offset_119|444444&amp;v=4400869:4401383&amp;c=444444", "offset 25")</f>
        <v>offset 25</v>
      </c>
    </row>
    <row r="15546" customFormat="false" ht="12.8" hidden="false" customHeight="false" outlineLevel="0" collapsed="false">
      <c r="A15546" s="0" t="s">
        <v>12</v>
      </c>
      <c r="B15546" s="0" t="n">
        <v>4401107</v>
      </c>
      <c r="C15546" s="0" t="n">
        <v>4401127</v>
      </c>
      <c r="D15546" s="0" t="s">
        <v>51800</v>
      </c>
      <c r="E15546" s="0" t="s">
        <v>89</v>
      </c>
      <c r="F15546" s="0" t="s">
        <v>15</v>
      </c>
      <c r="G15546" s="0" t="s">
        <v>36</v>
      </c>
      <c r="H15546" s="0" t="n">
        <v>63</v>
      </c>
      <c r="I15546" s="0" t="s">
        <v>51804</v>
      </c>
      <c r="J15546" s="0" t="s">
        <v>51805</v>
      </c>
      <c r="K15546" s="0" t="s">
        <v>51806</v>
      </c>
      <c r="L15546" s="0" t="str">
        <f aca="false">HYPERLINK("https://www.ncbi.nlm.nih.gov/nuccore/CP000304.1?report=graph&amp;tracks=[key:gene_model_track,Options:GeneOnly]&amp;mk=4401070:4401089|offset_25|444444,4401108:4401127|offset_63|00cc00,4401136:4401155|offset_91|444444,4401164:4401183|offset_119|444444&amp;v=4400869:4401383&amp;c=444444", "offset 63")</f>
        <v>offset 63</v>
      </c>
    </row>
    <row r="15547" customFormat="false" ht="12.8" hidden="false" customHeight="false" outlineLevel="0" collapsed="false">
      <c r="A15547" s="0" t="s">
        <v>12</v>
      </c>
      <c r="B15547" s="0" t="n">
        <v>4401135</v>
      </c>
      <c r="C15547" s="0" t="n">
        <v>4401155</v>
      </c>
      <c r="D15547" s="0" t="s">
        <v>51800</v>
      </c>
      <c r="E15547" s="0" t="s">
        <v>89</v>
      </c>
      <c r="F15547" s="0" t="s">
        <v>15</v>
      </c>
      <c r="G15547" s="0" t="s">
        <v>16</v>
      </c>
      <c r="H15547" s="0" t="n">
        <v>91</v>
      </c>
      <c r="I15547" s="0" t="s">
        <v>51807</v>
      </c>
      <c r="J15547" s="0" t="s">
        <v>51808</v>
      </c>
      <c r="K15547" s="0" t="s">
        <v>51809</v>
      </c>
      <c r="L15547" s="0" t="str">
        <f aca="false">HYPERLINK("https://www.ncbi.nlm.nih.gov/nuccore/CP000304.1?report=graph&amp;tracks=[key:gene_model_track,Options:GeneOnly]&amp;mk=4401070:4401089|offset_25|444444,4401108:4401127|offset_63|444444,4401136:4401155|offset_91|00cc00,4401164:4401183|offset_119|444444&amp;v=4400869:4401383&amp;c=444444", "offset 91")</f>
        <v>offset 91</v>
      </c>
    </row>
    <row r="15548" customFormat="false" ht="12.8" hidden="false" customHeight="false" outlineLevel="0" collapsed="false">
      <c r="A15548" s="0" t="s">
        <v>12</v>
      </c>
      <c r="B15548" s="0" t="n">
        <v>4401163</v>
      </c>
      <c r="C15548" s="0" t="n">
        <v>4401183</v>
      </c>
      <c r="D15548" s="0" t="s">
        <v>51800</v>
      </c>
      <c r="E15548" s="0" t="s">
        <v>89</v>
      </c>
      <c r="F15548" s="0" t="s">
        <v>15</v>
      </c>
      <c r="G15548" s="0" t="s">
        <v>32</v>
      </c>
      <c r="H15548" s="0" t="n">
        <v>119</v>
      </c>
      <c r="I15548" s="0" t="s">
        <v>51810</v>
      </c>
      <c r="J15548" s="0" t="s">
        <v>51811</v>
      </c>
      <c r="K15548" s="0" t="s">
        <v>51812</v>
      </c>
      <c r="L15548" s="0" t="str">
        <f aca="false">HYPERLINK("https://www.ncbi.nlm.nih.gov/nuccore/CP000304.1?report=graph&amp;tracks=[key:gene_model_track,Options:GeneOnly]&amp;mk=4401070:4401089|offset_25|444444,4401108:4401127|offset_63|444444,4401136:4401155|offset_91|444444,4401164:4401183|offset_119|00cc00&amp;v=4400869:4401383&amp;c=444444", "offset 119")</f>
        <v>offset 119</v>
      </c>
    </row>
    <row r="15549" customFormat="false" ht="12.8" hidden="false" customHeight="false" outlineLevel="0" collapsed="false">
      <c r="A15549" s="0" t="s">
        <v>12</v>
      </c>
      <c r="B15549" s="0" t="n">
        <v>4404889</v>
      </c>
      <c r="C15549" s="0" t="n">
        <v>4404909</v>
      </c>
      <c r="D15549" s="0" t="s">
        <v>51813</v>
      </c>
      <c r="E15549" s="0" t="s">
        <v>89</v>
      </c>
      <c r="F15549" s="0" t="s">
        <v>90</v>
      </c>
      <c r="G15549" s="0" t="s">
        <v>26</v>
      </c>
      <c r="H15549" s="0" t="n">
        <v>14</v>
      </c>
      <c r="I15549" s="0" t="s">
        <v>51814</v>
      </c>
      <c r="J15549" s="0" t="s">
        <v>51815</v>
      </c>
      <c r="K15549" s="0" t="s">
        <v>51816</v>
      </c>
      <c r="L15549" s="0" t="str">
        <f aca="false">HYPERLINK("https://www.ncbi.nlm.nih.gov/nuccore/CP000304.1?report=graph&amp;tracks=[key:gene_model_track,Options:GeneOnly]&amp;mk=4404890:4404909|offset_14|00cc00,4404864:4404883|offset_40|444444,4404823:4404842|offset_81|444444,4404786:4404805|offset_118|444444&amp;v=4404689:4405005&amp;c=444444", "offset 14")</f>
        <v>offset 14</v>
      </c>
    </row>
    <row r="15550" customFormat="false" ht="12.8" hidden="false" customHeight="false" outlineLevel="0" collapsed="false">
      <c r="A15550" s="0" t="s">
        <v>12</v>
      </c>
      <c r="B15550" s="0" t="n">
        <v>4404863</v>
      </c>
      <c r="C15550" s="0" t="n">
        <v>4404883</v>
      </c>
      <c r="D15550" s="0" t="s">
        <v>51813</v>
      </c>
      <c r="E15550" s="0" t="s">
        <v>89</v>
      </c>
      <c r="F15550" s="0" t="s">
        <v>90</v>
      </c>
      <c r="G15550" s="0" t="s">
        <v>16</v>
      </c>
      <c r="H15550" s="0" t="n">
        <v>40</v>
      </c>
      <c r="I15550" s="0" t="s">
        <v>51817</v>
      </c>
      <c r="J15550" s="0" t="s">
        <v>51818</v>
      </c>
      <c r="K15550" s="0" t="s">
        <v>51819</v>
      </c>
      <c r="L15550" s="0" t="str">
        <f aca="false">HYPERLINK("https://www.ncbi.nlm.nih.gov/nuccore/CP000304.1?report=graph&amp;tracks=[key:gene_model_track,Options:GeneOnly]&amp;mk=4404890:4404909|offset_14|444444,4404864:4404883|offset_40|00cc00,4404823:4404842|offset_81|444444,4404786:4404805|offset_118|444444&amp;v=4404689:4405005&amp;c=444444", "offset 40")</f>
        <v>offset 40</v>
      </c>
    </row>
    <row r="15551" customFormat="false" ht="12.8" hidden="false" customHeight="false" outlineLevel="0" collapsed="false">
      <c r="A15551" s="0" t="s">
        <v>12</v>
      </c>
      <c r="B15551" s="0" t="n">
        <v>4404822</v>
      </c>
      <c r="C15551" s="0" t="n">
        <v>4404842</v>
      </c>
      <c r="D15551" s="0" t="s">
        <v>51813</v>
      </c>
      <c r="E15551" s="0" t="s">
        <v>89</v>
      </c>
      <c r="F15551" s="0" t="s">
        <v>90</v>
      </c>
      <c r="G15551" s="0" t="s">
        <v>36</v>
      </c>
      <c r="H15551" s="0" t="n">
        <v>81</v>
      </c>
      <c r="I15551" s="0" t="s">
        <v>51820</v>
      </c>
      <c r="J15551" s="0" t="s">
        <v>51821</v>
      </c>
      <c r="K15551" s="0" t="s">
        <v>51822</v>
      </c>
      <c r="L15551" s="0" t="str">
        <f aca="false">HYPERLINK("https://www.ncbi.nlm.nih.gov/nuccore/CP000304.1?report=graph&amp;tracks=[key:gene_model_track,Options:GeneOnly]&amp;mk=4404890:4404909|offset_14|444444,4404864:4404883|offset_40|444444,4404823:4404842|offset_81|00cc00,4404786:4404805|offset_118|444444&amp;v=4404689:4405005&amp;c=444444", "offset 81")</f>
        <v>offset 81</v>
      </c>
    </row>
    <row r="15552" customFormat="false" ht="12.8" hidden="false" customHeight="false" outlineLevel="0" collapsed="false">
      <c r="A15552" s="0" t="s">
        <v>12</v>
      </c>
      <c r="B15552" s="0" t="n">
        <v>4404785</v>
      </c>
      <c r="C15552" s="0" t="n">
        <v>4404805</v>
      </c>
      <c r="D15552" s="0" t="s">
        <v>51813</v>
      </c>
      <c r="E15552" s="0" t="s">
        <v>89</v>
      </c>
      <c r="F15552" s="0" t="s">
        <v>90</v>
      </c>
      <c r="G15552" s="0" t="s">
        <v>32</v>
      </c>
      <c r="H15552" s="0" t="n">
        <v>118</v>
      </c>
      <c r="I15552" s="0" t="s">
        <v>51823</v>
      </c>
      <c r="J15552" s="0" t="s">
        <v>51824</v>
      </c>
      <c r="K15552" s="0" t="s">
        <v>51825</v>
      </c>
      <c r="L15552" s="0" t="str">
        <f aca="false">HYPERLINK("https://www.ncbi.nlm.nih.gov/nuccore/CP000304.1?report=graph&amp;tracks=[key:gene_model_track,Options:GeneOnly]&amp;mk=4404890:4404909|offset_14|444444,4404864:4404883|offset_40|444444,4404823:4404842|offset_81|444444,4404786:4404805|offset_118|00cc00&amp;v=4404689:4405005&amp;c=444444", "offset 118")</f>
        <v>offset 118</v>
      </c>
    </row>
    <row r="15553" customFormat="false" ht="12.8" hidden="false" customHeight="false" outlineLevel="0" collapsed="false">
      <c r="A15553" s="0" t="s">
        <v>12</v>
      </c>
      <c r="B15553" s="0" t="n">
        <v>4405297</v>
      </c>
      <c r="C15553" s="0" t="n">
        <v>4405317</v>
      </c>
      <c r="D15553" s="0" t="s">
        <v>51826</v>
      </c>
      <c r="E15553" s="0" t="s">
        <v>89</v>
      </c>
      <c r="F15553" s="0" t="s">
        <v>15</v>
      </c>
      <c r="G15553" s="0" t="s">
        <v>36</v>
      </c>
      <c r="H15553" s="0" t="n">
        <v>12</v>
      </c>
      <c r="I15553" s="0" t="s">
        <v>51827</v>
      </c>
      <c r="J15553" s="0" t="s">
        <v>51828</v>
      </c>
      <c r="K15553" s="0" t="s">
        <v>51829</v>
      </c>
      <c r="L15553" s="0" t="str">
        <f aca="false">HYPERLINK("https://www.ncbi.nlm.nih.gov/nuccore/CP000304.1?report=graph&amp;tracks=[key:gene_model_track,Options:GeneOnly]&amp;mk=4405298:4405317|offset_12|00cc00,4405335:4405354|offset_49|444444,4405375:4405394|offset_89|444444,4405407:4405426|offset_121|444444&amp;v=4405097:4405626&amp;c=444444", "offset 12")</f>
        <v>offset 12</v>
      </c>
    </row>
    <row r="15554" customFormat="false" ht="12.8" hidden="false" customHeight="false" outlineLevel="0" collapsed="false">
      <c r="A15554" s="0" t="s">
        <v>12</v>
      </c>
      <c r="B15554" s="0" t="n">
        <v>4405334</v>
      </c>
      <c r="C15554" s="0" t="n">
        <v>4405354</v>
      </c>
      <c r="D15554" s="0" t="s">
        <v>51826</v>
      </c>
      <c r="E15554" s="0" t="s">
        <v>89</v>
      </c>
      <c r="F15554" s="0" t="s">
        <v>15</v>
      </c>
      <c r="G15554" s="0" t="s">
        <v>16</v>
      </c>
      <c r="H15554" s="0" t="n">
        <v>49</v>
      </c>
      <c r="I15554" s="0" t="s">
        <v>51830</v>
      </c>
      <c r="J15554" s="0" t="s">
        <v>51831</v>
      </c>
      <c r="K15554" s="0" t="s">
        <v>51832</v>
      </c>
      <c r="L15554" s="0" t="str">
        <f aca="false">HYPERLINK("https://www.ncbi.nlm.nih.gov/nuccore/CP000304.1?report=graph&amp;tracks=[key:gene_model_track,Options:GeneOnly]&amp;mk=4405298:4405317|offset_12|444444,4405335:4405354|offset_49|00cc00,4405375:4405394|offset_89|444444,4405407:4405426|offset_121|444444&amp;v=4405097:4405626&amp;c=444444", "offset 49")</f>
        <v>offset 49</v>
      </c>
    </row>
    <row r="15555" customFormat="false" ht="12.8" hidden="false" customHeight="false" outlineLevel="0" collapsed="false">
      <c r="A15555" s="0" t="s">
        <v>12</v>
      </c>
      <c r="B15555" s="0" t="n">
        <v>4405374</v>
      </c>
      <c r="C15555" s="0" t="n">
        <v>4405394</v>
      </c>
      <c r="D15555" s="0" t="s">
        <v>51826</v>
      </c>
      <c r="E15555" s="0" t="s">
        <v>89</v>
      </c>
      <c r="F15555" s="0" t="s">
        <v>15</v>
      </c>
      <c r="G15555" s="0" t="s">
        <v>32</v>
      </c>
      <c r="H15555" s="0" t="n">
        <v>89</v>
      </c>
      <c r="I15555" s="0" t="s">
        <v>51833</v>
      </c>
      <c r="J15555" s="0" t="s">
        <v>51834</v>
      </c>
      <c r="K15555" s="0" t="s">
        <v>51835</v>
      </c>
      <c r="L15555" s="0" t="str">
        <f aca="false">HYPERLINK("https://www.ncbi.nlm.nih.gov/nuccore/CP000304.1?report=graph&amp;tracks=[key:gene_model_track,Options:GeneOnly]&amp;mk=4405298:4405317|offset_12|444444,4405335:4405354|offset_49|444444,4405375:4405394|offset_89|00cc00,4405407:4405426|offset_121|444444&amp;v=4405097:4405626&amp;c=444444", "offset 89")</f>
        <v>offset 89</v>
      </c>
    </row>
    <row r="15556" customFormat="false" ht="12.8" hidden="false" customHeight="false" outlineLevel="0" collapsed="false">
      <c r="A15556" s="0" t="s">
        <v>12</v>
      </c>
      <c r="B15556" s="0" t="n">
        <v>4405406</v>
      </c>
      <c r="C15556" s="0" t="n">
        <v>4405426</v>
      </c>
      <c r="D15556" s="0" t="s">
        <v>51826</v>
      </c>
      <c r="E15556" s="0" t="s">
        <v>89</v>
      </c>
      <c r="F15556" s="0" t="s">
        <v>15</v>
      </c>
      <c r="G15556" s="0" t="s">
        <v>26</v>
      </c>
      <c r="H15556" s="0" t="n">
        <v>121</v>
      </c>
      <c r="I15556" s="0" t="s">
        <v>51836</v>
      </c>
      <c r="J15556" s="0" t="s">
        <v>51837</v>
      </c>
      <c r="K15556" s="0" t="s">
        <v>51838</v>
      </c>
      <c r="L15556" s="0" t="str">
        <f aca="false">HYPERLINK("https://www.ncbi.nlm.nih.gov/nuccore/CP000304.1?report=graph&amp;tracks=[key:gene_model_track,Options:GeneOnly]&amp;mk=4405298:4405317|offset_12|444444,4405335:4405354|offset_49|444444,4405375:4405394|offset_89|444444,4405407:4405426|offset_121|00cc00&amp;v=4405097:4405626&amp;c=444444", "offset 121")</f>
        <v>offset 121</v>
      </c>
    </row>
    <row r="15557" customFormat="false" ht="12.8" hidden="false" customHeight="false" outlineLevel="0" collapsed="false">
      <c r="A15557" s="0" t="s">
        <v>12</v>
      </c>
      <c r="B15557" s="0" t="n">
        <v>4406030</v>
      </c>
      <c r="C15557" s="0" t="n">
        <v>4406050</v>
      </c>
      <c r="D15557" s="0" t="s">
        <v>51839</v>
      </c>
      <c r="E15557" s="0" t="s">
        <v>89</v>
      </c>
      <c r="F15557" s="0" t="s">
        <v>15</v>
      </c>
      <c r="G15557" s="0" t="s">
        <v>26</v>
      </c>
      <c r="H15557" s="0" t="n">
        <v>23</v>
      </c>
      <c r="I15557" s="0" t="s">
        <v>51840</v>
      </c>
      <c r="J15557" s="0" t="s">
        <v>51841</v>
      </c>
      <c r="K15557" s="0" t="s">
        <v>51842</v>
      </c>
      <c r="L15557" s="0" t="str">
        <f aca="false">HYPERLINK("https://www.ncbi.nlm.nih.gov/nuccore/CP000304.1?report=graph&amp;tracks=[key:gene_model_track,Options:GeneOnly]&amp;mk=4406031:4406050|offset_23|00cc00,4406088:4406107|offset_80|444444,4406118:4406137|offset_110|444444,4406139:4406158|offset_131|444444&amp;v=4405830:4406358&amp;c=444444", "offset 23")</f>
        <v>offset 23</v>
      </c>
    </row>
    <row r="15558" customFormat="false" ht="12.8" hidden="false" customHeight="false" outlineLevel="0" collapsed="false">
      <c r="A15558" s="0" t="s">
        <v>12</v>
      </c>
      <c r="B15558" s="0" t="n">
        <v>4406087</v>
      </c>
      <c r="C15558" s="0" t="n">
        <v>4406107</v>
      </c>
      <c r="D15558" s="0" t="s">
        <v>51839</v>
      </c>
      <c r="E15558" s="0" t="s">
        <v>89</v>
      </c>
      <c r="F15558" s="0" t="s">
        <v>15</v>
      </c>
      <c r="G15558" s="0" t="s">
        <v>32</v>
      </c>
      <c r="H15558" s="0" t="n">
        <v>80</v>
      </c>
      <c r="I15558" s="0" t="s">
        <v>51843</v>
      </c>
      <c r="J15558" s="0" t="s">
        <v>51844</v>
      </c>
      <c r="K15558" s="0" t="s">
        <v>51845</v>
      </c>
      <c r="L15558" s="0" t="str">
        <f aca="false">HYPERLINK("https://www.ncbi.nlm.nih.gov/nuccore/CP000304.1?report=graph&amp;tracks=[key:gene_model_track,Options:GeneOnly]&amp;mk=4406031:4406050|offset_23|444444,4406088:4406107|offset_80|00cc00,4406118:4406137|offset_110|444444,4406139:4406158|offset_131|444444&amp;v=4405830:4406358&amp;c=444444", "offset 80")</f>
        <v>offset 80</v>
      </c>
    </row>
    <row r="15559" customFormat="false" ht="12.8" hidden="false" customHeight="false" outlineLevel="0" collapsed="false">
      <c r="A15559" s="0" t="s">
        <v>12</v>
      </c>
      <c r="B15559" s="0" t="n">
        <v>4406117</v>
      </c>
      <c r="C15559" s="0" t="n">
        <v>4406137</v>
      </c>
      <c r="D15559" s="0" t="s">
        <v>51839</v>
      </c>
      <c r="E15559" s="0" t="s">
        <v>89</v>
      </c>
      <c r="F15559" s="0" t="s">
        <v>15</v>
      </c>
      <c r="G15559" s="0" t="s">
        <v>26</v>
      </c>
      <c r="H15559" s="0" t="n">
        <v>110</v>
      </c>
      <c r="I15559" s="0" t="s">
        <v>51846</v>
      </c>
      <c r="J15559" s="0" t="s">
        <v>51847</v>
      </c>
      <c r="K15559" s="0" t="s">
        <v>51848</v>
      </c>
      <c r="L15559" s="0" t="str">
        <f aca="false">HYPERLINK("https://www.ncbi.nlm.nih.gov/nuccore/CP000304.1?report=graph&amp;tracks=[key:gene_model_track,Options:GeneOnly]&amp;mk=4406031:4406050|offset_23|444444,4406088:4406107|offset_80|444444,4406118:4406137|offset_110|00cc00,4406139:4406158|offset_131|444444&amp;v=4405830:4406358&amp;c=444444", "offset 110")</f>
        <v>offset 110</v>
      </c>
    </row>
    <row r="15560" customFormat="false" ht="12.8" hidden="false" customHeight="false" outlineLevel="0" collapsed="false">
      <c r="A15560" s="0" t="s">
        <v>12</v>
      </c>
      <c r="B15560" s="0" t="n">
        <v>4406138</v>
      </c>
      <c r="C15560" s="0" t="n">
        <v>4406158</v>
      </c>
      <c r="D15560" s="0" t="s">
        <v>51839</v>
      </c>
      <c r="E15560" s="0" t="s">
        <v>89</v>
      </c>
      <c r="F15560" s="0" t="s">
        <v>15</v>
      </c>
      <c r="G15560" s="0" t="s">
        <v>26</v>
      </c>
      <c r="H15560" s="0" t="n">
        <v>131</v>
      </c>
      <c r="I15560" s="0" t="s">
        <v>51849</v>
      </c>
      <c r="J15560" s="0" t="s">
        <v>51850</v>
      </c>
      <c r="K15560" s="0" t="s">
        <v>51851</v>
      </c>
      <c r="L15560" s="0" t="str">
        <f aca="false">HYPERLINK("https://www.ncbi.nlm.nih.gov/nuccore/CP000304.1?report=graph&amp;tracks=[key:gene_model_track,Options:GeneOnly]&amp;mk=4406031:4406050|offset_23|444444,4406088:4406107|offset_80|444444,4406118:4406137|offset_110|444444,4406139:4406158|offset_131|00cc00&amp;v=4405830:4406358&amp;c=444444", "offset 131")</f>
        <v>offset 131</v>
      </c>
    </row>
    <row r="15561" customFormat="false" ht="12.8" hidden="false" customHeight="false" outlineLevel="0" collapsed="false">
      <c r="A15561" s="0" t="s">
        <v>12</v>
      </c>
      <c r="B15561" s="0" t="n">
        <v>4406814</v>
      </c>
      <c r="C15561" s="0" t="n">
        <v>4406834</v>
      </c>
      <c r="D15561" s="0" t="s">
        <v>51852</v>
      </c>
      <c r="E15561" s="0" t="s">
        <v>51853</v>
      </c>
      <c r="F15561" s="0" t="s">
        <v>15</v>
      </c>
      <c r="G15561" s="0" t="s">
        <v>26</v>
      </c>
      <c r="H15561" s="0" t="n">
        <v>62</v>
      </c>
      <c r="I15561" s="0" t="s">
        <v>51854</v>
      </c>
      <c r="J15561" s="0" t="s">
        <v>51855</v>
      </c>
      <c r="K15561" s="0" t="s">
        <v>51856</v>
      </c>
      <c r="L15561" s="0" t="str">
        <f aca="false">HYPERLINK("https://www.ncbi.nlm.nih.gov/nuccore/CP000304.1?report=graph&amp;tracks=[key:gene_model_track,Options:GeneOnly]&amp;mk=4406815:4406834|offset_62|00cc00,4406845:4406864|offset_92|444444,4406871:4406890|offset_118|444444,4406896:4406915|offset_143|444444&amp;v=4406614:4407115&amp;c=444444", "offset 62")</f>
        <v>offset 62</v>
      </c>
    </row>
    <row r="15562" customFormat="false" ht="12.8" hidden="false" customHeight="false" outlineLevel="0" collapsed="false">
      <c r="A15562" s="0" t="s">
        <v>12</v>
      </c>
      <c r="B15562" s="0" t="n">
        <v>4406844</v>
      </c>
      <c r="C15562" s="0" t="n">
        <v>4406864</v>
      </c>
      <c r="D15562" s="0" t="s">
        <v>51852</v>
      </c>
      <c r="E15562" s="0" t="s">
        <v>51853</v>
      </c>
      <c r="F15562" s="0" t="s">
        <v>15</v>
      </c>
      <c r="G15562" s="0" t="s">
        <v>16</v>
      </c>
      <c r="H15562" s="0" t="n">
        <v>92</v>
      </c>
      <c r="I15562" s="0" t="s">
        <v>51857</v>
      </c>
      <c r="J15562" s="0" t="s">
        <v>51858</v>
      </c>
      <c r="K15562" s="0" t="s">
        <v>51859</v>
      </c>
      <c r="L15562" s="0" t="str">
        <f aca="false">HYPERLINK("https://www.ncbi.nlm.nih.gov/nuccore/CP000304.1?report=graph&amp;tracks=[key:gene_model_track,Options:GeneOnly]&amp;mk=4406815:4406834|offset_62|444444,4406845:4406864|offset_92|00cc00,4406871:4406890|offset_118|444444,4406896:4406915|offset_143|444444&amp;v=4406614:4407115&amp;c=444444", "offset 92")</f>
        <v>offset 92</v>
      </c>
    </row>
    <row r="15563" customFormat="false" ht="12.8" hidden="false" customHeight="false" outlineLevel="0" collapsed="false">
      <c r="A15563" s="0" t="s">
        <v>12</v>
      </c>
      <c r="B15563" s="0" t="n">
        <v>4406870</v>
      </c>
      <c r="C15563" s="0" t="n">
        <v>4406890</v>
      </c>
      <c r="D15563" s="0" t="s">
        <v>51852</v>
      </c>
      <c r="E15563" s="0" t="s">
        <v>51853</v>
      </c>
      <c r="F15563" s="0" t="s">
        <v>15</v>
      </c>
      <c r="G15563" s="0" t="s">
        <v>32</v>
      </c>
      <c r="H15563" s="0" t="n">
        <v>118</v>
      </c>
      <c r="I15563" s="0" t="s">
        <v>51860</v>
      </c>
      <c r="J15563" s="0" t="s">
        <v>51861</v>
      </c>
      <c r="K15563" s="0" t="s">
        <v>51862</v>
      </c>
      <c r="L15563" s="0" t="str">
        <f aca="false">HYPERLINK("https://www.ncbi.nlm.nih.gov/nuccore/CP000304.1?report=graph&amp;tracks=[key:gene_model_track,Options:GeneOnly]&amp;mk=4406815:4406834|offset_62|444444,4406845:4406864|offset_92|444444,4406871:4406890|offset_118|00cc00,4406896:4406915|offset_143|444444&amp;v=4406614:4407115&amp;c=444444", "offset 118")</f>
        <v>offset 118</v>
      </c>
    </row>
    <row r="15564" customFormat="false" ht="12.8" hidden="false" customHeight="false" outlineLevel="0" collapsed="false">
      <c r="A15564" s="0" t="s">
        <v>12</v>
      </c>
      <c r="B15564" s="0" t="n">
        <v>4406895</v>
      </c>
      <c r="C15564" s="0" t="n">
        <v>4406915</v>
      </c>
      <c r="D15564" s="0" t="s">
        <v>51852</v>
      </c>
      <c r="E15564" s="0" t="s">
        <v>51853</v>
      </c>
      <c r="F15564" s="0" t="s">
        <v>15</v>
      </c>
      <c r="G15564" s="0" t="s">
        <v>26</v>
      </c>
      <c r="H15564" s="0" t="n">
        <v>143</v>
      </c>
      <c r="I15564" s="0" t="s">
        <v>51863</v>
      </c>
      <c r="J15564" s="0" t="s">
        <v>51864</v>
      </c>
      <c r="K15564" s="0" t="s">
        <v>51865</v>
      </c>
      <c r="L15564" s="0" t="str">
        <f aca="false">HYPERLINK("https://www.ncbi.nlm.nih.gov/nuccore/CP000304.1?report=graph&amp;tracks=[key:gene_model_track,Options:GeneOnly]&amp;mk=4406815:4406834|offset_62|444444,4406845:4406864|offset_92|444444,4406871:4406890|offset_118|444444,4406896:4406915|offset_143|00cc00&amp;v=4406614:4407115&amp;c=444444", "offset 143")</f>
        <v>offset 143</v>
      </c>
    </row>
    <row r="15565" customFormat="false" ht="12.8" hidden="false" customHeight="false" outlineLevel="0" collapsed="false">
      <c r="A15565" s="0" t="s">
        <v>12</v>
      </c>
      <c r="B15565" s="0" t="n">
        <v>4408123</v>
      </c>
      <c r="C15565" s="0" t="n">
        <v>4408143</v>
      </c>
      <c r="D15565" s="0" t="s">
        <v>51866</v>
      </c>
      <c r="E15565" s="0" t="s">
        <v>89</v>
      </c>
      <c r="F15565" s="0" t="s">
        <v>15</v>
      </c>
      <c r="G15565" s="0" t="s">
        <v>36</v>
      </c>
      <c r="H15565" s="0" t="n">
        <v>28</v>
      </c>
      <c r="I15565" s="0" t="s">
        <v>51867</v>
      </c>
      <c r="J15565" s="0" t="s">
        <v>51868</v>
      </c>
      <c r="K15565" s="0" t="s">
        <v>51869</v>
      </c>
      <c r="L15565" s="0" t="str">
        <f aca="false">HYPERLINK("https://www.ncbi.nlm.nih.gov/nuccore/CP000304.1?report=graph&amp;tracks=[key:gene_model_track,Options:GeneOnly]&amp;mk=4408124:4408143|offset_28|00cc00,4408163:4408182|offset_67|444444,4408208:4408227|offset_112|444444,4408230:4408249|offset_134|444444&amp;v=4407923:4408449&amp;c=444444", "offset 28")</f>
        <v>offset 28</v>
      </c>
    </row>
    <row r="15566" customFormat="false" ht="12.8" hidden="false" customHeight="false" outlineLevel="0" collapsed="false">
      <c r="A15566" s="0" t="s">
        <v>12</v>
      </c>
      <c r="B15566" s="0" t="n">
        <v>4408162</v>
      </c>
      <c r="C15566" s="0" t="n">
        <v>4408182</v>
      </c>
      <c r="D15566" s="0" t="s">
        <v>51866</v>
      </c>
      <c r="E15566" s="0" t="s">
        <v>89</v>
      </c>
      <c r="F15566" s="0" t="s">
        <v>15</v>
      </c>
      <c r="G15566" s="0" t="s">
        <v>36</v>
      </c>
      <c r="H15566" s="0" t="n">
        <v>67</v>
      </c>
      <c r="I15566" s="0" t="s">
        <v>51870</v>
      </c>
      <c r="J15566" s="0" t="s">
        <v>51871</v>
      </c>
      <c r="K15566" s="0" t="s">
        <v>51872</v>
      </c>
      <c r="L15566" s="0" t="str">
        <f aca="false">HYPERLINK("https://www.ncbi.nlm.nih.gov/nuccore/CP000304.1?report=graph&amp;tracks=[key:gene_model_track,Options:GeneOnly]&amp;mk=4408124:4408143|offset_28|444444,4408163:4408182|offset_67|00cc00,4408208:4408227|offset_112|444444,4408230:4408249|offset_134|444444&amp;v=4407923:4408449&amp;c=444444", "offset 67")</f>
        <v>offset 67</v>
      </c>
    </row>
    <row r="15567" customFormat="false" ht="12.8" hidden="false" customHeight="false" outlineLevel="0" collapsed="false">
      <c r="A15567" s="0" t="s">
        <v>12</v>
      </c>
      <c r="B15567" s="0" t="n">
        <v>4408207</v>
      </c>
      <c r="C15567" s="0" t="n">
        <v>4408227</v>
      </c>
      <c r="D15567" s="0" t="s">
        <v>51866</v>
      </c>
      <c r="E15567" s="0" t="s">
        <v>89</v>
      </c>
      <c r="F15567" s="0" t="s">
        <v>15</v>
      </c>
      <c r="G15567" s="0" t="s">
        <v>32</v>
      </c>
      <c r="H15567" s="0" t="n">
        <v>112</v>
      </c>
      <c r="I15567" s="0" t="s">
        <v>51873</v>
      </c>
      <c r="J15567" s="0" t="s">
        <v>51874</v>
      </c>
      <c r="K15567" s="0" t="s">
        <v>51875</v>
      </c>
      <c r="L15567" s="0" t="str">
        <f aca="false">HYPERLINK("https://www.ncbi.nlm.nih.gov/nuccore/CP000304.1?report=graph&amp;tracks=[key:gene_model_track,Options:GeneOnly]&amp;mk=4408124:4408143|offset_28|444444,4408163:4408182|offset_67|444444,4408208:4408227|offset_112|00cc00,4408230:4408249|offset_134|444444&amp;v=4407923:4408449&amp;c=444444", "offset 112")</f>
        <v>offset 112</v>
      </c>
    </row>
    <row r="15568" customFormat="false" ht="12.8" hidden="false" customHeight="false" outlineLevel="0" collapsed="false">
      <c r="A15568" s="0" t="s">
        <v>12</v>
      </c>
      <c r="B15568" s="0" t="n">
        <v>4408229</v>
      </c>
      <c r="C15568" s="0" t="n">
        <v>4408249</v>
      </c>
      <c r="D15568" s="0" t="s">
        <v>51866</v>
      </c>
      <c r="E15568" s="0" t="s">
        <v>89</v>
      </c>
      <c r="F15568" s="0" t="s">
        <v>15</v>
      </c>
      <c r="G15568" s="0" t="s">
        <v>16</v>
      </c>
      <c r="H15568" s="0" t="n">
        <v>134</v>
      </c>
      <c r="I15568" s="0" t="s">
        <v>51876</v>
      </c>
      <c r="J15568" s="0" t="s">
        <v>51877</v>
      </c>
      <c r="K15568" s="0" t="s">
        <v>51878</v>
      </c>
      <c r="L15568" s="0" t="str">
        <f aca="false">HYPERLINK("https://www.ncbi.nlm.nih.gov/nuccore/CP000304.1?report=graph&amp;tracks=[key:gene_model_track,Options:GeneOnly]&amp;mk=4408124:4408143|offset_28|444444,4408163:4408182|offset_67|444444,4408208:4408227|offset_112|444444,4408230:4408249|offset_134|00cc00&amp;v=4407923:4408449&amp;c=444444", "offset 134")</f>
        <v>offset 134</v>
      </c>
    </row>
    <row r="15569" customFormat="false" ht="12.8" hidden="false" customHeight="false" outlineLevel="0" collapsed="false">
      <c r="A15569" s="0" t="s">
        <v>12</v>
      </c>
      <c r="B15569" s="0" t="n">
        <v>4409913</v>
      </c>
      <c r="C15569" s="0" t="n">
        <v>4409933</v>
      </c>
      <c r="D15569" s="0" t="s">
        <v>51879</v>
      </c>
      <c r="E15569" s="0" t="s">
        <v>89</v>
      </c>
      <c r="F15569" s="0" t="s">
        <v>15</v>
      </c>
      <c r="G15569" s="0" t="s">
        <v>16</v>
      </c>
      <c r="H15569" s="0" t="n">
        <v>6</v>
      </c>
      <c r="I15569" s="0" t="s">
        <v>51880</v>
      </c>
      <c r="J15569" s="0" t="s">
        <v>51881</v>
      </c>
      <c r="K15569" s="0" t="s">
        <v>51882</v>
      </c>
      <c r="L15569" s="0" t="str">
        <f aca="false">HYPERLINK("https://www.ncbi.nlm.nih.gov/nuccore/CP000304.1?report=graph&amp;tracks=[key:gene_model_track,Options:GeneOnly]&amp;mk=4409914:4409933|offset_6|00cc00,4409945:4409964|offset_37|444444,4409965:4409984|offset_57|444444,4410011:4410030|offset_103|444444&amp;v=4409713:4410230&amp;c=444444", "offset 6")</f>
        <v>offset 6</v>
      </c>
    </row>
    <row r="15570" customFormat="false" ht="12.8" hidden="false" customHeight="false" outlineLevel="0" collapsed="false">
      <c r="A15570" s="0" t="s">
        <v>12</v>
      </c>
      <c r="B15570" s="0" t="n">
        <v>4409944</v>
      </c>
      <c r="C15570" s="0" t="n">
        <v>4409964</v>
      </c>
      <c r="D15570" s="0" t="s">
        <v>51879</v>
      </c>
      <c r="E15570" s="0" t="s">
        <v>89</v>
      </c>
      <c r="F15570" s="0" t="s">
        <v>15</v>
      </c>
      <c r="G15570" s="0" t="s">
        <v>16</v>
      </c>
      <c r="H15570" s="0" t="n">
        <v>37</v>
      </c>
      <c r="I15570" s="0" t="s">
        <v>51883</v>
      </c>
      <c r="J15570" s="0" t="s">
        <v>51884</v>
      </c>
      <c r="K15570" s="0" t="s">
        <v>51885</v>
      </c>
      <c r="L15570" s="0" t="str">
        <f aca="false">HYPERLINK("https://www.ncbi.nlm.nih.gov/nuccore/CP000304.1?report=graph&amp;tracks=[key:gene_model_track,Options:GeneOnly]&amp;mk=4409914:4409933|offset_6|444444,4409945:4409964|offset_37|00cc00,4409965:4409984|offset_57|444444,4410011:4410030|offset_103|444444&amp;v=4409713:4410230&amp;c=444444", "offset 37")</f>
        <v>offset 37</v>
      </c>
    </row>
    <row r="15571" customFormat="false" ht="12.8" hidden="false" customHeight="false" outlineLevel="0" collapsed="false">
      <c r="A15571" s="0" t="s">
        <v>12</v>
      </c>
      <c r="B15571" s="0" t="n">
        <v>4409964</v>
      </c>
      <c r="C15571" s="0" t="n">
        <v>4409984</v>
      </c>
      <c r="D15571" s="0" t="s">
        <v>51879</v>
      </c>
      <c r="E15571" s="0" t="s">
        <v>89</v>
      </c>
      <c r="F15571" s="0" t="s">
        <v>15</v>
      </c>
      <c r="G15571" s="0" t="s">
        <v>36</v>
      </c>
      <c r="H15571" s="0" t="n">
        <v>57</v>
      </c>
      <c r="I15571" s="0" t="s">
        <v>51886</v>
      </c>
      <c r="J15571" s="0" t="s">
        <v>51887</v>
      </c>
      <c r="K15571" s="0" t="s">
        <v>51888</v>
      </c>
      <c r="L15571" s="0" t="str">
        <f aca="false">HYPERLINK("https://www.ncbi.nlm.nih.gov/nuccore/CP000304.1?report=graph&amp;tracks=[key:gene_model_track,Options:GeneOnly]&amp;mk=4409914:4409933|offset_6|444444,4409945:4409964|offset_37|444444,4409965:4409984|offset_57|00cc00,4410011:4410030|offset_103|444444&amp;v=4409713:4410230&amp;c=444444", "offset 57")</f>
        <v>offset 57</v>
      </c>
    </row>
    <row r="15572" customFormat="false" ht="12.8" hidden="false" customHeight="false" outlineLevel="0" collapsed="false">
      <c r="A15572" s="0" t="s">
        <v>12</v>
      </c>
      <c r="B15572" s="0" t="n">
        <v>4410010</v>
      </c>
      <c r="C15572" s="0" t="n">
        <v>4410030</v>
      </c>
      <c r="D15572" s="0" t="s">
        <v>51879</v>
      </c>
      <c r="E15572" s="0" t="s">
        <v>89</v>
      </c>
      <c r="F15572" s="0" t="s">
        <v>15</v>
      </c>
      <c r="G15572" s="0" t="s">
        <v>36</v>
      </c>
      <c r="H15572" s="0" t="n">
        <v>103</v>
      </c>
      <c r="I15572" s="0" t="s">
        <v>51889</v>
      </c>
      <c r="J15572" s="0" t="s">
        <v>51890</v>
      </c>
      <c r="K15572" s="0" t="s">
        <v>51891</v>
      </c>
      <c r="L15572" s="0" t="str">
        <f aca="false">HYPERLINK("https://www.ncbi.nlm.nih.gov/nuccore/CP000304.1?report=graph&amp;tracks=[key:gene_model_track,Options:GeneOnly]&amp;mk=4409914:4409933|offset_6|444444,4409945:4409964|offset_37|444444,4409965:4409984|offset_57|444444,4410011:4410030|offset_103|00cc00&amp;v=4409713:4410230&amp;c=444444", "offset 103")</f>
        <v>offset 103</v>
      </c>
    </row>
    <row r="15573" customFormat="false" ht="12.8" hidden="false" customHeight="false" outlineLevel="0" collapsed="false">
      <c r="A15573" s="0" t="s">
        <v>12</v>
      </c>
      <c r="B15573" s="0" t="n">
        <v>4411083</v>
      </c>
      <c r="C15573" s="0" t="n">
        <v>4411103</v>
      </c>
      <c r="D15573" s="0" t="s">
        <v>51892</v>
      </c>
      <c r="E15573" s="0" t="s">
        <v>89</v>
      </c>
      <c r="F15573" s="0" t="s">
        <v>90</v>
      </c>
      <c r="G15573" s="0" t="s">
        <v>16</v>
      </c>
      <c r="H15573" s="0" t="n">
        <v>0</v>
      </c>
      <c r="I15573" s="0" t="s">
        <v>51893</v>
      </c>
      <c r="J15573" s="0" t="s">
        <v>51894</v>
      </c>
      <c r="K15573" s="0" t="s">
        <v>51895</v>
      </c>
      <c r="L15573" s="0" t="str">
        <f aca="false">HYPERLINK("https://www.ncbi.nlm.nih.gov/nuccore/CP000304.1?report=graph&amp;tracks=[key:gene_model_track,Options:GeneOnly]&amp;mk=4411084:4411103|offset_0|00cc00,4411062:4411081|offset_22|444444,4411041:4411060|offset_43|444444,4411011:4411030|offset_73|444444&amp;v=4410883:4411230&amp;c=444444", "offset 0")</f>
        <v>offset 0</v>
      </c>
    </row>
    <row r="15574" customFormat="false" ht="12.8" hidden="false" customHeight="false" outlineLevel="0" collapsed="false">
      <c r="A15574" s="0" t="s">
        <v>12</v>
      </c>
      <c r="B15574" s="0" t="n">
        <v>4411061</v>
      </c>
      <c r="C15574" s="0" t="n">
        <v>4411081</v>
      </c>
      <c r="D15574" s="0" t="s">
        <v>51892</v>
      </c>
      <c r="E15574" s="0" t="s">
        <v>89</v>
      </c>
      <c r="F15574" s="0" t="s">
        <v>90</v>
      </c>
      <c r="G15574" s="0" t="s">
        <v>36</v>
      </c>
      <c r="H15574" s="0" t="n">
        <v>22</v>
      </c>
      <c r="I15574" s="0" t="s">
        <v>51896</v>
      </c>
      <c r="J15574" s="0" t="s">
        <v>51897</v>
      </c>
      <c r="K15574" s="0" t="s">
        <v>51898</v>
      </c>
      <c r="L15574" s="0" t="str">
        <f aca="false">HYPERLINK("https://www.ncbi.nlm.nih.gov/nuccore/CP000304.1?report=graph&amp;tracks=[key:gene_model_track,Options:GeneOnly]&amp;mk=4411084:4411103|offset_0|444444,4411062:4411081|offset_22|00cc00,4411041:4411060|offset_43|444444,4411011:4411030|offset_73|444444&amp;v=4410883:4411230&amp;c=444444", "offset 22")</f>
        <v>offset 22</v>
      </c>
    </row>
    <row r="15575" customFormat="false" ht="12.8" hidden="false" customHeight="false" outlineLevel="0" collapsed="false">
      <c r="A15575" s="0" t="s">
        <v>12</v>
      </c>
      <c r="B15575" s="0" t="n">
        <v>4411040</v>
      </c>
      <c r="C15575" s="0" t="n">
        <v>4411060</v>
      </c>
      <c r="D15575" s="0" t="s">
        <v>51892</v>
      </c>
      <c r="E15575" s="0" t="s">
        <v>89</v>
      </c>
      <c r="F15575" s="0" t="s">
        <v>90</v>
      </c>
      <c r="G15575" s="0" t="s">
        <v>16</v>
      </c>
      <c r="H15575" s="0" t="n">
        <v>43</v>
      </c>
      <c r="I15575" s="0" t="s">
        <v>51899</v>
      </c>
      <c r="J15575" s="0" t="s">
        <v>51900</v>
      </c>
      <c r="K15575" s="0" t="s">
        <v>51901</v>
      </c>
      <c r="L15575" s="0" t="str">
        <f aca="false">HYPERLINK("https://www.ncbi.nlm.nih.gov/nuccore/CP000304.1?report=graph&amp;tracks=[key:gene_model_track,Options:GeneOnly]&amp;mk=4411084:4411103|offset_0|444444,4411062:4411081|offset_22|444444,4411041:4411060|offset_43|00cc00,4411011:4411030|offset_73|444444&amp;v=4410883:4411230&amp;c=444444", "offset 43")</f>
        <v>offset 43</v>
      </c>
    </row>
    <row r="15576" customFormat="false" ht="12.8" hidden="false" customHeight="false" outlineLevel="0" collapsed="false">
      <c r="A15576" s="0" t="s">
        <v>12</v>
      </c>
      <c r="B15576" s="0" t="n">
        <v>4411010</v>
      </c>
      <c r="C15576" s="0" t="n">
        <v>4411030</v>
      </c>
      <c r="D15576" s="0" t="s">
        <v>51892</v>
      </c>
      <c r="E15576" s="0" t="s">
        <v>89</v>
      </c>
      <c r="F15576" s="0" t="s">
        <v>90</v>
      </c>
      <c r="G15576" s="0" t="s">
        <v>32</v>
      </c>
      <c r="H15576" s="0" t="n">
        <v>73</v>
      </c>
      <c r="I15576" s="0" t="s">
        <v>51902</v>
      </c>
      <c r="J15576" s="0" t="s">
        <v>51903</v>
      </c>
      <c r="K15576" s="0" t="s">
        <v>51904</v>
      </c>
      <c r="L15576" s="0" t="str">
        <f aca="false">HYPERLINK("https://www.ncbi.nlm.nih.gov/nuccore/CP000304.1?report=graph&amp;tracks=[key:gene_model_track,Options:GeneOnly]&amp;mk=4411084:4411103|offset_0|444444,4411062:4411081|offset_22|444444,4411041:4411060|offset_43|444444,4411011:4411030|offset_73|00cc00&amp;v=4410883:4411230&amp;c=444444", "offset 73")</f>
        <v>offset 73</v>
      </c>
    </row>
    <row r="15577" customFormat="false" ht="12.8" hidden="false" customHeight="false" outlineLevel="0" collapsed="false">
      <c r="A15577" s="0" t="s">
        <v>12</v>
      </c>
      <c r="B15577" s="0" t="n">
        <v>4413064</v>
      </c>
      <c r="C15577" s="0" t="n">
        <v>4413084</v>
      </c>
      <c r="D15577" s="0" t="s">
        <v>51905</v>
      </c>
      <c r="E15577" s="0" t="s">
        <v>89</v>
      </c>
      <c r="F15577" s="0" t="s">
        <v>90</v>
      </c>
      <c r="G15577" s="0" t="s">
        <v>16</v>
      </c>
      <c r="H15577" s="0" t="n">
        <v>16</v>
      </c>
      <c r="I15577" s="0" t="s">
        <v>51906</v>
      </c>
      <c r="J15577" s="0" t="s">
        <v>51907</v>
      </c>
      <c r="K15577" s="0" t="s">
        <v>51908</v>
      </c>
      <c r="L15577" s="0" t="str">
        <f aca="false">HYPERLINK("https://www.ncbi.nlm.nih.gov/nuccore/CP000304.1?report=graph&amp;tracks=[key:gene_model_track,Options:GeneOnly]&amp;mk=4413065:4413084|offset_16|00cc00,4413032:4413051|offset_49|444444,4413008:4413027|offset_73|444444,4412971:4412990|offset_110|444444&amp;v=4412864:4413190&amp;c=444444", "offset 16")</f>
        <v>offset 16</v>
      </c>
    </row>
    <row r="15578" customFormat="false" ht="12.8" hidden="false" customHeight="false" outlineLevel="0" collapsed="false">
      <c r="A15578" s="0" t="s">
        <v>12</v>
      </c>
      <c r="B15578" s="0" t="n">
        <v>4413031</v>
      </c>
      <c r="C15578" s="0" t="n">
        <v>4413051</v>
      </c>
      <c r="D15578" s="0" t="s">
        <v>51905</v>
      </c>
      <c r="E15578" s="0" t="s">
        <v>89</v>
      </c>
      <c r="F15578" s="0" t="s">
        <v>90</v>
      </c>
      <c r="G15578" s="0" t="s">
        <v>16</v>
      </c>
      <c r="H15578" s="0" t="n">
        <v>49</v>
      </c>
      <c r="I15578" s="0" t="s">
        <v>51909</v>
      </c>
      <c r="J15578" s="0" t="s">
        <v>51910</v>
      </c>
      <c r="K15578" s="0" t="s">
        <v>51911</v>
      </c>
      <c r="L15578" s="0" t="str">
        <f aca="false">HYPERLINK("https://www.ncbi.nlm.nih.gov/nuccore/CP000304.1?report=graph&amp;tracks=[key:gene_model_track,Options:GeneOnly]&amp;mk=4413065:4413084|offset_16|444444,4413032:4413051|offset_49|00cc00,4413008:4413027|offset_73|444444,4412971:4412990|offset_110|444444&amp;v=4412864:4413190&amp;c=444444", "offset 49")</f>
        <v>offset 49</v>
      </c>
    </row>
    <row r="15579" customFormat="false" ht="12.8" hidden="false" customHeight="false" outlineLevel="0" collapsed="false">
      <c r="A15579" s="0" t="s">
        <v>12</v>
      </c>
      <c r="B15579" s="0" t="n">
        <v>4413007</v>
      </c>
      <c r="C15579" s="0" t="n">
        <v>4413027</v>
      </c>
      <c r="D15579" s="0" t="s">
        <v>51905</v>
      </c>
      <c r="E15579" s="0" t="s">
        <v>89</v>
      </c>
      <c r="F15579" s="0" t="s">
        <v>90</v>
      </c>
      <c r="G15579" s="0" t="s">
        <v>36</v>
      </c>
      <c r="H15579" s="0" t="n">
        <v>73</v>
      </c>
      <c r="I15579" s="0" t="s">
        <v>51912</v>
      </c>
      <c r="J15579" s="0" t="s">
        <v>51913</v>
      </c>
      <c r="K15579" s="0" t="s">
        <v>51914</v>
      </c>
      <c r="L15579" s="0" t="str">
        <f aca="false">HYPERLINK("https://www.ncbi.nlm.nih.gov/nuccore/CP000304.1?report=graph&amp;tracks=[key:gene_model_track,Options:GeneOnly]&amp;mk=4413065:4413084|offset_16|444444,4413032:4413051|offset_49|444444,4413008:4413027|offset_73|00cc00,4412971:4412990|offset_110|444444&amp;v=4412864:4413190&amp;c=444444", "offset 73")</f>
        <v>offset 73</v>
      </c>
    </row>
    <row r="15580" customFormat="false" ht="12.8" hidden="false" customHeight="false" outlineLevel="0" collapsed="false">
      <c r="A15580" s="0" t="s">
        <v>12</v>
      </c>
      <c r="B15580" s="0" t="n">
        <v>4412970</v>
      </c>
      <c r="C15580" s="0" t="n">
        <v>4412990</v>
      </c>
      <c r="D15580" s="0" t="s">
        <v>51905</v>
      </c>
      <c r="E15580" s="0" t="s">
        <v>89</v>
      </c>
      <c r="F15580" s="0" t="s">
        <v>90</v>
      </c>
      <c r="G15580" s="0" t="s">
        <v>26</v>
      </c>
      <c r="H15580" s="0" t="n">
        <v>110</v>
      </c>
      <c r="I15580" s="0" t="s">
        <v>51915</v>
      </c>
      <c r="J15580" s="0" t="s">
        <v>51916</v>
      </c>
      <c r="K15580" s="0" t="s">
        <v>51917</v>
      </c>
      <c r="L15580" s="0" t="str">
        <f aca="false">HYPERLINK("https://www.ncbi.nlm.nih.gov/nuccore/CP000304.1?report=graph&amp;tracks=[key:gene_model_track,Options:GeneOnly]&amp;mk=4413065:4413084|offset_16|444444,4413032:4413051|offset_49|444444,4413008:4413027|offset_73|444444,4412971:4412990|offset_110|00cc00&amp;v=4412864:4413190&amp;c=444444", "offset 110")</f>
        <v>offset 110</v>
      </c>
    </row>
    <row r="15581" customFormat="false" ht="12.8" hidden="false" customHeight="false" outlineLevel="0" collapsed="false">
      <c r="A15581" s="0" t="s">
        <v>12</v>
      </c>
      <c r="B15581" s="0" t="n">
        <v>4413935</v>
      </c>
      <c r="C15581" s="0" t="n">
        <v>4413955</v>
      </c>
      <c r="D15581" s="0" t="s">
        <v>51918</v>
      </c>
      <c r="E15581" s="0" t="s">
        <v>89</v>
      </c>
      <c r="F15581" s="0" t="s">
        <v>90</v>
      </c>
      <c r="G15581" s="0" t="s">
        <v>16</v>
      </c>
      <c r="H15581" s="0" t="n">
        <v>11</v>
      </c>
      <c r="I15581" s="0" t="s">
        <v>51919</v>
      </c>
      <c r="J15581" s="0" t="s">
        <v>51920</v>
      </c>
      <c r="K15581" s="0" t="s">
        <v>51921</v>
      </c>
      <c r="L15581" s="0" t="str">
        <f aca="false">HYPERLINK("https://www.ncbi.nlm.nih.gov/nuccore/CP000304.1?report=graph&amp;tracks=[key:gene_model_track,Options:GeneOnly]&amp;mk=4413936:4413955|offset_11|00cc00,4413913:4413932|offset_34|444444,4413887:4413906|offset_60|444444,4413860:4413879|offset_87|444444&amp;v=4413735:4414079&amp;c=444444", "offset 11")</f>
        <v>offset 11</v>
      </c>
    </row>
    <row r="15582" customFormat="false" ht="12.8" hidden="false" customHeight="false" outlineLevel="0" collapsed="false">
      <c r="A15582" s="0" t="s">
        <v>12</v>
      </c>
      <c r="B15582" s="0" t="n">
        <v>4413912</v>
      </c>
      <c r="C15582" s="0" t="n">
        <v>4413932</v>
      </c>
      <c r="D15582" s="0" t="s">
        <v>51918</v>
      </c>
      <c r="E15582" s="0" t="s">
        <v>89</v>
      </c>
      <c r="F15582" s="0" t="s">
        <v>90</v>
      </c>
      <c r="G15582" s="0" t="s">
        <v>16</v>
      </c>
      <c r="H15582" s="0" t="n">
        <v>34</v>
      </c>
      <c r="I15582" s="0" t="s">
        <v>51922</v>
      </c>
      <c r="J15582" s="0" t="s">
        <v>51923</v>
      </c>
      <c r="K15582" s="0" t="s">
        <v>51924</v>
      </c>
      <c r="L15582" s="0" t="str">
        <f aca="false">HYPERLINK("https://www.ncbi.nlm.nih.gov/nuccore/CP000304.1?report=graph&amp;tracks=[key:gene_model_track,Options:GeneOnly]&amp;mk=4413936:4413955|offset_11|444444,4413913:4413932|offset_34|00cc00,4413887:4413906|offset_60|444444,4413860:4413879|offset_87|444444&amp;v=4413735:4414079&amp;c=444444", "offset 34")</f>
        <v>offset 34</v>
      </c>
    </row>
    <row r="15583" customFormat="false" ht="12.8" hidden="false" customHeight="false" outlineLevel="0" collapsed="false">
      <c r="A15583" s="0" t="s">
        <v>12</v>
      </c>
      <c r="B15583" s="0" t="n">
        <v>4413886</v>
      </c>
      <c r="C15583" s="0" t="n">
        <v>4413906</v>
      </c>
      <c r="D15583" s="0" t="s">
        <v>51918</v>
      </c>
      <c r="E15583" s="0" t="s">
        <v>89</v>
      </c>
      <c r="F15583" s="0" t="s">
        <v>90</v>
      </c>
      <c r="G15583" s="0" t="s">
        <v>16</v>
      </c>
      <c r="H15583" s="0" t="n">
        <v>60</v>
      </c>
      <c r="I15583" s="0" t="s">
        <v>51925</v>
      </c>
      <c r="J15583" s="0" t="s">
        <v>51926</v>
      </c>
      <c r="K15583" s="0" t="s">
        <v>51927</v>
      </c>
      <c r="L15583" s="0" t="str">
        <f aca="false">HYPERLINK("https://www.ncbi.nlm.nih.gov/nuccore/CP000304.1?report=graph&amp;tracks=[key:gene_model_track,Options:GeneOnly]&amp;mk=4413936:4413955|offset_11|444444,4413913:4413932|offset_34|444444,4413887:4413906|offset_60|00cc00,4413860:4413879|offset_87|444444&amp;v=4413735:4414079&amp;c=444444", "offset 60")</f>
        <v>offset 60</v>
      </c>
    </row>
    <row r="15584" customFormat="false" ht="12.8" hidden="false" customHeight="false" outlineLevel="0" collapsed="false">
      <c r="A15584" s="0" t="s">
        <v>12</v>
      </c>
      <c r="B15584" s="0" t="n">
        <v>4413859</v>
      </c>
      <c r="C15584" s="0" t="n">
        <v>4413879</v>
      </c>
      <c r="D15584" s="0" t="s">
        <v>51918</v>
      </c>
      <c r="E15584" s="0" t="s">
        <v>89</v>
      </c>
      <c r="F15584" s="0" t="s">
        <v>90</v>
      </c>
      <c r="G15584" s="0" t="s">
        <v>16</v>
      </c>
      <c r="H15584" s="0" t="n">
        <v>87</v>
      </c>
      <c r="I15584" s="0" t="s">
        <v>51928</v>
      </c>
      <c r="J15584" s="0" t="s">
        <v>51929</v>
      </c>
      <c r="K15584" s="0" t="s">
        <v>51930</v>
      </c>
      <c r="L15584" s="0" t="str">
        <f aca="false">HYPERLINK("https://www.ncbi.nlm.nih.gov/nuccore/CP000304.1?report=graph&amp;tracks=[key:gene_model_track,Options:GeneOnly]&amp;mk=4413936:4413955|offset_11|444444,4413913:4413932|offset_34|444444,4413887:4413906|offset_60|444444,4413860:4413879|offset_87|00cc00&amp;v=4413735:4414079&amp;c=444444", "offset 87")</f>
        <v>offset 87</v>
      </c>
    </row>
    <row r="15585" customFormat="false" ht="12.8" hidden="false" customHeight="false" outlineLevel="0" collapsed="false">
      <c r="A15585" s="0" t="s">
        <v>12</v>
      </c>
      <c r="B15585" s="0" t="n">
        <v>4414568</v>
      </c>
      <c r="C15585" s="0" t="n">
        <v>4414588</v>
      </c>
      <c r="D15585" s="0" t="s">
        <v>51931</v>
      </c>
      <c r="E15585" s="0" t="s">
        <v>51932</v>
      </c>
      <c r="F15585" s="0" t="s">
        <v>90</v>
      </c>
      <c r="G15585" s="0" t="s">
        <v>26</v>
      </c>
      <c r="H15585" s="0" t="n">
        <v>14</v>
      </c>
      <c r="I15585" s="0" t="s">
        <v>51933</v>
      </c>
      <c r="J15585" s="0" t="s">
        <v>51934</v>
      </c>
      <c r="K15585" s="0" t="s">
        <v>51935</v>
      </c>
      <c r="L15585" s="0" t="str">
        <f aca="false">HYPERLINK("https://www.ncbi.nlm.nih.gov/nuccore/CP000304.1?report=graph&amp;tracks=[key:gene_model_track,Options:GeneOnly]&amp;mk=4414569:4414588|offset_14|00cc00,4414543:4414562|offset_40|444444,4414522:4414541|offset_61|444444,4414501:4414520|offset_82|444444&amp;v=4414368:4414720&amp;c=444444", "offset 14")</f>
        <v>offset 14</v>
      </c>
    </row>
    <row r="15586" customFormat="false" ht="12.8" hidden="false" customHeight="false" outlineLevel="0" collapsed="false">
      <c r="A15586" s="0" t="s">
        <v>12</v>
      </c>
      <c r="B15586" s="0" t="n">
        <v>4414542</v>
      </c>
      <c r="C15586" s="0" t="n">
        <v>4414562</v>
      </c>
      <c r="D15586" s="0" t="s">
        <v>51931</v>
      </c>
      <c r="E15586" s="0" t="s">
        <v>51932</v>
      </c>
      <c r="F15586" s="0" t="s">
        <v>90</v>
      </c>
      <c r="G15586" s="0" t="s">
        <v>32</v>
      </c>
      <c r="H15586" s="0" t="n">
        <v>40</v>
      </c>
      <c r="I15586" s="0" t="s">
        <v>51936</v>
      </c>
      <c r="J15586" s="0" t="s">
        <v>51937</v>
      </c>
      <c r="K15586" s="0" t="s">
        <v>51938</v>
      </c>
      <c r="L15586" s="0" t="str">
        <f aca="false">HYPERLINK("https://www.ncbi.nlm.nih.gov/nuccore/CP000304.1?report=graph&amp;tracks=[key:gene_model_track,Options:GeneOnly]&amp;mk=4414569:4414588|offset_14|444444,4414543:4414562|offset_40|00cc00,4414522:4414541|offset_61|444444,4414501:4414520|offset_82|444444&amp;v=4414368:4414720&amp;c=444444", "offset 40")</f>
        <v>offset 40</v>
      </c>
    </row>
    <row r="15587" customFormat="false" ht="12.8" hidden="false" customHeight="false" outlineLevel="0" collapsed="false">
      <c r="A15587" s="0" t="s">
        <v>12</v>
      </c>
      <c r="B15587" s="0" t="n">
        <v>4414521</v>
      </c>
      <c r="C15587" s="0" t="n">
        <v>4414541</v>
      </c>
      <c r="D15587" s="0" t="s">
        <v>51931</v>
      </c>
      <c r="E15587" s="0" t="s">
        <v>51932</v>
      </c>
      <c r="F15587" s="0" t="s">
        <v>90</v>
      </c>
      <c r="G15587" s="0" t="s">
        <v>36</v>
      </c>
      <c r="H15587" s="0" t="n">
        <v>61</v>
      </c>
      <c r="I15587" s="0" t="s">
        <v>51939</v>
      </c>
      <c r="J15587" s="0" t="s">
        <v>51940</v>
      </c>
      <c r="K15587" s="0" t="s">
        <v>51941</v>
      </c>
      <c r="L15587" s="0" t="str">
        <f aca="false">HYPERLINK("https://www.ncbi.nlm.nih.gov/nuccore/CP000304.1?report=graph&amp;tracks=[key:gene_model_track,Options:GeneOnly]&amp;mk=4414569:4414588|offset_14|444444,4414543:4414562|offset_40|444444,4414522:4414541|offset_61|00cc00,4414501:4414520|offset_82|444444&amp;v=4414368:4414720&amp;c=444444", "offset 61")</f>
        <v>offset 61</v>
      </c>
    </row>
    <row r="15588" customFormat="false" ht="12.8" hidden="false" customHeight="false" outlineLevel="0" collapsed="false">
      <c r="A15588" s="0" t="s">
        <v>12</v>
      </c>
      <c r="B15588" s="0" t="n">
        <v>4414500</v>
      </c>
      <c r="C15588" s="0" t="n">
        <v>4414520</v>
      </c>
      <c r="D15588" s="0" t="s">
        <v>51931</v>
      </c>
      <c r="E15588" s="0" t="s">
        <v>51932</v>
      </c>
      <c r="F15588" s="0" t="s">
        <v>90</v>
      </c>
      <c r="G15588" s="0" t="s">
        <v>16</v>
      </c>
      <c r="H15588" s="0" t="n">
        <v>82</v>
      </c>
      <c r="I15588" s="0" t="s">
        <v>51942</v>
      </c>
      <c r="J15588" s="0" t="s">
        <v>51943</v>
      </c>
      <c r="K15588" s="0" t="s">
        <v>51944</v>
      </c>
      <c r="L15588" s="0" t="str">
        <f aca="false">HYPERLINK("https://www.ncbi.nlm.nih.gov/nuccore/CP000304.1?report=graph&amp;tracks=[key:gene_model_track,Options:GeneOnly]&amp;mk=4414569:4414588|offset_14|444444,4414543:4414562|offset_40|444444,4414522:4414541|offset_61|444444,4414501:4414520|offset_82|00cc00&amp;v=4414368:4414720&amp;c=444444", "offset 82")</f>
        <v>offset 82</v>
      </c>
    </row>
    <row r="15589" customFormat="false" ht="12.8" hidden="false" customHeight="false" outlineLevel="0" collapsed="false">
      <c r="A15589" s="0" t="s">
        <v>12</v>
      </c>
      <c r="B15589" s="0" t="n">
        <v>4415363</v>
      </c>
      <c r="C15589" s="0" t="n">
        <v>4415383</v>
      </c>
      <c r="D15589" s="0" t="s">
        <v>51945</v>
      </c>
      <c r="E15589" s="0" t="s">
        <v>89</v>
      </c>
      <c r="F15589" s="0" t="s">
        <v>90</v>
      </c>
      <c r="G15589" s="0" t="s">
        <v>36</v>
      </c>
      <c r="H15589" s="0" t="n">
        <v>7</v>
      </c>
      <c r="I15589" s="0" t="s">
        <v>51946</v>
      </c>
      <c r="J15589" s="0" t="s">
        <v>51947</v>
      </c>
      <c r="K15589" s="0" t="s">
        <v>51948</v>
      </c>
      <c r="L15589" s="0" t="str">
        <f aca="false">HYPERLINK("https://www.ncbi.nlm.nih.gov/nuccore/CP000304.1?report=graph&amp;tracks=[key:gene_model_track,Options:GeneOnly]&amp;mk=4415364:4415383|offset_7|00cc00,4415343:4415362|offset_28|444444,4415289:4415308|offset_82|444444,4415264:4415283|offset_107|444444&amp;v=4415163:4415483&amp;c=444444", "offset 7")</f>
        <v>offset 7</v>
      </c>
    </row>
    <row r="15590" customFormat="false" ht="12.8" hidden="false" customHeight="false" outlineLevel="0" collapsed="false">
      <c r="A15590" s="0" t="s">
        <v>12</v>
      </c>
      <c r="B15590" s="0" t="n">
        <v>4415342</v>
      </c>
      <c r="C15590" s="0" t="n">
        <v>4415362</v>
      </c>
      <c r="D15590" s="0" t="s">
        <v>51945</v>
      </c>
      <c r="E15590" s="0" t="s">
        <v>89</v>
      </c>
      <c r="F15590" s="0" t="s">
        <v>90</v>
      </c>
      <c r="G15590" s="0" t="s">
        <v>36</v>
      </c>
      <c r="H15590" s="0" t="n">
        <v>28</v>
      </c>
      <c r="I15590" s="0" t="s">
        <v>51949</v>
      </c>
      <c r="J15590" s="0" t="s">
        <v>51950</v>
      </c>
      <c r="K15590" s="0" t="s">
        <v>51951</v>
      </c>
      <c r="L15590" s="0" t="str">
        <f aca="false">HYPERLINK("https://www.ncbi.nlm.nih.gov/nuccore/CP000304.1?report=graph&amp;tracks=[key:gene_model_track,Options:GeneOnly]&amp;mk=4415364:4415383|offset_7|444444,4415343:4415362|offset_28|00cc00,4415289:4415308|offset_82|444444,4415264:4415283|offset_107|444444&amp;v=4415163:4415483&amp;c=444444", "offset 28")</f>
        <v>offset 28</v>
      </c>
    </row>
    <row r="15591" customFormat="false" ht="12.8" hidden="false" customHeight="false" outlineLevel="0" collapsed="false">
      <c r="A15591" s="0" t="s">
        <v>12</v>
      </c>
      <c r="B15591" s="0" t="n">
        <v>4415288</v>
      </c>
      <c r="C15591" s="0" t="n">
        <v>4415308</v>
      </c>
      <c r="D15591" s="0" t="s">
        <v>51945</v>
      </c>
      <c r="E15591" s="0" t="s">
        <v>89</v>
      </c>
      <c r="F15591" s="0" t="s">
        <v>90</v>
      </c>
      <c r="G15591" s="0" t="s">
        <v>26</v>
      </c>
      <c r="H15591" s="0" t="n">
        <v>82</v>
      </c>
      <c r="I15591" s="0" t="s">
        <v>51952</v>
      </c>
      <c r="J15591" s="0" t="s">
        <v>51953</v>
      </c>
      <c r="K15591" s="0" t="s">
        <v>51954</v>
      </c>
      <c r="L15591" s="0" t="str">
        <f aca="false">HYPERLINK("https://www.ncbi.nlm.nih.gov/nuccore/CP000304.1?report=graph&amp;tracks=[key:gene_model_track,Options:GeneOnly]&amp;mk=4415364:4415383|offset_7|444444,4415343:4415362|offset_28|444444,4415289:4415308|offset_82|00cc00,4415264:4415283|offset_107|444444&amp;v=4415163:4415483&amp;c=444444", "offset 82")</f>
        <v>offset 82</v>
      </c>
    </row>
    <row r="15592" customFormat="false" ht="12.8" hidden="false" customHeight="false" outlineLevel="0" collapsed="false">
      <c r="A15592" s="0" t="s">
        <v>12</v>
      </c>
      <c r="B15592" s="0" t="n">
        <v>4415263</v>
      </c>
      <c r="C15592" s="0" t="n">
        <v>4415283</v>
      </c>
      <c r="D15592" s="0" t="s">
        <v>51945</v>
      </c>
      <c r="E15592" s="0" t="s">
        <v>89</v>
      </c>
      <c r="F15592" s="0" t="s">
        <v>90</v>
      </c>
      <c r="G15592" s="0" t="s">
        <v>36</v>
      </c>
      <c r="H15592" s="0" t="n">
        <v>107</v>
      </c>
      <c r="I15592" s="0" t="s">
        <v>51955</v>
      </c>
      <c r="J15592" s="0" t="s">
        <v>51956</v>
      </c>
      <c r="K15592" s="0" t="s">
        <v>51957</v>
      </c>
      <c r="L15592" s="0" t="str">
        <f aca="false">HYPERLINK("https://www.ncbi.nlm.nih.gov/nuccore/CP000304.1?report=graph&amp;tracks=[key:gene_model_track,Options:GeneOnly]&amp;mk=4415364:4415383|offset_7|444444,4415343:4415362|offset_28|444444,4415289:4415308|offset_82|444444,4415264:4415283|offset_107|00cc00&amp;v=4415163:4415483&amp;c=444444", "offset 107")</f>
        <v>offset 107</v>
      </c>
    </row>
    <row r="15593" customFormat="false" ht="12.8" hidden="false" customHeight="false" outlineLevel="0" collapsed="false">
      <c r="A15593" s="0" t="s">
        <v>12</v>
      </c>
      <c r="B15593" s="0" t="n">
        <v>4415652</v>
      </c>
      <c r="C15593" s="0" t="n">
        <v>4415672</v>
      </c>
      <c r="D15593" s="0" t="s">
        <v>51958</v>
      </c>
      <c r="E15593" s="0" t="s">
        <v>51959</v>
      </c>
      <c r="F15593" s="0" t="s">
        <v>15</v>
      </c>
      <c r="G15593" s="0" t="s">
        <v>32</v>
      </c>
      <c r="H15593" s="0" t="n">
        <v>0</v>
      </c>
      <c r="I15593" s="0" t="s">
        <v>51960</v>
      </c>
      <c r="J15593" s="0" t="s">
        <v>51961</v>
      </c>
      <c r="K15593" s="0" t="s">
        <v>51962</v>
      </c>
      <c r="L15593" s="0" t="str">
        <f aca="false">HYPERLINK("https://www.ncbi.nlm.nih.gov/nuccore/CP000304.1?report=graph&amp;tracks=[key:gene_model_track,Options:GeneOnly]&amp;mk=4415653:4415672|offset_0|00cc00,4415678:4415697|offset_25|444444,4415703:4415722|offset_50|444444,4415732:4415751|offset_79|444444&amp;v=4415452:4415951&amp;c=444444", "offset 0")</f>
        <v>offset 0</v>
      </c>
    </row>
    <row r="15594" customFormat="false" ht="12.8" hidden="false" customHeight="false" outlineLevel="0" collapsed="false">
      <c r="A15594" s="0" t="s">
        <v>12</v>
      </c>
      <c r="B15594" s="0" t="n">
        <v>4415677</v>
      </c>
      <c r="C15594" s="0" t="n">
        <v>4415697</v>
      </c>
      <c r="D15594" s="0" t="s">
        <v>51958</v>
      </c>
      <c r="E15594" s="0" t="s">
        <v>51959</v>
      </c>
      <c r="F15594" s="0" t="s">
        <v>15</v>
      </c>
      <c r="G15594" s="0" t="s">
        <v>16</v>
      </c>
      <c r="H15594" s="0" t="n">
        <v>25</v>
      </c>
      <c r="I15594" s="0" t="s">
        <v>51963</v>
      </c>
      <c r="J15594" s="0" t="s">
        <v>51964</v>
      </c>
      <c r="K15594" s="0" t="s">
        <v>51965</v>
      </c>
      <c r="L15594" s="0" t="str">
        <f aca="false">HYPERLINK("https://www.ncbi.nlm.nih.gov/nuccore/CP000304.1?report=graph&amp;tracks=[key:gene_model_track,Options:GeneOnly]&amp;mk=4415653:4415672|offset_0|444444,4415678:4415697|offset_25|00cc00,4415703:4415722|offset_50|444444,4415732:4415751|offset_79|444444&amp;v=4415452:4415951&amp;c=444444", "offset 25")</f>
        <v>offset 25</v>
      </c>
    </row>
    <row r="15595" customFormat="false" ht="12.8" hidden="false" customHeight="false" outlineLevel="0" collapsed="false">
      <c r="A15595" s="0" t="s">
        <v>12</v>
      </c>
      <c r="B15595" s="0" t="n">
        <v>4415702</v>
      </c>
      <c r="C15595" s="0" t="n">
        <v>4415722</v>
      </c>
      <c r="D15595" s="0" t="s">
        <v>51958</v>
      </c>
      <c r="E15595" s="0" t="s">
        <v>51959</v>
      </c>
      <c r="F15595" s="0" t="s">
        <v>15</v>
      </c>
      <c r="G15595" s="0" t="s">
        <v>36</v>
      </c>
      <c r="H15595" s="0" t="n">
        <v>50</v>
      </c>
      <c r="I15595" s="0" t="s">
        <v>51966</v>
      </c>
      <c r="J15595" s="0" t="s">
        <v>51967</v>
      </c>
      <c r="K15595" s="0" t="s">
        <v>51968</v>
      </c>
      <c r="L15595" s="0" t="str">
        <f aca="false">HYPERLINK("https://www.ncbi.nlm.nih.gov/nuccore/CP000304.1?report=graph&amp;tracks=[key:gene_model_track,Options:GeneOnly]&amp;mk=4415653:4415672|offset_0|444444,4415678:4415697|offset_25|444444,4415703:4415722|offset_50|00cc00,4415732:4415751|offset_79|444444&amp;v=4415452:4415951&amp;c=444444", "offset 50")</f>
        <v>offset 50</v>
      </c>
    </row>
    <row r="15596" customFormat="false" ht="12.8" hidden="false" customHeight="false" outlineLevel="0" collapsed="false">
      <c r="A15596" s="0" t="s">
        <v>12</v>
      </c>
      <c r="B15596" s="0" t="n">
        <v>4415731</v>
      </c>
      <c r="C15596" s="0" t="n">
        <v>4415751</v>
      </c>
      <c r="D15596" s="0" t="s">
        <v>51958</v>
      </c>
      <c r="E15596" s="0" t="s">
        <v>51959</v>
      </c>
      <c r="F15596" s="0" t="s">
        <v>15</v>
      </c>
      <c r="G15596" s="0" t="s">
        <v>26</v>
      </c>
      <c r="H15596" s="0" t="n">
        <v>79</v>
      </c>
      <c r="I15596" s="0" t="s">
        <v>51969</v>
      </c>
      <c r="J15596" s="0" t="s">
        <v>51970</v>
      </c>
      <c r="K15596" s="0" t="s">
        <v>51971</v>
      </c>
      <c r="L15596" s="0" t="str">
        <f aca="false">HYPERLINK("https://www.ncbi.nlm.nih.gov/nuccore/CP000304.1?report=graph&amp;tracks=[key:gene_model_track,Options:GeneOnly]&amp;mk=4415653:4415672|offset_0|444444,4415678:4415697|offset_25|444444,4415703:4415722|offset_50|444444,4415732:4415751|offset_79|00cc00&amp;v=4415452:4415951&amp;c=444444", "offset 79")</f>
        <v>offset 79</v>
      </c>
    </row>
    <row r="15597" customFormat="false" ht="12.8" hidden="false" customHeight="false" outlineLevel="0" collapsed="false">
      <c r="A15597" s="0" t="s">
        <v>12</v>
      </c>
      <c r="B15597" s="0" t="n">
        <v>4419388</v>
      </c>
      <c r="C15597" s="0" t="n">
        <v>4419408</v>
      </c>
      <c r="D15597" s="0" t="s">
        <v>51972</v>
      </c>
      <c r="E15597" s="0" t="s">
        <v>51973</v>
      </c>
      <c r="F15597" s="0" t="s">
        <v>90</v>
      </c>
      <c r="G15597" s="0" t="s">
        <v>32</v>
      </c>
      <c r="H15597" s="0" t="n">
        <v>1</v>
      </c>
      <c r="I15597" s="0" t="s">
        <v>51974</v>
      </c>
      <c r="J15597" s="0" t="s">
        <v>51975</v>
      </c>
      <c r="K15597" s="0" t="s">
        <v>51976</v>
      </c>
      <c r="L15597" s="0" t="str">
        <f aca="false">HYPERLINK("https://www.ncbi.nlm.nih.gov/nuccore/CP000304.1?report=graph&amp;tracks=[key:gene_model_track,Options:GeneOnly]&amp;mk=4419389:4419408|offset_1|00cc00,4419365:4419384|offset_25|444444,4419334:4419353|offset_56|444444,4419243:4419262|offset_147|444444&amp;v=4419188:4419462&amp;c=444444", "offset 1")</f>
        <v>offset 1</v>
      </c>
    </row>
    <row r="15598" customFormat="false" ht="12.8" hidden="false" customHeight="false" outlineLevel="0" collapsed="false">
      <c r="A15598" s="0" t="s">
        <v>12</v>
      </c>
      <c r="B15598" s="0" t="n">
        <v>4419364</v>
      </c>
      <c r="C15598" s="0" t="n">
        <v>4419384</v>
      </c>
      <c r="D15598" s="0" t="s">
        <v>51972</v>
      </c>
      <c r="E15598" s="0" t="s">
        <v>51973</v>
      </c>
      <c r="F15598" s="0" t="s">
        <v>90</v>
      </c>
      <c r="G15598" s="0" t="s">
        <v>36</v>
      </c>
      <c r="H15598" s="0" t="n">
        <v>25</v>
      </c>
      <c r="I15598" s="0" t="s">
        <v>51977</v>
      </c>
      <c r="J15598" s="0" t="s">
        <v>51978</v>
      </c>
      <c r="K15598" s="0" t="s">
        <v>51979</v>
      </c>
      <c r="L15598" s="0" t="str">
        <f aca="false">HYPERLINK("https://www.ncbi.nlm.nih.gov/nuccore/CP000304.1?report=graph&amp;tracks=[key:gene_model_track,Options:GeneOnly]&amp;mk=4419389:4419408|offset_1|444444,4419365:4419384|offset_25|00cc00,4419334:4419353|offset_56|444444,4419243:4419262|offset_147|444444&amp;v=4419188:4419462&amp;c=444444", "offset 25")</f>
        <v>offset 25</v>
      </c>
    </row>
    <row r="15599" customFormat="false" ht="12.8" hidden="false" customHeight="false" outlineLevel="0" collapsed="false">
      <c r="A15599" s="0" t="s">
        <v>12</v>
      </c>
      <c r="B15599" s="0" t="n">
        <v>4419333</v>
      </c>
      <c r="C15599" s="0" t="n">
        <v>4419353</v>
      </c>
      <c r="D15599" s="0" t="s">
        <v>51972</v>
      </c>
      <c r="E15599" s="0" t="s">
        <v>51973</v>
      </c>
      <c r="F15599" s="0" t="s">
        <v>90</v>
      </c>
      <c r="G15599" s="0" t="s">
        <v>16</v>
      </c>
      <c r="H15599" s="0" t="n">
        <v>56</v>
      </c>
      <c r="I15599" s="0" t="s">
        <v>51980</v>
      </c>
      <c r="J15599" s="0" t="s">
        <v>51981</v>
      </c>
      <c r="K15599" s="0" t="s">
        <v>51982</v>
      </c>
      <c r="L15599" s="0" t="str">
        <f aca="false">HYPERLINK("https://www.ncbi.nlm.nih.gov/nuccore/CP000304.1?report=graph&amp;tracks=[key:gene_model_track,Options:GeneOnly]&amp;mk=4419389:4419408|offset_1|444444,4419365:4419384|offset_25|444444,4419334:4419353|offset_56|00cc00,4419243:4419262|offset_147|444444&amp;v=4419188:4419462&amp;c=444444", "offset 56")</f>
        <v>offset 56</v>
      </c>
    </row>
    <row r="15600" customFormat="false" ht="12.8" hidden="false" customHeight="false" outlineLevel="0" collapsed="false">
      <c r="A15600" s="0" t="s">
        <v>12</v>
      </c>
      <c r="B15600" s="0" t="n">
        <v>4419242</v>
      </c>
      <c r="C15600" s="0" t="n">
        <v>4419262</v>
      </c>
      <c r="D15600" s="0" t="s">
        <v>51972</v>
      </c>
      <c r="E15600" s="0" t="s">
        <v>51973</v>
      </c>
      <c r="F15600" s="0" t="s">
        <v>90</v>
      </c>
      <c r="G15600" s="0" t="s">
        <v>16</v>
      </c>
      <c r="H15600" s="0" t="n">
        <v>147</v>
      </c>
      <c r="I15600" s="0" t="s">
        <v>51983</v>
      </c>
      <c r="J15600" s="0" t="s">
        <v>51984</v>
      </c>
      <c r="K15600" s="0" t="s">
        <v>51985</v>
      </c>
      <c r="L15600" s="0" t="str">
        <f aca="false">HYPERLINK("https://www.ncbi.nlm.nih.gov/nuccore/CP000304.1?report=graph&amp;tracks=[key:gene_model_track,Options:GeneOnly]&amp;mk=4419389:4419408|offset_1|444444,4419365:4419384|offset_25|444444,4419334:4419353|offset_56|444444,4419243:4419262|offset_147|00cc00&amp;v=4419188:4419462&amp;c=444444", "offset 147")</f>
        <v>offset 147</v>
      </c>
    </row>
    <row r="15601" customFormat="false" ht="12.8" hidden="false" customHeight="false" outlineLevel="0" collapsed="false">
      <c r="A15601" s="0" t="s">
        <v>12</v>
      </c>
      <c r="B15601" s="0" t="n">
        <v>4419824</v>
      </c>
      <c r="C15601" s="0" t="n">
        <v>4419844</v>
      </c>
      <c r="D15601" s="0" t="s">
        <v>51986</v>
      </c>
      <c r="E15601" s="0" t="s">
        <v>51987</v>
      </c>
      <c r="F15601" s="0" t="s">
        <v>90</v>
      </c>
      <c r="G15601" s="0" t="s">
        <v>36</v>
      </c>
      <c r="H15601" s="0" t="n">
        <v>14</v>
      </c>
      <c r="I15601" s="0" t="s">
        <v>51988</v>
      </c>
      <c r="J15601" s="0" t="s">
        <v>51989</v>
      </c>
      <c r="K15601" s="0" t="s">
        <v>51990</v>
      </c>
      <c r="L15601" s="0" t="str">
        <f aca="false">HYPERLINK("https://www.ncbi.nlm.nih.gov/nuccore/CP000304.1?report=graph&amp;tracks=[key:gene_model_track,Options:GeneOnly]&amp;mk=4419825:4419844|offset_14|00cc00,4419805:4419824|offset_34|444444,4419760:4419779|offset_79|444444,4419739:4419758|offset_100|444444&amp;v=4419624:4419958&amp;c=444444", "offset 14")</f>
        <v>offset 14</v>
      </c>
    </row>
    <row r="15602" customFormat="false" ht="12.8" hidden="false" customHeight="false" outlineLevel="0" collapsed="false">
      <c r="A15602" s="0" t="s">
        <v>12</v>
      </c>
      <c r="B15602" s="0" t="n">
        <v>4419804</v>
      </c>
      <c r="C15602" s="0" t="n">
        <v>4419824</v>
      </c>
      <c r="D15602" s="0" t="s">
        <v>51986</v>
      </c>
      <c r="E15602" s="0" t="s">
        <v>51987</v>
      </c>
      <c r="F15602" s="0" t="s">
        <v>90</v>
      </c>
      <c r="G15602" s="0" t="s">
        <v>16</v>
      </c>
      <c r="H15602" s="0" t="n">
        <v>34</v>
      </c>
      <c r="I15602" s="0" t="s">
        <v>51991</v>
      </c>
      <c r="J15602" s="0" t="s">
        <v>51992</v>
      </c>
      <c r="K15602" s="0" t="s">
        <v>51993</v>
      </c>
      <c r="L15602" s="0" t="str">
        <f aca="false">HYPERLINK("https://www.ncbi.nlm.nih.gov/nuccore/CP000304.1?report=graph&amp;tracks=[key:gene_model_track,Options:GeneOnly]&amp;mk=4419825:4419844|offset_14|444444,4419805:4419824|offset_34|00cc00,4419760:4419779|offset_79|444444,4419739:4419758|offset_100|444444&amp;v=4419624:4419958&amp;c=444444", "offset 34")</f>
        <v>offset 34</v>
      </c>
    </row>
    <row r="15603" customFormat="false" ht="12.8" hidden="false" customHeight="false" outlineLevel="0" collapsed="false">
      <c r="A15603" s="0" t="s">
        <v>12</v>
      </c>
      <c r="B15603" s="0" t="n">
        <v>4419759</v>
      </c>
      <c r="C15603" s="0" t="n">
        <v>4419779</v>
      </c>
      <c r="D15603" s="0" t="s">
        <v>51986</v>
      </c>
      <c r="E15603" s="0" t="s">
        <v>51987</v>
      </c>
      <c r="F15603" s="0" t="s">
        <v>90</v>
      </c>
      <c r="G15603" s="0" t="s">
        <v>16</v>
      </c>
      <c r="H15603" s="0" t="n">
        <v>79</v>
      </c>
      <c r="I15603" s="0" t="s">
        <v>51994</v>
      </c>
      <c r="J15603" s="0" t="s">
        <v>51995</v>
      </c>
      <c r="K15603" s="0" t="s">
        <v>51996</v>
      </c>
      <c r="L15603" s="0" t="str">
        <f aca="false">HYPERLINK("https://www.ncbi.nlm.nih.gov/nuccore/CP000304.1?report=graph&amp;tracks=[key:gene_model_track,Options:GeneOnly]&amp;mk=4419825:4419844|offset_14|444444,4419805:4419824|offset_34|444444,4419760:4419779|offset_79|00cc00,4419739:4419758|offset_100|444444&amp;v=4419624:4419958&amp;c=444444", "offset 79")</f>
        <v>offset 79</v>
      </c>
    </row>
    <row r="15604" customFormat="false" ht="12.8" hidden="false" customHeight="false" outlineLevel="0" collapsed="false">
      <c r="A15604" s="0" t="s">
        <v>12</v>
      </c>
      <c r="B15604" s="0" t="n">
        <v>4419738</v>
      </c>
      <c r="C15604" s="0" t="n">
        <v>4419758</v>
      </c>
      <c r="D15604" s="0" t="s">
        <v>51986</v>
      </c>
      <c r="E15604" s="0" t="s">
        <v>51987</v>
      </c>
      <c r="F15604" s="0" t="s">
        <v>90</v>
      </c>
      <c r="G15604" s="0" t="s">
        <v>36</v>
      </c>
      <c r="H15604" s="0" t="n">
        <v>100</v>
      </c>
      <c r="I15604" s="0" t="s">
        <v>51997</v>
      </c>
      <c r="J15604" s="0" t="s">
        <v>51998</v>
      </c>
      <c r="K15604" s="0" t="s">
        <v>51999</v>
      </c>
      <c r="L15604" s="0" t="str">
        <f aca="false">HYPERLINK("https://www.ncbi.nlm.nih.gov/nuccore/CP000304.1?report=graph&amp;tracks=[key:gene_model_track,Options:GeneOnly]&amp;mk=4419825:4419844|offset_14|444444,4419805:4419824|offset_34|444444,4419760:4419779|offset_79|444444,4419739:4419758|offset_100|00cc00&amp;v=4419624:4419958&amp;c=444444", "offset 100")</f>
        <v>offset 100</v>
      </c>
    </row>
    <row r="15605" customFormat="false" ht="12.8" hidden="false" customHeight="false" outlineLevel="0" collapsed="false">
      <c r="A15605" s="0" t="s">
        <v>12</v>
      </c>
      <c r="B15605" s="0" t="n">
        <v>4420973</v>
      </c>
      <c r="C15605" s="0" t="n">
        <v>4420993</v>
      </c>
      <c r="D15605" s="0" t="s">
        <v>52000</v>
      </c>
      <c r="E15605" s="0" t="s">
        <v>52001</v>
      </c>
      <c r="F15605" s="0" t="s">
        <v>90</v>
      </c>
      <c r="G15605" s="0" t="s">
        <v>36</v>
      </c>
      <c r="H15605" s="0" t="n">
        <v>0</v>
      </c>
      <c r="I15605" s="0" t="s">
        <v>52002</v>
      </c>
      <c r="J15605" s="0" t="s">
        <v>52003</v>
      </c>
      <c r="K15605" s="0" t="s">
        <v>52004</v>
      </c>
      <c r="L15605" s="0" t="str">
        <f aca="false">HYPERLINK("https://www.ncbi.nlm.nih.gov/nuccore/CP000304.1?report=graph&amp;tracks=[key:gene_model_track,Options:GeneOnly]&amp;mk=4420974:4420993|offset_0|00cc00,4420954:4420973|offset_20|444444,4420925:4420944|offset_49|444444,4420893:4420912|offset_81|444444&amp;v=4420773:4421112&amp;c=444444", "offset 0")</f>
        <v>offset 0</v>
      </c>
    </row>
    <row r="15606" customFormat="false" ht="12.8" hidden="false" customHeight="false" outlineLevel="0" collapsed="false">
      <c r="A15606" s="0" t="s">
        <v>12</v>
      </c>
      <c r="B15606" s="0" t="n">
        <v>4420953</v>
      </c>
      <c r="C15606" s="0" t="n">
        <v>4420973</v>
      </c>
      <c r="D15606" s="0" t="s">
        <v>52000</v>
      </c>
      <c r="E15606" s="0" t="s">
        <v>52001</v>
      </c>
      <c r="F15606" s="0" t="s">
        <v>90</v>
      </c>
      <c r="G15606" s="0" t="s">
        <v>26</v>
      </c>
      <c r="H15606" s="0" t="n">
        <v>20</v>
      </c>
      <c r="I15606" s="0" t="s">
        <v>52005</v>
      </c>
      <c r="J15606" s="0" t="s">
        <v>52006</v>
      </c>
      <c r="K15606" s="0" t="s">
        <v>52007</v>
      </c>
      <c r="L15606" s="0" t="str">
        <f aca="false">HYPERLINK("https://www.ncbi.nlm.nih.gov/nuccore/CP000304.1?report=graph&amp;tracks=[key:gene_model_track,Options:GeneOnly]&amp;mk=4420974:4420993|offset_0|444444,4420954:4420973|offset_20|00cc00,4420925:4420944|offset_49|444444,4420893:4420912|offset_81|444444&amp;v=4420773:4421112&amp;c=444444", "offset 20")</f>
        <v>offset 20</v>
      </c>
    </row>
    <row r="15607" customFormat="false" ht="12.8" hidden="false" customHeight="false" outlineLevel="0" collapsed="false">
      <c r="A15607" s="0" t="s">
        <v>12</v>
      </c>
      <c r="B15607" s="0" t="n">
        <v>4420924</v>
      </c>
      <c r="C15607" s="0" t="n">
        <v>4420944</v>
      </c>
      <c r="D15607" s="0" t="s">
        <v>52000</v>
      </c>
      <c r="E15607" s="0" t="s">
        <v>52001</v>
      </c>
      <c r="F15607" s="0" t="s">
        <v>90</v>
      </c>
      <c r="G15607" s="0" t="s">
        <v>32</v>
      </c>
      <c r="H15607" s="0" t="n">
        <v>49</v>
      </c>
      <c r="I15607" s="0" t="s">
        <v>52008</v>
      </c>
      <c r="J15607" s="0" t="s">
        <v>52009</v>
      </c>
      <c r="K15607" s="0" t="s">
        <v>52010</v>
      </c>
      <c r="L15607" s="0" t="str">
        <f aca="false">HYPERLINK("https://www.ncbi.nlm.nih.gov/nuccore/CP000304.1?report=graph&amp;tracks=[key:gene_model_track,Options:GeneOnly]&amp;mk=4420974:4420993|offset_0|444444,4420954:4420973|offset_20|444444,4420925:4420944|offset_49|00cc00,4420893:4420912|offset_81|444444&amp;v=4420773:4421112&amp;c=444444", "offset 49")</f>
        <v>offset 49</v>
      </c>
    </row>
    <row r="15608" customFormat="false" ht="12.8" hidden="false" customHeight="false" outlineLevel="0" collapsed="false">
      <c r="A15608" s="0" t="s">
        <v>12</v>
      </c>
      <c r="B15608" s="0" t="n">
        <v>4420892</v>
      </c>
      <c r="C15608" s="0" t="n">
        <v>4420912</v>
      </c>
      <c r="D15608" s="0" t="s">
        <v>52000</v>
      </c>
      <c r="E15608" s="0" t="s">
        <v>52001</v>
      </c>
      <c r="F15608" s="0" t="s">
        <v>90</v>
      </c>
      <c r="G15608" s="0" t="s">
        <v>32</v>
      </c>
      <c r="H15608" s="0" t="n">
        <v>81</v>
      </c>
      <c r="I15608" s="0" t="s">
        <v>52011</v>
      </c>
      <c r="J15608" s="0" t="s">
        <v>52012</v>
      </c>
      <c r="K15608" s="0" t="s">
        <v>52013</v>
      </c>
      <c r="L15608" s="0" t="str">
        <f aca="false">HYPERLINK("https://www.ncbi.nlm.nih.gov/nuccore/CP000304.1?report=graph&amp;tracks=[key:gene_model_track,Options:GeneOnly]&amp;mk=4420974:4420993|offset_0|444444,4420954:4420973|offset_20|444444,4420925:4420944|offset_49|444444,4420893:4420912|offset_81|00cc00&amp;v=4420773:4421112&amp;c=444444", "offset 81")</f>
        <v>offset 81</v>
      </c>
    </row>
    <row r="15609" customFormat="false" ht="12.8" hidden="false" customHeight="false" outlineLevel="0" collapsed="false">
      <c r="A15609" s="0" t="s">
        <v>12</v>
      </c>
      <c r="B15609" s="0" t="n">
        <v>4422794</v>
      </c>
      <c r="C15609" s="0" t="n">
        <v>4422814</v>
      </c>
      <c r="D15609" s="0" t="s">
        <v>52014</v>
      </c>
      <c r="E15609" s="0" t="s">
        <v>89</v>
      </c>
      <c r="F15609" s="0" t="s">
        <v>90</v>
      </c>
      <c r="G15609" s="0" t="s">
        <v>36</v>
      </c>
      <c r="H15609" s="0" t="n">
        <v>7</v>
      </c>
      <c r="I15609" s="0" t="s">
        <v>52015</v>
      </c>
      <c r="J15609" s="0" t="s">
        <v>52016</v>
      </c>
      <c r="K15609" s="0" t="s">
        <v>52017</v>
      </c>
      <c r="L15609" s="0" t="str">
        <f aca="false">HYPERLINK("https://www.ncbi.nlm.nih.gov/nuccore/CP000304.1?report=graph&amp;tracks=[key:gene_model_track,Options:GeneOnly]&amp;mk=4422795:4422814|offset_7|00cc00,4422769:4422788|offset_33|444444,4422733:4422752|offset_69|444444,4422677:4422696|offset_125|444444&amp;v=4422594:4422896&amp;c=444444", "offset 7")</f>
        <v>offset 7</v>
      </c>
    </row>
    <row r="15610" customFormat="false" ht="12.8" hidden="false" customHeight="false" outlineLevel="0" collapsed="false">
      <c r="A15610" s="0" t="s">
        <v>12</v>
      </c>
      <c r="B15610" s="0" t="n">
        <v>4422768</v>
      </c>
      <c r="C15610" s="0" t="n">
        <v>4422788</v>
      </c>
      <c r="D15610" s="0" t="s">
        <v>52014</v>
      </c>
      <c r="E15610" s="0" t="s">
        <v>89</v>
      </c>
      <c r="F15610" s="0" t="s">
        <v>90</v>
      </c>
      <c r="G15610" s="0" t="s">
        <v>36</v>
      </c>
      <c r="H15610" s="0" t="n">
        <v>33</v>
      </c>
      <c r="I15610" s="0" t="s">
        <v>52018</v>
      </c>
      <c r="J15610" s="0" t="s">
        <v>52019</v>
      </c>
      <c r="K15610" s="0" t="s">
        <v>52020</v>
      </c>
      <c r="L15610" s="0" t="str">
        <f aca="false">HYPERLINK("https://www.ncbi.nlm.nih.gov/nuccore/CP000304.1?report=graph&amp;tracks=[key:gene_model_track,Options:GeneOnly]&amp;mk=4422795:4422814|offset_7|444444,4422769:4422788|offset_33|00cc00,4422733:4422752|offset_69|444444,4422677:4422696|offset_125|444444&amp;v=4422594:4422896&amp;c=444444", "offset 33")</f>
        <v>offset 33</v>
      </c>
    </row>
    <row r="15611" customFormat="false" ht="12.8" hidden="false" customHeight="false" outlineLevel="0" collapsed="false">
      <c r="A15611" s="0" t="s">
        <v>12</v>
      </c>
      <c r="B15611" s="0" t="n">
        <v>4422732</v>
      </c>
      <c r="C15611" s="0" t="n">
        <v>4422752</v>
      </c>
      <c r="D15611" s="0" t="s">
        <v>52014</v>
      </c>
      <c r="E15611" s="0" t="s">
        <v>89</v>
      </c>
      <c r="F15611" s="0" t="s">
        <v>90</v>
      </c>
      <c r="G15611" s="0" t="s">
        <v>36</v>
      </c>
      <c r="H15611" s="0" t="n">
        <v>69</v>
      </c>
      <c r="I15611" s="0" t="s">
        <v>52021</v>
      </c>
      <c r="J15611" s="0" t="s">
        <v>52022</v>
      </c>
      <c r="K15611" s="0" t="s">
        <v>52023</v>
      </c>
      <c r="L15611" s="0" t="str">
        <f aca="false">HYPERLINK("https://www.ncbi.nlm.nih.gov/nuccore/CP000304.1?report=graph&amp;tracks=[key:gene_model_track,Options:GeneOnly]&amp;mk=4422795:4422814|offset_7|444444,4422769:4422788|offset_33|444444,4422733:4422752|offset_69|00cc00,4422677:4422696|offset_125|444444&amp;v=4422594:4422896&amp;c=444444", "offset 69")</f>
        <v>offset 69</v>
      </c>
    </row>
    <row r="15612" customFormat="false" ht="12.8" hidden="false" customHeight="false" outlineLevel="0" collapsed="false">
      <c r="A15612" s="0" t="s">
        <v>12</v>
      </c>
      <c r="B15612" s="0" t="n">
        <v>4422676</v>
      </c>
      <c r="C15612" s="0" t="n">
        <v>4422696</v>
      </c>
      <c r="D15612" s="0" t="s">
        <v>52014</v>
      </c>
      <c r="E15612" s="0" t="s">
        <v>89</v>
      </c>
      <c r="F15612" s="0" t="s">
        <v>90</v>
      </c>
      <c r="G15612" s="0" t="s">
        <v>26</v>
      </c>
      <c r="H15612" s="0" t="n">
        <v>125</v>
      </c>
      <c r="I15612" s="0" t="s">
        <v>52024</v>
      </c>
      <c r="J15612" s="0" t="s">
        <v>52025</v>
      </c>
      <c r="K15612" s="0" t="s">
        <v>52026</v>
      </c>
      <c r="L15612" s="0" t="str">
        <f aca="false">HYPERLINK("https://www.ncbi.nlm.nih.gov/nuccore/CP000304.1?report=graph&amp;tracks=[key:gene_model_track,Options:GeneOnly]&amp;mk=4422795:4422814|offset_7|444444,4422769:4422788|offset_33|444444,4422733:4422752|offset_69|444444,4422677:4422696|offset_125|00cc00&amp;v=4422594:4422896&amp;c=444444", "offset 125")</f>
        <v>offset 125</v>
      </c>
    </row>
    <row r="15613" customFormat="false" ht="12.8" hidden="false" customHeight="false" outlineLevel="0" collapsed="false">
      <c r="A15613" s="0" t="s">
        <v>12</v>
      </c>
      <c r="B15613" s="0" t="n">
        <v>4423917</v>
      </c>
      <c r="C15613" s="0" t="n">
        <v>4423937</v>
      </c>
      <c r="D15613" s="0" t="s">
        <v>52027</v>
      </c>
      <c r="E15613" s="0" t="s">
        <v>89</v>
      </c>
      <c r="F15613" s="0" t="s">
        <v>90</v>
      </c>
      <c r="G15613" s="0" t="s">
        <v>32</v>
      </c>
      <c r="H15613" s="0" t="n">
        <v>1</v>
      </c>
      <c r="I15613" s="0" t="s">
        <v>52028</v>
      </c>
      <c r="J15613" s="0" t="s">
        <v>52029</v>
      </c>
      <c r="K15613" s="0" t="s">
        <v>52030</v>
      </c>
      <c r="L15613" s="0" t="str">
        <f aca="false">HYPERLINK("https://www.ncbi.nlm.nih.gov/nuccore/CP000304.1?report=graph&amp;tracks=[key:gene_model_track,Options:GeneOnly]&amp;mk=4423918:4423937|offset_1|00cc00,4423891:4423910|offset_28|444444,4423857:4423876|offset_62|444444,4423828:4423847|offset_91|444444&amp;v=4423717:4424047&amp;c=444444", "offset 1")</f>
        <v>offset 1</v>
      </c>
    </row>
    <row r="15614" customFormat="false" ht="12.8" hidden="false" customHeight="false" outlineLevel="0" collapsed="false">
      <c r="A15614" s="0" t="s">
        <v>12</v>
      </c>
      <c r="B15614" s="0" t="n">
        <v>4423890</v>
      </c>
      <c r="C15614" s="0" t="n">
        <v>4423910</v>
      </c>
      <c r="D15614" s="0" t="s">
        <v>52027</v>
      </c>
      <c r="E15614" s="0" t="s">
        <v>89</v>
      </c>
      <c r="F15614" s="0" t="s">
        <v>90</v>
      </c>
      <c r="G15614" s="0" t="s">
        <v>16</v>
      </c>
      <c r="H15614" s="0" t="n">
        <v>28</v>
      </c>
      <c r="I15614" s="0" t="s">
        <v>52031</v>
      </c>
      <c r="J15614" s="0" t="s">
        <v>52032</v>
      </c>
      <c r="K15614" s="0" t="s">
        <v>52033</v>
      </c>
      <c r="L15614" s="0" t="str">
        <f aca="false">HYPERLINK("https://www.ncbi.nlm.nih.gov/nuccore/CP000304.1?report=graph&amp;tracks=[key:gene_model_track,Options:GeneOnly]&amp;mk=4423918:4423937|offset_1|444444,4423891:4423910|offset_28|00cc00,4423857:4423876|offset_62|444444,4423828:4423847|offset_91|444444&amp;v=4423717:4424047&amp;c=444444", "offset 28")</f>
        <v>offset 28</v>
      </c>
    </row>
    <row r="15615" customFormat="false" ht="12.8" hidden="false" customHeight="false" outlineLevel="0" collapsed="false">
      <c r="A15615" s="0" t="s">
        <v>12</v>
      </c>
      <c r="B15615" s="0" t="n">
        <v>4423856</v>
      </c>
      <c r="C15615" s="0" t="n">
        <v>4423876</v>
      </c>
      <c r="D15615" s="0" t="s">
        <v>52027</v>
      </c>
      <c r="E15615" s="0" t="s">
        <v>89</v>
      </c>
      <c r="F15615" s="0" t="s">
        <v>90</v>
      </c>
      <c r="G15615" s="0" t="s">
        <v>32</v>
      </c>
      <c r="H15615" s="0" t="n">
        <v>62</v>
      </c>
      <c r="I15615" s="0" t="s">
        <v>52034</v>
      </c>
      <c r="J15615" s="0" t="s">
        <v>52035</v>
      </c>
      <c r="K15615" s="0" t="s">
        <v>52036</v>
      </c>
      <c r="L15615" s="0" t="str">
        <f aca="false">HYPERLINK("https://www.ncbi.nlm.nih.gov/nuccore/CP000304.1?report=graph&amp;tracks=[key:gene_model_track,Options:GeneOnly]&amp;mk=4423918:4423937|offset_1|444444,4423891:4423910|offset_28|444444,4423857:4423876|offset_62|00cc00,4423828:4423847|offset_91|444444&amp;v=4423717:4424047&amp;c=444444", "offset 62")</f>
        <v>offset 62</v>
      </c>
    </row>
    <row r="15616" customFormat="false" ht="12.8" hidden="false" customHeight="false" outlineLevel="0" collapsed="false">
      <c r="A15616" s="0" t="s">
        <v>12</v>
      </c>
      <c r="B15616" s="0" t="n">
        <v>4423827</v>
      </c>
      <c r="C15616" s="0" t="n">
        <v>4423847</v>
      </c>
      <c r="D15616" s="0" t="s">
        <v>52027</v>
      </c>
      <c r="E15616" s="0" t="s">
        <v>89</v>
      </c>
      <c r="F15616" s="0" t="s">
        <v>90</v>
      </c>
      <c r="G15616" s="0" t="s">
        <v>26</v>
      </c>
      <c r="H15616" s="0" t="n">
        <v>91</v>
      </c>
      <c r="I15616" s="0" t="s">
        <v>52037</v>
      </c>
      <c r="J15616" s="0" t="s">
        <v>52038</v>
      </c>
      <c r="K15616" s="0" t="s">
        <v>52039</v>
      </c>
      <c r="L15616" s="0" t="str">
        <f aca="false">HYPERLINK("https://www.ncbi.nlm.nih.gov/nuccore/CP000304.1?report=graph&amp;tracks=[key:gene_model_track,Options:GeneOnly]&amp;mk=4423918:4423937|offset_1|444444,4423891:4423910|offset_28|444444,4423857:4423876|offset_62|444444,4423828:4423847|offset_91|00cc00&amp;v=4423717:4424047&amp;c=444444", "offset 91")</f>
        <v>offset 91</v>
      </c>
    </row>
    <row r="15617" customFormat="false" ht="12.8" hidden="false" customHeight="false" outlineLevel="0" collapsed="false">
      <c r="A15617" s="0" t="s">
        <v>12</v>
      </c>
      <c r="B15617" s="0" t="n">
        <v>4425239</v>
      </c>
      <c r="C15617" s="0" t="n">
        <v>4425259</v>
      </c>
      <c r="D15617" s="0" t="s">
        <v>52040</v>
      </c>
      <c r="E15617" s="0" t="s">
        <v>52041</v>
      </c>
      <c r="F15617" s="0" t="s">
        <v>90</v>
      </c>
      <c r="G15617" s="0" t="s">
        <v>16</v>
      </c>
      <c r="H15617" s="0" t="n">
        <v>10</v>
      </c>
      <c r="I15617" s="0" t="s">
        <v>52042</v>
      </c>
      <c r="J15617" s="0" t="s">
        <v>52043</v>
      </c>
      <c r="K15617" s="0" t="s">
        <v>52044</v>
      </c>
      <c r="L15617" s="0" t="str">
        <f aca="false">HYPERLINK("https://www.ncbi.nlm.nih.gov/nuccore/CP000304.1?report=graph&amp;tracks=[key:gene_model_track,Options:GeneOnly]&amp;mk=4425240:4425259|offset_10|00cc00,4425195:4425214|offset_55|444444,4425164:4425183|offset_86|444444,4425135:4425154|offset_115|444444&amp;v=4425039:4425354&amp;c=444444", "offset 10")</f>
        <v>offset 10</v>
      </c>
    </row>
    <row r="15618" customFormat="false" ht="12.8" hidden="false" customHeight="false" outlineLevel="0" collapsed="false">
      <c r="A15618" s="0" t="s">
        <v>12</v>
      </c>
      <c r="B15618" s="0" t="n">
        <v>4425194</v>
      </c>
      <c r="C15618" s="0" t="n">
        <v>4425214</v>
      </c>
      <c r="D15618" s="0" t="s">
        <v>52040</v>
      </c>
      <c r="E15618" s="0" t="s">
        <v>52041</v>
      </c>
      <c r="F15618" s="0" t="s">
        <v>90</v>
      </c>
      <c r="G15618" s="0" t="s">
        <v>36</v>
      </c>
      <c r="H15618" s="0" t="n">
        <v>55</v>
      </c>
      <c r="I15618" s="0" t="s">
        <v>52045</v>
      </c>
      <c r="J15618" s="0" t="s">
        <v>52046</v>
      </c>
      <c r="K15618" s="0" t="s">
        <v>52047</v>
      </c>
      <c r="L15618" s="0" t="str">
        <f aca="false">HYPERLINK("https://www.ncbi.nlm.nih.gov/nuccore/CP000304.1?report=graph&amp;tracks=[key:gene_model_track,Options:GeneOnly]&amp;mk=4425240:4425259|offset_10|444444,4425195:4425214|offset_55|00cc00,4425164:4425183|offset_86|444444,4425135:4425154|offset_115|444444&amp;v=4425039:4425354&amp;c=444444", "offset 55")</f>
        <v>offset 55</v>
      </c>
    </row>
    <row r="15619" customFormat="false" ht="12.8" hidden="false" customHeight="false" outlineLevel="0" collapsed="false">
      <c r="A15619" s="0" t="s">
        <v>12</v>
      </c>
      <c r="B15619" s="0" t="n">
        <v>4425163</v>
      </c>
      <c r="C15619" s="0" t="n">
        <v>4425183</v>
      </c>
      <c r="D15619" s="0" t="s">
        <v>52040</v>
      </c>
      <c r="E15619" s="0" t="s">
        <v>52041</v>
      </c>
      <c r="F15619" s="0" t="s">
        <v>90</v>
      </c>
      <c r="G15619" s="0" t="s">
        <v>26</v>
      </c>
      <c r="H15619" s="0" t="n">
        <v>86</v>
      </c>
      <c r="I15619" s="0" t="s">
        <v>52048</v>
      </c>
      <c r="J15619" s="0" t="s">
        <v>52049</v>
      </c>
      <c r="K15619" s="0" t="s">
        <v>52050</v>
      </c>
      <c r="L15619" s="0" t="str">
        <f aca="false">HYPERLINK("https://www.ncbi.nlm.nih.gov/nuccore/CP000304.1?report=graph&amp;tracks=[key:gene_model_track,Options:GeneOnly]&amp;mk=4425240:4425259|offset_10|444444,4425195:4425214|offset_55|444444,4425164:4425183|offset_86|00cc00,4425135:4425154|offset_115|444444&amp;v=4425039:4425354&amp;c=444444", "offset 86")</f>
        <v>offset 86</v>
      </c>
    </row>
    <row r="15620" customFormat="false" ht="12.8" hidden="false" customHeight="false" outlineLevel="0" collapsed="false">
      <c r="A15620" s="0" t="s">
        <v>12</v>
      </c>
      <c r="B15620" s="0" t="n">
        <v>4425134</v>
      </c>
      <c r="C15620" s="0" t="n">
        <v>4425154</v>
      </c>
      <c r="D15620" s="0" t="s">
        <v>52040</v>
      </c>
      <c r="E15620" s="0" t="s">
        <v>52041</v>
      </c>
      <c r="F15620" s="0" t="s">
        <v>90</v>
      </c>
      <c r="G15620" s="0" t="s">
        <v>16</v>
      </c>
      <c r="H15620" s="0" t="n">
        <v>115</v>
      </c>
      <c r="I15620" s="0" t="s">
        <v>52051</v>
      </c>
      <c r="J15620" s="0" t="s">
        <v>52052</v>
      </c>
      <c r="K15620" s="0" t="s">
        <v>52053</v>
      </c>
      <c r="L15620" s="0" t="str">
        <f aca="false">HYPERLINK("https://www.ncbi.nlm.nih.gov/nuccore/CP000304.1?report=graph&amp;tracks=[key:gene_model_track,Options:GeneOnly]&amp;mk=4425240:4425259|offset_10|444444,4425195:4425214|offset_55|444444,4425164:4425183|offset_86|444444,4425135:4425154|offset_115|00cc00&amp;v=4425039:4425354&amp;c=444444", "offset 115")</f>
        <v>offset 115</v>
      </c>
    </row>
    <row r="15621" customFormat="false" ht="12.8" hidden="false" customHeight="false" outlineLevel="0" collapsed="false">
      <c r="A15621" s="0" t="s">
        <v>12</v>
      </c>
      <c r="B15621" s="0" t="n">
        <v>4425759</v>
      </c>
      <c r="C15621" s="0" t="n">
        <v>4425779</v>
      </c>
      <c r="D15621" s="0" t="s">
        <v>52054</v>
      </c>
      <c r="E15621" s="0" t="s">
        <v>89</v>
      </c>
      <c r="F15621" s="0" t="s">
        <v>90</v>
      </c>
      <c r="G15621" s="0" t="s">
        <v>16</v>
      </c>
      <c r="H15621" s="0" t="n">
        <v>14</v>
      </c>
      <c r="I15621" s="0" t="s">
        <v>52055</v>
      </c>
      <c r="J15621" s="0" t="s">
        <v>52056</v>
      </c>
      <c r="K15621" s="0" t="s">
        <v>52057</v>
      </c>
      <c r="L15621" s="0" t="str">
        <f aca="false">HYPERLINK("https://www.ncbi.nlm.nih.gov/nuccore/CP000304.1?report=graph&amp;tracks=[key:gene_model_track,Options:GeneOnly]&amp;mk=4425760:4425779|offset_14|00cc00,4425739:4425758|offset_35|444444,4425689:4425708|offset_85|444444,4425659:4425678|offset_115|444444&amp;v=4425559:4425878&amp;c=444444", "offset 14")</f>
        <v>offset 14</v>
      </c>
    </row>
    <row r="15622" customFormat="false" ht="12.8" hidden="false" customHeight="false" outlineLevel="0" collapsed="false">
      <c r="A15622" s="0" t="s">
        <v>12</v>
      </c>
      <c r="B15622" s="0" t="n">
        <v>4425738</v>
      </c>
      <c r="C15622" s="0" t="n">
        <v>4425758</v>
      </c>
      <c r="D15622" s="0" t="s">
        <v>52054</v>
      </c>
      <c r="E15622" s="0" t="s">
        <v>89</v>
      </c>
      <c r="F15622" s="0" t="s">
        <v>90</v>
      </c>
      <c r="G15622" s="0" t="s">
        <v>16</v>
      </c>
      <c r="H15622" s="0" t="n">
        <v>35</v>
      </c>
      <c r="I15622" s="0" t="s">
        <v>52058</v>
      </c>
      <c r="J15622" s="0" t="s">
        <v>52059</v>
      </c>
      <c r="K15622" s="0" t="s">
        <v>52060</v>
      </c>
      <c r="L15622" s="0" t="str">
        <f aca="false">HYPERLINK("https://www.ncbi.nlm.nih.gov/nuccore/CP000304.1?report=graph&amp;tracks=[key:gene_model_track,Options:GeneOnly]&amp;mk=4425760:4425779|offset_14|444444,4425739:4425758|offset_35|00cc00,4425689:4425708|offset_85|444444,4425659:4425678|offset_115|444444&amp;v=4425559:4425878&amp;c=444444", "offset 35")</f>
        <v>offset 35</v>
      </c>
    </row>
    <row r="15623" customFormat="false" ht="12.8" hidden="false" customHeight="false" outlineLevel="0" collapsed="false">
      <c r="A15623" s="0" t="s">
        <v>12</v>
      </c>
      <c r="B15623" s="0" t="n">
        <v>4425688</v>
      </c>
      <c r="C15623" s="0" t="n">
        <v>4425708</v>
      </c>
      <c r="D15623" s="0" t="s">
        <v>52054</v>
      </c>
      <c r="E15623" s="0" t="s">
        <v>89</v>
      </c>
      <c r="F15623" s="0" t="s">
        <v>90</v>
      </c>
      <c r="G15623" s="0" t="s">
        <v>26</v>
      </c>
      <c r="H15623" s="0" t="n">
        <v>85</v>
      </c>
      <c r="I15623" s="0" t="s">
        <v>52061</v>
      </c>
      <c r="J15623" s="0" t="s">
        <v>52062</v>
      </c>
      <c r="K15623" s="0" t="s">
        <v>52063</v>
      </c>
      <c r="L15623" s="0" t="str">
        <f aca="false">HYPERLINK("https://www.ncbi.nlm.nih.gov/nuccore/CP000304.1?report=graph&amp;tracks=[key:gene_model_track,Options:GeneOnly]&amp;mk=4425760:4425779|offset_14|444444,4425739:4425758|offset_35|444444,4425689:4425708|offset_85|00cc00,4425659:4425678|offset_115|444444&amp;v=4425559:4425878&amp;c=444444", "offset 85")</f>
        <v>offset 85</v>
      </c>
    </row>
    <row r="15624" customFormat="false" ht="12.8" hidden="false" customHeight="false" outlineLevel="0" collapsed="false">
      <c r="A15624" s="0" t="s">
        <v>12</v>
      </c>
      <c r="B15624" s="0" t="n">
        <v>4425658</v>
      </c>
      <c r="C15624" s="0" t="n">
        <v>4425678</v>
      </c>
      <c r="D15624" s="0" t="s">
        <v>52054</v>
      </c>
      <c r="E15624" s="0" t="s">
        <v>89</v>
      </c>
      <c r="F15624" s="0" t="s">
        <v>90</v>
      </c>
      <c r="G15624" s="0" t="s">
        <v>16</v>
      </c>
      <c r="H15624" s="0" t="n">
        <v>115</v>
      </c>
      <c r="I15624" s="0" t="s">
        <v>52064</v>
      </c>
      <c r="J15624" s="0" t="s">
        <v>52065</v>
      </c>
      <c r="K15624" s="0" t="s">
        <v>52066</v>
      </c>
      <c r="L15624" s="0" t="str">
        <f aca="false">HYPERLINK("https://www.ncbi.nlm.nih.gov/nuccore/CP000304.1?report=graph&amp;tracks=[key:gene_model_track,Options:GeneOnly]&amp;mk=4425760:4425779|offset_14|444444,4425739:4425758|offset_35|444444,4425689:4425708|offset_85|444444,4425659:4425678|offset_115|00cc00&amp;v=4425559:4425878&amp;c=444444", "offset 115")</f>
        <v>offset 115</v>
      </c>
    </row>
    <row r="15625" customFormat="false" ht="12.8" hidden="false" customHeight="false" outlineLevel="0" collapsed="false">
      <c r="A15625" s="0" t="s">
        <v>12</v>
      </c>
      <c r="B15625" s="0" t="n">
        <v>4426930</v>
      </c>
      <c r="C15625" s="0" t="n">
        <v>4426950</v>
      </c>
      <c r="D15625" s="0" t="s">
        <v>52067</v>
      </c>
      <c r="E15625" s="0" t="s">
        <v>52068</v>
      </c>
      <c r="F15625" s="0" t="s">
        <v>90</v>
      </c>
      <c r="G15625" s="0" t="s">
        <v>26</v>
      </c>
      <c r="H15625" s="0" t="n">
        <v>11</v>
      </c>
      <c r="I15625" s="0" t="s">
        <v>52069</v>
      </c>
      <c r="J15625" s="0" t="s">
        <v>52070</v>
      </c>
      <c r="K15625" s="0" t="s">
        <v>52071</v>
      </c>
      <c r="L15625" s="0" t="str">
        <f aca="false">HYPERLINK("https://www.ncbi.nlm.nih.gov/nuccore/CP000304.1?report=graph&amp;tracks=[key:gene_model_track,Options:GeneOnly]&amp;mk=4426931:4426950|offset_11|00cc00,4426895:4426914|offset_47|444444,4426869:4426888|offset_73|444444,4426847:4426866|offset_95|444444&amp;v=4426730:4427066&amp;c=444444", "offset 11")</f>
        <v>offset 11</v>
      </c>
    </row>
    <row r="15626" customFormat="false" ht="12.8" hidden="false" customHeight="false" outlineLevel="0" collapsed="false">
      <c r="A15626" s="0" t="s">
        <v>12</v>
      </c>
      <c r="B15626" s="0" t="n">
        <v>4426894</v>
      </c>
      <c r="C15626" s="0" t="n">
        <v>4426914</v>
      </c>
      <c r="D15626" s="0" t="s">
        <v>52067</v>
      </c>
      <c r="E15626" s="0" t="s">
        <v>52068</v>
      </c>
      <c r="F15626" s="0" t="s">
        <v>90</v>
      </c>
      <c r="G15626" s="0" t="s">
        <v>26</v>
      </c>
      <c r="H15626" s="0" t="n">
        <v>47</v>
      </c>
      <c r="I15626" s="0" t="s">
        <v>52072</v>
      </c>
      <c r="J15626" s="0" t="s">
        <v>52073</v>
      </c>
      <c r="K15626" s="0" t="s">
        <v>52074</v>
      </c>
      <c r="L15626" s="0" t="str">
        <f aca="false">HYPERLINK("https://www.ncbi.nlm.nih.gov/nuccore/CP000304.1?report=graph&amp;tracks=[key:gene_model_track,Options:GeneOnly]&amp;mk=4426931:4426950|offset_11|444444,4426895:4426914|offset_47|00cc00,4426869:4426888|offset_73|444444,4426847:4426866|offset_95|444444&amp;v=4426730:4427066&amp;c=444444", "offset 47")</f>
        <v>offset 47</v>
      </c>
    </row>
    <row r="15627" customFormat="false" ht="12.8" hidden="false" customHeight="false" outlineLevel="0" collapsed="false">
      <c r="A15627" s="0" t="s">
        <v>12</v>
      </c>
      <c r="B15627" s="0" t="n">
        <v>4426868</v>
      </c>
      <c r="C15627" s="0" t="n">
        <v>4426888</v>
      </c>
      <c r="D15627" s="0" t="s">
        <v>52067</v>
      </c>
      <c r="E15627" s="0" t="s">
        <v>52068</v>
      </c>
      <c r="F15627" s="0" t="s">
        <v>90</v>
      </c>
      <c r="G15627" s="0" t="s">
        <v>36</v>
      </c>
      <c r="H15627" s="0" t="n">
        <v>73</v>
      </c>
      <c r="I15627" s="0" t="s">
        <v>52075</v>
      </c>
      <c r="J15627" s="0" t="s">
        <v>52076</v>
      </c>
      <c r="K15627" s="0" t="s">
        <v>52077</v>
      </c>
      <c r="L15627" s="0" t="str">
        <f aca="false">HYPERLINK("https://www.ncbi.nlm.nih.gov/nuccore/CP000304.1?report=graph&amp;tracks=[key:gene_model_track,Options:GeneOnly]&amp;mk=4426931:4426950|offset_11|444444,4426895:4426914|offset_47|444444,4426869:4426888|offset_73|00cc00,4426847:4426866|offset_95|444444&amp;v=4426730:4427066&amp;c=444444", "offset 73")</f>
        <v>offset 73</v>
      </c>
    </row>
    <row r="15628" customFormat="false" ht="12.8" hidden="false" customHeight="false" outlineLevel="0" collapsed="false">
      <c r="A15628" s="0" t="s">
        <v>12</v>
      </c>
      <c r="B15628" s="0" t="n">
        <v>4426846</v>
      </c>
      <c r="C15628" s="0" t="n">
        <v>4426866</v>
      </c>
      <c r="D15628" s="0" t="s">
        <v>52067</v>
      </c>
      <c r="E15628" s="0" t="s">
        <v>52068</v>
      </c>
      <c r="F15628" s="0" t="s">
        <v>90</v>
      </c>
      <c r="G15628" s="0" t="s">
        <v>32</v>
      </c>
      <c r="H15628" s="0" t="n">
        <v>95</v>
      </c>
      <c r="I15628" s="0" t="s">
        <v>52078</v>
      </c>
      <c r="J15628" s="0" t="s">
        <v>52079</v>
      </c>
      <c r="K15628" s="0" t="s">
        <v>52080</v>
      </c>
      <c r="L15628" s="0" t="str">
        <f aca="false">HYPERLINK("https://www.ncbi.nlm.nih.gov/nuccore/CP000304.1?report=graph&amp;tracks=[key:gene_model_track,Options:GeneOnly]&amp;mk=4426931:4426950|offset_11|444444,4426895:4426914|offset_47|444444,4426869:4426888|offset_73|444444,4426847:4426866|offset_95|00cc00&amp;v=4426730:4427066&amp;c=444444", "offset 95")</f>
        <v>offset 95</v>
      </c>
    </row>
    <row r="15629" customFormat="false" ht="12.8" hidden="false" customHeight="false" outlineLevel="0" collapsed="false">
      <c r="A15629" s="0" t="s">
        <v>12</v>
      </c>
      <c r="B15629" s="0" t="n">
        <v>4428209</v>
      </c>
      <c r="C15629" s="0" t="n">
        <v>4428229</v>
      </c>
      <c r="D15629" s="0" t="s">
        <v>52081</v>
      </c>
      <c r="E15629" s="0" t="s">
        <v>52082</v>
      </c>
      <c r="F15629" s="0" t="s">
        <v>90</v>
      </c>
      <c r="G15629" s="0" t="s">
        <v>36</v>
      </c>
      <c r="H15629" s="0" t="n">
        <v>18</v>
      </c>
      <c r="I15629" s="0" t="s">
        <v>52083</v>
      </c>
      <c r="J15629" s="0" t="s">
        <v>52084</v>
      </c>
      <c r="K15629" s="0" t="s">
        <v>52085</v>
      </c>
      <c r="L15629" s="0" t="str">
        <f aca="false">HYPERLINK("https://www.ncbi.nlm.nih.gov/nuccore/CP000304.1?report=graph&amp;tracks=[key:gene_model_track,Options:GeneOnly]&amp;mk=4428210:4428229|offset_18|00cc00,4428189:4428208|offset_39|444444,4428169:4428188|offset_59|444444,4428142:4428161|offset_86|444444&amp;v=4428009:4428361&amp;c=444444", "offset 18")</f>
        <v>offset 18</v>
      </c>
    </row>
    <row r="15630" customFormat="false" ht="12.8" hidden="false" customHeight="false" outlineLevel="0" collapsed="false">
      <c r="A15630" s="0" t="s">
        <v>12</v>
      </c>
      <c r="B15630" s="0" t="n">
        <v>4428188</v>
      </c>
      <c r="C15630" s="0" t="n">
        <v>4428208</v>
      </c>
      <c r="D15630" s="0" t="s">
        <v>52081</v>
      </c>
      <c r="E15630" s="0" t="s">
        <v>52082</v>
      </c>
      <c r="F15630" s="0" t="s">
        <v>90</v>
      </c>
      <c r="G15630" s="0" t="s">
        <v>16</v>
      </c>
      <c r="H15630" s="0" t="n">
        <v>39</v>
      </c>
      <c r="I15630" s="0" t="s">
        <v>52086</v>
      </c>
      <c r="J15630" s="0" t="s">
        <v>52087</v>
      </c>
      <c r="K15630" s="0" t="s">
        <v>52088</v>
      </c>
      <c r="L15630" s="0" t="str">
        <f aca="false">HYPERLINK("https://www.ncbi.nlm.nih.gov/nuccore/CP000304.1?report=graph&amp;tracks=[key:gene_model_track,Options:GeneOnly]&amp;mk=4428210:4428229|offset_18|444444,4428189:4428208|offset_39|00cc00,4428169:4428188|offset_59|444444,4428142:4428161|offset_86|444444&amp;v=4428009:4428361&amp;c=444444", "offset 39")</f>
        <v>offset 39</v>
      </c>
    </row>
    <row r="15631" customFormat="false" ht="12.8" hidden="false" customHeight="false" outlineLevel="0" collapsed="false">
      <c r="A15631" s="0" t="s">
        <v>12</v>
      </c>
      <c r="B15631" s="0" t="n">
        <v>4428168</v>
      </c>
      <c r="C15631" s="0" t="n">
        <v>4428188</v>
      </c>
      <c r="D15631" s="0" t="s">
        <v>52081</v>
      </c>
      <c r="E15631" s="0" t="s">
        <v>52082</v>
      </c>
      <c r="F15631" s="0" t="s">
        <v>90</v>
      </c>
      <c r="G15631" s="0" t="s">
        <v>16</v>
      </c>
      <c r="H15631" s="0" t="n">
        <v>59</v>
      </c>
      <c r="I15631" s="0" t="s">
        <v>52089</v>
      </c>
      <c r="J15631" s="0" t="s">
        <v>52090</v>
      </c>
      <c r="K15631" s="0" t="s">
        <v>52091</v>
      </c>
      <c r="L15631" s="0" t="str">
        <f aca="false">HYPERLINK("https://www.ncbi.nlm.nih.gov/nuccore/CP000304.1?report=graph&amp;tracks=[key:gene_model_track,Options:GeneOnly]&amp;mk=4428210:4428229|offset_18|444444,4428189:4428208|offset_39|444444,4428169:4428188|offset_59|00cc00,4428142:4428161|offset_86|444444&amp;v=4428009:4428361&amp;c=444444", "offset 59")</f>
        <v>offset 59</v>
      </c>
    </row>
    <row r="15632" customFormat="false" ht="12.8" hidden="false" customHeight="false" outlineLevel="0" collapsed="false">
      <c r="A15632" s="0" t="s">
        <v>12</v>
      </c>
      <c r="B15632" s="0" t="n">
        <v>4428141</v>
      </c>
      <c r="C15632" s="0" t="n">
        <v>4428161</v>
      </c>
      <c r="D15632" s="0" t="s">
        <v>52081</v>
      </c>
      <c r="E15632" s="0" t="s">
        <v>52082</v>
      </c>
      <c r="F15632" s="0" t="s">
        <v>90</v>
      </c>
      <c r="G15632" s="0" t="s">
        <v>16</v>
      </c>
      <c r="H15632" s="0" t="n">
        <v>86</v>
      </c>
      <c r="I15632" s="0" t="s">
        <v>52092</v>
      </c>
      <c r="J15632" s="0" t="s">
        <v>52093</v>
      </c>
      <c r="K15632" s="0" t="s">
        <v>52094</v>
      </c>
      <c r="L15632" s="0" t="str">
        <f aca="false">HYPERLINK("https://www.ncbi.nlm.nih.gov/nuccore/CP000304.1?report=graph&amp;tracks=[key:gene_model_track,Options:GeneOnly]&amp;mk=4428210:4428229|offset_18|444444,4428189:4428208|offset_39|444444,4428169:4428188|offset_59|444444,4428142:4428161|offset_86|00cc00&amp;v=4428009:4428361&amp;c=444444", "offset 86")</f>
        <v>offset 86</v>
      </c>
    </row>
    <row r="15633" customFormat="false" ht="12.8" hidden="false" customHeight="false" outlineLevel="0" collapsed="false">
      <c r="A15633" s="0" t="s">
        <v>12</v>
      </c>
      <c r="B15633" s="0" t="n">
        <v>4428860</v>
      </c>
      <c r="C15633" s="0" t="n">
        <v>4428880</v>
      </c>
      <c r="D15633" s="0" t="s">
        <v>52095</v>
      </c>
      <c r="E15633" s="0" t="s">
        <v>89</v>
      </c>
      <c r="F15633" s="0" t="s">
        <v>90</v>
      </c>
      <c r="G15633" s="0" t="s">
        <v>16</v>
      </c>
      <c r="H15633" s="0" t="n">
        <v>1</v>
      </c>
      <c r="I15633" s="0" t="s">
        <v>52096</v>
      </c>
      <c r="J15633" s="0" t="s">
        <v>52097</v>
      </c>
      <c r="K15633" s="0" t="s">
        <v>52098</v>
      </c>
      <c r="L15633" s="0" t="str">
        <f aca="false">HYPERLINK("https://www.ncbi.nlm.nih.gov/nuccore/CP000304.1?report=graph&amp;tracks=[key:gene_model_track,Options:GeneOnly]&amp;mk=4428861:4428880|offset_1|00cc00,4428840:4428859|offset_22|444444,4428810:4428829|offset_52|444444,4428790:4428809|offset_72|444444&amp;v=4428660:4429009&amp;c=444444", "offset 1")</f>
        <v>offset 1</v>
      </c>
    </row>
    <row r="15634" customFormat="false" ht="12.8" hidden="false" customHeight="false" outlineLevel="0" collapsed="false">
      <c r="A15634" s="0" t="s">
        <v>12</v>
      </c>
      <c r="B15634" s="0" t="n">
        <v>4428839</v>
      </c>
      <c r="C15634" s="0" t="n">
        <v>4428859</v>
      </c>
      <c r="D15634" s="0" t="s">
        <v>52095</v>
      </c>
      <c r="E15634" s="0" t="s">
        <v>89</v>
      </c>
      <c r="F15634" s="0" t="s">
        <v>90</v>
      </c>
      <c r="G15634" s="0" t="s">
        <v>32</v>
      </c>
      <c r="H15634" s="0" t="n">
        <v>22</v>
      </c>
      <c r="I15634" s="0" t="s">
        <v>52099</v>
      </c>
      <c r="J15634" s="0" t="s">
        <v>52100</v>
      </c>
      <c r="K15634" s="0" t="s">
        <v>52101</v>
      </c>
      <c r="L15634" s="0" t="str">
        <f aca="false">HYPERLINK("https://www.ncbi.nlm.nih.gov/nuccore/CP000304.1?report=graph&amp;tracks=[key:gene_model_track,Options:GeneOnly]&amp;mk=4428861:4428880|offset_1|444444,4428840:4428859|offset_22|00cc00,4428810:4428829|offset_52|444444,4428790:4428809|offset_72|444444&amp;v=4428660:4429009&amp;c=444444", "offset 22")</f>
        <v>offset 22</v>
      </c>
    </row>
    <row r="15635" customFormat="false" ht="12.8" hidden="false" customHeight="false" outlineLevel="0" collapsed="false">
      <c r="A15635" s="0" t="s">
        <v>12</v>
      </c>
      <c r="B15635" s="0" t="n">
        <v>4428809</v>
      </c>
      <c r="C15635" s="0" t="n">
        <v>4428829</v>
      </c>
      <c r="D15635" s="0" t="s">
        <v>52095</v>
      </c>
      <c r="E15635" s="0" t="s">
        <v>89</v>
      </c>
      <c r="F15635" s="0" t="s">
        <v>90</v>
      </c>
      <c r="G15635" s="0" t="s">
        <v>32</v>
      </c>
      <c r="H15635" s="0" t="n">
        <v>52</v>
      </c>
      <c r="I15635" s="0" t="s">
        <v>52102</v>
      </c>
      <c r="J15635" s="0" t="s">
        <v>52103</v>
      </c>
      <c r="K15635" s="0" t="s">
        <v>52104</v>
      </c>
      <c r="L15635" s="0" t="str">
        <f aca="false">HYPERLINK("https://www.ncbi.nlm.nih.gov/nuccore/CP000304.1?report=graph&amp;tracks=[key:gene_model_track,Options:GeneOnly]&amp;mk=4428861:4428880|offset_1|444444,4428840:4428859|offset_22|444444,4428810:4428829|offset_52|00cc00,4428790:4428809|offset_72|444444&amp;v=4428660:4429009&amp;c=444444", "offset 52")</f>
        <v>offset 52</v>
      </c>
    </row>
    <row r="15636" customFormat="false" ht="12.8" hidden="false" customHeight="false" outlineLevel="0" collapsed="false">
      <c r="A15636" s="0" t="s">
        <v>12</v>
      </c>
      <c r="B15636" s="0" t="n">
        <v>4428789</v>
      </c>
      <c r="C15636" s="0" t="n">
        <v>4428809</v>
      </c>
      <c r="D15636" s="0" t="s">
        <v>52095</v>
      </c>
      <c r="E15636" s="0" t="s">
        <v>89</v>
      </c>
      <c r="F15636" s="0" t="s">
        <v>90</v>
      </c>
      <c r="G15636" s="0" t="s">
        <v>32</v>
      </c>
      <c r="H15636" s="0" t="n">
        <v>72</v>
      </c>
      <c r="I15636" s="0" t="s">
        <v>52105</v>
      </c>
      <c r="J15636" s="0" t="s">
        <v>52106</v>
      </c>
      <c r="K15636" s="0" t="s">
        <v>52107</v>
      </c>
      <c r="L15636" s="0" t="str">
        <f aca="false">HYPERLINK("https://www.ncbi.nlm.nih.gov/nuccore/CP000304.1?report=graph&amp;tracks=[key:gene_model_track,Options:GeneOnly]&amp;mk=4428861:4428880|offset_1|444444,4428840:4428859|offset_22|444444,4428810:4428829|offset_52|444444,4428790:4428809|offset_72|00cc00&amp;v=4428660:4429009&amp;c=444444", "offset 72")</f>
        <v>offset 72</v>
      </c>
    </row>
    <row r="15637" customFormat="false" ht="12.8" hidden="false" customHeight="false" outlineLevel="0" collapsed="false">
      <c r="A15637" s="0" t="s">
        <v>12</v>
      </c>
      <c r="B15637" s="0" t="n">
        <v>4428996</v>
      </c>
      <c r="C15637" s="0" t="n">
        <v>4429016</v>
      </c>
      <c r="D15637" s="0" t="s">
        <v>52108</v>
      </c>
      <c r="E15637" s="0" t="s">
        <v>89</v>
      </c>
      <c r="F15637" s="0" t="s">
        <v>15</v>
      </c>
      <c r="G15637" s="0" t="s">
        <v>36</v>
      </c>
      <c r="H15637" s="0" t="n">
        <v>0</v>
      </c>
      <c r="I15637" s="0" t="s">
        <v>52109</v>
      </c>
      <c r="J15637" s="0" t="s">
        <v>52110</v>
      </c>
      <c r="K15637" s="0" t="s">
        <v>52111</v>
      </c>
      <c r="L15637" s="0" t="str">
        <f aca="false">HYPERLINK("https://www.ncbi.nlm.nih.gov/nuccore/CP000304.1?report=graph&amp;tracks=[key:gene_model_track,Options:GeneOnly]&amp;mk=4428997:4429016|offset_0|00cc00,4429028:4429047|offset_31|444444,4429080:4429099|offset_83|444444,4429106:4429125|offset_109|444444&amp;v=4428796:4429325&amp;c=444444", "offset 0")</f>
        <v>offset 0</v>
      </c>
    </row>
    <row r="15638" customFormat="false" ht="12.8" hidden="false" customHeight="false" outlineLevel="0" collapsed="false">
      <c r="A15638" s="0" t="s">
        <v>12</v>
      </c>
      <c r="B15638" s="0" t="n">
        <v>4429027</v>
      </c>
      <c r="C15638" s="0" t="n">
        <v>4429047</v>
      </c>
      <c r="D15638" s="0" t="s">
        <v>52108</v>
      </c>
      <c r="E15638" s="0" t="s">
        <v>89</v>
      </c>
      <c r="F15638" s="0" t="s">
        <v>15</v>
      </c>
      <c r="G15638" s="0" t="s">
        <v>16</v>
      </c>
      <c r="H15638" s="0" t="n">
        <v>31</v>
      </c>
      <c r="I15638" s="0" t="s">
        <v>52112</v>
      </c>
      <c r="J15638" s="0" t="s">
        <v>52113</v>
      </c>
      <c r="K15638" s="0" t="s">
        <v>52114</v>
      </c>
      <c r="L15638" s="0" t="str">
        <f aca="false">HYPERLINK("https://www.ncbi.nlm.nih.gov/nuccore/CP000304.1?report=graph&amp;tracks=[key:gene_model_track,Options:GeneOnly]&amp;mk=4428997:4429016|offset_0|444444,4429028:4429047|offset_31|00cc00,4429080:4429099|offset_83|444444,4429106:4429125|offset_109|444444&amp;v=4428796:4429325&amp;c=444444", "offset 31")</f>
        <v>offset 31</v>
      </c>
    </row>
    <row r="15639" customFormat="false" ht="12.8" hidden="false" customHeight="false" outlineLevel="0" collapsed="false">
      <c r="A15639" s="0" t="s">
        <v>12</v>
      </c>
      <c r="B15639" s="0" t="n">
        <v>4429079</v>
      </c>
      <c r="C15639" s="0" t="n">
        <v>4429099</v>
      </c>
      <c r="D15639" s="0" t="s">
        <v>52108</v>
      </c>
      <c r="E15639" s="0" t="s">
        <v>89</v>
      </c>
      <c r="F15639" s="0" t="s">
        <v>15</v>
      </c>
      <c r="G15639" s="0" t="s">
        <v>32</v>
      </c>
      <c r="H15639" s="0" t="n">
        <v>83</v>
      </c>
      <c r="I15639" s="0" t="s">
        <v>52115</v>
      </c>
      <c r="J15639" s="0" t="s">
        <v>52116</v>
      </c>
      <c r="K15639" s="0" t="s">
        <v>52117</v>
      </c>
      <c r="L15639" s="0" t="str">
        <f aca="false">HYPERLINK("https://www.ncbi.nlm.nih.gov/nuccore/CP000304.1?report=graph&amp;tracks=[key:gene_model_track,Options:GeneOnly]&amp;mk=4428997:4429016|offset_0|444444,4429028:4429047|offset_31|444444,4429080:4429099|offset_83|00cc00,4429106:4429125|offset_109|444444&amp;v=4428796:4429325&amp;c=444444", "offset 83")</f>
        <v>offset 83</v>
      </c>
    </row>
    <row r="15640" customFormat="false" ht="12.8" hidden="false" customHeight="false" outlineLevel="0" collapsed="false">
      <c r="A15640" s="0" t="s">
        <v>12</v>
      </c>
      <c r="B15640" s="0" t="n">
        <v>4429105</v>
      </c>
      <c r="C15640" s="0" t="n">
        <v>4429125</v>
      </c>
      <c r="D15640" s="0" t="s">
        <v>52108</v>
      </c>
      <c r="E15640" s="0" t="s">
        <v>89</v>
      </c>
      <c r="F15640" s="0" t="s">
        <v>15</v>
      </c>
      <c r="G15640" s="0" t="s">
        <v>26</v>
      </c>
      <c r="H15640" s="0" t="n">
        <v>109</v>
      </c>
      <c r="I15640" s="0" t="s">
        <v>52118</v>
      </c>
      <c r="J15640" s="0" t="s">
        <v>52119</v>
      </c>
      <c r="K15640" s="0" t="s">
        <v>52120</v>
      </c>
      <c r="L15640" s="0" t="str">
        <f aca="false">HYPERLINK("https://www.ncbi.nlm.nih.gov/nuccore/CP000304.1?report=graph&amp;tracks=[key:gene_model_track,Options:GeneOnly]&amp;mk=4428997:4429016|offset_0|444444,4429028:4429047|offset_31|444444,4429080:4429099|offset_83|444444,4429106:4429125|offset_109|00cc00&amp;v=4428796:4429325&amp;c=444444", "offset 109")</f>
        <v>offset 109</v>
      </c>
    </row>
    <row r="15641" customFormat="false" ht="12.8" hidden="false" customHeight="false" outlineLevel="0" collapsed="false">
      <c r="A15641" s="0" t="s">
        <v>12</v>
      </c>
      <c r="B15641" s="0" t="n">
        <v>4429839</v>
      </c>
      <c r="C15641" s="0" t="n">
        <v>4429859</v>
      </c>
      <c r="D15641" s="0" t="s">
        <v>52121</v>
      </c>
      <c r="E15641" s="0" t="s">
        <v>89</v>
      </c>
      <c r="F15641" s="0" t="s">
        <v>15</v>
      </c>
      <c r="G15641" s="0" t="s">
        <v>16</v>
      </c>
      <c r="H15641" s="0" t="n">
        <v>0</v>
      </c>
      <c r="I15641" s="0" t="s">
        <v>52122</v>
      </c>
      <c r="J15641" s="0" t="s">
        <v>52123</v>
      </c>
      <c r="K15641" s="0" t="s">
        <v>52124</v>
      </c>
      <c r="L15641" s="0" t="str">
        <f aca="false">HYPERLINK("https://www.ncbi.nlm.nih.gov/nuccore/CP000304.1?report=graph&amp;tracks=[key:gene_model_track,Options:GeneOnly]&amp;mk=4429840:4429859|offset_0|00cc00,4429860:4429879|offset_20|444444,4429893:4429912|offset_53|444444,4429916:4429935|offset_76|444444&amp;v=4429639:4430135&amp;c=444444", "offset 0")</f>
        <v>offset 0</v>
      </c>
    </row>
    <row r="15642" customFormat="false" ht="12.8" hidden="false" customHeight="false" outlineLevel="0" collapsed="false">
      <c r="A15642" s="0" t="s">
        <v>12</v>
      </c>
      <c r="B15642" s="0" t="n">
        <v>4429859</v>
      </c>
      <c r="C15642" s="0" t="n">
        <v>4429879</v>
      </c>
      <c r="D15642" s="0" t="s">
        <v>52121</v>
      </c>
      <c r="E15642" s="0" t="s">
        <v>89</v>
      </c>
      <c r="F15642" s="0" t="s">
        <v>15</v>
      </c>
      <c r="G15642" s="0" t="s">
        <v>26</v>
      </c>
      <c r="H15642" s="0" t="n">
        <v>20</v>
      </c>
      <c r="I15642" s="0" t="s">
        <v>52125</v>
      </c>
      <c r="J15642" s="0" t="s">
        <v>52126</v>
      </c>
      <c r="K15642" s="0" t="s">
        <v>52127</v>
      </c>
      <c r="L15642" s="0" t="str">
        <f aca="false">HYPERLINK("https://www.ncbi.nlm.nih.gov/nuccore/CP000304.1?report=graph&amp;tracks=[key:gene_model_track,Options:GeneOnly]&amp;mk=4429840:4429859|offset_0|444444,4429860:4429879|offset_20|00cc00,4429893:4429912|offset_53|444444,4429916:4429935|offset_76|444444&amp;v=4429639:4430135&amp;c=444444", "offset 20")</f>
        <v>offset 20</v>
      </c>
    </row>
    <row r="15643" customFormat="false" ht="12.8" hidden="false" customHeight="false" outlineLevel="0" collapsed="false">
      <c r="A15643" s="0" t="s">
        <v>12</v>
      </c>
      <c r="B15643" s="0" t="n">
        <v>4429892</v>
      </c>
      <c r="C15643" s="0" t="n">
        <v>4429912</v>
      </c>
      <c r="D15643" s="0" t="s">
        <v>52121</v>
      </c>
      <c r="E15643" s="0" t="s">
        <v>89</v>
      </c>
      <c r="F15643" s="0" t="s">
        <v>15</v>
      </c>
      <c r="G15643" s="0" t="s">
        <v>32</v>
      </c>
      <c r="H15643" s="0" t="n">
        <v>53</v>
      </c>
      <c r="I15643" s="0" t="s">
        <v>52128</v>
      </c>
      <c r="J15643" s="0" t="s">
        <v>52129</v>
      </c>
      <c r="K15643" s="0" t="s">
        <v>52130</v>
      </c>
      <c r="L15643" s="0" t="str">
        <f aca="false">HYPERLINK("https://www.ncbi.nlm.nih.gov/nuccore/CP000304.1?report=graph&amp;tracks=[key:gene_model_track,Options:GeneOnly]&amp;mk=4429840:4429859|offset_0|444444,4429860:4429879|offset_20|444444,4429893:4429912|offset_53|00cc00,4429916:4429935|offset_76|444444&amp;v=4429639:4430135&amp;c=444444", "offset 53")</f>
        <v>offset 53</v>
      </c>
    </row>
    <row r="15644" customFormat="false" ht="12.8" hidden="false" customHeight="false" outlineLevel="0" collapsed="false">
      <c r="A15644" s="0" t="s">
        <v>12</v>
      </c>
      <c r="B15644" s="0" t="n">
        <v>4429915</v>
      </c>
      <c r="C15644" s="0" t="n">
        <v>4429935</v>
      </c>
      <c r="D15644" s="0" t="s">
        <v>52121</v>
      </c>
      <c r="E15644" s="0" t="s">
        <v>89</v>
      </c>
      <c r="F15644" s="0" t="s">
        <v>15</v>
      </c>
      <c r="G15644" s="0" t="s">
        <v>16</v>
      </c>
      <c r="H15644" s="0" t="n">
        <v>76</v>
      </c>
      <c r="I15644" s="0" t="s">
        <v>52131</v>
      </c>
      <c r="J15644" s="0" t="s">
        <v>52132</v>
      </c>
      <c r="K15644" s="0" t="s">
        <v>52133</v>
      </c>
      <c r="L15644" s="0" t="str">
        <f aca="false">HYPERLINK("https://www.ncbi.nlm.nih.gov/nuccore/CP000304.1?report=graph&amp;tracks=[key:gene_model_track,Options:GeneOnly]&amp;mk=4429840:4429859|offset_0|444444,4429860:4429879|offset_20|444444,4429893:4429912|offset_53|444444,4429916:4429935|offset_76|00cc00&amp;v=4429639:4430135&amp;c=444444", "offset 76")</f>
        <v>offset 76</v>
      </c>
    </row>
    <row r="15645" customFormat="false" ht="12.8" hidden="false" customHeight="false" outlineLevel="0" collapsed="false">
      <c r="A15645" s="0" t="s">
        <v>12</v>
      </c>
      <c r="B15645" s="0" t="n">
        <v>4430588</v>
      </c>
      <c r="C15645" s="0" t="n">
        <v>4430608</v>
      </c>
      <c r="D15645" s="0" t="s">
        <v>52134</v>
      </c>
      <c r="E15645" s="0" t="s">
        <v>89</v>
      </c>
      <c r="F15645" s="0" t="s">
        <v>90</v>
      </c>
      <c r="G15645" s="0" t="s">
        <v>36</v>
      </c>
      <c r="H15645" s="0" t="n">
        <v>15</v>
      </c>
      <c r="I15645" s="0" t="s">
        <v>52135</v>
      </c>
      <c r="J15645" s="0" t="s">
        <v>52136</v>
      </c>
      <c r="K15645" s="0" t="s">
        <v>52137</v>
      </c>
      <c r="L15645" s="0" t="str">
        <f aca="false">HYPERLINK("https://www.ncbi.nlm.nih.gov/nuccore/CP000304.1?report=graph&amp;tracks=[key:gene_model_track,Options:GeneOnly]&amp;mk=4430589:4430608|offset_15|00cc00,4430554:4430573|offset_50|444444,4430521:4430540|offset_83|444444,4430498:4430517|offset_106|444444&amp;v=4430388:4430717&amp;c=444444", "offset 15")</f>
        <v>offset 15</v>
      </c>
    </row>
    <row r="15646" customFormat="false" ht="12.8" hidden="false" customHeight="false" outlineLevel="0" collapsed="false">
      <c r="A15646" s="0" t="s">
        <v>12</v>
      </c>
      <c r="B15646" s="0" t="n">
        <v>4430553</v>
      </c>
      <c r="C15646" s="0" t="n">
        <v>4430573</v>
      </c>
      <c r="D15646" s="0" t="s">
        <v>52134</v>
      </c>
      <c r="E15646" s="0" t="s">
        <v>89</v>
      </c>
      <c r="F15646" s="0" t="s">
        <v>90</v>
      </c>
      <c r="G15646" s="0" t="s">
        <v>26</v>
      </c>
      <c r="H15646" s="0" t="n">
        <v>50</v>
      </c>
      <c r="I15646" s="0" t="s">
        <v>52138</v>
      </c>
      <c r="J15646" s="0" t="s">
        <v>52139</v>
      </c>
      <c r="K15646" s="0" t="s">
        <v>52140</v>
      </c>
      <c r="L15646" s="0" t="str">
        <f aca="false">HYPERLINK("https://www.ncbi.nlm.nih.gov/nuccore/CP000304.1?report=graph&amp;tracks=[key:gene_model_track,Options:GeneOnly]&amp;mk=4430589:4430608|offset_15|444444,4430554:4430573|offset_50|00cc00,4430521:4430540|offset_83|444444,4430498:4430517|offset_106|444444&amp;v=4430388:4430717&amp;c=444444", "offset 50")</f>
        <v>offset 50</v>
      </c>
    </row>
    <row r="15647" customFormat="false" ht="12.8" hidden="false" customHeight="false" outlineLevel="0" collapsed="false">
      <c r="A15647" s="0" t="s">
        <v>12</v>
      </c>
      <c r="B15647" s="0" t="n">
        <v>4430520</v>
      </c>
      <c r="C15647" s="0" t="n">
        <v>4430540</v>
      </c>
      <c r="D15647" s="0" t="s">
        <v>52134</v>
      </c>
      <c r="E15647" s="0" t="s">
        <v>89</v>
      </c>
      <c r="F15647" s="0" t="s">
        <v>90</v>
      </c>
      <c r="G15647" s="0" t="s">
        <v>26</v>
      </c>
      <c r="H15647" s="0" t="n">
        <v>83</v>
      </c>
      <c r="I15647" s="0" t="s">
        <v>52141</v>
      </c>
      <c r="J15647" s="0" t="s">
        <v>52142</v>
      </c>
      <c r="K15647" s="0" t="s">
        <v>52143</v>
      </c>
      <c r="L15647" s="0" t="str">
        <f aca="false">HYPERLINK("https://www.ncbi.nlm.nih.gov/nuccore/CP000304.1?report=graph&amp;tracks=[key:gene_model_track,Options:GeneOnly]&amp;mk=4430589:4430608|offset_15|444444,4430554:4430573|offset_50|444444,4430521:4430540|offset_83|00cc00,4430498:4430517|offset_106|444444&amp;v=4430388:4430717&amp;c=444444", "offset 83")</f>
        <v>offset 83</v>
      </c>
    </row>
    <row r="15648" customFormat="false" ht="12.8" hidden="false" customHeight="false" outlineLevel="0" collapsed="false">
      <c r="A15648" s="0" t="s">
        <v>12</v>
      </c>
      <c r="B15648" s="0" t="n">
        <v>4430497</v>
      </c>
      <c r="C15648" s="0" t="n">
        <v>4430517</v>
      </c>
      <c r="D15648" s="0" t="s">
        <v>52134</v>
      </c>
      <c r="E15648" s="0" t="s">
        <v>89</v>
      </c>
      <c r="F15648" s="0" t="s">
        <v>90</v>
      </c>
      <c r="G15648" s="0" t="s">
        <v>16</v>
      </c>
      <c r="H15648" s="0" t="n">
        <v>106</v>
      </c>
      <c r="I15648" s="0" t="s">
        <v>52144</v>
      </c>
      <c r="J15648" s="0" t="s">
        <v>52145</v>
      </c>
      <c r="K15648" s="0" t="s">
        <v>52146</v>
      </c>
      <c r="L15648" s="0" t="str">
        <f aca="false">HYPERLINK("https://www.ncbi.nlm.nih.gov/nuccore/CP000304.1?report=graph&amp;tracks=[key:gene_model_track,Options:GeneOnly]&amp;mk=4430589:4430608|offset_15|444444,4430554:4430573|offset_50|444444,4430521:4430540|offset_83|444444,4430498:4430517|offset_106|00cc00&amp;v=4430388:4430717&amp;c=444444", "offset 106")</f>
        <v>offset 106</v>
      </c>
    </row>
    <row r="15649" customFormat="false" ht="12.8" hidden="false" customHeight="false" outlineLevel="0" collapsed="false">
      <c r="A15649" s="0" t="s">
        <v>12</v>
      </c>
      <c r="B15649" s="0" t="n">
        <v>4431675</v>
      </c>
      <c r="C15649" s="0" t="n">
        <v>4431695</v>
      </c>
      <c r="D15649" s="0" t="s">
        <v>52147</v>
      </c>
      <c r="E15649" s="0" t="s">
        <v>89</v>
      </c>
      <c r="F15649" s="0" t="s">
        <v>90</v>
      </c>
      <c r="G15649" s="0" t="s">
        <v>26</v>
      </c>
      <c r="H15649" s="0" t="n">
        <v>79</v>
      </c>
      <c r="I15649" s="0" t="s">
        <v>52148</v>
      </c>
      <c r="J15649" s="0" t="s">
        <v>52149</v>
      </c>
      <c r="K15649" s="0" t="s">
        <v>52150</v>
      </c>
      <c r="L15649" s="0" t="str">
        <f aca="false">HYPERLINK("https://www.ncbi.nlm.nih.gov/nuccore/CP000304.1?report=graph&amp;tracks=[key:gene_model_track,Options:GeneOnly]&amp;mk=4431676:4431695|offset_79|00cc00,4431648:4431667|offset_107|444444,4431624:4431643|offset_131|444444,4431598:4431617|offset_157|444444&amp;v=4431475:4431817&amp;c=444444", "offset 79")</f>
        <v>offset 79</v>
      </c>
    </row>
    <row r="15650" customFormat="false" ht="12.8" hidden="false" customHeight="false" outlineLevel="0" collapsed="false">
      <c r="A15650" s="0" t="s">
        <v>12</v>
      </c>
      <c r="B15650" s="0" t="n">
        <v>4431647</v>
      </c>
      <c r="C15650" s="0" t="n">
        <v>4431667</v>
      </c>
      <c r="D15650" s="0" t="s">
        <v>52147</v>
      </c>
      <c r="E15650" s="0" t="s">
        <v>89</v>
      </c>
      <c r="F15650" s="0" t="s">
        <v>90</v>
      </c>
      <c r="G15650" s="0" t="s">
        <v>26</v>
      </c>
      <c r="H15650" s="0" t="n">
        <v>107</v>
      </c>
      <c r="I15650" s="0" t="s">
        <v>52151</v>
      </c>
      <c r="J15650" s="0" t="s">
        <v>52152</v>
      </c>
      <c r="K15650" s="0" t="s">
        <v>52153</v>
      </c>
      <c r="L15650" s="0" t="str">
        <f aca="false">HYPERLINK("https://www.ncbi.nlm.nih.gov/nuccore/CP000304.1?report=graph&amp;tracks=[key:gene_model_track,Options:GeneOnly]&amp;mk=4431676:4431695|offset_79|444444,4431648:4431667|offset_107|00cc00,4431624:4431643|offset_131|444444,4431598:4431617|offset_157|444444&amp;v=4431475:4431817&amp;c=444444", "offset 107")</f>
        <v>offset 107</v>
      </c>
    </row>
    <row r="15651" customFormat="false" ht="12.8" hidden="false" customHeight="false" outlineLevel="0" collapsed="false">
      <c r="A15651" s="0" t="s">
        <v>12</v>
      </c>
      <c r="B15651" s="0" t="n">
        <v>4431623</v>
      </c>
      <c r="C15651" s="0" t="n">
        <v>4431643</v>
      </c>
      <c r="D15651" s="0" t="s">
        <v>52147</v>
      </c>
      <c r="E15651" s="0" t="s">
        <v>89</v>
      </c>
      <c r="F15651" s="0" t="s">
        <v>90</v>
      </c>
      <c r="G15651" s="0" t="s">
        <v>26</v>
      </c>
      <c r="H15651" s="0" t="n">
        <v>131</v>
      </c>
      <c r="I15651" s="0" t="s">
        <v>52154</v>
      </c>
      <c r="J15651" s="0" t="s">
        <v>52155</v>
      </c>
      <c r="K15651" s="0" t="s">
        <v>52156</v>
      </c>
      <c r="L15651" s="0" t="str">
        <f aca="false">HYPERLINK("https://www.ncbi.nlm.nih.gov/nuccore/CP000304.1?report=graph&amp;tracks=[key:gene_model_track,Options:GeneOnly]&amp;mk=4431676:4431695|offset_79|444444,4431648:4431667|offset_107|444444,4431624:4431643|offset_131|00cc00,4431598:4431617|offset_157|444444&amp;v=4431475:4431817&amp;c=444444", "offset 131")</f>
        <v>offset 131</v>
      </c>
    </row>
    <row r="15652" customFormat="false" ht="12.8" hidden="false" customHeight="false" outlineLevel="0" collapsed="false">
      <c r="A15652" s="0" t="s">
        <v>12</v>
      </c>
      <c r="B15652" s="0" t="n">
        <v>4431597</v>
      </c>
      <c r="C15652" s="0" t="n">
        <v>4431617</v>
      </c>
      <c r="D15652" s="0" t="s">
        <v>52147</v>
      </c>
      <c r="E15652" s="0" t="s">
        <v>89</v>
      </c>
      <c r="F15652" s="0" t="s">
        <v>90</v>
      </c>
      <c r="G15652" s="0" t="s">
        <v>32</v>
      </c>
      <c r="H15652" s="0" t="n">
        <v>157</v>
      </c>
      <c r="I15652" s="0" t="s">
        <v>52157</v>
      </c>
      <c r="J15652" s="0" t="s">
        <v>52158</v>
      </c>
      <c r="K15652" s="0" t="s">
        <v>52159</v>
      </c>
      <c r="L15652" s="0" t="str">
        <f aca="false">HYPERLINK("https://www.ncbi.nlm.nih.gov/nuccore/CP000304.1?report=graph&amp;tracks=[key:gene_model_track,Options:GeneOnly]&amp;mk=4431676:4431695|offset_79|444444,4431648:4431667|offset_107|444444,4431624:4431643|offset_131|444444,4431598:4431617|offset_157|00cc00&amp;v=4431475:4431817&amp;c=444444", "offset 157")</f>
        <v>offset 157</v>
      </c>
    </row>
    <row r="15653" customFormat="false" ht="12.8" hidden="false" customHeight="false" outlineLevel="0" collapsed="false">
      <c r="A15653" s="0" t="s">
        <v>12</v>
      </c>
      <c r="B15653" s="0" t="n">
        <v>4431798</v>
      </c>
      <c r="C15653" s="0" t="n">
        <v>4431818</v>
      </c>
      <c r="D15653" s="0" t="s">
        <v>52160</v>
      </c>
      <c r="E15653" s="0" t="s">
        <v>89</v>
      </c>
      <c r="F15653" s="0" t="s">
        <v>15</v>
      </c>
      <c r="G15653" s="0" t="s">
        <v>26</v>
      </c>
      <c r="H15653" s="0" t="n">
        <v>13</v>
      </c>
      <c r="I15653" s="0" t="s">
        <v>52161</v>
      </c>
      <c r="J15653" s="0" t="s">
        <v>52162</v>
      </c>
      <c r="K15653" s="0" t="s">
        <v>52163</v>
      </c>
      <c r="L15653" s="0" t="str">
        <f aca="false">HYPERLINK("https://www.ncbi.nlm.nih.gov/nuccore/CP000304.1?report=graph&amp;tracks=[key:gene_model_track,Options:GeneOnly]&amp;mk=4431799:4431818|offset_13|00cc00,4431829:4431848|offset_43|444444,4431849:4431868|offset_63|444444,4431869:4431888|offset_83|444444&amp;v=4431598:4432088&amp;c=444444", "offset 13")</f>
        <v>offset 13</v>
      </c>
    </row>
    <row r="15654" customFormat="false" ht="12.8" hidden="false" customHeight="false" outlineLevel="0" collapsed="false">
      <c r="A15654" s="0" t="s">
        <v>12</v>
      </c>
      <c r="B15654" s="0" t="n">
        <v>4431828</v>
      </c>
      <c r="C15654" s="0" t="n">
        <v>4431848</v>
      </c>
      <c r="D15654" s="0" t="s">
        <v>52160</v>
      </c>
      <c r="E15654" s="0" t="s">
        <v>89</v>
      </c>
      <c r="F15654" s="0" t="s">
        <v>15</v>
      </c>
      <c r="G15654" s="0" t="s">
        <v>36</v>
      </c>
      <c r="H15654" s="0" t="n">
        <v>43</v>
      </c>
      <c r="I15654" s="0" t="s">
        <v>52164</v>
      </c>
      <c r="J15654" s="0" t="s">
        <v>52165</v>
      </c>
      <c r="K15654" s="0" t="s">
        <v>52166</v>
      </c>
      <c r="L15654" s="0" t="str">
        <f aca="false">HYPERLINK("https://www.ncbi.nlm.nih.gov/nuccore/CP000304.1?report=graph&amp;tracks=[key:gene_model_track,Options:GeneOnly]&amp;mk=4431799:4431818|offset_13|444444,4431829:4431848|offset_43|00cc00,4431849:4431868|offset_63|444444,4431869:4431888|offset_83|444444&amp;v=4431598:4432088&amp;c=444444", "offset 43")</f>
        <v>offset 43</v>
      </c>
    </row>
    <row r="15655" customFormat="false" ht="12.8" hidden="false" customHeight="false" outlineLevel="0" collapsed="false">
      <c r="A15655" s="0" t="s">
        <v>12</v>
      </c>
      <c r="B15655" s="0" t="n">
        <v>4431848</v>
      </c>
      <c r="C15655" s="0" t="n">
        <v>4431868</v>
      </c>
      <c r="D15655" s="0" t="s">
        <v>52160</v>
      </c>
      <c r="E15655" s="0" t="s">
        <v>89</v>
      </c>
      <c r="F15655" s="0" t="s">
        <v>15</v>
      </c>
      <c r="G15655" s="0" t="s">
        <v>32</v>
      </c>
      <c r="H15655" s="0" t="n">
        <v>63</v>
      </c>
      <c r="I15655" s="0" t="s">
        <v>52167</v>
      </c>
      <c r="J15655" s="0" t="s">
        <v>52168</v>
      </c>
      <c r="K15655" s="0" t="s">
        <v>52169</v>
      </c>
      <c r="L15655" s="0" t="str">
        <f aca="false">HYPERLINK("https://www.ncbi.nlm.nih.gov/nuccore/CP000304.1?report=graph&amp;tracks=[key:gene_model_track,Options:GeneOnly]&amp;mk=4431799:4431818|offset_13|444444,4431829:4431848|offset_43|444444,4431849:4431868|offset_63|00cc00,4431869:4431888|offset_83|444444&amp;v=4431598:4432088&amp;c=444444", "offset 63")</f>
        <v>offset 63</v>
      </c>
    </row>
    <row r="15656" customFormat="false" ht="12.8" hidden="false" customHeight="false" outlineLevel="0" collapsed="false">
      <c r="A15656" s="0" t="s">
        <v>12</v>
      </c>
      <c r="B15656" s="0" t="n">
        <v>4431868</v>
      </c>
      <c r="C15656" s="0" t="n">
        <v>4431888</v>
      </c>
      <c r="D15656" s="0" t="s">
        <v>52160</v>
      </c>
      <c r="E15656" s="0" t="s">
        <v>89</v>
      </c>
      <c r="F15656" s="0" t="s">
        <v>15</v>
      </c>
      <c r="G15656" s="0" t="s">
        <v>16</v>
      </c>
      <c r="H15656" s="0" t="n">
        <v>83</v>
      </c>
      <c r="I15656" s="0" t="s">
        <v>52170</v>
      </c>
      <c r="J15656" s="0" t="s">
        <v>52171</v>
      </c>
      <c r="K15656" s="0" t="s">
        <v>52172</v>
      </c>
      <c r="L15656" s="0" t="str">
        <f aca="false">HYPERLINK("https://www.ncbi.nlm.nih.gov/nuccore/CP000304.1?report=graph&amp;tracks=[key:gene_model_track,Options:GeneOnly]&amp;mk=4431799:4431818|offset_13|444444,4431829:4431848|offset_43|444444,4431849:4431868|offset_63|444444,4431869:4431888|offset_83|00cc00&amp;v=4431598:4432088&amp;c=444444", "offset 83")</f>
        <v>offset 83</v>
      </c>
    </row>
    <row r="15657" customFormat="false" ht="12.8" hidden="false" customHeight="false" outlineLevel="0" collapsed="false">
      <c r="A15657" s="0" t="s">
        <v>12</v>
      </c>
      <c r="B15657" s="0" t="n">
        <v>4433396</v>
      </c>
      <c r="C15657" s="0" t="n">
        <v>4433416</v>
      </c>
      <c r="D15657" s="0" t="s">
        <v>52173</v>
      </c>
      <c r="E15657" s="0" t="s">
        <v>52174</v>
      </c>
      <c r="F15657" s="0" t="s">
        <v>90</v>
      </c>
      <c r="G15657" s="0" t="s">
        <v>16</v>
      </c>
      <c r="H15657" s="0" t="n">
        <v>7</v>
      </c>
      <c r="I15657" s="0" t="s">
        <v>52175</v>
      </c>
      <c r="J15657" s="0" t="s">
        <v>52176</v>
      </c>
      <c r="K15657" s="0" t="s">
        <v>52177</v>
      </c>
      <c r="L15657" s="0" t="str">
        <f aca="false">HYPERLINK("https://www.ncbi.nlm.nih.gov/nuccore/CP000304.1?report=graph&amp;tracks=[key:gene_model_track,Options:GeneOnly]&amp;mk=4433397:4433416|offset_7|00cc00,4433340:4433359|offset_64|444444,4433315:4433334|offset_89|444444,4433291:4433310|offset_113|444444&amp;v=4433196:4433510&amp;c=444444", "offset 7")</f>
        <v>offset 7</v>
      </c>
    </row>
    <row r="15658" customFormat="false" ht="12.8" hidden="false" customHeight="false" outlineLevel="0" collapsed="false">
      <c r="A15658" s="0" t="s">
        <v>12</v>
      </c>
      <c r="B15658" s="0" t="n">
        <v>4433339</v>
      </c>
      <c r="C15658" s="0" t="n">
        <v>4433359</v>
      </c>
      <c r="D15658" s="0" t="s">
        <v>52173</v>
      </c>
      <c r="E15658" s="0" t="s">
        <v>52174</v>
      </c>
      <c r="F15658" s="0" t="s">
        <v>90</v>
      </c>
      <c r="G15658" s="0" t="s">
        <v>36</v>
      </c>
      <c r="H15658" s="0" t="n">
        <v>64</v>
      </c>
      <c r="I15658" s="0" t="s">
        <v>52178</v>
      </c>
      <c r="J15658" s="0" t="s">
        <v>52179</v>
      </c>
      <c r="K15658" s="0" t="s">
        <v>52180</v>
      </c>
      <c r="L15658" s="0" t="str">
        <f aca="false">HYPERLINK("https://www.ncbi.nlm.nih.gov/nuccore/CP000304.1?report=graph&amp;tracks=[key:gene_model_track,Options:GeneOnly]&amp;mk=4433397:4433416|offset_7|444444,4433340:4433359|offset_64|00cc00,4433315:4433334|offset_89|444444,4433291:4433310|offset_113|444444&amp;v=4433196:4433510&amp;c=444444", "offset 64")</f>
        <v>offset 64</v>
      </c>
    </row>
    <row r="15659" customFormat="false" ht="12.8" hidden="false" customHeight="false" outlineLevel="0" collapsed="false">
      <c r="A15659" s="0" t="s">
        <v>12</v>
      </c>
      <c r="B15659" s="0" t="n">
        <v>4433314</v>
      </c>
      <c r="C15659" s="0" t="n">
        <v>4433334</v>
      </c>
      <c r="D15659" s="0" t="s">
        <v>52173</v>
      </c>
      <c r="E15659" s="0" t="s">
        <v>52174</v>
      </c>
      <c r="F15659" s="0" t="s">
        <v>90</v>
      </c>
      <c r="G15659" s="0" t="s">
        <v>26</v>
      </c>
      <c r="H15659" s="0" t="n">
        <v>89</v>
      </c>
      <c r="I15659" s="0" t="s">
        <v>52181</v>
      </c>
      <c r="J15659" s="0" t="s">
        <v>52182</v>
      </c>
      <c r="K15659" s="0" t="s">
        <v>52183</v>
      </c>
      <c r="L15659" s="0" t="str">
        <f aca="false">HYPERLINK("https://www.ncbi.nlm.nih.gov/nuccore/CP000304.1?report=graph&amp;tracks=[key:gene_model_track,Options:GeneOnly]&amp;mk=4433397:4433416|offset_7|444444,4433340:4433359|offset_64|444444,4433315:4433334|offset_89|00cc00,4433291:4433310|offset_113|444444&amp;v=4433196:4433510&amp;c=444444", "offset 89")</f>
        <v>offset 89</v>
      </c>
    </row>
    <row r="15660" customFormat="false" ht="12.8" hidden="false" customHeight="false" outlineLevel="0" collapsed="false">
      <c r="A15660" s="0" t="s">
        <v>12</v>
      </c>
      <c r="B15660" s="0" t="n">
        <v>4433290</v>
      </c>
      <c r="C15660" s="0" t="n">
        <v>4433310</v>
      </c>
      <c r="D15660" s="0" t="s">
        <v>52173</v>
      </c>
      <c r="E15660" s="0" t="s">
        <v>52174</v>
      </c>
      <c r="F15660" s="0" t="s">
        <v>90</v>
      </c>
      <c r="G15660" s="0" t="s">
        <v>36</v>
      </c>
      <c r="H15660" s="0" t="n">
        <v>113</v>
      </c>
      <c r="I15660" s="0" t="s">
        <v>52184</v>
      </c>
      <c r="J15660" s="0" t="s">
        <v>52185</v>
      </c>
      <c r="K15660" s="0" t="s">
        <v>52186</v>
      </c>
      <c r="L15660" s="0" t="str">
        <f aca="false">HYPERLINK("https://www.ncbi.nlm.nih.gov/nuccore/CP000304.1?report=graph&amp;tracks=[key:gene_model_track,Options:GeneOnly]&amp;mk=4433397:4433416|offset_7|444444,4433340:4433359|offset_64|444444,4433315:4433334|offset_89|444444,4433291:4433310|offset_113|00cc00&amp;v=4433196:4433510&amp;c=444444", "offset 113")</f>
        <v>offset 113</v>
      </c>
    </row>
    <row r="15661" customFormat="false" ht="12.8" hidden="false" customHeight="false" outlineLevel="0" collapsed="false">
      <c r="A15661" s="0" t="s">
        <v>12</v>
      </c>
      <c r="B15661" s="0" t="n">
        <v>4433716</v>
      </c>
      <c r="C15661" s="0" t="n">
        <v>4433736</v>
      </c>
      <c r="D15661" s="0" t="s">
        <v>52187</v>
      </c>
      <c r="E15661" s="0" t="s">
        <v>52188</v>
      </c>
      <c r="F15661" s="0" t="s">
        <v>90</v>
      </c>
      <c r="G15661" s="0" t="s">
        <v>36</v>
      </c>
      <c r="H15661" s="0" t="n">
        <v>6</v>
      </c>
      <c r="I15661" s="0" t="s">
        <v>52189</v>
      </c>
      <c r="J15661" s="0" t="s">
        <v>52190</v>
      </c>
      <c r="K15661" s="0" t="s">
        <v>52191</v>
      </c>
      <c r="L15661" s="0" t="str">
        <f aca="false">HYPERLINK("https://www.ncbi.nlm.nih.gov/nuccore/CP000304.1?report=graph&amp;tracks=[key:gene_model_track,Options:GeneOnly]&amp;mk=4433717:4433736|offset_6|00cc00,4433695:4433714|offset_28|444444,4433638:4433657|offset_85|444444,4433610:4433629|offset_113|444444&amp;v=4433516:4433829&amp;c=444444", "offset 6")</f>
        <v>offset 6</v>
      </c>
    </row>
    <row r="15662" customFormat="false" ht="12.8" hidden="false" customHeight="false" outlineLevel="0" collapsed="false">
      <c r="A15662" s="0" t="s">
        <v>12</v>
      </c>
      <c r="B15662" s="0" t="n">
        <v>4433694</v>
      </c>
      <c r="C15662" s="0" t="n">
        <v>4433714</v>
      </c>
      <c r="D15662" s="0" t="s">
        <v>52187</v>
      </c>
      <c r="E15662" s="0" t="s">
        <v>52188</v>
      </c>
      <c r="F15662" s="0" t="s">
        <v>90</v>
      </c>
      <c r="G15662" s="0" t="s">
        <v>16</v>
      </c>
      <c r="H15662" s="0" t="n">
        <v>28</v>
      </c>
      <c r="I15662" s="0" t="s">
        <v>52192</v>
      </c>
      <c r="J15662" s="0" t="s">
        <v>52193</v>
      </c>
      <c r="K15662" s="0" t="s">
        <v>52194</v>
      </c>
      <c r="L15662" s="0" t="str">
        <f aca="false">HYPERLINK("https://www.ncbi.nlm.nih.gov/nuccore/CP000304.1?report=graph&amp;tracks=[key:gene_model_track,Options:GeneOnly]&amp;mk=4433717:4433736|offset_6|444444,4433695:4433714|offset_28|00cc00,4433638:4433657|offset_85|444444,4433610:4433629|offset_113|444444&amp;v=4433516:4433829&amp;c=444444", "offset 28")</f>
        <v>offset 28</v>
      </c>
    </row>
    <row r="15663" customFormat="false" ht="12.8" hidden="false" customHeight="false" outlineLevel="0" collapsed="false">
      <c r="A15663" s="0" t="s">
        <v>12</v>
      </c>
      <c r="B15663" s="0" t="n">
        <v>4433637</v>
      </c>
      <c r="C15663" s="0" t="n">
        <v>4433657</v>
      </c>
      <c r="D15663" s="0" t="s">
        <v>52187</v>
      </c>
      <c r="E15663" s="0" t="s">
        <v>52188</v>
      </c>
      <c r="F15663" s="0" t="s">
        <v>90</v>
      </c>
      <c r="G15663" s="0" t="s">
        <v>26</v>
      </c>
      <c r="H15663" s="0" t="n">
        <v>85</v>
      </c>
      <c r="I15663" s="0" t="s">
        <v>52195</v>
      </c>
      <c r="J15663" s="0" t="s">
        <v>52196</v>
      </c>
      <c r="K15663" s="0" t="s">
        <v>52197</v>
      </c>
      <c r="L15663" s="0" t="str">
        <f aca="false">HYPERLINK("https://www.ncbi.nlm.nih.gov/nuccore/CP000304.1?report=graph&amp;tracks=[key:gene_model_track,Options:GeneOnly]&amp;mk=4433717:4433736|offset_6|444444,4433695:4433714|offset_28|444444,4433638:4433657|offset_85|00cc00,4433610:4433629|offset_113|444444&amp;v=4433516:4433829&amp;c=444444", "offset 85")</f>
        <v>offset 85</v>
      </c>
    </row>
    <row r="15664" customFormat="false" ht="12.8" hidden="false" customHeight="false" outlineLevel="0" collapsed="false">
      <c r="A15664" s="0" t="s">
        <v>12</v>
      </c>
      <c r="B15664" s="0" t="n">
        <v>4433609</v>
      </c>
      <c r="C15664" s="0" t="n">
        <v>4433629</v>
      </c>
      <c r="D15664" s="0" t="s">
        <v>52187</v>
      </c>
      <c r="E15664" s="0" t="s">
        <v>52188</v>
      </c>
      <c r="F15664" s="0" t="s">
        <v>90</v>
      </c>
      <c r="G15664" s="0" t="s">
        <v>36</v>
      </c>
      <c r="H15664" s="0" t="n">
        <v>113</v>
      </c>
      <c r="I15664" s="0" t="s">
        <v>52198</v>
      </c>
      <c r="J15664" s="0" t="s">
        <v>52199</v>
      </c>
      <c r="K15664" s="0" t="s">
        <v>52200</v>
      </c>
      <c r="L15664" s="0" t="str">
        <f aca="false">HYPERLINK("https://www.ncbi.nlm.nih.gov/nuccore/CP000304.1?report=graph&amp;tracks=[key:gene_model_track,Options:GeneOnly]&amp;mk=4433717:4433736|offset_6|444444,4433695:4433714|offset_28|444444,4433638:4433657|offset_85|444444,4433610:4433629|offset_113|00cc00&amp;v=4433516:4433829&amp;c=444444", "offset 113")</f>
        <v>offset 113</v>
      </c>
    </row>
    <row r="15665" customFormat="false" ht="12.8" hidden="false" customHeight="false" outlineLevel="0" collapsed="false">
      <c r="A15665" s="0" t="s">
        <v>12</v>
      </c>
      <c r="B15665" s="0" t="n">
        <v>4434124</v>
      </c>
      <c r="C15665" s="0" t="n">
        <v>4434144</v>
      </c>
      <c r="D15665" s="0" t="s">
        <v>52201</v>
      </c>
      <c r="E15665" s="0" t="s">
        <v>89</v>
      </c>
      <c r="F15665" s="0" t="s">
        <v>90</v>
      </c>
      <c r="G15665" s="0" t="s">
        <v>26</v>
      </c>
      <c r="H15665" s="0" t="n">
        <v>14</v>
      </c>
      <c r="I15665" s="0" t="s">
        <v>52202</v>
      </c>
      <c r="J15665" s="0" t="s">
        <v>52203</v>
      </c>
      <c r="K15665" s="0" t="s">
        <v>52204</v>
      </c>
      <c r="L15665" s="0" t="str">
        <f aca="false">HYPERLINK("https://www.ncbi.nlm.nih.gov/nuccore/CP000304.1?report=graph&amp;tracks=[key:gene_model_track,Options:GeneOnly]&amp;mk=4434125:4434144|offset_14|00cc00,4434104:4434123|offset_35|444444,4434065:4434084|offset_74|444444,4434026:4434045|offset_113|444444&amp;v=4433924:4434245&amp;c=444444", "offset 14")</f>
        <v>offset 14</v>
      </c>
    </row>
    <row r="15666" customFormat="false" ht="12.8" hidden="false" customHeight="false" outlineLevel="0" collapsed="false">
      <c r="A15666" s="0" t="s">
        <v>12</v>
      </c>
      <c r="B15666" s="0" t="n">
        <v>4434103</v>
      </c>
      <c r="C15666" s="0" t="n">
        <v>4434123</v>
      </c>
      <c r="D15666" s="0" t="s">
        <v>52201</v>
      </c>
      <c r="E15666" s="0" t="s">
        <v>89</v>
      </c>
      <c r="F15666" s="0" t="s">
        <v>90</v>
      </c>
      <c r="G15666" s="0" t="s">
        <v>32</v>
      </c>
      <c r="H15666" s="0" t="n">
        <v>35</v>
      </c>
      <c r="I15666" s="0" t="s">
        <v>52205</v>
      </c>
      <c r="J15666" s="0" t="s">
        <v>52206</v>
      </c>
      <c r="K15666" s="0" t="s">
        <v>52207</v>
      </c>
      <c r="L15666" s="0" t="str">
        <f aca="false">HYPERLINK("https://www.ncbi.nlm.nih.gov/nuccore/CP000304.1?report=graph&amp;tracks=[key:gene_model_track,Options:GeneOnly]&amp;mk=4434125:4434144|offset_14|444444,4434104:4434123|offset_35|00cc00,4434065:4434084|offset_74|444444,4434026:4434045|offset_113|444444&amp;v=4433924:4434245&amp;c=444444", "offset 35")</f>
        <v>offset 35</v>
      </c>
    </row>
    <row r="15667" customFormat="false" ht="12.8" hidden="false" customHeight="false" outlineLevel="0" collapsed="false">
      <c r="A15667" s="0" t="s">
        <v>12</v>
      </c>
      <c r="B15667" s="0" t="n">
        <v>4434064</v>
      </c>
      <c r="C15667" s="0" t="n">
        <v>4434084</v>
      </c>
      <c r="D15667" s="0" t="s">
        <v>52201</v>
      </c>
      <c r="E15667" s="0" t="s">
        <v>89</v>
      </c>
      <c r="F15667" s="0" t="s">
        <v>90</v>
      </c>
      <c r="G15667" s="0" t="s">
        <v>26</v>
      </c>
      <c r="H15667" s="0" t="n">
        <v>74</v>
      </c>
      <c r="I15667" s="0" t="s">
        <v>52208</v>
      </c>
      <c r="J15667" s="0" t="s">
        <v>52209</v>
      </c>
      <c r="K15667" s="0" t="s">
        <v>52210</v>
      </c>
      <c r="L15667" s="0" t="str">
        <f aca="false">HYPERLINK("https://www.ncbi.nlm.nih.gov/nuccore/CP000304.1?report=graph&amp;tracks=[key:gene_model_track,Options:GeneOnly]&amp;mk=4434125:4434144|offset_14|444444,4434104:4434123|offset_35|444444,4434065:4434084|offset_74|00cc00,4434026:4434045|offset_113|444444&amp;v=4433924:4434245&amp;c=444444", "offset 74")</f>
        <v>offset 74</v>
      </c>
    </row>
    <row r="15668" customFormat="false" ht="12.8" hidden="false" customHeight="false" outlineLevel="0" collapsed="false">
      <c r="A15668" s="0" t="s">
        <v>12</v>
      </c>
      <c r="B15668" s="0" t="n">
        <v>4434025</v>
      </c>
      <c r="C15668" s="0" t="n">
        <v>4434045</v>
      </c>
      <c r="D15668" s="0" t="s">
        <v>52201</v>
      </c>
      <c r="E15668" s="0" t="s">
        <v>89</v>
      </c>
      <c r="F15668" s="0" t="s">
        <v>90</v>
      </c>
      <c r="G15668" s="0" t="s">
        <v>26</v>
      </c>
      <c r="H15668" s="0" t="n">
        <v>113</v>
      </c>
      <c r="I15668" s="0" t="s">
        <v>52211</v>
      </c>
      <c r="J15668" s="0" t="s">
        <v>52212</v>
      </c>
      <c r="K15668" s="0" t="s">
        <v>52213</v>
      </c>
      <c r="L15668" s="0" t="str">
        <f aca="false">HYPERLINK("https://www.ncbi.nlm.nih.gov/nuccore/CP000304.1?report=graph&amp;tracks=[key:gene_model_track,Options:GeneOnly]&amp;mk=4434125:4434144|offset_14|444444,4434104:4434123|offset_35|444444,4434065:4434084|offset_74|444444,4434026:4434045|offset_113|00cc00&amp;v=4433924:4434245&amp;c=444444", "offset 113")</f>
        <v>offset 113</v>
      </c>
    </row>
    <row r="15669" customFormat="false" ht="12.8" hidden="false" customHeight="false" outlineLevel="0" collapsed="false">
      <c r="A15669" s="0" t="s">
        <v>12</v>
      </c>
      <c r="B15669" s="0" t="n">
        <v>4434304</v>
      </c>
      <c r="C15669" s="0" t="n">
        <v>4434324</v>
      </c>
      <c r="D15669" s="0" t="s">
        <v>52214</v>
      </c>
      <c r="E15669" s="0" t="s">
        <v>52215</v>
      </c>
      <c r="F15669" s="0" t="s">
        <v>15</v>
      </c>
      <c r="G15669" s="0" t="s">
        <v>36</v>
      </c>
      <c r="H15669" s="0" t="n">
        <v>6</v>
      </c>
      <c r="I15669" s="0" t="s">
        <v>52216</v>
      </c>
      <c r="J15669" s="0" t="s">
        <v>52217</v>
      </c>
      <c r="K15669" s="0" t="s">
        <v>52218</v>
      </c>
      <c r="L15669" s="0" t="str">
        <f aca="false">HYPERLINK("https://www.ncbi.nlm.nih.gov/nuccore/CP000304.1?report=graph&amp;tracks=[key:gene_model_track,Options:GeneOnly]&amp;mk=4434305:4434324|offset_6|00cc00,4434326:4434345|offset_27|444444,4434376:4434395|offset_77|444444,4434399:4434418|offset_100|444444&amp;v=4434104:4434618&amp;c=444444", "offset 6")</f>
        <v>offset 6</v>
      </c>
    </row>
    <row r="15670" customFormat="false" ht="12.8" hidden="false" customHeight="false" outlineLevel="0" collapsed="false">
      <c r="A15670" s="0" t="s">
        <v>12</v>
      </c>
      <c r="B15670" s="0" t="n">
        <v>4434325</v>
      </c>
      <c r="C15670" s="0" t="n">
        <v>4434345</v>
      </c>
      <c r="D15670" s="0" t="s">
        <v>52214</v>
      </c>
      <c r="E15670" s="0" t="s">
        <v>52215</v>
      </c>
      <c r="F15670" s="0" t="s">
        <v>15</v>
      </c>
      <c r="G15670" s="0" t="s">
        <v>36</v>
      </c>
      <c r="H15670" s="0" t="n">
        <v>27</v>
      </c>
      <c r="I15670" s="0" t="s">
        <v>52219</v>
      </c>
      <c r="J15670" s="0" t="s">
        <v>52220</v>
      </c>
      <c r="K15670" s="0" t="s">
        <v>52221</v>
      </c>
      <c r="L15670" s="0" t="str">
        <f aca="false">HYPERLINK("https://www.ncbi.nlm.nih.gov/nuccore/CP000304.1?report=graph&amp;tracks=[key:gene_model_track,Options:GeneOnly]&amp;mk=4434305:4434324|offset_6|444444,4434326:4434345|offset_27|00cc00,4434376:4434395|offset_77|444444,4434399:4434418|offset_100|444444&amp;v=4434104:4434618&amp;c=444444", "offset 27")</f>
        <v>offset 27</v>
      </c>
    </row>
    <row r="15671" customFormat="false" ht="12.8" hidden="false" customHeight="false" outlineLevel="0" collapsed="false">
      <c r="A15671" s="0" t="s">
        <v>12</v>
      </c>
      <c r="B15671" s="0" t="n">
        <v>4434375</v>
      </c>
      <c r="C15671" s="0" t="n">
        <v>4434395</v>
      </c>
      <c r="D15671" s="0" t="s">
        <v>52214</v>
      </c>
      <c r="E15671" s="0" t="s">
        <v>52215</v>
      </c>
      <c r="F15671" s="0" t="s">
        <v>15</v>
      </c>
      <c r="G15671" s="0" t="s">
        <v>36</v>
      </c>
      <c r="H15671" s="0" t="n">
        <v>77</v>
      </c>
      <c r="I15671" s="0" t="s">
        <v>52222</v>
      </c>
      <c r="J15671" s="0" t="s">
        <v>52223</v>
      </c>
      <c r="K15671" s="0" t="s">
        <v>52224</v>
      </c>
      <c r="L15671" s="0" t="str">
        <f aca="false">HYPERLINK("https://www.ncbi.nlm.nih.gov/nuccore/CP000304.1?report=graph&amp;tracks=[key:gene_model_track,Options:GeneOnly]&amp;mk=4434305:4434324|offset_6|444444,4434326:4434345|offset_27|444444,4434376:4434395|offset_77|00cc00,4434399:4434418|offset_100|444444&amp;v=4434104:4434618&amp;c=444444", "offset 77")</f>
        <v>offset 77</v>
      </c>
    </row>
    <row r="15672" customFormat="false" ht="12.8" hidden="false" customHeight="false" outlineLevel="0" collapsed="false">
      <c r="A15672" s="0" t="s">
        <v>12</v>
      </c>
      <c r="B15672" s="0" t="n">
        <v>4434398</v>
      </c>
      <c r="C15672" s="0" t="n">
        <v>4434418</v>
      </c>
      <c r="D15672" s="0" t="s">
        <v>52214</v>
      </c>
      <c r="E15672" s="0" t="s">
        <v>52215</v>
      </c>
      <c r="F15672" s="0" t="s">
        <v>15</v>
      </c>
      <c r="G15672" s="0" t="s">
        <v>16</v>
      </c>
      <c r="H15672" s="0" t="n">
        <v>100</v>
      </c>
      <c r="I15672" s="0" t="s">
        <v>52225</v>
      </c>
      <c r="J15672" s="0" t="s">
        <v>52226</v>
      </c>
      <c r="K15672" s="0" t="s">
        <v>52227</v>
      </c>
      <c r="L15672" s="0" t="str">
        <f aca="false">HYPERLINK("https://www.ncbi.nlm.nih.gov/nuccore/CP000304.1?report=graph&amp;tracks=[key:gene_model_track,Options:GeneOnly]&amp;mk=4434305:4434324|offset_6|444444,4434326:4434345|offset_27|444444,4434376:4434395|offset_77|444444,4434399:4434418|offset_100|00cc00&amp;v=4434104:4434618&amp;c=444444", "offset 100")</f>
        <v>offset 100</v>
      </c>
    </row>
    <row r="15673" customFormat="false" ht="12.8" hidden="false" customHeight="false" outlineLevel="0" collapsed="false">
      <c r="A15673" s="0" t="s">
        <v>12</v>
      </c>
      <c r="B15673" s="0" t="n">
        <v>4436182</v>
      </c>
      <c r="C15673" s="0" t="n">
        <v>4436202</v>
      </c>
      <c r="D15673" s="0" t="s">
        <v>52228</v>
      </c>
      <c r="E15673" s="0" t="s">
        <v>89</v>
      </c>
      <c r="F15673" s="0" t="s">
        <v>15</v>
      </c>
      <c r="G15673" s="0" t="s">
        <v>36</v>
      </c>
      <c r="H15673" s="0" t="n">
        <v>31</v>
      </c>
      <c r="I15673" s="0" t="s">
        <v>52229</v>
      </c>
      <c r="J15673" s="0" t="s">
        <v>52230</v>
      </c>
      <c r="K15673" s="0" t="s">
        <v>52231</v>
      </c>
      <c r="L15673" s="0" t="str">
        <f aca="false">HYPERLINK("https://www.ncbi.nlm.nih.gov/nuccore/CP000304.1?report=graph&amp;tracks=[key:gene_model_track,Options:GeneOnly]&amp;mk=4436183:4436202|offset_31|00cc00,4436226:4436245|offset_74|444444,4436246:4436265|offset_94|444444,4436294:4436313|offset_142|444444&amp;v=4435982:4436513&amp;c=444444", "offset 31")</f>
        <v>offset 31</v>
      </c>
    </row>
    <row r="15674" customFormat="false" ht="12.8" hidden="false" customHeight="false" outlineLevel="0" collapsed="false">
      <c r="A15674" s="0" t="s">
        <v>12</v>
      </c>
      <c r="B15674" s="0" t="n">
        <v>4436225</v>
      </c>
      <c r="C15674" s="0" t="n">
        <v>4436245</v>
      </c>
      <c r="D15674" s="0" t="s">
        <v>52228</v>
      </c>
      <c r="E15674" s="0" t="s">
        <v>89</v>
      </c>
      <c r="F15674" s="0" t="s">
        <v>15</v>
      </c>
      <c r="G15674" s="0" t="s">
        <v>26</v>
      </c>
      <c r="H15674" s="0" t="n">
        <v>74</v>
      </c>
      <c r="I15674" s="0" t="s">
        <v>52232</v>
      </c>
      <c r="J15674" s="0" t="s">
        <v>52233</v>
      </c>
      <c r="K15674" s="0" t="s">
        <v>52234</v>
      </c>
      <c r="L15674" s="0" t="str">
        <f aca="false">HYPERLINK("https://www.ncbi.nlm.nih.gov/nuccore/CP000304.1?report=graph&amp;tracks=[key:gene_model_track,Options:GeneOnly]&amp;mk=4436183:4436202|offset_31|444444,4436226:4436245|offset_74|00cc00,4436246:4436265|offset_94|444444,4436294:4436313|offset_142|444444&amp;v=4435982:4436513&amp;c=444444", "offset 74")</f>
        <v>offset 74</v>
      </c>
    </row>
    <row r="15675" customFormat="false" ht="12.8" hidden="false" customHeight="false" outlineLevel="0" collapsed="false">
      <c r="A15675" s="0" t="s">
        <v>12</v>
      </c>
      <c r="B15675" s="0" t="n">
        <v>4436245</v>
      </c>
      <c r="C15675" s="0" t="n">
        <v>4436265</v>
      </c>
      <c r="D15675" s="0" t="s">
        <v>52228</v>
      </c>
      <c r="E15675" s="0" t="s">
        <v>89</v>
      </c>
      <c r="F15675" s="0" t="s">
        <v>15</v>
      </c>
      <c r="G15675" s="0" t="s">
        <v>36</v>
      </c>
      <c r="H15675" s="0" t="n">
        <v>94</v>
      </c>
      <c r="I15675" s="0" t="s">
        <v>52235</v>
      </c>
      <c r="J15675" s="0" t="s">
        <v>52236</v>
      </c>
      <c r="K15675" s="0" t="s">
        <v>52237</v>
      </c>
      <c r="L15675" s="0" t="str">
        <f aca="false">HYPERLINK("https://www.ncbi.nlm.nih.gov/nuccore/CP000304.1?report=graph&amp;tracks=[key:gene_model_track,Options:GeneOnly]&amp;mk=4436183:4436202|offset_31|444444,4436226:4436245|offset_74|444444,4436246:4436265|offset_94|00cc00,4436294:4436313|offset_142|444444&amp;v=4435982:4436513&amp;c=444444", "offset 94")</f>
        <v>offset 94</v>
      </c>
    </row>
    <row r="15676" customFormat="false" ht="12.8" hidden="false" customHeight="false" outlineLevel="0" collapsed="false">
      <c r="A15676" s="0" t="s">
        <v>12</v>
      </c>
      <c r="B15676" s="0" t="n">
        <v>4436293</v>
      </c>
      <c r="C15676" s="0" t="n">
        <v>4436313</v>
      </c>
      <c r="D15676" s="0" t="s">
        <v>52228</v>
      </c>
      <c r="E15676" s="0" t="s">
        <v>89</v>
      </c>
      <c r="F15676" s="0" t="s">
        <v>15</v>
      </c>
      <c r="G15676" s="0" t="s">
        <v>36</v>
      </c>
      <c r="H15676" s="0" t="n">
        <v>142</v>
      </c>
      <c r="I15676" s="0" t="s">
        <v>52238</v>
      </c>
      <c r="J15676" s="0" t="s">
        <v>52239</v>
      </c>
      <c r="K15676" s="0" t="s">
        <v>52240</v>
      </c>
      <c r="L15676" s="0" t="str">
        <f aca="false">HYPERLINK("https://www.ncbi.nlm.nih.gov/nuccore/CP000304.1?report=graph&amp;tracks=[key:gene_model_track,Options:GeneOnly]&amp;mk=4436183:4436202|offset_31|444444,4436226:4436245|offset_74|444444,4436246:4436265|offset_94|444444,4436294:4436313|offset_142|00cc00&amp;v=4435982:4436513&amp;c=444444", "offset 142")</f>
        <v>offset 142</v>
      </c>
    </row>
    <row r="15677" customFormat="false" ht="12.8" hidden="false" customHeight="false" outlineLevel="0" collapsed="false">
      <c r="A15677" s="0" t="s">
        <v>12</v>
      </c>
      <c r="B15677" s="0" t="n">
        <v>4437307</v>
      </c>
      <c r="C15677" s="0" t="n">
        <v>4437327</v>
      </c>
      <c r="D15677" s="0" t="s">
        <v>52241</v>
      </c>
      <c r="E15677" s="0" t="s">
        <v>89</v>
      </c>
      <c r="F15677" s="0" t="s">
        <v>15</v>
      </c>
      <c r="G15677" s="0" t="s">
        <v>26</v>
      </c>
      <c r="H15677" s="0" t="n">
        <v>11</v>
      </c>
      <c r="I15677" s="0" t="s">
        <v>52242</v>
      </c>
      <c r="J15677" s="0" t="s">
        <v>52243</v>
      </c>
      <c r="K15677" s="0" t="s">
        <v>52244</v>
      </c>
      <c r="L15677" s="0" t="str">
        <f aca="false">HYPERLINK("https://www.ncbi.nlm.nih.gov/nuccore/CP000304.1?report=graph&amp;tracks=[key:gene_model_track,Options:GeneOnly]&amp;mk=4437308:4437327|offset_11|00cc00,4437331:4437350|offset_34|444444,4437373:4437392|offset_76|444444,4437411:4437430|offset_114|444444&amp;v=4437107:4437630&amp;c=444444", "offset 11")</f>
        <v>offset 11</v>
      </c>
    </row>
    <row r="15678" customFormat="false" ht="12.8" hidden="false" customHeight="false" outlineLevel="0" collapsed="false">
      <c r="A15678" s="0" t="s">
        <v>12</v>
      </c>
      <c r="B15678" s="0" t="n">
        <v>4437330</v>
      </c>
      <c r="C15678" s="0" t="n">
        <v>4437350</v>
      </c>
      <c r="D15678" s="0" t="s">
        <v>52241</v>
      </c>
      <c r="E15678" s="0" t="s">
        <v>89</v>
      </c>
      <c r="F15678" s="0" t="s">
        <v>15</v>
      </c>
      <c r="G15678" s="0" t="s">
        <v>32</v>
      </c>
      <c r="H15678" s="0" t="n">
        <v>34</v>
      </c>
      <c r="I15678" s="0" t="s">
        <v>52245</v>
      </c>
      <c r="J15678" s="0" t="s">
        <v>52246</v>
      </c>
      <c r="K15678" s="0" t="s">
        <v>52247</v>
      </c>
      <c r="L15678" s="0" t="str">
        <f aca="false">HYPERLINK("https://www.ncbi.nlm.nih.gov/nuccore/CP000304.1?report=graph&amp;tracks=[key:gene_model_track,Options:GeneOnly]&amp;mk=4437308:4437327|offset_11|444444,4437331:4437350|offset_34|00cc00,4437373:4437392|offset_76|444444,4437411:4437430|offset_114|444444&amp;v=4437107:4437630&amp;c=444444", "offset 34")</f>
        <v>offset 34</v>
      </c>
    </row>
    <row r="15679" customFormat="false" ht="12.8" hidden="false" customHeight="false" outlineLevel="0" collapsed="false">
      <c r="A15679" s="0" t="s">
        <v>12</v>
      </c>
      <c r="B15679" s="0" t="n">
        <v>4437372</v>
      </c>
      <c r="C15679" s="0" t="n">
        <v>4437392</v>
      </c>
      <c r="D15679" s="0" t="s">
        <v>52241</v>
      </c>
      <c r="E15679" s="0" t="s">
        <v>89</v>
      </c>
      <c r="F15679" s="0" t="s">
        <v>15</v>
      </c>
      <c r="G15679" s="0" t="s">
        <v>26</v>
      </c>
      <c r="H15679" s="0" t="n">
        <v>76</v>
      </c>
      <c r="I15679" s="0" t="s">
        <v>52248</v>
      </c>
      <c r="J15679" s="0" t="s">
        <v>52249</v>
      </c>
      <c r="K15679" s="0" t="s">
        <v>52250</v>
      </c>
      <c r="L15679" s="0" t="str">
        <f aca="false">HYPERLINK("https://www.ncbi.nlm.nih.gov/nuccore/CP000304.1?report=graph&amp;tracks=[key:gene_model_track,Options:GeneOnly]&amp;mk=4437308:4437327|offset_11|444444,4437331:4437350|offset_34|444444,4437373:4437392|offset_76|00cc00,4437411:4437430|offset_114|444444&amp;v=4437107:4437630&amp;c=444444", "offset 76")</f>
        <v>offset 76</v>
      </c>
    </row>
    <row r="15680" customFormat="false" ht="12.8" hidden="false" customHeight="false" outlineLevel="0" collapsed="false">
      <c r="A15680" s="0" t="s">
        <v>12</v>
      </c>
      <c r="B15680" s="0" t="n">
        <v>4437410</v>
      </c>
      <c r="C15680" s="0" t="n">
        <v>4437430</v>
      </c>
      <c r="D15680" s="0" t="s">
        <v>52241</v>
      </c>
      <c r="E15680" s="0" t="s">
        <v>89</v>
      </c>
      <c r="F15680" s="0" t="s">
        <v>15</v>
      </c>
      <c r="G15680" s="0" t="s">
        <v>32</v>
      </c>
      <c r="H15680" s="0" t="n">
        <v>114</v>
      </c>
      <c r="I15680" s="0" t="s">
        <v>52251</v>
      </c>
      <c r="J15680" s="0" t="s">
        <v>52252</v>
      </c>
      <c r="K15680" s="0" t="s">
        <v>52253</v>
      </c>
      <c r="L15680" s="0" t="str">
        <f aca="false">HYPERLINK("https://www.ncbi.nlm.nih.gov/nuccore/CP000304.1?report=graph&amp;tracks=[key:gene_model_track,Options:GeneOnly]&amp;mk=4437308:4437327|offset_11|444444,4437331:4437350|offset_34|444444,4437373:4437392|offset_76|444444,4437411:4437430|offset_114|00cc00&amp;v=4437107:4437630&amp;c=444444", "offset 114")</f>
        <v>offset 114</v>
      </c>
    </row>
    <row r="15681" customFormat="false" ht="12.8" hidden="false" customHeight="false" outlineLevel="0" collapsed="false">
      <c r="A15681" s="0" t="s">
        <v>12</v>
      </c>
      <c r="B15681" s="0" t="n">
        <v>4438627</v>
      </c>
      <c r="C15681" s="0" t="n">
        <v>4438647</v>
      </c>
      <c r="D15681" s="0" t="s">
        <v>52254</v>
      </c>
      <c r="E15681" s="0" t="s">
        <v>89</v>
      </c>
      <c r="F15681" s="0" t="s">
        <v>15</v>
      </c>
      <c r="G15681" s="0" t="s">
        <v>16</v>
      </c>
      <c r="H15681" s="0" t="n">
        <v>6</v>
      </c>
      <c r="I15681" s="0" t="s">
        <v>52255</v>
      </c>
      <c r="J15681" s="0" t="s">
        <v>52256</v>
      </c>
      <c r="K15681" s="0" t="s">
        <v>52257</v>
      </c>
      <c r="L15681" s="0" t="str">
        <f aca="false">HYPERLINK("https://www.ncbi.nlm.nih.gov/nuccore/CP000304.1?report=graph&amp;tracks=[key:gene_model_track,Options:GeneOnly]&amp;mk=4438628:4438647|offset_6|00cc00,4438657:4438676|offset_35|444444,4438695:4438714|offset_73|444444,4438716:4438735|offset_94|444444&amp;v=4438427:4438935&amp;c=444444", "offset 6")</f>
        <v>offset 6</v>
      </c>
    </row>
    <row r="15682" customFormat="false" ht="12.8" hidden="false" customHeight="false" outlineLevel="0" collapsed="false">
      <c r="A15682" s="0" t="s">
        <v>12</v>
      </c>
      <c r="B15682" s="0" t="n">
        <v>4438656</v>
      </c>
      <c r="C15682" s="0" t="n">
        <v>4438676</v>
      </c>
      <c r="D15682" s="0" t="s">
        <v>52254</v>
      </c>
      <c r="E15682" s="0" t="s">
        <v>89</v>
      </c>
      <c r="F15682" s="0" t="s">
        <v>15</v>
      </c>
      <c r="G15682" s="0" t="s">
        <v>26</v>
      </c>
      <c r="H15682" s="0" t="n">
        <v>35</v>
      </c>
      <c r="I15682" s="0" t="s">
        <v>52258</v>
      </c>
      <c r="J15682" s="0" t="s">
        <v>52259</v>
      </c>
      <c r="K15682" s="0" t="s">
        <v>52260</v>
      </c>
      <c r="L15682" s="0" t="str">
        <f aca="false">HYPERLINK("https://www.ncbi.nlm.nih.gov/nuccore/CP000304.1?report=graph&amp;tracks=[key:gene_model_track,Options:GeneOnly]&amp;mk=4438628:4438647|offset_6|444444,4438657:4438676|offset_35|00cc00,4438695:4438714|offset_73|444444,4438716:4438735|offset_94|444444&amp;v=4438427:4438935&amp;c=444444", "offset 35")</f>
        <v>offset 35</v>
      </c>
    </row>
    <row r="15683" customFormat="false" ht="12.8" hidden="false" customHeight="false" outlineLevel="0" collapsed="false">
      <c r="A15683" s="0" t="s">
        <v>12</v>
      </c>
      <c r="B15683" s="0" t="n">
        <v>4438694</v>
      </c>
      <c r="C15683" s="0" t="n">
        <v>4438714</v>
      </c>
      <c r="D15683" s="0" t="s">
        <v>52254</v>
      </c>
      <c r="E15683" s="0" t="s">
        <v>89</v>
      </c>
      <c r="F15683" s="0" t="s">
        <v>15</v>
      </c>
      <c r="G15683" s="0" t="s">
        <v>16</v>
      </c>
      <c r="H15683" s="0" t="n">
        <v>73</v>
      </c>
      <c r="I15683" s="0" t="s">
        <v>52261</v>
      </c>
      <c r="J15683" s="0" t="s">
        <v>52262</v>
      </c>
      <c r="K15683" s="0" t="s">
        <v>52263</v>
      </c>
      <c r="L15683" s="0" t="str">
        <f aca="false">HYPERLINK("https://www.ncbi.nlm.nih.gov/nuccore/CP000304.1?report=graph&amp;tracks=[key:gene_model_track,Options:GeneOnly]&amp;mk=4438628:4438647|offset_6|444444,4438657:4438676|offset_35|444444,4438695:4438714|offset_73|00cc00,4438716:4438735|offset_94|444444&amp;v=4438427:4438935&amp;c=444444", "offset 73")</f>
        <v>offset 73</v>
      </c>
    </row>
    <row r="15684" customFormat="false" ht="12.8" hidden="false" customHeight="false" outlineLevel="0" collapsed="false">
      <c r="A15684" s="0" t="s">
        <v>12</v>
      </c>
      <c r="B15684" s="0" t="n">
        <v>4438715</v>
      </c>
      <c r="C15684" s="0" t="n">
        <v>4438735</v>
      </c>
      <c r="D15684" s="0" t="s">
        <v>52254</v>
      </c>
      <c r="E15684" s="0" t="s">
        <v>89</v>
      </c>
      <c r="F15684" s="0" t="s">
        <v>15</v>
      </c>
      <c r="G15684" s="0" t="s">
        <v>16</v>
      </c>
      <c r="H15684" s="0" t="n">
        <v>94</v>
      </c>
      <c r="I15684" s="0" t="s">
        <v>52264</v>
      </c>
      <c r="J15684" s="0" t="s">
        <v>52265</v>
      </c>
      <c r="K15684" s="0" t="s">
        <v>52266</v>
      </c>
      <c r="L15684" s="0" t="str">
        <f aca="false">HYPERLINK("https://www.ncbi.nlm.nih.gov/nuccore/CP000304.1?report=graph&amp;tracks=[key:gene_model_track,Options:GeneOnly]&amp;mk=4438628:4438647|offset_6|444444,4438657:4438676|offset_35|444444,4438695:4438714|offset_73|444444,4438716:4438735|offset_94|00cc00&amp;v=4438427:4438935&amp;c=444444", "offset 94")</f>
        <v>offset 94</v>
      </c>
    </row>
    <row r="15685" customFormat="false" ht="12.8" hidden="false" customHeight="false" outlineLevel="0" collapsed="false">
      <c r="A15685" s="0" t="s">
        <v>12</v>
      </c>
      <c r="B15685" s="0" t="n">
        <v>4440142</v>
      </c>
      <c r="C15685" s="0" t="n">
        <v>4440162</v>
      </c>
      <c r="D15685" s="0" t="s">
        <v>52267</v>
      </c>
      <c r="E15685" s="0" t="s">
        <v>89</v>
      </c>
      <c r="F15685" s="0" t="s">
        <v>90</v>
      </c>
      <c r="G15685" s="0" t="s">
        <v>32</v>
      </c>
      <c r="H15685" s="0" t="n">
        <v>1</v>
      </c>
      <c r="I15685" s="0" t="s">
        <v>52268</v>
      </c>
      <c r="J15685" s="0" t="s">
        <v>52269</v>
      </c>
      <c r="K15685" s="0" t="s">
        <v>52270</v>
      </c>
      <c r="L15685" s="0" t="str">
        <f aca="false">HYPERLINK("https://www.ncbi.nlm.nih.gov/nuccore/CP000304.1?report=graph&amp;tracks=[key:gene_model_track,Options:GeneOnly]&amp;mk=4440143:4440162|offset_1|00cc00,4440122:4440141|offset_22|444444,4440091:4440110|offset_53|444444,4440050:4440069|offset_94|444444&amp;v=4439942:4440269&amp;c=444444", "offset 1")</f>
        <v>offset 1</v>
      </c>
    </row>
    <row r="15686" customFormat="false" ht="12.8" hidden="false" customHeight="false" outlineLevel="0" collapsed="false">
      <c r="A15686" s="0" t="s">
        <v>12</v>
      </c>
      <c r="B15686" s="0" t="n">
        <v>4440121</v>
      </c>
      <c r="C15686" s="0" t="n">
        <v>4440141</v>
      </c>
      <c r="D15686" s="0" t="s">
        <v>52267</v>
      </c>
      <c r="E15686" s="0" t="s">
        <v>89</v>
      </c>
      <c r="F15686" s="0" t="s">
        <v>90</v>
      </c>
      <c r="G15686" s="0" t="s">
        <v>16</v>
      </c>
      <c r="H15686" s="0" t="n">
        <v>22</v>
      </c>
      <c r="I15686" s="0" t="s">
        <v>52271</v>
      </c>
      <c r="J15686" s="0" t="s">
        <v>52272</v>
      </c>
      <c r="K15686" s="0" t="s">
        <v>52273</v>
      </c>
      <c r="L15686" s="0" t="str">
        <f aca="false">HYPERLINK("https://www.ncbi.nlm.nih.gov/nuccore/CP000304.1?report=graph&amp;tracks=[key:gene_model_track,Options:GeneOnly]&amp;mk=4440143:4440162|offset_1|444444,4440122:4440141|offset_22|00cc00,4440091:4440110|offset_53|444444,4440050:4440069|offset_94|444444&amp;v=4439942:4440269&amp;c=444444", "offset 22")</f>
        <v>offset 22</v>
      </c>
    </row>
    <row r="15687" customFormat="false" ht="12.8" hidden="false" customHeight="false" outlineLevel="0" collapsed="false">
      <c r="A15687" s="0" t="s">
        <v>12</v>
      </c>
      <c r="B15687" s="0" t="n">
        <v>4440090</v>
      </c>
      <c r="C15687" s="0" t="n">
        <v>4440110</v>
      </c>
      <c r="D15687" s="0" t="s">
        <v>52267</v>
      </c>
      <c r="E15687" s="0" t="s">
        <v>89</v>
      </c>
      <c r="F15687" s="0" t="s">
        <v>90</v>
      </c>
      <c r="G15687" s="0" t="s">
        <v>32</v>
      </c>
      <c r="H15687" s="0" t="n">
        <v>53</v>
      </c>
      <c r="I15687" s="0" t="s">
        <v>52274</v>
      </c>
      <c r="J15687" s="0" t="s">
        <v>52275</v>
      </c>
      <c r="K15687" s="0" t="s">
        <v>52276</v>
      </c>
      <c r="L15687" s="0" t="str">
        <f aca="false">HYPERLINK("https://www.ncbi.nlm.nih.gov/nuccore/CP000304.1?report=graph&amp;tracks=[key:gene_model_track,Options:GeneOnly]&amp;mk=4440143:4440162|offset_1|444444,4440122:4440141|offset_22|444444,4440091:4440110|offset_53|00cc00,4440050:4440069|offset_94|444444&amp;v=4439942:4440269&amp;c=444444", "offset 53")</f>
        <v>offset 53</v>
      </c>
    </row>
    <row r="15688" customFormat="false" ht="12.8" hidden="false" customHeight="false" outlineLevel="0" collapsed="false">
      <c r="A15688" s="0" t="s">
        <v>12</v>
      </c>
      <c r="B15688" s="0" t="n">
        <v>4440049</v>
      </c>
      <c r="C15688" s="0" t="n">
        <v>4440069</v>
      </c>
      <c r="D15688" s="0" t="s">
        <v>52267</v>
      </c>
      <c r="E15688" s="0" t="s">
        <v>89</v>
      </c>
      <c r="F15688" s="0" t="s">
        <v>90</v>
      </c>
      <c r="G15688" s="0" t="s">
        <v>16</v>
      </c>
      <c r="H15688" s="0" t="n">
        <v>94</v>
      </c>
      <c r="I15688" s="0" t="s">
        <v>52277</v>
      </c>
      <c r="J15688" s="0" t="s">
        <v>52278</v>
      </c>
      <c r="K15688" s="0" t="s">
        <v>52279</v>
      </c>
      <c r="L15688" s="0" t="str">
        <f aca="false">HYPERLINK("https://www.ncbi.nlm.nih.gov/nuccore/CP000304.1?report=graph&amp;tracks=[key:gene_model_track,Options:GeneOnly]&amp;mk=4440143:4440162|offset_1|444444,4440122:4440141|offset_22|444444,4440091:4440110|offset_53|444444,4440050:4440069|offset_94|00cc00&amp;v=4439942:4440269&amp;c=444444", "offset 94")</f>
        <v>offset 94</v>
      </c>
    </row>
    <row r="15689" customFormat="false" ht="12.8" hidden="false" customHeight="false" outlineLevel="0" collapsed="false">
      <c r="A15689" s="0" t="s">
        <v>12</v>
      </c>
      <c r="B15689" s="0" t="n">
        <v>4440316</v>
      </c>
      <c r="C15689" s="0" t="n">
        <v>4440336</v>
      </c>
      <c r="D15689" s="0" t="s">
        <v>52280</v>
      </c>
      <c r="E15689" s="0" t="s">
        <v>89</v>
      </c>
      <c r="F15689" s="0" t="s">
        <v>90</v>
      </c>
      <c r="G15689" s="0" t="s">
        <v>32</v>
      </c>
      <c r="H15689" s="0" t="n">
        <v>14</v>
      </c>
      <c r="I15689" s="0" t="s">
        <v>52281</v>
      </c>
      <c r="J15689" s="0" t="s">
        <v>52282</v>
      </c>
      <c r="K15689" s="0" t="s">
        <v>52283</v>
      </c>
      <c r="L15689" s="0" t="str">
        <f aca="false">HYPERLINK("https://www.ncbi.nlm.nih.gov/nuccore/CP000304.1?report=graph&amp;tracks=[key:gene_model_track,Options:GeneOnly]&amp;mk=4440317:4440336|offset_14|00cc00,4440295:4440314|offset_36|444444,4440273:4440292|offset_58|444444,4440251:4440270|offset_80|444444&amp;v=4440116:4440470&amp;c=444444", "offset 14")</f>
        <v>offset 14</v>
      </c>
    </row>
    <row r="15690" customFormat="false" ht="12.8" hidden="false" customHeight="false" outlineLevel="0" collapsed="false">
      <c r="A15690" s="0" t="s">
        <v>12</v>
      </c>
      <c r="B15690" s="0" t="n">
        <v>4440294</v>
      </c>
      <c r="C15690" s="0" t="n">
        <v>4440314</v>
      </c>
      <c r="D15690" s="0" t="s">
        <v>52280</v>
      </c>
      <c r="E15690" s="0" t="s">
        <v>89</v>
      </c>
      <c r="F15690" s="0" t="s">
        <v>90</v>
      </c>
      <c r="G15690" s="0" t="s">
        <v>26</v>
      </c>
      <c r="H15690" s="0" t="n">
        <v>36</v>
      </c>
      <c r="I15690" s="0" t="s">
        <v>52284</v>
      </c>
      <c r="J15690" s="0" t="s">
        <v>52285</v>
      </c>
      <c r="K15690" s="0" t="s">
        <v>52286</v>
      </c>
      <c r="L15690" s="0" t="str">
        <f aca="false">HYPERLINK("https://www.ncbi.nlm.nih.gov/nuccore/CP000304.1?report=graph&amp;tracks=[key:gene_model_track,Options:GeneOnly]&amp;mk=4440317:4440336|offset_14|444444,4440295:4440314|offset_36|00cc00,4440273:4440292|offset_58|444444,4440251:4440270|offset_80|444444&amp;v=4440116:4440470&amp;c=444444", "offset 36")</f>
        <v>offset 36</v>
      </c>
    </row>
    <row r="15691" customFormat="false" ht="12.8" hidden="false" customHeight="false" outlineLevel="0" collapsed="false">
      <c r="A15691" s="0" t="s">
        <v>12</v>
      </c>
      <c r="B15691" s="0" t="n">
        <v>4440272</v>
      </c>
      <c r="C15691" s="0" t="n">
        <v>4440292</v>
      </c>
      <c r="D15691" s="0" t="s">
        <v>52280</v>
      </c>
      <c r="E15691" s="0" t="s">
        <v>89</v>
      </c>
      <c r="F15691" s="0" t="s">
        <v>90</v>
      </c>
      <c r="G15691" s="0" t="s">
        <v>36</v>
      </c>
      <c r="H15691" s="0" t="n">
        <v>58</v>
      </c>
      <c r="I15691" s="0" t="s">
        <v>52287</v>
      </c>
      <c r="J15691" s="0" t="s">
        <v>52288</v>
      </c>
      <c r="K15691" s="0" t="s">
        <v>52289</v>
      </c>
      <c r="L15691" s="0" t="str">
        <f aca="false">HYPERLINK("https://www.ncbi.nlm.nih.gov/nuccore/CP000304.1?report=graph&amp;tracks=[key:gene_model_track,Options:GeneOnly]&amp;mk=4440317:4440336|offset_14|444444,4440295:4440314|offset_36|444444,4440273:4440292|offset_58|00cc00,4440251:4440270|offset_80|444444&amp;v=4440116:4440470&amp;c=444444", "offset 58")</f>
        <v>offset 58</v>
      </c>
    </row>
    <row r="15692" customFormat="false" ht="12.8" hidden="false" customHeight="false" outlineLevel="0" collapsed="false">
      <c r="A15692" s="0" t="s">
        <v>12</v>
      </c>
      <c r="B15692" s="0" t="n">
        <v>4440250</v>
      </c>
      <c r="C15692" s="0" t="n">
        <v>4440270</v>
      </c>
      <c r="D15692" s="0" t="s">
        <v>52280</v>
      </c>
      <c r="E15692" s="0" t="s">
        <v>89</v>
      </c>
      <c r="F15692" s="0" t="s">
        <v>90</v>
      </c>
      <c r="G15692" s="0" t="s">
        <v>16</v>
      </c>
      <c r="H15692" s="0" t="n">
        <v>80</v>
      </c>
      <c r="I15692" s="0" t="s">
        <v>52290</v>
      </c>
      <c r="J15692" s="0" t="s">
        <v>52291</v>
      </c>
      <c r="K15692" s="0" t="s">
        <v>52292</v>
      </c>
      <c r="L15692" s="0" t="str">
        <f aca="false">HYPERLINK("https://www.ncbi.nlm.nih.gov/nuccore/CP000304.1?report=graph&amp;tracks=[key:gene_model_track,Options:GeneOnly]&amp;mk=4440317:4440336|offset_14|444444,4440295:4440314|offset_36|444444,4440273:4440292|offset_58|444444,4440251:4440270|offset_80|00cc00&amp;v=4440116:4440470&amp;c=444444", "offset 80")</f>
        <v>offset 80</v>
      </c>
    </row>
    <row r="15693" customFormat="false" ht="12.8" hidden="false" customHeight="false" outlineLevel="0" collapsed="false">
      <c r="A15693" s="0" t="s">
        <v>12</v>
      </c>
      <c r="B15693" s="0" t="n">
        <v>4441107</v>
      </c>
      <c r="C15693" s="0" t="n">
        <v>4441127</v>
      </c>
      <c r="D15693" s="0" t="s">
        <v>52293</v>
      </c>
      <c r="E15693" s="0" t="s">
        <v>89</v>
      </c>
      <c r="F15693" s="0" t="s">
        <v>90</v>
      </c>
      <c r="G15693" s="0" t="s">
        <v>32</v>
      </c>
      <c r="H15693" s="0" t="n">
        <v>13</v>
      </c>
      <c r="I15693" s="0" t="s">
        <v>52294</v>
      </c>
      <c r="J15693" s="0" t="s">
        <v>52295</v>
      </c>
      <c r="K15693" s="0" t="s">
        <v>52296</v>
      </c>
      <c r="L15693" s="0" t="str">
        <f aca="false">HYPERLINK("https://www.ncbi.nlm.nih.gov/nuccore/CP000304.1?report=graph&amp;tracks=[key:gene_model_track,Options:GeneOnly]&amp;mk=4441108:4441127|offset_13|00cc00,4441057:4441076|offset_64|444444,4441035:4441054|offset_86|444444,4441013:4441032|offset_108|444444&amp;v=4440907:4441232&amp;c=444444", "offset 13")</f>
        <v>offset 13</v>
      </c>
    </row>
    <row r="15694" customFormat="false" ht="12.8" hidden="false" customHeight="false" outlineLevel="0" collapsed="false">
      <c r="A15694" s="0" t="s">
        <v>12</v>
      </c>
      <c r="B15694" s="0" t="n">
        <v>4441056</v>
      </c>
      <c r="C15694" s="0" t="n">
        <v>4441076</v>
      </c>
      <c r="D15694" s="0" t="s">
        <v>52293</v>
      </c>
      <c r="E15694" s="0" t="s">
        <v>89</v>
      </c>
      <c r="F15694" s="0" t="s">
        <v>90</v>
      </c>
      <c r="G15694" s="0" t="s">
        <v>36</v>
      </c>
      <c r="H15694" s="0" t="n">
        <v>64</v>
      </c>
      <c r="I15694" s="0" t="s">
        <v>52297</v>
      </c>
      <c r="J15694" s="0" t="s">
        <v>52298</v>
      </c>
      <c r="K15694" s="0" t="s">
        <v>52299</v>
      </c>
      <c r="L15694" s="0" t="str">
        <f aca="false">HYPERLINK("https://www.ncbi.nlm.nih.gov/nuccore/CP000304.1?report=graph&amp;tracks=[key:gene_model_track,Options:GeneOnly]&amp;mk=4441108:4441127|offset_13|444444,4441057:4441076|offset_64|00cc00,4441035:4441054|offset_86|444444,4441013:4441032|offset_108|444444&amp;v=4440907:4441232&amp;c=444444", "offset 64")</f>
        <v>offset 64</v>
      </c>
    </row>
    <row r="15695" customFormat="false" ht="12.8" hidden="false" customHeight="false" outlineLevel="0" collapsed="false">
      <c r="A15695" s="0" t="s">
        <v>12</v>
      </c>
      <c r="B15695" s="0" t="n">
        <v>4441034</v>
      </c>
      <c r="C15695" s="0" t="n">
        <v>4441054</v>
      </c>
      <c r="D15695" s="0" t="s">
        <v>52293</v>
      </c>
      <c r="E15695" s="0" t="s">
        <v>89</v>
      </c>
      <c r="F15695" s="0" t="s">
        <v>90</v>
      </c>
      <c r="G15695" s="0" t="s">
        <v>26</v>
      </c>
      <c r="H15695" s="0" t="n">
        <v>86</v>
      </c>
      <c r="I15695" s="0" t="s">
        <v>52300</v>
      </c>
      <c r="J15695" s="0" t="s">
        <v>52301</v>
      </c>
      <c r="K15695" s="0" t="s">
        <v>52302</v>
      </c>
      <c r="L15695" s="0" t="str">
        <f aca="false">HYPERLINK("https://www.ncbi.nlm.nih.gov/nuccore/CP000304.1?report=graph&amp;tracks=[key:gene_model_track,Options:GeneOnly]&amp;mk=4441108:4441127|offset_13|444444,4441057:4441076|offset_64|444444,4441035:4441054|offset_86|00cc00,4441013:4441032|offset_108|444444&amp;v=4440907:4441232&amp;c=444444", "offset 86")</f>
        <v>offset 86</v>
      </c>
    </row>
    <row r="15696" customFormat="false" ht="12.8" hidden="false" customHeight="false" outlineLevel="0" collapsed="false">
      <c r="A15696" s="0" t="s">
        <v>12</v>
      </c>
      <c r="B15696" s="0" t="n">
        <v>4441012</v>
      </c>
      <c r="C15696" s="0" t="n">
        <v>4441032</v>
      </c>
      <c r="D15696" s="0" t="s">
        <v>52293</v>
      </c>
      <c r="E15696" s="0" t="s">
        <v>89</v>
      </c>
      <c r="F15696" s="0" t="s">
        <v>90</v>
      </c>
      <c r="G15696" s="0" t="s">
        <v>36</v>
      </c>
      <c r="H15696" s="0" t="n">
        <v>108</v>
      </c>
      <c r="I15696" s="0" t="s">
        <v>52303</v>
      </c>
      <c r="J15696" s="0" t="s">
        <v>52304</v>
      </c>
      <c r="K15696" s="0" t="s">
        <v>52305</v>
      </c>
      <c r="L15696" s="0" t="str">
        <f aca="false">HYPERLINK("https://www.ncbi.nlm.nih.gov/nuccore/CP000304.1?report=graph&amp;tracks=[key:gene_model_track,Options:GeneOnly]&amp;mk=4441108:4441127|offset_13|444444,4441057:4441076|offset_64|444444,4441035:4441054|offset_86|444444,4441013:4441032|offset_108|00cc00&amp;v=4440907:4441232&amp;c=444444", "offset 108")</f>
        <v>offset 108</v>
      </c>
    </row>
    <row r="15697" customFormat="false" ht="12.8" hidden="false" customHeight="false" outlineLevel="0" collapsed="false">
      <c r="A15697" s="0" t="s">
        <v>12</v>
      </c>
      <c r="B15697" s="0" t="n">
        <v>4441964</v>
      </c>
      <c r="C15697" s="0" t="n">
        <v>4441984</v>
      </c>
      <c r="D15697" s="0" t="s">
        <v>52306</v>
      </c>
      <c r="E15697" s="0" t="s">
        <v>52307</v>
      </c>
      <c r="F15697" s="0" t="s">
        <v>90</v>
      </c>
      <c r="G15697" s="0" t="s">
        <v>36</v>
      </c>
      <c r="H15697" s="0" t="n">
        <v>7</v>
      </c>
      <c r="I15697" s="0" t="s">
        <v>52308</v>
      </c>
      <c r="J15697" s="0" t="s">
        <v>52309</v>
      </c>
      <c r="K15697" s="0" t="s">
        <v>52310</v>
      </c>
      <c r="L15697" s="0" t="str">
        <f aca="false">HYPERLINK("https://www.ncbi.nlm.nih.gov/nuccore/CP000304.1?report=graph&amp;tracks=[key:gene_model_track,Options:GeneOnly]&amp;mk=4441965:4441984|offset_7|00cc00,4441945:4441964|offset_27|444444,4441922:4441941|offset_50|444444,4441889:4441908|offset_83|444444&amp;v=4441764:4442108&amp;c=444444", "offset 7")</f>
        <v>offset 7</v>
      </c>
    </row>
    <row r="15698" customFormat="false" ht="12.8" hidden="false" customHeight="false" outlineLevel="0" collapsed="false">
      <c r="A15698" s="0" t="s">
        <v>12</v>
      </c>
      <c r="B15698" s="0" t="n">
        <v>4441944</v>
      </c>
      <c r="C15698" s="0" t="n">
        <v>4441964</v>
      </c>
      <c r="D15698" s="0" t="s">
        <v>52306</v>
      </c>
      <c r="E15698" s="0" t="s">
        <v>52307</v>
      </c>
      <c r="F15698" s="0" t="s">
        <v>90</v>
      </c>
      <c r="G15698" s="0" t="s">
        <v>36</v>
      </c>
      <c r="H15698" s="0" t="n">
        <v>27</v>
      </c>
      <c r="I15698" s="0" t="s">
        <v>52311</v>
      </c>
      <c r="J15698" s="0" t="s">
        <v>52312</v>
      </c>
      <c r="K15698" s="0" t="s">
        <v>52313</v>
      </c>
      <c r="L15698" s="0" t="str">
        <f aca="false">HYPERLINK("https://www.ncbi.nlm.nih.gov/nuccore/CP000304.1?report=graph&amp;tracks=[key:gene_model_track,Options:GeneOnly]&amp;mk=4441965:4441984|offset_7|444444,4441945:4441964|offset_27|00cc00,4441922:4441941|offset_50|444444,4441889:4441908|offset_83|444444&amp;v=4441764:4442108&amp;c=444444", "offset 27")</f>
        <v>offset 27</v>
      </c>
    </row>
    <row r="15699" customFormat="false" ht="12.8" hidden="false" customHeight="false" outlineLevel="0" collapsed="false">
      <c r="A15699" s="0" t="s">
        <v>12</v>
      </c>
      <c r="B15699" s="0" t="n">
        <v>4441921</v>
      </c>
      <c r="C15699" s="0" t="n">
        <v>4441941</v>
      </c>
      <c r="D15699" s="0" t="s">
        <v>52306</v>
      </c>
      <c r="E15699" s="0" t="s">
        <v>52307</v>
      </c>
      <c r="F15699" s="0" t="s">
        <v>90</v>
      </c>
      <c r="G15699" s="0" t="s">
        <v>16</v>
      </c>
      <c r="H15699" s="0" t="n">
        <v>50</v>
      </c>
      <c r="I15699" s="0" t="s">
        <v>52314</v>
      </c>
      <c r="J15699" s="0" t="s">
        <v>52315</v>
      </c>
      <c r="K15699" s="0" t="s">
        <v>52316</v>
      </c>
      <c r="L15699" s="0" t="str">
        <f aca="false">HYPERLINK("https://www.ncbi.nlm.nih.gov/nuccore/CP000304.1?report=graph&amp;tracks=[key:gene_model_track,Options:GeneOnly]&amp;mk=4441965:4441984|offset_7|444444,4441945:4441964|offset_27|444444,4441922:4441941|offset_50|00cc00,4441889:4441908|offset_83|444444&amp;v=4441764:4442108&amp;c=444444", "offset 50")</f>
        <v>offset 50</v>
      </c>
    </row>
    <row r="15700" customFormat="false" ht="12.8" hidden="false" customHeight="false" outlineLevel="0" collapsed="false">
      <c r="A15700" s="0" t="s">
        <v>12</v>
      </c>
      <c r="B15700" s="0" t="n">
        <v>4441888</v>
      </c>
      <c r="C15700" s="0" t="n">
        <v>4441908</v>
      </c>
      <c r="D15700" s="0" t="s">
        <v>52306</v>
      </c>
      <c r="E15700" s="0" t="s">
        <v>52307</v>
      </c>
      <c r="F15700" s="0" t="s">
        <v>90</v>
      </c>
      <c r="G15700" s="0" t="s">
        <v>16</v>
      </c>
      <c r="H15700" s="0" t="n">
        <v>83</v>
      </c>
      <c r="I15700" s="0" t="s">
        <v>52317</v>
      </c>
      <c r="J15700" s="0" t="s">
        <v>52318</v>
      </c>
      <c r="K15700" s="0" t="s">
        <v>52319</v>
      </c>
      <c r="L15700" s="0" t="str">
        <f aca="false">HYPERLINK("https://www.ncbi.nlm.nih.gov/nuccore/CP000304.1?report=graph&amp;tracks=[key:gene_model_track,Options:GeneOnly]&amp;mk=4441965:4441984|offset_7|444444,4441945:4441964|offset_27|444444,4441922:4441941|offset_50|444444,4441889:4441908|offset_83|00cc00&amp;v=4441764:4442108&amp;c=444444", "offset 83")</f>
        <v>offset 83</v>
      </c>
    </row>
    <row r="15701" customFormat="false" ht="12.8" hidden="false" customHeight="false" outlineLevel="0" collapsed="false">
      <c r="A15701" s="0" t="s">
        <v>12</v>
      </c>
      <c r="B15701" s="0" t="n">
        <v>4442810</v>
      </c>
      <c r="C15701" s="0" t="n">
        <v>4442830</v>
      </c>
      <c r="D15701" s="0" t="s">
        <v>52320</v>
      </c>
      <c r="E15701" s="0" t="s">
        <v>52321</v>
      </c>
      <c r="F15701" s="0" t="s">
        <v>90</v>
      </c>
      <c r="G15701" s="0" t="s">
        <v>32</v>
      </c>
      <c r="H15701" s="0" t="n">
        <v>1</v>
      </c>
      <c r="I15701" s="0" t="s">
        <v>52322</v>
      </c>
      <c r="J15701" s="0" t="s">
        <v>52323</v>
      </c>
      <c r="K15701" s="0" t="s">
        <v>52324</v>
      </c>
      <c r="L15701" s="0" t="str">
        <f aca="false">HYPERLINK("https://www.ncbi.nlm.nih.gov/nuccore/CP000304.1?report=graph&amp;tracks=[key:gene_model_track,Options:GeneOnly]&amp;mk=4442811:4442830|offset_1|00cc00,4442772:4442791|offset_40|444444,4442750:4442769|offset_62|444444,4442724:4442743|offset_88|444444&amp;v=4442610:4442943&amp;c=444444", "offset 1")</f>
        <v>offset 1</v>
      </c>
    </row>
    <row r="15702" customFormat="false" ht="12.8" hidden="false" customHeight="false" outlineLevel="0" collapsed="false">
      <c r="A15702" s="0" t="s">
        <v>12</v>
      </c>
      <c r="B15702" s="0" t="n">
        <v>4442771</v>
      </c>
      <c r="C15702" s="0" t="n">
        <v>4442791</v>
      </c>
      <c r="D15702" s="0" t="s">
        <v>52320</v>
      </c>
      <c r="E15702" s="0" t="s">
        <v>52321</v>
      </c>
      <c r="F15702" s="0" t="s">
        <v>90</v>
      </c>
      <c r="G15702" s="0" t="s">
        <v>26</v>
      </c>
      <c r="H15702" s="0" t="n">
        <v>40</v>
      </c>
      <c r="I15702" s="0" t="s">
        <v>52325</v>
      </c>
      <c r="J15702" s="0" t="s">
        <v>52326</v>
      </c>
      <c r="K15702" s="0" t="s">
        <v>52327</v>
      </c>
      <c r="L15702" s="0" t="str">
        <f aca="false">HYPERLINK("https://www.ncbi.nlm.nih.gov/nuccore/CP000304.1?report=graph&amp;tracks=[key:gene_model_track,Options:GeneOnly]&amp;mk=4442811:4442830|offset_1|444444,4442772:4442791|offset_40|00cc00,4442750:4442769|offset_62|444444,4442724:4442743|offset_88|444444&amp;v=4442610:4442943&amp;c=444444", "offset 40")</f>
        <v>offset 40</v>
      </c>
    </row>
    <row r="15703" customFormat="false" ht="12.8" hidden="false" customHeight="false" outlineLevel="0" collapsed="false">
      <c r="A15703" s="0" t="s">
        <v>12</v>
      </c>
      <c r="B15703" s="0" t="n">
        <v>4442749</v>
      </c>
      <c r="C15703" s="0" t="n">
        <v>4442769</v>
      </c>
      <c r="D15703" s="0" t="s">
        <v>52320</v>
      </c>
      <c r="E15703" s="0" t="s">
        <v>52321</v>
      </c>
      <c r="F15703" s="0" t="s">
        <v>90</v>
      </c>
      <c r="G15703" s="0" t="s">
        <v>26</v>
      </c>
      <c r="H15703" s="0" t="n">
        <v>62</v>
      </c>
      <c r="I15703" s="0" t="s">
        <v>52328</v>
      </c>
      <c r="J15703" s="0" t="s">
        <v>52329</v>
      </c>
      <c r="K15703" s="0" t="s">
        <v>52330</v>
      </c>
      <c r="L15703" s="0" t="str">
        <f aca="false">HYPERLINK("https://www.ncbi.nlm.nih.gov/nuccore/CP000304.1?report=graph&amp;tracks=[key:gene_model_track,Options:GeneOnly]&amp;mk=4442811:4442830|offset_1|444444,4442772:4442791|offset_40|444444,4442750:4442769|offset_62|00cc00,4442724:4442743|offset_88|444444&amp;v=4442610:4442943&amp;c=444444", "offset 62")</f>
        <v>offset 62</v>
      </c>
    </row>
    <row r="15704" customFormat="false" ht="12.8" hidden="false" customHeight="false" outlineLevel="0" collapsed="false">
      <c r="A15704" s="0" t="s">
        <v>12</v>
      </c>
      <c r="B15704" s="0" t="n">
        <v>4442723</v>
      </c>
      <c r="C15704" s="0" t="n">
        <v>4442743</v>
      </c>
      <c r="D15704" s="0" t="s">
        <v>52320</v>
      </c>
      <c r="E15704" s="0" t="s">
        <v>52321</v>
      </c>
      <c r="F15704" s="0" t="s">
        <v>90</v>
      </c>
      <c r="G15704" s="0" t="s">
        <v>16</v>
      </c>
      <c r="H15704" s="0" t="n">
        <v>88</v>
      </c>
      <c r="I15704" s="0" t="s">
        <v>52331</v>
      </c>
      <c r="J15704" s="0" t="s">
        <v>52332</v>
      </c>
      <c r="K15704" s="0" t="s">
        <v>52333</v>
      </c>
      <c r="L15704" s="0" t="str">
        <f aca="false">HYPERLINK("https://www.ncbi.nlm.nih.gov/nuccore/CP000304.1?report=graph&amp;tracks=[key:gene_model_track,Options:GeneOnly]&amp;mk=4442811:4442830|offset_1|444444,4442772:4442791|offset_40|444444,4442750:4442769|offset_62|444444,4442724:4442743|offset_88|00cc00&amp;v=4442610:4442943&amp;c=444444", "offset 88")</f>
        <v>offset 88</v>
      </c>
    </row>
    <row r="15705" customFormat="false" ht="12.8" hidden="false" customHeight="false" outlineLevel="0" collapsed="false">
      <c r="A15705" s="0" t="s">
        <v>12</v>
      </c>
      <c r="B15705" s="0" t="n">
        <v>4443100</v>
      </c>
      <c r="C15705" s="0" t="n">
        <v>4443120</v>
      </c>
      <c r="D15705" s="0" t="s">
        <v>52334</v>
      </c>
      <c r="E15705" s="0" t="s">
        <v>89</v>
      </c>
      <c r="F15705" s="0" t="s">
        <v>90</v>
      </c>
      <c r="G15705" s="0" t="s">
        <v>16</v>
      </c>
      <c r="H15705" s="0" t="n">
        <v>8</v>
      </c>
      <c r="I15705" s="0" t="s">
        <v>52335</v>
      </c>
      <c r="J15705" s="0" t="s">
        <v>52336</v>
      </c>
      <c r="K15705" s="0" t="s">
        <v>52337</v>
      </c>
      <c r="L15705" s="0" t="str">
        <f aca="false">HYPERLINK("https://www.ncbi.nlm.nih.gov/nuccore/CP000304.1?report=graph&amp;tracks=[key:gene_model_track,Options:GeneOnly]&amp;mk=4443101:4443120|offset_8|00cc00,4443077:4443096|offset_32|444444,4442958:4442977|offset_151|444444,4442906:4442925|offset_203|444444&amp;v=4442900:4443125&amp;c=444444", "offset 8")</f>
        <v>offset 8</v>
      </c>
    </row>
    <row r="15706" customFormat="false" ht="12.8" hidden="false" customHeight="false" outlineLevel="0" collapsed="false">
      <c r="A15706" s="0" t="s">
        <v>12</v>
      </c>
      <c r="B15706" s="0" t="n">
        <v>4443076</v>
      </c>
      <c r="C15706" s="0" t="n">
        <v>4443096</v>
      </c>
      <c r="D15706" s="0" t="s">
        <v>52334</v>
      </c>
      <c r="E15706" s="0" t="s">
        <v>89</v>
      </c>
      <c r="F15706" s="0" t="s">
        <v>90</v>
      </c>
      <c r="G15706" s="0" t="s">
        <v>26</v>
      </c>
      <c r="H15706" s="0" t="n">
        <v>32</v>
      </c>
      <c r="I15706" s="0" t="s">
        <v>52338</v>
      </c>
      <c r="J15706" s="0" t="s">
        <v>52339</v>
      </c>
      <c r="K15706" s="0" t="s">
        <v>52340</v>
      </c>
      <c r="L15706" s="0" t="str">
        <f aca="false">HYPERLINK("https://www.ncbi.nlm.nih.gov/nuccore/CP000304.1?report=graph&amp;tracks=[key:gene_model_track,Options:GeneOnly]&amp;mk=4443101:4443120|offset_8|444444,4443077:4443096|offset_32|00cc00,4442958:4442977|offset_151|444444,4442906:4442925|offset_203|444444&amp;v=4442900:4443125&amp;c=444444", "offset 32")</f>
        <v>offset 32</v>
      </c>
    </row>
    <row r="15707" customFormat="false" ht="12.8" hidden="false" customHeight="false" outlineLevel="0" collapsed="false">
      <c r="A15707" s="0" t="s">
        <v>12</v>
      </c>
      <c r="B15707" s="0" t="n">
        <v>4442957</v>
      </c>
      <c r="C15707" s="0" t="n">
        <v>4442977</v>
      </c>
      <c r="D15707" s="0" t="s">
        <v>52334</v>
      </c>
      <c r="E15707" s="0" t="s">
        <v>89</v>
      </c>
      <c r="F15707" s="0" t="s">
        <v>90</v>
      </c>
      <c r="G15707" s="0" t="s">
        <v>36</v>
      </c>
      <c r="H15707" s="0" t="n">
        <v>151</v>
      </c>
      <c r="I15707" s="0" t="s">
        <v>52341</v>
      </c>
      <c r="J15707" s="0" t="s">
        <v>52342</v>
      </c>
      <c r="K15707" s="0" t="s">
        <v>52343</v>
      </c>
      <c r="L15707" s="0" t="str">
        <f aca="false">HYPERLINK("https://www.ncbi.nlm.nih.gov/nuccore/CP000304.1?report=graph&amp;tracks=[key:gene_model_track,Options:GeneOnly]&amp;mk=4443101:4443120|offset_8|444444,4443077:4443096|offset_32|444444,4442958:4442977|offset_151|00cc00,4442906:4442925|offset_203|444444&amp;v=4442900:4443125&amp;c=444444", "offset 151")</f>
        <v>offset 151</v>
      </c>
    </row>
    <row r="15708" customFormat="false" ht="12.8" hidden="false" customHeight="false" outlineLevel="0" collapsed="false">
      <c r="A15708" s="0" t="s">
        <v>12</v>
      </c>
      <c r="B15708" s="0" t="n">
        <v>4442905</v>
      </c>
      <c r="C15708" s="0" t="n">
        <v>4442925</v>
      </c>
      <c r="D15708" s="0" t="s">
        <v>52334</v>
      </c>
      <c r="E15708" s="0" t="s">
        <v>89</v>
      </c>
      <c r="F15708" s="0" t="s">
        <v>90</v>
      </c>
      <c r="G15708" s="0" t="s">
        <v>32</v>
      </c>
      <c r="H15708" s="0" t="n">
        <v>203</v>
      </c>
      <c r="I15708" s="0" t="s">
        <v>52344</v>
      </c>
      <c r="J15708" s="0" t="s">
        <v>52345</v>
      </c>
      <c r="K15708" s="0" t="s">
        <v>52346</v>
      </c>
      <c r="L15708" s="0" t="str">
        <f aca="false">HYPERLINK("https://www.ncbi.nlm.nih.gov/nuccore/CP000304.1?report=graph&amp;tracks=[key:gene_model_track,Options:GeneOnly]&amp;mk=4443101:4443120|offset_8|444444,4443077:4443096|offset_32|444444,4442958:4442977|offset_151|444444,4442906:4442925|offset_203|00cc00&amp;v=4442900:4443125&amp;c=444444", "offset 203")</f>
        <v>offset 203</v>
      </c>
    </row>
    <row r="15709" customFormat="false" ht="12.8" hidden="false" customHeight="false" outlineLevel="0" collapsed="false">
      <c r="A15709" s="0" t="s">
        <v>12</v>
      </c>
      <c r="B15709" s="0" t="n">
        <v>4444333</v>
      </c>
      <c r="C15709" s="0" t="n">
        <v>4444353</v>
      </c>
      <c r="D15709" s="0" t="s">
        <v>52347</v>
      </c>
      <c r="E15709" s="0" t="s">
        <v>52348</v>
      </c>
      <c r="F15709" s="0" t="s">
        <v>90</v>
      </c>
      <c r="G15709" s="0" t="s">
        <v>16</v>
      </c>
      <c r="H15709" s="0" t="n">
        <v>7</v>
      </c>
      <c r="I15709" s="0" t="s">
        <v>52349</v>
      </c>
      <c r="J15709" s="0" t="s">
        <v>52350</v>
      </c>
      <c r="K15709" s="0" t="s">
        <v>52351</v>
      </c>
      <c r="L15709" s="0" t="str">
        <f aca="false">HYPERLINK("https://www.ncbi.nlm.nih.gov/nuccore/CP000304.1?report=graph&amp;tracks=[key:gene_model_track,Options:GeneOnly]&amp;mk=4444334:4444353|offset_7|00cc00,4444304:4444323|offset_37|444444,4444280:4444299|offset_61|444444,4444244:4444263|offset_97|444444&amp;v=4444133:4444463&amp;c=444444", "offset 7")</f>
        <v>offset 7</v>
      </c>
    </row>
    <row r="15710" customFormat="false" ht="12.8" hidden="false" customHeight="false" outlineLevel="0" collapsed="false">
      <c r="A15710" s="0" t="s">
        <v>12</v>
      </c>
      <c r="B15710" s="0" t="n">
        <v>4444303</v>
      </c>
      <c r="C15710" s="0" t="n">
        <v>4444323</v>
      </c>
      <c r="D15710" s="0" t="s">
        <v>52347</v>
      </c>
      <c r="E15710" s="0" t="s">
        <v>52348</v>
      </c>
      <c r="F15710" s="0" t="s">
        <v>90</v>
      </c>
      <c r="G15710" s="0" t="s">
        <v>36</v>
      </c>
      <c r="H15710" s="0" t="n">
        <v>37</v>
      </c>
      <c r="I15710" s="0" t="s">
        <v>52352</v>
      </c>
      <c r="J15710" s="0" t="s">
        <v>52353</v>
      </c>
      <c r="K15710" s="0" t="s">
        <v>52354</v>
      </c>
      <c r="L15710" s="0" t="str">
        <f aca="false">HYPERLINK("https://www.ncbi.nlm.nih.gov/nuccore/CP000304.1?report=graph&amp;tracks=[key:gene_model_track,Options:GeneOnly]&amp;mk=4444334:4444353|offset_7|444444,4444304:4444323|offset_37|00cc00,4444280:4444299|offset_61|444444,4444244:4444263|offset_97|444444&amp;v=4444133:4444463&amp;c=444444", "offset 37")</f>
        <v>offset 37</v>
      </c>
    </row>
    <row r="15711" customFormat="false" ht="12.8" hidden="false" customHeight="false" outlineLevel="0" collapsed="false">
      <c r="A15711" s="0" t="s">
        <v>12</v>
      </c>
      <c r="B15711" s="0" t="n">
        <v>4444279</v>
      </c>
      <c r="C15711" s="0" t="n">
        <v>4444299</v>
      </c>
      <c r="D15711" s="0" t="s">
        <v>52347</v>
      </c>
      <c r="E15711" s="0" t="s">
        <v>52348</v>
      </c>
      <c r="F15711" s="0" t="s">
        <v>90</v>
      </c>
      <c r="G15711" s="0" t="s">
        <v>32</v>
      </c>
      <c r="H15711" s="0" t="n">
        <v>61</v>
      </c>
      <c r="I15711" s="0" t="s">
        <v>52355</v>
      </c>
      <c r="J15711" s="0" t="s">
        <v>52356</v>
      </c>
      <c r="K15711" s="0" t="s">
        <v>52357</v>
      </c>
      <c r="L15711" s="0" t="str">
        <f aca="false">HYPERLINK("https://www.ncbi.nlm.nih.gov/nuccore/CP000304.1?report=graph&amp;tracks=[key:gene_model_track,Options:GeneOnly]&amp;mk=4444334:4444353|offset_7|444444,4444304:4444323|offset_37|444444,4444280:4444299|offset_61|00cc00,4444244:4444263|offset_97|444444&amp;v=4444133:4444463&amp;c=444444", "offset 61")</f>
        <v>offset 61</v>
      </c>
    </row>
    <row r="15712" customFormat="false" ht="12.8" hidden="false" customHeight="false" outlineLevel="0" collapsed="false">
      <c r="A15712" s="0" t="s">
        <v>12</v>
      </c>
      <c r="B15712" s="0" t="n">
        <v>4444243</v>
      </c>
      <c r="C15712" s="0" t="n">
        <v>4444263</v>
      </c>
      <c r="D15712" s="0" t="s">
        <v>52347</v>
      </c>
      <c r="E15712" s="0" t="s">
        <v>52348</v>
      </c>
      <c r="F15712" s="0" t="s">
        <v>90</v>
      </c>
      <c r="G15712" s="0" t="s">
        <v>32</v>
      </c>
      <c r="H15712" s="0" t="n">
        <v>97</v>
      </c>
      <c r="I15712" s="0" t="s">
        <v>52358</v>
      </c>
      <c r="J15712" s="0" t="s">
        <v>52359</v>
      </c>
      <c r="K15712" s="0" t="s">
        <v>52360</v>
      </c>
      <c r="L15712" s="0" t="str">
        <f aca="false">HYPERLINK("https://www.ncbi.nlm.nih.gov/nuccore/CP000304.1?report=graph&amp;tracks=[key:gene_model_track,Options:GeneOnly]&amp;mk=4444334:4444353|offset_7|444444,4444304:4444323|offset_37|444444,4444280:4444299|offset_61|444444,4444244:4444263|offset_97|00cc00&amp;v=4444133:4444463&amp;c=444444", "offset 97")</f>
        <v>offset 97</v>
      </c>
    </row>
    <row r="15713" customFormat="false" ht="12.8" hidden="false" customHeight="false" outlineLevel="0" collapsed="false">
      <c r="A15713" s="0" t="s">
        <v>12</v>
      </c>
      <c r="B15713" s="0" t="n">
        <v>4444489</v>
      </c>
      <c r="C15713" s="0" t="n">
        <v>4444509</v>
      </c>
      <c r="D15713" s="0" t="s">
        <v>52361</v>
      </c>
      <c r="E15713" s="0" t="s">
        <v>52362</v>
      </c>
      <c r="F15713" s="0" t="s">
        <v>15</v>
      </c>
      <c r="G15713" s="0" t="s">
        <v>36</v>
      </c>
      <c r="H15713" s="0" t="n">
        <v>0</v>
      </c>
      <c r="I15713" s="0" t="s">
        <v>52363</v>
      </c>
      <c r="J15713" s="0" t="s">
        <v>52364</v>
      </c>
      <c r="K15713" s="0" t="s">
        <v>52365</v>
      </c>
      <c r="L15713" s="0" t="str">
        <f aca="false">HYPERLINK("https://www.ncbi.nlm.nih.gov/nuccore/CP000304.1?report=graph&amp;tracks=[key:gene_model_track,Options:GeneOnly]&amp;mk=4444490:4444509|offset_0|00cc00,4444511:4444530|offset_21|444444,4444536:4444555|offset_46|444444,4444561:4444580|offset_71|444444&amp;v=4444289:4444780&amp;c=444444", "offset 0")</f>
        <v>offset 0</v>
      </c>
    </row>
    <row r="15714" customFormat="false" ht="12.8" hidden="false" customHeight="false" outlineLevel="0" collapsed="false">
      <c r="A15714" s="0" t="s">
        <v>12</v>
      </c>
      <c r="B15714" s="0" t="n">
        <v>4444510</v>
      </c>
      <c r="C15714" s="0" t="n">
        <v>4444530</v>
      </c>
      <c r="D15714" s="0" t="s">
        <v>52361</v>
      </c>
      <c r="E15714" s="0" t="s">
        <v>52362</v>
      </c>
      <c r="F15714" s="0" t="s">
        <v>15</v>
      </c>
      <c r="G15714" s="0" t="s">
        <v>26</v>
      </c>
      <c r="H15714" s="0" t="n">
        <v>21</v>
      </c>
      <c r="I15714" s="0" t="s">
        <v>52366</v>
      </c>
      <c r="J15714" s="0" t="s">
        <v>52367</v>
      </c>
      <c r="K15714" s="0" t="s">
        <v>52368</v>
      </c>
      <c r="L15714" s="0" t="str">
        <f aca="false">HYPERLINK("https://www.ncbi.nlm.nih.gov/nuccore/CP000304.1?report=graph&amp;tracks=[key:gene_model_track,Options:GeneOnly]&amp;mk=4444490:4444509|offset_0|444444,4444511:4444530|offset_21|00cc00,4444536:4444555|offset_46|444444,4444561:4444580|offset_71|444444&amp;v=4444289:4444780&amp;c=444444", "offset 21")</f>
        <v>offset 21</v>
      </c>
    </row>
    <row r="15715" customFormat="false" ht="12.8" hidden="false" customHeight="false" outlineLevel="0" collapsed="false">
      <c r="A15715" s="0" t="s">
        <v>12</v>
      </c>
      <c r="B15715" s="0" t="n">
        <v>4444535</v>
      </c>
      <c r="C15715" s="0" t="n">
        <v>4444555</v>
      </c>
      <c r="D15715" s="0" t="s">
        <v>52361</v>
      </c>
      <c r="E15715" s="0" t="s">
        <v>52362</v>
      </c>
      <c r="F15715" s="0" t="s">
        <v>15</v>
      </c>
      <c r="G15715" s="0" t="s">
        <v>26</v>
      </c>
      <c r="H15715" s="0" t="n">
        <v>46</v>
      </c>
      <c r="I15715" s="0" t="s">
        <v>52369</v>
      </c>
      <c r="J15715" s="0" t="s">
        <v>52370</v>
      </c>
      <c r="K15715" s="0" t="s">
        <v>52371</v>
      </c>
      <c r="L15715" s="0" t="str">
        <f aca="false">HYPERLINK("https://www.ncbi.nlm.nih.gov/nuccore/CP000304.1?report=graph&amp;tracks=[key:gene_model_track,Options:GeneOnly]&amp;mk=4444490:4444509|offset_0|444444,4444511:4444530|offset_21|444444,4444536:4444555|offset_46|00cc00,4444561:4444580|offset_71|444444&amp;v=4444289:4444780&amp;c=444444", "offset 46")</f>
        <v>offset 46</v>
      </c>
    </row>
    <row r="15716" customFormat="false" ht="12.8" hidden="false" customHeight="false" outlineLevel="0" collapsed="false">
      <c r="A15716" s="0" t="s">
        <v>12</v>
      </c>
      <c r="B15716" s="0" t="n">
        <v>4444560</v>
      </c>
      <c r="C15716" s="0" t="n">
        <v>4444580</v>
      </c>
      <c r="D15716" s="0" t="s">
        <v>52361</v>
      </c>
      <c r="E15716" s="0" t="s">
        <v>52362</v>
      </c>
      <c r="F15716" s="0" t="s">
        <v>15</v>
      </c>
      <c r="G15716" s="0" t="s">
        <v>26</v>
      </c>
      <c r="H15716" s="0" t="n">
        <v>71</v>
      </c>
      <c r="I15716" s="0" t="s">
        <v>52372</v>
      </c>
      <c r="J15716" s="0" t="s">
        <v>52373</v>
      </c>
      <c r="K15716" s="0" t="s">
        <v>52374</v>
      </c>
      <c r="L15716" s="0" t="str">
        <f aca="false">HYPERLINK("https://www.ncbi.nlm.nih.gov/nuccore/CP000304.1?report=graph&amp;tracks=[key:gene_model_track,Options:GeneOnly]&amp;mk=4444490:4444509|offset_0|444444,4444511:4444530|offset_21|444444,4444536:4444555|offset_46|444444,4444561:4444580|offset_71|00cc00&amp;v=4444289:4444780&amp;c=444444", "offset 71")</f>
        <v>offset 71</v>
      </c>
    </row>
    <row r="15717" customFormat="false" ht="12.8" hidden="false" customHeight="false" outlineLevel="0" collapsed="false">
      <c r="A15717" s="0" t="s">
        <v>12</v>
      </c>
      <c r="B15717" s="0" t="n">
        <v>4446150</v>
      </c>
      <c r="C15717" s="0" t="n">
        <v>4446170</v>
      </c>
      <c r="D15717" s="0" t="s">
        <v>52375</v>
      </c>
      <c r="E15717" s="0" t="s">
        <v>52376</v>
      </c>
      <c r="F15717" s="0" t="s">
        <v>15</v>
      </c>
      <c r="G15717" s="0" t="s">
        <v>32</v>
      </c>
      <c r="H15717" s="0" t="n">
        <v>1</v>
      </c>
      <c r="I15717" s="0" t="s">
        <v>52377</v>
      </c>
      <c r="J15717" s="0" t="s">
        <v>52378</v>
      </c>
      <c r="K15717" s="0" t="s">
        <v>52379</v>
      </c>
      <c r="L15717" s="0" t="str">
        <f aca="false">HYPERLINK("https://www.ncbi.nlm.nih.gov/nuccore/CP000304.1?report=graph&amp;tracks=[key:gene_model_track,Options:GeneOnly]&amp;mk=4446151:4446170|offset_1|00cc00,4446176:4446195|offset_26|444444,4446199:4446218|offset_49|444444,4446235:4446254|offset_85|444444&amp;v=4445950:4446454&amp;c=444444", "offset 1")</f>
        <v>offset 1</v>
      </c>
    </row>
    <row r="15718" customFormat="false" ht="12.8" hidden="false" customHeight="false" outlineLevel="0" collapsed="false">
      <c r="A15718" s="0" t="s">
        <v>12</v>
      </c>
      <c r="B15718" s="0" t="n">
        <v>4446175</v>
      </c>
      <c r="C15718" s="0" t="n">
        <v>4446195</v>
      </c>
      <c r="D15718" s="0" t="s">
        <v>52375</v>
      </c>
      <c r="E15718" s="0" t="s">
        <v>52376</v>
      </c>
      <c r="F15718" s="0" t="s">
        <v>15</v>
      </c>
      <c r="G15718" s="0" t="s">
        <v>32</v>
      </c>
      <c r="H15718" s="0" t="n">
        <v>26</v>
      </c>
      <c r="I15718" s="0" t="s">
        <v>52380</v>
      </c>
      <c r="J15718" s="0" t="s">
        <v>52381</v>
      </c>
      <c r="K15718" s="0" t="s">
        <v>52382</v>
      </c>
      <c r="L15718" s="0" t="str">
        <f aca="false">HYPERLINK("https://www.ncbi.nlm.nih.gov/nuccore/CP000304.1?report=graph&amp;tracks=[key:gene_model_track,Options:GeneOnly]&amp;mk=4446151:4446170|offset_1|444444,4446176:4446195|offset_26|00cc00,4446199:4446218|offset_49|444444,4446235:4446254|offset_85|444444&amp;v=4445950:4446454&amp;c=444444", "offset 26")</f>
        <v>offset 26</v>
      </c>
    </row>
    <row r="15719" customFormat="false" ht="12.8" hidden="false" customHeight="false" outlineLevel="0" collapsed="false">
      <c r="A15719" s="0" t="s">
        <v>12</v>
      </c>
      <c r="B15719" s="0" t="n">
        <v>4446198</v>
      </c>
      <c r="C15719" s="0" t="n">
        <v>4446218</v>
      </c>
      <c r="D15719" s="0" t="s">
        <v>52375</v>
      </c>
      <c r="E15719" s="0" t="s">
        <v>52376</v>
      </c>
      <c r="F15719" s="0" t="s">
        <v>15</v>
      </c>
      <c r="G15719" s="0" t="s">
        <v>26</v>
      </c>
      <c r="H15719" s="0" t="n">
        <v>49</v>
      </c>
      <c r="I15719" s="0" t="s">
        <v>52383</v>
      </c>
      <c r="J15719" s="0" t="s">
        <v>52384</v>
      </c>
      <c r="K15719" s="0" t="s">
        <v>52385</v>
      </c>
      <c r="L15719" s="0" t="str">
        <f aca="false">HYPERLINK("https://www.ncbi.nlm.nih.gov/nuccore/CP000304.1?report=graph&amp;tracks=[key:gene_model_track,Options:GeneOnly]&amp;mk=4446151:4446170|offset_1|444444,4446176:4446195|offset_26|444444,4446199:4446218|offset_49|00cc00,4446235:4446254|offset_85|444444&amp;v=4445950:4446454&amp;c=444444", "offset 49")</f>
        <v>offset 49</v>
      </c>
    </row>
    <row r="15720" customFormat="false" ht="12.8" hidden="false" customHeight="false" outlineLevel="0" collapsed="false">
      <c r="A15720" s="0" t="s">
        <v>12</v>
      </c>
      <c r="B15720" s="0" t="n">
        <v>4446234</v>
      </c>
      <c r="C15720" s="0" t="n">
        <v>4446254</v>
      </c>
      <c r="D15720" s="0" t="s">
        <v>52375</v>
      </c>
      <c r="E15720" s="0" t="s">
        <v>52376</v>
      </c>
      <c r="F15720" s="0" t="s">
        <v>15</v>
      </c>
      <c r="G15720" s="0" t="s">
        <v>16</v>
      </c>
      <c r="H15720" s="0" t="n">
        <v>85</v>
      </c>
      <c r="I15720" s="0" t="s">
        <v>52386</v>
      </c>
      <c r="J15720" s="0" t="s">
        <v>52387</v>
      </c>
      <c r="K15720" s="0" t="s">
        <v>52388</v>
      </c>
      <c r="L15720" s="0" t="str">
        <f aca="false">HYPERLINK("https://www.ncbi.nlm.nih.gov/nuccore/CP000304.1?report=graph&amp;tracks=[key:gene_model_track,Options:GeneOnly]&amp;mk=4446151:4446170|offset_1|444444,4446176:4446195|offset_26|444444,4446199:4446218|offset_49|444444,4446235:4446254|offset_85|00cc00&amp;v=4445950:4446454&amp;c=444444", "offset 85")</f>
        <v>offset 85</v>
      </c>
    </row>
    <row r="15721" customFormat="false" ht="12.8" hidden="false" customHeight="false" outlineLevel="0" collapsed="false">
      <c r="A15721" s="0" t="s">
        <v>12</v>
      </c>
      <c r="B15721" s="0" t="n">
        <v>4447602</v>
      </c>
      <c r="C15721" s="0" t="n">
        <v>4447622</v>
      </c>
      <c r="D15721" s="0" t="s">
        <v>52389</v>
      </c>
      <c r="E15721" s="0" t="s">
        <v>52390</v>
      </c>
      <c r="F15721" s="0" t="s">
        <v>15</v>
      </c>
      <c r="G15721" s="0" t="s">
        <v>16</v>
      </c>
      <c r="H15721" s="0" t="n">
        <v>17</v>
      </c>
      <c r="I15721" s="0" t="s">
        <v>52391</v>
      </c>
      <c r="J15721" s="0" t="s">
        <v>52392</v>
      </c>
      <c r="K15721" s="0" t="s">
        <v>52393</v>
      </c>
      <c r="L15721" s="0" t="str">
        <f aca="false">HYPERLINK("https://www.ncbi.nlm.nih.gov/nuccore/CP000304.1?report=graph&amp;tracks=[key:gene_model_track,Options:GeneOnly]&amp;mk=4447603:4447622|offset_17|00cc00,4447628:4447647|offset_42|444444,4447680:4447699|offset_94|444444,4447700:4447719|offset_114|444444&amp;v=4447402:4447919&amp;c=444444", "offset 17")</f>
        <v>offset 17</v>
      </c>
    </row>
    <row r="15722" customFormat="false" ht="12.8" hidden="false" customHeight="false" outlineLevel="0" collapsed="false">
      <c r="A15722" s="0" t="s">
        <v>12</v>
      </c>
      <c r="B15722" s="0" t="n">
        <v>4447627</v>
      </c>
      <c r="C15722" s="0" t="n">
        <v>4447647</v>
      </c>
      <c r="D15722" s="0" t="s">
        <v>52389</v>
      </c>
      <c r="E15722" s="0" t="s">
        <v>52390</v>
      </c>
      <c r="F15722" s="0" t="s">
        <v>15</v>
      </c>
      <c r="G15722" s="0" t="s">
        <v>16</v>
      </c>
      <c r="H15722" s="0" t="n">
        <v>42</v>
      </c>
      <c r="I15722" s="0" t="s">
        <v>52394</v>
      </c>
      <c r="J15722" s="0" t="s">
        <v>52395</v>
      </c>
      <c r="K15722" s="0" t="s">
        <v>52396</v>
      </c>
      <c r="L15722" s="0" t="str">
        <f aca="false">HYPERLINK("https://www.ncbi.nlm.nih.gov/nuccore/CP000304.1?report=graph&amp;tracks=[key:gene_model_track,Options:GeneOnly]&amp;mk=4447603:4447622|offset_17|444444,4447628:4447647|offset_42|00cc00,4447680:4447699|offset_94|444444,4447700:4447719|offset_114|444444&amp;v=4447402:4447919&amp;c=444444", "offset 42")</f>
        <v>offset 42</v>
      </c>
    </row>
    <row r="15723" customFormat="false" ht="12.8" hidden="false" customHeight="false" outlineLevel="0" collapsed="false">
      <c r="A15723" s="0" t="s">
        <v>12</v>
      </c>
      <c r="B15723" s="0" t="n">
        <v>4447679</v>
      </c>
      <c r="C15723" s="0" t="n">
        <v>4447699</v>
      </c>
      <c r="D15723" s="0" t="s">
        <v>52389</v>
      </c>
      <c r="E15723" s="0" t="s">
        <v>52390</v>
      </c>
      <c r="F15723" s="0" t="s">
        <v>15</v>
      </c>
      <c r="G15723" s="0" t="s">
        <v>16</v>
      </c>
      <c r="H15723" s="0" t="n">
        <v>94</v>
      </c>
      <c r="I15723" s="0" t="s">
        <v>52397</v>
      </c>
      <c r="J15723" s="0" t="s">
        <v>52398</v>
      </c>
      <c r="K15723" s="0" t="s">
        <v>52399</v>
      </c>
      <c r="L15723" s="0" t="str">
        <f aca="false">HYPERLINK("https://www.ncbi.nlm.nih.gov/nuccore/CP000304.1?report=graph&amp;tracks=[key:gene_model_track,Options:GeneOnly]&amp;mk=4447603:4447622|offset_17|444444,4447628:4447647|offset_42|444444,4447680:4447699|offset_94|00cc00,4447700:4447719|offset_114|444444&amp;v=4447402:4447919&amp;c=444444", "offset 94")</f>
        <v>offset 94</v>
      </c>
    </row>
    <row r="15724" customFormat="false" ht="12.8" hidden="false" customHeight="false" outlineLevel="0" collapsed="false">
      <c r="A15724" s="0" t="s">
        <v>12</v>
      </c>
      <c r="B15724" s="0" t="n">
        <v>4447699</v>
      </c>
      <c r="C15724" s="0" t="n">
        <v>4447719</v>
      </c>
      <c r="D15724" s="0" t="s">
        <v>52389</v>
      </c>
      <c r="E15724" s="0" t="s">
        <v>52390</v>
      </c>
      <c r="F15724" s="0" t="s">
        <v>15</v>
      </c>
      <c r="G15724" s="0" t="s">
        <v>32</v>
      </c>
      <c r="H15724" s="0" t="n">
        <v>114</v>
      </c>
      <c r="I15724" s="0" t="s">
        <v>52400</v>
      </c>
      <c r="J15724" s="0" t="s">
        <v>52401</v>
      </c>
      <c r="K15724" s="0" t="s">
        <v>52402</v>
      </c>
      <c r="L15724" s="0" t="str">
        <f aca="false">HYPERLINK("https://www.ncbi.nlm.nih.gov/nuccore/CP000304.1?report=graph&amp;tracks=[key:gene_model_track,Options:GeneOnly]&amp;mk=4447603:4447622|offset_17|444444,4447628:4447647|offset_42|444444,4447680:4447699|offset_94|444444,4447700:4447719|offset_114|00cc00&amp;v=4447402:4447919&amp;c=444444", "offset 114")</f>
        <v>offset 114</v>
      </c>
    </row>
    <row r="15725" customFormat="false" ht="12.8" hidden="false" customHeight="false" outlineLevel="0" collapsed="false">
      <c r="A15725" s="0" t="s">
        <v>12</v>
      </c>
      <c r="B15725" s="0" t="n">
        <v>4448389</v>
      </c>
      <c r="C15725" s="0" t="n">
        <v>4448409</v>
      </c>
      <c r="D15725" s="0" t="s">
        <v>52403</v>
      </c>
      <c r="E15725" s="0" t="s">
        <v>52404</v>
      </c>
      <c r="F15725" s="0" t="s">
        <v>15</v>
      </c>
      <c r="G15725" s="0" t="s">
        <v>32</v>
      </c>
      <c r="H15725" s="0" t="n">
        <v>1</v>
      </c>
      <c r="I15725" s="0" t="s">
        <v>52405</v>
      </c>
      <c r="J15725" s="0" t="s">
        <v>52406</v>
      </c>
      <c r="K15725" s="0" t="s">
        <v>52407</v>
      </c>
      <c r="L15725" s="0" t="str">
        <f aca="false">HYPERLINK("https://www.ncbi.nlm.nih.gov/nuccore/CP000304.1?report=graph&amp;tracks=[key:gene_model_track,Options:GeneOnly]&amp;mk=4448390:4448409|offset_1|00cc00,4448415:4448434|offset_26|444444,4448442:4448461|offset_53|444444,4448472:4448491|offset_83|444444&amp;v=4448189:4448691&amp;c=444444", "offset 1")</f>
        <v>offset 1</v>
      </c>
    </row>
    <row r="15726" customFormat="false" ht="12.8" hidden="false" customHeight="false" outlineLevel="0" collapsed="false">
      <c r="A15726" s="0" t="s">
        <v>12</v>
      </c>
      <c r="B15726" s="0" t="n">
        <v>4448414</v>
      </c>
      <c r="C15726" s="0" t="n">
        <v>4448434</v>
      </c>
      <c r="D15726" s="0" t="s">
        <v>52403</v>
      </c>
      <c r="E15726" s="0" t="s">
        <v>52404</v>
      </c>
      <c r="F15726" s="0" t="s">
        <v>15</v>
      </c>
      <c r="G15726" s="0" t="s">
        <v>26</v>
      </c>
      <c r="H15726" s="0" t="n">
        <v>26</v>
      </c>
      <c r="I15726" s="0" t="s">
        <v>52408</v>
      </c>
      <c r="J15726" s="0" t="s">
        <v>52409</v>
      </c>
      <c r="K15726" s="0" t="s">
        <v>52410</v>
      </c>
      <c r="L15726" s="0" t="str">
        <f aca="false">HYPERLINK("https://www.ncbi.nlm.nih.gov/nuccore/CP000304.1?report=graph&amp;tracks=[key:gene_model_track,Options:GeneOnly]&amp;mk=4448390:4448409|offset_1|444444,4448415:4448434|offset_26|00cc00,4448442:4448461|offset_53|444444,4448472:4448491|offset_83|444444&amp;v=4448189:4448691&amp;c=444444", "offset 26")</f>
        <v>offset 26</v>
      </c>
    </row>
    <row r="15727" customFormat="false" ht="12.8" hidden="false" customHeight="false" outlineLevel="0" collapsed="false">
      <c r="A15727" s="0" t="s">
        <v>12</v>
      </c>
      <c r="B15727" s="0" t="n">
        <v>4448441</v>
      </c>
      <c r="C15727" s="0" t="n">
        <v>4448461</v>
      </c>
      <c r="D15727" s="0" t="s">
        <v>52403</v>
      </c>
      <c r="E15727" s="0" t="s">
        <v>52404</v>
      </c>
      <c r="F15727" s="0" t="s">
        <v>15</v>
      </c>
      <c r="G15727" s="0" t="s">
        <v>26</v>
      </c>
      <c r="H15727" s="0" t="n">
        <v>53</v>
      </c>
      <c r="I15727" s="0" t="s">
        <v>52411</v>
      </c>
      <c r="J15727" s="0" t="s">
        <v>52412</v>
      </c>
      <c r="K15727" s="0" t="s">
        <v>52413</v>
      </c>
      <c r="L15727" s="0" t="str">
        <f aca="false">HYPERLINK("https://www.ncbi.nlm.nih.gov/nuccore/CP000304.1?report=graph&amp;tracks=[key:gene_model_track,Options:GeneOnly]&amp;mk=4448390:4448409|offset_1|444444,4448415:4448434|offset_26|444444,4448442:4448461|offset_53|00cc00,4448472:4448491|offset_83|444444&amp;v=4448189:4448691&amp;c=444444", "offset 53")</f>
        <v>offset 53</v>
      </c>
    </row>
    <row r="15728" customFormat="false" ht="12.8" hidden="false" customHeight="false" outlineLevel="0" collapsed="false">
      <c r="A15728" s="0" t="s">
        <v>12</v>
      </c>
      <c r="B15728" s="0" t="n">
        <v>4448471</v>
      </c>
      <c r="C15728" s="0" t="n">
        <v>4448491</v>
      </c>
      <c r="D15728" s="0" t="s">
        <v>52403</v>
      </c>
      <c r="E15728" s="0" t="s">
        <v>52404</v>
      </c>
      <c r="F15728" s="0" t="s">
        <v>15</v>
      </c>
      <c r="G15728" s="0" t="s">
        <v>26</v>
      </c>
      <c r="H15728" s="0" t="n">
        <v>83</v>
      </c>
      <c r="I15728" s="0" t="s">
        <v>52414</v>
      </c>
      <c r="J15728" s="0" t="s">
        <v>52415</v>
      </c>
      <c r="K15728" s="0" t="s">
        <v>52416</v>
      </c>
      <c r="L15728" s="0" t="str">
        <f aca="false">HYPERLINK("https://www.ncbi.nlm.nih.gov/nuccore/CP000304.1?report=graph&amp;tracks=[key:gene_model_track,Options:GeneOnly]&amp;mk=4448390:4448409|offset_1|444444,4448415:4448434|offset_26|444444,4448442:4448461|offset_53|444444,4448472:4448491|offset_83|00cc00&amp;v=4448189:4448691&amp;c=444444", "offset 83")</f>
        <v>offset 83</v>
      </c>
    </row>
    <row r="15729" customFormat="false" ht="12.8" hidden="false" customHeight="false" outlineLevel="0" collapsed="false">
      <c r="A15729" s="0" t="s">
        <v>12</v>
      </c>
      <c r="B15729" s="0" t="n">
        <v>4449230</v>
      </c>
      <c r="C15729" s="0" t="n">
        <v>4449250</v>
      </c>
      <c r="D15729" s="0" t="s">
        <v>52417</v>
      </c>
      <c r="E15729" s="0" t="s">
        <v>89</v>
      </c>
      <c r="F15729" s="0" t="s">
        <v>15</v>
      </c>
      <c r="G15729" s="0" t="s">
        <v>16</v>
      </c>
      <c r="H15729" s="0" t="n">
        <v>10</v>
      </c>
      <c r="I15729" s="0" t="s">
        <v>52418</v>
      </c>
      <c r="J15729" s="0" t="s">
        <v>52419</v>
      </c>
      <c r="K15729" s="0" t="s">
        <v>52420</v>
      </c>
      <c r="L15729" s="0" t="str">
        <f aca="false">HYPERLINK("https://www.ncbi.nlm.nih.gov/nuccore/CP000304.1?report=graph&amp;tracks=[key:gene_model_track,Options:GeneOnly]&amp;mk=4449231:4449250|offset_10|00cc00,4449261:4449280|offset_40|444444,4449282:4449301|offset_61|444444,4449307:4449326|offset_86|444444&amp;v=4449030:4449526&amp;c=444444", "offset 10")</f>
        <v>offset 10</v>
      </c>
    </row>
    <row r="15730" customFormat="false" ht="12.8" hidden="false" customHeight="false" outlineLevel="0" collapsed="false">
      <c r="A15730" s="0" t="s">
        <v>12</v>
      </c>
      <c r="B15730" s="0" t="n">
        <v>4449260</v>
      </c>
      <c r="C15730" s="0" t="n">
        <v>4449280</v>
      </c>
      <c r="D15730" s="0" t="s">
        <v>52417</v>
      </c>
      <c r="E15730" s="0" t="s">
        <v>89</v>
      </c>
      <c r="F15730" s="0" t="s">
        <v>15</v>
      </c>
      <c r="G15730" s="0" t="s">
        <v>32</v>
      </c>
      <c r="H15730" s="0" t="n">
        <v>40</v>
      </c>
      <c r="I15730" s="0" t="s">
        <v>52421</v>
      </c>
      <c r="J15730" s="0" t="s">
        <v>52422</v>
      </c>
      <c r="K15730" s="0" t="s">
        <v>52423</v>
      </c>
      <c r="L15730" s="0" t="str">
        <f aca="false">HYPERLINK("https://www.ncbi.nlm.nih.gov/nuccore/CP000304.1?report=graph&amp;tracks=[key:gene_model_track,Options:GeneOnly]&amp;mk=4449231:4449250|offset_10|444444,4449261:4449280|offset_40|00cc00,4449282:4449301|offset_61|444444,4449307:4449326|offset_86|444444&amp;v=4449030:4449526&amp;c=444444", "offset 40")</f>
        <v>offset 40</v>
      </c>
    </row>
    <row r="15731" customFormat="false" ht="12.8" hidden="false" customHeight="false" outlineLevel="0" collapsed="false">
      <c r="A15731" s="0" t="s">
        <v>12</v>
      </c>
      <c r="B15731" s="0" t="n">
        <v>4449281</v>
      </c>
      <c r="C15731" s="0" t="n">
        <v>4449301</v>
      </c>
      <c r="D15731" s="0" t="s">
        <v>52417</v>
      </c>
      <c r="E15731" s="0" t="s">
        <v>89</v>
      </c>
      <c r="F15731" s="0" t="s">
        <v>15</v>
      </c>
      <c r="G15731" s="0" t="s">
        <v>16</v>
      </c>
      <c r="H15731" s="0" t="n">
        <v>61</v>
      </c>
      <c r="I15731" s="0" t="s">
        <v>52424</v>
      </c>
      <c r="J15731" s="0" t="s">
        <v>52425</v>
      </c>
      <c r="K15731" s="0" t="s">
        <v>52426</v>
      </c>
      <c r="L15731" s="0" t="str">
        <f aca="false">HYPERLINK("https://www.ncbi.nlm.nih.gov/nuccore/CP000304.1?report=graph&amp;tracks=[key:gene_model_track,Options:GeneOnly]&amp;mk=4449231:4449250|offset_10|444444,4449261:4449280|offset_40|444444,4449282:4449301|offset_61|00cc00,4449307:4449326|offset_86|444444&amp;v=4449030:4449526&amp;c=444444", "offset 61")</f>
        <v>offset 61</v>
      </c>
    </row>
    <row r="15732" customFormat="false" ht="12.8" hidden="false" customHeight="false" outlineLevel="0" collapsed="false">
      <c r="A15732" s="0" t="s">
        <v>12</v>
      </c>
      <c r="B15732" s="0" t="n">
        <v>4449306</v>
      </c>
      <c r="C15732" s="0" t="n">
        <v>4449326</v>
      </c>
      <c r="D15732" s="0" t="s">
        <v>52417</v>
      </c>
      <c r="E15732" s="0" t="s">
        <v>89</v>
      </c>
      <c r="F15732" s="0" t="s">
        <v>15</v>
      </c>
      <c r="G15732" s="0" t="s">
        <v>26</v>
      </c>
      <c r="H15732" s="0" t="n">
        <v>86</v>
      </c>
      <c r="I15732" s="0" t="s">
        <v>52427</v>
      </c>
      <c r="J15732" s="0" t="s">
        <v>52428</v>
      </c>
      <c r="K15732" s="0" t="s">
        <v>52429</v>
      </c>
      <c r="L15732" s="0" t="str">
        <f aca="false">HYPERLINK("https://www.ncbi.nlm.nih.gov/nuccore/CP000304.1?report=graph&amp;tracks=[key:gene_model_track,Options:GeneOnly]&amp;mk=4449231:4449250|offset_10|444444,4449261:4449280|offset_40|444444,4449282:4449301|offset_61|444444,4449307:4449326|offset_86|00cc00&amp;v=4449030:4449526&amp;c=444444", "offset 86")</f>
        <v>offset 86</v>
      </c>
    </row>
    <row r="15733" customFormat="false" ht="12.8" hidden="false" customHeight="false" outlineLevel="0" collapsed="false">
      <c r="A15733" s="0" t="s">
        <v>12</v>
      </c>
      <c r="B15733" s="0" t="n">
        <v>4449861</v>
      </c>
      <c r="C15733" s="0" t="n">
        <v>4449881</v>
      </c>
      <c r="D15733" s="0" t="s">
        <v>52430</v>
      </c>
      <c r="E15733" s="0" t="s">
        <v>89</v>
      </c>
      <c r="F15733" s="0" t="s">
        <v>15</v>
      </c>
      <c r="G15733" s="0" t="s">
        <v>32</v>
      </c>
      <c r="H15733" s="0" t="n">
        <v>1</v>
      </c>
      <c r="I15733" s="0" t="s">
        <v>52431</v>
      </c>
      <c r="J15733" s="0" t="s">
        <v>52432</v>
      </c>
      <c r="K15733" s="0" t="s">
        <v>52433</v>
      </c>
      <c r="L15733" s="0" t="str">
        <f aca="false">HYPERLINK("https://www.ncbi.nlm.nih.gov/nuccore/CP000304.1?report=graph&amp;tracks=[key:gene_model_track,Options:GeneOnly]&amp;mk=4449862:4449881|offset_1|00cc00,4449884:4449903|offset_23|444444,4449917:4449936|offset_56|444444,4449943:4449962|offset_82|444444&amp;v=4449661:4450162&amp;c=444444", "offset 1")</f>
        <v>offset 1</v>
      </c>
    </row>
    <row r="15734" customFormat="false" ht="12.8" hidden="false" customHeight="false" outlineLevel="0" collapsed="false">
      <c r="A15734" s="0" t="s">
        <v>12</v>
      </c>
      <c r="B15734" s="0" t="n">
        <v>4449883</v>
      </c>
      <c r="C15734" s="0" t="n">
        <v>4449903</v>
      </c>
      <c r="D15734" s="0" t="s">
        <v>52430</v>
      </c>
      <c r="E15734" s="0" t="s">
        <v>89</v>
      </c>
      <c r="F15734" s="0" t="s">
        <v>15</v>
      </c>
      <c r="G15734" s="0" t="s">
        <v>26</v>
      </c>
      <c r="H15734" s="0" t="n">
        <v>23</v>
      </c>
      <c r="I15734" s="0" t="s">
        <v>52434</v>
      </c>
      <c r="J15734" s="0" t="s">
        <v>52435</v>
      </c>
      <c r="K15734" s="0" t="s">
        <v>52436</v>
      </c>
      <c r="L15734" s="0" t="str">
        <f aca="false">HYPERLINK("https://www.ncbi.nlm.nih.gov/nuccore/CP000304.1?report=graph&amp;tracks=[key:gene_model_track,Options:GeneOnly]&amp;mk=4449862:4449881|offset_1|444444,4449884:4449903|offset_23|00cc00,4449917:4449936|offset_56|444444,4449943:4449962|offset_82|444444&amp;v=4449661:4450162&amp;c=444444", "offset 23")</f>
        <v>offset 23</v>
      </c>
    </row>
    <row r="15735" customFormat="false" ht="12.8" hidden="false" customHeight="false" outlineLevel="0" collapsed="false">
      <c r="A15735" s="0" t="s">
        <v>12</v>
      </c>
      <c r="B15735" s="0" t="n">
        <v>4449916</v>
      </c>
      <c r="C15735" s="0" t="n">
        <v>4449936</v>
      </c>
      <c r="D15735" s="0" t="s">
        <v>52430</v>
      </c>
      <c r="E15735" s="0" t="s">
        <v>89</v>
      </c>
      <c r="F15735" s="0" t="s">
        <v>15</v>
      </c>
      <c r="G15735" s="0" t="s">
        <v>26</v>
      </c>
      <c r="H15735" s="0" t="n">
        <v>56</v>
      </c>
      <c r="I15735" s="0" t="s">
        <v>52437</v>
      </c>
      <c r="J15735" s="0" t="s">
        <v>52438</v>
      </c>
      <c r="K15735" s="0" t="s">
        <v>52439</v>
      </c>
      <c r="L15735" s="0" t="str">
        <f aca="false">HYPERLINK("https://www.ncbi.nlm.nih.gov/nuccore/CP000304.1?report=graph&amp;tracks=[key:gene_model_track,Options:GeneOnly]&amp;mk=4449862:4449881|offset_1|444444,4449884:4449903|offset_23|444444,4449917:4449936|offset_56|00cc00,4449943:4449962|offset_82|444444&amp;v=4449661:4450162&amp;c=444444", "offset 56")</f>
        <v>offset 56</v>
      </c>
    </row>
    <row r="15736" customFormat="false" ht="12.8" hidden="false" customHeight="false" outlineLevel="0" collapsed="false">
      <c r="A15736" s="0" t="s">
        <v>12</v>
      </c>
      <c r="B15736" s="0" t="n">
        <v>4449942</v>
      </c>
      <c r="C15736" s="0" t="n">
        <v>4449962</v>
      </c>
      <c r="D15736" s="0" t="s">
        <v>52430</v>
      </c>
      <c r="E15736" s="0" t="s">
        <v>89</v>
      </c>
      <c r="F15736" s="0" t="s">
        <v>15</v>
      </c>
      <c r="G15736" s="0" t="s">
        <v>36</v>
      </c>
      <c r="H15736" s="0" t="n">
        <v>82</v>
      </c>
      <c r="I15736" s="0" t="s">
        <v>52440</v>
      </c>
      <c r="J15736" s="0" t="s">
        <v>52441</v>
      </c>
      <c r="K15736" s="0" t="s">
        <v>52442</v>
      </c>
      <c r="L15736" s="0" t="str">
        <f aca="false">HYPERLINK("https://www.ncbi.nlm.nih.gov/nuccore/CP000304.1?report=graph&amp;tracks=[key:gene_model_track,Options:GeneOnly]&amp;mk=4449862:4449881|offset_1|444444,4449884:4449903|offset_23|444444,4449917:4449936|offset_56|444444,4449943:4449962|offset_82|00cc00&amp;v=4449661:4450162&amp;c=444444", "offset 82")</f>
        <v>offset 82</v>
      </c>
    </row>
    <row r="15737" customFormat="false" ht="12.8" hidden="false" customHeight="false" outlineLevel="0" collapsed="false">
      <c r="A15737" s="0" t="s">
        <v>12</v>
      </c>
      <c r="B15737" s="0" t="n">
        <v>4452088</v>
      </c>
      <c r="C15737" s="0" t="n">
        <v>4452108</v>
      </c>
      <c r="D15737" s="0" t="s">
        <v>52443</v>
      </c>
      <c r="E15737" s="0" t="s">
        <v>52444</v>
      </c>
      <c r="F15737" s="0" t="s">
        <v>15</v>
      </c>
      <c r="G15737" s="0" t="s">
        <v>36</v>
      </c>
      <c r="H15737" s="0" t="n">
        <v>9</v>
      </c>
      <c r="I15737" s="0" t="s">
        <v>52445</v>
      </c>
      <c r="J15737" s="0" t="s">
        <v>52446</v>
      </c>
      <c r="K15737" s="0" t="s">
        <v>52447</v>
      </c>
      <c r="L15737" s="0" t="str">
        <f aca="false">HYPERLINK("https://www.ncbi.nlm.nih.gov/nuccore/CP000304.1?report=graph&amp;tracks=[key:gene_model_track,Options:GeneOnly]&amp;mk=4452089:4452108|offset_9|00cc00,4452112:4452131|offset_32|444444,4452145:4452164|offset_65|444444,4452170:4452189|offset_90|444444&amp;v=4451888:4452389&amp;c=444444", "offset 9")</f>
        <v>offset 9</v>
      </c>
    </row>
    <row r="15738" customFormat="false" ht="12.8" hidden="false" customHeight="false" outlineLevel="0" collapsed="false">
      <c r="A15738" s="0" t="s">
        <v>12</v>
      </c>
      <c r="B15738" s="0" t="n">
        <v>4452111</v>
      </c>
      <c r="C15738" s="0" t="n">
        <v>4452131</v>
      </c>
      <c r="D15738" s="0" t="s">
        <v>52443</v>
      </c>
      <c r="E15738" s="0" t="s">
        <v>52444</v>
      </c>
      <c r="F15738" s="0" t="s">
        <v>15</v>
      </c>
      <c r="G15738" s="0" t="s">
        <v>26</v>
      </c>
      <c r="H15738" s="0" t="n">
        <v>32</v>
      </c>
      <c r="I15738" s="0" t="s">
        <v>52448</v>
      </c>
      <c r="J15738" s="0" t="s">
        <v>52449</v>
      </c>
      <c r="K15738" s="0" t="s">
        <v>52450</v>
      </c>
      <c r="L15738" s="0" t="str">
        <f aca="false">HYPERLINK("https://www.ncbi.nlm.nih.gov/nuccore/CP000304.1?report=graph&amp;tracks=[key:gene_model_track,Options:GeneOnly]&amp;mk=4452089:4452108|offset_9|444444,4452112:4452131|offset_32|00cc00,4452145:4452164|offset_65|444444,4452170:4452189|offset_90|444444&amp;v=4451888:4452389&amp;c=444444", "offset 32")</f>
        <v>offset 32</v>
      </c>
    </row>
    <row r="15739" customFormat="false" ht="12.8" hidden="false" customHeight="false" outlineLevel="0" collapsed="false">
      <c r="A15739" s="0" t="s">
        <v>12</v>
      </c>
      <c r="B15739" s="0" t="n">
        <v>4452144</v>
      </c>
      <c r="C15739" s="0" t="n">
        <v>4452164</v>
      </c>
      <c r="D15739" s="0" t="s">
        <v>52443</v>
      </c>
      <c r="E15739" s="0" t="s">
        <v>52444</v>
      </c>
      <c r="F15739" s="0" t="s">
        <v>15</v>
      </c>
      <c r="G15739" s="0" t="s">
        <v>26</v>
      </c>
      <c r="H15739" s="0" t="n">
        <v>65</v>
      </c>
      <c r="I15739" s="0" t="s">
        <v>52451</v>
      </c>
      <c r="J15739" s="0" t="s">
        <v>52452</v>
      </c>
      <c r="K15739" s="0" t="s">
        <v>52453</v>
      </c>
      <c r="L15739" s="0" t="str">
        <f aca="false">HYPERLINK("https://www.ncbi.nlm.nih.gov/nuccore/CP000304.1?report=graph&amp;tracks=[key:gene_model_track,Options:GeneOnly]&amp;mk=4452089:4452108|offset_9|444444,4452112:4452131|offset_32|444444,4452145:4452164|offset_65|00cc00,4452170:4452189|offset_90|444444&amp;v=4451888:4452389&amp;c=444444", "offset 65")</f>
        <v>offset 65</v>
      </c>
    </row>
    <row r="15740" customFormat="false" ht="12.8" hidden="false" customHeight="false" outlineLevel="0" collapsed="false">
      <c r="A15740" s="0" t="s">
        <v>12</v>
      </c>
      <c r="B15740" s="0" t="n">
        <v>4452169</v>
      </c>
      <c r="C15740" s="0" t="n">
        <v>4452189</v>
      </c>
      <c r="D15740" s="0" t="s">
        <v>52443</v>
      </c>
      <c r="E15740" s="0" t="s">
        <v>52444</v>
      </c>
      <c r="F15740" s="0" t="s">
        <v>15</v>
      </c>
      <c r="G15740" s="0" t="s">
        <v>16</v>
      </c>
      <c r="H15740" s="0" t="n">
        <v>90</v>
      </c>
      <c r="I15740" s="0" t="s">
        <v>52454</v>
      </c>
      <c r="J15740" s="0" t="s">
        <v>52455</v>
      </c>
      <c r="K15740" s="0" t="s">
        <v>52456</v>
      </c>
      <c r="L15740" s="0" t="str">
        <f aca="false">HYPERLINK("https://www.ncbi.nlm.nih.gov/nuccore/CP000304.1?report=graph&amp;tracks=[key:gene_model_track,Options:GeneOnly]&amp;mk=4452089:4452108|offset_9|444444,4452112:4452131|offset_32|444444,4452145:4452164|offset_65|444444,4452170:4452189|offset_90|00cc00&amp;v=4451888:4452389&amp;c=444444", "offset 90")</f>
        <v>offset 90</v>
      </c>
    </row>
    <row r="15741" customFormat="false" ht="12.8" hidden="false" customHeight="false" outlineLevel="0" collapsed="false">
      <c r="A15741" s="0" t="s">
        <v>12</v>
      </c>
      <c r="B15741" s="0" t="n">
        <v>4453150</v>
      </c>
      <c r="C15741" s="0" t="n">
        <v>4453170</v>
      </c>
      <c r="D15741" s="0" t="s">
        <v>52457</v>
      </c>
      <c r="E15741" s="0" t="s">
        <v>89</v>
      </c>
      <c r="F15741" s="0" t="s">
        <v>15</v>
      </c>
      <c r="G15741" s="0" t="s">
        <v>36</v>
      </c>
      <c r="H15741" s="0" t="n">
        <v>7</v>
      </c>
      <c r="I15741" s="0" t="s">
        <v>52458</v>
      </c>
      <c r="J15741" s="0" t="s">
        <v>52459</v>
      </c>
      <c r="K15741" s="0" t="s">
        <v>52460</v>
      </c>
      <c r="L15741" s="0" t="str">
        <f aca="false">HYPERLINK("https://www.ncbi.nlm.nih.gov/nuccore/CP000304.1?report=graph&amp;tracks=[key:gene_model_track,Options:GeneOnly]&amp;mk=4453151:4453170|offset_7|00cc00,4453179:4453198|offset_35|444444,4453203:4453222|offset_59|444444,4453250:4453269|offset_106|444444&amp;v=4452950:4453469&amp;c=444444", "offset 7")</f>
        <v>offset 7</v>
      </c>
    </row>
    <row r="15742" customFormat="false" ht="12.8" hidden="false" customHeight="false" outlineLevel="0" collapsed="false">
      <c r="A15742" s="0" t="s">
        <v>12</v>
      </c>
      <c r="B15742" s="0" t="n">
        <v>4453178</v>
      </c>
      <c r="C15742" s="0" t="n">
        <v>4453198</v>
      </c>
      <c r="D15742" s="0" t="s">
        <v>52457</v>
      </c>
      <c r="E15742" s="0" t="s">
        <v>89</v>
      </c>
      <c r="F15742" s="0" t="s">
        <v>15</v>
      </c>
      <c r="G15742" s="0" t="s">
        <v>32</v>
      </c>
      <c r="H15742" s="0" t="n">
        <v>35</v>
      </c>
      <c r="I15742" s="0" t="s">
        <v>52461</v>
      </c>
      <c r="J15742" s="0" t="s">
        <v>52462</v>
      </c>
      <c r="K15742" s="0" t="s">
        <v>52463</v>
      </c>
      <c r="L15742" s="0" t="str">
        <f aca="false">HYPERLINK("https://www.ncbi.nlm.nih.gov/nuccore/CP000304.1?report=graph&amp;tracks=[key:gene_model_track,Options:GeneOnly]&amp;mk=4453151:4453170|offset_7|444444,4453179:4453198|offset_35|00cc00,4453203:4453222|offset_59|444444,4453250:4453269|offset_106|444444&amp;v=4452950:4453469&amp;c=444444", "offset 35")</f>
        <v>offset 35</v>
      </c>
    </row>
    <row r="15743" customFormat="false" ht="12.8" hidden="false" customHeight="false" outlineLevel="0" collapsed="false">
      <c r="A15743" s="0" t="s">
        <v>12</v>
      </c>
      <c r="B15743" s="0" t="n">
        <v>4453202</v>
      </c>
      <c r="C15743" s="0" t="n">
        <v>4453222</v>
      </c>
      <c r="D15743" s="0" t="s">
        <v>52457</v>
      </c>
      <c r="E15743" s="0" t="s">
        <v>89</v>
      </c>
      <c r="F15743" s="0" t="s">
        <v>15</v>
      </c>
      <c r="G15743" s="0" t="s">
        <v>36</v>
      </c>
      <c r="H15743" s="0" t="n">
        <v>59</v>
      </c>
      <c r="I15743" s="0" t="s">
        <v>52464</v>
      </c>
      <c r="J15743" s="0" t="s">
        <v>52465</v>
      </c>
      <c r="K15743" s="0" t="s">
        <v>52466</v>
      </c>
      <c r="L15743" s="0" t="str">
        <f aca="false">HYPERLINK("https://www.ncbi.nlm.nih.gov/nuccore/CP000304.1?report=graph&amp;tracks=[key:gene_model_track,Options:GeneOnly]&amp;mk=4453151:4453170|offset_7|444444,4453179:4453198|offset_35|444444,4453203:4453222|offset_59|00cc00,4453250:4453269|offset_106|444444&amp;v=4452950:4453469&amp;c=444444", "offset 59")</f>
        <v>offset 59</v>
      </c>
    </row>
    <row r="15744" customFormat="false" ht="12.8" hidden="false" customHeight="false" outlineLevel="0" collapsed="false">
      <c r="A15744" s="0" t="s">
        <v>12</v>
      </c>
      <c r="B15744" s="0" t="n">
        <v>4453249</v>
      </c>
      <c r="C15744" s="0" t="n">
        <v>4453269</v>
      </c>
      <c r="D15744" s="0" t="s">
        <v>52457</v>
      </c>
      <c r="E15744" s="0" t="s">
        <v>89</v>
      </c>
      <c r="F15744" s="0" t="s">
        <v>15</v>
      </c>
      <c r="G15744" s="0" t="s">
        <v>32</v>
      </c>
      <c r="H15744" s="0" t="n">
        <v>106</v>
      </c>
      <c r="I15744" s="0" t="s">
        <v>52467</v>
      </c>
      <c r="J15744" s="0" t="s">
        <v>52468</v>
      </c>
      <c r="K15744" s="0" t="s">
        <v>52469</v>
      </c>
      <c r="L15744" s="0" t="str">
        <f aca="false">HYPERLINK("https://www.ncbi.nlm.nih.gov/nuccore/CP000304.1?report=graph&amp;tracks=[key:gene_model_track,Options:GeneOnly]&amp;mk=4453151:4453170|offset_7|444444,4453179:4453198|offset_35|444444,4453203:4453222|offset_59|444444,4453250:4453269|offset_106|00cc00&amp;v=4452950:4453469&amp;c=444444", "offset 106")</f>
        <v>offset 106</v>
      </c>
    </row>
    <row r="15745" customFormat="false" ht="12.8" hidden="false" customHeight="false" outlineLevel="0" collapsed="false">
      <c r="A15745" s="0" t="s">
        <v>12</v>
      </c>
      <c r="B15745" s="0" t="n">
        <v>4453759</v>
      </c>
      <c r="C15745" s="0" t="n">
        <v>4453779</v>
      </c>
      <c r="D15745" s="0" t="s">
        <v>52470</v>
      </c>
      <c r="E15745" s="0" t="s">
        <v>89</v>
      </c>
      <c r="F15745" s="0" t="s">
        <v>15</v>
      </c>
      <c r="G15745" s="0" t="s">
        <v>16</v>
      </c>
      <c r="H15745" s="0" t="n">
        <v>0</v>
      </c>
      <c r="I15745" s="0" t="s">
        <v>52471</v>
      </c>
      <c r="J15745" s="0" t="s">
        <v>52472</v>
      </c>
      <c r="K15745" s="0" t="s">
        <v>52473</v>
      </c>
      <c r="L15745" s="0" t="str">
        <f aca="false">HYPERLINK("https://www.ncbi.nlm.nih.gov/nuccore/CP000304.1?report=graph&amp;tracks=[key:gene_model_track,Options:GeneOnly]&amp;mk=4453760:4453779|offset_0|00cc00,4453784:4453803|offset_24|444444,4453808:4453827|offset_48|444444,4453830:4453849|offset_70|444444&amp;v=4453559:4454049&amp;c=444444", "offset 0")</f>
        <v>offset 0</v>
      </c>
    </row>
    <row r="15746" customFormat="false" ht="12.8" hidden="false" customHeight="false" outlineLevel="0" collapsed="false">
      <c r="A15746" s="0" t="s">
        <v>12</v>
      </c>
      <c r="B15746" s="0" t="n">
        <v>4453783</v>
      </c>
      <c r="C15746" s="0" t="n">
        <v>4453803</v>
      </c>
      <c r="D15746" s="0" t="s">
        <v>52470</v>
      </c>
      <c r="E15746" s="0" t="s">
        <v>89</v>
      </c>
      <c r="F15746" s="0" t="s">
        <v>15</v>
      </c>
      <c r="G15746" s="0" t="s">
        <v>16</v>
      </c>
      <c r="H15746" s="0" t="n">
        <v>24</v>
      </c>
      <c r="I15746" s="0" t="s">
        <v>52474</v>
      </c>
      <c r="J15746" s="0" t="s">
        <v>52475</v>
      </c>
      <c r="K15746" s="0" t="s">
        <v>52476</v>
      </c>
      <c r="L15746" s="0" t="str">
        <f aca="false">HYPERLINK("https://www.ncbi.nlm.nih.gov/nuccore/CP000304.1?report=graph&amp;tracks=[key:gene_model_track,Options:GeneOnly]&amp;mk=4453760:4453779|offset_0|444444,4453784:4453803|offset_24|00cc00,4453808:4453827|offset_48|444444,4453830:4453849|offset_70|444444&amp;v=4453559:4454049&amp;c=444444", "offset 24")</f>
        <v>offset 24</v>
      </c>
    </row>
    <row r="15747" customFormat="false" ht="12.8" hidden="false" customHeight="false" outlineLevel="0" collapsed="false">
      <c r="A15747" s="0" t="s">
        <v>12</v>
      </c>
      <c r="B15747" s="0" t="n">
        <v>4453807</v>
      </c>
      <c r="C15747" s="0" t="n">
        <v>4453827</v>
      </c>
      <c r="D15747" s="0" t="s">
        <v>52470</v>
      </c>
      <c r="E15747" s="0" t="s">
        <v>89</v>
      </c>
      <c r="F15747" s="0" t="s">
        <v>15</v>
      </c>
      <c r="G15747" s="0" t="s">
        <v>36</v>
      </c>
      <c r="H15747" s="0" t="n">
        <v>48</v>
      </c>
      <c r="I15747" s="0" t="s">
        <v>52477</v>
      </c>
      <c r="J15747" s="0" t="s">
        <v>52478</v>
      </c>
      <c r="K15747" s="0" t="s">
        <v>52479</v>
      </c>
      <c r="L15747" s="0" t="str">
        <f aca="false">HYPERLINK("https://www.ncbi.nlm.nih.gov/nuccore/CP000304.1?report=graph&amp;tracks=[key:gene_model_track,Options:GeneOnly]&amp;mk=4453760:4453779|offset_0|444444,4453784:4453803|offset_24|444444,4453808:4453827|offset_48|00cc00,4453830:4453849|offset_70|444444&amp;v=4453559:4454049&amp;c=444444", "offset 48")</f>
        <v>offset 48</v>
      </c>
    </row>
    <row r="15748" customFormat="false" ht="12.8" hidden="false" customHeight="false" outlineLevel="0" collapsed="false">
      <c r="A15748" s="0" t="s">
        <v>12</v>
      </c>
      <c r="B15748" s="0" t="n">
        <v>4453829</v>
      </c>
      <c r="C15748" s="0" t="n">
        <v>4453849</v>
      </c>
      <c r="D15748" s="0" t="s">
        <v>52470</v>
      </c>
      <c r="E15748" s="0" t="s">
        <v>89</v>
      </c>
      <c r="F15748" s="0" t="s">
        <v>15</v>
      </c>
      <c r="G15748" s="0" t="s">
        <v>16</v>
      </c>
      <c r="H15748" s="0" t="n">
        <v>70</v>
      </c>
      <c r="I15748" s="0" t="s">
        <v>52480</v>
      </c>
      <c r="J15748" s="0" t="s">
        <v>52481</v>
      </c>
      <c r="K15748" s="0" t="s">
        <v>52482</v>
      </c>
      <c r="L15748" s="0" t="str">
        <f aca="false">HYPERLINK("https://www.ncbi.nlm.nih.gov/nuccore/CP000304.1?report=graph&amp;tracks=[key:gene_model_track,Options:GeneOnly]&amp;mk=4453760:4453779|offset_0|444444,4453784:4453803|offset_24|444444,4453808:4453827|offset_48|444444,4453830:4453849|offset_70|00cc00&amp;v=4453559:4454049&amp;c=444444", "offset 70")</f>
        <v>offset 70</v>
      </c>
    </row>
    <row r="15749" customFormat="false" ht="12.8" hidden="false" customHeight="false" outlineLevel="0" collapsed="false">
      <c r="A15749" s="0" t="s">
        <v>12</v>
      </c>
      <c r="B15749" s="0" t="n">
        <v>4454489</v>
      </c>
      <c r="C15749" s="0" t="n">
        <v>4454509</v>
      </c>
      <c r="D15749" s="0" t="s">
        <v>52483</v>
      </c>
      <c r="E15749" s="0" t="s">
        <v>89</v>
      </c>
      <c r="F15749" s="0" t="s">
        <v>15</v>
      </c>
      <c r="G15749" s="0" t="s">
        <v>36</v>
      </c>
      <c r="H15749" s="0" t="n">
        <v>13</v>
      </c>
      <c r="I15749" s="0" t="s">
        <v>52484</v>
      </c>
      <c r="J15749" s="0" t="s">
        <v>52485</v>
      </c>
      <c r="K15749" s="0" t="s">
        <v>52486</v>
      </c>
      <c r="L15749" s="0" t="str">
        <f aca="false">HYPERLINK("https://www.ncbi.nlm.nih.gov/nuccore/CP000304.1?report=graph&amp;tracks=[key:gene_model_track,Options:GeneOnly]&amp;mk=4454490:4454509|offset_13|00cc00,4454514:4454533|offset_37|444444,4454535:4454554|offset_58|444444,4454556:4454575|offset_79|444444&amp;v=4454289:4454775&amp;c=444444", "offset 13")</f>
        <v>offset 13</v>
      </c>
    </row>
    <row r="15750" customFormat="false" ht="12.8" hidden="false" customHeight="false" outlineLevel="0" collapsed="false">
      <c r="A15750" s="0" t="s">
        <v>12</v>
      </c>
      <c r="B15750" s="0" t="n">
        <v>4454513</v>
      </c>
      <c r="C15750" s="0" t="n">
        <v>4454533</v>
      </c>
      <c r="D15750" s="0" t="s">
        <v>52483</v>
      </c>
      <c r="E15750" s="0" t="s">
        <v>89</v>
      </c>
      <c r="F15750" s="0" t="s">
        <v>15</v>
      </c>
      <c r="G15750" s="0" t="s">
        <v>16</v>
      </c>
      <c r="H15750" s="0" t="n">
        <v>37</v>
      </c>
      <c r="I15750" s="0" t="s">
        <v>52487</v>
      </c>
      <c r="J15750" s="0" t="s">
        <v>52488</v>
      </c>
      <c r="K15750" s="0" t="s">
        <v>52489</v>
      </c>
      <c r="L15750" s="0" t="str">
        <f aca="false">HYPERLINK("https://www.ncbi.nlm.nih.gov/nuccore/CP000304.1?report=graph&amp;tracks=[key:gene_model_track,Options:GeneOnly]&amp;mk=4454490:4454509|offset_13|444444,4454514:4454533|offset_37|00cc00,4454535:4454554|offset_58|444444,4454556:4454575|offset_79|444444&amp;v=4454289:4454775&amp;c=444444", "offset 37")</f>
        <v>offset 37</v>
      </c>
    </row>
    <row r="15751" customFormat="false" ht="12.8" hidden="false" customHeight="false" outlineLevel="0" collapsed="false">
      <c r="A15751" s="0" t="s">
        <v>12</v>
      </c>
      <c r="B15751" s="0" t="n">
        <v>4454534</v>
      </c>
      <c r="C15751" s="0" t="n">
        <v>4454554</v>
      </c>
      <c r="D15751" s="0" t="s">
        <v>52483</v>
      </c>
      <c r="E15751" s="0" t="s">
        <v>89</v>
      </c>
      <c r="F15751" s="0" t="s">
        <v>15</v>
      </c>
      <c r="G15751" s="0" t="s">
        <v>16</v>
      </c>
      <c r="H15751" s="0" t="n">
        <v>58</v>
      </c>
      <c r="I15751" s="0" t="s">
        <v>52490</v>
      </c>
      <c r="J15751" s="0" t="s">
        <v>52491</v>
      </c>
      <c r="K15751" s="0" t="s">
        <v>52492</v>
      </c>
      <c r="L15751" s="0" t="str">
        <f aca="false">HYPERLINK("https://www.ncbi.nlm.nih.gov/nuccore/CP000304.1?report=graph&amp;tracks=[key:gene_model_track,Options:GeneOnly]&amp;mk=4454490:4454509|offset_13|444444,4454514:4454533|offset_37|444444,4454535:4454554|offset_58|00cc00,4454556:4454575|offset_79|444444&amp;v=4454289:4454775&amp;c=444444", "offset 58")</f>
        <v>offset 58</v>
      </c>
    </row>
    <row r="15752" customFormat="false" ht="12.8" hidden="false" customHeight="false" outlineLevel="0" collapsed="false">
      <c r="A15752" s="0" t="s">
        <v>12</v>
      </c>
      <c r="B15752" s="0" t="n">
        <v>4454555</v>
      </c>
      <c r="C15752" s="0" t="n">
        <v>4454575</v>
      </c>
      <c r="D15752" s="0" t="s">
        <v>52483</v>
      </c>
      <c r="E15752" s="0" t="s">
        <v>89</v>
      </c>
      <c r="F15752" s="0" t="s">
        <v>15</v>
      </c>
      <c r="G15752" s="0" t="s">
        <v>26</v>
      </c>
      <c r="H15752" s="0" t="n">
        <v>79</v>
      </c>
      <c r="I15752" s="0" t="s">
        <v>52493</v>
      </c>
      <c r="J15752" s="0" t="s">
        <v>52494</v>
      </c>
      <c r="K15752" s="0" t="s">
        <v>52495</v>
      </c>
      <c r="L15752" s="0" t="str">
        <f aca="false">HYPERLINK("https://www.ncbi.nlm.nih.gov/nuccore/CP000304.1?report=graph&amp;tracks=[key:gene_model_track,Options:GeneOnly]&amp;mk=4454490:4454509|offset_13|444444,4454514:4454533|offset_37|444444,4454535:4454554|offset_58|444444,4454556:4454575|offset_79|00cc00&amp;v=4454289:4454775&amp;c=444444", "offset 79")</f>
        <v>offset 79</v>
      </c>
    </row>
    <row r="15753" customFormat="false" ht="12.8" hidden="false" customHeight="false" outlineLevel="0" collapsed="false">
      <c r="A15753" s="0" t="s">
        <v>12</v>
      </c>
      <c r="B15753" s="0" t="n">
        <v>4455374</v>
      </c>
      <c r="C15753" s="0" t="n">
        <v>4455394</v>
      </c>
      <c r="D15753" s="0" t="s">
        <v>52496</v>
      </c>
      <c r="E15753" s="0" t="s">
        <v>89</v>
      </c>
      <c r="F15753" s="0" t="s">
        <v>15</v>
      </c>
      <c r="G15753" s="0" t="s">
        <v>36</v>
      </c>
      <c r="H15753" s="0" t="n">
        <v>0</v>
      </c>
      <c r="I15753" s="0" t="s">
        <v>52497</v>
      </c>
      <c r="J15753" s="0" t="s">
        <v>52498</v>
      </c>
      <c r="K15753" s="0" t="s">
        <v>52499</v>
      </c>
      <c r="L15753" s="0" t="str">
        <f aca="false">HYPERLINK("https://www.ncbi.nlm.nih.gov/nuccore/CP000304.1?report=graph&amp;tracks=[key:gene_model_track,Options:GeneOnly]&amp;mk=4455375:4455394|offset_0|00cc00,4455399:4455418|offset_24|444444,4455420:4455439|offset_45|444444,4455490:4455509|offset_115|444444&amp;v=4455174:4455709&amp;c=444444", "offset 0")</f>
        <v>offset 0</v>
      </c>
    </row>
    <row r="15754" customFormat="false" ht="12.8" hidden="false" customHeight="false" outlineLevel="0" collapsed="false">
      <c r="A15754" s="0" t="s">
        <v>12</v>
      </c>
      <c r="B15754" s="0" t="n">
        <v>4455398</v>
      </c>
      <c r="C15754" s="0" t="n">
        <v>4455418</v>
      </c>
      <c r="D15754" s="0" t="s">
        <v>52496</v>
      </c>
      <c r="E15754" s="0" t="s">
        <v>89</v>
      </c>
      <c r="F15754" s="0" t="s">
        <v>15</v>
      </c>
      <c r="G15754" s="0" t="s">
        <v>36</v>
      </c>
      <c r="H15754" s="0" t="n">
        <v>24</v>
      </c>
      <c r="I15754" s="0" t="s">
        <v>52500</v>
      </c>
      <c r="J15754" s="0" t="s">
        <v>52501</v>
      </c>
      <c r="K15754" s="0" t="s">
        <v>52502</v>
      </c>
      <c r="L15754" s="0" t="str">
        <f aca="false">HYPERLINK("https://www.ncbi.nlm.nih.gov/nuccore/CP000304.1?report=graph&amp;tracks=[key:gene_model_track,Options:GeneOnly]&amp;mk=4455375:4455394|offset_0|444444,4455399:4455418|offset_24|00cc00,4455420:4455439|offset_45|444444,4455490:4455509|offset_115|444444&amp;v=4455174:4455709&amp;c=444444", "offset 24")</f>
        <v>offset 24</v>
      </c>
    </row>
    <row r="15755" customFormat="false" ht="12.8" hidden="false" customHeight="false" outlineLevel="0" collapsed="false">
      <c r="A15755" s="0" t="s">
        <v>12</v>
      </c>
      <c r="B15755" s="0" t="n">
        <v>4455419</v>
      </c>
      <c r="C15755" s="0" t="n">
        <v>4455439</v>
      </c>
      <c r="D15755" s="0" t="s">
        <v>52496</v>
      </c>
      <c r="E15755" s="0" t="s">
        <v>89</v>
      </c>
      <c r="F15755" s="0" t="s">
        <v>15</v>
      </c>
      <c r="G15755" s="0" t="s">
        <v>36</v>
      </c>
      <c r="H15755" s="0" t="n">
        <v>45</v>
      </c>
      <c r="I15755" s="0" t="s">
        <v>52503</v>
      </c>
      <c r="J15755" s="0" t="s">
        <v>52504</v>
      </c>
      <c r="K15755" s="0" t="s">
        <v>52505</v>
      </c>
      <c r="L15755" s="0" t="str">
        <f aca="false">HYPERLINK("https://www.ncbi.nlm.nih.gov/nuccore/CP000304.1?report=graph&amp;tracks=[key:gene_model_track,Options:GeneOnly]&amp;mk=4455375:4455394|offset_0|444444,4455399:4455418|offset_24|444444,4455420:4455439|offset_45|00cc00,4455490:4455509|offset_115|444444&amp;v=4455174:4455709&amp;c=444444", "offset 45")</f>
        <v>offset 45</v>
      </c>
    </row>
    <row r="15756" customFormat="false" ht="12.8" hidden="false" customHeight="false" outlineLevel="0" collapsed="false">
      <c r="A15756" s="0" t="s">
        <v>12</v>
      </c>
      <c r="B15756" s="0" t="n">
        <v>4455489</v>
      </c>
      <c r="C15756" s="0" t="n">
        <v>4455509</v>
      </c>
      <c r="D15756" s="0" t="s">
        <v>52496</v>
      </c>
      <c r="E15756" s="0" t="s">
        <v>89</v>
      </c>
      <c r="F15756" s="0" t="s">
        <v>15</v>
      </c>
      <c r="G15756" s="0" t="s">
        <v>16</v>
      </c>
      <c r="H15756" s="0" t="n">
        <v>115</v>
      </c>
      <c r="I15756" s="0" t="s">
        <v>52506</v>
      </c>
      <c r="J15756" s="0" t="s">
        <v>52507</v>
      </c>
      <c r="K15756" s="0" t="s">
        <v>52508</v>
      </c>
      <c r="L15756" s="0" t="str">
        <f aca="false">HYPERLINK("https://www.ncbi.nlm.nih.gov/nuccore/CP000304.1?report=graph&amp;tracks=[key:gene_model_track,Options:GeneOnly]&amp;mk=4455375:4455394|offset_0|444444,4455399:4455418|offset_24|444444,4455420:4455439|offset_45|444444,4455490:4455509|offset_115|00cc00&amp;v=4455174:4455709&amp;c=444444", "offset 115")</f>
        <v>offset 115</v>
      </c>
    </row>
    <row r="15757" customFormat="false" ht="12.8" hidden="false" customHeight="false" outlineLevel="0" collapsed="false">
      <c r="A15757" s="0" t="s">
        <v>12</v>
      </c>
      <c r="B15757" s="0" t="n">
        <v>4457516</v>
      </c>
      <c r="C15757" s="0" t="n">
        <v>4457536</v>
      </c>
      <c r="D15757" s="0" t="s">
        <v>52509</v>
      </c>
      <c r="E15757" s="0" t="s">
        <v>89</v>
      </c>
      <c r="F15757" s="0" t="s">
        <v>15</v>
      </c>
      <c r="G15757" s="0" t="s">
        <v>36</v>
      </c>
      <c r="H15757" s="0" t="n">
        <v>34</v>
      </c>
      <c r="I15757" s="0" t="s">
        <v>52510</v>
      </c>
      <c r="J15757" s="0" t="s">
        <v>52511</v>
      </c>
      <c r="K15757" s="0" t="s">
        <v>52512</v>
      </c>
      <c r="L15757" s="0" t="str">
        <f aca="false">HYPERLINK("https://www.ncbi.nlm.nih.gov/nuccore/CP000304.1?report=graph&amp;tracks=[key:gene_model_track,Options:GeneOnly]&amp;mk=4457517:4457536|offset_34|00cc00,4457559:4457578|offset_76|444444,4457618:4457637|offset_135|444444,4457644:4457663|offset_161|444444&amp;v=4457316:4457863&amp;c=444444", "offset 34")</f>
        <v>offset 34</v>
      </c>
    </row>
    <row r="15758" customFormat="false" ht="12.8" hidden="false" customHeight="false" outlineLevel="0" collapsed="false">
      <c r="A15758" s="0" t="s">
        <v>12</v>
      </c>
      <c r="B15758" s="0" t="n">
        <v>4457558</v>
      </c>
      <c r="C15758" s="0" t="n">
        <v>4457578</v>
      </c>
      <c r="D15758" s="0" t="s">
        <v>52509</v>
      </c>
      <c r="E15758" s="0" t="s">
        <v>89</v>
      </c>
      <c r="F15758" s="0" t="s">
        <v>15</v>
      </c>
      <c r="G15758" s="0" t="s">
        <v>16</v>
      </c>
      <c r="H15758" s="0" t="n">
        <v>76</v>
      </c>
      <c r="I15758" s="0" t="s">
        <v>52513</v>
      </c>
      <c r="J15758" s="0" t="s">
        <v>52514</v>
      </c>
      <c r="K15758" s="0" t="s">
        <v>52515</v>
      </c>
      <c r="L15758" s="0" t="str">
        <f aca="false">HYPERLINK("https://www.ncbi.nlm.nih.gov/nuccore/CP000304.1?report=graph&amp;tracks=[key:gene_model_track,Options:GeneOnly]&amp;mk=4457517:4457536|offset_34|444444,4457559:4457578|offset_76|00cc00,4457618:4457637|offset_135|444444,4457644:4457663|offset_161|444444&amp;v=4457316:4457863&amp;c=444444", "offset 76")</f>
        <v>offset 76</v>
      </c>
    </row>
    <row r="15759" customFormat="false" ht="12.8" hidden="false" customHeight="false" outlineLevel="0" collapsed="false">
      <c r="A15759" s="0" t="s">
        <v>12</v>
      </c>
      <c r="B15759" s="0" t="n">
        <v>4457617</v>
      </c>
      <c r="C15759" s="0" t="n">
        <v>4457637</v>
      </c>
      <c r="D15759" s="0" t="s">
        <v>52509</v>
      </c>
      <c r="E15759" s="0" t="s">
        <v>89</v>
      </c>
      <c r="F15759" s="0" t="s">
        <v>15</v>
      </c>
      <c r="G15759" s="0" t="s">
        <v>32</v>
      </c>
      <c r="H15759" s="0" t="n">
        <v>135</v>
      </c>
      <c r="I15759" s="0" t="s">
        <v>52516</v>
      </c>
      <c r="J15759" s="0" t="s">
        <v>52517</v>
      </c>
      <c r="K15759" s="0" t="s">
        <v>52518</v>
      </c>
      <c r="L15759" s="0" t="str">
        <f aca="false">HYPERLINK("https://www.ncbi.nlm.nih.gov/nuccore/CP000304.1?report=graph&amp;tracks=[key:gene_model_track,Options:GeneOnly]&amp;mk=4457517:4457536|offset_34|444444,4457559:4457578|offset_76|444444,4457618:4457637|offset_135|00cc00,4457644:4457663|offset_161|444444&amp;v=4457316:4457863&amp;c=444444", "offset 135")</f>
        <v>offset 135</v>
      </c>
    </row>
    <row r="15760" customFormat="false" ht="12.8" hidden="false" customHeight="false" outlineLevel="0" collapsed="false">
      <c r="A15760" s="0" t="s">
        <v>12</v>
      </c>
      <c r="B15760" s="0" t="n">
        <v>4457643</v>
      </c>
      <c r="C15760" s="0" t="n">
        <v>4457663</v>
      </c>
      <c r="D15760" s="0" t="s">
        <v>52509</v>
      </c>
      <c r="E15760" s="0" t="s">
        <v>89</v>
      </c>
      <c r="F15760" s="0" t="s">
        <v>15</v>
      </c>
      <c r="G15760" s="0" t="s">
        <v>32</v>
      </c>
      <c r="H15760" s="0" t="n">
        <v>161</v>
      </c>
      <c r="I15760" s="0" t="s">
        <v>52519</v>
      </c>
      <c r="J15760" s="0" t="s">
        <v>52520</v>
      </c>
      <c r="K15760" s="0" t="s">
        <v>52521</v>
      </c>
      <c r="L15760" s="0" t="str">
        <f aca="false">HYPERLINK("https://www.ncbi.nlm.nih.gov/nuccore/CP000304.1?report=graph&amp;tracks=[key:gene_model_track,Options:GeneOnly]&amp;mk=4457517:4457536|offset_34|444444,4457559:4457578|offset_76|444444,4457618:4457637|offset_135|444444,4457644:4457663|offset_161|00cc00&amp;v=4457316:4457863&amp;c=444444", "offset 161")</f>
        <v>offset 161</v>
      </c>
    </row>
    <row r="15761" customFormat="false" ht="12.8" hidden="false" customHeight="false" outlineLevel="0" collapsed="false">
      <c r="A15761" s="0" t="s">
        <v>12</v>
      </c>
      <c r="B15761" s="0" t="n">
        <v>4458479</v>
      </c>
      <c r="C15761" s="0" t="n">
        <v>4458499</v>
      </c>
      <c r="D15761" s="0" t="s">
        <v>52522</v>
      </c>
      <c r="E15761" s="0" t="s">
        <v>89</v>
      </c>
      <c r="F15761" s="0" t="s">
        <v>15</v>
      </c>
      <c r="G15761" s="0" t="s">
        <v>26</v>
      </c>
      <c r="H15761" s="0" t="n">
        <v>23</v>
      </c>
      <c r="I15761" s="0" t="s">
        <v>52523</v>
      </c>
      <c r="J15761" s="0" t="s">
        <v>52524</v>
      </c>
      <c r="K15761" s="0" t="s">
        <v>52525</v>
      </c>
      <c r="L15761" s="0" t="str">
        <f aca="false">HYPERLINK("https://www.ncbi.nlm.nih.gov/nuccore/CP000304.1?report=graph&amp;tracks=[key:gene_model_track,Options:GeneOnly]&amp;mk=4458480:4458499|offset_23|00cc00,4458515:4458534|offset_58|444444,4458551:4458570|offset_94|444444,4458623:4458642|offset_166|444444&amp;v=4458279:4458842&amp;c=444444", "offset 23")</f>
        <v>offset 23</v>
      </c>
    </row>
    <row r="15762" customFormat="false" ht="12.8" hidden="false" customHeight="false" outlineLevel="0" collapsed="false">
      <c r="A15762" s="0" t="s">
        <v>12</v>
      </c>
      <c r="B15762" s="0" t="n">
        <v>4458514</v>
      </c>
      <c r="C15762" s="0" t="n">
        <v>4458534</v>
      </c>
      <c r="D15762" s="0" t="s">
        <v>52522</v>
      </c>
      <c r="E15762" s="0" t="s">
        <v>89</v>
      </c>
      <c r="F15762" s="0" t="s">
        <v>15</v>
      </c>
      <c r="G15762" s="0" t="s">
        <v>36</v>
      </c>
      <c r="H15762" s="0" t="n">
        <v>58</v>
      </c>
      <c r="I15762" s="0" t="s">
        <v>52526</v>
      </c>
      <c r="J15762" s="0" t="s">
        <v>52527</v>
      </c>
      <c r="K15762" s="0" t="s">
        <v>52528</v>
      </c>
      <c r="L15762" s="0" t="str">
        <f aca="false">HYPERLINK("https://www.ncbi.nlm.nih.gov/nuccore/CP000304.1?report=graph&amp;tracks=[key:gene_model_track,Options:GeneOnly]&amp;mk=4458480:4458499|offset_23|444444,4458515:4458534|offset_58|00cc00,4458551:4458570|offset_94|444444,4458623:4458642|offset_166|444444&amp;v=4458279:4458842&amp;c=444444", "offset 58")</f>
        <v>offset 58</v>
      </c>
    </row>
    <row r="15763" customFormat="false" ht="12.8" hidden="false" customHeight="false" outlineLevel="0" collapsed="false">
      <c r="A15763" s="0" t="s">
        <v>12</v>
      </c>
      <c r="B15763" s="0" t="n">
        <v>4458550</v>
      </c>
      <c r="C15763" s="0" t="n">
        <v>4458570</v>
      </c>
      <c r="D15763" s="0" t="s">
        <v>52522</v>
      </c>
      <c r="E15763" s="0" t="s">
        <v>89</v>
      </c>
      <c r="F15763" s="0" t="s">
        <v>15</v>
      </c>
      <c r="G15763" s="0" t="s">
        <v>16</v>
      </c>
      <c r="H15763" s="0" t="n">
        <v>94</v>
      </c>
      <c r="I15763" s="0" t="s">
        <v>52529</v>
      </c>
      <c r="J15763" s="0" t="s">
        <v>52530</v>
      </c>
      <c r="K15763" s="0" t="s">
        <v>52531</v>
      </c>
      <c r="L15763" s="0" t="str">
        <f aca="false">HYPERLINK("https://www.ncbi.nlm.nih.gov/nuccore/CP000304.1?report=graph&amp;tracks=[key:gene_model_track,Options:GeneOnly]&amp;mk=4458480:4458499|offset_23|444444,4458515:4458534|offset_58|444444,4458551:4458570|offset_94|00cc00,4458623:4458642|offset_166|444444&amp;v=4458279:4458842&amp;c=444444", "offset 94")</f>
        <v>offset 94</v>
      </c>
    </row>
    <row r="15764" customFormat="false" ht="12.8" hidden="false" customHeight="false" outlineLevel="0" collapsed="false">
      <c r="A15764" s="0" t="s">
        <v>12</v>
      </c>
      <c r="B15764" s="0" t="n">
        <v>4458622</v>
      </c>
      <c r="C15764" s="0" t="n">
        <v>4458642</v>
      </c>
      <c r="D15764" s="0" t="s">
        <v>52522</v>
      </c>
      <c r="E15764" s="0" t="s">
        <v>89</v>
      </c>
      <c r="F15764" s="0" t="s">
        <v>15</v>
      </c>
      <c r="G15764" s="0" t="s">
        <v>36</v>
      </c>
      <c r="H15764" s="0" t="n">
        <v>166</v>
      </c>
      <c r="I15764" s="0" t="s">
        <v>52532</v>
      </c>
      <c r="J15764" s="0" t="s">
        <v>52533</v>
      </c>
      <c r="K15764" s="0" t="s">
        <v>52534</v>
      </c>
      <c r="L15764" s="0" t="str">
        <f aca="false">HYPERLINK("https://www.ncbi.nlm.nih.gov/nuccore/CP000304.1?report=graph&amp;tracks=[key:gene_model_track,Options:GeneOnly]&amp;mk=4458480:4458499|offset_23|444444,4458515:4458534|offset_58|444444,4458551:4458570|offset_94|444444,4458623:4458642|offset_166|00cc00&amp;v=4458279:4458842&amp;c=444444", "offset 166")</f>
        <v>offset 166</v>
      </c>
    </row>
    <row r="15765" customFormat="false" ht="12.8" hidden="false" customHeight="false" outlineLevel="0" collapsed="false">
      <c r="A15765" s="0" t="s">
        <v>12</v>
      </c>
      <c r="B15765" s="0" t="n">
        <v>4459285</v>
      </c>
      <c r="C15765" s="0" t="n">
        <v>4459305</v>
      </c>
      <c r="D15765" s="0" t="s">
        <v>52535</v>
      </c>
      <c r="E15765" s="0" t="s">
        <v>89</v>
      </c>
      <c r="F15765" s="0" t="s">
        <v>15</v>
      </c>
      <c r="G15765" s="0" t="s">
        <v>26</v>
      </c>
      <c r="H15765" s="0" t="n">
        <v>9</v>
      </c>
      <c r="I15765" s="0" t="s">
        <v>52536</v>
      </c>
      <c r="J15765" s="0" t="s">
        <v>52537</v>
      </c>
      <c r="K15765" s="0" t="s">
        <v>52538</v>
      </c>
      <c r="L15765" s="0" t="str">
        <f aca="false">HYPERLINK("https://www.ncbi.nlm.nih.gov/nuccore/CP000304.1?report=graph&amp;tracks=[key:gene_model_track,Options:GeneOnly]&amp;mk=4459286:4459305|offset_9|00cc00,4459311:4459330|offset_34|444444,4459335:4459354|offset_58|444444,4459381:4459400|offset_104|444444&amp;v=4459085:4459600&amp;c=444444", "offset 9")</f>
        <v>offset 9</v>
      </c>
    </row>
    <row r="15766" customFormat="false" ht="12.8" hidden="false" customHeight="false" outlineLevel="0" collapsed="false">
      <c r="A15766" s="0" t="s">
        <v>12</v>
      </c>
      <c r="B15766" s="0" t="n">
        <v>4459310</v>
      </c>
      <c r="C15766" s="0" t="n">
        <v>4459330</v>
      </c>
      <c r="D15766" s="0" t="s">
        <v>52535</v>
      </c>
      <c r="E15766" s="0" t="s">
        <v>89</v>
      </c>
      <c r="F15766" s="0" t="s">
        <v>15</v>
      </c>
      <c r="G15766" s="0" t="s">
        <v>36</v>
      </c>
      <c r="H15766" s="0" t="n">
        <v>34</v>
      </c>
      <c r="I15766" s="0" t="s">
        <v>52539</v>
      </c>
      <c r="J15766" s="0" t="s">
        <v>52540</v>
      </c>
      <c r="K15766" s="0" t="s">
        <v>52541</v>
      </c>
      <c r="L15766" s="0" t="str">
        <f aca="false">HYPERLINK("https://www.ncbi.nlm.nih.gov/nuccore/CP000304.1?report=graph&amp;tracks=[key:gene_model_track,Options:GeneOnly]&amp;mk=4459286:4459305|offset_9|444444,4459311:4459330|offset_34|00cc00,4459335:4459354|offset_58|444444,4459381:4459400|offset_104|444444&amp;v=4459085:4459600&amp;c=444444", "offset 34")</f>
        <v>offset 34</v>
      </c>
    </row>
    <row r="15767" customFormat="false" ht="12.8" hidden="false" customHeight="false" outlineLevel="0" collapsed="false">
      <c r="A15767" s="0" t="s">
        <v>12</v>
      </c>
      <c r="B15767" s="0" t="n">
        <v>4459334</v>
      </c>
      <c r="C15767" s="0" t="n">
        <v>4459354</v>
      </c>
      <c r="D15767" s="0" t="s">
        <v>52535</v>
      </c>
      <c r="E15767" s="0" t="s">
        <v>89</v>
      </c>
      <c r="F15767" s="0" t="s">
        <v>15</v>
      </c>
      <c r="G15767" s="0" t="s">
        <v>32</v>
      </c>
      <c r="H15767" s="0" t="n">
        <v>58</v>
      </c>
      <c r="I15767" s="0" t="s">
        <v>52542</v>
      </c>
      <c r="J15767" s="0" t="s">
        <v>52543</v>
      </c>
      <c r="K15767" s="0" t="s">
        <v>52544</v>
      </c>
      <c r="L15767" s="0" t="str">
        <f aca="false">HYPERLINK("https://www.ncbi.nlm.nih.gov/nuccore/CP000304.1?report=graph&amp;tracks=[key:gene_model_track,Options:GeneOnly]&amp;mk=4459286:4459305|offset_9|444444,4459311:4459330|offset_34|444444,4459335:4459354|offset_58|00cc00,4459381:4459400|offset_104|444444&amp;v=4459085:4459600&amp;c=444444", "offset 58")</f>
        <v>offset 58</v>
      </c>
    </row>
    <row r="15768" customFormat="false" ht="12.8" hidden="false" customHeight="false" outlineLevel="0" collapsed="false">
      <c r="A15768" s="0" t="s">
        <v>12</v>
      </c>
      <c r="B15768" s="0" t="n">
        <v>4459380</v>
      </c>
      <c r="C15768" s="0" t="n">
        <v>4459400</v>
      </c>
      <c r="D15768" s="0" t="s">
        <v>52535</v>
      </c>
      <c r="E15768" s="0" t="s">
        <v>89</v>
      </c>
      <c r="F15768" s="0" t="s">
        <v>15</v>
      </c>
      <c r="G15768" s="0" t="s">
        <v>26</v>
      </c>
      <c r="H15768" s="0" t="n">
        <v>104</v>
      </c>
      <c r="I15768" s="0" t="s">
        <v>52545</v>
      </c>
      <c r="J15768" s="0" t="s">
        <v>52546</v>
      </c>
      <c r="K15768" s="0" t="s">
        <v>52547</v>
      </c>
      <c r="L15768" s="0" t="str">
        <f aca="false">HYPERLINK("https://www.ncbi.nlm.nih.gov/nuccore/CP000304.1?report=graph&amp;tracks=[key:gene_model_track,Options:GeneOnly]&amp;mk=4459286:4459305|offset_9|444444,4459311:4459330|offset_34|444444,4459335:4459354|offset_58|444444,4459381:4459400|offset_104|00cc00&amp;v=4459085:4459600&amp;c=444444", "offset 104")</f>
        <v>offset 104</v>
      </c>
    </row>
    <row r="15769" customFormat="false" ht="12.8" hidden="false" customHeight="false" outlineLevel="0" collapsed="false">
      <c r="A15769" s="0" t="s">
        <v>12</v>
      </c>
      <c r="B15769" s="0" t="n">
        <v>4459975</v>
      </c>
      <c r="C15769" s="0" t="n">
        <v>4459995</v>
      </c>
      <c r="D15769" s="0" t="s">
        <v>52548</v>
      </c>
      <c r="E15769" s="0" t="s">
        <v>89</v>
      </c>
      <c r="F15769" s="0" t="s">
        <v>15</v>
      </c>
      <c r="G15769" s="0" t="s">
        <v>26</v>
      </c>
      <c r="H15769" s="0" t="n">
        <v>7</v>
      </c>
      <c r="I15769" s="0" t="s">
        <v>52549</v>
      </c>
      <c r="J15769" s="0" t="s">
        <v>52550</v>
      </c>
      <c r="K15769" s="0" t="s">
        <v>52551</v>
      </c>
      <c r="L15769" s="0" t="str">
        <f aca="false">HYPERLINK("https://www.ncbi.nlm.nih.gov/nuccore/CP000304.1?report=graph&amp;tracks=[key:gene_model_track,Options:GeneOnly]&amp;mk=4459976:4459995|offset_7|00cc00,4460002:4460021|offset_33|444444,4460030:4460049|offset_61|444444,4460060:4460079|offset_91|444444&amp;v=4459775:4460279&amp;c=444444", "offset 7")</f>
        <v>offset 7</v>
      </c>
    </row>
    <row r="15770" customFormat="false" ht="12.8" hidden="false" customHeight="false" outlineLevel="0" collapsed="false">
      <c r="A15770" s="0" t="s">
        <v>12</v>
      </c>
      <c r="B15770" s="0" t="n">
        <v>4460001</v>
      </c>
      <c r="C15770" s="0" t="n">
        <v>4460021</v>
      </c>
      <c r="D15770" s="0" t="s">
        <v>52548</v>
      </c>
      <c r="E15770" s="0" t="s">
        <v>89</v>
      </c>
      <c r="F15770" s="0" t="s">
        <v>15</v>
      </c>
      <c r="G15770" s="0" t="s">
        <v>16</v>
      </c>
      <c r="H15770" s="0" t="n">
        <v>33</v>
      </c>
      <c r="I15770" s="0" t="s">
        <v>52552</v>
      </c>
      <c r="J15770" s="0" t="s">
        <v>52553</v>
      </c>
      <c r="K15770" s="0" t="s">
        <v>52554</v>
      </c>
      <c r="L15770" s="0" t="str">
        <f aca="false">HYPERLINK("https://www.ncbi.nlm.nih.gov/nuccore/CP000304.1?report=graph&amp;tracks=[key:gene_model_track,Options:GeneOnly]&amp;mk=4459976:4459995|offset_7|444444,4460002:4460021|offset_33|00cc00,4460030:4460049|offset_61|444444,4460060:4460079|offset_91|444444&amp;v=4459775:4460279&amp;c=444444", "offset 33")</f>
        <v>offset 33</v>
      </c>
    </row>
    <row r="15771" customFormat="false" ht="12.8" hidden="false" customHeight="false" outlineLevel="0" collapsed="false">
      <c r="A15771" s="0" t="s">
        <v>12</v>
      </c>
      <c r="B15771" s="0" t="n">
        <v>4460029</v>
      </c>
      <c r="C15771" s="0" t="n">
        <v>4460049</v>
      </c>
      <c r="D15771" s="0" t="s">
        <v>52548</v>
      </c>
      <c r="E15771" s="0" t="s">
        <v>89</v>
      </c>
      <c r="F15771" s="0" t="s">
        <v>15</v>
      </c>
      <c r="G15771" s="0" t="s">
        <v>36</v>
      </c>
      <c r="H15771" s="0" t="n">
        <v>61</v>
      </c>
      <c r="I15771" s="0" t="s">
        <v>52555</v>
      </c>
      <c r="J15771" s="0" t="s">
        <v>52556</v>
      </c>
      <c r="K15771" s="0" t="s">
        <v>52557</v>
      </c>
      <c r="L15771" s="0" t="str">
        <f aca="false">HYPERLINK("https://www.ncbi.nlm.nih.gov/nuccore/CP000304.1?report=graph&amp;tracks=[key:gene_model_track,Options:GeneOnly]&amp;mk=4459976:4459995|offset_7|444444,4460002:4460021|offset_33|444444,4460030:4460049|offset_61|00cc00,4460060:4460079|offset_91|444444&amp;v=4459775:4460279&amp;c=444444", "offset 61")</f>
        <v>offset 61</v>
      </c>
    </row>
    <row r="15772" customFormat="false" ht="12.8" hidden="false" customHeight="false" outlineLevel="0" collapsed="false">
      <c r="A15772" s="0" t="s">
        <v>12</v>
      </c>
      <c r="B15772" s="0" t="n">
        <v>4460059</v>
      </c>
      <c r="C15772" s="0" t="n">
        <v>4460079</v>
      </c>
      <c r="D15772" s="0" t="s">
        <v>52548</v>
      </c>
      <c r="E15772" s="0" t="s">
        <v>89</v>
      </c>
      <c r="F15772" s="0" t="s">
        <v>15</v>
      </c>
      <c r="G15772" s="0" t="s">
        <v>16</v>
      </c>
      <c r="H15772" s="0" t="n">
        <v>91</v>
      </c>
      <c r="I15772" s="0" t="s">
        <v>52558</v>
      </c>
      <c r="J15772" s="0" t="s">
        <v>52559</v>
      </c>
      <c r="K15772" s="0" t="s">
        <v>52560</v>
      </c>
      <c r="L15772" s="0" t="str">
        <f aca="false">HYPERLINK("https://www.ncbi.nlm.nih.gov/nuccore/CP000304.1?report=graph&amp;tracks=[key:gene_model_track,Options:GeneOnly]&amp;mk=4459976:4459995|offset_7|444444,4460002:4460021|offset_33|444444,4460030:4460049|offset_61|444444,4460060:4460079|offset_91|00cc00&amp;v=4459775:4460279&amp;c=444444", "offset 91")</f>
        <v>offset 91</v>
      </c>
    </row>
    <row r="15773" customFormat="false" ht="12.8" hidden="false" customHeight="false" outlineLevel="0" collapsed="false">
      <c r="A15773" s="0" t="s">
        <v>12</v>
      </c>
      <c r="B15773" s="0" t="n">
        <v>4460758</v>
      </c>
      <c r="C15773" s="0" t="n">
        <v>4460778</v>
      </c>
      <c r="D15773" s="0" t="s">
        <v>52561</v>
      </c>
      <c r="E15773" s="0" t="s">
        <v>89</v>
      </c>
      <c r="F15773" s="0" t="s">
        <v>15</v>
      </c>
      <c r="G15773" s="0" t="s">
        <v>36</v>
      </c>
      <c r="H15773" s="0" t="n">
        <v>0</v>
      </c>
      <c r="I15773" s="0" t="s">
        <v>52562</v>
      </c>
      <c r="J15773" s="0" t="s">
        <v>52563</v>
      </c>
      <c r="K15773" s="0" t="s">
        <v>52564</v>
      </c>
      <c r="L15773" s="0" t="str">
        <f aca="false">HYPERLINK("https://www.ncbi.nlm.nih.gov/nuccore/CP000304.1?report=graph&amp;tracks=[key:gene_model_track,Options:GeneOnly]&amp;mk=4460759:4460778|offset_0|00cc00,4460794:4460813|offset_35|444444,4460818:4460837|offset_59|444444,4460844:4460863|offset_85|444444&amp;v=4460558:4461063&amp;c=444444", "offset 0")</f>
        <v>offset 0</v>
      </c>
    </row>
    <row r="15774" customFormat="false" ht="12.8" hidden="false" customHeight="false" outlineLevel="0" collapsed="false">
      <c r="A15774" s="0" t="s">
        <v>12</v>
      </c>
      <c r="B15774" s="0" t="n">
        <v>4460793</v>
      </c>
      <c r="C15774" s="0" t="n">
        <v>4460813</v>
      </c>
      <c r="D15774" s="0" t="s">
        <v>52561</v>
      </c>
      <c r="E15774" s="0" t="s">
        <v>89</v>
      </c>
      <c r="F15774" s="0" t="s">
        <v>15</v>
      </c>
      <c r="G15774" s="0" t="s">
        <v>32</v>
      </c>
      <c r="H15774" s="0" t="n">
        <v>35</v>
      </c>
      <c r="I15774" s="0" t="s">
        <v>52565</v>
      </c>
      <c r="J15774" s="0" t="s">
        <v>52566</v>
      </c>
      <c r="K15774" s="0" t="s">
        <v>52567</v>
      </c>
      <c r="L15774" s="0" t="str">
        <f aca="false">HYPERLINK("https://www.ncbi.nlm.nih.gov/nuccore/CP000304.1?report=graph&amp;tracks=[key:gene_model_track,Options:GeneOnly]&amp;mk=4460759:4460778|offset_0|444444,4460794:4460813|offset_35|00cc00,4460818:4460837|offset_59|444444,4460844:4460863|offset_85|444444&amp;v=4460558:4461063&amp;c=444444", "offset 35")</f>
        <v>offset 35</v>
      </c>
    </row>
    <row r="15775" customFormat="false" ht="12.8" hidden="false" customHeight="false" outlineLevel="0" collapsed="false">
      <c r="A15775" s="0" t="s">
        <v>12</v>
      </c>
      <c r="B15775" s="0" t="n">
        <v>4460817</v>
      </c>
      <c r="C15775" s="0" t="n">
        <v>4460837</v>
      </c>
      <c r="D15775" s="0" t="s">
        <v>52561</v>
      </c>
      <c r="E15775" s="0" t="s">
        <v>89</v>
      </c>
      <c r="F15775" s="0" t="s">
        <v>15</v>
      </c>
      <c r="G15775" s="0" t="s">
        <v>16</v>
      </c>
      <c r="H15775" s="0" t="n">
        <v>59</v>
      </c>
      <c r="I15775" s="0" t="s">
        <v>52568</v>
      </c>
      <c r="J15775" s="0" t="s">
        <v>52569</v>
      </c>
      <c r="K15775" s="0" t="s">
        <v>52570</v>
      </c>
      <c r="L15775" s="0" t="str">
        <f aca="false">HYPERLINK("https://www.ncbi.nlm.nih.gov/nuccore/CP000304.1?report=graph&amp;tracks=[key:gene_model_track,Options:GeneOnly]&amp;mk=4460759:4460778|offset_0|444444,4460794:4460813|offset_35|444444,4460818:4460837|offset_59|00cc00,4460844:4460863|offset_85|444444&amp;v=4460558:4461063&amp;c=444444", "offset 59")</f>
        <v>offset 59</v>
      </c>
    </row>
    <row r="15776" customFormat="false" ht="12.8" hidden="false" customHeight="false" outlineLevel="0" collapsed="false">
      <c r="A15776" s="0" t="s">
        <v>12</v>
      </c>
      <c r="B15776" s="0" t="n">
        <v>4460843</v>
      </c>
      <c r="C15776" s="0" t="n">
        <v>4460863</v>
      </c>
      <c r="D15776" s="0" t="s">
        <v>52561</v>
      </c>
      <c r="E15776" s="0" t="s">
        <v>89</v>
      </c>
      <c r="F15776" s="0" t="s">
        <v>15</v>
      </c>
      <c r="G15776" s="0" t="s">
        <v>16</v>
      </c>
      <c r="H15776" s="0" t="n">
        <v>85</v>
      </c>
      <c r="I15776" s="0" t="s">
        <v>52571</v>
      </c>
      <c r="J15776" s="0" t="s">
        <v>52572</v>
      </c>
      <c r="K15776" s="0" t="s">
        <v>52573</v>
      </c>
      <c r="L15776" s="0" t="str">
        <f aca="false">HYPERLINK("https://www.ncbi.nlm.nih.gov/nuccore/CP000304.1?report=graph&amp;tracks=[key:gene_model_track,Options:GeneOnly]&amp;mk=4460759:4460778|offset_0|444444,4460794:4460813|offset_35|444444,4460818:4460837|offset_59|444444,4460844:4460863|offset_85|00cc00&amp;v=4460558:4461063&amp;c=444444", "offset 85")</f>
        <v>offset 85</v>
      </c>
    </row>
    <row r="15777" customFormat="false" ht="12.8" hidden="false" customHeight="false" outlineLevel="0" collapsed="false">
      <c r="A15777" s="0" t="s">
        <v>12</v>
      </c>
      <c r="B15777" s="0" t="n">
        <v>4461847</v>
      </c>
      <c r="C15777" s="0" t="n">
        <v>4461867</v>
      </c>
      <c r="D15777" s="0" t="s">
        <v>52574</v>
      </c>
      <c r="E15777" s="0" t="s">
        <v>89</v>
      </c>
      <c r="F15777" s="0" t="s">
        <v>15</v>
      </c>
      <c r="G15777" s="0" t="s">
        <v>36</v>
      </c>
      <c r="H15777" s="0" t="n">
        <v>24</v>
      </c>
      <c r="I15777" s="0" t="s">
        <v>52575</v>
      </c>
      <c r="J15777" s="0" t="s">
        <v>52576</v>
      </c>
      <c r="K15777" s="0" t="s">
        <v>52577</v>
      </c>
      <c r="L15777" s="0" t="str">
        <f aca="false">HYPERLINK("https://www.ncbi.nlm.nih.gov/nuccore/CP000304.1?report=graph&amp;tracks=[key:gene_model_track,Options:GeneOnly]&amp;mk=4461848:4461867|offset_24|00cc00,4461874:4461893|offset_50|444444,4461895:4461914|offset_71|444444,4461942:4461961|offset_118|444444&amp;v=4461647:4462161&amp;c=444444", "offset 24")</f>
        <v>offset 24</v>
      </c>
    </row>
    <row r="15778" customFormat="false" ht="12.8" hidden="false" customHeight="false" outlineLevel="0" collapsed="false">
      <c r="A15778" s="0" t="s">
        <v>12</v>
      </c>
      <c r="B15778" s="0" t="n">
        <v>4461873</v>
      </c>
      <c r="C15778" s="0" t="n">
        <v>4461893</v>
      </c>
      <c r="D15778" s="0" t="s">
        <v>52574</v>
      </c>
      <c r="E15778" s="0" t="s">
        <v>89</v>
      </c>
      <c r="F15778" s="0" t="s">
        <v>15</v>
      </c>
      <c r="G15778" s="0" t="s">
        <v>26</v>
      </c>
      <c r="H15778" s="0" t="n">
        <v>50</v>
      </c>
      <c r="I15778" s="0" t="s">
        <v>52578</v>
      </c>
      <c r="J15778" s="0" t="s">
        <v>52579</v>
      </c>
      <c r="K15778" s="0" t="s">
        <v>52580</v>
      </c>
      <c r="L15778" s="0" t="str">
        <f aca="false">HYPERLINK("https://www.ncbi.nlm.nih.gov/nuccore/CP000304.1?report=graph&amp;tracks=[key:gene_model_track,Options:GeneOnly]&amp;mk=4461848:4461867|offset_24|444444,4461874:4461893|offset_50|00cc00,4461895:4461914|offset_71|444444,4461942:4461961|offset_118|444444&amp;v=4461647:4462161&amp;c=444444", "offset 50")</f>
        <v>offset 50</v>
      </c>
    </row>
    <row r="15779" customFormat="false" ht="12.8" hidden="false" customHeight="false" outlineLevel="0" collapsed="false">
      <c r="A15779" s="0" t="s">
        <v>12</v>
      </c>
      <c r="B15779" s="0" t="n">
        <v>4461894</v>
      </c>
      <c r="C15779" s="0" t="n">
        <v>4461914</v>
      </c>
      <c r="D15779" s="0" t="s">
        <v>52574</v>
      </c>
      <c r="E15779" s="0" t="s">
        <v>89</v>
      </c>
      <c r="F15779" s="0" t="s">
        <v>15</v>
      </c>
      <c r="G15779" s="0" t="s">
        <v>26</v>
      </c>
      <c r="H15779" s="0" t="n">
        <v>71</v>
      </c>
      <c r="I15779" s="0" t="s">
        <v>52581</v>
      </c>
      <c r="J15779" s="0" t="s">
        <v>52582</v>
      </c>
      <c r="K15779" s="0" t="s">
        <v>52583</v>
      </c>
      <c r="L15779" s="0" t="str">
        <f aca="false">HYPERLINK("https://www.ncbi.nlm.nih.gov/nuccore/CP000304.1?report=graph&amp;tracks=[key:gene_model_track,Options:GeneOnly]&amp;mk=4461848:4461867|offset_24|444444,4461874:4461893|offset_50|444444,4461895:4461914|offset_71|00cc00,4461942:4461961|offset_118|444444&amp;v=4461647:4462161&amp;c=444444", "offset 71")</f>
        <v>offset 71</v>
      </c>
    </row>
    <row r="15780" customFormat="false" ht="12.8" hidden="false" customHeight="false" outlineLevel="0" collapsed="false">
      <c r="A15780" s="0" t="s">
        <v>12</v>
      </c>
      <c r="B15780" s="0" t="n">
        <v>4461941</v>
      </c>
      <c r="C15780" s="0" t="n">
        <v>4461961</v>
      </c>
      <c r="D15780" s="0" t="s">
        <v>52574</v>
      </c>
      <c r="E15780" s="0" t="s">
        <v>89</v>
      </c>
      <c r="F15780" s="0" t="s">
        <v>15</v>
      </c>
      <c r="G15780" s="0" t="s">
        <v>32</v>
      </c>
      <c r="H15780" s="0" t="n">
        <v>118</v>
      </c>
      <c r="I15780" s="0" t="s">
        <v>52584</v>
      </c>
      <c r="J15780" s="0" t="s">
        <v>52585</v>
      </c>
      <c r="K15780" s="0" t="s">
        <v>52586</v>
      </c>
      <c r="L15780" s="0" t="str">
        <f aca="false">HYPERLINK("https://www.ncbi.nlm.nih.gov/nuccore/CP000304.1?report=graph&amp;tracks=[key:gene_model_track,Options:GeneOnly]&amp;mk=4461848:4461867|offset_24|444444,4461874:4461893|offset_50|444444,4461895:4461914|offset_71|444444,4461942:4461961|offset_118|00cc00&amp;v=4461647:4462161&amp;c=444444", "offset 118")</f>
        <v>offset 118</v>
      </c>
    </row>
    <row r="15781" customFormat="false" ht="12.8" hidden="false" customHeight="false" outlineLevel="0" collapsed="false">
      <c r="A15781" s="0" t="s">
        <v>12</v>
      </c>
      <c r="B15781" s="0" t="n">
        <v>4462129</v>
      </c>
      <c r="C15781" s="0" t="n">
        <v>4462149</v>
      </c>
      <c r="D15781" s="0" t="s">
        <v>52587</v>
      </c>
      <c r="E15781" s="0" t="s">
        <v>89</v>
      </c>
      <c r="F15781" s="0" t="s">
        <v>15</v>
      </c>
      <c r="G15781" s="0" t="s">
        <v>32</v>
      </c>
      <c r="H15781" s="0" t="n">
        <v>1</v>
      </c>
      <c r="I15781" s="0" t="s">
        <v>52588</v>
      </c>
      <c r="J15781" s="0" t="s">
        <v>52589</v>
      </c>
      <c r="K15781" s="0" t="s">
        <v>52590</v>
      </c>
      <c r="L15781" s="0" t="str">
        <f aca="false">HYPERLINK("https://www.ncbi.nlm.nih.gov/nuccore/CP000304.1?report=graph&amp;tracks=[key:gene_model_track,Options:GeneOnly]&amp;mk=4462130:4462149|offset_1|00cc00,4462154:4462173|offset_25|444444,4462181:4462200|offset_52|444444,4462211:4462230|offset_82|444444&amp;v=4461929:4462430&amp;c=444444", "offset 1")</f>
        <v>offset 1</v>
      </c>
    </row>
    <row r="15782" customFormat="false" ht="12.8" hidden="false" customHeight="false" outlineLevel="0" collapsed="false">
      <c r="A15782" s="0" t="s">
        <v>12</v>
      </c>
      <c r="B15782" s="0" t="n">
        <v>4462153</v>
      </c>
      <c r="C15782" s="0" t="n">
        <v>4462173</v>
      </c>
      <c r="D15782" s="0" t="s">
        <v>52587</v>
      </c>
      <c r="E15782" s="0" t="s">
        <v>89</v>
      </c>
      <c r="F15782" s="0" t="s">
        <v>15</v>
      </c>
      <c r="G15782" s="0" t="s">
        <v>36</v>
      </c>
      <c r="H15782" s="0" t="n">
        <v>25</v>
      </c>
      <c r="I15782" s="0" t="s">
        <v>52591</v>
      </c>
      <c r="J15782" s="0" t="s">
        <v>52592</v>
      </c>
      <c r="K15782" s="0" t="s">
        <v>52593</v>
      </c>
      <c r="L15782" s="0" t="str">
        <f aca="false">HYPERLINK("https://www.ncbi.nlm.nih.gov/nuccore/CP000304.1?report=graph&amp;tracks=[key:gene_model_track,Options:GeneOnly]&amp;mk=4462130:4462149|offset_1|444444,4462154:4462173|offset_25|00cc00,4462181:4462200|offset_52|444444,4462211:4462230|offset_82|444444&amp;v=4461929:4462430&amp;c=444444", "offset 25")</f>
        <v>offset 25</v>
      </c>
    </row>
    <row r="15783" customFormat="false" ht="12.8" hidden="false" customHeight="false" outlineLevel="0" collapsed="false">
      <c r="A15783" s="0" t="s">
        <v>12</v>
      </c>
      <c r="B15783" s="0" t="n">
        <v>4462180</v>
      </c>
      <c r="C15783" s="0" t="n">
        <v>4462200</v>
      </c>
      <c r="D15783" s="0" t="s">
        <v>52587</v>
      </c>
      <c r="E15783" s="0" t="s">
        <v>89</v>
      </c>
      <c r="F15783" s="0" t="s">
        <v>15</v>
      </c>
      <c r="G15783" s="0" t="s">
        <v>26</v>
      </c>
      <c r="H15783" s="0" t="n">
        <v>52</v>
      </c>
      <c r="I15783" s="0" t="s">
        <v>52594</v>
      </c>
      <c r="J15783" s="0" t="s">
        <v>52595</v>
      </c>
      <c r="K15783" s="0" t="s">
        <v>52596</v>
      </c>
      <c r="L15783" s="0" t="str">
        <f aca="false">HYPERLINK("https://www.ncbi.nlm.nih.gov/nuccore/CP000304.1?report=graph&amp;tracks=[key:gene_model_track,Options:GeneOnly]&amp;mk=4462130:4462149|offset_1|444444,4462154:4462173|offset_25|444444,4462181:4462200|offset_52|00cc00,4462211:4462230|offset_82|444444&amp;v=4461929:4462430&amp;c=444444", "offset 52")</f>
        <v>offset 52</v>
      </c>
    </row>
    <row r="15784" customFormat="false" ht="12.8" hidden="false" customHeight="false" outlineLevel="0" collapsed="false">
      <c r="A15784" s="0" t="s">
        <v>12</v>
      </c>
      <c r="B15784" s="0" t="n">
        <v>4462210</v>
      </c>
      <c r="C15784" s="0" t="n">
        <v>4462230</v>
      </c>
      <c r="D15784" s="0" t="s">
        <v>52587</v>
      </c>
      <c r="E15784" s="0" t="s">
        <v>89</v>
      </c>
      <c r="F15784" s="0" t="s">
        <v>15</v>
      </c>
      <c r="G15784" s="0" t="s">
        <v>16</v>
      </c>
      <c r="H15784" s="0" t="n">
        <v>82</v>
      </c>
      <c r="I15784" s="0" t="s">
        <v>52597</v>
      </c>
      <c r="J15784" s="0" t="s">
        <v>52598</v>
      </c>
      <c r="K15784" s="0" t="s">
        <v>52599</v>
      </c>
      <c r="L15784" s="0" t="str">
        <f aca="false">HYPERLINK("https://www.ncbi.nlm.nih.gov/nuccore/CP000304.1?report=graph&amp;tracks=[key:gene_model_track,Options:GeneOnly]&amp;mk=4462130:4462149|offset_1|444444,4462154:4462173|offset_25|444444,4462181:4462200|offset_52|444444,4462211:4462230|offset_82|00cc00&amp;v=4461929:4462430&amp;c=444444", "offset 82")</f>
        <v>offset 82</v>
      </c>
    </row>
    <row r="15785" customFormat="false" ht="12.8" hidden="false" customHeight="false" outlineLevel="0" collapsed="false">
      <c r="A15785" s="0" t="s">
        <v>12</v>
      </c>
      <c r="B15785" s="0" t="n">
        <v>4464386</v>
      </c>
      <c r="C15785" s="0" t="n">
        <v>4464406</v>
      </c>
      <c r="D15785" s="0" t="s">
        <v>52600</v>
      </c>
      <c r="E15785" s="0" t="s">
        <v>89</v>
      </c>
      <c r="F15785" s="0" t="s">
        <v>90</v>
      </c>
      <c r="G15785" s="0" t="s">
        <v>32</v>
      </c>
      <c r="H15785" s="0" t="n">
        <v>46</v>
      </c>
      <c r="I15785" s="0" t="s">
        <v>52601</v>
      </c>
      <c r="J15785" s="0" t="s">
        <v>52602</v>
      </c>
      <c r="K15785" s="0" t="s">
        <v>52603</v>
      </c>
      <c r="L15785" s="0" t="str">
        <f aca="false">HYPERLINK("https://www.ncbi.nlm.nih.gov/nuccore/CP000304.1?report=graph&amp;tracks=[key:gene_model_track,Options:GeneOnly]&amp;mk=4464387:4464406|offset_46|00cc00,4464348:4464367|offset_85|444444,4464321:4464340|offset_112|444444,4464293:4464312|offset_140|444444&amp;v=4464186:4464512&amp;c=444444", "offset 46")</f>
        <v>offset 46</v>
      </c>
    </row>
    <row r="15786" customFormat="false" ht="12.8" hidden="false" customHeight="false" outlineLevel="0" collapsed="false">
      <c r="A15786" s="0" t="s">
        <v>12</v>
      </c>
      <c r="B15786" s="0" t="n">
        <v>4464347</v>
      </c>
      <c r="C15786" s="0" t="n">
        <v>4464367</v>
      </c>
      <c r="D15786" s="0" t="s">
        <v>52600</v>
      </c>
      <c r="E15786" s="0" t="s">
        <v>89</v>
      </c>
      <c r="F15786" s="0" t="s">
        <v>90</v>
      </c>
      <c r="G15786" s="0" t="s">
        <v>36</v>
      </c>
      <c r="H15786" s="0" t="n">
        <v>85</v>
      </c>
      <c r="I15786" s="0" t="s">
        <v>52604</v>
      </c>
      <c r="J15786" s="0" t="s">
        <v>52605</v>
      </c>
      <c r="K15786" s="0" t="s">
        <v>52606</v>
      </c>
      <c r="L15786" s="0" t="str">
        <f aca="false">HYPERLINK("https://www.ncbi.nlm.nih.gov/nuccore/CP000304.1?report=graph&amp;tracks=[key:gene_model_track,Options:GeneOnly]&amp;mk=4464387:4464406|offset_46|444444,4464348:4464367|offset_85|00cc00,4464321:4464340|offset_112|444444,4464293:4464312|offset_140|444444&amp;v=4464186:4464512&amp;c=444444", "offset 85")</f>
        <v>offset 85</v>
      </c>
    </row>
    <row r="15787" customFormat="false" ht="12.8" hidden="false" customHeight="false" outlineLevel="0" collapsed="false">
      <c r="A15787" s="0" t="s">
        <v>12</v>
      </c>
      <c r="B15787" s="0" t="n">
        <v>4464320</v>
      </c>
      <c r="C15787" s="0" t="n">
        <v>4464340</v>
      </c>
      <c r="D15787" s="0" t="s">
        <v>52600</v>
      </c>
      <c r="E15787" s="0" t="s">
        <v>89</v>
      </c>
      <c r="F15787" s="0" t="s">
        <v>90</v>
      </c>
      <c r="G15787" s="0" t="s">
        <v>32</v>
      </c>
      <c r="H15787" s="0" t="n">
        <v>112</v>
      </c>
      <c r="I15787" s="0" t="s">
        <v>52607</v>
      </c>
      <c r="J15787" s="0" t="s">
        <v>52608</v>
      </c>
      <c r="K15787" s="0" t="s">
        <v>52609</v>
      </c>
      <c r="L15787" s="0" t="str">
        <f aca="false">HYPERLINK("https://www.ncbi.nlm.nih.gov/nuccore/CP000304.1?report=graph&amp;tracks=[key:gene_model_track,Options:GeneOnly]&amp;mk=4464387:4464406|offset_46|444444,4464348:4464367|offset_85|444444,4464321:4464340|offset_112|00cc00,4464293:4464312|offset_140|444444&amp;v=4464186:4464512&amp;c=444444", "offset 112")</f>
        <v>offset 112</v>
      </c>
    </row>
    <row r="15788" customFormat="false" ht="12.8" hidden="false" customHeight="false" outlineLevel="0" collapsed="false">
      <c r="A15788" s="0" t="s">
        <v>12</v>
      </c>
      <c r="B15788" s="0" t="n">
        <v>4464292</v>
      </c>
      <c r="C15788" s="0" t="n">
        <v>4464312</v>
      </c>
      <c r="D15788" s="0" t="s">
        <v>52600</v>
      </c>
      <c r="E15788" s="0" t="s">
        <v>89</v>
      </c>
      <c r="F15788" s="0" t="s">
        <v>90</v>
      </c>
      <c r="G15788" s="0" t="s">
        <v>32</v>
      </c>
      <c r="H15788" s="0" t="n">
        <v>140</v>
      </c>
      <c r="I15788" s="0" t="s">
        <v>52610</v>
      </c>
      <c r="J15788" s="0" t="s">
        <v>52611</v>
      </c>
      <c r="K15788" s="0" t="s">
        <v>52612</v>
      </c>
      <c r="L15788" s="0" t="str">
        <f aca="false">HYPERLINK("https://www.ncbi.nlm.nih.gov/nuccore/CP000304.1?report=graph&amp;tracks=[key:gene_model_track,Options:GeneOnly]&amp;mk=4464387:4464406|offset_46|444444,4464348:4464367|offset_85|444444,4464321:4464340|offset_112|444444,4464293:4464312|offset_140|00cc00&amp;v=4464186:4464512&amp;c=444444", "offset 140")</f>
        <v>offset 140</v>
      </c>
    </row>
    <row r="15789" customFormat="false" ht="12.8" hidden="false" customHeight="false" outlineLevel="0" collapsed="false">
      <c r="A15789" s="0" t="s">
        <v>12</v>
      </c>
      <c r="B15789" s="0" t="n">
        <v>4466629</v>
      </c>
      <c r="C15789" s="0" t="n">
        <v>4466649</v>
      </c>
      <c r="D15789" s="0" t="s">
        <v>52613</v>
      </c>
      <c r="E15789" s="0" t="s">
        <v>89</v>
      </c>
      <c r="F15789" s="0" t="s">
        <v>90</v>
      </c>
      <c r="G15789" s="0" t="s">
        <v>16</v>
      </c>
      <c r="H15789" s="0" t="n">
        <v>20</v>
      </c>
      <c r="I15789" s="0" t="s">
        <v>52614</v>
      </c>
      <c r="J15789" s="0" t="s">
        <v>52615</v>
      </c>
      <c r="K15789" s="0" t="s">
        <v>52616</v>
      </c>
      <c r="L15789" s="0" t="str">
        <f aca="false">HYPERLINK("https://www.ncbi.nlm.nih.gov/nuccore/CP000304.1?report=graph&amp;tracks=[key:gene_model_track,Options:GeneOnly]&amp;mk=4466630:4466649|offset_20|00cc00,4466604:4466623|offset_46|444444,4466582:4466601|offset_68|444444,4466549:4466568|offset_101|444444&amp;v=4466429:4466768&amp;c=444444", "offset 20")</f>
        <v>offset 20</v>
      </c>
    </row>
    <row r="15790" customFormat="false" ht="12.8" hidden="false" customHeight="false" outlineLevel="0" collapsed="false">
      <c r="A15790" s="0" t="s">
        <v>12</v>
      </c>
      <c r="B15790" s="0" t="n">
        <v>4466603</v>
      </c>
      <c r="C15790" s="0" t="n">
        <v>4466623</v>
      </c>
      <c r="D15790" s="0" t="s">
        <v>52613</v>
      </c>
      <c r="E15790" s="0" t="s">
        <v>89</v>
      </c>
      <c r="F15790" s="0" t="s">
        <v>90</v>
      </c>
      <c r="G15790" s="0" t="s">
        <v>36</v>
      </c>
      <c r="H15790" s="0" t="n">
        <v>46</v>
      </c>
      <c r="I15790" s="0" t="s">
        <v>52617</v>
      </c>
      <c r="J15790" s="0" t="s">
        <v>52618</v>
      </c>
      <c r="K15790" s="0" t="s">
        <v>52619</v>
      </c>
      <c r="L15790" s="0" t="str">
        <f aca="false">HYPERLINK("https://www.ncbi.nlm.nih.gov/nuccore/CP000304.1?report=graph&amp;tracks=[key:gene_model_track,Options:GeneOnly]&amp;mk=4466630:4466649|offset_20|444444,4466604:4466623|offset_46|00cc00,4466582:4466601|offset_68|444444,4466549:4466568|offset_101|444444&amp;v=4466429:4466768&amp;c=444444", "offset 46")</f>
        <v>offset 46</v>
      </c>
    </row>
    <row r="15791" customFormat="false" ht="12.8" hidden="false" customHeight="false" outlineLevel="0" collapsed="false">
      <c r="A15791" s="0" t="s">
        <v>12</v>
      </c>
      <c r="B15791" s="0" t="n">
        <v>4466581</v>
      </c>
      <c r="C15791" s="0" t="n">
        <v>4466601</v>
      </c>
      <c r="D15791" s="0" t="s">
        <v>52613</v>
      </c>
      <c r="E15791" s="0" t="s">
        <v>89</v>
      </c>
      <c r="F15791" s="0" t="s">
        <v>90</v>
      </c>
      <c r="G15791" s="0" t="s">
        <v>16</v>
      </c>
      <c r="H15791" s="0" t="n">
        <v>68</v>
      </c>
      <c r="I15791" s="0" t="s">
        <v>52620</v>
      </c>
      <c r="J15791" s="0" t="s">
        <v>52621</v>
      </c>
      <c r="K15791" s="0" t="s">
        <v>52622</v>
      </c>
      <c r="L15791" s="0" t="str">
        <f aca="false">HYPERLINK("https://www.ncbi.nlm.nih.gov/nuccore/CP000304.1?report=graph&amp;tracks=[key:gene_model_track,Options:GeneOnly]&amp;mk=4466630:4466649|offset_20|444444,4466604:4466623|offset_46|444444,4466582:4466601|offset_68|00cc00,4466549:4466568|offset_101|444444&amp;v=4466429:4466768&amp;c=444444", "offset 68")</f>
        <v>offset 68</v>
      </c>
    </row>
    <row r="15792" customFormat="false" ht="12.8" hidden="false" customHeight="false" outlineLevel="0" collapsed="false">
      <c r="A15792" s="0" t="s">
        <v>12</v>
      </c>
      <c r="B15792" s="0" t="n">
        <v>4466548</v>
      </c>
      <c r="C15792" s="0" t="n">
        <v>4466568</v>
      </c>
      <c r="D15792" s="0" t="s">
        <v>52613</v>
      </c>
      <c r="E15792" s="0" t="s">
        <v>89</v>
      </c>
      <c r="F15792" s="0" t="s">
        <v>90</v>
      </c>
      <c r="G15792" s="0" t="s">
        <v>16</v>
      </c>
      <c r="H15792" s="0" t="n">
        <v>101</v>
      </c>
      <c r="I15792" s="0" t="s">
        <v>52623</v>
      </c>
      <c r="J15792" s="0" t="s">
        <v>52624</v>
      </c>
      <c r="K15792" s="0" t="s">
        <v>52625</v>
      </c>
      <c r="L15792" s="0" t="str">
        <f aca="false">HYPERLINK("https://www.ncbi.nlm.nih.gov/nuccore/CP000304.1?report=graph&amp;tracks=[key:gene_model_track,Options:GeneOnly]&amp;mk=4466630:4466649|offset_20|444444,4466604:4466623|offset_46|444444,4466582:4466601|offset_68|444444,4466549:4466568|offset_101|00cc00&amp;v=4466429:4466768&amp;c=444444", "offset 101")</f>
        <v>offset 101</v>
      </c>
    </row>
    <row r="15793" customFormat="false" ht="12.8" hidden="false" customHeight="false" outlineLevel="0" collapsed="false">
      <c r="A15793" s="0" t="s">
        <v>12</v>
      </c>
      <c r="B15793" s="0" t="n">
        <v>4467586</v>
      </c>
      <c r="C15793" s="0" t="n">
        <v>4467606</v>
      </c>
      <c r="D15793" s="0" t="s">
        <v>52626</v>
      </c>
      <c r="E15793" s="0" t="s">
        <v>52627</v>
      </c>
      <c r="F15793" s="0" t="s">
        <v>90</v>
      </c>
      <c r="G15793" s="0" t="s">
        <v>32</v>
      </c>
      <c r="H15793" s="0" t="n">
        <v>1</v>
      </c>
      <c r="I15793" s="0" t="s">
        <v>52628</v>
      </c>
      <c r="J15793" s="0" t="s">
        <v>52629</v>
      </c>
      <c r="K15793" s="0" t="s">
        <v>52630</v>
      </c>
      <c r="L15793" s="0" t="str">
        <f aca="false">HYPERLINK("https://www.ncbi.nlm.nih.gov/nuccore/CP000304.1?report=graph&amp;tracks=[key:gene_model_track,Options:GeneOnly]&amp;mk=4467587:4467606|offset_1|00cc00,4467557:4467576|offset_31|444444,4467530:4467549|offset_58|444444,4467503:4467522|offset_85|444444&amp;v=4467386:4467722&amp;c=444444", "offset 1")</f>
        <v>offset 1</v>
      </c>
    </row>
    <row r="15794" customFormat="false" ht="12.8" hidden="false" customHeight="false" outlineLevel="0" collapsed="false">
      <c r="A15794" s="0" t="s">
        <v>12</v>
      </c>
      <c r="B15794" s="0" t="n">
        <v>4467556</v>
      </c>
      <c r="C15794" s="0" t="n">
        <v>4467576</v>
      </c>
      <c r="D15794" s="0" t="s">
        <v>52626</v>
      </c>
      <c r="E15794" s="0" t="s">
        <v>52627</v>
      </c>
      <c r="F15794" s="0" t="s">
        <v>90</v>
      </c>
      <c r="G15794" s="0" t="s">
        <v>16</v>
      </c>
      <c r="H15794" s="0" t="n">
        <v>31</v>
      </c>
      <c r="I15794" s="0" t="s">
        <v>52631</v>
      </c>
      <c r="J15794" s="0" t="s">
        <v>52632</v>
      </c>
      <c r="K15794" s="0" t="s">
        <v>52633</v>
      </c>
      <c r="L15794" s="0" t="str">
        <f aca="false">HYPERLINK("https://www.ncbi.nlm.nih.gov/nuccore/CP000304.1?report=graph&amp;tracks=[key:gene_model_track,Options:GeneOnly]&amp;mk=4467587:4467606|offset_1|444444,4467557:4467576|offset_31|00cc00,4467530:4467549|offset_58|444444,4467503:4467522|offset_85|444444&amp;v=4467386:4467722&amp;c=444444", "offset 31")</f>
        <v>offset 31</v>
      </c>
    </row>
    <row r="15795" customFormat="false" ht="12.8" hidden="false" customHeight="false" outlineLevel="0" collapsed="false">
      <c r="A15795" s="0" t="s">
        <v>12</v>
      </c>
      <c r="B15795" s="0" t="n">
        <v>4467529</v>
      </c>
      <c r="C15795" s="0" t="n">
        <v>4467549</v>
      </c>
      <c r="D15795" s="0" t="s">
        <v>52626</v>
      </c>
      <c r="E15795" s="0" t="s">
        <v>52627</v>
      </c>
      <c r="F15795" s="0" t="s">
        <v>90</v>
      </c>
      <c r="G15795" s="0" t="s">
        <v>32</v>
      </c>
      <c r="H15795" s="0" t="n">
        <v>58</v>
      </c>
      <c r="I15795" s="0" t="s">
        <v>52634</v>
      </c>
      <c r="J15795" s="0" t="s">
        <v>52635</v>
      </c>
      <c r="K15795" s="0" t="s">
        <v>52636</v>
      </c>
      <c r="L15795" s="0" t="str">
        <f aca="false">HYPERLINK("https://www.ncbi.nlm.nih.gov/nuccore/CP000304.1?report=graph&amp;tracks=[key:gene_model_track,Options:GeneOnly]&amp;mk=4467587:4467606|offset_1|444444,4467557:4467576|offset_31|444444,4467530:4467549|offset_58|00cc00,4467503:4467522|offset_85|444444&amp;v=4467386:4467722&amp;c=444444", "offset 58")</f>
        <v>offset 58</v>
      </c>
    </row>
    <row r="15796" customFormat="false" ht="12.8" hidden="false" customHeight="false" outlineLevel="0" collapsed="false">
      <c r="A15796" s="0" t="s">
        <v>12</v>
      </c>
      <c r="B15796" s="0" t="n">
        <v>4467502</v>
      </c>
      <c r="C15796" s="0" t="n">
        <v>4467522</v>
      </c>
      <c r="D15796" s="0" t="s">
        <v>52626</v>
      </c>
      <c r="E15796" s="0" t="s">
        <v>52627</v>
      </c>
      <c r="F15796" s="0" t="s">
        <v>90</v>
      </c>
      <c r="G15796" s="0" t="s">
        <v>26</v>
      </c>
      <c r="H15796" s="0" t="n">
        <v>85</v>
      </c>
      <c r="I15796" s="0" t="s">
        <v>52637</v>
      </c>
      <c r="J15796" s="0" t="s">
        <v>52638</v>
      </c>
      <c r="K15796" s="0" t="s">
        <v>52639</v>
      </c>
      <c r="L15796" s="0" t="str">
        <f aca="false">HYPERLINK("https://www.ncbi.nlm.nih.gov/nuccore/CP000304.1?report=graph&amp;tracks=[key:gene_model_track,Options:GeneOnly]&amp;mk=4467587:4467606|offset_1|444444,4467557:4467576|offset_31|444444,4467530:4467549|offset_58|444444,4467503:4467522|offset_85|00cc00&amp;v=4467386:4467722&amp;c=444444", "offset 85")</f>
        <v>offset 85</v>
      </c>
    </row>
    <row r="15797" customFormat="false" ht="12.8" hidden="false" customHeight="false" outlineLevel="0" collapsed="false">
      <c r="A15797" s="0" t="s">
        <v>12</v>
      </c>
      <c r="B15797" s="0" t="n">
        <v>4468002</v>
      </c>
      <c r="C15797" s="0" t="n">
        <v>4468022</v>
      </c>
      <c r="D15797" s="0" t="s">
        <v>52640</v>
      </c>
      <c r="E15797" s="0" t="s">
        <v>52641</v>
      </c>
      <c r="F15797" s="0" t="s">
        <v>90</v>
      </c>
      <c r="G15797" s="0" t="s">
        <v>26</v>
      </c>
      <c r="H15797" s="0" t="n">
        <v>7</v>
      </c>
      <c r="I15797" s="0" t="s">
        <v>52642</v>
      </c>
      <c r="J15797" s="0" t="s">
        <v>52643</v>
      </c>
      <c r="K15797" s="0" t="s">
        <v>52644</v>
      </c>
      <c r="L15797" s="0" t="str">
        <f aca="false">HYPERLINK("https://www.ncbi.nlm.nih.gov/nuccore/CP000304.1?report=graph&amp;tracks=[key:gene_model_track,Options:GeneOnly]&amp;mk=4468003:4468022|offset_7|00cc00,4467979:4467998|offset_31|444444,4467935:4467954|offset_75|444444,4467891:4467910|offset_119|444444&amp;v=4467802:4468110&amp;c=444444", "offset 7")</f>
        <v>offset 7</v>
      </c>
    </row>
    <row r="15798" customFormat="false" ht="12.8" hidden="false" customHeight="false" outlineLevel="0" collapsed="false">
      <c r="A15798" s="0" t="s">
        <v>12</v>
      </c>
      <c r="B15798" s="0" t="n">
        <v>4467978</v>
      </c>
      <c r="C15798" s="0" t="n">
        <v>4467998</v>
      </c>
      <c r="D15798" s="0" t="s">
        <v>52640</v>
      </c>
      <c r="E15798" s="0" t="s">
        <v>52641</v>
      </c>
      <c r="F15798" s="0" t="s">
        <v>90</v>
      </c>
      <c r="G15798" s="0" t="s">
        <v>16</v>
      </c>
      <c r="H15798" s="0" t="n">
        <v>31</v>
      </c>
      <c r="I15798" s="0" t="s">
        <v>52645</v>
      </c>
      <c r="J15798" s="0" t="s">
        <v>52646</v>
      </c>
      <c r="K15798" s="0" t="s">
        <v>52647</v>
      </c>
      <c r="L15798" s="0" t="str">
        <f aca="false">HYPERLINK("https://www.ncbi.nlm.nih.gov/nuccore/CP000304.1?report=graph&amp;tracks=[key:gene_model_track,Options:GeneOnly]&amp;mk=4468003:4468022|offset_7|444444,4467979:4467998|offset_31|00cc00,4467935:4467954|offset_75|444444,4467891:4467910|offset_119|444444&amp;v=4467802:4468110&amp;c=444444", "offset 31")</f>
        <v>offset 31</v>
      </c>
    </row>
    <row r="15799" customFormat="false" ht="12.8" hidden="false" customHeight="false" outlineLevel="0" collapsed="false">
      <c r="A15799" s="0" t="s">
        <v>12</v>
      </c>
      <c r="B15799" s="0" t="n">
        <v>4467934</v>
      </c>
      <c r="C15799" s="0" t="n">
        <v>4467954</v>
      </c>
      <c r="D15799" s="0" t="s">
        <v>52640</v>
      </c>
      <c r="E15799" s="0" t="s">
        <v>52641</v>
      </c>
      <c r="F15799" s="0" t="s">
        <v>90</v>
      </c>
      <c r="G15799" s="0" t="s">
        <v>16</v>
      </c>
      <c r="H15799" s="0" t="n">
        <v>75</v>
      </c>
      <c r="I15799" s="0" t="s">
        <v>52648</v>
      </c>
      <c r="J15799" s="0" t="s">
        <v>52649</v>
      </c>
      <c r="K15799" s="0" t="s">
        <v>52650</v>
      </c>
      <c r="L15799" s="0" t="str">
        <f aca="false">HYPERLINK("https://www.ncbi.nlm.nih.gov/nuccore/CP000304.1?report=graph&amp;tracks=[key:gene_model_track,Options:GeneOnly]&amp;mk=4468003:4468022|offset_7|444444,4467979:4467998|offset_31|444444,4467935:4467954|offset_75|00cc00,4467891:4467910|offset_119|444444&amp;v=4467802:4468110&amp;c=444444", "offset 75")</f>
        <v>offset 75</v>
      </c>
    </row>
    <row r="15800" customFormat="false" ht="12.8" hidden="false" customHeight="false" outlineLevel="0" collapsed="false">
      <c r="A15800" s="0" t="s">
        <v>12</v>
      </c>
      <c r="B15800" s="0" t="n">
        <v>4467890</v>
      </c>
      <c r="C15800" s="0" t="n">
        <v>4467910</v>
      </c>
      <c r="D15800" s="0" t="s">
        <v>52640</v>
      </c>
      <c r="E15800" s="0" t="s">
        <v>52641</v>
      </c>
      <c r="F15800" s="0" t="s">
        <v>90</v>
      </c>
      <c r="G15800" s="0" t="s">
        <v>26</v>
      </c>
      <c r="H15800" s="0" t="n">
        <v>119</v>
      </c>
      <c r="I15800" s="0" t="s">
        <v>52651</v>
      </c>
      <c r="J15800" s="0" t="s">
        <v>52652</v>
      </c>
      <c r="K15800" s="0" t="s">
        <v>52653</v>
      </c>
      <c r="L15800" s="0" t="str">
        <f aca="false">HYPERLINK("https://www.ncbi.nlm.nih.gov/nuccore/CP000304.1?report=graph&amp;tracks=[key:gene_model_track,Options:GeneOnly]&amp;mk=4468003:4468022|offset_7|444444,4467979:4467998|offset_31|444444,4467935:4467954|offset_75|444444,4467891:4467910|offset_119|00cc00&amp;v=4467802:4468110&amp;c=444444", "offset 119")</f>
        <v>offset 119</v>
      </c>
    </row>
    <row r="15801" customFormat="false" ht="12.8" hidden="false" customHeight="false" outlineLevel="0" collapsed="false">
      <c r="A15801" s="0" t="s">
        <v>12</v>
      </c>
      <c r="B15801" s="0" t="n">
        <v>4469052</v>
      </c>
      <c r="C15801" s="0" t="n">
        <v>4469072</v>
      </c>
      <c r="D15801" s="0" t="s">
        <v>52654</v>
      </c>
      <c r="E15801" s="0" t="s">
        <v>89</v>
      </c>
      <c r="F15801" s="0" t="s">
        <v>90</v>
      </c>
      <c r="G15801" s="0" t="s">
        <v>26</v>
      </c>
      <c r="H15801" s="0" t="n">
        <v>11</v>
      </c>
      <c r="I15801" s="0" t="s">
        <v>52655</v>
      </c>
      <c r="J15801" s="0" t="s">
        <v>52656</v>
      </c>
      <c r="K15801" s="0" t="s">
        <v>52657</v>
      </c>
      <c r="L15801" s="0" t="str">
        <f aca="false">HYPERLINK("https://www.ncbi.nlm.nih.gov/nuccore/CP000304.1?report=graph&amp;tracks=[key:gene_model_track,Options:GeneOnly]&amp;mk=4469053:4469072|offset_11|00cc00,4469019:4469038|offset_45|444444,4468998:4469017|offset_66|444444,4468972:4468991|offset_92|444444&amp;v=4468852:4469191&amp;c=444444", "offset 11")</f>
        <v>offset 11</v>
      </c>
    </row>
    <row r="15802" customFormat="false" ht="12.8" hidden="false" customHeight="false" outlineLevel="0" collapsed="false">
      <c r="A15802" s="0" t="s">
        <v>12</v>
      </c>
      <c r="B15802" s="0" t="n">
        <v>4469018</v>
      </c>
      <c r="C15802" s="0" t="n">
        <v>4469038</v>
      </c>
      <c r="D15802" s="0" t="s">
        <v>52654</v>
      </c>
      <c r="E15802" s="0" t="s">
        <v>89</v>
      </c>
      <c r="F15802" s="0" t="s">
        <v>90</v>
      </c>
      <c r="G15802" s="0" t="s">
        <v>36</v>
      </c>
      <c r="H15802" s="0" t="n">
        <v>45</v>
      </c>
      <c r="I15802" s="0" t="s">
        <v>52658</v>
      </c>
      <c r="J15802" s="0" t="s">
        <v>52659</v>
      </c>
      <c r="K15802" s="0" t="s">
        <v>52660</v>
      </c>
      <c r="L15802" s="0" t="str">
        <f aca="false">HYPERLINK("https://www.ncbi.nlm.nih.gov/nuccore/CP000304.1?report=graph&amp;tracks=[key:gene_model_track,Options:GeneOnly]&amp;mk=4469053:4469072|offset_11|444444,4469019:4469038|offset_45|00cc00,4468998:4469017|offset_66|444444,4468972:4468991|offset_92|444444&amp;v=4468852:4469191&amp;c=444444", "offset 45")</f>
        <v>offset 45</v>
      </c>
    </row>
    <row r="15803" customFormat="false" ht="12.8" hidden="false" customHeight="false" outlineLevel="0" collapsed="false">
      <c r="A15803" s="0" t="s">
        <v>12</v>
      </c>
      <c r="B15803" s="0" t="n">
        <v>4468997</v>
      </c>
      <c r="C15803" s="0" t="n">
        <v>4469017</v>
      </c>
      <c r="D15803" s="0" t="s">
        <v>52654</v>
      </c>
      <c r="E15803" s="0" t="s">
        <v>89</v>
      </c>
      <c r="F15803" s="0" t="s">
        <v>90</v>
      </c>
      <c r="G15803" s="0" t="s">
        <v>36</v>
      </c>
      <c r="H15803" s="0" t="n">
        <v>66</v>
      </c>
      <c r="I15803" s="0" t="s">
        <v>52661</v>
      </c>
      <c r="J15803" s="0" t="s">
        <v>52662</v>
      </c>
      <c r="K15803" s="0" t="s">
        <v>52663</v>
      </c>
      <c r="L15803" s="0" t="str">
        <f aca="false">HYPERLINK("https://www.ncbi.nlm.nih.gov/nuccore/CP000304.1?report=graph&amp;tracks=[key:gene_model_track,Options:GeneOnly]&amp;mk=4469053:4469072|offset_11|444444,4469019:4469038|offset_45|444444,4468998:4469017|offset_66|00cc00,4468972:4468991|offset_92|444444&amp;v=4468852:4469191&amp;c=444444", "offset 66")</f>
        <v>offset 66</v>
      </c>
    </row>
    <row r="15804" customFormat="false" ht="12.8" hidden="false" customHeight="false" outlineLevel="0" collapsed="false">
      <c r="A15804" s="0" t="s">
        <v>12</v>
      </c>
      <c r="B15804" s="0" t="n">
        <v>4468971</v>
      </c>
      <c r="C15804" s="0" t="n">
        <v>4468991</v>
      </c>
      <c r="D15804" s="0" t="s">
        <v>52654</v>
      </c>
      <c r="E15804" s="0" t="s">
        <v>89</v>
      </c>
      <c r="F15804" s="0" t="s">
        <v>90</v>
      </c>
      <c r="G15804" s="0" t="s">
        <v>26</v>
      </c>
      <c r="H15804" s="0" t="n">
        <v>92</v>
      </c>
      <c r="I15804" s="0" t="s">
        <v>52664</v>
      </c>
      <c r="J15804" s="0" t="s">
        <v>52665</v>
      </c>
      <c r="K15804" s="0" t="s">
        <v>52666</v>
      </c>
      <c r="L15804" s="0" t="str">
        <f aca="false">HYPERLINK("https://www.ncbi.nlm.nih.gov/nuccore/CP000304.1?report=graph&amp;tracks=[key:gene_model_track,Options:GeneOnly]&amp;mk=4469053:4469072|offset_11|444444,4469019:4469038|offset_45|444444,4468998:4469017|offset_66|444444,4468972:4468991|offset_92|00cc00&amp;v=4468852:4469191&amp;c=444444", "offset 92")</f>
        <v>offset 92</v>
      </c>
    </row>
    <row r="15805" customFormat="false" ht="12.8" hidden="false" customHeight="false" outlineLevel="0" collapsed="false">
      <c r="A15805" s="0" t="s">
        <v>12</v>
      </c>
      <c r="B15805" s="0" t="n">
        <v>4469662</v>
      </c>
      <c r="C15805" s="0" t="n">
        <v>4469682</v>
      </c>
      <c r="D15805" s="0" t="s">
        <v>52667</v>
      </c>
      <c r="E15805" s="0" t="s">
        <v>89</v>
      </c>
      <c r="F15805" s="0" t="s">
        <v>90</v>
      </c>
      <c r="G15805" s="0" t="s">
        <v>26</v>
      </c>
      <c r="H15805" s="0" t="n">
        <v>15</v>
      </c>
      <c r="I15805" s="0" t="s">
        <v>52668</v>
      </c>
      <c r="J15805" s="0" t="s">
        <v>52669</v>
      </c>
      <c r="K15805" s="0" t="s">
        <v>52670</v>
      </c>
      <c r="L15805" s="0" t="str">
        <f aca="false">HYPERLINK("https://www.ncbi.nlm.nih.gov/nuccore/CP000304.1?report=graph&amp;tracks=[key:gene_model_track,Options:GeneOnly]&amp;mk=4469663:4469682|offset_15|00cc00,4469630:4469649|offset_48|444444,4469607:4469626|offset_71|444444,4469581:4469600|offset_97|444444&amp;v=4469462:4469800&amp;c=444444", "offset 15")</f>
        <v>offset 15</v>
      </c>
    </row>
    <row r="15806" customFormat="false" ht="12.8" hidden="false" customHeight="false" outlineLevel="0" collapsed="false">
      <c r="A15806" s="0" t="s">
        <v>12</v>
      </c>
      <c r="B15806" s="0" t="n">
        <v>4469629</v>
      </c>
      <c r="C15806" s="0" t="n">
        <v>4469649</v>
      </c>
      <c r="D15806" s="0" t="s">
        <v>52667</v>
      </c>
      <c r="E15806" s="0" t="s">
        <v>89</v>
      </c>
      <c r="F15806" s="0" t="s">
        <v>90</v>
      </c>
      <c r="G15806" s="0" t="s">
        <v>36</v>
      </c>
      <c r="H15806" s="0" t="n">
        <v>48</v>
      </c>
      <c r="I15806" s="0" t="s">
        <v>52671</v>
      </c>
      <c r="J15806" s="0" t="s">
        <v>52672</v>
      </c>
      <c r="K15806" s="0" t="s">
        <v>52673</v>
      </c>
      <c r="L15806" s="0" t="str">
        <f aca="false">HYPERLINK("https://www.ncbi.nlm.nih.gov/nuccore/CP000304.1?report=graph&amp;tracks=[key:gene_model_track,Options:GeneOnly]&amp;mk=4469663:4469682|offset_15|444444,4469630:4469649|offset_48|00cc00,4469607:4469626|offset_71|444444,4469581:4469600|offset_97|444444&amp;v=4469462:4469800&amp;c=444444", "offset 48")</f>
        <v>offset 48</v>
      </c>
    </row>
    <row r="15807" customFormat="false" ht="12.8" hidden="false" customHeight="false" outlineLevel="0" collapsed="false">
      <c r="A15807" s="0" t="s">
        <v>12</v>
      </c>
      <c r="B15807" s="0" t="n">
        <v>4469606</v>
      </c>
      <c r="C15807" s="0" t="n">
        <v>4469626</v>
      </c>
      <c r="D15807" s="0" t="s">
        <v>52667</v>
      </c>
      <c r="E15807" s="0" t="s">
        <v>89</v>
      </c>
      <c r="F15807" s="0" t="s">
        <v>90</v>
      </c>
      <c r="G15807" s="0" t="s">
        <v>36</v>
      </c>
      <c r="H15807" s="0" t="n">
        <v>71</v>
      </c>
      <c r="I15807" s="0" t="s">
        <v>52674</v>
      </c>
      <c r="J15807" s="0" t="s">
        <v>52675</v>
      </c>
      <c r="K15807" s="0" t="s">
        <v>52676</v>
      </c>
      <c r="L15807" s="0" t="str">
        <f aca="false">HYPERLINK("https://www.ncbi.nlm.nih.gov/nuccore/CP000304.1?report=graph&amp;tracks=[key:gene_model_track,Options:GeneOnly]&amp;mk=4469663:4469682|offset_15|444444,4469630:4469649|offset_48|444444,4469607:4469626|offset_71|00cc00,4469581:4469600|offset_97|444444&amp;v=4469462:4469800&amp;c=444444", "offset 71")</f>
        <v>offset 71</v>
      </c>
    </row>
    <row r="15808" customFormat="false" ht="12.8" hidden="false" customHeight="false" outlineLevel="0" collapsed="false">
      <c r="A15808" s="0" t="s">
        <v>12</v>
      </c>
      <c r="B15808" s="0" t="n">
        <v>4469580</v>
      </c>
      <c r="C15808" s="0" t="n">
        <v>4469600</v>
      </c>
      <c r="D15808" s="0" t="s">
        <v>52667</v>
      </c>
      <c r="E15808" s="0" t="s">
        <v>89</v>
      </c>
      <c r="F15808" s="0" t="s">
        <v>90</v>
      </c>
      <c r="G15808" s="0" t="s">
        <v>16</v>
      </c>
      <c r="H15808" s="0" t="n">
        <v>97</v>
      </c>
      <c r="I15808" s="0" t="s">
        <v>52677</v>
      </c>
      <c r="J15808" s="0" t="s">
        <v>52678</v>
      </c>
      <c r="K15808" s="0" t="s">
        <v>52679</v>
      </c>
      <c r="L15808" s="0" t="str">
        <f aca="false">HYPERLINK("https://www.ncbi.nlm.nih.gov/nuccore/CP000304.1?report=graph&amp;tracks=[key:gene_model_track,Options:GeneOnly]&amp;mk=4469663:4469682|offset_15|444444,4469630:4469649|offset_48|444444,4469607:4469626|offset_71|444444,4469581:4469600|offset_97|00cc00&amp;v=4469462:4469800&amp;c=444444", "offset 97")</f>
        <v>offset 97</v>
      </c>
    </row>
    <row r="15809" customFormat="false" ht="12.8" hidden="false" customHeight="false" outlineLevel="0" collapsed="false">
      <c r="A15809" s="0" t="s">
        <v>12</v>
      </c>
      <c r="B15809" s="0" t="n">
        <v>4470525</v>
      </c>
      <c r="C15809" s="0" t="n">
        <v>4470545</v>
      </c>
      <c r="D15809" s="0" t="s">
        <v>52680</v>
      </c>
      <c r="E15809" s="0" t="s">
        <v>52681</v>
      </c>
      <c r="F15809" s="0" t="s">
        <v>90</v>
      </c>
      <c r="G15809" s="0" t="s">
        <v>16</v>
      </c>
      <c r="H15809" s="0" t="n">
        <v>8</v>
      </c>
      <c r="I15809" s="0" t="s">
        <v>52682</v>
      </c>
      <c r="J15809" s="0" t="s">
        <v>52683</v>
      </c>
      <c r="K15809" s="0" t="s">
        <v>52684</v>
      </c>
      <c r="L15809" s="0" t="str">
        <f aca="false">HYPERLINK("https://www.ncbi.nlm.nih.gov/nuccore/CP000304.1?report=graph&amp;tracks=[key:gene_model_track,Options:GeneOnly]&amp;mk=4470526:4470545|offset_8|00cc00,4470503:4470522|offset_31|444444,4470471:4470490|offset_63|444444,4470428:4470447|offset_106|444444&amp;v=4470325:4470647&amp;c=444444", "offset 8")</f>
        <v>offset 8</v>
      </c>
    </row>
    <row r="15810" customFormat="false" ht="12.8" hidden="false" customHeight="false" outlineLevel="0" collapsed="false">
      <c r="A15810" s="0" t="s">
        <v>12</v>
      </c>
      <c r="B15810" s="0" t="n">
        <v>4470502</v>
      </c>
      <c r="C15810" s="0" t="n">
        <v>4470522</v>
      </c>
      <c r="D15810" s="0" t="s">
        <v>52680</v>
      </c>
      <c r="E15810" s="0" t="s">
        <v>52681</v>
      </c>
      <c r="F15810" s="0" t="s">
        <v>90</v>
      </c>
      <c r="G15810" s="0" t="s">
        <v>36</v>
      </c>
      <c r="H15810" s="0" t="n">
        <v>31</v>
      </c>
      <c r="I15810" s="0" t="s">
        <v>52685</v>
      </c>
      <c r="J15810" s="0" t="s">
        <v>52686</v>
      </c>
      <c r="K15810" s="0" t="s">
        <v>52687</v>
      </c>
      <c r="L15810" s="0" t="str">
        <f aca="false">HYPERLINK("https://www.ncbi.nlm.nih.gov/nuccore/CP000304.1?report=graph&amp;tracks=[key:gene_model_track,Options:GeneOnly]&amp;mk=4470526:4470545|offset_8|444444,4470503:4470522|offset_31|00cc00,4470471:4470490|offset_63|444444,4470428:4470447|offset_106|444444&amp;v=4470325:4470647&amp;c=444444", "offset 31")</f>
        <v>offset 31</v>
      </c>
    </row>
    <row r="15811" customFormat="false" ht="12.8" hidden="false" customHeight="false" outlineLevel="0" collapsed="false">
      <c r="A15811" s="0" t="s">
        <v>12</v>
      </c>
      <c r="B15811" s="0" t="n">
        <v>4470470</v>
      </c>
      <c r="C15811" s="0" t="n">
        <v>4470490</v>
      </c>
      <c r="D15811" s="0" t="s">
        <v>52680</v>
      </c>
      <c r="E15811" s="0" t="s">
        <v>52681</v>
      </c>
      <c r="F15811" s="0" t="s">
        <v>90</v>
      </c>
      <c r="G15811" s="0" t="s">
        <v>16</v>
      </c>
      <c r="H15811" s="0" t="n">
        <v>63</v>
      </c>
      <c r="I15811" s="0" t="s">
        <v>52688</v>
      </c>
      <c r="J15811" s="0" t="s">
        <v>52689</v>
      </c>
      <c r="K15811" s="0" t="s">
        <v>52690</v>
      </c>
      <c r="L15811" s="0" t="str">
        <f aca="false">HYPERLINK("https://www.ncbi.nlm.nih.gov/nuccore/CP000304.1?report=graph&amp;tracks=[key:gene_model_track,Options:GeneOnly]&amp;mk=4470526:4470545|offset_8|444444,4470503:4470522|offset_31|444444,4470471:4470490|offset_63|00cc00,4470428:4470447|offset_106|444444&amp;v=4470325:4470647&amp;c=444444", "offset 63")</f>
        <v>offset 63</v>
      </c>
    </row>
    <row r="15812" customFormat="false" ht="12.8" hidden="false" customHeight="false" outlineLevel="0" collapsed="false">
      <c r="A15812" s="0" t="s">
        <v>12</v>
      </c>
      <c r="B15812" s="0" t="n">
        <v>4470427</v>
      </c>
      <c r="C15812" s="0" t="n">
        <v>4470447</v>
      </c>
      <c r="D15812" s="0" t="s">
        <v>52680</v>
      </c>
      <c r="E15812" s="0" t="s">
        <v>52681</v>
      </c>
      <c r="F15812" s="0" t="s">
        <v>90</v>
      </c>
      <c r="G15812" s="0" t="s">
        <v>16</v>
      </c>
      <c r="H15812" s="0" t="n">
        <v>106</v>
      </c>
      <c r="I15812" s="0" t="s">
        <v>52691</v>
      </c>
      <c r="J15812" s="0" t="s">
        <v>52692</v>
      </c>
      <c r="K15812" s="0" t="s">
        <v>52693</v>
      </c>
      <c r="L15812" s="0" t="str">
        <f aca="false">HYPERLINK("https://www.ncbi.nlm.nih.gov/nuccore/CP000304.1?report=graph&amp;tracks=[key:gene_model_track,Options:GeneOnly]&amp;mk=4470526:4470545|offset_8|444444,4470503:4470522|offset_31|444444,4470471:4470490|offset_63|444444,4470428:4470447|offset_106|00cc00&amp;v=4470325:4470647&amp;c=444444", "offset 106")</f>
        <v>offset 106</v>
      </c>
    </row>
    <row r="15813" customFormat="false" ht="12.8" hidden="false" customHeight="false" outlineLevel="0" collapsed="false">
      <c r="A15813" s="0" t="s">
        <v>12</v>
      </c>
      <c r="B15813" s="0" t="n">
        <v>4471380</v>
      </c>
      <c r="C15813" s="0" t="n">
        <v>4471400</v>
      </c>
      <c r="D15813" s="0" t="s">
        <v>52694</v>
      </c>
      <c r="E15813" s="0" t="s">
        <v>52695</v>
      </c>
      <c r="F15813" s="0" t="s">
        <v>90</v>
      </c>
      <c r="G15813" s="0" t="s">
        <v>16</v>
      </c>
      <c r="H15813" s="0" t="n">
        <v>16</v>
      </c>
      <c r="I15813" s="0" t="s">
        <v>52696</v>
      </c>
      <c r="J15813" s="0" t="s">
        <v>52697</v>
      </c>
      <c r="K15813" s="0" t="s">
        <v>52698</v>
      </c>
      <c r="L15813" s="0" t="str">
        <f aca="false">HYPERLINK("https://www.ncbi.nlm.nih.gov/nuccore/CP000304.1?report=graph&amp;tracks=[key:gene_model_track,Options:GeneOnly]&amp;mk=4471381:4471400|offset_16|00cc00,4471327:4471346|offset_70|444444,4471287:4471306|offset_110|444444,4471250:4471269|offset_147|444444&amp;v=4471180:4471469&amp;c=444444", "offset 16")</f>
        <v>offset 16</v>
      </c>
    </row>
    <row r="15814" customFormat="false" ht="12.8" hidden="false" customHeight="false" outlineLevel="0" collapsed="false">
      <c r="A15814" s="0" t="s">
        <v>12</v>
      </c>
      <c r="B15814" s="0" t="n">
        <v>4471326</v>
      </c>
      <c r="C15814" s="0" t="n">
        <v>4471346</v>
      </c>
      <c r="D15814" s="0" t="s">
        <v>52694</v>
      </c>
      <c r="E15814" s="0" t="s">
        <v>52695</v>
      </c>
      <c r="F15814" s="0" t="s">
        <v>90</v>
      </c>
      <c r="G15814" s="0" t="s">
        <v>36</v>
      </c>
      <c r="H15814" s="0" t="n">
        <v>70</v>
      </c>
      <c r="I15814" s="0" t="s">
        <v>52699</v>
      </c>
      <c r="J15814" s="0" t="s">
        <v>52700</v>
      </c>
      <c r="K15814" s="0" t="s">
        <v>52701</v>
      </c>
      <c r="L15814" s="0" t="str">
        <f aca="false">HYPERLINK("https://www.ncbi.nlm.nih.gov/nuccore/CP000304.1?report=graph&amp;tracks=[key:gene_model_track,Options:GeneOnly]&amp;mk=4471381:4471400|offset_16|444444,4471327:4471346|offset_70|00cc00,4471287:4471306|offset_110|444444,4471250:4471269|offset_147|444444&amp;v=4471180:4471469&amp;c=444444", "offset 70")</f>
        <v>offset 70</v>
      </c>
    </row>
    <row r="15815" customFormat="false" ht="12.8" hidden="false" customHeight="false" outlineLevel="0" collapsed="false">
      <c r="A15815" s="0" t="s">
        <v>12</v>
      </c>
      <c r="B15815" s="0" t="n">
        <v>4471286</v>
      </c>
      <c r="C15815" s="0" t="n">
        <v>4471306</v>
      </c>
      <c r="D15815" s="0" t="s">
        <v>52694</v>
      </c>
      <c r="E15815" s="0" t="s">
        <v>52695</v>
      </c>
      <c r="F15815" s="0" t="s">
        <v>90</v>
      </c>
      <c r="G15815" s="0" t="s">
        <v>16</v>
      </c>
      <c r="H15815" s="0" t="n">
        <v>110</v>
      </c>
      <c r="I15815" s="0" t="s">
        <v>52702</v>
      </c>
      <c r="J15815" s="0" t="s">
        <v>52703</v>
      </c>
      <c r="K15815" s="0" t="s">
        <v>52704</v>
      </c>
      <c r="L15815" s="0" t="str">
        <f aca="false">HYPERLINK("https://www.ncbi.nlm.nih.gov/nuccore/CP000304.1?report=graph&amp;tracks=[key:gene_model_track,Options:GeneOnly]&amp;mk=4471381:4471400|offset_16|444444,4471327:4471346|offset_70|444444,4471287:4471306|offset_110|00cc00,4471250:4471269|offset_147|444444&amp;v=4471180:4471469&amp;c=444444", "offset 110")</f>
        <v>offset 110</v>
      </c>
    </row>
    <row r="15816" customFormat="false" ht="12.8" hidden="false" customHeight="false" outlineLevel="0" collapsed="false">
      <c r="A15816" s="0" t="s">
        <v>12</v>
      </c>
      <c r="B15816" s="0" t="n">
        <v>4471249</v>
      </c>
      <c r="C15816" s="0" t="n">
        <v>4471269</v>
      </c>
      <c r="D15816" s="0" t="s">
        <v>52694</v>
      </c>
      <c r="E15816" s="0" t="s">
        <v>52695</v>
      </c>
      <c r="F15816" s="0" t="s">
        <v>90</v>
      </c>
      <c r="G15816" s="0" t="s">
        <v>36</v>
      </c>
      <c r="H15816" s="0" t="n">
        <v>147</v>
      </c>
      <c r="I15816" s="0" t="s">
        <v>52705</v>
      </c>
      <c r="J15816" s="0" t="s">
        <v>52706</v>
      </c>
      <c r="K15816" s="0" t="s">
        <v>52707</v>
      </c>
      <c r="L15816" s="0" t="str">
        <f aca="false">HYPERLINK("https://www.ncbi.nlm.nih.gov/nuccore/CP000304.1?report=graph&amp;tracks=[key:gene_model_track,Options:GeneOnly]&amp;mk=4471381:4471400|offset_16|444444,4471327:4471346|offset_70|444444,4471287:4471306|offset_110|444444,4471250:4471269|offset_147|00cc00&amp;v=4471180:4471469&amp;c=444444", "offset 147")</f>
        <v>offset 147</v>
      </c>
    </row>
    <row r="15817" customFormat="false" ht="12.8" hidden="false" customHeight="false" outlineLevel="0" collapsed="false">
      <c r="A15817" s="0" t="s">
        <v>12</v>
      </c>
      <c r="B15817" s="0" t="n">
        <v>4471678</v>
      </c>
      <c r="C15817" s="0" t="n">
        <v>4471698</v>
      </c>
      <c r="D15817" s="0" t="s">
        <v>52708</v>
      </c>
      <c r="E15817" s="0" t="s">
        <v>52709</v>
      </c>
      <c r="F15817" s="0" t="s">
        <v>90</v>
      </c>
      <c r="G15817" s="0" t="s">
        <v>36</v>
      </c>
      <c r="H15817" s="0" t="n">
        <v>10</v>
      </c>
      <c r="I15817" s="0" t="s">
        <v>52710</v>
      </c>
      <c r="J15817" s="0" t="s">
        <v>52711</v>
      </c>
      <c r="K15817" s="0" t="s">
        <v>52712</v>
      </c>
      <c r="L15817" s="0" t="str">
        <f aca="false">HYPERLINK("https://www.ncbi.nlm.nih.gov/nuccore/CP000304.1?report=graph&amp;tracks=[key:gene_model_track,Options:GeneOnly]&amp;mk=4471679:4471698|offset_10|00cc00,4471658:4471677|offset_31|444444,4471634:4471653|offset_55|444444,4471587:4471606|offset_102|444444&amp;v=4471478:4471806&amp;c=444444", "offset 10")</f>
        <v>offset 10</v>
      </c>
    </row>
    <row r="15818" customFormat="false" ht="12.8" hidden="false" customHeight="false" outlineLevel="0" collapsed="false">
      <c r="A15818" s="0" t="s">
        <v>12</v>
      </c>
      <c r="B15818" s="0" t="n">
        <v>4471657</v>
      </c>
      <c r="C15818" s="0" t="n">
        <v>4471677</v>
      </c>
      <c r="D15818" s="0" t="s">
        <v>52708</v>
      </c>
      <c r="E15818" s="0" t="s">
        <v>52709</v>
      </c>
      <c r="F15818" s="0" t="s">
        <v>90</v>
      </c>
      <c r="G15818" s="0" t="s">
        <v>16</v>
      </c>
      <c r="H15818" s="0" t="n">
        <v>31</v>
      </c>
      <c r="I15818" s="0" t="s">
        <v>52713</v>
      </c>
      <c r="J15818" s="0" t="s">
        <v>52714</v>
      </c>
      <c r="K15818" s="0" t="s">
        <v>52715</v>
      </c>
      <c r="L15818" s="0" t="str">
        <f aca="false">HYPERLINK("https://www.ncbi.nlm.nih.gov/nuccore/CP000304.1?report=graph&amp;tracks=[key:gene_model_track,Options:GeneOnly]&amp;mk=4471679:4471698|offset_10|444444,4471658:4471677|offset_31|00cc00,4471634:4471653|offset_55|444444,4471587:4471606|offset_102|444444&amp;v=4471478:4471806&amp;c=444444", "offset 31")</f>
        <v>offset 31</v>
      </c>
    </row>
    <row r="15819" customFormat="false" ht="12.8" hidden="false" customHeight="false" outlineLevel="0" collapsed="false">
      <c r="A15819" s="0" t="s">
        <v>12</v>
      </c>
      <c r="B15819" s="0" t="n">
        <v>4471633</v>
      </c>
      <c r="C15819" s="0" t="n">
        <v>4471653</v>
      </c>
      <c r="D15819" s="0" t="s">
        <v>52708</v>
      </c>
      <c r="E15819" s="0" t="s">
        <v>52709</v>
      </c>
      <c r="F15819" s="0" t="s">
        <v>90</v>
      </c>
      <c r="G15819" s="0" t="s">
        <v>36</v>
      </c>
      <c r="H15819" s="0" t="n">
        <v>55</v>
      </c>
      <c r="I15819" s="0" t="s">
        <v>52716</v>
      </c>
      <c r="J15819" s="0" t="s">
        <v>52717</v>
      </c>
      <c r="K15819" s="0" t="s">
        <v>52718</v>
      </c>
      <c r="L15819" s="0" t="str">
        <f aca="false">HYPERLINK("https://www.ncbi.nlm.nih.gov/nuccore/CP000304.1?report=graph&amp;tracks=[key:gene_model_track,Options:GeneOnly]&amp;mk=4471679:4471698|offset_10|444444,4471658:4471677|offset_31|444444,4471634:4471653|offset_55|00cc00,4471587:4471606|offset_102|444444&amp;v=4471478:4471806&amp;c=444444", "offset 55")</f>
        <v>offset 55</v>
      </c>
    </row>
    <row r="15820" customFormat="false" ht="12.8" hidden="false" customHeight="false" outlineLevel="0" collapsed="false">
      <c r="A15820" s="0" t="s">
        <v>12</v>
      </c>
      <c r="B15820" s="0" t="n">
        <v>4471586</v>
      </c>
      <c r="C15820" s="0" t="n">
        <v>4471606</v>
      </c>
      <c r="D15820" s="0" t="s">
        <v>52708</v>
      </c>
      <c r="E15820" s="0" t="s">
        <v>52709</v>
      </c>
      <c r="F15820" s="0" t="s">
        <v>90</v>
      </c>
      <c r="G15820" s="0" t="s">
        <v>36</v>
      </c>
      <c r="H15820" s="0" t="n">
        <v>102</v>
      </c>
      <c r="I15820" s="0" t="s">
        <v>52719</v>
      </c>
      <c r="J15820" s="0" t="s">
        <v>52720</v>
      </c>
      <c r="K15820" s="0" t="s">
        <v>52721</v>
      </c>
      <c r="L15820" s="0" t="str">
        <f aca="false">HYPERLINK("https://www.ncbi.nlm.nih.gov/nuccore/CP000304.1?report=graph&amp;tracks=[key:gene_model_track,Options:GeneOnly]&amp;mk=4471679:4471698|offset_10|444444,4471658:4471677|offset_31|444444,4471634:4471653|offset_55|444444,4471587:4471606|offset_102|00cc00&amp;v=4471478:4471806&amp;c=444444", "offset 102")</f>
        <v>offset 102</v>
      </c>
    </row>
    <row r="15821" customFormat="false" ht="12.8" hidden="false" customHeight="false" outlineLevel="0" collapsed="false">
      <c r="A15821" s="0" t="s">
        <v>12</v>
      </c>
      <c r="B15821" s="0" t="n">
        <v>4472533</v>
      </c>
      <c r="C15821" s="0" t="n">
        <v>4472553</v>
      </c>
      <c r="D15821" s="0" t="s">
        <v>52722</v>
      </c>
      <c r="E15821" s="0" t="s">
        <v>52723</v>
      </c>
      <c r="F15821" s="0" t="s">
        <v>90</v>
      </c>
      <c r="G15821" s="0" t="s">
        <v>16</v>
      </c>
      <c r="H15821" s="0" t="n">
        <v>30</v>
      </c>
      <c r="I15821" s="0" t="s">
        <v>52724</v>
      </c>
      <c r="J15821" s="0" t="s">
        <v>52725</v>
      </c>
      <c r="K15821" s="0" t="s">
        <v>52726</v>
      </c>
      <c r="L15821" s="0" t="str">
        <f aca="false">HYPERLINK("https://www.ncbi.nlm.nih.gov/nuccore/CP000304.1?report=graph&amp;tracks=[key:gene_model_track,Options:GeneOnly]&amp;mk=4472534:4472553|offset_30|00cc00,4472512:4472531|offset_52|444444,4472479:4472498|offset_85|444444,4472448:4472467|offset_116|444444&amp;v=4472333:4472667&amp;c=444444", "offset 30")</f>
        <v>offset 30</v>
      </c>
    </row>
    <row r="15822" customFormat="false" ht="12.8" hidden="false" customHeight="false" outlineLevel="0" collapsed="false">
      <c r="A15822" s="0" t="s">
        <v>12</v>
      </c>
      <c r="B15822" s="0" t="n">
        <v>4472511</v>
      </c>
      <c r="C15822" s="0" t="n">
        <v>4472531</v>
      </c>
      <c r="D15822" s="0" t="s">
        <v>52722</v>
      </c>
      <c r="E15822" s="0" t="s">
        <v>52723</v>
      </c>
      <c r="F15822" s="0" t="s">
        <v>90</v>
      </c>
      <c r="G15822" s="0" t="s">
        <v>16</v>
      </c>
      <c r="H15822" s="0" t="n">
        <v>52</v>
      </c>
      <c r="I15822" s="0" t="s">
        <v>52727</v>
      </c>
      <c r="J15822" s="0" t="s">
        <v>52728</v>
      </c>
      <c r="K15822" s="0" t="s">
        <v>52729</v>
      </c>
      <c r="L15822" s="0" t="str">
        <f aca="false">HYPERLINK("https://www.ncbi.nlm.nih.gov/nuccore/CP000304.1?report=graph&amp;tracks=[key:gene_model_track,Options:GeneOnly]&amp;mk=4472534:4472553|offset_30|444444,4472512:4472531|offset_52|00cc00,4472479:4472498|offset_85|444444,4472448:4472467|offset_116|444444&amp;v=4472333:4472667&amp;c=444444", "offset 52")</f>
        <v>offset 52</v>
      </c>
    </row>
    <row r="15823" customFormat="false" ht="12.8" hidden="false" customHeight="false" outlineLevel="0" collapsed="false">
      <c r="A15823" s="0" t="s">
        <v>12</v>
      </c>
      <c r="B15823" s="0" t="n">
        <v>4472478</v>
      </c>
      <c r="C15823" s="0" t="n">
        <v>4472498</v>
      </c>
      <c r="D15823" s="0" t="s">
        <v>52722</v>
      </c>
      <c r="E15823" s="0" t="s">
        <v>52723</v>
      </c>
      <c r="F15823" s="0" t="s">
        <v>90</v>
      </c>
      <c r="G15823" s="0" t="s">
        <v>16</v>
      </c>
      <c r="H15823" s="0" t="n">
        <v>85</v>
      </c>
      <c r="I15823" s="0" t="s">
        <v>52730</v>
      </c>
      <c r="J15823" s="0" t="s">
        <v>52731</v>
      </c>
      <c r="K15823" s="0" t="s">
        <v>52732</v>
      </c>
      <c r="L15823" s="0" t="str">
        <f aca="false">HYPERLINK("https://www.ncbi.nlm.nih.gov/nuccore/CP000304.1?report=graph&amp;tracks=[key:gene_model_track,Options:GeneOnly]&amp;mk=4472534:4472553|offset_30|444444,4472512:4472531|offset_52|444444,4472479:4472498|offset_85|00cc00,4472448:4472467|offset_116|444444&amp;v=4472333:4472667&amp;c=444444", "offset 85")</f>
        <v>offset 85</v>
      </c>
    </row>
    <row r="15824" customFormat="false" ht="12.8" hidden="false" customHeight="false" outlineLevel="0" collapsed="false">
      <c r="A15824" s="0" t="s">
        <v>12</v>
      </c>
      <c r="B15824" s="0" t="n">
        <v>4472447</v>
      </c>
      <c r="C15824" s="0" t="n">
        <v>4472467</v>
      </c>
      <c r="D15824" s="0" t="s">
        <v>52722</v>
      </c>
      <c r="E15824" s="0" t="s">
        <v>52723</v>
      </c>
      <c r="F15824" s="0" t="s">
        <v>90</v>
      </c>
      <c r="G15824" s="0" t="s">
        <v>16</v>
      </c>
      <c r="H15824" s="0" t="n">
        <v>116</v>
      </c>
      <c r="I15824" s="0" t="s">
        <v>52733</v>
      </c>
      <c r="J15824" s="0" t="s">
        <v>52734</v>
      </c>
      <c r="K15824" s="0" t="s">
        <v>52735</v>
      </c>
      <c r="L15824" s="0" t="str">
        <f aca="false">HYPERLINK("https://www.ncbi.nlm.nih.gov/nuccore/CP000304.1?report=graph&amp;tracks=[key:gene_model_track,Options:GeneOnly]&amp;mk=4472534:4472553|offset_30|444444,4472512:4472531|offset_52|444444,4472479:4472498|offset_85|444444,4472448:4472467|offset_116|00cc00&amp;v=4472333:4472667&amp;c=444444", "offset 116")</f>
        <v>offset 116</v>
      </c>
    </row>
    <row r="15825" customFormat="false" ht="12.8" hidden="false" customHeight="false" outlineLevel="0" collapsed="false">
      <c r="A15825" s="0" t="s">
        <v>12</v>
      </c>
      <c r="B15825" s="0" t="n">
        <v>4474229</v>
      </c>
      <c r="C15825" s="0" t="n">
        <v>4474249</v>
      </c>
      <c r="D15825" s="0" t="s">
        <v>52736</v>
      </c>
      <c r="E15825" s="0" t="s">
        <v>52737</v>
      </c>
      <c r="F15825" s="0" t="s">
        <v>90</v>
      </c>
      <c r="G15825" s="0" t="s">
        <v>32</v>
      </c>
      <c r="H15825" s="0" t="n">
        <v>1</v>
      </c>
      <c r="I15825" s="0" t="s">
        <v>52738</v>
      </c>
      <c r="J15825" s="0" t="s">
        <v>52739</v>
      </c>
      <c r="K15825" s="0" t="s">
        <v>52740</v>
      </c>
      <c r="L15825" s="0" t="str">
        <f aca="false">HYPERLINK("https://www.ncbi.nlm.nih.gov/nuccore/CP000304.1?report=graph&amp;tracks=[key:gene_model_track,Options:GeneOnly]&amp;mk=4474230:4474249|offset_1|00cc00,4474210:4474229|offset_21|444444,4474173:4474192|offset_58|444444,4474148:4474167|offset_83|444444&amp;v=4474029:4474367&amp;c=444444", "offset 1")</f>
        <v>offset 1</v>
      </c>
    </row>
    <row r="15826" customFormat="false" ht="12.8" hidden="false" customHeight="false" outlineLevel="0" collapsed="false">
      <c r="A15826" s="0" t="s">
        <v>12</v>
      </c>
      <c r="B15826" s="0" t="n">
        <v>4474209</v>
      </c>
      <c r="C15826" s="0" t="n">
        <v>4474229</v>
      </c>
      <c r="D15826" s="0" t="s">
        <v>52736</v>
      </c>
      <c r="E15826" s="0" t="s">
        <v>52737</v>
      </c>
      <c r="F15826" s="0" t="s">
        <v>90</v>
      </c>
      <c r="G15826" s="0" t="s">
        <v>32</v>
      </c>
      <c r="H15826" s="0" t="n">
        <v>21</v>
      </c>
      <c r="I15826" s="0" t="s">
        <v>52741</v>
      </c>
      <c r="J15826" s="0" t="s">
        <v>52742</v>
      </c>
      <c r="K15826" s="0" t="s">
        <v>52743</v>
      </c>
      <c r="L15826" s="0" t="str">
        <f aca="false">HYPERLINK("https://www.ncbi.nlm.nih.gov/nuccore/CP000304.1?report=graph&amp;tracks=[key:gene_model_track,Options:GeneOnly]&amp;mk=4474230:4474249|offset_1|444444,4474210:4474229|offset_21|00cc00,4474173:4474192|offset_58|444444,4474148:4474167|offset_83|444444&amp;v=4474029:4474367&amp;c=444444", "offset 21")</f>
        <v>offset 21</v>
      </c>
    </row>
    <row r="15827" customFormat="false" ht="12.8" hidden="false" customHeight="false" outlineLevel="0" collapsed="false">
      <c r="A15827" s="0" t="s">
        <v>12</v>
      </c>
      <c r="B15827" s="0" t="n">
        <v>4474172</v>
      </c>
      <c r="C15827" s="0" t="n">
        <v>4474192</v>
      </c>
      <c r="D15827" s="0" t="s">
        <v>52736</v>
      </c>
      <c r="E15827" s="0" t="s">
        <v>52737</v>
      </c>
      <c r="F15827" s="0" t="s">
        <v>90</v>
      </c>
      <c r="G15827" s="0" t="s">
        <v>36</v>
      </c>
      <c r="H15827" s="0" t="n">
        <v>58</v>
      </c>
      <c r="I15827" s="0" t="s">
        <v>52744</v>
      </c>
      <c r="J15827" s="0" t="s">
        <v>52745</v>
      </c>
      <c r="K15827" s="0" t="s">
        <v>52746</v>
      </c>
      <c r="L15827" s="0" t="str">
        <f aca="false">HYPERLINK("https://www.ncbi.nlm.nih.gov/nuccore/CP000304.1?report=graph&amp;tracks=[key:gene_model_track,Options:GeneOnly]&amp;mk=4474230:4474249|offset_1|444444,4474210:4474229|offset_21|444444,4474173:4474192|offset_58|00cc00,4474148:4474167|offset_83|444444&amp;v=4474029:4474367&amp;c=444444", "offset 58")</f>
        <v>offset 58</v>
      </c>
    </row>
    <row r="15828" customFormat="false" ht="12.8" hidden="false" customHeight="false" outlineLevel="0" collapsed="false">
      <c r="A15828" s="0" t="s">
        <v>12</v>
      </c>
      <c r="B15828" s="0" t="n">
        <v>4474147</v>
      </c>
      <c r="C15828" s="0" t="n">
        <v>4474167</v>
      </c>
      <c r="D15828" s="0" t="s">
        <v>52736</v>
      </c>
      <c r="E15828" s="0" t="s">
        <v>52737</v>
      </c>
      <c r="F15828" s="0" t="s">
        <v>90</v>
      </c>
      <c r="G15828" s="0" t="s">
        <v>26</v>
      </c>
      <c r="H15828" s="0" t="n">
        <v>83</v>
      </c>
      <c r="I15828" s="0" t="s">
        <v>52747</v>
      </c>
      <c r="J15828" s="0" t="s">
        <v>52748</v>
      </c>
      <c r="K15828" s="0" t="s">
        <v>52749</v>
      </c>
      <c r="L15828" s="0" t="str">
        <f aca="false">HYPERLINK("https://www.ncbi.nlm.nih.gov/nuccore/CP000304.1?report=graph&amp;tracks=[key:gene_model_track,Options:GeneOnly]&amp;mk=4474230:4474249|offset_1|444444,4474210:4474229|offset_21|444444,4474173:4474192|offset_58|444444,4474148:4474167|offset_83|00cc00&amp;v=4474029:4474367&amp;c=444444", "offset 83")</f>
        <v>offset 83</v>
      </c>
    </row>
    <row r="15829" customFormat="false" ht="12.8" hidden="false" customHeight="false" outlineLevel="0" collapsed="false">
      <c r="A15829" s="0" t="s">
        <v>12</v>
      </c>
      <c r="B15829" s="0" t="n">
        <v>4475262</v>
      </c>
      <c r="C15829" s="0" t="n">
        <v>4475282</v>
      </c>
      <c r="D15829" s="0" t="s">
        <v>52750</v>
      </c>
      <c r="E15829" s="0" t="s">
        <v>89</v>
      </c>
      <c r="F15829" s="0" t="s">
        <v>90</v>
      </c>
      <c r="G15829" s="0" t="s">
        <v>16</v>
      </c>
      <c r="H15829" s="0" t="n">
        <v>1</v>
      </c>
      <c r="I15829" s="0" t="s">
        <v>52751</v>
      </c>
      <c r="J15829" s="0" t="s">
        <v>52752</v>
      </c>
      <c r="K15829" s="0" t="s">
        <v>52753</v>
      </c>
      <c r="L15829" s="0" t="str">
        <f aca="false">HYPERLINK("https://www.ncbi.nlm.nih.gov/nuccore/CP000304.1?report=graph&amp;tracks=[key:gene_model_track,Options:GeneOnly]&amp;mk=4475263:4475282|offset_1|00cc00,4475238:4475257|offset_26|444444,4475211:4475230|offset_53|444444,4475125:4475144|offset_139|444444&amp;v=4475062:4475344&amp;c=444444", "offset 1")</f>
        <v>offset 1</v>
      </c>
    </row>
    <row r="15830" customFormat="false" ht="12.8" hidden="false" customHeight="false" outlineLevel="0" collapsed="false">
      <c r="A15830" s="0" t="s">
        <v>12</v>
      </c>
      <c r="B15830" s="0" t="n">
        <v>4475237</v>
      </c>
      <c r="C15830" s="0" t="n">
        <v>4475257</v>
      </c>
      <c r="D15830" s="0" t="s">
        <v>52750</v>
      </c>
      <c r="E15830" s="0" t="s">
        <v>89</v>
      </c>
      <c r="F15830" s="0" t="s">
        <v>90</v>
      </c>
      <c r="G15830" s="0" t="s">
        <v>36</v>
      </c>
      <c r="H15830" s="0" t="n">
        <v>26</v>
      </c>
      <c r="I15830" s="0" t="s">
        <v>52754</v>
      </c>
      <c r="J15830" s="0" t="s">
        <v>52755</v>
      </c>
      <c r="K15830" s="0" t="s">
        <v>52756</v>
      </c>
      <c r="L15830" s="0" t="str">
        <f aca="false">HYPERLINK("https://www.ncbi.nlm.nih.gov/nuccore/CP000304.1?report=graph&amp;tracks=[key:gene_model_track,Options:GeneOnly]&amp;mk=4475263:4475282|offset_1|444444,4475238:4475257|offset_26|00cc00,4475211:4475230|offset_53|444444,4475125:4475144|offset_139|444444&amp;v=4475062:4475344&amp;c=444444", "offset 26")</f>
        <v>offset 26</v>
      </c>
    </row>
    <row r="15831" customFormat="false" ht="12.8" hidden="false" customHeight="false" outlineLevel="0" collapsed="false">
      <c r="A15831" s="0" t="s">
        <v>12</v>
      </c>
      <c r="B15831" s="0" t="n">
        <v>4475210</v>
      </c>
      <c r="C15831" s="0" t="n">
        <v>4475230</v>
      </c>
      <c r="D15831" s="0" t="s">
        <v>52750</v>
      </c>
      <c r="E15831" s="0" t="s">
        <v>89</v>
      </c>
      <c r="F15831" s="0" t="s">
        <v>90</v>
      </c>
      <c r="G15831" s="0" t="s">
        <v>36</v>
      </c>
      <c r="H15831" s="0" t="n">
        <v>53</v>
      </c>
      <c r="I15831" s="0" t="s">
        <v>52757</v>
      </c>
      <c r="J15831" s="0" t="s">
        <v>52758</v>
      </c>
      <c r="K15831" s="0" t="s">
        <v>52759</v>
      </c>
      <c r="L15831" s="0" t="str">
        <f aca="false">HYPERLINK("https://www.ncbi.nlm.nih.gov/nuccore/CP000304.1?report=graph&amp;tracks=[key:gene_model_track,Options:GeneOnly]&amp;mk=4475263:4475282|offset_1|444444,4475238:4475257|offset_26|444444,4475211:4475230|offset_53|00cc00,4475125:4475144|offset_139|444444&amp;v=4475062:4475344&amp;c=444444", "offset 53")</f>
        <v>offset 53</v>
      </c>
    </row>
    <row r="15832" customFormat="false" ht="12.8" hidden="false" customHeight="false" outlineLevel="0" collapsed="false">
      <c r="A15832" s="0" t="s">
        <v>12</v>
      </c>
      <c r="B15832" s="0" t="n">
        <v>4475124</v>
      </c>
      <c r="C15832" s="0" t="n">
        <v>4475144</v>
      </c>
      <c r="D15832" s="0" t="s">
        <v>52750</v>
      </c>
      <c r="E15832" s="0" t="s">
        <v>89</v>
      </c>
      <c r="F15832" s="0" t="s">
        <v>90</v>
      </c>
      <c r="G15832" s="0" t="s">
        <v>32</v>
      </c>
      <c r="H15832" s="0" t="n">
        <v>139</v>
      </c>
      <c r="I15832" s="0" t="s">
        <v>52760</v>
      </c>
      <c r="J15832" s="0" t="s">
        <v>52761</v>
      </c>
      <c r="K15832" s="0" t="s">
        <v>52762</v>
      </c>
      <c r="L15832" s="0" t="str">
        <f aca="false">HYPERLINK("https://www.ncbi.nlm.nih.gov/nuccore/CP000304.1?report=graph&amp;tracks=[key:gene_model_track,Options:GeneOnly]&amp;mk=4475263:4475282|offset_1|444444,4475238:4475257|offset_26|444444,4475211:4475230|offset_53|444444,4475125:4475144|offset_139|00cc00&amp;v=4475062:4475344&amp;c=444444", "offset 139")</f>
        <v>offset 139</v>
      </c>
    </row>
    <row r="15833" customFormat="false" ht="12.8" hidden="false" customHeight="false" outlineLevel="0" collapsed="false">
      <c r="A15833" s="0" t="s">
        <v>12</v>
      </c>
      <c r="B15833" s="0" t="n">
        <v>4475385</v>
      </c>
      <c r="C15833" s="0" t="n">
        <v>4475405</v>
      </c>
      <c r="D15833" s="0" t="s">
        <v>52763</v>
      </c>
      <c r="E15833" s="0" t="s">
        <v>52764</v>
      </c>
      <c r="F15833" s="0" t="s">
        <v>15</v>
      </c>
      <c r="G15833" s="0" t="s">
        <v>16</v>
      </c>
      <c r="H15833" s="0" t="n">
        <v>11</v>
      </c>
      <c r="I15833" s="0" t="s">
        <v>52765</v>
      </c>
      <c r="J15833" s="0" t="s">
        <v>52766</v>
      </c>
      <c r="K15833" s="0" t="s">
        <v>52767</v>
      </c>
      <c r="L15833" s="0" t="str">
        <f aca="false">HYPERLINK("https://www.ncbi.nlm.nih.gov/nuccore/CP000304.1?report=graph&amp;tracks=[key:gene_model_track,Options:GeneOnly]&amp;mk=4475386:4475405|offset_11|00cc00,4475408:4475427|offset_33|444444,4475431:4475450|offset_56|444444,4475464:4475483|offset_89|444444&amp;v=4475185:4475683&amp;c=444444", "offset 11")</f>
        <v>offset 11</v>
      </c>
    </row>
    <row r="15834" customFormat="false" ht="12.8" hidden="false" customHeight="false" outlineLevel="0" collapsed="false">
      <c r="A15834" s="0" t="s">
        <v>12</v>
      </c>
      <c r="B15834" s="0" t="n">
        <v>4475407</v>
      </c>
      <c r="C15834" s="0" t="n">
        <v>4475427</v>
      </c>
      <c r="D15834" s="0" t="s">
        <v>52763</v>
      </c>
      <c r="E15834" s="0" t="s">
        <v>52764</v>
      </c>
      <c r="F15834" s="0" t="s">
        <v>15</v>
      </c>
      <c r="G15834" s="0" t="s">
        <v>32</v>
      </c>
      <c r="H15834" s="0" t="n">
        <v>33</v>
      </c>
      <c r="I15834" s="0" t="s">
        <v>52768</v>
      </c>
      <c r="J15834" s="0" t="s">
        <v>52769</v>
      </c>
      <c r="K15834" s="0" t="s">
        <v>52770</v>
      </c>
      <c r="L15834" s="0" t="str">
        <f aca="false">HYPERLINK("https://www.ncbi.nlm.nih.gov/nuccore/CP000304.1?report=graph&amp;tracks=[key:gene_model_track,Options:GeneOnly]&amp;mk=4475386:4475405|offset_11|444444,4475408:4475427|offset_33|00cc00,4475431:4475450|offset_56|444444,4475464:4475483|offset_89|444444&amp;v=4475185:4475683&amp;c=444444", "offset 33")</f>
        <v>offset 33</v>
      </c>
    </row>
    <row r="15835" customFormat="false" ht="12.8" hidden="false" customHeight="false" outlineLevel="0" collapsed="false">
      <c r="A15835" s="0" t="s">
        <v>12</v>
      </c>
      <c r="B15835" s="0" t="n">
        <v>4475430</v>
      </c>
      <c r="C15835" s="0" t="n">
        <v>4475450</v>
      </c>
      <c r="D15835" s="0" t="s">
        <v>52763</v>
      </c>
      <c r="E15835" s="0" t="s">
        <v>52764</v>
      </c>
      <c r="F15835" s="0" t="s">
        <v>15</v>
      </c>
      <c r="G15835" s="0" t="s">
        <v>26</v>
      </c>
      <c r="H15835" s="0" t="n">
        <v>56</v>
      </c>
      <c r="I15835" s="0" t="s">
        <v>52771</v>
      </c>
      <c r="J15835" s="0" t="s">
        <v>52772</v>
      </c>
      <c r="K15835" s="0" t="s">
        <v>52773</v>
      </c>
      <c r="L15835" s="0" t="str">
        <f aca="false">HYPERLINK("https://www.ncbi.nlm.nih.gov/nuccore/CP000304.1?report=graph&amp;tracks=[key:gene_model_track,Options:GeneOnly]&amp;mk=4475386:4475405|offset_11|444444,4475408:4475427|offset_33|444444,4475431:4475450|offset_56|00cc00,4475464:4475483|offset_89|444444&amp;v=4475185:4475683&amp;c=444444", "offset 56")</f>
        <v>offset 56</v>
      </c>
    </row>
    <row r="15836" customFormat="false" ht="12.8" hidden="false" customHeight="false" outlineLevel="0" collapsed="false">
      <c r="A15836" s="0" t="s">
        <v>12</v>
      </c>
      <c r="B15836" s="0" t="n">
        <v>4475463</v>
      </c>
      <c r="C15836" s="0" t="n">
        <v>4475483</v>
      </c>
      <c r="D15836" s="0" t="s">
        <v>52763</v>
      </c>
      <c r="E15836" s="0" t="s">
        <v>52764</v>
      </c>
      <c r="F15836" s="0" t="s">
        <v>15</v>
      </c>
      <c r="G15836" s="0" t="s">
        <v>16</v>
      </c>
      <c r="H15836" s="0" t="n">
        <v>89</v>
      </c>
      <c r="I15836" s="0" t="s">
        <v>52774</v>
      </c>
      <c r="J15836" s="0" t="s">
        <v>52775</v>
      </c>
      <c r="K15836" s="0" t="s">
        <v>52776</v>
      </c>
      <c r="L15836" s="0" t="str">
        <f aca="false">HYPERLINK("https://www.ncbi.nlm.nih.gov/nuccore/CP000304.1?report=graph&amp;tracks=[key:gene_model_track,Options:GeneOnly]&amp;mk=4475386:4475405|offset_11|444444,4475408:4475427|offset_33|444444,4475431:4475450|offset_56|444444,4475464:4475483|offset_89|00cc00&amp;v=4475185:4475683&amp;c=444444", "offset 89")</f>
        <v>offset 89</v>
      </c>
    </row>
    <row r="15837" customFormat="false" ht="12.8" hidden="false" customHeight="false" outlineLevel="0" collapsed="false">
      <c r="A15837" s="0" t="s">
        <v>12</v>
      </c>
      <c r="B15837" s="0" t="n">
        <v>4476697</v>
      </c>
      <c r="C15837" s="0" t="n">
        <v>4476717</v>
      </c>
      <c r="D15837" s="0" t="s">
        <v>52777</v>
      </c>
      <c r="E15837" s="0" t="s">
        <v>89</v>
      </c>
      <c r="F15837" s="0" t="s">
        <v>90</v>
      </c>
      <c r="G15837" s="0" t="s">
        <v>32</v>
      </c>
      <c r="H15837" s="0" t="n">
        <v>22</v>
      </c>
      <c r="I15837" s="0" t="s">
        <v>52778</v>
      </c>
      <c r="J15837" s="0" t="s">
        <v>52779</v>
      </c>
      <c r="K15837" s="0" t="s">
        <v>52780</v>
      </c>
      <c r="L15837" s="0" t="str">
        <f aca="false">HYPERLINK("https://www.ncbi.nlm.nih.gov/nuccore/CP000304.1?report=graph&amp;tracks=[key:gene_model_track,Options:GeneOnly]&amp;mk=4476698:4476717|offset_22|00cc00,4476638:4476657|offset_82|444444,4476599:4476618|offset_121|444444,4476554:4476573|offset_166|444444&amp;v=4476497:4476773&amp;c=444444", "offset 22")</f>
        <v>offset 22</v>
      </c>
    </row>
    <row r="15838" customFormat="false" ht="12.8" hidden="false" customHeight="false" outlineLevel="0" collapsed="false">
      <c r="A15838" s="0" t="s">
        <v>12</v>
      </c>
      <c r="B15838" s="0" t="n">
        <v>4476637</v>
      </c>
      <c r="C15838" s="0" t="n">
        <v>4476657</v>
      </c>
      <c r="D15838" s="0" t="s">
        <v>52777</v>
      </c>
      <c r="E15838" s="0" t="s">
        <v>89</v>
      </c>
      <c r="F15838" s="0" t="s">
        <v>90</v>
      </c>
      <c r="G15838" s="0" t="s">
        <v>32</v>
      </c>
      <c r="H15838" s="0" t="n">
        <v>82</v>
      </c>
      <c r="I15838" s="0" t="s">
        <v>52781</v>
      </c>
      <c r="J15838" s="0" t="s">
        <v>52782</v>
      </c>
      <c r="K15838" s="0" t="s">
        <v>52783</v>
      </c>
      <c r="L15838" s="0" t="str">
        <f aca="false">HYPERLINK("https://www.ncbi.nlm.nih.gov/nuccore/CP000304.1?report=graph&amp;tracks=[key:gene_model_track,Options:GeneOnly]&amp;mk=4476698:4476717|offset_22|444444,4476638:4476657|offset_82|00cc00,4476599:4476618|offset_121|444444,4476554:4476573|offset_166|444444&amp;v=4476497:4476773&amp;c=444444", "offset 82")</f>
        <v>offset 82</v>
      </c>
    </row>
    <row r="15839" customFormat="false" ht="12.8" hidden="false" customHeight="false" outlineLevel="0" collapsed="false">
      <c r="A15839" s="0" t="s">
        <v>12</v>
      </c>
      <c r="B15839" s="0" t="n">
        <v>4476598</v>
      </c>
      <c r="C15839" s="0" t="n">
        <v>4476618</v>
      </c>
      <c r="D15839" s="0" t="s">
        <v>52777</v>
      </c>
      <c r="E15839" s="0" t="s">
        <v>89</v>
      </c>
      <c r="F15839" s="0" t="s">
        <v>90</v>
      </c>
      <c r="G15839" s="0" t="s">
        <v>16</v>
      </c>
      <c r="H15839" s="0" t="n">
        <v>121</v>
      </c>
      <c r="I15839" s="0" t="s">
        <v>52784</v>
      </c>
      <c r="J15839" s="0" t="s">
        <v>52785</v>
      </c>
      <c r="K15839" s="0" t="s">
        <v>52786</v>
      </c>
      <c r="L15839" s="0" t="str">
        <f aca="false">HYPERLINK("https://www.ncbi.nlm.nih.gov/nuccore/CP000304.1?report=graph&amp;tracks=[key:gene_model_track,Options:GeneOnly]&amp;mk=4476698:4476717|offset_22|444444,4476638:4476657|offset_82|444444,4476599:4476618|offset_121|00cc00,4476554:4476573|offset_166|444444&amp;v=4476497:4476773&amp;c=444444", "offset 121")</f>
        <v>offset 121</v>
      </c>
    </row>
    <row r="15840" customFormat="false" ht="12.8" hidden="false" customHeight="false" outlineLevel="0" collapsed="false">
      <c r="A15840" s="0" t="s">
        <v>12</v>
      </c>
      <c r="B15840" s="0" t="n">
        <v>4476553</v>
      </c>
      <c r="C15840" s="0" t="n">
        <v>4476573</v>
      </c>
      <c r="D15840" s="0" t="s">
        <v>52777</v>
      </c>
      <c r="E15840" s="0" t="s">
        <v>89</v>
      </c>
      <c r="F15840" s="0" t="s">
        <v>90</v>
      </c>
      <c r="G15840" s="0" t="s">
        <v>36</v>
      </c>
      <c r="H15840" s="0" t="n">
        <v>166</v>
      </c>
      <c r="I15840" s="0" t="s">
        <v>52787</v>
      </c>
      <c r="J15840" s="0" t="s">
        <v>52788</v>
      </c>
      <c r="K15840" s="0" t="s">
        <v>52789</v>
      </c>
      <c r="L15840" s="0" t="str">
        <f aca="false">HYPERLINK("https://www.ncbi.nlm.nih.gov/nuccore/CP000304.1?report=graph&amp;tracks=[key:gene_model_track,Options:GeneOnly]&amp;mk=4476698:4476717|offset_22|444444,4476638:4476657|offset_82|444444,4476599:4476618|offset_121|444444,4476554:4476573|offset_166|00cc00&amp;v=4476497:4476773&amp;c=444444", "offset 166")</f>
        <v>offset 166</v>
      </c>
    </row>
    <row r="15841" customFormat="false" ht="12.8" hidden="false" customHeight="false" outlineLevel="0" collapsed="false">
      <c r="A15841" s="0" t="s">
        <v>12</v>
      </c>
      <c r="B15841" s="0" t="n">
        <v>4477111</v>
      </c>
      <c r="C15841" s="0" t="n">
        <v>4477131</v>
      </c>
      <c r="D15841" s="0" t="s">
        <v>52790</v>
      </c>
      <c r="E15841" s="0" t="s">
        <v>89</v>
      </c>
      <c r="F15841" s="0" t="s">
        <v>15</v>
      </c>
      <c r="G15841" s="0" t="s">
        <v>32</v>
      </c>
      <c r="H15841" s="0" t="n">
        <v>1</v>
      </c>
      <c r="I15841" s="0" t="s">
        <v>52791</v>
      </c>
      <c r="J15841" s="0" t="s">
        <v>52792</v>
      </c>
      <c r="K15841" s="0" t="s">
        <v>52793</v>
      </c>
      <c r="L15841" s="0" t="str">
        <f aca="false">HYPERLINK("https://www.ncbi.nlm.nih.gov/nuccore/CP000304.1?report=graph&amp;tracks=[key:gene_model_track,Options:GeneOnly]&amp;mk=4477112:4477131|offset_1|00cc00,4477137:4477156|offset_26|444444,4477157:4477176|offset_46|444444,4477178:4477197|offset_67|444444&amp;v=4476911:4477397&amp;c=444444", "offset 1")</f>
        <v>offset 1</v>
      </c>
    </row>
    <row r="15842" customFormat="false" ht="12.8" hidden="false" customHeight="false" outlineLevel="0" collapsed="false">
      <c r="A15842" s="0" t="s">
        <v>12</v>
      </c>
      <c r="B15842" s="0" t="n">
        <v>4477136</v>
      </c>
      <c r="C15842" s="0" t="n">
        <v>4477156</v>
      </c>
      <c r="D15842" s="0" t="s">
        <v>52790</v>
      </c>
      <c r="E15842" s="0" t="s">
        <v>89</v>
      </c>
      <c r="F15842" s="0" t="s">
        <v>15</v>
      </c>
      <c r="G15842" s="0" t="s">
        <v>26</v>
      </c>
      <c r="H15842" s="0" t="n">
        <v>26</v>
      </c>
      <c r="I15842" s="0" t="s">
        <v>52794</v>
      </c>
      <c r="J15842" s="0" t="s">
        <v>52795</v>
      </c>
      <c r="K15842" s="0" t="s">
        <v>52796</v>
      </c>
      <c r="L15842" s="0" t="str">
        <f aca="false">HYPERLINK("https://www.ncbi.nlm.nih.gov/nuccore/CP000304.1?report=graph&amp;tracks=[key:gene_model_track,Options:GeneOnly]&amp;mk=4477112:4477131|offset_1|444444,4477137:4477156|offset_26|00cc00,4477157:4477176|offset_46|444444,4477178:4477197|offset_67|444444&amp;v=4476911:4477397&amp;c=444444", "offset 26")</f>
        <v>offset 26</v>
      </c>
    </row>
    <row r="15843" customFormat="false" ht="12.8" hidden="false" customHeight="false" outlineLevel="0" collapsed="false">
      <c r="A15843" s="0" t="s">
        <v>12</v>
      </c>
      <c r="B15843" s="0" t="n">
        <v>4477156</v>
      </c>
      <c r="C15843" s="0" t="n">
        <v>4477176</v>
      </c>
      <c r="D15843" s="0" t="s">
        <v>52790</v>
      </c>
      <c r="E15843" s="0" t="s">
        <v>89</v>
      </c>
      <c r="F15843" s="0" t="s">
        <v>15</v>
      </c>
      <c r="G15843" s="0" t="s">
        <v>26</v>
      </c>
      <c r="H15843" s="0" t="n">
        <v>46</v>
      </c>
      <c r="I15843" s="0" t="s">
        <v>52797</v>
      </c>
      <c r="J15843" s="0" t="s">
        <v>52798</v>
      </c>
      <c r="K15843" s="0" t="s">
        <v>52799</v>
      </c>
      <c r="L15843" s="0" t="str">
        <f aca="false">HYPERLINK("https://www.ncbi.nlm.nih.gov/nuccore/CP000304.1?report=graph&amp;tracks=[key:gene_model_track,Options:GeneOnly]&amp;mk=4477112:4477131|offset_1|444444,4477137:4477156|offset_26|444444,4477157:4477176|offset_46|00cc00,4477178:4477197|offset_67|444444&amp;v=4476911:4477397&amp;c=444444", "offset 46")</f>
        <v>offset 46</v>
      </c>
    </row>
    <row r="15844" customFormat="false" ht="12.8" hidden="false" customHeight="false" outlineLevel="0" collapsed="false">
      <c r="A15844" s="0" t="s">
        <v>12</v>
      </c>
      <c r="B15844" s="0" t="n">
        <v>4477177</v>
      </c>
      <c r="C15844" s="0" t="n">
        <v>4477197</v>
      </c>
      <c r="D15844" s="0" t="s">
        <v>52790</v>
      </c>
      <c r="E15844" s="0" t="s">
        <v>89</v>
      </c>
      <c r="F15844" s="0" t="s">
        <v>15</v>
      </c>
      <c r="G15844" s="0" t="s">
        <v>16</v>
      </c>
      <c r="H15844" s="0" t="n">
        <v>67</v>
      </c>
      <c r="I15844" s="0" t="s">
        <v>52800</v>
      </c>
      <c r="J15844" s="0" t="s">
        <v>52801</v>
      </c>
      <c r="K15844" s="0" t="s">
        <v>52802</v>
      </c>
      <c r="L15844" s="0" t="str">
        <f aca="false">HYPERLINK("https://www.ncbi.nlm.nih.gov/nuccore/CP000304.1?report=graph&amp;tracks=[key:gene_model_track,Options:GeneOnly]&amp;mk=4477112:4477131|offset_1|444444,4477137:4477156|offset_26|444444,4477157:4477176|offset_46|444444,4477178:4477197|offset_67|00cc00&amp;v=4476911:4477397&amp;c=444444", "offset 67")</f>
        <v>offset 67</v>
      </c>
    </row>
    <row r="15845" customFormat="false" ht="12.8" hidden="false" customHeight="false" outlineLevel="0" collapsed="false">
      <c r="A15845" s="0" t="s">
        <v>12</v>
      </c>
      <c r="B15845" s="0" t="n">
        <v>4478214</v>
      </c>
      <c r="C15845" s="0" t="n">
        <v>4478234</v>
      </c>
      <c r="D15845" s="0" t="s">
        <v>52803</v>
      </c>
      <c r="E15845" s="0" t="s">
        <v>89</v>
      </c>
      <c r="F15845" s="0" t="s">
        <v>15</v>
      </c>
      <c r="G15845" s="0" t="s">
        <v>32</v>
      </c>
      <c r="H15845" s="0" t="n">
        <v>14</v>
      </c>
      <c r="I15845" s="0" t="s">
        <v>52804</v>
      </c>
      <c r="J15845" s="0" t="s">
        <v>52805</v>
      </c>
      <c r="K15845" s="0" t="s">
        <v>52806</v>
      </c>
      <c r="L15845" s="0" t="str">
        <f aca="false">HYPERLINK("https://www.ncbi.nlm.nih.gov/nuccore/CP000304.1?report=graph&amp;tracks=[key:gene_model_track,Options:GeneOnly]&amp;mk=4478215:4478234|offset_14|00cc00,4478246:4478265|offset_45|444444,4478268:4478287|offset_67|444444,4478298:4478317|offset_97|444444&amp;v=4478014:4478517&amp;c=444444", "offset 14")</f>
        <v>offset 14</v>
      </c>
    </row>
    <row r="15846" customFormat="false" ht="12.8" hidden="false" customHeight="false" outlineLevel="0" collapsed="false">
      <c r="A15846" s="0" t="s">
        <v>12</v>
      </c>
      <c r="B15846" s="0" t="n">
        <v>4478245</v>
      </c>
      <c r="C15846" s="0" t="n">
        <v>4478265</v>
      </c>
      <c r="D15846" s="0" t="s">
        <v>52803</v>
      </c>
      <c r="E15846" s="0" t="s">
        <v>89</v>
      </c>
      <c r="F15846" s="0" t="s">
        <v>15</v>
      </c>
      <c r="G15846" s="0" t="s">
        <v>16</v>
      </c>
      <c r="H15846" s="0" t="n">
        <v>45</v>
      </c>
      <c r="I15846" s="0" t="s">
        <v>52807</v>
      </c>
      <c r="J15846" s="0" t="s">
        <v>52808</v>
      </c>
      <c r="K15846" s="0" t="s">
        <v>52809</v>
      </c>
      <c r="L15846" s="0" t="str">
        <f aca="false">HYPERLINK("https://www.ncbi.nlm.nih.gov/nuccore/CP000304.1?report=graph&amp;tracks=[key:gene_model_track,Options:GeneOnly]&amp;mk=4478215:4478234|offset_14|444444,4478246:4478265|offset_45|00cc00,4478268:4478287|offset_67|444444,4478298:4478317|offset_97|444444&amp;v=4478014:4478517&amp;c=444444", "offset 45")</f>
        <v>offset 45</v>
      </c>
    </row>
    <row r="15847" customFormat="false" ht="12.8" hidden="false" customHeight="false" outlineLevel="0" collapsed="false">
      <c r="A15847" s="0" t="s">
        <v>12</v>
      </c>
      <c r="B15847" s="0" t="n">
        <v>4478267</v>
      </c>
      <c r="C15847" s="0" t="n">
        <v>4478287</v>
      </c>
      <c r="D15847" s="0" t="s">
        <v>52803</v>
      </c>
      <c r="E15847" s="0" t="s">
        <v>89</v>
      </c>
      <c r="F15847" s="0" t="s">
        <v>15</v>
      </c>
      <c r="G15847" s="0" t="s">
        <v>36</v>
      </c>
      <c r="H15847" s="0" t="n">
        <v>67</v>
      </c>
      <c r="I15847" s="0" t="s">
        <v>52810</v>
      </c>
      <c r="J15847" s="0" t="s">
        <v>52811</v>
      </c>
      <c r="K15847" s="0" t="s">
        <v>52812</v>
      </c>
      <c r="L15847" s="0" t="str">
        <f aca="false">HYPERLINK("https://www.ncbi.nlm.nih.gov/nuccore/CP000304.1?report=graph&amp;tracks=[key:gene_model_track,Options:GeneOnly]&amp;mk=4478215:4478234|offset_14|444444,4478246:4478265|offset_45|444444,4478268:4478287|offset_67|00cc00,4478298:4478317|offset_97|444444&amp;v=4478014:4478517&amp;c=444444", "offset 67")</f>
        <v>offset 67</v>
      </c>
    </row>
    <row r="15848" customFormat="false" ht="12.8" hidden="false" customHeight="false" outlineLevel="0" collapsed="false">
      <c r="A15848" s="0" t="s">
        <v>12</v>
      </c>
      <c r="B15848" s="0" t="n">
        <v>4478297</v>
      </c>
      <c r="C15848" s="0" t="n">
        <v>4478317</v>
      </c>
      <c r="D15848" s="0" t="s">
        <v>52803</v>
      </c>
      <c r="E15848" s="0" t="s">
        <v>89</v>
      </c>
      <c r="F15848" s="0" t="s">
        <v>15</v>
      </c>
      <c r="G15848" s="0" t="s">
        <v>16</v>
      </c>
      <c r="H15848" s="0" t="n">
        <v>97</v>
      </c>
      <c r="I15848" s="0" t="s">
        <v>52813</v>
      </c>
      <c r="J15848" s="0" t="s">
        <v>52814</v>
      </c>
      <c r="K15848" s="0" t="s">
        <v>52815</v>
      </c>
      <c r="L15848" s="0" t="str">
        <f aca="false">HYPERLINK("https://www.ncbi.nlm.nih.gov/nuccore/CP000304.1?report=graph&amp;tracks=[key:gene_model_track,Options:GeneOnly]&amp;mk=4478215:4478234|offset_14|444444,4478246:4478265|offset_45|444444,4478268:4478287|offset_67|444444,4478298:4478317|offset_97|00cc00&amp;v=4478014:4478517&amp;c=444444", "offset 97")</f>
        <v>offset 97</v>
      </c>
    </row>
    <row r="15849" customFormat="false" ht="12.8" hidden="false" customHeight="false" outlineLevel="0" collapsed="false">
      <c r="A15849" s="0" t="s">
        <v>12</v>
      </c>
      <c r="B15849" s="0" t="n">
        <v>4480264</v>
      </c>
      <c r="C15849" s="0" t="n">
        <v>4480284</v>
      </c>
      <c r="D15849" s="0" t="s">
        <v>52816</v>
      </c>
      <c r="E15849" s="0" t="s">
        <v>89</v>
      </c>
      <c r="F15849" s="0" t="s">
        <v>15</v>
      </c>
      <c r="G15849" s="0" t="s">
        <v>16</v>
      </c>
      <c r="H15849" s="0" t="n">
        <v>10</v>
      </c>
      <c r="I15849" s="0" t="s">
        <v>52817</v>
      </c>
      <c r="J15849" s="0" t="s">
        <v>52818</v>
      </c>
      <c r="K15849" s="0" t="s">
        <v>52819</v>
      </c>
      <c r="L15849" s="0" t="str">
        <f aca="false">HYPERLINK("https://www.ncbi.nlm.nih.gov/nuccore/CP000304.1?report=graph&amp;tracks=[key:gene_model_track,Options:GeneOnly]&amp;mk=4480265:4480284|offset_10|00cc00,4480289:4480308|offset_34|444444,4480320:4480339|offset_65|444444,4480348:4480367|offset_93|444444&amp;v=4480064:4480567&amp;c=444444", "offset 10")</f>
        <v>offset 10</v>
      </c>
    </row>
    <row r="15850" customFormat="false" ht="12.8" hidden="false" customHeight="false" outlineLevel="0" collapsed="false">
      <c r="A15850" s="0" t="s">
        <v>12</v>
      </c>
      <c r="B15850" s="0" t="n">
        <v>4480288</v>
      </c>
      <c r="C15850" s="0" t="n">
        <v>4480308</v>
      </c>
      <c r="D15850" s="0" t="s">
        <v>52816</v>
      </c>
      <c r="E15850" s="0" t="s">
        <v>89</v>
      </c>
      <c r="F15850" s="0" t="s">
        <v>15</v>
      </c>
      <c r="G15850" s="0" t="s">
        <v>36</v>
      </c>
      <c r="H15850" s="0" t="n">
        <v>34</v>
      </c>
      <c r="I15850" s="0" t="s">
        <v>52820</v>
      </c>
      <c r="J15850" s="0" t="s">
        <v>52821</v>
      </c>
      <c r="K15850" s="0" t="s">
        <v>52822</v>
      </c>
      <c r="L15850" s="0" t="str">
        <f aca="false">HYPERLINK("https://www.ncbi.nlm.nih.gov/nuccore/CP000304.1?report=graph&amp;tracks=[key:gene_model_track,Options:GeneOnly]&amp;mk=4480265:4480284|offset_10|444444,4480289:4480308|offset_34|00cc00,4480320:4480339|offset_65|444444,4480348:4480367|offset_93|444444&amp;v=4480064:4480567&amp;c=444444", "offset 34")</f>
        <v>offset 34</v>
      </c>
    </row>
    <row r="15851" customFormat="false" ht="12.8" hidden="false" customHeight="false" outlineLevel="0" collapsed="false">
      <c r="A15851" s="0" t="s">
        <v>12</v>
      </c>
      <c r="B15851" s="0" t="n">
        <v>4480319</v>
      </c>
      <c r="C15851" s="0" t="n">
        <v>4480339</v>
      </c>
      <c r="D15851" s="0" t="s">
        <v>52816</v>
      </c>
      <c r="E15851" s="0" t="s">
        <v>89</v>
      </c>
      <c r="F15851" s="0" t="s">
        <v>15</v>
      </c>
      <c r="G15851" s="0" t="s">
        <v>16</v>
      </c>
      <c r="H15851" s="0" t="n">
        <v>65</v>
      </c>
      <c r="I15851" s="0" t="s">
        <v>52823</v>
      </c>
      <c r="J15851" s="0" t="s">
        <v>52824</v>
      </c>
      <c r="K15851" s="0" t="s">
        <v>52825</v>
      </c>
      <c r="L15851" s="0" t="str">
        <f aca="false">HYPERLINK("https://www.ncbi.nlm.nih.gov/nuccore/CP000304.1?report=graph&amp;tracks=[key:gene_model_track,Options:GeneOnly]&amp;mk=4480265:4480284|offset_10|444444,4480289:4480308|offset_34|444444,4480320:4480339|offset_65|00cc00,4480348:4480367|offset_93|444444&amp;v=4480064:4480567&amp;c=444444", "offset 65")</f>
        <v>offset 65</v>
      </c>
    </row>
    <row r="15852" customFormat="false" ht="12.8" hidden="false" customHeight="false" outlineLevel="0" collapsed="false">
      <c r="A15852" s="0" t="s">
        <v>12</v>
      </c>
      <c r="B15852" s="0" t="n">
        <v>4480347</v>
      </c>
      <c r="C15852" s="0" t="n">
        <v>4480367</v>
      </c>
      <c r="D15852" s="0" t="s">
        <v>52816</v>
      </c>
      <c r="E15852" s="0" t="s">
        <v>89</v>
      </c>
      <c r="F15852" s="0" t="s">
        <v>15</v>
      </c>
      <c r="G15852" s="0" t="s">
        <v>16</v>
      </c>
      <c r="H15852" s="0" t="n">
        <v>93</v>
      </c>
      <c r="I15852" s="0" t="s">
        <v>52826</v>
      </c>
      <c r="J15852" s="0" t="s">
        <v>52827</v>
      </c>
      <c r="K15852" s="0" t="s">
        <v>52828</v>
      </c>
      <c r="L15852" s="0" t="str">
        <f aca="false">HYPERLINK("https://www.ncbi.nlm.nih.gov/nuccore/CP000304.1?report=graph&amp;tracks=[key:gene_model_track,Options:GeneOnly]&amp;mk=4480265:4480284|offset_10|444444,4480289:4480308|offset_34|444444,4480320:4480339|offset_65|444444,4480348:4480367|offset_93|00cc00&amp;v=4480064:4480567&amp;c=444444", "offset 93")</f>
        <v>offset 93</v>
      </c>
    </row>
    <row r="15853" customFormat="false" ht="12.8" hidden="false" customHeight="false" outlineLevel="0" collapsed="false">
      <c r="A15853" s="0" t="s">
        <v>12</v>
      </c>
      <c r="B15853" s="0" t="n">
        <v>4480678</v>
      </c>
      <c r="C15853" s="0" t="n">
        <v>4480698</v>
      </c>
      <c r="D15853" s="0" t="s">
        <v>52829</v>
      </c>
      <c r="E15853" s="0" t="s">
        <v>89</v>
      </c>
      <c r="F15853" s="0" t="s">
        <v>15</v>
      </c>
      <c r="G15853" s="0" t="s">
        <v>36</v>
      </c>
      <c r="H15853" s="0" t="n">
        <v>31</v>
      </c>
      <c r="I15853" s="0" t="s">
        <v>52830</v>
      </c>
      <c r="J15853" s="0" t="s">
        <v>52831</v>
      </c>
      <c r="K15853" s="0" t="s">
        <v>52832</v>
      </c>
      <c r="L15853" s="0" t="str">
        <f aca="false">HYPERLINK("https://www.ncbi.nlm.nih.gov/nuccore/CP000304.1?report=graph&amp;tracks=[key:gene_model_track,Options:GeneOnly]&amp;mk=4480679:4480698|offset_31|00cc00,4480702:4480721|offset_54|444444,4480765:4480784|offset_117|444444&amp;v=4480478:4480984&amp;c=444444", "offset 31")</f>
        <v>offset 31</v>
      </c>
    </row>
    <row r="15854" customFormat="false" ht="12.8" hidden="false" customHeight="false" outlineLevel="0" collapsed="false">
      <c r="A15854" s="0" t="s">
        <v>12</v>
      </c>
      <c r="B15854" s="0" t="n">
        <v>4480701</v>
      </c>
      <c r="C15854" s="0" t="n">
        <v>4480721</v>
      </c>
      <c r="D15854" s="0" t="s">
        <v>52829</v>
      </c>
      <c r="E15854" s="0" t="s">
        <v>89</v>
      </c>
      <c r="F15854" s="0" t="s">
        <v>15</v>
      </c>
      <c r="G15854" s="0" t="s">
        <v>32</v>
      </c>
      <c r="H15854" s="0" t="n">
        <v>54</v>
      </c>
      <c r="I15854" s="0" t="s">
        <v>52833</v>
      </c>
      <c r="J15854" s="0" t="s">
        <v>52834</v>
      </c>
      <c r="K15854" s="0" t="s">
        <v>52835</v>
      </c>
      <c r="L15854" s="0" t="str">
        <f aca="false">HYPERLINK("https://www.ncbi.nlm.nih.gov/nuccore/CP000304.1?report=graph&amp;tracks=[key:gene_model_track,Options:GeneOnly]&amp;mk=4480679:4480698|offset_31|444444,4480702:4480721|offset_54|00cc00,4480765:4480784|offset_117|444444&amp;v=4480478:4480984&amp;c=444444", "offset 54")</f>
        <v>offset 54</v>
      </c>
    </row>
    <row r="15855" customFormat="false" ht="12.8" hidden="false" customHeight="false" outlineLevel="0" collapsed="false">
      <c r="A15855" s="0" t="s">
        <v>12</v>
      </c>
      <c r="B15855" s="0" t="n">
        <v>4480764</v>
      </c>
      <c r="C15855" s="0" t="n">
        <v>4480784</v>
      </c>
      <c r="D15855" s="0" t="s">
        <v>52829</v>
      </c>
      <c r="E15855" s="0" t="s">
        <v>89</v>
      </c>
      <c r="F15855" s="0" t="s">
        <v>15</v>
      </c>
      <c r="G15855" s="0" t="s">
        <v>26</v>
      </c>
      <c r="H15855" s="0" t="n">
        <v>117</v>
      </c>
      <c r="I15855" s="0" t="s">
        <v>52836</v>
      </c>
      <c r="J15855" s="0" t="s">
        <v>52837</v>
      </c>
      <c r="K15855" s="0" t="s">
        <v>52838</v>
      </c>
      <c r="L15855" s="0" t="str">
        <f aca="false">HYPERLINK("https://www.ncbi.nlm.nih.gov/nuccore/CP000304.1?report=graph&amp;tracks=[key:gene_model_track,Options:GeneOnly]&amp;mk=4480679:4480698|offset_31|444444,4480702:4480721|offset_54|444444,4480765:4480784|offset_117|00cc00&amp;v=4480478:4480984&amp;c=444444", "offset 117")</f>
        <v>offset 117</v>
      </c>
    </row>
    <row r="15856" customFormat="false" ht="12.8" hidden="false" customHeight="false" outlineLevel="0" collapsed="false">
      <c r="A15856" s="0" t="s">
        <v>12</v>
      </c>
      <c r="B15856" s="0" t="n">
        <v>4482322</v>
      </c>
      <c r="C15856" s="0" t="n">
        <v>4482342</v>
      </c>
      <c r="D15856" s="0" t="s">
        <v>52839</v>
      </c>
      <c r="E15856" s="0" t="s">
        <v>89</v>
      </c>
      <c r="F15856" s="0" t="s">
        <v>90</v>
      </c>
      <c r="G15856" s="0" t="s">
        <v>32</v>
      </c>
      <c r="H15856" s="0" t="n">
        <v>28</v>
      </c>
      <c r="I15856" s="0" t="s">
        <v>52840</v>
      </c>
      <c r="J15856" s="0" t="s">
        <v>52841</v>
      </c>
      <c r="K15856" s="0" t="s">
        <v>52842</v>
      </c>
      <c r="L15856" s="0" t="str">
        <f aca="false">HYPERLINK("https://www.ncbi.nlm.nih.gov/nuccore/CP000304.1?report=graph&amp;tracks=[key:gene_model_track,Options:GeneOnly]&amp;mk=4482323:4482342|offset_28|00cc00,4482299:4482318|offset_52|444444,4482256:4482275|offset_95|444444,4482209:4482228|offset_142|444444&amp;v=4482122:4482428&amp;c=444444", "offset 28")</f>
        <v>offset 28</v>
      </c>
    </row>
    <row r="15857" customFormat="false" ht="12.8" hidden="false" customHeight="false" outlineLevel="0" collapsed="false">
      <c r="A15857" s="0" t="s">
        <v>12</v>
      </c>
      <c r="B15857" s="0" t="n">
        <v>4482298</v>
      </c>
      <c r="C15857" s="0" t="n">
        <v>4482318</v>
      </c>
      <c r="D15857" s="0" t="s">
        <v>52839</v>
      </c>
      <c r="E15857" s="0" t="s">
        <v>89</v>
      </c>
      <c r="F15857" s="0" t="s">
        <v>90</v>
      </c>
      <c r="G15857" s="0" t="s">
        <v>36</v>
      </c>
      <c r="H15857" s="0" t="n">
        <v>52</v>
      </c>
      <c r="I15857" s="0" t="s">
        <v>52843</v>
      </c>
      <c r="J15857" s="0" t="s">
        <v>52844</v>
      </c>
      <c r="K15857" s="0" t="s">
        <v>52845</v>
      </c>
      <c r="L15857" s="0" t="str">
        <f aca="false">HYPERLINK("https://www.ncbi.nlm.nih.gov/nuccore/CP000304.1?report=graph&amp;tracks=[key:gene_model_track,Options:GeneOnly]&amp;mk=4482323:4482342|offset_28|444444,4482299:4482318|offset_52|00cc00,4482256:4482275|offset_95|444444,4482209:4482228|offset_142|444444&amp;v=4482122:4482428&amp;c=444444", "offset 52")</f>
        <v>offset 52</v>
      </c>
    </row>
    <row r="15858" customFormat="false" ht="12.8" hidden="false" customHeight="false" outlineLevel="0" collapsed="false">
      <c r="A15858" s="0" t="s">
        <v>12</v>
      </c>
      <c r="B15858" s="0" t="n">
        <v>4482255</v>
      </c>
      <c r="C15858" s="0" t="n">
        <v>4482275</v>
      </c>
      <c r="D15858" s="0" t="s">
        <v>52839</v>
      </c>
      <c r="E15858" s="0" t="s">
        <v>89</v>
      </c>
      <c r="F15858" s="0" t="s">
        <v>90</v>
      </c>
      <c r="G15858" s="0" t="s">
        <v>32</v>
      </c>
      <c r="H15858" s="0" t="n">
        <v>95</v>
      </c>
      <c r="I15858" s="0" t="s">
        <v>52846</v>
      </c>
      <c r="J15858" s="0" t="s">
        <v>52847</v>
      </c>
      <c r="K15858" s="0" t="s">
        <v>52848</v>
      </c>
      <c r="L15858" s="0" t="str">
        <f aca="false">HYPERLINK("https://www.ncbi.nlm.nih.gov/nuccore/CP000304.1?report=graph&amp;tracks=[key:gene_model_track,Options:GeneOnly]&amp;mk=4482323:4482342|offset_28|444444,4482299:4482318|offset_52|444444,4482256:4482275|offset_95|00cc00,4482209:4482228|offset_142|444444&amp;v=4482122:4482428&amp;c=444444", "offset 95")</f>
        <v>offset 95</v>
      </c>
    </row>
    <row r="15859" customFormat="false" ht="12.8" hidden="false" customHeight="false" outlineLevel="0" collapsed="false">
      <c r="A15859" s="0" t="s">
        <v>12</v>
      </c>
      <c r="B15859" s="0" t="n">
        <v>4482208</v>
      </c>
      <c r="C15859" s="0" t="n">
        <v>4482228</v>
      </c>
      <c r="D15859" s="0" t="s">
        <v>52839</v>
      </c>
      <c r="E15859" s="0" t="s">
        <v>89</v>
      </c>
      <c r="F15859" s="0" t="s">
        <v>90</v>
      </c>
      <c r="G15859" s="0" t="s">
        <v>16</v>
      </c>
      <c r="H15859" s="0" t="n">
        <v>142</v>
      </c>
      <c r="I15859" s="0" t="s">
        <v>52849</v>
      </c>
      <c r="J15859" s="0" t="s">
        <v>52850</v>
      </c>
      <c r="K15859" s="0" t="s">
        <v>52851</v>
      </c>
      <c r="L15859" s="0" t="str">
        <f aca="false">HYPERLINK("https://www.ncbi.nlm.nih.gov/nuccore/CP000304.1?report=graph&amp;tracks=[key:gene_model_track,Options:GeneOnly]&amp;mk=4482323:4482342|offset_28|444444,4482299:4482318|offset_52|444444,4482256:4482275|offset_95|444444,4482209:4482228|offset_142|00cc00&amp;v=4482122:4482428&amp;c=444444", "offset 142")</f>
        <v>offset 142</v>
      </c>
    </row>
    <row r="15860" customFormat="false" ht="12.8" hidden="false" customHeight="false" outlineLevel="0" collapsed="false">
      <c r="A15860" s="0" t="s">
        <v>12</v>
      </c>
      <c r="B15860" s="0" t="n">
        <v>4483529</v>
      </c>
      <c r="C15860" s="0" t="n">
        <v>4483549</v>
      </c>
      <c r="D15860" s="0" t="s">
        <v>52852</v>
      </c>
      <c r="E15860" s="0" t="s">
        <v>89</v>
      </c>
      <c r="F15860" s="0" t="s">
        <v>90</v>
      </c>
      <c r="G15860" s="0" t="s">
        <v>32</v>
      </c>
      <c r="H15860" s="0" t="n">
        <v>1</v>
      </c>
      <c r="I15860" s="0" t="s">
        <v>52853</v>
      </c>
      <c r="J15860" s="0" t="s">
        <v>52854</v>
      </c>
      <c r="K15860" s="0" t="s">
        <v>52855</v>
      </c>
      <c r="L15860" s="0" t="str">
        <f aca="false">HYPERLINK("https://www.ncbi.nlm.nih.gov/nuccore/CP000304.1?report=graph&amp;tracks=[key:gene_model_track,Options:GeneOnly]&amp;mk=4483530:4483549|offset_1|00cc00,4483489:4483508|offset_42|444444,4483444:4483463|offset_87|444444,4483413:4483432|offset_118|444444&amp;v=4483329:4483632&amp;c=444444", "offset 1")</f>
        <v>offset 1</v>
      </c>
    </row>
    <row r="15861" customFormat="false" ht="12.8" hidden="false" customHeight="false" outlineLevel="0" collapsed="false">
      <c r="A15861" s="0" t="s">
        <v>12</v>
      </c>
      <c r="B15861" s="0" t="n">
        <v>4483488</v>
      </c>
      <c r="C15861" s="0" t="n">
        <v>4483508</v>
      </c>
      <c r="D15861" s="0" t="s">
        <v>52852</v>
      </c>
      <c r="E15861" s="0" t="s">
        <v>89</v>
      </c>
      <c r="F15861" s="0" t="s">
        <v>90</v>
      </c>
      <c r="G15861" s="0" t="s">
        <v>32</v>
      </c>
      <c r="H15861" s="0" t="n">
        <v>42</v>
      </c>
      <c r="I15861" s="0" t="s">
        <v>52856</v>
      </c>
      <c r="J15861" s="0" t="s">
        <v>52857</v>
      </c>
      <c r="K15861" s="0" t="s">
        <v>52858</v>
      </c>
      <c r="L15861" s="0" t="str">
        <f aca="false">HYPERLINK("https://www.ncbi.nlm.nih.gov/nuccore/CP000304.1?report=graph&amp;tracks=[key:gene_model_track,Options:GeneOnly]&amp;mk=4483530:4483549|offset_1|444444,4483489:4483508|offset_42|00cc00,4483444:4483463|offset_87|444444,4483413:4483432|offset_118|444444&amp;v=4483329:4483632&amp;c=444444", "offset 42")</f>
        <v>offset 42</v>
      </c>
    </row>
    <row r="15862" customFormat="false" ht="12.8" hidden="false" customHeight="false" outlineLevel="0" collapsed="false">
      <c r="A15862" s="0" t="s">
        <v>12</v>
      </c>
      <c r="B15862" s="0" t="n">
        <v>4483443</v>
      </c>
      <c r="C15862" s="0" t="n">
        <v>4483463</v>
      </c>
      <c r="D15862" s="0" t="s">
        <v>52852</v>
      </c>
      <c r="E15862" s="0" t="s">
        <v>89</v>
      </c>
      <c r="F15862" s="0" t="s">
        <v>90</v>
      </c>
      <c r="G15862" s="0" t="s">
        <v>16</v>
      </c>
      <c r="H15862" s="0" t="n">
        <v>87</v>
      </c>
      <c r="I15862" s="0" t="s">
        <v>52859</v>
      </c>
      <c r="J15862" s="0" t="s">
        <v>52860</v>
      </c>
      <c r="K15862" s="0" t="s">
        <v>52861</v>
      </c>
      <c r="L15862" s="0" t="str">
        <f aca="false">HYPERLINK("https://www.ncbi.nlm.nih.gov/nuccore/CP000304.1?report=graph&amp;tracks=[key:gene_model_track,Options:GeneOnly]&amp;mk=4483530:4483549|offset_1|444444,4483489:4483508|offset_42|444444,4483444:4483463|offset_87|00cc00,4483413:4483432|offset_118|444444&amp;v=4483329:4483632&amp;c=444444", "offset 87")</f>
        <v>offset 87</v>
      </c>
    </row>
    <row r="15863" customFormat="false" ht="12.8" hidden="false" customHeight="false" outlineLevel="0" collapsed="false">
      <c r="A15863" s="0" t="s">
        <v>12</v>
      </c>
      <c r="B15863" s="0" t="n">
        <v>4483412</v>
      </c>
      <c r="C15863" s="0" t="n">
        <v>4483432</v>
      </c>
      <c r="D15863" s="0" t="s">
        <v>52852</v>
      </c>
      <c r="E15863" s="0" t="s">
        <v>89</v>
      </c>
      <c r="F15863" s="0" t="s">
        <v>90</v>
      </c>
      <c r="G15863" s="0" t="s">
        <v>36</v>
      </c>
      <c r="H15863" s="0" t="n">
        <v>118</v>
      </c>
      <c r="I15863" s="0" t="s">
        <v>52862</v>
      </c>
      <c r="J15863" s="0" t="s">
        <v>52863</v>
      </c>
      <c r="K15863" s="0" t="s">
        <v>52864</v>
      </c>
      <c r="L15863" s="0" t="str">
        <f aca="false">HYPERLINK("https://www.ncbi.nlm.nih.gov/nuccore/CP000304.1?report=graph&amp;tracks=[key:gene_model_track,Options:GeneOnly]&amp;mk=4483530:4483549|offset_1|444444,4483489:4483508|offset_42|444444,4483444:4483463|offset_87|444444,4483413:4483432|offset_118|00cc00&amp;v=4483329:4483632&amp;c=444444", "offset 118")</f>
        <v>offset 118</v>
      </c>
    </row>
    <row r="15864" customFormat="false" ht="12.8" hidden="false" customHeight="false" outlineLevel="0" collapsed="false">
      <c r="A15864" s="0" t="s">
        <v>12</v>
      </c>
      <c r="B15864" s="0" t="n">
        <v>4484924</v>
      </c>
      <c r="C15864" s="0" t="n">
        <v>4484944</v>
      </c>
      <c r="D15864" s="0" t="s">
        <v>52865</v>
      </c>
      <c r="E15864" s="0" t="s">
        <v>89</v>
      </c>
      <c r="F15864" s="0" t="s">
        <v>90</v>
      </c>
      <c r="G15864" s="0" t="s">
        <v>16</v>
      </c>
      <c r="H15864" s="0" t="n">
        <v>19</v>
      </c>
      <c r="I15864" s="0" t="s">
        <v>52866</v>
      </c>
      <c r="J15864" s="0" t="s">
        <v>52867</v>
      </c>
      <c r="K15864" s="0" t="s">
        <v>52868</v>
      </c>
      <c r="L15864" s="0" t="str">
        <f aca="false">HYPERLINK("https://www.ncbi.nlm.nih.gov/nuccore/CP000304.1?report=graph&amp;tracks=[key:gene_model_track,Options:GeneOnly]&amp;mk=4484925:4484944|offset_19|00cc00,4484880:4484899|offset_64|444444,4484855:4484874|offset_89|444444,4484825:4484844|offset_119|444444&amp;v=4484724:4485044&amp;c=444444", "offset 19")</f>
        <v>offset 19</v>
      </c>
    </row>
    <row r="15865" customFormat="false" ht="12.8" hidden="false" customHeight="false" outlineLevel="0" collapsed="false">
      <c r="A15865" s="0" t="s">
        <v>12</v>
      </c>
      <c r="B15865" s="0" t="n">
        <v>4484879</v>
      </c>
      <c r="C15865" s="0" t="n">
        <v>4484899</v>
      </c>
      <c r="D15865" s="0" t="s">
        <v>52865</v>
      </c>
      <c r="E15865" s="0" t="s">
        <v>89</v>
      </c>
      <c r="F15865" s="0" t="s">
        <v>90</v>
      </c>
      <c r="G15865" s="0" t="s">
        <v>16</v>
      </c>
      <c r="H15865" s="0" t="n">
        <v>64</v>
      </c>
      <c r="I15865" s="0" t="s">
        <v>52869</v>
      </c>
      <c r="J15865" s="0" t="s">
        <v>52870</v>
      </c>
      <c r="K15865" s="0" t="s">
        <v>52871</v>
      </c>
      <c r="L15865" s="0" t="str">
        <f aca="false">HYPERLINK("https://www.ncbi.nlm.nih.gov/nuccore/CP000304.1?report=graph&amp;tracks=[key:gene_model_track,Options:GeneOnly]&amp;mk=4484925:4484944|offset_19|444444,4484880:4484899|offset_64|00cc00,4484855:4484874|offset_89|444444,4484825:4484844|offset_119|444444&amp;v=4484724:4485044&amp;c=444444", "offset 64")</f>
        <v>offset 64</v>
      </c>
    </row>
    <row r="15866" customFormat="false" ht="12.8" hidden="false" customHeight="false" outlineLevel="0" collapsed="false">
      <c r="A15866" s="0" t="s">
        <v>12</v>
      </c>
      <c r="B15866" s="0" t="n">
        <v>4484854</v>
      </c>
      <c r="C15866" s="0" t="n">
        <v>4484874</v>
      </c>
      <c r="D15866" s="0" t="s">
        <v>52865</v>
      </c>
      <c r="E15866" s="0" t="s">
        <v>89</v>
      </c>
      <c r="F15866" s="0" t="s">
        <v>90</v>
      </c>
      <c r="G15866" s="0" t="s">
        <v>26</v>
      </c>
      <c r="H15866" s="0" t="n">
        <v>89</v>
      </c>
      <c r="I15866" s="0" t="s">
        <v>52872</v>
      </c>
      <c r="J15866" s="0" t="s">
        <v>52873</v>
      </c>
      <c r="K15866" s="0" t="s">
        <v>52874</v>
      </c>
      <c r="L15866" s="0" t="str">
        <f aca="false">HYPERLINK("https://www.ncbi.nlm.nih.gov/nuccore/CP000304.1?report=graph&amp;tracks=[key:gene_model_track,Options:GeneOnly]&amp;mk=4484925:4484944|offset_19|444444,4484880:4484899|offset_64|444444,4484855:4484874|offset_89|00cc00,4484825:4484844|offset_119|444444&amp;v=4484724:4485044&amp;c=444444", "offset 89")</f>
        <v>offset 89</v>
      </c>
    </row>
    <row r="15867" customFormat="false" ht="12.8" hidden="false" customHeight="false" outlineLevel="0" collapsed="false">
      <c r="A15867" s="0" t="s">
        <v>12</v>
      </c>
      <c r="B15867" s="0" t="n">
        <v>4484824</v>
      </c>
      <c r="C15867" s="0" t="n">
        <v>4484844</v>
      </c>
      <c r="D15867" s="0" t="s">
        <v>52865</v>
      </c>
      <c r="E15867" s="0" t="s">
        <v>89</v>
      </c>
      <c r="F15867" s="0" t="s">
        <v>90</v>
      </c>
      <c r="G15867" s="0" t="s">
        <v>32</v>
      </c>
      <c r="H15867" s="0" t="n">
        <v>119</v>
      </c>
      <c r="I15867" s="0" t="s">
        <v>52875</v>
      </c>
      <c r="J15867" s="0" t="s">
        <v>52876</v>
      </c>
      <c r="K15867" s="0" t="s">
        <v>52877</v>
      </c>
      <c r="L15867" s="0" t="str">
        <f aca="false">HYPERLINK("https://www.ncbi.nlm.nih.gov/nuccore/CP000304.1?report=graph&amp;tracks=[key:gene_model_track,Options:GeneOnly]&amp;mk=4484925:4484944|offset_19|444444,4484880:4484899|offset_64|444444,4484855:4484874|offset_89|444444,4484825:4484844|offset_119|00cc00&amp;v=4484724:4485044&amp;c=444444", "offset 119")</f>
        <v>offset 119</v>
      </c>
    </row>
    <row r="15868" customFormat="false" ht="12.8" hidden="false" customHeight="false" outlineLevel="0" collapsed="false">
      <c r="A15868" s="0" t="s">
        <v>12</v>
      </c>
      <c r="B15868" s="0" t="n">
        <v>4484975</v>
      </c>
      <c r="C15868" s="0" t="n">
        <v>4484995</v>
      </c>
      <c r="D15868" s="0" t="s">
        <v>52878</v>
      </c>
      <c r="E15868" s="0" t="s">
        <v>89</v>
      </c>
      <c r="F15868" s="0" t="s">
        <v>15</v>
      </c>
      <c r="G15868" s="0" t="s">
        <v>26</v>
      </c>
      <c r="H15868" s="0" t="n">
        <v>14</v>
      </c>
      <c r="I15868" s="0" t="s">
        <v>52879</v>
      </c>
      <c r="J15868" s="0" t="s">
        <v>52880</v>
      </c>
      <c r="K15868" s="0" t="s">
        <v>52881</v>
      </c>
      <c r="L15868" s="0" t="str">
        <f aca="false">HYPERLINK("https://www.ncbi.nlm.nih.gov/nuccore/CP000304.1?report=graph&amp;tracks=[key:gene_model_track,Options:GeneOnly]&amp;mk=4484976:4484995|offset_14|00cc00,4485000:4485019|offset_38|444444,4485025:4485044|offset_63|444444,4485047:4485066|offset_85|444444&amp;v=4484775:4485266&amp;c=444444", "offset 14")</f>
        <v>offset 14</v>
      </c>
    </row>
    <row r="15869" customFormat="false" ht="12.8" hidden="false" customHeight="false" outlineLevel="0" collapsed="false">
      <c r="A15869" s="0" t="s">
        <v>12</v>
      </c>
      <c r="B15869" s="0" t="n">
        <v>4484999</v>
      </c>
      <c r="C15869" s="0" t="n">
        <v>4485019</v>
      </c>
      <c r="D15869" s="0" t="s">
        <v>52878</v>
      </c>
      <c r="E15869" s="0" t="s">
        <v>89</v>
      </c>
      <c r="F15869" s="0" t="s">
        <v>15</v>
      </c>
      <c r="G15869" s="0" t="s">
        <v>26</v>
      </c>
      <c r="H15869" s="0" t="n">
        <v>38</v>
      </c>
      <c r="I15869" s="0" t="s">
        <v>52882</v>
      </c>
      <c r="J15869" s="0" t="s">
        <v>52883</v>
      </c>
      <c r="K15869" s="0" t="s">
        <v>52884</v>
      </c>
      <c r="L15869" s="0" t="str">
        <f aca="false">HYPERLINK("https://www.ncbi.nlm.nih.gov/nuccore/CP000304.1?report=graph&amp;tracks=[key:gene_model_track,Options:GeneOnly]&amp;mk=4484976:4484995|offset_14|444444,4485000:4485019|offset_38|00cc00,4485025:4485044|offset_63|444444,4485047:4485066|offset_85|444444&amp;v=4484775:4485266&amp;c=444444", "offset 38")</f>
        <v>offset 38</v>
      </c>
    </row>
    <row r="15870" customFormat="false" ht="12.8" hidden="false" customHeight="false" outlineLevel="0" collapsed="false">
      <c r="A15870" s="0" t="s">
        <v>12</v>
      </c>
      <c r="B15870" s="0" t="n">
        <v>4485024</v>
      </c>
      <c r="C15870" s="0" t="n">
        <v>4485044</v>
      </c>
      <c r="D15870" s="0" t="s">
        <v>52878</v>
      </c>
      <c r="E15870" s="0" t="s">
        <v>89</v>
      </c>
      <c r="F15870" s="0" t="s">
        <v>15</v>
      </c>
      <c r="G15870" s="0" t="s">
        <v>36</v>
      </c>
      <c r="H15870" s="0" t="n">
        <v>63</v>
      </c>
      <c r="I15870" s="0" t="s">
        <v>52885</v>
      </c>
      <c r="J15870" s="0" t="s">
        <v>52886</v>
      </c>
      <c r="K15870" s="0" t="s">
        <v>52887</v>
      </c>
      <c r="L15870" s="0" t="str">
        <f aca="false">HYPERLINK("https://www.ncbi.nlm.nih.gov/nuccore/CP000304.1?report=graph&amp;tracks=[key:gene_model_track,Options:GeneOnly]&amp;mk=4484976:4484995|offset_14|444444,4485000:4485019|offset_38|444444,4485025:4485044|offset_63|00cc00,4485047:4485066|offset_85|444444&amp;v=4484775:4485266&amp;c=444444", "offset 63")</f>
        <v>offset 63</v>
      </c>
    </row>
    <row r="15871" customFormat="false" ht="12.8" hidden="false" customHeight="false" outlineLevel="0" collapsed="false">
      <c r="A15871" s="0" t="s">
        <v>12</v>
      </c>
      <c r="B15871" s="0" t="n">
        <v>4485046</v>
      </c>
      <c r="C15871" s="0" t="n">
        <v>4485066</v>
      </c>
      <c r="D15871" s="0" t="s">
        <v>52878</v>
      </c>
      <c r="E15871" s="0" t="s">
        <v>89</v>
      </c>
      <c r="F15871" s="0" t="s">
        <v>15</v>
      </c>
      <c r="G15871" s="0" t="s">
        <v>26</v>
      </c>
      <c r="H15871" s="0" t="n">
        <v>85</v>
      </c>
      <c r="I15871" s="0" t="s">
        <v>52888</v>
      </c>
      <c r="J15871" s="0" t="s">
        <v>52889</v>
      </c>
      <c r="K15871" s="0" t="s">
        <v>52890</v>
      </c>
      <c r="L15871" s="0" t="str">
        <f aca="false">HYPERLINK("https://www.ncbi.nlm.nih.gov/nuccore/CP000304.1?report=graph&amp;tracks=[key:gene_model_track,Options:GeneOnly]&amp;mk=4484976:4484995|offset_14|444444,4485000:4485019|offset_38|444444,4485025:4485044|offset_63|444444,4485047:4485066|offset_85|00cc00&amp;v=4484775:4485266&amp;c=444444", "offset 85")</f>
        <v>offset 85</v>
      </c>
    </row>
    <row r="15872" customFormat="false" ht="12.8" hidden="false" customHeight="false" outlineLevel="0" collapsed="false">
      <c r="A15872" s="0" t="s">
        <v>12</v>
      </c>
      <c r="B15872" s="0" t="n">
        <v>4485481</v>
      </c>
      <c r="C15872" s="0" t="n">
        <v>4485501</v>
      </c>
      <c r="D15872" s="0" t="s">
        <v>52891</v>
      </c>
      <c r="E15872" s="0" t="s">
        <v>89</v>
      </c>
      <c r="F15872" s="0" t="s">
        <v>15</v>
      </c>
      <c r="G15872" s="0" t="s">
        <v>32</v>
      </c>
      <c r="H15872" s="0" t="n">
        <v>1</v>
      </c>
      <c r="I15872" s="0" t="s">
        <v>52892</v>
      </c>
      <c r="J15872" s="0" t="s">
        <v>52893</v>
      </c>
      <c r="K15872" s="0" t="s">
        <v>52894</v>
      </c>
      <c r="L15872" s="0" t="str">
        <f aca="false">HYPERLINK("https://www.ncbi.nlm.nih.gov/nuccore/CP000304.1?report=graph&amp;tracks=[key:gene_model_track,Options:GeneOnly]&amp;mk=4485482:4485501|offset_1|00cc00,4485511:4485530|offset_30|444444,4485539:4485558|offset_58|444444,4485561:4485580|offset_80|444444&amp;v=4485281:4485780&amp;c=444444", "offset 1")</f>
        <v>offset 1</v>
      </c>
    </row>
    <row r="15873" customFormat="false" ht="12.8" hidden="false" customHeight="false" outlineLevel="0" collapsed="false">
      <c r="A15873" s="0" t="s">
        <v>12</v>
      </c>
      <c r="B15873" s="0" t="n">
        <v>4485510</v>
      </c>
      <c r="C15873" s="0" t="n">
        <v>4485530</v>
      </c>
      <c r="D15873" s="0" t="s">
        <v>52891</v>
      </c>
      <c r="E15873" s="0" t="s">
        <v>89</v>
      </c>
      <c r="F15873" s="0" t="s">
        <v>15</v>
      </c>
      <c r="G15873" s="0" t="s">
        <v>36</v>
      </c>
      <c r="H15873" s="0" t="n">
        <v>30</v>
      </c>
      <c r="I15873" s="0" t="s">
        <v>52895</v>
      </c>
      <c r="J15873" s="0" t="s">
        <v>52896</v>
      </c>
      <c r="K15873" s="0" t="s">
        <v>52897</v>
      </c>
      <c r="L15873" s="0" t="str">
        <f aca="false">HYPERLINK("https://www.ncbi.nlm.nih.gov/nuccore/CP000304.1?report=graph&amp;tracks=[key:gene_model_track,Options:GeneOnly]&amp;mk=4485482:4485501|offset_1|444444,4485511:4485530|offset_30|00cc00,4485539:4485558|offset_58|444444,4485561:4485580|offset_80|444444&amp;v=4485281:4485780&amp;c=444444", "offset 30")</f>
        <v>offset 30</v>
      </c>
    </row>
    <row r="15874" customFormat="false" ht="12.8" hidden="false" customHeight="false" outlineLevel="0" collapsed="false">
      <c r="A15874" s="0" t="s">
        <v>12</v>
      </c>
      <c r="B15874" s="0" t="n">
        <v>4485538</v>
      </c>
      <c r="C15874" s="0" t="n">
        <v>4485558</v>
      </c>
      <c r="D15874" s="0" t="s">
        <v>52891</v>
      </c>
      <c r="E15874" s="0" t="s">
        <v>89</v>
      </c>
      <c r="F15874" s="0" t="s">
        <v>15</v>
      </c>
      <c r="G15874" s="0" t="s">
        <v>16</v>
      </c>
      <c r="H15874" s="0" t="n">
        <v>58</v>
      </c>
      <c r="I15874" s="0" t="s">
        <v>52898</v>
      </c>
      <c r="J15874" s="0" t="s">
        <v>52899</v>
      </c>
      <c r="K15874" s="0" t="s">
        <v>52900</v>
      </c>
      <c r="L15874" s="0" t="str">
        <f aca="false">HYPERLINK("https://www.ncbi.nlm.nih.gov/nuccore/CP000304.1?report=graph&amp;tracks=[key:gene_model_track,Options:GeneOnly]&amp;mk=4485482:4485501|offset_1|444444,4485511:4485530|offset_30|444444,4485539:4485558|offset_58|00cc00,4485561:4485580|offset_80|444444&amp;v=4485281:4485780&amp;c=444444", "offset 58")</f>
        <v>offset 58</v>
      </c>
    </row>
    <row r="15875" customFormat="false" ht="12.8" hidden="false" customHeight="false" outlineLevel="0" collapsed="false">
      <c r="A15875" s="0" t="s">
        <v>12</v>
      </c>
      <c r="B15875" s="0" t="n">
        <v>4485560</v>
      </c>
      <c r="C15875" s="0" t="n">
        <v>4485580</v>
      </c>
      <c r="D15875" s="0" t="s">
        <v>52891</v>
      </c>
      <c r="E15875" s="0" t="s">
        <v>89</v>
      </c>
      <c r="F15875" s="0" t="s">
        <v>15</v>
      </c>
      <c r="G15875" s="0" t="s">
        <v>36</v>
      </c>
      <c r="H15875" s="0" t="n">
        <v>80</v>
      </c>
      <c r="I15875" s="0" t="s">
        <v>52901</v>
      </c>
      <c r="J15875" s="0" t="s">
        <v>52902</v>
      </c>
      <c r="K15875" s="0" t="s">
        <v>52903</v>
      </c>
      <c r="L15875" s="0" t="str">
        <f aca="false">HYPERLINK("https://www.ncbi.nlm.nih.gov/nuccore/CP000304.1?report=graph&amp;tracks=[key:gene_model_track,Options:GeneOnly]&amp;mk=4485482:4485501|offset_1|444444,4485511:4485530|offset_30|444444,4485539:4485558|offset_58|444444,4485561:4485580|offset_80|00cc00&amp;v=4485281:4485780&amp;c=444444", "offset 80")</f>
        <v>offset 80</v>
      </c>
    </row>
    <row r="15876" customFormat="false" ht="12.8" hidden="false" customHeight="false" outlineLevel="0" collapsed="false">
      <c r="A15876" s="0" t="s">
        <v>12</v>
      </c>
      <c r="B15876" s="0" t="n">
        <v>4486118</v>
      </c>
      <c r="C15876" s="0" t="n">
        <v>4486138</v>
      </c>
      <c r="D15876" s="0" t="s">
        <v>52904</v>
      </c>
      <c r="E15876" s="0" t="s">
        <v>89</v>
      </c>
      <c r="F15876" s="0" t="s">
        <v>15</v>
      </c>
      <c r="G15876" s="0" t="s">
        <v>32</v>
      </c>
      <c r="H15876" s="0" t="n">
        <v>25</v>
      </c>
      <c r="I15876" s="0" t="s">
        <v>52905</v>
      </c>
      <c r="J15876" s="0" t="s">
        <v>52906</v>
      </c>
      <c r="K15876" s="0" t="s">
        <v>52907</v>
      </c>
      <c r="L15876" s="0" t="str">
        <f aca="false">HYPERLINK("https://www.ncbi.nlm.nih.gov/nuccore/CP000304.1?report=graph&amp;tracks=[key:gene_model_track,Options:GeneOnly]&amp;mk=4486119:4486138|offset_25|00cc00,4486141:4486160|offset_47|444444,4486165:4486184|offset_71|444444,4486193:4486212|offset_99|444444&amp;v=4485918:4486412&amp;c=444444", "offset 25")</f>
        <v>offset 25</v>
      </c>
    </row>
    <row r="15877" customFormat="false" ht="12.8" hidden="false" customHeight="false" outlineLevel="0" collapsed="false">
      <c r="A15877" s="0" t="s">
        <v>12</v>
      </c>
      <c r="B15877" s="0" t="n">
        <v>4486140</v>
      </c>
      <c r="C15877" s="0" t="n">
        <v>4486160</v>
      </c>
      <c r="D15877" s="0" t="s">
        <v>52904</v>
      </c>
      <c r="E15877" s="0" t="s">
        <v>89</v>
      </c>
      <c r="F15877" s="0" t="s">
        <v>15</v>
      </c>
      <c r="G15877" s="0" t="s">
        <v>26</v>
      </c>
      <c r="H15877" s="0" t="n">
        <v>47</v>
      </c>
      <c r="I15877" s="0" t="s">
        <v>52908</v>
      </c>
      <c r="J15877" s="0" t="s">
        <v>52909</v>
      </c>
      <c r="K15877" s="0" t="s">
        <v>52910</v>
      </c>
      <c r="L15877" s="0" t="str">
        <f aca="false">HYPERLINK("https://www.ncbi.nlm.nih.gov/nuccore/CP000304.1?report=graph&amp;tracks=[key:gene_model_track,Options:GeneOnly]&amp;mk=4486119:4486138|offset_25|444444,4486141:4486160|offset_47|00cc00,4486165:4486184|offset_71|444444,4486193:4486212|offset_99|444444&amp;v=4485918:4486412&amp;c=444444", "offset 47")</f>
        <v>offset 47</v>
      </c>
    </row>
    <row r="15878" customFormat="false" ht="12.8" hidden="false" customHeight="false" outlineLevel="0" collapsed="false">
      <c r="A15878" s="0" t="s">
        <v>12</v>
      </c>
      <c r="B15878" s="0" t="n">
        <v>4486164</v>
      </c>
      <c r="C15878" s="0" t="n">
        <v>4486184</v>
      </c>
      <c r="D15878" s="0" t="s">
        <v>52904</v>
      </c>
      <c r="E15878" s="0" t="s">
        <v>89</v>
      </c>
      <c r="F15878" s="0" t="s">
        <v>15</v>
      </c>
      <c r="G15878" s="0" t="s">
        <v>16</v>
      </c>
      <c r="H15878" s="0" t="n">
        <v>71</v>
      </c>
      <c r="I15878" s="0" t="s">
        <v>52911</v>
      </c>
      <c r="J15878" s="0" t="s">
        <v>52912</v>
      </c>
      <c r="K15878" s="0" t="s">
        <v>52913</v>
      </c>
      <c r="L15878" s="0" t="str">
        <f aca="false">HYPERLINK("https://www.ncbi.nlm.nih.gov/nuccore/CP000304.1?report=graph&amp;tracks=[key:gene_model_track,Options:GeneOnly]&amp;mk=4486119:4486138|offset_25|444444,4486141:4486160|offset_47|444444,4486165:4486184|offset_71|00cc00,4486193:4486212|offset_99|444444&amp;v=4485918:4486412&amp;c=444444", "offset 71")</f>
        <v>offset 71</v>
      </c>
    </row>
    <row r="15879" customFormat="false" ht="12.8" hidden="false" customHeight="false" outlineLevel="0" collapsed="false">
      <c r="A15879" s="0" t="s">
        <v>12</v>
      </c>
      <c r="B15879" s="0" t="n">
        <v>4486192</v>
      </c>
      <c r="C15879" s="0" t="n">
        <v>4486212</v>
      </c>
      <c r="D15879" s="0" t="s">
        <v>52904</v>
      </c>
      <c r="E15879" s="0" t="s">
        <v>89</v>
      </c>
      <c r="F15879" s="0" t="s">
        <v>15</v>
      </c>
      <c r="G15879" s="0" t="s">
        <v>16</v>
      </c>
      <c r="H15879" s="0" t="n">
        <v>99</v>
      </c>
      <c r="I15879" s="0" t="s">
        <v>52914</v>
      </c>
      <c r="J15879" s="0" t="s">
        <v>52915</v>
      </c>
      <c r="K15879" s="0" t="s">
        <v>52916</v>
      </c>
      <c r="L15879" s="0" t="str">
        <f aca="false">HYPERLINK("https://www.ncbi.nlm.nih.gov/nuccore/CP000304.1?report=graph&amp;tracks=[key:gene_model_track,Options:GeneOnly]&amp;mk=4486119:4486138|offset_25|444444,4486141:4486160|offset_47|444444,4486165:4486184|offset_71|444444,4486193:4486212|offset_99|00cc00&amp;v=4485918:4486412&amp;c=444444", "offset 99")</f>
        <v>offset 99</v>
      </c>
    </row>
    <row r="15880" customFormat="false" ht="12.8" hidden="false" customHeight="false" outlineLevel="0" collapsed="false">
      <c r="A15880" s="0" t="s">
        <v>12</v>
      </c>
      <c r="B15880" s="0" t="n">
        <v>4487087</v>
      </c>
      <c r="C15880" s="0" t="n">
        <v>4487107</v>
      </c>
      <c r="D15880" s="0" t="s">
        <v>52917</v>
      </c>
      <c r="E15880" s="0" t="s">
        <v>89</v>
      </c>
      <c r="F15880" s="0" t="s">
        <v>15</v>
      </c>
      <c r="G15880" s="0" t="s">
        <v>16</v>
      </c>
      <c r="H15880" s="0" t="n">
        <v>25</v>
      </c>
      <c r="I15880" s="0" t="s">
        <v>52918</v>
      </c>
      <c r="J15880" s="0" t="s">
        <v>52919</v>
      </c>
      <c r="K15880" s="0" t="s">
        <v>52920</v>
      </c>
      <c r="L15880" s="0" t="str">
        <f aca="false">HYPERLINK("https://www.ncbi.nlm.nih.gov/nuccore/CP000304.1?report=graph&amp;tracks=[key:gene_model_track,Options:GeneOnly]&amp;mk=4487088:4487107|offset_25|00cc00,4487113:4487132|offset_50|444444,4487134:4487153|offset_71|444444,4487154:4487173|offset_91|444444&amp;v=4486887:4487373&amp;c=444444", "offset 25")</f>
        <v>offset 25</v>
      </c>
    </row>
    <row r="15881" customFormat="false" ht="12.8" hidden="false" customHeight="false" outlineLevel="0" collapsed="false">
      <c r="A15881" s="0" t="s">
        <v>12</v>
      </c>
      <c r="B15881" s="0" t="n">
        <v>4487112</v>
      </c>
      <c r="C15881" s="0" t="n">
        <v>4487132</v>
      </c>
      <c r="D15881" s="0" t="s">
        <v>52917</v>
      </c>
      <c r="E15881" s="0" t="s">
        <v>89</v>
      </c>
      <c r="F15881" s="0" t="s">
        <v>15</v>
      </c>
      <c r="G15881" s="0" t="s">
        <v>26</v>
      </c>
      <c r="H15881" s="0" t="n">
        <v>50</v>
      </c>
      <c r="I15881" s="0" t="s">
        <v>52921</v>
      </c>
      <c r="J15881" s="0" t="s">
        <v>52922</v>
      </c>
      <c r="K15881" s="0" t="s">
        <v>52923</v>
      </c>
      <c r="L15881" s="0" t="str">
        <f aca="false">HYPERLINK("https://www.ncbi.nlm.nih.gov/nuccore/CP000304.1?report=graph&amp;tracks=[key:gene_model_track,Options:GeneOnly]&amp;mk=4487088:4487107|offset_25|444444,4487113:4487132|offset_50|00cc00,4487134:4487153|offset_71|444444,4487154:4487173|offset_91|444444&amp;v=4486887:4487373&amp;c=444444", "offset 50")</f>
        <v>offset 50</v>
      </c>
    </row>
    <row r="15882" customFormat="false" ht="12.8" hidden="false" customHeight="false" outlineLevel="0" collapsed="false">
      <c r="A15882" s="0" t="s">
        <v>12</v>
      </c>
      <c r="B15882" s="0" t="n">
        <v>4487133</v>
      </c>
      <c r="C15882" s="0" t="n">
        <v>4487153</v>
      </c>
      <c r="D15882" s="0" t="s">
        <v>52917</v>
      </c>
      <c r="E15882" s="0" t="s">
        <v>89</v>
      </c>
      <c r="F15882" s="0" t="s">
        <v>15</v>
      </c>
      <c r="G15882" s="0" t="s">
        <v>26</v>
      </c>
      <c r="H15882" s="0" t="n">
        <v>71</v>
      </c>
      <c r="I15882" s="0" t="s">
        <v>52924</v>
      </c>
      <c r="J15882" s="0" t="s">
        <v>52925</v>
      </c>
      <c r="K15882" s="0" t="s">
        <v>52926</v>
      </c>
      <c r="L15882" s="0" t="str">
        <f aca="false">HYPERLINK("https://www.ncbi.nlm.nih.gov/nuccore/CP000304.1?report=graph&amp;tracks=[key:gene_model_track,Options:GeneOnly]&amp;mk=4487088:4487107|offset_25|444444,4487113:4487132|offset_50|444444,4487134:4487153|offset_71|00cc00,4487154:4487173|offset_91|444444&amp;v=4486887:4487373&amp;c=444444", "offset 71")</f>
        <v>offset 71</v>
      </c>
    </row>
    <row r="15883" customFormat="false" ht="12.8" hidden="false" customHeight="false" outlineLevel="0" collapsed="false">
      <c r="A15883" s="0" t="s">
        <v>12</v>
      </c>
      <c r="B15883" s="0" t="n">
        <v>4487153</v>
      </c>
      <c r="C15883" s="0" t="n">
        <v>4487173</v>
      </c>
      <c r="D15883" s="0" t="s">
        <v>52917</v>
      </c>
      <c r="E15883" s="0" t="s">
        <v>89</v>
      </c>
      <c r="F15883" s="0" t="s">
        <v>15</v>
      </c>
      <c r="G15883" s="0" t="s">
        <v>32</v>
      </c>
      <c r="H15883" s="0" t="n">
        <v>91</v>
      </c>
      <c r="I15883" s="0" t="s">
        <v>52927</v>
      </c>
      <c r="J15883" s="0" t="s">
        <v>52928</v>
      </c>
      <c r="K15883" s="0" t="s">
        <v>52929</v>
      </c>
      <c r="L15883" s="0" t="str">
        <f aca="false">HYPERLINK("https://www.ncbi.nlm.nih.gov/nuccore/CP000304.1?report=graph&amp;tracks=[key:gene_model_track,Options:GeneOnly]&amp;mk=4487088:4487107|offset_25|444444,4487113:4487132|offset_50|444444,4487134:4487153|offset_71|444444,4487154:4487173|offset_91|00cc00&amp;v=4486887:4487373&amp;c=444444", "offset 91")</f>
        <v>offset 91</v>
      </c>
    </row>
    <row r="15884" customFormat="false" ht="12.8" hidden="false" customHeight="false" outlineLevel="0" collapsed="false">
      <c r="A15884" s="0" t="s">
        <v>12</v>
      </c>
      <c r="B15884" s="0" t="n">
        <v>4488664</v>
      </c>
      <c r="C15884" s="0" t="n">
        <v>4488684</v>
      </c>
      <c r="D15884" s="0" t="s">
        <v>52930</v>
      </c>
      <c r="E15884" s="0" t="s">
        <v>89</v>
      </c>
      <c r="F15884" s="0" t="s">
        <v>90</v>
      </c>
      <c r="G15884" s="0" t="s">
        <v>26</v>
      </c>
      <c r="H15884" s="0" t="n">
        <v>19</v>
      </c>
      <c r="I15884" s="0" t="s">
        <v>52931</v>
      </c>
      <c r="J15884" s="0" t="s">
        <v>52932</v>
      </c>
      <c r="K15884" s="0" t="s">
        <v>52933</v>
      </c>
      <c r="L15884" s="0" t="str">
        <f aca="false">HYPERLINK("https://www.ncbi.nlm.nih.gov/nuccore/CP000304.1?report=graph&amp;tracks=[key:gene_model_track,Options:GeneOnly]&amp;mk=4488665:4488684|offset_19|00cc00,4488638:4488657|offset_46|444444,4488596:4488615|offset_88|444444,4488544:4488563|offset_140|444444&amp;v=4488464:4488763&amp;c=444444", "offset 19")</f>
        <v>offset 19</v>
      </c>
    </row>
    <row r="15885" customFormat="false" ht="12.8" hidden="false" customHeight="false" outlineLevel="0" collapsed="false">
      <c r="A15885" s="0" t="s">
        <v>12</v>
      </c>
      <c r="B15885" s="0" t="n">
        <v>4488637</v>
      </c>
      <c r="C15885" s="0" t="n">
        <v>4488657</v>
      </c>
      <c r="D15885" s="0" t="s">
        <v>52930</v>
      </c>
      <c r="E15885" s="0" t="s">
        <v>89</v>
      </c>
      <c r="F15885" s="0" t="s">
        <v>90</v>
      </c>
      <c r="G15885" s="0" t="s">
        <v>26</v>
      </c>
      <c r="H15885" s="0" t="n">
        <v>46</v>
      </c>
      <c r="I15885" s="0" t="s">
        <v>52934</v>
      </c>
      <c r="J15885" s="0" t="s">
        <v>52935</v>
      </c>
      <c r="K15885" s="0" t="s">
        <v>52936</v>
      </c>
      <c r="L15885" s="0" t="str">
        <f aca="false">HYPERLINK("https://www.ncbi.nlm.nih.gov/nuccore/CP000304.1?report=graph&amp;tracks=[key:gene_model_track,Options:GeneOnly]&amp;mk=4488665:4488684|offset_19|444444,4488638:4488657|offset_46|00cc00,4488596:4488615|offset_88|444444,4488544:4488563|offset_140|444444&amp;v=4488464:4488763&amp;c=444444", "offset 46")</f>
        <v>offset 46</v>
      </c>
    </row>
    <row r="15886" customFormat="false" ht="12.8" hidden="false" customHeight="false" outlineLevel="0" collapsed="false">
      <c r="A15886" s="0" t="s">
        <v>12</v>
      </c>
      <c r="B15886" s="0" t="n">
        <v>4488595</v>
      </c>
      <c r="C15886" s="0" t="n">
        <v>4488615</v>
      </c>
      <c r="D15886" s="0" t="s">
        <v>52930</v>
      </c>
      <c r="E15886" s="0" t="s">
        <v>89</v>
      </c>
      <c r="F15886" s="0" t="s">
        <v>90</v>
      </c>
      <c r="G15886" s="0" t="s">
        <v>16</v>
      </c>
      <c r="H15886" s="0" t="n">
        <v>88</v>
      </c>
      <c r="I15886" s="0" t="s">
        <v>52937</v>
      </c>
      <c r="J15886" s="0" t="s">
        <v>52938</v>
      </c>
      <c r="K15886" s="0" t="s">
        <v>52939</v>
      </c>
      <c r="L15886" s="0" t="str">
        <f aca="false">HYPERLINK("https://www.ncbi.nlm.nih.gov/nuccore/CP000304.1?report=graph&amp;tracks=[key:gene_model_track,Options:GeneOnly]&amp;mk=4488665:4488684|offset_19|444444,4488638:4488657|offset_46|444444,4488596:4488615|offset_88|00cc00,4488544:4488563|offset_140|444444&amp;v=4488464:4488763&amp;c=444444", "offset 88")</f>
        <v>offset 88</v>
      </c>
    </row>
    <row r="15887" customFormat="false" ht="12.8" hidden="false" customHeight="false" outlineLevel="0" collapsed="false">
      <c r="A15887" s="0" t="s">
        <v>12</v>
      </c>
      <c r="B15887" s="0" t="n">
        <v>4488543</v>
      </c>
      <c r="C15887" s="0" t="n">
        <v>4488563</v>
      </c>
      <c r="D15887" s="0" t="s">
        <v>52930</v>
      </c>
      <c r="E15887" s="0" t="s">
        <v>89</v>
      </c>
      <c r="F15887" s="0" t="s">
        <v>90</v>
      </c>
      <c r="G15887" s="0" t="s">
        <v>16</v>
      </c>
      <c r="H15887" s="0" t="n">
        <v>140</v>
      </c>
      <c r="I15887" s="0" t="s">
        <v>52940</v>
      </c>
      <c r="J15887" s="0" t="s">
        <v>52941</v>
      </c>
      <c r="K15887" s="0" t="s">
        <v>52942</v>
      </c>
      <c r="L15887" s="0" t="str">
        <f aca="false">HYPERLINK("https://www.ncbi.nlm.nih.gov/nuccore/CP000304.1?report=graph&amp;tracks=[key:gene_model_track,Options:GeneOnly]&amp;mk=4488665:4488684|offset_19|444444,4488638:4488657|offset_46|444444,4488596:4488615|offset_88|444444,4488544:4488563|offset_140|00cc00&amp;v=4488464:4488763&amp;c=444444", "offset 140")</f>
        <v>offset 140</v>
      </c>
    </row>
    <row r="15888" customFormat="false" ht="12.8" hidden="false" customHeight="false" outlineLevel="0" collapsed="false">
      <c r="A15888" s="0" t="s">
        <v>12</v>
      </c>
      <c r="B15888" s="0" t="n">
        <v>4488958</v>
      </c>
      <c r="C15888" s="0" t="n">
        <v>4488978</v>
      </c>
      <c r="D15888" s="0" t="s">
        <v>52943</v>
      </c>
      <c r="E15888" s="0" t="s">
        <v>89</v>
      </c>
      <c r="F15888" s="0" t="s">
        <v>15</v>
      </c>
      <c r="G15888" s="0" t="s">
        <v>32</v>
      </c>
      <c r="H15888" s="0" t="n">
        <v>1</v>
      </c>
      <c r="I15888" s="0" t="s">
        <v>52944</v>
      </c>
      <c r="J15888" s="0" t="s">
        <v>52945</v>
      </c>
      <c r="K15888" s="0" t="s">
        <v>52946</v>
      </c>
      <c r="L15888" s="0" t="str">
        <f aca="false">HYPERLINK("https://www.ncbi.nlm.nih.gov/nuccore/CP000304.1?report=graph&amp;tracks=[key:gene_model_track,Options:GeneOnly]&amp;mk=4488959:4488978|offset_1|00cc00,4488982:4489001|offset_24|444444,4489007:4489026|offset_49|444444,4489028:4489047|offset_70|444444&amp;v=4488758:4489247&amp;c=444444", "offset 1")</f>
        <v>offset 1</v>
      </c>
    </row>
    <row r="15889" customFormat="false" ht="12.8" hidden="false" customHeight="false" outlineLevel="0" collapsed="false">
      <c r="A15889" s="0" t="s">
        <v>12</v>
      </c>
      <c r="B15889" s="0" t="n">
        <v>4488981</v>
      </c>
      <c r="C15889" s="0" t="n">
        <v>4489001</v>
      </c>
      <c r="D15889" s="0" t="s">
        <v>52943</v>
      </c>
      <c r="E15889" s="0" t="s">
        <v>89</v>
      </c>
      <c r="F15889" s="0" t="s">
        <v>15</v>
      </c>
      <c r="G15889" s="0" t="s">
        <v>16</v>
      </c>
      <c r="H15889" s="0" t="n">
        <v>24</v>
      </c>
      <c r="I15889" s="0" t="s">
        <v>52947</v>
      </c>
      <c r="J15889" s="0" t="s">
        <v>52948</v>
      </c>
      <c r="K15889" s="0" t="s">
        <v>52949</v>
      </c>
      <c r="L15889" s="0" t="str">
        <f aca="false">HYPERLINK("https://www.ncbi.nlm.nih.gov/nuccore/CP000304.1?report=graph&amp;tracks=[key:gene_model_track,Options:GeneOnly]&amp;mk=4488959:4488978|offset_1|444444,4488982:4489001|offset_24|00cc00,4489007:4489026|offset_49|444444,4489028:4489047|offset_70|444444&amp;v=4488758:4489247&amp;c=444444", "offset 24")</f>
        <v>offset 24</v>
      </c>
    </row>
    <row r="15890" customFormat="false" ht="12.8" hidden="false" customHeight="false" outlineLevel="0" collapsed="false">
      <c r="A15890" s="0" t="s">
        <v>12</v>
      </c>
      <c r="B15890" s="0" t="n">
        <v>4489006</v>
      </c>
      <c r="C15890" s="0" t="n">
        <v>4489026</v>
      </c>
      <c r="D15890" s="0" t="s">
        <v>52943</v>
      </c>
      <c r="E15890" s="0" t="s">
        <v>89</v>
      </c>
      <c r="F15890" s="0" t="s">
        <v>15</v>
      </c>
      <c r="G15890" s="0" t="s">
        <v>36</v>
      </c>
      <c r="H15890" s="0" t="n">
        <v>49</v>
      </c>
      <c r="I15890" s="0" t="s">
        <v>52950</v>
      </c>
      <c r="J15890" s="0" t="s">
        <v>52951</v>
      </c>
      <c r="K15890" s="0" t="s">
        <v>52952</v>
      </c>
      <c r="L15890" s="0" t="str">
        <f aca="false">HYPERLINK("https://www.ncbi.nlm.nih.gov/nuccore/CP000304.1?report=graph&amp;tracks=[key:gene_model_track,Options:GeneOnly]&amp;mk=4488959:4488978|offset_1|444444,4488982:4489001|offset_24|444444,4489007:4489026|offset_49|00cc00,4489028:4489047|offset_70|444444&amp;v=4488758:4489247&amp;c=444444", "offset 49")</f>
        <v>offset 49</v>
      </c>
    </row>
    <row r="15891" customFormat="false" ht="12.8" hidden="false" customHeight="false" outlineLevel="0" collapsed="false">
      <c r="A15891" s="0" t="s">
        <v>12</v>
      </c>
      <c r="B15891" s="0" t="n">
        <v>4489027</v>
      </c>
      <c r="C15891" s="0" t="n">
        <v>4489047</v>
      </c>
      <c r="D15891" s="0" t="s">
        <v>52943</v>
      </c>
      <c r="E15891" s="0" t="s">
        <v>89</v>
      </c>
      <c r="F15891" s="0" t="s">
        <v>15</v>
      </c>
      <c r="G15891" s="0" t="s">
        <v>32</v>
      </c>
      <c r="H15891" s="0" t="n">
        <v>70</v>
      </c>
      <c r="I15891" s="0" t="s">
        <v>52953</v>
      </c>
      <c r="J15891" s="0" t="s">
        <v>52954</v>
      </c>
      <c r="K15891" s="0" t="s">
        <v>52955</v>
      </c>
      <c r="L15891" s="0" t="str">
        <f aca="false">HYPERLINK("https://www.ncbi.nlm.nih.gov/nuccore/CP000304.1?report=graph&amp;tracks=[key:gene_model_track,Options:GeneOnly]&amp;mk=4488959:4488978|offset_1|444444,4488982:4489001|offset_24|444444,4489007:4489026|offset_49|444444,4489028:4489047|offset_70|00cc00&amp;v=4488758:4489247&amp;c=444444", "offset 70")</f>
        <v>offset 70</v>
      </c>
    </row>
    <row r="15892" customFormat="false" ht="12.8" hidden="false" customHeight="false" outlineLevel="0" collapsed="false">
      <c r="A15892" s="0" t="s">
        <v>12</v>
      </c>
      <c r="B15892" s="0" t="n">
        <v>4490119</v>
      </c>
      <c r="C15892" s="0" t="n">
        <v>4490139</v>
      </c>
      <c r="D15892" s="0" t="s">
        <v>52956</v>
      </c>
      <c r="E15892" s="0" t="s">
        <v>89</v>
      </c>
      <c r="F15892" s="0" t="s">
        <v>15</v>
      </c>
      <c r="G15892" s="0" t="s">
        <v>36</v>
      </c>
      <c r="H15892" s="0" t="n">
        <v>18</v>
      </c>
      <c r="I15892" s="0" t="s">
        <v>52957</v>
      </c>
      <c r="J15892" s="0" t="s">
        <v>52958</v>
      </c>
      <c r="K15892" s="0" t="s">
        <v>52959</v>
      </c>
      <c r="L15892" s="0" t="str">
        <f aca="false">HYPERLINK("https://www.ncbi.nlm.nih.gov/nuccore/CP000304.1?report=graph&amp;tracks=[key:gene_model_track,Options:GeneOnly]&amp;mk=4490120:4490139|offset_18|00cc00,4490148:4490167|offset_46|444444,4490169:4490188|offset_67|444444,4490190:4490209|offset_88|444444&amp;v=4489919:4490409&amp;c=444444", "offset 18")</f>
        <v>offset 18</v>
      </c>
    </row>
    <row r="15893" customFormat="false" ht="12.8" hidden="false" customHeight="false" outlineLevel="0" collapsed="false">
      <c r="A15893" s="0" t="s">
        <v>12</v>
      </c>
      <c r="B15893" s="0" t="n">
        <v>4490147</v>
      </c>
      <c r="C15893" s="0" t="n">
        <v>4490167</v>
      </c>
      <c r="D15893" s="0" t="s">
        <v>52956</v>
      </c>
      <c r="E15893" s="0" t="s">
        <v>89</v>
      </c>
      <c r="F15893" s="0" t="s">
        <v>15</v>
      </c>
      <c r="G15893" s="0" t="s">
        <v>16</v>
      </c>
      <c r="H15893" s="0" t="n">
        <v>46</v>
      </c>
      <c r="I15893" s="0" t="s">
        <v>52960</v>
      </c>
      <c r="J15893" s="0" t="s">
        <v>52961</v>
      </c>
      <c r="K15893" s="0" t="s">
        <v>52962</v>
      </c>
      <c r="L15893" s="0" t="str">
        <f aca="false">HYPERLINK("https://www.ncbi.nlm.nih.gov/nuccore/CP000304.1?report=graph&amp;tracks=[key:gene_model_track,Options:GeneOnly]&amp;mk=4490120:4490139|offset_18|444444,4490148:4490167|offset_46|00cc00,4490169:4490188|offset_67|444444,4490190:4490209|offset_88|444444&amp;v=4489919:4490409&amp;c=444444", "offset 46")</f>
        <v>offset 46</v>
      </c>
    </row>
    <row r="15894" customFormat="false" ht="12.8" hidden="false" customHeight="false" outlineLevel="0" collapsed="false">
      <c r="A15894" s="0" t="s">
        <v>12</v>
      </c>
      <c r="B15894" s="0" t="n">
        <v>4490168</v>
      </c>
      <c r="C15894" s="0" t="n">
        <v>4490188</v>
      </c>
      <c r="D15894" s="0" t="s">
        <v>52956</v>
      </c>
      <c r="E15894" s="0" t="s">
        <v>89</v>
      </c>
      <c r="F15894" s="0" t="s">
        <v>15</v>
      </c>
      <c r="G15894" s="0" t="s">
        <v>26</v>
      </c>
      <c r="H15894" s="0" t="n">
        <v>67</v>
      </c>
      <c r="I15894" s="0" t="s">
        <v>52963</v>
      </c>
      <c r="J15894" s="0" t="s">
        <v>52964</v>
      </c>
      <c r="K15894" s="0" t="s">
        <v>52965</v>
      </c>
      <c r="L15894" s="0" t="str">
        <f aca="false">HYPERLINK("https://www.ncbi.nlm.nih.gov/nuccore/CP000304.1?report=graph&amp;tracks=[key:gene_model_track,Options:GeneOnly]&amp;mk=4490120:4490139|offset_18|444444,4490148:4490167|offset_46|444444,4490169:4490188|offset_67|00cc00,4490190:4490209|offset_88|444444&amp;v=4489919:4490409&amp;c=444444", "offset 67")</f>
        <v>offset 67</v>
      </c>
    </row>
    <row r="15895" customFormat="false" ht="12.8" hidden="false" customHeight="false" outlineLevel="0" collapsed="false">
      <c r="A15895" s="0" t="s">
        <v>12</v>
      </c>
      <c r="B15895" s="0" t="n">
        <v>4490189</v>
      </c>
      <c r="C15895" s="0" t="n">
        <v>4490209</v>
      </c>
      <c r="D15895" s="0" t="s">
        <v>52956</v>
      </c>
      <c r="E15895" s="0" t="s">
        <v>89</v>
      </c>
      <c r="F15895" s="0" t="s">
        <v>15</v>
      </c>
      <c r="G15895" s="0" t="s">
        <v>32</v>
      </c>
      <c r="H15895" s="0" t="n">
        <v>88</v>
      </c>
      <c r="I15895" s="0" t="s">
        <v>52966</v>
      </c>
      <c r="J15895" s="0" t="s">
        <v>52967</v>
      </c>
      <c r="K15895" s="0" t="s">
        <v>52968</v>
      </c>
      <c r="L15895" s="0" t="str">
        <f aca="false">HYPERLINK("https://www.ncbi.nlm.nih.gov/nuccore/CP000304.1?report=graph&amp;tracks=[key:gene_model_track,Options:GeneOnly]&amp;mk=4490120:4490139|offset_18|444444,4490148:4490167|offset_46|444444,4490169:4490188|offset_67|444444,4490190:4490209|offset_88|00cc00&amp;v=4489919:4490409&amp;c=444444", "offset 88")</f>
        <v>offset 88</v>
      </c>
    </row>
    <row r="15896" customFormat="false" ht="12.8" hidden="false" customHeight="false" outlineLevel="0" collapsed="false">
      <c r="A15896" s="0" t="s">
        <v>12</v>
      </c>
      <c r="B15896" s="0" t="n">
        <v>4491045</v>
      </c>
      <c r="C15896" s="0" t="n">
        <v>4491065</v>
      </c>
      <c r="D15896" s="0" t="s">
        <v>52969</v>
      </c>
      <c r="E15896" s="0" t="s">
        <v>89</v>
      </c>
      <c r="F15896" s="0" t="s">
        <v>15</v>
      </c>
      <c r="G15896" s="0" t="s">
        <v>32</v>
      </c>
      <c r="H15896" s="0" t="n">
        <v>1</v>
      </c>
      <c r="I15896" s="0" t="s">
        <v>52970</v>
      </c>
      <c r="J15896" s="0" t="s">
        <v>52971</v>
      </c>
      <c r="K15896" s="0" t="s">
        <v>52972</v>
      </c>
      <c r="L15896" s="0" t="str">
        <f aca="false">HYPERLINK("https://www.ncbi.nlm.nih.gov/nuccore/CP000304.1?report=graph&amp;tracks=[key:gene_model_track,Options:GeneOnly]&amp;mk=4491046:4491065|offset_1|00cc00,4491067:4491086|offset_22|444444,4491091:4491110|offset_46|444444,4491112:4491131|offset_67|444444&amp;v=4490845:4491331&amp;c=444444", "offset 1")</f>
        <v>offset 1</v>
      </c>
    </row>
    <row r="15897" customFormat="false" ht="12.8" hidden="false" customHeight="false" outlineLevel="0" collapsed="false">
      <c r="A15897" s="0" t="s">
        <v>12</v>
      </c>
      <c r="B15897" s="0" t="n">
        <v>4491066</v>
      </c>
      <c r="C15897" s="0" t="n">
        <v>4491086</v>
      </c>
      <c r="D15897" s="0" t="s">
        <v>52969</v>
      </c>
      <c r="E15897" s="0" t="s">
        <v>89</v>
      </c>
      <c r="F15897" s="0" t="s">
        <v>15</v>
      </c>
      <c r="G15897" s="0" t="s">
        <v>16</v>
      </c>
      <c r="H15897" s="0" t="n">
        <v>22</v>
      </c>
      <c r="I15897" s="0" t="s">
        <v>52973</v>
      </c>
      <c r="J15897" s="0" t="s">
        <v>52974</v>
      </c>
      <c r="K15897" s="0" t="s">
        <v>52975</v>
      </c>
      <c r="L15897" s="0" t="str">
        <f aca="false">HYPERLINK("https://www.ncbi.nlm.nih.gov/nuccore/CP000304.1?report=graph&amp;tracks=[key:gene_model_track,Options:GeneOnly]&amp;mk=4491046:4491065|offset_1|444444,4491067:4491086|offset_22|00cc00,4491091:4491110|offset_46|444444,4491112:4491131|offset_67|444444&amp;v=4490845:4491331&amp;c=444444", "offset 22")</f>
        <v>offset 22</v>
      </c>
    </row>
    <row r="15898" customFormat="false" ht="12.8" hidden="false" customHeight="false" outlineLevel="0" collapsed="false">
      <c r="A15898" s="0" t="s">
        <v>12</v>
      </c>
      <c r="B15898" s="0" t="n">
        <v>4491090</v>
      </c>
      <c r="C15898" s="0" t="n">
        <v>4491110</v>
      </c>
      <c r="D15898" s="0" t="s">
        <v>52969</v>
      </c>
      <c r="E15898" s="0" t="s">
        <v>89</v>
      </c>
      <c r="F15898" s="0" t="s">
        <v>15</v>
      </c>
      <c r="G15898" s="0" t="s">
        <v>26</v>
      </c>
      <c r="H15898" s="0" t="n">
        <v>46</v>
      </c>
      <c r="I15898" s="0" t="s">
        <v>52976</v>
      </c>
      <c r="J15898" s="0" t="s">
        <v>52977</v>
      </c>
      <c r="K15898" s="0" t="s">
        <v>52978</v>
      </c>
      <c r="L15898" s="0" t="str">
        <f aca="false">HYPERLINK("https://www.ncbi.nlm.nih.gov/nuccore/CP000304.1?report=graph&amp;tracks=[key:gene_model_track,Options:GeneOnly]&amp;mk=4491046:4491065|offset_1|444444,4491067:4491086|offset_22|444444,4491091:4491110|offset_46|00cc00,4491112:4491131|offset_67|444444&amp;v=4490845:4491331&amp;c=444444", "offset 46")</f>
        <v>offset 46</v>
      </c>
    </row>
    <row r="15899" customFormat="false" ht="12.8" hidden="false" customHeight="false" outlineLevel="0" collapsed="false">
      <c r="A15899" s="0" t="s">
        <v>12</v>
      </c>
      <c r="B15899" s="0" t="n">
        <v>4491111</v>
      </c>
      <c r="C15899" s="0" t="n">
        <v>4491131</v>
      </c>
      <c r="D15899" s="0" t="s">
        <v>52969</v>
      </c>
      <c r="E15899" s="0" t="s">
        <v>89</v>
      </c>
      <c r="F15899" s="0" t="s">
        <v>15</v>
      </c>
      <c r="G15899" s="0" t="s">
        <v>16</v>
      </c>
      <c r="H15899" s="0" t="n">
        <v>67</v>
      </c>
      <c r="I15899" s="0" t="s">
        <v>52979</v>
      </c>
      <c r="J15899" s="0" t="s">
        <v>52980</v>
      </c>
      <c r="K15899" s="0" t="s">
        <v>52981</v>
      </c>
      <c r="L15899" s="0" t="str">
        <f aca="false">HYPERLINK("https://www.ncbi.nlm.nih.gov/nuccore/CP000304.1?report=graph&amp;tracks=[key:gene_model_track,Options:GeneOnly]&amp;mk=4491046:4491065|offset_1|444444,4491067:4491086|offset_22|444444,4491091:4491110|offset_46|444444,4491112:4491131|offset_67|00cc00&amp;v=4490845:4491331&amp;c=444444", "offset 67")</f>
        <v>offset 67</v>
      </c>
    </row>
    <row r="15900" customFormat="false" ht="12.8" hidden="false" customHeight="false" outlineLevel="0" collapsed="false">
      <c r="A15900" s="0" t="s">
        <v>12</v>
      </c>
      <c r="B15900" s="0" t="n">
        <v>4491948</v>
      </c>
      <c r="C15900" s="0" t="n">
        <v>4491968</v>
      </c>
      <c r="D15900" s="0" t="s">
        <v>52982</v>
      </c>
      <c r="E15900" s="0" t="s">
        <v>89</v>
      </c>
      <c r="F15900" s="0" t="s">
        <v>90</v>
      </c>
      <c r="G15900" s="0" t="s">
        <v>16</v>
      </c>
      <c r="H15900" s="0" t="n">
        <v>31</v>
      </c>
      <c r="I15900" s="0" t="s">
        <v>52983</v>
      </c>
      <c r="J15900" s="0" t="s">
        <v>52984</v>
      </c>
      <c r="K15900" s="0" t="s">
        <v>52985</v>
      </c>
      <c r="L15900" s="0" t="str">
        <f aca="false">HYPERLINK("https://www.ncbi.nlm.nih.gov/nuccore/CP000304.1?report=graph&amp;tracks=[key:gene_model_track,Options:GeneOnly]&amp;mk=4491949:4491968|offset_31|00cc00,4491902:4491921|offset_78|444444,4491859:4491878|offset_121|444444,4491811:4491830|offset_169|444444&amp;v=4491748:4492030&amp;c=444444", "offset 31")</f>
        <v>offset 31</v>
      </c>
    </row>
    <row r="15901" customFormat="false" ht="12.8" hidden="false" customHeight="false" outlineLevel="0" collapsed="false">
      <c r="A15901" s="0" t="s">
        <v>12</v>
      </c>
      <c r="B15901" s="0" t="n">
        <v>4491901</v>
      </c>
      <c r="C15901" s="0" t="n">
        <v>4491921</v>
      </c>
      <c r="D15901" s="0" t="s">
        <v>52982</v>
      </c>
      <c r="E15901" s="0" t="s">
        <v>89</v>
      </c>
      <c r="F15901" s="0" t="s">
        <v>90</v>
      </c>
      <c r="G15901" s="0" t="s">
        <v>16</v>
      </c>
      <c r="H15901" s="0" t="n">
        <v>78</v>
      </c>
      <c r="I15901" s="0" t="s">
        <v>52986</v>
      </c>
      <c r="J15901" s="0" t="s">
        <v>52987</v>
      </c>
      <c r="K15901" s="0" t="s">
        <v>52988</v>
      </c>
      <c r="L15901" s="0" t="str">
        <f aca="false">HYPERLINK("https://www.ncbi.nlm.nih.gov/nuccore/CP000304.1?report=graph&amp;tracks=[key:gene_model_track,Options:GeneOnly]&amp;mk=4491949:4491968|offset_31|444444,4491902:4491921|offset_78|00cc00,4491859:4491878|offset_121|444444,4491811:4491830|offset_169|444444&amp;v=4491748:4492030&amp;c=444444", "offset 78")</f>
        <v>offset 78</v>
      </c>
    </row>
    <row r="15902" customFormat="false" ht="12.8" hidden="false" customHeight="false" outlineLevel="0" collapsed="false">
      <c r="A15902" s="0" t="s">
        <v>12</v>
      </c>
      <c r="B15902" s="0" t="n">
        <v>4491858</v>
      </c>
      <c r="C15902" s="0" t="n">
        <v>4491878</v>
      </c>
      <c r="D15902" s="0" t="s">
        <v>52982</v>
      </c>
      <c r="E15902" s="0" t="s">
        <v>89</v>
      </c>
      <c r="F15902" s="0" t="s">
        <v>90</v>
      </c>
      <c r="G15902" s="0" t="s">
        <v>16</v>
      </c>
      <c r="H15902" s="0" t="n">
        <v>121</v>
      </c>
      <c r="I15902" s="0" t="s">
        <v>52989</v>
      </c>
      <c r="J15902" s="0" t="s">
        <v>52990</v>
      </c>
      <c r="K15902" s="0" t="s">
        <v>52991</v>
      </c>
      <c r="L15902" s="0" t="str">
        <f aca="false">HYPERLINK("https://www.ncbi.nlm.nih.gov/nuccore/CP000304.1?report=graph&amp;tracks=[key:gene_model_track,Options:GeneOnly]&amp;mk=4491949:4491968|offset_31|444444,4491902:4491921|offset_78|444444,4491859:4491878|offset_121|00cc00,4491811:4491830|offset_169|444444&amp;v=4491748:4492030&amp;c=444444", "offset 121")</f>
        <v>offset 121</v>
      </c>
    </row>
    <row r="15903" customFormat="false" ht="12.8" hidden="false" customHeight="false" outlineLevel="0" collapsed="false">
      <c r="A15903" s="0" t="s">
        <v>12</v>
      </c>
      <c r="B15903" s="0" t="n">
        <v>4491810</v>
      </c>
      <c r="C15903" s="0" t="n">
        <v>4491830</v>
      </c>
      <c r="D15903" s="0" t="s">
        <v>52982</v>
      </c>
      <c r="E15903" s="0" t="s">
        <v>89</v>
      </c>
      <c r="F15903" s="0" t="s">
        <v>90</v>
      </c>
      <c r="G15903" s="0" t="s">
        <v>26</v>
      </c>
      <c r="H15903" s="0" t="n">
        <v>169</v>
      </c>
      <c r="I15903" s="0" t="s">
        <v>52992</v>
      </c>
      <c r="J15903" s="0" t="s">
        <v>52993</v>
      </c>
      <c r="K15903" s="0" t="s">
        <v>52994</v>
      </c>
      <c r="L15903" s="0" t="str">
        <f aca="false">HYPERLINK("https://www.ncbi.nlm.nih.gov/nuccore/CP000304.1?report=graph&amp;tracks=[key:gene_model_track,Options:GeneOnly]&amp;mk=4491949:4491968|offset_31|444444,4491902:4491921|offset_78|444444,4491859:4491878|offset_121|444444,4491811:4491830|offset_169|00cc00&amp;v=4491748:4492030&amp;c=444444", "offset 169")</f>
        <v>offset 169</v>
      </c>
    </row>
    <row r="15904" customFormat="false" ht="12.8" hidden="false" customHeight="false" outlineLevel="0" collapsed="false">
      <c r="A15904" s="0" t="s">
        <v>12</v>
      </c>
      <c r="B15904" s="0" t="n">
        <v>4492259</v>
      </c>
      <c r="C15904" s="0" t="n">
        <v>4492279</v>
      </c>
      <c r="D15904" s="0" t="s">
        <v>52995</v>
      </c>
      <c r="E15904" s="0" t="s">
        <v>52996</v>
      </c>
      <c r="F15904" s="0" t="s">
        <v>15</v>
      </c>
      <c r="G15904" s="0" t="s">
        <v>16</v>
      </c>
      <c r="H15904" s="0" t="n">
        <v>34</v>
      </c>
      <c r="I15904" s="0" t="s">
        <v>52997</v>
      </c>
      <c r="J15904" s="0" t="s">
        <v>52998</v>
      </c>
      <c r="K15904" s="0" t="s">
        <v>52999</v>
      </c>
      <c r="L15904" s="0" t="str">
        <f aca="false">HYPERLINK("https://www.ncbi.nlm.nih.gov/nuccore/CP000304.1?report=graph&amp;tracks=[key:gene_model_track,Options:GeneOnly]&amp;mk=4492260:4492279|offset_34|00cc00,4492281:4492300|offset_55|444444,4492302:4492321|offset_76|444444,4492326:4492345|offset_100|444444&amp;v=4492059:4492545&amp;c=444444", "offset 34")</f>
        <v>offset 34</v>
      </c>
    </row>
    <row r="15905" customFormat="false" ht="12.8" hidden="false" customHeight="false" outlineLevel="0" collapsed="false">
      <c r="A15905" s="0" t="s">
        <v>12</v>
      </c>
      <c r="B15905" s="0" t="n">
        <v>4492280</v>
      </c>
      <c r="C15905" s="0" t="n">
        <v>4492300</v>
      </c>
      <c r="D15905" s="0" t="s">
        <v>52995</v>
      </c>
      <c r="E15905" s="0" t="s">
        <v>52996</v>
      </c>
      <c r="F15905" s="0" t="s">
        <v>15</v>
      </c>
      <c r="G15905" s="0" t="s">
        <v>16</v>
      </c>
      <c r="H15905" s="0" t="n">
        <v>55</v>
      </c>
      <c r="I15905" s="0" t="s">
        <v>53000</v>
      </c>
      <c r="J15905" s="0" t="s">
        <v>53001</v>
      </c>
      <c r="K15905" s="0" t="s">
        <v>53002</v>
      </c>
      <c r="L15905" s="0" t="str">
        <f aca="false">HYPERLINK("https://www.ncbi.nlm.nih.gov/nuccore/CP000304.1?report=graph&amp;tracks=[key:gene_model_track,Options:GeneOnly]&amp;mk=4492260:4492279|offset_34|444444,4492281:4492300|offset_55|00cc00,4492302:4492321|offset_76|444444,4492326:4492345|offset_100|444444&amp;v=4492059:4492545&amp;c=444444", "offset 55")</f>
        <v>offset 55</v>
      </c>
    </row>
    <row r="15906" customFormat="false" ht="12.8" hidden="false" customHeight="false" outlineLevel="0" collapsed="false">
      <c r="A15906" s="0" t="s">
        <v>12</v>
      </c>
      <c r="B15906" s="0" t="n">
        <v>4492301</v>
      </c>
      <c r="C15906" s="0" t="n">
        <v>4492321</v>
      </c>
      <c r="D15906" s="0" t="s">
        <v>52995</v>
      </c>
      <c r="E15906" s="0" t="s">
        <v>52996</v>
      </c>
      <c r="F15906" s="0" t="s">
        <v>15</v>
      </c>
      <c r="G15906" s="0" t="s">
        <v>36</v>
      </c>
      <c r="H15906" s="0" t="n">
        <v>76</v>
      </c>
      <c r="I15906" s="0" t="s">
        <v>53003</v>
      </c>
      <c r="J15906" s="0" t="s">
        <v>53004</v>
      </c>
      <c r="K15906" s="0" t="s">
        <v>53005</v>
      </c>
      <c r="L15906" s="0" t="str">
        <f aca="false">HYPERLINK("https://www.ncbi.nlm.nih.gov/nuccore/CP000304.1?report=graph&amp;tracks=[key:gene_model_track,Options:GeneOnly]&amp;mk=4492260:4492279|offset_34|444444,4492281:4492300|offset_55|444444,4492302:4492321|offset_76|00cc00,4492326:4492345|offset_100|444444&amp;v=4492059:4492545&amp;c=444444", "offset 76")</f>
        <v>offset 76</v>
      </c>
    </row>
    <row r="15907" customFormat="false" ht="12.8" hidden="false" customHeight="false" outlineLevel="0" collapsed="false">
      <c r="A15907" s="0" t="s">
        <v>12</v>
      </c>
      <c r="B15907" s="0" t="n">
        <v>4492325</v>
      </c>
      <c r="C15907" s="0" t="n">
        <v>4492345</v>
      </c>
      <c r="D15907" s="0" t="s">
        <v>52995</v>
      </c>
      <c r="E15907" s="0" t="s">
        <v>52996</v>
      </c>
      <c r="F15907" s="0" t="s">
        <v>15</v>
      </c>
      <c r="G15907" s="0" t="s">
        <v>32</v>
      </c>
      <c r="H15907" s="0" t="n">
        <v>100</v>
      </c>
      <c r="I15907" s="0" t="s">
        <v>53006</v>
      </c>
      <c r="J15907" s="0" t="s">
        <v>53007</v>
      </c>
      <c r="K15907" s="0" t="s">
        <v>53008</v>
      </c>
      <c r="L15907" s="0" t="str">
        <f aca="false">HYPERLINK("https://www.ncbi.nlm.nih.gov/nuccore/CP000304.1?report=graph&amp;tracks=[key:gene_model_track,Options:GeneOnly]&amp;mk=4492260:4492279|offset_34|444444,4492281:4492300|offset_55|444444,4492302:4492321|offset_76|444444,4492326:4492345|offset_100|00cc00&amp;v=4492059:4492545&amp;c=444444", "offset 100")</f>
        <v>offset 100</v>
      </c>
    </row>
    <row r="15908" customFormat="false" ht="12.8" hidden="false" customHeight="false" outlineLevel="0" collapsed="false">
      <c r="A15908" s="0" t="s">
        <v>12</v>
      </c>
      <c r="B15908" s="0" t="n">
        <v>4494646</v>
      </c>
      <c r="C15908" s="0" t="n">
        <v>4494666</v>
      </c>
      <c r="D15908" s="0" t="s">
        <v>53009</v>
      </c>
      <c r="E15908" s="0" t="s">
        <v>89</v>
      </c>
      <c r="F15908" s="0" t="s">
        <v>90</v>
      </c>
      <c r="G15908" s="0" t="s">
        <v>16</v>
      </c>
      <c r="H15908" s="0" t="n">
        <v>40</v>
      </c>
      <c r="I15908" s="0" t="s">
        <v>53010</v>
      </c>
      <c r="J15908" s="0" t="s">
        <v>53011</v>
      </c>
      <c r="K15908" s="0" t="s">
        <v>53012</v>
      </c>
      <c r="L15908" s="0" t="str">
        <f aca="false">HYPERLINK("https://www.ncbi.nlm.nih.gov/nuccore/CP000304.1?report=graph&amp;tracks=[key:gene_model_track,Options:GeneOnly]&amp;mk=4494647:4494666|offset_40|00cc00,4494624:4494643|offset_63|444444,4494602:4494621|offset_85|444444,4494579:4494598|offset_108|444444&amp;v=4494446:4494798&amp;c=444444", "offset 40")</f>
        <v>offset 40</v>
      </c>
    </row>
    <row r="15909" customFormat="false" ht="12.8" hidden="false" customHeight="false" outlineLevel="0" collapsed="false">
      <c r="A15909" s="0" t="s">
        <v>12</v>
      </c>
      <c r="B15909" s="0" t="n">
        <v>4494623</v>
      </c>
      <c r="C15909" s="0" t="n">
        <v>4494643</v>
      </c>
      <c r="D15909" s="0" t="s">
        <v>53009</v>
      </c>
      <c r="E15909" s="0" t="s">
        <v>89</v>
      </c>
      <c r="F15909" s="0" t="s">
        <v>90</v>
      </c>
      <c r="G15909" s="0" t="s">
        <v>36</v>
      </c>
      <c r="H15909" s="0" t="n">
        <v>63</v>
      </c>
      <c r="I15909" s="0" t="s">
        <v>53013</v>
      </c>
      <c r="J15909" s="0" t="s">
        <v>53014</v>
      </c>
      <c r="K15909" s="0" t="s">
        <v>53015</v>
      </c>
      <c r="L15909" s="0" t="str">
        <f aca="false">HYPERLINK("https://www.ncbi.nlm.nih.gov/nuccore/CP000304.1?report=graph&amp;tracks=[key:gene_model_track,Options:GeneOnly]&amp;mk=4494647:4494666|offset_40|444444,4494624:4494643|offset_63|00cc00,4494602:4494621|offset_85|444444,4494579:4494598|offset_108|444444&amp;v=4494446:4494798&amp;c=444444", "offset 63")</f>
        <v>offset 63</v>
      </c>
    </row>
    <row r="15910" customFormat="false" ht="12.8" hidden="false" customHeight="false" outlineLevel="0" collapsed="false">
      <c r="A15910" s="0" t="s">
        <v>12</v>
      </c>
      <c r="B15910" s="0" t="n">
        <v>4494601</v>
      </c>
      <c r="C15910" s="0" t="n">
        <v>4494621</v>
      </c>
      <c r="D15910" s="0" t="s">
        <v>53009</v>
      </c>
      <c r="E15910" s="0" t="s">
        <v>89</v>
      </c>
      <c r="F15910" s="0" t="s">
        <v>90</v>
      </c>
      <c r="G15910" s="0" t="s">
        <v>16</v>
      </c>
      <c r="H15910" s="0" t="n">
        <v>85</v>
      </c>
      <c r="I15910" s="0" t="s">
        <v>53016</v>
      </c>
      <c r="J15910" s="0" t="s">
        <v>53017</v>
      </c>
      <c r="K15910" s="0" t="s">
        <v>53018</v>
      </c>
      <c r="L15910" s="0" t="str">
        <f aca="false">HYPERLINK("https://www.ncbi.nlm.nih.gov/nuccore/CP000304.1?report=graph&amp;tracks=[key:gene_model_track,Options:GeneOnly]&amp;mk=4494647:4494666|offset_40|444444,4494624:4494643|offset_63|444444,4494602:4494621|offset_85|00cc00,4494579:4494598|offset_108|444444&amp;v=4494446:4494798&amp;c=444444", "offset 85")</f>
        <v>offset 85</v>
      </c>
    </row>
    <row r="15911" customFormat="false" ht="12.8" hidden="false" customHeight="false" outlineLevel="0" collapsed="false">
      <c r="A15911" s="0" t="s">
        <v>12</v>
      </c>
      <c r="B15911" s="0" t="n">
        <v>4494578</v>
      </c>
      <c r="C15911" s="0" t="n">
        <v>4494598</v>
      </c>
      <c r="D15911" s="0" t="s">
        <v>53009</v>
      </c>
      <c r="E15911" s="0" t="s">
        <v>89</v>
      </c>
      <c r="F15911" s="0" t="s">
        <v>90</v>
      </c>
      <c r="G15911" s="0" t="s">
        <v>32</v>
      </c>
      <c r="H15911" s="0" t="n">
        <v>108</v>
      </c>
      <c r="I15911" s="0" t="s">
        <v>53019</v>
      </c>
      <c r="J15911" s="0" t="s">
        <v>53020</v>
      </c>
      <c r="K15911" s="0" t="s">
        <v>53021</v>
      </c>
      <c r="L15911" s="0" t="str">
        <f aca="false">HYPERLINK("https://www.ncbi.nlm.nih.gov/nuccore/CP000304.1?report=graph&amp;tracks=[key:gene_model_track,Options:GeneOnly]&amp;mk=4494647:4494666|offset_40|444444,4494624:4494643|offset_63|444444,4494602:4494621|offset_85|444444,4494579:4494598|offset_108|00cc00&amp;v=4494446:4494798&amp;c=444444", "offset 108")</f>
        <v>offset 108</v>
      </c>
    </row>
    <row r="15912" customFormat="false" ht="12.8" hidden="false" customHeight="false" outlineLevel="0" collapsed="false">
      <c r="A15912" s="0" t="s">
        <v>12</v>
      </c>
      <c r="B15912" s="0" t="n">
        <v>4495084</v>
      </c>
      <c r="C15912" s="0" t="n">
        <v>4495104</v>
      </c>
      <c r="D15912" s="0" t="s">
        <v>53022</v>
      </c>
      <c r="E15912" s="0" t="s">
        <v>89</v>
      </c>
      <c r="F15912" s="0" t="s">
        <v>90</v>
      </c>
      <c r="G15912" s="0" t="s">
        <v>36</v>
      </c>
      <c r="H15912" s="0" t="n">
        <v>15</v>
      </c>
      <c r="I15912" s="0" t="s">
        <v>53023</v>
      </c>
      <c r="J15912" s="0" t="s">
        <v>53024</v>
      </c>
      <c r="K15912" s="0" t="s">
        <v>53025</v>
      </c>
      <c r="L15912" s="0" t="str">
        <f aca="false">HYPERLINK("https://www.ncbi.nlm.nih.gov/nuccore/CP000304.1?report=graph&amp;tracks=[key:gene_model_track,Options:GeneOnly]&amp;mk=4495085:4495104|offset_15|00cc00,4495063:4495082|offset_37|444444,4495022:4495041|offset_78|444444,4494997:4495016|offset_103|444444&amp;v=4494884:4495216&amp;c=444444", "offset 15")</f>
        <v>offset 15</v>
      </c>
    </row>
    <row r="15913" customFormat="false" ht="12.8" hidden="false" customHeight="false" outlineLevel="0" collapsed="false">
      <c r="A15913" s="0" t="s">
        <v>12</v>
      </c>
      <c r="B15913" s="0" t="n">
        <v>4495062</v>
      </c>
      <c r="C15913" s="0" t="n">
        <v>4495082</v>
      </c>
      <c r="D15913" s="0" t="s">
        <v>53022</v>
      </c>
      <c r="E15913" s="0" t="s">
        <v>89</v>
      </c>
      <c r="F15913" s="0" t="s">
        <v>90</v>
      </c>
      <c r="G15913" s="0" t="s">
        <v>36</v>
      </c>
      <c r="H15913" s="0" t="n">
        <v>37</v>
      </c>
      <c r="I15913" s="0" t="s">
        <v>53026</v>
      </c>
      <c r="J15913" s="0" t="s">
        <v>53027</v>
      </c>
      <c r="K15913" s="0" t="s">
        <v>53028</v>
      </c>
      <c r="L15913" s="0" t="str">
        <f aca="false">HYPERLINK("https://www.ncbi.nlm.nih.gov/nuccore/CP000304.1?report=graph&amp;tracks=[key:gene_model_track,Options:GeneOnly]&amp;mk=4495085:4495104|offset_15|444444,4495063:4495082|offset_37|00cc00,4495022:4495041|offset_78|444444,4494997:4495016|offset_103|444444&amp;v=4494884:4495216&amp;c=444444", "offset 37")</f>
        <v>offset 37</v>
      </c>
    </row>
    <row r="15914" customFormat="false" ht="12.8" hidden="false" customHeight="false" outlineLevel="0" collapsed="false">
      <c r="A15914" s="0" t="s">
        <v>12</v>
      </c>
      <c r="B15914" s="0" t="n">
        <v>4495021</v>
      </c>
      <c r="C15914" s="0" t="n">
        <v>4495041</v>
      </c>
      <c r="D15914" s="0" t="s">
        <v>53022</v>
      </c>
      <c r="E15914" s="0" t="s">
        <v>89</v>
      </c>
      <c r="F15914" s="0" t="s">
        <v>90</v>
      </c>
      <c r="G15914" s="0" t="s">
        <v>32</v>
      </c>
      <c r="H15914" s="0" t="n">
        <v>78</v>
      </c>
      <c r="I15914" s="0" t="s">
        <v>53029</v>
      </c>
      <c r="J15914" s="0" t="s">
        <v>53030</v>
      </c>
      <c r="K15914" s="0" t="s">
        <v>53031</v>
      </c>
      <c r="L15914" s="0" t="str">
        <f aca="false">HYPERLINK("https://www.ncbi.nlm.nih.gov/nuccore/CP000304.1?report=graph&amp;tracks=[key:gene_model_track,Options:GeneOnly]&amp;mk=4495085:4495104|offset_15|444444,4495063:4495082|offset_37|444444,4495022:4495041|offset_78|00cc00,4494997:4495016|offset_103|444444&amp;v=4494884:4495216&amp;c=444444", "offset 78")</f>
        <v>offset 78</v>
      </c>
    </row>
    <row r="15915" customFormat="false" ht="12.8" hidden="false" customHeight="false" outlineLevel="0" collapsed="false">
      <c r="A15915" s="0" t="s">
        <v>12</v>
      </c>
      <c r="B15915" s="0" t="n">
        <v>4494996</v>
      </c>
      <c r="C15915" s="0" t="n">
        <v>4495016</v>
      </c>
      <c r="D15915" s="0" t="s">
        <v>53022</v>
      </c>
      <c r="E15915" s="0" t="s">
        <v>89</v>
      </c>
      <c r="F15915" s="0" t="s">
        <v>90</v>
      </c>
      <c r="G15915" s="0" t="s">
        <v>32</v>
      </c>
      <c r="H15915" s="0" t="n">
        <v>103</v>
      </c>
      <c r="I15915" s="0" t="s">
        <v>53032</v>
      </c>
      <c r="J15915" s="0" t="s">
        <v>53033</v>
      </c>
      <c r="K15915" s="0" t="s">
        <v>53034</v>
      </c>
      <c r="L15915" s="0" t="str">
        <f aca="false">HYPERLINK("https://www.ncbi.nlm.nih.gov/nuccore/CP000304.1?report=graph&amp;tracks=[key:gene_model_track,Options:GeneOnly]&amp;mk=4495085:4495104|offset_15|444444,4495063:4495082|offset_37|444444,4495022:4495041|offset_78|444444,4494997:4495016|offset_103|00cc00&amp;v=4494884:4495216&amp;c=444444", "offset 103")</f>
        <v>offset 103</v>
      </c>
    </row>
    <row r="15916" customFormat="false" ht="12.8" hidden="false" customHeight="false" outlineLevel="0" collapsed="false">
      <c r="A15916" s="0" t="s">
        <v>12</v>
      </c>
      <c r="B15916" s="0" t="n">
        <v>4495702</v>
      </c>
      <c r="C15916" s="0" t="n">
        <v>4495722</v>
      </c>
      <c r="D15916" s="0" t="s">
        <v>53035</v>
      </c>
      <c r="E15916" s="0" t="s">
        <v>89</v>
      </c>
      <c r="F15916" s="0" t="s">
        <v>90</v>
      </c>
      <c r="G15916" s="0" t="s">
        <v>26</v>
      </c>
      <c r="H15916" s="0" t="n">
        <v>14</v>
      </c>
      <c r="I15916" s="0" t="s">
        <v>53036</v>
      </c>
      <c r="J15916" s="0" t="s">
        <v>53037</v>
      </c>
      <c r="K15916" s="0" t="s">
        <v>53038</v>
      </c>
      <c r="L15916" s="0" t="str">
        <f aca="false">HYPERLINK("https://www.ncbi.nlm.nih.gov/nuccore/CP000304.1?report=graph&amp;tracks=[key:gene_model_track,Options:GeneOnly]&amp;mk=4495703:4495722|offset_14|00cc00,4495656:4495675|offset_61|444444,4495618:4495637|offset_99|444444,4495587:4495606|offset_130|444444&amp;v=4495502:4495806&amp;c=444444", "offset 14")</f>
        <v>offset 14</v>
      </c>
    </row>
    <row r="15917" customFormat="false" ht="12.8" hidden="false" customHeight="false" outlineLevel="0" collapsed="false">
      <c r="A15917" s="0" t="s">
        <v>12</v>
      </c>
      <c r="B15917" s="0" t="n">
        <v>4495655</v>
      </c>
      <c r="C15917" s="0" t="n">
        <v>4495675</v>
      </c>
      <c r="D15917" s="0" t="s">
        <v>53035</v>
      </c>
      <c r="E15917" s="0" t="s">
        <v>89</v>
      </c>
      <c r="F15917" s="0" t="s">
        <v>90</v>
      </c>
      <c r="G15917" s="0" t="s">
        <v>32</v>
      </c>
      <c r="H15917" s="0" t="n">
        <v>61</v>
      </c>
      <c r="I15917" s="0" t="s">
        <v>53039</v>
      </c>
      <c r="J15917" s="0" t="s">
        <v>53040</v>
      </c>
      <c r="K15917" s="0" t="s">
        <v>53041</v>
      </c>
      <c r="L15917" s="0" t="str">
        <f aca="false">HYPERLINK("https://www.ncbi.nlm.nih.gov/nuccore/CP000304.1?report=graph&amp;tracks=[key:gene_model_track,Options:GeneOnly]&amp;mk=4495703:4495722|offset_14|444444,4495656:4495675|offset_61|00cc00,4495618:4495637|offset_99|444444,4495587:4495606|offset_130|444444&amp;v=4495502:4495806&amp;c=444444", "offset 61")</f>
        <v>offset 61</v>
      </c>
    </row>
    <row r="15918" customFormat="false" ht="12.8" hidden="false" customHeight="false" outlineLevel="0" collapsed="false">
      <c r="A15918" s="0" t="s">
        <v>12</v>
      </c>
      <c r="B15918" s="0" t="n">
        <v>4495617</v>
      </c>
      <c r="C15918" s="0" t="n">
        <v>4495637</v>
      </c>
      <c r="D15918" s="0" t="s">
        <v>53035</v>
      </c>
      <c r="E15918" s="0" t="s">
        <v>89</v>
      </c>
      <c r="F15918" s="0" t="s">
        <v>90</v>
      </c>
      <c r="G15918" s="0" t="s">
        <v>26</v>
      </c>
      <c r="H15918" s="0" t="n">
        <v>99</v>
      </c>
      <c r="I15918" s="0" t="s">
        <v>53042</v>
      </c>
      <c r="J15918" s="0" t="s">
        <v>53043</v>
      </c>
      <c r="K15918" s="0" t="s">
        <v>53044</v>
      </c>
      <c r="L15918" s="0" t="str">
        <f aca="false">HYPERLINK("https://www.ncbi.nlm.nih.gov/nuccore/CP000304.1?report=graph&amp;tracks=[key:gene_model_track,Options:GeneOnly]&amp;mk=4495703:4495722|offset_14|444444,4495656:4495675|offset_61|444444,4495618:4495637|offset_99|00cc00,4495587:4495606|offset_130|444444&amp;v=4495502:4495806&amp;c=444444", "offset 99")</f>
        <v>offset 99</v>
      </c>
    </row>
    <row r="15919" customFormat="false" ht="12.8" hidden="false" customHeight="false" outlineLevel="0" collapsed="false">
      <c r="A15919" s="0" t="s">
        <v>12</v>
      </c>
      <c r="B15919" s="0" t="n">
        <v>4495586</v>
      </c>
      <c r="C15919" s="0" t="n">
        <v>4495606</v>
      </c>
      <c r="D15919" s="0" t="s">
        <v>53035</v>
      </c>
      <c r="E15919" s="0" t="s">
        <v>89</v>
      </c>
      <c r="F15919" s="0" t="s">
        <v>90</v>
      </c>
      <c r="G15919" s="0" t="s">
        <v>26</v>
      </c>
      <c r="H15919" s="0" t="n">
        <v>130</v>
      </c>
      <c r="I15919" s="0" t="s">
        <v>53045</v>
      </c>
      <c r="J15919" s="0" t="s">
        <v>53046</v>
      </c>
      <c r="K15919" s="0" t="s">
        <v>53047</v>
      </c>
      <c r="L15919" s="0" t="str">
        <f aca="false">HYPERLINK("https://www.ncbi.nlm.nih.gov/nuccore/CP000304.1?report=graph&amp;tracks=[key:gene_model_track,Options:GeneOnly]&amp;mk=4495703:4495722|offset_14|444444,4495656:4495675|offset_61|444444,4495618:4495637|offset_99|444444,4495587:4495606|offset_130|00cc00&amp;v=4495502:4495806&amp;c=444444", "offset 130")</f>
        <v>offset 130</v>
      </c>
    </row>
    <row r="15920" customFormat="false" ht="12.8" hidden="false" customHeight="false" outlineLevel="0" collapsed="false">
      <c r="A15920" s="0" t="s">
        <v>12</v>
      </c>
      <c r="B15920" s="0" t="n">
        <v>4497701</v>
      </c>
      <c r="C15920" s="0" t="n">
        <v>4497721</v>
      </c>
      <c r="D15920" s="0" t="s">
        <v>53048</v>
      </c>
      <c r="E15920" s="0" t="s">
        <v>89</v>
      </c>
      <c r="F15920" s="0" t="s">
        <v>90</v>
      </c>
      <c r="G15920" s="0" t="s">
        <v>36</v>
      </c>
      <c r="H15920" s="0" t="n">
        <v>0</v>
      </c>
      <c r="I15920" s="0" t="s">
        <v>53049</v>
      </c>
      <c r="J15920" s="0" t="s">
        <v>53050</v>
      </c>
      <c r="K15920" s="0" t="s">
        <v>53051</v>
      </c>
      <c r="L15920" s="0" t="str">
        <f aca="false">HYPERLINK("https://www.ncbi.nlm.nih.gov/nuccore/CP000304.1?report=graph&amp;tracks=[key:gene_model_track,Options:GeneOnly]&amp;mk=4497702:4497721|offset_0|00cc00,4497657:4497676|offset_45|444444,4497636:4497655|offset_66|444444,4497611:4497630|offset_91|444444&amp;v=4497501:4497830&amp;c=444444", "offset 0")</f>
        <v>offset 0</v>
      </c>
    </row>
    <row r="15921" customFormat="false" ht="12.8" hidden="false" customHeight="false" outlineLevel="0" collapsed="false">
      <c r="A15921" s="0" t="s">
        <v>12</v>
      </c>
      <c r="B15921" s="0" t="n">
        <v>4497656</v>
      </c>
      <c r="C15921" s="0" t="n">
        <v>4497676</v>
      </c>
      <c r="D15921" s="0" t="s">
        <v>53048</v>
      </c>
      <c r="E15921" s="0" t="s">
        <v>89</v>
      </c>
      <c r="F15921" s="0" t="s">
        <v>90</v>
      </c>
      <c r="G15921" s="0" t="s">
        <v>36</v>
      </c>
      <c r="H15921" s="0" t="n">
        <v>45</v>
      </c>
      <c r="I15921" s="0" t="s">
        <v>53052</v>
      </c>
      <c r="J15921" s="0" t="s">
        <v>53053</v>
      </c>
      <c r="K15921" s="0" t="s">
        <v>53054</v>
      </c>
      <c r="L15921" s="0" t="str">
        <f aca="false">HYPERLINK("https://www.ncbi.nlm.nih.gov/nuccore/CP000304.1?report=graph&amp;tracks=[key:gene_model_track,Options:GeneOnly]&amp;mk=4497702:4497721|offset_0|444444,4497657:4497676|offset_45|00cc00,4497636:4497655|offset_66|444444,4497611:4497630|offset_91|444444&amp;v=4497501:4497830&amp;c=444444", "offset 45")</f>
        <v>offset 45</v>
      </c>
    </row>
    <row r="15922" customFormat="false" ht="12.8" hidden="false" customHeight="false" outlineLevel="0" collapsed="false">
      <c r="A15922" s="0" t="s">
        <v>12</v>
      </c>
      <c r="B15922" s="0" t="n">
        <v>4497635</v>
      </c>
      <c r="C15922" s="0" t="n">
        <v>4497655</v>
      </c>
      <c r="D15922" s="0" t="s">
        <v>53048</v>
      </c>
      <c r="E15922" s="0" t="s">
        <v>89</v>
      </c>
      <c r="F15922" s="0" t="s">
        <v>90</v>
      </c>
      <c r="G15922" s="0" t="s">
        <v>16</v>
      </c>
      <c r="H15922" s="0" t="n">
        <v>66</v>
      </c>
      <c r="I15922" s="0" t="s">
        <v>53055</v>
      </c>
      <c r="J15922" s="0" t="s">
        <v>53056</v>
      </c>
      <c r="K15922" s="0" t="s">
        <v>53057</v>
      </c>
      <c r="L15922" s="0" t="str">
        <f aca="false">HYPERLINK("https://www.ncbi.nlm.nih.gov/nuccore/CP000304.1?report=graph&amp;tracks=[key:gene_model_track,Options:GeneOnly]&amp;mk=4497702:4497721|offset_0|444444,4497657:4497676|offset_45|444444,4497636:4497655|offset_66|00cc00,4497611:4497630|offset_91|444444&amp;v=4497501:4497830&amp;c=444444", "offset 66")</f>
        <v>offset 66</v>
      </c>
    </row>
    <row r="15923" customFormat="false" ht="12.8" hidden="false" customHeight="false" outlineLevel="0" collapsed="false">
      <c r="A15923" s="0" t="s">
        <v>12</v>
      </c>
      <c r="B15923" s="0" t="n">
        <v>4497610</v>
      </c>
      <c r="C15923" s="0" t="n">
        <v>4497630</v>
      </c>
      <c r="D15923" s="0" t="s">
        <v>53048</v>
      </c>
      <c r="E15923" s="0" t="s">
        <v>89</v>
      </c>
      <c r="F15923" s="0" t="s">
        <v>90</v>
      </c>
      <c r="G15923" s="0" t="s">
        <v>36</v>
      </c>
      <c r="H15923" s="0" t="n">
        <v>91</v>
      </c>
      <c r="I15923" s="0" t="s">
        <v>53058</v>
      </c>
      <c r="J15923" s="0" t="s">
        <v>53059</v>
      </c>
      <c r="K15923" s="0" t="s">
        <v>53060</v>
      </c>
      <c r="L15923" s="0" t="str">
        <f aca="false">HYPERLINK("https://www.ncbi.nlm.nih.gov/nuccore/CP000304.1?report=graph&amp;tracks=[key:gene_model_track,Options:GeneOnly]&amp;mk=4497702:4497721|offset_0|444444,4497657:4497676|offset_45|444444,4497636:4497655|offset_66|444444,4497611:4497630|offset_91|00cc00&amp;v=4497501:4497830&amp;c=444444", "offset 91")</f>
        <v>offset 91</v>
      </c>
    </row>
    <row r="15924" customFormat="false" ht="12.8" hidden="false" customHeight="false" outlineLevel="0" collapsed="false">
      <c r="A15924" s="0" t="s">
        <v>12</v>
      </c>
      <c r="B15924" s="0" t="n">
        <v>4498166</v>
      </c>
      <c r="C15924" s="0" t="n">
        <v>4498186</v>
      </c>
      <c r="D15924" s="0" t="s">
        <v>53061</v>
      </c>
      <c r="E15924" s="0" t="s">
        <v>89</v>
      </c>
      <c r="F15924" s="0" t="s">
        <v>15</v>
      </c>
      <c r="G15924" s="0" t="s">
        <v>36</v>
      </c>
      <c r="H15924" s="0" t="n">
        <v>23</v>
      </c>
      <c r="I15924" s="0" t="s">
        <v>53062</v>
      </c>
      <c r="J15924" s="0" t="s">
        <v>53063</v>
      </c>
      <c r="K15924" s="0" t="s">
        <v>53064</v>
      </c>
      <c r="L15924" s="0" t="str">
        <f aca="false">HYPERLINK("https://www.ncbi.nlm.nih.gov/nuccore/CP000304.1?report=graph&amp;tracks=[key:gene_model_track,Options:GeneOnly]&amp;mk=4498167:4498186|offset_23|00cc00,4498208:4498227|offset_64|444444,4498228:4498247|offset_84|444444,4498248:4498267|offset_104|444444&amp;v=4497966:4498467&amp;c=444444", "offset 23")</f>
        <v>offset 23</v>
      </c>
    </row>
    <row r="15925" customFormat="false" ht="12.8" hidden="false" customHeight="false" outlineLevel="0" collapsed="false">
      <c r="A15925" s="0" t="s">
        <v>12</v>
      </c>
      <c r="B15925" s="0" t="n">
        <v>4498207</v>
      </c>
      <c r="C15925" s="0" t="n">
        <v>4498227</v>
      </c>
      <c r="D15925" s="0" t="s">
        <v>53061</v>
      </c>
      <c r="E15925" s="0" t="s">
        <v>89</v>
      </c>
      <c r="F15925" s="0" t="s">
        <v>15</v>
      </c>
      <c r="G15925" s="0" t="s">
        <v>16</v>
      </c>
      <c r="H15925" s="0" t="n">
        <v>64</v>
      </c>
      <c r="I15925" s="0" t="s">
        <v>53065</v>
      </c>
      <c r="J15925" s="0" t="s">
        <v>53066</v>
      </c>
      <c r="K15925" s="0" t="s">
        <v>53067</v>
      </c>
      <c r="L15925" s="0" t="str">
        <f aca="false">HYPERLINK("https://www.ncbi.nlm.nih.gov/nuccore/CP000304.1?report=graph&amp;tracks=[key:gene_model_track,Options:GeneOnly]&amp;mk=4498167:4498186|offset_23|444444,4498208:4498227|offset_64|00cc00,4498228:4498247|offset_84|444444,4498248:4498267|offset_104|444444&amp;v=4497966:4498467&amp;c=444444", "offset 64")</f>
        <v>offset 64</v>
      </c>
    </row>
    <row r="15926" customFormat="false" ht="12.8" hidden="false" customHeight="false" outlineLevel="0" collapsed="false">
      <c r="A15926" s="0" t="s">
        <v>12</v>
      </c>
      <c r="B15926" s="0" t="n">
        <v>4498227</v>
      </c>
      <c r="C15926" s="0" t="n">
        <v>4498247</v>
      </c>
      <c r="D15926" s="0" t="s">
        <v>53061</v>
      </c>
      <c r="E15926" s="0" t="s">
        <v>89</v>
      </c>
      <c r="F15926" s="0" t="s">
        <v>15</v>
      </c>
      <c r="G15926" s="0" t="s">
        <v>32</v>
      </c>
      <c r="H15926" s="0" t="n">
        <v>84</v>
      </c>
      <c r="I15926" s="0" t="s">
        <v>53068</v>
      </c>
      <c r="J15926" s="0" t="s">
        <v>53069</v>
      </c>
      <c r="K15926" s="0" t="s">
        <v>53070</v>
      </c>
      <c r="L15926" s="0" t="str">
        <f aca="false">HYPERLINK("https://www.ncbi.nlm.nih.gov/nuccore/CP000304.1?report=graph&amp;tracks=[key:gene_model_track,Options:GeneOnly]&amp;mk=4498167:4498186|offset_23|444444,4498208:4498227|offset_64|444444,4498228:4498247|offset_84|00cc00,4498248:4498267|offset_104|444444&amp;v=4497966:4498467&amp;c=444444", "offset 84")</f>
        <v>offset 84</v>
      </c>
    </row>
    <row r="15927" customFormat="false" ht="12.8" hidden="false" customHeight="false" outlineLevel="0" collapsed="false">
      <c r="A15927" s="0" t="s">
        <v>12</v>
      </c>
      <c r="B15927" s="0" t="n">
        <v>4498247</v>
      </c>
      <c r="C15927" s="0" t="n">
        <v>4498267</v>
      </c>
      <c r="D15927" s="0" t="s">
        <v>53061</v>
      </c>
      <c r="E15927" s="0" t="s">
        <v>89</v>
      </c>
      <c r="F15927" s="0" t="s">
        <v>15</v>
      </c>
      <c r="G15927" s="0" t="s">
        <v>26</v>
      </c>
      <c r="H15927" s="0" t="n">
        <v>104</v>
      </c>
      <c r="I15927" s="0" t="s">
        <v>53071</v>
      </c>
      <c r="J15927" s="0" t="s">
        <v>53072</v>
      </c>
      <c r="K15927" s="0" t="s">
        <v>53073</v>
      </c>
      <c r="L15927" s="0" t="str">
        <f aca="false">HYPERLINK("https://www.ncbi.nlm.nih.gov/nuccore/CP000304.1?report=graph&amp;tracks=[key:gene_model_track,Options:GeneOnly]&amp;mk=4498167:4498186|offset_23|444444,4498208:4498227|offset_64|444444,4498228:4498247|offset_84|444444,4498248:4498267|offset_104|00cc00&amp;v=4497966:4498467&amp;c=444444", "offset 104")</f>
        <v>offset 104</v>
      </c>
    </row>
    <row r="15928" customFormat="false" ht="12.8" hidden="false" customHeight="false" outlineLevel="0" collapsed="false">
      <c r="A15928" s="0" t="s">
        <v>12</v>
      </c>
      <c r="B15928" s="0" t="n">
        <v>4500017</v>
      </c>
      <c r="C15928" s="0" t="n">
        <v>4500037</v>
      </c>
      <c r="D15928" s="0" t="s">
        <v>53074</v>
      </c>
      <c r="E15928" s="0" t="s">
        <v>89</v>
      </c>
      <c r="F15928" s="0" t="s">
        <v>90</v>
      </c>
      <c r="G15928" s="0" t="s">
        <v>16</v>
      </c>
      <c r="H15928" s="0" t="n">
        <v>10</v>
      </c>
      <c r="I15928" s="0" t="s">
        <v>53075</v>
      </c>
      <c r="J15928" s="0" t="s">
        <v>53076</v>
      </c>
      <c r="K15928" s="0" t="s">
        <v>53077</v>
      </c>
      <c r="L15928" s="0" t="str">
        <f aca="false">HYPERLINK("https://www.ncbi.nlm.nih.gov/nuccore/CP000304.1?report=graph&amp;tracks=[key:gene_model_track,Options:GeneOnly]&amp;mk=4500018:4500037|offset_10|00cc00,4499992:4500011|offset_36|444444,4499967:4499986|offset_61|444444,4499946:4499965|offset_82|444444&amp;v=4499817:4500165&amp;c=444444", "offset 10")</f>
        <v>offset 10</v>
      </c>
    </row>
    <row r="15929" customFormat="false" ht="12.8" hidden="false" customHeight="false" outlineLevel="0" collapsed="false">
      <c r="A15929" s="0" t="s">
        <v>12</v>
      </c>
      <c r="B15929" s="0" t="n">
        <v>4499991</v>
      </c>
      <c r="C15929" s="0" t="n">
        <v>4500011</v>
      </c>
      <c r="D15929" s="0" t="s">
        <v>53074</v>
      </c>
      <c r="E15929" s="0" t="s">
        <v>89</v>
      </c>
      <c r="F15929" s="0" t="s">
        <v>90</v>
      </c>
      <c r="G15929" s="0" t="s">
        <v>16</v>
      </c>
      <c r="H15929" s="0" t="n">
        <v>36</v>
      </c>
      <c r="I15929" s="0" t="s">
        <v>53078</v>
      </c>
      <c r="J15929" s="0" t="s">
        <v>53079</v>
      </c>
      <c r="K15929" s="0" t="s">
        <v>53080</v>
      </c>
      <c r="L15929" s="0" t="str">
        <f aca="false">HYPERLINK("https://www.ncbi.nlm.nih.gov/nuccore/CP000304.1?report=graph&amp;tracks=[key:gene_model_track,Options:GeneOnly]&amp;mk=4500018:4500037|offset_10|444444,4499992:4500011|offset_36|00cc00,4499967:4499986|offset_61|444444,4499946:4499965|offset_82|444444&amp;v=4499817:4500165&amp;c=444444", "offset 36")</f>
        <v>offset 36</v>
      </c>
    </row>
    <row r="15930" customFormat="false" ht="12.8" hidden="false" customHeight="false" outlineLevel="0" collapsed="false">
      <c r="A15930" s="0" t="s">
        <v>12</v>
      </c>
      <c r="B15930" s="0" t="n">
        <v>4499966</v>
      </c>
      <c r="C15930" s="0" t="n">
        <v>4499986</v>
      </c>
      <c r="D15930" s="0" t="s">
        <v>53074</v>
      </c>
      <c r="E15930" s="0" t="s">
        <v>89</v>
      </c>
      <c r="F15930" s="0" t="s">
        <v>90</v>
      </c>
      <c r="G15930" s="0" t="s">
        <v>26</v>
      </c>
      <c r="H15930" s="0" t="n">
        <v>61</v>
      </c>
      <c r="I15930" s="0" t="s">
        <v>53081</v>
      </c>
      <c r="J15930" s="0" t="s">
        <v>53082</v>
      </c>
      <c r="K15930" s="0" t="s">
        <v>53083</v>
      </c>
      <c r="L15930" s="0" t="str">
        <f aca="false">HYPERLINK("https://www.ncbi.nlm.nih.gov/nuccore/CP000304.1?report=graph&amp;tracks=[key:gene_model_track,Options:GeneOnly]&amp;mk=4500018:4500037|offset_10|444444,4499992:4500011|offset_36|444444,4499967:4499986|offset_61|00cc00,4499946:4499965|offset_82|444444&amp;v=4499817:4500165&amp;c=444444", "offset 61")</f>
        <v>offset 61</v>
      </c>
    </row>
    <row r="15931" customFormat="false" ht="12.8" hidden="false" customHeight="false" outlineLevel="0" collapsed="false">
      <c r="A15931" s="0" t="s">
        <v>12</v>
      </c>
      <c r="B15931" s="0" t="n">
        <v>4499945</v>
      </c>
      <c r="C15931" s="0" t="n">
        <v>4499965</v>
      </c>
      <c r="D15931" s="0" t="s">
        <v>53074</v>
      </c>
      <c r="E15931" s="0" t="s">
        <v>89</v>
      </c>
      <c r="F15931" s="0" t="s">
        <v>90</v>
      </c>
      <c r="G15931" s="0" t="s">
        <v>16</v>
      </c>
      <c r="H15931" s="0" t="n">
        <v>82</v>
      </c>
      <c r="I15931" s="0" t="s">
        <v>53084</v>
      </c>
      <c r="J15931" s="0" t="s">
        <v>53085</v>
      </c>
      <c r="K15931" s="0" t="s">
        <v>53086</v>
      </c>
      <c r="L15931" s="0" t="str">
        <f aca="false">HYPERLINK("https://www.ncbi.nlm.nih.gov/nuccore/CP000304.1?report=graph&amp;tracks=[key:gene_model_track,Options:GeneOnly]&amp;mk=4500018:4500037|offset_10|444444,4499992:4500011|offset_36|444444,4499967:4499986|offset_61|444444,4499946:4499965|offset_82|00cc00&amp;v=4499817:4500165&amp;c=444444", "offset 82")</f>
        <v>offset 82</v>
      </c>
    </row>
    <row r="15932" customFormat="false" ht="12.8" hidden="false" customHeight="false" outlineLevel="0" collapsed="false">
      <c r="A15932" s="0" t="s">
        <v>12</v>
      </c>
      <c r="B15932" s="0" t="n">
        <v>4500659</v>
      </c>
      <c r="C15932" s="0" t="n">
        <v>4500679</v>
      </c>
      <c r="D15932" s="0" t="s">
        <v>53087</v>
      </c>
      <c r="E15932" s="0" t="s">
        <v>89</v>
      </c>
      <c r="F15932" s="0" t="s">
        <v>90</v>
      </c>
      <c r="G15932" s="0" t="s">
        <v>32</v>
      </c>
      <c r="H15932" s="0" t="n">
        <v>37</v>
      </c>
      <c r="I15932" s="0" t="s">
        <v>53088</v>
      </c>
      <c r="J15932" s="0" t="s">
        <v>53089</v>
      </c>
      <c r="K15932" s="0" t="s">
        <v>53090</v>
      </c>
      <c r="L15932" s="0" t="str">
        <f aca="false">HYPERLINK("https://www.ncbi.nlm.nih.gov/nuccore/CP000304.1?report=graph&amp;tracks=[key:gene_model_track,Options:GeneOnly]&amp;mk=4500660:4500679|offset_37|00cc00,4500638:4500657|offset_59|444444,4500612:4500631|offset_85|444444,4500574:4500593|offset_123|444444&amp;v=4500459:4500793&amp;c=444444", "offset 37")</f>
        <v>offset 37</v>
      </c>
    </row>
    <row r="15933" customFormat="false" ht="12.8" hidden="false" customHeight="false" outlineLevel="0" collapsed="false">
      <c r="A15933" s="0" t="s">
        <v>12</v>
      </c>
      <c r="B15933" s="0" t="n">
        <v>4500637</v>
      </c>
      <c r="C15933" s="0" t="n">
        <v>4500657</v>
      </c>
      <c r="D15933" s="0" t="s">
        <v>53087</v>
      </c>
      <c r="E15933" s="0" t="s">
        <v>89</v>
      </c>
      <c r="F15933" s="0" t="s">
        <v>90</v>
      </c>
      <c r="G15933" s="0" t="s">
        <v>32</v>
      </c>
      <c r="H15933" s="0" t="n">
        <v>59</v>
      </c>
      <c r="I15933" s="0" t="s">
        <v>53091</v>
      </c>
      <c r="J15933" s="0" t="s">
        <v>53092</v>
      </c>
      <c r="K15933" s="0" t="s">
        <v>53093</v>
      </c>
      <c r="L15933" s="0" t="str">
        <f aca="false">HYPERLINK("https://www.ncbi.nlm.nih.gov/nuccore/CP000304.1?report=graph&amp;tracks=[key:gene_model_track,Options:GeneOnly]&amp;mk=4500660:4500679|offset_37|444444,4500638:4500657|offset_59|00cc00,4500612:4500631|offset_85|444444,4500574:4500593|offset_123|444444&amp;v=4500459:4500793&amp;c=444444", "offset 59")</f>
        <v>offset 59</v>
      </c>
    </row>
    <row r="15934" customFormat="false" ht="12.8" hidden="false" customHeight="false" outlineLevel="0" collapsed="false">
      <c r="A15934" s="0" t="s">
        <v>12</v>
      </c>
      <c r="B15934" s="0" t="n">
        <v>4500611</v>
      </c>
      <c r="C15934" s="0" t="n">
        <v>4500631</v>
      </c>
      <c r="D15934" s="0" t="s">
        <v>53087</v>
      </c>
      <c r="E15934" s="0" t="s">
        <v>89</v>
      </c>
      <c r="F15934" s="0" t="s">
        <v>90</v>
      </c>
      <c r="G15934" s="0" t="s">
        <v>32</v>
      </c>
      <c r="H15934" s="0" t="n">
        <v>85</v>
      </c>
      <c r="I15934" s="0" t="s">
        <v>53094</v>
      </c>
      <c r="J15934" s="0" t="s">
        <v>53095</v>
      </c>
      <c r="K15934" s="0" t="s">
        <v>53096</v>
      </c>
      <c r="L15934" s="0" t="str">
        <f aca="false">HYPERLINK("https://www.ncbi.nlm.nih.gov/nuccore/CP000304.1?report=graph&amp;tracks=[key:gene_model_track,Options:GeneOnly]&amp;mk=4500660:4500679|offset_37|444444,4500638:4500657|offset_59|444444,4500612:4500631|offset_85|00cc00,4500574:4500593|offset_123|444444&amp;v=4500459:4500793&amp;c=444444", "offset 85")</f>
        <v>offset 85</v>
      </c>
    </row>
    <row r="15935" customFormat="false" ht="12.8" hidden="false" customHeight="false" outlineLevel="0" collapsed="false">
      <c r="A15935" s="0" t="s">
        <v>12</v>
      </c>
      <c r="B15935" s="0" t="n">
        <v>4500573</v>
      </c>
      <c r="C15935" s="0" t="n">
        <v>4500593</v>
      </c>
      <c r="D15935" s="0" t="s">
        <v>53087</v>
      </c>
      <c r="E15935" s="0" t="s">
        <v>89</v>
      </c>
      <c r="F15935" s="0" t="s">
        <v>90</v>
      </c>
      <c r="G15935" s="0" t="s">
        <v>36</v>
      </c>
      <c r="H15935" s="0" t="n">
        <v>123</v>
      </c>
      <c r="I15935" s="0" t="s">
        <v>53097</v>
      </c>
      <c r="J15935" s="0" t="s">
        <v>53098</v>
      </c>
      <c r="K15935" s="0" t="s">
        <v>53099</v>
      </c>
      <c r="L15935" s="0" t="str">
        <f aca="false">HYPERLINK("https://www.ncbi.nlm.nih.gov/nuccore/CP000304.1?report=graph&amp;tracks=[key:gene_model_track,Options:GeneOnly]&amp;mk=4500660:4500679|offset_37|444444,4500638:4500657|offset_59|444444,4500612:4500631|offset_85|444444,4500574:4500593|offset_123|00cc00&amp;v=4500459:4500793&amp;c=444444", "offset 123")</f>
        <v>offset 123</v>
      </c>
    </row>
    <row r="15936" customFormat="false" ht="12.8" hidden="false" customHeight="false" outlineLevel="0" collapsed="false">
      <c r="A15936" s="0" t="s">
        <v>12</v>
      </c>
      <c r="B15936" s="0" t="n">
        <v>4501072</v>
      </c>
      <c r="C15936" s="0" t="n">
        <v>4501092</v>
      </c>
      <c r="D15936" s="0" t="s">
        <v>53100</v>
      </c>
      <c r="E15936" s="0" t="s">
        <v>89</v>
      </c>
      <c r="F15936" s="0" t="s">
        <v>15</v>
      </c>
      <c r="G15936" s="0" t="s">
        <v>26</v>
      </c>
      <c r="H15936" s="0" t="n">
        <v>67</v>
      </c>
      <c r="I15936" s="0" t="s">
        <v>53101</v>
      </c>
      <c r="J15936" s="0" t="s">
        <v>53102</v>
      </c>
      <c r="K15936" s="0" t="s">
        <v>53103</v>
      </c>
      <c r="L15936" s="0" t="str">
        <f aca="false">HYPERLINK("https://www.ncbi.nlm.nih.gov/nuccore/CP000304.1?report=graph&amp;tracks=[key:gene_model_track,Options:GeneOnly]&amp;mk=4501073:4501092|offset_67|00cc00,4501172:4501191|offset_166|444444,4501211:4501230|offset_205|444444,4501256:4501275|offset_250|444444&amp;v=4500872:4501475&amp;c=444444", "offset 67")</f>
        <v>offset 67</v>
      </c>
    </row>
    <row r="15937" customFormat="false" ht="12.8" hidden="false" customHeight="false" outlineLevel="0" collapsed="false">
      <c r="A15937" s="0" t="s">
        <v>12</v>
      </c>
      <c r="B15937" s="0" t="n">
        <v>4501171</v>
      </c>
      <c r="C15937" s="0" t="n">
        <v>4501191</v>
      </c>
      <c r="D15937" s="0" t="s">
        <v>53100</v>
      </c>
      <c r="E15937" s="0" t="s">
        <v>89</v>
      </c>
      <c r="F15937" s="0" t="s">
        <v>15</v>
      </c>
      <c r="G15937" s="0" t="s">
        <v>26</v>
      </c>
      <c r="H15937" s="0" t="n">
        <v>166</v>
      </c>
      <c r="I15937" s="0" t="s">
        <v>53104</v>
      </c>
      <c r="J15937" s="0" t="s">
        <v>53105</v>
      </c>
      <c r="K15937" s="0" t="s">
        <v>53106</v>
      </c>
      <c r="L15937" s="0" t="str">
        <f aca="false">HYPERLINK("https://www.ncbi.nlm.nih.gov/nuccore/CP000304.1?report=graph&amp;tracks=[key:gene_model_track,Options:GeneOnly]&amp;mk=4501073:4501092|offset_67|444444,4501172:4501191|offset_166|00cc00,4501211:4501230|offset_205|444444,4501256:4501275|offset_250|444444&amp;v=4500872:4501475&amp;c=444444", "offset 166")</f>
        <v>offset 166</v>
      </c>
    </row>
    <row r="15938" customFormat="false" ht="12.8" hidden="false" customHeight="false" outlineLevel="0" collapsed="false">
      <c r="A15938" s="0" t="s">
        <v>12</v>
      </c>
      <c r="B15938" s="0" t="n">
        <v>4501210</v>
      </c>
      <c r="C15938" s="0" t="n">
        <v>4501230</v>
      </c>
      <c r="D15938" s="0" t="s">
        <v>53100</v>
      </c>
      <c r="E15938" s="0" t="s">
        <v>89</v>
      </c>
      <c r="F15938" s="0" t="s">
        <v>15</v>
      </c>
      <c r="G15938" s="0" t="s">
        <v>16</v>
      </c>
      <c r="H15938" s="0" t="n">
        <v>205</v>
      </c>
      <c r="I15938" s="0" t="s">
        <v>53107</v>
      </c>
      <c r="J15938" s="0" t="s">
        <v>53108</v>
      </c>
      <c r="K15938" s="0" t="s">
        <v>53109</v>
      </c>
      <c r="L15938" s="0" t="str">
        <f aca="false">HYPERLINK("https://www.ncbi.nlm.nih.gov/nuccore/CP000304.1?report=graph&amp;tracks=[key:gene_model_track,Options:GeneOnly]&amp;mk=4501073:4501092|offset_67|444444,4501172:4501191|offset_166|444444,4501211:4501230|offset_205|00cc00,4501256:4501275|offset_250|444444&amp;v=4500872:4501475&amp;c=444444", "offset 205")</f>
        <v>offset 205</v>
      </c>
    </row>
    <row r="15939" customFormat="false" ht="12.8" hidden="false" customHeight="false" outlineLevel="0" collapsed="false">
      <c r="A15939" s="0" t="s">
        <v>12</v>
      </c>
      <c r="B15939" s="0" t="n">
        <v>4501255</v>
      </c>
      <c r="C15939" s="0" t="n">
        <v>4501275</v>
      </c>
      <c r="D15939" s="0" t="s">
        <v>53100</v>
      </c>
      <c r="E15939" s="0" t="s">
        <v>89</v>
      </c>
      <c r="F15939" s="0" t="s">
        <v>15</v>
      </c>
      <c r="G15939" s="0" t="s">
        <v>16</v>
      </c>
      <c r="H15939" s="0" t="n">
        <v>250</v>
      </c>
      <c r="I15939" s="0" t="s">
        <v>53110</v>
      </c>
      <c r="J15939" s="0" t="s">
        <v>53111</v>
      </c>
      <c r="K15939" s="0" t="s">
        <v>53112</v>
      </c>
      <c r="L15939" s="0" t="str">
        <f aca="false">HYPERLINK("https://www.ncbi.nlm.nih.gov/nuccore/CP000304.1?report=graph&amp;tracks=[key:gene_model_track,Options:GeneOnly]&amp;mk=4501073:4501092|offset_67|444444,4501172:4501191|offset_166|444444,4501211:4501230|offset_205|444444,4501256:4501275|offset_250|00cc00&amp;v=4500872:4501475&amp;c=444444", "offset 250")</f>
        <v>offset 250</v>
      </c>
    </row>
    <row r="15940" customFormat="false" ht="12.8" hidden="false" customHeight="false" outlineLevel="0" collapsed="false">
      <c r="A15940" s="0" t="s">
        <v>12</v>
      </c>
      <c r="B15940" s="0" t="n">
        <v>4501668</v>
      </c>
      <c r="C15940" s="0" t="n">
        <v>4501688</v>
      </c>
      <c r="D15940" s="0" t="s">
        <v>53113</v>
      </c>
      <c r="E15940" s="0" t="s">
        <v>89</v>
      </c>
      <c r="F15940" s="0" t="s">
        <v>15</v>
      </c>
      <c r="G15940" s="0" t="s">
        <v>36</v>
      </c>
      <c r="H15940" s="0" t="n">
        <v>11</v>
      </c>
      <c r="I15940" s="0" t="s">
        <v>53114</v>
      </c>
      <c r="J15940" s="0" t="s">
        <v>53115</v>
      </c>
      <c r="K15940" s="0" t="s">
        <v>53116</v>
      </c>
      <c r="L15940" s="0" t="str">
        <f aca="false">HYPERLINK("https://www.ncbi.nlm.nih.gov/nuccore/CP000304.1?report=graph&amp;tracks=[key:gene_model_track,Options:GeneOnly]&amp;mk=4501669:4501688|offset_11|00cc00,4501704:4501723|offset_46|444444,4501746:4501765|offset_88|444444,4501767:4501786|offset_109|444444&amp;v=4501468:4501986&amp;c=444444", "offset 11")</f>
        <v>offset 11</v>
      </c>
    </row>
    <row r="15941" customFormat="false" ht="12.8" hidden="false" customHeight="false" outlineLevel="0" collapsed="false">
      <c r="A15941" s="0" t="s">
        <v>12</v>
      </c>
      <c r="B15941" s="0" t="n">
        <v>4501703</v>
      </c>
      <c r="C15941" s="0" t="n">
        <v>4501723</v>
      </c>
      <c r="D15941" s="0" t="s">
        <v>53113</v>
      </c>
      <c r="E15941" s="0" t="s">
        <v>89</v>
      </c>
      <c r="F15941" s="0" t="s">
        <v>15</v>
      </c>
      <c r="G15941" s="0" t="s">
        <v>26</v>
      </c>
      <c r="H15941" s="0" t="n">
        <v>46</v>
      </c>
      <c r="I15941" s="0" t="s">
        <v>53117</v>
      </c>
      <c r="J15941" s="0" t="s">
        <v>53118</v>
      </c>
      <c r="K15941" s="0" t="s">
        <v>53119</v>
      </c>
      <c r="L15941" s="0" t="str">
        <f aca="false">HYPERLINK("https://www.ncbi.nlm.nih.gov/nuccore/CP000304.1?report=graph&amp;tracks=[key:gene_model_track,Options:GeneOnly]&amp;mk=4501669:4501688|offset_11|444444,4501704:4501723|offset_46|00cc00,4501746:4501765|offset_88|444444,4501767:4501786|offset_109|444444&amp;v=4501468:4501986&amp;c=444444", "offset 46")</f>
        <v>offset 46</v>
      </c>
    </row>
    <row r="15942" customFormat="false" ht="12.8" hidden="false" customHeight="false" outlineLevel="0" collapsed="false">
      <c r="A15942" s="0" t="s">
        <v>12</v>
      </c>
      <c r="B15942" s="0" t="n">
        <v>4501745</v>
      </c>
      <c r="C15942" s="0" t="n">
        <v>4501765</v>
      </c>
      <c r="D15942" s="0" t="s">
        <v>53113</v>
      </c>
      <c r="E15942" s="0" t="s">
        <v>89</v>
      </c>
      <c r="F15942" s="0" t="s">
        <v>15</v>
      </c>
      <c r="G15942" s="0" t="s">
        <v>16</v>
      </c>
      <c r="H15942" s="0" t="n">
        <v>88</v>
      </c>
      <c r="I15942" s="0" t="s">
        <v>53120</v>
      </c>
      <c r="J15942" s="0" t="s">
        <v>53121</v>
      </c>
      <c r="K15942" s="0" t="s">
        <v>53122</v>
      </c>
      <c r="L15942" s="0" t="str">
        <f aca="false">HYPERLINK("https://www.ncbi.nlm.nih.gov/nuccore/CP000304.1?report=graph&amp;tracks=[key:gene_model_track,Options:GeneOnly]&amp;mk=4501669:4501688|offset_11|444444,4501704:4501723|offset_46|444444,4501746:4501765|offset_88|00cc00,4501767:4501786|offset_109|444444&amp;v=4501468:4501986&amp;c=444444", "offset 88")</f>
        <v>offset 88</v>
      </c>
    </row>
    <row r="15943" customFormat="false" ht="12.8" hidden="false" customHeight="false" outlineLevel="0" collapsed="false">
      <c r="A15943" s="0" t="s">
        <v>12</v>
      </c>
      <c r="B15943" s="0" t="n">
        <v>4501766</v>
      </c>
      <c r="C15943" s="0" t="n">
        <v>4501786</v>
      </c>
      <c r="D15943" s="0" t="s">
        <v>53113</v>
      </c>
      <c r="E15943" s="0" t="s">
        <v>89</v>
      </c>
      <c r="F15943" s="0" t="s">
        <v>15</v>
      </c>
      <c r="G15943" s="0" t="s">
        <v>26</v>
      </c>
      <c r="H15943" s="0" t="n">
        <v>109</v>
      </c>
      <c r="I15943" s="0" t="s">
        <v>53123</v>
      </c>
      <c r="J15943" s="0" t="s">
        <v>53124</v>
      </c>
      <c r="K15943" s="0" t="s">
        <v>53125</v>
      </c>
      <c r="L15943" s="0" t="str">
        <f aca="false">HYPERLINK("https://www.ncbi.nlm.nih.gov/nuccore/CP000304.1?report=graph&amp;tracks=[key:gene_model_track,Options:GeneOnly]&amp;mk=4501669:4501688|offset_11|444444,4501704:4501723|offset_46|444444,4501746:4501765|offset_88|444444,4501767:4501786|offset_109|00cc00&amp;v=4501468:4501986&amp;c=444444", "offset 109")</f>
        <v>offset 109</v>
      </c>
    </row>
    <row r="15944" customFormat="false" ht="12.8" hidden="false" customHeight="false" outlineLevel="0" collapsed="false">
      <c r="A15944" s="0" t="s">
        <v>12</v>
      </c>
      <c r="B15944" s="0" t="n">
        <v>4503848</v>
      </c>
      <c r="C15944" s="0" t="n">
        <v>4503868</v>
      </c>
      <c r="D15944" s="0" t="s">
        <v>53126</v>
      </c>
      <c r="E15944" s="0" t="s">
        <v>89</v>
      </c>
      <c r="F15944" s="0" t="s">
        <v>90</v>
      </c>
      <c r="G15944" s="0" t="s">
        <v>32</v>
      </c>
      <c r="H15944" s="0" t="n">
        <v>1</v>
      </c>
      <c r="I15944" s="0" t="s">
        <v>53127</v>
      </c>
      <c r="J15944" s="0" t="s">
        <v>53128</v>
      </c>
      <c r="K15944" s="0" t="s">
        <v>53129</v>
      </c>
      <c r="L15944" s="0" t="str">
        <f aca="false">HYPERLINK("https://www.ncbi.nlm.nih.gov/nuccore/CP000304.1?report=graph&amp;tracks=[key:gene_model_track,Options:GeneOnly]&amp;mk=4503849:4503868|offset_1|00cc00,4503828:4503847|offset_22|444444,4503798:4503817|offset_52|444444,4503777:4503796|offset_73|444444&amp;v=4503648:4503996&amp;c=444444", "offset 1")</f>
        <v>offset 1</v>
      </c>
    </row>
    <row r="15945" customFormat="false" ht="12.8" hidden="false" customHeight="false" outlineLevel="0" collapsed="false">
      <c r="A15945" s="0" t="s">
        <v>12</v>
      </c>
      <c r="B15945" s="0" t="n">
        <v>4503827</v>
      </c>
      <c r="C15945" s="0" t="n">
        <v>4503847</v>
      </c>
      <c r="D15945" s="0" t="s">
        <v>53126</v>
      </c>
      <c r="E15945" s="0" t="s">
        <v>89</v>
      </c>
      <c r="F15945" s="0" t="s">
        <v>90</v>
      </c>
      <c r="G15945" s="0" t="s">
        <v>16</v>
      </c>
      <c r="H15945" s="0" t="n">
        <v>22</v>
      </c>
      <c r="I15945" s="0" t="s">
        <v>53130</v>
      </c>
      <c r="J15945" s="0" t="s">
        <v>53131</v>
      </c>
      <c r="K15945" s="0" t="s">
        <v>53132</v>
      </c>
      <c r="L15945" s="0" t="str">
        <f aca="false">HYPERLINK("https://www.ncbi.nlm.nih.gov/nuccore/CP000304.1?report=graph&amp;tracks=[key:gene_model_track,Options:GeneOnly]&amp;mk=4503849:4503868|offset_1|444444,4503828:4503847|offset_22|00cc00,4503798:4503817|offset_52|444444,4503777:4503796|offset_73|444444&amp;v=4503648:4503996&amp;c=444444", "offset 22")</f>
        <v>offset 22</v>
      </c>
    </row>
    <row r="15946" customFormat="false" ht="12.8" hidden="false" customHeight="false" outlineLevel="0" collapsed="false">
      <c r="A15946" s="0" t="s">
        <v>12</v>
      </c>
      <c r="B15946" s="0" t="n">
        <v>4503797</v>
      </c>
      <c r="C15946" s="0" t="n">
        <v>4503817</v>
      </c>
      <c r="D15946" s="0" t="s">
        <v>53126</v>
      </c>
      <c r="E15946" s="0" t="s">
        <v>89</v>
      </c>
      <c r="F15946" s="0" t="s">
        <v>90</v>
      </c>
      <c r="G15946" s="0" t="s">
        <v>16</v>
      </c>
      <c r="H15946" s="0" t="n">
        <v>52</v>
      </c>
      <c r="I15946" s="0" t="s">
        <v>53133</v>
      </c>
      <c r="J15946" s="0" t="s">
        <v>53134</v>
      </c>
      <c r="K15946" s="0" t="s">
        <v>53135</v>
      </c>
      <c r="L15946" s="0" t="str">
        <f aca="false">HYPERLINK("https://www.ncbi.nlm.nih.gov/nuccore/CP000304.1?report=graph&amp;tracks=[key:gene_model_track,Options:GeneOnly]&amp;mk=4503849:4503868|offset_1|444444,4503828:4503847|offset_22|444444,4503798:4503817|offset_52|00cc00,4503777:4503796|offset_73|444444&amp;v=4503648:4503996&amp;c=444444", "offset 52")</f>
        <v>offset 52</v>
      </c>
    </row>
    <row r="15947" customFormat="false" ht="12.8" hidden="false" customHeight="false" outlineLevel="0" collapsed="false">
      <c r="A15947" s="0" t="s">
        <v>12</v>
      </c>
      <c r="B15947" s="0" t="n">
        <v>4503776</v>
      </c>
      <c r="C15947" s="0" t="n">
        <v>4503796</v>
      </c>
      <c r="D15947" s="0" t="s">
        <v>53126</v>
      </c>
      <c r="E15947" s="0" t="s">
        <v>89</v>
      </c>
      <c r="F15947" s="0" t="s">
        <v>90</v>
      </c>
      <c r="G15947" s="0" t="s">
        <v>36</v>
      </c>
      <c r="H15947" s="0" t="n">
        <v>73</v>
      </c>
      <c r="I15947" s="0" t="s">
        <v>53136</v>
      </c>
      <c r="J15947" s="0" t="s">
        <v>53137</v>
      </c>
      <c r="K15947" s="0" t="s">
        <v>53138</v>
      </c>
      <c r="L15947" s="0" t="str">
        <f aca="false">HYPERLINK("https://www.ncbi.nlm.nih.gov/nuccore/CP000304.1?report=graph&amp;tracks=[key:gene_model_track,Options:GeneOnly]&amp;mk=4503849:4503868|offset_1|444444,4503828:4503847|offset_22|444444,4503798:4503817|offset_52|444444,4503777:4503796|offset_73|00cc00&amp;v=4503648:4503996&amp;c=444444", "offset 73")</f>
        <v>offset 73</v>
      </c>
    </row>
    <row r="15948" customFormat="false" ht="12.8" hidden="false" customHeight="false" outlineLevel="0" collapsed="false">
      <c r="A15948" s="0" t="s">
        <v>12</v>
      </c>
      <c r="B15948" s="0" t="n">
        <v>4504230</v>
      </c>
      <c r="C15948" s="0" t="n">
        <v>4504250</v>
      </c>
      <c r="D15948" s="0" t="s">
        <v>53139</v>
      </c>
      <c r="E15948" s="0" t="s">
        <v>89</v>
      </c>
      <c r="F15948" s="0" t="s">
        <v>90</v>
      </c>
      <c r="G15948" s="0" t="s">
        <v>32</v>
      </c>
      <c r="H15948" s="0" t="n">
        <v>1</v>
      </c>
      <c r="I15948" s="0" t="s">
        <v>53140</v>
      </c>
      <c r="J15948" s="0" t="s">
        <v>53141</v>
      </c>
      <c r="K15948" s="0" t="s">
        <v>53142</v>
      </c>
      <c r="L15948" s="0" t="str">
        <f aca="false">HYPERLINK("https://www.ncbi.nlm.nih.gov/nuccore/CP000304.1?report=graph&amp;tracks=[key:gene_model_track,Options:GeneOnly]&amp;mk=4504231:4504250|offset_1|00cc00,4504209:4504228|offset_23|444444,4504180:4504199|offset_52|444444,4504153:4504172|offset_79|444444&amp;v=4504030:4504372&amp;c=444444", "offset 1")</f>
        <v>offset 1</v>
      </c>
    </row>
    <row r="15949" customFormat="false" ht="12.8" hidden="false" customHeight="false" outlineLevel="0" collapsed="false">
      <c r="A15949" s="0" t="s">
        <v>12</v>
      </c>
      <c r="B15949" s="0" t="n">
        <v>4504208</v>
      </c>
      <c r="C15949" s="0" t="n">
        <v>4504228</v>
      </c>
      <c r="D15949" s="0" t="s">
        <v>53139</v>
      </c>
      <c r="E15949" s="0" t="s">
        <v>89</v>
      </c>
      <c r="F15949" s="0" t="s">
        <v>90</v>
      </c>
      <c r="G15949" s="0" t="s">
        <v>16</v>
      </c>
      <c r="H15949" s="0" t="n">
        <v>23</v>
      </c>
      <c r="I15949" s="0" t="s">
        <v>53143</v>
      </c>
      <c r="J15949" s="0" t="s">
        <v>53144</v>
      </c>
      <c r="K15949" s="0" t="s">
        <v>53145</v>
      </c>
      <c r="L15949" s="0" t="str">
        <f aca="false">HYPERLINK("https://www.ncbi.nlm.nih.gov/nuccore/CP000304.1?report=graph&amp;tracks=[key:gene_model_track,Options:GeneOnly]&amp;mk=4504231:4504250|offset_1|444444,4504209:4504228|offset_23|00cc00,4504180:4504199|offset_52|444444,4504153:4504172|offset_79|444444&amp;v=4504030:4504372&amp;c=444444", "offset 23")</f>
        <v>offset 23</v>
      </c>
    </row>
    <row r="15950" customFormat="false" ht="12.8" hidden="false" customHeight="false" outlineLevel="0" collapsed="false">
      <c r="A15950" s="0" t="s">
        <v>12</v>
      </c>
      <c r="B15950" s="0" t="n">
        <v>4504179</v>
      </c>
      <c r="C15950" s="0" t="n">
        <v>4504199</v>
      </c>
      <c r="D15950" s="0" t="s">
        <v>53139</v>
      </c>
      <c r="E15950" s="0" t="s">
        <v>89</v>
      </c>
      <c r="F15950" s="0" t="s">
        <v>90</v>
      </c>
      <c r="G15950" s="0" t="s">
        <v>16</v>
      </c>
      <c r="H15950" s="0" t="n">
        <v>52</v>
      </c>
      <c r="I15950" s="0" t="s">
        <v>53146</v>
      </c>
      <c r="J15950" s="0" t="s">
        <v>53147</v>
      </c>
      <c r="K15950" s="0" t="s">
        <v>53148</v>
      </c>
      <c r="L15950" s="0" t="str">
        <f aca="false">HYPERLINK("https://www.ncbi.nlm.nih.gov/nuccore/CP000304.1?report=graph&amp;tracks=[key:gene_model_track,Options:GeneOnly]&amp;mk=4504231:4504250|offset_1|444444,4504209:4504228|offset_23|444444,4504180:4504199|offset_52|00cc00,4504153:4504172|offset_79|444444&amp;v=4504030:4504372&amp;c=444444", "offset 52")</f>
        <v>offset 52</v>
      </c>
    </row>
    <row r="15951" customFormat="false" ht="12.8" hidden="false" customHeight="false" outlineLevel="0" collapsed="false">
      <c r="A15951" s="0" t="s">
        <v>12</v>
      </c>
      <c r="B15951" s="0" t="n">
        <v>4504152</v>
      </c>
      <c r="C15951" s="0" t="n">
        <v>4504172</v>
      </c>
      <c r="D15951" s="0" t="s">
        <v>53139</v>
      </c>
      <c r="E15951" s="0" t="s">
        <v>89</v>
      </c>
      <c r="F15951" s="0" t="s">
        <v>90</v>
      </c>
      <c r="G15951" s="0" t="s">
        <v>16</v>
      </c>
      <c r="H15951" s="0" t="n">
        <v>79</v>
      </c>
      <c r="I15951" s="0" t="s">
        <v>53149</v>
      </c>
      <c r="J15951" s="0" t="s">
        <v>53150</v>
      </c>
      <c r="K15951" s="0" t="s">
        <v>53151</v>
      </c>
      <c r="L15951" s="0" t="str">
        <f aca="false">HYPERLINK("https://www.ncbi.nlm.nih.gov/nuccore/CP000304.1?report=graph&amp;tracks=[key:gene_model_track,Options:GeneOnly]&amp;mk=4504231:4504250|offset_1|444444,4504209:4504228|offset_23|444444,4504180:4504199|offset_52|444444,4504153:4504172|offset_79|00cc00&amp;v=4504030:4504372&amp;c=444444", "offset 79")</f>
        <v>offset 79</v>
      </c>
    </row>
    <row r="15952" customFormat="false" ht="12.8" hidden="false" customHeight="false" outlineLevel="0" collapsed="false">
      <c r="A15952" s="0" t="s">
        <v>12</v>
      </c>
      <c r="B15952" s="0" t="n">
        <v>4504504</v>
      </c>
      <c r="C15952" s="0" t="n">
        <v>4504524</v>
      </c>
      <c r="D15952" s="0" t="s">
        <v>53152</v>
      </c>
      <c r="E15952" s="0" t="s">
        <v>53153</v>
      </c>
      <c r="F15952" s="0" t="s">
        <v>15</v>
      </c>
      <c r="G15952" s="0" t="s">
        <v>32</v>
      </c>
      <c r="H15952" s="0" t="n">
        <v>1</v>
      </c>
      <c r="I15952" s="0" t="s">
        <v>53154</v>
      </c>
      <c r="J15952" s="0" t="s">
        <v>53155</v>
      </c>
      <c r="K15952" s="0" t="s">
        <v>53156</v>
      </c>
      <c r="L15952" s="0" t="str">
        <f aca="false">HYPERLINK("https://www.ncbi.nlm.nih.gov/nuccore/CP000304.1?report=graph&amp;tracks=[key:gene_model_track,Options:GeneOnly]&amp;mk=4504505:4504524|offset_1|00cc00,4504526:4504545|offset_22|444444,4504550:4504569|offset_46|444444,4504593:4504612|offset_89|444444&amp;v=4504304:4504812&amp;c=444444", "offset 1")</f>
        <v>offset 1</v>
      </c>
    </row>
    <row r="15953" customFormat="false" ht="12.8" hidden="false" customHeight="false" outlineLevel="0" collapsed="false">
      <c r="A15953" s="0" t="s">
        <v>12</v>
      </c>
      <c r="B15953" s="0" t="n">
        <v>4504525</v>
      </c>
      <c r="C15953" s="0" t="n">
        <v>4504545</v>
      </c>
      <c r="D15953" s="0" t="s">
        <v>53152</v>
      </c>
      <c r="E15953" s="0" t="s">
        <v>53153</v>
      </c>
      <c r="F15953" s="0" t="s">
        <v>15</v>
      </c>
      <c r="G15953" s="0" t="s">
        <v>16</v>
      </c>
      <c r="H15953" s="0" t="n">
        <v>22</v>
      </c>
      <c r="I15953" s="0" t="s">
        <v>53157</v>
      </c>
      <c r="J15953" s="0" t="s">
        <v>53158</v>
      </c>
      <c r="K15953" s="0" t="s">
        <v>53159</v>
      </c>
      <c r="L15953" s="0" t="str">
        <f aca="false">HYPERLINK("https://www.ncbi.nlm.nih.gov/nuccore/CP000304.1?report=graph&amp;tracks=[key:gene_model_track,Options:GeneOnly]&amp;mk=4504505:4504524|offset_1|444444,4504526:4504545|offset_22|00cc00,4504550:4504569|offset_46|444444,4504593:4504612|offset_89|444444&amp;v=4504304:4504812&amp;c=444444", "offset 22")</f>
        <v>offset 22</v>
      </c>
    </row>
    <row r="15954" customFormat="false" ht="12.8" hidden="false" customHeight="false" outlineLevel="0" collapsed="false">
      <c r="A15954" s="0" t="s">
        <v>12</v>
      </c>
      <c r="B15954" s="0" t="n">
        <v>4504549</v>
      </c>
      <c r="C15954" s="0" t="n">
        <v>4504569</v>
      </c>
      <c r="D15954" s="0" t="s">
        <v>53152</v>
      </c>
      <c r="E15954" s="0" t="s">
        <v>53153</v>
      </c>
      <c r="F15954" s="0" t="s">
        <v>15</v>
      </c>
      <c r="G15954" s="0" t="s">
        <v>36</v>
      </c>
      <c r="H15954" s="0" t="n">
        <v>46</v>
      </c>
      <c r="I15954" s="0" t="s">
        <v>53160</v>
      </c>
      <c r="J15954" s="0" t="s">
        <v>53161</v>
      </c>
      <c r="K15954" s="0" t="s">
        <v>53162</v>
      </c>
      <c r="L15954" s="0" t="str">
        <f aca="false">HYPERLINK("https://www.ncbi.nlm.nih.gov/nuccore/CP000304.1?report=graph&amp;tracks=[key:gene_model_track,Options:GeneOnly]&amp;mk=4504505:4504524|offset_1|444444,4504526:4504545|offset_22|444444,4504550:4504569|offset_46|00cc00,4504593:4504612|offset_89|444444&amp;v=4504304:4504812&amp;c=444444", "offset 46")</f>
        <v>offset 46</v>
      </c>
    </row>
    <row r="15955" customFormat="false" ht="12.8" hidden="false" customHeight="false" outlineLevel="0" collapsed="false">
      <c r="A15955" s="0" t="s">
        <v>12</v>
      </c>
      <c r="B15955" s="0" t="n">
        <v>4504592</v>
      </c>
      <c r="C15955" s="0" t="n">
        <v>4504612</v>
      </c>
      <c r="D15955" s="0" t="s">
        <v>53152</v>
      </c>
      <c r="E15955" s="0" t="s">
        <v>53153</v>
      </c>
      <c r="F15955" s="0" t="s">
        <v>15</v>
      </c>
      <c r="G15955" s="0" t="s">
        <v>16</v>
      </c>
      <c r="H15955" s="0" t="n">
        <v>89</v>
      </c>
      <c r="I15955" s="0" t="s">
        <v>53163</v>
      </c>
      <c r="J15955" s="0" t="s">
        <v>53164</v>
      </c>
      <c r="K15955" s="0" t="s">
        <v>53165</v>
      </c>
      <c r="L15955" s="0" t="str">
        <f aca="false">HYPERLINK("https://www.ncbi.nlm.nih.gov/nuccore/CP000304.1?report=graph&amp;tracks=[key:gene_model_track,Options:GeneOnly]&amp;mk=4504505:4504524|offset_1|444444,4504526:4504545|offset_22|444444,4504550:4504569|offset_46|444444,4504593:4504612|offset_89|00cc00&amp;v=4504304:4504812&amp;c=444444", "offset 89")</f>
        <v>offset 89</v>
      </c>
    </row>
    <row r="15956" customFormat="false" ht="12.8" hidden="false" customHeight="false" outlineLevel="0" collapsed="false">
      <c r="A15956" s="0" t="s">
        <v>12</v>
      </c>
      <c r="B15956" s="0" t="n">
        <v>4507429</v>
      </c>
      <c r="C15956" s="0" t="n">
        <v>4507449</v>
      </c>
      <c r="D15956" s="0" t="s">
        <v>53166</v>
      </c>
      <c r="E15956" s="0" t="s">
        <v>53167</v>
      </c>
      <c r="F15956" s="0" t="s">
        <v>90</v>
      </c>
      <c r="G15956" s="0" t="s">
        <v>32</v>
      </c>
      <c r="H15956" s="0" t="n">
        <v>10</v>
      </c>
      <c r="I15956" s="0" t="s">
        <v>53168</v>
      </c>
      <c r="J15956" s="0" t="s">
        <v>53169</v>
      </c>
      <c r="K15956" s="0" t="s">
        <v>53170</v>
      </c>
      <c r="L15956" s="0" t="str">
        <f aca="false">HYPERLINK("https://www.ncbi.nlm.nih.gov/nuccore/CP000304.1?report=graph&amp;tracks=[key:gene_model_track,Options:GeneOnly]&amp;mk=4507430:4507449|offset_10|00cc00,4507408:4507427|offset_32|444444,4507382:4507401|offset_58|444444,4507354:4507373|offset_86|444444&amp;v=4507229:4507573&amp;c=444444", "offset 10")</f>
        <v>offset 10</v>
      </c>
    </row>
    <row r="15957" customFormat="false" ht="12.8" hidden="false" customHeight="false" outlineLevel="0" collapsed="false">
      <c r="A15957" s="0" t="s">
        <v>12</v>
      </c>
      <c r="B15957" s="0" t="n">
        <v>4507407</v>
      </c>
      <c r="C15957" s="0" t="n">
        <v>4507427</v>
      </c>
      <c r="D15957" s="0" t="s">
        <v>53166</v>
      </c>
      <c r="E15957" s="0" t="s">
        <v>53167</v>
      </c>
      <c r="F15957" s="0" t="s">
        <v>90</v>
      </c>
      <c r="G15957" s="0" t="s">
        <v>32</v>
      </c>
      <c r="H15957" s="0" t="n">
        <v>32</v>
      </c>
      <c r="I15957" s="0" t="s">
        <v>53171</v>
      </c>
      <c r="J15957" s="0" t="s">
        <v>53172</v>
      </c>
      <c r="K15957" s="0" t="s">
        <v>53173</v>
      </c>
      <c r="L15957" s="0" t="str">
        <f aca="false">HYPERLINK("https://www.ncbi.nlm.nih.gov/nuccore/CP000304.1?report=graph&amp;tracks=[key:gene_model_track,Options:GeneOnly]&amp;mk=4507430:4507449|offset_10|444444,4507408:4507427|offset_32|00cc00,4507382:4507401|offset_58|444444,4507354:4507373|offset_86|444444&amp;v=4507229:4507573&amp;c=444444", "offset 32")</f>
        <v>offset 32</v>
      </c>
    </row>
    <row r="15958" customFormat="false" ht="12.8" hidden="false" customHeight="false" outlineLevel="0" collapsed="false">
      <c r="A15958" s="0" t="s">
        <v>12</v>
      </c>
      <c r="B15958" s="0" t="n">
        <v>4507381</v>
      </c>
      <c r="C15958" s="0" t="n">
        <v>4507401</v>
      </c>
      <c r="D15958" s="0" t="s">
        <v>53166</v>
      </c>
      <c r="E15958" s="0" t="s">
        <v>53167</v>
      </c>
      <c r="F15958" s="0" t="s">
        <v>90</v>
      </c>
      <c r="G15958" s="0" t="s">
        <v>16</v>
      </c>
      <c r="H15958" s="0" t="n">
        <v>58</v>
      </c>
      <c r="I15958" s="0" t="s">
        <v>53174</v>
      </c>
      <c r="J15958" s="0" t="s">
        <v>53175</v>
      </c>
      <c r="K15958" s="0" t="s">
        <v>53176</v>
      </c>
      <c r="L15958" s="0" t="str">
        <f aca="false">HYPERLINK("https://www.ncbi.nlm.nih.gov/nuccore/CP000304.1?report=graph&amp;tracks=[key:gene_model_track,Options:GeneOnly]&amp;mk=4507430:4507449|offset_10|444444,4507408:4507427|offset_32|444444,4507382:4507401|offset_58|00cc00,4507354:4507373|offset_86|444444&amp;v=4507229:4507573&amp;c=444444", "offset 58")</f>
        <v>offset 58</v>
      </c>
    </row>
    <row r="15959" customFormat="false" ht="12.8" hidden="false" customHeight="false" outlineLevel="0" collapsed="false">
      <c r="A15959" s="0" t="s">
        <v>12</v>
      </c>
      <c r="B15959" s="0" t="n">
        <v>4507353</v>
      </c>
      <c r="C15959" s="0" t="n">
        <v>4507373</v>
      </c>
      <c r="D15959" s="0" t="s">
        <v>53166</v>
      </c>
      <c r="E15959" s="0" t="s">
        <v>53167</v>
      </c>
      <c r="F15959" s="0" t="s">
        <v>90</v>
      </c>
      <c r="G15959" s="0" t="s">
        <v>16</v>
      </c>
      <c r="H15959" s="0" t="n">
        <v>86</v>
      </c>
      <c r="I15959" s="0" t="s">
        <v>53177</v>
      </c>
      <c r="J15959" s="0" t="s">
        <v>53178</v>
      </c>
      <c r="K15959" s="0" t="s">
        <v>53179</v>
      </c>
      <c r="L15959" s="0" t="str">
        <f aca="false">HYPERLINK("https://www.ncbi.nlm.nih.gov/nuccore/CP000304.1?report=graph&amp;tracks=[key:gene_model_track,Options:GeneOnly]&amp;mk=4507430:4507449|offset_10|444444,4507408:4507427|offset_32|444444,4507382:4507401|offset_58|444444,4507354:4507373|offset_86|00cc00&amp;v=4507229:4507573&amp;c=444444", "offset 86")</f>
        <v>offset 86</v>
      </c>
    </row>
    <row r="15960" customFormat="false" ht="12.8" hidden="false" customHeight="false" outlineLevel="0" collapsed="false">
      <c r="A15960" s="0" t="s">
        <v>12</v>
      </c>
      <c r="B15960" s="0" t="n">
        <v>4507635</v>
      </c>
      <c r="C15960" s="0" t="n">
        <v>4507655</v>
      </c>
      <c r="D15960" s="0" t="s">
        <v>53180</v>
      </c>
      <c r="E15960" s="0" t="s">
        <v>89</v>
      </c>
      <c r="F15960" s="0" t="s">
        <v>15</v>
      </c>
      <c r="G15960" s="0" t="s">
        <v>16</v>
      </c>
      <c r="H15960" s="0" t="n">
        <v>0</v>
      </c>
      <c r="I15960" s="0" t="s">
        <v>53181</v>
      </c>
      <c r="J15960" s="0" t="s">
        <v>53182</v>
      </c>
      <c r="K15960" s="0" t="s">
        <v>53183</v>
      </c>
      <c r="L15960" s="0" t="str">
        <f aca="false">HYPERLINK("https://www.ncbi.nlm.nih.gov/nuccore/CP000304.1?report=graph&amp;tracks=[key:gene_model_track,Options:GeneOnly]&amp;mk=4507636:4507655|offset_0|00cc00,4507656:4507675|offset_20|444444,4507685:4507704|offset_49|444444,4507724:4507743|offset_88|444444&amp;v=4507435:4507943&amp;c=444444", "offset 0")</f>
        <v>offset 0</v>
      </c>
    </row>
    <row r="15961" customFormat="false" ht="12.8" hidden="false" customHeight="false" outlineLevel="0" collapsed="false">
      <c r="A15961" s="0" t="s">
        <v>12</v>
      </c>
      <c r="B15961" s="0" t="n">
        <v>4507655</v>
      </c>
      <c r="C15961" s="0" t="n">
        <v>4507675</v>
      </c>
      <c r="D15961" s="0" t="s">
        <v>53180</v>
      </c>
      <c r="E15961" s="0" t="s">
        <v>89</v>
      </c>
      <c r="F15961" s="0" t="s">
        <v>15</v>
      </c>
      <c r="G15961" s="0" t="s">
        <v>32</v>
      </c>
      <c r="H15961" s="0" t="n">
        <v>20</v>
      </c>
      <c r="I15961" s="0" t="s">
        <v>53184</v>
      </c>
      <c r="J15961" s="0" t="s">
        <v>53185</v>
      </c>
      <c r="K15961" s="0" t="s">
        <v>53186</v>
      </c>
      <c r="L15961" s="0" t="str">
        <f aca="false">HYPERLINK("https://www.ncbi.nlm.nih.gov/nuccore/CP000304.1?report=graph&amp;tracks=[key:gene_model_track,Options:GeneOnly]&amp;mk=4507636:4507655|offset_0|444444,4507656:4507675|offset_20|00cc00,4507685:4507704|offset_49|444444,4507724:4507743|offset_88|444444&amp;v=4507435:4507943&amp;c=444444", "offset 20")</f>
        <v>offset 20</v>
      </c>
    </row>
    <row r="15962" customFormat="false" ht="12.8" hidden="false" customHeight="false" outlineLevel="0" collapsed="false">
      <c r="A15962" s="0" t="s">
        <v>12</v>
      </c>
      <c r="B15962" s="0" t="n">
        <v>4507684</v>
      </c>
      <c r="C15962" s="0" t="n">
        <v>4507704</v>
      </c>
      <c r="D15962" s="0" t="s">
        <v>53180</v>
      </c>
      <c r="E15962" s="0" t="s">
        <v>89</v>
      </c>
      <c r="F15962" s="0" t="s">
        <v>15</v>
      </c>
      <c r="G15962" s="0" t="s">
        <v>16</v>
      </c>
      <c r="H15962" s="0" t="n">
        <v>49</v>
      </c>
      <c r="I15962" s="0" t="s">
        <v>53187</v>
      </c>
      <c r="J15962" s="0" t="s">
        <v>53188</v>
      </c>
      <c r="K15962" s="0" t="s">
        <v>53189</v>
      </c>
      <c r="L15962" s="0" t="str">
        <f aca="false">HYPERLINK("https://www.ncbi.nlm.nih.gov/nuccore/CP000304.1?report=graph&amp;tracks=[key:gene_model_track,Options:GeneOnly]&amp;mk=4507636:4507655|offset_0|444444,4507656:4507675|offset_20|444444,4507685:4507704|offset_49|00cc00,4507724:4507743|offset_88|444444&amp;v=4507435:4507943&amp;c=444444", "offset 49")</f>
        <v>offset 49</v>
      </c>
    </row>
    <row r="15963" customFormat="false" ht="12.8" hidden="false" customHeight="false" outlineLevel="0" collapsed="false">
      <c r="A15963" s="0" t="s">
        <v>12</v>
      </c>
      <c r="B15963" s="0" t="n">
        <v>4507723</v>
      </c>
      <c r="C15963" s="0" t="n">
        <v>4507743</v>
      </c>
      <c r="D15963" s="0" t="s">
        <v>53180</v>
      </c>
      <c r="E15963" s="0" t="s">
        <v>89</v>
      </c>
      <c r="F15963" s="0" t="s">
        <v>15</v>
      </c>
      <c r="G15963" s="0" t="s">
        <v>16</v>
      </c>
      <c r="H15963" s="0" t="n">
        <v>88</v>
      </c>
      <c r="I15963" s="0" t="s">
        <v>53190</v>
      </c>
      <c r="J15963" s="0" t="s">
        <v>53191</v>
      </c>
      <c r="K15963" s="0" t="s">
        <v>53192</v>
      </c>
      <c r="L15963" s="0" t="str">
        <f aca="false">HYPERLINK("https://www.ncbi.nlm.nih.gov/nuccore/CP000304.1?report=graph&amp;tracks=[key:gene_model_track,Options:GeneOnly]&amp;mk=4507636:4507655|offset_0|444444,4507656:4507675|offset_20|444444,4507685:4507704|offset_49|444444,4507724:4507743|offset_88|00cc00&amp;v=4507435:4507943&amp;c=444444", "offset 88")</f>
        <v>offset 88</v>
      </c>
    </row>
    <row r="15964" customFormat="false" ht="12.8" hidden="false" customHeight="false" outlineLevel="0" collapsed="false">
      <c r="A15964" s="0" t="s">
        <v>12</v>
      </c>
      <c r="B15964" s="0" t="n">
        <v>4508517</v>
      </c>
      <c r="C15964" s="0" t="n">
        <v>4508537</v>
      </c>
      <c r="D15964" s="0" t="s">
        <v>53193</v>
      </c>
      <c r="E15964" s="0" t="s">
        <v>89</v>
      </c>
      <c r="F15964" s="0" t="s">
        <v>90</v>
      </c>
      <c r="G15964" s="0" t="s">
        <v>16</v>
      </c>
      <c r="H15964" s="0" t="n">
        <v>19</v>
      </c>
      <c r="I15964" s="0" t="s">
        <v>53194</v>
      </c>
      <c r="J15964" s="0" t="s">
        <v>53195</v>
      </c>
      <c r="K15964" s="0" t="s">
        <v>53196</v>
      </c>
      <c r="L15964" s="0" t="str">
        <f aca="false">HYPERLINK("https://www.ncbi.nlm.nih.gov/nuccore/CP000304.1?report=graph&amp;tracks=[key:gene_model_track,Options:GeneOnly]&amp;mk=4508518:4508537|offset_19|00cc00,4508485:4508504|offset_52|444444,4508454:4508473|offset_83|444444,4508433:4508452|offset_104|444444&amp;v=4508317:4508652&amp;c=444444", "offset 19")</f>
        <v>offset 19</v>
      </c>
    </row>
    <row r="15965" customFormat="false" ht="12.8" hidden="false" customHeight="false" outlineLevel="0" collapsed="false">
      <c r="A15965" s="0" t="s">
        <v>12</v>
      </c>
      <c r="B15965" s="0" t="n">
        <v>4508484</v>
      </c>
      <c r="C15965" s="0" t="n">
        <v>4508504</v>
      </c>
      <c r="D15965" s="0" t="s">
        <v>53193</v>
      </c>
      <c r="E15965" s="0" t="s">
        <v>89</v>
      </c>
      <c r="F15965" s="0" t="s">
        <v>90</v>
      </c>
      <c r="G15965" s="0" t="s">
        <v>16</v>
      </c>
      <c r="H15965" s="0" t="n">
        <v>52</v>
      </c>
      <c r="I15965" s="0" t="s">
        <v>53197</v>
      </c>
      <c r="J15965" s="0" t="s">
        <v>53198</v>
      </c>
      <c r="K15965" s="0" t="s">
        <v>53199</v>
      </c>
      <c r="L15965" s="0" t="str">
        <f aca="false">HYPERLINK("https://www.ncbi.nlm.nih.gov/nuccore/CP000304.1?report=graph&amp;tracks=[key:gene_model_track,Options:GeneOnly]&amp;mk=4508518:4508537|offset_19|444444,4508485:4508504|offset_52|00cc00,4508454:4508473|offset_83|444444,4508433:4508452|offset_104|444444&amp;v=4508317:4508652&amp;c=444444", "offset 52")</f>
        <v>offset 52</v>
      </c>
    </row>
    <row r="15966" customFormat="false" ht="12.8" hidden="false" customHeight="false" outlineLevel="0" collapsed="false">
      <c r="A15966" s="0" t="s">
        <v>12</v>
      </c>
      <c r="B15966" s="0" t="n">
        <v>4508453</v>
      </c>
      <c r="C15966" s="0" t="n">
        <v>4508473</v>
      </c>
      <c r="D15966" s="0" t="s">
        <v>53193</v>
      </c>
      <c r="E15966" s="0" t="s">
        <v>89</v>
      </c>
      <c r="F15966" s="0" t="s">
        <v>90</v>
      </c>
      <c r="G15966" s="0" t="s">
        <v>16</v>
      </c>
      <c r="H15966" s="0" t="n">
        <v>83</v>
      </c>
      <c r="I15966" s="0" t="s">
        <v>53200</v>
      </c>
      <c r="J15966" s="0" t="s">
        <v>53201</v>
      </c>
      <c r="K15966" s="0" t="s">
        <v>53202</v>
      </c>
      <c r="L15966" s="0" t="str">
        <f aca="false">HYPERLINK("https://www.ncbi.nlm.nih.gov/nuccore/CP000304.1?report=graph&amp;tracks=[key:gene_model_track,Options:GeneOnly]&amp;mk=4508518:4508537|offset_19|444444,4508485:4508504|offset_52|444444,4508454:4508473|offset_83|00cc00,4508433:4508452|offset_104|444444&amp;v=4508317:4508652&amp;c=444444", "offset 83")</f>
        <v>offset 83</v>
      </c>
    </row>
    <row r="15967" customFormat="false" ht="12.8" hidden="false" customHeight="false" outlineLevel="0" collapsed="false">
      <c r="A15967" s="0" t="s">
        <v>12</v>
      </c>
      <c r="B15967" s="0" t="n">
        <v>4508432</v>
      </c>
      <c r="C15967" s="0" t="n">
        <v>4508452</v>
      </c>
      <c r="D15967" s="0" t="s">
        <v>53193</v>
      </c>
      <c r="E15967" s="0" t="s">
        <v>89</v>
      </c>
      <c r="F15967" s="0" t="s">
        <v>90</v>
      </c>
      <c r="G15967" s="0" t="s">
        <v>16</v>
      </c>
      <c r="H15967" s="0" t="n">
        <v>104</v>
      </c>
      <c r="I15967" s="0" t="s">
        <v>53203</v>
      </c>
      <c r="J15967" s="0" t="s">
        <v>53204</v>
      </c>
      <c r="K15967" s="0" t="s">
        <v>53205</v>
      </c>
      <c r="L15967" s="0" t="str">
        <f aca="false">HYPERLINK("https://www.ncbi.nlm.nih.gov/nuccore/CP000304.1?report=graph&amp;tracks=[key:gene_model_track,Options:GeneOnly]&amp;mk=4508518:4508537|offset_19|444444,4508485:4508504|offset_52|444444,4508454:4508473|offset_83|444444,4508433:4508452|offset_104|00cc00&amp;v=4508317:4508652&amp;c=444444", "offset 104")</f>
        <v>offset 104</v>
      </c>
    </row>
    <row r="15968" customFormat="false" ht="12.8" hidden="false" customHeight="false" outlineLevel="0" collapsed="false">
      <c r="A15968" s="0" t="s">
        <v>12</v>
      </c>
      <c r="B15968" s="0" t="n">
        <v>4508664</v>
      </c>
      <c r="C15968" s="0" t="n">
        <v>4508684</v>
      </c>
      <c r="D15968" s="0" t="s">
        <v>53206</v>
      </c>
      <c r="E15968" s="0" t="s">
        <v>53207</v>
      </c>
      <c r="F15968" s="0" t="s">
        <v>15</v>
      </c>
      <c r="G15968" s="0" t="s">
        <v>16</v>
      </c>
      <c r="H15968" s="0" t="n">
        <v>6</v>
      </c>
      <c r="I15968" s="0" t="s">
        <v>53208</v>
      </c>
      <c r="J15968" s="0" t="s">
        <v>53209</v>
      </c>
      <c r="K15968" s="0" t="s">
        <v>53210</v>
      </c>
      <c r="L15968" s="0" t="str">
        <f aca="false">HYPERLINK("https://www.ncbi.nlm.nih.gov/nuccore/CP000304.1?report=graph&amp;tracks=[key:gene_model_track,Options:GeneOnly]&amp;mk=4508665:4508684|offset_6|00cc00,4508693:4508712|offset_34|444444,4508718:4508737|offset_59|444444,4508754:4508773|offset_95|444444&amp;v=4508464:4508973&amp;c=444444", "offset 6")</f>
        <v>offset 6</v>
      </c>
    </row>
    <row r="15969" customFormat="false" ht="12.8" hidden="false" customHeight="false" outlineLevel="0" collapsed="false">
      <c r="A15969" s="0" t="s">
        <v>12</v>
      </c>
      <c r="B15969" s="0" t="n">
        <v>4508692</v>
      </c>
      <c r="C15969" s="0" t="n">
        <v>4508712</v>
      </c>
      <c r="D15969" s="0" t="s">
        <v>53206</v>
      </c>
      <c r="E15969" s="0" t="s">
        <v>53207</v>
      </c>
      <c r="F15969" s="0" t="s">
        <v>15</v>
      </c>
      <c r="G15969" s="0" t="s">
        <v>16</v>
      </c>
      <c r="H15969" s="0" t="n">
        <v>34</v>
      </c>
      <c r="I15969" s="0" t="s">
        <v>53211</v>
      </c>
      <c r="J15969" s="0" t="s">
        <v>53212</v>
      </c>
      <c r="K15969" s="0" t="s">
        <v>53213</v>
      </c>
      <c r="L15969" s="0" t="str">
        <f aca="false">HYPERLINK("https://www.ncbi.nlm.nih.gov/nuccore/CP000304.1?report=graph&amp;tracks=[key:gene_model_track,Options:GeneOnly]&amp;mk=4508665:4508684|offset_6|444444,4508693:4508712|offset_34|00cc00,4508718:4508737|offset_59|444444,4508754:4508773|offset_95|444444&amp;v=4508464:4508973&amp;c=444444", "offset 34")</f>
        <v>offset 34</v>
      </c>
    </row>
    <row r="15970" customFormat="false" ht="12.8" hidden="false" customHeight="false" outlineLevel="0" collapsed="false">
      <c r="A15970" s="0" t="s">
        <v>12</v>
      </c>
      <c r="B15970" s="0" t="n">
        <v>4508717</v>
      </c>
      <c r="C15970" s="0" t="n">
        <v>4508737</v>
      </c>
      <c r="D15970" s="0" t="s">
        <v>53206</v>
      </c>
      <c r="E15970" s="0" t="s">
        <v>53207</v>
      </c>
      <c r="F15970" s="0" t="s">
        <v>15</v>
      </c>
      <c r="G15970" s="0" t="s">
        <v>16</v>
      </c>
      <c r="H15970" s="0" t="n">
        <v>59</v>
      </c>
      <c r="I15970" s="0" t="s">
        <v>53214</v>
      </c>
      <c r="J15970" s="0" t="s">
        <v>53215</v>
      </c>
      <c r="K15970" s="0" t="s">
        <v>53216</v>
      </c>
      <c r="L15970" s="0" t="str">
        <f aca="false">HYPERLINK("https://www.ncbi.nlm.nih.gov/nuccore/CP000304.1?report=graph&amp;tracks=[key:gene_model_track,Options:GeneOnly]&amp;mk=4508665:4508684|offset_6|444444,4508693:4508712|offset_34|444444,4508718:4508737|offset_59|00cc00,4508754:4508773|offset_95|444444&amp;v=4508464:4508973&amp;c=444444", "offset 59")</f>
        <v>offset 59</v>
      </c>
    </row>
    <row r="15971" customFormat="false" ht="12.8" hidden="false" customHeight="false" outlineLevel="0" collapsed="false">
      <c r="A15971" s="0" t="s">
        <v>12</v>
      </c>
      <c r="B15971" s="0" t="n">
        <v>4508753</v>
      </c>
      <c r="C15971" s="0" t="n">
        <v>4508773</v>
      </c>
      <c r="D15971" s="0" t="s">
        <v>53206</v>
      </c>
      <c r="E15971" s="0" t="s">
        <v>53207</v>
      </c>
      <c r="F15971" s="0" t="s">
        <v>15</v>
      </c>
      <c r="G15971" s="0" t="s">
        <v>32</v>
      </c>
      <c r="H15971" s="0" t="n">
        <v>95</v>
      </c>
      <c r="I15971" s="0" t="s">
        <v>53217</v>
      </c>
      <c r="J15971" s="0" t="s">
        <v>53218</v>
      </c>
      <c r="K15971" s="0" t="s">
        <v>53219</v>
      </c>
      <c r="L15971" s="0" t="str">
        <f aca="false">HYPERLINK("https://www.ncbi.nlm.nih.gov/nuccore/CP000304.1?report=graph&amp;tracks=[key:gene_model_track,Options:GeneOnly]&amp;mk=4508665:4508684|offset_6|444444,4508693:4508712|offset_34|444444,4508718:4508737|offset_59|444444,4508754:4508773|offset_95|00cc00&amp;v=4508464:4508973&amp;c=444444", "offset 95")</f>
        <v>offset 95</v>
      </c>
    </row>
    <row r="15972" customFormat="false" ht="12.8" hidden="false" customHeight="false" outlineLevel="0" collapsed="false">
      <c r="A15972" s="0" t="s">
        <v>12</v>
      </c>
      <c r="B15972" s="0" t="n">
        <v>4511170</v>
      </c>
      <c r="C15972" s="0" t="n">
        <v>4511190</v>
      </c>
      <c r="D15972" s="0" t="s">
        <v>53220</v>
      </c>
      <c r="E15972" s="0" t="s">
        <v>89</v>
      </c>
      <c r="F15972" s="0" t="s">
        <v>15</v>
      </c>
      <c r="G15972" s="0" t="s">
        <v>26</v>
      </c>
      <c r="H15972" s="0" t="n">
        <v>11</v>
      </c>
      <c r="I15972" s="0" t="s">
        <v>53221</v>
      </c>
      <c r="J15972" s="0" t="s">
        <v>53222</v>
      </c>
      <c r="K15972" s="0" t="s">
        <v>53223</v>
      </c>
      <c r="L15972" s="0" t="str">
        <f aca="false">HYPERLINK("https://www.ncbi.nlm.nih.gov/nuccore/CP000304.1?report=graph&amp;tracks=[key:gene_model_track,Options:GeneOnly]&amp;mk=4511171:4511190|offset_11|00cc00,4511191:4511210|offset_31|444444,4511213:4511232|offset_53|444444,4511243:4511262|offset_83|444444&amp;v=4510970:4511462&amp;c=444444", "offset 11")</f>
        <v>offset 11</v>
      </c>
    </row>
    <row r="15973" customFormat="false" ht="12.8" hidden="false" customHeight="false" outlineLevel="0" collapsed="false">
      <c r="A15973" s="0" t="s">
        <v>12</v>
      </c>
      <c r="B15973" s="0" t="n">
        <v>4511190</v>
      </c>
      <c r="C15973" s="0" t="n">
        <v>4511210</v>
      </c>
      <c r="D15973" s="0" t="s">
        <v>53220</v>
      </c>
      <c r="E15973" s="0" t="s">
        <v>89</v>
      </c>
      <c r="F15973" s="0" t="s">
        <v>15</v>
      </c>
      <c r="G15973" s="0" t="s">
        <v>16</v>
      </c>
      <c r="H15973" s="0" t="n">
        <v>31</v>
      </c>
      <c r="I15973" s="0" t="s">
        <v>53224</v>
      </c>
      <c r="J15973" s="0" t="s">
        <v>53225</v>
      </c>
      <c r="K15973" s="0" t="s">
        <v>53226</v>
      </c>
      <c r="L15973" s="0" t="str">
        <f aca="false">HYPERLINK("https://www.ncbi.nlm.nih.gov/nuccore/CP000304.1?report=graph&amp;tracks=[key:gene_model_track,Options:GeneOnly]&amp;mk=4511171:4511190|offset_11|444444,4511191:4511210|offset_31|00cc00,4511213:4511232|offset_53|444444,4511243:4511262|offset_83|444444&amp;v=4510970:4511462&amp;c=444444", "offset 31")</f>
        <v>offset 31</v>
      </c>
    </row>
    <row r="15974" customFormat="false" ht="12.8" hidden="false" customHeight="false" outlineLevel="0" collapsed="false">
      <c r="A15974" s="0" t="s">
        <v>12</v>
      </c>
      <c r="B15974" s="0" t="n">
        <v>4511212</v>
      </c>
      <c r="C15974" s="0" t="n">
        <v>4511232</v>
      </c>
      <c r="D15974" s="0" t="s">
        <v>53220</v>
      </c>
      <c r="E15974" s="0" t="s">
        <v>89</v>
      </c>
      <c r="F15974" s="0" t="s">
        <v>15</v>
      </c>
      <c r="G15974" s="0" t="s">
        <v>26</v>
      </c>
      <c r="H15974" s="0" t="n">
        <v>53</v>
      </c>
      <c r="I15974" s="0" t="s">
        <v>53227</v>
      </c>
      <c r="J15974" s="0" t="s">
        <v>53228</v>
      </c>
      <c r="K15974" s="0" t="s">
        <v>53229</v>
      </c>
      <c r="L15974" s="0" t="str">
        <f aca="false">HYPERLINK("https://www.ncbi.nlm.nih.gov/nuccore/CP000304.1?report=graph&amp;tracks=[key:gene_model_track,Options:GeneOnly]&amp;mk=4511171:4511190|offset_11|444444,4511191:4511210|offset_31|444444,4511213:4511232|offset_53|00cc00,4511243:4511262|offset_83|444444&amp;v=4510970:4511462&amp;c=444444", "offset 53")</f>
        <v>offset 53</v>
      </c>
    </row>
    <row r="15975" customFormat="false" ht="12.8" hidden="false" customHeight="false" outlineLevel="0" collapsed="false">
      <c r="A15975" s="0" t="s">
        <v>12</v>
      </c>
      <c r="B15975" s="0" t="n">
        <v>4511242</v>
      </c>
      <c r="C15975" s="0" t="n">
        <v>4511262</v>
      </c>
      <c r="D15975" s="0" t="s">
        <v>53220</v>
      </c>
      <c r="E15975" s="0" t="s">
        <v>89</v>
      </c>
      <c r="F15975" s="0" t="s">
        <v>15</v>
      </c>
      <c r="G15975" s="0" t="s">
        <v>16</v>
      </c>
      <c r="H15975" s="0" t="n">
        <v>83</v>
      </c>
      <c r="I15975" s="0" t="s">
        <v>53230</v>
      </c>
      <c r="J15975" s="0" t="s">
        <v>53231</v>
      </c>
      <c r="K15975" s="0" t="s">
        <v>53232</v>
      </c>
      <c r="L15975" s="0" t="str">
        <f aca="false">HYPERLINK("https://www.ncbi.nlm.nih.gov/nuccore/CP000304.1?report=graph&amp;tracks=[key:gene_model_track,Options:GeneOnly]&amp;mk=4511171:4511190|offset_11|444444,4511191:4511210|offset_31|444444,4511213:4511232|offset_53|444444,4511243:4511262|offset_83|00cc00&amp;v=4510970:4511462&amp;c=444444", "offset 83")</f>
        <v>offset 83</v>
      </c>
    </row>
    <row r="15976" customFormat="false" ht="12.8" hidden="false" customHeight="false" outlineLevel="0" collapsed="false">
      <c r="A15976" s="0" t="s">
        <v>12</v>
      </c>
      <c r="B15976" s="0" t="n">
        <v>4513112</v>
      </c>
      <c r="C15976" s="0" t="n">
        <v>4513132</v>
      </c>
      <c r="D15976" s="0" t="s">
        <v>53233</v>
      </c>
      <c r="E15976" s="0" t="s">
        <v>89</v>
      </c>
      <c r="F15976" s="0" t="s">
        <v>90</v>
      </c>
      <c r="G15976" s="0" t="s">
        <v>32</v>
      </c>
      <c r="H15976" s="0" t="n">
        <v>1</v>
      </c>
      <c r="I15976" s="0" t="s">
        <v>53234</v>
      </c>
      <c r="J15976" s="0" t="s">
        <v>53235</v>
      </c>
      <c r="K15976" s="0" t="s">
        <v>53236</v>
      </c>
      <c r="L15976" s="0" t="str">
        <f aca="false">HYPERLINK("https://www.ncbi.nlm.nih.gov/nuccore/CP000304.1?report=graph&amp;tracks=[key:gene_model_track,Options:GeneOnly]&amp;mk=4513113:4513132|offset_1|00cc00,4513091:4513110|offset_23|444444,4513064:4513083|offset_50|444444,4513029:4513048|offset_85|444444&amp;v=4512912:4513248&amp;c=444444", "offset 1")</f>
        <v>offset 1</v>
      </c>
    </row>
    <row r="15977" customFormat="false" ht="12.8" hidden="false" customHeight="false" outlineLevel="0" collapsed="false">
      <c r="A15977" s="0" t="s">
        <v>12</v>
      </c>
      <c r="B15977" s="0" t="n">
        <v>4513090</v>
      </c>
      <c r="C15977" s="0" t="n">
        <v>4513110</v>
      </c>
      <c r="D15977" s="0" t="s">
        <v>53233</v>
      </c>
      <c r="E15977" s="0" t="s">
        <v>89</v>
      </c>
      <c r="F15977" s="0" t="s">
        <v>90</v>
      </c>
      <c r="G15977" s="0" t="s">
        <v>32</v>
      </c>
      <c r="H15977" s="0" t="n">
        <v>23</v>
      </c>
      <c r="I15977" s="0" t="s">
        <v>53237</v>
      </c>
      <c r="J15977" s="0" t="s">
        <v>53238</v>
      </c>
      <c r="K15977" s="0" t="s">
        <v>53239</v>
      </c>
      <c r="L15977" s="0" t="str">
        <f aca="false">HYPERLINK("https://www.ncbi.nlm.nih.gov/nuccore/CP000304.1?report=graph&amp;tracks=[key:gene_model_track,Options:GeneOnly]&amp;mk=4513113:4513132|offset_1|444444,4513091:4513110|offset_23|00cc00,4513064:4513083|offset_50|444444,4513029:4513048|offset_85|444444&amp;v=4512912:4513248&amp;c=444444", "offset 23")</f>
        <v>offset 23</v>
      </c>
    </row>
    <row r="15978" customFormat="false" ht="12.8" hidden="false" customHeight="false" outlineLevel="0" collapsed="false">
      <c r="A15978" s="0" t="s">
        <v>12</v>
      </c>
      <c r="B15978" s="0" t="n">
        <v>4513063</v>
      </c>
      <c r="C15978" s="0" t="n">
        <v>4513083</v>
      </c>
      <c r="D15978" s="0" t="s">
        <v>53233</v>
      </c>
      <c r="E15978" s="0" t="s">
        <v>89</v>
      </c>
      <c r="F15978" s="0" t="s">
        <v>90</v>
      </c>
      <c r="G15978" s="0" t="s">
        <v>26</v>
      </c>
      <c r="H15978" s="0" t="n">
        <v>50</v>
      </c>
      <c r="I15978" s="0" t="s">
        <v>53240</v>
      </c>
      <c r="J15978" s="0" t="s">
        <v>53241</v>
      </c>
      <c r="K15978" s="0" t="s">
        <v>53242</v>
      </c>
      <c r="L15978" s="0" t="str">
        <f aca="false">HYPERLINK("https://www.ncbi.nlm.nih.gov/nuccore/CP000304.1?report=graph&amp;tracks=[key:gene_model_track,Options:GeneOnly]&amp;mk=4513113:4513132|offset_1|444444,4513091:4513110|offset_23|444444,4513064:4513083|offset_50|00cc00,4513029:4513048|offset_85|444444&amp;v=4512912:4513248&amp;c=444444", "offset 50")</f>
        <v>offset 50</v>
      </c>
    </row>
    <row r="15979" customFormat="false" ht="12.8" hidden="false" customHeight="false" outlineLevel="0" collapsed="false">
      <c r="A15979" s="0" t="s">
        <v>12</v>
      </c>
      <c r="B15979" s="0" t="n">
        <v>4513028</v>
      </c>
      <c r="C15979" s="0" t="n">
        <v>4513048</v>
      </c>
      <c r="D15979" s="0" t="s">
        <v>53233</v>
      </c>
      <c r="E15979" s="0" t="s">
        <v>89</v>
      </c>
      <c r="F15979" s="0" t="s">
        <v>90</v>
      </c>
      <c r="G15979" s="0" t="s">
        <v>36</v>
      </c>
      <c r="H15979" s="0" t="n">
        <v>85</v>
      </c>
      <c r="I15979" s="0" t="s">
        <v>53243</v>
      </c>
      <c r="J15979" s="0" t="s">
        <v>53244</v>
      </c>
      <c r="K15979" s="0" t="s">
        <v>53245</v>
      </c>
      <c r="L15979" s="0" t="str">
        <f aca="false">HYPERLINK("https://www.ncbi.nlm.nih.gov/nuccore/CP000304.1?report=graph&amp;tracks=[key:gene_model_track,Options:GeneOnly]&amp;mk=4513113:4513132|offset_1|444444,4513091:4513110|offset_23|444444,4513064:4513083|offset_50|444444,4513029:4513048|offset_85|00cc00&amp;v=4512912:4513248&amp;c=444444", "offset 85")</f>
        <v>offset 85</v>
      </c>
    </row>
    <row r="15980" customFormat="false" ht="12.8" hidden="false" customHeight="false" outlineLevel="0" collapsed="false">
      <c r="A15980" s="0" t="s">
        <v>12</v>
      </c>
      <c r="B15980" s="0" t="n">
        <v>4513192</v>
      </c>
      <c r="C15980" s="0" t="n">
        <v>4513212</v>
      </c>
      <c r="D15980" s="0" t="s">
        <v>53246</v>
      </c>
      <c r="E15980" s="0" t="s">
        <v>89</v>
      </c>
      <c r="F15980" s="0" t="s">
        <v>15</v>
      </c>
      <c r="G15980" s="0" t="s">
        <v>16</v>
      </c>
      <c r="H15980" s="0" t="n">
        <v>11</v>
      </c>
      <c r="I15980" s="0" t="s">
        <v>53247</v>
      </c>
      <c r="J15980" s="0" t="s">
        <v>53248</v>
      </c>
      <c r="K15980" s="0" t="s">
        <v>53249</v>
      </c>
      <c r="L15980" s="0" t="str">
        <f aca="false">HYPERLINK("https://www.ncbi.nlm.nih.gov/nuccore/CP000304.1?report=graph&amp;tracks=[key:gene_model_track,Options:GeneOnly]&amp;mk=4513193:4513212|offset_11|00cc00,4513214:4513233|offset_32|444444,4513248:4513267|offset_66|444444,4513279:4513298|offset_97|444444&amp;v=4512992:4513498&amp;c=444444", "offset 11")</f>
        <v>offset 11</v>
      </c>
    </row>
    <row r="15981" customFormat="false" ht="12.8" hidden="false" customHeight="false" outlineLevel="0" collapsed="false">
      <c r="A15981" s="0" t="s">
        <v>12</v>
      </c>
      <c r="B15981" s="0" t="n">
        <v>4513213</v>
      </c>
      <c r="C15981" s="0" t="n">
        <v>4513233</v>
      </c>
      <c r="D15981" s="0" t="s">
        <v>53246</v>
      </c>
      <c r="E15981" s="0" t="s">
        <v>89</v>
      </c>
      <c r="F15981" s="0" t="s">
        <v>15</v>
      </c>
      <c r="G15981" s="0" t="s">
        <v>16</v>
      </c>
      <c r="H15981" s="0" t="n">
        <v>32</v>
      </c>
      <c r="I15981" s="0" t="s">
        <v>53250</v>
      </c>
      <c r="J15981" s="0" t="s">
        <v>53251</v>
      </c>
      <c r="K15981" s="0" t="s">
        <v>53252</v>
      </c>
      <c r="L15981" s="0" t="str">
        <f aca="false">HYPERLINK("https://www.ncbi.nlm.nih.gov/nuccore/CP000304.1?report=graph&amp;tracks=[key:gene_model_track,Options:GeneOnly]&amp;mk=4513193:4513212|offset_11|444444,4513214:4513233|offset_32|00cc00,4513248:4513267|offset_66|444444,4513279:4513298|offset_97|444444&amp;v=4512992:4513498&amp;c=444444", "offset 32")</f>
        <v>offset 32</v>
      </c>
    </row>
    <row r="15982" customFormat="false" ht="12.8" hidden="false" customHeight="false" outlineLevel="0" collapsed="false">
      <c r="A15982" s="0" t="s">
        <v>12</v>
      </c>
      <c r="B15982" s="0" t="n">
        <v>4513247</v>
      </c>
      <c r="C15982" s="0" t="n">
        <v>4513267</v>
      </c>
      <c r="D15982" s="0" t="s">
        <v>53246</v>
      </c>
      <c r="E15982" s="0" t="s">
        <v>89</v>
      </c>
      <c r="F15982" s="0" t="s">
        <v>15</v>
      </c>
      <c r="G15982" s="0" t="s">
        <v>16</v>
      </c>
      <c r="H15982" s="0" t="n">
        <v>66</v>
      </c>
      <c r="I15982" s="0" t="s">
        <v>53253</v>
      </c>
      <c r="J15982" s="0" t="s">
        <v>53254</v>
      </c>
      <c r="K15982" s="0" t="s">
        <v>53255</v>
      </c>
      <c r="L15982" s="0" t="str">
        <f aca="false">HYPERLINK("https://www.ncbi.nlm.nih.gov/nuccore/CP000304.1?report=graph&amp;tracks=[key:gene_model_track,Options:GeneOnly]&amp;mk=4513193:4513212|offset_11|444444,4513214:4513233|offset_32|444444,4513248:4513267|offset_66|00cc00,4513279:4513298|offset_97|444444&amp;v=4512992:4513498&amp;c=444444", "offset 66")</f>
        <v>offset 66</v>
      </c>
    </row>
    <row r="15983" customFormat="false" ht="12.8" hidden="false" customHeight="false" outlineLevel="0" collapsed="false">
      <c r="A15983" s="0" t="s">
        <v>12</v>
      </c>
      <c r="B15983" s="0" t="n">
        <v>4513278</v>
      </c>
      <c r="C15983" s="0" t="n">
        <v>4513298</v>
      </c>
      <c r="D15983" s="0" t="s">
        <v>53246</v>
      </c>
      <c r="E15983" s="0" t="s">
        <v>89</v>
      </c>
      <c r="F15983" s="0" t="s">
        <v>15</v>
      </c>
      <c r="G15983" s="0" t="s">
        <v>32</v>
      </c>
      <c r="H15983" s="0" t="n">
        <v>97</v>
      </c>
      <c r="I15983" s="0" t="s">
        <v>53256</v>
      </c>
      <c r="J15983" s="0" t="s">
        <v>53257</v>
      </c>
      <c r="K15983" s="0" t="s">
        <v>53258</v>
      </c>
      <c r="L15983" s="0" t="str">
        <f aca="false">HYPERLINK("https://www.ncbi.nlm.nih.gov/nuccore/CP000304.1?report=graph&amp;tracks=[key:gene_model_track,Options:GeneOnly]&amp;mk=4513193:4513212|offset_11|444444,4513214:4513233|offset_32|444444,4513248:4513267|offset_66|444444,4513279:4513298|offset_97|00cc00&amp;v=4512992:4513498&amp;c=444444", "offset 97")</f>
        <v>offset 97</v>
      </c>
    </row>
    <row r="15984" customFormat="false" ht="12.8" hidden="false" customHeight="false" outlineLevel="0" collapsed="false">
      <c r="A15984" s="0" t="s">
        <v>12</v>
      </c>
      <c r="B15984" s="0" t="n">
        <v>4514695</v>
      </c>
      <c r="C15984" s="0" t="n">
        <v>4514715</v>
      </c>
      <c r="D15984" s="0" t="s">
        <v>53259</v>
      </c>
      <c r="E15984" s="0" t="s">
        <v>89</v>
      </c>
      <c r="F15984" s="0" t="s">
        <v>15</v>
      </c>
      <c r="G15984" s="0" t="s">
        <v>36</v>
      </c>
      <c r="H15984" s="0" t="n">
        <v>0</v>
      </c>
      <c r="I15984" s="0" t="s">
        <v>53260</v>
      </c>
      <c r="J15984" s="0" t="s">
        <v>53261</v>
      </c>
      <c r="K15984" s="0" t="s">
        <v>53262</v>
      </c>
      <c r="L15984" s="0" t="str">
        <f aca="false">HYPERLINK("https://www.ncbi.nlm.nih.gov/nuccore/CP000304.1?report=graph&amp;tracks=[key:gene_model_track,Options:GeneOnly]&amp;mk=4514696:4514715|offset_0|00cc00,4514718:4514737|offset_22|444444,4514742:4514761|offset_46|444444,4514763:4514782|offset_67|444444&amp;v=4514495:4514982&amp;c=444444", "offset 0")</f>
        <v>offset 0</v>
      </c>
    </row>
    <row r="15985" customFormat="false" ht="12.8" hidden="false" customHeight="false" outlineLevel="0" collapsed="false">
      <c r="A15985" s="0" t="s">
        <v>12</v>
      </c>
      <c r="B15985" s="0" t="n">
        <v>4514717</v>
      </c>
      <c r="C15985" s="0" t="n">
        <v>4514737</v>
      </c>
      <c r="D15985" s="0" t="s">
        <v>53259</v>
      </c>
      <c r="E15985" s="0" t="s">
        <v>89</v>
      </c>
      <c r="F15985" s="0" t="s">
        <v>15</v>
      </c>
      <c r="G15985" s="0" t="s">
        <v>36</v>
      </c>
      <c r="H15985" s="0" t="n">
        <v>22</v>
      </c>
      <c r="I15985" s="0" t="s">
        <v>53263</v>
      </c>
      <c r="J15985" s="0" t="s">
        <v>53264</v>
      </c>
      <c r="K15985" s="0" t="s">
        <v>53265</v>
      </c>
      <c r="L15985" s="0" t="str">
        <f aca="false">HYPERLINK("https://www.ncbi.nlm.nih.gov/nuccore/CP000304.1?report=graph&amp;tracks=[key:gene_model_track,Options:GeneOnly]&amp;mk=4514696:4514715|offset_0|444444,4514718:4514737|offset_22|00cc00,4514742:4514761|offset_46|444444,4514763:4514782|offset_67|444444&amp;v=4514495:4514982&amp;c=444444", "offset 22")</f>
        <v>offset 22</v>
      </c>
    </row>
    <row r="15986" customFormat="false" ht="12.8" hidden="false" customHeight="false" outlineLevel="0" collapsed="false">
      <c r="A15986" s="0" t="s">
        <v>12</v>
      </c>
      <c r="B15986" s="0" t="n">
        <v>4514741</v>
      </c>
      <c r="C15986" s="0" t="n">
        <v>4514761</v>
      </c>
      <c r="D15986" s="0" t="s">
        <v>53259</v>
      </c>
      <c r="E15986" s="0" t="s">
        <v>89</v>
      </c>
      <c r="F15986" s="0" t="s">
        <v>15</v>
      </c>
      <c r="G15986" s="0" t="s">
        <v>16</v>
      </c>
      <c r="H15986" s="0" t="n">
        <v>46</v>
      </c>
      <c r="I15986" s="0" t="s">
        <v>53266</v>
      </c>
      <c r="J15986" s="0" t="s">
        <v>53267</v>
      </c>
      <c r="K15986" s="0" t="s">
        <v>53268</v>
      </c>
      <c r="L15986" s="0" t="str">
        <f aca="false">HYPERLINK("https://www.ncbi.nlm.nih.gov/nuccore/CP000304.1?report=graph&amp;tracks=[key:gene_model_track,Options:GeneOnly]&amp;mk=4514696:4514715|offset_0|444444,4514718:4514737|offset_22|444444,4514742:4514761|offset_46|00cc00,4514763:4514782|offset_67|444444&amp;v=4514495:4514982&amp;c=444444", "offset 46")</f>
        <v>offset 46</v>
      </c>
    </row>
    <row r="15987" customFormat="false" ht="12.8" hidden="false" customHeight="false" outlineLevel="0" collapsed="false">
      <c r="A15987" s="0" t="s">
        <v>12</v>
      </c>
      <c r="B15987" s="0" t="n">
        <v>4514762</v>
      </c>
      <c r="C15987" s="0" t="n">
        <v>4514782</v>
      </c>
      <c r="D15987" s="0" t="s">
        <v>53259</v>
      </c>
      <c r="E15987" s="0" t="s">
        <v>89</v>
      </c>
      <c r="F15987" s="0" t="s">
        <v>15</v>
      </c>
      <c r="G15987" s="0" t="s">
        <v>36</v>
      </c>
      <c r="H15987" s="0" t="n">
        <v>67</v>
      </c>
      <c r="I15987" s="0" t="s">
        <v>53269</v>
      </c>
      <c r="J15987" s="0" t="s">
        <v>53270</v>
      </c>
      <c r="K15987" s="0" t="s">
        <v>53271</v>
      </c>
      <c r="L15987" s="0" t="str">
        <f aca="false">HYPERLINK("https://www.ncbi.nlm.nih.gov/nuccore/CP000304.1?report=graph&amp;tracks=[key:gene_model_track,Options:GeneOnly]&amp;mk=4514696:4514715|offset_0|444444,4514718:4514737|offset_22|444444,4514742:4514761|offset_46|444444,4514763:4514782|offset_67|00cc00&amp;v=4514495:4514982&amp;c=444444", "offset 67")</f>
        <v>offset 67</v>
      </c>
    </row>
    <row r="15988" customFormat="false" ht="12.8" hidden="false" customHeight="false" outlineLevel="0" collapsed="false">
      <c r="A15988" s="0" t="s">
        <v>12</v>
      </c>
      <c r="B15988" s="0" t="n">
        <v>4515556</v>
      </c>
      <c r="C15988" s="0" t="n">
        <v>4515576</v>
      </c>
      <c r="D15988" s="0" t="s">
        <v>53272</v>
      </c>
      <c r="E15988" s="0" t="s">
        <v>89</v>
      </c>
      <c r="F15988" s="0" t="s">
        <v>15</v>
      </c>
      <c r="G15988" s="0" t="s">
        <v>32</v>
      </c>
      <c r="H15988" s="0" t="n">
        <v>33</v>
      </c>
      <c r="I15988" s="0" t="s">
        <v>53273</v>
      </c>
      <c r="J15988" s="0" t="s">
        <v>53274</v>
      </c>
      <c r="K15988" s="0" t="s">
        <v>53275</v>
      </c>
      <c r="L15988" s="0" t="str">
        <f aca="false">HYPERLINK("https://www.ncbi.nlm.nih.gov/nuccore/CP000304.1?report=graph&amp;tracks=[key:gene_model_track,Options:GeneOnly]&amp;mk=4515557:4515576|offset_33|00cc00,4515589:4515608|offset_65|444444,4515621:4515640|offset_97|444444,4515641:4515660|offset_117|444444&amp;v=4515356:4515860&amp;c=444444", "offset 33")</f>
        <v>offset 33</v>
      </c>
    </row>
    <row r="15989" customFormat="false" ht="12.8" hidden="false" customHeight="false" outlineLevel="0" collapsed="false">
      <c r="A15989" s="0" t="s">
        <v>12</v>
      </c>
      <c r="B15989" s="0" t="n">
        <v>4515588</v>
      </c>
      <c r="C15989" s="0" t="n">
        <v>4515608</v>
      </c>
      <c r="D15989" s="0" t="s">
        <v>53272</v>
      </c>
      <c r="E15989" s="0" t="s">
        <v>89</v>
      </c>
      <c r="F15989" s="0" t="s">
        <v>15</v>
      </c>
      <c r="G15989" s="0" t="s">
        <v>26</v>
      </c>
      <c r="H15989" s="0" t="n">
        <v>65</v>
      </c>
      <c r="I15989" s="0" t="s">
        <v>53276</v>
      </c>
      <c r="J15989" s="0" t="s">
        <v>53277</v>
      </c>
      <c r="K15989" s="0" t="s">
        <v>53278</v>
      </c>
      <c r="L15989" s="0" t="str">
        <f aca="false">HYPERLINK("https://www.ncbi.nlm.nih.gov/nuccore/CP000304.1?report=graph&amp;tracks=[key:gene_model_track,Options:GeneOnly]&amp;mk=4515557:4515576|offset_33|444444,4515589:4515608|offset_65|00cc00,4515621:4515640|offset_97|444444,4515641:4515660|offset_117|444444&amp;v=4515356:4515860&amp;c=444444", "offset 65")</f>
        <v>offset 65</v>
      </c>
    </row>
    <row r="15990" customFormat="false" ht="12.8" hidden="false" customHeight="false" outlineLevel="0" collapsed="false">
      <c r="A15990" s="0" t="s">
        <v>12</v>
      </c>
      <c r="B15990" s="0" t="n">
        <v>4515620</v>
      </c>
      <c r="C15990" s="0" t="n">
        <v>4515640</v>
      </c>
      <c r="D15990" s="0" t="s">
        <v>53272</v>
      </c>
      <c r="E15990" s="0" t="s">
        <v>89</v>
      </c>
      <c r="F15990" s="0" t="s">
        <v>15</v>
      </c>
      <c r="G15990" s="0" t="s">
        <v>32</v>
      </c>
      <c r="H15990" s="0" t="n">
        <v>97</v>
      </c>
      <c r="I15990" s="0" t="s">
        <v>53279</v>
      </c>
      <c r="J15990" s="0" t="s">
        <v>53280</v>
      </c>
      <c r="K15990" s="0" t="s">
        <v>53281</v>
      </c>
      <c r="L15990" s="0" t="str">
        <f aca="false">HYPERLINK("https://www.ncbi.nlm.nih.gov/nuccore/CP000304.1?report=graph&amp;tracks=[key:gene_model_track,Options:GeneOnly]&amp;mk=4515557:4515576|offset_33|444444,4515589:4515608|offset_65|444444,4515621:4515640|offset_97|00cc00,4515641:4515660|offset_117|444444&amp;v=4515356:4515860&amp;c=444444", "offset 97")</f>
        <v>offset 97</v>
      </c>
    </row>
    <row r="15991" customFormat="false" ht="12.8" hidden="false" customHeight="false" outlineLevel="0" collapsed="false">
      <c r="A15991" s="0" t="s">
        <v>12</v>
      </c>
      <c r="B15991" s="0" t="n">
        <v>4515640</v>
      </c>
      <c r="C15991" s="0" t="n">
        <v>4515660</v>
      </c>
      <c r="D15991" s="0" t="s">
        <v>53272</v>
      </c>
      <c r="E15991" s="0" t="s">
        <v>89</v>
      </c>
      <c r="F15991" s="0" t="s">
        <v>15</v>
      </c>
      <c r="G15991" s="0" t="s">
        <v>36</v>
      </c>
      <c r="H15991" s="0" t="n">
        <v>117</v>
      </c>
      <c r="I15991" s="0" t="s">
        <v>53282</v>
      </c>
      <c r="J15991" s="0" t="s">
        <v>53283</v>
      </c>
      <c r="K15991" s="0" t="s">
        <v>53284</v>
      </c>
      <c r="L15991" s="0" t="str">
        <f aca="false">HYPERLINK("https://www.ncbi.nlm.nih.gov/nuccore/CP000304.1?report=graph&amp;tracks=[key:gene_model_track,Options:GeneOnly]&amp;mk=4515557:4515576|offset_33|444444,4515589:4515608|offset_65|444444,4515621:4515640|offset_97|444444,4515641:4515660|offset_117|00cc00&amp;v=4515356:4515860&amp;c=444444", "offset 117")</f>
        <v>offset 117</v>
      </c>
    </row>
    <row r="15992" customFormat="false" ht="12.8" hidden="false" customHeight="false" outlineLevel="0" collapsed="false">
      <c r="A15992" s="0" t="s">
        <v>12</v>
      </c>
      <c r="B15992" s="0" t="n">
        <v>4517195</v>
      </c>
      <c r="C15992" s="0" t="n">
        <v>4517215</v>
      </c>
      <c r="D15992" s="0" t="s">
        <v>53285</v>
      </c>
      <c r="E15992" s="0" t="s">
        <v>89</v>
      </c>
      <c r="F15992" s="0" t="s">
        <v>15</v>
      </c>
      <c r="G15992" s="0" t="s">
        <v>16</v>
      </c>
      <c r="H15992" s="0" t="n">
        <v>33</v>
      </c>
      <c r="I15992" s="0" t="s">
        <v>53286</v>
      </c>
      <c r="J15992" s="0" t="s">
        <v>53287</v>
      </c>
      <c r="K15992" s="0" t="s">
        <v>53288</v>
      </c>
      <c r="L15992" s="0" t="str">
        <f aca="false">HYPERLINK("https://www.ncbi.nlm.nih.gov/nuccore/CP000304.1?report=graph&amp;tracks=[key:gene_model_track,Options:GeneOnly]&amp;mk=4517196:4517215|offset_33|00cc00,4517221:4517240|offset_58|444444,4517247:4517266|offset_84|444444,4517279:4517298|offset_116|444444&amp;v=4516995:4517498&amp;c=444444", "offset 33")</f>
        <v>offset 33</v>
      </c>
    </row>
    <row r="15993" customFormat="false" ht="12.8" hidden="false" customHeight="false" outlineLevel="0" collapsed="false">
      <c r="A15993" s="0" t="s">
        <v>12</v>
      </c>
      <c r="B15993" s="0" t="n">
        <v>4517220</v>
      </c>
      <c r="C15993" s="0" t="n">
        <v>4517240</v>
      </c>
      <c r="D15993" s="0" t="s">
        <v>53285</v>
      </c>
      <c r="E15993" s="0" t="s">
        <v>89</v>
      </c>
      <c r="F15993" s="0" t="s">
        <v>15</v>
      </c>
      <c r="G15993" s="0" t="s">
        <v>16</v>
      </c>
      <c r="H15993" s="0" t="n">
        <v>58</v>
      </c>
      <c r="I15993" s="0" t="s">
        <v>53289</v>
      </c>
      <c r="J15993" s="0" t="s">
        <v>53290</v>
      </c>
      <c r="K15993" s="0" t="s">
        <v>53291</v>
      </c>
      <c r="L15993" s="0" t="str">
        <f aca="false">HYPERLINK("https://www.ncbi.nlm.nih.gov/nuccore/CP000304.1?report=graph&amp;tracks=[key:gene_model_track,Options:GeneOnly]&amp;mk=4517196:4517215|offset_33|444444,4517221:4517240|offset_58|00cc00,4517247:4517266|offset_84|444444,4517279:4517298|offset_116|444444&amp;v=4516995:4517498&amp;c=444444", "offset 58")</f>
        <v>offset 58</v>
      </c>
    </row>
    <row r="15994" customFormat="false" ht="12.8" hidden="false" customHeight="false" outlineLevel="0" collapsed="false">
      <c r="A15994" s="0" t="s">
        <v>12</v>
      </c>
      <c r="B15994" s="0" t="n">
        <v>4517246</v>
      </c>
      <c r="C15994" s="0" t="n">
        <v>4517266</v>
      </c>
      <c r="D15994" s="0" t="s">
        <v>53285</v>
      </c>
      <c r="E15994" s="0" t="s">
        <v>89</v>
      </c>
      <c r="F15994" s="0" t="s">
        <v>15</v>
      </c>
      <c r="G15994" s="0" t="s">
        <v>36</v>
      </c>
      <c r="H15994" s="0" t="n">
        <v>84</v>
      </c>
      <c r="I15994" s="0" t="s">
        <v>53292</v>
      </c>
      <c r="J15994" s="0" t="s">
        <v>53293</v>
      </c>
      <c r="K15994" s="0" t="s">
        <v>53294</v>
      </c>
      <c r="L15994" s="0" t="str">
        <f aca="false">HYPERLINK("https://www.ncbi.nlm.nih.gov/nuccore/CP000304.1?report=graph&amp;tracks=[key:gene_model_track,Options:GeneOnly]&amp;mk=4517196:4517215|offset_33|444444,4517221:4517240|offset_58|444444,4517247:4517266|offset_84|00cc00,4517279:4517298|offset_116|444444&amp;v=4516995:4517498&amp;c=444444", "offset 84")</f>
        <v>offset 84</v>
      </c>
    </row>
    <row r="15995" customFormat="false" ht="12.8" hidden="false" customHeight="false" outlineLevel="0" collapsed="false">
      <c r="A15995" s="0" t="s">
        <v>12</v>
      </c>
      <c r="B15995" s="0" t="n">
        <v>4517278</v>
      </c>
      <c r="C15995" s="0" t="n">
        <v>4517298</v>
      </c>
      <c r="D15995" s="0" t="s">
        <v>53285</v>
      </c>
      <c r="E15995" s="0" t="s">
        <v>89</v>
      </c>
      <c r="F15995" s="0" t="s">
        <v>15</v>
      </c>
      <c r="G15995" s="0" t="s">
        <v>26</v>
      </c>
      <c r="H15995" s="0" t="n">
        <v>116</v>
      </c>
      <c r="I15995" s="0" t="s">
        <v>53295</v>
      </c>
      <c r="J15995" s="0" t="s">
        <v>53296</v>
      </c>
      <c r="K15995" s="0" t="s">
        <v>53297</v>
      </c>
      <c r="L15995" s="0" t="str">
        <f aca="false">HYPERLINK("https://www.ncbi.nlm.nih.gov/nuccore/CP000304.1?report=graph&amp;tracks=[key:gene_model_track,Options:GeneOnly]&amp;mk=4517196:4517215|offset_33|444444,4517221:4517240|offset_58|444444,4517247:4517266|offset_84|444444,4517279:4517298|offset_116|00cc00&amp;v=4516995:4517498&amp;c=444444", "offset 116")</f>
        <v>offset 116</v>
      </c>
    </row>
    <row r="15996" customFormat="false" ht="12.8" hidden="false" customHeight="false" outlineLevel="0" collapsed="false">
      <c r="A15996" s="0" t="s">
        <v>12</v>
      </c>
      <c r="B15996" s="0" t="n">
        <v>4517717</v>
      </c>
      <c r="C15996" s="0" t="n">
        <v>4517737</v>
      </c>
      <c r="D15996" s="0" t="s">
        <v>53298</v>
      </c>
      <c r="E15996" s="0" t="s">
        <v>53299</v>
      </c>
      <c r="F15996" s="0" t="s">
        <v>15</v>
      </c>
      <c r="G15996" s="0" t="s">
        <v>32</v>
      </c>
      <c r="H15996" s="0" t="n">
        <v>32</v>
      </c>
      <c r="I15996" s="0" t="s">
        <v>53300</v>
      </c>
      <c r="J15996" s="0" t="s">
        <v>53301</v>
      </c>
      <c r="K15996" s="0" t="s">
        <v>53302</v>
      </c>
      <c r="L15996" s="0" t="str">
        <f aca="false">HYPERLINK("https://www.ncbi.nlm.nih.gov/nuccore/CP000304.1?report=graph&amp;tracks=[key:gene_model_track,Options:GeneOnly]&amp;mk=4517718:4517737|offset_32|00cc00,4517753:4517772|offset_67|444444,4517798:4517817|offset_112|444444,4517868:4517887|offset_182|444444&amp;v=4517517:4518087&amp;c=444444", "offset 32")</f>
        <v>offset 32</v>
      </c>
    </row>
    <row r="15997" customFormat="false" ht="12.8" hidden="false" customHeight="false" outlineLevel="0" collapsed="false">
      <c r="A15997" s="0" t="s">
        <v>12</v>
      </c>
      <c r="B15997" s="0" t="n">
        <v>4517752</v>
      </c>
      <c r="C15997" s="0" t="n">
        <v>4517772</v>
      </c>
      <c r="D15997" s="0" t="s">
        <v>53298</v>
      </c>
      <c r="E15997" s="0" t="s">
        <v>53299</v>
      </c>
      <c r="F15997" s="0" t="s">
        <v>15</v>
      </c>
      <c r="G15997" s="0" t="s">
        <v>16</v>
      </c>
      <c r="H15997" s="0" t="n">
        <v>67</v>
      </c>
      <c r="I15997" s="0" t="s">
        <v>53303</v>
      </c>
      <c r="J15997" s="0" t="s">
        <v>53304</v>
      </c>
      <c r="K15997" s="0" t="s">
        <v>53305</v>
      </c>
      <c r="L15997" s="0" t="str">
        <f aca="false">HYPERLINK("https://www.ncbi.nlm.nih.gov/nuccore/CP000304.1?report=graph&amp;tracks=[key:gene_model_track,Options:GeneOnly]&amp;mk=4517718:4517737|offset_32|444444,4517753:4517772|offset_67|00cc00,4517798:4517817|offset_112|444444,4517868:4517887|offset_182|444444&amp;v=4517517:4518087&amp;c=444444", "offset 67")</f>
        <v>offset 67</v>
      </c>
    </row>
    <row r="15998" customFormat="false" ht="12.8" hidden="false" customHeight="false" outlineLevel="0" collapsed="false">
      <c r="A15998" s="0" t="s">
        <v>12</v>
      </c>
      <c r="B15998" s="0" t="n">
        <v>4517797</v>
      </c>
      <c r="C15998" s="0" t="n">
        <v>4517817</v>
      </c>
      <c r="D15998" s="0" t="s">
        <v>53298</v>
      </c>
      <c r="E15998" s="0" t="s">
        <v>53299</v>
      </c>
      <c r="F15998" s="0" t="s">
        <v>15</v>
      </c>
      <c r="G15998" s="0" t="s">
        <v>32</v>
      </c>
      <c r="H15998" s="0" t="n">
        <v>112</v>
      </c>
      <c r="I15998" s="0" t="s">
        <v>53306</v>
      </c>
      <c r="J15998" s="0" t="s">
        <v>53307</v>
      </c>
      <c r="K15998" s="0" t="s">
        <v>53308</v>
      </c>
      <c r="L15998" s="0" t="str">
        <f aca="false">HYPERLINK("https://www.ncbi.nlm.nih.gov/nuccore/CP000304.1?report=graph&amp;tracks=[key:gene_model_track,Options:GeneOnly]&amp;mk=4517718:4517737|offset_32|444444,4517753:4517772|offset_67|444444,4517798:4517817|offset_112|00cc00,4517868:4517887|offset_182|444444&amp;v=4517517:4518087&amp;c=444444", "offset 112")</f>
        <v>offset 112</v>
      </c>
    </row>
    <row r="15999" customFormat="false" ht="12.8" hidden="false" customHeight="false" outlineLevel="0" collapsed="false">
      <c r="A15999" s="0" t="s">
        <v>12</v>
      </c>
      <c r="B15999" s="0" t="n">
        <v>4517867</v>
      </c>
      <c r="C15999" s="0" t="n">
        <v>4517887</v>
      </c>
      <c r="D15999" s="0" t="s">
        <v>53298</v>
      </c>
      <c r="E15999" s="0" t="s">
        <v>53299</v>
      </c>
      <c r="F15999" s="0" t="s">
        <v>15</v>
      </c>
      <c r="G15999" s="0" t="s">
        <v>16</v>
      </c>
      <c r="H15999" s="0" t="n">
        <v>182</v>
      </c>
      <c r="I15999" s="0" t="s">
        <v>53309</v>
      </c>
      <c r="J15999" s="0" t="s">
        <v>53310</v>
      </c>
      <c r="K15999" s="0" t="s">
        <v>53311</v>
      </c>
      <c r="L15999" s="0" t="str">
        <f aca="false">HYPERLINK("https://www.ncbi.nlm.nih.gov/nuccore/CP000304.1?report=graph&amp;tracks=[key:gene_model_track,Options:GeneOnly]&amp;mk=4517718:4517737|offset_32|444444,4517753:4517772|offset_67|444444,4517798:4517817|offset_112|444444,4517868:4517887|offset_182|00cc00&amp;v=4517517:4518087&amp;c=444444", "offset 182")</f>
        <v>offset 182</v>
      </c>
    </row>
    <row r="16000" customFormat="false" ht="12.8" hidden="false" customHeight="false" outlineLevel="0" collapsed="false">
      <c r="A16000" s="0" t="s">
        <v>12</v>
      </c>
      <c r="B16000" s="0" t="n">
        <v>4518926</v>
      </c>
      <c r="C16000" s="0" t="n">
        <v>4518946</v>
      </c>
      <c r="D16000" s="0" t="s">
        <v>53312</v>
      </c>
      <c r="E16000" s="0" t="s">
        <v>53313</v>
      </c>
      <c r="F16000" s="0" t="s">
        <v>15</v>
      </c>
      <c r="G16000" s="0" t="s">
        <v>26</v>
      </c>
      <c r="H16000" s="0" t="n">
        <v>8</v>
      </c>
      <c r="I16000" s="0" t="s">
        <v>53314</v>
      </c>
      <c r="J16000" s="0" t="s">
        <v>53315</v>
      </c>
      <c r="K16000" s="0" t="s">
        <v>53316</v>
      </c>
      <c r="L16000" s="0" t="str">
        <f aca="false">HYPERLINK("https://www.ncbi.nlm.nih.gov/nuccore/CP000304.1?report=graph&amp;tracks=[key:gene_model_track,Options:GeneOnly]&amp;mk=4518927:4518946|offset_8|00cc00,4518947:4518966|offset_28|444444,4518981:4519000|offset_62|444444,4519021:4519040|offset_102|444444&amp;v=4518726:4519240&amp;c=444444", "offset 8")</f>
        <v>offset 8</v>
      </c>
    </row>
    <row r="16001" customFormat="false" ht="12.8" hidden="false" customHeight="false" outlineLevel="0" collapsed="false">
      <c r="A16001" s="0" t="s">
        <v>12</v>
      </c>
      <c r="B16001" s="0" t="n">
        <v>4518946</v>
      </c>
      <c r="C16001" s="0" t="n">
        <v>4518966</v>
      </c>
      <c r="D16001" s="0" t="s">
        <v>53312</v>
      </c>
      <c r="E16001" s="0" t="s">
        <v>53313</v>
      </c>
      <c r="F16001" s="0" t="s">
        <v>15</v>
      </c>
      <c r="G16001" s="0" t="s">
        <v>26</v>
      </c>
      <c r="H16001" s="0" t="n">
        <v>28</v>
      </c>
      <c r="I16001" s="0" t="s">
        <v>53317</v>
      </c>
      <c r="J16001" s="0" t="s">
        <v>53318</v>
      </c>
      <c r="K16001" s="0" t="s">
        <v>53319</v>
      </c>
      <c r="L16001" s="0" t="str">
        <f aca="false">HYPERLINK("https://www.ncbi.nlm.nih.gov/nuccore/CP000304.1?report=graph&amp;tracks=[key:gene_model_track,Options:GeneOnly]&amp;mk=4518927:4518946|offset_8|444444,4518947:4518966|offset_28|00cc00,4518981:4519000|offset_62|444444,4519021:4519040|offset_102|444444&amp;v=4518726:4519240&amp;c=444444", "offset 28")</f>
        <v>offset 28</v>
      </c>
    </row>
    <row r="16002" customFormat="false" ht="12.8" hidden="false" customHeight="false" outlineLevel="0" collapsed="false">
      <c r="A16002" s="0" t="s">
        <v>12</v>
      </c>
      <c r="B16002" s="0" t="n">
        <v>4518980</v>
      </c>
      <c r="C16002" s="0" t="n">
        <v>4519000</v>
      </c>
      <c r="D16002" s="0" t="s">
        <v>53312</v>
      </c>
      <c r="E16002" s="0" t="s">
        <v>53313</v>
      </c>
      <c r="F16002" s="0" t="s">
        <v>15</v>
      </c>
      <c r="G16002" s="0" t="s">
        <v>16</v>
      </c>
      <c r="H16002" s="0" t="n">
        <v>62</v>
      </c>
      <c r="I16002" s="0" t="s">
        <v>53320</v>
      </c>
      <c r="J16002" s="0" t="s">
        <v>53321</v>
      </c>
      <c r="K16002" s="0" t="s">
        <v>53322</v>
      </c>
      <c r="L16002" s="0" t="str">
        <f aca="false">HYPERLINK("https://www.ncbi.nlm.nih.gov/nuccore/CP000304.1?report=graph&amp;tracks=[key:gene_model_track,Options:GeneOnly]&amp;mk=4518927:4518946|offset_8|444444,4518947:4518966|offset_28|444444,4518981:4519000|offset_62|00cc00,4519021:4519040|offset_102|444444&amp;v=4518726:4519240&amp;c=444444", "offset 62")</f>
        <v>offset 62</v>
      </c>
    </row>
    <row r="16003" customFormat="false" ht="12.8" hidden="false" customHeight="false" outlineLevel="0" collapsed="false">
      <c r="A16003" s="0" t="s">
        <v>12</v>
      </c>
      <c r="B16003" s="0" t="n">
        <v>4519020</v>
      </c>
      <c r="C16003" s="0" t="n">
        <v>4519040</v>
      </c>
      <c r="D16003" s="0" t="s">
        <v>53312</v>
      </c>
      <c r="E16003" s="0" t="s">
        <v>53313</v>
      </c>
      <c r="F16003" s="0" t="s">
        <v>15</v>
      </c>
      <c r="G16003" s="0" t="s">
        <v>16</v>
      </c>
      <c r="H16003" s="0" t="n">
        <v>102</v>
      </c>
      <c r="I16003" s="0" t="s">
        <v>53323</v>
      </c>
      <c r="J16003" s="0" t="s">
        <v>53324</v>
      </c>
      <c r="K16003" s="0" t="s">
        <v>53325</v>
      </c>
      <c r="L16003" s="0" t="str">
        <f aca="false">HYPERLINK("https://www.ncbi.nlm.nih.gov/nuccore/CP000304.1?report=graph&amp;tracks=[key:gene_model_track,Options:GeneOnly]&amp;mk=4518927:4518946|offset_8|444444,4518947:4518966|offset_28|444444,4518981:4519000|offset_62|444444,4519021:4519040|offset_102|00cc00&amp;v=4518726:4519240&amp;c=444444", "offset 102")</f>
        <v>offset 102</v>
      </c>
    </row>
    <row r="16004" customFormat="false" ht="12.8" hidden="false" customHeight="false" outlineLevel="0" collapsed="false">
      <c r="A16004" s="0" t="s">
        <v>12</v>
      </c>
      <c r="B16004" s="0" t="n">
        <v>4520510</v>
      </c>
      <c r="C16004" s="0" t="n">
        <v>4520530</v>
      </c>
      <c r="D16004" s="0" t="s">
        <v>53326</v>
      </c>
      <c r="E16004" s="0" t="s">
        <v>53327</v>
      </c>
      <c r="F16004" s="0" t="s">
        <v>15</v>
      </c>
      <c r="G16004" s="0" t="s">
        <v>32</v>
      </c>
      <c r="H16004" s="0" t="n">
        <v>1</v>
      </c>
      <c r="I16004" s="0" t="s">
        <v>53328</v>
      </c>
      <c r="J16004" s="0" t="s">
        <v>53329</v>
      </c>
      <c r="K16004" s="0" t="s">
        <v>53330</v>
      </c>
      <c r="L16004" s="0" t="str">
        <f aca="false">HYPERLINK("https://www.ncbi.nlm.nih.gov/nuccore/CP000304.1?report=graph&amp;tracks=[key:gene_model_track,Options:GeneOnly]&amp;mk=4520511:4520530|offset_1|00cc00,4520545:4520564|offset_35|444444,4520571:4520590|offset_61|444444,4520600:4520619|offset_90|444444&amp;v=4520310:4520819&amp;c=444444", "offset 1")</f>
        <v>offset 1</v>
      </c>
    </row>
    <row r="16005" customFormat="false" ht="12.8" hidden="false" customHeight="false" outlineLevel="0" collapsed="false">
      <c r="A16005" s="0" t="s">
        <v>12</v>
      </c>
      <c r="B16005" s="0" t="n">
        <v>4520544</v>
      </c>
      <c r="C16005" s="0" t="n">
        <v>4520564</v>
      </c>
      <c r="D16005" s="0" t="s">
        <v>53326</v>
      </c>
      <c r="E16005" s="0" t="s">
        <v>53327</v>
      </c>
      <c r="F16005" s="0" t="s">
        <v>15</v>
      </c>
      <c r="G16005" s="0" t="s">
        <v>16</v>
      </c>
      <c r="H16005" s="0" t="n">
        <v>35</v>
      </c>
      <c r="I16005" s="0" t="s">
        <v>53331</v>
      </c>
      <c r="J16005" s="0" t="s">
        <v>53332</v>
      </c>
      <c r="K16005" s="0" t="s">
        <v>53333</v>
      </c>
      <c r="L16005" s="0" t="str">
        <f aca="false">HYPERLINK("https://www.ncbi.nlm.nih.gov/nuccore/CP000304.1?report=graph&amp;tracks=[key:gene_model_track,Options:GeneOnly]&amp;mk=4520511:4520530|offset_1|444444,4520545:4520564|offset_35|00cc00,4520571:4520590|offset_61|444444,4520600:4520619|offset_90|444444&amp;v=4520310:4520819&amp;c=444444", "offset 35")</f>
        <v>offset 35</v>
      </c>
    </row>
    <row r="16006" customFormat="false" ht="12.8" hidden="false" customHeight="false" outlineLevel="0" collapsed="false">
      <c r="A16006" s="0" t="s">
        <v>12</v>
      </c>
      <c r="B16006" s="0" t="n">
        <v>4520570</v>
      </c>
      <c r="C16006" s="0" t="n">
        <v>4520590</v>
      </c>
      <c r="D16006" s="0" t="s">
        <v>53326</v>
      </c>
      <c r="E16006" s="0" t="s">
        <v>53327</v>
      </c>
      <c r="F16006" s="0" t="s">
        <v>15</v>
      </c>
      <c r="G16006" s="0" t="s">
        <v>32</v>
      </c>
      <c r="H16006" s="0" t="n">
        <v>61</v>
      </c>
      <c r="I16006" s="0" t="s">
        <v>53334</v>
      </c>
      <c r="J16006" s="0" t="s">
        <v>53335</v>
      </c>
      <c r="K16006" s="0" t="s">
        <v>53336</v>
      </c>
      <c r="L16006" s="0" t="str">
        <f aca="false">HYPERLINK("https://www.ncbi.nlm.nih.gov/nuccore/CP000304.1?report=graph&amp;tracks=[key:gene_model_track,Options:GeneOnly]&amp;mk=4520511:4520530|offset_1|444444,4520545:4520564|offset_35|444444,4520571:4520590|offset_61|00cc00,4520600:4520619|offset_90|444444&amp;v=4520310:4520819&amp;c=444444", "offset 61")</f>
        <v>offset 61</v>
      </c>
    </row>
    <row r="16007" customFormat="false" ht="12.8" hidden="false" customHeight="false" outlineLevel="0" collapsed="false">
      <c r="A16007" s="0" t="s">
        <v>12</v>
      </c>
      <c r="B16007" s="0" t="n">
        <v>4520599</v>
      </c>
      <c r="C16007" s="0" t="n">
        <v>4520619</v>
      </c>
      <c r="D16007" s="0" t="s">
        <v>53326</v>
      </c>
      <c r="E16007" s="0" t="s">
        <v>53327</v>
      </c>
      <c r="F16007" s="0" t="s">
        <v>15</v>
      </c>
      <c r="G16007" s="0" t="s">
        <v>16</v>
      </c>
      <c r="H16007" s="0" t="n">
        <v>90</v>
      </c>
      <c r="I16007" s="0" t="s">
        <v>53337</v>
      </c>
      <c r="J16007" s="0" t="s">
        <v>53338</v>
      </c>
      <c r="K16007" s="0" t="s">
        <v>53339</v>
      </c>
      <c r="L16007" s="0" t="str">
        <f aca="false">HYPERLINK("https://www.ncbi.nlm.nih.gov/nuccore/CP000304.1?report=graph&amp;tracks=[key:gene_model_track,Options:GeneOnly]&amp;mk=4520511:4520530|offset_1|444444,4520545:4520564|offset_35|444444,4520571:4520590|offset_61|444444,4520600:4520619|offset_90|00cc00&amp;v=4520310:4520819&amp;c=444444", "offset 90")</f>
        <v>offset 90</v>
      </c>
    </row>
    <row r="16008" customFormat="false" ht="12.8" hidden="false" customHeight="false" outlineLevel="0" collapsed="false">
      <c r="A16008" s="0" t="s">
        <v>12</v>
      </c>
      <c r="B16008" s="0" t="n">
        <v>4521089</v>
      </c>
      <c r="C16008" s="0" t="n">
        <v>4521109</v>
      </c>
      <c r="D16008" s="0" t="s">
        <v>53340</v>
      </c>
      <c r="E16008" s="0" t="s">
        <v>53341</v>
      </c>
      <c r="F16008" s="0" t="s">
        <v>15</v>
      </c>
      <c r="G16008" s="0" t="s">
        <v>32</v>
      </c>
      <c r="H16008" s="0" t="n">
        <v>8</v>
      </c>
      <c r="I16008" s="0" t="s">
        <v>53342</v>
      </c>
      <c r="J16008" s="0" t="s">
        <v>53343</v>
      </c>
      <c r="K16008" s="0" t="s">
        <v>53344</v>
      </c>
      <c r="L16008" s="0" t="str">
        <f aca="false">HYPERLINK("https://www.ncbi.nlm.nih.gov/nuccore/CP000304.1?report=graph&amp;tracks=[key:gene_model_track,Options:GeneOnly]&amp;mk=4521090:4521109|offset_8|00cc00,4521121:4521140|offset_39|444444,4521152:4521171|offset_70|444444,4521180:4521199|offset_98|444444&amp;v=4520889:4521399&amp;c=444444", "offset 8")</f>
        <v>offset 8</v>
      </c>
    </row>
    <row r="16009" customFormat="false" ht="12.8" hidden="false" customHeight="false" outlineLevel="0" collapsed="false">
      <c r="A16009" s="0" t="s">
        <v>12</v>
      </c>
      <c r="B16009" s="0" t="n">
        <v>4521120</v>
      </c>
      <c r="C16009" s="0" t="n">
        <v>4521140</v>
      </c>
      <c r="D16009" s="0" t="s">
        <v>53340</v>
      </c>
      <c r="E16009" s="0" t="s">
        <v>53341</v>
      </c>
      <c r="F16009" s="0" t="s">
        <v>15</v>
      </c>
      <c r="G16009" s="0" t="s">
        <v>26</v>
      </c>
      <c r="H16009" s="0" t="n">
        <v>39</v>
      </c>
      <c r="I16009" s="0" t="s">
        <v>53345</v>
      </c>
      <c r="J16009" s="0" t="s">
        <v>53346</v>
      </c>
      <c r="K16009" s="0" t="s">
        <v>53347</v>
      </c>
      <c r="L16009" s="0" t="str">
        <f aca="false">HYPERLINK("https://www.ncbi.nlm.nih.gov/nuccore/CP000304.1?report=graph&amp;tracks=[key:gene_model_track,Options:GeneOnly]&amp;mk=4521090:4521109|offset_8|444444,4521121:4521140|offset_39|00cc00,4521152:4521171|offset_70|444444,4521180:4521199|offset_98|444444&amp;v=4520889:4521399&amp;c=444444", "offset 39")</f>
        <v>offset 39</v>
      </c>
    </row>
    <row r="16010" customFormat="false" ht="12.8" hidden="false" customHeight="false" outlineLevel="0" collapsed="false">
      <c r="A16010" s="0" t="s">
        <v>12</v>
      </c>
      <c r="B16010" s="0" t="n">
        <v>4521151</v>
      </c>
      <c r="C16010" s="0" t="n">
        <v>4521171</v>
      </c>
      <c r="D16010" s="0" t="s">
        <v>53340</v>
      </c>
      <c r="E16010" s="0" t="s">
        <v>53341</v>
      </c>
      <c r="F16010" s="0" t="s">
        <v>15</v>
      </c>
      <c r="G16010" s="0" t="s">
        <v>32</v>
      </c>
      <c r="H16010" s="0" t="n">
        <v>70</v>
      </c>
      <c r="I16010" s="0" t="s">
        <v>53348</v>
      </c>
      <c r="J16010" s="0" t="s">
        <v>53349</v>
      </c>
      <c r="K16010" s="0" t="s">
        <v>53350</v>
      </c>
      <c r="L16010" s="0" t="str">
        <f aca="false">HYPERLINK("https://www.ncbi.nlm.nih.gov/nuccore/CP000304.1?report=graph&amp;tracks=[key:gene_model_track,Options:GeneOnly]&amp;mk=4521090:4521109|offset_8|444444,4521121:4521140|offset_39|444444,4521152:4521171|offset_70|00cc00,4521180:4521199|offset_98|444444&amp;v=4520889:4521399&amp;c=444444", "offset 70")</f>
        <v>offset 70</v>
      </c>
    </row>
    <row r="16011" customFormat="false" ht="12.8" hidden="false" customHeight="false" outlineLevel="0" collapsed="false">
      <c r="A16011" s="0" t="s">
        <v>12</v>
      </c>
      <c r="B16011" s="0" t="n">
        <v>4521179</v>
      </c>
      <c r="C16011" s="0" t="n">
        <v>4521199</v>
      </c>
      <c r="D16011" s="0" t="s">
        <v>53340</v>
      </c>
      <c r="E16011" s="0" t="s">
        <v>53341</v>
      </c>
      <c r="F16011" s="0" t="s">
        <v>15</v>
      </c>
      <c r="G16011" s="0" t="s">
        <v>26</v>
      </c>
      <c r="H16011" s="0" t="n">
        <v>98</v>
      </c>
      <c r="I16011" s="0" t="s">
        <v>53351</v>
      </c>
      <c r="J16011" s="0" t="s">
        <v>53352</v>
      </c>
      <c r="K16011" s="0" t="s">
        <v>53353</v>
      </c>
      <c r="L16011" s="0" t="str">
        <f aca="false">HYPERLINK("https://www.ncbi.nlm.nih.gov/nuccore/CP000304.1?report=graph&amp;tracks=[key:gene_model_track,Options:GeneOnly]&amp;mk=4521090:4521109|offset_8|444444,4521121:4521140|offset_39|444444,4521152:4521171|offset_70|444444,4521180:4521199|offset_98|00cc00&amp;v=4520889:4521399&amp;c=444444", "offset 98")</f>
        <v>offset 98</v>
      </c>
    </row>
    <row r="16012" customFormat="false" ht="12.8" hidden="false" customHeight="false" outlineLevel="0" collapsed="false">
      <c r="A16012" s="0" t="s">
        <v>12</v>
      </c>
      <c r="B16012" s="0" t="n">
        <v>4522132</v>
      </c>
      <c r="C16012" s="0" t="n">
        <v>4522152</v>
      </c>
      <c r="D16012" s="0" t="s">
        <v>53354</v>
      </c>
      <c r="E16012" s="0" t="s">
        <v>89</v>
      </c>
      <c r="F16012" s="0" t="s">
        <v>90</v>
      </c>
      <c r="G16012" s="0" t="s">
        <v>32</v>
      </c>
      <c r="H16012" s="0" t="n">
        <v>49</v>
      </c>
      <c r="I16012" s="0" t="s">
        <v>53355</v>
      </c>
      <c r="J16012" s="0" t="s">
        <v>53356</v>
      </c>
      <c r="K16012" s="0" t="s">
        <v>53357</v>
      </c>
      <c r="L16012" s="0" t="str">
        <f aca="false">HYPERLINK("https://www.ncbi.nlm.nih.gov/nuccore/CP000304.1?report=graph&amp;tracks=[key:gene_model_track,Options:GeneOnly]&amp;mk=4522133:4522152|offset_49|00cc00,4522099:4522118|offset_83|444444,4522076:4522095|offset_106|444444,4522048:4522067|offset_134|444444&amp;v=4521932:4522267&amp;c=444444", "offset 49")</f>
        <v>offset 49</v>
      </c>
    </row>
    <row r="16013" customFormat="false" ht="12.8" hidden="false" customHeight="false" outlineLevel="0" collapsed="false">
      <c r="A16013" s="0" t="s">
        <v>12</v>
      </c>
      <c r="B16013" s="0" t="n">
        <v>4522098</v>
      </c>
      <c r="C16013" s="0" t="n">
        <v>4522118</v>
      </c>
      <c r="D16013" s="0" t="s">
        <v>53354</v>
      </c>
      <c r="E16013" s="0" t="s">
        <v>89</v>
      </c>
      <c r="F16013" s="0" t="s">
        <v>90</v>
      </c>
      <c r="G16013" s="0" t="s">
        <v>26</v>
      </c>
      <c r="H16013" s="0" t="n">
        <v>83</v>
      </c>
      <c r="I16013" s="0" t="s">
        <v>53358</v>
      </c>
      <c r="J16013" s="0" t="s">
        <v>53359</v>
      </c>
      <c r="K16013" s="0" t="s">
        <v>53360</v>
      </c>
      <c r="L16013" s="0" t="str">
        <f aca="false">HYPERLINK("https://www.ncbi.nlm.nih.gov/nuccore/CP000304.1?report=graph&amp;tracks=[key:gene_model_track,Options:GeneOnly]&amp;mk=4522133:4522152|offset_49|444444,4522099:4522118|offset_83|00cc00,4522076:4522095|offset_106|444444,4522048:4522067|offset_134|444444&amp;v=4521932:4522267&amp;c=444444", "offset 83")</f>
        <v>offset 83</v>
      </c>
    </row>
    <row r="16014" customFormat="false" ht="12.8" hidden="false" customHeight="false" outlineLevel="0" collapsed="false">
      <c r="A16014" s="0" t="s">
        <v>12</v>
      </c>
      <c r="B16014" s="0" t="n">
        <v>4522075</v>
      </c>
      <c r="C16014" s="0" t="n">
        <v>4522095</v>
      </c>
      <c r="D16014" s="0" t="s">
        <v>53354</v>
      </c>
      <c r="E16014" s="0" t="s">
        <v>89</v>
      </c>
      <c r="F16014" s="0" t="s">
        <v>90</v>
      </c>
      <c r="G16014" s="0" t="s">
        <v>26</v>
      </c>
      <c r="H16014" s="0" t="n">
        <v>106</v>
      </c>
      <c r="I16014" s="0" t="s">
        <v>53361</v>
      </c>
      <c r="J16014" s="0" t="s">
        <v>53362</v>
      </c>
      <c r="K16014" s="0" t="s">
        <v>53363</v>
      </c>
      <c r="L16014" s="0" t="str">
        <f aca="false">HYPERLINK("https://www.ncbi.nlm.nih.gov/nuccore/CP000304.1?report=graph&amp;tracks=[key:gene_model_track,Options:GeneOnly]&amp;mk=4522133:4522152|offset_49|444444,4522099:4522118|offset_83|444444,4522076:4522095|offset_106|00cc00,4522048:4522067|offset_134|444444&amp;v=4521932:4522267&amp;c=444444", "offset 106")</f>
        <v>offset 106</v>
      </c>
    </row>
    <row r="16015" customFormat="false" ht="12.8" hidden="false" customHeight="false" outlineLevel="0" collapsed="false">
      <c r="A16015" s="0" t="s">
        <v>12</v>
      </c>
      <c r="B16015" s="0" t="n">
        <v>4522047</v>
      </c>
      <c r="C16015" s="0" t="n">
        <v>4522067</v>
      </c>
      <c r="D16015" s="0" t="s">
        <v>53354</v>
      </c>
      <c r="E16015" s="0" t="s">
        <v>89</v>
      </c>
      <c r="F16015" s="0" t="s">
        <v>90</v>
      </c>
      <c r="G16015" s="0" t="s">
        <v>16</v>
      </c>
      <c r="H16015" s="0" t="n">
        <v>134</v>
      </c>
      <c r="I16015" s="0" t="s">
        <v>53364</v>
      </c>
      <c r="J16015" s="0" t="s">
        <v>53365</v>
      </c>
      <c r="K16015" s="0" t="s">
        <v>53366</v>
      </c>
      <c r="L16015" s="0" t="str">
        <f aca="false">HYPERLINK("https://www.ncbi.nlm.nih.gov/nuccore/CP000304.1?report=graph&amp;tracks=[key:gene_model_track,Options:GeneOnly]&amp;mk=4522133:4522152|offset_49|444444,4522099:4522118|offset_83|444444,4522076:4522095|offset_106|444444,4522048:4522067|offset_134|00cc00&amp;v=4521932:4522267&amp;c=444444", "offset 134")</f>
        <v>offset 134</v>
      </c>
    </row>
    <row r="16016" customFormat="false" ht="12.8" hidden="false" customHeight="false" outlineLevel="0" collapsed="false">
      <c r="A16016" s="0" t="s">
        <v>12</v>
      </c>
      <c r="B16016" s="0" t="n">
        <v>4522260</v>
      </c>
      <c r="C16016" s="0" t="n">
        <v>4522280</v>
      </c>
      <c r="D16016" s="0" t="s">
        <v>53367</v>
      </c>
      <c r="E16016" s="0" t="s">
        <v>89</v>
      </c>
      <c r="F16016" s="0" t="s">
        <v>15</v>
      </c>
      <c r="G16016" s="0" t="s">
        <v>32</v>
      </c>
      <c r="H16016" s="0" t="n">
        <v>1</v>
      </c>
      <c r="I16016" s="0" t="s">
        <v>53368</v>
      </c>
      <c r="J16016" s="0" t="s">
        <v>53369</v>
      </c>
      <c r="K16016" s="0" t="s">
        <v>53370</v>
      </c>
      <c r="L16016" s="0" t="str">
        <f aca="false">HYPERLINK("https://www.ncbi.nlm.nih.gov/nuccore/CP000304.1?report=graph&amp;tracks=[key:gene_model_track,Options:GeneOnly]&amp;mk=4522261:4522280|offset_1|00cc00,4522290:4522309|offset_30|444444,4522317:4522336|offset_57|444444,4522385:4522404|offset_125|444444&amp;v=4522060:4522604&amp;c=444444", "offset 1")</f>
        <v>offset 1</v>
      </c>
    </row>
    <row r="16017" customFormat="false" ht="12.8" hidden="false" customHeight="false" outlineLevel="0" collapsed="false">
      <c r="A16017" s="0" t="s">
        <v>12</v>
      </c>
      <c r="B16017" s="0" t="n">
        <v>4522289</v>
      </c>
      <c r="C16017" s="0" t="n">
        <v>4522309</v>
      </c>
      <c r="D16017" s="0" t="s">
        <v>53367</v>
      </c>
      <c r="E16017" s="0" t="s">
        <v>89</v>
      </c>
      <c r="F16017" s="0" t="s">
        <v>15</v>
      </c>
      <c r="G16017" s="0" t="s">
        <v>16</v>
      </c>
      <c r="H16017" s="0" t="n">
        <v>30</v>
      </c>
      <c r="I16017" s="0" t="s">
        <v>53371</v>
      </c>
      <c r="J16017" s="0" t="s">
        <v>53372</v>
      </c>
      <c r="K16017" s="0" t="s">
        <v>53373</v>
      </c>
      <c r="L16017" s="0" t="str">
        <f aca="false">HYPERLINK("https://www.ncbi.nlm.nih.gov/nuccore/CP000304.1?report=graph&amp;tracks=[key:gene_model_track,Options:GeneOnly]&amp;mk=4522261:4522280|offset_1|444444,4522290:4522309|offset_30|00cc00,4522317:4522336|offset_57|444444,4522385:4522404|offset_125|444444&amp;v=4522060:4522604&amp;c=444444", "offset 30")</f>
        <v>offset 30</v>
      </c>
    </row>
    <row r="16018" customFormat="false" ht="12.8" hidden="false" customHeight="false" outlineLevel="0" collapsed="false">
      <c r="A16018" s="0" t="s">
        <v>12</v>
      </c>
      <c r="B16018" s="0" t="n">
        <v>4522316</v>
      </c>
      <c r="C16018" s="0" t="n">
        <v>4522336</v>
      </c>
      <c r="D16018" s="0" t="s">
        <v>53367</v>
      </c>
      <c r="E16018" s="0" t="s">
        <v>89</v>
      </c>
      <c r="F16018" s="0" t="s">
        <v>15</v>
      </c>
      <c r="G16018" s="0" t="s">
        <v>16</v>
      </c>
      <c r="H16018" s="0" t="n">
        <v>57</v>
      </c>
      <c r="I16018" s="0" t="s">
        <v>53374</v>
      </c>
      <c r="J16018" s="0" t="s">
        <v>53375</v>
      </c>
      <c r="K16018" s="0" t="s">
        <v>53376</v>
      </c>
      <c r="L16018" s="0" t="str">
        <f aca="false">HYPERLINK("https://www.ncbi.nlm.nih.gov/nuccore/CP000304.1?report=graph&amp;tracks=[key:gene_model_track,Options:GeneOnly]&amp;mk=4522261:4522280|offset_1|444444,4522290:4522309|offset_30|444444,4522317:4522336|offset_57|00cc00,4522385:4522404|offset_125|444444&amp;v=4522060:4522604&amp;c=444444", "offset 57")</f>
        <v>offset 57</v>
      </c>
    </row>
    <row r="16019" customFormat="false" ht="12.8" hidden="false" customHeight="false" outlineLevel="0" collapsed="false">
      <c r="A16019" s="0" t="s">
        <v>12</v>
      </c>
      <c r="B16019" s="0" t="n">
        <v>4522384</v>
      </c>
      <c r="C16019" s="0" t="n">
        <v>4522404</v>
      </c>
      <c r="D16019" s="0" t="s">
        <v>53367</v>
      </c>
      <c r="E16019" s="0" t="s">
        <v>89</v>
      </c>
      <c r="F16019" s="0" t="s">
        <v>15</v>
      </c>
      <c r="G16019" s="0" t="s">
        <v>32</v>
      </c>
      <c r="H16019" s="0" t="n">
        <v>125</v>
      </c>
      <c r="I16019" s="0" t="s">
        <v>53377</v>
      </c>
      <c r="J16019" s="0" t="s">
        <v>53378</v>
      </c>
      <c r="K16019" s="0" t="s">
        <v>53379</v>
      </c>
      <c r="L16019" s="0" t="str">
        <f aca="false">HYPERLINK("https://www.ncbi.nlm.nih.gov/nuccore/CP000304.1?report=graph&amp;tracks=[key:gene_model_track,Options:GeneOnly]&amp;mk=4522261:4522280|offset_1|444444,4522290:4522309|offset_30|444444,4522317:4522336|offset_57|444444,4522385:4522404|offset_125|00cc00&amp;v=4522060:4522604&amp;c=444444", "offset 125")</f>
        <v>offset 125</v>
      </c>
    </row>
    <row r="16020" customFormat="false" ht="12.8" hidden="false" customHeight="false" outlineLevel="0" collapsed="false">
      <c r="A16020" s="0" t="s">
        <v>12</v>
      </c>
      <c r="B16020" s="0" t="n">
        <v>4523012</v>
      </c>
      <c r="C16020" s="0" t="n">
        <v>4523032</v>
      </c>
      <c r="D16020" s="0" t="s">
        <v>53380</v>
      </c>
      <c r="E16020" s="0" t="s">
        <v>89</v>
      </c>
      <c r="F16020" s="0" t="s">
        <v>15</v>
      </c>
      <c r="G16020" s="0" t="s">
        <v>16</v>
      </c>
      <c r="H16020" s="0" t="n">
        <v>41</v>
      </c>
      <c r="I16020" s="0" t="s">
        <v>53381</v>
      </c>
      <c r="J16020" s="0" t="s">
        <v>53382</v>
      </c>
      <c r="K16020" s="0" t="s">
        <v>53383</v>
      </c>
      <c r="L16020" s="0" t="str">
        <f aca="false">HYPERLINK("https://www.ncbi.nlm.nih.gov/nuccore/CP000304.1?report=graph&amp;tracks=[key:gene_model_track,Options:GeneOnly]&amp;mk=4523013:4523032|offset_41|00cc00,4523058:4523077|offset_86|444444,4523078:4523097|offset_106|444444,4523104:4523123|offset_132|444444&amp;v=4522812:4523323&amp;c=444444", "offset 41")</f>
        <v>offset 41</v>
      </c>
    </row>
    <row r="16021" customFormat="false" ht="12.8" hidden="false" customHeight="false" outlineLevel="0" collapsed="false">
      <c r="A16021" s="0" t="s">
        <v>12</v>
      </c>
      <c r="B16021" s="0" t="n">
        <v>4523057</v>
      </c>
      <c r="C16021" s="0" t="n">
        <v>4523077</v>
      </c>
      <c r="D16021" s="0" t="s">
        <v>53380</v>
      </c>
      <c r="E16021" s="0" t="s">
        <v>89</v>
      </c>
      <c r="F16021" s="0" t="s">
        <v>15</v>
      </c>
      <c r="G16021" s="0" t="s">
        <v>36</v>
      </c>
      <c r="H16021" s="0" t="n">
        <v>86</v>
      </c>
      <c r="I16021" s="0" t="s">
        <v>53384</v>
      </c>
      <c r="J16021" s="0" t="s">
        <v>53385</v>
      </c>
      <c r="K16021" s="0" t="s">
        <v>53386</v>
      </c>
      <c r="L16021" s="0" t="str">
        <f aca="false">HYPERLINK("https://www.ncbi.nlm.nih.gov/nuccore/CP000304.1?report=graph&amp;tracks=[key:gene_model_track,Options:GeneOnly]&amp;mk=4523013:4523032|offset_41|444444,4523058:4523077|offset_86|00cc00,4523078:4523097|offset_106|444444,4523104:4523123|offset_132|444444&amp;v=4522812:4523323&amp;c=444444", "offset 86")</f>
        <v>offset 86</v>
      </c>
    </row>
    <row r="16022" customFormat="false" ht="12.8" hidden="false" customHeight="false" outlineLevel="0" collapsed="false">
      <c r="A16022" s="0" t="s">
        <v>12</v>
      </c>
      <c r="B16022" s="0" t="n">
        <v>4523077</v>
      </c>
      <c r="C16022" s="0" t="n">
        <v>4523097</v>
      </c>
      <c r="D16022" s="0" t="s">
        <v>53380</v>
      </c>
      <c r="E16022" s="0" t="s">
        <v>89</v>
      </c>
      <c r="F16022" s="0" t="s">
        <v>15</v>
      </c>
      <c r="G16022" s="0" t="s">
        <v>32</v>
      </c>
      <c r="H16022" s="0" t="n">
        <v>106</v>
      </c>
      <c r="I16022" s="0" t="s">
        <v>53387</v>
      </c>
      <c r="J16022" s="0" t="s">
        <v>53388</v>
      </c>
      <c r="K16022" s="0" t="s">
        <v>53389</v>
      </c>
      <c r="L16022" s="0" t="str">
        <f aca="false">HYPERLINK("https://www.ncbi.nlm.nih.gov/nuccore/CP000304.1?report=graph&amp;tracks=[key:gene_model_track,Options:GeneOnly]&amp;mk=4523013:4523032|offset_41|444444,4523058:4523077|offset_86|444444,4523078:4523097|offset_106|00cc00,4523104:4523123|offset_132|444444&amp;v=4522812:4523323&amp;c=444444", "offset 106")</f>
        <v>offset 106</v>
      </c>
    </row>
    <row r="16023" customFormat="false" ht="12.8" hidden="false" customHeight="false" outlineLevel="0" collapsed="false">
      <c r="A16023" s="0" t="s">
        <v>12</v>
      </c>
      <c r="B16023" s="0" t="n">
        <v>4523103</v>
      </c>
      <c r="C16023" s="0" t="n">
        <v>4523123</v>
      </c>
      <c r="D16023" s="0" t="s">
        <v>53380</v>
      </c>
      <c r="E16023" s="0" t="s">
        <v>89</v>
      </c>
      <c r="F16023" s="0" t="s">
        <v>15</v>
      </c>
      <c r="G16023" s="0" t="s">
        <v>16</v>
      </c>
      <c r="H16023" s="0" t="n">
        <v>132</v>
      </c>
      <c r="I16023" s="0" t="s">
        <v>53390</v>
      </c>
      <c r="J16023" s="0" t="s">
        <v>53391</v>
      </c>
      <c r="K16023" s="0" t="s">
        <v>53392</v>
      </c>
      <c r="L16023" s="0" t="str">
        <f aca="false">HYPERLINK("https://www.ncbi.nlm.nih.gov/nuccore/CP000304.1?report=graph&amp;tracks=[key:gene_model_track,Options:GeneOnly]&amp;mk=4523013:4523032|offset_41|444444,4523058:4523077|offset_86|444444,4523078:4523097|offset_106|444444,4523104:4523123|offset_132|00cc00&amp;v=4522812:4523323&amp;c=444444", "offset 132")</f>
        <v>offset 132</v>
      </c>
    </row>
    <row r="16024" customFormat="false" ht="12.8" hidden="false" customHeight="false" outlineLevel="0" collapsed="false">
      <c r="A16024" s="0" t="s">
        <v>12</v>
      </c>
      <c r="B16024" s="0" t="n">
        <v>4523602</v>
      </c>
      <c r="C16024" s="0" t="n">
        <v>4523622</v>
      </c>
      <c r="D16024" s="0" t="s">
        <v>53393</v>
      </c>
      <c r="E16024" s="0" t="s">
        <v>89</v>
      </c>
      <c r="F16024" s="0" t="s">
        <v>15</v>
      </c>
      <c r="G16024" s="0" t="s">
        <v>16</v>
      </c>
      <c r="H16024" s="0" t="n">
        <v>0</v>
      </c>
      <c r="I16024" s="0" t="s">
        <v>53394</v>
      </c>
      <c r="J16024" s="0" t="s">
        <v>53395</v>
      </c>
      <c r="K16024" s="0" t="s">
        <v>53396</v>
      </c>
      <c r="L16024" s="0" t="str">
        <f aca="false">HYPERLINK("https://www.ncbi.nlm.nih.gov/nuccore/CP000304.1?report=graph&amp;tracks=[key:gene_model_track,Options:GeneOnly]&amp;mk=4523603:4523622|offset_0|00cc00,4523623:4523642|offset_20|444444,4523643:4523662|offset_40|444444,4523676:4523695|offset_73|444444&amp;v=4523402:4523895&amp;c=444444", "offset 0")</f>
        <v>offset 0</v>
      </c>
    </row>
    <row r="16025" customFormat="false" ht="12.8" hidden="false" customHeight="false" outlineLevel="0" collapsed="false">
      <c r="A16025" s="0" t="s">
        <v>12</v>
      </c>
      <c r="B16025" s="0" t="n">
        <v>4523622</v>
      </c>
      <c r="C16025" s="0" t="n">
        <v>4523642</v>
      </c>
      <c r="D16025" s="0" t="s">
        <v>53393</v>
      </c>
      <c r="E16025" s="0" t="s">
        <v>89</v>
      </c>
      <c r="F16025" s="0" t="s">
        <v>15</v>
      </c>
      <c r="G16025" s="0" t="s">
        <v>16</v>
      </c>
      <c r="H16025" s="0" t="n">
        <v>20</v>
      </c>
      <c r="I16025" s="0" t="s">
        <v>53397</v>
      </c>
      <c r="J16025" s="0" t="s">
        <v>53398</v>
      </c>
      <c r="K16025" s="0" t="s">
        <v>53399</v>
      </c>
      <c r="L16025" s="0" t="str">
        <f aca="false">HYPERLINK("https://www.ncbi.nlm.nih.gov/nuccore/CP000304.1?report=graph&amp;tracks=[key:gene_model_track,Options:GeneOnly]&amp;mk=4523603:4523622|offset_0|444444,4523623:4523642|offset_20|00cc00,4523643:4523662|offset_40|444444,4523676:4523695|offset_73|444444&amp;v=4523402:4523895&amp;c=444444", "offset 20")</f>
        <v>offset 20</v>
      </c>
    </row>
    <row r="16026" customFormat="false" ht="12.8" hidden="false" customHeight="false" outlineLevel="0" collapsed="false">
      <c r="A16026" s="0" t="s">
        <v>12</v>
      </c>
      <c r="B16026" s="0" t="n">
        <v>4523642</v>
      </c>
      <c r="C16026" s="0" t="n">
        <v>4523662</v>
      </c>
      <c r="D16026" s="0" t="s">
        <v>53393</v>
      </c>
      <c r="E16026" s="0" t="s">
        <v>89</v>
      </c>
      <c r="F16026" s="0" t="s">
        <v>15</v>
      </c>
      <c r="G16026" s="0" t="s">
        <v>16</v>
      </c>
      <c r="H16026" s="0" t="n">
        <v>40</v>
      </c>
      <c r="I16026" s="0" t="s">
        <v>53400</v>
      </c>
      <c r="J16026" s="0" t="s">
        <v>53401</v>
      </c>
      <c r="K16026" s="0" t="s">
        <v>53402</v>
      </c>
      <c r="L16026" s="0" t="str">
        <f aca="false">HYPERLINK("https://www.ncbi.nlm.nih.gov/nuccore/CP000304.1?report=graph&amp;tracks=[key:gene_model_track,Options:GeneOnly]&amp;mk=4523603:4523622|offset_0|444444,4523623:4523642|offset_20|444444,4523643:4523662|offset_40|00cc00,4523676:4523695|offset_73|444444&amp;v=4523402:4523895&amp;c=444444", "offset 40")</f>
        <v>offset 40</v>
      </c>
    </row>
    <row r="16027" customFormat="false" ht="12.8" hidden="false" customHeight="false" outlineLevel="0" collapsed="false">
      <c r="A16027" s="0" t="s">
        <v>12</v>
      </c>
      <c r="B16027" s="0" t="n">
        <v>4523675</v>
      </c>
      <c r="C16027" s="0" t="n">
        <v>4523695</v>
      </c>
      <c r="D16027" s="0" t="s">
        <v>53393</v>
      </c>
      <c r="E16027" s="0" t="s">
        <v>89</v>
      </c>
      <c r="F16027" s="0" t="s">
        <v>15</v>
      </c>
      <c r="G16027" s="0" t="s">
        <v>26</v>
      </c>
      <c r="H16027" s="0" t="n">
        <v>73</v>
      </c>
      <c r="I16027" s="0" t="s">
        <v>53403</v>
      </c>
      <c r="J16027" s="0" t="s">
        <v>53404</v>
      </c>
      <c r="K16027" s="0" t="s">
        <v>53405</v>
      </c>
      <c r="L16027" s="0" t="str">
        <f aca="false">HYPERLINK("https://www.ncbi.nlm.nih.gov/nuccore/CP000304.1?report=graph&amp;tracks=[key:gene_model_track,Options:GeneOnly]&amp;mk=4523603:4523622|offset_0|444444,4523623:4523642|offset_20|444444,4523643:4523662|offset_40|444444,4523676:4523695|offset_73|00cc00&amp;v=4523402:4523895&amp;c=444444", "offset 73")</f>
        <v>offset 73</v>
      </c>
    </row>
    <row r="16028" customFormat="false" ht="12.8" hidden="false" customHeight="false" outlineLevel="0" collapsed="false">
      <c r="A16028" s="0" t="s">
        <v>12</v>
      </c>
      <c r="B16028" s="0" t="n">
        <v>4524675</v>
      </c>
      <c r="C16028" s="0" t="n">
        <v>4524695</v>
      </c>
      <c r="D16028" s="0" t="s">
        <v>53406</v>
      </c>
      <c r="E16028" s="0" t="s">
        <v>53407</v>
      </c>
      <c r="F16028" s="0" t="s">
        <v>15</v>
      </c>
      <c r="G16028" s="0" t="s">
        <v>36</v>
      </c>
      <c r="H16028" s="0" t="n">
        <v>0</v>
      </c>
      <c r="I16028" s="0" t="s">
        <v>53408</v>
      </c>
      <c r="J16028" s="0" t="s">
        <v>53409</v>
      </c>
      <c r="K16028" s="0" t="s">
        <v>53410</v>
      </c>
      <c r="L16028" s="0" t="str">
        <f aca="false">HYPERLINK("https://www.ncbi.nlm.nih.gov/nuccore/CP000304.1?report=graph&amp;tracks=[key:gene_model_track,Options:GeneOnly]&amp;mk=4524676:4524695|offset_0|00cc00,4524713:4524732|offset_37|444444,4524740:4524759|offset_64|444444,4524773:4524792|offset_97|444444&amp;v=4524475:4524992&amp;c=444444", "offset 0")</f>
        <v>offset 0</v>
      </c>
    </row>
    <row r="16029" customFormat="false" ht="12.8" hidden="false" customHeight="false" outlineLevel="0" collapsed="false">
      <c r="A16029" s="0" t="s">
        <v>12</v>
      </c>
      <c r="B16029" s="0" t="n">
        <v>4524712</v>
      </c>
      <c r="C16029" s="0" t="n">
        <v>4524732</v>
      </c>
      <c r="D16029" s="0" t="s">
        <v>53406</v>
      </c>
      <c r="E16029" s="0" t="s">
        <v>53407</v>
      </c>
      <c r="F16029" s="0" t="s">
        <v>15</v>
      </c>
      <c r="G16029" s="0" t="s">
        <v>32</v>
      </c>
      <c r="H16029" s="0" t="n">
        <v>37</v>
      </c>
      <c r="I16029" s="0" t="s">
        <v>53411</v>
      </c>
      <c r="J16029" s="0" t="s">
        <v>53412</v>
      </c>
      <c r="K16029" s="0" t="s">
        <v>53413</v>
      </c>
      <c r="L16029" s="0" t="str">
        <f aca="false">HYPERLINK("https://www.ncbi.nlm.nih.gov/nuccore/CP000304.1?report=graph&amp;tracks=[key:gene_model_track,Options:GeneOnly]&amp;mk=4524676:4524695|offset_0|444444,4524713:4524732|offset_37|00cc00,4524740:4524759|offset_64|444444,4524773:4524792|offset_97|444444&amp;v=4524475:4524992&amp;c=444444", "offset 37")</f>
        <v>offset 37</v>
      </c>
    </row>
    <row r="16030" customFormat="false" ht="12.8" hidden="false" customHeight="false" outlineLevel="0" collapsed="false">
      <c r="A16030" s="0" t="s">
        <v>12</v>
      </c>
      <c r="B16030" s="0" t="n">
        <v>4524739</v>
      </c>
      <c r="C16030" s="0" t="n">
        <v>4524759</v>
      </c>
      <c r="D16030" s="0" t="s">
        <v>53406</v>
      </c>
      <c r="E16030" s="0" t="s">
        <v>53407</v>
      </c>
      <c r="F16030" s="0" t="s">
        <v>15</v>
      </c>
      <c r="G16030" s="0" t="s">
        <v>32</v>
      </c>
      <c r="H16030" s="0" t="n">
        <v>64</v>
      </c>
      <c r="I16030" s="0" t="s">
        <v>53414</v>
      </c>
      <c r="J16030" s="0" t="s">
        <v>53415</v>
      </c>
      <c r="K16030" s="0" t="s">
        <v>53416</v>
      </c>
      <c r="L16030" s="0" t="str">
        <f aca="false">HYPERLINK("https://www.ncbi.nlm.nih.gov/nuccore/CP000304.1?report=graph&amp;tracks=[key:gene_model_track,Options:GeneOnly]&amp;mk=4524676:4524695|offset_0|444444,4524713:4524732|offset_37|444444,4524740:4524759|offset_64|00cc00,4524773:4524792|offset_97|444444&amp;v=4524475:4524992&amp;c=444444", "offset 64")</f>
        <v>offset 64</v>
      </c>
    </row>
    <row r="16031" customFormat="false" ht="12.8" hidden="false" customHeight="false" outlineLevel="0" collapsed="false">
      <c r="A16031" s="0" t="s">
        <v>12</v>
      </c>
      <c r="B16031" s="0" t="n">
        <v>4524772</v>
      </c>
      <c r="C16031" s="0" t="n">
        <v>4524792</v>
      </c>
      <c r="D16031" s="0" t="s">
        <v>53406</v>
      </c>
      <c r="E16031" s="0" t="s">
        <v>53407</v>
      </c>
      <c r="F16031" s="0" t="s">
        <v>15</v>
      </c>
      <c r="G16031" s="0" t="s">
        <v>26</v>
      </c>
      <c r="H16031" s="0" t="n">
        <v>97</v>
      </c>
      <c r="I16031" s="0" t="s">
        <v>53417</v>
      </c>
      <c r="J16031" s="0" t="s">
        <v>53418</v>
      </c>
      <c r="K16031" s="0" t="s">
        <v>53419</v>
      </c>
      <c r="L16031" s="0" t="str">
        <f aca="false">HYPERLINK("https://www.ncbi.nlm.nih.gov/nuccore/CP000304.1?report=graph&amp;tracks=[key:gene_model_track,Options:GeneOnly]&amp;mk=4524676:4524695|offset_0|444444,4524713:4524732|offset_37|444444,4524740:4524759|offset_64|444444,4524773:4524792|offset_97|00cc00&amp;v=4524475:4524992&amp;c=444444", "offset 97")</f>
        <v>offset 97</v>
      </c>
    </row>
    <row r="16032" customFormat="false" ht="12.8" hidden="false" customHeight="false" outlineLevel="0" collapsed="false">
      <c r="A16032" s="0" t="s">
        <v>12</v>
      </c>
      <c r="B16032" s="0" t="n">
        <v>4525760</v>
      </c>
      <c r="C16032" s="0" t="n">
        <v>4525780</v>
      </c>
      <c r="D16032" s="0" t="s">
        <v>53420</v>
      </c>
      <c r="E16032" s="0" t="s">
        <v>89</v>
      </c>
      <c r="F16032" s="0" t="s">
        <v>15</v>
      </c>
      <c r="G16032" s="0" t="s">
        <v>36</v>
      </c>
      <c r="H16032" s="0" t="n">
        <v>7</v>
      </c>
      <c r="I16032" s="0" t="s">
        <v>53421</v>
      </c>
      <c r="J16032" s="0" t="s">
        <v>53422</v>
      </c>
      <c r="K16032" s="0" t="s">
        <v>53423</v>
      </c>
      <c r="L16032" s="0" t="str">
        <f aca="false">HYPERLINK("https://www.ncbi.nlm.nih.gov/nuccore/CP000304.1?report=graph&amp;tracks=[key:gene_model_track,Options:GeneOnly]&amp;mk=4525761:4525780|offset_7|00cc00,4525786:4525805|offset_32|444444,4525843:4525862|offset_89|444444,4525863:4525882|offset_109|444444&amp;v=4525560:4526082&amp;c=444444", "offset 7")</f>
        <v>offset 7</v>
      </c>
    </row>
    <row r="16033" customFormat="false" ht="12.8" hidden="false" customHeight="false" outlineLevel="0" collapsed="false">
      <c r="A16033" s="0" t="s">
        <v>12</v>
      </c>
      <c r="B16033" s="0" t="n">
        <v>4525785</v>
      </c>
      <c r="C16033" s="0" t="n">
        <v>4525805</v>
      </c>
      <c r="D16033" s="0" t="s">
        <v>53420</v>
      </c>
      <c r="E16033" s="0" t="s">
        <v>89</v>
      </c>
      <c r="F16033" s="0" t="s">
        <v>15</v>
      </c>
      <c r="G16033" s="0" t="s">
        <v>26</v>
      </c>
      <c r="H16033" s="0" t="n">
        <v>32</v>
      </c>
      <c r="I16033" s="0" t="s">
        <v>53424</v>
      </c>
      <c r="J16033" s="0" t="s">
        <v>53425</v>
      </c>
      <c r="K16033" s="0" t="s">
        <v>53426</v>
      </c>
      <c r="L16033" s="0" t="str">
        <f aca="false">HYPERLINK("https://www.ncbi.nlm.nih.gov/nuccore/CP000304.1?report=graph&amp;tracks=[key:gene_model_track,Options:GeneOnly]&amp;mk=4525761:4525780|offset_7|444444,4525786:4525805|offset_32|00cc00,4525843:4525862|offset_89|444444,4525863:4525882|offset_109|444444&amp;v=4525560:4526082&amp;c=444444", "offset 32")</f>
        <v>offset 32</v>
      </c>
    </row>
    <row r="16034" customFormat="false" ht="12.8" hidden="false" customHeight="false" outlineLevel="0" collapsed="false">
      <c r="A16034" s="0" t="s">
        <v>12</v>
      </c>
      <c r="B16034" s="0" t="n">
        <v>4525842</v>
      </c>
      <c r="C16034" s="0" t="n">
        <v>4525862</v>
      </c>
      <c r="D16034" s="0" t="s">
        <v>53420</v>
      </c>
      <c r="E16034" s="0" t="s">
        <v>89</v>
      </c>
      <c r="F16034" s="0" t="s">
        <v>15</v>
      </c>
      <c r="G16034" s="0" t="s">
        <v>32</v>
      </c>
      <c r="H16034" s="0" t="n">
        <v>89</v>
      </c>
      <c r="I16034" s="0" t="s">
        <v>53427</v>
      </c>
      <c r="J16034" s="0" t="s">
        <v>53428</v>
      </c>
      <c r="K16034" s="0" t="s">
        <v>53429</v>
      </c>
      <c r="L16034" s="0" t="str">
        <f aca="false">HYPERLINK("https://www.ncbi.nlm.nih.gov/nuccore/CP000304.1?report=graph&amp;tracks=[key:gene_model_track,Options:GeneOnly]&amp;mk=4525761:4525780|offset_7|444444,4525786:4525805|offset_32|444444,4525843:4525862|offset_89|00cc00,4525863:4525882|offset_109|444444&amp;v=4525560:4526082&amp;c=444444", "offset 89")</f>
        <v>offset 89</v>
      </c>
    </row>
    <row r="16035" customFormat="false" ht="12.8" hidden="false" customHeight="false" outlineLevel="0" collapsed="false">
      <c r="A16035" s="0" t="s">
        <v>12</v>
      </c>
      <c r="B16035" s="0" t="n">
        <v>4525862</v>
      </c>
      <c r="C16035" s="0" t="n">
        <v>4525882</v>
      </c>
      <c r="D16035" s="0" t="s">
        <v>53420</v>
      </c>
      <c r="E16035" s="0" t="s">
        <v>89</v>
      </c>
      <c r="F16035" s="0" t="s">
        <v>15</v>
      </c>
      <c r="G16035" s="0" t="s">
        <v>36</v>
      </c>
      <c r="H16035" s="0" t="n">
        <v>109</v>
      </c>
      <c r="I16035" s="0" t="s">
        <v>53430</v>
      </c>
      <c r="J16035" s="0" t="s">
        <v>53431</v>
      </c>
      <c r="K16035" s="0" t="s">
        <v>53432</v>
      </c>
      <c r="L16035" s="0" t="str">
        <f aca="false">HYPERLINK("https://www.ncbi.nlm.nih.gov/nuccore/CP000304.1?report=graph&amp;tracks=[key:gene_model_track,Options:GeneOnly]&amp;mk=4525761:4525780|offset_7|444444,4525786:4525805|offset_32|444444,4525843:4525862|offset_89|444444,4525863:4525882|offset_109|00cc00&amp;v=4525560:4526082&amp;c=444444", "offset 109")</f>
        <v>offset 109</v>
      </c>
    </row>
    <row r="16036" customFormat="false" ht="12.8" hidden="false" customHeight="false" outlineLevel="0" collapsed="false">
      <c r="A16036" s="0" t="s">
        <v>12</v>
      </c>
      <c r="B16036" s="0" t="n">
        <v>4527599</v>
      </c>
      <c r="C16036" s="0" t="n">
        <v>4527619</v>
      </c>
      <c r="D16036" s="0" t="s">
        <v>53433</v>
      </c>
      <c r="E16036" s="0" t="s">
        <v>89</v>
      </c>
      <c r="F16036" s="0" t="s">
        <v>90</v>
      </c>
      <c r="G16036" s="0" t="s">
        <v>16</v>
      </c>
      <c r="H16036" s="0" t="n">
        <v>27</v>
      </c>
      <c r="I16036" s="0" t="s">
        <v>53434</v>
      </c>
      <c r="J16036" s="0" t="s">
        <v>53435</v>
      </c>
      <c r="K16036" s="0" t="s">
        <v>53436</v>
      </c>
      <c r="L16036" s="0" t="str">
        <f aca="false">HYPERLINK("https://www.ncbi.nlm.nih.gov/nuccore/CP000304.1?report=graph&amp;tracks=[key:gene_model_track,Options:GeneOnly]&amp;mk=4527600:4527619|offset_27|00cc00,4527574:4527593|offset_53|444444,4527551:4527570|offset_76|444444,4527527:4527546|offset_100|444444&amp;v=4527399:4527746&amp;c=444444", "offset 27")</f>
        <v>offset 27</v>
      </c>
    </row>
    <row r="16037" customFormat="false" ht="12.8" hidden="false" customHeight="false" outlineLevel="0" collapsed="false">
      <c r="A16037" s="0" t="s">
        <v>12</v>
      </c>
      <c r="B16037" s="0" t="n">
        <v>4527573</v>
      </c>
      <c r="C16037" s="0" t="n">
        <v>4527593</v>
      </c>
      <c r="D16037" s="0" t="s">
        <v>53433</v>
      </c>
      <c r="E16037" s="0" t="s">
        <v>89</v>
      </c>
      <c r="F16037" s="0" t="s">
        <v>90</v>
      </c>
      <c r="G16037" s="0" t="s">
        <v>26</v>
      </c>
      <c r="H16037" s="0" t="n">
        <v>53</v>
      </c>
      <c r="I16037" s="0" t="s">
        <v>53437</v>
      </c>
      <c r="J16037" s="0" t="s">
        <v>53438</v>
      </c>
      <c r="K16037" s="0" t="s">
        <v>53439</v>
      </c>
      <c r="L16037" s="0" t="str">
        <f aca="false">HYPERLINK("https://www.ncbi.nlm.nih.gov/nuccore/CP000304.1?report=graph&amp;tracks=[key:gene_model_track,Options:GeneOnly]&amp;mk=4527600:4527619|offset_27|444444,4527574:4527593|offset_53|00cc00,4527551:4527570|offset_76|444444,4527527:4527546|offset_100|444444&amp;v=4527399:4527746&amp;c=444444", "offset 53")</f>
        <v>offset 53</v>
      </c>
    </row>
    <row r="16038" customFormat="false" ht="12.8" hidden="false" customHeight="false" outlineLevel="0" collapsed="false">
      <c r="A16038" s="0" t="s">
        <v>12</v>
      </c>
      <c r="B16038" s="0" t="n">
        <v>4527550</v>
      </c>
      <c r="C16038" s="0" t="n">
        <v>4527570</v>
      </c>
      <c r="D16038" s="0" t="s">
        <v>53433</v>
      </c>
      <c r="E16038" s="0" t="s">
        <v>89</v>
      </c>
      <c r="F16038" s="0" t="s">
        <v>90</v>
      </c>
      <c r="G16038" s="0" t="s">
        <v>32</v>
      </c>
      <c r="H16038" s="0" t="n">
        <v>76</v>
      </c>
      <c r="I16038" s="0" t="s">
        <v>53440</v>
      </c>
      <c r="J16038" s="0" t="s">
        <v>53441</v>
      </c>
      <c r="K16038" s="0" t="s">
        <v>53442</v>
      </c>
      <c r="L16038" s="0" t="str">
        <f aca="false">HYPERLINK("https://www.ncbi.nlm.nih.gov/nuccore/CP000304.1?report=graph&amp;tracks=[key:gene_model_track,Options:GeneOnly]&amp;mk=4527600:4527619|offset_27|444444,4527574:4527593|offset_53|444444,4527551:4527570|offset_76|00cc00,4527527:4527546|offset_100|444444&amp;v=4527399:4527746&amp;c=444444", "offset 76")</f>
        <v>offset 76</v>
      </c>
    </row>
    <row r="16039" customFormat="false" ht="12.8" hidden="false" customHeight="false" outlineLevel="0" collapsed="false">
      <c r="A16039" s="0" t="s">
        <v>12</v>
      </c>
      <c r="B16039" s="0" t="n">
        <v>4527526</v>
      </c>
      <c r="C16039" s="0" t="n">
        <v>4527546</v>
      </c>
      <c r="D16039" s="0" t="s">
        <v>53433</v>
      </c>
      <c r="E16039" s="0" t="s">
        <v>89</v>
      </c>
      <c r="F16039" s="0" t="s">
        <v>90</v>
      </c>
      <c r="G16039" s="0" t="s">
        <v>16</v>
      </c>
      <c r="H16039" s="0" t="n">
        <v>100</v>
      </c>
      <c r="I16039" s="0" t="s">
        <v>53443</v>
      </c>
      <c r="J16039" s="0" t="s">
        <v>53444</v>
      </c>
      <c r="K16039" s="0" t="s">
        <v>53445</v>
      </c>
      <c r="L16039" s="0" t="str">
        <f aca="false">HYPERLINK("https://www.ncbi.nlm.nih.gov/nuccore/CP000304.1?report=graph&amp;tracks=[key:gene_model_track,Options:GeneOnly]&amp;mk=4527600:4527619|offset_27|444444,4527574:4527593|offset_53|444444,4527551:4527570|offset_76|444444,4527527:4527546|offset_100|00cc00&amp;v=4527399:4527746&amp;c=444444", "offset 100")</f>
        <v>offset 100</v>
      </c>
    </row>
    <row r="16040" customFormat="false" ht="12.8" hidden="false" customHeight="false" outlineLevel="0" collapsed="false">
      <c r="A16040" s="0" t="s">
        <v>12</v>
      </c>
      <c r="B16040" s="0" t="n">
        <v>4530118</v>
      </c>
      <c r="C16040" s="0" t="n">
        <v>4530138</v>
      </c>
      <c r="D16040" s="0" t="s">
        <v>53446</v>
      </c>
      <c r="E16040" s="0" t="s">
        <v>89</v>
      </c>
      <c r="F16040" s="0" t="s">
        <v>90</v>
      </c>
      <c r="G16040" s="0" t="s">
        <v>36</v>
      </c>
      <c r="H16040" s="0" t="n">
        <v>0</v>
      </c>
      <c r="I16040" s="0" t="s">
        <v>53447</v>
      </c>
      <c r="J16040" s="0" t="s">
        <v>53448</v>
      </c>
      <c r="K16040" s="0" t="s">
        <v>53449</v>
      </c>
      <c r="L16040" s="0" t="str">
        <f aca="false">HYPERLINK("https://www.ncbi.nlm.nih.gov/nuccore/CP000304.1?report=graph&amp;tracks=[key:gene_model_track,Options:GeneOnly]&amp;mk=4530119:4530138|offset_0|00cc00,4530098:4530117|offset_21|444444,4530078:4530097|offset_41|444444,4530057:4530076|offset_62|444444&amp;v=4529918:4530276&amp;c=444444", "offset 0")</f>
        <v>offset 0</v>
      </c>
    </row>
    <row r="16041" customFormat="false" ht="12.8" hidden="false" customHeight="false" outlineLevel="0" collapsed="false">
      <c r="A16041" s="0" t="s">
        <v>12</v>
      </c>
      <c r="B16041" s="0" t="n">
        <v>4530097</v>
      </c>
      <c r="C16041" s="0" t="n">
        <v>4530117</v>
      </c>
      <c r="D16041" s="0" t="s">
        <v>53446</v>
      </c>
      <c r="E16041" s="0" t="s">
        <v>89</v>
      </c>
      <c r="F16041" s="0" t="s">
        <v>90</v>
      </c>
      <c r="G16041" s="0" t="s">
        <v>36</v>
      </c>
      <c r="H16041" s="0" t="n">
        <v>21</v>
      </c>
      <c r="I16041" s="0" t="s">
        <v>53450</v>
      </c>
      <c r="J16041" s="0" t="s">
        <v>53451</v>
      </c>
      <c r="K16041" s="0" t="s">
        <v>53452</v>
      </c>
      <c r="L16041" s="0" t="str">
        <f aca="false">HYPERLINK("https://www.ncbi.nlm.nih.gov/nuccore/CP000304.1?report=graph&amp;tracks=[key:gene_model_track,Options:GeneOnly]&amp;mk=4530119:4530138|offset_0|444444,4530098:4530117|offset_21|00cc00,4530078:4530097|offset_41|444444,4530057:4530076|offset_62|444444&amp;v=4529918:4530276&amp;c=444444", "offset 21")</f>
        <v>offset 21</v>
      </c>
    </row>
    <row r="16042" customFormat="false" ht="12.8" hidden="false" customHeight="false" outlineLevel="0" collapsed="false">
      <c r="A16042" s="0" t="s">
        <v>12</v>
      </c>
      <c r="B16042" s="0" t="n">
        <v>4530077</v>
      </c>
      <c r="C16042" s="0" t="n">
        <v>4530097</v>
      </c>
      <c r="D16042" s="0" t="s">
        <v>53446</v>
      </c>
      <c r="E16042" s="0" t="s">
        <v>89</v>
      </c>
      <c r="F16042" s="0" t="s">
        <v>90</v>
      </c>
      <c r="G16042" s="0" t="s">
        <v>16</v>
      </c>
      <c r="H16042" s="0" t="n">
        <v>41</v>
      </c>
      <c r="I16042" s="0" t="s">
        <v>53453</v>
      </c>
      <c r="J16042" s="0" t="s">
        <v>53454</v>
      </c>
      <c r="K16042" s="0" t="s">
        <v>53455</v>
      </c>
      <c r="L16042" s="0" t="str">
        <f aca="false">HYPERLINK("https://www.ncbi.nlm.nih.gov/nuccore/CP000304.1?report=graph&amp;tracks=[key:gene_model_track,Options:GeneOnly]&amp;mk=4530119:4530138|offset_0|444444,4530098:4530117|offset_21|444444,4530078:4530097|offset_41|00cc00,4530057:4530076|offset_62|444444&amp;v=4529918:4530276&amp;c=444444", "offset 41")</f>
        <v>offset 41</v>
      </c>
    </row>
    <row r="16043" customFormat="false" ht="12.8" hidden="false" customHeight="false" outlineLevel="0" collapsed="false">
      <c r="A16043" s="0" t="s">
        <v>12</v>
      </c>
      <c r="B16043" s="0" t="n">
        <v>4530056</v>
      </c>
      <c r="C16043" s="0" t="n">
        <v>4530076</v>
      </c>
      <c r="D16043" s="0" t="s">
        <v>53446</v>
      </c>
      <c r="E16043" s="0" t="s">
        <v>89</v>
      </c>
      <c r="F16043" s="0" t="s">
        <v>90</v>
      </c>
      <c r="G16043" s="0" t="s">
        <v>16</v>
      </c>
      <c r="H16043" s="0" t="n">
        <v>62</v>
      </c>
      <c r="I16043" s="0" t="s">
        <v>53456</v>
      </c>
      <c r="J16043" s="0" t="s">
        <v>53457</v>
      </c>
      <c r="K16043" s="0" t="s">
        <v>53458</v>
      </c>
      <c r="L16043" s="0" t="str">
        <f aca="false">HYPERLINK("https://www.ncbi.nlm.nih.gov/nuccore/CP000304.1?report=graph&amp;tracks=[key:gene_model_track,Options:GeneOnly]&amp;mk=4530119:4530138|offset_0|444444,4530098:4530117|offset_21|444444,4530078:4530097|offset_41|444444,4530057:4530076|offset_62|00cc00&amp;v=4529918:4530276&amp;c=444444", "offset 62")</f>
        <v>offset 62</v>
      </c>
    </row>
    <row r="16044" customFormat="false" ht="12.8" hidden="false" customHeight="false" outlineLevel="0" collapsed="false">
      <c r="A16044" s="0" t="s">
        <v>12</v>
      </c>
      <c r="B16044" s="0" t="n">
        <v>4531163</v>
      </c>
      <c r="C16044" s="0" t="n">
        <v>4531183</v>
      </c>
      <c r="D16044" s="0" t="s">
        <v>53459</v>
      </c>
      <c r="E16044" s="0" t="s">
        <v>89</v>
      </c>
      <c r="F16044" s="0" t="s">
        <v>90</v>
      </c>
      <c r="G16044" s="0" t="s">
        <v>16</v>
      </c>
      <c r="H16044" s="0" t="n">
        <v>17</v>
      </c>
      <c r="I16044" s="0" t="s">
        <v>53460</v>
      </c>
      <c r="J16044" s="0" t="s">
        <v>53461</v>
      </c>
      <c r="K16044" s="0" t="s">
        <v>53462</v>
      </c>
      <c r="L16044" s="0" t="str">
        <f aca="false">HYPERLINK("https://www.ncbi.nlm.nih.gov/nuccore/CP000304.1?report=graph&amp;tracks=[key:gene_model_track,Options:GeneOnly]&amp;mk=4531164:4531183|offset_17|00cc00,4531144:4531163|offset_37|444444,4531120:4531139|offset_61|444444,4531095:4531114|offset_86|444444&amp;v=4530963:4531314&amp;c=444444", "offset 17")</f>
        <v>offset 17</v>
      </c>
    </row>
    <row r="16045" customFormat="false" ht="12.8" hidden="false" customHeight="false" outlineLevel="0" collapsed="false">
      <c r="A16045" s="0" t="s">
        <v>12</v>
      </c>
      <c r="B16045" s="0" t="n">
        <v>4531143</v>
      </c>
      <c r="C16045" s="0" t="n">
        <v>4531163</v>
      </c>
      <c r="D16045" s="0" t="s">
        <v>53459</v>
      </c>
      <c r="E16045" s="0" t="s">
        <v>89</v>
      </c>
      <c r="F16045" s="0" t="s">
        <v>90</v>
      </c>
      <c r="G16045" s="0" t="s">
        <v>16</v>
      </c>
      <c r="H16045" s="0" t="n">
        <v>37</v>
      </c>
      <c r="I16045" s="0" t="s">
        <v>53463</v>
      </c>
      <c r="J16045" s="0" t="s">
        <v>53464</v>
      </c>
      <c r="K16045" s="0" t="s">
        <v>53465</v>
      </c>
      <c r="L16045" s="0" t="str">
        <f aca="false">HYPERLINK("https://www.ncbi.nlm.nih.gov/nuccore/CP000304.1?report=graph&amp;tracks=[key:gene_model_track,Options:GeneOnly]&amp;mk=4531164:4531183|offset_17|444444,4531144:4531163|offset_37|00cc00,4531120:4531139|offset_61|444444,4531095:4531114|offset_86|444444&amp;v=4530963:4531314&amp;c=444444", "offset 37")</f>
        <v>offset 37</v>
      </c>
    </row>
    <row r="16046" customFormat="false" ht="12.8" hidden="false" customHeight="false" outlineLevel="0" collapsed="false">
      <c r="A16046" s="0" t="s">
        <v>12</v>
      </c>
      <c r="B16046" s="0" t="n">
        <v>4531119</v>
      </c>
      <c r="C16046" s="0" t="n">
        <v>4531139</v>
      </c>
      <c r="D16046" s="0" t="s">
        <v>53459</v>
      </c>
      <c r="E16046" s="0" t="s">
        <v>89</v>
      </c>
      <c r="F16046" s="0" t="s">
        <v>90</v>
      </c>
      <c r="G16046" s="0" t="s">
        <v>16</v>
      </c>
      <c r="H16046" s="0" t="n">
        <v>61</v>
      </c>
      <c r="I16046" s="0" t="s">
        <v>53466</v>
      </c>
      <c r="J16046" s="0" t="s">
        <v>53467</v>
      </c>
      <c r="K16046" s="0" t="s">
        <v>53468</v>
      </c>
      <c r="L16046" s="0" t="str">
        <f aca="false">HYPERLINK("https://www.ncbi.nlm.nih.gov/nuccore/CP000304.1?report=graph&amp;tracks=[key:gene_model_track,Options:GeneOnly]&amp;mk=4531164:4531183|offset_17|444444,4531144:4531163|offset_37|444444,4531120:4531139|offset_61|00cc00,4531095:4531114|offset_86|444444&amp;v=4530963:4531314&amp;c=444444", "offset 61")</f>
        <v>offset 61</v>
      </c>
    </row>
    <row r="16047" customFormat="false" ht="12.8" hidden="false" customHeight="false" outlineLevel="0" collapsed="false">
      <c r="A16047" s="0" t="s">
        <v>12</v>
      </c>
      <c r="B16047" s="0" t="n">
        <v>4531094</v>
      </c>
      <c r="C16047" s="0" t="n">
        <v>4531114</v>
      </c>
      <c r="D16047" s="0" t="s">
        <v>53459</v>
      </c>
      <c r="E16047" s="0" t="s">
        <v>89</v>
      </c>
      <c r="F16047" s="0" t="s">
        <v>90</v>
      </c>
      <c r="G16047" s="0" t="s">
        <v>16</v>
      </c>
      <c r="H16047" s="0" t="n">
        <v>86</v>
      </c>
      <c r="I16047" s="0" t="s">
        <v>53469</v>
      </c>
      <c r="J16047" s="0" t="s">
        <v>53470</v>
      </c>
      <c r="K16047" s="0" t="s">
        <v>53471</v>
      </c>
      <c r="L16047" s="0" t="str">
        <f aca="false">HYPERLINK("https://www.ncbi.nlm.nih.gov/nuccore/CP000304.1?report=graph&amp;tracks=[key:gene_model_track,Options:GeneOnly]&amp;mk=4531164:4531183|offset_17|444444,4531144:4531163|offset_37|444444,4531120:4531139|offset_61|444444,4531095:4531114|offset_86|00cc00&amp;v=4530963:4531314&amp;c=444444", "offset 86")</f>
        <v>offset 86</v>
      </c>
    </row>
    <row r="16048" customFormat="false" ht="12.8" hidden="false" customHeight="false" outlineLevel="0" collapsed="false">
      <c r="A16048" s="0" t="s">
        <v>12</v>
      </c>
      <c r="B16048" s="0" t="n">
        <v>4531636</v>
      </c>
      <c r="C16048" s="0" t="n">
        <v>4531656</v>
      </c>
      <c r="D16048" s="0" t="s">
        <v>53472</v>
      </c>
      <c r="E16048" s="0" t="s">
        <v>89</v>
      </c>
      <c r="F16048" s="0" t="s">
        <v>90</v>
      </c>
      <c r="G16048" s="0" t="s">
        <v>32</v>
      </c>
      <c r="H16048" s="0" t="n">
        <v>59</v>
      </c>
      <c r="I16048" s="0" t="s">
        <v>53473</v>
      </c>
      <c r="J16048" s="0" t="s">
        <v>53474</v>
      </c>
      <c r="K16048" s="0" t="s">
        <v>53475</v>
      </c>
      <c r="L16048" s="0" t="str">
        <f aca="false">HYPERLINK("https://www.ncbi.nlm.nih.gov/nuccore/CP000304.1?report=graph&amp;tracks=[key:gene_model_track,Options:GeneOnly]&amp;mk=4531637:4531656|offset_59|00cc00,4531610:4531629|offset_86|444444,4531581:4531600|offset_115|444444,4531520:4531539|offset_176|444444&amp;v=4531436:4531739&amp;c=444444", "offset 59")</f>
        <v>offset 59</v>
      </c>
    </row>
    <row r="16049" customFormat="false" ht="12.8" hidden="false" customHeight="false" outlineLevel="0" collapsed="false">
      <c r="A16049" s="0" t="s">
        <v>12</v>
      </c>
      <c r="B16049" s="0" t="n">
        <v>4531609</v>
      </c>
      <c r="C16049" s="0" t="n">
        <v>4531629</v>
      </c>
      <c r="D16049" s="0" t="s">
        <v>53472</v>
      </c>
      <c r="E16049" s="0" t="s">
        <v>89</v>
      </c>
      <c r="F16049" s="0" t="s">
        <v>90</v>
      </c>
      <c r="G16049" s="0" t="s">
        <v>16</v>
      </c>
      <c r="H16049" s="0" t="n">
        <v>86</v>
      </c>
      <c r="I16049" s="0" t="s">
        <v>53476</v>
      </c>
      <c r="J16049" s="0" t="s">
        <v>53477</v>
      </c>
      <c r="K16049" s="0" t="s">
        <v>53478</v>
      </c>
      <c r="L16049" s="0" t="str">
        <f aca="false">HYPERLINK("https://www.ncbi.nlm.nih.gov/nuccore/CP000304.1?report=graph&amp;tracks=[key:gene_model_track,Options:GeneOnly]&amp;mk=4531637:4531656|offset_59|444444,4531610:4531629|offset_86|00cc00,4531581:4531600|offset_115|444444,4531520:4531539|offset_176|444444&amp;v=4531436:4531739&amp;c=444444", "offset 86")</f>
        <v>offset 86</v>
      </c>
    </row>
    <row r="16050" customFormat="false" ht="12.8" hidden="false" customHeight="false" outlineLevel="0" collapsed="false">
      <c r="A16050" s="0" t="s">
        <v>12</v>
      </c>
      <c r="B16050" s="0" t="n">
        <v>4531580</v>
      </c>
      <c r="C16050" s="0" t="n">
        <v>4531600</v>
      </c>
      <c r="D16050" s="0" t="s">
        <v>53472</v>
      </c>
      <c r="E16050" s="0" t="s">
        <v>89</v>
      </c>
      <c r="F16050" s="0" t="s">
        <v>90</v>
      </c>
      <c r="G16050" s="0" t="s">
        <v>16</v>
      </c>
      <c r="H16050" s="0" t="n">
        <v>115</v>
      </c>
      <c r="I16050" s="0" t="s">
        <v>53479</v>
      </c>
      <c r="J16050" s="0" t="s">
        <v>53480</v>
      </c>
      <c r="K16050" s="0" t="s">
        <v>53481</v>
      </c>
      <c r="L16050" s="0" t="str">
        <f aca="false">HYPERLINK("https://www.ncbi.nlm.nih.gov/nuccore/CP000304.1?report=graph&amp;tracks=[key:gene_model_track,Options:GeneOnly]&amp;mk=4531637:4531656|offset_59|444444,4531610:4531629|offset_86|444444,4531581:4531600|offset_115|00cc00,4531520:4531539|offset_176|444444&amp;v=4531436:4531739&amp;c=444444", "offset 115")</f>
        <v>offset 115</v>
      </c>
    </row>
    <row r="16051" customFormat="false" ht="12.8" hidden="false" customHeight="false" outlineLevel="0" collapsed="false">
      <c r="A16051" s="0" t="s">
        <v>12</v>
      </c>
      <c r="B16051" s="0" t="n">
        <v>4531519</v>
      </c>
      <c r="C16051" s="0" t="n">
        <v>4531539</v>
      </c>
      <c r="D16051" s="0" t="s">
        <v>53472</v>
      </c>
      <c r="E16051" s="0" t="s">
        <v>89</v>
      </c>
      <c r="F16051" s="0" t="s">
        <v>90</v>
      </c>
      <c r="G16051" s="0" t="s">
        <v>16</v>
      </c>
      <c r="H16051" s="0" t="n">
        <v>176</v>
      </c>
      <c r="I16051" s="0" t="s">
        <v>53482</v>
      </c>
      <c r="J16051" s="0" t="s">
        <v>53483</v>
      </c>
      <c r="K16051" s="0" t="s">
        <v>53484</v>
      </c>
      <c r="L16051" s="0" t="str">
        <f aca="false">HYPERLINK("https://www.ncbi.nlm.nih.gov/nuccore/CP000304.1?report=graph&amp;tracks=[key:gene_model_track,Options:GeneOnly]&amp;mk=4531637:4531656|offset_59|444444,4531610:4531629|offset_86|444444,4531581:4531600|offset_115|444444,4531520:4531539|offset_176|00cc00&amp;v=4531436:4531739&amp;c=444444", "offset 176")</f>
        <v>offset 176</v>
      </c>
    </row>
    <row r="16052" customFormat="false" ht="12.8" hidden="false" customHeight="false" outlineLevel="0" collapsed="false">
      <c r="A16052" s="0" t="s">
        <v>12</v>
      </c>
      <c r="B16052" s="0" t="n">
        <v>4531881</v>
      </c>
      <c r="C16052" s="0" t="n">
        <v>4531901</v>
      </c>
      <c r="D16052" s="0" t="s">
        <v>53485</v>
      </c>
      <c r="E16052" s="0" t="s">
        <v>89</v>
      </c>
      <c r="F16052" s="0" t="s">
        <v>15</v>
      </c>
      <c r="G16052" s="0" t="s">
        <v>32</v>
      </c>
      <c r="H16052" s="0" t="n">
        <v>1</v>
      </c>
      <c r="I16052" s="0" t="s">
        <v>53486</v>
      </c>
      <c r="J16052" s="0" t="s">
        <v>53487</v>
      </c>
      <c r="K16052" s="0" t="s">
        <v>53488</v>
      </c>
      <c r="L16052" s="0" t="str">
        <f aca="false">HYPERLINK("https://www.ncbi.nlm.nih.gov/nuccore/CP000304.1?report=graph&amp;tracks=[key:gene_model_track,Options:GeneOnly]&amp;mk=4531882:4531901|offset_1|00cc00,4531906:4531925|offset_25|444444,4531938:4531957|offset_57|444444,4531961:4531980|offset_80|444444&amp;v=4531681:4532180&amp;c=444444", "offset 1")</f>
        <v>offset 1</v>
      </c>
    </row>
    <row r="16053" customFormat="false" ht="12.8" hidden="false" customHeight="false" outlineLevel="0" collapsed="false">
      <c r="A16053" s="0" t="s">
        <v>12</v>
      </c>
      <c r="B16053" s="0" t="n">
        <v>4531905</v>
      </c>
      <c r="C16053" s="0" t="n">
        <v>4531925</v>
      </c>
      <c r="D16053" s="0" t="s">
        <v>53485</v>
      </c>
      <c r="E16053" s="0" t="s">
        <v>89</v>
      </c>
      <c r="F16053" s="0" t="s">
        <v>15</v>
      </c>
      <c r="G16053" s="0" t="s">
        <v>16</v>
      </c>
      <c r="H16053" s="0" t="n">
        <v>25</v>
      </c>
      <c r="I16053" s="0" t="s">
        <v>53489</v>
      </c>
      <c r="J16053" s="0" t="s">
        <v>53490</v>
      </c>
      <c r="K16053" s="0" t="s">
        <v>53491</v>
      </c>
      <c r="L16053" s="0" t="str">
        <f aca="false">HYPERLINK("https://www.ncbi.nlm.nih.gov/nuccore/CP000304.1?report=graph&amp;tracks=[key:gene_model_track,Options:GeneOnly]&amp;mk=4531882:4531901|offset_1|444444,4531906:4531925|offset_25|00cc00,4531938:4531957|offset_57|444444,4531961:4531980|offset_80|444444&amp;v=4531681:4532180&amp;c=444444", "offset 25")</f>
        <v>offset 25</v>
      </c>
    </row>
    <row r="16054" customFormat="false" ht="12.8" hidden="false" customHeight="false" outlineLevel="0" collapsed="false">
      <c r="A16054" s="0" t="s">
        <v>12</v>
      </c>
      <c r="B16054" s="0" t="n">
        <v>4531937</v>
      </c>
      <c r="C16054" s="0" t="n">
        <v>4531957</v>
      </c>
      <c r="D16054" s="0" t="s">
        <v>53485</v>
      </c>
      <c r="E16054" s="0" t="s">
        <v>89</v>
      </c>
      <c r="F16054" s="0" t="s">
        <v>15</v>
      </c>
      <c r="G16054" s="0" t="s">
        <v>16</v>
      </c>
      <c r="H16054" s="0" t="n">
        <v>57</v>
      </c>
      <c r="I16054" s="0" t="s">
        <v>53492</v>
      </c>
      <c r="J16054" s="0" t="s">
        <v>53493</v>
      </c>
      <c r="K16054" s="0" t="s">
        <v>53494</v>
      </c>
      <c r="L16054" s="0" t="str">
        <f aca="false">HYPERLINK("https://www.ncbi.nlm.nih.gov/nuccore/CP000304.1?report=graph&amp;tracks=[key:gene_model_track,Options:GeneOnly]&amp;mk=4531882:4531901|offset_1|444444,4531906:4531925|offset_25|444444,4531938:4531957|offset_57|00cc00,4531961:4531980|offset_80|444444&amp;v=4531681:4532180&amp;c=444444", "offset 57")</f>
        <v>offset 57</v>
      </c>
    </row>
    <row r="16055" customFormat="false" ht="12.8" hidden="false" customHeight="false" outlineLevel="0" collapsed="false">
      <c r="A16055" s="0" t="s">
        <v>12</v>
      </c>
      <c r="B16055" s="0" t="n">
        <v>4531960</v>
      </c>
      <c r="C16055" s="0" t="n">
        <v>4531980</v>
      </c>
      <c r="D16055" s="0" t="s">
        <v>53485</v>
      </c>
      <c r="E16055" s="0" t="s">
        <v>89</v>
      </c>
      <c r="F16055" s="0" t="s">
        <v>15</v>
      </c>
      <c r="G16055" s="0" t="s">
        <v>26</v>
      </c>
      <c r="H16055" s="0" t="n">
        <v>80</v>
      </c>
      <c r="I16055" s="0" t="s">
        <v>53495</v>
      </c>
      <c r="J16055" s="0" t="s">
        <v>53496</v>
      </c>
      <c r="K16055" s="0" t="s">
        <v>53497</v>
      </c>
      <c r="L16055" s="0" t="str">
        <f aca="false">HYPERLINK("https://www.ncbi.nlm.nih.gov/nuccore/CP000304.1?report=graph&amp;tracks=[key:gene_model_track,Options:GeneOnly]&amp;mk=4531882:4531901|offset_1|444444,4531906:4531925|offset_25|444444,4531938:4531957|offset_57|444444,4531961:4531980|offset_80|00cc00&amp;v=4531681:4532180&amp;c=444444", "offset 80")</f>
        <v>offset 80</v>
      </c>
    </row>
    <row r="16056" customFormat="false" ht="12.8" hidden="false" customHeight="false" outlineLevel="0" collapsed="false">
      <c r="A16056" s="0" t="s">
        <v>12</v>
      </c>
      <c r="B16056" s="0" t="n">
        <v>4532784</v>
      </c>
      <c r="C16056" s="0" t="n">
        <v>4532804</v>
      </c>
      <c r="D16056" s="0" t="s">
        <v>53498</v>
      </c>
      <c r="E16056" s="0" t="s">
        <v>89</v>
      </c>
      <c r="F16056" s="0" t="s">
        <v>90</v>
      </c>
      <c r="G16056" s="0" t="s">
        <v>16</v>
      </c>
      <c r="H16056" s="0" t="n">
        <v>12</v>
      </c>
      <c r="I16056" s="0" t="s">
        <v>53499</v>
      </c>
      <c r="J16056" s="0" t="s">
        <v>53500</v>
      </c>
      <c r="K16056" s="0" t="s">
        <v>53501</v>
      </c>
      <c r="L16056" s="0" t="str">
        <f aca="false">HYPERLINK("https://www.ncbi.nlm.nih.gov/nuccore/CP000304.1?report=graph&amp;tracks=[key:gene_model_track,Options:GeneOnly]&amp;mk=4532785:4532804|offset_12|00cc00,4532739:4532758|offset_58|444444,4532717:4532736|offset_80|444444,4532681:4532700|offset_116|444444&amp;v=4532584:4532900&amp;c=444444", "offset 12")</f>
        <v>offset 12</v>
      </c>
    </row>
    <row r="16057" customFormat="false" ht="12.8" hidden="false" customHeight="false" outlineLevel="0" collapsed="false">
      <c r="A16057" s="0" t="s">
        <v>12</v>
      </c>
      <c r="B16057" s="0" t="n">
        <v>4532738</v>
      </c>
      <c r="C16057" s="0" t="n">
        <v>4532758</v>
      </c>
      <c r="D16057" s="0" t="s">
        <v>53498</v>
      </c>
      <c r="E16057" s="0" t="s">
        <v>89</v>
      </c>
      <c r="F16057" s="0" t="s">
        <v>90</v>
      </c>
      <c r="G16057" s="0" t="s">
        <v>32</v>
      </c>
      <c r="H16057" s="0" t="n">
        <v>58</v>
      </c>
      <c r="I16057" s="0" t="s">
        <v>53502</v>
      </c>
      <c r="J16057" s="0" t="s">
        <v>53503</v>
      </c>
      <c r="K16057" s="0" t="s">
        <v>53504</v>
      </c>
      <c r="L16057" s="0" t="str">
        <f aca="false">HYPERLINK("https://www.ncbi.nlm.nih.gov/nuccore/CP000304.1?report=graph&amp;tracks=[key:gene_model_track,Options:GeneOnly]&amp;mk=4532785:4532804|offset_12|444444,4532739:4532758|offset_58|00cc00,4532717:4532736|offset_80|444444,4532681:4532700|offset_116|444444&amp;v=4532584:4532900&amp;c=444444", "offset 58")</f>
        <v>offset 58</v>
      </c>
    </row>
    <row r="16058" customFormat="false" ht="12.8" hidden="false" customHeight="false" outlineLevel="0" collapsed="false">
      <c r="A16058" s="0" t="s">
        <v>12</v>
      </c>
      <c r="B16058" s="0" t="n">
        <v>4532716</v>
      </c>
      <c r="C16058" s="0" t="n">
        <v>4532736</v>
      </c>
      <c r="D16058" s="0" t="s">
        <v>53498</v>
      </c>
      <c r="E16058" s="0" t="s">
        <v>89</v>
      </c>
      <c r="F16058" s="0" t="s">
        <v>90</v>
      </c>
      <c r="G16058" s="0" t="s">
        <v>16</v>
      </c>
      <c r="H16058" s="0" t="n">
        <v>80</v>
      </c>
      <c r="I16058" s="0" t="s">
        <v>53505</v>
      </c>
      <c r="J16058" s="0" t="s">
        <v>53506</v>
      </c>
      <c r="K16058" s="0" t="s">
        <v>53507</v>
      </c>
      <c r="L16058" s="0" t="str">
        <f aca="false">HYPERLINK("https://www.ncbi.nlm.nih.gov/nuccore/CP000304.1?report=graph&amp;tracks=[key:gene_model_track,Options:GeneOnly]&amp;mk=4532785:4532804|offset_12|444444,4532739:4532758|offset_58|444444,4532717:4532736|offset_80|00cc00,4532681:4532700|offset_116|444444&amp;v=4532584:4532900&amp;c=444444", "offset 80")</f>
        <v>offset 80</v>
      </c>
    </row>
    <row r="16059" customFormat="false" ht="12.8" hidden="false" customHeight="false" outlineLevel="0" collapsed="false">
      <c r="A16059" s="0" t="s">
        <v>12</v>
      </c>
      <c r="B16059" s="0" t="n">
        <v>4532680</v>
      </c>
      <c r="C16059" s="0" t="n">
        <v>4532700</v>
      </c>
      <c r="D16059" s="0" t="s">
        <v>53498</v>
      </c>
      <c r="E16059" s="0" t="s">
        <v>89</v>
      </c>
      <c r="F16059" s="0" t="s">
        <v>90</v>
      </c>
      <c r="G16059" s="0" t="s">
        <v>32</v>
      </c>
      <c r="H16059" s="0" t="n">
        <v>116</v>
      </c>
      <c r="I16059" s="0" t="s">
        <v>53508</v>
      </c>
      <c r="J16059" s="0" t="s">
        <v>53509</v>
      </c>
      <c r="K16059" s="0" t="s">
        <v>53510</v>
      </c>
      <c r="L16059" s="0" t="str">
        <f aca="false">HYPERLINK("https://www.ncbi.nlm.nih.gov/nuccore/CP000304.1?report=graph&amp;tracks=[key:gene_model_track,Options:GeneOnly]&amp;mk=4532785:4532804|offset_12|444444,4532739:4532758|offset_58|444444,4532717:4532736|offset_80|444444,4532681:4532700|offset_116|00cc00&amp;v=4532584:4532900&amp;c=444444", "offset 116")</f>
        <v>offset 116</v>
      </c>
    </row>
    <row r="16060" customFormat="false" ht="12.8" hidden="false" customHeight="false" outlineLevel="0" collapsed="false">
      <c r="A16060" s="0" t="s">
        <v>12</v>
      </c>
      <c r="B16060" s="0" t="n">
        <v>4532897</v>
      </c>
      <c r="C16060" s="0" t="n">
        <v>4532917</v>
      </c>
      <c r="D16060" s="0" t="s">
        <v>53511</v>
      </c>
      <c r="E16060" s="0" t="s">
        <v>89</v>
      </c>
      <c r="F16060" s="0" t="s">
        <v>15</v>
      </c>
      <c r="G16060" s="0" t="s">
        <v>32</v>
      </c>
      <c r="H16060" s="0" t="n">
        <v>10</v>
      </c>
      <c r="I16060" s="0" t="s">
        <v>53512</v>
      </c>
      <c r="J16060" s="0" t="s">
        <v>53513</v>
      </c>
      <c r="K16060" s="0" t="s">
        <v>53514</v>
      </c>
      <c r="L16060" s="0" t="str">
        <f aca="false">HYPERLINK("https://www.ncbi.nlm.nih.gov/nuccore/CP000304.1?report=graph&amp;tracks=[key:gene_model_track,Options:GeneOnly]&amp;mk=4532898:4532917|offset_10|00cc00,4532923:4532942|offset_35|444444,4532944:4532963|offset_56|444444,4532964:4532983|offset_76|444444&amp;v=4532697:4533183&amp;c=444444", "offset 10")</f>
        <v>offset 10</v>
      </c>
    </row>
    <row r="16061" customFormat="false" ht="12.8" hidden="false" customHeight="false" outlineLevel="0" collapsed="false">
      <c r="A16061" s="0" t="s">
        <v>12</v>
      </c>
      <c r="B16061" s="0" t="n">
        <v>4532922</v>
      </c>
      <c r="C16061" s="0" t="n">
        <v>4532942</v>
      </c>
      <c r="D16061" s="0" t="s">
        <v>53511</v>
      </c>
      <c r="E16061" s="0" t="s">
        <v>89</v>
      </c>
      <c r="F16061" s="0" t="s">
        <v>15</v>
      </c>
      <c r="G16061" s="0" t="s">
        <v>36</v>
      </c>
      <c r="H16061" s="0" t="n">
        <v>35</v>
      </c>
      <c r="I16061" s="0" t="s">
        <v>53515</v>
      </c>
      <c r="J16061" s="0" t="s">
        <v>53516</v>
      </c>
      <c r="K16061" s="0" t="s">
        <v>53517</v>
      </c>
      <c r="L16061" s="0" t="str">
        <f aca="false">HYPERLINK("https://www.ncbi.nlm.nih.gov/nuccore/CP000304.1?report=graph&amp;tracks=[key:gene_model_track,Options:GeneOnly]&amp;mk=4532898:4532917|offset_10|444444,4532923:4532942|offset_35|00cc00,4532944:4532963|offset_56|444444,4532964:4532983|offset_76|444444&amp;v=4532697:4533183&amp;c=444444", "offset 35")</f>
        <v>offset 35</v>
      </c>
    </row>
    <row r="16062" customFormat="false" ht="12.8" hidden="false" customHeight="false" outlineLevel="0" collapsed="false">
      <c r="A16062" s="0" t="s">
        <v>12</v>
      </c>
      <c r="B16062" s="0" t="n">
        <v>4532943</v>
      </c>
      <c r="C16062" s="0" t="n">
        <v>4532963</v>
      </c>
      <c r="D16062" s="0" t="s">
        <v>53511</v>
      </c>
      <c r="E16062" s="0" t="s">
        <v>89</v>
      </c>
      <c r="F16062" s="0" t="s">
        <v>15</v>
      </c>
      <c r="G16062" s="0" t="s">
        <v>36</v>
      </c>
      <c r="H16062" s="0" t="n">
        <v>56</v>
      </c>
      <c r="I16062" s="0" t="s">
        <v>53518</v>
      </c>
      <c r="J16062" s="0" t="s">
        <v>53519</v>
      </c>
      <c r="K16062" s="0" t="s">
        <v>53520</v>
      </c>
      <c r="L16062" s="0" t="str">
        <f aca="false">HYPERLINK("https://www.ncbi.nlm.nih.gov/nuccore/CP000304.1?report=graph&amp;tracks=[key:gene_model_track,Options:GeneOnly]&amp;mk=4532898:4532917|offset_10|444444,4532923:4532942|offset_35|444444,4532944:4532963|offset_56|00cc00,4532964:4532983|offset_76|444444&amp;v=4532697:4533183&amp;c=444444", "offset 56")</f>
        <v>offset 56</v>
      </c>
    </row>
    <row r="16063" customFormat="false" ht="12.8" hidden="false" customHeight="false" outlineLevel="0" collapsed="false">
      <c r="A16063" s="0" t="s">
        <v>12</v>
      </c>
      <c r="B16063" s="0" t="n">
        <v>4532963</v>
      </c>
      <c r="C16063" s="0" t="n">
        <v>4532983</v>
      </c>
      <c r="D16063" s="0" t="s">
        <v>53511</v>
      </c>
      <c r="E16063" s="0" t="s">
        <v>89</v>
      </c>
      <c r="F16063" s="0" t="s">
        <v>15</v>
      </c>
      <c r="G16063" s="0" t="s">
        <v>32</v>
      </c>
      <c r="H16063" s="0" t="n">
        <v>76</v>
      </c>
      <c r="I16063" s="0" t="s">
        <v>53521</v>
      </c>
      <c r="J16063" s="0" t="s">
        <v>53522</v>
      </c>
      <c r="K16063" s="0" t="s">
        <v>53523</v>
      </c>
      <c r="L16063" s="0" t="str">
        <f aca="false">HYPERLINK("https://www.ncbi.nlm.nih.gov/nuccore/CP000304.1?report=graph&amp;tracks=[key:gene_model_track,Options:GeneOnly]&amp;mk=4532898:4532917|offset_10|444444,4532923:4532942|offset_35|444444,4532944:4532963|offset_56|444444,4532964:4532983|offset_76|00cc00&amp;v=4532697:4533183&amp;c=444444", "offset 76")</f>
        <v>offset 76</v>
      </c>
    </row>
    <row r="16064" customFormat="false" ht="12.8" hidden="false" customHeight="false" outlineLevel="0" collapsed="false">
      <c r="A16064" s="0" t="s">
        <v>12</v>
      </c>
      <c r="B16064" s="0" t="n">
        <v>4534233</v>
      </c>
      <c r="C16064" s="0" t="n">
        <v>4534253</v>
      </c>
      <c r="D16064" s="0" t="s">
        <v>53524</v>
      </c>
      <c r="E16064" s="0" t="s">
        <v>89</v>
      </c>
      <c r="F16064" s="0" t="s">
        <v>90</v>
      </c>
      <c r="G16064" s="0" t="s">
        <v>32</v>
      </c>
      <c r="H16064" s="0" t="n">
        <v>1</v>
      </c>
      <c r="I16064" s="0" t="s">
        <v>53525</v>
      </c>
      <c r="J16064" s="0" t="s">
        <v>53526</v>
      </c>
      <c r="K16064" s="0" t="s">
        <v>53527</v>
      </c>
      <c r="L16064" s="0" t="str">
        <f aca="false">HYPERLINK("https://www.ncbi.nlm.nih.gov/nuccore/CP000304.1?report=graph&amp;tracks=[key:gene_model_track,Options:GeneOnly]&amp;mk=4534234:4534253|offset_1|00cc00,4534209:4534228|offset_26|444444,4534189:4534208|offset_46|444444,4534165:4534184|offset_70|444444&amp;v=4534033:4534384&amp;c=444444", "offset 1")</f>
        <v>offset 1</v>
      </c>
    </row>
    <row r="16065" customFormat="false" ht="12.8" hidden="false" customHeight="false" outlineLevel="0" collapsed="false">
      <c r="A16065" s="0" t="s">
        <v>12</v>
      </c>
      <c r="B16065" s="0" t="n">
        <v>4534208</v>
      </c>
      <c r="C16065" s="0" t="n">
        <v>4534228</v>
      </c>
      <c r="D16065" s="0" t="s">
        <v>53524</v>
      </c>
      <c r="E16065" s="0" t="s">
        <v>89</v>
      </c>
      <c r="F16065" s="0" t="s">
        <v>90</v>
      </c>
      <c r="G16065" s="0" t="s">
        <v>26</v>
      </c>
      <c r="H16065" s="0" t="n">
        <v>26</v>
      </c>
      <c r="I16065" s="0" t="s">
        <v>53528</v>
      </c>
      <c r="J16065" s="0" t="s">
        <v>53529</v>
      </c>
      <c r="K16065" s="0" t="s">
        <v>53530</v>
      </c>
      <c r="L16065" s="0" t="str">
        <f aca="false">HYPERLINK("https://www.ncbi.nlm.nih.gov/nuccore/CP000304.1?report=graph&amp;tracks=[key:gene_model_track,Options:GeneOnly]&amp;mk=4534234:4534253|offset_1|444444,4534209:4534228|offset_26|00cc00,4534189:4534208|offset_46|444444,4534165:4534184|offset_70|444444&amp;v=4534033:4534384&amp;c=444444", "offset 26")</f>
        <v>offset 26</v>
      </c>
    </row>
    <row r="16066" customFormat="false" ht="12.8" hidden="false" customHeight="false" outlineLevel="0" collapsed="false">
      <c r="A16066" s="0" t="s">
        <v>12</v>
      </c>
      <c r="B16066" s="0" t="n">
        <v>4534188</v>
      </c>
      <c r="C16066" s="0" t="n">
        <v>4534208</v>
      </c>
      <c r="D16066" s="0" t="s">
        <v>53524</v>
      </c>
      <c r="E16066" s="0" t="s">
        <v>89</v>
      </c>
      <c r="F16066" s="0" t="s">
        <v>90</v>
      </c>
      <c r="G16066" s="0" t="s">
        <v>16</v>
      </c>
      <c r="H16066" s="0" t="n">
        <v>46</v>
      </c>
      <c r="I16066" s="0" t="s">
        <v>53531</v>
      </c>
      <c r="J16066" s="0" t="s">
        <v>53532</v>
      </c>
      <c r="K16066" s="0" t="s">
        <v>53533</v>
      </c>
      <c r="L16066" s="0" t="str">
        <f aca="false">HYPERLINK("https://www.ncbi.nlm.nih.gov/nuccore/CP000304.1?report=graph&amp;tracks=[key:gene_model_track,Options:GeneOnly]&amp;mk=4534234:4534253|offset_1|444444,4534209:4534228|offset_26|444444,4534189:4534208|offset_46|00cc00,4534165:4534184|offset_70|444444&amp;v=4534033:4534384&amp;c=444444", "offset 46")</f>
        <v>offset 46</v>
      </c>
    </row>
    <row r="16067" customFormat="false" ht="12.8" hidden="false" customHeight="false" outlineLevel="0" collapsed="false">
      <c r="A16067" s="0" t="s">
        <v>12</v>
      </c>
      <c r="B16067" s="0" t="n">
        <v>4534164</v>
      </c>
      <c r="C16067" s="0" t="n">
        <v>4534184</v>
      </c>
      <c r="D16067" s="0" t="s">
        <v>53524</v>
      </c>
      <c r="E16067" s="0" t="s">
        <v>89</v>
      </c>
      <c r="F16067" s="0" t="s">
        <v>90</v>
      </c>
      <c r="G16067" s="0" t="s">
        <v>36</v>
      </c>
      <c r="H16067" s="0" t="n">
        <v>70</v>
      </c>
      <c r="I16067" s="0" t="s">
        <v>53534</v>
      </c>
      <c r="J16067" s="0" t="s">
        <v>53535</v>
      </c>
      <c r="K16067" s="0" t="s">
        <v>53536</v>
      </c>
      <c r="L16067" s="0" t="str">
        <f aca="false">HYPERLINK("https://www.ncbi.nlm.nih.gov/nuccore/CP000304.1?report=graph&amp;tracks=[key:gene_model_track,Options:GeneOnly]&amp;mk=4534234:4534253|offset_1|444444,4534209:4534228|offset_26|444444,4534189:4534208|offset_46|444444,4534165:4534184|offset_70|00cc00&amp;v=4534033:4534384&amp;c=444444", "offset 70")</f>
        <v>offset 70</v>
      </c>
    </row>
    <row r="16068" customFormat="false" ht="12.8" hidden="false" customHeight="false" outlineLevel="0" collapsed="false">
      <c r="A16068" s="0" t="s">
        <v>12</v>
      </c>
      <c r="B16068" s="0" t="n">
        <v>4534680</v>
      </c>
      <c r="C16068" s="0" t="n">
        <v>4534700</v>
      </c>
      <c r="D16068" s="0" t="s">
        <v>53537</v>
      </c>
      <c r="E16068" s="0" t="s">
        <v>89</v>
      </c>
      <c r="F16068" s="0" t="s">
        <v>90</v>
      </c>
      <c r="G16068" s="0" t="s">
        <v>16</v>
      </c>
      <c r="H16068" s="0" t="n">
        <v>42</v>
      </c>
      <c r="I16068" s="0" t="s">
        <v>53538</v>
      </c>
      <c r="J16068" s="0" t="s">
        <v>53539</v>
      </c>
      <c r="K16068" s="0" t="s">
        <v>53540</v>
      </c>
      <c r="L16068" s="0" t="str">
        <f aca="false">HYPERLINK("https://www.ncbi.nlm.nih.gov/nuccore/CP000304.1?report=graph&amp;tracks=[key:gene_model_track,Options:GeneOnly]&amp;mk=4534681:4534700|offset_42|00cc00,4534657:4534676|offset_66|444444,4534606:4534625|offset_117|444444,4534586:4534605|offset_137|444444&amp;v=4534480:4534805&amp;c=444444", "offset 42")</f>
        <v>offset 42</v>
      </c>
    </row>
    <row r="16069" customFormat="false" ht="12.8" hidden="false" customHeight="false" outlineLevel="0" collapsed="false">
      <c r="A16069" s="0" t="s">
        <v>12</v>
      </c>
      <c r="B16069" s="0" t="n">
        <v>4534656</v>
      </c>
      <c r="C16069" s="0" t="n">
        <v>4534676</v>
      </c>
      <c r="D16069" s="0" t="s">
        <v>53537</v>
      </c>
      <c r="E16069" s="0" t="s">
        <v>89</v>
      </c>
      <c r="F16069" s="0" t="s">
        <v>90</v>
      </c>
      <c r="G16069" s="0" t="s">
        <v>16</v>
      </c>
      <c r="H16069" s="0" t="n">
        <v>66</v>
      </c>
      <c r="I16069" s="0" t="s">
        <v>53541</v>
      </c>
      <c r="J16069" s="0" t="s">
        <v>53542</v>
      </c>
      <c r="K16069" s="0" t="s">
        <v>53543</v>
      </c>
      <c r="L16069" s="0" t="str">
        <f aca="false">HYPERLINK("https://www.ncbi.nlm.nih.gov/nuccore/CP000304.1?report=graph&amp;tracks=[key:gene_model_track,Options:GeneOnly]&amp;mk=4534681:4534700|offset_42|444444,4534657:4534676|offset_66|00cc00,4534606:4534625|offset_117|444444,4534586:4534605|offset_137|444444&amp;v=4534480:4534805&amp;c=444444", "offset 66")</f>
        <v>offset 66</v>
      </c>
    </row>
    <row r="16070" customFormat="false" ht="12.8" hidden="false" customHeight="false" outlineLevel="0" collapsed="false">
      <c r="A16070" s="0" t="s">
        <v>12</v>
      </c>
      <c r="B16070" s="0" t="n">
        <v>4534605</v>
      </c>
      <c r="C16070" s="0" t="n">
        <v>4534625</v>
      </c>
      <c r="D16070" s="0" t="s">
        <v>53537</v>
      </c>
      <c r="E16070" s="0" t="s">
        <v>89</v>
      </c>
      <c r="F16070" s="0" t="s">
        <v>90</v>
      </c>
      <c r="G16070" s="0" t="s">
        <v>16</v>
      </c>
      <c r="H16070" s="0" t="n">
        <v>117</v>
      </c>
      <c r="I16070" s="0" t="s">
        <v>53544</v>
      </c>
      <c r="J16070" s="0" t="s">
        <v>53545</v>
      </c>
      <c r="K16070" s="0" t="s">
        <v>53546</v>
      </c>
      <c r="L16070" s="0" t="str">
        <f aca="false">HYPERLINK("https://www.ncbi.nlm.nih.gov/nuccore/CP000304.1?report=graph&amp;tracks=[key:gene_model_track,Options:GeneOnly]&amp;mk=4534681:4534700|offset_42|444444,4534657:4534676|offset_66|444444,4534606:4534625|offset_117|00cc00,4534586:4534605|offset_137|444444&amp;v=4534480:4534805&amp;c=444444", "offset 117")</f>
        <v>offset 117</v>
      </c>
    </row>
    <row r="16071" customFormat="false" ht="12.8" hidden="false" customHeight="false" outlineLevel="0" collapsed="false">
      <c r="A16071" s="0" t="s">
        <v>12</v>
      </c>
      <c r="B16071" s="0" t="n">
        <v>4534585</v>
      </c>
      <c r="C16071" s="0" t="n">
        <v>4534605</v>
      </c>
      <c r="D16071" s="0" t="s">
        <v>53537</v>
      </c>
      <c r="E16071" s="0" t="s">
        <v>89</v>
      </c>
      <c r="F16071" s="0" t="s">
        <v>90</v>
      </c>
      <c r="G16071" s="0" t="s">
        <v>26</v>
      </c>
      <c r="H16071" s="0" t="n">
        <v>137</v>
      </c>
      <c r="I16071" s="0" t="s">
        <v>53547</v>
      </c>
      <c r="J16071" s="0" t="s">
        <v>53548</v>
      </c>
      <c r="K16071" s="0" t="s">
        <v>53549</v>
      </c>
      <c r="L16071" s="0" t="str">
        <f aca="false">HYPERLINK("https://www.ncbi.nlm.nih.gov/nuccore/CP000304.1?report=graph&amp;tracks=[key:gene_model_track,Options:GeneOnly]&amp;mk=4534681:4534700|offset_42|444444,4534657:4534676|offset_66|444444,4534606:4534625|offset_117|444444,4534586:4534605|offset_137|00cc00&amp;v=4534480:4534805&amp;c=444444", "offset 137")</f>
        <v>offset 137</v>
      </c>
    </row>
    <row r="16072" customFormat="false" ht="12.8" hidden="false" customHeight="false" outlineLevel="0" collapsed="false">
      <c r="A16072" s="0" t="s">
        <v>12</v>
      </c>
      <c r="B16072" s="0" t="n">
        <v>4534986</v>
      </c>
      <c r="C16072" s="0" t="n">
        <v>4535006</v>
      </c>
      <c r="D16072" s="0" t="s">
        <v>53550</v>
      </c>
      <c r="E16072" s="0" t="s">
        <v>89</v>
      </c>
      <c r="F16072" s="0" t="s">
        <v>15</v>
      </c>
      <c r="G16072" s="0" t="s">
        <v>16</v>
      </c>
      <c r="H16072" s="0" t="n">
        <v>13</v>
      </c>
      <c r="I16072" s="0" t="s">
        <v>53551</v>
      </c>
      <c r="J16072" s="0" t="s">
        <v>53552</v>
      </c>
      <c r="K16072" s="0" t="s">
        <v>53553</v>
      </c>
      <c r="L16072" s="0" t="str">
        <f aca="false">HYPERLINK("https://www.ncbi.nlm.nih.gov/nuccore/CP000304.1?report=graph&amp;tracks=[key:gene_model_track,Options:GeneOnly]&amp;mk=4534987:4535006|offset_13|00cc00,4535018:4535037|offset_44|444444,4535039:4535058|offset_65|444444,4535061:4535080|offset_87|444444&amp;v=4534786:4535280&amp;c=444444", "offset 13")</f>
        <v>offset 13</v>
      </c>
    </row>
    <row r="16073" customFormat="false" ht="12.8" hidden="false" customHeight="false" outlineLevel="0" collapsed="false">
      <c r="A16073" s="0" t="s">
        <v>12</v>
      </c>
      <c r="B16073" s="0" t="n">
        <v>4535017</v>
      </c>
      <c r="C16073" s="0" t="n">
        <v>4535037</v>
      </c>
      <c r="D16073" s="0" t="s">
        <v>53550</v>
      </c>
      <c r="E16073" s="0" t="s">
        <v>89</v>
      </c>
      <c r="F16073" s="0" t="s">
        <v>15</v>
      </c>
      <c r="G16073" s="0" t="s">
        <v>16</v>
      </c>
      <c r="H16073" s="0" t="n">
        <v>44</v>
      </c>
      <c r="I16073" s="0" t="s">
        <v>53554</v>
      </c>
      <c r="J16073" s="0" t="s">
        <v>53555</v>
      </c>
      <c r="K16073" s="0" t="s">
        <v>53556</v>
      </c>
      <c r="L16073" s="0" t="str">
        <f aca="false">HYPERLINK("https://www.ncbi.nlm.nih.gov/nuccore/CP000304.1?report=graph&amp;tracks=[key:gene_model_track,Options:GeneOnly]&amp;mk=4534987:4535006|offset_13|444444,4535018:4535037|offset_44|00cc00,4535039:4535058|offset_65|444444,4535061:4535080|offset_87|444444&amp;v=4534786:4535280&amp;c=444444", "offset 44")</f>
        <v>offset 44</v>
      </c>
    </row>
    <row r="16074" customFormat="false" ht="12.8" hidden="false" customHeight="false" outlineLevel="0" collapsed="false">
      <c r="A16074" s="0" t="s">
        <v>12</v>
      </c>
      <c r="B16074" s="0" t="n">
        <v>4535038</v>
      </c>
      <c r="C16074" s="0" t="n">
        <v>4535058</v>
      </c>
      <c r="D16074" s="0" t="s">
        <v>53550</v>
      </c>
      <c r="E16074" s="0" t="s">
        <v>89</v>
      </c>
      <c r="F16074" s="0" t="s">
        <v>15</v>
      </c>
      <c r="G16074" s="0" t="s">
        <v>32</v>
      </c>
      <c r="H16074" s="0" t="n">
        <v>65</v>
      </c>
      <c r="I16074" s="0" t="s">
        <v>53557</v>
      </c>
      <c r="J16074" s="0" t="s">
        <v>53558</v>
      </c>
      <c r="K16074" s="0" t="s">
        <v>53559</v>
      </c>
      <c r="L16074" s="0" t="str">
        <f aca="false">HYPERLINK("https://www.ncbi.nlm.nih.gov/nuccore/CP000304.1?report=graph&amp;tracks=[key:gene_model_track,Options:GeneOnly]&amp;mk=4534987:4535006|offset_13|444444,4535018:4535037|offset_44|444444,4535039:4535058|offset_65|00cc00,4535061:4535080|offset_87|444444&amp;v=4534786:4535280&amp;c=444444", "offset 65")</f>
        <v>offset 65</v>
      </c>
    </row>
    <row r="16075" customFormat="false" ht="12.8" hidden="false" customHeight="false" outlineLevel="0" collapsed="false">
      <c r="A16075" s="0" t="s">
        <v>12</v>
      </c>
      <c r="B16075" s="0" t="n">
        <v>4535060</v>
      </c>
      <c r="C16075" s="0" t="n">
        <v>4535080</v>
      </c>
      <c r="D16075" s="0" t="s">
        <v>53550</v>
      </c>
      <c r="E16075" s="0" t="s">
        <v>89</v>
      </c>
      <c r="F16075" s="0" t="s">
        <v>15</v>
      </c>
      <c r="G16075" s="0" t="s">
        <v>16</v>
      </c>
      <c r="H16075" s="0" t="n">
        <v>87</v>
      </c>
      <c r="I16075" s="0" t="s">
        <v>53560</v>
      </c>
      <c r="J16075" s="0" t="s">
        <v>53561</v>
      </c>
      <c r="K16075" s="0" t="s">
        <v>53562</v>
      </c>
      <c r="L16075" s="0" t="str">
        <f aca="false">HYPERLINK("https://www.ncbi.nlm.nih.gov/nuccore/CP000304.1?report=graph&amp;tracks=[key:gene_model_track,Options:GeneOnly]&amp;mk=4534987:4535006|offset_13|444444,4535018:4535037|offset_44|444444,4535039:4535058|offset_65|444444,4535061:4535080|offset_87|00cc00&amp;v=4534786:4535280&amp;c=444444", "offset 87")</f>
        <v>offset 87</v>
      </c>
    </row>
    <row r="16076" customFormat="false" ht="12.8" hidden="false" customHeight="false" outlineLevel="0" collapsed="false">
      <c r="A16076" s="0" t="s">
        <v>12</v>
      </c>
      <c r="B16076" s="0" t="n">
        <v>4537255</v>
      </c>
      <c r="C16076" s="0" t="n">
        <v>4537275</v>
      </c>
      <c r="D16076" s="0" t="s">
        <v>53563</v>
      </c>
      <c r="E16076" s="0" t="s">
        <v>89</v>
      </c>
      <c r="F16076" s="0" t="s">
        <v>15</v>
      </c>
      <c r="G16076" s="0" t="s">
        <v>16</v>
      </c>
      <c r="H16076" s="0" t="n">
        <v>12</v>
      </c>
      <c r="I16076" s="0" t="s">
        <v>53564</v>
      </c>
      <c r="J16076" s="0" t="s">
        <v>53565</v>
      </c>
      <c r="K16076" s="0" t="s">
        <v>53566</v>
      </c>
      <c r="L16076" s="0" t="str">
        <f aca="false">HYPERLINK("https://www.ncbi.nlm.nih.gov/nuccore/CP000304.1?report=graph&amp;tracks=[key:gene_model_track,Options:GeneOnly]&amp;mk=4537256:4537275|offset_12|00cc00,4537279:4537298|offset_35|444444,4537309:4537328|offset_65|444444,4537329:4537348|offset_85|444444&amp;v=4537055:4537548&amp;c=444444", "offset 12")</f>
        <v>offset 12</v>
      </c>
    </row>
    <row r="16077" customFormat="false" ht="12.8" hidden="false" customHeight="false" outlineLevel="0" collapsed="false">
      <c r="A16077" s="0" t="s">
        <v>12</v>
      </c>
      <c r="B16077" s="0" t="n">
        <v>4537278</v>
      </c>
      <c r="C16077" s="0" t="n">
        <v>4537298</v>
      </c>
      <c r="D16077" s="0" t="s">
        <v>53563</v>
      </c>
      <c r="E16077" s="0" t="s">
        <v>89</v>
      </c>
      <c r="F16077" s="0" t="s">
        <v>15</v>
      </c>
      <c r="G16077" s="0" t="s">
        <v>36</v>
      </c>
      <c r="H16077" s="0" t="n">
        <v>35</v>
      </c>
      <c r="I16077" s="0" t="s">
        <v>53567</v>
      </c>
      <c r="J16077" s="0" t="s">
        <v>53568</v>
      </c>
      <c r="K16077" s="0" t="s">
        <v>53569</v>
      </c>
      <c r="L16077" s="0" t="str">
        <f aca="false">HYPERLINK("https://www.ncbi.nlm.nih.gov/nuccore/CP000304.1?report=graph&amp;tracks=[key:gene_model_track,Options:GeneOnly]&amp;mk=4537256:4537275|offset_12|444444,4537279:4537298|offset_35|00cc00,4537309:4537328|offset_65|444444,4537329:4537348|offset_85|444444&amp;v=4537055:4537548&amp;c=444444", "offset 35")</f>
        <v>offset 35</v>
      </c>
    </row>
    <row r="16078" customFormat="false" ht="12.8" hidden="false" customHeight="false" outlineLevel="0" collapsed="false">
      <c r="A16078" s="0" t="s">
        <v>12</v>
      </c>
      <c r="B16078" s="0" t="n">
        <v>4537308</v>
      </c>
      <c r="C16078" s="0" t="n">
        <v>4537328</v>
      </c>
      <c r="D16078" s="0" t="s">
        <v>53563</v>
      </c>
      <c r="E16078" s="0" t="s">
        <v>89</v>
      </c>
      <c r="F16078" s="0" t="s">
        <v>15</v>
      </c>
      <c r="G16078" s="0" t="s">
        <v>26</v>
      </c>
      <c r="H16078" s="0" t="n">
        <v>65</v>
      </c>
      <c r="I16078" s="0" t="s">
        <v>53570</v>
      </c>
      <c r="J16078" s="0" t="s">
        <v>53571</v>
      </c>
      <c r="K16078" s="0" t="s">
        <v>53572</v>
      </c>
      <c r="L16078" s="0" t="str">
        <f aca="false">HYPERLINK("https://www.ncbi.nlm.nih.gov/nuccore/CP000304.1?report=graph&amp;tracks=[key:gene_model_track,Options:GeneOnly]&amp;mk=4537256:4537275|offset_12|444444,4537279:4537298|offset_35|444444,4537309:4537328|offset_65|00cc00,4537329:4537348|offset_85|444444&amp;v=4537055:4537548&amp;c=444444", "offset 65")</f>
        <v>offset 65</v>
      </c>
    </row>
    <row r="16079" customFormat="false" ht="12.8" hidden="false" customHeight="false" outlineLevel="0" collapsed="false">
      <c r="A16079" s="0" t="s">
        <v>12</v>
      </c>
      <c r="B16079" s="0" t="n">
        <v>4537328</v>
      </c>
      <c r="C16079" s="0" t="n">
        <v>4537348</v>
      </c>
      <c r="D16079" s="0" t="s">
        <v>53563</v>
      </c>
      <c r="E16079" s="0" t="s">
        <v>89</v>
      </c>
      <c r="F16079" s="0" t="s">
        <v>15</v>
      </c>
      <c r="G16079" s="0" t="s">
        <v>32</v>
      </c>
      <c r="H16079" s="0" t="n">
        <v>85</v>
      </c>
      <c r="I16079" s="0" t="s">
        <v>53573</v>
      </c>
      <c r="J16079" s="0" t="s">
        <v>53574</v>
      </c>
      <c r="K16079" s="0" t="s">
        <v>53575</v>
      </c>
      <c r="L16079" s="0" t="str">
        <f aca="false">HYPERLINK("https://www.ncbi.nlm.nih.gov/nuccore/CP000304.1?report=graph&amp;tracks=[key:gene_model_track,Options:GeneOnly]&amp;mk=4537256:4537275|offset_12|444444,4537279:4537298|offset_35|444444,4537309:4537328|offset_65|444444,4537329:4537348|offset_85|00cc00&amp;v=4537055:4537548&amp;c=444444", "offset 85")</f>
        <v>offset 85</v>
      </c>
    </row>
    <row r="16080" customFormat="false" ht="12.8" hidden="false" customHeight="false" outlineLevel="0" collapsed="false">
      <c r="A16080" s="0" t="s">
        <v>12</v>
      </c>
      <c r="B16080" s="0" t="n">
        <v>4537789</v>
      </c>
      <c r="C16080" s="0" t="n">
        <v>4537809</v>
      </c>
      <c r="D16080" s="0" t="s">
        <v>53576</v>
      </c>
      <c r="E16080" s="0" t="s">
        <v>89</v>
      </c>
      <c r="F16080" s="0" t="s">
        <v>15</v>
      </c>
      <c r="G16080" s="0" t="s">
        <v>32</v>
      </c>
      <c r="H16080" s="0" t="n">
        <v>6</v>
      </c>
      <c r="I16080" s="0" t="s">
        <v>53577</v>
      </c>
      <c r="J16080" s="0" t="s">
        <v>53578</v>
      </c>
      <c r="K16080" s="0" t="s">
        <v>53579</v>
      </c>
      <c r="L16080" s="0" t="str">
        <f aca="false">HYPERLINK("https://www.ncbi.nlm.nih.gov/nuccore/CP000304.1?report=graph&amp;tracks=[key:gene_model_track,Options:GeneOnly]&amp;mk=4537790:4537809|offset_6|00cc00,4537813:4537832|offset_29|444444,4537851:4537870|offset_67|444444,4537881:4537900|offset_97|444444&amp;v=4537589:4538100&amp;c=444444", "offset 6")</f>
        <v>offset 6</v>
      </c>
    </row>
    <row r="16081" customFormat="false" ht="12.8" hidden="false" customHeight="false" outlineLevel="0" collapsed="false">
      <c r="A16081" s="0" t="s">
        <v>12</v>
      </c>
      <c r="B16081" s="0" t="n">
        <v>4537812</v>
      </c>
      <c r="C16081" s="0" t="n">
        <v>4537832</v>
      </c>
      <c r="D16081" s="0" t="s">
        <v>53576</v>
      </c>
      <c r="E16081" s="0" t="s">
        <v>89</v>
      </c>
      <c r="F16081" s="0" t="s">
        <v>15</v>
      </c>
      <c r="G16081" s="0" t="s">
        <v>26</v>
      </c>
      <c r="H16081" s="0" t="n">
        <v>29</v>
      </c>
      <c r="I16081" s="0" t="s">
        <v>53580</v>
      </c>
      <c r="J16081" s="0" t="s">
        <v>53581</v>
      </c>
      <c r="K16081" s="0" t="s">
        <v>53582</v>
      </c>
      <c r="L16081" s="0" t="str">
        <f aca="false">HYPERLINK("https://www.ncbi.nlm.nih.gov/nuccore/CP000304.1?report=graph&amp;tracks=[key:gene_model_track,Options:GeneOnly]&amp;mk=4537790:4537809|offset_6|444444,4537813:4537832|offset_29|00cc00,4537851:4537870|offset_67|444444,4537881:4537900|offset_97|444444&amp;v=4537589:4538100&amp;c=444444", "offset 29")</f>
        <v>offset 29</v>
      </c>
    </row>
    <row r="16082" customFormat="false" ht="12.8" hidden="false" customHeight="false" outlineLevel="0" collapsed="false">
      <c r="A16082" s="0" t="s">
        <v>12</v>
      </c>
      <c r="B16082" s="0" t="n">
        <v>4537850</v>
      </c>
      <c r="C16082" s="0" t="n">
        <v>4537870</v>
      </c>
      <c r="D16082" s="0" t="s">
        <v>53576</v>
      </c>
      <c r="E16082" s="0" t="s">
        <v>89</v>
      </c>
      <c r="F16082" s="0" t="s">
        <v>15</v>
      </c>
      <c r="G16082" s="0" t="s">
        <v>36</v>
      </c>
      <c r="H16082" s="0" t="n">
        <v>67</v>
      </c>
      <c r="I16082" s="0" t="s">
        <v>53583</v>
      </c>
      <c r="J16082" s="0" t="s">
        <v>53584</v>
      </c>
      <c r="K16082" s="0" t="s">
        <v>53585</v>
      </c>
      <c r="L16082" s="0" t="str">
        <f aca="false">HYPERLINK("https://www.ncbi.nlm.nih.gov/nuccore/CP000304.1?report=graph&amp;tracks=[key:gene_model_track,Options:GeneOnly]&amp;mk=4537790:4537809|offset_6|444444,4537813:4537832|offset_29|444444,4537851:4537870|offset_67|00cc00,4537881:4537900|offset_97|444444&amp;v=4537589:4538100&amp;c=444444", "offset 67")</f>
        <v>offset 67</v>
      </c>
    </row>
    <row r="16083" customFormat="false" ht="12.8" hidden="false" customHeight="false" outlineLevel="0" collapsed="false">
      <c r="A16083" s="0" t="s">
        <v>12</v>
      </c>
      <c r="B16083" s="0" t="n">
        <v>4537880</v>
      </c>
      <c r="C16083" s="0" t="n">
        <v>4537900</v>
      </c>
      <c r="D16083" s="0" t="s">
        <v>53576</v>
      </c>
      <c r="E16083" s="0" t="s">
        <v>89</v>
      </c>
      <c r="F16083" s="0" t="s">
        <v>15</v>
      </c>
      <c r="G16083" s="0" t="s">
        <v>26</v>
      </c>
      <c r="H16083" s="0" t="n">
        <v>97</v>
      </c>
      <c r="I16083" s="0" t="s">
        <v>53586</v>
      </c>
      <c r="J16083" s="0" t="s">
        <v>53587</v>
      </c>
      <c r="K16083" s="0" t="s">
        <v>53588</v>
      </c>
      <c r="L16083" s="0" t="str">
        <f aca="false">HYPERLINK("https://www.ncbi.nlm.nih.gov/nuccore/CP000304.1?report=graph&amp;tracks=[key:gene_model_track,Options:GeneOnly]&amp;mk=4537790:4537809|offset_6|444444,4537813:4537832|offset_29|444444,4537851:4537870|offset_67|444444,4537881:4537900|offset_97|00cc00&amp;v=4537589:4538100&amp;c=444444", "offset 97")</f>
        <v>offset 97</v>
      </c>
    </row>
    <row r="16084" customFormat="false" ht="12.8" hidden="false" customHeight="false" outlineLevel="0" collapsed="false">
      <c r="A16084" s="0" t="s">
        <v>12</v>
      </c>
      <c r="B16084" s="0" t="n">
        <v>4540204</v>
      </c>
      <c r="C16084" s="0" t="n">
        <v>4540224</v>
      </c>
      <c r="D16084" s="0" t="s">
        <v>53589</v>
      </c>
      <c r="E16084" s="0" t="s">
        <v>89</v>
      </c>
      <c r="F16084" s="0" t="s">
        <v>15</v>
      </c>
      <c r="G16084" s="0" t="s">
        <v>26</v>
      </c>
      <c r="H16084" s="0" t="n">
        <v>23</v>
      </c>
      <c r="I16084" s="0" t="s">
        <v>53590</v>
      </c>
      <c r="J16084" s="0" t="s">
        <v>53591</v>
      </c>
      <c r="K16084" s="0" t="s">
        <v>53592</v>
      </c>
      <c r="L16084" s="0" t="str">
        <f aca="false">HYPERLINK("https://www.ncbi.nlm.nih.gov/nuccore/CP000304.1?report=graph&amp;tracks=[key:gene_model_track,Options:GeneOnly]&amp;mk=4540205:4540224|offset_23|00cc00,4540249:4540268|offset_67|444444,4540274:4540293|offset_92|444444,4540303:4540322|offset_121|444444&amp;v=4540004:4540522&amp;c=444444", "offset 23")</f>
        <v>offset 23</v>
      </c>
    </row>
    <row r="16085" customFormat="false" ht="12.8" hidden="false" customHeight="false" outlineLevel="0" collapsed="false">
      <c r="A16085" s="0" t="s">
        <v>12</v>
      </c>
      <c r="B16085" s="0" t="n">
        <v>4540248</v>
      </c>
      <c r="C16085" s="0" t="n">
        <v>4540268</v>
      </c>
      <c r="D16085" s="0" t="s">
        <v>53589</v>
      </c>
      <c r="E16085" s="0" t="s">
        <v>89</v>
      </c>
      <c r="F16085" s="0" t="s">
        <v>15</v>
      </c>
      <c r="G16085" s="0" t="s">
        <v>26</v>
      </c>
      <c r="H16085" s="0" t="n">
        <v>67</v>
      </c>
      <c r="I16085" s="0" t="s">
        <v>53593</v>
      </c>
      <c r="J16085" s="0" t="s">
        <v>53594</v>
      </c>
      <c r="K16085" s="0" t="s">
        <v>53595</v>
      </c>
      <c r="L16085" s="0" t="str">
        <f aca="false">HYPERLINK("https://www.ncbi.nlm.nih.gov/nuccore/CP000304.1?report=graph&amp;tracks=[key:gene_model_track,Options:GeneOnly]&amp;mk=4540205:4540224|offset_23|444444,4540249:4540268|offset_67|00cc00,4540274:4540293|offset_92|444444,4540303:4540322|offset_121|444444&amp;v=4540004:4540522&amp;c=444444", "offset 67")</f>
        <v>offset 67</v>
      </c>
    </row>
    <row r="16086" customFormat="false" ht="12.8" hidden="false" customHeight="false" outlineLevel="0" collapsed="false">
      <c r="A16086" s="0" t="s">
        <v>12</v>
      </c>
      <c r="B16086" s="0" t="n">
        <v>4540273</v>
      </c>
      <c r="C16086" s="0" t="n">
        <v>4540293</v>
      </c>
      <c r="D16086" s="0" t="s">
        <v>53589</v>
      </c>
      <c r="E16086" s="0" t="s">
        <v>89</v>
      </c>
      <c r="F16086" s="0" t="s">
        <v>15</v>
      </c>
      <c r="G16086" s="0" t="s">
        <v>36</v>
      </c>
      <c r="H16086" s="0" t="n">
        <v>92</v>
      </c>
      <c r="I16086" s="0" t="s">
        <v>53596</v>
      </c>
      <c r="J16086" s="0" t="s">
        <v>53597</v>
      </c>
      <c r="K16086" s="0" t="s">
        <v>53598</v>
      </c>
      <c r="L16086" s="0" t="str">
        <f aca="false">HYPERLINK("https://www.ncbi.nlm.nih.gov/nuccore/CP000304.1?report=graph&amp;tracks=[key:gene_model_track,Options:GeneOnly]&amp;mk=4540205:4540224|offset_23|444444,4540249:4540268|offset_67|444444,4540274:4540293|offset_92|00cc00,4540303:4540322|offset_121|444444&amp;v=4540004:4540522&amp;c=444444", "offset 92")</f>
        <v>offset 92</v>
      </c>
    </row>
    <row r="16087" customFormat="false" ht="12.8" hidden="false" customHeight="false" outlineLevel="0" collapsed="false">
      <c r="A16087" s="0" t="s">
        <v>12</v>
      </c>
      <c r="B16087" s="0" t="n">
        <v>4540302</v>
      </c>
      <c r="C16087" s="0" t="n">
        <v>4540322</v>
      </c>
      <c r="D16087" s="0" t="s">
        <v>53589</v>
      </c>
      <c r="E16087" s="0" t="s">
        <v>89</v>
      </c>
      <c r="F16087" s="0" t="s">
        <v>15</v>
      </c>
      <c r="G16087" s="0" t="s">
        <v>36</v>
      </c>
      <c r="H16087" s="0" t="n">
        <v>121</v>
      </c>
      <c r="I16087" s="0" t="s">
        <v>53599</v>
      </c>
      <c r="J16087" s="0" t="s">
        <v>53600</v>
      </c>
      <c r="K16087" s="0" t="s">
        <v>53601</v>
      </c>
      <c r="L16087" s="0" t="str">
        <f aca="false">HYPERLINK("https://www.ncbi.nlm.nih.gov/nuccore/CP000304.1?report=graph&amp;tracks=[key:gene_model_track,Options:GeneOnly]&amp;mk=4540205:4540224|offset_23|444444,4540249:4540268|offset_67|444444,4540274:4540293|offset_92|444444,4540303:4540322|offset_121|00cc00&amp;v=4540004:4540522&amp;c=444444", "offset 121")</f>
        <v>offset 121</v>
      </c>
    </row>
    <row r="16088" customFormat="false" ht="12.8" hidden="false" customHeight="false" outlineLevel="0" collapsed="false">
      <c r="A16088" s="0" t="s">
        <v>12</v>
      </c>
      <c r="B16088" s="0" t="n">
        <v>4542599</v>
      </c>
      <c r="C16088" s="0" t="n">
        <v>4542619</v>
      </c>
      <c r="D16088" s="0" t="s">
        <v>53602</v>
      </c>
      <c r="E16088" s="0" t="s">
        <v>53603</v>
      </c>
      <c r="F16088" s="0" t="s">
        <v>90</v>
      </c>
      <c r="G16088" s="0" t="s">
        <v>16</v>
      </c>
      <c r="H16088" s="0" t="n">
        <v>28</v>
      </c>
      <c r="I16088" s="0" t="s">
        <v>53604</v>
      </c>
      <c r="J16088" s="0" t="s">
        <v>53605</v>
      </c>
      <c r="K16088" s="0" t="s">
        <v>53606</v>
      </c>
      <c r="L16088" s="0" t="str">
        <f aca="false">HYPERLINK("https://www.ncbi.nlm.nih.gov/nuccore/CP000304.1?report=graph&amp;tracks=[key:gene_model_track,Options:GeneOnly]&amp;mk=4542600:4542619|offset_28|00cc00,4542566:4542585|offset_62|444444,4542531:4542550|offset_97|444444,4542468:4542487|offset_160|444444&amp;v=4542399:4542687&amp;c=444444", "offset 28")</f>
        <v>offset 28</v>
      </c>
    </row>
    <row r="16089" customFormat="false" ht="12.8" hidden="false" customHeight="false" outlineLevel="0" collapsed="false">
      <c r="A16089" s="0" t="s">
        <v>12</v>
      </c>
      <c r="B16089" s="0" t="n">
        <v>4542565</v>
      </c>
      <c r="C16089" s="0" t="n">
        <v>4542585</v>
      </c>
      <c r="D16089" s="0" t="s">
        <v>53602</v>
      </c>
      <c r="E16089" s="0" t="s">
        <v>53603</v>
      </c>
      <c r="F16089" s="0" t="s">
        <v>90</v>
      </c>
      <c r="G16089" s="0" t="s">
        <v>26</v>
      </c>
      <c r="H16089" s="0" t="n">
        <v>62</v>
      </c>
      <c r="I16089" s="0" t="s">
        <v>53607</v>
      </c>
      <c r="J16089" s="0" t="s">
        <v>53608</v>
      </c>
      <c r="K16089" s="0" t="s">
        <v>53609</v>
      </c>
      <c r="L16089" s="0" t="str">
        <f aca="false">HYPERLINK("https://www.ncbi.nlm.nih.gov/nuccore/CP000304.1?report=graph&amp;tracks=[key:gene_model_track,Options:GeneOnly]&amp;mk=4542600:4542619|offset_28|444444,4542566:4542585|offset_62|00cc00,4542531:4542550|offset_97|444444,4542468:4542487|offset_160|444444&amp;v=4542399:4542687&amp;c=444444", "offset 62")</f>
        <v>offset 62</v>
      </c>
    </row>
    <row r="16090" customFormat="false" ht="12.8" hidden="false" customHeight="false" outlineLevel="0" collapsed="false">
      <c r="A16090" s="0" t="s">
        <v>12</v>
      </c>
      <c r="B16090" s="0" t="n">
        <v>4542530</v>
      </c>
      <c r="C16090" s="0" t="n">
        <v>4542550</v>
      </c>
      <c r="D16090" s="0" t="s">
        <v>53602</v>
      </c>
      <c r="E16090" s="0" t="s">
        <v>53603</v>
      </c>
      <c r="F16090" s="0" t="s">
        <v>90</v>
      </c>
      <c r="G16090" s="0" t="s">
        <v>16</v>
      </c>
      <c r="H16090" s="0" t="n">
        <v>97</v>
      </c>
      <c r="I16090" s="0" t="s">
        <v>53610</v>
      </c>
      <c r="J16090" s="0" t="s">
        <v>53611</v>
      </c>
      <c r="K16090" s="0" t="s">
        <v>53612</v>
      </c>
      <c r="L16090" s="0" t="str">
        <f aca="false">HYPERLINK("https://www.ncbi.nlm.nih.gov/nuccore/CP000304.1?report=graph&amp;tracks=[key:gene_model_track,Options:GeneOnly]&amp;mk=4542600:4542619|offset_28|444444,4542566:4542585|offset_62|444444,4542531:4542550|offset_97|00cc00,4542468:4542487|offset_160|444444&amp;v=4542399:4542687&amp;c=444444", "offset 97")</f>
        <v>offset 97</v>
      </c>
    </row>
    <row r="16091" customFormat="false" ht="12.8" hidden="false" customHeight="false" outlineLevel="0" collapsed="false">
      <c r="A16091" s="0" t="s">
        <v>12</v>
      </c>
      <c r="B16091" s="0" t="n">
        <v>4542467</v>
      </c>
      <c r="C16091" s="0" t="n">
        <v>4542487</v>
      </c>
      <c r="D16091" s="0" t="s">
        <v>53602</v>
      </c>
      <c r="E16091" s="0" t="s">
        <v>53603</v>
      </c>
      <c r="F16091" s="0" t="s">
        <v>90</v>
      </c>
      <c r="G16091" s="0" t="s">
        <v>16</v>
      </c>
      <c r="H16091" s="0" t="n">
        <v>160</v>
      </c>
      <c r="I16091" s="0" t="s">
        <v>53613</v>
      </c>
      <c r="J16091" s="0" t="s">
        <v>53614</v>
      </c>
      <c r="K16091" s="0" t="s">
        <v>53615</v>
      </c>
      <c r="L16091" s="0" t="str">
        <f aca="false">HYPERLINK("https://www.ncbi.nlm.nih.gov/nuccore/CP000304.1?report=graph&amp;tracks=[key:gene_model_track,Options:GeneOnly]&amp;mk=4542600:4542619|offset_28|444444,4542566:4542585|offset_62|444444,4542531:4542550|offset_97|444444,4542468:4542487|offset_160|00cc00&amp;v=4542399:4542687&amp;c=444444", "offset 160")</f>
        <v>offset 160</v>
      </c>
    </row>
    <row r="16092" customFormat="false" ht="12.8" hidden="false" customHeight="false" outlineLevel="0" collapsed="false">
      <c r="A16092" s="0" t="s">
        <v>12</v>
      </c>
      <c r="B16092" s="0" t="n">
        <v>4543391</v>
      </c>
      <c r="C16092" s="0" t="n">
        <v>4543411</v>
      </c>
      <c r="D16092" s="0" t="s">
        <v>53616</v>
      </c>
      <c r="E16092" s="0" t="s">
        <v>89</v>
      </c>
      <c r="F16092" s="0" t="s">
        <v>90</v>
      </c>
      <c r="G16092" s="0" t="s">
        <v>16</v>
      </c>
      <c r="H16092" s="0" t="n">
        <v>21</v>
      </c>
      <c r="I16092" s="0" t="s">
        <v>53617</v>
      </c>
      <c r="J16092" s="0" t="s">
        <v>53618</v>
      </c>
      <c r="K16092" s="0" t="s">
        <v>53619</v>
      </c>
      <c r="L16092" s="0" t="str">
        <f aca="false">HYPERLINK("https://www.ncbi.nlm.nih.gov/nuccore/CP000304.1?report=graph&amp;tracks=[key:gene_model_track,Options:GeneOnly]&amp;mk=4543392:4543411|offset_21|00cc00,4543366:4543385|offset_47|444444,4543307:4543326|offset_106|444444,4543285:4543304|offset_128|444444&amp;v=4543191:4543504&amp;c=444444", "offset 21")</f>
        <v>offset 21</v>
      </c>
    </row>
    <row r="16093" customFormat="false" ht="12.8" hidden="false" customHeight="false" outlineLevel="0" collapsed="false">
      <c r="A16093" s="0" t="s">
        <v>12</v>
      </c>
      <c r="B16093" s="0" t="n">
        <v>4543365</v>
      </c>
      <c r="C16093" s="0" t="n">
        <v>4543385</v>
      </c>
      <c r="D16093" s="0" t="s">
        <v>53616</v>
      </c>
      <c r="E16093" s="0" t="s">
        <v>89</v>
      </c>
      <c r="F16093" s="0" t="s">
        <v>90</v>
      </c>
      <c r="G16093" s="0" t="s">
        <v>26</v>
      </c>
      <c r="H16093" s="0" t="n">
        <v>47</v>
      </c>
      <c r="I16093" s="0" t="s">
        <v>53620</v>
      </c>
      <c r="J16093" s="0" t="s">
        <v>53621</v>
      </c>
      <c r="K16093" s="0" t="s">
        <v>53622</v>
      </c>
      <c r="L16093" s="0" t="str">
        <f aca="false">HYPERLINK("https://www.ncbi.nlm.nih.gov/nuccore/CP000304.1?report=graph&amp;tracks=[key:gene_model_track,Options:GeneOnly]&amp;mk=4543392:4543411|offset_21|444444,4543366:4543385|offset_47|00cc00,4543307:4543326|offset_106|444444,4543285:4543304|offset_128|444444&amp;v=4543191:4543504&amp;c=444444", "offset 47")</f>
        <v>offset 47</v>
      </c>
    </row>
    <row r="16094" customFormat="false" ht="12.8" hidden="false" customHeight="false" outlineLevel="0" collapsed="false">
      <c r="A16094" s="0" t="s">
        <v>12</v>
      </c>
      <c r="B16094" s="0" t="n">
        <v>4543306</v>
      </c>
      <c r="C16094" s="0" t="n">
        <v>4543326</v>
      </c>
      <c r="D16094" s="0" t="s">
        <v>53616</v>
      </c>
      <c r="E16094" s="0" t="s">
        <v>89</v>
      </c>
      <c r="F16094" s="0" t="s">
        <v>90</v>
      </c>
      <c r="G16094" s="0" t="s">
        <v>16</v>
      </c>
      <c r="H16094" s="0" t="n">
        <v>106</v>
      </c>
      <c r="I16094" s="0" t="s">
        <v>53623</v>
      </c>
      <c r="J16094" s="0" t="s">
        <v>53624</v>
      </c>
      <c r="K16094" s="0" t="s">
        <v>53625</v>
      </c>
      <c r="L16094" s="0" t="str">
        <f aca="false">HYPERLINK("https://www.ncbi.nlm.nih.gov/nuccore/CP000304.1?report=graph&amp;tracks=[key:gene_model_track,Options:GeneOnly]&amp;mk=4543392:4543411|offset_21|444444,4543366:4543385|offset_47|444444,4543307:4543326|offset_106|00cc00,4543285:4543304|offset_128|444444&amp;v=4543191:4543504&amp;c=444444", "offset 106")</f>
        <v>offset 106</v>
      </c>
    </row>
    <row r="16095" customFormat="false" ht="12.8" hidden="false" customHeight="false" outlineLevel="0" collapsed="false">
      <c r="A16095" s="0" t="s">
        <v>12</v>
      </c>
      <c r="B16095" s="0" t="n">
        <v>4543284</v>
      </c>
      <c r="C16095" s="0" t="n">
        <v>4543304</v>
      </c>
      <c r="D16095" s="0" t="s">
        <v>53616</v>
      </c>
      <c r="E16095" s="0" t="s">
        <v>89</v>
      </c>
      <c r="F16095" s="0" t="s">
        <v>90</v>
      </c>
      <c r="G16095" s="0" t="s">
        <v>26</v>
      </c>
      <c r="H16095" s="0" t="n">
        <v>128</v>
      </c>
      <c r="I16095" s="0" t="s">
        <v>53626</v>
      </c>
      <c r="J16095" s="0" t="s">
        <v>53627</v>
      </c>
      <c r="K16095" s="0" t="s">
        <v>53628</v>
      </c>
      <c r="L16095" s="0" t="str">
        <f aca="false">HYPERLINK("https://www.ncbi.nlm.nih.gov/nuccore/CP000304.1?report=graph&amp;tracks=[key:gene_model_track,Options:GeneOnly]&amp;mk=4543392:4543411|offset_21|444444,4543366:4543385|offset_47|444444,4543307:4543326|offset_106|444444,4543285:4543304|offset_128|00cc00&amp;v=4543191:4543504&amp;c=444444", "offset 128")</f>
        <v>offset 128</v>
      </c>
    </row>
    <row r="16096" customFormat="false" ht="12.8" hidden="false" customHeight="false" outlineLevel="0" collapsed="false">
      <c r="A16096" s="0" t="s">
        <v>12</v>
      </c>
      <c r="B16096" s="0" t="n">
        <v>4544107</v>
      </c>
      <c r="C16096" s="0" t="n">
        <v>4544127</v>
      </c>
      <c r="D16096" s="0" t="s">
        <v>53629</v>
      </c>
      <c r="E16096" s="0" t="s">
        <v>89</v>
      </c>
      <c r="F16096" s="0" t="s">
        <v>90</v>
      </c>
      <c r="G16096" s="0" t="s">
        <v>16</v>
      </c>
      <c r="H16096" s="0" t="n">
        <v>16</v>
      </c>
      <c r="I16096" s="0" t="s">
        <v>53630</v>
      </c>
      <c r="J16096" s="0" t="s">
        <v>53631</v>
      </c>
      <c r="K16096" s="0" t="s">
        <v>53632</v>
      </c>
      <c r="L16096" s="0" t="str">
        <f aca="false">HYPERLINK("https://www.ncbi.nlm.nih.gov/nuccore/CP000304.1?report=graph&amp;tracks=[key:gene_model_track,Options:GeneOnly]&amp;mk=4544108:4544127|offset_16|00cc00,4544084:4544103|offset_40|444444,4544061:4544080|offset_63|444444,4544035:4544054|offset_89|444444&amp;v=4543907:4544254&amp;c=444444", "offset 16")</f>
        <v>offset 16</v>
      </c>
    </row>
    <row r="16097" customFormat="false" ht="12.8" hidden="false" customHeight="false" outlineLevel="0" collapsed="false">
      <c r="A16097" s="0" t="s">
        <v>12</v>
      </c>
      <c r="B16097" s="0" t="n">
        <v>4544083</v>
      </c>
      <c r="C16097" s="0" t="n">
        <v>4544103</v>
      </c>
      <c r="D16097" s="0" t="s">
        <v>53629</v>
      </c>
      <c r="E16097" s="0" t="s">
        <v>89</v>
      </c>
      <c r="F16097" s="0" t="s">
        <v>90</v>
      </c>
      <c r="G16097" s="0" t="s">
        <v>26</v>
      </c>
      <c r="H16097" s="0" t="n">
        <v>40</v>
      </c>
      <c r="I16097" s="0" t="s">
        <v>53633</v>
      </c>
      <c r="J16097" s="0" t="s">
        <v>53634</v>
      </c>
      <c r="K16097" s="0" t="s">
        <v>53635</v>
      </c>
      <c r="L16097" s="0" t="str">
        <f aca="false">HYPERLINK("https://www.ncbi.nlm.nih.gov/nuccore/CP000304.1?report=graph&amp;tracks=[key:gene_model_track,Options:GeneOnly]&amp;mk=4544108:4544127|offset_16|444444,4544084:4544103|offset_40|00cc00,4544061:4544080|offset_63|444444,4544035:4544054|offset_89|444444&amp;v=4543907:4544254&amp;c=444444", "offset 40")</f>
        <v>offset 40</v>
      </c>
    </row>
    <row r="16098" customFormat="false" ht="12.8" hidden="false" customHeight="false" outlineLevel="0" collapsed="false">
      <c r="A16098" s="0" t="s">
        <v>12</v>
      </c>
      <c r="B16098" s="0" t="n">
        <v>4544060</v>
      </c>
      <c r="C16098" s="0" t="n">
        <v>4544080</v>
      </c>
      <c r="D16098" s="0" t="s">
        <v>53629</v>
      </c>
      <c r="E16098" s="0" t="s">
        <v>89</v>
      </c>
      <c r="F16098" s="0" t="s">
        <v>90</v>
      </c>
      <c r="G16098" s="0" t="s">
        <v>36</v>
      </c>
      <c r="H16098" s="0" t="n">
        <v>63</v>
      </c>
      <c r="I16098" s="0" t="s">
        <v>53636</v>
      </c>
      <c r="J16098" s="0" t="s">
        <v>53637</v>
      </c>
      <c r="K16098" s="0" t="s">
        <v>53638</v>
      </c>
      <c r="L16098" s="0" t="str">
        <f aca="false">HYPERLINK("https://www.ncbi.nlm.nih.gov/nuccore/CP000304.1?report=graph&amp;tracks=[key:gene_model_track,Options:GeneOnly]&amp;mk=4544108:4544127|offset_16|444444,4544084:4544103|offset_40|444444,4544061:4544080|offset_63|00cc00,4544035:4544054|offset_89|444444&amp;v=4543907:4544254&amp;c=444444", "offset 63")</f>
        <v>offset 63</v>
      </c>
    </row>
    <row r="16099" customFormat="false" ht="12.8" hidden="false" customHeight="false" outlineLevel="0" collapsed="false">
      <c r="A16099" s="0" t="s">
        <v>12</v>
      </c>
      <c r="B16099" s="0" t="n">
        <v>4544034</v>
      </c>
      <c r="C16099" s="0" t="n">
        <v>4544054</v>
      </c>
      <c r="D16099" s="0" t="s">
        <v>53629</v>
      </c>
      <c r="E16099" s="0" t="s">
        <v>89</v>
      </c>
      <c r="F16099" s="0" t="s">
        <v>90</v>
      </c>
      <c r="G16099" s="0" t="s">
        <v>26</v>
      </c>
      <c r="H16099" s="0" t="n">
        <v>89</v>
      </c>
      <c r="I16099" s="0" t="s">
        <v>53639</v>
      </c>
      <c r="J16099" s="0" t="s">
        <v>53640</v>
      </c>
      <c r="K16099" s="0" t="s">
        <v>53641</v>
      </c>
      <c r="L16099" s="0" t="str">
        <f aca="false">HYPERLINK("https://www.ncbi.nlm.nih.gov/nuccore/CP000304.1?report=graph&amp;tracks=[key:gene_model_track,Options:GeneOnly]&amp;mk=4544108:4544127|offset_16|444444,4544084:4544103|offset_40|444444,4544061:4544080|offset_63|444444,4544035:4544054|offset_89|00cc00&amp;v=4543907:4544254&amp;c=444444", "offset 89")</f>
        <v>offset 89</v>
      </c>
    </row>
    <row r="16100" customFormat="false" ht="12.8" hidden="false" customHeight="false" outlineLevel="0" collapsed="false">
      <c r="A16100" s="0" t="s">
        <v>12</v>
      </c>
      <c r="B16100" s="0" t="n">
        <v>4545569</v>
      </c>
      <c r="C16100" s="0" t="n">
        <v>4545589</v>
      </c>
      <c r="D16100" s="0" t="s">
        <v>53642</v>
      </c>
      <c r="E16100" s="0" t="s">
        <v>53643</v>
      </c>
      <c r="F16100" s="0" t="s">
        <v>90</v>
      </c>
      <c r="G16100" s="0" t="s">
        <v>36</v>
      </c>
      <c r="H16100" s="0" t="n">
        <v>7</v>
      </c>
      <c r="I16100" s="0" t="s">
        <v>53644</v>
      </c>
      <c r="J16100" s="0" t="s">
        <v>53645</v>
      </c>
      <c r="K16100" s="0" t="s">
        <v>53646</v>
      </c>
      <c r="L16100" s="0" t="str">
        <f aca="false">HYPERLINK("https://www.ncbi.nlm.nih.gov/nuccore/CP000304.1?report=graph&amp;tracks=[key:gene_model_track,Options:GeneOnly]&amp;mk=4545570:4545589|offset_7|00cc00,4545549:4545568|offset_28|444444,4545514:4545533|offset_63|444444,4545492:4545511|offset_85|444444&amp;v=4545369:4545711&amp;c=444444", "offset 7")</f>
        <v>offset 7</v>
      </c>
    </row>
    <row r="16101" customFormat="false" ht="12.8" hidden="false" customHeight="false" outlineLevel="0" collapsed="false">
      <c r="A16101" s="0" t="s">
        <v>12</v>
      </c>
      <c r="B16101" s="0" t="n">
        <v>4545548</v>
      </c>
      <c r="C16101" s="0" t="n">
        <v>4545568</v>
      </c>
      <c r="D16101" s="0" t="s">
        <v>53642</v>
      </c>
      <c r="E16101" s="0" t="s">
        <v>53643</v>
      </c>
      <c r="F16101" s="0" t="s">
        <v>90</v>
      </c>
      <c r="G16101" s="0" t="s">
        <v>16</v>
      </c>
      <c r="H16101" s="0" t="n">
        <v>28</v>
      </c>
      <c r="I16101" s="0" t="s">
        <v>53647</v>
      </c>
      <c r="J16101" s="0" t="s">
        <v>53648</v>
      </c>
      <c r="K16101" s="0" t="s">
        <v>53649</v>
      </c>
      <c r="L16101" s="0" t="str">
        <f aca="false">HYPERLINK("https://www.ncbi.nlm.nih.gov/nuccore/CP000304.1?report=graph&amp;tracks=[key:gene_model_track,Options:GeneOnly]&amp;mk=4545570:4545589|offset_7|444444,4545549:4545568|offset_28|00cc00,4545514:4545533|offset_63|444444,4545492:4545511|offset_85|444444&amp;v=4545369:4545711&amp;c=444444", "offset 28")</f>
        <v>offset 28</v>
      </c>
    </row>
    <row r="16102" customFormat="false" ht="12.8" hidden="false" customHeight="false" outlineLevel="0" collapsed="false">
      <c r="A16102" s="0" t="s">
        <v>12</v>
      </c>
      <c r="B16102" s="0" t="n">
        <v>4545513</v>
      </c>
      <c r="C16102" s="0" t="n">
        <v>4545533</v>
      </c>
      <c r="D16102" s="0" t="s">
        <v>53642</v>
      </c>
      <c r="E16102" s="0" t="s">
        <v>53643</v>
      </c>
      <c r="F16102" s="0" t="s">
        <v>90</v>
      </c>
      <c r="G16102" s="0" t="s">
        <v>36</v>
      </c>
      <c r="H16102" s="0" t="n">
        <v>63</v>
      </c>
      <c r="I16102" s="0" t="s">
        <v>53650</v>
      </c>
      <c r="J16102" s="0" t="s">
        <v>53651</v>
      </c>
      <c r="K16102" s="0" t="s">
        <v>53652</v>
      </c>
      <c r="L16102" s="0" t="str">
        <f aca="false">HYPERLINK("https://www.ncbi.nlm.nih.gov/nuccore/CP000304.1?report=graph&amp;tracks=[key:gene_model_track,Options:GeneOnly]&amp;mk=4545570:4545589|offset_7|444444,4545549:4545568|offset_28|444444,4545514:4545533|offset_63|00cc00,4545492:4545511|offset_85|444444&amp;v=4545369:4545711&amp;c=444444", "offset 63")</f>
        <v>offset 63</v>
      </c>
    </row>
    <row r="16103" customFormat="false" ht="12.8" hidden="false" customHeight="false" outlineLevel="0" collapsed="false">
      <c r="A16103" s="0" t="s">
        <v>12</v>
      </c>
      <c r="B16103" s="0" t="n">
        <v>4545491</v>
      </c>
      <c r="C16103" s="0" t="n">
        <v>4545511</v>
      </c>
      <c r="D16103" s="0" t="s">
        <v>53642</v>
      </c>
      <c r="E16103" s="0" t="s">
        <v>53643</v>
      </c>
      <c r="F16103" s="0" t="s">
        <v>90</v>
      </c>
      <c r="G16103" s="0" t="s">
        <v>16</v>
      </c>
      <c r="H16103" s="0" t="n">
        <v>85</v>
      </c>
      <c r="I16103" s="0" t="s">
        <v>53653</v>
      </c>
      <c r="J16103" s="0" t="s">
        <v>53654</v>
      </c>
      <c r="K16103" s="0" t="s">
        <v>53655</v>
      </c>
      <c r="L16103" s="0" t="str">
        <f aca="false">HYPERLINK("https://www.ncbi.nlm.nih.gov/nuccore/CP000304.1?report=graph&amp;tracks=[key:gene_model_track,Options:GeneOnly]&amp;mk=4545570:4545589|offset_7|444444,4545549:4545568|offset_28|444444,4545514:4545533|offset_63|444444,4545492:4545511|offset_85|00cc00&amp;v=4545369:4545711&amp;c=444444", "offset 85")</f>
        <v>offset 85</v>
      </c>
    </row>
    <row r="16104" customFormat="false" ht="12.8" hidden="false" customHeight="false" outlineLevel="0" collapsed="false">
      <c r="A16104" s="0" t="s">
        <v>12</v>
      </c>
      <c r="B16104" s="0" t="n">
        <v>4546132</v>
      </c>
      <c r="C16104" s="0" t="n">
        <v>4546152</v>
      </c>
      <c r="D16104" s="0" t="s">
        <v>53656</v>
      </c>
      <c r="E16104" s="0" t="s">
        <v>53657</v>
      </c>
      <c r="F16104" s="0" t="s">
        <v>90</v>
      </c>
      <c r="G16104" s="0" t="s">
        <v>32</v>
      </c>
      <c r="H16104" s="0" t="n">
        <v>23</v>
      </c>
      <c r="I16104" s="0" t="s">
        <v>53658</v>
      </c>
      <c r="J16104" s="0" t="s">
        <v>53659</v>
      </c>
      <c r="K16104" s="0" t="s">
        <v>53660</v>
      </c>
      <c r="L16104" s="0" t="str">
        <f aca="false">HYPERLINK("https://www.ncbi.nlm.nih.gov/nuccore/CP000304.1?report=graph&amp;tracks=[key:gene_model_track,Options:GeneOnly]&amp;mk=4546133:4546152|offset_23|00cc00,4546071:4546090|offset_85|444444,4546043:4546062|offset_113|444444,4546017:4546036|offset_139|444444&amp;v=4545932:4546236&amp;c=444444", "offset 23")</f>
        <v>offset 23</v>
      </c>
    </row>
    <row r="16105" customFormat="false" ht="12.8" hidden="false" customHeight="false" outlineLevel="0" collapsed="false">
      <c r="A16105" s="0" t="s">
        <v>12</v>
      </c>
      <c r="B16105" s="0" t="n">
        <v>4546070</v>
      </c>
      <c r="C16105" s="0" t="n">
        <v>4546090</v>
      </c>
      <c r="D16105" s="0" t="s">
        <v>53656</v>
      </c>
      <c r="E16105" s="0" t="s">
        <v>53657</v>
      </c>
      <c r="F16105" s="0" t="s">
        <v>90</v>
      </c>
      <c r="G16105" s="0" t="s">
        <v>36</v>
      </c>
      <c r="H16105" s="0" t="n">
        <v>85</v>
      </c>
      <c r="I16105" s="0" t="s">
        <v>53661</v>
      </c>
      <c r="J16105" s="0" t="s">
        <v>53662</v>
      </c>
      <c r="K16105" s="0" t="s">
        <v>53663</v>
      </c>
      <c r="L16105" s="0" t="str">
        <f aca="false">HYPERLINK("https://www.ncbi.nlm.nih.gov/nuccore/CP000304.1?report=graph&amp;tracks=[key:gene_model_track,Options:GeneOnly]&amp;mk=4546133:4546152|offset_23|444444,4546071:4546090|offset_85|00cc00,4546043:4546062|offset_113|444444,4546017:4546036|offset_139|444444&amp;v=4545932:4546236&amp;c=444444", "offset 85")</f>
        <v>offset 85</v>
      </c>
    </row>
    <row r="16106" customFormat="false" ht="12.8" hidden="false" customHeight="false" outlineLevel="0" collapsed="false">
      <c r="A16106" s="0" t="s">
        <v>12</v>
      </c>
      <c r="B16106" s="0" t="n">
        <v>4546042</v>
      </c>
      <c r="C16106" s="0" t="n">
        <v>4546062</v>
      </c>
      <c r="D16106" s="0" t="s">
        <v>53656</v>
      </c>
      <c r="E16106" s="0" t="s">
        <v>53657</v>
      </c>
      <c r="F16106" s="0" t="s">
        <v>90</v>
      </c>
      <c r="G16106" s="0" t="s">
        <v>26</v>
      </c>
      <c r="H16106" s="0" t="n">
        <v>113</v>
      </c>
      <c r="I16106" s="0" t="s">
        <v>53664</v>
      </c>
      <c r="J16106" s="0" t="s">
        <v>53665</v>
      </c>
      <c r="K16106" s="0" t="s">
        <v>53666</v>
      </c>
      <c r="L16106" s="0" t="str">
        <f aca="false">HYPERLINK("https://www.ncbi.nlm.nih.gov/nuccore/CP000304.1?report=graph&amp;tracks=[key:gene_model_track,Options:GeneOnly]&amp;mk=4546133:4546152|offset_23|444444,4546071:4546090|offset_85|444444,4546043:4546062|offset_113|00cc00,4546017:4546036|offset_139|444444&amp;v=4545932:4546236&amp;c=444444", "offset 113")</f>
        <v>offset 113</v>
      </c>
    </row>
    <row r="16107" customFormat="false" ht="12.8" hidden="false" customHeight="false" outlineLevel="0" collapsed="false">
      <c r="A16107" s="0" t="s">
        <v>12</v>
      </c>
      <c r="B16107" s="0" t="n">
        <v>4546016</v>
      </c>
      <c r="C16107" s="0" t="n">
        <v>4546036</v>
      </c>
      <c r="D16107" s="0" t="s">
        <v>53656</v>
      </c>
      <c r="E16107" s="0" t="s">
        <v>53657</v>
      </c>
      <c r="F16107" s="0" t="s">
        <v>90</v>
      </c>
      <c r="G16107" s="0" t="s">
        <v>16</v>
      </c>
      <c r="H16107" s="0" t="n">
        <v>139</v>
      </c>
      <c r="I16107" s="0" t="s">
        <v>53667</v>
      </c>
      <c r="J16107" s="0" t="s">
        <v>53668</v>
      </c>
      <c r="K16107" s="0" t="s">
        <v>53669</v>
      </c>
      <c r="L16107" s="0" t="str">
        <f aca="false">HYPERLINK("https://www.ncbi.nlm.nih.gov/nuccore/CP000304.1?report=graph&amp;tracks=[key:gene_model_track,Options:GeneOnly]&amp;mk=4546133:4546152|offset_23|444444,4546071:4546090|offset_85|444444,4546043:4546062|offset_113|444444,4546017:4546036|offset_139|00cc00&amp;v=4545932:4546236&amp;c=444444", "offset 139")</f>
        <v>offset 139</v>
      </c>
    </row>
    <row r="16108" customFormat="false" ht="12.8" hidden="false" customHeight="false" outlineLevel="0" collapsed="false">
      <c r="A16108" s="0" t="s">
        <v>12</v>
      </c>
      <c r="B16108" s="0" t="n">
        <v>4547564</v>
      </c>
      <c r="C16108" s="0" t="n">
        <v>4547584</v>
      </c>
      <c r="D16108" s="0" t="s">
        <v>53670</v>
      </c>
      <c r="E16108" s="0" t="s">
        <v>53671</v>
      </c>
      <c r="F16108" s="0" t="s">
        <v>90</v>
      </c>
      <c r="G16108" s="0" t="s">
        <v>16</v>
      </c>
      <c r="H16108" s="0" t="n">
        <v>37</v>
      </c>
      <c r="I16108" s="0" t="s">
        <v>53672</v>
      </c>
      <c r="J16108" s="0" t="s">
        <v>53673</v>
      </c>
      <c r="K16108" s="0" t="s">
        <v>53674</v>
      </c>
      <c r="L16108" s="0" t="str">
        <f aca="false">HYPERLINK("https://www.ncbi.nlm.nih.gov/nuccore/CP000304.1?report=graph&amp;tracks=[key:gene_model_track,Options:GeneOnly]&amp;mk=4547565:4547584|offset_37|00cc00,4547545:4547564|offset_57|444444,4547496:4547515|offset_106|444444,4547450:4547469|offset_152|444444&amp;v=4547364:4547669&amp;c=444444", "offset 37")</f>
        <v>offset 37</v>
      </c>
    </row>
    <row r="16109" customFormat="false" ht="12.8" hidden="false" customHeight="false" outlineLevel="0" collapsed="false">
      <c r="A16109" s="0" t="s">
        <v>12</v>
      </c>
      <c r="B16109" s="0" t="n">
        <v>4547544</v>
      </c>
      <c r="C16109" s="0" t="n">
        <v>4547564</v>
      </c>
      <c r="D16109" s="0" t="s">
        <v>53670</v>
      </c>
      <c r="E16109" s="0" t="s">
        <v>53671</v>
      </c>
      <c r="F16109" s="0" t="s">
        <v>90</v>
      </c>
      <c r="G16109" s="0" t="s">
        <v>16</v>
      </c>
      <c r="H16109" s="0" t="n">
        <v>57</v>
      </c>
      <c r="I16109" s="0" t="s">
        <v>53675</v>
      </c>
      <c r="J16109" s="0" t="s">
        <v>53676</v>
      </c>
      <c r="K16109" s="0" t="s">
        <v>53677</v>
      </c>
      <c r="L16109" s="0" t="str">
        <f aca="false">HYPERLINK("https://www.ncbi.nlm.nih.gov/nuccore/CP000304.1?report=graph&amp;tracks=[key:gene_model_track,Options:GeneOnly]&amp;mk=4547565:4547584|offset_37|444444,4547545:4547564|offset_57|00cc00,4547496:4547515|offset_106|444444,4547450:4547469|offset_152|444444&amp;v=4547364:4547669&amp;c=444444", "offset 57")</f>
        <v>offset 57</v>
      </c>
    </row>
    <row r="16110" customFormat="false" ht="12.8" hidden="false" customHeight="false" outlineLevel="0" collapsed="false">
      <c r="A16110" s="0" t="s">
        <v>12</v>
      </c>
      <c r="B16110" s="0" t="n">
        <v>4547495</v>
      </c>
      <c r="C16110" s="0" t="n">
        <v>4547515</v>
      </c>
      <c r="D16110" s="0" t="s">
        <v>53670</v>
      </c>
      <c r="E16110" s="0" t="s">
        <v>53671</v>
      </c>
      <c r="F16110" s="0" t="s">
        <v>90</v>
      </c>
      <c r="G16110" s="0" t="s">
        <v>16</v>
      </c>
      <c r="H16110" s="0" t="n">
        <v>106</v>
      </c>
      <c r="I16110" s="0" t="s">
        <v>53678</v>
      </c>
      <c r="J16110" s="0" t="s">
        <v>53679</v>
      </c>
      <c r="K16110" s="0" t="s">
        <v>53680</v>
      </c>
      <c r="L16110" s="0" t="str">
        <f aca="false">HYPERLINK("https://www.ncbi.nlm.nih.gov/nuccore/CP000304.1?report=graph&amp;tracks=[key:gene_model_track,Options:GeneOnly]&amp;mk=4547565:4547584|offset_37|444444,4547545:4547564|offset_57|444444,4547496:4547515|offset_106|00cc00,4547450:4547469|offset_152|444444&amp;v=4547364:4547669&amp;c=444444", "offset 106")</f>
        <v>offset 106</v>
      </c>
    </row>
    <row r="16111" customFormat="false" ht="12.8" hidden="false" customHeight="false" outlineLevel="0" collapsed="false">
      <c r="A16111" s="0" t="s">
        <v>12</v>
      </c>
      <c r="B16111" s="0" t="n">
        <v>4547449</v>
      </c>
      <c r="C16111" s="0" t="n">
        <v>4547469</v>
      </c>
      <c r="D16111" s="0" t="s">
        <v>53670</v>
      </c>
      <c r="E16111" s="0" t="s">
        <v>53671</v>
      </c>
      <c r="F16111" s="0" t="s">
        <v>90</v>
      </c>
      <c r="G16111" s="0" t="s">
        <v>16</v>
      </c>
      <c r="H16111" s="0" t="n">
        <v>152</v>
      </c>
      <c r="I16111" s="0" t="s">
        <v>53681</v>
      </c>
      <c r="J16111" s="0" t="s">
        <v>53682</v>
      </c>
      <c r="K16111" s="0" t="s">
        <v>53683</v>
      </c>
      <c r="L16111" s="0" t="str">
        <f aca="false">HYPERLINK("https://www.ncbi.nlm.nih.gov/nuccore/CP000304.1?report=graph&amp;tracks=[key:gene_model_track,Options:GeneOnly]&amp;mk=4547565:4547584|offset_37|444444,4547545:4547564|offset_57|444444,4547496:4547515|offset_106|444444,4547450:4547469|offset_152|00cc00&amp;v=4547364:4547669&amp;c=444444", "offset 152")</f>
        <v>offset 152</v>
      </c>
    </row>
    <row r="16112" customFormat="false" ht="12.8" hidden="false" customHeight="false" outlineLevel="0" collapsed="false">
      <c r="A16112" s="0" t="s">
        <v>12</v>
      </c>
      <c r="B16112" s="0" t="n">
        <v>4548434</v>
      </c>
      <c r="C16112" s="0" t="n">
        <v>4548454</v>
      </c>
      <c r="D16112" s="0" t="s">
        <v>53684</v>
      </c>
      <c r="E16112" s="0" t="s">
        <v>53685</v>
      </c>
      <c r="F16112" s="0" t="s">
        <v>90</v>
      </c>
      <c r="G16112" s="0" t="s">
        <v>32</v>
      </c>
      <c r="H16112" s="0" t="n">
        <v>64</v>
      </c>
      <c r="I16112" s="0" t="s">
        <v>53686</v>
      </c>
      <c r="J16112" s="0" t="s">
        <v>53687</v>
      </c>
      <c r="K16112" s="0" t="s">
        <v>53688</v>
      </c>
      <c r="L16112" s="0" t="str">
        <f aca="false">HYPERLINK("https://www.ncbi.nlm.nih.gov/nuccore/CP000304.1?report=graph&amp;tracks=[key:gene_model_track,Options:GeneOnly]&amp;mk=4548435:4548454|offset_64|00cc00,4548375:4548394|offset_124|444444,4548350:4548369|offset_149|444444,4548327:4548346|offset_172|444444&amp;v=4548234:4548546&amp;c=444444", "offset 64")</f>
        <v>offset 64</v>
      </c>
    </row>
    <row r="16113" customFormat="false" ht="12.8" hidden="false" customHeight="false" outlineLevel="0" collapsed="false">
      <c r="A16113" s="0" t="s">
        <v>12</v>
      </c>
      <c r="B16113" s="0" t="n">
        <v>4548374</v>
      </c>
      <c r="C16113" s="0" t="n">
        <v>4548394</v>
      </c>
      <c r="D16113" s="0" t="s">
        <v>53684</v>
      </c>
      <c r="E16113" s="0" t="s">
        <v>53685</v>
      </c>
      <c r="F16113" s="0" t="s">
        <v>90</v>
      </c>
      <c r="G16113" s="0" t="s">
        <v>32</v>
      </c>
      <c r="H16113" s="0" t="n">
        <v>124</v>
      </c>
      <c r="I16113" s="0" t="s">
        <v>53689</v>
      </c>
      <c r="J16113" s="0" t="s">
        <v>53690</v>
      </c>
      <c r="K16113" s="0" t="s">
        <v>53691</v>
      </c>
      <c r="L16113" s="0" t="str">
        <f aca="false">HYPERLINK("https://www.ncbi.nlm.nih.gov/nuccore/CP000304.1?report=graph&amp;tracks=[key:gene_model_track,Options:GeneOnly]&amp;mk=4548435:4548454|offset_64|444444,4548375:4548394|offset_124|00cc00,4548350:4548369|offset_149|444444,4548327:4548346|offset_172|444444&amp;v=4548234:4548546&amp;c=444444", "offset 124")</f>
        <v>offset 124</v>
      </c>
    </row>
    <row r="16114" customFormat="false" ht="12.8" hidden="false" customHeight="false" outlineLevel="0" collapsed="false">
      <c r="A16114" s="0" t="s">
        <v>12</v>
      </c>
      <c r="B16114" s="0" t="n">
        <v>4548349</v>
      </c>
      <c r="C16114" s="0" t="n">
        <v>4548369</v>
      </c>
      <c r="D16114" s="0" t="s">
        <v>53684</v>
      </c>
      <c r="E16114" s="0" t="s">
        <v>53685</v>
      </c>
      <c r="F16114" s="0" t="s">
        <v>90</v>
      </c>
      <c r="G16114" s="0" t="s">
        <v>16</v>
      </c>
      <c r="H16114" s="0" t="n">
        <v>149</v>
      </c>
      <c r="I16114" s="0" t="s">
        <v>53692</v>
      </c>
      <c r="J16114" s="0" t="s">
        <v>53693</v>
      </c>
      <c r="K16114" s="0" t="s">
        <v>53694</v>
      </c>
      <c r="L16114" s="0" t="str">
        <f aca="false">HYPERLINK("https://www.ncbi.nlm.nih.gov/nuccore/CP000304.1?report=graph&amp;tracks=[key:gene_model_track,Options:GeneOnly]&amp;mk=4548435:4548454|offset_64|444444,4548375:4548394|offset_124|444444,4548350:4548369|offset_149|00cc00,4548327:4548346|offset_172|444444&amp;v=4548234:4548546&amp;c=444444", "offset 149")</f>
        <v>offset 149</v>
      </c>
    </row>
    <row r="16115" customFormat="false" ht="12.8" hidden="false" customHeight="false" outlineLevel="0" collapsed="false">
      <c r="A16115" s="0" t="s">
        <v>12</v>
      </c>
      <c r="B16115" s="0" t="n">
        <v>4548326</v>
      </c>
      <c r="C16115" s="0" t="n">
        <v>4548346</v>
      </c>
      <c r="D16115" s="0" t="s">
        <v>53684</v>
      </c>
      <c r="E16115" s="0" t="s">
        <v>53685</v>
      </c>
      <c r="F16115" s="0" t="s">
        <v>90</v>
      </c>
      <c r="G16115" s="0" t="s">
        <v>26</v>
      </c>
      <c r="H16115" s="0" t="n">
        <v>172</v>
      </c>
      <c r="I16115" s="0" t="s">
        <v>53695</v>
      </c>
      <c r="J16115" s="0" t="s">
        <v>53696</v>
      </c>
      <c r="K16115" s="0" t="s">
        <v>53697</v>
      </c>
      <c r="L16115" s="0" t="str">
        <f aca="false">HYPERLINK("https://www.ncbi.nlm.nih.gov/nuccore/CP000304.1?report=graph&amp;tracks=[key:gene_model_track,Options:GeneOnly]&amp;mk=4548435:4548454|offset_64|444444,4548375:4548394|offset_124|444444,4548350:4548369|offset_149|444444,4548327:4548346|offset_172|00cc00&amp;v=4548234:4548546&amp;c=444444", "offset 172")</f>
        <v>offset 172</v>
      </c>
    </row>
    <row r="16116" customFormat="false" ht="12.8" hidden="false" customHeight="false" outlineLevel="0" collapsed="false">
      <c r="A16116" s="0" t="s">
        <v>12</v>
      </c>
      <c r="B16116" s="0" t="n">
        <v>4550075</v>
      </c>
      <c r="C16116" s="0" t="n">
        <v>4550095</v>
      </c>
      <c r="D16116" s="0" t="s">
        <v>53698</v>
      </c>
      <c r="E16116" s="0" t="s">
        <v>53699</v>
      </c>
      <c r="F16116" s="0" t="s">
        <v>90</v>
      </c>
      <c r="G16116" s="0" t="s">
        <v>26</v>
      </c>
      <c r="H16116" s="0" t="n">
        <v>18</v>
      </c>
      <c r="I16116" s="0" t="s">
        <v>53700</v>
      </c>
      <c r="J16116" s="0" t="s">
        <v>53701</v>
      </c>
      <c r="K16116" s="0" t="s">
        <v>53702</v>
      </c>
      <c r="L16116" s="0" t="str">
        <f aca="false">HYPERLINK("https://www.ncbi.nlm.nih.gov/nuccore/CP000304.1?report=graph&amp;tracks=[key:gene_model_track,Options:GeneOnly]&amp;mk=4550076:4550095|offset_18|00cc00,4550015:4550034|offset_79|444444,4549955:4549974|offset_139|444444,4549924:4549943|offset_170|444444&amp;v=4549875:4550143&amp;c=444444", "offset 18")</f>
        <v>offset 18</v>
      </c>
    </row>
    <row r="16117" customFormat="false" ht="12.8" hidden="false" customHeight="false" outlineLevel="0" collapsed="false">
      <c r="A16117" s="0" t="s">
        <v>12</v>
      </c>
      <c r="B16117" s="0" t="n">
        <v>4550014</v>
      </c>
      <c r="C16117" s="0" t="n">
        <v>4550034</v>
      </c>
      <c r="D16117" s="0" t="s">
        <v>53698</v>
      </c>
      <c r="E16117" s="0" t="s">
        <v>53699</v>
      </c>
      <c r="F16117" s="0" t="s">
        <v>90</v>
      </c>
      <c r="G16117" s="0" t="s">
        <v>36</v>
      </c>
      <c r="H16117" s="0" t="n">
        <v>79</v>
      </c>
      <c r="I16117" s="0" t="s">
        <v>53703</v>
      </c>
      <c r="J16117" s="0" t="s">
        <v>53704</v>
      </c>
      <c r="K16117" s="0" t="s">
        <v>53705</v>
      </c>
      <c r="L16117" s="0" t="str">
        <f aca="false">HYPERLINK("https://www.ncbi.nlm.nih.gov/nuccore/CP000304.1?report=graph&amp;tracks=[key:gene_model_track,Options:GeneOnly]&amp;mk=4550076:4550095|offset_18|444444,4550015:4550034|offset_79|00cc00,4549955:4549974|offset_139|444444,4549924:4549943|offset_170|444444&amp;v=4549875:4550143&amp;c=444444", "offset 79")</f>
        <v>offset 79</v>
      </c>
    </row>
    <row r="16118" customFormat="false" ht="12.8" hidden="false" customHeight="false" outlineLevel="0" collapsed="false">
      <c r="A16118" s="0" t="s">
        <v>12</v>
      </c>
      <c r="B16118" s="0" t="n">
        <v>4549954</v>
      </c>
      <c r="C16118" s="0" t="n">
        <v>4549974</v>
      </c>
      <c r="D16118" s="0" t="s">
        <v>53698</v>
      </c>
      <c r="E16118" s="0" t="s">
        <v>53699</v>
      </c>
      <c r="F16118" s="0" t="s">
        <v>90</v>
      </c>
      <c r="G16118" s="0" t="s">
        <v>16</v>
      </c>
      <c r="H16118" s="0" t="n">
        <v>139</v>
      </c>
      <c r="I16118" s="0" t="s">
        <v>53706</v>
      </c>
      <c r="J16118" s="0" t="s">
        <v>53707</v>
      </c>
      <c r="K16118" s="0" t="s">
        <v>53708</v>
      </c>
      <c r="L16118" s="0" t="str">
        <f aca="false">HYPERLINK("https://www.ncbi.nlm.nih.gov/nuccore/CP000304.1?report=graph&amp;tracks=[key:gene_model_track,Options:GeneOnly]&amp;mk=4550076:4550095|offset_18|444444,4550015:4550034|offset_79|444444,4549955:4549974|offset_139|00cc00,4549924:4549943|offset_170|444444&amp;v=4549875:4550143&amp;c=444444", "offset 139")</f>
        <v>offset 139</v>
      </c>
    </row>
    <row r="16119" customFormat="false" ht="12.8" hidden="false" customHeight="false" outlineLevel="0" collapsed="false">
      <c r="A16119" s="0" t="s">
        <v>12</v>
      </c>
      <c r="B16119" s="0" t="n">
        <v>4549923</v>
      </c>
      <c r="C16119" s="0" t="n">
        <v>4549943</v>
      </c>
      <c r="D16119" s="0" t="s">
        <v>53698</v>
      </c>
      <c r="E16119" s="0" t="s">
        <v>53699</v>
      </c>
      <c r="F16119" s="0" t="s">
        <v>90</v>
      </c>
      <c r="G16119" s="0" t="s">
        <v>36</v>
      </c>
      <c r="H16119" s="0" t="n">
        <v>170</v>
      </c>
      <c r="I16119" s="0" t="s">
        <v>53709</v>
      </c>
      <c r="J16119" s="0" t="s">
        <v>53710</v>
      </c>
      <c r="K16119" s="0" t="s">
        <v>53711</v>
      </c>
      <c r="L16119" s="0" t="str">
        <f aca="false">HYPERLINK("https://www.ncbi.nlm.nih.gov/nuccore/CP000304.1?report=graph&amp;tracks=[key:gene_model_track,Options:GeneOnly]&amp;mk=4550076:4550095|offset_18|444444,4550015:4550034|offset_79|444444,4549955:4549974|offset_139|444444,4549924:4549943|offset_170|00cc00&amp;v=4549875:4550143&amp;c=444444", "offset 170")</f>
        <v>offset 170</v>
      </c>
    </row>
    <row r="16120" customFormat="false" ht="12.8" hidden="false" customHeight="false" outlineLevel="0" collapsed="false">
      <c r="A16120" s="0" t="s">
        <v>12</v>
      </c>
      <c r="B16120" s="0" t="n">
        <v>4550632</v>
      </c>
      <c r="C16120" s="0" t="n">
        <v>4550652</v>
      </c>
      <c r="D16120" s="0" t="s">
        <v>53712</v>
      </c>
      <c r="E16120" s="0" t="s">
        <v>53713</v>
      </c>
      <c r="F16120" s="0" t="s">
        <v>90</v>
      </c>
      <c r="G16120" s="0" t="s">
        <v>36</v>
      </c>
      <c r="H16120" s="0" t="n">
        <v>13</v>
      </c>
      <c r="I16120" s="0" t="s">
        <v>53714</v>
      </c>
      <c r="J16120" s="0" t="s">
        <v>53715</v>
      </c>
      <c r="K16120" s="0" t="s">
        <v>53716</v>
      </c>
      <c r="L16120" s="0" t="str">
        <f aca="false">HYPERLINK("https://www.ncbi.nlm.nih.gov/nuccore/CP000304.1?report=graph&amp;tracks=[key:gene_model_track,Options:GeneOnly]&amp;mk=4550633:4550652|offset_13|00cc00,4550603:4550622|offset_43|444444,4550582:4550601|offset_64|444444,4550545:4550564|offset_101|444444&amp;v=4550432:4550764&amp;c=444444", "offset 13")</f>
        <v>offset 13</v>
      </c>
    </row>
    <row r="16121" customFormat="false" ht="12.8" hidden="false" customHeight="false" outlineLevel="0" collapsed="false">
      <c r="A16121" s="0" t="s">
        <v>12</v>
      </c>
      <c r="B16121" s="0" t="n">
        <v>4550602</v>
      </c>
      <c r="C16121" s="0" t="n">
        <v>4550622</v>
      </c>
      <c r="D16121" s="0" t="s">
        <v>53712</v>
      </c>
      <c r="E16121" s="0" t="s">
        <v>53713</v>
      </c>
      <c r="F16121" s="0" t="s">
        <v>90</v>
      </c>
      <c r="G16121" s="0" t="s">
        <v>16</v>
      </c>
      <c r="H16121" s="0" t="n">
        <v>43</v>
      </c>
      <c r="I16121" s="0" t="s">
        <v>53717</v>
      </c>
      <c r="J16121" s="0" t="s">
        <v>53718</v>
      </c>
      <c r="K16121" s="0" t="s">
        <v>53719</v>
      </c>
      <c r="L16121" s="0" t="str">
        <f aca="false">HYPERLINK("https://www.ncbi.nlm.nih.gov/nuccore/CP000304.1?report=graph&amp;tracks=[key:gene_model_track,Options:GeneOnly]&amp;mk=4550633:4550652|offset_13|444444,4550603:4550622|offset_43|00cc00,4550582:4550601|offset_64|444444,4550545:4550564|offset_101|444444&amp;v=4550432:4550764&amp;c=444444", "offset 43")</f>
        <v>offset 43</v>
      </c>
    </row>
    <row r="16122" customFormat="false" ht="12.8" hidden="false" customHeight="false" outlineLevel="0" collapsed="false">
      <c r="A16122" s="0" t="s">
        <v>12</v>
      </c>
      <c r="B16122" s="0" t="n">
        <v>4550581</v>
      </c>
      <c r="C16122" s="0" t="n">
        <v>4550601</v>
      </c>
      <c r="D16122" s="0" t="s">
        <v>53712</v>
      </c>
      <c r="E16122" s="0" t="s">
        <v>53713</v>
      </c>
      <c r="F16122" s="0" t="s">
        <v>90</v>
      </c>
      <c r="G16122" s="0" t="s">
        <v>16</v>
      </c>
      <c r="H16122" s="0" t="n">
        <v>64</v>
      </c>
      <c r="I16122" s="0" t="s">
        <v>53720</v>
      </c>
      <c r="J16122" s="0" t="s">
        <v>53721</v>
      </c>
      <c r="K16122" s="0" t="s">
        <v>53722</v>
      </c>
      <c r="L16122" s="0" t="str">
        <f aca="false">HYPERLINK("https://www.ncbi.nlm.nih.gov/nuccore/CP000304.1?report=graph&amp;tracks=[key:gene_model_track,Options:GeneOnly]&amp;mk=4550633:4550652|offset_13|444444,4550603:4550622|offset_43|444444,4550582:4550601|offset_64|00cc00,4550545:4550564|offset_101|444444&amp;v=4550432:4550764&amp;c=444444", "offset 64")</f>
        <v>offset 64</v>
      </c>
    </row>
    <row r="16123" customFormat="false" ht="12.8" hidden="false" customHeight="false" outlineLevel="0" collapsed="false">
      <c r="A16123" s="0" t="s">
        <v>12</v>
      </c>
      <c r="B16123" s="0" t="n">
        <v>4550544</v>
      </c>
      <c r="C16123" s="0" t="n">
        <v>4550564</v>
      </c>
      <c r="D16123" s="0" t="s">
        <v>53712</v>
      </c>
      <c r="E16123" s="0" t="s">
        <v>53713</v>
      </c>
      <c r="F16123" s="0" t="s">
        <v>90</v>
      </c>
      <c r="G16123" s="0" t="s">
        <v>26</v>
      </c>
      <c r="H16123" s="0" t="n">
        <v>101</v>
      </c>
      <c r="I16123" s="0" t="s">
        <v>53723</v>
      </c>
      <c r="J16123" s="0" t="s">
        <v>53724</v>
      </c>
      <c r="K16123" s="0" t="s">
        <v>53725</v>
      </c>
      <c r="L16123" s="0" t="str">
        <f aca="false">HYPERLINK("https://www.ncbi.nlm.nih.gov/nuccore/CP000304.1?report=graph&amp;tracks=[key:gene_model_track,Options:GeneOnly]&amp;mk=4550633:4550652|offset_13|444444,4550603:4550622|offset_43|444444,4550582:4550601|offset_64|444444,4550545:4550564|offset_101|00cc00&amp;v=4550432:4550764&amp;c=444444", "offset 101")</f>
        <v>offset 101</v>
      </c>
    </row>
    <row r="16124" customFormat="false" ht="12.8" hidden="false" customHeight="false" outlineLevel="0" collapsed="false">
      <c r="A16124" s="0" t="s">
        <v>12</v>
      </c>
      <c r="B16124" s="0" t="n">
        <v>4551088</v>
      </c>
      <c r="C16124" s="0" t="n">
        <v>4551108</v>
      </c>
      <c r="D16124" s="0" t="s">
        <v>53726</v>
      </c>
      <c r="E16124" s="0" t="s">
        <v>53727</v>
      </c>
      <c r="F16124" s="0" t="s">
        <v>90</v>
      </c>
      <c r="G16124" s="0" t="s">
        <v>26</v>
      </c>
      <c r="H16124" s="0" t="n">
        <v>40</v>
      </c>
      <c r="I16124" s="0" t="s">
        <v>53728</v>
      </c>
      <c r="J16124" s="0" t="s">
        <v>53729</v>
      </c>
      <c r="K16124" s="0" t="s">
        <v>53730</v>
      </c>
      <c r="L16124" s="0" t="str">
        <f aca="false">HYPERLINK("https://www.ncbi.nlm.nih.gov/nuccore/CP000304.1?report=graph&amp;tracks=[key:gene_model_track,Options:GeneOnly]&amp;mk=4551089:4551108|offset_40|00cc00,4551048:4551067|offset_81|444444,4551019:4551038|offset_110|444444,4550983:4551002|offset_146|444444&amp;v=4550888:4551202&amp;c=444444", "offset 40")</f>
        <v>offset 40</v>
      </c>
    </row>
    <row r="16125" customFormat="false" ht="12.8" hidden="false" customHeight="false" outlineLevel="0" collapsed="false">
      <c r="A16125" s="0" t="s">
        <v>12</v>
      </c>
      <c r="B16125" s="0" t="n">
        <v>4551047</v>
      </c>
      <c r="C16125" s="0" t="n">
        <v>4551067</v>
      </c>
      <c r="D16125" s="0" t="s">
        <v>53726</v>
      </c>
      <c r="E16125" s="0" t="s">
        <v>53727</v>
      </c>
      <c r="F16125" s="0" t="s">
        <v>90</v>
      </c>
      <c r="G16125" s="0" t="s">
        <v>16</v>
      </c>
      <c r="H16125" s="0" t="n">
        <v>81</v>
      </c>
      <c r="I16125" s="0" t="s">
        <v>53731</v>
      </c>
      <c r="J16125" s="0" t="s">
        <v>53732</v>
      </c>
      <c r="K16125" s="0" t="s">
        <v>53733</v>
      </c>
      <c r="L16125" s="0" t="str">
        <f aca="false">HYPERLINK("https://www.ncbi.nlm.nih.gov/nuccore/CP000304.1?report=graph&amp;tracks=[key:gene_model_track,Options:GeneOnly]&amp;mk=4551089:4551108|offset_40|444444,4551048:4551067|offset_81|00cc00,4551019:4551038|offset_110|444444,4550983:4551002|offset_146|444444&amp;v=4550888:4551202&amp;c=444444", "offset 81")</f>
        <v>offset 81</v>
      </c>
    </row>
    <row r="16126" customFormat="false" ht="12.8" hidden="false" customHeight="false" outlineLevel="0" collapsed="false">
      <c r="A16126" s="0" t="s">
        <v>12</v>
      </c>
      <c r="B16126" s="0" t="n">
        <v>4551018</v>
      </c>
      <c r="C16126" s="0" t="n">
        <v>4551038</v>
      </c>
      <c r="D16126" s="0" t="s">
        <v>53726</v>
      </c>
      <c r="E16126" s="0" t="s">
        <v>53727</v>
      </c>
      <c r="F16126" s="0" t="s">
        <v>90</v>
      </c>
      <c r="G16126" s="0" t="s">
        <v>32</v>
      </c>
      <c r="H16126" s="0" t="n">
        <v>110</v>
      </c>
      <c r="I16126" s="0" t="s">
        <v>53734</v>
      </c>
      <c r="J16126" s="0" t="s">
        <v>53735</v>
      </c>
      <c r="K16126" s="0" t="s">
        <v>53736</v>
      </c>
      <c r="L16126" s="0" t="str">
        <f aca="false">HYPERLINK("https://www.ncbi.nlm.nih.gov/nuccore/CP000304.1?report=graph&amp;tracks=[key:gene_model_track,Options:GeneOnly]&amp;mk=4551089:4551108|offset_40|444444,4551048:4551067|offset_81|444444,4551019:4551038|offset_110|00cc00,4550983:4551002|offset_146|444444&amp;v=4550888:4551202&amp;c=444444", "offset 110")</f>
        <v>offset 110</v>
      </c>
    </row>
    <row r="16127" customFormat="false" ht="12.8" hidden="false" customHeight="false" outlineLevel="0" collapsed="false">
      <c r="A16127" s="0" t="s">
        <v>12</v>
      </c>
      <c r="B16127" s="0" t="n">
        <v>4550982</v>
      </c>
      <c r="C16127" s="0" t="n">
        <v>4551002</v>
      </c>
      <c r="D16127" s="0" t="s">
        <v>53726</v>
      </c>
      <c r="E16127" s="0" t="s">
        <v>53727</v>
      </c>
      <c r="F16127" s="0" t="s">
        <v>90</v>
      </c>
      <c r="G16127" s="0" t="s">
        <v>16</v>
      </c>
      <c r="H16127" s="0" t="n">
        <v>146</v>
      </c>
      <c r="I16127" s="0" t="s">
        <v>53737</v>
      </c>
      <c r="J16127" s="0" t="s">
        <v>53738</v>
      </c>
      <c r="K16127" s="0" t="s">
        <v>53739</v>
      </c>
      <c r="L16127" s="0" t="str">
        <f aca="false">HYPERLINK("https://www.ncbi.nlm.nih.gov/nuccore/CP000304.1?report=graph&amp;tracks=[key:gene_model_track,Options:GeneOnly]&amp;mk=4551089:4551108|offset_40|444444,4551048:4551067|offset_81|444444,4551019:4551038|offset_110|444444,4550983:4551002|offset_146|00cc00&amp;v=4550888:4551202&amp;c=444444", "offset 146")</f>
        <v>offset 146</v>
      </c>
    </row>
    <row r="16128" customFormat="false" ht="12.8" hidden="false" customHeight="false" outlineLevel="0" collapsed="false">
      <c r="A16128" s="0" t="s">
        <v>12</v>
      </c>
      <c r="B16128" s="0" t="n">
        <v>4551426</v>
      </c>
      <c r="C16128" s="0" t="n">
        <v>4551446</v>
      </c>
      <c r="D16128" s="0" t="s">
        <v>53740</v>
      </c>
      <c r="E16128" s="0" t="s">
        <v>53741</v>
      </c>
      <c r="F16128" s="0" t="s">
        <v>90</v>
      </c>
      <c r="G16128" s="0" t="s">
        <v>16</v>
      </c>
      <c r="H16128" s="0" t="n">
        <v>22</v>
      </c>
      <c r="I16128" s="0" t="s">
        <v>53742</v>
      </c>
      <c r="J16128" s="0" t="s">
        <v>53743</v>
      </c>
      <c r="K16128" s="0" t="s">
        <v>53744</v>
      </c>
      <c r="L16128" s="0" t="str">
        <f aca="false">HYPERLINK("https://www.ncbi.nlm.nih.gov/nuccore/CP000304.1?report=graph&amp;tracks=[key:gene_model_track,Options:GeneOnly]&amp;mk=4551427:4551446|offset_22|00cc00,4551400:4551419|offset_49|444444,4551376:4551395|offset_73|444444,4551349:4551368|offset_100|444444&amp;v=4551226:4551568&amp;c=444444", "offset 22")</f>
        <v>offset 22</v>
      </c>
    </row>
    <row r="16129" customFormat="false" ht="12.8" hidden="false" customHeight="false" outlineLevel="0" collapsed="false">
      <c r="A16129" s="0" t="s">
        <v>12</v>
      </c>
      <c r="B16129" s="0" t="n">
        <v>4551399</v>
      </c>
      <c r="C16129" s="0" t="n">
        <v>4551419</v>
      </c>
      <c r="D16129" s="0" t="s">
        <v>53740</v>
      </c>
      <c r="E16129" s="0" t="s">
        <v>53741</v>
      </c>
      <c r="F16129" s="0" t="s">
        <v>90</v>
      </c>
      <c r="G16129" s="0" t="s">
        <v>36</v>
      </c>
      <c r="H16129" s="0" t="n">
        <v>49</v>
      </c>
      <c r="I16129" s="0" t="s">
        <v>53745</v>
      </c>
      <c r="J16129" s="0" t="s">
        <v>53746</v>
      </c>
      <c r="K16129" s="0" t="s">
        <v>53747</v>
      </c>
      <c r="L16129" s="0" t="str">
        <f aca="false">HYPERLINK("https://www.ncbi.nlm.nih.gov/nuccore/CP000304.1?report=graph&amp;tracks=[key:gene_model_track,Options:GeneOnly]&amp;mk=4551427:4551446|offset_22|444444,4551400:4551419|offset_49|00cc00,4551376:4551395|offset_73|444444,4551349:4551368|offset_100|444444&amp;v=4551226:4551568&amp;c=444444", "offset 49")</f>
        <v>offset 49</v>
      </c>
    </row>
    <row r="16130" customFormat="false" ht="12.8" hidden="false" customHeight="false" outlineLevel="0" collapsed="false">
      <c r="A16130" s="0" t="s">
        <v>12</v>
      </c>
      <c r="B16130" s="0" t="n">
        <v>4551375</v>
      </c>
      <c r="C16130" s="0" t="n">
        <v>4551395</v>
      </c>
      <c r="D16130" s="0" t="s">
        <v>53740</v>
      </c>
      <c r="E16130" s="0" t="s">
        <v>53741</v>
      </c>
      <c r="F16130" s="0" t="s">
        <v>90</v>
      </c>
      <c r="G16130" s="0" t="s">
        <v>36</v>
      </c>
      <c r="H16130" s="0" t="n">
        <v>73</v>
      </c>
      <c r="I16130" s="0" t="s">
        <v>53748</v>
      </c>
      <c r="J16130" s="0" t="s">
        <v>53749</v>
      </c>
      <c r="K16130" s="0" t="s">
        <v>53750</v>
      </c>
      <c r="L16130" s="0" t="str">
        <f aca="false">HYPERLINK("https://www.ncbi.nlm.nih.gov/nuccore/CP000304.1?report=graph&amp;tracks=[key:gene_model_track,Options:GeneOnly]&amp;mk=4551427:4551446|offset_22|444444,4551400:4551419|offset_49|444444,4551376:4551395|offset_73|00cc00,4551349:4551368|offset_100|444444&amp;v=4551226:4551568&amp;c=444444", "offset 73")</f>
        <v>offset 73</v>
      </c>
    </row>
    <row r="16131" customFormat="false" ht="12.8" hidden="false" customHeight="false" outlineLevel="0" collapsed="false">
      <c r="A16131" s="0" t="s">
        <v>12</v>
      </c>
      <c r="B16131" s="0" t="n">
        <v>4551348</v>
      </c>
      <c r="C16131" s="0" t="n">
        <v>4551368</v>
      </c>
      <c r="D16131" s="0" t="s">
        <v>53740</v>
      </c>
      <c r="E16131" s="0" t="s">
        <v>53741</v>
      </c>
      <c r="F16131" s="0" t="s">
        <v>90</v>
      </c>
      <c r="G16131" s="0" t="s">
        <v>32</v>
      </c>
      <c r="H16131" s="0" t="n">
        <v>100</v>
      </c>
      <c r="I16131" s="0" t="s">
        <v>53751</v>
      </c>
      <c r="J16131" s="0" t="s">
        <v>53752</v>
      </c>
      <c r="K16131" s="0" t="s">
        <v>53753</v>
      </c>
      <c r="L16131" s="0" t="str">
        <f aca="false">HYPERLINK("https://www.ncbi.nlm.nih.gov/nuccore/CP000304.1?report=graph&amp;tracks=[key:gene_model_track,Options:GeneOnly]&amp;mk=4551427:4551446|offset_22|444444,4551400:4551419|offset_49|444444,4551376:4551395|offset_73|444444,4551349:4551368|offset_100|00cc00&amp;v=4551226:4551568&amp;c=444444", "offset 100")</f>
        <v>offset 100</v>
      </c>
    </row>
    <row r="16132" customFormat="false" ht="12.8" hidden="false" customHeight="false" outlineLevel="0" collapsed="false">
      <c r="A16132" s="0" t="s">
        <v>12</v>
      </c>
      <c r="B16132" s="0" t="n">
        <v>4552376</v>
      </c>
      <c r="C16132" s="0" t="n">
        <v>4552396</v>
      </c>
      <c r="D16132" s="0" t="s">
        <v>53754</v>
      </c>
      <c r="E16132" s="0" t="s">
        <v>53755</v>
      </c>
      <c r="F16132" s="0" t="s">
        <v>90</v>
      </c>
      <c r="G16132" s="0" t="s">
        <v>36</v>
      </c>
      <c r="H16132" s="0" t="n">
        <v>13</v>
      </c>
      <c r="I16132" s="0" t="s">
        <v>53756</v>
      </c>
      <c r="J16132" s="0" t="s">
        <v>53757</v>
      </c>
      <c r="K16132" s="0" t="s">
        <v>53758</v>
      </c>
      <c r="L16132" s="0" t="str">
        <f aca="false">HYPERLINK("https://www.ncbi.nlm.nih.gov/nuccore/CP000304.1?report=graph&amp;tracks=[key:gene_model_track,Options:GeneOnly]&amp;mk=4552377:4552396|offset_13|00cc00,4552352:4552371|offset_38|444444,4552324:4552343|offset_66|444444,4552296:4552315|offset_94|444444&amp;v=4552176:4552515&amp;c=444444", "offset 13")</f>
        <v>offset 13</v>
      </c>
    </row>
    <row r="16133" customFormat="false" ht="12.8" hidden="false" customHeight="false" outlineLevel="0" collapsed="false">
      <c r="A16133" s="0" t="s">
        <v>12</v>
      </c>
      <c r="B16133" s="0" t="n">
        <v>4552351</v>
      </c>
      <c r="C16133" s="0" t="n">
        <v>4552371</v>
      </c>
      <c r="D16133" s="0" t="s">
        <v>53754</v>
      </c>
      <c r="E16133" s="0" t="s">
        <v>53755</v>
      </c>
      <c r="F16133" s="0" t="s">
        <v>90</v>
      </c>
      <c r="G16133" s="0" t="s">
        <v>26</v>
      </c>
      <c r="H16133" s="0" t="n">
        <v>38</v>
      </c>
      <c r="I16133" s="0" t="s">
        <v>53759</v>
      </c>
      <c r="J16133" s="0" t="s">
        <v>53760</v>
      </c>
      <c r="K16133" s="0" t="s">
        <v>53761</v>
      </c>
      <c r="L16133" s="0" t="str">
        <f aca="false">HYPERLINK("https://www.ncbi.nlm.nih.gov/nuccore/CP000304.1?report=graph&amp;tracks=[key:gene_model_track,Options:GeneOnly]&amp;mk=4552377:4552396|offset_13|444444,4552352:4552371|offset_38|00cc00,4552324:4552343|offset_66|444444,4552296:4552315|offset_94|444444&amp;v=4552176:4552515&amp;c=444444", "offset 38")</f>
        <v>offset 38</v>
      </c>
    </row>
    <row r="16134" customFormat="false" ht="12.8" hidden="false" customHeight="false" outlineLevel="0" collapsed="false">
      <c r="A16134" s="0" t="s">
        <v>12</v>
      </c>
      <c r="B16134" s="0" t="n">
        <v>4552323</v>
      </c>
      <c r="C16134" s="0" t="n">
        <v>4552343</v>
      </c>
      <c r="D16134" s="0" t="s">
        <v>53754</v>
      </c>
      <c r="E16134" s="0" t="s">
        <v>53755</v>
      </c>
      <c r="F16134" s="0" t="s">
        <v>90</v>
      </c>
      <c r="G16134" s="0" t="s">
        <v>32</v>
      </c>
      <c r="H16134" s="0" t="n">
        <v>66</v>
      </c>
      <c r="I16134" s="0" t="s">
        <v>53762</v>
      </c>
      <c r="J16134" s="0" t="s">
        <v>53763</v>
      </c>
      <c r="K16134" s="0" t="s">
        <v>53764</v>
      </c>
      <c r="L16134" s="0" t="str">
        <f aca="false">HYPERLINK("https://www.ncbi.nlm.nih.gov/nuccore/CP000304.1?report=graph&amp;tracks=[key:gene_model_track,Options:GeneOnly]&amp;mk=4552377:4552396|offset_13|444444,4552352:4552371|offset_38|444444,4552324:4552343|offset_66|00cc00,4552296:4552315|offset_94|444444&amp;v=4552176:4552515&amp;c=444444", "offset 66")</f>
        <v>offset 66</v>
      </c>
    </row>
    <row r="16135" customFormat="false" ht="12.8" hidden="false" customHeight="false" outlineLevel="0" collapsed="false">
      <c r="A16135" s="0" t="s">
        <v>12</v>
      </c>
      <c r="B16135" s="0" t="n">
        <v>4552295</v>
      </c>
      <c r="C16135" s="0" t="n">
        <v>4552315</v>
      </c>
      <c r="D16135" s="0" t="s">
        <v>53754</v>
      </c>
      <c r="E16135" s="0" t="s">
        <v>53755</v>
      </c>
      <c r="F16135" s="0" t="s">
        <v>90</v>
      </c>
      <c r="G16135" s="0" t="s">
        <v>32</v>
      </c>
      <c r="H16135" s="0" t="n">
        <v>94</v>
      </c>
      <c r="I16135" s="0" t="s">
        <v>53765</v>
      </c>
      <c r="J16135" s="0" t="s">
        <v>53766</v>
      </c>
      <c r="K16135" s="0" t="s">
        <v>53767</v>
      </c>
      <c r="L16135" s="0" t="str">
        <f aca="false">HYPERLINK("https://www.ncbi.nlm.nih.gov/nuccore/CP000304.1?report=graph&amp;tracks=[key:gene_model_track,Options:GeneOnly]&amp;mk=4552377:4552396|offset_13|444444,4552352:4552371|offset_38|444444,4552324:4552343|offset_66|444444,4552296:4552315|offset_94|00cc00&amp;v=4552176:4552515&amp;c=444444", "offset 94")</f>
        <v>offset 94</v>
      </c>
    </row>
    <row r="16136" customFormat="false" ht="12.8" hidden="false" customHeight="false" outlineLevel="0" collapsed="false">
      <c r="A16136" s="0" t="s">
        <v>12</v>
      </c>
      <c r="B16136" s="0" t="n">
        <v>4552717</v>
      </c>
      <c r="C16136" s="0" t="n">
        <v>4552737</v>
      </c>
      <c r="D16136" s="0" t="s">
        <v>53768</v>
      </c>
      <c r="E16136" s="0" t="s">
        <v>53769</v>
      </c>
      <c r="F16136" s="0" t="s">
        <v>90</v>
      </c>
      <c r="G16136" s="0" t="s">
        <v>16</v>
      </c>
      <c r="H16136" s="0" t="n">
        <v>13</v>
      </c>
      <c r="I16136" s="0" t="s">
        <v>53770</v>
      </c>
      <c r="J16136" s="0" t="s">
        <v>53771</v>
      </c>
      <c r="K16136" s="0" t="s">
        <v>53772</v>
      </c>
      <c r="L16136" s="0" t="str">
        <f aca="false">HYPERLINK("https://www.ncbi.nlm.nih.gov/nuccore/CP000304.1?report=graph&amp;tracks=[key:gene_model_track,Options:GeneOnly]&amp;mk=4552718:4552737|offset_13|00cc00,4552682:4552701|offset_49|444444,4552616:4552635|offset_115|444444,4552589:4552608|offset_142|444444&amp;v=4552517:4552808&amp;c=444444", "offset 13")</f>
        <v>offset 13</v>
      </c>
    </row>
    <row r="16137" customFormat="false" ht="12.8" hidden="false" customHeight="false" outlineLevel="0" collapsed="false">
      <c r="A16137" s="0" t="s">
        <v>12</v>
      </c>
      <c r="B16137" s="0" t="n">
        <v>4552681</v>
      </c>
      <c r="C16137" s="0" t="n">
        <v>4552701</v>
      </c>
      <c r="D16137" s="0" t="s">
        <v>53768</v>
      </c>
      <c r="E16137" s="0" t="s">
        <v>53769</v>
      </c>
      <c r="F16137" s="0" t="s">
        <v>90</v>
      </c>
      <c r="G16137" s="0" t="s">
        <v>16</v>
      </c>
      <c r="H16137" s="0" t="n">
        <v>49</v>
      </c>
      <c r="I16137" s="0" t="s">
        <v>53773</v>
      </c>
      <c r="J16137" s="0" t="s">
        <v>53774</v>
      </c>
      <c r="K16137" s="0" t="s">
        <v>53775</v>
      </c>
      <c r="L16137" s="0" t="str">
        <f aca="false">HYPERLINK("https://www.ncbi.nlm.nih.gov/nuccore/CP000304.1?report=graph&amp;tracks=[key:gene_model_track,Options:GeneOnly]&amp;mk=4552718:4552737|offset_13|444444,4552682:4552701|offset_49|00cc00,4552616:4552635|offset_115|444444,4552589:4552608|offset_142|444444&amp;v=4552517:4552808&amp;c=444444", "offset 49")</f>
        <v>offset 49</v>
      </c>
    </row>
    <row r="16138" customFormat="false" ht="12.8" hidden="false" customHeight="false" outlineLevel="0" collapsed="false">
      <c r="A16138" s="0" t="s">
        <v>12</v>
      </c>
      <c r="B16138" s="0" t="n">
        <v>4552615</v>
      </c>
      <c r="C16138" s="0" t="n">
        <v>4552635</v>
      </c>
      <c r="D16138" s="0" t="s">
        <v>53768</v>
      </c>
      <c r="E16138" s="0" t="s">
        <v>53769</v>
      </c>
      <c r="F16138" s="0" t="s">
        <v>90</v>
      </c>
      <c r="G16138" s="0" t="s">
        <v>26</v>
      </c>
      <c r="H16138" s="0" t="n">
        <v>115</v>
      </c>
      <c r="I16138" s="0" t="s">
        <v>53776</v>
      </c>
      <c r="J16138" s="0" t="s">
        <v>53777</v>
      </c>
      <c r="K16138" s="0" t="s">
        <v>53778</v>
      </c>
      <c r="L16138" s="0" t="str">
        <f aca="false">HYPERLINK("https://www.ncbi.nlm.nih.gov/nuccore/CP000304.1?report=graph&amp;tracks=[key:gene_model_track,Options:GeneOnly]&amp;mk=4552718:4552737|offset_13|444444,4552682:4552701|offset_49|444444,4552616:4552635|offset_115|00cc00,4552589:4552608|offset_142|444444&amp;v=4552517:4552808&amp;c=444444", "offset 115")</f>
        <v>offset 115</v>
      </c>
    </row>
    <row r="16139" customFormat="false" ht="12.8" hidden="false" customHeight="false" outlineLevel="0" collapsed="false">
      <c r="A16139" s="0" t="s">
        <v>12</v>
      </c>
      <c r="B16139" s="0" t="n">
        <v>4552588</v>
      </c>
      <c r="C16139" s="0" t="n">
        <v>4552608</v>
      </c>
      <c r="D16139" s="0" t="s">
        <v>53768</v>
      </c>
      <c r="E16139" s="0" t="s">
        <v>53769</v>
      </c>
      <c r="F16139" s="0" t="s">
        <v>90</v>
      </c>
      <c r="G16139" s="0" t="s">
        <v>36</v>
      </c>
      <c r="H16139" s="0" t="n">
        <v>142</v>
      </c>
      <c r="I16139" s="0" t="s">
        <v>53779</v>
      </c>
      <c r="J16139" s="0" t="s">
        <v>53780</v>
      </c>
      <c r="K16139" s="0" t="s">
        <v>53781</v>
      </c>
      <c r="L16139" s="0" t="str">
        <f aca="false">HYPERLINK("https://www.ncbi.nlm.nih.gov/nuccore/CP000304.1?report=graph&amp;tracks=[key:gene_model_track,Options:GeneOnly]&amp;mk=4552718:4552737|offset_13|444444,4552682:4552701|offset_49|444444,4552616:4552635|offset_115|444444,4552589:4552608|offset_142|00cc00&amp;v=4552517:4552808&amp;c=444444", "offset 142")</f>
        <v>offset 142</v>
      </c>
    </row>
    <row r="16140" customFormat="false" ht="12.8" hidden="false" customHeight="false" outlineLevel="0" collapsed="false">
      <c r="A16140" s="0" t="s">
        <v>12</v>
      </c>
      <c r="B16140" s="0" t="n">
        <v>4553798</v>
      </c>
      <c r="C16140" s="0" t="n">
        <v>4553818</v>
      </c>
      <c r="D16140" s="0" t="s">
        <v>53782</v>
      </c>
      <c r="E16140" s="0" t="s">
        <v>53783</v>
      </c>
      <c r="F16140" s="0" t="s">
        <v>90</v>
      </c>
      <c r="G16140" s="0" t="s">
        <v>32</v>
      </c>
      <c r="H16140" s="0" t="n">
        <v>10</v>
      </c>
      <c r="I16140" s="0" t="s">
        <v>53784</v>
      </c>
      <c r="J16140" s="0" t="s">
        <v>53785</v>
      </c>
      <c r="K16140" s="0" t="s">
        <v>53786</v>
      </c>
      <c r="L16140" s="0" t="str">
        <f aca="false">HYPERLINK("https://www.ncbi.nlm.nih.gov/nuccore/CP000304.1?report=graph&amp;tracks=[key:gene_model_track,Options:GeneOnly]&amp;mk=4553799:4553818|offset_10|00cc00,4553766:4553785|offset_43|444444,4553721:4553740|offset_88|444444,4553689:4553708|offset_120|444444&amp;v=4553598:4553908&amp;c=444444", "offset 10")</f>
        <v>offset 10</v>
      </c>
    </row>
    <row r="16141" customFormat="false" ht="12.8" hidden="false" customHeight="false" outlineLevel="0" collapsed="false">
      <c r="A16141" s="0" t="s">
        <v>12</v>
      </c>
      <c r="B16141" s="0" t="n">
        <v>4553765</v>
      </c>
      <c r="C16141" s="0" t="n">
        <v>4553785</v>
      </c>
      <c r="D16141" s="0" t="s">
        <v>53782</v>
      </c>
      <c r="E16141" s="0" t="s">
        <v>53783</v>
      </c>
      <c r="F16141" s="0" t="s">
        <v>90</v>
      </c>
      <c r="G16141" s="0" t="s">
        <v>36</v>
      </c>
      <c r="H16141" s="0" t="n">
        <v>43</v>
      </c>
      <c r="I16141" s="0" t="s">
        <v>53787</v>
      </c>
      <c r="J16141" s="0" t="s">
        <v>53788</v>
      </c>
      <c r="K16141" s="0" t="s">
        <v>53789</v>
      </c>
      <c r="L16141" s="0" t="str">
        <f aca="false">HYPERLINK("https://www.ncbi.nlm.nih.gov/nuccore/CP000304.1?report=graph&amp;tracks=[key:gene_model_track,Options:GeneOnly]&amp;mk=4553799:4553818|offset_10|444444,4553766:4553785|offset_43|00cc00,4553721:4553740|offset_88|444444,4553689:4553708|offset_120|444444&amp;v=4553598:4553908&amp;c=444444", "offset 43")</f>
        <v>offset 43</v>
      </c>
    </row>
    <row r="16142" customFormat="false" ht="12.8" hidden="false" customHeight="false" outlineLevel="0" collapsed="false">
      <c r="A16142" s="0" t="s">
        <v>12</v>
      </c>
      <c r="B16142" s="0" t="n">
        <v>4553720</v>
      </c>
      <c r="C16142" s="0" t="n">
        <v>4553740</v>
      </c>
      <c r="D16142" s="0" t="s">
        <v>53782</v>
      </c>
      <c r="E16142" s="0" t="s">
        <v>53783</v>
      </c>
      <c r="F16142" s="0" t="s">
        <v>90</v>
      </c>
      <c r="G16142" s="0" t="s">
        <v>32</v>
      </c>
      <c r="H16142" s="0" t="n">
        <v>88</v>
      </c>
      <c r="I16142" s="0" t="s">
        <v>53790</v>
      </c>
      <c r="J16142" s="0" t="s">
        <v>53791</v>
      </c>
      <c r="K16142" s="0" t="s">
        <v>53792</v>
      </c>
      <c r="L16142" s="0" t="str">
        <f aca="false">HYPERLINK("https://www.ncbi.nlm.nih.gov/nuccore/CP000304.1?report=graph&amp;tracks=[key:gene_model_track,Options:GeneOnly]&amp;mk=4553799:4553818|offset_10|444444,4553766:4553785|offset_43|444444,4553721:4553740|offset_88|00cc00,4553689:4553708|offset_120|444444&amp;v=4553598:4553908&amp;c=444444", "offset 88")</f>
        <v>offset 88</v>
      </c>
    </row>
    <row r="16143" customFormat="false" ht="12.8" hidden="false" customHeight="false" outlineLevel="0" collapsed="false">
      <c r="A16143" s="0" t="s">
        <v>12</v>
      </c>
      <c r="B16143" s="0" t="n">
        <v>4553688</v>
      </c>
      <c r="C16143" s="0" t="n">
        <v>4553708</v>
      </c>
      <c r="D16143" s="0" t="s">
        <v>53782</v>
      </c>
      <c r="E16143" s="0" t="s">
        <v>53783</v>
      </c>
      <c r="F16143" s="0" t="s">
        <v>90</v>
      </c>
      <c r="G16143" s="0" t="s">
        <v>16</v>
      </c>
      <c r="H16143" s="0" t="n">
        <v>120</v>
      </c>
      <c r="I16143" s="0" t="s">
        <v>53793</v>
      </c>
      <c r="J16143" s="0" t="s">
        <v>53794</v>
      </c>
      <c r="K16143" s="0" t="s">
        <v>53795</v>
      </c>
      <c r="L16143" s="0" t="str">
        <f aca="false">HYPERLINK("https://www.ncbi.nlm.nih.gov/nuccore/CP000304.1?report=graph&amp;tracks=[key:gene_model_track,Options:GeneOnly]&amp;mk=4553799:4553818|offset_10|444444,4553766:4553785|offset_43|444444,4553721:4553740|offset_88|444444,4553689:4553708|offset_120|00cc00&amp;v=4553598:4553908&amp;c=444444", "offset 120")</f>
        <v>offset 120</v>
      </c>
    </row>
    <row r="16144" customFormat="false" ht="12.8" hidden="false" customHeight="false" outlineLevel="0" collapsed="false">
      <c r="A16144" s="0" t="s">
        <v>12</v>
      </c>
      <c r="B16144" s="0" t="n">
        <v>4554605</v>
      </c>
      <c r="C16144" s="0" t="n">
        <v>4554625</v>
      </c>
      <c r="D16144" s="0" t="s">
        <v>53796</v>
      </c>
      <c r="E16144" s="0" t="s">
        <v>89</v>
      </c>
      <c r="F16144" s="0" t="s">
        <v>90</v>
      </c>
      <c r="G16144" s="0" t="s">
        <v>32</v>
      </c>
      <c r="H16144" s="0" t="n">
        <v>1</v>
      </c>
      <c r="I16144" s="0" t="s">
        <v>53797</v>
      </c>
      <c r="J16144" s="0" t="s">
        <v>53798</v>
      </c>
      <c r="K16144" s="0" t="s">
        <v>53799</v>
      </c>
      <c r="L16144" s="0" t="str">
        <f aca="false">HYPERLINK("https://www.ncbi.nlm.nih.gov/nuccore/CP000304.1?report=graph&amp;tracks=[key:gene_model_track,Options:GeneOnly]&amp;mk=4554606:4554625|offset_1|00cc00,4554582:4554601|offset_25|444444,4554561:4554580|offset_46|444444,4554534:4554553|offset_73|444444&amp;v=4554405:4554753&amp;c=444444", "offset 1")</f>
        <v>offset 1</v>
      </c>
    </row>
    <row r="16145" customFormat="false" ht="12.8" hidden="false" customHeight="false" outlineLevel="0" collapsed="false">
      <c r="A16145" s="0" t="s">
        <v>12</v>
      </c>
      <c r="B16145" s="0" t="n">
        <v>4554581</v>
      </c>
      <c r="C16145" s="0" t="n">
        <v>4554601</v>
      </c>
      <c r="D16145" s="0" t="s">
        <v>53796</v>
      </c>
      <c r="E16145" s="0" t="s">
        <v>89</v>
      </c>
      <c r="F16145" s="0" t="s">
        <v>90</v>
      </c>
      <c r="G16145" s="0" t="s">
        <v>32</v>
      </c>
      <c r="H16145" s="0" t="n">
        <v>25</v>
      </c>
      <c r="I16145" s="0" t="s">
        <v>53800</v>
      </c>
      <c r="J16145" s="0" t="s">
        <v>53801</v>
      </c>
      <c r="K16145" s="0" t="s">
        <v>53802</v>
      </c>
      <c r="L16145" s="0" t="str">
        <f aca="false">HYPERLINK("https://www.ncbi.nlm.nih.gov/nuccore/CP000304.1?report=graph&amp;tracks=[key:gene_model_track,Options:GeneOnly]&amp;mk=4554606:4554625|offset_1|444444,4554582:4554601|offset_25|00cc00,4554561:4554580|offset_46|444444,4554534:4554553|offset_73|444444&amp;v=4554405:4554753&amp;c=444444", "offset 25")</f>
        <v>offset 25</v>
      </c>
    </row>
    <row r="16146" customFormat="false" ht="12.8" hidden="false" customHeight="false" outlineLevel="0" collapsed="false">
      <c r="A16146" s="0" t="s">
        <v>12</v>
      </c>
      <c r="B16146" s="0" t="n">
        <v>4554560</v>
      </c>
      <c r="C16146" s="0" t="n">
        <v>4554580</v>
      </c>
      <c r="D16146" s="0" t="s">
        <v>53796</v>
      </c>
      <c r="E16146" s="0" t="s">
        <v>89</v>
      </c>
      <c r="F16146" s="0" t="s">
        <v>90</v>
      </c>
      <c r="G16146" s="0" t="s">
        <v>32</v>
      </c>
      <c r="H16146" s="0" t="n">
        <v>46</v>
      </c>
      <c r="I16146" s="0" t="s">
        <v>53803</v>
      </c>
      <c r="J16146" s="0" t="s">
        <v>53804</v>
      </c>
      <c r="K16146" s="0" t="s">
        <v>53805</v>
      </c>
      <c r="L16146" s="0" t="str">
        <f aca="false">HYPERLINK("https://www.ncbi.nlm.nih.gov/nuccore/CP000304.1?report=graph&amp;tracks=[key:gene_model_track,Options:GeneOnly]&amp;mk=4554606:4554625|offset_1|444444,4554582:4554601|offset_25|444444,4554561:4554580|offset_46|00cc00,4554534:4554553|offset_73|444444&amp;v=4554405:4554753&amp;c=444444", "offset 46")</f>
        <v>offset 46</v>
      </c>
    </row>
    <row r="16147" customFormat="false" ht="12.8" hidden="false" customHeight="false" outlineLevel="0" collapsed="false">
      <c r="A16147" s="0" t="s">
        <v>12</v>
      </c>
      <c r="B16147" s="0" t="n">
        <v>4554533</v>
      </c>
      <c r="C16147" s="0" t="n">
        <v>4554553</v>
      </c>
      <c r="D16147" s="0" t="s">
        <v>53796</v>
      </c>
      <c r="E16147" s="0" t="s">
        <v>89</v>
      </c>
      <c r="F16147" s="0" t="s">
        <v>90</v>
      </c>
      <c r="G16147" s="0" t="s">
        <v>16</v>
      </c>
      <c r="H16147" s="0" t="n">
        <v>73</v>
      </c>
      <c r="I16147" s="0" t="s">
        <v>53806</v>
      </c>
      <c r="J16147" s="0" t="s">
        <v>53807</v>
      </c>
      <c r="K16147" s="0" t="s">
        <v>53808</v>
      </c>
      <c r="L16147" s="0" t="str">
        <f aca="false">HYPERLINK("https://www.ncbi.nlm.nih.gov/nuccore/CP000304.1?report=graph&amp;tracks=[key:gene_model_track,Options:GeneOnly]&amp;mk=4554606:4554625|offset_1|444444,4554582:4554601|offset_25|444444,4554561:4554580|offset_46|444444,4554534:4554553|offset_73|00cc00&amp;v=4554405:4554753&amp;c=444444", "offset 73")</f>
        <v>offset 73</v>
      </c>
    </row>
    <row r="16148" customFormat="false" ht="12.8" hidden="false" customHeight="false" outlineLevel="0" collapsed="false">
      <c r="A16148" s="0" t="s">
        <v>12</v>
      </c>
      <c r="B16148" s="0" t="n">
        <v>4555250</v>
      </c>
      <c r="C16148" s="0" t="n">
        <v>4555270</v>
      </c>
      <c r="D16148" s="0" t="s">
        <v>53809</v>
      </c>
      <c r="E16148" s="0" t="s">
        <v>53810</v>
      </c>
      <c r="F16148" s="0" t="s">
        <v>90</v>
      </c>
      <c r="G16148" s="0" t="s">
        <v>36</v>
      </c>
      <c r="H16148" s="0" t="n">
        <v>22</v>
      </c>
      <c r="I16148" s="0" t="s">
        <v>53811</v>
      </c>
      <c r="J16148" s="0" t="s">
        <v>53812</v>
      </c>
      <c r="K16148" s="0" t="s">
        <v>53813</v>
      </c>
      <c r="L16148" s="0" t="str">
        <f aca="false">HYPERLINK("https://www.ncbi.nlm.nih.gov/nuccore/CP000304.1?report=graph&amp;tracks=[key:gene_model_track,Options:GeneOnly]&amp;mk=4555251:4555270|offset_22|00cc00,4555224:4555243|offset_49|444444,4555193:4555212|offset_80|444444,4555173:4555192|offset_100|444444&amp;v=4555050:4555392&amp;c=444444", "offset 22")</f>
        <v>offset 22</v>
      </c>
    </row>
    <row r="16149" customFormat="false" ht="12.8" hidden="false" customHeight="false" outlineLevel="0" collapsed="false">
      <c r="A16149" s="0" t="s">
        <v>12</v>
      </c>
      <c r="B16149" s="0" t="n">
        <v>4555223</v>
      </c>
      <c r="C16149" s="0" t="n">
        <v>4555243</v>
      </c>
      <c r="D16149" s="0" t="s">
        <v>53809</v>
      </c>
      <c r="E16149" s="0" t="s">
        <v>53810</v>
      </c>
      <c r="F16149" s="0" t="s">
        <v>90</v>
      </c>
      <c r="G16149" s="0" t="s">
        <v>16</v>
      </c>
      <c r="H16149" s="0" t="n">
        <v>49</v>
      </c>
      <c r="I16149" s="0" t="s">
        <v>53814</v>
      </c>
      <c r="J16149" s="0" t="s">
        <v>53815</v>
      </c>
      <c r="K16149" s="0" t="s">
        <v>53816</v>
      </c>
      <c r="L16149" s="0" t="str">
        <f aca="false">HYPERLINK("https://www.ncbi.nlm.nih.gov/nuccore/CP000304.1?report=graph&amp;tracks=[key:gene_model_track,Options:GeneOnly]&amp;mk=4555251:4555270|offset_22|444444,4555224:4555243|offset_49|00cc00,4555193:4555212|offset_80|444444,4555173:4555192|offset_100|444444&amp;v=4555050:4555392&amp;c=444444", "offset 49")</f>
        <v>offset 49</v>
      </c>
    </row>
    <row r="16150" customFormat="false" ht="12.8" hidden="false" customHeight="false" outlineLevel="0" collapsed="false">
      <c r="A16150" s="0" t="s">
        <v>12</v>
      </c>
      <c r="B16150" s="0" t="n">
        <v>4555192</v>
      </c>
      <c r="C16150" s="0" t="n">
        <v>4555212</v>
      </c>
      <c r="D16150" s="0" t="s">
        <v>53809</v>
      </c>
      <c r="E16150" s="0" t="s">
        <v>53810</v>
      </c>
      <c r="F16150" s="0" t="s">
        <v>90</v>
      </c>
      <c r="G16150" s="0" t="s">
        <v>32</v>
      </c>
      <c r="H16150" s="0" t="n">
        <v>80</v>
      </c>
      <c r="I16150" s="0" t="s">
        <v>53817</v>
      </c>
      <c r="J16150" s="0" t="s">
        <v>53818</v>
      </c>
      <c r="K16150" s="0" t="s">
        <v>53819</v>
      </c>
      <c r="L16150" s="0" t="str">
        <f aca="false">HYPERLINK("https://www.ncbi.nlm.nih.gov/nuccore/CP000304.1?report=graph&amp;tracks=[key:gene_model_track,Options:GeneOnly]&amp;mk=4555251:4555270|offset_22|444444,4555224:4555243|offset_49|444444,4555193:4555212|offset_80|00cc00,4555173:4555192|offset_100|444444&amp;v=4555050:4555392&amp;c=444444", "offset 80")</f>
        <v>offset 80</v>
      </c>
    </row>
    <row r="16151" customFormat="false" ht="12.8" hidden="false" customHeight="false" outlineLevel="0" collapsed="false">
      <c r="A16151" s="0" t="s">
        <v>12</v>
      </c>
      <c r="B16151" s="0" t="n">
        <v>4555172</v>
      </c>
      <c r="C16151" s="0" t="n">
        <v>4555192</v>
      </c>
      <c r="D16151" s="0" t="s">
        <v>53809</v>
      </c>
      <c r="E16151" s="0" t="s">
        <v>53810</v>
      </c>
      <c r="F16151" s="0" t="s">
        <v>90</v>
      </c>
      <c r="G16151" s="0" t="s">
        <v>26</v>
      </c>
      <c r="H16151" s="0" t="n">
        <v>100</v>
      </c>
      <c r="I16151" s="0" t="s">
        <v>53820</v>
      </c>
      <c r="J16151" s="0" t="s">
        <v>53821</v>
      </c>
      <c r="K16151" s="0" t="s">
        <v>53822</v>
      </c>
      <c r="L16151" s="0" t="str">
        <f aca="false">HYPERLINK("https://www.ncbi.nlm.nih.gov/nuccore/CP000304.1?report=graph&amp;tracks=[key:gene_model_track,Options:GeneOnly]&amp;mk=4555251:4555270|offset_22|444444,4555224:4555243|offset_49|444444,4555193:4555212|offset_80|444444,4555173:4555192|offset_100|00cc00&amp;v=4555050:4555392&amp;c=444444", "offset 100")</f>
        <v>offset 100</v>
      </c>
    </row>
    <row r="16152" customFormat="false" ht="12.8" hidden="false" customHeight="false" outlineLevel="0" collapsed="false">
      <c r="A16152" s="0" t="s">
        <v>12</v>
      </c>
      <c r="B16152" s="0" t="n">
        <v>4557153</v>
      </c>
      <c r="C16152" s="0" t="n">
        <v>4557173</v>
      </c>
      <c r="D16152" s="0" t="s">
        <v>53823</v>
      </c>
      <c r="E16152" s="0" t="s">
        <v>53824</v>
      </c>
      <c r="F16152" s="0" t="s">
        <v>90</v>
      </c>
      <c r="G16152" s="0" t="s">
        <v>36</v>
      </c>
      <c r="H16152" s="0" t="n">
        <v>11</v>
      </c>
      <c r="I16152" s="0" t="s">
        <v>53825</v>
      </c>
      <c r="J16152" s="0" t="s">
        <v>53826</v>
      </c>
      <c r="K16152" s="0" t="s">
        <v>53827</v>
      </c>
      <c r="L16152" s="0" t="str">
        <f aca="false">HYPERLINK("https://www.ncbi.nlm.nih.gov/nuccore/CP000304.1?report=graph&amp;tracks=[key:gene_model_track,Options:GeneOnly]&amp;mk=4557154:4557173|offset_11|00cc00,4557118:4557137|offset_47|444444,4557068:4557087|offset_97|444444,4557041:4557060|offset_124|444444&amp;v=4556953:4557260&amp;c=444444", "offset 11")</f>
        <v>offset 11</v>
      </c>
    </row>
    <row r="16153" customFormat="false" ht="12.8" hidden="false" customHeight="false" outlineLevel="0" collapsed="false">
      <c r="A16153" s="0" t="s">
        <v>12</v>
      </c>
      <c r="B16153" s="0" t="n">
        <v>4557117</v>
      </c>
      <c r="C16153" s="0" t="n">
        <v>4557137</v>
      </c>
      <c r="D16153" s="0" t="s">
        <v>53823</v>
      </c>
      <c r="E16153" s="0" t="s">
        <v>53824</v>
      </c>
      <c r="F16153" s="0" t="s">
        <v>90</v>
      </c>
      <c r="G16153" s="0" t="s">
        <v>32</v>
      </c>
      <c r="H16153" s="0" t="n">
        <v>47</v>
      </c>
      <c r="I16153" s="0" t="s">
        <v>53828</v>
      </c>
      <c r="J16153" s="0" t="s">
        <v>53829</v>
      </c>
      <c r="K16153" s="0" t="s">
        <v>53830</v>
      </c>
      <c r="L16153" s="0" t="str">
        <f aca="false">HYPERLINK("https://www.ncbi.nlm.nih.gov/nuccore/CP000304.1?report=graph&amp;tracks=[key:gene_model_track,Options:GeneOnly]&amp;mk=4557154:4557173|offset_11|444444,4557118:4557137|offset_47|00cc00,4557068:4557087|offset_97|444444,4557041:4557060|offset_124|444444&amp;v=4556953:4557260&amp;c=444444", "offset 47")</f>
        <v>offset 47</v>
      </c>
    </row>
    <row r="16154" customFormat="false" ht="12.8" hidden="false" customHeight="false" outlineLevel="0" collapsed="false">
      <c r="A16154" s="0" t="s">
        <v>12</v>
      </c>
      <c r="B16154" s="0" t="n">
        <v>4557067</v>
      </c>
      <c r="C16154" s="0" t="n">
        <v>4557087</v>
      </c>
      <c r="D16154" s="0" t="s">
        <v>53823</v>
      </c>
      <c r="E16154" s="0" t="s">
        <v>53824</v>
      </c>
      <c r="F16154" s="0" t="s">
        <v>90</v>
      </c>
      <c r="G16154" s="0" t="s">
        <v>36</v>
      </c>
      <c r="H16154" s="0" t="n">
        <v>97</v>
      </c>
      <c r="I16154" s="0" t="s">
        <v>53831</v>
      </c>
      <c r="J16154" s="0" t="s">
        <v>53832</v>
      </c>
      <c r="K16154" s="0" t="s">
        <v>53833</v>
      </c>
      <c r="L16154" s="0" t="str">
        <f aca="false">HYPERLINK("https://www.ncbi.nlm.nih.gov/nuccore/CP000304.1?report=graph&amp;tracks=[key:gene_model_track,Options:GeneOnly]&amp;mk=4557154:4557173|offset_11|444444,4557118:4557137|offset_47|444444,4557068:4557087|offset_97|00cc00,4557041:4557060|offset_124|444444&amp;v=4556953:4557260&amp;c=444444", "offset 97")</f>
        <v>offset 97</v>
      </c>
    </row>
    <row r="16155" customFormat="false" ht="12.8" hidden="false" customHeight="false" outlineLevel="0" collapsed="false">
      <c r="A16155" s="0" t="s">
        <v>12</v>
      </c>
      <c r="B16155" s="0" t="n">
        <v>4557040</v>
      </c>
      <c r="C16155" s="0" t="n">
        <v>4557060</v>
      </c>
      <c r="D16155" s="0" t="s">
        <v>53823</v>
      </c>
      <c r="E16155" s="0" t="s">
        <v>53824</v>
      </c>
      <c r="F16155" s="0" t="s">
        <v>90</v>
      </c>
      <c r="G16155" s="0" t="s">
        <v>36</v>
      </c>
      <c r="H16155" s="0" t="n">
        <v>124</v>
      </c>
      <c r="I16155" s="0" t="s">
        <v>53834</v>
      </c>
      <c r="J16155" s="0" t="s">
        <v>53835</v>
      </c>
      <c r="K16155" s="0" t="s">
        <v>53836</v>
      </c>
      <c r="L16155" s="0" t="str">
        <f aca="false">HYPERLINK("https://www.ncbi.nlm.nih.gov/nuccore/CP000304.1?report=graph&amp;tracks=[key:gene_model_track,Options:GeneOnly]&amp;mk=4557154:4557173|offset_11|444444,4557118:4557137|offset_47|444444,4557068:4557087|offset_97|444444,4557041:4557060|offset_124|00cc00&amp;v=4556953:4557260&amp;c=444444", "offset 124")</f>
        <v>offset 124</v>
      </c>
    </row>
    <row r="16156" customFormat="false" ht="12.8" hidden="false" customHeight="false" outlineLevel="0" collapsed="false">
      <c r="A16156" s="0" t="s">
        <v>12</v>
      </c>
      <c r="B16156" s="0" t="n">
        <v>4557928</v>
      </c>
      <c r="C16156" s="0" t="n">
        <v>4557948</v>
      </c>
      <c r="D16156" s="0" t="s">
        <v>53837</v>
      </c>
      <c r="E16156" s="0" t="s">
        <v>89</v>
      </c>
      <c r="F16156" s="0" t="s">
        <v>90</v>
      </c>
      <c r="G16156" s="0" t="s">
        <v>16</v>
      </c>
      <c r="H16156" s="0" t="n">
        <v>10</v>
      </c>
      <c r="I16156" s="0" t="s">
        <v>53838</v>
      </c>
      <c r="J16156" s="0" t="s">
        <v>53839</v>
      </c>
      <c r="K16156" s="0" t="s">
        <v>53840</v>
      </c>
      <c r="L16156" s="0" t="str">
        <f aca="false">HYPERLINK("https://www.ncbi.nlm.nih.gov/nuccore/CP000304.1?report=graph&amp;tracks=[key:gene_model_track,Options:GeneOnly]&amp;mk=4557929:4557948|offset_10|00cc00,4557905:4557924|offset_34|444444,4557881:4557900|offset_58|444444,4557857:4557876|offset_82|444444&amp;v=4557728:4558076&amp;c=444444", "offset 10")</f>
        <v>offset 10</v>
      </c>
    </row>
    <row r="16157" customFormat="false" ht="12.8" hidden="false" customHeight="false" outlineLevel="0" collapsed="false">
      <c r="A16157" s="0" t="s">
        <v>12</v>
      </c>
      <c r="B16157" s="0" t="n">
        <v>4557904</v>
      </c>
      <c r="C16157" s="0" t="n">
        <v>4557924</v>
      </c>
      <c r="D16157" s="0" t="s">
        <v>53837</v>
      </c>
      <c r="E16157" s="0" t="s">
        <v>89</v>
      </c>
      <c r="F16157" s="0" t="s">
        <v>90</v>
      </c>
      <c r="G16157" s="0" t="s">
        <v>32</v>
      </c>
      <c r="H16157" s="0" t="n">
        <v>34</v>
      </c>
      <c r="I16157" s="0" t="s">
        <v>53841</v>
      </c>
      <c r="J16157" s="0" t="s">
        <v>53842</v>
      </c>
      <c r="K16157" s="0" t="s">
        <v>53843</v>
      </c>
      <c r="L16157" s="0" t="str">
        <f aca="false">HYPERLINK("https://www.ncbi.nlm.nih.gov/nuccore/CP000304.1?report=graph&amp;tracks=[key:gene_model_track,Options:GeneOnly]&amp;mk=4557929:4557948|offset_10|444444,4557905:4557924|offset_34|00cc00,4557881:4557900|offset_58|444444,4557857:4557876|offset_82|444444&amp;v=4557728:4558076&amp;c=444444", "offset 34")</f>
        <v>offset 34</v>
      </c>
    </row>
    <row r="16158" customFormat="false" ht="12.8" hidden="false" customHeight="false" outlineLevel="0" collapsed="false">
      <c r="A16158" s="0" t="s">
        <v>12</v>
      </c>
      <c r="B16158" s="0" t="n">
        <v>4557880</v>
      </c>
      <c r="C16158" s="0" t="n">
        <v>4557900</v>
      </c>
      <c r="D16158" s="0" t="s">
        <v>53837</v>
      </c>
      <c r="E16158" s="0" t="s">
        <v>89</v>
      </c>
      <c r="F16158" s="0" t="s">
        <v>90</v>
      </c>
      <c r="G16158" s="0" t="s">
        <v>16</v>
      </c>
      <c r="H16158" s="0" t="n">
        <v>58</v>
      </c>
      <c r="I16158" s="0" t="s">
        <v>53844</v>
      </c>
      <c r="J16158" s="0" t="s">
        <v>53845</v>
      </c>
      <c r="K16158" s="0" t="s">
        <v>53846</v>
      </c>
      <c r="L16158" s="0" t="str">
        <f aca="false">HYPERLINK("https://www.ncbi.nlm.nih.gov/nuccore/CP000304.1?report=graph&amp;tracks=[key:gene_model_track,Options:GeneOnly]&amp;mk=4557929:4557948|offset_10|444444,4557905:4557924|offset_34|444444,4557881:4557900|offset_58|00cc00,4557857:4557876|offset_82|444444&amp;v=4557728:4558076&amp;c=444444", "offset 58")</f>
        <v>offset 58</v>
      </c>
    </row>
    <row r="16159" customFormat="false" ht="12.8" hidden="false" customHeight="false" outlineLevel="0" collapsed="false">
      <c r="A16159" s="0" t="s">
        <v>12</v>
      </c>
      <c r="B16159" s="0" t="n">
        <v>4557856</v>
      </c>
      <c r="C16159" s="0" t="n">
        <v>4557876</v>
      </c>
      <c r="D16159" s="0" t="s">
        <v>53837</v>
      </c>
      <c r="E16159" s="0" t="s">
        <v>89</v>
      </c>
      <c r="F16159" s="0" t="s">
        <v>90</v>
      </c>
      <c r="G16159" s="0" t="s">
        <v>32</v>
      </c>
      <c r="H16159" s="0" t="n">
        <v>82</v>
      </c>
      <c r="I16159" s="0" t="s">
        <v>53847</v>
      </c>
      <c r="J16159" s="0" t="s">
        <v>53848</v>
      </c>
      <c r="K16159" s="0" t="s">
        <v>53849</v>
      </c>
      <c r="L16159" s="0" t="str">
        <f aca="false">HYPERLINK("https://www.ncbi.nlm.nih.gov/nuccore/CP000304.1?report=graph&amp;tracks=[key:gene_model_track,Options:GeneOnly]&amp;mk=4557929:4557948|offset_10|444444,4557905:4557924|offset_34|444444,4557881:4557900|offset_58|444444,4557857:4557876|offset_82|00cc00&amp;v=4557728:4558076&amp;c=444444", "offset 82")</f>
        <v>offset 82</v>
      </c>
    </row>
    <row r="16160" customFormat="false" ht="12.8" hidden="false" customHeight="false" outlineLevel="0" collapsed="false">
      <c r="A16160" s="0" t="s">
        <v>12</v>
      </c>
      <c r="B16160" s="0" t="n">
        <v>4558186</v>
      </c>
      <c r="C16160" s="0" t="n">
        <v>4558206</v>
      </c>
      <c r="D16160" s="0" t="s">
        <v>53850</v>
      </c>
      <c r="E16160" s="0" t="s">
        <v>89</v>
      </c>
      <c r="F16160" s="0" t="s">
        <v>90</v>
      </c>
      <c r="G16160" s="0" t="s">
        <v>32</v>
      </c>
      <c r="H16160" s="0" t="n">
        <v>36</v>
      </c>
      <c r="I16160" s="0" t="s">
        <v>53851</v>
      </c>
      <c r="J16160" s="0" t="s">
        <v>53852</v>
      </c>
      <c r="K16160" s="0" t="s">
        <v>53853</v>
      </c>
      <c r="L16160" s="0" t="str">
        <f aca="false">HYPERLINK("https://www.ncbi.nlm.nih.gov/nuccore/CP000304.1?report=graph&amp;tracks=[key:gene_model_track,Options:GeneOnly]&amp;mk=4558187:4558206|offset_36|00cc00,4558153:4558172|offset_70|444444,4558111:4558130|offset_112|444444,4558075:4558094|offset_148|444444&amp;v=4557986:4558294&amp;c=444444", "offset 36")</f>
        <v>offset 36</v>
      </c>
    </row>
    <row r="16161" customFormat="false" ht="12.8" hidden="false" customHeight="false" outlineLevel="0" collapsed="false">
      <c r="A16161" s="0" t="s">
        <v>12</v>
      </c>
      <c r="B16161" s="0" t="n">
        <v>4558152</v>
      </c>
      <c r="C16161" s="0" t="n">
        <v>4558172</v>
      </c>
      <c r="D16161" s="0" t="s">
        <v>53850</v>
      </c>
      <c r="E16161" s="0" t="s">
        <v>89</v>
      </c>
      <c r="F16161" s="0" t="s">
        <v>90</v>
      </c>
      <c r="G16161" s="0" t="s">
        <v>36</v>
      </c>
      <c r="H16161" s="0" t="n">
        <v>70</v>
      </c>
      <c r="I16161" s="0" t="s">
        <v>53854</v>
      </c>
      <c r="J16161" s="0" t="s">
        <v>53855</v>
      </c>
      <c r="K16161" s="0" t="s">
        <v>53856</v>
      </c>
      <c r="L16161" s="0" t="str">
        <f aca="false">HYPERLINK("https://www.ncbi.nlm.nih.gov/nuccore/CP000304.1?report=graph&amp;tracks=[key:gene_model_track,Options:GeneOnly]&amp;mk=4558187:4558206|offset_36|444444,4558153:4558172|offset_70|00cc00,4558111:4558130|offset_112|444444,4558075:4558094|offset_148|444444&amp;v=4557986:4558294&amp;c=444444", "offset 70")</f>
        <v>offset 70</v>
      </c>
    </row>
    <row r="16162" customFormat="false" ht="12.8" hidden="false" customHeight="false" outlineLevel="0" collapsed="false">
      <c r="A16162" s="0" t="s">
        <v>12</v>
      </c>
      <c r="B16162" s="0" t="n">
        <v>4558110</v>
      </c>
      <c r="C16162" s="0" t="n">
        <v>4558130</v>
      </c>
      <c r="D16162" s="0" t="s">
        <v>53850</v>
      </c>
      <c r="E16162" s="0" t="s">
        <v>89</v>
      </c>
      <c r="F16162" s="0" t="s">
        <v>90</v>
      </c>
      <c r="G16162" s="0" t="s">
        <v>16</v>
      </c>
      <c r="H16162" s="0" t="n">
        <v>112</v>
      </c>
      <c r="I16162" s="0" t="s">
        <v>53857</v>
      </c>
      <c r="J16162" s="0" t="s">
        <v>53858</v>
      </c>
      <c r="K16162" s="0" t="s">
        <v>53859</v>
      </c>
      <c r="L16162" s="0" t="str">
        <f aca="false">HYPERLINK("https://www.ncbi.nlm.nih.gov/nuccore/CP000304.1?report=graph&amp;tracks=[key:gene_model_track,Options:GeneOnly]&amp;mk=4558187:4558206|offset_36|444444,4558153:4558172|offset_70|444444,4558111:4558130|offset_112|00cc00,4558075:4558094|offset_148|444444&amp;v=4557986:4558294&amp;c=444444", "offset 112")</f>
        <v>offset 112</v>
      </c>
    </row>
    <row r="16163" customFormat="false" ht="12.8" hidden="false" customHeight="false" outlineLevel="0" collapsed="false">
      <c r="A16163" s="0" t="s">
        <v>12</v>
      </c>
      <c r="B16163" s="0" t="n">
        <v>4558074</v>
      </c>
      <c r="C16163" s="0" t="n">
        <v>4558094</v>
      </c>
      <c r="D16163" s="0" t="s">
        <v>53850</v>
      </c>
      <c r="E16163" s="0" t="s">
        <v>89</v>
      </c>
      <c r="F16163" s="0" t="s">
        <v>90</v>
      </c>
      <c r="G16163" s="0" t="s">
        <v>32</v>
      </c>
      <c r="H16163" s="0" t="n">
        <v>148</v>
      </c>
      <c r="I16163" s="0" t="s">
        <v>53860</v>
      </c>
      <c r="J16163" s="0" t="s">
        <v>53861</v>
      </c>
      <c r="K16163" s="0" t="s">
        <v>53862</v>
      </c>
      <c r="L16163" s="0" t="str">
        <f aca="false">HYPERLINK("https://www.ncbi.nlm.nih.gov/nuccore/CP000304.1?report=graph&amp;tracks=[key:gene_model_track,Options:GeneOnly]&amp;mk=4558187:4558206|offset_36|444444,4558153:4558172|offset_70|444444,4558111:4558130|offset_112|444444,4558075:4558094|offset_148|00cc00&amp;v=4557986:4558294&amp;c=444444", "offset 148")</f>
        <v>offset 148</v>
      </c>
    </row>
    <row r="16164" customFormat="false" ht="12.8" hidden="false" customHeight="false" outlineLevel="0" collapsed="false">
      <c r="A16164" s="0" t="s">
        <v>12</v>
      </c>
      <c r="B16164" s="0" t="n">
        <v>4558559</v>
      </c>
      <c r="C16164" s="0" t="n">
        <v>4558579</v>
      </c>
      <c r="D16164" s="0" t="s">
        <v>53863</v>
      </c>
      <c r="E16164" s="0" t="s">
        <v>89</v>
      </c>
      <c r="F16164" s="0" t="s">
        <v>90</v>
      </c>
      <c r="G16164" s="0" t="s">
        <v>16</v>
      </c>
      <c r="H16164" s="0" t="n">
        <v>10</v>
      </c>
      <c r="I16164" s="0" t="s">
        <v>53864</v>
      </c>
      <c r="J16164" s="0" t="s">
        <v>53865</v>
      </c>
      <c r="K16164" s="0" t="s">
        <v>53866</v>
      </c>
      <c r="L16164" s="0" t="str">
        <f aca="false">HYPERLINK("https://www.ncbi.nlm.nih.gov/nuccore/CP000304.1?report=graph&amp;tracks=[key:gene_model_track,Options:GeneOnly]&amp;mk=4558560:4558579|offset_10|00cc00,4558491:4558510|offset_79|444444,4558467:4558486|offset_103|444444,4558428:4558447|offset_142|444444&amp;v=4558359:4558647&amp;c=444444", "offset 10")</f>
        <v>offset 10</v>
      </c>
    </row>
    <row r="16165" customFormat="false" ht="12.8" hidden="false" customHeight="false" outlineLevel="0" collapsed="false">
      <c r="A16165" s="0" t="s">
        <v>12</v>
      </c>
      <c r="B16165" s="0" t="n">
        <v>4558490</v>
      </c>
      <c r="C16165" s="0" t="n">
        <v>4558510</v>
      </c>
      <c r="D16165" s="0" t="s">
        <v>53863</v>
      </c>
      <c r="E16165" s="0" t="s">
        <v>89</v>
      </c>
      <c r="F16165" s="0" t="s">
        <v>90</v>
      </c>
      <c r="G16165" s="0" t="s">
        <v>26</v>
      </c>
      <c r="H16165" s="0" t="n">
        <v>79</v>
      </c>
      <c r="I16165" s="0" t="s">
        <v>53867</v>
      </c>
      <c r="J16165" s="0" t="s">
        <v>53868</v>
      </c>
      <c r="K16165" s="0" t="s">
        <v>53869</v>
      </c>
      <c r="L16165" s="0" t="str">
        <f aca="false">HYPERLINK("https://www.ncbi.nlm.nih.gov/nuccore/CP000304.1?report=graph&amp;tracks=[key:gene_model_track,Options:GeneOnly]&amp;mk=4558560:4558579|offset_10|444444,4558491:4558510|offset_79|00cc00,4558467:4558486|offset_103|444444,4558428:4558447|offset_142|444444&amp;v=4558359:4558647&amp;c=444444", "offset 79")</f>
        <v>offset 79</v>
      </c>
    </row>
    <row r="16166" customFormat="false" ht="12.8" hidden="false" customHeight="false" outlineLevel="0" collapsed="false">
      <c r="A16166" s="0" t="s">
        <v>12</v>
      </c>
      <c r="B16166" s="0" t="n">
        <v>4558466</v>
      </c>
      <c r="C16166" s="0" t="n">
        <v>4558486</v>
      </c>
      <c r="D16166" s="0" t="s">
        <v>53863</v>
      </c>
      <c r="E16166" s="0" t="s">
        <v>89</v>
      </c>
      <c r="F16166" s="0" t="s">
        <v>90</v>
      </c>
      <c r="G16166" s="0" t="s">
        <v>26</v>
      </c>
      <c r="H16166" s="0" t="n">
        <v>103</v>
      </c>
      <c r="I16166" s="0" t="s">
        <v>53870</v>
      </c>
      <c r="J16166" s="0" t="s">
        <v>53871</v>
      </c>
      <c r="K16166" s="0" t="s">
        <v>53872</v>
      </c>
      <c r="L16166" s="0" t="str">
        <f aca="false">HYPERLINK("https://www.ncbi.nlm.nih.gov/nuccore/CP000304.1?report=graph&amp;tracks=[key:gene_model_track,Options:GeneOnly]&amp;mk=4558560:4558579|offset_10|444444,4558491:4558510|offset_79|444444,4558467:4558486|offset_103|00cc00,4558428:4558447|offset_142|444444&amp;v=4558359:4558647&amp;c=444444", "offset 103")</f>
        <v>offset 103</v>
      </c>
    </row>
    <row r="16167" customFormat="false" ht="12.8" hidden="false" customHeight="false" outlineLevel="0" collapsed="false">
      <c r="A16167" s="0" t="s">
        <v>12</v>
      </c>
      <c r="B16167" s="0" t="n">
        <v>4558427</v>
      </c>
      <c r="C16167" s="0" t="n">
        <v>4558447</v>
      </c>
      <c r="D16167" s="0" t="s">
        <v>53863</v>
      </c>
      <c r="E16167" s="0" t="s">
        <v>89</v>
      </c>
      <c r="F16167" s="0" t="s">
        <v>90</v>
      </c>
      <c r="G16167" s="0" t="s">
        <v>16</v>
      </c>
      <c r="H16167" s="0" t="n">
        <v>142</v>
      </c>
      <c r="I16167" s="0" t="s">
        <v>53873</v>
      </c>
      <c r="J16167" s="0" t="s">
        <v>53874</v>
      </c>
      <c r="K16167" s="0" t="s">
        <v>53875</v>
      </c>
      <c r="L16167" s="0" t="str">
        <f aca="false">HYPERLINK("https://www.ncbi.nlm.nih.gov/nuccore/CP000304.1?report=graph&amp;tracks=[key:gene_model_track,Options:GeneOnly]&amp;mk=4558560:4558579|offset_10|444444,4558491:4558510|offset_79|444444,4558467:4558486|offset_103|444444,4558428:4558447|offset_142|00cc00&amp;v=4558359:4558647&amp;c=444444", "offset 142")</f>
        <v>offset 142</v>
      </c>
    </row>
    <row r="16168" customFormat="false" ht="12.8" hidden="false" customHeight="false" outlineLevel="0" collapsed="false">
      <c r="A16168" s="0" t="s">
        <v>12</v>
      </c>
      <c r="B16168" s="0" t="n">
        <v>4560056</v>
      </c>
      <c r="C16168" s="0" t="n">
        <v>4560076</v>
      </c>
      <c r="D16168" s="0" t="s">
        <v>53876</v>
      </c>
      <c r="E16168" s="0" t="s">
        <v>89</v>
      </c>
      <c r="F16168" s="0" t="s">
        <v>90</v>
      </c>
      <c r="G16168" s="0" t="s">
        <v>32</v>
      </c>
      <c r="H16168" s="0" t="n">
        <v>30</v>
      </c>
      <c r="I16168" s="0" t="s">
        <v>53877</v>
      </c>
      <c r="J16168" s="0" t="s">
        <v>53878</v>
      </c>
      <c r="K16168" s="0" t="s">
        <v>53879</v>
      </c>
      <c r="L16168" s="0" t="str">
        <f aca="false">HYPERLINK("https://www.ncbi.nlm.nih.gov/nuccore/CP000304.1?report=graph&amp;tracks=[key:gene_model_track,Options:GeneOnly]&amp;mk=4560057:4560076|offset_30|00cc00,4560036:4560055|offset_51|444444,4560011:4560030|offset_76|444444,4559987:4560006|offset_100|444444&amp;v=4559856:4560206&amp;c=444444", "offset 30")</f>
        <v>offset 30</v>
      </c>
    </row>
    <row r="16169" customFormat="false" ht="12.8" hidden="false" customHeight="false" outlineLevel="0" collapsed="false">
      <c r="A16169" s="0" t="s">
        <v>12</v>
      </c>
      <c r="B16169" s="0" t="n">
        <v>4560035</v>
      </c>
      <c r="C16169" s="0" t="n">
        <v>4560055</v>
      </c>
      <c r="D16169" s="0" t="s">
        <v>53876</v>
      </c>
      <c r="E16169" s="0" t="s">
        <v>89</v>
      </c>
      <c r="F16169" s="0" t="s">
        <v>90</v>
      </c>
      <c r="G16169" s="0" t="s">
        <v>16</v>
      </c>
      <c r="H16169" s="0" t="n">
        <v>51</v>
      </c>
      <c r="I16169" s="0" t="s">
        <v>53880</v>
      </c>
      <c r="J16169" s="0" t="s">
        <v>53881</v>
      </c>
      <c r="K16169" s="0" t="s">
        <v>53882</v>
      </c>
      <c r="L16169" s="0" t="str">
        <f aca="false">HYPERLINK("https://www.ncbi.nlm.nih.gov/nuccore/CP000304.1?report=graph&amp;tracks=[key:gene_model_track,Options:GeneOnly]&amp;mk=4560057:4560076|offset_30|444444,4560036:4560055|offset_51|00cc00,4560011:4560030|offset_76|444444,4559987:4560006|offset_100|444444&amp;v=4559856:4560206&amp;c=444444", "offset 51")</f>
        <v>offset 51</v>
      </c>
    </row>
    <row r="16170" customFormat="false" ht="12.8" hidden="false" customHeight="false" outlineLevel="0" collapsed="false">
      <c r="A16170" s="0" t="s">
        <v>12</v>
      </c>
      <c r="B16170" s="0" t="n">
        <v>4560010</v>
      </c>
      <c r="C16170" s="0" t="n">
        <v>4560030</v>
      </c>
      <c r="D16170" s="0" t="s">
        <v>53876</v>
      </c>
      <c r="E16170" s="0" t="s">
        <v>89</v>
      </c>
      <c r="F16170" s="0" t="s">
        <v>90</v>
      </c>
      <c r="G16170" s="0" t="s">
        <v>26</v>
      </c>
      <c r="H16170" s="0" t="n">
        <v>76</v>
      </c>
      <c r="I16170" s="0" t="s">
        <v>53883</v>
      </c>
      <c r="J16170" s="0" t="s">
        <v>53884</v>
      </c>
      <c r="K16170" s="0" t="s">
        <v>53885</v>
      </c>
      <c r="L16170" s="0" t="str">
        <f aca="false">HYPERLINK("https://www.ncbi.nlm.nih.gov/nuccore/CP000304.1?report=graph&amp;tracks=[key:gene_model_track,Options:GeneOnly]&amp;mk=4560057:4560076|offset_30|444444,4560036:4560055|offset_51|444444,4560011:4560030|offset_76|00cc00,4559987:4560006|offset_100|444444&amp;v=4559856:4560206&amp;c=444444", "offset 76")</f>
        <v>offset 76</v>
      </c>
    </row>
    <row r="16171" customFormat="false" ht="12.8" hidden="false" customHeight="false" outlineLevel="0" collapsed="false">
      <c r="A16171" s="0" t="s">
        <v>12</v>
      </c>
      <c r="B16171" s="0" t="n">
        <v>4559986</v>
      </c>
      <c r="C16171" s="0" t="n">
        <v>4560006</v>
      </c>
      <c r="D16171" s="0" t="s">
        <v>53876</v>
      </c>
      <c r="E16171" s="0" t="s">
        <v>89</v>
      </c>
      <c r="F16171" s="0" t="s">
        <v>90</v>
      </c>
      <c r="G16171" s="0" t="s">
        <v>36</v>
      </c>
      <c r="H16171" s="0" t="n">
        <v>100</v>
      </c>
      <c r="I16171" s="0" t="s">
        <v>53886</v>
      </c>
      <c r="J16171" s="0" t="s">
        <v>53887</v>
      </c>
      <c r="K16171" s="0" t="s">
        <v>53888</v>
      </c>
      <c r="L16171" s="0" t="str">
        <f aca="false">HYPERLINK("https://www.ncbi.nlm.nih.gov/nuccore/CP000304.1?report=graph&amp;tracks=[key:gene_model_track,Options:GeneOnly]&amp;mk=4560057:4560076|offset_30|444444,4560036:4560055|offset_51|444444,4560011:4560030|offset_76|444444,4559987:4560006|offset_100|00cc00&amp;v=4559856:4560206&amp;c=444444", "offset 100")</f>
        <v>offset 100</v>
      </c>
    </row>
    <row r="16172" customFormat="false" ht="12.8" hidden="false" customHeight="false" outlineLevel="0" collapsed="false">
      <c r="A16172" s="0" t="s">
        <v>12</v>
      </c>
      <c r="B16172" s="0" t="n">
        <v>4560458</v>
      </c>
      <c r="C16172" s="0" t="n">
        <v>4560478</v>
      </c>
      <c r="D16172" s="0" t="s">
        <v>53889</v>
      </c>
      <c r="E16172" s="0" t="s">
        <v>89</v>
      </c>
      <c r="F16172" s="0" t="s">
        <v>90</v>
      </c>
      <c r="G16172" s="0" t="s">
        <v>26</v>
      </c>
      <c r="H16172" s="0" t="n">
        <v>8</v>
      </c>
      <c r="I16172" s="0" t="s">
        <v>53890</v>
      </c>
      <c r="J16172" s="0" t="s">
        <v>53891</v>
      </c>
      <c r="K16172" s="0" t="s">
        <v>53892</v>
      </c>
      <c r="L16172" s="0" t="str">
        <f aca="false">HYPERLINK("https://www.ncbi.nlm.nih.gov/nuccore/CP000304.1?report=graph&amp;tracks=[key:gene_model_track,Options:GeneOnly]&amp;mk=4560459:4560478|offset_8|00cc00,4560427:4560446|offset_40|444444,4560405:4560424|offset_62|444444,4560367:4560386|offset_100|444444&amp;v=4560258:4560586&amp;c=444444", "offset 8")</f>
        <v>offset 8</v>
      </c>
    </row>
    <row r="16173" customFormat="false" ht="12.8" hidden="false" customHeight="false" outlineLevel="0" collapsed="false">
      <c r="A16173" s="0" t="s">
        <v>12</v>
      </c>
      <c r="B16173" s="0" t="n">
        <v>4560426</v>
      </c>
      <c r="C16173" s="0" t="n">
        <v>4560446</v>
      </c>
      <c r="D16173" s="0" t="s">
        <v>53889</v>
      </c>
      <c r="E16173" s="0" t="s">
        <v>89</v>
      </c>
      <c r="F16173" s="0" t="s">
        <v>90</v>
      </c>
      <c r="G16173" s="0" t="s">
        <v>16</v>
      </c>
      <c r="H16173" s="0" t="n">
        <v>40</v>
      </c>
      <c r="I16173" s="0" t="s">
        <v>53893</v>
      </c>
      <c r="J16173" s="0" t="s">
        <v>53894</v>
      </c>
      <c r="K16173" s="0" t="s">
        <v>53895</v>
      </c>
      <c r="L16173" s="0" t="str">
        <f aca="false">HYPERLINK("https://www.ncbi.nlm.nih.gov/nuccore/CP000304.1?report=graph&amp;tracks=[key:gene_model_track,Options:GeneOnly]&amp;mk=4560459:4560478|offset_8|444444,4560427:4560446|offset_40|00cc00,4560405:4560424|offset_62|444444,4560367:4560386|offset_100|444444&amp;v=4560258:4560586&amp;c=444444", "offset 40")</f>
        <v>offset 40</v>
      </c>
    </row>
    <row r="16174" customFormat="false" ht="12.8" hidden="false" customHeight="false" outlineLevel="0" collapsed="false">
      <c r="A16174" s="0" t="s">
        <v>12</v>
      </c>
      <c r="B16174" s="0" t="n">
        <v>4560404</v>
      </c>
      <c r="C16174" s="0" t="n">
        <v>4560424</v>
      </c>
      <c r="D16174" s="0" t="s">
        <v>53889</v>
      </c>
      <c r="E16174" s="0" t="s">
        <v>89</v>
      </c>
      <c r="F16174" s="0" t="s">
        <v>90</v>
      </c>
      <c r="G16174" s="0" t="s">
        <v>26</v>
      </c>
      <c r="H16174" s="0" t="n">
        <v>62</v>
      </c>
      <c r="I16174" s="0" t="s">
        <v>53896</v>
      </c>
      <c r="J16174" s="0" t="s">
        <v>53897</v>
      </c>
      <c r="K16174" s="0" t="s">
        <v>53898</v>
      </c>
      <c r="L16174" s="0" t="str">
        <f aca="false">HYPERLINK("https://www.ncbi.nlm.nih.gov/nuccore/CP000304.1?report=graph&amp;tracks=[key:gene_model_track,Options:GeneOnly]&amp;mk=4560459:4560478|offset_8|444444,4560427:4560446|offset_40|444444,4560405:4560424|offset_62|00cc00,4560367:4560386|offset_100|444444&amp;v=4560258:4560586&amp;c=444444", "offset 62")</f>
        <v>offset 62</v>
      </c>
    </row>
    <row r="16175" customFormat="false" ht="12.8" hidden="false" customHeight="false" outlineLevel="0" collapsed="false">
      <c r="A16175" s="0" t="s">
        <v>12</v>
      </c>
      <c r="B16175" s="0" t="n">
        <v>4560366</v>
      </c>
      <c r="C16175" s="0" t="n">
        <v>4560386</v>
      </c>
      <c r="D16175" s="0" t="s">
        <v>53889</v>
      </c>
      <c r="E16175" s="0" t="s">
        <v>89</v>
      </c>
      <c r="F16175" s="0" t="s">
        <v>90</v>
      </c>
      <c r="G16175" s="0" t="s">
        <v>32</v>
      </c>
      <c r="H16175" s="0" t="n">
        <v>100</v>
      </c>
      <c r="I16175" s="0" t="s">
        <v>53899</v>
      </c>
      <c r="J16175" s="0" t="s">
        <v>53900</v>
      </c>
      <c r="K16175" s="0" t="s">
        <v>53901</v>
      </c>
      <c r="L16175" s="0" t="str">
        <f aca="false">HYPERLINK("https://www.ncbi.nlm.nih.gov/nuccore/CP000304.1?report=graph&amp;tracks=[key:gene_model_track,Options:GeneOnly]&amp;mk=4560459:4560478|offset_8|444444,4560427:4560446|offset_40|444444,4560405:4560424|offset_62|444444,4560367:4560386|offset_100|00cc00&amp;v=4560258:4560586&amp;c=444444", "offset 100")</f>
        <v>offset 100</v>
      </c>
    </row>
    <row r="16176" customFormat="false" ht="12.8" hidden="false" customHeight="false" outlineLevel="0" collapsed="false">
      <c r="A16176" s="0" t="s">
        <v>12</v>
      </c>
      <c r="B16176" s="0" t="n">
        <v>4560847</v>
      </c>
      <c r="C16176" s="0" t="n">
        <v>4560867</v>
      </c>
      <c r="D16176" s="0" t="s">
        <v>53902</v>
      </c>
      <c r="E16176" s="0" t="s">
        <v>89</v>
      </c>
      <c r="F16176" s="0" t="s">
        <v>90</v>
      </c>
      <c r="G16176" s="0" t="s">
        <v>16</v>
      </c>
      <c r="H16176" s="0" t="n">
        <v>22</v>
      </c>
      <c r="I16176" s="0" t="s">
        <v>53903</v>
      </c>
      <c r="J16176" s="0" t="s">
        <v>53904</v>
      </c>
      <c r="K16176" s="0" t="s">
        <v>53905</v>
      </c>
      <c r="L16176" s="0" t="str">
        <f aca="false">HYPERLINK("https://www.ncbi.nlm.nih.gov/nuccore/CP000304.1?report=graph&amp;tracks=[key:gene_model_track,Options:GeneOnly]&amp;mk=4560848:4560867|offset_22|00cc00,4560790:4560809|offset_80|444444,4560743:4560762|offset_127|444444,4560713:4560732|offset_157|444444&amp;v=4560647:4560932&amp;c=444444", "offset 22")</f>
        <v>offset 22</v>
      </c>
    </row>
    <row r="16177" customFormat="false" ht="12.8" hidden="false" customHeight="false" outlineLevel="0" collapsed="false">
      <c r="A16177" s="0" t="s">
        <v>12</v>
      </c>
      <c r="B16177" s="0" t="n">
        <v>4560789</v>
      </c>
      <c r="C16177" s="0" t="n">
        <v>4560809</v>
      </c>
      <c r="D16177" s="0" t="s">
        <v>53902</v>
      </c>
      <c r="E16177" s="0" t="s">
        <v>89</v>
      </c>
      <c r="F16177" s="0" t="s">
        <v>90</v>
      </c>
      <c r="G16177" s="0" t="s">
        <v>16</v>
      </c>
      <c r="H16177" s="0" t="n">
        <v>80</v>
      </c>
      <c r="I16177" s="0" t="s">
        <v>53906</v>
      </c>
      <c r="J16177" s="0" t="s">
        <v>53907</v>
      </c>
      <c r="K16177" s="0" t="s">
        <v>53908</v>
      </c>
      <c r="L16177" s="0" t="str">
        <f aca="false">HYPERLINK("https://www.ncbi.nlm.nih.gov/nuccore/CP000304.1?report=graph&amp;tracks=[key:gene_model_track,Options:GeneOnly]&amp;mk=4560848:4560867|offset_22|444444,4560790:4560809|offset_80|00cc00,4560743:4560762|offset_127|444444,4560713:4560732|offset_157|444444&amp;v=4560647:4560932&amp;c=444444", "offset 80")</f>
        <v>offset 80</v>
      </c>
    </row>
    <row r="16178" customFormat="false" ht="12.8" hidden="false" customHeight="false" outlineLevel="0" collapsed="false">
      <c r="A16178" s="0" t="s">
        <v>12</v>
      </c>
      <c r="B16178" s="0" t="n">
        <v>4560742</v>
      </c>
      <c r="C16178" s="0" t="n">
        <v>4560762</v>
      </c>
      <c r="D16178" s="0" t="s">
        <v>53902</v>
      </c>
      <c r="E16178" s="0" t="s">
        <v>89</v>
      </c>
      <c r="F16178" s="0" t="s">
        <v>90</v>
      </c>
      <c r="G16178" s="0" t="s">
        <v>16</v>
      </c>
      <c r="H16178" s="0" t="n">
        <v>127</v>
      </c>
      <c r="I16178" s="0" t="s">
        <v>53909</v>
      </c>
      <c r="J16178" s="0" t="s">
        <v>53910</v>
      </c>
      <c r="K16178" s="0" t="s">
        <v>53911</v>
      </c>
      <c r="L16178" s="0" t="str">
        <f aca="false">HYPERLINK("https://www.ncbi.nlm.nih.gov/nuccore/CP000304.1?report=graph&amp;tracks=[key:gene_model_track,Options:GeneOnly]&amp;mk=4560848:4560867|offset_22|444444,4560790:4560809|offset_80|444444,4560743:4560762|offset_127|00cc00,4560713:4560732|offset_157|444444&amp;v=4560647:4560932&amp;c=444444", "offset 127")</f>
        <v>offset 127</v>
      </c>
    </row>
    <row r="16179" customFormat="false" ht="12.8" hidden="false" customHeight="false" outlineLevel="0" collapsed="false">
      <c r="A16179" s="0" t="s">
        <v>12</v>
      </c>
      <c r="B16179" s="0" t="n">
        <v>4560712</v>
      </c>
      <c r="C16179" s="0" t="n">
        <v>4560732</v>
      </c>
      <c r="D16179" s="0" t="s">
        <v>53902</v>
      </c>
      <c r="E16179" s="0" t="s">
        <v>89</v>
      </c>
      <c r="F16179" s="0" t="s">
        <v>90</v>
      </c>
      <c r="G16179" s="0" t="s">
        <v>36</v>
      </c>
      <c r="H16179" s="0" t="n">
        <v>157</v>
      </c>
      <c r="I16179" s="0" t="s">
        <v>53912</v>
      </c>
      <c r="J16179" s="0" t="s">
        <v>53913</v>
      </c>
      <c r="K16179" s="0" t="s">
        <v>53914</v>
      </c>
      <c r="L16179" s="0" t="str">
        <f aca="false">HYPERLINK("https://www.ncbi.nlm.nih.gov/nuccore/CP000304.1?report=graph&amp;tracks=[key:gene_model_track,Options:GeneOnly]&amp;mk=4560848:4560867|offset_22|444444,4560790:4560809|offset_80|444444,4560743:4560762|offset_127|444444,4560713:4560732|offset_157|00cc00&amp;v=4560647:4560932&amp;c=444444", "offset 157")</f>
        <v>offset 157</v>
      </c>
    </row>
    <row r="16180" customFormat="false" ht="12.8" hidden="false" customHeight="false" outlineLevel="0" collapsed="false">
      <c r="A16180" s="0" t="s">
        <v>12</v>
      </c>
      <c r="B16180" s="0" t="n">
        <v>4563174</v>
      </c>
      <c r="C16180" s="0" t="n">
        <v>4563194</v>
      </c>
      <c r="D16180" s="0" t="s">
        <v>53915</v>
      </c>
      <c r="E16180" s="0" t="s">
        <v>89</v>
      </c>
      <c r="F16180" s="0" t="s">
        <v>90</v>
      </c>
      <c r="G16180" s="0" t="s">
        <v>16</v>
      </c>
      <c r="H16180" s="0" t="n">
        <v>1</v>
      </c>
      <c r="I16180" s="0" t="s">
        <v>53916</v>
      </c>
      <c r="J16180" s="0" t="s">
        <v>53917</v>
      </c>
      <c r="K16180" s="0" t="s">
        <v>53918</v>
      </c>
      <c r="L16180" s="0" t="str">
        <f aca="false">HYPERLINK("https://www.ncbi.nlm.nih.gov/nuccore/CP000304.1?report=graph&amp;tracks=[key:gene_model_track,Options:GeneOnly]&amp;mk=4563175:4563194|offset_1|00cc00,4563147:4563166|offset_29|444444,4563114:4563133|offset_62|444444,4563074:4563093|offset_102|444444&amp;v=4562974:4563293&amp;c=444444", "offset 1")</f>
        <v>offset 1</v>
      </c>
    </row>
    <row r="16181" customFormat="false" ht="12.8" hidden="false" customHeight="false" outlineLevel="0" collapsed="false">
      <c r="A16181" s="0" t="s">
        <v>12</v>
      </c>
      <c r="B16181" s="0" t="n">
        <v>4563146</v>
      </c>
      <c r="C16181" s="0" t="n">
        <v>4563166</v>
      </c>
      <c r="D16181" s="0" t="s">
        <v>53915</v>
      </c>
      <c r="E16181" s="0" t="s">
        <v>89</v>
      </c>
      <c r="F16181" s="0" t="s">
        <v>90</v>
      </c>
      <c r="G16181" s="0" t="s">
        <v>26</v>
      </c>
      <c r="H16181" s="0" t="n">
        <v>29</v>
      </c>
      <c r="I16181" s="0" t="s">
        <v>53919</v>
      </c>
      <c r="J16181" s="0" t="s">
        <v>53920</v>
      </c>
      <c r="K16181" s="0" t="s">
        <v>53921</v>
      </c>
      <c r="L16181" s="0" t="str">
        <f aca="false">HYPERLINK("https://www.ncbi.nlm.nih.gov/nuccore/CP000304.1?report=graph&amp;tracks=[key:gene_model_track,Options:GeneOnly]&amp;mk=4563175:4563194|offset_1|444444,4563147:4563166|offset_29|00cc00,4563114:4563133|offset_62|444444,4563074:4563093|offset_102|444444&amp;v=4562974:4563293&amp;c=444444", "offset 29")</f>
        <v>offset 29</v>
      </c>
    </row>
    <row r="16182" customFormat="false" ht="12.8" hidden="false" customHeight="false" outlineLevel="0" collapsed="false">
      <c r="A16182" s="0" t="s">
        <v>12</v>
      </c>
      <c r="B16182" s="0" t="n">
        <v>4563113</v>
      </c>
      <c r="C16182" s="0" t="n">
        <v>4563133</v>
      </c>
      <c r="D16182" s="0" t="s">
        <v>53915</v>
      </c>
      <c r="E16182" s="0" t="s">
        <v>89</v>
      </c>
      <c r="F16182" s="0" t="s">
        <v>90</v>
      </c>
      <c r="G16182" s="0" t="s">
        <v>16</v>
      </c>
      <c r="H16182" s="0" t="n">
        <v>62</v>
      </c>
      <c r="I16182" s="0" t="s">
        <v>53922</v>
      </c>
      <c r="J16182" s="0" t="s">
        <v>53923</v>
      </c>
      <c r="K16182" s="0" t="s">
        <v>53924</v>
      </c>
      <c r="L16182" s="0" t="str">
        <f aca="false">HYPERLINK("https://www.ncbi.nlm.nih.gov/nuccore/CP000304.1?report=graph&amp;tracks=[key:gene_model_track,Options:GeneOnly]&amp;mk=4563175:4563194|offset_1|444444,4563147:4563166|offset_29|444444,4563114:4563133|offset_62|00cc00,4563074:4563093|offset_102|444444&amp;v=4562974:4563293&amp;c=444444", "offset 62")</f>
        <v>offset 62</v>
      </c>
    </row>
    <row r="16183" customFormat="false" ht="12.8" hidden="false" customHeight="false" outlineLevel="0" collapsed="false">
      <c r="A16183" s="0" t="s">
        <v>12</v>
      </c>
      <c r="B16183" s="0" t="n">
        <v>4563073</v>
      </c>
      <c r="C16183" s="0" t="n">
        <v>4563093</v>
      </c>
      <c r="D16183" s="0" t="s">
        <v>53915</v>
      </c>
      <c r="E16183" s="0" t="s">
        <v>89</v>
      </c>
      <c r="F16183" s="0" t="s">
        <v>90</v>
      </c>
      <c r="G16183" s="0" t="s">
        <v>16</v>
      </c>
      <c r="H16183" s="0" t="n">
        <v>102</v>
      </c>
      <c r="I16183" s="0" t="s">
        <v>53925</v>
      </c>
      <c r="J16183" s="0" t="s">
        <v>53926</v>
      </c>
      <c r="K16183" s="0" t="s">
        <v>53927</v>
      </c>
      <c r="L16183" s="0" t="str">
        <f aca="false">HYPERLINK("https://www.ncbi.nlm.nih.gov/nuccore/CP000304.1?report=graph&amp;tracks=[key:gene_model_track,Options:GeneOnly]&amp;mk=4563175:4563194|offset_1|444444,4563147:4563166|offset_29|444444,4563114:4563133|offset_62|444444,4563074:4563093|offset_102|00cc00&amp;v=4562974:4563293&amp;c=444444", "offset 102")</f>
        <v>offset 102</v>
      </c>
    </row>
    <row r="16184" customFormat="false" ht="12.8" hidden="false" customHeight="false" outlineLevel="0" collapsed="false">
      <c r="A16184" s="0" t="s">
        <v>12</v>
      </c>
      <c r="B16184" s="0" t="n">
        <v>4564819</v>
      </c>
      <c r="C16184" s="0" t="n">
        <v>4564839</v>
      </c>
      <c r="D16184" s="0" t="s">
        <v>53928</v>
      </c>
      <c r="E16184" s="0" t="s">
        <v>53929</v>
      </c>
      <c r="F16184" s="0" t="s">
        <v>90</v>
      </c>
      <c r="G16184" s="0" t="s">
        <v>36</v>
      </c>
      <c r="H16184" s="0" t="n">
        <v>8</v>
      </c>
      <c r="I16184" s="0" t="s">
        <v>53930</v>
      </c>
      <c r="J16184" s="0" t="s">
        <v>53931</v>
      </c>
      <c r="K16184" s="0" t="s">
        <v>53932</v>
      </c>
      <c r="L16184" s="0" t="str">
        <f aca="false">HYPERLINK("https://www.ncbi.nlm.nih.gov/nuccore/CP000304.1?report=graph&amp;tracks=[key:gene_model_track,Options:GeneOnly]&amp;mk=4564820:4564839|offset_8|00cc00,4564800:4564819|offset_28|444444,4564778:4564797|offset_50|444444,4564757:4564776|offset_71|444444&amp;v=4564619:4564976&amp;c=444444", "offset 8")</f>
        <v>offset 8</v>
      </c>
    </row>
    <row r="16185" customFormat="false" ht="12.8" hidden="false" customHeight="false" outlineLevel="0" collapsed="false">
      <c r="A16185" s="0" t="s">
        <v>12</v>
      </c>
      <c r="B16185" s="0" t="n">
        <v>4564799</v>
      </c>
      <c r="C16185" s="0" t="n">
        <v>4564819</v>
      </c>
      <c r="D16185" s="0" t="s">
        <v>53928</v>
      </c>
      <c r="E16185" s="0" t="s">
        <v>53929</v>
      </c>
      <c r="F16185" s="0" t="s">
        <v>90</v>
      </c>
      <c r="G16185" s="0" t="s">
        <v>16</v>
      </c>
      <c r="H16185" s="0" t="n">
        <v>28</v>
      </c>
      <c r="I16185" s="0" t="s">
        <v>53933</v>
      </c>
      <c r="J16185" s="0" t="s">
        <v>53934</v>
      </c>
      <c r="K16185" s="0" t="s">
        <v>53935</v>
      </c>
      <c r="L16185" s="0" t="str">
        <f aca="false">HYPERLINK("https://www.ncbi.nlm.nih.gov/nuccore/CP000304.1?report=graph&amp;tracks=[key:gene_model_track,Options:GeneOnly]&amp;mk=4564820:4564839|offset_8|444444,4564800:4564819|offset_28|00cc00,4564778:4564797|offset_50|444444,4564757:4564776|offset_71|444444&amp;v=4564619:4564976&amp;c=444444", "offset 28")</f>
        <v>offset 28</v>
      </c>
    </row>
    <row r="16186" customFormat="false" ht="12.8" hidden="false" customHeight="false" outlineLevel="0" collapsed="false">
      <c r="A16186" s="0" t="s">
        <v>12</v>
      </c>
      <c r="B16186" s="0" t="n">
        <v>4564777</v>
      </c>
      <c r="C16186" s="0" t="n">
        <v>4564797</v>
      </c>
      <c r="D16186" s="0" t="s">
        <v>53928</v>
      </c>
      <c r="E16186" s="0" t="s">
        <v>53929</v>
      </c>
      <c r="F16186" s="0" t="s">
        <v>90</v>
      </c>
      <c r="G16186" s="0" t="s">
        <v>16</v>
      </c>
      <c r="H16186" s="0" t="n">
        <v>50</v>
      </c>
      <c r="I16186" s="0" t="s">
        <v>53936</v>
      </c>
      <c r="J16186" s="0" t="s">
        <v>53937</v>
      </c>
      <c r="K16186" s="0" t="s">
        <v>53938</v>
      </c>
      <c r="L16186" s="0" t="str">
        <f aca="false">HYPERLINK("https://www.ncbi.nlm.nih.gov/nuccore/CP000304.1?report=graph&amp;tracks=[key:gene_model_track,Options:GeneOnly]&amp;mk=4564820:4564839|offset_8|444444,4564800:4564819|offset_28|444444,4564778:4564797|offset_50|00cc00,4564757:4564776|offset_71|444444&amp;v=4564619:4564976&amp;c=444444", "offset 50")</f>
        <v>offset 50</v>
      </c>
    </row>
    <row r="16187" customFormat="false" ht="12.8" hidden="false" customHeight="false" outlineLevel="0" collapsed="false">
      <c r="A16187" s="0" t="s">
        <v>12</v>
      </c>
      <c r="B16187" s="0" t="n">
        <v>4564756</v>
      </c>
      <c r="C16187" s="0" t="n">
        <v>4564776</v>
      </c>
      <c r="D16187" s="0" t="s">
        <v>53928</v>
      </c>
      <c r="E16187" s="0" t="s">
        <v>53929</v>
      </c>
      <c r="F16187" s="0" t="s">
        <v>90</v>
      </c>
      <c r="G16187" s="0" t="s">
        <v>16</v>
      </c>
      <c r="H16187" s="0" t="n">
        <v>71</v>
      </c>
      <c r="I16187" s="0" t="s">
        <v>53939</v>
      </c>
      <c r="J16187" s="0" t="s">
        <v>53940</v>
      </c>
      <c r="K16187" s="0" t="s">
        <v>53941</v>
      </c>
      <c r="L16187" s="0" t="str">
        <f aca="false">HYPERLINK("https://www.ncbi.nlm.nih.gov/nuccore/CP000304.1?report=graph&amp;tracks=[key:gene_model_track,Options:GeneOnly]&amp;mk=4564820:4564839|offset_8|444444,4564800:4564819|offset_28|444444,4564778:4564797|offset_50|444444,4564757:4564776|offset_71|00cc00&amp;v=4564619:4564976&amp;c=444444", "offset 71")</f>
        <v>offset 71</v>
      </c>
    </row>
    <row r="16188" customFormat="false" ht="12.8" hidden="false" customHeight="false" outlineLevel="0" collapsed="false">
      <c r="A16188" s="0" t="s">
        <v>12</v>
      </c>
      <c r="B16188" s="0" t="n">
        <v>4566569</v>
      </c>
      <c r="C16188" s="0" t="n">
        <v>4566589</v>
      </c>
      <c r="D16188" s="0" t="s">
        <v>53942</v>
      </c>
      <c r="E16188" s="0" t="s">
        <v>53943</v>
      </c>
      <c r="F16188" s="0" t="s">
        <v>90</v>
      </c>
      <c r="G16188" s="0" t="s">
        <v>32</v>
      </c>
      <c r="H16188" s="0" t="n">
        <v>1</v>
      </c>
      <c r="I16188" s="0" t="s">
        <v>53944</v>
      </c>
      <c r="J16188" s="0" t="s">
        <v>53945</v>
      </c>
      <c r="K16188" s="0" t="s">
        <v>53946</v>
      </c>
      <c r="L16188" s="0" t="str">
        <f aca="false">HYPERLINK("https://www.ncbi.nlm.nih.gov/nuccore/CP000304.1?report=graph&amp;tracks=[key:gene_model_track,Options:GeneOnly]&amp;mk=4566570:4566589|offset_1|00cc00,4566522:4566541|offset_49|444444,4566477:4566496|offset_94|444444,4566448:4566467|offset_123|444444&amp;v=4566369:4566667&amp;c=444444", "offset 1")</f>
        <v>offset 1</v>
      </c>
    </row>
    <row r="16189" customFormat="false" ht="12.8" hidden="false" customHeight="false" outlineLevel="0" collapsed="false">
      <c r="A16189" s="0" t="s">
        <v>12</v>
      </c>
      <c r="B16189" s="0" t="n">
        <v>4566521</v>
      </c>
      <c r="C16189" s="0" t="n">
        <v>4566541</v>
      </c>
      <c r="D16189" s="0" t="s">
        <v>53942</v>
      </c>
      <c r="E16189" s="0" t="s">
        <v>53943</v>
      </c>
      <c r="F16189" s="0" t="s">
        <v>90</v>
      </c>
      <c r="G16189" s="0" t="s">
        <v>26</v>
      </c>
      <c r="H16189" s="0" t="n">
        <v>49</v>
      </c>
      <c r="I16189" s="0" t="s">
        <v>53947</v>
      </c>
      <c r="J16189" s="0" t="s">
        <v>53948</v>
      </c>
      <c r="K16189" s="0" t="s">
        <v>53949</v>
      </c>
      <c r="L16189" s="0" t="str">
        <f aca="false">HYPERLINK("https://www.ncbi.nlm.nih.gov/nuccore/CP000304.1?report=graph&amp;tracks=[key:gene_model_track,Options:GeneOnly]&amp;mk=4566570:4566589|offset_1|444444,4566522:4566541|offset_49|00cc00,4566477:4566496|offset_94|444444,4566448:4566467|offset_123|444444&amp;v=4566369:4566667&amp;c=444444", "offset 49")</f>
        <v>offset 49</v>
      </c>
    </row>
    <row r="16190" customFormat="false" ht="12.8" hidden="false" customHeight="false" outlineLevel="0" collapsed="false">
      <c r="A16190" s="0" t="s">
        <v>12</v>
      </c>
      <c r="B16190" s="0" t="n">
        <v>4566476</v>
      </c>
      <c r="C16190" s="0" t="n">
        <v>4566496</v>
      </c>
      <c r="D16190" s="0" t="s">
        <v>53942</v>
      </c>
      <c r="E16190" s="0" t="s">
        <v>53943</v>
      </c>
      <c r="F16190" s="0" t="s">
        <v>90</v>
      </c>
      <c r="G16190" s="0" t="s">
        <v>36</v>
      </c>
      <c r="H16190" s="0" t="n">
        <v>94</v>
      </c>
      <c r="I16190" s="0" t="s">
        <v>53950</v>
      </c>
      <c r="J16190" s="0" t="s">
        <v>53951</v>
      </c>
      <c r="K16190" s="0" t="s">
        <v>53952</v>
      </c>
      <c r="L16190" s="0" t="str">
        <f aca="false">HYPERLINK("https://www.ncbi.nlm.nih.gov/nuccore/CP000304.1?report=graph&amp;tracks=[key:gene_model_track,Options:GeneOnly]&amp;mk=4566570:4566589|offset_1|444444,4566522:4566541|offset_49|444444,4566477:4566496|offset_94|00cc00,4566448:4566467|offset_123|444444&amp;v=4566369:4566667&amp;c=444444", "offset 94")</f>
        <v>offset 94</v>
      </c>
    </row>
    <row r="16191" customFormat="false" ht="12.8" hidden="false" customHeight="false" outlineLevel="0" collapsed="false">
      <c r="A16191" s="0" t="s">
        <v>12</v>
      </c>
      <c r="B16191" s="0" t="n">
        <v>4566447</v>
      </c>
      <c r="C16191" s="0" t="n">
        <v>4566467</v>
      </c>
      <c r="D16191" s="0" t="s">
        <v>53942</v>
      </c>
      <c r="E16191" s="0" t="s">
        <v>53943</v>
      </c>
      <c r="F16191" s="0" t="s">
        <v>90</v>
      </c>
      <c r="G16191" s="0" t="s">
        <v>32</v>
      </c>
      <c r="H16191" s="0" t="n">
        <v>123</v>
      </c>
      <c r="I16191" s="0" t="s">
        <v>53953</v>
      </c>
      <c r="J16191" s="0" t="s">
        <v>53954</v>
      </c>
      <c r="K16191" s="0" t="s">
        <v>53955</v>
      </c>
      <c r="L16191" s="0" t="str">
        <f aca="false">HYPERLINK("https://www.ncbi.nlm.nih.gov/nuccore/CP000304.1?report=graph&amp;tracks=[key:gene_model_track,Options:GeneOnly]&amp;mk=4566570:4566589|offset_1|444444,4566522:4566541|offset_49|444444,4566477:4566496|offset_94|444444,4566448:4566467|offset_123|00cc00&amp;v=4566369:4566667&amp;c=444444", "offset 123")</f>
        <v>offset 123</v>
      </c>
    </row>
    <row r="16192" customFormat="false" ht="12.8" hidden="false" customHeight="false" outlineLevel="0" collapsed="false">
      <c r="A16192" s="0" t="s">
        <v>12</v>
      </c>
      <c r="B16192" s="0" t="n">
        <v>4566802</v>
      </c>
      <c r="C16192" s="0" t="n">
        <v>4566822</v>
      </c>
      <c r="D16192" s="0" t="s">
        <v>53956</v>
      </c>
      <c r="E16192" s="0" t="s">
        <v>89</v>
      </c>
      <c r="F16192" s="0" t="s">
        <v>90</v>
      </c>
      <c r="G16192" s="0" t="s">
        <v>32</v>
      </c>
      <c r="H16192" s="0" t="n">
        <v>16</v>
      </c>
      <c r="I16192" s="0" t="s">
        <v>53957</v>
      </c>
      <c r="J16192" s="0" t="s">
        <v>53958</v>
      </c>
      <c r="K16192" s="0" t="s">
        <v>53959</v>
      </c>
      <c r="L16192" s="0" t="str">
        <f aca="false">HYPERLINK("https://www.ncbi.nlm.nih.gov/nuccore/CP000304.1?report=graph&amp;tracks=[key:gene_model_track,Options:GeneOnly]&amp;mk=4566803:4566822|offset_16|00cc00,4566781:4566800|offset_38|444444,4566755:4566774|offset_64|444444,4566735:4566754|offset_84|444444&amp;v=4566602:4566954&amp;c=444444", "offset 16")</f>
        <v>offset 16</v>
      </c>
    </row>
    <row r="16193" customFormat="false" ht="12.8" hidden="false" customHeight="false" outlineLevel="0" collapsed="false">
      <c r="A16193" s="0" t="s">
        <v>12</v>
      </c>
      <c r="B16193" s="0" t="n">
        <v>4566780</v>
      </c>
      <c r="C16193" s="0" t="n">
        <v>4566800</v>
      </c>
      <c r="D16193" s="0" t="s">
        <v>53956</v>
      </c>
      <c r="E16193" s="0" t="s">
        <v>89</v>
      </c>
      <c r="F16193" s="0" t="s">
        <v>90</v>
      </c>
      <c r="G16193" s="0" t="s">
        <v>32</v>
      </c>
      <c r="H16193" s="0" t="n">
        <v>38</v>
      </c>
      <c r="I16193" s="0" t="s">
        <v>53960</v>
      </c>
      <c r="J16193" s="0" t="s">
        <v>53961</v>
      </c>
      <c r="K16193" s="0" t="s">
        <v>53962</v>
      </c>
      <c r="L16193" s="0" t="str">
        <f aca="false">HYPERLINK("https://www.ncbi.nlm.nih.gov/nuccore/CP000304.1?report=graph&amp;tracks=[key:gene_model_track,Options:GeneOnly]&amp;mk=4566803:4566822|offset_16|444444,4566781:4566800|offset_38|00cc00,4566755:4566774|offset_64|444444,4566735:4566754|offset_84|444444&amp;v=4566602:4566954&amp;c=444444", "offset 38")</f>
        <v>offset 38</v>
      </c>
    </row>
    <row r="16194" customFormat="false" ht="12.8" hidden="false" customHeight="false" outlineLevel="0" collapsed="false">
      <c r="A16194" s="0" t="s">
        <v>12</v>
      </c>
      <c r="B16194" s="0" t="n">
        <v>4566754</v>
      </c>
      <c r="C16194" s="0" t="n">
        <v>4566774</v>
      </c>
      <c r="D16194" s="0" t="s">
        <v>53956</v>
      </c>
      <c r="E16194" s="0" t="s">
        <v>89</v>
      </c>
      <c r="F16194" s="0" t="s">
        <v>90</v>
      </c>
      <c r="G16194" s="0" t="s">
        <v>32</v>
      </c>
      <c r="H16194" s="0" t="n">
        <v>64</v>
      </c>
      <c r="I16194" s="0" t="s">
        <v>53963</v>
      </c>
      <c r="J16194" s="0" t="s">
        <v>53964</v>
      </c>
      <c r="K16194" s="0" t="s">
        <v>53965</v>
      </c>
      <c r="L16194" s="0" t="str">
        <f aca="false">HYPERLINK("https://www.ncbi.nlm.nih.gov/nuccore/CP000304.1?report=graph&amp;tracks=[key:gene_model_track,Options:GeneOnly]&amp;mk=4566803:4566822|offset_16|444444,4566781:4566800|offset_38|444444,4566755:4566774|offset_64|00cc00,4566735:4566754|offset_84|444444&amp;v=4566602:4566954&amp;c=444444", "offset 64")</f>
        <v>offset 64</v>
      </c>
    </row>
    <row r="16195" customFormat="false" ht="12.8" hidden="false" customHeight="false" outlineLevel="0" collapsed="false">
      <c r="A16195" s="0" t="s">
        <v>12</v>
      </c>
      <c r="B16195" s="0" t="n">
        <v>4566734</v>
      </c>
      <c r="C16195" s="0" t="n">
        <v>4566754</v>
      </c>
      <c r="D16195" s="0" t="s">
        <v>53956</v>
      </c>
      <c r="E16195" s="0" t="s">
        <v>89</v>
      </c>
      <c r="F16195" s="0" t="s">
        <v>90</v>
      </c>
      <c r="G16195" s="0" t="s">
        <v>32</v>
      </c>
      <c r="H16195" s="0" t="n">
        <v>84</v>
      </c>
      <c r="I16195" s="0" t="s">
        <v>53966</v>
      </c>
      <c r="J16195" s="0" t="s">
        <v>53967</v>
      </c>
      <c r="K16195" s="0" t="s">
        <v>53968</v>
      </c>
      <c r="L16195" s="0" t="str">
        <f aca="false">HYPERLINK("https://www.ncbi.nlm.nih.gov/nuccore/CP000304.1?report=graph&amp;tracks=[key:gene_model_track,Options:GeneOnly]&amp;mk=4566803:4566822|offset_16|444444,4566781:4566800|offset_38|444444,4566755:4566774|offset_64|444444,4566735:4566754|offset_84|00cc00&amp;v=4566602:4566954&amp;c=444444", "offset 84")</f>
        <v>offset 84</v>
      </c>
    </row>
    <row r="16196" customFormat="false" ht="12.8" hidden="false" customHeight="false" outlineLevel="0" collapsed="false">
      <c r="A16196" s="0" t="s">
        <v>12</v>
      </c>
      <c r="B16196" s="0" t="n">
        <v>4567186</v>
      </c>
      <c r="C16196" s="0" t="n">
        <v>4567206</v>
      </c>
      <c r="D16196" s="0" t="s">
        <v>53969</v>
      </c>
      <c r="E16196" s="0" t="s">
        <v>53970</v>
      </c>
      <c r="F16196" s="0" t="s">
        <v>90</v>
      </c>
      <c r="G16196" s="0" t="s">
        <v>16</v>
      </c>
      <c r="H16196" s="0" t="n">
        <v>20</v>
      </c>
      <c r="I16196" s="0" t="s">
        <v>53971</v>
      </c>
      <c r="J16196" s="0" t="s">
        <v>53972</v>
      </c>
      <c r="K16196" s="0" t="s">
        <v>53973</v>
      </c>
      <c r="L16196" s="0" t="str">
        <f aca="false">HYPERLINK("https://www.ncbi.nlm.nih.gov/nuccore/CP000304.1?report=graph&amp;tracks=[key:gene_model_track,Options:GeneOnly]&amp;mk=4567187:4567206|offset_20|00cc00,4567165:4567184|offset_42|444444,4567137:4567156|offset_70|444444,4567073:4567092|offset_134|444444&amp;v=4566986:4567292&amp;c=444444", "offset 20")</f>
        <v>offset 20</v>
      </c>
    </row>
    <row r="16197" customFormat="false" ht="12.8" hidden="false" customHeight="false" outlineLevel="0" collapsed="false">
      <c r="A16197" s="0" t="s">
        <v>12</v>
      </c>
      <c r="B16197" s="0" t="n">
        <v>4567164</v>
      </c>
      <c r="C16197" s="0" t="n">
        <v>4567184</v>
      </c>
      <c r="D16197" s="0" t="s">
        <v>53969</v>
      </c>
      <c r="E16197" s="0" t="s">
        <v>53970</v>
      </c>
      <c r="F16197" s="0" t="s">
        <v>90</v>
      </c>
      <c r="G16197" s="0" t="s">
        <v>36</v>
      </c>
      <c r="H16197" s="0" t="n">
        <v>42</v>
      </c>
      <c r="I16197" s="0" t="s">
        <v>53974</v>
      </c>
      <c r="J16197" s="0" t="s">
        <v>53975</v>
      </c>
      <c r="K16197" s="0" t="s">
        <v>53976</v>
      </c>
      <c r="L16197" s="0" t="str">
        <f aca="false">HYPERLINK("https://www.ncbi.nlm.nih.gov/nuccore/CP000304.1?report=graph&amp;tracks=[key:gene_model_track,Options:GeneOnly]&amp;mk=4567187:4567206|offset_20|444444,4567165:4567184|offset_42|00cc00,4567137:4567156|offset_70|444444,4567073:4567092|offset_134|444444&amp;v=4566986:4567292&amp;c=444444", "offset 42")</f>
        <v>offset 42</v>
      </c>
    </row>
    <row r="16198" customFormat="false" ht="12.8" hidden="false" customHeight="false" outlineLevel="0" collapsed="false">
      <c r="A16198" s="0" t="s">
        <v>12</v>
      </c>
      <c r="B16198" s="0" t="n">
        <v>4567136</v>
      </c>
      <c r="C16198" s="0" t="n">
        <v>4567156</v>
      </c>
      <c r="D16198" s="0" t="s">
        <v>53969</v>
      </c>
      <c r="E16198" s="0" t="s">
        <v>53970</v>
      </c>
      <c r="F16198" s="0" t="s">
        <v>90</v>
      </c>
      <c r="G16198" s="0" t="s">
        <v>36</v>
      </c>
      <c r="H16198" s="0" t="n">
        <v>70</v>
      </c>
      <c r="I16198" s="0" t="s">
        <v>53977</v>
      </c>
      <c r="J16198" s="0" t="s">
        <v>53978</v>
      </c>
      <c r="K16198" s="0" t="s">
        <v>53979</v>
      </c>
      <c r="L16198" s="0" t="str">
        <f aca="false">HYPERLINK("https://www.ncbi.nlm.nih.gov/nuccore/CP000304.1?report=graph&amp;tracks=[key:gene_model_track,Options:GeneOnly]&amp;mk=4567187:4567206|offset_20|444444,4567165:4567184|offset_42|444444,4567137:4567156|offset_70|00cc00,4567073:4567092|offset_134|444444&amp;v=4566986:4567292&amp;c=444444", "offset 70")</f>
        <v>offset 70</v>
      </c>
    </row>
    <row r="16199" customFormat="false" ht="12.8" hidden="false" customHeight="false" outlineLevel="0" collapsed="false">
      <c r="A16199" s="0" t="s">
        <v>12</v>
      </c>
      <c r="B16199" s="0" t="n">
        <v>4567072</v>
      </c>
      <c r="C16199" s="0" t="n">
        <v>4567092</v>
      </c>
      <c r="D16199" s="0" t="s">
        <v>53969</v>
      </c>
      <c r="E16199" s="0" t="s">
        <v>53970</v>
      </c>
      <c r="F16199" s="0" t="s">
        <v>90</v>
      </c>
      <c r="G16199" s="0" t="s">
        <v>36</v>
      </c>
      <c r="H16199" s="0" t="n">
        <v>134</v>
      </c>
      <c r="I16199" s="0" t="s">
        <v>53980</v>
      </c>
      <c r="J16199" s="0" t="s">
        <v>53981</v>
      </c>
      <c r="K16199" s="0" t="s">
        <v>53982</v>
      </c>
      <c r="L16199" s="0" t="str">
        <f aca="false">HYPERLINK("https://www.ncbi.nlm.nih.gov/nuccore/CP000304.1?report=graph&amp;tracks=[key:gene_model_track,Options:GeneOnly]&amp;mk=4567187:4567206|offset_20|444444,4567165:4567184|offset_42|444444,4567137:4567156|offset_70|444444,4567073:4567092|offset_134|00cc00&amp;v=4566986:4567292&amp;c=444444", "offset 134")</f>
        <v>offset 134</v>
      </c>
    </row>
    <row r="16200" customFormat="false" ht="12.8" hidden="false" customHeight="false" outlineLevel="0" collapsed="false">
      <c r="A16200" s="0" t="s">
        <v>12</v>
      </c>
      <c r="B16200" s="0" t="n">
        <v>4567354</v>
      </c>
      <c r="C16200" s="0" t="n">
        <v>4567374</v>
      </c>
      <c r="D16200" s="0" t="s">
        <v>53983</v>
      </c>
      <c r="E16200" s="0" t="s">
        <v>53984</v>
      </c>
      <c r="F16200" s="0" t="s">
        <v>90</v>
      </c>
      <c r="G16200" s="0" t="s">
        <v>32</v>
      </c>
      <c r="H16200" s="0" t="n">
        <v>1</v>
      </c>
      <c r="I16200" s="0" t="s">
        <v>53985</v>
      </c>
      <c r="J16200" s="0" t="s">
        <v>53986</v>
      </c>
      <c r="K16200" s="0" t="s">
        <v>53987</v>
      </c>
      <c r="L16200" s="0" t="str">
        <f aca="false">HYPERLINK("https://www.ncbi.nlm.nih.gov/nuccore/CP000304.1?report=graph&amp;tracks=[key:gene_model_track,Options:GeneOnly]&amp;mk=4567355:4567374|offset_1|00cc00,4567335:4567354|offset_21|444444,4567310:4567329|offset_46|444444,4567286:4567305|offset_70|444444&amp;v=4567154:4567505&amp;c=444444", "offset 1")</f>
        <v>offset 1</v>
      </c>
    </row>
    <row r="16201" customFormat="false" ht="12.8" hidden="false" customHeight="false" outlineLevel="0" collapsed="false">
      <c r="A16201" s="0" t="s">
        <v>12</v>
      </c>
      <c r="B16201" s="0" t="n">
        <v>4567334</v>
      </c>
      <c r="C16201" s="0" t="n">
        <v>4567354</v>
      </c>
      <c r="D16201" s="0" t="s">
        <v>53983</v>
      </c>
      <c r="E16201" s="0" t="s">
        <v>53984</v>
      </c>
      <c r="F16201" s="0" t="s">
        <v>90</v>
      </c>
      <c r="G16201" s="0" t="s">
        <v>36</v>
      </c>
      <c r="H16201" s="0" t="n">
        <v>21</v>
      </c>
      <c r="I16201" s="0" t="s">
        <v>53988</v>
      </c>
      <c r="J16201" s="0" t="s">
        <v>53989</v>
      </c>
      <c r="K16201" s="0" t="s">
        <v>53990</v>
      </c>
      <c r="L16201" s="0" t="str">
        <f aca="false">HYPERLINK("https://www.ncbi.nlm.nih.gov/nuccore/CP000304.1?report=graph&amp;tracks=[key:gene_model_track,Options:GeneOnly]&amp;mk=4567355:4567374|offset_1|444444,4567335:4567354|offset_21|00cc00,4567310:4567329|offset_46|444444,4567286:4567305|offset_70|444444&amp;v=4567154:4567505&amp;c=444444", "offset 21")</f>
        <v>offset 21</v>
      </c>
    </row>
    <row r="16202" customFormat="false" ht="12.8" hidden="false" customHeight="false" outlineLevel="0" collapsed="false">
      <c r="A16202" s="0" t="s">
        <v>12</v>
      </c>
      <c r="B16202" s="0" t="n">
        <v>4567309</v>
      </c>
      <c r="C16202" s="0" t="n">
        <v>4567329</v>
      </c>
      <c r="D16202" s="0" t="s">
        <v>53983</v>
      </c>
      <c r="E16202" s="0" t="s">
        <v>53984</v>
      </c>
      <c r="F16202" s="0" t="s">
        <v>90</v>
      </c>
      <c r="G16202" s="0" t="s">
        <v>36</v>
      </c>
      <c r="H16202" s="0" t="n">
        <v>46</v>
      </c>
      <c r="I16202" s="0" t="s">
        <v>53991</v>
      </c>
      <c r="J16202" s="0" t="s">
        <v>53992</v>
      </c>
      <c r="K16202" s="0" t="s">
        <v>53993</v>
      </c>
      <c r="L16202" s="0" t="str">
        <f aca="false">HYPERLINK("https://www.ncbi.nlm.nih.gov/nuccore/CP000304.1?report=graph&amp;tracks=[key:gene_model_track,Options:GeneOnly]&amp;mk=4567355:4567374|offset_1|444444,4567335:4567354|offset_21|444444,4567310:4567329|offset_46|00cc00,4567286:4567305|offset_70|444444&amp;v=4567154:4567505&amp;c=444444", "offset 46")</f>
        <v>offset 46</v>
      </c>
    </row>
    <row r="16203" customFormat="false" ht="12.8" hidden="false" customHeight="false" outlineLevel="0" collapsed="false">
      <c r="A16203" s="0" t="s">
        <v>12</v>
      </c>
      <c r="B16203" s="0" t="n">
        <v>4567285</v>
      </c>
      <c r="C16203" s="0" t="n">
        <v>4567305</v>
      </c>
      <c r="D16203" s="0" t="s">
        <v>53983</v>
      </c>
      <c r="E16203" s="0" t="s">
        <v>53984</v>
      </c>
      <c r="F16203" s="0" t="s">
        <v>90</v>
      </c>
      <c r="G16203" s="0" t="s">
        <v>32</v>
      </c>
      <c r="H16203" s="0" t="n">
        <v>70</v>
      </c>
      <c r="I16203" s="0" t="s">
        <v>53994</v>
      </c>
      <c r="J16203" s="0" t="s">
        <v>53995</v>
      </c>
      <c r="K16203" s="0" t="s">
        <v>53996</v>
      </c>
      <c r="L16203" s="0" t="str">
        <f aca="false">HYPERLINK("https://www.ncbi.nlm.nih.gov/nuccore/CP000304.1?report=graph&amp;tracks=[key:gene_model_track,Options:GeneOnly]&amp;mk=4567355:4567374|offset_1|444444,4567335:4567354|offset_21|444444,4567310:4567329|offset_46|444444,4567286:4567305|offset_70|00cc00&amp;v=4567154:4567505&amp;c=444444", "offset 70")</f>
        <v>offset 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